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block\AppData\Local\Microsoft\Windows\INetCache\Content.Outlook\6CCEOQC9\"/>
    </mc:Choice>
  </mc:AlternateContent>
  <xr:revisionPtr revIDLastSave="0" documentId="13_ncr:1_{59E431EE-7E3F-49A3-8814-29DB54CAB03C}" xr6:coauthVersionLast="47" xr6:coauthVersionMax="47" xr10:uidLastSave="{00000000-0000-0000-0000-000000000000}"/>
  <bookViews>
    <workbookView xWindow="28680" yWindow="-120" windowWidth="29040" windowHeight="15840" xr2:uid="{ED554426-E44D-4551-B86E-F1EFD0A6521C}"/>
  </bookViews>
  <sheets>
    <sheet name="Sheet1" sheetId="1" r:id="rId1"/>
    <sheet name="Sheet2" sheetId="2" r:id="rId2"/>
  </sheets>
  <definedNames>
    <definedName name="_xlnm.Print_Area" localSheetId="0">Sheet1!$A$1:$D$13633</definedName>
    <definedName name="_xlnm.Print_Titles" localSheetId="0">Sheet1!$22:$22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8" i="1" l="1"/>
  <c r="A2" i="2"/>
  <c r="B2" i="2"/>
  <c r="E2" i="2"/>
  <c r="A3" i="2"/>
  <c r="B3" i="2"/>
  <c r="E3" i="2"/>
  <c r="A4" i="2"/>
  <c r="B4" i="2"/>
  <c r="E4" i="2"/>
  <c r="A5" i="2"/>
  <c r="B5" i="2"/>
  <c r="E5" i="2"/>
  <c r="A6" i="2"/>
  <c r="B6" i="2"/>
  <c r="E6" i="2"/>
  <c r="A7" i="2"/>
  <c r="B7" i="2"/>
  <c r="E7" i="2"/>
  <c r="A8" i="2"/>
  <c r="B8" i="2"/>
  <c r="E8" i="2"/>
  <c r="A9" i="2"/>
  <c r="B9" i="2"/>
  <c r="E9" i="2"/>
  <c r="A10" i="2"/>
  <c r="B10" i="2"/>
  <c r="E10" i="2"/>
  <c r="A11" i="2"/>
  <c r="B11" i="2"/>
  <c r="E11" i="2"/>
  <c r="A12" i="2"/>
  <c r="B12" i="2"/>
  <c r="E12" i="2"/>
  <c r="A13" i="2"/>
  <c r="B13" i="2"/>
  <c r="E13" i="2"/>
  <c r="A14" i="2"/>
  <c r="B14" i="2"/>
  <c r="E14" i="2"/>
  <c r="A15" i="2"/>
  <c r="B15" i="2"/>
  <c r="E15" i="2"/>
  <c r="A16" i="2"/>
  <c r="B16" i="2"/>
  <c r="E16" i="2"/>
  <c r="A17" i="2"/>
  <c r="B17" i="2"/>
  <c r="E17" i="2"/>
  <c r="A18" i="2"/>
  <c r="B18" i="2"/>
  <c r="E18" i="2"/>
  <c r="A19" i="2"/>
  <c r="B19" i="2"/>
  <c r="E19" i="2"/>
  <c r="A20" i="2"/>
  <c r="B20" i="2"/>
  <c r="E20" i="2"/>
  <c r="A21" i="2"/>
  <c r="B21" i="2"/>
  <c r="E21" i="2"/>
  <c r="A22" i="2"/>
  <c r="B22" i="2"/>
  <c r="E22" i="2"/>
  <c r="A23" i="2"/>
  <c r="B23" i="2"/>
  <c r="E23" i="2"/>
  <c r="A24" i="2"/>
  <c r="B24" i="2"/>
  <c r="E24" i="2"/>
  <c r="A25" i="2"/>
  <c r="B25" i="2"/>
  <c r="E25" i="2"/>
  <c r="A26" i="2"/>
  <c r="B26" i="2"/>
  <c r="E26" i="2"/>
  <c r="A27" i="2"/>
  <c r="B27" i="2"/>
  <c r="E27" i="2"/>
  <c r="A28" i="2"/>
  <c r="B28" i="2"/>
  <c r="E28" i="2"/>
  <c r="A29" i="2"/>
  <c r="B29" i="2"/>
  <c r="E29" i="2"/>
  <c r="A30" i="2"/>
  <c r="B30" i="2"/>
  <c r="E30" i="2"/>
  <c r="A31" i="2"/>
  <c r="B31" i="2"/>
  <c r="E31" i="2"/>
  <c r="A32" i="2"/>
  <c r="B32" i="2"/>
  <c r="E32" i="2"/>
  <c r="A33" i="2"/>
  <c r="B33" i="2"/>
  <c r="E33" i="2"/>
  <c r="A34" i="2"/>
  <c r="B34" i="2"/>
  <c r="E34" i="2"/>
  <c r="A35" i="2"/>
  <c r="B35" i="2"/>
  <c r="E35" i="2"/>
  <c r="A36" i="2"/>
  <c r="B36" i="2"/>
  <c r="E36" i="2"/>
  <c r="A37" i="2"/>
  <c r="B37" i="2"/>
  <c r="E37" i="2"/>
  <c r="A38" i="2"/>
  <c r="B38" i="2"/>
  <c r="E38" i="2"/>
  <c r="A39" i="2"/>
  <c r="B39" i="2"/>
  <c r="E39" i="2"/>
  <c r="A40" i="2"/>
  <c r="B40" i="2"/>
  <c r="E40" i="2"/>
  <c r="A41" i="2"/>
  <c r="B41" i="2"/>
  <c r="E41" i="2"/>
  <c r="A42" i="2"/>
  <c r="B42" i="2"/>
  <c r="E42" i="2"/>
  <c r="A43" i="2"/>
  <c r="B43" i="2"/>
  <c r="E43" i="2"/>
  <c r="A44" i="2"/>
  <c r="B44" i="2"/>
  <c r="E44" i="2"/>
  <c r="A45" i="2"/>
  <c r="B45" i="2"/>
  <c r="E45" i="2"/>
  <c r="A46" i="2"/>
  <c r="B46" i="2"/>
  <c r="E46" i="2"/>
  <c r="A47" i="2"/>
  <c r="B47" i="2"/>
  <c r="E47" i="2"/>
  <c r="A48" i="2"/>
  <c r="B48" i="2"/>
  <c r="E48" i="2"/>
  <c r="A49" i="2"/>
  <c r="B49" i="2"/>
  <c r="E49" i="2"/>
  <c r="A50" i="2"/>
  <c r="B50" i="2"/>
  <c r="E50" i="2"/>
  <c r="A51" i="2"/>
  <c r="B51" i="2"/>
  <c r="E51" i="2"/>
  <c r="A52" i="2"/>
  <c r="B52" i="2"/>
  <c r="E52" i="2"/>
  <c r="A53" i="2"/>
  <c r="B53" i="2"/>
  <c r="E53" i="2"/>
  <c r="A54" i="2"/>
  <c r="B54" i="2"/>
  <c r="E54" i="2"/>
  <c r="A55" i="2"/>
  <c r="B55" i="2"/>
  <c r="E55" i="2"/>
  <c r="A56" i="2"/>
  <c r="B56" i="2"/>
  <c r="E56" i="2"/>
  <c r="A57" i="2"/>
  <c r="B57" i="2"/>
  <c r="E57" i="2"/>
  <c r="A58" i="2"/>
  <c r="B58" i="2"/>
  <c r="E58" i="2"/>
  <c r="A59" i="2"/>
  <c r="B59" i="2"/>
  <c r="E59" i="2"/>
  <c r="A60" i="2"/>
  <c r="B60" i="2"/>
  <c r="E60" i="2"/>
  <c r="A61" i="2"/>
  <c r="B61" i="2"/>
  <c r="E61" i="2"/>
  <c r="A62" i="2"/>
  <c r="B62" i="2"/>
  <c r="E62" i="2"/>
  <c r="A63" i="2"/>
  <c r="B63" i="2"/>
  <c r="E63" i="2"/>
  <c r="A64" i="2"/>
  <c r="B64" i="2"/>
  <c r="E64" i="2"/>
  <c r="A65" i="2"/>
  <c r="B65" i="2"/>
  <c r="E65" i="2"/>
  <c r="A66" i="2"/>
  <c r="B66" i="2"/>
  <c r="E66" i="2"/>
  <c r="A67" i="2"/>
  <c r="B67" i="2"/>
  <c r="E67" i="2"/>
  <c r="A68" i="2"/>
  <c r="B68" i="2"/>
  <c r="E68" i="2"/>
  <c r="A69" i="2"/>
  <c r="B69" i="2"/>
  <c r="E69" i="2"/>
  <c r="A70" i="2"/>
  <c r="B70" i="2"/>
  <c r="E70" i="2"/>
  <c r="A71" i="2"/>
  <c r="B71" i="2"/>
  <c r="E71" i="2"/>
  <c r="A72" i="2"/>
  <c r="B72" i="2"/>
  <c r="E72" i="2"/>
  <c r="A73" i="2"/>
  <c r="B73" i="2"/>
  <c r="E73" i="2"/>
  <c r="A74" i="2"/>
  <c r="B74" i="2"/>
  <c r="E74" i="2"/>
  <c r="A75" i="2"/>
  <c r="B75" i="2"/>
  <c r="E75" i="2"/>
  <c r="A76" i="2"/>
  <c r="B76" i="2"/>
  <c r="E76" i="2"/>
  <c r="A77" i="2"/>
  <c r="B77" i="2"/>
  <c r="E77" i="2"/>
  <c r="A78" i="2"/>
  <c r="B78" i="2"/>
  <c r="E78" i="2"/>
  <c r="A79" i="2"/>
  <c r="B79" i="2"/>
  <c r="E79" i="2"/>
  <c r="A80" i="2"/>
  <c r="B80" i="2"/>
  <c r="E80" i="2"/>
  <c r="A81" i="2"/>
  <c r="B81" i="2"/>
  <c r="E81" i="2"/>
  <c r="A82" i="2"/>
  <c r="B82" i="2"/>
  <c r="E82" i="2"/>
  <c r="A83" i="2"/>
  <c r="B83" i="2"/>
  <c r="E83" i="2"/>
  <c r="A84" i="2"/>
  <c r="B84" i="2"/>
  <c r="E84" i="2"/>
  <c r="A85" i="2"/>
  <c r="B85" i="2"/>
  <c r="E85" i="2"/>
  <c r="A86" i="2"/>
  <c r="B86" i="2"/>
  <c r="E86" i="2"/>
  <c r="A87" i="2"/>
  <c r="B87" i="2"/>
  <c r="E87" i="2"/>
  <c r="A88" i="2"/>
  <c r="B88" i="2"/>
  <c r="E88" i="2"/>
  <c r="A89" i="2"/>
  <c r="B89" i="2"/>
  <c r="E89" i="2"/>
  <c r="A90" i="2"/>
  <c r="B90" i="2"/>
  <c r="E90" i="2"/>
  <c r="A91" i="2"/>
  <c r="B91" i="2"/>
  <c r="E91" i="2"/>
  <c r="A92" i="2"/>
  <c r="B92" i="2"/>
  <c r="E92" i="2"/>
  <c r="A93" i="2"/>
  <c r="B93" i="2"/>
  <c r="E93" i="2"/>
  <c r="A94" i="2"/>
  <c r="B94" i="2"/>
  <c r="E94" i="2"/>
  <c r="A95" i="2"/>
  <c r="B95" i="2"/>
  <c r="E95" i="2"/>
  <c r="A96" i="2"/>
  <c r="B96" i="2"/>
  <c r="E96" i="2"/>
  <c r="A97" i="2"/>
  <c r="B97" i="2"/>
  <c r="E97" i="2"/>
  <c r="A98" i="2"/>
  <c r="B98" i="2"/>
  <c r="E98" i="2"/>
  <c r="A99" i="2"/>
  <c r="B99" i="2"/>
  <c r="E99" i="2"/>
  <c r="A100" i="2"/>
  <c r="B100" i="2"/>
  <c r="E100" i="2"/>
  <c r="A101" i="2"/>
  <c r="B101" i="2"/>
  <c r="E101" i="2"/>
  <c r="A102" i="2"/>
  <c r="B102" i="2"/>
  <c r="E102" i="2"/>
  <c r="A103" i="2"/>
  <c r="B103" i="2"/>
  <c r="E103" i="2"/>
  <c r="A104" i="2"/>
  <c r="B104" i="2"/>
  <c r="E104" i="2"/>
  <c r="A105" i="2"/>
  <c r="B105" i="2"/>
  <c r="E105" i="2"/>
  <c r="A106" i="2"/>
  <c r="B106" i="2"/>
  <c r="E106" i="2"/>
  <c r="A107" i="2"/>
  <c r="B107" i="2"/>
  <c r="E107" i="2"/>
  <c r="A108" i="2"/>
  <c r="B108" i="2"/>
  <c r="E108" i="2"/>
  <c r="A109" i="2"/>
  <c r="B109" i="2"/>
  <c r="E109" i="2"/>
  <c r="A110" i="2"/>
  <c r="B110" i="2"/>
  <c r="E110" i="2"/>
  <c r="A111" i="2"/>
  <c r="B111" i="2"/>
  <c r="E111" i="2"/>
  <c r="A112" i="2"/>
  <c r="B112" i="2"/>
  <c r="E112" i="2"/>
  <c r="A113" i="2"/>
  <c r="B113" i="2"/>
  <c r="E113" i="2"/>
  <c r="A114" i="2"/>
  <c r="B114" i="2"/>
  <c r="E114" i="2"/>
  <c r="A115" i="2"/>
  <c r="B115" i="2"/>
  <c r="E115" i="2"/>
  <c r="A116" i="2"/>
  <c r="B116" i="2"/>
  <c r="E116" i="2"/>
  <c r="A117" i="2"/>
  <c r="B117" i="2"/>
  <c r="E117" i="2"/>
  <c r="A118" i="2"/>
  <c r="B118" i="2"/>
  <c r="E118" i="2"/>
  <c r="A119" i="2"/>
  <c r="B119" i="2"/>
  <c r="E119" i="2"/>
  <c r="A120" i="2"/>
  <c r="B120" i="2"/>
  <c r="E120" i="2"/>
  <c r="A121" i="2"/>
  <c r="B121" i="2"/>
  <c r="E121" i="2"/>
  <c r="A122" i="2"/>
  <c r="B122" i="2"/>
  <c r="E122" i="2"/>
  <c r="A123" i="2"/>
  <c r="B123" i="2"/>
  <c r="E123" i="2"/>
  <c r="A124" i="2"/>
  <c r="B124" i="2"/>
  <c r="E124" i="2"/>
  <c r="A125" i="2"/>
  <c r="B125" i="2"/>
  <c r="E125" i="2"/>
  <c r="A126" i="2"/>
  <c r="B126" i="2"/>
  <c r="E126" i="2"/>
  <c r="A127" i="2"/>
  <c r="B127" i="2"/>
  <c r="E127" i="2"/>
  <c r="A128" i="2"/>
  <c r="B128" i="2"/>
  <c r="E128" i="2"/>
  <c r="A129" i="2"/>
  <c r="B129" i="2"/>
  <c r="E129" i="2"/>
  <c r="A130" i="2"/>
  <c r="B130" i="2"/>
  <c r="E130" i="2"/>
  <c r="A131" i="2"/>
  <c r="B131" i="2"/>
  <c r="E131" i="2"/>
  <c r="A132" i="2"/>
  <c r="B132" i="2"/>
  <c r="E132" i="2"/>
  <c r="A133" i="2"/>
  <c r="B133" i="2"/>
  <c r="E133" i="2"/>
  <c r="A134" i="2"/>
  <c r="B134" i="2"/>
  <c r="E134" i="2"/>
  <c r="A135" i="2"/>
  <c r="B135" i="2"/>
  <c r="E135" i="2"/>
  <c r="A136" i="2"/>
  <c r="B136" i="2"/>
  <c r="E136" i="2"/>
  <c r="A137" i="2"/>
  <c r="B137" i="2"/>
  <c r="E137" i="2"/>
  <c r="A138" i="2"/>
  <c r="B138" i="2"/>
  <c r="E138" i="2"/>
  <c r="A139" i="2"/>
  <c r="B139" i="2"/>
  <c r="E139" i="2"/>
  <c r="A140" i="2"/>
  <c r="B140" i="2"/>
  <c r="E140" i="2"/>
  <c r="A141" i="2"/>
  <c r="B141" i="2"/>
  <c r="E141" i="2"/>
  <c r="A142" i="2"/>
  <c r="B142" i="2"/>
  <c r="E142" i="2"/>
  <c r="A143" i="2"/>
  <c r="B143" i="2"/>
  <c r="E143" i="2"/>
  <c r="A144" i="2"/>
  <c r="B144" i="2"/>
  <c r="E144" i="2"/>
  <c r="A145" i="2"/>
  <c r="B145" i="2"/>
  <c r="E145" i="2"/>
  <c r="A146" i="2"/>
  <c r="B146" i="2"/>
  <c r="E146" i="2"/>
  <c r="A147" i="2"/>
  <c r="B147" i="2"/>
  <c r="E147" i="2"/>
  <c r="A148" i="2"/>
  <c r="B148" i="2"/>
  <c r="E148" i="2"/>
  <c r="A149" i="2"/>
  <c r="B149" i="2"/>
  <c r="E149" i="2"/>
  <c r="A150" i="2"/>
  <c r="B150" i="2"/>
  <c r="E150" i="2"/>
  <c r="A151" i="2"/>
  <c r="B151" i="2"/>
  <c r="E151" i="2"/>
  <c r="A152" i="2"/>
  <c r="B152" i="2"/>
  <c r="E152" i="2"/>
  <c r="A153" i="2"/>
  <c r="B153" i="2"/>
  <c r="E153" i="2"/>
  <c r="A154" i="2"/>
  <c r="B154" i="2"/>
  <c r="E154" i="2"/>
  <c r="A155" i="2"/>
  <c r="B155" i="2"/>
  <c r="E155" i="2"/>
  <c r="A156" i="2"/>
  <c r="B156" i="2"/>
  <c r="E156" i="2"/>
  <c r="A157" i="2"/>
  <c r="B157" i="2"/>
  <c r="E157" i="2"/>
  <c r="A158" i="2"/>
  <c r="B158" i="2"/>
  <c r="E158" i="2"/>
  <c r="A159" i="2"/>
  <c r="B159" i="2"/>
  <c r="E159" i="2"/>
  <c r="A160" i="2"/>
  <c r="B160" i="2"/>
  <c r="E160" i="2"/>
  <c r="A161" i="2"/>
  <c r="B161" i="2"/>
  <c r="E161" i="2"/>
  <c r="A162" i="2"/>
  <c r="B162" i="2"/>
  <c r="E162" i="2"/>
  <c r="A163" i="2"/>
  <c r="B163" i="2"/>
  <c r="E163" i="2"/>
  <c r="A164" i="2"/>
  <c r="B164" i="2"/>
  <c r="E164" i="2"/>
  <c r="A165" i="2"/>
  <c r="B165" i="2"/>
  <c r="E165" i="2"/>
  <c r="A166" i="2"/>
  <c r="B166" i="2"/>
  <c r="E166" i="2"/>
  <c r="A167" i="2"/>
  <c r="B167" i="2"/>
  <c r="E167" i="2"/>
  <c r="A168" i="2"/>
  <c r="B168" i="2"/>
  <c r="E168" i="2"/>
  <c r="A169" i="2"/>
  <c r="B169" i="2"/>
  <c r="E169" i="2"/>
  <c r="A170" i="2"/>
  <c r="B170" i="2"/>
  <c r="E170" i="2"/>
  <c r="A171" i="2"/>
  <c r="B171" i="2"/>
  <c r="E171" i="2"/>
  <c r="A172" i="2"/>
  <c r="B172" i="2"/>
  <c r="E172" i="2"/>
  <c r="A173" i="2"/>
  <c r="B173" i="2"/>
  <c r="E173" i="2"/>
  <c r="A174" i="2"/>
  <c r="B174" i="2"/>
  <c r="E174" i="2"/>
  <c r="A175" i="2"/>
  <c r="B175" i="2"/>
  <c r="E175" i="2"/>
  <c r="A176" i="2"/>
  <c r="B176" i="2"/>
  <c r="E176" i="2"/>
  <c r="A177" i="2"/>
  <c r="B177" i="2"/>
  <c r="E177" i="2"/>
  <c r="A178" i="2"/>
  <c r="B178" i="2"/>
  <c r="E178" i="2"/>
  <c r="A179" i="2"/>
  <c r="B179" i="2"/>
  <c r="E179" i="2"/>
  <c r="A180" i="2"/>
  <c r="B180" i="2"/>
  <c r="E180" i="2"/>
  <c r="A181" i="2"/>
  <c r="B181" i="2"/>
  <c r="E181" i="2"/>
  <c r="A182" i="2"/>
  <c r="B182" i="2"/>
  <c r="E182" i="2"/>
  <c r="A183" i="2"/>
  <c r="B183" i="2"/>
  <c r="E183" i="2"/>
  <c r="A184" i="2"/>
  <c r="B184" i="2"/>
  <c r="E184" i="2"/>
  <c r="A185" i="2"/>
  <c r="B185" i="2"/>
  <c r="E185" i="2"/>
  <c r="A186" i="2"/>
  <c r="B186" i="2"/>
  <c r="E186" i="2"/>
  <c r="A187" i="2"/>
  <c r="B187" i="2"/>
  <c r="E187" i="2"/>
  <c r="A188" i="2"/>
  <c r="B188" i="2"/>
  <c r="E188" i="2"/>
  <c r="A189" i="2"/>
  <c r="B189" i="2"/>
  <c r="E189" i="2"/>
  <c r="A190" i="2"/>
  <c r="B190" i="2"/>
  <c r="E190" i="2"/>
  <c r="A191" i="2"/>
  <c r="B191" i="2"/>
  <c r="E191" i="2"/>
  <c r="A192" i="2"/>
  <c r="B192" i="2"/>
  <c r="E192" i="2"/>
  <c r="A193" i="2"/>
  <c r="B193" i="2"/>
  <c r="E193" i="2"/>
  <c r="A194" i="2"/>
  <c r="B194" i="2"/>
  <c r="E194" i="2"/>
  <c r="A195" i="2"/>
  <c r="B195" i="2"/>
  <c r="E195" i="2"/>
  <c r="A196" i="2"/>
  <c r="B196" i="2"/>
  <c r="E196" i="2"/>
  <c r="A197" i="2"/>
  <c r="B197" i="2"/>
  <c r="E197" i="2"/>
  <c r="A198" i="2"/>
  <c r="B198" i="2"/>
  <c r="E198" i="2"/>
  <c r="A199" i="2"/>
  <c r="B199" i="2"/>
  <c r="E199" i="2"/>
  <c r="A200" i="2"/>
  <c r="B200" i="2"/>
  <c r="E200" i="2"/>
  <c r="A201" i="2"/>
  <c r="B201" i="2"/>
  <c r="E201" i="2"/>
  <c r="A202" i="2"/>
  <c r="B202" i="2"/>
  <c r="E202" i="2"/>
  <c r="A203" i="2"/>
  <c r="B203" i="2"/>
  <c r="E203" i="2"/>
  <c r="A204" i="2"/>
  <c r="B204" i="2"/>
  <c r="E204" i="2"/>
  <c r="A205" i="2"/>
  <c r="B205" i="2"/>
  <c r="E205" i="2"/>
  <c r="A206" i="2"/>
  <c r="B206" i="2"/>
  <c r="E206" i="2"/>
  <c r="A207" i="2"/>
  <c r="B207" i="2"/>
  <c r="E207" i="2"/>
  <c r="A208" i="2"/>
  <c r="B208" i="2"/>
  <c r="E208" i="2"/>
  <c r="A209" i="2"/>
  <c r="B209" i="2"/>
  <c r="E209" i="2"/>
  <c r="A210" i="2"/>
  <c r="B210" i="2"/>
  <c r="E210" i="2"/>
  <c r="A211" i="2"/>
  <c r="B211" i="2"/>
  <c r="E211" i="2"/>
  <c r="A212" i="2"/>
  <c r="B212" i="2"/>
  <c r="E212" i="2"/>
  <c r="A213" i="2"/>
  <c r="B213" i="2"/>
  <c r="E213" i="2"/>
  <c r="A214" i="2"/>
  <c r="B214" i="2"/>
  <c r="E214" i="2"/>
  <c r="A215" i="2"/>
  <c r="B215" i="2"/>
  <c r="E215" i="2"/>
  <c r="A216" i="2"/>
  <c r="B216" i="2"/>
  <c r="E216" i="2"/>
  <c r="A217" i="2"/>
  <c r="B217" i="2"/>
  <c r="E217" i="2"/>
  <c r="A218" i="2"/>
  <c r="B218" i="2"/>
  <c r="E218" i="2"/>
  <c r="A219" i="2"/>
  <c r="B219" i="2"/>
  <c r="E219" i="2"/>
  <c r="A220" i="2"/>
  <c r="B220" i="2"/>
  <c r="E220" i="2"/>
  <c r="A221" i="2"/>
  <c r="B221" i="2"/>
  <c r="E221" i="2"/>
  <c r="A222" i="2"/>
  <c r="B222" i="2"/>
  <c r="E222" i="2"/>
  <c r="A223" i="2"/>
  <c r="B223" i="2"/>
  <c r="E223" i="2"/>
  <c r="A224" i="2"/>
  <c r="B224" i="2"/>
  <c r="E224" i="2"/>
  <c r="A225" i="2"/>
  <c r="B225" i="2"/>
  <c r="E225" i="2"/>
  <c r="A226" i="2"/>
  <c r="B226" i="2"/>
  <c r="E226" i="2"/>
  <c r="A227" i="2"/>
  <c r="B227" i="2"/>
  <c r="E227" i="2"/>
  <c r="A228" i="2"/>
  <c r="B228" i="2"/>
  <c r="E228" i="2"/>
  <c r="A229" i="2"/>
  <c r="B229" i="2"/>
  <c r="E229" i="2"/>
  <c r="A230" i="2"/>
  <c r="B230" i="2"/>
  <c r="E230" i="2"/>
  <c r="A231" i="2"/>
  <c r="B231" i="2"/>
  <c r="E231" i="2"/>
  <c r="A232" i="2"/>
  <c r="B232" i="2"/>
  <c r="E232" i="2"/>
  <c r="A233" i="2"/>
  <c r="B233" i="2"/>
  <c r="E233" i="2"/>
  <c r="A234" i="2"/>
  <c r="B234" i="2"/>
  <c r="E234" i="2"/>
  <c r="A235" i="2"/>
  <c r="B235" i="2"/>
  <c r="E235" i="2"/>
  <c r="A236" i="2"/>
  <c r="B236" i="2"/>
  <c r="E236" i="2"/>
  <c r="A237" i="2"/>
  <c r="B237" i="2"/>
  <c r="E237" i="2"/>
  <c r="A238" i="2"/>
  <c r="B238" i="2"/>
  <c r="E238" i="2"/>
  <c r="A239" i="2"/>
  <c r="B239" i="2"/>
  <c r="E239" i="2"/>
  <c r="A240" i="2"/>
  <c r="B240" i="2"/>
  <c r="E240" i="2"/>
  <c r="A241" i="2"/>
  <c r="B241" i="2"/>
  <c r="E241" i="2"/>
  <c r="A242" i="2"/>
  <c r="B242" i="2"/>
  <c r="E242" i="2"/>
  <c r="A243" i="2"/>
  <c r="B243" i="2"/>
  <c r="E243" i="2"/>
  <c r="A244" i="2"/>
  <c r="B244" i="2"/>
  <c r="E244" i="2"/>
  <c r="A245" i="2"/>
  <c r="B245" i="2"/>
  <c r="E245" i="2"/>
  <c r="A246" i="2"/>
  <c r="B246" i="2"/>
  <c r="E246" i="2"/>
  <c r="A247" i="2"/>
  <c r="B247" i="2"/>
  <c r="E247" i="2"/>
  <c r="A248" i="2"/>
  <c r="B248" i="2"/>
  <c r="E248" i="2"/>
  <c r="A249" i="2"/>
  <c r="B249" i="2"/>
  <c r="E249" i="2"/>
  <c r="A250" i="2"/>
  <c r="B250" i="2"/>
  <c r="E250" i="2"/>
  <c r="A251" i="2"/>
  <c r="B251" i="2"/>
  <c r="E251" i="2"/>
  <c r="A252" i="2"/>
  <c r="B252" i="2"/>
  <c r="E252" i="2"/>
  <c r="A253" i="2"/>
  <c r="B253" i="2"/>
  <c r="E253" i="2"/>
  <c r="A254" i="2"/>
  <c r="B254" i="2"/>
  <c r="E254" i="2"/>
  <c r="A255" i="2"/>
  <c r="B255" i="2"/>
  <c r="E255" i="2"/>
  <c r="A256" i="2"/>
  <c r="B256" i="2"/>
  <c r="E256" i="2"/>
  <c r="A257" i="2"/>
  <c r="B257" i="2"/>
  <c r="E257" i="2"/>
  <c r="A258" i="2"/>
  <c r="B258" i="2"/>
  <c r="E258" i="2"/>
  <c r="A259" i="2"/>
  <c r="B259" i="2"/>
  <c r="E259" i="2"/>
  <c r="A260" i="2"/>
  <c r="B260" i="2"/>
  <c r="E260" i="2"/>
  <c r="A261" i="2"/>
  <c r="B261" i="2"/>
  <c r="E261" i="2"/>
  <c r="A262" i="2"/>
  <c r="B262" i="2"/>
  <c r="E262" i="2"/>
  <c r="A263" i="2"/>
  <c r="B263" i="2"/>
  <c r="E263" i="2"/>
  <c r="A264" i="2"/>
  <c r="B264" i="2"/>
  <c r="E264" i="2"/>
  <c r="A265" i="2"/>
  <c r="B265" i="2"/>
  <c r="E265" i="2"/>
  <c r="A266" i="2"/>
  <c r="B266" i="2"/>
  <c r="E266" i="2"/>
  <c r="A267" i="2"/>
  <c r="B267" i="2"/>
  <c r="E267" i="2"/>
  <c r="A268" i="2"/>
  <c r="B268" i="2"/>
  <c r="E268" i="2"/>
  <c r="A269" i="2"/>
  <c r="B269" i="2"/>
  <c r="E269" i="2"/>
  <c r="A270" i="2"/>
  <c r="B270" i="2"/>
  <c r="E270" i="2"/>
  <c r="A271" i="2"/>
  <c r="B271" i="2"/>
  <c r="E271" i="2"/>
  <c r="A272" i="2"/>
  <c r="B272" i="2"/>
  <c r="E272" i="2"/>
  <c r="A273" i="2"/>
  <c r="B273" i="2"/>
  <c r="E273" i="2"/>
  <c r="A274" i="2"/>
  <c r="B274" i="2"/>
  <c r="E274" i="2"/>
  <c r="A275" i="2"/>
  <c r="B275" i="2"/>
  <c r="E275" i="2"/>
  <c r="A276" i="2"/>
  <c r="B276" i="2"/>
  <c r="E276" i="2"/>
  <c r="A277" i="2"/>
  <c r="B277" i="2"/>
  <c r="E277" i="2"/>
  <c r="A278" i="2"/>
  <c r="B278" i="2"/>
  <c r="E278" i="2"/>
  <c r="A279" i="2"/>
  <c r="B279" i="2"/>
  <c r="E279" i="2"/>
  <c r="A280" i="2"/>
  <c r="B280" i="2"/>
  <c r="E280" i="2"/>
  <c r="A281" i="2"/>
  <c r="B281" i="2"/>
  <c r="E281" i="2"/>
  <c r="A282" i="2"/>
  <c r="B282" i="2"/>
  <c r="E282" i="2"/>
  <c r="A283" i="2"/>
  <c r="B283" i="2"/>
  <c r="E283" i="2"/>
  <c r="A284" i="2"/>
  <c r="B284" i="2"/>
  <c r="E284" i="2"/>
  <c r="A285" i="2"/>
  <c r="B285" i="2"/>
  <c r="E285" i="2"/>
  <c r="A286" i="2"/>
  <c r="B286" i="2"/>
  <c r="E286" i="2"/>
  <c r="A287" i="2"/>
  <c r="B287" i="2"/>
  <c r="E287" i="2"/>
  <c r="A288" i="2"/>
  <c r="B288" i="2"/>
  <c r="E288" i="2"/>
  <c r="A289" i="2"/>
  <c r="B289" i="2"/>
  <c r="E289" i="2"/>
  <c r="A290" i="2"/>
  <c r="B290" i="2"/>
  <c r="E290" i="2"/>
  <c r="A291" i="2"/>
  <c r="B291" i="2"/>
  <c r="E291" i="2"/>
  <c r="A292" i="2"/>
  <c r="B292" i="2"/>
  <c r="E292" i="2"/>
  <c r="A293" i="2"/>
  <c r="B293" i="2"/>
  <c r="E293" i="2"/>
  <c r="A294" i="2"/>
  <c r="B294" i="2"/>
  <c r="E294" i="2"/>
  <c r="A295" i="2"/>
  <c r="B295" i="2"/>
  <c r="E295" i="2"/>
  <c r="A296" i="2"/>
  <c r="B296" i="2"/>
  <c r="E296" i="2"/>
  <c r="A297" i="2"/>
  <c r="B297" i="2"/>
  <c r="E297" i="2"/>
  <c r="A298" i="2"/>
  <c r="B298" i="2"/>
  <c r="E298" i="2"/>
  <c r="A299" i="2"/>
  <c r="B299" i="2"/>
  <c r="E299" i="2"/>
  <c r="A300" i="2"/>
  <c r="B300" i="2"/>
  <c r="E300" i="2"/>
  <c r="A301" i="2"/>
  <c r="B301" i="2"/>
  <c r="E301" i="2"/>
  <c r="A302" i="2"/>
  <c r="B302" i="2"/>
  <c r="E302" i="2"/>
  <c r="A303" i="2"/>
  <c r="B303" i="2"/>
  <c r="E303" i="2"/>
  <c r="A304" i="2"/>
  <c r="B304" i="2"/>
  <c r="E304" i="2"/>
  <c r="A305" i="2"/>
  <c r="B305" i="2"/>
  <c r="E305" i="2"/>
  <c r="A306" i="2"/>
  <c r="B306" i="2"/>
  <c r="E306" i="2"/>
  <c r="A307" i="2"/>
  <c r="B307" i="2"/>
  <c r="E307" i="2"/>
  <c r="A308" i="2"/>
  <c r="B308" i="2"/>
  <c r="E308" i="2"/>
  <c r="A309" i="2"/>
  <c r="B309" i="2"/>
  <c r="E309" i="2"/>
  <c r="A310" i="2"/>
  <c r="B310" i="2"/>
  <c r="E310" i="2"/>
  <c r="A311" i="2"/>
  <c r="B311" i="2"/>
  <c r="E311" i="2"/>
  <c r="A312" i="2"/>
  <c r="B312" i="2"/>
  <c r="E312" i="2"/>
  <c r="A313" i="2"/>
  <c r="B313" i="2"/>
  <c r="E313" i="2"/>
  <c r="A314" i="2"/>
  <c r="B314" i="2"/>
  <c r="E314" i="2"/>
  <c r="A315" i="2"/>
  <c r="B315" i="2"/>
  <c r="E315" i="2"/>
  <c r="A316" i="2"/>
  <c r="B316" i="2"/>
  <c r="E316" i="2"/>
  <c r="A317" i="2"/>
  <c r="B317" i="2"/>
  <c r="E317" i="2"/>
  <c r="A318" i="2"/>
  <c r="B318" i="2"/>
  <c r="E318" i="2"/>
  <c r="A319" i="2"/>
  <c r="B319" i="2"/>
  <c r="E319" i="2"/>
  <c r="A320" i="2"/>
  <c r="B320" i="2"/>
  <c r="E320" i="2"/>
  <c r="A321" i="2"/>
  <c r="B321" i="2"/>
  <c r="E321" i="2"/>
  <c r="A322" i="2"/>
  <c r="B322" i="2"/>
  <c r="E322" i="2"/>
  <c r="A323" i="2"/>
  <c r="B323" i="2"/>
  <c r="E323" i="2"/>
  <c r="A324" i="2"/>
  <c r="B324" i="2"/>
  <c r="E324" i="2"/>
  <c r="A325" i="2"/>
  <c r="B325" i="2"/>
  <c r="E325" i="2"/>
  <c r="A326" i="2"/>
  <c r="B326" i="2"/>
  <c r="E326" i="2"/>
  <c r="A327" i="2"/>
  <c r="B327" i="2"/>
  <c r="E327" i="2"/>
  <c r="A328" i="2"/>
  <c r="B328" i="2"/>
  <c r="E328" i="2"/>
  <c r="A329" i="2"/>
  <c r="B329" i="2"/>
  <c r="E329" i="2"/>
  <c r="A330" i="2"/>
  <c r="B330" i="2"/>
  <c r="E330" i="2"/>
  <c r="A331" i="2"/>
  <c r="B331" i="2"/>
  <c r="E331" i="2"/>
  <c r="A332" i="2"/>
  <c r="B332" i="2"/>
  <c r="E332" i="2"/>
  <c r="A333" i="2"/>
  <c r="B333" i="2"/>
  <c r="E333" i="2"/>
  <c r="A334" i="2"/>
  <c r="B334" i="2"/>
  <c r="E334" i="2"/>
  <c r="A335" i="2"/>
  <c r="B335" i="2"/>
  <c r="E335" i="2"/>
  <c r="A336" i="2"/>
  <c r="B336" i="2"/>
  <c r="E336" i="2"/>
  <c r="A337" i="2"/>
  <c r="B337" i="2"/>
  <c r="E337" i="2"/>
  <c r="A338" i="2"/>
  <c r="B338" i="2"/>
  <c r="E338" i="2"/>
  <c r="A339" i="2"/>
  <c r="B339" i="2"/>
  <c r="E339" i="2"/>
  <c r="A340" i="2"/>
  <c r="B340" i="2"/>
  <c r="E340" i="2"/>
  <c r="A341" i="2"/>
  <c r="B341" i="2"/>
  <c r="E341" i="2"/>
  <c r="A342" i="2"/>
  <c r="B342" i="2"/>
  <c r="E342" i="2"/>
  <c r="A343" i="2"/>
  <c r="B343" i="2"/>
  <c r="E343" i="2"/>
  <c r="A344" i="2"/>
  <c r="B344" i="2"/>
  <c r="E344" i="2"/>
  <c r="A345" i="2"/>
  <c r="B345" i="2"/>
  <c r="E345" i="2"/>
  <c r="A346" i="2"/>
  <c r="B346" i="2"/>
  <c r="E346" i="2"/>
  <c r="A347" i="2"/>
  <c r="B347" i="2"/>
  <c r="E347" i="2"/>
  <c r="A348" i="2"/>
  <c r="B348" i="2"/>
  <c r="E348" i="2"/>
  <c r="A349" i="2"/>
  <c r="B349" i="2"/>
  <c r="E349" i="2"/>
  <c r="A350" i="2"/>
  <c r="B350" i="2"/>
  <c r="E350" i="2"/>
  <c r="A351" i="2"/>
  <c r="B351" i="2"/>
  <c r="E351" i="2"/>
  <c r="A352" i="2"/>
  <c r="B352" i="2"/>
  <c r="E352" i="2"/>
  <c r="A353" i="2"/>
  <c r="B353" i="2"/>
  <c r="E353" i="2"/>
  <c r="A354" i="2"/>
  <c r="B354" i="2"/>
  <c r="E354" i="2"/>
  <c r="A355" i="2"/>
  <c r="B355" i="2"/>
  <c r="E355" i="2"/>
  <c r="A356" i="2"/>
  <c r="B356" i="2"/>
  <c r="E356" i="2"/>
  <c r="A357" i="2"/>
  <c r="B357" i="2"/>
  <c r="E357" i="2"/>
  <c r="A358" i="2"/>
  <c r="B358" i="2"/>
  <c r="E358" i="2"/>
  <c r="A359" i="2"/>
  <c r="B359" i="2"/>
  <c r="E359" i="2"/>
  <c r="A360" i="2"/>
  <c r="B360" i="2"/>
  <c r="E360" i="2"/>
  <c r="A361" i="2"/>
  <c r="B361" i="2"/>
  <c r="E361" i="2"/>
  <c r="A362" i="2"/>
  <c r="B362" i="2"/>
  <c r="E362" i="2"/>
  <c r="A363" i="2"/>
  <c r="B363" i="2"/>
  <c r="E363" i="2"/>
  <c r="A364" i="2"/>
  <c r="B364" i="2"/>
  <c r="E364" i="2"/>
  <c r="A365" i="2"/>
  <c r="B365" i="2"/>
  <c r="E365" i="2"/>
  <c r="A366" i="2"/>
  <c r="B366" i="2"/>
  <c r="E366" i="2"/>
  <c r="A367" i="2"/>
  <c r="B367" i="2"/>
  <c r="E367" i="2"/>
  <c r="A368" i="2"/>
  <c r="B368" i="2"/>
  <c r="E368" i="2"/>
  <c r="A369" i="2"/>
  <c r="B369" i="2"/>
  <c r="E369" i="2"/>
  <c r="A370" i="2"/>
  <c r="B370" i="2"/>
  <c r="E370" i="2"/>
  <c r="A371" i="2"/>
  <c r="B371" i="2"/>
  <c r="E371" i="2"/>
  <c r="A372" i="2"/>
  <c r="B372" i="2"/>
  <c r="E372" i="2"/>
  <c r="A373" i="2"/>
  <c r="B373" i="2"/>
  <c r="E373" i="2"/>
  <c r="A374" i="2"/>
  <c r="B374" i="2"/>
  <c r="E374" i="2"/>
  <c r="A375" i="2"/>
  <c r="B375" i="2"/>
  <c r="E375" i="2"/>
  <c r="A376" i="2"/>
  <c r="B376" i="2"/>
  <c r="E376" i="2"/>
  <c r="A377" i="2"/>
  <c r="B377" i="2"/>
  <c r="E377" i="2"/>
  <c r="A378" i="2"/>
  <c r="B378" i="2"/>
  <c r="E378" i="2"/>
  <c r="A379" i="2"/>
  <c r="B379" i="2"/>
  <c r="E379" i="2"/>
  <c r="A380" i="2"/>
  <c r="B380" i="2"/>
  <c r="E380" i="2"/>
  <c r="A381" i="2"/>
  <c r="B381" i="2"/>
  <c r="E381" i="2"/>
  <c r="A382" i="2"/>
  <c r="B382" i="2"/>
  <c r="E382" i="2"/>
  <c r="A383" i="2"/>
  <c r="B383" i="2"/>
  <c r="E383" i="2"/>
  <c r="A384" i="2"/>
  <c r="B384" i="2"/>
  <c r="E384" i="2"/>
  <c r="A385" i="2"/>
  <c r="B385" i="2"/>
  <c r="E385" i="2"/>
  <c r="A386" i="2"/>
  <c r="B386" i="2"/>
  <c r="E386" i="2"/>
  <c r="A387" i="2"/>
  <c r="B387" i="2"/>
  <c r="E387" i="2"/>
  <c r="A388" i="2"/>
  <c r="B388" i="2"/>
  <c r="E388" i="2"/>
  <c r="A389" i="2"/>
  <c r="B389" i="2"/>
  <c r="E389" i="2"/>
  <c r="A390" i="2"/>
  <c r="B390" i="2"/>
  <c r="E390" i="2"/>
  <c r="A391" i="2"/>
  <c r="B391" i="2"/>
  <c r="E391" i="2"/>
  <c r="A392" i="2"/>
  <c r="B392" i="2"/>
  <c r="E392" i="2"/>
  <c r="A393" i="2"/>
  <c r="B393" i="2"/>
  <c r="E393" i="2"/>
  <c r="A394" i="2"/>
  <c r="B394" i="2"/>
  <c r="E394" i="2"/>
  <c r="A395" i="2"/>
  <c r="B395" i="2"/>
  <c r="E395" i="2"/>
  <c r="A396" i="2"/>
  <c r="B396" i="2"/>
  <c r="E396" i="2"/>
  <c r="A397" i="2"/>
  <c r="B397" i="2"/>
  <c r="E397" i="2"/>
  <c r="A398" i="2"/>
  <c r="B398" i="2"/>
  <c r="E398" i="2"/>
  <c r="A399" i="2"/>
  <c r="B399" i="2"/>
  <c r="E399" i="2"/>
  <c r="A400" i="2"/>
  <c r="B400" i="2"/>
  <c r="E400" i="2"/>
  <c r="A401" i="2"/>
  <c r="B401" i="2"/>
  <c r="E401" i="2"/>
  <c r="A402" i="2"/>
  <c r="B402" i="2"/>
  <c r="E402" i="2"/>
  <c r="A403" i="2"/>
  <c r="B403" i="2"/>
  <c r="E403" i="2"/>
  <c r="A404" i="2"/>
  <c r="B404" i="2"/>
  <c r="E404" i="2"/>
  <c r="A405" i="2"/>
  <c r="B405" i="2"/>
  <c r="E405" i="2"/>
  <c r="A406" i="2"/>
  <c r="B406" i="2"/>
  <c r="E406" i="2"/>
  <c r="A407" i="2"/>
  <c r="B407" i="2"/>
  <c r="E407" i="2"/>
  <c r="A408" i="2"/>
  <c r="B408" i="2"/>
  <c r="E408" i="2"/>
  <c r="A409" i="2"/>
  <c r="B409" i="2"/>
  <c r="E409" i="2"/>
  <c r="A410" i="2"/>
  <c r="B410" i="2"/>
  <c r="E410" i="2"/>
  <c r="A411" i="2"/>
  <c r="B411" i="2"/>
  <c r="E411" i="2"/>
  <c r="A412" i="2"/>
  <c r="B412" i="2"/>
  <c r="E412" i="2"/>
  <c r="A413" i="2"/>
  <c r="B413" i="2"/>
  <c r="E413" i="2"/>
  <c r="A414" i="2"/>
  <c r="B414" i="2"/>
  <c r="E414" i="2"/>
  <c r="A415" i="2"/>
  <c r="B415" i="2"/>
  <c r="E415" i="2"/>
  <c r="A416" i="2"/>
  <c r="B416" i="2"/>
  <c r="E416" i="2"/>
  <c r="A417" i="2"/>
  <c r="B417" i="2"/>
  <c r="E417" i="2"/>
  <c r="A418" i="2"/>
  <c r="B418" i="2"/>
  <c r="E418" i="2"/>
  <c r="A419" i="2"/>
  <c r="B419" i="2"/>
  <c r="E419" i="2"/>
  <c r="A420" i="2"/>
  <c r="B420" i="2"/>
  <c r="E420" i="2"/>
  <c r="A421" i="2"/>
  <c r="B421" i="2"/>
  <c r="E421" i="2"/>
  <c r="A422" i="2"/>
  <c r="B422" i="2"/>
  <c r="E422" i="2"/>
  <c r="A423" i="2"/>
  <c r="B423" i="2"/>
  <c r="E423" i="2"/>
  <c r="A424" i="2"/>
  <c r="B424" i="2"/>
  <c r="E424" i="2"/>
  <c r="A425" i="2"/>
  <c r="B425" i="2"/>
  <c r="E425" i="2"/>
  <c r="A426" i="2"/>
  <c r="B426" i="2"/>
  <c r="E426" i="2"/>
  <c r="A427" i="2"/>
  <c r="B427" i="2"/>
  <c r="E427" i="2"/>
  <c r="A428" i="2"/>
  <c r="B428" i="2"/>
  <c r="E428" i="2"/>
  <c r="A429" i="2"/>
  <c r="B429" i="2"/>
  <c r="E429" i="2"/>
  <c r="A430" i="2"/>
  <c r="B430" i="2"/>
  <c r="E430" i="2"/>
  <c r="A431" i="2"/>
  <c r="B431" i="2"/>
  <c r="E431" i="2"/>
  <c r="A432" i="2"/>
  <c r="B432" i="2"/>
  <c r="E432" i="2"/>
  <c r="A433" i="2"/>
  <c r="B433" i="2"/>
  <c r="E433" i="2"/>
  <c r="A434" i="2"/>
  <c r="B434" i="2"/>
  <c r="E434" i="2"/>
  <c r="A435" i="2"/>
  <c r="B435" i="2"/>
  <c r="E435" i="2"/>
  <c r="A436" i="2"/>
  <c r="B436" i="2"/>
  <c r="E436" i="2"/>
  <c r="A437" i="2"/>
  <c r="B437" i="2"/>
  <c r="E437" i="2"/>
  <c r="A438" i="2"/>
  <c r="B438" i="2"/>
  <c r="E438" i="2"/>
  <c r="A439" i="2"/>
  <c r="B439" i="2"/>
  <c r="E439" i="2"/>
  <c r="A440" i="2"/>
  <c r="B440" i="2"/>
  <c r="E440" i="2"/>
  <c r="A441" i="2"/>
  <c r="B441" i="2"/>
  <c r="E441" i="2"/>
  <c r="A442" i="2"/>
  <c r="B442" i="2"/>
  <c r="E442" i="2"/>
  <c r="A443" i="2"/>
  <c r="B443" i="2"/>
  <c r="E443" i="2"/>
  <c r="A444" i="2"/>
  <c r="B444" i="2"/>
  <c r="E444" i="2"/>
  <c r="A445" i="2"/>
  <c r="B445" i="2"/>
  <c r="E445" i="2"/>
  <c r="A446" i="2"/>
  <c r="B446" i="2"/>
  <c r="E446" i="2"/>
  <c r="A447" i="2"/>
  <c r="B447" i="2"/>
  <c r="E447" i="2"/>
  <c r="A448" i="2"/>
  <c r="B448" i="2"/>
  <c r="E448" i="2"/>
  <c r="A449" i="2"/>
  <c r="B449" i="2"/>
  <c r="E449" i="2"/>
  <c r="A450" i="2"/>
  <c r="B450" i="2"/>
  <c r="E450" i="2"/>
  <c r="A451" i="2"/>
  <c r="B451" i="2"/>
  <c r="E451" i="2"/>
  <c r="A452" i="2"/>
  <c r="B452" i="2"/>
  <c r="E452" i="2"/>
  <c r="A453" i="2"/>
  <c r="B453" i="2"/>
  <c r="E453" i="2"/>
  <c r="A454" i="2"/>
  <c r="B454" i="2"/>
  <c r="E454" i="2"/>
  <c r="A455" i="2"/>
  <c r="B455" i="2"/>
  <c r="E455" i="2"/>
  <c r="A456" i="2"/>
  <c r="B456" i="2"/>
  <c r="E456" i="2"/>
  <c r="A457" i="2"/>
  <c r="B457" i="2"/>
  <c r="E457" i="2"/>
  <c r="A458" i="2"/>
  <c r="B458" i="2"/>
  <c r="E458" i="2"/>
  <c r="A459" i="2"/>
  <c r="B459" i="2"/>
  <c r="E459" i="2"/>
  <c r="A460" i="2"/>
  <c r="B460" i="2"/>
  <c r="E460" i="2"/>
  <c r="A461" i="2"/>
  <c r="B461" i="2"/>
  <c r="E461" i="2"/>
  <c r="A462" i="2"/>
  <c r="B462" i="2"/>
  <c r="E462" i="2"/>
  <c r="A463" i="2"/>
  <c r="B463" i="2"/>
  <c r="E463" i="2"/>
  <c r="A464" i="2"/>
  <c r="B464" i="2"/>
  <c r="E464" i="2"/>
  <c r="A465" i="2"/>
  <c r="B465" i="2"/>
  <c r="E465" i="2"/>
  <c r="A466" i="2"/>
  <c r="B466" i="2"/>
  <c r="E466" i="2"/>
  <c r="A467" i="2"/>
  <c r="B467" i="2"/>
  <c r="E467" i="2"/>
  <c r="A468" i="2"/>
  <c r="B468" i="2"/>
  <c r="E468" i="2"/>
  <c r="A469" i="2"/>
  <c r="B469" i="2"/>
  <c r="E469" i="2"/>
  <c r="A470" i="2"/>
  <c r="B470" i="2"/>
  <c r="E470" i="2"/>
  <c r="A471" i="2"/>
  <c r="B471" i="2"/>
  <c r="E471" i="2"/>
  <c r="A472" i="2"/>
  <c r="B472" i="2"/>
  <c r="E472" i="2"/>
  <c r="A473" i="2"/>
  <c r="B473" i="2"/>
  <c r="E473" i="2"/>
  <c r="A474" i="2"/>
  <c r="B474" i="2"/>
  <c r="E474" i="2"/>
  <c r="A475" i="2"/>
  <c r="B475" i="2"/>
  <c r="E475" i="2"/>
  <c r="A476" i="2"/>
  <c r="B476" i="2"/>
  <c r="E476" i="2"/>
  <c r="A477" i="2"/>
  <c r="B477" i="2"/>
  <c r="E477" i="2"/>
  <c r="A478" i="2"/>
  <c r="B478" i="2"/>
  <c r="E478" i="2"/>
  <c r="A479" i="2"/>
  <c r="B479" i="2"/>
  <c r="E479" i="2"/>
  <c r="A480" i="2"/>
  <c r="B480" i="2"/>
  <c r="E480" i="2"/>
  <c r="A481" i="2"/>
  <c r="B481" i="2"/>
  <c r="E481" i="2"/>
  <c r="A482" i="2"/>
  <c r="B482" i="2"/>
  <c r="E482" i="2"/>
  <c r="A483" i="2"/>
  <c r="B483" i="2"/>
  <c r="E483" i="2"/>
  <c r="A484" i="2"/>
  <c r="B484" i="2"/>
  <c r="E484" i="2"/>
  <c r="A485" i="2"/>
  <c r="B485" i="2"/>
  <c r="E485" i="2"/>
  <c r="A486" i="2"/>
  <c r="B486" i="2"/>
  <c r="E486" i="2"/>
  <c r="A487" i="2"/>
  <c r="B487" i="2"/>
  <c r="E487" i="2"/>
  <c r="A488" i="2"/>
  <c r="B488" i="2"/>
  <c r="E488" i="2"/>
  <c r="A489" i="2"/>
  <c r="B489" i="2"/>
  <c r="E489" i="2"/>
  <c r="A490" i="2"/>
  <c r="B490" i="2"/>
  <c r="E490" i="2"/>
  <c r="A491" i="2"/>
  <c r="B491" i="2"/>
  <c r="E491" i="2"/>
  <c r="A492" i="2"/>
  <c r="B492" i="2"/>
  <c r="E492" i="2"/>
  <c r="A493" i="2"/>
  <c r="B493" i="2"/>
  <c r="E493" i="2"/>
  <c r="A494" i="2"/>
  <c r="B494" i="2"/>
  <c r="E494" i="2"/>
  <c r="A495" i="2"/>
  <c r="B495" i="2"/>
  <c r="E495" i="2"/>
  <c r="A496" i="2"/>
  <c r="B496" i="2"/>
  <c r="E496" i="2"/>
  <c r="A497" i="2"/>
  <c r="B497" i="2"/>
  <c r="E497" i="2"/>
  <c r="A498" i="2"/>
  <c r="B498" i="2"/>
  <c r="E498" i="2"/>
  <c r="A499" i="2"/>
  <c r="B499" i="2"/>
  <c r="E499" i="2"/>
  <c r="A500" i="2"/>
  <c r="B500" i="2"/>
  <c r="E500" i="2"/>
  <c r="A501" i="2"/>
  <c r="B501" i="2"/>
  <c r="E501" i="2"/>
  <c r="A502" i="2"/>
  <c r="B502" i="2"/>
  <c r="E502" i="2"/>
  <c r="A503" i="2"/>
  <c r="B503" i="2"/>
  <c r="E503" i="2"/>
  <c r="A504" i="2"/>
  <c r="B504" i="2"/>
  <c r="E504" i="2"/>
  <c r="A505" i="2"/>
  <c r="B505" i="2"/>
  <c r="E505" i="2"/>
  <c r="A506" i="2"/>
  <c r="B506" i="2"/>
  <c r="E506" i="2"/>
  <c r="A507" i="2"/>
  <c r="B507" i="2"/>
  <c r="E507" i="2"/>
  <c r="A508" i="2"/>
  <c r="B508" i="2"/>
  <c r="E508" i="2"/>
  <c r="A509" i="2"/>
  <c r="B509" i="2"/>
  <c r="E509" i="2"/>
  <c r="A510" i="2"/>
  <c r="B510" i="2"/>
  <c r="E510" i="2"/>
  <c r="A511" i="2"/>
  <c r="B511" i="2"/>
  <c r="E511" i="2"/>
  <c r="A512" i="2"/>
  <c r="B512" i="2"/>
  <c r="E512" i="2"/>
  <c r="A513" i="2"/>
  <c r="B513" i="2"/>
  <c r="E513" i="2"/>
  <c r="A514" i="2"/>
  <c r="B514" i="2"/>
  <c r="E514" i="2"/>
  <c r="A515" i="2"/>
  <c r="B515" i="2"/>
  <c r="E515" i="2"/>
  <c r="A516" i="2"/>
  <c r="B516" i="2"/>
  <c r="E516" i="2"/>
  <c r="A517" i="2"/>
  <c r="B517" i="2"/>
  <c r="E517" i="2"/>
  <c r="A518" i="2"/>
  <c r="B518" i="2"/>
  <c r="E518" i="2"/>
  <c r="A519" i="2"/>
  <c r="B519" i="2"/>
  <c r="E519" i="2"/>
  <c r="A520" i="2"/>
  <c r="B520" i="2"/>
  <c r="E520" i="2"/>
  <c r="A521" i="2"/>
  <c r="B521" i="2"/>
  <c r="E521" i="2"/>
  <c r="A522" i="2"/>
  <c r="B522" i="2"/>
  <c r="E522" i="2"/>
  <c r="A523" i="2"/>
  <c r="B523" i="2"/>
  <c r="E523" i="2"/>
  <c r="A524" i="2"/>
  <c r="B524" i="2"/>
  <c r="E524" i="2"/>
  <c r="A525" i="2"/>
  <c r="B525" i="2"/>
  <c r="E525" i="2"/>
  <c r="A526" i="2"/>
  <c r="B526" i="2"/>
  <c r="E526" i="2"/>
  <c r="A527" i="2"/>
  <c r="B527" i="2"/>
  <c r="E527" i="2"/>
  <c r="A528" i="2"/>
  <c r="B528" i="2"/>
  <c r="E528" i="2"/>
  <c r="A529" i="2"/>
  <c r="B529" i="2"/>
  <c r="E529" i="2"/>
  <c r="A530" i="2"/>
  <c r="B530" i="2"/>
  <c r="E530" i="2"/>
  <c r="A531" i="2"/>
  <c r="B531" i="2"/>
  <c r="E531" i="2"/>
  <c r="A532" i="2"/>
  <c r="B532" i="2"/>
  <c r="E532" i="2"/>
  <c r="A533" i="2"/>
  <c r="B533" i="2"/>
  <c r="E533" i="2"/>
  <c r="A534" i="2"/>
  <c r="B534" i="2"/>
  <c r="E534" i="2"/>
  <c r="A535" i="2"/>
  <c r="B535" i="2"/>
  <c r="E535" i="2"/>
  <c r="A536" i="2"/>
  <c r="B536" i="2"/>
  <c r="E536" i="2"/>
  <c r="A537" i="2"/>
  <c r="B537" i="2"/>
  <c r="E537" i="2"/>
  <c r="A538" i="2"/>
  <c r="B538" i="2"/>
  <c r="E538" i="2"/>
  <c r="A539" i="2"/>
  <c r="B539" i="2"/>
  <c r="E539" i="2"/>
  <c r="A540" i="2"/>
  <c r="B540" i="2"/>
  <c r="E540" i="2"/>
  <c r="A541" i="2"/>
  <c r="B541" i="2"/>
  <c r="E541" i="2"/>
  <c r="A542" i="2"/>
  <c r="B542" i="2"/>
  <c r="E542" i="2"/>
  <c r="A543" i="2"/>
  <c r="B543" i="2"/>
  <c r="E543" i="2"/>
  <c r="A544" i="2"/>
  <c r="B544" i="2"/>
  <c r="E544" i="2"/>
  <c r="A545" i="2"/>
  <c r="B545" i="2"/>
  <c r="E545" i="2"/>
  <c r="A546" i="2"/>
  <c r="B546" i="2"/>
  <c r="E546" i="2"/>
  <c r="A547" i="2"/>
  <c r="B547" i="2"/>
  <c r="E547" i="2"/>
  <c r="A548" i="2"/>
  <c r="B548" i="2"/>
  <c r="E548" i="2"/>
  <c r="A549" i="2"/>
  <c r="B549" i="2"/>
  <c r="E549" i="2"/>
  <c r="A550" i="2"/>
  <c r="B550" i="2"/>
  <c r="E550" i="2"/>
  <c r="A551" i="2"/>
  <c r="B551" i="2"/>
  <c r="E551" i="2"/>
  <c r="A552" i="2"/>
  <c r="B552" i="2"/>
  <c r="E552" i="2"/>
  <c r="A553" i="2"/>
  <c r="B553" i="2"/>
  <c r="E553" i="2"/>
  <c r="A554" i="2"/>
  <c r="B554" i="2"/>
  <c r="E554" i="2"/>
  <c r="A555" i="2"/>
  <c r="B555" i="2"/>
  <c r="E555" i="2"/>
  <c r="A556" i="2"/>
  <c r="B556" i="2"/>
  <c r="E556" i="2"/>
  <c r="A557" i="2"/>
  <c r="B557" i="2"/>
  <c r="E557" i="2"/>
  <c r="A558" i="2"/>
  <c r="B558" i="2"/>
  <c r="E558" i="2"/>
  <c r="A559" i="2"/>
  <c r="B559" i="2"/>
  <c r="E559" i="2"/>
  <c r="A560" i="2"/>
  <c r="B560" i="2"/>
  <c r="E560" i="2"/>
  <c r="A561" i="2"/>
  <c r="B561" i="2"/>
  <c r="E561" i="2"/>
  <c r="A562" i="2"/>
  <c r="B562" i="2"/>
  <c r="E562" i="2"/>
  <c r="A563" i="2"/>
  <c r="B563" i="2"/>
  <c r="E563" i="2"/>
  <c r="A564" i="2"/>
  <c r="B564" i="2"/>
  <c r="E564" i="2"/>
  <c r="A565" i="2"/>
  <c r="B565" i="2"/>
  <c r="E565" i="2"/>
  <c r="A566" i="2"/>
  <c r="B566" i="2"/>
  <c r="E566" i="2"/>
  <c r="A567" i="2"/>
  <c r="B567" i="2"/>
  <c r="E567" i="2"/>
  <c r="A568" i="2"/>
  <c r="B568" i="2"/>
  <c r="E568" i="2"/>
  <c r="A569" i="2"/>
  <c r="B569" i="2"/>
  <c r="E569" i="2"/>
  <c r="A570" i="2"/>
  <c r="B570" i="2"/>
  <c r="E570" i="2"/>
  <c r="A571" i="2"/>
  <c r="B571" i="2"/>
  <c r="E571" i="2"/>
  <c r="A572" i="2"/>
  <c r="B572" i="2"/>
  <c r="E572" i="2"/>
  <c r="A573" i="2"/>
  <c r="B573" i="2"/>
  <c r="E573" i="2"/>
  <c r="A574" i="2"/>
  <c r="B574" i="2"/>
  <c r="E574" i="2"/>
  <c r="A575" i="2"/>
  <c r="B575" i="2"/>
  <c r="E575" i="2"/>
  <c r="A576" i="2"/>
  <c r="B576" i="2"/>
  <c r="E576" i="2"/>
  <c r="A577" i="2"/>
  <c r="B577" i="2"/>
  <c r="E577" i="2"/>
  <c r="A578" i="2"/>
  <c r="B578" i="2"/>
  <c r="E578" i="2"/>
  <c r="A579" i="2"/>
  <c r="B579" i="2"/>
  <c r="E579" i="2"/>
  <c r="A580" i="2"/>
  <c r="B580" i="2"/>
  <c r="E580" i="2"/>
  <c r="A581" i="2"/>
  <c r="B581" i="2"/>
  <c r="E581" i="2"/>
  <c r="A582" i="2"/>
  <c r="B582" i="2"/>
  <c r="E582" i="2"/>
  <c r="A583" i="2"/>
  <c r="B583" i="2"/>
  <c r="E583" i="2"/>
  <c r="A584" i="2"/>
  <c r="B584" i="2"/>
  <c r="E584" i="2"/>
  <c r="A585" i="2"/>
  <c r="B585" i="2"/>
  <c r="E585" i="2"/>
  <c r="A586" i="2"/>
  <c r="B586" i="2"/>
  <c r="E586" i="2"/>
  <c r="A587" i="2"/>
  <c r="B587" i="2"/>
  <c r="E587" i="2"/>
  <c r="A588" i="2"/>
  <c r="B588" i="2"/>
  <c r="E588" i="2"/>
  <c r="A589" i="2"/>
  <c r="B589" i="2"/>
  <c r="E589" i="2"/>
  <c r="A590" i="2"/>
  <c r="B590" i="2"/>
  <c r="E590" i="2"/>
  <c r="A591" i="2"/>
  <c r="B591" i="2"/>
  <c r="E591" i="2"/>
  <c r="A592" i="2"/>
  <c r="B592" i="2"/>
  <c r="E592" i="2"/>
  <c r="A593" i="2"/>
  <c r="B593" i="2"/>
  <c r="E593" i="2"/>
  <c r="A594" i="2"/>
  <c r="B594" i="2"/>
  <c r="E594" i="2"/>
  <c r="A595" i="2"/>
  <c r="B595" i="2"/>
  <c r="E595" i="2"/>
  <c r="A596" i="2"/>
  <c r="B596" i="2"/>
  <c r="E596" i="2"/>
  <c r="A597" i="2"/>
  <c r="B597" i="2"/>
  <c r="E597" i="2"/>
  <c r="A598" i="2"/>
  <c r="B598" i="2"/>
  <c r="E598" i="2"/>
  <c r="A599" i="2"/>
  <c r="B599" i="2"/>
  <c r="E599" i="2"/>
  <c r="A600" i="2"/>
  <c r="B600" i="2"/>
  <c r="E600" i="2"/>
  <c r="A601" i="2"/>
  <c r="B601" i="2"/>
  <c r="E601" i="2"/>
  <c r="A602" i="2"/>
  <c r="B602" i="2"/>
  <c r="E602" i="2"/>
  <c r="A603" i="2"/>
  <c r="B603" i="2"/>
  <c r="E603" i="2"/>
  <c r="A604" i="2"/>
  <c r="B604" i="2"/>
  <c r="E604" i="2"/>
  <c r="A605" i="2"/>
  <c r="B605" i="2"/>
  <c r="E605" i="2"/>
  <c r="A606" i="2"/>
  <c r="B606" i="2"/>
  <c r="E606" i="2"/>
  <c r="A607" i="2"/>
  <c r="B607" i="2"/>
  <c r="E607" i="2"/>
  <c r="A608" i="2"/>
  <c r="B608" i="2"/>
  <c r="E608" i="2"/>
  <c r="A609" i="2"/>
  <c r="B609" i="2"/>
  <c r="E609" i="2"/>
  <c r="A610" i="2"/>
  <c r="B610" i="2"/>
  <c r="E610" i="2"/>
  <c r="A611" i="2"/>
  <c r="B611" i="2"/>
  <c r="E611" i="2"/>
  <c r="A612" i="2"/>
  <c r="B612" i="2"/>
  <c r="E612" i="2"/>
  <c r="A613" i="2"/>
  <c r="B613" i="2"/>
  <c r="E613" i="2"/>
  <c r="A614" i="2"/>
  <c r="B614" i="2"/>
  <c r="E614" i="2"/>
  <c r="A615" i="2"/>
  <c r="B615" i="2"/>
  <c r="E615" i="2"/>
  <c r="A616" i="2"/>
  <c r="B616" i="2"/>
  <c r="E616" i="2"/>
  <c r="A617" i="2"/>
  <c r="B617" i="2"/>
  <c r="E617" i="2"/>
  <c r="A618" i="2"/>
  <c r="B618" i="2"/>
  <c r="E618" i="2"/>
  <c r="A619" i="2"/>
  <c r="B619" i="2"/>
  <c r="E619" i="2"/>
  <c r="A620" i="2"/>
  <c r="B620" i="2"/>
  <c r="E620" i="2"/>
  <c r="A621" i="2"/>
  <c r="B621" i="2"/>
  <c r="E621" i="2"/>
  <c r="A622" i="2"/>
  <c r="B622" i="2"/>
  <c r="E622" i="2"/>
  <c r="A623" i="2"/>
  <c r="B623" i="2"/>
  <c r="E623" i="2"/>
  <c r="A624" i="2"/>
  <c r="B624" i="2"/>
  <c r="E624" i="2"/>
  <c r="A625" i="2"/>
  <c r="B625" i="2"/>
  <c r="E625" i="2"/>
  <c r="A626" i="2"/>
  <c r="B626" i="2"/>
  <c r="E626" i="2"/>
  <c r="A627" i="2"/>
  <c r="B627" i="2"/>
  <c r="E627" i="2"/>
  <c r="A628" i="2"/>
  <c r="B628" i="2"/>
  <c r="E628" i="2"/>
  <c r="A629" i="2"/>
  <c r="B629" i="2"/>
  <c r="E629" i="2"/>
  <c r="A630" i="2"/>
  <c r="B630" i="2"/>
  <c r="E630" i="2"/>
  <c r="A631" i="2"/>
  <c r="B631" i="2"/>
  <c r="E631" i="2"/>
  <c r="A632" i="2"/>
  <c r="B632" i="2"/>
  <c r="E632" i="2"/>
  <c r="A633" i="2"/>
  <c r="B633" i="2"/>
  <c r="E633" i="2"/>
  <c r="A634" i="2"/>
  <c r="B634" i="2"/>
  <c r="E634" i="2"/>
  <c r="A635" i="2"/>
  <c r="B635" i="2"/>
  <c r="E635" i="2"/>
  <c r="A636" i="2"/>
  <c r="B636" i="2"/>
  <c r="E636" i="2"/>
  <c r="A637" i="2"/>
  <c r="B637" i="2"/>
  <c r="E637" i="2"/>
  <c r="A638" i="2"/>
  <c r="B638" i="2"/>
  <c r="E638" i="2"/>
  <c r="A639" i="2"/>
  <c r="B639" i="2"/>
  <c r="E639" i="2"/>
  <c r="A640" i="2"/>
  <c r="B640" i="2"/>
  <c r="E640" i="2"/>
  <c r="A641" i="2"/>
  <c r="B641" i="2"/>
  <c r="E641" i="2"/>
  <c r="A642" i="2"/>
  <c r="B642" i="2"/>
  <c r="E642" i="2"/>
  <c r="A643" i="2"/>
  <c r="B643" i="2"/>
  <c r="E643" i="2"/>
  <c r="A644" i="2"/>
  <c r="B644" i="2"/>
  <c r="E644" i="2"/>
  <c r="A645" i="2"/>
  <c r="B645" i="2"/>
  <c r="E645" i="2"/>
  <c r="A646" i="2"/>
  <c r="B646" i="2"/>
  <c r="E646" i="2"/>
  <c r="A647" i="2"/>
  <c r="B647" i="2"/>
  <c r="E647" i="2"/>
  <c r="A648" i="2"/>
  <c r="B648" i="2"/>
  <c r="E648" i="2"/>
  <c r="A649" i="2"/>
  <c r="B649" i="2"/>
  <c r="E649" i="2"/>
  <c r="A650" i="2"/>
  <c r="B650" i="2"/>
  <c r="E650" i="2"/>
  <c r="A651" i="2"/>
  <c r="B651" i="2"/>
  <c r="E651" i="2"/>
  <c r="A652" i="2"/>
  <c r="B652" i="2"/>
  <c r="E652" i="2"/>
  <c r="A653" i="2"/>
  <c r="B653" i="2"/>
  <c r="E653" i="2"/>
  <c r="A654" i="2"/>
  <c r="B654" i="2"/>
  <c r="E654" i="2"/>
  <c r="A655" i="2"/>
  <c r="B655" i="2"/>
  <c r="E655" i="2"/>
  <c r="A656" i="2"/>
  <c r="B656" i="2"/>
  <c r="E656" i="2"/>
  <c r="A657" i="2"/>
  <c r="B657" i="2"/>
  <c r="E657" i="2"/>
  <c r="A658" i="2"/>
  <c r="B658" i="2"/>
  <c r="E658" i="2"/>
  <c r="A659" i="2"/>
  <c r="B659" i="2"/>
  <c r="E659" i="2"/>
  <c r="A660" i="2"/>
  <c r="B660" i="2"/>
  <c r="E660" i="2"/>
  <c r="A661" i="2"/>
  <c r="B661" i="2"/>
  <c r="E661" i="2"/>
  <c r="A662" i="2"/>
  <c r="B662" i="2"/>
  <c r="E662" i="2"/>
  <c r="A663" i="2"/>
  <c r="B663" i="2"/>
  <c r="E663" i="2"/>
  <c r="A664" i="2"/>
  <c r="B664" i="2"/>
  <c r="E664" i="2"/>
  <c r="A665" i="2"/>
  <c r="B665" i="2"/>
  <c r="E665" i="2"/>
  <c r="A666" i="2"/>
  <c r="B666" i="2"/>
  <c r="E666" i="2"/>
  <c r="A667" i="2"/>
  <c r="B667" i="2"/>
  <c r="E667" i="2"/>
  <c r="A668" i="2"/>
  <c r="B668" i="2"/>
  <c r="E668" i="2"/>
  <c r="A669" i="2"/>
  <c r="B669" i="2"/>
  <c r="E669" i="2"/>
  <c r="A670" i="2"/>
  <c r="B670" i="2"/>
  <c r="E670" i="2"/>
  <c r="A671" i="2"/>
  <c r="B671" i="2"/>
  <c r="E671" i="2"/>
  <c r="A672" i="2"/>
  <c r="B672" i="2"/>
  <c r="E672" i="2"/>
  <c r="A673" i="2"/>
  <c r="B673" i="2"/>
  <c r="E673" i="2"/>
  <c r="A674" i="2"/>
  <c r="B674" i="2"/>
  <c r="E674" i="2"/>
  <c r="A675" i="2"/>
  <c r="B675" i="2"/>
  <c r="E675" i="2"/>
  <c r="A676" i="2"/>
  <c r="B676" i="2"/>
  <c r="E676" i="2"/>
  <c r="A677" i="2"/>
  <c r="B677" i="2"/>
  <c r="E677" i="2"/>
  <c r="A678" i="2"/>
  <c r="B678" i="2"/>
  <c r="E678" i="2"/>
  <c r="A679" i="2"/>
  <c r="B679" i="2"/>
  <c r="E679" i="2"/>
  <c r="A680" i="2"/>
  <c r="B680" i="2"/>
  <c r="E680" i="2"/>
  <c r="A681" i="2"/>
  <c r="B681" i="2"/>
  <c r="E681" i="2"/>
  <c r="A682" i="2"/>
  <c r="B682" i="2"/>
  <c r="E682" i="2"/>
  <c r="A683" i="2"/>
  <c r="B683" i="2"/>
  <c r="E683" i="2"/>
  <c r="A684" i="2"/>
  <c r="B684" i="2"/>
  <c r="E684" i="2"/>
  <c r="A685" i="2"/>
  <c r="B685" i="2"/>
  <c r="E685" i="2"/>
  <c r="A686" i="2"/>
  <c r="B686" i="2"/>
  <c r="E686" i="2"/>
  <c r="A687" i="2"/>
  <c r="B687" i="2"/>
  <c r="E687" i="2"/>
  <c r="A688" i="2"/>
  <c r="B688" i="2"/>
  <c r="E688" i="2"/>
  <c r="A689" i="2"/>
  <c r="B689" i="2"/>
  <c r="E689" i="2"/>
  <c r="A690" i="2"/>
  <c r="B690" i="2"/>
  <c r="E690" i="2"/>
  <c r="A691" i="2"/>
  <c r="B691" i="2"/>
  <c r="E691" i="2"/>
  <c r="A692" i="2"/>
  <c r="B692" i="2"/>
  <c r="E692" i="2"/>
  <c r="A693" i="2"/>
  <c r="B693" i="2"/>
  <c r="E693" i="2"/>
  <c r="A694" i="2"/>
  <c r="B694" i="2"/>
  <c r="E694" i="2"/>
  <c r="A695" i="2"/>
  <c r="B695" i="2"/>
  <c r="E695" i="2"/>
  <c r="A696" i="2"/>
  <c r="B696" i="2"/>
  <c r="E696" i="2"/>
  <c r="A697" i="2"/>
  <c r="B697" i="2"/>
  <c r="E697" i="2"/>
  <c r="A698" i="2"/>
  <c r="B698" i="2"/>
  <c r="E698" i="2"/>
  <c r="A699" i="2"/>
  <c r="B699" i="2"/>
  <c r="E699" i="2"/>
  <c r="A700" i="2"/>
  <c r="B700" i="2"/>
  <c r="E700" i="2"/>
  <c r="A701" i="2"/>
  <c r="B701" i="2"/>
  <c r="E701" i="2"/>
  <c r="A702" i="2"/>
  <c r="B702" i="2"/>
  <c r="E702" i="2"/>
  <c r="A703" i="2"/>
  <c r="B703" i="2"/>
  <c r="E703" i="2"/>
  <c r="A704" i="2"/>
  <c r="B704" i="2"/>
  <c r="E704" i="2"/>
  <c r="A705" i="2"/>
  <c r="B705" i="2"/>
  <c r="E705" i="2"/>
  <c r="A706" i="2"/>
  <c r="B706" i="2"/>
  <c r="E706" i="2"/>
  <c r="A707" i="2"/>
  <c r="B707" i="2"/>
  <c r="E707" i="2"/>
  <c r="A708" i="2"/>
  <c r="B708" i="2"/>
  <c r="E708" i="2"/>
  <c r="A709" i="2"/>
  <c r="B709" i="2"/>
  <c r="E709" i="2"/>
  <c r="A710" i="2"/>
  <c r="B710" i="2"/>
  <c r="E710" i="2"/>
  <c r="A711" i="2"/>
  <c r="B711" i="2"/>
  <c r="E711" i="2"/>
  <c r="A712" i="2"/>
  <c r="B712" i="2"/>
  <c r="E712" i="2"/>
  <c r="A713" i="2"/>
  <c r="B713" i="2"/>
  <c r="E713" i="2"/>
  <c r="A714" i="2"/>
  <c r="B714" i="2"/>
  <c r="E714" i="2"/>
  <c r="A715" i="2"/>
  <c r="B715" i="2"/>
  <c r="E715" i="2"/>
  <c r="A716" i="2"/>
  <c r="B716" i="2"/>
  <c r="E716" i="2"/>
  <c r="A717" i="2"/>
  <c r="B717" i="2"/>
  <c r="E717" i="2"/>
  <c r="A718" i="2"/>
  <c r="B718" i="2"/>
  <c r="E718" i="2"/>
  <c r="A719" i="2"/>
  <c r="B719" i="2"/>
  <c r="E719" i="2"/>
  <c r="A720" i="2"/>
  <c r="B720" i="2"/>
  <c r="E720" i="2"/>
  <c r="A721" i="2"/>
  <c r="B721" i="2"/>
  <c r="E721" i="2"/>
  <c r="A722" i="2"/>
  <c r="B722" i="2"/>
  <c r="E722" i="2"/>
  <c r="A723" i="2"/>
  <c r="B723" i="2"/>
  <c r="E723" i="2"/>
  <c r="A724" i="2"/>
  <c r="B724" i="2"/>
  <c r="E724" i="2"/>
  <c r="A725" i="2"/>
  <c r="B725" i="2"/>
  <c r="E725" i="2"/>
  <c r="A726" i="2"/>
  <c r="B726" i="2"/>
  <c r="E726" i="2"/>
  <c r="A727" i="2"/>
  <c r="B727" i="2"/>
  <c r="E727" i="2"/>
  <c r="A728" i="2"/>
  <c r="B728" i="2"/>
  <c r="E728" i="2"/>
  <c r="A729" i="2"/>
  <c r="B729" i="2"/>
  <c r="E729" i="2"/>
  <c r="A730" i="2"/>
  <c r="B730" i="2"/>
  <c r="E730" i="2"/>
  <c r="A731" i="2"/>
  <c r="B731" i="2"/>
  <c r="E731" i="2"/>
  <c r="A732" i="2"/>
  <c r="B732" i="2"/>
  <c r="E732" i="2"/>
  <c r="A733" i="2"/>
  <c r="B733" i="2"/>
  <c r="E733" i="2"/>
  <c r="A734" i="2"/>
  <c r="B734" i="2"/>
  <c r="E734" i="2"/>
  <c r="A735" i="2"/>
  <c r="B735" i="2"/>
  <c r="E735" i="2"/>
  <c r="A736" i="2"/>
  <c r="B736" i="2"/>
  <c r="E736" i="2"/>
  <c r="A737" i="2"/>
  <c r="B737" i="2"/>
  <c r="E737" i="2"/>
  <c r="A738" i="2"/>
  <c r="B738" i="2"/>
  <c r="E738" i="2"/>
  <c r="A739" i="2"/>
  <c r="B739" i="2"/>
  <c r="E739" i="2"/>
  <c r="A740" i="2"/>
  <c r="B740" i="2"/>
  <c r="E740" i="2"/>
  <c r="A741" i="2"/>
  <c r="B741" i="2"/>
  <c r="E741" i="2"/>
  <c r="A742" i="2"/>
  <c r="B742" i="2"/>
  <c r="E742" i="2"/>
  <c r="A743" i="2"/>
  <c r="B743" i="2"/>
  <c r="E743" i="2"/>
  <c r="A744" i="2"/>
  <c r="B744" i="2"/>
  <c r="E744" i="2"/>
  <c r="A745" i="2"/>
  <c r="B745" i="2"/>
  <c r="E745" i="2"/>
  <c r="A746" i="2"/>
  <c r="B746" i="2"/>
  <c r="E746" i="2"/>
  <c r="A747" i="2"/>
  <c r="B747" i="2"/>
  <c r="E747" i="2"/>
  <c r="A748" i="2"/>
  <c r="B748" i="2"/>
  <c r="E748" i="2"/>
  <c r="A749" i="2"/>
  <c r="B749" i="2"/>
  <c r="E749" i="2"/>
  <c r="A750" i="2"/>
  <c r="B750" i="2"/>
  <c r="E750" i="2"/>
  <c r="A751" i="2"/>
  <c r="B751" i="2"/>
  <c r="E751" i="2"/>
  <c r="A752" i="2"/>
  <c r="B752" i="2"/>
  <c r="E752" i="2"/>
  <c r="A753" i="2"/>
  <c r="B753" i="2"/>
  <c r="E753" i="2"/>
  <c r="A754" i="2"/>
  <c r="B754" i="2"/>
  <c r="E754" i="2"/>
  <c r="A755" i="2"/>
  <c r="B755" i="2"/>
  <c r="E755" i="2"/>
  <c r="A756" i="2"/>
  <c r="B756" i="2"/>
  <c r="E756" i="2"/>
  <c r="A757" i="2"/>
  <c r="B757" i="2"/>
  <c r="E757" i="2"/>
  <c r="A758" i="2"/>
  <c r="B758" i="2"/>
  <c r="E758" i="2"/>
  <c r="A759" i="2"/>
  <c r="B759" i="2"/>
  <c r="E759" i="2"/>
  <c r="A760" i="2"/>
  <c r="B760" i="2"/>
  <c r="E760" i="2"/>
  <c r="A761" i="2"/>
  <c r="B761" i="2"/>
  <c r="E761" i="2"/>
  <c r="A762" i="2"/>
  <c r="B762" i="2"/>
  <c r="E762" i="2"/>
  <c r="A763" i="2"/>
  <c r="B763" i="2"/>
  <c r="E763" i="2"/>
  <c r="A764" i="2"/>
  <c r="B764" i="2"/>
  <c r="E764" i="2"/>
  <c r="A765" i="2"/>
  <c r="B765" i="2"/>
  <c r="E765" i="2"/>
  <c r="A766" i="2"/>
  <c r="B766" i="2"/>
  <c r="E766" i="2"/>
  <c r="A767" i="2"/>
  <c r="B767" i="2"/>
  <c r="E767" i="2"/>
  <c r="A768" i="2"/>
  <c r="B768" i="2"/>
  <c r="E768" i="2"/>
  <c r="A769" i="2"/>
  <c r="B769" i="2"/>
  <c r="E769" i="2"/>
  <c r="A770" i="2"/>
  <c r="B770" i="2"/>
  <c r="E770" i="2"/>
  <c r="A771" i="2"/>
  <c r="B771" i="2"/>
  <c r="E771" i="2"/>
  <c r="A772" i="2"/>
  <c r="B772" i="2"/>
  <c r="E772" i="2"/>
  <c r="A773" i="2"/>
  <c r="B773" i="2"/>
  <c r="E773" i="2"/>
  <c r="A774" i="2"/>
  <c r="B774" i="2"/>
  <c r="E774" i="2"/>
  <c r="A775" i="2"/>
  <c r="B775" i="2"/>
  <c r="E775" i="2"/>
  <c r="A776" i="2"/>
  <c r="B776" i="2"/>
  <c r="E776" i="2"/>
  <c r="A777" i="2"/>
  <c r="B777" i="2"/>
  <c r="E777" i="2"/>
  <c r="A778" i="2"/>
  <c r="B778" i="2"/>
  <c r="E778" i="2"/>
  <c r="A779" i="2"/>
  <c r="B779" i="2"/>
  <c r="E779" i="2"/>
  <c r="A780" i="2"/>
  <c r="B780" i="2"/>
  <c r="E780" i="2"/>
  <c r="A781" i="2"/>
  <c r="B781" i="2"/>
  <c r="E781" i="2"/>
  <c r="A782" i="2"/>
  <c r="B782" i="2"/>
  <c r="E782" i="2"/>
  <c r="A783" i="2"/>
  <c r="B783" i="2"/>
  <c r="E783" i="2"/>
  <c r="A784" i="2"/>
  <c r="B784" i="2"/>
  <c r="E784" i="2"/>
  <c r="A785" i="2"/>
  <c r="B785" i="2"/>
  <c r="E785" i="2"/>
  <c r="A786" i="2"/>
  <c r="B786" i="2"/>
  <c r="E786" i="2"/>
  <c r="A787" i="2"/>
  <c r="B787" i="2"/>
  <c r="E787" i="2"/>
  <c r="A788" i="2"/>
  <c r="B788" i="2"/>
  <c r="E788" i="2"/>
  <c r="A789" i="2"/>
  <c r="B789" i="2"/>
  <c r="E789" i="2"/>
  <c r="A790" i="2"/>
  <c r="B790" i="2"/>
  <c r="E790" i="2"/>
  <c r="A791" i="2"/>
  <c r="B791" i="2"/>
  <c r="E791" i="2"/>
  <c r="A792" i="2"/>
  <c r="B792" i="2"/>
  <c r="E792" i="2"/>
  <c r="A793" i="2"/>
  <c r="B793" i="2"/>
  <c r="E793" i="2"/>
  <c r="A794" i="2"/>
  <c r="B794" i="2"/>
  <c r="E794" i="2"/>
  <c r="A795" i="2"/>
  <c r="B795" i="2"/>
  <c r="E795" i="2"/>
  <c r="A796" i="2"/>
  <c r="B796" i="2"/>
  <c r="E796" i="2"/>
  <c r="A797" i="2"/>
  <c r="B797" i="2"/>
  <c r="E797" i="2"/>
  <c r="A798" i="2"/>
  <c r="B798" i="2"/>
  <c r="E798" i="2"/>
  <c r="A799" i="2"/>
  <c r="B799" i="2"/>
  <c r="E799" i="2"/>
  <c r="A800" i="2"/>
  <c r="B800" i="2"/>
  <c r="E800" i="2"/>
  <c r="A801" i="2"/>
  <c r="B801" i="2"/>
  <c r="E801" i="2"/>
  <c r="A802" i="2"/>
  <c r="B802" i="2"/>
  <c r="E802" i="2"/>
  <c r="A803" i="2"/>
  <c r="B803" i="2"/>
  <c r="E803" i="2"/>
  <c r="A804" i="2"/>
  <c r="B804" i="2"/>
  <c r="E804" i="2"/>
  <c r="A805" i="2"/>
  <c r="B805" i="2"/>
  <c r="E805" i="2"/>
  <c r="A806" i="2"/>
  <c r="B806" i="2"/>
  <c r="E806" i="2"/>
  <c r="A807" i="2"/>
  <c r="B807" i="2"/>
  <c r="E807" i="2"/>
  <c r="A808" i="2"/>
  <c r="B808" i="2"/>
  <c r="E808" i="2"/>
  <c r="A809" i="2"/>
  <c r="B809" i="2"/>
  <c r="E809" i="2"/>
  <c r="A810" i="2"/>
  <c r="B810" i="2"/>
  <c r="E810" i="2"/>
  <c r="A811" i="2"/>
  <c r="B811" i="2"/>
  <c r="E811" i="2"/>
  <c r="A812" i="2"/>
  <c r="B812" i="2"/>
  <c r="E812" i="2"/>
  <c r="A813" i="2"/>
  <c r="B813" i="2"/>
  <c r="E813" i="2"/>
  <c r="A814" i="2"/>
  <c r="B814" i="2"/>
  <c r="E814" i="2"/>
  <c r="A815" i="2"/>
  <c r="B815" i="2"/>
  <c r="E815" i="2"/>
  <c r="A816" i="2"/>
  <c r="B816" i="2"/>
  <c r="E816" i="2"/>
  <c r="A817" i="2"/>
  <c r="B817" i="2"/>
  <c r="E817" i="2"/>
  <c r="A818" i="2"/>
  <c r="B818" i="2"/>
  <c r="E818" i="2"/>
  <c r="A819" i="2"/>
  <c r="B819" i="2"/>
  <c r="E819" i="2"/>
  <c r="A820" i="2"/>
  <c r="B820" i="2"/>
  <c r="E820" i="2"/>
  <c r="A821" i="2"/>
  <c r="B821" i="2"/>
  <c r="E821" i="2"/>
  <c r="A822" i="2"/>
  <c r="B822" i="2"/>
  <c r="E822" i="2"/>
  <c r="A823" i="2"/>
  <c r="B823" i="2"/>
  <c r="E823" i="2"/>
  <c r="A824" i="2"/>
  <c r="B824" i="2"/>
  <c r="E824" i="2"/>
  <c r="A825" i="2"/>
  <c r="B825" i="2"/>
  <c r="E825" i="2"/>
  <c r="A826" i="2"/>
  <c r="B826" i="2"/>
  <c r="E826" i="2"/>
  <c r="A827" i="2"/>
  <c r="B827" i="2"/>
  <c r="E827" i="2"/>
  <c r="A828" i="2"/>
  <c r="B828" i="2"/>
  <c r="E828" i="2"/>
  <c r="A829" i="2"/>
  <c r="B829" i="2"/>
  <c r="E829" i="2"/>
  <c r="A830" i="2"/>
  <c r="B830" i="2"/>
  <c r="E830" i="2"/>
  <c r="A831" i="2"/>
  <c r="B831" i="2"/>
  <c r="E831" i="2"/>
  <c r="A832" i="2"/>
  <c r="B832" i="2"/>
  <c r="E832" i="2"/>
  <c r="A833" i="2"/>
  <c r="B833" i="2"/>
  <c r="E833" i="2"/>
  <c r="A834" i="2"/>
  <c r="B834" i="2"/>
  <c r="E834" i="2"/>
  <c r="A835" i="2"/>
  <c r="B835" i="2"/>
  <c r="E835" i="2"/>
  <c r="A836" i="2"/>
  <c r="B836" i="2"/>
  <c r="E836" i="2"/>
  <c r="A837" i="2"/>
  <c r="B837" i="2"/>
  <c r="E837" i="2"/>
  <c r="A838" i="2"/>
  <c r="B838" i="2"/>
  <c r="E838" i="2"/>
  <c r="A839" i="2"/>
  <c r="B839" i="2"/>
  <c r="E839" i="2"/>
  <c r="A840" i="2"/>
  <c r="B840" i="2"/>
  <c r="E840" i="2"/>
  <c r="A841" i="2"/>
  <c r="B841" i="2"/>
  <c r="E841" i="2"/>
  <c r="A842" i="2"/>
  <c r="B842" i="2"/>
  <c r="E842" i="2"/>
  <c r="A843" i="2"/>
  <c r="B843" i="2"/>
  <c r="E843" i="2"/>
  <c r="A844" i="2"/>
  <c r="B844" i="2"/>
  <c r="E844" i="2"/>
  <c r="A845" i="2"/>
  <c r="B845" i="2"/>
  <c r="E845" i="2"/>
  <c r="A846" i="2"/>
  <c r="B846" i="2"/>
  <c r="E846" i="2"/>
  <c r="A847" i="2"/>
  <c r="B847" i="2"/>
  <c r="E847" i="2"/>
  <c r="A848" i="2"/>
  <c r="B848" i="2"/>
  <c r="E848" i="2"/>
  <c r="A849" i="2"/>
  <c r="B849" i="2"/>
  <c r="E849" i="2"/>
  <c r="A850" i="2"/>
  <c r="B850" i="2"/>
  <c r="E850" i="2"/>
  <c r="A851" i="2"/>
  <c r="B851" i="2"/>
  <c r="E851" i="2"/>
  <c r="A852" i="2"/>
  <c r="B852" i="2"/>
  <c r="E852" i="2"/>
  <c r="A853" i="2"/>
  <c r="B853" i="2"/>
  <c r="E853" i="2"/>
  <c r="A854" i="2"/>
  <c r="B854" i="2"/>
  <c r="E854" i="2"/>
  <c r="A855" i="2"/>
  <c r="B855" i="2"/>
  <c r="E855" i="2"/>
  <c r="A856" i="2"/>
  <c r="B856" i="2"/>
  <c r="E856" i="2"/>
  <c r="A857" i="2"/>
  <c r="B857" i="2"/>
  <c r="E857" i="2"/>
  <c r="A858" i="2"/>
  <c r="B858" i="2"/>
  <c r="E858" i="2"/>
  <c r="A859" i="2"/>
  <c r="B859" i="2"/>
  <c r="E859" i="2"/>
  <c r="A860" i="2"/>
  <c r="B860" i="2"/>
  <c r="E860" i="2"/>
  <c r="A861" i="2"/>
  <c r="B861" i="2"/>
  <c r="E861" i="2"/>
  <c r="A862" i="2"/>
  <c r="B862" i="2"/>
  <c r="E862" i="2"/>
  <c r="A863" i="2"/>
  <c r="B863" i="2"/>
  <c r="E863" i="2"/>
  <c r="A864" i="2"/>
  <c r="B864" i="2"/>
  <c r="E864" i="2"/>
  <c r="A865" i="2"/>
  <c r="B865" i="2"/>
  <c r="E865" i="2"/>
  <c r="A866" i="2"/>
  <c r="B866" i="2"/>
  <c r="E866" i="2"/>
  <c r="A867" i="2"/>
  <c r="B867" i="2"/>
  <c r="E867" i="2"/>
  <c r="A868" i="2"/>
  <c r="B868" i="2"/>
  <c r="E868" i="2"/>
  <c r="A869" i="2"/>
  <c r="B869" i="2"/>
  <c r="E869" i="2"/>
  <c r="A870" i="2"/>
  <c r="B870" i="2"/>
  <c r="E870" i="2"/>
  <c r="A871" i="2"/>
  <c r="B871" i="2"/>
  <c r="E871" i="2"/>
  <c r="A872" i="2"/>
  <c r="B872" i="2"/>
  <c r="E872" i="2"/>
  <c r="A873" i="2"/>
  <c r="B873" i="2"/>
  <c r="E873" i="2"/>
  <c r="A874" i="2"/>
  <c r="B874" i="2"/>
  <c r="E874" i="2"/>
  <c r="A875" i="2"/>
  <c r="B875" i="2"/>
  <c r="E875" i="2"/>
  <c r="A876" i="2"/>
  <c r="B876" i="2"/>
  <c r="E876" i="2"/>
  <c r="A877" i="2"/>
  <c r="B877" i="2"/>
  <c r="E877" i="2"/>
  <c r="A878" i="2"/>
  <c r="B878" i="2"/>
  <c r="E878" i="2"/>
  <c r="A879" i="2"/>
  <c r="B879" i="2"/>
  <c r="E879" i="2"/>
  <c r="A880" i="2"/>
  <c r="B880" i="2"/>
  <c r="E880" i="2"/>
  <c r="A881" i="2"/>
  <c r="B881" i="2"/>
  <c r="E881" i="2"/>
  <c r="A882" i="2"/>
  <c r="B882" i="2"/>
  <c r="E882" i="2"/>
  <c r="A883" i="2"/>
  <c r="B883" i="2"/>
  <c r="E883" i="2"/>
  <c r="A884" i="2"/>
  <c r="B884" i="2"/>
  <c r="E884" i="2"/>
  <c r="A885" i="2"/>
  <c r="B885" i="2"/>
  <c r="E885" i="2"/>
  <c r="A886" i="2"/>
  <c r="B886" i="2"/>
  <c r="E886" i="2"/>
  <c r="A887" i="2"/>
  <c r="B887" i="2"/>
  <c r="E887" i="2"/>
  <c r="A888" i="2"/>
  <c r="B888" i="2"/>
  <c r="E888" i="2"/>
  <c r="A889" i="2"/>
  <c r="B889" i="2"/>
  <c r="E889" i="2"/>
  <c r="A890" i="2"/>
  <c r="B890" i="2"/>
  <c r="E890" i="2"/>
  <c r="A891" i="2"/>
  <c r="B891" i="2"/>
  <c r="E891" i="2"/>
  <c r="A892" i="2"/>
  <c r="B892" i="2"/>
  <c r="E892" i="2"/>
  <c r="A893" i="2"/>
  <c r="B893" i="2"/>
  <c r="E893" i="2"/>
  <c r="A894" i="2"/>
  <c r="B894" i="2"/>
  <c r="E894" i="2"/>
  <c r="A895" i="2"/>
  <c r="B895" i="2"/>
  <c r="E895" i="2"/>
  <c r="A896" i="2"/>
  <c r="B896" i="2"/>
  <c r="E896" i="2"/>
  <c r="A897" i="2"/>
  <c r="B897" i="2"/>
  <c r="E897" i="2"/>
  <c r="A898" i="2"/>
  <c r="B898" i="2"/>
  <c r="E898" i="2"/>
  <c r="A899" i="2"/>
  <c r="B899" i="2"/>
  <c r="E899" i="2"/>
  <c r="A900" i="2"/>
  <c r="B900" i="2"/>
  <c r="E900" i="2"/>
  <c r="A901" i="2"/>
  <c r="B901" i="2"/>
  <c r="E901" i="2"/>
  <c r="A902" i="2"/>
  <c r="B902" i="2"/>
  <c r="E902" i="2"/>
  <c r="A903" i="2"/>
  <c r="B903" i="2"/>
  <c r="E903" i="2"/>
  <c r="A904" i="2"/>
  <c r="B904" i="2"/>
  <c r="E904" i="2"/>
  <c r="A905" i="2"/>
  <c r="B905" i="2"/>
  <c r="E905" i="2"/>
  <c r="A906" i="2"/>
  <c r="B906" i="2"/>
  <c r="E906" i="2"/>
  <c r="A907" i="2"/>
  <c r="B907" i="2"/>
  <c r="E907" i="2"/>
  <c r="A908" i="2"/>
  <c r="B908" i="2"/>
  <c r="E908" i="2"/>
  <c r="A909" i="2"/>
  <c r="B909" i="2"/>
  <c r="E909" i="2"/>
  <c r="A910" i="2"/>
  <c r="B910" i="2"/>
  <c r="E910" i="2"/>
  <c r="A911" i="2"/>
  <c r="B911" i="2"/>
  <c r="E911" i="2"/>
  <c r="A912" i="2"/>
  <c r="B912" i="2"/>
  <c r="E912" i="2"/>
  <c r="A913" i="2"/>
  <c r="B913" i="2"/>
  <c r="E913" i="2"/>
  <c r="A914" i="2"/>
  <c r="B914" i="2"/>
  <c r="E914" i="2"/>
  <c r="A915" i="2"/>
  <c r="B915" i="2"/>
  <c r="E915" i="2"/>
  <c r="A916" i="2"/>
  <c r="B916" i="2"/>
  <c r="E916" i="2"/>
  <c r="A917" i="2"/>
  <c r="B917" i="2"/>
  <c r="E917" i="2"/>
  <c r="A918" i="2"/>
  <c r="B918" i="2"/>
  <c r="E918" i="2"/>
  <c r="A919" i="2"/>
  <c r="B919" i="2"/>
  <c r="E919" i="2"/>
  <c r="A920" i="2"/>
  <c r="B920" i="2"/>
  <c r="E920" i="2"/>
  <c r="A921" i="2"/>
  <c r="B921" i="2"/>
  <c r="E921" i="2"/>
  <c r="A922" i="2"/>
  <c r="B922" i="2"/>
  <c r="E922" i="2"/>
  <c r="A923" i="2"/>
  <c r="B923" i="2"/>
  <c r="E923" i="2"/>
  <c r="A924" i="2"/>
  <c r="B924" i="2"/>
  <c r="E924" i="2"/>
  <c r="A925" i="2"/>
  <c r="B925" i="2"/>
  <c r="E925" i="2"/>
  <c r="A926" i="2"/>
  <c r="B926" i="2"/>
  <c r="E926" i="2"/>
  <c r="A927" i="2"/>
  <c r="B927" i="2"/>
  <c r="E927" i="2"/>
  <c r="A928" i="2"/>
  <c r="B928" i="2"/>
  <c r="E928" i="2"/>
  <c r="A929" i="2"/>
  <c r="B929" i="2"/>
  <c r="E929" i="2"/>
  <c r="A930" i="2"/>
  <c r="B930" i="2"/>
  <c r="E930" i="2"/>
  <c r="A931" i="2"/>
  <c r="B931" i="2"/>
  <c r="E931" i="2"/>
  <c r="A932" i="2"/>
  <c r="B932" i="2"/>
  <c r="E932" i="2"/>
  <c r="A933" i="2"/>
  <c r="B933" i="2"/>
  <c r="E933" i="2"/>
  <c r="A934" i="2"/>
  <c r="B934" i="2"/>
  <c r="E934" i="2"/>
  <c r="A935" i="2"/>
  <c r="B935" i="2"/>
  <c r="E935" i="2"/>
  <c r="A936" i="2"/>
  <c r="B936" i="2"/>
  <c r="E936" i="2"/>
  <c r="A937" i="2"/>
  <c r="B937" i="2"/>
  <c r="E937" i="2"/>
  <c r="A938" i="2"/>
  <c r="B938" i="2"/>
  <c r="E938" i="2"/>
  <c r="A939" i="2"/>
  <c r="B939" i="2"/>
  <c r="E939" i="2"/>
  <c r="A940" i="2"/>
  <c r="B940" i="2"/>
  <c r="E940" i="2"/>
  <c r="A941" i="2"/>
  <c r="B941" i="2"/>
  <c r="E941" i="2"/>
  <c r="A942" i="2"/>
  <c r="B942" i="2"/>
  <c r="E942" i="2"/>
  <c r="A943" i="2"/>
  <c r="B943" i="2"/>
  <c r="E943" i="2"/>
  <c r="A944" i="2"/>
  <c r="B944" i="2"/>
  <c r="E944" i="2"/>
  <c r="A945" i="2"/>
  <c r="B945" i="2"/>
  <c r="E945" i="2"/>
  <c r="A946" i="2"/>
  <c r="B946" i="2"/>
  <c r="E946" i="2"/>
  <c r="A947" i="2"/>
  <c r="B947" i="2"/>
  <c r="E947" i="2"/>
  <c r="A948" i="2"/>
  <c r="B948" i="2"/>
  <c r="E948" i="2"/>
  <c r="A949" i="2"/>
  <c r="B949" i="2"/>
  <c r="E949" i="2"/>
  <c r="A950" i="2"/>
  <c r="B950" i="2"/>
  <c r="E950" i="2"/>
  <c r="A951" i="2"/>
  <c r="B951" i="2"/>
  <c r="E951" i="2"/>
  <c r="A952" i="2"/>
  <c r="B952" i="2"/>
  <c r="E952" i="2"/>
  <c r="A953" i="2"/>
  <c r="B953" i="2"/>
  <c r="E953" i="2"/>
  <c r="A954" i="2"/>
  <c r="B954" i="2"/>
  <c r="E954" i="2"/>
  <c r="A955" i="2"/>
  <c r="B955" i="2"/>
  <c r="E955" i="2"/>
  <c r="A956" i="2"/>
  <c r="B956" i="2"/>
  <c r="E956" i="2"/>
  <c r="A957" i="2"/>
  <c r="B957" i="2"/>
  <c r="E957" i="2"/>
  <c r="A958" i="2"/>
  <c r="B958" i="2"/>
  <c r="E958" i="2"/>
  <c r="A959" i="2"/>
  <c r="B959" i="2"/>
  <c r="E959" i="2"/>
  <c r="A960" i="2"/>
  <c r="B960" i="2"/>
  <c r="E960" i="2"/>
  <c r="A961" i="2"/>
  <c r="B961" i="2"/>
  <c r="E961" i="2"/>
  <c r="A962" i="2"/>
  <c r="B962" i="2"/>
  <c r="E962" i="2"/>
  <c r="A963" i="2"/>
  <c r="B963" i="2"/>
  <c r="E963" i="2"/>
  <c r="A964" i="2"/>
  <c r="B964" i="2"/>
  <c r="E964" i="2"/>
  <c r="A965" i="2"/>
  <c r="B965" i="2"/>
  <c r="E965" i="2"/>
  <c r="A966" i="2"/>
  <c r="B966" i="2"/>
  <c r="E966" i="2"/>
  <c r="A967" i="2"/>
  <c r="B967" i="2"/>
  <c r="E967" i="2"/>
  <c r="A968" i="2"/>
  <c r="B968" i="2"/>
  <c r="E968" i="2"/>
  <c r="A969" i="2"/>
  <c r="B969" i="2"/>
  <c r="E969" i="2"/>
  <c r="A970" i="2"/>
  <c r="B970" i="2"/>
  <c r="E970" i="2"/>
  <c r="A971" i="2"/>
  <c r="B971" i="2"/>
  <c r="E971" i="2"/>
  <c r="A972" i="2"/>
  <c r="B972" i="2"/>
  <c r="E972" i="2"/>
  <c r="A973" i="2"/>
  <c r="B973" i="2"/>
  <c r="E973" i="2"/>
  <c r="A974" i="2"/>
  <c r="B974" i="2"/>
  <c r="E974" i="2"/>
  <c r="A975" i="2"/>
  <c r="B975" i="2"/>
  <c r="E975" i="2"/>
  <c r="A976" i="2"/>
  <c r="B976" i="2"/>
  <c r="E976" i="2"/>
  <c r="A977" i="2"/>
  <c r="B977" i="2"/>
  <c r="E977" i="2"/>
  <c r="A978" i="2"/>
  <c r="B978" i="2"/>
  <c r="E978" i="2"/>
  <c r="A979" i="2"/>
  <c r="B979" i="2"/>
  <c r="E979" i="2"/>
  <c r="A980" i="2"/>
  <c r="B980" i="2"/>
  <c r="E980" i="2"/>
  <c r="A981" i="2"/>
  <c r="B981" i="2"/>
  <c r="E981" i="2"/>
  <c r="A982" i="2"/>
  <c r="B982" i="2"/>
  <c r="E982" i="2"/>
  <c r="A983" i="2"/>
  <c r="B983" i="2"/>
  <c r="E983" i="2"/>
  <c r="A984" i="2"/>
  <c r="B984" i="2"/>
  <c r="E984" i="2"/>
  <c r="A985" i="2"/>
  <c r="B985" i="2"/>
  <c r="E985" i="2"/>
  <c r="A986" i="2"/>
  <c r="B986" i="2"/>
  <c r="E986" i="2"/>
  <c r="A987" i="2"/>
  <c r="B987" i="2"/>
  <c r="E987" i="2"/>
  <c r="A988" i="2"/>
  <c r="B988" i="2"/>
  <c r="E988" i="2"/>
  <c r="A989" i="2"/>
  <c r="B989" i="2"/>
  <c r="E989" i="2"/>
  <c r="A990" i="2"/>
  <c r="B990" i="2"/>
  <c r="E990" i="2"/>
  <c r="A991" i="2"/>
  <c r="B991" i="2"/>
  <c r="E991" i="2"/>
  <c r="A992" i="2"/>
  <c r="B992" i="2"/>
  <c r="E992" i="2"/>
  <c r="A993" i="2"/>
  <c r="B993" i="2"/>
  <c r="E993" i="2"/>
  <c r="A994" i="2"/>
  <c r="B994" i="2"/>
  <c r="E994" i="2"/>
  <c r="A995" i="2"/>
  <c r="B995" i="2"/>
  <c r="E995" i="2"/>
  <c r="A996" i="2"/>
  <c r="B996" i="2"/>
  <c r="E996" i="2"/>
  <c r="A997" i="2"/>
  <c r="B997" i="2"/>
  <c r="E997" i="2"/>
  <c r="A998" i="2"/>
  <c r="B998" i="2"/>
  <c r="E998" i="2"/>
  <c r="A999" i="2"/>
  <c r="B999" i="2"/>
  <c r="E999" i="2"/>
  <c r="A1000" i="2"/>
  <c r="B1000" i="2"/>
  <c r="E1000" i="2"/>
  <c r="A1001" i="2"/>
  <c r="B1001" i="2"/>
  <c r="E1001" i="2"/>
  <c r="A1002" i="2"/>
  <c r="B1002" i="2"/>
  <c r="E1002" i="2"/>
  <c r="A1003" i="2"/>
  <c r="B1003" i="2"/>
  <c r="E1003" i="2"/>
  <c r="A1004" i="2"/>
  <c r="B1004" i="2"/>
  <c r="E1004" i="2"/>
  <c r="A1005" i="2"/>
  <c r="B1005" i="2"/>
  <c r="E1005" i="2"/>
  <c r="A1006" i="2"/>
  <c r="B1006" i="2"/>
  <c r="E1006" i="2"/>
  <c r="A1007" i="2"/>
  <c r="B1007" i="2"/>
  <c r="E1007" i="2"/>
  <c r="A1008" i="2"/>
  <c r="B1008" i="2"/>
  <c r="E1008" i="2"/>
  <c r="A1009" i="2"/>
  <c r="B1009" i="2"/>
  <c r="E1009" i="2"/>
  <c r="A1010" i="2"/>
  <c r="B1010" i="2"/>
  <c r="E1010" i="2"/>
  <c r="A1011" i="2"/>
  <c r="B1011" i="2"/>
  <c r="E1011" i="2"/>
  <c r="A1012" i="2"/>
  <c r="B1012" i="2"/>
  <c r="E1012" i="2"/>
  <c r="A1013" i="2"/>
  <c r="B1013" i="2"/>
  <c r="E1013" i="2"/>
  <c r="A1014" i="2"/>
  <c r="B1014" i="2"/>
  <c r="E1014" i="2"/>
  <c r="A1015" i="2"/>
  <c r="B1015" i="2"/>
  <c r="E1015" i="2"/>
  <c r="A1016" i="2"/>
  <c r="B1016" i="2"/>
  <c r="E1016" i="2"/>
  <c r="A1017" i="2"/>
  <c r="B1017" i="2"/>
  <c r="E1017" i="2"/>
  <c r="A1018" i="2"/>
  <c r="B1018" i="2"/>
  <c r="E1018" i="2"/>
  <c r="A1019" i="2"/>
  <c r="B1019" i="2"/>
  <c r="E1019" i="2"/>
  <c r="A1020" i="2"/>
  <c r="B1020" i="2"/>
  <c r="E1020" i="2"/>
  <c r="A1021" i="2"/>
  <c r="B1021" i="2"/>
  <c r="E1021" i="2"/>
  <c r="A1022" i="2"/>
  <c r="B1022" i="2"/>
  <c r="E1022" i="2"/>
  <c r="A1023" i="2"/>
  <c r="B1023" i="2"/>
  <c r="E1023" i="2"/>
  <c r="A1024" i="2"/>
  <c r="B1024" i="2"/>
  <c r="E1024" i="2"/>
  <c r="A1025" i="2"/>
  <c r="B1025" i="2"/>
  <c r="E1025" i="2"/>
  <c r="A1026" i="2"/>
  <c r="B1026" i="2"/>
  <c r="E1026" i="2"/>
  <c r="A1027" i="2"/>
  <c r="B1027" i="2"/>
  <c r="E1027" i="2"/>
  <c r="A1028" i="2"/>
  <c r="B1028" i="2"/>
  <c r="E1028" i="2"/>
  <c r="A1029" i="2"/>
  <c r="B1029" i="2"/>
  <c r="E1029" i="2"/>
  <c r="A1030" i="2"/>
  <c r="B1030" i="2"/>
  <c r="E1030" i="2"/>
  <c r="A1031" i="2"/>
  <c r="B1031" i="2"/>
  <c r="E1031" i="2"/>
  <c r="A1032" i="2"/>
  <c r="B1032" i="2"/>
  <c r="E1032" i="2"/>
  <c r="A1033" i="2"/>
  <c r="B1033" i="2"/>
  <c r="E1033" i="2"/>
  <c r="A1034" i="2"/>
  <c r="B1034" i="2"/>
  <c r="E1034" i="2"/>
  <c r="A1035" i="2"/>
  <c r="B1035" i="2"/>
  <c r="E1035" i="2"/>
  <c r="A1036" i="2"/>
  <c r="B1036" i="2"/>
  <c r="E1036" i="2"/>
  <c r="A1037" i="2"/>
  <c r="B1037" i="2"/>
  <c r="E1037" i="2"/>
  <c r="A1038" i="2"/>
  <c r="B1038" i="2"/>
  <c r="E1038" i="2"/>
  <c r="A1039" i="2"/>
  <c r="B1039" i="2"/>
  <c r="E1039" i="2"/>
  <c r="A1040" i="2"/>
  <c r="B1040" i="2"/>
  <c r="E1040" i="2"/>
  <c r="A1041" i="2"/>
  <c r="B1041" i="2"/>
  <c r="E1041" i="2"/>
  <c r="A1042" i="2"/>
  <c r="B1042" i="2"/>
  <c r="E1042" i="2"/>
  <c r="A1043" i="2"/>
  <c r="B1043" i="2"/>
  <c r="E1043" i="2"/>
  <c r="A1044" i="2"/>
  <c r="B1044" i="2"/>
  <c r="E1044" i="2"/>
  <c r="A1045" i="2"/>
  <c r="B1045" i="2"/>
  <c r="E1045" i="2"/>
  <c r="A1046" i="2"/>
  <c r="B1046" i="2"/>
  <c r="E1046" i="2"/>
  <c r="A1047" i="2"/>
  <c r="B1047" i="2"/>
  <c r="E1047" i="2"/>
  <c r="A1048" i="2"/>
  <c r="B1048" i="2"/>
  <c r="E1048" i="2"/>
  <c r="A1049" i="2"/>
  <c r="B1049" i="2"/>
  <c r="E1049" i="2"/>
  <c r="A1050" i="2"/>
  <c r="B1050" i="2"/>
  <c r="E1050" i="2"/>
  <c r="A1051" i="2"/>
  <c r="B1051" i="2"/>
  <c r="E1051" i="2"/>
  <c r="A1052" i="2"/>
  <c r="B1052" i="2"/>
  <c r="E1052" i="2"/>
  <c r="A1053" i="2"/>
  <c r="B1053" i="2"/>
  <c r="E1053" i="2"/>
  <c r="A1054" i="2"/>
  <c r="B1054" i="2"/>
  <c r="E1054" i="2"/>
  <c r="A1055" i="2"/>
  <c r="B1055" i="2"/>
  <c r="E1055" i="2"/>
  <c r="A1056" i="2"/>
  <c r="B1056" i="2"/>
  <c r="E1056" i="2"/>
  <c r="A1057" i="2"/>
  <c r="B1057" i="2"/>
  <c r="E1057" i="2"/>
  <c r="A1058" i="2"/>
  <c r="B1058" i="2"/>
  <c r="E1058" i="2"/>
  <c r="A1059" i="2"/>
  <c r="B1059" i="2"/>
  <c r="E1059" i="2"/>
  <c r="A1060" i="2"/>
  <c r="B1060" i="2"/>
  <c r="E1060" i="2"/>
  <c r="A1061" i="2"/>
  <c r="B1061" i="2"/>
  <c r="E1061" i="2"/>
  <c r="A1062" i="2"/>
  <c r="B1062" i="2"/>
  <c r="E1062" i="2"/>
  <c r="A1063" i="2"/>
  <c r="B1063" i="2"/>
  <c r="E1063" i="2"/>
  <c r="A1064" i="2"/>
  <c r="B1064" i="2"/>
  <c r="E1064" i="2"/>
  <c r="A1065" i="2"/>
  <c r="B1065" i="2"/>
  <c r="E1065" i="2"/>
  <c r="A1066" i="2"/>
  <c r="B1066" i="2"/>
  <c r="E1066" i="2"/>
  <c r="A1067" i="2"/>
  <c r="B1067" i="2"/>
  <c r="E1067" i="2"/>
  <c r="A1068" i="2"/>
  <c r="B1068" i="2"/>
  <c r="E1068" i="2"/>
  <c r="A1069" i="2"/>
  <c r="B1069" i="2"/>
  <c r="E1069" i="2"/>
  <c r="A1070" i="2"/>
  <c r="B1070" i="2"/>
  <c r="E1070" i="2"/>
  <c r="A1071" i="2"/>
  <c r="B1071" i="2"/>
  <c r="E1071" i="2"/>
  <c r="A1072" i="2"/>
  <c r="B1072" i="2"/>
  <c r="E1072" i="2"/>
  <c r="A1073" i="2"/>
  <c r="B1073" i="2"/>
  <c r="E1073" i="2"/>
  <c r="A1074" i="2"/>
  <c r="B1074" i="2"/>
  <c r="E1074" i="2"/>
  <c r="A1075" i="2"/>
  <c r="B1075" i="2"/>
  <c r="E1075" i="2"/>
  <c r="A1076" i="2"/>
  <c r="B1076" i="2"/>
  <c r="E1076" i="2"/>
  <c r="A1077" i="2"/>
  <c r="B1077" i="2"/>
  <c r="E1077" i="2"/>
  <c r="A1078" i="2"/>
  <c r="B1078" i="2"/>
  <c r="E1078" i="2"/>
  <c r="A1079" i="2"/>
  <c r="B1079" i="2"/>
  <c r="E1079" i="2"/>
  <c r="A1080" i="2"/>
  <c r="B1080" i="2"/>
  <c r="E1080" i="2"/>
  <c r="A1081" i="2"/>
  <c r="B1081" i="2"/>
  <c r="E1081" i="2"/>
  <c r="A1082" i="2"/>
  <c r="B1082" i="2"/>
  <c r="E1082" i="2"/>
  <c r="A1083" i="2"/>
  <c r="B1083" i="2"/>
  <c r="E1083" i="2"/>
  <c r="A1084" i="2"/>
  <c r="B1084" i="2"/>
  <c r="E1084" i="2"/>
  <c r="A1085" i="2"/>
  <c r="B1085" i="2"/>
  <c r="E1085" i="2"/>
  <c r="A1086" i="2"/>
  <c r="B1086" i="2"/>
  <c r="E1086" i="2"/>
  <c r="A1087" i="2"/>
  <c r="B1087" i="2"/>
  <c r="E1087" i="2"/>
  <c r="A1088" i="2"/>
  <c r="B1088" i="2"/>
  <c r="E1088" i="2"/>
  <c r="A1089" i="2"/>
  <c r="B1089" i="2"/>
  <c r="E1089" i="2"/>
  <c r="A1090" i="2"/>
  <c r="B1090" i="2"/>
  <c r="E1090" i="2"/>
  <c r="A1091" i="2"/>
  <c r="B1091" i="2"/>
  <c r="E1091" i="2"/>
  <c r="A1092" i="2"/>
  <c r="B1092" i="2"/>
  <c r="E1092" i="2"/>
  <c r="A1093" i="2"/>
  <c r="B1093" i="2"/>
  <c r="E1093" i="2"/>
  <c r="A1094" i="2"/>
  <c r="B1094" i="2"/>
  <c r="E1094" i="2"/>
  <c r="A1095" i="2"/>
  <c r="B1095" i="2"/>
  <c r="E1095" i="2"/>
  <c r="A1096" i="2"/>
  <c r="B1096" i="2"/>
  <c r="E1096" i="2"/>
  <c r="A1097" i="2"/>
  <c r="B1097" i="2"/>
  <c r="E1097" i="2"/>
  <c r="A1098" i="2"/>
  <c r="B1098" i="2"/>
  <c r="E1098" i="2"/>
  <c r="A1099" i="2"/>
  <c r="B1099" i="2"/>
  <c r="E1099" i="2"/>
  <c r="A1100" i="2"/>
  <c r="B1100" i="2"/>
  <c r="E1100" i="2"/>
  <c r="A1101" i="2"/>
  <c r="B1101" i="2"/>
  <c r="E1101" i="2"/>
  <c r="A1102" i="2"/>
  <c r="B1102" i="2"/>
  <c r="E1102" i="2"/>
  <c r="A1103" i="2"/>
  <c r="B1103" i="2"/>
  <c r="E1103" i="2"/>
  <c r="A1104" i="2"/>
  <c r="B1104" i="2"/>
  <c r="E1104" i="2"/>
  <c r="A1105" i="2"/>
  <c r="B1105" i="2"/>
  <c r="E1105" i="2"/>
  <c r="A1106" i="2"/>
  <c r="B1106" i="2"/>
  <c r="E1106" i="2"/>
  <c r="A1107" i="2"/>
  <c r="B1107" i="2"/>
  <c r="E1107" i="2"/>
  <c r="A1108" i="2"/>
  <c r="B1108" i="2"/>
  <c r="E1108" i="2"/>
  <c r="A1109" i="2"/>
  <c r="B1109" i="2"/>
  <c r="E1109" i="2"/>
  <c r="A1110" i="2"/>
  <c r="B1110" i="2"/>
  <c r="E1110" i="2"/>
  <c r="A1111" i="2"/>
  <c r="B1111" i="2"/>
  <c r="E1111" i="2"/>
  <c r="A1112" i="2"/>
  <c r="B1112" i="2"/>
  <c r="E1112" i="2"/>
  <c r="A1113" i="2"/>
  <c r="B1113" i="2"/>
  <c r="E1113" i="2"/>
  <c r="A1114" i="2"/>
  <c r="B1114" i="2"/>
  <c r="E1114" i="2"/>
  <c r="A1115" i="2"/>
  <c r="B1115" i="2"/>
  <c r="E1115" i="2"/>
  <c r="A1116" i="2"/>
  <c r="B1116" i="2"/>
  <c r="E1116" i="2"/>
  <c r="A1117" i="2"/>
  <c r="B1117" i="2"/>
  <c r="E1117" i="2"/>
  <c r="A1118" i="2"/>
  <c r="B1118" i="2"/>
  <c r="E1118" i="2"/>
  <c r="A1119" i="2"/>
  <c r="B1119" i="2"/>
  <c r="E1119" i="2"/>
  <c r="A1120" i="2"/>
  <c r="B1120" i="2"/>
  <c r="E1120" i="2"/>
  <c r="A1121" i="2"/>
  <c r="B1121" i="2"/>
  <c r="E1121" i="2"/>
  <c r="A1122" i="2"/>
  <c r="B1122" i="2"/>
  <c r="E1122" i="2"/>
  <c r="A1123" i="2"/>
  <c r="B1123" i="2"/>
  <c r="E1123" i="2"/>
  <c r="A1124" i="2"/>
  <c r="B1124" i="2"/>
  <c r="E1124" i="2"/>
  <c r="A1125" i="2"/>
  <c r="B1125" i="2"/>
  <c r="E1125" i="2"/>
  <c r="A1126" i="2"/>
  <c r="B1126" i="2"/>
  <c r="E1126" i="2"/>
  <c r="A1127" i="2"/>
  <c r="B1127" i="2"/>
  <c r="E1127" i="2"/>
  <c r="A1128" i="2"/>
  <c r="B1128" i="2"/>
  <c r="E1128" i="2"/>
  <c r="A1129" i="2"/>
  <c r="B1129" i="2"/>
  <c r="E1129" i="2"/>
  <c r="A1130" i="2"/>
  <c r="B1130" i="2"/>
  <c r="E1130" i="2"/>
  <c r="A1131" i="2"/>
  <c r="B1131" i="2"/>
  <c r="E1131" i="2"/>
  <c r="A1132" i="2"/>
  <c r="B1132" i="2"/>
  <c r="E1132" i="2"/>
  <c r="A1133" i="2"/>
  <c r="B1133" i="2"/>
  <c r="E1133" i="2"/>
  <c r="A1134" i="2"/>
  <c r="B1134" i="2"/>
  <c r="E1134" i="2"/>
  <c r="A1135" i="2"/>
  <c r="B1135" i="2"/>
  <c r="E1135" i="2"/>
  <c r="A1136" i="2"/>
  <c r="B1136" i="2"/>
  <c r="E1136" i="2"/>
  <c r="A1137" i="2"/>
  <c r="B1137" i="2"/>
  <c r="E1137" i="2"/>
  <c r="A1138" i="2"/>
  <c r="B1138" i="2"/>
  <c r="E1138" i="2"/>
  <c r="A1139" i="2"/>
  <c r="B1139" i="2"/>
  <c r="E1139" i="2"/>
  <c r="A1140" i="2"/>
  <c r="B1140" i="2"/>
  <c r="E1140" i="2"/>
  <c r="A1141" i="2"/>
  <c r="B1141" i="2"/>
  <c r="E1141" i="2"/>
  <c r="A1142" i="2"/>
  <c r="B1142" i="2"/>
  <c r="E1142" i="2"/>
  <c r="A1143" i="2"/>
  <c r="B1143" i="2"/>
  <c r="E1143" i="2"/>
  <c r="A1144" i="2"/>
  <c r="B1144" i="2"/>
  <c r="E1144" i="2"/>
  <c r="A1145" i="2"/>
  <c r="B1145" i="2"/>
  <c r="E1145" i="2"/>
  <c r="A1146" i="2"/>
  <c r="B1146" i="2"/>
  <c r="E1146" i="2"/>
  <c r="A1147" i="2"/>
  <c r="B1147" i="2"/>
  <c r="E1147" i="2"/>
  <c r="A1148" i="2"/>
  <c r="B1148" i="2"/>
  <c r="E1148" i="2"/>
  <c r="A1149" i="2"/>
  <c r="B1149" i="2"/>
  <c r="E1149" i="2"/>
  <c r="A1150" i="2"/>
  <c r="B1150" i="2"/>
  <c r="E1150" i="2"/>
  <c r="A1151" i="2"/>
  <c r="B1151" i="2"/>
  <c r="E1151" i="2"/>
  <c r="A1152" i="2"/>
  <c r="B1152" i="2"/>
  <c r="E1152" i="2"/>
  <c r="A1153" i="2"/>
  <c r="B1153" i="2"/>
  <c r="E1153" i="2"/>
  <c r="A1154" i="2"/>
  <c r="B1154" i="2"/>
  <c r="E1154" i="2"/>
  <c r="A1155" i="2"/>
  <c r="B1155" i="2"/>
  <c r="E1155" i="2"/>
  <c r="A1156" i="2"/>
  <c r="B1156" i="2"/>
  <c r="E1156" i="2"/>
  <c r="A1157" i="2"/>
  <c r="B1157" i="2"/>
  <c r="E1157" i="2"/>
  <c r="A1158" i="2"/>
  <c r="B1158" i="2"/>
  <c r="E1158" i="2"/>
  <c r="A1159" i="2"/>
  <c r="B1159" i="2"/>
  <c r="E1159" i="2"/>
  <c r="A1160" i="2"/>
  <c r="B1160" i="2"/>
  <c r="E1160" i="2"/>
  <c r="A1161" i="2"/>
  <c r="B1161" i="2"/>
  <c r="E1161" i="2"/>
  <c r="A1162" i="2"/>
  <c r="B1162" i="2"/>
  <c r="E1162" i="2"/>
  <c r="A1163" i="2"/>
  <c r="B1163" i="2"/>
  <c r="E1163" i="2"/>
  <c r="A1164" i="2"/>
  <c r="B1164" i="2"/>
  <c r="E1164" i="2"/>
  <c r="A1165" i="2"/>
  <c r="B1165" i="2"/>
  <c r="E1165" i="2"/>
  <c r="A1166" i="2"/>
  <c r="B1166" i="2"/>
  <c r="E1166" i="2"/>
  <c r="A1167" i="2"/>
  <c r="B1167" i="2"/>
  <c r="E1167" i="2"/>
  <c r="A1168" i="2"/>
  <c r="B1168" i="2"/>
  <c r="E1168" i="2"/>
  <c r="A1169" i="2"/>
  <c r="B1169" i="2"/>
  <c r="E1169" i="2"/>
  <c r="A1170" i="2"/>
  <c r="B1170" i="2"/>
  <c r="E1170" i="2"/>
  <c r="A1171" i="2"/>
  <c r="B1171" i="2"/>
  <c r="E1171" i="2"/>
  <c r="A1172" i="2"/>
  <c r="B1172" i="2"/>
  <c r="E1172" i="2"/>
  <c r="A1173" i="2"/>
  <c r="B1173" i="2"/>
  <c r="E1173" i="2"/>
  <c r="A1174" i="2"/>
  <c r="B1174" i="2"/>
  <c r="E1174" i="2"/>
  <c r="A1175" i="2"/>
  <c r="B1175" i="2"/>
  <c r="E1175" i="2"/>
  <c r="A1176" i="2"/>
  <c r="B1176" i="2"/>
  <c r="E1176" i="2"/>
  <c r="A1177" i="2"/>
  <c r="B1177" i="2"/>
  <c r="E1177" i="2"/>
  <c r="A1178" i="2"/>
  <c r="B1178" i="2"/>
  <c r="E1178" i="2"/>
  <c r="A1179" i="2"/>
  <c r="B1179" i="2"/>
  <c r="E1179" i="2"/>
  <c r="A1180" i="2"/>
  <c r="B1180" i="2"/>
  <c r="E1180" i="2"/>
  <c r="A1181" i="2"/>
  <c r="B1181" i="2"/>
  <c r="E1181" i="2"/>
  <c r="A1182" i="2"/>
  <c r="B1182" i="2"/>
  <c r="E1182" i="2"/>
  <c r="A1183" i="2"/>
  <c r="B1183" i="2"/>
  <c r="E1183" i="2"/>
  <c r="A1184" i="2"/>
  <c r="B1184" i="2"/>
  <c r="E1184" i="2"/>
  <c r="A1185" i="2"/>
  <c r="B1185" i="2"/>
  <c r="E1185" i="2"/>
  <c r="A1186" i="2"/>
  <c r="B1186" i="2"/>
  <c r="E1186" i="2"/>
  <c r="A1187" i="2"/>
  <c r="B1187" i="2"/>
  <c r="E1187" i="2"/>
  <c r="A1188" i="2"/>
  <c r="B1188" i="2"/>
  <c r="E1188" i="2"/>
  <c r="A1189" i="2"/>
  <c r="B1189" i="2"/>
  <c r="E1189" i="2"/>
  <c r="A1190" i="2"/>
  <c r="B1190" i="2"/>
  <c r="E1190" i="2"/>
  <c r="A1191" i="2"/>
  <c r="B1191" i="2"/>
  <c r="E1191" i="2"/>
  <c r="A1192" i="2"/>
  <c r="B1192" i="2"/>
  <c r="E1192" i="2"/>
  <c r="A1193" i="2"/>
  <c r="B1193" i="2"/>
  <c r="E1193" i="2"/>
  <c r="A1194" i="2"/>
  <c r="B1194" i="2"/>
  <c r="E1194" i="2"/>
  <c r="A1195" i="2"/>
  <c r="B1195" i="2"/>
  <c r="E1195" i="2"/>
  <c r="A1196" i="2"/>
  <c r="B1196" i="2"/>
  <c r="E1196" i="2"/>
  <c r="A1197" i="2"/>
  <c r="B1197" i="2"/>
  <c r="E1197" i="2"/>
  <c r="A1198" i="2"/>
  <c r="B1198" i="2"/>
  <c r="E1198" i="2"/>
  <c r="A1199" i="2"/>
  <c r="B1199" i="2"/>
  <c r="E1199" i="2"/>
  <c r="A1200" i="2"/>
  <c r="B1200" i="2"/>
  <c r="E1200" i="2"/>
  <c r="A1201" i="2"/>
  <c r="B1201" i="2"/>
  <c r="E1201" i="2"/>
  <c r="A1202" i="2"/>
  <c r="B1202" i="2"/>
  <c r="E1202" i="2"/>
  <c r="A1203" i="2"/>
  <c r="B1203" i="2"/>
  <c r="E1203" i="2"/>
  <c r="A1204" i="2"/>
  <c r="B1204" i="2"/>
  <c r="E1204" i="2"/>
  <c r="A1205" i="2"/>
  <c r="B1205" i="2"/>
  <c r="E1205" i="2"/>
  <c r="A1206" i="2"/>
  <c r="B1206" i="2"/>
  <c r="E1206" i="2"/>
  <c r="A1207" i="2"/>
  <c r="B1207" i="2"/>
  <c r="E1207" i="2"/>
  <c r="A1208" i="2"/>
  <c r="B1208" i="2"/>
  <c r="E1208" i="2"/>
  <c r="A1209" i="2"/>
  <c r="B1209" i="2"/>
  <c r="E1209" i="2"/>
  <c r="A1210" i="2"/>
  <c r="B1210" i="2"/>
  <c r="E1210" i="2"/>
  <c r="A1211" i="2"/>
  <c r="B1211" i="2"/>
  <c r="E1211" i="2"/>
  <c r="A1212" i="2"/>
  <c r="B1212" i="2"/>
  <c r="E1212" i="2"/>
  <c r="A1213" i="2"/>
  <c r="B1213" i="2"/>
  <c r="E1213" i="2"/>
  <c r="A1214" i="2"/>
  <c r="B1214" i="2"/>
  <c r="E1214" i="2"/>
  <c r="A1215" i="2"/>
  <c r="B1215" i="2"/>
  <c r="E1215" i="2"/>
  <c r="A1216" i="2"/>
  <c r="B1216" i="2"/>
  <c r="E1216" i="2"/>
  <c r="A1217" i="2"/>
  <c r="B1217" i="2"/>
  <c r="E1217" i="2"/>
  <c r="A1218" i="2"/>
  <c r="B1218" i="2"/>
  <c r="E1218" i="2"/>
  <c r="A1219" i="2"/>
  <c r="B1219" i="2"/>
  <c r="E1219" i="2"/>
  <c r="A1220" i="2"/>
  <c r="B1220" i="2"/>
  <c r="E1220" i="2"/>
  <c r="A1221" i="2"/>
  <c r="B1221" i="2"/>
  <c r="E1221" i="2"/>
  <c r="A1222" i="2"/>
  <c r="B1222" i="2"/>
  <c r="E1222" i="2"/>
  <c r="A1223" i="2"/>
  <c r="B1223" i="2"/>
  <c r="E1223" i="2"/>
  <c r="A1224" i="2"/>
  <c r="B1224" i="2"/>
  <c r="E1224" i="2"/>
  <c r="A1225" i="2"/>
  <c r="B1225" i="2"/>
  <c r="E1225" i="2"/>
  <c r="A1226" i="2"/>
  <c r="B1226" i="2"/>
  <c r="E1226" i="2"/>
  <c r="A1227" i="2"/>
  <c r="B1227" i="2"/>
  <c r="E1227" i="2"/>
  <c r="A1228" i="2"/>
  <c r="B1228" i="2"/>
  <c r="E1228" i="2"/>
  <c r="A1229" i="2"/>
  <c r="B1229" i="2"/>
  <c r="E1229" i="2"/>
  <c r="A1230" i="2"/>
  <c r="B1230" i="2"/>
  <c r="E1230" i="2"/>
  <c r="A1231" i="2"/>
  <c r="B1231" i="2"/>
  <c r="E1231" i="2"/>
  <c r="A1232" i="2"/>
  <c r="B1232" i="2"/>
  <c r="E1232" i="2"/>
  <c r="A1233" i="2"/>
  <c r="B1233" i="2"/>
  <c r="E1233" i="2"/>
  <c r="A1234" i="2"/>
  <c r="B1234" i="2"/>
  <c r="E1234" i="2"/>
  <c r="A1235" i="2"/>
  <c r="B1235" i="2"/>
  <c r="E1235" i="2"/>
  <c r="A1236" i="2"/>
  <c r="B1236" i="2"/>
  <c r="E1236" i="2"/>
  <c r="A1237" i="2"/>
  <c r="B1237" i="2"/>
  <c r="E1237" i="2"/>
  <c r="A1238" i="2"/>
  <c r="B1238" i="2"/>
  <c r="E1238" i="2"/>
  <c r="A1239" i="2"/>
  <c r="B1239" i="2"/>
  <c r="E1239" i="2"/>
  <c r="A1240" i="2"/>
  <c r="B1240" i="2"/>
  <c r="E1240" i="2"/>
  <c r="A1241" i="2"/>
  <c r="B1241" i="2"/>
  <c r="E1241" i="2"/>
  <c r="A1242" i="2"/>
  <c r="B1242" i="2"/>
  <c r="E1242" i="2"/>
  <c r="A1243" i="2"/>
  <c r="B1243" i="2"/>
  <c r="E1243" i="2"/>
  <c r="A1244" i="2"/>
  <c r="B1244" i="2"/>
  <c r="E1244" i="2"/>
  <c r="A1245" i="2"/>
  <c r="B1245" i="2"/>
  <c r="E1245" i="2"/>
  <c r="A1246" i="2"/>
  <c r="B1246" i="2"/>
  <c r="E1246" i="2"/>
  <c r="A1247" i="2"/>
  <c r="B1247" i="2"/>
  <c r="E1247" i="2"/>
  <c r="A1248" i="2"/>
  <c r="B1248" i="2"/>
  <c r="E1248" i="2"/>
  <c r="A1249" i="2"/>
  <c r="B1249" i="2"/>
  <c r="E1249" i="2"/>
  <c r="A1250" i="2"/>
  <c r="B1250" i="2"/>
  <c r="E1250" i="2"/>
  <c r="A1251" i="2"/>
  <c r="B1251" i="2"/>
  <c r="E1251" i="2"/>
  <c r="A1252" i="2"/>
  <c r="B1252" i="2"/>
  <c r="E1252" i="2"/>
  <c r="A1253" i="2"/>
  <c r="B1253" i="2"/>
  <c r="E1253" i="2"/>
  <c r="A1254" i="2"/>
  <c r="B1254" i="2"/>
  <c r="E1254" i="2"/>
  <c r="A1255" i="2"/>
  <c r="B1255" i="2"/>
  <c r="E1255" i="2"/>
  <c r="A1256" i="2"/>
  <c r="B1256" i="2"/>
  <c r="E1256" i="2"/>
  <c r="A1257" i="2"/>
  <c r="B1257" i="2"/>
  <c r="E1257" i="2"/>
  <c r="A1258" i="2"/>
  <c r="B1258" i="2"/>
  <c r="E1258" i="2"/>
  <c r="A1259" i="2"/>
  <c r="B1259" i="2"/>
  <c r="E1259" i="2"/>
  <c r="A1260" i="2"/>
  <c r="B1260" i="2"/>
  <c r="E1260" i="2"/>
  <c r="A1261" i="2"/>
  <c r="B1261" i="2"/>
  <c r="E1261" i="2"/>
  <c r="A1262" i="2"/>
  <c r="B1262" i="2"/>
  <c r="E1262" i="2"/>
  <c r="A1263" i="2"/>
  <c r="B1263" i="2"/>
  <c r="E1263" i="2"/>
  <c r="A1264" i="2"/>
  <c r="B1264" i="2"/>
  <c r="E1264" i="2"/>
  <c r="A1265" i="2"/>
  <c r="B1265" i="2"/>
  <c r="E1265" i="2"/>
  <c r="A1266" i="2"/>
  <c r="B1266" i="2"/>
  <c r="E1266" i="2"/>
  <c r="A1267" i="2"/>
  <c r="B1267" i="2"/>
  <c r="E1267" i="2"/>
  <c r="A1268" i="2"/>
  <c r="B1268" i="2"/>
  <c r="E1268" i="2"/>
  <c r="A1269" i="2"/>
  <c r="B1269" i="2"/>
  <c r="E1269" i="2"/>
  <c r="A1270" i="2"/>
  <c r="B1270" i="2"/>
  <c r="E1270" i="2"/>
  <c r="A1271" i="2"/>
  <c r="B1271" i="2"/>
  <c r="E1271" i="2"/>
  <c r="A1272" i="2"/>
  <c r="B1272" i="2"/>
  <c r="E1272" i="2"/>
  <c r="A1273" i="2"/>
  <c r="B1273" i="2"/>
  <c r="E1273" i="2"/>
  <c r="A1274" i="2"/>
  <c r="B1274" i="2"/>
  <c r="E1274" i="2"/>
  <c r="A1275" i="2"/>
  <c r="B1275" i="2"/>
  <c r="E1275" i="2"/>
  <c r="A1276" i="2"/>
  <c r="B1276" i="2"/>
  <c r="E1276" i="2"/>
  <c r="A1277" i="2"/>
  <c r="B1277" i="2"/>
  <c r="E1277" i="2"/>
  <c r="A1278" i="2"/>
  <c r="B1278" i="2"/>
  <c r="E1278" i="2"/>
  <c r="A1279" i="2"/>
  <c r="B1279" i="2"/>
  <c r="E1279" i="2"/>
  <c r="A1280" i="2"/>
  <c r="B1280" i="2"/>
  <c r="E1280" i="2"/>
  <c r="A1281" i="2"/>
  <c r="B1281" i="2"/>
  <c r="E1281" i="2"/>
  <c r="A1282" i="2"/>
  <c r="B1282" i="2"/>
  <c r="E1282" i="2"/>
  <c r="A1283" i="2"/>
  <c r="B1283" i="2"/>
  <c r="E1283" i="2"/>
  <c r="A1284" i="2"/>
  <c r="B1284" i="2"/>
  <c r="E1284" i="2"/>
  <c r="A1285" i="2"/>
  <c r="B1285" i="2"/>
  <c r="E1285" i="2"/>
  <c r="A1286" i="2"/>
  <c r="B1286" i="2"/>
  <c r="E1286" i="2"/>
  <c r="A1287" i="2"/>
  <c r="B1287" i="2"/>
  <c r="E1287" i="2"/>
  <c r="A1288" i="2"/>
  <c r="B1288" i="2"/>
  <c r="E1288" i="2"/>
  <c r="A1289" i="2"/>
  <c r="B1289" i="2"/>
  <c r="E1289" i="2"/>
  <c r="A1290" i="2"/>
  <c r="B1290" i="2"/>
  <c r="E1290" i="2"/>
  <c r="A1291" i="2"/>
  <c r="B1291" i="2"/>
  <c r="E1291" i="2"/>
  <c r="A1292" i="2"/>
  <c r="B1292" i="2"/>
  <c r="E1292" i="2"/>
  <c r="A1293" i="2"/>
  <c r="B1293" i="2"/>
  <c r="E1293" i="2"/>
  <c r="A1294" i="2"/>
  <c r="B1294" i="2"/>
  <c r="E1294" i="2"/>
  <c r="A1295" i="2"/>
  <c r="B1295" i="2"/>
  <c r="E1295" i="2"/>
  <c r="A1296" i="2"/>
  <c r="B1296" i="2"/>
  <c r="E1296" i="2"/>
  <c r="A1297" i="2"/>
  <c r="B1297" i="2"/>
  <c r="E1297" i="2"/>
  <c r="A1298" i="2"/>
  <c r="B1298" i="2"/>
  <c r="E1298" i="2"/>
  <c r="A1299" i="2"/>
  <c r="B1299" i="2"/>
  <c r="E1299" i="2"/>
  <c r="A1300" i="2"/>
  <c r="B1300" i="2"/>
  <c r="E1300" i="2"/>
  <c r="A1301" i="2"/>
  <c r="B1301" i="2"/>
  <c r="E1301" i="2"/>
  <c r="A1302" i="2"/>
  <c r="B1302" i="2"/>
  <c r="E1302" i="2"/>
  <c r="A1303" i="2"/>
  <c r="B1303" i="2"/>
  <c r="E1303" i="2"/>
  <c r="A1304" i="2"/>
  <c r="B1304" i="2"/>
  <c r="E1304" i="2"/>
  <c r="A1305" i="2"/>
  <c r="B1305" i="2"/>
  <c r="E1305" i="2"/>
  <c r="A1306" i="2"/>
  <c r="B1306" i="2"/>
  <c r="E1306" i="2"/>
  <c r="A1307" i="2"/>
  <c r="B1307" i="2"/>
  <c r="E1307" i="2"/>
  <c r="A1308" i="2"/>
  <c r="B1308" i="2"/>
  <c r="E1308" i="2"/>
  <c r="A1309" i="2"/>
  <c r="B1309" i="2"/>
  <c r="E1309" i="2"/>
  <c r="A1310" i="2"/>
  <c r="B1310" i="2"/>
  <c r="E1310" i="2"/>
  <c r="A1311" i="2"/>
  <c r="B1311" i="2"/>
  <c r="E1311" i="2"/>
  <c r="A1312" i="2"/>
  <c r="B1312" i="2"/>
  <c r="E1312" i="2"/>
  <c r="A1313" i="2"/>
  <c r="B1313" i="2"/>
  <c r="E1313" i="2"/>
  <c r="A1314" i="2"/>
  <c r="B1314" i="2"/>
  <c r="E1314" i="2"/>
  <c r="A1315" i="2"/>
  <c r="B1315" i="2"/>
  <c r="E1315" i="2"/>
  <c r="A1316" i="2"/>
  <c r="B1316" i="2"/>
  <c r="E1316" i="2"/>
  <c r="A1317" i="2"/>
  <c r="B1317" i="2"/>
  <c r="E1317" i="2"/>
  <c r="A1318" i="2"/>
  <c r="B1318" i="2"/>
  <c r="E1318" i="2"/>
  <c r="A1319" i="2"/>
  <c r="B1319" i="2"/>
  <c r="E1319" i="2"/>
  <c r="A1320" i="2"/>
  <c r="B1320" i="2"/>
  <c r="E1320" i="2"/>
  <c r="A1321" i="2"/>
  <c r="B1321" i="2"/>
  <c r="E1321" i="2"/>
  <c r="A1322" i="2"/>
  <c r="B1322" i="2"/>
  <c r="E1322" i="2"/>
  <c r="A1323" i="2"/>
  <c r="B1323" i="2"/>
  <c r="E1323" i="2"/>
  <c r="A1324" i="2"/>
  <c r="B1324" i="2"/>
  <c r="E1324" i="2"/>
  <c r="A1325" i="2"/>
  <c r="B1325" i="2"/>
  <c r="E1325" i="2"/>
  <c r="A1326" i="2"/>
  <c r="B1326" i="2"/>
  <c r="E1326" i="2"/>
  <c r="A1327" i="2"/>
  <c r="B1327" i="2"/>
  <c r="E1327" i="2"/>
  <c r="A1328" i="2"/>
  <c r="B1328" i="2"/>
  <c r="E1328" i="2"/>
  <c r="A1329" i="2"/>
  <c r="B1329" i="2"/>
  <c r="E1329" i="2"/>
  <c r="A1330" i="2"/>
  <c r="B1330" i="2"/>
  <c r="E1330" i="2"/>
  <c r="A1331" i="2"/>
  <c r="B1331" i="2"/>
  <c r="E1331" i="2"/>
  <c r="A1332" i="2"/>
  <c r="B1332" i="2"/>
  <c r="E1332" i="2"/>
  <c r="A1333" i="2"/>
  <c r="B1333" i="2"/>
  <c r="E1333" i="2"/>
  <c r="A1334" i="2"/>
  <c r="B1334" i="2"/>
  <c r="E1334" i="2"/>
  <c r="A1335" i="2"/>
  <c r="B1335" i="2"/>
  <c r="E1335" i="2"/>
  <c r="A1336" i="2"/>
  <c r="B1336" i="2"/>
  <c r="E1336" i="2"/>
  <c r="A1337" i="2"/>
  <c r="B1337" i="2"/>
  <c r="E1337" i="2"/>
  <c r="A1338" i="2"/>
  <c r="B1338" i="2"/>
  <c r="E1338" i="2"/>
  <c r="A1339" i="2"/>
  <c r="B1339" i="2"/>
  <c r="E1339" i="2"/>
  <c r="A1340" i="2"/>
  <c r="B1340" i="2"/>
  <c r="E1340" i="2"/>
  <c r="A1341" i="2"/>
  <c r="B1341" i="2"/>
  <c r="E1341" i="2"/>
  <c r="A1342" i="2"/>
  <c r="B1342" i="2"/>
  <c r="E1342" i="2"/>
  <c r="A1343" i="2"/>
  <c r="B1343" i="2"/>
  <c r="E1343" i="2"/>
  <c r="A1344" i="2"/>
  <c r="B1344" i="2"/>
  <c r="E1344" i="2"/>
  <c r="A1345" i="2"/>
  <c r="B1345" i="2"/>
  <c r="E1345" i="2"/>
  <c r="A1346" i="2"/>
  <c r="B1346" i="2"/>
  <c r="E1346" i="2"/>
  <c r="A1347" i="2"/>
  <c r="B1347" i="2"/>
  <c r="E1347" i="2"/>
  <c r="A1348" i="2"/>
  <c r="B1348" i="2"/>
  <c r="E1348" i="2"/>
  <c r="A1349" i="2"/>
  <c r="B1349" i="2"/>
  <c r="E1349" i="2"/>
  <c r="A1350" i="2"/>
  <c r="B1350" i="2"/>
  <c r="E1350" i="2"/>
  <c r="A1351" i="2"/>
  <c r="B1351" i="2"/>
  <c r="E1351" i="2"/>
  <c r="A1352" i="2"/>
  <c r="B1352" i="2"/>
  <c r="E1352" i="2"/>
  <c r="A1353" i="2"/>
  <c r="B1353" i="2"/>
  <c r="E1353" i="2"/>
  <c r="A1354" i="2"/>
  <c r="B1354" i="2"/>
  <c r="E1354" i="2"/>
  <c r="A1355" i="2"/>
  <c r="B1355" i="2"/>
  <c r="E1355" i="2"/>
  <c r="A1356" i="2"/>
  <c r="B1356" i="2"/>
  <c r="E1356" i="2"/>
  <c r="A1357" i="2"/>
  <c r="B1357" i="2"/>
  <c r="E1357" i="2"/>
  <c r="A1358" i="2"/>
  <c r="B1358" i="2"/>
  <c r="E1358" i="2"/>
  <c r="A1359" i="2"/>
  <c r="B1359" i="2"/>
  <c r="E1359" i="2"/>
  <c r="A1360" i="2"/>
  <c r="B1360" i="2"/>
  <c r="E1360" i="2"/>
  <c r="A1361" i="2"/>
  <c r="B1361" i="2"/>
  <c r="E1361" i="2"/>
  <c r="A1362" i="2"/>
  <c r="B1362" i="2"/>
  <c r="E1362" i="2"/>
  <c r="A1363" i="2"/>
  <c r="B1363" i="2"/>
  <c r="E1363" i="2"/>
  <c r="A1364" i="2"/>
  <c r="B1364" i="2"/>
  <c r="E1364" i="2"/>
  <c r="A1365" i="2"/>
  <c r="B1365" i="2"/>
  <c r="E1365" i="2"/>
  <c r="A1366" i="2"/>
  <c r="B1366" i="2"/>
  <c r="E1366" i="2"/>
  <c r="A1367" i="2"/>
  <c r="B1367" i="2"/>
  <c r="E1367" i="2"/>
  <c r="A1368" i="2"/>
  <c r="B1368" i="2"/>
  <c r="E1368" i="2"/>
  <c r="A1369" i="2"/>
  <c r="B1369" i="2"/>
  <c r="E1369" i="2"/>
  <c r="A1370" i="2"/>
  <c r="B1370" i="2"/>
  <c r="E1370" i="2"/>
  <c r="A1371" i="2"/>
  <c r="B1371" i="2"/>
  <c r="E1371" i="2"/>
  <c r="A1372" i="2"/>
  <c r="B1372" i="2"/>
  <c r="E1372" i="2"/>
  <c r="A1373" i="2"/>
  <c r="B1373" i="2"/>
  <c r="E1373" i="2"/>
  <c r="A1374" i="2"/>
  <c r="B1374" i="2"/>
  <c r="E1374" i="2"/>
  <c r="A1375" i="2"/>
  <c r="B1375" i="2"/>
  <c r="E1375" i="2"/>
  <c r="A1376" i="2"/>
  <c r="B1376" i="2"/>
  <c r="E1376" i="2"/>
  <c r="A1377" i="2"/>
  <c r="B1377" i="2"/>
  <c r="E1377" i="2"/>
  <c r="A1378" i="2"/>
  <c r="B1378" i="2"/>
  <c r="E1378" i="2"/>
  <c r="A1379" i="2"/>
  <c r="B1379" i="2"/>
  <c r="E1379" i="2"/>
  <c r="A1380" i="2"/>
  <c r="B1380" i="2"/>
  <c r="E1380" i="2"/>
  <c r="A1381" i="2"/>
  <c r="B1381" i="2"/>
  <c r="E1381" i="2"/>
  <c r="A1382" i="2"/>
  <c r="B1382" i="2"/>
  <c r="E1382" i="2"/>
  <c r="A1383" i="2"/>
  <c r="B1383" i="2"/>
  <c r="E1383" i="2"/>
  <c r="A1384" i="2"/>
  <c r="B1384" i="2"/>
  <c r="E1384" i="2"/>
  <c r="A1385" i="2"/>
  <c r="B1385" i="2"/>
  <c r="E1385" i="2"/>
  <c r="A1386" i="2"/>
  <c r="B1386" i="2"/>
  <c r="E1386" i="2"/>
  <c r="A1387" i="2"/>
  <c r="B1387" i="2"/>
  <c r="E1387" i="2"/>
  <c r="A1388" i="2"/>
  <c r="B1388" i="2"/>
  <c r="E1388" i="2"/>
  <c r="A1389" i="2"/>
  <c r="B1389" i="2"/>
  <c r="E1389" i="2"/>
  <c r="A1390" i="2"/>
  <c r="B1390" i="2"/>
  <c r="E1390" i="2"/>
  <c r="A1391" i="2"/>
  <c r="B1391" i="2"/>
  <c r="E1391" i="2"/>
  <c r="A1392" i="2"/>
  <c r="B1392" i="2"/>
  <c r="E1392" i="2"/>
  <c r="A1393" i="2"/>
  <c r="B1393" i="2"/>
  <c r="E1393" i="2"/>
  <c r="A1394" i="2"/>
  <c r="B1394" i="2"/>
  <c r="E1394" i="2"/>
  <c r="A1395" i="2"/>
  <c r="B1395" i="2"/>
  <c r="E1395" i="2"/>
  <c r="A1396" i="2"/>
  <c r="B1396" i="2"/>
  <c r="E1396" i="2"/>
  <c r="A1397" i="2"/>
  <c r="B1397" i="2"/>
  <c r="E1397" i="2"/>
  <c r="A1398" i="2"/>
  <c r="B1398" i="2"/>
  <c r="E1398" i="2"/>
  <c r="A1399" i="2"/>
  <c r="B1399" i="2"/>
  <c r="E1399" i="2"/>
  <c r="A1400" i="2"/>
  <c r="B1400" i="2"/>
  <c r="E1400" i="2"/>
  <c r="A1401" i="2"/>
  <c r="B1401" i="2"/>
  <c r="E1401" i="2"/>
  <c r="A1402" i="2"/>
  <c r="B1402" i="2"/>
  <c r="E1402" i="2"/>
  <c r="A1403" i="2"/>
  <c r="B1403" i="2"/>
  <c r="E1403" i="2"/>
  <c r="A1404" i="2"/>
  <c r="B1404" i="2"/>
  <c r="E1404" i="2"/>
  <c r="A1405" i="2"/>
  <c r="B1405" i="2"/>
  <c r="E1405" i="2"/>
  <c r="A1406" i="2"/>
  <c r="B1406" i="2"/>
  <c r="E1406" i="2"/>
  <c r="A1407" i="2"/>
  <c r="B1407" i="2"/>
  <c r="E1407" i="2"/>
  <c r="A1408" i="2"/>
  <c r="B1408" i="2"/>
  <c r="E1408" i="2"/>
  <c r="A1409" i="2"/>
  <c r="B1409" i="2"/>
  <c r="E1409" i="2"/>
  <c r="A1410" i="2"/>
  <c r="B1410" i="2"/>
  <c r="E1410" i="2"/>
  <c r="A1411" i="2"/>
  <c r="B1411" i="2"/>
  <c r="E1411" i="2"/>
  <c r="A1412" i="2"/>
  <c r="B1412" i="2"/>
  <c r="E1412" i="2"/>
  <c r="A1413" i="2"/>
  <c r="B1413" i="2"/>
  <c r="E1413" i="2"/>
  <c r="A1414" i="2"/>
  <c r="B1414" i="2"/>
  <c r="E1414" i="2"/>
  <c r="A1415" i="2"/>
  <c r="B1415" i="2"/>
  <c r="E1415" i="2"/>
  <c r="A1416" i="2"/>
  <c r="B1416" i="2"/>
  <c r="E1416" i="2"/>
  <c r="A1417" i="2"/>
  <c r="B1417" i="2"/>
  <c r="E1417" i="2"/>
  <c r="A1418" i="2"/>
  <c r="B1418" i="2"/>
  <c r="E1418" i="2"/>
  <c r="A1419" i="2"/>
  <c r="B1419" i="2"/>
  <c r="E1419" i="2"/>
  <c r="A1420" i="2"/>
  <c r="B1420" i="2"/>
  <c r="E1420" i="2"/>
  <c r="A1421" i="2"/>
  <c r="B1421" i="2"/>
  <c r="E1421" i="2"/>
  <c r="A1422" i="2"/>
  <c r="B1422" i="2"/>
  <c r="E1422" i="2"/>
  <c r="A1423" i="2"/>
  <c r="B1423" i="2"/>
  <c r="E1423" i="2"/>
  <c r="A1424" i="2"/>
  <c r="B1424" i="2"/>
  <c r="E1424" i="2"/>
  <c r="A1425" i="2"/>
  <c r="B1425" i="2"/>
  <c r="E1425" i="2"/>
  <c r="A1426" i="2"/>
  <c r="B1426" i="2"/>
  <c r="E1426" i="2"/>
  <c r="A1427" i="2"/>
  <c r="B1427" i="2"/>
  <c r="E1427" i="2"/>
  <c r="A1428" i="2"/>
  <c r="B1428" i="2"/>
  <c r="E1428" i="2"/>
  <c r="A1429" i="2"/>
  <c r="B1429" i="2"/>
  <c r="E1429" i="2"/>
  <c r="A1430" i="2"/>
  <c r="B1430" i="2"/>
  <c r="E1430" i="2"/>
  <c r="A1431" i="2"/>
  <c r="B1431" i="2"/>
  <c r="E1431" i="2"/>
  <c r="A1432" i="2"/>
  <c r="B1432" i="2"/>
  <c r="E1432" i="2"/>
  <c r="A1433" i="2"/>
  <c r="B1433" i="2"/>
  <c r="E1433" i="2"/>
  <c r="A1434" i="2"/>
  <c r="B1434" i="2"/>
  <c r="E1434" i="2"/>
  <c r="A1435" i="2"/>
  <c r="B1435" i="2"/>
  <c r="E1435" i="2"/>
  <c r="A1436" i="2"/>
  <c r="B1436" i="2"/>
  <c r="E1436" i="2"/>
  <c r="A1437" i="2"/>
  <c r="B1437" i="2"/>
  <c r="E1437" i="2"/>
  <c r="A1438" i="2"/>
  <c r="B1438" i="2"/>
  <c r="E1438" i="2"/>
  <c r="A1439" i="2"/>
  <c r="B1439" i="2"/>
  <c r="E1439" i="2"/>
  <c r="A1440" i="2"/>
  <c r="B1440" i="2"/>
  <c r="E1440" i="2"/>
  <c r="A1441" i="2"/>
  <c r="B1441" i="2"/>
  <c r="E1441" i="2"/>
  <c r="A1442" i="2"/>
  <c r="B1442" i="2"/>
  <c r="E1442" i="2"/>
  <c r="A1443" i="2"/>
  <c r="B1443" i="2"/>
  <c r="E1443" i="2"/>
  <c r="A1444" i="2"/>
  <c r="B1444" i="2"/>
  <c r="E1444" i="2"/>
  <c r="A1445" i="2"/>
  <c r="B1445" i="2"/>
  <c r="E1445" i="2"/>
  <c r="A1446" i="2"/>
  <c r="B1446" i="2"/>
  <c r="E1446" i="2"/>
  <c r="A1447" i="2"/>
  <c r="B1447" i="2"/>
  <c r="E1447" i="2"/>
  <c r="A1448" i="2"/>
  <c r="B1448" i="2"/>
  <c r="E1448" i="2"/>
  <c r="A1449" i="2"/>
  <c r="B1449" i="2"/>
  <c r="E1449" i="2"/>
  <c r="A1450" i="2"/>
  <c r="B1450" i="2"/>
  <c r="E1450" i="2"/>
  <c r="A1451" i="2"/>
  <c r="B1451" i="2"/>
  <c r="E1451" i="2"/>
  <c r="A1452" i="2"/>
  <c r="B1452" i="2"/>
  <c r="E1452" i="2"/>
  <c r="A1453" i="2"/>
  <c r="B1453" i="2"/>
  <c r="E1453" i="2"/>
  <c r="A1454" i="2"/>
  <c r="B1454" i="2"/>
  <c r="E1454" i="2"/>
  <c r="A1455" i="2"/>
  <c r="B1455" i="2"/>
  <c r="E1455" i="2"/>
  <c r="A1456" i="2"/>
  <c r="B1456" i="2"/>
  <c r="E1456" i="2"/>
  <c r="A1457" i="2"/>
  <c r="B1457" i="2"/>
  <c r="E1457" i="2"/>
  <c r="A1458" i="2"/>
  <c r="B1458" i="2"/>
  <c r="E1458" i="2"/>
  <c r="A1459" i="2"/>
  <c r="B1459" i="2"/>
  <c r="E1459" i="2"/>
  <c r="A1460" i="2"/>
  <c r="B1460" i="2"/>
  <c r="E1460" i="2"/>
  <c r="A1461" i="2"/>
  <c r="B1461" i="2"/>
  <c r="E1461" i="2"/>
  <c r="A1462" i="2"/>
  <c r="B1462" i="2"/>
  <c r="E1462" i="2"/>
  <c r="A1463" i="2"/>
  <c r="B1463" i="2"/>
  <c r="E1463" i="2"/>
  <c r="A1464" i="2"/>
  <c r="B1464" i="2"/>
  <c r="E1464" i="2"/>
  <c r="A1465" i="2"/>
  <c r="B1465" i="2"/>
  <c r="E1465" i="2"/>
  <c r="A1466" i="2"/>
  <c r="B1466" i="2"/>
  <c r="E1466" i="2"/>
  <c r="A1467" i="2"/>
  <c r="B1467" i="2"/>
  <c r="E1467" i="2"/>
  <c r="A1468" i="2"/>
  <c r="B1468" i="2"/>
  <c r="E1468" i="2"/>
  <c r="A1469" i="2"/>
  <c r="B1469" i="2"/>
  <c r="E1469" i="2"/>
  <c r="A1470" i="2"/>
  <c r="B1470" i="2"/>
  <c r="E1470" i="2"/>
  <c r="A1471" i="2"/>
  <c r="B1471" i="2"/>
  <c r="E1471" i="2"/>
  <c r="A1472" i="2"/>
  <c r="B1472" i="2"/>
  <c r="E1472" i="2"/>
  <c r="A1473" i="2"/>
  <c r="B1473" i="2"/>
  <c r="E1473" i="2"/>
  <c r="A1474" i="2"/>
  <c r="B1474" i="2"/>
  <c r="E1474" i="2"/>
  <c r="A1475" i="2"/>
  <c r="B1475" i="2"/>
  <c r="E1475" i="2"/>
  <c r="A1476" i="2"/>
  <c r="B1476" i="2"/>
  <c r="E1476" i="2"/>
  <c r="A1477" i="2"/>
  <c r="B1477" i="2"/>
  <c r="E1477" i="2"/>
  <c r="A1478" i="2"/>
  <c r="B1478" i="2"/>
  <c r="E1478" i="2"/>
  <c r="A1479" i="2"/>
  <c r="B1479" i="2"/>
  <c r="E1479" i="2"/>
  <c r="A1480" i="2"/>
  <c r="B1480" i="2"/>
  <c r="E1480" i="2"/>
  <c r="A1481" i="2"/>
  <c r="B1481" i="2"/>
  <c r="E1481" i="2"/>
  <c r="A1482" i="2"/>
  <c r="B1482" i="2"/>
  <c r="E1482" i="2"/>
  <c r="A1483" i="2"/>
  <c r="B1483" i="2"/>
  <c r="E1483" i="2"/>
  <c r="A1484" i="2"/>
  <c r="B1484" i="2"/>
  <c r="E1484" i="2"/>
  <c r="A1485" i="2"/>
  <c r="B1485" i="2"/>
  <c r="E1485" i="2"/>
  <c r="A1486" i="2"/>
  <c r="B1486" i="2"/>
  <c r="E1486" i="2"/>
  <c r="A1487" i="2"/>
  <c r="B1487" i="2"/>
  <c r="E1487" i="2"/>
  <c r="A1488" i="2"/>
  <c r="B1488" i="2"/>
  <c r="E1488" i="2"/>
  <c r="A1489" i="2"/>
  <c r="B1489" i="2"/>
  <c r="E1489" i="2"/>
  <c r="A1490" i="2"/>
  <c r="B1490" i="2"/>
  <c r="E1490" i="2"/>
  <c r="A1491" i="2"/>
  <c r="B1491" i="2"/>
  <c r="E1491" i="2"/>
  <c r="A1492" i="2"/>
  <c r="B1492" i="2"/>
  <c r="E1492" i="2"/>
  <c r="A1493" i="2"/>
  <c r="B1493" i="2"/>
  <c r="E1493" i="2"/>
  <c r="A1494" i="2"/>
  <c r="B1494" i="2"/>
  <c r="E1494" i="2"/>
  <c r="A1495" i="2"/>
  <c r="B1495" i="2"/>
  <c r="E1495" i="2"/>
  <c r="A1496" i="2"/>
  <c r="B1496" i="2"/>
  <c r="E1496" i="2"/>
  <c r="A1497" i="2"/>
  <c r="B1497" i="2"/>
  <c r="E1497" i="2"/>
  <c r="A1498" i="2"/>
  <c r="B1498" i="2"/>
  <c r="E1498" i="2"/>
  <c r="A1499" i="2"/>
  <c r="B1499" i="2"/>
  <c r="E1499" i="2"/>
  <c r="A1500" i="2"/>
  <c r="B1500" i="2"/>
  <c r="E1500" i="2"/>
  <c r="A1501" i="2"/>
  <c r="B1501" i="2"/>
  <c r="E1501" i="2"/>
  <c r="A1502" i="2"/>
  <c r="B1502" i="2"/>
  <c r="E1502" i="2"/>
  <c r="A1503" i="2"/>
  <c r="B1503" i="2"/>
  <c r="E1503" i="2"/>
  <c r="A1504" i="2"/>
  <c r="B1504" i="2"/>
  <c r="E1504" i="2"/>
  <c r="A1505" i="2"/>
  <c r="B1505" i="2"/>
  <c r="E1505" i="2"/>
  <c r="A1506" i="2"/>
  <c r="B1506" i="2"/>
  <c r="E1506" i="2"/>
  <c r="A1507" i="2"/>
  <c r="B1507" i="2"/>
  <c r="E1507" i="2"/>
  <c r="A1508" i="2"/>
  <c r="B1508" i="2"/>
  <c r="E1508" i="2"/>
  <c r="A1509" i="2"/>
  <c r="B1509" i="2"/>
  <c r="E1509" i="2"/>
  <c r="A1510" i="2"/>
  <c r="B1510" i="2"/>
  <c r="E1510" i="2"/>
  <c r="A1511" i="2"/>
  <c r="B1511" i="2"/>
  <c r="E1511" i="2"/>
  <c r="A1512" i="2"/>
  <c r="B1512" i="2"/>
  <c r="E1512" i="2"/>
  <c r="A1513" i="2"/>
  <c r="B1513" i="2"/>
  <c r="E1513" i="2"/>
  <c r="A1514" i="2"/>
  <c r="B1514" i="2"/>
  <c r="E1514" i="2"/>
  <c r="A1515" i="2"/>
  <c r="B1515" i="2"/>
  <c r="E1515" i="2"/>
  <c r="A1516" i="2"/>
  <c r="B1516" i="2"/>
  <c r="E1516" i="2"/>
  <c r="A1517" i="2"/>
  <c r="B1517" i="2"/>
  <c r="E1517" i="2"/>
  <c r="A1518" i="2"/>
  <c r="B1518" i="2"/>
  <c r="E1518" i="2"/>
  <c r="A1519" i="2"/>
  <c r="B1519" i="2"/>
  <c r="E1519" i="2"/>
  <c r="A1520" i="2"/>
  <c r="B1520" i="2"/>
  <c r="E1520" i="2"/>
  <c r="A1521" i="2"/>
  <c r="B1521" i="2"/>
  <c r="E1521" i="2"/>
  <c r="A1522" i="2"/>
  <c r="B1522" i="2"/>
  <c r="E1522" i="2"/>
  <c r="A1523" i="2"/>
  <c r="B1523" i="2"/>
  <c r="E1523" i="2"/>
  <c r="A1524" i="2"/>
  <c r="B1524" i="2"/>
  <c r="E1524" i="2"/>
  <c r="A1525" i="2"/>
  <c r="B1525" i="2"/>
  <c r="E1525" i="2"/>
  <c r="A1526" i="2"/>
  <c r="B1526" i="2"/>
  <c r="E1526" i="2"/>
  <c r="A1527" i="2"/>
  <c r="B1527" i="2"/>
  <c r="E1527" i="2"/>
  <c r="A1528" i="2"/>
  <c r="B1528" i="2"/>
  <c r="E1528" i="2"/>
  <c r="A1529" i="2"/>
  <c r="B1529" i="2"/>
  <c r="E1529" i="2"/>
  <c r="A1530" i="2"/>
  <c r="B1530" i="2"/>
  <c r="E1530" i="2"/>
  <c r="A1531" i="2"/>
  <c r="B1531" i="2"/>
  <c r="E1531" i="2"/>
  <c r="A1532" i="2"/>
  <c r="B1532" i="2"/>
  <c r="E1532" i="2"/>
  <c r="A1533" i="2"/>
  <c r="B1533" i="2"/>
  <c r="E1533" i="2"/>
  <c r="A1534" i="2"/>
  <c r="B1534" i="2"/>
  <c r="E1534" i="2"/>
  <c r="A1535" i="2"/>
  <c r="B1535" i="2"/>
  <c r="E1535" i="2"/>
  <c r="A1536" i="2"/>
  <c r="B1536" i="2"/>
  <c r="E1536" i="2"/>
  <c r="A1537" i="2"/>
  <c r="B1537" i="2"/>
  <c r="E1537" i="2"/>
  <c r="A1538" i="2"/>
  <c r="B1538" i="2"/>
  <c r="E1538" i="2"/>
  <c r="A1539" i="2"/>
  <c r="B1539" i="2"/>
  <c r="E1539" i="2"/>
  <c r="A1540" i="2"/>
  <c r="B1540" i="2"/>
  <c r="E1540" i="2"/>
  <c r="A1541" i="2"/>
  <c r="B1541" i="2"/>
  <c r="E1541" i="2"/>
  <c r="A1542" i="2"/>
  <c r="B1542" i="2"/>
  <c r="E1542" i="2"/>
  <c r="A1543" i="2"/>
  <c r="B1543" i="2"/>
  <c r="E1543" i="2"/>
  <c r="A1544" i="2"/>
  <c r="B1544" i="2"/>
  <c r="E1544" i="2"/>
  <c r="A1545" i="2"/>
  <c r="B1545" i="2"/>
  <c r="E1545" i="2"/>
  <c r="A1546" i="2"/>
  <c r="B1546" i="2"/>
  <c r="E1546" i="2"/>
  <c r="A1547" i="2"/>
  <c r="B1547" i="2"/>
  <c r="E1547" i="2"/>
  <c r="A1548" i="2"/>
  <c r="B1548" i="2"/>
  <c r="E1548" i="2"/>
  <c r="A1549" i="2"/>
  <c r="B1549" i="2"/>
  <c r="E1549" i="2"/>
  <c r="A1550" i="2"/>
  <c r="B1550" i="2"/>
  <c r="E1550" i="2"/>
  <c r="A1551" i="2"/>
  <c r="B1551" i="2"/>
  <c r="E1551" i="2"/>
  <c r="A1552" i="2"/>
  <c r="B1552" i="2"/>
  <c r="E1552" i="2"/>
  <c r="A1553" i="2"/>
  <c r="B1553" i="2"/>
  <c r="E1553" i="2"/>
  <c r="A1554" i="2"/>
  <c r="B1554" i="2"/>
  <c r="E1554" i="2"/>
  <c r="A1555" i="2"/>
  <c r="B1555" i="2"/>
  <c r="E1555" i="2"/>
  <c r="A1556" i="2"/>
  <c r="B1556" i="2"/>
  <c r="E1556" i="2"/>
  <c r="A1557" i="2"/>
  <c r="B1557" i="2"/>
  <c r="E1557" i="2"/>
  <c r="A1558" i="2"/>
  <c r="B1558" i="2"/>
  <c r="E1558" i="2"/>
  <c r="A1559" i="2"/>
  <c r="B1559" i="2"/>
  <c r="E1559" i="2"/>
  <c r="A1560" i="2"/>
  <c r="B1560" i="2"/>
  <c r="E1560" i="2"/>
  <c r="A1561" i="2"/>
  <c r="B1561" i="2"/>
  <c r="E1561" i="2"/>
  <c r="A1562" i="2"/>
  <c r="B1562" i="2"/>
  <c r="E1562" i="2"/>
  <c r="A1563" i="2"/>
  <c r="B1563" i="2"/>
  <c r="E1563" i="2"/>
  <c r="A1564" i="2"/>
  <c r="B1564" i="2"/>
  <c r="E1564" i="2"/>
  <c r="A1565" i="2"/>
  <c r="B1565" i="2"/>
  <c r="E1565" i="2"/>
  <c r="A1566" i="2"/>
  <c r="B1566" i="2"/>
  <c r="E1566" i="2"/>
  <c r="A1567" i="2"/>
  <c r="B1567" i="2"/>
  <c r="E1567" i="2"/>
  <c r="A1568" i="2"/>
  <c r="B1568" i="2"/>
  <c r="E1568" i="2"/>
  <c r="A1569" i="2"/>
  <c r="B1569" i="2"/>
  <c r="E1569" i="2"/>
  <c r="A1570" i="2"/>
  <c r="B1570" i="2"/>
  <c r="E1570" i="2"/>
  <c r="A1571" i="2"/>
  <c r="B1571" i="2"/>
  <c r="E1571" i="2"/>
  <c r="A1572" i="2"/>
  <c r="B1572" i="2"/>
  <c r="E1572" i="2"/>
  <c r="A1573" i="2"/>
  <c r="B1573" i="2"/>
  <c r="E1573" i="2"/>
  <c r="A1574" i="2"/>
  <c r="B1574" i="2"/>
  <c r="E1574" i="2"/>
  <c r="A1575" i="2"/>
  <c r="B1575" i="2"/>
  <c r="E1575" i="2"/>
  <c r="A1576" i="2"/>
  <c r="B1576" i="2"/>
  <c r="E1576" i="2"/>
  <c r="A1577" i="2"/>
  <c r="B1577" i="2"/>
  <c r="E1577" i="2"/>
  <c r="A1578" i="2"/>
  <c r="B1578" i="2"/>
  <c r="E1578" i="2"/>
  <c r="A1579" i="2"/>
  <c r="B1579" i="2"/>
  <c r="E1579" i="2"/>
  <c r="A1580" i="2"/>
  <c r="B1580" i="2"/>
  <c r="E1580" i="2"/>
  <c r="A1581" i="2"/>
  <c r="B1581" i="2"/>
  <c r="E1581" i="2"/>
  <c r="A1582" i="2"/>
  <c r="B1582" i="2"/>
  <c r="E1582" i="2"/>
  <c r="A1583" i="2"/>
  <c r="B1583" i="2"/>
  <c r="E1583" i="2"/>
  <c r="A1584" i="2"/>
  <c r="B1584" i="2"/>
  <c r="E1584" i="2"/>
  <c r="A1585" i="2"/>
  <c r="B1585" i="2"/>
  <c r="E1585" i="2"/>
  <c r="A1586" i="2"/>
  <c r="B1586" i="2"/>
  <c r="E1586" i="2"/>
  <c r="A1587" i="2"/>
  <c r="B1587" i="2"/>
  <c r="E1587" i="2"/>
  <c r="A1588" i="2"/>
  <c r="B1588" i="2"/>
  <c r="E1588" i="2"/>
  <c r="A1589" i="2"/>
  <c r="B1589" i="2"/>
  <c r="E1589" i="2"/>
  <c r="A1590" i="2"/>
  <c r="B1590" i="2"/>
  <c r="E1590" i="2"/>
  <c r="A1591" i="2"/>
  <c r="B1591" i="2"/>
  <c r="E1591" i="2"/>
  <c r="A1592" i="2"/>
  <c r="B1592" i="2"/>
  <c r="E1592" i="2"/>
  <c r="A1593" i="2"/>
  <c r="B1593" i="2"/>
  <c r="E1593" i="2"/>
  <c r="A1594" i="2"/>
  <c r="B1594" i="2"/>
  <c r="E1594" i="2"/>
  <c r="A1595" i="2"/>
  <c r="B1595" i="2"/>
  <c r="E1595" i="2"/>
  <c r="A1596" i="2"/>
  <c r="B1596" i="2"/>
  <c r="E1596" i="2"/>
  <c r="A1597" i="2"/>
  <c r="B1597" i="2"/>
  <c r="E1597" i="2"/>
  <c r="A1598" i="2"/>
  <c r="B1598" i="2"/>
  <c r="E1598" i="2"/>
  <c r="A1599" i="2"/>
  <c r="B1599" i="2"/>
  <c r="E1599" i="2"/>
  <c r="A1600" i="2"/>
  <c r="B1600" i="2"/>
  <c r="E1600" i="2"/>
  <c r="A1601" i="2"/>
  <c r="B1601" i="2"/>
  <c r="E1601" i="2"/>
  <c r="A1602" i="2"/>
  <c r="B1602" i="2"/>
  <c r="E1602" i="2"/>
  <c r="A1603" i="2"/>
  <c r="B1603" i="2"/>
  <c r="E1603" i="2"/>
  <c r="A1604" i="2"/>
  <c r="B1604" i="2"/>
  <c r="E1604" i="2"/>
  <c r="A1605" i="2"/>
  <c r="B1605" i="2"/>
  <c r="E1605" i="2"/>
  <c r="A1606" i="2"/>
  <c r="B1606" i="2"/>
  <c r="E1606" i="2"/>
  <c r="A1607" i="2"/>
  <c r="B1607" i="2"/>
  <c r="E1607" i="2"/>
  <c r="A1608" i="2"/>
  <c r="B1608" i="2"/>
  <c r="E1608" i="2"/>
  <c r="A1609" i="2"/>
  <c r="B1609" i="2"/>
  <c r="E1609" i="2"/>
  <c r="A1610" i="2"/>
  <c r="B1610" i="2"/>
  <c r="E1610" i="2"/>
  <c r="A1611" i="2"/>
  <c r="B1611" i="2"/>
  <c r="E1611" i="2"/>
  <c r="A1612" i="2"/>
  <c r="B1612" i="2"/>
  <c r="E1612" i="2"/>
  <c r="A1613" i="2"/>
  <c r="B1613" i="2"/>
  <c r="E1613" i="2"/>
  <c r="A1614" i="2"/>
  <c r="B1614" i="2"/>
  <c r="E1614" i="2"/>
  <c r="A1615" i="2"/>
  <c r="B1615" i="2"/>
  <c r="E1615" i="2"/>
  <c r="A1616" i="2"/>
  <c r="B1616" i="2"/>
  <c r="E1616" i="2"/>
  <c r="A1617" i="2"/>
  <c r="B1617" i="2"/>
  <c r="E1617" i="2"/>
  <c r="A1618" i="2"/>
  <c r="B1618" i="2"/>
  <c r="E1618" i="2"/>
  <c r="A1619" i="2"/>
  <c r="B1619" i="2"/>
  <c r="E1619" i="2"/>
  <c r="A1620" i="2"/>
  <c r="B1620" i="2"/>
  <c r="E1620" i="2"/>
  <c r="A1621" i="2"/>
  <c r="B1621" i="2"/>
  <c r="E1621" i="2"/>
  <c r="A1622" i="2"/>
  <c r="B1622" i="2"/>
  <c r="E1622" i="2"/>
  <c r="A1623" i="2"/>
  <c r="B1623" i="2"/>
  <c r="E1623" i="2"/>
  <c r="A1624" i="2"/>
  <c r="B1624" i="2"/>
  <c r="E1624" i="2"/>
  <c r="A1625" i="2"/>
  <c r="B1625" i="2"/>
  <c r="E1625" i="2"/>
  <c r="A1626" i="2"/>
  <c r="B1626" i="2"/>
  <c r="E1626" i="2"/>
  <c r="A1627" i="2"/>
  <c r="B1627" i="2"/>
  <c r="E1627" i="2"/>
  <c r="A1628" i="2"/>
  <c r="B1628" i="2"/>
  <c r="E1628" i="2"/>
  <c r="A1629" i="2"/>
  <c r="B1629" i="2"/>
  <c r="E1629" i="2"/>
  <c r="A1630" i="2"/>
  <c r="B1630" i="2"/>
  <c r="E1630" i="2"/>
  <c r="A1631" i="2"/>
  <c r="B1631" i="2"/>
  <c r="E1631" i="2"/>
  <c r="A1632" i="2"/>
  <c r="B1632" i="2"/>
  <c r="E1632" i="2"/>
  <c r="A1633" i="2"/>
  <c r="B1633" i="2"/>
  <c r="E1633" i="2"/>
  <c r="A1634" i="2"/>
  <c r="B1634" i="2"/>
  <c r="E1634" i="2"/>
  <c r="A1635" i="2"/>
  <c r="B1635" i="2"/>
  <c r="E1635" i="2"/>
  <c r="A1636" i="2"/>
  <c r="B1636" i="2"/>
  <c r="E1636" i="2"/>
  <c r="A1637" i="2"/>
  <c r="B1637" i="2"/>
  <c r="E1637" i="2"/>
  <c r="A1638" i="2"/>
  <c r="B1638" i="2"/>
  <c r="E1638" i="2"/>
  <c r="A1639" i="2"/>
  <c r="B1639" i="2"/>
  <c r="E1639" i="2"/>
  <c r="A1640" i="2"/>
  <c r="B1640" i="2"/>
  <c r="E1640" i="2"/>
  <c r="A1641" i="2"/>
  <c r="B1641" i="2"/>
  <c r="E1641" i="2"/>
  <c r="A1642" i="2"/>
  <c r="B1642" i="2"/>
  <c r="E1642" i="2"/>
  <c r="A1643" i="2"/>
  <c r="B1643" i="2"/>
  <c r="E1643" i="2"/>
  <c r="A1644" i="2"/>
  <c r="B1644" i="2"/>
  <c r="E1644" i="2"/>
  <c r="A1645" i="2"/>
  <c r="B1645" i="2"/>
  <c r="E1645" i="2"/>
  <c r="A1646" i="2"/>
  <c r="B1646" i="2"/>
  <c r="E1646" i="2"/>
  <c r="A1647" i="2"/>
  <c r="B1647" i="2"/>
  <c r="E1647" i="2"/>
  <c r="A1648" i="2"/>
  <c r="B1648" i="2"/>
  <c r="E1648" i="2"/>
  <c r="A1649" i="2"/>
  <c r="B1649" i="2"/>
  <c r="E1649" i="2"/>
  <c r="A1650" i="2"/>
  <c r="B1650" i="2"/>
  <c r="E1650" i="2"/>
  <c r="A1651" i="2"/>
  <c r="B1651" i="2"/>
  <c r="E1651" i="2"/>
  <c r="A1652" i="2"/>
  <c r="B1652" i="2"/>
  <c r="E1652" i="2"/>
  <c r="A1653" i="2"/>
  <c r="B1653" i="2"/>
  <c r="E1653" i="2"/>
  <c r="A1654" i="2"/>
  <c r="B1654" i="2"/>
  <c r="E1654" i="2"/>
  <c r="A1655" i="2"/>
  <c r="B1655" i="2"/>
  <c r="E1655" i="2"/>
  <c r="A1656" i="2"/>
  <c r="B1656" i="2"/>
  <c r="E1656" i="2"/>
  <c r="A1657" i="2"/>
  <c r="B1657" i="2"/>
  <c r="E1657" i="2"/>
  <c r="A1658" i="2"/>
  <c r="B1658" i="2"/>
  <c r="E1658" i="2"/>
  <c r="A1659" i="2"/>
  <c r="B1659" i="2"/>
  <c r="E1659" i="2"/>
  <c r="A1660" i="2"/>
  <c r="B1660" i="2"/>
  <c r="E1660" i="2"/>
  <c r="A1661" i="2"/>
  <c r="B1661" i="2"/>
  <c r="E1661" i="2"/>
  <c r="A1662" i="2"/>
  <c r="B1662" i="2"/>
  <c r="E1662" i="2"/>
  <c r="A1663" i="2"/>
  <c r="B1663" i="2"/>
  <c r="E1663" i="2"/>
  <c r="A1664" i="2"/>
  <c r="B1664" i="2"/>
  <c r="E1664" i="2"/>
  <c r="A1665" i="2"/>
  <c r="B1665" i="2"/>
  <c r="E1665" i="2"/>
  <c r="A1666" i="2"/>
  <c r="B1666" i="2"/>
  <c r="E1666" i="2"/>
  <c r="A1667" i="2"/>
  <c r="B1667" i="2"/>
  <c r="E1667" i="2"/>
  <c r="A1668" i="2"/>
  <c r="B1668" i="2"/>
  <c r="E1668" i="2"/>
  <c r="A1669" i="2"/>
  <c r="B1669" i="2"/>
  <c r="E1669" i="2"/>
  <c r="A1670" i="2"/>
  <c r="B1670" i="2"/>
  <c r="E1670" i="2"/>
  <c r="A1671" i="2"/>
  <c r="B1671" i="2"/>
  <c r="E1671" i="2"/>
  <c r="A1672" i="2"/>
  <c r="B1672" i="2"/>
  <c r="E1672" i="2"/>
  <c r="A1673" i="2"/>
  <c r="B1673" i="2"/>
  <c r="E1673" i="2"/>
  <c r="A1674" i="2"/>
  <c r="B1674" i="2"/>
  <c r="E1674" i="2"/>
  <c r="A1675" i="2"/>
  <c r="B1675" i="2"/>
  <c r="E1675" i="2"/>
  <c r="A1676" i="2"/>
  <c r="B1676" i="2"/>
  <c r="E1676" i="2"/>
  <c r="A1677" i="2"/>
  <c r="B1677" i="2"/>
  <c r="E1677" i="2"/>
  <c r="A1678" i="2"/>
  <c r="B1678" i="2"/>
  <c r="E1678" i="2"/>
  <c r="A1679" i="2"/>
  <c r="B1679" i="2"/>
  <c r="E1679" i="2"/>
  <c r="A1680" i="2"/>
  <c r="B1680" i="2"/>
  <c r="E1680" i="2"/>
  <c r="A1681" i="2"/>
  <c r="B1681" i="2"/>
  <c r="E1681" i="2"/>
  <c r="A1682" i="2"/>
  <c r="B1682" i="2"/>
  <c r="E1682" i="2"/>
  <c r="A1683" i="2"/>
  <c r="B1683" i="2"/>
  <c r="E1683" i="2"/>
  <c r="A1684" i="2"/>
  <c r="B1684" i="2"/>
  <c r="E1684" i="2"/>
  <c r="A1685" i="2"/>
  <c r="B1685" i="2"/>
  <c r="E1685" i="2"/>
  <c r="A1686" i="2"/>
  <c r="B1686" i="2"/>
  <c r="E1686" i="2"/>
  <c r="A1687" i="2"/>
  <c r="B1687" i="2"/>
  <c r="E1687" i="2"/>
  <c r="A1688" i="2"/>
  <c r="B1688" i="2"/>
  <c r="E1688" i="2"/>
  <c r="A1689" i="2"/>
  <c r="B1689" i="2"/>
  <c r="E1689" i="2"/>
  <c r="A1690" i="2"/>
  <c r="B1690" i="2"/>
  <c r="E1690" i="2"/>
  <c r="A1691" i="2"/>
  <c r="B1691" i="2"/>
  <c r="E1691" i="2"/>
  <c r="A1692" i="2"/>
  <c r="B1692" i="2"/>
  <c r="E1692" i="2"/>
  <c r="A1693" i="2"/>
  <c r="B1693" i="2"/>
  <c r="E1693" i="2"/>
  <c r="A1694" i="2"/>
  <c r="B1694" i="2"/>
  <c r="E1694" i="2"/>
  <c r="A1695" i="2"/>
  <c r="B1695" i="2"/>
  <c r="E1695" i="2"/>
  <c r="A1696" i="2"/>
  <c r="B1696" i="2"/>
  <c r="E1696" i="2"/>
  <c r="A1697" i="2"/>
  <c r="B1697" i="2"/>
  <c r="E1697" i="2"/>
  <c r="A1698" i="2"/>
  <c r="B1698" i="2"/>
  <c r="E1698" i="2"/>
  <c r="A1699" i="2"/>
  <c r="B1699" i="2"/>
  <c r="E1699" i="2"/>
  <c r="A1700" i="2"/>
  <c r="B1700" i="2"/>
  <c r="E1700" i="2"/>
  <c r="A1701" i="2"/>
  <c r="B1701" i="2"/>
  <c r="E1701" i="2"/>
  <c r="A1702" i="2"/>
  <c r="B1702" i="2"/>
  <c r="E1702" i="2"/>
  <c r="A1703" i="2"/>
  <c r="B1703" i="2"/>
  <c r="E1703" i="2"/>
  <c r="A1704" i="2"/>
  <c r="B1704" i="2"/>
  <c r="E1704" i="2"/>
  <c r="A1705" i="2"/>
  <c r="B1705" i="2"/>
  <c r="E1705" i="2"/>
  <c r="A1706" i="2"/>
  <c r="B1706" i="2"/>
  <c r="E1706" i="2"/>
  <c r="A1707" i="2"/>
  <c r="B1707" i="2"/>
  <c r="E1707" i="2"/>
  <c r="A1708" i="2"/>
  <c r="B1708" i="2"/>
  <c r="E1708" i="2"/>
  <c r="A1709" i="2"/>
  <c r="B1709" i="2"/>
  <c r="E1709" i="2"/>
  <c r="A1710" i="2"/>
  <c r="B1710" i="2"/>
  <c r="E1710" i="2"/>
  <c r="A1711" i="2"/>
  <c r="B1711" i="2"/>
  <c r="E1711" i="2"/>
  <c r="A1712" i="2"/>
  <c r="B1712" i="2"/>
  <c r="E1712" i="2"/>
  <c r="A1713" i="2"/>
  <c r="B1713" i="2"/>
  <c r="E1713" i="2"/>
  <c r="A1714" i="2"/>
  <c r="B1714" i="2"/>
  <c r="E1714" i="2"/>
  <c r="A1715" i="2"/>
  <c r="B1715" i="2"/>
  <c r="E1715" i="2"/>
  <c r="A1716" i="2"/>
  <c r="B1716" i="2"/>
  <c r="E1716" i="2"/>
  <c r="A1717" i="2"/>
  <c r="B1717" i="2"/>
  <c r="E1717" i="2"/>
  <c r="A1718" i="2"/>
  <c r="B1718" i="2"/>
  <c r="E1718" i="2"/>
  <c r="A1719" i="2"/>
  <c r="B1719" i="2"/>
  <c r="E1719" i="2"/>
  <c r="A1720" i="2"/>
  <c r="B1720" i="2"/>
  <c r="E1720" i="2"/>
  <c r="A1721" i="2"/>
  <c r="B1721" i="2"/>
  <c r="E1721" i="2"/>
  <c r="A1722" i="2"/>
  <c r="B1722" i="2"/>
  <c r="E1722" i="2"/>
  <c r="A1723" i="2"/>
  <c r="B1723" i="2"/>
  <c r="E1723" i="2"/>
  <c r="A1724" i="2"/>
  <c r="B1724" i="2"/>
  <c r="E1724" i="2"/>
  <c r="A1725" i="2"/>
  <c r="B1725" i="2"/>
  <c r="E1725" i="2"/>
  <c r="A1726" i="2"/>
  <c r="B1726" i="2"/>
  <c r="E1726" i="2"/>
  <c r="A1727" i="2"/>
  <c r="B1727" i="2"/>
  <c r="E1727" i="2"/>
  <c r="A1728" i="2"/>
  <c r="B1728" i="2"/>
  <c r="E1728" i="2"/>
  <c r="A1729" i="2"/>
  <c r="B1729" i="2"/>
  <c r="E1729" i="2"/>
  <c r="A1730" i="2"/>
  <c r="B1730" i="2"/>
  <c r="E1730" i="2"/>
  <c r="A1731" i="2"/>
  <c r="B1731" i="2"/>
  <c r="E1731" i="2"/>
  <c r="A1732" i="2"/>
  <c r="B1732" i="2"/>
  <c r="E1732" i="2"/>
  <c r="A1733" i="2"/>
  <c r="B1733" i="2"/>
  <c r="E1733" i="2"/>
  <c r="A1734" i="2"/>
  <c r="B1734" i="2"/>
  <c r="E1734" i="2"/>
  <c r="A1735" i="2"/>
  <c r="B1735" i="2"/>
  <c r="E1735" i="2"/>
  <c r="A1736" i="2"/>
  <c r="B1736" i="2"/>
  <c r="E1736" i="2"/>
  <c r="A1737" i="2"/>
  <c r="B1737" i="2"/>
  <c r="E1737" i="2"/>
  <c r="A1738" i="2"/>
  <c r="B1738" i="2"/>
  <c r="E1738" i="2"/>
  <c r="A1739" i="2"/>
  <c r="B1739" i="2"/>
  <c r="E1739" i="2"/>
  <c r="A1740" i="2"/>
  <c r="B1740" i="2"/>
  <c r="E1740" i="2"/>
  <c r="A1741" i="2"/>
  <c r="B1741" i="2"/>
  <c r="E1741" i="2"/>
  <c r="A1742" i="2"/>
  <c r="B1742" i="2"/>
  <c r="E1742" i="2"/>
  <c r="A1743" i="2"/>
  <c r="B1743" i="2"/>
  <c r="E1743" i="2"/>
  <c r="A1744" i="2"/>
  <c r="B1744" i="2"/>
  <c r="E1744" i="2"/>
  <c r="A1745" i="2"/>
  <c r="B1745" i="2"/>
  <c r="E1745" i="2"/>
  <c r="A1746" i="2"/>
  <c r="B1746" i="2"/>
  <c r="E1746" i="2"/>
  <c r="A1747" i="2"/>
  <c r="B1747" i="2"/>
  <c r="E1747" i="2"/>
  <c r="A1748" i="2"/>
  <c r="B1748" i="2"/>
  <c r="E1748" i="2"/>
  <c r="A1749" i="2"/>
  <c r="B1749" i="2"/>
  <c r="E1749" i="2"/>
  <c r="A1750" i="2"/>
  <c r="B1750" i="2"/>
  <c r="E1750" i="2"/>
  <c r="A1751" i="2"/>
  <c r="B1751" i="2"/>
  <c r="E1751" i="2"/>
  <c r="A1752" i="2"/>
  <c r="B1752" i="2"/>
  <c r="E1752" i="2"/>
  <c r="A1753" i="2"/>
  <c r="B1753" i="2"/>
  <c r="E1753" i="2"/>
  <c r="A1754" i="2"/>
  <c r="B1754" i="2"/>
  <c r="E1754" i="2"/>
  <c r="A1755" i="2"/>
  <c r="B1755" i="2"/>
  <c r="E1755" i="2"/>
  <c r="A1756" i="2"/>
  <c r="B1756" i="2"/>
  <c r="E1756" i="2"/>
  <c r="A1757" i="2"/>
  <c r="B1757" i="2"/>
  <c r="E1757" i="2"/>
  <c r="A1758" i="2"/>
  <c r="B1758" i="2"/>
  <c r="E1758" i="2"/>
  <c r="A1759" i="2"/>
  <c r="B1759" i="2"/>
  <c r="E1759" i="2"/>
  <c r="A1760" i="2"/>
  <c r="B1760" i="2"/>
  <c r="E1760" i="2"/>
  <c r="A1761" i="2"/>
  <c r="B1761" i="2"/>
  <c r="E1761" i="2"/>
  <c r="A1762" i="2"/>
  <c r="B1762" i="2"/>
  <c r="E1762" i="2"/>
  <c r="A1763" i="2"/>
  <c r="B1763" i="2"/>
  <c r="E1763" i="2"/>
  <c r="A1764" i="2"/>
  <c r="B1764" i="2"/>
  <c r="E1764" i="2"/>
  <c r="A1765" i="2"/>
  <c r="B1765" i="2"/>
  <c r="E1765" i="2"/>
  <c r="A1766" i="2"/>
  <c r="B1766" i="2"/>
  <c r="E1766" i="2"/>
  <c r="A1767" i="2"/>
  <c r="B1767" i="2"/>
  <c r="E1767" i="2"/>
  <c r="A1768" i="2"/>
  <c r="B1768" i="2"/>
  <c r="E1768" i="2"/>
  <c r="A1769" i="2"/>
  <c r="B1769" i="2"/>
  <c r="E1769" i="2"/>
  <c r="A1770" i="2"/>
  <c r="B1770" i="2"/>
  <c r="E1770" i="2"/>
  <c r="A1771" i="2"/>
  <c r="B1771" i="2"/>
  <c r="E1771" i="2"/>
  <c r="A1772" i="2"/>
  <c r="B1772" i="2"/>
  <c r="E1772" i="2"/>
  <c r="A1773" i="2"/>
  <c r="B1773" i="2"/>
  <c r="E1773" i="2"/>
  <c r="A1774" i="2"/>
  <c r="B1774" i="2"/>
  <c r="E1774" i="2"/>
  <c r="A1775" i="2"/>
  <c r="B1775" i="2"/>
  <c r="E1775" i="2"/>
  <c r="A1776" i="2"/>
  <c r="B1776" i="2"/>
  <c r="E1776" i="2"/>
  <c r="A1777" i="2"/>
  <c r="B1777" i="2"/>
  <c r="E1777" i="2"/>
  <c r="A1778" i="2"/>
  <c r="B1778" i="2"/>
  <c r="E1778" i="2"/>
  <c r="A1779" i="2"/>
  <c r="B1779" i="2"/>
  <c r="E1779" i="2"/>
  <c r="A1780" i="2"/>
  <c r="B1780" i="2"/>
  <c r="E1780" i="2"/>
  <c r="A1781" i="2"/>
  <c r="B1781" i="2"/>
  <c r="E1781" i="2"/>
  <c r="A1782" i="2"/>
  <c r="B1782" i="2"/>
  <c r="E1782" i="2"/>
  <c r="A1783" i="2"/>
  <c r="B1783" i="2"/>
  <c r="E1783" i="2"/>
  <c r="A1784" i="2"/>
  <c r="B1784" i="2"/>
  <c r="E1784" i="2"/>
  <c r="A1785" i="2"/>
  <c r="B1785" i="2"/>
  <c r="E1785" i="2"/>
  <c r="A1786" i="2"/>
  <c r="B1786" i="2"/>
  <c r="E1786" i="2"/>
  <c r="A1787" i="2"/>
  <c r="B1787" i="2"/>
  <c r="E1787" i="2"/>
  <c r="A1788" i="2"/>
  <c r="B1788" i="2"/>
  <c r="E1788" i="2"/>
  <c r="A1789" i="2"/>
  <c r="B1789" i="2"/>
  <c r="E1789" i="2"/>
  <c r="A1790" i="2"/>
  <c r="B1790" i="2"/>
  <c r="E1790" i="2"/>
  <c r="A1791" i="2"/>
  <c r="B1791" i="2"/>
  <c r="E1791" i="2"/>
  <c r="A1792" i="2"/>
  <c r="B1792" i="2"/>
  <c r="E1792" i="2"/>
  <c r="A1793" i="2"/>
  <c r="B1793" i="2"/>
  <c r="E1793" i="2"/>
  <c r="A1794" i="2"/>
  <c r="B1794" i="2"/>
  <c r="E1794" i="2"/>
  <c r="A1795" i="2"/>
  <c r="B1795" i="2"/>
  <c r="E1795" i="2"/>
  <c r="A1796" i="2"/>
  <c r="B1796" i="2"/>
  <c r="E1796" i="2"/>
  <c r="A1797" i="2"/>
  <c r="B1797" i="2"/>
  <c r="E1797" i="2"/>
  <c r="A1798" i="2"/>
  <c r="B1798" i="2"/>
  <c r="E1798" i="2"/>
  <c r="A1799" i="2"/>
  <c r="B1799" i="2"/>
  <c r="E1799" i="2"/>
  <c r="A1800" i="2"/>
  <c r="B1800" i="2"/>
  <c r="E1800" i="2"/>
  <c r="A1801" i="2"/>
  <c r="B1801" i="2"/>
  <c r="E1801" i="2"/>
  <c r="A1802" i="2"/>
  <c r="B1802" i="2"/>
  <c r="E1802" i="2"/>
  <c r="A1803" i="2"/>
  <c r="B1803" i="2"/>
  <c r="E1803" i="2"/>
  <c r="A1804" i="2"/>
  <c r="B1804" i="2"/>
  <c r="E1804" i="2"/>
  <c r="A1805" i="2"/>
  <c r="B1805" i="2"/>
  <c r="E1805" i="2"/>
  <c r="A1806" i="2"/>
  <c r="B1806" i="2"/>
  <c r="E1806" i="2"/>
  <c r="A1807" i="2"/>
  <c r="B1807" i="2"/>
  <c r="E1807" i="2"/>
  <c r="A1808" i="2"/>
  <c r="B1808" i="2"/>
  <c r="E1808" i="2"/>
  <c r="A1809" i="2"/>
  <c r="B1809" i="2"/>
  <c r="E1809" i="2"/>
  <c r="A1810" i="2"/>
  <c r="B1810" i="2"/>
  <c r="E1810" i="2"/>
  <c r="A1811" i="2"/>
  <c r="B1811" i="2"/>
  <c r="E1811" i="2"/>
  <c r="A1812" i="2"/>
  <c r="B1812" i="2"/>
  <c r="E1812" i="2"/>
  <c r="A1813" i="2"/>
  <c r="B1813" i="2"/>
  <c r="E1813" i="2"/>
  <c r="A1814" i="2"/>
  <c r="B1814" i="2"/>
  <c r="E1814" i="2"/>
  <c r="A1815" i="2"/>
  <c r="B1815" i="2"/>
  <c r="E1815" i="2"/>
  <c r="A1816" i="2"/>
  <c r="B1816" i="2"/>
  <c r="E1816" i="2"/>
  <c r="A1817" i="2"/>
  <c r="B1817" i="2"/>
  <c r="E1817" i="2"/>
  <c r="A1818" i="2"/>
  <c r="B1818" i="2"/>
  <c r="E1818" i="2"/>
  <c r="A1819" i="2"/>
  <c r="B1819" i="2"/>
  <c r="E1819" i="2"/>
  <c r="A1820" i="2"/>
  <c r="B1820" i="2"/>
  <c r="E1820" i="2"/>
  <c r="A1821" i="2"/>
  <c r="B1821" i="2"/>
  <c r="E1821" i="2"/>
  <c r="A1822" i="2"/>
  <c r="B1822" i="2"/>
  <c r="E1822" i="2"/>
  <c r="A1823" i="2"/>
  <c r="B1823" i="2"/>
  <c r="E1823" i="2"/>
  <c r="A1824" i="2"/>
  <c r="B1824" i="2"/>
  <c r="E1824" i="2"/>
  <c r="A1825" i="2"/>
  <c r="B1825" i="2"/>
  <c r="E1825" i="2"/>
  <c r="A1826" i="2"/>
  <c r="B1826" i="2"/>
  <c r="E1826" i="2"/>
  <c r="A1827" i="2"/>
  <c r="B1827" i="2"/>
  <c r="E1827" i="2"/>
  <c r="A1828" i="2"/>
  <c r="B1828" i="2"/>
  <c r="E1828" i="2"/>
  <c r="A1829" i="2"/>
  <c r="B1829" i="2"/>
  <c r="E1829" i="2"/>
  <c r="A1830" i="2"/>
  <c r="B1830" i="2"/>
  <c r="E1830" i="2"/>
  <c r="A1831" i="2"/>
  <c r="B1831" i="2"/>
  <c r="E1831" i="2"/>
  <c r="A1832" i="2"/>
  <c r="B1832" i="2"/>
  <c r="E1832" i="2"/>
  <c r="A1833" i="2"/>
  <c r="B1833" i="2"/>
  <c r="E1833" i="2"/>
  <c r="A1834" i="2"/>
  <c r="B1834" i="2"/>
  <c r="E1834" i="2"/>
  <c r="A1835" i="2"/>
  <c r="B1835" i="2"/>
  <c r="E1835" i="2"/>
  <c r="A1836" i="2"/>
  <c r="B1836" i="2"/>
  <c r="E1836" i="2"/>
  <c r="A1837" i="2"/>
  <c r="B1837" i="2"/>
  <c r="E1837" i="2"/>
  <c r="A1838" i="2"/>
  <c r="B1838" i="2"/>
  <c r="E1838" i="2"/>
  <c r="A1839" i="2"/>
  <c r="B1839" i="2"/>
  <c r="E1839" i="2"/>
  <c r="A1840" i="2"/>
  <c r="B1840" i="2"/>
  <c r="E1840" i="2"/>
  <c r="A1841" i="2"/>
  <c r="B1841" i="2"/>
  <c r="E1841" i="2"/>
  <c r="A1842" i="2"/>
  <c r="B1842" i="2"/>
  <c r="E1842" i="2"/>
  <c r="A1843" i="2"/>
  <c r="B1843" i="2"/>
  <c r="E1843" i="2"/>
  <c r="A1844" i="2"/>
  <c r="B1844" i="2"/>
  <c r="E1844" i="2"/>
  <c r="A1845" i="2"/>
  <c r="B1845" i="2"/>
  <c r="E1845" i="2"/>
  <c r="A1846" i="2"/>
  <c r="B1846" i="2"/>
  <c r="E1846" i="2"/>
  <c r="A1847" i="2"/>
  <c r="B1847" i="2"/>
  <c r="E1847" i="2"/>
  <c r="A1848" i="2"/>
  <c r="B1848" i="2"/>
  <c r="E1848" i="2"/>
  <c r="A1849" i="2"/>
  <c r="B1849" i="2"/>
  <c r="E1849" i="2"/>
  <c r="A1850" i="2"/>
  <c r="B1850" i="2"/>
  <c r="E1850" i="2"/>
  <c r="A1851" i="2"/>
  <c r="B1851" i="2"/>
  <c r="E1851" i="2"/>
  <c r="A1852" i="2"/>
  <c r="B1852" i="2"/>
  <c r="E1852" i="2"/>
  <c r="A1853" i="2"/>
  <c r="B1853" i="2"/>
  <c r="E1853" i="2"/>
  <c r="A1854" i="2"/>
  <c r="B1854" i="2"/>
  <c r="E1854" i="2"/>
  <c r="A1855" i="2"/>
  <c r="B1855" i="2"/>
  <c r="E1855" i="2"/>
  <c r="A1856" i="2"/>
  <c r="B1856" i="2"/>
  <c r="E1856" i="2"/>
  <c r="A1857" i="2"/>
  <c r="B1857" i="2"/>
  <c r="E1857" i="2"/>
  <c r="A1858" i="2"/>
  <c r="B1858" i="2"/>
  <c r="E1858" i="2"/>
  <c r="A1859" i="2"/>
  <c r="B1859" i="2"/>
  <c r="E1859" i="2"/>
  <c r="A1860" i="2"/>
  <c r="B1860" i="2"/>
  <c r="E1860" i="2"/>
  <c r="A1861" i="2"/>
  <c r="B1861" i="2"/>
  <c r="E1861" i="2"/>
  <c r="A1862" i="2"/>
  <c r="B1862" i="2"/>
  <c r="E1862" i="2"/>
  <c r="A1863" i="2"/>
  <c r="B1863" i="2"/>
  <c r="E1863" i="2"/>
  <c r="A1864" i="2"/>
  <c r="B1864" i="2"/>
  <c r="E1864" i="2"/>
  <c r="A1865" i="2"/>
  <c r="B1865" i="2"/>
  <c r="E1865" i="2"/>
  <c r="A1866" i="2"/>
  <c r="B1866" i="2"/>
  <c r="E1866" i="2"/>
  <c r="A1867" i="2"/>
  <c r="B1867" i="2"/>
  <c r="E1867" i="2"/>
  <c r="A1868" i="2"/>
  <c r="B1868" i="2"/>
  <c r="E1868" i="2"/>
  <c r="A1869" i="2"/>
  <c r="B1869" i="2"/>
  <c r="E1869" i="2"/>
  <c r="A1870" i="2"/>
  <c r="B1870" i="2"/>
  <c r="E1870" i="2"/>
  <c r="A1871" i="2"/>
  <c r="B1871" i="2"/>
  <c r="E1871" i="2"/>
  <c r="A1872" i="2"/>
  <c r="B1872" i="2"/>
  <c r="E1872" i="2"/>
  <c r="A1873" i="2"/>
  <c r="B1873" i="2"/>
  <c r="E1873" i="2"/>
  <c r="A1874" i="2"/>
  <c r="B1874" i="2"/>
  <c r="E1874" i="2"/>
  <c r="A1875" i="2"/>
  <c r="B1875" i="2"/>
  <c r="E1875" i="2"/>
  <c r="A1876" i="2"/>
  <c r="B1876" i="2"/>
  <c r="E1876" i="2"/>
  <c r="A1877" i="2"/>
  <c r="B1877" i="2"/>
  <c r="E1877" i="2"/>
  <c r="A1878" i="2"/>
  <c r="B1878" i="2"/>
  <c r="E1878" i="2"/>
  <c r="A1879" i="2"/>
  <c r="B1879" i="2"/>
  <c r="E1879" i="2"/>
  <c r="A1880" i="2"/>
  <c r="B1880" i="2"/>
  <c r="E1880" i="2"/>
  <c r="A1881" i="2"/>
  <c r="B1881" i="2"/>
  <c r="E1881" i="2"/>
  <c r="A1882" i="2"/>
  <c r="B1882" i="2"/>
  <c r="E1882" i="2"/>
  <c r="A1883" i="2"/>
  <c r="B1883" i="2"/>
  <c r="E1883" i="2"/>
  <c r="A1884" i="2"/>
  <c r="B1884" i="2"/>
  <c r="E1884" i="2"/>
  <c r="A1885" i="2"/>
  <c r="B1885" i="2"/>
  <c r="E1885" i="2"/>
  <c r="A1886" i="2"/>
  <c r="B1886" i="2"/>
  <c r="E1886" i="2"/>
  <c r="A1887" i="2"/>
  <c r="B1887" i="2"/>
  <c r="E1887" i="2"/>
  <c r="A1888" i="2"/>
  <c r="B1888" i="2"/>
  <c r="E1888" i="2"/>
  <c r="A1889" i="2"/>
  <c r="B1889" i="2"/>
  <c r="E1889" i="2"/>
  <c r="A1890" i="2"/>
  <c r="B1890" i="2"/>
  <c r="E1890" i="2"/>
  <c r="A1891" i="2"/>
  <c r="B1891" i="2"/>
  <c r="E1891" i="2"/>
  <c r="A1892" i="2"/>
  <c r="B1892" i="2"/>
  <c r="E1892" i="2"/>
  <c r="A1893" i="2"/>
  <c r="B1893" i="2"/>
  <c r="E1893" i="2"/>
  <c r="A1894" i="2"/>
  <c r="B1894" i="2"/>
  <c r="E1894" i="2"/>
  <c r="A1895" i="2"/>
  <c r="B1895" i="2"/>
  <c r="E1895" i="2"/>
  <c r="A1896" i="2"/>
  <c r="B1896" i="2"/>
  <c r="E1896" i="2"/>
  <c r="A1897" i="2"/>
  <c r="B1897" i="2"/>
  <c r="E1897" i="2"/>
  <c r="A1898" i="2"/>
  <c r="B1898" i="2"/>
  <c r="E1898" i="2"/>
  <c r="A1899" i="2"/>
  <c r="B1899" i="2"/>
  <c r="E1899" i="2"/>
  <c r="A1900" i="2"/>
  <c r="B1900" i="2"/>
  <c r="E1900" i="2"/>
  <c r="A1901" i="2"/>
  <c r="B1901" i="2"/>
  <c r="E1901" i="2"/>
  <c r="A1902" i="2"/>
  <c r="B1902" i="2"/>
  <c r="E1902" i="2"/>
  <c r="A1903" i="2"/>
  <c r="B1903" i="2"/>
  <c r="E1903" i="2"/>
  <c r="A1904" i="2"/>
  <c r="B1904" i="2"/>
  <c r="E1904" i="2"/>
  <c r="A1905" i="2"/>
  <c r="B1905" i="2"/>
  <c r="E1905" i="2"/>
  <c r="A1906" i="2"/>
  <c r="B1906" i="2"/>
  <c r="E1906" i="2"/>
  <c r="A1907" i="2"/>
  <c r="B1907" i="2"/>
  <c r="E1907" i="2"/>
  <c r="A1908" i="2"/>
  <c r="B1908" i="2"/>
  <c r="E1908" i="2"/>
  <c r="A1909" i="2"/>
  <c r="B1909" i="2"/>
  <c r="E1909" i="2"/>
  <c r="A1910" i="2"/>
  <c r="B1910" i="2"/>
  <c r="E1910" i="2"/>
  <c r="A1911" i="2"/>
  <c r="B1911" i="2"/>
  <c r="E1911" i="2"/>
  <c r="A1912" i="2"/>
  <c r="B1912" i="2"/>
  <c r="E1912" i="2"/>
  <c r="A1913" i="2"/>
  <c r="B1913" i="2"/>
  <c r="E1913" i="2"/>
  <c r="A1914" i="2"/>
  <c r="B1914" i="2"/>
  <c r="E1914" i="2"/>
  <c r="A1915" i="2"/>
  <c r="B1915" i="2"/>
  <c r="E1915" i="2"/>
  <c r="A1916" i="2"/>
  <c r="B1916" i="2"/>
  <c r="E1916" i="2"/>
  <c r="A1917" i="2"/>
  <c r="B1917" i="2"/>
  <c r="E1917" i="2"/>
  <c r="A1918" i="2"/>
  <c r="B1918" i="2"/>
  <c r="E1918" i="2"/>
  <c r="A1919" i="2"/>
  <c r="B1919" i="2"/>
  <c r="E1919" i="2"/>
  <c r="A1920" i="2"/>
  <c r="B1920" i="2"/>
  <c r="E1920" i="2"/>
  <c r="A1921" i="2"/>
  <c r="B1921" i="2"/>
  <c r="E1921" i="2"/>
  <c r="A1922" i="2"/>
  <c r="B1922" i="2"/>
  <c r="E1922" i="2"/>
  <c r="A1923" i="2"/>
  <c r="B1923" i="2"/>
  <c r="E1923" i="2"/>
  <c r="A1924" i="2"/>
  <c r="B1924" i="2"/>
  <c r="E1924" i="2"/>
  <c r="A1925" i="2"/>
  <c r="B1925" i="2"/>
  <c r="E1925" i="2"/>
  <c r="A1926" i="2"/>
  <c r="B1926" i="2"/>
  <c r="E1926" i="2"/>
  <c r="A1927" i="2"/>
  <c r="B1927" i="2"/>
  <c r="E1927" i="2"/>
  <c r="A1928" i="2"/>
  <c r="B1928" i="2"/>
  <c r="E1928" i="2"/>
  <c r="A1929" i="2"/>
  <c r="B1929" i="2"/>
  <c r="E1929" i="2"/>
  <c r="A1930" i="2"/>
  <c r="B1930" i="2"/>
  <c r="E1930" i="2"/>
  <c r="A1931" i="2"/>
  <c r="B1931" i="2"/>
  <c r="E1931" i="2"/>
  <c r="A1932" i="2"/>
  <c r="B1932" i="2"/>
  <c r="E1932" i="2"/>
  <c r="A1933" i="2"/>
  <c r="B1933" i="2"/>
  <c r="E1933" i="2"/>
  <c r="A1934" i="2"/>
  <c r="B1934" i="2"/>
  <c r="E1934" i="2"/>
  <c r="A1935" i="2"/>
  <c r="B1935" i="2"/>
  <c r="E1935" i="2"/>
  <c r="A1936" i="2"/>
  <c r="B1936" i="2"/>
  <c r="E1936" i="2"/>
  <c r="A1937" i="2"/>
  <c r="B1937" i="2"/>
  <c r="E1937" i="2"/>
  <c r="A1938" i="2"/>
  <c r="B1938" i="2"/>
  <c r="E1938" i="2"/>
  <c r="A1939" i="2"/>
  <c r="B1939" i="2"/>
  <c r="E1939" i="2"/>
  <c r="A1940" i="2"/>
  <c r="B1940" i="2"/>
  <c r="E1940" i="2"/>
  <c r="A1941" i="2"/>
  <c r="B1941" i="2"/>
  <c r="E1941" i="2"/>
  <c r="A1942" i="2"/>
  <c r="B1942" i="2"/>
  <c r="E1942" i="2"/>
  <c r="A1943" i="2"/>
  <c r="B1943" i="2"/>
  <c r="E1943" i="2"/>
  <c r="A1944" i="2"/>
  <c r="B1944" i="2"/>
  <c r="E1944" i="2"/>
  <c r="A1945" i="2"/>
  <c r="B1945" i="2"/>
  <c r="E1945" i="2"/>
  <c r="A1946" i="2"/>
  <c r="B1946" i="2"/>
  <c r="E1946" i="2"/>
  <c r="A1947" i="2"/>
  <c r="B1947" i="2"/>
  <c r="E1947" i="2"/>
  <c r="A1948" i="2"/>
  <c r="B1948" i="2"/>
  <c r="E1948" i="2"/>
  <c r="A1949" i="2"/>
  <c r="B1949" i="2"/>
  <c r="E1949" i="2"/>
  <c r="A1950" i="2"/>
  <c r="B1950" i="2"/>
  <c r="E1950" i="2"/>
  <c r="A1951" i="2"/>
  <c r="B1951" i="2"/>
  <c r="E1951" i="2"/>
  <c r="A1952" i="2"/>
  <c r="B1952" i="2"/>
  <c r="E1952" i="2"/>
  <c r="A1953" i="2"/>
  <c r="B1953" i="2"/>
  <c r="E1953" i="2"/>
  <c r="A1954" i="2"/>
  <c r="B1954" i="2"/>
  <c r="E1954" i="2"/>
  <c r="A1955" i="2"/>
  <c r="B1955" i="2"/>
  <c r="E1955" i="2"/>
  <c r="A1956" i="2"/>
  <c r="B1956" i="2"/>
  <c r="E1956" i="2"/>
  <c r="A1957" i="2"/>
  <c r="B1957" i="2"/>
  <c r="E1957" i="2"/>
  <c r="A1958" i="2"/>
  <c r="B1958" i="2"/>
  <c r="E1958" i="2"/>
  <c r="A1959" i="2"/>
  <c r="B1959" i="2"/>
  <c r="E1959" i="2"/>
  <c r="A1960" i="2"/>
  <c r="B1960" i="2"/>
  <c r="E1960" i="2"/>
  <c r="A1961" i="2"/>
  <c r="B1961" i="2"/>
  <c r="E1961" i="2"/>
  <c r="A1962" i="2"/>
  <c r="B1962" i="2"/>
  <c r="E1962" i="2"/>
  <c r="A1963" i="2"/>
  <c r="B1963" i="2"/>
  <c r="E1963" i="2"/>
  <c r="A1964" i="2"/>
  <c r="B1964" i="2"/>
  <c r="E1964" i="2"/>
  <c r="A1965" i="2"/>
  <c r="B1965" i="2"/>
  <c r="E1965" i="2"/>
  <c r="A1966" i="2"/>
  <c r="B1966" i="2"/>
  <c r="E1966" i="2"/>
  <c r="A1967" i="2"/>
  <c r="B1967" i="2"/>
  <c r="E1967" i="2"/>
  <c r="A1968" i="2"/>
  <c r="B1968" i="2"/>
  <c r="E1968" i="2"/>
  <c r="A1969" i="2"/>
  <c r="B1969" i="2"/>
  <c r="E1969" i="2"/>
  <c r="A1970" i="2"/>
  <c r="B1970" i="2"/>
  <c r="E1970" i="2"/>
  <c r="A1971" i="2"/>
  <c r="B1971" i="2"/>
  <c r="E1971" i="2"/>
  <c r="A1972" i="2"/>
  <c r="B1972" i="2"/>
  <c r="E1972" i="2"/>
  <c r="A1973" i="2"/>
  <c r="B1973" i="2"/>
  <c r="E1973" i="2"/>
  <c r="A1974" i="2"/>
  <c r="B1974" i="2"/>
  <c r="E1974" i="2"/>
  <c r="A1975" i="2"/>
  <c r="B1975" i="2"/>
  <c r="E1975" i="2"/>
  <c r="A1976" i="2"/>
  <c r="B1976" i="2"/>
  <c r="E1976" i="2"/>
  <c r="A1977" i="2"/>
  <c r="B1977" i="2"/>
  <c r="E1977" i="2"/>
  <c r="A1978" i="2"/>
  <c r="B1978" i="2"/>
  <c r="E1978" i="2"/>
  <c r="A1979" i="2"/>
  <c r="B1979" i="2"/>
  <c r="E1979" i="2"/>
  <c r="A1980" i="2"/>
  <c r="B1980" i="2"/>
  <c r="E1980" i="2"/>
  <c r="A1981" i="2"/>
  <c r="B1981" i="2"/>
  <c r="E1981" i="2"/>
  <c r="A1982" i="2"/>
  <c r="B1982" i="2"/>
  <c r="E1982" i="2"/>
  <c r="A1983" i="2"/>
  <c r="B1983" i="2"/>
  <c r="E1983" i="2"/>
  <c r="A1984" i="2"/>
  <c r="B1984" i="2"/>
  <c r="E1984" i="2"/>
  <c r="A1985" i="2"/>
  <c r="B1985" i="2"/>
  <c r="E1985" i="2"/>
  <c r="A1986" i="2"/>
  <c r="B1986" i="2"/>
  <c r="E1986" i="2"/>
  <c r="A1987" i="2"/>
  <c r="B1987" i="2"/>
  <c r="E1987" i="2"/>
  <c r="A1988" i="2"/>
  <c r="B1988" i="2"/>
  <c r="E1988" i="2"/>
  <c r="A1989" i="2"/>
  <c r="B1989" i="2"/>
  <c r="E1989" i="2"/>
  <c r="A1990" i="2"/>
  <c r="B1990" i="2"/>
  <c r="E1990" i="2"/>
  <c r="A1991" i="2"/>
  <c r="B1991" i="2"/>
  <c r="E1991" i="2"/>
  <c r="A1992" i="2"/>
  <c r="B1992" i="2"/>
  <c r="E1992" i="2"/>
  <c r="A1993" i="2"/>
  <c r="B1993" i="2"/>
  <c r="E1993" i="2"/>
  <c r="A1994" i="2"/>
  <c r="B1994" i="2"/>
  <c r="E1994" i="2"/>
  <c r="A1995" i="2"/>
  <c r="B1995" i="2"/>
  <c r="E1995" i="2"/>
  <c r="A1996" i="2"/>
  <c r="B1996" i="2"/>
  <c r="E1996" i="2"/>
  <c r="A1997" i="2"/>
  <c r="B1997" i="2"/>
  <c r="E1997" i="2"/>
  <c r="A1998" i="2"/>
  <c r="B1998" i="2"/>
  <c r="E1998" i="2"/>
  <c r="A1999" i="2"/>
  <c r="B1999" i="2"/>
  <c r="E1999" i="2"/>
  <c r="A2000" i="2"/>
  <c r="B2000" i="2"/>
  <c r="E2000" i="2"/>
  <c r="A2001" i="2"/>
  <c r="B2001" i="2"/>
  <c r="E2001" i="2"/>
  <c r="A2002" i="2"/>
  <c r="B2002" i="2"/>
  <c r="E2002" i="2"/>
  <c r="A2003" i="2"/>
  <c r="B2003" i="2"/>
  <c r="E2003" i="2"/>
  <c r="A2004" i="2"/>
  <c r="B2004" i="2"/>
  <c r="E2004" i="2"/>
  <c r="A2005" i="2"/>
  <c r="B2005" i="2"/>
  <c r="E2005" i="2"/>
  <c r="A2006" i="2"/>
  <c r="B2006" i="2"/>
  <c r="E2006" i="2"/>
  <c r="A2007" i="2"/>
  <c r="B2007" i="2"/>
  <c r="E2007" i="2"/>
  <c r="A2008" i="2"/>
  <c r="B2008" i="2"/>
  <c r="E2008" i="2"/>
  <c r="A2009" i="2"/>
  <c r="B2009" i="2"/>
  <c r="E2009" i="2"/>
  <c r="A2010" i="2"/>
  <c r="B2010" i="2"/>
  <c r="E2010" i="2"/>
  <c r="A2011" i="2"/>
  <c r="B2011" i="2"/>
  <c r="E2011" i="2"/>
  <c r="A2012" i="2"/>
  <c r="B2012" i="2"/>
  <c r="E2012" i="2"/>
  <c r="A2013" i="2"/>
  <c r="B2013" i="2"/>
  <c r="E2013" i="2"/>
  <c r="A2014" i="2"/>
  <c r="B2014" i="2"/>
  <c r="E2014" i="2"/>
  <c r="A2015" i="2"/>
  <c r="B2015" i="2"/>
  <c r="E2015" i="2"/>
  <c r="A2016" i="2"/>
  <c r="B2016" i="2"/>
  <c r="E2016" i="2"/>
  <c r="A2017" i="2"/>
  <c r="B2017" i="2"/>
  <c r="E2017" i="2"/>
  <c r="A2018" i="2"/>
  <c r="B2018" i="2"/>
  <c r="E2018" i="2"/>
  <c r="A2019" i="2"/>
  <c r="B2019" i="2"/>
  <c r="E2019" i="2"/>
  <c r="A2020" i="2"/>
  <c r="B2020" i="2"/>
  <c r="E2020" i="2"/>
  <c r="A2021" i="2"/>
  <c r="B2021" i="2"/>
  <c r="E2021" i="2"/>
  <c r="A2022" i="2"/>
  <c r="B2022" i="2"/>
  <c r="E2022" i="2"/>
  <c r="A2023" i="2"/>
  <c r="B2023" i="2"/>
  <c r="E2023" i="2"/>
  <c r="A2024" i="2"/>
  <c r="B2024" i="2"/>
  <c r="E2024" i="2"/>
  <c r="A2025" i="2"/>
  <c r="B2025" i="2"/>
  <c r="E2025" i="2"/>
  <c r="A2026" i="2"/>
  <c r="B2026" i="2"/>
  <c r="E2026" i="2"/>
  <c r="A2027" i="2"/>
  <c r="B2027" i="2"/>
  <c r="E2027" i="2"/>
  <c r="A2028" i="2"/>
  <c r="B2028" i="2"/>
  <c r="E2028" i="2"/>
  <c r="A2029" i="2"/>
  <c r="B2029" i="2"/>
  <c r="E2029" i="2"/>
  <c r="A2030" i="2"/>
  <c r="B2030" i="2"/>
  <c r="E2030" i="2"/>
  <c r="A2031" i="2"/>
  <c r="B2031" i="2"/>
  <c r="E2031" i="2"/>
  <c r="A2032" i="2"/>
  <c r="B2032" i="2"/>
  <c r="E2032" i="2"/>
  <c r="A2033" i="2"/>
  <c r="B2033" i="2"/>
  <c r="E2033" i="2"/>
  <c r="A2034" i="2"/>
  <c r="B2034" i="2"/>
  <c r="E2034" i="2"/>
  <c r="A2035" i="2"/>
  <c r="B2035" i="2"/>
  <c r="E2035" i="2"/>
  <c r="A2036" i="2"/>
  <c r="B2036" i="2"/>
  <c r="E2036" i="2"/>
  <c r="A2037" i="2"/>
  <c r="B2037" i="2"/>
  <c r="E2037" i="2"/>
  <c r="A2038" i="2"/>
  <c r="B2038" i="2"/>
  <c r="E2038" i="2"/>
  <c r="A2039" i="2"/>
  <c r="B2039" i="2"/>
  <c r="E2039" i="2"/>
  <c r="A2040" i="2"/>
  <c r="B2040" i="2"/>
  <c r="E2040" i="2"/>
  <c r="A2041" i="2"/>
  <c r="B2041" i="2"/>
  <c r="E2041" i="2"/>
  <c r="A2042" i="2"/>
  <c r="B2042" i="2"/>
  <c r="E2042" i="2"/>
  <c r="A2043" i="2"/>
  <c r="B2043" i="2"/>
  <c r="E2043" i="2"/>
  <c r="A2044" i="2"/>
  <c r="B2044" i="2"/>
  <c r="E2044" i="2"/>
  <c r="A2045" i="2"/>
  <c r="B2045" i="2"/>
  <c r="E2045" i="2"/>
  <c r="A2046" i="2"/>
  <c r="B2046" i="2"/>
  <c r="E2046" i="2"/>
  <c r="A2047" i="2"/>
  <c r="B2047" i="2"/>
  <c r="E2047" i="2"/>
  <c r="A2048" i="2"/>
  <c r="B2048" i="2"/>
  <c r="E2048" i="2"/>
  <c r="A2049" i="2"/>
  <c r="B2049" i="2"/>
  <c r="E2049" i="2"/>
  <c r="A2050" i="2"/>
  <c r="B2050" i="2"/>
  <c r="E2050" i="2"/>
  <c r="A2051" i="2"/>
  <c r="B2051" i="2"/>
  <c r="E2051" i="2"/>
  <c r="A2052" i="2"/>
  <c r="B2052" i="2"/>
  <c r="E2052" i="2"/>
  <c r="A2053" i="2"/>
  <c r="B2053" i="2"/>
  <c r="E2053" i="2"/>
  <c r="A2054" i="2"/>
  <c r="B2054" i="2"/>
  <c r="E2054" i="2"/>
  <c r="A2055" i="2"/>
  <c r="B2055" i="2"/>
  <c r="E2055" i="2"/>
  <c r="A2056" i="2"/>
  <c r="B2056" i="2"/>
  <c r="E2056" i="2"/>
  <c r="A2057" i="2"/>
  <c r="B2057" i="2"/>
  <c r="E2057" i="2"/>
  <c r="A2058" i="2"/>
  <c r="B2058" i="2"/>
  <c r="E2058" i="2"/>
  <c r="A2059" i="2"/>
  <c r="B2059" i="2"/>
  <c r="E2059" i="2"/>
  <c r="A2060" i="2"/>
  <c r="B2060" i="2"/>
  <c r="E2060" i="2"/>
  <c r="A2061" i="2"/>
  <c r="B2061" i="2"/>
  <c r="E2061" i="2"/>
  <c r="A2062" i="2"/>
  <c r="B2062" i="2"/>
  <c r="E2062" i="2"/>
  <c r="A2063" i="2"/>
  <c r="B2063" i="2"/>
  <c r="E2063" i="2"/>
  <c r="A2064" i="2"/>
  <c r="B2064" i="2"/>
  <c r="E2064" i="2"/>
  <c r="A2065" i="2"/>
  <c r="B2065" i="2"/>
  <c r="E2065" i="2"/>
  <c r="A2066" i="2"/>
  <c r="B2066" i="2"/>
  <c r="E2066" i="2"/>
  <c r="A2067" i="2"/>
  <c r="B2067" i="2"/>
  <c r="E2067" i="2"/>
  <c r="A2068" i="2"/>
  <c r="B2068" i="2"/>
  <c r="E2068" i="2"/>
  <c r="A2069" i="2"/>
  <c r="B2069" i="2"/>
  <c r="E2069" i="2"/>
  <c r="A2070" i="2"/>
  <c r="B2070" i="2"/>
  <c r="E2070" i="2"/>
  <c r="A2071" i="2"/>
  <c r="B2071" i="2"/>
  <c r="E2071" i="2"/>
  <c r="A2072" i="2"/>
  <c r="B2072" i="2"/>
  <c r="E2072" i="2"/>
  <c r="A2073" i="2"/>
  <c r="B2073" i="2"/>
  <c r="E2073" i="2"/>
  <c r="A2074" i="2"/>
  <c r="B2074" i="2"/>
  <c r="E2074" i="2"/>
  <c r="A2075" i="2"/>
  <c r="B2075" i="2"/>
  <c r="E2075" i="2"/>
  <c r="A2076" i="2"/>
  <c r="B2076" i="2"/>
  <c r="E2076" i="2"/>
  <c r="A2077" i="2"/>
  <c r="B2077" i="2"/>
  <c r="E2077" i="2"/>
  <c r="A2078" i="2"/>
  <c r="B2078" i="2"/>
  <c r="E2078" i="2"/>
  <c r="A2079" i="2"/>
  <c r="B2079" i="2"/>
  <c r="E2079" i="2"/>
  <c r="A2080" i="2"/>
  <c r="B2080" i="2"/>
  <c r="E2080" i="2"/>
  <c r="A2081" i="2"/>
  <c r="B2081" i="2"/>
  <c r="E2081" i="2"/>
  <c r="A2082" i="2"/>
  <c r="B2082" i="2"/>
  <c r="E2082" i="2"/>
  <c r="A2083" i="2"/>
  <c r="B2083" i="2"/>
  <c r="E2083" i="2"/>
  <c r="A2084" i="2"/>
  <c r="B2084" i="2"/>
  <c r="E2084" i="2"/>
  <c r="A2085" i="2"/>
  <c r="B2085" i="2"/>
  <c r="E2085" i="2"/>
  <c r="A2086" i="2"/>
  <c r="B2086" i="2"/>
  <c r="E2086" i="2"/>
  <c r="A2087" i="2"/>
  <c r="B2087" i="2"/>
  <c r="E2087" i="2"/>
  <c r="A2088" i="2"/>
  <c r="B2088" i="2"/>
  <c r="E2088" i="2"/>
  <c r="A2089" i="2"/>
  <c r="B2089" i="2"/>
  <c r="E2089" i="2"/>
  <c r="A2090" i="2"/>
  <c r="B2090" i="2"/>
  <c r="E2090" i="2"/>
  <c r="A2091" i="2"/>
  <c r="B2091" i="2"/>
  <c r="E2091" i="2"/>
  <c r="A2092" i="2"/>
  <c r="B2092" i="2"/>
  <c r="E2092" i="2"/>
  <c r="A2093" i="2"/>
  <c r="B2093" i="2"/>
  <c r="E2093" i="2"/>
  <c r="A2094" i="2"/>
  <c r="B2094" i="2"/>
  <c r="E2094" i="2"/>
  <c r="A2095" i="2"/>
  <c r="B2095" i="2"/>
  <c r="E2095" i="2"/>
  <c r="A2096" i="2"/>
  <c r="B2096" i="2"/>
  <c r="E2096" i="2"/>
  <c r="A2097" i="2"/>
  <c r="B2097" i="2"/>
  <c r="E2097" i="2"/>
  <c r="A2098" i="2"/>
  <c r="B2098" i="2"/>
  <c r="E2098" i="2"/>
  <c r="A2099" i="2"/>
  <c r="B2099" i="2"/>
  <c r="E2099" i="2"/>
  <c r="A2100" i="2"/>
  <c r="B2100" i="2"/>
  <c r="E2100" i="2"/>
  <c r="A2101" i="2"/>
  <c r="B2101" i="2"/>
  <c r="E2101" i="2"/>
  <c r="A2102" i="2"/>
  <c r="B2102" i="2"/>
  <c r="E2102" i="2"/>
  <c r="A2103" i="2"/>
  <c r="B2103" i="2"/>
  <c r="E2103" i="2"/>
  <c r="A2104" i="2"/>
  <c r="B2104" i="2"/>
  <c r="E2104" i="2"/>
  <c r="A2105" i="2"/>
  <c r="B2105" i="2"/>
  <c r="E2105" i="2"/>
  <c r="A2106" i="2"/>
  <c r="B2106" i="2"/>
  <c r="E2106" i="2"/>
  <c r="A2107" i="2"/>
  <c r="B2107" i="2"/>
  <c r="E2107" i="2"/>
  <c r="A2108" i="2"/>
  <c r="B2108" i="2"/>
  <c r="E2108" i="2"/>
  <c r="A2109" i="2"/>
  <c r="B2109" i="2"/>
  <c r="E2109" i="2"/>
  <c r="A2110" i="2"/>
  <c r="B2110" i="2"/>
  <c r="E2110" i="2"/>
  <c r="A2111" i="2"/>
  <c r="B2111" i="2"/>
  <c r="E2111" i="2"/>
  <c r="A2112" i="2"/>
  <c r="B2112" i="2"/>
  <c r="E2112" i="2"/>
  <c r="A2113" i="2"/>
  <c r="B2113" i="2"/>
  <c r="E2113" i="2"/>
  <c r="A2114" i="2"/>
  <c r="B2114" i="2"/>
  <c r="E2114" i="2"/>
  <c r="A2115" i="2"/>
  <c r="B2115" i="2"/>
  <c r="E2115" i="2"/>
  <c r="A2116" i="2"/>
  <c r="B2116" i="2"/>
  <c r="E2116" i="2"/>
  <c r="A2117" i="2"/>
  <c r="B2117" i="2"/>
  <c r="E2117" i="2"/>
  <c r="A2118" i="2"/>
  <c r="B2118" i="2"/>
  <c r="E2118" i="2"/>
  <c r="A2119" i="2"/>
  <c r="B2119" i="2"/>
  <c r="E2119" i="2"/>
  <c r="A2120" i="2"/>
  <c r="B2120" i="2"/>
  <c r="E2120" i="2"/>
  <c r="A2121" i="2"/>
  <c r="B2121" i="2"/>
  <c r="E2121" i="2"/>
  <c r="A2122" i="2"/>
  <c r="B2122" i="2"/>
  <c r="E2122" i="2"/>
  <c r="A2123" i="2"/>
  <c r="B2123" i="2"/>
  <c r="E2123" i="2"/>
  <c r="A2124" i="2"/>
  <c r="B2124" i="2"/>
  <c r="E2124" i="2"/>
  <c r="A2125" i="2"/>
  <c r="B2125" i="2"/>
  <c r="E2125" i="2"/>
  <c r="A2126" i="2"/>
  <c r="B2126" i="2"/>
  <c r="E2126" i="2"/>
  <c r="A2127" i="2"/>
  <c r="B2127" i="2"/>
  <c r="E2127" i="2"/>
  <c r="A2128" i="2"/>
  <c r="B2128" i="2"/>
  <c r="E2128" i="2"/>
  <c r="A2129" i="2"/>
  <c r="B2129" i="2"/>
  <c r="E2129" i="2"/>
  <c r="A2130" i="2"/>
  <c r="B2130" i="2"/>
  <c r="E2130" i="2"/>
  <c r="A2131" i="2"/>
  <c r="B2131" i="2"/>
  <c r="E2131" i="2"/>
  <c r="A2132" i="2"/>
  <c r="B2132" i="2"/>
  <c r="E2132" i="2"/>
  <c r="A2133" i="2"/>
  <c r="B2133" i="2"/>
  <c r="E2133" i="2"/>
  <c r="A2134" i="2"/>
  <c r="B2134" i="2"/>
  <c r="E2134" i="2"/>
  <c r="A2135" i="2"/>
  <c r="B2135" i="2"/>
  <c r="E2135" i="2"/>
  <c r="A2136" i="2"/>
  <c r="B2136" i="2"/>
  <c r="E2136" i="2"/>
  <c r="A2137" i="2"/>
  <c r="B2137" i="2"/>
  <c r="E2137" i="2"/>
  <c r="A2138" i="2"/>
  <c r="B2138" i="2"/>
  <c r="E2138" i="2"/>
  <c r="A2139" i="2"/>
  <c r="B2139" i="2"/>
  <c r="E2139" i="2"/>
  <c r="A2140" i="2"/>
  <c r="B2140" i="2"/>
  <c r="E2140" i="2"/>
  <c r="A2141" i="2"/>
  <c r="B2141" i="2"/>
  <c r="E2141" i="2"/>
  <c r="A2142" i="2"/>
  <c r="B2142" i="2"/>
  <c r="E2142" i="2"/>
  <c r="A2143" i="2"/>
  <c r="B2143" i="2"/>
  <c r="E2143" i="2"/>
  <c r="A2144" i="2"/>
  <c r="B2144" i="2"/>
  <c r="E2144" i="2"/>
  <c r="A2145" i="2"/>
  <c r="B2145" i="2"/>
  <c r="E2145" i="2"/>
  <c r="A2146" i="2"/>
  <c r="B2146" i="2"/>
  <c r="E2146" i="2"/>
  <c r="A2147" i="2"/>
  <c r="B2147" i="2"/>
  <c r="E2147" i="2"/>
  <c r="A2148" i="2"/>
  <c r="B2148" i="2"/>
  <c r="E2148" i="2"/>
  <c r="A2149" i="2"/>
  <c r="B2149" i="2"/>
  <c r="E2149" i="2"/>
  <c r="A2150" i="2"/>
  <c r="B2150" i="2"/>
  <c r="E2150" i="2"/>
  <c r="A2151" i="2"/>
  <c r="B2151" i="2"/>
  <c r="E2151" i="2"/>
  <c r="A2152" i="2"/>
  <c r="B2152" i="2"/>
  <c r="E2152" i="2"/>
  <c r="A2153" i="2"/>
  <c r="B2153" i="2"/>
  <c r="E2153" i="2"/>
  <c r="A2154" i="2"/>
  <c r="B2154" i="2"/>
  <c r="E2154" i="2"/>
  <c r="A2155" i="2"/>
  <c r="B2155" i="2"/>
  <c r="E2155" i="2"/>
  <c r="A2156" i="2"/>
  <c r="B2156" i="2"/>
  <c r="E2156" i="2"/>
  <c r="A2157" i="2"/>
  <c r="B2157" i="2"/>
  <c r="E2157" i="2"/>
  <c r="A2158" i="2"/>
  <c r="B2158" i="2"/>
  <c r="E2158" i="2"/>
  <c r="A2159" i="2"/>
  <c r="B2159" i="2"/>
  <c r="E2159" i="2"/>
  <c r="A2160" i="2"/>
  <c r="B2160" i="2"/>
  <c r="E2160" i="2"/>
  <c r="A2161" i="2"/>
  <c r="B2161" i="2"/>
  <c r="E2161" i="2"/>
  <c r="A2162" i="2"/>
  <c r="B2162" i="2"/>
  <c r="E2162" i="2"/>
  <c r="A2163" i="2"/>
  <c r="B2163" i="2"/>
  <c r="E2163" i="2"/>
  <c r="A2164" i="2"/>
  <c r="B2164" i="2"/>
  <c r="E2164" i="2"/>
  <c r="A2165" i="2"/>
  <c r="B2165" i="2"/>
  <c r="E2165" i="2"/>
  <c r="A2166" i="2"/>
  <c r="B2166" i="2"/>
  <c r="E2166" i="2"/>
  <c r="A2167" i="2"/>
  <c r="B2167" i="2"/>
  <c r="E2167" i="2"/>
  <c r="A2168" i="2"/>
  <c r="B2168" i="2"/>
  <c r="E2168" i="2"/>
  <c r="A2169" i="2"/>
  <c r="B2169" i="2"/>
  <c r="E2169" i="2"/>
  <c r="A2170" i="2"/>
  <c r="B2170" i="2"/>
  <c r="E2170" i="2"/>
  <c r="A2171" i="2"/>
  <c r="B2171" i="2"/>
  <c r="E2171" i="2"/>
  <c r="A2172" i="2"/>
  <c r="B2172" i="2"/>
  <c r="E2172" i="2"/>
  <c r="A2173" i="2"/>
  <c r="B2173" i="2"/>
  <c r="E2173" i="2"/>
  <c r="A2174" i="2"/>
  <c r="B2174" i="2"/>
  <c r="E2174" i="2"/>
  <c r="A2175" i="2"/>
  <c r="B2175" i="2"/>
  <c r="E2175" i="2"/>
  <c r="A2176" i="2"/>
  <c r="B2176" i="2"/>
  <c r="E2176" i="2"/>
  <c r="A2177" i="2"/>
  <c r="B2177" i="2"/>
  <c r="E2177" i="2"/>
  <c r="A2178" i="2"/>
  <c r="B2178" i="2"/>
  <c r="E2178" i="2"/>
  <c r="A2179" i="2"/>
  <c r="B2179" i="2"/>
  <c r="E2179" i="2"/>
  <c r="A2180" i="2"/>
  <c r="B2180" i="2"/>
  <c r="E2180" i="2"/>
  <c r="A2181" i="2"/>
  <c r="B2181" i="2"/>
  <c r="E2181" i="2"/>
  <c r="A2182" i="2"/>
  <c r="B2182" i="2"/>
  <c r="E2182" i="2"/>
  <c r="A2183" i="2"/>
  <c r="B2183" i="2"/>
  <c r="E2183" i="2"/>
  <c r="A2184" i="2"/>
  <c r="B2184" i="2"/>
  <c r="E2184" i="2"/>
  <c r="A2185" i="2"/>
  <c r="B2185" i="2"/>
  <c r="E2185" i="2"/>
  <c r="A2186" i="2"/>
  <c r="B2186" i="2"/>
  <c r="E2186" i="2"/>
  <c r="A2187" i="2"/>
  <c r="B2187" i="2"/>
  <c r="E2187" i="2"/>
  <c r="A2188" i="2"/>
  <c r="B2188" i="2"/>
  <c r="E2188" i="2"/>
  <c r="A2189" i="2"/>
  <c r="B2189" i="2"/>
  <c r="E2189" i="2"/>
  <c r="A2190" i="2"/>
  <c r="B2190" i="2"/>
  <c r="E2190" i="2"/>
  <c r="A2191" i="2"/>
  <c r="B2191" i="2"/>
  <c r="E2191" i="2"/>
  <c r="A2192" i="2"/>
  <c r="B2192" i="2"/>
  <c r="E2192" i="2"/>
  <c r="A2193" i="2"/>
  <c r="B2193" i="2"/>
  <c r="E2193" i="2"/>
  <c r="A2194" i="2"/>
  <c r="B2194" i="2"/>
  <c r="E2194" i="2"/>
  <c r="A2195" i="2"/>
  <c r="B2195" i="2"/>
  <c r="E2195" i="2"/>
  <c r="A2196" i="2"/>
  <c r="B2196" i="2"/>
  <c r="E2196" i="2"/>
  <c r="A2197" i="2"/>
  <c r="B2197" i="2"/>
  <c r="E2197" i="2"/>
  <c r="A2198" i="2"/>
  <c r="B2198" i="2"/>
  <c r="E2198" i="2"/>
  <c r="A2199" i="2"/>
  <c r="B2199" i="2"/>
  <c r="E2199" i="2"/>
  <c r="A2200" i="2"/>
  <c r="B2200" i="2"/>
  <c r="E2200" i="2"/>
  <c r="A2201" i="2"/>
  <c r="B2201" i="2"/>
  <c r="E2201" i="2"/>
  <c r="A2202" i="2"/>
  <c r="B2202" i="2"/>
  <c r="E2202" i="2"/>
  <c r="A2203" i="2"/>
  <c r="B2203" i="2"/>
  <c r="E2203" i="2"/>
  <c r="A2204" i="2"/>
  <c r="B2204" i="2"/>
  <c r="E2204" i="2"/>
  <c r="A2205" i="2"/>
  <c r="B2205" i="2"/>
  <c r="E2205" i="2"/>
  <c r="A2206" i="2"/>
  <c r="B2206" i="2"/>
  <c r="E2206" i="2"/>
  <c r="A2207" i="2"/>
  <c r="B2207" i="2"/>
  <c r="E2207" i="2"/>
  <c r="A2208" i="2"/>
  <c r="B2208" i="2"/>
  <c r="E2208" i="2"/>
  <c r="A2209" i="2"/>
  <c r="B2209" i="2"/>
  <c r="E2209" i="2"/>
  <c r="A2210" i="2"/>
  <c r="B2210" i="2"/>
  <c r="E2210" i="2"/>
  <c r="A2211" i="2"/>
  <c r="B2211" i="2"/>
  <c r="E2211" i="2"/>
  <c r="A2212" i="2"/>
  <c r="B2212" i="2"/>
  <c r="E2212" i="2"/>
  <c r="A2213" i="2"/>
  <c r="B2213" i="2"/>
  <c r="E2213" i="2"/>
  <c r="A2214" i="2"/>
  <c r="B2214" i="2"/>
  <c r="E2214" i="2"/>
  <c r="A2215" i="2"/>
  <c r="B2215" i="2"/>
  <c r="E2215" i="2"/>
  <c r="A2216" i="2"/>
  <c r="B2216" i="2"/>
  <c r="E2216" i="2"/>
  <c r="A2217" i="2"/>
  <c r="B2217" i="2"/>
  <c r="E2217" i="2"/>
  <c r="A2218" i="2"/>
  <c r="B2218" i="2"/>
  <c r="E2218" i="2"/>
  <c r="A2219" i="2"/>
  <c r="B2219" i="2"/>
  <c r="E2219" i="2"/>
  <c r="A2220" i="2"/>
  <c r="B2220" i="2"/>
  <c r="E2220" i="2"/>
  <c r="A2221" i="2"/>
  <c r="B2221" i="2"/>
  <c r="E2221" i="2"/>
  <c r="A2222" i="2"/>
  <c r="B2222" i="2"/>
  <c r="E2222" i="2"/>
  <c r="A2223" i="2"/>
  <c r="B2223" i="2"/>
  <c r="E2223" i="2"/>
  <c r="A2224" i="2"/>
  <c r="B2224" i="2"/>
  <c r="E2224" i="2"/>
  <c r="A2225" i="2"/>
  <c r="B2225" i="2"/>
  <c r="E2225" i="2"/>
  <c r="A2226" i="2"/>
  <c r="B2226" i="2"/>
  <c r="E2226" i="2"/>
  <c r="A2227" i="2"/>
  <c r="B2227" i="2"/>
  <c r="E2227" i="2"/>
  <c r="A2228" i="2"/>
  <c r="B2228" i="2"/>
  <c r="E2228" i="2"/>
  <c r="A2229" i="2"/>
  <c r="B2229" i="2"/>
  <c r="E2229" i="2"/>
  <c r="A2230" i="2"/>
  <c r="B2230" i="2"/>
  <c r="E2230" i="2"/>
  <c r="A2231" i="2"/>
  <c r="B2231" i="2"/>
  <c r="E2231" i="2"/>
  <c r="A2232" i="2"/>
  <c r="B2232" i="2"/>
  <c r="E2232" i="2"/>
  <c r="A2233" i="2"/>
  <c r="B2233" i="2"/>
  <c r="E2233" i="2"/>
  <c r="A2234" i="2"/>
  <c r="B2234" i="2"/>
  <c r="E2234" i="2"/>
  <c r="A2235" i="2"/>
  <c r="B2235" i="2"/>
  <c r="E2235" i="2"/>
  <c r="A2236" i="2"/>
  <c r="B2236" i="2"/>
  <c r="E2236" i="2"/>
  <c r="A2237" i="2"/>
  <c r="B2237" i="2"/>
  <c r="E2237" i="2"/>
  <c r="A2238" i="2"/>
  <c r="B2238" i="2"/>
  <c r="E2238" i="2"/>
  <c r="A2239" i="2"/>
  <c r="B2239" i="2"/>
  <c r="E2239" i="2"/>
  <c r="A2240" i="2"/>
  <c r="B2240" i="2"/>
  <c r="E2240" i="2"/>
  <c r="A2241" i="2"/>
  <c r="B2241" i="2"/>
  <c r="E2241" i="2"/>
  <c r="A2242" i="2"/>
  <c r="B2242" i="2"/>
  <c r="E2242" i="2"/>
  <c r="A2243" i="2"/>
  <c r="B2243" i="2"/>
  <c r="E2243" i="2"/>
  <c r="A2244" i="2"/>
  <c r="B2244" i="2"/>
  <c r="E2244" i="2"/>
  <c r="A2245" i="2"/>
  <c r="B2245" i="2"/>
  <c r="E2245" i="2"/>
  <c r="A2246" i="2"/>
  <c r="B2246" i="2"/>
  <c r="E2246" i="2"/>
  <c r="A2247" i="2"/>
  <c r="B2247" i="2"/>
  <c r="E2247" i="2"/>
  <c r="A2248" i="2"/>
  <c r="B2248" i="2"/>
  <c r="E2248" i="2"/>
  <c r="A2249" i="2"/>
  <c r="B2249" i="2"/>
  <c r="E2249" i="2"/>
  <c r="A2250" i="2"/>
  <c r="B2250" i="2"/>
  <c r="E2250" i="2"/>
  <c r="A2251" i="2"/>
  <c r="B2251" i="2"/>
  <c r="E2251" i="2"/>
  <c r="A2252" i="2"/>
  <c r="B2252" i="2"/>
  <c r="E2252" i="2"/>
  <c r="A2253" i="2"/>
  <c r="B2253" i="2"/>
  <c r="E2253" i="2"/>
  <c r="A2254" i="2"/>
  <c r="B2254" i="2"/>
  <c r="E2254" i="2"/>
  <c r="A2255" i="2"/>
  <c r="B2255" i="2"/>
  <c r="E2255" i="2"/>
  <c r="A2256" i="2"/>
  <c r="B2256" i="2"/>
  <c r="E2256" i="2"/>
  <c r="A2257" i="2"/>
  <c r="B2257" i="2"/>
  <c r="E2257" i="2"/>
  <c r="A2258" i="2"/>
  <c r="B2258" i="2"/>
  <c r="E2258" i="2"/>
  <c r="A2259" i="2"/>
  <c r="B2259" i="2"/>
  <c r="E2259" i="2"/>
  <c r="A2260" i="2"/>
  <c r="B2260" i="2"/>
  <c r="E2260" i="2"/>
  <c r="A2261" i="2"/>
  <c r="B2261" i="2"/>
  <c r="E2261" i="2"/>
  <c r="A2262" i="2"/>
  <c r="B2262" i="2"/>
  <c r="E2262" i="2"/>
  <c r="A2263" i="2"/>
  <c r="B2263" i="2"/>
  <c r="E2263" i="2"/>
  <c r="A2264" i="2"/>
  <c r="B2264" i="2"/>
  <c r="E2264" i="2"/>
  <c r="A2265" i="2"/>
  <c r="B2265" i="2"/>
  <c r="E2265" i="2"/>
  <c r="A2266" i="2"/>
  <c r="B2266" i="2"/>
  <c r="E2266" i="2"/>
  <c r="A2267" i="2"/>
  <c r="B2267" i="2"/>
  <c r="E2267" i="2"/>
  <c r="A2268" i="2"/>
  <c r="B2268" i="2"/>
  <c r="E2268" i="2"/>
  <c r="A2269" i="2"/>
  <c r="B2269" i="2"/>
  <c r="E2269" i="2"/>
  <c r="A2270" i="2"/>
  <c r="B2270" i="2"/>
  <c r="E2270" i="2"/>
  <c r="A2271" i="2"/>
  <c r="B2271" i="2"/>
  <c r="E2271" i="2"/>
  <c r="A2272" i="2"/>
  <c r="B2272" i="2"/>
  <c r="E2272" i="2"/>
  <c r="A2273" i="2"/>
  <c r="B2273" i="2"/>
  <c r="E2273" i="2"/>
  <c r="A2274" i="2"/>
  <c r="B2274" i="2"/>
  <c r="E2274" i="2"/>
  <c r="A2275" i="2"/>
  <c r="B2275" i="2"/>
  <c r="E2275" i="2"/>
  <c r="A2276" i="2"/>
  <c r="B2276" i="2"/>
  <c r="E2276" i="2"/>
  <c r="A2277" i="2"/>
  <c r="B2277" i="2"/>
  <c r="E2277" i="2"/>
  <c r="A2278" i="2"/>
  <c r="B2278" i="2"/>
  <c r="E2278" i="2"/>
  <c r="A2279" i="2"/>
  <c r="B2279" i="2"/>
  <c r="E2279" i="2"/>
  <c r="A2280" i="2"/>
  <c r="B2280" i="2"/>
  <c r="E2280" i="2"/>
  <c r="A2281" i="2"/>
  <c r="B2281" i="2"/>
  <c r="E2281" i="2"/>
  <c r="A2282" i="2"/>
  <c r="B2282" i="2"/>
  <c r="E2282" i="2"/>
  <c r="A2283" i="2"/>
  <c r="B2283" i="2"/>
  <c r="E2283" i="2"/>
  <c r="A2284" i="2"/>
  <c r="B2284" i="2"/>
  <c r="E2284" i="2"/>
  <c r="A2285" i="2"/>
  <c r="B2285" i="2"/>
  <c r="E2285" i="2"/>
  <c r="A2286" i="2"/>
  <c r="B2286" i="2"/>
  <c r="E2286" i="2"/>
  <c r="A2287" i="2"/>
  <c r="B2287" i="2"/>
  <c r="E2287" i="2"/>
  <c r="A2288" i="2"/>
  <c r="B2288" i="2"/>
  <c r="E2288" i="2"/>
  <c r="A2289" i="2"/>
  <c r="B2289" i="2"/>
  <c r="E2289" i="2"/>
  <c r="A2290" i="2"/>
  <c r="B2290" i="2"/>
  <c r="E2290" i="2"/>
  <c r="A2291" i="2"/>
  <c r="B2291" i="2"/>
  <c r="E2291" i="2"/>
  <c r="A2292" i="2"/>
  <c r="B2292" i="2"/>
  <c r="E2292" i="2"/>
  <c r="A2293" i="2"/>
  <c r="B2293" i="2"/>
  <c r="E2293" i="2"/>
  <c r="A2294" i="2"/>
  <c r="B2294" i="2"/>
  <c r="E2294" i="2"/>
  <c r="A2295" i="2"/>
  <c r="B2295" i="2"/>
  <c r="E2295" i="2"/>
  <c r="A2296" i="2"/>
  <c r="B2296" i="2"/>
  <c r="E2296" i="2"/>
  <c r="A2297" i="2"/>
  <c r="B2297" i="2"/>
  <c r="E2297" i="2"/>
  <c r="A2298" i="2"/>
  <c r="B2298" i="2"/>
  <c r="E2298" i="2"/>
  <c r="A2299" i="2"/>
  <c r="B2299" i="2"/>
  <c r="E2299" i="2"/>
  <c r="A2300" i="2"/>
  <c r="B2300" i="2"/>
  <c r="E2300" i="2"/>
  <c r="A2301" i="2"/>
  <c r="B2301" i="2"/>
  <c r="E2301" i="2"/>
  <c r="A2302" i="2"/>
  <c r="B2302" i="2"/>
  <c r="E2302" i="2"/>
  <c r="A2303" i="2"/>
  <c r="B2303" i="2"/>
  <c r="E2303" i="2"/>
  <c r="A2304" i="2"/>
  <c r="B2304" i="2"/>
  <c r="E2304" i="2"/>
  <c r="A2305" i="2"/>
  <c r="B2305" i="2"/>
  <c r="E2305" i="2"/>
  <c r="A2306" i="2"/>
  <c r="B2306" i="2"/>
  <c r="E2306" i="2"/>
  <c r="A2307" i="2"/>
  <c r="B2307" i="2"/>
  <c r="E2307" i="2"/>
  <c r="A2308" i="2"/>
  <c r="B2308" i="2"/>
  <c r="E2308" i="2"/>
  <c r="A2309" i="2"/>
  <c r="B2309" i="2"/>
  <c r="E2309" i="2"/>
  <c r="A2310" i="2"/>
  <c r="B2310" i="2"/>
  <c r="E2310" i="2"/>
  <c r="A2311" i="2"/>
  <c r="B2311" i="2"/>
  <c r="E2311" i="2"/>
  <c r="A2312" i="2"/>
  <c r="B2312" i="2"/>
  <c r="E2312" i="2"/>
  <c r="A2313" i="2"/>
  <c r="B2313" i="2"/>
  <c r="E2313" i="2"/>
  <c r="A2314" i="2"/>
  <c r="B2314" i="2"/>
  <c r="E2314" i="2"/>
  <c r="A2315" i="2"/>
  <c r="B2315" i="2"/>
  <c r="E2315" i="2"/>
  <c r="A2316" i="2"/>
  <c r="B2316" i="2"/>
  <c r="E2316" i="2"/>
  <c r="A2317" i="2"/>
  <c r="B2317" i="2"/>
  <c r="E2317" i="2"/>
  <c r="A2318" i="2"/>
  <c r="B2318" i="2"/>
  <c r="E2318" i="2"/>
  <c r="A2319" i="2"/>
  <c r="B2319" i="2"/>
  <c r="E2319" i="2"/>
  <c r="A2320" i="2"/>
  <c r="B2320" i="2"/>
  <c r="E2320" i="2"/>
  <c r="A2321" i="2"/>
  <c r="B2321" i="2"/>
  <c r="E2321" i="2"/>
  <c r="A2322" i="2"/>
  <c r="B2322" i="2"/>
  <c r="E2322" i="2"/>
  <c r="A2323" i="2"/>
  <c r="B2323" i="2"/>
  <c r="E2323" i="2"/>
  <c r="A2324" i="2"/>
  <c r="B2324" i="2"/>
  <c r="E2324" i="2"/>
  <c r="A2325" i="2"/>
  <c r="B2325" i="2"/>
  <c r="E2325" i="2"/>
  <c r="A2326" i="2"/>
  <c r="B2326" i="2"/>
  <c r="E2326" i="2"/>
  <c r="A2327" i="2"/>
  <c r="B2327" i="2"/>
  <c r="E2327" i="2"/>
  <c r="A2328" i="2"/>
  <c r="B2328" i="2"/>
  <c r="E2328" i="2"/>
  <c r="A2329" i="2"/>
  <c r="B2329" i="2"/>
  <c r="E2329" i="2"/>
  <c r="A2330" i="2"/>
  <c r="B2330" i="2"/>
  <c r="E2330" i="2"/>
  <c r="A2331" i="2"/>
  <c r="B2331" i="2"/>
  <c r="E2331" i="2"/>
  <c r="A2332" i="2"/>
  <c r="B2332" i="2"/>
  <c r="E2332" i="2"/>
  <c r="A2333" i="2"/>
  <c r="B2333" i="2"/>
  <c r="E2333" i="2"/>
  <c r="A2334" i="2"/>
  <c r="B2334" i="2"/>
  <c r="E2334" i="2"/>
  <c r="A2335" i="2"/>
  <c r="B2335" i="2"/>
  <c r="E2335" i="2"/>
  <c r="A2336" i="2"/>
  <c r="B2336" i="2"/>
  <c r="E2336" i="2"/>
  <c r="A2337" i="2"/>
  <c r="B2337" i="2"/>
  <c r="E2337" i="2"/>
  <c r="A2338" i="2"/>
  <c r="B2338" i="2"/>
  <c r="E2338" i="2"/>
  <c r="A2339" i="2"/>
  <c r="B2339" i="2"/>
  <c r="E2339" i="2"/>
  <c r="A2340" i="2"/>
  <c r="B2340" i="2"/>
  <c r="E2340" i="2"/>
  <c r="A2341" i="2"/>
  <c r="B2341" i="2"/>
  <c r="E2341" i="2"/>
  <c r="A2342" i="2"/>
  <c r="B2342" i="2"/>
  <c r="E2342" i="2"/>
  <c r="A2343" i="2"/>
  <c r="B2343" i="2"/>
  <c r="E2343" i="2"/>
  <c r="A2344" i="2"/>
  <c r="B2344" i="2"/>
  <c r="E2344" i="2"/>
  <c r="A2345" i="2"/>
  <c r="B2345" i="2"/>
  <c r="E2345" i="2"/>
  <c r="A2346" i="2"/>
  <c r="B2346" i="2"/>
  <c r="E2346" i="2"/>
  <c r="A2347" i="2"/>
  <c r="B2347" i="2"/>
  <c r="E2347" i="2"/>
  <c r="A2348" i="2"/>
  <c r="B2348" i="2"/>
  <c r="E2348" i="2"/>
  <c r="A2349" i="2"/>
  <c r="B2349" i="2"/>
  <c r="E2349" i="2"/>
  <c r="A2350" i="2"/>
  <c r="B2350" i="2"/>
  <c r="E2350" i="2"/>
  <c r="A2351" i="2"/>
  <c r="B2351" i="2"/>
  <c r="E2351" i="2"/>
  <c r="A2352" i="2"/>
  <c r="B2352" i="2"/>
  <c r="E2352" i="2"/>
  <c r="A2353" i="2"/>
  <c r="B2353" i="2"/>
  <c r="E2353" i="2"/>
  <c r="A2354" i="2"/>
  <c r="B2354" i="2"/>
  <c r="E2354" i="2"/>
  <c r="A2355" i="2"/>
  <c r="B2355" i="2"/>
  <c r="E2355" i="2"/>
  <c r="A2356" i="2"/>
  <c r="B2356" i="2"/>
  <c r="E2356" i="2"/>
  <c r="A2357" i="2"/>
  <c r="B2357" i="2"/>
  <c r="E2357" i="2"/>
  <c r="A2358" i="2"/>
  <c r="B2358" i="2"/>
  <c r="E2358" i="2"/>
  <c r="A2359" i="2"/>
  <c r="B2359" i="2"/>
  <c r="E2359" i="2"/>
  <c r="A2360" i="2"/>
  <c r="B2360" i="2"/>
  <c r="E2360" i="2"/>
  <c r="A2361" i="2"/>
  <c r="B2361" i="2"/>
  <c r="E2361" i="2"/>
  <c r="A2362" i="2"/>
  <c r="B2362" i="2"/>
  <c r="E2362" i="2"/>
  <c r="A2363" i="2"/>
  <c r="B2363" i="2"/>
  <c r="E2363" i="2"/>
  <c r="A2364" i="2"/>
  <c r="B2364" i="2"/>
  <c r="E2364" i="2"/>
  <c r="A2365" i="2"/>
  <c r="B2365" i="2"/>
  <c r="E2365" i="2"/>
  <c r="A2366" i="2"/>
  <c r="B2366" i="2"/>
  <c r="E2366" i="2"/>
  <c r="A2367" i="2"/>
  <c r="B2367" i="2"/>
  <c r="E2367" i="2"/>
  <c r="A2368" i="2"/>
  <c r="B2368" i="2"/>
  <c r="E2368" i="2"/>
  <c r="A2369" i="2"/>
  <c r="B2369" i="2"/>
  <c r="E2369" i="2"/>
  <c r="A2370" i="2"/>
  <c r="B2370" i="2"/>
  <c r="E2370" i="2"/>
  <c r="A2371" i="2"/>
  <c r="B2371" i="2"/>
  <c r="E2371" i="2"/>
  <c r="A2372" i="2"/>
  <c r="B2372" i="2"/>
  <c r="E2372" i="2"/>
  <c r="A2373" i="2"/>
  <c r="B2373" i="2"/>
  <c r="E2373" i="2"/>
  <c r="A2374" i="2"/>
  <c r="B2374" i="2"/>
  <c r="E2374" i="2"/>
  <c r="A2375" i="2"/>
  <c r="B2375" i="2"/>
  <c r="E2375" i="2"/>
  <c r="A2376" i="2"/>
  <c r="B2376" i="2"/>
  <c r="E2376" i="2"/>
  <c r="A2377" i="2"/>
  <c r="B2377" i="2"/>
  <c r="E2377" i="2"/>
  <c r="A2378" i="2"/>
  <c r="B2378" i="2"/>
  <c r="E2378" i="2"/>
  <c r="A2379" i="2"/>
  <c r="B2379" i="2"/>
  <c r="E2379" i="2"/>
  <c r="A2380" i="2"/>
  <c r="B2380" i="2"/>
  <c r="E2380" i="2"/>
  <c r="A2381" i="2"/>
  <c r="B2381" i="2"/>
  <c r="E2381" i="2"/>
  <c r="A2382" i="2"/>
  <c r="B2382" i="2"/>
  <c r="E2382" i="2"/>
  <c r="A2383" i="2"/>
  <c r="B2383" i="2"/>
  <c r="E2383" i="2"/>
  <c r="A2384" i="2"/>
  <c r="B2384" i="2"/>
  <c r="E2384" i="2"/>
  <c r="A2385" i="2"/>
  <c r="B2385" i="2"/>
  <c r="E2385" i="2"/>
  <c r="A2386" i="2"/>
  <c r="B2386" i="2"/>
  <c r="E2386" i="2"/>
  <c r="A2387" i="2"/>
  <c r="B2387" i="2"/>
  <c r="E2387" i="2"/>
  <c r="A2388" i="2"/>
  <c r="B2388" i="2"/>
  <c r="E2388" i="2"/>
  <c r="A2389" i="2"/>
  <c r="B2389" i="2"/>
  <c r="E2389" i="2"/>
  <c r="A2390" i="2"/>
  <c r="B2390" i="2"/>
  <c r="E2390" i="2"/>
  <c r="A2391" i="2"/>
  <c r="B2391" i="2"/>
  <c r="E2391" i="2"/>
  <c r="A2392" i="2"/>
  <c r="B2392" i="2"/>
  <c r="E2392" i="2"/>
  <c r="A2393" i="2"/>
  <c r="B2393" i="2"/>
  <c r="E2393" i="2"/>
  <c r="A2394" i="2"/>
  <c r="B2394" i="2"/>
  <c r="E2394" i="2"/>
  <c r="A2395" i="2"/>
  <c r="B2395" i="2"/>
  <c r="E2395" i="2"/>
  <c r="A2396" i="2"/>
  <c r="B2396" i="2"/>
  <c r="E2396" i="2"/>
  <c r="A2397" i="2"/>
  <c r="B2397" i="2"/>
  <c r="E2397" i="2"/>
  <c r="A2398" i="2"/>
  <c r="B2398" i="2"/>
  <c r="E2398" i="2"/>
  <c r="A2399" i="2"/>
  <c r="B2399" i="2"/>
  <c r="E2399" i="2"/>
  <c r="A2400" i="2"/>
  <c r="B2400" i="2"/>
  <c r="E2400" i="2"/>
  <c r="A2401" i="2"/>
  <c r="B2401" i="2"/>
  <c r="E2401" i="2"/>
  <c r="A2402" i="2"/>
  <c r="B2402" i="2"/>
  <c r="E2402" i="2"/>
  <c r="A2403" i="2"/>
  <c r="B2403" i="2"/>
  <c r="E2403" i="2"/>
  <c r="A2404" i="2"/>
  <c r="B2404" i="2"/>
  <c r="E2404" i="2"/>
  <c r="A2405" i="2"/>
  <c r="B2405" i="2"/>
  <c r="E2405" i="2"/>
  <c r="A2406" i="2"/>
  <c r="B2406" i="2"/>
  <c r="E2406" i="2"/>
  <c r="A2407" i="2"/>
  <c r="B2407" i="2"/>
  <c r="E2407" i="2"/>
  <c r="A2408" i="2"/>
  <c r="B2408" i="2"/>
  <c r="E2408" i="2"/>
  <c r="A2409" i="2"/>
  <c r="B2409" i="2"/>
  <c r="E2409" i="2"/>
  <c r="A2410" i="2"/>
  <c r="B2410" i="2"/>
  <c r="E2410" i="2"/>
  <c r="A2411" i="2"/>
  <c r="B2411" i="2"/>
  <c r="E2411" i="2"/>
  <c r="A2412" i="2"/>
  <c r="B2412" i="2"/>
  <c r="E2412" i="2"/>
  <c r="A2413" i="2"/>
  <c r="B2413" i="2"/>
  <c r="E2413" i="2"/>
  <c r="A2414" i="2"/>
  <c r="B2414" i="2"/>
  <c r="E2414" i="2"/>
  <c r="A2415" i="2"/>
  <c r="B2415" i="2"/>
  <c r="E2415" i="2"/>
  <c r="A2416" i="2"/>
  <c r="B2416" i="2"/>
  <c r="E2416" i="2"/>
  <c r="A2417" i="2"/>
  <c r="B2417" i="2"/>
  <c r="E2417" i="2"/>
  <c r="A2418" i="2"/>
  <c r="B2418" i="2"/>
  <c r="E2418" i="2"/>
  <c r="A2419" i="2"/>
  <c r="B2419" i="2"/>
  <c r="E2419" i="2"/>
  <c r="A2420" i="2"/>
  <c r="B2420" i="2"/>
  <c r="E2420" i="2"/>
  <c r="A2421" i="2"/>
  <c r="B2421" i="2"/>
  <c r="E2421" i="2"/>
  <c r="A2422" i="2"/>
  <c r="B2422" i="2"/>
  <c r="E2422" i="2"/>
  <c r="A2423" i="2"/>
  <c r="B2423" i="2"/>
  <c r="E2423" i="2"/>
  <c r="A2424" i="2"/>
  <c r="B2424" i="2"/>
  <c r="E2424" i="2"/>
  <c r="A2425" i="2"/>
  <c r="B2425" i="2"/>
  <c r="E2425" i="2"/>
  <c r="A2426" i="2"/>
  <c r="B2426" i="2"/>
  <c r="E2426" i="2"/>
  <c r="A2427" i="2"/>
  <c r="B2427" i="2"/>
  <c r="E2427" i="2"/>
  <c r="A2428" i="2"/>
  <c r="B2428" i="2"/>
  <c r="E2428" i="2"/>
  <c r="A2429" i="2"/>
  <c r="B2429" i="2"/>
  <c r="E2429" i="2"/>
  <c r="A2430" i="2"/>
  <c r="B2430" i="2"/>
  <c r="E2430" i="2"/>
  <c r="A2431" i="2"/>
  <c r="B2431" i="2"/>
  <c r="E2431" i="2"/>
  <c r="A2432" i="2"/>
  <c r="B2432" i="2"/>
  <c r="E2432" i="2"/>
  <c r="A2433" i="2"/>
  <c r="B2433" i="2"/>
  <c r="E2433" i="2"/>
  <c r="A2434" i="2"/>
  <c r="B2434" i="2"/>
  <c r="E2434" i="2"/>
  <c r="A2435" i="2"/>
  <c r="B2435" i="2"/>
  <c r="E2435" i="2"/>
  <c r="A2436" i="2"/>
  <c r="B2436" i="2"/>
  <c r="E2436" i="2"/>
  <c r="A2437" i="2"/>
  <c r="B2437" i="2"/>
  <c r="E2437" i="2"/>
  <c r="A2438" i="2"/>
  <c r="B2438" i="2"/>
  <c r="E2438" i="2"/>
  <c r="A2439" i="2"/>
  <c r="B2439" i="2"/>
  <c r="E2439" i="2"/>
  <c r="A2440" i="2"/>
  <c r="B2440" i="2"/>
  <c r="E2440" i="2"/>
  <c r="A2441" i="2"/>
  <c r="B2441" i="2"/>
  <c r="E2441" i="2"/>
  <c r="A2442" i="2"/>
  <c r="B2442" i="2"/>
  <c r="E2442" i="2"/>
  <c r="A2443" i="2"/>
  <c r="B2443" i="2"/>
  <c r="E2443" i="2"/>
  <c r="A2444" i="2"/>
  <c r="B2444" i="2"/>
  <c r="E2444" i="2"/>
  <c r="A2445" i="2"/>
  <c r="B2445" i="2"/>
  <c r="E2445" i="2"/>
  <c r="A2446" i="2"/>
  <c r="B2446" i="2"/>
  <c r="E2446" i="2"/>
  <c r="A2447" i="2"/>
  <c r="B2447" i="2"/>
  <c r="E2447" i="2"/>
  <c r="A2448" i="2"/>
  <c r="B2448" i="2"/>
  <c r="E2448" i="2"/>
  <c r="A2449" i="2"/>
  <c r="B2449" i="2"/>
  <c r="E2449" i="2"/>
  <c r="A2450" i="2"/>
  <c r="B2450" i="2"/>
  <c r="E2450" i="2"/>
  <c r="A2451" i="2"/>
  <c r="B2451" i="2"/>
  <c r="E2451" i="2"/>
  <c r="A2452" i="2"/>
  <c r="B2452" i="2"/>
  <c r="E2452" i="2"/>
  <c r="A2453" i="2"/>
  <c r="B2453" i="2"/>
  <c r="E2453" i="2"/>
  <c r="A2454" i="2"/>
  <c r="B2454" i="2"/>
  <c r="E2454" i="2"/>
  <c r="A2455" i="2"/>
  <c r="B2455" i="2"/>
  <c r="E2455" i="2"/>
  <c r="A2456" i="2"/>
  <c r="B2456" i="2"/>
  <c r="E2456" i="2"/>
  <c r="A2457" i="2"/>
  <c r="B2457" i="2"/>
  <c r="E2457" i="2"/>
  <c r="A2458" i="2"/>
  <c r="B2458" i="2"/>
  <c r="E2458" i="2"/>
  <c r="A2459" i="2"/>
  <c r="B2459" i="2"/>
  <c r="E2459" i="2"/>
  <c r="A2460" i="2"/>
  <c r="B2460" i="2"/>
  <c r="E2460" i="2"/>
  <c r="A2461" i="2"/>
  <c r="B2461" i="2"/>
  <c r="E2461" i="2"/>
  <c r="A2462" i="2"/>
  <c r="B2462" i="2"/>
  <c r="E2462" i="2"/>
  <c r="A2463" i="2"/>
  <c r="B2463" i="2"/>
  <c r="E2463" i="2"/>
  <c r="A2464" i="2"/>
  <c r="B2464" i="2"/>
  <c r="E2464" i="2"/>
  <c r="A2465" i="2"/>
  <c r="B2465" i="2"/>
  <c r="E2465" i="2"/>
  <c r="A2466" i="2"/>
  <c r="B2466" i="2"/>
  <c r="E2466" i="2"/>
  <c r="A2467" i="2"/>
  <c r="B2467" i="2"/>
  <c r="E2467" i="2"/>
  <c r="A2468" i="2"/>
  <c r="B2468" i="2"/>
  <c r="E2468" i="2"/>
  <c r="A2469" i="2"/>
  <c r="B2469" i="2"/>
  <c r="E2469" i="2"/>
  <c r="A2470" i="2"/>
  <c r="B2470" i="2"/>
  <c r="E2470" i="2"/>
  <c r="A2471" i="2"/>
  <c r="B2471" i="2"/>
  <c r="E2471" i="2"/>
  <c r="A2472" i="2"/>
  <c r="B2472" i="2"/>
  <c r="E2472" i="2"/>
  <c r="A2473" i="2"/>
  <c r="B2473" i="2"/>
  <c r="E2473" i="2"/>
  <c r="A2474" i="2"/>
  <c r="B2474" i="2"/>
  <c r="E2474" i="2"/>
  <c r="A2475" i="2"/>
  <c r="B2475" i="2"/>
  <c r="E2475" i="2"/>
  <c r="A2476" i="2"/>
  <c r="B2476" i="2"/>
  <c r="E2476" i="2"/>
  <c r="A2477" i="2"/>
  <c r="B2477" i="2"/>
  <c r="E2477" i="2"/>
  <c r="A2478" i="2"/>
  <c r="B2478" i="2"/>
  <c r="E2478" i="2"/>
  <c r="A2479" i="2"/>
  <c r="B2479" i="2"/>
  <c r="E2479" i="2"/>
  <c r="A2480" i="2"/>
  <c r="B2480" i="2"/>
  <c r="E2480" i="2"/>
  <c r="A2481" i="2"/>
  <c r="B2481" i="2"/>
  <c r="E2481" i="2"/>
  <c r="A2482" i="2"/>
  <c r="B2482" i="2"/>
  <c r="E2482" i="2"/>
  <c r="A2483" i="2"/>
  <c r="B2483" i="2"/>
  <c r="E2483" i="2"/>
  <c r="A2484" i="2"/>
  <c r="B2484" i="2"/>
  <c r="E2484" i="2"/>
  <c r="A2485" i="2"/>
  <c r="B2485" i="2"/>
  <c r="E2485" i="2"/>
  <c r="A2486" i="2"/>
  <c r="B2486" i="2"/>
  <c r="E2486" i="2"/>
  <c r="A2487" i="2"/>
  <c r="B2487" i="2"/>
  <c r="E2487" i="2"/>
  <c r="A2488" i="2"/>
  <c r="B2488" i="2"/>
  <c r="E2488" i="2"/>
  <c r="A2489" i="2"/>
  <c r="B2489" i="2"/>
  <c r="E2489" i="2"/>
  <c r="A2490" i="2"/>
  <c r="B2490" i="2"/>
  <c r="E2490" i="2"/>
  <c r="A2491" i="2"/>
  <c r="B2491" i="2"/>
  <c r="E2491" i="2"/>
  <c r="A2492" i="2"/>
  <c r="B2492" i="2"/>
  <c r="E2492" i="2"/>
  <c r="A2493" i="2"/>
  <c r="B2493" i="2"/>
  <c r="E2493" i="2"/>
  <c r="A2494" i="2"/>
  <c r="B2494" i="2"/>
  <c r="E2494" i="2"/>
  <c r="A2495" i="2"/>
  <c r="B2495" i="2"/>
  <c r="E2495" i="2"/>
  <c r="A2496" i="2"/>
  <c r="B2496" i="2"/>
  <c r="E2496" i="2"/>
  <c r="A2497" i="2"/>
  <c r="B2497" i="2"/>
  <c r="E2497" i="2"/>
  <c r="A2498" i="2"/>
  <c r="B2498" i="2"/>
  <c r="E2498" i="2"/>
  <c r="A2499" i="2"/>
  <c r="B2499" i="2"/>
  <c r="E2499" i="2"/>
  <c r="A2500" i="2"/>
  <c r="B2500" i="2"/>
  <c r="E2500" i="2"/>
  <c r="A2501" i="2"/>
  <c r="B2501" i="2"/>
  <c r="E2501" i="2"/>
  <c r="A2502" i="2"/>
  <c r="B2502" i="2"/>
  <c r="E2502" i="2"/>
  <c r="A2503" i="2"/>
  <c r="B2503" i="2"/>
  <c r="E2503" i="2"/>
  <c r="A2504" i="2"/>
  <c r="B2504" i="2"/>
  <c r="E2504" i="2"/>
  <c r="A2505" i="2"/>
  <c r="B2505" i="2"/>
  <c r="E2505" i="2"/>
  <c r="A2506" i="2"/>
  <c r="B2506" i="2"/>
  <c r="E2506" i="2"/>
  <c r="A2507" i="2"/>
  <c r="B2507" i="2"/>
  <c r="E2507" i="2"/>
  <c r="A2508" i="2"/>
  <c r="B2508" i="2"/>
  <c r="E2508" i="2"/>
  <c r="A2509" i="2"/>
  <c r="B2509" i="2"/>
  <c r="E2509" i="2"/>
  <c r="A2510" i="2"/>
  <c r="B2510" i="2"/>
  <c r="E2510" i="2"/>
  <c r="A2511" i="2"/>
  <c r="B2511" i="2"/>
  <c r="E2511" i="2"/>
  <c r="A2512" i="2"/>
  <c r="B2512" i="2"/>
  <c r="E2512" i="2"/>
  <c r="A2513" i="2"/>
  <c r="B2513" i="2"/>
  <c r="E2513" i="2"/>
  <c r="A2514" i="2"/>
  <c r="B2514" i="2"/>
  <c r="E2514" i="2"/>
  <c r="A2515" i="2"/>
  <c r="B2515" i="2"/>
  <c r="E2515" i="2"/>
  <c r="A2516" i="2"/>
  <c r="B2516" i="2"/>
  <c r="E2516" i="2"/>
  <c r="A2517" i="2"/>
  <c r="B2517" i="2"/>
  <c r="E2517" i="2"/>
  <c r="A2518" i="2"/>
  <c r="B2518" i="2"/>
  <c r="E2518" i="2"/>
  <c r="A2519" i="2"/>
  <c r="B2519" i="2"/>
  <c r="E2519" i="2"/>
  <c r="A2520" i="2"/>
  <c r="B2520" i="2"/>
  <c r="E2520" i="2"/>
  <c r="A2521" i="2"/>
  <c r="B2521" i="2"/>
  <c r="E2521" i="2"/>
  <c r="A2522" i="2"/>
  <c r="B2522" i="2"/>
  <c r="E2522" i="2"/>
  <c r="A2523" i="2"/>
  <c r="B2523" i="2"/>
  <c r="E2523" i="2"/>
  <c r="A2524" i="2"/>
  <c r="B2524" i="2"/>
  <c r="E2524" i="2"/>
  <c r="A2525" i="2"/>
  <c r="B2525" i="2"/>
  <c r="E2525" i="2"/>
  <c r="A2526" i="2"/>
  <c r="B2526" i="2"/>
  <c r="E2526" i="2"/>
  <c r="A2527" i="2"/>
  <c r="B2527" i="2"/>
  <c r="E2527" i="2"/>
  <c r="A2528" i="2"/>
  <c r="B2528" i="2"/>
  <c r="E2528" i="2"/>
  <c r="A2529" i="2"/>
  <c r="B2529" i="2"/>
  <c r="E2529" i="2"/>
  <c r="A2530" i="2"/>
  <c r="B2530" i="2"/>
  <c r="E2530" i="2"/>
  <c r="A2531" i="2"/>
  <c r="B2531" i="2"/>
  <c r="E2531" i="2"/>
  <c r="A2532" i="2"/>
  <c r="B2532" i="2"/>
  <c r="E2532" i="2"/>
  <c r="A2533" i="2"/>
  <c r="B2533" i="2"/>
  <c r="E2533" i="2"/>
  <c r="A2534" i="2"/>
  <c r="B2534" i="2"/>
  <c r="E2534" i="2"/>
  <c r="A2535" i="2"/>
  <c r="B2535" i="2"/>
  <c r="E2535" i="2"/>
  <c r="A2536" i="2"/>
  <c r="B2536" i="2"/>
  <c r="E2536" i="2"/>
  <c r="A2537" i="2"/>
  <c r="B2537" i="2"/>
  <c r="E2537" i="2"/>
  <c r="A2538" i="2"/>
  <c r="B2538" i="2"/>
  <c r="E2538" i="2"/>
  <c r="A2539" i="2"/>
  <c r="B2539" i="2"/>
  <c r="E2539" i="2"/>
  <c r="A2540" i="2"/>
  <c r="B2540" i="2"/>
  <c r="E2540" i="2"/>
  <c r="A2541" i="2"/>
  <c r="B2541" i="2"/>
  <c r="E2541" i="2"/>
  <c r="A2542" i="2"/>
  <c r="B2542" i="2"/>
  <c r="E2542" i="2"/>
  <c r="A2543" i="2"/>
  <c r="B2543" i="2"/>
  <c r="E2543" i="2"/>
  <c r="A2544" i="2"/>
  <c r="B2544" i="2"/>
  <c r="E2544" i="2"/>
  <c r="A2545" i="2"/>
  <c r="B2545" i="2"/>
  <c r="E2545" i="2"/>
  <c r="A2546" i="2"/>
  <c r="B2546" i="2"/>
  <c r="E2546" i="2"/>
  <c r="A2547" i="2"/>
  <c r="B2547" i="2"/>
  <c r="E2547" i="2"/>
  <c r="A2548" i="2"/>
  <c r="B2548" i="2"/>
  <c r="E2548" i="2"/>
  <c r="A2549" i="2"/>
  <c r="B2549" i="2"/>
  <c r="E2549" i="2"/>
  <c r="A2550" i="2"/>
  <c r="B2550" i="2"/>
  <c r="E2550" i="2"/>
  <c r="A2551" i="2"/>
  <c r="B2551" i="2"/>
  <c r="E2551" i="2"/>
  <c r="A2552" i="2"/>
  <c r="B2552" i="2"/>
  <c r="E2552" i="2"/>
  <c r="A2553" i="2"/>
  <c r="B2553" i="2"/>
  <c r="E2553" i="2"/>
  <c r="A2554" i="2"/>
  <c r="B2554" i="2"/>
  <c r="E2554" i="2"/>
  <c r="A2555" i="2"/>
  <c r="B2555" i="2"/>
  <c r="E2555" i="2"/>
  <c r="A2556" i="2"/>
  <c r="B2556" i="2"/>
  <c r="E2556" i="2"/>
  <c r="A2557" i="2"/>
  <c r="B2557" i="2"/>
  <c r="E2557" i="2"/>
  <c r="A2558" i="2"/>
  <c r="B2558" i="2"/>
  <c r="E2558" i="2"/>
  <c r="A2559" i="2"/>
  <c r="B2559" i="2"/>
  <c r="E2559" i="2"/>
  <c r="A2560" i="2"/>
  <c r="B2560" i="2"/>
  <c r="E2560" i="2"/>
  <c r="A2561" i="2"/>
  <c r="B2561" i="2"/>
  <c r="E2561" i="2"/>
  <c r="A2562" i="2"/>
  <c r="B2562" i="2"/>
  <c r="E2562" i="2"/>
  <c r="A2563" i="2"/>
  <c r="B2563" i="2"/>
  <c r="E2563" i="2"/>
  <c r="A2564" i="2"/>
  <c r="B2564" i="2"/>
  <c r="E2564" i="2"/>
  <c r="A2565" i="2"/>
  <c r="B2565" i="2"/>
  <c r="E2565" i="2"/>
  <c r="A2566" i="2"/>
  <c r="B2566" i="2"/>
  <c r="E2566" i="2"/>
  <c r="A2567" i="2"/>
  <c r="B2567" i="2"/>
  <c r="E2567" i="2"/>
  <c r="A2568" i="2"/>
  <c r="B2568" i="2"/>
  <c r="E2568" i="2"/>
  <c r="A2569" i="2"/>
  <c r="B2569" i="2"/>
  <c r="E2569" i="2"/>
  <c r="A2570" i="2"/>
  <c r="B2570" i="2"/>
  <c r="E2570" i="2"/>
  <c r="A2571" i="2"/>
  <c r="B2571" i="2"/>
  <c r="E2571" i="2"/>
  <c r="A2572" i="2"/>
  <c r="B2572" i="2"/>
  <c r="E2572" i="2"/>
  <c r="A2573" i="2"/>
  <c r="B2573" i="2"/>
  <c r="E2573" i="2"/>
  <c r="A2574" i="2"/>
  <c r="B2574" i="2"/>
  <c r="E2574" i="2"/>
  <c r="A2575" i="2"/>
  <c r="B2575" i="2"/>
  <c r="E2575" i="2"/>
  <c r="A2576" i="2"/>
  <c r="B2576" i="2"/>
  <c r="E2576" i="2"/>
  <c r="A2577" i="2"/>
  <c r="B2577" i="2"/>
  <c r="E2577" i="2"/>
  <c r="A2578" i="2"/>
  <c r="B2578" i="2"/>
  <c r="E2578" i="2"/>
  <c r="A2579" i="2"/>
  <c r="B2579" i="2"/>
  <c r="E2579" i="2"/>
  <c r="A2580" i="2"/>
  <c r="B2580" i="2"/>
  <c r="E2580" i="2"/>
  <c r="A2581" i="2"/>
  <c r="B2581" i="2"/>
  <c r="E2581" i="2"/>
  <c r="A2582" i="2"/>
  <c r="B2582" i="2"/>
  <c r="E2582" i="2"/>
  <c r="A2583" i="2"/>
  <c r="B2583" i="2"/>
  <c r="E2583" i="2"/>
  <c r="A2584" i="2"/>
  <c r="B2584" i="2"/>
  <c r="E2584" i="2"/>
  <c r="A2585" i="2"/>
  <c r="B2585" i="2"/>
  <c r="E2585" i="2"/>
  <c r="A2586" i="2"/>
  <c r="B2586" i="2"/>
  <c r="E2586" i="2"/>
  <c r="A2587" i="2"/>
  <c r="B2587" i="2"/>
  <c r="E2587" i="2"/>
  <c r="A2588" i="2"/>
  <c r="B2588" i="2"/>
  <c r="E2588" i="2"/>
  <c r="A2589" i="2"/>
  <c r="B2589" i="2"/>
  <c r="E2589" i="2"/>
  <c r="A2590" i="2"/>
  <c r="B2590" i="2"/>
  <c r="E2590" i="2"/>
  <c r="A2591" i="2"/>
  <c r="B2591" i="2"/>
  <c r="E2591" i="2"/>
  <c r="A2592" i="2"/>
  <c r="B2592" i="2"/>
  <c r="E2592" i="2"/>
  <c r="A2593" i="2"/>
  <c r="B2593" i="2"/>
  <c r="E2593" i="2"/>
  <c r="A2594" i="2"/>
  <c r="B2594" i="2"/>
  <c r="E2594" i="2"/>
  <c r="A2595" i="2"/>
  <c r="B2595" i="2"/>
  <c r="E2595" i="2"/>
  <c r="A2596" i="2"/>
  <c r="B2596" i="2"/>
  <c r="E2596" i="2"/>
  <c r="A2597" i="2"/>
  <c r="B2597" i="2"/>
  <c r="E2597" i="2"/>
  <c r="A2598" i="2"/>
  <c r="B2598" i="2"/>
  <c r="E2598" i="2"/>
  <c r="A2599" i="2"/>
  <c r="B2599" i="2"/>
  <c r="E2599" i="2"/>
  <c r="A2600" i="2"/>
  <c r="B2600" i="2"/>
  <c r="E2600" i="2"/>
  <c r="A2601" i="2"/>
  <c r="B2601" i="2"/>
  <c r="E2601" i="2"/>
  <c r="A2602" i="2"/>
  <c r="B2602" i="2"/>
  <c r="E2602" i="2"/>
  <c r="A2603" i="2"/>
  <c r="B2603" i="2"/>
  <c r="E2603" i="2"/>
  <c r="A2604" i="2"/>
  <c r="B2604" i="2"/>
  <c r="E2604" i="2"/>
  <c r="A2605" i="2"/>
  <c r="B2605" i="2"/>
  <c r="E2605" i="2"/>
  <c r="A2606" i="2"/>
  <c r="B2606" i="2"/>
  <c r="E2606" i="2"/>
  <c r="A2607" i="2"/>
  <c r="B2607" i="2"/>
  <c r="E2607" i="2"/>
  <c r="A2608" i="2"/>
  <c r="B2608" i="2"/>
  <c r="E2608" i="2"/>
  <c r="A2609" i="2"/>
  <c r="B2609" i="2"/>
  <c r="E2609" i="2"/>
  <c r="A2610" i="2"/>
  <c r="B2610" i="2"/>
  <c r="E2610" i="2"/>
  <c r="A2611" i="2"/>
  <c r="B2611" i="2"/>
  <c r="E2611" i="2"/>
  <c r="A2612" i="2"/>
  <c r="B2612" i="2"/>
  <c r="E2612" i="2"/>
  <c r="A2613" i="2"/>
  <c r="B2613" i="2"/>
  <c r="E2613" i="2"/>
  <c r="A2614" i="2"/>
  <c r="B2614" i="2"/>
  <c r="E2614" i="2"/>
  <c r="A2615" i="2"/>
  <c r="B2615" i="2"/>
  <c r="E2615" i="2"/>
  <c r="A2616" i="2"/>
  <c r="B2616" i="2"/>
  <c r="E2616" i="2"/>
  <c r="A2617" i="2"/>
  <c r="B2617" i="2"/>
  <c r="E2617" i="2"/>
  <c r="A2618" i="2"/>
  <c r="B2618" i="2"/>
  <c r="E2618" i="2"/>
  <c r="A2619" i="2"/>
  <c r="B2619" i="2"/>
  <c r="E2619" i="2"/>
  <c r="A2620" i="2"/>
  <c r="B2620" i="2"/>
  <c r="E2620" i="2"/>
  <c r="A2621" i="2"/>
  <c r="B2621" i="2"/>
  <c r="E2621" i="2"/>
  <c r="A2622" i="2"/>
  <c r="B2622" i="2"/>
  <c r="E2622" i="2"/>
  <c r="A2623" i="2"/>
  <c r="B2623" i="2"/>
  <c r="E2623" i="2"/>
  <c r="A2624" i="2"/>
  <c r="B2624" i="2"/>
  <c r="E2624" i="2"/>
  <c r="A2625" i="2"/>
  <c r="B2625" i="2"/>
  <c r="E2625" i="2"/>
  <c r="A2626" i="2"/>
  <c r="B2626" i="2"/>
  <c r="E2626" i="2"/>
  <c r="A2627" i="2"/>
  <c r="B2627" i="2"/>
  <c r="E2627" i="2"/>
  <c r="A2628" i="2"/>
  <c r="B2628" i="2"/>
  <c r="E2628" i="2"/>
  <c r="A2629" i="2"/>
  <c r="B2629" i="2"/>
  <c r="E2629" i="2"/>
  <c r="A2630" i="2"/>
  <c r="B2630" i="2"/>
  <c r="E2630" i="2"/>
  <c r="A2631" i="2"/>
  <c r="B2631" i="2"/>
  <c r="E2631" i="2"/>
  <c r="A2632" i="2"/>
  <c r="B2632" i="2"/>
  <c r="E2632" i="2"/>
  <c r="A2633" i="2"/>
  <c r="B2633" i="2"/>
  <c r="E2633" i="2"/>
  <c r="A2634" i="2"/>
  <c r="B2634" i="2"/>
  <c r="E2634" i="2"/>
  <c r="A2635" i="2"/>
  <c r="B2635" i="2"/>
  <c r="E2635" i="2"/>
  <c r="A2636" i="2"/>
  <c r="B2636" i="2"/>
  <c r="E2636" i="2"/>
  <c r="A2637" i="2"/>
  <c r="B2637" i="2"/>
  <c r="E2637" i="2"/>
  <c r="A2638" i="2"/>
  <c r="B2638" i="2"/>
  <c r="E2638" i="2"/>
  <c r="A2639" i="2"/>
  <c r="B2639" i="2"/>
  <c r="E2639" i="2"/>
  <c r="A2640" i="2"/>
  <c r="B2640" i="2"/>
  <c r="E2640" i="2"/>
  <c r="A2641" i="2"/>
  <c r="B2641" i="2"/>
  <c r="E2641" i="2"/>
  <c r="A2642" i="2"/>
  <c r="B2642" i="2"/>
  <c r="E2642" i="2"/>
  <c r="A2643" i="2"/>
  <c r="B2643" i="2"/>
  <c r="E2643" i="2"/>
  <c r="A2644" i="2"/>
  <c r="B2644" i="2"/>
  <c r="E2644" i="2"/>
  <c r="A2645" i="2"/>
  <c r="B2645" i="2"/>
  <c r="E2645" i="2"/>
  <c r="A2646" i="2"/>
  <c r="B2646" i="2"/>
  <c r="E2646" i="2"/>
  <c r="A2647" i="2"/>
  <c r="B2647" i="2"/>
  <c r="E2647" i="2"/>
  <c r="A2648" i="2"/>
  <c r="B2648" i="2"/>
  <c r="E2648" i="2"/>
  <c r="A2649" i="2"/>
  <c r="B2649" i="2"/>
  <c r="E2649" i="2"/>
  <c r="A2650" i="2"/>
  <c r="B2650" i="2"/>
  <c r="E2650" i="2"/>
  <c r="A2651" i="2"/>
  <c r="B2651" i="2"/>
  <c r="E2651" i="2"/>
  <c r="A2652" i="2"/>
  <c r="B2652" i="2"/>
  <c r="E2652" i="2"/>
  <c r="A2653" i="2"/>
  <c r="B2653" i="2"/>
  <c r="E2653" i="2"/>
  <c r="A2654" i="2"/>
  <c r="B2654" i="2"/>
  <c r="E2654" i="2"/>
  <c r="A2655" i="2"/>
  <c r="B2655" i="2"/>
  <c r="E2655" i="2"/>
  <c r="A2656" i="2"/>
  <c r="B2656" i="2"/>
  <c r="E2656" i="2"/>
  <c r="A2657" i="2"/>
  <c r="B2657" i="2"/>
  <c r="E2657" i="2"/>
  <c r="A2658" i="2"/>
  <c r="B2658" i="2"/>
  <c r="E2658" i="2"/>
  <c r="A2659" i="2"/>
  <c r="B2659" i="2"/>
  <c r="E2659" i="2"/>
  <c r="A2660" i="2"/>
  <c r="B2660" i="2"/>
  <c r="E2660" i="2"/>
  <c r="A2661" i="2"/>
  <c r="B2661" i="2"/>
  <c r="E2661" i="2"/>
  <c r="A2662" i="2"/>
  <c r="B2662" i="2"/>
  <c r="E2662" i="2"/>
  <c r="A2663" i="2"/>
  <c r="B2663" i="2"/>
  <c r="E2663" i="2"/>
  <c r="A2664" i="2"/>
  <c r="B2664" i="2"/>
  <c r="E2664" i="2"/>
  <c r="A2665" i="2"/>
  <c r="B2665" i="2"/>
  <c r="E2665" i="2"/>
  <c r="A2666" i="2"/>
  <c r="B2666" i="2"/>
  <c r="E2666" i="2"/>
  <c r="A2667" i="2"/>
  <c r="B2667" i="2"/>
  <c r="E2667" i="2"/>
  <c r="A2668" i="2"/>
  <c r="B2668" i="2"/>
  <c r="E2668" i="2"/>
  <c r="A2669" i="2"/>
  <c r="B2669" i="2"/>
  <c r="E2669" i="2"/>
  <c r="A2670" i="2"/>
  <c r="B2670" i="2"/>
  <c r="E2670" i="2"/>
  <c r="A2671" i="2"/>
  <c r="B2671" i="2"/>
  <c r="E2671" i="2"/>
  <c r="A2672" i="2"/>
  <c r="B2672" i="2"/>
  <c r="E2672" i="2"/>
  <c r="A2673" i="2"/>
  <c r="B2673" i="2"/>
  <c r="E2673" i="2"/>
  <c r="A2674" i="2"/>
  <c r="B2674" i="2"/>
  <c r="E2674" i="2"/>
  <c r="A2675" i="2"/>
  <c r="B2675" i="2"/>
  <c r="E2675" i="2"/>
  <c r="A2676" i="2"/>
  <c r="B2676" i="2"/>
  <c r="E2676" i="2"/>
  <c r="A2677" i="2"/>
  <c r="B2677" i="2"/>
  <c r="E2677" i="2"/>
  <c r="A2678" i="2"/>
  <c r="B2678" i="2"/>
  <c r="E2678" i="2"/>
  <c r="A2679" i="2"/>
  <c r="B2679" i="2"/>
  <c r="E2679" i="2"/>
  <c r="A2680" i="2"/>
  <c r="B2680" i="2"/>
  <c r="E2680" i="2"/>
  <c r="A2681" i="2"/>
  <c r="B2681" i="2"/>
  <c r="E2681" i="2"/>
  <c r="A2682" i="2"/>
  <c r="B2682" i="2"/>
  <c r="E2682" i="2"/>
  <c r="A2683" i="2"/>
  <c r="B2683" i="2"/>
  <c r="E2683" i="2"/>
  <c r="A2684" i="2"/>
  <c r="B2684" i="2"/>
  <c r="E2684" i="2"/>
  <c r="A2685" i="2"/>
  <c r="B2685" i="2"/>
  <c r="E2685" i="2"/>
  <c r="A2686" i="2"/>
  <c r="B2686" i="2"/>
  <c r="E2686" i="2"/>
  <c r="A2687" i="2"/>
  <c r="B2687" i="2"/>
  <c r="E2687" i="2"/>
  <c r="A2688" i="2"/>
  <c r="B2688" i="2"/>
  <c r="E2688" i="2"/>
  <c r="A2689" i="2"/>
  <c r="B2689" i="2"/>
  <c r="E2689" i="2"/>
  <c r="A2690" i="2"/>
  <c r="B2690" i="2"/>
  <c r="E2690" i="2"/>
  <c r="A2691" i="2"/>
  <c r="B2691" i="2"/>
  <c r="E2691" i="2"/>
  <c r="A2692" i="2"/>
  <c r="B2692" i="2"/>
  <c r="E2692" i="2"/>
  <c r="A2693" i="2"/>
  <c r="B2693" i="2"/>
  <c r="E2693" i="2"/>
  <c r="A2694" i="2"/>
  <c r="B2694" i="2"/>
  <c r="E2694" i="2"/>
  <c r="A2695" i="2"/>
  <c r="B2695" i="2"/>
  <c r="E2695" i="2"/>
  <c r="A2696" i="2"/>
  <c r="B2696" i="2"/>
  <c r="E2696" i="2"/>
  <c r="A2697" i="2"/>
  <c r="B2697" i="2"/>
  <c r="E2697" i="2"/>
  <c r="A2698" i="2"/>
  <c r="B2698" i="2"/>
  <c r="E2698" i="2"/>
  <c r="A2699" i="2"/>
  <c r="B2699" i="2"/>
  <c r="E2699" i="2"/>
  <c r="A2700" i="2"/>
  <c r="B2700" i="2"/>
  <c r="E2700" i="2"/>
  <c r="A2701" i="2"/>
  <c r="B2701" i="2"/>
  <c r="E2701" i="2"/>
  <c r="A2702" i="2"/>
  <c r="B2702" i="2"/>
  <c r="E2702" i="2"/>
  <c r="A2703" i="2"/>
  <c r="B2703" i="2"/>
  <c r="E2703" i="2"/>
  <c r="A2704" i="2"/>
  <c r="B2704" i="2"/>
  <c r="E2704" i="2"/>
  <c r="A2705" i="2"/>
  <c r="B2705" i="2"/>
  <c r="E2705" i="2"/>
  <c r="A2706" i="2"/>
  <c r="B2706" i="2"/>
  <c r="E2706" i="2"/>
  <c r="A2707" i="2"/>
  <c r="B2707" i="2"/>
  <c r="E2707" i="2"/>
  <c r="A2708" i="2"/>
  <c r="B2708" i="2"/>
  <c r="E2708" i="2"/>
  <c r="A2709" i="2"/>
  <c r="B2709" i="2"/>
  <c r="E2709" i="2"/>
  <c r="A2710" i="2"/>
  <c r="B2710" i="2"/>
  <c r="E2710" i="2"/>
  <c r="A2711" i="2"/>
  <c r="B2711" i="2"/>
  <c r="E2711" i="2"/>
  <c r="A2712" i="2"/>
  <c r="B2712" i="2"/>
  <c r="E2712" i="2"/>
  <c r="A2713" i="2"/>
  <c r="B2713" i="2"/>
  <c r="E2713" i="2"/>
  <c r="A2714" i="2"/>
  <c r="B2714" i="2"/>
  <c r="E2714" i="2"/>
  <c r="A2715" i="2"/>
  <c r="B2715" i="2"/>
  <c r="E2715" i="2"/>
  <c r="A2716" i="2"/>
  <c r="B2716" i="2"/>
  <c r="E2716" i="2"/>
  <c r="A2717" i="2"/>
  <c r="B2717" i="2"/>
  <c r="E2717" i="2"/>
  <c r="A2718" i="2"/>
  <c r="B2718" i="2"/>
  <c r="E2718" i="2"/>
  <c r="A2719" i="2"/>
  <c r="B2719" i="2"/>
  <c r="E2719" i="2"/>
  <c r="A2720" i="2"/>
  <c r="B2720" i="2"/>
  <c r="E2720" i="2"/>
  <c r="A2721" i="2"/>
  <c r="B2721" i="2"/>
  <c r="E2721" i="2"/>
  <c r="A2722" i="2"/>
  <c r="B2722" i="2"/>
  <c r="E2722" i="2"/>
  <c r="A2723" i="2"/>
  <c r="B2723" i="2"/>
  <c r="E2723" i="2"/>
  <c r="A2724" i="2"/>
  <c r="B2724" i="2"/>
  <c r="E2724" i="2"/>
  <c r="A2725" i="2"/>
  <c r="B2725" i="2"/>
  <c r="E2725" i="2"/>
  <c r="A2726" i="2"/>
  <c r="B2726" i="2"/>
  <c r="E2726" i="2"/>
  <c r="A2727" i="2"/>
  <c r="B2727" i="2"/>
  <c r="E2727" i="2"/>
  <c r="A2728" i="2"/>
  <c r="B2728" i="2"/>
  <c r="E2728" i="2"/>
  <c r="A2729" i="2"/>
  <c r="B2729" i="2"/>
  <c r="E2729" i="2"/>
  <c r="A2730" i="2"/>
  <c r="B2730" i="2"/>
  <c r="E2730" i="2"/>
  <c r="A2731" i="2"/>
  <c r="B2731" i="2"/>
  <c r="E2731" i="2"/>
  <c r="A2732" i="2"/>
  <c r="B2732" i="2"/>
  <c r="E2732" i="2"/>
  <c r="A2733" i="2"/>
  <c r="B2733" i="2"/>
  <c r="E2733" i="2"/>
  <c r="A2734" i="2"/>
  <c r="B2734" i="2"/>
  <c r="E2734" i="2"/>
  <c r="A2735" i="2"/>
  <c r="B2735" i="2"/>
  <c r="E2735" i="2"/>
  <c r="A2736" i="2"/>
  <c r="B2736" i="2"/>
  <c r="E2736" i="2"/>
  <c r="A2737" i="2"/>
  <c r="B2737" i="2"/>
  <c r="E2737" i="2"/>
  <c r="A2738" i="2"/>
  <c r="B2738" i="2"/>
  <c r="E2738" i="2"/>
  <c r="A2739" i="2"/>
  <c r="B2739" i="2"/>
  <c r="E2739" i="2"/>
  <c r="A2740" i="2"/>
  <c r="B2740" i="2"/>
  <c r="E2740" i="2"/>
  <c r="A2741" i="2"/>
  <c r="B2741" i="2"/>
  <c r="E2741" i="2"/>
  <c r="A2742" i="2"/>
  <c r="B2742" i="2"/>
  <c r="E2742" i="2"/>
  <c r="A2743" i="2"/>
  <c r="B2743" i="2"/>
  <c r="E2743" i="2"/>
  <c r="A2744" i="2"/>
  <c r="B2744" i="2"/>
  <c r="E2744" i="2"/>
  <c r="A2745" i="2"/>
  <c r="B2745" i="2"/>
  <c r="E2745" i="2"/>
  <c r="A2746" i="2"/>
  <c r="B2746" i="2"/>
  <c r="E2746" i="2"/>
  <c r="A2747" i="2"/>
  <c r="B2747" i="2"/>
  <c r="E2747" i="2"/>
  <c r="A2748" i="2"/>
  <c r="B2748" i="2"/>
  <c r="E2748" i="2"/>
  <c r="A2749" i="2"/>
  <c r="B2749" i="2"/>
  <c r="E2749" i="2"/>
  <c r="A2750" i="2"/>
  <c r="B2750" i="2"/>
  <c r="E2750" i="2"/>
  <c r="A2751" i="2"/>
  <c r="B2751" i="2"/>
  <c r="E2751" i="2"/>
  <c r="A2752" i="2"/>
  <c r="B2752" i="2"/>
  <c r="E2752" i="2"/>
  <c r="A2753" i="2"/>
  <c r="B2753" i="2"/>
  <c r="E2753" i="2"/>
  <c r="A2754" i="2"/>
  <c r="B2754" i="2"/>
  <c r="E2754" i="2"/>
  <c r="A2755" i="2"/>
  <c r="B2755" i="2"/>
  <c r="E2755" i="2"/>
  <c r="A2756" i="2"/>
  <c r="B2756" i="2"/>
  <c r="E2756" i="2"/>
  <c r="A2757" i="2"/>
  <c r="B2757" i="2"/>
  <c r="E2757" i="2"/>
  <c r="A2758" i="2"/>
  <c r="B2758" i="2"/>
  <c r="E2758" i="2"/>
  <c r="A2759" i="2"/>
  <c r="B2759" i="2"/>
  <c r="E2759" i="2"/>
  <c r="A2760" i="2"/>
  <c r="B2760" i="2"/>
  <c r="E2760" i="2"/>
  <c r="A2761" i="2"/>
  <c r="B2761" i="2"/>
  <c r="E2761" i="2"/>
  <c r="A2762" i="2"/>
  <c r="B2762" i="2"/>
  <c r="E2762" i="2"/>
  <c r="A2763" i="2"/>
  <c r="B2763" i="2"/>
  <c r="E2763" i="2"/>
  <c r="A2764" i="2"/>
  <c r="B2764" i="2"/>
  <c r="E2764" i="2"/>
  <c r="A2765" i="2"/>
  <c r="B2765" i="2"/>
  <c r="E2765" i="2"/>
  <c r="A2766" i="2"/>
  <c r="B2766" i="2"/>
  <c r="E2766" i="2"/>
  <c r="A2767" i="2"/>
  <c r="B2767" i="2"/>
  <c r="E2767" i="2"/>
  <c r="A2768" i="2"/>
  <c r="B2768" i="2"/>
  <c r="E2768" i="2"/>
  <c r="A2769" i="2"/>
  <c r="B2769" i="2"/>
  <c r="E2769" i="2"/>
  <c r="A2770" i="2"/>
  <c r="B2770" i="2"/>
  <c r="E2770" i="2"/>
  <c r="A2771" i="2"/>
  <c r="B2771" i="2"/>
  <c r="E2771" i="2"/>
  <c r="A2772" i="2"/>
  <c r="B2772" i="2"/>
  <c r="E2772" i="2"/>
  <c r="A2773" i="2"/>
  <c r="B2773" i="2"/>
  <c r="E2773" i="2"/>
  <c r="A2774" i="2"/>
  <c r="B2774" i="2"/>
  <c r="E2774" i="2"/>
  <c r="A2775" i="2"/>
  <c r="B2775" i="2"/>
  <c r="E2775" i="2"/>
  <c r="A2776" i="2"/>
  <c r="B2776" i="2"/>
  <c r="E2776" i="2"/>
  <c r="A2777" i="2"/>
  <c r="B2777" i="2"/>
  <c r="E2777" i="2"/>
  <c r="A2778" i="2"/>
  <c r="B2778" i="2"/>
  <c r="E2778" i="2"/>
  <c r="A2779" i="2"/>
  <c r="B2779" i="2"/>
  <c r="E2779" i="2"/>
  <c r="A2780" i="2"/>
  <c r="B2780" i="2"/>
  <c r="E2780" i="2"/>
  <c r="A2781" i="2"/>
  <c r="B2781" i="2"/>
  <c r="E2781" i="2"/>
  <c r="A2782" i="2"/>
  <c r="B2782" i="2"/>
  <c r="E2782" i="2"/>
  <c r="A2783" i="2"/>
  <c r="B2783" i="2"/>
  <c r="E2783" i="2"/>
  <c r="A2784" i="2"/>
  <c r="B2784" i="2"/>
  <c r="E2784" i="2"/>
  <c r="A2785" i="2"/>
  <c r="B2785" i="2"/>
  <c r="E2785" i="2"/>
  <c r="A2786" i="2"/>
  <c r="B2786" i="2"/>
  <c r="E2786" i="2"/>
  <c r="A2787" i="2"/>
  <c r="B2787" i="2"/>
  <c r="E2787" i="2"/>
  <c r="A2788" i="2"/>
  <c r="B2788" i="2"/>
  <c r="E2788" i="2"/>
  <c r="A2789" i="2"/>
  <c r="B2789" i="2"/>
  <c r="E2789" i="2"/>
  <c r="A2790" i="2"/>
  <c r="B2790" i="2"/>
  <c r="E2790" i="2"/>
  <c r="A2791" i="2"/>
  <c r="B2791" i="2"/>
  <c r="E2791" i="2"/>
  <c r="A2792" i="2"/>
  <c r="B2792" i="2"/>
  <c r="E2792" i="2"/>
  <c r="A2793" i="2"/>
  <c r="B2793" i="2"/>
  <c r="E2793" i="2"/>
  <c r="A2794" i="2"/>
  <c r="B2794" i="2"/>
  <c r="E2794" i="2"/>
  <c r="A2795" i="2"/>
  <c r="B2795" i="2"/>
  <c r="E2795" i="2"/>
  <c r="A2796" i="2"/>
  <c r="B2796" i="2"/>
  <c r="E2796" i="2"/>
  <c r="A2797" i="2"/>
  <c r="B2797" i="2"/>
  <c r="E2797" i="2"/>
  <c r="A2798" i="2"/>
  <c r="B2798" i="2"/>
  <c r="E2798" i="2"/>
  <c r="A2799" i="2"/>
  <c r="B2799" i="2"/>
  <c r="E2799" i="2"/>
  <c r="A2800" i="2"/>
  <c r="B2800" i="2"/>
  <c r="E2800" i="2"/>
  <c r="A2801" i="2"/>
  <c r="B2801" i="2"/>
  <c r="E2801" i="2"/>
  <c r="A2802" i="2"/>
  <c r="B2802" i="2"/>
  <c r="E2802" i="2"/>
  <c r="A2803" i="2"/>
  <c r="B2803" i="2"/>
  <c r="E2803" i="2"/>
  <c r="A2804" i="2"/>
  <c r="B2804" i="2"/>
  <c r="E2804" i="2"/>
  <c r="A2805" i="2"/>
  <c r="B2805" i="2"/>
  <c r="E2805" i="2"/>
  <c r="A2806" i="2"/>
  <c r="B2806" i="2"/>
  <c r="E2806" i="2"/>
  <c r="A2807" i="2"/>
  <c r="B2807" i="2"/>
  <c r="E2807" i="2"/>
  <c r="A2808" i="2"/>
  <c r="B2808" i="2"/>
  <c r="E2808" i="2"/>
  <c r="A2809" i="2"/>
  <c r="B2809" i="2"/>
  <c r="E2809" i="2"/>
  <c r="A2810" i="2"/>
  <c r="B2810" i="2"/>
  <c r="E2810" i="2"/>
  <c r="A2811" i="2"/>
  <c r="B2811" i="2"/>
  <c r="E2811" i="2"/>
  <c r="A2812" i="2"/>
  <c r="B2812" i="2"/>
  <c r="E2812" i="2"/>
  <c r="A2813" i="2"/>
  <c r="B2813" i="2"/>
  <c r="E2813" i="2"/>
  <c r="A2814" i="2"/>
  <c r="B2814" i="2"/>
  <c r="E2814" i="2"/>
  <c r="A2815" i="2"/>
  <c r="B2815" i="2"/>
  <c r="E2815" i="2"/>
  <c r="A2816" i="2"/>
  <c r="B2816" i="2"/>
  <c r="E2816" i="2"/>
  <c r="A2817" i="2"/>
  <c r="B2817" i="2"/>
  <c r="E2817" i="2"/>
  <c r="A2818" i="2"/>
  <c r="B2818" i="2"/>
  <c r="E2818" i="2"/>
  <c r="A2819" i="2"/>
  <c r="B2819" i="2"/>
  <c r="E2819" i="2"/>
  <c r="A2820" i="2"/>
  <c r="B2820" i="2"/>
  <c r="E2820" i="2"/>
  <c r="A2821" i="2"/>
  <c r="B2821" i="2"/>
  <c r="E2821" i="2"/>
  <c r="A2822" i="2"/>
  <c r="B2822" i="2"/>
  <c r="E2822" i="2"/>
  <c r="A2823" i="2"/>
  <c r="B2823" i="2"/>
  <c r="E2823" i="2"/>
  <c r="A2824" i="2"/>
  <c r="B2824" i="2"/>
  <c r="E2824" i="2"/>
  <c r="A2825" i="2"/>
  <c r="B2825" i="2"/>
  <c r="E2825" i="2"/>
  <c r="A2826" i="2"/>
  <c r="B2826" i="2"/>
  <c r="E2826" i="2"/>
  <c r="A2827" i="2"/>
  <c r="B2827" i="2"/>
  <c r="E2827" i="2"/>
  <c r="A2828" i="2"/>
  <c r="B2828" i="2"/>
  <c r="E2828" i="2"/>
  <c r="A2829" i="2"/>
  <c r="B2829" i="2"/>
  <c r="E2829" i="2"/>
  <c r="A2830" i="2"/>
  <c r="B2830" i="2"/>
  <c r="E2830" i="2"/>
  <c r="A2831" i="2"/>
  <c r="B2831" i="2"/>
  <c r="E2831" i="2"/>
  <c r="A2832" i="2"/>
  <c r="B2832" i="2"/>
  <c r="E2832" i="2"/>
  <c r="A2833" i="2"/>
  <c r="B2833" i="2"/>
  <c r="E2833" i="2"/>
  <c r="A2834" i="2"/>
  <c r="B2834" i="2"/>
  <c r="E2834" i="2"/>
  <c r="A2835" i="2"/>
  <c r="B2835" i="2"/>
  <c r="E2835" i="2"/>
  <c r="A2836" i="2"/>
  <c r="B2836" i="2"/>
  <c r="E2836" i="2"/>
  <c r="A2837" i="2"/>
  <c r="B2837" i="2"/>
  <c r="E2837" i="2"/>
  <c r="A2838" i="2"/>
  <c r="B2838" i="2"/>
  <c r="E2838" i="2"/>
  <c r="A2839" i="2"/>
  <c r="B2839" i="2"/>
  <c r="E2839" i="2"/>
  <c r="A2840" i="2"/>
  <c r="B2840" i="2"/>
  <c r="E2840" i="2"/>
  <c r="A2841" i="2"/>
  <c r="B2841" i="2"/>
  <c r="E2841" i="2"/>
  <c r="A2842" i="2"/>
  <c r="B2842" i="2"/>
  <c r="E2842" i="2"/>
  <c r="A2843" i="2"/>
  <c r="B2843" i="2"/>
  <c r="E2843" i="2"/>
  <c r="A2844" i="2"/>
  <c r="B2844" i="2"/>
  <c r="E2844" i="2"/>
  <c r="A2845" i="2"/>
  <c r="B2845" i="2"/>
  <c r="E2845" i="2"/>
  <c r="A2846" i="2"/>
  <c r="B2846" i="2"/>
  <c r="E2846" i="2"/>
  <c r="A2847" i="2"/>
  <c r="B2847" i="2"/>
  <c r="E2847" i="2"/>
  <c r="A2848" i="2"/>
  <c r="B2848" i="2"/>
  <c r="E2848" i="2"/>
  <c r="A2849" i="2"/>
  <c r="B2849" i="2"/>
  <c r="E2849" i="2"/>
  <c r="A2850" i="2"/>
  <c r="B2850" i="2"/>
  <c r="E2850" i="2"/>
  <c r="A2851" i="2"/>
  <c r="B2851" i="2"/>
  <c r="E2851" i="2"/>
  <c r="A2852" i="2"/>
  <c r="B2852" i="2"/>
  <c r="E2852" i="2"/>
  <c r="A2853" i="2"/>
  <c r="B2853" i="2"/>
  <c r="E2853" i="2"/>
  <c r="A2854" i="2"/>
  <c r="B2854" i="2"/>
  <c r="E2854" i="2"/>
  <c r="A2855" i="2"/>
  <c r="B2855" i="2"/>
  <c r="E2855" i="2"/>
  <c r="A2856" i="2"/>
  <c r="B2856" i="2"/>
  <c r="E2856" i="2"/>
  <c r="A2857" i="2"/>
  <c r="B2857" i="2"/>
  <c r="E2857" i="2"/>
  <c r="A2858" i="2"/>
  <c r="B2858" i="2"/>
  <c r="E2858" i="2"/>
  <c r="A2859" i="2"/>
  <c r="B2859" i="2"/>
  <c r="E2859" i="2"/>
  <c r="A2860" i="2"/>
  <c r="B2860" i="2"/>
  <c r="E2860" i="2"/>
  <c r="A2861" i="2"/>
  <c r="B2861" i="2"/>
  <c r="E2861" i="2"/>
  <c r="A2862" i="2"/>
  <c r="B2862" i="2"/>
  <c r="E2862" i="2"/>
  <c r="A2863" i="2"/>
  <c r="B2863" i="2"/>
  <c r="E2863" i="2"/>
  <c r="A2864" i="2"/>
  <c r="B2864" i="2"/>
  <c r="E2864" i="2"/>
  <c r="A2865" i="2"/>
  <c r="B2865" i="2"/>
  <c r="E2865" i="2"/>
  <c r="A2866" i="2"/>
  <c r="B2866" i="2"/>
  <c r="E2866" i="2"/>
  <c r="A2867" i="2"/>
  <c r="B2867" i="2"/>
  <c r="E2867" i="2"/>
  <c r="A2868" i="2"/>
  <c r="B2868" i="2"/>
  <c r="E2868" i="2"/>
  <c r="A2869" i="2"/>
  <c r="B2869" i="2"/>
  <c r="E2869" i="2"/>
  <c r="A2870" i="2"/>
  <c r="B2870" i="2"/>
  <c r="E2870" i="2"/>
  <c r="A2871" i="2"/>
  <c r="B2871" i="2"/>
  <c r="E2871" i="2"/>
  <c r="A2872" i="2"/>
  <c r="B2872" i="2"/>
  <c r="E2872" i="2"/>
  <c r="A2873" i="2"/>
  <c r="B2873" i="2"/>
  <c r="E2873" i="2"/>
  <c r="A2874" i="2"/>
  <c r="B2874" i="2"/>
  <c r="E2874" i="2"/>
  <c r="A2875" i="2"/>
  <c r="B2875" i="2"/>
  <c r="E2875" i="2"/>
  <c r="A2876" i="2"/>
  <c r="B2876" i="2"/>
  <c r="E2876" i="2"/>
  <c r="A2877" i="2"/>
  <c r="B2877" i="2"/>
  <c r="E2877" i="2"/>
  <c r="A2878" i="2"/>
  <c r="B2878" i="2"/>
  <c r="E2878" i="2"/>
  <c r="A2879" i="2"/>
  <c r="B2879" i="2"/>
  <c r="E2879" i="2"/>
  <c r="A2880" i="2"/>
  <c r="B2880" i="2"/>
  <c r="E2880" i="2"/>
  <c r="A2881" i="2"/>
  <c r="B2881" i="2"/>
  <c r="E2881" i="2"/>
  <c r="A2882" i="2"/>
  <c r="B2882" i="2"/>
  <c r="E2882" i="2"/>
  <c r="A2883" i="2"/>
  <c r="B2883" i="2"/>
  <c r="E2883" i="2"/>
  <c r="A2884" i="2"/>
  <c r="B2884" i="2"/>
  <c r="E2884" i="2"/>
  <c r="A2885" i="2"/>
  <c r="B2885" i="2"/>
  <c r="E2885" i="2"/>
  <c r="A2886" i="2"/>
  <c r="B2886" i="2"/>
  <c r="E2886" i="2"/>
  <c r="A2887" i="2"/>
  <c r="B2887" i="2"/>
  <c r="E2887" i="2"/>
  <c r="A2888" i="2"/>
  <c r="B2888" i="2"/>
  <c r="E2888" i="2"/>
  <c r="A2889" i="2"/>
  <c r="B2889" i="2"/>
  <c r="E2889" i="2"/>
  <c r="A2890" i="2"/>
  <c r="B2890" i="2"/>
  <c r="E2890" i="2"/>
  <c r="A2891" i="2"/>
  <c r="B2891" i="2"/>
  <c r="E2891" i="2"/>
  <c r="A2892" i="2"/>
  <c r="B2892" i="2"/>
  <c r="E2892" i="2"/>
  <c r="A2893" i="2"/>
  <c r="B2893" i="2"/>
  <c r="E2893" i="2"/>
  <c r="A2894" i="2"/>
  <c r="B2894" i="2"/>
  <c r="E2894" i="2"/>
  <c r="A2895" i="2"/>
  <c r="B2895" i="2"/>
  <c r="E2895" i="2"/>
  <c r="A2896" i="2"/>
  <c r="B2896" i="2"/>
  <c r="E2896" i="2"/>
  <c r="A2897" i="2"/>
  <c r="B2897" i="2"/>
  <c r="E2897" i="2"/>
  <c r="A2898" i="2"/>
  <c r="B2898" i="2"/>
  <c r="E2898" i="2"/>
  <c r="A2899" i="2"/>
  <c r="B2899" i="2"/>
  <c r="E2899" i="2"/>
  <c r="A2900" i="2"/>
  <c r="B2900" i="2"/>
  <c r="E2900" i="2"/>
  <c r="A2901" i="2"/>
  <c r="B2901" i="2"/>
  <c r="E2901" i="2"/>
  <c r="A2902" i="2"/>
  <c r="B2902" i="2"/>
  <c r="E2902" i="2"/>
  <c r="A2903" i="2"/>
  <c r="B2903" i="2"/>
  <c r="E2903" i="2"/>
  <c r="A2904" i="2"/>
  <c r="B2904" i="2"/>
  <c r="E2904" i="2"/>
  <c r="A2905" i="2"/>
  <c r="B2905" i="2"/>
  <c r="E2905" i="2"/>
  <c r="A2906" i="2"/>
  <c r="B2906" i="2"/>
  <c r="E2906" i="2"/>
  <c r="A2907" i="2"/>
  <c r="B2907" i="2"/>
  <c r="E2907" i="2"/>
  <c r="A2908" i="2"/>
  <c r="B2908" i="2"/>
  <c r="E2908" i="2"/>
  <c r="A2909" i="2"/>
  <c r="B2909" i="2"/>
  <c r="E2909" i="2"/>
  <c r="A2910" i="2"/>
  <c r="B2910" i="2"/>
  <c r="E2910" i="2"/>
  <c r="A2911" i="2"/>
  <c r="B2911" i="2"/>
  <c r="E2911" i="2"/>
  <c r="A2912" i="2"/>
  <c r="B2912" i="2"/>
  <c r="E2912" i="2"/>
  <c r="A2913" i="2"/>
  <c r="B2913" i="2"/>
  <c r="E2913" i="2"/>
  <c r="A2914" i="2"/>
  <c r="B2914" i="2"/>
  <c r="E2914" i="2"/>
  <c r="A2915" i="2"/>
  <c r="B2915" i="2"/>
  <c r="E2915" i="2"/>
  <c r="A2916" i="2"/>
  <c r="B2916" i="2"/>
  <c r="E2916" i="2"/>
  <c r="A2917" i="2"/>
  <c r="B2917" i="2"/>
  <c r="E2917" i="2"/>
  <c r="A2918" i="2"/>
  <c r="B2918" i="2"/>
  <c r="E2918" i="2"/>
  <c r="A2919" i="2"/>
  <c r="B2919" i="2"/>
  <c r="E2919" i="2"/>
  <c r="A2920" i="2"/>
  <c r="B2920" i="2"/>
  <c r="E2920" i="2"/>
  <c r="A2921" i="2"/>
  <c r="B2921" i="2"/>
  <c r="E2921" i="2"/>
  <c r="A2922" i="2"/>
  <c r="B2922" i="2"/>
  <c r="E2922" i="2"/>
  <c r="A2923" i="2"/>
  <c r="B2923" i="2"/>
  <c r="E2923" i="2"/>
  <c r="A2924" i="2"/>
  <c r="B2924" i="2"/>
  <c r="E2924" i="2"/>
  <c r="A2925" i="2"/>
  <c r="B2925" i="2"/>
  <c r="E2925" i="2"/>
  <c r="A2926" i="2"/>
  <c r="B2926" i="2"/>
  <c r="E2926" i="2"/>
  <c r="A2927" i="2"/>
  <c r="B2927" i="2"/>
  <c r="E2927" i="2"/>
  <c r="A2928" i="2"/>
  <c r="B2928" i="2"/>
  <c r="E2928" i="2"/>
  <c r="A2929" i="2"/>
  <c r="B2929" i="2"/>
  <c r="E2929" i="2"/>
  <c r="A2930" i="2"/>
  <c r="B2930" i="2"/>
  <c r="E2930" i="2"/>
  <c r="A2931" i="2"/>
  <c r="B2931" i="2"/>
  <c r="E2931" i="2"/>
  <c r="A2932" i="2"/>
  <c r="B2932" i="2"/>
  <c r="E2932" i="2"/>
  <c r="A2933" i="2"/>
  <c r="B2933" i="2"/>
  <c r="E2933" i="2"/>
  <c r="A2934" i="2"/>
  <c r="B2934" i="2"/>
  <c r="E2934" i="2"/>
  <c r="A2935" i="2"/>
  <c r="B2935" i="2"/>
  <c r="E2935" i="2"/>
  <c r="A2936" i="2"/>
  <c r="B2936" i="2"/>
  <c r="E2936" i="2"/>
  <c r="A2937" i="2"/>
  <c r="B2937" i="2"/>
  <c r="E2937" i="2"/>
  <c r="A2938" i="2"/>
  <c r="B2938" i="2"/>
  <c r="E2938" i="2"/>
  <c r="A2939" i="2"/>
  <c r="B2939" i="2"/>
  <c r="E2939" i="2"/>
  <c r="A2940" i="2"/>
  <c r="B2940" i="2"/>
  <c r="E2940" i="2"/>
  <c r="A2941" i="2"/>
  <c r="B2941" i="2"/>
  <c r="E2941" i="2"/>
  <c r="A2942" i="2"/>
  <c r="B2942" i="2"/>
  <c r="E2942" i="2"/>
  <c r="A2943" i="2"/>
  <c r="B2943" i="2"/>
  <c r="E2943" i="2"/>
  <c r="A2944" i="2"/>
  <c r="B2944" i="2"/>
  <c r="E2944" i="2"/>
  <c r="A2945" i="2"/>
  <c r="B2945" i="2"/>
  <c r="E2945" i="2"/>
  <c r="A2946" i="2"/>
  <c r="B2946" i="2"/>
  <c r="E2946" i="2"/>
  <c r="A2947" i="2"/>
  <c r="B2947" i="2"/>
  <c r="E2947" i="2"/>
  <c r="A2948" i="2"/>
  <c r="B2948" i="2"/>
  <c r="E2948" i="2"/>
  <c r="A2949" i="2"/>
  <c r="B2949" i="2"/>
  <c r="E2949" i="2"/>
  <c r="A2950" i="2"/>
  <c r="B2950" i="2"/>
  <c r="E2950" i="2"/>
  <c r="A2951" i="2"/>
  <c r="B2951" i="2"/>
  <c r="E2951" i="2"/>
  <c r="A2952" i="2"/>
  <c r="B2952" i="2"/>
  <c r="E2952" i="2"/>
  <c r="A2953" i="2"/>
  <c r="B2953" i="2"/>
  <c r="E2953" i="2"/>
  <c r="A2954" i="2"/>
  <c r="B2954" i="2"/>
  <c r="E2954" i="2"/>
  <c r="A2955" i="2"/>
  <c r="B2955" i="2"/>
  <c r="E2955" i="2"/>
  <c r="A2956" i="2"/>
  <c r="B2956" i="2"/>
  <c r="E2956" i="2"/>
  <c r="A2957" i="2"/>
  <c r="B2957" i="2"/>
  <c r="E2957" i="2"/>
  <c r="A2958" i="2"/>
  <c r="B2958" i="2"/>
  <c r="E2958" i="2"/>
  <c r="A2959" i="2"/>
  <c r="B2959" i="2"/>
  <c r="E2959" i="2"/>
  <c r="A2960" i="2"/>
  <c r="B2960" i="2"/>
  <c r="E2960" i="2"/>
  <c r="A2961" i="2"/>
  <c r="B2961" i="2"/>
  <c r="E2961" i="2"/>
  <c r="A2962" i="2"/>
  <c r="B2962" i="2"/>
  <c r="E2962" i="2"/>
  <c r="A2963" i="2"/>
  <c r="B2963" i="2"/>
  <c r="E2963" i="2"/>
  <c r="A2964" i="2"/>
  <c r="B2964" i="2"/>
  <c r="E2964" i="2"/>
  <c r="A2965" i="2"/>
  <c r="B2965" i="2"/>
  <c r="E2965" i="2"/>
  <c r="A2966" i="2"/>
  <c r="B2966" i="2"/>
  <c r="E2966" i="2"/>
  <c r="A2967" i="2"/>
  <c r="B2967" i="2"/>
  <c r="E2967" i="2"/>
  <c r="A2968" i="2"/>
  <c r="B2968" i="2"/>
  <c r="E2968" i="2"/>
  <c r="A2969" i="2"/>
  <c r="B2969" i="2"/>
  <c r="E2969" i="2"/>
  <c r="A2970" i="2"/>
  <c r="B2970" i="2"/>
  <c r="E2970" i="2"/>
  <c r="A2971" i="2"/>
  <c r="B2971" i="2"/>
  <c r="E2971" i="2"/>
  <c r="A2972" i="2"/>
  <c r="B2972" i="2"/>
  <c r="E2972" i="2"/>
  <c r="A2973" i="2"/>
  <c r="B2973" i="2"/>
  <c r="E2973" i="2"/>
  <c r="A2974" i="2"/>
  <c r="B2974" i="2"/>
  <c r="E2974" i="2"/>
  <c r="A2975" i="2"/>
  <c r="B2975" i="2"/>
  <c r="E2975" i="2"/>
  <c r="A2976" i="2"/>
  <c r="B2976" i="2"/>
  <c r="E2976" i="2"/>
  <c r="A2977" i="2"/>
  <c r="B2977" i="2"/>
  <c r="E2977" i="2"/>
  <c r="A2978" i="2"/>
  <c r="B2978" i="2"/>
  <c r="E2978" i="2"/>
  <c r="A2979" i="2"/>
  <c r="B2979" i="2"/>
  <c r="E2979" i="2"/>
  <c r="A2980" i="2"/>
  <c r="B2980" i="2"/>
  <c r="E2980" i="2"/>
  <c r="A2981" i="2"/>
  <c r="B2981" i="2"/>
  <c r="E2981" i="2"/>
  <c r="A2982" i="2"/>
  <c r="B2982" i="2"/>
  <c r="E2982" i="2"/>
  <c r="A2983" i="2"/>
  <c r="B2983" i="2"/>
  <c r="E2983" i="2"/>
  <c r="A2984" i="2"/>
  <c r="B2984" i="2"/>
  <c r="E2984" i="2"/>
  <c r="A2985" i="2"/>
  <c r="B2985" i="2"/>
  <c r="E2985" i="2"/>
  <c r="A2986" i="2"/>
  <c r="B2986" i="2"/>
  <c r="E2986" i="2"/>
  <c r="A2987" i="2"/>
  <c r="B2987" i="2"/>
  <c r="E2987" i="2"/>
  <c r="A2988" i="2"/>
  <c r="B2988" i="2"/>
  <c r="E2988" i="2"/>
  <c r="A2989" i="2"/>
  <c r="B2989" i="2"/>
  <c r="E2989" i="2"/>
  <c r="A2990" i="2"/>
  <c r="B2990" i="2"/>
  <c r="E2990" i="2"/>
  <c r="A2991" i="2"/>
  <c r="B2991" i="2"/>
  <c r="E2991" i="2"/>
  <c r="A2992" i="2"/>
  <c r="B2992" i="2"/>
  <c r="E2992" i="2"/>
  <c r="A2993" i="2"/>
  <c r="B2993" i="2"/>
  <c r="E2993" i="2"/>
  <c r="A2994" i="2"/>
  <c r="B2994" i="2"/>
  <c r="E2994" i="2"/>
  <c r="A2995" i="2"/>
  <c r="B2995" i="2"/>
  <c r="E2995" i="2"/>
  <c r="A2996" i="2"/>
  <c r="B2996" i="2"/>
  <c r="E2996" i="2"/>
  <c r="A2997" i="2"/>
  <c r="B2997" i="2"/>
  <c r="E2997" i="2"/>
  <c r="A2998" i="2"/>
  <c r="B2998" i="2"/>
  <c r="E2998" i="2"/>
  <c r="A2999" i="2"/>
  <c r="B2999" i="2"/>
  <c r="E2999" i="2"/>
  <c r="A3000" i="2"/>
  <c r="B3000" i="2"/>
  <c r="E3000" i="2"/>
  <c r="A3001" i="2"/>
  <c r="B3001" i="2"/>
  <c r="E3001" i="2"/>
  <c r="A3002" i="2"/>
  <c r="B3002" i="2"/>
  <c r="E3002" i="2"/>
  <c r="A3003" i="2"/>
  <c r="B3003" i="2"/>
  <c r="E3003" i="2"/>
  <c r="A3004" i="2"/>
  <c r="B3004" i="2"/>
  <c r="E3004" i="2"/>
  <c r="A3005" i="2"/>
  <c r="B3005" i="2"/>
  <c r="E3005" i="2"/>
  <c r="A3006" i="2"/>
  <c r="B3006" i="2"/>
  <c r="E3006" i="2"/>
  <c r="A3007" i="2"/>
  <c r="B3007" i="2"/>
  <c r="E3007" i="2"/>
  <c r="A3008" i="2"/>
  <c r="B3008" i="2"/>
  <c r="E3008" i="2"/>
  <c r="A3009" i="2"/>
  <c r="B3009" i="2"/>
  <c r="E3009" i="2"/>
  <c r="A3010" i="2"/>
  <c r="B3010" i="2"/>
  <c r="E3010" i="2"/>
  <c r="A3011" i="2"/>
  <c r="B3011" i="2"/>
  <c r="E3011" i="2"/>
  <c r="A3012" i="2"/>
  <c r="B3012" i="2"/>
  <c r="E3012" i="2"/>
  <c r="A3013" i="2"/>
  <c r="B3013" i="2"/>
  <c r="E3013" i="2"/>
  <c r="A3014" i="2"/>
  <c r="B3014" i="2"/>
  <c r="E3014" i="2"/>
  <c r="A3015" i="2"/>
  <c r="B3015" i="2"/>
  <c r="E3015" i="2"/>
  <c r="A3016" i="2"/>
  <c r="B3016" i="2"/>
  <c r="E3016" i="2"/>
  <c r="A3017" i="2"/>
  <c r="B3017" i="2"/>
  <c r="E3017" i="2"/>
  <c r="A3018" i="2"/>
  <c r="B3018" i="2"/>
  <c r="E3018" i="2"/>
  <c r="A3019" i="2"/>
  <c r="B3019" i="2"/>
  <c r="E3019" i="2"/>
  <c r="A3020" i="2"/>
  <c r="B3020" i="2"/>
  <c r="E3020" i="2"/>
  <c r="A3021" i="2"/>
  <c r="B3021" i="2"/>
  <c r="E3021" i="2"/>
  <c r="A3022" i="2"/>
  <c r="B3022" i="2"/>
  <c r="E3022" i="2"/>
  <c r="A3023" i="2"/>
  <c r="B3023" i="2"/>
  <c r="E3023" i="2"/>
  <c r="A3024" i="2"/>
  <c r="B3024" i="2"/>
  <c r="E3024" i="2"/>
  <c r="A3025" i="2"/>
  <c r="B3025" i="2"/>
  <c r="E3025" i="2"/>
  <c r="A3026" i="2"/>
  <c r="B3026" i="2"/>
  <c r="E3026" i="2"/>
  <c r="A3027" i="2"/>
  <c r="B3027" i="2"/>
  <c r="E3027" i="2"/>
  <c r="A3028" i="2"/>
  <c r="B3028" i="2"/>
  <c r="E3028" i="2"/>
  <c r="A3029" i="2"/>
  <c r="B3029" i="2"/>
  <c r="E3029" i="2"/>
  <c r="A3030" i="2"/>
  <c r="B3030" i="2"/>
  <c r="E3030" i="2"/>
  <c r="A3031" i="2"/>
  <c r="B3031" i="2"/>
  <c r="E3031" i="2"/>
  <c r="A3032" i="2"/>
  <c r="B3032" i="2"/>
  <c r="E3032" i="2"/>
  <c r="A3033" i="2"/>
  <c r="B3033" i="2"/>
  <c r="E3033" i="2"/>
  <c r="A3034" i="2"/>
  <c r="B3034" i="2"/>
  <c r="E3034" i="2"/>
  <c r="A3035" i="2"/>
  <c r="B3035" i="2"/>
  <c r="E3035" i="2"/>
  <c r="A3036" i="2"/>
  <c r="B3036" i="2"/>
  <c r="E3036" i="2"/>
  <c r="A3037" i="2"/>
  <c r="B3037" i="2"/>
  <c r="E3037" i="2"/>
  <c r="A3038" i="2"/>
  <c r="B3038" i="2"/>
  <c r="E3038" i="2"/>
  <c r="A3039" i="2"/>
  <c r="B3039" i="2"/>
  <c r="E3039" i="2"/>
  <c r="A3040" i="2"/>
  <c r="B3040" i="2"/>
  <c r="E3040" i="2"/>
  <c r="A3041" i="2"/>
  <c r="B3041" i="2"/>
  <c r="E3041" i="2"/>
  <c r="A3042" i="2"/>
  <c r="B3042" i="2"/>
  <c r="E3042" i="2"/>
  <c r="A3043" i="2"/>
  <c r="B3043" i="2"/>
  <c r="E3043" i="2"/>
  <c r="A3044" i="2"/>
  <c r="B3044" i="2"/>
  <c r="E3044" i="2"/>
  <c r="A3045" i="2"/>
  <c r="B3045" i="2"/>
  <c r="E3045" i="2"/>
  <c r="A3046" i="2"/>
  <c r="B3046" i="2"/>
  <c r="E3046" i="2"/>
  <c r="A3047" i="2"/>
  <c r="B3047" i="2"/>
  <c r="E3047" i="2"/>
  <c r="A3048" i="2"/>
  <c r="B3048" i="2"/>
  <c r="E3048" i="2"/>
  <c r="A3049" i="2"/>
  <c r="B3049" i="2"/>
  <c r="E3049" i="2"/>
  <c r="A3050" i="2"/>
  <c r="B3050" i="2"/>
  <c r="E3050" i="2"/>
  <c r="A3051" i="2"/>
  <c r="B3051" i="2"/>
  <c r="E3051" i="2"/>
  <c r="A3052" i="2"/>
  <c r="B3052" i="2"/>
  <c r="E3052" i="2"/>
  <c r="A3053" i="2"/>
  <c r="B3053" i="2"/>
  <c r="E3053" i="2"/>
  <c r="A3054" i="2"/>
  <c r="B3054" i="2"/>
  <c r="E3054" i="2"/>
  <c r="A3055" i="2"/>
  <c r="B3055" i="2"/>
  <c r="E3055" i="2"/>
  <c r="A3056" i="2"/>
  <c r="B3056" i="2"/>
  <c r="E3056" i="2"/>
  <c r="A3057" i="2"/>
  <c r="B3057" i="2"/>
  <c r="E3057" i="2"/>
  <c r="A3058" i="2"/>
  <c r="B3058" i="2"/>
  <c r="E3058" i="2"/>
  <c r="A3059" i="2"/>
  <c r="B3059" i="2"/>
  <c r="E3059" i="2"/>
  <c r="A3060" i="2"/>
  <c r="B3060" i="2"/>
  <c r="E3060" i="2"/>
  <c r="A3061" i="2"/>
  <c r="B3061" i="2"/>
  <c r="E3061" i="2"/>
  <c r="A3062" i="2"/>
  <c r="B3062" i="2"/>
  <c r="E3062" i="2"/>
  <c r="A3063" i="2"/>
  <c r="B3063" i="2"/>
  <c r="E3063" i="2"/>
  <c r="A3064" i="2"/>
  <c r="B3064" i="2"/>
  <c r="E3064" i="2"/>
  <c r="A3065" i="2"/>
  <c r="B3065" i="2"/>
  <c r="E3065" i="2"/>
  <c r="A3066" i="2"/>
  <c r="B3066" i="2"/>
  <c r="E3066" i="2"/>
  <c r="A3067" i="2"/>
  <c r="B3067" i="2"/>
  <c r="E3067" i="2"/>
  <c r="A3068" i="2"/>
  <c r="B3068" i="2"/>
  <c r="E3068" i="2"/>
  <c r="A3069" i="2"/>
  <c r="B3069" i="2"/>
  <c r="E3069" i="2"/>
  <c r="A3070" i="2"/>
  <c r="B3070" i="2"/>
  <c r="E3070" i="2"/>
  <c r="A3071" i="2"/>
  <c r="B3071" i="2"/>
  <c r="E3071" i="2"/>
  <c r="A3072" i="2"/>
  <c r="B3072" i="2"/>
  <c r="E3072" i="2"/>
  <c r="A3073" i="2"/>
  <c r="B3073" i="2"/>
  <c r="E3073" i="2"/>
  <c r="A3074" i="2"/>
  <c r="B3074" i="2"/>
  <c r="E3074" i="2"/>
  <c r="A3075" i="2"/>
  <c r="B3075" i="2"/>
  <c r="E3075" i="2"/>
  <c r="A3076" i="2"/>
  <c r="B3076" i="2"/>
  <c r="E3076" i="2"/>
  <c r="A3077" i="2"/>
  <c r="B3077" i="2"/>
  <c r="E3077" i="2"/>
  <c r="A3078" i="2"/>
  <c r="B3078" i="2"/>
  <c r="E3078" i="2"/>
  <c r="A3079" i="2"/>
  <c r="B3079" i="2"/>
  <c r="E3079" i="2"/>
  <c r="A3080" i="2"/>
  <c r="B3080" i="2"/>
  <c r="E3080" i="2"/>
  <c r="A3081" i="2"/>
  <c r="B3081" i="2"/>
  <c r="E3081" i="2"/>
  <c r="A3082" i="2"/>
  <c r="B3082" i="2"/>
  <c r="E3082" i="2"/>
  <c r="A3083" i="2"/>
  <c r="B3083" i="2"/>
  <c r="E3083" i="2"/>
  <c r="A3084" i="2"/>
  <c r="B3084" i="2"/>
  <c r="E3084" i="2"/>
  <c r="A3085" i="2"/>
  <c r="B3085" i="2"/>
  <c r="E3085" i="2"/>
  <c r="A3086" i="2"/>
  <c r="B3086" i="2"/>
  <c r="E3086" i="2"/>
  <c r="A3087" i="2"/>
  <c r="B3087" i="2"/>
  <c r="E3087" i="2"/>
  <c r="A3088" i="2"/>
  <c r="B3088" i="2"/>
  <c r="E3088" i="2"/>
  <c r="A3089" i="2"/>
  <c r="B3089" i="2"/>
  <c r="E3089" i="2"/>
  <c r="A3090" i="2"/>
  <c r="B3090" i="2"/>
  <c r="E3090" i="2"/>
  <c r="A3091" i="2"/>
  <c r="B3091" i="2"/>
  <c r="E3091" i="2"/>
  <c r="A3092" i="2"/>
  <c r="B3092" i="2"/>
  <c r="E3092" i="2"/>
  <c r="A3093" i="2"/>
  <c r="B3093" i="2"/>
  <c r="E3093" i="2"/>
  <c r="A3094" i="2"/>
  <c r="B3094" i="2"/>
  <c r="E3094" i="2"/>
  <c r="A3095" i="2"/>
  <c r="B3095" i="2"/>
  <c r="E3095" i="2"/>
  <c r="A3096" i="2"/>
  <c r="B3096" i="2"/>
  <c r="E3096" i="2"/>
  <c r="A3097" i="2"/>
  <c r="B3097" i="2"/>
  <c r="E3097" i="2"/>
  <c r="A3098" i="2"/>
  <c r="B3098" i="2"/>
  <c r="E3098" i="2"/>
  <c r="A3099" i="2"/>
  <c r="B3099" i="2"/>
  <c r="E3099" i="2"/>
  <c r="A3100" i="2"/>
  <c r="B3100" i="2"/>
  <c r="E3100" i="2"/>
  <c r="A3101" i="2"/>
  <c r="B3101" i="2"/>
  <c r="E3101" i="2"/>
  <c r="A3102" i="2"/>
  <c r="B3102" i="2"/>
  <c r="E3102" i="2"/>
  <c r="A3103" i="2"/>
  <c r="B3103" i="2"/>
  <c r="E3103" i="2"/>
  <c r="A3104" i="2"/>
  <c r="B3104" i="2"/>
  <c r="E3104" i="2"/>
  <c r="A3105" i="2"/>
  <c r="B3105" i="2"/>
  <c r="E3105" i="2"/>
  <c r="A3106" i="2"/>
  <c r="B3106" i="2"/>
  <c r="E3106" i="2"/>
  <c r="A3107" i="2"/>
  <c r="B3107" i="2"/>
  <c r="E3107" i="2"/>
  <c r="A3108" i="2"/>
  <c r="B3108" i="2"/>
  <c r="E3108" i="2"/>
  <c r="A3109" i="2"/>
  <c r="B3109" i="2"/>
  <c r="E3109" i="2"/>
  <c r="A3110" i="2"/>
  <c r="B3110" i="2"/>
  <c r="E3110" i="2"/>
  <c r="A3111" i="2"/>
  <c r="B3111" i="2"/>
  <c r="E3111" i="2"/>
  <c r="A3112" i="2"/>
  <c r="B3112" i="2"/>
  <c r="E3112" i="2"/>
  <c r="A3113" i="2"/>
  <c r="B3113" i="2"/>
  <c r="E3113" i="2"/>
  <c r="A3114" i="2"/>
  <c r="B3114" i="2"/>
  <c r="E3114" i="2"/>
  <c r="A3115" i="2"/>
  <c r="B3115" i="2"/>
  <c r="E3115" i="2"/>
  <c r="A3116" i="2"/>
  <c r="B3116" i="2"/>
  <c r="E3116" i="2"/>
  <c r="A3117" i="2"/>
  <c r="B3117" i="2"/>
  <c r="E3117" i="2"/>
  <c r="A3118" i="2"/>
  <c r="B3118" i="2"/>
  <c r="E3118" i="2"/>
  <c r="A3119" i="2"/>
  <c r="B3119" i="2"/>
  <c r="E3119" i="2"/>
  <c r="A3120" i="2"/>
  <c r="B3120" i="2"/>
  <c r="E3120" i="2"/>
  <c r="A3121" i="2"/>
  <c r="B3121" i="2"/>
  <c r="E3121" i="2"/>
  <c r="A3122" i="2"/>
  <c r="B3122" i="2"/>
  <c r="E3122" i="2"/>
  <c r="A3123" i="2"/>
  <c r="B3123" i="2"/>
  <c r="E3123" i="2"/>
  <c r="A3124" i="2"/>
  <c r="B3124" i="2"/>
  <c r="E3124" i="2"/>
  <c r="A3125" i="2"/>
  <c r="B3125" i="2"/>
  <c r="E3125" i="2"/>
  <c r="A3126" i="2"/>
  <c r="B3126" i="2"/>
  <c r="E3126" i="2"/>
  <c r="A3127" i="2"/>
  <c r="B3127" i="2"/>
  <c r="E3127" i="2"/>
  <c r="A3128" i="2"/>
  <c r="B3128" i="2"/>
  <c r="E3128" i="2"/>
  <c r="A3129" i="2"/>
  <c r="B3129" i="2"/>
  <c r="E3129" i="2"/>
  <c r="A3130" i="2"/>
  <c r="B3130" i="2"/>
  <c r="E3130" i="2"/>
  <c r="A3131" i="2"/>
  <c r="B3131" i="2"/>
  <c r="E3131" i="2"/>
  <c r="A3132" i="2"/>
  <c r="B3132" i="2"/>
  <c r="E3132" i="2"/>
  <c r="A3133" i="2"/>
  <c r="B3133" i="2"/>
  <c r="E3133" i="2"/>
  <c r="A3134" i="2"/>
  <c r="B3134" i="2"/>
  <c r="E3134" i="2"/>
  <c r="A3135" i="2"/>
  <c r="B3135" i="2"/>
  <c r="E3135" i="2"/>
  <c r="A3136" i="2"/>
  <c r="B3136" i="2"/>
  <c r="E3136" i="2"/>
  <c r="A3137" i="2"/>
  <c r="B3137" i="2"/>
  <c r="E3137" i="2"/>
  <c r="A3138" i="2"/>
  <c r="B3138" i="2"/>
  <c r="E3138" i="2"/>
  <c r="A3139" i="2"/>
  <c r="B3139" i="2"/>
  <c r="E3139" i="2"/>
  <c r="A3140" i="2"/>
  <c r="B3140" i="2"/>
  <c r="E3140" i="2"/>
  <c r="A3141" i="2"/>
  <c r="B3141" i="2"/>
  <c r="E3141" i="2"/>
  <c r="A3142" i="2"/>
  <c r="B3142" i="2"/>
  <c r="E3142" i="2"/>
  <c r="A3143" i="2"/>
  <c r="B3143" i="2"/>
  <c r="E3143" i="2"/>
  <c r="A3144" i="2"/>
  <c r="B3144" i="2"/>
  <c r="E3144" i="2"/>
  <c r="A3145" i="2"/>
  <c r="B3145" i="2"/>
  <c r="E3145" i="2"/>
  <c r="A3146" i="2"/>
  <c r="B3146" i="2"/>
  <c r="E3146" i="2"/>
  <c r="A3147" i="2"/>
  <c r="B3147" i="2"/>
  <c r="E3147" i="2"/>
  <c r="A3148" i="2"/>
  <c r="B3148" i="2"/>
  <c r="E3148" i="2"/>
  <c r="A3149" i="2"/>
  <c r="B3149" i="2"/>
  <c r="E3149" i="2"/>
  <c r="A3150" i="2"/>
  <c r="B3150" i="2"/>
  <c r="E3150" i="2"/>
  <c r="A3151" i="2"/>
  <c r="B3151" i="2"/>
  <c r="E3151" i="2"/>
  <c r="A3152" i="2"/>
  <c r="B3152" i="2"/>
  <c r="E3152" i="2"/>
  <c r="A3153" i="2"/>
  <c r="B3153" i="2"/>
  <c r="E3153" i="2"/>
  <c r="A3154" i="2"/>
  <c r="B3154" i="2"/>
  <c r="E3154" i="2"/>
  <c r="A3155" i="2"/>
  <c r="B3155" i="2"/>
  <c r="E3155" i="2"/>
  <c r="A3156" i="2"/>
  <c r="B3156" i="2"/>
  <c r="E3156" i="2"/>
  <c r="A3157" i="2"/>
  <c r="B3157" i="2"/>
  <c r="E3157" i="2"/>
  <c r="A3158" i="2"/>
  <c r="B3158" i="2"/>
  <c r="E3158" i="2"/>
  <c r="A3159" i="2"/>
  <c r="B3159" i="2"/>
  <c r="E3159" i="2"/>
  <c r="A3160" i="2"/>
  <c r="B3160" i="2"/>
  <c r="E3160" i="2"/>
  <c r="A3161" i="2"/>
  <c r="B3161" i="2"/>
  <c r="E3161" i="2"/>
  <c r="A3162" i="2"/>
  <c r="B3162" i="2"/>
  <c r="E3162" i="2"/>
  <c r="A3163" i="2"/>
  <c r="B3163" i="2"/>
  <c r="E3163" i="2"/>
  <c r="A3164" i="2"/>
  <c r="B3164" i="2"/>
  <c r="E3164" i="2"/>
  <c r="A3165" i="2"/>
  <c r="B3165" i="2"/>
  <c r="E3165" i="2"/>
  <c r="A3166" i="2"/>
  <c r="B3166" i="2"/>
  <c r="E3166" i="2"/>
  <c r="A3167" i="2"/>
  <c r="B3167" i="2"/>
  <c r="E3167" i="2"/>
  <c r="A3168" i="2"/>
  <c r="B3168" i="2"/>
  <c r="E3168" i="2"/>
  <c r="A3169" i="2"/>
  <c r="B3169" i="2"/>
  <c r="E3169" i="2"/>
  <c r="A3170" i="2"/>
  <c r="B3170" i="2"/>
  <c r="E3170" i="2"/>
  <c r="A3171" i="2"/>
  <c r="B3171" i="2"/>
  <c r="E3171" i="2"/>
  <c r="A3172" i="2"/>
  <c r="B3172" i="2"/>
  <c r="E3172" i="2"/>
  <c r="A3173" i="2"/>
  <c r="B3173" i="2"/>
  <c r="E3173" i="2"/>
  <c r="A3174" i="2"/>
  <c r="B3174" i="2"/>
  <c r="E3174" i="2"/>
  <c r="A3175" i="2"/>
  <c r="B3175" i="2"/>
  <c r="E3175" i="2"/>
  <c r="A3176" i="2"/>
  <c r="B3176" i="2"/>
  <c r="E3176" i="2"/>
  <c r="A3177" i="2"/>
  <c r="B3177" i="2"/>
  <c r="E3177" i="2"/>
  <c r="A3178" i="2"/>
  <c r="B3178" i="2"/>
  <c r="E3178" i="2"/>
  <c r="A3179" i="2"/>
  <c r="B3179" i="2"/>
  <c r="E3179" i="2"/>
  <c r="A3180" i="2"/>
  <c r="B3180" i="2"/>
  <c r="E3180" i="2"/>
  <c r="A3181" i="2"/>
  <c r="B3181" i="2"/>
  <c r="E3181" i="2"/>
  <c r="A3182" i="2"/>
  <c r="B3182" i="2"/>
  <c r="E3182" i="2"/>
  <c r="A3183" i="2"/>
  <c r="B3183" i="2"/>
  <c r="E3183" i="2"/>
  <c r="A3184" i="2"/>
  <c r="B3184" i="2"/>
  <c r="E3184" i="2"/>
  <c r="A3185" i="2"/>
  <c r="B3185" i="2"/>
  <c r="E3185" i="2"/>
  <c r="A3186" i="2"/>
  <c r="B3186" i="2"/>
  <c r="E3186" i="2"/>
  <c r="A3187" i="2"/>
  <c r="B3187" i="2"/>
  <c r="E3187" i="2"/>
  <c r="A3188" i="2"/>
  <c r="B3188" i="2"/>
  <c r="E3188" i="2"/>
  <c r="A3189" i="2"/>
  <c r="B3189" i="2"/>
  <c r="E3189" i="2"/>
  <c r="A3190" i="2"/>
  <c r="B3190" i="2"/>
  <c r="E3190" i="2"/>
  <c r="A3191" i="2"/>
  <c r="B3191" i="2"/>
  <c r="E3191" i="2"/>
  <c r="A3192" i="2"/>
  <c r="B3192" i="2"/>
  <c r="E3192" i="2"/>
  <c r="A3193" i="2"/>
  <c r="B3193" i="2"/>
  <c r="E3193" i="2"/>
  <c r="A3194" i="2"/>
  <c r="B3194" i="2"/>
  <c r="E3194" i="2"/>
  <c r="A3195" i="2"/>
  <c r="B3195" i="2"/>
  <c r="E3195" i="2"/>
  <c r="A3196" i="2"/>
  <c r="B3196" i="2"/>
  <c r="E3196" i="2"/>
  <c r="A3197" i="2"/>
  <c r="B3197" i="2"/>
  <c r="E3197" i="2"/>
  <c r="A3198" i="2"/>
  <c r="B3198" i="2"/>
  <c r="E3198" i="2"/>
  <c r="A3199" i="2"/>
  <c r="B3199" i="2"/>
  <c r="E3199" i="2"/>
  <c r="A3200" i="2"/>
  <c r="B3200" i="2"/>
  <c r="E3200" i="2"/>
  <c r="A3201" i="2"/>
  <c r="B3201" i="2"/>
  <c r="E3201" i="2"/>
  <c r="A3202" i="2"/>
  <c r="B3202" i="2"/>
  <c r="E3202" i="2"/>
  <c r="A3203" i="2"/>
  <c r="B3203" i="2"/>
  <c r="E3203" i="2"/>
  <c r="A3204" i="2"/>
  <c r="B3204" i="2"/>
  <c r="E3204" i="2"/>
  <c r="A3205" i="2"/>
  <c r="B3205" i="2"/>
  <c r="E3205" i="2"/>
  <c r="A3206" i="2"/>
  <c r="B3206" i="2"/>
  <c r="E3206" i="2"/>
  <c r="A3207" i="2"/>
  <c r="B3207" i="2"/>
  <c r="E3207" i="2"/>
  <c r="A3208" i="2"/>
  <c r="B3208" i="2"/>
  <c r="E3208" i="2"/>
  <c r="A3209" i="2"/>
  <c r="B3209" i="2"/>
  <c r="E3209" i="2"/>
  <c r="A3210" i="2"/>
  <c r="B3210" i="2"/>
  <c r="E3210" i="2"/>
  <c r="A3211" i="2"/>
  <c r="B3211" i="2"/>
  <c r="E3211" i="2"/>
  <c r="A3212" i="2"/>
  <c r="B3212" i="2"/>
  <c r="E3212" i="2"/>
  <c r="A3213" i="2"/>
  <c r="B3213" i="2"/>
  <c r="E3213" i="2"/>
  <c r="A3214" i="2"/>
  <c r="B3214" i="2"/>
  <c r="E3214" i="2"/>
  <c r="A3215" i="2"/>
  <c r="B3215" i="2"/>
  <c r="E3215" i="2"/>
  <c r="A3216" i="2"/>
  <c r="B3216" i="2"/>
  <c r="E3216" i="2"/>
  <c r="A3217" i="2"/>
  <c r="B3217" i="2"/>
  <c r="E3217" i="2"/>
  <c r="A3218" i="2"/>
  <c r="B3218" i="2"/>
  <c r="E3218" i="2"/>
  <c r="A3219" i="2"/>
  <c r="B3219" i="2"/>
  <c r="E3219" i="2"/>
  <c r="A3220" i="2"/>
  <c r="B3220" i="2"/>
  <c r="E3220" i="2"/>
  <c r="A3221" i="2"/>
  <c r="B3221" i="2"/>
  <c r="E3221" i="2"/>
  <c r="A3222" i="2"/>
  <c r="B3222" i="2"/>
  <c r="E3222" i="2"/>
  <c r="A3223" i="2"/>
  <c r="B3223" i="2"/>
  <c r="E3223" i="2"/>
  <c r="A3224" i="2"/>
  <c r="B3224" i="2"/>
  <c r="E3224" i="2"/>
  <c r="A3225" i="2"/>
  <c r="B3225" i="2"/>
  <c r="E3225" i="2"/>
  <c r="A3226" i="2"/>
  <c r="B3226" i="2"/>
  <c r="E3226" i="2"/>
  <c r="A3227" i="2"/>
  <c r="B3227" i="2"/>
  <c r="E3227" i="2"/>
  <c r="A3228" i="2"/>
  <c r="B3228" i="2"/>
  <c r="E3228" i="2"/>
  <c r="A3229" i="2"/>
  <c r="B3229" i="2"/>
  <c r="E3229" i="2"/>
  <c r="A3230" i="2"/>
  <c r="B3230" i="2"/>
  <c r="E3230" i="2"/>
  <c r="A3231" i="2"/>
  <c r="B3231" i="2"/>
  <c r="E3231" i="2"/>
  <c r="A3232" i="2"/>
  <c r="B3232" i="2"/>
  <c r="E3232" i="2"/>
  <c r="A3233" i="2"/>
  <c r="B3233" i="2"/>
  <c r="E3233" i="2"/>
  <c r="A3234" i="2"/>
  <c r="B3234" i="2"/>
  <c r="E3234" i="2"/>
  <c r="A3235" i="2"/>
  <c r="B3235" i="2"/>
  <c r="E3235" i="2"/>
  <c r="A3236" i="2"/>
  <c r="B3236" i="2"/>
  <c r="E3236" i="2"/>
  <c r="A3237" i="2"/>
  <c r="B3237" i="2"/>
  <c r="E3237" i="2"/>
  <c r="A3238" i="2"/>
  <c r="B3238" i="2"/>
  <c r="E3238" i="2"/>
  <c r="A3239" i="2"/>
  <c r="B3239" i="2"/>
  <c r="E3239" i="2"/>
  <c r="A3240" i="2"/>
  <c r="B3240" i="2"/>
  <c r="E3240" i="2"/>
  <c r="A3241" i="2"/>
  <c r="B3241" i="2"/>
  <c r="E3241" i="2"/>
  <c r="A3242" i="2"/>
  <c r="B3242" i="2"/>
  <c r="E3242" i="2"/>
  <c r="A3243" i="2"/>
  <c r="B3243" i="2"/>
  <c r="E3243" i="2"/>
  <c r="A3244" i="2"/>
  <c r="B3244" i="2"/>
  <c r="E3244" i="2"/>
  <c r="A3245" i="2"/>
  <c r="B3245" i="2"/>
  <c r="E3245" i="2"/>
  <c r="A3246" i="2"/>
  <c r="B3246" i="2"/>
  <c r="E3246" i="2"/>
  <c r="A3247" i="2"/>
  <c r="B3247" i="2"/>
  <c r="E3247" i="2"/>
  <c r="A3248" i="2"/>
  <c r="B3248" i="2"/>
  <c r="E3248" i="2"/>
  <c r="A3249" i="2"/>
  <c r="B3249" i="2"/>
  <c r="E3249" i="2"/>
  <c r="A3250" i="2"/>
  <c r="B3250" i="2"/>
  <c r="E3250" i="2"/>
  <c r="A3251" i="2"/>
  <c r="B3251" i="2"/>
  <c r="E3251" i="2"/>
  <c r="A3252" i="2"/>
  <c r="B3252" i="2"/>
  <c r="E3252" i="2"/>
  <c r="A3253" i="2"/>
  <c r="B3253" i="2"/>
  <c r="E3253" i="2"/>
  <c r="A3254" i="2"/>
  <c r="B3254" i="2"/>
  <c r="E3254" i="2"/>
  <c r="A3255" i="2"/>
  <c r="B3255" i="2"/>
  <c r="E3255" i="2"/>
  <c r="A3256" i="2"/>
  <c r="B3256" i="2"/>
  <c r="E3256" i="2"/>
  <c r="A3257" i="2"/>
  <c r="B3257" i="2"/>
  <c r="E3257" i="2"/>
  <c r="A3258" i="2"/>
  <c r="B3258" i="2"/>
  <c r="E3258" i="2"/>
  <c r="A3259" i="2"/>
  <c r="B3259" i="2"/>
  <c r="E3259" i="2"/>
  <c r="A3260" i="2"/>
  <c r="B3260" i="2"/>
  <c r="E3260" i="2"/>
  <c r="A3261" i="2"/>
  <c r="B3261" i="2"/>
  <c r="E3261" i="2"/>
  <c r="A3262" i="2"/>
  <c r="B3262" i="2"/>
  <c r="E3262" i="2"/>
  <c r="A3263" i="2"/>
  <c r="B3263" i="2"/>
  <c r="E3263" i="2"/>
  <c r="A3264" i="2"/>
  <c r="B3264" i="2"/>
  <c r="E3264" i="2"/>
  <c r="A3265" i="2"/>
  <c r="B3265" i="2"/>
  <c r="E3265" i="2"/>
  <c r="A3266" i="2"/>
  <c r="B3266" i="2"/>
  <c r="E3266" i="2"/>
  <c r="A3267" i="2"/>
  <c r="B3267" i="2"/>
  <c r="E3267" i="2"/>
  <c r="A3268" i="2"/>
  <c r="B3268" i="2"/>
  <c r="E3268" i="2"/>
  <c r="A3269" i="2"/>
  <c r="B3269" i="2"/>
  <c r="E3269" i="2"/>
  <c r="A3270" i="2"/>
  <c r="B3270" i="2"/>
  <c r="E3270" i="2"/>
  <c r="A3271" i="2"/>
  <c r="B3271" i="2"/>
  <c r="E3271" i="2"/>
  <c r="A3272" i="2"/>
  <c r="B3272" i="2"/>
  <c r="E3272" i="2"/>
  <c r="A3273" i="2"/>
  <c r="B3273" i="2"/>
  <c r="E3273" i="2"/>
  <c r="A3274" i="2"/>
  <c r="B3274" i="2"/>
  <c r="E3274" i="2"/>
  <c r="A3275" i="2"/>
  <c r="B3275" i="2"/>
  <c r="E3275" i="2"/>
  <c r="A3276" i="2"/>
  <c r="B3276" i="2"/>
  <c r="E3276" i="2"/>
  <c r="A3277" i="2"/>
  <c r="B3277" i="2"/>
  <c r="E3277" i="2"/>
  <c r="A3278" i="2"/>
  <c r="B3278" i="2"/>
  <c r="E3278" i="2"/>
  <c r="A3279" i="2"/>
  <c r="B3279" i="2"/>
  <c r="E3279" i="2"/>
  <c r="A3280" i="2"/>
  <c r="B3280" i="2"/>
  <c r="E3280" i="2"/>
  <c r="A3281" i="2"/>
  <c r="B3281" i="2"/>
  <c r="E3281" i="2"/>
  <c r="A3282" i="2"/>
  <c r="B3282" i="2"/>
  <c r="E3282" i="2"/>
  <c r="A3283" i="2"/>
  <c r="B3283" i="2"/>
  <c r="E3283" i="2"/>
  <c r="A3284" i="2"/>
  <c r="B3284" i="2"/>
  <c r="E3284" i="2"/>
  <c r="A3285" i="2"/>
  <c r="B3285" i="2"/>
  <c r="E3285" i="2"/>
  <c r="A3286" i="2"/>
  <c r="B3286" i="2"/>
  <c r="E3286" i="2"/>
  <c r="A3287" i="2"/>
  <c r="B3287" i="2"/>
  <c r="E3287" i="2"/>
  <c r="A3288" i="2"/>
  <c r="B3288" i="2"/>
  <c r="E3288" i="2"/>
  <c r="A3289" i="2"/>
  <c r="B3289" i="2"/>
  <c r="E3289" i="2"/>
  <c r="A3290" i="2"/>
  <c r="B3290" i="2"/>
  <c r="E3290" i="2"/>
  <c r="A3291" i="2"/>
  <c r="B3291" i="2"/>
  <c r="E3291" i="2"/>
  <c r="A3292" i="2"/>
  <c r="B3292" i="2"/>
  <c r="E3292" i="2"/>
  <c r="A3293" i="2"/>
  <c r="B3293" i="2"/>
  <c r="E3293" i="2"/>
  <c r="A3294" i="2"/>
  <c r="B3294" i="2"/>
  <c r="E3294" i="2"/>
  <c r="A3295" i="2"/>
  <c r="B3295" i="2"/>
  <c r="E3295" i="2"/>
  <c r="A3296" i="2"/>
  <c r="B3296" i="2"/>
  <c r="E3296" i="2"/>
  <c r="A3297" i="2"/>
  <c r="B3297" i="2"/>
  <c r="E3297" i="2"/>
  <c r="A3298" i="2"/>
  <c r="B3298" i="2"/>
  <c r="E3298" i="2"/>
  <c r="A3299" i="2"/>
  <c r="B3299" i="2"/>
  <c r="E3299" i="2"/>
  <c r="A3300" i="2"/>
  <c r="B3300" i="2"/>
  <c r="E3300" i="2"/>
  <c r="A3301" i="2"/>
  <c r="B3301" i="2"/>
  <c r="E3301" i="2"/>
  <c r="A3302" i="2"/>
  <c r="B3302" i="2"/>
  <c r="E3302" i="2"/>
  <c r="A3303" i="2"/>
  <c r="B3303" i="2"/>
  <c r="E3303" i="2"/>
  <c r="A3304" i="2"/>
  <c r="B3304" i="2"/>
  <c r="E3304" i="2"/>
  <c r="A3305" i="2"/>
  <c r="B3305" i="2"/>
  <c r="E3305" i="2"/>
  <c r="A3306" i="2"/>
  <c r="B3306" i="2"/>
  <c r="E3306" i="2"/>
  <c r="A3307" i="2"/>
  <c r="B3307" i="2"/>
  <c r="E3307" i="2"/>
  <c r="A3308" i="2"/>
  <c r="B3308" i="2"/>
  <c r="E3308" i="2"/>
  <c r="A3309" i="2"/>
  <c r="B3309" i="2"/>
  <c r="E3309" i="2"/>
  <c r="A3310" i="2"/>
  <c r="B3310" i="2"/>
  <c r="E3310" i="2"/>
  <c r="A3311" i="2"/>
  <c r="B3311" i="2"/>
  <c r="E3311" i="2"/>
  <c r="A3312" i="2"/>
  <c r="B3312" i="2"/>
  <c r="E3312" i="2"/>
  <c r="A3313" i="2"/>
  <c r="B3313" i="2"/>
  <c r="E3313" i="2"/>
  <c r="A3314" i="2"/>
  <c r="B3314" i="2"/>
  <c r="E3314" i="2"/>
  <c r="A3315" i="2"/>
  <c r="B3315" i="2"/>
  <c r="E3315" i="2"/>
  <c r="A3316" i="2"/>
  <c r="B3316" i="2"/>
  <c r="E3316" i="2"/>
  <c r="A3317" i="2"/>
  <c r="B3317" i="2"/>
  <c r="E3317" i="2"/>
  <c r="A3318" i="2"/>
  <c r="B3318" i="2"/>
  <c r="E3318" i="2"/>
  <c r="A3319" i="2"/>
  <c r="B3319" i="2"/>
  <c r="E3319" i="2"/>
  <c r="A3320" i="2"/>
  <c r="B3320" i="2"/>
  <c r="E3320" i="2"/>
  <c r="A3321" i="2"/>
  <c r="B3321" i="2"/>
  <c r="E3321" i="2"/>
  <c r="A3322" i="2"/>
  <c r="B3322" i="2"/>
  <c r="E3322" i="2"/>
  <c r="A3323" i="2"/>
  <c r="B3323" i="2"/>
  <c r="E3323" i="2"/>
  <c r="A3324" i="2"/>
  <c r="B3324" i="2"/>
  <c r="E3324" i="2"/>
  <c r="A3325" i="2"/>
  <c r="B3325" i="2"/>
  <c r="E3325" i="2"/>
  <c r="A3326" i="2"/>
  <c r="B3326" i="2"/>
  <c r="E3326" i="2"/>
  <c r="A3327" i="2"/>
  <c r="B3327" i="2"/>
  <c r="E3327" i="2"/>
  <c r="A3328" i="2"/>
  <c r="B3328" i="2"/>
  <c r="E3328" i="2"/>
  <c r="A3329" i="2"/>
  <c r="B3329" i="2"/>
  <c r="E3329" i="2"/>
  <c r="A3330" i="2"/>
  <c r="B3330" i="2"/>
  <c r="E3330" i="2"/>
  <c r="A3331" i="2"/>
  <c r="B3331" i="2"/>
  <c r="E3331" i="2"/>
  <c r="A3332" i="2"/>
  <c r="B3332" i="2"/>
  <c r="E3332" i="2"/>
  <c r="A3333" i="2"/>
  <c r="B3333" i="2"/>
  <c r="E3333" i="2"/>
  <c r="A3334" i="2"/>
  <c r="B3334" i="2"/>
  <c r="E3334" i="2"/>
  <c r="A3335" i="2"/>
  <c r="B3335" i="2"/>
  <c r="E3335" i="2"/>
  <c r="A3336" i="2"/>
  <c r="B3336" i="2"/>
  <c r="E3336" i="2"/>
  <c r="A3337" i="2"/>
  <c r="B3337" i="2"/>
  <c r="E3337" i="2"/>
  <c r="A3338" i="2"/>
  <c r="B3338" i="2"/>
  <c r="E3338" i="2"/>
  <c r="A3339" i="2"/>
  <c r="B3339" i="2"/>
  <c r="E3339" i="2"/>
  <c r="A3340" i="2"/>
  <c r="B3340" i="2"/>
  <c r="E3340" i="2"/>
  <c r="A3341" i="2"/>
  <c r="B3341" i="2"/>
  <c r="E3341" i="2"/>
  <c r="A3342" i="2"/>
  <c r="B3342" i="2"/>
  <c r="E3342" i="2"/>
  <c r="A3343" i="2"/>
  <c r="B3343" i="2"/>
  <c r="E3343" i="2"/>
  <c r="A3344" i="2"/>
  <c r="B3344" i="2"/>
  <c r="E3344" i="2"/>
  <c r="A3345" i="2"/>
  <c r="B3345" i="2"/>
  <c r="E3345" i="2"/>
  <c r="A3346" i="2"/>
  <c r="B3346" i="2"/>
  <c r="E3346" i="2"/>
  <c r="A3347" i="2"/>
  <c r="B3347" i="2"/>
  <c r="E3347" i="2"/>
  <c r="A3348" i="2"/>
  <c r="B3348" i="2"/>
  <c r="E3348" i="2"/>
  <c r="A3349" i="2"/>
  <c r="B3349" i="2"/>
  <c r="E3349" i="2"/>
  <c r="A3350" i="2"/>
  <c r="B3350" i="2"/>
  <c r="E3350" i="2"/>
  <c r="A3351" i="2"/>
  <c r="B3351" i="2"/>
  <c r="E3351" i="2"/>
  <c r="A3352" i="2"/>
  <c r="B3352" i="2"/>
  <c r="E3352" i="2"/>
  <c r="A3353" i="2"/>
  <c r="B3353" i="2"/>
  <c r="E3353" i="2"/>
  <c r="A3354" i="2"/>
  <c r="B3354" i="2"/>
  <c r="E3354" i="2"/>
  <c r="A3355" i="2"/>
  <c r="B3355" i="2"/>
  <c r="E3355" i="2"/>
  <c r="A3356" i="2"/>
  <c r="B3356" i="2"/>
  <c r="E3356" i="2"/>
  <c r="A3357" i="2"/>
  <c r="B3357" i="2"/>
  <c r="E3357" i="2"/>
  <c r="A3358" i="2"/>
  <c r="B3358" i="2"/>
  <c r="E3358" i="2"/>
  <c r="A3359" i="2"/>
  <c r="B3359" i="2"/>
  <c r="E3359" i="2"/>
  <c r="A3360" i="2"/>
  <c r="B3360" i="2"/>
  <c r="E3360" i="2"/>
  <c r="A3361" i="2"/>
  <c r="B3361" i="2"/>
  <c r="E3361" i="2"/>
  <c r="A3362" i="2"/>
  <c r="B3362" i="2"/>
  <c r="E3362" i="2"/>
  <c r="A3363" i="2"/>
  <c r="B3363" i="2"/>
  <c r="E3363" i="2"/>
  <c r="A3364" i="2"/>
  <c r="B3364" i="2"/>
  <c r="E3364" i="2"/>
  <c r="A3365" i="2"/>
  <c r="B3365" i="2"/>
  <c r="E3365" i="2"/>
  <c r="A3366" i="2"/>
  <c r="B3366" i="2"/>
  <c r="E3366" i="2"/>
  <c r="A3367" i="2"/>
  <c r="B3367" i="2"/>
  <c r="E3367" i="2"/>
  <c r="A3368" i="2"/>
  <c r="B3368" i="2"/>
  <c r="E3368" i="2"/>
  <c r="A3369" i="2"/>
  <c r="B3369" i="2"/>
  <c r="E3369" i="2"/>
  <c r="A3370" i="2"/>
  <c r="B3370" i="2"/>
  <c r="E3370" i="2"/>
  <c r="A3371" i="2"/>
  <c r="B3371" i="2"/>
  <c r="E3371" i="2"/>
  <c r="A3372" i="2"/>
  <c r="B3372" i="2"/>
  <c r="E3372" i="2"/>
  <c r="A3373" i="2"/>
  <c r="B3373" i="2"/>
  <c r="E3373" i="2"/>
  <c r="A3374" i="2"/>
  <c r="B3374" i="2"/>
  <c r="E3374" i="2"/>
  <c r="A3375" i="2"/>
  <c r="B3375" i="2"/>
  <c r="E3375" i="2"/>
  <c r="A3376" i="2"/>
  <c r="B3376" i="2"/>
  <c r="E3376" i="2"/>
  <c r="A3377" i="2"/>
  <c r="B3377" i="2"/>
  <c r="E3377" i="2"/>
  <c r="A3378" i="2"/>
  <c r="B3378" i="2"/>
  <c r="E3378" i="2"/>
  <c r="A3379" i="2"/>
  <c r="B3379" i="2"/>
  <c r="E3379" i="2"/>
  <c r="A3380" i="2"/>
  <c r="B3380" i="2"/>
  <c r="E3380" i="2"/>
  <c r="A3381" i="2"/>
  <c r="B3381" i="2"/>
  <c r="E3381" i="2"/>
  <c r="A3382" i="2"/>
  <c r="B3382" i="2"/>
  <c r="E3382" i="2"/>
  <c r="A3383" i="2"/>
  <c r="B3383" i="2"/>
  <c r="E3383" i="2"/>
  <c r="A3384" i="2"/>
  <c r="B3384" i="2"/>
  <c r="E3384" i="2"/>
  <c r="A3385" i="2"/>
  <c r="B3385" i="2"/>
  <c r="E3385" i="2"/>
  <c r="A3386" i="2"/>
  <c r="B3386" i="2"/>
  <c r="E3386" i="2"/>
  <c r="A3387" i="2"/>
  <c r="B3387" i="2"/>
  <c r="E3387" i="2"/>
  <c r="A3388" i="2"/>
  <c r="B3388" i="2"/>
  <c r="E3388" i="2"/>
  <c r="A3389" i="2"/>
  <c r="B3389" i="2"/>
  <c r="E3389" i="2"/>
  <c r="A3390" i="2"/>
  <c r="B3390" i="2"/>
  <c r="E3390" i="2"/>
  <c r="A3391" i="2"/>
  <c r="B3391" i="2"/>
  <c r="E3391" i="2"/>
  <c r="A3392" i="2"/>
  <c r="B3392" i="2"/>
  <c r="E3392" i="2"/>
  <c r="A3393" i="2"/>
  <c r="B3393" i="2"/>
  <c r="E3393" i="2"/>
  <c r="A3394" i="2"/>
  <c r="B3394" i="2"/>
  <c r="E3394" i="2"/>
  <c r="A3395" i="2"/>
  <c r="B3395" i="2"/>
  <c r="E3395" i="2"/>
  <c r="A3396" i="2"/>
  <c r="B3396" i="2"/>
  <c r="E3396" i="2"/>
  <c r="A3397" i="2"/>
  <c r="B3397" i="2"/>
  <c r="E3397" i="2"/>
  <c r="A3398" i="2"/>
  <c r="B3398" i="2"/>
  <c r="E3398" i="2"/>
  <c r="A3399" i="2"/>
  <c r="B3399" i="2"/>
  <c r="E3399" i="2"/>
  <c r="A3400" i="2"/>
  <c r="B3400" i="2"/>
  <c r="E3400" i="2"/>
  <c r="A3401" i="2"/>
  <c r="B3401" i="2"/>
  <c r="E3401" i="2"/>
  <c r="A3402" i="2"/>
  <c r="B3402" i="2"/>
  <c r="E3402" i="2"/>
  <c r="A3403" i="2"/>
  <c r="B3403" i="2"/>
  <c r="E3403" i="2"/>
  <c r="A3404" i="2"/>
  <c r="B3404" i="2"/>
  <c r="E3404" i="2"/>
  <c r="A3405" i="2"/>
  <c r="B3405" i="2"/>
  <c r="E3405" i="2"/>
  <c r="A3406" i="2"/>
  <c r="B3406" i="2"/>
  <c r="E3406" i="2"/>
  <c r="A3407" i="2"/>
  <c r="B3407" i="2"/>
  <c r="E3407" i="2"/>
  <c r="A3408" i="2"/>
  <c r="B3408" i="2"/>
  <c r="E3408" i="2"/>
  <c r="A3409" i="2"/>
  <c r="B3409" i="2"/>
  <c r="E3409" i="2"/>
  <c r="A3410" i="2"/>
  <c r="B3410" i="2"/>
  <c r="E3410" i="2"/>
  <c r="A3411" i="2"/>
  <c r="B3411" i="2"/>
  <c r="E3411" i="2"/>
  <c r="A3412" i="2"/>
  <c r="B3412" i="2"/>
  <c r="E3412" i="2"/>
  <c r="A3413" i="2"/>
  <c r="B3413" i="2"/>
  <c r="E3413" i="2"/>
  <c r="A3414" i="2"/>
  <c r="B3414" i="2"/>
  <c r="E3414" i="2"/>
  <c r="A3415" i="2"/>
  <c r="B3415" i="2"/>
  <c r="E3415" i="2"/>
  <c r="A3416" i="2"/>
  <c r="B3416" i="2"/>
  <c r="E3416" i="2"/>
  <c r="A3417" i="2"/>
  <c r="B3417" i="2"/>
  <c r="E3417" i="2"/>
  <c r="A3418" i="2"/>
  <c r="B3418" i="2"/>
  <c r="E3418" i="2"/>
  <c r="A3419" i="2"/>
  <c r="B3419" i="2"/>
  <c r="E3419" i="2"/>
  <c r="A3420" i="2"/>
  <c r="B3420" i="2"/>
  <c r="E3420" i="2"/>
  <c r="A3421" i="2"/>
  <c r="B3421" i="2"/>
  <c r="E3421" i="2"/>
  <c r="A3422" i="2"/>
  <c r="B3422" i="2"/>
  <c r="E3422" i="2"/>
  <c r="A3423" i="2"/>
  <c r="B3423" i="2"/>
  <c r="E3423" i="2"/>
  <c r="A3424" i="2"/>
  <c r="B3424" i="2"/>
  <c r="E3424" i="2"/>
  <c r="A3425" i="2"/>
  <c r="B3425" i="2"/>
  <c r="E3425" i="2"/>
  <c r="A3426" i="2"/>
  <c r="B3426" i="2"/>
  <c r="E3426" i="2"/>
  <c r="A3427" i="2"/>
  <c r="B3427" i="2"/>
  <c r="E3427" i="2"/>
  <c r="A3428" i="2"/>
  <c r="B3428" i="2"/>
  <c r="E3428" i="2"/>
  <c r="A3429" i="2"/>
  <c r="B3429" i="2"/>
  <c r="E3429" i="2"/>
  <c r="A3430" i="2"/>
  <c r="B3430" i="2"/>
  <c r="E3430" i="2"/>
  <c r="A3431" i="2"/>
  <c r="B3431" i="2"/>
  <c r="E3431" i="2"/>
  <c r="A3432" i="2"/>
  <c r="B3432" i="2"/>
  <c r="E3432" i="2"/>
  <c r="A3433" i="2"/>
  <c r="B3433" i="2"/>
  <c r="E3433" i="2"/>
  <c r="A3434" i="2"/>
  <c r="B3434" i="2"/>
  <c r="E3434" i="2"/>
  <c r="A3435" i="2"/>
  <c r="B3435" i="2"/>
  <c r="E3435" i="2"/>
  <c r="A3436" i="2"/>
  <c r="B3436" i="2"/>
  <c r="E3436" i="2"/>
  <c r="A3437" i="2"/>
  <c r="B3437" i="2"/>
  <c r="E3437" i="2"/>
  <c r="A3438" i="2"/>
  <c r="B3438" i="2"/>
  <c r="E3438" i="2"/>
  <c r="A3439" i="2"/>
  <c r="B3439" i="2"/>
  <c r="E3439" i="2"/>
  <c r="A3440" i="2"/>
  <c r="B3440" i="2"/>
  <c r="E3440" i="2"/>
  <c r="A3441" i="2"/>
  <c r="B3441" i="2"/>
  <c r="E3441" i="2"/>
  <c r="A3442" i="2"/>
  <c r="B3442" i="2"/>
  <c r="E3442" i="2"/>
  <c r="A3443" i="2"/>
  <c r="B3443" i="2"/>
  <c r="E3443" i="2"/>
  <c r="A3444" i="2"/>
  <c r="B3444" i="2"/>
  <c r="E3444" i="2"/>
  <c r="A3445" i="2"/>
  <c r="B3445" i="2"/>
  <c r="E3445" i="2"/>
  <c r="A3446" i="2"/>
  <c r="B3446" i="2"/>
  <c r="E3446" i="2"/>
  <c r="A3447" i="2"/>
  <c r="B3447" i="2"/>
  <c r="E3447" i="2"/>
  <c r="A3448" i="2"/>
  <c r="B3448" i="2"/>
  <c r="E3448" i="2"/>
  <c r="A3449" i="2"/>
  <c r="B3449" i="2"/>
  <c r="E3449" i="2"/>
  <c r="A3450" i="2"/>
  <c r="B3450" i="2"/>
  <c r="E3450" i="2"/>
  <c r="A3451" i="2"/>
  <c r="B3451" i="2"/>
  <c r="E3451" i="2"/>
  <c r="A3452" i="2"/>
  <c r="B3452" i="2"/>
  <c r="E3452" i="2"/>
  <c r="A3453" i="2"/>
  <c r="B3453" i="2"/>
  <c r="E3453" i="2"/>
  <c r="A3454" i="2"/>
  <c r="B3454" i="2"/>
  <c r="E3454" i="2"/>
  <c r="A3455" i="2"/>
  <c r="B3455" i="2"/>
  <c r="E3455" i="2"/>
  <c r="A3456" i="2"/>
  <c r="B3456" i="2"/>
  <c r="E3456" i="2"/>
  <c r="A3457" i="2"/>
  <c r="B3457" i="2"/>
  <c r="E3457" i="2"/>
  <c r="A3458" i="2"/>
  <c r="B3458" i="2"/>
  <c r="E3458" i="2"/>
  <c r="A3459" i="2"/>
  <c r="B3459" i="2"/>
  <c r="E3459" i="2"/>
  <c r="A3460" i="2"/>
  <c r="B3460" i="2"/>
  <c r="E3460" i="2"/>
  <c r="A3461" i="2"/>
  <c r="B3461" i="2"/>
  <c r="E3461" i="2"/>
  <c r="A3462" i="2"/>
  <c r="B3462" i="2"/>
  <c r="E3462" i="2"/>
  <c r="A3463" i="2"/>
  <c r="B3463" i="2"/>
  <c r="E3463" i="2"/>
  <c r="A3464" i="2"/>
  <c r="B3464" i="2"/>
  <c r="E3464" i="2"/>
  <c r="A3465" i="2"/>
  <c r="B3465" i="2"/>
  <c r="E3465" i="2"/>
  <c r="A3466" i="2"/>
  <c r="B3466" i="2"/>
  <c r="E3466" i="2"/>
  <c r="A3467" i="2"/>
  <c r="B3467" i="2"/>
  <c r="E3467" i="2"/>
  <c r="A3468" i="2"/>
  <c r="B3468" i="2"/>
  <c r="E3468" i="2"/>
  <c r="A3469" i="2"/>
  <c r="B3469" i="2"/>
  <c r="E3469" i="2"/>
  <c r="A3470" i="2"/>
  <c r="B3470" i="2"/>
  <c r="E3470" i="2"/>
  <c r="A3471" i="2"/>
  <c r="B3471" i="2"/>
  <c r="E3471" i="2"/>
  <c r="A3472" i="2"/>
  <c r="B3472" i="2"/>
  <c r="E3472" i="2"/>
  <c r="A3473" i="2"/>
  <c r="B3473" i="2"/>
  <c r="E3473" i="2"/>
  <c r="A3474" i="2"/>
  <c r="B3474" i="2"/>
  <c r="E3474" i="2"/>
  <c r="A3475" i="2"/>
  <c r="B3475" i="2"/>
  <c r="E3475" i="2"/>
  <c r="A3476" i="2"/>
  <c r="B3476" i="2"/>
  <c r="E3476" i="2"/>
  <c r="A3477" i="2"/>
  <c r="B3477" i="2"/>
  <c r="E3477" i="2"/>
  <c r="A3478" i="2"/>
  <c r="B3478" i="2"/>
  <c r="E3478" i="2"/>
  <c r="A3479" i="2"/>
  <c r="B3479" i="2"/>
  <c r="E3479" i="2"/>
  <c r="A3480" i="2"/>
  <c r="B3480" i="2"/>
  <c r="E3480" i="2"/>
  <c r="A3481" i="2"/>
  <c r="B3481" i="2"/>
  <c r="E3481" i="2"/>
  <c r="A3482" i="2"/>
  <c r="B3482" i="2"/>
  <c r="E3482" i="2"/>
  <c r="A3483" i="2"/>
  <c r="B3483" i="2"/>
  <c r="E3483" i="2"/>
  <c r="A3484" i="2"/>
  <c r="B3484" i="2"/>
  <c r="E3484" i="2"/>
  <c r="A3485" i="2"/>
  <c r="B3485" i="2"/>
  <c r="E3485" i="2"/>
  <c r="A3486" i="2"/>
  <c r="B3486" i="2"/>
  <c r="E3486" i="2"/>
  <c r="A3487" i="2"/>
  <c r="B3487" i="2"/>
  <c r="E3487" i="2"/>
  <c r="A3488" i="2"/>
  <c r="B3488" i="2"/>
  <c r="E3488" i="2"/>
  <c r="A3489" i="2"/>
  <c r="B3489" i="2"/>
  <c r="E3489" i="2"/>
  <c r="A3490" i="2"/>
  <c r="B3490" i="2"/>
  <c r="E3490" i="2"/>
  <c r="A3491" i="2"/>
  <c r="B3491" i="2"/>
  <c r="E3491" i="2"/>
  <c r="A3492" i="2"/>
  <c r="B3492" i="2"/>
  <c r="E3492" i="2"/>
  <c r="A3493" i="2"/>
  <c r="B3493" i="2"/>
  <c r="E3493" i="2"/>
  <c r="A3494" i="2"/>
  <c r="B3494" i="2"/>
  <c r="E3494" i="2"/>
  <c r="A3495" i="2"/>
  <c r="B3495" i="2"/>
  <c r="E3495" i="2"/>
  <c r="A3496" i="2"/>
  <c r="B3496" i="2"/>
  <c r="E3496" i="2"/>
  <c r="A3497" i="2"/>
  <c r="B3497" i="2"/>
  <c r="E3497" i="2"/>
  <c r="A3498" i="2"/>
  <c r="B3498" i="2"/>
  <c r="E3498" i="2"/>
  <c r="A3499" i="2"/>
  <c r="B3499" i="2"/>
  <c r="E3499" i="2"/>
  <c r="A3500" i="2"/>
  <c r="B3500" i="2"/>
  <c r="E3500" i="2"/>
  <c r="A3501" i="2"/>
  <c r="B3501" i="2"/>
  <c r="E3501" i="2"/>
  <c r="A3502" i="2"/>
  <c r="B3502" i="2"/>
  <c r="E3502" i="2"/>
  <c r="A3503" i="2"/>
  <c r="B3503" i="2"/>
  <c r="E3503" i="2"/>
  <c r="A3504" i="2"/>
  <c r="B3504" i="2"/>
  <c r="E3504" i="2"/>
  <c r="A3505" i="2"/>
  <c r="B3505" i="2"/>
  <c r="E3505" i="2"/>
  <c r="A3506" i="2"/>
  <c r="B3506" i="2"/>
  <c r="E3506" i="2"/>
  <c r="A3507" i="2"/>
  <c r="B3507" i="2"/>
  <c r="E3507" i="2"/>
  <c r="A3508" i="2"/>
  <c r="B3508" i="2"/>
  <c r="E3508" i="2"/>
  <c r="A3509" i="2"/>
  <c r="B3509" i="2"/>
  <c r="E3509" i="2"/>
  <c r="A3510" i="2"/>
  <c r="B3510" i="2"/>
  <c r="E3510" i="2"/>
  <c r="A3511" i="2"/>
  <c r="B3511" i="2"/>
  <c r="E3511" i="2"/>
  <c r="A3512" i="2"/>
  <c r="B3512" i="2"/>
  <c r="E3512" i="2"/>
  <c r="A3513" i="2"/>
  <c r="B3513" i="2"/>
  <c r="E3513" i="2"/>
  <c r="A3514" i="2"/>
  <c r="B3514" i="2"/>
  <c r="E3514" i="2"/>
  <c r="A3515" i="2"/>
  <c r="B3515" i="2"/>
  <c r="E3515" i="2"/>
  <c r="A3516" i="2"/>
  <c r="B3516" i="2"/>
  <c r="E3516" i="2"/>
  <c r="A3517" i="2"/>
  <c r="B3517" i="2"/>
  <c r="E3517" i="2"/>
  <c r="A3518" i="2"/>
  <c r="B3518" i="2"/>
  <c r="E3518" i="2"/>
  <c r="A3519" i="2"/>
  <c r="B3519" i="2"/>
  <c r="E3519" i="2"/>
  <c r="A3520" i="2"/>
  <c r="B3520" i="2"/>
  <c r="E3520" i="2"/>
  <c r="A3521" i="2"/>
  <c r="B3521" i="2"/>
  <c r="E3521" i="2"/>
  <c r="A3522" i="2"/>
  <c r="B3522" i="2"/>
  <c r="E3522" i="2"/>
  <c r="A3523" i="2"/>
  <c r="B3523" i="2"/>
  <c r="E3523" i="2"/>
  <c r="A3524" i="2"/>
  <c r="B3524" i="2"/>
  <c r="E3524" i="2"/>
  <c r="A3525" i="2"/>
  <c r="B3525" i="2"/>
  <c r="E3525" i="2"/>
  <c r="A3526" i="2"/>
  <c r="B3526" i="2"/>
  <c r="E3526" i="2"/>
  <c r="A3527" i="2"/>
  <c r="B3527" i="2"/>
  <c r="E3527" i="2"/>
  <c r="A3528" i="2"/>
  <c r="B3528" i="2"/>
  <c r="E3528" i="2"/>
  <c r="A3529" i="2"/>
  <c r="B3529" i="2"/>
  <c r="E3529" i="2"/>
  <c r="A3530" i="2"/>
  <c r="B3530" i="2"/>
  <c r="E3530" i="2"/>
  <c r="A3531" i="2"/>
  <c r="B3531" i="2"/>
  <c r="E3531" i="2"/>
  <c r="A3532" i="2"/>
  <c r="B3532" i="2"/>
  <c r="E3532" i="2"/>
  <c r="A3533" i="2"/>
  <c r="B3533" i="2"/>
  <c r="E3533" i="2"/>
  <c r="A3534" i="2"/>
  <c r="B3534" i="2"/>
  <c r="E3534" i="2"/>
  <c r="A3535" i="2"/>
  <c r="B3535" i="2"/>
  <c r="E3535" i="2"/>
  <c r="A3536" i="2"/>
  <c r="B3536" i="2"/>
  <c r="E3536" i="2"/>
  <c r="A3537" i="2"/>
  <c r="B3537" i="2"/>
  <c r="E3537" i="2"/>
  <c r="A3538" i="2"/>
  <c r="B3538" i="2"/>
  <c r="E3538" i="2"/>
  <c r="A3539" i="2"/>
  <c r="B3539" i="2"/>
  <c r="E3539" i="2"/>
  <c r="A3540" i="2"/>
  <c r="B3540" i="2"/>
  <c r="E3540" i="2"/>
  <c r="A3541" i="2"/>
  <c r="B3541" i="2"/>
  <c r="E3541" i="2"/>
  <c r="A3542" i="2"/>
  <c r="B3542" i="2"/>
  <c r="E3542" i="2"/>
  <c r="A3543" i="2"/>
  <c r="B3543" i="2"/>
  <c r="E3543" i="2"/>
  <c r="A3544" i="2"/>
  <c r="B3544" i="2"/>
  <c r="E3544" i="2"/>
  <c r="A3545" i="2"/>
  <c r="B3545" i="2"/>
  <c r="E3545" i="2"/>
  <c r="A3546" i="2"/>
  <c r="B3546" i="2"/>
  <c r="E3546" i="2"/>
  <c r="A3547" i="2"/>
  <c r="B3547" i="2"/>
  <c r="E3547" i="2"/>
  <c r="A3548" i="2"/>
  <c r="B3548" i="2"/>
  <c r="E3548" i="2"/>
  <c r="A3549" i="2"/>
  <c r="B3549" i="2"/>
  <c r="E3549" i="2"/>
  <c r="A3550" i="2"/>
  <c r="B3550" i="2"/>
  <c r="E3550" i="2"/>
  <c r="A3551" i="2"/>
  <c r="B3551" i="2"/>
  <c r="E3551" i="2"/>
  <c r="A3552" i="2"/>
  <c r="B3552" i="2"/>
  <c r="E3552" i="2"/>
  <c r="A3553" i="2"/>
  <c r="B3553" i="2"/>
  <c r="E3553" i="2"/>
  <c r="A3554" i="2"/>
  <c r="B3554" i="2"/>
  <c r="E3554" i="2"/>
  <c r="A3555" i="2"/>
  <c r="B3555" i="2"/>
  <c r="E3555" i="2"/>
  <c r="A3556" i="2"/>
  <c r="B3556" i="2"/>
  <c r="E3556" i="2"/>
  <c r="A3557" i="2"/>
  <c r="B3557" i="2"/>
  <c r="E3557" i="2"/>
  <c r="A3558" i="2"/>
  <c r="B3558" i="2"/>
  <c r="E3558" i="2"/>
  <c r="A3559" i="2"/>
  <c r="B3559" i="2"/>
  <c r="E3559" i="2"/>
  <c r="A3560" i="2"/>
  <c r="B3560" i="2"/>
  <c r="E3560" i="2"/>
  <c r="A3561" i="2"/>
  <c r="B3561" i="2"/>
  <c r="E3561" i="2"/>
  <c r="A3562" i="2"/>
  <c r="B3562" i="2"/>
  <c r="E3562" i="2"/>
  <c r="A3563" i="2"/>
  <c r="B3563" i="2"/>
  <c r="E3563" i="2"/>
  <c r="A3564" i="2"/>
  <c r="B3564" i="2"/>
  <c r="E3564" i="2"/>
  <c r="A3565" i="2"/>
  <c r="B3565" i="2"/>
  <c r="E3565" i="2"/>
  <c r="A3566" i="2"/>
  <c r="B3566" i="2"/>
  <c r="E3566" i="2"/>
  <c r="A3567" i="2"/>
  <c r="B3567" i="2"/>
  <c r="E3567" i="2"/>
  <c r="A3568" i="2"/>
  <c r="B3568" i="2"/>
  <c r="E3568" i="2"/>
  <c r="A3569" i="2"/>
  <c r="B3569" i="2"/>
  <c r="E3569" i="2"/>
  <c r="A3570" i="2"/>
  <c r="B3570" i="2"/>
  <c r="E3570" i="2"/>
  <c r="A3571" i="2"/>
  <c r="B3571" i="2"/>
  <c r="E3571" i="2"/>
  <c r="A3572" i="2"/>
  <c r="B3572" i="2"/>
  <c r="E3572" i="2"/>
  <c r="A3573" i="2"/>
  <c r="B3573" i="2"/>
  <c r="E3573" i="2"/>
  <c r="A3574" i="2"/>
  <c r="B3574" i="2"/>
  <c r="E3574" i="2"/>
  <c r="A3575" i="2"/>
  <c r="B3575" i="2"/>
  <c r="E3575" i="2"/>
  <c r="A3576" i="2"/>
  <c r="B3576" i="2"/>
  <c r="E3576" i="2"/>
  <c r="A3577" i="2"/>
  <c r="B3577" i="2"/>
  <c r="E3577" i="2"/>
  <c r="A3578" i="2"/>
  <c r="B3578" i="2"/>
  <c r="E3578" i="2"/>
  <c r="A3579" i="2"/>
  <c r="B3579" i="2"/>
  <c r="E3579" i="2"/>
  <c r="A3580" i="2"/>
  <c r="B3580" i="2"/>
  <c r="E3580" i="2"/>
  <c r="A3581" i="2"/>
  <c r="B3581" i="2"/>
  <c r="E3581" i="2"/>
  <c r="A3582" i="2"/>
  <c r="B3582" i="2"/>
  <c r="E3582" i="2"/>
  <c r="A3583" i="2"/>
  <c r="B3583" i="2"/>
  <c r="E3583" i="2"/>
  <c r="A3584" i="2"/>
  <c r="B3584" i="2"/>
  <c r="E3584" i="2"/>
  <c r="A3585" i="2"/>
  <c r="B3585" i="2"/>
  <c r="E3585" i="2"/>
  <c r="A3586" i="2"/>
  <c r="B3586" i="2"/>
  <c r="E3586" i="2"/>
  <c r="A3587" i="2"/>
  <c r="B3587" i="2"/>
  <c r="E3587" i="2"/>
  <c r="A3588" i="2"/>
  <c r="B3588" i="2"/>
  <c r="E3588" i="2"/>
  <c r="A3589" i="2"/>
  <c r="B3589" i="2"/>
  <c r="E3589" i="2"/>
  <c r="A3590" i="2"/>
  <c r="B3590" i="2"/>
  <c r="E3590" i="2"/>
  <c r="A3591" i="2"/>
  <c r="B3591" i="2"/>
  <c r="E3591" i="2"/>
  <c r="A3592" i="2"/>
  <c r="B3592" i="2"/>
  <c r="E3592" i="2"/>
  <c r="A3593" i="2"/>
  <c r="B3593" i="2"/>
  <c r="E3593" i="2"/>
  <c r="A3594" i="2"/>
  <c r="B3594" i="2"/>
  <c r="E3594" i="2"/>
  <c r="A3595" i="2"/>
  <c r="B3595" i="2"/>
  <c r="E3595" i="2"/>
  <c r="A3596" i="2"/>
  <c r="B3596" i="2"/>
  <c r="E3596" i="2"/>
  <c r="A3597" i="2"/>
  <c r="B3597" i="2"/>
  <c r="E3597" i="2"/>
  <c r="A3598" i="2"/>
  <c r="B3598" i="2"/>
  <c r="E3598" i="2"/>
  <c r="A3599" i="2"/>
  <c r="B3599" i="2"/>
  <c r="E3599" i="2"/>
  <c r="A3600" i="2"/>
  <c r="B3600" i="2"/>
  <c r="E3600" i="2"/>
  <c r="A3601" i="2"/>
  <c r="B3601" i="2"/>
  <c r="E3601" i="2"/>
  <c r="A3602" i="2"/>
  <c r="B3602" i="2"/>
  <c r="E3602" i="2"/>
  <c r="A3603" i="2"/>
  <c r="B3603" i="2"/>
  <c r="E3603" i="2"/>
  <c r="A3604" i="2"/>
  <c r="B3604" i="2"/>
  <c r="E3604" i="2"/>
  <c r="A3605" i="2"/>
  <c r="B3605" i="2"/>
  <c r="E3605" i="2"/>
  <c r="A3606" i="2"/>
  <c r="B3606" i="2"/>
  <c r="E3606" i="2"/>
  <c r="A3607" i="2"/>
  <c r="B3607" i="2"/>
  <c r="E3607" i="2"/>
  <c r="A3608" i="2"/>
  <c r="B3608" i="2"/>
  <c r="E3608" i="2"/>
  <c r="A3609" i="2"/>
  <c r="B3609" i="2"/>
  <c r="E3609" i="2"/>
  <c r="A3610" i="2"/>
  <c r="B3610" i="2"/>
  <c r="E3610" i="2"/>
  <c r="A3611" i="2"/>
  <c r="B3611" i="2"/>
  <c r="E3611" i="2"/>
  <c r="A3612" i="2"/>
  <c r="B3612" i="2"/>
  <c r="E3612" i="2"/>
  <c r="A3613" i="2"/>
  <c r="B3613" i="2"/>
  <c r="E3613" i="2"/>
  <c r="A3614" i="2"/>
  <c r="B3614" i="2"/>
  <c r="E3614" i="2"/>
  <c r="A3615" i="2"/>
  <c r="B3615" i="2"/>
  <c r="E3615" i="2"/>
  <c r="A3616" i="2"/>
  <c r="B3616" i="2"/>
  <c r="E3616" i="2"/>
  <c r="A3617" i="2"/>
  <c r="B3617" i="2"/>
  <c r="E3617" i="2"/>
  <c r="A3618" i="2"/>
  <c r="B3618" i="2"/>
  <c r="E3618" i="2"/>
  <c r="A3619" i="2"/>
  <c r="B3619" i="2"/>
  <c r="E3619" i="2"/>
  <c r="A3620" i="2"/>
  <c r="B3620" i="2"/>
  <c r="E3620" i="2"/>
  <c r="A3621" i="2"/>
  <c r="B3621" i="2"/>
  <c r="E3621" i="2"/>
  <c r="A3622" i="2"/>
  <c r="B3622" i="2"/>
  <c r="E3622" i="2"/>
  <c r="A3623" i="2"/>
  <c r="B3623" i="2"/>
  <c r="E3623" i="2"/>
  <c r="A3624" i="2"/>
  <c r="B3624" i="2"/>
  <c r="E3624" i="2"/>
  <c r="A3625" i="2"/>
  <c r="B3625" i="2"/>
  <c r="E3625" i="2"/>
  <c r="A3626" i="2"/>
  <c r="B3626" i="2"/>
  <c r="E3626" i="2"/>
  <c r="A3627" i="2"/>
  <c r="B3627" i="2"/>
  <c r="E3627" i="2"/>
  <c r="A3628" i="2"/>
  <c r="B3628" i="2"/>
  <c r="E3628" i="2"/>
  <c r="A3629" i="2"/>
  <c r="B3629" i="2"/>
  <c r="E3629" i="2"/>
  <c r="A3630" i="2"/>
  <c r="B3630" i="2"/>
  <c r="E3630" i="2"/>
  <c r="A3631" i="2"/>
  <c r="B3631" i="2"/>
  <c r="E3631" i="2"/>
  <c r="A3632" i="2"/>
  <c r="B3632" i="2"/>
  <c r="E3632" i="2"/>
  <c r="A3633" i="2"/>
  <c r="B3633" i="2"/>
  <c r="E3633" i="2"/>
  <c r="A3634" i="2"/>
  <c r="B3634" i="2"/>
  <c r="E3634" i="2"/>
  <c r="A3635" i="2"/>
  <c r="B3635" i="2"/>
  <c r="E3635" i="2"/>
  <c r="A3636" i="2"/>
  <c r="B3636" i="2"/>
  <c r="E3636" i="2"/>
  <c r="A3637" i="2"/>
  <c r="B3637" i="2"/>
  <c r="E3637" i="2"/>
  <c r="A3638" i="2"/>
  <c r="B3638" i="2"/>
  <c r="E3638" i="2"/>
  <c r="A3639" i="2"/>
  <c r="B3639" i="2"/>
  <c r="E3639" i="2"/>
  <c r="A3640" i="2"/>
  <c r="B3640" i="2"/>
  <c r="E3640" i="2"/>
  <c r="A3641" i="2"/>
  <c r="B3641" i="2"/>
  <c r="E3641" i="2"/>
  <c r="A3642" i="2"/>
  <c r="B3642" i="2"/>
  <c r="E3642" i="2"/>
  <c r="A3643" i="2"/>
  <c r="B3643" i="2"/>
  <c r="E3643" i="2"/>
  <c r="A3644" i="2"/>
  <c r="B3644" i="2"/>
  <c r="E3644" i="2"/>
  <c r="A3645" i="2"/>
  <c r="B3645" i="2"/>
  <c r="E3645" i="2"/>
  <c r="A3646" i="2"/>
  <c r="B3646" i="2"/>
  <c r="E3646" i="2"/>
  <c r="A3647" i="2"/>
  <c r="B3647" i="2"/>
  <c r="E3647" i="2"/>
  <c r="A3648" i="2"/>
  <c r="B3648" i="2"/>
  <c r="E3648" i="2"/>
  <c r="A3649" i="2"/>
  <c r="B3649" i="2"/>
  <c r="E3649" i="2"/>
  <c r="A3650" i="2"/>
  <c r="B3650" i="2"/>
  <c r="E3650" i="2"/>
  <c r="A3651" i="2"/>
  <c r="B3651" i="2"/>
  <c r="E3651" i="2"/>
  <c r="A3652" i="2"/>
  <c r="B3652" i="2"/>
  <c r="E3652" i="2"/>
  <c r="A3653" i="2"/>
  <c r="B3653" i="2"/>
  <c r="E3653" i="2"/>
  <c r="A3654" i="2"/>
  <c r="B3654" i="2"/>
  <c r="E3654" i="2"/>
  <c r="A3655" i="2"/>
  <c r="B3655" i="2"/>
  <c r="E3655" i="2"/>
  <c r="A3656" i="2"/>
  <c r="B3656" i="2"/>
  <c r="E3656" i="2"/>
  <c r="A3657" i="2"/>
  <c r="B3657" i="2"/>
  <c r="E3657" i="2"/>
  <c r="A3658" i="2"/>
  <c r="B3658" i="2"/>
  <c r="E3658" i="2"/>
  <c r="A3659" i="2"/>
  <c r="B3659" i="2"/>
  <c r="E3659" i="2"/>
  <c r="A3660" i="2"/>
  <c r="B3660" i="2"/>
  <c r="E3660" i="2"/>
  <c r="A3661" i="2"/>
  <c r="B3661" i="2"/>
  <c r="E3661" i="2"/>
  <c r="A3662" i="2"/>
  <c r="B3662" i="2"/>
  <c r="E3662" i="2"/>
  <c r="A3663" i="2"/>
  <c r="B3663" i="2"/>
  <c r="E3663" i="2"/>
  <c r="A3664" i="2"/>
  <c r="B3664" i="2"/>
  <c r="E3664" i="2"/>
  <c r="A3665" i="2"/>
  <c r="B3665" i="2"/>
  <c r="E3665" i="2"/>
  <c r="A3666" i="2"/>
  <c r="B3666" i="2"/>
  <c r="E3666" i="2"/>
  <c r="A3667" i="2"/>
  <c r="B3667" i="2"/>
  <c r="E3667" i="2"/>
  <c r="A3668" i="2"/>
  <c r="B3668" i="2"/>
  <c r="E3668" i="2"/>
  <c r="A3669" i="2"/>
  <c r="B3669" i="2"/>
  <c r="E3669" i="2"/>
  <c r="A3670" i="2"/>
  <c r="B3670" i="2"/>
  <c r="E3670" i="2"/>
  <c r="A3671" i="2"/>
  <c r="B3671" i="2"/>
  <c r="E3671" i="2"/>
  <c r="A3672" i="2"/>
  <c r="B3672" i="2"/>
  <c r="E3672" i="2"/>
  <c r="A3673" i="2"/>
  <c r="B3673" i="2"/>
  <c r="E3673" i="2"/>
  <c r="A3674" i="2"/>
  <c r="B3674" i="2"/>
  <c r="E3674" i="2"/>
  <c r="A3675" i="2"/>
  <c r="B3675" i="2"/>
  <c r="E3675" i="2"/>
  <c r="A3676" i="2"/>
  <c r="B3676" i="2"/>
  <c r="E3676" i="2"/>
  <c r="A3677" i="2"/>
  <c r="B3677" i="2"/>
  <c r="E3677" i="2"/>
  <c r="A3678" i="2"/>
  <c r="B3678" i="2"/>
  <c r="E3678" i="2"/>
  <c r="A3679" i="2"/>
  <c r="B3679" i="2"/>
  <c r="E3679" i="2"/>
  <c r="A3680" i="2"/>
  <c r="B3680" i="2"/>
  <c r="E3680" i="2"/>
  <c r="A3681" i="2"/>
  <c r="B3681" i="2"/>
  <c r="E3681" i="2"/>
  <c r="A3682" i="2"/>
  <c r="B3682" i="2"/>
  <c r="E3682" i="2"/>
  <c r="A3683" i="2"/>
  <c r="B3683" i="2"/>
  <c r="E3683" i="2"/>
  <c r="A3684" i="2"/>
  <c r="B3684" i="2"/>
  <c r="E3684" i="2"/>
  <c r="A3685" i="2"/>
  <c r="B3685" i="2"/>
  <c r="E3685" i="2"/>
  <c r="A3686" i="2"/>
  <c r="B3686" i="2"/>
  <c r="E3686" i="2"/>
  <c r="A3687" i="2"/>
  <c r="B3687" i="2"/>
  <c r="E3687" i="2"/>
  <c r="A3688" i="2"/>
  <c r="B3688" i="2"/>
  <c r="E3688" i="2"/>
  <c r="A3689" i="2"/>
  <c r="B3689" i="2"/>
  <c r="E3689" i="2"/>
  <c r="A3690" i="2"/>
  <c r="B3690" i="2"/>
  <c r="E3690" i="2"/>
  <c r="A3691" i="2"/>
  <c r="B3691" i="2"/>
  <c r="E3691" i="2"/>
  <c r="A3692" i="2"/>
  <c r="B3692" i="2"/>
  <c r="E3692" i="2"/>
  <c r="A3693" i="2"/>
  <c r="B3693" i="2"/>
  <c r="E3693" i="2"/>
  <c r="A3694" i="2"/>
  <c r="B3694" i="2"/>
  <c r="E3694" i="2"/>
  <c r="A3695" i="2"/>
  <c r="B3695" i="2"/>
  <c r="E3695" i="2"/>
  <c r="A3696" i="2"/>
  <c r="B3696" i="2"/>
  <c r="E3696" i="2"/>
  <c r="A3697" i="2"/>
  <c r="B3697" i="2"/>
  <c r="E3697" i="2"/>
  <c r="A3698" i="2"/>
  <c r="B3698" i="2"/>
  <c r="E3698" i="2"/>
  <c r="A3699" i="2"/>
  <c r="B3699" i="2"/>
  <c r="E3699" i="2"/>
  <c r="A3700" i="2"/>
  <c r="B3700" i="2"/>
  <c r="E3700" i="2"/>
  <c r="A3701" i="2"/>
  <c r="B3701" i="2"/>
  <c r="E3701" i="2"/>
  <c r="A3702" i="2"/>
  <c r="B3702" i="2"/>
  <c r="E3702" i="2"/>
  <c r="A3703" i="2"/>
  <c r="B3703" i="2"/>
  <c r="E3703" i="2"/>
  <c r="A3704" i="2"/>
  <c r="B3704" i="2"/>
  <c r="E3704" i="2"/>
  <c r="A3705" i="2"/>
  <c r="B3705" i="2"/>
  <c r="E3705" i="2"/>
  <c r="A3706" i="2"/>
  <c r="B3706" i="2"/>
  <c r="E3706" i="2"/>
  <c r="A3707" i="2"/>
  <c r="B3707" i="2"/>
  <c r="E3707" i="2"/>
  <c r="A3708" i="2"/>
  <c r="B3708" i="2"/>
  <c r="E3708" i="2"/>
  <c r="A3709" i="2"/>
  <c r="B3709" i="2"/>
  <c r="E3709" i="2"/>
  <c r="A3710" i="2"/>
  <c r="B3710" i="2"/>
  <c r="E3710" i="2"/>
  <c r="A3711" i="2"/>
  <c r="B3711" i="2"/>
  <c r="E3711" i="2"/>
  <c r="A3712" i="2"/>
  <c r="B3712" i="2"/>
  <c r="E3712" i="2"/>
  <c r="A3713" i="2"/>
  <c r="B3713" i="2"/>
  <c r="E3713" i="2"/>
  <c r="A3714" i="2"/>
  <c r="B3714" i="2"/>
  <c r="E3714" i="2"/>
  <c r="A3715" i="2"/>
  <c r="B3715" i="2"/>
  <c r="E3715" i="2"/>
  <c r="A3716" i="2"/>
  <c r="B3716" i="2"/>
  <c r="E3716" i="2"/>
  <c r="A3717" i="2"/>
  <c r="B3717" i="2"/>
  <c r="E3717" i="2"/>
  <c r="A3718" i="2"/>
  <c r="B3718" i="2"/>
  <c r="E3718" i="2"/>
  <c r="A3719" i="2"/>
  <c r="B3719" i="2"/>
  <c r="E3719" i="2"/>
  <c r="A3720" i="2"/>
  <c r="B3720" i="2"/>
  <c r="E3720" i="2"/>
  <c r="A3721" i="2"/>
  <c r="B3721" i="2"/>
  <c r="E3721" i="2"/>
  <c r="A3722" i="2"/>
  <c r="B3722" i="2"/>
  <c r="E3722" i="2"/>
  <c r="A3723" i="2"/>
  <c r="B3723" i="2"/>
  <c r="E3723" i="2"/>
  <c r="A3724" i="2"/>
  <c r="B3724" i="2"/>
  <c r="E3724" i="2"/>
  <c r="A3725" i="2"/>
  <c r="B3725" i="2"/>
  <c r="E3725" i="2"/>
  <c r="A3726" i="2"/>
  <c r="B3726" i="2"/>
  <c r="E3726" i="2"/>
  <c r="A3727" i="2"/>
  <c r="B3727" i="2"/>
  <c r="E3727" i="2"/>
  <c r="A3728" i="2"/>
  <c r="B3728" i="2"/>
  <c r="E3728" i="2"/>
  <c r="A3729" i="2"/>
  <c r="B3729" i="2"/>
  <c r="E3729" i="2"/>
  <c r="A3730" i="2"/>
  <c r="B3730" i="2"/>
  <c r="E3730" i="2"/>
  <c r="A3731" i="2"/>
  <c r="B3731" i="2"/>
  <c r="E3731" i="2"/>
  <c r="A3732" i="2"/>
  <c r="B3732" i="2"/>
  <c r="E3732" i="2"/>
  <c r="A3733" i="2"/>
  <c r="B3733" i="2"/>
  <c r="E3733" i="2"/>
  <c r="A3734" i="2"/>
  <c r="B3734" i="2"/>
  <c r="E3734" i="2"/>
  <c r="A3735" i="2"/>
  <c r="B3735" i="2"/>
  <c r="E3735" i="2"/>
  <c r="A3736" i="2"/>
  <c r="B3736" i="2"/>
  <c r="E3736" i="2"/>
  <c r="A3737" i="2"/>
  <c r="B3737" i="2"/>
  <c r="E3737" i="2"/>
  <c r="A3738" i="2"/>
  <c r="B3738" i="2"/>
  <c r="E3738" i="2"/>
  <c r="A3739" i="2"/>
  <c r="B3739" i="2"/>
  <c r="E3739" i="2"/>
  <c r="A3740" i="2"/>
  <c r="B3740" i="2"/>
  <c r="E3740" i="2"/>
  <c r="A3741" i="2"/>
  <c r="B3741" i="2"/>
  <c r="E3741" i="2"/>
  <c r="A3742" i="2"/>
  <c r="B3742" i="2"/>
  <c r="E3742" i="2"/>
  <c r="A3743" i="2"/>
  <c r="B3743" i="2"/>
  <c r="E3743" i="2"/>
  <c r="A3744" i="2"/>
  <c r="B3744" i="2"/>
  <c r="E3744" i="2"/>
  <c r="A3745" i="2"/>
  <c r="B3745" i="2"/>
  <c r="E3745" i="2"/>
  <c r="A3746" i="2"/>
  <c r="B3746" i="2"/>
  <c r="E3746" i="2"/>
  <c r="A3747" i="2"/>
  <c r="B3747" i="2"/>
  <c r="E3747" i="2"/>
  <c r="A3748" i="2"/>
  <c r="B3748" i="2"/>
  <c r="E3748" i="2"/>
  <c r="A3749" i="2"/>
  <c r="B3749" i="2"/>
  <c r="E3749" i="2"/>
  <c r="A3750" i="2"/>
  <c r="B3750" i="2"/>
  <c r="E3750" i="2"/>
  <c r="A3751" i="2"/>
  <c r="B3751" i="2"/>
  <c r="E3751" i="2"/>
  <c r="A3752" i="2"/>
  <c r="B3752" i="2"/>
  <c r="E3752" i="2"/>
  <c r="A3753" i="2"/>
  <c r="B3753" i="2"/>
  <c r="E3753" i="2"/>
  <c r="A3754" i="2"/>
  <c r="B3754" i="2"/>
  <c r="E3754" i="2"/>
  <c r="A3755" i="2"/>
  <c r="B3755" i="2"/>
  <c r="E3755" i="2"/>
  <c r="A3756" i="2"/>
  <c r="B3756" i="2"/>
  <c r="E3756" i="2"/>
  <c r="A3757" i="2"/>
  <c r="B3757" i="2"/>
  <c r="E3757" i="2"/>
  <c r="A3758" i="2"/>
  <c r="B3758" i="2"/>
  <c r="E3758" i="2"/>
  <c r="A3759" i="2"/>
  <c r="B3759" i="2"/>
  <c r="E3759" i="2"/>
  <c r="A3760" i="2"/>
  <c r="B3760" i="2"/>
  <c r="E3760" i="2"/>
  <c r="A3761" i="2"/>
  <c r="B3761" i="2"/>
  <c r="E3761" i="2"/>
  <c r="A3762" i="2"/>
  <c r="B3762" i="2"/>
  <c r="E3762" i="2"/>
  <c r="A3763" i="2"/>
  <c r="B3763" i="2"/>
  <c r="E3763" i="2"/>
  <c r="A3764" i="2"/>
  <c r="B3764" i="2"/>
  <c r="E3764" i="2"/>
  <c r="A3765" i="2"/>
  <c r="B3765" i="2"/>
  <c r="E3765" i="2"/>
  <c r="A3766" i="2"/>
  <c r="B3766" i="2"/>
  <c r="E3766" i="2"/>
  <c r="A3767" i="2"/>
  <c r="B3767" i="2"/>
  <c r="E3767" i="2"/>
  <c r="A3768" i="2"/>
  <c r="B3768" i="2"/>
  <c r="E3768" i="2"/>
  <c r="A3769" i="2"/>
  <c r="B3769" i="2"/>
  <c r="E3769" i="2"/>
  <c r="A3770" i="2"/>
  <c r="B3770" i="2"/>
  <c r="E3770" i="2"/>
  <c r="A3771" i="2"/>
  <c r="B3771" i="2"/>
  <c r="E3771" i="2"/>
  <c r="A3772" i="2"/>
  <c r="B3772" i="2"/>
  <c r="E3772" i="2"/>
  <c r="A3773" i="2"/>
  <c r="B3773" i="2"/>
  <c r="E3773" i="2"/>
  <c r="A3774" i="2"/>
  <c r="B3774" i="2"/>
  <c r="E3774" i="2"/>
  <c r="A3775" i="2"/>
  <c r="B3775" i="2"/>
  <c r="E3775" i="2"/>
  <c r="A3776" i="2"/>
  <c r="B3776" i="2"/>
  <c r="E3776" i="2"/>
  <c r="A3777" i="2"/>
  <c r="B3777" i="2"/>
  <c r="E3777" i="2"/>
  <c r="A3778" i="2"/>
  <c r="B3778" i="2"/>
  <c r="E3778" i="2"/>
  <c r="A3779" i="2"/>
  <c r="B3779" i="2"/>
  <c r="E3779" i="2"/>
  <c r="A3780" i="2"/>
  <c r="B3780" i="2"/>
  <c r="E3780" i="2"/>
  <c r="A3781" i="2"/>
  <c r="B3781" i="2"/>
  <c r="E3781" i="2"/>
  <c r="A3782" i="2"/>
  <c r="B3782" i="2"/>
  <c r="E3782" i="2"/>
  <c r="A3783" i="2"/>
  <c r="B3783" i="2"/>
  <c r="E3783" i="2"/>
  <c r="A3784" i="2"/>
  <c r="B3784" i="2"/>
  <c r="E3784" i="2"/>
  <c r="A3785" i="2"/>
  <c r="B3785" i="2"/>
  <c r="E3785" i="2"/>
  <c r="A3786" i="2"/>
  <c r="B3786" i="2"/>
  <c r="E3786" i="2"/>
  <c r="A3787" i="2"/>
  <c r="B3787" i="2"/>
  <c r="E3787" i="2"/>
  <c r="A3788" i="2"/>
  <c r="B3788" i="2"/>
  <c r="E3788" i="2"/>
  <c r="A3789" i="2"/>
  <c r="B3789" i="2"/>
  <c r="E3789" i="2"/>
  <c r="A3790" i="2"/>
  <c r="B3790" i="2"/>
  <c r="E3790" i="2"/>
  <c r="A3791" i="2"/>
  <c r="B3791" i="2"/>
  <c r="E3791" i="2"/>
  <c r="A3792" i="2"/>
  <c r="B3792" i="2"/>
  <c r="E3792" i="2"/>
  <c r="A3793" i="2"/>
  <c r="B3793" i="2"/>
  <c r="E3793" i="2"/>
  <c r="A3794" i="2"/>
  <c r="B3794" i="2"/>
  <c r="E3794" i="2"/>
  <c r="A3795" i="2"/>
  <c r="B3795" i="2"/>
  <c r="E3795" i="2"/>
  <c r="A3796" i="2"/>
  <c r="B3796" i="2"/>
  <c r="E3796" i="2"/>
  <c r="A3797" i="2"/>
  <c r="B3797" i="2"/>
  <c r="E3797" i="2"/>
  <c r="A3798" i="2"/>
  <c r="B3798" i="2"/>
  <c r="E3798" i="2"/>
  <c r="A3799" i="2"/>
  <c r="B3799" i="2"/>
  <c r="E3799" i="2"/>
  <c r="A3800" i="2"/>
  <c r="B3800" i="2"/>
  <c r="E3800" i="2"/>
  <c r="A3801" i="2"/>
  <c r="B3801" i="2"/>
  <c r="E3801" i="2"/>
  <c r="A3802" i="2"/>
  <c r="B3802" i="2"/>
  <c r="E3802" i="2"/>
  <c r="A3803" i="2"/>
  <c r="B3803" i="2"/>
  <c r="E3803" i="2"/>
  <c r="A3804" i="2"/>
  <c r="B3804" i="2"/>
  <c r="E3804" i="2"/>
  <c r="A3805" i="2"/>
  <c r="B3805" i="2"/>
  <c r="E3805" i="2"/>
  <c r="A3806" i="2"/>
  <c r="B3806" i="2"/>
  <c r="E3806" i="2"/>
  <c r="A3807" i="2"/>
  <c r="B3807" i="2"/>
  <c r="E3807" i="2"/>
  <c r="A3808" i="2"/>
  <c r="B3808" i="2"/>
  <c r="E3808" i="2"/>
  <c r="A3809" i="2"/>
  <c r="B3809" i="2"/>
  <c r="E3809" i="2"/>
  <c r="A3810" i="2"/>
  <c r="B3810" i="2"/>
  <c r="E3810" i="2"/>
  <c r="A3811" i="2"/>
  <c r="B3811" i="2"/>
  <c r="E3811" i="2"/>
  <c r="A3812" i="2"/>
  <c r="B3812" i="2"/>
  <c r="E3812" i="2"/>
  <c r="A3813" i="2"/>
  <c r="B3813" i="2"/>
  <c r="E3813" i="2"/>
  <c r="A3814" i="2"/>
  <c r="B3814" i="2"/>
  <c r="E3814" i="2"/>
  <c r="A3815" i="2"/>
  <c r="B3815" i="2"/>
  <c r="E3815" i="2"/>
  <c r="A3816" i="2"/>
  <c r="B3816" i="2"/>
  <c r="E3816" i="2"/>
  <c r="A3817" i="2"/>
  <c r="B3817" i="2"/>
  <c r="E3817" i="2"/>
  <c r="A3818" i="2"/>
  <c r="B3818" i="2"/>
  <c r="E3818" i="2"/>
  <c r="A3819" i="2"/>
  <c r="B3819" i="2"/>
  <c r="E3819" i="2"/>
  <c r="A3820" i="2"/>
  <c r="B3820" i="2"/>
  <c r="E3820" i="2"/>
  <c r="A3821" i="2"/>
  <c r="B3821" i="2"/>
  <c r="E3821" i="2"/>
  <c r="A3822" i="2"/>
  <c r="B3822" i="2"/>
  <c r="E3822" i="2"/>
  <c r="A3823" i="2"/>
  <c r="B3823" i="2"/>
  <c r="E3823" i="2"/>
  <c r="A3824" i="2"/>
  <c r="B3824" i="2"/>
  <c r="E3824" i="2"/>
  <c r="A3825" i="2"/>
  <c r="B3825" i="2"/>
  <c r="E3825" i="2"/>
  <c r="A3826" i="2"/>
  <c r="B3826" i="2"/>
  <c r="E3826" i="2"/>
  <c r="A3827" i="2"/>
  <c r="B3827" i="2"/>
  <c r="E3827" i="2"/>
  <c r="A3828" i="2"/>
  <c r="B3828" i="2"/>
  <c r="E3828" i="2"/>
  <c r="A3829" i="2"/>
  <c r="B3829" i="2"/>
  <c r="E3829" i="2"/>
  <c r="A3830" i="2"/>
  <c r="B3830" i="2"/>
  <c r="E3830" i="2"/>
  <c r="A3831" i="2"/>
  <c r="B3831" i="2"/>
  <c r="E3831" i="2"/>
  <c r="A3832" i="2"/>
  <c r="B3832" i="2"/>
  <c r="E3832" i="2"/>
  <c r="A3833" i="2"/>
  <c r="B3833" i="2"/>
  <c r="E3833" i="2"/>
  <c r="A3834" i="2"/>
  <c r="B3834" i="2"/>
  <c r="E3834" i="2"/>
  <c r="A3835" i="2"/>
  <c r="B3835" i="2"/>
  <c r="E3835" i="2"/>
  <c r="A3836" i="2"/>
  <c r="B3836" i="2"/>
  <c r="E3836" i="2"/>
  <c r="A3837" i="2"/>
  <c r="B3837" i="2"/>
  <c r="E3837" i="2"/>
  <c r="A3838" i="2"/>
  <c r="B3838" i="2"/>
  <c r="E3838" i="2"/>
  <c r="A3839" i="2"/>
  <c r="B3839" i="2"/>
  <c r="E3839" i="2"/>
  <c r="A3840" i="2"/>
  <c r="B3840" i="2"/>
  <c r="E3840" i="2"/>
  <c r="A3841" i="2"/>
  <c r="B3841" i="2"/>
  <c r="E3841" i="2"/>
  <c r="A3842" i="2"/>
  <c r="B3842" i="2"/>
  <c r="E3842" i="2"/>
  <c r="A3843" i="2"/>
  <c r="B3843" i="2"/>
  <c r="E3843" i="2"/>
  <c r="A3844" i="2"/>
  <c r="B3844" i="2"/>
  <c r="E3844" i="2"/>
  <c r="A3845" i="2"/>
  <c r="B3845" i="2"/>
  <c r="E3845" i="2"/>
  <c r="A3846" i="2"/>
  <c r="B3846" i="2"/>
  <c r="E3846" i="2"/>
  <c r="A3847" i="2"/>
  <c r="B3847" i="2"/>
  <c r="E3847" i="2"/>
  <c r="A3848" i="2"/>
  <c r="B3848" i="2"/>
  <c r="E3848" i="2"/>
  <c r="A3849" i="2"/>
  <c r="B3849" i="2"/>
  <c r="E3849" i="2"/>
  <c r="A3850" i="2"/>
  <c r="B3850" i="2"/>
  <c r="E3850" i="2"/>
  <c r="A3851" i="2"/>
  <c r="B3851" i="2"/>
  <c r="E3851" i="2"/>
  <c r="A3852" i="2"/>
  <c r="B3852" i="2"/>
  <c r="E3852" i="2"/>
  <c r="A3853" i="2"/>
  <c r="B3853" i="2"/>
  <c r="E3853" i="2"/>
  <c r="A3854" i="2"/>
  <c r="B3854" i="2"/>
  <c r="E3854" i="2"/>
  <c r="A3855" i="2"/>
  <c r="B3855" i="2"/>
  <c r="E3855" i="2"/>
  <c r="A3856" i="2"/>
  <c r="B3856" i="2"/>
  <c r="E3856" i="2"/>
  <c r="A3857" i="2"/>
  <c r="B3857" i="2"/>
  <c r="E3857" i="2"/>
  <c r="A3858" i="2"/>
  <c r="B3858" i="2"/>
  <c r="E3858" i="2"/>
  <c r="A3859" i="2"/>
  <c r="B3859" i="2"/>
  <c r="E3859" i="2"/>
  <c r="A3860" i="2"/>
  <c r="B3860" i="2"/>
  <c r="E3860" i="2"/>
  <c r="A3861" i="2"/>
  <c r="B3861" i="2"/>
  <c r="E3861" i="2"/>
  <c r="A3862" i="2"/>
  <c r="B3862" i="2"/>
  <c r="E3862" i="2"/>
  <c r="A3863" i="2"/>
  <c r="B3863" i="2"/>
  <c r="E3863" i="2"/>
  <c r="A3864" i="2"/>
  <c r="B3864" i="2"/>
  <c r="E3864" i="2"/>
  <c r="A3865" i="2"/>
  <c r="B3865" i="2"/>
  <c r="E3865" i="2"/>
  <c r="A3866" i="2"/>
  <c r="B3866" i="2"/>
  <c r="E3866" i="2"/>
  <c r="A3867" i="2"/>
  <c r="B3867" i="2"/>
  <c r="E3867" i="2"/>
  <c r="A3868" i="2"/>
  <c r="B3868" i="2"/>
  <c r="E3868" i="2"/>
  <c r="A3869" i="2"/>
  <c r="B3869" i="2"/>
  <c r="E3869" i="2"/>
  <c r="A3870" i="2"/>
  <c r="B3870" i="2"/>
  <c r="E3870" i="2"/>
  <c r="A3871" i="2"/>
  <c r="B3871" i="2"/>
  <c r="E3871" i="2"/>
  <c r="A3872" i="2"/>
  <c r="B3872" i="2"/>
  <c r="E3872" i="2"/>
  <c r="A3873" i="2"/>
  <c r="B3873" i="2"/>
  <c r="E3873" i="2"/>
  <c r="A3874" i="2"/>
  <c r="B3874" i="2"/>
  <c r="E3874" i="2"/>
  <c r="A3875" i="2"/>
  <c r="B3875" i="2"/>
  <c r="E3875" i="2"/>
  <c r="A3876" i="2"/>
  <c r="B3876" i="2"/>
  <c r="E3876" i="2"/>
  <c r="A3877" i="2"/>
  <c r="B3877" i="2"/>
  <c r="E3877" i="2"/>
  <c r="A3878" i="2"/>
  <c r="B3878" i="2"/>
  <c r="E3878" i="2"/>
  <c r="A3879" i="2"/>
  <c r="B3879" i="2"/>
  <c r="E3879" i="2"/>
  <c r="A3880" i="2"/>
  <c r="B3880" i="2"/>
  <c r="E3880" i="2"/>
  <c r="A3881" i="2"/>
  <c r="B3881" i="2"/>
  <c r="E3881" i="2"/>
  <c r="A3882" i="2"/>
  <c r="B3882" i="2"/>
  <c r="E3882" i="2"/>
  <c r="A3883" i="2"/>
  <c r="B3883" i="2"/>
  <c r="E3883" i="2"/>
  <c r="A3884" i="2"/>
  <c r="B3884" i="2"/>
  <c r="E3884" i="2"/>
  <c r="A3885" i="2"/>
  <c r="B3885" i="2"/>
  <c r="E3885" i="2"/>
  <c r="A3886" i="2"/>
  <c r="B3886" i="2"/>
  <c r="E3886" i="2"/>
  <c r="A3887" i="2"/>
  <c r="B3887" i="2"/>
  <c r="E3887" i="2"/>
  <c r="A3888" i="2"/>
  <c r="B3888" i="2"/>
  <c r="E3888" i="2"/>
  <c r="A3889" i="2"/>
  <c r="B3889" i="2"/>
  <c r="E3889" i="2"/>
  <c r="A3890" i="2"/>
  <c r="B3890" i="2"/>
  <c r="E3890" i="2"/>
  <c r="A3891" i="2"/>
  <c r="B3891" i="2"/>
  <c r="E3891" i="2"/>
  <c r="A3892" i="2"/>
  <c r="B3892" i="2"/>
  <c r="E3892" i="2"/>
  <c r="A3893" i="2"/>
  <c r="B3893" i="2"/>
  <c r="E3893" i="2"/>
  <c r="A3894" i="2"/>
  <c r="B3894" i="2"/>
  <c r="E3894" i="2"/>
  <c r="A3895" i="2"/>
  <c r="B3895" i="2"/>
  <c r="E3895" i="2"/>
  <c r="A3896" i="2"/>
  <c r="B3896" i="2"/>
  <c r="E3896" i="2"/>
  <c r="A3897" i="2"/>
  <c r="B3897" i="2"/>
  <c r="E3897" i="2"/>
  <c r="A3898" i="2"/>
  <c r="B3898" i="2"/>
  <c r="E3898" i="2"/>
  <c r="A3899" i="2"/>
  <c r="B3899" i="2"/>
  <c r="E3899" i="2"/>
  <c r="A3900" i="2"/>
  <c r="B3900" i="2"/>
  <c r="E3900" i="2"/>
  <c r="A3901" i="2"/>
  <c r="B3901" i="2"/>
  <c r="E3901" i="2"/>
  <c r="A3902" i="2"/>
  <c r="B3902" i="2"/>
  <c r="E3902" i="2"/>
  <c r="A3903" i="2"/>
  <c r="B3903" i="2"/>
  <c r="E3903" i="2"/>
  <c r="A3904" i="2"/>
  <c r="B3904" i="2"/>
  <c r="E3904" i="2"/>
  <c r="A3905" i="2"/>
  <c r="B3905" i="2"/>
  <c r="E3905" i="2"/>
  <c r="A3906" i="2"/>
  <c r="B3906" i="2"/>
  <c r="E3906" i="2"/>
  <c r="A3907" i="2"/>
  <c r="B3907" i="2"/>
  <c r="E3907" i="2"/>
  <c r="A3908" i="2"/>
  <c r="B3908" i="2"/>
  <c r="E3908" i="2"/>
  <c r="A3909" i="2"/>
  <c r="B3909" i="2"/>
  <c r="E3909" i="2"/>
  <c r="A3910" i="2"/>
  <c r="B3910" i="2"/>
  <c r="E3910" i="2"/>
  <c r="A3911" i="2"/>
  <c r="B3911" i="2"/>
  <c r="E3911" i="2"/>
  <c r="A3912" i="2"/>
  <c r="B3912" i="2"/>
  <c r="E3912" i="2"/>
  <c r="A3913" i="2"/>
  <c r="B3913" i="2"/>
  <c r="E3913" i="2"/>
  <c r="A3914" i="2"/>
  <c r="B3914" i="2"/>
  <c r="E3914" i="2"/>
  <c r="A3915" i="2"/>
  <c r="B3915" i="2"/>
  <c r="E3915" i="2"/>
  <c r="A3916" i="2"/>
  <c r="B3916" i="2"/>
  <c r="E3916" i="2"/>
  <c r="A3917" i="2"/>
  <c r="B3917" i="2"/>
  <c r="E3917" i="2"/>
  <c r="A3918" i="2"/>
  <c r="B3918" i="2"/>
  <c r="E3918" i="2"/>
  <c r="A3919" i="2"/>
  <c r="B3919" i="2"/>
  <c r="E3919" i="2"/>
  <c r="A3920" i="2"/>
  <c r="B3920" i="2"/>
  <c r="E3920" i="2"/>
  <c r="A3921" i="2"/>
  <c r="B3921" i="2"/>
  <c r="E3921" i="2"/>
  <c r="A3922" i="2"/>
  <c r="B3922" i="2"/>
  <c r="E3922" i="2"/>
  <c r="A3923" i="2"/>
  <c r="B3923" i="2"/>
  <c r="E3923" i="2"/>
  <c r="A3924" i="2"/>
  <c r="B3924" i="2"/>
  <c r="E3924" i="2"/>
  <c r="A3925" i="2"/>
  <c r="B3925" i="2"/>
  <c r="E3925" i="2"/>
  <c r="A3926" i="2"/>
  <c r="B3926" i="2"/>
  <c r="E3926" i="2"/>
  <c r="A3927" i="2"/>
  <c r="B3927" i="2"/>
  <c r="E3927" i="2"/>
  <c r="A3928" i="2"/>
  <c r="B3928" i="2"/>
  <c r="E3928" i="2"/>
  <c r="A3929" i="2"/>
  <c r="B3929" i="2"/>
  <c r="E3929" i="2"/>
  <c r="A3930" i="2"/>
  <c r="B3930" i="2"/>
  <c r="E3930" i="2"/>
  <c r="A3931" i="2"/>
  <c r="B3931" i="2"/>
  <c r="E3931" i="2"/>
  <c r="A3932" i="2"/>
  <c r="B3932" i="2"/>
  <c r="E3932" i="2"/>
  <c r="A3933" i="2"/>
  <c r="B3933" i="2"/>
  <c r="E3933" i="2"/>
  <c r="A3934" i="2"/>
  <c r="B3934" i="2"/>
  <c r="E3934" i="2"/>
  <c r="A3935" i="2"/>
  <c r="B3935" i="2"/>
  <c r="E3935" i="2"/>
  <c r="A3936" i="2"/>
  <c r="B3936" i="2"/>
  <c r="E3936" i="2"/>
  <c r="A3937" i="2"/>
  <c r="B3937" i="2"/>
  <c r="E3937" i="2"/>
  <c r="A3938" i="2"/>
  <c r="B3938" i="2"/>
  <c r="E3938" i="2"/>
  <c r="A3939" i="2"/>
  <c r="B3939" i="2"/>
  <c r="E3939" i="2"/>
  <c r="A3940" i="2"/>
  <c r="B3940" i="2"/>
  <c r="E3940" i="2"/>
  <c r="A3941" i="2"/>
  <c r="B3941" i="2"/>
  <c r="E3941" i="2"/>
  <c r="A3942" i="2"/>
  <c r="B3942" i="2"/>
  <c r="E3942" i="2"/>
  <c r="A3943" i="2"/>
  <c r="B3943" i="2"/>
  <c r="E3943" i="2"/>
  <c r="A3944" i="2"/>
  <c r="B3944" i="2"/>
  <c r="E3944" i="2"/>
  <c r="A3945" i="2"/>
  <c r="B3945" i="2"/>
  <c r="E3945" i="2"/>
  <c r="A3946" i="2"/>
  <c r="B3946" i="2"/>
  <c r="E3946" i="2"/>
  <c r="A3947" i="2"/>
  <c r="B3947" i="2"/>
  <c r="E3947" i="2"/>
  <c r="A3948" i="2"/>
  <c r="B3948" i="2"/>
  <c r="E3948" i="2"/>
  <c r="A3949" i="2"/>
  <c r="B3949" i="2"/>
  <c r="E3949" i="2"/>
  <c r="A3950" i="2"/>
  <c r="B3950" i="2"/>
  <c r="E3950" i="2"/>
  <c r="A3951" i="2"/>
  <c r="B3951" i="2"/>
  <c r="E3951" i="2"/>
  <c r="A3952" i="2"/>
  <c r="B3952" i="2"/>
  <c r="E3952" i="2"/>
  <c r="A3953" i="2"/>
  <c r="B3953" i="2"/>
  <c r="E3953" i="2"/>
  <c r="A3954" i="2"/>
  <c r="B3954" i="2"/>
  <c r="E3954" i="2"/>
  <c r="A3955" i="2"/>
  <c r="B3955" i="2"/>
  <c r="E3955" i="2"/>
  <c r="A3956" i="2"/>
  <c r="B3956" i="2"/>
  <c r="E3956" i="2"/>
  <c r="A3957" i="2"/>
  <c r="B3957" i="2"/>
  <c r="E3957" i="2"/>
  <c r="A3958" i="2"/>
  <c r="B3958" i="2"/>
  <c r="E3958" i="2"/>
  <c r="A3959" i="2"/>
  <c r="B3959" i="2"/>
  <c r="E3959" i="2"/>
  <c r="A3960" i="2"/>
  <c r="B3960" i="2"/>
  <c r="E3960" i="2"/>
  <c r="A3961" i="2"/>
  <c r="B3961" i="2"/>
  <c r="E3961" i="2"/>
  <c r="A3962" i="2"/>
  <c r="B3962" i="2"/>
  <c r="E3962" i="2"/>
  <c r="A3963" i="2"/>
  <c r="B3963" i="2"/>
  <c r="E3963" i="2"/>
  <c r="A3964" i="2"/>
  <c r="B3964" i="2"/>
  <c r="E3964" i="2"/>
  <c r="A3965" i="2"/>
  <c r="B3965" i="2"/>
  <c r="E3965" i="2"/>
  <c r="A3966" i="2"/>
  <c r="B3966" i="2"/>
  <c r="E3966" i="2"/>
  <c r="A3967" i="2"/>
  <c r="B3967" i="2"/>
  <c r="E3967" i="2"/>
  <c r="A3968" i="2"/>
  <c r="B3968" i="2"/>
  <c r="E3968" i="2"/>
  <c r="A3969" i="2"/>
  <c r="B3969" i="2"/>
  <c r="E3969" i="2"/>
  <c r="A3970" i="2"/>
  <c r="B3970" i="2"/>
  <c r="E3970" i="2"/>
  <c r="A3971" i="2"/>
  <c r="B3971" i="2"/>
  <c r="E3971" i="2"/>
  <c r="A3972" i="2"/>
  <c r="B3972" i="2"/>
  <c r="E3972" i="2"/>
  <c r="A3973" i="2"/>
  <c r="B3973" i="2"/>
  <c r="E3973" i="2"/>
  <c r="A3974" i="2"/>
  <c r="B3974" i="2"/>
  <c r="E3974" i="2"/>
  <c r="A3975" i="2"/>
  <c r="B3975" i="2"/>
  <c r="E3975" i="2"/>
  <c r="A3976" i="2"/>
  <c r="B3976" i="2"/>
  <c r="E3976" i="2"/>
  <c r="A3977" i="2"/>
  <c r="B3977" i="2"/>
  <c r="E3977" i="2"/>
  <c r="A3978" i="2"/>
  <c r="B3978" i="2"/>
  <c r="E3978" i="2"/>
  <c r="A3979" i="2"/>
  <c r="B3979" i="2"/>
  <c r="E3979" i="2"/>
  <c r="A3980" i="2"/>
  <c r="B3980" i="2"/>
  <c r="E3980" i="2"/>
  <c r="A3981" i="2"/>
  <c r="B3981" i="2"/>
  <c r="E3981" i="2"/>
  <c r="A3982" i="2"/>
  <c r="B3982" i="2"/>
  <c r="E3982" i="2"/>
  <c r="A3983" i="2"/>
  <c r="B3983" i="2"/>
  <c r="E3983" i="2"/>
  <c r="A3984" i="2"/>
  <c r="B3984" i="2"/>
  <c r="E3984" i="2"/>
  <c r="A3985" i="2"/>
  <c r="B3985" i="2"/>
  <c r="E3985" i="2"/>
  <c r="A3986" i="2"/>
  <c r="B3986" i="2"/>
  <c r="E3986" i="2"/>
  <c r="A3987" i="2"/>
  <c r="B3987" i="2"/>
  <c r="E3987" i="2"/>
  <c r="A3988" i="2"/>
  <c r="B3988" i="2"/>
  <c r="E3988" i="2"/>
  <c r="A3989" i="2"/>
  <c r="B3989" i="2"/>
  <c r="E3989" i="2"/>
  <c r="A3990" i="2"/>
  <c r="B3990" i="2"/>
  <c r="E3990" i="2"/>
  <c r="A3991" i="2"/>
  <c r="B3991" i="2"/>
  <c r="E3991" i="2"/>
  <c r="A3992" i="2"/>
  <c r="B3992" i="2"/>
  <c r="E3992" i="2"/>
  <c r="A3993" i="2"/>
  <c r="B3993" i="2"/>
  <c r="E3993" i="2"/>
  <c r="A3994" i="2"/>
  <c r="B3994" i="2"/>
  <c r="E3994" i="2"/>
  <c r="A3995" i="2"/>
  <c r="B3995" i="2"/>
  <c r="E3995" i="2"/>
  <c r="A3996" i="2"/>
  <c r="B3996" i="2"/>
  <c r="E3996" i="2"/>
  <c r="A3997" i="2"/>
  <c r="B3997" i="2"/>
  <c r="E3997" i="2"/>
  <c r="A3998" i="2"/>
  <c r="B3998" i="2"/>
  <c r="E3998" i="2"/>
  <c r="A3999" i="2"/>
  <c r="B3999" i="2"/>
  <c r="E3999" i="2"/>
  <c r="A4000" i="2"/>
  <c r="B4000" i="2"/>
  <c r="E4000" i="2"/>
  <c r="A4001" i="2"/>
  <c r="B4001" i="2"/>
  <c r="E4001" i="2"/>
  <c r="A4002" i="2"/>
  <c r="B4002" i="2"/>
  <c r="E4002" i="2"/>
  <c r="A4003" i="2"/>
  <c r="B4003" i="2"/>
  <c r="E4003" i="2"/>
  <c r="A4004" i="2"/>
  <c r="B4004" i="2"/>
  <c r="E4004" i="2"/>
  <c r="A4005" i="2"/>
  <c r="B4005" i="2"/>
  <c r="E4005" i="2"/>
  <c r="A4006" i="2"/>
  <c r="B4006" i="2"/>
  <c r="E4006" i="2"/>
  <c r="A4007" i="2"/>
  <c r="B4007" i="2"/>
  <c r="E4007" i="2"/>
  <c r="A4008" i="2"/>
  <c r="B4008" i="2"/>
  <c r="E4008" i="2"/>
  <c r="A4009" i="2"/>
  <c r="B4009" i="2"/>
  <c r="E4009" i="2"/>
  <c r="A4010" i="2"/>
  <c r="B4010" i="2"/>
  <c r="E4010" i="2"/>
  <c r="A4011" i="2"/>
  <c r="B4011" i="2"/>
  <c r="E4011" i="2"/>
  <c r="A4012" i="2"/>
  <c r="B4012" i="2"/>
  <c r="E4012" i="2"/>
  <c r="A4013" i="2"/>
  <c r="B4013" i="2"/>
  <c r="E4013" i="2"/>
  <c r="A4014" i="2"/>
  <c r="B4014" i="2"/>
  <c r="E4014" i="2"/>
  <c r="A4015" i="2"/>
  <c r="B4015" i="2"/>
  <c r="E4015" i="2"/>
  <c r="A4016" i="2"/>
  <c r="B4016" i="2"/>
  <c r="E4016" i="2"/>
  <c r="A4017" i="2"/>
  <c r="B4017" i="2"/>
  <c r="E4017" i="2"/>
  <c r="A4018" i="2"/>
  <c r="B4018" i="2"/>
  <c r="E4018" i="2"/>
  <c r="A4019" i="2"/>
  <c r="B4019" i="2"/>
  <c r="E4019" i="2"/>
  <c r="A4020" i="2"/>
  <c r="B4020" i="2"/>
  <c r="E4020" i="2"/>
  <c r="A4021" i="2"/>
  <c r="B4021" i="2"/>
  <c r="E4021" i="2"/>
  <c r="A4022" i="2"/>
  <c r="B4022" i="2"/>
  <c r="E4022" i="2"/>
  <c r="A4023" i="2"/>
  <c r="B4023" i="2"/>
  <c r="E4023" i="2"/>
  <c r="A4024" i="2"/>
  <c r="B4024" i="2"/>
  <c r="E4024" i="2"/>
  <c r="A4025" i="2"/>
  <c r="B4025" i="2"/>
  <c r="E4025" i="2"/>
  <c r="A4026" i="2"/>
  <c r="B4026" i="2"/>
  <c r="E4026" i="2"/>
  <c r="A4027" i="2"/>
  <c r="B4027" i="2"/>
  <c r="E4027" i="2"/>
  <c r="A4028" i="2"/>
  <c r="B4028" i="2"/>
  <c r="E4028" i="2"/>
  <c r="A4029" i="2"/>
  <c r="B4029" i="2"/>
  <c r="E4029" i="2"/>
  <c r="A4030" i="2"/>
  <c r="B4030" i="2"/>
  <c r="E4030" i="2"/>
  <c r="A4031" i="2"/>
  <c r="B4031" i="2"/>
  <c r="E4031" i="2"/>
  <c r="A4032" i="2"/>
  <c r="B4032" i="2"/>
  <c r="E4032" i="2"/>
  <c r="A4033" i="2"/>
  <c r="B4033" i="2"/>
  <c r="E4033" i="2"/>
  <c r="A4034" i="2"/>
  <c r="B4034" i="2"/>
  <c r="E4034" i="2"/>
  <c r="A4035" i="2"/>
  <c r="B4035" i="2"/>
  <c r="E4035" i="2"/>
  <c r="A4036" i="2"/>
  <c r="B4036" i="2"/>
  <c r="E4036" i="2"/>
  <c r="A4037" i="2"/>
  <c r="B4037" i="2"/>
  <c r="E4037" i="2"/>
  <c r="A4038" i="2"/>
  <c r="B4038" i="2"/>
  <c r="E4038" i="2"/>
  <c r="A4039" i="2"/>
  <c r="B4039" i="2"/>
  <c r="E4039" i="2"/>
  <c r="A4040" i="2"/>
  <c r="B4040" i="2"/>
  <c r="E4040" i="2"/>
  <c r="A4041" i="2"/>
  <c r="B4041" i="2"/>
  <c r="E4041" i="2"/>
  <c r="A4042" i="2"/>
  <c r="B4042" i="2"/>
  <c r="E4042" i="2"/>
  <c r="A4043" i="2"/>
  <c r="B4043" i="2"/>
  <c r="E4043" i="2"/>
  <c r="A4044" i="2"/>
  <c r="B4044" i="2"/>
  <c r="E4044" i="2"/>
  <c r="A4045" i="2"/>
  <c r="B4045" i="2"/>
  <c r="E4045" i="2"/>
  <c r="A4046" i="2"/>
  <c r="B4046" i="2"/>
  <c r="E4046" i="2"/>
  <c r="A4047" i="2"/>
  <c r="B4047" i="2"/>
  <c r="E4047" i="2"/>
  <c r="A4048" i="2"/>
  <c r="B4048" i="2"/>
  <c r="E4048" i="2"/>
  <c r="A4049" i="2"/>
  <c r="B4049" i="2"/>
  <c r="E4049" i="2"/>
  <c r="A4050" i="2"/>
  <c r="B4050" i="2"/>
  <c r="E4050" i="2"/>
  <c r="A4051" i="2"/>
  <c r="B4051" i="2"/>
  <c r="E4051" i="2"/>
  <c r="A4052" i="2"/>
  <c r="B4052" i="2"/>
  <c r="E4052" i="2"/>
  <c r="A4053" i="2"/>
  <c r="B4053" i="2"/>
  <c r="E4053" i="2"/>
  <c r="A4054" i="2"/>
  <c r="B4054" i="2"/>
  <c r="E4054" i="2"/>
  <c r="A4055" i="2"/>
  <c r="B4055" i="2"/>
  <c r="E4055" i="2"/>
  <c r="A4056" i="2"/>
  <c r="B4056" i="2"/>
  <c r="E4056" i="2"/>
  <c r="A4057" i="2"/>
  <c r="B4057" i="2"/>
  <c r="E4057" i="2"/>
  <c r="A4058" i="2"/>
  <c r="B4058" i="2"/>
  <c r="E4058" i="2"/>
  <c r="A4059" i="2"/>
  <c r="B4059" i="2"/>
  <c r="E4059" i="2"/>
  <c r="A4060" i="2"/>
  <c r="B4060" i="2"/>
  <c r="E4060" i="2"/>
  <c r="A4061" i="2"/>
  <c r="B4061" i="2"/>
  <c r="E4061" i="2"/>
  <c r="A4062" i="2"/>
  <c r="B4062" i="2"/>
  <c r="E4062" i="2"/>
  <c r="A4063" i="2"/>
  <c r="B4063" i="2"/>
  <c r="E4063" i="2"/>
  <c r="A4064" i="2"/>
  <c r="B4064" i="2"/>
  <c r="E4064" i="2"/>
  <c r="A4065" i="2"/>
  <c r="B4065" i="2"/>
  <c r="E4065" i="2"/>
  <c r="A4066" i="2"/>
  <c r="B4066" i="2"/>
  <c r="E4066" i="2"/>
  <c r="A4067" i="2"/>
  <c r="B4067" i="2"/>
  <c r="E4067" i="2"/>
  <c r="A4068" i="2"/>
  <c r="B4068" i="2"/>
  <c r="E4068" i="2"/>
  <c r="A4069" i="2"/>
  <c r="B4069" i="2"/>
  <c r="E4069" i="2"/>
  <c r="A4070" i="2"/>
  <c r="B4070" i="2"/>
  <c r="E4070" i="2"/>
  <c r="A4071" i="2"/>
  <c r="B4071" i="2"/>
  <c r="E4071" i="2"/>
  <c r="A4072" i="2"/>
  <c r="B4072" i="2"/>
  <c r="E4072" i="2"/>
  <c r="A4073" i="2"/>
  <c r="B4073" i="2"/>
  <c r="E4073" i="2"/>
  <c r="A4074" i="2"/>
  <c r="B4074" i="2"/>
  <c r="E4074" i="2"/>
  <c r="A4075" i="2"/>
  <c r="B4075" i="2"/>
  <c r="E4075" i="2"/>
  <c r="A4076" i="2"/>
  <c r="B4076" i="2"/>
  <c r="E4076" i="2"/>
  <c r="A4077" i="2"/>
  <c r="B4077" i="2"/>
  <c r="E4077" i="2"/>
  <c r="A4078" i="2"/>
  <c r="B4078" i="2"/>
  <c r="E4078" i="2"/>
  <c r="A4079" i="2"/>
  <c r="B4079" i="2"/>
  <c r="E4079" i="2"/>
  <c r="A4080" i="2"/>
  <c r="B4080" i="2"/>
  <c r="E4080" i="2"/>
  <c r="A4081" i="2"/>
  <c r="B4081" i="2"/>
  <c r="E4081" i="2"/>
  <c r="A4082" i="2"/>
  <c r="B4082" i="2"/>
  <c r="E4082" i="2"/>
  <c r="A4083" i="2"/>
  <c r="B4083" i="2"/>
  <c r="E4083" i="2"/>
  <c r="A4084" i="2"/>
  <c r="B4084" i="2"/>
  <c r="E4084" i="2"/>
  <c r="A4085" i="2"/>
  <c r="B4085" i="2"/>
  <c r="E4085" i="2"/>
  <c r="A4086" i="2"/>
  <c r="B4086" i="2"/>
  <c r="E4086" i="2"/>
  <c r="A4087" i="2"/>
  <c r="B4087" i="2"/>
  <c r="E4087" i="2"/>
  <c r="A4088" i="2"/>
  <c r="B4088" i="2"/>
  <c r="E4088" i="2"/>
  <c r="A4089" i="2"/>
  <c r="B4089" i="2"/>
  <c r="E4089" i="2"/>
  <c r="A4090" i="2"/>
  <c r="B4090" i="2"/>
  <c r="E4090" i="2"/>
  <c r="A4091" i="2"/>
  <c r="B4091" i="2"/>
  <c r="E4091" i="2"/>
  <c r="A4092" i="2"/>
  <c r="B4092" i="2"/>
  <c r="E4092" i="2"/>
  <c r="A4093" i="2"/>
  <c r="B4093" i="2"/>
  <c r="E4093" i="2"/>
  <c r="A4094" i="2"/>
  <c r="B4094" i="2"/>
  <c r="E4094" i="2"/>
  <c r="A4095" i="2"/>
  <c r="B4095" i="2"/>
  <c r="E4095" i="2"/>
  <c r="A4096" i="2"/>
  <c r="B4096" i="2"/>
  <c r="E4096" i="2"/>
  <c r="A4097" i="2"/>
  <c r="B4097" i="2"/>
  <c r="E4097" i="2"/>
  <c r="A4098" i="2"/>
  <c r="B4098" i="2"/>
  <c r="E4098" i="2"/>
  <c r="A4099" i="2"/>
  <c r="B4099" i="2"/>
  <c r="E4099" i="2"/>
  <c r="A4100" i="2"/>
  <c r="B4100" i="2"/>
  <c r="E4100" i="2"/>
  <c r="A4101" i="2"/>
  <c r="B4101" i="2"/>
  <c r="E4101" i="2"/>
  <c r="A4102" i="2"/>
  <c r="B4102" i="2"/>
  <c r="E4102" i="2"/>
  <c r="A4103" i="2"/>
  <c r="B4103" i="2"/>
  <c r="E4103" i="2"/>
  <c r="A4104" i="2"/>
  <c r="B4104" i="2"/>
  <c r="E4104" i="2"/>
  <c r="A4105" i="2"/>
  <c r="B4105" i="2"/>
  <c r="E4105" i="2"/>
  <c r="A4106" i="2"/>
  <c r="B4106" i="2"/>
  <c r="E4106" i="2"/>
  <c r="A4107" i="2"/>
  <c r="B4107" i="2"/>
  <c r="E4107" i="2"/>
  <c r="A4108" i="2"/>
  <c r="B4108" i="2"/>
  <c r="E4108" i="2"/>
  <c r="A4109" i="2"/>
  <c r="B4109" i="2"/>
  <c r="E4109" i="2"/>
  <c r="A4110" i="2"/>
  <c r="B4110" i="2"/>
  <c r="E4110" i="2"/>
  <c r="A4111" i="2"/>
  <c r="B4111" i="2"/>
  <c r="E4111" i="2"/>
  <c r="A4112" i="2"/>
  <c r="B4112" i="2"/>
  <c r="E4112" i="2"/>
  <c r="A4113" i="2"/>
  <c r="B4113" i="2"/>
  <c r="E4113" i="2"/>
  <c r="A4114" i="2"/>
  <c r="B4114" i="2"/>
  <c r="E4114" i="2"/>
  <c r="A4115" i="2"/>
  <c r="B4115" i="2"/>
  <c r="E4115" i="2"/>
  <c r="A4116" i="2"/>
  <c r="B4116" i="2"/>
  <c r="E4116" i="2"/>
  <c r="A4117" i="2"/>
  <c r="B4117" i="2"/>
  <c r="E4117" i="2"/>
  <c r="A4118" i="2"/>
  <c r="B4118" i="2"/>
  <c r="E4118" i="2"/>
  <c r="A4119" i="2"/>
  <c r="B4119" i="2"/>
  <c r="E4119" i="2"/>
  <c r="A4120" i="2"/>
  <c r="B4120" i="2"/>
  <c r="E4120" i="2"/>
  <c r="A4121" i="2"/>
  <c r="B4121" i="2"/>
  <c r="E4121" i="2"/>
  <c r="A4122" i="2"/>
  <c r="B4122" i="2"/>
  <c r="E4122" i="2"/>
  <c r="A4123" i="2"/>
  <c r="B4123" i="2"/>
  <c r="E4123" i="2"/>
  <c r="A4124" i="2"/>
  <c r="B4124" i="2"/>
  <c r="E4124" i="2"/>
  <c r="A4125" i="2"/>
  <c r="B4125" i="2"/>
  <c r="E4125" i="2"/>
  <c r="A4126" i="2"/>
  <c r="B4126" i="2"/>
  <c r="E4126" i="2"/>
  <c r="A4127" i="2"/>
  <c r="B4127" i="2"/>
  <c r="E4127" i="2"/>
  <c r="A4128" i="2"/>
  <c r="B4128" i="2"/>
  <c r="E4128" i="2"/>
  <c r="A4129" i="2"/>
  <c r="B4129" i="2"/>
  <c r="E4129" i="2"/>
  <c r="A4130" i="2"/>
  <c r="B4130" i="2"/>
  <c r="E4130" i="2"/>
  <c r="A4131" i="2"/>
  <c r="B4131" i="2"/>
  <c r="E4131" i="2"/>
  <c r="A4132" i="2"/>
  <c r="B4132" i="2"/>
  <c r="E4132" i="2"/>
  <c r="A4133" i="2"/>
  <c r="B4133" i="2"/>
  <c r="E4133" i="2"/>
  <c r="A4134" i="2"/>
  <c r="B4134" i="2"/>
  <c r="E4134" i="2"/>
  <c r="A4135" i="2"/>
  <c r="B4135" i="2"/>
  <c r="E4135" i="2"/>
  <c r="A4136" i="2"/>
  <c r="B4136" i="2"/>
  <c r="E4136" i="2"/>
  <c r="A4137" i="2"/>
  <c r="B4137" i="2"/>
  <c r="E4137" i="2"/>
  <c r="A4138" i="2"/>
  <c r="B4138" i="2"/>
  <c r="E4138" i="2"/>
  <c r="A4139" i="2"/>
  <c r="B4139" i="2"/>
  <c r="E4139" i="2"/>
  <c r="A4140" i="2"/>
  <c r="B4140" i="2"/>
  <c r="E4140" i="2"/>
  <c r="A4141" i="2"/>
  <c r="B4141" i="2"/>
  <c r="E4141" i="2"/>
  <c r="A4142" i="2"/>
  <c r="B4142" i="2"/>
  <c r="E4142" i="2"/>
  <c r="A4143" i="2"/>
  <c r="B4143" i="2"/>
  <c r="E4143" i="2"/>
  <c r="A4144" i="2"/>
  <c r="B4144" i="2"/>
  <c r="E4144" i="2"/>
  <c r="A4145" i="2"/>
  <c r="B4145" i="2"/>
  <c r="E4145" i="2"/>
  <c r="A4146" i="2"/>
  <c r="B4146" i="2"/>
  <c r="E4146" i="2"/>
  <c r="A4147" i="2"/>
  <c r="B4147" i="2"/>
  <c r="E4147" i="2"/>
  <c r="A4148" i="2"/>
  <c r="B4148" i="2"/>
  <c r="E4148" i="2"/>
  <c r="A4149" i="2"/>
  <c r="B4149" i="2"/>
  <c r="E4149" i="2"/>
  <c r="A4150" i="2"/>
  <c r="B4150" i="2"/>
  <c r="E4150" i="2"/>
  <c r="A4151" i="2"/>
  <c r="B4151" i="2"/>
  <c r="E4151" i="2"/>
  <c r="A4152" i="2"/>
  <c r="B4152" i="2"/>
  <c r="E4152" i="2"/>
  <c r="A4153" i="2"/>
  <c r="B4153" i="2"/>
  <c r="E4153" i="2"/>
  <c r="A4154" i="2"/>
  <c r="B4154" i="2"/>
  <c r="E4154" i="2"/>
  <c r="A4155" i="2"/>
  <c r="B4155" i="2"/>
  <c r="E4155" i="2"/>
  <c r="A4156" i="2"/>
  <c r="B4156" i="2"/>
  <c r="E4156" i="2"/>
  <c r="A4157" i="2"/>
  <c r="B4157" i="2"/>
  <c r="E4157" i="2"/>
  <c r="A4158" i="2"/>
  <c r="B4158" i="2"/>
  <c r="E4158" i="2"/>
  <c r="A4159" i="2"/>
  <c r="B4159" i="2"/>
  <c r="E4159" i="2"/>
  <c r="A4160" i="2"/>
  <c r="B4160" i="2"/>
  <c r="E4160" i="2"/>
  <c r="A4161" i="2"/>
  <c r="B4161" i="2"/>
  <c r="E4161" i="2"/>
  <c r="A4162" i="2"/>
  <c r="B4162" i="2"/>
  <c r="E4162" i="2"/>
  <c r="A4163" i="2"/>
  <c r="B4163" i="2"/>
  <c r="E4163" i="2"/>
  <c r="A4164" i="2"/>
  <c r="B4164" i="2"/>
  <c r="E4164" i="2"/>
  <c r="A4165" i="2"/>
  <c r="B4165" i="2"/>
  <c r="E4165" i="2"/>
  <c r="A4166" i="2"/>
  <c r="B4166" i="2"/>
  <c r="E4166" i="2"/>
  <c r="A4167" i="2"/>
  <c r="B4167" i="2"/>
  <c r="E4167" i="2"/>
  <c r="A4168" i="2"/>
  <c r="B4168" i="2"/>
  <c r="E4168" i="2"/>
  <c r="A4169" i="2"/>
  <c r="B4169" i="2"/>
  <c r="E4169" i="2"/>
  <c r="A4170" i="2"/>
  <c r="B4170" i="2"/>
  <c r="E4170" i="2"/>
  <c r="A4171" i="2"/>
  <c r="B4171" i="2"/>
  <c r="E4171" i="2"/>
  <c r="A4172" i="2"/>
  <c r="B4172" i="2"/>
  <c r="E4172" i="2"/>
  <c r="A4173" i="2"/>
  <c r="B4173" i="2"/>
  <c r="E4173" i="2"/>
  <c r="A4174" i="2"/>
  <c r="B4174" i="2"/>
  <c r="E4174" i="2"/>
  <c r="A4175" i="2"/>
  <c r="B4175" i="2"/>
  <c r="E4175" i="2"/>
  <c r="A4176" i="2"/>
  <c r="B4176" i="2"/>
  <c r="E4176" i="2"/>
  <c r="A4177" i="2"/>
  <c r="B4177" i="2"/>
  <c r="E4177" i="2"/>
  <c r="A4178" i="2"/>
  <c r="B4178" i="2"/>
  <c r="E4178" i="2"/>
  <c r="A4179" i="2"/>
  <c r="B4179" i="2"/>
  <c r="E4179" i="2"/>
  <c r="A4180" i="2"/>
  <c r="B4180" i="2"/>
  <c r="E4180" i="2"/>
  <c r="A4181" i="2"/>
  <c r="B4181" i="2"/>
  <c r="E4181" i="2"/>
  <c r="A4182" i="2"/>
  <c r="B4182" i="2"/>
  <c r="E4182" i="2"/>
  <c r="A4183" i="2"/>
  <c r="B4183" i="2"/>
  <c r="E4183" i="2"/>
  <c r="A4184" i="2"/>
  <c r="B4184" i="2"/>
  <c r="E4184" i="2"/>
  <c r="A4185" i="2"/>
  <c r="B4185" i="2"/>
  <c r="E4185" i="2"/>
  <c r="A4186" i="2"/>
  <c r="B4186" i="2"/>
  <c r="E4186" i="2"/>
  <c r="A4187" i="2"/>
  <c r="B4187" i="2"/>
  <c r="E4187" i="2"/>
  <c r="A4188" i="2"/>
  <c r="B4188" i="2"/>
  <c r="E4188" i="2"/>
  <c r="A4189" i="2"/>
  <c r="B4189" i="2"/>
  <c r="E4189" i="2"/>
  <c r="A4190" i="2"/>
  <c r="B4190" i="2"/>
  <c r="E4190" i="2"/>
  <c r="A4191" i="2"/>
  <c r="B4191" i="2"/>
  <c r="E4191" i="2"/>
  <c r="A4192" i="2"/>
  <c r="B4192" i="2"/>
  <c r="E4192" i="2"/>
  <c r="A4193" i="2"/>
  <c r="B4193" i="2"/>
  <c r="E4193" i="2"/>
  <c r="A4194" i="2"/>
  <c r="B4194" i="2"/>
  <c r="E4194" i="2"/>
  <c r="A4195" i="2"/>
  <c r="B4195" i="2"/>
  <c r="E4195" i="2"/>
  <c r="A4196" i="2"/>
  <c r="B4196" i="2"/>
  <c r="E4196" i="2"/>
  <c r="A4197" i="2"/>
  <c r="B4197" i="2"/>
  <c r="E4197" i="2"/>
  <c r="A4198" i="2"/>
  <c r="B4198" i="2"/>
  <c r="E4198" i="2"/>
  <c r="A4199" i="2"/>
  <c r="B4199" i="2"/>
  <c r="E4199" i="2"/>
  <c r="A4200" i="2"/>
  <c r="B4200" i="2"/>
  <c r="E4200" i="2"/>
  <c r="A4201" i="2"/>
  <c r="B4201" i="2"/>
  <c r="E4201" i="2"/>
  <c r="A4202" i="2"/>
  <c r="B4202" i="2"/>
  <c r="E4202" i="2"/>
  <c r="A4203" i="2"/>
  <c r="B4203" i="2"/>
  <c r="E4203" i="2"/>
  <c r="A4204" i="2"/>
  <c r="B4204" i="2"/>
  <c r="E4204" i="2"/>
  <c r="A4205" i="2"/>
  <c r="B4205" i="2"/>
  <c r="E4205" i="2"/>
  <c r="A4206" i="2"/>
  <c r="B4206" i="2"/>
  <c r="E4206" i="2"/>
  <c r="A4207" i="2"/>
  <c r="B4207" i="2"/>
  <c r="E4207" i="2"/>
  <c r="A4208" i="2"/>
  <c r="B4208" i="2"/>
  <c r="E4208" i="2"/>
  <c r="A4209" i="2"/>
  <c r="B4209" i="2"/>
  <c r="E4209" i="2"/>
  <c r="A4210" i="2"/>
  <c r="B4210" i="2"/>
  <c r="E4210" i="2"/>
  <c r="A4211" i="2"/>
  <c r="B4211" i="2"/>
  <c r="E4211" i="2"/>
  <c r="A4212" i="2"/>
  <c r="B4212" i="2"/>
  <c r="E4212" i="2"/>
  <c r="A4213" i="2"/>
  <c r="B4213" i="2"/>
  <c r="E4213" i="2"/>
  <c r="A4214" i="2"/>
  <c r="B4214" i="2"/>
  <c r="E4214" i="2"/>
  <c r="A4215" i="2"/>
  <c r="B4215" i="2"/>
  <c r="E4215" i="2"/>
  <c r="A4216" i="2"/>
  <c r="B4216" i="2"/>
  <c r="E4216" i="2"/>
  <c r="A4217" i="2"/>
  <c r="B4217" i="2"/>
  <c r="E4217" i="2"/>
  <c r="A4218" i="2"/>
  <c r="B4218" i="2"/>
  <c r="E4218" i="2"/>
  <c r="A4219" i="2"/>
  <c r="B4219" i="2"/>
  <c r="E4219" i="2"/>
  <c r="A4220" i="2"/>
  <c r="B4220" i="2"/>
  <c r="E4220" i="2"/>
  <c r="A4221" i="2"/>
  <c r="B4221" i="2"/>
  <c r="E4221" i="2"/>
  <c r="A4222" i="2"/>
  <c r="B4222" i="2"/>
  <c r="E4222" i="2"/>
  <c r="A4223" i="2"/>
  <c r="B4223" i="2"/>
  <c r="E4223" i="2"/>
  <c r="A4224" i="2"/>
  <c r="B4224" i="2"/>
  <c r="E4224" i="2"/>
  <c r="A4225" i="2"/>
  <c r="B4225" i="2"/>
  <c r="E4225" i="2"/>
  <c r="A4226" i="2"/>
  <c r="B4226" i="2"/>
  <c r="E4226" i="2"/>
  <c r="A4227" i="2"/>
  <c r="B4227" i="2"/>
  <c r="E4227" i="2"/>
  <c r="A4228" i="2"/>
  <c r="B4228" i="2"/>
  <c r="E4228" i="2"/>
  <c r="A4229" i="2"/>
  <c r="B4229" i="2"/>
  <c r="E4229" i="2"/>
  <c r="A4230" i="2"/>
  <c r="B4230" i="2"/>
  <c r="E4230" i="2"/>
  <c r="A4231" i="2"/>
  <c r="B4231" i="2"/>
  <c r="E4231" i="2"/>
  <c r="A4232" i="2"/>
  <c r="B4232" i="2"/>
  <c r="E4232" i="2"/>
  <c r="A4233" i="2"/>
  <c r="B4233" i="2"/>
  <c r="E4233" i="2"/>
  <c r="A4234" i="2"/>
  <c r="B4234" i="2"/>
  <c r="E4234" i="2"/>
  <c r="A4235" i="2"/>
  <c r="B4235" i="2"/>
  <c r="E4235" i="2"/>
  <c r="A4236" i="2"/>
  <c r="B4236" i="2"/>
  <c r="E4236" i="2"/>
  <c r="A4237" i="2"/>
  <c r="B4237" i="2"/>
  <c r="E4237" i="2"/>
  <c r="A4238" i="2"/>
  <c r="B4238" i="2"/>
  <c r="E4238" i="2"/>
  <c r="A4239" i="2"/>
  <c r="B4239" i="2"/>
  <c r="E4239" i="2"/>
  <c r="A4240" i="2"/>
  <c r="B4240" i="2"/>
  <c r="E4240" i="2"/>
  <c r="A4241" i="2"/>
  <c r="B4241" i="2"/>
  <c r="E4241" i="2"/>
  <c r="A4242" i="2"/>
  <c r="B4242" i="2"/>
  <c r="E4242" i="2"/>
  <c r="A4243" i="2"/>
  <c r="B4243" i="2"/>
  <c r="E4243" i="2"/>
  <c r="A4244" i="2"/>
  <c r="B4244" i="2"/>
  <c r="E4244" i="2"/>
  <c r="A4245" i="2"/>
  <c r="B4245" i="2"/>
  <c r="E4245" i="2"/>
  <c r="A4246" i="2"/>
  <c r="B4246" i="2"/>
  <c r="E4246" i="2"/>
  <c r="A4247" i="2"/>
  <c r="B4247" i="2"/>
  <c r="E4247" i="2"/>
  <c r="A4248" i="2"/>
  <c r="B4248" i="2"/>
  <c r="E4248" i="2"/>
  <c r="A4249" i="2"/>
  <c r="B4249" i="2"/>
  <c r="E4249" i="2"/>
  <c r="A4250" i="2"/>
  <c r="B4250" i="2"/>
  <c r="E4250" i="2"/>
  <c r="A4251" i="2"/>
  <c r="B4251" i="2"/>
  <c r="E4251" i="2"/>
  <c r="A4252" i="2"/>
  <c r="B4252" i="2"/>
  <c r="E4252" i="2"/>
  <c r="A4253" i="2"/>
  <c r="B4253" i="2"/>
  <c r="E4253" i="2"/>
  <c r="A4254" i="2"/>
  <c r="B4254" i="2"/>
  <c r="E4254" i="2"/>
  <c r="A4255" i="2"/>
  <c r="B4255" i="2"/>
  <c r="E4255" i="2"/>
  <c r="A4256" i="2"/>
  <c r="B4256" i="2"/>
  <c r="E4256" i="2"/>
  <c r="A4257" i="2"/>
  <c r="B4257" i="2"/>
  <c r="E4257" i="2"/>
  <c r="A4258" i="2"/>
  <c r="B4258" i="2"/>
  <c r="E4258" i="2"/>
  <c r="A4259" i="2"/>
  <c r="B4259" i="2"/>
  <c r="E4259" i="2"/>
  <c r="A4260" i="2"/>
  <c r="B4260" i="2"/>
  <c r="E4260" i="2"/>
  <c r="A4261" i="2"/>
  <c r="B4261" i="2"/>
  <c r="E4261" i="2"/>
  <c r="A4262" i="2"/>
  <c r="B4262" i="2"/>
  <c r="E4262" i="2"/>
  <c r="A4263" i="2"/>
  <c r="B4263" i="2"/>
  <c r="E4263" i="2"/>
  <c r="A4264" i="2"/>
  <c r="B4264" i="2"/>
  <c r="E4264" i="2"/>
  <c r="A4265" i="2"/>
  <c r="B4265" i="2"/>
  <c r="E4265" i="2"/>
  <c r="A4266" i="2"/>
  <c r="B4266" i="2"/>
  <c r="E4266" i="2"/>
  <c r="A4267" i="2"/>
  <c r="B4267" i="2"/>
  <c r="E4267" i="2"/>
  <c r="A4268" i="2"/>
  <c r="B4268" i="2"/>
  <c r="E4268" i="2"/>
  <c r="A4269" i="2"/>
  <c r="B4269" i="2"/>
  <c r="E4269" i="2"/>
  <c r="A4270" i="2"/>
  <c r="B4270" i="2"/>
  <c r="E4270" i="2"/>
  <c r="A4271" i="2"/>
  <c r="B4271" i="2"/>
  <c r="E4271" i="2"/>
  <c r="A4272" i="2"/>
  <c r="B4272" i="2"/>
  <c r="E4272" i="2"/>
  <c r="A4273" i="2"/>
  <c r="B4273" i="2"/>
  <c r="E4273" i="2"/>
  <c r="A4274" i="2"/>
  <c r="B4274" i="2"/>
  <c r="E4274" i="2"/>
  <c r="A4275" i="2"/>
  <c r="B4275" i="2"/>
  <c r="E4275" i="2"/>
  <c r="A4276" i="2"/>
  <c r="B4276" i="2"/>
  <c r="E4276" i="2"/>
  <c r="A4277" i="2"/>
  <c r="B4277" i="2"/>
  <c r="E4277" i="2"/>
  <c r="A4278" i="2"/>
  <c r="B4278" i="2"/>
  <c r="E4278" i="2"/>
  <c r="A4279" i="2"/>
  <c r="B4279" i="2"/>
  <c r="E4279" i="2"/>
  <c r="A4280" i="2"/>
  <c r="B4280" i="2"/>
  <c r="E4280" i="2"/>
  <c r="A4281" i="2"/>
  <c r="B4281" i="2"/>
  <c r="E4281" i="2"/>
  <c r="A4282" i="2"/>
  <c r="B4282" i="2"/>
  <c r="E4282" i="2"/>
  <c r="A4283" i="2"/>
  <c r="B4283" i="2"/>
  <c r="E4283" i="2"/>
  <c r="A4284" i="2"/>
  <c r="B4284" i="2"/>
  <c r="E4284" i="2"/>
  <c r="A4285" i="2"/>
  <c r="B4285" i="2"/>
  <c r="E4285" i="2"/>
  <c r="A4286" i="2"/>
  <c r="B4286" i="2"/>
  <c r="E4286" i="2"/>
  <c r="A4287" i="2"/>
  <c r="B4287" i="2"/>
  <c r="E4287" i="2"/>
  <c r="A4288" i="2"/>
  <c r="B4288" i="2"/>
  <c r="E4288" i="2"/>
  <c r="A4289" i="2"/>
  <c r="B4289" i="2"/>
  <c r="E4289" i="2"/>
  <c r="A4290" i="2"/>
  <c r="B4290" i="2"/>
  <c r="E4290" i="2"/>
  <c r="A4291" i="2"/>
  <c r="B4291" i="2"/>
  <c r="E4291" i="2"/>
  <c r="A4292" i="2"/>
  <c r="B4292" i="2"/>
  <c r="E4292" i="2"/>
  <c r="A4293" i="2"/>
  <c r="B4293" i="2"/>
  <c r="E4293" i="2"/>
  <c r="A4294" i="2"/>
  <c r="B4294" i="2"/>
  <c r="E4294" i="2"/>
  <c r="A4295" i="2"/>
  <c r="B4295" i="2"/>
  <c r="E4295" i="2"/>
  <c r="A4296" i="2"/>
  <c r="B4296" i="2"/>
  <c r="E4296" i="2"/>
  <c r="A4297" i="2"/>
  <c r="B4297" i="2"/>
  <c r="E4297" i="2"/>
  <c r="A4298" i="2"/>
  <c r="B4298" i="2"/>
  <c r="E4298" i="2"/>
  <c r="A4299" i="2"/>
  <c r="B4299" i="2"/>
  <c r="E4299" i="2"/>
  <c r="A4300" i="2"/>
  <c r="B4300" i="2"/>
  <c r="E4300" i="2"/>
  <c r="A4301" i="2"/>
  <c r="B4301" i="2"/>
  <c r="E4301" i="2"/>
  <c r="A4302" i="2"/>
  <c r="B4302" i="2"/>
  <c r="E4302" i="2"/>
  <c r="A4303" i="2"/>
  <c r="B4303" i="2"/>
  <c r="E4303" i="2"/>
  <c r="A4304" i="2"/>
  <c r="B4304" i="2"/>
  <c r="E4304" i="2"/>
  <c r="A4305" i="2"/>
  <c r="B4305" i="2"/>
  <c r="E4305" i="2"/>
  <c r="A4306" i="2"/>
  <c r="B4306" i="2"/>
  <c r="E4306" i="2"/>
  <c r="A4307" i="2"/>
  <c r="B4307" i="2"/>
  <c r="E4307" i="2"/>
  <c r="A4308" i="2"/>
  <c r="B4308" i="2"/>
  <c r="E4308" i="2"/>
  <c r="A4309" i="2"/>
  <c r="B4309" i="2"/>
  <c r="E4309" i="2"/>
  <c r="A4310" i="2"/>
  <c r="B4310" i="2"/>
  <c r="E4310" i="2"/>
  <c r="A4311" i="2"/>
  <c r="B4311" i="2"/>
  <c r="E4311" i="2"/>
  <c r="A4312" i="2"/>
  <c r="B4312" i="2"/>
  <c r="E4312" i="2"/>
  <c r="A4313" i="2"/>
  <c r="B4313" i="2"/>
  <c r="E4313" i="2"/>
  <c r="A4314" i="2"/>
  <c r="B4314" i="2"/>
  <c r="E4314" i="2"/>
  <c r="A4315" i="2"/>
  <c r="B4315" i="2"/>
  <c r="E4315" i="2"/>
  <c r="A4316" i="2"/>
  <c r="B4316" i="2"/>
  <c r="E4316" i="2"/>
  <c r="A4317" i="2"/>
  <c r="B4317" i="2"/>
  <c r="E4317" i="2"/>
  <c r="A4318" i="2"/>
  <c r="B4318" i="2"/>
  <c r="E4318" i="2"/>
  <c r="A4319" i="2"/>
  <c r="B4319" i="2"/>
  <c r="E4319" i="2"/>
  <c r="A4320" i="2"/>
  <c r="B4320" i="2"/>
  <c r="E4320" i="2"/>
  <c r="A4321" i="2"/>
  <c r="B4321" i="2"/>
  <c r="E4321" i="2"/>
  <c r="A4322" i="2"/>
  <c r="B4322" i="2"/>
  <c r="E4322" i="2"/>
  <c r="A4323" i="2"/>
  <c r="B4323" i="2"/>
  <c r="E4323" i="2"/>
  <c r="A4324" i="2"/>
  <c r="B4324" i="2"/>
  <c r="E4324" i="2"/>
  <c r="A4325" i="2"/>
  <c r="B4325" i="2"/>
  <c r="E4325" i="2"/>
  <c r="A4326" i="2"/>
  <c r="B4326" i="2"/>
  <c r="E4326" i="2"/>
  <c r="A4327" i="2"/>
  <c r="B4327" i="2"/>
  <c r="E4327" i="2"/>
  <c r="A4328" i="2"/>
  <c r="B4328" i="2"/>
  <c r="E4328" i="2"/>
  <c r="A4329" i="2"/>
  <c r="B4329" i="2"/>
  <c r="E4329" i="2"/>
  <c r="A4330" i="2"/>
  <c r="B4330" i="2"/>
  <c r="E4330" i="2"/>
  <c r="A4331" i="2"/>
  <c r="B4331" i="2"/>
  <c r="E4331" i="2"/>
  <c r="A4332" i="2"/>
  <c r="B4332" i="2"/>
  <c r="E4332" i="2"/>
  <c r="A4333" i="2"/>
  <c r="B4333" i="2"/>
  <c r="E4333" i="2"/>
  <c r="A4334" i="2"/>
  <c r="B4334" i="2"/>
  <c r="E4334" i="2"/>
  <c r="A4335" i="2"/>
  <c r="B4335" i="2"/>
  <c r="E4335" i="2"/>
  <c r="A4336" i="2"/>
  <c r="B4336" i="2"/>
  <c r="E4336" i="2"/>
  <c r="A4337" i="2"/>
  <c r="B4337" i="2"/>
  <c r="E4337" i="2"/>
  <c r="A4338" i="2"/>
  <c r="B4338" i="2"/>
  <c r="E4338" i="2"/>
  <c r="A4339" i="2"/>
  <c r="B4339" i="2"/>
  <c r="E4339" i="2"/>
  <c r="A4340" i="2"/>
  <c r="B4340" i="2"/>
  <c r="E4340" i="2"/>
  <c r="A4341" i="2"/>
  <c r="B4341" i="2"/>
  <c r="E4341" i="2"/>
  <c r="A4342" i="2"/>
  <c r="B4342" i="2"/>
  <c r="E4342" i="2"/>
  <c r="A4343" i="2"/>
  <c r="B4343" i="2"/>
  <c r="E4343" i="2"/>
  <c r="A4344" i="2"/>
  <c r="B4344" i="2"/>
  <c r="E4344" i="2"/>
  <c r="A4345" i="2"/>
  <c r="B4345" i="2"/>
  <c r="E4345" i="2"/>
  <c r="A4346" i="2"/>
  <c r="B4346" i="2"/>
  <c r="E4346" i="2"/>
  <c r="A4347" i="2"/>
  <c r="B4347" i="2"/>
  <c r="E4347" i="2"/>
  <c r="A4348" i="2"/>
  <c r="B4348" i="2"/>
  <c r="E4348" i="2"/>
  <c r="A4349" i="2"/>
  <c r="B4349" i="2"/>
  <c r="E4349" i="2"/>
  <c r="A4350" i="2"/>
  <c r="B4350" i="2"/>
  <c r="E4350" i="2"/>
  <c r="A4351" i="2"/>
  <c r="B4351" i="2"/>
  <c r="E4351" i="2"/>
  <c r="A4352" i="2"/>
  <c r="B4352" i="2"/>
  <c r="E4352" i="2"/>
  <c r="A4353" i="2"/>
  <c r="B4353" i="2"/>
  <c r="E4353" i="2"/>
  <c r="A4354" i="2"/>
  <c r="B4354" i="2"/>
  <c r="E4354" i="2"/>
  <c r="A4355" i="2"/>
  <c r="B4355" i="2"/>
  <c r="E4355" i="2"/>
  <c r="A4356" i="2"/>
  <c r="B4356" i="2"/>
  <c r="E4356" i="2"/>
  <c r="A4357" i="2"/>
  <c r="B4357" i="2"/>
  <c r="E4357" i="2"/>
  <c r="A4358" i="2"/>
  <c r="B4358" i="2"/>
  <c r="E4358" i="2"/>
  <c r="A4359" i="2"/>
  <c r="B4359" i="2"/>
  <c r="E4359" i="2"/>
  <c r="A4360" i="2"/>
  <c r="B4360" i="2"/>
  <c r="E4360" i="2"/>
  <c r="A4361" i="2"/>
  <c r="B4361" i="2"/>
  <c r="E4361" i="2"/>
  <c r="A4362" i="2"/>
  <c r="B4362" i="2"/>
  <c r="E4362" i="2"/>
  <c r="A4363" i="2"/>
  <c r="B4363" i="2"/>
  <c r="E4363" i="2"/>
  <c r="A4364" i="2"/>
  <c r="B4364" i="2"/>
  <c r="E4364" i="2"/>
  <c r="A4365" i="2"/>
  <c r="B4365" i="2"/>
  <c r="E4365" i="2"/>
  <c r="A4366" i="2"/>
  <c r="B4366" i="2"/>
  <c r="E4366" i="2"/>
  <c r="A4367" i="2"/>
  <c r="B4367" i="2"/>
  <c r="E4367" i="2"/>
  <c r="A4368" i="2"/>
  <c r="B4368" i="2"/>
  <c r="E4368" i="2"/>
  <c r="A4369" i="2"/>
  <c r="B4369" i="2"/>
  <c r="E4369" i="2"/>
  <c r="A4370" i="2"/>
  <c r="B4370" i="2"/>
  <c r="E4370" i="2"/>
  <c r="A4371" i="2"/>
  <c r="B4371" i="2"/>
  <c r="E4371" i="2"/>
  <c r="A4372" i="2"/>
  <c r="B4372" i="2"/>
  <c r="E4372" i="2"/>
  <c r="A4373" i="2"/>
  <c r="B4373" i="2"/>
  <c r="E4373" i="2"/>
  <c r="A4374" i="2"/>
  <c r="B4374" i="2"/>
  <c r="E4374" i="2"/>
  <c r="A4375" i="2"/>
  <c r="B4375" i="2"/>
  <c r="E4375" i="2"/>
  <c r="A4376" i="2"/>
  <c r="B4376" i="2"/>
  <c r="E4376" i="2"/>
  <c r="A4377" i="2"/>
  <c r="B4377" i="2"/>
  <c r="E4377" i="2"/>
  <c r="A4378" i="2"/>
  <c r="B4378" i="2"/>
  <c r="E4378" i="2"/>
  <c r="A4379" i="2"/>
  <c r="B4379" i="2"/>
  <c r="E4379" i="2"/>
  <c r="A4380" i="2"/>
  <c r="B4380" i="2"/>
  <c r="E4380" i="2"/>
  <c r="A4381" i="2"/>
  <c r="B4381" i="2"/>
  <c r="E4381" i="2"/>
  <c r="A4382" i="2"/>
  <c r="B4382" i="2"/>
  <c r="E4382" i="2"/>
  <c r="A4383" i="2"/>
  <c r="B4383" i="2"/>
  <c r="E4383" i="2"/>
  <c r="A4384" i="2"/>
  <c r="B4384" i="2"/>
  <c r="E4384" i="2"/>
  <c r="A4385" i="2"/>
  <c r="B4385" i="2"/>
  <c r="E4385" i="2"/>
  <c r="A4386" i="2"/>
  <c r="B4386" i="2"/>
  <c r="E4386" i="2"/>
  <c r="A4387" i="2"/>
  <c r="B4387" i="2"/>
  <c r="E4387" i="2"/>
  <c r="A4388" i="2"/>
  <c r="B4388" i="2"/>
  <c r="E4388" i="2"/>
  <c r="A4389" i="2"/>
  <c r="B4389" i="2"/>
  <c r="E4389" i="2"/>
  <c r="A4390" i="2"/>
  <c r="B4390" i="2"/>
  <c r="E4390" i="2"/>
  <c r="A4391" i="2"/>
  <c r="B4391" i="2"/>
  <c r="E4391" i="2"/>
  <c r="A4392" i="2"/>
  <c r="B4392" i="2"/>
  <c r="E4392" i="2"/>
  <c r="A4393" i="2"/>
  <c r="B4393" i="2"/>
  <c r="E4393" i="2"/>
  <c r="A4394" i="2"/>
  <c r="B4394" i="2"/>
  <c r="E4394" i="2"/>
  <c r="A4395" i="2"/>
  <c r="B4395" i="2"/>
  <c r="E4395" i="2"/>
  <c r="A4396" i="2"/>
  <c r="B4396" i="2"/>
  <c r="E4396" i="2"/>
  <c r="A4397" i="2"/>
  <c r="B4397" i="2"/>
  <c r="E4397" i="2"/>
  <c r="A4398" i="2"/>
  <c r="B4398" i="2"/>
  <c r="E4398" i="2"/>
  <c r="A4399" i="2"/>
  <c r="B4399" i="2"/>
  <c r="E4399" i="2"/>
  <c r="A4400" i="2"/>
  <c r="B4400" i="2"/>
  <c r="E4400" i="2"/>
  <c r="A4401" i="2"/>
  <c r="B4401" i="2"/>
  <c r="E4401" i="2"/>
  <c r="A4402" i="2"/>
  <c r="B4402" i="2"/>
  <c r="E4402" i="2"/>
  <c r="A4403" i="2"/>
  <c r="B4403" i="2"/>
  <c r="E4403" i="2"/>
  <c r="A4404" i="2"/>
  <c r="B4404" i="2"/>
  <c r="E4404" i="2"/>
  <c r="A4405" i="2"/>
  <c r="B4405" i="2"/>
  <c r="E4405" i="2"/>
  <c r="A4406" i="2"/>
  <c r="B4406" i="2"/>
  <c r="E4406" i="2"/>
  <c r="A4407" i="2"/>
  <c r="B4407" i="2"/>
  <c r="E4407" i="2"/>
  <c r="A4408" i="2"/>
  <c r="B4408" i="2"/>
  <c r="E4408" i="2"/>
  <c r="A4409" i="2"/>
  <c r="B4409" i="2"/>
  <c r="E4409" i="2"/>
  <c r="A4410" i="2"/>
  <c r="B4410" i="2"/>
  <c r="E4410" i="2"/>
  <c r="A4411" i="2"/>
  <c r="B4411" i="2"/>
  <c r="E4411" i="2"/>
  <c r="A4412" i="2"/>
  <c r="B4412" i="2"/>
  <c r="E4412" i="2"/>
  <c r="A4413" i="2"/>
  <c r="B4413" i="2"/>
  <c r="E4413" i="2"/>
  <c r="A4414" i="2"/>
  <c r="B4414" i="2"/>
  <c r="E4414" i="2"/>
  <c r="A4415" i="2"/>
  <c r="B4415" i="2"/>
  <c r="E4415" i="2"/>
  <c r="A4416" i="2"/>
  <c r="B4416" i="2"/>
  <c r="E4416" i="2"/>
  <c r="A4417" i="2"/>
  <c r="B4417" i="2"/>
  <c r="E4417" i="2"/>
  <c r="A4418" i="2"/>
  <c r="B4418" i="2"/>
  <c r="E4418" i="2"/>
  <c r="A4419" i="2"/>
  <c r="B4419" i="2"/>
  <c r="E4419" i="2"/>
  <c r="A4420" i="2"/>
  <c r="B4420" i="2"/>
  <c r="E4420" i="2"/>
  <c r="A4421" i="2"/>
  <c r="B4421" i="2"/>
  <c r="E4421" i="2"/>
  <c r="A4422" i="2"/>
  <c r="B4422" i="2"/>
  <c r="E4422" i="2"/>
  <c r="A4423" i="2"/>
  <c r="B4423" i="2"/>
  <c r="E4423" i="2"/>
  <c r="A4424" i="2"/>
  <c r="B4424" i="2"/>
  <c r="E4424" i="2"/>
  <c r="A4425" i="2"/>
  <c r="B4425" i="2"/>
  <c r="E4425" i="2"/>
  <c r="A4426" i="2"/>
  <c r="B4426" i="2"/>
  <c r="E4426" i="2"/>
  <c r="A4427" i="2"/>
  <c r="B4427" i="2"/>
  <c r="E4427" i="2"/>
  <c r="A4428" i="2"/>
  <c r="B4428" i="2"/>
  <c r="E4428" i="2"/>
  <c r="A4429" i="2"/>
  <c r="B4429" i="2"/>
  <c r="E4429" i="2"/>
  <c r="A4430" i="2"/>
  <c r="B4430" i="2"/>
  <c r="E4430" i="2"/>
  <c r="A4431" i="2"/>
  <c r="B4431" i="2"/>
  <c r="E4431" i="2"/>
  <c r="A4432" i="2"/>
  <c r="B4432" i="2"/>
  <c r="E4432" i="2"/>
  <c r="A4433" i="2"/>
  <c r="B4433" i="2"/>
  <c r="E4433" i="2"/>
  <c r="A4434" i="2"/>
  <c r="B4434" i="2"/>
  <c r="E4434" i="2"/>
  <c r="A4435" i="2"/>
  <c r="B4435" i="2"/>
  <c r="E4435" i="2"/>
  <c r="A4436" i="2"/>
  <c r="B4436" i="2"/>
  <c r="E4436" i="2"/>
  <c r="A4437" i="2"/>
  <c r="B4437" i="2"/>
  <c r="E4437" i="2"/>
  <c r="A4438" i="2"/>
  <c r="B4438" i="2"/>
  <c r="E4438" i="2"/>
  <c r="A4439" i="2"/>
  <c r="B4439" i="2"/>
  <c r="E4439" i="2"/>
  <c r="A4440" i="2"/>
  <c r="B4440" i="2"/>
  <c r="E4440" i="2"/>
  <c r="A4441" i="2"/>
  <c r="B4441" i="2"/>
  <c r="E4441" i="2"/>
  <c r="A4442" i="2"/>
  <c r="B4442" i="2"/>
  <c r="E4442" i="2"/>
  <c r="A4443" i="2"/>
  <c r="B4443" i="2"/>
  <c r="E4443" i="2"/>
  <c r="A4444" i="2"/>
  <c r="B4444" i="2"/>
  <c r="E4444" i="2"/>
  <c r="A4445" i="2"/>
  <c r="B4445" i="2"/>
  <c r="E4445" i="2"/>
  <c r="A4446" i="2"/>
  <c r="B4446" i="2"/>
  <c r="E4446" i="2"/>
  <c r="A4447" i="2"/>
  <c r="B4447" i="2"/>
  <c r="E4447" i="2"/>
  <c r="A4448" i="2"/>
  <c r="B4448" i="2"/>
  <c r="E4448" i="2"/>
  <c r="A4449" i="2"/>
  <c r="B4449" i="2"/>
  <c r="E4449" i="2"/>
  <c r="A4450" i="2"/>
  <c r="B4450" i="2"/>
  <c r="E4450" i="2"/>
  <c r="A4451" i="2"/>
  <c r="B4451" i="2"/>
  <c r="E4451" i="2"/>
  <c r="A4452" i="2"/>
  <c r="B4452" i="2"/>
  <c r="E4452" i="2"/>
  <c r="A4453" i="2"/>
  <c r="B4453" i="2"/>
  <c r="E4453" i="2"/>
  <c r="A4454" i="2"/>
  <c r="B4454" i="2"/>
  <c r="E4454" i="2"/>
  <c r="A4455" i="2"/>
  <c r="B4455" i="2"/>
  <c r="E4455" i="2"/>
  <c r="A4456" i="2"/>
  <c r="B4456" i="2"/>
  <c r="E4456" i="2"/>
  <c r="A4457" i="2"/>
  <c r="B4457" i="2"/>
  <c r="E4457" i="2"/>
  <c r="A4458" i="2"/>
  <c r="B4458" i="2"/>
  <c r="E4458" i="2"/>
  <c r="A4459" i="2"/>
  <c r="B4459" i="2"/>
  <c r="E4459" i="2"/>
  <c r="A4460" i="2"/>
  <c r="B4460" i="2"/>
  <c r="E4460" i="2"/>
  <c r="A4461" i="2"/>
  <c r="B4461" i="2"/>
  <c r="E4461" i="2"/>
  <c r="A4462" i="2"/>
  <c r="B4462" i="2"/>
  <c r="E4462" i="2"/>
  <c r="A4463" i="2"/>
  <c r="B4463" i="2"/>
  <c r="E4463" i="2"/>
  <c r="A4464" i="2"/>
  <c r="B4464" i="2"/>
  <c r="E4464" i="2"/>
  <c r="A4465" i="2"/>
  <c r="B4465" i="2"/>
  <c r="E4465" i="2"/>
  <c r="A4466" i="2"/>
  <c r="B4466" i="2"/>
  <c r="E4466" i="2"/>
  <c r="A4467" i="2"/>
  <c r="B4467" i="2"/>
  <c r="E4467" i="2"/>
  <c r="A4468" i="2"/>
  <c r="B4468" i="2"/>
  <c r="E4468" i="2"/>
  <c r="A4469" i="2"/>
  <c r="B4469" i="2"/>
  <c r="E4469" i="2"/>
  <c r="A4470" i="2"/>
  <c r="B4470" i="2"/>
  <c r="E4470" i="2"/>
  <c r="A4471" i="2"/>
  <c r="B4471" i="2"/>
  <c r="E4471" i="2"/>
  <c r="A4472" i="2"/>
  <c r="B4472" i="2"/>
  <c r="E4472" i="2"/>
  <c r="A4473" i="2"/>
  <c r="B4473" i="2"/>
  <c r="E4473" i="2"/>
  <c r="A4474" i="2"/>
  <c r="B4474" i="2"/>
  <c r="E4474" i="2"/>
  <c r="A4475" i="2"/>
  <c r="B4475" i="2"/>
  <c r="E4475" i="2"/>
  <c r="A4476" i="2"/>
  <c r="B4476" i="2"/>
  <c r="E4476" i="2"/>
  <c r="A4477" i="2"/>
  <c r="B4477" i="2"/>
  <c r="E4477" i="2"/>
  <c r="A4478" i="2"/>
  <c r="B4478" i="2"/>
  <c r="E4478" i="2"/>
  <c r="A4479" i="2"/>
  <c r="B4479" i="2"/>
  <c r="E4479" i="2"/>
  <c r="A4480" i="2"/>
  <c r="B4480" i="2"/>
  <c r="E4480" i="2"/>
  <c r="A4481" i="2"/>
  <c r="B4481" i="2"/>
  <c r="E4481" i="2"/>
  <c r="A4482" i="2"/>
  <c r="B4482" i="2"/>
  <c r="E4482" i="2"/>
  <c r="A4483" i="2"/>
  <c r="B4483" i="2"/>
  <c r="E4483" i="2"/>
  <c r="A4484" i="2"/>
  <c r="B4484" i="2"/>
  <c r="E4484" i="2"/>
  <c r="A4485" i="2"/>
  <c r="B4485" i="2"/>
  <c r="E4485" i="2"/>
  <c r="A4486" i="2"/>
  <c r="B4486" i="2"/>
  <c r="E4486" i="2"/>
  <c r="A4487" i="2"/>
  <c r="B4487" i="2"/>
  <c r="E4487" i="2"/>
  <c r="A4488" i="2"/>
  <c r="B4488" i="2"/>
  <c r="E4488" i="2"/>
  <c r="A4489" i="2"/>
  <c r="B4489" i="2"/>
  <c r="E4489" i="2"/>
  <c r="A4490" i="2"/>
  <c r="B4490" i="2"/>
  <c r="E4490" i="2"/>
  <c r="A4491" i="2"/>
  <c r="B4491" i="2"/>
  <c r="E4491" i="2"/>
  <c r="A4492" i="2"/>
  <c r="B4492" i="2"/>
  <c r="E4492" i="2"/>
  <c r="A4493" i="2"/>
  <c r="B4493" i="2"/>
  <c r="E4493" i="2"/>
  <c r="A4494" i="2"/>
  <c r="B4494" i="2"/>
  <c r="E4494" i="2"/>
  <c r="A4495" i="2"/>
  <c r="B4495" i="2"/>
  <c r="E4495" i="2"/>
  <c r="A4496" i="2"/>
  <c r="B4496" i="2"/>
  <c r="E4496" i="2"/>
  <c r="A4497" i="2"/>
  <c r="B4497" i="2"/>
  <c r="E4497" i="2"/>
  <c r="A4498" i="2"/>
  <c r="B4498" i="2"/>
  <c r="E4498" i="2"/>
  <c r="A4499" i="2"/>
  <c r="B4499" i="2"/>
  <c r="E4499" i="2"/>
  <c r="A4500" i="2"/>
  <c r="B4500" i="2"/>
  <c r="E4500" i="2"/>
  <c r="A4501" i="2"/>
  <c r="B4501" i="2"/>
  <c r="E4501" i="2"/>
  <c r="A4502" i="2"/>
  <c r="B4502" i="2"/>
  <c r="E4502" i="2"/>
  <c r="A4503" i="2"/>
  <c r="B4503" i="2"/>
  <c r="E4503" i="2"/>
  <c r="A4504" i="2"/>
  <c r="B4504" i="2"/>
  <c r="E4504" i="2"/>
  <c r="A4505" i="2"/>
  <c r="B4505" i="2"/>
  <c r="E4505" i="2"/>
  <c r="A4506" i="2"/>
  <c r="B4506" i="2"/>
  <c r="E4506" i="2"/>
  <c r="A4507" i="2"/>
  <c r="B4507" i="2"/>
  <c r="E4507" i="2"/>
  <c r="A4508" i="2"/>
  <c r="B4508" i="2"/>
  <c r="E4508" i="2"/>
  <c r="A4509" i="2"/>
  <c r="B4509" i="2"/>
  <c r="E4509" i="2"/>
  <c r="A4510" i="2"/>
  <c r="B4510" i="2"/>
  <c r="E4510" i="2"/>
  <c r="A4511" i="2"/>
  <c r="B4511" i="2"/>
  <c r="E4511" i="2"/>
  <c r="A4512" i="2"/>
  <c r="B4512" i="2"/>
  <c r="E4512" i="2"/>
  <c r="A4513" i="2"/>
  <c r="B4513" i="2"/>
  <c r="E4513" i="2"/>
  <c r="A4514" i="2"/>
  <c r="B4514" i="2"/>
  <c r="E4514" i="2"/>
  <c r="A4515" i="2"/>
  <c r="B4515" i="2"/>
  <c r="E4515" i="2"/>
  <c r="A4516" i="2"/>
  <c r="B4516" i="2"/>
  <c r="E4516" i="2"/>
  <c r="A4517" i="2"/>
  <c r="B4517" i="2"/>
  <c r="E4517" i="2"/>
  <c r="A4518" i="2"/>
  <c r="B4518" i="2"/>
  <c r="E4518" i="2"/>
  <c r="A4519" i="2"/>
  <c r="B4519" i="2"/>
  <c r="E4519" i="2"/>
  <c r="A4520" i="2"/>
  <c r="B4520" i="2"/>
  <c r="E4520" i="2"/>
  <c r="A4521" i="2"/>
  <c r="B4521" i="2"/>
  <c r="E4521" i="2"/>
  <c r="A4522" i="2"/>
  <c r="B4522" i="2"/>
  <c r="E4522" i="2"/>
  <c r="A4523" i="2"/>
  <c r="B4523" i="2"/>
  <c r="E4523" i="2"/>
  <c r="A4524" i="2"/>
  <c r="B4524" i="2"/>
  <c r="E4524" i="2"/>
  <c r="A4525" i="2"/>
  <c r="B4525" i="2"/>
  <c r="E4525" i="2"/>
  <c r="A4526" i="2"/>
  <c r="B4526" i="2"/>
  <c r="E4526" i="2"/>
  <c r="A4527" i="2"/>
  <c r="B4527" i="2"/>
  <c r="E4527" i="2"/>
  <c r="A4528" i="2"/>
  <c r="B4528" i="2"/>
  <c r="E4528" i="2"/>
  <c r="A4529" i="2"/>
  <c r="B4529" i="2"/>
  <c r="E4529" i="2"/>
  <c r="A4530" i="2"/>
  <c r="B4530" i="2"/>
  <c r="E4530" i="2"/>
  <c r="A4531" i="2"/>
  <c r="B4531" i="2"/>
  <c r="E4531" i="2"/>
  <c r="A4532" i="2"/>
  <c r="B4532" i="2"/>
  <c r="E4532" i="2"/>
  <c r="A4533" i="2"/>
  <c r="B4533" i="2"/>
  <c r="E4533" i="2"/>
  <c r="A4534" i="2"/>
  <c r="B4534" i="2"/>
  <c r="E4534" i="2"/>
  <c r="A4535" i="2"/>
  <c r="B4535" i="2"/>
  <c r="E4535" i="2"/>
  <c r="A4536" i="2"/>
  <c r="B4536" i="2"/>
  <c r="E4536" i="2"/>
  <c r="A4537" i="2"/>
  <c r="B4537" i="2"/>
  <c r="E4537" i="2"/>
  <c r="A4538" i="2"/>
  <c r="B4538" i="2"/>
  <c r="E4538" i="2"/>
  <c r="A4539" i="2"/>
  <c r="B4539" i="2"/>
  <c r="E4539" i="2"/>
  <c r="A4540" i="2"/>
  <c r="B4540" i="2"/>
  <c r="E4540" i="2"/>
  <c r="A4541" i="2"/>
  <c r="B4541" i="2"/>
  <c r="E4541" i="2"/>
  <c r="A4542" i="2"/>
  <c r="B4542" i="2"/>
  <c r="E4542" i="2"/>
  <c r="A4543" i="2"/>
  <c r="B4543" i="2"/>
  <c r="E4543" i="2"/>
  <c r="A4544" i="2"/>
  <c r="B4544" i="2"/>
  <c r="E4544" i="2"/>
  <c r="A4545" i="2"/>
  <c r="B4545" i="2"/>
  <c r="E4545" i="2"/>
  <c r="A4546" i="2"/>
  <c r="B4546" i="2"/>
  <c r="E4546" i="2"/>
  <c r="A4547" i="2"/>
  <c r="B4547" i="2"/>
  <c r="E4547" i="2"/>
  <c r="A4548" i="2"/>
  <c r="B4548" i="2"/>
  <c r="E4548" i="2"/>
  <c r="A4549" i="2"/>
  <c r="B4549" i="2"/>
  <c r="E4549" i="2"/>
  <c r="A4550" i="2"/>
  <c r="B4550" i="2"/>
  <c r="E4550" i="2"/>
  <c r="A4551" i="2"/>
  <c r="B4551" i="2"/>
  <c r="E4551" i="2"/>
  <c r="A4552" i="2"/>
  <c r="B4552" i="2"/>
  <c r="E4552" i="2"/>
  <c r="A4553" i="2"/>
  <c r="B4553" i="2"/>
  <c r="E4553" i="2"/>
  <c r="A4554" i="2"/>
  <c r="B4554" i="2"/>
  <c r="E4554" i="2"/>
  <c r="A4555" i="2"/>
  <c r="B4555" i="2"/>
  <c r="E4555" i="2"/>
  <c r="A4556" i="2"/>
  <c r="B4556" i="2"/>
  <c r="E4556" i="2"/>
  <c r="A4557" i="2"/>
  <c r="B4557" i="2"/>
  <c r="E4557" i="2"/>
  <c r="A4558" i="2"/>
  <c r="B4558" i="2"/>
  <c r="E4558" i="2"/>
  <c r="A4559" i="2"/>
  <c r="B4559" i="2"/>
  <c r="E4559" i="2"/>
  <c r="A4560" i="2"/>
  <c r="B4560" i="2"/>
  <c r="E4560" i="2"/>
  <c r="A4561" i="2"/>
  <c r="B4561" i="2"/>
  <c r="E4561" i="2"/>
  <c r="A4562" i="2"/>
  <c r="B4562" i="2"/>
  <c r="E4562" i="2"/>
  <c r="A4563" i="2"/>
  <c r="B4563" i="2"/>
  <c r="E4563" i="2"/>
  <c r="A4564" i="2"/>
  <c r="B4564" i="2"/>
  <c r="E4564" i="2"/>
  <c r="A4565" i="2"/>
  <c r="B4565" i="2"/>
  <c r="E4565" i="2"/>
  <c r="A4566" i="2"/>
  <c r="B4566" i="2"/>
  <c r="E4566" i="2"/>
  <c r="A4567" i="2"/>
  <c r="B4567" i="2"/>
  <c r="E4567" i="2"/>
  <c r="A4568" i="2"/>
  <c r="B4568" i="2"/>
  <c r="E4568" i="2"/>
  <c r="A4569" i="2"/>
  <c r="B4569" i="2"/>
  <c r="E4569" i="2"/>
  <c r="A4570" i="2"/>
  <c r="B4570" i="2"/>
  <c r="E4570" i="2"/>
  <c r="A4571" i="2"/>
  <c r="B4571" i="2"/>
  <c r="E4571" i="2"/>
  <c r="A4572" i="2"/>
  <c r="B4572" i="2"/>
  <c r="E4572" i="2"/>
  <c r="A4573" i="2"/>
  <c r="B4573" i="2"/>
  <c r="E4573" i="2"/>
  <c r="A4574" i="2"/>
  <c r="B4574" i="2"/>
  <c r="E4574" i="2"/>
  <c r="A4575" i="2"/>
  <c r="B4575" i="2"/>
  <c r="E4575" i="2"/>
  <c r="A4576" i="2"/>
  <c r="B4576" i="2"/>
  <c r="E4576" i="2"/>
  <c r="A4577" i="2"/>
  <c r="B4577" i="2"/>
  <c r="E4577" i="2"/>
  <c r="A4578" i="2"/>
  <c r="B4578" i="2"/>
  <c r="E4578" i="2"/>
  <c r="A4579" i="2"/>
  <c r="B4579" i="2"/>
  <c r="E4579" i="2"/>
  <c r="A4580" i="2"/>
  <c r="B4580" i="2"/>
  <c r="E4580" i="2"/>
  <c r="A4581" i="2"/>
  <c r="B4581" i="2"/>
  <c r="E4581" i="2"/>
  <c r="A4582" i="2"/>
  <c r="B4582" i="2"/>
  <c r="E4582" i="2"/>
  <c r="A4583" i="2"/>
  <c r="B4583" i="2"/>
  <c r="E4583" i="2"/>
  <c r="A4584" i="2"/>
  <c r="B4584" i="2"/>
  <c r="E4584" i="2"/>
  <c r="A4585" i="2"/>
  <c r="B4585" i="2"/>
  <c r="E4585" i="2"/>
  <c r="A4586" i="2"/>
  <c r="B4586" i="2"/>
  <c r="E4586" i="2"/>
  <c r="A4587" i="2"/>
  <c r="B4587" i="2"/>
  <c r="E4587" i="2"/>
  <c r="A4588" i="2"/>
  <c r="B4588" i="2"/>
  <c r="E4588" i="2"/>
  <c r="A4589" i="2"/>
  <c r="B4589" i="2"/>
  <c r="E4589" i="2"/>
  <c r="A4590" i="2"/>
  <c r="B4590" i="2"/>
  <c r="E4590" i="2"/>
  <c r="A4591" i="2"/>
  <c r="B4591" i="2"/>
  <c r="E4591" i="2"/>
  <c r="A4592" i="2"/>
  <c r="B4592" i="2"/>
  <c r="E4592" i="2"/>
  <c r="A4593" i="2"/>
  <c r="B4593" i="2"/>
  <c r="E4593" i="2"/>
  <c r="A4594" i="2"/>
  <c r="B4594" i="2"/>
  <c r="E4594" i="2"/>
  <c r="A4595" i="2"/>
  <c r="B4595" i="2"/>
  <c r="E4595" i="2"/>
  <c r="A4596" i="2"/>
  <c r="B4596" i="2"/>
  <c r="E4596" i="2"/>
  <c r="A4597" i="2"/>
  <c r="B4597" i="2"/>
  <c r="E4597" i="2"/>
  <c r="A4598" i="2"/>
  <c r="B4598" i="2"/>
  <c r="E4598" i="2"/>
  <c r="A4599" i="2"/>
  <c r="B4599" i="2"/>
  <c r="E4599" i="2"/>
  <c r="A4600" i="2"/>
  <c r="B4600" i="2"/>
  <c r="E4600" i="2"/>
  <c r="A4601" i="2"/>
  <c r="B4601" i="2"/>
  <c r="E4601" i="2"/>
  <c r="A4602" i="2"/>
  <c r="B4602" i="2"/>
  <c r="E4602" i="2"/>
  <c r="A4603" i="2"/>
  <c r="B4603" i="2"/>
  <c r="E4603" i="2"/>
  <c r="A4604" i="2"/>
  <c r="B4604" i="2"/>
  <c r="E4604" i="2"/>
  <c r="A4605" i="2"/>
  <c r="B4605" i="2"/>
  <c r="E4605" i="2"/>
  <c r="A4606" i="2"/>
  <c r="B4606" i="2"/>
  <c r="E4606" i="2"/>
  <c r="A4607" i="2"/>
  <c r="B4607" i="2"/>
  <c r="E4607" i="2"/>
  <c r="A4608" i="2"/>
  <c r="B4608" i="2"/>
  <c r="E4608" i="2"/>
  <c r="A4609" i="2"/>
  <c r="B4609" i="2"/>
  <c r="E4609" i="2"/>
  <c r="A4610" i="2"/>
  <c r="B4610" i="2"/>
  <c r="E4610" i="2"/>
  <c r="A4611" i="2"/>
  <c r="B4611" i="2"/>
  <c r="E4611" i="2"/>
  <c r="A4612" i="2"/>
  <c r="B4612" i="2"/>
  <c r="E4612" i="2"/>
  <c r="A4613" i="2"/>
  <c r="B4613" i="2"/>
  <c r="E4613" i="2"/>
  <c r="A4614" i="2"/>
  <c r="B4614" i="2"/>
  <c r="E4614" i="2"/>
  <c r="A4615" i="2"/>
  <c r="B4615" i="2"/>
  <c r="E4615" i="2"/>
  <c r="A4616" i="2"/>
  <c r="B4616" i="2"/>
  <c r="E4616" i="2"/>
  <c r="A4617" i="2"/>
  <c r="B4617" i="2"/>
  <c r="E4617" i="2"/>
  <c r="A4618" i="2"/>
  <c r="B4618" i="2"/>
  <c r="E4618" i="2"/>
  <c r="A4619" i="2"/>
  <c r="B4619" i="2"/>
  <c r="E4619" i="2"/>
  <c r="A4620" i="2"/>
  <c r="B4620" i="2"/>
  <c r="E4620" i="2"/>
  <c r="A4621" i="2"/>
  <c r="B4621" i="2"/>
  <c r="E4621" i="2"/>
  <c r="A4622" i="2"/>
  <c r="B4622" i="2"/>
  <c r="E4622" i="2"/>
  <c r="A4623" i="2"/>
  <c r="B4623" i="2"/>
  <c r="E4623" i="2"/>
  <c r="A4624" i="2"/>
  <c r="B4624" i="2"/>
  <c r="E4624" i="2"/>
  <c r="A4625" i="2"/>
  <c r="B4625" i="2"/>
  <c r="E4625" i="2"/>
  <c r="A4626" i="2"/>
  <c r="B4626" i="2"/>
  <c r="E4626" i="2"/>
  <c r="A4627" i="2"/>
  <c r="B4627" i="2"/>
  <c r="E4627" i="2"/>
  <c r="A4628" i="2"/>
  <c r="B4628" i="2"/>
  <c r="E4628" i="2"/>
  <c r="A4629" i="2"/>
  <c r="B4629" i="2"/>
  <c r="E4629" i="2"/>
  <c r="A4630" i="2"/>
  <c r="B4630" i="2"/>
  <c r="E4630" i="2"/>
  <c r="A4631" i="2"/>
  <c r="B4631" i="2"/>
  <c r="E4631" i="2"/>
  <c r="A4632" i="2"/>
  <c r="B4632" i="2"/>
  <c r="E4632" i="2"/>
  <c r="A4633" i="2"/>
  <c r="B4633" i="2"/>
  <c r="E4633" i="2"/>
  <c r="A4634" i="2"/>
  <c r="B4634" i="2"/>
  <c r="E4634" i="2"/>
  <c r="A4635" i="2"/>
  <c r="B4635" i="2"/>
  <c r="E4635" i="2"/>
  <c r="A4636" i="2"/>
  <c r="B4636" i="2"/>
  <c r="E4636" i="2"/>
  <c r="A4637" i="2"/>
  <c r="B4637" i="2"/>
  <c r="E4637" i="2"/>
  <c r="A4638" i="2"/>
  <c r="B4638" i="2"/>
  <c r="E4638" i="2"/>
  <c r="A4639" i="2"/>
  <c r="B4639" i="2"/>
  <c r="E4639" i="2"/>
  <c r="A4640" i="2"/>
  <c r="B4640" i="2"/>
  <c r="E4640" i="2"/>
  <c r="A4641" i="2"/>
  <c r="B4641" i="2"/>
  <c r="E4641" i="2"/>
  <c r="A4642" i="2"/>
  <c r="B4642" i="2"/>
  <c r="E4642" i="2"/>
  <c r="A4643" i="2"/>
  <c r="B4643" i="2"/>
  <c r="E4643" i="2"/>
  <c r="A4644" i="2"/>
  <c r="B4644" i="2"/>
  <c r="E4644" i="2"/>
  <c r="A4645" i="2"/>
  <c r="B4645" i="2"/>
  <c r="E4645" i="2"/>
  <c r="A4646" i="2"/>
  <c r="B4646" i="2"/>
  <c r="E4646" i="2"/>
  <c r="A4647" i="2"/>
  <c r="B4647" i="2"/>
  <c r="E4647" i="2"/>
  <c r="A4648" i="2"/>
  <c r="B4648" i="2"/>
  <c r="E4648" i="2"/>
  <c r="A4649" i="2"/>
  <c r="B4649" i="2"/>
  <c r="E4649" i="2"/>
  <c r="A4650" i="2"/>
  <c r="B4650" i="2"/>
  <c r="E4650" i="2"/>
  <c r="A4651" i="2"/>
  <c r="B4651" i="2"/>
  <c r="E4651" i="2"/>
  <c r="A4652" i="2"/>
  <c r="B4652" i="2"/>
  <c r="E4652" i="2"/>
  <c r="A4653" i="2"/>
  <c r="B4653" i="2"/>
  <c r="E4653" i="2"/>
  <c r="A4654" i="2"/>
  <c r="B4654" i="2"/>
  <c r="E4654" i="2"/>
  <c r="A4655" i="2"/>
  <c r="B4655" i="2"/>
  <c r="E4655" i="2"/>
  <c r="A4656" i="2"/>
  <c r="B4656" i="2"/>
  <c r="E4656" i="2"/>
  <c r="A4657" i="2"/>
  <c r="B4657" i="2"/>
  <c r="E4657" i="2"/>
  <c r="A4658" i="2"/>
  <c r="B4658" i="2"/>
  <c r="E4658" i="2"/>
  <c r="A4659" i="2"/>
  <c r="B4659" i="2"/>
  <c r="E4659" i="2"/>
  <c r="A4660" i="2"/>
  <c r="B4660" i="2"/>
  <c r="E4660" i="2"/>
  <c r="A4661" i="2"/>
  <c r="B4661" i="2"/>
  <c r="E4661" i="2"/>
  <c r="A4662" i="2"/>
  <c r="B4662" i="2"/>
  <c r="E4662" i="2"/>
  <c r="A4663" i="2"/>
  <c r="B4663" i="2"/>
  <c r="E4663" i="2"/>
  <c r="A4664" i="2"/>
  <c r="B4664" i="2"/>
  <c r="E4664" i="2"/>
  <c r="A4665" i="2"/>
  <c r="B4665" i="2"/>
  <c r="E4665" i="2"/>
  <c r="A4666" i="2"/>
  <c r="B4666" i="2"/>
  <c r="E4666" i="2"/>
  <c r="A4667" i="2"/>
  <c r="B4667" i="2"/>
  <c r="E4667" i="2"/>
  <c r="A4668" i="2"/>
  <c r="B4668" i="2"/>
  <c r="E4668" i="2"/>
  <c r="A4669" i="2"/>
  <c r="B4669" i="2"/>
  <c r="E4669" i="2"/>
  <c r="A4670" i="2"/>
  <c r="B4670" i="2"/>
  <c r="E4670" i="2"/>
  <c r="A4671" i="2"/>
  <c r="B4671" i="2"/>
  <c r="E4671" i="2"/>
  <c r="A4672" i="2"/>
  <c r="B4672" i="2"/>
  <c r="E4672" i="2"/>
  <c r="A4673" i="2"/>
  <c r="B4673" i="2"/>
  <c r="E4673" i="2"/>
  <c r="A4674" i="2"/>
  <c r="B4674" i="2"/>
  <c r="E4674" i="2"/>
  <c r="A4675" i="2"/>
  <c r="B4675" i="2"/>
  <c r="E4675" i="2"/>
  <c r="A4676" i="2"/>
  <c r="B4676" i="2"/>
  <c r="E4676" i="2"/>
  <c r="A4677" i="2"/>
  <c r="B4677" i="2"/>
  <c r="E4677" i="2"/>
  <c r="A4678" i="2"/>
  <c r="B4678" i="2"/>
  <c r="E4678" i="2"/>
  <c r="A4679" i="2"/>
  <c r="B4679" i="2"/>
  <c r="E4679" i="2"/>
  <c r="A4680" i="2"/>
  <c r="B4680" i="2"/>
  <c r="E4680" i="2"/>
  <c r="A4681" i="2"/>
  <c r="B4681" i="2"/>
  <c r="E4681" i="2"/>
  <c r="A4682" i="2"/>
  <c r="B4682" i="2"/>
  <c r="E4682" i="2"/>
  <c r="A4683" i="2"/>
  <c r="B4683" i="2"/>
  <c r="E4683" i="2"/>
  <c r="A4684" i="2"/>
  <c r="B4684" i="2"/>
  <c r="E4684" i="2"/>
  <c r="A4685" i="2"/>
  <c r="B4685" i="2"/>
  <c r="E4685" i="2"/>
  <c r="A4686" i="2"/>
  <c r="B4686" i="2"/>
  <c r="E4686" i="2"/>
  <c r="A4687" i="2"/>
  <c r="B4687" i="2"/>
  <c r="E4687" i="2"/>
  <c r="A4688" i="2"/>
  <c r="B4688" i="2"/>
  <c r="E4688" i="2"/>
  <c r="A4689" i="2"/>
  <c r="B4689" i="2"/>
  <c r="E4689" i="2"/>
  <c r="A4690" i="2"/>
  <c r="B4690" i="2"/>
  <c r="E4690" i="2"/>
  <c r="A4691" i="2"/>
  <c r="B4691" i="2"/>
  <c r="E4691" i="2"/>
  <c r="A4692" i="2"/>
  <c r="B4692" i="2"/>
  <c r="E4692" i="2"/>
  <c r="A4693" i="2"/>
  <c r="B4693" i="2"/>
  <c r="E4693" i="2"/>
  <c r="A4694" i="2"/>
  <c r="B4694" i="2"/>
  <c r="E4694" i="2"/>
  <c r="A4695" i="2"/>
  <c r="B4695" i="2"/>
  <c r="E4695" i="2"/>
  <c r="A4696" i="2"/>
  <c r="B4696" i="2"/>
  <c r="E4696" i="2"/>
  <c r="A4697" i="2"/>
  <c r="B4697" i="2"/>
  <c r="E4697" i="2"/>
  <c r="A4698" i="2"/>
  <c r="B4698" i="2"/>
  <c r="E4698" i="2"/>
  <c r="A4699" i="2"/>
  <c r="B4699" i="2"/>
  <c r="E4699" i="2"/>
  <c r="A4700" i="2"/>
  <c r="B4700" i="2"/>
  <c r="E4700" i="2"/>
  <c r="A4701" i="2"/>
  <c r="B4701" i="2"/>
  <c r="E4701" i="2"/>
  <c r="A4702" i="2"/>
  <c r="B4702" i="2"/>
  <c r="E4702" i="2"/>
  <c r="A4703" i="2"/>
  <c r="B4703" i="2"/>
  <c r="E4703" i="2"/>
  <c r="A4704" i="2"/>
  <c r="B4704" i="2"/>
  <c r="E4704" i="2"/>
  <c r="A4705" i="2"/>
  <c r="B4705" i="2"/>
  <c r="E4705" i="2"/>
  <c r="A4706" i="2"/>
  <c r="B4706" i="2"/>
  <c r="E4706" i="2"/>
  <c r="A4707" i="2"/>
  <c r="B4707" i="2"/>
  <c r="E4707" i="2"/>
  <c r="A4708" i="2"/>
  <c r="B4708" i="2"/>
  <c r="E4708" i="2"/>
  <c r="A4709" i="2"/>
  <c r="B4709" i="2"/>
  <c r="E4709" i="2"/>
  <c r="A4710" i="2"/>
  <c r="B4710" i="2"/>
  <c r="E4710" i="2"/>
  <c r="A4711" i="2"/>
  <c r="B4711" i="2"/>
  <c r="E4711" i="2"/>
  <c r="A4712" i="2"/>
  <c r="B4712" i="2"/>
  <c r="E4712" i="2"/>
  <c r="A4713" i="2"/>
  <c r="B4713" i="2"/>
  <c r="E4713" i="2"/>
  <c r="A4714" i="2"/>
  <c r="B4714" i="2"/>
  <c r="E4714" i="2"/>
  <c r="A4715" i="2"/>
  <c r="B4715" i="2"/>
  <c r="E4715" i="2"/>
  <c r="A4716" i="2"/>
  <c r="B4716" i="2"/>
  <c r="E4716" i="2"/>
  <c r="A4717" i="2"/>
  <c r="B4717" i="2"/>
  <c r="E4717" i="2"/>
  <c r="A4718" i="2"/>
  <c r="B4718" i="2"/>
  <c r="E4718" i="2"/>
  <c r="A4719" i="2"/>
  <c r="B4719" i="2"/>
  <c r="E4719" i="2"/>
  <c r="A4720" i="2"/>
  <c r="B4720" i="2"/>
  <c r="E4720" i="2"/>
  <c r="A4721" i="2"/>
  <c r="B4721" i="2"/>
  <c r="E4721" i="2"/>
  <c r="A4722" i="2"/>
  <c r="B4722" i="2"/>
  <c r="E4722" i="2"/>
  <c r="A4723" i="2"/>
  <c r="B4723" i="2"/>
  <c r="E4723" i="2"/>
  <c r="A4724" i="2"/>
  <c r="B4724" i="2"/>
  <c r="E4724" i="2"/>
  <c r="A4725" i="2"/>
  <c r="B4725" i="2"/>
  <c r="E4725" i="2"/>
  <c r="A4726" i="2"/>
  <c r="B4726" i="2"/>
  <c r="E4726" i="2"/>
  <c r="A4727" i="2"/>
  <c r="B4727" i="2"/>
  <c r="E4727" i="2"/>
  <c r="A4728" i="2"/>
  <c r="B4728" i="2"/>
  <c r="E4728" i="2"/>
  <c r="A4729" i="2"/>
  <c r="B4729" i="2"/>
  <c r="E4729" i="2"/>
  <c r="A4730" i="2"/>
  <c r="B4730" i="2"/>
  <c r="E4730" i="2"/>
  <c r="A4731" i="2"/>
  <c r="B4731" i="2"/>
  <c r="E4731" i="2"/>
  <c r="A4732" i="2"/>
  <c r="B4732" i="2"/>
  <c r="E4732" i="2"/>
  <c r="A4733" i="2"/>
  <c r="B4733" i="2"/>
  <c r="E4733" i="2"/>
  <c r="A4734" i="2"/>
  <c r="B4734" i="2"/>
  <c r="E4734" i="2"/>
  <c r="A4735" i="2"/>
  <c r="B4735" i="2"/>
  <c r="E4735" i="2"/>
  <c r="A4736" i="2"/>
  <c r="B4736" i="2"/>
  <c r="E4736" i="2"/>
  <c r="A4737" i="2"/>
  <c r="B4737" i="2"/>
  <c r="E4737" i="2"/>
  <c r="A4738" i="2"/>
  <c r="B4738" i="2"/>
  <c r="E4738" i="2"/>
  <c r="A4739" i="2"/>
  <c r="B4739" i="2"/>
  <c r="E4739" i="2"/>
  <c r="A4740" i="2"/>
  <c r="B4740" i="2"/>
  <c r="E4740" i="2"/>
  <c r="A4741" i="2"/>
  <c r="B4741" i="2"/>
  <c r="E4741" i="2"/>
  <c r="A4742" i="2"/>
  <c r="B4742" i="2"/>
  <c r="E4742" i="2"/>
  <c r="A4743" i="2"/>
  <c r="B4743" i="2"/>
  <c r="E4743" i="2"/>
  <c r="A4744" i="2"/>
  <c r="B4744" i="2"/>
  <c r="E4744" i="2"/>
  <c r="A4745" i="2"/>
  <c r="B4745" i="2"/>
  <c r="E4745" i="2"/>
  <c r="A4746" i="2"/>
  <c r="B4746" i="2"/>
  <c r="E4746" i="2"/>
  <c r="A4747" i="2"/>
  <c r="B4747" i="2"/>
  <c r="E4747" i="2"/>
  <c r="A4748" i="2"/>
  <c r="B4748" i="2"/>
  <c r="E4748" i="2"/>
  <c r="A4749" i="2"/>
  <c r="B4749" i="2"/>
  <c r="E4749" i="2"/>
  <c r="A4750" i="2"/>
  <c r="B4750" i="2"/>
  <c r="E4750" i="2"/>
  <c r="A4751" i="2"/>
  <c r="B4751" i="2"/>
  <c r="E4751" i="2"/>
  <c r="A4752" i="2"/>
  <c r="B4752" i="2"/>
  <c r="E4752" i="2"/>
  <c r="A4753" i="2"/>
  <c r="B4753" i="2"/>
  <c r="E4753" i="2"/>
  <c r="A4754" i="2"/>
  <c r="B4754" i="2"/>
  <c r="E4754" i="2"/>
  <c r="A4755" i="2"/>
  <c r="B4755" i="2"/>
  <c r="E4755" i="2"/>
  <c r="A4756" i="2"/>
  <c r="B4756" i="2"/>
  <c r="E4756" i="2"/>
  <c r="A4757" i="2"/>
  <c r="B4757" i="2"/>
  <c r="E4757" i="2"/>
  <c r="A4758" i="2"/>
  <c r="B4758" i="2"/>
  <c r="E4758" i="2"/>
  <c r="A4759" i="2"/>
  <c r="B4759" i="2"/>
  <c r="E4759" i="2"/>
  <c r="A4760" i="2"/>
  <c r="B4760" i="2"/>
  <c r="E4760" i="2"/>
  <c r="A4761" i="2"/>
  <c r="B4761" i="2"/>
  <c r="E4761" i="2"/>
  <c r="A4762" i="2"/>
  <c r="B4762" i="2"/>
  <c r="E4762" i="2"/>
  <c r="A4763" i="2"/>
  <c r="B4763" i="2"/>
  <c r="E4763" i="2"/>
  <c r="A4764" i="2"/>
  <c r="B4764" i="2"/>
  <c r="E4764" i="2"/>
  <c r="A4765" i="2"/>
  <c r="B4765" i="2"/>
  <c r="E4765" i="2"/>
  <c r="A4766" i="2"/>
  <c r="B4766" i="2"/>
  <c r="E4766" i="2"/>
  <c r="A4767" i="2"/>
  <c r="B4767" i="2"/>
  <c r="E4767" i="2"/>
  <c r="A4768" i="2"/>
  <c r="B4768" i="2"/>
  <c r="E4768" i="2"/>
  <c r="A4769" i="2"/>
  <c r="B4769" i="2"/>
  <c r="E4769" i="2"/>
  <c r="A4770" i="2"/>
  <c r="B4770" i="2"/>
  <c r="E4770" i="2"/>
  <c r="A4771" i="2"/>
  <c r="B4771" i="2"/>
  <c r="E4771" i="2"/>
  <c r="A4772" i="2"/>
  <c r="B4772" i="2"/>
  <c r="E4772" i="2"/>
  <c r="A4773" i="2"/>
  <c r="B4773" i="2"/>
  <c r="E4773" i="2"/>
  <c r="A4774" i="2"/>
  <c r="B4774" i="2"/>
  <c r="E4774" i="2"/>
  <c r="A4775" i="2"/>
  <c r="B4775" i="2"/>
  <c r="E4775" i="2"/>
  <c r="A4776" i="2"/>
  <c r="B4776" i="2"/>
  <c r="E4776" i="2"/>
  <c r="A4777" i="2"/>
  <c r="B4777" i="2"/>
  <c r="E4777" i="2"/>
  <c r="A4778" i="2"/>
  <c r="B4778" i="2"/>
  <c r="E4778" i="2"/>
  <c r="A4779" i="2"/>
  <c r="B4779" i="2"/>
  <c r="E4779" i="2"/>
  <c r="A4780" i="2"/>
  <c r="B4780" i="2"/>
  <c r="E4780" i="2"/>
  <c r="A4781" i="2"/>
  <c r="B4781" i="2"/>
  <c r="E4781" i="2"/>
  <c r="A4782" i="2"/>
  <c r="B4782" i="2"/>
  <c r="E4782" i="2"/>
  <c r="A4783" i="2"/>
  <c r="B4783" i="2"/>
  <c r="E4783" i="2"/>
  <c r="A4784" i="2"/>
  <c r="B4784" i="2"/>
  <c r="E4784" i="2"/>
  <c r="A4785" i="2"/>
  <c r="B4785" i="2"/>
  <c r="E4785" i="2"/>
  <c r="A4786" i="2"/>
  <c r="B4786" i="2"/>
  <c r="E4786" i="2"/>
  <c r="A4787" i="2"/>
  <c r="B4787" i="2"/>
  <c r="E4787" i="2"/>
  <c r="A4788" i="2"/>
  <c r="B4788" i="2"/>
  <c r="E4788" i="2"/>
  <c r="A4789" i="2"/>
  <c r="B4789" i="2"/>
  <c r="E4789" i="2"/>
  <c r="A4790" i="2"/>
  <c r="B4790" i="2"/>
  <c r="E4790" i="2"/>
  <c r="A4791" i="2"/>
  <c r="B4791" i="2"/>
  <c r="E4791" i="2"/>
  <c r="A4792" i="2"/>
  <c r="B4792" i="2"/>
  <c r="E4792" i="2"/>
  <c r="A4793" i="2"/>
  <c r="B4793" i="2"/>
  <c r="E4793" i="2"/>
  <c r="A4794" i="2"/>
  <c r="B4794" i="2"/>
  <c r="E4794" i="2"/>
  <c r="A4795" i="2"/>
  <c r="B4795" i="2"/>
  <c r="E4795" i="2"/>
  <c r="A4796" i="2"/>
  <c r="B4796" i="2"/>
  <c r="E4796" i="2"/>
  <c r="A4797" i="2"/>
  <c r="B4797" i="2"/>
  <c r="E4797" i="2"/>
  <c r="A4798" i="2"/>
  <c r="B4798" i="2"/>
  <c r="E4798" i="2"/>
  <c r="A4799" i="2"/>
  <c r="B4799" i="2"/>
  <c r="E4799" i="2"/>
  <c r="A4800" i="2"/>
  <c r="B4800" i="2"/>
  <c r="E4800" i="2"/>
  <c r="A4801" i="2"/>
  <c r="B4801" i="2"/>
  <c r="E4801" i="2"/>
  <c r="A4802" i="2"/>
  <c r="B4802" i="2"/>
  <c r="E4802" i="2"/>
  <c r="A4803" i="2"/>
  <c r="B4803" i="2"/>
  <c r="E4803" i="2"/>
  <c r="A4804" i="2"/>
  <c r="B4804" i="2"/>
  <c r="E4804" i="2"/>
  <c r="A4805" i="2"/>
  <c r="B4805" i="2"/>
  <c r="E4805" i="2"/>
  <c r="A4806" i="2"/>
  <c r="B4806" i="2"/>
  <c r="E4806" i="2"/>
  <c r="A4807" i="2"/>
  <c r="B4807" i="2"/>
  <c r="E4807" i="2"/>
  <c r="A4808" i="2"/>
  <c r="B4808" i="2"/>
  <c r="E4808" i="2"/>
  <c r="A4809" i="2"/>
  <c r="B4809" i="2"/>
  <c r="E4809" i="2"/>
  <c r="A4810" i="2"/>
  <c r="B4810" i="2"/>
  <c r="E4810" i="2"/>
  <c r="A4811" i="2"/>
  <c r="B4811" i="2"/>
  <c r="E4811" i="2"/>
  <c r="A4812" i="2"/>
  <c r="B4812" i="2"/>
  <c r="E4812" i="2"/>
  <c r="A4813" i="2"/>
  <c r="B4813" i="2"/>
  <c r="E4813" i="2"/>
  <c r="A4814" i="2"/>
  <c r="B4814" i="2"/>
  <c r="E4814" i="2"/>
  <c r="A4815" i="2"/>
  <c r="B4815" i="2"/>
  <c r="E4815" i="2"/>
  <c r="A4816" i="2"/>
  <c r="B4816" i="2"/>
  <c r="E4816" i="2"/>
  <c r="A4817" i="2"/>
  <c r="B4817" i="2"/>
  <c r="E4817" i="2"/>
  <c r="A4818" i="2"/>
  <c r="B4818" i="2"/>
  <c r="E4818" i="2"/>
  <c r="A4819" i="2"/>
  <c r="B4819" i="2"/>
  <c r="E4819" i="2"/>
  <c r="A4820" i="2"/>
  <c r="B4820" i="2"/>
  <c r="E4820" i="2"/>
  <c r="A4821" i="2"/>
  <c r="B4821" i="2"/>
  <c r="E4821" i="2"/>
  <c r="A4822" i="2"/>
  <c r="B4822" i="2"/>
  <c r="E4822" i="2"/>
  <c r="A4823" i="2"/>
  <c r="B4823" i="2"/>
  <c r="E4823" i="2"/>
  <c r="A4824" i="2"/>
  <c r="B4824" i="2"/>
  <c r="E4824" i="2"/>
  <c r="A4825" i="2"/>
  <c r="B4825" i="2"/>
  <c r="E4825" i="2"/>
  <c r="A4826" i="2"/>
  <c r="B4826" i="2"/>
  <c r="E4826" i="2"/>
  <c r="A4827" i="2"/>
  <c r="B4827" i="2"/>
  <c r="E4827" i="2"/>
  <c r="A4828" i="2"/>
  <c r="B4828" i="2"/>
  <c r="E4828" i="2"/>
  <c r="A4829" i="2"/>
  <c r="B4829" i="2"/>
  <c r="E4829" i="2"/>
  <c r="A4830" i="2"/>
  <c r="B4830" i="2"/>
  <c r="E4830" i="2"/>
  <c r="A4831" i="2"/>
  <c r="B4831" i="2"/>
  <c r="E4831" i="2"/>
  <c r="A4832" i="2"/>
  <c r="B4832" i="2"/>
  <c r="E4832" i="2"/>
  <c r="A4833" i="2"/>
  <c r="B4833" i="2"/>
  <c r="E4833" i="2"/>
  <c r="A4834" i="2"/>
  <c r="B4834" i="2"/>
  <c r="E4834" i="2"/>
  <c r="A4835" i="2"/>
  <c r="B4835" i="2"/>
  <c r="E4835" i="2"/>
  <c r="A4836" i="2"/>
  <c r="B4836" i="2"/>
  <c r="E4836" i="2"/>
  <c r="A4837" i="2"/>
  <c r="B4837" i="2"/>
  <c r="E4837" i="2"/>
  <c r="A4838" i="2"/>
  <c r="B4838" i="2"/>
  <c r="E4838" i="2"/>
  <c r="A4839" i="2"/>
  <c r="B4839" i="2"/>
  <c r="E4839" i="2"/>
  <c r="A4840" i="2"/>
  <c r="B4840" i="2"/>
  <c r="E4840" i="2"/>
  <c r="A4841" i="2"/>
  <c r="B4841" i="2"/>
  <c r="E4841" i="2"/>
  <c r="A4842" i="2"/>
  <c r="B4842" i="2"/>
  <c r="E4842" i="2"/>
  <c r="A4843" i="2"/>
  <c r="B4843" i="2"/>
  <c r="E4843" i="2"/>
  <c r="A4844" i="2"/>
  <c r="B4844" i="2"/>
  <c r="E4844" i="2"/>
  <c r="A4845" i="2"/>
  <c r="B4845" i="2"/>
  <c r="E4845" i="2"/>
  <c r="A4846" i="2"/>
  <c r="B4846" i="2"/>
  <c r="E4846" i="2"/>
  <c r="A4847" i="2"/>
  <c r="B4847" i="2"/>
  <c r="E4847" i="2"/>
  <c r="A4848" i="2"/>
  <c r="B4848" i="2"/>
  <c r="E4848" i="2"/>
  <c r="A4849" i="2"/>
  <c r="B4849" i="2"/>
  <c r="E4849" i="2"/>
  <c r="A4850" i="2"/>
  <c r="B4850" i="2"/>
  <c r="E4850" i="2"/>
  <c r="A4851" i="2"/>
  <c r="B4851" i="2"/>
  <c r="E4851" i="2"/>
  <c r="A4852" i="2"/>
  <c r="B4852" i="2"/>
  <c r="E4852" i="2"/>
  <c r="A4853" i="2"/>
  <c r="B4853" i="2"/>
  <c r="E4853" i="2"/>
  <c r="A4854" i="2"/>
  <c r="B4854" i="2"/>
  <c r="E4854" i="2"/>
  <c r="A4855" i="2"/>
  <c r="B4855" i="2"/>
  <c r="E4855" i="2"/>
  <c r="A4856" i="2"/>
  <c r="B4856" i="2"/>
  <c r="E4856" i="2"/>
  <c r="A4857" i="2"/>
  <c r="B4857" i="2"/>
  <c r="E4857" i="2"/>
  <c r="A4858" i="2"/>
  <c r="B4858" i="2"/>
  <c r="E4858" i="2"/>
  <c r="A4859" i="2"/>
  <c r="B4859" i="2"/>
  <c r="E4859" i="2"/>
  <c r="A4860" i="2"/>
  <c r="B4860" i="2"/>
  <c r="E4860" i="2"/>
  <c r="A4861" i="2"/>
  <c r="B4861" i="2"/>
  <c r="E4861" i="2"/>
  <c r="A4862" i="2"/>
  <c r="B4862" i="2"/>
  <c r="E4862" i="2"/>
  <c r="A4863" i="2"/>
  <c r="B4863" i="2"/>
  <c r="E4863" i="2"/>
  <c r="A4864" i="2"/>
  <c r="B4864" i="2"/>
  <c r="E4864" i="2"/>
  <c r="A4865" i="2"/>
  <c r="B4865" i="2"/>
  <c r="E4865" i="2"/>
  <c r="A4866" i="2"/>
  <c r="B4866" i="2"/>
  <c r="E4866" i="2"/>
  <c r="A4867" i="2"/>
  <c r="B4867" i="2"/>
  <c r="E4867" i="2"/>
  <c r="A4868" i="2"/>
  <c r="B4868" i="2"/>
  <c r="E4868" i="2"/>
  <c r="A4869" i="2"/>
  <c r="B4869" i="2"/>
  <c r="E4869" i="2"/>
  <c r="A4870" i="2"/>
  <c r="B4870" i="2"/>
  <c r="E4870" i="2"/>
  <c r="A4871" i="2"/>
  <c r="B4871" i="2"/>
  <c r="E4871" i="2"/>
  <c r="A4872" i="2"/>
  <c r="B4872" i="2"/>
  <c r="E4872" i="2"/>
  <c r="A4873" i="2"/>
  <c r="B4873" i="2"/>
  <c r="E4873" i="2"/>
  <c r="A4874" i="2"/>
  <c r="B4874" i="2"/>
  <c r="E4874" i="2"/>
  <c r="A4875" i="2"/>
  <c r="B4875" i="2"/>
  <c r="E4875" i="2"/>
  <c r="A4876" i="2"/>
  <c r="B4876" i="2"/>
  <c r="E4876" i="2"/>
  <c r="A4877" i="2"/>
  <c r="B4877" i="2"/>
  <c r="E4877" i="2"/>
  <c r="A4878" i="2"/>
  <c r="B4878" i="2"/>
  <c r="E4878" i="2"/>
  <c r="A4879" i="2"/>
  <c r="B4879" i="2"/>
  <c r="E4879" i="2"/>
  <c r="A4880" i="2"/>
  <c r="B4880" i="2"/>
  <c r="E4880" i="2"/>
  <c r="A4881" i="2"/>
  <c r="B4881" i="2"/>
  <c r="E4881" i="2"/>
  <c r="A4882" i="2"/>
  <c r="B4882" i="2"/>
  <c r="E4882" i="2"/>
  <c r="A4883" i="2"/>
  <c r="B4883" i="2"/>
  <c r="E4883" i="2"/>
  <c r="A4884" i="2"/>
  <c r="B4884" i="2"/>
  <c r="E4884" i="2"/>
  <c r="A4885" i="2"/>
  <c r="B4885" i="2"/>
  <c r="E4885" i="2"/>
  <c r="A4886" i="2"/>
  <c r="B4886" i="2"/>
  <c r="E4886" i="2"/>
  <c r="A4887" i="2"/>
  <c r="B4887" i="2"/>
  <c r="E4887" i="2"/>
  <c r="A4888" i="2"/>
  <c r="B4888" i="2"/>
  <c r="E4888" i="2"/>
  <c r="A4889" i="2"/>
  <c r="B4889" i="2"/>
  <c r="E4889" i="2"/>
  <c r="A4890" i="2"/>
  <c r="B4890" i="2"/>
  <c r="E4890" i="2"/>
  <c r="A4891" i="2"/>
  <c r="B4891" i="2"/>
  <c r="E4891" i="2"/>
  <c r="A4892" i="2"/>
  <c r="B4892" i="2"/>
  <c r="E4892" i="2"/>
  <c r="A4893" i="2"/>
  <c r="B4893" i="2"/>
  <c r="E4893" i="2"/>
  <c r="A4894" i="2"/>
  <c r="B4894" i="2"/>
  <c r="E4894" i="2"/>
  <c r="A4895" i="2"/>
  <c r="B4895" i="2"/>
  <c r="E4895" i="2"/>
  <c r="A4896" i="2"/>
  <c r="B4896" i="2"/>
  <c r="E4896" i="2"/>
  <c r="A4897" i="2"/>
  <c r="B4897" i="2"/>
  <c r="E4897" i="2"/>
  <c r="A4898" i="2"/>
  <c r="B4898" i="2"/>
  <c r="E4898" i="2"/>
  <c r="A4899" i="2"/>
  <c r="B4899" i="2"/>
  <c r="E4899" i="2"/>
  <c r="A4900" i="2"/>
  <c r="B4900" i="2"/>
  <c r="E4900" i="2"/>
  <c r="A4901" i="2"/>
  <c r="B4901" i="2"/>
  <c r="E4901" i="2"/>
  <c r="A4902" i="2"/>
  <c r="B4902" i="2"/>
  <c r="E4902" i="2"/>
  <c r="A4903" i="2"/>
  <c r="B4903" i="2"/>
  <c r="E4903" i="2"/>
  <c r="A4904" i="2"/>
  <c r="B4904" i="2"/>
  <c r="E4904" i="2"/>
  <c r="A4905" i="2"/>
  <c r="B4905" i="2"/>
  <c r="E4905" i="2"/>
  <c r="A4906" i="2"/>
  <c r="B4906" i="2"/>
  <c r="E4906" i="2"/>
  <c r="A4907" i="2"/>
  <c r="B4907" i="2"/>
  <c r="E4907" i="2"/>
  <c r="A4908" i="2"/>
  <c r="B4908" i="2"/>
  <c r="E4908" i="2"/>
  <c r="A4909" i="2"/>
  <c r="B4909" i="2"/>
  <c r="E4909" i="2"/>
  <c r="A4910" i="2"/>
  <c r="B4910" i="2"/>
  <c r="E4910" i="2"/>
  <c r="A4911" i="2"/>
  <c r="B4911" i="2"/>
  <c r="E4911" i="2"/>
  <c r="A4912" i="2"/>
  <c r="B4912" i="2"/>
  <c r="E4912" i="2"/>
  <c r="A4913" i="2"/>
  <c r="B4913" i="2"/>
  <c r="E4913" i="2"/>
  <c r="A4914" i="2"/>
  <c r="B4914" i="2"/>
  <c r="E4914" i="2"/>
  <c r="A4915" i="2"/>
  <c r="B4915" i="2"/>
  <c r="E4915" i="2"/>
  <c r="A4916" i="2"/>
  <c r="B4916" i="2"/>
  <c r="E4916" i="2"/>
  <c r="A4917" i="2"/>
  <c r="B4917" i="2"/>
  <c r="E4917" i="2"/>
  <c r="A4918" i="2"/>
  <c r="B4918" i="2"/>
  <c r="E4918" i="2"/>
  <c r="A4919" i="2"/>
  <c r="B4919" i="2"/>
  <c r="E4919" i="2"/>
  <c r="A4920" i="2"/>
  <c r="B4920" i="2"/>
  <c r="E4920" i="2"/>
  <c r="A4921" i="2"/>
  <c r="B4921" i="2"/>
  <c r="E4921" i="2"/>
  <c r="A4922" i="2"/>
  <c r="B4922" i="2"/>
  <c r="E4922" i="2"/>
  <c r="A4923" i="2"/>
  <c r="B4923" i="2"/>
  <c r="E4923" i="2"/>
  <c r="A4924" i="2"/>
  <c r="B4924" i="2"/>
  <c r="E4924" i="2"/>
  <c r="A4925" i="2"/>
  <c r="B4925" i="2"/>
  <c r="E4925" i="2"/>
  <c r="A4926" i="2"/>
  <c r="B4926" i="2"/>
  <c r="E4926" i="2"/>
  <c r="A4927" i="2"/>
  <c r="B4927" i="2"/>
  <c r="E4927" i="2"/>
  <c r="A4928" i="2"/>
  <c r="B4928" i="2"/>
  <c r="E4928" i="2"/>
  <c r="A4929" i="2"/>
  <c r="B4929" i="2"/>
  <c r="E4929" i="2"/>
  <c r="A4930" i="2"/>
  <c r="B4930" i="2"/>
  <c r="E4930" i="2"/>
  <c r="A4931" i="2"/>
  <c r="B4931" i="2"/>
  <c r="E4931" i="2"/>
  <c r="A4932" i="2"/>
  <c r="B4932" i="2"/>
  <c r="E4932" i="2"/>
  <c r="A4933" i="2"/>
  <c r="B4933" i="2"/>
  <c r="E4933" i="2"/>
  <c r="A4934" i="2"/>
  <c r="B4934" i="2"/>
  <c r="E4934" i="2"/>
  <c r="A4935" i="2"/>
  <c r="B4935" i="2"/>
  <c r="E4935" i="2"/>
  <c r="A4936" i="2"/>
  <c r="B4936" i="2"/>
  <c r="E4936" i="2"/>
  <c r="A4937" i="2"/>
  <c r="B4937" i="2"/>
  <c r="E4937" i="2"/>
  <c r="A4938" i="2"/>
  <c r="B4938" i="2"/>
  <c r="E4938" i="2"/>
  <c r="A4939" i="2"/>
  <c r="B4939" i="2"/>
  <c r="E4939" i="2"/>
  <c r="A4940" i="2"/>
  <c r="B4940" i="2"/>
  <c r="E4940" i="2"/>
  <c r="A4941" i="2"/>
  <c r="B4941" i="2"/>
  <c r="E4941" i="2"/>
  <c r="A4942" i="2"/>
  <c r="B4942" i="2"/>
  <c r="E4942" i="2"/>
  <c r="A4943" i="2"/>
  <c r="B4943" i="2"/>
  <c r="E4943" i="2"/>
  <c r="A4944" i="2"/>
  <c r="B4944" i="2"/>
  <c r="E4944" i="2"/>
  <c r="A4945" i="2"/>
  <c r="B4945" i="2"/>
  <c r="E4945" i="2"/>
  <c r="A4946" i="2"/>
  <c r="B4946" i="2"/>
  <c r="E4946" i="2"/>
  <c r="A4947" i="2"/>
  <c r="B4947" i="2"/>
  <c r="E4947" i="2"/>
  <c r="A4948" i="2"/>
  <c r="B4948" i="2"/>
  <c r="E4948" i="2"/>
  <c r="A4949" i="2"/>
  <c r="B4949" i="2"/>
  <c r="E4949" i="2"/>
  <c r="A4950" i="2"/>
  <c r="B4950" i="2"/>
  <c r="E4950" i="2"/>
  <c r="A4951" i="2"/>
  <c r="B4951" i="2"/>
  <c r="E4951" i="2"/>
  <c r="A4952" i="2"/>
  <c r="B4952" i="2"/>
  <c r="E4952" i="2"/>
  <c r="A4953" i="2"/>
  <c r="B4953" i="2"/>
  <c r="E4953" i="2"/>
  <c r="A4954" i="2"/>
  <c r="B4954" i="2"/>
  <c r="E4954" i="2"/>
  <c r="A4955" i="2"/>
  <c r="B4955" i="2"/>
  <c r="E4955" i="2"/>
  <c r="A4956" i="2"/>
  <c r="B4956" i="2"/>
  <c r="E4956" i="2"/>
  <c r="A4957" i="2"/>
  <c r="B4957" i="2"/>
  <c r="E4957" i="2"/>
  <c r="A4958" i="2"/>
  <c r="B4958" i="2"/>
  <c r="E4958" i="2"/>
  <c r="A4959" i="2"/>
  <c r="B4959" i="2"/>
  <c r="E4959" i="2"/>
  <c r="A4960" i="2"/>
  <c r="B4960" i="2"/>
  <c r="E4960" i="2"/>
  <c r="A4961" i="2"/>
  <c r="B4961" i="2"/>
  <c r="E4961" i="2"/>
  <c r="A4962" i="2"/>
  <c r="B4962" i="2"/>
  <c r="E4962" i="2"/>
  <c r="A4963" i="2"/>
  <c r="B4963" i="2"/>
  <c r="E4963" i="2"/>
  <c r="A4964" i="2"/>
  <c r="B4964" i="2"/>
  <c r="E4964" i="2"/>
  <c r="A4965" i="2"/>
  <c r="B4965" i="2"/>
  <c r="E4965" i="2"/>
  <c r="A4966" i="2"/>
  <c r="B4966" i="2"/>
  <c r="E4966" i="2"/>
  <c r="A4967" i="2"/>
  <c r="B4967" i="2"/>
  <c r="E4967" i="2"/>
  <c r="A4968" i="2"/>
  <c r="B4968" i="2"/>
  <c r="E4968" i="2"/>
  <c r="A4969" i="2"/>
  <c r="B4969" i="2"/>
  <c r="E4969" i="2"/>
  <c r="A4970" i="2"/>
  <c r="B4970" i="2"/>
  <c r="E4970" i="2"/>
  <c r="A4971" i="2"/>
  <c r="B4971" i="2"/>
  <c r="E4971" i="2"/>
  <c r="A4972" i="2"/>
  <c r="B4972" i="2"/>
  <c r="E4972" i="2"/>
  <c r="A4973" i="2"/>
  <c r="B4973" i="2"/>
  <c r="E4973" i="2"/>
  <c r="A4974" i="2"/>
  <c r="B4974" i="2"/>
  <c r="E4974" i="2"/>
  <c r="A4975" i="2"/>
  <c r="B4975" i="2"/>
  <c r="E4975" i="2"/>
  <c r="A4976" i="2"/>
  <c r="B4976" i="2"/>
  <c r="E4976" i="2"/>
  <c r="A4977" i="2"/>
  <c r="B4977" i="2"/>
  <c r="E4977" i="2"/>
  <c r="A4978" i="2"/>
  <c r="B4978" i="2"/>
  <c r="E4978" i="2"/>
  <c r="A4979" i="2"/>
  <c r="B4979" i="2"/>
  <c r="E4979" i="2"/>
  <c r="A4980" i="2"/>
  <c r="B4980" i="2"/>
  <c r="E4980" i="2"/>
  <c r="A4981" i="2"/>
  <c r="B4981" i="2"/>
  <c r="E4981" i="2"/>
  <c r="A4982" i="2"/>
  <c r="B4982" i="2"/>
  <c r="E4982" i="2"/>
  <c r="A4983" i="2"/>
  <c r="B4983" i="2"/>
  <c r="E4983" i="2"/>
  <c r="A4984" i="2"/>
  <c r="B4984" i="2"/>
  <c r="E4984" i="2"/>
  <c r="A4985" i="2"/>
  <c r="B4985" i="2"/>
  <c r="E4985" i="2"/>
  <c r="A4986" i="2"/>
  <c r="B4986" i="2"/>
  <c r="E4986" i="2"/>
  <c r="A4987" i="2"/>
  <c r="B4987" i="2"/>
  <c r="E4987" i="2"/>
  <c r="A4988" i="2"/>
  <c r="B4988" i="2"/>
  <c r="E4988" i="2"/>
  <c r="A4989" i="2"/>
  <c r="B4989" i="2"/>
  <c r="E4989" i="2"/>
  <c r="A4990" i="2"/>
  <c r="B4990" i="2"/>
  <c r="E4990" i="2"/>
  <c r="A4991" i="2"/>
  <c r="B4991" i="2"/>
  <c r="E4991" i="2"/>
  <c r="A4992" i="2"/>
  <c r="B4992" i="2"/>
  <c r="E4992" i="2"/>
  <c r="A4993" i="2"/>
  <c r="B4993" i="2"/>
  <c r="E4993" i="2"/>
  <c r="A4994" i="2"/>
  <c r="B4994" i="2"/>
  <c r="E4994" i="2"/>
  <c r="A4995" i="2"/>
  <c r="B4995" i="2"/>
  <c r="E4995" i="2"/>
  <c r="A4996" i="2"/>
  <c r="B4996" i="2"/>
  <c r="E4996" i="2"/>
  <c r="A4997" i="2"/>
  <c r="B4997" i="2"/>
  <c r="E4997" i="2"/>
  <c r="A4998" i="2"/>
  <c r="B4998" i="2"/>
  <c r="E4998" i="2"/>
  <c r="A4999" i="2"/>
  <c r="B4999" i="2"/>
  <c r="E4999" i="2"/>
  <c r="A5000" i="2"/>
  <c r="B5000" i="2"/>
  <c r="E5000" i="2"/>
  <c r="A5001" i="2"/>
  <c r="B5001" i="2"/>
  <c r="E5001" i="2"/>
  <c r="A5002" i="2"/>
  <c r="B5002" i="2"/>
  <c r="E5002" i="2"/>
  <c r="A5003" i="2"/>
  <c r="B5003" i="2"/>
  <c r="E5003" i="2"/>
  <c r="A5004" i="2"/>
  <c r="B5004" i="2"/>
  <c r="E5004" i="2"/>
  <c r="A5005" i="2"/>
  <c r="B5005" i="2"/>
  <c r="E5005" i="2"/>
  <c r="A5006" i="2"/>
  <c r="B5006" i="2"/>
  <c r="E5006" i="2"/>
  <c r="A5007" i="2"/>
  <c r="B5007" i="2"/>
  <c r="E5007" i="2"/>
  <c r="A5008" i="2"/>
  <c r="B5008" i="2"/>
  <c r="E5008" i="2"/>
  <c r="A5009" i="2"/>
  <c r="B5009" i="2"/>
  <c r="E5009" i="2"/>
  <c r="A5010" i="2"/>
  <c r="B5010" i="2"/>
  <c r="E5010" i="2"/>
  <c r="A5011" i="2"/>
  <c r="B5011" i="2"/>
  <c r="E5011" i="2"/>
  <c r="A5012" i="2"/>
  <c r="B5012" i="2"/>
  <c r="E5012" i="2"/>
  <c r="A5013" i="2"/>
  <c r="B5013" i="2"/>
  <c r="E5013" i="2"/>
  <c r="A5014" i="2"/>
  <c r="B5014" i="2"/>
  <c r="E5014" i="2"/>
  <c r="A5015" i="2"/>
  <c r="B5015" i="2"/>
  <c r="E5015" i="2"/>
  <c r="A5016" i="2"/>
  <c r="B5016" i="2"/>
  <c r="E5016" i="2"/>
  <c r="A5017" i="2"/>
  <c r="B5017" i="2"/>
  <c r="E5017" i="2"/>
  <c r="A5018" i="2"/>
  <c r="B5018" i="2"/>
  <c r="E5018" i="2"/>
  <c r="A5019" i="2"/>
  <c r="B5019" i="2"/>
  <c r="E5019" i="2"/>
  <c r="A5020" i="2"/>
  <c r="B5020" i="2"/>
  <c r="E5020" i="2"/>
  <c r="A5021" i="2"/>
  <c r="B5021" i="2"/>
  <c r="E5021" i="2"/>
  <c r="A5022" i="2"/>
  <c r="B5022" i="2"/>
  <c r="E5022" i="2"/>
  <c r="A5023" i="2"/>
  <c r="B5023" i="2"/>
  <c r="E5023" i="2"/>
  <c r="A5024" i="2"/>
  <c r="B5024" i="2"/>
  <c r="E5024" i="2"/>
  <c r="A5025" i="2"/>
  <c r="B5025" i="2"/>
  <c r="E5025" i="2"/>
  <c r="A5026" i="2"/>
  <c r="B5026" i="2"/>
  <c r="E5026" i="2"/>
  <c r="A5027" i="2"/>
  <c r="B5027" i="2"/>
  <c r="E5027" i="2"/>
  <c r="A5028" i="2"/>
  <c r="B5028" i="2"/>
  <c r="E5028" i="2"/>
  <c r="A5029" i="2"/>
  <c r="B5029" i="2"/>
  <c r="E5029" i="2"/>
  <c r="A5030" i="2"/>
  <c r="B5030" i="2"/>
  <c r="E5030" i="2"/>
  <c r="A5031" i="2"/>
  <c r="B5031" i="2"/>
  <c r="E5031" i="2"/>
  <c r="A5032" i="2"/>
  <c r="B5032" i="2"/>
  <c r="E5032" i="2"/>
  <c r="A5033" i="2"/>
  <c r="B5033" i="2"/>
  <c r="E5033" i="2"/>
  <c r="A5034" i="2"/>
  <c r="B5034" i="2"/>
  <c r="E5034" i="2"/>
  <c r="A5035" i="2"/>
  <c r="B5035" i="2"/>
  <c r="E5035" i="2"/>
  <c r="A5036" i="2"/>
  <c r="B5036" i="2"/>
  <c r="E5036" i="2"/>
  <c r="A5037" i="2"/>
  <c r="B5037" i="2"/>
  <c r="E5037" i="2"/>
  <c r="A5038" i="2"/>
  <c r="B5038" i="2"/>
  <c r="E5038" i="2"/>
  <c r="A5039" i="2"/>
  <c r="B5039" i="2"/>
  <c r="E5039" i="2"/>
  <c r="A5040" i="2"/>
  <c r="B5040" i="2"/>
  <c r="E5040" i="2"/>
  <c r="A5041" i="2"/>
  <c r="B5041" i="2"/>
  <c r="E5041" i="2"/>
  <c r="A5042" i="2"/>
  <c r="B5042" i="2"/>
  <c r="E5042" i="2"/>
  <c r="A5043" i="2"/>
  <c r="B5043" i="2"/>
  <c r="E5043" i="2"/>
  <c r="A5044" i="2"/>
  <c r="B5044" i="2"/>
  <c r="E5044" i="2"/>
  <c r="A5045" i="2"/>
  <c r="B5045" i="2"/>
  <c r="E5045" i="2"/>
  <c r="A5046" i="2"/>
  <c r="B5046" i="2"/>
  <c r="E5046" i="2"/>
  <c r="A5047" i="2"/>
  <c r="B5047" i="2"/>
  <c r="E5047" i="2"/>
  <c r="A5048" i="2"/>
  <c r="B5048" i="2"/>
  <c r="E5048" i="2"/>
  <c r="A5049" i="2"/>
  <c r="B5049" i="2"/>
  <c r="E5049" i="2"/>
  <c r="A5050" i="2"/>
  <c r="B5050" i="2"/>
  <c r="E5050" i="2"/>
  <c r="A5051" i="2"/>
  <c r="B5051" i="2"/>
  <c r="E5051" i="2"/>
  <c r="A5052" i="2"/>
  <c r="B5052" i="2"/>
  <c r="E5052" i="2"/>
  <c r="A5053" i="2"/>
  <c r="B5053" i="2"/>
  <c r="E5053" i="2"/>
  <c r="A5054" i="2"/>
  <c r="B5054" i="2"/>
  <c r="E5054" i="2"/>
  <c r="A5055" i="2"/>
  <c r="B5055" i="2"/>
  <c r="E5055" i="2"/>
  <c r="A5056" i="2"/>
  <c r="B5056" i="2"/>
  <c r="E5056" i="2"/>
  <c r="A5057" i="2"/>
  <c r="B5057" i="2"/>
  <c r="E5057" i="2"/>
  <c r="A5058" i="2"/>
  <c r="B5058" i="2"/>
  <c r="E5058" i="2"/>
  <c r="A5059" i="2"/>
  <c r="B5059" i="2"/>
  <c r="E5059" i="2"/>
  <c r="A5060" i="2"/>
  <c r="B5060" i="2"/>
  <c r="E5060" i="2"/>
  <c r="A5061" i="2"/>
  <c r="B5061" i="2"/>
  <c r="E5061" i="2"/>
  <c r="A5062" i="2"/>
  <c r="B5062" i="2"/>
  <c r="E5062" i="2"/>
  <c r="A5063" i="2"/>
  <c r="B5063" i="2"/>
  <c r="E5063" i="2"/>
  <c r="A5064" i="2"/>
  <c r="B5064" i="2"/>
  <c r="E5064" i="2"/>
  <c r="A5065" i="2"/>
  <c r="B5065" i="2"/>
  <c r="E5065" i="2"/>
  <c r="A5066" i="2"/>
  <c r="B5066" i="2"/>
  <c r="E5066" i="2"/>
  <c r="A5067" i="2"/>
  <c r="B5067" i="2"/>
  <c r="E5067" i="2"/>
  <c r="A5068" i="2"/>
  <c r="B5068" i="2"/>
  <c r="E5068" i="2"/>
  <c r="A5069" i="2"/>
  <c r="B5069" i="2"/>
  <c r="E5069" i="2"/>
  <c r="A5070" i="2"/>
  <c r="B5070" i="2"/>
  <c r="E5070" i="2"/>
  <c r="A5071" i="2"/>
  <c r="B5071" i="2"/>
  <c r="E5071" i="2"/>
  <c r="A5072" i="2"/>
  <c r="B5072" i="2"/>
  <c r="E5072" i="2"/>
  <c r="A5073" i="2"/>
  <c r="B5073" i="2"/>
  <c r="E5073" i="2"/>
  <c r="A5074" i="2"/>
  <c r="B5074" i="2"/>
  <c r="E5074" i="2"/>
  <c r="A5075" i="2"/>
  <c r="B5075" i="2"/>
  <c r="E5075" i="2"/>
  <c r="A5076" i="2"/>
  <c r="B5076" i="2"/>
  <c r="E5076" i="2"/>
  <c r="A5077" i="2"/>
  <c r="B5077" i="2"/>
  <c r="E5077" i="2"/>
  <c r="A5078" i="2"/>
  <c r="B5078" i="2"/>
  <c r="E5078" i="2"/>
  <c r="A5079" i="2"/>
  <c r="B5079" i="2"/>
  <c r="E5079" i="2"/>
  <c r="A5080" i="2"/>
  <c r="B5080" i="2"/>
  <c r="E5080" i="2"/>
  <c r="A5081" i="2"/>
  <c r="B5081" i="2"/>
  <c r="E5081" i="2"/>
  <c r="A5082" i="2"/>
  <c r="B5082" i="2"/>
  <c r="E5082" i="2"/>
  <c r="A5083" i="2"/>
  <c r="B5083" i="2"/>
  <c r="E5083" i="2"/>
  <c r="A5084" i="2"/>
  <c r="B5084" i="2"/>
  <c r="E5084" i="2"/>
  <c r="A5085" i="2"/>
  <c r="B5085" i="2"/>
  <c r="E5085" i="2"/>
  <c r="A5086" i="2"/>
  <c r="B5086" i="2"/>
  <c r="E5086" i="2"/>
  <c r="A5087" i="2"/>
  <c r="B5087" i="2"/>
  <c r="E5087" i="2"/>
  <c r="A5088" i="2"/>
  <c r="B5088" i="2"/>
  <c r="E5088" i="2"/>
  <c r="A5089" i="2"/>
  <c r="B5089" i="2"/>
  <c r="E5089" i="2"/>
  <c r="A5090" i="2"/>
  <c r="B5090" i="2"/>
  <c r="E5090" i="2"/>
  <c r="A5091" i="2"/>
  <c r="B5091" i="2"/>
  <c r="E5091" i="2"/>
  <c r="A5092" i="2"/>
  <c r="B5092" i="2"/>
  <c r="E5092" i="2"/>
  <c r="A5093" i="2"/>
  <c r="B5093" i="2"/>
  <c r="E5093" i="2"/>
  <c r="A5094" i="2"/>
  <c r="B5094" i="2"/>
  <c r="E5094" i="2"/>
  <c r="A5095" i="2"/>
  <c r="B5095" i="2"/>
  <c r="E5095" i="2"/>
  <c r="A5096" i="2"/>
  <c r="B5096" i="2"/>
  <c r="E5096" i="2"/>
  <c r="A5097" i="2"/>
  <c r="B5097" i="2"/>
  <c r="E5097" i="2"/>
  <c r="A5098" i="2"/>
  <c r="B5098" i="2"/>
  <c r="E5098" i="2"/>
  <c r="A5099" i="2"/>
  <c r="B5099" i="2"/>
  <c r="E5099" i="2"/>
  <c r="A5100" i="2"/>
  <c r="B5100" i="2"/>
  <c r="E5100" i="2"/>
  <c r="A5101" i="2"/>
  <c r="B5101" i="2"/>
  <c r="E5101" i="2"/>
  <c r="A5102" i="2"/>
  <c r="B5102" i="2"/>
  <c r="E5102" i="2"/>
  <c r="A5103" i="2"/>
  <c r="B5103" i="2"/>
  <c r="E5103" i="2"/>
  <c r="A5104" i="2"/>
  <c r="B5104" i="2"/>
  <c r="E5104" i="2"/>
  <c r="A5105" i="2"/>
  <c r="B5105" i="2"/>
  <c r="E5105" i="2"/>
  <c r="A5106" i="2"/>
  <c r="B5106" i="2"/>
  <c r="E5106" i="2"/>
  <c r="A5107" i="2"/>
  <c r="B5107" i="2"/>
  <c r="E5107" i="2"/>
  <c r="A5108" i="2"/>
  <c r="B5108" i="2"/>
  <c r="E5108" i="2"/>
  <c r="A5109" i="2"/>
  <c r="B5109" i="2"/>
  <c r="E5109" i="2"/>
  <c r="A5110" i="2"/>
  <c r="B5110" i="2"/>
  <c r="E5110" i="2"/>
  <c r="A5111" i="2"/>
  <c r="B5111" i="2"/>
  <c r="E5111" i="2"/>
  <c r="A5112" i="2"/>
  <c r="B5112" i="2"/>
  <c r="E5112" i="2"/>
  <c r="A5113" i="2"/>
  <c r="B5113" i="2"/>
  <c r="E5113" i="2"/>
  <c r="A5114" i="2"/>
  <c r="B5114" i="2"/>
  <c r="E5114" i="2"/>
  <c r="A5115" i="2"/>
  <c r="B5115" i="2"/>
  <c r="E5115" i="2"/>
  <c r="A5116" i="2"/>
  <c r="B5116" i="2"/>
  <c r="E5116" i="2"/>
  <c r="A5117" i="2"/>
  <c r="B5117" i="2"/>
  <c r="E5117" i="2"/>
  <c r="A5118" i="2"/>
  <c r="B5118" i="2"/>
  <c r="E5118" i="2"/>
  <c r="A5119" i="2"/>
  <c r="B5119" i="2"/>
  <c r="E5119" i="2"/>
  <c r="A5120" i="2"/>
  <c r="B5120" i="2"/>
  <c r="E5120" i="2"/>
  <c r="A5121" i="2"/>
  <c r="B5121" i="2"/>
  <c r="E5121" i="2"/>
  <c r="A5122" i="2"/>
  <c r="B5122" i="2"/>
  <c r="E5122" i="2"/>
  <c r="A5123" i="2"/>
  <c r="B5123" i="2"/>
  <c r="E5123" i="2"/>
  <c r="A5124" i="2"/>
  <c r="B5124" i="2"/>
  <c r="E5124" i="2"/>
  <c r="A5125" i="2"/>
  <c r="B5125" i="2"/>
  <c r="E5125" i="2"/>
  <c r="A5126" i="2"/>
  <c r="B5126" i="2"/>
  <c r="E5126" i="2"/>
  <c r="A5127" i="2"/>
  <c r="B5127" i="2"/>
  <c r="E5127" i="2"/>
  <c r="A5128" i="2"/>
  <c r="B5128" i="2"/>
  <c r="E5128" i="2"/>
  <c r="A5129" i="2"/>
  <c r="B5129" i="2"/>
  <c r="E5129" i="2"/>
  <c r="A5130" i="2"/>
  <c r="B5130" i="2"/>
  <c r="E5130" i="2"/>
  <c r="A5131" i="2"/>
  <c r="B5131" i="2"/>
  <c r="E5131" i="2"/>
  <c r="A5132" i="2"/>
  <c r="B5132" i="2"/>
  <c r="E5132" i="2"/>
  <c r="A5133" i="2"/>
  <c r="B5133" i="2"/>
  <c r="E5133" i="2"/>
  <c r="A5134" i="2"/>
  <c r="B5134" i="2"/>
  <c r="E5134" i="2"/>
  <c r="A5135" i="2"/>
  <c r="B5135" i="2"/>
  <c r="E5135" i="2"/>
  <c r="A5136" i="2"/>
  <c r="B5136" i="2"/>
  <c r="E5136" i="2"/>
  <c r="A5137" i="2"/>
  <c r="B5137" i="2"/>
  <c r="E5137" i="2"/>
  <c r="A5138" i="2"/>
  <c r="B5138" i="2"/>
  <c r="E5138" i="2"/>
  <c r="A5139" i="2"/>
  <c r="B5139" i="2"/>
  <c r="E5139" i="2"/>
  <c r="A5140" i="2"/>
  <c r="B5140" i="2"/>
  <c r="E5140" i="2"/>
  <c r="A5141" i="2"/>
  <c r="B5141" i="2"/>
  <c r="E5141" i="2"/>
  <c r="A5142" i="2"/>
  <c r="B5142" i="2"/>
  <c r="E5142" i="2"/>
  <c r="A5143" i="2"/>
  <c r="B5143" i="2"/>
  <c r="E5143" i="2"/>
  <c r="A5144" i="2"/>
  <c r="B5144" i="2"/>
  <c r="E5144" i="2"/>
  <c r="A5145" i="2"/>
  <c r="B5145" i="2"/>
  <c r="E5145" i="2"/>
  <c r="A5146" i="2"/>
  <c r="B5146" i="2"/>
  <c r="E5146" i="2"/>
  <c r="A5147" i="2"/>
  <c r="B5147" i="2"/>
  <c r="E5147" i="2"/>
  <c r="A5148" i="2"/>
  <c r="B5148" i="2"/>
  <c r="E5148" i="2"/>
  <c r="A5149" i="2"/>
  <c r="B5149" i="2"/>
  <c r="E5149" i="2"/>
  <c r="A5150" i="2"/>
  <c r="B5150" i="2"/>
  <c r="E5150" i="2"/>
  <c r="A5151" i="2"/>
  <c r="B5151" i="2"/>
  <c r="E5151" i="2"/>
  <c r="A5152" i="2"/>
  <c r="B5152" i="2"/>
  <c r="E5152" i="2"/>
  <c r="A5153" i="2"/>
  <c r="B5153" i="2"/>
  <c r="E5153" i="2"/>
  <c r="A5154" i="2"/>
  <c r="B5154" i="2"/>
  <c r="E5154" i="2"/>
  <c r="A5155" i="2"/>
  <c r="B5155" i="2"/>
  <c r="E5155" i="2"/>
  <c r="A5156" i="2"/>
  <c r="B5156" i="2"/>
  <c r="E5156" i="2"/>
  <c r="A5157" i="2"/>
  <c r="B5157" i="2"/>
  <c r="E5157" i="2"/>
  <c r="A5158" i="2"/>
  <c r="B5158" i="2"/>
  <c r="E5158" i="2"/>
  <c r="A5159" i="2"/>
  <c r="B5159" i="2"/>
  <c r="E5159" i="2"/>
  <c r="A5160" i="2"/>
  <c r="B5160" i="2"/>
  <c r="E5160" i="2"/>
  <c r="A5161" i="2"/>
  <c r="B5161" i="2"/>
  <c r="E5161" i="2"/>
  <c r="A5162" i="2"/>
  <c r="B5162" i="2"/>
  <c r="E5162" i="2"/>
  <c r="A5163" i="2"/>
  <c r="B5163" i="2"/>
  <c r="E5163" i="2"/>
  <c r="A5164" i="2"/>
  <c r="B5164" i="2"/>
  <c r="E5164" i="2"/>
  <c r="A5165" i="2"/>
  <c r="B5165" i="2"/>
  <c r="E5165" i="2"/>
  <c r="A5166" i="2"/>
  <c r="B5166" i="2"/>
  <c r="E5166" i="2"/>
  <c r="A5167" i="2"/>
  <c r="B5167" i="2"/>
  <c r="E5167" i="2"/>
  <c r="A5168" i="2"/>
  <c r="B5168" i="2"/>
  <c r="E5168" i="2"/>
  <c r="A5169" i="2"/>
  <c r="B5169" i="2"/>
  <c r="E5169" i="2"/>
  <c r="A5170" i="2"/>
  <c r="B5170" i="2"/>
  <c r="E5170" i="2"/>
  <c r="A5171" i="2"/>
  <c r="B5171" i="2"/>
  <c r="E5171" i="2"/>
  <c r="A5172" i="2"/>
  <c r="B5172" i="2"/>
  <c r="E5172" i="2"/>
  <c r="A5173" i="2"/>
  <c r="B5173" i="2"/>
  <c r="E5173" i="2"/>
  <c r="A5174" i="2"/>
  <c r="B5174" i="2"/>
  <c r="E5174" i="2"/>
  <c r="A5175" i="2"/>
  <c r="B5175" i="2"/>
  <c r="E5175" i="2"/>
  <c r="A5176" i="2"/>
  <c r="B5176" i="2"/>
  <c r="E5176" i="2"/>
  <c r="A5177" i="2"/>
  <c r="B5177" i="2"/>
  <c r="E5177" i="2"/>
  <c r="A5178" i="2"/>
  <c r="B5178" i="2"/>
  <c r="E5178" i="2"/>
  <c r="A5179" i="2"/>
  <c r="B5179" i="2"/>
  <c r="E5179" i="2"/>
  <c r="A5180" i="2"/>
  <c r="B5180" i="2"/>
  <c r="E5180" i="2"/>
  <c r="A5181" i="2"/>
  <c r="B5181" i="2"/>
  <c r="E5181" i="2"/>
  <c r="A5182" i="2"/>
  <c r="B5182" i="2"/>
  <c r="E5182" i="2"/>
  <c r="A5183" i="2"/>
  <c r="B5183" i="2"/>
  <c r="E5183" i="2"/>
  <c r="A5184" i="2"/>
  <c r="B5184" i="2"/>
  <c r="E5184" i="2"/>
  <c r="A5185" i="2"/>
  <c r="B5185" i="2"/>
  <c r="E5185" i="2"/>
  <c r="A5186" i="2"/>
  <c r="B5186" i="2"/>
  <c r="E5186" i="2"/>
  <c r="A5187" i="2"/>
  <c r="B5187" i="2"/>
  <c r="E5187" i="2"/>
  <c r="A5188" i="2"/>
  <c r="B5188" i="2"/>
  <c r="E5188" i="2"/>
  <c r="A5189" i="2"/>
  <c r="B5189" i="2"/>
  <c r="E5189" i="2"/>
  <c r="A5190" i="2"/>
  <c r="B5190" i="2"/>
  <c r="E5190" i="2"/>
  <c r="A5191" i="2"/>
  <c r="B5191" i="2"/>
  <c r="E5191" i="2"/>
  <c r="A5192" i="2"/>
  <c r="B5192" i="2"/>
  <c r="E5192" i="2"/>
  <c r="A5193" i="2"/>
  <c r="B5193" i="2"/>
  <c r="E5193" i="2"/>
  <c r="A5194" i="2"/>
  <c r="B5194" i="2"/>
  <c r="E5194" i="2"/>
  <c r="A5195" i="2"/>
  <c r="B5195" i="2"/>
  <c r="E5195" i="2"/>
  <c r="A5196" i="2"/>
  <c r="B5196" i="2"/>
  <c r="E5196" i="2"/>
  <c r="A5197" i="2"/>
  <c r="B5197" i="2"/>
  <c r="E5197" i="2"/>
  <c r="A5198" i="2"/>
  <c r="B5198" i="2"/>
  <c r="E5198" i="2"/>
  <c r="A5199" i="2"/>
  <c r="B5199" i="2"/>
  <c r="E5199" i="2"/>
  <c r="A5200" i="2"/>
  <c r="B5200" i="2"/>
  <c r="E5200" i="2"/>
  <c r="A5201" i="2"/>
  <c r="B5201" i="2"/>
  <c r="E5201" i="2"/>
  <c r="A5202" i="2"/>
  <c r="B5202" i="2"/>
  <c r="E5202" i="2"/>
  <c r="A5203" i="2"/>
  <c r="B5203" i="2"/>
  <c r="E5203" i="2"/>
  <c r="A5204" i="2"/>
  <c r="B5204" i="2"/>
  <c r="E5204" i="2"/>
  <c r="A5205" i="2"/>
  <c r="B5205" i="2"/>
  <c r="E5205" i="2"/>
  <c r="A5206" i="2"/>
  <c r="B5206" i="2"/>
  <c r="E5206" i="2"/>
  <c r="A5207" i="2"/>
  <c r="B5207" i="2"/>
  <c r="E5207" i="2"/>
  <c r="A5208" i="2"/>
  <c r="B5208" i="2"/>
  <c r="E5208" i="2"/>
  <c r="A5209" i="2"/>
  <c r="B5209" i="2"/>
  <c r="E5209" i="2"/>
  <c r="A5210" i="2"/>
  <c r="B5210" i="2"/>
  <c r="E5210" i="2"/>
  <c r="A5211" i="2"/>
  <c r="B5211" i="2"/>
  <c r="E5211" i="2"/>
  <c r="A5212" i="2"/>
  <c r="B5212" i="2"/>
  <c r="E5212" i="2"/>
  <c r="A5213" i="2"/>
  <c r="B5213" i="2"/>
  <c r="E5213" i="2"/>
  <c r="A5214" i="2"/>
  <c r="B5214" i="2"/>
  <c r="E5214" i="2"/>
  <c r="A5215" i="2"/>
  <c r="B5215" i="2"/>
  <c r="E5215" i="2"/>
  <c r="A5216" i="2"/>
  <c r="B5216" i="2"/>
  <c r="E5216" i="2"/>
  <c r="A5217" i="2"/>
  <c r="B5217" i="2"/>
  <c r="E5217" i="2"/>
  <c r="A5218" i="2"/>
  <c r="B5218" i="2"/>
  <c r="E5218" i="2"/>
  <c r="A5219" i="2"/>
  <c r="B5219" i="2"/>
  <c r="E5219" i="2"/>
  <c r="A5220" i="2"/>
  <c r="B5220" i="2"/>
  <c r="E5220" i="2"/>
  <c r="A5221" i="2"/>
  <c r="B5221" i="2"/>
  <c r="E5221" i="2"/>
  <c r="A5222" i="2"/>
  <c r="B5222" i="2"/>
  <c r="E5222" i="2"/>
  <c r="A5223" i="2"/>
  <c r="B5223" i="2"/>
  <c r="E5223" i="2"/>
  <c r="A5224" i="2"/>
  <c r="B5224" i="2"/>
  <c r="E5224" i="2"/>
  <c r="A5225" i="2"/>
  <c r="B5225" i="2"/>
  <c r="E5225" i="2"/>
  <c r="A5226" i="2"/>
  <c r="B5226" i="2"/>
  <c r="E5226" i="2"/>
  <c r="A5227" i="2"/>
  <c r="B5227" i="2"/>
  <c r="E5227" i="2"/>
  <c r="A5228" i="2"/>
  <c r="B5228" i="2"/>
  <c r="E5228" i="2"/>
  <c r="A5229" i="2"/>
  <c r="B5229" i="2"/>
  <c r="E5229" i="2"/>
  <c r="A5230" i="2"/>
  <c r="B5230" i="2"/>
  <c r="E5230" i="2"/>
  <c r="A5231" i="2"/>
  <c r="B5231" i="2"/>
  <c r="E5231" i="2"/>
  <c r="A5232" i="2"/>
  <c r="B5232" i="2"/>
  <c r="E5232" i="2"/>
  <c r="A5233" i="2"/>
  <c r="B5233" i="2"/>
  <c r="E5233" i="2"/>
  <c r="A5234" i="2"/>
  <c r="B5234" i="2"/>
  <c r="E5234" i="2"/>
  <c r="A5235" i="2"/>
  <c r="B5235" i="2"/>
  <c r="E5235" i="2"/>
  <c r="A5236" i="2"/>
  <c r="B5236" i="2"/>
  <c r="E5236" i="2"/>
  <c r="A5237" i="2"/>
  <c r="B5237" i="2"/>
  <c r="E5237" i="2"/>
  <c r="A5238" i="2"/>
  <c r="B5238" i="2"/>
  <c r="E5238" i="2"/>
  <c r="A5239" i="2"/>
  <c r="B5239" i="2"/>
  <c r="E5239" i="2"/>
  <c r="A5240" i="2"/>
  <c r="B5240" i="2"/>
  <c r="E5240" i="2"/>
  <c r="A5241" i="2"/>
  <c r="B5241" i="2"/>
  <c r="E5241" i="2"/>
  <c r="A5242" i="2"/>
  <c r="B5242" i="2"/>
  <c r="E5242" i="2"/>
  <c r="A5243" i="2"/>
  <c r="B5243" i="2"/>
  <c r="E5243" i="2"/>
  <c r="A5244" i="2"/>
  <c r="B5244" i="2"/>
  <c r="E5244" i="2"/>
  <c r="A5245" i="2"/>
  <c r="B5245" i="2"/>
  <c r="E5245" i="2"/>
  <c r="A5246" i="2"/>
  <c r="B5246" i="2"/>
  <c r="E5246" i="2"/>
  <c r="A5247" i="2"/>
  <c r="B5247" i="2"/>
  <c r="E5247" i="2"/>
  <c r="A5248" i="2"/>
  <c r="B5248" i="2"/>
  <c r="E5248" i="2"/>
  <c r="A5249" i="2"/>
  <c r="B5249" i="2"/>
  <c r="E5249" i="2"/>
  <c r="A5250" i="2"/>
  <c r="B5250" i="2"/>
  <c r="E5250" i="2"/>
  <c r="A5251" i="2"/>
  <c r="B5251" i="2"/>
  <c r="E5251" i="2"/>
  <c r="A5252" i="2"/>
  <c r="B5252" i="2"/>
  <c r="E5252" i="2"/>
  <c r="A5253" i="2"/>
  <c r="B5253" i="2"/>
  <c r="E5253" i="2"/>
  <c r="A5254" i="2"/>
  <c r="B5254" i="2"/>
  <c r="E5254" i="2"/>
  <c r="A5255" i="2"/>
  <c r="B5255" i="2"/>
  <c r="E5255" i="2"/>
  <c r="A5256" i="2"/>
  <c r="B5256" i="2"/>
  <c r="E5256" i="2"/>
  <c r="A5257" i="2"/>
  <c r="B5257" i="2"/>
  <c r="E5257" i="2"/>
  <c r="A5258" i="2"/>
  <c r="B5258" i="2"/>
  <c r="E5258" i="2"/>
  <c r="A5259" i="2"/>
  <c r="B5259" i="2"/>
  <c r="E5259" i="2"/>
  <c r="A5260" i="2"/>
  <c r="B5260" i="2"/>
  <c r="E5260" i="2"/>
  <c r="A5261" i="2"/>
  <c r="B5261" i="2"/>
  <c r="E5261" i="2"/>
  <c r="A5262" i="2"/>
  <c r="B5262" i="2"/>
  <c r="E5262" i="2"/>
  <c r="A5263" i="2"/>
  <c r="B5263" i="2"/>
  <c r="E5263" i="2"/>
  <c r="A5264" i="2"/>
  <c r="B5264" i="2"/>
  <c r="E5264" i="2"/>
  <c r="A5265" i="2"/>
  <c r="B5265" i="2"/>
  <c r="E5265" i="2"/>
  <c r="A5266" i="2"/>
  <c r="B5266" i="2"/>
  <c r="E5266" i="2"/>
  <c r="A5267" i="2"/>
  <c r="B5267" i="2"/>
  <c r="E5267" i="2"/>
  <c r="A5268" i="2"/>
  <c r="B5268" i="2"/>
  <c r="E5268" i="2"/>
  <c r="A5269" i="2"/>
  <c r="B5269" i="2"/>
  <c r="E5269" i="2"/>
  <c r="A5270" i="2"/>
  <c r="B5270" i="2"/>
  <c r="E5270" i="2"/>
  <c r="A5271" i="2"/>
  <c r="B5271" i="2"/>
  <c r="E5271" i="2"/>
  <c r="A5272" i="2"/>
  <c r="B5272" i="2"/>
  <c r="E5272" i="2"/>
  <c r="A5273" i="2"/>
  <c r="B5273" i="2"/>
  <c r="E5273" i="2"/>
  <c r="A5274" i="2"/>
  <c r="B5274" i="2"/>
  <c r="E5274" i="2"/>
  <c r="A5275" i="2"/>
  <c r="B5275" i="2"/>
  <c r="E5275" i="2"/>
  <c r="A5276" i="2"/>
  <c r="B5276" i="2"/>
  <c r="E5276" i="2"/>
  <c r="A5277" i="2"/>
  <c r="B5277" i="2"/>
  <c r="E5277" i="2"/>
  <c r="A5278" i="2"/>
  <c r="B5278" i="2"/>
  <c r="E5278" i="2"/>
  <c r="A5279" i="2"/>
  <c r="B5279" i="2"/>
  <c r="E5279" i="2"/>
  <c r="A5280" i="2"/>
  <c r="B5280" i="2"/>
  <c r="E5280" i="2"/>
  <c r="A5281" i="2"/>
  <c r="B5281" i="2"/>
  <c r="E5281" i="2"/>
  <c r="A5282" i="2"/>
  <c r="B5282" i="2"/>
  <c r="E5282" i="2"/>
  <c r="A5283" i="2"/>
  <c r="B5283" i="2"/>
  <c r="E5283" i="2"/>
  <c r="A5284" i="2"/>
  <c r="B5284" i="2"/>
  <c r="E5284" i="2"/>
  <c r="A5285" i="2"/>
  <c r="B5285" i="2"/>
  <c r="E5285" i="2"/>
  <c r="A5286" i="2"/>
  <c r="B5286" i="2"/>
  <c r="E5286" i="2"/>
  <c r="A5287" i="2"/>
  <c r="B5287" i="2"/>
  <c r="E5287" i="2"/>
  <c r="A5288" i="2"/>
  <c r="B5288" i="2"/>
  <c r="E5288" i="2"/>
  <c r="A5289" i="2"/>
  <c r="B5289" i="2"/>
  <c r="E5289" i="2"/>
  <c r="A5290" i="2"/>
  <c r="B5290" i="2"/>
  <c r="E5290" i="2"/>
  <c r="A5291" i="2"/>
  <c r="B5291" i="2"/>
  <c r="E5291" i="2"/>
  <c r="A5292" i="2"/>
  <c r="B5292" i="2"/>
  <c r="E5292" i="2"/>
  <c r="A5293" i="2"/>
  <c r="B5293" i="2"/>
  <c r="E5293" i="2"/>
  <c r="A5294" i="2"/>
  <c r="B5294" i="2"/>
  <c r="E5294" i="2"/>
  <c r="A5295" i="2"/>
  <c r="B5295" i="2"/>
  <c r="E5295" i="2"/>
  <c r="A5296" i="2"/>
  <c r="B5296" i="2"/>
  <c r="E5296" i="2"/>
  <c r="A5297" i="2"/>
  <c r="B5297" i="2"/>
  <c r="E5297" i="2"/>
  <c r="A5298" i="2"/>
  <c r="B5298" i="2"/>
  <c r="E5298" i="2"/>
  <c r="A5299" i="2"/>
  <c r="B5299" i="2"/>
  <c r="E5299" i="2"/>
  <c r="A5300" i="2"/>
  <c r="B5300" i="2"/>
  <c r="E5300" i="2"/>
  <c r="A5301" i="2"/>
  <c r="B5301" i="2"/>
  <c r="E5301" i="2"/>
  <c r="A5302" i="2"/>
  <c r="B5302" i="2"/>
  <c r="E5302" i="2"/>
  <c r="A5303" i="2"/>
  <c r="B5303" i="2"/>
  <c r="E5303" i="2"/>
  <c r="A5304" i="2"/>
  <c r="B5304" i="2"/>
  <c r="E5304" i="2"/>
  <c r="A5305" i="2"/>
  <c r="B5305" i="2"/>
  <c r="E5305" i="2"/>
  <c r="A5306" i="2"/>
  <c r="B5306" i="2"/>
  <c r="E5306" i="2"/>
  <c r="A5307" i="2"/>
  <c r="B5307" i="2"/>
  <c r="E5307" i="2"/>
  <c r="A5308" i="2"/>
  <c r="B5308" i="2"/>
  <c r="E5308" i="2"/>
  <c r="A5309" i="2"/>
  <c r="B5309" i="2"/>
  <c r="E5309" i="2"/>
  <c r="A5310" i="2"/>
  <c r="B5310" i="2"/>
  <c r="E5310" i="2"/>
  <c r="A5311" i="2"/>
  <c r="B5311" i="2"/>
  <c r="E5311" i="2"/>
  <c r="A5312" i="2"/>
  <c r="B5312" i="2"/>
  <c r="E5312" i="2"/>
  <c r="A5313" i="2"/>
  <c r="B5313" i="2"/>
  <c r="E5313" i="2"/>
  <c r="A5314" i="2"/>
  <c r="B5314" i="2"/>
  <c r="E5314" i="2"/>
  <c r="A5315" i="2"/>
  <c r="B5315" i="2"/>
  <c r="E5315" i="2"/>
  <c r="A5316" i="2"/>
  <c r="B5316" i="2"/>
  <c r="E5316" i="2"/>
  <c r="A5317" i="2"/>
  <c r="B5317" i="2"/>
  <c r="E5317" i="2"/>
  <c r="A5318" i="2"/>
  <c r="B5318" i="2"/>
  <c r="E5318" i="2"/>
  <c r="A5319" i="2"/>
  <c r="B5319" i="2"/>
  <c r="E5319" i="2"/>
  <c r="A5320" i="2"/>
  <c r="B5320" i="2"/>
  <c r="E5320" i="2"/>
  <c r="A5321" i="2"/>
  <c r="B5321" i="2"/>
  <c r="E5321" i="2"/>
  <c r="A5322" i="2"/>
  <c r="B5322" i="2"/>
  <c r="E5322" i="2"/>
  <c r="A5323" i="2"/>
  <c r="B5323" i="2"/>
  <c r="E5323" i="2"/>
  <c r="A5324" i="2"/>
  <c r="B5324" i="2"/>
  <c r="E5324" i="2"/>
  <c r="A5325" i="2"/>
  <c r="B5325" i="2"/>
  <c r="E5325" i="2"/>
  <c r="A5326" i="2"/>
  <c r="B5326" i="2"/>
  <c r="E5326" i="2"/>
  <c r="A5327" i="2"/>
  <c r="B5327" i="2"/>
  <c r="E5327" i="2"/>
  <c r="A5328" i="2"/>
  <c r="B5328" i="2"/>
  <c r="E5328" i="2"/>
  <c r="A5329" i="2"/>
  <c r="B5329" i="2"/>
  <c r="E5329" i="2"/>
  <c r="A5330" i="2"/>
  <c r="B5330" i="2"/>
  <c r="E5330" i="2"/>
  <c r="A5331" i="2"/>
  <c r="B5331" i="2"/>
  <c r="E5331" i="2"/>
  <c r="A5332" i="2"/>
  <c r="B5332" i="2"/>
  <c r="E5332" i="2"/>
  <c r="A5333" i="2"/>
  <c r="B5333" i="2"/>
  <c r="E5333" i="2"/>
  <c r="A5334" i="2"/>
  <c r="B5334" i="2"/>
  <c r="E5334" i="2"/>
  <c r="A5335" i="2"/>
  <c r="B5335" i="2"/>
  <c r="E5335" i="2"/>
  <c r="A5336" i="2"/>
  <c r="B5336" i="2"/>
  <c r="E5336" i="2"/>
  <c r="A5337" i="2"/>
  <c r="B5337" i="2"/>
  <c r="E5337" i="2"/>
  <c r="A5338" i="2"/>
  <c r="B5338" i="2"/>
  <c r="E5338" i="2"/>
  <c r="A5339" i="2"/>
  <c r="B5339" i="2"/>
  <c r="E5339" i="2"/>
  <c r="A5340" i="2"/>
  <c r="B5340" i="2"/>
  <c r="E5340" i="2"/>
  <c r="A5341" i="2"/>
  <c r="B5341" i="2"/>
  <c r="E5341" i="2"/>
  <c r="A5342" i="2"/>
  <c r="B5342" i="2"/>
  <c r="E5342" i="2"/>
  <c r="A5343" i="2"/>
  <c r="B5343" i="2"/>
  <c r="E5343" i="2"/>
  <c r="A5344" i="2"/>
  <c r="B5344" i="2"/>
  <c r="E5344" i="2"/>
  <c r="A5345" i="2"/>
  <c r="B5345" i="2"/>
  <c r="E5345" i="2"/>
  <c r="A5346" i="2"/>
  <c r="B5346" i="2"/>
  <c r="E5346" i="2"/>
  <c r="A5347" i="2"/>
  <c r="B5347" i="2"/>
  <c r="E5347" i="2"/>
  <c r="A5348" i="2"/>
  <c r="B5348" i="2"/>
  <c r="E5348" i="2"/>
  <c r="A5349" i="2"/>
  <c r="B5349" i="2"/>
  <c r="E5349" i="2"/>
  <c r="A5350" i="2"/>
  <c r="B5350" i="2"/>
  <c r="E5350" i="2"/>
  <c r="A5351" i="2"/>
  <c r="B5351" i="2"/>
  <c r="E5351" i="2"/>
  <c r="A5352" i="2"/>
  <c r="B5352" i="2"/>
  <c r="E5352" i="2"/>
  <c r="A5353" i="2"/>
  <c r="B5353" i="2"/>
  <c r="E5353" i="2"/>
  <c r="A5354" i="2"/>
  <c r="B5354" i="2"/>
  <c r="E5354" i="2"/>
  <c r="A5355" i="2"/>
  <c r="B5355" i="2"/>
  <c r="E5355" i="2"/>
  <c r="A5356" i="2"/>
  <c r="B5356" i="2"/>
  <c r="E5356" i="2"/>
  <c r="A5357" i="2"/>
  <c r="B5357" i="2"/>
  <c r="E5357" i="2"/>
  <c r="A5358" i="2"/>
  <c r="B5358" i="2"/>
  <c r="E5358" i="2"/>
  <c r="A5359" i="2"/>
  <c r="B5359" i="2"/>
  <c r="E5359" i="2"/>
  <c r="A5360" i="2"/>
  <c r="B5360" i="2"/>
  <c r="E5360" i="2"/>
  <c r="A5361" i="2"/>
  <c r="B5361" i="2"/>
  <c r="E5361" i="2"/>
  <c r="A5362" i="2"/>
  <c r="B5362" i="2"/>
  <c r="E5362" i="2"/>
  <c r="A5363" i="2"/>
  <c r="B5363" i="2"/>
  <c r="E5363" i="2"/>
  <c r="A5364" i="2"/>
  <c r="B5364" i="2"/>
  <c r="E5364" i="2"/>
  <c r="A5365" i="2"/>
  <c r="B5365" i="2"/>
  <c r="E5365" i="2"/>
  <c r="A5366" i="2"/>
  <c r="B5366" i="2"/>
  <c r="E5366" i="2"/>
  <c r="A5367" i="2"/>
  <c r="B5367" i="2"/>
  <c r="E5367" i="2"/>
  <c r="A5368" i="2"/>
  <c r="B5368" i="2"/>
  <c r="E5368" i="2"/>
  <c r="A5369" i="2"/>
  <c r="B5369" i="2"/>
  <c r="E5369" i="2"/>
  <c r="A5370" i="2"/>
  <c r="B5370" i="2"/>
  <c r="E5370" i="2"/>
  <c r="A5371" i="2"/>
  <c r="B5371" i="2"/>
  <c r="E5371" i="2"/>
  <c r="A5372" i="2"/>
  <c r="B5372" i="2"/>
  <c r="E5372" i="2"/>
  <c r="A5373" i="2"/>
  <c r="B5373" i="2"/>
  <c r="E5373" i="2"/>
  <c r="A5374" i="2"/>
  <c r="B5374" i="2"/>
  <c r="E5374" i="2"/>
  <c r="A5375" i="2"/>
  <c r="B5375" i="2"/>
  <c r="E5375" i="2"/>
  <c r="A5376" i="2"/>
  <c r="B5376" i="2"/>
  <c r="E5376" i="2"/>
  <c r="A5377" i="2"/>
  <c r="B5377" i="2"/>
  <c r="E5377" i="2"/>
  <c r="A5378" i="2"/>
  <c r="B5378" i="2"/>
  <c r="E5378" i="2"/>
  <c r="A5379" i="2"/>
  <c r="B5379" i="2"/>
  <c r="E5379" i="2"/>
  <c r="A5380" i="2"/>
  <c r="B5380" i="2"/>
  <c r="E5380" i="2"/>
  <c r="A5381" i="2"/>
  <c r="B5381" i="2"/>
  <c r="E5381" i="2"/>
  <c r="A5382" i="2"/>
  <c r="B5382" i="2"/>
  <c r="E5382" i="2"/>
  <c r="A5383" i="2"/>
  <c r="B5383" i="2"/>
  <c r="E5383" i="2"/>
  <c r="A5384" i="2"/>
  <c r="B5384" i="2"/>
  <c r="E5384" i="2"/>
  <c r="A5385" i="2"/>
  <c r="B5385" i="2"/>
  <c r="E5385" i="2"/>
  <c r="A5386" i="2"/>
  <c r="B5386" i="2"/>
  <c r="E5386" i="2"/>
  <c r="A5387" i="2"/>
  <c r="B5387" i="2"/>
  <c r="E5387" i="2"/>
  <c r="A5388" i="2"/>
  <c r="B5388" i="2"/>
  <c r="E5388" i="2"/>
  <c r="A5389" i="2"/>
  <c r="B5389" i="2"/>
  <c r="E5389" i="2"/>
  <c r="A5390" i="2"/>
  <c r="B5390" i="2"/>
  <c r="E5390" i="2"/>
  <c r="A5391" i="2"/>
  <c r="B5391" i="2"/>
  <c r="E5391" i="2"/>
  <c r="A5392" i="2"/>
  <c r="B5392" i="2"/>
  <c r="E5392" i="2"/>
  <c r="A5393" i="2"/>
  <c r="B5393" i="2"/>
  <c r="E5393" i="2"/>
  <c r="A5394" i="2"/>
  <c r="B5394" i="2"/>
  <c r="E5394" i="2"/>
  <c r="A5395" i="2"/>
  <c r="B5395" i="2"/>
  <c r="E5395" i="2"/>
  <c r="A5396" i="2"/>
  <c r="B5396" i="2"/>
  <c r="E5396" i="2"/>
  <c r="A5397" i="2"/>
  <c r="B5397" i="2"/>
  <c r="E5397" i="2"/>
  <c r="A5398" i="2"/>
  <c r="B5398" i="2"/>
  <c r="E5398" i="2"/>
  <c r="A5399" i="2"/>
  <c r="B5399" i="2"/>
  <c r="E5399" i="2"/>
  <c r="A5400" i="2"/>
  <c r="B5400" i="2"/>
  <c r="E5400" i="2"/>
  <c r="A5401" i="2"/>
  <c r="B5401" i="2"/>
  <c r="E5401" i="2"/>
  <c r="A5402" i="2"/>
  <c r="B5402" i="2"/>
  <c r="E5402" i="2"/>
  <c r="A5403" i="2"/>
  <c r="B5403" i="2"/>
  <c r="E5403" i="2"/>
  <c r="A5404" i="2"/>
  <c r="B5404" i="2"/>
  <c r="E5404" i="2"/>
  <c r="A5405" i="2"/>
  <c r="B5405" i="2"/>
  <c r="E5405" i="2"/>
  <c r="A5406" i="2"/>
  <c r="B5406" i="2"/>
  <c r="E5406" i="2"/>
  <c r="A5407" i="2"/>
  <c r="B5407" i="2"/>
  <c r="E5407" i="2"/>
  <c r="A5408" i="2"/>
  <c r="B5408" i="2"/>
  <c r="E5408" i="2"/>
  <c r="A5409" i="2"/>
  <c r="B5409" i="2"/>
  <c r="E5409" i="2"/>
  <c r="A5410" i="2"/>
  <c r="B5410" i="2"/>
  <c r="E5410" i="2"/>
  <c r="A5411" i="2"/>
  <c r="B5411" i="2"/>
  <c r="E5411" i="2"/>
  <c r="A5412" i="2"/>
  <c r="B5412" i="2"/>
  <c r="E5412" i="2"/>
  <c r="A5413" i="2"/>
  <c r="B5413" i="2"/>
  <c r="E5413" i="2"/>
  <c r="A5414" i="2"/>
  <c r="B5414" i="2"/>
  <c r="E5414" i="2"/>
  <c r="A5415" i="2"/>
  <c r="B5415" i="2"/>
  <c r="E5415" i="2"/>
  <c r="A5416" i="2"/>
  <c r="B5416" i="2"/>
  <c r="E5416" i="2"/>
  <c r="A5417" i="2"/>
  <c r="B5417" i="2"/>
  <c r="E5417" i="2"/>
  <c r="A5418" i="2"/>
  <c r="B5418" i="2"/>
  <c r="E5418" i="2"/>
  <c r="A5419" i="2"/>
  <c r="B5419" i="2"/>
  <c r="E5419" i="2"/>
  <c r="A5420" i="2"/>
  <c r="B5420" i="2"/>
  <c r="E5420" i="2"/>
  <c r="A5421" i="2"/>
  <c r="B5421" i="2"/>
  <c r="E5421" i="2"/>
  <c r="A5422" i="2"/>
  <c r="B5422" i="2"/>
  <c r="E5422" i="2"/>
  <c r="A5423" i="2"/>
  <c r="B5423" i="2"/>
  <c r="E5423" i="2"/>
  <c r="A5424" i="2"/>
  <c r="B5424" i="2"/>
  <c r="E5424" i="2"/>
  <c r="A5425" i="2"/>
  <c r="B5425" i="2"/>
  <c r="E5425" i="2"/>
  <c r="A5426" i="2"/>
  <c r="B5426" i="2"/>
  <c r="E5426" i="2"/>
  <c r="A5427" i="2"/>
  <c r="B5427" i="2"/>
  <c r="E5427" i="2"/>
  <c r="A5428" i="2"/>
  <c r="B5428" i="2"/>
  <c r="E5428" i="2"/>
  <c r="A5429" i="2"/>
  <c r="B5429" i="2"/>
  <c r="E5429" i="2"/>
  <c r="A5430" i="2"/>
  <c r="B5430" i="2"/>
  <c r="E5430" i="2"/>
  <c r="A5431" i="2"/>
  <c r="B5431" i="2"/>
  <c r="E5431" i="2"/>
  <c r="A5432" i="2"/>
  <c r="B5432" i="2"/>
  <c r="E5432" i="2"/>
  <c r="A5433" i="2"/>
  <c r="B5433" i="2"/>
  <c r="E5433" i="2"/>
  <c r="A5434" i="2"/>
  <c r="B5434" i="2"/>
  <c r="E5434" i="2"/>
  <c r="A5435" i="2"/>
  <c r="B5435" i="2"/>
  <c r="E5435" i="2"/>
  <c r="A5436" i="2"/>
  <c r="B5436" i="2"/>
  <c r="E5436" i="2"/>
  <c r="A5437" i="2"/>
  <c r="B5437" i="2"/>
  <c r="E5437" i="2"/>
  <c r="A5438" i="2"/>
  <c r="B5438" i="2"/>
  <c r="E5438" i="2"/>
  <c r="A5439" i="2"/>
  <c r="B5439" i="2"/>
  <c r="E5439" i="2"/>
  <c r="A5440" i="2"/>
  <c r="B5440" i="2"/>
  <c r="E5440" i="2"/>
  <c r="A5441" i="2"/>
  <c r="B5441" i="2"/>
  <c r="E5441" i="2"/>
  <c r="A5442" i="2"/>
  <c r="B5442" i="2"/>
  <c r="E5442" i="2"/>
  <c r="A5443" i="2"/>
  <c r="B5443" i="2"/>
  <c r="E5443" i="2"/>
  <c r="A5444" i="2"/>
  <c r="B5444" i="2"/>
  <c r="E5444" i="2"/>
  <c r="A5445" i="2"/>
  <c r="B5445" i="2"/>
  <c r="E5445" i="2"/>
  <c r="A5446" i="2"/>
  <c r="B5446" i="2"/>
  <c r="E5446" i="2"/>
  <c r="A5447" i="2"/>
  <c r="B5447" i="2"/>
  <c r="E5447" i="2"/>
  <c r="A5448" i="2"/>
  <c r="B5448" i="2"/>
  <c r="E5448" i="2"/>
  <c r="A5449" i="2"/>
  <c r="B5449" i="2"/>
  <c r="E5449" i="2"/>
  <c r="A5450" i="2"/>
  <c r="B5450" i="2"/>
  <c r="E5450" i="2"/>
  <c r="A5451" i="2"/>
  <c r="B5451" i="2"/>
  <c r="E5451" i="2"/>
  <c r="A5452" i="2"/>
  <c r="B5452" i="2"/>
  <c r="E5452" i="2"/>
  <c r="A5453" i="2"/>
  <c r="B5453" i="2"/>
  <c r="E5453" i="2"/>
  <c r="A5454" i="2"/>
  <c r="B5454" i="2"/>
  <c r="E5454" i="2"/>
  <c r="A5455" i="2"/>
  <c r="B5455" i="2"/>
  <c r="E5455" i="2"/>
  <c r="A5456" i="2"/>
  <c r="B5456" i="2"/>
  <c r="E5456" i="2"/>
  <c r="A5457" i="2"/>
  <c r="B5457" i="2"/>
  <c r="E5457" i="2"/>
  <c r="A5458" i="2"/>
  <c r="B5458" i="2"/>
  <c r="E5458" i="2"/>
  <c r="A5459" i="2"/>
  <c r="B5459" i="2"/>
  <c r="E5459" i="2"/>
  <c r="A5460" i="2"/>
  <c r="B5460" i="2"/>
  <c r="E5460" i="2"/>
  <c r="A5461" i="2"/>
  <c r="B5461" i="2"/>
  <c r="E5461" i="2"/>
  <c r="A5462" i="2"/>
  <c r="B5462" i="2"/>
  <c r="E5462" i="2"/>
  <c r="A5463" i="2"/>
  <c r="B5463" i="2"/>
  <c r="E5463" i="2"/>
  <c r="A5464" i="2"/>
  <c r="B5464" i="2"/>
  <c r="E5464" i="2"/>
  <c r="A5465" i="2"/>
  <c r="B5465" i="2"/>
  <c r="E5465" i="2"/>
  <c r="A5466" i="2"/>
  <c r="B5466" i="2"/>
  <c r="E5466" i="2"/>
  <c r="A5467" i="2"/>
  <c r="B5467" i="2"/>
  <c r="E5467" i="2"/>
  <c r="A5468" i="2"/>
  <c r="B5468" i="2"/>
  <c r="E5468" i="2"/>
  <c r="A5469" i="2"/>
  <c r="B5469" i="2"/>
  <c r="E5469" i="2"/>
  <c r="A5470" i="2"/>
  <c r="B5470" i="2"/>
  <c r="E5470" i="2"/>
  <c r="A5471" i="2"/>
  <c r="B5471" i="2"/>
  <c r="E5471" i="2"/>
  <c r="A5472" i="2"/>
  <c r="B5472" i="2"/>
  <c r="E5472" i="2"/>
  <c r="A5473" i="2"/>
  <c r="B5473" i="2"/>
  <c r="E5473" i="2"/>
  <c r="A5474" i="2"/>
  <c r="B5474" i="2"/>
  <c r="E5474" i="2"/>
  <c r="A5475" i="2"/>
  <c r="B5475" i="2"/>
  <c r="E5475" i="2"/>
  <c r="A5476" i="2"/>
  <c r="B5476" i="2"/>
  <c r="E5476" i="2"/>
  <c r="A5477" i="2"/>
  <c r="B5477" i="2"/>
  <c r="E5477" i="2"/>
  <c r="A5478" i="2"/>
  <c r="B5478" i="2"/>
  <c r="E5478" i="2"/>
  <c r="A5479" i="2"/>
  <c r="B5479" i="2"/>
  <c r="E5479" i="2"/>
  <c r="A5480" i="2"/>
  <c r="B5480" i="2"/>
  <c r="E5480" i="2"/>
  <c r="A5481" i="2"/>
  <c r="B5481" i="2"/>
  <c r="E5481" i="2"/>
  <c r="A5482" i="2"/>
  <c r="B5482" i="2"/>
  <c r="E5482" i="2"/>
  <c r="A5483" i="2"/>
  <c r="B5483" i="2"/>
  <c r="E5483" i="2"/>
  <c r="A5484" i="2"/>
  <c r="B5484" i="2"/>
  <c r="E5484" i="2"/>
  <c r="A5485" i="2"/>
  <c r="B5485" i="2"/>
  <c r="E5485" i="2"/>
  <c r="A5486" i="2"/>
  <c r="B5486" i="2"/>
  <c r="E5486" i="2"/>
  <c r="A5487" i="2"/>
  <c r="B5487" i="2"/>
  <c r="E5487" i="2"/>
  <c r="A5488" i="2"/>
  <c r="B5488" i="2"/>
  <c r="E5488" i="2"/>
  <c r="A5489" i="2"/>
  <c r="B5489" i="2"/>
  <c r="E5489" i="2"/>
  <c r="A5490" i="2"/>
  <c r="B5490" i="2"/>
  <c r="E5490" i="2"/>
  <c r="A5491" i="2"/>
  <c r="B5491" i="2"/>
  <c r="E5491" i="2"/>
  <c r="A5492" i="2"/>
  <c r="B5492" i="2"/>
  <c r="E5492" i="2"/>
  <c r="A5493" i="2"/>
  <c r="B5493" i="2"/>
  <c r="E5493" i="2"/>
  <c r="A5494" i="2"/>
  <c r="B5494" i="2"/>
  <c r="E5494" i="2"/>
  <c r="A5495" i="2"/>
  <c r="B5495" i="2"/>
  <c r="E5495" i="2"/>
  <c r="A5496" i="2"/>
  <c r="B5496" i="2"/>
  <c r="E5496" i="2"/>
  <c r="A5497" i="2"/>
  <c r="B5497" i="2"/>
  <c r="E5497" i="2"/>
  <c r="A5498" i="2"/>
  <c r="B5498" i="2"/>
  <c r="E5498" i="2"/>
  <c r="A5499" i="2"/>
  <c r="B5499" i="2"/>
  <c r="E5499" i="2"/>
  <c r="A5500" i="2"/>
  <c r="B5500" i="2"/>
  <c r="E5500" i="2"/>
  <c r="A5501" i="2"/>
  <c r="B5501" i="2"/>
  <c r="E5501" i="2"/>
  <c r="A5502" i="2"/>
  <c r="B5502" i="2"/>
  <c r="E5502" i="2"/>
  <c r="A5503" i="2"/>
  <c r="B5503" i="2"/>
  <c r="E5503" i="2"/>
  <c r="A5504" i="2"/>
  <c r="B5504" i="2"/>
  <c r="E5504" i="2"/>
  <c r="A5505" i="2"/>
  <c r="B5505" i="2"/>
  <c r="E5505" i="2"/>
  <c r="A5506" i="2"/>
  <c r="B5506" i="2"/>
  <c r="E5506" i="2"/>
  <c r="A5507" i="2"/>
  <c r="B5507" i="2"/>
  <c r="E5507" i="2"/>
  <c r="A5508" i="2"/>
  <c r="B5508" i="2"/>
  <c r="E5508" i="2"/>
  <c r="A5509" i="2"/>
  <c r="B5509" i="2"/>
  <c r="E5509" i="2"/>
  <c r="A5510" i="2"/>
  <c r="B5510" i="2"/>
  <c r="E5510" i="2"/>
  <c r="A5511" i="2"/>
  <c r="B5511" i="2"/>
  <c r="E5511" i="2"/>
  <c r="A5512" i="2"/>
  <c r="B5512" i="2"/>
  <c r="E5512" i="2"/>
  <c r="A5513" i="2"/>
  <c r="B5513" i="2"/>
  <c r="E5513" i="2"/>
  <c r="A5514" i="2"/>
  <c r="B5514" i="2"/>
  <c r="E5514" i="2"/>
  <c r="A5515" i="2"/>
  <c r="B5515" i="2"/>
  <c r="E5515" i="2"/>
  <c r="A5516" i="2"/>
  <c r="B5516" i="2"/>
  <c r="E5516" i="2"/>
  <c r="A5517" i="2"/>
  <c r="B5517" i="2"/>
  <c r="E5517" i="2"/>
  <c r="A5518" i="2"/>
  <c r="B5518" i="2"/>
  <c r="E5518" i="2"/>
  <c r="A5519" i="2"/>
  <c r="B5519" i="2"/>
  <c r="E5519" i="2"/>
  <c r="A5520" i="2"/>
  <c r="B5520" i="2"/>
  <c r="E5520" i="2"/>
  <c r="A5521" i="2"/>
  <c r="B5521" i="2"/>
  <c r="E5521" i="2"/>
  <c r="A5522" i="2"/>
  <c r="B5522" i="2"/>
  <c r="E5522" i="2"/>
  <c r="A5523" i="2"/>
  <c r="B5523" i="2"/>
  <c r="E5523" i="2"/>
  <c r="A5524" i="2"/>
  <c r="B5524" i="2"/>
  <c r="E5524" i="2"/>
  <c r="A5525" i="2"/>
  <c r="B5525" i="2"/>
  <c r="E5525" i="2"/>
  <c r="A5526" i="2"/>
  <c r="B5526" i="2"/>
  <c r="E5526" i="2"/>
  <c r="A5527" i="2"/>
  <c r="B5527" i="2"/>
  <c r="E5527" i="2"/>
  <c r="A5528" i="2"/>
  <c r="B5528" i="2"/>
  <c r="E5528" i="2"/>
  <c r="A5529" i="2"/>
  <c r="B5529" i="2"/>
  <c r="E5529" i="2"/>
  <c r="A5530" i="2"/>
  <c r="B5530" i="2"/>
  <c r="E5530" i="2"/>
  <c r="A5531" i="2"/>
  <c r="B5531" i="2"/>
  <c r="E5531" i="2"/>
  <c r="A5532" i="2"/>
  <c r="B5532" i="2"/>
  <c r="E5532" i="2"/>
  <c r="A5533" i="2"/>
  <c r="B5533" i="2"/>
  <c r="E5533" i="2"/>
  <c r="A5534" i="2"/>
  <c r="B5534" i="2"/>
  <c r="E5534" i="2"/>
  <c r="A5535" i="2"/>
  <c r="B5535" i="2"/>
  <c r="E5535" i="2"/>
  <c r="A5536" i="2"/>
  <c r="B5536" i="2"/>
  <c r="E5536" i="2"/>
  <c r="A5537" i="2"/>
  <c r="B5537" i="2"/>
  <c r="E5537" i="2"/>
  <c r="A5538" i="2"/>
  <c r="B5538" i="2"/>
  <c r="E5538" i="2"/>
  <c r="A5539" i="2"/>
  <c r="B5539" i="2"/>
  <c r="E5539" i="2"/>
  <c r="A5540" i="2"/>
  <c r="B5540" i="2"/>
  <c r="E5540" i="2"/>
  <c r="A5541" i="2"/>
  <c r="B5541" i="2"/>
  <c r="E5541" i="2"/>
  <c r="A5542" i="2"/>
  <c r="B5542" i="2"/>
  <c r="E5542" i="2"/>
  <c r="A5543" i="2"/>
  <c r="B5543" i="2"/>
  <c r="E5543" i="2"/>
  <c r="A5544" i="2"/>
  <c r="B5544" i="2"/>
  <c r="E5544" i="2"/>
  <c r="A5545" i="2"/>
  <c r="B5545" i="2"/>
  <c r="E5545" i="2"/>
  <c r="A5546" i="2"/>
  <c r="B5546" i="2"/>
  <c r="E5546" i="2"/>
  <c r="A5547" i="2"/>
  <c r="B5547" i="2"/>
  <c r="E5547" i="2"/>
  <c r="A5548" i="2"/>
  <c r="B5548" i="2"/>
  <c r="E5548" i="2"/>
  <c r="A5549" i="2"/>
  <c r="B5549" i="2"/>
  <c r="E5549" i="2"/>
  <c r="A5550" i="2"/>
  <c r="B5550" i="2"/>
  <c r="E5550" i="2"/>
  <c r="A5551" i="2"/>
  <c r="B5551" i="2"/>
  <c r="E5551" i="2"/>
  <c r="A5552" i="2"/>
  <c r="B5552" i="2"/>
  <c r="E5552" i="2"/>
  <c r="A5553" i="2"/>
  <c r="B5553" i="2"/>
  <c r="E5553" i="2"/>
  <c r="A5554" i="2"/>
  <c r="B5554" i="2"/>
  <c r="E5554" i="2"/>
  <c r="A5555" i="2"/>
  <c r="B5555" i="2"/>
  <c r="E5555" i="2"/>
  <c r="A5556" i="2"/>
  <c r="B5556" i="2"/>
  <c r="E5556" i="2"/>
  <c r="A5557" i="2"/>
  <c r="B5557" i="2"/>
  <c r="E5557" i="2"/>
  <c r="A5558" i="2"/>
  <c r="B5558" i="2"/>
  <c r="E5558" i="2"/>
  <c r="A5559" i="2"/>
  <c r="B5559" i="2"/>
  <c r="E5559" i="2"/>
  <c r="A5560" i="2"/>
  <c r="B5560" i="2"/>
  <c r="E5560" i="2"/>
  <c r="A5561" i="2"/>
  <c r="B5561" i="2"/>
  <c r="E5561" i="2"/>
  <c r="A5562" i="2"/>
  <c r="B5562" i="2"/>
  <c r="E5562" i="2"/>
  <c r="A5563" i="2"/>
  <c r="B5563" i="2"/>
  <c r="E5563" i="2"/>
  <c r="A5564" i="2"/>
  <c r="B5564" i="2"/>
  <c r="E5564" i="2"/>
  <c r="A5565" i="2"/>
  <c r="B5565" i="2"/>
  <c r="E5565" i="2"/>
  <c r="A5566" i="2"/>
  <c r="B5566" i="2"/>
  <c r="E5566" i="2"/>
  <c r="A5567" i="2"/>
  <c r="B5567" i="2"/>
  <c r="E5567" i="2"/>
  <c r="A5568" i="2"/>
  <c r="B5568" i="2"/>
  <c r="E5568" i="2"/>
  <c r="A5569" i="2"/>
  <c r="B5569" i="2"/>
  <c r="E5569" i="2"/>
  <c r="A5570" i="2"/>
  <c r="B5570" i="2"/>
  <c r="E5570" i="2"/>
  <c r="A5571" i="2"/>
  <c r="B5571" i="2"/>
  <c r="E5571" i="2"/>
  <c r="A5572" i="2"/>
  <c r="B5572" i="2"/>
  <c r="E5572" i="2"/>
  <c r="A5573" i="2"/>
  <c r="B5573" i="2"/>
  <c r="E5573" i="2"/>
  <c r="A5574" i="2"/>
  <c r="B5574" i="2"/>
  <c r="E5574" i="2"/>
  <c r="A5575" i="2"/>
  <c r="B5575" i="2"/>
  <c r="E5575" i="2"/>
  <c r="A5576" i="2"/>
  <c r="B5576" i="2"/>
  <c r="E5576" i="2"/>
  <c r="A5577" i="2"/>
  <c r="B5577" i="2"/>
  <c r="E5577" i="2"/>
  <c r="A5578" i="2"/>
  <c r="B5578" i="2"/>
  <c r="E5578" i="2"/>
  <c r="A5579" i="2"/>
  <c r="B5579" i="2"/>
  <c r="E5579" i="2"/>
  <c r="A5580" i="2"/>
  <c r="B5580" i="2"/>
  <c r="E5580" i="2"/>
  <c r="A5581" i="2"/>
  <c r="B5581" i="2"/>
  <c r="E5581" i="2"/>
  <c r="A5582" i="2"/>
  <c r="B5582" i="2"/>
  <c r="E5582" i="2"/>
  <c r="A5583" i="2"/>
  <c r="B5583" i="2"/>
  <c r="E5583" i="2"/>
  <c r="A5584" i="2"/>
  <c r="B5584" i="2"/>
  <c r="E5584" i="2"/>
  <c r="A5585" i="2"/>
  <c r="B5585" i="2"/>
  <c r="E5585" i="2"/>
  <c r="A5586" i="2"/>
  <c r="B5586" i="2"/>
  <c r="E5586" i="2"/>
  <c r="A5587" i="2"/>
  <c r="B5587" i="2"/>
  <c r="E5587" i="2"/>
  <c r="A5588" i="2"/>
  <c r="B5588" i="2"/>
  <c r="E5588" i="2"/>
  <c r="A5589" i="2"/>
  <c r="B5589" i="2"/>
  <c r="E5589" i="2"/>
  <c r="A5590" i="2"/>
  <c r="B5590" i="2"/>
  <c r="E5590" i="2"/>
  <c r="A5591" i="2"/>
  <c r="B5591" i="2"/>
  <c r="E5591" i="2"/>
  <c r="A5592" i="2"/>
  <c r="B5592" i="2"/>
  <c r="E5592" i="2"/>
  <c r="A5593" i="2"/>
  <c r="B5593" i="2"/>
  <c r="E5593" i="2"/>
  <c r="A5594" i="2"/>
  <c r="B5594" i="2"/>
  <c r="E5594" i="2"/>
  <c r="A5595" i="2"/>
  <c r="B5595" i="2"/>
  <c r="E5595" i="2"/>
  <c r="A5596" i="2"/>
  <c r="B5596" i="2"/>
  <c r="E5596" i="2"/>
  <c r="A5597" i="2"/>
  <c r="B5597" i="2"/>
  <c r="E5597" i="2"/>
  <c r="A5598" i="2"/>
  <c r="B5598" i="2"/>
  <c r="E5598" i="2"/>
  <c r="A5599" i="2"/>
  <c r="B5599" i="2"/>
  <c r="E5599" i="2"/>
  <c r="A5600" i="2"/>
  <c r="B5600" i="2"/>
  <c r="E5600" i="2"/>
  <c r="A5601" i="2"/>
  <c r="B5601" i="2"/>
  <c r="E5601" i="2"/>
  <c r="A5602" i="2"/>
  <c r="B5602" i="2"/>
  <c r="E5602" i="2"/>
  <c r="A5603" i="2"/>
  <c r="B5603" i="2"/>
  <c r="E5603" i="2"/>
  <c r="A5604" i="2"/>
  <c r="B5604" i="2"/>
  <c r="E5604" i="2"/>
  <c r="A5605" i="2"/>
  <c r="B5605" i="2"/>
  <c r="E5605" i="2"/>
  <c r="A5606" i="2"/>
  <c r="B5606" i="2"/>
  <c r="E5606" i="2"/>
  <c r="A5607" i="2"/>
  <c r="B5607" i="2"/>
  <c r="E5607" i="2"/>
  <c r="A5608" i="2"/>
  <c r="B5608" i="2"/>
  <c r="E5608" i="2"/>
  <c r="A5609" i="2"/>
  <c r="B5609" i="2"/>
  <c r="E5609" i="2"/>
  <c r="A5610" i="2"/>
  <c r="B5610" i="2"/>
  <c r="E5610" i="2"/>
  <c r="A5611" i="2"/>
  <c r="B5611" i="2"/>
  <c r="E5611" i="2"/>
  <c r="A5612" i="2"/>
  <c r="B5612" i="2"/>
  <c r="E5612" i="2"/>
  <c r="A5613" i="2"/>
  <c r="B5613" i="2"/>
  <c r="E5613" i="2"/>
  <c r="A5614" i="2"/>
  <c r="B5614" i="2"/>
  <c r="E5614" i="2"/>
  <c r="A5615" i="2"/>
  <c r="B5615" i="2"/>
  <c r="E5615" i="2"/>
  <c r="A5616" i="2"/>
  <c r="B5616" i="2"/>
  <c r="E5616" i="2"/>
  <c r="A5617" i="2"/>
  <c r="B5617" i="2"/>
  <c r="E5617" i="2"/>
  <c r="A5618" i="2"/>
  <c r="B5618" i="2"/>
  <c r="E5618" i="2"/>
  <c r="A5619" i="2"/>
  <c r="B5619" i="2"/>
  <c r="E5619" i="2"/>
  <c r="A5620" i="2"/>
  <c r="B5620" i="2"/>
  <c r="E5620" i="2"/>
  <c r="A5621" i="2"/>
  <c r="B5621" i="2"/>
  <c r="E5621" i="2"/>
  <c r="A5622" i="2"/>
  <c r="B5622" i="2"/>
  <c r="E5622" i="2"/>
  <c r="A5623" i="2"/>
  <c r="B5623" i="2"/>
  <c r="E5623" i="2"/>
  <c r="A5624" i="2"/>
  <c r="B5624" i="2"/>
  <c r="E5624" i="2"/>
  <c r="A5625" i="2"/>
  <c r="B5625" i="2"/>
  <c r="E5625" i="2"/>
  <c r="A5626" i="2"/>
  <c r="B5626" i="2"/>
  <c r="E5626" i="2"/>
  <c r="A5627" i="2"/>
  <c r="B5627" i="2"/>
  <c r="E5627" i="2"/>
  <c r="A5628" i="2"/>
  <c r="B5628" i="2"/>
  <c r="E5628" i="2"/>
  <c r="A5629" i="2"/>
  <c r="B5629" i="2"/>
  <c r="E5629" i="2"/>
  <c r="A5630" i="2"/>
  <c r="B5630" i="2"/>
  <c r="E5630" i="2"/>
  <c r="A5631" i="2"/>
  <c r="B5631" i="2"/>
  <c r="E5631" i="2"/>
  <c r="A5632" i="2"/>
  <c r="B5632" i="2"/>
  <c r="E5632" i="2"/>
  <c r="A5633" i="2"/>
  <c r="B5633" i="2"/>
  <c r="E5633" i="2"/>
  <c r="A5634" i="2"/>
  <c r="B5634" i="2"/>
  <c r="E5634" i="2"/>
  <c r="A5635" i="2"/>
  <c r="B5635" i="2"/>
  <c r="E5635" i="2"/>
  <c r="A5636" i="2"/>
  <c r="B5636" i="2"/>
  <c r="E5636" i="2"/>
  <c r="A5637" i="2"/>
  <c r="B5637" i="2"/>
  <c r="E5637" i="2"/>
  <c r="A5638" i="2"/>
  <c r="B5638" i="2"/>
  <c r="E5638" i="2"/>
  <c r="A5639" i="2"/>
  <c r="B5639" i="2"/>
  <c r="E5639" i="2"/>
  <c r="A5640" i="2"/>
  <c r="B5640" i="2"/>
  <c r="E5640" i="2"/>
  <c r="A5641" i="2"/>
  <c r="B5641" i="2"/>
  <c r="E5641" i="2"/>
  <c r="A5642" i="2"/>
  <c r="B5642" i="2"/>
  <c r="E5642" i="2"/>
  <c r="A5643" i="2"/>
  <c r="B5643" i="2"/>
  <c r="E5643" i="2"/>
  <c r="A5644" i="2"/>
  <c r="B5644" i="2"/>
  <c r="E5644" i="2"/>
  <c r="A5645" i="2"/>
  <c r="B5645" i="2"/>
  <c r="E5645" i="2"/>
  <c r="A5646" i="2"/>
  <c r="B5646" i="2"/>
  <c r="E5646" i="2"/>
  <c r="A5647" i="2"/>
  <c r="B5647" i="2"/>
  <c r="E5647" i="2"/>
  <c r="A5648" i="2"/>
  <c r="B5648" i="2"/>
  <c r="E5648" i="2"/>
  <c r="A5649" i="2"/>
  <c r="B5649" i="2"/>
  <c r="E5649" i="2"/>
  <c r="A5650" i="2"/>
  <c r="B5650" i="2"/>
  <c r="E5650" i="2"/>
  <c r="A5651" i="2"/>
  <c r="B5651" i="2"/>
  <c r="E5651" i="2"/>
  <c r="A5652" i="2"/>
  <c r="B5652" i="2"/>
  <c r="E5652" i="2"/>
  <c r="A5653" i="2"/>
  <c r="B5653" i="2"/>
  <c r="E5653" i="2"/>
  <c r="A5654" i="2"/>
  <c r="B5654" i="2"/>
  <c r="E5654" i="2"/>
  <c r="A5655" i="2"/>
  <c r="B5655" i="2"/>
  <c r="E5655" i="2"/>
  <c r="A5656" i="2"/>
  <c r="B5656" i="2"/>
  <c r="E5656" i="2"/>
  <c r="A5657" i="2"/>
  <c r="B5657" i="2"/>
  <c r="E5657" i="2"/>
  <c r="A5658" i="2"/>
  <c r="B5658" i="2"/>
  <c r="E5658" i="2"/>
  <c r="A5659" i="2"/>
  <c r="B5659" i="2"/>
  <c r="E5659" i="2"/>
  <c r="A5660" i="2"/>
  <c r="B5660" i="2"/>
  <c r="E5660" i="2"/>
  <c r="A5661" i="2"/>
  <c r="B5661" i="2"/>
  <c r="E5661" i="2"/>
  <c r="A5662" i="2"/>
  <c r="B5662" i="2"/>
  <c r="E5662" i="2"/>
  <c r="A5663" i="2"/>
  <c r="B5663" i="2"/>
  <c r="E5663" i="2"/>
  <c r="A5664" i="2"/>
  <c r="B5664" i="2"/>
  <c r="E5664" i="2"/>
  <c r="A5665" i="2"/>
  <c r="B5665" i="2"/>
  <c r="E5665" i="2"/>
  <c r="A5666" i="2"/>
  <c r="B5666" i="2"/>
  <c r="E5666" i="2"/>
  <c r="A5667" i="2"/>
  <c r="B5667" i="2"/>
  <c r="E5667" i="2"/>
  <c r="A5668" i="2"/>
  <c r="B5668" i="2"/>
  <c r="E5668" i="2"/>
  <c r="A5669" i="2"/>
  <c r="B5669" i="2"/>
  <c r="E5669" i="2"/>
  <c r="A5670" i="2"/>
  <c r="B5670" i="2"/>
  <c r="E5670" i="2"/>
  <c r="A5671" i="2"/>
  <c r="B5671" i="2"/>
  <c r="E5671" i="2"/>
  <c r="A5672" i="2"/>
  <c r="B5672" i="2"/>
  <c r="E5672" i="2"/>
  <c r="A5673" i="2"/>
  <c r="B5673" i="2"/>
  <c r="E5673" i="2"/>
  <c r="A5674" i="2"/>
  <c r="B5674" i="2"/>
  <c r="E5674" i="2"/>
  <c r="A5675" i="2"/>
  <c r="B5675" i="2"/>
  <c r="E5675" i="2"/>
  <c r="A5676" i="2"/>
  <c r="B5676" i="2"/>
  <c r="E5676" i="2"/>
  <c r="A5677" i="2"/>
  <c r="B5677" i="2"/>
  <c r="E5677" i="2"/>
  <c r="A5678" i="2"/>
  <c r="B5678" i="2"/>
  <c r="E5678" i="2"/>
  <c r="A5679" i="2"/>
  <c r="B5679" i="2"/>
  <c r="E5679" i="2"/>
  <c r="A5680" i="2"/>
  <c r="B5680" i="2"/>
  <c r="E5680" i="2"/>
  <c r="A5681" i="2"/>
  <c r="B5681" i="2"/>
  <c r="E5681" i="2"/>
  <c r="A5682" i="2"/>
  <c r="B5682" i="2"/>
  <c r="E5682" i="2"/>
  <c r="A5683" i="2"/>
  <c r="B5683" i="2"/>
  <c r="E5683" i="2"/>
  <c r="A5684" i="2"/>
  <c r="B5684" i="2"/>
  <c r="E5684" i="2"/>
  <c r="A5685" i="2"/>
  <c r="B5685" i="2"/>
  <c r="E5685" i="2"/>
  <c r="A5686" i="2"/>
  <c r="B5686" i="2"/>
  <c r="E5686" i="2"/>
  <c r="A5687" i="2"/>
  <c r="B5687" i="2"/>
  <c r="E5687" i="2"/>
  <c r="A5688" i="2"/>
  <c r="B5688" i="2"/>
  <c r="E5688" i="2"/>
  <c r="A5689" i="2"/>
  <c r="B5689" i="2"/>
  <c r="E5689" i="2"/>
  <c r="A5690" i="2"/>
  <c r="B5690" i="2"/>
  <c r="E5690" i="2"/>
  <c r="A5691" i="2"/>
  <c r="B5691" i="2"/>
  <c r="E5691" i="2"/>
  <c r="A5692" i="2"/>
  <c r="B5692" i="2"/>
  <c r="E5692" i="2"/>
  <c r="A5693" i="2"/>
  <c r="B5693" i="2"/>
  <c r="E5693" i="2"/>
  <c r="A5694" i="2"/>
  <c r="B5694" i="2"/>
  <c r="E5694" i="2"/>
  <c r="A5695" i="2"/>
  <c r="B5695" i="2"/>
  <c r="E5695" i="2"/>
  <c r="A5696" i="2"/>
  <c r="B5696" i="2"/>
  <c r="E5696" i="2"/>
  <c r="A5697" i="2"/>
  <c r="B5697" i="2"/>
  <c r="E5697" i="2"/>
  <c r="A5698" i="2"/>
  <c r="B5698" i="2"/>
  <c r="E5698" i="2"/>
  <c r="A5699" i="2"/>
  <c r="B5699" i="2"/>
  <c r="E5699" i="2"/>
  <c r="A5700" i="2"/>
  <c r="B5700" i="2"/>
  <c r="E5700" i="2"/>
  <c r="A5701" i="2"/>
  <c r="B5701" i="2"/>
  <c r="E5701" i="2"/>
  <c r="A5702" i="2"/>
  <c r="B5702" i="2"/>
  <c r="E5702" i="2"/>
  <c r="A5703" i="2"/>
  <c r="B5703" i="2"/>
  <c r="E5703" i="2"/>
  <c r="A5704" i="2"/>
  <c r="B5704" i="2"/>
  <c r="E5704" i="2"/>
  <c r="A5705" i="2"/>
  <c r="B5705" i="2"/>
  <c r="E5705" i="2"/>
  <c r="A5706" i="2"/>
  <c r="B5706" i="2"/>
  <c r="E5706" i="2"/>
  <c r="A5707" i="2"/>
  <c r="B5707" i="2"/>
  <c r="E5707" i="2"/>
  <c r="A5708" i="2"/>
  <c r="B5708" i="2"/>
  <c r="E5708" i="2"/>
  <c r="A5709" i="2"/>
  <c r="B5709" i="2"/>
  <c r="E5709" i="2"/>
  <c r="A5710" i="2"/>
  <c r="B5710" i="2"/>
  <c r="E5710" i="2"/>
  <c r="A5711" i="2"/>
  <c r="B5711" i="2"/>
  <c r="E5711" i="2"/>
  <c r="A5712" i="2"/>
  <c r="B5712" i="2"/>
  <c r="E5712" i="2"/>
  <c r="A5713" i="2"/>
  <c r="B5713" i="2"/>
  <c r="E5713" i="2"/>
  <c r="A5714" i="2"/>
  <c r="B5714" i="2"/>
  <c r="E5714" i="2"/>
  <c r="A5715" i="2"/>
  <c r="B5715" i="2"/>
  <c r="E5715" i="2"/>
  <c r="A5716" i="2"/>
  <c r="B5716" i="2"/>
  <c r="E5716" i="2"/>
  <c r="A5717" i="2"/>
  <c r="B5717" i="2"/>
  <c r="E5717" i="2"/>
  <c r="A5718" i="2"/>
  <c r="B5718" i="2"/>
  <c r="E5718" i="2"/>
  <c r="A5719" i="2"/>
  <c r="B5719" i="2"/>
  <c r="E5719" i="2"/>
  <c r="A5720" i="2"/>
  <c r="B5720" i="2"/>
  <c r="E5720" i="2"/>
  <c r="A5721" i="2"/>
  <c r="B5721" i="2"/>
  <c r="E5721" i="2"/>
  <c r="A5722" i="2"/>
  <c r="B5722" i="2"/>
  <c r="E5722" i="2"/>
  <c r="A5723" i="2"/>
  <c r="B5723" i="2"/>
  <c r="E5723" i="2"/>
  <c r="A5724" i="2"/>
  <c r="B5724" i="2"/>
  <c r="E5724" i="2"/>
  <c r="A5725" i="2"/>
  <c r="B5725" i="2"/>
  <c r="E5725" i="2"/>
  <c r="A5726" i="2"/>
  <c r="B5726" i="2"/>
  <c r="E5726" i="2"/>
  <c r="A5727" i="2"/>
  <c r="B5727" i="2"/>
  <c r="E5727" i="2"/>
  <c r="A5728" i="2"/>
  <c r="B5728" i="2"/>
  <c r="E5728" i="2"/>
  <c r="A5729" i="2"/>
  <c r="B5729" i="2"/>
  <c r="E5729" i="2"/>
  <c r="A5730" i="2"/>
  <c r="B5730" i="2"/>
  <c r="E5730" i="2"/>
  <c r="A5731" i="2"/>
  <c r="B5731" i="2"/>
  <c r="E5731" i="2"/>
  <c r="A5732" i="2"/>
  <c r="B5732" i="2"/>
  <c r="E5732" i="2"/>
  <c r="A5733" i="2"/>
  <c r="B5733" i="2"/>
  <c r="E5733" i="2"/>
  <c r="A5734" i="2"/>
  <c r="B5734" i="2"/>
  <c r="E5734" i="2"/>
  <c r="A5735" i="2"/>
  <c r="B5735" i="2"/>
  <c r="E5735" i="2"/>
  <c r="A5736" i="2"/>
  <c r="B5736" i="2"/>
  <c r="E5736" i="2"/>
  <c r="A5737" i="2"/>
  <c r="B5737" i="2"/>
  <c r="E5737" i="2"/>
  <c r="A5738" i="2"/>
  <c r="B5738" i="2"/>
  <c r="E5738" i="2"/>
  <c r="A5739" i="2"/>
  <c r="B5739" i="2"/>
  <c r="E5739" i="2"/>
  <c r="A5740" i="2"/>
  <c r="B5740" i="2"/>
  <c r="E5740" i="2"/>
  <c r="A5741" i="2"/>
  <c r="B5741" i="2"/>
  <c r="E5741" i="2"/>
  <c r="A5742" i="2"/>
  <c r="B5742" i="2"/>
  <c r="E5742" i="2"/>
  <c r="A5743" i="2"/>
  <c r="B5743" i="2"/>
  <c r="E5743" i="2"/>
  <c r="A5744" i="2"/>
  <c r="B5744" i="2"/>
  <c r="E5744" i="2"/>
  <c r="A5745" i="2"/>
  <c r="B5745" i="2"/>
  <c r="E5745" i="2"/>
  <c r="A5746" i="2"/>
  <c r="B5746" i="2"/>
  <c r="E5746" i="2"/>
  <c r="A5747" i="2"/>
  <c r="B5747" i="2"/>
  <c r="E5747" i="2"/>
  <c r="A5748" i="2"/>
  <c r="B5748" i="2"/>
  <c r="E5748" i="2"/>
  <c r="A5749" i="2"/>
  <c r="B5749" i="2"/>
  <c r="E5749" i="2"/>
  <c r="A5750" i="2"/>
  <c r="B5750" i="2"/>
  <c r="E5750" i="2"/>
  <c r="A5751" i="2"/>
  <c r="B5751" i="2"/>
  <c r="E5751" i="2"/>
  <c r="A5752" i="2"/>
  <c r="B5752" i="2"/>
  <c r="E5752" i="2"/>
  <c r="A5753" i="2"/>
  <c r="B5753" i="2"/>
  <c r="E5753" i="2"/>
  <c r="A5754" i="2"/>
  <c r="B5754" i="2"/>
  <c r="E5754" i="2"/>
  <c r="A5755" i="2"/>
  <c r="B5755" i="2"/>
  <c r="E5755" i="2"/>
  <c r="A5756" i="2"/>
  <c r="B5756" i="2"/>
  <c r="E5756" i="2"/>
  <c r="A5757" i="2"/>
  <c r="B5757" i="2"/>
  <c r="E5757" i="2"/>
  <c r="A5758" i="2"/>
  <c r="B5758" i="2"/>
  <c r="E5758" i="2"/>
  <c r="A5759" i="2"/>
  <c r="B5759" i="2"/>
  <c r="E5759" i="2"/>
  <c r="A5760" i="2"/>
  <c r="B5760" i="2"/>
  <c r="E5760" i="2"/>
  <c r="A5761" i="2"/>
  <c r="B5761" i="2"/>
  <c r="E5761" i="2"/>
  <c r="A5762" i="2"/>
  <c r="B5762" i="2"/>
  <c r="E5762" i="2"/>
  <c r="A5763" i="2"/>
  <c r="B5763" i="2"/>
  <c r="E5763" i="2"/>
  <c r="A5764" i="2"/>
  <c r="B5764" i="2"/>
  <c r="E5764" i="2"/>
  <c r="A5765" i="2"/>
  <c r="B5765" i="2"/>
  <c r="E5765" i="2"/>
  <c r="A5766" i="2"/>
  <c r="B5766" i="2"/>
  <c r="E5766" i="2"/>
  <c r="A5767" i="2"/>
  <c r="B5767" i="2"/>
  <c r="E5767" i="2"/>
  <c r="A5768" i="2"/>
  <c r="B5768" i="2"/>
  <c r="E5768" i="2"/>
  <c r="A5769" i="2"/>
  <c r="B5769" i="2"/>
  <c r="E5769" i="2"/>
  <c r="A5770" i="2"/>
  <c r="B5770" i="2"/>
  <c r="E5770" i="2"/>
  <c r="A5771" i="2"/>
  <c r="B5771" i="2"/>
  <c r="E5771" i="2"/>
  <c r="A5772" i="2"/>
  <c r="B5772" i="2"/>
  <c r="E5772" i="2"/>
  <c r="A5773" i="2"/>
  <c r="B5773" i="2"/>
  <c r="E5773" i="2"/>
  <c r="A5774" i="2"/>
  <c r="B5774" i="2"/>
  <c r="E5774" i="2"/>
  <c r="A5775" i="2"/>
  <c r="B5775" i="2"/>
  <c r="E5775" i="2"/>
  <c r="A5776" i="2"/>
  <c r="B5776" i="2"/>
  <c r="E5776" i="2"/>
  <c r="A5777" i="2"/>
  <c r="B5777" i="2"/>
  <c r="E5777" i="2"/>
  <c r="A5778" i="2"/>
  <c r="B5778" i="2"/>
  <c r="E5778" i="2"/>
  <c r="A5779" i="2"/>
  <c r="B5779" i="2"/>
  <c r="E5779" i="2"/>
  <c r="A5780" i="2"/>
  <c r="B5780" i="2"/>
  <c r="E5780" i="2"/>
  <c r="A5781" i="2"/>
  <c r="B5781" i="2"/>
  <c r="E5781" i="2"/>
  <c r="A5782" i="2"/>
  <c r="B5782" i="2"/>
  <c r="E5782" i="2"/>
  <c r="A5783" i="2"/>
  <c r="B5783" i="2"/>
  <c r="E5783" i="2"/>
  <c r="A5784" i="2"/>
  <c r="B5784" i="2"/>
  <c r="E5784" i="2"/>
  <c r="A5785" i="2"/>
  <c r="B5785" i="2"/>
  <c r="E5785" i="2"/>
  <c r="A5786" i="2"/>
  <c r="B5786" i="2"/>
  <c r="E5786" i="2"/>
  <c r="A5787" i="2"/>
  <c r="B5787" i="2"/>
  <c r="E5787" i="2"/>
  <c r="A5788" i="2"/>
  <c r="B5788" i="2"/>
  <c r="E5788" i="2"/>
  <c r="A5789" i="2"/>
  <c r="B5789" i="2"/>
  <c r="E5789" i="2"/>
  <c r="A5790" i="2"/>
  <c r="B5790" i="2"/>
  <c r="E5790" i="2"/>
  <c r="A5791" i="2"/>
  <c r="B5791" i="2"/>
  <c r="E5791" i="2"/>
  <c r="A5792" i="2"/>
  <c r="B5792" i="2"/>
  <c r="E5792" i="2"/>
  <c r="A5793" i="2"/>
  <c r="B5793" i="2"/>
  <c r="E5793" i="2"/>
  <c r="A5794" i="2"/>
  <c r="B5794" i="2"/>
  <c r="E5794" i="2"/>
  <c r="A5795" i="2"/>
  <c r="B5795" i="2"/>
  <c r="E5795" i="2"/>
  <c r="A5796" i="2"/>
  <c r="B5796" i="2"/>
  <c r="E5796" i="2"/>
  <c r="A5797" i="2"/>
  <c r="B5797" i="2"/>
  <c r="E5797" i="2"/>
  <c r="A5798" i="2"/>
  <c r="B5798" i="2"/>
  <c r="E5798" i="2"/>
  <c r="A5799" i="2"/>
  <c r="B5799" i="2"/>
  <c r="E5799" i="2"/>
  <c r="A5800" i="2"/>
  <c r="B5800" i="2"/>
  <c r="E5800" i="2"/>
  <c r="A5801" i="2"/>
  <c r="B5801" i="2"/>
  <c r="E5801" i="2"/>
  <c r="A5802" i="2"/>
  <c r="B5802" i="2"/>
  <c r="E5802" i="2"/>
  <c r="A5803" i="2"/>
  <c r="B5803" i="2"/>
  <c r="E5803" i="2"/>
  <c r="A5804" i="2"/>
  <c r="B5804" i="2"/>
  <c r="E5804" i="2"/>
  <c r="A5805" i="2"/>
  <c r="B5805" i="2"/>
  <c r="E5805" i="2"/>
  <c r="A5806" i="2"/>
  <c r="B5806" i="2"/>
  <c r="E5806" i="2"/>
  <c r="A5807" i="2"/>
  <c r="B5807" i="2"/>
  <c r="E5807" i="2"/>
  <c r="A5808" i="2"/>
  <c r="B5808" i="2"/>
  <c r="E5808" i="2"/>
  <c r="A5809" i="2"/>
  <c r="B5809" i="2"/>
  <c r="E5809" i="2"/>
  <c r="A5810" i="2"/>
  <c r="B5810" i="2"/>
  <c r="E5810" i="2"/>
  <c r="A5811" i="2"/>
  <c r="B5811" i="2"/>
  <c r="E5811" i="2"/>
  <c r="A5812" i="2"/>
  <c r="B5812" i="2"/>
  <c r="E5812" i="2"/>
  <c r="A5813" i="2"/>
  <c r="B5813" i="2"/>
  <c r="E5813" i="2"/>
  <c r="A5814" i="2"/>
  <c r="B5814" i="2"/>
  <c r="E5814" i="2"/>
  <c r="A5815" i="2"/>
  <c r="B5815" i="2"/>
  <c r="E5815" i="2"/>
  <c r="A5816" i="2"/>
  <c r="B5816" i="2"/>
  <c r="E5816" i="2"/>
  <c r="A5817" i="2"/>
  <c r="B5817" i="2"/>
  <c r="E5817" i="2"/>
  <c r="A5818" i="2"/>
  <c r="B5818" i="2"/>
  <c r="E5818" i="2"/>
  <c r="A5819" i="2"/>
  <c r="B5819" i="2"/>
  <c r="E5819" i="2"/>
  <c r="A5820" i="2"/>
  <c r="B5820" i="2"/>
  <c r="E5820" i="2"/>
  <c r="A5821" i="2"/>
  <c r="B5821" i="2"/>
  <c r="E5821" i="2"/>
  <c r="A5822" i="2"/>
  <c r="B5822" i="2"/>
  <c r="E5822" i="2"/>
  <c r="A5823" i="2"/>
  <c r="B5823" i="2"/>
  <c r="E5823" i="2"/>
  <c r="A5824" i="2"/>
  <c r="B5824" i="2"/>
  <c r="E5824" i="2"/>
  <c r="A5825" i="2"/>
  <c r="B5825" i="2"/>
  <c r="E5825" i="2"/>
  <c r="A5826" i="2"/>
  <c r="B5826" i="2"/>
  <c r="E5826" i="2"/>
  <c r="A5827" i="2"/>
  <c r="B5827" i="2"/>
  <c r="E5827" i="2"/>
  <c r="A5828" i="2"/>
  <c r="B5828" i="2"/>
  <c r="E5828" i="2"/>
  <c r="A5829" i="2"/>
  <c r="B5829" i="2"/>
  <c r="E5829" i="2"/>
  <c r="A5830" i="2"/>
  <c r="B5830" i="2"/>
  <c r="E5830" i="2"/>
  <c r="A5831" i="2"/>
  <c r="B5831" i="2"/>
  <c r="E5831" i="2"/>
  <c r="A5832" i="2"/>
  <c r="B5832" i="2"/>
  <c r="E5832" i="2"/>
  <c r="A5833" i="2"/>
  <c r="B5833" i="2"/>
  <c r="E5833" i="2"/>
  <c r="A5834" i="2"/>
  <c r="B5834" i="2"/>
  <c r="E5834" i="2"/>
  <c r="A5835" i="2"/>
  <c r="B5835" i="2"/>
  <c r="E5835" i="2"/>
  <c r="A5836" i="2"/>
  <c r="B5836" i="2"/>
  <c r="E5836" i="2"/>
  <c r="A5837" i="2"/>
  <c r="B5837" i="2"/>
  <c r="E5837" i="2"/>
  <c r="A5838" i="2"/>
  <c r="B5838" i="2"/>
  <c r="E5838" i="2"/>
  <c r="A5839" i="2"/>
  <c r="B5839" i="2"/>
  <c r="E5839" i="2"/>
  <c r="A5840" i="2"/>
  <c r="B5840" i="2"/>
  <c r="E5840" i="2"/>
  <c r="A5841" i="2"/>
  <c r="B5841" i="2"/>
  <c r="E5841" i="2"/>
  <c r="A5842" i="2"/>
  <c r="B5842" i="2"/>
  <c r="E5842" i="2"/>
  <c r="A5843" i="2"/>
  <c r="B5843" i="2"/>
  <c r="E5843" i="2"/>
  <c r="A5844" i="2"/>
  <c r="B5844" i="2"/>
  <c r="E5844" i="2"/>
  <c r="A5845" i="2"/>
  <c r="B5845" i="2"/>
  <c r="E5845" i="2"/>
  <c r="A5846" i="2"/>
  <c r="B5846" i="2"/>
  <c r="E5846" i="2"/>
  <c r="A5847" i="2"/>
  <c r="B5847" i="2"/>
  <c r="E5847" i="2"/>
  <c r="A5848" i="2"/>
  <c r="B5848" i="2"/>
  <c r="E5848" i="2"/>
  <c r="A5849" i="2"/>
  <c r="B5849" i="2"/>
  <c r="E5849" i="2"/>
  <c r="A5850" i="2"/>
  <c r="B5850" i="2"/>
  <c r="E5850" i="2"/>
  <c r="A5851" i="2"/>
  <c r="B5851" i="2"/>
  <c r="E5851" i="2"/>
  <c r="A5852" i="2"/>
  <c r="B5852" i="2"/>
  <c r="E5852" i="2"/>
  <c r="A5853" i="2"/>
  <c r="B5853" i="2"/>
  <c r="E5853" i="2"/>
  <c r="A5854" i="2"/>
  <c r="B5854" i="2"/>
  <c r="E5854" i="2"/>
  <c r="A5855" i="2"/>
  <c r="B5855" i="2"/>
  <c r="E5855" i="2"/>
  <c r="A5856" i="2"/>
  <c r="B5856" i="2"/>
  <c r="E5856" i="2"/>
  <c r="A5857" i="2"/>
  <c r="B5857" i="2"/>
  <c r="E5857" i="2"/>
  <c r="A5858" i="2"/>
  <c r="B5858" i="2"/>
  <c r="E5858" i="2"/>
  <c r="A5859" i="2"/>
  <c r="B5859" i="2"/>
  <c r="E5859" i="2"/>
  <c r="A5860" i="2"/>
  <c r="B5860" i="2"/>
  <c r="E5860" i="2"/>
  <c r="A5861" i="2"/>
  <c r="B5861" i="2"/>
  <c r="E5861" i="2"/>
  <c r="A5862" i="2"/>
  <c r="B5862" i="2"/>
  <c r="E5862" i="2"/>
  <c r="A5863" i="2"/>
  <c r="B5863" i="2"/>
  <c r="E5863" i="2"/>
  <c r="A5864" i="2"/>
  <c r="B5864" i="2"/>
  <c r="E5864" i="2"/>
  <c r="A5865" i="2"/>
  <c r="B5865" i="2"/>
  <c r="E5865" i="2"/>
  <c r="A5866" i="2"/>
  <c r="B5866" i="2"/>
  <c r="E5866" i="2"/>
  <c r="A5867" i="2"/>
  <c r="B5867" i="2"/>
  <c r="E5867" i="2"/>
  <c r="A5868" i="2"/>
  <c r="B5868" i="2"/>
  <c r="E5868" i="2"/>
  <c r="A5869" i="2"/>
  <c r="B5869" i="2"/>
  <c r="E5869" i="2"/>
  <c r="A5870" i="2"/>
  <c r="B5870" i="2"/>
  <c r="E5870" i="2"/>
  <c r="A5871" i="2"/>
  <c r="B5871" i="2"/>
  <c r="E5871" i="2"/>
  <c r="A5872" i="2"/>
  <c r="B5872" i="2"/>
  <c r="E5872" i="2"/>
  <c r="A5873" i="2"/>
  <c r="B5873" i="2"/>
  <c r="E5873" i="2"/>
  <c r="A5874" i="2"/>
  <c r="B5874" i="2"/>
  <c r="E5874" i="2"/>
  <c r="A5875" i="2"/>
  <c r="B5875" i="2"/>
  <c r="E5875" i="2"/>
  <c r="A5876" i="2"/>
  <c r="B5876" i="2"/>
  <c r="E5876" i="2"/>
  <c r="A5877" i="2"/>
  <c r="B5877" i="2"/>
  <c r="E5877" i="2"/>
  <c r="A5878" i="2"/>
  <c r="B5878" i="2"/>
  <c r="E5878" i="2"/>
  <c r="A5879" i="2"/>
  <c r="B5879" i="2"/>
  <c r="E5879" i="2"/>
  <c r="A5880" i="2"/>
  <c r="B5880" i="2"/>
  <c r="E5880" i="2"/>
  <c r="A5881" i="2"/>
  <c r="B5881" i="2"/>
  <c r="E5881" i="2"/>
  <c r="A5882" i="2"/>
  <c r="B5882" i="2"/>
  <c r="E5882" i="2"/>
  <c r="A5883" i="2"/>
  <c r="B5883" i="2"/>
  <c r="E5883" i="2"/>
  <c r="A5884" i="2"/>
  <c r="B5884" i="2"/>
  <c r="E5884" i="2"/>
  <c r="A5885" i="2"/>
  <c r="B5885" i="2"/>
  <c r="E5885" i="2"/>
  <c r="A5886" i="2"/>
  <c r="B5886" i="2"/>
  <c r="E5886" i="2"/>
  <c r="A5887" i="2"/>
  <c r="B5887" i="2"/>
  <c r="E5887" i="2"/>
  <c r="A5888" i="2"/>
  <c r="B5888" i="2"/>
  <c r="E5888" i="2"/>
  <c r="A5889" i="2"/>
  <c r="B5889" i="2"/>
  <c r="E5889" i="2"/>
  <c r="A5890" i="2"/>
  <c r="B5890" i="2"/>
  <c r="E5890" i="2"/>
  <c r="A5891" i="2"/>
  <c r="B5891" i="2"/>
  <c r="E5891" i="2"/>
  <c r="A5892" i="2"/>
  <c r="B5892" i="2"/>
  <c r="E5892" i="2"/>
  <c r="A5893" i="2"/>
  <c r="B5893" i="2"/>
  <c r="E5893" i="2"/>
  <c r="A5894" i="2"/>
  <c r="B5894" i="2"/>
  <c r="E5894" i="2"/>
  <c r="A5895" i="2"/>
  <c r="B5895" i="2"/>
  <c r="E5895" i="2"/>
  <c r="A5896" i="2"/>
  <c r="B5896" i="2"/>
  <c r="E5896" i="2"/>
  <c r="A5897" i="2"/>
  <c r="B5897" i="2"/>
  <c r="E5897" i="2"/>
  <c r="A5898" i="2"/>
  <c r="B5898" i="2"/>
  <c r="E5898" i="2"/>
  <c r="A5899" i="2"/>
  <c r="B5899" i="2"/>
  <c r="E5899" i="2"/>
  <c r="A5900" i="2"/>
  <c r="B5900" i="2"/>
  <c r="E5900" i="2"/>
  <c r="A5901" i="2"/>
  <c r="B5901" i="2"/>
  <c r="E5901" i="2"/>
  <c r="A5902" i="2"/>
  <c r="B5902" i="2"/>
  <c r="E5902" i="2"/>
  <c r="A5903" i="2"/>
  <c r="B5903" i="2"/>
  <c r="E5903" i="2"/>
  <c r="A5904" i="2"/>
  <c r="B5904" i="2"/>
  <c r="E5904" i="2"/>
  <c r="A5905" i="2"/>
  <c r="B5905" i="2"/>
  <c r="E5905" i="2"/>
  <c r="A5906" i="2"/>
  <c r="B5906" i="2"/>
  <c r="E5906" i="2"/>
  <c r="A5907" i="2"/>
  <c r="B5907" i="2"/>
  <c r="E5907" i="2"/>
  <c r="A5908" i="2"/>
  <c r="B5908" i="2"/>
  <c r="E5908" i="2"/>
  <c r="A5909" i="2"/>
  <c r="B5909" i="2"/>
  <c r="E5909" i="2"/>
  <c r="A5910" i="2"/>
  <c r="B5910" i="2"/>
  <c r="E5910" i="2"/>
  <c r="A5911" i="2"/>
  <c r="B5911" i="2"/>
  <c r="E5911" i="2"/>
  <c r="A5912" i="2"/>
  <c r="B5912" i="2"/>
  <c r="E5912" i="2"/>
  <c r="A5913" i="2"/>
  <c r="B5913" i="2"/>
  <c r="E5913" i="2"/>
  <c r="A5914" i="2"/>
  <c r="B5914" i="2"/>
  <c r="E5914" i="2"/>
  <c r="A5915" i="2"/>
  <c r="B5915" i="2"/>
  <c r="E5915" i="2"/>
  <c r="A5916" i="2"/>
  <c r="B5916" i="2"/>
  <c r="E5916" i="2"/>
  <c r="A5917" i="2"/>
  <c r="B5917" i="2"/>
  <c r="E5917" i="2"/>
  <c r="A5918" i="2"/>
  <c r="B5918" i="2"/>
  <c r="E5918" i="2"/>
  <c r="A5919" i="2"/>
  <c r="B5919" i="2"/>
  <c r="E5919" i="2"/>
  <c r="A5920" i="2"/>
  <c r="B5920" i="2"/>
  <c r="E5920" i="2"/>
  <c r="A5921" i="2"/>
  <c r="B5921" i="2"/>
  <c r="E5921" i="2"/>
  <c r="A5922" i="2"/>
  <c r="B5922" i="2"/>
  <c r="E5922" i="2"/>
  <c r="A5923" i="2"/>
  <c r="B5923" i="2"/>
  <c r="E5923" i="2"/>
  <c r="A5924" i="2"/>
  <c r="B5924" i="2"/>
  <c r="E5924" i="2"/>
  <c r="A5925" i="2"/>
  <c r="B5925" i="2"/>
  <c r="E5925" i="2"/>
  <c r="A5926" i="2"/>
  <c r="B5926" i="2"/>
  <c r="E5926" i="2"/>
  <c r="A5927" i="2"/>
  <c r="B5927" i="2"/>
  <c r="E5927" i="2"/>
  <c r="A5928" i="2"/>
  <c r="B5928" i="2"/>
  <c r="E5928" i="2"/>
  <c r="A5929" i="2"/>
  <c r="B5929" i="2"/>
  <c r="E5929" i="2"/>
  <c r="A5930" i="2"/>
  <c r="B5930" i="2"/>
  <c r="E5930" i="2"/>
  <c r="A5931" i="2"/>
  <c r="B5931" i="2"/>
  <c r="E5931" i="2"/>
  <c r="A5932" i="2"/>
  <c r="B5932" i="2"/>
  <c r="E5932" i="2"/>
  <c r="A5933" i="2"/>
  <c r="B5933" i="2"/>
  <c r="E5933" i="2"/>
  <c r="A5934" i="2"/>
  <c r="B5934" i="2"/>
  <c r="E5934" i="2"/>
  <c r="A5935" i="2"/>
  <c r="B5935" i="2"/>
  <c r="E5935" i="2"/>
  <c r="A5936" i="2"/>
  <c r="B5936" i="2"/>
  <c r="E5936" i="2"/>
  <c r="A5937" i="2"/>
  <c r="B5937" i="2"/>
  <c r="E5937" i="2"/>
  <c r="A5938" i="2"/>
  <c r="B5938" i="2"/>
  <c r="E5938" i="2"/>
  <c r="A5939" i="2"/>
  <c r="B5939" i="2"/>
  <c r="E5939" i="2"/>
  <c r="A5940" i="2"/>
  <c r="B5940" i="2"/>
  <c r="E5940" i="2"/>
  <c r="A5941" i="2"/>
  <c r="B5941" i="2"/>
  <c r="E5941" i="2"/>
  <c r="A5942" i="2"/>
  <c r="B5942" i="2"/>
  <c r="E5942" i="2"/>
  <c r="A5943" i="2"/>
  <c r="B5943" i="2"/>
  <c r="E5943" i="2"/>
  <c r="A5944" i="2"/>
  <c r="B5944" i="2"/>
  <c r="E5944" i="2"/>
  <c r="A5945" i="2"/>
  <c r="B5945" i="2"/>
  <c r="E5945" i="2"/>
  <c r="A5946" i="2"/>
  <c r="B5946" i="2"/>
  <c r="E5946" i="2"/>
  <c r="A5947" i="2"/>
  <c r="B5947" i="2"/>
  <c r="E5947" i="2"/>
  <c r="A5948" i="2"/>
  <c r="B5948" i="2"/>
  <c r="E5948" i="2"/>
  <c r="A5949" i="2"/>
  <c r="B5949" i="2"/>
  <c r="E5949" i="2"/>
  <c r="A5950" i="2"/>
  <c r="B5950" i="2"/>
  <c r="E5950" i="2"/>
  <c r="A5951" i="2"/>
  <c r="B5951" i="2"/>
  <c r="E5951" i="2"/>
  <c r="A5952" i="2"/>
  <c r="B5952" i="2"/>
  <c r="E5952" i="2"/>
  <c r="A5953" i="2"/>
  <c r="B5953" i="2"/>
  <c r="E5953" i="2"/>
  <c r="A5954" i="2"/>
  <c r="B5954" i="2"/>
  <c r="E5954" i="2"/>
  <c r="A5955" i="2"/>
  <c r="B5955" i="2"/>
  <c r="E5955" i="2"/>
  <c r="A5956" i="2"/>
  <c r="B5956" i="2"/>
  <c r="E5956" i="2"/>
  <c r="A5957" i="2"/>
  <c r="B5957" i="2"/>
  <c r="E5957" i="2"/>
  <c r="A5958" i="2"/>
  <c r="B5958" i="2"/>
  <c r="E5958" i="2"/>
  <c r="A5959" i="2"/>
  <c r="B5959" i="2"/>
  <c r="E5959" i="2"/>
  <c r="A5960" i="2"/>
  <c r="B5960" i="2"/>
  <c r="E5960" i="2"/>
  <c r="A5961" i="2"/>
  <c r="B5961" i="2"/>
  <c r="E5961" i="2"/>
  <c r="A5962" i="2"/>
  <c r="B5962" i="2"/>
  <c r="E5962" i="2"/>
  <c r="A5963" i="2"/>
  <c r="B5963" i="2"/>
  <c r="E5963" i="2"/>
  <c r="A5964" i="2"/>
  <c r="B5964" i="2"/>
  <c r="E5964" i="2"/>
  <c r="A5965" i="2"/>
  <c r="B5965" i="2"/>
  <c r="E5965" i="2"/>
  <c r="A5966" i="2"/>
  <c r="B5966" i="2"/>
  <c r="E5966" i="2"/>
  <c r="A5967" i="2"/>
  <c r="B5967" i="2"/>
  <c r="E5967" i="2"/>
  <c r="A5968" i="2"/>
  <c r="B5968" i="2"/>
  <c r="E5968" i="2"/>
  <c r="A5969" i="2"/>
  <c r="B5969" i="2"/>
  <c r="E5969" i="2"/>
  <c r="A5970" i="2"/>
  <c r="B5970" i="2"/>
  <c r="E5970" i="2"/>
  <c r="A5971" i="2"/>
  <c r="B5971" i="2"/>
  <c r="E5971" i="2"/>
  <c r="A5972" i="2"/>
  <c r="B5972" i="2"/>
  <c r="E5972" i="2"/>
  <c r="A5973" i="2"/>
  <c r="B5973" i="2"/>
  <c r="E5973" i="2"/>
  <c r="A5974" i="2"/>
  <c r="B5974" i="2"/>
  <c r="E5974" i="2"/>
  <c r="A5975" i="2"/>
  <c r="B5975" i="2"/>
  <c r="E5975" i="2"/>
  <c r="A5976" i="2"/>
  <c r="B5976" i="2"/>
  <c r="E5976" i="2"/>
  <c r="A5977" i="2"/>
  <c r="B5977" i="2"/>
  <c r="E5977" i="2"/>
  <c r="A5978" i="2"/>
  <c r="B5978" i="2"/>
  <c r="E5978" i="2"/>
  <c r="A5979" i="2"/>
  <c r="B5979" i="2"/>
  <c r="E5979" i="2"/>
  <c r="A5980" i="2"/>
  <c r="B5980" i="2"/>
  <c r="E5980" i="2"/>
  <c r="A5981" i="2"/>
  <c r="B5981" i="2"/>
  <c r="E5981" i="2"/>
  <c r="A5982" i="2"/>
  <c r="B5982" i="2"/>
  <c r="E5982" i="2"/>
  <c r="A5983" i="2"/>
  <c r="B5983" i="2"/>
  <c r="E5983" i="2"/>
  <c r="A5984" i="2"/>
  <c r="B5984" i="2"/>
  <c r="E5984" i="2"/>
  <c r="A5985" i="2"/>
  <c r="B5985" i="2"/>
  <c r="E5985" i="2"/>
  <c r="A5986" i="2"/>
  <c r="B5986" i="2"/>
  <c r="E5986" i="2"/>
  <c r="A5987" i="2"/>
  <c r="B5987" i="2"/>
  <c r="E5987" i="2"/>
  <c r="A5988" i="2"/>
  <c r="B5988" i="2"/>
  <c r="E5988" i="2"/>
  <c r="A5989" i="2"/>
  <c r="B5989" i="2"/>
  <c r="E5989" i="2"/>
  <c r="A5990" i="2"/>
  <c r="B5990" i="2"/>
  <c r="E5990" i="2"/>
  <c r="A5991" i="2"/>
  <c r="B5991" i="2"/>
  <c r="E5991" i="2"/>
  <c r="A5992" i="2"/>
  <c r="B5992" i="2"/>
  <c r="E5992" i="2"/>
  <c r="A5993" i="2"/>
  <c r="B5993" i="2"/>
  <c r="E5993" i="2"/>
  <c r="A5994" i="2"/>
  <c r="B5994" i="2"/>
  <c r="E5994" i="2"/>
  <c r="A5995" i="2"/>
  <c r="B5995" i="2"/>
  <c r="E5995" i="2"/>
  <c r="A5996" i="2"/>
  <c r="B5996" i="2"/>
  <c r="E5996" i="2"/>
  <c r="A5997" i="2"/>
  <c r="B5997" i="2"/>
  <c r="E5997" i="2"/>
  <c r="A5998" i="2"/>
  <c r="B5998" i="2"/>
  <c r="E5998" i="2"/>
  <c r="A5999" i="2"/>
  <c r="B5999" i="2"/>
  <c r="E5999" i="2"/>
  <c r="A6000" i="2"/>
  <c r="B6000" i="2"/>
  <c r="E6000" i="2"/>
  <c r="A6001" i="2"/>
  <c r="B6001" i="2"/>
  <c r="E6001" i="2"/>
  <c r="A6002" i="2"/>
  <c r="B6002" i="2"/>
  <c r="E6002" i="2"/>
  <c r="A6003" i="2"/>
  <c r="B6003" i="2"/>
  <c r="E6003" i="2"/>
  <c r="A6004" i="2"/>
  <c r="B6004" i="2"/>
  <c r="E6004" i="2"/>
  <c r="A6005" i="2"/>
  <c r="B6005" i="2"/>
  <c r="E6005" i="2"/>
  <c r="A6006" i="2"/>
  <c r="B6006" i="2"/>
  <c r="E6006" i="2"/>
  <c r="A6007" i="2"/>
  <c r="B6007" i="2"/>
  <c r="E6007" i="2"/>
  <c r="A6008" i="2"/>
  <c r="B6008" i="2"/>
  <c r="E6008" i="2"/>
  <c r="A6009" i="2"/>
  <c r="B6009" i="2"/>
  <c r="E6009" i="2"/>
  <c r="A6010" i="2"/>
  <c r="B6010" i="2"/>
  <c r="E6010" i="2"/>
  <c r="A6011" i="2"/>
  <c r="B6011" i="2"/>
  <c r="E6011" i="2"/>
  <c r="A6012" i="2"/>
  <c r="B6012" i="2"/>
  <c r="E6012" i="2"/>
  <c r="A6013" i="2"/>
  <c r="B6013" i="2"/>
  <c r="E6013" i="2"/>
  <c r="A6014" i="2"/>
  <c r="B6014" i="2"/>
  <c r="E6014" i="2"/>
  <c r="A6015" i="2"/>
  <c r="B6015" i="2"/>
  <c r="E6015" i="2"/>
  <c r="A6016" i="2"/>
  <c r="B6016" i="2"/>
  <c r="E6016" i="2"/>
  <c r="A6017" i="2"/>
  <c r="B6017" i="2"/>
  <c r="E6017" i="2"/>
  <c r="A6018" i="2"/>
  <c r="B6018" i="2"/>
  <c r="E6018" i="2"/>
  <c r="A6019" i="2"/>
  <c r="B6019" i="2"/>
  <c r="E6019" i="2"/>
  <c r="A6020" i="2"/>
  <c r="B6020" i="2"/>
  <c r="E6020" i="2"/>
  <c r="A6021" i="2"/>
  <c r="B6021" i="2"/>
  <c r="E6021" i="2"/>
  <c r="A6022" i="2"/>
  <c r="B6022" i="2"/>
  <c r="E6022" i="2"/>
  <c r="A6023" i="2"/>
  <c r="B6023" i="2"/>
  <c r="E6023" i="2"/>
  <c r="A6024" i="2"/>
  <c r="B6024" i="2"/>
  <c r="E6024" i="2"/>
  <c r="A6025" i="2"/>
  <c r="B6025" i="2"/>
  <c r="E6025" i="2"/>
  <c r="A6026" i="2"/>
  <c r="B6026" i="2"/>
  <c r="E6026" i="2"/>
  <c r="A6027" i="2"/>
  <c r="B6027" i="2"/>
  <c r="E6027" i="2"/>
  <c r="A6028" i="2"/>
  <c r="B6028" i="2"/>
  <c r="E6028" i="2"/>
  <c r="A6029" i="2"/>
  <c r="B6029" i="2"/>
  <c r="E6029" i="2"/>
  <c r="A6030" i="2"/>
  <c r="B6030" i="2"/>
  <c r="E6030" i="2"/>
  <c r="A6031" i="2"/>
  <c r="B6031" i="2"/>
  <c r="E6031" i="2"/>
  <c r="A6032" i="2"/>
  <c r="B6032" i="2"/>
  <c r="E6032" i="2"/>
  <c r="A6033" i="2"/>
  <c r="B6033" i="2"/>
  <c r="E6033" i="2"/>
  <c r="A6034" i="2"/>
  <c r="B6034" i="2"/>
  <c r="E6034" i="2"/>
  <c r="A6035" i="2"/>
  <c r="B6035" i="2"/>
  <c r="E6035" i="2"/>
  <c r="A6036" i="2"/>
  <c r="B6036" i="2"/>
  <c r="E6036" i="2"/>
  <c r="A6037" i="2"/>
  <c r="B6037" i="2"/>
  <c r="E6037" i="2"/>
  <c r="A6038" i="2"/>
  <c r="B6038" i="2"/>
  <c r="E6038" i="2"/>
  <c r="A6039" i="2"/>
  <c r="B6039" i="2"/>
  <c r="E6039" i="2"/>
  <c r="A6040" i="2"/>
  <c r="B6040" i="2"/>
  <c r="E6040" i="2"/>
  <c r="A6041" i="2"/>
  <c r="B6041" i="2"/>
  <c r="E6041" i="2"/>
  <c r="A6042" i="2"/>
  <c r="B6042" i="2"/>
  <c r="E6042" i="2"/>
  <c r="A6043" i="2"/>
  <c r="B6043" i="2"/>
  <c r="E6043" i="2"/>
  <c r="A6044" i="2"/>
  <c r="B6044" i="2"/>
  <c r="E6044" i="2"/>
  <c r="A6045" i="2"/>
  <c r="B6045" i="2"/>
  <c r="E6045" i="2"/>
  <c r="A6046" i="2"/>
  <c r="B6046" i="2"/>
  <c r="E6046" i="2"/>
  <c r="A6047" i="2"/>
  <c r="B6047" i="2"/>
  <c r="E6047" i="2"/>
  <c r="A6048" i="2"/>
  <c r="B6048" i="2"/>
  <c r="E6048" i="2"/>
  <c r="A6049" i="2"/>
  <c r="B6049" i="2"/>
  <c r="E6049" i="2"/>
  <c r="A6050" i="2"/>
  <c r="B6050" i="2"/>
  <c r="E6050" i="2"/>
  <c r="A6051" i="2"/>
  <c r="B6051" i="2"/>
  <c r="E6051" i="2"/>
  <c r="A6052" i="2"/>
  <c r="B6052" i="2"/>
  <c r="E6052" i="2"/>
  <c r="A6053" i="2"/>
  <c r="B6053" i="2"/>
  <c r="E6053" i="2"/>
  <c r="A6054" i="2"/>
  <c r="B6054" i="2"/>
  <c r="E6054" i="2"/>
  <c r="A6055" i="2"/>
  <c r="B6055" i="2"/>
  <c r="E6055" i="2"/>
  <c r="A6056" i="2"/>
  <c r="B6056" i="2"/>
  <c r="E6056" i="2"/>
  <c r="A6057" i="2"/>
  <c r="B6057" i="2"/>
  <c r="E6057" i="2"/>
  <c r="A6058" i="2"/>
  <c r="B6058" i="2"/>
  <c r="E6058" i="2"/>
  <c r="A6059" i="2"/>
  <c r="B6059" i="2"/>
  <c r="E6059" i="2"/>
  <c r="A6060" i="2"/>
  <c r="B6060" i="2"/>
  <c r="E6060" i="2"/>
  <c r="A6061" i="2"/>
  <c r="B6061" i="2"/>
  <c r="E6061" i="2"/>
  <c r="A6062" i="2"/>
  <c r="B6062" i="2"/>
  <c r="E6062" i="2"/>
  <c r="A6063" i="2"/>
  <c r="B6063" i="2"/>
  <c r="E6063" i="2"/>
  <c r="A6064" i="2"/>
  <c r="B6064" i="2"/>
  <c r="E6064" i="2"/>
  <c r="A6065" i="2"/>
  <c r="B6065" i="2"/>
  <c r="E6065" i="2"/>
  <c r="A6066" i="2"/>
  <c r="B6066" i="2"/>
  <c r="E6066" i="2"/>
  <c r="A6067" i="2"/>
  <c r="B6067" i="2"/>
  <c r="E6067" i="2"/>
  <c r="A6068" i="2"/>
  <c r="B6068" i="2"/>
  <c r="E6068" i="2"/>
  <c r="A6069" i="2"/>
  <c r="B6069" i="2"/>
  <c r="E6069" i="2"/>
  <c r="A6070" i="2"/>
  <c r="B6070" i="2"/>
  <c r="E6070" i="2"/>
  <c r="A6071" i="2"/>
  <c r="B6071" i="2"/>
  <c r="E6071" i="2"/>
  <c r="A6072" i="2"/>
  <c r="B6072" i="2"/>
  <c r="E6072" i="2"/>
  <c r="A6073" i="2"/>
  <c r="B6073" i="2"/>
  <c r="E6073" i="2"/>
  <c r="A6074" i="2"/>
  <c r="B6074" i="2"/>
  <c r="E6074" i="2"/>
  <c r="A6075" i="2"/>
  <c r="B6075" i="2"/>
  <c r="E6075" i="2"/>
  <c r="A6076" i="2"/>
  <c r="B6076" i="2"/>
  <c r="E6076" i="2"/>
  <c r="A6077" i="2"/>
  <c r="B6077" i="2"/>
  <c r="E6077" i="2"/>
  <c r="A6078" i="2"/>
  <c r="B6078" i="2"/>
  <c r="E6078" i="2"/>
  <c r="A6079" i="2"/>
  <c r="B6079" i="2"/>
  <c r="E6079" i="2"/>
  <c r="A6080" i="2"/>
  <c r="B6080" i="2"/>
  <c r="E6080" i="2"/>
  <c r="A6081" i="2"/>
  <c r="B6081" i="2"/>
  <c r="E6081" i="2"/>
  <c r="A6082" i="2"/>
  <c r="B6082" i="2"/>
  <c r="E6082" i="2"/>
  <c r="A6083" i="2"/>
  <c r="B6083" i="2"/>
  <c r="E6083" i="2"/>
  <c r="A6084" i="2"/>
  <c r="B6084" i="2"/>
  <c r="E6084" i="2"/>
  <c r="A6085" i="2"/>
  <c r="B6085" i="2"/>
  <c r="E6085" i="2"/>
  <c r="A6086" i="2"/>
  <c r="B6086" i="2"/>
  <c r="E6086" i="2"/>
  <c r="A6087" i="2"/>
  <c r="B6087" i="2"/>
  <c r="E6087" i="2"/>
  <c r="A6088" i="2"/>
  <c r="B6088" i="2"/>
  <c r="E6088" i="2"/>
  <c r="A6089" i="2"/>
  <c r="B6089" i="2"/>
  <c r="E6089" i="2"/>
  <c r="A6090" i="2"/>
  <c r="B6090" i="2"/>
  <c r="E6090" i="2"/>
  <c r="A6091" i="2"/>
  <c r="B6091" i="2"/>
  <c r="E6091" i="2"/>
  <c r="A6092" i="2"/>
  <c r="B6092" i="2"/>
  <c r="E6092" i="2"/>
  <c r="A6093" i="2"/>
  <c r="B6093" i="2"/>
  <c r="E6093" i="2"/>
  <c r="A6094" i="2"/>
  <c r="B6094" i="2"/>
  <c r="E6094" i="2"/>
  <c r="A6095" i="2"/>
  <c r="B6095" i="2"/>
  <c r="E6095" i="2"/>
  <c r="A6096" i="2"/>
  <c r="B6096" i="2"/>
  <c r="E6096" i="2"/>
  <c r="A6097" i="2"/>
  <c r="B6097" i="2"/>
  <c r="E6097" i="2"/>
  <c r="A6098" i="2"/>
  <c r="B6098" i="2"/>
  <c r="E6098" i="2"/>
  <c r="A6099" i="2"/>
  <c r="B6099" i="2"/>
  <c r="E6099" i="2"/>
  <c r="A6100" i="2"/>
  <c r="B6100" i="2"/>
  <c r="E6100" i="2"/>
  <c r="A6101" i="2"/>
  <c r="B6101" i="2"/>
  <c r="E6101" i="2"/>
  <c r="A6102" i="2"/>
  <c r="B6102" i="2"/>
  <c r="E6102" i="2"/>
  <c r="A6103" i="2"/>
  <c r="B6103" i="2"/>
  <c r="E6103" i="2"/>
  <c r="A6104" i="2"/>
  <c r="B6104" i="2"/>
  <c r="E6104" i="2"/>
  <c r="A6105" i="2"/>
  <c r="B6105" i="2"/>
  <c r="E6105" i="2"/>
  <c r="A6106" i="2"/>
  <c r="B6106" i="2"/>
  <c r="E6106" i="2"/>
  <c r="A6107" i="2"/>
  <c r="B6107" i="2"/>
  <c r="E6107" i="2"/>
  <c r="A6108" i="2"/>
  <c r="B6108" i="2"/>
  <c r="E6108" i="2"/>
  <c r="A6109" i="2"/>
  <c r="B6109" i="2"/>
  <c r="E6109" i="2"/>
  <c r="A6110" i="2"/>
  <c r="B6110" i="2"/>
  <c r="E6110" i="2"/>
  <c r="A6111" i="2"/>
  <c r="B6111" i="2"/>
  <c r="E6111" i="2"/>
  <c r="A6112" i="2"/>
  <c r="B6112" i="2"/>
  <c r="E6112" i="2"/>
  <c r="A6113" i="2"/>
  <c r="B6113" i="2"/>
  <c r="E6113" i="2"/>
  <c r="A6114" i="2"/>
  <c r="B6114" i="2"/>
  <c r="E6114" i="2"/>
  <c r="A6115" i="2"/>
  <c r="B6115" i="2"/>
  <c r="E6115" i="2"/>
  <c r="A6116" i="2"/>
  <c r="B6116" i="2"/>
  <c r="E6116" i="2"/>
  <c r="A6117" i="2"/>
  <c r="B6117" i="2"/>
  <c r="E6117" i="2"/>
  <c r="A6118" i="2"/>
  <c r="B6118" i="2"/>
  <c r="E6118" i="2"/>
  <c r="A6119" i="2"/>
  <c r="B6119" i="2"/>
  <c r="E6119" i="2"/>
  <c r="A6120" i="2"/>
  <c r="B6120" i="2"/>
  <c r="E6120" i="2"/>
  <c r="A6121" i="2"/>
  <c r="B6121" i="2"/>
  <c r="E6121" i="2"/>
  <c r="A6122" i="2"/>
  <c r="B6122" i="2"/>
  <c r="E6122" i="2"/>
  <c r="A6123" i="2"/>
  <c r="B6123" i="2"/>
  <c r="E6123" i="2"/>
  <c r="A6124" i="2"/>
  <c r="B6124" i="2"/>
  <c r="E6124" i="2"/>
  <c r="A6125" i="2"/>
  <c r="B6125" i="2"/>
  <c r="E6125" i="2"/>
  <c r="A6126" i="2"/>
  <c r="B6126" i="2"/>
  <c r="E6126" i="2"/>
  <c r="A6127" i="2"/>
  <c r="B6127" i="2"/>
  <c r="E6127" i="2"/>
  <c r="A6128" i="2"/>
  <c r="B6128" i="2"/>
  <c r="E6128" i="2"/>
  <c r="A6129" i="2"/>
  <c r="B6129" i="2"/>
  <c r="E6129" i="2"/>
  <c r="A6130" i="2"/>
  <c r="B6130" i="2"/>
  <c r="E6130" i="2"/>
  <c r="A6131" i="2"/>
  <c r="B6131" i="2"/>
  <c r="E6131" i="2"/>
  <c r="A6132" i="2"/>
  <c r="B6132" i="2"/>
  <c r="E6132" i="2"/>
  <c r="A6133" i="2"/>
  <c r="B6133" i="2"/>
  <c r="E6133" i="2"/>
  <c r="A6134" i="2"/>
  <c r="B6134" i="2"/>
  <c r="E6134" i="2"/>
  <c r="A6135" i="2"/>
  <c r="B6135" i="2"/>
  <c r="E6135" i="2"/>
  <c r="A6136" i="2"/>
  <c r="B6136" i="2"/>
  <c r="E6136" i="2"/>
  <c r="A6137" i="2"/>
  <c r="B6137" i="2"/>
  <c r="E6137" i="2"/>
  <c r="A6138" i="2"/>
  <c r="B6138" i="2"/>
  <c r="E6138" i="2"/>
  <c r="A6139" i="2"/>
  <c r="B6139" i="2"/>
  <c r="E6139" i="2"/>
  <c r="A6140" i="2"/>
  <c r="B6140" i="2"/>
  <c r="E6140" i="2"/>
  <c r="A6141" i="2"/>
  <c r="B6141" i="2"/>
  <c r="E6141" i="2"/>
  <c r="A6142" i="2"/>
  <c r="B6142" i="2"/>
  <c r="E6142" i="2"/>
  <c r="A6143" i="2"/>
  <c r="B6143" i="2"/>
  <c r="E6143" i="2"/>
  <c r="A6144" i="2"/>
  <c r="B6144" i="2"/>
  <c r="E6144" i="2"/>
  <c r="A6145" i="2"/>
  <c r="B6145" i="2"/>
  <c r="E6145" i="2"/>
  <c r="A6146" i="2"/>
  <c r="B6146" i="2"/>
  <c r="E6146" i="2"/>
  <c r="A6147" i="2"/>
  <c r="B6147" i="2"/>
  <c r="E6147" i="2"/>
  <c r="A6148" i="2"/>
  <c r="B6148" i="2"/>
  <c r="E6148" i="2"/>
  <c r="A6149" i="2"/>
  <c r="B6149" i="2"/>
  <c r="E6149" i="2"/>
  <c r="A6150" i="2"/>
  <c r="B6150" i="2"/>
  <c r="E6150" i="2"/>
  <c r="A6151" i="2"/>
  <c r="B6151" i="2"/>
  <c r="E6151" i="2"/>
  <c r="A6152" i="2"/>
  <c r="B6152" i="2"/>
  <c r="E6152" i="2"/>
  <c r="A6153" i="2"/>
  <c r="B6153" i="2"/>
  <c r="E6153" i="2"/>
  <c r="A6154" i="2"/>
  <c r="B6154" i="2"/>
  <c r="E6154" i="2"/>
  <c r="A6155" i="2"/>
  <c r="B6155" i="2"/>
  <c r="E6155" i="2"/>
  <c r="A6156" i="2"/>
  <c r="B6156" i="2"/>
  <c r="E6156" i="2"/>
  <c r="A6157" i="2"/>
  <c r="B6157" i="2"/>
  <c r="E6157" i="2"/>
  <c r="A6158" i="2"/>
  <c r="B6158" i="2"/>
  <c r="E6158" i="2"/>
  <c r="A6159" i="2"/>
  <c r="B6159" i="2"/>
  <c r="E6159" i="2"/>
  <c r="A6160" i="2"/>
  <c r="B6160" i="2"/>
  <c r="E6160" i="2"/>
  <c r="A6161" i="2"/>
  <c r="B6161" i="2"/>
  <c r="E6161" i="2"/>
  <c r="A6162" i="2"/>
  <c r="B6162" i="2"/>
  <c r="E6162" i="2"/>
  <c r="A6163" i="2"/>
  <c r="B6163" i="2"/>
  <c r="E6163" i="2"/>
  <c r="A6164" i="2"/>
  <c r="B6164" i="2"/>
  <c r="E6164" i="2"/>
  <c r="A6165" i="2"/>
  <c r="B6165" i="2"/>
  <c r="E6165" i="2"/>
  <c r="A6166" i="2"/>
  <c r="B6166" i="2"/>
  <c r="E6166" i="2"/>
  <c r="A6167" i="2"/>
  <c r="B6167" i="2"/>
  <c r="E6167" i="2"/>
  <c r="A6168" i="2"/>
  <c r="B6168" i="2"/>
  <c r="E6168" i="2"/>
  <c r="A6169" i="2"/>
  <c r="B6169" i="2"/>
  <c r="E6169" i="2"/>
  <c r="A6170" i="2"/>
  <c r="B6170" i="2"/>
  <c r="E6170" i="2"/>
  <c r="A6171" i="2"/>
  <c r="B6171" i="2"/>
  <c r="E6171" i="2"/>
  <c r="A6172" i="2"/>
  <c r="B6172" i="2"/>
  <c r="E6172" i="2"/>
  <c r="A6173" i="2"/>
  <c r="B6173" i="2"/>
  <c r="E6173" i="2"/>
  <c r="A6174" i="2"/>
  <c r="B6174" i="2"/>
  <c r="E6174" i="2"/>
  <c r="A6175" i="2"/>
  <c r="B6175" i="2"/>
  <c r="E6175" i="2"/>
  <c r="A6176" i="2"/>
  <c r="B6176" i="2"/>
  <c r="E6176" i="2"/>
  <c r="A6177" i="2"/>
  <c r="B6177" i="2"/>
  <c r="E6177" i="2"/>
  <c r="A6178" i="2"/>
  <c r="B6178" i="2"/>
  <c r="E6178" i="2"/>
  <c r="A6179" i="2"/>
  <c r="B6179" i="2"/>
  <c r="E6179" i="2"/>
  <c r="A6180" i="2"/>
  <c r="B6180" i="2"/>
  <c r="E6180" i="2"/>
  <c r="A6181" i="2"/>
  <c r="B6181" i="2"/>
  <c r="E6181" i="2"/>
  <c r="A6182" i="2"/>
  <c r="B6182" i="2"/>
  <c r="E6182" i="2"/>
  <c r="A6183" i="2"/>
  <c r="B6183" i="2"/>
  <c r="E6183" i="2"/>
  <c r="A6184" i="2"/>
  <c r="B6184" i="2"/>
  <c r="E6184" i="2"/>
  <c r="A6185" i="2"/>
  <c r="B6185" i="2"/>
  <c r="E6185" i="2"/>
  <c r="A6186" i="2"/>
  <c r="B6186" i="2"/>
  <c r="E6186" i="2"/>
  <c r="A6187" i="2"/>
  <c r="B6187" i="2"/>
  <c r="E6187" i="2"/>
  <c r="A6188" i="2"/>
  <c r="B6188" i="2"/>
  <c r="E6188" i="2"/>
  <c r="A6189" i="2"/>
  <c r="B6189" i="2"/>
  <c r="E6189" i="2"/>
  <c r="A6190" i="2"/>
  <c r="B6190" i="2"/>
  <c r="E6190" i="2"/>
  <c r="A6191" i="2"/>
  <c r="B6191" i="2"/>
  <c r="E6191" i="2"/>
  <c r="A6192" i="2"/>
  <c r="B6192" i="2"/>
  <c r="E6192" i="2"/>
  <c r="A6193" i="2"/>
  <c r="B6193" i="2"/>
  <c r="E6193" i="2"/>
  <c r="A6194" i="2"/>
  <c r="B6194" i="2"/>
  <c r="E6194" i="2"/>
  <c r="A6195" i="2"/>
  <c r="B6195" i="2"/>
  <c r="E6195" i="2"/>
  <c r="A6196" i="2"/>
  <c r="B6196" i="2"/>
  <c r="E6196" i="2"/>
  <c r="A6197" i="2"/>
  <c r="B6197" i="2"/>
  <c r="E6197" i="2"/>
  <c r="A6198" i="2"/>
  <c r="B6198" i="2"/>
  <c r="E6198" i="2"/>
  <c r="A6199" i="2"/>
  <c r="B6199" i="2"/>
  <c r="E6199" i="2"/>
  <c r="A6200" i="2"/>
  <c r="B6200" i="2"/>
  <c r="E6200" i="2"/>
  <c r="A6201" i="2"/>
  <c r="B6201" i="2"/>
  <c r="E6201" i="2"/>
  <c r="A6202" i="2"/>
  <c r="B6202" i="2"/>
  <c r="E6202" i="2"/>
  <c r="A6203" i="2"/>
  <c r="B6203" i="2"/>
  <c r="E6203" i="2"/>
  <c r="A6204" i="2"/>
  <c r="B6204" i="2"/>
  <c r="E6204" i="2"/>
  <c r="A6205" i="2"/>
  <c r="B6205" i="2"/>
  <c r="E6205" i="2"/>
  <c r="A6206" i="2"/>
  <c r="B6206" i="2"/>
  <c r="E6206" i="2"/>
  <c r="A6207" i="2"/>
  <c r="B6207" i="2"/>
  <c r="E6207" i="2"/>
  <c r="A6208" i="2"/>
  <c r="B6208" i="2"/>
  <c r="E6208" i="2"/>
  <c r="A6209" i="2"/>
  <c r="B6209" i="2"/>
  <c r="E6209" i="2"/>
  <c r="A6210" i="2"/>
  <c r="B6210" i="2"/>
  <c r="E6210" i="2"/>
  <c r="A6211" i="2"/>
  <c r="B6211" i="2"/>
  <c r="E6211" i="2"/>
  <c r="A6212" i="2"/>
  <c r="B6212" i="2"/>
  <c r="E6212" i="2"/>
  <c r="A6213" i="2"/>
  <c r="B6213" i="2"/>
  <c r="E6213" i="2"/>
  <c r="A6214" i="2"/>
  <c r="B6214" i="2"/>
  <c r="E6214" i="2"/>
  <c r="A6215" i="2"/>
  <c r="B6215" i="2"/>
  <c r="E6215" i="2"/>
  <c r="A6216" i="2"/>
  <c r="B6216" i="2"/>
  <c r="E6216" i="2"/>
  <c r="A6217" i="2"/>
  <c r="B6217" i="2"/>
  <c r="E6217" i="2"/>
  <c r="A6218" i="2"/>
  <c r="B6218" i="2"/>
  <c r="E6218" i="2"/>
  <c r="A6219" i="2"/>
  <c r="B6219" i="2"/>
  <c r="E6219" i="2"/>
  <c r="A6220" i="2"/>
  <c r="B6220" i="2"/>
  <c r="E6220" i="2"/>
  <c r="A6221" i="2"/>
  <c r="B6221" i="2"/>
  <c r="E6221" i="2"/>
  <c r="A6222" i="2"/>
  <c r="B6222" i="2"/>
  <c r="E6222" i="2"/>
  <c r="A6223" i="2"/>
  <c r="B6223" i="2"/>
  <c r="E6223" i="2"/>
  <c r="A6224" i="2"/>
  <c r="B6224" i="2"/>
  <c r="E6224" i="2"/>
  <c r="A6225" i="2"/>
  <c r="B6225" i="2"/>
  <c r="E6225" i="2"/>
  <c r="A6226" i="2"/>
  <c r="B6226" i="2"/>
  <c r="E6226" i="2"/>
  <c r="A6227" i="2"/>
  <c r="B6227" i="2"/>
  <c r="E6227" i="2"/>
  <c r="A6228" i="2"/>
  <c r="B6228" i="2"/>
  <c r="E6228" i="2"/>
  <c r="A6229" i="2"/>
  <c r="B6229" i="2"/>
  <c r="E6229" i="2"/>
  <c r="A6230" i="2"/>
  <c r="B6230" i="2"/>
  <c r="E6230" i="2"/>
  <c r="A6231" i="2"/>
  <c r="B6231" i="2"/>
  <c r="E6231" i="2"/>
  <c r="A6232" i="2"/>
  <c r="B6232" i="2"/>
  <c r="E6232" i="2"/>
  <c r="A6233" i="2"/>
  <c r="B6233" i="2"/>
  <c r="E6233" i="2"/>
  <c r="A6234" i="2"/>
  <c r="B6234" i="2"/>
  <c r="E6234" i="2"/>
  <c r="A6235" i="2"/>
  <c r="B6235" i="2"/>
  <c r="E6235" i="2"/>
  <c r="A6236" i="2"/>
  <c r="B6236" i="2"/>
  <c r="E6236" i="2"/>
  <c r="A6237" i="2"/>
  <c r="B6237" i="2"/>
  <c r="E6237" i="2"/>
  <c r="A6238" i="2"/>
  <c r="B6238" i="2"/>
  <c r="E6238" i="2"/>
  <c r="A6239" i="2"/>
  <c r="B6239" i="2"/>
  <c r="E6239" i="2"/>
  <c r="A6240" i="2"/>
  <c r="B6240" i="2"/>
  <c r="E6240" i="2"/>
  <c r="A6241" i="2"/>
  <c r="B6241" i="2"/>
  <c r="E6241" i="2"/>
  <c r="A6242" i="2"/>
  <c r="B6242" i="2"/>
  <c r="E6242" i="2"/>
  <c r="A6243" i="2"/>
  <c r="B6243" i="2"/>
  <c r="E6243" i="2"/>
  <c r="A6244" i="2"/>
  <c r="B6244" i="2"/>
  <c r="E6244" i="2"/>
  <c r="A6245" i="2"/>
  <c r="B6245" i="2"/>
  <c r="E6245" i="2"/>
  <c r="A6246" i="2"/>
  <c r="B6246" i="2"/>
  <c r="E6246" i="2"/>
  <c r="A6247" i="2"/>
  <c r="B6247" i="2"/>
  <c r="E6247" i="2"/>
  <c r="A6248" i="2"/>
  <c r="B6248" i="2"/>
  <c r="E6248" i="2"/>
  <c r="A6249" i="2"/>
  <c r="B6249" i="2"/>
  <c r="E6249" i="2"/>
  <c r="A6250" i="2"/>
  <c r="B6250" i="2"/>
  <c r="E6250" i="2"/>
  <c r="A6251" i="2"/>
  <c r="B6251" i="2"/>
  <c r="E6251" i="2"/>
  <c r="A6252" i="2"/>
  <c r="B6252" i="2"/>
  <c r="E6252" i="2"/>
  <c r="A6253" i="2"/>
  <c r="B6253" i="2"/>
  <c r="E6253" i="2"/>
  <c r="A6254" i="2"/>
  <c r="B6254" i="2"/>
  <c r="E6254" i="2"/>
  <c r="A6255" i="2"/>
  <c r="B6255" i="2"/>
  <c r="E6255" i="2"/>
  <c r="A6256" i="2"/>
  <c r="B6256" i="2"/>
  <c r="E6256" i="2"/>
  <c r="A6257" i="2"/>
  <c r="B6257" i="2"/>
  <c r="E6257" i="2"/>
  <c r="A6258" i="2"/>
  <c r="B6258" i="2"/>
  <c r="E6258" i="2"/>
  <c r="A6259" i="2"/>
  <c r="B6259" i="2"/>
  <c r="E6259" i="2"/>
  <c r="A6260" i="2"/>
  <c r="B6260" i="2"/>
  <c r="E6260" i="2"/>
  <c r="A6261" i="2"/>
  <c r="B6261" i="2"/>
  <c r="E6261" i="2"/>
  <c r="A6262" i="2"/>
  <c r="B6262" i="2"/>
  <c r="E6262" i="2"/>
  <c r="A6263" i="2"/>
  <c r="B6263" i="2"/>
  <c r="E6263" i="2"/>
  <c r="A6264" i="2"/>
  <c r="B6264" i="2"/>
  <c r="E6264" i="2"/>
  <c r="A6265" i="2"/>
  <c r="B6265" i="2"/>
  <c r="E6265" i="2"/>
  <c r="A6266" i="2"/>
  <c r="B6266" i="2"/>
  <c r="E6266" i="2"/>
  <c r="A6267" i="2"/>
  <c r="B6267" i="2"/>
  <c r="E6267" i="2"/>
  <c r="A6268" i="2"/>
  <c r="B6268" i="2"/>
  <c r="E6268" i="2"/>
  <c r="A6269" i="2"/>
  <c r="B6269" i="2"/>
  <c r="E6269" i="2"/>
  <c r="A6270" i="2"/>
  <c r="B6270" i="2"/>
  <c r="E6270" i="2"/>
  <c r="A6271" i="2"/>
  <c r="B6271" i="2"/>
  <c r="E6271" i="2"/>
  <c r="A6272" i="2"/>
  <c r="B6272" i="2"/>
  <c r="E6272" i="2"/>
  <c r="A6273" i="2"/>
  <c r="B6273" i="2"/>
  <c r="E6273" i="2"/>
  <c r="A6274" i="2"/>
  <c r="B6274" i="2"/>
  <c r="E6274" i="2"/>
  <c r="A6275" i="2"/>
  <c r="B6275" i="2"/>
  <c r="E6275" i="2"/>
  <c r="A6276" i="2"/>
  <c r="B6276" i="2"/>
  <c r="E6276" i="2"/>
  <c r="A6277" i="2"/>
  <c r="B6277" i="2"/>
  <c r="E6277" i="2"/>
  <c r="A6278" i="2"/>
  <c r="B6278" i="2"/>
  <c r="E6278" i="2"/>
  <c r="A6279" i="2"/>
  <c r="B6279" i="2"/>
  <c r="E6279" i="2"/>
  <c r="A6280" i="2"/>
  <c r="B6280" i="2"/>
  <c r="E6280" i="2"/>
  <c r="A6281" i="2"/>
  <c r="B6281" i="2"/>
  <c r="E6281" i="2"/>
  <c r="A6282" i="2"/>
  <c r="B6282" i="2"/>
  <c r="E6282" i="2"/>
  <c r="A6283" i="2"/>
  <c r="B6283" i="2"/>
  <c r="E6283" i="2"/>
  <c r="A6284" i="2"/>
  <c r="B6284" i="2"/>
  <c r="E6284" i="2"/>
  <c r="A6285" i="2"/>
  <c r="B6285" i="2"/>
  <c r="E6285" i="2"/>
  <c r="A6286" i="2"/>
  <c r="B6286" i="2"/>
  <c r="E6286" i="2"/>
  <c r="A6287" i="2"/>
  <c r="B6287" i="2"/>
  <c r="E6287" i="2"/>
  <c r="A6288" i="2"/>
  <c r="B6288" i="2"/>
  <c r="E6288" i="2"/>
  <c r="A6289" i="2"/>
  <c r="B6289" i="2"/>
  <c r="E6289" i="2"/>
  <c r="A6290" i="2"/>
  <c r="B6290" i="2"/>
  <c r="E6290" i="2"/>
  <c r="A6291" i="2"/>
  <c r="B6291" i="2"/>
  <c r="E6291" i="2"/>
  <c r="A6292" i="2"/>
  <c r="B6292" i="2"/>
  <c r="E6292" i="2"/>
  <c r="A6293" i="2"/>
  <c r="B6293" i="2"/>
  <c r="E6293" i="2"/>
  <c r="A6294" i="2"/>
  <c r="B6294" i="2"/>
  <c r="E6294" i="2"/>
  <c r="A6295" i="2"/>
  <c r="B6295" i="2"/>
  <c r="E6295" i="2"/>
  <c r="A6296" i="2"/>
  <c r="B6296" i="2"/>
  <c r="E6296" i="2"/>
  <c r="A6297" i="2"/>
  <c r="B6297" i="2"/>
  <c r="E6297" i="2"/>
  <c r="A6298" i="2"/>
  <c r="B6298" i="2"/>
  <c r="E6298" i="2"/>
  <c r="A6299" i="2"/>
  <c r="B6299" i="2"/>
  <c r="E6299" i="2"/>
  <c r="A6300" i="2"/>
  <c r="B6300" i="2"/>
  <c r="E6300" i="2"/>
  <c r="A6301" i="2"/>
  <c r="B6301" i="2"/>
  <c r="E6301" i="2"/>
  <c r="A6302" i="2"/>
  <c r="B6302" i="2"/>
  <c r="E6302" i="2"/>
  <c r="A6303" i="2"/>
  <c r="B6303" i="2"/>
  <c r="E6303" i="2"/>
  <c r="A6304" i="2"/>
  <c r="B6304" i="2"/>
  <c r="E6304" i="2"/>
  <c r="A6305" i="2"/>
  <c r="B6305" i="2"/>
  <c r="E6305" i="2"/>
  <c r="A6306" i="2"/>
  <c r="B6306" i="2"/>
  <c r="E6306" i="2"/>
  <c r="A6307" i="2"/>
  <c r="B6307" i="2"/>
  <c r="E6307" i="2"/>
  <c r="A6308" i="2"/>
  <c r="B6308" i="2"/>
  <c r="E6308" i="2"/>
  <c r="A6309" i="2"/>
  <c r="B6309" i="2"/>
  <c r="E6309" i="2"/>
  <c r="A6310" i="2"/>
  <c r="B6310" i="2"/>
  <c r="E6310" i="2"/>
  <c r="A6311" i="2"/>
  <c r="B6311" i="2"/>
  <c r="E6311" i="2"/>
  <c r="A6312" i="2"/>
  <c r="B6312" i="2"/>
  <c r="E6312" i="2"/>
  <c r="A6313" i="2"/>
  <c r="B6313" i="2"/>
  <c r="E6313" i="2"/>
  <c r="A6314" i="2"/>
  <c r="B6314" i="2"/>
  <c r="E6314" i="2"/>
  <c r="A6315" i="2"/>
  <c r="B6315" i="2"/>
  <c r="E6315" i="2"/>
  <c r="A6316" i="2"/>
  <c r="B6316" i="2"/>
  <c r="E6316" i="2"/>
  <c r="A6317" i="2"/>
  <c r="B6317" i="2"/>
  <c r="E6317" i="2"/>
  <c r="A6318" i="2"/>
  <c r="B6318" i="2"/>
  <c r="E6318" i="2"/>
  <c r="A6319" i="2"/>
  <c r="B6319" i="2"/>
  <c r="E6319" i="2"/>
  <c r="A6320" i="2"/>
  <c r="B6320" i="2"/>
  <c r="E6320" i="2"/>
  <c r="A6321" i="2"/>
  <c r="B6321" i="2"/>
  <c r="E6321" i="2"/>
  <c r="A6322" i="2"/>
  <c r="B6322" i="2"/>
  <c r="E6322" i="2"/>
  <c r="A6323" i="2"/>
  <c r="B6323" i="2"/>
  <c r="E6323" i="2"/>
  <c r="A6324" i="2"/>
  <c r="B6324" i="2"/>
  <c r="E6324" i="2"/>
  <c r="A6325" i="2"/>
  <c r="B6325" i="2"/>
  <c r="E6325" i="2"/>
  <c r="A6326" i="2"/>
  <c r="B6326" i="2"/>
  <c r="E6326" i="2"/>
  <c r="A6327" i="2"/>
  <c r="B6327" i="2"/>
  <c r="E6327" i="2"/>
  <c r="A6328" i="2"/>
  <c r="B6328" i="2"/>
  <c r="E6328" i="2"/>
  <c r="A6329" i="2"/>
  <c r="B6329" i="2"/>
  <c r="E6329" i="2"/>
  <c r="A6330" i="2"/>
  <c r="B6330" i="2"/>
  <c r="E6330" i="2"/>
  <c r="A6331" i="2"/>
  <c r="B6331" i="2"/>
  <c r="E6331" i="2"/>
  <c r="A6332" i="2"/>
  <c r="B6332" i="2"/>
  <c r="E6332" i="2"/>
  <c r="A6333" i="2"/>
  <c r="B6333" i="2"/>
  <c r="E6333" i="2"/>
  <c r="A6334" i="2"/>
  <c r="B6334" i="2"/>
  <c r="E6334" i="2"/>
  <c r="A6335" i="2"/>
  <c r="B6335" i="2"/>
  <c r="E6335" i="2"/>
  <c r="A6336" i="2"/>
  <c r="B6336" i="2"/>
  <c r="E6336" i="2"/>
  <c r="A6337" i="2"/>
  <c r="B6337" i="2"/>
  <c r="E6337" i="2"/>
  <c r="A6338" i="2"/>
  <c r="B6338" i="2"/>
  <c r="E6338" i="2"/>
  <c r="A6339" i="2"/>
  <c r="B6339" i="2"/>
  <c r="E6339" i="2"/>
  <c r="A6340" i="2"/>
  <c r="B6340" i="2"/>
  <c r="E6340" i="2"/>
  <c r="A6341" i="2"/>
  <c r="B6341" i="2"/>
  <c r="E6341" i="2"/>
  <c r="A6342" i="2"/>
  <c r="B6342" i="2"/>
  <c r="E6342" i="2"/>
  <c r="A6343" i="2"/>
  <c r="B6343" i="2"/>
  <c r="E6343" i="2"/>
  <c r="A6344" i="2"/>
  <c r="B6344" i="2"/>
  <c r="E6344" i="2"/>
  <c r="A6345" i="2"/>
  <c r="B6345" i="2"/>
  <c r="E6345" i="2"/>
  <c r="A6346" i="2"/>
  <c r="B6346" i="2"/>
  <c r="E6346" i="2"/>
  <c r="A6347" i="2"/>
  <c r="B6347" i="2"/>
  <c r="E6347" i="2"/>
  <c r="A6348" i="2"/>
  <c r="B6348" i="2"/>
  <c r="E6348" i="2"/>
  <c r="A6349" i="2"/>
  <c r="B6349" i="2"/>
  <c r="E6349" i="2"/>
  <c r="A6350" i="2"/>
  <c r="B6350" i="2"/>
  <c r="E6350" i="2"/>
  <c r="A6351" i="2"/>
  <c r="B6351" i="2"/>
  <c r="E6351" i="2"/>
  <c r="A6352" i="2"/>
  <c r="B6352" i="2"/>
  <c r="E6352" i="2"/>
  <c r="A6353" i="2"/>
  <c r="B6353" i="2"/>
  <c r="E6353" i="2"/>
  <c r="A6354" i="2"/>
  <c r="B6354" i="2"/>
  <c r="E6354" i="2"/>
  <c r="A6355" i="2"/>
  <c r="B6355" i="2"/>
  <c r="E6355" i="2"/>
  <c r="A6356" i="2"/>
  <c r="B6356" i="2"/>
  <c r="E6356" i="2"/>
  <c r="A6357" i="2"/>
  <c r="B6357" i="2"/>
  <c r="E6357" i="2"/>
  <c r="A6358" i="2"/>
  <c r="B6358" i="2"/>
  <c r="E6358" i="2"/>
  <c r="A6359" i="2"/>
  <c r="B6359" i="2"/>
  <c r="E6359" i="2"/>
  <c r="A6360" i="2"/>
  <c r="B6360" i="2"/>
  <c r="E6360" i="2"/>
  <c r="A6361" i="2"/>
  <c r="B6361" i="2"/>
  <c r="E6361" i="2"/>
  <c r="A6362" i="2"/>
  <c r="B6362" i="2"/>
  <c r="E6362" i="2"/>
  <c r="A6363" i="2"/>
  <c r="B6363" i="2"/>
  <c r="E6363" i="2"/>
  <c r="A6364" i="2"/>
  <c r="B6364" i="2"/>
  <c r="E6364" i="2"/>
  <c r="A6365" i="2"/>
  <c r="B6365" i="2"/>
  <c r="E6365" i="2"/>
  <c r="A6366" i="2"/>
  <c r="B6366" i="2"/>
  <c r="E6366" i="2"/>
  <c r="A6367" i="2"/>
  <c r="B6367" i="2"/>
  <c r="E6367" i="2"/>
  <c r="A6368" i="2"/>
  <c r="B6368" i="2"/>
  <c r="E6368" i="2"/>
  <c r="A6369" i="2"/>
  <c r="B6369" i="2"/>
  <c r="E6369" i="2"/>
  <c r="A6370" i="2"/>
  <c r="B6370" i="2"/>
  <c r="E6370" i="2"/>
  <c r="A6371" i="2"/>
  <c r="B6371" i="2"/>
  <c r="E6371" i="2"/>
  <c r="A6372" i="2"/>
  <c r="B6372" i="2"/>
  <c r="E6372" i="2"/>
  <c r="A6373" i="2"/>
  <c r="B6373" i="2"/>
  <c r="E6373" i="2"/>
  <c r="A6374" i="2"/>
  <c r="B6374" i="2"/>
  <c r="E6374" i="2"/>
  <c r="A6375" i="2"/>
  <c r="B6375" i="2"/>
  <c r="E6375" i="2"/>
  <c r="A6376" i="2"/>
  <c r="B6376" i="2"/>
  <c r="E6376" i="2"/>
  <c r="A6377" i="2"/>
  <c r="B6377" i="2"/>
  <c r="E6377" i="2"/>
  <c r="A6378" i="2"/>
  <c r="B6378" i="2"/>
  <c r="E6378" i="2"/>
  <c r="A6379" i="2"/>
  <c r="B6379" i="2"/>
  <c r="E6379" i="2"/>
  <c r="A6380" i="2"/>
  <c r="B6380" i="2"/>
  <c r="E6380" i="2"/>
  <c r="A6381" i="2"/>
  <c r="B6381" i="2"/>
  <c r="E6381" i="2"/>
  <c r="A6382" i="2"/>
  <c r="B6382" i="2"/>
  <c r="E6382" i="2"/>
  <c r="A6383" i="2"/>
  <c r="B6383" i="2"/>
  <c r="E6383" i="2"/>
  <c r="A6384" i="2"/>
  <c r="B6384" i="2"/>
  <c r="E6384" i="2"/>
  <c r="A6385" i="2"/>
  <c r="B6385" i="2"/>
  <c r="E6385" i="2"/>
  <c r="A6386" i="2"/>
  <c r="B6386" i="2"/>
  <c r="E6386" i="2"/>
  <c r="A6387" i="2"/>
  <c r="B6387" i="2"/>
  <c r="E6387" i="2"/>
  <c r="A6388" i="2"/>
  <c r="B6388" i="2"/>
  <c r="E6388" i="2"/>
  <c r="A6389" i="2"/>
  <c r="B6389" i="2"/>
  <c r="E6389" i="2"/>
  <c r="A6390" i="2"/>
  <c r="B6390" i="2"/>
  <c r="E6390" i="2"/>
  <c r="A6391" i="2"/>
  <c r="B6391" i="2"/>
  <c r="E6391" i="2"/>
  <c r="A6392" i="2"/>
  <c r="B6392" i="2"/>
  <c r="E6392" i="2"/>
  <c r="A6393" i="2"/>
  <c r="B6393" i="2"/>
  <c r="E6393" i="2"/>
  <c r="A6394" i="2"/>
  <c r="B6394" i="2"/>
  <c r="E6394" i="2"/>
  <c r="A6395" i="2"/>
  <c r="B6395" i="2"/>
  <c r="E6395" i="2"/>
  <c r="A6396" i="2"/>
  <c r="B6396" i="2"/>
  <c r="E6396" i="2"/>
  <c r="A6397" i="2"/>
  <c r="B6397" i="2"/>
  <c r="E6397" i="2"/>
  <c r="A6398" i="2"/>
  <c r="B6398" i="2"/>
  <c r="E6398" i="2"/>
  <c r="A6399" i="2"/>
  <c r="B6399" i="2"/>
  <c r="E6399" i="2"/>
  <c r="A6400" i="2"/>
  <c r="B6400" i="2"/>
  <c r="E6400" i="2"/>
  <c r="A6401" i="2"/>
  <c r="B6401" i="2"/>
  <c r="E6401" i="2"/>
  <c r="A6402" i="2"/>
  <c r="B6402" i="2"/>
  <c r="E6402" i="2"/>
  <c r="A6403" i="2"/>
  <c r="B6403" i="2"/>
  <c r="E6403" i="2"/>
  <c r="A6404" i="2"/>
  <c r="B6404" i="2"/>
  <c r="E6404" i="2"/>
  <c r="A6405" i="2"/>
  <c r="B6405" i="2"/>
  <c r="E6405" i="2"/>
  <c r="A6406" i="2"/>
  <c r="B6406" i="2"/>
  <c r="E6406" i="2"/>
  <c r="A6407" i="2"/>
  <c r="B6407" i="2"/>
  <c r="E6407" i="2"/>
  <c r="A6408" i="2"/>
  <c r="B6408" i="2"/>
  <c r="E6408" i="2"/>
  <c r="A6409" i="2"/>
  <c r="B6409" i="2"/>
  <c r="E6409" i="2"/>
  <c r="A6410" i="2"/>
  <c r="B6410" i="2"/>
  <c r="E6410" i="2"/>
  <c r="A6411" i="2"/>
  <c r="B6411" i="2"/>
  <c r="E6411" i="2"/>
  <c r="A6412" i="2"/>
  <c r="B6412" i="2"/>
  <c r="E6412" i="2"/>
  <c r="A6413" i="2"/>
  <c r="B6413" i="2"/>
  <c r="E6413" i="2"/>
  <c r="A6414" i="2"/>
  <c r="B6414" i="2"/>
  <c r="E6414" i="2"/>
  <c r="A6415" i="2"/>
  <c r="B6415" i="2"/>
  <c r="E6415" i="2"/>
  <c r="A6416" i="2"/>
  <c r="B6416" i="2"/>
  <c r="E6416" i="2"/>
  <c r="A6417" i="2"/>
  <c r="B6417" i="2"/>
  <c r="E6417" i="2"/>
  <c r="A6418" i="2"/>
  <c r="B6418" i="2"/>
  <c r="E6418" i="2"/>
  <c r="A6419" i="2"/>
  <c r="B6419" i="2"/>
  <c r="E6419" i="2"/>
  <c r="A6420" i="2"/>
  <c r="B6420" i="2"/>
  <c r="E6420" i="2"/>
  <c r="A6421" i="2"/>
  <c r="B6421" i="2"/>
  <c r="E6421" i="2"/>
  <c r="A6422" i="2"/>
  <c r="B6422" i="2"/>
  <c r="E6422" i="2"/>
  <c r="A6423" i="2"/>
  <c r="B6423" i="2"/>
  <c r="E6423" i="2"/>
  <c r="A6424" i="2"/>
  <c r="B6424" i="2"/>
  <c r="E6424" i="2"/>
  <c r="A6425" i="2"/>
  <c r="B6425" i="2"/>
  <c r="E6425" i="2"/>
  <c r="A6426" i="2"/>
  <c r="B6426" i="2"/>
  <c r="E6426" i="2"/>
  <c r="A6427" i="2"/>
  <c r="B6427" i="2"/>
  <c r="E6427" i="2"/>
  <c r="A6428" i="2"/>
  <c r="B6428" i="2"/>
  <c r="E6428" i="2"/>
  <c r="A6429" i="2"/>
  <c r="B6429" i="2"/>
  <c r="E6429" i="2"/>
  <c r="A6430" i="2"/>
  <c r="B6430" i="2"/>
  <c r="E6430" i="2"/>
  <c r="A6431" i="2"/>
  <c r="B6431" i="2"/>
  <c r="E6431" i="2"/>
  <c r="A6432" i="2"/>
  <c r="B6432" i="2"/>
  <c r="E6432" i="2"/>
  <c r="A6433" i="2"/>
  <c r="B6433" i="2"/>
  <c r="E6433" i="2"/>
  <c r="A6434" i="2"/>
  <c r="B6434" i="2"/>
  <c r="E6434" i="2"/>
  <c r="A6435" i="2"/>
  <c r="B6435" i="2"/>
  <c r="E6435" i="2"/>
  <c r="A6436" i="2"/>
  <c r="B6436" i="2"/>
  <c r="E6436" i="2"/>
  <c r="A6437" i="2"/>
  <c r="B6437" i="2"/>
  <c r="E6437" i="2"/>
  <c r="A6438" i="2"/>
  <c r="B6438" i="2"/>
  <c r="E6438" i="2"/>
  <c r="A6439" i="2"/>
  <c r="B6439" i="2"/>
  <c r="E6439" i="2"/>
  <c r="A6440" i="2"/>
  <c r="B6440" i="2"/>
  <c r="E6440" i="2"/>
  <c r="A6441" i="2"/>
  <c r="B6441" i="2"/>
  <c r="E6441" i="2"/>
  <c r="A6442" i="2"/>
  <c r="B6442" i="2"/>
  <c r="E6442" i="2"/>
  <c r="A6443" i="2"/>
  <c r="B6443" i="2"/>
  <c r="E6443" i="2"/>
  <c r="A6444" i="2"/>
  <c r="B6444" i="2"/>
  <c r="E6444" i="2"/>
  <c r="A6445" i="2"/>
  <c r="B6445" i="2"/>
  <c r="E6445" i="2"/>
  <c r="A6446" i="2"/>
  <c r="B6446" i="2"/>
  <c r="E6446" i="2"/>
  <c r="A6447" i="2"/>
  <c r="B6447" i="2"/>
  <c r="E6447" i="2"/>
  <c r="A6448" i="2"/>
  <c r="B6448" i="2"/>
  <c r="E6448" i="2"/>
  <c r="A6449" i="2"/>
  <c r="B6449" i="2"/>
  <c r="E6449" i="2"/>
  <c r="A6450" i="2"/>
  <c r="B6450" i="2"/>
  <c r="E6450" i="2"/>
  <c r="A6451" i="2"/>
  <c r="B6451" i="2"/>
  <c r="E6451" i="2"/>
  <c r="A6452" i="2"/>
  <c r="B6452" i="2"/>
  <c r="E6452" i="2"/>
  <c r="A6453" i="2"/>
  <c r="B6453" i="2"/>
  <c r="E6453" i="2"/>
  <c r="A6454" i="2"/>
  <c r="B6454" i="2"/>
  <c r="E6454" i="2"/>
  <c r="A6455" i="2"/>
  <c r="B6455" i="2"/>
  <c r="E6455" i="2"/>
  <c r="A6456" i="2"/>
  <c r="B6456" i="2"/>
  <c r="E6456" i="2"/>
  <c r="A6457" i="2"/>
  <c r="B6457" i="2"/>
  <c r="E6457" i="2"/>
  <c r="A6458" i="2"/>
  <c r="B6458" i="2"/>
  <c r="E6458" i="2"/>
  <c r="A6459" i="2"/>
  <c r="B6459" i="2"/>
  <c r="E6459" i="2"/>
  <c r="A6460" i="2"/>
  <c r="B6460" i="2"/>
  <c r="E6460" i="2"/>
  <c r="A6461" i="2"/>
  <c r="B6461" i="2"/>
  <c r="E6461" i="2"/>
  <c r="A6462" i="2"/>
  <c r="B6462" i="2"/>
  <c r="E6462" i="2"/>
  <c r="A6463" i="2"/>
  <c r="B6463" i="2"/>
  <c r="E6463" i="2"/>
  <c r="A6464" i="2"/>
  <c r="B6464" i="2"/>
  <c r="E6464" i="2"/>
  <c r="A6465" i="2"/>
  <c r="B6465" i="2"/>
  <c r="E6465" i="2"/>
  <c r="A6466" i="2"/>
  <c r="B6466" i="2"/>
  <c r="E6466" i="2"/>
  <c r="A6467" i="2"/>
  <c r="B6467" i="2"/>
  <c r="E6467" i="2"/>
  <c r="A6468" i="2"/>
  <c r="B6468" i="2"/>
  <c r="E6468" i="2"/>
  <c r="A6469" i="2"/>
  <c r="B6469" i="2"/>
  <c r="E6469" i="2"/>
  <c r="A6470" i="2"/>
  <c r="B6470" i="2"/>
  <c r="E6470" i="2"/>
  <c r="A6471" i="2"/>
  <c r="B6471" i="2"/>
  <c r="E6471" i="2"/>
  <c r="A6472" i="2"/>
  <c r="B6472" i="2"/>
  <c r="E6472" i="2"/>
  <c r="A6473" i="2"/>
  <c r="B6473" i="2"/>
  <c r="E6473" i="2"/>
  <c r="A6474" i="2"/>
  <c r="B6474" i="2"/>
  <c r="E6474" i="2"/>
  <c r="A6475" i="2"/>
  <c r="B6475" i="2"/>
  <c r="E6475" i="2"/>
  <c r="A6476" i="2"/>
  <c r="B6476" i="2"/>
  <c r="E6476" i="2"/>
  <c r="A6477" i="2"/>
  <c r="B6477" i="2"/>
  <c r="E6477" i="2"/>
  <c r="A6478" i="2"/>
  <c r="B6478" i="2"/>
  <c r="E6478" i="2"/>
  <c r="A6479" i="2"/>
  <c r="B6479" i="2"/>
  <c r="E6479" i="2"/>
  <c r="A6480" i="2"/>
  <c r="B6480" i="2"/>
  <c r="E6480" i="2"/>
  <c r="A6481" i="2"/>
  <c r="B6481" i="2"/>
  <c r="E6481" i="2"/>
  <c r="A6482" i="2"/>
  <c r="B6482" i="2"/>
  <c r="E6482" i="2"/>
  <c r="A6483" i="2"/>
  <c r="B6483" i="2"/>
  <c r="E6483" i="2"/>
  <c r="A6484" i="2"/>
  <c r="B6484" i="2"/>
  <c r="E6484" i="2"/>
  <c r="A6485" i="2"/>
  <c r="B6485" i="2"/>
  <c r="E6485" i="2"/>
  <c r="A6486" i="2"/>
  <c r="B6486" i="2"/>
  <c r="E6486" i="2"/>
  <c r="A6487" i="2"/>
  <c r="B6487" i="2"/>
  <c r="E6487" i="2"/>
  <c r="A6488" i="2"/>
  <c r="B6488" i="2"/>
  <c r="E6488" i="2"/>
  <c r="A6489" i="2"/>
  <c r="B6489" i="2"/>
  <c r="E6489" i="2"/>
  <c r="A6490" i="2"/>
  <c r="B6490" i="2"/>
  <c r="E6490" i="2"/>
  <c r="A6491" i="2"/>
  <c r="B6491" i="2"/>
  <c r="E6491" i="2"/>
  <c r="A6492" i="2"/>
  <c r="B6492" i="2"/>
  <c r="E6492" i="2"/>
  <c r="A6493" i="2"/>
  <c r="B6493" i="2"/>
  <c r="E6493" i="2"/>
  <c r="A6494" i="2"/>
  <c r="B6494" i="2"/>
  <c r="E6494" i="2"/>
  <c r="A6495" i="2"/>
  <c r="B6495" i="2"/>
  <c r="E6495" i="2"/>
  <c r="A6496" i="2"/>
  <c r="B6496" i="2"/>
  <c r="E6496" i="2"/>
  <c r="A6497" i="2"/>
  <c r="B6497" i="2"/>
  <c r="E6497" i="2"/>
  <c r="A6498" i="2"/>
  <c r="B6498" i="2"/>
  <c r="E6498" i="2"/>
  <c r="A6499" i="2"/>
  <c r="B6499" i="2"/>
  <c r="E6499" i="2"/>
  <c r="A6500" i="2"/>
  <c r="B6500" i="2"/>
  <c r="E6500" i="2"/>
  <c r="A6501" i="2"/>
  <c r="B6501" i="2"/>
  <c r="E6501" i="2"/>
  <c r="A6502" i="2"/>
  <c r="B6502" i="2"/>
  <c r="E6502" i="2"/>
  <c r="A6503" i="2"/>
  <c r="B6503" i="2"/>
  <c r="E6503" i="2"/>
  <c r="A6504" i="2"/>
  <c r="B6504" i="2"/>
  <c r="E6504" i="2"/>
  <c r="A6505" i="2"/>
  <c r="B6505" i="2"/>
  <c r="E6505" i="2"/>
  <c r="A6506" i="2"/>
  <c r="B6506" i="2"/>
  <c r="E6506" i="2"/>
  <c r="A6507" i="2"/>
  <c r="B6507" i="2"/>
  <c r="E6507" i="2"/>
  <c r="A6508" i="2"/>
  <c r="B6508" i="2"/>
  <c r="E6508" i="2"/>
  <c r="A6509" i="2"/>
  <c r="B6509" i="2"/>
  <c r="E6509" i="2"/>
  <c r="A6510" i="2"/>
  <c r="B6510" i="2"/>
  <c r="E6510" i="2"/>
  <c r="A6511" i="2"/>
  <c r="B6511" i="2"/>
  <c r="E6511" i="2"/>
  <c r="A6512" i="2"/>
  <c r="B6512" i="2"/>
  <c r="E6512" i="2"/>
  <c r="A6513" i="2"/>
  <c r="B6513" i="2"/>
  <c r="E6513" i="2"/>
  <c r="A6514" i="2"/>
  <c r="B6514" i="2"/>
  <c r="E6514" i="2"/>
  <c r="A6515" i="2"/>
  <c r="B6515" i="2"/>
  <c r="E6515" i="2"/>
  <c r="A6516" i="2"/>
  <c r="B6516" i="2"/>
  <c r="E6516" i="2"/>
  <c r="A6517" i="2"/>
  <c r="B6517" i="2"/>
  <c r="E6517" i="2"/>
  <c r="A6518" i="2"/>
  <c r="B6518" i="2"/>
  <c r="E6518" i="2"/>
  <c r="A6519" i="2"/>
  <c r="B6519" i="2"/>
  <c r="E6519" i="2"/>
  <c r="A6520" i="2"/>
  <c r="B6520" i="2"/>
  <c r="E6520" i="2"/>
  <c r="A6521" i="2"/>
  <c r="B6521" i="2"/>
  <c r="E6521" i="2"/>
  <c r="A6522" i="2"/>
  <c r="B6522" i="2"/>
  <c r="E6522" i="2"/>
  <c r="A6523" i="2"/>
  <c r="B6523" i="2"/>
  <c r="E6523" i="2"/>
  <c r="A6524" i="2"/>
  <c r="B6524" i="2"/>
  <c r="E6524" i="2"/>
  <c r="A6525" i="2"/>
  <c r="B6525" i="2"/>
  <c r="E6525" i="2"/>
  <c r="A6526" i="2"/>
  <c r="B6526" i="2"/>
  <c r="E6526" i="2"/>
  <c r="A6527" i="2"/>
  <c r="B6527" i="2"/>
  <c r="E6527" i="2"/>
  <c r="A6528" i="2"/>
  <c r="B6528" i="2"/>
  <c r="E6528" i="2"/>
  <c r="A6529" i="2"/>
  <c r="B6529" i="2"/>
  <c r="E6529" i="2"/>
  <c r="A6530" i="2"/>
  <c r="B6530" i="2"/>
  <c r="E6530" i="2"/>
  <c r="A6531" i="2"/>
  <c r="B6531" i="2"/>
  <c r="E6531" i="2"/>
  <c r="A6532" i="2"/>
  <c r="B6532" i="2"/>
  <c r="E6532" i="2"/>
  <c r="A6533" i="2"/>
  <c r="B6533" i="2"/>
  <c r="E6533" i="2"/>
  <c r="A6534" i="2"/>
  <c r="B6534" i="2"/>
  <c r="E6534" i="2"/>
  <c r="A6535" i="2"/>
  <c r="B6535" i="2"/>
  <c r="E6535" i="2"/>
  <c r="A6536" i="2"/>
  <c r="B6536" i="2"/>
  <c r="E6536" i="2"/>
  <c r="A6537" i="2"/>
  <c r="B6537" i="2"/>
  <c r="E6537" i="2"/>
  <c r="A6538" i="2"/>
  <c r="B6538" i="2"/>
  <c r="E6538" i="2"/>
  <c r="A6539" i="2"/>
  <c r="B6539" i="2"/>
  <c r="E6539" i="2"/>
  <c r="A6540" i="2"/>
  <c r="B6540" i="2"/>
  <c r="E6540" i="2"/>
  <c r="A6541" i="2"/>
  <c r="B6541" i="2"/>
  <c r="E6541" i="2"/>
  <c r="A6542" i="2"/>
  <c r="B6542" i="2"/>
  <c r="E6542" i="2"/>
  <c r="A6543" i="2"/>
  <c r="B6543" i="2"/>
  <c r="E6543" i="2"/>
  <c r="A6544" i="2"/>
  <c r="B6544" i="2"/>
  <c r="E6544" i="2"/>
  <c r="A6545" i="2"/>
  <c r="B6545" i="2"/>
  <c r="E6545" i="2"/>
  <c r="A6546" i="2"/>
  <c r="B6546" i="2"/>
  <c r="E6546" i="2"/>
  <c r="A6547" i="2"/>
  <c r="B6547" i="2"/>
  <c r="E6547" i="2"/>
  <c r="A6548" i="2"/>
  <c r="B6548" i="2"/>
  <c r="E6548" i="2"/>
  <c r="A6549" i="2"/>
  <c r="B6549" i="2"/>
  <c r="E6549" i="2"/>
  <c r="A6550" i="2"/>
  <c r="B6550" i="2"/>
  <c r="E6550" i="2"/>
  <c r="A6551" i="2"/>
  <c r="B6551" i="2"/>
  <c r="E6551" i="2"/>
  <c r="A6552" i="2"/>
  <c r="B6552" i="2"/>
  <c r="E6552" i="2"/>
  <c r="A6553" i="2"/>
  <c r="B6553" i="2"/>
  <c r="E6553" i="2"/>
  <c r="A6554" i="2"/>
  <c r="B6554" i="2"/>
  <c r="E6554" i="2"/>
  <c r="A6555" i="2"/>
  <c r="B6555" i="2"/>
  <c r="E6555" i="2"/>
  <c r="A6556" i="2"/>
  <c r="B6556" i="2"/>
  <c r="E6556" i="2"/>
  <c r="A6557" i="2"/>
  <c r="B6557" i="2"/>
  <c r="E6557" i="2"/>
  <c r="A6558" i="2"/>
  <c r="B6558" i="2"/>
  <c r="E6558" i="2"/>
  <c r="A6559" i="2"/>
  <c r="B6559" i="2"/>
  <c r="E6559" i="2"/>
  <c r="A6560" i="2"/>
  <c r="B6560" i="2"/>
  <c r="E6560" i="2"/>
  <c r="A6561" i="2"/>
  <c r="B6561" i="2"/>
  <c r="E6561" i="2"/>
  <c r="A6562" i="2"/>
  <c r="B6562" i="2"/>
  <c r="E6562" i="2"/>
  <c r="A6563" i="2"/>
  <c r="B6563" i="2"/>
  <c r="E6563" i="2"/>
  <c r="A6564" i="2"/>
  <c r="B6564" i="2"/>
  <c r="E6564" i="2"/>
  <c r="A6565" i="2"/>
  <c r="B6565" i="2"/>
  <c r="E6565" i="2"/>
  <c r="A6566" i="2"/>
  <c r="B6566" i="2"/>
  <c r="E6566" i="2"/>
  <c r="A6567" i="2"/>
  <c r="B6567" i="2"/>
  <c r="E6567" i="2"/>
  <c r="A6568" i="2"/>
  <c r="B6568" i="2"/>
  <c r="E6568" i="2"/>
  <c r="A6569" i="2"/>
  <c r="B6569" i="2"/>
  <c r="E6569" i="2"/>
  <c r="A6570" i="2"/>
  <c r="B6570" i="2"/>
  <c r="E6570" i="2"/>
  <c r="A6571" i="2"/>
  <c r="B6571" i="2"/>
  <c r="E6571" i="2"/>
  <c r="A6572" i="2"/>
  <c r="B6572" i="2"/>
  <c r="E6572" i="2"/>
  <c r="A6573" i="2"/>
  <c r="B6573" i="2"/>
  <c r="E6573" i="2"/>
  <c r="A6574" i="2"/>
  <c r="B6574" i="2"/>
  <c r="E6574" i="2"/>
  <c r="A6575" i="2"/>
  <c r="B6575" i="2"/>
  <c r="E6575" i="2"/>
  <c r="A6576" i="2"/>
  <c r="B6576" i="2"/>
  <c r="E6576" i="2"/>
  <c r="A6577" i="2"/>
  <c r="B6577" i="2"/>
  <c r="E6577" i="2"/>
  <c r="A6578" i="2"/>
  <c r="B6578" i="2"/>
  <c r="E6578" i="2"/>
  <c r="A6579" i="2"/>
  <c r="B6579" i="2"/>
  <c r="E6579" i="2"/>
  <c r="A6580" i="2"/>
  <c r="B6580" i="2"/>
  <c r="E6580" i="2"/>
  <c r="A6581" i="2"/>
  <c r="B6581" i="2"/>
  <c r="E6581" i="2"/>
  <c r="A6582" i="2"/>
  <c r="B6582" i="2"/>
  <c r="E6582" i="2"/>
  <c r="A6583" i="2"/>
  <c r="B6583" i="2"/>
  <c r="E6583" i="2"/>
  <c r="A6584" i="2"/>
  <c r="B6584" i="2"/>
  <c r="E6584" i="2"/>
  <c r="A6585" i="2"/>
  <c r="B6585" i="2"/>
  <c r="E6585" i="2"/>
  <c r="A6586" i="2"/>
  <c r="B6586" i="2"/>
  <c r="E6586" i="2"/>
  <c r="A6587" i="2"/>
  <c r="B6587" i="2"/>
  <c r="E6587" i="2"/>
  <c r="A6588" i="2"/>
  <c r="B6588" i="2"/>
  <c r="E6588" i="2"/>
  <c r="A6589" i="2"/>
  <c r="B6589" i="2"/>
  <c r="E6589" i="2"/>
  <c r="A6590" i="2"/>
  <c r="B6590" i="2"/>
  <c r="E6590" i="2"/>
  <c r="A6591" i="2"/>
  <c r="B6591" i="2"/>
  <c r="E6591" i="2"/>
  <c r="A6592" i="2"/>
  <c r="B6592" i="2"/>
  <c r="E6592" i="2"/>
  <c r="A6593" i="2"/>
  <c r="B6593" i="2"/>
  <c r="E6593" i="2"/>
  <c r="A6594" i="2"/>
  <c r="B6594" i="2"/>
  <c r="E6594" i="2"/>
  <c r="A6595" i="2"/>
  <c r="B6595" i="2"/>
  <c r="E6595" i="2"/>
  <c r="A6596" i="2"/>
  <c r="B6596" i="2"/>
  <c r="E6596" i="2"/>
  <c r="A6597" i="2"/>
  <c r="B6597" i="2"/>
  <c r="E6597" i="2"/>
  <c r="A6598" i="2"/>
  <c r="B6598" i="2"/>
  <c r="E6598" i="2"/>
  <c r="A6599" i="2"/>
  <c r="B6599" i="2"/>
  <c r="E6599" i="2"/>
  <c r="A6600" i="2"/>
  <c r="B6600" i="2"/>
  <c r="E6600" i="2"/>
  <c r="A6601" i="2"/>
  <c r="B6601" i="2"/>
  <c r="E6601" i="2"/>
  <c r="A6602" i="2"/>
  <c r="B6602" i="2"/>
  <c r="E6602" i="2"/>
  <c r="A6603" i="2"/>
  <c r="B6603" i="2"/>
  <c r="E6603" i="2"/>
  <c r="A6604" i="2"/>
  <c r="B6604" i="2"/>
  <c r="E6604" i="2"/>
  <c r="A6605" i="2"/>
  <c r="B6605" i="2"/>
  <c r="E6605" i="2"/>
  <c r="A6606" i="2"/>
  <c r="B6606" i="2"/>
  <c r="E6606" i="2"/>
  <c r="A6607" i="2"/>
  <c r="B6607" i="2"/>
  <c r="E6607" i="2"/>
  <c r="A6608" i="2"/>
  <c r="B6608" i="2"/>
  <c r="E6608" i="2"/>
  <c r="A6609" i="2"/>
  <c r="B6609" i="2"/>
  <c r="E6609" i="2"/>
  <c r="A6610" i="2"/>
  <c r="B6610" i="2"/>
  <c r="E6610" i="2"/>
  <c r="A6611" i="2"/>
  <c r="B6611" i="2"/>
  <c r="E6611" i="2"/>
  <c r="A6612" i="2"/>
  <c r="B6612" i="2"/>
  <c r="E6612" i="2"/>
  <c r="A6613" i="2"/>
  <c r="B6613" i="2"/>
  <c r="E6613" i="2"/>
  <c r="A6614" i="2"/>
  <c r="B6614" i="2"/>
  <c r="E6614" i="2"/>
  <c r="A6615" i="2"/>
  <c r="B6615" i="2"/>
  <c r="E6615" i="2"/>
  <c r="A6616" i="2"/>
  <c r="B6616" i="2"/>
  <c r="E6616" i="2"/>
  <c r="A6617" i="2"/>
  <c r="B6617" i="2"/>
  <c r="E6617" i="2"/>
  <c r="A6618" i="2"/>
  <c r="B6618" i="2"/>
  <c r="E6618" i="2"/>
  <c r="A6619" i="2"/>
  <c r="B6619" i="2"/>
  <c r="E6619" i="2"/>
  <c r="A6620" i="2"/>
  <c r="B6620" i="2"/>
  <c r="E6620" i="2"/>
  <c r="A6621" i="2"/>
  <c r="B6621" i="2"/>
  <c r="E6621" i="2"/>
  <c r="A6622" i="2"/>
  <c r="B6622" i="2"/>
  <c r="E6622" i="2"/>
  <c r="A6623" i="2"/>
  <c r="B6623" i="2"/>
  <c r="E6623" i="2"/>
  <c r="A6624" i="2"/>
  <c r="B6624" i="2"/>
  <c r="E6624" i="2"/>
  <c r="A6625" i="2"/>
  <c r="B6625" i="2"/>
  <c r="E6625" i="2"/>
  <c r="A6626" i="2"/>
  <c r="B6626" i="2"/>
  <c r="E6626" i="2"/>
  <c r="A6627" i="2"/>
  <c r="B6627" i="2"/>
  <c r="E6627" i="2"/>
  <c r="A6628" i="2"/>
  <c r="B6628" i="2"/>
  <c r="E6628" i="2"/>
  <c r="A6629" i="2"/>
  <c r="B6629" i="2"/>
  <c r="E6629" i="2"/>
  <c r="A6630" i="2"/>
  <c r="B6630" i="2"/>
  <c r="E6630" i="2"/>
  <c r="A6631" i="2"/>
  <c r="B6631" i="2"/>
  <c r="E6631" i="2"/>
  <c r="A6632" i="2"/>
  <c r="B6632" i="2"/>
  <c r="E6632" i="2"/>
  <c r="A6633" i="2"/>
  <c r="B6633" i="2"/>
  <c r="E6633" i="2"/>
  <c r="A6634" i="2"/>
  <c r="B6634" i="2"/>
  <c r="E6634" i="2"/>
  <c r="A6635" i="2"/>
  <c r="B6635" i="2"/>
  <c r="E6635" i="2"/>
  <c r="A6636" i="2"/>
  <c r="B6636" i="2"/>
  <c r="E6636" i="2"/>
  <c r="A6637" i="2"/>
  <c r="B6637" i="2"/>
  <c r="E6637" i="2"/>
  <c r="A6638" i="2"/>
  <c r="B6638" i="2"/>
  <c r="E6638" i="2"/>
  <c r="A6639" i="2"/>
  <c r="B6639" i="2"/>
  <c r="E6639" i="2"/>
  <c r="A6640" i="2"/>
  <c r="B6640" i="2"/>
  <c r="E6640" i="2"/>
  <c r="A6641" i="2"/>
  <c r="B6641" i="2"/>
  <c r="E6641" i="2"/>
  <c r="A6642" i="2"/>
  <c r="B6642" i="2"/>
  <c r="E6642" i="2"/>
  <c r="A6643" i="2"/>
  <c r="B6643" i="2"/>
  <c r="E6643" i="2"/>
  <c r="A6644" i="2"/>
  <c r="B6644" i="2"/>
  <c r="E6644" i="2"/>
  <c r="A6645" i="2"/>
  <c r="B6645" i="2"/>
  <c r="E6645" i="2"/>
  <c r="A6646" i="2"/>
  <c r="B6646" i="2"/>
  <c r="E6646" i="2"/>
  <c r="A6647" i="2"/>
  <c r="B6647" i="2"/>
  <c r="E6647" i="2"/>
  <c r="A6648" i="2"/>
  <c r="B6648" i="2"/>
  <c r="E6648" i="2"/>
  <c r="A6649" i="2"/>
  <c r="B6649" i="2"/>
  <c r="E6649" i="2"/>
  <c r="A6650" i="2"/>
  <c r="B6650" i="2"/>
  <c r="E6650" i="2"/>
  <c r="A6651" i="2"/>
  <c r="B6651" i="2"/>
  <c r="E6651" i="2"/>
  <c r="A6652" i="2"/>
  <c r="B6652" i="2"/>
  <c r="E6652" i="2"/>
  <c r="A6653" i="2"/>
  <c r="B6653" i="2"/>
  <c r="E6653" i="2"/>
  <c r="A6654" i="2"/>
  <c r="B6654" i="2"/>
  <c r="E6654" i="2"/>
  <c r="A6655" i="2"/>
  <c r="B6655" i="2"/>
  <c r="E6655" i="2"/>
  <c r="A6656" i="2"/>
  <c r="B6656" i="2"/>
  <c r="E6656" i="2"/>
  <c r="A6657" i="2"/>
  <c r="B6657" i="2"/>
  <c r="E6657" i="2"/>
  <c r="A6658" i="2"/>
  <c r="B6658" i="2"/>
  <c r="E6658" i="2"/>
  <c r="A6659" i="2"/>
  <c r="B6659" i="2"/>
  <c r="E6659" i="2"/>
  <c r="A6660" i="2"/>
  <c r="B6660" i="2"/>
  <c r="E6660" i="2"/>
  <c r="A6661" i="2"/>
  <c r="B6661" i="2"/>
  <c r="E6661" i="2"/>
  <c r="A6662" i="2"/>
  <c r="B6662" i="2"/>
  <c r="E6662" i="2"/>
  <c r="A6663" i="2"/>
  <c r="B6663" i="2"/>
  <c r="E6663" i="2"/>
  <c r="A6664" i="2"/>
  <c r="B6664" i="2"/>
  <c r="E6664" i="2"/>
  <c r="A6665" i="2"/>
  <c r="B6665" i="2"/>
  <c r="E6665" i="2"/>
  <c r="A6666" i="2"/>
  <c r="B6666" i="2"/>
  <c r="E6666" i="2"/>
  <c r="A6667" i="2"/>
  <c r="B6667" i="2"/>
  <c r="E6667" i="2"/>
  <c r="A6668" i="2"/>
  <c r="B6668" i="2"/>
  <c r="E6668" i="2"/>
  <c r="A6669" i="2"/>
  <c r="B6669" i="2"/>
  <c r="E6669" i="2"/>
  <c r="A6670" i="2"/>
  <c r="B6670" i="2"/>
  <c r="E6670" i="2"/>
  <c r="A6671" i="2"/>
  <c r="B6671" i="2"/>
  <c r="E6671" i="2"/>
  <c r="A6672" i="2"/>
  <c r="B6672" i="2"/>
  <c r="E6672" i="2"/>
  <c r="A6673" i="2"/>
  <c r="B6673" i="2"/>
  <c r="E6673" i="2"/>
  <c r="A6674" i="2"/>
  <c r="B6674" i="2"/>
  <c r="E6674" i="2"/>
  <c r="A6675" i="2"/>
  <c r="B6675" i="2"/>
  <c r="E6675" i="2"/>
  <c r="A6676" i="2"/>
  <c r="B6676" i="2"/>
  <c r="E6676" i="2"/>
  <c r="A6677" i="2"/>
  <c r="B6677" i="2"/>
  <c r="E6677" i="2"/>
  <c r="A6678" i="2"/>
  <c r="B6678" i="2"/>
  <c r="E6678" i="2"/>
  <c r="A6679" i="2"/>
  <c r="B6679" i="2"/>
  <c r="E6679" i="2"/>
  <c r="A6680" i="2"/>
  <c r="B6680" i="2"/>
  <c r="E6680" i="2"/>
  <c r="A6681" i="2"/>
  <c r="B6681" i="2"/>
  <c r="E6681" i="2"/>
  <c r="A6682" i="2"/>
  <c r="B6682" i="2"/>
  <c r="E6682" i="2"/>
  <c r="A6683" i="2"/>
  <c r="B6683" i="2"/>
  <c r="E6683" i="2"/>
  <c r="A6684" i="2"/>
  <c r="B6684" i="2"/>
  <c r="E6684" i="2"/>
  <c r="A6685" i="2"/>
  <c r="B6685" i="2"/>
  <c r="E6685" i="2"/>
  <c r="A6686" i="2"/>
  <c r="B6686" i="2"/>
  <c r="E6686" i="2"/>
  <c r="A6687" i="2"/>
  <c r="B6687" i="2"/>
  <c r="E6687" i="2"/>
  <c r="A6688" i="2"/>
  <c r="B6688" i="2"/>
  <c r="E6688" i="2"/>
  <c r="A6689" i="2"/>
  <c r="B6689" i="2"/>
  <c r="E6689" i="2"/>
  <c r="A6690" i="2"/>
  <c r="B6690" i="2"/>
  <c r="E6690" i="2"/>
  <c r="A6691" i="2"/>
  <c r="B6691" i="2"/>
  <c r="E6691" i="2"/>
  <c r="A6692" i="2"/>
  <c r="B6692" i="2"/>
  <c r="E6692" i="2"/>
  <c r="A6693" i="2"/>
  <c r="B6693" i="2"/>
  <c r="E6693" i="2"/>
  <c r="A6694" i="2"/>
  <c r="B6694" i="2"/>
  <c r="E6694" i="2"/>
  <c r="A6695" i="2"/>
  <c r="B6695" i="2"/>
  <c r="E6695" i="2"/>
  <c r="A6696" i="2"/>
  <c r="B6696" i="2"/>
  <c r="E6696" i="2"/>
  <c r="A6697" i="2"/>
  <c r="B6697" i="2"/>
  <c r="E6697" i="2"/>
  <c r="A6698" i="2"/>
  <c r="B6698" i="2"/>
  <c r="E6698" i="2"/>
  <c r="A6699" i="2"/>
  <c r="B6699" i="2"/>
  <c r="E6699" i="2"/>
  <c r="A6700" i="2"/>
  <c r="B6700" i="2"/>
  <c r="E6700" i="2"/>
  <c r="A6701" i="2"/>
  <c r="B6701" i="2"/>
  <c r="E6701" i="2"/>
  <c r="A6702" i="2"/>
  <c r="B6702" i="2"/>
  <c r="E6702" i="2"/>
  <c r="A6703" i="2"/>
  <c r="B6703" i="2"/>
  <c r="E6703" i="2"/>
  <c r="A6704" i="2"/>
  <c r="B6704" i="2"/>
  <c r="E6704" i="2"/>
  <c r="A6705" i="2"/>
  <c r="B6705" i="2"/>
  <c r="E6705" i="2"/>
  <c r="A6706" i="2"/>
  <c r="B6706" i="2"/>
  <c r="E6706" i="2"/>
  <c r="A6707" i="2"/>
  <c r="B6707" i="2"/>
  <c r="E6707" i="2"/>
  <c r="A6708" i="2"/>
  <c r="B6708" i="2"/>
  <c r="E6708" i="2"/>
  <c r="A6709" i="2"/>
  <c r="B6709" i="2"/>
  <c r="E6709" i="2"/>
  <c r="A6710" i="2"/>
  <c r="B6710" i="2"/>
  <c r="E6710" i="2"/>
  <c r="A6711" i="2"/>
  <c r="B6711" i="2"/>
  <c r="E6711" i="2"/>
  <c r="A6712" i="2"/>
  <c r="B6712" i="2"/>
  <c r="E6712" i="2"/>
  <c r="A6713" i="2"/>
  <c r="B6713" i="2"/>
  <c r="E6713" i="2"/>
  <c r="A6714" i="2"/>
  <c r="B6714" i="2"/>
  <c r="E6714" i="2"/>
  <c r="A6715" i="2"/>
  <c r="B6715" i="2"/>
  <c r="E6715" i="2"/>
  <c r="A6716" i="2"/>
  <c r="B6716" i="2"/>
  <c r="E6716" i="2"/>
  <c r="A6717" i="2"/>
  <c r="B6717" i="2"/>
  <c r="E6717" i="2"/>
  <c r="A6718" i="2"/>
  <c r="B6718" i="2"/>
  <c r="E6718" i="2"/>
  <c r="A6719" i="2"/>
  <c r="B6719" i="2"/>
  <c r="E6719" i="2"/>
  <c r="A6720" i="2"/>
  <c r="B6720" i="2"/>
  <c r="E6720" i="2"/>
  <c r="A6721" i="2"/>
  <c r="B6721" i="2"/>
  <c r="E6721" i="2"/>
  <c r="A6722" i="2"/>
  <c r="B6722" i="2"/>
  <c r="E6722" i="2"/>
  <c r="A6723" i="2"/>
  <c r="B6723" i="2"/>
  <c r="E6723" i="2"/>
  <c r="A6724" i="2"/>
  <c r="B6724" i="2"/>
  <c r="E6724" i="2"/>
  <c r="A6725" i="2"/>
  <c r="B6725" i="2"/>
  <c r="E6725" i="2"/>
  <c r="A6726" i="2"/>
  <c r="B6726" i="2"/>
  <c r="E6726" i="2"/>
  <c r="A6727" i="2"/>
  <c r="B6727" i="2"/>
  <c r="E6727" i="2"/>
  <c r="A6728" i="2"/>
  <c r="B6728" i="2"/>
  <c r="E6728" i="2"/>
  <c r="A6729" i="2"/>
  <c r="B6729" i="2"/>
  <c r="E6729" i="2"/>
  <c r="A6730" i="2"/>
  <c r="B6730" i="2"/>
  <c r="E6730" i="2"/>
  <c r="A6731" i="2"/>
  <c r="B6731" i="2"/>
  <c r="E6731" i="2"/>
  <c r="A6732" i="2"/>
  <c r="B6732" i="2"/>
  <c r="E6732" i="2"/>
  <c r="A6733" i="2"/>
  <c r="B6733" i="2"/>
  <c r="E6733" i="2"/>
  <c r="A6734" i="2"/>
  <c r="B6734" i="2"/>
  <c r="E6734" i="2"/>
  <c r="A6735" i="2"/>
  <c r="B6735" i="2"/>
  <c r="E6735" i="2"/>
  <c r="A6736" i="2"/>
  <c r="B6736" i="2"/>
  <c r="E6736" i="2"/>
  <c r="A6737" i="2"/>
  <c r="B6737" i="2"/>
  <c r="E6737" i="2"/>
  <c r="A6738" i="2"/>
  <c r="B6738" i="2"/>
  <c r="E6738" i="2"/>
  <c r="A6739" i="2"/>
  <c r="B6739" i="2"/>
  <c r="E6739" i="2"/>
  <c r="A6740" i="2"/>
  <c r="B6740" i="2"/>
  <c r="E6740" i="2"/>
  <c r="A6741" i="2"/>
  <c r="B6741" i="2"/>
  <c r="E6741" i="2"/>
  <c r="A6742" i="2"/>
  <c r="B6742" i="2"/>
  <c r="E6742" i="2"/>
  <c r="A6743" i="2"/>
  <c r="B6743" i="2"/>
  <c r="E6743" i="2"/>
  <c r="A6744" i="2"/>
  <c r="B6744" i="2"/>
  <c r="E6744" i="2"/>
  <c r="A6745" i="2"/>
  <c r="B6745" i="2"/>
  <c r="E6745" i="2"/>
  <c r="A6746" i="2"/>
  <c r="B6746" i="2"/>
  <c r="E6746" i="2"/>
  <c r="A6747" i="2"/>
  <c r="B6747" i="2"/>
  <c r="E6747" i="2"/>
  <c r="A6748" i="2"/>
  <c r="B6748" i="2"/>
  <c r="E6748" i="2"/>
  <c r="A6749" i="2"/>
  <c r="B6749" i="2"/>
  <c r="E6749" i="2"/>
  <c r="A6750" i="2"/>
  <c r="B6750" i="2"/>
  <c r="E6750" i="2"/>
  <c r="A6751" i="2"/>
  <c r="B6751" i="2"/>
  <c r="E6751" i="2"/>
  <c r="A6752" i="2"/>
  <c r="B6752" i="2"/>
  <c r="E6752" i="2"/>
  <c r="A6753" i="2"/>
  <c r="B6753" i="2"/>
  <c r="E6753" i="2"/>
  <c r="A6754" i="2"/>
  <c r="B6754" i="2"/>
  <c r="E6754" i="2"/>
  <c r="A6755" i="2"/>
  <c r="B6755" i="2"/>
  <c r="E6755" i="2"/>
  <c r="A6756" i="2"/>
  <c r="B6756" i="2"/>
  <c r="E6756" i="2"/>
  <c r="A6757" i="2"/>
  <c r="B6757" i="2"/>
  <c r="E6757" i="2"/>
  <c r="A6758" i="2"/>
  <c r="B6758" i="2"/>
  <c r="E6758" i="2"/>
  <c r="A6759" i="2"/>
  <c r="B6759" i="2"/>
  <c r="E6759" i="2"/>
  <c r="A6760" i="2"/>
  <c r="B6760" i="2"/>
  <c r="E6760" i="2"/>
  <c r="A6761" i="2"/>
  <c r="B6761" i="2"/>
  <c r="E6761" i="2"/>
  <c r="A6762" i="2"/>
  <c r="B6762" i="2"/>
  <c r="E6762" i="2"/>
  <c r="A6763" i="2"/>
  <c r="B6763" i="2"/>
  <c r="E6763" i="2"/>
  <c r="A6764" i="2"/>
  <c r="B6764" i="2"/>
  <c r="E6764" i="2"/>
  <c r="A6765" i="2"/>
  <c r="B6765" i="2"/>
  <c r="E6765" i="2"/>
  <c r="A6766" i="2"/>
  <c r="B6766" i="2"/>
  <c r="E6766" i="2"/>
  <c r="A6767" i="2"/>
  <c r="B6767" i="2"/>
  <c r="E6767" i="2"/>
  <c r="A6768" i="2"/>
  <c r="B6768" i="2"/>
  <c r="E6768" i="2"/>
  <c r="A6769" i="2"/>
  <c r="B6769" i="2"/>
  <c r="E6769" i="2"/>
  <c r="A6770" i="2"/>
  <c r="B6770" i="2"/>
  <c r="E6770" i="2"/>
  <c r="A6771" i="2"/>
  <c r="B6771" i="2"/>
  <c r="E6771" i="2"/>
  <c r="A6772" i="2"/>
  <c r="B6772" i="2"/>
  <c r="E6772" i="2"/>
  <c r="A6773" i="2"/>
  <c r="B6773" i="2"/>
  <c r="E6773" i="2"/>
  <c r="A6774" i="2"/>
  <c r="B6774" i="2"/>
  <c r="E6774" i="2"/>
  <c r="A6775" i="2"/>
  <c r="B6775" i="2"/>
  <c r="E6775" i="2"/>
  <c r="A6776" i="2"/>
  <c r="B6776" i="2"/>
  <c r="E6776" i="2"/>
  <c r="A6777" i="2"/>
  <c r="B6777" i="2"/>
  <c r="E6777" i="2"/>
  <c r="A6778" i="2"/>
  <c r="B6778" i="2"/>
  <c r="E6778" i="2"/>
  <c r="A6779" i="2"/>
  <c r="B6779" i="2"/>
  <c r="E6779" i="2"/>
  <c r="A6780" i="2"/>
  <c r="B6780" i="2"/>
  <c r="E6780" i="2"/>
  <c r="A6781" i="2"/>
  <c r="B6781" i="2"/>
  <c r="E6781" i="2"/>
  <c r="A6782" i="2"/>
  <c r="B6782" i="2"/>
  <c r="E6782" i="2"/>
  <c r="A6783" i="2"/>
  <c r="B6783" i="2"/>
  <c r="E6783" i="2"/>
  <c r="A6784" i="2"/>
  <c r="B6784" i="2"/>
  <c r="E6784" i="2"/>
  <c r="A6785" i="2"/>
  <c r="B6785" i="2"/>
  <c r="E6785" i="2"/>
  <c r="A6786" i="2"/>
  <c r="B6786" i="2"/>
  <c r="E6786" i="2"/>
  <c r="A6787" i="2"/>
  <c r="B6787" i="2"/>
  <c r="E6787" i="2"/>
  <c r="A6788" i="2"/>
  <c r="B6788" i="2"/>
  <c r="E6788" i="2"/>
  <c r="A6789" i="2"/>
  <c r="B6789" i="2"/>
  <c r="E6789" i="2"/>
  <c r="A6790" i="2"/>
  <c r="B6790" i="2"/>
  <c r="E6790" i="2"/>
  <c r="A6791" i="2"/>
  <c r="B6791" i="2"/>
  <c r="E6791" i="2"/>
  <c r="A6792" i="2"/>
  <c r="B6792" i="2"/>
  <c r="E6792" i="2"/>
  <c r="A6793" i="2"/>
  <c r="B6793" i="2"/>
  <c r="E6793" i="2"/>
  <c r="A6794" i="2"/>
  <c r="B6794" i="2"/>
  <c r="E6794" i="2"/>
  <c r="A6795" i="2"/>
  <c r="B6795" i="2"/>
  <c r="E6795" i="2"/>
  <c r="A6796" i="2"/>
  <c r="B6796" i="2"/>
  <c r="E6796" i="2"/>
  <c r="A6797" i="2"/>
  <c r="B6797" i="2"/>
  <c r="E6797" i="2"/>
  <c r="A6798" i="2"/>
  <c r="B6798" i="2"/>
  <c r="E6798" i="2"/>
  <c r="A6799" i="2"/>
  <c r="B6799" i="2"/>
  <c r="E6799" i="2"/>
  <c r="A6800" i="2"/>
  <c r="B6800" i="2"/>
  <c r="E6800" i="2"/>
  <c r="A6801" i="2"/>
  <c r="B6801" i="2"/>
  <c r="E6801" i="2"/>
  <c r="A6802" i="2"/>
  <c r="B6802" i="2"/>
  <c r="E6802" i="2"/>
  <c r="A6803" i="2"/>
  <c r="B6803" i="2"/>
  <c r="E6803" i="2"/>
  <c r="A6804" i="2"/>
  <c r="B6804" i="2"/>
  <c r="E6804" i="2"/>
  <c r="A6805" i="2"/>
  <c r="B6805" i="2"/>
  <c r="E6805" i="2"/>
  <c r="A6806" i="2"/>
  <c r="B6806" i="2"/>
  <c r="E6806" i="2"/>
  <c r="A6807" i="2"/>
  <c r="B6807" i="2"/>
  <c r="E6807" i="2"/>
  <c r="A6808" i="2"/>
  <c r="B6808" i="2"/>
  <c r="E6808" i="2"/>
  <c r="A6809" i="2"/>
  <c r="B6809" i="2"/>
  <c r="E6809" i="2"/>
  <c r="A6810" i="2"/>
  <c r="B6810" i="2"/>
  <c r="E6810" i="2"/>
  <c r="A6811" i="2"/>
  <c r="B6811" i="2"/>
  <c r="E6811" i="2"/>
  <c r="A6812" i="2"/>
  <c r="B6812" i="2"/>
  <c r="E6812" i="2"/>
  <c r="A6813" i="2"/>
  <c r="B6813" i="2"/>
  <c r="E6813" i="2"/>
  <c r="A6814" i="2"/>
  <c r="B6814" i="2"/>
  <c r="E6814" i="2"/>
  <c r="A6815" i="2"/>
  <c r="B6815" i="2"/>
  <c r="E6815" i="2"/>
  <c r="A6816" i="2"/>
  <c r="B6816" i="2"/>
  <c r="E6816" i="2"/>
  <c r="A6817" i="2"/>
  <c r="B6817" i="2"/>
  <c r="E6817" i="2"/>
  <c r="A6818" i="2"/>
  <c r="B6818" i="2"/>
  <c r="E6818" i="2"/>
  <c r="A6819" i="2"/>
  <c r="B6819" i="2"/>
  <c r="E6819" i="2"/>
  <c r="A6820" i="2"/>
  <c r="B6820" i="2"/>
  <c r="E6820" i="2"/>
  <c r="A6821" i="2"/>
  <c r="B6821" i="2"/>
  <c r="E6821" i="2"/>
  <c r="A6822" i="2"/>
  <c r="B6822" i="2"/>
  <c r="E6822" i="2"/>
  <c r="A6823" i="2"/>
  <c r="B6823" i="2"/>
  <c r="E6823" i="2"/>
  <c r="A6824" i="2"/>
  <c r="B6824" i="2"/>
  <c r="E6824" i="2"/>
  <c r="A6825" i="2"/>
  <c r="B6825" i="2"/>
  <c r="E6825" i="2"/>
  <c r="A6826" i="2"/>
  <c r="B6826" i="2"/>
  <c r="E6826" i="2"/>
  <c r="A6827" i="2"/>
  <c r="B6827" i="2"/>
  <c r="E6827" i="2"/>
  <c r="A6828" i="2"/>
  <c r="B6828" i="2"/>
  <c r="E6828" i="2"/>
  <c r="A6829" i="2"/>
  <c r="B6829" i="2"/>
  <c r="E6829" i="2"/>
  <c r="A6830" i="2"/>
  <c r="B6830" i="2"/>
  <c r="E6830" i="2"/>
  <c r="A6831" i="2"/>
  <c r="B6831" i="2"/>
  <c r="E6831" i="2"/>
  <c r="A6832" i="2"/>
  <c r="B6832" i="2"/>
  <c r="E6832" i="2"/>
  <c r="A6833" i="2"/>
  <c r="B6833" i="2"/>
  <c r="E6833" i="2"/>
  <c r="A6834" i="2"/>
  <c r="B6834" i="2"/>
  <c r="E6834" i="2"/>
  <c r="A6835" i="2"/>
  <c r="B6835" i="2"/>
  <c r="E6835" i="2"/>
  <c r="A6836" i="2"/>
  <c r="B6836" i="2"/>
  <c r="E6836" i="2"/>
  <c r="A6837" i="2"/>
  <c r="B6837" i="2"/>
  <c r="E6837" i="2"/>
  <c r="A6838" i="2"/>
  <c r="B6838" i="2"/>
  <c r="E6838" i="2"/>
  <c r="A6839" i="2"/>
  <c r="B6839" i="2"/>
  <c r="E6839" i="2"/>
  <c r="A6840" i="2"/>
  <c r="B6840" i="2"/>
  <c r="E6840" i="2"/>
  <c r="A6841" i="2"/>
  <c r="B6841" i="2"/>
  <c r="E6841" i="2"/>
  <c r="A6842" i="2"/>
  <c r="B6842" i="2"/>
  <c r="E6842" i="2"/>
  <c r="A6843" i="2"/>
  <c r="B6843" i="2"/>
  <c r="E6843" i="2"/>
  <c r="A6844" i="2"/>
  <c r="B6844" i="2"/>
  <c r="E6844" i="2"/>
  <c r="A6845" i="2"/>
  <c r="B6845" i="2"/>
  <c r="E6845" i="2"/>
  <c r="A6846" i="2"/>
  <c r="B6846" i="2"/>
  <c r="E6846" i="2"/>
  <c r="A6847" i="2"/>
  <c r="B6847" i="2"/>
  <c r="E6847" i="2"/>
  <c r="A6848" i="2"/>
  <c r="B6848" i="2"/>
  <c r="E6848" i="2"/>
  <c r="A6849" i="2"/>
  <c r="B6849" i="2"/>
  <c r="E6849" i="2"/>
  <c r="A6850" i="2"/>
  <c r="B6850" i="2"/>
  <c r="E6850" i="2"/>
  <c r="A6851" i="2"/>
  <c r="B6851" i="2"/>
  <c r="E6851" i="2"/>
  <c r="A6852" i="2"/>
  <c r="B6852" i="2"/>
  <c r="E6852" i="2"/>
  <c r="A6853" i="2"/>
  <c r="B6853" i="2"/>
  <c r="E6853" i="2"/>
  <c r="A6854" i="2"/>
  <c r="B6854" i="2"/>
  <c r="E6854" i="2"/>
  <c r="A6855" i="2"/>
  <c r="B6855" i="2"/>
  <c r="E6855" i="2"/>
  <c r="A6856" i="2"/>
  <c r="B6856" i="2"/>
  <c r="E6856" i="2"/>
  <c r="A6857" i="2"/>
  <c r="B6857" i="2"/>
  <c r="E6857" i="2"/>
  <c r="A6858" i="2"/>
  <c r="B6858" i="2"/>
  <c r="E6858" i="2"/>
  <c r="A6859" i="2"/>
  <c r="B6859" i="2"/>
  <c r="E6859" i="2"/>
  <c r="A6860" i="2"/>
  <c r="B6860" i="2"/>
  <c r="E6860" i="2"/>
  <c r="A6861" i="2"/>
  <c r="B6861" i="2"/>
  <c r="E6861" i="2"/>
  <c r="A6862" i="2"/>
  <c r="B6862" i="2"/>
  <c r="E6862" i="2"/>
  <c r="A6863" i="2"/>
  <c r="B6863" i="2"/>
  <c r="E6863" i="2"/>
  <c r="A6864" i="2"/>
  <c r="B6864" i="2"/>
  <c r="E6864" i="2"/>
  <c r="A6865" i="2"/>
  <c r="B6865" i="2"/>
  <c r="E6865" i="2"/>
  <c r="A6866" i="2"/>
  <c r="B6866" i="2"/>
  <c r="E6866" i="2"/>
  <c r="A6867" i="2"/>
  <c r="B6867" i="2"/>
  <c r="E6867" i="2"/>
  <c r="A6868" i="2"/>
  <c r="B6868" i="2"/>
  <c r="E6868" i="2"/>
  <c r="A6869" i="2"/>
  <c r="B6869" i="2"/>
  <c r="E6869" i="2"/>
  <c r="A6870" i="2"/>
  <c r="B6870" i="2"/>
  <c r="E6870" i="2"/>
  <c r="A6871" i="2"/>
  <c r="B6871" i="2"/>
  <c r="E6871" i="2"/>
  <c r="A6872" i="2"/>
  <c r="B6872" i="2"/>
  <c r="E6872" i="2"/>
  <c r="A6873" i="2"/>
  <c r="B6873" i="2"/>
  <c r="E6873" i="2"/>
  <c r="A6874" i="2"/>
  <c r="B6874" i="2"/>
  <c r="E6874" i="2"/>
  <c r="A6875" i="2"/>
  <c r="B6875" i="2"/>
  <c r="E6875" i="2"/>
  <c r="A6876" i="2"/>
  <c r="B6876" i="2"/>
  <c r="E6876" i="2"/>
  <c r="A6877" i="2"/>
  <c r="B6877" i="2"/>
  <c r="E6877" i="2"/>
  <c r="A6878" i="2"/>
  <c r="B6878" i="2"/>
  <c r="E6878" i="2"/>
  <c r="A6879" i="2"/>
  <c r="B6879" i="2"/>
  <c r="E6879" i="2"/>
  <c r="A6880" i="2"/>
  <c r="B6880" i="2"/>
  <c r="E6880" i="2"/>
  <c r="A6881" i="2"/>
  <c r="B6881" i="2"/>
  <c r="E6881" i="2"/>
  <c r="A6882" i="2"/>
  <c r="B6882" i="2"/>
  <c r="E6882" i="2"/>
  <c r="A6883" i="2"/>
  <c r="B6883" i="2"/>
  <c r="E6883" i="2"/>
  <c r="A6884" i="2"/>
  <c r="B6884" i="2"/>
  <c r="E6884" i="2"/>
  <c r="A6885" i="2"/>
  <c r="B6885" i="2"/>
  <c r="E6885" i="2"/>
  <c r="A6886" i="2"/>
  <c r="B6886" i="2"/>
  <c r="E6886" i="2"/>
  <c r="A6887" i="2"/>
  <c r="B6887" i="2"/>
  <c r="E6887" i="2"/>
  <c r="A6888" i="2"/>
  <c r="B6888" i="2"/>
  <c r="E6888" i="2"/>
  <c r="A6889" i="2"/>
  <c r="B6889" i="2"/>
  <c r="E6889" i="2"/>
  <c r="A6890" i="2"/>
  <c r="B6890" i="2"/>
  <c r="E6890" i="2"/>
  <c r="A6891" i="2"/>
  <c r="B6891" i="2"/>
  <c r="E6891" i="2"/>
  <c r="A6892" i="2"/>
  <c r="B6892" i="2"/>
  <c r="E6892" i="2"/>
  <c r="A6893" i="2"/>
  <c r="B6893" i="2"/>
  <c r="E6893" i="2"/>
  <c r="A6894" i="2"/>
  <c r="B6894" i="2"/>
  <c r="E6894" i="2"/>
  <c r="A6895" i="2"/>
  <c r="B6895" i="2"/>
  <c r="E6895" i="2"/>
  <c r="A6896" i="2"/>
  <c r="B6896" i="2"/>
  <c r="E6896" i="2"/>
  <c r="A6897" i="2"/>
  <c r="B6897" i="2"/>
  <c r="E6897" i="2"/>
  <c r="A6898" i="2"/>
  <c r="B6898" i="2"/>
  <c r="E6898" i="2"/>
  <c r="A6899" i="2"/>
  <c r="B6899" i="2"/>
  <c r="E6899" i="2"/>
  <c r="A6900" i="2"/>
  <c r="B6900" i="2"/>
  <c r="E6900" i="2"/>
  <c r="A6901" i="2"/>
  <c r="B6901" i="2"/>
  <c r="E6901" i="2"/>
  <c r="A6902" i="2"/>
  <c r="B6902" i="2"/>
  <c r="E6902" i="2"/>
  <c r="A6903" i="2"/>
  <c r="B6903" i="2"/>
  <c r="E6903" i="2"/>
  <c r="A6904" i="2"/>
  <c r="B6904" i="2"/>
  <c r="E6904" i="2"/>
  <c r="A6905" i="2"/>
  <c r="B6905" i="2"/>
  <c r="E6905" i="2"/>
  <c r="A6906" i="2"/>
  <c r="B6906" i="2"/>
  <c r="E6906" i="2"/>
  <c r="A6907" i="2"/>
  <c r="B6907" i="2"/>
  <c r="E6907" i="2"/>
  <c r="A6908" i="2"/>
  <c r="B6908" i="2"/>
  <c r="E6908" i="2"/>
  <c r="A6909" i="2"/>
  <c r="B6909" i="2"/>
  <c r="E6909" i="2"/>
  <c r="A6910" i="2"/>
  <c r="B6910" i="2"/>
  <c r="E6910" i="2"/>
  <c r="A6911" i="2"/>
  <c r="B6911" i="2"/>
  <c r="E6911" i="2"/>
  <c r="A6912" i="2"/>
  <c r="B6912" i="2"/>
  <c r="E6912" i="2"/>
  <c r="A6913" i="2"/>
  <c r="B6913" i="2"/>
  <c r="E6913" i="2"/>
  <c r="A6914" i="2"/>
  <c r="B6914" i="2"/>
  <c r="E6914" i="2"/>
  <c r="A6915" i="2"/>
  <c r="B6915" i="2"/>
  <c r="E6915" i="2"/>
  <c r="A6916" i="2"/>
  <c r="B6916" i="2"/>
  <c r="E6916" i="2"/>
  <c r="A6917" i="2"/>
  <c r="B6917" i="2"/>
  <c r="E6917" i="2"/>
  <c r="A6918" i="2"/>
  <c r="B6918" i="2"/>
  <c r="E6918" i="2"/>
  <c r="A6919" i="2"/>
  <c r="B6919" i="2"/>
  <c r="E6919" i="2"/>
  <c r="A6920" i="2"/>
  <c r="B6920" i="2"/>
  <c r="E6920" i="2"/>
  <c r="A6921" i="2"/>
  <c r="B6921" i="2"/>
  <c r="E6921" i="2"/>
  <c r="A6922" i="2"/>
  <c r="B6922" i="2"/>
  <c r="E6922" i="2"/>
  <c r="A6923" i="2"/>
  <c r="B6923" i="2"/>
  <c r="E6923" i="2"/>
  <c r="A6924" i="2"/>
  <c r="B6924" i="2"/>
  <c r="E6924" i="2"/>
  <c r="A6925" i="2"/>
  <c r="B6925" i="2"/>
  <c r="E6925" i="2"/>
  <c r="A6926" i="2"/>
  <c r="B6926" i="2"/>
  <c r="E6926" i="2"/>
  <c r="A6927" i="2"/>
  <c r="B6927" i="2"/>
  <c r="E6927" i="2"/>
  <c r="A6928" i="2"/>
  <c r="B6928" i="2"/>
  <c r="E6928" i="2"/>
  <c r="A6929" i="2"/>
  <c r="B6929" i="2"/>
  <c r="E6929" i="2"/>
  <c r="A6930" i="2"/>
  <c r="B6930" i="2"/>
  <c r="E6930" i="2"/>
  <c r="A6931" i="2"/>
  <c r="B6931" i="2"/>
  <c r="E6931" i="2"/>
  <c r="A6932" i="2"/>
  <c r="B6932" i="2"/>
  <c r="E6932" i="2"/>
  <c r="A6933" i="2"/>
  <c r="B6933" i="2"/>
  <c r="E6933" i="2"/>
  <c r="A6934" i="2"/>
  <c r="B6934" i="2"/>
  <c r="E6934" i="2"/>
  <c r="A6935" i="2"/>
  <c r="B6935" i="2"/>
  <c r="E6935" i="2"/>
  <c r="A6936" i="2"/>
  <c r="B6936" i="2"/>
  <c r="E6936" i="2"/>
  <c r="A6937" i="2"/>
  <c r="B6937" i="2"/>
  <c r="E6937" i="2"/>
  <c r="A6938" i="2"/>
  <c r="B6938" i="2"/>
  <c r="E6938" i="2"/>
  <c r="A6939" i="2"/>
  <c r="B6939" i="2"/>
  <c r="E6939" i="2"/>
  <c r="A6940" i="2"/>
  <c r="B6940" i="2"/>
  <c r="E6940" i="2"/>
  <c r="A6941" i="2"/>
  <c r="B6941" i="2"/>
  <c r="E6941" i="2"/>
  <c r="A6942" i="2"/>
  <c r="B6942" i="2"/>
  <c r="E6942" i="2"/>
  <c r="A6943" i="2"/>
  <c r="B6943" i="2"/>
  <c r="E6943" i="2"/>
  <c r="A6944" i="2"/>
  <c r="B6944" i="2"/>
  <c r="E6944" i="2"/>
  <c r="A6945" i="2"/>
  <c r="B6945" i="2"/>
  <c r="E6945" i="2"/>
  <c r="A6946" i="2"/>
  <c r="B6946" i="2"/>
  <c r="E6946" i="2"/>
  <c r="A6947" i="2"/>
  <c r="B6947" i="2"/>
  <c r="E6947" i="2"/>
  <c r="A6948" i="2"/>
  <c r="B6948" i="2"/>
  <c r="E6948" i="2"/>
  <c r="A6949" i="2"/>
  <c r="B6949" i="2"/>
  <c r="E6949" i="2"/>
  <c r="A6950" i="2"/>
  <c r="B6950" i="2"/>
  <c r="E6950" i="2"/>
  <c r="A6951" i="2"/>
  <c r="B6951" i="2"/>
  <c r="E6951" i="2"/>
  <c r="A6952" i="2"/>
  <c r="B6952" i="2"/>
  <c r="E6952" i="2"/>
  <c r="A6953" i="2"/>
  <c r="B6953" i="2"/>
  <c r="E6953" i="2"/>
  <c r="A6954" i="2"/>
  <c r="B6954" i="2"/>
  <c r="E6954" i="2"/>
  <c r="A6955" i="2"/>
  <c r="B6955" i="2"/>
  <c r="E6955" i="2"/>
  <c r="A6956" i="2"/>
  <c r="B6956" i="2"/>
  <c r="E6956" i="2"/>
  <c r="A6957" i="2"/>
  <c r="B6957" i="2"/>
  <c r="E6957" i="2"/>
  <c r="A6958" i="2"/>
  <c r="B6958" i="2"/>
  <c r="E6958" i="2"/>
  <c r="A6959" i="2"/>
  <c r="B6959" i="2"/>
  <c r="E6959" i="2"/>
  <c r="A6960" i="2"/>
  <c r="B6960" i="2"/>
  <c r="E6960" i="2"/>
  <c r="A6961" i="2"/>
  <c r="B6961" i="2"/>
  <c r="E6961" i="2"/>
  <c r="A6962" i="2"/>
  <c r="B6962" i="2"/>
  <c r="E6962" i="2"/>
  <c r="A6963" i="2"/>
  <c r="B6963" i="2"/>
  <c r="E6963" i="2"/>
  <c r="A6964" i="2"/>
  <c r="B6964" i="2"/>
  <c r="E6964" i="2"/>
  <c r="A6965" i="2"/>
  <c r="B6965" i="2"/>
  <c r="E6965" i="2"/>
  <c r="A6966" i="2"/>
  <c r="B6966" i="2"/>
  <c r="E6966" i="2"/>
  <c r="A6967" i="2"/>
  <c r="B6967" i="2"/>
  <c r="E6967" i="2"/>
  <c r="A6968" i="2"/>
  <c r="B6968" i="2"/>
  <c r="E6968" i="2"/>
  <c r="A6969" i="2"/>
  <c r="B6969" i="2"/>
  <c r="E6969" i="2"/>
  <c r="A6970" i="2"/>
  <c r="B6970" i="2"/>
  <c r="E6970" i="2"/>
  <c r="A6971" i="2"/>
  <c r="B6971" i="2"/>
  <c r="E6971" i="2"/>
  <c r="A6972" i="2"/>
  <c r="B6972" i="2"/>
  <c r="E6972" i="2"/>
  <c r="A6973" i="2"/>
  <c r="B6973" i="2"/>
  <c r="E6973" i="2"/>
  <c r="A6974" i="2"/>
  <c r="B6974" i="2"/>
  <c r="E6974" i="2"/>
  <c r="A6975" i="2"/>
  <c r="B6975" i="2"/>
  <c r="E6975" i="2"/>
  <c r="A6976" i="2"/>
  <c r="B6976" i="2"/>
  <c r="E6976" i="2"/>
  <c r="A6977" i="2"/>
  <c r="B6977" i="2"/>
  <c r="E6977" i="2"/>
  <c r="A6978" i="2"/>
  <c r="B6978" i="2"/>
  <c r="E6978" i="2"/>
  <c r="A6979" i="2"/>
  <c r="B6979" i="2"/>
  <c r="E6979" i="2"/>
  <c r="A6980" i="2"/>
  <c r="B6980" i="2"/>
  <c r="E6980" i="2"/>
  <c r="A6981" i="2"/>
  <c r="B6981" i="2"/>
  <c r="E6981" i="2"/>
  <c r="A6982" i="2"/>
  <c r="B6982" i="2"/>
  <c r="E6982" i="2"/>
  <c r="A6983" i="2"/>
  <c r="B6983" i="2"/>
  <c r="E6983" i="2"/>
  <c r="A6984" i="2"/>
  <c r="B6984" i="2"/>
  <c r="E6984" i="2"/>
  <c r="A6985" i="2"/>
  <c r="B6985" i="2"/>
  <c r="E6985" i="2"/>
  <c r="A6986" i="2"/>
  <c r="B6986" i="2"/>
  <c r="E6986" i="2"/>
  <c r="A6987" i="2"/>
  <c r="B6987" i="2"/>
  <c r="E6987" i="2"/>
  <c r="A6988" i="2"/>
  <c r="B6988" i="2"/>
  <c r="E6988" i="2"/>
  <c r="A6989" i="2"/>
  <c r="B6989" i="2"/>
  <c r="E6989" i="2"/>
  <c r="A6990" i="2"/>
  <c r="B6990" i="2"/>
  <c r="E6990" i="2"/>
  <c r="A6991" i="2"/>
  <c r="B6991" i="2"/>
  <c r="E6991" i="2"/>
  <c r="A6992" i="2"/>
  <c r="B6992" i="2"/>
  <c r="E6992" i="2"/>
  <c r="A6993" i="2"/>
  <c r="B6993" i="2"/>
  <c r="E6993" i="2"/>
  <c r="A6994" i="2"/>
  <c r="B6994" i="2"/>
  <c r="E6994" i="2"/>
  <c r="A6995" i="2"/>
  <c r="B6995" i="2"/>
  <c r="E6995" i="2"/>
  <c r="A6996" i="2"/>
  <c r="B6996" i="2"/>
  <c r="E6996" i="2"/>
  <c r="A6997" i="2"/>
  <c r="B6997" i="2"/>
  <c r="E6997" i="2"/>
  <c r="A6998" i="2"/>
  <c r="B6998" i="2"/>
  <c r="E6998" i="2"/>
  <c r="A6999" i="2"/>
  <c r="B6999" i="2"/>
  <c r="E6999" i="2"/>
  <c r="A7000" i="2"/>
  <c r="B7000" i="2"/>
  <c r="E7000" i="2"/>
  <c r="A7001" i="2"/>
  <c r="B7001" i="2"/>
  <c r="E7001" i="2"/>
  <c r="A7002" i="2"/>
  <c r="B7002" i="2"/>
  <c r="E7002" i="2"/>
  <c r="A7003" i="2"/>
  <c r="B7003" i="2"/>
  <c r="E7003" i="2"/>
  <c r="A7004" i="2"/>
  <c r="B7004" i="2"/>
  <c r="E7004" i="2"/>
  <c r="A7005" i="2"/>
  <c r="B7005" i="2"/>
  <c r="E7005" i="2"/>
  <c r="A7006" i="2"/>
  <c r="B7006" i="2"/>
  <c r="E7006" i="2"/>
  <c r="A7007" i="2"/>
  <c r="B7007" i="2"/>
  <c r="E7007" i="2"/>
  <c r="A7008" i="2"/>
  <c r="B7008" i="2"/>
  <c r="E7008" i="2"/>
  <c r="A7009" i="2"/>
  <c r="B7009" i="2"/>
  <c r="E7009" i="2"/>
  <c r="A7010" i="2"/>
  <c r="B7010" i="2"/>
  <c r="E7010" i="2"/>
  <c r="A7011" i="2"/>
  <c r="B7011" i="2"/>
  <c r="E7011" i="2"/>
  <c r="A7012" i="2"/>
  <c r="B7012" i="2"/>
  <c r="E7012" i="2"/>
  <c r="A7013" i="2"/>
  <c r="B7013" i="2"/>
  <c r="E7013" i="2"/>
  <c r="A7014" i="2"/>
  <c r="B7014" i="2"/>
  <c r="E7014" i="2"/>
  <c r="A7015" i="2"/>
  <c r="B7015" i="2"/>
  <c r="E7015" i="2"/>
  <c r="A7016" i="2"/>
  <c r="B7016" i="2"/>
  <c r="E7016" i="2"/>
  <c r="A7017" i="2"/>
  <c r="B7017" i="2"/>
  <c r="E7017" i="2"/>
  <c r="A7018" i="2"/>
  <c r="B7018" i="2"/>
  <c r="E7018" i="2"/>
  <c r="A7019" i="2"/>
  <c r="B7019" i="2"/>
  <c r="E7019" i="2"/>
  <c r="A7020" i="2"/>
  <c r="B7020" i="2"/>
  <c r="E7020" i="2"/>
  <c r="A7021" i="2"/>
  <c r="B7021" i="2"/>
  <c r="E7021" i="2"/>
  <c r="A7022" i="2"/>
  <c r="B7022" i="2"/>
  <c r="E7022" i="2"/>
  <c r="A7023" i="2"/>
  <c r="B7023" i="2"/>
  <c r="E7023" i="2"/>
  <c r="A7024" i="2"/>
  <c r="B7024" i="2"/>
  <c r="E7024" i="2"/>
  <c r="A7025" i="2"/>
  <c r="B7025" i="2"/>
  <c r="E7025" i="2"/>
  <c r="A7026" i="2"/>
  <c r="B7026" i="2"/>
  <c r="E7026" i="2"/>
  <c r="A7027" i="2"/>
  <c r="B7027" i="2"/>
  <c r="E7027" i="2"/>
  <c r="A7028" i="2"/>
  <c r="B7028" i="2"/>
  <c r="E7028" i="2"/>
  <c r="A7029" i="2"/>
  <c r="B7029" i="2"/>
  <c r="E7029" i="2"/>
  <c r="A7030" i="2"/>
  <c r="B7030" i="2"/>
  <c r="E7030" i="2"/>
  <c r="A7031" i="2"/>
  <c r="B7031" i="2"/>
  <c r="E7031" i="2"/>
  <c r="A7032" i="2"/>
  <c r="B7032" i="2"/>
  <c r="E7032" i="2"/>
  <c r="A7033" i="2"/>
  <c r="B7033" i="2"/>
  <c r="E7033" i="2"/>
  <c r="A7034" i="2"/>
  <c r="B7034" i="2"/>
  <c r="E7034" i="2"/>
  <c r="A7035" i="2"/>
  <c r="B7035" i="2"/>
  <c r="E7035" i="2"/>
  <c r="A7036" i="2"/>
  <c r="B7036" i="2"/>
  <c r="E7036" i="2"/>
  <c r="A7037" i="2"/>
  <c r="B7037" i="2"/>
  <c r="E7037" i="2"/>
  <c r="A7038" i="2"/>
  <c r="B7038" i="2"/>
  <c r="E7038" i="2"/>
  <c r="A7039" i="2"/>
  <c r="B7039" i="2"/>
  <c r="E7039" i="2"/>
  <c r="A7040" i="2"/>
  <c r="B7040" i="2"/>
  <c r="E7040" i="2"/>
  <c r="A7041" i="2"/>
  <c r="B7041" i="2"/>
  <c r="E7041" i="2"/>
  <c r="A7042" i="2"/>
  <c r="B7042" i="2"/>
  <c r="E7042" i="2"/>
  <c r="A7043" i="2"/>
  <c r="B7043" i="2"/>
  <c r="E7043" i="2"/>
  <c r="A7044" i="2"/>
  <c r="B7044" i="2"/>
  <c r="E7044" i="2"/>
  <c r="A7045" i="2"/>
  <c r="B7045" i="2"/>
  <c r="E7045" i="2"/>
  <c r="A7046" i="2"/>
  <c r="B7046" i="2"/>
  <c r="E7046" i="2"/>
  <c r="A7047" i="2"/>
  <c r="B7047" i="2"/>
  <c r="E7047" i="2"/>
  <c r="A7048" i="2"/>
  <c r="B7048" i="2"/>
  <c r="E7048" i="2"/>
  <c r="A7049" i="2"/>
  <c r="B7049" i="2"/>
  <c r="E7049" i="2"/>
  <c r="A7050" i="2"/>
  <c r="B7050" i="2"/>
  <c r="E7050" i="2"/>
  <c r="A7051" i="2"/>
  <c r="B7051" i="2"/>
  <c r="E7051" i="2"/>
  <c r="A7052" i="2"/>
  <c r="B7052" i="2"/>
  <c r="E7052" i="2"/>
  <c r="A7053" i="2"/>
  <c r="B7053" i="2"/>
  <c r="E7053" i="2"/>
  <c r="A7054" i="2"/>
  <c r="B7054" i="2"/>
  <c r="E7054" i="2"/>
  <c r="A7055" i="2"/>
  <c r="B7055" i="2"/>
  <c r="E7055" i="2"/>
  <c r="A7056" i="2"/>
  <c r="B7056" i="2"/>
  <c r="E7056" i="2"/>
  <c r="A7057" i="2"/>
  <c r="B7057" i="2"/>
  <c r="E7057" i="2"/>
  <c r="A7058" i="2"/>
  <c r="B7058" i="2"/>
  <c r="E7058" i="2"/>
  <c r="A7059" i="2"/>
  <c r="B7059" i="2"/>
  <c r="E7059" i="2"/>
  <c r="A7060" i="2"/>
  <c r="B7060" i="2"/>
  <c r="E7060" i="2"/>
  <c r="A7061" i="2"/>
  <c r="B7061" i="2"/>
  <c r="E7061" i="2"/>
  <c r="A7062" i="2"/>
  <c r="B7062" i="2"/>
  <c r="E7062" i="2"/>
  <c r="A7063" i="2"/>
  <c r="B7063" i="2"/>
  <c r="E7063" i="2"/>
  <c r="A7064" i="2"/>
  <c r="B7064" i="2"/>
  <c r="E7064" i="2"/>
  <c r="A7065" i="2"/>
  <c r="B7065" i="2"/>
  <c r="E7065" i="2"/>
  <c r="A7066" i="2"/>
  <c r="B7066" i="2"/>
  <c r="E7066" i="2"/>
  <c r="A7067" i="2"/>
  <c r="B7067" i="2"/>
  <c r="E7067" i="2"/>
  <c r="A7068" i="2"/>
  <c r="B7068" i="2"/>
  <c r="E7068" i="2"/>
  <c r="A7069" i="2"/>
  <c r="B7069" i="2"/>
  <c r="E7069" i="2"/>
  <c r="A7070" i="2"/>
  <c r="B7070" i="2"/>
  <c r="E7070" i="2"/>
  <c r="A7071" i="2"/>
  <c r="B7071" i="2"/>
  <c r="E7071" i="2"/>
  <c r="A7072" i="2"/>
  <c r="B7072" i="2"/>
  <c r="E7072" i="2"/>
  <c r="A7073" i="2"/>
  <c r="B7073" i="2"/>
  <c r="E7073" i="2"/>
  <c r="A7074" i="2"/>
  <c r="B7074" i="2"/>
  <c r="E7074" i="2"/>
  <c r="A7075" i="2"/>
  <c r="B7075" i="2"/>
  <c r="E7075" i="2"/>
  <c r="A7076" i="2"/>
  <c r="B7076" i="2"/>
  <c r="E7076" i="2"/>
  <c r="A7077" i="2"/>
  <c r="B7077" i="2"/>
  <c r="E7077" i="2"/>
  <c r="A7078" i="2"/>
  <c r="B7078" i="2"/>
  <c r="E7078" i="2"/>
  <c r="A7079" i="2"/>
  <c r="B7079" i="2"/>
  <c r="E7079" i="2"/>
  <c r="A7080" i="2"/>
  <c r="B7080" i="2"/>
  <c r="E7080" i="2"/>
  <c r="A7081" i="2"/>
  <c r="B7081" i="2"/>
  <c r="E7081" i="2"/>
  <c r="A7082" i="2"/>
  <c r="B7082" i="2"/>
  <c r="E7082" i="2"/>
  <c r="A7083" i="2"/>
  <c r="B7083" i="2"/>
  <c r="E7083" i="2"/>
  <c r="A7084" i="2"/>
  <c r="B7084" i="2"/>
  <c r="E7084" i="2"/>
  <c r="A7085" i="2"/>
  <c r="B7085" i="2"/>
  <c r="E7085" i="2"/>
  <c r="A7086" i="2"/>
  <c r="B7086" i="2"/>
  <c r="E7086" i="2"/>
  <c r="A7087" i="2"/>
  <c r="B7087" i="2"/>
  <c r="E7087" i="2"/>
  <c r="A7088" i="2"/>
  <c r="B7088" i="2"/>
  <c r="E7088" i="2"/>
  <c r="A7089" i="2"/>
  <c r="B7089" i="2"/>
  <c r="E7089" i="2"/>
  <c r="A7090" i="2"/>
  <c r="B7090" i="2"/>
  <c r="E7090" i="2"/>
  <c r="A7091" i="2"/>
  <c r="B7091" i="2"/>
  <c r="E7091" i="2"/>
  <c r="A7092" i="2"/>
  <c r="B7092" i="2"/>
  <c r="E7092" i="2"/>
  <c r="A7093" i="2"/>
  <c r="B7093" i="2"/>
  <c r="E7093" i="2"/>
  <c r="A7094" i="2"/>
  <c r="B7094" i="2"/>
  <c r="E7094" i="2"/>
  <c r="A7095" i="2"/>
  <c r="B7095" i="2"/>
  <c r="E7095" i="2"/>
  <c r="A7096" i="2"/>
  <c r="B7096" i="2"/>
  <c r="E7096" i="2"/>
  <c r="A7097" i="2"/>
  <c r="B7097" i="2"/>
  <c r="E7097" i="2"/>
  <c r="A7098" i="2"/>
  <c r="B7098" i="2"/>
  <c r="E7098" i="2"/>
  <c r="A7099" i="2"/>
  <c r="B7099" i="2"/>
  <c r="E7099" i="2"/>
  <c r="A7100" i="2"/>
  <c r="B7100" i="2"/>
  <c r="E7100" i="2"/>
  <c r="A7101" i="2"/>
  <c r="B7101" i="2"/>
  <c r="E7101" i="2"/>
  <c r="A7102" i="2"/>
  <c r="B7102" i="2"/>
  <c r="E7102" i="2"/>
  <c r="A7103" i="2"/>
  <c r="B7103" i="2"/>
  <c r="E7103" i="2"/>
  <c r="A7104" i="2"/>
  <c r="B7104" i="2"/>
  <c r="E7104" i="2"/>
  <c r="A7105" i="2"/>
  <c r="B7105" i="2"/>
  <c r="E7105" i="2"/>
  <c r="A7106" i="2"/>
  <c r="B7106" i="2"/>
  <c r="E7106" i="2"/>
  <c r="A7107" i="2"/>
  <c r="B7107" i="2"/>
  <c r="E7107" i="2"/>
  <c r="A7108" i="2"/>
  <c r="B7108" i="2"/>
  <c r="E7108" i="2"/>
  <c r="A7109" i="2"/>
  <c r="B7109" i="2"/>
  <c r="E7109" i="2"/>
  <c r="A7110" i="2"/>
  <c r="B7110" i="2"/>
  <c r="E7110" i="2"/>
  <c r="A7111" i="2"/>
  <c r="B7111" i="2"/>
  <c r="E7111" i="2"/>
  <c r="A7112" i="2"/>
  <c r="B7112" i="2"/>
  <c r="E7112" i="2"/>
  <c r="A7113" i="2"/>
  <c r="B7113" i="2"/>
  <c r="E7113" i="2"/>
  <c r="A7114" i="2"/>
  <c r="B7114" i="2"/>
  <c r="E7114" i="2"/>
  <c r="A7115" i="2"/>
  <c r="B7115" i="2"/>
  <c r="E7115" i="2"/>
  <c r="A7116" i="2"/>
  <c r="B7116" i="2"/>
  <c r="E7116" i="2"/>
  <c r="A7117" i="2"/>
  <c r="B7117" i="2"/>
  <c r="E7117" i="2"/>
  <c r="A7118" i="2"/>
  <c r="B7118" i="2"/>
  <c r="E7118" i="2"/>
  <c r="A7119" i="2"/>
  <c r="B7119" i="2"/>
  <c r="E7119" i="2"/>
  <c r="A7120" i="2"/>
  <c r="B7120" i="2"/>
  <c r="E7120" i="2"/>
  <c r="A7121" i="2"/>
  <c r="B7121" i="2"/>
  <c r="E7121" i="2"/>
  <c r="A7122" i="2"/>
  <c r="B7122" i="2"/>
  <c r="E7122" i="2"/>
  <c r="A7123" i="2"/>
  <c r="B7123" i="2"/>
  <c r="E7123" i="2"/>
  <c r="A7124" i="2"/>
  <c r="B7124" i="2"/>
  <c r="E7124" i="2"/>
  <c r="A7125" i="2"/>
  <c r="B7125" i="2"/>
  <c r="E7125" i="2"/>
  <c r="A7126" i="2"/>
  <c r="B7126" i="2"/>
  <c r="E7126" i="2"/>
  <c r="A7127" i="2"/>
  <c r="B7127" i="2"/>
  <c r="E7127" i="2"/>
  <c r="A7128" i="2"/>
  <c r="B7128" i="2"/>
  <c r="E7128" i="2"/>
  <c r="A7129" i="2"/>
  <c r="B7129" i="2"/>
  <c r="E7129" i="2"/>
  <c r="A7130" i="2"/>
  <c r="B7130" i="2"/>
  <c r="E7130" i="2"/>
  <c r="A7131" i="2"/>
  <c r="B7131" i="2"/>
  <c r="E7131" i="2"/>
  <c r="A7132" i="2"/>
  <c r="B7132" i="2"/>
  <c r="E7132" i="2"/>
  <c r="A7133" i="2"/>
  <c r="B7133" i="2"/>
  <c r="E7133" i="2"/>
  <c r="A7134" i="2"/>
  <c r="B7134" i="2"/>
  <c r="E7134" i="2"/>
  <c r="A7135" i="2"/>
  <c r="B7135" i="2"/>
  <c r="E7135" i="2"/>
  <c r="A7136" i="2"/>
  <c r="B7136" i="2"/>
  <c r="E7136" i="2"/>
  <c r="A7137" i="2"/>
  <c r="B7137" i="2"/>
  <c r="E7137" i="2"/>
  <c r="A7138" i="2"/>
  <c r="B7138" i="2"/>
  <c r="E7138" i="2"/>
  <c r="A7139" i="2"/>
  <c r="B7139" i="2"/>
  <c r="E7139" i="2"/>
  <c r="A7140" i="2"/>
  <c r="B7140" i="2"/>
  <c r="E7140" i="2"/>
  <c r="A7141" i="2"/>
  <c r="B7141" i="2"/>
  <c r="E7141" i="2"/>
  <c r="A7142" i="2"/>
  <c r="B7142" i="2"/>
  <c r="E7142" i="2"/>
  <c r="A7143" i="2"/>
  <c r="B7143" i="2"/>
  <c r="E7143" i="2"/>
  <c r="A7144" i="2"/>
  <c r="B7144" i="2"/>
  <c r="E7144" i="2"/>
  <c r="A7145" i="2"/>
  <c r="B7145" i="2"/>
  <c r="E7145" i="2"/>
  <c r="A7146" i="2"/>
  <c r="B7146" i="2"/>
  <c r="E7146" i="2"/>
  <c r="A7147" i="2"/>
  <c r="B7147" i="2"/>
  <c r="E7147" i="2"/>
  <c r="A7148" i="2"/>
  <c r="B7148" i="2"/>
  <c r="E7148" i="2"/>
  <c r="A7149" i="2"/>
  <c r="B7149" i="2"/>
  <c r="E7149" i="2"/>
  <c r="A7150" i="2"/>
  <c r="B7150" i="2"/>
  <c r="E7150" i="2"/>
  <c r="A7151" i="2"/>
  <c r="B7151" i="2"/>
  <c r="E7151" i="2"/>
  <c r="A7152" i="2"/>
  <c r="B7152" i="2"/>
  <c r="E7152" i="2"/>
  <c r="A7153" i="2"/>
  <c r="B7153" i="2"/>
  <c r="E7153" i="2"/>
  <c r="A7154" i="2"/>
  <c r="B7154" i="2"/>
  <c r="E7154" i="2"/>
  <c r="A7155" i="2"/>
  <c r="B7155" i="2"/>
  <c r="E7155" i="2"/>
  <c r="A7156" i="2"/>
  <c r="B7156" i="2"/>
  <c r="E7156" i="2"/>
  <c r="A7157" i="2"/>
  <c r="B7157" i="2"/>
  <c r="E7157" i="2"/>
  <c r="A7158" i="2"/>
  <c r="B7158" i="2"/>
  <c r="E7158" i="2"/>
  <c r="A7159" i="2"/>
  <c r="B7159" i="2"/>
  <c r="E7159" i="2"/>
  <c r="A7160" i="2"/>
  <c r="B7160" i="2"/>
  <c r="E7160" i="2"/>
  <c r="A7161" i="2"/>
  <c r="B7161" i="2"/>
  <c r="E7161" i="2"/>
  <c r="A7162" i="2"/>
  <c r="B7162" i="2"/>
  <c r="E7162" i="2"/>
  <c r="A7163" i="2"/>
  <c r="B7163" i="2"/>
  <c r="E7163" i="2"/>
  <c r="A7164" i="2"/>
  <c r="B7164" i="2"/>
  <c r="E7164" i="2"/>
  <c r="A7165" i="2"/>
  <c r="B7165" i="2"/>
  <c r="E7165" i="2"/>
  <c r="A7166" i="2"/>
  <c r="B7166" i="2"/>
  <c r="E7166" i="2"/>
  <c r="A7167" i="2"/>
  <c r="B7167" i="2"/>
  <c r="E7167" i="2"/>
  <c r="A7168" i="2"/>
  <c r="B7168" i="2"/>
  <c r="E7168" i="2"/>
  <c r="A7169" i="2"/>
  <c r="B7169" i="2"/>
  <c r="E7169" i="2"/>
  <c r="A7170" i="2"/>
  <c r="B7170" i="2"/>
  <c r="E7170" i="2"/>
  <c r="A7171" i="2"/>
  <c r="B7171" i="2"/>
  <c r="E7171" i="2"/>
  <c r="A7172" i="2"/>
  <c r="B7172" i="2"/>
  <c r="E7172" i="2"/>
  <c r="A7173" i="2"/>
  <c r="B7173" i="2"/>
  <c r="E7173" i="2"/>
  <c r="A7174" i="2"/>
  <c r="B7174" i="2"/>
  <c r="E7174" i="2"/>
  <c r="A7175" i="2"/>
  <c r="B7175" i="2"/>
  <c r="E7175" i="2"/>
  <c r="A7176" i="2"/>
  <c r="B7176" i="2"/>
  <c r="E7176" i="2"/>
  <c r="A7177" i="2"/>
  <c r="B7177" i="2"/>
  <c r="E7177" i="2"/>
  <c r="A7178" i="2"/>
  <c r="B7178" i="2"/>
  <c r="E7178" i="2"/>
  <c r="A7179" i="2"/>
  <c r="B7179" i="2"/>
  <c r="E7179" i="2"/>
  <c r="A7180" i="2"/>
  <c r="B7180" i="2"/>
  <c r="E7180" i="2"/>
  <c r="A7181" i="2"/>
  <c r="B7181" i="2"/>
  <c r="E7181" i="2"/>
  <c r="A7182" i="2"/>
  <c r="B7182" i="2"/>
  <c r="E7182" i="2"/>
  <c r="A7183" i="2"/>
  <c r="B7183" i="2"/>
  <c r="E7183" i="2"/>
  <c r="A7184" i="2"/>
  <c r="B7184" i="2"/>
  <c r="E7184" i="2"/>
  <c r="A7185" i="2"/>
  <c r="B7185" i="2"/>
  <c r="E7185" i="2"/>
  <c r="A7186" i="2"/>
  <c r="B7186" i="2"/>
  <c r="E7186" i="2"/>
  <c r="A7187" i="2"/>
  <c r="B7187" i="2"/>
  <c r="E7187" i="2"/>
  <c r="A7188" i="2"/>
  <c r="B7188" i="2"/>
  <c r="E7188" i="2"/>
  <c r="A7189" i="2"/>
  <c r="B7189" i="2"/>
  <c r="E7189" i="2"/>
  <c r="A7190" i="2"/>
  <c r="B7190" i="2"/>
  <c r="E7190" i="2"/>
  <c r="A7191" i="2"/>
  <c r="B7191" i="2"/>
  <c r="E7191" i="2"/>
  <c r="A7192" i="2"/>
  <c r="B7192" i="2"/>
  <c r="E7192" i="2"/>
  <c r="A7193" i="2"/>
  <c r="B7193" i="2"/>
  <c r="E7193" i="2"/>
  <c r="A7194" i="2"/>
  <c r="B7194" i="2"/>
  <c r="E7194" i="2"/>
  <c r="A7195" i="2"/>
  <c r="B7195" i="2"/>
  <c r="E7195" i="2"/>
  <c r="A7196" i="2"/>
  <c r="B7196" i="2"/>
  <c r="E7196" i="2"/>
  <c r="A7197" i="2"/>
  <c r="B7197" i="2"/>
  <c r="E7197" i="2"/>
  <c r="A7198" i="2"/>
  <c r="B7198" i="2"/>
  <c r="E7198" i="2"/>
  <c r="A7199" i="2"/>
  <c r="B7199" i="2"/>
  <c r="E7199" i="2"/>
  <c r="A7200" i="2"/>
  <c r="B7200" i="2"/>
  <c r="E7200" i="2"/>
  <c r="A7201" i="2"/>
  <c r="B7201" i="2"/>
  <c r="E7201" i="2"/>
  <c r="A7202" i="2"/>
  <c r="B7202" i="2"/>
  <c r="E7202" i="2"/>
  <c r="A7203" i="2"/>
  <c r="B7203" i="2"/>
  <c r="E7203" i="2"/>
  <c r="A7204" i="2"/>
  <c r="B7204" i="2"/>
  <c r="E7204" i="2"/>
  <c r="A7205" i="2"/>
  <c r="B7205" i="2"/>
  <c r="E7205" i="2"/>
  <c r="A7206" i="2"/>
  <c r="B7206" i="2"/>
  <c r="E7206" i="2"/>
  <c r="A7207" i="2"/>
  <c r="B7207" i="2"/>
  <c r="E7207" i="2"/>
  <c r="A7208" i="2"/>
  <c r="B7208" i="2"/>
  <c r="E7208" i="2"/>
  <c r="A7209" i="2"/>
  <c r="B7209" i="2"/>
  <c r="E7209" i="2"/>
  <c r="A7210" i="2"/>
  <c r="B7210" i="2"/>
  <c r="E7210" i="2"/>
  <c r="A7211" i="2"/>
  <c r="B7211" i="2"/>
  <c r="E7211" i="2"/>
  <c r="A7212" i="2"/>
  <c r="B7212" i="2"/>
  <c r="E7212" i="2"/>
  <c r="A7213" i="2"/>
  <c r="B7213" i="2"/>
  <c r="E7213" i="2"/>
  <c r="A7214" i="2"/>
  <c r="B7214" i="2"/>
  <c r="E7214" i="2"/>
  <c r="A7215" i="2"/>
  <c r="B7215" i="2"/>
  <c r="E7215" i="2"/>
  <c r="A7216" i="2"/>
  <c r="B7216" i="2"/>
  <c r="E7216" i="2"/>
  <c r="A7217" i="2"/>
  <c r="B7217" i="2"/>
  <c r="E7217" i="2"/>
  <c r="A7218" i="2"/>
  <c r="B7218" i="2"/>
  <c r="E7218" i="2"/>
  <c r="A7219" i="2"/>
  <c r="B7219" i="2"/>
  <c r="E7219" i="2"/>
  <c r="A7220" i="2"/>
  <c r="B7220" i="2"/>
  <c r="E7220" i="2"/>
  <c r="A7221" i="2"/>
  <c r="B7221" i="2"/>
  <c r="E7221" i="2"/>
  <c r="A7222" i="2"/>
  <c r="B7222" i="2"/>
  <c r="E7222" i="2"/>
  <c r="A7223" i="2"/>
  <c r="B7223" i="2"/>
  <c r="E7223" i="2"/>
  <c r="A7224" i="2"/>
  <c r="B7224" i="2"/>
  <c r="E7224" i="2"/>
  <c r="A7225" i="2"/>
  <c r="B7225" i="2"/>
  <c r="E7225" i="2"/>
  <c r="A7226" i="2"/>
  <c r="B7226" i="2"/>
  <c r="E7226" i="2"/>
  <c r="A7227" i="2"/>
  <c r="B7227" i="2"/>
  <c r="E7227" i="2"/>
  <c r="A7228" i="2"/>
  <c r="B7228" i="2"/>
  <c r="E7228" i="2"/>
  <c r="A7229" i="2"/>
  <c r="B7229" i="2"/>
  <c r="E7229" i="2"/>
  <c r="A7230" i="2"/>
  <c r="B7230" i="2"/>
  <c r="E7230" i="2"/>
  <c r="A7231" i="2"/>
  <c r="B7231" i="2"/>
  <c r="E7231" i="2"/>
  <c r="A7232" i="2"/>
  <c r="B7232" i="2"/>
  <c r="E7232" i="2"/>
  <c r="A7233" i="2"/>
  <c r="B7233" i="2"/>
  <c r="E7233" i="2"/>
  <c r="A7234" i="2"/>
  <c r="B7234" i="2"/>
  <c r="E7234" i="2"/>
  <c r="A7235" i="2"/>
  <c r="B7235" i="2"/>
  <c r="E7235" i="2"/>
  <c r="A7236" i="2"/>
  <c r="B7236" i="2"/>
  <c r="E7236" i="2"/>
  <c r="A7237" i="2"/>
  <c r="B7237" i="2"/>
  <c r="E7237" i="2"/>
  <c r="A7238" i="2"/>
  <c r="B7238" i="2"/>
  <c r="E7238" i="2"/>
  <c r="A7239" i="2"/>
  <c r="B7239" i="2"/>
  <c r="E7239" i="2"/>
  <c r="A7240" i="2"/>
  <c r="B7240" i="2"/>
  <c r="E7240" i="2"/>
  <c r="A7241" i="2"/>
  <c r="B7241" i="2"/>
  <c r="E7241" i="2"/>
  <c r="A7242" i="2"/>
  <c r="B7242" i="2"/>
  <c r="E7242" i="2"/>
  <c r="A7243" i="2"/>
  <c r="B7243" i="2"/>
  <c r="E7243" i="2"/>
  <c r="A7244" i="2"/>
  <c r="B7244" i="2"/>
  <c r="E7244" i="2"/>
  <c r="A7245" i="2"/>
  <c r="B7245" i="2"/>
  <c r="E7245" i="2"/>
  <c r="A7246" i="2"/>
  <c r="B7246" i="2"/>
  <c r="E7246" i="2"/>
  <c r="A7247" i="2"/>
  <c r="B7247" i="2"/>
  <c r="E7247" i="2"/>
  <c r="A7248" i="2"/>
  <c r="B7248" i="2"/>
  <c r="E7248" i="2"/>
  <c r="A7249" i="2"/>
  <c r="B7249" i="2"/>
  <c r="E7249" i="2"/>
  <c r="A7250" i="2"/>
  <c r="B7250" i="2"/>
  <c r="E7250" i="2"/>
  <c r="A7251" i="2"/>
  <c r="B7251" i="2"/>
  <c r="E7251" i="2"/>
  <c r="A7252" i="2"/>
  <c r="B7252" i="2"/>
  <c r="E7252" i="2"/>
  <c r="A7253" i="2"/>
  <c r="B7253" i="2"/>
  <c r="E7253" i="2"/>
  <c r="A7254" i="2"/>
  <c r="B7254" i="2"/>
  <c r="E7254" i="2"/>
  <c r="A7255" i="2"/>
  <c r="B7255" i="2"/>
  <c r="E7255" i="2"/>
  <c r="A7256" i="2"/>
  <c r="B7256" i="2"/>
  <c r="E7256" i="2"/>
  <c r="A7257" i="2"/>
  <c r="B7257" i="2"/>
  <c r="E7257" i="2"/>
  <c r="A7258" i="2"/>
  <c r="B7258" i="2"/>
  <c r="E7258" i="2"/>
  <c r="A7259" i="2"/>
  <c r="B7259" i="2"/>
  <c r="E7259" i="2"/>
  <c r="A7260" i="2"/>
  <c r="B7260" i="2"/>
  <c r="E7260" i="2"/>
  <c r="A7261" i="2"/>
  <c r="B7261" i="2"/>
  <c r="E7261" i="2"/>
  <c r="A7262" i="2"/>
  <c r="B7262" i="2"/>
  <c r="E7262" i="2"/>
  <c r="A7263" i="2"/>
  <c r="B7263" i="2"/>
  <c r="E7263" i="2"/>
  <c r="A7264" i="2"/>
  <c r="B7264" i="2"/>
  <c r="E7264" i="2"/>
  <c r="A7265" i="2"/>
  <c r="B7265" i="2"/>
  <c r="E7265" i="2"/>
  <c r="A7266" i="2"/>
  <c r="B7266" i="2"/>
  <c r="E7266" i="2"/>
  <c r="A7267" i="2"/>
  <c r="B7267" i="2"/>
  <c r="E7267" i="2"/>
  <c r="A7268" i="2"/>
  <c r="B7268" i="2"/>
  <c r="E7268" i="2"/>
  <c r="A7269" i="2"/>
  <c r="B7269" i="2"/>
  <c r="E7269" i="2"/>
  <c r="A7270" i="2"/>
  <c r="B7270" i="2"/>
  <c r="E7270" i="2"/>
  <c r="A7271" i="2"/>
  <c r="B7271" i="2"/>
  <c r="E7271" i="2"/>
  <c r="A7272" i="2"/>
  <c r="B7272" i="2"/>
  <c r="E7272" i="2"/>
  <c r="A7273" i="2"/>
  <c r="B7273" i="2"/>
  <c r="E7273" i="2"/>
  <c r="A7274" i="2"/>
  <c r="B7274" i="2"/>
  <c r="E7274" i="2"/>
  <c r="A7275" i="2"/>
  <c r="B7275" i="2"/>
  <c r="E7275" i="2"/>
  <c r="A7276" i="2"/>
  <c r="B7276" i="2"/>
  <c r="E7276" i="2"/>
  <c r="A7277" i="2"/>
  <c r="B7277" i="2"/>
  <c r="E7277" i="2"/>
  <c r="A7278" i="2"/>
  <c r="B7278" i="2"/>
  <c r="E7278" i="2"/>
  <c r="A7279" i="2"/>
  <c r="B7279" i="2"/>
  <c r="E7279" i="2"/>
  <c r="A7280" i="2"/>
  <c r="B7280" i="2"/>
  <c r="E7280" i="2"/>
  <c r="A7281" i="2"/>
  <c r="B7281" i="2"/>
  <c r="E7281" i="2"/>
  <c r="A7282" i="2"/>
  <c r="B7282" i="2"/>
  <c r="E7282" i="2"/>
  <c r="A7283" i="2"/>
  <c r="B7283" i="2"/>
  <c r="E7283" i="2"/>
  <c r="A7284" i="2"/>
  <c r="B7284" i="2"/>
  <c r="E7284" i="2"/>
  <c r="A7285" i="2"/>
  <c r="B7285" i="2"/>
  <c r="E7285" i="2"/>
  <c r="A7286" i="2"/>
  <c r="B7286" i="2"/>
  <c r="E7286" i="2"/>
  <c r="A7287" i="2"/>
  <c r="B7287" i="2"/>
  <c r="E7287" i="2"/>
  <c r="A7288" i="2"/>
  <c r="B7288" i="2"/>
  <c r="E7288" i="2"/>
  <c r="A7289" i="2"/>
  <c r="B7289" i="2"/>
  <c r="E7289" i="2"/>
  <c r="A7290" i="2"/>
  <c r="B7290" i="2"/>
  <c r="E7290" i="2"/>
  <c r="A7291" i="2"/>
  <c r="B7291" i="2"/>
  <c r="E7291" i="2"/>
  <c r="A7292" i="2"/>
  <c r="B7292" i="2"/>
  <c r="E7292" i="2"/>
  <c r="A7293" i="2"/>
  <c r="B7293" i="2"/>
  <c r="E7293" i="2"/>
  <c r="A7294" i="2"/>
  <c r="B7294" i="2"/>
  <c r="E7294" i="2"/>
  <c r="A7295" i="2"/>
  <c r="B7295" i="2"/>
  <c r="E7295" i="2"/>
  <c r="A7296" i="2"/>
  <c r="B7296" i="2"/>
  <c r="E7296" i="2"/>
  <c r="A7297" i="2"/>
  <c r="B7297" i="2"/>
  <c r="E7297" i="2"/>
  <c r="A7298" i="2"/>
  <c r="B7298" i="2"/>
  <c r="E7298" i="2"/>
  <c r="A7299" i="2"/>
  <c r="B7299" i="2"/>
  <c r="E7299" i="2"/>
  <c r="A7300" i="2"/>
  <c r="B7300" i="2"/>
  <c r="E7300" i="2"/>
  <c r="A7301" i="2"/>
  <c r="B7301" i="2"/>
  <c r="E7301" i="2"/>
  <c r="A7302" i="2"/>
  <c r="B7302" i="2"/>
  <c r="E7302" i="2"/>
  <c r="A7303" i="2"/>
  <c r="B7303" i="2"/>
  <c r="E7303" i="2"/>
  <c r="A7304" i="2"/>
  <c r="B7304" i="2"/>
  <c r="E7304" i="2"/>
  <c r="A7305" i="2"/>
  <c r="B7305" i="2"/>
  <c r="E7305" i="2"/>
  <c r="A7306" i="2"/>
  <c r="B7306" i="2"/>
  <c r="E7306" i="2"/>
  <c r="A7307" i="2"/>
  <c r="B7307" i="2"/>
  <c r="E7307" i="2"/>
  <c r="A7308" i="2"/>
  <c r="B7308" i="2"/>
  <c r="E7308" i="2"/>
  <c r="A7309" i="2"/>
  <c r="B7309" i="2"/>
  <c r="E7309" i="2"/>
  <c r="A7310" i="2"/>
  <c r="B7310" i="2"/>
  <c r="E7310" i="2"/>
  <c r="A7311" i="2"/>
  <c r="B7311" i="2"/>
  <c r="E7311" i="2"/>
  <c r="A7312" i="2"/>
  <c r="B7312" i="2"/>
  <c r="E7312" i="2"/>
  <c r="A7313" i="2"/>
  <c r="B7313" i="2"/>
  <c r="E7313" i="2"/>
  <c r="A7314" i="2"/>
  <c r="B7314" i="2"/>
  <c r="E7314" i="2"/>
  <c r="A7315" i="2"/>
  <c r="B7315" i="2"/>
  <c r="E7315" i="2"/>
  <c r="A7316" i="2"/>
  <c r="B7316" i="2"/>
  <c r="E7316" i="2"/>
  <c r="A7317" i="2"/>
  <c r="B7317" i="2"/>
  <c r="E7317" i="2"/>
  <c r="A7318" i="2"/>
  <c r="B7318" i="2"/>
  <c r="E7318" i="2"/>
  <c r="A7319" i="2"/>
  <c r="B7319" i="2"/>
  <c r="E7319" i="2"/>
  <c r="A7320" i="2"/>
  <c r="B7320" i="2"/>
  <c r="E7320" i="2"/>
  <c r="A7321" i="2"/>
  <c r="B7321" i="2"/>
  <c r="E7321" i="2"/>
  <c r="A7322" i="2"/>
  <c r="B7322" i="2"/>
  <c r="E7322" i="2"/>
  <c r="A7323" i="2"/>
  <c r="B7323" i="2"/>
  <c r="E7323" i="2"/>
  <c r="A7324" i="2"/>
  <c r="B7324" i="2"/>
  <c r="E7324" i="2"/>
  <c r="A7325" i="2"/>
  <c r="B7325" i="2"/>
  <c r="E7325" i="2"/>
  <c r="A7326" i="2"/>
  <c r="B7326" i="2"/>
  <c r="E7326" i="2"/>
  <c r="A7327" i="2"/>
  <c r="B7327" i="2"/>
  <c r="E7327" i="2"/>
  <c r="A7328" i="2"/>
  <c r="B7328" i="2"/>
  <c r="E7328" i="2"/>
  <c r="A7329" i="2"/>
  <c r="B7329" i="2"/>
  <c r="E7329" i="2"/>
  <c r="A7330" i="2"/>
  <c r="B7330" i="2"/>
  <c r="E7330" i="2"/>
  <c r="A7331" i="2"/>
  <c r="B7331" i="2"/>
  <c r="E7331" i="2"/>
  <c r="A7332" i="2"/>
  <c r="B7332" i="2"/>
  <c r="E7332" i="2"/>
  <c r="A7333" i="2"/>
  <c r="B7333" i="2"/>
  <c r="E7333" i="2"/>
  <c r="A7334" i="2"/>
  <c r="B7334" i="2"/>
  <c r="E7334" i="2"/>
  <c r="A7335" i="2"/>
  <c r="B7335" i="2"/>
  <c r="E7335" i="2"/>
  <c r="A7336" i="2"/>
  <c r="B7336" i="2"/>
  <c r="E7336" i="2"/>
  <c r="A7337" i="2"/>
  <c r="B7337" i="2"/>
  <c r="E7337" i="2"/>
  <c r="A7338" i="2"/>
  <c r="B7338" i="2"/>
  <c r="E7338" i="2"/>
  <c r="A7339" i="2"/>
  <c r="B7339" i="2"/>
  <c r="E7339" i="2"/>
  <c r="A7340" i="2"/>
  <c r="B7340" i="2"/>
  <c r="E7340" i="2"/>
  <c r="A7341" i="2"/>
  <c r="B7341" i="2"/>
  <c r="E7341" i="2"/>
  <c r="A7342" i="2"/>
  <c r="B7342" i="2"/>
  <c r="E7342" i="2"/>
  <c r="A7343" i="2"/>
  <c r="B7343" i="2"/>
  <c r="E7343" i="2"/>
  <c r="A7344" i="2"/>
  <c r="B7344" i="2"/>
  <c r="E7344" i="2"/>
  <c r="A7345" i="2"/>
  <c r="B7345" i="2"/>
  <c r="E7345" i="2"/>
  <c r="A7346" i="2"/>
  <c r="B7346" i="2"/>
  <c r="E7346" i="2"/>
  <c r="A7347" i="2"/>
  <c r="B7347" i="2"/>
  <c r="E7347" i="2"/>
  <c r="A7348" i="2"/>
  <c r="B7348" i="2"/>
  <c r="E7348" i="2"/>
  <c r="A7349" i="2"/>
  <c r="B7349" i="2"/>
  <c r="E7349" i="2"/>
  <c r="A7350" i="2"/>
  <c r="B7350" i="2"/>
  <c r="E7350" i="2"/>
  <c r="A7351" i="2"/>
  <c r="B7351" i="2"/>
  <c r="E7351" i="2"/>
  <c r="A7352" i="2"/>
  <c r="B7352" i="2"/>
  <c r="E7352" i="2"/>
  <c r="A7353" i="2"/>
  <c r="B7353" i="2"/>
  <c r="E7353" i="2"/>
  <c r="A7354" i="2"/>
  <c r="B7354" i="2"/>
  <c r="E7354" i="2"/>
  <c r="A7355" i="2"/>
  <c r="B7355" i="2"/>
  <c r="E7355" i="2"/>
  <c r="A7356" i="2"/>
  <c r="B7356" i="2"/>
  <c r="E7356" i="2"/>
  <c r="A7357" i="2"/>
  <c r="B7357" i="2"/>
  <c r="E7357" i="2"/>
  <c r="A7358" i="2"/>
  <c r="B7358" i="2"/>
  <c r="E7358" i="2"/>
  <c r="A7359" i="2"/>
  <c r="B7359" i="2"/>
  <c r="E7359" i="2"/>
  <c r="A7360" i="2"/>
  <c r="B7360" i="2"/>
  <c r="E7360" i="2"/>
  <c r="A7361" i="2"/>
  <c r="B7361" i="2"/>
  <c r="E7361" i="2"/>
  <c r="A7362" i="2"/>
  <c r="B7362" i="2"/>
  <c r="E7362" i="2"/>
  <c r="A7363" i="2"/>
  <c r="B7363" i="2"/>
  <c r="E7363" i="2"/>
  <c r="A7364" i="2"/>
  <c r="B7364" i="2"/>
  <c r="E7364" i="2"/>
  <c r="A7365" i="2"/>
  <c r="B7365" i="2"/>
  <c r="E7365" i="2"/>
  <c r="A7366" i="2"/>
  <c r="B7366" i="2"/>
  <c r="E7366" i="2"/>
  <c r="A7367" i="2"/>
  <c r="B7367" i="2"/>
  <c r="E7367" i="2"/>
  <c r="A7368" i="2"/>
  <c r="B7368" i="2"/>
  <c r="E7368" i="2"/>
  <c r="A7369" i="2"/>
  <c r="B7369" i="2"/>
  <c r="E7369" i="2"/>
  <c r="A7370" i="2"/>
  <c r="B7370" i="2"/>
  <c r="E7370" i="2"/>
  <c r="A7371" i="2"/>
  <c r="B7371" i="2"/>
  <c r="E7371" i="2"/>
  <c r="A7372" i="2"/>
  <c r="B7372" i="2"/>
  <c r="E7372" i="2"/>
  <c r="A7373" i="2"/>
  <c r="B7373" i="2"/>
  <c r="E7373" i="2"/>
  <c r="A7374" i="2"/>
  <c r="B7374" i="2"/>
  <c r="E7374" i="2"/>
  <c r="A7375" i="2"/>
  <c r="B7375" i="2"/>
  <c r="E7375" i="2"/>
  <c r="A7376" i="2"/>
  <c r="B7376" i="2"/>
  <c r="E7376" i="2"/>
  <c r="A7377" i="2"/>
  <c r="B7377" i="2"/>
  <c r="E7377" i="2"/>
  <c r="A7378" i="2"/>
  <c r="B7378" i="2"/>
  <c r="E7378" i="2"/>
  <c r="A7379" i="2"/>
  <c r="B7379" i="2"/>
  <c r="E7379" i="2"/>
  <c r="A7380" i="2"/>
  <c r="B7380" i="2"/>
  <c r="E7380" i="2"/>
  <c r="A7381" i="2"/>
  <c r="B7381" i="2"/>
  <c r="E7381" i="2"/>
  <c r="A7382" i="2"/>
  <c r="B7382" i="2"/>
  <c r="E7382" i="2"/>
  <c r="A7383" i="2"/>
  <c r="B7383" i="2"/>
  <c r="E7383" i="2"/>
  <c r="A7384" i="2"/>
  <c r="B7384" i="2"/>
  <c r="E7384" i="2"/>
  <c r="A7385" i="2"/>
  <c r="B7385" i="2"/>
  <c r="E7385" i="2"/>
  <c r="A7386" i="2"/>
  <c r="B7386" i="2"/>
  <c r="E7386" i="2"/>
  <c r="A7387" i="2"/>
  <c r="B7387" i="2"/>
  <c r="E7387" i="2"/>
  <c r="A7388" i="2"/>
  <c r="B7388" i="2"/>
  <c r="E7388" i="2"/>
  <c r="A7389" i="2"/>
  <c r="B7389" i="2"/>
  <c r="E7389" i="2"/>
  <c r="A7390" i="2"/>
  <c r="B7390" i="2"/>
  <c r="E7390" i="2"/>
  <c r="A7391" i="2"/>
  <c r="B7391" i="2"/>
  <c r="E7391" i="2"/>
  <c r="A7392" i="2"/>
  <c r="B7392" i="2"/>
  <c r="E7392" i="2"/>
  <c r="A7393" i="2"/>
  <c r="B7393" i="2"/>
  <c r="E7393" i="2"/>
  <c r="A7394" i="2"/>
  <c r="B7394" i="2"/>
  <c r="E7394" i="2"/>
  <c r="A7395" i="2"/>
  <c r="B7395" i="2"/>
  <c r="E7395" i="2"/>
  <c r="A7396" i="2"/>
  <c r="B7396" i="2"/>
  <c r="E7396" i="2"/>
  <c r="A7397" i="2"/>
  <c r="B7397" i="2"/>
  <c r="E7397" i="2"/>
  <c r="A7398" i="2"/>
  <c r="B7398" i="2"/>
  <c r="E7398" i="2"/>
  <c r="A7399" i="2"/>
  <c r="B7399" i="2"/>
  <c r="E7399" i="2"/>
  <c r="A7400" i="2"/>
  <c r="B7400" i="2"/>
  <c r="E7400" i="2"/>
  <c r="A7401" i="2"/>
  <c r="B7401" i="2"/>
  <c r="E7401" i="2"/>
  <c r="A7402" i="2"/>
  <c r="B7402" i="2"/>
  <c r="E7402" i="2"/>
  <c r="A7403" i="2"/>
  <c r="B7403" i="2"/>
  <c r="E7403" i="2"/>
  <c r="A7404" i="2"/>
  <c r="B7404" i="2"/>
  <c r="E7404" i="2"/>
  <c r="A7405" i="2"/>
  <c r="B7405" i="2"/>
  <c r="E7405" i="2"/>
  <c r="A7406" i="2"/>
  <c r="B7406" i="2"/>
  <c r="E7406" i="2"/>
  <c r="A7407" i="2"/>
  <c r="B7407" i="2"/>
  <c r="E7407" i="2"/>
  <c r="A7408" i="2"/>
  <c r="B7408" i="2"/>
  <c r="E7408" i="2"/>
  <c r="A7409" i="2"/>
  <c r="B7409" i="2"/>
  <c r="E7409" i="2"/>
  <c r="A7410" i="2"/>
  <c r="B7410" i="2"/>
  <c r="E7410" i="2"/>
  <c r="A7411" i="2"/>
  <c r="B7411" i="2"/>
  <c r="E7411" i="2"/>
  <c r="A7412" i="2"/>
  <c r="B7412" i="2"/>
  <c r="E7412" i="2"/>
  <c r="A7413" i="2"/>
  <c r="B7413" i="2"/>
  <c r="E7413" i="2"/>
  <c r="A7414" i="2"/>
  <c r="B7414" i="2"/>
  <c r="E7414" i="2"/>
  <c r="A7415" i="2"/>
  <c r="B7415" i="2"/>
  <c r="E7415" i="2"/>
  <c r="A7416" i="2"/>
  <c r="B7416" i="2"/>
  <c r="E7416" i="2"/>
  <c r="A7417" i="2"/>
  <c r="B7417" i="2"/>
  <c r="E7417" i="2"/>
  <c r="A7418" i="2"/>
  <c r="B7418" i="2"/>
  <c r="E7418" i="2"/>
  <c r="A7419" i="2"/>
  <c r="B7419" i="2"/>
  <c r="E7419" i="2"/>
  <c r="A7420" i="2"/>
  <c r="B7420" i="2"/>
  <c r="E7420" i="2"/>
  <c r="A7421" i="2"/>
  <c r="B7421" i="2"/>
  <c r="E7421" i="2"/>
  <c r="A7422" i="2"/>
  <c r="B7422" i="2"/>
  <c r="E7422" i="2"/>
  <c r="A7423" i="2"/>
  <c r="B7423" i="2"/>
  <c r="E7423" i="2"/>
  <c r="A7424" i="2"/>
  <c r="B7424" i="2"/>
  <c r="E7424" i="2"/>
  <c r="A7425" i="2"/>
  <c r="B7425" i="2"/>
  <c r="E7425" i="2"/>
  <c r="A7426" i="2"/>
  <c r="B7426" i="2"/>
  <c r="E7426" i="2"/>
  <c r="A7427" i="2"/>
  <c r="B7427" i="2"/>
  <c r="E7427" i="2"/>
  <c r="A7428" i="2"/>
  <c r="B7428" i="2"/>
  <c r="E7428" i="2"/>
  <c r="A7429" i="2"/>
  <c r="B7429" i="2"/>
  <c r="E7429" i="2"/>
  <c r="A7430" i="2"/>
  <c r="B7430" i="2"/>
  <c r="E7430" i="2"/>
  <c r="A7431" i="2"/>
  <c r="B7431" i="2"/>
  <c r="E7431" i="2"/>
  <c r="A7432" i="2"/>
  <c r="B7432" i="2"/>
  <c r="E7432" i="2"/>
  <c r="A7433" i="2"/>
  <c r="B7433" i="2"/>
  <c r="E7433" i="2"/>
  <c r="A7434" i="2"/>
  <c r="B7434" i="2"/>
  <c r="E7434" i="2"/>
  <c r="A7435" i="2"/>
  <c r="B7435" i="2"/>
  <c r="E7435" i="2"/>
  <c r="A7436" i="2"/>
  <c r="B7436" i="2"/>
  <c r="E7436" i="2"/>
  <c r="A7437" i="2"/>
  <c r="B7437" i="2"/>
  <c r="E7437" i="2"/>
  <c r="A7438" i="2"/>
  <c r="B7438" i="2"/>
  <c r="E7438" i="2"/>
  <c r="A7439" i="2"/>
  <c r="B7439" i="2"/>
  <c r="E7439" i="2"/>
  <c r="A7440" i="2"/>
  <c r="B7440" i="2"/>
  <c r="E7440" i="2"/>
  <c r="A7441" i="2"/>
  <c r="B7441" i="2"/>
  <c r="E7441" i="2"/>
  <c r="A7442" i="2"/>
  <c r="B7442" i="2"/>
  <c r="E7442" i="2"/>
  <c r="A7443" i="2"/>
  <c r="B7443" i="2"/>
  <c r="E7443" i="2"/>
  <c r="A7444" i="2"/>
  <c r="B7444" i="2"/>
  <c r="E7444" i="2"/>
  <c r="A7445" i="2"/>
  <c r="B7445" i="2"/>
  <c r="E7445" i="2"/>
  <c r="A7446" i="2"/>
  <c r="B7446" i="2"/>
  <c r="E7446" i="2"/>
  <c r="A7447" i="2"/>
  <c r="B7447" i="2"/>
  <c r="E7447" i="2"/>
  <c r="A7448" i="2"/>
  <c r="B7448" i="2"/>
  <c r="E7448" i="2"/>
  <c r="A7449" i="2"/>
  <c r="B7449" i="2"/>
  <c r="E7449" i="2"/>
  <c r="A7450" i="2"/>
  <c r="B7450" i="2"/>
  <c r="E7450" i="2"/>
  <c r="A7451" i="2"/>
  <c r="B7451" i="2"/>
  <c r="E7451" i="2"/>
  <c r="A7452" i="2"/>
  <c r="B7452" i="2"/>
  <c r="E7452" i="2"/>
  <c r="A7453" i="2"/>
  <c r="B7453" i="2"/>
  <c r="E7453" i="2"/>
  <c r="A7454" i="2"/>
  <c r="B7454" i="2"/>
  <c r="E7454" i="2"/>
  <c r="A7455" i="2"/>
  <c r="B7455" i="2"/>
  <c r="E7455" i="2"/>
  <c r="A7456" i="2"/>
  <c r="B7456" i="2"/>
  <c r="E7456" i="2"/>
  <c r="A7457" i="2"/>
  <c r="B7457" i="2"/>
  <c r="E7457" i="2"/>
  <c r="A7458" i="2"/>
  <c r="B7458" i="2"/>
  <c r="E7458" i="2"/>
  <c r="A7459" i="2"/>
  <c r="B7459" i="2"/>
  <c r="E7459" i="2"/>
  <c r="A7460" i="2"/>
  <c r="B7460" i="2"/>
  <c r="E7460" i="2"/>
  <c r="A7461" i="2"/>
  <c r="B7461" i="2"/>
  <c r="E7461" i="2"/>
  <c r="A7462" i="2"/>
  <c r="B7462" i="2"/>
  <c r="E7462" i="2"/>
  <c r="A7463" i="2"/>
  <c r="B7463" i="2"/>
  <c r="E7463" i="2"/>
  <c r="A7464" i="2"/>
  <c r="B7464" i="2"/>
  <c r="E7464" i="2"/>
  <c r="A7465" i="2"/>
  <c r="B7465" i="2"/>
  <c r="E7465" i="2"/>
  <c r="A7466" i="2"/>
  <c r="B7466" i="2"/>
  <c r="E7466" i="2"/>
  <c r="A7467" i="2"/>
  <c r="B7467" i="2"/>
  <c r="E7467" i="2"/>
  <c r="A7468" i="2"/>
  <c r="B7468" i="2"/>
  <c r="E7468" i="2"/>
  <c r="A7469" i="2"/>
  <c r="B7469" i="2"/>
  <c r="E7469" i="2"/>
  <c r="A7470" i="2"/>
  <c r="B7470" i="2"/>
  <c r="E7470" i="2"/>
  <c r="A7471" i="2"/>
  <c r="B7471" i="2"/>
  <c r="E7471" i="2"/>
  <c r="A7472" i="2"/>
  <c r="B7472" i="2"/>
  <c r="E7472" i="2"/>
  <c r="A7473" i="2"/>
  <c r="B7473" i="2"/>
  <c r="E7473" i="2"/>
  <c r="A7474" i="2"/>
  <c r="B7474" i="2"/>
  <c r="E7474" i="2"/>
  <c r="A7475" i="2"/>
  <c r="B7475" i="2"/>
  <c r="E7475" i="2"/>
  <c r="A7476" i="2"/>
  <c r="B7476" i="2"/>
  <c r="E7476" i="2"/>
  <c r="A7477" i="2"/>
  <c r="B7477" i="2"/>
  <c r="E7477" i="2"/>
  <c r="A7478" i="2"/>
  <c r="B7478" i="2"/>
  <c r="E7478" i="2"/>
  <c r="A7479" i="2"/>
  <c r="B7479" i="2"/>
  <c r="E7479" i="2"/>
  <c r="A7480" i="2"/>
  <c r="B7480" i="2"/>
  <c r="E7480" i="2"/>
  <c r="A7481" i="2"/>
  <c r="B7481" i="2"/>
  <c r="E7481" i="2"/>
  <c r="A7482" i="2"/>
  <c r="B7482" i="2"/>
  <c r="E7482" i="2"/>
  <c r="A7483" i="2"/>
  <c r="B7483" i="2"/>
  <c r="E7483" i="2"/>
  <c r="A7484" i="2"/>
  <c r="B7484" i="2"/>
  <c r="E7484" i="2"/>
  <c r="A7485" i="2"/>
  <c r="B7485" i="2"/>
  <c r="E7485" i="2"/>
  <c r="A7486" i="2"/>
  <c r="B7486" i="2"/>
  <c r="E7486" i="2"/>
  <c r="A7487" i="2"/>
  <c r="B7487" i="2"/>
  <c r="E7487" i="2"/>
  <c r="A7488" i="2"/>
  <c r="B7488" i="2"/>
  <c r="E7488" i="2"/>
  <c r="A7489" i="2"/>
  <c r="B7489" i="2"/>
  <c r="E7489" i="2"/>
  <c r="A7490" i="2"/>
  <c r="B7490" i="2"/>
  <c r="E7490" i="2"/>
  <c r="A7491" i="2"/>
  <c r="B7491" i="2"/>
  <c r="E7491" i="2"/>
  <c r="A7492" i="2"/>
  <c r="B7492" i="2"/>
  <c r="E7492" i="2"/>
  <c r="A7493" i="2"/>
  <c r="B7493" i="2"/>
  <c r="E7493" i="2"/>
  <c r="A7494" i="2"/>
  <c r="B7494" i="2"/>
  <c r="E7494" i="2"/>
  <c r="A7495" i="2"/>
  <c r="B7495" i="2"/>
  <c r="E7495" i="2"/>
  <c r="A7496" i="2"/>
  <c r="B7496" i="2"/>
  <c r="E7496" i="2"/>
  <c r="A7497" i="2"/>
  <c r="B7497" i="2"/>
  <c r="E7497" i="2"/>
  <c r="A7498" i="2"/>
  <c r="B7498" i="2"/>
  <c r="E7498" i="2"/>
  <c r="A7499" i="2"/>
  <c r="B7499" i="2"/>
  <c r="E7499" i="2"/>
  <c r="A7500" i="2"/>
  <c r="B7500" i="2"/>
  <c r="E7500" i="2"/>
  <c r="A7501" i="2"/>
  <c r="B7501" i="2"/>
  <c r="E7501" i="2"/>
  <c r="A7502" i="2"/>
  <c r="B7502" i="2"/>
  <c r="E7502" i="2"/>
  <c r="A7503" i="2"/>
  <c r="B7503" i="2"/>
  <c r="E7503" i="2"/>
  <c r="A7504" i="2"/>
  <c r="B7504" i="2"/>
  <c r="E7504" i="2"/>
  <c r="A7505" i="2"/>
  <c r="B7505" i="2"/>
  <c r="E7505" i="2"/>
  <c r="A7506" i="2"/>
  <c r="B7506" i="2"/>
  <c r="E7506" i="2"/>
  <c r="A7507" i="2"/>
  <c r="B7507" i="2"/>
  <c r="E7507" i="2"/>
  <c r="A7508" i="2"/>
  <c r="B7508" i="2"/>
  <c r="E7508" i="2"/>
  <c r="A7509" i="2"/>
  <c r="B7509" i="2"/>
  <c r="E7509" i="2"/>
  <c r="A7510" i="2"/>
  <c r="B7510" i="2"/>
  <c r="E7510" i="2"/>
  <c r="A7511" i="2"/>
  <c r="B7511" i="2"/>
  <c r="E7511" i="2"/>
  <c r="A7512" i="2"/>
  <c r="B7512" i="2"/>
  <c r="E7512" i="2"/>
  <c r="A7513" i="2"/>
  <c r="B7513" i="2"/>
  <c r="E7513" i="2"/>
  <c r="A7514" i="2"/>
  <c r="B7514" i="2"/>
  <c r="E7514" i="2"/>
  <c r="A7515" i="2"/>
  <c r="B7515" i="2"/>
  <c r="E7515" i="2"/>
  <c r="A7516" i="2"/>
  <c r="B7516" i="2"/>
  <c r="E7516" i="2"/>
  <c r="A7517" i="2"/>
  <c r="B7517" i="2"/>
  <c r="E7517" i="2"/>
  <c r="A7518" i="2"/>
  <c r="B7518" i="2"/>
  <c r="E7518" i="2"/>
  <c r="A7519" i="2"/>
  <c r="B7519" i="2"/>
  <c r="E7519" i="2"/>
  <c r="A7520" i="2"/>
  <c r="B7520" i="2"/>
  <c r="E7520" i="2"/>
  <c r="A7521" i="2"/>
  <c r="B7521" i="2"/>
  <c r="E7521" i="2"/>
  <c r="A7522" i="2"/>
  <c r="B7522" i="2"/>
  <c r="E7522" i="2"/>
  <c r="A7523" i="2"/>
  <c r="B7523" i="2"/>
  <c r="E7523" i="2"/>
  <c r="A7524" i="2"/>
  <c r="B7524" i="2"/>
  <c r="E7524" i="2"/>
  <c r="A7525" i="2"/>
  <c r="B7525" i="2"/>
  <c r="E7525" i="2"/>
  <c r="A7526" i="2"/>
  <c r="B7526" i="2"/>
  <c r="E7526" i="2"/>
  <c r="A7527" i="2"/>
  <c r="B7527" i="2"/>
  <c r="E7527" i="2"/>
  <c r="A7528" i="2"/>
  <c r="B7528" i="2"/>
  <c r="E7528" i="2"/>
  <c r="A7529" i="2"/>
  <c r="B7529" i="2"/>
  <c r="E7529" i="2"/>
  <c r="A7530" i="2"/>
  <c r="B7530" i="2"/>
  <c r="E7530" i="2"/>
  <c r="A7531" i="2"/>
  <c r="B7531" i="2"/>
  <c r="E7531" i="2"/>
  <c r="A7532" i="2"/>
  <c r="B7532" i="2"/>
  <c r="E7532" i="2"/>
  <c r="A7533" i="2"/>
  <c r="B7533" i="2"/>
  <c r="E7533" i="2"/>
  <c r="A7534" i="2"/>
  <c r="B7534" i="2"/>
  <c r="E7534" i="2"/>
  <c r="A7535" i="2"/>
  <c r="B7535" i="2"/>
  <c r="E7535" i="2"/>
  <c r="A7536" i="2"/>
  <c r="B7536" i="2"/>
  <c r="E7536" i="2"/>
  <c r="A7537" i="2"/>
  <c r="B7537" i="2"/>
  <c r="E7537" i="2"/>
  <c r="A7538" i="2"/>
  <c r="B7538" i="2"/>
  <c r="E7538" i="2"/>
  <c r="A7539" i="2"/>
  <c r="B7539" i="2"/>
  <c r="E7539" i="2"/>
  <c r="A7540" i="2"/>
  <c r="B7540" i="2"/>
  <c r="E7540" i="2"/>
  <c r="A7541" i="2"/>
  <c r="B7541" i="2"/>
  <c r="E7541" i="2"/>
  <c r="A7542" i="2"/>
  <c r="B7542" i="2"/>
  <c r="E7542" i="2"/>
  <c r="A7543" i="2"/>
  <c r="B7543" i="2"/>
  <c r="E7543" i="2"/>
  <c r="A7544" i="2"/>
  <c r="B7544" i="2"/>
  <c r="E7544" i="2"/>
  <c r="A7545" i="2"/>
  <c r="B7545" i="2"/>
  <c r="E7545" i="2"/>
  <c r="A7546" i="2"/>
  <c r="B7546" i="2"/>
  <c r="E7546" i="2"/>
  <c r="A7547" i="2"/>
  <c r="B7547" i="2"/>
  <c r="E7547" i="2"/>
  <c r="A7548" i="2"/>
  <c r="B7548" i="2"/>
  <c r="E7548" i="2"/>
  <c r="A7549" i="2"/>
  <c r="B7549" i="2"/>
  <c r="E7549" i="2"/>
  <c r="A7550" i="2"/>
  <c r="B7550" i="2"/>
  <c r="E7550" i="2"/>
  <c r="A7551" i="2"/>
  <c r="B7551" i="2"/>
  <c r="E7551" i="2"/>
  <c r="A7552" i="2"/>
  <c r="B7552" i="2"/>
  <c r="E7552" i="2"/>
  <c r="A7553" i="2"/>
  <c r="B7553" i="2"/>
  <c r="E7553" i="2"/>
  <c r="A7554" i="2"/>
  <c r="B7554" i="2"/>
  <c r="E7554" i="2"/>
  <c r="A7555" i="2"/>
  <c r="B7555" i="2"/>
  <c r="E7555" i="2"/>
  <c r="A7556" i="2"/>
  <c r="B7556" i="2"/>
  <c r="E7556" i="2"/>
  <c r="A7557" i="2"/>
  <c r="B7557" i="2"/>
  <c r="E7557" i="2"/>
  <c r="A7558" i="2"/>
  <c r="B7558" i="2"/>
  <c r="E7558" i="2"/>
  <c r="A7559" i="2"/>
  <c r="B7559" i="2"/>
  <c r="E7559" i="2"/>
  <c r="A7560" i="2"/>
  <c r="B7560" i="2"/>
  <c r="E7560" i="2"/>
  <c r="A7561" i="2"/>
  <c r="B7561" i="2"/>
  <c r="E7561" i="2"/>
  <c r="A7562" i="2"/>
  <c r="B7562" i="2"/>
  <c r="E7562" i="2"/>
  <c r="A7563" i="2"/>
  <c r="B7563" i="2"/>
  <c r="E7563" i="2"/>
  <c r="A7564" i="2"/>
  <c r="B7564" i="2"/>
  <c r="E7564" i="2"/>
  <c r="A7565" i="2"/>
  <c r="B7565" i="2"/>
  <c r="E7565" i="2"/>
  <c r="A7566" i="2"/>
  <c r="B7566" i="2"/>
  <c r="E7566" i="2"/>
  <c r="A7567" i="2"/>
  <c r="B7567" i="2"/>
  <c r="E7567" i="2"/>
  <c r="A7568" i="2"/>
  <c r="B7568" i="2"/>
  <c r="E7568" i="2"/>
  <c r="A7569" i="2"/>
  <c r="B7569" i="2"/>
  <c r="E7569" i="2"/>
  <c r="A7570" i="2"/>
  <c r="B7570" i="2"/>
  <c r="E7570" i="2"/>
  <c r="A7571" i="2"/>
  <c r="B7571" i="2"/>
  <c r="E7571" i="2"/>
  <c r="A7572" i="2"/>
  <c r="B7572" i="2"/>
  <c r="E7572" i="2"/>
  <c r="A7573" i="2"/>
  <c r="B7573" i="2"/>
  <c r="E7573" i="2"/>
  <c r="A7574" i="2"/>
  <c r="B7574" i="2"/>
  <c r="E7574" i="2"/>
  <c r="A7575" i="2"/>
  <c r="B7575" i="2"/>
  <c r="E7575" i="2"/>
  <c r="A7576" i="2"/>
  <c r="B7576" i="2"/>
  <c r="E7576" i="2"/>
  <c r="A7577" i="2"/>
  <c r="B7577" i="2"/>
  <c r="E7577" i="2"/>
  <c r="A7578" i="2"/>
  <c r="B7578" i="2"/>
  <c r="E7578" i="2"/>
  <c r="A7579" i="2"/>
  <c r="B7579" i="2"/>
  <c r="E7579" i="2"/>
  <c r="A7580" i="2"/>
  <c r="B7580" i="2"/>
  <c r="E7580" i="2"/>
  <c r="A7581" i="2"/>
  <c r="B7581" i="2"/>
  <c r="E7581" i="2"/>
  <c r="A7582" i="2"/>
  <c r="B7582" i="2"/>
  <c r="E7582" i="2"/>
  <c r="A7583" i="2"/>
  <c r="B7583" i="2"/>
  <c r="E7583" i="2"/>
  <c r="A7584" i="2"/>
  <c r="B7584" i="2"/>
  <c r="E7584" i="2"/>
  <c r="A7585" i="2"/>
  <c r="B7585" i="2"/>
  <c r="E7585" i="2"/>
  <c r="A7586" i="2"/>
  <c r="B7586" i="2"/>
  <c r="E7586" i="2"/>
  <c r="A7587" i="2"/>
  <c r="B7587" i="2"/>
  <c r="E7587" i="2"/>
  <c r="A7588" i="2"/>
  <c r="B7588" i="2"/>
  <c r="E7588" i="2"/>
  <c r="A7589" i="2"/>
  <c r="B7589" i="2"/>
  <c r="E7589" i="2"/>
  <c r="A7590" i="2"/>
  <c r="B7590" i="2"/>
  <c r="E7590" i="2"/>
  <c r="A7591" i="2"/>
  <c r="B7591" i="2"/>
  <c r="E7591" i="2"/>
  <c r="A7592" i="2"/>
  <c r="B7592" i="2"/>
  <c r="E7592" i="2"/>
  <c r="A7593" i="2"/>
  <c r="B7593" i="2"/>
  <c r="E7593" i="2"/>
  <c r="A7594" i="2"/>
  <c r="B7594" i="2"/>
  <c r="E7594" i="2"/>
  <c r="A7595" i="2"/>
  <c r="B7595" i="2"/>
  <c r="E7595" i="2"/>
  <c r="A7596" i="2"/>
  <c r="B7596" i="2"/>
  <c r="E7596" i="2"/>
  <c r="A7597" i="2"/>
  <c r="B7597" i="2"/>
  <c r="E7597" i="2"/>
  <c r="A7598" i="2"/>
  <c r="B7598" i="2"/>
  <c r="E7598" i="2"/>
  <c r="A7599" i="2"/>
  <c r="B7599" i="2"/>
  <c r="E7599" i="2"/>
  <c r="A7600" i="2"/>
  <c r="B7600" i="2"/>
  <c r="E7600" i="2"/>
  <c r="A7601" i="2"/>
  <c r="B7601" i="2"/>
  <c r="E7601" i="2"/>
  <c r="A7602" i="2"/>
  <c r="B7602" i="2"/>
  <c r="E7602" i="2"/>
  <c r="A7603" i="2"/>
  <c r="B7603" i="2"/>
  <c r="E7603" i="2"/>
  <c r="A7604" i="2"/>
  <c r="B7604" i="2"/>
  <c r="E7604" i="2"/>
  <c r="A7605" i="2"/>
  <c r="B7605" i="2"/>
  <c r="E7605" i="2"/>
  <c r="A7606" i="2"/>
  <c r="B7606" i="2"/>
  <c r="E7606" i="2"/>
  <c r="A7607" i="2"/>
  <c r="B7607" i="2"/>
  <c r="E7607" i="2"/>
  <c r="A7608" i="2"/>
  <c r="B7608" i="2"/>
  <c r="E7608" i="2"/>
  <c r="A7609" i="2"/>
  <c r="B7609" i="2"/>
  <c r="E7609" i="2"/>
  <c r="A7610" i="2"/>
  <c r="B7610" i="2"/>
  <c r="E7610" i="2"/>
  <c r="A7611" i="2"/>
  <c r="B7611" i="2"/>
  <c r="E7611" i="2"/>
  <c r="A7612" i="2"/>
  <c r="B7612" i="2"/>
  <c r="E7612" i="2"/>
  <c r="A7613" i="2"/>
  <c r="B7613" i="2"/>
  <c r="E7613" i="2"/>
  <c r="A7614" i="2"/>
  <c r="B7614" i="2"/>
  <c r="E7614" i="2"/>
  <c r="A7615" i="2"/>
  <c r="B7615" i="2"/>
  <c r="E7615" i="2"/>
  <c r="A7616" i="2"/>
  <c r="B7616" i="2"/>
  <c r="E7616" i="2"/>
  <c r="A7617" i="2"/>
  <c r="B7617" i="2"/>
  <c r="E7617" i="2"/>
  <c r="A7618" i="2"/>
  <c r="B7618" i="2"/>
  <c r="E7618" i="2"/>
  <c r="A7619" i="2"/>
  <c r="B7619" i="2"/>
  <c r="E7619" i="2"/>
  <c r="A7620" i="2"/>
  <c r="B7620" i="2"/>
  <c r="E7620" i="2"/>
  <c r="A7621" i="2"/>
  <c r="B7621" i="2"/>
  <c r="E7621" i="2"/>
  <c r="A7622" i="2"/>
  <c r="B7622" i="2"/>
  <c r="E7622" i="2"/>
  <c r="A7623" i="2"/>
  <c r="B7623" i="2"/>
  <c r="E7623" i="2"/>
  <c r="A7624" i="2"/>
  <c r="B7624" i="2"/>
  <c r="E7624" i="2"/>
  <c r="A7625" i="2"/>
  <c r="B7625" i="2"/>
  <c r="E7625" i="2"/>
  <c r="A7626" i="2"/>
  <c r="B7626" i="2"/>
  <c r="E7626" i="2"/>
  <c r="A7627" i="2"/>
  <c r="B7627" i="2"/>
  <c r="E7627" i="2"/>
  <c r="A7628" i="2"/>
  <c r="B7628" i="2"/>
  <c r="E7628" i="2"/>
  <c r="A7629" i="2"/>
  <c r="B7629" i="2"/>
  <c r="E7629" i="2"/>
  <c r="A7630" i="2"/>
  <c r="B7630" i="2"/>
  <c r="E7630" i="2"/>
  <c r="A7631" i="2"/>
  <c r="B7631" i="2"/>
  <c r="E7631" i="2"/>
  <c r="A7632" i="2"/>
  <c r="B7632" i="2"/>
  <c r="E7632" i="2"/>
  <c r="A7633" i="2"/>
  <c r="B7633" i="2"/>
  <c r="E7633" i="2"/>
  <c r="A7634" i="2"/>
  <c r="B7634" i="2"/>
  <c r="E7634" i="2"/>
  <c r="A7635" i="2"/>
  <c r="B7635" i="2"/>
  <c r="E7635" i="2"/>
  <c r="A7636" i="2"/>
  <c r="B7636" i="2"/>
  <c r="E7636" i="2"/>
  <c r="A7637" i="2"/>
  <c r="B7637" i="2"/>
  <c r="E7637" i="2"/>
  <c r="A7638" i="2"/>
  <c r="B7638" i="2"/>
  <c r="E7638" i="2"/>
  <c r="A7639" i="2"/>
  <c r="B7639" i="2"/>
  <c r="E7639" i="2"/>
  <c r="A7640" i="2"/>
  <c r="B7640" i="2"/>
  <c r="E7640" i="2"/>
  <c r="A7641" i="2"/>
  <c r="B7641" i="2"/>
  <c r="E7641" i="2"/>
  <c r="A7642" i="2"/>
  <c r="B7642" i="2"/>
  <c r="E7642" i="2"/>
  <c r="A7643" i="2"/>
  <c r="B7643" i="2"/>
  <c r="E7643" i="2"/>
  <c r="A7644" i="2"/>
  <c r="B7644" i="2"/>
  <c r="E7644" i="2"/>
  <c r="A7645" i="2"/>
  <c r="B7645" i="2"/>
  <c r="E7645" i="2"/>
  <c r="A7646" i="2"/>
  <c r="B7646" i="2"/>
  <c r="E7646" i="2"/>
  <c r="A7647" i="2"/>
  <c r="B7647" i="2"/>
  <c r="E7647" i="2"/>
  <c r="A7648" i="2"/>
  <c r="B7648" i="2"/>
  <c r="E7648" i="2"/>
  <c r="A7649" i="2"/>
  <c r="B7649" i="2"/>
  <c r="E7649" i="2"/>
  <c r="A7650" i="2"/>
  <c r="B7650" i="2"/>
  <c r="E7650" i="2"/>
  <c r="A7651" i="2"/>
  <c r="B7651" i="2"/>
  <c r="E7651" i="2"/>
  <c r="A7652" i="2"/>
  <c r="B7652" i="2"/>
  <c r="E7652" i="2"/>
  <c r="A7653" i="2"/>
  <c r="B7653" i="2"/>
  <c r="E7653" i="2"/>
  <c r="A7654" i="2"/>
  <c r="B7654" i="2"/>
  <c r="E7654" i="2"/>
  <c r="A7655" i="2"/>
  <c r="B7655" i="2"/>
  <c r="E7655" i="2"/>
  <c r="A7656" i="2"/>
  <c r="B7656" i="2"/>
  <c r="E7656" i="2"/>
  <c r="A7657" i="2"/>
  <c r="B7657" i="2"/>
  <c r="E7657" i="2"/>
  <c r="A7658" i="2"/>
  <c r="B7658" i="2"/>
  <c r="E7658" i="2"/>
  <c r="A7659" i="2"/>
  <c r="B7659" i="2"/>
  <c r="E7659" i="2"/>
  <c r="A7660" i="2"/>
  <c r="B7660" i="2"/>
  <c r="E7660" i="2"/>
  <c r="A7661" i="2"/>
  <c r="B7661" i="2"/>
  <c r="E7661" i="2"/>
  <c r="A7662" i="2"/>
  <c r="B7662" i="2"/>
  <c r="E7662" i="2"/>
  <c r="A7663" i="2"/>
  <c r="B7663" i="2"/>
  <c r="E7663" i="2"/>
  <c r="A7664" i="2"/>
  <c r="B7664" i="2"/>
  <c r="E7664" i="2"/>
  <c r="A7665" i="2"/>
  <c r="B7665" i="2"/>
  <c r="E7665" i="2"/>
  <c r="A7666" i="2"/>
  <c r="B7666" i="2"/>
  <c r="E7666" i="2"/>
  <c r="A7667" i="2"/>
  <c r="B7667" i="2"/>
  <c r="E7667" i="2"/>
  <c r="A7668" i="2"/>
  <c r="B7668" i="2"/>
  <c r="E7668" i="2"/>
  <c r="A7669" i="2"/>
  <c r="B7669" i="2"/>
  <c r="E7669" i="2"/>
  <c r="A7670" i="2"/>
  <c r="B7670" i="2"/>
  <c r="E7670" i="2"/>
  <c r="A7671" i="2"/>
  <c r="B7671" i="2"/>
  <c r="E7671" i="2"/>
  <c r="A7672" i="2"/>
  <c r="B7672" i="2"/>
  <c r="E7672" i="2"/>
  <c r="A7673" i="2"/>
  <c r="B7673" i="2"/>
  <c r="E7673" i="2"/>
  <c r="A7674" i="2"/>
  <c r="B7674" i="2"/>
  <c r="E7674" i="2"/>
  <c r="A7675" i="2"/>
  <c r="B7675" i="2"/>
  <c r="E7675" i="2"/>
  <c r="A7676" i="2"/>
  <c r="B7676" i="2"/>
  <c r="E7676" i="2"/>
  <c r="A7677" i="2"/>
  <c r="B7677" i="2"/>
  <c r="E7677" i="2"/>
  <c r="A7678" i="2"/>
  <c r="B7678" i="2"/>
  <c r="E7678" i="2"/>
  <c r="A7679" i="2"/>
  <c r="B7679" i="2"/>
  <c r="E7679" i="2"/>
  <c r="A7680" i="2"/>
  <c r="B7680" i="2"/>
  <c r="E7680" i="2"/>
  <c r="A7681" i="2"/>
  <c r="B7681" i="2"/>
  <c r="E7681" i="2"/>
  <c r="A7682" i="2"/>
  <c r="B7682" i="2"/>
  <c r="E7682" i="2"/>
  <c r="A7683" i="2"/>
  <c r="B7683" i="2"/>
  <c r="E7683" i="2"/>
  <c r="A7684" i="2"/>
  <c r="B7684" i="2"/>
  <c r="E7684" i="2"/>
  <c r="A7685" i="2"/>
  <c r="B7685" i="2"/>
  <c r="E7685" i="2"/>
  <c r="A7686" i="2"/>
  <c r="B7686" i="2"/>
  <c r="E7686" i="2"/>
  <c r="A7687" i="2"/>
  <c r="B7687" i="2"/>
  <c r="E7687" i="2"/>
  <c r="A7688" i="2"/>
  <c r="B7688" i="2"/>
  <c r="E7688" i="2"/>
  <c r="A7689" i="2"/>
  <c r="B7689" i="2"/>
  <c r="E7689" i="2"/>
  <c r="A7690" i="2"/>
  <c r="B7690" i="2"/>
  <c r="E7690" i="2"/>
  <c r="A7691" i="2"/>
  <c r="B7691" i="2"/>
  <c r="E7691" i="2"/>
  <c r="A7692" i="2"/>
  <c r="B7692" i="2"/>
  <c r="E7692" i="2"/>
  <c r="A7693" i="2"/>
  <c r="B7693" i="2"/>
  <c r="E7693" i="2"/>
  <c r="A7694" i="2"/>
  <c r="B7694" i="2"/>
  <c r="E7694" i="2"/>
  <c r="A7695" i="2"/>
  <c r="B7695" i="2"/>
  <c r="E7695" i="2"/>
  <c r="A7696" i="2"/>
  <c r="B7696" i="2"/>
  <c r="E7696" i="2"/>
  <c r="A7697" i="2"/>
  <c r="B7697" i="2"/>
  <c r="E7697" i="2"/>
  <c r="A7698" i="2"/>
  <c r="B7698" i="2"/>
  <c r="E7698" i="2"/>
  <c r="A7699" i="2"/>
  <c r="B7699" i="2"/>
  <c r="E7699" i="2"/>
  <c r="A7700" i="2"/>
  <c r="B7700" i="2"/>
  <c r="E7700" i="2"/>
  <c r="A7701" i="2"/>
  <c r="B7701" i="2"/>
  <c r="E7701" i="2"/>
  <c r="A7702" i="2"/>
  <c r="B7702" i="2"/>
  <c r="E7702" i="2"/>
  <c r="A7703" i="2"/>
  <c r="B7703" i="2"/>
  <c r="E7703" i="2"/>
  <c r="A7704" i="2"/>
  <c r="B7704" i="2"/>
  <c r="E7704" i="2"/>
  <c r="A7705" i="2"/>
  <c r="B7705" i="2"/>
  <c r="E7705" i="2"/>
  <c r="A7706" i="2"/>
  <c r="B7706" i="2"/>
  <c r="E7706" i="2"/>
  <c r="A7707" i="2"/>
  <c r="B7707" i="2"/>
  <c r="E7707" i="2"/>
  <c r="A7708" i="2"/>
  <c r="B7708" i="2"/>
  <c r="E7708" i="2"/>
  <c r="A7709" i="2"/>
  <c r="B7709" i="2"/>
  <c r="E7709" i="2"/>
  <c r="A7710" i="2"/>
  <c r="B7710" i="2"/>
  <c r="E7710" i="2"/>
  <c r="A7711" i="2"/>
  <c r="B7711" i="2"/>
  <c r="E7711" i="2"/>
  <c r="A7712" i="2"/>
  <c r="B7712" i="2"/>
  <c r="E7712" i="2"/>
  <c r="A7713" i="2"/>
  <c r="B7713" i="2"/>
  <c r="E7713" i="2"/>
  <c r="A7714" i="2"/>
  <c r="B7714" i="2"/>
  <c r="E7714" i="2"/>
  <c r="A7715" i="2"/>
  <c r="B7715" i="2"/>
  <c r="E7715" i="2"/>
  <c r="A7716" i="2"/>
  <c r="B7716" i="2"/>
  <c r="E7716" i="2"/>
  <c r="A7717" i="2"/>
  <c r="B7717" i="2"/>
  <c r="E7717" i="2"/>
  <c r="A7718" i="2"/>
  <c r="B7718" i="2"/>
  <c r="E7718" i="2"/>
  <c r="A7719" i="2"/>
  <c r="B7719" i="2"/>
  <c r="E7719" i="2"/>
  <c r="A7720" i="2"/>
  <c r="B7720" i="2"/>
  <c r="E7720" i="2"/>
  <c r="A7721" i="2"/>
  <c r="B7721" i="2"/>
  <c r="E7721" i="2"/>
  <c r="A7722" i="2"/>
  <c r="B7722" i="2"/>
  <c r="E7722" i="2"/>
  <c r="A7723" i="2"/>
  <c r="B7723" i="2"/>
  <c r="E7723" i="2"/>
  <c r="A7724" i="2"/>
  <c r="B7724" i="2"/>
  <c r="E7724" i="2"/>
  <c r="A7725" i="2"/>
  <c r="B7725" i="2"/>
  <c r="E7725" i="2"/>
  <c r="A7726" i="2"/>
  <c r="B7726" i="2"/>
  <c r="E7726" i="2"/>
  <c r="A7727" i="2"/>
  <c r="B7727" i="2"/>
  <c r="E7727" i="2"/>
  <c r="A7728" i="2"/>
  <c r="B7728" i="2"/>
  <c r="E7728" i="2"/>
  <c r="A7729" i="2"/>
  <c r="B7729" i="2"/>
  <c r="E7729" i="2"/>
  <c r="A7730" i="2"/>
  <c r="B7730" i="2"/>
  <c r="E7730" i="2"/>
  <c r="A7731" i="2"/>
  <c r="B7731" i="2"/>
  <c r="E7731" i="2"/>
  <c r="A7732" i="2"/>
  <c r="B7732" i="2"/>
  <c r="E7732" i="2"/>
  <c r="A7733" i="2"/>
  <c r="B7733" i="2"/>
  <c r="E7733" i="2"/>
  <c r="A7734" i="2"/>
  <c r="B7734" i="2"/>
  <c r="E7734" i="2"/>
  <c r="A7735" i="2"/>
  <c r="B7735" i="2"/>
  <c r="E7735" i="2"/>
  <c r="A7736" i="2"/>
  <c r="B7736" i="2"/>
  <c r="E7736" i="2"/>
  <c r="A7737" i="2"/>
  <c r="B7737" i="2"/>
  <c r="E7737" i="2"/>
  <c r="A7738" i="2"/>
  <c r="B7738" i="2"/>
  <c r="E7738" i="2"/>
  <c r="A7739" i="2"/>
  <c r="B7739" i="2"/>
  <c r="E7739" i="2"/>
  <c r="A7740" i="2"/>
  <c r="B7740" i="2"/>
  <c r="E7740" i="2"/>
  <c r="A7741" i="2"/>
  <c r="B7741" i="2"/>
  <c r="E7741" i="2"/>
  <c r="A7742" i="2"/>
  <c r="B7742" i="2"/>
  <c r="E7742" i="2"/>
  <c r="A7743" i="2"/>
  <c r="B7743" i="2"/>
  <c r="E7743" i="2"/>
  <c r="A7744" i="2"/>
  <c r="B7744" i="2"/>
  <c r="E7744" i="2"/>
  <c r="A7745" i="2"/>
  <c r="B7745" i="2"/>
  <c r="E7745" i="2"/>
  <c r="A7746" i="2"/>
  <c r="B7746" i="2"/>
  <c r="E7746" i="2"/>
  <c r="A7747" i="2"/>
  <c r="B7747" i="2"/>
  <c r="E7747" i="2"/>
  <c r="A7748" i="2"/>
  <c r="B7748" i="2"/>
  <c r="E7748" i="2"/>
  <c r="A7749" i="2"/>
  <c r="B7749" i="2"/>
  <c r="E7749" i="2"/>
  <c r="A7750" i="2"/>
  <c r="B7750" i="2"/>
  <c r="E7750" i="2"/>
  <c r="A7751" i="2"/>
  <c r="B7751" i="2"/>
  <c r="E7751" i="2"/>
  <c r="A7752" i="2"/>
  <c r="B7752" i="2"/>
  <c r="E7752" i="2"/>
  <c r="A7753" i="2"/>
  <c r="B7753" i="2"/>
  <c r="E7753" i="2"/>
  <c r="A7754" i="2"/>
  <c r="B7754" i="2"/>
  <c r="E7754" i="2"/>
  <c r="A7755" i="2"/>
  <c r="B7755" i="2"/>
  <c r="E7755" i="2"/>
  <c r="A7756" i="2"/>
  <c r="B7756" i="2"/>
  <c r="E7756" i="2"/>
  <c r="A7757" i="2"/>
  <c r="B7757" i="2"/>
  <c r="E7757" i="2"/>
  <c r="A7758" i="2"/>
  <c r="B7758" i="2"/>
  <c r="E7758" i="2"/>
  <c r="A7759" i="2"/>
  <c r="B7759" i="2"/>
  <c r="E7759" i="2"/>
  <c r="A7760" i="2"/>
  <c r="B7760" i="2"/>
  <c r="E7760" i="2"/>
  <c r="A7761" i="2"/>
  <c r="B7761" i="2"/>
  <c r="E7761" i="2"/>
  <c r="A7762" i="2"/>
  <c r="B7762" i="2"/>
  <c r="E7762" i="2"/>
  <c r="A7763" i="2"/>
  <c r="B7763" i="2"/>
  <c r="E7763" i="2"/>
  <c r="A7764" i="2"/>
  <c r="B7764" i="2"/>
  <c r="E7764" i="2"/>
  <c r="A7765" i="2"/>
  <c r="B7765" i="2"/>
  <c r="E7765" i="2"/>
  <c r="A7766" i="2"/>
  <c r="B7766" i="2"/>
  <c r="E7766" i="2"/>
  <c r="A7767" i="2"/>
  <c r="B7767" i="2"/>
  <c r="E7767" i="2"/>
  <c r="A7768" i="2"/>
  <c r="B7768" i="2"/>
  <c r="E7768" i="2"/>
  <c r="A7769" i="2"/>
  <c r="B7769" i="2"/>
  <c r="E7769" i="2"/>
  <c r="A7770" i="2"/>
  <c r="B7770" i="2"/>
  <c r="E7770" i="2"/>
  <c r="A7771" i="2"/>
  <c r="B7771" i="2"/>
  <c r="E7771" i="2"/>
  <c r="A7772" i="2"/>
  <c r="B7772" i="2"/>
  <c r="E7772" i="2"/>
  <c r="A7773" i="2"/>
  <c r="B7773" i="2"/>
  <c r="E7773" i="2"/>
  <c r="A7774" i="2"/>
  <c r="B7774" i="2"/>
  <c r="E7774" i="2"/>
  <c r="A7775" i="2"/>
  <c r="B7775" i="2"/>
  <c r="E7775" i="2"/>
  <c r="A7776" i="2"/>
  <c r="B7776" i="2"/>
  <c r="E7776" i="2"/>
  <c r="A7777" i="2"/>
  <c r="B7777" i="2"/>
  <c r="E7777" i="2"/>
  <c r="A7778" i="2"/>
  <c r="B7778" i="2"/>
  <c r="E7778" i="2"/>
  <c r="A7779" i="2"/>
  <c r="B7779" i="2"/>
  <c r="E7779" i="2"/>
  <c r="A7780" i="2"/>
  <c r="B7780" i="2"/>
  <c r="E7780" i="2"/>
  <c r="A7781" i="2"/>
  <c r="B7781" i="2"/>
  <c r="E7781" i="2"/>
  <c r="A7782" i="2"/>
  <c r="B7782" i="2"/>
  <c r="E7782" i="2"/>
  <c r="A7783" i="2"/>
  <c r="B7783" i="2"/>
  <c r="E7783" i="2"/>
  <c r="A7784" i="2"/>
  <c r="B7784" i="2"/>
  <c r="E7784" i="2"/>
  <c r="A7785" i="2"/>
  <c r="B7785" i="2"/>
  <c r="E7785" i="2"/>
  <c r="A7786" i="2"/>
  <c r="B7786" i="2"/>
  <c r="E7786" i="2"/>
  <c r="A7787" i="2"/>
  <c r="B7787" i="2"/>
  <c r="E7787" i="2"/>
  <c r="A7788" i="2"/>
  <c r="B7788" i="2"/>
  <c r="E7788" i="2"/>
  <c r="A7789" i="2"/>
  <c r="B7789" i="2"/>
  <c r="E7789" i="2"/>
  <c r="A7790" i="2"/>
  <c r="B7790" i="2"/>
  <c r="E7790" i="2"/>
  <c r="A7791" i="2"/>
  <c r="B7791" i="2"/>
  <c r="E7791" i="2"/>
  <c r="A7792" i="2"/>
  <c r="B7792" i="2"/>
  <c r="E7792" i="2"/>
  <c r="A7793" i="2"/>
  <c r="B7793" i="2"/>
  <c r="E7793" i="2"/>
  <c r="A7794" i="2"/>
  <c r="B7794" i="2"/>
  <c r="E7794" i="2"/>
  <c r="A7795" i="2"/>
  <c r="B7795" i="2"/>
  <c r="E7795" i="2"/>
  <c r="A7796" i="2"/>
  <c r="B7796" i="2"/>
  <c r="E7796" i="2"/>
  <c r="A7797" i="2"/>
  <c r="B7797" i="2"/>
  <c r="E7797" i="2"/>
  <c r="A7798" i="2"/>
  <c r="B7798" i="2"/>
  <c r="E7798" i="2"/>
  <c r="A7799" i="2"/>
  <c r="B7799" i="2"/>
  <c r="E7799" i="2"/>
  <c r="A7800" i="2"/>
  <c r="B7800" i="2"/>
  <c r="E7800" i="2"/>
  <c r="A7801" i="2"/>
  <c r="B7801" i="2"/>
  <c r="E7801" i="2"/>
  <c r="A7802" i="2"/>
  <c r="B7802" i="2"/>
  <c r="E7802" i="2"/>
  <c r="A7803" i="2"/>
  <c r="B7803" i="2"/>
  <c r="E7803" i="2"/>
  <c r="A7804" i="2"/>
  <c r="B7804" i="2"/>
  <c r="E7804" i="2"/>
  <c r="A7805" i="2"/>
  <c r="B7805" i="2"/>
  <c r="E7805" i="2"/>
  <c r="A7806" i="2"/>
  <c r="B7806" i="2"/>
  <c r="E7806" i="2"/>
  <c r="A7807" i="2"/>
  <c r="B7807" i="2"/>
  <c r="E7807" i="2"/>
  <c r="A7808" i="2"/>
  <c r="B7808" i="2"/>
  <c r="E7808" i="2"/>
  <c r="A7809" i="2"/>
  <c r="B7809" i="2"/>
  <c r="E7809" i="2"/>
  <c r="A7810" i="2"/>
  <c r="B7810" i="2"/>
  <c r="E7810" i="2"/>
  <c r="A7811" i="2"/>
  <c r="B7811" i="2"/>
  <c r="E7811" i="2"/>
  <c r="A7812" i="2"/>
  <c r="B7812" i="2"/>
  <c r="E7812" i="2"/>
  <c r="A7813" i="2"/>
  <c r="B7813" i="2"/>
  <c r="E7813" i="2"/>
  <c r="A7814" i="2"/>
  <c r="B7814" i="2"/>
  <c r="E7814" i="2"/>
  <c r="A7815" i="2"/>
  <c r="B7815" i="2"/>
  <c r="E7815" i="2"/>
  <c r="A7816" i="2"/>
  <c r="B7816" i="2"/>
  <c r="E7816" i="2"/>
  <c r="A7817" i="2"/>
  <c r="B7817" i="2"/>
  <c r="E7817" i="2"/>
  <c r="A7818" i="2"/>
  <c r="B7818" i="2"/>
  <c r="E7818" i="2"/>
  <c r="A7819" i="2"/>
  <c r="B7819" i="2"/>
  <c r="E7819" i="2"/>
  <c r="A7820" i="2"/>
  <c r="B7820" i="2"/>
  <c r="E7820" i="2"/>
  <c r="A7821" i="2"/>
  <c r="B7821" i="2"/>
  <c r="E7821" i="2"/>
  <c r="A7822" i="2"/>
  <c r="B7822" i="2"/>
  <c r="E7822" i="2"/>
  <c r="A7823" i="2"/>
  <c r="B7823" i="2"/>
  <c r="E7823" i="2"/>
  <c r="A7824" i="2"/>
  <c r="B7824" i="2"/>
  <c r="E7824" i="2"/>
  <c r="A7825" i="2"/>
  <c r="B7825" i="2"/>
  <c r="E7825" i="2"/>
  <c r="A7826" i="2"/>
  <c r="B7826" i="2"/>
  <c r="E7826" i="2"/>
  <c r="A7827" i="2"/>
  <c r="B7827" i="2"/>
  <c r="E7827" i="2"/>
  <c r="A7828" i="2"/>
  <c r="B7828" i="2"/>
  <c r="E7828" i="2"/>
  <c r="A7829" i="2"/>
  <c r="B7829" i="2"/>
  <c r="E7829" i="2"/>
  <c r="A7830" i="2"/>
  <c r="B7830" i="2"/>
  <c r="E7830" i="2"/>
  <c r="A7831" i="2"/>
  <c r="B7831" i="2"/>
  <c r="E7831" i="2"/>
  <c r="A7832" i="2"/>
  <c r="B7832" i="2"/>
  <c r="E7832" i="2"/>
  <c r="A7833" i="2"/>
  <c r="B7833" i="2"/>
  <c r="E7833" i="2"/>
  <c r="A7834" i="2"/>
  <c r="B7834" i="2"/>
  <c r="E7834" i="2"/>
  <c r="A7835" i="2"/>
  <c r="B7835" i="2"/>
  <c r="E7835" i="2"/>
  <c r="A7836" i="2"/>
  <c r="B7836" i="2"/>
  <c r="E7836" i="2"/>
  <c r="A7837" i="2"/>
  <c r="B7837" i="2"/>
  <c r="E7837" i="2"/>
  <c r="A7838" i="2"/>
  <c r="B7838" i="2"/>
  <c r="E7838" i="2"/>
  <c r="A7839" i="2"/>
  <c r="B7839" i="2"/>
  <c r="E7839" i="2"/>
  <c r="A7840" i="2"/>
  <c r="B7840" i="2"/>
  <c r="E7840" i="2"/>
  <c r="A7841" i="2"/>
  <c r="B7841" i="2"/>
  <c r="E7841" i="2"/>
  <c r="A7842" i="2"/>
  <c r="B7842" i="2"/>
  <c r="E7842" i="2"/>
  <c r="A7843" i="2"/>
  <c r="B7843" i="2"/>
  <c r="E7843" i="2"/>
  <c r="A7844" i="2"/>
  <c r="B7844" i="2"/>
  <c r="E7844" i="2"/>
  <c r="A7845" i="2"/>
  <c r="B7845" i="2"/>
  <c r="E7845" i="2"/>
  <c r="A7846" i="2"/>
  <c r="B7846" i="2"/>
  <c r="E7846" i="2"/>
  <c r="A7847" i="2"/>
  <c r="B7847" i="2"/>
  <c r="E7847" i="2"/>
  <c r="A7848" i="2"/>
  <c r="B7848" i="2"/>
  <c r="E7848" i="2"/>
  <c r="A7849" i="2"/>
  <c r="B7849" i="2"/>
  <c r="E7849" i="2"/>
  <c r="A7850" i="2"/>
  <c r="B7850" i="2"/>
  <c r="E7850" i="2"/>
  <c r="A7851" i="2"/>
  <c r="B7851" i="2"/>
  <c r="E7851" i="2"/>
  <c r="A7852" i="2"/>
  <c r="B7852" i="2"/>
  <c r="E7852" i="2"/>
  <c r="A7853" i="2"/>
  <c r="B7853" i="2"/>
  <c r="E7853" i="2"/>
  <c r="A7854" i="2"/>
  <c r="B7854" i="2"/>
  <c r="E7854" i="2"/>
  <c r="A7855" i="2"/>
  <c r="B7855" i="2"/>
  <c r="E7855" i="2"/>
  <c r="A7856" i="2"/>
  <c r="B7856" i="2"/>
  <c r="E7856" i="2"/>
  <c r="A7857" i="2"/>
  <c r="B7857" i="2"/>
  <c r="E7857" i="2"/>
  <c r="A7858" i="2"/>
  <c r="B7858" i="2"/>
  <c r="E7858" i="2"/>
  <c r="A7859" i="2"/>
  <c r="B7859" i="2"/>
  <c r="E7859" i="2"/>
  <c r="A7860" i="2"/>
  <c r="B7860" i="2"/>
  <c r="E7860" i="2"/>
  <c r="A7861" i="2"/>
  <c r="B7861" i="2"/>
  <c r="E7861" i="2"/>
  <c r="A7862" i="2"/>
  <c r="B7862" i="2"/>
  <c r="E7862" i="2"/>
  <c r="A7863" i="2"/>
  <c r="B7863" i="2"/>
  <c r="E7863" i="2"/>
  <c r="A7864" i="2"/>
  <c r="B7864" i="2"/>
  <c r="E7864" i="2"/>
  <c r="A7865" i="2"/>
  <c r="B7865" i="2"/>
  <c r="E7865" i="2"/>
  <c r="A7866" i="2"/>
  <c r="B7866" i="2"/>
  <c r="E7866" i="2"/>
  <c r="A7867" i="2"/>
  <c r="B7867" i="2"/>
  <c r="E7867" i="2"/>
  <c r="A7868" i="2"/>
  <c r="B7868" i="2"/>
  <c r="E7868" i="2"/>
  <c r="A7869" i="2"/>
  <c r="B7869" i="2"/>
  <c r="E7869" i="2"/>
  <c r="A7870" i="2"/>
  <c r="B7870" i="2"/>
  <c r="E7870" i="2"/>
  <c r="A7871" i="2"/>
  <c r="B7871" i="2"/>
  <c r="E7871" i="2"/>
  <c r="A7872" i="2"/>
  <c r="B7872" i="2"/>
  <c r="E7872" i="2"/>
  <c r="A7873" i="2"/>
  <c r="B7873" i="2"/>
  <c r="E7873" i="2"/>
  <c r="A7874" i="2"/>
  <c r="B7874" i="2"/>
  <c r="E7874" i="2"/>
  <c r="A7875" i="2"/>
  <c r="B7875" i="2"/>
  <c r="E7875" i="2"/>
  <c r="A7876" i="2"/>
  <c r="B7876" i="2"/>
  <c r="E7876" i="2"/>
  <c r="A7877" i="2"/>
  <c r="B7877" i="2"/>
  <c r="E7877" i="2"/>
  <c r="A7878" i="2"/>
  <c r="B7878" i="2"/>
  <c r="E7878" i="2"/>
  <c r="A7879" i="2"/>
  <c r="B7879" i="2"/>
  <c r="E7879" i="2"/>
  <c r="A7880" i="2"/>
  <c r="B7880" i="2"/>
  <c r="E7880" i="2"/>
  <c r="A7881" i="2"/>
  <c r="B7881" i="2"/>
  <c r="E7881" i="2"/>
  <c r="A7882" i="2"/>
  <c r="B7882" i="2"/>
  <c r="E7882" i="2"/>
  <c r="A7883" i="2"/>
  <c r="B7883" i="2"/>
  <c r="E7883" i="2"/>
  <c r="A7884" i="2"/>
  <c r="B7884" i="2"/>
  <c r="E7884" i="2"/>
  <c r="A7885" i="2"/>
  <c r="B7885" i="2"/>
  <c r="E7885" i="2"/>
  <c r="A7886" i="2"/>
  <c r="B7886" i="2"/>
  <c r="E7886" i="2"/>
  <c r="A7887" i="2"/>
  <c r="B7887" i="2"/>
  <c r="E7887" i="2"/>
  <c r="A7888" i="2"/>
  <c r="B7888" i="2"/>
  <c r="E7888" i="2"/>
  <c r="A7889" i="2"/>
  <c r="B7889" i="2"/>
  <c r="E7889" i="2"/>
  <c r="A7890" i="2"/>
  <c r="B7890" i="2"/>
  <c r="E7890" i="2"/>
  <c r="A7891" i="2"/>
  <c r="B7891" i="2"/>
  <c r="E7891" i="2"/>
  <c r="A7892" i="2"/>
  <c r="B7892" i="2"/>
  <c r="E7892" i="2"/>
  <c r="A7893" i="2"/>
  <c r="B7893" i="2"/>
  <c r="E7893" i="2"/>
  <c r="A7894" i="2"/>
  <c r="B7894" i="2"/>
  <c r="E7894" i="2"/>
  <c r="A7895" i="2"/>
  <c r="B7895" i="2"/>
  <c r="E7895" i="2"/>
  <c r="A7896" i="2"/>
  <c r="B7896" i="2"/>
  <c r="E7896" i="2"/>
  <c r="A7897" i="2"/>
  <c r="B7897" i="2"/>
  <c r="E7897" i="2"/>
  <c r="A7898" i="2"/>
  <c r="B7898" i="2"/>
  <c r="E7898" i="2"/>
  <c r="A7899" i="2"/>
  <c r="B7899" i="2"/>
  <c r="E7899" i="2"/>
  <c r="A7900" i="2"/>
  <c r="B7900" i="2"/>
  <c r="E7900" i="2"/>
  <c r="A7901" i="2"/>
  <c r="B7901" i="2"/>
  <c r="E7901" i="2"/>
  <c r="A7902" i="2"/>
  <c r="B7902" i="2"/>
  <c r="E7902" i="2"/>
  <c r="A7903" i="2"/>
  <c r="B7903" i="2"/>
  <c r="E7903" i="2"/>
  <c r="A7904" i="2"/>
  <c r="B7904" i="2"/>
  <c r="E7904" i="2"/>
  <c r="A7905" i="2"/>
  <c r="B7905" i="2"/>
  <c r="E7905" i="2"/>
  <c r="A7906" i="2"/>
  <c r="B7906" i="2"/>
  <c r="E7906" i="2"/>
  <c r="A7907" i="2"/>
  <c r="B7907" i="2"/>
  <c r="E7907" i="2"/>
  <c r="A7908" i="2"/>
  <c r="B7908" i="2"/>
  <c r="E7908" i="2"/>
  <c r="A7909" i="2"/>
  <c r="B7909" i="2"/>
  <c r="E7909" i="2"/>
  <c r="A7910" i="2"/>
  <c r="B7910" i="2"/>
  <c r="E7910" i="2"/>
  <c r="A7911" i="2"/>
  <c r="B7911" i="2"/>
  <c r="E7911" i="2"/>
  <c r="A7912" i="2"/>
  <c r="B7912" i="2"/>
  <c r="E7912" i="2"/>
  <c r="A7913" i="2"/>
  <c r="B7913" i="2"/>
  <c r="E7913" i="2"/>
  <c r="A7914" i="2"/>
  <c r="B7914" i="2"/>
  <c r="E7914" i="2"/>
  <c r="A7915" i="2"/>
  <c r="B7915" i="2"/>
  <c r="E7915" i="2"/>
  <c r="A7916" i="2"/>
  <c r="B7916" i="2"/>
  <c r="E7916" i="2"/>
  <c r="A7917" i="2"/>
  <c r="B7917" i="2"/>
  <c r="E7917" i="2"/>
  <c r="A7918" i="2"/>
  <c r="B7918" i="2"/>
  <c r="E7918" i="2"/>
  <c r="A7919" i="2"/>
  <c r="B7919" i="2"/>
  <c r="E7919" i="2"/>
  <c r="A7920" i="2"/>
  <c r="B7920" i="2"/>
  <c r="E7920" i="2"/>
  <c r="A7921" i="2"/>
  <c r="B7921" i="2"/>
  <c r="E7921" i="2"/>
  <c r="A7922" i="2"/>
  <c r="B7922" i="2"/>
  <c r="E7922" i="2"/>
  <c r="A7923" i="2"/>
  <c r="B7923" i="2"/>
  <c r="E7923" i="2"/>
  <c r="A7924" i="2"/>
  <c r="B7924" i="2"/>
  <c r="E7924" i="2"/>
  <c r="A7925" i="2"/>
  <c r="B7925" i="2"/>
  <c r="E7925" i="2"/>
  <c r="A7926" i="2"/>
  <c r="B7926" i="2"/>
  <c r="E7926" i="2"/>
  <c r="A7927" i="2"/>
  <c r="B7927" i="2"/>
  <c r="E7927" i="2"/>
  <c r="A7928" i="2"/>
  <c r="B7928" i="2"/>
  <c r="E7928" i="2"/>
  <c r="A7929" i="2"/>
  <c r="B7929" i="2"/>
  <c r="E7929" i="2"/>
  <c r="A7930" i="2"/>
  <c r="B7930" i="2"/>
  <c r="E7930" i="2"/>
  <c r="A7931" i="2"/>
  <c r="B7931" i="2"/>
  <c r="E7931" i="2"/>
  <c r="A7932" i="2"/>
  <c r="B7932" i="2"/>
  <c r="E7932" i="2"/>
  <c r="A7933" i="2"/>
  <c r="B7933" i="2"/>
  <c r="E7933" i="2"/>
  <c r="A7934" i="2"/>
  <c r="B7934" i="2"/>
  <c r="E7934" i="2"/>
  <c r="A7935" i="2"/>
  <c r="B7935" i="2"/>
  <c r="E7935" i="2"/>
  <c r="A7936" i="2"/>
  <c r="B7936" i="2"/>
  <c r="E7936" i="2"/>
  <c r="A7937" i="2"/>
  <c r="B7937" i="2"/>
  <c r="E7937" i="2"/>
  <c r="A7938" i="2"/>
  <c r="B7938" i="2"/>
  <c r="E7938" i="2"/>
  <c r="A7939" i="2"/>
  <c r="B7939" i="2"/>
  <c r="E7939" i="2"/>
  <c r="A7940" i="2"/>
  <c r="B7940" i="2"/>
  <c r="E7940" i="2"/>
  <c r="A7941" i="2"/>
  <c r="B7941" i="2"/>
  <c r="E7941" i="2"/>
  <c r="A7942" i="2"/>
  <c r="B7942" i="2"/>
  <c r="E7942" i="2"/>
  <c r="A7943" i="2"/>
  <c r="B7943" i="2"/>
  <c r="E7943" i="2"/>
  <c r="A7944" i="2"/>
  <c r="B7944" i="2"/>
  <c r="E7944" i="2"/>
  <c r="A7945" i="2"/>
  <c r="B7945" i="2"/>
  <c r="E7945" i="2"/>
  <c r="A7946" i="2"/>
  <c r="B7946" i="2"/>
  <c r="E7946" i="2"/>
  <c r="A7947" i="2"/>
  <c r="B7947" i="2"/>
  <c r="E7947" i="2"/>
  <c r="A7948" i="2"/>
  <c r="B7948" i="2"/>
  <c r="E7948" i="2"/>
  <c r="A7949" i="2"/>
  <c r="B7949" i="2"/>
  <c r="E7949" i="2"/>
  <c r="A7950" i="2"/>
  <c r="B7950" i="2"/>
  <c r="E7950" i="2"/>
  <c r="A7951" i="2"/>
  <c r="B7951" i="2"/>
  <c r="E7951" i="2"/>
  <c r="A7952" i="2"/>
  <c r="B7952" i="2"/>
  <c r="E7952" i="2"/>
  <c r="A7953" i="2"/>
  <c r="B7953" i="2"/>
  <c r="E7953" i="2"/>
  <c r="A7954" i="2"/>
  <c r="B7954" i="2"/>
  <c r="E7954" i="2"/>
  <c r="A7955" i="2"/>
  <c r="B7955" i="2"/>
  <c r="E7955" i="2"/>
  <c r="A7956" i="2"/>
  <c r="B7956" i="2"/>
  <c r="E7956" i="2"/>
  <c r="A7957" i="2"/>
  <c r="B7957" i="2"/>
  <c r="E7957" i="2"/>
  <c r="A7958" i="2"/>
  <c r="B7958" i="2"/>
  <c r="E7958" i="2"/>
  <c r="A7959" i="2"/>
  <c r="B7959" i="2"/>
  <c r="E7959" i="2"/>
  <c r="A7960" i="2"/>
  <c r="B7960" i="2"/>
  <c r="E7960" i="2"/>
  <c r="A7961" i="2"/>
  <c r="B7961" i="2"/>
  <c r="E7961" i="2"/>
  <c r="A7962" i="2"/>
  <c r="B7962" i="2"/>
  <c r="E7962" i="2"/>
  <c r="A7963" i="2"/>
  <c r="B7963" i="2"/>
  <c r="E7963" i="2"/>
  <c r="A7964" i="2"/>
  <c r="B7964" i="2"/>
  <c r="E7964" i="2"/>
  <c r="A7965" i="2"/>
  <c r="B7965" i="2"/>
  <c r="E7965" i="2"/>
  <c r="A7966" i="2"/>
  <c r="B7966" i="2"/>
  <c r="E7966" i="2"/>
  <c r="A7967" i="2"/>
  <c r="B7967" i="2"/>
  <c r="E7967" i="2"/>
  <c r="A7968" i="2"/>
  <c r="B7968" i="2"/>
  <c r="E7968" i="2"/>
  <c r="A7969" i="2"/>
  <c r="B7969" i="2"/>
  <c r="E7969" i="2"/>
  <c r="A7970" i="2"/>
  <c r="B7970" i="2"/>
  <c r="E7970" i="2"/>
  <c r="A7971" i="2"/>
  <c r="B7971" i="2"/>
  <c r="E7971" i="2"/>
  <c r="A7972" i="2"/>
  <c r="B7972" i="2"/>
  <c r="E7972" i="2"/>
  <c r="A7973" i="2"/>
  <c r="B7973" i="2"/>
  <c r="E7973" i="2"/>
  <c r="A7974" i="2"/>
  <c r="B7974" i="2"/>
  <c r="E7974" i="2"/>
  <c r="A7975" i="2"/>
  <c r="B7975" i="2"/>
  <c r="E7975" i="2"/>
  <c r="A7976" i="2"/>
  <c r="B7976" i="2"/>
  <c r="E7976" i="2"/>
  <c r="A7977" i="2"/>
  <c r="B7977" i="2"/>
  <c r="E7977" i="2"/>
  <c r="A7978" i="2"/>
  <c r="B7978" i="2"/>
  <c r="E7978" i="2"/>
  <c r="A7979" i="2"/>
  <c r="B7979" i="2"/>
  <c r="E7979" i="2"/>
  <c r="A7980" i="2"/>
  <c r="B7980" i="2"/>
  <c r="E7980" i="2"/>
  <c r="A7981" i="2"/>
  <c r="B7981" i="2"/>
  <c r="E7981" i="2"/>
  <c r="A7982" i="2"/>
  <c r="B7982" i="2"/>
  <c r="E7982" i="2"/>
  <c r="A7983" i="2"/>
  <c r="B7983" i="2"/>
  <c r="E7983" i="2"/>
  <c r="A7984" i="2"/>
  <c r="B7984" i="2"/>
  <c r="E7984" i="2"/>
  <c r="A7985" i="2"/>
  <c r="B7985" i="2"/>
  <c r="E7985" i="2"/>
  <c r="A7986" i="2"/>
  <c r="B7986" i="2"/>
  <c r="E7986" i="2"/>
  <c r="A7987" i="2"/>
  <c r="B7987" i="2"/>
  <c r="E7987" i="2"/>
  <c r="A7988" i="2"/>
  <c r="B7988" i="2"/>
  <c r="E7988" i="2"/>
  <c r="A7989" i="2"/>
  <c r="B7989" i="2"/>
  <c r="E7989" i="2"/>
  <c r="A7990" i="2"/>
  <c r="B7990" i="2"/>
  <c r="E7990" i="2"/>
  <c r="A7991" i="2"/>
  <c r="B7991" i="2"/>
  <c r="E7991" i="2"/>
  <c r="A7992" i="2"/>
  <c r="B7992" i="2"/>
  <c r="E7992" i="2"/>
  <c r="A7993" i="2"/>
  <c r="B7993" i="2"/>
  <c r="E7993" i="2"/>
  <c r="A7994" i="2"/>
  <c r="B7994" i="2"/>
  <c r="E7994" i="2"/>
  <c r="A7995" i="2"/>
  <c r="B7995" i="2"/>
  <c r="E7995" i="2"/>
  <c r="A7996" i="2"/>
  <c r="B7996" i="2"/>
  <c r="E7996" i="2"/>
  <c r="A7997" i="2"/>
  <c r="B7997" i="2"/>
  <c r="E7997" i="2"/>
  <c r="A7998" i="2"/>
  <c r="B7998" i="2"/>
  <c r="E7998" i="2"/>
  <c r="A7999" i="2"/>
  <c r="B7999" i="2"/>
  <c r="E7999" i="2"/>
  <c r="A8000" i="2"/>
  <c r="B8000" i="2"/>
  <c r="E8000" i="2"/>
  <c r="A8001" i="2"/>
  <c r="B8001" i="2"/>
  <c r="E8001" i="2"/>
  <c r="A8002" i="2"/>
  <c r="B8002" i="2"/>
  <c r="E8002" i="2"/>
  <c r="A8003" i="2"/>
  <c r="B8003" i="2"/>
  <c r="E8003" i="2"/>
  <c r="A8004" i="2"/>
  <c r="B8004" i="2"/>
  <c r="E8004" i="2"/>
  <c r="A8005" i="2"/>
  <c r="B8005" i="2"/>
  <c r="E8005" i="2"/>
  <c r="A8006" i="2"/>
  <c r="B8006" i="2"/>
  <c r="E8006" i="2"/>
  <c r="A8007" i="2"/>
  <c r="B8007" i="2"/>
  <c r="E8007" i="2"/>
  <c r="A8008" i="2"/>
  <c r="B8008" i="2"/>
  <c r="E8008" i="2"/>
  <c r="A8009" i="2"/>
  <c r="B8009" i="2"/>
  <c r="E8009" i="2"/>
  <c r="A8010" i="2"/>
  <c r="B8010" i="2"/>
  <c r="E8010" i="2"/>
  <c r="A8011" i="2"/>
  <c r="B8011" i="2"/>
  <c r="E8011" i="2"/>
  <c r="A8012" i="2"/>
  <c r="B8012" i="2"/>
  <c r="E8012" i="2"/>
  <c r="A8013" i="2"/>
  <c r="B8013" i="2"/>
  <c r="E8013" i="2"/>
  <c r="A8014" i="2"/>
  <c r="B8014" i="2"/>
  <c r="E8014" i="2"/>
  <c r="A8015" i="2"/>
  <c r="B8015" i="2"/>
  <c r="E8015" i="2"/>
  <c r="A8016" i="2"/>
  <c r="B8016" i="2"/>
  <c r="E8016" i="2"/>
  <c r="A8017" i="2"/>
  <c r="B8017" i="2"/>
  <c r="E8017" i="2"/>
  <c r="A8018" i="2"/>
  <c r="B8018" i="2"/>
  <c r="E8018" i="2"/>
  <c r="A8019" i="2"/>
  <c r="B8019" i="2"/>
  <c r="E8019" i="2"/>
  <c r="A8020" i="2"/>
  <c r="B8020" i="2"/>
  <c r="E8020" i="2"/>
  <c r="A8021" i="2"/>
  <c r="B8021" i="2"/>
  <c r="E8021" i="2"/>
  <c r="A8022" i="2"/>
  <c r="B8022" i="2"/>
  <c r="E8022" i="2"/>
  <c r="A8023" i="2"/>
  <c r="B8023" i="2"/>
  <c r="E8023" i="2"/>
  <c r="A8024" i="2"/>
  <c r="B8024" i="2"/>
  <c r="E8024" i="2"/>
  <c r="A8025" i="2"/>
  <c r="B8025" i="2"/>
  <c r="E8025" i="2"/>
  <c r="A8026" i="2"/>
  <c r="B8026" i="2"/>
  <c r="E8026" i="2"/>
  <c r="A8027" i="2"/>
  <c r="B8027" i="2"/>
  <c r="E8027" i="2"/>
  <c r="A8028" i="2"/>
  <c r="B8028" i="2"/>
  <c r="E8028" i="2"/>
  <c r="A8029" i="2"/>
  <c r="B8029" i="2"/>
  <c r="E8029" i="2"/>
  <c r="A8030" i="2"/>
  <c r="B8030" i="2"/>
  <c r="E8030" i="2"/>
  <c r="A8031" i="2"/>
  <c r="B8031" i="2"/>
  <c r="E8031" i="2"/>
  <c r="A8032" i="2"/>
  <c r="B8032" i="2"/>
  <c r="E8032" i="2"/>
  <c r="A8033" i="2"/>
  <c r="B8033" i="2"/>
  <c r="E8033" i="2"/>
  <c r="A8034" i="2"/>
  <c r="B8034" i="2"/>
  <c r="E8034" i="2"/>
  <c r="A8035" i="2"/>
  <c r="B8035" i="2"/>
  <c r="E8035" i="2"/>
  <c r="A8036" i="2"/>
  <c r="B8036" i="2"/>
  <c r="E8036" i="2"/>
  <c r="A8037" i="2"/>
  <c r="B8037" i="2"/>
  <c r="E8037" i="2"/>
  <c r="A8038" i="2"/>
  <c r="B8038" i="2"/>
  <c r="E8038" i="2"/>
  <c r="A8039" i="2"/>
  <c r="B8039" i="2"/>
  <c r="E8039" i="2"/>
  <c r="A8040" i="2"/>
  <c r="B8040" i="2"/>
  <c r="E8040" i="2"/>
  <c r="A8041" i="2"/>
  <c r="B8041" i="2"/>
  <c r="E8041" i="2"/>
  <c r="A8042" i="2"/>
  <c r="B8042" i="2"/>
  <c r="E8042" i="2"/>
  <c r="A8043" i="2"/>
  <c r="B8043" i="2"/>
  <c r="E8043" i="2"/>
  <c r="A8044" i="2"/>
  <c r="B8044" i="2"/>
  <c r="E8044" i="2"/>
  <c r="A8045" i="2"/>
  <c r="B8045" i="2"/>
  <c r="E8045" i="2"/>
  <c r="A8046" i="2"/>
  <c r="B8046" i="2"/>
  <c r="E8046" i="2"/>
  <c r="A8047" i="2"/>
  <c r="B8047" i="2"/>
  <c r="E8047" i="2"/>
  <c r="A8048" i="2"/>
  <c r="B8048" i="2"/>
  <c r="E8048" i="2"/>
  <c r="A8049" i="2"/>
  <c r="B8049" i="2"/>
  <c r="E8049" i="2"/>
  <c r="A8050" i="2"/>
  <c r="B8050" i="2"/>
  <c r="E8050" i="2"/>
  <c r="A8051" i="2"/>
  <c r="B8051" i="2"/>
  <c r="E8051" i="2"/>
  <c r="A8052" i="2"/>
  <c r="B8052" i="2"/>
  <c r="E8052" i="2"/>
  <c r="A8053" i="2"/>
  <c r="B8053" i="2"/>
  <c r="E8053" i="2"/>
  <c r="A8054" i="2"/>
  <c r="B8054" i="2"/>
  <c r="E8054" i="2"/>
  <c r="A8055" i="2"/>
  <c r="B8055" i="2"/>
  <c r="E8055" i="2"/>
  <c r="A8056" i="2"/>
  <c r="B8056" i="2"/>
  <c r="E8056" i="2"/>
  <c r="A8057" i="2"/>
  <c r="B8057" i="2"/>
  <c r="E8057" i="2"/>
  <c r="A8058" i="2"/>
  <c r="B8058" i="2"/>
  <c r="E8058" i="2"/>
  <c r="A8059" i="2"/>
  <c r="B8059" i="2"/>
  <c r="E8059" i="2"/>
  <c r="A8060" i="2"/>
  <c r="B8060" i="2"/>
  <c r="E8060" i="2"/>
  <c r="A8061" i="2"/>
  <c r="B8061" i="2"/>
  <c r="E8061" i="2"/>
  <c r="A8062" i="2"/>
  <c r="B8062" i="2"/>
  <c r="E8062" i="2"/>
  <c r="A8063" i="2"/>
  <c r="B8063" i="2"/>
  <c r="E8063" i="2"/>
  <c r="A8064" i="2"/>
  <c r="B8064" i="2"/>
  <c r="E8064" i="2"/>
  <c r="A8065" i="2"/>
  <c r="B8065" i="2"/>
  <c r="E8065" i="2"/>
  <c r="A8066" i="2"/>
  <c r="B8066" i="2"/>
  <c r="E8066" i="2"/>
  <c r="A8067" i="2"/>
  <c r="B8067" i="2"/>
  <c r="E8067" i="2"/>
  <c r="A8068" i="2"/>
  <c r="B8068" i="2"/>
  <c r="E8068" i="2"/>
  <c r="A8069" i="2"/>
  <c r="B8069" i="2"/>
  <c r="E8069" i="2"/>
  <c r="A8070" i="2"/>
  <c r="B8070" i="2"/>
  <c r="E8070" i="2"/>
  <c r="A8071" i="2"/>
  <c r="B8071" i="2"/>
  <c r="E8071" i="2"/>
  <c r="A8072" i="2"/>
  <c r="B8072" i="2"/>
  <c r="E8072" i="2"/>
  <c r="A8073" i="2"/>
  <c r="B8073" i="2"/>
  <c r="E8073" i="2"/>
  <c r="A8074" i="2"/>
  <c r="B8074" i="2"/>
  <c r="E8074" i="2"/>
  <c r="A8075" i="2"/>
  <c r="B8075" i="2"/>
  <c r="E8075" i="2"/>
  <c r="A8076" i="2"/>
  <c r="B8076" i="2"/>
  <c r="E8076" i="2"/>
  <c r="A8077" i="2"/>
  <c r="B8077" i="2"/>
  <c r="E8077" i="2"/>
  <c r="A8078" i="2"/>
  <c r="B8078" i="2"/>
  <c r="E8078" i="2"/>
  <c r="A8079" i="2"/>
  <c r="B8079" i="2"/>
  <c r="E8079" i="2"/>
  <c r="A8080" i="2"/>
  <c r="B8080" i="2"/>
  <c r="E8080" i="2"/>
  <c r="A8081" i="2"/>
  <c r="B8081" i="2"/>
  <c r="E8081" i="2"/>
  <c r="A8082" i="2"/>
  <c r="B8082" i="2"/>
  <c r="E8082" i="2"/>
  <c r="A8083" i="2"/>
  <c r="B8083" i="2"/>
  <c r="E8083" i="2"/>
  <c r="A8084" i="2"/>
  <c r="B8084" i="2"/>
  <c r="E8084" i="2"/>
  <c r="A8085" i="2"/>
  <c r="B8085" i="2"/>
  <c r="E8085" i="2"/>
  <c r="A8086" i="2"/>
  <c r="B8086" i="2"/>
  <c r="E8086" i="2"/>
  <c r="A8087" i="2"/>
  <c r="B8087" i="2"/>
  <c r="E8087" i="2"/>
  <c r="A8088" i="2"/>
  <c r="B8088" i="2"/>
  <c r="E8088" i="2"/>
  <c r="A8089" i="2"/>
  <c r="B8089" i="2"/>
  <c r="E8089" i="2"/>
  <c r="A8090" i="2"/>
  <c r="B8090" i="2"/>
  <c r="E8090" i="2"/>
  <c r="A8091" i="2"/>
  <c r="B8091" i="2"/>
  <c r="E8091" i="2"/>
  <c r="A8092" i="2"/>
  <c r="B8092" i="2"/>
  <c r="E8092" i="2"/>
  <c r="A8093" i="2"/>
  <c r="B8093" i="2"/>
  <c r="E8093" i="2"/>
  <c r="A8094" i="2"/>
  <c r="B8094" i="2"/>
  <c r="E8094" i="2"/>
  <c r="A8095" i="2"/>
  <c r="B8095" i="2"/>
  <c r="E8095" i="2"/>
  <c r="A8096" i="2"/>
  <c r="B8096" i="2"/>
  <c r="E8096" i="2"/>
  <c r="A8097" i="2"/>
  <c r="B8097" i="2"/>
  <c r="E8097" i="2"/>
  <c r="A8098" i="2"/>
  <c r="B8098" i="2"/>
  <c r="E8098" i="2"/>
  <c r="A8099" i="2"/>
  <c r="B8099" i="2"/>
  <c r="E8099" i="2"/>
  <c r="A8100" i="2"/>
  <c r="B8100" i="2"/>
  <c r="E8100" i="2"/>
  <c r="A8101" i="2"/>
  <c r="B8101" i="2"/>
  <c r="E8101" i="2"/>
  <c r="A8102" i="2"/>
  <c r="B8102" i="2"/>
  <c r="E8102" i="2"/>
  <c r="A8103" i="2"/>
  <c r="B8103" i="2"/>
  <c r="E8103" i="2"/>
  <c r="A8104" i="2"/>
  <c r="B8104" i="2"/>
  <c r="E8104" i="2"/>
  <c r="A8105" i="2"/>
  <c r="B8105" i="2"/>
  <c r="E8105" i="2"/>
  <c r="A8106" i="2"/>
  <c r="B8106" i="2"/>
  <c r="E8106" i="2"/>
  <c r="A8107" i="2"/>
  <c r="B8107" i="2"/>
  <c r="E8107" i="2"/>
  <c r="A8108" i="2"/>
  <c r="B8108" i="2"/>
  <c r="E8108" i="2"/>
  <c r="A8109" i="2"/>
  <c r="B8109" i="2"/>
  <c r="E8109" i="2"/>
  <c r="A8110" i="2"/>
  <c r="B8110" i="2"/>
  <c r="E8110" i="2"/>
  <c r="A8111" i="2"/>
  <c r="B8111" i="2"/>
  <c r="E8111" i="2"/>
  <c r="A8112" i="2"/>
  <c r="B8112" i="2"/>
  <c r="E8112" i="2"/>
  <c r="A8113" i="2"/>
  <c r="B8113" i="2"/>
  <c r="E8113" i="2"/>
  <c r="A8114" i="2"/>
  <c r="B8114" i="2"/>
  <c r="E8114" i="2"/>
  <c r="A8115" i="2"/>
  <c r="B8115" i="2"/>
  <c r="E8115" i="2"/>
  <c r="A8116" i="2"/>
  <c r="B8116" i="2"/>
  <c r="E8116" i="2"/>
  <c r="A8117" i="2"/>
  <c r="B8117" i="2"/>
  <c r="E8117" i="2"/>
  <c r="A8118" i="2"/>
  <c r="B8118" i="2"/>
  <c r="E8118" i="2"/>
  <c r="A8119" i="2"/>
  <c r="B8119" i="2"/>
  <c r="E8119" i="2"/>
  <c r="A8120" i="2"/>
  <c r="B8120" i="2"/>
  <c r="E8120" i="2"/>
  <c r="A8121" i="2"/>
  <c r="B8121" i="2"/>
  <c r="E8121" i="2"/>
  <c r="A8122" i="2"/>
  <c r="B8122" i="2"/>
  <c r="E8122" i="2"/>
  <c r="A8123" i="2"/>
  <c r="B8123" i="2"/>
  <c r="E8123" i="2"/>
  <c r="A8124" i="2"/>
  <c r="B8124" i="2"/>
  <c r="E8124" i="2"/>
  <c r="A8125" i="2"/>
  <c r="B8125" i="2"/>
  <c r="E8125" i="2"/>
  <c r="A8126" i="2"/>
  <c r="B8126" i="2"/>
  <c r="E8126" i="2"/>
  <c r="A8127" i="2"/>
  <c r="B8127" i="2"/>
  <c r="E8127" i="2"/>
  <c r="A8128" i="2"/>
  <c r="B8128" i="2"/>
  <c r="E8128" i="2"/>
  <c r="A8129" i="2"/>
  <c r="B8129" i="2"/>
  <c r="E8129" i="2"/>
  <c r="A8130" i="2"/>
  <c r="B8130" i="2"/>
  <c r="E8130" i="2"/>
  <c r="A8131" i="2"/>
  <c r="B8131" i="2"/>
  <c r="E8131" i="2"/>
  <c r="A8132" i="2"/>
  <c r="B8132" i="2"/>
  <c r="E8132" i="2"/>
  <c r="A8133" i="2"/>
  <c r="B8133" i="2"/>
  <c r="E8133" i="2"/>
  <c r="A8134" i="2"/>
  <c r="B8134" i="2"/>
  <c r="E8134" i="2"/>
  <c r="A8135" i="2"/>
  <c r="B8135" i="2"/>
  <c r="E8135" i="2"/>
  <c r="A8136" i="2"/>
  <c r="B8136" i="2"/>
  <c r="E8136" i="2"/>
  <c r="A8137" i="2"/>
  <c r="B8137" i="2"/>
  <c r="E8137" i="2"/>
  <c r="A8138" i="2"/>
  <c r="B8138" i="2"/>
  <c r="E8138" i="2"/>
  <c r="A8139" i="2"/>
  <c r="B8139" i="2"/>
  <c r="E8139" i="2"/>
  <c r="A8140" i="2"/>
  <c r="B8140" i="2"/>
  <c r="E8140" i="2"/>
  <c r="A8141" i="2"/>
  <c r="B8141" i="2"/>
  <c r="E8141" i="2"/>
  <c r="A8142" i="2"/>
  <c r="B8142" i="2"/>
  <c r="E8142" i="2"/>
  <c r="A8143" i="2"/>
  <c r="B8143" i="2"/>
  <c r="E8143" i="2"/>
  <c r="A8144" i="2"/>
  <c r="B8144" i="2"/>
  <c r="E8144" i="2"/>
  <c r="A8145" i="2"/>
  <c r="B8145" i="2"/>
  <c r="E8145" i="2"/>
  <c r="A8146" i="2"/>
  <c r="B8146" i="2"/>
  <c r="E8146" i="2"/>
  <c r="A8147" i="2"/>
  <c r="B8147" i="2"/>
  <c r="E8147" i="2"/>
  <c r="A8148" i="2"/>
  <c r="B8148" i="2"/>
  <c r="E8148" i="2"/>
  <c r="A8149" i="2"/>
  <c r="B8149" i="2"/>
  <c r="E8149" i="2"/>
  <c r="A8150" i="2"/>
  <c r="B8150" i="2"/>
  <c r="E8150" i="2"/>
  <c r="A8151" i="2"/>
  <c r="B8151" i="2"/>
  <c r="E8151" i="2"/>
  <c r="A8152" i="2"/>
  <c r="B8152" i="2"/>
  <c r="E8152" i="2"/>
  <c r="A8153" i="2"/>
  <c r="B8153" i="2"/>
  <c r="E8153" i="2"/>
  <c r="A8154" i="2"/>
  <c r="B8154" i="2"/>
  <c r="E8154" i="2"/>
  <c r="A8155" i="2"/>
  <c r="B8155" i="2"/>
  <c r="E8155" i="2"/>
  <c r="A8156" i="2"/>
  <c r="B8156" i="2"/>
  <c r="E8156" i="2"/>
  <c r="A8157" i="2"/>
  <c r="B8157" i="2"/>
  <c r="E8157" i="2"/>
  <c r="A8158" i="2"/>
  <c r="B8158" i="2"/>
  <c r="E8158" i="2"/>
  <c r="A8159" i="2"/>
  <c r="B8159" i="2"/>
  <c r="E8159" i="2"/>
  <c r="A8160" i="2"/>
  <c r="B8160" i="2"/>
  <c r="E8160" i="2"/>
  <c r="A8161" i="2"/>
  <c r="B8161" i="2"/>
  <c r="E8161" i="2"/>
  <c r="A8162" i="2"/>
  <c r="B8162" i="2"/>
  <c r="E8162" i="2"/>
  <c r="A8163" i="2"/>
  <c r="B8163" i="2"/>
  <c r="E8163" i="2"/>
  <c r="A8164" i="2"/>
  <c r="B8164" i="2"/>
  <c r="E8164" i="2"/>
  <c r="A8165" i="2"/>
  <c r="B8165" i="2"/>
  <c r="E8165" i="2"/>
  <c r="A8166" i="2"/>
  <c r="B8166" i="2"/>
  <c r="E8166" i="2"/>
  <c r="A8167" i="2"/>
  <c r="B8167" i="2"/>
  <c r="E8167" i="2"/>
  <c r="A8168" i="2"/>
  <c r="B8168" i="2"/>
  <c r="E8168" i="2"/>
  <c r="A8169" i="2"/>
  <c r="B8169" i="2"/>
  <c r="E8169" i="2"/>
  <c r="A8170" i="2"/>
  <c r="B8170" i="2"/>
  <c r="E8170" i="2"/>
  <c r="A8171" i="2"/>
  <c r="B8171" i="2"/>
  <c r="E8171" i="2"/>
  <c r="A8172" i="2"/>
  <c r="B8172" i="2"/>
  <c r="E8172" i="2"/>
  <c r="A8173" i="2"/>
  <c r="B8173" i="2"/>
  <c r="E8173" i="2"/>
  <c r="A8174" i="2"/>
  <c r="B8174" i="2"/>
  <c r="E8174" i="2"/>
  <c r="A8175" i="2"/>
  <c r="B8175" i="2"/>
  <c r="E8175" i="2"/>
  <c r="A8176" i="2"/>
  <c r="B8176" i="2"/>
  <c r="E8176" i="2"/>
  <c r="A8177" i="2"/>
  <c r="B8177" i="2"/>
  <c r="E8177" i="2"/>
  <c r="A8178" i="2"/>
  <c r="B8178" i="2"/>
  <c r="E8178" i="2"/>
  <c r="A8179" i="2"/>
  <c r="B8179" i="2"/>
  <c r="E8179" i="2"/>
  <c r="A8180" i="2"/>
  <c r="B8180" i="2"/>
  <c r="E8180" i="2"/>
  <c r="A8181" i="2"/>
  <c r="B8181" i="2"/>
  <c r="E8181" i="2"/>
  <c r="A8182" i="2"/>
  <c r="B8182" i="2"/>
  <c r="E8182" i="2"/>
  <c r="A8183" i="2"/>
  <c r="B8183" i="2"/>
  <c r="E8183" i="2"/>
  <c r="A8184" i="2"/>
  <c r="B8184" i="2"/>
  <c r="E8184" i="2"/>
  <c r="A8185" i="2"/>
  <c r="B8185" i="2"/>
  <c r="E8185" i="2"/>
  <c r="A8186" i="2"/>
  <c r="B8186" i="2"/>
  <c r="E8186" i="2"/>
  <c r="A8187" i="2"/>
  <c r="B8187" i="2"/>
  <c r="E8187" i="2"/>
  <c r="A8188" i="2"/>
  <c r="B8188" i="2"/>
  <c r="E8188" i="2"/>
  <c r="A8189" i="2"/>
  <c r="B8189" i="2"/>
  <c r="E8189" i="2"/>
  <c r="A8190" i="2"/>
  <c r="B8190" i="2"/>
  <c r="E8190" i="2"/>
  <c r="A8191" i="2"/>
  <c r="B8191" i="2"/>
  <c r="E8191" i="2"/>
  <c r="A8192" i="2"/>
  <c r="B8192" i="2"/>
  <c r="E8192" i="2"/>
  <c r="A8193" i="2"/>
  <c r="B8193" i="2"/>
  <c r="E8193" i="2"/>
  <c r="A8194" i="2"/>
  <c r="B8194" i="2"/>
  <c r="E8194" i="2"/>
  <c r="A8195" i="2"/>
  <c r="B8195" i="2"/>
  <c r="E8195" i="2"/>
  <c r="A8196" i="2"/>
  <c r="B8196" i="2"/>
  <c r="E8196" i="2"/>
  <c r="A8197" i="2"/>
  <c r="B8197" i="2"/>
  <c r="E8197" i="2"/>
  <c r="A8198" i="2"/>
  <c r="B8198" i="2"/>
  <c r="E8198" i="2"/>
  <c r="A8199" i="2"/>
  <c r="B8199" i="2"/>
  <c r="E8199" i="2"/>
  <c r="A8200" i="2"/>
  <c r="B8200" i="2"/>
  <c r="E8200" i="2"/>
  <c r="A8201" i="2"/>
  <c r="B8201" i="2"/>
  <c r="E8201" i="2"/>
  <c r="A8202" i="2"/>
  <c r="B8202" i="2"/>
  <c r="E8202" i="2"/>
  <c r="A8203" i="2"/>
  <c r="B8203" i="2"/>
  <c r="E8203" i="2"/>
  <c r="A8204" i="2"/>
  <c r="B8204" i="2"/>
  <c r="E8204" i="2"/>
  <c r="A8205" i="2"/>
  <c r="B8205" i="2"/>
  <c r="E8205" i="2"/>
  <c r="A8206" i="2"/>
  <c r="B8206" i="2"/>
  <c r="E8206" i="2"/>
  <c r="A8207" i="2"/>
  <c r="B8207" i="2"/>
  <c r="E8207" i="2"/>
  <c r="A8208" i="2"/>
  <c r="B8208" i="2"/>
  <c r="E8208" i="2"/>
  <c r="A8209" i="2"/>
  <c r="B8209" i="2"/>
  <c r="E8209" i="2"/>
  <c r="A8210" i="2"/>
  <c r="B8210" i="2"/>
  <c r="E8210" i="2"/>
  <c r="A8211" i="2"/>
  <c r="B8211" i="2"/>
  <c r="E8211" i="2"/>
  <c r="A8212" i="2"/>
  <c r="B8212" i="2"/>
  <c r="E8212" i="2"/>
  <c r="A8213" i="2"/>
  <c r="B8213" i="2"/>
  <c r="E8213" i="2"/>
  <c r="A8214" i="2"/>
  <c r="B8214" i="2"/>
  <c r="E8214" i="2"/>
  <c r="A8215" i="2"/>
  <c r="B8215" i="2"/>
  <c r="E8215" i="2"/>
  <c r="A8216" i="2"/>
  <c r="B8216" i="2"/>
  <c r="E8216" i="2"/>
  <c r="A8217" i="2"/>
  <c r="B8217" i="2"/>
  <c r="E8217" i="2"/>
  <c r="A8218" i="2"/>
  <c r="B8218" i="2"/>
  <c r="E8218" i="2"/>
  <c r="A8219" i="2"/>
  <c r="B8219" i="2"/>
  <c r="E8219" i="2"/>
  <c r="A8220" i="2"/>
  <c r="B8220" i="2"/>
  <c r="E8220" i="2"/>
  <c r="A8221" i="2"/>
  <c r="B8221" i="2"/>
  <c r="E8221" i="2"/>
  <c r="A8222" i="2"/>
  <c r="B8222" i="2"/>
  <c r="E8222" i="2"/>
  <c r="A8223" i="2"/>
  <c r="B8223" i="2"/>
  <c r="E8223" i="2"/>
  <c r="A8224" i="2"/>
  <c r="B8224" i="2"/>
  <c r="E8224" i="2"/>
  <c r="A8225" i="2"/>
  <c r="B8225" i="2"/>
  <c r="E8225" i="2"/>
  <c r="A8226" i="2"/>
  <c r="B8226" i="2"/>
  <c r="E8226" i="2"/>
  <c r="A8227" i="2"/>
  <c r="B8227" i="2"/>
  <c r="E8227" i="2"/>
  <c r="A8228" i="2"/>
  <c r="B8228" i="2"/>
  <c r="E8228" i="2"/>
  <c r="A8229" i="2"/>
  <c r="B8229" i="2"/>
  <c r="E8229" i="2"/>
  <c r="A8230" i="2"/>
  <c r="B8230" i="2"/>
  <c r="E8230" i="2"/>
  <c r="A8231" i="2"/>
  <c r="B8231" i="2"/>
  <c r="E8231" i="2"/>
  <c r="A8232" i="2"/>
  <c r="B8232" i="2"/>
  <c r="E8232" i="2"/>
  <c r="A8233" i="2"/>
  <c r="B8233" i="2"/>
  <c r="E8233" i="2"/>
  <c r="A8234" i="2"/>
  <c r="B8234" i="2"/>
  <c r="E8234" i="2"/>
  <c r="A8235" i="2"/>
  <c r="B8235" i="2"/>
  <c r="E8235" i="2"/>
  <c r="A8236" i="2"/>
  <c r="B8236" i="2"/>
  <c r="E8236" i="2"/>
  <c r="A8237" i="2"/>
  <c r="B8237" i="2"/>
  <c r="E8237" i="2"/>
  <c r="A8238" i="2"/>
  <c r="B8238" i="2"/>
  <c r="E8238" i="2"/>
  <c r="A8239" i="2"/>
  <c r="B8239" i="2"/>
  <c r="E8239" i="2"/>
  <c r="A8240" i="2"/>
  <c r="B8240" i="2"/>
  <c r="E8240" i="2"/>
  <c r="A8241" i="2"/>
  <c r="B8241" i="2"/>
  <c r="E8241" i="2"/>
  <c r="A8242" i="2"/>
  <c r="B8242" i="2"/>
  <c r="E8242" i="2"/>
  <c r="A8243" i="2"/>
  <c r="B8243" i="2"/>
  <c r="E8243" i="2"/>
  <c r="A8244" i="2"/>
  <c r="B8244" i="2"/>
  <c r="E8244" i="2"/>
  <c r="A8245" i="2"/>
  <c r="B8245" i="2"/>
  <c r="E8245" i="2"/>
  <c r="A8246" i="2"/>
  <c r="B8246" i="2"/>
  <c r="E8246" i="2"/>
  <c r="A8247" i="2"/>
  <c r="B8247" i="2"/>
  <c r="E8247" i="2"/>
  <c r="A8248" i="2"/>
  <c r="B8248" i="2"/>
  <c r="E8248" i="2"/>
  <c r="A8249" i="2"/>
  <c r="B8249" i="2"/>
  <c r="E8249" i="2"/>
  <c r="A8250" i="2"/>
  <c r="B8250" i="2"/>
  <c r="E8250" i="2"/>
  <c r="A8251" i="2"/>
  <c r="B8251" i="2"/>
  <c r="E8251" i="2"/>
  <c r="A8252" i="2"/>
  <c r="B8252" i="2"/>
  <c r="E8252" i="2"/>
  <c r="A8253" i="2"/>
  <c r="B8253" i="2"/>
  <c r="E8253" i="2"/>
  <c r="A8254" i="2"/>
  <c r="B8254" i="2"/>
  <c r="E8254" i="2"/>
  <c r="A8255" i="2"/>
  <c r="B8255" i="2"/>
  <c r="E8255" i="2"/>
  <c r="A8256" i="2"/>
  <c r="B8256" i="2"/>
  <c r="E8256" i="2"/>
  <c r="A8257" i="2"/>
  <c r="B8257" i="2"/>
  <c r="E8257" i="2"/>
  <c r="A8258" i="2"/>
  <c r="B8258" i="2"/>
  <c r="E8258" i="2"/>
  <c r="A8259" i="2"/>
  <c r="B8259" i="2"/>
  <c r="E8259" i="2"/>
  <c r="A8260" i="2"/>
  <c r="B8260" i="2"/>
  <c r="E8260" i="2"/>
  <c r="A8261" i="2"/>
  <c r="B8261" i="2"/>
  <c r="E8261" i="2"/>
  <c r="A8262" i="2"/>
  <c r="B8262" i="2"/>
  <c r="E8262" i="2"/>
  <c r="A8263" i="2"/>
  <c r="B8263" i="2"/>
  <c r="E8263" i="2"/>
  <c r="A8264" i="2"/>
  <c r="B8264" i="2"/>
  <c r="E8264" i="2"/>
  <c r="A8265" i="2"/>
  <c r="B8265" i="2"/>
  <c r="E8265" i="2"/>
  <c r="A8266" i="2"/>
  <c r="B8266" i="2"/>
  <c r="E8266" i="2"/>
  <c r="A8267" i="2"/>
  <c r="B8267" i="2"/>
  <c r="E8267" i="2"/>
  <c r="A8268" i="2"/>
  <c r="B8268" i="2"/>
  <c r="E8268" i="2"/>
  <c r="A8269" i="2"/>
  <c r="B8269" i="2"/>
  <c r="E8269" i="2"/>
  <c r="A8270" i="2"/>
  <c r="B8270" i="2"/>
  <c r="E8270" i="2"/>
  <c r="A8271" i="2"/>
  <c r="B8271" i="2"/>
  <c r="E8271" i="2"/>
  <c r="A8272" i="2"/>
  <c r="B8272" i="2"/>
  <c r="E8272" i="2"/>
  <c r="A8273" i="2"/>
  <c r="B8273" i="2"/>
  <c r="E8273" i="2"/>
  <c r="A8274" i="2"/>
  <c r="B8274" i="2"/>
  <c r="E8274" i="2"/>
  <c r="A8275" i="2"/>
  <c r="B8275" i="2"/>
  <c r="E8275" i="2"/>
  <c r="A8276" i="2"/>
  <c r="B8276" i="2"/>
  <c r="E8276" i="2"/>
  <c r="A8277" i="2"/>
  <c r="B8277" i="2"/>
  <c r="E8277" i="2"/>
  <c r="A8278" i="2"/>
  <c r="B8278" i="2"/>
  <c r="E8278" i="2"/>
  <c r="A8279" i="2"/>
  <c r="B8279" i="2"/>
  <c r="E8279" i="2"/>
  <c r="A8280" i="2"/>
  <c r="B8280" i="2"/>
  <c r="E8280" i="2"/>
  <c r="A8281" i="2"/>
  <c r="B8281" i="2"/>
  <c r="E8281" i="2"/>
  <c r="A8282" i="2"/>
  <c r="B8282" i="2"/>
  <c r="E8282" i="2"/>
  <c r="A8283" i="2"/>
  <c r="B8283" i="2"/>
  <c r="E8283" i="2"/>
  <c r="A8284" i="2"/>
  <c r="B8284" i="2"/>
  <c r="E8284" i="2"/>
  <c r="A8285" i="2"/>
  <c r="B8285" i="2"/>
  <c r="E8285" i="2"/>
  <c r="A8286" i="2"/>
  <c r="B8286" i="2"/>
  <c r="E8286" i="2"/>
  <c r="A8287" i="2"/>
  <c r="B8287" i="2"/>
  <c r="E8287" i="2"/>
  <c r="A8288" i="2"/>
  <c r="B8288" i="2"/>
  <c r="E8288" i="2"/>
  <c r="A8289" i="2"/>
  <c r="B8289" i="2"/>
  <c r="E8289" i="2"/>
  <c r="A8290" i="2"/>
  <c r="B8290" i="2"/>
  <c r="E8290" i="2"/>
  <c r="A8291" i="2"/>
  <c r="B8291" i="2"/>
  <c r="E8291" i="2"/>
  <c r="A8292" i="2"/>
  <c r="B8292" i="2"/>
  <c r="E8292" i="2"/>
  <c r="A8293" i="2"/>
  <c r="B8293" i="2"/>
  <c r="E8293" i="2"/>
  <c r="A8294" i="2"/>
  <c r="B8294" i="2"/>
  <c r="E8294" i="2"/>
  <c r="A8295" i="2"/>
  <c r="B8295" i="2"/>
  <c r="E8295" i="2"/>
  <c r="A8296" i="2"/>
  <c r="B8296" i="2"/>
  <c r="E8296" i="2"/>
  <c r="A8297" i="2"/>
  <c r="B8297" i="2"/>
  <c r="E8297" i="2"/>
  <c r="A8298" i="2"/>
  <c r="B8298" i="2"/>
  <c r="E8298" i="2"/>
  <c r="A8299" i="2"/>
  <c r="B8299" i="2"/>
  <c r="E8299" i="2"/>
  <c r="A8300" i="2"/>
  <c r="B8300" i="2"/>
  <c r="E8300" i="2"/>
  <c r="A8301" i="2"/>
  <c r="B8301" i="2"/>
  <c r="E8301" i="2"/>
  <c r="A8302" i="2"/>
  <c r="B8302" i="2"/>
  <c r="E8302" i="2"/>
  <c r="A8303" i="2"/>
  <c r="B8303" i="2"/>
  <c r="E8303" i="2"/>
  <c r="A8304" i="2"/>
  <c r="B8304" i="2"/>
  <c r="E8304" i="2"/>
  <c r="A8305" i="2"/>
  <c r="B8305" i="2"/>
  <c r="E8305" i="2"/>
  <c r="A8306" i="2"/>
  <c r="B8306" i="2"/>
  <c r="E8306" i="2"/>
  <c r="A8307" i="2"/>
  <c r="B8307" i="2"/>
  <c r="E8307" i="2"/>
  <c r="A8308" i="2"/>
  <c r="B8308" i="2"/>
  <c r="E8308" i="2"/>
  <c r="A8309" i="2"/>
  <c r="B8309" i="2"/>
  <c r="E8309" i="2"/>
  <c r="A8310" i="2"/>
  <c r="B8310" i="2"/>
  <c r="E8310" i="2"/>
  <c r="A8311" i="2"/>
  <c r="B8311" i="2"/>
  <c r="E8311" i="2"/>
  <c r="A8312" i="2"/>
  <c r="B8312" i="2"/>
  <c r="E8312" i="2"/>
  <c r="A8313" i="2"/>
  <c r="B8313" i="2"/>
  <c r="E8313" i="2"/>
  <c r="A8314" i="2"/>
  <c r="B8314" i="2"/>
  <c r="E8314" i="2"/>
  <c r="A8315" i="2"/>
  <c r="B8315" i="2"/>
  <c r="E8315" i="2"/>
  <c r="A8316" i="2"/>
  <c r="B8316" i="2"/>
  <c r="E8316" i="2"/>
  <c r="A8317" i="2"/>
  <c r="B8317" i="2"/>
  <c r="E8317" i="2"/>
  <c r="A8318" i="2"/>
  <c r="B8318" i="2"/>
  <c r="E8318" i="2"/>
  <c r="A8319" i="2"/>
  <c r="B8319" i="2"/>
  <c r="E8319" i="2"/>
  <c r="A8320" i="2"/>
  <c r="B8320" i="2"/>
  <c r="E8320" i="2"/>
  <c r="A8321" i="2"/>
  <c r="B8321" i="2"/>
  <c r="E8321" i="2"/>
  <c r="A8322" i="2"/>
  <c r="B8322" i="2"/>
  <c r="E8322" i="2"/>
  <c r="A8323" i="2"/>
  <c r="B8323" i="2"/>
  <c r="E8323" i="2"/>
  <c r="A8324" i="2"/>
  <c r="B8324" i="2"/>
  <c r="E8324" i="2"/>
  <c r="A8325" i="2"/>
  <c r="B8325" i="2"/>
  <c r="E8325" i="2"/>
  <c r="A8326" i="2"/>
  <c r="B8326" i="2"/>
  <c r="E8326" i="2"/>
  <c r="A8327" i="2"/>
  <c r="B8327" i="2"/>
  <c r="E8327" i="2"/>
  <c r="A8328" i="2"/>
  <c r="B8328" i="2"/>
  <c r="E8328" i="2"/>
  <c r="A8329" i="2"/>
  <c r="B8329" i="2"/>
  <c r="E8329" i="2"/>
  <c r="A8330" i="2"/>
  <c r="B8330" i="2"/>
  <c r="E8330" i="2"/>
  <c r="A8331" i="2"/>
  <c r="B8331" i="2"/>
  <c r="E8331" i="2"/>
  <c r="A8332" i="2"/>
  <c r="B8332" i="2"/>
  <c r="E8332" i="2"/>
  <c r="A8333" i="2"/>
  <c r="B8333" i="2"/>
  <c r="E8333" i="2"/>
  <c r="A8334" i="2"/>
  <c r="B8334" i="2"/>
  <c r="E8334" i="2"/>
  <c r="A8335" i="2"/>
  <c r="B8335" i="2"/>
  <c r="E8335" i="2"/>
  <c r="A8336" i="2"/>
  <c r="B8336" i="2"/>
  <c r="E8336" i="2"/>
  <c r="A8337" i="2"/>
  <c r="B8337" i="2"/>
  <c r="E8337" i="2"/>
  <c r="A8338" i="2"/>
  <c r="B8338" i="2"/>
  <c r="E8338" i="2"/>
  <c r="A8339" i="2"/>
  <c r="B8339" i="2"/>
  <c r="E8339" i="2"/>
  <c r="A8340" i="2"/>
  <c r="B8340" i="2"/>
  <c r="E8340" i="2"/>
  <c r="A8341" i="2"/>
  <c r="B8341" i="2"/>
  <c r="E8341" i="2"/>
  <c r="A8342" i="2"/>
  <c r="B8342" i="2"/>
  <c r="E8342" i="2"/>
  <c r="A8343" i="2"/>
  <c r="B8343" i="2"/>
  <c r="E8343" i="2"/>
  <c r="A8344" i="2"/>
  <c r="B8344" i="2"/>
  <c r="E8344" i="2"/>
  <c r="A8345" i="2"/>
  <c r="B8345" i="2"/>
  <c r="E8345" i="2"/>
  <c r="A8346" i="2"/>
  <c r="B8346" i="2"/>
  <c r="E8346" i="2"/>
  <c r="A8347" i="2"/>
  <c r="B8347" i="2"/>
  <c r="E8347" i="2"/>
  <c r="A8348" i="2"/>
  <c r="B8348" i="2"/>
  <c r="E8348" i="2"/>
  <c r="A8349" i="2"/>
  <c r="B8349" i="2"/>
  <c r="E8349" i="2"/>
  <c r="A8350" i="2"/>
  <c r="B8350" i="2"/>
  <c r="E8350" i="2"/>
  <c r="A8351" i="2"/>
  <c r="B8351" i="2"/>
  <c r="E8351" i="2"/>
  <c r="A8352" i="2"/>
  <c r="B8352" i="2"/>
  <c r="E8352" i="2"/>
  <c r="A8353" i="2"/>
  <c r="B8353" i="2"/>
  <c r="E8353" i="2"/>
  <c r="A8354" i="2"/>
  <c r="B8354" i="2"/>
  <c r="E8354" i="2"/>
  <c r="A8355" i="2"/>
  <c r="B8355" i="2"/>
  <c r="E8355" i="2"/>
  <c r="A8356" i="2"/>
  <c r="B8356" i="2"/>
  <c r="E8356" i="2"/>
  <c r="A8357" i="2"/>
  <c r="B8357" i="2"/>
  <c r="E8357" i="2"/>
  <c r="A8358" i="2"/>
  <c r="B8358" i="2"/>
  <c r="E8358" i="2"/>
  <c r="A8359" i="2"/>
  <c r="B8359" i="2"/>
  <c r="E8359" i="2"/>
  <c r="A8360" i="2"/>
  <c r="B8360" i="2"/>
  <c r="E8360" i="2"/>
  <c r="A8361" i="2"/>
  <c r="B8361" i="2"/>
  <c r="E8361" i="2"/>
  <c r="A8362" i="2"/>
  <c r="B8362" i="2"/>
  <c r="E8362" i="2"/>
  <c r="A8363" i="2"/>
  <c r="B8363" i="2"/>
  <c r="E8363" i="2"/>
  <c r="A8364" i="2"/>
  <c r="B8364" i="2"/>
  <c r="E8364" i="2"/>
  <c r="A8365" i="2"/>
  <c r="B8365" i="2"/>
  <c r="E8365" i="2"/>
  <c r="A8366" i="2"/>
  <c r="B8366" i="2"/>
  <c r="E8366" i="2"/>
  <c r="A8367" i="2"/>
  <c r="B8367" i="2"/>
  <c r="E8367" i="2"/>
  <c r="A8368" i="2"/>
  <c r="B8368" i="2"/>
  <c r="E8368" i="2"/>
  <c r="A8369" i="2"/>
  <c r="B8369" i="2"/>
  <c r="E8369" i="2"/>
  <c r="A8370" i="2"/>
  <c r="B8370" i="2"/>
  <c r="E8370" i="2"/>
  <c r="A8371" i="2"/>
  <c r="B8371" i="2"/>
  <c r="E8371" i="2"/>
  <c r="A8372" i="2"/>
  <c r="B8372" i="2"/>
  <c r="E8372" i="2"/>
  <c r="A8373" i="2"/>
  <c r="B8373" i="2"/>
  <c r="E8373" i="2"/>
  <c r="A8374" i="2"/>
  <c r="B8374" i="2"/>
  <c r="E8374" i="2"/>
  <c r="A8375" i="2"/>
  <c r="B8375" i="2"/>
  <c r="E8375" i="2"/>
  <c r="A8376" i="2"/>
  <c r="B8376" i="2"/>
  <c r="E8376" i="2"/>
  <c r="A8377" i="2"/>
  <c r="B8377" i="2"/>
  <c r="E8377" i="2"/>
  <c r="A8378" i="2"/>
  <c r="B8378" i="2"/>
  <c r="E8378" i="2"/>
  <c r="A8379" i="2"/>
  <c r="B8379" i="2"/>
  <c r="E8379" i="2"/>
  <c r="A8380" i="2"/>
  <c r="B8380" i="2"/>
  <c r="E8380" i="2"/>
  <c r="A8381" i="2"/>
  <c r="B8381" i="2"/>
  <c r="E8381" i="2"/>
  <c r="A8382" i="2"/>
  <c r="B8382" i="2"/>
  <c r="E8382" i="2"/>
  <c r="A8383" i="2"/>
  <c r="B8383" i="2"/>
  <c r="E8383" i="2"/>
  <c r="A8384" i="2"/>
  <c r="B8384" i="2"/>
  <c r="E8384" i="2"/>
  <c r="A8385" i="2"/>
  <c r="B8385" i="2"/>
  <c r="E8385" i="2"/>
  <c r="A8386" i="2"/>
  <c r="B8386" i="2"/>
  <c r="E8386" i="2"/>
  <c r="A8387" i="2"/>
  <c r="B8387" i="2"/>
  <c r="E8387" i="2"/>
  <c r="A8388" i="2"/>
  <c r="B8388" i="2"/>
  <c r="E8388" i="2"/>
  <c r="A8389" i="2"/>
  <c r="B8389" i="2"/>
  <c r="E8389" i="2"/>
  <c r="A8390" i="2"/>
  <c r="B8390" i="2"/>
  <c r="E8390" i="2"/>
  <c r="A8391" i="2"/>
  <c r="B8391" i="2"/>
  <c r="E8391" i="2"/>
  <c r="A8392" i="2"/>
  <c r="B8392" i="2"/>
  <c r="E8392" i="2"/>
  <c r="A8393" i="2"/>
  <c r="B8393" i="2"/>
  <c r="E8393" i="2"/>
  <c r="A8394" i="2"/>
  <c r="B8394" i="2"/>
  <c r="E8394" i="2"/>
  <c r="A8395" i="2"/>
  <c r="B8395" i="2"/>
  <c r="E8395" i="2"/>
  <c r="A8396" i="2"/>
  <c r="B8396" i="2"/>
  <c r="E8396" i="2"/>
  <c r="A8397" i="2"/>
  <c r="B8397" i="2"/>
  <c r="E8397" i="2"/>
  <c r="A8398" i="2"/>
  <c r="B8398" i="2"/>
  <c r="E8398" i="2"/>
  <c r="A8399" i="2"/>
  <c r="B8399" i="2"/>
  <c r="E8399" i="2"/>
  <c r="A8400" i="2"/>
  <c r="B8400" i="2"/>
  <c r="E8400" i="2"/>
  <c r="A8401" i="2"/>
  <c r="B8401" i="2"/>
  <c r="E8401" i="2"/>
  <c r="A8402" i="2"/>
  <c r="B8402" i="2"/>
  <c r="E8402" i="2"/>
  <c r="A8403" i="2"/>
  <c r="B8403" i="2"/>
  <c r="E8403" i="2"/>
  <c r="A8404" i="2"/>
  <c r="B8404" i="2"/>
  <c r="E8404" i="2"/>
  <c r="A8405" i="2"/>
  <c r="B8405" i="2"/>
  <c r="E8405" i="2"/>
  <c r="A8406" i="2"/>
  <c r="B8406" i="2"/>
  <c r="E8406" i="2"/>
  <c r="A8407" i="2"/>
  <c r="B8407" i="2"/>
  <c r="E8407" i="2"/>
  <c r="A8408" i="2"/>
  <c r="B8408" i="2"/>
  <c r="E8408" i="2"/>
  <c r="A8409" i="2"/>
  <c r="B8409" i="2"/>
  <c r="E8409" i="2"/>
  <c r="A8410" i="2"/>
  <c r="B8410" i="2"/>
  <c r="E8410" i="2"/>
  <c r="A8411" i="2"/>
  <c r="B8411" i="2"/>
  <c r="E8411" i="2"/>
  <c r="A8412" i="2"/>
  <c r="B8412" i="2"/>
  <c r="E8412" i="2"/>
  <c r="A8413" i="2"/>
  <c r="B8413" i="2"/>
  <c r="E8413" i="2"/>
  <c r="A8414" i="2"/>
  <c r="B8414" i="2"/>
  <c r="E8414" i="2"/>
  <c r="A8415" i="2"/>
  <c r="B8415" i="2"/>
  <c r="E8415" i="2"/>
  <c r="A8416" i="2"/>
  <c r="B8416" i="2"/>
  <c r="E8416" i="2"/>
  <c r="A8417" i="2"/>
  <c r="B8417" i="2"/>
  <c r="E8417" i="2"/>
  <c r="A8418" i="2"/>
  <c r="B8418" i="2"/>
  <c r="E8418" i="2"/>
  <c r="A8419" i="2"/>
  <c r="B8419" i="2"/>
  <c r="E8419" i="2"/>
  <c r="A8420" i="2"/>
  <c r="B8420" i="2"/>
  <c r="E8420" i="2"/>
  <c r="A8421" i="2"/>
  <c r="B8421" i="2"/>
  <c r="E8421" i="2"/>
  <c r="A8422" i="2"/>
  <c r="B8422" i="2"/>
  <c r="E8422" i="2"/>
  <c r="A8423" i="2"/>
  <c r="B8423" i="2"/>
  <c r="E8423" i="2"/>
  <c r="A8424" i="2"/>
  <c r="B8424" i="2"/>
  <c r="E8424" i="2"/>
  <c r="A8425" i="2"/>
  <c r="B8425" i="2"/>
  <c r="E8425" i="2"/>
  <c r="A8426" i="2"/>
  <c r="B8426" i="2"/>
  <c r="E8426" i="2"/>
  <c r="A8427" i="2"/>
  <c r="B8427" i="2"/>
  <c r="E8427" i="2"/>
  <c r="A8428" i="2"/>
  <c r="B8428" i="2"/>
  <c r="E8428" i="2"/>
  <c r="A8429" i="2"/>
  <c r="B8429" i="2"/>
  <c r="E8429" i="2"/>
  <c r="A8430" i="2"/>
  <c r="B8430" i="2"/>
  <c r="E8430" i="2"/>
  <c r="A8431" i="2"/>
  <c r="B8431" i="2"/>
  <c r="E8431" i="2"/>
  <c r="A8432" i="2"/>
  <c r="B8432" i="2"/>
  <c r="E8432" i="2"/>
  <c r="A8433" i="2"/>
  <c r="B8433" i="2"/>
  <c r="E8433" i="2"/>
  <c r="A8434" i="2"/>
  <c r="B8434" i="2"/>
  <c r="E8434" i="2"/>
  <c r="A8435" i="2"/>
  <c r="B8435" i="2"/>
  <c r="E8435" i="2"/>
  <c r="A8436" i="2"/>
  <c r="B8436" i="2"/>
  <c r="E8436" i="2"/>
  <c r="A8437" i="2"/>
  <c r="B8437" i="2"/>
  <c r="E8437" i="2"/>
  <c r="A8438" i="2"/>
  <c r="B8438" i="2"/>
  <c r="E8438" i="2"/>
  <c r="A8439" i="2"/>
  <c r="B8439" i="2"/>
  <c r="E8439" i="2"/>
  <c r="A8440" i="2"/>
  <c r="B8440" i="2"/>
  <c r="E8440" i="2"/>
  <c r="A8441" i="2"/>
  <c r="B8441" i="2"/>
  <c r="E8441" i="2"/>
  <c r="A8442" i="2"/>
  <c r="B8442" i="2"/>
  <c r="E8442" i="2"/>
  <c r="A8443" i="2"/>
  <c r="B8443" i="2"/>
  <c r="E8443" i="2"/>
  <c r="A8444" i="2"/>
  <c r="B8444" i="2"/>
  <c r="E8444" i="2"/>
  <c r="A8445" i="2"/>
  <c r="B8445" i="2"/>
  <c r="E8445" i="2"/>
  <c r="A8446" i="2"/>
  <c r="B8446" i="2"/>
  <c r="E8446" i="2"/>
  <c r="A8447" i="2"/>
  <c r="B8447" i="2"/>
  <c r="E8447" i="2"/>
  <c r="A8448" i="2"/>
  <c r="B8448" i="2"/>
  <c r="E8448" i="2"/>
  <c r="A8449" i="2"/>
  <c r="B8449" i="2"/>
  <c r="E8449" i="2"/>
  <c r="A8450" i="2"/>
  <c r="B8450" i="2"/>
  <c r="E8450" i="2"/>
  <c r="A8451" i="2"/>
  <c r="B8451" i="2"/>
  <c r="E8451" i="2"/>
  <c r="A8452" i="2"/>
  <c r="B8452" i="2"/>
  <c r="E8452" i="2"/>
  <c r="A8453" i="2"/>
  <c r="B8453" i="2"/>
  <c r="E8453" i="2"/>
  <c r="A8454" i="2"/>
  <c r="B8454" i="2"/>
  <c r="E8454" i="2"/>
  <c r="A8455" i="2"/>
  <c r="B8455" i="2"/>
  <c r="E8455" i="2"/>
  <c r="A8456" i="2"/>
  <c r="B8456" i="2"/>
  <c r="E8456" i="2"/>
  <c r="A8457" i="2"/>
  <c r="B8457" i="2"/>
  <c r="E8457" i="2"/>
  <c r="A8458" i="2"/>
  <c r="B8458" i="2"/>
  <c r="E8458" i="2"/>
  <c r="A8459" i="2"/>
  <c r="B8459" i="2"/>
  <c r="E8459" i="2"/>
  <c r="A8460" i="2"/>
  <c r="B8460" i="2"/>
  <c r="E8460" i="2"/>
  <c r="A8461" i="2"/>
  <c r="B8461" i="2"/>
  <c r="E8461" i="2"/>
  <c r="A8462" i="2"/>
  <c r="B8462" i="2"/>
  <c r="E8462" i="2"/>
  <c r="A8463" i="2"/>
  <c r="B8463" i="2"/>
  <c r="E8463" i="2"/>
  <c r="A8464" i="2"/>
  <c r="B8464" i="2"/>
  <c r="E8464" i="2"/>
  <c r="A8465" i="2"/>
  <c r="B8465" i="2"/>
  <c r="E8465" i="2"/>
  <c r="A8466" i="2"/>
  <c r="B8466" i="2"/>
  <c r="E8466" i="2"/>
  <c r="A8467" i="2"/>
  <c r="B8467" i="2"/>
  <c r="E8467" i="2"/>
  <c r="A8468" i="2"/>
  <c r="B8468" i="2"/>
  <c r="E8468" i="2"/>
  <c r="A8469" i="2"/>
  <c r="B8469" i="2"/>
  <c r="E8469" i="2"/>
  <c r="A8470" i="2"/>
  <c r="B8470" i="2"/>
  <c r="E8470" i="2"/>
  <c r="A8471" i="2"/>
  <c r="B8471" i="2"/>
  <c r="E8471" i="2"/>
  <c r="A8472" i="2"/>
  <c r="B8472" i="2"/>
  <c r="E8472" i="2"/>
  <c r="A8473" i="2"/>
  <c r="B8473" i="2"/>
  <c r="E8473" i="2"/>
  <c r="A8474" i="2"/>
  <c r="B8474" i="2"/>
  <c r="E8474" i="2"/>
  <c r="A8475" i="2"/>
  <c r="B8475" i="2"/>
  <c r="E8475" i="2"/>
  <c r="A8476" i="2"/>
  <c r="B8476" i="2"/>
  <c r="E8476" i="2"/>
  <c r="A8477" i="2"/>
  <c r="B8477" i="2"/>
  <c r="E8477" i="2"/>
  <c r="A8478" i="2"/>
  <c r="B8478" i="2"/>
  <c r="E8478" i="2"/>
  <c r="A8479" i="2"/>
  <c r="B8479" i="2"/>
  <c r="E8479" i="2"/>
  <c r="A8480" i="2"/>
  <c r="B8480" i="2"/>
  <c r="E8480" i="2"/>
  <c r="A8481" i="2"/>
  <c r="B8481" i="2"/>
  <c r="E8481" i="2"/>
  <c r="A8482" i="2"/>
  <c r="B8482" i="2"/>
  <c r="E8482" i="2"/>
  <c r="A8483" i="2"/>
  <c r="B8483" i="2"/>
  <c r="E8483" i="2"/>
  <c r="A8484" i="2"/>
  <c r="B8484" i="2"/>
  <c r="E8484" i="2"/>
  <c r="A8485" i="2"/>
  <c r="B8485" i="2"/>
  <c r="E8485" i="2"/>
  <c r="A8486" i="2"/>
  <c r="B8486" i="2"/>
  <c r="E8486" i="2"/>
  <c r="A8487" i="2"/>
  <c r="B8487" i="2"/>
  <c r="E8487" i="2"/>
  <c r="A8488" i="2"/>
  <c r="B8488" i="2"/>
  <c r="E8488" i="2"/>
  <c r="A8489" i="2"/>
  <c r="B8489" i="2"/>
  <c r="E8489" i="2"/>
  <c r="A8490" i="2"/>
  <c r="B8490" i="2"/>
  <c r="E8490" i="2"/>
  <c r="A8491" i="2"/>
  <c r="B8491" i="2"/>
  <c r="E8491" i="2"/>
  <c r="A8492" i="2"/>
  <c r="B8492" i="2"/>
  <c r="E8492" i="2"/>
  <c r="A8493" i="2"/>
  <c r="B8493" i="2"/>
  <c r="E8493" i="2"/>
  <c r="A8494" i="2"/>
  <c r="B8494" i="2"/>
  <c r="E8494" i="2"/>
  <c r="A8495" i="2"/>
  <c r="B8495" i="2"/>
  <c r="E8495" i="2"/>
  <c r="A8496" i="2"/>
  <c r="B8496" i="2"/>
  <c r="E8496" i="2"/>
  <c r="A8497" i="2"/>
  <c r="B8497" i="2"/>
  <c r="E8497" i="2"/>
  <c r="A8498" i="2"/>
  <c r="B8498" i="2"/>
  <c r="E8498" i="2"/>
  <c r="A8499" i="2"/>
  <c r="B8499" i="2"/>
  <c r="E8499" i="2"/>
  <c r="A8500" i="2"/>
  <c r="B8500" i="2"/>
  <c r="E8500" i="2"/>
  <c r="A8501" i="2"/>
  <c r="B8501" i="2"/>
  <c r="E8501" i="2"/>
  <c r="A8502" i="2"/>
  <c r="B8502" i="2"/>
  <c r="E8502" i="2"/>
  <c r="A8503" i="2"/>
  <c r="B8503" i="2"/>
  <c r="E8503" i="2"/>
  <c r="A8504" i="2"/>
  <c r="B8504" i="2"/>
  <c r="E8504" i="2"/>
  <c r="A8505" i="2"/>
  <c r="B8505" i="2"/>
  <c r="E8505" i="2"/>
  <c r="A8506" i="2"/>
  <c r="B8506" i="2"/>
  <c r="E8506" i="2"/>
  <c r="A8507" i="2"/>
  <c r="B8507" i="2"/>
  <c r="E8507" i="2"/>
  <c r="A8508" i="2"/>
  <c r="B8508" i="2"/>
  <c r="E8508" i="2"/>
  <c r="A8509" i="2"/>
  <c r="B8509" i="2"/>
  <c r="E8509" i="2"/>
  <c r="A8510" i="2"/>
  <c r="B8510" i="2"/>
  <c r="E8510" i="2"/>
  <c r="A8511" i="2"/>
  <c r="B8511" i="2"/>
  <c r="E8511" i="2"/>
  <c r="A8512" i="2"/>
  <c r="B8512" i="2"/>
  <c r="E8512" i="2"/>
  <c r="A8513" i="2"/>
  <c r="B8513" i="2"/>
  <c r="E8513" i="2"/>
  <c r="A8514" i="2"/>
  <c r="B8514" i="2"/>
  <c r="E8514" i="2"/>
  <c r="A8515" i="2"/>
  <c r="B8515" i="2"/>
  <c r="E8515" i="2"/>
  <c r="A8516" i="2"/>
  <c r="B8516" i="2"/>
  <c r="E8516" i="2"/>
  <c r="A8517" i="2"/>
  <c r="B8517" i="2"/>
  <c r="E8517" i="2"/>
  <c r="A8518" i="2"/>
  <c r="B8518" i="2"/>
  <c r="E8518" i="2"/>
  <c r="A8519" i="2"/>
  <c r="B8519" i="2"/>
  <c r="E8519" i="2"/>
  <c r="A8520" i="2"/>
  <c r="B8520" i="2"/>
  <c r="E8520" i="2"/>
  <c r="A8521" i="2"/>
  <c r="B8521" i="2"/>
  <c r="E8521" i="2"/>
  <c r="A8522" i="2"/>
  <c r="B8522" i="2"/>
  <c r="E8522" i="2"/>
  <c r="A8523" i="2"/>
  <c r="B8523" i="2"/>
  <c r="E8523" i="2"/>
  <c r="A8524" i="2"/>
  <c r="B8524" i="2"/>
  <c r="E8524" i="2"/>
  <c r="A8525" i="2"/>
  <c r="B8525" i="2"/>
  <c r="E8525" i="2"/>
  <c r="A8526" i="2"/>
  <c r="B8526" i="2"/>
  <c r="E8526" i="2"/>
  <c r="A8527" i="2"/>
  <c r="B8527" i="2"/>
  <c r="E8527" i="2"/>
  <c r="A8528" i="2"/>
  <c r="B8528" i="2"/>
  <c r="E8528" i="2"/>
  <c r="A8529" i="2"/>
  <c r="B8529" i="2"/>
  <c r="E8529" i="2"/>
  <c r="A8530" i="2"/>
  <c r="B8530" i="2"/>
  <c r="E8530" i="2"/>
  <c r="A8531" i="2"/>
  <c r="B8531" i="2"/>
  <c r="E8531" i="2"/>
  <c r="A8532" i="2"/>
  <c r="B8532" i="2"/>
  <c r="E8532" i="2"/>
  <c r="A8533" i="2"/>
  <c r="B8533" i="2"/>
  <c r="E8533" i="2"/>
  <c r="A8534" i="2"/>
  <c r="B8534" i="2"/>
  <c r="E8534" i="2"/>
  <c r="A8535" i="2"/>
  <c r="B8535" i="2"/>
  <c r="E8535" i="2"/>
  <c r="A8536" i="2"/>
  <c r="B8536" i="2"/>
  <c r="E8536" i="2"/>
  <c r="A8537" i="2"/>
  <c r="B8537" i="2"/>
  <c r="E8537" i="2"/>
  <c r="A8538" i="2"/>
  <c r="B8538" i="2"/>
  <c r="E8538" i="2"/>
  <c r="A8539" i="2"/>
  <c r="B8539" i="2"/>
  <c r="E8539" i="2"/>
  <c r="A8540" i="2"/>
  <c r="B8540" i="2"/>
  <c r="E8540" i="2"/>
  <c r="A8541" i="2"/>
  <c r="B8541" i="2"/>
  <c r="E8541" i="2"/>
  <c r="A8542" i="2"/>
  <c r="B8542" i="2"/>
  <c r="E8542" i="2"/>
  <c r="A8543" i="2"/>
  <c r="B8543" i="2"/>
  <c r="E8543" i="2"/>
  <c r="A8544" i="2"/>
  <c r="B8544" i="2"/>
  <c r="E8544" i="2"/>
  <c r="A8545" i="2"/>
  <c r="B8545" i="2"/>
  <c r="E8545" i="2"/>
  <c r="A8546" i="2"/>
  <c r="B8546" i="2"/>
  <c r="E8546" i="2"/>
  <c r="A8547" i="2"/>
  <c r="B8547" i="2"/>
  <c r="E8547" i="2"/>
  <c r="A8548" i="2"/>
  <c r="B8548" i="2"/>
  <c r="E8548" i="2"/>
  <c r="A8549" i="2"/>
  <c r="B8549" i="2"/>
  <c r="E8549" i="2"/>
  <c r="A8550" i="2"/>
  <c r="B8550" i="2"/>
  <c r="E8550" i="2"/>
  <c r="A8551" i="2"/>
  <c r="B8551" i="2"/>
  <c r="E8551" i="2"/>
  <c r="A8552" i="2"/>
  <c r="B8552" i="2"/>
  <c r="E8552" i="2"/>
  <c r="A8553" i="2"/>
  <c r="B8553" i="2"/>
  <c r="E8553" i="2"/>
  <c r="A8554" i="2"/>
  <c r="B8554" i="2"/>
  <c r="E8554" i="2"/>
  <c r="A8555" i="2"/>
  <c r="B8555" i="2"/>
  <c r="E8555" i="2"/>
  <c r="A8556" i="2"/>
  <c r="B8556" i="2"/>
  <c r="E8556" i="2"/>
  <c r="A8557" i="2"/>
  <c r="B8557" i="2"/>
  <c r="E8557" i="2"/>
  <c r="A8558" i="2"/>
  <c r="B8558" i="2"/>
  <c r="E8558" i="2"/>
  <c r="A8559" i="2"/>
  <c r="B8559" i="2"/>
  <c r="E8559" i="2"/>
  <c r="A8560" i="2"/>
  <c r="B8560" i="2"/>
  <c r="E8560" i="2"/>
  <c r="A8561" i="2"/>
  <c r="B8561" i="2"/>
  <c r="E8561" i="2"/>
  <c r="A8562" i="2"/>
  <c r="B8562" i="2"/>
  <c r="E8562" i="2"/>
  <c r="A8563" i="2"/>
  <c r="B8563" i="2"/>
  <c r="E8563" i="2"/>
  <c r="A8564" i="2"/>
  <c r="B8564" i="2"/>
  <c r="E8564" i="2"/>
  <c r="A8565" i="2"/>
  <c r="B8565" i="2"/>
  <c r="E8565" i="2"/>
  <c r="A8566" i="2"/>
  <c r="B8566" i="2"/>
  <c r="E8566" i="2"/>
  <c r="A8567" i="2"/>
  <c r="B8567" i="2"/>
  <c r="E8567" i="2"/>
  <c r="A8568" i="2"/>
  <c r="B8568" i="2"/>
  <c r="E8568" i="2"/>
  <c r="A8569" i="2"/>
  <c r="B8569" i="2"/>
  <c r="E8569" i="2"/>
  <c r="A8570" i="2"/>
  <c r="B8570" i="2"/>
  <c r="E8570" i="2"/>
  <c r="A8571" i="2"/>
  <c r="B8571" i="2"/>
  <c r="E8571" i="2"/>
  <c r="A8572" i="2"/>
  <c r="B8572" i="2"/>
  <c r="E8572" i="2"/>
  <c r="A8573" i="2"/>
  <c r="B8573" i="2"/>
  <c r="E8573" i="2"/>
  <c r="A8574" i="2"/>
  <c r="B8574" i="2"/>
  <c r="E8574" i="2"/>
  <c r="A8575" i="2"/>
  <c r="B8575" i="2"/>
  <c r="E8575" i="2"/>
  <c r="A8576" i="2"/>
  <c r="B8576" i="2"/>
  <c r="E8576" i="2"/>
  <c r="A8577" i="2"/>
  <c r="B8577" i="2"/>
  <c r="E8577" i="2"/>
  <c r="A8578" i="2"/>
  <c r="B8578" i="2"/>
  <c r="E8578" i="2"/>
  <c r="A8579" i="2"/>
  <c r="B8579" i="2"/>
  <c r="E8579" i="2"/>
  <c r="A8580" i="2"/>
  <c r="B8580" i="2"/>
  <c r="E8580" i="2"/>
  <c r="A8581" i="2"/>
  <c r="B8581" i="2"/>
  <c r="E8581" i="2"/>
  <c r="A8582" i="2"/>
  <c r="B8582" i="2"/>
  <c r="E8582" i="2"/>
  <c r="A8583" i="2"/>
  <c r="B8583" i="2"/>
  <c r="E8583" i="2"/>
  <c r="A8584" i="2"/>
  <c r="B8584" i="2"/>
  <c r="E8584" i="2"/>
  <c r="A8585" i="2"/>
  <c r="B8585" i="2"/>
  <c r="E8585" i="2"/>
  <c r="A8586" i="2"/>
  <c r="B8586" i="2"/>
  <c r="E8586" i="2"/>
  <c r="A8587" i="2"/>
  <c r="B8587" i="2"/>
  <c r="E8587" i="2"/>
  <c r="A8588" i="2"/>
  <c r="B8588" i="2"/>
  <c r="E8588" i="2"/>
  <c r="A8589" i="2"/>
  <c r="B8589" i="2"/>
  <c r="E8589" i="2"/>
  <c r="A8590" i="2"/>
  <c r="B8590" i="2"/>
  <c r="E8590" i="2"/>
  <c r="A8591" i="2"/>
  <c r="B8591" i="2"/>
  <c r="E8591" i="2"/>
  <c r="A8592" i="2"/>
  <c r="B8592" i="2"/>
  <c r="E8592" i="2"/>
  <c r="A8593" i="2"/>
  <c r="B8593" i="2"/>
  <c r="E8593" i="2"/>
  <c r="A8594" i="2"/>
  <c r="B8594" i="2"/>
  <c r="E8594" i="2"/>
  <c r="A8595" i="2"/>
  <c r="B8595" i="2"/>
  <c r="E8595" i="2"/>
  <c r="A8596" i="2"/>
  <c r="B8596" i="2"/>
  <c r="E8596" i="2"/>
  <c r="A8597" i="2"/>
  <c r="B8597" i="2"/>
  <c r="E8597" i="2"/>
  <c r="A8598" i="2"/>
  <c r="B8598" i="2"/>
  <c r="E8598" i="2"/>
  <c r="A8599" i="2"/>
  <c r="B8599" i="2"/>
  <c r="E8599" i="2"/>
  <c r="A8600" i="2"/>
  <c r="B8600" i="2"/>
  <c r="E8600" i="2"/>
  <c r="A8601" i="2"/>
  <c r="B8601" i="2"/>
  <c r="E8601" i="2"/>
  <c r="A8602" i="2"/>
  <c r="B8602" i="2"/>
  <c r="E8602" i="2"/>
  <c r="A8603" i="2"/>
  <c r="B8603" i="2"/>
  <c r="E8603" i="2"/>
  <c r="A8604" i="2"/>
  <c r="B8604" i="2"/>
  <c r="E8604" i="2"/>
  <c r="A8605" i="2"/>
  <c r="B8605" i="2"/>
  <c r="E8605" i="2"/>
  <c r="A8606" i="2"/>
  <c r="B8606" i="2"/>
  <c r="E8606" i="2"/>
  <c r="A8607" i="2"/>
  <c r="B8607" i="2"/>
  <c r="E8607" i="2"/>
  <c r="A8608" i="2"/>
  <c r="B8608" i="2"/>
  <c r="E8608" i="2"/>
  <c r="A8609" i="2"/>
  <c r="B8609" i="2"/>
  <c r="E8609" i="2"/>
  <c r="A8610" i="2"/>
  <c r="B8610" i="2"/>
  <c r="E8610" i="2"/>
  <c r="A8611" i="2"/>
  <c r="B8611" i="2"/>
  <c r="E8611" i="2"/>
  <c r="A8612" i="2"/>
  <c r="B8612" i="2"/>
  <c r="E8612" i="2"/>
  <c r="A8613" i="2"/>
  <c r="B8613" i="2"/>
  <c r="E8613" i="2"/>
  <c r="A8614" i="2"/>
  <c r="B8614" i="2"/>
  <c r="E8614" i="2"/>
  <c r="A8615" i="2"/>
  <c r="B8615" i="2"/>
  <c r="E8615" i="2"/>
  <c r="A8616" i="2"/>
  <c r="B8616" i="2"/>
  <c r="E8616" i="2"/>
  <c r="A8617" i="2"/>
  <c r="B8617" i="2"/>
  <c r="E8617" i="2"/>
  <c r="A8618" i="2"/>
  <c r="B8618" i="2"/>
  <c r="E8618" i="2"/>
  <c r="A8619" i="2"/>
  <c r="B8619" i="2"/>
  <c r="E8619" i="2"/>
  <c r="A8620" i="2"/>
  <c r="B8620" i="2"/>
  <c r="E8620" i="2"/>
  <c r="A8621" i="2"/>
  <c r="B8621" i="2"/>
  <c r="E8621" i="2"/>
  <c r="A8622" i="2"/>
  <c r="B8622" i="2"/>
  <c r="E8622" i="2"/>
  <c r="A8623" i="2"/>
  <c r="B8623" i="2"/>
  <c r="E8623" i="2"/>
  <c r="A8624" i="2"/>
  <c r="B8624" i="2"/>
  <c r="E8624" i="2"/>
  <c r="A8625" i="2"/>
  <c r="B8625" i="2"/>
  <c r="E8625" i="2"/>
  <c r="A8626" i="2"/>
  <c r="B8626" i="2"/>
  <c r="E8626" i="2"/>
  <c r="A8627" i="2"/>
  <c r="B8627" i="2"/>
  <c r="E8627" i="2"/>
  <c r="A8628" i="2"/>
  <c r="B8628" i="2"/>
  <c r="E8628" i="2"/>
  <c r="A8629" i="2"/>
  <c r="B8629" i="2"/>
  <c r="E8629" i="2"/>
  <c r="A8630" i="2"/>
  <c r="B8630" i="2"/>
  <c r="E8630" i="2"/>
  <c r="A8631" i="2"/>
  <c r="B8631" i="2"/>
  <c r="E8631" i="2"/>
  <c r="A8632" i="2"/>
  <c r="B8632" i="2"/>
  <c r="E8632" i="2"/>
  <c r="A8633" i="2"/>
  <c r="B8633" i="2"/>
  <c r="E8633" i="2"/>
  <c r="A8634" i="2"/>
  <c r="B8634" i="2"/>
  <c r="E8634" i="2"/>
  <c r="A8635" i="2"/>
  <c r="B8635" i="2"/>
  <c r="E8635" i="2"/>
  <c r="A8636" i="2"/>
  <c r="B8636" i="2"/>
  <c r="E8636" i="2"/>
  <c r="A8637" i="2"/>
  <c r="B8637" i="2"/>
  <c r="E8637" i="2"/>
  <c r="A8638" i="2"/>
  <c r="B8638" i="2"/>
  <c r="E8638" i="2"/>
  <c r="A8639" i="2"/>
  <c r="B8639" i="2"/>
  <c r="E8639" i="2"/>
  <c r="A8640" i="2"/>
  <c r="B8640" i="2"/>
  <c r="E8640" i="2"/>
  <c r="A8641" i="2"/>
  <c r="B8641" i="2"/>
  <c r="E8641" i="2"/>
  <c r="A8642" i="2"/>
  <c r="B8642" i="2"/>
  <c r="E8642" i="2"/>
  <c r="A8643" i="2"/>
  <c r="B8643" i="2"/>
  <c r="E8643" i="2"/>
  <c r="A8644" i="2"/>
  <c r="B8644" i="2"/>
  <c r="E8644" i="2"/>
  <c r="A8645" i="2"/>
  <c r="B8645" i="2"/>
  <c r="E8645" i="2"/>
  <c r="A8646" i="2"/>
  <c r="B8646" i="2"/>
  <c r="E8646" i="2"/>
  <c r="A8647" i="2"/>
  <c r="B8647" i="2"/>
  <c r="E8647" i="2"/>
  <c r="A8648" i="2"/>
  <c r="B8648" i="2"/>
  <c r="E8648" i="2"/>
  <c r="A8649" i="2"/>
  <c r="B8649" i="2"/>
  <c r="E8649" i="2"/>
  <c r="A8650" i="2"/>
  <c r="B8650" i="2"/>
  <c r="E8650" i="2"/>
  <c r="A8651" i="2"/>
  <c r="B8651" i="2"/>
  <c r="E8651" i="2"/>
  <c r="A8652" i="2"/>
  <c r="B8652" i="2"/>
  <c r="E8652" i="2"/>
  <c r="A8653" i="2"/>
  <c r="B8653" i="2"/>
  <c r="E8653" i="2"/>
  <c r="A8654" i="2"/>
  <c r="B8654" i="2"/>
  <c r="E8654" i="2"/>
  <c r="A8655" i="2"/>
  <c r="B8655" i="2"/>
  <c r="E8655" i="2"/>
  <c r="A8656" i="2"/>
  <c r="B8656" i="2"/>
  <c r="E8656" i="2"/>
  <c r="A8657" i="2"/>
  <c r="B8657" i="2"/>
  <c r="E8657" i="2"/>
  <c r="A8658" i="2"/>
  <c r="B8658" i="2"/>
  <c r="E8658" i="2"/>
  <c r="A8659" i="2"/>
  <c r="B8659" i="2"/>
  <c r="E8659" i="2"/>
  <c r="A8660" i="2"/>
  <c r="B8660" i="2"/>
  <c r="E8660" i="2"/>
  <c r="A8661" i="2"/>
  <c r="B8661" i="2"/>
  <c r="E8661" i="2"/>
  <c r="A8662" i="2"/>
  <c r="B8662" i="2"/>
  <c r="E8662" i="2"/>
  <c r="A8663" i="2"/>
  <c r="B8663" i="2"/>
  <c r="E8663" i="2"/>
  <c r="A8664" i="2"/>
  <c r="B8664" i="2"/>
  <c r="E8664" i="2"/>
  <c r="A8665" i="2"/>
  <c r="B8665" i="2"/>
  <c r="E8665" i="2"/>
  <c r="A8666" i="2"/>
  <c r="B8666" i="2"/>
  <c r="E8666" i="2"/>
  <c r="A8667" i="2"/>
  <c r="B8667" i="2"/>
  <c r="E8667" i="2"/>
  <c r="A8668" i="2"/>
  <c r="B8668" i="2"/>
  <c r="E8668" i="2"/>
  <c r="A8669" i="2"/>
  <c r="B8669" i="2"/>
  <c r="E8669" i="2"/>
  <c r="A8670" i="2"/>
  <c r="B8670" i="2"/>
  <c r="E8670" i="2"/>
  <c r="A8671" i="2"/>
  <c r="B8671" i="2"/>
  <c r="E8671" i="2"/>
  <c r="A8672" i="2"/>
  <c r="B8672" i="2"/>
  <c r="E8672" i="2"/>
  <c r="A8673" i="2"/>
  <c r="B8673" i="2"/>
  <c r="E8673" i="2"/>
  <c r="A8674" i="2"/>
  <c r="B8674" i="2"/>
  <c r="E8674" i="2"/>
  <c r="A8675" i="2"/>
  <c r="B8675" i="2"/>
  <c r="E8675" i="2"/>
  <c r="A8676" i="2"/>
  <c r="B8676" i="2"/>
  <c r="E8676" i="2"/>
  <c r="A8677" i="2"/>
  <c r="B8677" i="2"/>
  <c r="E8677" i="2"/>
  <c r="A8678" i="2"/>
  <c r="B8678" i="2"/>
  <c r="E8678" i="2"/>
  <c r="A8679" i="2"/>
  <c r="B8679" i="2"/>
  <c r="E8679" i="2"/>
  <c r="A8680" i="2"/>
  <c r="B8680" i="2"/>
  <c r="E8680" i="2"/>
  <c r="A8681" i="2"/>
  <c r="B8681" i="2"/>
  <c r="E8681" i="2"/>
  <c r="A8682" i="2"/>
  <c r="B8682" i="2"/>
  <c r="E8682" i="2"/>
  <c r="A8683" i="2"/>
  <c r="B8683" i="2"/>
  <c r="E8683" i="2"/>
  <c r="A8684" i="2"/>
  <c r="B8684" i="2"/>
  <c r="E8684" i="2"/>
  <c r="A8685" i="2"/>
  <c r="B8685" i="2"/>
  <c r="E8685" i="2"/>
  <c r="A8686" i="2"/>
  <c r="B8686" i="2"/>
  <c r="E8686" i="2"/>
  <c r="A8687" i="2"/>
  <c r="B8687" i="2"/>
  <c r="E8687" i="2"/>
  <c r="A8688" i="2"/>
  <c r="B8688" i="2"/>
  <c r="E8688" i="2"/>
  <c r="A8689" i="2"/>
  <c r="B8689" i="2"/>
  <c r="E8689" i="2"/>
  <c r="A8690" i="2"/>
  <c r="B8690" i="2"/>
  <c r="E8690" i="2"/>
  <c r="A8691" i="2"/>
  <c r="B8691" i="2"/>
  <c r="E8691" i="2"/>
  <c r="A8692" i="2"/>
  <c r="B8692" i="2"/>
  <c r="E8692" i="2"/>
  <c r="A8693" i="2"/>
  <c r="B8693" i="2"/>
  <c r="E8693" i="2"/>
  <c r="A8694" i="2"/>
  <c r="B8694" i="2"/>
  <c r="E8694" i="2"/>
  <c r="A8695" i="2"/>
  <c r="B8695" i="2"/>
  <c r="E8695" i="2"/>
  <c r="A8696" i="2"/>
  <c r="B8696" i="2"/>
  <c r="E8696" i="2"/>
  <c r="A8697" i="2"/>
  <c r="B8697" i="2"/>
  <c r="E8697" i="2"/>
  <c r="A8698" i="2"/>
  <c r="B8698" i="2"/>
  <c r="E8698" i="2"/>
  <c r="A8699" i="2"/>
  <c r="B8699" i="2"/>
  <c r="E8699" i="2"/>
  <c r="A8700" i="2"/>
  <c r="B8700" i="2"/>
  <c r="E8700" i="2"/>
  <c r="A8701" i="2"/>
  <c r="B8701" i="2"/>
  <c r="E8701" i="2"/>
  <c r="A8702" i="2"/>
  <c r="B8702" i="2"/>
  <c r="E8702" i="2"/>
  <c r="A8703" i="2"/>
  <c r="B8703" i="2"/>
  <c r="E8703" i="2"/>
  <c r="A8704" i="2"/>
  <c r="B8704" i="2"/>
  <c r="E8704" i="2"/>
  <c r="A8705" i="2"/>
  <c r="B8705" i="2"/>
  <c r="E8705" i="2"/>
  <c r="A8706" i="2"/>
  <c r="B8706" i="2"/>
  <c r="E8706" i="2"/>
  <c r="A8707" i="2"/>
  <c r="B8707" i="2"/>
  <c r="E8707" i="2"/>
  <c r="A8708" i="2"/>
  <c r="B8708" i="2"/>
  <c r="E8708" i="2"/>
  <c r="A8709" i="2"/>
  <c r="B8709" i="2"/>
  <c r="E8709" i="2"/>
  <c r="A8710" i="2"/>
  <c r="B8710" i="2"/>
  <c r="E8710" i="2"/>
  <c r="A8711" i="2"/>
  <c r="B8711" i="2"/>
  <c r="E8711" i="2"/>
  <c r="A8712" i="2"/>
  <c r="B8712" i="2"/>
  <c r="E8712" i="2"/>
  <c r="A8713" i="2"/>
  <c r="B8713" i="2"/>
  <c r="E8713" i="2"/>
  <c r="A8714" i="2"/>
  <c r="B8714" i="2"/>
  <c r="E8714" i="2"/>
  <c r="A8715" i="2"/>
  <c r="B8715" i="2"/>
  <c r="E8715" i="2"/>
  <c r="A8716" i="2"/>
  <c r="B8716" i="2"/>
  <c r="E8716" i="2"/>
  <c r="A8717" i="2"/>
  <c r="B8717" i="2"/>
  <c r="E8717" i="2"/>
  <c r="A8718" i="2"/>
  <c r="B8718" i="2"/>
  <c r="E8718" i="2"/>
  <c r="A8719" i="2"/>
  <c r="B8719" i="2"/>
  <c r="E8719" i="2"/>
  <c r="A8720" i="2"/>
  <c r="B8720" i="2"/>
  <c r="E8720" i="2"/>
  <c r="A8721" i="2"/>
  <c r="B8721" i="2"/>
  <c r="E8721" i="2"/>
  <c r="A8722" i="2"/>
  <c r="B8722" i="2"/>
  <c r="E8722" i="2"/>
  <c r="A8723" i="2"/>
  <c r="B8723" i="2"/>
  <c r="E8723" i="2"/>
  <c r="A8724" i="2"/>
  <c r="B8724" i="2"/>
  <c r="E8724" i="2"/>
  <c r="A8725" i="2"/>
  <c r="B8725" i="2"/>
  <c r="E8725" i="2"/>
  <c r="A8726" i="2"/>
  <c r="B8726" i="2"/>
  <c r="E8726" i="2"/>
  <c r="A8727" i="2"/>
  <c r="B8727" i="2"/>
  <c r="E8727" i="2"/>
  <c r="A8728" i="2"/>
  <c r="B8728" i="2"/>
  <c r="E8728" i="2"/>
  <c r="A8729" i="2"/>
  <c r="B8729" i="2"/>
  <c r="E8729" i="2"/>
  <c r="A8730" i="2"/>
  <c r="B8730" i="2"/>
  <c r="E8730" i="2"/>
  <c r="A8731" i="2"/>
  <c r="B8731" i="2"/>
  <c r="E8731" i="2"/>
  <c r="A8732" i="2"/>
  <c r="B8732" i="2"/>
  <c r="E8732" i="2"/>
  <c r="A8733" i="2"/>
  <c r="B8733" i="2"/>
  <c r="E8733" i="2"/>
  <c r="A8734" i="2"/>
  <c r="B8734" i="2"/>
  <c r="E8734" i="2"/>
  <c r="A8735" i="2"/>
  <c r="B8735" i="2"/>
  <c r="E8735" i="2"/>
  <c r="A8736" i="2"/>
  <c r="B8736" i="2"/>
  <c r="E8736" i="2"/>
  <c r="A8737" i="2"/>
  <c r="B8737" i="2"/>
  <c r="E8737" i="2"/>
  <c r="A8738" i="2"/>
  <c r="B8738" i="2"/>
  <c r="E8738" i="2"/>
  <c r="A8739" i="2"/>
  <c r="B8739" i="2"/>
  <c r="E8739" i="2"/>
  <c r="A8740" i="2"/>
  <c r="B8740" i="2"/>
  <c r="E8740" i="2"/>
  <c r="A8741" i="2"/>
  <c r="B8741" i="2"/>
  <c r="E8741" i="2"/>
  <c r="A8742" i="2"/>
  <c r="B8742" i="2"/>
  <c r="E8742" i="2"/>
  <c r="A8743" i="2"/>
  <c r="B8743" i="2"/>
  <c r="E8743" i="2"/>
  <c r="A8744" i="2"/>
  <c r="B8744" i="2"/>
  <c r="E8744" i="2"/>
  <c r="A8745" i="2"/>
  <c r="B8745" i="2"/>
  <c r="E8745" i="2"/>
  <c r="A8746" i="2"/>
  <c r="B8746" i="2"/>
  <c r="E8746" i="2"/>
  <c r="A8747" i="2"/>
  <c r="B8747" i="2"/>
  <c r="E8747" i="2"/>
  <c r="A8748" i="2"/>
  <c r="B8748" i="2"/>
  <c r="E8748" i="2"/>
  <c r="A8749" i="2"/>
  <c r="B8749" i="2"/>
  <c r="E8749" i="2"/>
  <c r="A8750" i="2"/>
  <c r="B8750" i="2"/>
  <c r="E8750" i="2"/>
  <c r="A8751" i="2"/>
  <c r="B8751" i="2"/>
  <c r="E8751" i="2"/>
  <c r="A8752" i="2"/>
  <c r="B8752" i="2"/>
  <c r="E8752" i="2"/>
  <c r="A8753" i="2"/>
  <c r="B8753" i="2"/>
  <c r="E8753" i="2"/>
  <c r="A8754" i="2"/>
  <c r="B8754" i="2"/>
  <c r="E8754" i="2"/>
  <c r="A8755" i="2"/>
  <c r="B8755" i="2"/>
  <c r="E8755" i="2"/>
  <c r="A8756" i="2"/>
  <c r="B8756" i="2"/>
  <c r="E8756" i="2"/>
  <c r="A8757" i="2"/>
  <c r="B8757" i="2"/>
  <c r="E8757" i="2"/>
  <c r="A8758" i="2"/>
  <c r="B8758" i="2"/>
  <c r="E8758" i="2"/>
  <c r="A8759" i="2"/>
  <c r="B8759" i="2"/>
  <c r="E8759" i="2"/>
  <c r="A8760" i="2"/>
  <c r="B8760" i="2"/>
  <c r="E8760" i="2"/>
  <c r="A8761" i="2"/>
  <c r="B8761" i="2"/>
  <c r="E8761" i="2"/>
  <c r="A8762" i="2"/>
  <c r="B8762" i="2"/>
  <c r="E8762" i="2"/>
  <c r="A8763" i="2"/>
  <c r="B8763" i="2"/>
  <c r="E8763" i="2"/>
  <c r="A8764" i="2"/>
  <c r="B8764" i="2"/>
  <c r="E8764" i="2"/>
  <c r="A8765" i="2"/>
  <c r="B8765" i="2"/>
  <c r="E8765" i="2"/>
  <c r="A8766" i="2"/>
  <c r="B8766" i="2"/>
  <c r="E8766" i="2"/>
  <c r="A8767" i="2"/>
  <c r="B8767" i="2"/>
  <c r="E8767" i="2"/>
  <c r="A8768" i="2"/>
  <c r="B8768" i="2"/>
  <c r="E8768" i="2"/>
  <c r="A8769" i="2"/>
  <c r="B8769" i="2"/>
  <c r="E8769" i="2"/>
  <c r="A8770" i="2"/>
  <c r="B8770" i="2"/>
  <c r="E8770" i="2"/>
  <c r="A8771" i="2"/>
  <c r="B8771" i="2"/>
  <c r="E8771" i="2"/>
  <c r="A8772" i="2"/>
  <c r="B8772" i="2"/>
  <c r="E8772" i="2"/>
  <c r="A8773" i="2"/>
  <c r="B8773" i="2"/>
  <c r="E8773" i="2"/>
  <c r="A8774" i="2"/>
  <c r="B8774" i="2"/>
  <c r="E8774" i="2"/>
  <c r="A8775" i="2"/>
  <c r="B8775" i="2"/>
  <c r="E8775" i="2"/>
  <c r="A8776" i="2"/>
  <c r="B8776" i="2"/>
  <c r="E8776" i="2"/>
  <c r="A8777" i="2"/>
  <c r="B8777" i="2"/>
  <c r="E8777" i="2"/>
  <c r="A8778" i="2"/>
  <c r="B8778" i="2"/>
  <c r="E8778" i="2"/>
  <c r="A8779" i="2"/>
  <c r="B8779" i="2"/>
  <c r="E8779" i="2"/>
  <c r="A8780" i="2"/>
  <c r="B8780" i="2"/>
  <c r="E8780" i="2"/>
  <c r="A8781" i="2"/>
  <c r="B8781" i="2"/>
  <c r="E8781" i="2"/>
  <c r="A8782" i="2"/>
  <c r="B8782" i="2"/>
  <c r="E8782" i="2"/>
  <c r="A8783" i="2"/>
  <c r="B8783" i="2"/>
  <c r="E8783" i="2"/>
  <c r="A8784" i="2"/>
  <c r="B8784" i="2"/>
  <c r="E8784" i="2"/>
  <c r="A8785" i="2"/>
  <c r="B8785" i="2"/>
  <c r="E8785" i="2"/>
  <c r="A8786" i="2"/>
  <c r="B8786" i="2"/>
  <c r="E8786" i="2"/>
  <c r="A8787" i="2"/>
  <c r="B8787" i="2"/>
  <c r="E8787" i="2"/>
  <c r="A8788" i="2"/>
  <c r="B8788" i="2"/>
  <c r="E8788" i="2"/>
  <c r="A8789" i="2"/>
  <c r="B8789" i="2"/>
  <c r="E8789" i="2"/>
  <c r="A8790" i="2"/>
  <c r="B8790" i="2"/>
  <c r="E8790" i="2"/>
  <c r="A8791" i="2"/>
  <c r="B8791" i="2"/>
  <c r="E8791" i="2"/>
  <c r="A8792" i="2"/>
  <c r="B8792" i="2"/>
  <c r="E8792" i="2"/>
  <c r="A8793" i="2"/>
  <c r="B8793" i="2"/>
  <c r="E8793" i="2"/>
  <c r="A8794" i="2"/>
  <c r="B8794" i="2"/>
  <c r="E8794" i="2"/>
  <c r="A8795" i="2"/>
  <c r="B8795" i="2"/>
  <c r="E8795" i="2"/>
  <c r="A8796" i="2"/>
  <c r="B8796" i="2"/>
  <c r="E8796" i="2"/>
  <c r="A8797" i="2"/>
  <c r="B8797" i="2"/>
  <c r="E8797" i="2"/>
  <c r="A8798" i="2"/>
  <c r="B8798" i="2"/>
  <c r="E8798" i="2"/>
  <c r="A8799" i="2"/>
  <c r="B8799" i="2"/>
  <c r="E8799" i="2"/>
  <c r="A8800" i="2"/>
  <c r="B8800" i="2"/>
  <c r="E8800" i="2"/>
  <c r="A8801" i="2"/>
  <c r="B8801" i="2"/>
  <c r="E8801" i="2"/>
  <c r="A8802" i="2"/>
  <c r="B8802" i="2"/>
  <c r="E8802" i="2"/>
  <c r="A8803" i="2"/>
  <c r="B8803" i="2"/>
  <c r="E8803" i="2"/>
  <c r="A8804" i="2"/>
  <c r="B8804" i="2"/>
  <c r="E8804" i="2"/>
  <c r="A8805" i="2"/>
  <c r="B8805" i="2"/>
  <c r="E8805" i="2"/>
  <c r="A8806" i="2"/>
  <c r="B8806" i="2"/>
  <c r="E8806" i="2"/>
  <c r="A8807" i="2"/>
  <c r="B8807" i="2"/>
  <c r="E8807" i="2"/>
  <c r="A8808" i="2"/>
  <c r="B8808" i="2"/>
  <c r="E8808" i="2"/>
  <c r="A8809" i="2"/>
  <c r="B8809" i="2"/>
  <c r="E8809" i="2"/>
  <c r="A8810" i="2"/>
  <c r="B8810" i="2"/>
  <c r="E8810" i="2"/>
  <c r="A8811" i="2"/>
  <c r="B8811" i="2"/>
  <c r="E8811" i="2"/>
  <c r="A8812" i="2"/>
  <c r="B8812" i="2"/>
  <c r="E8812" i="2"/>
  <c r="A8813" i="2"/>
  <c r="B8813" i="2"/>
  <c r="E8813" i="2"/>
  <c r="A8814" i="2"/>
  <c r="B8814" i="2"/>
  <c r="E8814" i="2"/>
  <c r="A8815" i="2"/>
  <c r="B8815" i="2"/>
  <c r="E8815" i="2"/>
  <c r="A8816" i="2"/>
  <c r="B8816" i="2"/>
  <c r="E8816" i="2"/>
  <c r="A8817" i="2"/>
  <c r="B8817" i="2"/>
  <c r="E8817" i="2"/>
  <c r="A8818" i="2"/>
  <c r="B8818" i="2"/>
  <c r="E8818" i="2"/>
  <c r="A8819" i="2"/>
  <c r="B8819" i="2"/>
  <c r="E8819" i="2"/>
  <c r="A8820" i="2"/>
  <c r="B8820" i="2"/>
  <c r="E8820" i="2"/>
  <c r="A8821" i="2"/>
  <c r="B8821" i="2"/>
  <c r="E8821" i="2"/>
  <c r="A8822" i="2"/>
  <c r="B8822" i="2"/>
  <c r="E8822" i="2"/>
  <c r="A8823" i="2"/>
  <c r="B8823" i="2"/>
  <c r="E8823" i="2"/>
  <c r="A8824" i="2"/>
  <c r="B8824" i="2"/>
  <c r="E8824" i="2"/>
  <c r="A8825" i="2"/>
  <c r="B8825" i="2"/>
  <c r="E8825" i="2"/>
  <c r="A8826" i="2"/>
  <c r="B8826" i="2"/>
  <c r="E8826" i="2"/>
  <c r="A8827" i="2"/>
  <c r="B8827" i="2"/>
  <c r="E8827" i="2"/>
  <c r="A8828" i="2"/>
  <c r="B8828" i="2"/>
  <c r="E8828" i="2"/>
  <c r="A8829" i="2"/>
  <c r="B8829" i="2"/>
  <c r="E8829" i="2"/>
  <c r="A8830" i="2"/>
  <c r="B8830" i="2"/>
  <c r="E8830" i="2"/>
  <c r="A8831" i="2"/>
  <c r="B8831" i="2"/>
  <c r="E8831" i="2"/>
  <c r="A8832" i="2"/>
  <c r="B8832" i="2"/>
  <c r="E8832" i="2"/>
  <c r="A8833" i="2"/>
  <c r="B8833" i="2"/>
  <c r="E8833" i="2"/>
  <c r="A8834" i="2"/>
  <c r="B8834" i="2"/>
  <c r="E8834" i="2"/>
  <c r="A8835" i="2"/>
  <c r="B8835" i="2"/>
  <c r="E8835" i="2"/>
  <c r="A8836" i="2"/>
  <c r="B8836" i="2"/>
  <c r="E8836" i="2"/>
  <c r="A8837" i="2"/>
  <c r="B8837" i="2"/>
  <c r="E8837" i="2"/>
  <c r="A8838" i="2"/>
  <c r="B8838" i="2"/>
  <c r="E8838" i="2"/>
  <c r="A8839" i="2"/>
  <c r="B8839" i="2"/>
  <c r="E8839" i="2"/>
  <c r="A8840" i="2"/>
  <c r="B8840" i="2"/>
  <c r="E8840" i="2"/>
  <c r="A8841" i="2"/>
  <c r="B8841" i="2"/>
  <c r="E8841" i="2"/>
  <c r="A8842" i="2"/>
  <c r="B8842" i="2"/>
  <c r="E8842" i="2"/>
  <c r="A8843" i="2"/>
  <c r="B8843" i="2"/>
  <c r="E8843" i="2"/>
  <c r="A8844" i="2"/>
  <c r="B8844" i="2"/>
  <c r="E8844" i="2"/>
  <c r="A8845" i="2"/>
  <c r="B8845" i="2"/>
  <c r="E8845" i="2"/>
  <c r="A8846" i="2"/>
  <c r="B8846" i="2"/>
  <c r="E8846" i="2"/>
  <c r="A8847" i="2"/>
  <c r="B8847" i="2"/>
  <c r="E8847" i="2"/>
  <c r="A8848" i="2"/>
  <c r="B8848" i="2"/>
  <c r="E8848" i="2"/>
  <c r="A8849" i="2"/>
  <c r="B8849" i="2"/>
  <c r="E8849" i="2"/>
  <c r="A8850" i="2"/>
  <c r="B8850" i="2"/>
  <c r="E8850" i="2"/>
  <c r="A8851" i="2"/>
  <c r="B8851" i="2"/>
  <c r="E8851" i="2"/>
  <c r="A8852" i="2"/>
  <c r="B8852" i="2"/>
  <c r="E8852" i="2"/>
  <c r="A8853" i="2"/>
  <c r="B8853" i="2"/>
  <c r="E8853" i="2"/>
  <c r="A8854" i="2"/>
  <c r="B8854" i="2"/>
  <c r="E8854" i="2"/>
  <c r="A8855" i="2"/>
  <c r="B8855" i="2"/>
  <c r="E8855" i="2"/>
  <c r="A8856" i="2"/>
  <c r="B8856" i="2"/>
  <c r="E8856" i="2"/>
  <c r="A8857" i="2"/>
  <c r="B8857" i="2"/>
  <c r="E8857" i="2"/>
  <c r="A8858" i="2"/>
  <c r="B8858" i="2"/>
  <c r="E8858" i="2"/>
  <c r="A8859" i="2"/>
  <c r="B8859" i="2"/>
  <c r="E8859" i="2"/>
  <c r="A8860" i="2"/>
  <c r="B8860" i="2"/>
  <c r="E8860" i="2"/>
  <c r="A8861" i="2"/>
  <c r="B8861" i="2"/>
  <c r="E8861" i="2"/>
  <c r="A8862" i="2"/>
  <c r="B8862" i="2"/>
  <c r="E8862" i="2"/>
  <c r="A8863" i="2"/>
  <c r="B8863" i="2"/>
  <c r="E8863" i="2"/>
  <c r="A8864" i="2"/>
  <c r="B8864" i="2"/>
  <c r="E8864" i="2"/>
  <c r="A8865" i="2"/>
  <c r="B8865" i="2"/>
  <c r="E8865" i="2"/>
  <c r="A8866" i="2"/>
  <c r="B8866" i="2"/>
  <c r="E8866" i="2"/>
  <c r="A8867" i="2"/>
  <c r="B8867" i="2"/>
  <c r="E8867" i="2"/>
  <c r="A8868" i="2"/>
  <c r="B8868" i="2"/>
  <c r="E8868" i="2"/>
  <c r="A8869" i="2"/>
  <c r="B8869" i="2"/>
  <c r="E8869" i="2"/>
  <c r="A8870" i="2"/>
  <c r="B8870" i="2"/>
  <c r="E8870" i="2"/>
  <c r="A8871" i="2"/>
  <c r="B8871" i="2"/>
  <c r="E8871" i="2"/>
  <c r="A8872" i="2"/>
  <c r="B8872" i="2"/>
  <c r="E8872" i="2"/>
  <c r="A8873" i="2"/>
  <c r="B8873" i="2"/>
  <c r="E8873" i="2"/>
  <c r="A8874" i="2"/>
  <c r="B8874" i="2"/>
  <c r="E8874" i="2"/>
  <c r="A8875" i="2"/>
  <c r="B8875" i="2"/>
  <c r="E8875" i="2"/>
  <c r="A8876" i="2"/>
  <c r="B8876" i="2"/>
  <c r="E8876" i="2"/>
  <c r="A8877" i="2"/>
  <c r="B8877" i="2"/>
  <c r="E8877" i="2"/>
  <c r="A8878" i="2"/>
  <c r="B8878" i="2"/>
  <c r="E8878" i="2"/>
  <c r="A8879" i="2"/>
  <c r="B8879" i="2"/>
  <c r="E8879" i="2"/>
  <c r="A8880" i="2"/>
  <c r="B8880" i="2"/>
  <c r="E8880" i="2"/>
  <c r="A8881" i="2"/>
  <c r="B8881" i="2"/>
  <c r="E8881" i="2"/>
  <c r="A8882" i="2"/>
  <c r="B8882" i="2"/>
  <c r="E8882" i="2"/>
  <c r="A8883" i="2"/>
  <c r="B8883" i="2"/>
  <c r="E8883" i="2"/>
  <c r="A8884" i="2"/>
  <c r="B8884" i="2"/>
  <c r="E8884" i="2"/>
  <c r="A8885" i="2"/>
  <c r="B8885" i="2"/>
  <c r="E8885" i="2"/>
  <c r="A8886" i="2"/>
  <c r="B8886" i="2"/>
  <c r="E8886" i="2"/>
  <c r="A8887" i="2"/>
  <c r="B8887" i="2"/>
  <c r="E8887" i="2"/>
  <c r="A8888" i="2"/>
  <c r="B8888" i="2"/>
  <c r="E8888" i="2"/>
  <c r="A8889" i="2"/>
  <c r="B8889" i="2"/>
  <c r="E8889" i="2"/>
  <c r="A8890" i="2"/>
  <c r="B8890" i="2"/>
  <c r="E8890" i="2"/>
  <c r="A8891" i="2"/>
  <c r="B8891" i="2"/>
  <c r="E8891" i="2"/>
  <c r="A8892" i="2"/>
  <c r="B8892" i="2"/>
  <c r="E8892" i="2"/>
  <c r="A8893" i="2"/>
  <c r="B8893" i="2"/>
  <c r="E8893" i="2"/>
  <c r="A8894" i="2"/>
  <c r="B8894" i="2"/>
  <c r="E8894" i="2"/>
  <c r="A8895" i="2"/>
  <c r="B8895" i="2"/>
  <c r="E8895" i="2"/>
  <c r="A8896" i="2"/>
  <c r="B8896" i="2"/>
  <c r="E8896" i="2"/>
  <c r="A8897" i="2"/>
  <c r="B8897" i="2"/>
  <c r="E8897" i="2"/>
  <c r="A8898" i="2"/>
  <c r="B8898" i="2"/>
  <c r="E8898" i="2"/>
  <c r="A8899" i="2"/>
  <c r="B8899" i="2"/>
  <c r="E8899" i="2"/>
  <c r="A8900" i="2"/>
  <c r="B8900" i="2"/>
  <c r="E8900" i="2"/>
  <c r="A8901" i="2"/>
  <c r="B8901" i="2"/>
  <c r="E8901" i="2"/>
  <c r="A8902" i="2"/>
  <c r="B8902" i="2"/>
  <c r="E8902" i="2"/>
  <c r="A8903" i="2"/>
  <c r="B8903" i="2"/>
  <c r="E8903" i="2"/>
  <c r="A8904" i="2"/>
  <c r="B8904" i="2"/>
  <c r="E8904" i="2"/>
  <c r="A8905" i="2"/>
  <c r="B8905" i="2"/>
  <c r="E8905" i="2"/>
  <c r="A8906" i="2"/>
  <c r="B8906" i="2"/>
  <c r="E8906" i="2"/>
  <c r="A8907" i="2"/>
  <c r="B8907" i="2"/>
  <c r="E8907" i="2"/>
  <c r="A8908" i="2"/>
  <c r="B8908" i="2"/>
  <c r="E8908" i="2"/>
  <c r="A8909" i="2"/>
  <c r="B8909" i="2"/>
  <c r="E8909" i="2"/>
  <c r="A8910" i="2"/>
  <c r="B8910" i="2"/>
  <c r="E8910" i="2"/>
  <c r="A8911" i="2"/>
  <c r="B8911" i="2"/>
  <c r="E8911" i="2"/>
  <c r="A8912" i="2"/>
  <c r="B8912" i="2"/>
  <c r="E8912" i="2"/>
  <c r="A8913" i="2"/>
  <c r="B8913" i="2"/>
  <c r="E8913" i="2"/>
  <c r="A8914" i="2"/>
  <c r="B8914" i="2"/>
  <c r="E8914" i="2"/>
  <c r="A8915" i="2"/>
  <c r="B8915" i="2"/>
  <c r="E8915" i="2"/>
  <c r="A8916" i="2"/>
  <c r="B8916" i="2"/>
  <c r="E8916" i="2"/>
  <c r="A8917" i="2"/>
  <c r="B8917" i="2"/>
  <c r="E8917" i="2"/>
  <c r="A8918" i="2"/>
  <c r="B8918" i="2"/>
  <c r="E8918" i="2"/>
  <c r="A8919" i="2"/>
  <c r="B8919" i="2"/>
  <c r="E8919" i="2"/>
  <c r="A8920" i="2"/>
  <c r="B8920" i="2"/>
  <c r="E8920" i="2"/>
  <c r="A8921" i="2"/>
  <c r="B8921" i="2"/>
  <c r="E8921" i="2"/>
  <c r="A8922" i="2"/>
  <c r="B8922" i="2"/>
  <c r="E8922" i="2"/>
  <c r="A8923" i="2"/>
  <c r="B8923" i="2"/>
  <c r="E8923" i="2"/>
  <c r="A8924" i="2"/>
  <c r="B8924" i="2"/>
  <c r="E8924" i="2"/>
  <c r="A8925" i="2"/>
  <c r="B8925" i="2"/>
  <c r="E8925" i="2"/>
  <c r="A8926" i="2"/>
  <c r="B8926" i="2"/>
  <c r="E8926" i="2"/>
  <c r="A8927" i="2"/>
  <c r="B8927" i="2"/>
  <c r="E8927" i="2"/>
  <c r="A8928" i="2"/>
  <c r="B8928" i="2"/>
  <c r="E8928" i="2"/>
  <c r="A8929" i="2"/>
  <c r="B8929" i="2"/>
  <c r="E8929" i="2"/>
  <c r="A8930" i="2"/>
  <c r="B8930" i="2"/>
  <c r="E8930" i="2"/>
  <c r="A8931" i="2"/>
  <c r="B8931" i="2"/>
  <c r="E8931" i="2"/>
  <c r="A8932" i="2"/>
  <c r="B8932" i="2"/>
  <c r="E8932" i="2"/>
  <c r="A8933" i="2"/>
  <c r="B8933" i="2"/>
  <c r="E8933" i="2"/>
  <c r="A8934" i="2"/>
  <c r="B8934" i="2"/>
  <c r="E8934" i="2"/>
  <c r="A8935" i="2"/>
  <c r="B8935" i="2"/>
  <c r="E8935" i="2"/>
  <c r="A8936" i="2"/>
  <c r="B8936" i="2"/>
  <c r="E8936" i="2"/>
  <c r="A8937" i="2"/>
  <c r="B8937" i="2"/>
  <c r="E8937" i="2"/>
  <c r="A8938" i="2"/>
  <c r="B8938" i="2"/>
  <c r="E8938" i="2"/>
  <c r="A8939" i="2"/>
  <c r="B8939" i="2"/>
  <c r="E8939" i="2"/>
  <c r="A8940" i="2"/>
  <c r="B8940" i="2"/>
  <c r="E8940" i="2"/>
  <c r="A8941" i="2"/>
  <c r="B8941" i="2"/>
  <c r="E8941" i="2"/>
  <c r="A8942" i="2"/>
  <c r="B8942" i="2"/>
  <c r="E8942" i="2"/>
  <c r="A8943" i="2"/>
  <c r="B8943" i="2"/>
  <c r="E8943" i="2"/>
  <c r="A8944" i="2"/>
  <c r="B8944" i="2"/>
  <c r="E8944" i="2"/>
  <c r="A8945" i="2"/>
  <c r="B8945" i="2"/>
  <c r="E8945" i="2"/>
  <c r="A8946" i="2"/>
  <c r="B8946" i="2"/>
  <c r="E8946" i="2"/>
  <c r="A8947" i="2"/>
  <c r="B8947" i="2"/>
  <c r="E8947" i="2"/>
  <c r="A8948" i="2"/>
  <c r="B8948" i="2"/>
  <c r="E8948" i="2"/>
  <c r="A8949" i="2"/>
  <c r="B8949" i="2"/>
  <c r="E8949" i="2"/>
  <c r="A8950" i="2"/>
  <c r="B8950" i="2"/>
  <c r="E8950" i="2"/>
  <c r="A8951" i="2"/>
  <c r="B8951" i="2"/>
  <c r="E8951" i="2"/>
  <c r="A8952" i="2"/>
  <c r="B8952" i="2"/>
  <c r="E8952" i="2"/>
  <c r="A8953" i="2"/>
  <c r="B8953" i="2"/>
  <c r="E8953" i="2"/>
  <c r="A8954" i="2"/>
  <c r="B8954" i="2"/>
  <c r="E8954" i="2"/>
  <c r="A8955" i="2"/>
  <c r="B8955" i="2"/>
  <c r="E8955" i="2"/>
  <c r="A8956" i="2"/>
  <c r="B8956" i="2"/>
  <c r="E8956" i="2"/>
  <c r="A8957" i="2"/>
  <c r="B8957" i="2"/>
  <c r="E8957" i="2"/>
  <c r="A8958" i="2"/>
  <c r="B8958" i="2"/>
  <c r="E8958" i="2"/>
  <c r="A8959" i="2"/>
  <c r="B8959" i="2"/>
  <c r="E8959" i="2"/>
  <c r="A8960" i="2"/>
  <c r="B8960" i="2"/>
  <c r="E8960" i="2"/>
  <c r="A8961" i="2"/>
  <c r="B8961" i="2"/>
  <c r="E8961" i="2"/>
  <c r="A8962" i="2"/>
  <c r="B8962" i="2"/>
  <c r="E8962" i="2"/>
  <c r="A8963" i="2"/>
  <c r="B8963" i="2"/>
  <c r="E8963" i="2"/>
  <c r="A8964" i="2"/>
  <c r="B8964" i="2"/>
  <c r="E8964" i="2"/>
  <c r="A8965" i="2"/>
  <c r="B8965" i="2"/>
  <c r="E8965" i="2"/>
  <c r="A8966" i="2"/>
  <c r="B8966" i="2"/>
  <c r="E8966" i="2"/>
  <c r="A8967" i="2"/>
  <c r="B8967" i="2"/>
  <c r="E8967" i="2"/>
  <c r="A8968" i="2"/>
  <c r="B8968" i="2"/>
  <c r="E8968" i="2"/>
  <c r="A8969" i="2"/>
  <c r="B8969" i="2"/>
  <c r="E8969" i="2"/>
  <c r="A8970" i="2"/>
  <c r="B8970" i="2"/>
  <c r="E8970" i="2"/>
  <c r="A8971" i="2"/>
  <c r="B8971" i="2"/>
  <c r="E8971" i="2"/>
  <c r="A8972" i="2"/>
  <c r="B8972" i="2"/>
  <c r="E8972" i="2"/>
  <c r="A8973" i="2"/>
  <c r="B8973" i="2"/>
  <c r="E8973" i="2"/>
  <c r="A8974" i="2"/>
  <c r="B8974" i="2"/>
  <c r="E8974" i="2"/>
  <c r="A8975" i="2"/>
  <c r="B8975" i="2"/>
  <c r="E8975" i="2"/>
  <c r="A8976" i="2"/>
  <c r="B8976" i="2"/>
  <c r="E8976" i="2"/>
  <c r="A8977" i="2"/>
  <c r="B8977" i="2"/>
  <c r="E8977" i="2"/>
  <c r="A8978" i="2"/>
  <c r="B8978" i="2"/>
  <c r="E8978" i="2"/>
  <c r="A8979" i="2"/>
  <c r="B8979" i="2"/>
  <c r="E8979" i="2"/>
  <c r="A8980" i="2"/>
  <c r="B8980" i="2"/>
  <c r="E8980" i="2"/>
  <c r="A8981" i="2"/>
  <c r="B8981" i="2"/>
  <c r="E8981" i="2"/>
  <c r="A8982" i="2"/>
  <c r="B8982" i="2"/>
  <c r="E8982" i="2"/>
  <c r="A8983" i="2"/>
  <c r="B8983" i="2"/>
  <c r="E8983" i="2"/>
  <c r="A8984" i="2"/>
  <c r="B8984" i="2"/>
  <c r="E8984" i="2"/>
  <c r="A8985" i="2"/>
  <c r="B8985" i="2"/>
  <c r="E8985" i="2"/>
  <c r="A8986" i="2"/>
  <c r="B8986" i="2"/>
  <c r="E8986" i="2"/>
  <c r="A8987" i="2"/>
  <c r="B8987" i="2"/>
  <c r="E8987" i="2"/>
  <c r="A8988" i="2"/>
  <c r="B8988" i="2"/>
  <c r="E8988" i="2"/>
  <c r="A8989" i="2"/>
  <c r="B8989" i="2"/>
  <c r="E8989" i="2"/>
  <c r="A8990" i="2"/>
  <c r="B8990" i="2"/>
  <c r="E8990" i="2"/>
  <c r="A8991" i="2"/>
  <c r="B8991" i="2"/>
  <c r="E8991" i="2"/>
  <c r="A8992" i="2"/>
  <c r="B8992" i="2"/>
  <c r="E8992" i="2"/>
  <c r="A8993" i="2"/>
  <c r="B8993" i="2"/>
  <c r="E8993" i="2"/>
  <c r="A8994" i="2"/>
  <c r="B8994" i="2"/>
  <c r="E8994" i="2"/>
  <c r="A8995" i="2"/>
  <c r="B8995" i="2"/>
  <c r="E8995" i="2"/>
  <c r="A8996" i="2"/>
  <c r="B8996" i="2"/>
  <c r="E8996" i="2"/>
  <c r="A8997" i="2"/>
  <c r="B8997" i="2"/>
  <c r="E8997" i="2"/>
  <c r="A8998" i="2"/>
  <c r="B8998" i="2"/>
  <c r="E8998" i="2"/>
  <c r="A8999" i="2"/>
  <c r="B8999" i="2"/>
  <c r="E8999" i="2"/>
  <c r="A9000" i="2"/>
  <c r="B9000" i="2"/>
  <c r="E9000" i="2"/>
  <c r="A9001" i="2"/>
  <c r="B9001" i="2"/>
  <c r="E9001" i="2"/>
  <c r="A9002" i="2"/>
  <c r="B9002" i="2"/>
  <c r="E9002" i="2"/>
  <c r="A9003" i="2"/>
  <c r="B9003" i="2"/>
  <c r="E9003" i="2"/>
  <c r="A9004" i="2"/>
  <c r="B9004" i="2"/>
  <c r="E9004" i="2"/>
  <c r="A9005" i="2"/>
  <c r="B9005" i="2"/>
  <c r="E9005" i="2"/>
  <c r="A9006" i="2"/>
  <c r="B9006" i="2"/>
  <c r="E9006" i="2"/>
  <c r="A9007" i="2"/>
  <c r="B9007" i="2"/>
  <c r="E9007" i="2"/>
  <c r="A9008" i="2"/>
  <c r="B9008" i="2"/>
  <c r="E9008" i="2"/>
  <c r="A9009" i="2"/>
  <c r="B9009" i="2"/>
  <c r="E9009" i="2"/>
  <c r="A9010" i="2"/>
  <c r="B9010" i="2"/>
  <c r="E9010" i="2"/>
  <c r="A9011" i="2"/>
  <c r="B9011" i="2"/>
  <c r="E9011" i="2"/>
  <c r="A9012" i="2"/>
  <c r="B9012" i="2"/>
  <c r="E9012" i="2"/>
  <c r="A9013" i="2"/>
  <c r="B9013" i="2"/>
  <c r="E9013" i="2"/>
  <c r="A9014" i="2"/>
  <c r="B9014" i="2"/>
  <c r="E9014" i="2"/>
  <c r="A9015" i="2"/>
  <c r="B9015" i="2"/>
  <c r="E9015" i="2"/>
  <c r="A9016" i="2"/>
  <c r="B9016" i="2"/>
  <c r="E9016" i="2"/>
  <c r="A9017" i="2"/>
  <c r="B9017" i="2"/>
  <c r="E9017" i="2"/>
  <c r="A9018" i="2"/>
  <c r="B9018" i="2"/>
  <c r="E9018" i="2"/>
  <c r="A9019" i="2"/>
  <c r="B9019" i="2"/>
  <c r="E9019" i="2"/>
  <c r="A9020" i="2"/>
  <c r="B9020" i="2"/>
  <c r="E9020" i="2"/>
  <c r="A9021" i="2"/>
  <c r="B9021" i="2"/>
  <c r="E9021" i="2"/>
  <c r="A9022" i="2"/>
  <c r="B9022" i="2"/>
  <c r="E9022" i="2"/>
  <c r="A9023" i="2"/>
  <c r="B9023" i="2"/>
  <c r="E9023" i="2"/>
  <c r="A9024" i="2"/>
  <c r="B9024" i="2"/>
  <c r="E9024" i="2"/>
  <c r="A9025" i="2"/>
  <c r="B9025" i="2"/>
  <c r="E9025" i="2"/>
  <c r="A9026" i="2"/>
  <c r="B9026" i="2"/>
  <c r="E9026" i="2"/>
  <c r="A9027" i="2"/>
  <c r="B9027" i="2"/>
  <c r="E9027" i="2"/>
  <c r="A9028" i="2"/>
  <c r="B9028" i="2"/>
  <c r="E9028" i="2"/>
  <c r="A9029" i="2"/>
  <c r="B9029" i="2"/>
  <c r="E9029" i="2"/>
  <c r="A9030" i="2"/>
  <c r="B9030" i="2"/>
  <c r="E9030" i="2"/>
  <c r="A9031" i="2"/>
  <c r="B9031" i="2"/>
  <c r="E9031" i="2"/>
  <c r="A9032" i="2"/>
  <c r="B9032" i="2"/>
  <c r="E9032" i="2"/>
  <c r="A9033" i="2"/>
  <c r="B9033" i="2"/>
  <c r="E9033" i="2"/>
  <c r="A9034" i="2"/>
  <c r="B9034" i="2"/>
  <c r="E9034" i="2"/>
  <c r="A9035" i="2"/>
  <c r="B9035" i="2"/>
  <c r="E9035" i="2"/>
  <c r="A9036" i="2"/>
  <c r="B9036" i="2"/>
  <c r="E9036" i="2"/>
  <c r="A9037" i="2"/>
  <c r="B9037" i="2"/>
  <c r="E9037" i="2"/>
  <c r="A9038" i="2"/>
  <c r="B9038" i="2"/>
  <c r="E9038" i="2"/>
  <c r="A9039" i="2"/>
  <c r="B9039" i="2"/>
  <c r="E9039" i="2"/>
  <c r="A9040" i="2"/>
  <c r="B9040" i="2"/>
  <c r="E9040" i="2"/>
  <c r="A9041" i="2"/>
  <c r="B9041" i="2"/>
  <c r="E9041" i="2"/>
  <c r="A9042" i="2"/>
  <c r="B9042" i="2"/>
  <c r="E9042" i="2"/>
  <c r="A9043" i="2"/>
  <c r="B9043" i="2"/>
  <c r="E9043" i="2"/>
  <c r="A9044" i="2"/>
  <c r="B9044" i="2"/>
  <c r="E9044" i="2"/>
  <c r="A9045" i="2"/>
  <c r="B9045" i="2"/>
  <c r="E9045" i="2"/>
  <c r="A9046" i="2"/>
  <c r="B9046" i="2"/>
  <c r="E9046" i="2"/>
  <c r="A9047" i="2"/>
  <c r="B9047" i="2"/>
  <c r="E9047" i="2"/>
  <c r="A9048" i="2"/>
  <c r="B9048" i="2"/>
  <c r="E9048" i="2"/>
  <c r="A9049" i="2"/>
  <c r="B9049" i="2"/>
  <c r="E9049" i="2"/>
  <c r="A9050" i="2"/>
  <c r="B9050" i="2"/>
  <c r="E9050" i="2"/>
  <c r="A9051" i="2"/>
  <c r="B9051" i="2"/>
  <c r="E9051" i="2"/>
  <c r="A9052" i="2"/>
  <c r="B9052" i="2"/>
  <c r="E9052" i="2"/>
  <c r="A9053" i="2"/>
  <c r="B9053" i="2"/>
  <c r="E9053" i="2"/>
  <c r="A9054" i="2"/>
  <c r="B9054" i="2"/>
  <c r="E9054" i="2"/>
  <c r="A9055" i="2"/>
  <c r="B9055" i="2"/>
  <c r="E9055" i="2"/>
  <c r="A9056" i="2"/>
  <c r="B9056" i="2"/>
  <c r="E9056" i="2"/>
  <c r="A9057" i="2"/>
  <c r="B9057" i="2"/>
  <c r="E9057" i="2"/>
  <c r="A9058" i="2"/>
  <c r="B9058" i="2"/>
  <c r="E9058" i="2"/>
  <c r="A9059" i="2"/>
  <c r="B9059" i="2"/>
  <c r="E9059" i="2"/>
  <c r="A9060" i="2"/>
  <c r="B9060" i="2"/>
  <c r="E9060" i="2"/>
  <c r="A9061" i="2"/>
  <c r="B9061" i="2"/>
  <c r="E9061" i="2"/>
  <c r="A9062" i="2"/>
  <c r="B9062" i="2"/>
  <c r="E9062" i="2"/>
  <c r="A9063" i="2"/>
  <c r="B9063" i="2"/>
  <c r="E9063" i="2"/>
  <c r="A9064" i="2"/>
  <c r="B9064" i="2"/>
  <c r="E9064" i="2"/>
  <c r="A9065" i="2"/>
  <c r="B9065" i="2"/>
  <c r="E9065" i="2"/>
  <c r="A9066" i="2"/>
  <c r="B9066" i="2"/>
  <c r="E9066" i="2"/>
  <c r="A9067" i="2"/>
  <c r="B9067" i="2"/>
  <c r="E9067" i="2"/>
  <c r="A9068" i="2"/>
  <c r="B9068" i="2"/>
  <c r="E9068" i="2"/>
  <c r="A9069" i="2"/>
  <c r="B9069" i="2"/>
  <c r="E9069" i="2"/>
  <c r="A9070" i="2"/>
  <c r="B9070" i="2"/>
  <c r="E9070" i="2"/>
  <c r="A9071" i="2"/>
  <c r="B9071" i="2"/>
  <c r="E9071" i="2"/>
  <c r="A9072" i="2"/>
  <c r="B9072" i="2"/>
  <c r="E9072" i="2"/>
  <c r="A9073" i="2"/>
  <c r="B9073" i="2"/>
  <c r="E9073" i="2"/>
  <c r="A9074" i="2"/>
  <c r="B9074" i="2"/>
  <c r="E9074" i="2"/>
  <c r="A9075" i="2"/>
  <c r="B9075" i="2"/>
  <c r="E9075" i="2"/>
  <c r="A9076" i="2"/>
  <c r="B9076" i="2"/>
  <c r="E9076" i="2"/>
  <c r="A9077" i="2"/>
  <c r="B9077" i="2"/>
  <c r="E9077" i="2"/>
  <c r="A9078" i="2"/>
  <c r="B9078" i="2"/>
  <c r="E9078" i="2"/>
  <c r="A9079" i="2"/>
  <c r="B9079" i="2"/>
  <c r="E9079" i="2"/>
  <c r="A9080" i="2"/>
  <c r="B9080" i="2"/>
  <c r="E9080" i="2"/>
  <c r="A9081" i="2"/>
  <c r="B9081" i="2"/>
  <c r="E9081" i="2"/>
  <c r="A9082" i="2"/>
  <c r="B9082" i="2"/>
  <c r="E9082" i="2"/>
  <c r="A9083" i="2"/>
  <c r="B9083" i="2"/>
  <c r="E9083" i="2"/>
  <c r="A9084" i="2"/>
  <c r="B9084" i="2"/>
  <c r="E9084" i="2"/>
  <c r="A9085" i="2"/>
  <c r="B9085" i="2"/>
  <c r="E9085" i="2"/>
  <c r="A9086" i="2"/>
  <c r="B9086" i="2"/>
  <c r="E9086" i="2"/>
  <c r="A9087" i="2"/>
  <c r="B9087" i="2"/>
  <c r="E9087" i="2"/>
  <c r="A9088" i="2"/>
  <c r="B9088" i="2"/>
  <c r="E9088" i="2"/>
  <c r="A9089" i="2"/>
  <c r="B9089" i="2"/>
  <c r="E9089" i="2"/>
  <c r="A9090" i="2"/>
  <c r="B9090" i="2"/>
  <c r="E9090" i="2"/>
  <c r="A9091" i="2"/>
  <c r="B9091" i="2"/>
  <c r="E9091" i="2"/>
  <c r="A9092" i="2"/>
  <c r="B9092" i="2"/>
  <c r="E9092" i="2"/>
  <c r="A9093" i="2"/>
  <c r="B9093" i="2"/>
  <c r="E9093" i="2"/>
  <c r="A9094" i="2"/>
  <c r="B9094" i="2"/>
  <c r="E9094" i="2"/>
  <c r="A9095" i="2"/>
  <c r="B9095" i="2"/>
  <c r="E9095" i="2"/>
  <c r="A9096" i="2"/>
  <c r="B9096" i="2"/>
  <c r="E9096" i="2"/>
  <c r="A9097" i="2"/>
  <c r="B9097" i="2"/>
  <c r="E9097" i="2"/>
  <c r="A9098" i="2"/>
  <c r="B9098" i="2"/>
  <c r="E9098" i="2"/>
  <c r="A9099" i="2"/>
  <c r="B9099" i="2"/>
  <c r="E9099" i="2"/>
  <c r="A9100" i="2"/>
  <c r="B9100" i="2"/>
  <c r="E9100" i="2"/>
  <c r="A9101" i="2"/>
  <c r="B9101" i="2"/>
  <c r="E9101" i="2"/>
  <c r="A9102" i="2"/>
  <c r="B9102" i="2"/>
  <c r="E9102" i="2"/>
  <c r="A9103" i="2"/>
  <c r="B9103" i="2"/>
  <c r="E9103" i="2"/>
  <c r="A9104" i="2"/>
  <c r="B9104" i="2"/>
  <c r="E9104" i="2"/>
  <c r="A9105" i="2"/>
  <c r="B9105" i="2"/>
  <c r="E9105" i="2"/>
  <c r="A9106" i="2"/>
  <c r="B9106" i="2"/>
  <c r="E9106" i="2"/>
  <c r="A9107" i="2"/>
  <c r="B9107" i="2"/>
  <c r="E9107" i="2"/>
  <c r="A9108" i="2"/>
  <c r="B9108" i="2"/>
  <c r="E9108" i="2"/>
  <c r="A9109" i="2"/>
  <c r="B9109" i="2"/>
  <c r="E9109" i="2"/>
  <c r="A9110" i="2"/>
  <c r="B9110" i="2"/>
  <c r="E9110" i="2"/>
  <c r="A9111" i="2"/>
  <c r="B9111" i="2"/>
  <c r="E9111" i="2"/>
  <c r="A9112" i="2"/>
  <c r="B9112" i="2"/>
  <c r="E9112" i="2"/>
  <c r="A9113" i="2"/>
  <c r="B9113" i="2"/>
  <c r="E9113" i="2"/>
  <c r="A9114" i="2"/>
  <c r="B9114" i="2"/>
  <c r="E9114" i="2"/>
  <c r="A9115" i="2"/>
  <c r="B9115" i="2"/>
  <c r="E9115" i="2"/>
  <c r="A9116" i="2"/>
  <c r="B9116" i="2"/>
  <c r="E9116" i="2"/>
  <c r="A9117" i="2"/>
  <c r="B9117" i="2"/>
  <c r="E9117" i="2"/>
  <c r="A9118" i="2"/>
  <c r="B9118" i="2"/>
  <c r="E9118" i="2"/>
  <c r="A9119" i="2"/>
  <c r="B9119" i="2"/>
  <c r="E9119" i="2"/>
  <c r="A9120" i="2"/>
  <c r="B9120" i="2"/>
  <c r="E9120" i="2"/>
  <c r="A9121" i="2"/>
  <c r="B9121" i="2"/>
  <c r="E9121" i="2"/>
  <c r="A9122" i="2"/>
  <c r="B9122" i="2"/>
  <c r="E9122" i="2"/>
  <c r="A9123" i="2"/>
  <c r="B9123" i="2"/>
  <c r="E9123" i="2"/>
  <c r="A9124" i="2"/>
  <c r="B9124" i="2"/>
  <c r="E9124" i="2"/>
  <c r="A9125" i="2"/>
  <c r="B9125" i="2"/>
  <c r="E9125" i="2"/>
  <c r="A9126" i="2"/>
  <c r="B9126" i="2"/>
  <c r="E9126" i="2"/>
  <c r="A9127" i="2"/>
  <c r="B9127" i="2"/>
  <c r="E9127" i="2"/>
  <c r="A9128" i="2"/>
  <c r="B9128" i="2"/>
  <c r="E9128" i="2"/>
  <c r="A9129" i="2"/>
  <c r="B9129" i="2"/>
  <c r="E9129" i="2"/>
  <c r="A9130" i="2"/>
  <c r="B9130" i="2"/>
  <c r="E9130" i="2"/>
  <c r="A9131" i="2"/>
  <c r="B9131" i="2"/>
  <c r="E9131" i="2"/>
  <c r="A9132" i="2"/>
  <c r="B9132" i="2"/>
  <c r="E9132" i="2"/>
  <c r="A9133" i="2"/>
  <c r="B9133" i="2"/>
  <c r="E9133" i="2"/>
  <c r="A9134" i="2"/>
  <c r="B9134" i="2"/>
  <c r="E9134" i="2"/>
  <c r="A9135" i="2"/>
  <c r="B9135" i="2"/>
  <c r="E9135" i="2"/>
  <c r="A9136" i="2"/>
  <c r="B9136" i="2"/>
  <c r="E9136" i="2"/>
  <c r="A9137" i="2"/>
  <c r="B9137" i="2"/>
  <c r="E9137" i="2"/>
  <c r="A9138" i="2"/>
  <c r="B9138" i="2"/>
  <c r="E9138" i="2"/>
  <c r="A9139" i="2"/>
  <c r="B9139" i="2"/>
  <c r="E9139" i="2"/>
  <c r="A9140" i="2"/>
  <c r="B9140" i="2"/>
  <c r="E9140" i="2"/>
  <c r="A9141" i="2"/>
  <c r="B9141" i="2"/>
  <c r="E9141" i="2"/>
  <c r="A9142" i="2"/>
  <c r="B9142" i="2"/>
  <c r="E9142" i="2"/>
  <c r="A9143" i="2"/>
  <c r="B9143" i="2"/>
  <c r="E9143" i="2"/>
  <c r="A9144" i="2"/>
  <c r="B9144" i="2"/>
  <c r="E9144" i="2"/>
  <c r="A9145" i="2"/>
  <c r="B9145" i="2"/>
  <c r="E9145" i="2"/>
  <c r="A9146" i="2"/>
  <c r="B9146" i="2"/>
  <c r="E9146" i="2"/>
  <c r="A9147" i="2"/>
  <c r="B9147" i="2"/>
  <c r="E9147" i="2"/>
  <c r="A9148" i="2"/>
  <c r="B9148" i="2"/>
  <c r="E9148" i="2"/>
  <c r="A9149" i="2"/>
  <c r="B9149" i="2"/>
  <c r="E9149" i="2"/>
  <c r="A9150" i="2"/>
  <c r="B9150" i="2"/>
  <c r="E9150" i="2"/>
  <c r="A9151" i="2"/>
  <c r="B9151" i="2"/>
  <c r="E9151" i="2"/>
  <c r="A9152" i="2"/>
  <c r="B9152" i="2"/>
  <c r="E9152" i="2"/>
  <c r="A9153" i="2"/>
  <c r="B9153" i="2"/>
  <c r="E9153" i="2"/>
  <c r="A9154" i="2"/>
  <c r="B9154" i="2"/>
  <c r="E9154" i="2"/>
  <c r="A9155" i="2"/>
  <c r="B9155" i="2"/>
  <c r="E9155" i="2"/>
  <c r="A9156" i="2"/>
  <c r="B9156" i="2"/>
  <c r="E9156" i="2"/>
  <c r="A9157" i="2"/>
  <c r="B9157" i="2"/>
  <c r="E9157" i="2"/>
  <c r="A9158" i="2"/>
  <c r="B9158" i="2"/>
  <c r="E9158" i="2"/>
  <c r="A9159" i="2"/>
  <c r="B9159" i="2"/>
  <c r="E9159" i="2"/>
  <c r="A9160" i="2"/>
  <c r="B9160" i="2"/>
  <c r="E9160" i="2"/>
  <c r="A9161" i="2"/>
  <c r="B9161" i="2"/>
  <c r="E9161" i="2"/>
  <c r="A9162" i="2"/>
  <c r="B9162" i="2"/>
  <c r="E9162" i="2"/>
  <c r="A9163" i="2"/>
  <c r="B9163" i="2"/>
  <c r="E9163" i="2"/>
  <c r="A9164" i="2"/>
  <c r="B9164" i="2"/>
  <c r="E9164" i="2"/>
  <c r="A9165" i="2"/>
  <c r="B9165" i="2"/>
  <c r="E9165" i="2"/>
  <c r="A9166" i="2"/>
  <c r="B9166" i="2"/>
  <c r="E9166" i="2"/>
  <c r="A9167" i="2"/>
  <c r="B9167" i="2"/>
  <c r="E9167" i="2"/>
  <c r="A9168" i="2"/>
  <c r="B9168" i="2"/>
  <c r="E9168" i="2"/>
  <c r="A9169" i="2"/>
  <c r="B9169" i="2"/>
  <c r="E9169" i="2"/>
  <c r="A9170" i="2"/>
  <c r="B9170" i="2"/>
  <c r="E9170" i="2"/>
  <c r="A9171" i="2"/>
  <c r="B9171" i="2"/>
  <c r="E9171" i="2"/>
  <c r="A9172" i="2"/>
  <c r="B9172" i="2"/>
  <c r="E9172" i="2"/>
  <c r="A9173" i="2"/>
  <c r="B9173" i="2"/>
  <c r="E9173" i="2"/>
  <c r="A9174" i="2"/>
  <c r="B9174" i="2"/>
  <c r="E9174" i="2"/>
  <c r="A9175" i="2"/>
  <c r="B9175" i="2"/>
  <c r="E9175" i="2"/>
  <c r="A9176" i="2"/>
  <c r="B9176" i="2"/>
  <c r="E9176" i="2"/>
  <c r="A9177" i="2"/>
  <c r="B9177" i="2"/>
  <c r="E9177" i="2"/>
  <c r="A9178" i="2"/>
  <c r="B9178" i="2"/>
  <c r="E9178" i="2"/>
  <c r="A9179" i="2"/>
  <c r="B9179" i="2"/>
  <c r="E9179" i="2"/>
  <c r="A9180" i="2"/>
  <c r="B9180" i="2"/>
  <c r="E9180" i="2"/>
  <c r="A9181" i="2"/>
  <c r="B9181" i="2"/>
  <c r="E9181" i="2"/>
  <c r="A9182" i="2"/>
  <c r="B9182" i="2"/>
  <c r="E9182" i="2"/>
  <c r="A9183" i="2"/>
  <c r="B9183" i="2"/>
  <c r="E9183" i="2"/>
  <c r="A9184" i="2"/>
  <c r="B9184" i="2"/>
  <c r="E9184" i="2"/>
  <c r="A9185" i="2"/>
  <c r="B9185" i="2"/>
  <c r="E9185" i="2"/>
  <c r="A9186" i="2"/>
  <c r="B9186" i="2"/>
  <c r="E9186" i="2"/>
  <c r="A9187" i="2"/>
  <c r="B9187" i="2"/>
  <c r="E9187" i="2"/>
  <c r="A9188" i="2"/>
  <c r="B9188" i="2"/>
  <c r="E9188" i="2"/>
  <c r="A9189" i="2"/>
  <c r="B9189" i="2"/>
  <c r="E9189" i="2"/>
  <c r="A9190" i="2"/>
  <c r="B9190" i="2"/>
  <c r="E9190" i="2"/>
  <c r="A9191" i="2"/>
  <c r="B9191" i="2"/>
  <c r="E9191" i="2"/>
  <c r="A9192" i="2"/>
  <c r="B9192" i="2"/>
  <c r="E9192" i="2"/>
  <c r="A9193" i="2"/>
  <c r="B9193" i="2"/>
  <c r="E9193" i="2"/>
  <c r="A9194" i="2"/>
  <c r="B9194" i="2"/>
  <c r="E9194" i="2"/>
  <c r="A9195" i="2"/>
  <c r="B9195" i="2"/>
  <c r="E9195" i="2"/>
  <c r="A9196" i="2"/>
  <c r="B9196" i="2"/>
  <c r="E9196" i="2"/>
  <c r="A9197" i="2"/>
  <c r="B9197" i="2"/>
  <c r="E9197" i="2"/>
  <c r="A9198" i="2"/>
  <c r="B9198" i="2"/>
  <c r="E9198" i="2"/>
  <c r="A9199" i="2"/>
  <c r="B9199" i="2"/>
  <c r="E9199" i="2"/>
  <c r="A9200" i="2"/>
  <c r="B9200" i="2"/>
  <c r="E9200" i="2"/>
  <c r="A9201" i="2"/>
  <c r="B9201" i="2"/>
  <c r="E9201" i="2"/>
  <c r="A9202" i="2"/>
  <c r="B9202" i="2"/>
  <c r="E9202" i="2"/>
  <c r="A9203" i="2"/>
  <c r="B9203" i="2"/>
  <c r="E9203" i="2"/>
  <c r="A9204" i="2"/>
  <c r="B9204" i="2"/>
  <c r="E9204" i="2"/>
  <c r="A9205" i="2"/>
  <c r="B9205" i="2"/>
  <c r="E9205" i="2"/>
  <c r="A9206" i="2"/>
  <c r="B9206" i="2"/>
  <c r="E9206" i="2"/>
  <c r="A9207" i="2"/>
  <c r="B9207" i="2"/>
  <c r="E9207" i="2"/>
  <c r="A9208" i="2"/>
  <c r="B9208" i="2"/>
  <c r="E9208" i="2"/>
  <c r="A9209" i="2"/>
  <c r="B9209" i="2"/>
  <c r="E9209" i="2"/>
  <c r="A9210" i="2"/>
  <c r="B9210" i="2"/>
  <c r="E9210" i="2"/>
  <c r="A9211" i="2"/>
  <c r="B9211" i="2"/>
  <c r="E9211" i="2"/>
  <c r="A9212" i="2"/>
  <c r="B9212" i="2"/>
  <c r="E9212" i="2"/>
  <c r="A9213" i="2"/>
  <c r="B9213" i="2"/>
  <c r="E9213" i="2"/>
  <c r="A9214" i="2"/>
  <c r="B9214" i="2"/>
  <c r="E9214" i="2"/>
  <c r="A9215" i="2"/>
  <c r="B9215" i="2"/>
  <c r="E9215" i="2"/>
  <c r="A9216" i="2"/>
  <c r="B9216" i="2"/>
  <c r="E9216" i="2"/>
  <c r="A9217" i="2"/>
  <c r="B9217" i="2"/>
  <c r="E9217" i="2"/>
  <c r="A9218" i="2"/>
  <c r="B9218" i="2"/>
  <c r="E9218" i="2"/>
  <c r="A9219" i="2"/>
  <c r="B9219" i="2"/>
  <c r="E9219" i="2"/>
  <c r="A9220" i="2"/>
  <c r="B9220" i="2"/>
  <c r="E9220" i="2"/>
  <c r="A9221" i="2"/>
  <c r="B9221" i="2"/>
  <c r="E9221" i="2"/>
  <c r="A9222" i="2"/>
  <c r="B9222" i="2"/>
  <c r="E9222" i="2"/>
  <c r="A9223" i="2"/>
  <c r="B9223" i="2"/>
  <c r="E9223" i="2"/>
  <c r="A9224" i="2"/>
  <c r="B9224" i="2"/>
  <c r="E9224" i="2"/>
  <c r="A9225" i="2"/>
  <c r="B9225" i="2"/>
  <c r="E9225" i="2"/>
  <c r="A9226" i="2"/>
  <c r="B9226" i="2"/>
  <c r="E9226" i="2"/>
  <c r="A9227" i="2"/>
  <c r="B9227" i="2"/>
  <c r="E9227" i="2"/>
  <c r="A9228" i="2"/>
  <c r="B9228" i="2"/>
  <c r="E9228" i="2"/>
  <c r="A9229" i="2"/>
  <c r="B9229" i="2"/>
  <c r="E9229" i="2"/>
  <c r="A9230" i="2"/>
  <c r="B9230" i="2"/>
  <c r="E9230" i="2"/>
  <c r="A9231" i="2"/>
  <c r="B9231" i="2"/>
  <c r="E9231" i="2"/>
  <c r="A9232" i="2"/>
  <c r="B9232" i="2"/>
  <c r="E9232" i="2"/>
  <c r="A9233" i="2"/>
  <c r="B9233" i="2"/>
  <c r="E9233" i="2"/>
  <c r="A9234" i="2"/>
  <c r="B9234" i="2"/>
  <c r="E9234" i="2"/>
  <c r="A9235" i="2"/>
  <c r="B9235" i="2"/>
  <c r="E9235" i="2"/>
  <c r="A9236" i="2"/>
  <c r="B9236" i="2"/>
  <c r="E9236" i="2"/>
  <c r="A9237" i="2"/>
  <c r="B9237" i="2"/>
  <c r="E9237" i="2"/>
  <c r="A9238" i="2"/>
  <c r="B9238" i="2"/>
  <c r="E9238" i="2"/>
  <c r="A9239" i="2"/>
  <c r="B9239" i="2"/>
  <c r="E9239" i="2"/>
  <c r="A9240" i="2"/>
  <c r="B9240" i="2"/>
  <c r="E9240" i="2"/>
  <c r="A9241" i="2"/>
  <c r="B9241" i="2"/>
  <c r="E9241" i="2"/>
  <c r="A9242" i="2"/>
  <c r="B9242" i="2"/>
  <c r="E9242" i="2"/>
  <c r="A9243" i="2"/>
  <c r="B9243" i="2"/>
  <c r="E9243" i="2"/>
  <c r="A9244" i="2"/>
  <c r="B9244" i="2"/>
  <c r="E9244" i="2"/>
  <c r="A9245" i="2"/>
  <c r="B9245" i="2"/>
  <c r="E9245" i="2"/>
  <c r="A9246" i="2"/>
  <c r="B9246" i="2"/>
  <c r="E9246" i="2"/>
  <c r="A9247" i="2"/>
  <c r="B9247" i="2"/>
  <c r="E9247" i="2"/>
  <c r="A9248" i="2"/>
  <c r="B9248" i="2"/>
  <c r="E9248" i="2"/>
  <c r="A9249" i="2"/>
  <c r="B9249" i="2"/>
  <c r="E9249" i="2"/>
  <c r="A9250" i="2"/>
  <c r="B9250" i="2"/>
  <c r="E9250" i="2"/>
  <c r="A9251" i="2"/>
  <c r="B9251" i="2"/>
  <c r="E9251" i="2"/>
  <c r="A9252" i="2"/>
  <c r="B9252" i="2"/>
  <c r="E9252" i="2"/>
  <c r="A9253" i="2"/>
  <c r="B9253" i="2"/>
  <c r="E9253" i="2"/>
  <c r="A9254" i="2"/>
  <c r="B9254" i="2"/>
  <c r="E9254" i="2"/>
  <c r="A9255" i="2"/>
  <c r="B9255" i="2"/>
  <c r="E9255" i="2"/>
  <c r="A9256" i="2"/>
  <c r="B9256" i="2"/>
  <c r="E9256" i="2"/>
  <c r="A9257" i="2"/>
  <c r="B9257" i="2"/>
  <c r="E9257" i="2"/>
  <c r="A9258" i="2"/>
  <c r="B9258" i="2"/>
  <c r="E9258" i="2"/>
  <c r="A9259" i="2"/>
  <c r="B9259" i="2"/>
  <c r="E9259" i="2"/>
  <c r="A9260" i="2"/>
  <c r="B9260" i="2"/>
  <c r="E9260" i="2"/>
  <c r="A9261" i="2"/>
  <c r="B9261" i="2"/>
  <c r="E9261" i="2"/>
  <c r="A9262" i="2"/>
  <c r="B9262" i="2"/>
  <c r="E9262" i="2"/>
  <c r="A9263" i="2"/>
  <c r="B9263" i="2"/>
  <c r="E9263" i="2"/>
  <c r="A9264" i="2"/>
  <c r="B9264" i="2"/>
  <c r="E9264" i="2"/>
  <c r="A9265" i="2"/>
  <c r="B9265" i="2"/>
  <c r="E9265" i="2"/>
  <c r="A9266" i="2"/>
  <c r="B9266" i="2"/>
  <c r="E9266" i="2"/>
  <c r="A9267" i="2"/>
  <c r="B9267" i="2"/>
  <c r="E9267" i="2"/>
  <c r="A9268" i="2"/>
  <c r="B9268" i="2"/>
  <c r="E9268" i="2"/>
  <c r="A9269" i="2"/>
  <c r="B9269" i="2"/>
  <c r="E9269" i="2"/>
  <c r="A9270" i="2"/>
  <c r="B9270" i="2"/>
  <c r="E9270" i="2"/>
  <c r="A9271" i="2"/>
  <c r="B9271" i="2"/>
  <c r="E9271" i="2"/>
  <c r="A9272" i="2"/>
  <c r="B9272" i="2"/>
  <c r="E9272" i="2"/>
  <c r="A9273" i="2"/>
  <c r="B9273" i="2"/>
  <c r="E9273" i="2"/>
  <c r="A9274" i="2"/>
  <c r="B9274" i="2"/>
  <c r="E9274" i="2"/>
  <c r="A9275" i="2"/>
  <c r="B9275" i="2"/>
  <c r="E9275" i="2"/>
  <c r="A9276" i="2"/>
  <c r="B9276" i="2"/>
  <c r="E9276" i="2"/>
  <c r="A9277" i="2"/>
  <c r="B9277" i="2"/>
  <c r="E9277" i="2"/>
  <c r="A9278" i="2"/>
  <c r="B9278" i="2"/>
  <c r="E9278" i="2"/>
  <c r="A9279" i="2"/>
  <c r="B9279" i="2"/>
  <c r="E9279" i="2"/>
  <c r="A9280" i="2"/>
  <c r="B9280" i="2"/>
  <c r="E9280" i="2"/>
  <c r="A9281" i="2"/>
  <c r="B9281" i="2"/>
  <c r="E9281" i="2"/>
  <c r="A9282" i="2"/>
  <c r="B9282" i="2"/>
  <c r="E9282" i="2"/>
  <c r="A9283" i="2"/>
  <c r="B9283" i="2"/>
  <c r="E9283" i="2"/>
  <c r="A9284" i="2"/>
  <c r="B9284" i="2"/>
  <c r="E9284" i="2"/>
  <c r="A9285" i="2"/>
  <c r="B9285" i="2"/>
  <c r="E9285" i="2"/>
  <c r="A9286" i="2"/>
  <c r="B9286" i="2"/>
  <c r="E9286" i="2"/>
  <c r="A9287" i="2"/>
  <c r="B9287" i="2"/>
  <c r="E9287" i="2"/>
  <c r="A9288" i="2"/>
  <c r="B9288" i="2"/>
  <c r="E9288" i="2"/>
  <c r="A9289" i="2"/>
  <c r="B9289" i="2"/>
  <c r="E9289" i="2"/>
  <c r="A9290" i="2"/>
  <c r="B9290" i="2"/>
  <c r="E9290" i="2"/>
  <c r="A9291" i="2"/>
  <c r="B9291" i="2"/>
  <c r="E9291" i="2"/>
  <c r="A9292" i="2"/>
  <c r="B9292" i="2"/>
  <c r="E9292" i="2"/>
  <c r="A9293" i="2"/>
  <c r="B9293" i="2"/>
  <c r="E9293" i="2"/>
  <c r="A9294" i="2"/>
  <c r="B9294" i="2"/>
  <c r="E9294" i="2"/>
  <c r="A9295" i="2"/>
  <c r="B9295" i="2"/>
  <c r="E9295" i="2"/>
  <c r="A9296" i="2"/>
  <c r="B9296" i="2"/>
  <c r="E9296" i="2"/>
  <c r="A9297" i="2"/>
  <c r="B9297" i="2"/>
  <c r="E9297" i="2"/>
  <c r="A9298" i="2"/>
  <c r="B9298" i="2"/>
  <c r="E9298" i="2"/>
  <c r="A9299" i="2"/>
  <c r="B9299" i="2"/>
  <c r="E9299" i="2"/>
  <c r="A9300" i="2"/>
  <c r="B9300" i="2"/>
  <c r="E9300" i="2"/>
  <c r="A9301" i="2"/>
  <c r="B9301" i="2"/>
  <c r="E9301" i="2"/>
  <c r="A9302" i="2"/>
  <c r="B9302" i="2"/>
  <c r="E9302" i="2"/>
  <c r="A9303" i="2"/>
  <c r="B9303" i="2"/>
  <c r="E9303" i="2"/>
  <c r="A9304" i="2"/>
  <c r="B9304" i="2"/>
  <c r="E9304" i="2"/>
  <c r="A9305" i="2"/>
  <c r="B9305" i="2"/>
  <c r="E9305" i="2"/>
  <c r="A9306" i="2"/>
  <c r="B9306" i="2"/>
  <c r="E9306" i="2"/>
  <c r="A9307" i="2"/>
  <c r="B9307" i="2"/>
  <c r="E9307" i="2"/>
  <c r="A9308" i="2"/>
  <c r="B9308" i="2"/>
  <c r="E9308" i="2"/>
  <c r="A9309" i="2"/>
  <c r="B9309" i="2"/>
  <c r="E9309" i="2"/>
  <c r="A9310" i="2"/>
  <c r="B9310" i="2"/>
  <c r="E9310" i="2"/>
  <c r="A9311" i="2"/>
  <c r="B9311" i="2"/>
  <c r="E9311" i="2"/>
  <c r="A9312" i="2"/>
  <c r="B9312" i="2"/>
  <c r="E9312" i="2"/>
  <c r="A9313" i="2"/>
  <c r="B9313" i="2"/>
  <c r="E9313" i="2"/>
  <c r="A9314" i="2"/>
  <c r="B9314" i="2"/>
  <c r="E9314" i="2"/>
  <c r="A9315" i="2"/>
  <c r="B9315" i="2"/>
  <c r="E9315" i="2"/>
  <c r="A9316" i="2"/>
  <c r="B9316" i="2"/>
  <c r="E9316" i="2"/>
  <c r="A9317" i="2"/>
  <c r="B9317" i="2"/>
  <c r="E9317" i="2"/>
  <c r="A9318" i="2"/>
  <c r="B9318" i="2"/>
  <c r="E9318" i="2"/>
  <c r="A9319" i="2"/>
  <c r="B9319" i="2"/>
  <c r="E9319" i="2"/>
  <c r="A9320" i="2"/>
  <c r="B9320" i="2"/>
  <c r="E9320" i="2"/>
  <c r="A9321" i="2"/>
  <c r="B9321" i="2"/>
  <c r="E9321" i="2"/>
  <c r="A9322" i="2"/>
  <c r="B9322" i="2"/>
  <c r="E9322" i="2"/>
  <c r="A9323" i="2"/>
  <c r="B9323" i="2"/>
  <c r="E9323" i="2"/>
  <c r="A9324" i="2"/>
  <c r="B9324" i="2"/>
  <c r="E9324" i="2"/>
  <c r="A9325" i="2"/>
  <c r="B9325" i="2"/>
  <c r="E9325" i="2"/>
  <c r="A9326" i="2"/>
  <c r="B9326" i="2"/>
  <c r="E9326" i="2"/>
  <c r="A9327" i="2"/>
  <c r="B9327" i="2"/>
  <c r="E9327" i="2"/>
  <c r="A9328" i="2"/>
  <c r="B9328" i="2"/>
  <c r="E9328" i="2"/>
  <c r="A9329" i="2"/>
  <c r="B9329" i="2"/>
  <c r="E9329" i="2"/>
  <c r="A9330" i="2"/>
  <c r="B9330" i="2"/>
  <c r="E9330" i="2"/>
  <c r="A9331" i="2"/>
  <c r="B9331" i="2"/>
  <c r="E9331" i="2"/>
  <c r="A9332" i="2"/>
  <c r="B9332" i="2"/>
  <c r="E9332" i="2"/>
  <c r="A9333" i="2"/>
  <c r="B9333" i="2"/>
  <c r="E9333" i="2"/>
  <c r="A9334" i="2"/>
  <c r="B9334" i="2"/>
  <c r="E9334" i="2"/>
  <c r="A9335" i="2"/>
  <c r="B9335" i="2"/>
  <c r="E9335" i="2"/>
  <c r="A9336" i="2"/>
  <c r="B9336" i="2"/>
  <c r="E9336" i="2"/>
  <c r="A9337" i="2"/>
  <c r="B9337" i="2"/>
  <c r="E9337" i="2"/>
  <c r="A9338" i="2"/>
  <c r="B9338" i="2"/>
  <c r="E9338" i="2"/>
  <c r="A9339" i="2"/>
  <c r="B9339" i="2"/>
  <c r="E9339" i="2"/>
  <c r="A9340" i="2"/>
  <c r="B9340" i="2"/>
  <c r="E9340" i="2"/>
  <c r="A9341" i="2"/>
  <c r="B9341" i="2"/>
  <c r="E9341" i="2"/>
  <c r="A9342" i="2"/>
  <c r="B9342" i="2"/>
  <c r="E9342" i="2"/>
  <c r="A9343" i="2"/>
  <c r="B9343" i="2"/>
  <c r="E9343" i="2"/>
  <c r="A9344" i="2"/>
  <c r="B9344" i="2"/>
  <c r="E9344" i="2"/>
  <c r="A9345" i="2"/>
  <c r="B9345" i="2"/>
  <c r="E9345" i="2"/>
  <c r="A9346" i="2"/>
  <c r="B9346" i="2"/>
  <c r="E9346" i="2"/>
  <c r="A9347" i="2"/>
  <c r="B9347" i="2"/>
  <c r="E9347" i="2"/>
  <c r="A9348" i="2"/>
  <c r="B9348" i="2"/>
  <c r="E9348" i="2"/>
  <c r="A9349" i="2"/>
  <c r="B9349" i="2"/>
  <c r="E9349" i="2"/>
  <c r="A9350" i="2"/>
  <c r="B9350" i="2"/>
  <c r="E9350" i="2"/>
  <c r="A9351" i="2"/>
  <c r="B9351" i="2"/>
  <c r="E9351" i="2"/>
  <c r="A9352" i="2"/>
  <c r="B9352" i="2"/>
  <c r="E9352" i="2"/>
  <c r="A9353" i="2"/>
  <c r="B9353" i="2"/>
  <c r="E9353" i="2"/>
  <c r="A9354" i="2"/>
  <c r="B9354" i="2"/>
  <c r="E9354" i="2"/>
  <c r="A9355" i="2"/>
  <c r="B9355" i="2"/>
  <c r="E9355" i="2"/>
  <c r="A9356" i="2"/>
  <c r="B9356" i="2"/>
  <c r="E9356" i="2"/>
  <c r="A9357" i="2"/>
  <c r="B9357" i="2"/>
  <c r="E9357" i="2"/>
  <c r="A9358" i="2"/>
  <c r="B9358" i="2"/>
  <c r="E9358" i="2"/>
  <c r="A9359" i="2"/>
  <c r="B9359" i="2"/>
  <c r="E9359" i="2"/>
  <c r="A9360" i="2"/>
  <c r="B9360" i="2"/>
  <c r="E9360" i="2"/>
  <c r="A9361" i="2"/>
  <c r="B9361" i="2"/>
  <c r="E9361" i="2"/>
  <c r="A9362" i="2"/>
  <c r="B9362" i="2"/>
  <c r="E9362" i="2"/>
  <c r="A9363" i="2"/>
  <c r="B9363" i="2"/>
  <c r="E9363" i="2"/>
  <c r="A9364" i="2"/>
  <c r="B9364" i="2"/>
  <c r="E9364" i="2"/>
  <c r="A9365" i="2"/>
  <c r="B9365" i="2"/>
  <c r="E9365" i="2"/>
  <c r="A9366" i="2"/>
  <c r="B9366" i="2"/>
  <c r="E9366" i="2"/>
  <c r="A9367" i="2"/>
  <c r="B9367" i="2"/>
  <c r="E9367" i="2"/>
  <c r="A9368" i="2"/>
  <c r="B9368" i="2"/>
  <c r="E9368" i="2"/>
  <c r="A9369" i="2"/>
  <c r="B9369" i="2"/>
  <c r="E9369" i="2"/>
  <c r="A9370" i="2"/>
  <c r="B9370" i="2"/>
  <c r="E9370" i="2"/>
  <c r="A9371" i="2"/>
  <c r="B9371" i="2"/>
  <c r="E9371" i="2"/>
  <c r="A9372" i="2"/>
  <c r="B9372" i="2"/>
  <c r="E9372" i="2"/>
  <c r="A9373" i="2"/>
  <c r="B9373" i="2"/>
  <c r="E9373" i="2"/>
  <c r="A9374" i="2"/>
  <c r="B9374" i="2"/>
  <c r="E9374" i="2"/>
  <c r="A9375" i="2"/>
  <c r="B9375" i="2"/>
  <c r="E9375" i="2"/>
  <c r="A9376" i="2"/>
  <c r="B9376" i="2"/>
  <c r="E9376" i="2"/>
  <c r="A9377" i="2"/>
  <c r="B9377" i="2"/>
  <c r="E9377" i="2"/>
  <c r="A9378" i="2"/>
  <c r="B9378" i="2"/>
  <c r="E9378" i="2"/>
  <c r="A9379" i="2"/>
  <c r="B9379" i="2"/>
  <c r="E9379" i="2"/>
  <c r="A9380" i="2"/>
  <c r="B9380" i="2"/>
  <c r="E9380" i="2"/>
  <c r="A9381" i="2"/>
  <c r="B9381" i="2"/>
  <c r="E9381" i="2"/>
  <c r="A9382" i="2"/>
  <c r="B9382" i="2"/>
  <c r="E9382" i="2"/>
  <c r="A9383" i="2"/>
  <c r="B9383" i="2"/>
  <c r="E9383" i="2"/>
  <c r="A9384" i="2"/>
  <c r="B9384" i="2"/>
  <c r="E9384" i="2"/>
  <c r="A9385" i="2"/>
  <c r="B9385" i="2"/>
  <c r="E9385" i="2"/>
  <c r="A9386" i="2"/>
  <c r="B9386" i="2"/>
  <c r="E9386" i="2"/>
  <c r="A9387" i="2"/>
  <c r="B9387" i="2"/>
  <c r="E9387" i="2"/>
  <c r="A9388" i="2"/>
  <c r="B9388" i="2"/>
  <c r="E9388" i="2"/>
  <c r="A9389" i="2"/>
  <c r="B9389" i="2"/>
  <c r="E9389" i="2"/>
  <c r="A9390" i="2"/>
  <c r="B9390" i="2"/>
  <c r="E9390" i="2"/>
  <c r="A9391" i="2"/>
  <c r="B9391" i="2"/>
  <c r="E9391" i="2"/>
  <c r="A9392" i="2"/>
  <c r="B9392" i="2"/>
  <c r="E9392" i="2"/>
  <c r="A9393" i="2"/>
  <c r="B9393" i="2"/>
  <c r="E9393" i="2"/>
  <c r="A9394" i="2"/>
  <c r="B9394" i="2"/>
  <c r="E9394" i="2"/>
  <c r="A9395" i="2"/>
  <c r="B9395" i="2"/>
  <c r="E9395" i="2"/>
  <c r="A9396" i="2"/>
  <c r="B9396" i="2"/>
  <c r="E9396" i="2"/>
  <c r="A9397" i="2"/>
  <c r="B9397" i="2"/>
  <c r="E9397" i="2"/>
  <c r="A9398" i="2"/>
  <c r="B9398" i="2"/>
  <c r="E9398" i="2"/>
  <c r="A9399" i="2"/>
  <c r="B9399" i="2"/>
  <c r="E9399" i="2"/>
  <c r="A9400" i="2"/>
  <c r="B9400" i="2"/>
  <c r="E9400" i="2"/>
  <c r="A9401" i="2"/>
  <c r="B9401" i="2"/>
  <c r="E9401" i="2"/>
  <c r="A9402" i="2"/>
  <c r="B9402" i="2"/>
  <c r="E9402" i="2"/>
  <c r="A9403" i="2"/>
  <c r="B9403" i="2"/>
  <c r="E9403" i="2"/>
  <c r="A9404" i="2"/>
  <c r="B9404" i="2"/>
  <c r="E9404" i="2"/>
  <c r="A9405" i="2"/>
  <c r="B9405" i="2"/>
  <c r="E9405" i="2"/>
  <c r="A9406" i="2"/>
  <c r="B9406" i="2"/>
  <c r="E9406" i="2"/>
  <c r="A9407" i="2"/>
  <c r="B9407" i="2"/>
  <c r="E9407" i="2"/>
  <c r="A9408" i="2"/>
  <c r="B9408" i="2"/>
  <c r="E9408" i="2"/>
  <c r="A9409" i="2"/>
  <c r="B9409" i="2"/>
  <c r="E9409" i="2"/>
  <c r="A9410" i="2"/>
  <c r="B9410" i="2"/>
  <c r="E9410" i="2"/>
  <c r="A9411" i="2"/>
  <c r="B9411" i="2"/>
  <c r="E9411" i="2"/>
  <c r="A9412" i="2"/>
  <c r="B9412" i="2"/>
  <c r="E9412" i="2"/>
  <c r="A9413" i="2"/>
  <c r="B9413" i="2"/>
  <c r="E9413" i="2"/>
  <c r="A9414" i="2"/>
  <c r="B9414" i="2"/>
  <c r="E9414" i="2"/>
  <c r="A9415" i="2"/>
  <c r="B9415" i="2"/>
  <c r="E9415" i="2"/>
  <c r="A9416" i="2"/>
  <c r="B9416" i="2"/>
  <c r="E9416" i="2"/>
  <c r="A9417" i="2"/>
  <c r="B9417" i="2"/>
  <c r="E9417" i="2"/>
  <c r="A9418" i="2"/>
  <c r="B9418" i="2"/>
  <c r="E9418" i="2"/>
  <c r="A9419" i="2"/>
  <c r="B9419" i="2"/>
  <c r="E9419" i="2"/>
  <c r="A9420" i="2"/>
  <c r="B9420" i="2"/>
  <c r="E9420" i="2"/>
  <c r="A9421" i="2"/>
  <c r="B9421" i="2"/>
  <c r="E9421" i="2"/>
  <c r="A9422" i="2"/>
  <c r="B9422" i="2"/>
  <c r="E9422" i="2"/>
  <c r="A9423" i="2"/>
  <c r="B9423" i="2"/>
  <c r="E9423" i="2"/>
  <c r="A9424" i="2"/>
  <c r="B9424" i="2"/>
  <c r="E9424" i="2"/>
  <c r="A9425" i="2"/>
  <c r="B9425" i="2"/>
  <c r="E9425" i="2"/>
  <c r="A9426" i="2"/>
  <c r="B9426" i="2"/>
  <c r="E9426" i="2"/>
  <c r="A9427" i="2"/>
  <c r="B9427" i="2"/>
  <c r="E9427" i="2"/>
  <c r="A9428" i="2"/>
  <c r="B9428" i="2"/>
  <c r="E9428" i="2"/>
  <c r="A9429" i="2"/>
  <c r="B9429" i="2"/>
  <c r="E9429" i="2"/>
  <c r="A9430" i="2"/>
  <c r="B9430" i="2"/>
  <c r="E9430" i="2"/>
  <c r="A9431" i="2"/>
  <c r="B9431" i="2"/>
  <c r="E9431" i="2"/>
  <c r="A9432" i="2"/>
  <c r="B9432" i="2"/>
  <c r="E9432" i="2"/>
  <c r="A9433" i="2"/>
  <c r="B9433" i="2"/>
  <c r="E9433" i="2"/>
  <c r="A9434" i="2"/>
  <c r="B9434" i="2"/>
  <c r="E9434" i="2"/>
  <c r="A9435" i="2"/>
  <c r="B9435" i="2"/>
  <c r="E9435" i="2"/>
  <c r="A9436" i="2"/>
  <c r="B9436" i="2"/>
  <c r="E9436" i="2"/>
  <c r="A9437" i="2"/>
  <c r="B9437" i="2"/>
  <c r="E9437" i="2"/>
  <c r="A9438" i="2"/>
  <c r="B9438" i="2"/>
  <c r="E9438" i="2"/>
  <c r="A9439" i="2"/>
  <c r="B9439" i="2"/>
  <c r="E9439" i="2"/>
  <c r="A9440" i="2"/>
  <c r="B9440" i="2"/>
  <c r="E9440" i="2"/>
  <c r="A9441" i="2"/>
  <c r="B9441" i="2"/>
  <c r="E9441" i="2"/>
  <c r="A9442" i="2"/>
  <c r="B9442" i="2"/>
  <c r="E9442" i="2"/>
  <c r="A9443" i="2"/>
  <c r="B9443" i="2"/>
  <c r="E9443" i="2"/>
  <c r="A9444" i="2"/>
  <c r="B9444" i="2"/>
  <c r="E9444" i="2"/>
  <c r="A9445" i="2"/>
  <c r="B9445" i="2"/>
  <c r="E9445" i="2"/>
  <c r="A9446" i="2"/>
  <c r="B9446" i="2"/>
  <c r="E9446" i="2"/>
  <c r="A9447" i="2"/>
  <c r="B9447" i="2"/>
  <c r="E9447" i="2"/>
  <c r="A9448" i="2"/>
  <c r="B9448" i="2"/>
  <c r="E9448" i="2"/>
  <c r="A9449" i="2"/>
  <c r="B9449" i="2"/>
  <c r="E9449" i="2"/>
  <c r="A9450" i="2"/>
  <c r="B9450" i="2"/>
  <c r="E9450" i="2"/>
  <c r="A9451" i="2"/>
  <c r="B9451" i="2"/>
  <c r="E9451" i="2"/>
  <c r="A9452" i="2"/>
  <c r="B9452" i="2"/>
  <c r="E9452" i="2"/>
  <c r="A9453" i="2"/>
  <c r="B9453" i="2"/>
  <c r="E9453" i="2"/>
  <c r="A9454" i="2"/>
  <c r="B9454" i="2"/>
  <c r="E9454" i="2"/>
  <c r="A9455" i="2"/>
  <c r="B9455" i="2"/>
  <c r="E9455" i="2"/>
  <c r="A9456" i="2"/>
  <c r="B9456" i="2"/>
  <c r="E9456" i="2"/>
  <c r="A9457" i="2"/>
  <c r="B9457" i="2"/>
  <c r="E9457" i="2"/>
  <c r="A9458" i="2"/>
  <c r="B9458" i="2"/>
  <c r="E9458" i="2"/>
  <c r="A9459" i="2"/>
  <c r="B9459" i="2"/>
  <c r="E9459" i="2"/>
  <c r="A9460" i="2"/>
  <c r="B9460" i="2"/>
  <c r="E9460" i="2"/>
  <c r="A9461" i="2"/>
  <c r="B9461" i="2"/>
  <c r="E9461" i="2"/>
  <c r="A9462" i="2"/>
  <c r="B9462" i="2"/>
  <c r="E9462" i="2"/>
  <c r="A9463" i="2"/>
  <c r="B9463" i="2"/>
  <c r="E9463" i="2"/>
  <c r="A9464" i="2"/>
  <c r="B9464" i="2"/>
  <c r="E9464" i="2"/>
  <c r="A9465" i="2"/>
  <c r="B9465" i="2"/>
  <c r="E9465" i="2"/>
  <c r="A9466" i="2"/>
  <c r="B9466" i="2"/>
  <c r="E9466" i="2"/>
  <c r="A9467" i="2"/>
  <c r="B9467" i="2"/>
  <c r="E9467" i="2"/>
  <c r="A9468" i="2"/>
  <c r="B9468" i="2"/>
  <c r="E9468" i="2"/>
  <c r="A9469" i="2"/>
  <c r="B9469" i="2"/>
  <c r="E9469" i="2"/>
  <c r="A9470" i="2"/>
  <c r="B9470" i="2"/>
  <c r="E9470" i="2"/>
  <c r="A9471" i="2"/>
  <c r="B9471" i="2"/>
  <c r="E9471" i="2"/>
  <c r="A9472" i="2"/>
  <c r="B9472" i="2"/>
  <c r="E9472" i="2"/>
  <c r="A9473" i="2"/>
  <c r="B9473" i="2"/>
  <c r="E9473" i="2"/>
  <c r="A9474" i="2"/>
  <c r="B9474" i="2"/>
  <c r="E9474" i="2"/>
  <c r="A9475" i="2"/>
  <c r="B9475" i="2"/>
  <c r="E9475" i="2"/>
  <c r="A9476" i="2"/>
  <c r="B9476" i="2"/>
  <c r="E9476" i="2"/>
  <c r="A9477" i="2"/>
  <c r="B9477" i="2"/>
  <c r="E9477" i="2"/>
  <c r="A9478" i="2"/>
  <c r="B9478" i="2"/>
  <c r="E9478" i="2"/>
  <c r="A9479" i="2"/>
  <c r="B9479" i="2"/>
  <c r="E9479" i="2"/>
  <c r="A9480" i="2"/>
  <c r="B9480" i="2"/>
  <c r="E9480" i="2"/>
  <c r="A9481" i="2"/>
  <c r="B9481" i="2"/>
  <c r="E9481" i="2"/>
  <c r="A9482" i="2"/>
  <c r="B9482" i="2"/>
  <c r="E9482" i="2"/>
  <c r="A9483" i="2"/>
  <c r="B9483" i="2"/>
  <c r="E9483" i="2"/>
  <c r="A9484" i="2"/>
  <c r="B9484" i="2"/>
  <c r="E9484" i="2"/>
  <c r="A9485" i="2"/>
  <c r="B9485" i="2"/>
  <c r="E9485" i="2"/>
  <c r="A9486" i="2"/>
  <c r="B9486" i="2"/>
  <c r="E9486" i="2"/>
  <c r="A9487" i="2"/>
  <c r="B9487" i="2"/>
  <c r="E9487" i="2"/>
  <c r="A9488" i="2"/>
  <c r="B9488" i="2"/>
  <c r="E9488" i="2"/>
  <c r="A9489" i="2"/>
  <c r="B9489" i="2"/>
  <c r="E9489" i="2"/>
  <c r="A9490" i="2"/>
  <c r="B9490" i="2"/>
  <c r="E9490" i="2"/>
  <c r="A9491" i="2"/>
  <c r="B9491" i="2"/>
  <c r="E9491" i="2"/>
  <c r="A9492" i="2"/>
  <c r="B9492" i="2"/>
  <c r="E9492" i="2"/>
  <c r="A9493" i="2"/>
  <c r="B9493" i="2"/>
  <c r="E9493" i="2"/>
  <c r="A9494" i="2"/>
  <c r="B9494" i="2"/>
  <c r="E9494" i="2"/>
  <c r="A9495" i="2"/>
  <c r="B9495" i="2"/>
  <c r="E9495" i="2"/>
  <c r="A9496" i="2"/>
  <c r="B9496" i="2"/>
  <c r="E9496" i="2"/>
  <c r="A9497" i="2"/>
  <c r="B9497" i="2"/>
  <c r="E9497" i="2"/>
  <c r="A9498" i="2"/>
  <c r="B9498" i="2"/>
  <c r="E9498" i="2"/>
  <c r="A9499" i="2"/>
  <c r="B9499" i="2"/>
  <c r="E9499" i="2"/>
  <c r="A9500" i="2"/>
  <c r="B9500" i="2"/>
  <c r="E9500" i="2"/>
  <c r="A9501" i="2"/>
  <c r="B9501" i="2"/>
  <c r="E9501" i="2"/>
  <c r="A9502" i="2"/>
  <c r="B9502" i="2"/>
  <c r="E9502" i="2"/>
  <c r="A9503" i="2"/>
  <c r="B9503" i="2"/>
  <c r="E9503" i="2"/>
  <c r="A9504" i="2"/>
  <c r="B9504" i="2"/>
  <c r="E9504" i="2"/>
  <c r="A9505" i="2"/>
  <c r="B9505" i="2"/>
  <c r="E9505" i="2"/>
  <c r="A9506" i="2"/>
  <c r="B9506" i="2"/>
  <c r="E9506" i="2"/>
  <c r="A9507" i="2"/>
  <c r="B9507" i="2"/>
  <c r="E9507" i="2"/>
  <c r="A9508" i="2"/>
  <c r="B9508" i="2"/>
  <c r="E9508" i="2"/>
  <c r="A9509" i="2"/>
  <c r="B9509" i="2"/>
  <c r="E9509" i="2"/>
  <c r="A9510" i="2"/>
  <c r="B9510" i="2"/>
  <c r="E9510" i="2"/>
  <c r="A9511" i="2"/>
  <c r="B9511" i="2"/>
  <c r="E9511" i="2"/>
  <c r="A9512" i="2"/>
  <c r="B9512" i="2"/>
  <c r="E9512" i="2"/>
  <c r="A9513" i="2"/>
  <c r="B9513" i="2"/>
  <c r="E9513" i="2"/>
  <c r="A9514" i="2"/>
  <c r="B9514" i="2"/>
  <c r="E9514" i="2"/>
  <c r="A9515" i="2"/>
  <c r="B9515" i="2"/>
  <c r="E9515" i="2"/>
  <c r="A9516" i="2"/>
  <c r="B9516" i="2"/>
  <c r="E9516" i="2"/>
  <c r="A9517" i="2"/>
  <c r="B9517" i="2"/>
  <c r="E9517" i="2"/>
  <c r="A9518" i="2"/>
  <c r="B9518" i="2"/>
  <c r="E9518" i="2"/>
  <c r="A9519" i="2"/>
  <c r="B9519" i="2"/>
  <c r="E9519" i="2"/>
  <c r="A9520" i="2"/>
  <c r="B9520" i="2"/>
  <c r="E9520" i="2"/>
  <c r="A9521" i="2"/>
  <c r="B9521" i="2"/>
  <c r="E9521" i="2"/>
  <c r="A9522" i="2"/>
  <c r="B9522" i="2"/>
  <c r="E9522" i="2"/>
  <c r="A9523" i="2"/>
  <c r="B9523" i="2"/>
  <c r="E9523" i="2"/>
  <c r="A9524" i="2"/>
  <c r="B9524" i="2"/>
  <c r="E9524" i="2"/>
  <c r="A9525" i="2"/>
  <c r="B9525" i="2"/>
  <c r="E9525" i="2"/>
  <c r="A9526" i="2"/>
  <c r="B9526" i="2"/>
  <c r="E9526" i="2"/>
  <c r="A9527" i="2"/>
  <c r="B9527" i="2"/>
  <c r="E9527" i="2"/>
  <c r="A9528" i="2"/>
  <c r="B9528" i="2"/>
  <c r="E9528" i="2"/>
  <c r="A9529" i="2"/>
  <c r="B9529" i="2"/>
  <c r="E9529" i="2"/>
  <c r="A9530" i="2"/>
  <c r="B9530" i="2"/>
  <c r="E9530" i="2"/>
  <c r="A9531" i="2"/>
  <c r="B9531" i="2"/>
  <c r="E9531" i="2"/>
  <c r="A9532" i="2"/>
  <c r="B9532" i="2"/>
  <c r="E9532" i="2"/>
  <c r="A9533" i="2"/>
  <c r="B9533" i="2"/>
  <c r="E9533" i="2"/>
  <c r="A9534" i="2"/>
  <c r="B9534" i="2"/>
  <c r="E9534" i="2"/>
  <c r="A9535" i="2"/>
  <c r="B9535" i="2"/>
  <c r="E9535" i="2"/>
  <c r="A9536" i="2"/>
  <c r="B9536" i="2"/>
  <c r="E9536" i="2"/>
  <c r="A9537" i="2"/>
  <c r="B9537" i="2"/>
  <c r="E9537" i="2"/>
  <c r="A9538" i="2"/>
  <c r="B9538" i="2"/>
  <c r="E9538" i="2"/>
  <c r="A9539" i="2"/>
  <c r="B9539" i="2"/>
  <c r="E9539" i="2"/>
  <c r="A9540" i="2"/>
  <c r="B9540" i="2"/>
  <c r="E9540" i="2"/>
  <c r="A9541" i="2"/>
  <c r="B9541" i="2"/>
  <c r="E9541" i="2"/>
  <c r="A9542" i="2"/>
  <c r="B9542" i="2"/>
  <c r="E9542" i="2"/>
  <c r="A9543" i="2"/>
  <c r="B9543" i="2"/>
  <c r="E9543" i="2"/>
  <c r="A9544" i="2"/>
  <c r="B9544" i="2"/>
  <c r="E9544" i="2"/>
  <c r="A9545" i="2"/>
  <c r="B9545" i="2"/>
  <c r="E9545" i="2"/>
  <c r="A9546" i="2"/>
  <c r="B9546" i="2"/>
  <c r="E9546" i="2"/>
  <c r="A9547" i="2"/>
  <c r="B9547" i="2"/>
  <c r="E9547" i="2"/>
  <c r="A9548" i="2"/>
  <c r="B9548" i="2"/>
  <c r="E9548" i="2"/>
  <c r="A9549" i="2"/>
  <c r="B9549" i="2"/>
  <c r="E9549" i="2"/>
  <c r="A9550" i="2"/>
  <c r="B9550" i="2"/>
  <c r="E9550" i="2"/>
  <c r="A9551" i="2"/>
  <c r="B9551" i="2"/>
  <c r="E9551" i="2"/>
  <c r="A9552" i="2"/>
  <c r="B9552" i="2"/>
  <c r="E9552" i="2"/>
  <c r="A9553" i="2"/>
  <c r="B9553" i="2"/>
  <c r="E9553" i="2"/>
  <c r="A9554" i="2"/>
  <c r="B9554" i="2"/>
  <c r="E9554" i="2"/>
  <c r="A9555" i="2"/>
  <c r="B9555" i="2"/>
  <c r="E9555" i="2"/>
  <c r="A9556" i="2"/>
  <c r="B9556" i="2"/>
  <c r="E9556" i="2"/>
  <c r="A9557" i="2"/>
  <c r="B9557" i="2"/>
  <c r="E9557" i="2"/>
  <c r="A9558" i="2"/>
  <c r="B9558" i="2"/>
  <c r="E9558" i="2"/>
  <c r="A9559" i="2"/>
  <c r="B9559" i="2"/>
  <c r="E9559" i="2"/>
  <c r="A9560" i="2"/>
  <c r="B9560" i="2"/>
  <c r="E9560" i="2"/>
  <c r="A9561" i="2"/>
  <c r="B9561" i="2"/>
  <c r="E9561" i="2"/>
  <c r="A9562" i="2"/>
  <c r="B9562" i="2"/>
  <c r="E9562" i="2"/>
  <c r="A9563" i="2"/>
  <c r="B9563" i="2"/>
  <c r="E9563" i="2"/>
  <c r="A9564" i="2"/>
  <c r="B9564" i="2"/>
  <c r="E9564" i="2"/>
  <c r="A9565" i="2"/>
  <c r="B9565" i="2"/>
  <c r="E9565" i="2"/>
  <c r="A9566" i="2"/>
  <c r="B9566" i="2"/>
  <c r="E9566" i="2"/>
  <c r="A9567" i="2"/>
  <c r="B9567" i="2"/>
  <c r="E9567" i="2"/>
  <c r="A9568" i="2"/>
  <c r="B9568" i="2"/>
  <c r="E9568" i="2"/>
  <c r="A9569" i="2"/>
  <c r="B9569" i="2"/>
  <c r="E9569" i="2"/>
  <c r="A9570" i="2"/>
  <c r="B9570" i="2"/>
  <c r="E9570" i="2"/>
  <c r="A9571" i="2"/>
  <c r="B9571" i="2"/>
  <c r="E9571" i="2"/>
  <c r="A9572" i="2"/>
  <c r="B9572" i="2"/>
  <c r="E9572" i="2"/>
  <c r="A9573" i="2"/>
  <c r="B9573" i="2"/>
  <c r="E9573" i="2"/>
  <c r="A9574" i="2"/>
  <c r="B9574" i="2"/>
  <c r="E9574" i="2"/>
  <c r="A9575" i="2"/>
  <c r="B9575" i="2"/>
  <c r="E9575" i="2"/>
  <c r="A9576" i="2"/>
  <c r="B9576" i="2"/>
  <c r="E9576" i="2"/>
  <c r="A9577" i="2"/>
  <c r="B9577" i="2"/>
  <c r="E9577" i="2"/>
  <c r="A9578" i="2"/>
  <c r="B9578" i="2"/>
  <c r="E9578" i="2"/>
  <c r="A9579" i="2"/>
  <c r="B9579" i="2"/>
  <c r="E9579" i="2"/>
  <c r="A9580" i="2"/>
  <c r="B9580" i="2"/>
  <c r="E9580" i="2"/>
  <c r="A9581" i="2"/>
  <c r="B9581" i="2"/>
  <c r="E9581" i="2"/>
  <c r="A9582" i="2"/>
  <c r="B9582" i="2"/>
  <c r="E9582" i="2"/>
  <c r="A9583" i="2"/>
  <c r="B9583" i="2"/>
  <c r="E9583" i="2"/>
  <c r="A9584" i="2"/>
  <c r="B9584" i="2"/>
  <c r="E9584" i="2"/>
  <c r="A9585" i="2"/>
  <c r="B9585" i="2"/>
  <c r="E9585" i="2"/>
  <c r="A9586" i="2"/>
  <c r="B9586" i="2"/>
  <c r="E9586" i="2"/>
  <c r="A9587" i="2"/>
  <c r="B9587" i="2"/>
  <c r="E9587" i="2"/>
  <c r="A9588" i="2"/>
  <c r="B9588" i="2"/>
  <c r="E9588" i="2"/>
  <c r="A9589" i="2"/>
  <c r="B9589" i="2"/>
  <c r="E9589" i="2"/>
  <c r="A9590" i="2"/>
  <c r="B9590" i="2"/>
  <c r="E9590" i="2"/>
  <c r="A9591" i="2"/>
  <c r="B9591" i="2"/>
  <c r="E9591" i="2"/>
  <c r="A9592" i="2"/>
  <c r="B9592" i="2"/>
  <c r="E9592" i="2"/>
  <c r="A9593" i="2"/>
  <c r="B9593" i="2"/>
  <c r="E9593" i="2"/>
  <c r="A9594" i="2"/>
  <c r="B9594" i="2"/>
  <c r="E9594" i="2"/>
  <c r="A9595" i="2"/>
  <c r="B9595" i="2"/>
  <c r="E9595" i="2"/>
  <c r="A9596" i="2"/>
  <c r="B9596" i="2"/>
  <c r="E9596" i="2"/>
  <c r="A9597" i="2"/>
  <c r="B9597" i="2"/>
  <c r="E9597" i="2"/>
  <c r="A9598" i="2"/>
  <c r="B9598" i="2"/>
  <c r="E9598" i="2"/>
  <c r="A9599" i="2"/>
  <c r="B9599" i="2"/>
  <c r="E9599" i="2"/>
  <c r="A9600" i="2"/>
  <c r="B9600" i="2"/>
  <c r="E9600" i="2"/>
  <c r="A9601" i="2"/>
  <c r="B9601" i="2"/>
  <c r="E9601" i="2"/>
  <c r="A9602" i="2"/>
  <c r="B9602" i="2"/>
  <c r="E9602" i="2"/>
  <c r="A9603" i="2"/>
  <c r="B9603" i="2"/>
  <c r="E9603" i="2"/>
  <c r="A9604" i="2"/>
  <c r="B9604" i="2"/>
  <c r="E9604" i="2"/>
  <c r="A9605" i="2"/>
  <c r="B9605" i="2"/>
  <c r="E9605" i="2"/>
  <c r="A9606" i="2"/>
  <c r="B9606" i="2"/>
  <c r="E9606" i="2"/>
  <c r="A9607" i="2"/>
  <c r="B9607" i="2"/>
  <c r="E9607" i="2"/>
  <c r="A9608" i="2"/>
  <c r="B9608" i="2"/>
  <c r="E9608" i="2"/>
  <c r="A9609" i="2"/>
  <c r="B9609" i="2"/>
  <c r="E9609" i="2"/>
  <c r="A9610" i="2"/>
  <c r="B9610" i="2"/>
  <c r="E9610" i="2"/>
  <c r="A9611" i="2"/>
  <c r="B9611" i="2"/>
  <c r="E9611" i="2"/>
  <c r="A9612" i="2"/>
  <c r="B9612" i="2"/>
  <c r="E9612" i="2"/>
  <c r="A9613" i="2"/>
  <c r="B9613" i="2"/>
  <c r="E9613" i="2"/>
  <c r="A9614" i="2"/>
  <c r="B9614" i="2"/>
  <c r="E9614" i="2"/>
  <c r="A9615" i="2"/>
  <c r="B9615" i="2"/>
  <c r="E9615" i="2"/>
  <c r="A9616" i="2"/>
  <c r="B9616" i="2"/>
  <c r="E9616" i="2"/>
  <c r="A9617" i="2"/>
  <c r="B9617" i="2"/>
  <c r="E9617" i="2"/>
  <c r="A9618" i="2"/>
  <c r="B9618" i="2"/>
  <c r="E9618" i="2"/>
  <c r="A9619" i="2"/>
  <c r="B9619" i="2"/>
  <c r="E9619" i="2"/>
  <c r="A9620" i="2"/>
  <c r="B9620" i="2"/>
  <c r="E9620" i="2"/>
  <c r="A9621" i="2"/>
  <c r="B9621" i="2"/>
  <c r="E9621" i="2"/>
  <c r="A9622" i="2"/>
  <c r="B9622" i="2"/>
  <c r="E9622" i="2"/>
  <c r="A9623" i="2"/>
  <c r="B9623" i="2"/>
  <c r="E9623" i="2"/>
  <c r="A9624" i="2"/>
  <c r="B9624" i="2"/>
  <c r="E9624" i="2"/>
  <c r="A9625" i="2"/>
  <c r="B9625" i="2"/>
  <c r="E9625" i="2"/>
  <c r="A9626" i="2"/>
  <c r="B9626" i="2"/>
  <c r="E9626" i="2"/>
  <c r="A9627" i="2"/>
  <c r="B9627" i="2"/>
  <c r="E9627" i="2"/>
  <c r="A9628" i="2"/>
  <c r="B9628" i="2"/>
  <c r="E9628" i="2"/>
  <c r="A9629" i="2"/>
  <c r="B9629" i="2"/>
  <c r="E9629" i="2"/>
  <c r="A9630" i="2"/>
  <c r="B9630" i="2"/>
  <c r="E9630" i="2"/>
  <c r="A9631" i="2"/>
  <c r="B9631" i="2"/>
  <c r="E9631" i="2"/>
  <c r="A9632" i="2"/>
  <c r="B9632" i="2"/>
  <c r="E9632" i="2"/>
  <c r="A9633" i="2"/>
  <c r="B9633" i="2"/>
  <c r="E9633" i="2"/>
  <c r="A9634" i="2"/>
  <c r="B9634" i="2"/>
  <c r="E9634" i="2"/>
  <c r="A9635" i="2"/>
  <c r="B9635" i="2"/>
  <c r="E9635" i="2"/>
  <c r="A9636" i="2"/>
  <c r="B9636" i="2"/>
  <c r="E9636" i="2"/>
  <c r="A9637" i="2"/>
  <c r="B9637" i="2"/>
  <c r="E9637" i="2"/>
  <c r="A9638" i="2"/>
  <c r="B9638" i="2"/>
  <c r="E9638" i="2"/>
  <c r="A9639" i="2"/>
  <c r="B9639" i="2"/>
  <c r="E9639" i="2"/>
  <c r="A9640" i="2"/>
  <c r="B9640" i="2"/>
  <c r="E9640" i="2"/>
  <c r="A9641" i="2"/>
  <c r="B9641" i="2"/>
  <c r="E9641" i="2"/>
  <c r="A9642" i="2"/>
  <c r="B9642" i="2"/>
  <c r="E9642" i="2"/>
  <c r="A9643" i="2"/>
  <c r="B9643" i="2"/>
  <c r="E9643" i="2"/>
  <c r="A9644" i="2"/>
  <c r="B9644" i="2"/>
  <c r="E9644" i="2"/>
  <c r="A9645" i="2"/>
  <c r="B9645" i="2"/>
  <c r="E9645" i="2"/>
  <c r="A9646" i="2"/>
  <c r="B9646" i="2"/>
  <c r="E9646" i="2"/>
  <c r="A9647" i="2"/>
  <c r="B9647" i="2"/>
  <c r="E9647" i="2"/>
  <c r="A9648" i="2"/>
  <c r="B9648" i="2"/>
  <c r="E9648" i="2"/>
  <c r="A9649" i="2"/>
  <c r="B9649" i="2"/>
  <c r="E9649" i="2"/>
  <c r="A9650" i="2"/>
  <c r="B9650" i="2"/>
  <c r="E9650" i="2"/>
  <c r="A9651" i="2"/>
  <c r="B9651" i="2"/>
  <c r="E9651" i="2"/>
  <c r="A9652" i="2"/>
  <c r="B9652" i="2"/>
  <c r="E9652" i="2"/>
  <c r="A9653" i="2"/>
  <c r="B9653" i="2"/>
  <c r="E9653" i="2"/>
  <c r="A9654" i="2"/>
  <c r="B9654" i="2"/>
  <c r="E9654" i="2"/>
  <c r="A9655" i="2"/>
  <c r="B9655" i="2"/>
  <c r="E9655" i="2"/>
  <c r="A9656" i="2"/>
  <c r="B9656" i="2"/>
  <c r="E9656" i="2"/>
  <c r="A9657" i="2"/>
  <c r="B9657" i="2"/>
  <c r="E9657" i="2"/>
  <c r="A9658" i="2"/>
  <c r="B9658" i="2"/>
  <c r="E9658" i="2"/>
  <c r="A9659" i="2"/>
  <c r="B9659" i="2"/>
  <c r="E9659" i="2"/>
  <c r="A9660" i="2"/>
  <c r="B9660" i="2"/>
  <c r="E9660" i="2"/>
  <c r="A9661" i="2"/>
  <c r="B9661" i="2"/>
  <c r="E9661" i="2"/>
  <c r="A9662" i="2"/>
  <c r="B9662" i="2"/>
  <c r="E9662" i="2"/>
  <c r="A9663" i="2"/>
  <c r="B9663" i="2"/>
  <c r="E9663" i="2"/>
  <c r="A9664" i="2"/>
  <c r="B9664" i="2"/>
  <c r="E9664" i="2"/>
  <c r="A9665" i="2"/>
  <c r="B9665" i="2"/>
  <c r="E9665" i="2"/>
  <c r="A9666" i="2"/>
  <c r="B9666" i="2"/>
  <c r="E9666" i="2"/>
  <c r="A9667" i="2"/>
  <c r="B9667" i="2"/>
  <c r="E9667" i="2"/>
  <c r="A9668" i="2"/>
  <c r="B9668" i="2"/>
  <c r="E9668" i="2"/>
  <c r="A9669" i="2"/>
  <c r="B9669" i="2"/>
  <c r="E9669" i="2"/>
  <c r="A9670" i="2"/>
  <c r="B9670" i="2"/>
  <c r="E9670" i="2"/>
  <c r="A9671" i="2"/>
  <c r="B9671" i="2"/>
  <c r="E9671" i="2"/>
  <c r="A9672" i="2"/>
  <c r="B9672" i="2"/>
  <c r="E9672" i="2"/>
  <c r="A9673" i="2"/>
  <c r="B9673" i="2"/>
  <c r="E9673" i="2"/>
  <c r="A9674" i="2"/>
  <c r="B9674" i="2"/>
  <c r="E9674" i="2"/>
  <c r="A9675" i="2"/>
  <c r="B9675" i="2"/>
  <c r="E9675" i="2"/>
  <c r="A9676" i="2"/>
  <c r="B9676" i="2"/>
  <c r="E9676" i="2"/>
  <c r="A9677" i="2"/>
  <c r="B9677" i="2"/>
  <c r="E9677" i="2"/>
  <c r="A9678" i="2"/>
  <c r="B9678" i="2"/>
  <c r="E9678" i="2"/>
  <c r="A9679" i="2"/>
  <c r="B9679" i="2"/>
  <c r="E9679" i="2"/>
  <c r="A9680" i="2"/>
  <c r="B9680" i="2"/>
  <c r="E9680" i="2"/>
  <c r="A9681" i="2"/>
  <c r="B9681" i="2"/>
  <c r="E9681" i="2"/>
  <c r="A9682" i="2"/>
  <c r="B9682" i="2"/>
  <c r="E9682" i="2"/>
  <c r="A9683" i="2"/>
  <c r="B9683" i="2"/>
  <c r="E9683" i="2"/>
  <c r="A9684" i="2"/>
  <c r="B9684" i="2"/>
  <c r="E9684" i="2"/>
  <c r="A9685" i="2"/>
  <c r="B9685" i="2"/>
  <c r="E9685" i="2"/>
  <c r="A9686" i="2"/>
  <c r="B9686" i="2"/>
  <c r="E9686" i="2"/>
  <c r="A9687" i="2"/>
  <c r="B9687" i="2"/>
  <c r="E9687" i="2"/>
  <c r="A9688" i="2"/>
  <c r="B9688" i="2"/>
  <c r="E9688" i="2"/>
  <c r="A9689" i="2"/>
  <c r="B9689" i="2"/>
  <c r="E9689" i="2"/>
  <c r="A9690" i="2"/>
  <c r="B9690" i="2"/>
  <c r="E9690" i="2"/>
  <c r="A9691" i="2"/>
  <c r="B9691" i="2"/>
  <c r="E9691" i="2"/>
  <c r="A9692" i="2"/>
  <c r="B9692" i="2"/>
  <c r="E9692" i="2"/>
  <c r="A9693" i="2"/>
  <c r="B9693" i="2"/>
  <c r="E9693" i="2"/>
  <c r="A9694" i="2"/>
  <c r="B9694" i="2"/>
  <c r="E9694" i="2"/>
  <c r="A9695" i="2"/>
  <c r="B9695" i="2"/>
  <c r="E9695" i="2"/>
  <c r="A9696" i="2"/>
  <c r="B9696" i="2"/>
  <c r="E9696" i="2"/>
  <c r="A9697" i="2"/>
  <c r="B9697" i="2"/>
  <c r="E9697" i="2"/>
  <c r="A9698" i="2"/>
  <c r="B9698" i="2"/>
  <c r="E9698" i="2"/>
  <c r="A9699" i="2"/>
  <c r="B9699" i="2"/>
  <c r="E9699" i="2"/>
  <c r="A9700" i="2"/>
  <c r="B9700" i="2"/>
  <c r="E9700" i="2"/>
  <c r="A9701" i="2"/>
  <c r="B9701" i="2"/>
  <c r="E9701" i="2"/>
  <c r="A9702" i="2"/>
  <c r="B9702" i="2"/>
  <c r="E9702" i="2"/>
  <c r="A9703" i="2"/>
  <c r="B9703" i="2"/>
  <c r="E9703" i="2"/>
  <c r="A9704" i="2"/>
  <c r="B9704" i="2"/>
  <c r="E9704" i="2"/>
  <c r="A9705" i="2"/>
  <c r="B9705" i="2"/>
  <c r="E9705" i="2"/>
  <c r="A9706" i="2"/>
  <c r="B9706" i="2"/>
  <c r="E9706" i="2"/>
  <c r="A9707" i="2"/>
  <c r="B9707" i="2"/>
  <c r="E9707" i="2"/>
  <c r="A9708" i="2"/>
  <c r="B9708" i="2"/>
  <c r="E9708" i="2"/>
  <c r="A9709" i="2"/>
  <c r="B9709" i="2"/>
  <c r="E9709" i="2"/>
  <c r="A9710" i="2"/>
  <c r="B9710" i="2"/>
  <c r="E9710" i="2"/>
  <c r="A9711" i="2"/>
  <c r="B9711" i="2"/>
  <c r="E9711" i="2"/>
  <c r="A9712" i="2"/>
  <c r="B9712" i="2"/>
  <c r="E9712" i="2"/>
  <c r="A9713" i="2"/>
  <c r="B9713" i="2"/>
  <c r="E9713" i="2"/>
  <c r="A9714" i="2"/>
  <c r="B9714" i="2"/>
  <c r="E9714" i="2"/>
  <c r="A9715" i="2"/>
  <c r="B9715" i="2"/>
  <c r="E9715" i="2"/>
  <c r="A9716" i="2"/>
  <c r="B9716" i="2"/>
  <c r="E9716" i="2"/>
  <c r="A9717" i="2"/>
  <c r="B9717" i="2"/>
  <c r="E9717" i="2"/>
  <c r="A9718" i="2"/>
  <c r="B9718" i="2"/>
  <c r="E9718" i="2"/>
  <c r="A9719" i="2"/>
  <c r="B9719" i="2"/>
  <c r="E9719" i="2"/>
  <c r="A9720" i="2"/>
  <c r="B9720" i="2"/>
  <c r="E9720" i="2"/>
  <c r="A9721" i="2"/>
  <c r="B9721" i="2"/>
  <c r="E9721" i="2"/>
  <c r="A9722" i="2"/>
  <c r="B9722" i="2"/>
  <c r="E9722" i="2"/>
  <c r="A9723" i="2"/>
  <c r="B9723" i="2"/>
  <c r="E9723" i="2"/>
  <c r="A9724" i="2"/>
  <c r="B9724" i="2"/>
  <c r="E9724" i="2"/>
  <c r="A9725" i="2"/>
  <c r="B9725" i="2"/>
  <c r="E9725" i="2"/>
  <c r="A9726" i="2"/>
  <c r="B9726" i="2"/>
  <c r="E9726" i="2"/>
  <c r="A9727" i="2"/>
  <c r="B9727" i="2"/>
  <c r="E9727" i="2"/>
  <c r="A9728" i="2"/>
  <c r="B9728" i="2"/>
  <c r="E9728" i="2"/>
  <c r="A9729" i="2"/>
  <c r="B9729" i="2"/>
  <c r="E9729" i="2"/>
  <c r="A9730" i="2"/>
  <c r="B9730" i="2"/>
  <c r="E9730" i="2"/>
  <c r="A9731" i="2"/>
  <c r="B9731" i="2"/>
  <c r="E9731" i="2"/>
  <c r="A9732" i="2"/>
  <c r="B9732" i="2"/>
  <c r="E9732" i="2"/>
  <c r="A9733" i="2"/>
  <c r="B9733" i="2"/>
  <c r="E9733" i="2"/>
  <c r="A9734" i="2"/>
  <c r="B9734" i="2"/>
  <c r="E9734" i="2"/>
  <c r="A9735" i="2"/>
  <c r="B9735" i="2"/>
  <c r="E9735" i="2"/>
  <c r="A9736" i="2"/>
  <c r="B9736" i="2"/>
  <c r="E9736" i="2"/>
  <c r="A9737" i="2"/>
  <c r="B9737" i="2"/>
  <c r="E9737" i="2"/>
  <c r="A9738" i="2"/>
  <c r="B9738" i="2"/>
  <c r="E9738" i="2"/>
  <c r="A9739" i="2"/>
  <c r="B9739" i="2"/>
  <c r="E9739" i="2"/>
  <c r="A9740" i="2"/>
  <c r="B9740" i="2"/>
  <c r="E9740" i="2"/>
  <c r="A9741" i="2"/>
  <c r="B9741" i="2"/>
  <c r="E9741" i="2"/>
  <c r="A9742" i="2"/>
  <c r="B9742" i="2"/>
  <c r="E9742" i="2"/>
  <c r="A9743" i="2"/>
  <c r="B9743" i="2"/>
  <c r="E9743" i="2"/>
  <c r="A9744" i="2"/>
  <c r="B9744" i="2"/>
  <c r="E9744" i="2"/>
  <c r="A9745" i="2"/>
  <c r="B9745" i="2"/>
  <c r="E9745" i="2"/>
  <c r="A9746" i="2"/>
  <c r="B9746" i="2"/>
  <c r="E9746" i="2"/>
  <c r="A9747" i="2"/>
  <c r="B9747" i="2"/>
  <c r="E9747" i="2"/>
  <c r="A9748" i="2"/>
  <c r="B9748" i="2"/>
  <c r="E9748" i="2"/>
  <c r="A9749" i="2"/>
  <c r="B9749" i="2"/>
  <c r="E9749" i="2"/>
  <c r="A9750" i="2"/>
  <c r="B9750" i="2"/>
  <c r="E9750" i="2"/>
  <c r="A9751" i="2"/>
  <c r="B9751" i="2"/>
  <c r="E9751" i="2"/>
  <c r="A9752" i="2"/>
  <c r="B9752" i="2"/>
  <c r="E9752" i="2"/>
  <c r="A9753" i="2"/>
  <c r="B9753" i="2"/>
  <c r="E9753" i="2"/>
  <c r="A9754" i="2"/>
  <c r="B9754" i="2"/>
  <c r="E9754" i="2"/>
  <c r="A9755" i="2"/>
  <c r="B9755" i="2"/>
  <c r="E9755" i="2"/>
  <c r="A9756" i="2"/>
  <c r="B9756" i="2"/>
  <c r="E9756" i="2"/>
  <c r="A9757" i="2"/>
  <c r="B9757" i="2"/>
  <c r="E9757" i="2"/>
  <c r="A9758" i="2"/>
  <c r="B9758" i="2"/>
  <c r="E9758" i="2"/>
  <c r="A9759" i="2"/>
  <c r="B9759" i="2"/>
  <c r="E9759" i="2"/>
  <c r="A9760" i="2"/>
  <c r="B9760" i="2"/>
  <c r="E9760" i="2"/>
  <c r="A9761" i="2"/>
  <c r="B9761" i="2"/>
  <c r="E9761" i="2"/>
  <c r="A9762" i="2"/>
  <c r="B9762" i="2"/>
  <c r="E9762" i="2"/>
  <c r="A9763" i="2"/>
  <c r="B9763" i="2"/>
  <c r="E9763" i="2"/>
  <c r="A9764" i="2"/>
  <c r="B9764" i="2"/>
  <c r="E9764" i="2"/>
  <c r="A9765" i="2"/>
  <c r="B9765" i="2"/>
  <c r="E9765" i="2"/>
  <c r="A9766" i="2"/>
  <c r="B9766" i="2"/>
  <c r="E9766" i="2"/>
  <c r="A9767" i="2"/>
  <c r="B9767" i="2"/>
  <c r="E9767" i="2"/>
  <c r="A9768" i="2"/>
  <c r="B9768" i="2"/>
  <c r="E9768" i="2"/>
  <c r="A9769" i="2"/>
  <c r="B9769" i="2"/>
  <c r="E9769" i="2"/>
  <c r="A9770" i="2"/>
  <c r="B9770" i="2"/>
  <c r="E9770" i="2"/>
  <c r="A9771" i="2"/>
  <c r="B9771" i="2"/>
  <c r="E9771" i="2"/>
  <c r="A9772" i="2"/>
  <c r="B9772" i="2"/>
  <c r="E9772" i="2"/>
  <c r="A9773" i="2"/>
  <c r="B9773" i="2"/>
  <c r="E9773" i="2"/>
  <c r="A9774" i="2"/>
  <c r="B9774" i="2"/>
  <c r="E9774" i="2"/>
  <c r="A9775" i="2"/>
  <c r="B9775" i="2"/>
  <c r="E9775" i="2"/>
  <c r="A9776" i="2"/>
  <c r="B9776" i="2"/>
  <c r="E9776" i="2"/>
  <c r="A9777" i="2"/>
  <c r="B9777" i="2"/>
  <c r="E9777" i="2"/>
  <c r="A9778" i="2"/>
  <c r="B9778" i="2"/>
  <c r="E9778" i="2"/>
  <c r="A9779" i="2"/>
  <c r="B9779" i="2"/>
  <c r="E9779" i="2"/>
  <c r="A9780" i="2"/>
  <c r="B9780" i="2"/>
  <c r="E9780" i="2"/>
  <c r="A9781" i="2"/>
  <c r="B9781" i="2"/>
  <c r="E9781" i="2"/>
  <c r="A9782" i="2"/>
  <c r="B9782" i="2"/>
  <c r="E9782" i="2"/>
  <c r="A9783" i="2"/>
  <c r="B9783" i="2"/>
  <c r="E9783" i="2"/>
  <c r="A9784" i="2"/>
  <c r="B9784" i="2"/>
  <c r="E9784" i="2"/>
  <c r="A9785" i="2"/>
  <c r="B9785" i="2"/>
  <c r="E9785" i="2"/>
  <c r="A9786" i="2"/>
  <c r="B9786" i="2"/>
  <c r="E9786" i="2"/>
  <c r="A9787" i="2"/>
  <c r="B9787" i="2"/>
  <c r="E9787" i="2"/>
  <c r="A9788" i="2"/>
  <c r="B9788" i="2"/>
  <c r="E9788" i="2"/>
  <c r="A9789" i="2"/>
  <c r="B9789" i="2"/>
  <c r="E9789" i="2"/>
  <c r="A9790" i="2"/>
  <c r="B9790" i="2"/>
  <c r="E9790" i="2"/>
  <c r="A9791" i="2"/>
  <c r="B9791" i="2"/>
  <c r="E9791" i="2"/>
  <c r="A9792" i="2"/>
  <c r="B9792" i="2"/>
  <c r="E9792" i="2"/>
  <c r="A9793" i="2"/>
  <c r="B9793" i="2"/>
  <c r="E9793" i="2"/>
  <c r="A9794" i="2"/>
  <c r="B9794" i="2"/>
  <c r="E9794" i="2"/>
  <c r="A9795" i="2"/>
  <c r="B9795" i="2"/>
  <c r="E9795" i="2"/>
  <c r="A9796" i="2"/>
  <c r="B9796" i="2"/>
  <c r="E9796" i="2"/>
  <c r="A9797" i="2"/>
  <c r="B9797" i="2"/>
  <c r="E9797" i="2"/>
  <c r="A9798" i="2"/>
  <c r="B9798" i="2"/>
  <c r="E9798" i="2"/>
  <c r="A9799" i="2"/>
  <c r="B9799" i="2"/>
  <c r="E9799" i="2"/>
  <c r="A9800" i="2"/>
  <c r="B9800" i="2"/>
  <c r="E9800" i="2"/>
  <c r="A9801" i="2"/>
  <c r="B9801" i="2"/>
  <c r="E9801" i="2"/>
  <c r="A9802" i="2"/>
  <c r="B9802" i="2"/>
  <c r="E9802" i="2"/>
  <c r="A9803" i="2"/>
  <c r="B9803" i="2"/>
  <c r="E9803" i="2"/>
  <c r="A9804" i="2"/>
  <c r="B9804" i="2"/>
  <c r="E9804" i="2"/>
  <c r="A9805" i="2"/>
  <c r="B9805" i="2"/>
  <c r="E9805" i="2"/>
  <c r="A9806" i="2"/>
  <c r="B9806" i="2"/>
  <c r="E9806" i="2"/>
  <c r="A9807" i="2"/>
  <c r="B9807" i="2"/>
  <c r="E9807" i="2"/>
  <c r="A9808" i="2"/>
  <c r="B9808" i="2"/>
  <c r="E9808" i="2"/>
  <c r="A9809" i="2"/>
  <c r="B9809" i="2"/>
  <c r="E9809" i="2"/>
  <c r="A9810" i="2"/>
  <c r="B9810" i="2"/>
  <c r="E9810" i="2"/>
  <c r="A9811" i="2"/>
  <c r="B9811" i="2"/>
  <c r="E9811" i="2"/>
  <c r="A9812" i="2"/>
  <c r="B9812" i="2"/>
  <c r="E9812" i="2"/>
  <c r="A9813" i="2"/>
  <c r="B9813" i="2"/>
  <c r="E9813" i="2"/>
  <c r="A9814" i="2"/>
  <c r="B9814" i="2"/>
  <c r="E9814" i="2"/>
  <c r="A9815" i="2"/>
  <c r="B9815" i="2"/>
  <c r="E9815" i="2"/>
  <c r="A9816" i="2"/>
  <c r="B9816" i="2"/>
  <c r="E9816" i="2"/>
  <c r="A9817" i="2"/>
  <c r="B9817" i="2"/>
  <c r="E9817" i="2"/>
  <c r="A9818" i="2"/>
  <c r="B9818" i="2"/>
  <c r="E9818" i="2"/>
  <c r="A9819" i="2"/>
  <c r="B9819" i="2"/>
  <c r="E9819" i="2"/>
  <c r="A9820" i="2"/>
  <c r="B9820" i="2"/>
  <c r="E9820" i="2"/>
  <c r="A9821" i="2"/>
  <c r="B9821" i="2"/>
  <c r="E9821" i="2"/>
  <c r="A9822" i="2"/>
  <c r="B9822" i="2"/>
  <c r="E9822" i="2"/>
  <c r="A9823" i="2"/>
  <c r="B9823" i="2"/>
  <c r="E9823" i="2"/>
  <c r="A9824" i="2"/>
  <c r="B9824" i="2"/>
  <c r="E9824" i="2"/>
  <c r="A9825" i="2"/>
  <c r="B9825" i="2"/>
  <c r="E9825" i="2"/>
  <c r="A9826" i="2"/>
  <c r="B9826" i="2"/>
  <c r="E9826" i="2"/>
  <c r="A9827" i="2"/>
  <c r="B9827" i="2"/>
  <c r="E9827" i="2"/>
  <c r="A9828" i="2"/>
  <c r="B9828" i="2"/>
  <c r="E9828" i="2"/>
  <c r="A9829" i="2"/>
  <c r="B9829" i="2"/>
  <c r="E9829" i="2"/>
  <c r="A9830" i="2"/>
  <c r="B9830" i="2"/>
  <c r="E9830" i="2"/>
  <c r="A9831" i="2"/>
  <c r="B9831" i="2"/>
  <c r="E9831" i="2"/>
  <c r="A9832" i="2"/>
  <c r="B9832" i="2"/>
  <c r="E9832" i="2"/>
  <c r="A9833" i="2"/>
  <c r="B9833" i="2"/>
  <c r="E9833" i="2"/>
  <c r="A9834" i="2"/>
  <c r="B9834" i="2"/>
  <c r="E9834" i="2"/>
  <c r="A9835" i="2"/>
  <c r="B9835" i="2"/>
  <c r="E9835" i="2"/>
  <c r="A9836" i="2"/>
  <c r="B9836" i="2"/>
  <c r="E9836" i="2"/>
  <c r="A9837" i="2"/>
  <c r="B9837" i="2"/>
  <c r="E9837" i="2"/>
  <c r="A9838" i="2"/>
  <c r="B9838" i="2"/>
  <c r="E9838" i="2"/>
  <c r="A9839" i="2"/>
  <c r="B9839" i="2"/>
  <c r="E9839" i="2"/>
  <c r="A9840" i="2"/>
  <c r="B9840" i="2"/>
  <c r="E9840" i="2"/>
  <c r="A9841" i="2"/>
  <c r="B9841" i="2"/>
  <c r="E9841" i="2"/>
  <c r="A9842" i="2"/>
  <c r="B9842" i="2"/>
  <c r="E9842" i="2"/>
  <c r="A9843" i="2"/>
  <c r="B9843" i="2"/>
  <c r="E9843" i="2"/>
  <c r="A9844" i="2"/>
  <c r="B9844" i="2"/>
  <c r="E9844" i="2"/>
  <c r="A9845" i="2"/>
  <c r="B9845" i="2"/>
  <c r="E9845" i="2"/>
  <c r="A9846" i="2"/>
  <c r="B9846" i="2"/>
  <c r="E9846" i="2"/>
  <c r="A9847" i="2"/>
  <c r="B9847" i="2"/>
  <c r="E9847" i="2"/>
  <c r="A9848" i="2"/>
  <c r="B9848" i="2"/>
  <c r="E9848" i="2"/>
  <c r="A9849" i="2"/>
  <c r="B9849" i="2"/>
  <c r="E9849" i="2"/>
  <c r="A9850" i="2"/>
  <c r="B9850" i="2"/>
  <c r="E9850" i="2"/>
  <c r="A9851" i="2"/>
  <c r="B9851" i="2"/>
  <c r="E9851" i="2"/>
  <c r="A9852" i="2"/>
  <c r="B9852" i="2"/>
  <c r="E9852" i="2"/>
  <c r="A9853" i="2"/>
  <c r="B9853" i="2"/>
  <c r="E9853" i="2"/>
  <c r="A9854" i="2"/>
  <c r="B9854" i="2"/>
  <c r="E9854" i="2"/>
  <c r="A9855" i="2"/>
  <c r="B9855" i="2"/>
  <c r="E9855" i="2"/>
  <c r="A9856" i="2"/>
  <c r="B9856" i="2"/>
  <c r="E9856" i="2"/>
  <c r="A9857" i="2"/>
  <c r="B9857" i="2"/>
  <c r="E9857" i="2"/>
  <c r="A9858" i="2"/>
  <c r="B9858" i="2"/>
  <c r="E9858" i="2"/>
  <c r="A9859" i="2"/>
  <c r="B9859" i="2"/>
  <c r="E9859" i="2"/>
  <c r="A9860" i="2"/>
  <c r="B9860" i="2"/>
  <c r="E9860" i="2"/>
  <c r="A9861" i="2"/>
  <c r="B9861" i="2"/>
  <c r="E9861" i="2"/>
  <c r="A9862" i="2"/>
  <c r="B9862" i="2"/>
  <c r="E9862" i="2"/>
  <c r="A9863" i="2"/>
  <c r="B9863" i="2"/>
  <c r="E9863" i="2"/>
  <c r="A9864" i="2"/>
  <c r="B9864" i="2"/>
  <c r="E9864" i="2"/>
  <c r="A9865" i="2"/>
  <c r="B9865" i="2"/>
  <c r="E9865" i="2"/>
  <c r="A9866" i="2"/>
  <c r="B9866" i="2"/>
  <c r="E9866" i="2"/>
  <c r="A9867" i="2"/>
  <c r="B9867" i="2"/>
  <c r="E9867" i="2"/>
  <c r="A9868" i="2"/>
  <c r="B9868" i="2"/>
  <c r="E9868" i="2"/>
  <c r="A9869" i="2"/>
  <c r="B9869" i="2"/>
  <c r="E9869" i="2"/>
  <c r="A9870" i="2"/>
  <c r="B9870" i="2"/>
  <c r="E9870" i="2"/>
  <c r="A9871" i="2"/>
  <c r="B9871" i="2"/>
  <c r="E9871" i="2"/>
  <c r="A9872" i="2"/>
  <c r="B9872" i="2"/>
  <c r="E9872" i="2"/>
  <c r="A9873" i="2"/>
  <c r="B9873" i="2"/>
  <c r="E9873" i="2"/>
  <c r="A9874" i="2"/>
  <c r="B9874" i="2"/>
  <c r="E9874" i="2"/>
  <c r="A9875" i="2"/>
  <c r="B9875" i="2"/>
  <c r="E9875" i="2"/>
  <c r="A9876" i="2"/>
  <c r="B9876" i="2"/>
  <c r="E9876" i="2"/>
  <c r="A9877" i="2"/>
  <c r="B9877" i="2"/>
  <c r="E9877" i="2"/>
  <c r="A9878" i="2"/>
  <c r="B9878" i="2"/>
  <c r="E9878" i="2"/>
  <c r="A9879" i="2"/>
  <c r="B9879" i="2"/>
  <c r="E9879" i="2"/>
  <c r="A9880" i="2"/>
  <c r="B9880" i="2"/>
  <c r="E9880" i="2"/>
  <c r="A9881" i="2"/>
  <c r="B9881" i="2"/>
  <c r="E9881" i="2"/>
  <c r="A9882" i="2"/>
  <c r="B9882" i="2"/>
  <c r="E9882" i="2"/>
  <c r="A9883" i="2"/>
  <c r="B9883" i="2"/>
  <c r="E9883" i="2"/>
  <c r="A9884" i="2"/>
  <c r="B9884" i="2"/>
  <c r="E9884" i="2"/>
  <c r="A9885" i="2"/>
  <c r="B9885" i="2"/>
  <c r="E9885" i="2"/>
  <c r="A9886" i="2"/>
  <c r="B9886" i="2"/>
  <c r="E9886" i="2"/>
  <c r="A9887" i="2"/>
  <c r="B9887" i="2"/>
  <c r="E9887" i="2"/>
  <c r="A9888" i="2"/>
  <c r="B9888" i="2"/>
  <c r="E9888" i="2"/>
  <c r="A9889" i="2"/>
  <c r="B9889" i="2"/>
  <c r="E9889" i="2"/>
  <c r="A9890" i="2"/>
  <c r="B9890" i="2"/>
  <c r="E9890" i="2"/>
  <c r="A9891" i="2"/>
  <c r="B9891" i="2"/>
  <c r="E9891" i="2"/>
  <c r="A9892" i="2"/>
  <c r="B9892" i="2"/>
  <c r="E9892" i="2"/>
  <c r="A9893" i="2"/>
  <c r="B9893" i="2"/>
  <c r="E9893" i="2"/>
  <c r="A9894" i="2"/>
  <c r="B9894" i="2"/>
  <c r="E9894" i="2"/>
  <c r="A9895" i="2"/>
  <c r="B9895" i="2"/>
  <c r="E9895" i="2"/>
  <c r="A9896" i="2"/>
  <c r="B9896" i="2"/>
  <c r="E9896" i="2"/>
  <c r="A9897" i="2"/>
  <c r="B9897" i="2"/>
  <c r="E9897" i="2"/>
  <c r="A9898" i="2"/>
  <c r="B9898" i="2"/>
  <c r="E9898" i="2"/>
  <c r="A9899" i="2"/>
  <c r="B9899" i="2"/>
  <c r="E9899" i="2"/>
  <c r="A9900" i="2"/>
  <c r="B9900" i="2"/>
  <c r="E9900" i="2"/>
  <c r="A9901" i="2"/>
  <c r="B9901" i="2"/>
  <c r="E9901" i="2"/>
  <c r="A9902" i="2"/>
  <c r="B9902" i="2"/>
  <c r="E9902" i="2"/>
  <c r="A9903" i="2"/>
  <c r="B9903" i="2"/>
  <c r="E9903" i="2"/>
  <c r="A9904" i="2"/>
  <c r="B9904" i="2"/>
  <c r="E9904" i="2"/>
  <c r="A9905" i="2"/>
  <c r="B9905" i="2"/>
  <c r="E9905" i="2"/>
  <c r="A9906" i="2"/>
  <c r="B9906" i="2"/>
  <c r="E9906" i="2"/>
  <c r="A9907" i="2"/>
  <c r="B9907" i="2"/>
  <c r="E9907" i="2"/>
  <c r="A9908" i="2"/>
  <c r="B9908" i="2"/>
  <c r="E9908" i="2"/>
  <c r="A9909" i="2"/>
  <c r="B9909" i="2"/>
  <c r="E9909" i="2"/>
  <c r="A9910" i="2"/>
  <c r="B9910" i="2"/>
  <c r="E9910" i="2"/>
  <c r="A9911" i="2"/>
  <c r="B9911" i="2"/>
  <c r="E9911" i="2"/>
  <c r="A9912" i="2"/>
  <c r="B9912" i="2"/>
  <c r="E9912" i="2"/>
  <c r="A9913" i="2"/>
  <c r="B9913" i="2"/>
  <c r="E9913" i="2"/>
  <c r="A9914" i="2"/>
  <c r="B9914" i="2"/>
  <c r="E9914" i="2"/>
  <c r="A9915" i="2"/>
  <c r="B9915" i="2"/>
  <c r="E9915" i="2"/>
  <c r="A9916" i="2"/>
  <c r="B9916" i="2"/>
  <c r="E9916" i="2"/>
  <c r="A9917" i="2"/>
  <c r="B9917" i="2"/>
  <c r="E9917" i="2"/>
  <c r="A9918" i="2"/>
  <c r="B9918" i="2"/>
  <c r="E9918" i="2"/>
  <c r="A9919" i="2"/>
  <c r="B9919" i="2"/>
  <c r="E9919" i="2"/>
  <c r="A9920" i="2"/>
  <c r="B9920" i="2"/>
  <c r="E9920" i="2"/>
  <c r="A9921" i="2"/>
  <c r="B9921" i="2"/>
  <c r="E9921" i="2"/>
  <c r="A9922" i="2"/>
  <c r="B9922" i="2"/>
  <c r="E9922" i="2"/>
  <c r="A9923" i="2"/>
  <c r="B9923" i="2"/>
  <c r="E9923" i="2"/>
  <c r="A9924" i="2"/>
  <c r="B9924" i="2"/>
  <c r="E9924" i="2"/>
  <c r="A9925" i="2"/>
  <c r="B9925" i="2"/>
  <c r="E9925" i="2"/>
  <c r="A9926" i="2"/>
  <c r="B9926" i="2"/>
  <c r="E9926" i="2"/>
  <c r="A9927" i="2"/>
  <c r="B9927" i="2"/>
  <c r="E9927" i="2"/>
  <c r="A9928" i="2"/>
  <c r="B9928" i="2"/>
  <c r="E9928" i="2"/>
  <c r="A9929" i="2"/>
  <c r="B9929" i="2"/>
  <c r="E9929" i="2"/>
  <c r="A9930" i="2"/>
  <c r="B9930" i="2"/>
  <c r="E9930" i="2"/>
  <c r="A9931" i="2"/>
  <c r="B9931" i="2"/>
  <c r="E9931" i="2"/>
  <c r="A9932" i="2"/>
  <c r="B9932" i="2"/>
  <c r="E9932" i="2"/>
  <c r="A9933" i="2"/>
  <c r="B9933" i="2"/>
  <c r="E9933" i="2"/>
  <c r="A9934" i="2"/>
  <c r="B9934" i="2"/>
  <c r="E9934" i="2"/>
  <c r="A9935" i="2"/>
  <c r="B9935" i="2"/>
  <c r="E9935" i="2"/>
  <c r="A9936" i="2"/>
  <c r="B9936" i="2"/>
  <c r="E9936" i="2"/>
  <c r="A9937" i="2"/>
  <c r="B9937" i="2"/>
  <c r="E9937" i="2"/>
  <c r="A9938" i="2"/>
  <c r="B9938" i="2"/>
  <c r="E9938" i="2"/>
  <c r="A9939" i="2"/>
  <c r="B9939" i="2"/>
  <c r="E9939" i="2"/>
  <c r="A9940" i="2"/>
  <c r="B9940" i="2"/>
  <c r="E9940" i="2"/>
  <c r="A9941" i="2"/>
  <c r="B9941" i="2"/>
  <c r="E9941" i="2"/>
  <c r="A9942" i="2"/>
  <c r="B9942" i="2"/>
  <c r="E9942" i="2"/>
  <c r="A9943" i="2"/>
  <c r="B9943" i="2"/>
  <c r="E9943" i="2"/>
  <c r="A9944" i="2"/>
  <c r="B9944" i="2"/>
  <c r="E9944" i="2"/>
  <c r="A9945" i="2"/>
  <c r="B9945" i="2"/>
  <c r="E9945" i="2"/>
  <c r="A9946" i="2"/>
  <c r="B9946" i="2"/>
  <c r="E9946" i="2"/>
  <c r="A9947" i="2"/>
  <c r="B9947" i="2"/>
  <c r="E9947" i="2"/>
  <c r="A9948" i="2"/>
  <c r="B9948" i="2"/>
  <c r="E9948" i="2"/>
  <c r="A9949" i="2"/>
  <c r="B9949" i="2"/>
  <c r="E9949" i="2"/>
  <c r="A9950" i="2"/>
  <c r="B9950" i="2"/>
  <c r="E9950" i="2"/>
  <c r="A9951" i="2"/>
  <c r="B9951" i="2"/>
  <c r="E9951" i="2"/>
  <c r="A9952" i="2"/>
  <c r="B9952" i="2"/>
  <c r="E9952" i="2"/>
  <c r="A9953" i="2"/>
  <c r="B9953" i="2"/>
  <c r="E9953" i="2"/>
  <c r="A9954" i="2"/>
  <c r="B9954" i="2"/>
  <c r="E9954" i="2"/>
  <c r="A9955" i="2"/>
  <c r="B9955" i="2"/>
  <c r="E9955" i="2"/>
  <c r="A9956" i="2"/>
  <c r="B9956" i="2"/>
  <c r="E9956" i="2"/>
  <c r="A9957" i="2"/>
  <c r="B9957" i="2"/>
  <c r="E9957" i="2"/>
  <c r="A9958" i="2"/>
  <c r="B9958" i="2"/>
  <c r="E9958" i="2"/>
  <c r="A9959" i="2"/>
  <c r="B9959" i="2"/>
  <c r="E9959" i="2"/>
  <c r="A9960" i="2"/>
  <c r="B9960" i="2"/>
  <c r="E9960" i="2"/>
  <c r="A9961" i="2"/>
  <c r="B9961" i="2"/>
  <c r="E9961" i="2"/>
  <c r="A9962" i="2"/>
  <c r="B9962" i="2"/>
  <c r="E9962" i="2"/>
  <c r="A9963" i="2"/>
  <c r="B9963" i="2"/>
  <c r="E9963" i="2"/>
  <c r="A9964" i="2"/>
  <c r="B9964" i="2"/>
  <c r="E9964" i="2"/>
  <c r="A9965" i="2"/>
  <c r="B9965" i="2"/>
  <c r="E9965" i="2"/>
  <c r="A9966" i="2"/>
  <c r="B9966" i="2"/>
  <c r="E9966" i="2"/>
  <c r="A9967" i="2"/>
  <c r="B9967" i="2"/>
  <c r="E9967" i="2"/>
  <c r="A9968" i="2"/>
  <c r="B9968" i="2"/>
  <c r="E9968" i="2"/>
  <c r="A9969" i="2"/>
  <c r="B9969" i="2"/>
  <c r="E9969" i="2"/>
  <c r="A9970" i="2"/>
  <c r="B9970" i="2"/>
  <c r="E9970" i="2"/>
  <c r="A9971" i="2"/>
  <c r="B9971" i="2"/>
  <c r="E9971" i="2"/>
  <c r="A9972" i="2"/>
  <c r="B9972" i="2"/>
  <c r="E9972" i="2"/>
  <c r="A9973" i="2"/>
  <c r="B9973" i="2"/>
  <c r="E9973" i="2"/>
  <c r="A9974" i="2"/>
  <c r="B9974" i="2"/>
  <c r="E9974" i="2"/>
  <c r="A9975" i="2"/>
  <c r="B9975" i="2"/>
  <c r="E9975" i="2"/>
  <c r="A9976" i="2"/>
  <c r="B9976" i="2"/>
  <c r="E9976" i="2"/>
  <c r="A9977" i="2"/>
  <c r="B9977" i="2"/>
  <c r="E9977" i="2"/>
  <c r="A9978" i="2"/>
  <c r="B9978" i="2"/>
  <c r="E9978" i="2"/>
  <c r="A9979" i="2"/>
  <c r="B9979" i="2"/>
  <c r="E9979" i="2"/>
  <c r="A9980" i="2"/>
  <c r="B9980" i="2"/>
  <c r="E9980" i="2"/>
  <c r="A9981" i="2"/>
  <c r="B9981" i="2"/>
  <c r="E9981" i="2"/>
  <c r="A9982" i="2"/>
  <c r="B9982" i="2"/>
  <c r="E9982" i="2"/>
  <c r="A9983" i="2"/>
  <c r="B9983" i="2"/>
  <c r="E9983" i="2"/>
  <c r="A9984" i="2"/>
  <c r="B9984" i="2"/>
  <c r="E9984" i="2"/>
  <c r="A9985" i="2"/>
  <c r="B9985" i="2"/>
  <c r="E9985" i="2"/>
  <c r="A9986" i="2"/>
  <c r="B9986" i="2"/>
  <c r="E9986" i="2"/>
  <c r="A9987" i="2"/>
  <c r="B9987" i="2"/>
  <c r="E9987" i="2"/>
  <c r="A9988" i="2"/>
  <c r="B9988" i="2"/>
  <c r="E9988" i="2"/>
  <c r="A9989" i="2"/>
  <c r="B9989" i="2"/>
  <c r="E9989" i="2"/>
  <c r="A9990" i="2"/>
  <c r="B9990" i="2"/>
  <c r="E9990" i="2"/>
  <c r="A9991" i="2"/>
  <c r="B9991" i="2"/>
  <c r="E9991" i="2"/>
  <c r="A9992" i="2"/>
  <c r="B9992" i="2"/>
  <c r="E9992" i="2"/>
  <c r="A9993" i="2"/>
  <c r="B9993" i="2"/>
  <c r="E9993" i="2"/>
  <c r="A9994" i="2"/>
  <c r="B9994" i="2"/>
  <c r="E9994" i="2"/>
  <c r="A9995" i="2"/>
  <c r="B9995" i="2"/>
  <c r="E9995" i="2"/>
  <c r="A9996" i="2"/>
  <c r="B9996" i="2"/>
  <c r="E9996" i="2"/>
  <c r="A9997" i="2"/>
  <c r="B9997" i="2"/>
  <c r="E9997" i="2"/>
  <c r="A9998" i="2"/>
  <c r="B9998" i="2"/>
  <c r="E9998" i="2"/>
  <c r="A9999" i="2"/>
  <c r="B9999" i="2"/>
  <c r="E9999" i="2"/>
  <c r="A10000" i="2"/>
  <c r="B10000" i="2"/>
  <c r="E10000" i="2"/>
  <c r="A10001" i="2"/>
  <c r="B10001" i="2"/>
  <c r="E10001" i="2"/>
  <c r="A10002" i="2"/>
  <c r="B10002" i="2"/>
  <c r="E10002" i="2"/>
  <c r="A10003" i="2"/>
  <c r="B10003" i="2"/>
  <c r="E10003" i="2"/>
  <c r="A10004" i="2"/>
  <c r="B10004" i="2"/>
  <c r="E10004" i="2"/>
  <c r="A10005" i="2"/>
  <c r="B10005" i="2"/>
  <c r="E10005" i="2"/>
  <c r="A10006" i="2"/>
  <c r="B10006" i="2"/>
  <c r="E10006" i="2"/>
  <c r="A10007" i="2"/>
  <c r="B10007" i="2"/>
  <c r="E10007" i="2"/>
  <c r="A10008" i="2"/>
  <c r="B10008" i="2"/>
  <c r="E10008" i="2"/>
  <c r="A10009" i="2"/>
  <c r="B10009" i="2"/>
  <c r="E10009" i="2"/>
  <c r="A10010" i="2"/>
  <c r="B10010" i="2"/>
  <c r="E10010" i="2"/>
  <c r="A10011" i="2"/>
  <c r="B10011" i="2"/>
  <c r="E10011" i="2"/>
  <c r="A10012" i="2"/>
  <c r="B10012" i="2"/>
  <c r="E10012" i="2"/>
  <c r="A10013" i="2"/>
  <c r="B10013" i="2"/>
  <c r="E10013" i="2"/>
  <c r="A10014" i="2"/>
  <c r="B10014" i="2"/>
  <c r="E10014" i="2"/>
  <c r="A10015" i="2"/>
  <c r="B10015" i="2"/>
  <c r="E10015" i="2"/>
  <c r="A10016" i="2"/>
  <c r="B10016" i="2"/>
  <c r="E10016" i="2"/>
  <c r="A10017" i="2"/>
  <c r="B10017" i="2"/>
  <c r="E10017" i="2"/>
  <c r="A10018" i="2"/>
  <c r="B10018" i="2"/>
  <c r="E10018" i="2"/>
  <c r="A10019" i="2"/>
  <c r="B10019" i="2"/>
  <c r="E10019" i="2"/>
  <c r="A10020" i="2"/>
  <c r="B10020" i="2"/>
  <c r="E10020" i="2"/>
  <c r="A10021" i="2"/>
  <c r="B10021" i="2"/>
  <c r="E10021" i="2"/>
  <c r="A10022" i="2"/>
  <c r="B10022" i="2"/>
  <c r="E10022" i="2"/>
  <c r="A10023" i="2"/>
  <c r="B10023" i="2"/>
  <c r="E10023" i="2"/>
  <c r="A10024" i="2"/>
  <c r="B10024" i="2"/>
  <c r="E10024" i="2"/>
  <c r="A10025" i="2"/>
  <c r="B10025" i="2"/>
  <c r="E10025" i="2"/>
  <c r="A10026" i="2"/>
  <c r="B10026" i="2"/>
  <c r="E10026" i="2"/>
  <c r="A10027" i="2"/>
  <c r="B10027" i="2"/>
  <c r="E10027" i="2"/>
  <c r="A10028" i="2"/>
  <c r="B10028" i="2"/>
  <c r="E10028" i="2"/>
  <c r="A10029" i="2"/>
  <c r="B10029" i="2"/>
  <c r="E10029" i="2"/>
  <c r="A10030" i="2"/>
  <c r="B10030" i="2"/>
  <c r="E10030" i="2"/>
  <c r="A10031" i="2"/>
  <c r="B10031" i="2"/>
  <c r="E10031" i="2"/>
  <c r="A10032" i="2"/>
  <c r="B10032" i="2"/>
  <c r="E10032" i="2"/>
  <c r="A10033" i="2"/>
  <c r="B10033" i="2"/>
  <c r="E10033" i="2"/>
  <c r="A10034" i="2"/>
  <c r="B10034" i="2"/>
  <c r="E10034" i="2"/>
  <c r="A10035" i="2"/>
  <c r="B10035" i="2"/>
  <c r="E10035" i="2"/>
  <c r="A10036" i="2"/>
  <c r="B10036" i="2"/>
  <c r="E10036" i="2"/>
  <c r="A10037" i="2"/>
  <c r="B10037" i="2"/>
  <c r="E10037" i="2"/>
  <c r="A10038" i="2"/>
  <c r="B10038" i="2"/>
  <c r="E10038" i="2"/>
  <c r="A10039" i="2"/>
  <c r="B10039" i="2"/>
  <c r="E10039" i="2"/>
  <c r="A10040" i="2"/>
  <c r="B10040" i="2"/>
  <c r="E10040" i="2"/>
  <c r="A10041" i="2"/>
  <c r="B10041" i="2"/>
  <c r="E10041" i="2"/>
  <c r="A10042" i="2"/>
  <c r="B10042" i="2"/>
  <c r="E10042" i="2"/>
  <c r="A10043" i="2"/>
  <c r="B10043" i="2"/>
  <c r="E10043" i="2"/>
  <c r="A10044" i="2"/>
  <c r="B10044" i="2"/>
  <c r="E10044" i="2"/>
  <c r="A10045" i="2"/>
  <c r="B10045" i="2"/>
  <c r="E10045" i="2"/>
  <c r="A10046" i="2"/>
  <c r="B10046" i="2"/>
  <c r="E10046" i="2"/>
  <c r="A10047" i="2"/>
  <c r="B10047" i="2"/>
  <c r="E10047" i="2"/>
  <c r="A10048" i="2"/>
  <c r="B10048" i="2"/>
  <c r="E10048" i="2"/>
  <c r="A10049" i="2"/>
  <c r="B10049" i="2"/>
  <c r="E10049" i="2"/>
  <c r="A10050" i="2"/>
  <c r="B10050" i="2"/>
  <c r="E10050" i="2"/>
  <c r="A10051" i="2"/>
  <c r="B10051" i="2"/>
  <c r="E10051" i="2"/>
  <c r="A10052" i="2"/>
  <c r="B10052" i="2"/>
  <c r="E10052" i="2"/>
  <c r="A10053" i="2"/>
  <c r="B10053" i="2"/>
  <c r="E10053" i="2"/>
  <c r="A10054" i="2"/>
  <c r="B10054" i="2"/>
  <c r="E10054" i="2"/>
  <c r="A10055" i="2"/>
  <c r="B10055" i="2"/>
  <c r="E10055" i="2"/>
  <c r="A10056" i="2"/>
  <c r="B10056" i="2"/>
  <c r="E10056" i="2"/>
  <c r="A10057" i="2"/>
  <c r="B10057" i="2"/>
  <c r="E10057" i="2"/>
  <c r="A10058" i="2"/>
  <c r="B10058" i="2"/>
  <c r="E10058" i="2"/>
  <c r="A10059" i="2"/>
  <c r="B10059" i="2"/>
  <c r="E10059" i="2"/>
  <c r="A10060" i="2"/>
  <c r="B10060" i="2"/>
  <c r="E10060" i="2"/>
  <c r="A10061" i="2"/>
  <c r="B10061" i="2"/>
  <c r="E10061" i="2"/>
  <c r="A10062" i="2"/>
  <c r="B10062" i="2"/>
  <c r="E10062" i="2"/>
  <c r="A10063" i="2"/>
  <c r="B10063" i="2"/>
  <c r="E10063" i="2"/>
  <c r="A10064" i="2"/>
  <c r="B10064" i="2"/>
  <c r="E10064" i="2"/>
  <c r="A10065" i="2"/>
  <c r="B10065" i="2"/>
  <c r="E10065" i="2"/>
  <c r="A10066" i="2"/>
  <c r="B10066" i="2"/>
  <c r="E10066" i="2"/>
  <c r="A10067" i="2"/>
  <c r="B10067" i="2"/>
  <c r="E10067" i="2"/>
  <c r="A10068" i="2"/>
  <c r="B10068" i="2"/>
  <c r="E10068" i="2"/>
  <c r="A10069" i="2"/>
  <c r="B10069" i="2"/>
  <c r="E10069" i="2"/>
  <c r="A10070" i="2"/>
  <c r="B10070" i="2"/>
  <c r="E10070" i="2"/>
  <c r="A10071" i="2"/>
  <c r="B10071" i="2"/>
  <c r="E10071" i="2"/>
  <c r="A10072" i="2"/>
  <c r="B10072" i="2"/>
  <c r="E10072" i="2"/>
  <c r="A10073" i="2"/>
  <c r="B10073" i="2"/>
  <c r="E10073" i="2"/>
  <c r="A10074" i="2"/>
  <c r="B10074" i="2"/>
  <c r="E10074" i="2"/>
  <c r="A10075" i="2"/>
  <c r="B10075" i="2"/>
  <c r="E10075" i="2"/>
  <c r="A10076" i="2"/>
  <c r="B10076" i="2"/>
  <c r="E10076" i="2"/>
  <c r="A10077" i="2"/>
  <c r="B10077" i="2"/>
  <c r="E10077" i="2"/>
  <c r="A10078" i="2"/>
  <c r="B10078" i="2"/>
  <c r="E10078" i="2"/>
  <c r="A10079" i="2"/>
  <c r="B10079" i="2"/>
  <c r="E10079" i="2"/>
  <c r="A10080" i="2"/>
  <c r="B10080" i="2"/>
  <c r="E10080" i="2"/>
  <c r="A10081" i="2"/>
  <c r="B10081" i="2"/>
  <c r="E10081" i="2"/>
  <c r="A10082" i="2"/>
  <c r="B10082" i="2"/>
  <c r="E10082" i="2"/>
  <c r="A10083" i="2"/>
  <c r="B10083" i="2"/>
  <c r="E10083" i="2"/>
  <c r="A10084" i="2"/>
  <c r="B10084" i="2"/>
  <c r="E10084" i="2"/>
  <c r="A10085" i="2"/>
  <c r="B10085" i="2"/>
  <c r="E10085" i="2"/>
  <c r="A10086" i="2"/>
  <c r="B10086" i="2"/>
  <c r="E10086" i="2"/>
  <c r="A10087" i="2"/>
  <c r="B10087" i="2"/>
  <c r="E10087" i="2"/>
  <c r="A10088" i="2"/>
  <c r="B10088" i="2"/>
  <c r="E10088" i="2"/>
  <c r="A10089" i="2"/>
  <c r="B10089" i="2"/>
  <c r="E10089" i="2"/>
  <c r="A10090" i="2"/>
  <c r="B10090" i="2"/>
  <c r="E10090" i="2"/>
  <c r="A10091" i="2"/>
  <c r="B10091" i="2"/>
  <c r="E10091" i="2"/>
  <c r="A10092" i="2"/>
  <c r="B10092" i="2"/>
  <c r="E10092" i="2"/>
  <c r="A10093" i="2"/>
  <c r="B10093" i="2"/>
  <c r="E10093" i="2"/>
  <c r="A10094" i="2"/>
  <c r="B10094" i="2"/>
  <c r="E10094" i="2"/>
  <c r="A10095" i="2"/>
  <c r="B10095" i="2"/>
  <c r="E10095" i="2"/>
  <c r="A10096" i="2"/>
  <c r="B10096" i="2"/>
  <c r="E10096" i="2"/>
  <c r="A10097" i="2"/>
  <c r="B10097" i="2"/>
  <c r="E10097" i="2"/>
  <c r="A10098" i="2"/>
  <c r="B10098" i="2"/>
  <c r="E10098" i="2"/>
  <c r="A10099" i="2"/>
  <c r="B10099" i="2"/>
  <c r="E10099" i="2"/>
  <c r="A10100" i="2"/>
  <c r="B10100" i="2"/>
  <c r="E10100" i="2"/>
  <c r="A10101" i="2"/>
  <c r="B10101" i="2"/>
  <c r="E10101" i="2"/>
  <c r="A10102" i="2"/>
  <c r="B10102" i="2"/>
  <c r="E10102" i="2"/>
  <c r="A10103" i="2"/>
  <c r="B10103" i="2"/>
  <c r="E10103" i="2"/>
  <c r="A10104" i="2"/>
  <c r="B10104" i="2"/>
  <c r="E10104" i="2"/>
  <c r="A10105" i="2"/>
  <c r="B10105" i="2"/>
  <c r="E10105" i="2"/>
  <c r="A10106" i="2"/>
  <c r="B10106" i="2"/>
  <c r="E10106" i="2"/>
  <c r="A10107" i="2"/>
  <c r="B10107" i="2"/>
  <c r="E10107" i="2"/>
  <c r="A10108" i="2"/>
  <c r="B10108" i="2"/>
  <c r="E10108" i="2"/>
  <c r="A10109" i="2"/>
  <c r="B10109" i="2"/>
  <c r="E10109" i="2"/>
  <c r="A10110" i="2"/>
  <c r="B10110" i="2"/>
  <c r="E10110" i="2"/>
  <c r="A10111" i="2"/>
  <c r="B10111" i="2"/>
  <c r="E10111" i="2"/>
  <c r="A10112" i="2"/>
  <c r="B10112" i="2"/>
  <c r="E10112" i="2"/>
  <c r="A10113" i="2"/>
  <c r="B10113" i="2"/>
  <c r="E10113" i="2"/>
  <c r="A10114" i="2"/>
  <c r="B10114" i="2"/>
  <c r="E10114" i="2"/>
  <c r="A10115" i="2"/>
  <c r="B10115" i="2"/>
  <c r="E10115" i="2"/>
  <c r="A10116" i="2"/>
  <c r="B10116" i="2"/>
  <c r="E10116" i="2"/>
  <c r="A10117" i="2"/>
  <c r="B10117" i="2"/>
  <c r="E10117" i="2"/>
  <c r="A10118" i="2"/>
  <c r="B10118" i="2"/>
  <c r="E10118" i="2"/>
  <c r="A10119" i="2"/>
  <c r="B10119" i="2"/>
  <c r="E10119" i="2"/>
  <c r="A10120" i="2"/>
  <c r="B10120" i="2"/>
  <c r="E10120" i="2"/>
  <c r="A10121" i="2"/>
  <c r="B10121" i="2"/>
  <c r="E10121" i="2"/>
  <c r="A10122" i="2"/>
  <c r="B10122" i="2"/>
  <c r="E10122" i="2"/>
  <c r="A10123" i="2"/>
  <c r="B10123" i="2"/>
  <c r="E10123" i="2"/>
  <c r="A10124" i="2"/>
  <c r="B10124" i="2"/>
  <c r="E10124" i="2"/>
  <c r="A10125" i="2"/>
  <c r="B10125" i="2"/>
  <c r="E10125" i="2"/>
  <c r="A10126" i="2"/>
  <c r="B10126" i="2"/>
  <c r="E10126" i="2"/>
  <c r="A10127" i="2"/>
  <c r="B10127" i="2"/>
  <c r="E10127" i="2"/>
  <c r="A10128" i="2"/>
  <c r="B10128" i="2"/>
  <c r="E10128" i="2"/>
  <c r="A10129" i="2"/>
  <c r="B10129" i="2"/>
  <c r="E10129" i="2"/>
  <c r="A10130" i="2"/>
  <c r="B10130" i="2"/>
  <c r="E10130" i="2"/>
  <c r="A10131" i="2"/>
  <c r="B10131" i="2"/>
  <c r="E10131" i="2"/>
  <c r="A10132" i="2"/>
  <c r="B10132" i="2"/>
  <c r="E10132" i="2"/>
  <c r="A10133" i="2"/>
  <c r="B10133" i="2"/>
  <c r="E10133" i="2"/>
  <c r="A10134" i="2"/>
  <c r="B10134" i="2"/>
  <c r="E10134" i="2"/>
  <c r="A10135" i="2"/>
  <c r="B10135" i="2"/>
  <c r="E10135" i="2"/>
  <c r="A10136" i="2"/>
  <c r="B10136" i="2"/>
  <c r="E10136" i="2"/>
  <c r="A10137" i="2"/>
  <c r="B10137" i="2"/>
  <c r="E10137" i="2"/>
  <c r="A10138" i="2"/>
  <c r="B10138" i="2"/>
  <c r="E10138" i="2"/>
  <c r="A10139" i="2"/>
  <c r="B10139" i="2"/>
  <c r="E10139" i="2"/>
  <c r="A10140" i="2"/>
  <c r="B10140" i="2"/>
  <c r="E10140" i="2"/>
  <c r="A10141" i="2"/>
  <c r="B10141" i="2"/>
  <c r="E10141" i="2"/>
  <c r="A10142" i="2"/>
  <c r="B10142" i="2"/>
  <c r="E10142" i="2"/>
  <c r="A10143" i="2"/>
  <c r="B10143" i="2"/>
  <c r="E10143" i="2"/>
  <c r="A10144" i="2"/>
  <c r="B10144" i="2"/>
  <c r="E10144" i="2"/>
  <c r="A10145" i="2"/>
  <c r="B10145" i="2"/>
  <c r="E10145" i="2"/>
  <c r="A10146" i="2"/>
  <c r="B10146" i="2"/>
  <c r="E10146" i="2"/>
  <c r="A10147" i="2"/>
  <c r="B10147" i="2"/>
  <c r="E10147" i="2"/>
  <c r="A10148" i="2"/>
  <c r="B10148" i="2"/>
  <c r="E10148" i="2"/>
  <c r="A10149" i="2"/>
  <c r="B10149" i="2"/>
  <c r="E10149" i="2"/>
  <c r="A10150" i="2"/>
  <c r="B10150" i="2"/>
  <c r="E10150" i="2"/>
  <c r="A10151" i="2"/>
  <c r="B10151" i="2"/>
  <c r="E10151" i="2"/>
  <c r="A10152" i="2"/>
  <c r="B10152" i="2"/>
  <c r="E10152" i="2"/>
  <c r="A10153" i="2"/>
  <c r="B10153" i="2"/>
  <c r="E10153" i="2"/>
  <c r="A10154" i="2"/>
  <c r="B10154" i="2"/>
  <c r="E10154" i="2"/>
  <c r="A10155" i="2"/>
  <c r="B10155" i="2"/>
  <c r="E10155" i="2"/>
  <c r="A10156" i="2"/>
  <c r="B10156" i="2"/>
  <c r="E10156" i="2"/>
  <c r="A10157" i="2"/>
  <c r="B10157" i="2"/>
  <c r="E10157" i="2"/>
  <c r="A10158" i="2"/>
  <c r="B10158" i="2"/>
  <c r="E10158" i="2"/>
  <c r="A10159" i="2"/>
  <c r="B10159" i="2"/>
  <c r="E10159" i="2"/>
  <c r="A10160" i="2"/>
  <c r="B10160" i="2"/>
  <c r="E10160" i="2"/>
  <c r="A10161" i="2"/>
  <c r="B10161" i="2"/>
  <c r="E10161" i="2"/>
  <c r="A10162" i="2"/>
  <c r="B10162" i="2"/>
  <c r="E10162" i="2"/>
  <c r="A10163" i="2"/>
  <c r="B10163" i="2"/>
  <c r="E10163" i="2"/>
  <c r="A10164" i="2"/>
  <c r="B10164" i="2"/>
  <c r="E10164" i="2"/>
  <c r="A10165" i="2"/>
  <c r="B10165" i="2"/>
  <c r="E10165" i="2"/>
  <c r="A10166" i="2"/>
  <c r="B10166" i="2"/>
  <c r="E10166" i="2"/>
  <c r="A10167" i="2"/>
  <c r="B10167" i="2"/>
  <c r="E10167" i="2"/>
  <c r="A10168" i="2"/>
  <c r="B10168" i="2"/>
  <c r="E10168" i="2"/>
  <c r="A10169" i="2"/>
  <c r="B10169" i="2"/>
  <c r="E10169" i="2"/>
  <c r="A10170" i="2"/>
  <c r="B10170" i="2"/>
  <c r="E10170" i="2"/>
  <c r="A10171" i="2"/>
  <c r="B10171" i="2"/>
  <c r="E10171" i="2"/>
  <c r="A10172" i="2"/>
  <c r="B10172" i="2"/>
  <c r="E10172" i="2"/>
  <c r="A10173" i="2"/>
  <c r="B10173" i="2"/>
  <c r="E10173" i="2"/>
  <c r="A10174" i="2"/>
  <c r="B10174" i="2"/>
  <c r="E10174" i="2"/>
  <c r="A10175" i="2"/>
  <c r="B10175" i="2"/>
  <c r="E10175" i="2"/>
  <c r="A10176" i="2"/>
  <c r="B10176" i="2"/>
  <c r="E10176" i="2"/>
  <c r="A10177" i="2"/>
  <c r="B10177" i="2"/>
  <c r="E10177" i="2"/>
  <c r="A10178" i="2"/>
  <c r="B10178" i="2"/>
  <c r="E10178" i="2"/>
  <c r="A10179" i="2"/>
  <c r="B10179" i="2"/>
  <c r="E10179" i="2"/>
  <c r="A10180" i="2"/>
  <c r="B10180" i="2"/>
  <c r="E10180" i="2"/>
  <c r="A10181" i="2"/>
  <c r="B10181" i="2"/>
  <c r="E10181" i="2"/>
  <c r="A10182" i="2"/>
  <c r="B10182" i="2"/>
  <c r="E10182" i="2"/>
  <c r="A10183" i="2"/>
  <c r="B10183" i="2"/>
  <c r="E10183" i="2"/>
  <c r="A10184" i="2"/>
  <c r="B10184" i="2"/>
  <c r="E10184" i="2"/>
  <c r="A10185" i="2"/>
  <c r="B10185" i="2"/>
  <c r="E10185" i="2"/>
  <c r="A10186" i="2"/>
  <c r="B10186" i="2"/>
  <c r="E10186" i="2"/>
  <c r="A10187" i="2"/>
  <c r="B10187" i="2"/>
  <c r="E10187" i="2"/>
  <c r="A10188" i="2"/>
  <c r="B10188" i="2"/>
  <c r="E10188" i="2"/>
  <c r="A10189" i="2"/>
  <c r="B10189" i="2"/>
  <c r="E10189" i="2"/>
  <c r="A10190" i="2"/>
  <c r="B10190" i="2"/>
  <c r="E10190" i="2"/>
  <c r="A10191" i="2"/>
  <c r="B10191" i="2"/>
  <c r="E10191" i="2"/>
  <c r="A10192" i="2"/>
  <c r="B10192" i="2"/>
  <c r="E10192" i="2"/>
  <c r="A10193" i="2"/>
  <c r="B10193" i="2"/>
  <c r="E10193" i="2"/>
  <c r="A10194" i="2"/>
  <c r="B10194" i="2"/>
  <c r="E10194" i="2"/>
  <c r="A10195" i="2"/>
  <c r="B10195" i="2"/>
  <c r="E10195" i="2"/>
  <c r="A10196" i="2"/>
  <c r="B10196" i="2"/>
  <c r="E10196" i="2"/>
  <c r="A10197" i="2"/>
  <c r="B10197" i="2"/>
  <c r="E10197" i="2"/>
  <c r="A10198" i="2"/>
  <c r="B10198" i="2"/>
  <c r="E10198" i="2"/>
  <c r="A10199" i="2"/>
  <c r="B10199" i="2"/>
  <c r="E10199" i="2"/>
  <c r="A10200" i="2"/>
  <c r="B10200" i="2"/>
  <c r="E10200" i="2"/>
  <c r="A10201" i="2"/>
  <c r="B10201" i="2"/>
  <c r="E10201" i="2"/>
  <c r="A10202" i="2"/>
  <c r="B10202" i="2"/>
  <c r="E10202" i="2"/>
  <c r="A10203" i="2"/>
  <c r="B10203" i="2"/>
  <c r="E10203" i="2"/>
  <c r="A10204" i="2"/>
  <c r="B10204" i="2"/>
  <c r="E10204" i="2"/>
  <c r="A10205" i="2"/>
  <c r="B10205" i="2"/>
  <c r="E10205" i="2"/>
  <c r="A10206" i="2"/>
  <c r="B10206" i="2"/>
  <c r="E10206" i="2"/>
  <c r="A10207" i="2"/>
  <c r="B10207" i="2"/>
  <c r="E10207" i="2"/>
  <c r="A10208" i="2"/>
  <c r="B10208" i="2"/>
  <c r="E10208" i="2"/>
  <c r="A10209" i="2"/>
  <c r="B10209" i="2"/>
  <c r="E10209" i="2"/>
  <c r="A10210" i="2"/>
  <c r="B10210" i="2"/>
  <c r="E10210" i="2"/>
  <c r="A10211" i="2"/>
  <c r="B10211" i="2"/>
  <c r="E10211" i="2"/>
  <c r="A10212" i="2"/>
  <c r="B10212" i="2"/>
  <c r="E10212" i="2"/>
  <c r="A10213" i="2"/>
  <c r="B10213" i="2"/>
  <c r="E10213" i="2"/>
  <c r="A10214" i="2"/>
  <c r="B10214" i="2"/>
  <c r="E10214" i="2"/>
  <c r="A10215" i="2"/>
  <c r="B10215" i="2"/>
  <c r="E10215" i="2"/>
  <c r="A10216" i="2"/>
  <c r="B10216" i="2"/>
  <c r="E10216" i="2"/>
  <c r="A10217" i="2"/>
  <c r="B10217" i="2"/>
  <c r="E10217" i="2"/>
  <c r="A10218" i="2"/>
  <c r="B10218" i="2"/>
  <c r="E10218" i="2"/>
  <c r="A10219" i="2"/>
  <c r="B10219" i="2"/>
  <c r="E10219" i="2"/>
  <c r="A10220" i="2"/>
  <c r="B10220" i="2"/>
  <c r="E10220" i="2"/>
  <c r="A10221" i="2"/>
  <c r="B10221" i="2"/>
  <c r="E10221" i="2"/>
  <c r="A10222" i="2"/>
  <c r="B10222" i="2"/>
  <c r="E10222" i="2"/>
  <c r="A10223" i="2"/>
  <c r="B10223" i="2"/>
  <c r="E10223" i="2"/>
  <c r="A10224" i="2"/>
  <c r="B10224" i="2"/>
  <c r="E10224" i="2"/>
  <c r="A10225" i="2"/>
  <c r="B10225" i="2"/>
  <c r="E10225" i="2"/>
  <c r="A10226" i="2"/>
  <c r="B10226" i="2"/>
  <c r="E10226" i="2"/>
  <c r="A10227" i="2"/>
  <c r="B10227" i="2"/>
  <c r="E10227" i="2"/>
  <c r="A10228" i="2"/>
  <c r="B10228" i="2"/>
  <c r="E10228" i="2"/>
  <c r="A10229" i="2"/>
  <c r="B10229" i="2"/>
  <c r="E10229" i="2"/>
  <c r="A10230" i="2"/>
  <c r="B10230" i="2"/>
  <c r="E10230" i="2"/>
  <c r="A10231" i="2"/>
  <c r="B10231" i="2"/>
  <c r="E10231" i="2"/>
  <c r="A10232" i="2"/>
  <c r="B10232" i="2"/>
  <c r="E10232" i="2"/>
  <c r="A10233" i="2"/>
  <c r="B10233" i="2"/>
  <c r="E10233" i="2"/>
  <c r="A10234" i="2"/>
  <c r="B10234" i="2"/>
  <c r="E10234" i="2"/>
  <c r="A10235" i="2"/>
  <c r="B10235" i="2"/>
  <c r="E10235" i="2"/>
  <c r="A10236" i="2"/>
  <c r="B10236" i="2"/>
  <c r="E10236" i="2"/>
  <c r="A10237" i="2"/>
  <c r="B10237" i="2"/>
  <c r="E10237" i="2"/>
  <c r="A10238" i="2"/>
  <c r="B10238" i="2"/>
  <c r="E10238" i="2"/>
  <c r="A10239" i="2"/>
  <c r="B10239" i="2"/>
  <c r="E10239" i="2"/>
  <c r="A10240" i="2"/>
  <c r="B10240" i="2"/>
  <c r="E10240" i="2"/>
  <c r="A10241" i="2"/>
  <c r="B10241" i="2"/>
  <c r="E10241" i="2"/>
  <c r="A10242" i="2"/>
  <c r="B10242" i="2"/>
  <c r="E10242" i="2"/>
  <c r="A10243" i="2"/>
  <c r="B10243" i="2"/>
  <c r="E10243" i="2"/>
  <c r="A10244" i="2"/>
  <c r="B10244" i="2"/>
  <c r="E10244" i="2"/>
  <c r="A10245" i="2"/>
  <c r="B10245" i="2"/>
  <c r="E10245" i="2"/>
  <c r="A10246" i="2"/>
  <c r="B10246" i="2"/>
  <c r="E10246" i="2"/>
  <c r="A10247" i="2"/>
  <c r="B10247" i="2"/>
  <c r="E10247" i="2"/>
  <c r="A10248" i="2"/>
  <c r="B10248" i="2"/>
  <c r="E10248" i="2"/>
  <c r="A10249" i="2"/>
  <c r="B10249" i="2"/>
  <c r="E10249" i="2"/>
  <c r="A10250" i="2"/>
  <c r="B10250" i="2"/>
  <c r="E10250" i="2"/>
  <c r="A10251" i="2"/>
  <c r="B10251" i="2"/>
  <c r="E10251" i="2"/>
  <c r="A10252" i="2"/>
  <c r="B10252" i="2"/>
  <c r="E10252" i="2"/>
  <c r="A10253" i="2"/>
  <c r="B10253" i="2"/>
  <c r="E10253" i="2"/>
  <c r="A10254" i="2"/>
  <c r="B10254" i="2"/>
  <c r="E10254" i="2"/>
  <c r="A10255" i="2"/>
  <c r="B10255" i="2"/>
  <c r="E10255" i="2"/>
  <c r="A10256" i="2"/>
  <c r="B10256" i="2"/>
  <c r="E10256" i="2"/>
  <c r="A10257" i="2"/>
  <c r="B10257" i="2"/>
  <c r="E10257" i="2"/>
  <c r="A10258" i="2"/>
  <c r="B10258" i="2"/>
  <c r="E10258" i="2"/>
  <c r="A10259" i="2"/>
  <c r="B10259" i="2"/>
  <c r="E10259" i="2"/>
  <c r="A10260" i="2"/>
  <c r="B10260" i="2"/>
  <c r="E10260" i="2"/>
  <c r="A10261" i="2"/>
  <c r="B10261" i="2"/>
  <c r="E10261" i="2"/>
  <c r="A10262" i="2"/>
  <c r="B10262" i="2"/>
  <c r="E10262" i="2"/>
  <c r="A10263" i="2"/>
  <c r="B10263" i="2"/>
  <c r="E10263" i="2"/>
  <c r="A10264" i="2"/>
  <c r="B10264" i="2"/>
  <c r="E10264" i="2"/>
  <c r="A10265" i="2"/>
  <c r="B10265" i="2"/>
  <c r="E10265" i="2"/>
  <c r="A10266" i="2"/>
  <c r="B10266" i="2"/>
  <c r="E10266" i="2"/>
  <c r="A10267" i="2"/>
  <c r="B10267" i="2"/>
  <c r="E10267" i="2"/>
  <c r="A10268" i="2"/>
  <c r="B10268" i="2"/>
  <c r="E10268" i="2"/>
  <c r="A10269" i="2"/>
  <c r="B10269" i="2"/>
  <c r="E10269" i="2"/>
  <c r="A10270" i="2"/>
  <c r="B10270" i="2"/>
  <c r="E10270" i="2"/>
  <c r="A10271" i="2"/>
  <c r="B10271" i="2"/>
  <c r="E10271" i="2"/>
  <c r="A10272" i="2"/>
  <c r="B10272" i="2"/>
  <c r="E10272" i="2"/>
  <c r="A10273" i="2"/>
  <c r="B10273" i="2"/>
  <c r="E10273" i="2"/>
  <c r="A10274" i="2"/>
  <c r="B10274" i="2"/>
  <c r="E10274" i="2"/>
  <c r="A10275" i="2"/>
  <c r="B10275" i="2"/>
  <c r="E10275" i="2"/>
  <c r="A10276" i="2"/>
  <c r="B10276" i="2"/>
  <c r="E10276" i="2"/>
  <c r="A10277" i="2"/>
  <c r="B10277" i="2"/>
  <c r="E10277" i="2"/>
  <c r="A10278" i="2"/>
  <c r="B10278" i="2"/>
  <c r="E10278" i="2"/>
  <c r="A10279" i="2"/>
  <c r="B10279" i="2"/>
  <c r="E10279" i="2"/>
  <c r="A10280" i="2"/>
  <c r="B10280" i="2"/>
  <c r="E10280" i="2"/>
  <c r="A10281" i="2"/>
  <c r="B10281" i="2"/>
  <c r="E10281" i="2"/>
  <c r="A10282" i="2"/>
  <c r="B10282" i="2"/>
  <c r="E10282" i="2"/>
  <c r="A10283" i="2"/>
  <c r="B10283" i="2"/>
  <c r="E10283" i="2"/>
  <c r="A10284" i="2"/>
  <c r="B10284" i="2"/>
  <c r="E10284" i="2"/>
  <c r="A10285" i="2"/>
  <c r="B10285" i="2"/>
  <c r="E10285" i="2"/>
  <c r="A10286" i="2"/>
  <c r="B10286" i="2"/>
  <c r="E10286" i="2"/>
  <c r="A10287" i="2"/>
  <c r="B10287" i="2"/>
  <c r="E10287" i="2"/>
  <c r="A10288" i="2"/>
  <c r="B10288" i="2"/>
  <c r="E10288" i="2"/>
  <c r="A10289" i="2"/>
  <c r="B10289" i="2"/>
  <c r="E10289" i="2"/>
  <c r="A10290" i="2"/>
  <c r="B10290" i="2"/>
  <c r="E10290" i="2"/>
  <c r="A10291" i="2"/>
  <c r="B10291" i="2"/>
  <c r="E10291" i="2"/>
  <c r="A10292" i="2"/>
  <c r="B10292" i="2"/>
  <c r="E10292" i="2"/>
  <c r="A10293" i="2"/>
  <c r="B10293" i="2"/>
  <c r="E10293" i="2"/>
  <c r="A10294" i="2"/>
  <c r="B10294" i="2"/>
  <c r="E10294" i="2"/>
  <c r="A10295" i="2"/>
  <c r="B10295" i="2"/>
  <c r="E10295" i="2"/>
  <c r="A10296" i="2"/>
  <c r="B10296" i="2"/>
  <c r="E10296" i="2"/>
  <c r="A10297" i="2"/>
  <c r="B10297" i="2"/>
  <c r="E10297" i="2"/>
  <c r="A10298" i="2"/>
  <c r="B10298" i="2"/>
  <c r="E10298" i="2"/>
  <c r="A10299" i="2"/>
  <c r="B10299" i="2"/>
  <c r="E10299" i="2"/>
  <c r="A10300" i="2"/>
  <c r="B10300" i="2"/>
  <c r="E10300" i="2"/>
  <c r="A10301" i="2"/>
  <c r="B10301" i="2"/>
  <c r="E10301" i="2"/>
  <c r="A10302" i="2"/>
  <c r="B10302" i="2"/>
  <c r="E10302" i="2"/>
  <c r="A10303" i="2"/>
  <c r="B10303" i="2"/>
  <c r="E10303" i="2"/>
  <c r="A10304" i="2"/>
  <c r="B10304" i="2"/>
  <c r="E10304" i="2"/>
  <c r="A10305" i="2"/>
  <c r="B10305" i="2"/>
  <c r="E10305" i="2"/>
  <c r="A10306" i="2"/>
  <c r="B10306" i="2"/>
  <c r="E10306" i="2"/>
  <c r="A10307" i="2"/>
  <c r="B10307" i="2"/>
  <c r="E10307" i="2"/>
  <c r="A10308" i="2"/>
  <c r="B10308" i="2"/>
  <c r="E10308" i="2"/>
  <c r="A10309" i="2"/>
  <c r="B10309" i="2"/>
  <c r="E10309" i="2"/>
  <c r="A10310" i="2"/>
  <c r="B10310" i="2"/>
  <c r="E10310" i="2"/>
  <c r="A10311" i="2"/>
  <c r="B10311" i="2"/>
  <c r="E10311" i="2"/>
  <c r="A10312" i="2"/>
  <c r="B10312" i="2"/>
  <c r="E10312" i="2"/>
  <c r="A10313" i="2"/>
  <c r="B10313" i="2"/>
  <c r="E10313" i="2"/>
  <c r="A10314" i="2"/>
  <c r="B10314" i="2"/>
  <c r="E10314" i="2"/>
  <c r="A10315" i="2"/>
  <c r="B10315" i="2"/>
  <c r="E10315" i="2"/>
  <c r="A10316" i="2"/>
  <c r="B10316" i="2"/>
  <c r="E10316" i="2"/>
  <c r="A10317" i="2"/>
  <c r="B10317" i="2"/>
  <c r="E10317" i="2"/>
  <c r="A10318" i="2"/>
  <c r="B10318" i="2"/>
  <c r="E10318" i="2"/>
  <c r="A10319" i="2"/>
  <c r="B10319" i="2"/>
  <c r="E10319" i="2"/>
  <c r="A10320" i="2"/>
  <c r="B10320" i="2"/>
  <c r="E10320" i="2"/>
  <c r="A10321" i="2"/>
  <c r="B10321" i="2"/>
  <c r="E10321" i="2"/>
  <c r="A10322" i="2"/>
  <c r="B10322" i="2"/>
  <c r="E10322" i="2"/>
  <c r="A10323" i="2"/>
  <c r="B10323" i="2"/>
  <c r="E10323" i="2"/>
  <c r="A10324" i="2"/>
  <c r="B10324" i="2"/>
  <c r="E10324" i="2"/>
  <c r="A10325" i="2"/>
  <c r="B10325" i="2"/>
  <c r="E10325" i="2"/>
  <c r="A10326" i="2"/>
  <c r="B10326" i="2"/>
  <c r="E10326" i="2"/>
  <c r="A10327" i="2"/>
  <c r="B10327" i="2"/>
  <c r="E10327" i="2"/>
  <c r="A10328" i="2"/>
  <c r="B10328" i="2"/>
  <c r="E10328" i="2"/>
  <c r="A10329" i="2"/>
  <c r="B10329" i="2"/>
  <c r="E10329" i="2"/>
  <c r="A10330" i="2"/>
  <c r="B10330" i="2"/>
  <c r="E10330" i="2"/>
  <c r="A10331" i="2"/>
  <c r="B10331" i="2"/>
  <c r="E10331" i="2"/>
  <c r="A10332" i="2"/>
  <c r="B10332" i="2"/>
  <c r="E10332" i="2"/>
  <c r="A10333" i="2"/>
  <c r="B10333" i="2"/>
  <c r="E10333" i="2"/>
  <c r="A10334" i="2"/>
  <c r="B10334" i="2"/>
  <c r="E10334" i="2"/>
  <c r="A10335" i="2"/>
  <c r="B10335" i="2"/>
  <c r="E10335" i="2"/>
  <c r="A10336" i="2"/>
  <c r="B10336" i="2"/>
  <c r="E10336" i="2"/>
  <c r="A10337" i="2"/>
  <c r="B10337" i="2"/>
  <c r="E10337" i="2"/>
  <c r="A10338" i="2"/>
  <c r="B10338" i="2"/>
  <c r="E10338" i="2"/>
  <c r="A10339" i="2"/>
  <c r="B10339" i="2"/>
  <c r="E10339" i="2"/>
  <c r="A10340" i="2"/>
  <c r="B10340" i="2"/>
  <c r="E10340" i="2"/>
  <c r="A10341" i="2"/>
  <c r="B10341" i="2"/>
  <c r="E10341" i="2"/>
  <c r="A10342" i="2"/>
  <c r="B10342" i="2"/>
  <c r="E10342" i="2"/>
  <c r="A10343" i="2"/>
  <c r="B10343" i="2"/>
  <c r="E10343" i="2"/>
  <c r="A10344" i="2"/>
  <c r="B10344" i="2"/>
  <c r="E10344" i="2"/>
  <c r="A10345" i="2"/>
  <c r="B10345" i="2"/>
  <c r="E10345" i="2"/>
  <c r="A10346" i="2"/>
  <c r="B10346" i="2"/>
  <c r="E10346" i="2"/>
  <c r="A10347" i="2"/>
  <c r="B10347" i="2"/>
  <c r="E10347" i="2"/>
  <c r="A10348" i="2"/>
  <c r="B10348" i="2"/>
  <c r="E10348" i="2"/>
  <c r="A10349" i="2"/>
  <c r="B10349" i="2"/>
  <c r="E10349" i="2"/>
  <c r="A10350" i="2"/>
  <c r="B10350" i="2"/>
  <c r="E10350" i="2"/>
  <c r="A10351" i="2"/>
  <c r="B10351" i="2"/>
  <c r="E10351" i="2"/>
  <c r="A10352" i="2"/>
  <c r="B10352" i="2"/>
  <c r="E10352" i="2"/>
  <c r="A10353" i="2"/>
  <c r="B10353" i="2"/>
  <c r="E10353" i="2"/>
  <c r="A10354" i="2"/>
  <c r="B10354" i="2"/>
  <c r="E10354" i="2"/>
  <c r="A10355" i="2"/>
  <c r="B10355" i="2"/>
  <c r="E10355" i="2"/>
  <c r="A10356" i="2"/>
  <c r="B10356" i="2"/>
  <c r="E10356" i="2"/>
  <c r="A10357" i="2"/>
  <c r="B10357" i="2"/>
  <c r="E10357" i="2"/>
  <c r="A10358" i="2"/>
  <c r="B10358" i="2"/>
  <c r="E10358" i="2"/>
  <c r="A10359" i="2"/>
  <c r="B10359" i="2"/>
  <c r="E10359" i="2"/>
  <c r="A10360" i="2"/>
  <c r="B10360" i="2"/>
  <c r="E10360" i="2"/>
  <c r="A10361" i="2"/>
  <c r="B10361" i="2"/>
  <c r="E10361" i="2"/>
  <c r="A10362" i="2"/>
  <c r="B10362" i="2"/>
  <c r="E10362" i="2"/>
  <c r="A10363" i="2"/>
  <c r="B10363" i="2"/>
  <c r="E10363" i="2"/>
  <c r="A10364" i="2"/>
  <c r="B10364" i="2"/>
  <c r="E10364" i="2"/>
  <c r="A10365" i="2"/>
  <c r="B10365" i="2"/>
  <c r="E10365" i="2"/>
  <c r="A10366" i="2"/>
  <c r="B10366" i="2"/>
  <c r="E10366" i="2"/>
  <c r="A10367" i="2"/>
  <c r="B10367" i="2"/>
  <c r="E10367" i="2"/>
  <c r="A10368" i="2"/>
  <c r="B10368" i="2"/>
  <c r="E10368" i="2"/>
  <c r="A10369" i="2"/>
  <c r="B10369" i="2"/>
  <c r="E10369" i="2"/>
  <c r="A10370" i="2"/>
  <c r="B10370" i="2"/>
  <c r="E10370" i="2"/>
  <c r="A10371" i="2"/>
  <c r="B10371" i="2"/>
  <c r="E10371" i="2"/>
  <c r="A10372" i="2"/>
  <c r="B10372" i="2"/>
  <c r="E10372" i="2"/>
  <c r="A10373" i="2"/>
  <c r="B10373" i="2"/>
  <c r="E10373" i="2"/>
  <c r="A10374" i="2"/>
  <c r="B10374" i="2"/>
  <c r="E10374" i="2"/>
  <c r="A10375" i="2"/>
  <c r="B10375" i="2"/>
  <c r="E10375" i="2"/>
  <c r="A10376" i="2"/>
  <c r="B10376" i="2"/>
  <c r="E10376" i="2"/>
  <c r="A10377" i="2"/>
  <c r="B10377" i="2"/>
  <c r="E10377" i="2"/>
  <c r="A10378" i="2"/>
  <c r="B10378" i="2"/>
  <c r="E10378" i="2"/>
  <c r="A10379" i="2"/>
  <c r="B10379" i="2"/>
  <c r="E10379" i="2"/>
  <c r="A10380" i="2"/>
  <c r="B10380" i="2"/>
  <c r="E10380" i="2"/>
  <c r="A10381" i="2"/>
  <c r="B10381" i="2"/>
  <c r="E10381" i="2"/>
  <c r="A10382" i="2"/>
  <c r="B10382" i="2"/>
  <c r="E10382" i="2"/>
  <c r="A10383" i="2"/>
  <c r="B10383" i="2"/>
  <c r="E10383" i="2"/>
  <c r="A10384" i="2"/>
  <c r="B10384" i="2"/>
  <c r="E10384" i="2"/>
  <c r="A10385" i="2"/>
  <c r="B10385" i="2"/>
  <c r="E10385" i="2"/>
  <c r="A10386" i="2"/>
  <c r="B10386" i="2"/>
  <c r="E10386" i="2"/>
  <c r="A10387" i="2"/>
  <c r="B10387" i="2"/>
  <c r="E10387" i="2"/>
  <c r="A10388" i="2"/>
  <c r="B10388" i="2"/>
  <c r="E10388" i="2"/>
  <c r="A10389" i="2"/>
  <c r="B10389" i="2"/>
  <c r="E10389" i="2"/>
  <c r="A10390" i="2"/>
  <c r="B10390" i="2"/>
  <c r="E10390" i="2"/>
  <c r="A10391" i="2"/>
  <c r="B10391" i="2"/>
  <c r="E10391" i="2"/>
  <c r="A10392" i="2"/>
  <c r="B10392" i="2"/>
  <c r="E10392" i="2"/>
  <c r="A10393" i="2"/>
  <c r="B10393" i="2"/>
  <c r="E10393" i="2"/>
  <c r="A10394" i="2"/>
  <c r="B10394" i="2"/>
  <c r="E10394" i="2"/>
  <c r="A10395" i="2"/>
  <c r="B10395" i="2"/>
  <c r="E10395" i="2"/>
  <c r="A10396" i="2"/>
  <c r="B10396" i="2"/>
  <c r="E10396" i="2"/>
  <c r="A10397" i="2"/>
  <c r="B10397" i="2"/>
  <c r="E10397" i="2"/>
  <c r="A10398" i="2"/>
  <c r="B10398" i="2"/>
  <c r="E10398" i="2"/>
  <c r="A10399" i="2"/>
  <c r="B10399" i="2"/>
  <c r="E10399" i="2"/>
  <c r="A10400" i="2"/>
  <c r="B10400" i="2"/>
  <c r="E10400" i="2"/>
  <c r="A10401" i="2"/>
  <c r="B10401" i="2"/>
  <c r="E10401" i="2"/>
  <c r="A10402" i="2"/>
  <c r="B10402" i="2"/>
  <c r="E10402" i="2"/>
  <c r="A10403" i="2"/>
  <c r="B10403" i="2"/>
  <c r="E10403" i="2"/>
  <c r="A10404" i="2"/>
  <c r="B10404" i="2"/>
  <c r="E10404" i="2"/>
  <c r="A10405" i="2"/>
  <c r="B10405" i="2"/>
  <c r="E10405" i="2"/>
  <c r="A10406" i="2"/>
  <c r="B10406" i="2"/>
  <c r="E10406" i="2"/>
  <c r="A10407" i="2"/>
  <c r="B10407" i="2"/>
  <c r="E10407" i="2"/>
  <c r="A10408" i="2"/>
  <c r="B10408" i="2"/>
  <c r="E10408" i="2"/>
  <c r="A10409" i="2"/>
  <c r="B10409" i="2"/>
  <c r="E10409" i="2"/>
  <c r="A10410" i="2"/>
  <c r="B10410" i="2"/>
  <c r="E10410" i="2"/>
  <c r="A10411" i="2"/>
  <c r="B10411" i="2"/>
  <c r="E10411" i="2"/>
  <c r="A10412" i="2"/>
  <c r="B10412" i="2"/>
  <c r="E10412" i="2"/>
  <c r="A10413" i="2"/>
  <c r="B10413" i="2"/>
  <c r="E10413" i="2"/>
  <c r="A10414" i="2"/>
  <c r="B10414" i="2"/>
  <c r="E10414" i="2"/>
  <c r="A10415" i="2"/>
  <c r="B10415" i="2"/>
  <c r="E10415" i="2"/>
  <c r="A10416" i="2"/>
  <c r="B10416" i="2"/>
  <c r="E10416" i="2"/>
  <c r="A10417" i="2"/>
  <c r="B10417" i="2"/>
  <c r="E10417" i="2"/>
  <c r="A10418" i="2"/>
  <c r="B10418" i="2"/>
  <c r="E10418" i="2"/>
  <c r="A10419" i="2"/>
  <c r="B10419" i="2"/>
  <c r="E10419" i="2"/>
  <c r="A10420" i="2"/>
  <c r="B10420" i="2"/>
  <c r="E10420" i="2"/>
  <c r="A10421" i="2"/>
  <c r="B10421" i="2"/>
  <c r="E10421" i="2"/>
  <c r="A10422" i="2"/>
  <c r="B10422" i="2"/>
  <c r="E10422" i="2"/>
  <c r="A10423" i="2"/>
  <c r="B10423" i="2"/>
  <c r="E10423" i="2"/>
  <c r="A10424" i="2"/>
  <c r="B10424" i="2"/>
  <c r="E10424" i="2"/>
  <c r="A10425" i="2"/>
  <c r="B10425" i="2"/>
  <c r="E10425" i="2"/>
  <c r="A10426" i="2"/>
  <c r="B10426" i="2"/>
  <c r="E10426" i="2"/>
  <c r="A10427" i="2"/>
  <c r="B10427" i="2"/>
  <c r="E10427" i="2"/>
  <c r="A10428" i="2"/>
  <c r="B10428" i="2"/>
  <c r="E10428" i="2"/>
  <c r="A10429" i="2"/>
  <c r="B10429" i="2"/>
  <c r="E10429" i="2"/>
  <c r="A10430" i="2"/>
  <c r="B10430" i="2"/>
  <c r="E10430" i="2"/>
  <c r="A10431" i="2"/>
  <c r="B10431" i="2"/>
  <c r="E10431" i="2"/>
  <c r="A10432" i="2"/>
  <c r="B10432" i="2"/>
  <c r="E10432" i="2"/>
  <c r="A10433" i="2"/>
  <c r="B10433" i="2"/>
  <c r="E10433" i="2"/>
  <c r="A10434" i="2"/>
  <c r="B10434" i="2"/>
  <c r="E10434" i="2"/>
  <c r="A10435" i="2"/>
  <c r="B10435" i="2"/>
  <c r="E10435" i="2"/>
  <c r="A10436" i="2"/>
  <c r="B10436" i="2"/>
  <c r="E10436" i="2"/>
  <c r="A10437" i="2"/>
  <c r="B10437" i="2"/>
  <c r="E10437" i="2"/>
  <c r="A10438" i="2"/>
  <c r="B10438" i="2"/>
  <c r="E10438" i="2"/>
  <c r="A10439" i="2"/>
  <c r="B10439" i="2"/>
  <c r="E10439" i="2"/>
  <c r="A10440" i="2"/>
  <c r="B10440" i="2"/>
  <c r="E10440" i="2"/>
  <c r="A10441" i="2"/>
  <c r="B10441" i="2"/>
  <c r="E10441" i="2"/>
  <c r="A10442" i="2"/>
  <c r="B10442" i="2"/>
  <c r="E10442" i="2"/>
  <c r="A10443" i="2"/>
  <c r="B10443" i="2"/>
  <c r="E10443" i="2"/>
  <c r="A10444" i="2"/>
  <c r="B10444" i="2"/>
  <c r="E10444" i="2"/>
  <c r="A10445" i="2"/>
  <c r="B10445" i="2"/>
  <c r="E10445" i="2"/>
  <c r="A10446" i="2"/>
  <c r="B10446" i="2"/>
  <c r="E10446" i="2"/>
  <c r="A10447" i="2"/>
  <c r="B10447" i="2"/>
  <c r="E10447" i="2"/>
  <c r="A10448" i="2"/>
  <c r="B10448" i="2"/>
  <c r="E10448" i="2"/>
  <c r="A10449" i="2"/>
  <c r="B10449" i="2"/>
  <c r="E10449" i="2"/>
  <c r="A10450" i="2"/>
  <c r="B10450" i="2"/>
  <c r="E10450" i="2"/>
  <c r="A10451" i="2"/>
  <c r="B10451" i="2"/>
  <c r="E10451" i="2"/>
  <c r="A10452" i="2"/>
  <c r="B10452" i="2"/>
  <c r="E10452" i="2"/>
  <c r="A10453" i="2"/>
  <c r="B10453" i="2"/>
  <c r="E10453" i="2"/>
  <c r="A10454" i="2"/>
  <c r="B10454" i="2"/>
  <c r="E10454" i="2"/>
  <c r="A10455" i="2"/>
  <c r="B10455" i="2"/>
  <c r="E10455" i="2"/>
  <c r="A10456" i="2"/>
  <c r="B10456" i="2"/>
  <c r="E10456" i="2"/>
  <c r="A10457" i="2"/>
  <c r="B10457" i="2"/>
  <c r="E10457" i="2"/>
  <c r="A10458" i="2"/>
  <c r="B10458" i="2"/>
  <c r="E10458" i="2"/>
  <c r="A10459" i="2"/>
  <c r="B10459" i="2"/>
  <c r="E10459" i="2"/>
  <c r="A10460" i="2"/>
  <c r="B10460" i="2"/>
  <c r="E10460" i="2"/>
  <c r="A10461" i="2"/>
  <c r="B10461" i="2"/>
  <c r="E10461" i="2"/>
  <c r="A10462" i="2"/>
  <c r="B10462" i="2"/>
  <c r="E10462" i="2"/>
  <c r="A10463" i="2"/>
  <c r="B10463" i="2"/>
  <c r="E10463" i="2"/>
  <c r="A10464" i="2"/>
  <c r="B10464" i="2"/>
  <c r="E10464" i="2"/>
  <c r="A10465" i="2"/>
  <c r="B10465" i="2"/>
  <c r="E10465" i="2"/>
  <c r="A10466" i="2"/>
  <c r="B10466" i="2"/>
  <c r="E10466" i="2"/>
  <c r="A10467" i="2"/>
  <c r="B10467" i="2"/>
  <c r="E10467" i="2"/>
  <c r="A10468" i="2"/>
  <c r="B10468" i="2"/>
  <c r="E10468" i="2"/>
  <c r="A10469" i="2"/>
  <c r="B10469" i="2"/>
  <c r="E10469" i="2"/>
  <c r="A10470" i="2"/>
  <c r="B10470" i="2"/>
  <c r="E10470" i="2"/>
  <c r="A10471" i="2"/>
  <c r="B10471" i="2"/>
  <c r="E10471" i="2"/>
  <c r="A10472" i="2"/>
  <c r="B10472" i="2"/>
  <c r="E10472" i="2"/>
  <c r="A10473" i="2"/>
  <c r="B10473" i="2"/>
  <c r="E10473" i="2"/>
  <c r="A10474" i="2"/>
  <c r="B10474" i="2"/>
  <c r="E10474" i="2"/>
  <c r="A10475" i="2"/>
  <c r="B10475" i="2"/>
  <c r="E10475" i="2"/>
  <c r="A10476" i="2"/>
  <c r="B10476" i="2"/>
  <c r="E10476" i="2"/>
  <c r="A10477" i="2"/>
  <c r="B10477" i="2"/>
  <c r="E10477" i="2"/>
  <c r="A10478" i="2"/>
  <c r="B10478" i="2"/>
  <c r="E10478" i="2"/>
  <c r="A10479" i="2"/>
  <c r="B10479" i="2"/>
  <c r="E10479" i="2"/>
  <c r="A10480" i="2"/>
  <c r="B10480" i="2"/>
  <c r="E10480" i="2"/>
  <c r="A10481" i="2"/>
  <c r="B10481" i="2"/>
  <c r="E10481" i="2"/>
  <c r="A10482" i="2"/>
  <c r="B10482" i="2"/>
  <c r="E10482" i="2"/>
  <c r="A10483" i="2"/>
  <c r="B10483" i="2"/>
  <c r="E10483" i="2"/>
  <c r="A10484" i="2"/>
  <c r="B10484" i="2"/>
  <c r="E10484" i="2"/>
  <c r="A10485" i="2"/>
  <c r="B10485" i="2"/>
  <c r="E10485" i="2"/>
  <c r="A10486" i="2"/>
  <c r="B10486" i="2"/>
  <c r="E10486" i="2"/>
  <c r="A10487" i="2"/>
  <c r="B10487" i="2"/>
  <c r="E10487" i="2"/>
  <c r="A10488" i="2"/>
  <c r="B10488" i="2"/>
  <c r="E10488" i="2"/>
  <c r="A10489" i="2"/>
  <c r="B10489" i="2"/>
  <c r="E10489" i="2"/>
  <c r="A10490" i="2"/>
  <c r="B10490" i="2"/>
  <c r="E10490" i="2"/>
  <c r="A10491" i="2"/>
  <c r="B10491" i="2"/>
  <c r="E10491" i="2"/>
  <c r="A10492" i="2"/>
  <c r="B10492" i="2"/>
  <c r="E10492" i="2"/>
  <c r="A10493" i="2"/>
  <c r="B10493" i="2"/>
  <c r="E10493" i="2"/>
  <c r="A10494" i="2"/>
  <c r="B10494" i="2"/>
  <c r="E10494" i="2"/>
  <c r="A10495" i="2"/>
  <c r="B10495" i="2"/>
  <c r="E10495" i="2"/>
  <c r="A10496" i="2"/>
  <c r="B10496" i="2"/>
  <c r="E10496" i="2"/>
  <c r="A10497" i="2"/>
  <c r="B10497" i="2"/>
  <c r="E10497" i="2"/>
  <c r="A10498" i="2"/>
  <c r="B10498" i="2"/>
  <c r="E10498" i="2"/>
  <c r="A10499" i="2"/>
  <c r="B10499" i="2"/>
  <c r="E10499" i="2"/>
  <c r="A10500" i="2"/>
  <c r="B10500" i="2"/>
  <c r="E10500" i="2"/>
  <c r="A10501" i="2"/>
  <c r="B10501" i="2"/>
  <c r="E10501" i="2"/>
  <c r="A10502" i="2"/>
  <c r="B10502" i="2"/>
  <c r="E10502" i="2"/>
  <c r="A10503" i="2"/>
  <c r="B10503" i="2"/>
  <c r="E10503" i="2"/>
  <c r="A10504" i="2"/>
  <c r="B10504" i="2"/>
  <c r="E10504" i="2"/>
  <c r="A10505" i="2"/>
  <c r="B10505" i="2"/>
  <c r="E10505" i="2"/>
  <c r="A10506" i="2"/>
  <c r="B10506" i="2"/>
  <c r="E10506" i="2"/>
  <c r="A10507" i="2"/>
  <c r="B10507" i="2"/>
  <c r="E10507" i="2"/>
  <c r="A10508" i="2"/>
  <c r="B10508" i="2"/>
  <c r="E10508" i="2"/>
  <c r="A10509" i="2"/>
  <c r="B10509" i="2"/>
  <c r="E10509" i="2"/>
  <c r="A10510" i="2"/>
  <c r="B10510" i="2"/>
  <c r="E10510" i="2"/>
  <c r="A10511" i="2"/>
  <c r="B10511" i="2"/>
  <c r="E10511" i="2"/>
  <c r="A10512" i="2"/>
  <c r="B10512" i="2"/>
  <c r="E10512" i="2"/>
  <c r="A10513" i="2"/>
  <c r="B10513" i="2"/>
  <c r="E10513" i="2"/>
  <c r="A10514" i="2"/>
  <c r="B10514" i="2"/>
  <c r="E10514" i="2"/>
  <c r="A10515" i="2"/>
  <c r="B10515" i="2"/>
  <c r="E10515" i="2"/>
  <c r="A10516" i="2"/>
  <c r="B10516" i="2"/>
  <c r="E10516" i="2"/>
  <c r="A10517" i="2"/>
  <c r="B10517" i="2"/>
  <c r="E10517" i="2"/>
  <c r="A10518" i="2"/>
  <c r="B10518" i="2"/>
  <c r="E10518" i="2"/>
  <c r="A10519" i="2"/>
  <c r="B10519" i="2"/>
  <c r="E10519" i="2"/>
  <c r="A10520" i="2"/>
  <c r="B10520" i="2"/>
  <c r="E10520" i="2"/>
  <c r="A10521" i="2"/>
  <c r="B10521" i="2"/>
  <c r="E10521" i="2"/>
  <c r="A10522" i="2"/>
  <c r="B10522" i="2"/>
  <c r="E10522" i="2"/>
  <c r="A10523" i="2"/>
  <c r="B10523" i="2"/>
  <c r="E10523" i="2"/>
  <c r="A10524" i="2"/>
  <c r="B10524" i="2"/>
  <c r="E10524" i="2"/>
  <c r="A10525" i="2"/>
  <c r="B10525" i="2"/>
  <c r="E10525" i="2"/>
  <c r="A10526" i="2"/>
  <c r="B10526" i="2"/>
  <c r="E10526" i="2"/>
  <c r="A10527" i="2"/>
  <c r="B10527" i="2"/>
  <c r="E10527" i="2"/>
  <c r="A10528" i="2"/>
  <c r="B10528" i="2"/>
  <c r="E10528" i="2"/>
  <c r="A10529" i="2"/>
  <c r="B10529" i="2"/>
  <c r="E10529" i="2"/>
  <c r="A10530" i="2"/>
  <c r="B10530" i="2"/>
  <c r="E10530" i="2"/>
  <c r="A10531" i="2"/>
  <c r="B10531" i="2"/>
  <c r="E10531" i="2"/>
  <c r="A10532" i="2"/>
  <c r="B10532" i="2"/>
  <c r="E10532" i="2"/>
  <c r="A10533" i="2"/>
  <c r="B10533" i="2"/>
  <c r="E10533" i="2"/>
  <c r="A10534" i="2"/>
  <c r="B10534" i="2"/>
  <c r="E10534" i="2"/>
  <c r="A10535" i="2"/>
  <c r="B10535" i="2"/>
  <c r="E10535" i="2"/>
  <c r="A10536" i="2"/>
  <c r="B10536" i="2"/>
  <c r="E10536" i="2"/>
  <c r="A10537" i="2"/>
  <c r="B10537" i="2"/>
  <c r="E10537" i="2"/>
  <c r="A10538" i="2"/>
  <c r="B10538" i="2"/>
  <c r="E10538" i="2"/>
  <c r="A10539" i="2"/>
  <c r="B10539" i="2"/>
  <c r="E10539" i="2"/>
  <c r="A10540" i="2"/>
  <c r="B10540" i="2"/>
  <c r="E10540" i="2"/>
  <c r="A10541" i="2"/>
  <c r="B10541" i="2"/>
  <c r="E10541" i="2"/>
  <c r="A10542" i="2"/>
  <c r="B10542" i="2"/>
  <c r="E10542" i="2"/>
  <c r="A10543" i="2"/>
  <c r="B10543" i="2"/>
  <c r="E10543" i="2"/>
  <c r="A10544" i="2"/>
  <c r="B10544" i="2"/>
  <c r="E10544" i="2"/>
  <c r="A10545" i="2"/>
  <c r="B10545" i="2"/>
  <c r="E10545" i="2"/>
  <c r="A10546" i="2"/>
  <c r="B10546" i="2"/>
  <c r="E10546" i="2"/>
  <c r="A10547" i="2"/>
  <c r="B10547" i="2"/>
  <c r="E10547" i="2"/>
  <c r="A10548" i="2"/>
  <c r="B10548" i="2"/>
  <c r="E10548" i="2"/>
  <c r="A10549" i="2"/>
  <c r="B10549" i="2"/>
  <c r="E10549" i="2"/>
  <c r="A10550" i="2"/>
  <c r="B10550" i="2"/>
  <c r="E10550" i="2"/>
  <c r="A10551" i="2"/>
  <c r="B10551" i="2"/>
  <c r="E10551" i="2"/>
  <c r="A10552" i="2"/>
  <c r="B10552" i="2"/>
  <c r="E10552" i="2"/>
  <c r="A10553" i="2"/>
  <c r="B10553" i="2"/>
  <c r="E10553" i="2"/>
  <c r="A10554" i="2"/>
  <c r="B10554" i="2"/>
  <c r="E10554" i="2"/>
  <c r="A10555" i="2"/>
  <c r="B10555" i="2"/>
  <c r="E10555" i="2"/>
  <c r="A10556" i="2"/>
  <c r="B10556" i="2"/>
  <c r="E10556" i="2"/>
  <c r="A10557" i="2"/>
  <c r="B10557" i="2"/>
  <c r="E10557" i="2"/>
  <c r="A10558" i="2"/>
  <c r="B10558" i="2"/>
  <c r="E10558" i="2"/>
  <c r="A10559" i="2"/>
  <c r="B10559" i="2"/>
  <c r="E10559" i="2"/>
  <c r="A10560" i="2"/>
  <c r="B10560" i="2"/>
  <c r="E10560" i="2"/>
  <c r="A10561" i="2"/>
  <c r="B10561" i="2"/>
  <c r="E10561" i="2"/>
  <c r="A10562" i="2"/>
  <c r="B10562" i="2"/>
  <c r="E10562" i="2"/>
  <c r="A10563" i="2"/>
  <c r="B10563" i="2"/>
  <c r="E10563" i="2"/>
  <c r="A10564" i="2"/>
  <c r="B10564" i="2"/>
  <c r="E10564" i="2"/>
  <c r="A10565" i="2"/>
  <c r="B10565" i="2"/>
  <c r="E10565" i="2"/>
  <c r="A10566" i="2"/>
  <c r="B10566" i="2"/>
  <c r="E10566" i="2"/>
  <c r="A10567" i="2"/>
  <c r="B10567" i="2"/>
  <c r="E10567" i="2"/>
  <c r="A10568" i="2"/>
  <c r="B10568" i="2"/>
  <c r="E10568" i="2"/>
  <c r="A10569" i="2"/>
  <c r="B10569" i="2"/>
  <c r="E10569" i="2"/>
  <c r="A10570" i="2"/>
  <c r="B10570" i="2"/>
  <c r="E10570" i="2"/>
  <c r="A10571" i="2"/>
  <c r="B10571" i="2"/>
  <c r="E10571" i="2"/>
  <c r="A10572" i="2"/>
  <c r="B10572" i="2"/>
  <c r="E10572" i="2"/>
  <c r="A10573" i="2"/>
  <c r="B10573" i="2"/>
  <c r="E10573" i="2"/>
  <c r="A10574" i="2"/>
  <c r="B10574" i="2"/>
  <c r="E10574" i="2"/>
  <c r="A10575" i="2"/>
  <c r="B10575" i="2"/>
  <c r="E10575" i="2"/>
  <c r="A10576" i="2"/>
  <c r="B10576" i="2"/>
  <c r="E10576" i="2"/>
  <c r="A10577" i="2"/>
  <c r="B10577" i="2"/>
  <c r="E10577" i="2"/>
  <c r="A10578" i="2"/>
  <c r="B10578" i="2"/>
  <c r="E10578" i="2"/>
  <c r="A10579" i="2"/>
  <c r="B10579" i="2"/>
  <c r="E10579" i="2"/>
  <c r="A10580" i="2"/>
  <c r="B10580" i="2"/>
  <c r="E10580" i="2"/>
  <c r="A10581" i="2"/>
  <c r="B10581" i="2"/>
  <c r="E10581" i="2"/>
  <c r="A10582" i="2"/>
  <c r="B10582" i="2"/>
  <c r="E10582" i="2"/>
  <c r="A10583" i="2"/>
  <c r="B10583" i="2"/>
  <c r="E10583" i="2"/>
  <c r="A10584" i="2"/>
  <c r="B10584" i="2"/>
  <c r="E10584" i="2"/>
  <c r="A10585" i="2"/>
  <c r="B10585" i="2"/>
  <c r="E10585" i="2"/>
  <c r="A10586" i="2"/>
  <c r="B10586" i="2"/>
  <c r="E10586" i="2"/>
  <c r="A10587" i="2"/>
  <c r="B10587" i="2"/>
  <c r="E10587" i="2"/>
  <c r="A10588" i="2"/>
  <c r="B10588" i="2"/>
  <c r="E10588" i="2"/>
  <c r="A10589" i="2"/>
  <c r="B10589" i="2"/>
  <c r="E10589" i="2"/>
  <c r="A10590" i="2"/>
  <c r="B10590" i="2"/>
  <c r="E10590" i="2"/>
  <c r="A10591" i="2"/>
  <c r="B10591" i="2"/>
  <c r="E10591" i="2"/>
  <c r="A10592" i="2"/>
  <c r="B10592" i="2"/>
  <c r="E10592" i="2"/>
  <c r="A10593" i="2"/>
  <c r="B10593" i="2"/>
  <c r="E10593" i="2"/>
  <c r="A10594" i="2"/>
  <c r="B10594" i="2"/>
  <c r="E10594" i="2"/>
  <c r="A10595" i="2"/>
  <c r="B10595" i="2"/>
  <c r="E10595" i="2"/>
  <c r="A10596" i="2"/>
  <c r="B10596" i="2"/>
  <c r="E10596" i="2"/>
  <c r="A10597" i="2"/>
  <c r="B10597" i="2"/>
  <c r="E10597" i="2"/>
  <c r="A10598" i="2"/>
  <c r="B10598" i="2"/>
  <c r="E10598" i="2"/>
  <c r="A10599" i="2"/>
  <c r="B10599" i="2"/>
  <c r="E10599" i="2"/>
  <c r="A10600" i="2"/>
  <c r="B10600" i="2"/>
  <c r="E10600" i="2"/>
  <c r="A10601" i="2"/>
  <c r="B10601" i="2"/>
  <c r="E10601" i="2"/>
  <c r="A10602" i="2"/>
  <c r="B10602" i="2"/>
  <c r="E10602" i="2"/>
  <c r="A10603" i="2"/>
  <c r="B10603" i="2"/>
  <c r="E10603" i="2"/>
  <c r="A10604" i="2"/>
  <c r="B10604" i="2"/>
  <c r="E10604" i="2"/>
  <c r="A10605" i="2"/>
  <c r="B10605" i="2"/>
  <c r="E10605" i="2"/>
  <c r="A10606" i="2"/>
  <c r="B10606" i="2"/>
  <c r="E10606" i="2"/>
  <c r="A10607" i="2"/>
  <c r="B10607" i="2"/>
  <c r="E10607" i="2"/>
  <c r="A10608" i="2"/>
  <c r="B10608" i="2"/>
  <c r="E10608" i="2"/>
  <c r="A10609" i="2"/>
  <c r="B10609" i="2"/>
  <c r="E10609" i="2"/>
  <c r="A10610" i="2"/>
  <c r="B10610" i="2"/>
  <c r="E10610" i="2"/>
  <c r="A10611" i="2"/>
  <c r="B10611" i="2"/>
  <c r="E10611" i="2"/>
  <c r="A10612" i="2"/>
  <c r="B10612" i="2"/>
  <c r="E10612" i="2"/>
  <c r="A10613" i="2"/>
  <c r="B10613" i="2"/>
  <c r="E10613" i="2"/>
  <c r="A10614" i="2"/>
  <c r="B10614" i="2"/>
  <c r="E10614" i="2"/>
  <c r="A10615" i="2"/>
  <c r="B10615" i="2"/>
  <c r="E10615" i="2"/>
  <c r="A10616" i="2"/>
  <c r="B10616" i="2"/>
  <c r="E10616" i="2"/>
  <c r="A10617" i="2"/>
  <c r="B10617" i="2"/>
  <c r="E10617" i="2"/>
  <c r="A10618" i="2"/>
  <c r="B10618" i="2"/>
  <c r="E10618" i="2"/>
  <c r="A10619" i="2"/>
  <c r="B10619" i="2"/>
  <c r="E10619" i="2"/>
  <c r="A10620" i="2"/>
  <c r="B10620" i="2"/>
  <c r="E10620" i="2"/>
  <c r="A10621" i="2"/>
  <c r="B10621" i="2"/>
  <c r="E10621" i="2"/>
  <c r="A10622" i="2"/>
  <c r="B10622" i="2"/>
  <c r="E10622" i="2"/>
  <c r="A10623" i="2"/>
  <c r="B10623" i="2"/>
  <c r="E10623" i="2"/>
  <c r="A10624" i="2"/>
  <c r="B10624" i="2"/>
  <c r="E10624" i="2"/>
  <c r="A10625" i="2"/>
  <c r="B10625" i="2"/>
  <c r="E10625" i="2"/>
  <c r="A10626" i="2"/>
  <c r="B10626" i="2"/>
  <c r="E10626" i="2"/>
  <c r="A10627" i="2"/>
  <c r="B10627" i="2"/>
  <c r="E10627" i="2"/>
  <c r="A10628" i="2"/>
  <c r="B10628" i="2"/>
  <c r="E10628" i="2"/>
  <c r="A10629" i="2"/>
  <c r="B10629" i="2"/>
  <c r="E10629" i="2"/>
  <c r="A10630" i="2"/>
  <c r="B10630" i="2"/>
  <c r="E10630" i="2"/>
  <c r="A10631" i="2"/>
  <c r="B10631" i="2"/>
  <c r="E10631" i="2"/>
  <c r="A10632" i="2"/>
  <c r="B10632" i="2"/>
  <c r="E10632" i="2"/>
  <c r="A10633" i="2"/>
  <c r="B10633" i="2"/>
  <c r="E10633" i="2"/>
  <c r="A10634" i="2"/>
  <c r="B10634" i="2"/>
  <c r="E10634" i="2"/>
  <c r="A10635" i="2"/>
  <c r="B10635" i="2"/>
  <c r="E10635" i="2"/>
  <c r="A10636" i="2"/>
  <c r="B10636" i="2"/>
  <c r="E10636" i="2"/>
  <c r="A10637" i="2"/>
  <c r="B10637" i="2"/>
  <c r="E10637" i="2"/>
  <c r="A10638" i="2"/>
  <c r="B10638" i="2"/>
  <c r="E10638" i="2"/>
  <c r="A10639" i="2"/>
  <c r="B10639" i="2"/>
  <c r="E10639" i="2"/>
  <c r="A10640" i="2"/>
  <c r="B10640" i="2"/>
  <c r="E10640" i="2"/>
  <c r="A10641" i="2"/>
  <c r="B10641" i="2"/>
  <c r="E10641" i="2"/>
  <c r="A10642" i="2"/>
  <c r="B10642" i="2"/>
  <c r="E10642" i="2"/>
  <c r="A10643" i="2"/>
  <c r="B10643" i="2"/>
  <c r="E10643" i="2"/>
  <c r="A10644" i="2"/>
  <c r="B10644" i="2"/>
  <c r="E10644" i="2"/>
  <c r="A10645" i="2"/>
  <c r="B10645" i="2"/>
  <c r="E10645" i="2"/>
  <c r="A10646" i="2"/>
  <c r="B10646" i="2"/>
  <c r="E10646" i="2"/>
  <c r="A10647" i="2"/>
  <c r="B10647" i="2"/>
  <c r="E10647" i="2"/>
  <c r="A10648" i="2"/>
  <c r="B10648" i="2"/>
  <c r="E10648" i="2"/>
  <c r="A10649" i="2"/>
  <c r="B10649" i="2"/>
  <c r="E10649" i="2"/>
  <c r="A10650" i="2"/>
  <c r="B10650" i="2"/>
  <c r="E10650" i="2"/>
  <c r="A10651" i="2"/>
  <c r="B10651" i="2"/>
  <c r="E10651" i="2"/>
  <c r="A10652" i="2"/>
  <c r="B10652" i="2"/>
  <c r="E10652" i="2"/>
  <c r="A10653" i="2"/>
  <c r="B10653" i="2"/>
  <c r="E10653" i="2"/>
  <c r="A10654" i="2"/>
  <c r="B10654" i="2"/>
  <c r="E10654" i="2"/>
  <c r="A10655" i="2"/>
  <c r="B10655" i="2"/>
  <c r="E10655" i="2"/>
  <c r="A10656" i="2"/>
  <c r="B10656" i="2"/>
  <c r="E10656" i="2"/>
  <c r="A10657" i="2"/>
  <c r="B10657" i="2"/>
  <c r="E10657" i="2"/>
  <c r="A10658" i="2"/>
  <c r="B10658" i="2"/>
  <c r="E10658" i="2"/>
  <c r="A10659" i="2"/>
  <c r="B10659" i="2"/>
  <c r="E10659" i="2"/>
  <c r="A10660" i="2"/>
  <c r="B10660" i="2"/>
  <c r="E10660" i="2"/>
  <c r="A10661" i="2"/>
  <c r="B10661" i="2"/>
  <c r="E10661" i="2"/>
  <c r="A10662" i="2"/>
  <c r="B10662" i="2"/>
  <c r="E10662" i="2"/>
  <c r="A10663" i="2"/>
  <c r="B10663" i="2"/>
  <c r="E10663" i="2"/>
  <c r="A10664" i="2"/>
  <c r="B10664" i="2"/>
  <c r="E10664" i="2"/>
  <c r="A10665" i="2"/>
  <c r="B10665" i="2"/>
  <c r="E10665" i="2"/>
  <c r="A10666" i="2"/>
  <c r="B10666" i="2"/>
  <c r="E10666" i="2"/>
  <c r="A10667" i="2"/>
  <c r="B10667" i="2"/>
  <c r="E10667" i="2"/>
  <c r="A10668" i="2"/>
  <c r="B10668" i="2"/>
  <c r="E10668" i="2"/>
  <c r="A10669" i="2"/>
  <c r="B10669" i="2"/>
  <c r="E10669" i="2"/>
  <c r="A10670" i="2"/>
  <c r="B10670" i="2"/>
  <c r="E10670" i="2"/>
  <c r="A10671" i="2"/>
  <c r="B10671" i="2"/>
  <c r="E10671" i="2"/>
  <c r="A10672" i="2"/>
  <c r="B10672" i="2"/>
  <c r="E10672" i="2"/>
  <c r="A10673" i="2"/>
  <c r="B10673" i="2"/>
  <c r="E10673" i="2"/>
  <c r="A10674" i="2"/>
  <c r="B10674" i="2"/>
  <c r="E10674" i="2"/>
  <c r="A10675" i="2"/>
  <c r="B10675" i="2"/>
  <c r="E10675" i="2"/>
  <c r="A10676" i="2"/>
  <c r="B10676" i="2"/>
  <c r="E10676" i="2"/>
  <c r="A10677" i="2"/>
  <c r="B10677" i="2"/>
  <c r="E10677" i="2"/>
  <c r="A10678" i="2"/>
  <c r="B10678" i="2"/>
  <c r="E10678" i="2"/>
  <c r="A10679" i="2"/>
  <c r="B10679" i="2"/>
  <c r="E10679" i="2"/>
  <c r="A10680" i="2"/>
  <c r="B10680" i="2"/>
  <c r="E10680" i="2"/>
  <c r="A10681" i="2"/>
  <c r="B10681" i="2"/>
  <c r="E10681" i="2"/>
  <c r="A10682" i="2"/>
  <c r="B10682" i="2"/>
  <c r="E10682" i="2"/>
  <c r="A10683" i="2"/>
  <c r="B10683" i="2"/>
  <c r="E10683" i="2"/>
  <c r="A10684" i="2"/>
  <c r="B10684" i="2"/>
  <c r="E10684" i="2"/>
  <c r="A10685" i="2"/>
  <c r="B10685" i="2"/>
  <c r="E10685" i="2"/>
  <c r="A10686" i="2"/>
  <c r="B10686" i="2"/>
  <c r="E10686" i="2"/>
  <c r="A10687" i="2"/>
  <c r="B10687" i="2"/>
  <c r="E10687" i="2"/>
  <c r="A10688" i="2"/>
  <c r="B10688" i="2"/>
  <c r="E10688" i="2"/>
  <c r="A10689" i="2"/>
  <c r="B10689" i="2"/>
  <c r="E10689" i="2"/>
  <c r="A10690" i="2"/>
  <c r="B10690" i="2"/>
  <c r="E10690" i="2"/>
  <c r="A10691" i="2"/>
  <c r="B10691" i="2"/>
  <c r="E10691" i="2"/>
  <c r="A10692" i="2"/>
  <c r="B10692" i="2"/>
  <c r="E10692" i="2"/>
  <c r="A10693" i="2"/>
  <c r="B10693" i="2"/>
  <c r="E10693" i="2"/>
  <c r="A10694" i="2"/>
  <c r="B10694" i="2"/>
  <c r="E10694" i="2"/>
  <c r="A10695" i="2"/>
  <c r="B10695" i="2"/>
  <c r="E10695" i="2"/>
  <c r="A10696" i="2"/>
  <c r="B10696" i="2"/>
  <c r="E10696" i="2"/>
  <c r="A10697" i="2"/>
  <c r="B10697" i="2"/>
  <c r="E10697" i="2"/>
  <c r="A10698" i="2"/>
  <c r="B10698" i="2"/>
  <c r="E10698" i="2"/>
  <c r="A10699" i="2"/>
  <c r="B10699" i="2"/>
  <c r="E10699" i="2"/>
  <c r="A10700" i="2"/>
  <c r="B10700" i="2"/>
  <c r="E10700" i="2"/>
  <c r="A10701" i="2"/>
  <c r="B10701" i="2"/>
  <c r="E10701" i="2"/>
  <c r="A10702" i="2"/>
  <c r="B10702" i="2"/>
  <c r="E10702" i="2"/>
  <c r="A10703" i="2"/>
  <c r="B10703" i="2"/>
  <c r="E10703" i="2"/>
  <c r="A10704" i="2"/>
  <c r="B10704" i="2"/>
  <c r="E10704" i="2"/>
  <c r="A10705" i="2"/>
  <c r="B10705" i="2"/>
  <c r="E10705" i="2"/>
  <c r="A10706" i="2"/>
  <c r="B10706" i="2"/>
  <c r="E10706" i="2"/>
  <c r="A10707" i="2"/>
  <c r="B10707" i="2"/>
  <c r="E10707" i="2"/>
  <c r="A10708" i="2"/>
  <c r="B10708" i="2"/>
  <c r="E10708" i="2"/>
  <c r="A10709" i="2"/>
  <c r="B10709" i="2"/>
  <c r="E10709" i="2"/>
  <c r="A10710" i="2"/>
  <c r="B10710" i="2"/>
  <c r="E10710" i="2"/>
  <c r="A10711" i="2"/>
  <c r="B10711" i="2"/>
  <c r="E10711" i="2"/>
  <c r="A10712" i="2"/>
  <c r="B10712" i="2"/>
  <c r="E10712" i="2"/>
  <c r="A10713" i="2"/>
  <c r="B10713" i="2"/>
  <c r="E10713" i="2"/>
  <c r="A10714" i="2"/>
  <c r="B10714" i="2"/>
  <c r="E10714" i="2"/>
  <c r="A10715" i="2"/>
  <c r="B10715" i="2"/>
  <c r="E10715" i="2"/>
  <c r="A10716" i="2"/>
  <c r="B10716" i="2"/>
  <c r="E10716" i="2"/>
  <c r="A10717" i="2"/>
  <c r="B10717" i="2"/>
  <c r="E10717" i="2"/>
  <c r="A10718" i="2"/>
  <c r="B10718" i="2"/>
  <c r="E10718" i="2"/>
  <c r="A10719" i="2"/>
  <c r="B10719" i="2"/>
  <c r="E10719" i="2"/>
  <c r="A10720" i="2"/>
  <c r="B10720" i="2"/>
  <c r="E10720" i="2"/>
  <c r="A10721" i="2"/>
  <c r="B10721" i="2"/>
  <c r="E10721" i="2"/>
  <c r="A10722" i="2"/>
  <c r="B10722" i="2"/>
  <c r="E10722" i="2"/>
  <c r="A10723" i="2"/>
  <c r="B10723" i="2"/>
  <c r="E10723" i="2"/>
  <c r="A10724" i="2"/>
  <c r="B10724" i="2"/>
  <c r="E10724" i="2"/>
  <c r="A10725" i="2"/>
  <c r="B10725" i="2"/>
  <c r="E10725" i="2"/>
  <c r="A10726" i="2"/>
  <c r="B10726" i="2"/>
  <c r="E10726" i="2"/>
  <c r="A10727" i="2"/>
  <c r="B10727" i="2"/>
  <c r="E10727" i="2"/>
  <c r="A10728" i="2"/>
  <c r="B10728" i="2"/>
  <c r="E10728" i="2"/>
  <c r="A10729" i="2"/>
  <c r="B10729" i="2"/>
  <c r="E10729" i="2"/>
  <c r="A10730" i="2"/>
  <c r="B10730" i="2"/>
  <c r="E10730" i="2"/>
  <c r="A10731" i="2"/>
  <c r="B10731" i="2"/>
  <c r="E10731" i="2"/>
  <c r="A10732" i="2"/>
  <c r="B10732" i="2"/>
  <c r="E10732" i="2"/>
  <c r="A10733" i="2"/>
  <c r="B10733" i="2"/>
  <c r="E10733" i="2"/>
  <c r="A10734" i="2"/>
  <c r="B10734" i="2"/>
  <c r="E10734" i="2"/>
  <c r="A10735" i="2"/>
  <c r="B10735" i="2"/>
  <c r="E10735" i="2"/>
  <c r="A10736" i="2"/>
  <c r="B10736" i="2"/>
  <c r="E10736" i="2"/>
  <c r="A10737" i="2"/>
  <c r="B10737" i="2"/>
  <c r="E10737" i="2"/>
  <c r="A10738" i="2"/>
  <c r="B10738" i="2"/>
  <c r="E10738" i="2"/>
  <c r="A10739" i="2"/>
  <c r="B10739" i="2"/>
  <c r="E10739" i="2"/>
  <c r="A10740" i="2"/>
  <c r="B10740" i="2"/>
  <c r="E10740" i="2"/>
  <c r="A10741" i="2"/>
  <c r="B10741" i="2"/>
  <c r="E10741" i="2"/>
  <c r="A10742" i="2"/>
  <c r="B10742" i="2"/>
  <c r="E10742" i="2"/>
  <c r="A10743" i="2"/>
  <c r="B10743" i="2"/>
  <c r="E10743" i="2"/>
  <c r="A10744" i="2"/>
  <c r="B10744" i="2"/>
  <c r="E10744" i="2"/>
  <c r="A10745" i="2"/>
  <c r="B10745" i="2"/>
  <c r="E10745" i="2"/>
  <c r="A10746" i="2"/>
  <c r="B10746" i="2"/>
  <c r="E10746" i="2"/>
  <c r="A10747" i="2"/>
  <c r="B10747" i="2"/>
  <c r="E10747" i="2"/>
  <c r="A10748" i="2"/>
  <c r="B10748" i="2"/>
  <c r="E10748" i="2"/>
  <c r="A10749" i="2"/>
  <c r="B10749" i="2"/>
  <c r="E10749" i="2"/>
  <c r="A10750" i="2"/>
  <c r="B10750" i="2"/>
  <c r="E10750" i="2"/>
  <c r="A10751" i="2"/>
  <c r="B10751" i="2"/>
  <c r="E10751" i="2"/>
  <c r="A10752" i="2"/>
  <c r="B10752" i="2"/>
  <c r="E10752" i="2"/>
  <c r="A10753" i="2"/>
  <c r="B10753" i="2"/>
  <c r="E10753" i="2"/>
  <c r="A10754" i="2"/>
  <c r="B10754" i="2"/>
  <c r="E10754" i="2"/>
  <c r="A10755" i="2"/>
  <c r="B10755" i="2"/>
  <c r="E10755" i="2"/>
  <c r="A10756" i="2"/>
  <c r="B10756" i="2"/>
  <c r="E10756" i="2"/>
  <c r="A10757" i="2"/>
  <c r="B10757" i="2"/>
  <c r="E10757" i="2"/>
  <c r="A10758" i="2"/>
  <c r="B10758" i="2"/>
  <c r="E10758" i="2"/>
  <c r="A10759" i="2"/>
  <c r="B10759" i="2"/>
  <c r="E10759" i="2"/>
  <c r="A10760" i="2"/>
  <c r="B10760" i="2"/>
  <c r="E10760" i="2"/>
  <c r="A10761" i="2"/>
  <c r="B10761" i="2"/>
  <c r="E10761" i="2"/>
  <c r="A10762" i="2"/>
  <c r="B10762" i="2"/>
  <c r="E10762" i="2"/>
  <c r="A10763" i="2"/>
  <c r="B10763" i="2"/>
  <c r="E10763" i="2"/>
  <c r="A10764" i="2"/>
  <c r="B10764" i="2"/>
  <c r="E10764" i="2"/>
  <c r="A10765" i="2"/>
  <c r="B10765" i="2"/>
  <c r="E10765" i="2"/>
  <c r="A10766" i="2"/>
  <c r="B10766" i="2"/>
  <c r="E10766" i="2"/>
  <c r="A10767" i="2"/>
  <c r="B10767" i="2"/>
  <c r="E10767" i="2"/>
  <c r="A10768" i="2"/>
  <c r="B10768" i="2"/>
  <c r="E10768" i="2"/>
  <c r="A10769" i="2"/>
  <c r="B10769" i="2"/>
  <c r="E10769" i="2"/>
  <c r="A10770" i="2"/>
  <c r="B10770" i="2"/>
  <c r="E10770" i="2"/>
  <c r="A10771" i="2"/>
  <c r="B10771" i="2"/>
  <c r="E10771" i="2"/>
  <c r="A10772" i="2"/>
  <c r="B10772" i="2"/>
  <c r="E10772" i="2"/>
  <c r="A10773" i="2"/>
  <c r="B10773" i="2"/>
  <c r="E10773" i="2"/>
  <c r="A10774" i="2"/>
  <c r="B10774" i="2"/>
  <c r="E10774" i="2"/>
  <c r="A10775" i="2"/>
  <c r="B10775" i="2"/>
  <c r="E10775" i="2"/>
  <c r="A10776" i="2"/>
  <c r="B10776" i="2"/>
  <c r="E10776" i="2"/>
  <c r="A10777" i="2"/>
  <c r="B10777" i="2"/>
  <c r="E10777" i="2"/>
  <c r="A10778" i="2"/>
  <c r="B10778" i="2"/>
  <c r="E10778" i="2"/>
  <c r="A10779" i="2"/>
  <c r="B10779" i="2"/>
  <c r="E10779" i="2"/>
  <c r="A10780" i="2"/>
  <c r="B10780" i="2"/>
  <c r="E10780" i="2"/>
  <c r="A10781" i="2"/>
  <c r="B10781" i="2"/>
  <c r="E10781" i="2"/>
  <c r="A10782" i="2"/>
  <c r="B10782" i="2"/>
  <c r="E10782" i="2"/>
  <c r="A10783" i="2"/>
  <c r="B10783" i="2"/>
  <c r="E10783" i="2"/>
  <c r="A10784" i="2"/>
  <c r="B10784" i="2"/>
  <c r="E10784" i="2"/>
  <c r="A10785" i="2"/>
  <c r="B10785" i="2"/>
  <c r="E10785" i="2"/>
  <c r="A10786" i="2"/>
  <c r="B10786" i="2"/>
  <c r="E10786" i="2"/>
  <c r="A10787" i="2"/>
  <c r="B10787" i="2"/>
  <c r="E10787" i="2"/>
  <c r="A10788" i="2"/>
  <c r="B10788" i="2"/>
  <c r="E10788" i="2"/>
  <c r="A10789" i="2"/>
  <c r="B10789" i="2"/>
  <c r="E10789" i="2"/>
  <c r="A10790" i="2"/>
  <c r="B10790" i="2"/>
  <c r="E10790" i="2"/>
  <c r="A10791" i="2"/>
  <c r="B10791" i="2"/>
  <c r="E10791" i="2"/>
  <c r="A10792" i="2"/>
  <c r="B10792" i="2"/>
  <c r="E10792" i="2"/>
  <c r="A10793" i="2"/>
  <c r="B10793" i="2"/>
  <c r="E10793" i="2"/>
  <c r="A10794" i="2"/>
  <c r="B10794" i="2"/>
  <c r="E10794" i="2"/>
  <c r="A10795" i="2"/>
  <c r="B10795" i="2"/>
  <c r="E10795" i="2"/>
  <c r="A10796" i="2"/>
  <c r="B10796" i="2"/>
  <c r="E10796" i="2"/>
  <c r="A10797" i="2"/>
  <c r="B10797" i="2"/>
  <c r="E10797" i="2"/>
  <c r="A10798" i="2"/>
  <c r="B10798" i="2"/>
  <c r="E10798" i="2"/>
  <c r="A10799" i="2"/>
  <c r="B10799" i="2"/>
  <c r="E10799" i="2"/>
  <c r="A10800" i="2"/>
  <c r="B10800" i="2"/>
  <c r="E10800" i="2"/>
  <c r="A10801" i="2"/>
  <c r="B10801" i="2"/>
  <c r="E10801" i="2"/>
  <c r="A10802" i="2"/>
  <c r="B10802" i="2"/>
  <c r="E10802" i="2"/>
  <c r="A10803" i="2"/>
  <c r="B10803" i="2"/>
  <c r="E10803" i="2"/>
  <c r="A10804" i="2"/>
  <c r="B10804" i="2"/>
  <c r="E10804" i="2"/>
  <c r="A10805" i="2"/>
  <c r="B10805" i="2"/>
  <c r="E10805" i="2"/>
  <c r="A10806" i="2"/>
  <c r="B10806" i="2"/>
  <c r="E10806" i="2"/>
  <c r="A10807" i="2"/>
  <c r="B10807" i="2"/>
  <c r="E10807" i="2"/>
  <c r="A10808" i="2"/>
  <c r="B10808" i="2"/>
  <c r="E10808" i="2"/>
  <c r="A10809" i="2"/>
  <c r="B10809" i="2"/>
  <c r="E10809" i="2"/>
  <c r="A10810" i="2"/>
  <c r="B10810" i="2"/>
  <c r="E10810" i="2"/>
  <c r="A10811" i="2"/>
  <c r="B10811" i="2"/>
  <c r="E10811" i="2"/>
  <c r="A10812" i="2"/>
  <c r="B10812" i="2"/>
  <c r="E10812" i="2"/>
  <c r="A10813" i="2"/>
  <c r="B10813" i="2"/>
  <c r="E10813" i="2"/>
  <c r="A10814" i="2"/>
  <c r="B10814" i="2"/>
  <c r="E10814" i="2"/>
  <c r="A10815" i="2"/>
  <c r="B10815" i="2"/>
  <c r="E10815" i="2"/>
  <c r="A10816" i="2"/>
  <c r="B10816" i="2"/>
  <c r="E10816" i="2"/>
  <c r="A10817" i="2"/>
  <c r="B10817" i="2"/>
  <c r="E10817" i="2"/>
  <c r="A10818" i="2"/>
  <c r="B10818" i="2"/>
  <c r="E10818" i="2"/>
  <c r="A10819" i="2"/>
  <c r="B10819" i="2"/>
  <c r="E10819" i="2"/>
  <c r="A10820" i="2"/>
  <c r="B10820" i="2"/>
  <c r="E10820" i="2"/>
  <c r="A10821" i="2"/>
  <c r="B10821" i="2"/>
  <c r="E10821" i="2"/>
  <c r="A10822" i="2"/>
  <c r="B10822" i="2"/>
  <c r="E10822" i="2"/>
  <c r="A10823" i="2"/>
  <c r="B10823" i="2"/>
  <c r="E10823" i="2"/>
  <c r="A10824" i="2"/>
  <c r="B10824" i="2"/>
  <c r="E10824" i="2"/>
  <c r="A10825" i="2"/>
  <c r="B10825" i="2"/>
  <c r="E10825" i="2"/>
  <c r="A10826" i="2"/>
  <c r="B10826" i="2"/>
  <c r="E10826" i="2"/>
  <c r="A10827" i="2"/>
  <c r="B10827" i="2"/>
  <c r="E10827" i="2"/>
  <c r="A10828" i="2"/>
  <c r="B10828" i="2"/>
  <c r="E10828" i="2"/>
  <c r="A10829" i="2"/>
  <c r="B10829" i="2"/>
  <c r="E10829" i="2"/>
  <c r="A10830" i="2"/>
  <c r="B10830" i="2"/>
  <c r="E10830" i="2"/>
  <c r="A10831" i="2"/>
  <c r="B10831" i="2"/>
  <c r="E10831" i="2"/>
  <c r="A10832" i="2"/>
  <c r="B10832" i="2"/>
  <c r="E10832" i="2"/>
  <c r="A10833" i="2"/>
  <c r="B10833" i="2"/>
  <c r="E10833" i="2"/>
  <c r="A10834" i="2"/>
  <c r="B10834" i="2"/>
  <c r="E10834" i="2"/>
  <c r="A10835" i="2"/>
  <c r="B10835" i="2"/>
  <c r="E10835" i="2"/>
  <c r="A10836" i="2"/>
  <c r="B10836" i="2"/>
  <c r="E10836" i="2"/>
  <c r="A10837" i="2"/>
  <c r="B10837" i="2"/>
  <c r="E10837" i="2"/>
  <c r="A10838" i="2"/>
  <c r="B10838" i="2"/>
  <c r="E10838" i="2"/>
  <c r="A10839" i="2"/>
  <c r="B10839" i="2"/>
  <c r="E10839" i="2"/>
  <c r="A10840" i="2"/>
  <c r="B10840" i="2"/>
  <c r="E10840" i="2"/>
  <c r="A10841" i="2"/>
  <c r="B10841" i="2"/>
  <c r="E10841" i="2"/>
  <c r="A10842" i="2"/>
  <c r="B10842" i="2"/>
  <c r="E10842" i="2"/>
  <c r="A10843" i="2"/>
  <c r="B10843" i="2"/>
  <c r="E10843" i="2"/>
  <c r="A10844" i="2"/>
  <c r="B10844" i="2"/>
  <c r="E10844" i="2"/>
  <c r="A10845" i="2"/>
  <c r="B10845" i="2"/>
  <c r="E10845" i="2"/>
  <c r="A10846" i="2"/>
  <c r="B10846" i="2"/>
  <c r="E10846" i="2"/>
  <c r="A10847" i="2"/>
  <c r="B10847" i="2"/>
  <c r="E10847" i="2"/>
  <c r="A10848" i="2"/>
  <c r="B10848" i="2"/>
  <c r="E10848" i="2"/>
  <c r="A10849" i="2"/>
  <c r="B10849" i="2"/>
  <c r="E10849" i="2"/>
  <c r="A10850" i="2"/>
  <c r="B10850" i="2"/>
  <c r="E10850" i="2"/>
  <c r="A10851" i="2"/>
  <c r="B10851" i="2"/>
  <c r="E10851" i="2"/>
  <c r="A10852" i="2"/>
  <c r="B10852" i="2"/>
  <c r="E10852" i="2"/>
  <c r="A10853" i="2"/>
  <c r="B10853" i="2"/>
  <c r="E10853" i="2"/>
  <c r="A10854" i="2"/>
  <c r="B10854" i="2"/>
  <c r="E10854" i="2"/>
  <c r="A10855" i="2"/>
  <c r="B10855" i="2"/>
  <c r="E10855" i="2"/>
  <c r="A10856" i="2"/>
  <c r="B10856" i="2"/>
  <c r="E10856" i="2"/>
  <c r="A10857" i="2"/>
  <c r="B10857" i="2"/>
  <c r="E10857" i="2"/>
  <c r="A10858" i="2"/>
  <c r="B10858" i="2"/>
  <c r="E10858" i="2"/>
  <c r="A10859" i="2"/>
  <c r="B10859" i="2"/>
  <c r="E10859" i="2"/>
  <c r="A10860" i="2"/>
  <c r="B10860" i="2"/>
  <c r="E10860" i="2"/>
  <c r="A10861" i="2"/>
  <c r="B10861" i="2"/>
  <c r="E10861" i="2"/>
  <c r="A10862" i="2"/>
  <c r="B10862" i="2"/>
  <c r="E10862" i="2"/>
  <c r="A10863" i="2"/>
  <c r="B10863" i="2"/>
  <c r="E10863" i="2"/>
  <c r="A10864" i="2"/>
  <c r="B10864" i="2"/>
  <c r="E10864" i="2"/>
  <c r="A10865" i="2"/>
  <c r="B10865" i="2"/>
  <c r="E10865" i="2"/>
  <c r="A10866" i="2"/>
  <c r="B10866" i="2"/>
  <c r="E10866" i="2"/>
  <c r="A10867" i="2"/>
  <c r="B10867" i="2"/>
  <c r="E10867" i="2"/>
  <c r="A10868" i="2"/>
  <c r="B10868" i="2"/>
  <c r="E10868" i="2"/>
  <c r="A10869" i="2"/>
  <c r="B10869" i="2"/>
  <c r="E10869" i="2"/>
  <c r="A10870" i="2"/>
  <c r="B10870" i="2"/>
  <c r="E10870" i="2"/>
  <c r="A10871" i="2"/>
  <c r="B10871" i="2"/>
  <c r="E10871" i="2"/>
  <c r="A10872" i="2"/>
  <c r="B10872" i="2"/>
  <c r="E10872" i="2"/>
  <c r="A10873" i="2"/>
  <c r="B10873" i="2"/>
  <c r="E10873" i="2"/>
  <c r="A10874" i="2"/>
  <c r="B10874" i="2"/>
  <c r="E10874" i="2"/>
  <c r="A10875" i="2"/>
  <c r="B10875" i="2"/>
  <c r="E10875" i="2"/>
  <c r="A10876" i="2"/>
  <c r="B10876" i="2"/>
  <c r="E10876" i="2"/>
  <c r="A10877" i="2"/>
  <c r="B10877" i="2"/>
  <c r="E10877" i="2"/>
  <c r="A10878" i="2"/>
  <c r="B10878" i="2"/>
  <c r="E10878" i="2"/>
  <c r="A10879" i="2"/>
  <c r="B10879" i="2"/>
  <c r="E10879" i="2"/>
  <c r="A10880" i="2"/>
  <c r="B10880" i="2"/>
  <c r="E10880" i="2"/>
  <c r="A10881" i="2"/>
  <c r="B10881" i="2"/>
  <c r="E10881" i="2"/>
  <c r="A10882" i="2"/>
  <c r="B10882" i="2"/>
  <c r="E10882" i="2"/>
  <c r="A10883" i="2"/>
  <c r="B10883" i="2"/>
  <c r="E10883" i="2"/>
  <c r="A10884" i="2"/>
  <c r="B10884" i="2"/>
  <c r="E10884" i="2"/>
  <c r="A10885" i="2"/>
  <c r="B10885" i="2"/>
  <c r="E10885" i="2"/>
  <c r="A10886" i="2"/>
  <c r="B10886" i="2"/>
  <c r="E10886" i="2"/>
  <c r="A10887" i="2"/>
  <c r="B10887" i="2"/>
  <c r="E10887" i="2"/>
  <c r="A10888" i="2"/>
  <c r="B10888" i="2"/>
  <c r="E10888" i="2"/>
  <c r="A10889" i="2"/>
  <c r="B10889" i="2"/>
  <c r="E10889" i="2"/>
  <c r="A10890" i="2"/>
  <c r="B10890" i="2"/>
  <c r="E10890" i="2"/>
  <c r="A10891" i="2"/>
  <c r="B10891" i="2"/>
  <c r="E10891" i="2"/>
  <c r="A10892" i="2"/>
  <c r="B10892" i="2"/>
  <c r="E10892" i="2"/>
  <c r="A10893" i="2"/>
  <c r="B10893" i="2"/>
  <c r="E10893" i="2"/>
  <c r="A10894" i="2"/>
  <c r="B10894" i="2"/>
  <c r="E10894" i="2"/>
  <c r="A10895" i="2"/>
  <c r="B10895" i="2"/>
  <c r="E10895" i="2"/>
  <c r="A10896" i="2"/>
  <c r="B10896" i="2"/>
  <c r="E10896" i="2"/>
  <c r="A10897" i="2"/>
  <c r="B10897" i="2"/>
  <c r="E10897" i="2"/>
  <c r="A10898" i="2"/>
  <c r="B10898" i="2"/>
  <c r="E10898" i="2"/>
  <c r="A10899" i="2"/>
  <c r="B10899" i="2"/>
  <c r="E10899" i="2"/>
  <c r="A10900" i="2"/>
  <c r="B10900" i="2"/>
  <c r="E10900" i="2"/>
  <c r="A10901" i="2"/>
  <c r="B10901" i="2"/>
  <c r="E10901" i="2"/>
  <c r="A10902" i="2"/>
  <c r="B10902" i="2"/>
  <c r="E10902" i="2"/>
  <c r="A10903" i="2"/>
  <c r="B10903" i="2"/>
  <c r="E10903" i="2"/>
  <c r="A10904" i="2"/>
  <c r="B10904" i="2"/>
  <c r="E10904" i="2"/>
  <c r="A10905" i="2"/>
  <c r="B10905" i="2"/>
  <c r="E10905" i="2"/>
  <c r="A10906" i="2"/>
  <c r="B10906" i="2"/>
  <c r="E10906" i="2"/>
  <c r="A10907" i="2"/>
  <c r="B10907" i="2"/>
  <c r="E10907" i="2"/>
  <c r="A10908" i="2"/>
  <c r="B10908" i="2"/>
  <c r="E10908" i="2"/>
  <c r="A10909" i="2"/>
  <c r="B10909" i="2"/>
  <c r="E10909" i="2"/>
  <c r="A10910" i="2"/>
  <c r="B10910" i="2"/>
  <c r="E10910" i="2"/>
  <c r="A10911" i="2"/>
  <c r="B10911" i="2"/>
  <c r="E10911" i="2"/>
  <c r="A10912" i="2"/>
  <c r="B10912" i="2"/>
  <c r="E10912" i="2"/>
  <c r="A10913" i="2"/>
  <c r="B10913" i="2"/>
  <c r="E10913" i="2"/>
  <c r="A10914" i="2"/>
  <c r="B10914" i="2"/>
  <c r="E10914" i="2"/>
  <c r="A10915" i="2"/>
  <c r="B10915" i="2"/>
  <c r="E10915" i="2"/>
  <c r="A10916" i="2"/>
  <c r="B10916" i="2"/>
  <c r="E10916" i="2"/>
  <c r="A10917" i="2"/>
  <c r="B10917" i="2"/>
  <c r="E10917" i="2"/>
  <c r="A10918" i="2"/>
  <c r="B10918" i="2"/>
  <c r="E10918" i="2"/>
  <c r="A10919" i="2"/>
  <c r="B10919" i="2"/>
  <c r="E10919" i="2"/>
  <c r="A10920" i="2"/>
  <c r="B10920" i="2"/>
  <c r="E10920" i="2"/>
  <c r="A10921" i="2"/>
  <c r="B10921" i="2"/>
  <c r="E10921" i="2"/>
  <c r="A10922" i="2"/>
  <c r="B10922" i="2"/>
  <c r="E10922" i="2"/>
  <c r="A10923" i="2"/>
  <c r="B10923" i="2"/>
  <c r="E10923" i="2"/>
  <c r="A10924" i="2"/>
  <c r="B10924" i="2"/>
  <c r="E10924" i="2"/>
  <c r="A10925" i="2"/>
  <c r="B10925" i="2"/>
  <c r="E10925" i="2"/>
  <c r="A10926" i="2"/>
  <c r="B10926" i="2"/>
  <c r="E10926" i="2"/>
  <c r="A10927" i="2"/>
  <c r="B10927" i="2"/>
  <c r="E10927" i="2"/>
  <c r="A10928" i="2"/>
  <c r="B10928" i="2"/>
  <c r="E10928" i="2"/>
  <c r="A10929" i="2"/>
  <c r="B10929" i="2"/>
  <c r="E10929" i="2"/>
  <c r="A10930" i="2"/>
  <c r="B10930" i="2"/>
  <c r="E10930" i="2"/>
  <c r="A10931" i="2"/>
  <c r="B10931" i="2"/>
  <c r="E10931" i="2"/>
  <c r="A10932" i="2"/>
  <c r="B10932" i="2"/>
  <c r="E10932" i="2"/>
  <c r="A10933" i="2"/>
  <c r="B10933" i="2"/>
  <c r="E10933" i="2"/>
  <c r="A10934" i="2"/>
  <c r="B10934" i="2"/>
  <c r="E10934" i="2"/>
  <c r="A10935" i="2"/>
  <c r="B10935" i="2"/>
  <c r="E10935" i="2"/>
  <c r="A10936" i="2"/>
  <c r="B10936" i="2"/>
  <c r="E10936" i="2"/>
  <c r="A10937" i="2"/>
  <c r="B10937" i="2"/>
  <c r="E10937" i="2"/>
  <c r="A10938" i="2"/>
  <c r="B10938" i="2"/>
  <c r="E10938" i="2"/>
  <c r="A10939" i="2"/>
  <c r="B10939" i="2"/>
  <c r="E10939" i="2"/>
  <c r="A10940" i="2"/>
  <c r="B10940" i="2"/>
  <c r="E10940" i="2"/>
  <c r="A10941" i="2"/>
  <c r="B10941" i="2"/>
  <c r="E10941" i="2"/>
  <c r="A10942" i="2"/>
  <c r="B10942" i="2"/>
  <c r="E10942" i="2"/>
  <c r="A10943" i="2"/>
  <c r="B10943" i="2"/>
  <c r="E10943" i="2"/>
  <c r="A10944" i="2"/>
  <c r="B10944" i="2"/>
  <c r="E10944" i="2"/>
  <c r="A10945" i="2"/>
  <c r="B10945" i="2"/>
  <c r="E10945" i="2"/>
  <c r="A10946" i="2"/>
  <c r="B10946" i="2"/>
  <c r="E10946" i="2"/>
  <c r="A10947" i="2"/>
  <c r="B10947" i="2"/>
  <c r="E10947" i="2"/>
  <c r="A10948" i="2"/>
  <c r="B10948" i="2"/>
  <c r="E10948" i="2"/>
  <c r="A10949" i="2"/>
  <c r="B10949" i="2"/>
  <c r="E10949" i="2"/>
  <c r="A10950" i="2"/>
  <c r="B10950" i="2"/>
  <c r="E10950" i="2"/>
  <c r="A10951" i="2"/>
  <c r="B10951" i="2"/>
  <c r="E10951" i="2"/>
  <c r="A10952" i="2"/>
  <c r="B10952" i="2"/>
  <c r="E10952" i="2"/>
  <c r="A10953" i="2"/>
  <c r="B10953" i="2"/>
  <c r="E10953" i="2"/>
  <c r="A10954" i="2"/>
  <c r="B10954" i="2"/>
  <c r="E10954" i="2"/>
  <c r="A10955" i="2"/>
  <c r="B10955" i="2"/>
  <c r="E10955" i="2"/>
  <c r="A10956" i="2"/>
  <c r="B10956" i="2"/>
  <c r="E10956" i="2"/>
  <c r="A10957" i="2"/>
  <c r="B10957" i="2"/>
  <c r="E10957" i="2"/>
  <c r="A10958" i="2"/>
  <c r="B10958" i="2"/>
  <c r="E10958" i="2"/>
  <c r="A10959" i="2"/>
  <c r="B10959" i="2"/>
  <c r="E10959" i="2"/>
  <c r="A10960" i="2"/>
  <c r="B10960" i="2"/>
  <c r="E10960" i="2"/>
  <c r="A10961" i="2"/>
  <c r="B10961" i="2"/>
  <c r="E10961" i="2"/>
  <c r="A10962" i="2"/>
  <c r="B10962" i="2"/>
  <c r="E10962" i="2"/>
  <c r="A10963" i="2"/>
  <c r="B10963" i="2"/>
  <c r="E10963" i="2"/>
  <c r="A10964" i="2"/>
  <c r="B10964" i="2"/>
  <c r="E10964" i="2"/>
  <c r="A10965" i="2"/>
  <c r="B10965" i="2"/>
  <c r="E10965" i="2"/>
  <c r="A10966" i="2"/>
  <c r="B10966" i="2"/>
  <c r="E10966" i="2"/>
  <c r="A10967" i="2"/>
  <c r="B10967" i="2"/>
  <c r="E10967" i="2"/>
  <c r="A10968" i="2"/>
  <c r="B10968" i="2"/>
  <c r="E10968" i="2"/>
  <c r="A10969" i="2"/>
  <c r="B10969" i="2"/>
  <c r="E10969" i="2"/>
  <c r="A10970" i="2"/>
  <c r="B10970" i="2"/>
  <c r="E10970" i="2"/>
  <c r="A10971" i="2"/>
  <c r="B10971" i="2"/>
  <c r="E10971" i="2"/>
  <c r="A10972" i="2"/>
  <c r="B10972" i="2"/>
  <c r="E10972" i="2"/>
  <c r="A10973" i="2"/>
  <c r="B10973" i="2"/>
  <c r="E10973" i="2"/>
  <c r="A10974" i="2"/>
  <c r="B10974" i="2"/>
  <c r="E10974" i="2"/>
  <c r="A10975" i="2"/>
  <c r="B10975" i="2"/>
  <c r="E10975" i="2"/>
  <c r="A10976" i="2"/>
  <c r="B10976" i="2"/>
  <c r="E10976" i="2"/>
  <c r="A10977" i="2"/>
  <c r="B10977" i="2"/>
  <c r="E10977" i="2"/>
  <c r="A10978" i="2"/>
  <c r="B10978" i="2"/>
  <c r="E10978" i="2"/>
  <c r="A10979" i="2"/>
  <c r="B10979" i="2"/>
  <c r="E10979" i="2"/>
  <c r="A10980" i="2"/>
  <c r="B10980" i="2"/>
  <c r="E10980" i="2"/>
  <c r="A10981" i="2"/>
  <c r="B10981" i="2"/>
  <c r="E10981" i="2"/>
  <c r="A10982" i="2"/>
  <c r="B10982" i="2"/>
  <c r="E10982" i="2"/>
  <c r="A10983" i="2"/>
  <c r="B10983" i="2"/>
  <c r="E10983" i="2"/>
  <c r="A10984" i="2"/>
  <c r="B10984" i="2"/>
  <c r="E10984" i="2"/>
  <c r="A10985" i="2"/>
  <c r="B10985" i="2"/>
  <c r="E10985" i="2"/>
  <c r="A10986" i="2"/>
  <c r="B10986" i="2"/>
  <c r="E10986" i="2"/>
  <c r="A10987" i="2"/>
  <c r="B10987" i="2"/>
  <c r="E10987" i="2"/>
  <c r="A10988" i="2"/>
  <c r="B10988" i="2"/>
  <c r="E10988" i="2"/>
  <c r="A10989" i="2"/>
  <c r="B10989" i="2"/>
  <c r="E10989" i="2"/>
  <c r="A10990" i="2"/>
  <c r="B10990" i="2"/>
  <c r="E10990" i="2"/>
  <c r="A10991" i="2"/>
  <c r="B10991" i="2"/>
  <c r="E10991" i="2"/>
  <c r="A10992" i="2"/>
  <c r="B10992" i="2"/>
  <c r="E10992" i="2"/>
  <c r="A10993" i="2"/>
  <c r="B10993" i="2"/>
  <c r="E10993" i="2"/>
  <c r="A10994" i="2"/>
  <c r="B10994" i="2"/>
  <c r="E10994" i="2"/>
  <c r="A10995" i="2"/>
  <c r="B10995" i="2"/>
  <c r="E10995" i="2"/>
  <c r="A10996" i="2"/>
  <c r="B10996" i="2"/>
  <c r="E10996" i="2"/>
  <c r="A10997" i="2"/>
  <c r="B10997" i="2"/>
  <c r="E10997" i="2"/>
  <c r="A10998" i="2"/>
  <c r="B10998" i="2"/>
  <c r="E10998" i="2"/>
  <c r="A10999" i="2"/>
  <c r="B10999" i="2"/>
  <c r="E10999" i="2"/>
  <c r="A11000" i="2"/>
  <c r="B11000" i="2"/>
  <c r="E11000" i="2"/>
  <c r="A11001" i="2"/>
  <c r="B11001" i="2"/>
  <c r="E11001" i="2"/>
  <c r="A11002" i="2"/>
  <c r="B11002" i="2"/>
  <c r="E11002" i="2"/>
  <c r="A11003" i="2"/>
  <c r="B11003" i="2"/>
  <c r="E11003" i="2"/>
  <c r="A11004" i="2"/>
  <c r="B11004" i="2"/>
  <c r="E11004" i="2"/>
  <c r="A11005" i="2"/>
  <c r="B11005" i="2"/>
  <c r="E11005" i="2"/>
  <c r="A11006" i="2"/>
  <c r="B11006" i="2"/>
  <c r="E11006" i="2"/>
  <c r="A11007" i="2"/>
  <c r="B11007" i="2"/>
  <c r="E11007" i="2"/>
  <c r="A11008" i="2"/>
  <c r="B11008" i="2"/>
  <c r="E11008" i="2"/>
  <c r="A11009" i="2"/>
  <c r="B11009" i="2"/>
  <c r="E11009" i="2"/>
  <c r="A11010" i="2"/>
  <c r="B11010" i="2"/>
  <c r="E11010" i="2"/>
  <c r="A11011" i="2"/>
  <c r="B11011" i="2"/>
  <c r="E11011" i="2"/>
  <c r="A11012" i="2"/>
  <c r="B11012" i="2"/>
  <c r="E11012" i="2"/>
  <c r="A11013" i="2"/>
  <c r="B11013" i="2"/>
  <c r="E11013" i="2"/>
  <c r="A11014" i="2"/>
  <c r="B11014" i="2"/>
  <c r="E11014" i="2"/>
  <c r="A11015" i="2"/>
  <c r="B11015" i="2"/>
  <c r="E11015" i="2"/>
  <c r="A11016" i="2"/>
  <c r="B11016" i="2"/>
  <c r="E11016" i="2"/>
  <c r="A11017" i="2"/>
  <c r="B11017" i="2"/>
  <c r="E11017" i="2"/>
  <c r="A11018" i="2"/>
  <c r="B11018" i="2"/>
  <c r="E11018" i="2"/>
  <c r="A11019" i="2"/>
  <c r="B11019" i="2"/>
  <c r="E11019" i="2"/>
  <c r="A11020" i="2"/>
  <c r="B11020" i="2"/>
  <c r="E11020" i="2"/>
  <c r="A11021" i="2"/>
  <c r="B11021" i="2"/>
  <c r="E11021" i="2"/>
  <c r="A11022" i="2"/>
  <c r="B11022" i="2"/>
  <c r="E11022" i="2"/>
  <c r="A11023" i="2"/>
  <c r="B11023" i="2"/>
  <c r="E11023" i="2"/>
  <c r="A11024" i="2"/>
  <c r="B11024" i="2"/>
  <c r="E11024" i="2"/>
  <c r="A11025" i="2"/>
  <c r="B11025" i="2"/>
  <c r="E11025" i="2"/>
  <c r="A11026" i="2"/>
  <c r="B11026" i="2"/>
  <c r="E11026" i="2"/>
  <c r="A11027" i="2"/>
  <c r="B11027" i="2"/>
  <c r="E11027" i="2"/>
  <c r="A11028" i="2"/>
  <c r="B11028" i="2"/>
  <c r="E11028" i="2"/>
  <c r="A11029" i="2"/>
  <c r="B11029" i="2"/>
  <c r="E11029" i="2"/>
  <c r="A11030" i="2"/>
  <c r="B11030" i="2"/>
  <c r="E11030" i="2"/>
  <c r="A11031" i="2"/>
  <c r="B11031" i="2"/>
  <c r="E11031" i="2"/>
  <c r="A11032" i="2"/>
  <c r="B11032" i="2"/>
  <c r="E11032" i="2"/>
  <c r="A11033" i="2"/>
  <c r="B11033" i="2"/>
  <c r="E11033" i="2"/>
  <c r="A11034" i="2"/>
  <c r="B11034" i="2"/>
  <c r="E11034" i="2"/>
  <c r="A11035" i="2"/>
  <c r="B11035" i="2"/>
  <c r="E11035" i="2"/>
  <c r="A11036" i="2"/>
  <c r="B11036" i="2"/>
  <c r="E11036" i="2"/>
  <c r="A11037" i="2"/>
  <c r="B11037" i="2"/>
  <c r="E11037" i="2"/>
  <c r="A11038" i="2"/>
  <c r="B11038" i="2"/>
  <c r="E11038" i="2"/>
  <c r="A11039" i="2"/>
  <c r="B11039" i="2"/>
  <c r="E11039" i="2"/>
  <c r="A11040" i="2"/>
  <c r="B11040" i="2"/>
  <c r="E11040" i="2"/>
  <c r="A11041" i="2"/>
  <c r="B11041" i="2"/>
  <c r="E11041" i="2"/>
  <c r="A11042" i="2"/>
  <c r="B11042" i="2"/>
  <c r="E11042" i="2"/>
  <c r="A11043" i="2"/>
  <c r="B11043" i="2"/>
  <c r="E11043" i="2"/>
  <c r="A11044" i="2"/>
  <c r="B11044" i="2"/>
  <c r="E11044" i="2"/>
  <c r="A11045" i="2"/>
  <c r="B11045" i="2"/>
  <c r="E11045" i="2"/>
  <c r="A11046" i="2"/>
  <c r="B11046" i="2"/>
  <c r="E11046" i="2"/>
  <c r="A11047" i="2"/>
  <c r="B11047" i="2"/>
  <c r="E11047" i="2"/>
  <c r="A11048" i="2"/>
  <c r="B11048" i="2"/>
  <c r="E11048" i="2"/>
  <c r="A11049" i="2"/>
  <c r="B11049" i="2"/>
  <c r="E11049" i="2"/>
  <c r="A11050" i="2"/>
  <c r="B11050" i="2"/>
  <c r="E11050" i="2"/>
  <c r="A11051" i="2"/>
  <c r="B11051" i="2"/>
  <c r="E11051" i="2"/>
  <c r="A11052" i="2"/>
  <c r="B11052" i="2"/>
  <c r="E11052" i="2"/>
  <c r="A11053" i="2"/>
  <c r="B11053" i="2"/>
  <c r="E11053" i="2"/>
  <c r="A11054" i="2"/>
  <c r="B11054" i="2"/>
  <c r="E11054" i="2"/>
  <c r="A11055" i="2"/>
  <c r="B11055" i="2"/>
  <c r="E11055" i="2"/>
  <c r="A11056" i="2"/>
  <c r="B11056" i="2"/>
  <c r="E11056" i="2"/>
  <c r="A11057" i="2"/>
  <c r="B11057" i="2"/>
  <c r="E11057" i="2"/>
  <c r="A11058" i="2"/>
  <c r="B11058" i="2"/>
  <c r="E11058" i="2"/>
  <c r="A11059" i="2"/>
  <c r="B11059" i="2"/>
  <c r="E11059" i="2"/>
  <c r="A11060" i="2"/>
  <c r="B11060" i="2"/>
  <c r="E11060" i="2"/>
  <c r="A11061" i="2"/>
  <c r="B11061" i="2"/>
  <c r="E11061" i="2"/>
  <c r="A11062" i="2"/>
  <c r="B11062" i="2"/>
  <c r="E11062" i="2"/>
  <c r="A11063" i="2"/>
  <c r="B11063" i="2"/>
  <c r="E11063" i="2"/>
  <c r="A11064" i="2"/>
  <c r="B11064" i="2"/>
  <c r="E11064" i="2"/>
  <c r="A11065" i="2"/>
  <c r="B11065" i="2"/>
  <c r="E11065" i="2"/>
  <c r="A11066" i="2"/>
  <c r="B11066" i="2"/>
  <c r="E11066" i="2"/>
  <c r="A11067" i="2"/>
  <c r="B11067" i="2"/>
  <c r="E11067" i="2"/>
  <c r="A11068" i="2"/>
  <c r="B11068" i="2"/>
  <c r="E11068" i="2"/>
  <c r="A11069" i="2"/>
  <c r="B11069" i="2"/>
  <c r="E11069" i="2"/>
  <c r="A11070" i="2"/>
  <c r="B11070" i="2"/>
  <c r="E11070" i="2"/>
  <c r="A11071" i="2"/>
  <c r="B11071" i="2"/>
  <c r="E11071" i="2"/>
  <c r="A11072" i="2"/>
  <c r="B11072" i="2"/>
  <c r="E11072" i="2"/>
  <c r="A11073" i="2"/>
  <c r="B11073" i="2"/>
  <c r="E11073" i="2"/>
  <c r="A11074" i="2"/>
  <c r="B11074" i="2"/>
  <c r="E11074" i="2"/>
  <c r="A11075" i="2"/>
  <c r="B11075" i="2"/>
  <c r="E11075" i="2"/>
  <c r="A11076" i="2"/>
  <c r="B11076" i="2"/>
  <c r="E11076" i="2"/>
  <c r="A11077" i="2"/>
  <c r="B11077" i="2"/>
  <c r="E11077" i="2"/>
  <c r="A11078" i="2"/>
  <c r="B11078" i="2"/>
  <c r="E11078" i="2"/>
  <c r="A11079" i="2"/>
  <c r="B11079" i="2"/>
  <c r="E11079" i="2"/>
  <c r="A11080" i="2"/>
  <c r="B11080" i="2"/>
  <c r="E11080" i="2"/>
  <c r="A11081" i="2"/>
  <c r="B11081" i="2"/>
  <c r="E11081" i="2"/>
  <c r="A11082" i="2"/>
  <c r="B11082" i="2"/>
  <c r="E11082" i="2"/>
  <c r="A11083" i="2"/>
  <c r="B11083" i="2"/>
  <c r="E11083" i="2"/>
  <c r="A11084" i="2"/>
  <c r="B11084" i="2"/>
  <c r="E11084" i="2"/>
  <c r="A11085" i="2"/>
  <c r="B11085" i="2"/>
  <c r="E11085" i="2"/>
  <c r="A11086" i="2"/>
  <c r="B11086" i="2"/>
  <c r="E11086" i="2"/>
  <c r="A11087" i="2"/>
  <c r="B11087" i="2"/>
  <c r="E11087" i="2"/>
  <c r="A11088" i="2"/>
  <c r="B11088" i="2"/>
  <c r="E11088" i="2"/>
  <c r="A11089" i="2"/>
  <c r="B11089" i="2"/>
  <c r="E11089" i="2"/>
  <c r="A11090" i="2"/>
  <c r="B11090" i="2"/>
  <c r="E11090" i="2"/>
  <c r="A11091" i="2"/>
  <c r="B11091" i="2"/>
  <c r="E11091" i="2"/>
  <c r="A11092" i="2"/>
  <c r="B11092" i="2"/>
  <c r="E11092" i="2"/>
  <c r="A11093" i="2"/>
  <c r="B11093" i="2"/>
  <c r="E11093" i="2"/>
  <c r="A11094" i="2"/>
  <c r="B11094" i="2"/>
  <c r="E11094" i="2"/>
  <c r="A11095" i="2"/>
  <c r="B11095" i="2"/>
  <c r="E11095" i="2"/>
  <c r="A11096" i="2"/>
  <c r="B11096" i="2"/>
  <c r="E11096" i="2"/>
  <c r="A11097" i="2"/>
  <c r="B11097" i="2"/>
  <c r="E11097" i="2"/>
  <c r="A11098" i="2"/>
  <c r="B11098" i="2"/>
  <c r="E11098" i="2"/>
  <c r="A11099" i="2"/>
  <c r="B11099" i="2"/>
  <c r="E11099" i="2"/>
  <c r="A11100" i="2"/>
  <c r="B11100" i="2"/>
  <c r="E11100" i="2"/>
  <c r="A11101" i="2"/>
  <c r="B11101" i="2"/>
  <c r="E11101" i="2"/>
  <c r="A11102" i="2"/>
  <c r="B11102" i="2"/>
  <c r="E11102" i="2"/>
  <c r="A11103" i="2"/>
  <c r="B11103" i="2"/>
  <c r="E11103" i="2"/>
  <c r="A11104" i="2"/>
  <c r="B11104" i="2"/>
  <c r="E11104" i="2"/>
  <c r="A11105" i="2"/>
  <c r="B11105" i="2"/>
  <c r="E11105" i="2"/>
  <c r="A11106" i="2"/>
  <c r="B11106" i="2"/>
  <c r="E11106" i="2"/>
  <c r="A11107" i="2"/>
  <c r="B11107" i="2"/>
  <c r="E11107" i="2"/>
  <c r="A11108" i="2"/>
  <c r="B11108" i="2"/>
  <c r="E11108" i="2"/>
  <c r="A11109" i="2"/>
  <c r="B11109" i="2"/>
  <c r="E11109" i="2"/>
  <c r="A11110" i="2"/>
  <c r="B11110" i="2"/>
  <c r="E11110" i="2"/>
  <c r="A11111" i="2"/>
  <c r="B11111" i="2"/>
  <c r="E11111" i="2"/>
  <c r="A11112" i="2"/>
  <c r="B11112" i="2"/>
  <c r="E11112" i="2"/>
  <c r="A11113" i="2"/>
  <c r="B11113" i="2"/>
  <c r="E11113" i="2"/>
  <c r="A11114" i="2"/>
  <c r="B11114" i="2"/>
  <c r="E11114" i="2"/>
  <c r="A11115" i="2"/>
  <c r="B11115" i="2"/>
  <c r="E11115" i="2"/>
  <c r="A11116" i="2"/>
  <c r="B11116" i="2"/>
  <c r="E11116" i="2"/>
  <c r="A11117" i="2"/>
  <c r="B11117" i="2"/>
  <c r="E11117" i="2"/>
  <c r="A11118" i="2"/>
  <c r="B11118" i="2"/>
  <c r="E11118" i="2"/>
  <c r="A11119" i="2"/>
  <c r="B11119" i="2"/>
  <c r="E11119" i="2"/>
  <c r="A11120" i="2"/>
  <c r="B11120" i="2"/>
  <c r="E11120" i="2"/>
  <c r="A11121" i="2"/>
  <c r="B11121" i="2"/>
  <c r="E11121" i="2"/>
  <c r="A11122" i="2"/>
  <c r="B11122" i="2"/>
  <c r="E11122" i="2"/>
  <c r="A11123" i="2"/>
  <c r="B11123" i="2"/>
  <c r="E11123" i="2"/>
  <c r="A11124" i="2"/>
  <c r="B11124" i="2"/>
  <c r="E11124" i="2"/>
  <c r="A11125" i="2"/>
  <c r="B11125" i="2"/>
  <c r="E11125" i="2"/>
  <c r="A11126" i="2"/>
  <c r="B11126" i="2"/>
  <c r="E11126" i="2"/>
  <c r="A11127" i="2"/>
  <c r="B11127" i="2"/>
  <c r="E11127" i="2"/>
  <c r="A11128" i="2"/>
  <c r="B11128" i="2"/>
  <c r="E11128" i="2"/>
  <c r="A11129" i="2"/>
  <c r="B11129" i="2"/>
  <c r="E11129" i="2"/>
  <c r="A11130" i="2"/>
  <c r="B11130" i="2"/>
  <c r="E11130" i="2"/>
  <c r="A11131" i="2"/>
  <c r="B11131" i="2"/>
  <c r="E11131" i="2"/>
  <c r="A11132" i="2"/>
  <c r="B11132" i="2"/>
  <c r="E11132" i="2"/>
  <c r="A11133" i="2"/>
  <c r="B11133" i="2"/>
  <c r="E11133" i="2"/>
  <c r="A11134" i="2"/>
  <c r="B11134" i="2"/>
  <c r="E11134" i="2"/>
  <c r="A11135" i="2"/>
  <c r="B11135" i="2"/>
  <c r="E11135" i="2"/>
  <c r="A11136" i="2"/>
  <c r="B11136" i="2"/>
  <c r="E11136" i="2"/>
  <c r="A11137" i="2"/>
  <c r="B11137" i="2"/>
  <c r="E11137" i="2"/>
  <c r="A11138" i="2"/>
  <c r="B11138" i="2"/>
  <c r="E11138" i="2"/>
  <c r="A11139" i="2"/>
  <c r="B11139" i="2"/>
  <c r="E11139" i="2"/>
  <c r="A11140" i="2"/>
  <c r="B11140" i="2"/>
  <c r="E11140" i="2"/>
  <c r="A11141" i="2"/>
  <c r="B11141" i="2"/>
  <c r="E11141" i="2"/>
  <c r="A11142" i="2"/>
  <c r="B11142" i="2"/>
  <c r="E11142" i="2"/>
  <c r="A11143" i="2"/>
  <c r="B11143" i="2"/>
  <c r="E11143" i="2"/>
  <c r="A11144" i="2"/>
  <c r="B11144" i="2"/>
  <c r="E11144" i="2"/>
  <c r="A11145" i="2"/>
  <c r="B11145" i="2"/>
  <c r="E11145" i="2"/>
  <c r="A11146" i="2"/>
  <c r="B11146" i="2"/>
  <c r="E11146" i="2"/>
  <c r="A11147" i="2"/>
  <c r="B11147" i="2"/>
  <c r="E11147" i="2"/>
  <c r="A11148" i="2"/>
  <c r="B11148" i="2"/>
  <c r="E11148" i="2"/>
  <c r="A11149" i="2"/>
  <c r="B11149" i="2"/>
  <c r="E11149" i="2"/>
  <c r="A11150" i="2"/>
  <c r="B11150" i="2"/>
  <c r="E11150" i="2"/>
  <c r="A11151" i="2"/>
  <c r="B11151" i="2"/>
  <c r="E11151" i="2"/>
  <c r="A11152" i="2"/>
  <c r="B11152" i="2"/>
  <c r="E11152" i="2"/>
  <c r="A11153" i="2"/>
  <c r="B11153" i="2"/>
  <c r="E11153" i="2"/>
  <c r="A11154" i="2"/>
  <c r="B11154" i="2"/>
  <c r="E11154" i="2"/>
  <c r="A11155" i="2"/>
  <c r="B11155" i="2"/>
  <c r="E11155" i="2"/>
  <c r="A11156" i="2"/>
  <c r="B11156" i="2"/>
  <c r="E11156" i="2"/>
  <c r="A11157" i="2"/>
  <c r="B11157" i="2"/>
  <c r="E11157" i="2"/>
  <c r="A11158" i="2"/>
  <c r="B11158" i="2"/>
  <c r="E11158" i="2"/>
  <c r="A11159" i="2"/>
  <c r="B11159" i="2"/>
  <c r="E11159" i="2"/>
  <c r="A11160" i="2"/>
  <c r="B11160" i="2"/>
  <c r="E11160" i="2"/>
  <c r="A11161" i="2"/>
  <c r="B11161" i="2"/>
  <c r="E11161" i="2"/>
  <c r="A11162" i="2"/>
  <c r="B11162" i="2"/>
  <c r="E11162" i="2"/>
  <c r="A11163" i="2"/>
  <c r="B11163" i="2"/>
  <c r="E11163" i="2"/>
  <c r="A11164" i="2"/>
  <c r="B11164" i="2"/>
  <c r="E11164" i="2"/>
  <c r="A11165" i="2"/>
  <c r="B11165" i="2"/>
  <c r="E11165" i="2"/>
  <c r="A11166" i="2"/>
  <c r="B11166" i="2"/>
  <c r="E11166" i="2"/>
  <c r="A11167" i="2"/>
  <c r="B11167" i="2"/>
  <c r="E11167" i="2"/>
  <c r="A11168" i="2"/>
  <c r="B11168" i="2"/>
  <c r="E11168" i="2"/>
  <c r="A11169" i="2"/>
  <c r="B11169" i="2"/>
  <c r="E11169" i="2"/>
  <c r="A11170" i="2"/>
  <c r="B11170" i="2"/>
  <c r="E11170" i="2"/>
  <c r="A11171" i="2"/>
  <c r="B11171" i="2"/>
  <c r="E11171" i="2"/>
  <c r="A11172" i="2"/>
  <c r="B11172" i="2"/>
  <c r="E11172" i="2"/>
  <c r="A11173" i="2"/>
  <c r="B11173" i="2"/>
  <c r="E11173" i="2"/>
  <c r="A11174" i="2"/>
  <c r="B11174" i="2"/>
  <c r="E11174" i="2"/>
  <c r="A11175" i="2"/>
  <c r="B11175" i="2"/>
  <c r="E11175" i="2"/>
  <c r="A11176" i="2"/>
  <c r="B11176" i="2"/>
  <c r="E11176" i="2"/>
  <c r="A11177" i="2"/>
  <c r="B11177" i="2"/>
  <c r="E11177" i="2"/>
  <c r="A11178" i="2"/>
  <c r="B11178" i="2"/>
  <c r="E11178" i="2"/>
  <c r="A11179" i="2"/>
  <c r="B11179" i="2"/>
  <c r="E11179" i="2"/>
  <c r="A11180" i="2"/>
  <c r="B11180" i="2"/>
  <c r="E11180" i="2"/>
  <c r="A11181" i="2"/>
  <c r="B11181" i="2"/>
  <c r="E11181" i="2"/>
  <c r="A11182" i="2"/>
  <c r="B11182" i="2"/>
  <c r="E11182" i="2"/>
  <c r="A11183" i="2"/>
  <c r="B11183" i="2"/>
  <c r="E11183" i="2"/>
  <c r="A11184" i="2"/>
  <c r="B11184" i="2"/>
  <c r="E11184" i="2"/>
  <c r="A11185" i="2"/>
  <c r="B11185" i="2"/>
  <c r="E11185" i="2"/>
  <c r="A11186" i="2"/>
  <c r="B11186" i="2"/>
  <c r="E11186" i="2"/>
  <c r="A11187" i="2"/>
  <c r="B11187" i="2"/>
  <c r="E11187" i="2"/>
  <c r="A11188" i="2"/>
  <c r="B11188" i="2"/>
  <c r="E11188" i="2"/>
  <c r="A11189" i="2"/>
  <c r="B11189" i="2"/>
  <c r="E11189" i="2"/>
  <c r="A11190" i="2"/>
  <c r="B11190" i="2"/>
  <c r="E11190" i="2"/>
  <c r="A11191" i="2"/>
  <c r="B11191" i="2"/>
  <c r="E11191" i="2"/>
  <c r="A11192" i="2"/>
  <c r="B11192" i="2"/>
  <c r="E11192" i="2"/>
  <c r="A11193" i="2"/>
  <c r="B11193" i="2"/>
  <c r="E11193" i="2"/>
  <c r="A11194" i="2"/>
  <c r="B11194" i="2"/>
  <c r="E11194" i="2"/>
  <c r="A11195" i="2"/>
  <c r="B11195" i="2"/>
  <c r="E11195" i="2"/>
  <c r="A11196" i="2"/>
  <c r="B11196" i="2"/>
  <c r="E11196" i="2"/>
  <c r="A11197" i="2"/>
  <c r="B11197" i="2"/>
  <c r="E11197" i="2"/>
  <c r="A11198" i="2"/>
  <c r="B11198" i="2"/>
  <c r="E11198" i="2"/>
  <c r="A11199" i="2"/>
  <c r="B11199" i="2"/>
  <c r="E11199" i="2"/>
  <c r="A11200" i="2"/>
  <c r="B11200" i="2"/>
  <c r="E11200" i="2"/>
  <c r="A11201" i="2"/>
  <c r="B11201" i="2"/>
  <c r="E11201" i="2"/>
  <c r="A11202" i="2"/>
  <c r="B11202" i="2"/>
  <c r="E11202" i="2"/>
  <c r="A11203" i="2"/>
  <c r="B11203" i="2"/>
  <c r="E11203" i="2"/>
  <c r="A11204" i="2"/>
  <c r="B11204" i="2"/>
  <c r="E11204" i="2"/>
  <c r="A11205" i="2"/>
  <c r="B11205" i="2"/>
  <c r="E11205" i="2"/>
  <c r="A11206" i="2"/>
  <c r="B11206" i="2"/>
  <c r="E11206" i="2"/>
  <c r="A11207" i="2"/>
  <c r="B11207" i="2"/>
  <c r="E11207" i="2"/>
  <c r="A11208" i="2"/>
  <c r="B11208" i="2"/>
  <c r="E11208" i="2"/>
  <c r="A11209" i="2"/>
  <c r="B11209" i="2"/>
  <c r="E11209" i="2"/>
  <c r="A11210" i="2"/>
  <c r="B11210" i="2"/>
  <c r="E11210" i="2"/>
  <c r="A11211" i="2"/>
  <c r="B11211" i="2"/>
  <c r="E11211" i="2"/>
  <c r="A11212" i="2"/>
  <c r="B11212" i="2"/>
  <c r="E11212" i="2"/>
  <c r="A11213" i="2"/>
  <c r="B11213" i="2"/>
  <c r="E11213" i="2"/>
  <c r="A11214" i="2"/>
  <c r="B11214" i="2"/>
  <c r="E11214" i="2"/>
  <c r="A11215" i="2"/>
  <c r="B11215" i="2"/>
  <c r="E11215" i="2"/>
  <c r="A11216" i="2"/>
  <c r="B11216" i="2"/>
  <c r="E11216" i="2"/>
  <c r="A11217" i="2"/>
  <c r="B11217" i="2"/>
  <c r="E11217" i="2"/>
  <c r="A11218" i="2"/>
  <c r="B11218" i="2"/>
  <c r="E11218" i="2"/>
  <c r="A11219" i="2"/>
  <c r="B11219" i="2"/>
  <c r="E11219" i="2"/>
  <c r="A11220" i="2"/>
  <c r="B11220" i="2"/>
  <c r="E11220" i="2"/>
  <c r="A11221" i="2"/>
  <c r="B11221" i="2"/>
  <c r="E11221" i="2"/>
  <c r="A11222" i="2"/>
  <c r="B11222" i="2"/>
  <c r="E11222" i="2"/>
  <c r="A11223" i="2"/>
  <c r="B11223" i="2"/>
  <c r="E11223" i="2"/>
  <c r="A11224" i="2"/>
  <c r="B11224" i="2"/>
  <c r="E11224" i="2"/>
  <c r="A11225" i="2"/>
  <c r="B11225" i="2"/>
  <c r="E11225" i="2"/>
  <c r="A11226" i="2"/>
  <c r="B11226" i="2"/>
  <c r="E11226" i="2"/>
  <c r="A11227" i="2"/>
  <c r="B11227" i="2"/>
  <c r="E11227" i="2"/>
  <c r="A11228" i="2"/>
  <c r="B11228" i="2"/>
  <c r="E11228" i="2"/>
  <c r="A11229" i="2"/>
  <c r="B11229" i="2"/>
  <c r="E11229" i="2"/>
  <c r="A11230" i="2"/>
  <c r="B11230" i="2"/>
  <c r="E11230" i="2"/>
  <c r="A11231" i="2"/>
  <c r="B11231" i="2"/>
  <c r="E11231" i="2"/>
  <c r="A11232" i="2"/>
  <c r="B11232" i="2"/>
  <c r="E11232" i="2"/>
  <c r="A11233" i="2"/>
  <c r="B11233" i="2"/>
  <c r="E11233" i="2"/>
  <c r="A11234" i="2"/>
  <c r="B11234" i="2"/>
  <c r="E11234" i="2"/>
  <c r="A11235" i="2"/>
  <c r="B11235" i="2"/>
  <c r="E11235" i="2"/>
  <c r="A11236" i="2"/>
  <c r="B11236" i="2"/>
  <c r="E11236" i="2"/>
  <c r="A11237" i="2"/>
  <c r="B11237" i="2"/>
  <c r="E11237" i="2"/>
  <c r="A11238" i="2"/>
  <c r="B11238" i="2"/>
  <c r="E11238" i="2"/>
  <c r="A11239" i="2"/>
  <c r="B11239" i="2"/>
  <c r="E11239" i="2"/>
  <c r="A11240" i="2"/>
  <c r="B11240" i="2"/>
  <c r="E11240" i="2"/>
  <c r="A11241" i="2"/>
  <c r="B11241" i="2"/>
  <c r="E11241" i="2"/>
  <c r="A11242" i="2"/>
  <c r="B11242" i="2"/>
  <c r="E11242" i="2"/>
  <c r="A11243" i="2"/>
  <c r="B11243" i="2"/>
  <c r="E11243" i="2"/>
  <c r="A11244" i="2"/>
  <c r="B11244" i="2"/>
  <c r="E11244" i="2"/>
  <c r="A11245" i="2"/>
  <c r="B11245" i="2"/>
  <c r="E11245" i="2"/>
  <c r="A11246" i="2"/>
  <c r="B11246" i="2"/>
  <c r="E11246" i="2"/>
  <c r="A11247" i="2"/>
  <c r="B11247" i="2"/>
  <c r="E11247" i="2"/>
  <c r="A11248" i="2"/>
  <c r="B11248" i="2"/>
  <c r="E11248" i="2"/>
  <c r="A11249" i="2"/>
  <c r="B11249" i="2"/>
  <c r="E11249" i="2"/>
  <c r="A11250" i="2"/>
  <c r="B11250" i="2"/>
  <c r="E11250" i="2"/>
  <c r="A11251" i="2"/>
  <c r="B11251" i="2"/>
  <c r="E11251" i="2"/>
  <c r="A11252" i="2"/>
  <c r="B11252" i="2"/>
  <c r="E11252" i="2"/>
  <c r="A11253" i="2"/>
  <c r="B11253" i="2"/>
  <c r="E11253" i="2"/>
  <c r="A11254" i="2"/>
  <c r="B11254" i="2"/>
  <c r="E11254" i="2"/>
  <c r="A11255" i="2"/>
  <c r="B11255" i="2"/>
  <c r="E11255" i="2"/>
  <c r="A11256" i="2"/>
  <c r="B11256" i="2"/>
  <c r="E11256" i="2"/>
  <c r="A11257" i="2"/>
  <c r="B11257" i="2"/>
  <c r="E11257" i="2"/>
  <c r="A11258" i="2"/>
  <c r="B11258" i="2"/>
  <c r="E11258" i="2"/>
  <c r="A11259" i="2"/>
  <c r="B11259" i="2"/>
  <c r="E11259" i="2"/>
  <c r="A11260" i="2"/>
  <c r="B11260" i="2"/>
  <c r="E11260" i="2"/>
  <c r="A11261" i="2"/>
  <c r="B11261" i="2"/>
  <c r="E11261" i="2"/>
  <c r="A11262" i="2"/>
  <c r="B11262" i="2"/>
  <c r="E11262" i="2"/>
  <c r="A11263" i="2"/>
  <c r="B11263" i="2"/>
  <c r="E11263" i="2"/>
  <c r="A11264" i="2"/>
  <c r="B11264" i="2"/>
  <c r="E11264" i="2"/>
  <c r="A11265" i="2"/>
  <c r="B11265" i="2"/>
  <c r="E11265" i="2"/>
  <c r="A11266" i="2"/>
  <c r="B11266" i="2"/>
  <c r="E11266" i="2"/>
  <c r="A11267" i="2"/>
  <c r="B11267" i="2"/>
  <c r="E11267" i="2"/>
  <c r="A11268" i="2"/>
  <c r="B11268" i="2"/>
  <c r="E11268" i="2"/>
  <c r="A11269" i="2"/>
  <c r="B11269" i="2"/>
  <c r="E11269" i="2"/>
  <c r="A11270" i="2"/>
  <c r="B11270" i="2"/>
  <c r="E11270" i="2"/>
  <c r="A11271" i="2"/>
  <c r="B11271" i="2"/>
  <c r="E11271" i="2"/>
  <c r="A11272" i="2"/>
  <c r="B11272" i="2"/>
  <c r="E11272" i="2"/>
  <c r="A11273" i="2"/>
  <c r="B11273" i="2"/>
  <c r="E11273" i="2"/>
  <c r="A11274" i="2"/>
  <c r="B11274" i="2"/>
  <c r="E11274" i="2"/>
  <c r="A11275" i="2"/>
  <c r="B11275" i="2"/>
  <c r="E11275" i="2"/>
  <c r="A11276" i="2"/>
  <c r="B11276" i="2"/>
  <c r="E11276" i="2"/>
  <c r="A11277" i="2"/>
  <c r="B11277" i="2"/>
  <c r="E11277" i="2"/>
  <c r="A11278" i="2"/>
  <c r="B11278" i="2"/>
  <c r="E11278" i="2"/>
  <c r="A11279" i="2"/>
  <c r="B11279" i="2"/>
  <c r="E11279" i="2"/>
  <c r="A11280" i="2"/>
  <c r="B11280" i="2"/>
  <c r="E11280" i="2"/>
  <c r="A11281" i="2"/>
  <c r="B11281" i="2"/>
  <c r="E11281" i="2"/>
  <c r="A11282" i="2"/>
  <c r="B11282" i="2"/>
  <c r="E11282" i="2"/>
  <c r="A11283" i="2"/>
  <c r="B11283" i="2"/>
  <c r="E11283" i="2"/>
  <c r="A11284" i="2"/>
  <c r="B11284" i="2"/>
  <c r="E11284" i="2"/>
  <c r="A11285" i="2"/>
  <c r="B11285" i="2"/>
  <c r="E11285" i="2"/>
  <c r="A11286" i="2"/>
  <c r="B11286" i="2"/>
  <c r="E11286" i="2"/>
  <c r="A11287" i="2"/>
  <c r="B11287" i="2"/>
  <c r="E11287" i="2"/>
  <c r="A11288" i="2"/>
  <c r="B11288" i="2"/>
  <c r="E11288" i="2"/>
  <c r="A11289" i="2"/>
  <c r="B11289" i="2"/>
  <c r="E11289" i="2"/>
  <c r="A11290" i="2"/>
  <c r="B11290" i="2"/>
  <c r="E11290" i="2"/>
  <c r="A11291" i="2"/>
  <c r="B11291" i="2"/>
  <c r="E11291" i="2"/>
  <c r="A11292" i="2"/>
  <c r="B11292" i="2"/>
  <c r="E11292" i="2"/>
  <c r="A11293" i="2"/>
  <c r="B11293" i="2"/>
  <c r="E11293" i="2"/>
  <c r="A11294" i="2"/>
  <c r="B11294" i="2"/>
  <c r="E11294" i="2"/>
  <c r="A11295" i="2"/>
  <c r="B11295" i="2"/>
  <c r="E11295" i="2"/>
  <c r="A11296" i="2"/>
  <c r="B11296" i="2"/>
  <c r="E11296" i="2"/>
  <c r="A11297" i="2"/>
  <c r="B11297" i="2"/>
  <c r="E11297" i="2"/>
  <c r="A11298" i="2"/>
  <c r="B11298" i="2"/>
  <c r="E11298" i="2"/>
  <c r="A11299" i="2"/>
  <c r="B11299" i="2"/>
  <c r="E11299" i="2"/>
  <c r="A11300" i="2"/>
  <c r="B11300" i="2"/>
  <c r="E11300" i="2"/>
  <c r="A11301" i="2"/>
  <c r="B11301" i="2"/>
  <c r="E11301" i="2"/>
  <c r="A11302" i="2"/>
  <c r="B11302" i="2"/>
  <c r="E11302" i="2"/>
  <c r="A11303" i="2"/>
  <c r="B11303" i="2"/>
  <c r="E11303" i="2"/>
  <c r="A11304" i="2"/>
  <c r="B11304" i="2"/>
  <c r="E11304" i="2"/>
  <c r="A11305" i="2"/>
  <c r="B11305" i="2"/>
  <c r="E11305" i="2"/>
  <c r="A11306" i="2"/>
  <c r="B11306" i="2"/>
  <c r="E11306" i="2"/>
  <c r="A11307" i="2"/>
  <c r="B11307" i="2"/>
  <c r="E11307" i="2"/>
  <c r="A11308" i="2"/>
  <c r="B11308" i="2"/>
  <c r="E11308" i="2"/>
  <c r="A11309" i="2"/>
  <c r="B11309" i="2"/>
  <c r="E11309" i="2"/>
  <c r="A11310" i="2"/>
  <c r="B11310" i="2"/>
  <c r="E11310" i="2"/>
  <c r="A11311" i="2"/>
  <c r="B11311" i="2"/>
  <c r="E11311" i="2"/>
  <c r="A11312" i="2"/>
  <c r="B11312" i="2"/>
  <c r="E11312" i="2"/>
  <c r="A11313" i="2"/>
  <c r="B11313" i="2"/>
  <c r="E11313" i="2"/>
  <c r="A11314" i="2"/>
  <c r="B11314" i="2"/>
  <c r="E11314" i="2"/>
  <c r="A11315" i="2"/>
  <c r="B11315" i="2"/>
  <c r="E11315" i="2"/>
  <c r="A11316" i="2"/>
  <c r="B11316" i="2"/>
  <c r="E11316" i="2"/>
  <c r="A11317" i="2"/>
  <c r="B11317" i="2"/>
  <c r="E11317" i="2"/>
  <c r="A11318" i="2"/>
  <c r="B11318" i="2"/>
  <c r="E11318" i="2"/>
  <c r="A11319" i="2"/>
  <c r="B11319" i="2"/>
  <c r="E11319" i="2"/>
  <c r="A11320" i="2"/>
  <c r="B11320" i="2"/>
  <c r="E11320" i="2"/>
  <c r="A11321" i="2"/>
  <c r="B11321" i="2"/>
  <c r="E11321" i="2"/>
  <c r="A11322" i="2"/>
  <c r="B11322" i="2"/>
  <c r="E11322" i="2"/>
  <c r="A11323" i="2"/>
  <c r="B11323" i="2"/>
  <c r="E11323" i="2"/>
  <c r="A11324" i="2"/>
  <c r="B11324" i="2"/>
  <c r="E11324" i="2"/>
  <c r="A11325" i="2"/>
  <c r="B11325" i="2"/>
  <c r="E11325" i="2"/>
  <c r="A11326" i="2"/>
  <c r="B11326" i="2"/>
  <c r="E11326" i="2"/>
  <c r="A11327" i="2"/>
  <c r="B11327" i="2"/>
  <c r="E11327" i="2"/>
  <c r="A11328" i="2"/>
  <c r="B11328" i="2"/>
  <c r="E11328" i="2"/>
  <c r="A11329" i="2"/>
  <c r="B11329" i="2"/>
  <c r="E11329" i="2"/>
  <c r="A11330" i="2"/>
  <c r="B11330" i="2"/>
  <c r="E11330" i="2"/>
  <c r="A11331" i="2"/>
  <c r="B11331" i="2"/>
  <c r="E11331" i="2"/>
  <c r="A11332" i="2"/>
  <c r="B11332" i="2"/>
  <c r="E11332" i="2"/>
  <c r="A11333" i="2"/>
  <c r="B11333" i="2"/>
  <c r="E11333" i="2"/>
  <c r="A11334" i="2"/>
  <c r="B11334" i="2"/>
  <c r="E11334" i="2"/>
  <c r="A11335" i="2"/>
  <c r="B11335" i="2"/>
  <c r="E11335" i="2"/>
  <c r="A11336" i="2"/>
  <c r="B11336" i="2"/>
  <c r="E11336" i="2"/>
  <c r="A11337" i="2"/>
  <c r="B11337" i="2"/>
  <c r="E11337" i="2"/>
  <c r="A11338" i="2"/>
  <c r="B11338" i="2"/>
  <c r="E11338" i="2"/>
  <c r="A11339" i="2"/>
  <c r="B11339" i="2"/>
  <c r="E11339" i="2"/>
  <c r="A11340" i="2"/>
  <c r="B11340" i="2"/>
  <c r="E11340" i="2"/>
  <c r="A11341" i="2"/>
  <c r="B11341" i="2"/>
  <c r="E11341" i="2"/>
  <c r="A11342" i="2"/>
  <c r="B11342" i="2"/>
  <c r="E11342" i="2"/>
  <c r="A11343" i="2"/>
  <c r="B11343" i="2"/>
  <c r="E11343" i="2"/>
  <c r="A11344" i="2"/>
  <c r="B11344" i="2"/>
  <c r="E11344" i="2"/>
  <c r="A11345" i="2"/>
  <c r="B11345" i="2"/>
  <c r="E11345" i="2"/>
  <c r="A11346" i="2"/>
  <c r="B11346" i="2"/>
  <c r="E11346" i="2"/>
  <c r="A11347" i="2"/>
  <c r="B11347" i="2"/>
  <c r="E11347" i="2"/>
  <c r="A11348" i="2"/>
  <c r="B11348" i="2"/>
  <c r="E11348" i="2"/>
  <c r="A11349" i="2"/>
  <c r="B11349" i="2"/>
  <c r="E11349" i="2"/>
  <c r="A11350" i="2"/>
  <c r="B11350" i="2"/>
  <c r="E11350" i="2"/>
  <c r="A11351" i="2"/>
  <c r="B11351" i="2"/>
  <c r="E11351" i="2"/>
  <c r="A11352" i="2"/>
  <c r="B11352" i="2"/>
  <c r="E11352" i="2"/>
  <c r="A11353" i="2"/>
  <c r="B11353" i="2"/>
  <c r="E11353" i="2"/>
  <c r="A11354" i="2"/>
  <c r="B11354" i="2"/>
  <c r="E11354" i="2"/>
  <c r="A11355" i="2"/>
  <c r="B11355" i="2"/>
  <c r="E11355" i="2"/>
  <c r="A11356" i="2"/>
  <c r="B11356" i="2"/>
  <c r="E11356" i="2"/>
  <c r="A11357" i="2"/>
  <c r="B11357" i="2"/>
  <c r="E11357" i="2"/>
  <c r="A11358" i="2"/>
  <c r="B11358" i="2"/>
  <c r="E11358" i="2"/>
  <c r="A11359" i="2"/>
  <c r="B11359" i="2"/>
  <c r="E11359" i="2"/>
  <c r="A11360" i="2"/>
  <c r="B11360" i="2"/>
  <c r="E11360" i="2"/>
  <c r="A11361" i="2"/>
  <c r="B11361" i="2"/>
  <c r="E11361" i="2"/>
  <c r="A11362" i="2"/>
  <c r="B11362" i="2"/>
  <c r="E11362" i="2"/>
  <c r="A11363" i="2"/>
  <c r="B11363" i="2"/>
  <c r="E11363" i="2"/>
  <c r="A11364" i="2"/>
  <c r="B11364" i="2"/>
  <c r="E11364" i="2"/>
  <c r="A11365" i="2"/>
  <c r="B11365" i="2"/>
  <c r="E11365" i="2"/>
  <c r="A11366" i="2"/>
  <c r="B11366" i="2"/>
  <c r="E11366" i="2"/>
  <c r="A11367" i="2"/>
  <c r="B11367" i="2"/>
  <c r="E11367" i="2"/>
  <c r="A11368" i="2"/>
  <c r="B11368" i="2"/>
  <c r="E11368" i="2"/>
  <c r="A11369" i="2"/>
  <c r="B11369" i="2"/>
  <c r="E11369" i="2"/>
  <c r="A11370" i="2"/>
  <c r="B11370" i="2"/>
  <c r="E11370" i="2"/>
  <c r="A11371" i="2"/>
  <c r="B11371" i="2"/>
  <c r="E11371" i="2"/>
  <c r="A11372" i="2"/>
  <c r="B11372" i="2"/>
  <c r="E11372" i="2"/>
  <c r="A11373" i="2"/>
  <c r="B11373" i="2"/>
  <c r="E11373" i="2"/>
  <c r="A11374" i="2"/>
  <c r="B11374" i="2"/>
  <c r="E11374" i="2"/>
  <c r="A11375" i="2"/>
  <c r="B11375" i="2"/>
  <c r="E11375" i="2"/>
  <c r="A11376" i="2"/>
  <c r="B11376" i="2"/>
  <c r="E11376" i="2"/>
  <c r="A11377" i="2"/>
  <c r="B11377" i="2"/>
  <c r="E11377" i="2"/>
  <c r="A11378" i="2"/>
  <c r="B11378" i="2"/>
  <c r="E11378" i="2"/>
  <c r="A11379" i="2"/>
  <c r="B11379" i="2"/>
  <c r="E11379" i="2"/>
  <c r="A11380" i="2"/>
  <c r="B11380" i="2"/>
  <c r="E11380" i="2"/>
  <c r="A11381" i="2"/>
  <c r="B11381" i="2"/>
  <c r="E11381" i="2"/>
  <c r="A11382" i="2"/>
  <c r="B11382" i="2"/>
  <c r="E11382" i="2"/>
  <c r="A11383" i="2"/>
  <c r="B11383" i="2"/>
  <c r="E11383" i="2"/>
  <c r="A11384" i="2"/>
  <c r="B11384" i="2"/>
  <c r="E11384" i="2"/>
  <c r="A11385" i="2"/>
  <c r="B11385" i="2"/>
  <c r="E11385" i="2"/>
  <c r="A11386" i="2"/>
  <c r="B11386" i="2"/>
  <c r="E11386" i="2"/>
  <c r="A11387" i="2"/>
  <c r="B11387" i="2"/>
  <c r="E11387" i="2"/>
  <c r="A11388" i="2"/>
  <c r="B11388" i="2"/>
  <c r="E11388" i="2"/>
  <c r="A11389" i="2"/>
  <c r="B11389" i="2"/>
  <c r="E11389" i="2"/>
  <c r="A11390" i="2"/>
  <c r="B11390" i="2"/>
  <c r="E11390" i="2"/>
  <c r="A11391" i="2"/>
  <c r="B11391" i="2"/>
  <c r="E11391" i="2"/>
  <c r="A11392" i="2"/>
  <c r="B11392" i="2"/>
  <c r="E11392" i="2"/>
  <c r="A11393" i="2"/>
  <c r="B11393" i="2"/>
  <c r="E11393" i="2"/>
  <c r="A11394" i="2"/>
  <c r="B11394" i="2"/>
  <c r="E11394" i="2"/>
  <c r="A11395" i="2"/>
  <c r="B11395" i="2"/>
  <c r="E11395" i="2"/>
  <c r="A11396" i="2"/>
  <c r="B11396" i="2"/>
  <c r="E11396" i="2"/>
  <c r="A11397" i="2"/>
  <c r="B11397" i="2"/>
  <c r="E11397" i="2"/>
  <c r="A11398" i="2"/>
  <c r="B11398" i="2"/>
  <c r="E11398" i="2"/>
  <c r="A11399" i="2"/>
  <c r="B11399" i="2"/>
  <c r="E11399" i="2"/>
  <c r="A11400" i="2"/>
  <c r="B11400" i="2"/>
  <c r="E11400" i="2"/>
  <c r="A11401" i="2"/>
  <c r="B11401" i="2"/>
  <c r="E11401" i="2"/>
  <c r="A11402" i="2"/>
  <c r="B11402" i="2"/>
  <c r="E11402" i="2"/>
  <c r="A11403" i="2"/>
  <c r="B11403" i="2"/>
  <c r="E11403" i="2"/>
  <c r="A11404" i="2"/>
  <c r="B11404" i="2"/>
  <c r="E11404" i="2"/>
  <c r="A11405" i="2"/>
  <c r="B11405" i="2"/>
  <c r="E11405" i="2"/>
  <c r="A11406" i="2"/>
  <c r="B11406" i="2"/>
  <c r="E11406" i="2"/>
  <c r="A11407" i="2"/>
  <c r="B11407" i="2"/>
  <c r="E11407" i="2"/>
  <c r="A11408" i="2"/>
  <c r="B11408" i="2"/>
  <c r="E11408" i="2"/>
  <c r="A11409" i="2"/>
  <c r="B11409" i="2"/>
  <c r="E11409" i="2"/>
  <c r="A11410" i="2"/>
  <c r="B11410" i="2"/>
  <c r="E11410" i="2"/>
  <c r="A11411" i="2"/>
  <c r="B11411" i="2"/>
  <c r="E11411" i="2"/>
  <c r="A11412" i="2"/>
  <c r="B11412" i="2"/>
  <c r="E11412" i="2"/>
  <c r="A11413" i="2"/>
  <c r="B11413" i="2"/>
  <c r="E11413" i="2"/>
  <c r="A11414" i="2"/>
  <c r="B11414" i="2"/>
  <c r="E11414" i="2"/>
  <c r="A11415" i="2"/>
  <c r="B11415" i="2"/>
  <c r="E11415" i="2"/>
  <c r="A11416" i="2"/>
  <c r="B11416" i="2"/>
  <c r="E11416" i="2"/>
  <c r="A11417" i="2"/>
  <c r="B11417" i="2"/>
  <c r="E11417" i="2"/>
  <c r="A11418" i="2"/>
  <c r="B11418" i="2"/>
  <c r="E11418" i="2"/>
  <c r="A11419" i="2"/>
  <c r="B11419" i="2"/>
  <c r="E11419" i="2"/>
  <c r="A11420" i="2"/>
  <c r="B11420" i="2"/>
  <c r="E11420" i="2"/>
  <c r="A11421" i="2"/>
  <c r="B11421" i="2"/>
  <c r="E11421" i="2"/>
  <c r="A11422" i="2"/>
  <c r="B11422" i="2"/>
  <c r="E11422" i="2"/>
  <c r="A11423" i="2"/>
  <c r="B11423" i="2"/>
  <c r="E11423" i="2"/>
  <c r="A11424" i="2"/>
  <c r="B11424" i="2"/>
  <c r="E11424" i="2"/>
  <c r="A11425" i="2"/>
  <c r="B11425" i="2"/>
  <c r="E11425" i="2"/>
  <c r="A11426" i="2"/>
  <c r="B11426" i="2"/>
  <c r="E11426" i="2"/>
  <c r="A11427" i="2"/>
  <c r="B11427" i="2"/>
  <c r="E11427" i="2"/>
  <c r="A11428" i="2"/>
  <c r="B11428" i="2"/>
  <c r="E11428" i="2"/>
  <c r="A11429" i="2"/>
  <c r="B11429" i="2"/>
  <c r="E11429" i="2"/>
  <c r="A11430" i="2"/>
  <c r="B11430" i="2"/>
  <c r="E11430" i="2"/>
  <c r="A11431" i="2"/>
  <c r="B11431" i="2"/>
  <c r="E11431" i="2"/>
  <c r="A11432" i="2"/>
  <c r="B11432" i="2"/>
  <c r="E11432" i="2"/>
  <c r="A11433" i="2"/>
  <c r="B11433" i="2"/>
  <c r="E11433" i="2"/>
  <c r="A11434" i="2"/>
  <c r="B11434" i="2"/>
  <c r="E11434" i="2"/>
  <c r="A11435" i="2"/>
  <c r="B11435" i="2"/>
  <c r="E11435" i="2"/>
  <c r="A11436" i="2"/>
  <c r="B11436" i="2"/>
  <c r="E11436" i="2"/>
  <c r="A11437" i="2"/>
  <c r="B11437" i="2"/>
  <c r="E11437" i="2"/>
  <c r="A11438" i="2"/>
  <c r="B11438" i="2"/>
  <c r="E11438" i="2"/>
  <c r="A11439" i="2"/>
  <c r="B11439" i="2"/>
  <c r="E11439" i="2"/>
  <c r="A11440" i="2"/>
  <c r="B11440" i="2"/>
  <c r="E11440" i="2"/>
  <c r="A11441" i="2"/>
  <c r="B11441" i="2"/>
  <c r="E11441" i="2"/>
  <c r="A11442" i="2"/>
  <c r="B11442" i="2"/>
  <c r="E11442" i="2"/>
  <c r="A11443" i="2"/>
  <c r="B11443" i="2"/>
  <c r="E11443" i="2"/>
  <c r="A11444" i="2"/>
  <c r="B11444" i="2"/>
  <c r="E11444" i="2"/>
  <c r="A11445" i="2"/>
  <c r="B11445" i="2"/>
  <c r="E11445" i="2"/>
  <c r="A11446" i="2"/>
  <c r="B11446" i="2"/>
  <c r="E11446" i="2"/>
  <c r="A11447" i="2"/>
  <c r="B11447" i="2"/>
  <c r="E11447" i="2"/>
  <c r="A11448" i="2"/>
  <c r="B11448" i="2"/>
  <c r="E11448" i="2"/>
  <c r="A11449" i="2"/>
  <c r="B11449" i="2"/>
  <c r="E11449" i="2"/>
  <c r="A11450" i="2"/>
  <c r="B11450" i="2"/>
  <c r="E11450" i="2"/>
  <c r="A11451" i="2"/>
  <c r="B11451" i="2"/>
  <c r="E11451" i="2"/>
  <c r="A11452" i="2"/>
  <c r="B11452" i="2"/>
  <c r="E11452" i="2"/>
  <c r="A11453" i="2"/>
  <c r="B11453" i="2"/>
  <c r="E11453" i="2"/>
  <c r="A11454" i="2"/>
  <c r="B11454" i="2"/>
  <c r="E11454" i="2"/>
  <c r="A11455" i="2"/>
  <c r="B11455" i="2"/>
  <c r="E11455" i="2"/>
  <c r="A11456" i="2"/>
  <c r="B11456" i="2"/>
  <c r="E11456" i="2"/>
  <c r="A11457" i="2"/>
  <c r="B11457" i="2"/>
  <c r="E11457" i="2"/>
  <c r="A11458" i="2"/>
  <c r="B11458" i="2"/>
  <c r="E11458" i="2"/>
  <c r="A11459" i="2"/>
  <c r="B11459" i="2"/>
  <c r="E11459" i="2"/>
  <c r="A11460" i="2"/>
  <c r="B11460" i="2"/>
  <c r="E11460" i="2"/>
  <c r="A11461" i="2"/>
  <c r="B11461" i="2"/>
  <c r="E11461" i="2"/>
  <c r="A11462" i="2"/>
  <c r="B11462" i="2"/>
  <c r="E11462" i="2"/>
  <c r="A11463" i="2"/>
  <c r="B11463" i="2"/>
  <c r="E11463" i="2"/>
  <c r="A11464" i="2"/>
  <c r="B11464" i="2"/>
  <c r="E11464" i="2"/>
  <c r="A11465" i="2"/>
  <c r="B11465" i="2"/>
  <c r="E11465" i="2"/>
  <c r="A11466" i="2"/>
  <c r="B11466" i="2"/>
  <c r="E11466" i="2"/>
  <c r="A11467" i="2"/>
  <c r="B11467" i="2"/>
  <c r="E11467" i="2"/>
  <c r="A11468" i="2"/>
  <c r="B11468" i="2"/>
  <c r="E11468" i="2"/>
  <c r="A11469" i="2"/>
  <c r="B11469" i="2"/>
  <c r="E11469" i="2"/>
  <c r="A11470" i="2"/>
  <c r="B11470" i="2"/>
  <c r="E11470" i="2"/>
  <c r="A11471" i="2"/>
  <c r="B11471" i="2"/>
  <c r="E11471" i="2"/>
  <c r="A11472" i="2"/>
  <c r="B11472" i="2"/>
  <c r="E11472" i="2"/>
  <c r="A11473" i="2"/>
  <c r="B11473" i="2"/>
  <c r="E11473" i="2"/>
  <c r="A11474" i="2"/>
  <c r="B11474" i="2"/>
  <c r="E11474" i="2"/>
  <c r="A11475" i="2"/>
  <c r="B11475" i="2"/>
  <c r="E11475" i="2"/>
  <c r="A11476" i="2"/>
  <c r="B11476" i="2"/>
  <c r="E11476" i="2"/>
  <c r="A11477" i="2"/>
  <c r="B11477" i="2"/>
  <c r="E11477" i="2"/>
  <c r="A11478" i="2"/>
  <c r="B11478" i="2"/>
  <c r="E11478" i="2"/>
  <c r="A11479" i="2"/>
  <c r="B11479" i="2"/>
  <c r="E11479" i="2"/>
  <c r="A11480" i="2"/>
  <c r="B11480" i="2"/>
  <c r="E11480" i="2"/>
  <c r="A11481" i="2"/>
  <c r="B11481" i="2"/>
  <c r="E11481" i="2"/>
  <c r="A11482" i="2"/>
  <c r="B11482" i="2"/>
  <c r="E11482" i="2"/>
  <c r="A11483" i="2"/>
  <c r="B11483" i="2"/>
  <c r="E11483" i="2"/>
  <c r="A11484" i="2"/>
  <c r="B11484" i="2"/>
  <c r="E11484" i="2"/>
  <c r="A11485" i="2"/>
  <c r="B11485" i="2"/>
  <c r="E11485" i="2"/>
  <c r="A11486" i="2"/>
  <c r="B11486" i="2"/>
  <c r="E11486" i="2"/>
  <c r="A11487" i="2"/>
  <c r="B11487" i="2"/>
  <c r="E11487" i="2"/>
  <c r="A11488" i="2"/>
  <c r="B11488" i="2"/>
  <c r="E11488" i="2"/>
  <c r="A11489" i="2"/>
  <c r="B11489" i="2"/>
  <c r="E11489" i="2"/>
  <c r="A11490" i="2"/>
  <c r="B11490" i="2"/>
  <c r="E11490" i="2"/>
  <c r="A11491" i="2"/>
  <c r="B11491" i="2"/>
  <c r="E11491" i="2"/>
  <c r="A11492" i="2"/>
  <c r="B11492" i="2"/>
  <c r="E11492" i="2"/>
  <c r="A11493" i="2"/>
  <c r="B11493" i="2"/>
  <c r="E11493" i="2"/>
  <c r="A11494" i="2"/>
  <c r="B11494" i="2"/>
  <c r="E11494" i="2"/>
  <c r="A11495" i="2"/>
  <c r="B11495" i="2"/>
  <c r="E11495" i="2"/>
  <c r="A11496" i="2"/>
  <c r="B11496" i="2"/>
  <c r="E11496" i="2"/>
  <c r="A11497" i="2"/>
  <c r="B11497" i="2"/>
  <c r="E11497" i="2"/>
  <c r="A11498" i="2"/>
  <c r="B11498" i="2"/>
  <c r="E11498" i="2"/>
  <c r="A11499" i="2"/>
  <c r="B11499" i="2"/>
  <c r="E11499" i="2"/>
  <c r="A11500" i="2"/>
  <c r="B11500" i="2"/>
  <c r="E11500" i="2"/>
  <c r="A11501" i="2"/>
  <c r="B11501" i="2"/>
  <c r="E11501" i="2"/>
  <c r="A11502" i="2"/>
  <c r="B11502" i="2"/>
  <c r="E11502" i="2"/>
  <c r="A11503" i="2"/>
  <c r="B11503" i="2"/>
  <c r="E11503" i="2"/>
  <c r="A11504" i="2"/>
  <c r="B11504" i="2"/>
  <c r="E11504" i="2"/>
  <c r="A11505" i="2"/>
  <c r="B11505" i="2"/>
  <c r="E11505" i="2"/>
  <c r="A11506" i="2"/>
  <c r="B11506" i="2"/>
  <c r="E11506" i="2"/>
  <c r="A11507" i="2"/>
  <c r="B11507" i="2"/>
  <c r="E11507" i="2"/>
  <c r="A11508" i="2"/>
  <c r="B11508" i="2"/>
  <c r="E11508" i="2"/>
  <c r="A11509" i="2"/>
  <c r="B11509" i="2"/>
  <c r="E11509" i="2"/>
  <c r="A11510" i="2"/>
  <c r="B11510" i="2"/>
  <c r="E11510" i="2"/>
  <c r="A11511" i="2"/>
  <c r="B11511" i="2"/>
  <c r="E11511" i="2"/>
  <c r="A11512" i="2"/>
  <c r="B11512" i="2"/>
  <c r="E11512" i="2"/>
  <c r="A11513" i="2"/>
  <c r="B11513" i="2"/>
  <c r="E11513" i="2"/>
  <c r="A11514" i="2"/>
  <c r="B11514" i="2"/>
  <c r="E11514" i="2"/>
  <c r="A11515" i="2"/>
  <c r="B11515" i="2"/>
  <c r="E11515" i="2"/>
  <c r="A11516" i="2"/>
  <c r="B11516" i="2"/>
  <c r="E11516" i="2"/>
  <c r="A11517" i="2"/>
  <c r="B11517" i="2"/>
  <c r="E11517" i="2"/>
  <c r="A11518" i="2"/>
  <c r="B11518" i="2"/>
  <c r="E11518" i="2"/>
  <c r="A11519" i="2"/>
  <c r="B11519" i="2"/>
  <c r="E11519" i="2"/>
  <c r="A11520" i="2"/>
  <c r="B11520" i="2"/>
  <c r="E11520" i="2"/>
  <c r="A11521" i="2"/>
  <c r="B11521" i="2"/>
  <c r="E11521" i="2"/>
  <c r="A11522" i="2"/>
  <c r="B11522" i="2"/>
  <c r="E11522" i="2"/>
  <c r="A11523" i="2"/>
  <c r="B11523" i="2"/>
  <c r="E11523" i="2"/>
  <c r="A11524" i="2"/>
  <c r="B11524" i="2"/>
  <c r="E11524" i="2"/>
  <c r="A11525" i="2"/>
  <c r="B11525" i="2"/>
  <c r="E11525" i="2"/>
  <c r="A11526" i="2"/>
  <c r="B11526" i="2"/>
  <c r="E11526" i="2"/>
  <c r="A11527" i="2"/>
  <c r="B11527" i="2"/>
  <c r="E11527" i="2"/>
  <c r="A11528" i="2"/>
  <c r="B11528" i="2"/>
  <c r="E11528" i="2"/>
  <c r="A11529" i="2"/>
  <c r="B11529" i="2"/>
  <c r="E11529" i="2"/>
  <c r="A11530" i="2"/>
  <c r="B11530" i="2"/>
  <c r="E11530" i="2"/>
  <c r="A11531" i="2"/>
  <c r="B11531" i="2"/>
  <c r="E11531" i="2"/>
  <c r="A11532" i="2"/>
  <c r="B11532" i="2"/>
  <c r="E11532" i="2"/>
  <c r="A11533" i="2"/>
  <c r="B11533" i="2"/>
  <c r="E11533" i="2"/>
  <c r="A11534" i="2"/>
  <c r="B11534" i="2"/>
  <c r="E11534" i="2"/>
  <c r="A11535" i="2"/>
  <c r="B11535" i="2"/>
  <c r="E11535" i="2"/>
  <c r="A11536" i="2"/>
  <c r="B11536" i="2"/>
  <c r="E11536" i="2"/>
  <c r="A11537" i="2"/>
  <c r="B11537" i="2"/>
  <c r="E11537" i="2"/>
  <c r="A11538" i="2"/>
  <c r="B11538" i="2"/>
  <c r="E11538" i="2"/>
  <c r="A11539" i="2"/>
  <c r="B11539" i="2"/>
  <c r="E11539" i="2"/>
  <c r="A11540" i="2"/>
  <c r="B11540" i="2"/>
  <c r="E11540" i="2"/>
  <c r="A11541" i="2"/>
  <c r="B11541" i="2"/>
  <c r="E11541" i="2"/>
  <c r="A11542" i="2"/>
  <c r="B11542" i="2"/>
  <c r="E11542" i="2"/>
  <c r="A11543" i="2"/>
  <c r="B11543" i="2"/>
  <c r="E11543" i="2"/>
  <c r="A11544" i="2"/>
  <c r="B11544" i="2"/>
  <c r="E11544" i="2"/>
  <c r="A11545" i="2"/>
  <c r="B11545" i="2"/>
  <c r="E11545" i="2"/>
  <c r="A11546" i="2"/>
  <c r="B11546" i="2"/>
  <c r="E11546" i="2"/>
  <c r="A11547" i="2"/>
  <c r="B11547" i="2"/>
  <c r="E11547" i="2"/>
  <c r="A11548" i="2"/>
  <c r="B11548" i="2"/>
  <c r="E11548" i="2"/>
  <c r="A11549" i="2"/>
  <c r="B11549" i="2"/>
  <c r="E11549" i="2"/>
  <c r="A11550" i="2"/>
  <c r="B11550" i="2"/>
  <c r="E11550" i="2"/>
  <c r="A11551" i="2"/>
  <c r="B11551" i="2"/>
  <c r="E11551" i="2"/>
  <c r="A11552" i="2"/>
  <c r="B11552" i="2"/>
  <c r="E11552" i="2"/>
  <c r="A11553" i="2"/>
  <c r="B11553" i="2"/>
  <c r="E11553" i="2"/>
  <c r="A11554" i="2"/>
  <c r="B11554" i="2"/>
  <c r="E11554" i="2"/>
  <c r="A11555" i="2"/>
  <c r="B11555" i="2"/>
  <c r="E11555" i="2"/>
  <c r="A11556" i="2"/>
  <c r="B11556" i="2"/>
  <c r="E11556" i="2"/>
  <c r="A11557" i="2"/>
  <c r="B11557" i="2"/>
  <c r="E11557" i="2"/>
  <c r="A11558" i="2"/>
  <c r="B11558" i="2"/>
  <c r="E11558" i="2"/>
  <c r="A11559" i="2"/>
  <c r="B11559" i="2"/>
  <c r="E11559" i="2"/>
  <c r="A11560" i="2"/>
  <c r="B11560" i="2"/>
  <c r="E11560" i="2"/>
  <c r="A11561" i="2"/>
  <c r="B11561" i="2"/>
  <c r="E11561" i="2"/>
  <c r="A11562" i="2"/>
  <c r="B11562" i="2"/>
  <c r="E11562" i="2"/>
  <c r="A11563" i="2"/>
  <c r="B11563" i="2"/>
  <c r="E11563" i="2"/>
  <c r="A11564" i="2"/>
  <c r="B11564" i="2"/>
  <c r="E11564" i="2"/>
  <c r="A11565" i="2"/>
  <c r="B11565" i="2"/>
  <c r="E11565" i="2"/>
  <c r="A11566" i="2"/>
  <c r="B11566" i="2"/>
  <c r="E11566" i="2"/>
  <c r="A11567" i="2"/>
  <c r="B11567" i="2"/>
  <c r="E11567" i="2"/>
  <c r="A11568" i="2"/>
  <c r="B11568" i="2"/>
  <c r="E11568" i="2"/>
  <c r="A11569" i="2"/>
  <c r="B11569" i="2"/>
  <c r="E11569" i="2"/>
  <c r="A11570" i="2"/>
  <c r="B11570" i="2"/>
  <c r="E11570" i="2"/>
  <c r="A11571" i="2"/>
  <c r="B11571" i="2"/>
  <c r="E11571" i="2"/>
  <c r="A11572" i="2"/>
  <c r="B11572" i="2"/>
  <c r="E11572" i="2"/>
  <c r="A11573" i="2"/>
  <c r="B11573" i="2"/>
  <c r="E11573" i="2"/>
  <c r="A11574" i="2"/>
  <c r="B11574" i="2"/>
  <c r="E11574" i="2"/>
  <c r="A11575" i="2"/>
  <c r="B11575" i="2"/>
  <c r="E11575" i="2"/>
  <c r="A11576" i="2"/>
  <c r="B11576" i="2"/>
  <c r="E11576" i="2"/>
  <c r="A11577" i="2"/>
  <c r="B11577" i="2"/>
  <c r="E11577" i="2"/>
  <c r="A11578" i="2"/>
  <c r="B11578" i="2"/>
  <c r="E11578" i="2"/>
  <c r="A11579" i="2"/>
  <c r="B11579" i="2"/>
  <c r="E11579" i="2"/>
  <c r="A11580" i="2"/>
  <c r="B11580" i="2"/>
  <c r="E11580" i="2"/>
  <c r="A11581" i="2"/>
  <c r="B11581" i="2"/>
  <c r="E11581" i="2"/>
  <c r="A11582" i="2"/>
  <c r="B11582" i="2"/>
  <c r="E11582" i="2"/>
  <c r="A11583" i="2"/>
  <c r="B11583" i="2"/>
  <c r="E11583" i="2"/>
  <c r="A11584" i="2"/>
  <c r="B11584" i="2"/>
  <c r="E11584" i="2"/>
  <c r="A11585" i="2"/>
  <c r="B11585" i="2"/>
  <c r="E11585" i="2"/>
  <c r="A11586" i="2"/>
  <c r="B11586" i="2"/>
  <c r="E11586" i="2"/>
  <c r="A11587" i="2"/>
  <c r="B11587" i="2"/>
  <c r="E11587" i="2"/>
  <c r="A11588" i="2"/>
  <c r="B11588" i="2"/>
  <c r="E11588" i="2"/>
  <c r="A11589" i="2"/>
  <c r="B11589" i="2"/>
  <c r="E11589" i="2"/>
  <c r="A11590" i="2"/>
  <c r="B11590" i="2"/>
  <c r="E11590" i="2"/>
  <c r="A11591" i="2"/>
  <c r="B11591" i="2"/>
  <c r="E11591" i="2"/>
  <c r="A11592" i="2"/>
  <c r="B11592" i="2"/>
  <c r="E11592" i="2"/>
  <c r="A11593" i="2"/>
  <c r="B11593" i="2"/>
  <c r="E11593" i="2"/>
  <c r="A11594" i="2"/>
  <c r="B11594" i="2"/>
  <c r="E11594" i="2"/>
  <c r="A11595" i="2"/>
  <c r="B11595" i="2"/>
  <c r="E11595" i="2"/>
  <c r="A11596" i="2"/>
  <c r="B11596" i="2"/>
  <c r="E11596" i="2"/>
  <c r="A11597" i="2"/>
  <c r="B11597" i="2"/>
  <c r="E11597" i="2"/>
  <c r="A11598" i="2"/>
  <c r="B11598" i="2"/>
  <c r="E11598" i="2"/>
  <c r="A11599" i="2"/>
  <c r="B11599" i="2"/>
  <c r="E11599" i="2"/>
  <c r="A11600" i="2"/>
  <c r="B11600" i="2"/>
  <c r="E11600" i="2"/>
  <c r="A11601" i="2"/>
  <c r="B11601" i="2"/>
  <c r="E11601" i="2"/>
  <c r="A11602" i="2"/>
  <c r="B11602" i="2"/>
  <c r="E11602" i="2"/>
  <c r="A11603" i="2"/>
  <c r="B11603" i="2"/>
  <c r="E11603" i="2"/>
  <c r="A11604" i="2"/>
  <c r="B11604" i="2"/>
  <c r="E11604" i="2"/>
  <c r="A11605" i="2"/>
  <c r="B11605" i="2"/>
  <c r="E11605" i="2"/>
  <c r="A11606" i="2"/>
  <c r="B11606" i="2"/>
  <c r="E11606" i="2"/>
  <c r="A11607" i="2"/>
  <c r="B11607" i="2"/>
  <c r="E11607" i="2"/>
  <c r="A11608" i="2"/>
  <c r="B11608" i="2"/>
  <c r="E11608" i="2"/>
  <c r="A11609" i="2"/>
  <c r="B11609" i="2"/>
  <c r="E11609" i="2"/>
  <c r="A11610" i="2"/>
  <c r="B11610" i="2"/>
  <c r="E11610" i="2"/>
  <c r="A11611" i="2"/>
  <c r="B11611" i="2"/>
  <c r="E11611" i="2"/>
  <c r="A11612" i="2"/>
  <c r="B11612" i="2"/>
  <c r="E11612" i="2"/>
  <c r="A11613" i="2"/>
  <c r="B11613" i="2"/>
  <c r="E11613" i="2"/>
  <c r="A11614" i="2"/>
  <c r="B11614" i="2"/>
  <c r="E11614" i="2"/>
  <c r="A11615" i="2"/>
  <c r="B11615" i="2"/>
  <c r="E11615" i="2"/>
  <c r="A11616" i="2"/>
  <c r="B11616" i="2"/>
  <c r="E11616" i="2"/>
  <c r="A11617" i="2"/>
  <c r="B11617" i="2"/>
  <c r="E11617" i="2"/>
  <c r="A11618" i="2"/>
  <c r="B11618" i="2"/>
  <c r="E11618" i="2"/>
  <c r="A11619" i="2"/>
  <c r="B11619" i="2"/>
  <c r="E11619" i="2"/>
  <c r="A11620" i="2"/>
  <c r="B11620" i="2"/>
  <c r="E11620" i="2"/>
  <c r="A11621" i="2"/>
  <c r="B11621" i="2"/>
  <c r="E11621" i="2"/>
  <c r="A11622" i="2"/>
  <c r="B11622" i="2"/>
  <c r="E11622" i="2"/>
  <c r="A11623" i="2"/>
  <c r="B11623" i="2"/>
  <c r="E11623" i="2"/>
  <c r="A11624" i="2"/>
  <c r="B11624" i="2"/>
  <c r="E11624" i="2"/>
  <c r="A11625" i="2"/>
  <c r="B11625" i="2"/>
  <c r="E11625" i="2"/>
  <c r="A11626" i="2"/>
  <c r="B11626" i="2"/>
  <c r="E11626" i="2"/>
  <c r="A11627" i="2"/>
  <c r="B11627" i="2"/>
  <c r="E11627" i="2"/>
  <c r="A11628" i="2"/>
  <c r="B11628" i="2"/>
  <c r="E11628" i="2"/>
  <c r="A11629" i="2"/>
  <c r="B11629" i="2"/>
  <c r="E11629" i="2"/>
  <c r="A11630" i="2"/>
  <c r="B11630" i="2"/>
  <c r="E11630" i="2"/>
  <c r="A11631" i="2"/>
  <c r="B11631" i="2"/>
  <c r="E11631" i="2"/>
  <c r="A11632" i="2"/>
  <c r="B11632" i="2"/>
  <c r="E11632" i="2"/>
  <c r="A11633" i="2"/>
  <c r="B11633" i="2"/>
  <c r="E11633" i="2"/>
  <c r="A11634" i="2"/>
  <c r="B11634" i="2"/>
  <c r="E11634" i="2"/>
  <c r="A11635" i="2"/>
  <c r="B11635" i="2"/>
  <c r="E11635" i="2"/>
  <c r="A11636" i="2"/>
  <c r="B11636" i="2"/>
  <c r="E11636" i="2"/>
  <c r="A11637" i="2"/>
  <c r="B11637" i="2"/>
  <c r="E11637" i="2"/>
  <c r="A11638" i="2"/>
  <c r="B11638" i="2"/>
  <c r="E11638" i="2"/>
  <c r="A11639" i="2"/>
  <c r="B11639" i="2"/>
  <c r="E11639" i="2"/>
  <c r="A11640" i="2"/>
  <c r="B11640" i="2"/>
  <c r="E11640" i="2"/>
  <c r="A11641" i="2"/>
  <c r="B11641" i="2"/>
  <c r="E11641" i="2"/>
  <c r="A11642" i="2"/>
  <c r="B11642" i="2"/>
  <c r="E11642" i="2"/>
  <c r="A11643" i="2"/>
  <c r="B11643" i="2"/>
  <c r="E11643" i="2"/>
  <c r="A11644" i="2"/>
  <c r="B11644" i="2"/>
  <c r="E11644" i="2"/>
  <c r="A11645" i="2"/>
  <c r="B11645" i="2"/>
  <c r="E11645" i="2"/>
  <c r="A11646" i="2"/>
  <c r="B11646" i="2"/>
  <c r="E11646" i="2"/>
  <c r="A11647" i="2"/>
  <c r="B11647" i="2"/>
  <c r="E11647" i="2"/>
  <c r="A11648" i="2"/>
  <c r="B11648" i="2"/>
  <c r="E11648" i="2"/>
  <c r="A11649" i="2"/>
  <c r="B11649" i="2"/>
  <c r="E11649" i="2"/>
  <c r="A11650" i="2"/>
  <c r="B11650" i="2"/>
  <c r="E11650" i="2"/>
  <c r="A11651" i="2"/>
  <c r="B11651" i="2"/>
  <c r="E11651" i="2"/>
  <c r="A11652" i="2"/>
  <c r="B11652" i="2"/>
  <c r="E11652" i="2"/>
  <c r="A11653" i="2"/>
  <c r="B11653" i="2"/>
  <c r="E11653" i="2"/>
  <c r="A11654" i="2"/>
  <c r="B11654" i="2"/>
  <c r="E11654" i="2"/>
  <c r="A11655" i="2"/>
  <c r="B11655" i="2"/>
  <c r="E11655" i="2"/>
  <c r="A11656" i="2"/>
  <c r="B11656" i="2"/>
  <c r="E11656" i="2"/>
  <c r="A11657" i="2"/>
  <c r="B11657" i="2"/>
  <c r="E11657" i="2"/>
  <c r="A11658" i="2"/>
  <c r="B11658" i="2"/>
  <c r="E11658" i="2"/>
  <c r="A11659" i="2"/>
  <c r="B11659" i="2"/>
  <c r="E11659" i="2"/>
  <c r="A11660" i="2"/>
  <c r="B11660" i="2"/>
  <c r="E11660" i="2"/>
  <c r="A11661" i="2"/>
  <c r="B11661" i="2"/>
  <c r="E11661" i="2"/>
  <c r="A11662" i="2"/>
  <c r="B11662" i="2"/>
  <c r="E11662" i="2"/>
  <c r="A11663" i="2"/>
  <c r="B11663" i="2"/>
  <c r="E11663" i="2"/>
  <c r="A11664" i="2"/>
  <c r="B11664" i="2"/>
  <c r="E11664" i="2"/>
  <c r="A11665" i="2"/>
  <c r="B11665" i="2"/>
  <c r="E11665" i="2"/>
  <c r="A11666" i="2"/>
  <c r="B11666" i="2"/>
  <c r="E11666" i="2"/>
  <c r="A11667" i="2"/>
  <c r="B11667" i="2"/>
  <c r="E11667" i="2"/>
  <c r="A11668" i="2"/>
  <c r="B11668" i="2"/>
  <c r="E11668" i="2"/>
  <c r="A11669" i="2"/>
  <c r="B11669" i="2"/>
  <c r="E11669" i="2"/>
  <c r="A11670" i="2"/>
  <c r="B11670" i="2"/>
  <c r="E11670" i="2"/>
  <c r="A11671" i="2"/>
  <c r="B11671" i="2"/>
  <c r="E11671" i="2"/>
  <c r="A11672" i="2"/>
  <c r="B11672" i="2"/>
  <c r="E11672" i="2"/>
  <c r="A11673" i="2"/>
  <c r="B11673" i="2"/>
  <c r="E11673" i="2"/>
  <c r="A11674" i="2"/>
  <c r="B11674" i="2"/>
  <c r="E11674" i="2"/>
  <c r="A11675" i="2"/>
  <c r="B11675" i="2"/>
  <c r="E11675" i="2"/>
  <c r="A11676" i="2"/>
  <c r="B11676" i="2"/>
  <c r="E11676" i="2"/>
  <c r="A11677" i="2"/>
  <c r="B11677" i="2"/>
  <c r="E11677" i="2"/>
  <c r="A11678" i="2"/>
  <c r="B11678" i="2"/>
  <c r="E11678" i="2"/>
  <c r="A11679" i="2"/>
  <c r="B11679" i="2"/>
  <c r="E11679" i="2"/>
  <c r="A11680" i="2"/>
  <c r="B11680" i="2"/>
  <c r="E11680" i="2"/>
  <c r="A11681" i="2"/>
  <c r="B11681" i="2"/>
  <c r="E11681" i="2"/>
  <c r="A11682" i="2"/>
  <c r="B11682" i="2"/>
  <c r="E11682" i="2"/>
  <c r="A11683" i="2"/>
  <c r="B11683" i="2"/>
  <c r="E11683" i="2"/>
  <c r="A11684" i="2"/>
  <c r="B11684" i="2"/>
  <c r="E11684" i="2"/>
  <c r="A11685" i="2"/>
  <c r="B11685" i="2"/>
  <c r="E11685" i="2"/>
  <c r="A11686" i="2"/>
  <c r="B11686" i="2"/>
  <c r="E11686" i="2"/>
  <c r="A11687" i="2"/>
  <c r="B11687" i="2"/>
  <c r="E11687" i="2"/>
  <c r="A11688" i="2"/>
  <c r="B11688" i="2"/>
  <c r="E11688" i="2"/>
  <c r="A11689" i="2"/>
  <c r="B11689" i="2"/>
  <c r="E11689" i="2"/>
  <c r="A11690" i="2"/>
  <c r="B11690" i="2"/>
  <c r="E11690" i="2"/>
  <c r="A11691" i="2"/>
  <c r="B11691" i="2"/>
  <c r="E11691" i="2"/>
  <c r="A11692" i="2"/>
  <c r="B11692" i="2"/>
  <c r="E11692" i="2"/>
  <c r="A11693" i="2"/>
  <c r="B11693" i="2"/>
  <c r="E11693" i="2"/>
  <c r="A11694" i="2"/>
  <c r="B11694" i="2"/>
  <c r="E11694" i="2"/>
  <c r="A11695" i="2"/>
  <c r="B11695" i="2"/>
  <c r="E11695" i="2"/>
  <c r="A11696" i="2"/>
  <c r="B11696" i="2"/>
  <c r="E11696" i="2"/>
  <c r="A11697" i="2"/>
  <c r="B11697" i="2"/>
  <c r="E11697" i="2"/>
  <c r="A11698" i="2"/>
  <c r="B11698" i="2"/>
  <c r="E11698" i="2"/>
  <c r="A11699" i="2"/>
  <c r="B11699" i="2"/>
  <c r="E11699" i="2"/>
  <c r="A11700" i="2"/>
  <c r="B11700" i="2"/>
  <c r="E11700" i="2"/>
  <c r="A11701" i="2"/>
  <c r="B11701" i="2"/>
  <c r="E11701" i="2"/>
  <c r="A11702" i="2"/>
  <c r="B11702" i="2"/>
  <c r="E11702" i="2"/>
  <c r="A11703" i="2"/>
  <c r="B11703" i="2"/>
  <c r="E11703" i="2"/>
  <c r="A11704" i="2"/>
  <c r="B11704" i="2"/>
  <c r="E11704" i="2"/>
  <c r="A11705" i="2"/>
  <c r="B11705" i="2"/>
  <c r="E11705" i="2"/>
  <c r="A11706" i="2"/>
  <c r="B11706" i="2"/>
  <c r="E11706" i="2"/>
  <c r="A11707" i="2"/>
  <c r="B11707" i="2"/>
  <c r="E11707" i="2"/>
  <c r="A11708" i="2"/>
  <c r="B11708" i="2"/>
  <c r="E11708" i="2"/>
  <c r="A11709" i="2"/>
  <c r="B11709" i="2"/>
  <c r="E11709" i="2"/>
  <c r="A11710" i="2"/>
  <c r="B11710" i="2"/>
  <c r="E11710" i="2"/>
  <c r="A11711" i="2"/>
  <c r="B11711" i="2"/>
  <c r="E11711" i="2"/>
  <c r="A11712" i="2"/>
  <c r="B11712" i="2"/>
  <c r="E11712" i="2"/>
  <c r="A11713" i="2"/>
  <c r="B11713" i="2"/>
  <c r="E11713" i="2"/>
  <c r="A11714" i="2"/>
  <c r="B11714" i="2"/>
  <c r="E11714" i="2"/>
  <c r="A11715" i="2"/>
  <c r="B11715" i="2"/>
  <c r="E11715" i="2"/>
  <c r="A11716" i="2"/>
  <c r="B11716" i="2"/>
  <c r="E11716" i="2"/>
  <c r="A11717" i="2"/>
  <c r="B11717" i="2"/>
  <c r="E11717" i="2"/>
  <c r="A11718" i="2"/>
  <c r="B11718" i="2"/>
  <c r="E11718" i="2"/>
  <c r="A11719" i="2"/>
  <c r="B11719" i="2"/>
  <c r="E11719" i="2"/>
  <c r="A11720" i="2"/>
  <c r="B11720" i="2"/>
  <c r="E11720" i="2"/>
  <c r="A11721" i="2"/>
  <c r="B11721" i="2"/>
  <c r="E11721" i="2"/>
  <c r="A11722" i="2"/>
  <c r="B11722" i="2"/>
  <c r="E11722" i="2"/>
  <c r="A11723" i="2"/>
  <c r="B11723" i="2"/>
  <c r="E11723" i="2"/>
  <c r="A11724" i="2"/>
  <c r="B11724" i="2"/>
  <c r="E11724" i="2"/>
  <c r="A11725" i="2"/>
  <c r="B11725" i="2"/>
  <c r="E11725" i="2"/>
  <c r="A11726" i="2"/>
  <c r="B11726" i="2"/>
  <c r="E11726" i="2"/>
  <c r="A11727" i="2"/>
  <c r="B11727" i="2"/>
  <c r="E11727" i="2"/>
  <c r="A11728" i="2"/>
  <c r="B11728" i="2"/>
  <c r="E11728" i="2"/>
  <c r="A11729" i="2"/>
  <c r="B11729" i="2"/>
  <c r="E11729" i="2"/>
  <c r="A11730" i="2"/>
  <c r="B11730" i="2"/>
  <c r="E11730" i="2"/>
  <c r="A11731" i="2"/>
  <c r="B11731" i="2"/>
  <c r="E11731" i="2"/>
  <c r="A11732" i="2"/>
  <c r="B11732" i="2"/>
  <c r="E11732" i="2"/>
  <c r="A11733" i="2"/>
  <c r="B11733" i="2"/>
  <c r="E11733" i="2"/>
  <c r="A11734" i="2"/>
  <c r="B11734" i="2"/>
  <c r="E11734" i="2"/>
  <c r="A11735" i="2"/>
  <c r="B11735" i="2"/>
  <c r="E11735" i="2"/>
  <c r="A11736" i="2"/>
  <c r="B11736" i="2"/>
  <c r="E11736" i="2"/>
  <c r="A11737" i="2"/>
  <c r="B11737" i="2"/>
  <c r="E11737" i="2"/>
  <c r="A11738" i="2"/>
  <c r="B11738" i="2"/>
  <c r="E11738" i="2"/>
  <c r="A11739" i="2"/>
  <c r="B11739" i="2"/>
  <c r="E11739" i="2"/>
  <c r="A11740" i="2"/>
  <c r="B11740" i="2"/>
  <c r="E11740" i="2"/>
  <c r="A11741" i="2"/>
  <c r="B11741" i="2"/>
  <c r="E11741" i="2"/>
  <c r="A11742" i="2"/>
  <c r="B11742" i="2"/>
  <c r="E11742" i="2"/>
  <c r="A11743" i="2"/>
  <c r="B11743" i="2"/>
  <c r="E11743" i="2"/>
  <c r="A11744" i="2"/>
  <c r="B11744" i="2"/>
  <c r="E11744" i="2"/>
  <c r="A11745" i="2"/>
  <c r="B11745" i="2"/>
  <c r="E11745" i="2"/>
  <c r="A11746" i="2"/>
  <c r="B11746" i="2"/>
  <c r="E11746" i="2"/>
  <c r="A11747" i="2"/>
  <c r="B11747" i="2"/>
  <c r="E11747" i="2"/>
  <c r="A11748" i="2"/>
  <c r="B11748" i="2"/>
  <c r="E11748" i="2"/>
  <c r="A11749" i="2"/>
  <c r="B11749" i="2"/>
  <c r="E11749" i="2"/>
  <c r="A11750" i="2"/>
  <c r="B11750" i="2"/>
  <c r="E11750" i="2"/>
  <c r="A11751" i="2"/>
  <c r="B11751" i="2"/>
  <c r="E11751" i="2"/>
  <c r="A11752" i="2"/>
  <c r="B11752" i="2"/>
  <c r="E11752" i="2"/>
  <c r="A11753" i="2"/>
  <c r="B11753" i="2"/>
  <c r="E11753" i="2"/>
  <c r="A11754" i="2"/>
  <c r="B11754" i="2"/>
  <c r="E11754" i="2"/>
  <c r="A11755" i="2"/>
  <c r="B11755" i="2"/>
  <c r="E11755" i="2"/>
  <c r="A11756" i="2"/>
  <c r="B11756" i="2"/>
  <c r="E11756" i="2"/>
  <c r="A11757" i="2"/>
  <c r="B11757" i="2"/>
  <c r="E11757" i="2"/>
  <c r="A11758" i="2"/>
  <c r="B11758" i="2"/>
  <c r="E11758" i="2"/>
  <c r="A11759" i="2"/>
  <c r="B11759" i="2"/>
  <c r="E11759" i="2"/>
  <c r="A11760" i="2"/>
  <c r="B11760" i="2"/>
  <c r="E11760" i="2"/>
  <c r="A11761" i="2"/>
  <c r="B11761" i="2"/>
  <c r="E11761" i="2"/>
  <c r="A11762" i="2"/>
  <c r="B11762" i="2"/>
  <c r="E11762" i="2"/>
  <c r="A11763" i="2"/>
  <c r="B11763" i="2"/>
  <c r="E11763" i="2"/>
  <c r="A11764" i="2"/>
  <c r="B11764" i="2"/>
  <c r="E11764" i="2"/>
  <c r="A11765" i="2"/>
  <c r="B11765" i="2"/>
  <c r="E11765" i="2"/>
  <c r="A11766" i="2"/>
  <c r="B11766" i="2"/>
  <c r="E11766" i="2"/>
  <c r="A11767" i="2"/>
  <c r="B11767" i="2"/>
  <c r="E11767" i="2"/>
  <c r="A11768" i="2"/>
  <c r="B11768" i="2"/>
  <c r="E11768" i="2"/>
  <c r="A11769" i="2"/>
  <c r="B11769" i="2"/>
  <c r="E11769" i="2"/>
  <c r="A11770" i="2"/>
  <c r="B11770" i="2"/>
  <c r="E11770" i="2"/>
  <c r="A11771" i="2"/>
  <c r="B11771" i="2"/>
  <c r="E11771" i="2"/>
  <c r="A11772" i="2"/>
  <c r="B11772" i="2"/>
  <c r="E11772" i="2"/>
  <c r="A11773" i="2"/>
  <c r="B11773" i="2"/>
  <c r="E11773" i="2"/>
  <c r="A11774" i="2"/>
  <c r="B11774" i="2"/>
  <c r="E11774" i="2"/>
  <c r="A11775" i="2"/>
  <c r="B11775" i="2"/>
  <c r="E11775" i="2"/>
  <c r="A11776" i="2"/>
  <c r="B11776" i="2"/>
  <c r="E11776" i="2"/>
  <c r="A11777" i="2"/>
  <c r="B11777" i="2"/>
  <c r="E11777" i="2"/>
  <c r="A11778" i="2"/>
  <c r="B11778" i="2"/>
  <c r="E11778" i="2"/>
  <c r="A11779" i="2"/>
  <c r="B11779" i="2"/>
  <c r="E11779" i="2"/>
  <c r="A11780" i="2"/>
  <c r="B11780" i="2"/>
  <c r="E11780" i="2"/>
  <c r="A11781" i="2"/>
  <c r="B11781" i="2"/>
  <c r="E11781" i="2"/>
  <c r="A11782" i="2"/>
  <c r="B11782" i="2"/>
  <c r="E11782" i="2"/>
  <c r="A11783" i="2"/>
  <c r="B11783" i="2"/>
  <c r="E11783" i="2"/>
  <c r="A11784" i="2"/>
  <c r="B11784" i="2"/>
  <c r="E11784" i="2"/>
  <c r="A11785" i="2"/>
  <c r="B11785" i="2"/>
  <c r="E11785" i="2"/>
  <c r="A11786" i="2"/>
  <c r="B11786" i="2"/>
  <c r="E11786" i="2"/>
  <c r="A11787" i="2"/>
  <c r="B11787" i="2"/>
  <c r="E11787" i="2"/>
  <c r="A11788" i="2"/>
  <c r="B11788" i="2"/>
  <c r="E11788" i="2"/>
  <c r="A11789" i="2"/>
  <c r="B11789" i="2"/>
  <c r="E11789" i="2"/>
  <c r="A11790" i="2"/>
  <c r="B11790" i="2"/>
  <c r="E11790" i="2"/>
  <c r="A11791" i="2"/>
  <c r="B11791" i="2"/>
  <c r="E11791" i="2"/>
  <c r="A11792" i="2"/>
  <c r="B11792" i="2"/>
  <c r="E11792" i="2"/>
  <c r="A11793" i="2"/>
  <c r="B11793" i="2"/>
  <c r="E11793" i="2"/>
  <c r="A11794" i="2"/>
  <c r="B11794" i="2"/>
  <c r="E11794" i="2"/>
  <c r="A11795" i="2"/>
  <c r="B11795" i="2"/>
  <c r="E11795" i="2"/>
  <c r="A11796" i="2"/>
  <c r="B11796" i="2"/>
  <c r="E11796" i="2"/>
  <c r="A11797" i="2"/>
  <c r="B11797" i="2"/>
  <c r="E11797" i="2"/>
  <c r="A11798" i="2"/>
  <c r="B11798" i="2"/>
  <c r="E11798" i="2"/>
  <c r="A11799" i="2"/>
  <c r="B11799" i="2"/>
  <c r="E11799" i="2"/>
  <c r="A11800" i="2"/>
  <c r="B11800" i="2"/>
  <c r="E11800" i="2"/>
  <c r="A11801" i="2"/>
  <c r="B11801" i="2"/>
  <c r="E11801" i="2"/>
  <c r="A11802" i="2"/>
  <c r="B11802" i="2"/>
  <c r="E11802" i="2"/>
  <c r="A11803" i="2"/>
  <c r="B11803" i="2"/>
  <c r="E11803" i="2"/>
  <c r="A11804" i="2"/>
  <c r="B11804" i="2"/>
  <c r="E11804" i="2"/>
  <c r="A11805" i="2"/>
  <c r="B11805" i="2"/>
  <c r="E11805" i="2"/>
  <c r="A11806" i="2"/>
  <c r="B11806" i="2"/>
  <c r="E11806" i="2"/>
  <c r="A11807" i="2"/>
  <c r="B11807" i="2"/>
  <c r="E11807" i="2"/>
  <c r="A11808" i="2"/>
  <c r="B11808" i="2"/>
  <c r="E11808" i="2"/>
  <c r="A11809" i="2"/>
  <c r="B11809" i="2"/>
  <c r="E11809" i="2"/>
  <c r="A11810" i="2"/>
  <c r="B11810" i="2"/>
  <c r="E11810" i="2"/>
  <c r="A11811" i="2"/>
  <c r="B11811" i="2"/>
  <c r="E11811" i="2"/>
  <c r="A11812" i="2"/>
  <c r="B11812" i="2"/>
  <c r="E11812" i="2"/>
  <c r="A11813" i="2"/>
  <c r="B11813" i="2"/>
  <c r="E11813" i="2"/>
  <c r="A11814" i="2"/>
  <c r="B11814" i="2"/>
  <c r="E11814" i="2"/>
  <c r="A11815" i="2"/>
  <c r="B11815" i="2"/>
  <c r="E11815" i="2"/>
  <c r="A11816" i="2"/>
  <c r="B11816" i="2"/>
  <c r="E11816" i="2"/>
  <c r="A11817" i="2"/>
  <c r="B11817" i="2"/>
  <c r="E11817" i="2"/>
  <c r="A11818" i="2"/>
  <c r="B11818" i="2"/>
  <c r="E11818" i="2"/>
  <c r="A11819" i="2"/>
  <c r="B11819" i="2"/>
  <c r="E11819" i="2"/>
  <c r="A11820" i="2"/>
  <c r="B11820" i="2"/>
  <c r="E11820" i="2"/>
  <c r="A11821" i="2"/>
  <c r="B11821" i="2"/>
  <c r="E11821" i="2"/>
  <c r="A11822" i="2"/>
  <c r="B11822" i="2"/>
  <c r="E11822" i="2"/>
  <c r="A11823" i="2"/>
  <c r="B11823" i="2"/>
  <c r="E11823" i="2"/>
  <c r="A11824" i="2"/>
  <c r="B11824" i="2"/>
  <c r="E11824" i="2"/>
  <c r="A11825" i="2"/>
  <c r="B11825" i="2"/>
  <c r="E11825" i="2"/>
  <c r="A11826" i="2"/>
  <c r="B11826" i="2"/>
  <c r="E11826" i="2"/>
  <c r="A11827" i="2"/>
  <c r="B11827" i="2"/>
  <c r="E11827" i="2"/>
  <c r="A11828" i="2"/>
  <c r="B11828" i="2"/>
  <c r="E11828" i="2"/>
  <c r="A11829" i="2"/>
  <c r="B11829" i="2"/>
  <c r="E11829" i="2"/>
  <c r="A11830" i="2"/>
  <c r="B11830" i="2"/>
  <c r="E11830" i="2"/>
  <c r="A11831" i="2"/>
  <c r="B11831" i="2"/>
  <c r="E11831" i="2"/>
  <c r="A11832" i="2"/>
  <c r="B11832" i="2"/>
  <c r="E11832" i="2"/>
  <c r="A11833" i="2"/>
  <c r="B11833" i="2"/>
  <c r="E11833" i="2"/>
  <c r="A11834" i="2"/>
  <c r="B11834" i="2"/>
  <c r="E11834" i="2"/>
  <c r="A11835" i="2"/>
  <c r="B11835" i="2"/>
  <c r="E11835" i="2"/>
  <c r="A11836" i="2"/>
  <c r="B11836" i="2"/>
  <c r="E11836" i="2"/>
  <c r="A11837" i="2"/>
  <c r="B11837" i="2"/>
  <c r="E11837" i="2"/>
  <c r="A11838" i="2"/>
  <c r="B11838" i="2"/>
  <c r="E11838" i="2"/>
  <c r="A11839" i="2"/>
  <c r="B11839" i="2"/>
  <c r="E11839" i="2"/>
  <c r="A11840" i="2"/>
  <c r="B11840" i="2"/>
  <c r="E11840" i="2"/>
  <c r="A11841" i="2"/>
  <c r="B11841" i="2"/>
  <c r="E11841" i="2"/>
  <c r="A11842" i="2"/>
  <c r="B11842" i="2"/>
  <c r="E11842" i="2"/>
  <c r="A11843" i="2"/>
  <c r="B11843" i="2"/>
  <c r="E11843" i="2"/>
  <c r="A11844" i="2"/>
  <c r="B11844" i="2"/>
  <c r="E11844" i="2"/>
  <c r="A11845" i="2"/>
  <c r="B11845" i="2"/>
  <c r="E11845" i="2"/>
  <c r="A11846" i="2"/>
  <c r="B11846" i="2"/>
  <c r="E11846" i="2"/>
  <c r="A11847" i="2"/>
  <c r="B11847" i="2"/>
  <c r="E11847" i="2"/>
  <c r="A11848" i="2"/>
  <c r="B11848" i="2"/>
  <c r="E11848" i="2"/>
  <c r="A11849" i="2"/>
  <c r="B11849" i="2"/>
  <c r="E11849" i="2"/>
  <c r="A11850" i="2"/>
  <c r="B11850" i="2"/>
  <c r="E11850" i="2"/>
  <c r="A11851" i="2"/>
  <c r="B11851" i="2"/>
  <c r="E11851" i="2"/>
  <c r="A11852" i="2"/>
  <c r="B11852" i="2"/>
  <c r="E11852" i="2"/>
  <c r="A11853" i="2"/>
  <c r="B11853" i="2"/>
  <c r="E11853" i="2"/>
  <c r="A11854" i="2"/>
  <c r="B11854" i="2"/>
  <c r="E11854" i="2"/>
  <c r="A11855" i="2"/>
  <c r="B11855" i="2"/>
  <c r="E11855" i="2"/>
  <c r="A11856" i="2"/>
  <c r="B11856" i="2"/>
  <c r="E11856" i="2"/>
  <c r="A11857" i="2"/>
  <c r="B11857" i="2"/>
  <c r="E11857" i="2"/>
  <c r="A11858" i="2"/>
  <c r="B11858" i="2"/>
  <c r="E11858" i="2"/>
  <c r="A11859" i="2"/>
  <c r="B11859" i="2"/>
  <c r="E11859" i="2"/>
  <c r="A11860" i="2"/>
  <c r="B11860" i="2"/>
  <c r="E11860" i="2"/>
  <c r="A11861" i="2"/>
  <c r="B11861" i="2"/>
  <c r="E11861" i="2"/>
  <c r="A11862" i="2"/>
  <c r="B11862" i="2"/>
  <c r="E11862" i="2"/>
  <c r="A11863" i="2"/>
  <c r="B11863" i="2"/>
  <c r="E11863" i="2"/>
  <c r="A11864" i="2"/>
  <c r="B11864" i="2"/>
  <c r="E11864" i="2"/>
  <c r="A11865" i="2"/>
  <c r="B11865" i="2"/>
  <c r="E11865" i="2"/>
  <c r="A11866" i="2"/>
  <c r="B11866" i="2"/>
  <c r="E11866" i="2"/>
  <c r="A11867" i="2"/>
  <c r="B11867" i="2"/>
  <c r="E11867" i="2"/>
  <c r="A11868" i="2"/>
  <c r="B11868" i="2"/>
  <c r="E11868" i="2"/>
  <c r="A11869" i="2"/>
  <c r="B11869" i="2"/>
  <c r="E11869" i="2"/>
  <c r="A11870" i="2"/>
  <c r="B11870" i="2"/>
  <c r="E11870" i="2"/>
  <c r="A11871" i="2"/>
  <c r="B11871" i="2"/>
  <c r="E11871" i="2"/>
  <c r="A11872" i="2"/>
  <c r="B11872" i="2"/>
  <c r="E11872" i="2"/>
  <c r="A11873" i="2"/>
  <c r="B11873" i="2"/>
  <c r="E11873" i="2"/>
  <c r="A11874" i="2"/>
  <c r="B11874" i="2"/>
  <c r="E11874" i="2"/>
  <c r="A11875" i="2"/>
  <c r="B11875" i="2"/>
  <c r="E11875" i="2"/>
  <c r="A11876" i="2"/>
  <c r="B11876" i="2"/>
  <c r="E11876" i="2"/>
  <c r="A11877" i="2"/>
  <c r="B11877" i="2"/>
  <c r="E11877" i="2"/>
  <c r="A11878" i="2"/>
  <c r="B11878" i="2"/>
  <c r="E11878" i="2"/>
  <c r="A11879" i="2"/>
  <c r="B11879" i="2"/>
  <c r="E11879" i="2"/>
  <c r="A11880" i="2"/>
  <c r="B11880" i="2"/>
  <c r="E11880" i="2"/>
  <c r="A11881" i="2"/>
  <c r="B11881" i="2"/>
  <c r="E11881" i="2"/>
  <c r="A11882" i="2"/>
  <c r="B11882" i="2"/>
  <c r="E11882" i="2"/>
  <c r="A11883" i="2"/>
  <c r="B11883" i="2"/>
  <c r="E11883" i="2"/>
  <c r="A11884" i="2"/>
  <c r="B11884" i="2"/>
  <c r="E11884" i="2"/>
  <c r="A11885" i="2"/>
  <c r="B11885" i="2"/>
  <c r="E11885" i="2"/>
  <c r="A11886" i="2"/>
  <c r="B11886" i="2"/>
  <c r="E11886" i="2"/>
  <c r="A11887" i="2"/>
  <c r="B11887" i="2"/>
  <c r="E11887" i="2"/>
  <c r="A11888" i="2"/>
  <c r="B11888" i="2"/>
  <c r="E11888" i="2"/>
  <c r="A11889" i="2"/>
  <c r="B11889" i="2"/>
  <c r="E11889" i="2"/>
  <c r="A11890" i="2"/>
  <c r="B11890" i="2"/>
  <c r="E11890" i="2"/>
  <c r="A11891" i="2"/>
  <c r="B11891" i="2"/>
  <c r="E11891" i="2"/>
  <c r="A11892" i="2"/>
  <c r="B11892" i="2"/>
  <c r="E11892" i="2"/>
  <c r="A11893" i="2"/>
  <c r="B11893" i="2"/>
  <c r="E11893" i="2"/>
  <c r="A11894" i="2"/>
  <c r="B11894" i="2"/>
  <c r="E11894" i="2"/>
  <c r="A11895" i="2"/>
  <c r="B11895" i="2"/>
  <c r="E11895" i="2"/>
  <c r="A11896" i="2"/>
  <c r="B11896" i="2"/>
  <c r="E11896" i="2"/>
  <c r="A11897" i="2"/>
  <c r="B11897" i="2"/>
  <c r="E11897" i="2"/>
  <c r="A11898" i="2"/>
  <c r="B11898" i="2"/>
  <c r="E11898" i="2"/>
  <c r="A11899" i="2"/>
  <c r="B11899" i="2"/>
  <c r="E11899" i="2"/>
  <c r="A11900" i="2"/>
  <c r="B11900" i="2"/>
  <c r="E11900" i="2"/>
  <c r="A11901" i="2"/>
  <c r="B11901" i="2"/>
  <c r="E11901" i="2"/>
  <c r="A11902" i="2"/>
  <c r="B11902" i="2"/>
  <c r="E11902" i="2"/>
  <c r="A11903" i="2"/>
  <c r="B11903" i="2"/>
  <c r="E11903" i="2"/>
  <c r="A11904" i="2"/>
  <c r="B11904" i="2"/>
  <c r="E11904" i="2"/>
  <c r="A11905" i="2"/>
  <c r="B11905" i="2"/>
  <c r="E11905" i="2"/>
  <c r="A11906" i="2"/>
  <c r="B11906" i="2"/>
  <c r="E11906" i="2"/>
  <c r="A11907" i="2"/>
  <c r="B11907" i="2"/>
  <c r="E11907" i="2"/>
  <c r="A11908" i="2"/>
  <c r="B11908" i="2"/>
  <c r="E11908" i="2"/>
  <c r="A11909" i="2"/>
  <c r="B11909" i="2"/>
  <c r="E11909" i="2"/>
  <c r="A11910" i="2"/>
  <c r="B11910" i="2"/>
  <c r="E11910" i="2"/>
  <c r="A11911" i="2"/>
  <c r="B11911" i="2"/>
  <c r="E11911" i="2"/>
  <c r="A11912" i="2"/>
  <c r="B11912" i="2"/>
  <c r="E11912" i="2"/>
  <c r="A11913" i="2"/>
  <c r="B11913" i="2"/>
  <c r="E11913" i="2"/>
  <c r="A11914" i="2"/>
  <c r="B11914" i="2"/>
  <c r="E11914" i="2"/>
  <c r="A11915" i="2"/>
  <c r="B11915" i="2"/>
  <c r="E11915" i="2"/>
  <c r="A11916" i="2"/>
  <c r="B11916" i="2"/>
  <c r="E11916" i="2"/>
  <c r="A11917" i="2"/>
  <c r="B11917" i="2"/>
  <c r="E11917" i="2"/>
  <c r="A11918" i="2"/>
  <c r="B11918" i="2"/>
  <c r="E11918" i="2"/>
  <c r="A11919" i="2"/>
  <c r="B11919" i="2"/>
  <c r="E11919" i="2"/>
  <c r="A11920" i="2"/>
  <c r="B11920" i="2"/>
  <c r="E11920" i="2"/>
  <c r="A11921" i="2"/>
  <c r="B11921" i="2"/>
  <c r="E11921" i="2"/>
  <c r="A11922" i="2"/>
  <c r="B11922" i="2"/>
  <c r="E11922" i="2"/>
  <c r="A11923" i="2"/>
  <c r="B11923" i="2"/>
  <c r="E11923" i="2"/>
  <c r="A11924" i="2"/>
  <c r="B11924" i="2"/>
  <c r="E11924" i="2"/>
  <c r="A11925" i="2"/>
  <c r="B11925" i="2"/>
  <c r="E11925" i="2"/>
  <c r="A11926" i="2"/>
  <c r="B11926" i="2"/>
  <c r="E11926" i="2"/>
  <c r="A11927" i="2"/>
  <c r="B11927" i="2"/>
  <c r="E11927" i="2"/>
  <c r="A11928" i="2"/>
  <c r="B11928" i="2"/>
  <c r="E11928" i="2"/>
  <c r="A11929" i="2"/>
  <c r="B11929" i="2"/>
  <c r="E11929" i="2"/>
  <c r="A11930" i="2"/>
  <c r="B11930" i="2"/>
  <c r="E11930" i="2"/>
  <c r="A11931" i="2"/>
  <c r="B11931" i="2"/>
  <c r="E11931" i="2"/>
  <c r="A11932" i="2"/>
  <c r="B11932" i="2"/>
  <c r="E11932" i="2"/>
  <c r="A11933" i="2"/>
  <c r="B11933" i="2"/>
  <c r="E11933" i="2"/>
  <c r="A11934" i="2"/>
  <c r="B11934" i="2"/>
  <c r="E11934" i="2"/>
  <c r="A11935" i="2"/>
  <c r="B11935" i="2"/>
  <c r="E11935" i="2"/>
  <c r="A11936" i="2"/>
  <c r="B11936" i="2"/>
  <c r="E11936" i="2"/>
  <c r="A11937" i="2"/>
  <c r="B11937" i="2"/>
  <c r="E11937" i="2"/>
  <c r="A11938" i="2"/>
  <c r="B11938" i="2"/>
  <c r="E11938" i="2"/>
  <c r="A11939" i="2"/>
  <c r="B11939" i="2"/>
  <c r="E11939" i="2"/>
  <c r="A11940" i="2"/>
  <c r="B11940" i="2"/>
  <c r="E11940" i="2"/>
  <c r="A11941" i="2"/>
  <c r="B11941" i="2"/>
  <c r="E11941" i="2"/>
  <c r="A11942" i="2"/>
  <c r="B11942" i="2"/>
  <c r="E11942" i="2"/>
  <c r="A11943" i="2"/>
  <c r="B11943" i="2"/>
  <c r="E11943" i="2"/>
  <c r="A11944" i="2"/>
  <c r="B11944" i="2"/>
  <c r="E11944" i="2"/>
  <c r="A11945" i="2"/>
  <c r="B11945" i="2"/>
  <c r="E11945" i="2"/>
  <c r="A11946" i="2"/>
  <c r="B11946" i="2"/>
  <c r="E11946" i="2"/>
  <c r="A11947" i="2"/>
  <c r="B11947" i="2"/>
  <c r="E11947" i="2"/>
  <c r="A11948" i="2"/>
  <c r="B11948" i="2"/>
  <c r="E11948" i="2"/>
  <c r="A11949" i="2"/>
  <c r="B11949" i="2"/>
  <c r="E11949" i="2"/>
  <c r="A11950" i="2"/>
  <c r="B11950" i="2"/>
  <c r="E11950" i="2"/>
  <c r="A11951" i="2"/>
  <c r="B11951" i="2"/>
  <c r="E11951" i="2"/>
  <c r="A11952" i="2"/>
  <c r="B11952" i="2"/>
  <c r="E11952" i="2"/>
  <c r="A11953" i="2"/>
  <c r="B11953" i="2"/>
  <c r="E11953" i="2"/>
  <c r="A11954" i="2"/>
  <c r="B11954" i="2"/>
  <c r="E11954" i="2"/>
  <c r="A11955" i="2"/>
  <c r="B11955" i="2"/>
  <c r="E11955" i="2"/>
  <c r="A11956" i="2"/>
  <c r="B11956" i="2"/>
  <c r="E11956" i="2"/>
  <c r="A11957" i="2"/>
  <c r="B11957" i="2"/>
  <c r="E11957" i="2"/>
  <c r="A11958" i="2"/>
  <c r="B11958" i="2"/>
  <c r="E11958" i="2"/>
  <c r="A11959" i="2"/>
  <c r="B11959" i="2"/>
  <c r="E11959" i="2"/>
  <c r="A11960" i="2"/>
  <c r="B11960" i="2"/>
  <c r="E11960" i="2"/>
  <c r="A11961" i="2"/>
  <c r="B11961" i="2"/>
  <c r="E11961" i="2"/>
  <c r="A11962" i="2"/>
  <c r="B11962" i="2"/>
  <c r="E11962" i="2"/>
  <c r="A11963" i="2"/>
  <c r="B11963" i="2"/>
  <c r="E11963" i="2"/>
  <c r="A11964" i="2"/>
  <c r="B11964" i="2"/>
  <c r="E11964" i="2"/>
  <c r="A11965" i="2"/>
  <c r="B11965" i="2"/>
  <c r="E11965" i="2"/>
  <c r="A11966" i="2"/>
  <c r="B11966" i="2"/>
  <c r="E11966" i="2"/>
  <c r="A11967" i="2"/>
  <c r="B11967" i="2"/>
  <c r="E11967" i="2"/>
  <c r="A11968" i="2"/>
  <c r="B11968" i="2"/>
  <c r="E11968" i="2"/>
  <c r="A11969" i="2"/>
  <c r="B11969" i="2"/>
  <c r="E11969" i="2"/>
  <c r="A11970" i="2"/>
  <c r="B11970" i="2"/>
  <c r="E11970" i="2"/>
  <c r="A11971" i="2"/>
  <c r="B11971" i="2"/>
  <c r="E11971" i="2"/>
  <c r="A11972" i="2"/>
  <c r="B11972" i="2"/>
  <c r="E11972" i="2"/>
  <c r="A11973" i="2"/>
  <c r="B11973" i="2"/>
  <c r="E11973" i="2"/>
  <c r="A11974" i="2"/>
  <c r="B11974" i="2"/>
  <c r="E11974" i="2"/>
  <c r="A11975" i="2"/>
  <c r="B11975" i="2"/>
  <c r="E11975" i="2"/>
  <c r="A11976" i="2"/>
  <c r="B11976" i="2"/>
  <c r="E11976" i="2"/>
  <c r="A11977" i="2"/>
  <c r="B11977" i="2"/>
  <c r="E11977" i="2"/>
  <c r="A11978" i="2"/>
  <c r="B11978" i="2"/>
  <c r="E11978" i="2"/>
  <c r="A11979" i="2"/>
  <c r="B11979" i="2"/>
  <c r="E11979" i="2"/>
  <c r="A11980" i="2"/>
  <c r="B11980" i="2"/>
  <c r="E11980" i="2"/>
  <c r="A11981" i="2"/>
  <c r="B11981" i="2"/>
  <c r="E11981" i="2"/>
  <c r="A11982" i="2"/>
  <c r="B11982" i="2"/>
  <c r="E11982" i="2"/>
  <c r="A11983" i="2"/>
  <c r="B11983" i="2"/>
  <c r="E11983" i="2"/>
  <c r="A11984" i="2"/>
  <c r="B11984" i="2"/>
  <c r="E11984" i="2"/>
  <c r="A11985" i="2"/>
  <c r="B11985" i="2"/>
  <c r="E11985" i="2"/>
  <c r="A11986" i="2"/>
  <c r="B11986" i="2"/>
  <c r="E11986" i="2"/>
  <c r="A11987" i="2"/>
  <c r="B11987" i="2"/>
  <c r="E11987" i="2"/>
  <c r="A11988" i="2"/>
  <c r="B11988" i="2"/>
  <c r="E11988" i="2"/>
  <c r="A11989" i="2"/>
  <c r="B11989" i="2"/>
  <c r="E11989" i="2"/>
  <c r="A11990" i="2"/>
  <c r="B11990" i="2"/>
  <c r="E11990" i="2"/>
  <c r="A11991" i="2"/>
  <c r="B11991" i="2"/>
  <c r="E11991" i="2"/>
  <c r="A11992" i="2"/>
  <c r="B11992" i="2"/>
  <c r="E11992" i="2"/>
  <c r="A11993" i="2"/>
  <c r="B11993" i="2"/>
  <c r="E11993" i="2"/>
  <c r="A11994" i="2"/>
  <c r="B11994" i="2"/>
  <c r="E11994" i="2"/>
  <c r="A11995" i="2"/>
  <c r="B11995" i="2"/>
  <c r="E11995" i="2"/>
  <c r="A11996" i="2"/>
  <c r="B11996" i="2"/>
  <c r="E11996" i="2"/>
  <c r="A11997" i="2"/>
  <c r="B11997" i="2"/>
  <c r="E11997" i="2"/>
  <c r="A11998" i="2"/>
  <c r="B11998" i="2"/>
  <c r="E11998" i="2"/>
  <c r="A11999" i="2"/>
  <c r="B11999" i="2"/>
  <c r="E11999" i="2"/>
  <c r="A12000" i="2"/>
  <c r="B12000" i="2"/>
  <c r="E12000" i="2"/>
  <c r="A12001" i="2"/>
  <c r="B12001" i="2"/>
  <c r="E12001" i="2"/>
  <c r="A12002" i="2"/>
  <c r="B12002" i="2"/>
  <c r="E12002" i="2"/>
  <c r="A12003" i="2"/>
  <c r="B12003" i="2"/>
  <c r="E12003" i="2"/>
  <c r="A12004" i="2"/>
  <c r="B12004" i="2"/>
  <c r="E12004" i="2"/>
  <c r="A12005" i="2"/>
  <c r="B12005" i="2"/>
  <c r="E12005" i="2"/>
  <c r="A12006" i="2"/>
  <c r="B12006" i="2"/>
  <c r="E12006" i="2"/>
  <c r="A12007" i="2"/>
  <c r="B12007" i="2"/>
  <c r="E12007" i="2"/>
  <c r="A12008" i="2"/>
  <c r="B12008" i="2"/>
  <c r="E12008" i="2"/>
  <c r="A12009" i="2"/>
  <c r="B12009" i="2"/>
  <c r="E12009" i="2"/>
  <c r="A12010" i="2"/>
  <c r="B12010" i="2"/>
  <c r="E12010" i="2"/>
  <c r="A12011" i="2"/>
  <c r="B12011" i="2"/>
  <c r="E12011" i="2"/>
  <c r="A12012" i="2"/>
  <c r="B12012" i="2"/>
  <c r="E12012" i="2"/>
  <c r="A12013" i="2"/>
  <c r="B12013" i="2"/>
  <c r="E12013" i="2"/>
  <c r="A12014" i="2"/>
  <c r="B12014" i="2"/>
  <c r="E12014" i="2"/>
  <c r="A12015" i="2"/>
  <c r="B12015" i="2"/>
  <c r="E12015" i="2"/>
  <c r="A12016" i="2"/>
  <c r="B12016" i="2"/>
  <c r="E12016" i="2"/>
  <c r="A12017" i="2"/>
  <c r="B12017" i="2"/>
  <c r="E12017" i="2"/>
  <c r="A12018" i="2"/>
  <c r="B12018" i="2"/>
  <c r="E12018" i="2"/>
  <c r="A12019" i="2"/>
  <c r="B12019" i="2"/>
  <c r="E12019" i="2"/>
  <c r="A12020" i="2"/>
  <c r="B12020" i="2"/>
  <c r="E12020" i="2"/>
  <c r="A12021" i="2"/>
  <c r="B12021" i="2"/>
  <c r="E12021" i="2"/>
  <c r="A12022" i="2"/>
  <c r="B12022" i="2"/>
  <c r="E12022" i="2"/>
  <c r="A12023" i="2"/>
  <c r="B12023" i="2"/>
  <c r="E12023" i="2"/>
  <c r="A12024" i="2"/>
  <c r="B12024" i="2"/>
  <c r="E12024" i="2"/>
  <c r="A12025" i="2"/>
  <c r="B12025" i="2"/>
  <c r="E12025" i="2"/>
  <c r="A12026" i="2"/>
  <c r="B12026" i="2"/>
  <c r="E12026" i="2"/>
  <c r="A12027" i="2"/>
  <c r="B12027" i="2"/>
  <c r="E12027" i="2"/>
  <c r="A12028" i="2"/>
  <c r="B12028" i="2"/>
  <c r="E12028" i="2"/>
  <c r="A12029" i="2"/>
  <c r="B12029" i="2"/>
  <c r="E12029" i="2"/>
  <c r="A12030" i="2"/>
  <c r="B12030" i="2"/>
  <c r="E12030" i="2"/>
  <c r="A12031" i="2"/>
  <c r="B12031" i="2"/>
  <c r="E12031" i="2"/>
  <c r="A12032" i="2"/>
  <c r="B12032" i="2"/>
  <c r="E12032" i="2"/>
  <c r="A12033" i="2"/>
  <c r="B12033" i="2"/>
  <c r="E12033" i="2"/>
  <c r="A12034" i="2"/>
  <c r="B12034" i="2"/>
  <c r="E12034" i="2"/>
  <c r="A12035" i="2"/>
  <c r="B12035" i="2"/>
  <c r="E12035" i="2"/>
  <c r="A12036" i="2"/>
  <c r="B12036" i="2"/>
  <c r="E12036" i="2"/>
  <c r="A12037" i="2"/>
  <c r="B12037" i="2"/>
  <c r="E12037" i="2"/>
  <c r="A12038" i="2"/>
  <c r="B12038" i="2"/>
  <c r="E12038" i="2"/>
  <c r="A12039" i="2"/>
  <c r="B12039" i="2"/>
  <c r="E12039" i="2"/>
  <c r="A12040" i="2"/>
  <c r="B12040" i="2"/>
  <c r="E12040" i="2"/>
  <c r="A12041" i="2"/>
  <c r="B12041" i="2"/>
  <c r="E12041" i="2"/>
  <c r="A12042" i="2"/>
  <c r="B12042" i="2"/>
  <c r="E12042" i="2"/>
  <c r="A12043" i="2"/>
  <c r="B12043" i="2"/>
  <c r="E12043" i="2"/>
  <c r="A12044" i="2"/>
  <c r="B12044" i="2"/>
  <c r="E12044" i="2"/>
  <c r="A12045" i="2"/>
  <c r="B12045" i="2"/>
  <c r="E12045" i="2"/>
  <c r="A12046" i="2"/>
  <c r="B12046" i="2"/>
  <c r="E12046" i="2"/>
  <c r="A12047" i="2"/>
  <c r="B12047" i="2"/>
  <c r="E12047" i="2"/>
  <c r="A12048" i="2"/>
  <c r="B12048" i="2"/>
  <c r="E12048" i="2"/>
  <c r="A12049" i="2"/>
  <c r="B12049" i="2"/>
  <c r="E12049" i="2"/>
  <c r="A12050" i="2"/>
  <c r="B12050" i="2"/>
  <c r="E12050" i="2"/>
  <c r="A12051" i="2"/>
  <c r="B12051" i="2"/>
  <c r="E12051" i="2"/>
  <c r="A12052" i="2"/>
  <c r="B12052" i="2"/>
  <c r="E12052" i="2"/>
  <c r="A12053" i="2"/>
  <c r="B12053" i="2"/>
  <c r="E12053" i="2"/>
  <c r="A12054" i="2"/>
  <c r="B12054" i="2"/>
  <c r="E12054" i="2"/>
  <c r="A12055" i="2"/>
  <c r="B12055" i="2"/>
  <c r="E12055" i="2"/>
  <c r="A12056" i="2"/>
  <c r="B12056" i="2"/>
  <c r="E12056" i="2"/>
  <c r="A12057" i="2"/>
  <c r="B12057" i="2"/>
  <c r="E12057" i="2"/>
  <c r="A12058" i="2"/>
  <c r="B12058" i="2"/>
  <c r="E12058" i="2"/>
  <c r="A12059" i="2"/>
  <c r="B12059" i="2"/>
  <c r="E12059" i="2"/>
  <c r="A12060" i="2"/>
  <c r="B12060" i="2"/>
  <c r="E12060" i="2"/>
  <c r="A12061" i="2"/>
  <c r="B12061" i="2"/>
  <c r="E12061" i="2"/>
  <c r="A12062" i="2"/>
  <c r="B12062" i="2"/>
  <c r="E12062" i="2"/>
  <c r="A12063" i="2"/>
  <c r="B12063" i="2"/>
  <c r="E12063" i="2"/>
  <c r="A12064" i="2"/>
  <c r="B12064" i="2"/>
  <c r="E12064" i="2"/>
  <c r="A12065" i="2"/>
  <c r="B12065" i="2"/>
  <c r="E12065" i="2"/>
  <c r="A12066" i="2"/>
  <c r="B12066" i="2"/>
  <c r="E12066" i="2"/>
  <c r="A12067" i="2"/>
  <c r="B12067" i="2"/>
  <c r="E12067" i="2"/>
  <c r="A12068" i="2"/>
  <c r="B12068" i="2"/>
  <c r="E12068" i="2"/>
  <c r="A12069" i="2"/>
  <c r="B12069" i="2"/>
  <c r="E12069" i="2"/>
  <c r="A12070" i="2"/>
  <c r="B12070" i="2"/>
  <c r="E12070" i="2"/>
  <c r="A12071" i="2"/>
  <c r="B12071" i="2"/>
  <c r="E12071" i="2"/>
  <c r="A12072" i="2"/>
  <c r="B12072" i="2"/>
  <c r="E12072" i="2"/>
  <c r="A12073" i="2"/>
  <c r="B12073" i="2"/>
  <c r="E12073" i="2"/>
  <c r="A12074" i="2"/>
  <c r="B12074" i="2"/>
  <c r="E12074" i="2"/>
  <c r="A12075" i="2"/>
  <c r="B12075" i="2"/>
  <c r="E12075" i="2"/>
  <c r="A12076" i="2"/>
  <c r="B12076" i="2"/>
  <c r="E12076" i="2"/>
  <c r="A12077" i="2"/>
  <c r="B12077" i="2"/>
  <c r="E12077" i="2"/>
  <c r="A12078" i="2"/>
  <c r="B12078" i="2"/>
  <c r="E12078" i="2"/>
  <c r="A12079" i="2"/>
  <c r="B12079" i="2"/>
  <c r="E12079" i="2"/>
  <c r="A12080" i="2"/>
  <c r="B12080" i="2"/>
  <c r="E12080" i="2"/>
  <c r="A12081" i="2"/>
  <c r="B12081" i="2"/>
  <c r="E12081" i="2"/>
  <c r="A12082" i="2"/>
  <c r="B12082" i="2"/>
  <c r="E12082" i="2"/>
  <c r="A12083" i="2"/>
  <c r="B12083" i="2"/>
  <c r="E12083" i="2"/>
  <c r="A12084" i="2"/>
  <c r="B12084" i="2"/>
  <c r="E12084" i="2"/>
  <c r="A12085" i="2"/>
  <c r="B12085" i="2"/>
  <c r="E12085" i="2"/>
  <c r="A12086" i="2"/>
  <c r="B12086" i="2"/>
  <c r="E12086" i="2"/>
  <c r="A12087" i="2"/>
  <c r="B12087" i="2"/>
  <c r="E12087" i="2"/>
  <c r="A12088" i="2"/>
  <c r="B12088" i="2"/>
  <c r="E12088" i="2"/>
  <c r="A12089" i="2"/>
  <c r="B12089" i="2"/>
  <c r="E12089" i="2"/>
  <c r="A12090" i="2"/>
  <c r="B12090" i="2"/>
  <c r="E12090" i="2"/>
  <c r="A12091" i="2"/>
  <c r="B12091" i="2"/>
  <c r="E12091" i="2"/>
  <c r="A12092" i="2"/>
  <c r="B12092" i="2"/>
  <c r="E12092" i="2"/>
  <c r="A12093" i="2"/>
  <c r="B12093" i="2"/>
  <c r="E12093" i="2"/>
  <c r="A12094" i="2"/>
  <c r="B12094" i="2"/>
  <c r="E12094" i="2"/>
  <c r="A12095" i="2"/>
  <c r="B12095" i="2"/>
  <c r="E12095" i="2"/>
  <c r="A12096" i="2"/>
  <c r="B12096" i="2"/>
  <c r="E12096" i="2"/>
  <c r="A12097" i="2"/>
  <c r="B12097" i="2"/>
  <c r="E12097" i="2"/>
  <c r="A12098" i="2"/>
  <c r="B12098" i="2"/>
  <c r="E12098" i="2"/>
  <c r="A12099" i="2"/>
  <c r="B12099" i="2"/>
  <c r="E12099" i="2"/>
  <c r="A12100" i="2"/>
  <c r="B12100" i="2"/>
  <c r="E12100" i="2"/>
  <c r="A12101" i="2"/>
  <c r="B12101" i="2"/>
  <c r="E12101" i="2"/>
  <c r="A12102" i="2"/>
  <c r="B12102" i="2"/>
  <c r="E12102" i="2"/>
  <c r="A12103" i="2"/>
  <c r="B12103" i="2"/>
  <c r="E12103" i="2"/>
  <c r="A12104" i="2"/>
  <c r="B12104" i="2"/>
  <c r="E12104" i="2"/>
  <c r="A12105" i="2"/>
  <c r="B12105" i="2"/>
  <c r="E12105" i="2"/>
  <c r="A12106" i="2"/>
  <c r="B12106" i="2"/>
  <c r="E12106" i="2"/>
  <c r="A12107" i="2"/>
  <c r="B12107" i="2"/>
  <c r="E12107" i="2"/>
  <c r="A12108" i="2"/>
  <c r="B12108" i="2"/>
  <c r="E12108" i="2"/>
  <c r="A12109" i="2"/>
  <c r="B12109" i="2"/>
  <c r="E12109" i="2"/>
  <c r="A12110" i="2"/>
  <c r="B12110" i="2"/>
  <c r="E12110" i="2"/>
  <c r="A12111" i="2"/>
  <c r="B12111" i="2"/>
  <c r="E12111" i="2"/>
  <c r="A12112" i="2"/>
  <c r="B12112" i="2"/>
  <c r="E12112" i="2"/>
  <c r="A12113" i="2"/>
  <c r="B12113" i="2"/>
  <c r="E12113" i="2"/>
  <c r="A12114" i="2"/>
  <c r="B12114" i="2"/>
  <c r="E12114" i="2"/>
  <c r="A12115" i="2"/>
  <c r="B12115" i="2"/>
  <c r="E12115" i="2"/>
  <c r="A12116" i="2"/>
  <c r="B12116" i="2"/>
  <c r="E12116" i="2"/>
  <c r="A12117" i="2"/>
  <c r="B12117" i="2"/>
  <c r="E12117" i="2"/>
  <c r="A12118" i="2"/>
  <c r="B12118" i="2"/>
  <c r="E12118" i="2"/>
  <c r="A12119" i="2"/>
  <c r="B12119" i="2"/>
  <c r="E12119" i="2"/>
  <c r="A12120" i="2"/>
  <c r="B12120" i="2"/>
  <c r="E12120" i="2"/>
  <c r="A12121" i="2"/>
  <c r="B12121" i="2"/>
  <c r="E12121" i="2"/>
  <c r="A12122" i="2"/>
  <c r="B12122" i="2"/>
  <c r="E12122" i="2"/>
  <c r="A12123" i="2"/>
  <c r="B12123" i="2"/>
  <c r="E12123" i="2"/>
  <c r="A12124" i="2"/>
  <c r="B12124" i="2"/>
  <c r="E12124" i="2"/>
  <c r="A12125" i="2"/>
  <c r="B12125" i="2"/>
  <c r="E12125" i="2"/>
  <c r="A12126" i="2"/>
  <c r="B12126" i="2"/>
  <c r="E12126" i="2"/>
  <c r="A12127" i="2"/>
  <c r="B12127" i="2"/>
  <c r="E12127" i="2"/>
  <c r="A12128" i="2"/>
  <c r="B12128" i="2"/>
  <c r="E12128" i="2"/>
  <c r="A12129" i="2"/>
  <c r="B12129" i="2"/>
  <c r="E12129" i="2"/>
  <c r="A12130" i="2"/>
  <c r="B12130" i="2"/>
  <c r="E12130" i="2"/>
  <c r="A12131" i="2"/>
  <c r="B12131" i="2"/>
  <c r="E12131" i="2"/>
  <c r="A12132" i="2"/>
  <c r="B12132" i="2"/>
  <c r="E12132" i="2"/>
  <c r="A12133" i="2"/>
  <c r="B12133" i="2"/>
  <c r="E12133" i="2"/>
  <c r="A12134" i="2"/>
  <c r="B12134" i="2"/>
  <c r="E12134" i="2"/>
  <c r="A12135" i="2"/>
  <c r="B12135" i="2"/>
  <c r="E12135" i="2"/>
  <c r="A12136" i="2"/>
  <c r="B12136" i="2"/>
  <c r="E12136" i="2"/>
  <c r="A12137" i="2"/>
  <c r="B12137" i="2"/>
  <c r="E12137" i="2"/>
  <c r="A12138" i="2"/>
  <c r="B12138" i="2"/>
  <c r="E12138" i="2"/>
  <c r="A12139" i="2"/>
  <c r="B12139" i="2"/>
  <c r="E12139" i="2"/>
  <c r="A12140" i="2"/>
  <c r="B12140" i="2"/>
  <c r="E12140" i="2"/>
  <c r="A12141" i="2"/>
  <c r="B12141" i="2"/>
  <c r="E12141" i="2"/>
  <c r="A12142" i="2"/>
  <c r="B12142" i="2"/>
  <c r="E12142" i="2"/>
  <c r="A12143" i="2"/>
  <c r="B12143" i="2"/>
  <c r="E12143" i="2"/>
  <c r="A12144" i="2"/>
  <c r="B12144" i="2"/>
  <c r="E12144" i="2"/>
  <c r="A12145" i="2"/>
  <c r="B12145" i="2"/>
  <c r="E12145" i="2"/>
  <c r="A12146" i="2"/>
  <c r="B12146" i="2"/>
  <c r="E12146" i="2"/>
  <c r="A12147" i="2"/>
  <c r="B12147" i="2"/>
  <c r="E12147" i="2"/>
  <c r="A12148" i="2"/>
  <c r="B12148" i="2"/>
  <c r="E12148" i="2"/>
  <c r="A12149" i="2"/>
  <c r="B12149" i="2"/>
  <c r="E12149" i="2"/>
  <c r="A12150" i="2"/>
  <c r="B12150" i="2"/>
  <c r="E12150" i="2"/>
  <c r="A12151" i="2"/>
  <c r="B12151" i="2"/>
  <c r="E12151" i="2"/>
  <c r="A12152" i="2"/>
  <c r="B12152" i="2"/>
  <c r="E12152" i="2"/>
  <c r="A12153" i="2"/>
  <c r="B12153" i="2"/>
  <c r="E12153" i="2"/>
  <c r="A12154" i="2"/>
  <c r="B12154" i="2"/>
  <c r="E12154" i="2"/>
  <c r="A12155" i="2"/>
  <c r="B12155" i="2"/>
  <c r="E12155" i="2"/>
  <c r="A12156" i="2"/>
  <c r="B12156" i="2"/>
  <c r="E12156" i="2"/>
  <c r="A12157" i="2"/>
  <c r="B12157" i="2"/>
  <c r="E12157" i="2"/>
  <c r="A12158" i="2"/>
  <c r="B12158" i="2"/>
  <c r="E12158" i="2"/>
  <c r="A12159" i="2"/>
  <c r="B12159" i="2"/>
  <c r="E12159" i="2"/>
  <c r="A12160" i="2"/>
  <c r="B12160" i="2"/>
  <c r="E12160" i="2"/>
  <c r="A12161" i="2"/>
  <c r="B12161" i="2"/>
  <c r="E12161" i="2"/>
  <c r="A12162" i="2"/>
  <c r="B12162" i="2"/>
  <c r="E12162" i="2"/>
  <c r="A12163" i="2"/>
  <c r="B12163" i="2"/>
  <c r="E12163" i="2"/>
  <c r="A12164" i="2"/>
  <c r="B12164" i="2"/>
  <c r="E12164" i="2"/>
  <c r="A12165" i="2"/>
  <c r="B12165" i="2"/>
  <c r="E12165" i="2"/>
  <c r="A12166" i="2"/>
  <c r="B12166" i="2"/>
  <c r="E12166" i="2"/>
  <c r="A12167" i="2"/>
  <c r="B12167" i="2"/>
  <c r="E12167" i="2"/>
  <c r="A12168" i="2"/>
  <c r="B12168" i="2"/>
  <c r="E12168" i="2"/>
  <c r="A12169" i="2"/>
  <c r="B12169" i="2"/>
  <c r="E12169" i="2"/>
  <c r="A12170" i="2"/>
  <c r="B12170" i="2"/>
  <c r="E12170" i="2"/>
  <c r="A12171" i="2"/>
  <c r="B12171" i="2"/>
  <c r="E12171" i="2"/>
  <c r="A12172" i="2"/>
  <c r="B12172" i="2"/>
  <c r="E12172" i="2"/>
  <c r="A12173" i="2"/>
  <c r="B12173" i="2"/>
  <c r="E12173" i="2"/>
  <c r="A12174" i="2"/>
  <c r="B12174" i="2"/>
  <c r="E12174" i="2"/>
  <c r="A12175" i="2"/>
  <c r="B12175" i="2"/>
  <c r="E12175" i="2"/>
  <c r="A12176" i="2"/>
  <c r="B12176" i="2"/>
  <c r="E12176" i="2"/>
  <c r="A12177" i="2"/>
  <c r="B12177" i="2"/>
  <c r="E12177" i="2"/>
  <c r="A12178" i="2"/>
  <c r="B12178" i="2"/>
  <c r="E12178" i="2"/>
  <c r="A12179" i="2"/>
  <c r="B12179" i="2"/>
  <c r="E12179" i="2"/>
  <c r="A12180" i="2"/>
  <c r="B12180" i="2"/>
  <c r="E12180" i="2"/>
  <c r="A12181" i="2"/>
  <c r="B12181" i="2"/>
  <c r="E12181" i="2"/>
  <c r="A12182" i="2"/>
  <c r="B12182" i="2"/>
  <c r="E12182" i="2"/>
  <c r="A12183" i="2"/>
  <c r="B12183" i="2"/>
  <c r="E12183" i="2"/>
  <c r="A12184" i="2"/>
  <c r="B12184" i="2"/>
  <c r="E12184" i="2"/>
  <c r="A12185" i="2"/>
  <c r="B12185" i="2"/>
  <c r="E12185" i="2"/>
  <c r="A12186" i="2"/>
  <c r="B12186" i="2"/>
  <c r="E12186" i="2"/>
  <c r="A12187" i="2"/>
  <c r="B12187" i="2"/>
  <c r="E12187" i="2"/>
  <c r="A12188" i="2"/>
  <c r="B12188" i="2"/>
  <c r="E12188" i="2"/>
  <c r="A12189" i="2"/>
  <c r="B12189" i="2"/>
  <c r="E12189" i="2"/>
  <c r="A12190" i="2"/>
  <c r="B12190" i="2"/>
  <c r="E12190" i="2"/>
  <c r="A12191" i="2"/>
  <c r="B12191" i="2"/>
  <c r="E12191" i="2"/>
  <c r="A12192" i="2"/>
  <c r="B12192" i="2"/>
  <c r="E12192" i="2"/>
  <c r="A12193" i="2"/>
  <c r="B12193" i="2"/>
  <c r="E12193" i="2"/>
  <c r="A12194" i="2"/>
  <c r="B12194" i="2"/>
  <c r="E12194" i="2"/>
  <c r="A12195" i="2"/>
  <c r="B12195" i="2"/>
  <c r="E12195" i="2"/>
  <c r="A12196" i="2"/>
  <c r="B12196" i="2"/>
  <c r="E12196" i="2"/>
  <c r="A12197" i="2"/>
  <c r="B12197" i="2"/>
  <c r="E12197" i="2"/>
  <c r="A12198" i="2"/>
  <c r="B12198" i="2"/>
  <c r="E12198" i="2"/>
  <c r="A12199" i="2"/>
  <c r="B12199" i="2"/>
  <c r="E12199" i="2"/>
  <c r="A12200" i="2"/>
  <c r="B12200" i="2"/>
  <c r="E12200" i="2"/>
  <c r="A12201" i="2"/>
  <c r="B12201" i="2"/>
  <c r="E12201" i="2"/>
  <c r="A12202" i="2"/>
  <c r="B12202" i="2"/>
  <c r="E12202" i="2"/>
  <c r="A12203" i="2"/>
  <c r="B12203" i="2"/>
  <c r="E12203" i="2"/>
  <c r="A12204" i="2"/>
  <c r="B12204" i="2"/>
  <c r="E12204" i="2"/>
  <c r="A12205" i="2"/>
  <c r="B12205" i="2"/>
  <c r="E12205" i="2"/>
  <c r="A12206" i="2"/>
  <c r="B12206" i="2"/>
  <c r="E12206" i="2"/>
  <c r="A12207" i="2"/>
  <c r="B12207" i="2"/>
  <c r="E12207" i="2"/>
  <c r="A12208" i="2"/>
  <c r="B12208" i="2"/>
  <c r="E12208" i="2"/>
  <c r="A12209" i="2"/>
  <c r="B12209" i="2"/>
  <c r="E12209" i="2"/>
  <c r="A12210" i="2"/>
  <c r="B12210" i="2"/>
  <c r="E12210" i="2"/>
  <c r="A12211" i="2"/>
  <c r="B12211" i="2"/>
  <c r="E12211" i="2"/>
  <c r="A12212" i="2"/>
  <c r="B12212" i="2"/>
  <c r="E12212" i="2"/>
  <c r="A12213" i="2"/>
  <c r="B12213" i="2"/>
  <c r="E12213" i="2"/>
  <c r="A12214" i="2"/>
  <c r="B12214" i="2"/>
  <c r="E12214" i="2"/>
  <c r="A12215" i="2"/>
  <c r="B12215" i="2"/>
  <c r="E12215" i="2"/>
  <c r="A12216" i="2"/>
  <c r="B12216" i="2"/>
  <c r="E12216" i="2"/>
  <c r="A12217" i="2"/>
  <c r="B12217" i="2"/>
  <c r="E12217" i="2"/>
  <c r="A12218" i="2"/>
  <c r="B12218" i="2"/>
  <c r="E12218" i="2"/>
  <c r="A12219" i="2"/>
  <c r="B12219" i="2"/>
  <c r="E12219" i="2"/>
  <c r="A12220" i="2"/>
  <c r="B12220" i="2"/>
  <c r="E12220" i="2"/>
  <c r="A12221" i="2"/>
  <c r="B12221" i="2"/>
  <c r="E12221" i="2"/>
  <c r="A12222" i="2"/>
  <c r="B12222" i="2"/>
  <c r="E12222" i="2"/>
  <c r="A12223" i="2"/>
  <c r="B12223" i="2"/>
  <c r="E12223" i="2"/>
  <c r="A12224" i="2"/>
  <c r="B12224" i="2"/>
  <c r="E12224" i="2"/>
  <c r="A12225" i="2"/>
  <c r="B12225" i="2"/>
  <c r="E12225" i="2"/>
  <c r="A12226" i="2"/>
  <c r="B12226" i="2"/>
  <c r="E12226" i="2"/>
  <c r="A12227" i="2"/>
  <c r="B12227" i="2"/>
  <c r="E12227" i="2"/>
  <c r="A12228" i="2"/>
  <c r="B12228" i="2"/>
  <c r="E12228" i="2"/>
  <c r="A12229" i="2"/>
  <c r="B12229" i="2"/>
  <c r="E12229" i="2"/>
  <c r="A12230" i="2"/>
  <c r="B12230" i="2"/>
  <c r="E12230" i="2"/>
  <c r="A12231" i="2"/>
  <c r="B12231" i="2"/>
  <c r="E12231" i="2"/>
  <c r="A12232" i="2"/>
  <c r="B12232" i="2"/>
  <c r="E12232" i="2"/>
  <c r="A12233" i="2"/>
  <c r="B12233" i="2"/>
  <c r="E12233" i="2"/>
  <c r="A12234" i="2"/>
  <c r="B12234" i="2"/>
  <c r="E12234" i="2"/>
  <c r="A12235" i="2"/>
  <c r="B12235" i="2"/>
  <c r="E12235" i="2"/>
  <c r="A12236" i="2"/>
  <c r="B12236" i="2"/>
  <c r="E12236" i="2"/>
  <c r="A12237" i="2"/>
  <c r="B12237" i="2"/>
  <c r="E12237" i="2"/>
  <c r="A12238" i="2"/>
  <c r="B12238" i="2"/>
  <c r="E12238" i="2"/>
  <c r="A12239" i="2"/>
  <c r="B12239" i="2"/>
  <c r="E12239" i="2"/>
  <c r="A12240" i="2"/>
  <c r="B12240" i="2"/>
  <c r="E12240" i="2"/>
  <c r="A12241" i="2"/>
  <c r="B12241" i="2"/>
  <c r="E12241" i="2"/>
  <c r="A12242" i="2"/>
  <c r="B12242" i="2"/>
  <c r="E12242" i="2"/>
  <c r="A12243" i="2"/>
  <c r="B12243" i="2"/>
  <c r="E12243" i="2"/>
  <c r="A12244" i="2"/>
  <c r="B12244" i="2"/>
  <c r="E12244" i="2"/>
  <c r="A12245" i="2"/>
  <c r="B12245" i="2"/>
  <c r="E12245" i="2"/>
  <c r="A12246" i="2"/>
  <c r="B12246" i="2"/>
  <c r="E12246" i="2"/>
  <c r="A12247" i="2"/>
  <c r="B12247" i="2"/>
  <c r="E12247" i="2"/>
  <c r="A12248" i="2"/>
  <c r="B12248" i="2"/>
  <c r="E12248" i="2"/>
  <c r="A12249" i="2"/>
  <c r="B12249" i="2"/>
  <c r="E12249" i="2"/>
  <c r="A12250" i="2"/>
  <c r="B12250" i="2"/>
  <c r="E12250" i="2"/>
  <c r="A12251" i="2"/>
  <c r="B12251" i="2"/>
  <c r="E12251" i="2"/>
  <c r="A12252" i="2"/>
  <c r="B12252" i="2"/>
  <c r="E12252" i="2"/>
  <c r="A12253" i="2"/>
  <c r="B12253" i="2"/>
  <c r="E12253" i="2"/>
  <c r="A12254" i="2"/>
  <c r="B12254" i="2"/>
  <c r="E12254" i="2"/>
  <c r="A12255" i="2"/>
  <c r="B12255" i="2"/>
  <c r="E12255" i="2"/>
  <c r="A12256" i="2"/>
  <c r="B12256" i="2"/>
  <c r="E12256" i="2"/>
  <c r="A12257" i="2"/>
  <c r="B12257" i="2"/>
  <c r="E12257" i="2"/>
  <c r="A12258" i="2"/>
  <c r="B12258" i="2"/>
  <c r="E12258" i="2"/>
  <c r="A12259" i="2"/>
  <c r="B12259" i="2"/>
  <c r="E12259" i="2"/>
  <c r="A12260" i="2"/>
  <c r="B12260" i="2"/>
  <c r="E12260" i="2"/>
  <c r="A12261" i="2"/>
  <c r="B12261" i="2"/>
  <c r="E12261" i="2"/>
  <c r="A12262" i="2"/>
  <c r="B12262" i="2"/>
  <c r="E12262" i="2"/>
  <c r="A12263" i="2"/>
  <c r="B12263" i="2"/>
  <c r="E12263" i="2"/>
  <c r="A12264" i="2"/>
  <c r="B12264" i="2"/>
  <c r="E12264" i="2"/>
  <c r="A12265" i="2"/>
  <c r="B12265" i="2"/>
  <c r="E12265" i="2"/>
  <c r="A12266" i="2"/>
  <c r="B12266" i="2"/>
  <c r="E12266" i="2"/>
  <c r="A12267" i="2"/>
  <c r="B12267" i="2"/>
  <c r="E12267" i="2"/>
  <c r="A12268" i="2"/>
  <c r="B12268" i="2"/>
  <c r="E12268" i="2"/>
  <c r="A12269" i="2"/>
  <c r="B12269" i="2"/>
  <c r="E12269" i="2"/>
  <c r="A12270" i="2"/>
  <c r="B12270" i="2"/>
  <c r="E12270" i="2"/>
  <c r="A12271" i="2"/>
  <c r="B12271" i="2"/>
  <c r="E12271" i="2"/>
  <c r="A12272" i="2"/>
  <c r="B12272" i="2"/>
  <c r="E12272" i="2"/>
  <c r="A12273" i="2"/>
  <c r="B12273" i="2"/>
  <c r="E12273" i="2"/>
  <c r="A12274" i="2"/>
  <c r="B12274" i="2"/>
  <c r="E12274" i="2"/>
  <c r="A12275" i="2"/>
  <c r="B12275" i="2"/>
  <c r="E12275" i="2"/>
  <c r="A12276" i="2"/>
  <c r="B12276" i="2"/>
  <c r="E12276" i="2"/>
  <c r="A12277" i="2"/>
  <c r="B12277" i="2"/>
  <c r="E12277" i="2"/>
  <c r="A12278" i="2"/>
  <c r="B12278" i="2"/>
  <c r="E12278" i="2"/>
  <c r="A12279" i="2"/>
  <c r="B12279" i="2"/>
  <c r="E12279" i="2"/>
  <c r="A12280" i="2"/>
  <c r="B12280" i="2"/>
  <c r="E12280" i="2"/>
  <c r="A12281" i="2"/>
  <c r="B12281" i="2"/>
  <c r="E12281" i="2"/>
  <c r="A12282" i="2"/>
  <c r="B12282" i="2"/>
  <c r="E12282" i="2"/>
  <c r="A12283" i="2"/>
  <c r="B12283" i="2"/>
  <c r="E12283" i="2"/>
  <c r="A12284" i="2"/>
  <c r="B12284" i="2"/>
  <c r="E12284" i="2"/>
  <c r="A12285" i="2"/>
  <c r="B12285" i="2"/>
  <c r="E12285" i="2"/>
  <c r="A12286" i="2"/>
  <c r="B12286" i="2"/>
  <c r="E12286" i="2"/>
  <c r="A12287" i="2"/>
  <c r="B12287" i="2"/>
  <c r="E12287" i="2"/>
  <c r="A12288" i="2"/>
  <c r="B12288" i="2"/>
  <c r="E12288" i="2"/>
  <c r="A12289" i="2"/>
  <c r="B12289" i="2"/>
  <c r="E12289" i="2"/>
  <c r="A12290" i="2"/>
  <c r="B12290" i="2"/>
  <c r="E12290" i="2"/>
  <c r="A12291" i="2"/>
  <c r="B12291" i="2"/>
  <c r="E12291" i="2"/>
  <c r="A12292" i="2"/>
  <c r="B12292" i="2"/>
  <c r="E12292" i="2"/>
  <c r="A12293" i="2"/>
  <c r="B12293" i="2"/>
  <c r="E12293" i="2"/>
  <c r="A12294" i="2"/>
  <c r="B12294" i="2"/>
  <c r="E12294" i="2"/>
  <c r="A12295" i="2"/>
  <c r="B12295" i="2"/>
  <c r="E12295" i="2"/>
  <c r="A12296" i="2"/>
  <c r="B12296" i="2"/>
  <c r="E12296" i="2"/>
  <c r="A12297" i="2"/>
  <c r="B12297" i="2"/>
  <c r="E12297" i="2"/>
  <c r="A12298" i="2"/>
  <c r="B12298" i="2"/>
  <c r="E12298" i="2"/>
  <c r="A12299" i="2"/>
  <c r="B12299" i="2"/>
  <c r="E12299" i="2"/>
  <c r="A12300" i="2"/>
  <c r="B12300" i="2"/>
  <c r="E12300" i="2"/>
  <c r="A12301" i="2"/>
  <c r="B12301" i="2"/>
  <c r="E12301" i="2"/>
  <c r="A12302" i="2"/>
  <c r="B12302" i="2"/>
  <c r="E12302" i="2"/>
  <c r="A12303" i="2"/>
  <c r="B12303" i="2"/>
  <c r="E12303" i="2"/>
  <c r="A12304" i="2"/>
  <c r="B12304" i="2"/>
  <c r="E12304" i="2"/>
  <c r="A12305" i="2"/>
  <c r="B12305" i="2"/>
  <c r="E12305" i="2"/>
  <c r="A12306" i="2"/>
  <c r="B12306" i="2"/>
  <c r="E12306" i="2"/>
  <c r="A12307" i="2"/>
  <c r="B12307" i="2"/>
  <c r="E12307" i="2"/>
  <c r="A12308" i="2"/>
  <c r="B12308" i="2"/>
  <c r="E12308" i="2"/>
  <c r="A12309" i="2"/>
  <c r="B12309" i="2"/>
  <c r="E12309" i="2"/>
  <c r="A12310" i="2"/>
  <c r="B12310" i="2"/>
  <c r="E12310" i="2"/>
  <c r="A12311" i="2"/>
  <c r="B12311" i="2"/>
  <c r="E12311" i="2"/>
  <c r="A12312" i="2"/>
  <c r="B12312" i="2"/>
  <c r="E12312" i="2"/>
  <c r="A12313" i="2"/>
  <c r="B12313" i="2"/>
  <c r="E12313" i="2"/>
  <c r="A12314" i="2"/>
  <c r="B12314" i="2"/>
  <c r="E12314" i="2"/>
  <c r="A12315" i="2"/>
  <c r="B12315" i="2"/>
  <c r="E12315" i="2"/>
  <c r="A12316" i="2"/>
  <c r="B12316" i="2"/>
  <c r="E12316" i="2"/>
  <c r="A12317" i="2"/>
  <c r="B12317" i="2"/>
  <c r="E12317" i="2"/>
  <c r="A12318" i="2"/>
  <c r="B12318" i="2"/>
  <c r="E12318" i="2"/>
  <c r="A12319" i="2"/>
  <c r="B12319" i="2"/>
  <c r="E12319" i="2"/>
  <c r="A12320" i="2"/>
  <c r="B12320" i="2"/>
  <c r="E12320" i="2"/>
  <c r="A12321" i="2"/>
  <c r="B12321" i="2"/>
  <c r="E12321" i="2"/>
  <c r="A12322" i="2"/>
  <c r="B12322" i="2"/>
  <c r="E12322" i="2"/>
  <c r="A12323" i="2"/>
  <c r="B12323" i="2"/>
  <c r="E12323" i="2"/>
  <c r="A12324" i="2"/>
  <c r="B12324" i="2"/>
  <c r="E12324" i="2"/>
  <c r="A12325" i="2"/>
  <c r="B12325" i="2"/>
  <c r="E12325" i="2"/>
  <c r="A12326" i="2"/>
  <c r="B12326" i="2"/>
  <c r="E12326" i="2"/>
  <c r="A12327" i="2"/>
  <c r="B12327" i="2"/>
  <c r="E12327" i="2"/>
  <c r="A12328" i="2"/>
  <c r="B12328" i="2"/>
  <c r="E12328" i="2"/>
  <c r="A12329" i="2"/>
  <c r="B12329" i="2"/>
  <c r="E12329" i="2"/>
  <c r="A12330" i="2"/>
  <c r="B12330" i="2"/>
  <c r="E12330" i="2"/>
  <c r="A12331" i="2"/>
  <c r="B12331" i="2"/>
  <c r="E12331" i="2"/>
  <c r="A12332" i="2"/>
  <c r="B12332" i="2"/>
  <c r="E12332" i="2"/>
  <c r="A12333" i="2"/>
  <c r="B12333" i="2"/>
  <c r="E12333" i="2"/>
  <c r="A12334" i="2"/>
  <c r="B12334" i="2"/>
  <c r="E12334" i="2"/>
  <c r="A12335" i="2"/>
  <c r="B12335" i="2"/>
  <c r="E12335" i="2"/>
  <c r="A12336" i="2"/>
  <c r="B12336" i="2"/>
  <c r="E12336" i="2"/>
  <c r="A12337" i="2"/>
  <c r="B12337" i="2"/>
  <c r="E12337" i="2"/>
  <c r="A12338" i="2"/>
  <c r="B12338" i="2"/>
  <c r="E12338" i="2"/>
  <c r="A12339" i="2"/>
  <c r="B12339" i="2"/>
  <c r="E12339" i="2"/>
  <c r="A12340" i="2"/>
  <c r="B12340" i="2"/>
  <c r="E12340" i="2"/>
  <c r="A12341" i="2"/>
  <c r="B12341" i="2"/>
  <c r="E12341" i="2"/>
  <c r="A12342" i="2"/>
  <c r="B12342" i="2"/>
  <c r="E12342" i="2"/>
  <c r="A12343" i="2"/>
  <c r="B12343" i="2"/>
  <c r="E12343" i="2"/>
  <c r="A12344" i="2"/>
  <c r="B12344" i="2"/>
  <c r="E12344" i="2"/>
  <c r="A12345" i="2"/>
  <c r="B12345" i="2"/>
  <c r="E12345" i="2"/>
  <c r="A12346" i="2"/>
  <c r="B12346" i="2"/>
  <c r="E12346" i="2"/>
  <c r="A12347" i="2"/>
  <c r="B12347" i="2"/>
  <c r="E12347" i="2"/>
  <c r="A12348" i="2"/>
  <c r="B12348" i="2"/>
  <c r="E12348" i="2"/>
  <c r="A12349" i="2"/>
  <c r="B12349" i="2"/>
  <c r="E12349" i="2"/>
  <c r="A12350" i="2"/>
  <c r="B12350" i="2"/>
  <c r="E12350" i="2"/>
  <c r="A12351" i="2"/>
  <c r="B12351" i="2"/>
  <c r="E12351" i="2"/>
  <c r="A12352" i="2"/>
  <c r="B12352" i="2"/>
  <c r="E12352" i="2"/>
  <c r="A12353" i="2"/>
  <c r="B12353" i="2"/>
  <c r="E12353" i="2"/>
  <c r="A12354" i="2"/>
  <c r="B12354" i="2"/>
  <c r="E12354" i="2"/>
  <c r="A12355" i="2"/>
  <c r="B12355" i="2"/>
  <c r="E12355" i="2"/>
  <c r="A12356" i="2"/>
  <c r="B12356" i="2"/>
  <c r="E12356" i="2"/>
  <c r="A12357" i="2"/>
  <c r="B12357" i="2"/>
  <c r="E12357" i="2"/>
  <c r="A12358" i="2"/>
  <c r="B12358" i="2"/>
  <c r="E12358" i="2"/>
  <c r="A12359" i="2"/>
  <c r="B12359" i="2"/>
  <c r="E12359" i="2"/>
  <c r="A12360" i="2"/>
  <c r="B12360" i="2"/>
  <c r="E12360" i="2"/>
  <c r="A12361" i="2"/>
  <c r="B12361" i="2"/>
  <c r="E12361" i="2"/>
  <c r="A12362" i="2"/>
  <c r="B12362" i="2"/>
  <c r="E12362" i="2"/>
  <c r="A12363" i="2"/>
  <c r="B12363" i="2"/>
  <c r="E12363" i="2"/>
  <c r="A12364" i="2"/>
  <c r="B12364" i="2"/>
  <c r="E12364" i="2"/>
  <c r="A12365" i="2"/>
  <c r="B12365" i="2"/>
  <c r="E12365" i="2"/>
  <c r="A12366" i="2"/>
  <c r="B12366" i="2"/>
  <c r="E12366" i="2"/>
  <c r="A12367" i="2"/>
  <c r="B12367" i="2"/>
  <c r="E12367" i="2"/>
  <c r="A12368" i="2"/>
  <c r="B12368" i="2"/>
  <c r="E12368" i="2"/>
  <c r="A12369" i="2"/>
  <c r="B12369" i="2"/>
  <c r="E12369" i="2"/>
  <c r="A12370" i="2"/>
  <c r="B12370" i="2"/>
  <c r="E12370" i="2"/>
  <c r="A12371" i="2"/>
  <c r="B12371" i="2"/>
  <c r="E12371" i="2"/>
  <c r="A12372" i="2"/>
  <c r="B12372" i="2"/>
  <c r="E12372" i="2"/>
  <c r="A12373" i="2"/>
  <c r="B12373" i="2"/>
  <c r="E12373" i="2"/>
  <c r="A12374" i="2"/>
  <c r="B12374" i="2"/>
  <c r="E12374" i="2"/>
  <c r="A12375" i="2"/>
  <c r="B12375" i="2"/>
  <c r="E12375" i="2"/>
  <c r="A12376" i="2"/>
  <c r="B12376" i="2"/>
  <c r="E12376" i="2"/>
  <c r="A12377" i="2"/>
  <c r="B12377" i="2"/>
  <c r="E12377" i="2"/>
  <c r="A12378" i="2"/>
  <c r="B12378" i="2"/>
  <c r="E12378" i="2"/>
  <c r="A12379" i="2"/>
  <c r="B12379" i="2"/>
  <c r="E12379" i="2"/>
  <c r="A12380" i="2"/>
  <c r="B12380" i="2"/>
  <c r="E12380" i="2"/>
  <c r="A12381" i="2"/>
  <c r="B12381" i="2"/>
  <c r="E12381" i="2"/>
  <c r="A12382" i="2"/>
  <c r="B12382" i="2"/>
  <c r="E12382" i="2"/>
  <c r="A12383" i="2"/>
  <c r="B12383" i="2"/>
  <c r="E12383" i="2"/>
  <c r="A12384" i="2"/>
  <c r="B12384" i="2"/>
  <c r="E12384" i="2"/>
  <c r="A12385" i="2"/>
  <c r="B12385" i="2"/>
  <c r="E12385" i="2"/>
  <c r="A12386" i="2"/>
  <c r="B12386" i="2"/>
  <c r="E12386" i="2"/>
  <c r="A12387" i="2"/>
  <c r="B12387" i="2"/>
  <c r="E12387" i="2"/>
  <c r="A12388" i="2"/>
  <c r="B12388" i="2"/>
  <c r="E12388" i="2"/>
  <c r="A12389" i="2"/>
  <c r="B12389" i="2"/>
  <c r="E12389" i="2"/>
  <c r="A12390" i="2"/>
  <c r="B12390" i="2"/>
  <c r="E12390" i="2"/>
  <c r="A12391" i="2"/>
  <c r="B12391" i="2"/>
  <c r="E12391" i="2"/>
  <c r="A12392" i="2"/>
  <c r="B12392" i="2"/>
  <c r="E12392" i="2"/>
  <c r="A12393" i="2"/>
  <c r="B12393" i="2"/>
  <c r="E12393" i="2"/>
  <c r="A12394" i="2"/>
  <c r="B12394" i="2"/>
  <c r="E12394" i="2"/>
  <c r="A12395" i="2"/>
  <c r="B12395" i="2"/>
  <c r="E12395" i="2"/>
  <c r="A12396" i="2"/>
  <c r="B12396" i="2"/>
  <c r="E12396" i="2"/>
  <c r="A12397" i="2"/>
  <c r="B12397" i="2"/>
  <c r="E12397" i="2"/>
  <c r="A12398" i="2"/>
  <c r="B12398" i="2"/>
  <c r="E12398" i="2"/>
  <c r="A12399" i="2"/>
  <c r="B12399" i="2"/>
  <c r="E12399" i="2"/>
  <c r="A12400" i="2"/>
  <c r="B12400" i="2"/>
  <c r="E12400" i="2"/>
  <c r="A12401" i="2"/>
  <c r="B12401" i="2"/>
  <c r="E12401" i="2"/>
  <c r="A12402" i="2"/>
  <c r="B12402" i="2"/>
  <c r="E12402" i="2"/>
  <c r="A12403" i="2"/>
  <c r="B12403" i="2"/>
  <c r="E12403" i="2"/>
  <c r="A12404" i="2"/>
  <c r="B12404" i="2"/>
  <c r="E12404" i="2"/>
  <c r="A12405" i="2"/>
  <c r="B12405" i="2"/>
  <c r="E12405" i="2"/>
  <c r="A12406" i="2"/>
  <c r="B12406" i="2"/>
  <c r="E12406" i="2"/>
  <c r="A12407" i="2"/>
  <c r="B12407" i="2"/>
  <c r="E12407" i="2"/>
  <c r="A12408" i="2"/>
  <c r="B12408" i="2"/>
  <c r="E12408" i="2"/>
  <c r="A12409" i="2"/>
  <c r="B12409" i="2"/>
  <c r="E12409" i="2"/>
  <c r="A12410" i="2"/>
  <c r="B12410" i="2"/>
  <c r="E12410" i="2"/>
  <c r="A12411" i="2"/>
  <c r="B12411" i="2"/>
  <c r="E12411" i="2"/>
  <c r="A12412" i="2"/>
  <c r="B12412" i="2"/>
  <c r="E12412" i="2"/>
  <c r="A12413" i="2"/>
  <c r="B12413" i="2"/>
  <c r="E12413" i="2"/>
  <c r="A12414" i="2"/>
  <c r="B12414" i="2"/>
  <c r="E12414" i="2"/>
  <c r="A12415" i="2"/>
  <c r="B12415" i="2"/>
  <c r="E12415" i="2"/>
  <c r="A12416" i="2"/>
  <c r="B12416" i="2"/>
  <c r="E12416" i="2"/>
  <c r="A12417" i="2"/>
  <c r="B12417" i="2"/>
  <c r="E12417" i="2"/>
  <c r="A12418" i="2"/>
  <c r="B12418" i="2"/>
  <c r="E12418" i="2"/>
  <c r="A12419" i="2"/>
  <c r="B12419" i="2"/>
  <c r="E12419" i="2"/>
  <c r="A12420" i="2"/>
  <c r="B12420" i="2"/>
  <c r="E12420" i="2"/>
  <c r="A12421" i="2"/>
  <c r="B12421" i="2"/>
  <c r="E12421" i="2"/>
  <c r="A12422" i="2"/>
  <c r="B12422" i="2"/>
  <c r="E12422" i="2"/>
  <c r="A12423" i="2"/>
  <c r="B12423" i="2"/>
  <c r="E12423" i="2"/>
  <c r="A12424" i="2"/>
  <c r="B12424" i="2"/>
  <c r="E12424" i="2"/>
  <c r="A12425" i="2"/>
  <c r="B12425" i="2"/>
  <c r="E12425" i="2"/>
  <c r="A12426" i="2"/>
  <c r="B12426" i="2"/>
  <c r="E12426" i="2"/>
  <c r="A12427" i="2"/>
  <c r="B12427" i="2"/>
  <c r="E12427" i="2"/>
  <c r="A12428" i="2"/>
  <c r="B12428" i="2"/>
  <c r="E12428" i="2"/>
  <c r="A12429" i="2"/>
  <c r="B12429" i="2"/>
  <c r="E12429" i="2"/>
  <c r="A12430" i="2"/>
  <c r="B12430" i="2"/>
  <c r="E12430" i="2"/>
  <c r="A12431" i="2"/>
  <c r="B12431" i="2"/>
  <c r="E12431" i="2"/>
  <c r="A12432" i="2"/>
  <c r="B12432" i="2"/>
  <c r="E12432" i="2"/>
  <c r="A12433" i="2"/>
  <c r="B12433" i="2"/>
  <c r="E12433" i="2"/>
  <c r="A12434" i="2"/>
  <c r="B12434" i="2"/>
  <c r="E12434" i="2"/>
  <c r="A12435" i="2"/>
  <c r="B12435" i="2"/>
  <c r="E12435" i="2"/>
  <c r="A12436" i="2"/>
  <c r="B12436" i="2"/>
  <c r="E12436" i="2"/>
  <c r="A12437" i="2"/>
  <c r="B12437" i="2"/>
  <c r="E12437" i="2"/>
  <c r="A12438" i="2"/>
  <c r="B12438" i="2"/>
  <c r="E12438" i="2"/>
  <c r="A12439" i="2"/>
  <c r="B12439" i="2"/>
  <c r="E12439" i="2"/>
  <c r="A12440" i="2"/>
  <c r="B12440" i="2"/>
  <c r="E12440" i="2"/>
  <c r="A12441" i="2"/>
  <c r="B12441" i="2"/>
  <c r="E12441" i="2"/>
  <c r="A12442" i="2"/>
  <c r="B12442" i="2"/>
  <c r="E12442" i="2"/>
  <c r="A12443" i="2"/>
  <c r="B12443" i="2"/>
  <c r="E12443" i="2"/>
  <c r="A12444" i="2"/>
  <c r="B12444" i="2"/>
  <c r="E12444" i="2"/>
  <c r="A12445" i="2"/>
  <c r="B12445" i="2"/>
  <c r="E12445" i="2"/>
  <c r="A12446" i="2"/>
  <c r="B12446" i="2"/>
  <c r="E12446" i="2"/>
  <c r="A12447" i="2"/>
  <c r="B12447" i="2"/>
  <c r="E12447" i="2"/>
  <c r="A12448" i="2"/>
  <c r="B12448" i="2"/>
  <c r="E12448" i="2"/>
  <c r="A12449" i="2"/>
  <c r="B12449" i="2"/>
  <c r="E12449" i="2"/>
  <c r="A12450" i="2"/>
  <c r="B12450" i="2"/>
  <c r="E12450" i="2"/>
  <c r="A12451" i="2"/>
  <c r="B12451" i="2"/>
  <c r="E12451" i="2"/>
  <c r="A12452" i="2"/>
  <c r="B12452" i="2"/>
  <c r="E12452" i="2"/>
  <c r="A12453" i="2"/>
  <c r="B12453" i="2"/>
  <c r="E12453" i="2"/>
  <c r="A12454" i="2"/>
  <c r="B12454" i="2"/>
  <c r="E12454" i="2"/>
  <c r="A12455" i="2"/>
  <c r="B12455" i="2"/>
  <c r="E12455" i="2"/>
  <c r="A12456" i="2"/>
  <c r="B12456" i="2"/>
  <c r="E12456" i="2"/>
  <c r="A12457" i="2"/>
  <c r="B12457" i="2"/>
  <c r="E12457" i="2"/>
  <c r="A12458" i="2"/>
  <c r="B12458" i="2"/>
  <c r="E12458" i="2"/>
  <c r="A12459" i="2"/>
  <c r="B12459" i="2"/>
  <c r="E12459" i="2"/>
  <c r="A12460" i="2"/>
  <c r="B12460" i="2"/>
  <c r="E12460" i="2"/>
  <c r="A12461" i="2"/>
  <c r="B12461" i="2"/>
  <c r="E12461" i="2"/>
  <c r="A12462" i="2"/>
  <c r="B12462" i="2"/>
  <c r="E12462" i="2"/>
  <c r="A12463" i="2"/>
  <c r="B12463" i="2"/>
  <c r="E12463" i="2"/>
  <c r="A12464" i="2"/>
  <c r="B12464" i="2"/>
  <c r="E12464" i="2"/>
  <c r="A12465" i="2"/>
  <c r="B12465" i="2"/>
  <c r="E12465" i="2"/>
  <c r="A12466" i="2"/>
  <c r="B12466" i="2"/>
  <c r="E12466" i="2"/>
  <c r="A12467" i="2"/>
  <c r="B12467" i="2"/>
  <c r="E12467" i="2"/>
  <c r="A12468" i="2"/>
  <c r="B12468" i="2"/>
  <c r="E12468" i="2"/>
  <c r="A12469" i="2"/>
  <c r="B12469" i="2"/>
  <c r="E12469" i="2"/>
  <c r="A12470" i="2"/>
  <c r="B12470" i="2"/>
  <c r="E12470" i="2"/>
  <c r="A12471" i="2"/>
  <c r="B12471" i="2"/>
  <c r="E12471" i="2"/>
  <c r="A12472" i="2"/>
  <c r="B12472" i="2"/>
  <c r="E12472" i="2"/>
  <c r="A12473" i="2"/>
  <c r="B12473" i="2"/>
  <c r="E12473" i="2"/>
  <c r="A12474" i="2"/>
  <c r="B12474" i="2"/>
  <c r="E12474" i="2"/>
  <c r="A12475" i="2"/>
  <c r="B12475" i="2"/>
  <c r="E12475" i="2"/>
  <c r="A12476" i="2"/>
  <c r="B12476" i="2"/>
  <c r="E12476" i="2"/>
  <c r="A12477" i="2"/>
  <c r="B12477" i="2"/>
  <c r="E12477" i="2"/>
  <c r="A12478" i="2"/>
  <c r="B12478" i="2"/>
  <c r="E12478" i="2"/>
  <c r="A12479" i="2"/>
  <c r="B12479" i="2"/>
  <c r="E12479" i="2"/>
  <c r="A12480" i="2"/>
  <c r="B12480" i="2"/>
  <c r="E12480" i="2"/>
  <c r="A12481" i="2"/>
  <c r="B12481" i="2"/>
  <c r="E12481" i="2"/>
  <c r="A12482" i="2"/>
  <c r="B12482" i="2"/>
  <c r="E12482" i="2"/>
  <c r="A12483" i="2"/>
  <c r="B12483" i="2"/>
  <c r="E12483" i="2"/>
  <c r="A12484" i="2"/>
  <c r="B12484" i="2"/>
  <c r="E12484" i="2"/>
  <c r="A12485" i="2"/>
  <c r="B12485" i="2"/>
  <c r="E12485" i="2"/>
  <c r="A12486" i="2"/>
  <c r="B12486" i="2"/>
  <c r="E12486" i="2"/>
  <c r="A12487" i="2"/>
  <c r="B12487" i="2"/>
  <c r="E12487" i="2"/>
  <c r="A12488" i="2"/>
  <c r="B12488" i="2"/>
  <c r="E12488" i="2"/>
  <c r="A12489" i="2"/>
  <c r="B12489" i="2"/>
  <c r="E12489" i="2"/>
  <c r="A12490" i="2"/>
  <c r="B12490" i="2"/>
  <c r="E12490" i="2"/>
  <c r="A12491" i="2"/>
  <c r="B12491" i="2"/>
  <c r="E12491" i="2"/>
  <c r="A12492" i="2"/>
  <c r="B12492" i="2"/>
  <c r="E12492" i="2"/>
  <c r="A12493" i="2"/>
  <c r="B12493" i="2"/>
  <c r="E12493" i="2"/>
  <c r="A12494" i="2"/>
  <c r="B12494" i="2"/>
  <c r="E12494" i="2"/>
  <c r="A12495" i="2"/>
  <c r="B12495" i="2"/>
  <c r="E12495" i="2"/>
  <c r="A12496" i="2"/>
  <c r="B12496" i="2"/>
  <c r="E12496" i="2"/>
  <c r="A12497" i="2"/>
  <c r="B12497" i="2"/>
  <c r="E12497" i="2"/>
  <c r="A12498" i="2"/>
  <c r="B12498" i="2"/>
  <c r="E12498" i="2"/>
  <c r="A12499" i="2"/>
  <c r="B12499" i="2"/>
  <c r="E12499" i="2"/>
  <c r="A12500" i="2"/>
  <c r="B12500" i="2"/>
  <c r="E12500" i="2"/>
  <c r="A12501" i="2"/>
  <c r="B12501" i="2"/>
  <c r="E12501" i="2"/>
  <c r="A12502" i="2"/>
  <c r="B12502" i="2"/>
  <c r="E12502" i="2"/>
  <c r="A12503" i="2"/>
  <c r="B12503" i="2"/>
  <c r="E12503" i="2"/>
  <c r="A12504" i="2"/>
  <c r="B12504" i="2"/>
  <c r="E12504" i="2"/>
  <c r="A12505" i="2"/>
  <c r="B12505" i="2"/>
  <c r="E12505" i="2"/>
  <c r="A12506" i="2"/>
  <c r="B12506" i="2"/>
  <c r="E12506" i="2"/>
  <c r="A12507" i="2"/>
  <c r="B12507" i="2"/>
  <c r="E12507" i="2"/>
  <c r="A12508" i="2"/>
  <c r="B12508" i="2"/>
  <c r="E12508" i="2"/>
  <c r="A12509" i="2"/>
  <c r="B12509" i="2"/>
  <c r="E12509" i="2"/>
  <c r="A12510" i="2"/>
  <c r="B12510" i="2"/>
  <c r="E12510" i="2"/>
  <c r="A12511" i="2"/>
  <c r="B12511" i="2"/>
  <c r="E12511" i="2"/>
  <c r="A12512" i="2"/>
  <c r="B12512" i="2"/>
  <c r="E12512" i="2"/>
  <c r="A12513" i="2"/>
  <c r="B12513" i="2"/>
  <c r="E12513" i="2"/>
  <c r="A12514" i="2"/>
  <c r="B12514" i="2"/>
  <c r="E12514" i="2"/>
  <c r="A12515" i="2"/>
  <c r="B12515" i="2"/>
  <c r="E12515" i="2"/>
  <c r="A12516" i="2"/>
  <c r="B12516" i="2"/>
  <c r="E12516" i="2"/>
  <c r="A12517" i="2"/>
  <c r="B12517" i="2"/>
  <c r="E12517" i="2"/>
  <c r="A12518" i="2"/>
  <c r="B12518" i="2"/>
  <c r="E12518" i="2"/>
  <c r="A12519" i="2"/>
  <c r="B12519" i="2"/>
  <c r="E12519" i="2"/>
  <c r="A12520" i="2"/>
  <c r="B12520" i="2"/>
  <c r="E12520" i="2"/>
  <c r="A12521" i="2"/>
  <c r="B12521" i="2"/>
  <c r="E12521" i="2"/>
  <c r="A12522" i="2"/>
  <c r="B12522" i="2"/>
  <c r="E12522" i="2"/>
  <c r="A12523" i="2"/>
  <c r="B12523" i="2"/>
  <c r="E12523" i="2"/>
  <c r="A12524" i="2"/>
  <c r="B12524" i="2"/>
  <c r="E12524" i="2"/>
  <c r="A12525" i="2"/>
  <c r="B12525" i="2"/>
  <c r="E12525" i="2"/>
  <c r="A12526" i="2"/>
  <c r="B12526" i="2"/>
  <c r="E12526" i="2"/>
  <c r="A12527" i="2"/>
  <c r="B12527" i="2"/>
  <c r="E12527" i="2"/>
  <c r="A12528" i="2"/>
  <c r="B12528" i="2"/>
  <c r="E12528" i="2"/>
  <c r="A12529" i="2"/>
  <c r="B12529" i="2"/>
  <c r="E12529" i="2"/>
  <c r="A12530" i="2"/>
  <c r="B12530" i="2"/>
  <c r="E12530" i="2"/>
  <c r="A12531" i="2"/>
  <c r="B12531" i="2"/>
  <c r="E12531" i="2"/>
  <c r="A12532" i="2"/>
  <c r="B12532" i="2"/>
  <c r="E12532" i="2"/>
  <c r="A12533" i="2"/>
  <c r="B12533" i="2"/>
  <c r="E12533" i="2"/>
  <c r="A12534" i="2"/>
  <c r="B12534" i="2"/>
  <c r="E12534" i="2"/>
  <c r="A12535" i="2"/>
  <c r="B12535" i="2"/>
  <c r="E12535" i="2"/>
  <c r="A12536" i="2"/>
  <c r="B12536" i="2"/>
  <c r="E12536" i="2"/>
  <c r="A12537" i="2"/>
  <c r="B12537" i="2"/>
  <c r="E12537" i="2"/>
  <c r="A12538" i="2"/>
  <c r="B12538" i="2"/>
  <c r="E12538" i="2"/>
  <c r="A12539" i="2"/>
  <c r="B12539" i="2"/>
  <c r="E12539" i="2"/>
  <c r="A12540" i="2"/>
  <c r="B12540" i="2"/>
  <c r="E12540" i="2"/>
  <c r="A12541" i="2"/>
  <c r="B12541" i="2"/>
  <c r="E12541" i="2"/>
  <c r="A12542" i="2"/>
  <c r="B12542" i="2"/>
  <c r="E12542" i="2"/>
  <c r="A12543" i="2"/>
  <c r="B12543" i="2"/>
  <c r="E12543" i="2"/>
  <c r="A12544" i="2"/>
  <c r="B12544" i="2"/>
  <c r="E12544" i="2"/>
  <c r="A12545" i="2"/>
  <c r="B12545" i="2"/>
  <c r="E12545" i="2"/>
  <c r="A12546" i="2"/>
  <c r="B12546" i="2"/>
  <c r="E12546" i="2"/>
  <c r="A12547" i="2"/>
  <c r="B12547" i="2"/>
  <c r="E12547" i="2"/>
  <c r="A12548" i="2"/>
  <c r="B12548" i="2"/>
  <c r="E12548" i="2"/>
  <c r="A12549" i="2"/>
  <c r="B12549" i="2"/>
  <c r="E12549" i="2"/>
  <c r="A12550" i="2"/>
  <c r="B12550" i="2"/>
  <c r="E12550" i="2"/>
  <c r="A12551" i="2"/>
  <c r="B12551" i="2"/>
  <c r="E12551" i="2"/>
  <c r="A12552" i="2"/>
  <c r="B12552" i="2"/>
  <c r="E12552" i="2"/>
  <c r="A12553" i="2"/>
  <c r="B12553" i="2"/>
  <c r="E12553" i="2"/>
  <c r="A12554" i="2"/>
  <c r="B12554" i="2"/>
  <c r="E12554" i="2"/>
  <c r="A12555" i="2"/>
  <c r="B12555" i="2"/>
  <c r="E12555" i="2"/>
  <c r="A12556" i="2"/>
  <c r="B12556" i="2"/>
  <c r="E12556" i="2"/>
  <c r="A12557" i="2"/>
  <c r="B12557" i="2"/>
  <c r="E12557" i="2"/>
  <c r="A12558" i="2"/>
  <c r="B12558" i="2"/>
  <c r="E12558" i="2"/>
  <c r="A12559" i="2"/>
  <c r="B12559" i="2"/>
  <c r="E12559" i="2"/>
  <c r="A12560" i="2"/>
  <c r="B12560" i="2"/>
  <c r="E12560" i="2"/>
  <c r="A12561" i="2"/>
  <c r="B12561" i="2"/>
  <c r="E12561" i="2"/>
  <c r="A12562" i="2"/>
  <c r="B12562" i="2"/>
  <c r="E12562" i="2"/>
  <c r="A12563" i="2"/>
  <c r="B12563" i="2"/>
  <c r="E12563" i="2"/>
  <c r="A12564" i="2"/>
  <c r="B12564" i="2"/>
  <c r="E12564" i="2"/>
  <c r="A12565" i="2"/>
  <c r="B12565" i="2"/>
  <c r="E12565" i="2"/>
  <c r="A12566" i="2"/>
  <c r="B12566" i="2"/>
  <c r="E12566" i="2"/>
  <c r="A12567" i="2"/>
  <c r="B12567" i="2"/>
  <c r="E12567" i="2"/>
  <c r="A12568" i="2"/>
  <c r="B12568" i="2"/>
  <c r="E12568" i="2"/>
  <c r="A12569" i="2"/>
  <c r="B12569" i="2"/>
  <c r="E12569" i="2"/>
  <c r="A12570" i="2"/>
  <c r="B12570" i="2"/>
  <c r="E12570" i="2"/>
  <c r="A12571" i="2"/>
  <c r="B12571" i="2"/>
  <c r="E12571" i="2"/>
  <c r="A12572" i="2"/>
  <c r="B12572" i="2"/>
  <c r="E12572" i="2"/>
  <c r="A12573" i="2"/>
  <c r="B12573" i="2"/>
  <c r="E12573" i="2"/>
  <c r="A12574" i="2"/>
  <c r="B12574" i="2"/>
  <c r="E12574" i="2"/>
  <c r="A12575" i="2"/>
  <c r="B12575" i="2"/>
  <c r="E12575" i="2"/>
  <c r="A12576" i="2"/>
  <c r="B12576" i="2"/>
  <c r="E12576" i="2"/>
  <c r="A12577" i="2"/>
  <c r="B12577" i="2"/>
  <c r="E12577" i="2"/>
  <c r="A12578" i="2"/>
  <c r="B12578" i="2"/>
  <c r="E12578" i="2"/>
  <c r="A12579" i="2"/>
  <c r="B12579" i="2"/>
  <c r="E12579" i="2"/>
  <c r="A12580" i="2"/>
  <c r="B12580" i="2"/>
  <c r="E12580" i="2"/>
  <c r="A12581" i="2"/>
  <c r="B12581" i="2"/>
  <c r="E12581" i="2"/>
  <c r="A12582" i="2"/>
  <c r="B12582" i="2"/>
  <c r="E12582" i="2"/>
  <c r="A12583" i="2"/>
  <c r="B12583" i="2"/>
  <c r="E12583" i="2"/>
  <c r="A12584" i="2"/>
  <c r="B12584" i="2"/>
  <c r="E12584" i="2"/>
  <c r="A12585" i="2"/>
  <c r="B12585" i="2"/>
  <c r="E12585" i="2"/>
  <c r="A12586" i="2"/>
  <c r="B12586" i="2"/>
  <c r="E12586" i="2"/>
  <c r="A12587" i="2"/>
  <c r="B12587" i="2"/>
  <c r="E12587" i="2"/>
  <c r="A12588" i="2"/>
  <c r="B12588" i="2"/>
  <c r="E12588" i="2"/>
  <c r="A12589" i="2"/>
  <c r="B12589" i="2"/>
  <c r="E12589" i="2"/>
  <c r="A12590" i="2"/>
  <c r="B12590" i="2"/>
  <c r="E12590" i="2"/>
  <c r="A12591" i="2"/>
  <c r="B12591" i="2"/>
  <c r="E12591" i="2"/>
  <c r="A12592" i="2"/>
  <c r="B12592" i="2"/>
  <c r="E12592" i="2"/>
  <c r="A12593" i="2"/>
  <c r="B12593" i="2"/>
  <c r="E12593" i="2"/>
  <c r="A12594" i="2"/>
  <c r="B12594" i="2"/>
  <c r="E12594" i="2"/>
  <c r="A12595" i="2"/>
  <c r="B12595" i="2"/>
  <c r="E12595" i="2"/>
  <c r="A12596" i="2"/>
  <c r="B12596" i="2"/>
  <c r="E12596" i="2"/>
  <c r="A12597" i="2"/>
  <c r="B12597" i="2"/>
  <c r="E12597" i="2"/>
  <c r="A12598" i="2"/>
  <c r="B12598" i="2"/>
  <c r="E12598" i="2"/>
  <c r="A12599" i="2"/>
  <c r="B12599" i="2"/>
  <c r="E12599" i="2"/>
  <c r="A12600" i="2"/>
  <c r="B12600" i="2"/>
  <c r="E12600" i="2"/>
  <c r="A12601" i="2"/>
  <c r="B12601" i="2"/>
  <c r="E12601" i="2"/>
  <c r="A12602" i="2"/>
  <c r="B12602" i="2"/>
  <c r="E12602" i="2"/>
  <c r="A12603" i="2"/>
  <c r="B12603" i="2"/>
  <c r="E12603" i="2"/>
  <c r="A12604" i="2"/>
  <c r="B12604" i="2"/>
  <c r="E12604" i="2"/>
  <c r="A12605" i="2"/>
  <c r="B12605" i="2"/>
  <c r="E12605" i="2"/>
  <c r="A12606" i="2"/>
  <c r="B12606" i="2"/>
  <c r="E12606" i="2"/>
  <c r="A12607" i="2"/>
  <c r="B12607" i="2"/>
  <c r="E12607" i="2"/>
  <c r="A12608" i="2"/>
  <c r="B12608" i="2"/>
  <c r="E12608" i="2"/>
  <c r="A12609" i="2"/>
  <c r="B12609" i="2"/>
  <c r="E12609" i="2"/>
  <c r="A12610" i="2"/>
  <c r="B12610" i="2"/>
  <c r="E12610" i="2"/>
  <c r="A12611" i="2"/>
  <c r="B12611" i="2"/>
  <c r="E12611" i="2"/>
  <c r="A12612" i="2"/>
  <c r="B12612" i="2"/>
  <c r="E12612" i="2"/>
  <c r="A12613" i="2"/>
  <c r="B12613" i="2"/>
  <c r="E12613" i="2"/>
  <c r="A12614" i="2"/>
  <c r="B12614" i="2"/>
  <c r="E12614" i="2"/>
  <c r="A12615" i="2"/>
  <c r="B12615" i="2"/>
  <c r="E12615" i="2"/>
  <c r="A12616" i="2"/>
  <c r="B12616" i="2"/>
  <c r="E12616" i="2"/>
  <c r="A12617" i="2"/>
  <c r="B12617" i="2"/>
  <c r="E12617" i="2"/>
  <c r="A12618" i="2"/>
  <c r="B12618" i="2"/>
  <c r="E12618" i="2"/>
  <c r="A12619" i="2"/>
  <c r="B12619" i="2"/>
  <c r="E12619" i="2"/>
  <c r="A12620" i="2"/>
  <c r="B12620" i="2"/>
  <c r="E12620" i="2"/>
  <c r="A12621" i="2"/>
  <c r="B12621" i="2"/>
  <c r="E12621" i="2"/>
  <c r="A12622" i="2"/>
  <c r="B12622" i="2"/>
  <c r="E12622" i="2"/>
  <c r="A12623" i="2"/>
  <c r="B12623" i="2"/>
  <c r="E12623" i="2"/>
  <c r="A12624" i="2"/>
  <c r="B12624" i="2"/>
  <c r="E12624" i="2"/>
  <c r="A12625" i="2"/>
  <c r="B12625" i="2"/>
  <c r="E12625" i="2"/>
  <c r="A12626" i="2"/>
  <c r="B12626" i="2"/>
  <c r="E12626" i="2"/>
  <c r="A12627" i="2"/>
  <c r="B12627" i="2"/>
  <c r="E12627" i="2"/>
  <c r="A12628" i="2"/>
  <c r="B12628" i="2"/>
  <c r="E12628" i="2"/>
  <c r="A12629" i="2"/>
  <c r="B12629" i="2"/>
  <c r="E12629" i="2"/>
  <c r="A12630" i="2"/>
  <c r="B12630" i="2"/>
  <c r="E12630" i="2"/>
  <c r="A12631" i="2"/>
  <c r="B12631" i="2"/>
  <c r="E12631" i="2"/>
  <c r="A12632" i="2"/>
  <c r="B12632" i="2"/>
  <c r="E12632" i="2"/>
  <c r="A12633" i="2"/>
  <c r="B12633" i="2"/>
  <c r="E12633" i="2"/>
  <c r="A12634" i="2"/>
  <c r="B12634" i="2"/>
  <c r="E12634" i="2"/>
  <c r="A12635" i="2"/>
  <c r="B12635" i="2"/>
  <c r="E12635" i="2"/>
  <c r="A12636" i="2"/>
  <c r="B12636" i="2"/>
  <c r="E12636" i="2"/>
  <c r="A12637" i="2"/>
  <c r="B12637" i="2"/>
  <c r="E12637" i="2"/>
  <c r="A12638" i="2"/>
  <c r="B12638" i="2"/>
  <c r="E12638" i="2"/>
  <c r="A12639" i="2"/>
  <c r="B12639" i="2"/>
  <c r="E12639" i="2"/>
  <c r="A12640" i="2"/>
  <c r="B12640" i="2"/>
  <c r="E12640" i="2"/>
  <c r="A12641" i="2"/>
  <c r="B12641" i="2"/>
  <c r="E12641" i="2"/>
  <c r="A12642" i="2"/>
  <c r="B12642" i="2"/>
  <c r="E12642" i="2"/>
  <c r="A12643" i="2"/>
  <c r="B12643" i="2"/>
  <c r="E12643" i="2"/>
  <c r="A12644" i="2"/>
  <c r="B12644" i="2"/>
  <c r="E12644" i="2"/>
  <c r="A12645" i="2"/>
  <c r="B12645" i="2"/>
  <c r="E12645" i="2"/>
  <c r="A12646" i="2"/>
  <c r="B12646" i="2"/>
  <c r="E12646" i="2"/>
  <c r="A12647" i="2"/>
  <c r="B12647" i="2"/>
  <c r="E12647" i="2"/>
  <c r="A12648" i="2"/>
  <c r="B12648" i="2"/>
  <c r="E12648" i="2"/>
  <c r="A12649" i="2"/>
  <c r="B12649" i="2"/>
  <c r="E12649" i="2"/>
  <c r="A12650" i="2"/>
  <c r="B12650" i="2"/>
  <c r="E12650" i="2"/>
  <c r="A12651" i="2"/>
  <c r="B12651" i="2"/>
  <c r="E12651" i="2"/>
  <c r="A12652" i="2"/>
  <c r="B12652" i="2"/>
  <c r="E12652" i="2"/>
  <c r="A12653" i="2"/>
  <c r="B12653" i="2"/>
  <c r="E12653" i="2"/>
  <c r="A12654" i="2"/>
  <c r="B12654" i="2"/>
  <c r="E12654" i="2"/>
  <c r="A12655" i="2"/>
  <c r="B12655" i="2"/>
  <c r="E12655" i="2"/>
  <c r="A12656" i="2"/>
  <c r="B12656" i="2"/>
  <c r="E12656" i="2"/>
  <c r="A12657" i="2"/>
  <c r="B12657" i="2"/>
  <c r="E12657" i="2"/>
  <c r="A12658" i="2"/>
  <c r="B12658" i="2"/>
  <c r="E12658" i="2"/>
  <c r="A12659" i="2"/>
  <c r="B12659" i="2"/>
  <c r="E12659" i="2"/>
  <c r="A12660" i="2"/>
  <c r="B12660" i="2"/>
  <c r="E12660" i="2"/>
  <c r="A12661" i="2"/>
  <c r="B12661" i="2"/>
  <c r="E12661" i="2"/>
  <c r="A12662" i="2"/>
  <c r="B12662" i="2"/>
  <c r="E12662" i="2"/>
  <c r="A12663" i="2"/>
  <c r="B12663" i="2"/>
  <c r="E12663" i="2"/>
  <c r="A12664" i="2"/>
  <c r="B12664" i="2"/>
  <c r="E12664" i="2"/>
  <c r="A12665" i="2"/>
  <c r="B12665" i="2"/>
  <c r="E12665" i="2"/>
  <c r="A12666" i="2"/>
  <c r="B12666" i="2"/>
  <c r="E12666" i="2"/>
  <c r="A12667" i="2"/>
  <c r="B12667" i="2"/>
  <c r="E12667" i="2"/>
  <c r="A12668" i="2"/>
  <c r="B12668" i="2"/>
  <c r="E12668" i="2"/>
  <c r="A12669" i="2"/>
  <c r="B12669" i="2"/>
  <c r="E12669" i="2"/>
  <c r="A12670" i="2"/>
  <c r="B12670" i="2"/>
  <c r="E12670" i="2"/>
  <c r="A12671" i="2"/>
  <c r="B12671" i="2"/>
  <c r="E12671" i="2"/>
  <c r="A12672" i="2"/>
  <c r="B12672" i="2"/>
  <c r="E12672" i="2"/>
  <c r="A12673" i="2"/>
  <c r="B12673" i="2"/>
  <c r="E12673" i="2"/>
  <c r="A12674" i="2"/>
  <c r="B12674" i="2"/>
  <c r="E12674" i="2"/>
  <c r="A12675" i="2"/>
  <c r="B12675" i="2"/>
  <c r="E12675" i="2"/>
  <c r="A12676" i="2"/>
  <c r="B12676" i="2"/>
  <c r="E12676" i="2"/>
  <c r="A12677" i="2"/>
  <c r="B12677" i="2"/>
  <c r="E12677" i="2"/>
  <c r="A12678" i="2"/>
  <c r="B12678" i="2"/>
  <c r="E12678" i="2"/>
  <c r="A12679" i="2"/>
  <c r="B12679" i="2"/>
  <c r="E12679" i="2"/>
  <c r="A12680" i="2"/>
  <c r="B12680" i="2"/>
  <c r="E12680" i="2"/>
  <c r="A12681" i="2"/>
  <c r="B12681" i="2"/>
  <c r="E12681" i="2"/>
  <c r="A12682" i="2"/>
  <c r="B12682" i="2"/>
  <c r="E12682" i="2"/>
  <c r="A12683" i="2"/>
  <c r="B12683" i="2"/>
  <c r="E12683" i="2"/>
  <c r="A12684" i="2"/>
  <c r="B12684" i="2"/>
  <c r="E12684" i="2"/>
  <c r="A12685" i="2"/>
  <c r="B12685" i="2"/>
  <c r="E12685" i="2"/>
  <c r="A12686" i="2"/>
  <c r="B12686" i="2"/>
  <c r="E12686" i="2"/>
  <c r="A12687" i="2"/>
  <c r="B12687" i="2"/>
  <c r="E12687" i="2"/>
  <c r="A12688" i="2"/>
  <c r="B12688" i="2"/>
  <c r="E12688" i="2"/>
  <c r="A12689" i="2"/>
  <c r="B12689" i="2"/>
  <c r="E12689" i="2"/>
  <c r="A12690" i="2"/>
  <c r="B12690" i="2"/>
  <c r="E12690" i="2"/>
  <c r="A12691" i="2"/>
  <c r="B12691" i="2"/>
  <c r="E12691" i="2"/>
  <c r="A12692" i="2"/>
  <c r="B12692" i="2"/>
  <c r="E12692" i="2"/>
  <c r="A12693" i="2"/>
  <c r="B12693" i="2"/>
  <c r="E12693" i="2"/>
  <c r="A12694" i="2"/>
  <c r="B12694" i="2"/>
  <c r="E12694" i="2"/>
  <c r="A12695" i="2"/>
  <c r="B12695" i="2"/>
  <c r="E12695" i="2"/>
  <c r="A12696" i="2"/>
  <c r="B12696" i="2"/>
  <c r="E12696" i="2"/>
  <c r="A12697" i="2"/>
  <c r="B12697" i="2"/>
  <c r="E12697" i="2"/>
  <c r="A12698" i="2"/>
  <c r="B12698" i="2"/>
  <c r="E12698" i="2"/>
  <c r="A12699" i="2"/>
  <c r="B12699" i="2"/>
  <c r="E12699" i="2"/>
  <c r="A12700" i="2"/>
  <c r="B12700" i="2"/>
  <c r="E12700" i="2"/>
  <c r="A12701" i="2"/>
  <c r="B12701" i="2"/>
  <c r="E12701" i="2"/>
  <c r="A12702" i="2"/>
  <c r="B12702" i="2"/>
  <c r="E12702" i="2"/>
  <c r="A12703" i="2"/>
  <c r="B12703" i="2"/>
  <c r="E12703" i="2"/>
  <c r="A12704" i="2"/>
  <c r="B12704" i="2"/>
  <c r="E12704" i="2"/>
  <c r="A12705" i="2"/>
  <c r="B12705" i="2"/>
  <c r="E12705" i="2"/>
  <c r="A12706" i="2"/>
  <c r="B12706" i="2"/>
  <c r="E12706" i="2"/>
  <c r="A12707" i="2"/>
  <c r="B12707" i="2"/>
  <c r="E12707" i="2"/>
  <c r="A12708" i="2"/>
  <c r="B12708" i="2"/>
  <c r="E12708" i="2"/>
  <c r="A12709" i="2"/>
  <c r="B12709" i="2"/>
  <c r="E12709" i="2"/>
  <c r="A12710" i="2"/>
  <c r="B12710" i="2"/>
  <c r="E12710" i="2"/>
  <c r="A12711" i="2"/>
  <c r="B12711" i="2"/>
  <c r="E12711" i="2"/>
  <c r="A12712" i="2"/>
  <c r="B12712" i="2"/>
  <c r="E12712" i="2"/>
  <c r="A12713" i="2"/>
  <c r="B12713" i="2"/>
  <c r="E12713" i="2"/>
  <c r="A12714" i="2"/>
  <c r="B12714" i="2"/>
  <c r="E12714" i="2"/>
  <c r="A12715" i="2"/>
  <c r="B12715" i="2"/>
  <c r="E12715" i="2"/>
  <c r="A12716" i="2"/>
  <c r="B12716" i="2"/>
  <c r="E12716" i="2"/>
  <c r="A12717" i="2"/>
  <c r="B12717" i="2"/>
  <c r="E12717" i="2"/>
  <c r="A12718" i="2"/>
  <c r="B12718" i="2"/>
  <c r="E12718" i="2"/>
  <c r="A12719" i="2"/>
  <c r="B12719" i="2"/>
  <c r="E12719" i="2"/>
  <c r="A12720" i="2"/>
  <c r="B12720" i="2"/>
  <c r="E12720" i="2"/>
  <c r="A12721" i="2"/>
  <c r="B12721" i="2"/>
  <c r="E12721" i="2"/>
  <c r="A12722" i="2"/>
  <c r="B12722" i="2"/>
  <c r="E12722" i="2"/>
  <c r="A12723" i="2"/>
  <c r="B12723" i="2"/>
  <c r="E12723" i="2"/>
  <c r="A12724" i="2"/>
  <c r="B12724" i="2"/>
  <c r="E12724" i="2"/>
  <c r="A12725" i="2"/>
  <c r="B12725" i="2"/>
  <c r="E12725" i="2"/>
  <c r="A12726" i="2"/>
  <c r="B12726" i="2"/>
  <c r="E12726" i="2"/>
  <c r="A12727" i="2"/>
  <c r="B12727" i="2"/>
  <c r="E12727" i="2"/>
  <c r="A12728" i="2"/>
  <c r="B12728" i="2"/>
  <c r="E12728" i="2"/>
  <c r="A12729" i="2"/>
  <c r="B12729" i="2"/>
  <c r="E12729" i="2"/>
  <c r="A12730" i="2"/>
  <c r="B12730" i="2"/>
  <c r="E12730" i="2"/>
  <c r="A12731" i="2"/>
  <c r="B12731" i="2"/>
  <c r="E12731" i="2"/>
  <c r="A12732" i="2"/>
  <c r="B12732" i="2"/>
  <c r="E12732" i="2"/>
  <c r="A12733" i="2"/>
  <c r="B12733" i="2"/>
  <c r="E12733" i="2"/>
  <c r="A12734" i="2"/>
  <c r="B12734" i="2"/>
  <c r="E12734" i="2"/>
  <c r="A12735" i="2"/>
  <c r="B12735" i="2"/>
  <c r="E12735" i="2"/>
  <c r="A12736" i="2"/>
  <c r="B12736" i="2"/>
  <c r="E12736" i="2"/>
  <c r="A12737" i="2"/>
  <c r="B12737" i="2"/>
  <c r="E12737" i="2"/>
  <c r="A12738" i="2"/>
  <c r="B12738" i="2"/>
  <c r="E12738" i="2"/>
  <c r="A12739" i="2"/>
  <c r="B12739" i="2"/>
  <c r="E12739" i="2"/>
  <c r="A12740" i="2"/>
  <c r="B12740" i="2"/>
  <c r="E12740" i="2"/>
  <c r="A12741" i="2"/>
  <c r="B12741" i="2"/>
  <c r="E12741" i="2"/>
  <c r="A12742" i="2"/>
  <c r="B12742" i="2"/>
  <c r="E12742" i="2"/>
  <c r="A12743" i="2"/>
  <c r="B12743" i="2"/>
  <c r="E12743" i="2"/>
  <c r="A12744" i="2"/>
  <c r="B12744" i="2"/>
  <c r="E12744" i="2"/>
  <c r="A12745" i="2"/>
  <c r="B12745" i="2"/>
  <c r="E12745" i="2"/>
  <c r="A12746" i="2"/>
  <c r="B12746" i="2"/>
  <c r="E12746" i="2"/>
  <c r="A12747" i="2"/>
  <c r="B12747" i="2"/>
  <c r="E12747" i="2"/>
  <c r="A12748" i="2"/>
  <c r="B12748" i="2"/>
  <c r="E12748" i="2"/>
  <c r="A12749" i="2"/>
  <c r="B12749" i="2"/>
  <c r="E12749" i="2"/>
  <c r="A12750" i="2"/>
  <c r="B12750" i="2"/>
  <c r="E12750" i="2"/>
  <c r="A12751" i="2"/>
  <c r="B12751" i="2"/>
  <c r="E12751" i="2"/>
  <c r="A12752" i="2"/>
  <c r="B12752" i="2"/>
  <c r="E12752" i="2"/>
  <c r="A12753" i="2"/>
  <c r="B12753" i="2"/>
  <c r="E12753" i="2"/>
  <c r="A12754" i="2"/>
  <c r="B12754" i="2"/>
  <c r="E12754" i="2"/>
  <c r="A12755" i="2"/>
  <c r="B12755" i="2"/>
  <c r="E12755" i="2"/>
  <c r="A12756" i="2"/>
  <c r="B12756" i="2"/>
  <c r="E12756" i="2"/>
  <c r="A12757" i="2"/>
  <c r="B12757" i="2"/>
  <c r="E12757" i="2"/>
  <c r="A12758" i="2"/>
  <c r="B12758" i="2"/>
  <c r="E12758" i="2"/>
  <c r="A12759" i="2"/>
  <c r="B12759" i="2"/>
  <c r="E12759" i="2"/>
  <c r="A12760" i="2"/>
  <c r="B12760" i="2"/>
  <c r="E12760" i="2"/>
  <c r="A12761" i="2"/>
  <c r="B12761" i="2"/>
  <c r="E12761" i="2"/>
  <c r="A12762" i="2"/>
  <c r="B12762" i="2"/>
  <c r="E12762" i="2"/>
  <c r="A12763" i="2"/>
  <c r="B12763" i="2"/>
  <c r="E12763" i="2"/>
  <c r="A12764" i="2"/>
  <c r="B12764" i="2"/>
  <c r="E12764" i="2"/>
  <c r="A12765" i="2"/>
  <c r="B12765" i="2"/>
  <c r="E12765" i="2"/>
  <c r="A12766" i="2"/>
  <c r="B12766" i="2"/>
  <c r="E12766" i="2"/>
  <c r="A12767" i="2"/>
  <c r="B12767" i="2"/>
  <c r="E12767" i="2"/>
  <c r="A12768" i="2"/>
  <c r="B12768" i="2"/>
  <c r="E12768" i="2"/>
  <c r="A12769" i="2"/>
  <c r="B12769" i="2"/>
  <c r="E12769" i="2"/>
  <c r="A12770" i="2"/>
  <c r="B12770" i="2"/>
  <c r="E12770" i="2"/>
  <c r="A12771" i="2"/>
  <c r="B12771" i="2"/>
  <c r="E12771" i="2"/>
  <c r="A12772" i="2"/>
  <c r="B12772" i="2"/>
  <c r="E12772" i="2"/>
  <c r="A12773" i="2"/>
  <c r="B12773" i="2"/>
  <c r="E12773" i="2"/>
  <c r="A12774" i="2"/>
  <c r="B12774" i="2"/>
  <c r="E12774" i="2"/>
  <c r="A12775" i="2"/>
  <c r="B12775" i="2"/>
  <c r="E12775" i="2"/>
  <c r="A12776" i="2"/>
  <c r="B12776" i="2"/>
  <c r="E12776" i="2"/>
  <c r="A12777" i="2"/>
  <c r="B12777" i="2"/>
  <c r="E12777" i="2"/>
  <c r="A12778" i="2"/>
  <c r="B12778" i="2"/>
  <c r="E12778" i="2"/>
  <c r="A12779" i="2"/>
  <c r="B12779" i="2"/>
  <c r="E12779" i="2"/>
  <c r="A12780" i="2"/>
  <c r="B12780" i="2"/>
  <c r="E12780" i="2"/>
  <c r="A12781" i="2"/>
  <c r="B12781" i="2"/>
  <c r="E12781" i="2"/>
  <c r="A12782" i="2"/>
  <c r="B12782" i="2"/>
  <c r="E12782" i="2"/>
  <c r="A12783" i="2"/>
  <c r="B12783" i="2"/>
  <c r="E12783" i="2"/>
  <c r="A12784" i="2"/>
  <c r="B12784" i="2"/>
  <c r="E12784" i="2"/>
  <c r="A12785" i="2"/>
  <c r="B12785" i="2"/>
  <c r="E12785" i="2"/>
  <c r="A12786" i="2"/>
  <c r="B12786" i="2"/>
  <c r="E12786" i="2"/>
  <c r="A12787" i="2"/>
  <c r="B12787" i="2"/>
  <c r="E12787" i="2"/>
  <c r="A12788" i="2"/>
  <c r="B12788" i="2"/>
  <c r="E12788" i="2"/>
  <c r="A12789" i="2"/>
  <c r="B12789" i="2"/>
  <c r="E12789" i="2"/>
  <c r="A12790" i="2"/>
  <c r="B12790" i="2"/>
  <c r="E12790" i="2"/>
  <c r="A12791" i="2"/>
  <c r="B12791" i="2"/>
  <c r="E12791" i="2"/>
  <c r="A12792" i="2"/>
  <c r="B12792" i="2"/>
  <c r="E12792" i="2"/>
  <c r="A12793" i="2"/>
  <c r="B12793" i="2"/>
  <c r="E12793" i="2"/>
  <c r="A12794" i="2"/>
  <c r="B12794" i="2"/>
  <c r="E12794" i="2"/>
  <c r="A12795" i="2"/>
  <c r="B12795" i="2"/>
  <c r="E12795" i="2"/>
  <c r="A12796" i="2"/>
  <c r="B12796" i="2"/>
  <c r="E12796" i="2"/>
  <c r="A12797" i="2"/>
  <c r="B12797" i="2"/>
  <c r="E12797" i="2"/>
  <c r="A12798" i="2"/>
  <c r="B12798" i="2"/>
  <c r="E12798" i="2"/>
  <c r="A12799" i="2"/>
  <c r="B12799" i="2"/>
  <c r="E12799" i="2"/>
  <c r="A12800" i="2"/>
  <c r="B12800" i="2"/>
  <c r="E12800" i="2"/>
  <c r="A12801" i="2"/>
  <c r="B12801" i="2"/>
  <c r="E12801" i="2"/>
  <c r="A12802" i="2"/>
  <c r="B12802" i="2"/>
  <c r="E12802" i="2"/>
  <c r="A12803" i="2"/>
  <c r="B12803" i="2"/>
  <c r="E12803" i="2"/>
  <c r="A12804" i="2"/>
  <c r="B12804" i="2"/>
  <c r="E12804" i="2"/>
  <c r="A12805" i="2"/>
  <c r="B12805" i="2"/>
  <c r="E12805" i="2"/>
  <c r="A12806" i="2"/>
  <c r="B12806" i="2"/>
  <c r="E12806" i="2"/>
  <c r="A12807" i="2"/>
  <c r="B12807" i="2"/>
  <c r="E12807" i="2"/>
  <c r="A12808" i="2"/>
  <c r="B12808" i="2"/>
  <c r="E12808" i="2"/>
  <c r="A12809" i="2"/>
  <c r="B12809" i="2"/>
  <c r="E12809" i="2"/>
  <c r="A12810" i="2"/>
  <c r="B12810" i="2"/>
  <c r="E12810" i="2"/>
  <c r="A12811" i="2"/>
  <c r="B12811" i="2"/>
  <c r="E12811" i="2"/>
  <c r="A12812" i="2"/>
  <c r="B12812" i="2"/>
  <c r="E12812" i="2"/>
  <c r="A12813" i="2"/>
  <c r="B12813" i="2"/>
  <c r="E12813" i="2"/>
  <c r="A12814" i="2"/>
  <c r="B12814" i="2"/>
  <c r="E12814" i="2"/>
  <c r="A12815" i="2"/>
  <c r="B12815" i="2"/>
  <c r="E12815" i="2"/>
  <c r="A12816" i="2"/>
  <c r="B12816" i="2"/>
  <c r="E12816" i="2"/>
  <c r="A12817" i="2"/>
  <c r="B12817" i="2"/>
  <c r="E12817" i="2"/>
  <c r="A12818" i="2"/>
  <c r="B12818" i="2"/>
  <c r="E12818" i="2"/>
  <c r="A12819" i="2"/>
  <c r="B12819" i="2"/>
  <c r="E12819" i="2"/>
  <c r="A12820" i="2"/>
  <c r="B12820" i="2"/>
  <c r="E12820" i="2"/>
  <c r="A12821" i="2"/>
  <c r="B12821" i="2"/>
  <c r="E12821" i="2"/>
  <c r="A12822" i="2"/>
  <c r="B12822" i="2"/>
  <c r="E12822" i="2"/>
  <c r="A12823" i="2"/>
  <c r="B12823" i="2"/>
  <c r="E12823" i="2"/>
  <c r="A12824" i="2"/>
  <c r="B12824" i="2"/>
  <c r="E12824" i="2"/>
  <c r="A12825" i="2"/>
  <c r="B12825" i="2"/>
  <c r="E12825" i="2"/>
  <c r="A12826" i="2"/>
  <c r="B12826" i="2"/>
  <c r="E12826" i="2"/>
  <c r="A12827" i="2"/>
  <c r="B12827" i="2"/>
  <c r="E12827" i="2"/>
  <c r="A12828" i="2"/>
  <c r="B12828" i="2"/>
  <c r="E12828" i="2"/>
  <c r="A12829" i="2"/>
  <c r="B12829" i="2"/>
  <c r="E12829" i="2"/>
  <c r="A12830" i="2"/>
  <c r="B12830" i="2"/>
  <c r="E12830" i="2"/>
  <c r="A12831" i="2"/>
  <c r="B12831" i="2"/>
  <c r="E12831" i="2"/>
  <c r="A12832" i="2"/>
  <c r="B12832" i="2"/>
  <c r="E12832" i="2"/>
  <c r="A12833" i="2"/>
  <c r="B12833" i="2"/>
  <c r="E12833" i="2"/>
  <c r="A12834" i="2"/>
  <c r="B12834" i="2"/>
  <c r="E12834" i="2"/>
  <c r="A12835" i="2"/>
  <c r="B12835" i="2"/>
  <c r="E12835" i="2"/>
  <c r="A12836" i="2"/>
  <c r="B12836" i="2"/>
  <c r="E12836" i="2"/>
  <c r="A12837" i="2"/>
  <c r="B12837" i="2"/>
  <c r="E12837" i="2"/>
  <c r="A12838" i="2"/>
  <c r="B12838" i="2"/>
  <c r="E12838" i="2"/>
  <c r="A12839" i="2"/>
  <c r="B12839" i="2"/>
  <c r="E12839" i="2"/>
  <c r="A12840" i="2"/>
  <c r="B12840" i="2"/>
  <c r="E12840" i="2"/>
  <c r="A12841" i="2"/>
  <c r="B12841" i="2"/>
  <c r="E12841" i="2"/>
  <c r="A12842" i="2"/>
  <c r="B12842" i="2"/>
  <c r="E12842" i="2"/>
  <c r="A12843" i="2"/>
  <c r="B12843" i="2"/>
  <c r="E12843" i="2"/>
  <c r="A12844" i="2"/>
  <c r="B12844" i="2"/>
  <c r="E12844" i="2"/>
  <c r="A12845" i="2"/>
  <c r="B12845" i="2"/>
  <c r="E12845" i="2"/>
  <c r="A12846" i="2"/>
  <c r="B12846" i="2"/>
  <c r="E12846" i="2"/>
  <c r="A12847" i="2"/>
  <c r="B12847" i="2"/>
  <c r="E12847" i="2"/>
  <c r="A12848" i="2"/>
  <c r="B12848" i="2"/>
  <c r="E12848" i="2"/>
  <c r="A12849" i="2"/>
  <c r="B12849" i="2"/>
  <c r="E12849" i="2"/>
  <c r="A12850" i="2"/>
  <c r="B12850" i="2"/>
  <c r="E12850" i="2"/>
  <c r="A12851" i="2"/>
  <c r="B12851" i="2"/>
  <c r="E12851" i="2"/>
  <c r="A12852" i="2"/>
  <c r="B12852" i="2"/>
  <c r="E12852" i="2"/>
  <c r="A12853" i="2"/>
  <c r="B12853" i="2"/>
  <c r="E12853" i="2"/>
  <c r="A12854" i="2"/>
  <c r="B12854" i="2"/>
  <c r="E12854" i="2"/>
  <c r="A12855" i="2"/>
  <c r="B12855" i="2"/>
  <c r="E12855" i="2"/>
  <c r="A12856" i="2"/>
  <c r="B12856" i="2"/>
  <c r="E12856" i="2"/>
  <c r="A12857" i="2"/>
  <c r="B12857" i="2"/>
  <c r="E12857" i="2"/>
  <c r="A12858" i="2"/>
  <c r="B12858" i="2"/>
  <c r="E12858" i="2"/>
  <c r="A12859" i="2"/>
  <c r="B12859" i="2"/>
  <c r="E12859" i="2"/>
  <c r="A12860" i="2"/>
  <c r="B12860" i="2"/>
  <c r="E12860" i="2"/>
  <c r="A12861" i="2"/>
  <c r="B12861" i="2"/>
  <c r="E12861" i="2"/>
  <c r="A12862" i="2"/>
  <c r="B12862" i="2"/>
  <c r="E12862" i="2"/>
  <c r="A12863" i="2"/>
  <c r="B12863" i="2"/>
  <c r="E12863" i="2"/>
  <c r="A12864" i="2"/>
  <c r="B12864" i="2"/>
  <c r="E12864" i="2"/>
  <c r="A12865" i="2"/>
  <c r="B12865" i="2"/>
  <c r="E12865" i="2"/>
  <c r="A12866" i="2"/>
  <c r="B12866" i="2"/>
  <c r="E12866" i="2"/>
  <c r="A12867" i="2"/>
  <c r="B12867" i="2"/>
  <c r="E12867" i="2"/>
  <c r="A12868" i="2"/>
  <c r="B12868" i="2"/>
  <c r="E12868" i="2"/>
  <c r="A12869" i="2"/>
  <c r="B12869" i="2"/>
  <c r="E12869" i="2"/>
  <c r="A12870" i="2"/>
  <c r="B12870" i="2"/>
  <c r="E12870" i="2"/>
  <c r="A12871" i="2"/>
  <c r="B12871" i="2"/>
  <c r="E12871" i="2"/>
  <c r="A12872" i="2"/>
  <c r="B12872" i="2"/>
  <c r="E12872" i="2"/>
  <c r="A12873" i="2"/>
  <c r="B12873" i="2"/>
  <c r="E12873" i="2"/>
  <c r="A12874" i="2"/>
  <c r="B12874" i="2"/>
  <c r="E12874" i="2"/>
  <c r="A12875" i="2"/>
  <c r="B12875" i="2"/>
  <c r="E12875" i="2"/>
  <c r="A12876" i="2"/>
  <c r="B12876" i="2"/>
  <c r="E12876" i="2"/>
  <c r="A12877" i="2"/>
  <c r="B12877" i="2"/>
  <c r="E12877" i="2"/>
  <c r="A12878" i="2"/>
  <c r="B12878" i="2"/>
  <c r="E12878" i="2"/>
  <c r="A12879" i="2"/>
  <c r="B12879" i="2"/>
  <c r="E12879" i="2"/>
  <c r="A12880" i="2"/>
  <c r="B12880" i="2"/>
  <c r="E12880" i="2"/>
  <c r="A12881" i="2"/>
  <c r="B12881" i="2"/>
  <c r="E12881" i="2"/>
  <c r="A12882" i="2"/>
  <c r="B12882" i="2"/>
  <c r="E12882" i="2"/>
  <c r="A12883" i="2"/>
  <c r="B12883" i="2"/>
  <c r="E12883" i="2"/>
  <c r="A12884" i="2"/>
  <c r="B12884" i="2"/>
  <c r="E12884" i="2"/>
  <c r="A12885" i="2"/>
  <c r="B12885" i="2"/>
  <c r="E12885" i="2"/>
  <c r="A12886" i="2"/>
  <c r="B12886" i="2"/>
  <c r="E12886" i="2"/>
  <c r="A12887" i="2"/>
  <c r="B12887" i="2"/>
  <c r="E12887" i="2"/>
  <c r="A12888" i="2"/>
  <c r="B12888" i="2"/>
  <c r="E12888" i="2"/>
  <c r="A12889" i="2"/>
  <c r="B12889" i="2"/>
  <c r="E12889" i="2"/>
  <c r="A12890" i="2"/>
  <c r="B12890" i="2"/>
  <c r="E12890" i="2"/>
  <c r="A12891" i="2"/>
  <c r="B12891" i="2"/>
  <c r="E12891" i="2"/>
  <c r="A12892" i="2"/>
  <c r="B12892" i="2"/>
  <c r="E12892" i="2"/>
  <c r="A12893" i="2"/>
  <c r="B12893" i="2"/>
  <c r="E12893" i="2"/>
  <c r="A12894" i="2"/>
  <c r="B12894" i="2"/>
  <c r="E12894" i="2"/>
  <c r="A12895" i="2"/>
  <c r="B12895" i="2"/>
  <c r="E12895" i="2"/>
  <c r="A12896" i="2"/>
  <c r="B12896" i="2"/>
  <c r="E12896" i="2"/>
  <c r="A12897" i="2"/>
  <c r="B12897" i="2"/>
  <c r="E12897" i="2"/>
  <c r="A12898" i="2"/>
  <c r="B12898" i="2"/>
  <c r="E12898" i="2"/>
  <c r="A12899" i="2"/>
  <c r="B12899" i="2"/>
  <c r="E12899" i="2"/>
  <c r="A12900" i="2"/>
  <c r="B12900" i="2"/>
  <c r="E12900" i="2"/>
  <c r="A12901" i="2"/>
  <c r="B12901" i="2"/>
  <c r="E12901" i="2"/>
  <c r="A12902" i="2"/>
  <c r="B12902" i="2"/>
  <c r="E12902" i="2"/>
  <c r="A12903" i="2"/>
  <c r="B12903" i="2"/>
  <c r="E12903" i="2"/>
  <c r="A12904" i="2"/>
  <c r="B12904" i="2"/>
  <c r="E12904" i="2"/>
  <c r="A12905" i="2"/>
  <c r="B12905" i="2"/>
  <c r="E12905" i="2"/>
  <c r="A12906" i="2"/>
  <c r="B12906" i="2"/>
  <c r="E12906" i="2"/>
  <c r="A12907" i="2"/>
  <c r="B12907" i="2"/>
  <c r="E12907" i="2"/>
  <c r="A12908" i="2"/>
  <c r="B12908" i="2"/>
  <c r="E12908" i="2"/>
  <c r="A12909" i="2"/>
  <c r="B12909" i="2"/>
  <c r="E12909" i="2"/>
  <c r="A12910" i="2"/>
  <c r="B12910" i="2"/>
  <c r="E12910" i="2"/>
  <c r="A12911" i="2"/>
  <c r="B12911" i="2"/>
  <c r="E12911" i="2"/>
  <c r="A12912" i="2"/>
  <c r="B12912" i="2"/>
  <c r="E12912" i="2"/>
  <c r="A12913" i="2"/>
  <c r="B12913" i="2"/>
  <c r="E12913" i="2"/>
  <c r="A12914" i="2"/>
  <c r="B12914" i="2"/>
  <c r="E12914" i="2"/>
  <c r="A12915" i="2"/>
  <c r="B12915" i="2"/>
  <c r="E12915" i="2"/>
  <c r="A12916" i="2"/>
  <c r="B12916" i="2"/>
  <c r="E12916" i="2"/>
  <c r="A12917" i="2"/>
  <c r="B12917" i="2"/>
  <c r="E12917" i="2"/>
  <c r="A12918" i="2"/>
  <c r="B12918" i="2"/>
  <c r="E12918" i="2"/>
  <c r="A12919" i="2"/>
  <c r="B12919" i="2"/>
  <c r="E12919" i="2"/>
  <c r="A12920" i="2"/>
  <c r="B12920" i="2"/>
  <c r="E12920" i="2"/>
  <c r="A12921" i="2"/>
  <c r="B12921" i="2"/>
  <c r="E12921" i="2"/>
  <c r="A12922" i="2"/>
  <c r="B12922" i="2"/>
  <c r="E12922" i="2"/>
  <c r="A12923" i="2"/>
  <c r="B12923" i="2"/>
  <c r="E12923" i="2"/>
  <c r="A12924" i="2"/>
  <c r="B12924" i="2"/>
  <c r="E12924" i="2"/>
  <c r="A12925" i="2"/>
  <c r="B12925" i="2"/>
  <c r="E12925" i="2"/>
  <c r="A12926" i="2"/>
  <c r="B12926" i="2"/>
  <c r="E12926" i="2"/>
  <c r="A12927" i="2"/>
  <c r="B12927" i="2"/>
  <c r="E12927" i="2"/>
  <c r="A12928" i="2"/>
  <c r="B12928" i="2"/>
  <c r="E12928" i="2"/>
  <c r="A12929" i="2"/>
  <c r="B12929" i="2"/>
  <c r="E12929" i="2"/>
  <c r="A12930" i="2"/>
  <c r="B12930" i="2"/>
  <c r="E12930" i="2"/>
  <c r="A12931" i="2"/>
  <c r="B12931" i="2"/>
  <c r="E12931" i="2"/>
  <c r="A12932" i="2"/>
  <c r="B12932" i="2"/>
  <c r="E12932" i="2"/>
  <c r="A12933" i="2"/>
  <c r="B12933" i="2"/>
  <c r="E12933" i="2"/>
  <c r="A12934" i="2"/>
  <c r="B12934" i="2"/>
  <c r="E12934" i="2"/>
  <c r="A12935" i="2"/>
  <c r="B12935" i="2"/>
  <c r="E12935" i="2"/>
  <c r="A12936" i="2"/>
  <c r="B12936" i="2"/>
  <c r="E12936" i="2"/>
  <c r="A12937" i="2"/>
  <c r="B12937" i="2"/>
  <c r="E12937" i="2"/>
  <c r="A12938" i="2"/>
  <c r="B12938" i="2"/>
  <c r="E12938" i="2"/>
  <c r="A12939" i="2"/>
  <c r="B12939" i="2"/>
  <c r="E12939" i="2"/>
  <c r="A12940" i="2"/>
  <c r="B12940" i="2"/>
  <c r="E12940" i="2"/>
  <c r="A12941" i="2"/>
  <c r="B12941" i="2"/>
  <c r="E12941" i="2"/>
  <c r="A12942" i="2"/>
  <c r="B12942" i="2"/>
  <c r="E12942" i="2"/>
  <c r="A12943" i="2"/>
  <c r="B12943" i="2"/>
  <c r="E12943" i="2"/>
  <c r="A12944" i="2"/>
  <c r="B12944" i="2"/>
  <c r="E12944" i="2"/>
  <c r="A12945" i="2"/>
  <c r="B12945" i="2"/>
  <c r="E12945" i="2"/>
  <c r="A12946" i="2"/>
  <c r="B12946" i="2"/>
  <c r="E12946" i="2"/>
  <c r="A12947" i="2"/>
  <c r="B12947" i="2"/>
  <c r="E12947" i="2"/>
  <c r="A12948" i="2"/>
  <c r="B12948" i="2"/>
  <c r="E12948" i="2"/>
  <c r="A12949" i="2"/>
  <c r="B12949" i="2"/>
  <c r="E12949" i="2"/>
  <c r="A12950" i="2"/>
  <c r="B12950" i="2"/>
  <c r="E12950" i="2"/>
  <c r="A12951" i="2"/>
  <c r="B12951" i="2"/>
  <c r="E12951" i="2"/>
  <c r="A12952" i="2"/>
  <c r="B12952" i="2"/>
  <c r="E12952" i="2"/>
  <c r="A12953" i="2"/>
  <c r="B12953" i="2"/>
  <c r="E12953" i="2"/>
  <c r="A12954" i="2"/>
  <c r="B12954" i="2"/>
  <c r="E12954" i="2"/>
  <c r="A12955" i="2"/>
  <c r="B12955" i="2"/>
  <c r="E12955" i="2"/>
  <c r="A12956" i="2"/>
  <c r="B12956" i="2"/>
  <c r="E12956" i="2"/>
  <c r="A12957" i="2"/>
  <c r="B12957" i="2"/>
  <c r="E12957" i="2"/>
  <c r="A12958" i="2"/>
  <c r="B12958" i="2"/>
  <c r="E12958" i="2"/>
  <c r="A12959" i="2"/>
  <c r="B12959" i="2"/>
  <c r="E12959" i="2"/>
  <c r="A12960" i="2"/>
  <c r="B12960" i="2"/>
  <c r="E12960" i="2"/>
  <c r="A12961" i="2"/>
  <c r="B12961" i="2"/>
  <c r="E12961" i="2"/>
  <c r="A12962" i="2"/>
  <c r="B12962" i="2"/>
  <c r="E12962" i="2"/>
  <c r="A12963" i="2"/>
  <c r="B12963" i="2"/>
  <c r="E12963" i="2"/>
  <c r="A12964" i="2"/>
  <c r="B12964" i="2"/>
  <c r="E12964" i="2"/>
  <c r="A12965" i="2"/>
  <c r="B12965" i="2"/>
  <c r="E12965" i="2"/>
  <c r="A12966" i="2"/>
  <c r="B12966" i="2"/>
  <c r="E12966" i="2"/>
  <c r="A12967" i="2"/>
  <c r="B12967" i="2"/>
  <c r="E12967" i="2"/>
  <c r="A12968" i="2"/>
  <c r="B12968" i="2"/>
  <c r="E12968" i="2"/>
  <c r="A12969" i="2"/>
  <c r="B12969" i="2"/>
  <c r="E12969" i="2"/>
  <c r="A12970" i="2"/>
  <c r="B12970" i="2"/>
  <c r="E12970" i="2"/>
  <c r="A12971" i="2"/>
  <c r="B12971" i="2"/>
  <c r="E12971" i="2"/>
  <c r="A12972" i="2"/>
  <c r="B12972" i="2"/>
  <c r="E12972" i="2"/>
  <c r="A12973" i="2"/>
  <c r="B12973" i="2"/>
  <c r="E12973" i="2"/>
  <c r="A12974" i="2"/>
  <c r="B12974" i="2"/>
  <c r="E12974" i="2"/>
  <c r="A12975" i="2"/>
  <c r="B12975" i="2"/>
  <c r="E12975" i="2"/>
  <c r="A12976" i="2"/>
  <c r="B12976" i="2"/>
  <c r="E12976" i="2"/>
  <c r="A12977" i="2"/>
  <c r="B12977" i="2"/>
  <c r="E12977" i="2"/>
  <c r="A12978" i="2"/>
  <c r="B12978" i="2"/>
  <c r="E12978" i="2"/>
  <c r="A12979" i="2"/>
  <c r="B12979" i="2"/>
  <c r="E12979" i="2"/>
  <c r="A12980" i="2"/>
  <c r="B12980" i="2"/>
  <c r="E12980" i="2"/>
  <c r="A12981" i="2"/>
  <c r="B12981" i="2"/>
  <c r="E12981" i="2"/>
  <c r="A12982" i="2"/>
  <c r="B12982" i="2"/>
  <c r="E12982" i="2"/>
  <c r="A12983" i="2"/>
  <c r="B12983" i="2"/>
  <c r="E12983" i="2"/>
  <c r="A12984" i="2"/>
  <c r="B12984" i="2"/>
  <c r="E12984" i="2"/>
  <c r="A12985" i="2"/>
  <c r="B12985" i="2"/>
  <c r="E12985" i="2"/>
  <c r="A12986" i="2"/>
  <c r="B12986" i="2"/>
  <c r="E12986" i="2"/>
  <c r="A12987" i="2"/>
  <c r="B12987" i="2"/>
  <c r="E12987" i="2"/>
  <c r="A12988" i="2"/>
  <c r="B12988" i="2"/>
  <c r="E12988" i="2"/>
  <c r="A12989" i="2"/>
  <c r="B12989" i="2"/>
  <c r="E12989" i="2"/>
  <c r="A12990" i="2"/>
  <c r="B12990" i="2"/>
  <c r="E12990" i="2"/>
  <c r="A12991" i="2"/>
  <c r="B12991" i="2"/>
  <c r="E12991" i="2"/>
  <c r="A12992" i="2"/>
  <c r="B12992" i="2"/>
  <c r="E12992" i="2"/>
  <c r="A12993" i="2"/>
  <c r="B12993" i="2"/>
  <c r="E12993" i="2"/>
  <c r="A12994" i="2"/>
  <c r="B12994" i="2"/>
  <c r="E12994" i="2"/>
  <c r="A12995" i="2"/>
  <c r="B12995" i="2"/>
  <c r="E12995" i="2"/>
  <c r="A12996" i="2"/>
  <c r="B12996" i="2"/>
  <c r="E12996" i="2"/>
  <c r="A12997" i="2"/>
  <c r="B12997" i="2"/>
  <c r="E12997" i="2"/>
  <c r="A12998" i="2"/>
  <c r="B12998" i="2"/>
  <c r="E12998" i="2"/>
  <c r="A12999" i="2"/>
  <c r="B12999" i="2"/>
  <c r="E12999" i="2"/>
  <c r="A13000" i="2"/>
  <c r="B13000" i="2"/>
  <c r="E13000" i="2"/>
  <c r="A13001" i="2"/>
  <c r="B13001" i="2"/>
  <c r="E13001" i="2"/>
  <c r="A13002" i="2"/>
  <c r="B13002" i="2"/>
  <c r="E13002" i="2"/>
  <c r="A13003" i="2"/>
  <c r="B13003" i="2"/>
  <c r="E13003" i="2"/>
  <c r="A13004" i="2"/>
  <c r="B13004" i="2"/>
  <c r="E13004" i="2"/>
  <c r="A13005" i="2"/>
  <c r="B13005" i="2"/>
  <c r="E13005" i="2"/>
  <c r="A13006" i="2"/>
  <c r="B13006" i="2"/>
  <c r="E13006" i="2"/>
  <c r="A13007" i="2"/>
  <c r="B13007" i="2"/>
  <c r="E13007" i="2"/>
  <c r="A13008" i="2"/>
  <c r="B13008" i="2"/>
  <c r="E13008" i="2"/>
  <c r="A13009" i="2"/>
  <c r="B13009" i="2"/>
  <c r="E13009" i="2"/>
  <c r="A13010" i="2"/>
  <c r="B13010" i="2"/>
  <c r="E13010" i="2"/>
  <c r="A13011" i="2"/>
  <c r="B13011" i="2"/>
  <c r="E13011" i="2"/>
  <c r="A13012" i="2"/>
  <c r="B13012" i="2"/>
  <c r="E13012" i="2"/>
  <c r="A13013" i="2"/>
  <c r="B13013" i="2"/>
  <c r="E13013" i="2"/>
  <c r="A13014" i="2"/>
  <c r="B13014" i="2"/>
  <c r="E13014" i="2"/>
  <c r="A13015" i="2"/>
  <c r="B13015" i="2"/>
  <c r="E13015" i="2"/>
  <c r="A13016" i="2"/>
  <c r="B13016" i="2"/>
  <c r="E13016" i="2"/>
  <c r="A13017" i="2"/>
  <c r="B13017" i="2"/>
  <c r="E13017" i="2"/>
  <c r="A13018" i="2"/>
  <c r="B13018" i="2"/>
  <c r="E13018" i="2"/>
  <c r="A13019" i="2"/>
  <c r="B13019" i="2"/>
  <c r="E13019" i="2"/>
  <c r="A13020" i="2"/>
  <c r="B13020" i="2"/>
  <c r="E13020" i="2"/>
  <c r="A13021" i="2"/>
  <c r="B13021" i="2"/>
  <c r="E13021" i="2"/>
  <c r="A13022" i="2"/>
  <c r="B13022" i="2"/>
  <c r="E13022" i="2"/>
  <c r="A13023" i="2"/>
  <c r="B13023" i="2"/>
  <c r="E13023" i="2"/>
  <c r="A13024" i="2"/>
  <c r="B13024" i="2"/>
  <c r="E13024" i="2"/>
  <c r="A13025" i="2"/>
  <c r="B13025" i="2"/>
  <c r="E13025" i="2"/>
  <c r="A13026" i="2"/>
  <c r="B13026" i="2"/>
  <c r="E13026" i="2"/>
  <c r="A13027" i="2"/>
  <c r="B13027" i="2"/>
  <c r="E13027" i="2"/>
  <c r="A13028" i="2"/>
  <c r="B13028" i="2"/>
  <c r="E13028" i="2"/>
  <c r="A13029" i="2"/>
  <c r="B13029" i="2"/>
  <c r="E13029" i="2"/>
  <c r="A13030" i="2"/>
  <c r="B13030" i="2"/>
  <c r="E13030" i="2"/>
  <c r="A13031" i="2"/>
  <c r="B13031" i="2"/>
  <c r="E13031" i="2"/>
  <c r="A13032" i="2"/>
  <c r="B13032" i="2"/>
  <c r="E13032" i="2"/>
  <c r="A13033" i="2"/>
  <c r="B13033" i="2"/>
  <c r="E13033" i="2"/>
  <c r="A13034" i="2"/>
  <c r="B13034" i="2"/>
  <c r="E13034" i="2"/>
  <c r="A13035" i="2"/>
  <c r="B13035" i="2"/>
  <c r="E13035" i="2"/>
  <c r="A13036" i="2"/>
  <c r="B13036" i="2"/>
  <c r="E13036" i="2"/>
  <c r="A13037" i="2"/>
  <c r="B13037" i="2"/>
  <c r="E13037" i="2"/>
  <c r="A13038" i="2"/>
  <c r="B13038" i="2"/>
  <c r="E13038" i="2"/>
  <c r="A13039" i="2"/>
  <c r="B13039" i="2"/>
  <c r="E13039" i="2"/>
  <c r="A13040" i="2"/>
  <c r="B13040" i="2"/>
  <c r="E13040" i="2"/>
  <c r="A13041" i="2"/>
  <c r="B13041" i="2"/>
  <c r="E13041" i="2"/>
  <c r="A13042" i="2"/>
  <c r="B13042" i="2"/>
  <c r="E13042" i="2"/>
  <c r="A13043" i="2"/>
  <c r="B13043" i="2"/>
  <c r="E13043" i="2"/>
  <c r="A13044" i="2"/>
  <c r="B13044" i="2"/>
  <c r="E13044" i="2"/>
  <c r="A13045" i="2"/>
  <c r="B13045" i="2"/>
  <c r="E13045" i="2"/>
  <c r="A13046" i="2"/>
  <c r="B13046" i="2"/>
  <c r="E13046" i="2"/>
  <c r="A13047" i="2"/>
  <c r="B13047" i="2"/>
  <c r="E13047" i="2"/>
  <c r="A13048" i="2"/>
  <c r="B13048" i="2"/>
  <c r="E13048" i="2"/>
  <c r="A13049" i="2"/>
  <c r="B13049" i="2"/>
  <c r="E13049" i="2"/>
  <c r="A13050" i="2"/>
  <c r="B13050" i="2"/>
  <c r="E13050" i="2"/>
  <c r="A13051" i="2"/>
  <c r="B13051" i="2"/>
  <c r="E13051" i="2"/>
  <c r="A13052" i="2"/>
  <c r="B13052" i="2"/>
  <c r="E13052" i="2"/>
  <c r="A13053" i="2"/>
  <c r="B13053" i="2"/>
  <c r="E13053" i="2"/>
  <c r="A13054" i="2"/>
  <c r="B13054" i="2"/>
  <c r="E13054" i="2"/>
  <c r="A13055" i="2"/>
  <c r="B13055" i="2"/>
  <c r="E13055" i="2"/>
  <c r="A13056" i="2"/>
  <c r="B13056" i="2"/>
  <c r="E13056" i="2"/>
  <c r="A13057" i="2"/>
  <c r="B13057" i="2"/>
  <c r="E13057" i="2"/>
  <c r="A13058" i="2"/>
  <c r="B13058" i="2"/>
  <c r="E13058" i="2"/>
  <c r="A13059" i="2"/>
  <c r="B13059" i="2"/>
  <c r="E13059" i="2"/>
  <c r="A13060" i="2"/>
  <c r="B13060" i="2"/>
  <c r="E13060" i="2"/>
  <c r="A13061" i="2"/>
  <c r="B13061" i="2"/>
  <c r="E13061" i="2"/>
  <c r="A13062" i="2"/>
  <c r="B13062" i="2"/>
  <c r="E13062" i="2"/>
  <c r="A13063" i="2"/>
  <c r="B13063" i="2"/>
  <c r="E13063" i="2"/>
  <c r="A13064" i="2"/>
  <c r="B13064" i="2"/>
  <c r="E13064" i="2"/>
  <c r="A13065" i="2"/>
  <c r="B13065" i="2"/>
  <c r="E13065" i="2"/>
  <c r="A13066" i="2"/>
  <c r="B13066" i="2"/>
  <c r="E13066" i="2"/>
  <c r="A13067" i="2"/>
  <c r="B13067" i="2"/>
  <c r="E13067" i="2"/>
  <c r="A13068" i="2"/>
  <c r="B13068" i="2"/>
  <c r="E13068" i="2"/>
  <c r="A13069" i="2"/>
  <c r="B13069" i="2"/>
  <c r="E13069" i="2"/>
  <c r="A13070" i="2"/>
  <c r="B13070" i="2"/>
  <c r="E13070" i="2"/>
  <c r="A13071" i="2"/>
  <c r="B13071" i="2"/>
  <c r="E13071" i="2"/>
  <c r="A13072" i="2"/>
  <c r="B13072" i="2"/>
  <c r="E13072" i="2"/>
  <c r="A13073" i="2"/>
  <c r="B13073" i="2"/>
  <c r="E13073" i="2"/>
  <c r="A13074" i="2"/>
  <c r="B13074" i="2"/>
  <c r="E13074" i="2"/>
  <c r="A13075" i="2"/>
  <c r="B13075" i="2"/>
  <c r="E13075" i="2"/>
  <c r="A13076" i="2"/>
  <c r="B13076" i="2"/>
  <c r="E13076" i="2"/>
  <c r="A13077" i="2"/>
  <c r="B13077" i="2"/>
  <c r="E13077" i="2"/>
  <c r="A13078" i="2"/>
  <c r="B13078" i="2"/>
  <c r="E13078" i="2"/>
  <c r="A13079" i="2"/>
  <c r="B13079" i="2"/>
  <c r="E13079" i="2"/>
  <c r="A13080" i="2"/>
  <c r="B13080" i="2"/>
  <c r="E13080" i="2"/>
  <c r="A13081" i="2"/>
  <c r="B13081" i="2"/>
  <c r="E13081" i="2"/>
  <c r="A13082" i="2"/>
  <c r="B13082" i="2"/>
  <c r="E13082" i="2"/>
  <c r="A13083" i="2"/>
  <c r="B13083" i="2"/>
  <c r="E13083" i="2"/>
  <c r="A13084" i="2"/>
  <c r="B13084" i="2"/>
  <c r="E13084" i="2"/>
  <c r="A13085" i="2"/>
  <c r="B13085" i="2"/>
  <c r="E13085" i="2"/>
  <c r="A13086" i="2"/>
  <c r="B13086" i="2"/>
  <c r="E13086" i="2"/>
  <c r="A13087" i="2"/>
  <c r="B13087" i="2"/>
  <c r="E13087" i="2"/>
  <c r="A13088" i="2"/>
  <c r="B13088" i="2"/>
  <c r="E13088" i="2"/>
  <c r="A13089" i="2"/>
  <c r="B13089" i="2"/>
  <c r="E13089" i="2"/>
  <c r="A13090" i="2"/>
  <c r="B13090" i="2"/>
  <c r="E13090" i="2"/>
  <c r="A13091" i="2"/>
  <c r="B13091" i="2"/>
  <c r="E13091" i="2"/>
  <c r="A13092" i="2"/>
  <c r="B13092" i="2"/>
  <c r="E13092" i="2"/>
  <c r="A13093" i="2"/>
  <c r="B13093" i="2"/>
  <c r="E13093" i="2"/>
  <c r="A13094" i="2"/>
  <c r="B13094" i="2"/>
  <c r="E13094" i="2"/>
  <c r="A13095" i="2"/>
  <c r="B13095" i="2"/>
  <c r="E13095" i="2"/>
  <c r="A13096" i="2"/>
  <c r="B13096" i="2"/>
  <c r="E13096" i="2"/>
  <c r="A13097" i="2"/>
  <c r="B13097" i="2"/>
  <c r="E13097" i="2"/>
  <c r="A13098" i="2"/>
  <c r="B13098" i="2"/>
  <c r="E13098" i="2"/>
  <c r="A13099" i="2"/>
  <c r="B13099" i="2"/>
  <c r="E13099" i="2"/>
  <c r="A13100" i="2"/>
  <c r="B13100" i="2"/>
  <c r="E13100" i="2"/>
  <c r="A13101" i="2"/>
  <c r="B13101" i="2"/>
  <c r="E13101" i="2"/>
  <c r="A13102" i="2"/>
  <c r="B13102" i="2"/>
  <c r="E13102" i="2"/>
  <c r="A13103" i="2"/>
  <c r="B13103" i="2"/>
  <c r="E13103" i="2"/>
  <c r="A13104" i="2"/>
  <c r="B13104" i="2"/>
  <c r="E13104" i="2"/>
  <c r="A13105" i="2"/>
  <c r="B13105" i="2"/>
  <c r="E13105" i="2"/>
  <c r="A13106" i="2"/>
  <c r="B13106" i="2"/>
  <c r="E13106" i="2"/>
  <c r="A13107" i="2"/>
  <c r="B13107" i="2"/>
  <c r="E13107" i="2"/>
  <c r="A13108" i="2"/>
  <c r="B13108" i="2"/>
  <c r="E13108" i="2"/>
  <c r="A13109" i="2"/>
  <c r="B13109" i="2"/>
  <c r="E13109" i="2"/>
  <c r="A13110" i="2"/>
  <c r="B13110" i="2"/>
  <c r="E13110" i="2"/>
  <c r="A13111" i="2"/>
  <c r="B13111" i="2"/>
  <c r="E13111" i="2"/>
  <c r="A13112" i="2"/>
  <c r="B13112" i="2"/>
  <c r="E13112" i="2"/>
  <c r="A13113" i="2"/>
  <c r="B13113" i="2"/>
  <c r="E13113" i="2"/>
  <c r="A13114" i="2"/>
  <c r="B13114" i="2"/>
  <c r="E13114" i="2"/>
  <c r="A13115" i="2"/>
  <c r="B13115" i="2"/>
  <c r="E13115" i="2"/>
  <c r="A13116" i="2"/>
  <c r="B13116" i="2"/>
  <c r="E13116" i="2"/>
  <c r="A13117" i="2"/>
  <c r="B13117" i="2"/>
  <c r="E13117" i="2"/>
  <c r="A13118" i="2"/>
  <c r="B13118" i="2"/>
  <c r="E13118" i="2"/>
  <c r="A13119" i="2"/>
  <c r="B13119" i="2"/>
  <c r="E13119" i="2"/>
  <c r="A13120" i="2"/>
  <c r="B13120" i="2"/>
  <c r="E13120" i="2"/>
  <c r="A13121" i="2"/>
  <c r="B13121" i="2"/>
  <c r="E13121" i="2"/>
  <c r="A13122" i="2"/>
  <c r="B13122" i="2"/>
  <c r="E13122" i="2"/>
  <c r="A13123" i="2"/>
  <c r="B13123" i="2"/>
  <c r="E13123" i="2"/>
  <c r="A13124" i="2"/>
  <c r="B13124" i="2"/>
  <c r="E13124" i="2"/>
  <c r="A13125" i="2"/>
  <c r="B13125" i="2"/>
  <c r="E13125" i="2"/>
  <c r="A13126" i="2"/>
  <c r="B13126" i="2"/>
  <c r="E13126" i="2"/>
  <c r="A13127" i="2"/>
  <c r="B13127" i="2"/>
  <c r="E13127" i="2"/>
  <c r="A13128" i="2"/>
  <c r="B13128" i="2"/>
  <c r="E13128" i="2"/>
  <c r="A13129" i="2"/>
  <c r="B13129" i="2"/>
  <c r="E13129" i="2"/>
  <c r="A13130" i="2"/>
  <c r="B13130" i="2"/>
  <c r="E13130" i="2"/>
  <c r="A13131" i="2"/>
  <c r="B13131" i="2"/>
  <c r="E13131" i="2"/>
  <c r="A13132" i="2"/>
  <c r="B13132" i="2"/>
  <c r="E13132" i="2"/>
  <c r="A13133" i="2"/>
  <c r="B13133" i="2"/>
  <c r="E13133" i="2"/>
  <c r="A13134" i="2"/>
  <c r="B13134" i="2"/>
  <c r="E13134" i="2"/>
  <c r="A13135" i="2"/>
  <c r="B13135" i="2"/>
  <c r="E13135" i="2"/>
  <c r="A13136" i="2"/>
  <c r="B13136" i="2"/>
  <c r="E13136" i="2"/>
  <c r="A13137" i="2"/>
  <c r="B13137" i="2"/>
  <c r="E13137" i="2"/>
  <c r="A13138" i="2"/>
  <c r="B13138" i="2"/>
  <c r="E13138" i="2"/>
  <c r="A13139" i="2"/>
  <c r="B13139" i="2"/>
  <c r="E13139" i="2"/>
  <c r="A13140" i="2"/>
  <c r="B13140" i="2"/>
  <c r="E13140" i="2"/>
  <c r="A13141" i="2"/>
  <c r="B13141" i="2"/>
  <c r="E13141" i="2"/>
  <c r="A13142" i="2"/>
  <c r="B13142" i="2"/>
  <c r="E13142" i="2"/>
  <c r="A13143" i="2"/>
  <c r="B13143" i="2"/>
  <c r="E13143" i="2"/>
  <c r="A13144" i="2"/>
  <c r="B13144" i="2"/>
  <c r="E13144" i="2"/>
  <c r="A13145" i="2"/>
  <c r="B13145" i="2"/>
  <c r="E13145" i="2"/>
  <c r="A13146" i="2"/>
  <c r="B13146" i="2"/>
  <c r="E13146" i="2"/>
  <c r="A13147" i="2"/>
  <c r="B13147" i="2"/>
  <c r="E13147" i="2"/>
  <c r="A13148" i="2"/>
  <c r="B13148" i="2"/>
  <c r="E13148" i="2"/>
  <c r="A13149" i="2"/>
  <c r="B13149" i="2"/>
  <c r="E13149" i="2"/>
  <c r="A13150" i="2"/>
  <c r="B13150" i="2"/>
  <c r="E13150" i="2"/>
  <c r="A13151" i="2"/>
  <c r="B13151" i="2"/>
  <c r="E13151" i="2"/>
  <c r="A13152" i="2"/>
  <c r="B13152" i="2"/>
  <c r="E13152" i="2"/>
  <c r="A13153" i="2"/>
  <c r="B13153" i="2"/>
  <c r="E13153" i="2"/>
  <c r="A13154" i="2"/>
  <c r="B13154" i="2"/>
  <c r="E13154" i="2"/>
  <c r="A13155" i="2"/>
  <c r="B13155" i="2"/>
  <c r="E13155" i="2"/>
  <c r="A13156" i="2"/>
  <c r="B13156" i="2"/>
  <c r="E13156" i="2"/>
  <c r="A13157" i="2"/>
  <c r="B13157" i="2"/>
  <c r="E13157" i="2"/>
  <c r="A13158" i="2"/>
  <c r="B13158" i="2"/>
  <c r="E13158" i="2"/>
  <c r="A13159" i="2"/>
  <c r="B13159" i="2"/>
  <c r="E13159" i="2"/>
  <c r="A13160" i="2"/>
  <c r="B13160" i="2"/>
  <c r="E13160" i="2"/>
  <c r="A13161" i="2"/>
  <c r="B13161" i="2"/>
  <c r="E13161" i="2"/>
  <c r="A13162" i="2"/>
  <c r="B13162" i="2"/>
  <c r="E13162" i="2"/>
  <c r="A13163" i="2"/>
  <c r="B13163" i="2"/>
  <c r="E13163" i="2"/>
  <c r="A13164" i="2"/>
  <c r="B13164" i="2"/>
  <c r="E13164" i="2"/>
  <c r="A13165" i="2"/>
  <c r="B13165" i="2"/>
  <c r="E13165" i="2"/>
  <c r="A13166" i="2"/>
  <c r="B13166" i="2"/>
  <c r="E13166" i="2"/>
  <c r="A13167" i="2"/>
  <c r="B13167" i="2"/>
  <c r="E13167" i="2"/>
  <c r="A13168" i="2"/>
  <c r="B13168" i="2"/>
  <c r="E13168" i="2"/>
  <c r="A13169" i="2"/>
  <c r="B13169" i="2"/>
  <c r="E13169" i="2"/>
  <c r="A13170" i="2"/>
  <c r="B13170" i="2"/>
  <c r="E13170" i="2"/>
  <c r="A13171" i="2"/>
  <c r="B13171" i="2"/>
  <c r="E13171" i="2"/>
  <c r="A13172" i="2"/>
  <c r="B13172" i="2"/>
  <c r="E13172" i="2"/>
  <c r="A13173" i="2"/>
  <c r="B13173" i="2"/>
  <c r="E13173" i="2"/>
  <c r="A13174" i="2"/>
  <c r="B13174" i="2"/>
  <c r="E13174" i="2"/>
  <c r="A13175" i="2"/>
  <c r="B13175" i="2"/>
  <c r="E13175" i="2"/>
  <c r="A13176" i="2"/>
  <c r="B13176" i="2"/>
  <c r="E13176" i="2"/>
  <c r="A13177" i="2"/>
  <c r="B13177" i="2"/>
  <c r="E13177" i="2"/>
  <c r="A13178" i="2"/>
  <c r="B13178" i="2"/>
  <c r="E13178" i="2"/>
  <c r="A13179" i="2"/>
  <c r="B13179" i="2"/>
  <c r="E13179" i="2"/>
  <c r="A13180" i="2"/>
  <c r="B13180" i="2"/>
  <c r="E13180" i="2"/>
  <c r="A13181" i="2"/>
  <c r="B13181" i="2"/>
  <c r="E13181" i="2"/>
  <c r="A13182" i="2"/>
  <c r="B13182" i="2"/>
  <c r="E13182" i="2"/>
  <c r="A13183" i="2"/>
  <c r="B13183" i="2"/>
  <c r="E13183" i="2"/>
  <c r="A13184" i="2"/>
  <c r="B13184" i="2"/>
  <c r="E13184" i="2"/>
  <c r="A13185" i="2"/>
  <c r="B13185" i="2"/>
  <c r="E13185" i="2"/>
  <c r="A13186" i="2"/>
  <c r="B13186" i="2"/>
  <c r="E13186" i="2"/>
  <c r="A13187" i="2"/>
  <c r="B13187" i="2"/>
  <c r="E13187" i="2"/>
  <c r="A13188" i="2"/>
  <c r="B13188" i="2"/>
  <c r="E13188" i="2"/>
  <c r="A13189" i="2"/>
  <c r="B13189" i="2"/>
  <c r="E13189" i="2"/>
  <c r="A13190" i="2"/>
  <c r="B13190" i="2"/>
  <c r="E13190" i="2"/>
  <c r="A13191" i="2"/>
  <c r="B13191" i="2"/>
  <c r="E13191" i="2"/>
  <c r="A13192" i="2"/>
  <c r="B13192" i="2"/>
  <c r="E13192" i="2"/>
  <c r="A13193" i="2"/>
  <c r="B13193" i="2"/>
  <c r="E13193" i="2"/>
  <c r="A13194" i="2"/>
  <c r="B13194" i="2"/>
  <c r="E13194" i="2"/>
  <c r="A13195" i="2"/>
  <c r="B13195" i="2"/>
  <c r="E13195" i="2"/>
  <c r="A13196" i="2"/>
  <c r="B13196" i="2"/>
  <c r="E13196" i="2"/>
  <c r="A13197" i="2"/>
  <c r="B13197" i="2"/>
  <c r="E13197" i="2"/>
  <c r="A13198" i="2"/>
  <c r="B13198" i="2"/>
  <c r="E13198" i="2"/>
  <c r="A13199" i="2"/>
  <c r="B13199" i="2"/>
  <c r="E13199" i="2"/>
  <c r="A13200" i="2"/>
  <c r="B13200" i="2"/>
  <c r="E13200" i="2"/>
  <c r="A13201" i="2"/>
  <c r="B13201" i="2"/>
  <c r="E13201" i="2"/>
  <c r="A13202" i="2"/>
  <c r="B13202" i="2"/>
  <c r="E13202" i="2"/>
  <c r="A13203" i="2"/>
  <c r="B13203" i="2"/>
  <c r="E13203" i="2"/>
  <c r="A13204" i="2"/>
  <c r="B13204" i="2"/>
  <c r="E13204" i="2"/>
  <c r="A13205" i="2"/>
  <c r="B13205" i="2"/>
  <c r="E13205" i="2"/>
  <c r="A13206" i="2"/>
  <c r="B13206" i="2"/>
  <c r="E13206" i="2"/>
  <c r="A13207" i="2"/>
  <c r="B13207" i="2"/>
  <c r="E13207" i="2"/>
  <c r="A13208" i="2"/>
  <c r="B13208" i="2"/>
  <c r="E13208" i="2"/>
  <c r="A13209" i="2"/>
  <c r="B13209" i="2"/>
  <c r="E13209" i="2"/>
  <c r="A13210" i="2"/>
  <c r="B13210" i="2"/>
  <c r="E13210" i="2"/>
  <c r="A13211" i="2"/>
  <c r="B13211" i="2"/>
  <c r="E13211" i="2"/>
  <c r="A13212" i="2"/>
  <c r="B13212" i="2"/>
  <c r="E13212" i="2"/>
  <c r="A13213" i="2"/>
  <c r="B13213" i="2"/>
  <c r="E13213" i="2"/>
  <c r="A13214" i="2"/>
  <c r="B13214" i="2"/>
  <c r="E13214" i="2"/>
  <c r="A13215" i="2"/>
  <c r="B13215" i="2"/>
  <c r="E13215" i="2"/>
  <c r="A13216" i="2"/>
  <c r="B13216" i="2"/>
  <c r="E13216" i="2"/>
  <c r="A13217" i="2"/>
  <c r="B13217" i="2"/>
  <c r="E13217" i="2"/>
  <c r="A13218" i="2"/>
  <c r="B13218" i="2"/>
  <c r="E13218" i="2"/>
  <c r="A13219" i="2"/>
  <c r="B13219" i="2"/>
  <c r="E13219" i="2"/>
  <c r="A13220" i="2"/>
  <c r="B13220" i="2"/>
  <c r="E13220" i="2"/>
  <c r="A13221" i="2"/>
  <c r="B13221" i="2"/>
  <c r="E13221" i="2"/>
  <c r="A13222" i="2"/>
  <c r="B13222" i="2"/>
  <c r="E13222" i="2"/>
  <c r="A13223" i="2"/>
  <c r="B13223" i="2"/>
  <c r="E13223" i="2"/>
  <c r="A13224" i="2"/>
  <c r="B13224" i="2"/>
  <c r="E13224" i="2"/>
  <c r="A13225" i="2"/>
  <c r="B13225" i="2"/>
  <c r="E13225" i="2"/>
  <c r="A13226" i="2"/>
  <c r="B13226" i="2"/>
  <c r="E13226" i="2"/>
  <c r="A13227" i="2"/>
  <c r="B13227" i="2"/>
  <c r="E13227" i="2"/>
  <c r="A13228" i="2"/>
  <c r="B13228" i="2"/>
  <c r="E13228" i="2"/>
  <c r="A13229" i="2"/>
  <c r="B13229" i="2"/>
  <c r="E13229" i="2"/>
  <c r="A13230" i="2"/>
  <c r="B13230" i="2"/>
  <c r="E13230" i="2"/>
  <c r="A13231" i="2"/>
  <c r="B13231" i="2"/>
  <c r="E13231" i="2"/>
  <c r="A13232" i="2"/>
  <c r="B13232" i="2"/>
  <c r="E13232" i="2"/>
  <c r="A13233" i="2"/>
  <c r="B13233" i="2"/>
  <c r="E13233" i="2"/>
  <c r="A13234" i="2"/>
  <c r="B13234" i="2"/>
  <c r="E13234" i="2"/>
  <c r="A13235" i="2"/>
  <c r="B13235" i="2"/>
  <c r="E13235" i="2"/>
  <c r="A13236" i="2"/>
  <c r="B13236" i="2"/>
  <c r="E13236" i="2"/>
  <c r="A13237" i="2"/>
  <c r="B13237" i="2"/>
  <c r="E13237" i="2"/>
  <c r="A13238" i="2"/>
  <c r="B13238" i="2"/>
  <c r="E13238" i="2"/>
  <c r="A13239" i="2"/>
  <c r="B13239" i="2"/>
  <c r="E13239" i="2"/>
  <c r="A13240" i="2"/>
  <c r="B13240" i="2"/>
  <c r="E13240" i="2"/>
  <c r="A13241" i="2"/>
  <c r="B13241" i="2"/>
  <c r="E13241" i="2"/>
  <c r="A13242" i="2"/>
  <c r="B13242" i="2"/>
  <c r="E13242" i="2"/>
  <c r="A13243" i="2"/>
  <c r="B13243" i="2"/>
  <c r="E13243" i="2"/>
  <c r="A13244" i="2"/>
  <c r="B13244" i="2"/>
  <c r="E13244" i="2"/>
  <c r="A13245" i="2"/>
  <c r="B13245" i="2"/>
  <c r="E13245" i="2"/>
  <c r="A13246" i="2"/>
  <c r="B13246" i="2"/>
  <c r="E13246" i="2"/>
  <c r="A13247" i="2"/>
  <c r="B13247" i="2"/>
  <c r="E13247" i="2"/>
  <c r="A13248" i="2"/>
  <c r="B13248" i="2"/>
  <c r="E13248" i="2"/>
  <c r="A13249" i="2"/>
  <c r="B13249" i="2"/>
  <c r="E13249" i="2"/>
  <c r="A13250" i="2"/>
  <c r="B13250" i="2"/>
  <c r="E13250" i="2"/>
  <c r="A13251" i="2"/>
  <c r="B13251" i="2"/>
  <c r="E13251" i="2"/>
  <c r="A13252" i="2"/>
  <c r="B13252" i="2"/>
  <c r="E13252" i="2"/>
  <c r="A13253" i="2"/>
  <c r="B13253" i="2"/>
  <c r="E13253" i="2"/>
  <c r="A13254" i="2"/>
  <c r="B13254" i="2"/>
  <c r="E13254" i="2"/>
  <c r="A13255" i="2"/>
  <c r="B13255" i="2"/>
  <c r="E13255" i="2"/>
  <c r="A13256" i="2"/>
  <c r="B13256" i="2"/>
  <c r="E13256" i="2"/>
  <c r="A13257" i="2"/>
  <c r="B13257" i="2"/>
  <c r="E13257" i="2"/>
  <c r="A13258" i="2"/>
  <c r="B13258" i="2"/>
  <c r="E13258" i="2"/>
  <c r="A13259" i="2"/>
  <c r="B13259" i="2"/>
  <c r="E13259" i="2"/>
  <c r="A13260" i="2"/>
  <c r="B13260" i="2"/>
  <c r="E13260" i="2"/>
  <c r="A13261" i="2"/>
  <c r="B13261" i="2"/>
  <c r="E13261" i="2"/>
  <c r="A13262" i="2"/>
  <c r="B13262" i="2"/>
  <c r="E13262" i="2"/>
  <c r="A13263" i="2"/>
  <c r="B13263" i="2"/>
  <c r="E13263" i="2"/>
  <c r="A13264" i="2"/>
  <c r="B13264" i="2"/>
  <c r="E13264" i="2"/>
  <c r="A13265" i="2"/>
  <c r="B13265" i="2"/>
  <c r="E13265" i="2"/>
  <c r="A13266" i="2"/>
  <c r="B13266" i="2"/>
  <c r="E13266" i="2"/>
  <c r="A13267" i="2"/>
  <c r="B13267" i="2"/>
  <c r="E13267" i="2"/>
  <c r="A13268" i="2"/>
  <c r="B13268" i="2"/>
  <c r="E13268" i="2"/>
  <c r="A13269" i="2"/>
  <c r="B13269" i="2"/>
  <c r="E13269" i="2"/>
  <c r="A13270" i="2"/>
  <c r="B13270" i="2"/>
  <c r="E13270" i="2"/>
  <c r="A13271" i="2"/>
  <c r="B13271" i="2"/>
  <c r="E13271" i="2"/>
  <c r="A13272" i="2"/>
  <c r="B13272" i="2"/>
  <c r="E13272" i="2"/>
  <c r="A13273" i="2"/>
  <c r="B13273" i="2"/>
  <c r="E13273" i="2"/>
  <c r="A13274" i="2"/>
  <c r="B13274" i="2"/>
  <c r="E13274" i="2"/>
  <c r="A13275" i="2"/>
  <c r="B13275" i="2"/>
  <c r="E13275" i="2"/>
  <c r="A13276" i="2"/>
  <c r="B13276" i="2"/>
  <c r="E13276" i="2"/>
  <c r="A13277" i="2"/>
  <c r="B13277" i="2"/>
  <c r="E13277" i="2"/>
  <c r="A13278" i="2"/>
  <c r="B13278" i="2"/>
  <c r="E13278" i="2"/>
  <c r="A13279" i="2"/>
  <c r="B13279" i="2"/>
  <c r="E13279" i="2"/>
  <c r="A13280" i="2"/>
  <c r="B13280" i="2"/>
  <c r="E13280" i="2"/>
  <c r="A13281" i="2"/>
  <c r="B13281" i="2"/>
  <c r="E13281" i="2"/>
  <c r="A13282" i="2"/>
  <c r="B13282" i="2"/>
  <c r="E13282" i="2"/>
  <c r="A13283" i="2"/>
  <c r="B13283" i="2"/>
  <c r="E13283" i="2"/>
  <c r="A13284" i="2"/>
  <c r="B13284" i="2"/>
  <c r="E13284" i="2"/>
  <c r="A13285" i="2"/>
  <c r="B13285" i="2"/>
  <c r="E13285" i="2"/>
  <c r="A13286" i="2"/>
  <c r="B13286" i="2"/>
  <c r="E13286" i="2"/>
  <c r="A13287" i="2"/>
  <c r="B13287" i="2"/>
  <c r="E13287" i="2"/>
  <c r="A13288" i="2"/>
  <c r="B13288" i="2"/>
  <c r="E13288" i="2"/>
  <c r="A13289" i="2"/>
  <c r="B13289" i="2"/>
  <c r="E13289" i="2"/>
  <c r="A13290" i="2"/>
  <c r="B13290" i="2"/>
  <c r="E13290" i="2"/>
  <c r="A13291" i="2"/>
  <c r="B13291" i="2"/>
  <c r="E13291" i="2"/>
  <c r="A13292" i="2"/>
  <c r="B13292" i="2"/>
  <c r="E13292" i="2"/>
  <c r="A13293" i="2"/>
  <c r="B13293" i="2"/>
  <c r="E13293" i="2"/>
  <c r="A13294" i="2"/>
  <c r="B13294" i="2"/>
  <c r="E13294" i="2"/>
  <c r="A13295" i="2"/>
  <c r="B13295" i="2"/>
  <c r="E13295" i="2"/>
  <c r="A13296" i="2"/>
  <c r="B13296" i="2"/>
  <c r="E13296" i="2"/>
  <c r="A13297" i="2"/>
  <c r="B13297" i="2"/>
  <c r="E13297" i="2"/>
  <c r="A13298" i="2"/>
  <c r="B13298" i="2"/>
  <c r="E13298" i="2"/>
  <c r="A13299" i="2"/>
  <c r="B13299" i="2"/>
  <c r="E13299" i="2"/>
  <c r="A13300" i="2"/>
  <c r="B13300" i="2"/>
  <c r="E13300" i="2"/>
  <c r="A13301" i="2"/>
  <c r="B13301" i="2"/>
  <c r="E13301" i="2"/>
  <c r="A13302" i="2"/>
  <c r="B13302" i="2"/>
  <c r="E13302" i="2"/>
  <c r="A13303" i="2"/>
  <c r="B13303" i="2"/>
  <c r="E13303" i="2"/>
  <c r="A13304" i="2"/>
  <c r="B13304" i="2"/>
  <c r="E13304" i="2"/>
  <c r="A13305" i="2"/>
  <c r="B13305" i="2"/>
  <c r="E13305" i="2"/>
  <c r="A13306" i="2"/>
  <c r="B13306" i="2"/>
  <c r="E13306" i="2"/>
  <c r="A13307" i="2"/>
  <c r="B13307" i="2"/>
  <c r="E13307" i="2"/>
  <c r="A13308" i="2"/>
  <c r="B13308" i="2"/>
  <c r="E13308" i="2"/>
  <c r="A13309" i="2"/>
  <c r="B13309" i="2"/>
  <c r="E13309" i="2"/>
  <c r="A13310" i="2"/>
  <c r="B13310" i="2"/>
  <c r="E13310" i="2"/>
  <c r="A13311" i="2"/>
  <c r="B13311" i="2"/>
  <c r="E13311" i="2"/>
  <c r="A13312" i="2"/>
  <c r="B13312" i="2"/>
  <c r="E13312" i="2"/>
  <c r="A13313" i="2"/>
  <c r="B13313" i="2"/>
  <c r="E13313" i="2"/>
  <c r="A13314" i="2"/>
  <c r="B13314" i="2"/>
  <c r="E13314" i="2"/>
  <c r="A13315" i="2"/>
  <c r="B13315" i="2"/>
  <c r="E13315" i="2"/>
  <c r="A13316" i="2"/>
  <c r="B13316" i="2"/>
  <c r="E13316" i="2"/>
  <c r="A13317" i="2"/>
  <c r="B13317" i="2"/>
  <c r="E13317" i="2"/>
  <c r="A13318" i="2"/>
  <c r="B13318" i="2"/>
  <c r="E13318" i="2"/>
  <c r="A13319" i="2"/>
  <c r="B13319" i="2"/>
  <c r="E13319" i="2"/>
  <c r="A13320" i="2"/>
  <c r="B13320" i="2"/>
  <c r="E13320" i="2"/>
  <c r="A13321" i="2"/>
  <c r="B13321" i="2"/>
  <c r="E13321" i="2"/>
  <c r="A13322" i="2"/>
  <c r="B13322" i="2"/>
  <c r="E13322" i="2"/>
  <c r="A13323" i="2"/>
  <c r="B13323" i="2"/>
  <c r="E13323" i="2"/>
  <c r="A13324" i="2"/>
  <c r="B13324" i="2"/>
  <c r="E13324" i="2"/>
  <c r="A13325" i="2"/>
  <c r="B13325" i="2"/>
  <c r="E13325" i="2"/>
  <c r="A13326" i="2"/>
  <c r="B13326" i="2"/>
  <c r="E13326" i="2"/>
  <c r="A13327" i="2"/>
  <c r="B13327" i="2"/>
  <c r="E13327" i="2"/>
  <c r="A13328" i="2"/>
  <c r="B13328" i="2"/>
  <c r="E13328" i="2"/>
  <c r="A13329" i="2"/>
  <c r="B13329" i="2"/>
  <c r="E13329" i="2"/>
  <c r="A13330" i="2"/>
  <c r="B13330" i="2"/>
  <c r="E13330" i="2"/>
  <c r="A13331" i="2"/>
  <c r="B13331" i="2"/>
  <c r="E13331" i="2"/>
  <c r="A13332" i="2"/>
  <c r="B13332" i="2"/>
  <c r="E13332" i="2"/>
  <c r="A13333" i="2"/>
  <c r="B13333" i="2"/>
  <c r="E13333" i="2"/>
  <c r="A13334" i="2"/>
  <c r="B13334" i="2"/>
  <c r="E13334" i="2"/>
  <c r="A13335" i="2"/>
  <c r="B13335" i="2"/>
  <c r="E13335" i="2"/>
  <c r="A13336" i="2"/>
  <c r="B13336" i="2"/>
  <c r="E13336" i="2"/>
  <c r="A13337" i="2"/>
  <c r="B13337" i="2"/>
  <c r="E13337" i="2"/>
  <c r="A13338" i="2"/>
  <c r="B13338" i="2"/>
  <c r="E13338" i="2"/>
  <c r="A13339" i="2"/>
  <c r="B13339" i="2"/>
  <c r="E13339" i="2"/>
  <c r="A13340" i="2"/>
  <c r="B13340" i="2"/>
  <c r="E13340" i="2"/>
  <c r="A13341" i="2"/>
  <c r="B13341" i="2"/>
  <c r="E13341" i="2"/>
  <c r="A13342" i="2"/>
  <c r="B13342" i="2"/>
  <c r="E13342" i="2"/>
  <c r="A13343" i="2"/>
  <c r="B13343" i="2"/>
  <c r="E13343" i="2"/>
  <c r="A13344" i="2"/>
  <c r="B13344" i="2"/>
  <c r="E13344" i="2"/>
  <c r="A13345" i="2"/>
  <c r="B13345" i="2"/>
  <c r="E13345" i="2"/>
  <c r="A13346" i="2"/>
  <c r="B13346" i="2"/>
  <c r="E13346" i="2"/>
  <c r="A13347" i="2"/>
  <c r="B13347" i="2"/>
  <c r="E13347" i="2"/>
  <c r="A13348" i="2"/>
  <c r="B13348" i="2"/>
  <c r="E13348" i="2"/>
  <c r="A13349" i="2"/>
  <c r="B13349" i="2"/>
  <c r="E13349" i="2"/>
  <c r="A13350" i="2"/>
  <c r="B13350" i="2"/>
  <c r="E13350" i="2"/>
  <c r="A13351" i="2"/>
  <c r="B13351" i="2"/>
  <c r="E13351" i="2"/>
  <c r="A13352" i="2"/>
  <c r="B13352" i="2"/>
  <c r="E13352" i="2"/>
  <c r="A13353" i="2"/>
  <c r="B13353" i="2"/>
  <c r="E13353" i="2"/>
  <c r="A13354" i="2"/>
  <c r="B13354" i="2"/>
  <c r="E13354" i="2"/>
  <c r="A13355" i="2"/>
  <c r="B13355" i="2"/>
  <c r="E13355" i="2"/>
  <c r="A13356" i="2"/>
  <c r="B13356" i="2"/>
  <c r="E13356" i="2"/>
  <c r="A13357" i="2"/>
  <c r="B13357" i="2"/>
  <c r="E13357" i="2"/>
  <c r="A13358" i="2"/>
  <c r="B13358" i="2"/>
  <c r="E13358" i="2"/>
  <c r="A13359" i="2"/>
  <c r="B13359" i="2"/>
  <c r="E13359" i="2"/>
  <c r="A13360" i="2"/>
  <c r="B13360" i="2"/>
  <c r="E13360" i="2"/>
  <c r="A13361" i="2"/>
  <c r="B13361" i="2"/>
  <c r="E13361" i="2"/>
  <c r="A13362" i="2"/>
  <c r="B13362" i="2"/>
  <c r="E13362" i="2"/>
  <c r="A13363" i="2"/>
  <c r="B13363" i="2"/>
  <c r="E13363" i="2"/>
  <c r="A13364" i="2"/>
  <c r="B13364" i="2"/>
  <c r="E13364" i="2"/>
  <c r="A13365" i="2"/>
  <c r="B13365" i="2"/>
  <c r="E13365" i="2"/>
  <c r="A13366" i="2"/>
  <c r="B13366" i="2"/>
  <c r="E13366" i="2"/>
  <c r="A13367" i="2"/>
  <c r="B13367" i="2"/>
  <c r="E13367" i="2"/>
  <c r="A13368" i="2"/>
  <c r="B13368" i="2"/>
  <c r="E13368" i="2"/>
  <c r="A13369" i="2"/>
  <c r="B13369" i="2"/>
  <c r="E13369" i="2"/>
  <c r="A13370" i="2"/>
  <c r="B13370" i="2"/>
  <c r="E13370" i="2"/>
  <c r="A13371" i="2"/>
  <c r="B13371" i="2"/>
  <c r="E13371" i="2"/>
  <c r="A13372" i="2"/>
  <c r="B13372" i="2"/>
  <c r="E13372" i="2"/>
  <c r="A13373" i="2"/>
  <c r="B13373" i="2"/>
  <c r="E13373" i="2"/>
  <c r="A13374" i="2"/>
  <c r="B13374" i="2"/>
  <c r="E13374" i="2"/>
  <c r="A13375" i="2"/>
  <c r="B13375" i="2"/>
  <c r="E13375" i="2"/>
  <c r="A13376" i="2"/>
  <c r="B13376" i="2"/>
  <c r="E13376" i="2"/>
  <c r="A13377" i="2"/>
  <c r="B13377" i="2"/>
  <c r="E13377" i="2"/>
  <c r="A13378" i="2"/>
  <c r="B13378" i="2"/>
  <c r="E13378" i="2"/>
  <c r="A13379" i="2"/>
  <c r="B13379" i="2"/>
  <c r="E13379" i="2"/>
  <c r="A13380" i="2"/>
  <c r="B13380" i="2"/>
  <c r="E13380" i="2"/>
  <c r="A13381" i="2"/>
  <c r="B13381" i="2"/>
  <c r="E13381" i="2"/>
  <c r="A13382" i="2"/>
  <c r="B13382" i="2"/>
  <c r="E13382" i="2"/>
  <c r="A13383" i="2"/>
  <c r="B13383" i="2"/>
  <c r="E13383" i="2"/>
  <c r="A13384" i="2"/>
  <c r="B13384" i="2"/>
  <c r="E13384" i="2"/>
  <c r="A13385" i="2"/>
  <c r="B13385" i="2"/>
  <c r="E13385" i="2"/>
  <c r="A13386" i="2"/>
  <c r="B13386" i="2"/>
  <c r="E13386" i="2"/>
  <c r="A13387" i="2"/>
  <c r="B13387" i="2"/>
  <c r="E13387" i="2"/>
  <c r="A13388" i="2"/>
  <c r="B13388" i="2"/>
  <c r="E13388" i="2"/>
  <c r="A13389" i="2"/>
  <c r="B13389" i="2"/>
  <c r="E13389" i="2"/>
  <c r="A13390" i="2"/>
  <c r="B13390" i="2"/>
  <c r="E13390" i="2"/>
  <c r="A13391" i="2"/>
  <c r="B13391" i="2"/>
  <c r="E13391" i="2"/>
  <c r="A13392" i="2"/>
  <c r="B13392" i="2"/>
  <c r="E13392" i="2"/>
  <c r="A13393" i="2"/>
  <c r="B13393" i="2"/>
  <c r="E13393" i="2"/>
  <c r="A13394" i="2"/>
  <c r="B13394" i="2"/>
  <c r="E13394" i="2"/>
  <c r="A13395" i="2"/>
  <c r="B13395" i="2"/>
  <c r="E13395" i="2"/>
  <c r="A13396" i="2"/>
  <c r="B13396" i="2"/>
  <c r="E13396" i="2"/>
  <c r="A13397" i="2"/>
  <c r="B13397" i="2"/>
  <c r="E13397" i="2"/>
  <c r="A13398" i="2"/>
  <c r="B13398" i="2"/>
  <c r="E13398" i="2"/>
  <c r="A13399" i="2"/>
  <c r="B13399" i="2"/>
  <c r="E13399" i="2"/>
  <c r="A13400" i="2"/>
  <c r="B13400" i="2"/>
  <c r="E13400" i="2"/>
  <c r="A13401" i="2"/>
  <c r="B13401" i="2"/>
  <c r="E13401" i="2"/>
  <c r="A13402" i="2"/>
  <c r="B13402" i="2"/>
  <c r="E13402" i="2"/>
  <c r="A13403" i="2"/>
  <c r="B13403" i="2"/>
  <c r="E13403" i="2"/>
  <c r="A13404" i="2"/>
  <c r="B13404" i="2"/>
  <c r="E13404" i="2"/>
  <c r="A13405" i="2"/>
  <c r="B13405" i="2"/>
  <c r="E13405" i="2"/>
  <c r="A13406" i="2"/>
  <c r="B13406" i="2"/>
  <c r="E13406" i="2"/>
  <c r="A13407" i="2"/>
  <c r="B13407" i="2"/>
  <c r="E13407" i="2"/>
  <c r="A13408" i="2"/>
  <c r="B13408" i="2"/>
  <c r="E13408" i="2"/>
  <c r="A13409" i="2"/>
  <c r="B13409" i="2"/>
  <c r="E13409" i="2"/>
  <c r="A13410" i="2"/>
  <c r="B13410" i="2"/>
  <c r="E13410" i="2"/>
  <c r="A13411" i="2"/>
  <c r="B13411" i="2"/>
  <c r="E13411" i="2"/>
  <c r="A13412" i="2"/>
  <c r="B13412" i="2"/>
  <c r="E13412" i="2"/>
  <c r="A13413" i="2"/>
  <c r="B13413" i="2"/>
  <c r="E13413" i="2"/>
  <c r="A13414" i="2"/>
  <c r="B13414" i="2"/>
  <c r="E13414" i="2"/>
  <c r="A13415" i="2"/>
  <c r="B13415" i="2"/>
  <c r="E13415" i="2"/>
  <c r="A13416" i="2"/>
  <c r="B13416" i="2"/>
  <c r="E13416" i="2"/>
  <c r="A13417" i="2"/>
  <c r="B13417" i="2"/>
  <c r="E13417" i="2"/>
  <c r="A13418" i="2"/>
  <c r="B13418" i="2"/>
  <c r="E13418" i="2"/>
  <c r="A13419" i="2"/>
  <c r="B13419" i="2"/>
  <c r="E13419" i="2"/>
  <c r="A13420" i="2"/>
  <c r="B13420" i="2"/>
  <c r="E13420" i="2"/>
  <c r="A13421" i="2"/>
  <c r="B13421" i="2"/>
  <c r="E13421" i="2"/>
  <c r="A13422" i="2"/>
  <c r="B13422" i="2"/>
  <c r="E13422" i="2"/>
  <c r="A13423" i="2"/>
  <c r="B13423" i="2"/>
  <c r="E13423" i="2"/>
  <c r="A13424" i="2"/>
  <c r="B13424" i="2"/>
  <c r="E13424" i="2"/>
  <c r="A13425" i="2"/>
  <c r="B13425" i="2"/>
  <c r="E13425" i="2"/>
  <c r="A13426" i="2"/>
  <c r="B13426" i="2"/>
  <c r="E13426" i="2"/>
  <c r="A13427" i="2"/>
  <c r="B13427" i="2"/>
  <c r="E13427" i="2"/>
  <c r="A13428" i="2"/>
  <c r="B13428" i="2"/>
  <c r="E13428" i="2"/>
  <c r="A13429" i="2"/>
  <c r="B13429" i="2"/>
  <c r="E13429" i="2"/>
  <c r="A13430" i="2"/>
  <c r="B13430" i="2"/>
  <c r="E13430" i="2"/>
  <c r="A13431" i="2"/>
  <c r="B13431" i="2"/>
  <c r="E13431" i="2"/>
  <c r="A13432" i="2"/>
  <c r="B13432" i="2"/>
  <c r="E13432" i="2"/>
  <c r="A13433" i="2"/>
  <c r="B13433" i="2"/>
  <c r="E13433" i="2"/>
  <c r="A13434" i="2"/>
  <c r="B13434" i="2"/>
  <c r="E13434" i="2"/>
  <c r="A13435" i="2"/>
  <c r="B13435" i="2"/>
  <c r="E13435" i="2"/>
  <c r="A13436" i="2"/>
  <c r="B13436" i="2"/>
  <c r="E13436" i="2"/>
  <c r="A13437" i="2"/>
  <c r="B13437" i="2"/>
  <c r="E13437" i="2"/>
  <c r="A13438" i="2"/>
  <c r="B13438" i="2"/>
  <c r="E13438" i="2"/>
  <c r="A13439" i="2"/>
  <c r="B13439" i="2"/>
  <c r="E13439" i="2"/>
  <c r="A13440" i="2"/>
  <c r="B13440" i="2"/>
  <c r="E13440" i="2"/>
  <c r="A13441" i="2"/>
  <c r="B13441" i="2"/>
  <c r="E13441" i="2"/>
  <c r="A13442" i="2"/>
  <c r="B13442" i="2"/>
  <c r="E13442" i="2"/>
  <c r="A13443" i="2"/>
  <c r="B13443" i="2"/>
  <c r="E13443" i="2"/>
  <c r="A13444" i="2"/>
  <c r="B13444" i="2"/>
  <c r="E13444" i="2"/>
  <c r="A13445" i="2"/>
  <c r="B13445" i="2"/>
  <c r="E13445" i="2"/>
  <c r="A13446" i="2"/>
  <c r="B13446" i="2"/>
  <c r="E13446" i="2"/>
  <c r="A13447" i="2"/>
  <c r="B13447" i="2"/>
  <c r="E13447" i="2"/>
  <c r="A13448" i="2"/>
  <c r="B13448" i="2"/>
  <c r="E13448" i="2"/>
  <c r="A13449" i="2"/>
  <c r="B13449" i="2"/>
  <c r="E13449" i="2"/>
  <c r="A13450" i="2"/>
  <c r="B13450" i="2"/>
  <c r="E13450" i="2"/>
  <c r="A13451" i="2"/>
  <c r="B13451" i="2"/>
  <c r="E13451" i="2"/>
  <c r="A13452" i="2"/>
  <c r="B13452" i="2"/>
  <c r="E13452" i="2"/>
  <c r="A13453" i="2"/>
  <c r="B13453" i="2"/>
  <c r="E13453" i="2"/>
  <c r="A13454" i="2"/>
  <c r="B13454" i="2"/>
  <c r="E13454" i="2"/>
  <c r="A13455" i="2"/>
  <c r="B13455" i="2"/>
  <c r="E13455" i="2"/>
  <c r="A13456" i="2"/>
  <c r="B13456" i="2"/>
  <c r="E13456" i="2"/>
  <c r="A13457" i="2"/>
  <c r="B13457" i="2"/>
  <c r="E13457" i="2"/>
  <c r="A13458" i="2"/>
  <c r="B13458" i="2"/>
  <c r="E13458" i="2"/>
  <c r="A13459" i="2"/>
  <c r="B13459" i="2"/>
  <c r="E13459" i="2"/>
  <c r="A13460" i="2"/>
  <c r="B13460" i="2"/>
  <c r="E13460" i="2"/>
  <c r="A13461" i="2"/>
  <c r="B13461" i="2"/>
  <c r="E13461" i="2"/>
  <c r="A13462" i="2"/>
  <c r="B13462" i="2"/>
  <c r="E13462" i="2"/>
  <c r="A13463" i="2"/>
  <c r="B13463" i="2"/>
  <c r="E13463" i="2"/>
  <c r="A13464" i="2"/>
  <c r="B13464" i="2"/>
  <c r="E13464" i="2"/>
  <c r="A13465" i="2"/>
  <c r="B13465" i="2"/>
  <c r="E13465" i="2"/>
  <c r="A13466" i="2"/>
  <c r="B13466" i="2"/>
  <c r="E13466" i="2"/>
  <c r="A13467" i="2"/>
  <c r="B13467" i="2"/>
  <c r="E13467" i="2"/>
  <c r="A13468" i="2"/>
  <c r="B13468" i="2"/>
  <c r="E13468" i="2"/>
  <c r="A13469" i="2"/>
  <c r="B13469" i="2"/>
  <c r="E13469" i="2"/>
  <c r="A13470" i="2"/>
  <c r="B13470" i="2"/>
  <c r="E13470" i="2"/>
  <c r="A13471" i="2"/>
  <c r="B13471" i="2"/>
  <c r="E13471" i="2"/>
  <c r="A13472" i="2"/>
  <c r="B13472" i="2"/>
  <c r="E13472" i="2"/>
  <c r="A13473" i="2"/>
  <c r="B13473" i="2"/>
  <c r="E13473" i="2"/>
  <c r="A13474" i="2"/>
  <c r="B13474" i="2"/>
  <c r="E13474" i="2"/>
  <c r="A13475" i="2"/>
  <c r="B13475" i="2"/>
  <c r="E13475" i="2"/>
  <c r="A13476" i="2"/>
  <c r="B13476" i="2"/>
  <c r="E13476" i="2"/>
  <c r="A13477" i="2"/>
  <c r="B13477" i="2"/>
  <c r="E13477" i="2"/>
  <c r="A13478" i="2"/>
  <c r="B13478" i="2"/>
  <c r="E13478" i="2"/>
  <c r="A13479" i="2"/>
  <c r="B13479" i="2"/>
  <c r="E13479" i="2"/>
  <c r="A13480" i="2"/>
  <c r="B13480" i="2"/>
  <c r="E13480" i="2"/>
  <c r="A13481" i="2"/>
  <c r="B13481" i="2"/>
  <c r="E13481" i="2"/>
  <c r="A13482" i="2"/>
  <c r="B13482" i="2"/>
  <c r="E13482" i="2"/>
  <c r="A13483" i="2"/>
  <c r="B13483" i="2"/>
  <c r="E13483" i="2"/>
  <c r="A13484" i="2"/>
  <c r="B13484" i="2"/>
  <c r="E13484" i="2"/>
  <c r="A13485" i="2"/>
  <c r="B13485" i="2"/>
  <c r="E13485" i="2"/>
  <c r="A13486" i="2"/>
  <c r="B13486" i="2"/>
  <c r="E13486" i="2"/>
  <c r="A13487" i="2"/>
  <c r="B13487" i="2"/>
  <c r="E13487" i="2"/>
  <c r="A13488" i="2"/>
  <c r="B13488" i="2"/>
  <c r="E13488" i="2"/>
  <c r="A13489" i="2"/>
  <c r="B13489" i="2"/>
  <c r="E13489" i="2"/>
  <c r="A13490" i="2"/>
  <c r="B13490" i="2"/>
  <c r="E13490" i="2"/>
  <c r="A13491" i="2"/>
  <c r="B13491" i="2"/>
  <c r="E13491" i="2"/>
  <c r="A13492" i="2"/>
  <c r="B13492" i="2"/>
  <c r="E13492" i="2"/>
  <c r="A13493" i="2"/>
  <c r="B13493" i="2"/>
  <c r="E13493" i="2"/>
  <c r="A13494" i="2"/>
  <c r="B13494" i="2"/>
  <c r="E13494" i="2"/>
  <c r="A13495" i="2"/>
  <c r="B13495" i="2"/>
  <c r="E13495" i="2"/>
  <c r="A13496" i="2"/>
  <c r="B13496" i="2"/>
  <c r="E13496" i="2"/>
  <c r="A13497" i="2"/>
  <c r="B13497" i="2"/>
  <c r="E13497" i="2"/>
  <c r="A13498" i="2"/>
  <c r="B13498" i="2"/>
  <c r="E13498" i="2"/>
  <c r="A13499" i="2"/>
  <c r="B13499" i="2"/>
  <c r="E13499" i="2"/>
  <c r="A13500" i="2"/>
  <c r="B13500" i="2"/>
  <c r="E13500" i="2"/>
  <c r="A13501" i="2"/>
  <c r="B13501" i="2"/>
  <c r="E13501" i="2"/>
  <c r="A13502" i="2"/>
  <c r="B13502" i="2"/>
  <c r="E13502" i="2"/>
  <c r="A13503" i="2"/>
  <c r="B13503" i="2"/>
  <c r="E13503" i="2"/>
  <c r="A13504" i="2"/>
  <c r="B13504" i="2"/>
  <c r="E13504" i="2"/>
  <c r="A13505" i="2"/>
  <c r="B13505" i="2"/>
  <c r="E13505" i="2"/>
  <c r="A13506" i="2"/>
  <c r="B13506" i="2"/>
  <c r="E13506" i="2"/>
  <c r="A13507" i="2"/>
  <c r="B13507" i="2"/>
  <c r="E13507" i="2"/>
  <c r="A13508" i="2"/>
  <c r="B13508" i="2"/>
  <c r="E13508" i="2"/>
  <c r="A13509" i="2"/>
  <c r="B13509" i="2"/>
  <c r="E13509" i="2"/>
  <c r="A13510" i="2"/>
  <c r="B13510" i="2"/>
  <c r="E13510" i="2"/>
  <c r="A13511" i="2"/>
  <c r="B13511" i="2"/>
  <c r="E13511" i="2"/>
  <c r="A13512" i="2"/>
  <c r="B13512" i="2"/>
  <c r="E13512" i="2"/>
  <c r="A13513" i="2"/>
  <c r="B13513" i="2"/>
  <c r="E13513" i="2"/>
  <c r="A13514" i="2"/>
  <c r="B13514" i="2"/>
  <c r="E13514" i="2"/>
  <c r="A13515" i="2"/>
  <c r="B13515" i="2"/>
  <c r="E13515" i="2"/>
  <c r="A13516" i="2"/>
  <c r="B13516" i="2"/>
  <c r="E13516" i="2"/>
  <c r="A13517" i="2"/>
  <c r="B13517" i="2"/>
  <c r="E13517" i="2"/>
  <c r="A13518" i="2"/>
  <c r="B13518" i="2"/>
  <c r="E13518" i="2"/>
  <c r="A13519" i="2"/>
  <c r="B13519" i="2"/>
  <c r="E13519" i="2"/>
  <c r="A13520" i="2"/>
  <c r="B13520" i="2"/>
  <c r="E13520" i="2"/>
  <c r="A13521" i="2"/>
  <c r="B13521" i="2"/>
  <c r="E13521" i="2"/>
  <c r="A13522" i="2"/>
  <c r="B13522" i="2"/>
  <c r="E13522" i="2"/>
  <c r="A13523" i="2"/>
  <c r="B13523" i="2"/>
  <c r="E13523" i="2"/>
  <c r="A13524" i="2"/>
  <c r="B13524" i="2"/>
  <c r="E13524" i="2"/>
  <c r="A13525" i="2"/>
  <c r="B13525" i="2"/>
  <c r="E13525" i="2"/>
  <c r="A13526" i="2"/>
  <c r="B13526" i="2"/>
  <c r="E13526" i="2"/>
  <c r="A13527" i="2"/>
  <c r="B13527" i="2"/>
  <c r="E13527" i="2"/>
  <c r="A13528" i="2"/>
  <c r="B13528" i="2"/>
  <c r="E13528" i="2"/>
  <c r="A13529" i="2"/>
  <c r="B13529" i="2"/>
  <c r="E13529" i="2"/>
  <c r="A13530" i="2"/>
  <c r="B13530" i="2"/>
  <c r="E13530" i="2"/>
  <c r="A13531" i="2"/>
  <c r="B13531" i="2"/>
  <c r="E13531" i="2"/>
  <c r="A13532" i="2"/>
  <c r="B13532" i="2"/>
  <c r="E13532" i="2"/>
  <c r="A13533" i="2"/>
  <c r="B13533" i="2"/>
  <c r="E13533" i="2"/>
  <c r="A13534" i="2"/>
  <c r="B13534" i="2"/>
  <c r="E13534" i="2"/>
  <c r="A13535" i="2"/>
  <c r="B13535" i="2"/>
  <c r="E13535" i="2"/>
  <c r="A13536" i="2"/>
  <c r="B13536" i="2"/>
  <c r="E13536" i="2"/>
  <c r="A13537" i="2"/>
  <c r="B13537" i="2"/>
  <c r="E13537" i="2"/>
  <c r="A13538" i="2"/>
  <c r="B13538" i="2"/>
  <c r="E13538" i="2"/>
  <c r="A13539" i="2"/>
  <c r="B13539" i="2"/>
  <c r="E13539" i="2"/>
  <c r="A13540" i="2"/>
  <c r="B13540" i="2"/>
  <c r="E13540" i="2"/>
  <c r="A13541" i="2"/>
  <c r="B13541" i="2"/>
  <c r="E13541" i="2"/>
  <c r="A13542" i="2"/>
  <c r="B13542" i="2"/>
  <c r="E13542" i="2"/>
  <c r="A13543" i="2"/>
  <c r="B13543" i="2"/>
  <c r="E13543" i="2"/>
  <c r="A13544" i="2"/>
  <c r="B13544" i="2"/>
  <c r="E13544" i="2"/>
  <c r="A13545" i="2"/>
  <c r="B13545" i="2"/>
  <c r="E13545" i="2"/>
  <c r="A13546" i="2"/>
  <c r="B13546" i="2"/>
  <c r="E13546" i="2"/>
  <c r="A13547" i="2"/>
  <c r="B13547" i="2"/>
  <c r="E13547" i="2"/>
  <c r="A13548" i="2"/>
  <c r="B13548" i="2"/>
  <c r="E13548" i="2"/>
  <c r="A13549" i="2"/>
  <c r="B13549" i="2"/>
  <c r="E13549" i="2"/>
  <c r="A13550" i="2"/>
  <c r="B13550" i="2"/>
  <c r="E13550" i="2"/>
  <c r="A13551" i="2"/>
  <c r="B13551" i="2"/>
  <c r="E13551" i="2"/>
  <c r="A13552" i="2"/>
  <c r="B13552" i="2"/>
  <c r="E13552" i="2"/>
  <c r="A13553" i="2"/>
  <c r="B13553" i="2"/>
  <c r="E13553" i="2"/>
  <c r="A13554" i="2"/>
  <c r="B13554" i="2"/>
  <c r="E13554" i="2"/>
  <c r="A13555" i="2"/>
  <c r="B13555" i="2"/>
  <c r="E13555" i="2"/>
  <c r="A13556" i="2"/>
  <c r="B13556" i="2"/>
  <c r="E13556" i="2"/>
  <c r="A13557" i="2"/>
  <c r="B13557" i="2"/>
  <c r="E13557" i="2"/>
  <c r="A13558" i="2"/>
  <c r="B13558" i="2"/>
  <c r="E13558" i="2"/>
  <c r="A13559" i="2"/>
  <c r="B13559" i="2"/>
  <c r="E13559" i="2"/>
  <c r="A13560" i="2"/>
  <c r="B13560" i="2"/>
  <c r="E13560" i="2"/>
  <c r="A13561" i="2"/>
  <c r="B13561" i="2"/>
  <c r="E13561" i="2"/>
  <c r="A13562" i="2"/>
  <c r="B13562" i="2"/>
  <c r="E13562" i="2"/>
  <c r="A13563" i="2"/>
  <c r="B13563" i="2"/>
  <c r="E13563" i="2"/>
  <c r="A13564" i="2"/>
  <c r="B13564" i="2"/>
  <c r="E13564" i="2"/>
  <c r="A13565" i="2"/>
  <c r="B13565" i="2"/>
  <c r="E13565" i="2"/>
  <c r="A13566" i="2"/>
  <c r="B13566" i="2"/>
  <c r="E13566" i="2"/>
  <c r="A13567" i="2"/>
  <c r="B13567" i="2"/>
  <c r="E13567" i="2"/>
  <c r="A13568" i="2"/>
  <c r="B13568" i="2"/>
  <c r="E13568" i="2"/>
  <c r="A13569" i="2"/>
  <c r="B13569" i="2"/>
  <c r="E13569" i="2"/>
  <c r="A13570" i="2"/>
  <c r="B13570" i="2"/>
  <c r="E13570" i="2"/>
  <c r="A13571" i="2"/>
  <c r="B13571" i="2"/>
  <c r="E13571" i="2"/>
  <c r="A13572" i="2"/>
  <c r="B13572" i="2"/>
  <c r="E13572" i="2"/>
  <c r="A13573" i="2"/>
  <c r="B13573" i="2"/>
  <c r="E13573" i="2"/>
  <c r="A13574" i="2"/>
  <c r="B13574" i="2"/>
  <c r="E13574" i="2"/>
  <c r="A13575" i="2"/>
  <c r="B13575" i="2"/>
  <c r="E13575" i="2"/>
  <c r="A13576" i="2"/>
  <c r="B13576" i="2"/>
  <c r="E13576" i="2"/>
  <c r="A13577" i="2"/>
  <c r="B13577" i="2"/>
  <c r="E13577" i="2"/>
  <c r="A13578" i="2"/>
  <c r="B13578" i="2"/>
  <c r="E13578" i="2"/>
  <c r="A13579" i="2"/>
  <c r="B13579" i="2"/>
  <c r="E13579" i="2"/>
  <c r="A13580" i="2"/>
  <c r="B13580" i="2"/>
  <c r="E13580" i="2"/>
  <c r="A13581" i="2"/>
  <c r="B13581" i="2"/>
  <c r="E13581" i="2"/>
  <c r="A13582" i="2"/>
  <c r="B13582" i="2"/>
  <c r="E13582" i="2"/>
  <c r="A13583" i="2"/>
  <c r="B13583" i="2"/>
  <c r="E13583" i="2"/>
  <c r="A13584" i="2"/>
  <c r="B13584" i="2"/>
  <c r="E13584" i="2"/>
  <c r="A13585" i="2"/>
  <c r="B13585" i="2"/>
  <c r="E13585" i="2"/>
  <c r="A13586" i="2"/>
  <c r="B13586" i="2"/>
  <c r="E13586" i="2"/>
  <c r="A13587" i="2"/>
  <c r="B13587" i="2"/>
  <c r="E13587" i="2"/>
  <c r="A13588" i="2"/>
  <c r="B13588" i="2"/>
  <c r="E13588" i="2"/>
  <c r="A13589" i="2"/>
  <c r="B13589" i="2"/>
  <c r="E13589" i="2"/>
  <c r="A13590" i="2"/>
  <c r="B13590" i="2"/>
  <c r="E13590" i="2"/>
  <c r="A13591" i="2"/>
  <c r="B13591" i="2"/>
  <c r="E13591" i="2"/>
  <c r="A13592" i="2"/>
  <c r="B13592" i="2"/>
  <c r="E13592" i="2"/>
  <c r="A13593" i="2"/>
  <c r="B13593" i="2"/>
  <c r="E13593" i="2"/>
  <c r="A13594" i="2"/>
  <c r="B13594" i="2"/>
  <c r="E13594" i="2"/>
  <c r="A13595" i="2"/>
  <c r="B13595" i="2"/>
  <c r="E13595" i="2"/>
  <c r="A13596" i="2"/>
  <c r="B13596" i="2"/>
  <c r="E13596" i="2"/>
  <c r="A13597" i="2"/>
  <c r="B13597" i="2"/>
  <c r="E13597" i="2"/>
  <c r="A13598" i="2"/>
  <c r="B13598" i="2"/>
  <c r="E13598" i="2"/>
  <c r="A13599" i="2"/>
  <c r="B13599" i="2"/>
  <c r="E13599" i="2"/>
  <c r="A13600" i="2"/>
  <c r="B13600" i="2"/>
  <c r="E13600" i="2"/>
  <c r="A13601" i="2"/>
  <c r="B13601" i="2"/>
  <c r="E13601" i="2"/>
  <c r="A13602" i="2"/>
  <c r="B13602" i="2"/>
  <c r="E13602" i="2"/>
  <c r="A13603" i="2"/>
  <c r="B13603" i="2"/>
  <c r="E13603" i="2"/>
  <c r="A13604" i="2"/>
  <c r="B13604" i="2"/>
  <c r="E13604" i="2"/>
  <c r="A13605" i="2"/>
  <c r="B13605" i="2"/>
  <c r="E13605" i="2"/>
  <c r="A13606" i="2"/>
  <c r="B13606" i="2"/>
  <c r="E13606" i="2"/>
  <c r="A13607" i="2"/>
  <c r="B13607" i="2"/>
  <c r="E13607" i="2"/>
  <c r="A13608" i="2"/>
  <c r="B13608" i="2"/>
  <c r="E13608" i="2"/>
  <c r="A13609" i="2"/>
  <c r="B13609" i="2"/>
  <c r="E13609" i="2"/>
  <c r="A13610" i="2"/>
  <c r="B13610" i="2"/>
  <c r="E13610" i="2"/>
  <c r="A13611" i="2"/>
  <c r="B13611" i="2"/>
  <c r="E13611" i="2"/>
  <c r="A13612" i="2"/>
  <c r="B13612" i="2"/>
  <c r="E13612" i="2"/>
  <c r="A13613" i="2"/>
  <c r="B13613" i="2"/>
  <c r="E13613" i="2"/>
  <c r="A13614" i="2"/>
  <c r="B13614" i="2"/>
  <c r="E13614" i="2"/>
  <c r="A13615" i="2"/>
  <c r="B13615" i="2"/>
  <c r="E13615" i="2"/>
  <c r="A13616" i="2"/>
  <c r="B13616" i="2"/>
  <c r="E13616" i="2"/>
  <c r="A13617" i="2"/>
  <c r="B13617" i="2"/>
  <c r="E13617" i="2"/>
  <c r="A13618" i="2"/>
  <c r="B13618" i="2"/>
  <c r="E13618" i="2"/>
  <c r="A13619" i="2"/>
  <c r="B13619" i="2"/>
  <c r="E13619" i="2"/>
  <c r="A13620" i="2"/>
  <c r="B13620" i="2"/>
  <c r="E13620" i="2"/>
</calcChain>
</file>

<file path=xl/sharedStrings.xml><?xml version="1.0" encoding="utf-8"?>
<sst xmlns="http://schemas.openxmlformats.org/spreadsheetml/2006/main" count="221196" uniqueCount="67229">
  <si>
    <t>Product Number</t>
  </si>
  <si>
    <t>Description</t>
  </si>
  <si>
    <t>Quantity</t>
  </si>
  <si>
    <t>0611830445100</t>
  </si>
  <si>
    <t>TAG Abutilon Bella Mix 100/100 Pixie Tag</t>
  </si>
  <si>
    <t>0611830446100</t>
  </si>
  <si>
    <t>TAG Abutilon Bella Select Mix 100/100 Pixie Tag</t>
  </si>
  <si>
    <t>0611830447100</t>
  </si>
  <si>
    <t>TAG Abutilon Flowering Maple GENERIC 100/100 Pixie Tag</t>
  </si>
  <si>
    <t>0611830448100</t>
  </si>
  <si>
    <t>TAG Abutilon Variegated Salmon 100/100 Pixie Tag</t>
  </si>
  <si>
    <t>0611860398050</t>
  </si>
  <si>
    <t>TAG Acalypha Bronze Pink Coperleaf Plant 50/50 Petite Portrait FUL</t>
  </si>
  <si>
    <t>0611830449025</t>
  </si>
  <si>
    <t>TAG Acalypha Cat Tails 25/25 Portrait Tag</t>
  </si>
  <si>
    <t>0611830450100</t>
  </si>
  <si>
    <t>TAG Acalypha Chenille Plant GENERIC 100/100 Hang Tag</t>
  </si>
  <si>
    <t>0611830451100</t>
  </si>
  <si>
    <t>TAG Acalypha Chenille Plant GENERIC 100/100 Pixie Tag</t>
  </si>
  <si>
    <t>0611830452100</t>
  </si>
  <si>
    <t>TAG Acalypha Copper Plant GENERIC 100/100 Pixie Tag</t>
  </si>
  <si>
    <t>0611860399050</t>
  </si>
  <si>
    <t>TAG Acalypha Firetail 50/50 Petite Portrait DO FUL</t>
  </si>
  <si>
    <t>0611830454025</t>
  </si>
  <si>
    <t>TAG Acanthus Mollis 25/25 Portrait Tag</t>
  </si>
  <si>
    <t>0611830455025</t>
  </si>
  <si>
    <t>TAG Achillea Appleblossom 25/25 Portrait Tag</t>
  </si>
  <si>
    <t>0611860400100</t>
  </si>
  <si>
    <t>TAG Achillea Appleblossom Limited Availability 100/100 Pixie Tag</t>
  </si>
  <si>
    <t>0611860401050</t>
  </si>
  <si>
    <t>TAG Achillea Appleblossom Limited Availability 50/50 Petite Portrait</t>
  </si>
  <si>
    <t>0611830456100</t>
  </si>
  <si>
    <t>TAG Achillea Cerise Queen 100/100 Pixie Tag</t>
  </si>
  <si>
    <t>0611830457025</t>
  </si>
  <si>
    <t>TAG Achillea Coronation Gold 25/25 Portrait Tag</t>
  </si>
  <si>
    <t>0611830458025</t>
  </si>
  <si>
    <t>TAG Achillea Desert Eve Deep Rose 25/25 Portrait Tag</t>
  </si>
  <si>
    <t>0611860402050</t>
  </si>
  <si>
    <t>TAG Achillea Desert Eve Deep Rose 50/50 Petite Portrait FUL</t>
  </si>
  <si>
    <t>0611830459025</t>
  </si>
  <si>
    <t>TAG Achillea Desert Eve Red 25/25 Portrait Tag</t>
  </si>
  <si>
    <t>0611860403050</t>
  </si>
  <si>
    <t>TAG Achillea Desert Eve Red 50/50 Petite Portrait FUL</t>
  </si>
  <si>
    <t>0611830460025</t>
  </si>
  <si>
    <t>TAG Achillea Desert Eve Terracotta 25/25 Portrait Tag</t>
  </si>
  <si>
    <t>0611860404050</t>
  </si>
  <si>
    <t>TAG Achillea Desert Eve Terracotta 50/50 Petite Portrait FUL</t>
  </si>
  <si>
    <t>0611830461025</t>
  </si>
  <si>
    <t>TAG Achillea Desert Eve Yellow 25/25 Portrait Tag</t>
  </si>
  <si>
    <t>0611860405050</t>
  </si>
  <si>
    <t>TAG Achillea Desert Eve Yellow 50/50 Petite Portrait FUL</t>
  </si>
  <si>
    <t>0611830462025</t>
  </si>
  <si>
    <t>TAG Achillea Goldie 25/25 Portrait Tag</t>
  </si>
  <si>
    <t>0611860406050</t>
  </si>
  <si>
    <t>TAG Achillea King Edward 50/50 Petite Portrait FUL</t>
  </si>
  <si>
    <t>0611830463025</t>
  </si>
  <si>
    <t>TAG Achillea Marshmallow 25/25 Portrait Tag</t>
  </si>
  <si>
    <t>0611830464025</t>
  </si>
  <si>
    <t>TAG Achillea Milly Rock Red 25/25 Portrait Tag</t>
  </si>
  <si>
    <t>0611830465025</t>
  </si>
  <si>
    <t>TAG Achillea Milly Rock Rose 25/25 Portrait Tag</t>
  </si>
  <si>
    <t>0611830466025</t>
  </si>
  <si>
    <t>TAG Achillea Milly Rock Yellow 25/25 Portrait Tag</t>
  </si>
  <si>
    <t>0611856806025</t>
  </si>
  <si>
    <t>TAG Achillea Milly Rock Yellow Terrace 25/25 Portrait Tag</t>
  </si>
  <si>
    <t>0611830467025</t>
  </si>
  <si>
    <t>TAG Achillea Moon Dust 25/25 Portrait Tag</t>
  </si>
  <si>
    <t>0611830468025</t>
  </si>
  <si>
    <t>TAG Achillea Moonshine 25/25 Portrait Tag</t>
  </si>
  <si>
    <t>0611860407050</t>
  </si>
  <si>
    <t>TAG Achillea Moonshine 50/50 Petite Portrait DO FUL</t>
  </si>
  <si>
    <t>0611830482025</t>
  </si>
  <si>
    <t>TAG Achillea New Vintage Red 25/25 Portrait Tag</t>
  </si>
  <si>
    <t>0611860408050</t>
  </si>
  <si>
    <t>TAG Achillea New Vintage Red 50/50 Petite Portrait FUL</t>
  </si>
  <si>
    <t>0611830483025</t>
  </si>
  <si>
    <t>TAG Achillea New Vintage Rose 25/25 Portrait Tag</t>
  </si>
  <si>
    <t>0611830484025</t>
  </si>
  <si>
    <t>TAG Achillea New Vintage Violet 25/25 Portrait Tag</t>
  </si>
  <si>
    <t>0611860409050</t>
  </si>
  <si>
    <t>TAG Achillea New Vintage Violet 50/50 Petite Portrait FUL</t>
  </si>
  <si>
    <t>0611830485025</t>
  </si>
  <si>
    <t>TAG Achillea New Vintage White 25/25 Portrait Tag</t>
  </si>
  <si>
    <t>0611860410100</t>
  </si>
  <si>
    <t>TAG Achillea Paprika 100/100 Pixie Tag FUL</t>
  </si>
  <si>
    <t>0611830470025</t>
  </si>
  <si>
    <t>TAG Achillea Paprika 25/25 Portrait Tag</t>
  </si>
  <si>
    <t>0611860411050</t>
  </si>
  <si>
    <t>TAG Achillea Paprika 50/50 Petite Portrait FUL</t>
  </si>
  <si>
    <t>0611860412100</t>
  </si>
  <si>
    <t>TAG Achillea Skysail Bright Pink 100/100 Pixie Tag DO FUL</t>
  </si>
  <si>
    <t>0611860413100</t>
  </si>
  <si>
    <t>TAG Achillea Skysail Fire 100/100 Pixie Tag DO FUL</t>
  </si>
  <si>
    <t>0611860414100</t>
  </si>
  <si>
    <t>TAG Achillea Skysail Yellow 100/100 Pixie Tag DO FUL</t>
  </si>
  <si>
    <t>0611830476025</t>
  </si>
  <si>
    <t>TAG Achillea Summer Berries 25/25 Portrait Tag</t>
  </si>
  <si>
    <t>0611830477025</t>
  </si>
  <si>
    <t>TAG Achillea Summer Drift 25/25 Portrait Tag</t>
  </si>
  <si>
    <t>0611830478100</t>
  </si>
  <si>
    <t>TAG Achillea Summer Pastels 100/100 Pixie Tag</t>
  </si>
  <si>
    <t>0611830479025</t>
  </si>
  <si>
    <t>TAG Achillea Summer Pastels 25/25 Portrait Tag</t>
  </si>
  <si>
    <t>0611830480025</t>
  </si>
  <si>
    <t>TAG Achillea Sun N Fun Gold 25/25 Portrait Tag</t>
  </si>
  <si>
    <t>0611856807025</t>
  </si>
  <si>
    <t>TAG Achillea Sun N Fun Red 25/25 Portrait Tag</t>
  </si>
  <si>
    <t>0611860415100</t>
  </si>
  <si>
    <t>TAG Achillea Terracotta 100/100 Pixie Tag DO FUL</t>
  </si>
  <si>
    <t>0611830481025</t>
  </si>
  <si>
    <t>TAG Achillea Terracotta 25/25 Portrait Tag</t>
  </si>
  <si>
    <t>0611860416050</t>
  </si>
  <si>
    <t>TAG Achillea Terracotta 50/50 Petite Portrait DO FUL</t>
  </si>
  <si>
    <t>0611830486025</t>
  </si>
  <si>
    <t>TAG Achillea Yarrow 25/25 Portrait Tag</t>
  </si>
  <si>
    <t>0611830487025</t>
  </si>
  <si>
    <t>TAG Aconitum Arendsii 25/25 Portrait Tag</t>
  </si>
  <si>
    <t>0611830489025</t>
  </si>
  <si>
    <t>TAG Acorus Ogon 25/25 Portrait Tag</t>
  </si>
  <si>
    <t>0611830490025</t>
  </si>
  <si>
    <t>TAG Acorus Variegatus 25/25 Portrait Tag</t>
  </si>
  <si>
    <t>0611860417100</t>
  </si>
  <si>
    <t>TAG Adromi Cooperi 100/100 Pixie Tag FUL</t>
  </si>
  <si>
    <t>0611860418100</t>
  </si>
  <si>
    <t>TAG Adromi Cristatus 100/100 Pixie Tag FUL</t>
  </si>
  <si>
    <t>0611860419100</t>
  </si>
  <si>
    <t>TAG Adromi Maculatus 100/100 Pixie Tag FUL</t>
  </si>
  <si>
    <t>0611830491100</t>
  </si>
  <si>
    <t>TAG Aegopodium Variegatum 100/100 Pixie Tag</t>
  </si>
  <si>
    <t>0611830492025</t>
  </si>
  <si>
    <t>TAG Aegopodium Variegatum 25/25 Portrait Tag</t>
  </si>
  <si>
    <t>0611860420100</t>
  </si>
  <si>
    <t>TAG Aeonium Atropurpureum 100/100 Pixie Tag FUL</t>
  </si>
  <si>
    <t>0611830493100</t>
  </si>
  <si>
    <t>TAG Aeonium GENERIC 100/100 Pixie Tag</t>
  </si>
  <si>
    <t>0611830494100</t>
  </si>
  <si>
    <t>TAG Aeonium Kiwi 100/100 Pixie Tag</t>
  </si>
  <si>
    <t>0611860421100</t>
  </si>
  <si>
    <t>TAG Aeonium Kiwi CN2004 100/100 Pixie Tag FUL</t>
  </si>
  <si>
    <t>0611860422100</t>
  </si>
  <si>
    <t>TAG Aeonium Nigrum 100/100 Pixie Tag FUL</t>
  </si>
  <si>
    <t>0611860423100</t>
  </si>
  <si>
    <t>TAG Aeonium Stripe 100/100 Pixie Tag FUL</t>
  </si>
  <si>
    <t>0611830495100</t>
  </si>
  <si>
    <t>TAG Aeonium Zwarktop 100/100 Pixie Tag</t>
  </si>
  <si>
    <t>0611830498025</t>
  </si>
  <si>
    <t>TAG Agapanthus Lily Of The Nile GENERIC 25/25 Portrait Tag</t>
  </si>
  <si>
    <t>0611830499100</t>
  </si>
  <si>
    <t>TAG Agastache Anise Hyssop 100/100 Pixie Tag</t>
  </si>
  <si>
    <t>0611830500025</t>
  </si>
  <si>
    <t>TAG Agastache Anise Hyssop GENERIC 25/25 Portrait Tag</t>
  </si>
  <si>
    <t>0611830501025</t>
  </si>
  <si>
    <t>TAG Agastache Arizona Sandstone 25/25 Portrait Tag</t>
  </si>
  <si>
    <t>0611830502100</t>
  </si>
  <si>
    <t>TAG Agastache Arizona Series 100/100 Pixie Tag</t>
  </si>
  <si>
    <t>0611830503025</t>
  </si>
  <si>
    <t>TAG Agastache Arizona Sun 25/25 Portrait Tag</t>
  </si>
  <si>
    <t>0611830504025</t>
  </si>
  <si>
    <t>TAG Agastache Arizona Sunset 25/25 Portrait Tag</t>
  </si>
  <si>
    <t>0611860424100</t>
  </si>
  <si>
    <t>TAG Agastache Beelicious Purple 100/100 Pixie Tag DO FUL</t>
  </si>
  <si>
    <t>0611860425100</t>
  </si>
  <si>
    <t>TAG Agastache Betterbuzz Amarillo 100/100 Pixie Tag DO FUL</t>
  </si>
  <si>
    <t>0611860426100</t>
  </si>
  <si>
    <t>TAG Agastache Betterbuzz Amber 100/100 Pixie Tag DO FUL</t>
  </si>
  <si>
    <t>0611860427100</t>
  </si>
  <si>
    <t>TAG Agastache Betterbuzz Rosa 100/100 Pixie Tag DO FUL</t>
  </si>
  <si>
    <t>0611860428100</t>
  </si>
  <si>
    <t>TAG Agastache Black Adder 100/100 Pixie Tag DO FUL</t>
  </si>
  <si>
    <t>0611830505025</t>
  </si>
  <si>
    <t>TAG Agastache Black Adder 25/25 Portrait Tag</t>
  </si>
  <si>
    <t>0611860429050</t>
  </si>
  <si>
    <t>TAG Agastache Black Adder 50/50 Petite Portrait DO FUL</t>
  </si>
  <si>
    <t>0611856808025</t>
  </si>
  <si>
    <t>TAG Agastache Blue Bayou 25/25 Portrait Tag</t>
  </si>
  <si>
    <t>0611830506025</t>
  </si>
  <si>
    <t>TAG Agastache Blue Boa 25/25 Portrait Tag</t>
  </si>
  <si>
    <t>0611860430100</t>
  </si>
  <si>
    <t>TAG Agastache Blue Fortune 100/100 Pixie Tag DO FUL</t>
  </si>
  <si>
    <t>0611830507025</t>
  </si>
  <si>
    <t>TAG Agastache Blue Fortune 25/25 Portrait Tag</t>
  </si>
  <si>
    <t>0611860431050</t>
  </si>
  <si>
    <t>TAG Agastache Blue Fortune 50/50 Petite Portrait DO FUL</t>
  </si>
  <si>
    <t>0611830509100</t>
  </si>
  <si>
    <t>TAG Agastache Golden Jubilee 100/100 Pixie Tag</t>
  </si>
  <si>
    <t>0611883987025</t>
  </si>
  <si>
    <t>TAG Agastache Guava Lava 25/25 Portrait Tag</t>
  </si>
  <si>
    <t>0611830511025</t>
  </si>
  <si>
    <t>TAG Agastache Hummingbird Mint GENERIC 25/25 Portrait Tag</t>
  </si>
  <si>
    <t>0611830512025</t>
  </si>
  <si>
    <t>TAG Agastache Kudos Ambrosia 25/25 Portrait Tag</t>
  </si>
  <si>
    <t>0611830513025</t>
  </si>
  <si>
    <t>TAG Agastache Kudos Coral 25/25 Portrait Tag</t>
  </si>
  <si>
    <t>0611830514025</t>
  </si>
  <si>
    <t>TAG Agastache Kudos Gold 25/25 Portrait Tag</t>
  </si>
  <si>
    <t>0611830515025</t>
  </si>
  <si>
    <t>TAG Agastache Kudos Mandarin 25/25 Portrait Tag</t>
  </si>
  <si>
    <t>0611830516025</t>
  </si>
  <si>
    <t>TAG Agastache Kudos Red 25/25 Portrait Tag</t>
  </si>
  <si>
    <t>0611860432050</t>
  </si>
  <si>
    <t>TAG Agastache Kudos Red Dwarf 50/50 Petite Portrait FUL</t>
  </si>
  <si>
    <t>0611860433050</t>
  </si>
  <si>
    <t>TAG Agastache Kudos Red Dwarf CR3984 50/50 Petite Portrait FUL</t>
  </si>
  <si>
    <t>0611830517025</t>
  </si>
  <si>
    <t>TAG Agastache Kudos Silver Blue 25/25 Portrait Tag</t>
  </si>
  <si>
    <t>0611830518025</t>
  </si>
  <si>
    <t>TAG Agastache Kudos Yellow 25/25 Portrait Tag</t>
  </si>
  <si>
    <t>0611830519025</t>
  </si>
  <si>
    <t>TAG Agastache Little Adder 25/25 Portrait Tag</t>
  </si>
  <si>
    <t>0611830520025</t>
  </si>
  <si>
    <t>TAG Agastache Morello 25/25 Portrait Tag</t>
  </si>
  <si>
    <t>0611860434050</t>
  </si>
  <si>
    <t>TAG Agastache Morello Hummingbird Mint 50/50 Petite Portrait FUL</t>
  </si>
  <si>
    <t>0611883988025</t>
  </si>
  <si>
    <t>TAG Agastache Pink Pearl 25/25 Portrait Tag</t>
  </si>
  <si>
    <t>0611830521025</t>
  </si>
  <si>
    <t>TAG Agastache Poquito Butter Yellow 25/25 Portrait Tag</t>
  </si>
  <si>
    <t>0611860435050</t>
  </si>
  <si>
    <t>TAG Agastache Poquito Butter Yellow 50/50 Petite Portrait FUL</t>
  </si>
  <si>
    <t>0611830522025</t>
  </si>
  <si>
    <t>TAG Agastache Poquito Dark Blue 25/25 Portrait Tag</t>
  </si>
  <si>
    <t>0611860436050</t>
  </si>
  <si>
    <t>TAG Agastache Poquito Dark Blue 50/50 Petite Portrait FUL</t>
  </si>
  <si>
    <t>0611830523025</t>
  </si>
  <si>
    <t>TAG Agastache Poquito Lavender 25/25 Portrait Tag</t>
  </si>
  <si>
    <t>0611860437050</t>
  </si>
  <si>
    <t>TAG Agastache Poquito Lavender 50/50 Petite Portrait FUL</t>
  </si>
  <si>
    <t>0611830524025</t>
  </si>
  <si>
    <t>TAG Agastache Poquito Orange 25/25 Portrait Tag</t>
  </si>
  <si>
    <t>0611860438050</t>
  </si>
  <si>
    <t>TAG Agastache Poquito Orange 50/50 Petite Portrait FUL</t>
  </si>
  <si>
    <t>0611830525025</t>
  </si>
  <si>
    <t>TAG Agastache Purple Haze 25/25 Portrait Tag</t>
  </si>
  <si>
    <t>0611830527025</t>
  </si>
  <si>
    <t>TAG Agastache Sunny Sparks Orange Glow 25/25 Portrait Tag</t>
  </si>
  <si>
    <t>0611830528025</t>
  </si>
  <si>
    <t>TAG Agastache Sunny Sparks Pink 25/25 Portrait Tag</t>
  </si>
  <si>
    <t>0611830529025</t>
  </si>
  <si>
    <t>TAG Agastache Sunny Sparks Pink Glow 25/25 Portrait Tag</t>
  </si>
  <si>
    <t>0611830530025</t>
  </si>
  <si>
    <t>TAG Agastache Sunny Sparks Tangerine 25/25 Portrait Tag</t>
  </si>
  <si>
    <t>0611830531025</t>
  </si>
  <si>
    <t>TAG Agastache Sunny Sparks Yellow 25/25 Portrait Tag</t>
  </si>
  <si>
    <t>0611830532025</t>
  </si>
  <si>
    <t>TAG Agastache Sunrise Blue 25/25 Portrait Tag</t>
  </si>
  <si>
    <t>0611830533025</t>
  </si>
  <si>
    <t>TAG Agastache Sunrise Orange 25/25 Portrait Tag</t>
  </si>
  <si>
    <t>0611830534025</t>
  </si>
  <si>
    <t>TAG Agastache Sunrise Red 25/25 Portrait Tag</t>
  </si>
  <si>
    <t>0611830535025</t>
  </si>
  <si>
    <t>TAG Agastache Sunrise Rose 25/25 Portrait Tag</t>
  </si>
  <si>
    <t>0611830536025</t>
  </si>
  <si>
    <t>TAG Agastache Sunrise Salmon Pink 25/25 Portrait Tag</t>
  </si>
  <si>
    <t>0611830537025</t>
  </si>
  <si>
    <t>TAG Agastache Sunrise Sky Blue 25/25 Portrait Tag</t>
  </si>
  <si>
    <t>0611830538025</t>
  </si>
  <si>
    <t>TAG Agastache Sunrise Violet 25/25 Portrait Tag</t>
  </si>
  <si>
    <t>0611830539025</t>
  </si>
  <si>
    <t>TAG Agastache Sunrise White 25/25 Portrait Tag</t>
  </si>
  <si>
    <t>0611830540025</t>
  </si>
  <si>
    <t>TAG Agastache Sunrise Yellow 25/25 Portrait Tag</t>
  </si>
  <si>
    <t>0611830541025</t>
  </si>
  <si>
    <t>TAG Agastache Sunset Hyssop 25/25 Portrait Tag</t>
  </si>
  <si>
    <t>0611830542025</t>
  </si>
  <si>
    <t>TAG Agastache Tango 25/25 Portrait Tag</t>
  </si>
  <si>
    <t>0611830544100</t>
  </si>
  <si>
    <t>TAG Agave GENERIC 100/100 Pixie Tag</t>
  </si>
  <si>
    <t>0611830545100</t>
  </si>
  <si>
    <t>TAG Ageratum Aguilera Dark Pink 100/100 Pixie Tag</t>
  </si>
  <si>
    <t>0611830547100</t>
  </si>
  <si>
    <t>TAG Ageratum Aguilera Sky Blue 100/100 Pixie Tag</t>
  </si>
  <si>
    <t>0611830548100</t>
  </si>
  <si>
    <t>TAG Ageratum Aguilera Violet 100/100 Pixie Tag</t>
  </si>
  <si>
    <t>0611830549100</t>
  </si>
  <si>
    <t>TAG Ageratum Aloha Dwarf Blue 100/100 Pixie Tag</t>
  </si>
  <si>
    <t>0611830550100</t>
  </si>
  <si>
    <t>TAG Ageratum Ariella Series 100/100 Pixie Tag</t>
  </si>
  <si>
    <t>0611830552100</t>
  </si>
  <si>
    <t>TAG Ageratum Blue Danube 100/100 Pixie Tag</t>
  </si>
  <si>
    <t>0611830553100</t>
  </si>
  <si>
    <t>TAG Ageratum Blue Horizon 100/100 Pixie Tag</t>
  </si>
  <si>
    <t>0611830555100</t>
  </si>
  <si>
    <t>TAG Ageratum Bumble Blue 100/100 Pixie Tag</t>
  </si>
  <si>
    <t>0611830556100</t>
  </si>
  <si>
    <t>TAG Ageratum Bumble Rose 100/100 Pixie Tag</t>
  </si>
  <si>
    <t>0611830557100</t>
  </si>
  <si>
    <t>TAG Ageratum Bumble Silver 100/100 Pixie Tag</t>
  </si>
  <si>
    <t>0611830558100</t>
  </si>
  <si>
    <t>TAG Ageratum Bumble White 100/100 Pixie Tag</t>
  </si>
  <si>
    <t>0611830564100</t>
  </si>
  <si>
    <t>TAG Ageratum GENERIC Bilingual 100/100 Pixie Tag</t>
  </si>
  <si>
    <t>0611830565100</t>
  </si>
  <si>
    <t>TAG Ageratum Hawaii 5 Blue 100/100 Pixie Tag</t>
  </si>
  <si>
    <t>0611830566100</t>
  </si>
  <si>
    <t>TAG Ageratum Hawaii Blue 100/100 Pixie Tag</t>
  </si>
  <si>
    <t>0611830569100</t>
  </si>
  <si>
    <t>TAG Ageratum High Tide Blue 100/100 Pixie Tag</t>
  </si>
  <si>
    <t>0611830570100</t>
  </si>
  <si>
    <t>TAG Ageratum High Tide White 100/100 Pixie Tag</t>
  </si>
  <si>
    <t>0611830571100</t>
  </si>
  <si>
    <t>TAG Ageratum Short Blue GENERIC 100/100 Pixie Tag</t>
  </si>
  <si>
    <t>0611830572100</t>
  </si>
  <si>
    <t>TAG Ageratum Short White GENERIC 100/100 Pixie Tag</t>
  </si>
  <si>
    <t>0611830573100</t>
  </si>
  <si>
    <t>TAG Ageratum Tall Blue GENERIC 100/100 Pixie Tag</t>
  </si>
  <si>
    <t>0611830574100</t>
  </si>
  <si>
    <t>TAG Aglaonema Chinese Evergreen GENERIC 100/100 Pixie Tag</t>
  </si>
  <si>
    <t>0611830575100</t>
  </si>
  <si>
    <t>TAG Aglaonema Red GENERIC 100/100 Pixie Tag</t>
  </si>
  <si>
    <t>0611830576100</t>
  </si>
  <si>
    <t>TAG Agrostis Green Twist 100/100 Pixie Tag</t>
  </si>
  <si>
    <t>0611830577100</t>
  </si>
  <si>
    <t>TAG Ajuga Black Scallop 100/100 Pixie Tag DO</t>
  </si>
  <si>
    <t>0611860439100</t>
  </si>
  <si>
    <t>TAG Ajuga Black Scallop 100/100 Pixie Tag FUL</t>
  </si>
  <si>
    <t>0611830578025</t>
  </si>
  <si>
    <t>TAG Ajuga Black Scallop 25/25 Portrait Tag</t>
  </si>
  <si>
    <t>0611860440050</t>
  </si>
  <si>
    <t>TAG Ajuga Black Scallop CR4157 50/50 Petite Portrait FUL</t>
  </si>
  <si>
    <t>0611830579025</t>
  </si>
  <si>
    <t>TAG Ajuga Blueberry Muffin 25/25 Portrait Tag</t>
  </si>
  <si>
    <t>0611830580100</t>
  </si>
  <si>
    <t>TAG Ajuga Bronze Beauty 100/100 Pixie Tag DO</t>
  </si>
  <si>
    <t>0611830581025</t>
  </si>
  <si>
    <t>TAG Ajuga Bronze Beauty 25/25 Portrait Tag</t>
  </si>
  <si>
    <t>0611860441100</t>
  </si>
  <si>
    <t>TAG Ajuga Bronze Beauty CN5006 100/100 Pixie Tag FUL</t>
  </si>
  <si>
    <t>0611830582100</t>
  </si>
  <si>
    <t>TAG Ajuga Burgundy Glow 100/100 Pixie Tag DO</t>
  </si>
  <si>
    <t>0611830583025</t>
  </si>
  <si>
    <t>TAG Ajuga Burgundy Glow 25/25 Portrait Tag</t>
  </si>
  <si>
    <t>0611860442050</t>
  </si>
  <si>
    <t>TAG Ajuga Burgundy Glow 50/50 Petite Portrait DO FUL</t>
  </si>
  <si>
    <t>0611860443100</t>
  </si>
  <si>
    <t>TAG Ajuga Burgundy Glow CN5007 100/100 Pixie Tag FUL</t>
  </si>
  <si>
    <t>0611860444100</t>
  </si>
  <si>
    <t>TAG Ajuga Catlin's Giant 100/100 Pixie Tag DO FUL</t>
  </si>
  <si>
    <t>0611830584025</t>
  </si>
  <si>
    <t>TAG Ajuga Catlin's Giant 25/25 Portrait Tag</t>
  </si>
  <si>
    <t>0611860445100</t>
  </si>
  <si>
    <t>TAG Ajuga Chocolate Chip 100/100 Pixie Tag FUL</t>
  </si>
  <si>
    <t>0611830585025</t>
  </si>
  <si>
    <t>TAG Ajuga Chocolate Chip 25/25 Portrait Tag</t>
  </si>
  <si>
    <t>0611860446050</t>
  </si>
  <si>
    <t>TAG Ajuga Chocolate Chip 50/50 Petite Portrait FUL</t>
  </si>
  <si>
    <t>0611856809025</t>
  </si>
  <si>
    <t>TAG Ajuga Feathered Friends Cordial Canary 25/25 Portrait Tag</t>
  </si>
  <si>
    <t>0611856810025</t>
  </si>
  <si>
    <t>TAG Ajuga Feathered Friends Fancy Finch 25/25 Portrait Tag</t>
  </si>
  <si>
    <t>0611856811025</t>
  </si>
  <si>
    <t>TAG Ajuga Feathered Friends Fierce Falcon 25/25 Portrait Tag</t>
  </si>
  <si>
    <t>0611856812025</t>
  </si>
  <si>
    <t>TAG Ajuga Feathered Friends Nobl Ntngl 25/25 Portrait Tag</t>
  </si>
  <si>
    <t>0611856813025</t>
  </si>
  <si>
    <t>TAG Ajuga Feathered Friends Parrot Paradise 25/25 Portrait Tag</t>
  </si>
  <si>
    <t>0611856814025</t>
  </si>
  <si>
    <t>TAG Ajuga Feathered Friends Petite Parakeet 25/25 Portrait Tag</t>
  </si>
  <si>
    <t>0611856815025</t>
  </si>
  <si>
    <t>TAG Ajuga Feathered Friends Tropical Toucan 25/25 Portrait Tag</t>
  </si>
  <si>
    <t>0611860447100</t>
  </si>
  <si>
    <t>TAG Ajuga Golden Glow 100/100 Pixie Tag DO FUL</t>
  </si>
  <si>
    <t>0611830586025</t>
  </si>
  <si>
    <t>TAG Ajuga Green Reptans 25/25 Portrait Tag</t>
  </si>
  <si>
    <t>0611860448100</t>
  </si>
  <si>
    <t>TAG Ajuga Mahogany 100/100 Pixie Tag FUL</t>
  </si>
  <si>
    <t>0611830587025</t>
  </si>
  <si>
    <t>TAG Ajuga Mahogany 25/25 Portrait Tag</t>
  </si>
  <si>
    <t>0611860449050</t>
  </si>
  <si>
    <t>TAG Ajuga Mahogany 50/50 Petite Portrait FUL</t>
  </si>
  <si>
    <t>0611860450100</t>
  </si>
  <si>
    <t>TAG Ajuga Pink Lightning 100/100 Pixie Tag</t>
  </si>
  <si>
    <t>0611860451100</t>
  </si>
  <si>
    <t>TAG Ajuga Princess Elsa 100/100 Pixie Tag DO FUL</t>
  </si>
  <si>
    <t>0611860452100</t>
  </si>
  <si>
    <t>TAG Ajuga Princess Leia 100/100 Pixie Tag DO FUL</t>
  </si>
  <si>
    <t>0611860453100</t>
  </si>
  <si>
    <t>TAG Ajuga Princess Nadia 100/100 Pixie Tag DO FUL</t>
  </si>
  <si>
    <t>0611830593025</t>
  </si>
  <si>
    <t>TAG Alcea Chater's Double Maroon 25/25 Portrait Tag</t>
  </si>
  <si>
    <t>0611830594100</t>
  </si>
  <si>
    <t>TAG Alcea Chater's Double Mix 100/100 Pixie Tag</t>
  </si>
  <si>
    <t>0611830595025</t>
  </si>
  <si>
    <t>TAG Alcea Chater's Double Mix 25/25 Portrait Tag</t>
  </si>
  <si>
    <t>0611830596025</t>
  </si>
  <si>
    <t>TAG Alcea Chater's Double Pink 25/25 Portrait Tag</t>
  </si>
  <si>
    <t>0611830592025</t>
  </si>
  <si>
    <t>TAG Alcea Chater's Double Salmon Pink 25/25 Portrait Tag</t>
  </si>
  <si>
    <t>0611830597025</t>
  </si>
  <si>
    <t>TAG Alcea Chater's Double Scarlet 25/25 Portrait Tag</t>
  </si>
  <si>
    <t>0611830598025</t>
  </si>
  <si>
    <t>TAG Alcea Chater's Double White 25/25 Portrait Tag</t>
  </si>
  <si>
    <t>0611830599025</t>
  </si>
  <si>
    <t>TAG Alcea Chater's Double Yellow 25/25 Portrait Tag</t>
  </si>
  <si>
    <t>0611830600025</t>
  </si>
  <si>
    <t>TAG Alcea Creme De Cassis 25/25 Portrait Tag</t>
  </si>
  <si>
    <t>0611830601025</t>
  </si>
  <si>
    <t>TAG Alcea Hollyhock GENERIC 25/25 Portrait Tag</t>
  </si>
  <si>
    <t>0611830602025</t>
  </si>
  <si>
    <t>TAG Alcea Indian Spring 25/25 Portrait Tag</t>
  </si>
  <si>
    <t>0611830603025</t>
  </si>
  <si>
    <t>TAG Alcea Las Vegas 25/25 Portrait Tag</t>
  </si>
  <si>
    <t>0611830604025</t>
  </si>
  <si>
    <t>TAG Alcea Nigra 25/25 Portrait Tag</t>
  </si>
  <si>
    <t>0611830605025</t>
  </si>
  <si>
    <t>TAG Alcea Peaches N Dreams 25/25 Portrait Tag</t>
  </si>
  <si>
    <t>0611830606100</t>
  </si>
  <si>
    <t>TAG Alcea Queeny Purple 100/100 Pixie Tag</t>
  </si>
  <si>
    <t>0611830607025</t>
  </si>
  <si>
    <t>TAG Alcea Single 25/25 Portrait Tag</t>
  </si>
  <si>
    <t>0611830608025</t>
  </si>
  <si>
    <t>TAG Alcea Spotlight Blacknight 25/25 Portrait Tag</t>
  </si>
  <si>
    <t>0611830609025</t>
  </si>
  <si>
    <t>TAG Alcea Spotlight Mars Magic 25/25 Portrait Tag</t>
  </si>
  <si>
    <t>0611830611025</t>
  </si>
  <si>
    <t>TAG Alcea Spotlight Sunshine 25/25 Portrait Tag</t>
  </si>
  <si>
    <t>0611830612025</t>
  </si>
  <si>
    <t>TAG Alcea Spring Celebrities Carmine Rose 25/25 Portrait Tag</t>
  </si>
  <si>
    <t>0611830613025</t>
  </si>
  <si>
    <t>TAG Alcea Spring Celebrities Crimson 25/25 Portrait Tag</t>
  </si>
  <si>
    <t>0611830614025</t>
  </si>
  <si>
    <t>TAG Alcea Spring Celebrities Lemon 25/25 Portrait Tag</t>
  </si>
  <si>
    <t>0611830618025</t>
  </si>
  <si>
    <t>TAG Alcea Spring Celebrities Mix 25/25 Portrait Tag</t>
  </si>
  <si>
    <t>0611830619025</t>
  </si>
  <si>
    <t>TAG Alcea Spring Celebrities Pink 25/25 Portrait Tag</t>
  </si>
  <si>
    <t>0611830616025</t>
  </si>
  <si>
    <t>TAG Alcea Spring Celebrities Purple 25/25 Portrait Tag</t>
  </si>
  <si>
    <t>0611830620100</t>
  </si>
  <si>
    <t>TAG Alcea Summer Carnival Mix 100/100 Pixie Tag</t>
  </si>
  <si>
    <t>0611830621025</t>
  </si>
  <si>
    <t>TAG Alchemilla Alma 25/25 Portrait Tag</t>
  </si>
  <si>
    <t>0611830622025</t>
  </si>
  <si>
    <t>TAG Alchemilla Auslese 25/25 Portrait Tag</t>
  </si>
  <si>
    <t>0611830623025</t>
  </si>
  <si>
    <t>TAG Alchemilla Erythropoda 25/25 Portrait Tag</t>
  </si>
  <si>
    <t>0611830624025</t>
  </si>
  <si>
    <t>TAG Alchemilla Gold Strike 25/25 Portrait Tag</t>
  </si>
  <si>
    <t>0611830625025</t>
  </si>
  <si>
    <t>TAG Alchemilla Mollis 25/25 Portrait Tag</t>
  </si>
  <si>
    <t>0611830626100</t>
  </si>
  <si>
    <t>TAG Alchemilla Thriller 100/100 Pixie Tag</t>
  </si>
  <si>
    <t>0611830627025</t>
  </si>
  <si>
    <t>TAG Alchemilla Thriller 25/25 Portrait Tag</t>
  </si>
  <si>
    <t>0611830628100</t>
  </si>
  <si>
    <t>TAG Allium Benny's Red 100/100 Pixie Tag</t>
  </si>
  <si>
    <t>0611830629100</t>
  </si>
  <si>
    <t>TAG Allium Bunching 100/100 Pixie Tag</t>
  </si>
  <si>
    <t>0611830630100</t>
  </si>
  <si>
    <t>TAG Allium Burgundy 100/100 Pixie Tag</t>
  </si>
  <si>
    <t>0611830631100</t>
  </si>
  <si>
    <t>TAG Allium Candy 100/100 Pixie Tag</t>
  </si>
  <si>
    <t>0611830632100</t>
  </si>
  <si>
    <t>TAG Allium Chives 100/100 Pixie Tag</t>
  </si>
  <si>
    <t>0611830633200</t>
  </si>
  <si>
    <t>TAG Allium Chives 200/200 Thriftee Tag</t>
  </si>
  <si>
    <t>0611830634025</t>
  </si>
  <si>
    <t>TAG Allium Chives 25/25 Portrait Tag</t>
  </si>
  <si>
    <t>0611830637100</t>
  </si>
  <si>
    <t>TAG Allium Garlic Chives 100/100 Pixie Tag</t>
  </si>
  <si>
    <t>0611830638025</t>
  </si>
  <si>
    <t>TAG Allium Garlic Chives 25/25 Portrait Tag</t>
  </si>
  <si>
    <t>0611830640100</t>
  </si>
  <si>
    <t>TAG Allium Garlic Geisha Chives 100/100 Pixie Tag</t>
  </si>
  <si>
    <t>0611830639100</t>
  </si>
  <si>
    <t>TAG Allium Garlic GENERIC 100/100 Pixie Tag</t>
  </si>
  <si>
    <t>0611883989025</t>
  </si>
  <si>
    <t>TAG Allium Geisha Garlic Chives 25/25 Portrait Tag</t>
  </si>
  <si>
    <t>0611883990025</t>
  </si>
  <si>
    <t>TAG Allium King Richard 25/25 Portrait Tag</t>
  </si>
  <si>
    <t>0611830646025</t>
  </si>
  <si>
    <t>TAG Allium Millenium 25/25 Portrait Tag</t>
  </si>
  <si>
    <t>0611830665100</t>
  </si>
  <si>
    <t>TAG Alocasia Alocasia GENERIC 100/100 Pixie Tag</t>
  </si>
  <si>
    <t>0611830666100</t>
  </si>
  <si>
    <t>TAG Alocasia Calidora 100/100 Pixie Tag</t>
  </si>
  <si>
    <t>0611830667100</t>
  </si>
  <si>
    <t>TAG Alocasia Polly 100/100 Pixie Tag</t>
  </si>
  <si>
    <t>0611830669100</t>
  </si>
  <si>
    <t>TAG Aloe Aloe 100/100 Pixie Tag</t>
  </si>
  <si>
    <t>0611860455100</t>
  </si>
  <si>
    <t>TAG Aloe Arborescens 100/100 Pixie Tag FUL</t>
  </si>
  <si>
    <t>0611860456100</t>
  </si>
  <si>
    <t>TAG Aloe Arborescens CN2007 100/100 Pixie Tag</t>
  </si>
  <si>
    <t>0611860457100</t>
  </si>
  <si>
    <t>TAG Aloe Aristata 100/100 Pixie Tag FUL</t>
  </si>
  <si>
    <t>0611830670100</t>
  </si>
  <si>
    <t>TAG Aloe GENERIC 100/100 Pixie Tag</t>
  </si>
  <si>
    <t>0611830671100</t>
  </si>
  <si>
    <t>TAG Aloe Medicinal Aloe 100/100 Pixie Tag</t>
  </si>
  <si>
    <t>0611860458100</t>
  </si>
  <si>
    <t>TAG Aloe Vera 100/100 Pixie Tag FUL</t>
  </si>
  <si>
    <t>0611860459100</t>
  </si>
  <si>
    <t>TAG Aloysia Lemon Verbena 100/100 Pixie Tag FUL</t>
  </si>
  <si>
    <t>0611860460050</t>
  </si>
  <si>
    <t>TAG Aloysia Lemon Verbena 50/50 Petite Portrait FUL</t>
  </si>
  <si>
    <t>0611860461050</t>
  </si>
  <si>
    <t>TAG Alstroemeria Bryce 50/50 Petite Portrait FUL</t>
  </si>
  <si>
    <t>0611860462050</t>
  </si>
  <si>
    <t>TAG Alstroemeria Dark Purple 50/50 Petite Portrait FUL</t>
  </si>
  <si>
    <t>0611860463050</t>
  </si>
  <si>
    <t>TAG Alstroemeria Doba 50/50 Petite Portrait FUL</t>
  </si>
  <si>
    <t>0611830674100</t>
  </si>
  <si>
    <t>TAG Alstroemeria GENERIC 100/100 Pixie Tag</t>
  </si>
  <si>
    <t>0611860464050</t>
  </si>
  <si>
    <t>TAG Alstroemeria Hope 50/50 Petite Portrait FUL</t>
  </si>
  <si>
    <t>0611860465050</t>
  </si>
  <si>
    <t>TAG Alstroemeria Indigo 50/50 Petite Portrait FUL</t>
  </si>
  <si>
    <t>0611860466050</t>
  </si>
  <si>
    <t>TAG Alstroemeria Kanika 50/50 Petite Portrait FUL</t>
  </si>
  <si>
    <t>0611860467050</t>
  </si>
  <si>
    <t>TAG Alstroemeria Machu 50/50 Petite Portrait FUL</t>
  </si>
  <si>
    <t>0611860468050</t>
  </si>
  <si>
    <t>TAG Alstroemeria Magic White 50/50 Petite Portrait FUL</t>
  </si>
  <si>
    <t>0611860469050</t>
  </si>
  <si>
    <t>TAG Alstroemeria Maya 50/50 Petite Portrait FUL</t>
  </si>
  <si>
    <t>0611860470050</t>
  </si>
  <si>
    <t>TAG Alstroemeria Moon 50/50 Petite Portrait FUL</t>
  </si>
  <si>
    <t>0611860471050</t>
  </si>
  <si>
    <t>TAG Alstroemeria Passion 50/50 Petite Portrait FUL</t>
  </si>
  <si>
    <t>0611860472050</t>
  </si>
  <si>
    <t>TAG Alstroemeria Red 50/50 Petite Portrait FUL</t>
  </si>
  <si>
    <t>0611860473050</t>
  </si>
  <si>
    <t>TAG Alstroemeria Summer Paradise Bree 50/50 Petite Portrait FUL</t>
  </si>
  <si>
    <t>0611860474050</t>
  </si>
  <si>
    <t>TAG Alstroemeria Summer Paradise Dancer 50/50 Petite Portrait FUL</t>
  </si>
  <si>
    <t>0611860475050</t>
  </si>
  <si>
    <t>TAG Alstroemeria Summer Paradise Holiday 50/50 Petite Portrait FUL</t>
  </si>
  <si>
    <t>0611860476050</t>
  </si>
  <si>
    <t>TAG Alstroemeria Summer Paradise Indian Summer 50/50 Petite Portrait FUL</t>
  </si>
  <si>
    <t>0611860477050</t>
  </si>
  <si>
    <t>TAG Alstroemeria Summer Paradise Red 50/50 Petite Portrait FUL</t>
  </si>
  <si>
    <t>0611860478050</t>
  </si>
  <si>
    <t>TAG Alstroemeria Summer Paradise Reli 50/50 Petite Portrait FUL</t>
  </si>
  <si>
    <t>0611860479050</t>
  </si>
  <si>
    <t>TAG Alstroemeria Summer Paradise Saint 50/50 Petite Portrait FUL</t>
  </si>
  <si>
    <t>0611860480050</t>
  </si>
  <si>
    <t>TAG Alstroemeria Summer Paradise Sky 50/50 Petite Portrait FUL</t>
  </si>
  <si>
    <t>0611860481050</t>
  </si>
  <si>
    <t>TAG Alstroemeria Summer Paradise Snow 50/50 Petite Portrait FUL</t>
  </si>
  <si>
    <t>0611860482050</t>
  </si>
  <si>
    <t>TAG Alstroemeria Summer Paradise Valley 50/50 Petite Portrait FUL</t>
  </si>
  <si>
    <t>0611860483050</t>
  </si>
  <si>
    <t>TAG Alstroemeria Summer Paradise Valley Girl 50/50 Petite Portrait FUL</t>
  </si>
  <si>
    <t>0611860484050</t>
  </si>
  <si>
    <t>TAG Alstroemeria Sunset 50/50 Petite Portrait FUL</t>
  </si>
  <si>
    <t>0611860485050</t>
  </si>
  <si>
    <t>TAG Alstroemeria Sunshine 50/50 Petite Portrait FUL</t>
  </si>
  <si>
    <t>0611860486050</t>
  </si>
  <si>
    <t>TAG Alstroemeria Time Valley 50/50 Petite Portrait FUL</t>
  </si>
  <si>
    <t>0611860487050</t>
  </si>
  <si>
    <t>TAG Alstroemeria Valentino 50/50 Petite Portrait FUL</t>
  </si>
  <si>
    <t>0611860488050</t>
  </si>
  <si>
    <t>TAG Alstroemeria White Pink Blush 50/50 Petite Portrait FUL</t>
  </si>
  <si>
    <t>0611830675100</t>
  </si>
  <si>
    <t>TAG Alternanthera Brazilian Red Hots 100/100 Pixie Tag</t>
  </si>
  <si>
    <t>0611860489050</t>
  </si>
  <si>
    <t>TAG Alternanthera Brazilian Red Hots 50/50 Petite Portrait FUL</t>
  </si>
  <si>
    <t>0611830676100</t>
  </si>
  <si>
    <t>TAG Alternanthera Burgundy 100/100 Pixie Tag</t>
  </si>
  <si>
    <t>0611830677100</t>
  </si>
  <si>
    <t>TAG Alternanthera Chartreuse 100/100 Pixie Tag</t>
  </si>
  <si>
    <t>0611830678100</t>
  </si>
  <si>
    <t>TAG Alternanthera Choco Chili 100/100 Pixie Tag</t>
  </si>
  <si>
    <t>0611830679100</t>
  </si>
  <si>
    <t>TAG Alternanthera GENERIC Bilingual 100/100 Pixie Tag</t>
  </si>
  <si>
    <t>0611830680100</t>
  </si>
  <si>
    <t>TAG Alternanthera Gold Threads 100/100 Pixie Tag</t>
  </si>
  <si>
    <t>0611830681100</t>
  </si>
  <si>
    <t>TAG Alternanthera Green And Yellow 100/100 Pixie Tag</t>
  </si>
  <si>
    <t>0611830684100</t>
  </si>
  <si>
    <t>TAG Alternanthera Little Ruby 100/100 Pixie Tag</t>
  </si>
  <si>
    <t>0611860490050</t>
  </si>
  <si>
    <t>TAG Alternanthera Little Ruby 50/50 Petite Portrait FUL</t>
  </si>
  <si>
    <t>0611860491050</t>
  </si>
  <si>
    <t>TAG Alternanthera PartyTime 50/50 Petite Portrait FUL</t>
  </si>
  <si>
    <t>0611830685100</t>
  </si>
  <si>
    <t>TAG Alternanthera Purple Knight 100/100 Pixie Tag</t>
  </si>
  <si>
    <t>0611830686100</t>
  </si>
  <si>
    <t>TAG Alternanthera Purple Prince 100/100 Pixie Tag</t>
  </si>
  <si>
    <t>0611830687100</t>
  </si>
  <si>
    <t>TAG Alternanthera Red 100/100 Pixie Tag</t>
  </si>
  <si>
    <t>0611860492050</t>
  </si>
  <si>
    <t>TAG Alternanthera Red Carpet 50/50 Petite Portrait FUL</t>
  </si>
  <si>
    <t>0611830688100</t>
  </si>
  <si>
    <t>TAG Alternanthera Red Threads 100/100 Pixie Tag</t>
  </si>
  <si>
    <t>0611860493050</t>
  </si>
  <si>
    <t>TAG Alternanthera True Yellow 50/50 Petite Portrait FUL</t>
  </si>
  <si>
    <t>0611830690025</t>
  </si>
  <si>
    <t>TAG Althaea Zebrina 25/25 Portrait Tag</t>
  </si>
  <si>
    <t>0611830691025</t>
  </si>
  <si>
    <t>TAG Alyssum GENERIC 25/25 Portrait Tag</t>
  </si>
  <si>
    <t>0611830692025</t>
  </si>
  <si>
    <t>TAG Alyssum Golden Spring 25/25 Portrait Tag</t>
  </si>
  <si>
    <t>0611860494050</t>
  </si>
  <si>
    <t>TAG Alyssum Golden Spring 50/50 Petite Portrait FUL</t>
  </si>
  <si>
    <t>0611830694025</t>
  </si>
  <si>
    <t>TAG Alyssum Mountain Gold 25/25 Portrait Tag</t>
  </si>
  <si>
    <t>0611856816100</t>
  </si>
  <si>
    <t>TAG Alyssum New Carpet Of Snow 100/100 Pixie Tag</t>
  </si>
  <si>
    <t>0611856817100</t>
  </si>
  <si>
    <t>TAG Alyssum Stream Champagne 22 100/100 Pixie Tag</t>
  </si>
  <si>
    <t>0611856818100</t>
  </si>
  <si>
    <t>TAG Alyssum Stream Violet 22 100/100 Pixie Tag</t>
  </si>
  <si>
    <t>0611830696100</t>
  </si>
  <si>
    <t>TAG Amaranthus Carnival 100/100 Pixie Tag</t>
  </si>
  <si>
    <t>0611830697100</t>
  </si>
  <si>
    <t>TAG Amaranthus Early Splendor 100/100 Pixie Tag</t>
  </si>
  <si>
    <t>0611830695100</t>
  </si>
  <si>
    <t>TAG Amaranthus GENERIC 100/100 Pixie Tag</t>
  </si>
  <si>
    <t>0611830698100</t>
  </si>
  <si>
    <t>TAG Amaranthus Love Lies Bleeding 100/100 Pixie Tag</t>
  </si>
  <si>
    <t>0611830700100</t>
  </si>
  <si>
    <t>TAG Amaranthus Tricolor Splendens 100/100 Pixie Tag</t>
  </si>
  <si>
    <t>0611830701100</t>
  </si>
  <si>
    <t>TAG Amaranthus Velvet Curtains 100/100 Pixie Tag</t>
  </si>
  <si>
    <t>0611835297100</t>
  </si>
  <si>
    <t>TAG Amaryllis GENERIC 100/100 Pixie Tag</t>
  </si>
  <si>
    <t>0611830702025</t>
  </si>
  <si>
    <t>TAG Amsonia Blue Ice 25/25 Portrait Tag</t>
  </si>
  <si>
    <t>0611830703025</t>
  </si>
  <si>
    <t>TAG Amsonia Hubrichtii 25/25 Portrait Tag</t>
  </si>
  <si>
    <t>0611830704025</t>
  </si>
  <si>
    <t>TAG Anacyclus Depressus 25/25 Portrait Tag</t>
  </si>
  <si>
    <t>0611830706100</t>
  </si>
  <si>
    <t>TAG Anagallis Skylover 100/100 Pixie Tag</t>
  </si>
  <si>
    <t>0611830707025</t>
  </si>
  <si>
    <t>TAG Ananas Pineapple Plant GENERIC 25/25 Portrait Tag</t>
  </si>
  <si>
    <t>0611830708025</t>
  </si>
  <si>
    <t>TAG Anchusa Blue Angel 25/25 Portrait Tag</t>
  </si>
  <si>
    <t>0611830709025</t>
  </si>
  <si>
    <t>TAG Andropogon Gerardii 25/25 Portrait Tag</t>
  </si>
  <si>
    <t>0611830710100</t>
  </si>
  <si>
    <t>TAG Anemone GENERIC 100/100 Pixie Tag</t>
  </si>
  <si>
    <t>0611830711100</t>
  </si>
  <si>
    <t>TAG Anemone Harmony Double Series 100/100 Pixie Tag</t>
  </si>
  <si>
    <t>0611830712100</t>
  </si>
  <si>
    <t>TAG Anemone Harmony Series 100/100 Pixie Tag</t>
  </si>
  <si>
    <t>0611830713025</t>
  </si>
  <si>
    <t>TAG Anemone Honorine Jobert 25/25 Portrait Tag</t>
  </si>
  <si>
    <t>0611830714100</t>
  </si>
  <si>
    <t>TAG Anemone Mona Lisa 100/100 Pixie Tag</t>
  </si>
  <si>
    <t>0611830715025</t>
  </si>
  <si>
    <t>TAG Anemone Robustissima 25/25 Portrait Tag</t>
  </si>
  <si>
    <t>0611830716025</t>
  </si>
  <si>
    <t>TAG Anemone September Charm 25/25 Portrait Tag</t>
  </si>
  <si>
    <t>0611830717025</t>
  </si>
  <si>
    <t>TAG Anemone Sylvestris 25/25 Portrait Tag</t>
  </si>
  <si>
    <t>0611830718025</t>
  </si>
  <si>
    <t>TAG Anemone Whirlwind 25/25 Portrait Tag</t>
  </si>
  <si>
    <t>0611830726100</t>
  </si>
  <si>
    <t>TAG Angelonia Alonia Bicolor Violet 100/100 Pixie Tag</t>
  </si>
  <si>
    <t>0611830727100</t>
  </si>
  <si>
    <t>TAG Angelonia Alonia Big Bicolor Pink 100/100 Pixie Tag</t>
  </si>
  <si>
    <t>0611830728100</t>
  </si>
  <si>
    <t>TAG Angelonia Alonia Big Bicolor Purple 100/100 Pixie Tag</t>
  </si>
  <si>
    <t>0611830729100</t>
  </si>
  <si>
    <t>TAG Angelonia Alonia Big Blue 100/100 Pixie Tag</t>
  </si>
  <si>
    <t>0611883991100</t>
  </si>
  <si>
    <t>TAG Angelonia Alonia Big Cherry 100/100 Pixie Tag</t>
  </si>
  <si>
    <t>0611830730100</t>
  </si>
  <si>
    <t>TAG Angelonia Alonia Big Dark Pink 100/100 Pixie Tag</t>
  </si>
  <si>
    <t>0611883992100</t>
  </si>
  <si>
    <t>TAG Angelonia Alonia Big Grape 100/100 Pixie Tag</t>
  </si>
  <si>
    <t>0611830731100</t>
  </si>
  <si>
    <t>TAG Angelonia Alonia Big Indigo 100/100 Pixie Tag</t>
  </si>
  <si>
    <t>0611830732100</t>
  </si>
  <si>
    <t>TAG Angelonia Alonia Big Snow 100/100 Pixie Tag</t>
  </si>
  <si>
    <t>0611830733100</t>
  </si>
  <si>
    <t>TAG Angelonia Alonia Dark Lavender 100/100 Pixie Tag</t>
  </si>
  <si>
    <t>0611830734100</t>
  </si>
  <si>
    <t>TAG Angelonia Alonia Pink Flirt 100/100 Pixie Tag</t>
  </si>
  <si>
    <t>0611883993100</t>
  </si>
  <si>
    <t>TAG Angelonia Alonia Purple 100/100 Pixie Tag</t>
  </si>
  <si>
    <t>0611830736100</t>
  </si>
  <si>
    <t>TAG Angelonia Alonia Snow Ball 100/100 Pixie Tag</t>
  </si>
  <si>
    <t>0611830737100</t>
  </si>
  <si>
    <t>TAG Angelonia Alonia Violet Big 100/100 Pixie Tag</t>
  </si>
  <si>
    <t>0611830738100</t>
  </si>
  <si>
    <t>TAG Angelonia Angelissa Purple 100/100 Pixie Tag</t>
  </si>
  <si>
    <t>0611830739100</t>
  </si>
  <si>
    <t>TAG Angelonia Angelissa Rose 100/100 Pixie Tag</t>
  </si>
  <si>
    <t>0611830740100</t>
  </si>
  <si>
    <t>TAG Angelonia Angelissa White 100/100 Pixie Tag</t>
  </si>
  <si>
    <t>0611860495050</t>
  </si>
  <si>
    <t>TAG Angelonia Aria Alta Pink 50/50 Petite Portrait DO FUL</t>
  </si>
  <si>
    <t>0611860496050</t>
  </si>
  <si>
    <t>TAG Angelonia Aria Alta Purple 50/50 Petite Portrait DO FUL</t>
  </si>
  <si>
    <t>0611860497050</t>
  </si>
  <si>
    <t>TAG Angelonia Aria Alta Red Raspberry 50/50 Petite Portrait DO FUL</t>
  </si>
  <si>
    <t>0611860498050</t>
  </si>
  <si>
    <t>TAG Angelonia Aria Blue 50/50 Petite Portrait DO FUL</t>
  </si>
  <si>
    <t>0611883994050</t>
  </si>
  <si>
    <t>TAG Angelonia Aria Pink Bicolor 50/50 Petite Portrait DO FUL</t>
  </si>
  <si>
    <t>0611860499050</t>
  </si>
  <si>
    <t>TAG Angelonia Aria Purple 50/50 Petite Portrait DO FUL</t>
  </si>
  <si>
    <t>0611860500050</t>
  </si>
  <si>
    <t>TAG Angelonia Aria Soft Pink 50/50 Petite Portrait DO FUL</t>
  </si>
  <si>
    <t>0611860501050</t>
  </si>
  <si>
    <t>TAG Angelonia Aria White 50/50 Petite Portrait DO FUL</t>
  </si>
  <si>
    <t>0611860502050</t>
  </si>
  <si>
    <t>TAG Angelonia Carita Cascade Deep Purple 50/50 Petite Portrait SF FUL</t>
  </si>
  <si>
    <t>0611860503050</t>
  </si>
  <si>
    <t>TAG Angelonia Carita Cascade Raspberry 50/50 Petite Portrait SF FUL</t>
  </si>
  <si>
    <t>0611860504050</t>
  </si>
  <si>
    <t>TAG Angelonia Carita Cascade White 50/50 Petite Portrait SF FUL</t>
  </si>
  <si>
    <t>0611860505050</t>
  </si>
  <si>
    <t>TAG Angelonia Carita Purple 50/50 Petite Portrait SF FUL</t>
  </si>
  <si>
    <t>0611860506050</t>
  </si>
  <si>
    <t>TAG Angelonia Carita Raspberry 50/50 Petite Portrait SF FUL</t>
  </si>
  <si>
    <t>0611860507050</t>
  </si>
  <si>
    <t>TAG Angelonia Carita White 50/50 Petite Portrait SF FUL</t>
  </si>
  <si>
    <t>0611830741100</t>
  </si>
  <si>
    <t>TAG Angelonia GENERIC 100/100 Pixie Tag</t>
  </si>
  <si>
    <t>0611830749100</t>
  </si>
  <si>
    <t>TAG Angelonia Serafina Bicolor 100/100 Pixie Tag</t>
  </si>
  <si>
    <t>0611830750100</t>
  </si>
  <si>
    <t>TAG Angelonia Serafina Blue 100/100 Pixie Tag</t>
  </si>
  <si>
    <t>0611830751100</t>
  </si>
  <si>
    <t>TAG Angelonia Serafina Pink 100/100 Pixie Tag</t>
  </si>
  <si>
    <t>0611830752100</t>
  </si>
  <si>
    <t>TAG Angelonia Serafina Raspberry 100/100 Pixie Tag</t>
  </si>
  <si>
    <t>0611830753100</t>
  </si>
  <si>
    <t>TAG Angelonia Serafina Rose 100/100 Pixie Tag</t>
  </si>
  <si>
    <t>0611830754100</t>
  </si>
  <si>
    <t>TAG Angelonia Serafina Violet 100/100 Pixie Tag</t>
  </si>
  <si>
    <t>0611830755100</t>
  </si>
  <si>
    <t>TAG Angelonia Serafina White 100/100 Pixie Tag</t>
  </si>
  <si>
    <t>0611830756100</t>
  </si>
  <si>
    <t>TAG Angelonia Serena Blue 100/100 Pixie Tag</t>
  </si>
  <si>
    <t>0611830757100</t>
  </si>
  <si>
    <t>TAG Angelonia Serena Lavender 100/100 Pixie Tag</t>
  </si>
  <si>
    <t>0611830758100</t>
  </si>
  <si>
    <t>TAG Angelonia Serena Lavender Pink 100/100 Pixie Tag</t>
  </si>
  <si>
    <t>0611830759100</t>
  </si>
  <si>
    <t>TAG Angelonia Serena Mix 100/100 Pixie Tag</t>
  </si>
  <si>
    <t>0611830760100</t>
  </si>
  <si>
    <t>TAG Angelonia Serena Purple 100/100 Pixie Tag</t>
  </si>
  <si>
    <t>0611830761100</t>
  </si>
  <si>
    <t>TAG Angelonia Serena Rose 100/100 Pixie Tag</t>
  </si>
  <si>
    <t>0611830762100</t>
  </si>
  <si>
    <t>TAG Angelonia Serena Waterfall Mix 100/100 Pixie Tag</t>
  </si>
  <si>
    <t>0611830763100</t>
  </si>
  <si>
    <t>TAG Angelonia Serena White 100/100 Pixie Tag</t>
  </si>
  <si>
    <t>0611830764100</t>
  </si>
  <si>
    <t>TAG Angelonia Serenita Lavender 100/100 Pixie Tag</t>
  </si>
  <si>
    <t>0611830765100</t>
  </si>
  <si>
    <t>TAG Angelonia Serenita Lavender Pink 100/100 Pixie Tag</t>
  </si>
  <si>
    <t>0611830766100</t>
  </si>
  <si>
    <t>TAG Angelonia Serenita Mix 100/100 Pixie Tag</t>
  </si>
  <si>
    <t>0611830767100</t>
  </si>
  <si>
    <t>TAG Angelonia Serenita Pink 100/100 Pixie Tag</t>
  </si>
  <si>
    <t>0611830768100</t>
  </si>
  <si>
    <t>TAG Angelonia Serenita Purple 100/100 Pixie Tag</t>
  </si>
  <si>
    <t>0611830769100</t>
  </si>
  <si>
    <t>TAG Angelonia Serenita Raspberry 100/100 Pixie Tag</t>
  </si>
  <si>
    <t>0611830770100</t>
  </si>
  <si>
    <t>TAG Angelonia Serenita Rose 100/100 Pixie Tag</t>
  </si>
  <si>
    <t>0611830771100</t>
  </si>
  <si>
    <t>TAG Angelonia Serenita Series 100/100 Pixie Tag</t>
  </si>
  <si>
    <t>0611830772100</t>
  </si>
  <si>
    <t>TAG Angelonia Serenita Sky Blue 100/100 Pixie Tag</t>
  </si>
  <si>
    <t>0611830773100</t>
  </si>
  <si>
    <t>TAG Angelonia Serenita White 100/100 Pixie Tag</t>
  </si>
  <si>
    <t>0611838495100</t>
  </si>
  <si>
    <t>TAG Anise 100/100 Pixie Tag</t>
  </si>
  <si>
    <t>0611830775100</t>
  </si>
  <si>
    <t>TAG Anisodontea Capensis 100/100 Pixie Tag</t>
  </si>
  <si>
    <t>0611830776100</t>
  </si>
  <si>
    <t>TAG Anisodontea Elegans Princess 100/100 Pixie Tag</t>
  </si>
  <si>
    <t>0611830777100</t>
  </si>
  <si>
    <t>TAG Annual Combination GENERIC 100/100 Hang Tag</t>
  </si>
  <si>
    <t>0611830778100</t>
  </si>
  <si>
    <t>TAG Annual GENERIC Bilingual 100/100 Pixie Tag</t>
  </si>
  <si>
    <t>0611830779025</t>
  </si>
  <si>
    <t>TAG Antennaria Rubra 25/25 Portrait Tag</t>
  </si>
  <si>
    <t>0611830780100</t>
  </si>
  <si>
    <t>TAG Anthriscus Chervil 100/100 Pixie Tag</t>
  </si>
  <si>
    <t>0611883995025</t>
  </si>
  <si>
    <t>TAG Anthriscus Chervil 25/25 Portrait Tag</t>
  </si>
  <si>
    <t>0611830781100</t>
  </si>
  <si>
    <t>TAG Anthurium GENERIC 100/100 Pixie Tag</t>
  </si>
  <si>
    <t>0611883996025</t>
  </si>
  <si>
    <t>TAG Apium Peppermint Stick 25/25 Portrait Tag</t>
  </si>
  <si>
    <t>0611830950100</t>
  </si>
  <si>
    <t>TAG Aptenia GENERIC 100/100 Pixie Tag</t>
  </si>
  <si>
    <t>0611830951100</t>
  </si>
  <si>
    <t>TAG Aptenia Red 100/100 Pixie Tag</t>
  </si>
  <si>
    <t>0611830952100</t>
  </si>
  <si>
    <t>TAG Aptenia Variegated 100/100 Pixie Tag</t>
  </si>
  <si>
    <t>0611830953025</t>
  </si>
  <si>
    <t>TAG Aquilegia Alpina 25/25 Portrait Tag</t>
  </si>
  <si>
    <t>0611830954025</t>
  </si>
  <si>
    <t>TAG Aquilegia Barlow Nora 25/25 Portrait Tag</t>
  </si>
  <si>
    <t>0611830955100</t>
  </si>
  <si>
    <t>TAG Aquilegia Biedermeier 100/100 Pixie Tag</t>
  </si>
  <si>
    <t>0611830956025</t>
  </si>
  <si>
    <t>TAG Aquilegia Biedermeier 25/25 Portrait Tag</t>
  </si>
  <si>
    <t>0611830957025</t>
  </si>
  <si>
    <t>TAG Aquilegia Canadensis 25/25 Portrait Tag</t>
  </si>
  <si>
    <t>0611830958025</t>
  </si>
  <si>
    <t>TAG Aquilegia Clementine Blue 25/25 Portrait Tag</t>
  </si>
  <si>
    <t>0611830959025</t>
  </si>
  <si>
    <t>TAG Aquilegia Clementine Dark Purple 25/25 Portrait Tag</t>
  </si>
  <si>
    <t>0611830960025</t>
  </si>
  <si>
    <t>TAG Aquilegia Clementine Mix 25/25 Portrait Tag</t>
  </si>
  <si>
    <t>0611830961025</t>
  </si>
  <si>
    <t>TAG Aquilegia Clementine Red 25/25 Portrait Tag</t>
  </si>
  <si>
    <t>0611830963025</t>
  </si>
  <si>
    <t>TAG Aquilegia Clementine Salmon Rose 25/25 Portrait Tag</t>
  </si>
  <si>
    <t>0611830965025</t>
  </si>
  <si>
    <t>TAG Aquilegia Earlybird Blue White 25/25 Portrait Tag</t>
  </si>
  <si>
    <t>0611830966025</t>
  </si>
  <si>
    <t>TAG Aquilegia Earlybird Mixture 25/25 Portrait Tag</t>
  </si>
  <si>
    <t>0611830967025</t>
  </si>
  <si>
    <t>TAG Aquilegia Earlybird Purple Blue 25/25 Portrait Tag</t>
  </si>
  <si>
    <t>0611830968025</t>
  </si>
  <si>
    <t>TAG Aquilegia Earlybird Purple White 25/25 Portrait Tag</t>
  </si>
  <si>
    <t>0611830969025</t>
  </si>
  <si>
    <t>TAG Aquilegia Earlybird Purple Yellow 25/25 Portrait Tag</t>
  </si>
  <si>
    <t>0611830970025</t>
  </si>
  <si>
    <t>TAG Aquilegia Earlybird Red White 25/25 Portrait Tag</t>
  </si>
  <si>
    <t>0611830971025</t>
  </si>
  <si>
    <t>TAG Aquilegia Earlybird Red Yellow 25/25 Portrait Tag</t>
  </si>
  <si>
    <t>0611830972025</t>
  </si>
  <si>
    <t>TAG Aquilegia Earlybird White 25/25 Portrait Tag</t>
  </si>
  <si>
    <t>0611830973025</t>
  </si>
  <si>
    <t>TAG Aquilegia Earlybird Yellow 25/25 Portrait Tag</t>
  </si>
  <si>
    <t>0611830974025</t>
  </si>
  <si>
    <t>TAG Aquilegia Kirigami Deep Blue And White 25/25 Portrait Tag SF</t>
  </si>
  <si>
    <t>0611830975025</t>
  </si>
  <si>
    <t>TAG Aquilegia Kirigami Light Blue And White 25/25 Portrait Tag SF</t>
  </si>
  <si>
    <t>0611830976025</t>
  </si>
  <si>
    <t>TAG Aquilegia Kirigami Mix 25/25 Portrait Tag SF</t>
  </si>
  <si>
    <t>0611830977025</t>
  </si>
  <si>
    <t>TAG Aquilegia Kirigami Red/White 25/25 Portrait Tag SF</t>
  </si>
  <si>
    <t>0611830978025</t>
  </si>
  <si>
    <t>TAG Aquilegia Kirigami Rose/Pink 25/25 Portrait Tag SF</t>
  </si>
  <si>
    <t>0611830979025</t>
  </si>
  <si>
    <t>TAG Aquilegia Kirigami Yellow 25/25 Portrait Tag SF</t>
  </si>
  <si>
    <t>0611830980025</t>
  </si>
  <si>
    <t>TAG Aquilegia Little Lanterns 25/25 Portrait Tag</t>
  </si>
  <si>
    <t>0611830981100</t>
  </si>
  <si>
    <t>TAG Aquilegia McKana Giants Hybrid 100/100 Pixie Tag</t>
  </si>
  <si>
    <t>0611830982025</t>
  </si>
  <si>
    <t>TAG Aquilegia McKana Giants Hybrid 25/25 Portrait Tag</t>
  </si>
  <si>
    <t>0611830983100</t>
  </si>
  <si>
    <t>TAG Aquilegia Mix GENERIC 100/100 Pixie Tag</t>
  </si>
  <si>
    <t>0611830984025</t>
  </si>
  <si>
    <t>TAG Aquilegia Mix GENERIC 25/25 Portrait Tag</t>
  </si>
  <si>
    <t>0611830985025</t>
  </si>
  <si>
    <t>TAG Aquilegia Origami Blue And White 25/25 Portrait Tag SF</t>
  </si>
  <si>
    <t>0611830986025</t>
  </si>
  <si>
    <t>TAG Aquilegia Origami Mix 25/25 Portrait Tag SF</t>
  </si>
  <si>
    <t>0611830988025</t>
  </si>
  <si>
    <t>TAG Aquilegia Origami Red And White 25/25 Portrait Tag SF</t>
  </si>
  <si>
    <t>0611830993100</t>
  </si>
  <si>
    <t>TAG Aquilegia Songbird Blue Bird 100/100 Pixie Tag</t>
  </si>
  <si>
    <t>0611830995025</t>
  </si>
  <si>
    <t>TAG Aquilegia Songbird Cardinal 25/25 Portrait Tag</t>
  </si>
  <si>
    <t>0611830997025</t>
  </si>
  <si>
    <t>TAG Aquilegia Songbird Mix 25/25 Portrait Tag</t>
  </si>
  <si>
    <t>0611830999025</t>
  </si>
  <si>
    <t>TAG Aquilegia Songbird Robin 25/25 Portrait Tag</t>
  </si>
  <si>
    <t>0611831000025</t>
  </si>
  <si>
    <t>TAG Aquilegia Swan Blue And White 25/25 Portrait Tag</t>
  </si>
  <si>
    <t>0611831001025</t>
  </si>
  <si>
    <t>TAG Aquilegia Swan Burgundy White 25/25 Portrait Tag</t>
  </si>
  <si>
    <t>0611831002025</t>
  </si>
  <si>
    <t>TAG Aquilegia Swan Mix 25/25 Portrait Tag</t>
  </si>
  <si>
    <t>0611831003025</t>
  </si>
  <si>
    <t>TAG Aquilegia Swan Pink And Yellow 25/25 Portrait Tag</t>
  </si>
  <si>
    <t>0611831004025</t>
  </si>
  <si>
    <t>TAG Aquilegia Swan Red And White 25/25 Portrait Tag</t>
  </si>
  <si>
    <t>0611831005025</t>
  </si>
  <si>
    <t>TAG Aquilegia Swan Violet And White 25/25 Portrait Tag</t>
  </si>
  <si>
    <t>0611831006025</t>
  </si>
  <si>
    <t>TAG Aquilegia Swan Yellow 25/25 Portrait Tag</t>
  </si>
  <si>
    <t>0611831007025</t>
  </si>
  <si>
    <t>TAG Aquilegia Winky Blue White 25/25 Portrait Tag</t>
  </si>
  <si>
    <t>0611831008025</t>
  </si>
  <si>
    <t>TAG Aquilegia Winky Double Dark Blue White 25/25 Portrait Tag</t>
  </si>
  <si>
    <t>0611831009025</t>
  </si>
  <si>
    <t>TAG Aquilegia Winky Double Mix 25/25 Portrait Tag</t>
  </si>
  <si>
    <t>0611831010025</t>
  </si>
  <si>
    <t>TAG Aquilegia Winky Double Red White 25/25 Portrait Tag</t>
  </si>
  <si>
    <t>0611831011025</t>
  </si>
  <si>
    <t>TAG Aquilegia Winky Double Rose White 25/25 Portrait Tag</t>
  </si>
  <si>
    <t>0611831012100</t>
  </si>
  <si>
    <t>TAG Aquilegia Winky Early Sky Blue 100/100 Pixie Tag</t>
  </si>
  <si>
    <t>0611831013025</t>
  </si>
  <si>
    <t>TAG Aquilegia Winky Mix 25/25 Portrait Tag</t>
  </si>
  <si>
    <t>0611831015025</t>
  </si>
  <si>
    <t>TAG Aquilegia Winky Purple White 25/25 Portrait Tag</t>
  </si>
  <si>
    <t>0611831016025</t>
  </si>
  <si>
    <t>TAG Aquilegia Winky Red White 25/25 Portrait Tag</t>
  </si>
  <si>
    <t>0611831017025</t>
  </si>
  <si>
    <t>TAG Aquilegia Winky Rose Rose 25/25 Portrait Tag</t>
  </si>
  <si>
    <t>0611831019025</t>
  </si>
  <si>
    <t>TAG Arabis Barranca Deep Rose 25/25 Portrait Tag</t>
  </si>
  <si>
    <t>0611831020025</t>
  </si>
  <si>
    <t>TAG Arabis Barranca Pink 25/25 Portrait Tag</t>
  </si>
  <si>
    <t>0611883997025</t>
  </si>
  <si>
    <t>TAG Arabis Catwalk Pink 25/25 Portrait Tag</t>
  </si>
  <si>
    <t>0611831021025</t>
  </si>
  <si>
    <t>TAG Arabis Catwalk White 25/25 Portrait Tag</t>
  </si>
  <si>
    <t>0611831022100</t>
  </si>
  <si>
    <t>TAG Arabis Compinkie 100/100 Pixie Tag</t>
  </si>
  <si>
    <t>0611831024025</t>
  </si>
  <si>
    <t>TAG Arabis Little Treasure Deep Rose 25/25 Portrait Tag SF</t>
  </si>
  <si>
    <t>0611831025100</t>
  </si>
  <si>
    <t>TAG Arabis Little Treasure White 100/100 Pixie Tag SF</t>
  </si>
  <si>
    <t>0611831026025</t>
  </si>
  <si>
    <t>TAG Arabis Little Treasure White 25/25 Portrait Tag SF</t>
  </si>
  <si>
    <t>0611831027025</t>
  </si>
  <si>
    <t>TAG Arabis Old Gold 25/25 Portrait Tag</t>
  </si>
  <si>
    <t>0611831028025</t>
  </si>
  <si>
    <t>TAG Arabis Rock Cress GENERIC 25/25 Portrait Tag</t>
  </si>
  <si>
    <t>0611831029025</t>
  </si>
  <si>
    <t>TAG Arabis Rote Sensation 25/25 Portrait Tag</t>
  </si>
  <si>
    <t>0611831030100</t>
  </si>
  <si>
    <t>TAG Arabis Snowcap 100/100 Pixie Tag</t>
  </si>
  <si>
    <t>0611831031025</t>
  </si>
  <si>
    <t>TAG Arabis Snowcap 25/25 Portrait Tag</t>
  </si>
  <si>
    <t>0611831033025</t>
  </si>
  <si>
    <t>TAG Arabis Spring Charm 25/25 Portrait Tag</t>
  </si>
  <si>
    <t>0611831034025</t>
  </si>
  <si>
    <t>TAG Arabis Variegata 25/25 Portrait Tag</t>
  </si>
  <si>
    <t>0611838556100</t>
  </si>
  <si>
    <t>TAG Aralia Aralia 100/100 Pixie Tag</t>
  </si>
  <si>
    <t>0611834089100</t>
  </si>
  <si>
    <t>TAG Aralia Dizygo Elegantissima 100/100 Pixie Tag</t>
  </si>
  <si>
    <t>0611831035025</t>
  </si>
  <si>
    <t>TAG Aralia Sun King 25/25 Portrait Tag</t>
  </si>
  <si>
    <t>0611860511050</t>
  </si>
  <si>
    <t>TAG Arctotis The Ravers Bumble Bee 50/50 Petite Portrait FUL</t>
  </si>
  <si>
    <t>0611860512050</t>
  </si>
  <si>
    <t>TAG Arctotis The Ravers Cherry Frost 50/50 Petite Portrait FUL</t>
  </si>
  <si>
    <t>0611860513050</t>
  </si>
  <si>
    <t>TAG Arctotis The Ravers Pink Sugar 50/50 Petite Portrait FUL</t>
  </si>
  <si>
    <t>0611860514050</t>
  </si>
  <si>
    <t>TAG Arctotis The Ravers Pumpkin Pie 50/50 Petite Portrait FUL</t>
  </si>
  <si>
    <t>0611831037100</t>
  </si>
  <si>
    <t>TAG Ardisia Crenata 100/100 Pixie Tag</t>
  </si>
  <si>
    <t>0611831038025</t>
  </si>
  <si>
    <t>TAG Arenaria Avalanche 25/25 Portrait Tag</t>
  </si>
  <si>
    <t>0611831039025</t>
  </si>
  <si>
    <t>TAG Arenaria Blizzard Compact 25/25 Portrait Tag SF</t>
  </si>
  <si>
    <t>0611831040025</t>
  </si>
  <si>
    <t>TAG Arenaria Montana 25/25 Portrait Tag</t>
  </si>
  <si>
    <t>0611831041025</t>
  </si>
  <si>
    <t>TAG Arenaria Summer White 25/25 Portrait Tag SF</t>
  </si>
  <si>
    <t>0611860515050</t>
  </si>
  <si>
    <t>TAG Arenaria Summer White 50/50 Petite Portrait SF FUL</t>
  </si>
  <si>
    <t>0611831042025</t>
  </si>
  <si>
    <t>TAG Arenaria Winter Lemon 25/25 Portrait Tag SF</t>
  </si>
  <si>
    <t>0611831043025</t>
  </si>
  <si>
    <t>TAG Arenaria Winter White 25/25 Portrait Tag SF</t>
  </si>
  <si>
    <t>0611831044100</t>
  </si>
  <si>
    <t>TAG Argyranthemum Angelic Series 100/100 Pixie Tag</t>
  </si>
  <si>
    <t>0611860516050</t>
  </si>
  <si>
    <t>TAG Argyranthemum Beauty Yellow 50/50 Petite Portrait FUL</t>
  </si>
  <si>
    <t>0611831045100</t>
  </si>
  <si>
    <t>TAG Argyranthemum Butterfly 100/100 Pixie Tag</t>
  </si>
  <si>
    <t>0611860517050</t>
  </si>
  <si>
    <t>TAG Argyranthemum Butterfly 50/50 Petite Portrait FUL</t>
  </si>
  <si>
    <t>0611860518050</t>
  </si>
  <si>
    <t>TAG Argyranthemum Comet Pink 50/50 Petite Portrait DO FUL</t>
  </si>
  <si>
    <t>0611860519050</t>
  </si>
  <si>
    <t>TAG Argyranthemum Comet Pink Shades 50/50 Petite Portrait DO FUL</t>
  </si>
  <si>
    <t>0611860520050</t>
  </si>
  <si>
    <t>TAG Argyranthemum Comet Red 50/50 Petite Portrait DO FUL</t>
  </si>
  <si>
    <t>0611860521050</t>
  </si>
  <si>
    <t>TAG Argyranthemum Comet White 50/50 Petite Portrait DO FUL</t>
  </si>
  <si>
    <t>0611860522050</t>
  </si>
  <si>
    <t>TAG Argyranthemum Comet Yellow 50/50 Petite Portrait DO FUL</t>
  </si>
  <si>
    <t>0611831047100</t>
  </si>
  <si>
    <t>TAG Argyranthemum Everest 100/100 Pixie Tag</t>
  </si>
  <si>
    <t>0611831051100</t>
  </si>
  <si>
    <t>TAG Argyranthemum Go Daisy Series 100/100 Pixie Tag</t>
  </si>
  <si>
    <t>0611831053100</t>
  </si>
  <si>
    <t>TAG Argyranthemum Lollies Series 100/100 Pixie Tag</t>
  </si>
  <si>
    <t>0611831054100</t>
  </si>
  <si>
    <t>TAG Argyranthemum Marguerite Daisy GENERIC 100/100 Pixie Tag</t>
  </si>
  <si>
    <t>0611860524050</t>
  </si>
  <si>
    <t>TAG Argyranthemum Sassy DO FULuble Deep Rose 50/50 Petite Portrait SF FUL</t>
  </si>
  <si>
    <t>0611860525050</t>
  </si>
  <si>
    <t>TAG Argyranthemum Sassy DO FULuble Yellow 50/50 Petite Portrait SF FUL</t>
  </si>
  <si>
    <t>0611860526050</t>
  </si>
  <si>
    <t>TAG Argyranthemum Sassy Red Marguerite 50/50 Petite Portrait SF FUL</t>
  </si>
  <si>
    <t>0611860527050</t>
  </si>
  <si>
    <t>TAG Argyranthemum Sassy Rose 50/50 Petite Portrait SF FUL</t>
  </si>
  <si>
    <t>0611860528050</t>
  </si>
  <si>
    <t>TAG Argyranthemum Sassy White 50/50 Petite Portrait SF FUL</t>
  </si>
  <si>
    <t>0611831055100</t>
  </si>
  <si>
    <t>TAG Argyranthemum Sunny Spring 100/100 Pixie Tag</t>
  </si>
  <si>
    <t>0611831056100</t>
  </si>
  <si>
    <t>TAG Argyranthemum White GENERIC 100/100 Pixie Tag</t>
  </si>
  <si>
    <t>0611831057100</t>
  </si>
  <si>
    <t>TAG Argyranthemum Yellow GENERIC 100/100 Pixie Tag</t>
  </si>
  <si>
    <t>0611831059025</t>
  </si>
  <si>
    <t>TAG Armeria Alba Maritima 25/25 Portrait Tag</t>
  </si>
  <si>
    <t>0611831060025</t>
  </si>
  <si>
    <t>TAG Armeria Ballerina Lilac 25/25 Portrait Tag</t>
  </si>
  <si>
    <t>0611831061025</t>
  </si>
  <si>
    <t>TAG Armeria Ballerina Mix 25/25 Portrait Tag</t>
  </si>
  <si>
    <t>0611831062025</t>
  </si>
  <si>
    <t>TAG Armeria Ballerina Red 25/25 Portrait Tag</t>
  </si>
  <si>
    <t>0611831063025</t>
  </si>
  <si>
    <t>TAG Armeria Dreameria Daydream 25/25 Portrait Tag</t>
  </si>
  <si>
    <t>0611831064025</t>
  </si>
  <si>
    <t>TAG Armeria Dreameria Dream Clouds 25/25 Portrait Tag</t>
  </si>
  <si>
    <t>0611831065025</t>
  </si>
  <si>
    <t>TAG Armeria Dreameria Dream Weaver 25/25 Portrait Tag</t>
  </si>
  <si>
    <t>0611831066025</t>
  </si>
  <si>
    <t>TAG Armeria Dreameria Dreamland 25/25 Portrait Tag</t>
  </si>
  <si>
    <t>0611831067025</t>
  </si>
  <si>
    <t>TAG Armeria Dreameria Sweet Dreams 25/25 Portrait Tag</t>
  </si>
  <si>
    <t>0611883998025</t>
  </si>
  <si>
    <t>TAG Armeria Dreameria Vivid Dreams 25/25 Portrait Tag</t>
  </si>
  <si>
    <t>0611831070025</t>
  </si>
  <si>
    <t>TAG Armeria Morning Star Deep Rose 25/25 Portrait Tag</t>
  </si>
  <si>
    <t>0611831071025</t>
  </si>
  <si>
    <t>TAG Armeria Nifty Thrifty 25/25 Portrait Tag</t>
  </si>
  <si>
    <t>0611831072100</t>
  </si>
  <si>
    <t>TAG Armeria Pink Shades 100/100 Pixie Tag</t>
  </si>
  <si>
    <t>0611831073025</t>
  </si>
  <si>
    <t>TAG Armeria Rubrifolia 25/25 Portrait Tag</t>
  </si>
  <si>
    <t>0611831074025</t>
  </si>
  <si>
    <t>TAG Armeria Splendens 25/25 Portrait Tag</t>
  </si>
  <si>
    <t>0611831075025</t>
  </si>
  <si>
    <t>TAG Armeria Thrift Sea Pink GENERIC 25/25 Portrait Tag</t>
  </si>
  <si>
    <t>0611831076100</t>
  </si>
  <si>
    <t>TAG Armoracia Horseradish GENERIC 100/100 Pixie Tag</t>
  </si>
  <si>
    <t>0611831077100</t>
  </si>
  <si>
    <t>TAG Artemisia Coca Cola Plant 100/100 Pixie Tag</t>
  </si>
  <si>
    <t>0611860529050</t>
  </si>
  <si>
    <t>TAG Artemisia FanciFillers Sea Salt 50/50 Petite Portrait DO FUL</t>
  </si>
  <si>
    <t>0611860530100</t>
  </si>
  <si>
    <t>TAG Artemisia French Tarragon 100/100 Pixie Tag FUL</t>
  </si>
  <si>
    <t>0611860531050</t>
  </si>
  <si>
    <t>TAG Artemisia French Tarragon 50/50 Petite Portrait FUL</t>
  </si>
  <si>
    <t>0611856819025</t>
  </si>
  <si>
    <t>TAG Artemisia Glacier 25/25 Portrait Tag</t>
  </si>
  <si>
    <t>0611831080025</t>
  </si>
  <si>
    <t>TAG Artemisia Makana Silver 25/25 Portrait Tag</t>
  </si>
  <si>
    <t>0611860532050</t>
  </si>
  <si>
    <t>TAG Artemisia Parfum D' Ethiopia 50/50 Petite Portrait DO FUL</t>
  </si>
  <si>
    <t>0611831081100</t>
  </si>
  <si>
    <t>TAG Artemisia Powis Castle 100/100 Pixie Tag</t>
  </si>
  <si>
    <t>0611831082025</t>
  </si>
  <si>
    <t>TAG Artemisia Powis Castle 25/25 Portrait Tag</t>
  </si>
  <si>
    <t>0611860533050</t>
  </si>
  <si>
    <t>TAG Artemisia Powis Castle 50/50 Petite Portrait FUL</t>
  </si>
  <si>
    <t>0611831084100</t>
  </si>
  <si>
    <t>TAG Artemisia Sea Salt 100/100 Pixie Tag</t>
  </si>
  <si>
    <t>0611860534100</t>
  </si>
  <si>
    <t>TAG Artemisia Silver Brocade 100/100 Pixie Tag FUL</t>
  </si>
  <si>
    <t>0611831085025</t>
  </si>
  <si>
    <t>TAG Artemisia Silver Brocade 25/25 Portrait Tag</t>
  </si>
  <si>
    <t>0611860535050</t>
  </si>
  <si>
    <t>TAG Artemisia Silver Brocade 50/50 Petite Portrait FUL</t>
  </si>
  <si>
    <t>0611831086100</t>
  </si>
  <si>
    <t>TAG Artemisia Silver Cascade 100/100 Pixie Tag</t>
  </si>
  <si>
    <t>0611831087100</t>
  </si>
  <si>
    <t>TAG Artemisia Silver Mound 100/100 Pixie Tag</t>
  </si>
  <si>
    <t>0611831088025</t>
  </si>
  <si>
    <t>TAG Artemisia Silver Mound 25/25 Portrait Tag</t>
  </si>
  <si>
    <t>0611860536050</t>
  </si>
  <si>
    <t>TAG Artemisia Silver Mound 50/50 Petite Portrait FUL</t>
  </si>
  <si>
    <t>0611860537100</t>
  </si>
  <si>
    <t>TAG Artemisia Silver Mound CN5015 100/100 Pixie Tag FUL</t>
  </si>
  <si>
    <t>0611831089025</t>
  </si>
  <si>
    <t>TAG Artemisia SunFern Arcadia 25/25 Portrait Tag</t>
  </si>
  <si>
    <t>0611831090025</t>
  </si>
  <si>
    <t>TAG Artemisia SunFern Olympia 25/25 Portrait Tag</t>
  </si>
  <si>
    <t>0611883999025</t>
  </si>
  <si>
    <t>TAG Artemisia Tolergon 25/25 Portrait Tag</t>
  </si>
  <si>
    <t>0611884000025</t>
  </si>
  <si>
    <t>TAG Artemisia White Sage Hybrid 25/25 Portrait Tag</t>
  </si>
  <si>
    <t>0611833651100</t>
  </si>
  <si>
    <t>TAG Artichoke GENERIC 100/100 Pixie Tag</t>
  </si>
  <si>
    <t>0611834189100</t>
  </si>
  <si>
    <t>TAG Arugula 100/100 Pixie Tag</t>
  </si>
  <si>
    <t>0611834190100</t>
  </si>
  <si>
    <t>TAG Arugula Astro 100/100 Pixie Tag</t>
  </si>
  <si>
    <t>0611834191025</t>
  </si>
  <si>
    <t>TAG Arugula Simplys Salad 25/25 Portrait Tag</t>
  </si>
  <si>
    <t>0611831092025</t>
  </si>
  <si>
    <t>TAG Aruncus Aethusifolius 25/25 Portrait Tag</t>
  </si>
  <si>
    <t>0611831093025</t>
  </si>
  <si>
    <t>TAG Aruncus Dioicus Sylvestris 25/25 Portrait Tag</t>
  </si>
  <si>
    <t>0611831094100</t>
  </si>
  <si>
    <t>TAG Asarina Blue GENERIC 100/100 Pixie Tag</t>
  </si>
  <si>
    <t>0611831095025</t>
  </si>
  <si>
    <t>TAG Asarum Canadense 25/25 Portrait Tag</t>
  </si>
  <si>
    <t>0611831096100</t>
  </si>
  <si>
    <t>TAG Asclepias Butterfly Red 100/100 Pixie Tag</t>
  </si>
  <si>
    <t>0611831097025</t>
  </si>
  <si>
    <t>TAG Asclepias Butterfly Weed GENERIC 25/25 Portrait Tag</t>
  </si>
  <si>
    <t>0611831098025</t>
  </si>
  <si>
    <t>TAG Asclepias Cinderella 25/25 Portrait Tag</t>
  </si>
  <si>
    <t>0611831099025</t>
  </si>
  <si>
    <t>TAG Asclepias Hello Yellow 25/25 Portrait Tag</t>
  </si>
  <si>
    <t>0611831100100</t>
  </si>
  <si>
    <t>TAG Asclepias Orange Tuberosa 100/100 Pixie Tag</t>
  </si>
  <si>
    <t>0611831101025</t>
  </si>
  <si>
    <t>TAG Asclepias Orange Tuberosa 25/25 Portrait Tag</t>
  </si>
  <si>
    <t>0611831102100</t>
  </si>
  <si>
    <t>TAG Asclepias Silky Deep Red 100/100 Pixie Tag</t>
  </si>
  <si>
    <t>0611831103100</t>
  </si>
  <si>
    <t>TAG Asclepias Silky Gold 100/100 Pixie Tag</t>
  </si>
  <si>
    <t>0611831104100</t>
  </si>
  <si>
    <t>TAG Asclepias Silky Mix 100/100 Pixie Tag</t>
  </si>
  <si>
    <t>0611831105100</t>
  </si>
  <si>
    <t>TAG Asclepias Silky Scarlet 100/100 Pixie Tag</t>
  </si>
  <si>
    <t>0611831108100</t>
  </si>
  <si>
    <t>TAG Asparagus Fern Myersii 100/100 Pixie Tag</t>
  </si>
  <si>
    <t>0611831109100</t>
  </si>
  <si>
    <t>TAG Asparagus Fern Plumosus Nanus 100/100 Pixie Tag</t>
  </si>
  <si>
    <t>0611831110100</t>
  </si>
  <si>
    <t>TAG Asparagus Fern Plumosus Setaceus 100/100 Pixie Tag</t>
  </si>
  <si>
    <t>0611831111100</t>
  </si>
  <si>
    <t>TAG Asparagus Fern Sprengeri 100/100 Hang Tag</t>
  </si>
  <si>
    <t>0611831112100</t>
  </si>
  <si>
    <t>TAG Asparagus Fern Sprengeri 100/100 Pixie Tag</t>
  </si>
  <si>
    <t>0611831113100</t>
  </si>
  <si>
    <t>TAG Asparagus Fern Sprengeri Bilingual 100/100 Pixie Tag</t>
  </si>
  <si>
    <t>0611831106100</t>
  </si>
  <si>
    <t>TAG Asparagus GENERIC 100/100 Pixie Tag</t>
  </si>
  <si>
    <t>0611831107025</t>
  </si>
  <si>
    <t>TAG Asparagus Mary Washington 25/25 Portrait Tag</t>
  </si>
  <si>
    <t>0611831114100</t>
  </si>
  <si>
    <t>TAG Aster Alpine GENERIC 100/100 Pixie Tag</t>
  </si>
  <si>
    <t>0611831115025</t>
  </si>
  <si>
    <t>TAG Aster Alpine GENERIC 25/25 Portrait Tag</t>
  </si>
  <si>
    <t>0611832207100</t>
  </si>
  <si>
    <t>TAG Aster Annual GENERIC 100/100 Pixie Tag</t>
  </si>
  <si>
    <t>0611860538050</t>
  </si>
  <si>
    <t>TAG Aster Aurelia Yellow 50/50 Petite Portrait FUL</t>
  </si>
  <si>
    <t>0611832208100</t>
  </si>
  <si>
    <t>TAG Aster Ball Florist Mix 100/100 Pixie Tag</t>
  </si>
  <si>
    <t>0611831118100</t>
  </si>
  <si>
    <t>TAG Aster Believer 100/100 Pixie Tag</t>
  </si>
  <si>
    <t>0611831119100</t>
  </si>
  <si>
    <t>TAG Aster Blue GENERIC 100/100 Pixie Tag</t>
  </si>
  <si>
    <t>0611832210100</t>
  </si>
  <si>
    <t>TAG Aster Bonita Series 100/100 Pixie Tag</t>
  </si>
  <si>
    <t>0611832211100</t>
  </si>
  <si>
    <t>TAG Aster Bouquet Powderpuffs Mix 100/100 Pixie Tag</t>
  </si>
  <si>
    <t>0611831120025</t>
  </si>
  <si>
    <t>TAG Aster Dark Beauty 25/25 Portrait Tag</t>
  </si>
  <si>
    <t>0611831121100</t>
  </si>
  <si>
    <t>TAG Aster Daydream 100/100 Pixie Tag</t>
  </si>
  <si>
    <t>0611831122100</t>
  </si>
  <si>
    <t>TAG Aster Days 100/100 Pixie Tag</t>
  </si>
  <si>
    <t>0611831123100</t>
  </si>
  <si>
    <t>TAG Aster Dragon 100/100 Pixie Tag</t>
  </si>
  <si>
    <t>0611831117025</t>
  </si>
  <si>
    <t>TAG Aster GENERIC 25/25 Portrait Tag</t>
  </si>
  <si>
    <t>0611831124100</t>
  </si>
  <si>
    <t>TAG Aster Hazy 100/100 Pixie Tag</t>
  </si>
  <si>
    <t>0611831125100</t>
  </si>
  <si>
    <t>TAG Aster Henry Blue I 100/100 Pixie Tag SF</t>
  </si>
  <si>
    <t>0611831126100</t>
  </si>
  <si>
    <t>TAG Aster Henry Pink I 100/100 Pixie Tag SF</t>
  </si>
  <si>
    <t>0611831127100</t>
  </si>
  <si>
    <t>TAG Aster Henry Pink III 100/100 Pixie Tag SF</t>
  </si>
  <si>
    <t>0611831128100</t>
  </si>
  <si>
    <t>TAG Aster Henry Purple I 100/100 Pixie Tag SF</t>
  </si>
  <si>
    <t>0611831129100</t>
  </si>
  <si>
    <t>TAG Aster Henry Purple III 100/100 Pixie Tag SF</t>
  </si>
  <si>
    <t>0611860539100</t>
  </si>
  <si>
    <t>TAG Aster Island Bahamas 100/100 Pixie Tag DO FUL</t>
  </si>
  <si>
    <t>0611860540050</t>
  </si>
  <si>
    <t>TAG Aster Island Bahamas Limited Availability 50/50 Petite Tag DO</t>
  </si>
  <si>
    <t>0611860541100</t>
  </si>
  <si>
    <t>TAG Aster Island Barbados 100/100 Pixie Tag DO FUL</t>
  </si>
  <si>
    <t>0611860542100</t>
  </si>
  <si>
    <t>TAG Aster Island Samoa 100/100 Pixie Tag DO FUL</t>
  </si>
  <si>
    <t>0611860543100</t>
  </si>
  <si>
    <t>TAG Aster Island Tonga 100/100 Pixie Tag DO FUL</t>
  </si>
  <si>
    <t>0611860544050</t>
  </si>
  <si>
    <t>TAG Aster Island Tonga Limited Availability 50/50 Petite Tag DO</t>
  </si>
  <si>
    <t>0611831130100</t>
  </si>
  <si>
    <t>TAG Aster Magic Pink 100/100 Pixie Tag SF</t>
  </si>
  <si>
    <t>0611831131100</t>
  </si>
  <si>
    <t>TAG Aster Magic Purple 100/100 Pixie Tag SF</t>
  </si>
  <si>
    <t>0611831132100</t>
  </si>
  <si>
    <t>TAG Aster Marie Dark Pink III 100/100 Pixie Tag SF</t>
  </si>
  <si>
    <t>0611832214100</t>
  </si>
  <si>
    <t>TAG Aster Matsumoto Mix 100/100 Pixie Tag</t>
  </si>
  <si>
    <t>0611831133025</t>
  </si>
  <si>
    <t>TAG Aster Monch 25/25 Portrait Tag</t>
  </si>
  <si>
    <t>0611831116100</t>
  </si>
  <si>
    <t>TAG Aster Perennial GENERIC 100/100 Pixie Tag</t>
  </si>
  <si>
    <t>0611832216100</t>
  </si>
  <si>
    <t>TAG Aster Perfection Mix 100/100 Pixie Tag</t>
  </si>
  <si>
    <t>0611831134100</t>
  </si>
  <si>
    <t>TAG Aster Peter Blue III 100/100 Pixie Tag</t>
  </si>
  <si>
    <t>0611831135100</t>
  </si>
  <si>
    <t>TAG Aster Pink GENERIC 100/100 Pixie Tag</t>
  </si>
  <si>
    <t>0611832217100</t>
  </si>
  <si>
    <t>TAG Aster Pixie Princess Mix 100/100 Pixie Tag</t>
  </si>
  <si>
    <t>0611832218100</t>
  </si>
  <si>
    <t>TAG Aster Pot 'N Patio Blue 100/100 Pixie Tag</t>
  </si>
  <si>
    <t>0611832219100</t>
  </si>
  <si>
    <t>TAG Aster Pot 'N Patio Mix 100/100 Pixie Tag</t>
  </si>
  <si>
    <t>0611832220100</t>
  </si>
  <si>
    <t>TAG Aster Pot 'N Patio Pink 100/100 Pixie Tag</t>
  </si>
  <si>
    <t>0611832221100</t>
  </si>
  <si>
    <t>TAG Aster Pot 'N Patio Scarlet 100/100 Pixie Tag</t>
  </si>
  <si>
    <t>0611831136025</t>
  </si>
  <si>
    <t>TAG Aster Professor Kippenberg 25/25 Portrait Tag</t>
  </si>
  <si>
    <t>0611831137100</t>
  </si>
  <si>
    <t>TAG Aster Puff White 100/100 Pixie Tag SF</t>
  </si>
  <si>
    <t>0611831138025</t>
  </si>
  <si>
    <t>TAG Aster Purple Dome 25/25 Portrait Tag</t>
  </si>
  <si>
    <t>0611831139100</t>
  </si>
  <si>
    <t>TAG Aster Purple GENERIC 100/100 Pixie Tag</t>
  </si>
  <si>
    <t>0611860545050</t>
  </si>
  <si>
    <t>TAG Aster Showmakers Blue Bayou 50/50 Petite Portrait FUL</t>
  </si>
  <si>
    <t>0611860546050</t>
  </si>
  <si>
    <t>TAG Aster Showmakers Pretty Pink 50/50 Petite Portrait FUL</t>
  </si>
  <si>
    <t>0611832224100</t>
  </si>
  <si>
    <t>TAG Aster Tall GENERIC 100/100 Pixie Tag</t>
  </si>
  <si>
    <t>0611831142100</t>
  </si>
  <si>
    <t>TAG Aster White GENERIC 100/100 Pixie Tag</t>
  </si>
  <si>
    <t>0611831143025</t>
  </si>
  <si>
    <t>TAG Aster Wood's Blue 25/25 Portrait Tag</t>
  </si>
  <si>
    <t>0611831144025</t>
  </si>
  <si>
    <t>TAG Aster Wood's Pink 25/25 Portrait Tag</t>
  </si>
  <si>
    <t>0611831145025</t>
  </si>
  <si>
    <t>TAG Aster Wood's Purple 25/25 Portrait Tag</t>
  </si>
  <si>
    <t>0611831150025</t>
  </si>
  <si>
    <t>TAG Astilbe Bridal Veil 25/25 Portrait Tag</t>
  </si>
  <si>
    <t>0611831151025</t>
  </si>
  <si>
    <t>TAG Astilbe Deutschland 25/25 Portrait Tag</t>
  </si>
  <si>
    <t>0611831152025</t>
  </si>
  <si>
    <t>TAG Astilbe Fanal 25/25 Portrait Tag</t>
  </si>
  <si>
    <t>0611831154025</t>
  </si>
  <si>
    <t>TAG Astilbe Mix 25/25 Portrait Tag</t>
  </si>
  <si>
    <t>0611831155025</t>
  </si>
  <si>
    <t>TAG Astilbe Montgomery 25/25 Portrait Tag</t>
  </si>
  <si>
    <t>0611831156025</t>
  </si>
  <si>
    <t>TAG Astilbe Peach Blossom 25/25 Portrait Tag</t>
  </si>
  <si>
    <t>0611831157025</t>
  </si>
  <si>
    <t>TAG Astilbe Pumila 25/25 Portrait Tag</t>
  </si>
  <si>
    <t>0611856820025</t>
  </si>
  <si>
    <t>TAG Astilbe Rhapsody 25/25 Portrait Tag</t>
  </si>
  <si>
    <t>0611831158025</t>
  </si>
  <si>
    <t>TAG Astilbe Rheinland 25/25 Portrait Tag</t>
  </si>
  <si>
    <t>0611831159025</t>
  </si>
  <si>
    <t>TAG Astilbe Snowdrift 25/25 Portrait Tag</t>
  </si>
  <si>
    <t>0611831161025</t>
  </si>
  <si>
    <t>TAG Astilbe Vision In Pink 25/25 Portrait Tag</t>
  </si>
  <si>
    <t>0611831162025</t>
  </si>
  <si>
    <t>TAG Astilbe Vision In Red 25/25 Portrait Tag</t>
  </si>
  <si>
    <t>0611831163025</t>
  </si>
  <si>
    <t>TAG Astilbe Visions 25/25 Portrait Tag</t>
  </si>
  <si>
    <t>0611831164025</t>
  </si>
  <si>
    <t>TAG Aubrieta Audrey Blue Shades 25/25 Portrait Tag SF</t>
  </si>
  <si>
    <t>0611831167025</t>
  </si>
  <si>
    <t>TAG Aubrieta Audrey Purple Shades 25/25 Portrait Tag SF</t>
  </si>
  <si>
    <t>0611831169025</t>
  </si>
  <si>
    <t>TAG Aubrieta Audrey Skyblue 25/25 Portrait Tag SF</t>
  </si>
  <si>
    <t>0611860547050</t>
  </si>
  <si>
    <t>TAG Aubrieta Axcent Antique Rose 50/50 Petite Portrait SF FUL</t>
  </si>
  <si>
    <t>0611860548050</t>
  </si>
  <si>
    <t>TAG Aubrieta Axcent Burgundy 50/50 Petite Portrait SF FUL</t>
  </si>
  <si>
    <t>0611860549050</t>
  </si>
  <si>
    <t>TAG Aubrieta Axcent Dark Red 50/50 Petite Portrait SF FUL</t>
  </si>
  <si>
    <t>0611860550050</t>
  </si>
  <si>
    <t>TAG Aubrieta Axcent Deep Purple Improved 50/50 Petite Portrait SF FUL</t>
  </si>
  <si>
    <t>0611860551050</t>
  </si>
  <si>
    <t>TAG Aubrieta Axcent Light Blue 50/50 Petite Portrait SF FUL</t>
  </si>
  <si>
    <t>0611860552050</t>
  </si>
  <si>
    <t>TAG Aubrieta Axcent Lilac Improved 50/50 Petite Portrait SF FUL</t>
  </si>
  <si>
    <t>0611831170025</t>
  </si>
  <si>
    <t>TAG Aubrieta Axcent Series 25/25 Portrait Tag SF</t>
  </si>
  <si>
    <t>0611860553050</t>
  </si>
  <si>
    <t>TAG Aubrieta Axcent Violet With Eye Improved 50/50 Petite Portrait SF FUL</t>
  </si>
  <si>
    <t>0611831171100</t>
  </si>
  <si>
    <t>TAG Aubrieta Blue Cascade 100/100 Pixie Tag</t>
  </si>
  <si>
    <t>0611831172025</t>
  </si>
  <si>
    <t>TAG Aubrieta Glacier Red 25/25 Portrait Tag</t>
  </si>
  <si>
    <t>0611860554050</t>
  </si>
  <si>
    <t>TAG Aubrieta Glacier Red 50/50 Petite Portrait FUL</t>
  </si>
  <si>
    <t>0611831173025</t>
  </si>
  <si>
    <t>TAG Aubrieta Glacier Sky Blue 25/25 Portrait Tag</t>
  </si>
  <si>
    <t>0611860555050</t>
  </si>
  <si>
    <t>TAG Aubrieta Glacier Sky Blue 50/50 Petite Portrait FUL</t>
  </si>
  <si>
    <t>0611831174025</t>
  </si>
  <si>
    <t>TAG Aubrieta Glacier Violet 25/25 Portrait Tag</t>
  </si>
  <si>
    <t>0611860556050</t>
  </si>
  <si>
    <t>TAG Aubrieta Glacier Violet 50/50 Petite Portrait FUL</t>
  </si>
  <si>
    <t>0611831175100</t>
  </si>
  <si>
    <t>TAG Aubrieta Red Cascade 100/100 Pixie Tag</t>
  </si>
  <si>
    <t>0611831176025</t>
  </si>
  <si>
    <t>TAG Aubrieta Rock Cress GENERIC 25/25 Portrait Tag DO</t>
  </si>
  <si>
    <t>0611860557100</t>
  </si>
  <si>
    <t>TAG Aubrieta Rock On Blue 100/100 Pixie Tag DO FUL</t>
  </si>
  <si>
    <t>0611860558100</t>
  </si>
  <si>
    <t>TAG Aubrieta Rock On Pink 100/100 Pixie Tag DO FUL</t>
  </si>
  <si>
    <t>0611860559100</t>
  </si>
  <si>
    <t>TAG Aubrieta Rock On Purple 100/100 Pixie Tag DO FUL</t>
  </si>
  <si>
    <t>0611831177025</t>
  </si>
  <si>
    <t>TAG Aubrieta Whitewell Gem 25/25 Portrait Tag</t>
  </si>
  <si>
    <t>0611831178100</t>
  </si>
  <si>
    <t>TAG Aurinia Compacta 100/100 Pixie Tag</t>
  </si>
  <si>
    <t>0611831179100</t>
  </si>
  <si>
    <t>TAG Aurinia Gold Dust 100/100 Pixie Tag</t>
  </si>
  <si>
    <t>0611831181025</t>
  </si>
  <si>
    <t>TAG Aurinia Gold Rush 25/25 Portrait Tag</t>
  </si>
  <si>
    <t>0611831182025</t>
  </si>
  <si>
    <t>TAG Aurinia Summit Golden Yellow 25/25 Portrait Tag SF</t>
  </si>
  <si>
    <t>0611860560050</t>
  </si>
  <si>
    <t>TAG Bacopa Atlas Blue 50/50 Petite Portrait DO FUL</t>
  </si>
  <si>
    <t>0611860561050</t>
  </si>
  <si>
    <t>TAG Bacopa Atlas Pink 50/50 Petite Portrait DO FUL</t>
  </si>
  <si>
    <t>0611860562050</t>
  </si>
  <si>
    <t>TAG Bacopa Atlas White 50/50 Petite Portrait DO FUL</t>
  </si>
  <si>
    <t>0611860563050</t>
  </si>
  <si>
    <t>TAG Bacopa Bahia Blue Sand 50/50 Petite Portrait DO FUL</t>
  </si>
  <si>
    <t>0611860565050</t>
  </si>
  <si>
    <t>TAG Bacopa Bahia Pink Halo 50/50 Petite Portrait DO FUL</t>
  </si>
  <si>
    <t>0611860566050</t>
  </si>
  <si>
    <t>TAG Bacopa Bahia Pink Sand 50/50 Petite Portrait DO FUL</t>
  </si>
  <si>
    <t>0611860567050</t>
  </si>
  <si>
    <t>TAG Bacopa Bahia Purple Sand 50/50 Petite Portrait DO FUL</t>
  </si>
  <si>
    <t>0611860568050</t>
  </si>
  <si>
    <t>TAG Bacopa Bahia Sky Blue 50/50 Petite Portrait DO FUL</t>
  </si>
  <si>
    <t>0611860569050</t>
  </si>
  <si>
    <t>TAG Bacopa Bahia White 50/50 Petite Portrait DO FUL</t>
  </si>
  <si>
    <t>0611860570050</t>
  </si>
  <si>
    <t>TAG Bacopa Bahia White Night 50/50 Petite Portrait DO FUL</t>
  </si>
  <si>
    <t>0611860571050</t>
  </si>
  <si>
    <t>TAG Bacopa Bahia White Sand 50/50 Petite Portrait DO FUL</t>
  </si>
  <si>
    <t>0611839487100</t>
  </si>
  <si>
    <t>TAG Bacopa Baja 100/100 Pixie Tag</t>
  </si>
  <si>
    <t>0611839488100</t>
  </si>
  <si>
    <t>TAG Bacopa Betty Series 100/100 Pixie Tag</t>
  </si>
  <si>
    <t>0611839489100</t>
  </si>
  <si>
    <t>TAG Bacopa Blue GENERIC 100/100 Pixie Tag</t>
  </si>
  <si>
    <t>0611839490100</t>
  </si>
  <si>
    <t>TAG Bacopa Blutopia 100/100 Pixie Tag</t>
  </si>
  <si>
    <t>0611860572050</t>
  </si>
  <si>
    <t>TAG Bacopa Calypso Jumbo Deep Lavender 50/50 Petite Portrait SF FUL</t>
  </si>
  <si>
    <t>0611860573050</t>
  </si>
  <si>
    <t>TAG Bacopa Calypso Jumbo Lilac 50/50 Petite Portrait SF FUL</t>
  </si>
  <si>
    <t>0611860574050</t>
  </si>
  <si>
    <t>TAG Bacopa Calypso Jumbo Pink Eye 50/50 Petite Portrait SF FUL</t>
  </si>
  <si>
    <t>0611860575050</t>
  </si>
  <si>
    <t>TAG Bacopa Calypso Jumbo Rose 50/50 Petite Portrait SF FUL</t>
  </si>
  <si>
    <t>0611860576050</t>
  </si>
  <si>
    <t>TAG Bacopa Calypso Jumbo White 50/50 Petite Tag SF</t>
  </si>
  <si>
    <t>0611860577050</t>
  </si>
  <si>
    <t>TAG Bacopa Epic Light Blue 50/50 Petite Portrait FUL</t>
  </si>
  <si>
    <t>0611860578050</t>
  </si>
  <si>
    <t>TAG Bacopa Epic Pink 50/50 Petite Portrait FUL</t>
  </si>
  <si>
    <t>0611860579050</t>
  </si>
  <si>
    <t>TAG Bacopa Epic Pink With Eye 50/50 Petite Portrait FUL</t>
  </si>
  <si>
    <t>0611839491100</t>
  </si>
  <si>
    <t>TAG Bacopa Epic Series 100/100 Pixie Tag</t>
  </si>
  <si>
    <t>0611860580050</t>
  </si>
  <si>
    <t>TAG Bacopa Epic Violet 50/50 Petite Portrait FUL</t>
  </si>
  <si>
    <t>0611860581050</t>
  </si>
  <si>
    <t>TAG Bacopa Epic White 50/50 Petite Portrait FUL</t>
  </si>
  <si>
    <t>0611839484100</t>
  </si>
  <si>
    <t>TAG Bacopa GENERIC 100/100 Hang Tag</t>
  </si>
  <si>
    <t>0611839485025</t>
  </si>
  <si>
    <t>TAG Bacopa GENERIC 25/25 Portrait Tag</t>
  </si>
  <si>
    <t>0611839486100</t>
  </si>
  <si>
    <t>TAG Bacopa GENERIC Bilingual 100/100 Pixie Tag</t>
  </si>
  <si>
    <t>0611839492100</t>
  </si>
  <si>
    <t>TAG Bacopa Goldstar 100/100 Pixie Tag</t>
  </si>
  <si>
    <t>0611839493100</t>
  </si>
  <si>
    <t>TAG Bacopa Lavender GENERIC 100/100 Pixie Tag</t>
  </si>
  <si>
    <t>0611839494100</t>
  </si>
  <si>
    <t>TAG Bacopa Pinktopia 100/100 Pixie Tag</t>
  </si>
  <si>
    <t>0611831189100</t>
  </si>
  <si>
    <t>TAG Bacopa Scopia Double Indigo 100/100 Pixie Tag</t>
  </si>
  <si>
    <t>0611831190100</t>
  </si>
  <si>
    <t>TAG Bacopa Scopia Double Lavender 100/100 Pixie Tag</t>
  </si>
  <si>
    <t>0611831191100</t>
  </si>
  <si>
    <t>TAG Bacopa Scopia Double Pink 100/100 Pixie Tag</t>
  </si>
  <si>
    <t>0611831192100</t>
  </si>
  <si>
    <t>TAG Bacopa Scopia Double Snowball 100/100 Pixie Tag</t>
  </si>
  <si>
    <t>0611831195100</t>
  </si>
  <si>
    <t>TAG Bacopa Scopia Golden Leaves White 100/100 Pixie Tag</t>
  </si>
  <si>
    <t>0611831196100</t>
  </si>
  <si>
    <t>TAG Bacopa Scopia Great Azure 100/100 Pixie Tag</t>
  </si>
  <si>
    <t>0611831199100</t>
  </si>
  <si>
    <t>TAG Bacopa Scopia Great Pink Ring 100/100 Pixie Tag</t>
  </si>
  <si>
    <t>0611831200100</t>
  </si>
  <si>
    <t>TAG Bacopa Scopia Great Regal Blue 100/100 Pixie Tag</t>
  </si>
  <si>
    <t>0611831201100</t>
  </si>
  <si>
    <t>TAG Bacopa Scopia Great Series 100/100 Pixie Tag</t>
  </si>
  <si>
    <t>0611831202100</t>
  </si>
  <si>
    <t>TAG Bacopa Scopia Great White 100/100 Pixie Tag</t>
  </si>
  <si>
    <t>0611831185100</t>
  </si>
  <si>
    <t>TAG Bacopa Scopia Gulliver Blue 100/100 Pixie Tag</t>
  </si>
  <si>
    <t>0611831184100</t>
  </si>
  <si>
    <t>TAG Bacopa Scopia Gulliver Blue Sensation 100/100 Pixie Tag</t>
  </si>
  <si>
    <t>0611856821100</t>
  </si>
  <si>
    <t>TAG Bacopa Scopia Gulliver Compact Blush 22 100/100 Pixie Tag</t>
  </si>
  <si>
    <t>0611831186100</t>
  </si>
  <si>
    <t>TAG Bacopa Scopia Gulliver Compact Purple 100/100 Pixie Tag</t>
  </si>
  <si>
    <t>0611856822100</t>
  </si>
  <si>
    <t>TAG Bacopa Scopia Gulliver Compact Rosa 22 100/100 Pixie Tag</t>
  </si>
  <si>
    <t>0611831187100</t>
  </si>
  <si>
    <t>TAG Bacopa Scopia Gulliver Compact White 100/100 Pixie Tag</t>
  </si>
  <si>
    <t>0611831194100</t>
  </si>
  <si>
    <t>TAG Bacopa Scopia Gulliver Dynamic White 100/100 Pixie Tag</t>
  </si>
  <si>
    <t>0611831203100</t>
  </si>
  <si>
    <t>TAG Bacopa Scopia Gulliver Pink 100/100 Pixie Tag</t>
  </si>
  <si>
    <t>0611831204100</t>
  </si>
  <si>
    <t>TAG Bacopa Scopia Gulliver Pink Heart 100/100 Pixie Tag</t>
  </si>
  <si>
    <t>0611831205100</t>
  </si>
  <si>
    <t>TAG Bacopa Scopia Gulliver Snow 100/100 Pixie Tag</t>
  </si>
  <si>
    <t>0611831206100</t>
  </si>
  <si>
    <t>TAG Bacopa Scopia Gulliver Violet 100/100 Pixie Tag</t>
  </si>
  <si>
    <t>0611831207100</t>
  </si>
  <si>
    <t>TAG Bacopa Scopia Gulliver White 100/100 Pixie Tag</t>
  </si>
  <si>
    <t>0611839497100</t>
  </si>
  <si>
    <t>TAG Bacopa Secrets XXL Blue Delight 100/100 Pixie Tag</t>
  </si>
  <si>
    <t>0611839498100</t>
  </si>
  <si>
    <t>TAG Bacopa Secrets XXL Central Pink 100/100 Pixie Tag</t>
  </si>
  <si>
    <t>0611839499100</t>
  </si>
  <si>
    <t>TAG Bacopa Secrets XXL White 100/100 Pixie Tag</t>
  </si>
  <si>
    <t>0611839502100</t>
  </si>
  <si>
    <t>TAG Bacopa Snowtopia 100/100 Pixie Tag</t>
  </si>
  <si>
    <t>0611839503100</t>
  </si>
  <si>
    <t>TAG Bacopa Stardom Goldstar 100/100 Pixie Tag</t>
  </si>
  <si>
    <t>0611839504100</t>
  </si>
  <si>
    <t>TAG Bacopa Stardom Pink 100/100 Pixie Tag</t>
  </si>
  <si>
    <t>0611839505100</t>
  </si>
  <si>
    <t>TAG Bacopa Stardom Purple 100/100 Pixie Tag</t>
  </si>
  <si>
    <t>0611856823100</t>
  </si>
  <si>
    <t>TAG Bacopa Stardom White Fusion 22 100/100 Pixie Tag</t>
  </si>
  <si>
    <t>0611839506100</t>
  </si>
  <si>
    <t>TAG Bacopa Taifun Mega White 100/100 Pixie Tag</t>
  </si>
  <si>
    <t>0611860582050</t>
  </si>
  <si>
    <t>TAG Bacopa Taifun Mega White 50/50 Petite Portrait FUL</t>
  </si>
  <si>
    <t>0611839507100</t>
  </si>
  <si>
    <t>TAG Bacopa White GENERIC 100/100 Pixie Tag</t>
  </si>
  <si>
    <t>0611831208025</t>
  </si>
  <si>
    <t>TAG Baptisia Australis 25/25 Portrait Tag</t>
  </si>
  <si>
    <t>0611836980100</t>
  </si>
  <si>
    <t>TAG Basil African Blue 100/100 Pixie Tag</t>
  </si>
  <si>
    <t>0611836981100</t>
  </si>
  <si>
    <t>TAG Basil Amethyst 100/100 Pixie Tag</t>
  </si>
  <si>
    <t>0611836982100</t>
  </si>
  <si>
    <t>TAG Basil Aristotle 100/100 Pixie Tag SF</t>
  </si>
  <si>
    <t>0611836983100</t>
  </si>
  <si>
    <t>TAG Basil Boxwood 100/100 Pixie Tag</t>
  </si>
  <si>
    <t>0611836984100</t>
  </si>
  <si>
    <t>TAG Basil Bush 100/100 Pixie Tag</t>
  </si>
  <si>
    <t>0611836985100</t>
  </si>
  <si>
    <t>TAG Basil Cardinal 100/100 Pixie Tag</t>
  </si>
  <si>
    <t>0611836986100</t>
  </si>
  <si>
    <t>TAG Basil Cinnamon 100/100 Pixie Tag</t>
  </si>
  <si>
    <t>0611884001025</t>
  </si>
  <si>
    <t>TAG Basil Cinnamon 25/25 Portrait Tag</t>
  </si>
  <si>
    <t>0611856969025</t>
  </si>
  <si>
    <t>TAG Basil Coldasil 25/25 Portrait Tag</t>
  </si>
  <si>
    <t>0611835014100</t>
  </si>
  <si>
    <t>TAG Basil Columnar Greek 100/100 Pixie Tag</t>
  </si>
  <si>
    <t>0611836987100</t>
  </si>
  <si>
    <t>TAG Basil Dark Opal 100/100 Pixie Tag</t>
  </si>
  <si>
    <t>0611836988100</t>
  </si>
  <si>
    <t>TAG Basil Dolce Fresca 100/100 Pixie Tag</t>
  </si>
  <si>
    <t>0611884002025</t>
  </si>
  <si>
    <t>TAG Basil Dolce Fresca 25/25 Portrait Tag</t>
  </si>
  <si>
    <t>0611836989100</t>
  </si>
  <si>
    <t>TAG Basil Everleaf Emerald Towers 100/100 Pixie Tag</t>
  </si>
  <si>
    <t>0611836990100</t>
  </si>
  <si>
    <t>TAG Basil Everleaf Genovese 100/100 Pixie Tag</t>
  </si>
  <si>
    <t>0611884003025</t>
  </si>
  <si>
    <t>TAG Basil Everleaf Genovese 25/25 Portrait Tag</t>
  </si>
  <si>
    <t>0611856970100</t>
  </si>
  <si>
    <t>TAG Basil Everleaf Thai Towers 100/100 Pixie Tag</t>
  </si>
  <si>
    <t>0611835016100</t>
  </si>
  <si>
    <t>TAG Basil Garden Leader 100/100 Pixie Tag</t>
  </si>
  <si>
    <t>0611835017100</t>
  </si>
  <si>
    <t>TAG Basil Garden Leader Lemon 100/100 Pixie Tag</t>
  </si>
  <si>
    <t>0611836997100</t>
  </si>
  <si>
    <t>TAG Basil GENERIC 100/100 Pixie Tag</t>
  </si>
  <si>
    <t>0611836998025</t>
  </si>
  <si>
    <t>TAG Basil GENERIC 25/25 Portrait Tag</t>
  </si>
  <si>
    <t>0611836992100</t>
  </si>
  <si>
    <t>TAG Basil Genovese 100/100 Pixie Tag</t>
  </si>
  <si>
    <t>0611836993200</t>
  </si>
  <si>
    <t>TAG Basil Genovese 200/200 Thriftee Tag</t>
  </si>
  <si>
    <t>0611836994025</t>
  </si>
  <si>
    <t>TAG Basil Genovese 25/25 Portrait Tag</t>
  </si>
  <si>
    <t>0611836995100</t>
  </si>
  <si>
    <t>TAG Basil Genovese Compact 100/100 Pixie Tag</t>
  </si>
  <si>
    <t>0611835018100</t>
  </si>
  <si>
    <t>TAG Basil Holy 100/100 Pixie Tag</t>
  </si>
  <si>
    <t>0611836999100</t>
  </si>
  <si>
    <t>TAG Basil Italian Large Leaf 100/100 Pixie Tag</t>
  </si>
  <si>
    <t>0611837000200</t>
  </si>
  <si>
    <t>TAG Basil Italian Large Leaf 200/200 Thriftee Tag</t>
  </si>
  <si>
    <t>0611837001025</t>
  </si>
  <si>
    <t>TAG Basil Italian Large Leaf 25/25 Portrait Tag</t>
  </si>
  <si>
    <t>0611884004025</t>
  </si>
  <si>
    <t>TAG Basil Kapoor Tulsi 25/25 Portrait Tag</t>
  </si>
  <si>
    <t>0611837002025</t>
  </si>
  <si>
    <t>TAG Basil Kasar 25/25 Portrait Tag</t>
  </si>
  <si>
    <t>0611837003100</t>
  </si>
  <si>
    <t>TAG Basil Lemon 100/100 Pixie Tag</t>
  </si>
  <si>
    <t>0611837004025</t>
  </si>
  <si>
    <t>TAG Basil Lemon 25/25 Portrait Tag</t>
  </si>
  <si>
    <t>0611837005100</t>
  </si>
  <si>
    <t>TAG Basil Lettuce Leaf 100/100 Pixie Tag</t>
  </si>
  <si>
    <t>0611837006100</t>
  </si>
  <si>
    <t>TAG Basil Licorice 100/100 Pixie Tag</t>
  </si>
  <si>
    <t>0611837007100</t>
  </si>
  <si>
    <t>TAG Basil Lime 100/100 Pixie Tag</t>
  </si>
  <si>
    <t>0611837008100</t>
  </si>
  <si>
    <t>TAG Basil Mammoth 100/100 Pixie Tag</t>
  </si>
  <si>
    <t>0611837009100</t>
  </si>
  <si>
    <t>TAG Basil Minette 100/100 Pixie Tag</t>
  </si>
  <si>
    <t>0611835019100</t>
  </si>
  <si>
    <t>TAG Basil Mrs Burns 100/100 Pixie Tag</t>
  </si>
  <si>
    <t>0611884005025</t>
  </si>
  <si>
    <t>TAG Basil Mrs Burns 25/25 Portrait Tag</t>
  </si>
  <si>
    <t>0611837010100</t>
  </si>
  <si>
    <t>TAG Basil Nufar 100/100 Pixie Tag</t>
  </si>
  <si>
    <t>0611884006025</t>
  </si>
  <si>
    <t>TAG Basil Nufar 25/25 Portrait Tag</t>
  </si>
  <si>
    <t>0611837011100</t>
  </si>
  <si>
    <t>TAG Basil Persian 100/100 Pixie Tag</t>
  </si>
  <si>
    <t>0611862532100</t>
  </si>
  <si>
    <t>TAG Basil Pesto 100/100 Pixie Tag FUL</t>
  </si>
  <si>
    <t>0611837012025</t>
  </si>
  <si>
    <t>TAG Basil Pesto Perpetuo 25/25 Portrait Tag</t>
  </si>
  <si>
    <t>0611837013100</t>
  </si>
  <si>
    <t>TAG Basil Purple Dwarf 100/100 Pixie Tag</t>
  </si>
  <si>
    <t>0611837014100</t>
  </si>
  <si>
    <t>TAG Basil Purple Ruffles 100/100 Pixie Tag</t>
  </si>
  <si>
    <t>0611837015025</t>
  </si>
  <si>
    <t>TAG Basil Purple Ruffles 25/25 Portrait Tag</t>
  </si>
  <si>
    <t>0611837016100</t>
  </si>
  <si>
    <t>TAG Basil Red Ball 100/100 Pixie Tag</t>
  </si>
  <si>
    <t>0611856971025</t>
  </si>
  <si>
    <t>TAG Basil Red Ball 25/25 Portrait Tag</t>
  </si>
  <si>
    <t>0611837017100</t>
  </si>
  <si>
    <t>TAG Basil Red Rubin 100/100 Pixie Tag</t>
  </si>
  <si>
    <t>0611884007025</t>
  </si>
  <si>
    <t>TAG Basil Red Rubin 25/25 Portrait Tag</t>
  </si>
  <si>
    <t>0611884008025</t>
  </si>
  <si>
    <t>TAG Basil Rutgers Devotion 25/25 Portrait Tag</t>
  </si>
  <si>
    <t>0611835020100</t>
  </si>
  <si>
    <t>TAG Basil Rutgers DMR Devotion 100/100 Pixie Tag</t>
  </si>
  <si>
    <t>0611835021100</t>
  </si>
  <si>
    <t>TAG Basil Rutgers DMR Obsession 100/100 Pixie Tag</t>
  </si>
  <si>
    <t>0611835022100</t>
  </si>
  <si>
    <t>TAG Basil Rutgers DMR Passion 100/100 Pixie Tag</t>
  </si>
  <si>
    <t>0611884009025</t>
  </si>
  <si>
    <t>TAG Basil Rutgers Obsession 25/25 Portrait Tag</t>
  </si>
  <si>
    <t>0611884010025</t>
  </si>
  <si>
    <t>TAG Basil Rutgers Passion 25/25 Portrait Tag</t>
  </si>
  <si>
    <t>0611884011025</t>
  </si>
  <si>
    <t>TAG Basil Rutgers Thunderstruck 25/25 Portrait Tag</t>
  </si>
  <si>
    <t>0611837018100</t>
  </si>
  <si>
    <t>TAG Basil Siam Queen 100/100 Pixie Tag</t>
  </si>
  <si>
    <t>0611837019025</t>
  </si>
  <si>
    <t>TAG Basil Siam Queen 25/25 Portrait Tag</t>
  </si>
  <si>
    <t>0611835023100</t>
  </si>
  <si>
    <t>TAG Basil Spicy Globe 100/100 Pixie Tag</t>
  </si>
  <si>
    <t>0611835024025</t>
  </si>
  <si>
    <t>TAG Basil Spicy Globe 25/25 Portrait Tag</t>
  </si>
  <si>
    <t>0611837020100</t>
  </si>
  <si>
    <t>TAG Basil Sweet 100/100 Pixie Tag</t>
  </si>
  <si>
    <t>0611837021200</t>
  </si>
  <si>
    <t>TAG Basil Sweet 200/200 Thriftee Tag</t>
  </si>
  <si>
    <t>0611837022025</t>
  </si>
  <si>
    <t>TAG Basil Sweet 25/25 Portrait Tag</t>
  </si>
  <si>
    <t>0611837023100</t>
  </si>
  <si>
    <t>TAG Basil Sweet Dani 100/100 Pixie Tag</t>
  </si>
  <si>
    <t>0611884012025</t>
  </si>
  <si>
    <t>TAG Basil Sweet Thai 25/25 Portrait Tag</t>
  </si>
  <si>
    <t>0611837024100</t>
  </si>
  <si>
    <t>TAG Basil Thai 100/100 Pixie Tag</t>
  </si>
  <si>
    <t>0611835025100</t>
  </si>
  <si>
    <t>TAG Basil Thunderstruck 100/100 Pixie Tag</t>
  </si>
  <si>
    <t>0611837025100</t>
  </si>
  <si>
    <t>TAG Basil Ton 100/100 Pixie Tag</t>
  </si>
  <si>
    <t>0611837026100</t>
  </si>
  <si>
    <t>TAG Basil Valentino 100/100 Pixie Tag</t>
  </si>
  <si>
    <t>0611856972025</t>
  </si>
  <si>
    <t>TAG Basil Wild Magic 25/25 Portrait Tag</t>
  </si>
  <si>
    <t>0611884013025</t>
  </si>
  <si>
    <t>TAG Bay La Laurel 25/25 Portrait Tag</t>
  </si>
  <si>
    <t>0611836044100</t>
  </si>
  <si>
    <t>TAG Bay Laurel 100/100 Pixie Tag</t>
  </si>
  <si>
    <t>0611838332100</t>
  </si>
  <si>
    <t>TAG Beans Blue Lake Bush 100/100 Pixie Tag</t>
  </si>
  <si>
    <t>0611838333100</t>
  </si>
  <si>
    <t>TAG Beans Blue Lake Pole 100/100 Pixie Tag</t>
  </si>
  <si>
    <t>0611838331100</t>
  </si>
  <si>
    <t>TAG Beans GENERIC 100/100 Pixie Tag</t>
  </si>
  <si>
    <t>0611838336100</t>
  </si>
  <si>
    <t>TAG Beans Gold N Green Mix 100/100 Pixie Tag</t>
  </si>
  <si>
    <t>0611838337100</t>
  </si>
  <si>
    <t>TAG Beans Green Bush GENERIC 100/100 Pixie Tag</t>
  </si>
  <si>
    <t>0611838338100</t>
  </si>
  <si>
    <t>TAG Beans Green GENERIC 100/100 Pixie Tag</t>
  </si>
  <si>
    <t>0611838339200</t>
  </si>
  <si>
    <t>TAG Beans Green GENERIC 200/200 Thriftee Tag</t>
  </si>
  <si>
    <t>0611838340100</t>
  </si>
  <si>
    <t>TAG Beans Jade II 100/100 Pixie Tag</t>
  </si>
  <si>
    <t>0611838341100</t>
  </si>
  <si>
    <t>TAG Beans Kentucky Blue 100/100 Pixie Tag</t>
  </si>
  <si>
    <t>0611856824100</t>
  </si>
  <si>
    <t>TAG Beans Kentucky Wonder 100/100 Pixie Tag</t>
  </si>
  <si>
    <t>0611838342100</t>
  </si>
  <si>
    <t>TAG Beans Lima 100/100 Pixie Tag</t>
  </si>
  <si>
    <t>0611838343100</t>
  </si>
  <si>
    <t>TAG Beans Mascotte 100/100 Pixie Tag</t>
  </si>
  <si>
    <t>0611838344100</t>
  </si>
  <si>
    <t>TAG Beans Outlaw 100/100 Pixie Tag</t>
  </si>
  <si>
    <t>0611838345100</t>
  </si>
  <si>
    <t>TAG Beans Provider 100/100 Pixie Tag</t>
  </si>
  <si>
    <t>0611838346100</t>
  </si>
  <si>
    <t>TAG Beans Romano 100/100 Pixie Tag</t>
  </si>
  <si>
    <t>0611838347100</t>
  </si>
  <si>
    <t>TAG Beans Royalty Purple Pod 100/100 Pixie Tag</t>
  </si>
  <si>
    <t>0611838348100</t>
  </si>
  <si>
    <t>TAG Beans Scarlet Runner Bean GENERIC 100/100 Pixie Tag</t>
  </si>
  <si>
    <t>0611838349100</t>
  </si>
  <si>
    <t>TAG Beans Seychelles 100/100 Pixie Tag</t>
  </si>
  <si>
    <t>0611838350100</t>
  </si>
  <si>
    <t>TAG Beans Valentino 100/100 Pixie Tag</t>
  </si>
  <si>
    <t>0611838351100</t>
  </si>
  <si>
    <t>TAG Beans Velour 100/100 Pixie Tag</t>
  </si>
  <si>
    <t>0611838352100</t>
  </si>
  <si>
    <t>TAG Beans Yellow GENERIC 100/100 Pixie Tag</t>
  </si>
  <si>
    <t>0611831210100</t>
  </si>
  <si>
    <t>TAG Beaucarnea Ponytail Palm 100/100 Pixie Tag</t>
  </si>
  <si>
    <t>0611831752100</t>
  </si>
  <si>
    <t>TAG Beets Bull's Blood 100/100 Pixie Tag</t>
  </si>
  <si>
    <t>0611831750100</t>
  </si>
  <si>
    <t>TAG Beets GENERIC 100/100 Pixie Tag</t>
  </si>
  <si>
    <t>0611831211100</t>
  </si>
  <si>
    <t>TAG Begonia Adonia Pink 100/100 Pixie Tag</t>
  </si>
  <si>
    <t>0611884014050</t>
  </si>
  <si>
    <t>TAG Begonia Adora Moon Dance 50/50 Petite Portrait SF FUL</t>
  </si>
  <si>
    <t>0611884015050</t>
  </si>
  <si>
    <t>TAG Begonia Adora Satin Rose 50/50 Petite Portrait SF FUL</t>
  </si>
  <si>
    <t>0611884016050</t>
  </si>
  <si>
    <t>TAG Begonia Adora Velvet Red 50/50 Petite Portrait SF FUL</t>
  </si>
  <si>
    <t>0611831212100</t>
  </si>
  <si>
    <t>TAG Begonia Ambassador Bicolor 100/100 Pixie Tag</t>
  </si>
  <si>
    <t>0611831213100</t>
  </si>
  <si>
    <t>TAG Begonia Ambassador Deep Rose 100/100 Pixie Tag</t>
  </si>
  <si>
    <t>0611831214100</t>
  </si>
  <si>
    <t>TAG Begonia Ambassador Mix 100/100 Pixie Tag</t>
  </si>
  <si>
    <t>0611831215100</t>
  </si>
  <si>
    <t>TAG Begonia Ambassador Pink 100/100 Pixie Tag</t>
  </si>
  <si>
    <t>0611831216100</t>
  </si>
  <si>
    <t>TAG Begonia Ambassador Rose 100/100 Pixie Tag</t>
  </si>
  <si>
    <t>0611831217100</t>
  </si>
  <si>
    <t>TAG Begonia Ambassador Scarlet 100/100 Pixie Tag</t>
  </si>
  <si>
    <t>0611831218100</t>
  </si>
  <si>
    <t>TAG Begonia Ambassador White 100/100 Pixie Tag</t>
  </si>
  <si>
    <t>0611831219100</t>
  </si>
  <si>
    <t>TAG Begonia Amber Stone 100/100 Pixie Tag</t>
  </si>
  <si>
    <t>0611884017100</t>
  </si>
  <si>
    <t>TAG Begonia Amerihybrid Ruffled Red 100/100 Pixie Tag</t>
  </si>
  <si>
    <t>0611884018100</t>
  </si>
  <si>
    <t>TAG Begonia BabyWing Bronze Leaf Red 100/100 Pixie Tag</t>
  </si>
  <si>
    <t>0611831229100</t>
  </si>
  <si>
    <t>TAG Begonia BabyWing Bronze Leaf White 100/100 Pixie Tag</t>
  </si>
  <si>
    <t>0611831225100</t>
  </si>
  <si>
    <t>TAG Begonia BabyWing Green Leaf Bicolor 100/100 Pixie Tag</t>
  </si>
  <si>
    <t>0611831226100</t>
  </si>
  <si>
    <t>TAG Begonia BabyWing Green Leaf Mix 100/100 Pixie Tag</t>
  </si>
  <si>
    <t>0611831227100</t>
  </si>
  <si>
    <t>TAG Begonia BabyWing Green Leaf Pink 100/100 Pixie Tag</t>
  </si>
  <si>
    <t>0611831228100</t>
  </si>
  <si>
    <t>TAG Begonia BabyWing Green Leaf Red 100/100 Pixie Tag</t>
  </si>
  <si>
    <t>0611831230100</t>
  </si>
  <si>
    <t>TAG Begonia BabyWing Green Leaf White 100/100 Pixie Tag</t>
  </si>
  <si>
    <t>0611860583050</t>
  </si>
  <si>
    <t>TAG Begonia Bachelorette Trailing Red 50/50 Petite Portrait FUL</t>
  </si>
  <si>
    <t>0611831231100</t>
  </si>
  <si>
    <t>TAG Begonia Bada Bing Green Leaf Mix 100/100 Pixie Tag SF</t>
  </si>
  <si>
    <t>0611831232100</t>
  </si>
  <si>
    <t>TAG Begonia Bada Bing Green Leaf Pink 100/100 Pixie Tag SF</t>
  </si>
  <si>
    <t>0611831234100</t>
  </si>
  <si>
    <t>TAG Begonia Bada Bing Green Leaf Rose 100/100 Pixie Tag SF</t>
  </si>
  <si>
    <t>0611831233100</t>
  </si>
  <si>
    <t>TAG Begonia Bada Bing Green Leaf Rose Bicolor 100/100 Pixie Tag SF</t>
  </si>
  <si>
    <t>0611831235100</t>
  </si>
  <si>
    <t>TAG Begonia Bada Bing Green Leaf Scarlet 100/100 Pixie Tag SF</t>
  </si>
  <si>
    <t>0611831236100</t>
  </si>
  <si>
    <t>TAG Begonia Bada Bing Green Leaf White 100/100 Pixie Tag SF</t>
  </si>
  <si>
    <t>0611831237100</t>
  </si>
  <si>
    <t>TAG Begonia Bada Boom Bronze Leaf Mix 100/100 Pixie Tag SF</t>
  </si>
  <si>
    <t>0611831238100</t>
  </si>
  <si>
    <t>TAG Begonia Bada Boom Bronze Leaf Pink 100/100 Pixie Tag SF</t>
  </si>
  <si>
    <t>0611831240100</t>
  </si>
  <si>
    <t>TAG Begonia Bada Boom Bronze Leaf Rose 100/100 Pixie Tag SF</t>
  </si>
  <si>
    <t>0611831239100</t>
  </si>
  <si>
    <t>TAG Begonia Bada Boom Bronze Leaf Rose Bicolor 100/100 Pixie Tag SF</t>
  </si>
  <si>
    <t>0611831241100</t>
  </si>
  <si>
    <t>TAG Begonia Bada Boom Bronze Leaf Scarlet 100/100 Pixie Tag SF</t>
  </si>
  <si>
    <t>0611831242100</t>
  </si>
  <si>
    <t>TAG Begonia Bada Boom Bronze Leaf White 100/100 Pixie Tag SF</t>
  </si>
  <si>
    <t>0611831243100</t>
  </si>
  <si>
    <t>TAG Begonia Bada Series 100/100 Pixie Tag SF</t>
  </si>
  <si>
    <t>0611831244100</t>
  </si>
  <si>
    <t>TAG Begonia Bada Total Mix 100/100 Pixie Tag SF</t>
  </si>
  <si>
    <t>0611831245100</t>
  </si>
  <si>
    <t>TAG Begonia Baladin 100/100 Pixie Tag</t>
  </si>
  <si>
    <t>0611860584050</t>
  </si>
  <si>
    <t>TAG Begonia Baladin 50/50 Petite Portrait FUL</t>
  </si>
  <si>
    <t>0611831247100</t>
  </si>
  <si>
    <t>TAG Begonia Banita 100/100 Pixie Tag</t>
  </si>
  <si>
    <t>0611831248100</t>
  </si>
  <si>
    <t>TAG Begonia Barkos 100/100 Pixie Tag</t>
  </si>
  <si>
    <t>0611860585050</t>
  </si>
  <si>
    <t>TAG Begonia Barkos 50/50 Petite Portrait FUL</t>
  </si>
  <si>
    <t>0611831249100</t>
  </si>
  <si>
    <t>TAG Begonia Batik 100/100 Pixie Tag</t>
  </si>
  <si>
    <t>0611860586050</t>
  </si>
  <si>
    <t>TAG Begonia Batik 50/50 Petite Portrait FUL</t>
  </si>
  <si>
    <t>0611831250100</t>
  </si>
  <si>
    <t>TAG Begonia Bazan 100/100 Pixie Tag</t>
  </si>
  <si>
    <t>0611884019100</t>
  </si>
  <si>
    <t>TAG Begonia Beaugonia Series 100/100 Pixie Tag</t>
  </si>
  <si>
    <t>0611831251100</t>
  </si>
  <si>
    <t>TAG Begonia Beauvilia Dark Salmon 100/100 Pixie Tag</t>
  </si>
  <si>
    <t>0611831252100</t>
  </si>
  <si>
    <t>TAG Begonia Beauvilia Hot Pink 100/100 Pixie Tag</t>
  </si>
  <si>
    <t>0611831253100</t>
  </si>
  <si>
    <t>TAG Begonia Beauvilia Red 100/100 Pixie Tag</t>
  </si>
  <si>
    <t>0611831254100</t>
  </si>
  <si>
    <t>TAG Begonia Beauvilia White 100/100 Pixie Tag</t>
  </si>
  <si>
    <t>0611856825100</t>
  </si>
  <si>
    <t>TAG Begonia Beauvilia Yellow 22 100/100 Pixie Tag</t>
  </si>
  <si>
    <t>0611831255100</t>
  </si>
  <si>
    <t>TAG Begonia Begonia GENERIC 100/100 Pixie Tag</t>
  </si>
  <si>
    <t>0611831258100</t>
  </si>
  <si>
    <t>TAG Begonia Belleconia Hot Orange 100/100 Pixie Tag</t>
  </si>
  <si>
    <t>0611831259100</t>
  </si>
  <si>
    <t>TAG Begonia Belleconia Mango 100/100 Pixie Tag</t>
  </si>
  <si>
    <t>0611831260100</t>
  </si>
  <si>
    <t>TAG Begonia Belleconia Rose 100/100 Pixie Tag</t>
  </si>
  <si>
    <t>0611884020100</t>
  </si>
  <si>
    <t>TAG Begonia Belleconia Series 100/100 Pixie Tag</t>
  </si>
  <si>
    <t>0611831261100</t>
  </si>
  <si>
    <t>TAG Begonia Belleconia Snow 100/100 Pixie Tag</t>
  </si>
  <si>
    <t>0611831262100</t>
  </si>
  <si>
    <t>TAG Begonia Belleconia Soft Orange 100/100 Pixie Tag</t>
  </si>
  <si>
    <t>0611831264100</t>
  </si>
  <si>
    <t>TAG Begonia Belove Cherry 100/100 Pixie Tag</t>
  </si>
  <si>
    <t>0611831265100</t>
  </si>
  <si>
    <t>TAG Begonia Belove Peach 100/100 Pixie Tag</t>
  </si>
  <si>
    <t>0611831266100</t>
  </si>
  <si>
    <t>TAG Begonia Belove Pink 100/100 Pixie Tag</t>
  </si>
  <si>
    <t>0611831267100</t>
  </si>
  <si>
    <t>TAG Begonia Belove Pink White Heart 100/100 Pixie Tag</t>
  </si>
  <si>
    <t>0611831268100</t>
  </si>
  <si>
    <t>TAG Begonia Belove Red 100/100 Pixie Tag</t>
  </si>
  <si>
    <t>0611831269100</t>
  </si>
  <si>
    <t>TAG Begonia Belove Yellow 100/100 Pixie Tag</t>
  </si>
  <si>
    <t>0611831271100</t>
  </si>
  <si>
    <t>TAG Begonia Berseba Light Pink 100/100 Pixie Tag</t>
  </si>
  <si>
    <t>0611831270100</t>
  </si>
  <si>
    <t>TAG Begonia Berseba Pink 100/100 Pixie Tag</t>
  </si>
  <si>
    <t>0611831272100</t>
  </si>
  <si>
    <t>TAG Begonia Berseba Red 100/100 Pixie Tag</t>
  </si>
  <si>
    <t>0611860587050</t>
  </si>
  <si>
    <t>TAG Begonia Berseba Rhine 50/50 Petite Portrait FUL</t>
  </si>
  <si>
    <t>0611884021100</t>
  </si>
  <si>
    <t>TAG Begonia Bewitched Series 100/100 Pixie Tag</t>
  </si>
  <si>
    <t>0611884022100</t>
  </si>
  <si>
    <t>TAG Begonia Big Bronze Leaf Deep Pink 100/100 Pixie Tag</t>
  </si>
  <si>
    <t>0611831273100</t>
  </si>
  <si>
    <t>TAG Begonia Big Bronze Leaf Deep Rose 100/100 Pixie Tag</t>
  </si>
  <si>
    <t>0611831274100</t>
  </si>
  <si>
    <t>TAG Begonia Big Bronze Leaf Pink 100/100 Pixie Tag</t>
  </si>
  <si>
    <t>0611831276100</t>
  </si>
  <si>
    <t>TAG Begonia Big Bronze Leaf Red 100/100 Pixie Tag</t>
  </si>
  <si>
    <t>0611831278100</t>
  </si>
  <si>
    <t>TAG Begonia Big Bronze Leaf Rose 100/100 Pixie Tag</t>
  </si>
  <si>
    <t>0611831275100</t>
  </si>
  <si>
    <t>TAG Begonia Big Green Leaf Pink100/100 Pixie Tag</t>
  </si>
  <si>
    <t>0611831277100</t>
  </si>
  <si>
    <t>TAG Begonia Big Green Leaf Red 100/100 Pixie Tag</t>
  </si>
  <si>
    <t>0611831279100</t>
  </si>
  <si>
    <t>TAG Begonia Big Green Leaf Rose 100/100 Pixie Tag</t>
  </si>
  <si>
    <t>0611831280100</t>
  </si>
  <si>
    <t>TAG Begonia Big Series 100/100 Pixie Tag</t>
  </si>
  <si>
    <t>0611831281100</t>
  </si>
  <si>
    <t>TAG Begonia Big White Green Leaf 100/100 Pixie Tag</t>
  </si>
  <si>
    <t>0611831283100</t>
  </si>
  <si>
    <t>TAG Begonia Binos Pink 100/100 Pixie Tag</t>
  </si>
  <si>
    <t>0611831284100</t>
  </si>
  <si>
    <t>TAG Begonia Binos Pink Soft 100/100 Pixie Tag</t>
  </si>
  <si>
    <t>0611856826100</t>
  </si>
  <si>
    <t>TAG Begonia Bionic Bronze Leaf Red 22 100/100 Pixie Tag SF</t>
  </si>
  <si>
    <t>0611856827100</t>
  </si>
  <si>
    <t>TAG Begonia Bionic Bronze Leaf Rose 22 100/100 Pixie Tag SF</t>
  </si>
  <si>
    <t>0611856828100</t>
  </si>
  <si>
    <t>TAG Begonia Bionic Green Leaf Pink 22 100/100 Pixie Tag SF</t>
  </si>
  <si>
    <t>0611856829100</t>
  </si>
  <si>
    <t>TAG Begonia Bionic Green Leaf Red 22 100/100 Pixie Tag SF</t>
  </si>
  <si>
    <t>0611831285100</t>
  </si>
  <si>
    <t>TAG Begonia Bliss Deep Red 100/100 Pixie Tag</t>
  </si>
  <si>
    <t>0611831286100</t>
  </si>
  <si>
    <t>TAG Begonia Bliss Mix 100/100 Pixie Tag</t>
  </si>
  <si>
    <t>0611831287100</t>
  </si>
  <si>
    <t>TAG Begonia Bliss Orange 100/100 Pixie Tag</t>
  </si>
  <si>
    <t>0611831288100</t>
  </si>
  <si>
    <t>TAG Begonia Bliss Pink Shades 100/100 Pixie Tag</t>
  </si>
  <si>
    <t>0611831289100</t>
  </si>
  <si>
    <t>TAG Begonia Bliss Scarlet 100/100 Pixie Tag</t>
  </si>
  <si>
    <t>0611831290100</t>
  </si>
  <si>
    <t>TAG Begonia Bliss White 100/100 Pixie Tag</t>
  </si>
  <si>
    <t>0611831291100</t>
  </si>
  <si>
    <t>TAG Begonia Bliss Yellow 100/100 Pixie Tag</t>
  </si>
  <si>
    <t>0611831292100</t>
  </si>
  <si>
    <t>TAG Begonia Blitz 100/100 Pixie Tag</t>
  </si>
  <si>
    <t>0611860588050</t>
  </si>
  <si>
    <t>TAG Begonia Blitz 50/50 Petite Portrait FUL</t>
  </si>
  <si>
    <t>0611831297100</t>
  </si>
  <si>
    <t>TAG Begonia Bonny 100/100 Pixie Tag</t>
  </si>
  <si>
    <t>0611831298100</t>
  </si>
  <si>
    <t>TAG Begonia Borias 100/100 Pixie Tag</t>
  </si>
  <si>
    <t>0611831299100</t>
  </si>
  <si>
    <t>TAG Begonia Borias Dark 100/100 Pixie Tag</t>
  </si>
  <si>
    <t>0611860589050</t>
  </si>
  <si>
    <t>TAG Begonia Borias Rhine 50/50 Petite Portrait DO FUL</t>
  </si>
  <si>
    <t>0611831300100</t>
  </si>
  <si>
    <t>TAG Begonia Bossa Nova Mix 100/100 Pixie Tag SF</t>
  </si>
  <si>
    <t>0611831317100</t>
  </si>
  <si>
    <t>TAG Begonia Bossa Nova Night Fever Papaya 100/100 Pixie Tag SF</t>
  </si>
  <si>
    <t>0611884023100</t>
  </si>
  <si>
    <t>TAG Begonia Bossa Nova Night Fever Rosso 100/100 Pixie Tag</t>
  </si>
  <si>
    <t>0611831301100</t>
  </si>
  <si>
    <t>TAG Begonia Bossa Nova Orange 100/100 Pixie Tag SF</t>
  </si>
  <si>
    <t>0611831302100</t>
  </si>
  <si>
    <t>TAG Begonia Bossa Nova Pink Glow 100/100 Pixie Tag SF</t>
  </si>
  <si>
    <t>0611831303100</t>
  </si>
  <si>
    <t>TAG Begonia Bossa Nova Pure White 100/100 Pixie Tag SF</t>
  </si>
  <si>
    <t>0611831304100</t>
  </si>
  <si>
    <t>TAG Begonia Bossa Nova Red 100/100 Pixie Tag SF</t>
  </si>
  <si>
    <t>0611831305100</t>
  </si>
  <si>
    <t>TAG Begonia Bossa Nova Rose 100/100 Pixie Tag SF</t>
  </si>
  <si>
    <t>0611831307100</t>
  </si>
  <si>
    <t>TAG Begonia Bossa Nova White 100/100 Pixie Tag SF</t>
  </si>
  <si>
    <t>0611831308100</t>
  </si>
  <si>
    <t>TAG Begonia Bossa Nova Yellow 100/100 Pixie Tag SF</t>
  </si>
  <si>
    <t>0611831309100</t>
  </si>
  <si>
    <t>TAG Begonia Bowler Bronze Leaf White 100/100 Pixie Tag SF</t>
  </si>
  <si>
    <t>0611831312100</t>
  </si>
  <si>
    <t>TAG Begonia Bronze Leaf Bicolor GENERIC 100/100 Pixie Tag</t>
  </si>
  <si>
    <t>0611831313100</t>
  </si>
  <si>
    <t>TAG Begonia Bronze Leaf Mix GENERIC 100/100 Pixie Tag</t>
  </si>
  <si>
    <t>0611831311100</t>
  </si>
  <si>
    <t>TAG Begonia Bronze Leaf Pink GENERIC 100/100 Pixie Tag</t>
  </si>
  <si>
    <t>0611831314100</t>
  </si>
  <si>
    <t>TAG Begonia Bronze Leaf Red GENERIC 100/100 Pixie Tag</t>
  </si>
  <si>
    <t>0611831315100</t>
  </si>
  <si>
    <t>TAG Begonia Bronze Leaf Rose GENERIC 100/100 Pixie Tag</t>
  </si>
  <si>
    <t>0611831316100</t>
  </si>
  <si>
    <t>TAG Begonia Bronze Leaf White GENERIC 100/100 Pixie Tag</t>
  </si>
  <si>
    <t>0611831318100</t>
  </si>
  <si>
    <t>TAG Begonia Camilla 100/100 Pixie Tag</t>
  </si>
  <si>
    <t>0611831319100</t>
  </si>
  <si>
    <t>TAG Begonia Canary Wings 100/100 Pixie Tag</t>
  </si>
  <si>
    <t>0611831320100</t>
  </si>
  <si>
    <t>TAG Begonia Carmen 100/100 Pixie Tag</t>
  </si>
  <si>
    <t>0611831321100</t>
  </si>
  <si>
    <t>TAG Begonia Carneval 100/100 Pixie Tag</t>
  </si>
  <si>
    <t>0611860590050</t>
  </si>
  <si>
    <t>TAG Begonia Carneval 50/50 Petite Portrait FUL</t>
  </si>
  <si>
    <t>0611831322100</t>
  </si>
  <si>
    <t>TAG Begonia Catrin 100/100 Pixie Tag</t>
  </si>
  <si>
    <t>0611831324100</t>
  </si>
  <si>
    <t>TAG Begonia Charm Pink 100/100 Pixie Tag</t>
  </si>
  <si>
    <t>0611831325100</t>
  </si>
  <si>
    <t>TAG Begonia Cherry Blossom 100/100 Pixie Tag</t>
  </si>
  <si>
    <t>0611831326100</t>
  </si>
  <si>
    <t>TAG Begonia Chloe 100/100 Pixie Tag</t>
  </si>
  <si>
    <t>0611856830100</t>
  </si>
  <si>
    <t>TAG Begonia Citizen Cane Pink 22 100/100 Pixie Tag</t>
  </si>
  <si>
    <t>0611831328100</t>
  </si>
  <si>
    <t>TAG Begonia Clara 100/100 Pixie Tag</t>
  </si>
  <si>
    <t>0611860591050</t>
  </si>
  <si>
    <t>TAG Begonia Clara 50/50 Petite Portrait FUL</t>
  </si>
  <si>
    <t>0611831329100</t>
  </si>
  <si>
    <t>TAG Begonia Coccinea 100/100 Hang Tag</t>
  </si>
  <si>
    <t>0611831330100</t>
  </si>
  <si>
    <t>TAG Begonia Coccinea 100/100 Pixie Tag</t>
  </si>
  <si>
    <t>0611831331100</t>
  </si>
  <si>
    <t>TAG Begonia Cocktail Brandy 100/100 Pixie Tag</t>
  </si>
  <si>
    <t>0611831332100</t>
  </si>
  <si>
    <t>TAG Begonia Cocktail Gin 100/100 Pixie Tag</t>
  </si>
  <si>
    <t>0611831333100</t>
  </si>
  <si>
    <t>TAG Begonia Cocktail Mix 100/100 Pixie Tag</t>
  </si>
  <si>
    <t>0611831334100</t>
  </si>
  <si>
    <t>TAG Begonia Cocktail Rum 100/100 Pixie Tag</t>
  </si>
  <si>
    <t>0611831335100</t>
  </si>
  <si>
    <t>TAG Begonia Cocktail Tequila 100/100 Pixie Tag</t>
  </si>
  <si>
    <t>0611831336100</t>
  </si>
  <si>
    <t>TAG Begonia Cocktail Vodka 100/100 Pixie Tag</t>
  </si>
  <si>
    <t>0611831337100</t>
  </si>
  <si>
    <t>TAG Begonia Cocktail Whiskey 100/100 Pixie Tag</t>
  </si>
  <si>
    <t>0611831338100</t>
  </si>
  <si>
    <t>TAG Begonia Cool Night Mix 100/100 Pixie Tag</t>
  </si>
  <si>
    <t>0611831339100</t>
  </si>
  <si>
    <t>TAG Begonia Curly Cherry Mint 100/100 Pixie Tag</t>
  </si>
  <si>
    <t>0611884024100</t>
  </si>
  <si>
    <t>TAG Begonia Curly Series 100/100 Pixie Tag</t>
  </si>
  <si>
    <t>0611831340100</t>
  </si>
  <si>
    <t>TAG Begonia Curly Strawberry Chocolate 100/100 Pixie Tag</t>
  </si>
  <si>
    <t>0611831341100</t>
  </si>
  <si>
    <t>TAG Begonia Dark Britt 100/100 Pixie Tag</t>
  </si>
  <si>
    <t>0611860592050</t>
  </si>
  <si>
    <t>TAG Begonia Dark Britt 50/50 Petite Portrait FUL</t>
  </si>
  <si>
    <t>0611831342100</t>
  </si>
  <si>
    <t>TAG Begonia Dibs Moonlight 100/100 Pixie Tag</t>
  </si>
  <si>
    <t>0611831343100</t>
  </si>
  <si>
    <t>TAG Begonia Dibs Rothko 100/100 Pixie Tag</t>
  </si>
  <si>
    <t>0611884025100</t>
  </si>
  <si>
    <t>TAG Begonia Dibs Series 100/100 Pixie Tag</t>
  </si>
  <si>
    <t>0611831344100</t>
  </si>
  <si>
    <t>TAG Begonia Doublet Pink 100/100 Pixie Tag DO</t>
  </si>
  <si>
    <t>0611860593050</t>
  </si>
  <si>
    <t>TAG Begonia Doublet Pink 50/50 Petite Portrait FUL</t>
  </si>
  <si>
    <t>0611831345100</t>
  </si>
  <si>
    <t>TAG Begonia Doublet Red 100/100 Pixie Tag</t>
  </si>
  <si>
    <t>0611860594050</t>
  </si>
  <si>
    <t>TAG Begonia Doublet Red 50/50 Petite Portrait FUL</t>
  </si>
  <si>
    <t>0611831346100</t>
  </si>
  <si>
    <t>TAG Begonia Doublet Rose 100/100 Pixie Tag</t>
  </si>
  <si>
    <t>0611860595050</t>
  </si>
  <si>
    <t>TAG Begonia Doublet Rose 50/50 Petite Portrait FUL</t>
  </si>
  <si>
    <t>0611831347100</t>
  </si>
  <si>
    <t>TAG Begonia Doublet White 100/100 Pixie Tag</t>
  </si>
  <si>
    <t>0611860596050</t>
  </si>
  <si>
    <t>TAG Begonia Doublet White 50/50 Petite Portrait FUL</t>
  </si>
  <si>
    <t>0611831348100</t>
  </si>
  <si>
    <t>TAG Begonia Dragon Wing 100/100 Pixie Tag</t>
  </si>
  <si>
    <t>0611884026025</t>
  </si>
  <si>
    <t>TAG Begonia Dragon Wing Bronze Leaf Pink 25/25 Portrait Tag</t>
  </si>
  <si>
    <t>0611884027025</t>
  </si>
  <si>
    <t>TAG Begonia Dragon Wing Bronze Leaf Red 25/25 Portrait Tag</t>
  </si>
  <si>
    <t>0611831349100</t>
  </si>
  <si>
    <t>TAG Begonia Dragon Wing Pink 100/100 Hang Tag</t>
  </si>
  <si>
    <t>0611831350100</t>
  </si>
  <si>
    <t>TAG Begonia Dragon Wing Pink 100/100 Pixie Tag</t>
  </si>
  <si>
    <t>0611831351025</t>
  </si>
  <si>
    <t>TAG Begonia Dragon Wing Pink 25/25 Portrait Tag</t>
  </si>
  <si>
    <t>0611831352100</t>
  </si>
  <si>
    <t>TAG Begonia Dragon Wing Red 100/100 Hang Tag</t>
  </si>
  <si>
    <t>0611831353100</t>
  </si>
  <si>
    <t>TAG Begonia Dragon Wing Red 100/100 Pixie Tag</t>
  </si>
  <si>
    <t>0611831354025</t>
  </si>
  <si>
    <t>TAG Begonia Dragon Wing Red 25/25 Portrait Tag</t>
  </si>
  <si>
    <t>0611856831100</t>
  </si>
  <si>
    <t>TAG Begonia Dragon Wing White 22 100/100 Pixie Tag</t>
  </si>
  <si>
    <t>0611856832025</t>
  </si>
  <si>
    <t>TAG Begonia Dragon Wing White 22 25/25 Portrait Tag</t>
  </si>
  <si>
    <t>0611860597050</t>
  </si>
  <si>
    <t>TAG Begonia Dragone Champagne 50/50 Petite Portrait DO FUL</t>
  </si>
  <si>
    <t>0611860598050</t>
  </si>
  <si>
    <t>TAG Begonia Dragone Dusty Rose 50/50 Petite Portrait DO FUL</t>
  </si>
  <si>
    <t>0611860599050</t>
  </si>
  <si>
    <t>TAG Begonia Dragone Evening Glow 50/50 Petite Portrait DO FUL</t>
  </si>
  <si>
    <t>0611860600050</t>
  </si>
  <si>
    <t>TAG Begonia Dragone Sunset 50/50 Petite Portrait DO FUL</t>
  </si>
  <si>
    <t>0611831356100</t>
  </si>
  <si>
    <t>TAG Begonia Dreams Garden Macarose 100/100 Pixie Tag</t>
  </si>
  <si>
    <t>0611831357100</t>
  </si>
  <si>
    <t>TAG Begonia Dreams Garden Macarouge 100/100 Pixie Tag</t>
  </si>
  <si>
    <t>0611831358100</t>
  </si>
  <si>
    <t>TAG Begonia Encore IV Series 100/100 Pixie Tag</t>
  </si>
  <si>
    <t>0611831359100</t>
  </si>
  <si>
    <t>TAG Begonia Escargot 100/100 Pixie Tag</t>
  </si>
  <si>
    <t>0611831360100</t>
  </si>
  <si>
    <t>TAG Begonia Esmay Peach 100/100 Pixie Tag</t>
  </si>
  <si>
    <t>0611831361100</t>
  </si>
  <si>
    <t>TAG Begonia Eureka Bronze Leaf Deep Rose 100/100 Pixie Tag SF</t>
  </si>
  <si>
    <t>0611831362100</t>
  </si>
  <si>
    <t>TAG Begonia Eureka Bronze Leaf Form Mix 100/100 Pixie Tag SF</t>
  </si>
  <si>
    <t>0611831364100</t>
  </si>
  <si>
    <t>TAG Begonia Eureka Bronze Leaf Mix 100/100 Pixie Tag SF</t>
  </si>
  <si>
    <t>0611831365100</t>
  </si>
  <si>
    <t>TAG Begonia Eureka Bronze Leaf Pink 100/100 Pixie Tag SF</t>
  </si>
  <si>
    <t>0611831366100</t>
  </si>
  <si>
    <t>TAG Begonia Eureka Bronze Leaf Rose 100/100 Pixie Tag SF</t>
  </si>
  <si>
    <t>0611831363100</t>
  </si>
  <si>
    <t>TAG Begonia Eureka Bronze Leaf Scarlet 100/100 Pixie Tag SF</t>
  </si>
  <si>
    <t>0611831367100</t>
  </si>
  <si>
    <t>TAG Begonia Eureka Bronze Leaf White 100/100 Pixie Tag SF</t>
  </si>
  <si>
    <t>0611831368100</t>
  </si>
  <si>
    <t>TAG Begonia Eureka Green Leaf Deep Rose 100/100 Pixie Tag SF</t>
  </si>
  <si>
    <t>0611831373100</t>
  </si>
  <si>
    <t>TAG Begonia Eureka Green Leaf Formula Mix 100/100 Pixie Tag SF</t>
  </si>
  <si>
    <t>0611831369100</t>
  </si>
  <si>
    <t>TAG Begonia Eureka Green Leaf Pink 100/100 Pixie Tag SF</t>
  </si>
  <si>
    <t>0611831370100</t>
  </si>
  <si>
    <t>TAG Begonia Eureka Green Leaf Rose 100/100 Pixie Tag SF</t>
  </si>
  <si>
    <t>0611831372100</t>
  </si>
  <si>
    <t>TAG Begonia Eureka Green Leaf Scarlet 100/100 Pixie Tag SF</t>
  </si>
  <si>
    <t>0611831371100</t>
  </si>
  <si>
    <t>TAG Begonia Eureka Green Leaf White 100/100 Pixie Tag SF</t>
  </si>
  <si>
    <t>0611831374100</t>
  </si>
  <si>
    <t>TAG Begonia Eva 100/100 Pixie Tag</t>
  </si>
  <si>
    <t>0611831375100</t>
  </si>
  <si>
    <t>TAG Begonia Evi 100/100 Pixie Tag</t>
  </si>
  <si>
    <t>0611831377100</t>
  </si>
  <si>
    <t>TAG Begonia Fiona Pink 100/100 Pixie Tag</t>
  </si>
  <si>
    <t>0611831378100</t>
  </si>
  <si>
    <t>TAG Begonia Fiona Red 100/100 Pixie Tag</t>
  </si>
  <si>
    <t>0611831379100</t>
  </si>
  <si>
    <t>TAG Begonia Fiona Rose 100/100 Pixie Tag</t>
  </si>
  <si>
    <t>0611831380100</t>
  </si>
  <si>
    <t>TAG Begonia Fiona White 100/100 Pixie Tag</t>
  </si>
  <si>
    <t>0611860601050</t>
  </si>
  <si>
    <t>TAG Begonia Florencio Cerise 50/50 Petite Portrait SF FUL</t>
  </si>
  <si>
    <t>0611860602050</t>
  </si>
  <si>
    <t>TAG Begonia Florencio Orange 50/50 Petite Portrait SF FUL</t>
  </si>
  <si>
    <t>0611860603050</t>
  </si>
  <si>
    <t>TAG Begonia Florencio Pink 50/50 Petite Portrait SF FUL</t>
  </si>
  <si>
    <t>0611860604050</t>
  </si>
  <si>
    <t>TAG Begonia Florencio Red 50/50 Petite Portrait SF FUL</t>
  </si>
  <si>
    <t>0611860605050</t>
  </si>
  <si>
    <t>TAG Begonia Florencio White 50/50 Petite Portrait SF FUL</t>
  </si>
  <si>
    <t>0611860606050</t>
  </si>
  <si>
    <t>TAG Begonia Florencio Yellow 50/50 Petite Portrait SF FUL</t>
  </si>
  <si>
    <t>0611831381100</t>
  </si>
  <si>
    <t>TAG Begonia Fortune Mix 100/100 Pixie Tag</t>
  </si>
  <si>
    <t>0611831382100</t>
  </si>
  <si>
    <t>TAG Begonia Fragrant Falls Lemon 100/100 Pixie Tag</t>
  </si>
  <si>
    <t>0611831383100</t>
  </si>
  <si>
    <t>TAG Begonia Fragrant Falls Peach 100/100 Pixie Tag</t>
  </si>
  <si>
    <t>0611856833100</t>
  </si>
  <si>
    <t>TAG Begonia Frivola Magic 100/100 Pixie Tag</t>
  </si>
  <si>
    <t>0611831384100</t>
  </si>
  <si>
    <t>TAG Begonia Frivola Pink 100/100 Pixie Tag</t>
  </si>
  <si>
    <t>0611831385100</t>
  </si>
  <si>
    <t>TAG Begonia Funky Light Pink 100/100 Pixie Tag</t>
  </si>
  <si>
    <t>0611831386100</t>
  </si>
  <si>
    <t>TAG Begonia Funky Mix 100/100 Pixie Tag</t>
  </si>
  <si>
    <t>0611831387100</t>
  </si>
  <si>
    <t>TAG Begonia Funky Orange 100/100 Pixie Tag</t>
  </si>
  <si>
    <t>0611831388100</t>
  </si>
  <si>
    <t>TAG Begonia Funky Pink 100/100 Pixie Tag</t>
  </si>
  <si>
    <t>0611831389100</t>
  </si>
  <si>
    <t>TAG Begonia Funky Red 100/100 Pixie Tag</t>
  </si>
  <si>
    <t>0611831390100</t>
  </si>
  <si>
    <t>TAG Begonia Funky Scarlet 100/100 Pixie Tag</t>
  </si>
  <si>
    <t>0611831391100</t>
  </si>
  <si>
    <t>TAG Begonia Funky White 100/100 Pixie Tag</t>
  </si>
  <si>
    <t>0611831392100</t>
  </si>
  <si>
    <t>TAG Begonia GENERIC 100/100 Hang Tag</t>
  </si>
  <si>
    <t>0611831397100</t>
  </si>
  <si>
    <t>TAG Begonia GENERIC Bilingual 100/100 Pixie Tag</t>
  </si>
  <si>
    <t>0611831393100</t>
  </si>
  <si>
    <t>TAG Begonia Glory Bicolour 100/100 Pixie Tag</t>
  </si>
  <si>
    <t>0611831395100</t>
  </si>
  <si>
    <t>TAG Begonia Glory Pink 100/100 Pixie Tag</t>
  </si>
  <si>
    <t>0611831396100</t>
  </si>
  <si>
    <t>TAG Begonia Glory White 100/100 Pixie Tag</t>
  </si>
  <si>
    <t>0611860607050</t>
  </si>
  <si>
    <t>TAG Begonia Grace Dark Red 50/50 Petite Portrait SF FUL</t>
  </si>
  <si>
    <t>0611860608050</t>
  </si>
  <si>
    <t>TAG Begonia Grace Orange 50/50 Petite Portrait SF FUL</t>
  </si>
  <si>
    <t>0611860609050</t>
  </si>
  <si>
    <t>TAG Begonia Grace Pink 50/50 Petite Portrait SF FUL</t>
  </si>
  <si>
    <t>0611831406100</t>
  </si>
  <si>
    <t>TAG Begonia Green Leaf Bicolor GENERIC 100/100 Pixie Tag</t>
  </si>
  <si>
    <t>0611831407100</t>
  </si>
  <si>
    <t>TAG Begonia Green Leaf Mix GENERIC 100/100 Pixie Tag</t>
  </si>
  <si>
    <t>0611831408100</t>
  </si>
  <si>
    <t>TAG Begonia Green Leaf Pink GENERIC 100/100 Pixie Tag</t>
  </si>
  <si>
    <t>0611831409100</t>
  </si>
  <si>
    <t>TAG Begonia Green Leaf Red GENERIC 100/100 Pixie Tag</t>
  </si>
  <si>
    <t>0611831410100</t>
  </si>
  <si>
    <t>TAG Begonia Green Leaf Rose GENERIC 100/100 Pixie Tag</t>
  </si>
  <si>
    <t>0611831411100</t>
  </si>
  <si>
    <t>TAG Begonia Green Leaf White GENERIC 100/100 Pixie Tag</t>
  </si>
  <si>
    <t>0611831412100</t>
  </si>
  <si>
    <t>TAG Begonia Groovy Mellow Yellow 100/100 Pixie Tag</t>
  </si>
  <si>
    <t>0611831413100</t>
  </si>
  <si>
    <t>TAG Begonia Groovy Mix 100/100 Pixie Tag</t>
  </si>
  <si>
    <t>0611831414100</t>
  </si>
  <si>
    <t>TAG Begonia Groovy Orange 100/100 Pixie Tag</t>
  </si>
  <si>
    <t>0611831415100</t>
  </si>
  <si>
    <t>TAG Begonia Groovy Red 100/100 Pixie Tag</t>
  </si>
  <si>
    <t>0611831416100</t>
  </si>
  <si>
    <t>TAG Begonia Groovy Rose 100/100 Pixie Tag</t>
  </si>
  <si>
    <t>0611831417100</t>
  </si>
  <si>
    <t>TAG Begonia Groovy White 100/100 Pixie Tag</t>
  </si>
  <si>
    <t>0611831418100</t>
  </si>
  <si>
    <t>TAG Begonia Gryphon 100/100 Pixie Tag</t>
  </si>
  <si>
    <t>0611831419100</t>
  </si>
  <si>
    <t>TAG Begonia Harmony Mix 100/100 Pixie Tag</t>
  </si>
  <si>
    <t>0611831420100</t>
  </si>
  <si>
    <t>TAG Begonia Harmony Pink 100/100 Pixie Tag</t>
  </si>
  <si>
    <t>0611831421100</t>
  </si>
  <si>
    <t>TAG Begonia Harmony Rose 100/100 Pixie Tag</t>
  </si>
  <si>
    <t>0611831422100</t>
  </si>
  <si>
    <t>TAG Begonia Harmony Scarlet 100/100 Pixie Tag</t>
  </si>
  <si>
    <t>0611831423100</t>
  </si>
  <si>
    <t>TAG Begonia Harmony White 100/100 Pixie Tag</t>
  </si>
  <si>
    <t>0611831424100</t>
  </si>
  <si>
    <t>TAG Begonia Hiemalis 100/100 Hang Tag</t>
  </si>
  <si>
    <t>0611831425100</t>
  </si>
  <si>
    <t>TAG Begonia Hiemalis 100/100 Pixie Tag</t>
  </si>
  <si>
    <t>0611856834100</t>
  </si>
  <si>
    <t>TAG Begonia Hula Bicolor Red White 22 100/100 Pixie Tag</t>
  </si>
  <si>
    <t>0611856835100</t>
  </si>
  <si>
    <t>TAG Begonia Hula Blush 22 100/100 Pixie Tag</t>
  </si>
  <si>
    <t>0611856836100</t>
  </si>
  <si>
    <t>TAG Begonia Hula Pink 22 100/100 Pixie Tag</t>
  </si>
  <si>
    <t>0611856837100</t>
  </si>
  <si>
    <t>TAG Begonia Hula Red 22 100/100 Pixie Tag</t>
  </si>
  <si>
    <t>0611884028100</t>
  </si>
  <si>
    <t>TAG Begonia Hula Red And White Mix 100/100 Pixie Tag</t>
  </si>
  <si>
    <t>0611860610050</t>
  </si>
  <si>
    <t>TAG Begonia I'Conia Bachelorette Red 50/50 Petite Portrait DO FUL</t>
  </si>
  <si>
    <t>0611860611050</t>
  </si>
  <si>
    <t>TAG Begonia I'Conia Bacio Orange 50/50 Petite Portrait DO FUL</t>
  </si>
  <si>
    <t>0611860612050</t>
  </si>
  <si>
    <t>TAG Begonia I'Conia Bacio Peach 50/50 Petite Portrait DO FUL</t>
  </si>
  <si>
    <t>0611860613050</t>
  </si>
  <si>
    <t>TAG Begonia I'Conia Bacio Salmon 50/50 Petite Portrait DO FUL</t>
  </si>
  <si>
    <t>0611860614050</t>
  </si>
  <si>
    <t>TAG Begonia I'Conia Bacio White 50/50 Petite Portrait DO FUL</t>
  </si>
  <si>
    <t>0611860615050</t>
  </si>
  <si>
    <t>TAG Begonia I'Conia First Kiss 50/50 Petite Portrait DO FUL</t>
  </si>
  <si>
    <t>0611860616050</t>
  </si>
  <si>
    <t>TAG Begonia I'Conia First Kiss Del Sol 50/50 Petite Portrait DO FUL</t>
  </si>
  <si>
    <t>0611884029050</t>
  </si>
  <si>
    <t>TAG Begonia I'Conia First Kiss Orange 50/50 Petite Portrait FUL</t>
  </si>
  <si>
    <t>0611860617050</t>
  </si>
  <si>
    <t>TAG Begonia I'Conia La Luna 50/50 Petite Portrait DO FUL</t>
  </si>
  <si>
    <t>0611860618050</t>
  </si>
  <si>
    <t>TAG Begonia I'Conia Lemon Berry 50/50 Petite Portrait DO FUL</t>
  </si>
  <si>
    <t>0611860619050</t>
  </si>
  <si>
    <t>TAG Begonia I'Conia Lucky Strike 50/50 Petite Portrait DO FUL</t>
  </si>
  <si>
    <t>0611860620050</t>
  </si>
  <si>
    <t>TAG Begonia I'Conia Miss Malibu 50/50 Petite Portrait DO FUL</t>
  </si>
  <si>
    <t>0611860621050</t>
  </si>
  <si>
    <t>TAG Begonia I'Conia Miss Miami 50/50 Petite Portrait DO FUL</t>
  </si>
  <si>
    <t>0611860622050</t>
  </si>
  <si>
    <t>TAG Begonia I'Conia Miss Montreal 50/50 Petite Portrait DO FUL</t>
  </si>
  <si>
    <t>0611860623050</t>
  </si>
  <si>
    <t>TAG Begonia I'Conia Peachy Keen 50/50 Petite Portrait DO FUL</t>
  </si>
  <si>
    <t>0611860624050</t>
  </si>
  <si>
    <t>TAG Begonia I'Conia Portofino Champagne 50/50 Petite Portrait DO FUL</t>
  </si>
  <si>
    <t>0611860625050</t>
  </si>
  <si>
    <t>TAG Begonia I'Conia Portofino Citrix 50/50 Petite Portrait DO FUL</t>
  </si>
  <si>
    <t>0611884030050</t>
  </si>
  <si>
    <t>TAG Begonia I'Conia Portofino Dark Orange 50/50 Petite Portrait DO FUL</t>
  </si>
  <si>
    <t>0611860626050</t>
  </si>
  <si>
    <t>TAG Begonia I'Conia Portofino Hot Coral 50/50 Petite Portrait DO FUL</t>
  </si>
  <si>
    <t>0611860627050</t>
  </si>
  <si>
    <t>TAG Begonia I'Conia Portofino Hot Orange 50/50 Petite Portrait DO FUL</t>
  </si>
  <si>
    <t>0611860628050</t>
  </si>
  <si>
    <t>TAG Begonia I'Conia Portofino Salmon 50/50 Petite Portrait DO FUL</t>
  </si>
  <si>
    <t>0611860629050</t>
  </si>
  <si>
    <t>TAG Begonia I'Conia Portofino Sunrise 50/50 Petite Portrait DO FUL</t>
  </si>
  <si>
    <t>0611860630050</t>
  </si>
  <si>
    <t>TAG Begonia I'Conia Portofino Yellow 50/50 Petite Portrait DO FUL</t>
  </si>
  <si>
    <t>0611860631050</t>
  </si>
  <si>
    <t>TAG Begonia I'Conia Red 50/50 Petite Portrait DO FUL</t>
  </si>
  <si>
    <t>0611860632050</t>
  </si>
  <si>
    <t>TAG Begonia I'Conia Saffron 50/50 Petite Portrait DO FUL</t>
  </si>
  <si>
    <t>0611860633050</t>
  </si>
  <si>
    <t>TAG Begonia I'Conia Tweetie Pie 50/50 Petite Portrait DO FUL</t>
  </si>
  <si>
    <t>0611884031050</t>
  </si>
  <si>
    <t>TAG Begonia I'Conia Upright Blush 50/50 Petite Portrait DO FUL</t>
  </si>
  <si>
    <t>0611860634050</t>
  </si>
  <si>
    <t>TAG Begonia I'Conia Upright Fire 50/50 Petite Portrait DO FUL</t>
  </si>
  <si>
    <t>0611884032050</t>
  </si>
  <si>
    <t>TAG Begonia I'Conia Upright Red 50/50 Petite Portrait FUL</t>
  </si>
  <si>
    <t>0611860635050</t>
  </si>
  <si>
    <t>TAG Begonia I'Conia Upright Salmon 50/50 Petite Portrait DO FUL</t>
  </si>
  <si>
    <t>0611860636050</t>
  </si>
  <si>
    <t>TAG Begonia I'Conia Upright Sunshine 50/50 Petite Portrait DO FUL</t>
  </si>
  <si>
    <t>0611860637050</t>
  </si>
  <si>
    <t>TAG Begonia I'Conia Upright White 50/50 Petite Portrait DO FUL</t>
  </si>
  <si>
    <t>0611831428100</t>
  </si>
  <si>
    <t>TAG Begonia Illumination Apricot 100/100 Pixie Tag</t>
  </si>
  <si>
    <t>0611831426100</t>
  </si>
  <si>
    <t>TAG Begonia Illumination Golden Picotee 100/100 Pixie Tag</t>
  </si>
  <si>
    <t>0611831429100</t>
  </si>
  <si>
    <t>TAG Begonia Illumination Lemon 100/100 Pixie Tag</t>
  </si>
  <si>
    <t>0611831430100</t>
  </si>
  <si>
    <t>TAG Begonia Illumination Orange 100/100 Pixie Tag</t>
  </si>
  <si>
    <t>0611831431100</t>
  </si>
  <si>
    <t>TAG Begonia Illumination Rose 100/100 Pixie Tag</t>
  </si>
  <si>
    <t>0611831432100</t>
  </si>
  <si>
    <t>TAG Begonia Illumination Salmon Pink 100/100 Pixie Tag</t>
  </si>
  <si>
    <t>0611831433100</t>
  </si>
  <si>
    <t>TAG Begonia Illumination Scarlet 100/100 Pixie Tag</t>
  </si>
  <si>
    <t>0611831434100</t>
  </si>
  <si>
    <t>TAG Begonia Illumination White 100/100 Pixie Tag</t>
  </si>
  <si>
    <t>0611831436100</t>
  </si>
  <si>
    <t>TAG Begonia Karen 100/100 Pixie Tag</t>
  </si>
  <si>
    <t>0611831437100</t>
  </si>
  <si>
    <t>TAG Begonia Lady Carol 100/100 Pixie Tag</t>
  </si>
  <si>
    <t>0611831438100</t>
  </si>
  <si>
    <t>TAG Begonia Lady Frances Pink 100/100 Pixie Tag</t>
  </si>
  <si>
    <t>0611884033100</t>
  </si>
  <si>
    <t>TAG Begonia Limitless Cream Shades 100/100 Pixie Tag</t>
  </si>
  <si>
    <t>0611884034100</t>
  </si>
  <si>
    <t>TAG Begonia Limitless Dark Red 100/100 Pixie Tag</t>
  </si>
  <si>
    <t>0611884035100</t>
  </si>
  <si>
    <t>TAG Begonia Limitless Dark Rose 100/100 Pixie Tag</t>
  </si>
  <si>
    <t>0611884036100</t>
  </si>
  <si>
    <t>TAG Begonia Limitless Mix 100/100 Pixie Tag</t>
  </si>
  <si>
    <t>0611884037100</t>
  </si>
  <si>
    <t>TAG Begonia Limitless Orange 100/100 Pixie Tag</t>
  </si>
  <si>
    <t>0611884038100</t>
  </si>
  <si>
    <t>TAG Begonia Limitless Sorbet 100/100 Pixie Tag</t>
  </si>
  <si>
    <t>0611884039100</t>
  </si>
  <si>
    <t>TAG Begonia Limitless Sunrise 100/100 Pixie Tag</t>
  </si>
  <si>
    <t>0611884040100</t>
  </si>
  <si>
    <t>TAG Begonia Limitless Sunset 100/100 Pixie Tag</t>
  </si>
  <si>
    <t>0611884041100</t>
  </si>
  <si>
    <t>TAG Begonia Limitless Yellow 100/100 Pixie Tag</t>
  </si>
  <si>
    <t>0611831440100</t>
  </si>
  <si>
    <t>TAG Begonia Maestro Mix 100/100 Pixie Tag</t>
  </si>
  <si>
    <t>0611831441100</t>
  </si>
  <si>
    <t>TAG Begonia Megawatt Bronze Leaf Pink 100/100 Pixie Tag</t>
  </si>
  <si>
    <t>0611831442100</t>
  </si>
  <si>
    <t>TAG Begonia Megawatt Bronze Leaf Red 100/100 Pixie Tag</t>
  </si>
  <si>
    <t>0611831443100</t>
  </si>
  <si>
    <t>TAG Begonia Megawatt Bronze Leaf Rose 100/100 Pixie Tag</t>
  </si>
  <si>
    <t>0611831446100</t>
  </si>
  <si>
    <t>TAG Begonia Megawatt Green Leaf Pink 100/100 Pixie Tag</t>
  </si>
  <si>
    <t>0611831444100</t>
  </si>
  <si>
    <t>TAG Begonia Megawatt Green Leaf Red 100/100 Pixie Tag</t>
  </si>
  <si>
    <t>0611831445100</t>
  </si>
  <si>
    <t>TAG Begonia Megawatt Green Leaf Rose 100/100 Pixie Tag</t>
  </si>
  <si>
    <t>0611856838100</t>
  </si>
  <si>
    <t>TAG Begonia Megawatt Green Leaf White 22 100/100 Pixie Tag</t>
  </si>
  <si>
    <t>0611860638050</t>
  </si>
  <si>
    <t>TAG Begonia Move2 Cherry Red 50/50 Petite Portrait DO FUL</t>
  </si>
  <si>
    <t>0611884042050</t>
  </si>
  <si>
    <t>TAG Begonia Move2 Joy Hot Pink Elat 50/50 Petite Portrait DO FUL</t>
  </si>
  <si>
    <t>0611860639050</t>
  </si>
  <si>
    <t>TAG Begonia Move2 Joy Pink 50/50 Petite Portrait DO FUL</t>
  </si>
  <si>
    <t>0611884043050</t>
  </si>
  <si>
    <t>TAG Begonia Move2 Joy Salmon Elat 50/50 Petite Portrait DO FUL</t>
  </si>
  <si>
    <t>0611860640050</t>
  </si>
  <si>
    <t>TAG Begonia Move2 Joy White 50/50 Petite Portrait DO FUL</t>
  </si>
  <si>
    <t>0611860641050</t>
  </si>
  <si>
    <t>TAG Begonia Move2 Orange 50/50 Petite Portrait DO FUL</t>
  </si>
  <si>
    <t>0611860642050</t>
  </si>
  <si>
    <t>TAG Begonia Move2 Passion Red 50/50 Petite Portrait DO FUL</t>
  </si>
  <si>
    <t>0611860643050</t>
  </si>
  <si>
    <t>TAG Begonia Move2 Ruby Red 50/50 Petite Portrait DO FUL</t>
  </si>
  <si>
    <t>0611884044050</t>
  </si>
  <si>
    <t>TAG Begonia Move2 Salmon Spl Bicolor Elat 50/50 Petite Portrait DO FUL</t>
  </si>
  <si>
    <t>0611831447100</t>
  </si>
  <si>
    <t>TAG Begonia Nadine 100/100 Pixie Tag</t>
  </si>
  <si>
    <t>0611860644050</t>
  </si>
  <si>
    <t>TAG Begonia Nadine Rhine 50/50 Petite Portrait DO FUL</t>
  </si>
  <si>
    <t>0611831448100</t>
  </si>
  <si>
    <t>TAG Begonia Nelly 100/100 Pixie Tag</t>
  </si>
  <si>
    <t>0611831449100</t>
  </si>
  <si>
    <t>TAG Begonia Netja Dark 100/100 Pixie Tag</t>
  </si>
  <si>
    <t>0611860645050</t>
  </si>
  <si>
    <t>TAG Begonia Netja Dark 50/50 Petite Portrait FUL</t>
  </si>
  <si>
    <t>0611831450100</t>
  </si>
  <si>
    <t>TAG Begonia Netja White 100/100 Pixie Tag</t>
  </si>
  <si>
    <t>0611831625100</t>
  </si>
  <si>
    <t>TAG Begonia New Star Mix 100/100 Pixie Tag</t>
  </si>
  <si>
    <t>0611831626100</t>
  </si>
  <si>
    <t>TAG Begonia New Star Red 100/100 Pixie Tag</t>
  </si>
  <si>
    <t>0611831627100</t>
  </si>
  <si>
    <t>TAG Begonia New Star White 100/100 Pixie Tag</t>
  </si>
  <si>
    <t>0611831628100</t>
  </si>
  <si>
    <t>TAG Begonia New Star Yellow 100/100 Pixie Tag</t>
  </si>
  <si>
    <t>0611831451100</t>
  </si>
  <si>
    <t>TAG Begonia Nicole Stone 100/100 Pixie Tag</t>
  </si>
  <si>
    <t>0611831452100</t>
  </si>
  <si>
    <t>TAG Begonia Nightlife Blush 100/100 Pixie Tag</t>
  </si>
  <si>
    <t>0611831453100</t>
  </si>
  <si>
    <t>TAG Begonia Nightlife Deep Rose 100/100 Pixie Tag</t>
  </si>
  <si>
    <t>0611831454100</t>
  </si>
  <si>
    <t>TAG Begonia Nightlife Mix 100/100 Pixie Tag</t>
  </si>
  <si>
    <t>0611831455100</t>
  </si>
  <si>
    <t>TAG Begonia Nightlife Pink 100/100 Pixie Tag</t>
  </si>
  <si>
    <t>0611831456100</t>
  </si>
  <si>
    <t>TAG Begonia Nightlife Red 100/100 Pixie Tag</t>
  </si>
  <si>
    <t>0611831457100</t>
  </si>
  <si>
    <t>TAG Begonia Nightlife Rose 100/100 Pixie Tag</t>
  </si>
  <si>
    <t>0611831458100</t>
  </si>
  <si>
    <t>TAG Begonia Nightlife White 100/100 Pixie Tag</t>
  </si>
  <si>
    <t>0611831459100</t>
  </si>
  <si>
    <t>TAG Begonia Nonstop Apple Blossom 100/100 Pixie Tag</t>
  </si>
  <si>
    <t>0611831460100</t>
  </si>
  <si>
    <t>TAG Begonia Nonstop Apricot 100/100 Pixie Tag</t>
  </si>
  <si>
    <t>0611831461100</t>
  </si>
  <si>
    <t>TAG Begonia Nonstop Bright Red 100/100 Pixie Tag</t>
  </si>
  <si>
    <t>0611831463100</t>
  </si>
  <si>
    <t>TAG Begonia Nonstop Deep Red 100/100 Pixie Tag</t>
  </si>
  <si>
    <t>0611831464100</t>
  </si>
  <si>
    <t>TAG Begonia Nonstop Deep Rose 100/100 Pixie Tag</t>
  </si>
  <si>
    <t>0611831465100</t>
  </si>
  <si>
    <t>TAG Begonia Nonstop Deep Salmon 100/100 Pixie Tag</t>
  </si>
  <si>
    <t>0611831466100</t>
  </si>
  <si>
    <t>TAG Begonia Nonstop Fire 100/100 Pixie Tag</t>
  </si>
  <si>
    <t>0611831468100</t>
  </si>
  <si>
    <t>TAG Begonia Nonstop Joy Mix 100/100 Pixie Tag</t>
  </si>
  <si>
    <t>0611884045100</t>
  </si>
  <si>
    <t>TAG Begonia Nonstop Joy Mocca Peaches And Dreams 100/100 Pixie Tag</t>
  </si>
  <si>
    <t>0611831469100</t>
  </si>
  <si>
    <t>TAG Begonia Nonstop Joy Mocca White 100/100 Pixie Tag</t>
  </si>
  <si>
    <t>0611831470100</t>
  </si>
  <si>
    <t>TAG Begonia Nonstop Joy Orange 100/100 Pixie Tag</t>
  </si>
  <si>
    <t>0611831471100</t>
  </si>
  <si>
    <t>TAG Begonia Nonstop Joy Red 100/100 Pixie Tag</t>
  </si>
  <si>
    <t>0611831472100</t>
  </si>
  <si>
    <t>TAG Begonia Nonstop Joy Rose Picotee 100/100 Pixie Tag</t>
  </si>
  <si>
    <t>0611831473100</t>
  </si>
  <si>
    <t>TAG Begonia Nonstop Joy Yellow 100/100 Pixie Tag</t>
  </si>
  <si>
    <t>0611831474100</t>
  </si>
  <si>
    <t>TAG Begonia Nonstop Mix 100/100 Pixie Tag</t>
  </si>
  <si>
    <t>0611831475100</t>
  </si>
  <si>
    <t>TAG Begonia Nonstop Mocca Bright Orange 100/100 Pixie Tag</t>
  </si>
  <si>
    <t>0611831476100</t>
  </si>
  <si>
    <t>TAG Begonia Nonstop Mocca Cherry 100/100 Pixie Tag</t>
  </si>
  <si>
    <t>0611831478100</t>
  </si>
  <si>
    <t>TAG Begonia Nonstop Mocca Deep Orange 100/100 Pixie Tag</t>
  </si>
  <si>
    <t>0611831477100</t>
  </si>
  <si>
    <t>TAG Begonia Nonstop Mocca Deep Red 100/100 Pixie Tag</t>
  </si>
  <si>
    <t>0611831479100</t>
  </si>
  <si>
    <t>TAG Begonia Nonstop Mocca Mix 100/100 Pixie Tag</t>
  </si>
  <si>
    <t>0611831480100</t>
  </si>
  <si>
    <t>TAG Begonia Nonstop Mocca Orange 100/100 Pixie Tag</t>
  </si>
  <si>
    <t>0611831481100</t>
  </si>
  <si>
    <t>TAG Begonia Nonstop Mocca Pink Shades 100/100 Pixie Tag</t>
  </si>
  <si>
    <t>0611831482100</t>
  </si>
  <si>
    <t>TAG Begonia Nonstop Mocca Red 100/100 Pixie Tag</t>
  </si>
  <si>
    <t>0611831483100</t>
  </si>
  <si>
    <t>TAG Begonia Nonstop Mocca Scarlet 100/100 Pixie Tag</t>
  </si>
  <si>
    <t>0611831484100</t>
  </si>
  <si>
    <t>TAG Begonia Nonstop Mocca White 100/100 Pixie Tag</t>
  </si>
  <si>
    <t>0611831485100</t>
  </si>
  <si>
    <t>TAG Begonia Nonstop Mocca Yellow 100/100 Pixie Tag</t>
  </si>
  <si>
    <t>0611831486100</t>
  </si>
  <si>
    <t>TAG Begonia Nonstop Orange 100/100 Pixie Tag</t>
  </si>
  <si>
    <t>0611831487100</t>
  </si>
  <si>
    <t>TAG Begonia Nonstop Pink 100/100 Pixie Tag</t>
  </si>
  <si>
    <t>0611831488100</t>
  </si>
  <si>
    <t>TAG Begonia Nonstop Red 100/100 Pixie Tag</t>
  </si>
  <si>
    <t>0611831489100</t>
  </si>
  <si>
    <t>TAG Begonia Nonstop Rose Petticoat 100/100 Pixie Tag</t>
  </si>
  <si>
    <t>0611831490100</t>
  </si>
  <si>
    <t>TAG Begonia Nonstop Rose Picotee 100/100 Pixie Tag</t>
  </si>
  <si>
    <t>0611831491100</t>
  </si>
  <si>
    <t>TAG Begonia Nonstop Rose Pink 100/100 Pixie Tag</t>
  </si>
  <si>
    <t>0611831492100</t>
  </si>
  <si>
    <t>TAG Begonia Nonstop Salmon 100/100 Pixie Tag</t>
  </si>
  <si>
    <t>0611831494100</t>
  </si>
  <si>
    <t>TAG Begonia Nonstop Series 100/100 Hang Tag</t>
  </si>
  <si>
    <t>0611831495100</t>
  </si>
  <si>
    <t>TAG Begonia Nonstop Series 100/100 Pixie Tag</t>
  </si>
  <si>
    <t>0611831496100</t>
  </si>
  <si>
    <t>TAG Begonia Nonstop Sunset 100/100 Pixie Tag</t>
  </si>
  <si>
    <t>0611831497100</t>
  </si>
  <si>
    <t>TAG Begonia Nonstop White 100/100 Pixie Tag</t>
  </si>
  <si>
    <t>0611831499100</t>
  </si>
  <si>
    <t>TAG Begonia Nonstop Yellow 100/100 Pixie Tag</t>
  </si>
  <si>
    <t>0611831498100</t>
  </si>
  <si>
    <t>TAG Begonia Nonstop Yellow With Red Back 100/100 Pixie Tag</t>
  </si>
  <si>
    <t>0611831500100</t>
  </si>
  <si>
    <t>TAG Begonia Oh So Orange 100/100 Pixie Tag DO</t>
  </si>
  <si>
    <t>0611860646050</t>
  </si>
  <si>
    <t>TAG Begonia Oh So Orange 50/50 Petite Portrait DO FUL</t>
  </si>
  <si>
    <t>0611831501100</t>
  </si>
  <si>
    <t>TAG Begonia On Top Fandango 100/100 Pixie Tag</t>
  </si>
  <si>
    <t>0611831502100</t>
  </si>
  <si>
    <t>TAG Begonia On Top Melon Lace 100/100 Pixie Tag</t>
  </si>
  <si>
    <t>0611831503100</t>
  </si>
  <si>
    <t>TAG Begonia On Top Pink Halo 100/100 Pixie Tag</t>
  </si>
  <si>
    <t>0611884046100</t>
  </si>
  <si>
    <t>TAG Begonia On Top Polka Dot 100/100 Pixie Tag</t>
  </si>
  <si>
    <t>0611831504100</t>
  </si>
  <si>
    <t>TAG Begonia On Top Sun Glow 100/100 Pixie Tag</t>
  </si>
  <si>
    <t>0611831505100</t>
  </si>
  <si>
    <t>TAG Begonia On Top Sunset Shades 100/100 Pixie Tag</t>
  </si>
  <si>
    <t>0611884047100</t>
  </si>
  <si>
    <t>TAG Begonia On Top Surprise 100/100 Pixie Tag</t>
  </si>
  <si>
    <t>0611831506100</t>
  </si>
  <si>
    <t>TAG Begonia Orange Stone 100/100 Pixie Tag</t>
  </si>
  <si>
    <t>0611831507100</t>
  </si>
  <si>
    <t>TAG Begonia Peggy 100/100 Pixie Tag</t>
  </si>
  <si>
    <t>0611831508100</t>
  </si>
  <si>
    <t>TAG Begonia Pendula GENERIC 100/100 Pixie Tag</t>
  </si>
  <si>
    <t>0611831509100</t>
  </si>
  <si>
    <t>TAG Begonia Picotee Calypso 100/100 Pixie Tag</t>
  </si>
  <si>
    <t>0611831510100</t>
  </si>
  <si>
    <t>TAG Begonia Picotee Flamenco 100/100 Pixie Tag</t>
  </si>
  <si>
    <t>0611831511100</t>
  </si>
  <si>
    <t>TAG Begonia Picotee Lace Apricot 100/100 Pixie Tag</t>
  </si>
  <si>
    <t>0611831512100</t>
  </si>
  <si>
    <t>TAG Begonia Picotee Lace Pink 100/100 Pixie Tag</t>
  </si>
  <si>
    <t>0611831513100</t>
  </si>
  <si>
    <t>TAG Begonia Picotee Lace Red 100/100 Pixie Tag</t>
  </si>
  <si>
    <t>0611831514100</t>
  </si>
  <si>
    <t>TAG Begonia Picotee Sunburst 100/100 Pixie Tag</t>
  </si>
  <si>
    <t>0611831515100</t>
  </si>
  <si>
    <t>TAG Begonia Picotee White Pink 100/100 Pixie Tag</t>
  </si>
  <si>
    <t>0611831516100</t>
  </si>
  <si>
    <t>TAG Begonia Picotee White Red 100/100 Pixie Tag</t>
  </si>
  <si>
    <t>0611831518100</t>
  </si>
  <si>
    <t>TAG Begonia Pink GENERIC 100/100 Pixie Tag</t>
  </si>
  <si>
    <t>0611831522100</t>
  </si>
  <si>
    <t>TAG Begonia Pink GENERIC Bilingual 100/100 Pixie Tag</t>
  </si>
  <si>
    <t>0611831524100</t>
  </si>
  <si>
    <t>TAG Begonia Prelude Mix 100/100 Pixie Tag</t>
  </si>
  <si>
    <t>0611831525100</t>
  </si>
  <si>
    <t>TAG Begonia Prelude Pink 100/100 Pixie Tag</t>
  </si>
  <si>
    <t>0611831526100</t>
  </si>
  <si>
    <t>TAG Begonia Prelude Rose 100/100 Pixie Tag</t>
  </si>
  <si>
    <t>0611831527100</t>
  </si>
  <si>
    <t>TAG Begonia Prelude Scarlet 100/100 Pixie Tag</t>
  </si>
  <si>
    <t>0611831528100</t>
  </si>
  <si>
    <t>TAG Begonia Prelude White 100/100 Pixie Tag</t>
  </si>
  <si>
    <t>0611831539100</t>
  </si>
  <si>
    <t>TAG Begonia Rebecca 100/100 Pixie Tag</t>
  </si>
  <si>
    <t>0611831541100</t>
  </si>
  <si>
    <t>TAG Begonia Red GENERIC 100/100 Pixie Tag</t>
  </si>
  <si>
    <t>0611831542100</t>
  </si>
  <si>
    <t>TAG Begonia Red GENERIC Bilingual 100/100 Pixie Tag</t>
  </si>
  <si>
    <t>0611831544100</t>
  </si>
  <si>
    <t>TAG Begonia Reina XL 100/100 Pixie Tag</t>
  </si>
  <si>
    <t>0611831545100</t>
  </si>
  <si>
    <t>TAG Begonia Renate 100/100 Pixie Tag</t>
  </si>
  <si>
    <t>0611831546100</t>
  </si>
  <si>
    <t>TAG Begonia Revita 100/100 Pixie Tag</t>
  </si>
  <si>
    <t>0611831547100</t>
  </si>
  <si>
    <t>TAG Begonia Rex 100/100 Pixie Tag</t>
  </si>
  <si>
    <t>0611831549100</t>
  </si>
  <si>
    <t>TAG Begonia Rhodee Pink 100/100 Pixie Tag</t>
  </si>
  <si>
    <t>0611831550100</t>
  </si>
  <si>
    <t>TAG Begonia Richmondensis 100/100 Pixie Tag</t>
  </si>
  <si>
    <t>0611831551100</t>
  </si>
  <si>
    <t>TAG Begonia Rise Up Aloha Gold 100/100 Pixie Tag</t>
  </si>
  <si>
    <t>0611860647050</t>
  </si>
  <si>
    <t>TAG Begonia Rise Up Aloha Gold 50/50 Petite Portrait FUL</t>
  </si>
  <si>
    <t>0611884048100</t>
  </si>
  <si>
    <t>TAG Begonia Rise Up Series 100/100 Pixie Tag</t>
  </si>
  <si>
    <t>0611831563100</t>
  </si>
  <si>
    <t>TAG Begonia Rolinde 100/100 Pixie Tag</t>
  </si>
  <si>
    <t>0611831564100</t>
  </si>
  <si>
    <t>TAG Begonia Romance 100/100 Pixie Tag</t>
  </si>
  <si>
    <t>0611831565100</t>
  </si>
  <si>
    <t>TAG Begonia Roseform Peach 100/100 Pixie Tag</t>
  </si>
  <si>
    <t>0611831220100</t>
  </si>
  <si>
    <t>TAG Begonia Roseform Pink 100/100 Pixie Tag</t>
  </si>
  <si>
    <t>0611831221100</t>
  </si>
  <si>
    <t>TAG Begonia Roseform Red 100/100 Pixie Tag</t>
  </si>
  <si>
    <t>0611831222100</t>
  </si>
  <si>
    <t>TAG Begonia Roseform Rose 100/100 Pixie Tag</t>
  </si>
  <si>
    <t>0611831224100</t>
  </si>
  <si>
    <t>TAG Begonia Roseform Ruffled Rose 100/100 Pixie Tag</t>
  </si>
  <si>
    <t>0611831566100</t>
  </si>
  <si>
    <t>TAG Begonia Roseform Salmon 100/100 Pixie Tag</t>
  </si>
  <si>
    <t>0611831567100</t>
  </si>
  <si>
    <t>TAG Begonia Roseform Scarlet Orange 100/100 Pixie Tag</t>
  </si>
  <si>
    <t>0611831568100</t>
  </si>
  <si>
    <t>TAG Begonia Roseform White 100/100 Pixie Tag</t>
  </si>
  <si>
    <t>0611831223100</t>
  </si>
  <si>
    <t>TAG Begonia Roseform Yellow 100/100 Pixie Tag</t>
  </si>
  <si>
    <t>0611831569100</t>
  </si>
  <si>
    <t>TAG Begonia Ruffled Apricot 100/100 Pixie Tag</t>
  </si>
  <si>
    <t>0611831570100</t>
  </si>
  <si>
    <t>TAG Begonia Ruffled Coral Salmon 100/100 Pixie Tag</t>
  </si>
  <si>
    <t>0611831571100</t>
  </si>
  <si>
    <t>TAG Begonia Ruffled Mandarin Orange 100/100 Pixie Tag</t>
  </si>
  <si>
    <t>0611831572100</t>
  </si>
  <si>
    <t>TAG Begonia Ruffled Pink 100/100 Pixie Tag</t>
  </si>
  <si>
    <t>0611831573100</t>
  </si>
  <si>
    <t>TAG Begonia Ruffled Scarlet Red 100/100 Pixie Tag</t>
  </si>
  <si>
    <t>0611831574100</t>
  </si>
  <si>
    <t>TAG Begonia Ruffled White 100/100 Pixie Tag</t>
  </si>
  <si>
    <t>0611831575100</t>
  </si>
  <si>
    <t>TAG Begonia Ruffled Yellow 100/100 Pixie Tag</t>
  </si>
  <si>
    <t>0611831576100</t>
  </si>
  <si>
    <t>TAG Begonia Salmon GENERIC 100/100 Pixie Tag</t>
  </si>
  <si>
    <t>0611831578100</t>
  </si>
  <si>
    <t>TAG Begonia San Francisco 100/100 Pixie Tag</t>
  </si>
  <si>
    <t>0611831579100</t>
  </si>
  <si>
    <t>TAG Begonia Sandrine 100/100 Pixie Tag</t>
  </si>
  <si>
    <t>0611831580100</t>
  </si>
  <si>
    <t>TAG Begonia Santa Barbara 100/100 Pixie Tag</t>
  </si>
  <si>
    <t>0611831581100</t>
  </si>
  <si>
    <t>TAG Begonia Santa Cruz Sunset 100/100 Pixie Tag</t>
  </si>
  <si>
    <t>0611860648050</t>
  </si>
  <si>
    <t>TAG Begonia Scentiment Just Peachy 50/50 Petite Portrait FUL</t>
  </si>
  <si>
    <t>0611860649050</t>
  </si>
  <si>
    <t>TAG Begonia Scentiment Sunrise 50/50 Petite Portrait FUL</t>
  </si>
  <si>
    <t>0611831582100</t>
  </si>
  <si>
    <t>TAG Begonia Senator Deep Rose 100/100 Pixie Tag</t>
  </si>
  <si>
    <t>0611831583100</t>
  </si>
  <si>
    <t>TAG Begonia Senator IQ Deep Rose 100/100 Pixie Tag</t>
  </si>
  <si>
    <t>0611831584100</t>
  </si>
  <si>
    <t>TAG Begonia Senator IQ Mix 100/100 Pixie Tag</t>
  </si>
  <si>
    <t>0611831585100</t>
  </si>
  <si>
    <t>TAG Begonia Senator IQ Pink 100/100 Pixie Tag</t>
  </si>
  <si>
    <t>0611831586100</t>
  </si>
  <si>
    <t>TAG Begonia Senator IQ Rose 100/100 Pixie Tag</t>
  </si>
  <si>
    <t>0611831587100</t>
  </si>
  <si>
    <t>TAG Begonia Senator IQ Rose Bicolor 100/100 Pixie Tag</t>
  </si>
  <si>
    <t>0611831588100</t>
  </si>
  <si>
    <t>TAG Begonia Senator IQ Scarlet 100/100 Pixie Tag</t>
  </si>
  <si>
    <t>0611831589100</t>
  </si>
  <si>
    <t>TAG Begonia Senator IQ White 100/100 Pixie Tag</t>
  </si>
  <si>
    <t>0611831590100</t>
  </si>
  <si>
    <t>TAG Begonia Senator Mix 100/100 Pixie Tag</t>
  </si>
  <si>
    <t>0611831591100</t>
  </si>
  <si>
    <t>TAG Begonia Senator Pink 100/100 Pixie Tag</t>
  </si>
  <si>
    <t>0611831592100</t>
  </si>
  <si>
    <t>TAG Begonia Senator Rose 100/100 Pixie Tag</t>
  </si>
  <si>
    <t>0611831593100</t>
  </si>
  <si>
    <t>TAG Begonia Senator Scarlet 100/100 Pixie Tag</t>
  </si>
  <si>
    <t>0611831594100</t>
  </si>
  <si>
    <t>TAG Begonia Senator White 100/100 Pixie Tag</t>
  </si>
  <si>
    <t>0611831595100</t>
  </si>
  <si>
    <t>TAG Begonia Shadow King Black Cherry 100/100 Pixie Tag</t>
  </si>
  <si>
    <t>0611831596100</t>
  </si>
  <si>
    <t>TAG Begonia Shadow King Cherry Mint 100/100 Pixie Tag</t>
  </si>
  <si>
    <t>0611831597100</t>
  </si>
  <si>
    <t>TAG Begonia Shadow King Lava Red 100/100 Pixie Tag</t>
  </si>
  <si>
    <t>0611831598100</t>
  </si>
  <si>
    <t>TAG Begonia Shadow King Rose Frost 100/100 Pixie Tag</t>
  </si>
  <si>
    <t>0611884049100</t>
  </si>
  <si>
    <t>TAG Begonia Shadow King Series 100/100 Pixie Tag</t>
  </si>
  <si>
    <t>0611831599100</t>
  </si>
  <si>
    <t>TAG Begonia Shadow King Wintergreen 100/100 Pixie Tag</t>
  </si>
  <si>
    <t>0611860650050</t>
  </si>
  <si>
    <t>TAG Begonia Solenia Apricot 50/50 Petite Portrait FUL</t>
  </si>
  <si>
    <t>0611860651050</t>
  </si>
  <si>
    <t>TAG Begonia Solenia Cherry 50/50 Petite Portrait FUL</t>
  </si>
  <si>
    <t>0611831605100</t>
  </si>
  <si>
    <t>TAG Begonia Solenia Chocolate Orange 100/100 Pixie Tag</t>
  </si>
  <si>
    <t>0611860652050</t>
  </si>
  <si>
    <t>TAG Begonia Solenia Dark Pink 50/50 Petite Portrait FUL</t>
  </si>
  <si>
    <t>0611860653050</t>
  </si>
  <si>
    <t>TAG Begonia Solenia Deep Orange 50/50 Petite Portrait FUL</t>
  </si>
  <si>
    <t>0611860654050</t>
  </si>
  <si>
    <t>TAG Begonia Solenia Dusty Rose 50/50 Petite Portrait FUL</t>
  </si>
  <si>
    <t>0611860655050</t>
  </si>
  <si>
    <t>TAG Begonia Solenia Light Pink 50/50 Petite Portrait FUL</t>
  </si>
  <si>
    <t>0611860656050</t>
  </si>
  <si>
    <t>TAG Begonia Solenia Light Yellow 50/50 Petite Portrait FUL</t>
  </si>
  <si>
    <t>0611860657050</t>
  </si>
  <si>
    <t>TAG Begonia Solenia Orange 50/50 Petite Portrait FUL</t>
  </si>
  <si>
    <t>0611860658050</t>
  </si>
  <si>
    <t>TAG Begonia Solenia Red 50/50 Petite Portrait FUL</t>
  </si>
  <si>
    <t>0611831607100</t>
  </si>
  <si>
    <t>TAG Begonia Solenia Red Orange 100/100 Pixie Tag</t>
  </si>
  <si>
    <t>0611860659050</t>
  </si>
  <si>
    <t>TAG Begonia Solenia Red Orange 50/50 Petite Portrait FUL</t>
  </si>
  <si>
    <t>0611860660050</t>
  </si>
  <si>
    <t>TAG Begonia Solenia Red Velvet 50/50 Petite Portrait FUL</t>
  </si>
  <si>
    <t>0611860661050</t>
  </si>
  <si>
    <t>TAG Begonia Solenia Salmon Coral 50/50 Petite Portrait FUL</t>
  </si>
  <si>
    <t>0611831608100</t>
  </si>
  <si>
    <t>TAG Begonia Solenia Scarlet 100/100 Pixie Tag</t>
  </si>
  <si>
    <t>0611831609100</t>
  </si>
  <si>
    <t>TAG Begonia Solenia Yellow 100/100 Pixie Tag</t>
  </si>
  <si>
    <t>0611860662050</t>
  </si>
  <si>
    <t>TAG Begonia Spring Fling Buttercup 50/50 Petite Portrait FUL</t>
  </si>
  <si>
    <t>0611860663050</t>
  </si>
  <si>
    <t>TAG Begonia Spring Fling Pink 50/50 Petite Portrait FUL</t>
  </si>
  <si>
    <t>0611831612100</t>
  </si>
  <si>
    <t>TAG Begonia Sprint Mix 100/100 Pixie Tag</t>
  </si>
  <si>
    <t>0611831615100</t>
  </si>
  <si>
    <t>TAG Begonia Sprint Plus Lipstick 100/100 Pixie Tag</t>
  </si>
  <si>
    <t>0611831616100</t>
  </si>
  <si>
    <t>TAG Begonia Sprint Plus Mix 100/100 Pixie Tag</t>
  </si>
  <si>
    <t>0611831617100</t>
  </si>
  <si>
    <t>TAG Begonia Sprint Plus Orange 100/100 Pixie Tag</t>
  </si>
  <si>
    <t>0611831619100</t>
  </si>
  <si>
    <t>TAG Begonia Sprint Plus Pink 100/100 Pixie Tag</t>
  </si>
  <si>
    <t>0611831620100</t>
  </si>
  <si>
    <t>TAG Begonia Sprint Plus Red 100/100 Pixie Tag</t>
  </si>
  <si>
    <t>0611831621100</t>
  </si>
  <si>
    <t>TAG Begonia Sprint Plus Rose 100/100 Pixie Tag</t>
  </si>
  <si>
    <t>0611831622100</t>
  </si>
  <si>
    <t>TAG Begonia Sprint Plus White 100/100 Pixie Tag</t>
  </si>
  <si>
    <t>0611884050100</t>
  </si>
  <si>
    <t>TAG Begonia Stonehedge Bronze Leaf Light Pink 100/100 Pixie Tag</t>
  </si>
  <si>
    <t>0611884051100</t>
  </si>
  <si>
    <t>TAG Begonia Stonehedge Bronze Leaf Rose 100/100 Pixie Tag</t>
  </si>
  <si>
    <t>0611831636100</t>
  </si>
  <si>
    <t>TAG Begonia Summerwings Series 100/100 Pixie Tag</t>
  </si>
  <si>
    <t>0611831638100</t>
  </si>
  <si>
    <t>TAG Begonia Sun Cities Mix 100/100 Pixie Tag</t>
  </si>
  <si>
    <t>0611831640100</t>
  </si>
  <si>
    <t>TAG Begonia Sun Dancer Apricot 100/100 Pixie Tag</t>
  </si>
  <si>
    <t>0611831641100</t>
  </si>
  <si>
    <t>TAG Begonia Sun Dancer Pink 100/100 Pixie Tag</t>
  </si>
  <si>
    <t>0611831642100</t>
  </si>
  <si>
    <t>TAG Begonia Sun Dancer Red 100/100 Pixie Tag</t>
  </si>
  <si>
    <t>0611831643100</t>
  </si>
  <si>
    <t>TAG Begonia Sun Dancer Salmon 100/100 Pixie Tag</t>
  </si>
  <si>
    <t>0611831644100</t>
  </si>
  <si>
    <t>TAG Begonia Sun Dancer Scarlet Orange 100/100 Pixie Tag</t>
  </si>
  <si>
    <t>0611831645100</t>
  </si>
  <si>
    <t>TAG Begonia Sun Dancer White 100/100 Pixie Tag</t>
  </si>
  <si>
    <t>0611831639100</t>
  </si>
  <si>
    <t>TAG Begonia Sun Dancer White Pink Picotee 100/100 Pixie Tag</t>
  </si>
  <si>
    <t>0611831646100</t>
  </si>
  <si>
    <t>TAG Begonia Sun Dancer Yellow 100/100 Pixie Tag</t>
  </si>
  <si>
    <t>0611831604100</t>
  </si>
  <si>
    <t>TAG Begonia Sun Dancer Yellow Red Picotee 100/100 Pixie Tag</t>
  </si>
  <si>
    <t>0611831647100</t>
  </si>
  <si>
    <t>TAG Begonia Super Cool Blush Bicolor 100/100 Pixie Tag</t>
  </si>
  <si>
    <t>0611884052100</t>
  </si>
  <si>
    <t>TAG Begonia Super Cool Lipstick 100/100 Pixie Tag</t>
  </si>
  <si>
    <t>0611831648100</t>
  </si>
  <si>
    <t>TAG Begonia Super Cool Mix 100/100 Pixie Tag</t>
  </si>
  <si>
    <t>0611831649100</t>
  </si>
  <si>
    <t>TAG Begonia Super Cool Pink 100/100 Pixie Tag</t>
  </si>
  <si>
    <t>0611831650100</t>
  </si>
  <si>
    <t>TAG Begonia Super Cool Red 100/100 Pixie Tag</t>
  </si>
  <si>
    <t>0611831651100</t>
  </si>
  <si>
    <t>TAG Begonia Super Cool White 100/100 Pixie Tag</t>
  </si>
  <si>
    <t>0611831652100</t>
  </si>
  <si>
    <t>TAG Begonia Super Olympia Bicolor 100/100 Pixie Tag</t>
  </si>
  <si>
    <t>0611831653100</t>
  </si>
  <si>
    <t>TAG Begonia Super Olympia Mix 100/100 Pixie Tag</t>
  </si>
  <si>
    <t>0611831654100</t>
  </si>
  <si>
    <t>TAG Begonia Super Olympia Pink 100/100 Pixie Tag</t>
  </si>
  <si>
    <t>0611831655100</t>
  </si>
  <si>
    <t>TAG Begonia Super Olympia Red 100/100 Pixie Tag</t>
  </si>
  <si>
    <t>0611831656100</t>
  </si>
  <si>
    <t>TAG Begonia Super Olympia Rose 100/100 Pixie Tag</t>
  </si>
  <si>
    <t>0611831657100</t>
  </si>
  <si>
    <t>TAG Begonia Super Olympia White 100/100 Pixie Tag</t>
  </si>
  <si>
    <t>0611831658100</t>
  </si>
  <si>
    <t>TAG Begonia Sweetheart Mix 100/100 Pixie Tag</t>
  </si>
  <si>
    <t>0611831660100</t>
  </si>
  <si>
    <t>TAG Begonia Sweetheart Red 100/100 Pixie Tag</t>
  </si>
  <si>
    <t>0611831661100</t>
  </si>
  <si>
    <t>TAG Begonia Sweetheart Rose 100/100 Pixie Tag</t>
  </si>
  <si>
    <t>0611831662100</t>
  </si>
  <si>
    <t>TAG Begonia Sweetheart White 100/100 Pixie Tag</t>
  </si>
  <si>
    <t>0611831663100</t>
  </si>
  <si>
    <t>TAG Begonia Tophat Pink 100/100 Pixie Tag SF</t>
  </si>
  <si>
    <t>0611831664100</t>
  </si>
  <si>
    <t>TAG Begonia Tophat Rose Bicolor With Green Leaf 100/100 Pixie Tag SF</t>
  </si>
  <si>
    <t>0611831665100</t>
  </si>
  <si>
    <t>TAG Begonia Tophat Scarlet 100/100 Pixie Tag SF</t>
  </si>
  <si>
    <t>0611831666100</t>
  </si>
  <si>
    <t>TAG Begonia Tophat White 100/100 Pixie Tag SF</t>
  </si>
  <si>
    <t>0611831667100</t>
  </si>
  <si>
    <t>TAG Begonia Topspin Mix 100/100 Pixie Tag SF</t>
  </si>
  <si>
    <t>0611831668100</t>
  </si>
  <si>
    <t>TAG Begonia Topspin Pink 100/100 Pixie Tag SF</t>
  </si>
  <si>
    <t>0611831669100</t>
  </si>
  <si>
    <t>TAG Begonia Topspin Rose 100/100 Pixie Tag SF</t>
  </si>
  <si>
    <t>0611831670100</t>
  </si>
  <si>
    <t>TAG Begonia Topspin Scarlet 100/100 Pixie Tag SF</t>
  </si>
  <si>
    <t>0611831671100</t>
  </si>
  <si>
    <t>TAG Begonia Topspin White 100/100 Pixie Tag SF</t>
  </si>
  <si>
    <t>0611831672100</t>
  </si>
  <si>
    <t>TAG Begonia Type GENERIC 100/100 Pixie Tag</t>
  </si>
  <si>
    <t>0611860664050</t>
  </si>
  <si>
    <t>TAG Begonia Unbelievable Miss Montreal 50/50 Petite Portrait FUL</t>
  </si>
  <si>
    <t>0611860665050</t>
  </si>
  <si>
    <t>TAG Begonia Unbelievable Red 50/50 Petite Portrait FUL</t>
  </si>
  <si>
    <t>0611860666050</t>
  </si>
  <si>
    <t>TAG Begonia Unstoppable Upright Fire 50/50 Petite Portrait FUL</t>
  </si>
  <si>
    <t>0611831673100</t>
  </si>
  <si>
    <t>TAG Begonia Valentine Mix 100/100 Pixie Tag</t>
  </si>
  <si>
    <t>0611831674100</t>
  </si>
  <si>
    <t>TAG Begonia Valentine Pink Candy 100/100 Pixie Tag</t>
  </si>
  <si>
    <t>0611831675100</t>
  </si>
  <si>
    <t>TAG Begonia Valentine Red Hearts 100/100 Pixie Tag</t>
  </si>
  <si>
    <t>0611860667050</t>
  </si>
  <si>
    <t>TAG Begonia Valentine Red Rhine 50/50 Petite Portrait DO FUL</t>
  </si>
  <si>
    <t>0611831676100</t>
  </si>
  <si>
    <t>TAG Begonia Valentine Rose 100/100 Pixie Tag</t>
  </si>
  <si>
    <t>0611831677100</t>
  </si>
  <si>
    <t>TAG Begonia Valentine White Lace 100/100 Pixie Tag</t>
  </si>
  <si>
    <t>0611831678100</t>
  </si>
  <si>
    <t>TAG Begonia Valentino Pink 100/100 Pixie Tag</t>
  </si>
  <si>
    <t>0611831679100</t>
  </si>
  <si>
    <t>TAG Begonia Valentino White 100/100 Pixie Tag</t>
  </si>
  <si>
    <t>0611831682100</t>
  </si>
  <si>
    <t>TAG Begonia Vermillion Hot Pink 100/100 Pixie Tag</t>
  </si>
  <si>
    <t>0611831683100</t>
  </si>
  <si>
    <t>TAG Begonia Vermillion Red 100/100 Pixie Tag</t>
  </si>
  <si>
    <t>0611831684100</t>
  </si>
  <si>
    <t>TAG Begonia Veronica 100/100 Pixie Tag</t>
  </si>
  <si>
    <t>0611860668050</t>
  </si>
  <si>
    <t>TAG Begonia Veronica Rhine 50/50 Petite Portrait FUL</t>
  </si>
  <si>
    <t>0611831686100</t>
  </si>
  <si>
    <t>TAG Begonia Viking Coral Flame On Brnz 100/100 Pixie Tag</t>
  </si>
  <si>
    <t>0611831685100</t>
  </si>
  <si>
    <t>TAG Begonia Viking Coral Flame On Green 100/100 Pixie Tag</t>
  </si>
  <si>
    <t>0611831688100</t>
  </si>
  <si>
    <t>TAG Begonia Viking Pink On Chocolate 100/100 Pixie Tag</t>
  </si>
  <si>
    <t>0611831687100</t>
  </si>
  <si>
    <t>TAG Begonia Viking Pink On Green 100/100 Pixie Tag</t>
  </si>
  <si>
    <t>0611831690100</t>
  </si>
  <si>
    <t>TAG Begonia Viking Red On Bronze 100/100 Pixie Tag</t>
  </si>
  <si>
    <t>0611831691100</t>
  </si>
  <si>
    <t>TAG Begonia Viking Red On Chocolate 100/100 Pixie Tag</t>
  </si>
  <si>
    <t>0611831689100</t>
  </si>
  <si>
    <t>TAG Begonia Viking Red On Green 100/100 Pixie Tag</t>
  </si>
  <si>
    <t>0611831692100</t>
  </si>
  <si>
    <t>0611831693100</t>
  </si>
  <si>
    <t>TAG Begonia Viking Rose On Bronze 100/100 Pixie Tag</t>
  </si>
  <si>
    <t>0611831694100</t>
  </si>
  <si>
    <t>TAG Begonia Viking Rose On Green 100/100 Pixie Tag</t>
  </si>
  <si>
    <t>0611831695100</t>
  </si>
  <si>
    <t>TAG Begonia Viking XL Pink On Green 100/100 Pixie Tag</t>
  </si>
  <si>
    <t>0611831696100</t>
  </si>
  <si>
    <t>TAG Begonia Viking XL Red On Chocolate 100/100 Pixie Tag</t>
  </si>
  <si>
    <t>0611831697100</t>
  </si>
  <si>
    <t>TAG Begonia Viking XL Red On Green 100/100 Pixie Tag</t>
  </si>
  <si>
    <t>0611831698100</t>
  </si>
  <si>
    <t>TAG Begonia Viking XL Rose On Green 100/100 Pixie Tag</t>
  </si>
  <si>
    <t>0611831699100</t>
  </si>
  <si>
    <t>TAG Begonia Volumia Pink 100/100 Pixie Tag SF</t>
  </si>
  <si>
    <t>0611831700100</t>
  </si>
  <si>
    <t>TAG Begonia Volumia Rose Bicolor 100/100 Pixie Tag SF</t>
  </si>
  <si>
    <t>0611831701100</t>
  </si>
  <si>
    <t>TAG Begonia Volumia Scarlet 100/100 Pixie Tag SF</t>
  </si>
  <si>
    <t>0611831702100</t>
  </si>
  <si>
    <t>TAG Begonia Volumia White 100/100 Pixie Tag SF</t>
  </si>
  <si>
    <t>0611831703100</t>
  </si>
  <si>
    <t>TAG Begonia Waterfalls Angel Champagne 100/100 Pixie Tag</t>
  </si>
  <si>
    <t>0611831704100</t>
  </si>
  <si>
    <t>TAG Begonia Waterfalls Angel Soft Orange 100/100 Pixie Tag</t>
  </si>
  <si>
    <t>0611831705100</t>
  </si>
  <si>
    <t>TAG Begonia Waterfalls Angel Soft Pink 100/100 Pixie Tag</t>
  </si>
  <si>
    <t>0611856839100</t>
  </si>
  <si>
    <t>TAG Begonia Waterfalls Bicolor 22 100/100 Pixie Tag</t>
  </si>
  <si>
    <t>0611831706100</t>
  </si>
  <si>
    <t>TAG Begonia Waterfalls Encanto Orangeß 100/100 Pixie Tag</t>
  </si>
  <si>
    <t>0611831707100</t>
  </si>
  <si>
    <t>TAG Begonia Waterfalls Encanto Pink 100/100 Pixie Tag</t>
  </si>
  <si>
    <t>0611831708100</t>
  </si>
  <si>
    <t>TAG Begonia Waterfalls Encanto Red 100/100 Pixie Tag</t>
  </si>
  <si>
    <t>0611831709100</t>
  </si>
  <si>
    <t>TAG Begonia Waterfalls Encanto White 100/100 Pixie Tag</t>
  </si>
  <si>
    <t>0611831710100</t>
  </si>
  <si>
    <t>TAG Begonia Wax Begonia GENERIC 100/100 Hang Tag</t>
  </si>
  <si>
    <t>0611831712100</t>
  </si>
  <si>
    <t>TAG Begonia White GENERIC 100/100 Pixie Tag</t>
  </si>
  <si>
    <t>0611831711100</t>
  </si>
  <si>
    <t>TAG Begonia White GENERIC Bilingual 100/100 Pixie Tag</t>
  </si>
  <si>
    <t>0611831713100</t>
  </si>
  <si>
    <t>TAG Begonia Whopper Bronze Leaf Red 100/100 Pixie Tag</t>
  </si>
  <si>
    <t>0611831714100</t>
  </si>
  <si>
    <t>TAG Begonia Whopper Bronze Leaf Rose 100/100 Pixie Tag</t>
  </si>
  <si>
    <t>0611831715100</t>
  </si>
  <si>
    <t>TAG Begonia Whopper Green Leaf Red 100/100 Pixie Tag</t>
  </si>
  <si>
    <t>0611831716100</t>
  </si>
  <si>
    <t>TAG Begonia Whopper Green Leaf Rose 100/100 Pixie Tag</t>
  </si>
  <si>
    <t>0611831720100</t>
  </si>
  <si>
    <t>TAG Begonia Yellow GENERIC 100/100 Pixie Tag</t>
  </si>
  <si>
    <t>0611831721100</t>
  </si>
  <si>
    <t>TAG Begonia Yellow Stone 100/100 Pixie Tag</t>
  </si>
  <si>
    <t>0611831724025</t>
  </si>
  <si>
    <t>TAG Belamcanda Blackberry Lily GENERIC Chinensis 25/25 Portrait Tag</t>
  </si>
  <si>
    <t>0611831725025</t>
  </si>
  <si>
    <t>TAG Bellis Bam Bam Mix 25/25 Portrait Tag SF</t>
  </si>
  <si>
    <t>0611831726025</t>
  </si>
  <si>
    <t>TAG Bellis Bam Bam Red 25/25 Portrait Tag SF</t>
  </si>
  <si>
    <t>0611831727025</t>
  </si>
  <si>
    <t>TAG Bellis Bam Bam Rose 25/25 Portrait Tag SF</t>
  </si>
  <si>
    <t>0611831728025</t>
  </si>
  <si>
    <t>TAG Bellis BellaDaisy Series 25/25 Portrait Tag</t>
  </si>
  <si>
    <t>0611831729025</t>
  </si>
  <si>
    <t>TAG Bellis Bellissima Mix 25/25 Portrait Tag</t>
  </si>
  <si>
    <t>0611831730025</t>
  </si>
  <si>
    <t>TAG Bellis Bellissima Red 25/25 Portrait Tag</t>
  </si>
  <si>
    <t>0611831731025</t>
  </si>
  <si>
    <t>TAG Bellis Bellissima Rose 25/25 Portrait Tag</t>
  </si>
  <si>
    <t>0611831733025</t>
  </si>
  <si>
    <t>TAG Bellis Bellissima White 25/25 Portrait Tag</t>
  </si>
  <si>
    <t>0611831734100</t>
  </si>
  <si>
    <t>TAG Bellis English Daisy GENERIC 100/100 Pixie Tag</t>
  </si>
  <si>
    <t>0611831735025</t>
  </si>
  <si>
    <t>TAG Bellis English Daisy GENERIC 25/25 Portrait Tag</t>
  </si>
  <si>
    <t>0611831736100</t>
  </si>
  <si>
    <t>TAG Bellis Galaxy Mix 100/100 Pixie Tag</t>
  </si>
  <si>
    <t>0611831737025</t>
  </si>
  <si>
    <t>TAG Bellis Galaxy Mix 25/25 Portrait Tag</t>
  </si>
  <si>
    <t>0611831740100</t>
  </si>
  <si>
    <t>TAG Bellis Habanera Mix 100/100 Pixie Tag</t>
  </si>
  <si>
    <t>0611831741025</t>
  </si>
  <si>
    <t>TAG Bellis Habanera Mix 25/25 Portrait Tag</t>
  </si>
  <si>
    <t>0611831742025</t>
  </si>
  <si>
    <t>TAG Bellis Pomponette Mix 25/25 Portrait Tag</t>
  </si>
  <si>
    <t>0611831743025</t>
  </si>
  <si>
    <t>TAG Bellis Speedstar Series 25/25 Portrait Tag</t>
  </si>
  <si>
    <t>0611831744025</t>
  </si>
  <si>
    <t>TAG Bellis Tasso Mix 25/25 Portrait Tag</t>
  </si>
  <si>
    <t>0611831745025</t>
  </si>
  <si>
    <t>TAG Bellis Tasso Strawberries N Cream 25/25 Portrait Tag</t>
  </si>
  <si>
    <t>0611831746025</t>
  </si>
  <si>
    <t>TAG Bergenia Heartleaf GENERIC 25/25 Portrait Tag</t>
  </si>
  <si>
    <t>0611831747025</t>
  </si>
  <si>
    <t>TAG Bergenia Red Beauty 25/25 Portrait Tag</t>
  </si>
  <si>
    <t>0611831748025</t>
  </si>
  <si>
    <t>TAG Bergenia Shoeshine Rose 25/25 Portrait Tag SF</t>
  </si>
  <si>
    <t>0611831749025</t>
  </si>
  <si>
    <t>TAG Bergenia Winterglut 25/25 Portrait Tag</t>
  </si>
  <si>
    <t>0611831763100</t>
  </si>
  <si>
    <t>TAG Bidens Bee Series 100/100 Pixie Tag</t>
  </si>
  <si>
    <t>0611831766100</t>
  </si>
  <si>
    <t>TAG Bidens Bee Yellow Crown 100/100 Pixie Tag</t>
  </si>
  <si>
    <t>0611860669050</t>
  </si>
  <si>
    <t>TAG Bidens Bidy Blaze 50/50 Petite Portrait DO FUL</t>
  </si>
  <si>
    <t>0611860670050</t>
  </si>
  <si>
    <t>TAG Bidens Bidy Boom Bonfire 50/50 Petite Portrait DO FUL</t>
  </si>
  <si>
    <t>0611860671050</t>
  </si>
  <si>
    <t>TAG Bidens Bidy Boom Red 50/50 Petite Portrait DO FUL</t>
  </si>
  <si>
    <t>0611860672050</t>
  </si>
  <si>
    <t>TAG Bidens Bidy Gonzales 50/50 Petite Portrait DO FUL</t>
  </si>
  <si>
    <t>0611860673050</t>
  </si>
  <si>
    <t>TAG Bidens Bidy Gonzales Big 50/50 Petite Portrait DO FUL</t>
  </si>
  <si>
    <t>0611860674050</t>
  </si>
  <si>
    <t>TAG Bidens Bidy Gonzales Top 50/50 Petite Portrait DO FUL</t>
  </si>
  <si>
    <t>0611860675050</t>
  </si>
  <si>
    <t>TAG Bidens Bidy Gonzales Trailing 50/50 Petite Portrait DO FUL</t>
  </si>
  <si>
    <t>0611860676050</t>
  </si>
  <si>
    <t>TAG Bidens Bidy Wildfire 50/50 Petite Portrait DO FUL</t>
  </si>
  <si>
    <t>0611831768100</t>
  </si>
  <si>
    <t>TAG Bidens Blazing Embers 100/100 Pixie Tag DO</t>
  </si>
  <si>
    <t>0611831769100</t>
  </si>
  <si>
    <t>TAG Bidens Blazing Fire 100/100 Pixie Tag DO</t>
  </si>
  <si>
    <t>0611831770100</t>
  </si>
  <si>
    <t>TAG Bidens Blazing Glory 100/100 Pixie Tag DO</t>
  </si>
  <si>
    <t>0611884054100</t>
  </si>
  <si>
    <t>TAG Bidens Blazing Star 100/100 Pixie Tag DO</t>
  </si>
  <si>
    <t>0611860677050</t>
  </si>
  <si>
    <t>TAG Bidens Brazen Eternal Flame 50/50 Petite Portrait SF FUL</t>
  </si>
  <si>
    <t>0611884055050</t>
  </si>
  <si>
    <t>TAG Bidens Brazen Glowing Sky 50/50 Petite Portrait SF FUL</t>
  </si>
  <si>
    <t>0611860698050</t>
  </si>
  <si>
    <t>TAG Bidens Brazen Happy Sun 50/50 Petite Portrait FUL</t>
  </si>
  <si>
    <t>0611860678050</t>
  </si>
  <si>
    <t>TAG Bidens Brazen Imperial Luck 50/50 Petite Portrait SF FUL</t>
  </si>
  <si>
    <t>0611860699050</t>
  </si>
  <si>
    <t>TAG Bidens Brazen Red Flare 50/50 Petite Portrait FUL</t>
  </si>
  <si>
    <t>0611860679050</t>
  </si>
  <si>
    <t>TAG Bidens Brazen Rising Sun 50/50 Petite Portrait SF FUL</t>
  </si>
  <si>
    <t>0611860680050</t>
  </si>
  <si>
    <t>TAG Bidens Brazen Samurai 50/50 Petite Portrait SF FUL</t>
  </si>
  <si>
    <t>0611856840100</t>
  </si>
  <si>
    <t>TAG Bidens Doubloon Gold 100/100 Pixie Tag</t>
  </si>
  <si>
    <t>0611856841100</t>
  </si>
  <si>
    <t>TAG Bidens Doubloon Red Bicolor 100/100 Pixie Tag</t>
  </si>
  <si>
    <t>0611831771100</t>
  </si>
  <si>
    <t>TAG Bidens Giant Double 100/100 Pixie Tag</t>
  </si>
  <si>
    <t>0611831773100</t>
  </si>
  <si>
    <t>TAG Bidens Giant Sun Francisco 100/100 Pixie Tag</t>
  </si>
  <si>
    <t>0611831774100</t>
  </si>
  <si>
    <t>TAG Bidens Giant Sun Louis 100/100 Pixie Tag</t>
  </si>
  <si>
    <t>0611831775100</t>
  </si>
  <si>
    <t>TAG Bidens Giant White 100/100 Pixie Tag</t>
  </si>
  <si>
    <t>0611831776100</t>
  </si>
  <si>
    <t>TAG Bidens Golden Empire 100/100 Pixie Tag</t>
  </si>
  <si>
    <t>0611831777100</t>
  </si>
  <si>
    <t>TAG Bidens Mega Charm 100/100 Pixie Tag</t>
  </si>
  <si>
    <t>0611860681050</t>
  </si>
  <si>
    <t>TAG Bidens Mexican Gold 50/50 Petite Portrait SF FUL</t>
  </si>
  <si>
    <t>0611860682050</t>
  </si>
  <si>
    <t>TAG Bidens Mexican Gold Compact 50/50 Petite Portrait SF FUL</t>
  </si>
  <si>
    <t>0611860683050</t>
  </si>
  <si>
    <t>TAG Bidens Mexican Gold Jumbo 50/50 Petite Portrait SF FUL</t>
  </si>
  <si>
    <t>0611860684050</t>
  </si>
  <si>
    <t>TAG Bidens Mexican Gold Semi DO FULuble 50/50 Petite Portrait SF FUL</t>
  </si>
  <si>
    <t>0611831778100</t>
  </si>
  <si>
    <t>TAG Bidens Pop Star 100/100 Pixie Tag</t>
  </si>
  <si>
    <t>0611831779100</t>
  </si>
  <si>
    <t>TAG Bidens Pretty In Pink 100/100 Pixie Tag</t>
  </si>
  <si>
    <t>0611831780100</t>
  </si>
  <si>
    <t>TAG Bidens Red GENERIC 100/100 Pixie Tag</t>
  </si>
  <si>
    <t>0611860685050</t>
  </si>
  <si>
    <t>TAG Bidens Stellar Blanco 50/50 Petite Portrait FUL</t>
  </si>
  <si>
    <t>0611860686050</t>
  </si>
  <si>
    <t>TAG Bidens Stellar Orange Ring 50/50 Petite Portrait FUL</t>
  </si>
  <si>
    <t>0611860687050</t>
  </si>
  <si>
    <t>TAG Bidens Stellar Orange Star 50/50 Petite Portrait FUL</t>
  </si>
  <si>
    <t>0611860688050</t>
  </si>
  <si>
    <t>TAG Bidens Stellar Red Ring 50/50 Petite Portrait FUL</t>
  </si>
  <si>
    <t>0611831781100</t>
  </si>
  <si>
    <t>TAG Bidens Stellar Series 100/100 Pixie Tag</t>
  </si>
  <si>
    <t>0611856842100</t>
  </si>
  <si>
    <t>TAG Bidens Sunshine Double 100/100 Pixie Tag</t>
  </si>
  <si>
    <t>0611831767100</t>
  </si>
  <si>
    <t>TAG Bidens Tickseed 100/100 Pixie Tag</t>
  </si>
  <si>
    <t>0611831782100</t>
  </si>
  <si>
    <t>TAG Bidens White Delight 100/100 Pixie Tag</t>
  </si>
  <si>
    <t>0611831783100</t>
  </si>
  <si>
    <t>TAG Bidens Yellow Charm 100/100 Pixie Tag</t>
  </si>
  <si>
    <t>0611831784100</t>
  </si>
  <si>
    <t>TAG Bidens Yellow Crown 100/100 Pixie Tag</t>
  </si>
  <si>
    <t>0611831785100</t>
  </si>
  <si>
    <t>TAG Bidens Yellow GENERIC 100/100 Pixie Tag</t>
  </si>
  <si>
    <t>0611831786100</t>
  </si>
  <si>
    <t>TAG Bidens Yellow Splash 100/100 Pixie Tag</t>
  </si>
  <si>
    <t>0611831787100</t>
  </si>
  <si>
    <t>TAG Bidens Yellow Sunshine 100/100 Pixie Tag</t>
  </si>
  <si>
    <t>0611839511100</t>
  </si>
  <si>
    <t>TAG Blank Tags Hang N Tag 100/100 Hang Tag</t>
  </si>
  <si>
    <t>0611839512100</t>
  </si>
  <si>
    <t>TAG Blank Tags Pixie 100/100 Pixie Tag</t>
  </si>
  <si>
    <t>0611839513025</t>
  </si>
  <si>
    <t>TAG Blank Tags Portrait 25/25 Portrait Tag</t>
  </si>
  <si>
    <t>0611839897025</t>
  </si>
  <si>
    <t>TAG Blueberry GENERIC 25/25 Portrait Tag</t>
  </si>
  <si>
    <t>0611831788100</t>
  </si>
  <si>
    <t>TAG Bonsai GENERIC 100/100 Pixie Tag</t>
  </si>
  <si>
    <t>0611831789100</t>
  </si>
  <si>
    <t>TAG Borage 100/100 Pixie Tag</t>
  </si>
  <si>
    <t>0611884056025</t>
  </si>
  <si>
    <t>TAG Borage Blue 25/25 Portrait Tag</t>
  </si>
  <si>
    <t>0611831790100</t>
  </si>
  <si>
    <t>TAG Bougainvillea GENERIC 100/100 Hang Tag</t>
  </si>
  <si>
    <t>0611831791100</t>
  </si>
  <si>
    <t>TAG Bougainvillea GENERIC 100/100 Pixie Tag</t>
  </si>
  <si>
    <t>0611856843100</t>
  </si>
  <si>
    <t>TAG Bougainvillea GENERIC LG0850 100/100 Pixie Tag</t>
  </si>
  <si>
    <t>0611831794100</t>
  </si>
  <si>
    <t>TAG Brachyscome Blue GENERIC 100/100 Pixie Tag</t>
  </si>
  <si>
    <t>0611831795100</t>
  </si>
  <si>
    <t>TAG Brachyscome Brasco Violet 100/100 Pixie Tag</t>
  </si>
  <si>
    <t>0611831796100</t>
  </si>
  <si>
    <t>TAG Brachyscome Fresco Candy 100/100 Pixie Tag</t>
  </si>
  <si>
    <t>0611831797100</t>
  </si>
  <si>
    <t>TAG Brachyscome Fresco Purple 100/100 Pixie Tag</t>
  </si>
  <si>
    <t>0611831799100</t>
  </si>
  <si>
    <t>TAG Brachyscome Mauve Delight 100/100 Pixie Tag</t>
  </si>
  <si>
    <t>0611860689050</t>
  </si>
  <si>
    <t>TAG Brachyscome Mauve Delight 50/50 Petite Portrait FUL</t>
  </si>
  <si>
    <t>0611831800100</t>
  </si>
  <si>
    <t>TAG Brachyscome Swan River Daisy GENERIC 100/100 Pixie Tag</t>
  </si>
  <si>
    <t>0611831801100</t>
  </si>
  <si>
    <t>TAG Bracteantha Bright Bikinis Mix 100/100 Pixie Tag</t>
  </si>
  <si>
    <t>0611860690050</t>
  </si>
  <si>
    <t>TAG Bracteantha Cottage Bronze 50/50 Petite Portrait FUL</t>
  </si>
  <si>
    <t>0611860691050</t>
  </si>
  <si>
    <t>TAG Bracteantha Cottage Ice 50/50 Petite Portrait FUL</t>
  </si>
  <si>
    <t>0611860692050</t>
  </si>
  <si>
    <t>TAG Bracteantha Cottage Lemon 50/50 Petite Portrait FUL</t>
  </si>
  <si>
    <t>0611860693050</t>
  </si>
  <si>
    <t>TAG Bracteantha Cottage Orange 50/50 Petite Portrait FUL</t>
  </si>
  <si>
    <t>0611860695050</t>
  </si>
  <si>
    <t>TAG Bracteantha Cottage Pink 50/50 Petite Portrait FUL</t>
  </si>
  <si>
    <t>0611831802100</t>
  </si>
  <si>
    <t>TAG Bracteantha Cottage Series 100/100 Pixie Tag</t>
  </si>
  <si>
    <t>0611860696050</t>
  </si>
  <si>
    <t>TAG Bracteantha Cottage Spring Mix 50/50 Petite Portrait FUL</t>
  </si>
  <si>
    <t>0611860697050</t>
  </si>
  <si>
    <t>TAG Bracteantha Strawburst Yellow 50/50 Petite Portrait FUL</t>
  </si>
  <si>
    <t>0611831805100</t>
  </si>
  <si>
    <t>TAG Bracteantha Strawflower GENERIC 100/100 Hang Tag</t>
  </si>
  <si>
    <t>0611831806100</t>
  </si>
  <si>
    <t>TAG Bracteantha Strawflower GENERIC 100/100 Pixie Tag</t>
  </si>
  <si>
    <t>0611831810100</t>
  </si>
  <si>
    <t>TAG Broccoli Arcadia 100/100 Pixie Tag</t>
  </si>
  <si>
    <t>0611831811100</t>
  </si>
  <si>
    <t>TAG Broccoli Artwork 100/100 Pixie Tag</t>
  </si>
  <si>
    <t>0611831821100</t>
  </si>
  <si>
    <t>TAG Broccoli Broccolini 100/100 Pixie Tag</t>
  </si>
  <si>
    <t>0611831827100</t>
  </si>
  <si>
    <t>TAG Broccoli Castle Dome 100/100 Pixie Tag</t>
  </si>
  <si>
    <t>0611831848100</t>
  </si>
  <si>
    <t>TAG Broccoli Destiny 100/100 Pixie Tag</t>
  </si>
  <si>
    <t>0611831854100</t>
  </si>
  <si>
    <t>TAG Broccoli Early Dividend 100/100 Pixie Tag</t>
  </si>
  <si>
    <t>0611831862100</t>
  </si>
  <si>
    <t>TAG Broccoli Emerald Jewel 100/100 Pixie Tag</t>
  </si>
  <si>
    <t>0611831865100</t>
  </si>
  <si>
    <t>TAG Broccoli Everest 100/100 Pixie Tag</t>
  </si>
  <si>
    <t>0611831819100</t>
  </si>
  <si>
    <t>TAG Broccoli GENERIC 100/100 Pixie Tag</t>
  </si>
  <si>
    <t>0611831820200</t>
  </si>
  <si>
    <t>TAG Broccoli GENERIC 200/200 Thriftee Tag</t>
  </si>
  <si>
    <t>0611831882100</t>
  </si>
  <si>
    <t>TAG Broccoli Green Comet 100/100 Pixie Tag</t>
  </si>
  <si>
    <t>0611831883100</t>
  </si>
  <si>
    <t>TAG Broccoli Green Goliath 100/100 Pixie Tag</t>
  </si>
  <si>
    <t>0611831884100</t>
  </si>
  <si>
    <t>TAG Broccoli Green Magic 100/100 Pixie Tag</t>
  </si>
  <si>
    <t>0611831891100</t>
  </si>
  <si>
    <t>TAG Broccoli Imperial 100/100 Pixie Tag</t>
  </si>
  <si>
    <t>0611831892100</t>
  </si>
  <si>
    <t>TAG Broccoli Italian Green Sprouting 100/100 Pixie Tag</t>
  </si>
  <si>
    <t>0611831923100</t>
  </si>
  <si>
    <t>TAG Broccoli Packman 100/100 Pixie Tag</t>
  </si>
  <si>
    <t>0611831934100</t>
  </si>
  <si>
    <t>TAG Broccoli Premium Crop 100/100 Pixie Tag</t>
  </si>
  <si>
    <t>0611831935200</t>
  </si>
  <si>
    <t>TAG Broccoli Premium Crop 200/200 Thriftee Tag</t>
  </si>
  <si>
    <t>0611831982100</t>
  </si>
  <si>
    <t>TAG Broccoli Waltham 29 100/100 Pixie Tag</t>
  </si>
  <si>
    <t>0611831991100</t>
  </si>
  <si>
    <t>TAG Bromeliad GENERIC 100/100 Pixie Tag</t>
  </si>
  <si>
    <t>0611831992100</t>
  </si>
  <si>
    <t>TAG Browallia Blue Bells 100/100 Pixie Tag</t>
  </si>
  <si>
    <t>0611831993100</t>
  </si>
  <si>
    <t>TAG Browallia GENERIC 100/100 Pixie Tag</t>
  </si>
  <si>
    <t>0611856844025</t>
  </si>
  <si>
    <t>TAG Brunnera Frostbite 25/25 Portrait Tag</t>
  </si>
  <si>
    <t>0611884057025</t>
  </si>
  <si>
    <t>TAG Brunnera Frostline 25/25 Portrait Tag</t>
  </si>
  <si>
    <t>0611831996025</t>
  </si>
  <si>
    <t>TAG Brunnera Jack Frost 25/25 Portrait Tag</t>
  </si>
  <si>
    <t>0611831997025</t>
  </si>
  <si>
    <t>TAG Brunnera Macrophylla 25/25 Portrait Tag</t>
  </si>
  <si>
    <t>0611884058025</t>
  </si>
  <si>
    <t>TAG Brunnera Permafrost 25/25 Portrait Tag</t>
  </si>
  <si>
    <t>0611831822100</t>
  </si>
  <si>
    <t>TAG Brussels Sprouts GENERIC 100/100 Pixie Tag</t>
  </si>
  <si>
    <t>0611831823200</t>
  </si>
  <si>
    <t>TAG Brussels Sprouts GENERIC 200/200 Thriftee Tag</t>
  </si>
  <si>
    <t>0611831886100</t>
  </si>
  <si>
    <t>TAG Brussels Sprouts Gustus 100/100 Pixie Tag</t>
  </si>
  <si>
    <t>0611831889100</t>
  </si>
  <si>
    <t>TAG Brussels Sprouts Hestia 100/100 Pixie Tag</t>
  </si>
  <si>
    <t>0611831893100</t>
  </si>
  <si>
    <t>TAG Brussels Sprouts Jade Cross 100/100 Pixie Tag</t>
  </si>
  <si>
    <t>0611831894100</t>
  </si>
  <si>
    <t>TAG Brussels Sprouts Jade Cross E 100/100 Pixie Tag</t>
  </si>
  <si>
    <t>0611831906100</t>
  </si>
  <si>
    <t>TAG Brussels Sprouts Long Island 100/100 Pixie Tag</t>
  </si>
  <si>
    <t>0611831946100</t>
  </si>
  <si>
    <t>TAG Brussels Sprouts Redarling 100/100 Pixie Tag</t>
  </si>
  <si>
    <t>0611831998025</t>
  </si>
  <si>
    <t>TAG Buddleia Black Knight 25/25 Portrait Tag</t>
  </si>
  <si>
    <t>0611860700050</t>
  </si>
  <si>
    <t>TAG Buddleia Black Knight 50/50 Petite Portrait FUL</t>
  </si>
  <si>
    <t>0611831999100</t>
  </si>
  <si>
    <t>TAG Buddleia Butterfly Bush GENERIC 100/100 Pixie Tag</t>
  </si>
  <si>
    <t>0611832000025</t>
  </si>
  <si>
    <t>TAG Buddleia Butterfly Bush GENERIC 25/25 Portrait Tag</t>
  </si>
  <si>
    <t>0611856845025</t>
  </si>
  <si>
    <t>TAG Buddleia Butterfly Gold 25/25 Portrait Tag</t>
  </si>
  <si>
    <t>0611832001025</t>
  </si>
  <si>
    <t>TAG Buddleia Buzz Hot Raspberry 25/25 Portrait Tag</t>
  </si>
  <si>
    <t>0611860701050</t>
  </si>
  <si>
    <t>TAG Buddleia Buzz Hot Raspberry 50/50 Petite Portrait FUL</t>
  </si>
  <si>
    <t>0611832002025</t>
  </si>
  <si>
    <t>TAG Buddleia Buzz Ivory 25/25 Portrait Tag</t>
  </si>
  <si>
    <t>0611832003025</t>
  </si>
  <si>
    <t>TAG Buddleia Buzz Lavender 25/25 Portrait Tag</t>
  </si>
  <si>
    <t>0611860702050</t>
  </si>
  <si>
    <t>TAG Buddleia Buzz Magenta 50/50 Petite Portrait FUL</t>
  </si>
  <si>
    <t>0611832005025</t>
  </si>
  <si>
    <t>TAG Buddleia Buzz Midnight 25/25 Portrait Tag</t>
  </si>
  <si>
    <t>0611860703050</t>
  </si>
  <si>
    <t>TAG Buddleia Buzz Midnight 50/50 Petite Portrait FUL</t>
  </si>
  <si>
    <t>0611832006025</t>
  </si>
  <si>
    <t>TAG Buddleia Buzz Purple 25/25 Portrait Tag</t>
  </si>
  <si>
    <t>0611832007025</t>
  </si>
  <si>
    <t>TAG Buddleia Buzz Sky Blue 25/25 Portrait Tag</t>
  </si>
  <si>
    <t>0611860704050</t>
  </si>
  <si>
    <t>TAG Buddleia Buzz Sky Blue 50/50 Petite Portrait FUL</t>
  </si>
  <si>
    <t>0611860705100</t>
  </si>
  <si>
    <t>TAG Buddleia Buzz Soft Pink 100/100 Pixie Tag FUL</t>
  </si>
  <si>
    <t>0611832009025</t>
  </si>
  <si>
    <t>TAG Buddleia Buzz Velvet 25/25 Portrait Tag</t>
  </si>
  <si>
    <t>0611832010025</t>
  </si>
  <si>
    <t>TAG Buddleia Chrysalis Blue 25/25 Portrait Tag</t>
  </si>
  <si>
    <t>0611832011025</t>
  </si>
  <si>
    <t>TAG Buddleia Chrysalis Cranberry 25/25 Portrait Tag</t>
  </si>
  <si>
    <t>0611832012025</t>
  </si>
  <si>
    <t>TAG Buddleia Chrysalis Pink 25/25 Portrait Tag</t>
  </si>
  <si>
    <t>0611832013025</t>
  </si>
  <si>
    <t>TAG Buddleia Chrysalis Purple 25/25 Portrait Tag</t>
  </si>
  <si>
    <t>0611832014025</t>
  </si>
  <si>
    <t>TAG Buddleia Chrysalis White 25/25 Portrait Tag</t>
  </si>
  <si>
    <t>0611832015025</t>
  </si>
  <si>
    <t>TAG Buddleia Gold Drop 25/25 Portrait Tag</t>
  </si>
  <si>
    <t>0611832017025</t>
  </si>
  <si>
    <t>TAG Buddleia Leah Blue 25/25 Portrait Tag</t>
  </si>
  <si>
    <t>0611832018025</t>
  </si>
  <si>
    <t>TAG Buddleia Leah Midnight 25/25 Portrait Tag</t>
  </si>
  <si>
    <t>0611856846025</t>
  </si>
  <si>
    <t>TAG Buddleia Leah Pink 25/25 Portrait Tag</t>
  </si>
  <si>
    <t>0611832019025</t>
  </si>
  <si>
    <t>TAG Buddleia Leah Raspberry 25/25 Portrait Tag</t>
  </si>
  <si>
    <t>0611832020025</t>
  </si>
  <si>
    <t>TAG Buddleia Leah White 25/25 Portrait Tag</t>
  </si>
  <si>
    <t>0611856847025</t>
  </si>
  <si>
    <t>TAG Buddleia Little Buddy Purple 25/25 Portrait Tag</t>
  </si>
  <si>
    <t>0611856848025</t>
  </si>
  <si>
    <t>TAG Buddleia Little Buddy White 25/25 Portrait Tag</t>
  </si>
  <si>
    <t>0611832021025</t>
  </si>
  <si>
    <t>TAG Buddleia Nanho Blue 25/25 Portrait Tag</t>
  </si>
  <si>
    <t>0611860706050</t>
  </si>
  <si>
    <t>TAG Buddleia Nanho Blue 50/50 Petite Portrait FUL</t>
  </si>
  <si>
    <t>0611832022025</t>
  </si>
  <si>
    <t>TAG Buddleia Nanho Purple 25/25 Portrait Tag</t>
  </si>
  <si>
    <t>0611860707050</t>
  </si>
  <si>
    <t>TAG Buddleia Nanho Purple 50/50 Petite Portrait FUL</t>
  </si>
  <si>
    <t>0611856849025</t>
  </si>
  <si>
    <t>TAG Buddleia Pink Cascade II 25/25 Portrait Tag</t>
  </si>
  <si>
    <t>0611832023025</t>
  </si>
  <si>
    <t>TAG Buddleia Pink Delight 25/25 Portrait Tag</t>
  </si>
  <si>
    <t>0611856850025</t>
  </si>
  <si>
    <t>TAG Buddleia Princess Pink 25/25 Portrait Tag</t>
  </si>
  <si>
    <t>0611832024025</t>
  </si>
  <si>
    <t>TAG Buddleia Royal Red 25/25 Portrait Tag</t>
  </si>
  <si>
    <t>0611860708050</t>
  </si>
  <si>
    <t>TAG Buddleia Royal Red 50/50 Petite Portrait FUL</t>
  </si>
  <si>
    <t>0611832025025</t>
  </si>
  <si>
    <t>TAG Buddleia Summer Bird Series 25/25 Portrait Tag</t>
  </si>
  <si>
    <t>0611832026025</t>
  </si>
  <si>
    <t>TAG Buddleia Violet Cascade 25/25 Portrait Tag</t>
  </si>
  <si>
    <t>0611831808100</t>
  </si>
  <si>
    <t>TAG Cabbage All Season Mix 100/100 Pixie Tag</t>
  </si>
  <si>
    <t>0611831814100</t>
  </si>
  <si>
    <t>TAG Cabbage Blue Dynasty 100/100 Pixie Tag</t>
  </si>
  <si>
    <t>0611831815100</t>
  </si>
  <si>
    <t>TAG Cabbage Blue Vantage 100/100 Pixie Tag</t>
  </si>
  <si>
    <t>0611831817100</t>
  </si>
  <si>
    <t>TAG Cabbage Bravo 100/100 Pixie Tag</t>
  </si>
  <si>
    <t>0611831831100</t>
  </si>
  <si>
    <t>TAG Cabbage Cheers 100/100 Pixie Tag</t>
  </si>
  <si>
    <t>0611831834100</t>
  </si>
  <si>
    <t>TAG Cabbage China Gold Chinese 100/100 Pixie Tag</t>
  </si>
  <si>
    <t>0611831835100</t>
  </si>
  <si>
    <t>TAG Cabbage China King Chinese 100/100 Pixie Tag</t>
  </si>
  <si>
    <t>0611831841100</t>
  </si>
  <si>
    <t>TAG Cabbage Copenhagen 100/100 Pixie Tag</t>
  </si>
  <si>
    <t>0611831842100</t>
  </si>
  <si>
    <t>TAG Cabbage Copenhagen Market 100/100 Pixie Tag</t>
  </si>
  <si>
    <t>0611831847100</t>
  </si>
  <si>
    <t>TAG Cabbage Danish Ballhead 100/100 Pixie Tag</t>
  </si>
  <si>
    <t>0611831849100</t>
  </si>
  <si>
    <t>TAG Cabbage Discovery 100/100 Pixie Tag</t>
  </si>
  <si>
    <t>0611831850100</t>
  </si>
  <si>
    <t>TAG Cabbage Dynamo 100/100 Pixie Tag</t>
  </si>
  <si>
    <t>0611831853100</t>
  </si>
  <si>
    <t>TAG Cabbage Early 100/100 Pixie Tag</t>
  </si>
  <si>
    <t>0611831855100</t>
  </si>
  <si>
    <t>TAG Cabbage Early Flat Dutch 100/100 Pixie Tag</t>
  </si>
  <si>
    <t>0611831856100</t>
  </si>
  <si>
    <t>TAG Cabbage Early Jersey Wakefield 100/100 Pixie Tag</t>
  </si>
  <si>
    <t>0611831861100</t>
  </si>
  <si>
    <t>TAG Cabbage Emerald Cross 100/100 Pixie Tag</t>
  </si>
  <si>
    <t>0611831866100</t>
  </si>
  <si>
    <t>TAG Cabbage Fast Vantage 100/100 Pixie Tag</t>
  </si>
  <si>
    <t>0611831824100</t>
  </si>
  <si>
    <t>TAG Cabbage GENERIC 100/100 Pixie Tag</t>
  </si>
  <si>
    <t>0611831825200</t>
  </si>
  <si>
    <t>TAG Cabbage GENERIC 200/200 Thriftee Tag</t>
  </si>
  <si>
    <t>0611831874100</t>
  </si>
  <si>
    <t>TAG Cabbage Golden Acre 100/100 Pixie Tag</t>
  </si>
  <si>
    <t>0611831875100</t>
  </si>
  <si>
    <t>TAG Cabbage Golden Cross 100/100 Pixie Tag</t>
  </si>
  <si>
    <t>0611831876100</t>
  </si>
  <si>
    <t>TAG Cabbage Gourmet Chinese 100/100 Pixie Tag</t>
  </si>
  <si>
    <t>0611831885100</t>
  </si>
  <si>
    <t>TAG Cabbage Gregorian 100/100 Pixie Tag</t>
  </si>
  <si>
    <t>0611831887100</t>
  </si>
  <si>
    <t>TAG Cabbage Headstart 100/100 Pixie Tag</t>
  </si>
  <si>
    <t>0611831890100</t>
  </si>
  <si>
    <t>TAG Cabbage Hybrid O S 100/100 Pixie Tag</t>
  </si>
  <si>
    <t>0611831896100</t>
  </si>
  <si>
    <t>TAG Cabbage K K Cross 100/100 Pixie Tag</t>
  </si>
  <si>
    <t>0611831901100</t>
  </si>
  <si>
    <t>TAG Cabbage Katarina 100/100 Pixie Tag</t>
  </si>
  <si>
    <t>0611831904100</t>
  </si>
  <si>
    <t>TAG Cabbage Late 100/100 Pixie Tag</t>
  </si>
  <si>
    <t>0611831905100</t>
  </si>
  <si>
    <t>TAG Cabbage Late Flat Dutch 100/100 Pixie Tag</t>
  </si>
  <si>
    <t>0611831907100</t>
  </si>
  <si>
    <t>TAG Cabbage Market Prize 100/100 Pixie Tag</t>
  </si>
  <si>
    <t>0611831909100</t>
  </si>
  <si>
    <t>TAG Cabbage Mid Season 100/100 Pixie Tag</t>
  </si>
  <si>
    <t>0611831816100</t>
  </si>
  <si>
    <t>TAG Cabbage Pak Choi 100/100 Pixie Tag</t>
  </si>
  <si>
    <t>0611831812100</t>
  </si>
  <si>
    <t>TAG Cabbage Pak Choi Asian Delight 100/100 Pixie Tag</t>
  </si>
  <si>
    <t>0611831879100</t>
  </si>
  <si>
    <t>TAG Cabbage Pak Choi Gourmet White Stem 100/100 Pixie Tag</t>
  </si>
  <si>
    <t>0611831895100</t>
  </si>
  <si>
    <t>TAG Cabbage Pak Choi Joi Choi 100/100 Pixie Tag</t>
  </si>
  <si>
    <t>0611831908100</t>
  </si>
  <si>
    <t>TAG Cabbage Pak Choi Mei Qing Choi 100/100 Pixie Tag</t>
  </si>
  <si>
    <t>0611831932100</t>
  </si>
  <si>
    <t>TAG Cabbage Pink Cabbage GENERIC 100/100 Pixie Tag</t>
  </si>
  <si>
    <t>0611831938100</t>
  </si>
  <si>
    <t>TAG Cabbage Red 100/100 Pixie Tag</t>
  </si>
  <si>
    <t>0611831939100</t>
  </si>
  <si>
    <t>TAG Cabbage Red Acre 100/100 Pixie Tag</t>
  </si>
  <si>
    <t>0611831940100</t>
  </si>
  <si>
    <t>TAG Cabbage Red Cabbage GENERIC 100/100 Pixie Tag</t>
  </si>
  <si>
    <t>0611831942100</t>
  </si>
  <si>
    <t>TAG Cabbage Red Jewel 100/100 Pixie Tag</t>
  </si>
  <si>
    <t>0611831948100</t>
  </si>
  <si>
    <t>TAG Cabbage Rio Verde 100/100 Pixie Tag</t>
  </si>
  <si>
    <t>0611831949100</t>
  </si>
  <si>
    <t>TAG Cabbage Ruby Ball 100/100 Pixie Tag</t>
  </si>
  <si>
    <t>0611831950100</t>
  </si>
  <si>
    <t>TAG Cabbage Ruby Perfection 100/100 Pixie Tag</t>
  </si>
  <si>
    <t>0611831952100</t>
  </si>
  <si>
    <t>TAG Cabbage Savoy Ace 100/100 Pixie Tag</t>
  </si>
  <si>
    <t>0611831953100</t>
  </si>
  <si>
    <t>TAG Cabbage Savoy Express 100/100 Pixie Tag</t>
  </si>
  <si>
    <t>0611831954100</t>
  </si>
  <si>
    <t>TAG Cabbage Savoy King 100/100 Pixie Tag</t>
  </si>
  <si>
    <t>0611831968100</t>
  </si>
  <si>
    <t>TAG Cabbage Stonehead 100/100 Pixie Tag</t>
  </si>
  <si>
    <t>0611831969200</t>
  </si>
  <si>
    <t>TAG Cabbage Stonehead 200/200 Thriftee Tag</t>
  </si>
  <si>
    <t>0611831970100</t>
  </si>
  <si>
    <t>TAG Cabbage Storage No 4 100/100 Pixie Tag</t>
  </si>
  <si>
    <t>0611831972100</t>
  </si>
  <si>
    <t>TAG Cabbage Sweet Slaw 100/100 Pixie Tag</t>
  </si>
  <si>
    <t>0611831973100</t>
  </si>
  <si>
    <t>TAG Cabbage Sweet Thang 100/100 Pixie Tag</t>
  </si>
  <si>
    <t>0611831983100</t>
  </si>
  <si>
    <t>TAG Cabbage White Cabbage GENERIC 100/100 Pixie Tag</t>
  </si>
  <si>
    <t>0611832028100</t>
  </si>
  <si>
    <t>TAG Cactus Christmas GENERIC 100/100 Pixie Tag</t>
  </si>
  <si>
    <t>0611832029100</t>
  </si>
  <si>
    <t>TAG Cactus GENERIC 100/100 Pixie Tag</t>
  </si>
  <si>
    <t>0611832030100</t>
  </si>
  <si>
    <t>TAG Caladium Aaron 100/100 Pixie Tag</t>
  </si>
  <si>
    <t>0611832031100</t>
  </si>
  <si>
    <t>TAG Caladium Caladium GENERIC 100/100 Pixie Tag</t>
  </si>
  <si>
    <t>0611832032025</t>
  </si>
  <si>
    <t>TAG Caladium Caladium GENERIC 25/25 Portrait Tag</t>
  </si>
  <si>
    <t>0611832034100</t>
  </si>
  <si>
    <t>TAG Caladium Candidum 100/100 Pixie Tag</t>
  </si>
  <si>
    <t>0611832035100</t>
  </si>
  <si>
    <t>TAG Caladium Carolyn Whorton 100/100 Pixie Tag</t>
  </si>
  <si>
    <t>0611832036100</t>
  </si>
  <si>
    <t>TAG Caladium Fannie Munson 100/100 Pixie Tag</t>
  </si>
  <si>
    <t>0611832037100</t>
  </si>
  <si>
    <t>TAG Caladium Florida Cardinal 100/100 Pixie Tag</t>
  </si>
  <si>
    <t>0611832038100</t>
  </si>
  <si>
    <t>TAG Caladium Frieda Hemple 100/100 Pixie Tag</t>
  </si>
  <si>
    <t>0611832039100</t>
  </si>
  <si>
    <t>TAG Caladium GENERIC Bilingual 100/100 Pixie Tag</t>
  </si>
  <si>
    <t>0611832040100</t>
  </si>
  <si>
    <t>TAG Caladium Miss Muffet 100/100 Pixie Tag</t>
  </si>
  <si>
    <t>0611832041100</t>
  </si>
  <si>
    <t>TAG Caladium Red Flash 100/100 Pixie Tag</t>
  </si>
  <si>
    <t>0611832042100</t>
  </si>
  <si>
    <t>TAG Caladium Rosebud 100/100 Pixie Tag</t>
  </si>
  <si>
    <t>0611832033025</t>
  </si>
  <si>
    <t>TAG Caladium Strap Leaf GENERIC 25/25 Portrait Tag</t>
  </si>
  <si>
    <t>0611832043100</t>
  </si>
  <si>
    <t>TAG Caladium White Queen 100/100 Pixie Tag</t>
  </si>
  <si>
    <t>0611832044025</t>
  </si>
  <si>
    <t>TAG Calamagrostis Avalanche 25/25 Portrait Tag</t>
  </si>
  <si>
    <t>0611832045025</t>
  </si>
  <si>
    <t>TAG Calamagrostis Brachytricha 25/25 Portrait Tag</t>
  </si>
  <si>
    <t>0611832046025</t>
  </si>
  <si>
    <t>TAG Calamagrostis Eldorado 25/25 Portrait Tag</t>
  </si>
  <si>
    <t>0611832047025</t>
  </si>
  <si>
    <t>TAG Calamagrostis Karl Foerster 25/25 Portrait Tag</t>
  </si>
  <si>
    <t>0611832048025</t>
  </si>
  <si>
    <t>TAG Calamagrostis Overdam 25/25 Portrait Tag</t>
  </si>
  <si>
    <t>0611832049025</t>
  </si>
  <si>
    <t>TAG Calamintha Blue Cloud 25/25 Portrait Tag</t>
  </si>
  <si>
    <t>0611832050025</t>
  </si>
  <si>
    <t>TAG Calamintha GENERIC 25/25 Portrait Tag</t>
  </si>
  <si>
    <t>0611832051025</t>
  </si>
  <si>
    <t>TAG Calamintha Variegata 25/25 Portrait Tag</t>
  </si>
  <si>
    <t>0611832052100</t>
  </si>
  <si>
    <t>TAG Calathea Calathea GENERIC 100/100 Pixie Tag</t>
  </si>
  <si>
    <t>0611832053100</t>
  </si>
  <si>
    <t>TAG Calathea Peacock Plant 100/100 Pixie Tag</t>
  </si>
  <si>
    <t>0611832054100</t>
  </si>
  <si>
    <t>TAG Calathea Pinstripe Plant 100/100 Pixie Tag</t>
  </si>
  <si>
    <t>0611832055100</t>
  </si>
  <si>
    <t>TAG Calathea Rattlesnake Plant 100/100 Pixie Tag</t>
  </si>
  <si>
    <t>0611832056100</t>
  </si>
  <si>
    <t>TAG Calathea Rose Painted 100/100 Pixie Tag</t>
  </si>
  <si>
    <t>0611832057100</t>
  </si>
  <si>
    <t>TAG Calceo Calceolaria GENERIC 100/100 Pixie Tag</t>
  </si>
  <si>
    <t>0611884059025</t>
  </si>
  <si>
    <t>TAG Calendula Alpha 25/25 Portrait Tag</t>
  </si>
  <si>
    <t>0611832058100</t>
  </si>
  <si>
    <t>TAG Calendula Bon Bon Mix 100/100 Pixie Tag</t>
  </si>
  <si>
    <t>0611832059100</t>
  </si>
  <si>
    <t>TAG Calendula Bon Bon Orange 100/100 Pixie Tag</t>
  </si>
  <si>
    <t>0611832060100</t>
  </si>
  <si>
    <t>TAG Calendula Bon Bon Yellow 100/100 Pixie Tag</t>
  </si>
  <si>
    <t>0611832061100</t>
  </si>
  <si>
    <t>TAG Calendula Calendula GENERIC 100/100 Pixie Tag</t>
  </si>
  <si>
    <t>0611860709050</t>
  </si>
  <si>
    <t>TAG Calendula Caleo Orange 50/50 Petite Portrait SF FUL</t>
  </si>
  <si>
    <t>0611860710050</t>
  </si>
  <si>
    <t>TAG Calendula Caleo Yellow 50/50 Petite Portrait SF FUL</t>
  </si>
  <si>
    <t>0611832063100</t>
  </si>
  <si>
    <t>TAG Calendula Cheers Tangerine 100/100 Pixie Tag</t>
  </si>
  <si>
    <t>0611832064100</t>
  </si>
  <si>
    <t>TAG Calendula Cheers Yellow 100/100 Pixie Tag</t>
  </si>
  <si>
    <t>0611832065100</t>
  </si>
  <si>
    <t>TAG Calendula Costa Mix 100/100 Pixie Tag SF</t>
  </si>
  <si>
    <t>0611832066100</t>
  </si>
  <si>
    <t>TAG Calendula Costa Orange 100/100 Pixie Tag SF</t>
  </si>
  <si>
    <t>0611832067100</t>
  </si>
  <si>
    <t>TAG Calendula Costa Yellow 100/100 Pixie Tag SF</t>
  </si>
  <si>
    <t>0611832069100</t>
  </si>
  <si>
    <t>TAG Calendula Power Daisy Sunny 100/100 Pixie Tag</t>
  </si>
  <si>
    <t>0611860711050</t>
  </si>
  <si>
    <t>TAG Calibrachoa Aloha Blue Sky 50/50 Petite Portrait DO FUL</t>
  </si>
  <si>
    <t>0611860712050</t>
  </si>
  <si>
    <t>TAG Calibrachoa Aloha Buttercream 50/50 Petite Portrait DO FUL</t>
  </si>
  <si>
    <t>0611860713050</t>
  </si>
  <si>
    <t>TAG Calibrachoa Aloha Canary Yellow 50/50 Petite Portrait DO FUL</t>
  </si>
  <si>
    <t>0611860714050</t>
  </si>
  <si>
    <t>TAG Calibrachoa Aloha Cherry Cartwheel 50/50 Petite Portrait DO FUL</t>
  </si>
  <si>
    <t>0611860715050</t>
  </si>
  <si>
    <t>TAG Calibrachoa Aloha Clear Pink 50/50 Petite Portrait DO FUL</t>
  </si>
  <si>
    <t>0611860716050</t>
  </si>
  <si>
    <t>TAG Calibrachoa Aloha DO FULuble Apricot 50/50 Petite Portrait DO FUL</t>
  </si>
  <si>
    <t>0611860717050</t>
  </si>
  <si>
    <t>TAG Calibrachoa Aloha DO FULuble Citric 50/50 Petite Portrait DO FUL</t>
  </si>
  <si>
    <t>0611860718050</t>
  </si>
  <si>
    <t>TAG Calibrachoa Aloha DO FULuble Dark Pink 50/50 Petite Portrait DO FUL</t>
  </si>
  <si>
    <t>0611860719050</t>
  </si>
  <si>
    <t>TAG Calibrachoa Aloha DO FULuble Lavender 50/50 Petite Portrait DO FUL</t>
  </si>
  <si>
    <t>0611860720050</t>
  </si>
  <si>
    <t>TAG Calibrachoa Aloha DO FULuble Orange 50/50 Petite Portrait DO FUL</t>
  </si>
  <si>
    <t>0611884060050</t>
  </si>
  <si>
    <t>TAG Calibrachoa Aloha DO FULuble Pink 50/50 Petite Portrait DO FUL</t>
  </si>
  <si>
    <t>0611860721050</t>
  </si>
  <si>
    <t>TAG Calibrachoa Aloha DO FULuble Purple 50/50 Petite Portrait DO FUL</t>
  </si>
  <si>
    <t>0611860722050</t>
  </si>
  <si>
    <t>TAG Calibrachoa Aloha DO FULuble Red 50/50 Petite Portrait DO FUL</t>
  </si>
  <si>
    <t>0611860723050</t>
  </si>
  <si>
    <t>TAG Calibrachoa Aloha DO FULuble Soft Pink 50/50 Petite Portrait DO FUL</t>
  </si>
  <si>
    <t>0611860724050</t>
  </si>
  <si>
    <t>TAG Calibrachoa Aloha DO FULuble Soft Pink Eye 50/50 Petite Portrait DO FUL</t>
  </si>
  <si>
    <t>0611884061050</t>
  </si>
  <si>
    <t>TAG Calibrachoa Aloha DO FULuble White 50/50 Petite Portrait DO FUL</t>
  </si>
  <si>
    <t>0611860726050</t>
  </si>
  <si>
    <t>TAG Calibrachoa Aloha Hot Orange 50/50 Petite Portrait DO FUL</t>
  </si>
  <si>
    <t>0611860727050</t>
  </si>
  <si>
    <t>TAG Calibrachoa Aloha Kona Blue Sky 50/50 Petite Portrait DO FUL</t>
  </si>
  <si>
    <t>0611860728050</t>
  </si>
  <si>
    <t>TAG Calibrachoa Aloha Kona Cherry Red 50/50 Petite Portrait DO FUL</t>
  </si>
  <si>
    <t>0611860731050</t>
  </si>
  <si>
    <t>TAG Calibrachoa Aloha Kona Dark Lavender 50/50 Petite Portrait DO FUL</t>
  </si>
  <si>
    <t>0611860729050</t>
  </si>
  <si>
    <t>TAG Calibrachoa Aloha Kona Dark Lavender CR3588 50/50 Petite Portrait DO FUL</t>
  </si>
  <si>
    <t>0611860730050</t>
  </si>
  <si>
    <t>TAG Calibrachoa Aloha Kona Dark Red 50/50 Petite Portrait DO FUL</t>
  </si>
  <si>
    <t>0611860732050</t>
  </si>
  <si>
    <t>TAG Calibrachoa Aloha Kona Fuchsia 50/50 Petite Portrait DO FUL</t>
  </si>
  <si>
    <t>0611860733050</t>
  </si>
  <si>
    <t>TAG Calibrachoa Aloha Kona Hawaiian Orchid 50/50 Petite Portrait DO FUL</t>
  </si>
  <si>
    <t>0611860734050</t>
  </si>
  <si>
    <t>TAG Calibrachoa Aloha Kona Hawaiian Sunset 50/50 Petite Portrait DO FUL</t>
  </si>
  <si>
    <t>0611860735050</t>
  </si>
  <si>
    <t>TAG Calibrachoa Aloha Kona Honeycomb 50/50 Petite Portrait DO FUL</t>
  </si>
  <si>
    <t>0611860736050</t>
  </si>
  <si>
    <t>TAG Calibrachoa Aloha Kona Hot Orange 50/50 Petite Portrait DO FUL</t>
  </si>
  <si>
    <t>0611860737050</t>
  </si>
  <si>
    <t>TAG Calibrachoa Aloha Kona Hot Pink 50/50 Petite Portrait DO FUL</t>
  </si>
  <si>
    <t>0611884063050</t>
  </si>
  <si>
    <t>TAG Calibrachoa Aloha Kona Mandarin 50/50 Petite Portrait DO FUL</t>
  </si>
  <si>
    <t>0611860738050</t>
  </si>
  <si>
    <t>TAG Calibrachoa Aloha Kona Mango 50/50 Petite Portrait DO FUL</t>
  </si>
  <si>
    <t>0611860739050</t>
  </si>
  <si>
    <t>TAG Calibrachoa Aloha Kona Midnight Blue 50/50 Petite Portrait DO FUL</t>
  </si>
  <si>
    <t>0611884062050</t>
  </si>
  <si>
    <t>TAG Calibrachoa Aloha Kona Midnight Purple 50/50 Petite Portrait DO FUL</t>
  </si>
  <si>
    <t>0611860740050</t>
  </si>
  <si>
    <t>TAG Calibrachoa Aloha Kona Nani Hawaiian 50/50 Petite Portrait DO FUL</t>
  </si>
  <si>
    <t>0611860741050</t>
  </si>
  <si>
    <t>TAG Calibrachoa Aloha Kona Neon 50/50 Petite Portrait DO FUL</t>
  </si>
  <si>
    <t>0611884064050</t>
  </si>
  <si>
    <t>TAG Calibrachoa Aloha Kona Orange 50/50 Petite Portrait DO FUL</t>
  </si>
  <si>
    <t>0611860742050</t>
  </si>
  <si>
    <t>TAG Calibrachoa Aloha Kona Orange Zest 50/50 Petite Portrait DO FUL</t>
  </si>
  <si>
    <t>0611860743050</t>
  </si>
  <si>
    <t>TAG Calibrachoa Aloha Kona Pineapple 50/50 Petite Portrait DO FUL</t>
  </si>
  <si>
    <t>0611884065050</t>
  </si>
  <si>
    <t>TAG Calibrachoa Aloha Kona Pink 50/50 Petite Portrait DO FUL</t>
  </si>
  <si>
    <t>0611860744050</t>
  </si>
  <si>
    <t>TAG Calibrachoa Aloha Kona Royal White 50/50 Petite Portrait DO FUL</t>
  </si>
  <si>
    <t>0611860745050</t>
  </si>
  <si>
    <t>TAG Calibrachoa Aloha Kona Soft Pink 50/50 Petite Portrait DO FUL</t>
  </si>
  <si>
    <t>0611860746050</t>
  </si>
  <si>
    <t>TAG Calibrachoa Aloha Kona Sunshine 50/50 Petite Portrait DO FUL</t>
  </si>
  <si>
    <t>0611884066050</t>
  </si>
  <si>
    <t>TAG Calibrachoa Aloha Kona Tiki Blue Sky 50/50 Petite Portrait DO FUL</t>
  </si>
  <si>
    <t>0611884067050</t>
  </si>
  <si>
    <t>TAG Calibrachoa Aloha Kona Tiki Pink 50/50 Petite Portrait DO FUL</t>
  </si>
  <si>
    <t>0611860747050</t>
  </si>
  <si>
    <t>TAG Calibrachoa Aloha Kona Tiki Soft Pink 50/50 Petite Portrait DO FUL</t>
  </si>
  <si>
    <t>0611860749050</t>
  </si>
  <si>
    <t>TAG Calibrachoa Aloha Kona True Blue 50/50 Petite Portrait DO FUL</t>
  </si>
  <si>
    <t>0611860748050</t>
  </si>
  <si>
    <t>TAG Calibrachoa Aloha Kona True Blue Limited Availability 50/50 Petite Tag DO</t>
  </si>
  <si>
    <t>0611860750050</t>
  </si>
  <si>
    <t>TAG Calibrachoa Aloha Kona White 50/50 Petite Portrait DO FUL</t>
  </si>
  <si>
    <t>0611860751050</t>
  </si>
  <si>
    <t>TAG Calibrachoa Aloha Kona Yellow 50/50 Petite Portrait DO FUL</t>
  </si>
  <si>
    <t>0611860752050</t>
  </si>
  <si>
    <t>TAG Calibrachoa Aloha Midnight Purple 50/50 Petite Portrait DO FUL</t>
  </si>
  <si>
    <t>0611860753050</t>
  </si>
  <si>
    <t>TAG Calibrachoa Aloha Nani Appleblossom 50/50 Petite Portrait DO FUL</t>
  </si>
  <si>
    <t>0611860754050</t>
  </si>
  <si>
    <t>TAG Calibrachoa Aloha Nani Blue Sky 50/50 Petite Portrait DO FUL</t>
  </si>
  <si>
    <t>0611860755050</t>
  </si>
  <si>
    <t>TAG Calibrachoa Aloha Nani Calibash 50/50 Petite Portrait DO FUL</t>
  </si>
  <si>
    <t>0611860756050</t>
  </si>
  <si>
    <t>TAG Calibrachoa Aloha Nani Dark Red 50/50 Petite Portrait DO FUL</t>
  </si>
  <si>
    <t>0611860757050</t>
  </si>
  <si>
    <t>TAG Calibrachoa Aloha Nani Fire Red 50/50 Petite Portrait DO FUL</t>
  </si>
  <si>
    <t>0611860758050</t>
  </si>
  <si>
    <t>TAG Calibrachoa Aloha Nani Golden Girl 50/50 Petite Portrait DO FUL</t>
  </si>
  <si>
    <t>0611860759050</t>
  </si>
  <si>
    <t>TAG Calibrachoa Aloha Nani Hawaiian Valtine 50/50 Petite Portrait DO FUL</t>
  </si>
  <si>
    <t>0611860760050</t>
  </si>
  <si>
    <t>TAG Calibrachoa Aloha Nani Mango Tango 50/50 Petite Portrait DO FUL</t>
  </si>
  <si>
    <t>0611860761050</t>
  </si>
  <si>
    <t>TAG Calibrachoa Aloha Nani Midnight Blue 50/50 Petite Portrait DO FUL</t>
  </si>
  <si>
    <t>0611860762050</t>
  </si>
  <si>
    <t>TAG Calibrachoa Aloha Nani Pink 50/50 Petite Portrait DO FUL</t>
  </si>
  <si>
    <t>0611860763050</t>
  </si>
  <si>
    <t>TAG Calibrachoa Aloha Nani Red Cartwheel 50/50 Petite Portrait DO FUL</t>
  </si>
  <si>
    <t>0611860764050</t>
  </si>
  <si>
    <t>TAG Calibrachoa Aloha Nani Tropicana 50/50 Petite Portrait DO FUL</t>
  </si>
  <si>
    <t>0611860765050</t>
  </si>
  <si>
    <t>TAG Calibrachoa Aloha Nani White 50/50 Petite Portrait DO FUL</t>
  </si>
  <si>
    <t>0611860766050</t>
  </si>
  <si>
    <t>TAG Calibrachoa Aloha Neon Volcano 50/50 Petite Portrait DO FUL</t>
  </si>
  <si>
    <t>0611860767050</t>
  </si>
  <si>
    <t>TAG Calibrachoa Aloha Pink Volcano 50/50 Petite Portrait DO FUL</t>
  </si>
  <si>
    <t>0611860768050</t>
  </si>
  <si>
    <t>TAG Calibrachoa Aloha Purple 50/50 Petite Portrait DO FUL</t>
  </si>
  <si>
    <t>0611860769050</t>
  </si>
  <si>
    <t>TAG Calibrachoa Aloha Purple Sky 50/50 Petite Portrait DO FUL</t>
  </si>
  <si>
    <t>0611860770050</t>
  </si>
  <si>
    <t>TAG Calibrachoa Aloha Red 50/50 Petite Portrait DO FUL</t>
  </si>
  <si>
    <t>0611860771050</t>
  </si>
  <si>
    <t>TAG Calibrachoa Aloha Royal White 50/50 Petite Portrait DO FUL</t>
  </si>
  <si>
    <t>0611860772050</t>
  </si>
  <si>
    <t>TAG Calibrachoa Aloha Tiki Blue 50/50 Petite Portrait DO FUL</t>
  </si>
  <si>
    <t>0611860773050</t>
  </si>
  <si>
    <t>TAG Calibrachoa Aloha Tiki Neon 50/50 Petite Portrait DO FUL</t>
  </si>
  <si>
    <t>0611860774050</t>
  </si>
  <si>
    <t>TAG Calibrachoa Aloha Tiki Orange 50/50 Petite Portrait DO FUL</t>
  </si>
  <si>
    <t>0611860775050</t>
  </si>
  <si>
    <t>TAG Calibrachoa Aloha Tiki Soft Pink 50/50 Petite Portrait DO FUL</t>
  </si>
  <si>
    <t>0611860776050</t>
  </si>
  <si>
    <t>TAG Calibrachoa Aloha Volcano Gold 50/50 Petite Portrait DO FUL</t>
  </si>
  <si>
    <t>0611860777050</t>
  </si>
  <si>
    <t>TAG Calibrachoa Aloha Volcano Sunset 50/50 Petite Portrait DO FUL</t>
  </si>
  <si>
    <t>0611884068050</t>
  </si>
  <si>
    <t>TAG Calibrachoa Bloomtastic Blue Sky 50/50 Petite Portrait DO FUL</t>
  </si>
  <si>
    <t>0611860778050</t>
  </si>
  <si>
    <t>TAG Calibrachoa Bloomtastic Cherry 50/50 Petite Portrait DO FUL</t>
  </si>
  <si>
    <t>0611860779050</t>
  </si>
  <si>
    <t>TAG Calibrachoa Bloomtastic Chili Pepper 50/50 Petite Portrait DO FUL</t>
  </si>
  <si>
    <t>0611884069050</t>
  </si>
  <si>
    <t>TAG Calibrachoa Bloomtastic Lavender Quartz 50/50 Petite Portrait DO FUL</t>
  </si>
  <si>
    <t>0611860780050</t>
  </si>
  <si>
    <t>TAG Calibrachoa Bloomtastic Peach Grenadine 50/50 Petite Portrait DO FUL</t>
  </si>
  <si>
    <t>0611884070050</t>
  </si>
  <si>
    <t>TAG Calibrachoa Bloomtastic Pineapple 50/50 Petite Portrait DO FUL</t>
  </si>
  <si>
    <t>0611860781050</t>
  </si>
  <si>
    <t>TAG Calibrachoa Bloomtastic Pink Flare 50/50 Petite Portrait DO FUL</t>
  </si>
  <si>
    <t>0611860782050</t>
  </si>
  <si>
    <t>TAG Calibrachoa Bloomtastic Purple 50/50 Petite Portrait DO FUL</t>
  </si>
  <si>
    <t>0611860783050</t>
  </si>
  <si>
    <t>TAG Calibrachoa Bloomtastic Red 50/50 Petite Portrait DO FUL</t>
  </si>
  <si>
    <t>0611860784050</t>
  </si>
  <si>
    <t>TAG Calibrachoa Bloomtastic Rose Quartz 50/50 Petite Portrait DO FUL</t>
  </si>
  <si>
    <t>0611860785050</t>
  </si>
  <si>
    <t>TAG Calibrachoa Bloomtastic Serenity 50/50 Petite Portrait DO FUL</t>
  </si>
  <si>
    <t>0611860786050</t>
  </si>
  <si>
    <t>TAG Calibrachoa Bloomtastic Tiki Pink 50/50 Petite Portrait DO FUL</t>
  </si>
  <si>
    <t>0611860787050</t>
  </si>
  <si>
    <t>TAG Calibrachoa Bloomtastic Yellow 50/50 Petite Portrait DO FUL</t>
  </si>
  <si>
    <t>0611860788050</t>
  </si>
  <si>
    <t>TAG Calibrachoa Cabrio Amethyst 50/50 Petite Portrait SF FUL</t>
  </si>
  <si>
    <t>0611860789050</t>
  </si>
  <si>
    <t>TAG Calibrachoa Cabrio Burgundy 50/50 Petite Portrait SF FUL</t>
  </si>
  <si>
    <t>0611860791050</t>
  </si>
  <si>
    <t>TAG Calibrachoa Cabrio Eclipse Light Rose 50/50 Petite Portrait SF FUL</t>
  </si>
  <si>
    <t>0611860790050</t>
  </si>
  <si>
    <t>TAG Calibrachoa Cabrio Eclipse Lilac 50/50 Petite Portrait SF FUL</t>
  </si>
  <si>
    <t>0611860792050</t>
  </si>
  <si>
    <t>TAG Calibrachoa Cabrio Eclipse Strawberry 50/50 Petite Portrait SF FUL</t>
  </si>
  <si>
    <t>0611860793050</t>
  </si>
  <si>
    <t>TAG Calibrachoa Cabrio Grape 50/50 Petite Portrait SF FUL</t>
  </si>
  <si>
    <t>0611860795050</t>
  </si>
  <si>
    <t>TAG Calibrachoa Cabrio Pink With Eye 50/50 Petite Portrait SF FUL</t>
  </si>
  <si>
    <t>0611860796050</t>
  </si>
  <si>
    <t>TAG Calibrachoa Cabrio Sweet Peach 50/50 Petite Portrait SF FUL</t>
  </si>
  <si>
    <t>0611860797050</t>
  </si>
  <si>
    <t>TAG Calibrachoa Cabrio Yellow 50/50 Petite Portrait SF FUL</t>
  </si>
  <si>
    <t>0611832071100</t>
  </si>
  <si>
    <t>TAG Calibrachoa Calibasket Series 100/100 Pixie Tag</t>
  </si>
  <si>
    <t>0611832072100</t>
  </si>
  <si>
    <t>TAG Calibrachoa Calibrachoa GENERIC 100/100 Hang Tag</t>
  </si>
  <si>
    <t>0611832073025</t>
  </si>
  <si>
    <t>TAG Calibrachoa Calibrachoa GENERIC 25/25 Portrait Tag</t>
  </si>
  <si>
    <t>0611884071100</t>
  </si>
  <si>
    <t>TAG Calibrachoa Calico 100/100 Pixie Tag</t>
  </si>
  <si>
    <t>0611832074100</t>
  </si>
  <si>
    <t>TAG Calibrachoa Calipetite Blue 100/100 Pixie Tag</t>
  </si>
  <si>
    <t>0611832075100</t>
  </si>
  <si>
    <t>TAG Calibrachoa Calipetite Mid Blue 100/100 Pixie Tag</t>
  </si>
  <si>
    <t>0611832076100</t>
  </si>
  <si>
    <t>TAG Calibrachoa Calipetite Pink 100/100 Pixie Tag</t>
  </si>
  <si>
    <t>0611832077100</t>
  </si>
  <si>
    <t>TAG Calibrachoa Calipetite Red 100/100 Pixie Tag</t>
  </si>
  <si>
    <t>0611884072100</t>
  </si>
  <si>
    <t>TAG Calibrachoa Calipetite Sunset Orange 100/100 Pixie Tag</t>
  </si>
  <si>
    <t>0611832078100</t>
  </si>
  <si>
    <t>TAG Calibrachoa Calipetite White 100/100 Pixie Tag</t>
  </si>
  <si>
    <t>0611832079100</t>
  </si>
  <si>
    <t>TAG Calibrachoa Calipetite Yellow 100/100 Pixie Tag</t>
  </si>
  <si>
    <t>0611860799050</t>
  </si>
  <si>
    <t>TAG Calibrachoa Calitastic Ballerina 50/50 Petite Portrait FUL</t>
  </si>
  <si>
    <t>0611860800050</t>
  </si>
  <si>
    <t>TAG Calibrachoa Calitastic Blood Orange 50/50 Petite Portrait FUL</t>
  </si>
  <si>
    <t>0611860801050</t>
  </si>
  <si>
    <t>TAG Calibrachoa Calitastic Bordeaux Star 50/50 Petite Portrait FUL</t>
  </si>
  <si>
    <t>0611860802050</t>
  </si>
  <si>
    <t>TAG Calibrachoa Calitastic Bright Purple 50/50 Petite Portrait FUL</t>
  </si>
  <si>
    <t>0611860803050</t>
  </si>
  <si>
    <t>TAG Calibrachoa Calitastic Bright Red 50/50 Petite Portrait FUL</t>
  </si>
  <si>
    <t>0611860804050</t>
  </si>
  <si>
    <t>TAG Calibrachoa Calitastic Caramel 50/50 Petite Portrait FUL</t>
  </si>
  <si>
    <t>0611860805050</t>
  </si>
  <si>
    <t>TAG Calibrachoa Calitastic Dark Red 50/50 Petite Portrait FUL</t>
  </si>
  <si>
    <t>0611860807050</t>
  </si>
  <si>
    <t>TAG Calibrachoa Calitastic Fancy Fuchsia 50/50 Petite Portrait FUL</t>
  </si>
  <si>
    <t>0611860808050</t>
  </si>
  <si>
    <t>TAG Calibrachoa Calitastic Gold 50/50 Petite Portrait FUL</t>
  </si>
  <si>
    <t>0611860810050</t>
  </si>
  <si>
    <t>TAG Calibrachoa Calitastic Ice Blue 50/50 Petite Portrait FUL</t>
  </si>
  <si>
    <t>0611860811050</t>
  </si>
  <si>
    <t>TAG Calibrachoa Calitastic Indigo 50/50 Petite Portrait FUL</t>
  </si>
  <si>
    <t>0611860812050</t>
  </si>
  <si>
    <t>TAG Calibrachoa Calitastic Mango 50/50 Petite Portrait FUL</t>
  </si>
  <si>
    <t>0611860813050</t>
  </si>
  <si>
    <t>TAG Calibrachoa Calitastic Marooned 50/50 Petite Portrait FUL</t>
  </si>
  <si>
    <t>0611860814050</t>
  </si>
  <si>
    <t>TAG Calibrachoa Calitastic Merry Cherry 50/50 Petite Portrait FUL</t>
  </si>
  <si>
    <t>0611860815050</t>
  </si>
  <si>
    <t>TAG Calibrachoa Calitastic Noble Blue 50/50 Petite Portrait FUL</t>
  </si>
  <si>
    <t>0611860816050</t>
  </si>
  <si>
    <t>TAG Calibrachoa Calitastic Orange 50/50 Petite Portrait FUL</t>
  </si>
  <si>
    <t>0611860818050</t>
  </si>
  <si>
    <t>TAG Calibrachoa Calitastic Plumberry Pop 50/50 Petite Portrait FUL</t>
  </si>
  <si>
    <t>0611860820050</t>
  </si>
  <si>
    <t>TAG Calibrachoa Calitastic Raspberry 50/50 Petite Portrait FUL</t>
  </si>
  <si>
    <t>0611860821050</t>
  </si>
  <si>
    <t>TAG Calibrachoa Calitastic Red Lips 50/50 Petite Portrait FUL</t>
  </si>
  <si>
    <t>0611832081100</t>
  </si>
  <si>
    <t>TAG Calibrachoa Calitastic Series 100/100 Pixie Tag</t>
  </si>
  <si>
    <t>0611860822050</t>
  </si>
  <si>
    <t>TAG Calibrachoa Calitastic Strawberry 50/50 Petite Portrait FUL</t>
  </si>
  <si>
    <t>0611860823050</t>
  </si>
  <si>
    <t>TAG Calibrachoa Calitastic Sunnyside 50/50 Petite Portrait FUL</t>
  </si>
  <si>
    <t>0611860824050</t>
  </si>
  <si>
    <t>TAG Calibrachoa Calitastic Tric Pink 50/50 Petite Portrait FUL</t>
  </si>
  <si>
    <t>0611860825050</t>
  </si>
  <si>
    <t>TAG Calibrachoa Calitastic Violaceous 50/50 Petite Portrait FUL</t>
  </si>
  <si>
    <t>0611860827050</t>
  </si>
  <si>
    <t>TAG Calibrachoa Calitastic White 50/50 Petite Portrait FUL</t>
  </si>
  <si>
    <t>0611860828050</t>
  </si>
  <si>
    <t>TAG Calibrachoa Calitastic White CR5153 50/50 Petite Portrait FUL</t>
  </si>
  <si>
    <t>0611860829050</t>
  </si>
  <si>
    <t>TAG Calibrachoa Callie Apricot 50/50 Petite Portrait SF FUL</t>
  </si>
  <si>
    <t>0611860830050</t>
  </si>
  <si>
    <t>TAG Calibrachoa Callie Blue 50/50 Petite Portrait SF FUL</t>
  </si>
  <si>
    <t>0611860831050</t>
  </si>
  <si>
    <t>TAG Calibrachoa Callie Burgundy 50/50 Petite Portrait SF FUL</t>
  </si>
  <si>
    <t>0611860832050</t>
  </si>
  <si>
    <t>TAG Calibrachoa Callie Coral 50/50 Petite Portrait SF FUL</t>
  </si>
  <si>
    <t>0611884073050</t>
  </si>
  <si>
    <t>TAG Calibrachoa Callie Dark Blue 50/50 Petite Portrait SF FUL</t>
  </si>
  <si>
    <t>0611860833050</t>
  </si>
  <si>
    <t>TAG Calibrachoa Callie Dark Red 50/50 Petite Portrait SF FUL</t>
  </si>
  <si>
    <t>0611884074050</t>
  </si>
  <si>
    <t>TAG Calibrachoa Callie Deep Orange 50/50 Petite Portrait SF FUL</t>
  </si>
  <si>
    <t>0611860834050</t>
  </si>
  <si>
    <t>TAG Calibrachoa Callie Eclipse Lavender 50/50 Petite Portrait SF FUL</t>
  </si>
  <si>
    <t>0611860835050</t>
  </si>
  <si>
    <t>TAG Calibrachoa Callie Eclipse Lilac 50/50 Petite Portrait SF FUL</t>
  </si>
  <si>
    <t>0611860836050</t>
  </si>
  <si>
    <t>TAG Calibrachoa Callie Eclipse Raspberry 50/50 Petite Portrait SF FUL</t>
  </si>
  <si>
    <t>0611860837050</t>
  </si>
  <si>
    <t>TAG Calibrachoa Callie Eclipse Strawberry 50/50 Petite Portrait SF FUL</t>
  </si>
  <si>
    <t>0611860838050</t>
  </si>
  <si>
    <t>TAG Calibrachoa Callie Gold With Red Eye 50/50 Petite Portrait SF FUL</t>
  </si>
  <si>
    <t>0611860839050</t>
  </si>
  <si>
    <t>TAG Calibrachoa Callie Hot Pink 50/50 Petite Portrait SF FUL</t>
  </si>
  <si>
    <t>0611860840050</t>
  </si>
  <si>
    <t>TAG Calibrachoa Callie Hot Pink Spark 50/50 Petite Portrait SF FUL</t>
  </si>
  <si>
    <t>0611860841050</t>
  </si>
  <si>
    <t>TAG Calibrachoa Callie Lavender 50/50 Petite Portrait SF FUL</t>
  </si>
  <si>
    <t>0611860842050</t>
  </si>
  <si>
    <t>TAG Calibrachoa Callie Light Blue 50/50 Petite Portrait SF FUL</t>
  </si>
  <si>
    <t>0611860843050</t>
  </si>
  <si>
    <t>TAG Calibrachoa Callie Mango 50/50 Petite Portrait SF FUL</t>
  </si>
  <si>
    <t>0611860844050</t>
  </si>
  <si>
    <t>TAG Calibrachoa Callie Orange 50/50 Petite Portrait SF FUL</t>
  </si>
  <si>
    <t>0611860845050</t>
  </si>
  <si>
    <t>TAG Calibrachoa Callie Orange Sunrise 50/50 Petite Portrait SF FUL</t>
  </si>
  <si>
    <t>0611860846050</t>
  </si>
  <si>
    <t>TAG Calibrachoa Callie Pink Morn 50/50 Petite Portrait SF FUL</t>
  </si>
  <si>
    <t>0611860847050</t>
  </si>
  <si>
    <t>TAG Calibrachoa Callie Pink With Eye 50/50 Petite Portrait SF FUL</t>
  </si>
  <si>
    <t>0611860848050</t>
  </si>
  <si>
    <t>TAG Calibrachoa Callie Purple 50/50 Petite Portrait SF FUL</t>
  </si>
  <si>
    <t>0611860849050</t>
  </si>
  <si>
    <t>TAG Calibrachoa Callie Purple Ce0405 50/50 Petite Portrait SF FUL</t>
  </si>
  <si>
    <t>0611860850050</t>
  </si>
  <si>
    <t>TAG Calibrachoa Callie Rose 50/50 Petite Portrait SF FUL</t>
  </si>
  <si>
    <t>0611860851050</t>
  </si>
  <si>
    <t>TAG Calibrachoa Callie Rose Dark Center 50/50 Petite Portrait SF FUL</t>
  </si>
  <si>
    <t>0611860852050</t>
  </si>
  <si>
    <t>TAG Calibrachoa Callie Rose With Eye Star 50/50 Petite Portrait SF FUL</t>
  </si>
  <si>
    <t>0611860853050</t>
  </si>
  <si>
    <t>TAG Calibrachoa Callie Sky Blue 50/50 Petite Portrait SF FUL</t>
  </si>
  <si>
    <t>0611860854050</t>
  </si>
  <si>
    <t>TAG Calibrachoa Callie Star Orange 50/50 Petite Portrait SF FUL</t>
  </si>
  <si>
    <t>0611860855050</t>
  </si>
  <si>
    <t>TAG Calibrachoa Callie Star Pink 50/50 Petite Portrait SF FUL</t>
  </si>
  <si>
    <t>0611860856050</t>
  </si>
  <si>
    <t>TAG Calibrachoa Callie Strawberry 50/50 Petite Portrait SF FUL</t>
  </si>
  <si>
    <t>0611860857050</t>
  </si>
  <si>
    <t>TAG Calibrachoa Callie Sunset Glow 50/50 Petite Portrait SF FUL</t>
  </si>
  <si>
    <t>0611860858050</t>
  </si>
  <si>
    <t>TAG Calibrachoa Callie White 50/50 Petite Portrait SF FUL</t>
  </si>
  <si>
    <t>0611860859050</t>
  </si>
  <si>
    <t>TAG Calibrachoa Callie White With Rose Vein 50/50 Petite Portrait SF FUL</t>
  </si>
  <si>
    <t>0611860860050</t>
  </si>
  <si>
    <t>TAG Calibrachoa Callie Yellow 50/50 Petite Portrait SF FUL</t>
  </si>
  <si>
    <t>0611832085100</t>
  </si>
  <si>
    <t>TAG Calibrachoa Candy Shop Bag Of Trix 100/100 Pixie Tag</t>
  </si>
  <si>
    <t>0611860861050</t>
  </si>
  <si>
    <t>TAG Calibrachoa Candy Shop Bag Of Trix 50/50 Petite Portrait FUL</t>
  </si>
  <si>
    <t>0611832118100</t>
  </si>
  <si>
    <t>TAG Calibrachoa Candy Shop Bouquet 100/100 Pixie Tag</t>
  </si>
  <si>
    <t>0611860862050</t>
  </si>
  <si>
    <t>TAG Calibrachoa Candy Shop Candy Bouquet 50/50 Petite Portrait FUL</t>
  </si>
  <si>
    <t>0611832086100</t>
  </si>
  <si>
    <t>TAG Calibrachoa Candy Shop Candy Crush 100/100 Pixie Tag</t>
  </si>
  <si>
    <t>0611860863050</t>
  </si>
  <si>
    <t>TAG Calibrachoa Candy Shop Candy Crush 50/50 Petite Portrait FUL</t>
  </si>
  <si>
    <t>0611832087100</t>
  </si>
  <si>
    <t>TAG Calibrachoa Candy Shop Chocolate 100/100 Pixie Tag</t>
  </si>
  <si>
    <t>0611860864050</t>
  </si>
  <si>
    <t>TAG Calibrachoa Candy Shop Chocolate 50/50 Petite Portrait FUL</t>
  </si>
  <si>
    <t>0611832119100</t>
  </si>
  <si>
    <t>TAG Calibrachoa Candy Shop Double Bubble Gum 100/100 Pixie Tag</t>
  </si>
  <si>
    <t>0611832088100</t>
  </si>
  <si>
    <t>TAG Calibrachoa Candy Shop Fancy Berry 100/100 Pixie Tag</t>
  </si>
  <si>
    <t>0611860865050</t>
  </si>
  <si>
    <t>TAG Calibrachoa Candy Shop Fancy Berry 50/50 Petite Portrait FUL</t>
  </si>
  <si>
    <t>0611832089100</t>
  </si>
  <si>
    <t>TAG Calibrachoa Candy Shop Grape Splash 100/100 Pixie Tag</t>
  </si>
  <si>
    <t>0611860866050</t>
  </si>
  <si>
    <t>TAG Calibrachoa Candy Shop Grape Splash 50/50 Petite Portrait FUL</t>
  </si>
  <si>
    <t>0611832090100</t>
  </si>
  <si>
    <t>TAG Calibrachoa Candy Shop Milky Pink 100/100 Pixie Tag</t>
  </si>
  <si>
    <t>0611832120100</t>
  </si>
  <si>
    <t>TAG Calibrachoa Candy Shop Pixie Stix Mix 100/100 Pixie Tag</t>
  </si>
  <si>
    <t>0611860867050</t>
  </si>
  <si>
    <t>TAG Calibrachoa Candy Shop Pixie Stix Mix 50/50 Petite Portrait FUL</t>
  </si>
  <si>
    <t>0611832091100</t>
  </si>
  <si>
    <t>TAG Calibrachoa Candy Shop Sweet Dreams 100/100 Pixie Tag</t>
  </si>
  <si>
    <t>0611860868050</t>
  </si>
  <si>
    <t>TAG Calibrachoa Candy Shop Sweet Dreams 50/50 Petite Portrait FUL</t>
  </si>
  <si>
    <t>0611860869050</t>
  </si>
  <si>
    <t>TAG Calibrachoa Candy Shop Sweet Tart 50/50 Petite Portrait FUL</t>
  </si>
  <si>
    <t>0611856851100</t>
  </si>
  <si>
    <t>TAG Calibrachoa Caramel 100/100 Pixie Tag</t>
  </si>
  <si>
    <t>0611860870050</t>
  </si>
  <si>
    <t>TAG Calibrachoa Celebration Chameleon Blueberry 50/50 Petite Portrait FUL</t>
  </si>
  <si>
    <t>0611832096100</t>
  </si>
  <si>
    <t>TAG Calibrachoa Chameleon Atomic Orange 100/100 Pixie Tag</t>
  </si>
  <si>
    <t>0611860872050</t>
  </si>
  <si>
    <t>TAG Calibrachoa Chameleon Atomic Orange 50/50 Petite Portrait FUL</t>
  </si>
  <si>
    <t>0611832097100</t>
  </si>
  <si>
    <t>TAG Calibrachoa Chameleon Avant Garden 100/100 Pixie Tag</t>
  </si>
  <si>
    <t>0611860873050</t>
  </si>
  <si>
    <t>TAG Calibrachoa Chameleon Avant Garden 50/50 Petite Portrait FUL</t>
  </si>
  <si>
    <t>0611832099100</t>
  </si>
  <si>
    <t>TAG Calibrachoa Chameleon Blackberry Pie 100/100 Pixie Tag</t>
  </si>
  <si>
    <t>0611860874050</t>
  </si>
  <si>
    <t>TAG Calibrachoa Chameleon Blackberry Pie 50/50 Petite Portrait FUL</t>
  </si>
  <si>
    <t>0611860875050</t>
  </si>
  <si>
    <t>TAG Calibrachoa Chameleon Blackberry Tart 50/50 Petite Portrait FUL</t>
  </si>
  <si>
    <t>0611832100100</t>
  </si>
  <si>
    <t>TAG Calibrachoa Chameleon Blueberry Scone 100/100 Pixie Tag</t>
  </si>
  <si>
    <t>0611832101100</t>
  </si>
  <si>
    <t>TAG Calibrachoa Chameleon Cherry Banana 100/100 Pixie Tag</t>
  </si>
  <si>
    <t>0611860876050</t>
  </si>
  <si>
    <t>TAG Calibrachoa Chameleon Cherry Banana 50/50 Petite Portrait FUL</t>
  </si>
  <si>
    <t>0611832102100</t>
  </si>
  <si>
    <t>TAG Calibrachoa Chameleon Double Desert Rose 100/100 Pixie Tag</t>
  </si>
  <si>
    <t>0611860877050</t>
  </si>
  <si>
    <t>TAG Calibrachoa Chameleon Double Desert Rose 50/50 Petite Portrait FUL</t>
  </si>
  <si>
    <t>0611832103100</t>
  </si>
  <si>
    <t>TAG Calibrachoa Chameleon Double Inferno 100/100 Pixie Tag</t>
  </si>
  <si>
    <t>0611860878050</t>
  </si>
  <si>
    <t>TAG Calibrachoa Chameleon Double Inferno 50/50 Petite Portrait FUL</t>
  </si>
  <si>
    <t>0611832104100</t>
  </si>
  <si>
    <t>TAG Calibrachoa Chameleon Double Pink Yellow 100/100 Pixie Tag</t>
  </si>
  <si>
    <t>0611860879050</t>
  </si>
  <si>
    <t>TAG Calibrachoa Chameleon Double Pink Yellow 50/50 Petite Portrait FUL</t>
  </si>
  <si>
    <t>0611832105100</t>
  </si>
  <si>
    <t>TAG Calibrachoa Chameleon Double Tickled Pink 100/100 Pixie Tag</t>
  </si>
  <si>
    <t>0611860880050</t>
  </si>
  <si>
    <t>TAG Calibrachoa Chameleon Fairytale 50/50 Petite Portrait FUL</t>
  </si>
  <si>
    <t>0611860881050</t>
  </si>
  <si>
    <t>TAG Calibrachoa Chameleon Fashionista 50/50 Petite Portrait FUL</t>
  </si>
  <si>
    <t>0611832107100</t>
  </si>
  <si>
    <t>TAG Calibrachoa Chameleon Frozen Ice 100/100 Pixie Tag</t>
  </si>
  <si>
    <t>0611860882050</t>
  </si>
  <si>
    <t>TAG Calibrachoa Chameleon Frozen Ice 50/50 Petite Portrait FUL</t>
  </si>
  <si>
    <t>0611832108100</t>
  </si>
  <si>
    <t>TAG Calibrachoa Chameleon Indian Summer 100/100 Pixie Tag</t>
  </si>
  <si>
    <t>0611860883050</t>
  </si>
  <si>
    <t>TAG Calibrachoa Chameleon Indian Summer 50/50 Petite Portrait FUL</t>
  </si>
  <si>
    <t>0611860884050</t>
  </si>
  <si>
    <t>TAG Calibrachoa Chameleon Lavender Sorbet 50/50 Petite Portrait FUL</t>
  </si>
  <si>
    <t>0611832110100</t>
  </si>
  <si>
    <t>TAG Calibrachoa Chameleon Lemon Berry 100/100 Pixie Tag</t>
  </si>
  <si>
    <t>0611860885050</t>
  </si>
  <si>
    <t>TAG Calibrachoa Chameleon Lemon Berry 50/50 Petite Portrait FUL</t>
  </si>
  <si>
    <t>0611860886050</t>
  </si>
  <si>
    <t>TAG Calibrachoa Chameleon Pink Diamond 50/50 Petite Portrait FUL</t>
  </si>
  <si>
    <t>0611832112100</t>
  </si>
  <si>
    <t>TAG Calibrachoa Chameleon Pink Passion 100/100 Pixie Tag</t>
  </si>
  <si>
    <t>0611860887050</t>
  </si>
  <si>
    <t>TAG Calibrachoa Chameleon Pink Passion 50/50 Petite Portrait FUL</t>
  </si>
  <si>
    <t>0611860888050</t>
  </si>
  <si>
    <t>TAG Calibrachoa Chameleon Pink Sorbet 50/50 Petite Portrait FUL</t>
  </si>
  <si>
    <t>0611856852100</t>
  </si>
  <si>
    <t>TAG Calibrachoa Chameleon Pink Splash 100/100 Pixie Tag</t>
  </si>
  <si>
    <t>0611860889050</t>
  </si>
  <si>
    <t>TAG Calibrachoa Chameleon Pink Splash 50/50 Petite Portrait FUL</t>
  </si>
  <si>
    <t>0611832115100</t>
  </si>
  <si>
    <t>TAG Calibrachoa Chameleon Starlet Pink 100/100 Pixie Tag</t>
  </si>
  <si>
    <t>0611860890050</t>
  </si>
  <si>
    <t>TAG Calibrachoa Chameleon Starlet Pink 50/50 Petite Portrait FUL</t>
  </si>
  <si>
    <t>0611860891050</t>
  </si>
  <si>
    <t>TAG Calibrachoa Chameleon Sunshine 22 50/50 Petite Portrait FUL</t>
  </si>
  <si>
    <t>0611832114100</t>
  </si>
  <si>
    <t>TAG Calibrachoa Chameleon Sunshine Berry 100/100 Pixie Tag</t>
  </si>
  <si>
    <t>0611860892050</t>
  </si>
  <si>
    <t>TAG Calibrachoa Chameleon Sunshine Berry 50/50 Petite Portrait FUL</t>
  </si>
  <si>
    <t>0611832116100</t>
  </si>
  <si>
    <t>TAG Calibrachoa Chameleon Tart Deco 100/100 Pixie Tag</t>
  </si>
  <si>
    <t>0611860893050</t>
  </si>
  <si>
    <t>TAG Calibrachoa Chameleon Tart Deco 50/50 Petite Portrait FUL</t>
  </si>
  <si>
    <t>0611832121100</t>
  </si>
  <si>
    <t>TAG Calibrachoa Colibri Abstract Guava 100/100 Pixie Tag</t>
  </si>
  <si>
    <t>0611832122100</t>
  </si>
  <si>
    <t>TAG Calibrachoa Colibri Blizzard 100/100 Pixie Tag</t>
  </si>
  <si>
    <t>0611832123100</t>
  </si>
  <si>
    <t>TAG Calibrachoa Colibri Bright Red 100/100 Pixie Tag</t>
  </si>
  <si>
    <t>0611832124100</t>
  </si>
  <si>
    <t>TAG Calibrachoa Colibri Cherry Lace 100/100 Pixie Tag</t>
  </si>
  <si>
    <t>0611856853100</t>
  </si>
  <si>
    <t>TAG Calibrachoa Colibri Dark Lavender 100/100 Pixie Tag</t>
  </si>
  <si>
    <t>0611832125100</t>
  </si>
  <si>
    <t>TAG Calibrachoa Colibri Double Copper 100/100 Pixie Tag</t>
  </si>
  <si>
    <t>0611832126100</t>
  </si>
  <si>
    <t>TAG Calibrachoa Colibri Double Deep Purple 100/100 Pixie Tag</t>
  </si>
  <si>
    <t>0611832127100</t>
  </si>
  <si>
    <t>TAG Calibrachoa Colibri Double Violet 100/100 Pixie Tag</t>
  </si>
  <si>
    <t>0611856854100</t>
  </si>
  <si>
    <t>TAG Calibrachoa Colibri Exotic Red Bling 100/100 Pixie Tag</t>
  </si>
  <si>
    <t>0611832128100</t>
  </si>
  <si>
    <t>TAG Calibrachoa Colibri Lemon 100/100 Pixie Tag</t>
  </si>
  <si>
    <t>0611832129100</t>
  </si>
  <si>
    <t>TAG Calibrachoa Colibri Malibu Pink 100/100 Pixie Tag</t>
  </si>
  <si>
    <t>0611832130100</t>
  </si>
  <si>
    <t>TAG Calibrachoa Colibri Mellow Yellow 100/100 Pixie Tag</t>
  </si>
  <si>
    <t>0611832131100</t>
  </si>
  <si>
    <t>TAG Calibrachoa Colibri Orange 100/100 Pixie Tag</t>
  </si>
  <si>
    <t>0611832133100</t>
  </si>
  <si>
    <t>TAG Calibrachoa Colibri Pink Bling 100/100 Pixie Tag</t>
  </si>
  <si>
    <t>0611832134100</t>
  </si>
  <si>
    <t>TAG Calibrachoa Colibri Pink Flamingo 100/100 Pixie Tag</t>
  </si>
  <si>
    <t>0611832135100</t>
  </si>
  <si>
    <t>TAG Calibrachoa Colibri Pink Lace 100/100 Pixie Tag</t>
  </si>
  <si>
    <t>0611832136100</t>
  </si>
  <si>
    <t>TAG Calibrachoa Colibri Plum 100/100 Pixie Tag</t>
  </si>
  <si>
    <t>0611856855100</t>
  </si>
  <si>
    <t>TAG Calibrachoa Colibri Pure White 100/100 Pixie Tag</t>
  </si>
  <si>
    <t>0611832137100</t>
  </si>
  <si>
    <t>TAG Calibrachoa Colibri Purple Bling 100/100 Pixie Tag</t>
  </si>
  <si>
    <t>0611832138100</t>
  </si>
  <si>
    <t>TAG Calibrachoa Colibri Purple Lace 100/100 Pixie Tag</t>
  </si>
  <si>
    <t>0611884075100</t>
  </si>
  <si>
    <t>TAG Calibrachoa Colibri Spark Purple 100/100 Pixie Tag</t>
  </si>
  <si>
    <t>0611884076100</t>
  </si>
  <si>
    <t>TAG Calibrachoa Colibri Tangerine 100/100 Pixie Tag</t>
  </si>
  <si>
    <t>0611832139100</t>
  </si>
  <si>
    <t>TAG Calibrachoa Colibri Yellow Canary 100/100 Pixie Tag</t>
  </si>
  <si>
    <t>0611832140100</t>
  </si>
  <si>
    <t>TAG Calibrachoa Crave Strawberry Star 100/100 Pixie Tag</t>
  </si>
  <si>
    <t>0611856856100</t>
  </si>
  <si>
    <t>TAG Calibrachoa Dracula 100/100 Pixie Tag</t>
  </si>
  <si>
    <t>0611860894050</t>
  </si>
  <si>
    <t>TAG Calibrachoa Dracula 50/50 Petite Portrait FUL</t>
  </si>
  <si>
    <t>0611856857100</t>
  </si>
  <si>
    <t>TAG Calibrachoa Eyeconic Apricot 100/100 Pixie Tag</t>
  </si>
  <si>
    <t>0611832143100</t>
  </si>
  <si>
    <t>TAG Calibrachoa Eyeconic Cherry Blossom 100/100 Pixie Tag</t>
  </si>
  <si>
    <t>0611832144100</t>
  </si>
  <si>
    <t>TAG Calibrachoa Eyeconic Peach 100/100 Pixie Tag</t>
  </si>
  <si>
    <t>0611832145100</t>
  </si>
  <si>
    <t>TAG Calibrachoa Eyeconic Pink 100/100 Pixie Tag</t>
  </si>
  <si>
    <t>0611832146100</t>
  </si>
  <si>
    <t>TAG Calibrachoa Eyeconic Purple 100/100 Pixie Tag</t>
  </si>
  <si>
    <t>0611856858100</t>
  </si>
  <si>
    <t>TAG Calibrachoa Eyeconic Strawberry 100/100 Pixie Tag</t>
  </si>
  <si>
    <t>0611832147100</t>
  </si>
  <si>
    <t>TAG Calibrachoa Eyeconic Sunset 100/100 Pixie Tag</t>
  </si>
  <si>
    <t>0611832148100</t>
  </si>
  <si>
    <t>TAG Calibrachoa Firewalker 100/100 Pixie Tag</t>
  </si>
  <si>
    <t>0611832149100</t>
  </si>
  <si>
    <t>TAG Calibrachoa GENERIC Bilingual 100/100 Pixie Tag</t>
  </si>
  <si>
    <t>0611884077050</t>
  </si>
  <si>
    <t>TAG Calibrachoa Hawaiian Nani Pixi Stix Conf 50/50 Petite Portrait FUL</t>
  </si>
  <si>
    <t>0611884078050</t>
  </si>
  <si>
    <t>TAG Calibrachoa Hawaiian Nani Valentine Conf 50/50 Petite Portrait FUL</t>
  </si>
  <si>
    <t>0611860895050</t>
  </si>
  <si>
    <t>TAG Calibrachoa Hula Amethyst 50/50 Petite Portrait DO FUL</t>
  </si>
  <si>
    <t>0611860896050</t>
  </si>
  <si>
    <t>TAG Calibrachoa Hula Appleblossom 50/50 Petite Portrait DO FUL</t>
  </si>
  <si>
    <t>0611860897050</t>
  </si>
  <si>
    <t>TAG Calibrachoa Hula Blue 50/50 Petite Portrait DO FUL</t>
  </si>
  <si>
    <t>0611860898050</t>
  </si>
  <si>
    <t>TAG Calibrachoa Hula Gold 50/50 Petite Portrait DO FUL</t>
  </si>
  <si>
    <t>0611860899050</t>
  </si>
  <si>
    <t>TAG Calibrachoa Hula Gold Medal 50/50 Petite Portrait DO FUL</t>
  </si>
  <si>
    <t>0611860900050</t>
  </si>
  <si>
    <t>TAG Calibrachoa Hula Hot Pink 50/50 Petite Portrait DO FUL</t>
  </si>
  <si>
    <t>0611860901050</t>
  </si>
  <si>
    <t>TAG Calibrachoa Hula Orange 50/50 Petite Portrait DO FUL</t>
  </si>
  <si>
    <t>0611860902050</t>
  </si>
  <si>
    <t>TAG Calibrachoa Hula Pastel Pink 50/50 Petite Portrait DO FUL</t>
  </si>
  <si>
    <t>0611860903050</t>
  </si>
  <si>
    <t>TAG Calibrachoa Hula Red 50/50 Petite Portrait DO FUL</t>
  </si>
  <si>
    <t>0611860904050</t>
  </si>
  <si>
    <t>TAG Calibrachoa Hula Soft Pink 50/50 Petite Portrait DO FUL</t>
  </si>
  <si>
    <t>0611856859100</t>
  </si>
  <si>
    <t>TAG Calibrachoa Illusion 100/100 Pixie Tag</t>
  </si>
  <si>
    <t>0611860905050</t>
  </si>
  <si>
    <t>TAG Calibrachoa Illusion 50/50 Petite Portrait FUL</t>
  </si>
  <si>
    <t>0611832150100</t>
  </si>
  <si>
    <t>TAG Calibrachoa Kabloom Blue 100/100 Pixie Tag</t>
  </si>
  <si>
    <t>0611832151100</t>
  </si>
  <si>
    <t>TAG Calibrachoa Kabloom Cherry 100/100 Pixie Tag</t>
  </si>
  <si>
    <t>0611832152100</t>
  </si>
  <si>
    <t>TAG Calibrachoa Kabloom Coral 100/100 Pixie Tag</t>
  </si>
  <si>
    <t>0611832154100</t>
  </si>
  <si>
    <t>TAG Calibrachoa Kabloom Deep Pink 100/100 Pixie Tag</t>
  </si>
  <si>
    <t>0611832155100</t>
  </si>
  <si>
    <t>TAG Calibrachoa Kabloom Denim 100/100 Pixie Tag</t>
  </si>
  <si>
    <t>0611832156100</t>
  </si>
  <si>
    <t>TAG Calibrachoa Kabloom Orange 100/100 Pixie Tag</t>
  </si>
  <si>
    <t>0611832157100</t>
  </si>
  <si>
    <t>TAG Calibrachoa Kabloom Pink 100/100 Pixie Tag</t>
  </si>
  <si>
    <t>0611832158100</t>
  </si>
  <si>
    <t>TAG Calibrachoa Kabloom Pink Light Blast 100/100 Pixie Tag</t>
  </si>
  <si>
    <t>0611832160100</t>
  </si>
  <si>
    <t>TAG Calibrachoa Kabloom Violet 100/100 Pixie Tag</t>
  </si>
  <si>
    <t>0611832161100</t>
  </si>
  <si>
    <t>TAG Calibrachoa Kabloom White 100/100 Pixie Tag</t>
  </si>
  <si>
    <t>0611832162100</t>
  </si>
  <si>
    <t>TAG Calibrachoa Kabloom Yellow 100/100 Pixie Tag</t>
  </si>
  <si>
    <t>0611860906050</t>
  </si>
  <si>
    <t>TAG Calibrachoa Lavender Spring 50/50 Petite Portrait FUL</t>
  </si>
  <si>
    <t>0611832163100</t>
  </si>
  <si>
    <t>TAG Calibrachoa Lia Series 100/100 Pixie Tag</t>
  </si>
  <si>
    <t>0611860912050</t>
  </si>
  <si>
    <t>TAG Calibrachoa Lindura Orange 50/50 Petite Portrait FUL</t>
  </si>
  <si>
    <t>0611860916050</t>
  </si>
  <si>
    <t>TAG Calibrachoa Lindura White Yellow Heart 50/50 Petite Portrait FUL</t>
  </si>
  <si>
    <t>0611832164100</t>
  </si>
  <si>
    <t>TAG Calibrachoa Noa Almond Blossom 100/100 Pixie Tag</t>
  </si>
  <si>
    <t>0611832167100</t>
  </si>
  <si>
    <t>TAG Calibrachoa Noa Blue Legend 100/100 Pixie Tag</t>
  </si>
  <si>
    <t>0611832169100</t>
  </si>
  <si>
    <t>TAG Calibrachoa Noa Dark Pink Carnival 100/100 Pixie Tag</t>
  </si>
  <si>
    <t>0611832170100</t>
  </si>
  <si>
    <t>TAG Calibrachoa Noa Dark Red 100/100 Pixie Tag</t>
  </si>
  <si>
    <t>0611832171100</t>
  </si>
  <si>
    <t>TAG Calibrachoa Noa Deep Purple 100/100 Pixie Tag</t>
  </si>
  <si>
    <t>0611832172100</t>
  </si>
  <si>
    <t>TAG Calibrachoa Noa Mega Magenta 100/100 Pixie Tag</t>
  </si>
  <si>
    <t>0611832173100</t>
  </si>
  <si>
    <t>TAG Calibrachoa Noa Mega Pink 100/100 Pixie Tag</t>
  </si>
  <si>
    <t>0611832175100</t>
  </si>
  <si>
    <t>TAG Calibrachoa Noa Orange 100/100 Pixie Tag</t>
  </si>
  <si>
    <t>0611832176100</t>
  </si>
  <si>
    <t>TAG Calibrachoa Noa Papaya 100/100 Pixie Tag</t>
  </si>
  <si>
    <t>0611832177100</t>
  </si>
  <si>
    <t>TAG Calibrachoa Noa Peach 100/100 Pixie Tag</t>
  </si>
  <si>
    <t>0611832178100</t>
  </si>
  <si>
    <t>TAG Calibrachoa Noa Pink 100/100 Pixie Tag</t>
  </si>
  <si>
    <t>0611832179100</t>
  </si>
  <si>
    <t>TAG Calibrachoa Noa Red 100/100 Pixie Tag</t>
  </si>
  <si>
    <t>0611832180100</t>
  </si>
  <si>
    <t>TAG Calibrachoa Noa Red Wine 100/100 Pixie Tag</t>
  </si>
  <si>
    <t>0611832181100</t>
  </si>
  <si>
    <t>TAG Calibrachoa Noa Series 100/100 Pixie Tag</t>
  </si>
  <si>
    <t>0611832182100</t>
  </si>
  <si>
    <t>TAG Calibrachoa Noa Snow 100/100 Pixie Tag</t>
  </si>
  <si>
    <t>0611832184100</t>
  </si>
  <si>
    <t>TAG Calibrachoa Noa Sunset 100/100 Pixie Tag</t>
  </si>
  <si>
    <t>0611832186100</t>
  </si>
  <si>
    <t>TAG Calibrachoa Noa Ultra Purple 100/100 Pixie Tag</t>
  </si>
  <si>
    <t>0611832187100</t>
  </si>
  <si>
    <t>TAG Calibrachoa Noa Yellow 100/100 Pixie Tag</t>
  </si>
  <si>
    <t>0611832188100</t>
  </si>
  <si>
    <t>TAG Calibrachoa Ombre Blue 100/100 Pixie Tag</t>
  </si>
  <si>
    <t>0611832189100</t>
  </si>
  <si>
    <t>TAG Calibrachoa Ombre Blush 100/100 Pixie Tag</t>
  </si>
  <si>
    <t>0611832190100</t>
  </si>
  <si>
    <t>TAG Calibrachoa Ombre Pink 100/100 Pixie Tag</t>
  </si>
  <si>
    <t>0611884079100</t>
  </si>
  <si>
    <t>TAG Calibrachoa Ombre Purple 100/100 Pixie Tag</t>
  </si>
  <si>
    <t>0611884080100</t>
  </si>
  <si>
    <t>TAG Calibrachoa Ombre Sunrise 100/100 Pixie Tag</t>
  </si>
  <si>
    <t>0611832191100</t>
  </si>
  <si>
    <t>TAG Calibrachoa Ombre Yellow 100/100 Pixie Tag</t>
  </si>
  <si>
    <t>0611832192025</t>
  </si>
  <si>
    <t>TAG Calibrachoa Paradise Island Mix 25/25 Portrait Tag</t>
  </si>
  <si>
    <t>0611860919050</t>
  </si>
  <si>
    <t>TAG Calibrachoa Pink Volcano 50/50 Petite Portrait DO FUL</t>
  </si>
  <si>
    <t>0611832193100</t>
  </si>
  <si>
    <t>TAG Calibrachoa Pocket Series 100/100 Pixie Tag</t>
  </si>
  <si>
    <t>0611860920050</t>
  </si>
  <si>
    <t>TAG Calibrachoa Rainbow Bermuda Blue 50/50 Petite Portrait DO FUL</t>
  </si>
  <si>
    <t>0611860921050</t>
  </si>
  <si>
    <t>TAG Calibrachoa Rainbow Calypso Coral 50/50 Petite Portrait DO FUL</t>
  </si>
  <si>
    <t>0611860922050</t>
  </si>
  <si>
    <t>TAG Calibrachoa Rainbow Flamingo Flair 50/50 Petite Portrait DO FUL</t>
  </si>
  <si>
    <t>0611860923050</t>
  </si>
  <si>
    <t>TAG Calibrachoa Rainbow Maple Sugar 50/50 Petite Portrait DO FUL</t>
  </si>
  <si>
    <t>0611860924050</t>
  </si>
  <si>
    <t>TAG Calibrachoa Rainbow Orange Oasis 50/50 Petite Portrait DO FUL</t>
  </si>
  <si>
    <t>0611860925050</t>
  </si>
  <si>
    <t>TAG Calibrachoa Rainbow Parisian Pink 50/50 Petite Portrait DO FUL</t>
  </si>
  <si>
    <t>0611860926050</t>
  </si>
  <si>
    <t>TAG Calibrachoa Rainbow Pink Blush 50/50 Petite Portrait DO FUL</t>
  </si>
  <si>
    <t>0611860927050</t>
  </si>
  <si>
    <t>TAG Calibrachoa Rainbow Pink Paloma 50/50 Petite Portrait DO FUL</t>
  </si>
  <si>
    <t>0611860928050</t>
  </si>
  <si>
    <t>TAG Calibrachoa Rainbow Pink Pepperberry 50/50 Petite Portrait DO FUL</t>
  </si>
  <si>
    <t>0611860929050</t>
  </si>
  <si>
    <t>TAG Calibrachoa Rainbow Tiger Tail 50/50 Petite Portrait DO FUL</t>
  </si>
  <si>
    <t>0611832194100</t>
  </si>
  <si>
    <t>TAG Calibrachoa Skywalker 100/100 Pixie Tag</t>
  </si>
  <si>
    <t>0611860930050</t>
  </si>
  <si>
    <t>TAG Calibrachoa Skywalker 50/50 Petite Portrait FUL</t>
  </si>
  <si>
    <t>0611860931050</t>
  </si>
  <si>
    <t>TAG Calibrachoa TikTok Blue 50/50 Petite Portrait DO FUL</t>
  </si>
  <si>
    <t>0611884081050</t>
  </si>
  <si>
    <t>TAG Calibrachoa TikTok Crystal 50/50 Petite Portrait DO FUL</t>
  </si>
  <si>
    <t>0611860932050</t>
  </si>
  <si>
    <t>TAG Calibrachoa TikTok Grape 50/50 Petite Portrait DO FUL</t>
  </si>
  <si>
    <t>0611860933050</t>
  </si>
  <si>
    <t>TAG Calibrachoa TikTok Orange 50/50 Petite Portrait DO FUL</t>
  </si>
  <si>
    <t>0611860934050</t>
  </si>
  <si>
    <t>TAG Calibrachoa TikTok Pink 50/50 Petite Portrait DO FUL</t>
  </si>
  <si>
    <t>0611860935050</t>
  </si>
  <si>
    <t>TAG Calibrachoa TikTok Rose 50/50 Petite Portrait DO FUL</t>
  </si>
  <si>
    <t>0611884082050</t>
  </si>
  <si>
    <t>TAG Calibrachoa TikTok Sky Blue 50/50 Petite Portrait DO FUL</t>
  </si>
  <si>
    <t>0611860936050</t>
  </si>
  <si>
    <t>TAG Calibrachoa TikTok White 50/50 Petite Portrait DO FUL</t>
  </si>
  <si>
    <t>0611832196100</t>
  </si>
  <si>
    <t>TAG Calibrachoa Unique Cranberry Punch 100/100 Pixie Tag</t>
  </si>
  <si>
    <t>0611832197100</t>
  </si>
  <si>
    <t>TAG Calibrachoa Unique Dark Pink 100/100 Pixie Tag</t>
  </si>
  <si>
    <t>0611832198100</t>
  </si>
  <si>
    <t>TAG Calibrachoa Unique Dark Red 100/100 Pixie Tag</t>
  </si>
  <si>
    <t>0611832199100</t>
  </si>
  <si>
    <t>TAG Calibrachoa Unique Golden Yellow 100/100 Pixie Tag</t>
  </si>
  <si>
    <t>0611832200100</t>
  </si>
  <si>
    <t>TAG Calibrachoa Unique Hot Pink 100/100 Pixie Tag</t>
  </si>
  <si>
    <t>0611832201100</t>
  </si>
  <si>
    <t>TAG Calibrachoa Unique Lavender 100/100 Pixie Tag</t>
  </si>
  <si>
    <t>0611832202100</t>
  </si>
  <si>
    <t>TAG Calibrachoa Unique Lilac 100/100 Pixie Tag</t>
  </si>
  <si>
    <t>0611832203100</t>
  </si>
  <si>
    <t>TAG Calibrachoa Unique Mango Punch 100/100 Pixie Tag</t>
  </si>
  <si>
    <t>0611832204100</t>
  </si>
  <si>
    <t>TAG Calibrachoa Unique Orange 100/100 Pixie Tag</t>
  </si>
  <si>
    <t>0611832205100</t>
  </si>
  <si>
    <t>TAG Calibrachoa Unique Pink 100/100 Pixie Tag</t>
  </si>
  <si>
    <t>0611832206100</t>
  </si>
  <si>
    <t>TAG Calibrachoa Unique White 100/100 Pixie Tag</t>
  </si>
  <si>
    <t>0611860937050</t>
  </si>
  <si>
    <t>TAG Calibrachoa Volcano Gold 50/50 Petite Portrait DO FUL</t>
  </si>
  <si>
    <t>0611860938050</t>
  </si>
  <si>
    <t>TAG Calibrachoa Volcano Neon 50/50 Petite Portrait DO FUL</t>
  </si>
  <si>
    <t>0611860939050</t>
  </si>
  <si>
    <t>TAG Calibrachoa Volcano Sunrise 50/50 Petite Portrait DO FUL</t>
  </si>
  <si>
    <t>0611860940050</t>
  </si>
  <si>
    <t>TAG Calibrachoa Volcano Sunrise Limited Availability 50/50 Petite Tag DO</t>
  </si>
  <si>
    <t>0611860941050</t>
  </si>
  <si>
    <t>TAG Calibrachoa Volcano Sunset 50/50 Petite Portrait DO FUL</t>
  </si>
  <si>
    <t>0611832209100</t>
  </si>
  <si>
    <t>TAG Callisia Bolivian Jew GENERIC 100/100 Hang Tag</t>
  </si>
  <si>
    <t>0611832226100</t>
  </si>
  <si>
    <t>TAG Callisia Bolivian Jew GENERIC 100/100 Pixie Tag</t>
  </si>
  <si>
    <t>0611832225100</t>
  </si>
  <si>
    <t>TAG Callisia Turtle Vine Repens 100/100 Pixie Tag</t>
  </si>
  <si>
    <t>0611832228100</t>
  </si>
  <si>
    <t>TAG Calocephalus Cushion Bush GENERIC 100/100 Pixie Tag</t>
  </si>
  <si>
    <t>0611832229100</t>
  </si>
  <si>
    <t>TAG Calocephalus Silver Stone 100/100 Pixie Tag</t>
  </si>
  <si>
    <t>0611861080050</t>
  </si>
  <si>
    <t>TAG Calocephalus Whimsy Silver 50/50 Petite Portrait SF FUL</t>
  </si>
  <si>
    <t>0611861081050</t>
  </si>
  <si>
    <t>TAG Campanula Beyond Blue 50/50 Petite Portrait FUL</t>
  </si>
  <si>
    <t>0611832237025</t>
  </si>
  <si>
    <t>TAG Campanula Birch Hybrid 25/25 Portrait Tag</t>
  </si>
  <si>
    <t>0611832238025</t>
  </si>
  <si>
    <t>TAG Campanula Blue Persicifolia 25/25 Portrait Tag</t>
  </si>
  <si>
    <t>0611832239100</t>
  </si>
  <si>
    <t>TAG Campanula Calycanthema Mix 100/100 Pixie Tag</t>
  </si>
  <si>
    <t>0611832240025</t>
  </si>
  <si>
    <t>TAG Campanula Calycanthema Mix 25/25 Portrait Tag</t>
  </si>
  <si>
    <t>0611832243100</t>
  </si>
  <si>
    <t>TAG Campanula Campanella Pink 100/100 Pixie Tag</t>
  </si>
  <si>
    <t>0611832244100</t>
  </si>
  <si>
    <t>TAG Campanula Campanella Series 100/100 Pixie Tag</t>
  </si>
  <si>
    <t>0611832245025</t>
  </si>
  <si>
    <t>TAG Campanula Cariboo Blue 25/25 Portrait Tag SF</t>
  </si>
  <si>
    <t>0611832246025</t>
  </si>
  <si>
    <t>TAG Campanula Cariboo Blue Forte 25/25 Portrait Tag SF</t>
  </si>
  <si>
    <t>0611832247025</t>
  </si>
  <si>
    <t>TAG Campanula Carpathian Harebell GENERIC 25/25 Portrait Tag</t>
  </si>
  <si>
    <t>0611832249100</t>
  </si>
  <si>
    <t>TAG Campanula Clips Blue 100/100 Pixie Tag</t>
  </si>
  <si>
    <t>0611832250025</t>
  </si>
  <si>
    <t>TAG Campanula Clips Blue 25/25 Portrait Tag</t>
  </si>
  <si>
    <t>0611832251100</t>
  </si>
  <si>
    <t>TAG Campanula Clips Deep Blue 100/100 Pixie Tag</t>
  </si>
  <si>
    <t>0611832252025</t>
  </si>
  <si>
    <t>TAG Campanula Clips Deep Blue 25/25 Portrait Tag</t>
  </si>
  <si>
    <t>0611832253100</t>
  </si>
  <si>
    <t>TAG Campanula Clips White 100/100 Pixie Tag</t>
  </si>
  <si>
    <t>0611832254025</t>
  </si>
  <si>
    <t>TAG Campanula Clips White 25/25 Portrait Tag</t>
  </si>
  <si>
    <t>0611832256025</t>
  </si>
  <si>
    <t>TAG Campanula Clockwise Deep Blue 25/25 Portrait Tag</t>
  </si>
  <si>
    <t>0611861082100</t>
  </si>
  <si>
    <t>TAG Campanula Dalmatian Bell Limited Availability 100/100 Pixie Tag</t>
  </si>
  <si>
    <t>0611861083050</t>
  </si>
  <si>
    <t>TAG Campanula Dalmatian Bell Limited Availability 50/50 Petite Portrait</t>
  </si>
  <si>
    <t>0611832259025</t>
  </si>
  <si>
    <t>TAG Campanula Dicksons Gold 25/25 Portrait Tag</t>
  </si>
  <si>
    <t>0611832260025</t>
  </si>
  <si>
    <t>TAG Campanula Genti Blue 25/25 Portrait Tag</t>
  </si>
  <si>
    <t>0611832261025</t>
  </si>
  <si>
    <t>TAG Campanula Genti Twisterbell 25/25 Portrait Tag</t>
  </si>
  <si>
    <t>0611832262025</t>
  </si>
  <si>
    <t>TAG Campanula Genti White 25/25 Portrait Tag</t>
  </si>
  <si>
    <t>0611832264025</t>
  </si>
  <si>
    <t>TAG Campanula Iridescent Bells 25/25 Portrait Tag</t>
  </si>
  <si>
    <t>0611832266025</t>
  </si>
  <si>
    <t>TAG Campanula Milky Way 25/25 Portrait Tag</t>
  </si>
  <si>
    <t>0611832267100</t>
  </si>
  <si>
    <t>TAG Campanula Mixed Canterbury Bells Medium 100/100 Pixie Tag</t>
  </si>
  <si>
    <t>0611832268100</t>
  </si>
  <si>
    <t>TAG Campanula Pearl Deep Blue 100/100 Pixie Tag</t>
  </si>
  <si>
    <t>0611832269025</t>
  </si>
  <si>
    <t>TAG Campanula Pearl Deep Blue 25/25 Portrait Tag</t>
  </si>
  <si>
    <t>0611832270100</t>
  </si>
  <si>
    <t>TAG Campanula Pearl White 100/100 Pixie Tag</t>
  </si>
  <si>
    <t>0611832271025</t>
  </si>
  <si>
    <t>TAG Campanula Pearl White 25/25 Portrait Tag</t>
  </si>
  <si>
    <t>0611832272025</t>
  </si>
  <si>
    <t>TAG Campanula Poscharskyana 25/25 Portrait Tag</t>
  </si>
  <si>
    <t>0611832274025</t>
  </si>
  <si>
    <t>TAG Campanula Pristar Deep Blue 25/25 Portrait Tag</t>
  </si>
  <si>
    <t>0611832275025</t>
  </si>
  <si>
    <t>TAG Campanula Pristar Light Blue 25/25 Portrait Tag SF</t>
  </si>
  <si>
    <t>0611832276025</t>
  </si>
  <si>
    <t>TAG Campanula Pristar White 25/25 Portrait Tag SF</t>
  </si>
  <si>
    <t>0611832277100</t>
  </si>
  <si>
    <t>TAG Campanula Rapido Blue 100/100 Pixie Tag</t>
  </si>
  <si>
    <t>0611832278025</t>
  </si>
  <si>
    <t>TAG Campanula Rapido Blue 25/25 Portrait Tag</t>
  </si>
  <si>
    <t>0611832279100</t>
  </si>
  <si>
    <t>TAG Campanula Rapido White 100/100 Pixie Tag</t>
  </si>
  <si>
    <t>0611832280025</t>
  </si>
  <si>
    <t>TAG Campanula Rapido White 25/25 Portrait Tag</t>
  </si>
  <si>
    <t>0611832281025</t>
  </si>
  <si>
    <t>TAG Campanula Rotundifolia 25/25 Portrait Tag</t>
  </si>
  <si>
    <t>0611832282025</t>
  </si>
  <si>
    <t>TAG Campanula Spring Bell 2.0 Blue 25/25 Portrait Tag SF</t>
  </si>
  <si>
    <t>0611861084050</t>
  </si>
  <si>
    <t>TAG Campanula Spring Bell 2.0 Blue 50/50 Petite Portrait SF FUL</t>
  </si>
  <si>
    <t>0611832283025</t>
  </si>
  <si>
    <t>TAG Campanula Spring Bell 2.0 Dark Blue 25/25 Portrait Tag SF</t>
  </si>
  <si>
    <t>0611861085050</t>
  </si>
  <si>
    <t>TAG Campanula Spring Bell 2.0 Dark Blue 50/50 Petite Portrait SF FUL</t>
  </si>
  <si>
    <t>0611832284025</t>
  </si>
  <si>
    <t>TAG Campanula Spring Bell 2.0 White 25/25 Portrait Tag SF</t>
  </si>
  <si>
    <t>0611861086050</t>
  </si>
  <si>
    <t>TAG Campanula Spring Bell 2.0 White 50/50 Petite Portrait SF FUL</t>
  </si>
  <si>
    <t>0611832285025</t>
  </si>
  <si>
    <t>TAG Campanula Superba Glomerata 25/25 Portrait Tag</t>
  </si>
  <si>
    <t>0611832288025</t>
  </si>
  <si>
    <t>TAG Campanula Takion Blue 25/25 Portrait Tag</t>
  </si>
  <si>
    <t>0611832289025</t>
  </si>
  <si>
    <t>TAG Campanula Takion White 25/25 Portrait Tag</t>
  </si>
  <si>
    <t>0611861087050</t>
  </si>
  <si>
    <t>TAG Canna Cannasol Carmen 50/50 Petite Portrait FUL</t>
  </si>
  <si>
    <t>0611861088050</t>
  </si>
  <si>
    <t>TAG Canna Cannasol Cleo 50/50 Petite Portrait FUL</t>
  </si>
  <si>
    <t>0611861089050</t>
  </si>
  <si>
    <t>TAG Canna Cannasol Emily 50/50 Petite Portrait FUL</t>
  </si>
  <si>
    <t>0611861090050</t>
  </si>
  <si>
    <t>TAG Canna Cannasol Isabel 50/50 Petite Portrait FUL</t>
  </si>
  <si>
    <t>0611832293100</t>
  </si>
  <si>
    <t>TAG Canna Cannova Bronze Leaf Scarlet 100/100 Pixie Tag</t>
  </si>
  <si>
    <t>0611832294025</t>
  </si>
  <si>
    <t>TAG Canna Cannova Bronze Leaf Scarlet 25/25 Portrait Tag</t>
  </si>
  <si>
    <t>0611832295100</t>
  </si>
  <si>
    <t>TAG Canna Cannova Bronze Orange 100/100 Pixie Tag</t>
  </si>
  <si>
    <t>0611832296100</t>
  </si>
  <si>
    <t>TAG Canna Cannova Bronze Peach 100/100 Pixie Tag</t>
  </si>
  <si>
    <t>0611832297100</t>
  </si>
  <si>
    <t>TAG Canna Cannova Lemon 100/100 Pixie Tag</t>
  </si>
  <si>
    <t>0611832298100</t>
  </si>
  <si>
    <t>TAG Canna Cannova Mango 100/100 Pixie Tag</t>
  </si>
  <si>
    <t>0611832299100</t>
  </si>
  <si>
    <t>TAG Canna Cannova Orange Shades 100/100 Pixie Tag</t>
  </si>
  <si>
    <t>0611832300100</t>
  </si>
  <si>
    <t>TAG Canna Cannova Red Flame 100/100 Pixie Tag</t>
  </si>
  <si>
    <t>0611856860100</t>
  </si>
  <si>
    <t>TAG Canna Cannova Red Golden Flame 100/100 Pixie Tag</t>
  </si>
  <si>
    <t>0611832301100</t>
  </si>
  <si>
    <t>TAG Canna Cannova Red Shades 100/100 Pixie Tag</t>
  </si>
  <si>
    <t>0611832302025</t>
  </si>
  <si>
    <t>TAG Canna Cannova Red Shades 25/25 Portrait Tag</t>
  </si>
  <si>
    <t>0611832303100</t>
  </si>
  <si>
    <t>TAG Canna Cannova Rose 100/100 Pixie Tag</t>
  </si>
  <si>
    <t>0611832305100</t>
  </si>
  <si>
    <t>TAG Canna Cannova Scarlet 100/100 Pixie Tag</t>
  </si>
  <si>
    <t>0611832306100</t>
  </si>
  <si>
    <t>TAG Canna Cannova Yellow 100/100 Pixie Tag</t>
  </si>
  <si>
    <t>0611832307025</t>
  </si>
  <si>
    <t>TAG Canna Cannova Yellow 25/25 Portrait Tag</t>
  </si>
  <si>
    <t>0611832291100</t>
  </si>
  <si>
    <t>TAG Canna GENERIC 100/100 Pixie Tag</t>
  </si>
  <si>
    <t>0611832292025</t>
  </si>
  <si>
    <t>TAG Canna GENERIC 25/25 Portrait Tag</t>
  </si>
  <si>
    <t>0611832308100</t>
  </si>
  <si>
    <t>TAG Canna Pretoria 100/100 Pixie Tag</t>
  </si>
  <si>
    <t>0611832309100</t>
  </si>
  <si>
    <t>TAG Canna South Pacific Ivory 100/100 Pixie Tag</t>
  </si>
  <si>
    <t>0611832310100</t>
  </si>
  <si>
    <t>TAG Canna South Pacific Orange 100/100 Pixie Tag</t>
  </si>
  <si>
    <t>0611832311100</t>
  </si>
  <si>
    <t>TAG Canna South Pacific Rose 100/100 Pixie Tag</t>
  </si>
  <si>
    <t>0611832312100</t>
  </si>
  <si>
    <t>TAG Canna South Pacific Scarlet 100/100 Pixie Tag</t>
  </si>
  <si>
    <t>0611832313100</t>
  </si>
  <si>
    <t>TAG Canna Tropical Bronze Scarlet 100/100 Pixie Tag</t>
  </si>
  <si>
    <t>0611832314100</t>
  </si>
  <si>
    <t>TAG Canna Tropical Red 100/100 Pixie Tag</t>
  </si>
  <si>
    <t>0611832315100</t>
  </si>
  <si>
    <t>TAG Canna Tropical Rose 100/100 Pixie Tag</t>
  </si>
  <si>
    <t>0611832316100</t>
  </si>
  <si>
    <t>TAG Canna Tropical Salmon 100/100 Pixie Tag</t>
  </si>
  <si>
    <t>0611832317100</t>
  </si>
  <si>
    <t>TAG Canna Tropical White 100/100 Pixie Tag</t>
  </si>
  <si>
    <t>0611832318100</t>
  </si>
  <si>
    <t>TAG Canna Tropical Yellow 100/100 Pixie Tag</t>
  </si>
  <si>
    <t>0611832579100</t>
  </si>
  <si>
    <t>TAG Caraway 100/100 Pixie Tag</t>
  </si>
  <si>
    <t>0611833652100</t>
  </si>
  <si>
    <t>TAG Cardoon GENERIC 100/100 Pixie Tag</t>
  </si>
  <si>
    <t>0611832570025</t>
  </si>
  <si>
    <t>TAG Carex Amazon Mist 25/25 Portrait Tag</t>
  </si>
  <si>
    <t>0611832571025</t>
  </si>
  <si>
    <t>TAG Carex Bronco 25/25 Portrait Tag</t>
  </si>
  <si>
    <t>0611832574025</t>
  </si>
  <si>
    <t>TAG Carex Evergold 25/25 Portrait Tag</t>
  </si>
  <si>
    <t>0611832575025</t>
  </si>
  <si>
    <t>TAG Carex Ice Dance 25/25 Portrait Tag</t>
  </si>
  <si>
    <t>0611832576025</t>
  </si>
  <si>
    <t>TAG Carex Pensylvanica 25/25 Portrait Tag</t>
  </si>
  <si>
    <t>0611832577025</t>
  </si>
  <si>
    <t>TAG Carex Phoenix Green 25/25 Portrait Tag</t>
  </si>
  <si>
    <t>0611832578025</t>
  </si>
  <si>
    <t>TAG Carex Red Rooster 25/25 Portrait Tag</t>
  </si>
  <si>
    <t>0611833716100</t>
  </si>
  <si>
    <t>TAG Carrot GENERIC 100/100 Pixie Tag</t>
  </si>
  <si>
    <t>0611833718100</t>
  </si>
  <si>
    <t>TAG Carrot Harlequin Mix 100/100 Pixie Tag</t>
  </si>
  <si>
    <t>0611833717100</t>
  </si>
  <si>
    <t>TAG Carrot Rainbow Colors GENERIC 100/100 Pixie Tag</t>
  </si>
  <si>
    <t>0611832580025</t>
  </si>
  <si>
    <t>TAG Caryopteris Blue Cloud 25/25 Portrait Tag</t>
  </si>
  <si>
    <t>0611861091100</t>
  </si>
  <si>
    <t>TAG Caryopteris Dark Knight 100/100 Pixie Tag FUL</t>
  </si>
  <si>
    <t>0611832581025</t>
  </si>
  <si>
    <t>TAG Caryopteris Dark Knight 25/25 Portrait Tag</t>
  </si>
  <si>
    <t>0611861092050</t>
  </si>
  <si>
    <t>TAG Caryopteris Dark Knight Limited Availability 50/50 Petite Portrait</t>
  </si>
  <si>
    <t>0611884083025</t>
  </si>
  <si>
    <t>TAG Caryopteris Emerald Crest 25/25 Portrait Tag</t>
  </si>
  <si>
    <t>0611861093100</t>
  </si>
  <si>
    <t>TAG Caryopteris First Choice Limited Availability 100/100 Pixie Tag</t>
  </si>
  <si>
    <t>0611861094050</t>
  </si>
  <si>
    <t>TAG Caryopteris First Choice Limited Availability 50/50 Petite Portrait</t>
  </si>
  <si>
    <t>0611861095100</t>
  </si>
  <si>
    <t>TAG Caryopteris Gold Crest 100/100 Pixie Tag FUL</t>
  </si>
  <si>
    <t>0611832583025</t>
  </si>
  <si>
    <t>TAG Caryopteris Gold Crest 25/25 Portrait Tag</t>
  </si>
  <si>
    <t>0611832584025</t>
  </si>
  <si>
    <t>TAG Caryopteris Pavilion Blue 25/25 Portrait Tag</t>
  </si>
  <si>
    <t>0611832585025</t>
  </si>
  <si>
    <t>TAG Caryopteris Pavilion Pink 25/25 Portrait Tag</t>
  </si>
  <si>
    <t>0611832586025</t>
  </si>
  <si>
    <t>TAG Caryopteris Pavilion White 25/25 Portrait Tag</t>
  </si>
  <si>
    <t>0611832587025</t>
  </si>
  <si>
    <t>TAG Catananche Amor Blue 25/25 Portrait Tag</t>
  </si>
  <si>
    <t>0611832588100</t>
  </si>
  <si>
    <t>TAG Catananche Blue Caerulea 100/100 Pixie Tag</t>
  </si>
  <si>
    <t>0611832589025</t>
  </si>
  <si>
    <t>TAG Catananche Blue Caerulea 25/25 Portrait Tag</t>
  </si>
  <si>
    <t>0611831809100</t>
  </si>
  <si>
    <t>TAG Cauliflower Amazing 100/100 Pixie Tag</t>
  </si>
  <si>
    <t>0611831826100</t>
  </si>
  <si>
    <t>TAG Cauliflower Candid Charm 100/100 Pixie Tag</t>
  </si>
  <si>
    <t>0611831830100</t>
  </si>
  <si>
    <t>TAG Cauliflower Cheddar 100/100 Pixie Tag</t>
  </si>
  <si>
    <t>0611831858100</t>
  </si>
  <si>
    <t>TAG Cauliflower Early Snowball 100/100 Pixie Tag</t>
  </si>
  <si>
    <t>0611831867100</t>
  </si>
  <si>
    <t>TAG Cauliflower Flame Star 100/100 Pixie Tag</t>
  </si>
  <si>
    <t>0611831828100</t>
  </si>
  <si>
    <t>TAG Cauliflower GENERIC 100/100 Pixie Tag</t>
  </si>
  <si>
    <t>0611831829200</t>
  </si>
  <si>
    <t>TAG Cauliflower GENERIC 200/200 Thriftee Tag</t>
  </si>
  <si>
    <t>0611831880100</t>
  </si>
  <si>
    <t>TAG Cauliflower Graffiti 100/100 Pixie Tag</t>
  </si>
  <si>
    <t>0611831917100</t>
  </si>
  <si>
    <t>TAG Cauliflower Orange GENERIC 100/100 Pixie Tag</t>
  </si>
  <si>
    <t>0611831957100</t>
  </si>
  <si>
    <t>TAG Cauliflower Self Blanche 100/100 Pixie Tag</t>
  </si>
  <si>
    <t>0611831960100</t>
  </si>
  <si>
    <t>TAG Cauliflower Snow Crown 100/100 Pixie Tag</t>
  </si>
  <si>
    <t>0611831962100</t>
  </si>
  <si>
    <t>TAG Cauliflower Snowball 100/100 Pixie Tag</t>
  </si>
  <si>
    <t>0611831967100</t>
  </si>
  <si>
    <t>TAG Cauliflower Steady 100/100 Pixie Tag</t>
  </si>
  <si>
    <t>0611831979100</t>
  </si>
  <si>
    <t>TAG Cauliflower Twister 100/100 Pixie Tag</t>
  </si>
  <si>
    <t>0611830943100</t>
  </si>
  <si>
    <t>TAG Celeriac 100/100 Pixie Tag</t>
  </si>
  <si>
    <t>0611830944100</t>
  </si>
  <si>
    <t>TAG Celery GENERIC 100/100 Pixie Tag</t>
  </si>
  <si>
    <t>0611830945100</t>
  </si>
  <si>
    <t>TAG Celery Giant Pascal 100/100 Pixie Tag</t>
  </si>
  <si>
    <t>0611830946100</t>
  </si>
  <si>
    <t>TAG Celery Golden Self Blanching 100/100 Pixie Tag</t>
  </si>
  <si>
    <t>0611830947100</t>
  </si>
  <si>
    <t>TAG Celery Self Blanching 100/100 Pixie Tag</t>
  </si>
  <si>
    <t>0611830948100</t>
  </si>
  <si>
    <t>TAG Celery Summer Pascal 100/100 Pixie Tag</t>
  </si>
  <si>
    <t>0611830949100</t>
  </si>
  <si>
    <t>TAG Celery Utah 52 70 R 100/100 Pixie Tag</t>
  </si>
  <si>
    <t>0611832804100</t>
  </si>
  <si>
    <t>TAG Celosia Amigo Mix 100/100 Pixie Tag</t>
  </si>
  <si>
    <t>0611832806100</t>
  </si>
  <si>
    <t>TAG Celosia Amigo Red 100/100 Pixie Tag</t>
  </si>
  <si>
    <t>0611832809100</t>
  </si>
  <si>
    <t>TAG Celosia Asian Garden 100/100 Pixie Tag</t>
  </si>
  <si>
    <t>0611832810100</t>
  </si>
  <si>
    <t>TAG Celosia Brainiac Lightning Yellow 100/100 Pixie Tag</t>
  </si>
  <si>
    <t>0611832811100</t>
  </si>
  <si>
    <t>TAG Celosia Brainiac Mad Magenta 100/100 Pixie Tag</t>
  </si>
  <si>
    <t>0611832812100</t>
  </si>
  <si>
    <t>TAG Celosia Brainiac Mix 100/100 Pixie Tag</t>
  </si>
  <si>
    <t>0611832813100</t>
  </si>
  <si>
    <t>TAG Celosia Brainiac Raven Red 100/100 Pixie Tag</t>
  </si>
  <si>
    <t>0611832815100</t>
  </si>
  <si>
    <t>TAG Celosia Brainiac Robo Red 100/100 Pixie Tag</t>
  </si>
  <si>
    <t>0611832816100</t>
  </si>
  <si>
    <t>TAG Celosia Brainiac Think Pink 100/100 Pixie Tag</t>
  </si>
  <si>
    <t>0611832817100</t>
  </si>
  <si>
    <t>TAG Celosia Bright Sparks Burgundy 100/100 Pixie Tag SF</t>
  </si>
  <si>
    <t>0611832818100</t>
  </si>
  <si>
    <t>TAG Celosia Bright Sparks Deep Rose 100/100 Pixie Tag SF</t>
  </si>
  <si>
    <t>0611832819100</t>
  </si>
  <si>
    <t>TAG Celosia Bright Sparks Mix 100/100 Pixie Tag SF</t>
  </si>
  <si>
    <t>0611832820100</t>
  </si>
  <si>
    <t>TAG Celosia Bright Sparks Scarlet 100/100 Pixie Tag SF</t>
  </si>
  <si>
    <t>0611832821100</t>
  </si>
  <si>
    <t>TAG Celosia Castle Mix 100/100 Pixie Tag</t>
  </si>
  <si>
    <t>0611832822100</t>
  </si>
  <si>
    <t>TAG Celosia Castle Orange 100/100 Pixie Tag</t>
  </si>
  <si>
    <t>0611832823100</t>
  </si>
  <si>
    <t>TAG Celosia Castle Pink 100/100 Pixie Tag</t>
  </si>
  <si>
    <t>0611832824100</t>
  </si>
  <si>
    <t>TAG Celosia Castle Scarlet 100/100 Pixie Tag</t>
  </si>
  <si>
    <t>0611832825100</t>
  </si>
  <si>
    <t>TAG Celosia Castle Yellow 100/100 Pixie Tag</t>
  </si>
  <si>
    <t>0611832826100</t>
  </si>
  <si>
    <t>TAG Celosia Century Fire 100/100 Pixie Tag</t>
  </si>
  <si>
    <t>0611832827100</t>
  </si>
  <si>
    <t>TAG Celosia Century Mix 100/100 Pixie Tag</t>
  </si>
  <si>
    <t>0611832828100</t>
  </si>
  <si>
    <t>TAG Celosia Century Pink 100/100 Pixie Tag</t>
  </si>
  <si>
    <t>0611832829100</t>
  </si>
  <si>
    <t>TAG Celosia Century Red 100/100 Pixie Tag</t>
  </si>
  <si>
    <t>0611832830100</t>
  </si>
  <si>
    <t>TAG Celosia Century Rose 100/100 Pixie Tag</t>
  </si>
  <si>
    <t>0611832832100</t>
  </si>
  <si>
    <t>TAG Celosia Century Yellow 100/100 Pixie Tag</t>
  </si>
  <si>
    <t>0611832833100</t>
  </si>
  <si>
    <t>TAG Celosia Chief Mix 100/100 Pixie Tag</t>
  </si>
  <si>
    <t>0611832834100</t>
  </si>
  <si>
    <t>TAG Celosia Concertina Mix 100/100 Pixie Tag</t>
  </si>
  <si>
    <t>0611832835100</t>
  </si>
  <si>
    <t>TAG Celosia Concertina Pink 100/100 Pixie Tag</t>
  </si>
  <si>
    <t>0611832836100</t>
  </si>
  <si>
    <t>TAG Celosia Concertina Purple 100/100 Pixie Tag</t>
  </si>
  <si>
    <t>0611832837100</t>
  </si>
  <si>
    <t>TAG Celosia Concertina Red 100/100 Pixie Tag</t>
  </si>
  <si>
    <t>0611832838100</t>
  </si>
  <si>
    <t>TAG Celosia Concertina Red Dark Leaf 100/100 Pixie Tag</t>
  </si>
  <si>
    <t>0611832839100</t>
  </si>
  <si>
    <t>TAG Celosia Concertina Yellow 100/100 Pixie Tag</t>
  </si>
  <si>
    <t>0611832840100</t>
  </si>
  <si>
    <t>TAG Celosia Crested GENERIC 100/100 Pixie Tag</t>
  </si>
  <si>
    <t>0611832841100</t>
  </si>
  <si>
    <t>TAG Celosia Dracula 100/100 Pixie Tag</t>
  </si>
  <si>
    <t>0611832842100</t>
  </si>
  <si>
    <t>TAG Celosia Dragon's Breath 100/100 Pixie Tag</t>
  </si>
  <si>
    <t>0611832843025</t>
  </si>
  <si>
    <t>TAG Celosia Dragon's Breath 25/25 Portrait Tag</t>
  </si>
  <si>
    <t>0611832844100</t>
  </si>
  <si>
    <t>TAG Celosia Fashion Look Mix 100/100 Pixie Tag</t>
  </si>
  <si>
    <t>0611832845100</t>
  </si>
  <si>
    <t>TAG Celosia First Flame Mix 100/100 Pixie Tag</t>
  </si>
  <si>
    <t>0611832846100</t>
  </si>
  <si>
    <t>TAG Celosia First Flame Orange 100/100 Pixie Tag</t>
  </si>
  <si>
    <t>0611832847100</t>
  </si>
  <si>
    <t>TAG Celosia First Flame Purple 100/100 Pixie Tag</t>
  </si>
  <si>
    <t>0611832848100</t>
  </si>
  <si>
    <t>TAG Celosia First Flame Red 100/100 Pixie Tag</t>
  </si>
  <si>
    <t>0611832849100</t>
  </si>
  <si>
    <t>TAG Celosia First Flame Scarlet 100/100 Pixie Tag</t>
  </si>
  <si>
    <t>0611832850100</t>
  </si>
  <si>
    <t>TAG Celosia First Flame Yellow 100/100 Pixie Tag</t>
  </si>
  <si>
    <t>0611832851100</t>
  </si>
  <si>
    <t>TAG Celosia Flamingo Feather 100/100 Pixie Tag</t>
  </si>
  <si>
    <t>0611832852100</t>
  </si>
  <si>
    <t>TAG Celosia Flamingo Feather Purple 100/100 Pixie Tag</t>
  </si>
  <si>
    <t>0611856861100</t>
  </si>
  <si>
    <t>TAG Celosia Flamma Bright Red 100/100 Pixie Tag</t>
  </si>
  <si>
    <t>0611856862100</t>
  </si>
  <si>
    <t>TAG Celosia Flamma Golden 100/100 Pixie Tag</t>
  </si>
  <si>
    <t>0611856863100</t>
  </si>
  <si>
    <t>TAG Celosia Flamma Mix 100/100 Pixie Tag</t>
  </si>
  <si>
    <t>0611856864100</t>
  </si>
  <si>
    <t>TAG Celosia Flamma Orange 100/100 Pixie Tag</t>
  </si>
  <si>
    <t>0611856865100</t>
  </si>
  <si>
    <t>TAG Celosia Flamma Red 100/100 Pixie Tag</t>
  </si>
  <si>
    <t>0611856866100</t>
  </si>
  <si>
    <t>TAG Celosia Flamma Rose 100/100 Pixie Tag</t>
  </si>
  <si>
    <t>0611832853100</t>
  </si>
  <si>
    <t>TAG Celosia Fresh Look Gold 100/100 Pixie Tag</t>
  </si>
  <si>
    <t>0611832854100</t>
  </si>
  <si>
    <t>TAG Celosia Fresh Look Mix 100/100 Pixie Tag</t>
  </si>
  <si>
    <t>0611832855100</t>
  </si>
  <si>
    <t>TAG Celosia Fresh Look Orange 100/100 Pixie Tag</t>
  </si>
  <si>
    <t>0611832856100</t>
  </si>
  <si>
    <t>TAG Celosia Fresh Look Red 100/100 Pixie Tag</t>
  </si>
  <si>
    <t>0611832857100</t>
  </si>
  <si>
    <t>TAG Celosia Fresh Look Yellow 100/100 Pixie Tag</t>
  </si>
  <si>
    <t>0611832864100</t>
  </si>
  <si>
    <t>TAG Celosia GENERIC Bilingual 100/100 Pixie Tag</t>
  </si>
  <si>
    <t>0611832858100</t>
  </si>
  <si>
    <t>TAG Celosia Gloria Mix 100/100 Pixie Tag</t>
  </si>
  <si>
    <t>0611832859100</t>
  </si>
  <si>
    <t>TAG Celosia Glorious Mix 100/100 Pixie Tag</t>
  </si>
  <si>
    <t>0611832860100</t>
  </si>
  <si>
    <t>TAG Celosia Glorious Orange 100/100 Pixie Tag</t>
  </si>
  <si>
    <t>0611832861100</t>
  </si>
  <si>
    <t>TAG Celosia Glorious Pink 100/100 Pixie Tag</t>
  </si>
  <si>
    <t>0611832862100</t>
  </si>
  <si>
    <t>TAG Celosia Glorious Red 100/100 Pixie Tag</t>
  </si>
  <si>
    <t>0611832863100</t>
  </si>
  <si>
    <t>TAG Celosia Glorious Yellow 100/100 Pixie Tag</t>
  </si>
  <si>
    <t>0611832865100</t>
  </si>
  <si>
    <t>TAG Celosia Ice Cream Banana 100/100 Pixie Tag</t>
  </si>
  <si>
    <t>0611832866100</t>
  </si>
  <si>
    <t>TAG Celosia Ice Cream Cherry 100/100 Pixie Tag</t>
  </si>
  <si>
    <t>0611832867100</t>
  </si>
  <si>
    <t>TAG Celosia Ice Cream Mango 100/100 Pixie Tag</t>
  </si>
  <si>
    <t>0611832868100</t>
  </si>
  <si>
    <t>TAG Celosia Ice Cream Mix 100/100 Pixie Tag</t>
  </si>
  <si>
    <t>0611832869100</t>
  </si>
  <si>
    <t>TAG Celosia Ice Cream Orange 100/100 Pixie Tag</t>
  </si>
  <si>
    <t>0611832871100</t>
  </si>
  <si>
    <t>TAG Celosia Ice Cream Salmon 100/100 Pixie Tag</t>
  </si>
  <si>
    <t>0611832873100</t>
  </si>
  <si>
    <t>TAG Celosia Intenz Dark Purple 100/100 Pixie Tag</t>
  </si>
  <si>
    <t>0611832874100</t>
  </si>
  <si>
    <t>TAG Celosia Intenz Pink 100/100 Pixie Tag</t>
  </si>
  <si>
    <t>0611884084100</t>
  </si>
  <si>
    <t>TAG Celosia Intenz Series 100/100 Pixie Tag</t>
  </si>
  <si>
    <t>0611832875100</t>
  </si>
  <si>
    <t>TAG Celosia Jewel Box Mix 100/100 Pixie Tag</t>
  </si>
  <si>
    <t>0611832876100</t>
  </si>
  <si>
    <t>TAG Celosia Kelos Candela Pink 100/100 Pixie Tag</t>
  </si>
  <si>
    <t>0611832878100</t>
  </si>
  <si>
    <t>TAG Celosia Kelos Series 100/100 Pixie Tag</t>
  </si>
  <si>
    <t>0611832879100</t>
  </si>
  <si>
    <t>TAG Celosia Kimono Cherry Red 100/100 Pixie Tag</t>
  </si>
  <si>
    <t>0611832880100</t>
  </si>
  <si>
    <t>TAG Celosia Kimono Mix 100/100 Pixie Tag</t>
  </si>
  <si>
    <t>0611832881100</t>
  </si>
  <si>
    <t>TAG Celosia Kimono Orange 100/100 Pixie Tag</t>
  </si>
  <si>
    <t>0611832882100</t>
  </si>
  <si>
    <t>TAG Celosia Kimono Red 100/100 Pixie Tag</t>
  </si>
  <si>
    <t>0611832883100</t>
  </si>
  <si>
    <t>TAG Celosia Kimono Rose 100/100 Pixie Tag</t>
  </si>
  <si>
    <t>0611832884100</t>
  </si>
  <si>
    <t>TAG Celosia Kimono Salmon Pink 100/100 Pixie Tag</t>
  </si>
  <si>
    <t>0611832885100</t>
  </si>
  <si>
    <t>TAG Celosia Kimono Scarlet 100/100 Pixie Tag</t>
  </si>
  <si>
    <t>0611832886100</t>
  </si>
  <si>
    <t>TAG Celosia Kimono Yellow 100/100 Pixie Tag</t>
  </si>
  <si>
    <t>0611832887100</t>
  </si>
  <si>
    <t>TAG Celosia Kosmo Cherry 100/100 Pixie Tag</t>
  </si>
  <si>
    <t>0611832888100</t>
  </si>
  <si>
    <t>TAG Celosia Kosmo Mix 100/100 Pixie Tag</t>
  </si>
  <si>
    <t>0611832889100</t>
  </si>
  <si>
    <t>TAG Celosia Kosmo Orange 100/100 Pixie Tag</t>
  </si>
  <si>
    <t>0611832890100</t>
  </si>
  <si>
    <t>TAG Celosia Kosmo Purple Red 100/100 Pixie Tag</t>
  </si>
  <si>
    <t>0611832893100</t>
  </si>
  <si>
    <t>TAG Celosia Look 100/100 Pixie Tag</t>
  </si>
  <si>
    <t>0611832894100</t>
  </si>
  <si>
    <t>TAG Celosia Mix GENERIC Plumosa 100/100 Pixie Tag</t>
  </si>
  <si>
    <t>0611832895100</t>
  </si>
  <si>
    <t>TAG Celosia Prestige Scarlet 100/100 Pixie Tag</t>
  </si>
  <si>
    <t>0611832896100</t>
  </si>
  <si>
    <t>TAG Celosia Red GENERIC Plumosa 100/100 Pixie Tag</t>
  </si>
  <si>
    <t>0611832897100</t>
  </si>
  <si>
    <t>TAG Celosia Short GENERIC 100/100 Pixie Tag</t>
  </si>
  <si>
    <t>0611832898100</t>
  </si>
  <si>
    <t>TAG Celosia Smart Look Red 100/100 Pixie Tag</t>
  </si>
  <si>
    <t>0611832899100</t>
  </si>
  <si>
    <t>TAG Celosia Smart Look Romantica 100/100 Pixie Tag</t>
  </si>
  <si>
    <t>0611832900100</t>
  </si>
  <si>
    <t>TAG Celosia Sol Gekko Green 100/100 Pixie Tag</t>
  </si>
  <si>
    <t>0611832901100</t>
  </si>
  <si>
    <t>TAG Celosia Sol Lizzard Leaf 100/100 Pixie Tag</t>
  </si>
  <si>
    <t>0611832903100</t>
  </si>
  <si>
    <t>TAG Celosia Sprks Bright Yellow 100/100 Pixie Tag SF</t>
  </si>
  <si>
    <t>0611832904100</t>
  </si>
  <si>
    <t>TAG Celosia Tall Crested GENERIC 100/100 Pixie Tag</t>
  </si>
  <si>
    <t>0611832905100</t>
  </si>
  <si>
    <t>TAG Centaurea Bachelor's Button GENERIC 100/100 Pixie Tag</t>
  </si>
  <si>
    <t>0611832906100</t>
  </si>
  <si>
    <t>TAG Centaurea Blue Boy 100/100 Pixie Tag</t>
  </si>
  <si>
    <t>0611832907100</t>
  </si>
  <si>
    <t>TAG Centaurea Blue Montana 100/100 Pixie Tag</t>
  </si>
  <si>
    <t>0611832908025</t>
  </si>
  <si>
    <t>TAG Centaurea Blue Montana 25/25 Portrait Tag</t>
  </si>
  <si>
    <t>0611832909100</t>
  </si>
  <si>
    <t>TAG Centaurea Chrome Fountain 100/100 Pixie Tag</t>
  </si>
  <si>
    <t>0611861097050</t>
  </si>
  <si>
    <t>TAG Centaurea Chrome Fountain 50/50 Petite Portrait FUL</t>
  </si>
  <si>
    <t>0611832910025</t>
  </si>
  <si>
    <t>TAG Centaurea Dealbata 25/25 Portrait Tag</t>
  </si>
  <si>
    <t>0611884085100</t>
  </si>
  <si>
    <t>TAG Centaurea Mercury 100/100 Pixie Tag</t>
  </si>
  <si>
    <t>0611884086025</t>
  </si>
  <si>
    <t>TAG Centaurea Silver Swirl 25/25 Portrait Tag</t>
  </si>
  <si>
    <t>0611832911100</t>
  </si>
  <si>
    <t>TAG Centranthus Albus 100/100 Pixie Tag</t>
  </si>
  <si>
    <t>0611832912100</t>
  </si>
  <si>
    <t>TAG Centranthus Cascade 100/100 Pixie Tag</t>
  </si>
  <si>
    <t>0611832913025</t>
  </si>
  <si>
    <t>TAG Centranthus Coccineus 25/25 Portrait Tag</t>
  </si>
  <si>
    <t>0611832914025</t>
  </si>
  <si>
    <t>TAG Centranthus Ruber 25/25 Portrait Tag</t>
  </si>
  <si>
    <t>0611832915025</t>
  </si>
  <si>
    <t>TAG Cerastium Silver Carpet 25/25 Portrait Tag</t>
  </si>
  <si>
    <t>0611832916025</t>
  </si>
  <si>
    <t>TAG Cerastium Silvery Summer 25/25 Portrait Tag</t>
  </si>
  <si>
    <t>0611832917100</t>
  </si>
  <si>
    <t>TAG Cerastium Tomentosum 100/100 Pixie Tag</t>
  </si>
  <si>
    <t>0611832918025</t>
  </si>
  <si>
    <t>TAG Cerastium Tomentosum 25/25 Portrait Tag</t>
  </si>
  <si>
    <t>0611861098100</t>
  </si>
  <si>
    <t>TAG Ceratostigma Plumbaginoides 100/100 Pixie Tag FUL</t>
  </si>
  <si>
    <t>0611832919025</t>
  </si>
  <si>
    <t>TAG Ceratostigma Plumbaginoides 25/25 Portrait Tag</t>
  </si>
  <si>
    <t>0611861099050</t>
  </si>
  <si>
    <t>TAG Ceratostigma Plumbaginoides 50/50 Petite Portrait FUL</t>
  </si>
  <si>
    <t>0611861100050</t>
  </si>
  <si>
    <t>TAG Ceratostigma Plumbaginoides Limited Availability 50/50 Petite Portrait</t>
  </si>
  <si>
    <t>0611832920100</t>
  </si>
  <si>
    <t>TAG Ceropegia String Of Hearts Woodii 100/100 Pixie Tag</t>
  </si>
  <si>
    <t>0611832921100</t>
  </si>
  <si>
    <t>TAG Chamaecyparis Bella Palm 100/100 Pixie Tag</t>
  </si>
  <si>
    <t>0611884087025</t>
  </si>
  <si>
    <t>TAG Chamaecyparis Roman 25/25 Portrait Tag</t>
  </si>
  <si>
    <t>0611861101050</t>
  </si>
  <si>
    <t>TAG Chamaecyparis Star Dust White Sparkle 50/50 Petite Portrait DO FUL</t>
  </si>
  <si>
    <t>0611832922100</t>
  </si>
  <si>
    <t>TAG Chamomile GENERIC 100/100 Pixie Tag</t>
  </si>
  <si>
    <t>0611832923100</t>
  </si>
  <si>
    <t>TAG Chamomile German 100/100 Pixie Tag</t>
  </si>
  <si>
    <t>0611836713025</t>
  </si>
  <si>
    <t>TAG Chamomile German 25/25 Portrait Tag</t>
  </si>
  <si>
    <t>0611832924100</t>
  </si>
  <si>
    <t>TAG Chamomile Roman 100/100 Pixie Tag</t>
  </si>
  <si>
    <t>0611832925025</t>
  </si>
  <si>
    <t>TAG Chasmanthium Latifolium 25/25 Portrait Tag</t>
  </si>
  <si>
    <t>0611832926025</t>
  </si>
  <si>
    <t>TAG Chelone Hot Lips Lyonii 25/25 Portrait Tag</t>
  </si>
  <si>
    <t>0611832927025</t>
  </si>
  <si>
    <t>TAG Chelone Pink Temptation Lyonii 25/25 Portrait Tag</t>
  </si>
  <si>
    <t>0611861102050</t>
  </si>
  <si>
    <t>TAG Chelone Tiny Tortuga 50/50 Petite Portrait FUL</t>
  </si>
  <si>
    <t>0611832933100</t>
  </si>
  <si>
    <t>TAG Chlorophytum Bonnie 100/100 Pixie Tag</t>
  </si>
  <si>
    <t>0611832929100</t>
  </si>
  <si>
    <t>TAG Chlorophytum Green 100/100 Pixie Tag</t>
  </si>
  <si>
    <t>0611832930100</t>
  </si>
  <si>
    <t>TAG Chlorophytum Picturatum 100/100 Hang Tag</t>
  </si>
  <si>
    <t>0611832931100</t>
  </si>
  <si>
    <t>TAG Chlorophytum Variegated 100/100 Hang Tag</t>
  </si>
  <si>
    <t>0611832932100</t>
  </si>
  <si>
    <t>TAG Chlorophytum Variegated 100/100 Pixie Tag</t>
  </si>
  <si>
    <t>0611861103050</t>
  </si>
  <si>
    <t>TAG Chrysanthemum 24Karamum Bronze 50/50 Petite Portrait DO FUL</t>
  </si>
  <si>
    <t>0611861104050</t>
  </si>
  <si>
    <t>TAG Chrysanthemum 24Karamum Gold 50/50 Petite Portrait DO FUL</t>
  </si>
  <si>
    <t>0611832934100</t>
  </si>
  <si>
    <t>TAG Chrysanthemum Addison White 100/100 Pixie Tag SF</t>
  </si>
  <si>
    <t>0611832935100</t>
  </si>
  <si>
    <t>TAG Chrysanthemum Adriana Purple 100/100 Pixie Tag SF</t>
  </si>
  <si>
    <t>0611832936100</t>
  </si>
  <si>
    <t>TAG Chrysanthemum Aideen Red Fire 100/100 Pixie Tag SF</t>
  </si>
  <si>
    <t>0611861105050</t>
  </si>
  <si>
    <t>TAG Chrysanthemum Apple Cider 50/50 Petite Portrait DO FUL</t>
  </si>
  <si>
    <t>0611832938100</t>
  </si>
  <si>
    <t>TAG Chrysanthemum Arlette Purple 100/100 Pixie Tag DO</t>
  </si>
  <si>
    <t>0611832940100</t>
  </si>
  <si>
    <t>TAG Chrysanthemum Ashley Red 100/100 Pixie Tag DO</t>
  </si>
  <si>
    <t>0611832941100</t>
  </si>
  <si>
    <t>TAG Chrysanthemum Aubrey Orange 100/100 Pixie Tag DO</t>
  </si>
  <si>
    <t>0611856867100</t>
  </si>
  <si>
    <t>TAG Chrysanthemum Autumn Sunset 100/100 Pixie Tag DO</t>
  </si>
  <si>
    <t>0611861106050</t>
  </si>
  <si>
    <t>TAG Chrysanthemum Balance Bronze Bicolor 50/50 Petite Portrait DO FUL</t>
  </si>
  <si>
    <t>0611861107050</t>
  </si>
  <si>
    <t>TAG Chrysanthemum Banquet Pink 50/50 Petite Portrait DO FUL</t>
  </si>
  <si>
    <t>0611861108050</t>
  </si>
  <si>
    <t>TAG Chrysanthemum Banquet Pink Bicolor 50/50 Petite Portrait DO FUL</t>
  </si>
  <si>
    <t>0611861109050</t>
  </si>
  <si>
    <t>TAG Chrysanthemum Banquet Purple 50/50 Petite Portrait DO FUL</t>
  </si>
  <si>
    <t>0611861110050</t>
  </si>
  <si>
    <t>TAG Chrysanthemum Banquet Red Bicolor 50/50 Petite Portrait DO FUL</t>
  </si>
  <si>
    <t>0611861111050</t>
  </si>
  <si>
    <t>TAG Chrysanthemum Beach Yellow 50/50 Petite Portrait DO FUL</t>
  </si>
  <si>
    <t>0611884088100</t>
  </si>
  <si>
    <t>TAG Chrysanthemum Beatrice Orange 100/100 Pixie Tag SF</t>
  </si>
  <si>
    <t>0611832942100</t>
  </si>
  <si>
    <t>TAG Chrysanthemum Bertha White 100/100 Pixie Tag SF</t>
  </si>
  <si>
    <t>0611832944100</t>
  </si>
  <si>
    <t>TAG Chrysanthemum Bethany Yellow 100/100 Pixie Tag SF</t>
  </si>
  <si>
    <t>0611832945100</t>
  </si>
  <si>
    <t>TAG Chrysanthemum Beverly Bronze 100/100 Pixie Tag SF</t>
  </si>
  <si>
    <t>0611832946100</t>
  </si>
  <si>
    <t>TAG Chrysanthemum Beverly Dark Bronze 100/100 Pixie Tag SF</t>
  </si>
  <si>
    <t>0611832947100</t>
  </si>
  <si>
    <t>TAG Chrysanthemum Beverly Gold 100/100 Pixie Tag SF</t>
  </si>
  <si>
    <t>0611832948100</t>
  </si>
  <si>
    <t>TAG Chrysanthemum Beverly Orange 100/100 Pixie Tag SF</t>
  </si>
  <si>
    <t>0611861112050</t>
  </si>
  <si>
    <t>TAG Chrysanthemum Bliss White 50/50 Petite Portrait DO FUL</t>
  </si>
  <si>
    <t>0611861113050</t>
  </si>
  <si>
    <t>TAG Chrysanthemum Blitz Lemon 50/50 Petite Portrait DO FUL</t>
  </si>
  <si>
    <t>0611832949100</t>
  </si>
  <si>
    <t>TAG Chrysanthemum Bonnie Red 100/100 Pixie Tag SF</t>
  </si>
  <si>
    <t>0611832950100</t>
  </si>
  <si>
    <t>TAG Chrysanthemum Brandi Burgundy 100/100 Pixie Tag SF</t>
  </si>
  <si>
    <t>0611832951100</t>
  </si>
  <si>
    <t>TAG Chrysanthemum Brittany Yellow 100/100 Pixie Tag SF</t>
  </si>
  <si>
    <t>0611832952100</t>
  </si>
  <si>
    <t>TAG Chrysanthemum Bronze/Orange GENERIC 100/100 Pixie Tag</t>
  </si>
  <si>
    <t>0611861114100</t>
  </si>
  <si>
    <t>TAG Chrysanthemum Bronze/Orange LK6044 100/100 Pixie Tag</t>
  </si>
  <si>
    <t>0611832954100</t>
  </si>
  <si>
    <t>TAG Chrysanthemum Brooke Dark Pink 100/100 Pixie Tag SF</t>
  </si>
  <si>
    <t>0611861115050</t>
  </si>
  <si>
    <t>TAG Chrysanthemum Buzz Lavender 50/50 Petite Portrait DO FUL</t>
  </si>
  <si>
    <t>0611861116050</t>
  </si>
  <si>
    <t>TAG Chrysanthemum Buzz Merlot 50/50 Petite Portrait DO FUL</t>
  </si>
  <si>
    <t>0611861117050</t>
  </si>
  <si>
    <t>TAG Chrysanthemum Calm White 50/50 Petite Portrait DO FUL</t>
  </si>
  <si>
    <t>0611861118050</t>
  </si>
  <si>
    <t>TAG Chrysanthemum Catch Red 50/50 Petite Portrait DO FUL</t>
  </si>
  <si>
    <t>0611861119050</t>
  </si>
  <si>
    <t>TAG Chrysanthemum Ceremony White 50/50 Petite Portrait DO FUL</t>
  </si>
  <si>
    <t>0611861120050</t>
  </si>
  <si>
    <t>TAG Chrysanthemum Champagne 50/50 Petite Portrait DO FUL</t>
  </si>
  <si>
    <t>0611861121050</t>
  </si>
  <si>
    <t>TAG Chrysanthemum Cheer Red 50/50 Petite Portrait DO FUL</t>
  </si>
  <si>
    <t>0611832955100</t>
  </si>
  <si>
    <t>TAG Chrysanthemum Chelsey Coral 100/100 Pixie Tag SF</t>
  </si>
  <si>
    <t>0611832956100</t>
  </si>
  <si>
    <t>TAG Chrysanthemum Chelsey Pink 100/100 Pixie Tag SF</t>
  </si>
  <si>
    <t>0611832957100</t>
  </si>
  <si>
    <t>TAG Chrysanthemum Chelsey White 100/100 Pixie Tag SF</t>
  </si>
  <si>
    <t>0611832958100</t>
  </si>
  <si>
    <t>TAG Chrysanthemum Chelsey Yellow 100/100 Pixie Tag SF</t>
  </si>
  <si>
    <t>0611861123050</t>
  </si>
  <si>
    <t>TAG Chrysanthemum Cherry Purple 50/50 Petite Portrait DO FUL</t>
  </si>
  <si>
    <t>0611861124050</t>
  </si>
  <si>
    <t>TAG Chrysanthemum Cherry Red 50/50 Petite Portrait DO FUL</t>
  </si>
  <si>
    <t>0611832959100</t>
  </si>
  <si>
    <t>TAG Chrysanthemum Cheryl Frosty 100/100 Pixie Tag SF</t>
  </si>
  <si>
    <t>0611832960100</t>
  </si>
  <si>
    <t>TAG Chrysanthemum Cheryl Golden 100/100 Pixie Tag SF</t>
  </si>
  <si>
    <t>0611832961100</t>
  </si>
  <si>
    <t>TAG Chrysanthemum Cheryl Orange Spicy 100/100 Pixie Tag SF</t>
  </si>
  <si>
    <t>0611832962100</t>
  </si>
  <si>
    <t>TAG Chrysanthemum Cheryl Pink 100/100 Pixie Tag SF</t>
  </si>
  <si>
    <t>0611832963100</t>
  </si>
  <si>
    <t>TAG Chrysanthemum Cheryl Purple Regal 100/100 Pixie Tag SF</t>
  </si>
  <si>
    <t>0611832964100</t>
  </si>
  <si>
    <t>TAG Chrysanthemum Cheryl Red Jolly 100/100 Pixie Tag SF</t>
  </si>
  <si>
    <t>0611832965100</t>
  </si>
  <si>
    <t>TAG Chrysanthemum Cheryl Yellow Sparkling 100/100 Pixie Tag SF</t>
  </si>
  <si>
    <t>0611861125050</t>
  </si>
  <si>
    <t>TAG Chrysanthemum Chili Red 50/50 Petite Portrait DO FUL</t>
  </si>
  <si>
    <t>0611832966100</t>
  </si>
  <si>
    <t>TAG Chrysanthemum Chloe Yellow 100/100 Pixie Tag SF</t>
  </si>
  <si>
    <t>0611832967100</t>
  </si>
  <si>
    <t>TAG Chrysanthemum Christina Red 100/100 Pixie Tag SF</t>
  </si>
  <si>
    <t>0611832968100</t>
  </si>
  <si>
    <t>TAG Chrysanthemum Coleostephus Myconis 100/100 Pixie Tag</t>
  </si>
  <si>
    <t>0611861126050</t>
  </si>
  <si>
    <t>TAG Chrysanthemum Concert Purple 50/50 Petite Portrait DO FUL</t>
  </si>
  <si>
    <t>0611832969100</t>
  </si>
  <si>
    <t>TAG Chrysanthemum Coral/Salmon GENERIC 100/100 Pixie Tag</t>
  </si>
  <si>
    <t>0611861127050</t>
  </si>
  <si>
    <t>TAG Chrysanthemum Cruise Yellow 50/50 Petite Portrait DO FUL</t>
  </si>
  <si>
    <t>0611861128050</t>
  </si>
  <si>
    <t>TAG Chrysanthemum Crush Orange 50/50 Petite Portrait DO FUL</t>
  </si>
  <si>
    <t>0611832970100</t>
  </si>
  <si>
    <t>TAG Chrysanthemum Cynthia Scarlet 100/100 Pixie Tag SF</t>
  </si>
  <si>
    <t>0611832971100</t>
  </si>
  <si>
    <t>TAG Chrysanthemum Danielle Purple 100/100 Pixie Tag SF</t>
  </si>
  <si>
    <t>0611832972100</t>
  </si>
  <si>
    <t>TAG Chrysanthemum Danielle Red 100/100 Pixie Tag SF</t>
  </si>
  <si>
    <t>0611861129050</t>
  </si>
  <si>
    <t>TAG Chrysanthemum Darling Pink 50/50 Petite Portrait DO FUL</t>
  </si>
  <si>
    <t>0611832973100</t>
  </si>
  <si>
    <t>TAG Chrysanthemum Dawn Yellow 100/100 Pixie Tag SF</t>
  </si>
  <si>
    <t>0611832974100</t>
  </si>
  <si>
    <t>TAG Chrysanthemum Debbie Hot Pink 100/100 Pixie Tag SF</t>
  </si>
  <si>
    <t>0611832975100</t>
  </si>
  <si>
    <t>TAG Chrysanthemum Demi Pink 100/100 Pixie Tag SF</t>
  </si>
  <si>
    <t>0611861130050</t>
  </si>
  <si>
    <t>TAG Chrysanthemum Desire Golden 50/50 Petite Portrait DO FUL</t>
  </si>
  <si>
    <t>0611861131050</t>
  </si>
  <si>
    <t>TAG Chrysanthemum Ditto Dark Orange 50/50 Petite Portrait DO FUL</t>
  </si>
  <si>
    <t>0611861132050</t>
  </si>
  <si>
    <t>TAG Chrysanthemum Ditto Dark Pink 50/50 Petite Portrait DO FUL</t>
  </si>
  <si>
    <t>0611861134050</t>
  </si>
  <si>
    <t>TAG Chrysanthemum Ditto Pink 50/50 Petite Portrait DO FUL</t>
  </si>
  <si>
    <t>0611861135050</t>
  </si>
  <si>
    <t>TAG Chrysanthemum Ditto White 50/50 Petite Portrait DO FUL</t>
  </si>
  <si>
    <t>0611861136050</t>
  </si>
  <si>
    <t>TAG Chrysanthemum Ditto Yellow 50/50 Petite Portrait DO FUL</t>
  </si>
  <si>
    <t>0611884089100</t>
  </si>
  <si>
    <t>TAG Chrysanthemum Dorothy Bronze 100/100 Pixie Tag SF</t>
  </si>
  <si>
    <t>0611861137050</t>
  </si>
  <si>
    <t>TAG Chrysanthemum Ecstatic Purple 50/50 Petite Portrait DO FUL</t>
  </si>
  <si>
    <t>0611832976100</t>
  </si>
  <si>
    <t>TAG Chrysanthemum Edana Red 100/100 Pixie Tag SF</t>
  </si>
  <si>
    <t>0611832977100</t>
  </si>
  <si>
    <t>TAG Chrysanthemum Edith White 100/100 Pixie Tag SF</t>
  </si>
  <si>
    <t>0611861138050</t>
  </si>
  <si>
    <t>TAG Chrysanthemum Elated Purple 50/50 Petite Portrait DO FUL</t>
  </si>
  <si>
    <t>0611832978100</t>
  </si>
  <si>
    <t>TAG Chrysanthemum Electra Amber 100/100 Pixie Tag SF</t>
  </si>
  <si>
    <t>0611832979100</t>
  </si>
  <si>
    <t>TAG Chrysanthemum Elena Gold 100/100 Pixie Tag SF</t>
  </si>
  <si>
    <t>0611856868100</t>
  </si>
  <si>
    <t>TAG Chrysanthemum Elizabeth Dark Pink 100/100 Pixie Tag SF</t>
  </si>
  <si>
    <t>0611884090100</t>
  </si>
  <si>
    <t>TAG Chrysanthemum Ellen Golden Bicolor 100/100 Pixie Tag SF</t>
  </si>
  <si>
    <t>0611832980100</t>
  </si>
  <si>
    <t>TAG Chrysanthemum Emelda Purple 100/100 Pixie Tag SF</t>
  </si>
  <si>
    <t>0611861139050</t>
  </si>
  <si>
    <t>TAG Chrysanthemum Fair White 50/50 Petite Portrait DO FUL</t>
  </si>
  <si>
    <t>0611861140050</t>
  </si>
  <si>
    <t>TAG Chrysanthemum Festival Purple 50/50 Petite Portrait DO FUL</t>
  </si>
  <si>
    <t>0611832981100</t>
  </si>
  <si>
    <t>TAG Chrysanthemum Feverfew GENERIC 100/100 Pixie Tag</t>
  </si>
  <si>
    <t>0611861141050</t>
  </si>
  <si>
    <t>TAG Chrysanthemum Field Yellow 50/50 Petite Portrait DO FUL</t>
  </si>
  <si>
    <t>0611861142050</t>
  </si>
  <si>
    <t>TAG Chrysanthemum Fiesta Red 50/50 Petite Portrait DO FUL</t>
  </si>
  <si>
    <t>0611861143050</t>
  </si>
  <si>
    <t>TAG Chrysanthemum Flame Bicolor 50/50 Petite Portrait DO FUL</t>
  </si>
  <si>
    <t>0611832982100</t>
  </si>
  <si>
    <t>TAG Chrysanthemum Gigi Coral 100/100 Pixie Tag SF</t>
  </si>
  <si>
    <t>0611832983100</t>
  </si>
  <si>
    <t>TAG Chrysanthemum Gigi Dark Pink 100/100 Pixie Tag SF</t>
  </si>
  <si>
    <t>0611832984100</t>
  </si>
  <si>
    <t>TAG Chrysanthemum Gigi Gold 100/100 Pixie Tag SF</t>
  </si>
  <si>
    <t>0611832985100</t>
  </si>
  <si>
    <t>TAG Chrysanthemum Gigi Orange 100/100 Pixie Tag SF</t>
  </si>
  <si>
    <t>0611832986100</t>
  </si>
  <si>
    <t>TAG Chrysanthemum Gigi Snow 100/100 Pixie Tag SF</t>
  </si>
  <si>
    <t>0611832987100</t>
  </si>
  <si>
    <t>TAG Chrysanthemum Gigi Yellow 100/100 Pixie Tag SF</t>
  </si>
  <si>
    <t>0611861144050</t>
  </si>
  <si>
    <t>TAG Chrysanthemum Goal Light Bronze 50/50 Petite Portrait DO FUL</t>
  </si>
  <si>
    <t>0611861145050</t>
  </si>
  <si>
    <t>TAG Chrysanthemum Goal Orange 50/50 Petite Portrait DO FUL</t>
  </si>
  <si>
    <t>0611861146050</t>
  </si>
  <si>
    <t>TAG Chrysanthemum Goal Yellow 50/50 Petite Portrait DO FUL</t>
  </si>
  <si>
    <t>0611832988100</t>
  </si>
  <si>
    <t>TAG Chrysanthemum Hailey Gold 100/100 Pixie Tag SF</t>
  </si>
  <si>
    <t>0611832989100</t>
  </si>
  <si>
    <t>TAG Chrysanthemum Hailey Orange 100/100 Pixie Tag SF</t>
  </si>
  <si>
    <t>0611832990100</t>
  </si>
  <si>
    <t>TAG Chrysanthemum Hailey Red Bronze 100/100 Pixie Tag SF</t>
  </si>
  <si>
    <t>0611832991100</t>
  </si>
  <si>
    <t>TAG Chrysanthemum Hankie Yellow 100/100 Pixie Tag SF</t>
  </si>
  <si>
    <t>0611832992100</t>
  </si>
  <si>
    <t>TAG Chrysanthemum Hannah Orange 100/100 Pixie Tag SF</t>
  </si>
  <si>
    <t>0611832993100</t>
  </si>
  <si>
    <t>TAG Chrysanthemum Hardy Mum GENERIC 100/100 Pixie Tag</t>
  </si>
  <si>
    <t>0611832994025</t>
  </si>
  <si>
    <t>TAG Chrysanthemum Hardy Mum GENERIC 25/25 Portrait Tag</t>
  </si>
  <si>
    <t>0611832995100</t>
  </si>
  <si>
    <t>TAG Chrysanthemum Hestia Hot Red 100/100 Pixie Tag SF</t>
  </si>
  <si>
    <t>0611861147050</t>
  </si>
  <si>
    <t>TAG Chrysanthemum Homerun Orange 50/50 Petite Portrait DO FUL</t>
  </si>
  <si>
    <t>0611861148050</t>
  </si>
  <si>
    <t>TAG Chrysanthemum Homerun Pink 50/50 Petite Portrait DO FUL</t>
  </si>
  <si>
    <t>0611861149050</t>
  </si>
  <si>
    <t>TAG Chrysanthemum Homerun Scarlet 50/50 Petite Portrait DO FUL</t>
  </si>
  <si>
    <t>0611861150050</t>
  </si>
  <si>
    <t>TAG Chrysanthemum Homerun White 50/50 Petite Portrait DO FUL</t>
  </si>
  <si>
    <t>0611861151050</t>
  </si>
  <si>
    <t>TAG Chrysanthemum Homerun Yellow 50/50 Petite Portrait DO FUL</t>
  </si>
  <si>
    <t>0611832996100</t>
  </si>
  <si>
    <t>TAG Chrysanthemum Jacqueline Orange Fusion 100/100 Pixie Tag SF</t>
  </si>
  <si>
    <t>0611832997100</t>
  </si>
  <si>
    <t>TAG Chrysanthemum Jacqueline Peach Fusion 100/100 Pixie Tag SF</t>
  </si>
  <si>
    <t>0611832998100</t>
  </si>
  <si>
    <t>TAG Chrysanthemum Jacqueline Pearl 100/100 Pixie Tag SF</t>
  </si>
  <si>
    <t>0611832999100</t>
  </si>
  <si>
    <t>TAG Chrysanthemum Jacqueline Pink 100/100 Pixie Tag SF</t>
  </si>
  <si>
    <t>0611833000100</t>
  </si>
  <si>
    <t>TAG Chrysanthemum Jacqueline Rose 100/100 Pixie Tag SF</t>
  </si>
  <si>
    <t>0611833001100</t>
  </si>
  <si>
    <t>TAG Chrysanthemum Jacqueline Yellow 100/100 Pixie Tag SF</t>
  </si>
  <si>
    <t>0611861152050</t>
  </si>
  <si>
    <t>TAG Chrysanthemum Jamboree Pink/White 50/50 Petite Portrait DO FUL</t>
  </si>
  <si>
    <t>0611861153050</t>
  </si>
  <si>
    <t>TAG Chrysanthemum Jamboree Purple/White 50/50 Petite Portrait DO FUL</t>
  </si>
  <si>
    <t>0611861154050</t>
  </si>
  <si>
    <t>TAG Chrysanthemum Jamboree Red/Yellow 50/50 Petite Portrait DO FUL</t>
  </si>
  <si>
    <t>0611856869100</t>
  </si>
  <si>
    <t>TAG Chrysanthemum Jane Yellow 100/100 Pixie Tag SF</t>
  </si>
  <si>
    <t>0611856870100</t>
  </si>
  <si>
    <t>TAG Chrysanthemum Joan White 100/100 Pixie Tag SF</t>
  </si>
  <si>
    <t>0611861156050</t>
  </si>
  <si>
    <t>TAG Chrysanthemum Jolly Dark Bronze 50/50 Petite Portrait DO FUL</t>
  </si>
  <si>
    <t>0611856871100</t>
  </si>
  <si>
    <t>TAG Chrysanthemum Josephine Red 100/100 Pixie Tag SF</t>
  </si>
  <si>
    <t>0611861157050</t>
  </si>
  <si>
    <t>TAG Chrysanthemum Jubilant Red 50/50 Petite Portrait DO FUL</t>
  </si>
  <si>
    <t>0611856872100</t>
  </si>
  <si>
    <t>TAG Chrysanthemum Judy Bronze 100/100 Pixie Tag SF</t>
  </si>
  <si>
    <t>0611861158050</t>
  </si>
  <si>
    <t>TAG Chrysanthemum Jump White 50/50 Petite Portrait DO FUL</t>
  </si>
  <si>
    <t>0611833002100</t>
  </si>
  <si>
    <t>TAG Chrysanthemum Kathleen Dark Red 100/100 Pixie Tag SF</t>
  </si>
  <si>
    <t>0611833003100</t>
  </si>
  <si>
    <t>TAG Chrysanthemum Katie White 100/100 Pixie Tag SF</t>
  </si>
  <si>
    <t>0611833004100</t>
  </si>
  <si>
    <t>TAG Chrysanthemum Keeley Orange 100/100 Pixie Tag SF</t>
  </si>
  <si>
    <t>0611861159050</t>
  </si>
  <si>
    <t>TAG Chrysanthemum Kick Orange 50/50 Petite Portrait DO FUL</t>
  </si>
  <si>
    <t>0611861160050</t>
  </si>
  <si>
    <t>TAG Chrysanthemum Lagoon Purple 50/50 Petite Portrait DO FUL</t>
  </si>
  <si>
    <t>0611861161050</t>
  </si>
  <si>
    <t>TAG Chrysanthemum League Pink 50/50 Petite Portrait DO FUL</t>
  </si>
  <si>
    <t>0611861162050</t>
  </si>
  <si>
    <t>TAG Chrysanthemum Lively Pink Bicolor 50/50 Petite Portrait DO FUL</t>
  </si>
  <si>
    <t>0611861163050</t>
  </si>
  <si>
    <t>TAG Chrysanthemum Lively Red Bicolor 50/50 Petite Portrait DO FUL</t>
  </si>
  <si>
    <t>0611861164050</t>
  </si>
  <si>
    <t>TAG Chrysanthemum Lucky Purple 50/50 Petite Portrait DO FUL</t>
  </si>
  <si>
    <t>0611884091100</t>
  </si>
  <si>
    <t>TAG Chrysanthemum Lucy Bronze Bicolor 100/100 Pixie Tag SF</t>
  </si>
  <si>
    <t>0611833005100</t>
  </si>
  <si>
    <t>TAG Chrysanthemum Makayla Yellow 100/100 Pixie Tag SF</t>
  </si>
  <si>
    <t>0611833006100</t>
  </si>
  <si>
    <t>TAG Chrysanthemum Makenna Orange 100/100 Pixie Tag SF</t>
  </si>
  <si>
    <t>0611833007100</t>
  </si>
  <si>
    <t>TAG Chrysanthemum Makenzie White 100/100 Pixie Tag SF</t>
  </si>
  <si>
    <t>0611833008100</t>
  </si>
  <si>
    <t>TAG Chrysanthemum Marsha Pink 100/100 Pixie Tag SF</t>
  </si>
  <si>
    <t>0611833009100</t>
  </si>
  <si>
    <t>TAG Chrysanthemum Mary Yellow 100/100 Pixie Tag SF</t>
  </si>
  <si>
    <t>0611861165050</t>
  </si>
  <si>
    <t>TAG Chrysanthemum Melody Bronze 50/50 Petite Portrait DO FUL</t>
  </si>
  <si>
    <t>0611861166050</t>
  </si>
  <si>
    <t>TAG Chrysanthemum Meridian Dark Pink 50/50 Petite Portrait DO FUL</t>
  </si>
  <si>
    <t>0611861167050</t>
  </si>
  <si>
    <t>TAG Chrysanthemum Merry Bronze Bicolor 50/50 Petite Portrait DO FUL</t>
  </si>
  <si>
    <t>0611833010100</t>
  </si>
  <si>
    <t>TAG Chrysanthemum Michelle Gold 100/100 Pixie Tag SF</t>
  </si>
  <si>
    <t>0611833011100</t>
  </si>
  <si>
    <t>TAG Chrysanthemum Mila Red 100/100 Pixie Tag SF</t>
  </si>
  <si>
    <t>0611833012100</t>
  </si>
  <si>
    <t>TAG Chrysanthemum Mildred White 100/100 Pixie Tag SF</t>
  </si>
  <si>
    <t>0611861168050</t>
  </si>
  <si>
    <t>TAG Chrysanthemum Mimosa 50/50 Petite Portrait DO FUL</t>
  </si>
  <si>
    <t>0611833013100</t>
  </si>
  <si>
    <t>TAG Chrysanthemum Miranda Orange 100/100 Pixie Tag SF</t>
  </si>
  <si>
    <t>0611833014100</t>
  </si>
  <si>
    <t>TAG Chrysanthemum Mum GENERIC 100/100 Hang Tag</t>
  </si>
  <si>
    <t>0611833015100</t>
  </si>
  <si>
    <t>TAG Chrysanthemum Mum GENERIC 100/100 Pixie Tag</t>
  </si>
  <si>
    <t>0611833016100</t>
  </si>
  <si>
    <t>TAG Chrysanthemum Nikki Bronze 100/100 Pixie Tag SF</t>
  </si>
  <si>
    <t>0611833017100</t>
  </si>
  <si>
    <t>TAG Chrysanthemum Nikki Dark Pink 100/100 Pixie Tag SF</t>
  </si>
  <si>
    <t>0611833018100</t>
  </si>
  <si>
    <t>TAG Chrysanthemum Nikki Orange 100/100 Pixie Tag SF</t>
  </si>
  <si>
    <t>0611833019100</t>
  </si>
  <si>
    <t>TAG Chrysanthemum Nikki Pearl 100/100 Pixie Tag SF</t>
  </si>
  <si>
    <t>0611833020100</t>
  </si>
  <si>
    <t>TAG Chrysanthemum Nikki Pink Bicolor 100/100 Pixie Tag SF</t>
  </si>
  <si>
    <t>0611833021100</t>
  </si>
  <si>
    <t>TAG Chrysanthemum Nikki Yellow 100/100 Pixie Tag SF</t>
  </si>
  <si>
    <t>0611833022100</t>
  </si>
  <si>
    <t>TAG Chrysanthemum Okra Yellow 100/100 Pixie Tag</t>
  </si>
  <si>
    <t>0611833023100</t>
  </si>
  <si>
    <t>TAG Chrysanthemum Paludosum GENERIC 100/100 Pixie Tag</t>
  </si>
  <si>
    <t>0611884092100</t>
  </si>
  <si>
    <t>TAG Chrysanthemum Pamela Orange 100/100 Pixie Tag SF</t>
  </si>
  <si>
    <t>0611884093100</t>
  </si>
  <si>
    <t>TAG Chrysanthemum Pamela Pink 100/100 Pixie Tag SF</t>
  </si>
  <si>
    <t>0611884094100</t>
  </si>
  <si>
    <t>TAG Chrysanthemum Pamela White 100/100 Pixie Tag SF</t>
  </si>
  <si>
    <t>0611884095100</t>
  </si>
  <si>
    <t>TAG Chrysanthemum Pamela Yellow 100/100 Pixie Tag SF</t>
  </si>
  <si>
    <t>0611861169050</t>
  </si>
  <si>
    <t>TAG Chrysanthemum Parade Pink 50/50 Petite Portrait FUL</t>
  </si>
  <si>
    <t>0611861170050</t>
  </si>
  <si>
    <t>TAG Chrysanthemum Party Yellow 50/50 Petite Portrait DO FUL</t>
  </si>
  <si>
    <t>0611833024100</t>
  </si>
  <si>
    <t>TAG Chrysanthemum Patty Pomegranate 100/100 Pixie Tag SF</t>
  </si>
  <si>
    <t>0611833025100</t>
  </si>
  <si>
    <t>TAG Chrysanthemum Patty Purple 100/100 Pixie Tag SF</t>
  </si>
  <si>
    <t>0611833026100</t>
  </si>
  <si>
    <t>TAG Chrysanthemum Pink GENERIC 100/100 Pixie Tag</t>
  </si>
  <si>
    <t>0611833027100</t>
  </si>
  <si>
    <t>TAG Chrysanthemum Pot Mums GENERIC 100/100 Pixie Tag</t>
  </si>
  <si>
    <t>0611861171050</t>
  </si>
  <si>
    <t>TAG Chrysanthemum Power Red 50/50 Petite Portrait DO FUL</t>
  </si>
  <si>
    <t>0611861172050</t>
  </si>
  <si>
    <t>TAG Chrysanthemum Pride Pink 50/50 Petite Portrait FUL</t>
  </si>
  <si>
    <t>0611833028100</t>
  </si>
  <si>
    <t>TAG Chrysanthemum Purple/Lavender GENERIC 100/100 Pixie Tag</t>
  </si>
  <si>
    <t>0611861173050</t>
  </si>
  <si>
    <t>TAG Chrysanthemum Race Orange 50/50 Petite Portrait FUL</t>
  </si>
  <si>
    <t>0611861174100</t>
  </si>
  <si>
    <t>TAG Chrysanthemum Red 100/100 Pixie Tag</t>
  </si>
  <si>
    <t>0611833030100</t>
  </si>
  <si>
    <t>TAG Chrysanthemum Red GENERIC 100/100 Pixie Tag</t>
  </si>
  <si>
    <t>0611861175050</t>
  </si>
  <si>
    <t>TAG Chrysanthemum Reef Bronze 50/50 Petite Portrait DO FUL</t>
  </si>
  <si>
    <t>0611833031100</t>
  </si>
  <si>
    <t>TAG Chrysanthemum Rhonda Bronze 100/100 Pixie Tag SF</t>
  </si>
  <si>
    <t>0611833032100</t>
  </si>
  <si>
    <t>TAG Chrysanthemum Rhonda Pink 100/100 Pixie Tag SF</t>
  </si>
  <si>
    <t>0611833033100</t>
  </si>
  <si>
    <t>TAG Chrysanthemum Rhonda Purple 100/100 Pixie Tag SF</t>
  </si>
  <si>
    <t>0611833034100</t>
  </si>
  <si>
    <t>TAG Chrysanthemum Rhonda Red 100/100 Pixie Tag SF</t>
  </si>
  <si>
    <t>0611833035100</t>
  </si>
  <si>
    <t>TAG Chrysanthemum Rhonda White 100/100 Pixie Tag SF</t>
  </si>
  <si>
    <t>0611833036100</t>
  </si>
  <si>
    <t>TAG Chrysanthemum Rhonda Yellow 100/100 Pixie Tag SF</t>
  </si>
  <si>
    <t>0611833037100</t>
  </si>
  <si>
    <t>TAG Chrysanthemum Rihanna Red 100/100 Pixie Tag SF</t>
  </si>
  <si>
    <t>0611833038100</t>
  </si>
  <si>
    <t>TAG Chrysanthemum Samantha Red 100/100 Pixie Tag SF</t>
  </si>
  <si>
    <t>0611861176050</t>
  </si>
  <si>
    <t>TAG Chrysanthemum Seaside Red 50/50 Petite Portrait DO FUL</t>
  </si>
  <si>
    <t>0611833039100</t>
  </si>
  <si>
    <t>TAG Chrysanthemum Selena Red 100/100 Pixie Tag SF</t>
  </si>
  <si>
    <t>0611833040100</t>
  </si>
  <si>
    <t>TAG Chrysanthemum Shannon White 100/100 Pixie Tag SF</t>
  </si>
  <si>
    <t>0611861177050</t>
  </si>
  <si>
    <t>TAG Chrysanthemum Shore Appleblossom 50/50 Petite Portrait DO FUL</t>
  </si>
  <si>
    <t>0611861178050</t>
  </si>
  <si>
    <t>TAG Chrysanthemum Sing Yellow 50/50 Petite Portrait FUL</t>
  </si>
  <si>
    <t>0611833041100</t>
  </si>
  <si>
    <t>TAG Chrysanthemum Snowland Paludosum 100/100 Pixie Tag</t>
  </si>
  <si>
    <t>0611861179050</t>
  </si>
  <si>
    <t>TAG Chrysanthemum Solar Flare 50/50 Petite Portrait DO FUL</t>
  </si>
  <si>
    <t>0611833042100</t>
  </si>
  <si>
    <t>TAG Chrysanthemum Stacy Orange Dazzling 100/100 Pixie Tag SF</t>
  </si>
  <si>
    <t>0611833043100</t>
  </si>
  <si>
    <t>TAG Chrysanthemum Stacy Pink 100/100 Pixie Tag SF</t>
  </si>
  <si>
    <t>0611861180050</t>
  </si>
  <si>
    <t>TAG Chrysanthemum Starspot 50/50 Petite Portrait DO FUL</t>
  </si>
  <si>
    <t>0611833044100</t>
  </si>
  <si>
    <t>TAG Chrysanthemum Stephany Bronze 100/100 Pixie Tag SF</t>
  </si>
  <si>
    <t>0611833045100</t>
  </si>
  <si>
    <t>TAG Chrysanthemum Stephany Yellow 100/100 Pixie Tag SF</t>
  </si>
  <si>
    <t>0611861181050</t>
  </si>
  <si>
    <t>TAG Chrysanthemum Strawberry Ice 50/50 Petite Portrait DO FUL</t>
  </si>
  <si>
    <t>0611856873100</t>
  </si>
  <si>
    <t>TAG Chrysanthemum Summer Sunset 100/100 Pixie Tag SF</t>
  </si>
  <si>
    <t>0611861182050</t>
  </si>
  <si>
    <t>TAG Chrysanthemum Sunblaze Flame 50/50 Petite Portrait DO FUL</t>
  </si>
  <si>
    <t>0611833047100</t>
  </si>
  <si>
    <t>TAG Chrysanthemum Tabitha Scarlet 100/100 Pixie Tag SF</t>
  </si>
  <si>
    <t>0611833048100</t>
  </si>
  <si>
    <t>TAG Chrysanthemum Tanya Yellow 100/100 Pixie Tag SF</t>
  </si>
  <si>
    <t>0611856874100</t>
  </si>
  <si>
    <t>TAG Chrysanthemum Teresa Pink 100/100 Pixie Tag SF</t>
  </si>
  <si>
    <t>0611861183050</t>
  </si>
  <si>
    <t>TAG Chrysanthemum Tiger Eyes 50/50 Petite Portrait DO FUL</t>
  </si>
  <si>
    <t>0611833049100</t>
  </si>
  <si>
    <t>TAG Chrysanthemum Tina Gold 100/100 Pixie Tag SF</t>
  </si>
  <si>
    <t>0611861184050</t>
  </si>
  <si>
    <t>TAG Chrysanthemum Toast Orange 50/50 Petite Portrait DO FUL</t>
  </si>
  <si>
    <t>0611833050100</t>
  </si>
  <si>
    <t>TAG Chrysanthemum Tracy Orange 100/100 Pixie Tag SF</t>
  </si>
  <si>
    <t>0611833051100</t>
  </si>
  <si>
    <t>TAG Chrysanthemum Ursula Coral Jazzy 100/100 Pixie Tag SF</t>
  </si>
  <si>
    <t>0611833052100</t>
  </si>
  <si>
    <t>TAG Chrysanthemum Ursula Lavender 100/100 Pixie Tag SF</t>
  </si>
  <si>
    <t>0611833053100</t>
  </si>
  <si>
    <t>TAG Chrysanthemum Ursula Orange Fancy 100/100 Pixie Tag SF</t>
  </si>
  <si>
    <t>0611833054100</t>
  </si>
  <si>
    <t>TAG Chrysanthemum Ursula Sunny 100/100 Pixie Tag SF</t>
  </si>
  <si>
    <t>0611833055100</t>
  </si>
  <si>
    <t>TAG Chrysanthemum Vanna Snow 100/100 Pixie Tag SF</t>
  </si>
  <si>
    <t>0611833056100</t>
  </si>
  <si>
    <t>TAG Chrysanthemum Veronica Dark Pink 100/100 Pixie Tag SF</t>
  </si>
  <si>
    <t>0611861185050</t>
  </si>
  <si>
    <t>TAG Chrysanthemum Volley Red 50/50 Petite Portrait DO FUL</t>
  </si>
  <si>
    <t>0611833057100</t>
  </si>
  <si>
    <t>TAG Chrysanthemum Wanda Bronze 100/100 Pixie Tag SF</t>
  </si>
  <si>
    <t>0611833058100</t>
  </si>
  <si>
    <t>TAG Chrysanthemum Wanda Lavender 100/100 Pixie Tag SF</t>
  </si>
  <si>
    <t>0611833059100</t>
  </si>
  <si>
    <t>TAG Chrysanthemum Wanda Purple 100/100 Pixie Tag SF</t>
  </si>
  <si>
    <t>0611833060100</t>
  </si>
  <si>
    <t>TAG Chrysanthemum Wanda Red 100/100 Pixie Tag SF</t>
  </si>
  <si>
    <t>0611861186050</t>
  </si>
  <si>
    <t>TAG Chrysanthemum Whimsy Yellow 50/50 Petite Portrait DO FUL</t>
  </si>
  <si>
    <t>0611861187100</t>
  </si>
  <si>
    <t>TAG Chrysanthemum White 100/100 Pixie Tag</t>
  </si>
  <si>
    <t>0611833061100</t>
  </si>
  <si>
    <t>TAG Chrysanthemum White GENERIC 100/100 Pixie Tag</t>
  </si>
  <si>
    <t>0611833062100</t>
  </si>
  <si>
    <t>TAG Chrysanthemum Wilma White 100/100 Pixie Tag SF</t>
  </si>
  <si>
    <t>0611833063100</t>
  </si>
  <si>
    <t>TAG Chrysanthemum Wilma Yellow 100/100 Pixie Tag SF</t>
  </si>
  <si>
    <t>0611861188050</t>
  </si>
  <si>
    <t>TAG Chrysanthemum Wonder Yellow 50/50 Petite Portrait DO FUL</t>
  </si>
  <si>
    <t>0611861189100</t>
  </si>
  <si>
    <t>TAG Chrysanthemum Yellow 100/100 Pixie Tag</t>
  </si>
  <si>
    <t>0611833064100</t>
  </si>
  <si>
    <t>TAG Chrysanthemum Yellow GENERIC 100/100 Pixie Tag</t>
  </si>
  <si>
    <t>0611833065100</t>
  </si>
  <si>
    <t>TAG Chrysanthemum Yolanda Yellow 100/100 Pixie Tag SF</t>
  </si>
  <si>
    <t>0611833066100</t>
  </si>
  <si>
    <t>TAG Chrysanthemum Yvette Orange Bicolor 100/100 Pixie Tag SF</t>
  </si>
  <si>
    <t>0611833067100</t>
  </si>
  <si>
    <t>TAG Chrysanthemum Yvette Yellow 100/100 Pixie Tag SF</t>
  </si>
  <si>
    <t>0611884096100</t>
  </si>
  <si>
    <t>TAG Chrysanthemum Zelda Yellow 100/100 Pixie Tag SF</t>
  </si>
  <si>
    <t>0611833068025</t>
  </si>
  <si>
    <t>TAG Chrysogonum Pierre Virginianum 25/25 Portrait Tag</t>
  </si>
  <si>
    <t>0611833069100</t>
  </si>
  <si>
    <t>TAG Cichory Gourmet Head Type 100/100 Pixie Tag</t>
  </si>
  <si>
    <t>0611833070100</t>
  </si>
  <si>
    <t>TAG Cichory Gourmet Leaf Type 100/100 Pixie Tag</t>
  </si>
  <si>
    <t>0611833411100</t>
  </si>
  <si>
    <t>TAG Cilantro/Coriander 100/100 Pixie Tag</t>
  </si>
  <si>
    <t>0611833412200</t>
  </si>
  <si>
    <t>TAG Cilantro/Coriander 200/200 Thriftee Tag</t>
  </si>
  <si>
    <t>0611833413025</t>
  </si>
  <si>
    <t>TAG Cilantro/Coriander 25/25 Portrait Tag</t>
  </si>
  <si>
    <t>0611833414100</t>
  </si>
  <si>
    <t>TAG Cilantro/Coriander Delfino 100/100 Pixie Tag</t>
  </si>
  <si>
    <t>0611833415100</t>
  </si>
  <si>
    <t>TAG Cilantro/Coriander Santo 100/100 Pixie Tag</t>
  </si>
  <si>
    <t>0611856973025</t>
  </si>
  <si>
    <t>TAG Cilantro/Coriander Santo 25/25 Portrait Tag</t>
  </si>
  <si>
    <t>0611833071025</t>
  </si>
  <si>
    <t>TAG Cimici Brunette Ramosa 25/25 Portrait Tag</t>
  </si>
  <si>
    <t>0611833072100</t>
  </si>
  <si>
    <t>TAG Cissus Rhombifolia Grape Ivy 100/100 Pixie Tag</t>
  </si>
  <si>
    <t>0611837197100</t>
  </si>
  <si>
    <t>TAG Citronella Crispum Mosquito Plant 100/100 Pixie Tag</t>
  </si>
  <si>
    <t>0611837243100</t>
  </si>
  <si>
    <t>TAG Citronella Mosquito Plant 100/100 Pixie Tag</t>
  </si>
  <si>
    <t>0611833098025</t>
  </si>
  <si>
    <t>TAG Clematis Large Flowered GENERIC 25/25 Portrait Tag</t>
  </si>
  <si>
    <t>0611856875025</t>
  </si>
  <si>
    <t>TAG Clematis Small Flowered GENERIC 25/25 Portrait Tag</t>
  </si>
  <si>
    <t>0611856876100</t>
  </si>
  <si>
    <t>TAG Cleome Clementine Series 100/100 Pixie Tag</t>
  </si>
  <si>
    <t>0611833099100</t>
  </si>
  <si>
    <t>TAG Cleome Cleome GENERIC 100/100 Pixie Tag</t>
  </si>
  <si>
    <t>0611833100100</t>
  </si>
  <si>
    <t>TAG Cleome Clio Magenta 100/100 Pixie Tag</t>
  </si>
  <si>
    <t>0611833101100</t>
  </si>
  <si>
    <t>TAG Cleome Clio Pink Lady 100/100 Pixie Tag</t>
  </si>
  <si>
    <t>0611833103100</t>
  </si>
  <si>
    <t>TAG Cleome Queen Cherry 100/100 Pixie Tag</t>
  </si>
  <si>
    <t>0611833104100</t>
  </si>
  <si>
    <t>TAG Cleome Queen Pink 100/100 Pixie Tag</t>
  </si>
  <si>
    <t>0611833105100</t>
  </si>
  <si>
    <t>TAG Cleome Queen Purple 100/100 Pixie Tag</t>
  </si>
  <si>
    <t>0611833106100</t>
  </si>
  <si>
    <t>TAG Cleome Queen Rose 100/100 Pixie Tag</t>
  </si>
  <si>
    <t>0611833107100</t>
  </si>
  <si>
    <t>TAG Cleome Queen Royal Mix 100/100 Pixie Tag</t>
  </si>
  <si>
    <t>0611833108100</t>
  </si>
  <si>
    <t>TAG Cleome Queen Violet 100/100 Pixie Tag</t>
  </si>
  <si>
    <t>0611833109100</t>
  </si>
  <si>
    <t>TAG Cleome Queen White 100/100 Pixie Tag</t>
  </si>
  <si>
    <t>0611833110100</t>
  </si>
  <si>
    <t>TAG Cleome Sparkler 2 Blush 100/100 Pixie Tag SF</t>
  </si>
  <si>
    <t>0611833111100</t>
  </si>
  <si>
    <t>TAG Cleome Sparkler 2 Lavender 100/100 Pixie Tag SF</t>
  </si>
  <si>
    <t>0611833112100</t>
  </si>
  <si>
    <t>TAG Cleome Sparkler 2 Mix 100/100 Pixie Tag SF</t>
  </si>
  <si>
    <t>0611833113100</t>
  </si>
  <si>
    <t>TAG Cleome Sparkler 2 Purple 100/100 Pixie Tag SF</t>
  </si>
  <si>
    <t>0611833114100</t>
  </si>
  <si>
    <t>TAG Cleome Sparkler 2 Rose 100/100 Pixie Tag SF</t>
  </si>
  <si>
    <t>0611833115100</t>
  </si>
  <si>
    <t>TAG Cleome Sparkler 2 White 100/100 Pixie Tag SF</t>
  </si>
  <si>
    <t>0611833116100</t>
  </si>
  <si>
    <t>TAG Cleome Sparkler Blush 100/100 Pixie Tag SF</t>
  </si>
  <si>
    <t>0611833117100</t>
  </si>
  <si>
    <t>TAG Cleome Sparkler Lavender 100/100 Pixie Tag SF</t>
  </si>
  <si>
    <t>0611833118100</t>
  </si>
  <si>
    <t>TAG Cleome Sparkler Mix 100/100 Pixie Tag SF</t>
  </si>
  <si>
    <t>0611833119100</t>
  </si>
  <si>
    <t>TAG Cleome Sparkler Rose 100/100 Pixie Tag SF</t>
  </si>
  <si>
    <t>0611833120100</t>
  </si>
  <si>
    <t>TAG Cleome Sparkler White 100/100 Pixie Tag SF</t>
  </si>
  <si>
    <t>0611833122025</t>
  </si>
  <si>
    <t>TAG Clerodendrum Thomsoniae 25/25 Portrait Tag</t>
  </si>
  <si>
    <t>0611884098050</t>
  </si>
  <si>
    <t>TAG Coelus Down Town Columbus 50/50 Petite Portrait FUL</t>
  </si>
  <si>
    <t>0611884099050</t>
  </si>
  <si>
    <t>TAG Coelus Main Street Lombard Street 50/50 Petite Portrait FUL</t>
  </si>
  <si>
    <t>0611833126100</t>
  </si>
  <si>
    <t>TAG Coffee Arabica 100/100 Pixie Tag</t>
  </si>
  <si>
    <t>0611833127100</t>
  </si>
  <si>
    <t>TAG Coleus Alabama 100/100 Pixie Tag</t>
  </si>
  <si>
    <t>0611861190050</t>
  </si>
  <si>
    <t>TAG Coleus Alabama 50/50 Petite Portrait FUL</t>
  </si>
  <si>
    <t>0611833128100</t>
  </si>
  <si>
    <t>TAG Coleus Alabama Sunset 100/100 Pixie Tag</t>
  </si>
  <si>
    <t>0611861191050</t>
  </si>
  <si>
    <t>TAG Coleus Allspice 50/50 Petite Portrait FUL</t>
  </si>
  <si>
    <t>0611833130100</t>
  </si>
  <si>
    <t>TAG Coleus Beauty Of Lyon 100/100 Pixie Tag</t>
  </si>
  <si>
    <t>0611861192050</t>
  </si>
  <si>
    <t>TAG Coleus Beauty Of Lyon 50/50 Petite Portrait</t>
  </si>
  <si>
    <t>0611833131100</t>
  </si>
  <si>
    <t>TAG Coleus Black GENERIC 100/100 Pixie Tag</t>
  </si>
  <si>
    <t>0611833132100</t>
  </si>
  <si>
    <t>TAG Coleus Burgundy Sun 100/100 Pixie Tag</t>
  </si>
  <si>
    <t>0611833135100</t>
  </si>
  <si>
    <t>TAG Coleus Chocolate Covered Cherry 100/100 Pixie Tag</t>
  </si>
  <si>
    <t>0611833136100</t>
  </si>
  <si>
    <t>TAG Coleus Chocolate Mint 100/100 Pixie Tag</t>
  </si>
  <si>
    <t>0611833138025</t>
  </si>
  <si>
    <t>TAG Coleus Chocolate Symphony 25/25 Portrait Tag</t>
  </si>
  <si>
    <t>0611833143100</t>
  </si>
  <si>
    <t>TAG Coleus Color Clouds Be Mine 100/100 Pixie Tag</t>
  </si>
  <si>
    <t>0611833144100</t>
  </si>
  <si>
    <t>TAG Coleus Color Clouds Spicy 100/100 Pixie Tag</t>
  </si>
  <si>
    <t>0611833145100</t>
  </si>
  <si>
    <t>TAG Coleus Color Clouds Valentine 100/100 Pixie Tag</t>
  </si>
  <si>
    <t>0611833146100</t>
  </si>
  <si>
    <t>TAG Coleus Color Pride 100/100 Pixie Tag</t>
  </si>
  <si>
    <t>0611833149100</t>
  </si>
  <si>
    <t>TAG Coleus Dark Chocolate 100/100 Pixie Tag</t>
  </si>
  <si>
    <t>0611833150100</t>
  </si>
  <si>
    <t>TAG Coleus Dark Star 100/100 Pixie Tag</t>
  </si>
  <si>
    <t>0611833151100</t>
  </si>
  <si>
    <t>TAG Coleus Defiance 100/100 Pixie Tag</t>
  </si>
  <si>
    <t>0611833152100</t>
  </si>
  <si>
    <t>TAG Coleus Dipt In Wine 100/100 Pixie Tag</t>
  </si>
  <si>
    <t>0611861193050</t>
  </si>
  <si>
    <t>TAG Coleus Dipt In Wine 50/50 Petite Portrait FUL</t>
  </si>
  <si>
    <t>0611884100050</t>
  </si>
  <si>
    <t>TAG Coleus DO FULwn Town Greenville 50/50 Petite Portrait DO FUL</t>
  </si>
  <si>
    <t>0611884102050</t>
  </si>
  <si>
    <t>TAG Coleus DO FULwn Town Miami Magic 50/50 Petite Portrait DO FUL</t>
  </si>
  <si>
    <t>0611884103050</t>
  </si>
  <si>
    <t>TAG Coleus DO FULwn Town NYC Nights 50/50 Petite Portrait DO FUL</t>
  </si>
  <si>
    <t>0611884104050</t>
  </si>
  <si>
    <t>TAG Coleus DO FULwn Town Santa Monica 50/50 Petite Portrait DO FUL</t>
  </si>
  <si>
    <t>0611884105050</t>
  </si>
  <si>
    <t>TAG Coleus DO FULwn Town Vegas Neon 50/50 Petite Portrait DO FUL</t>
  </si>
  <si>
    <t>0611884101050</t>
  </si>
  <si>
    <t>TAG Coleus Down Town Le Freak 50/50 Petite Portrait FUL</t>
  </si>
  <si>
    <t>0611833153100</t>
  </si>
  <si>
    <t>TAG Coleus Dragon Black 100/100 Pixie Tag</t>
  </si>
  <si>
    <t>0611833155100</t>
  </si>
  <si>
    <t>TAG Coleus Fairway Series 100/100 Pixie Tag</t>
  </si>
  <si>
    <t>0611833156100</t>
  </si>
  <si>
    <t>TAG Coleus Fancy Feathers Black 100/100 Pixie Tag</t>
  </si>
  <si>
    <t>0611861194050</t>
  </si>
  <si>
    <t>TAG Coleus Fancy Feathers Black 50/50 Petite Portrait FUL</t>
  </si>
  <si>
    <t>0611861195050</t>
  </si>
  <si>
    <t>TAG Coleus Fancy Feathers Copper 50/50 Petite Portrait FUL</t>
  </si>
  <si>
    <t>0611833157100</t>
  </si>
  <si>
    <t>TAG Coleus Fancy Feathers Pink 100/100 Pixie Tag</t>
  </si>
  <si>
    <t>0611861196050</t>
  </si>
  <si>
    <t>TAG Coleus Fancy Feathers Pink 50/50 Petite Portrait FUL</t>
  </si>
  <si>
    <t>0611833158100</t>
  </si>
  <si>
    <t>TAG Coleus Festive Dance 100/100 Pixie Tag</t>
  </si>
  <si>
    <t>0611833159100</t>
  </si>
  <si>
    <t>TAG Coleus Finger Paint 100/100 Pixie Tag</t>
  </si>
  <si>
    <t>0611861197050</t>
  </si>
  <si>
    <t>TAG Coleus Fiona 50/50 Petite Portrait FUL</t>
  </si>
  <si>
    <t>0611833160100</t>
  </si>
  <si>
    <t>TAG Coleus Fishnet Stockings 100/100 Pixie Tag</t>
  </si>
  <si>
    <t>0611833162100</t>
  </si>
  <si>
    <t>TAG Coleus Flying Carpet Fire Mtn 100/100 Pixie Tag</t>
  </si>
  <si>
    <t>0611833163100</t>
  </si>
  <si>
    <t>TAG Coleus Flying Carpet Shocker 100/100 Pixie Tag</t>
  </si>
  <si>
    <t>0611833164100</t>
  </si>
  <si>
    <t>TAG Coleus Flying Carpet Thriller 100/100 Pixie Tag</t>
  </si>
  <si>
    <t>0611833165100</t>
  </si>
  <si>
    <t>TAG Coleus Gay's Delight 100/100 Pixie Tag</t>
  </si>
  <si>
    <t>0611861198050</t>
  </si>
  <si>
    <t>TAG Coleus Gay's Delight 50/50 Petite Portrait FUL</t>
  </si>
  <si>
    <t>0611833139100</t>
  </si>
  <si>
    <t>TAG Coleus GENERIC 100/100 Hang Tag</t>
  </si>
  <si>
    <t>0611833140025</t>
  </si>
  <si>
    <t>TAG Coleus GENERIC 25/25 Portrait Tag</t>
  </si>
  <si>
    <t>0611833141100</t>
  </si>
  <si>
    <t>TAG Coleus GENERIC Bilingual 100/100 Pixie Tag</t>
  </si>
  <si>
    <t>0611833166100</t>
  </si>
  <si>
    <t>TAG Coleus Giant Exhibition Black 100/100 Pixie Tag</t>
  </si>
  <si>
    <t>0611833167100</t>
  </si>
  <si>
    <t>TAG Coleus Giant Exhibition Lime 100/100 Pixie Tag</t>
  </si>
  <si>
    <t>0611833169100</t>
  </si>
  <si>
    <t>TAG Coleus Giant Exhibition Mix 100/100 Pixie Tag</t>
  </si>
  <si>
    <t>0611833170100</t>
  </si>
  <si>
    <t>TAG Coleus Glennis 100/100 Pixie Tag</t>
  </si>
  <si>
    <t>0611833171100</t>
  </si>
  <si>
    <t>TAG Coleus Globetrotters Gaga 100/100 Pixie Tag</t>
  </si>
  <si>
    <t>0611833172100</t>
  </si>
  <si>
    <t>TAG Coleus Globetrotters Taylor 100/100 Pixie Tag</t>
  </si>
  <si>
    <t>0611833174100</t>
  </si>
  <si>
    <t>TAG Coleus Gold Lace 100/100 Pixie Tag</t>
  </si>
  <si>
    <t>0611861199050</t>
  </si>
  <si>
    <t>TAG Coleus Great Falls Angel 50/50 Petite Portrait DO FUL</t>
  </si>
  <si>
    <t>0611861200050</t>
  </si>
  <si>
    <t>TAG Coleus Great Falls Iguazu 50/50 Petite Portrait DO FUL</t>
  </si>
  <si>
    <t>0611861201050</t>
  </si>
  <si>
    <t>TAG Coleus Great Falls Niagra 50/50 Petite Portrait DO FUL</t>
  </si>
  <si>
    <t>0611861202050</t>
  </si>
  <si>
    <t>TAG Coleus Great Falls Yosemite 50/50 Petite Portrait DO FUL</t>
  </si>
  <si>
    <t>0611861203050</t>
  </si>
  <si>
    <t>TAG Coleus Green Lantern 50/50 Petite Portrait FUL</t>
  </si>
  <si>
    <t>0611833175100</t>
  </si>
  <si>
    <t>TAG Coleus Hipsters Dexter 100/100 Pixie Tag</t>
  </si>
  <si>
    <t>0611833177100</t>
  </si>
  <si>
    <t>TAG Coleus Hipsters Jillian 100/100 Pixie Tag</t>
  </si>
  <si>
    <t>0611861204050</t>
  </si>
  <si>
    <t>TAG Coleus Hipsters Jillian 50/50 Petite Portrait FUL</t>
  </si>
  <si>
    <t>0611833178100</t>
  </si>
  <si>
    <t>TAG Coleus Hipsters Piper 100/100 Pixie Tag</t>
  </si>
  <si>
    <t>0611861205050</t>
  </si>
  <si>
    <t>TAG Coleus Hipsters Piper 50/50 Petite Portrait FUL</t>
  </si>
  <si>
    <t>0611861206050</t>
  </si>
  <si>
    <t>TAG Coleus Hipsters Zooey 50/50 Petite Portrait FUL</t>
  </si>
  <si>
    <t>0611833180100</t>
  </si>
  <si>
    <t>TAG Coleus Kaleidoscope Mix 100/100 Pixie Tag</t>
  </si>
  <si>
    <t>0611861207050</t>
  </si>
  <si>
    <t>TAG Coleus Kingswood Torch 50/50 Petite Portrait FUL</t>
  </si>
  <si>
    <t>0611833182100</t>
  </si>
  <si>
    <t>TAG Coleus Kingwood Torch 100/100 Pixie Tag</t>
  </si>
  <si>
    <t>0611833183100</t>
  </si>
  <si>
    <t>TAG Coleus Kiwi Fern 100/100 Pixie Tag</t>
  </si>
  <si>
    <t>0611833184100</t>
  </si>
  <si>
    <t>TAG Coleus Kong Empire Mix 100/100 Pixie Tag</t>
  </si>
  <si>
    <t>0611833186100</t>
  </si>
  <si>
    <t>TAG Coleus Kong Jr Green Halo 100/100 Pixie Tag</t>
  </si>
  <si>
    <t>0611833187100</t>
  </si>
  <si>
    <t>TAG Coleus Kong Jr Lime Vein 100/100 Pixie Tag</t>
  </si>
  <si>
    <t>0611833188100</t>
  </si>
  <si>
    <t>TAG Coleus Kong Jr Rose 100/100 Pixie Tag</t>
  </si>
  <si>
    <t>0611833189100</t>
  </si>
  <si>
    <t>TAG Coleus Kong Jr Scarlet 100/100 Pixie Tag</t>
  </si>
  <si>
    <t>0611833190100</t>
  </si>
  <si>
    <t>TAG Coleus Kong Lime Sprite 100/100 Pixie Tag</t>
  </si>
  <si>
    <t>0611833191100</t>
  </si>
  <si>
    <t>TAG Coleus Kong Mosaic 100/100 Pixie Tag</t>
  </si>
  <si>
    <t>0611833192100</t>
  </si>
  <si>
    <t>TAG Coleus Kong Red 100/100 Pixie Tag</t>
  </si>
  <si>
    <t>0611833193100</t>
  </si>
  <si>
    <t>TAG Coleus Kong Rose 100/100 Pixie Tag</t>
  </si>
  <si>
    <t>0611833194100</t>
  </si>
  <si>
    <t>TAG Coleus Kong Salmon Pink 100/100 Pixie Tag</t>
  </si>
  <si>
    <t>0611833195100</t>
  </si>
  <si>
    <t>TAG Coleus Kong Scarlet 100/100 Pixie Tag</t>
  </si>
  <si>
    <t>0611833196100</t>
  </si>
  <si>
    <t>TAG Coleus Kong Series 100/100 Pixie Tag</t>
  </si>
  <si>
    <t>0611861208050</t>
  </si>
  <si>
    <t>TAG Coleus Lavish Lime 50/50 Petite Portrait FUL</t>
  </si>
  <si>
    <t>0611861209050</t>
  </si>
  <si>
    <t>TAG Coleus Le Freak 50/50 Petite Portrait DO FUL</t>
  </si>
  <si>
    <t>0611833197100</t>
  </si>
  <si>
    <t>TAG Coleus Lifelime 100/100 Pixie Tag</t>
  </si>
  <si>
    <t>0611833198100</t>
  </si>
  <si>
    <t>TAG Coleus Lime 100/100 Pixie Tag</t>
  </si>
  <si>
    <t>0611861210050</t>
  </si>
  <si>
    <t>TAG Coleus Lovebird 50/50 Petite Portrait FUL</t>
  </si>
  <si>
    <t>0611861211050</t>
  </si>
  <si>
    <t>TAG Coleus Macaw 50/50 Petite Portrait FUL</t>
  </si>
  <si>
    <t>0611861212050</t>
  </si>
  <si>
    <t>TAG Coleus Maharaja 50/50 Petite Portrait FUL</t>
  </si>
  <si>
    <t>0611861213050</t>
  </si>
  <si>
    <t>TAG Coleus Main Street Abbey Road 50/50 Petite Portrait FUL</t>
  </si>
  <si>
    <t>0611861214050</t>
  </si>
  <si>
    <t>TAG Coleus Main Street Alligator Alley 50/50 Petite Portrait FUL</t>
  </si>
  <si>
    <t>0611861215050</t>
  </si>
  <si>
    <t>TAG Coleus Main Street Ashbury 50/50 Petite Portrait FUL</t>
  </si>
  <si>
    <t>0611861216050</t>
  </si>
  <si>
    <t>TAG Coleus Main Street Beale Street 50/50 Petite Portrait FUL</t>
  </si>
  <si>
    <t>0611861217050</t>
  </si>
  <si>
    <t>TAG Coleus Main Street Bourbon Street 50/50 Petite Portrait FUL</t>
  </si>
  <si>
    <t>0611861218050</t>
  </si>
  <si>
    <t>TAG Coleus Main Street Broad St 50/50 Petite Portrait FUL</t>
  </si>
  <si>
    <t>0611861219050</t>
  </si>
  <si>
    <t>TAG Coleus Main Street Chartres Street 50/50 Petite Portrait FUL</t>
  </si>
  <si>
    <t>0611833199100</t>
  </si>
  <si>
    <t>TAG Coleus Main Street Fifth Avenue 100/100 Pixie Tag</t>
  </si>
  <si>
    <t>0611861220050</t>
  </si>
  <si>
    <t>TAG Coleus Main Street Fifth Avenue 50/50 Petite Portrait FUL</t>
  </si>
  <si>
    <t>0611861221050</t>
  </si>
  <si>
    <t>TAG Coleus Main Street Fiori Square 50/50 Petite Portrait FUL</t>
  </si>
  <si>
    <t>0611861222050</t>
  </si>
  <si>
    <t>TAG Coleus Main Street La Rambla 50/50 Petite Portrait FUL</t>
  </si>
  <si>
    <t>0611861223050</t>
  </si>
  <si>
    <t>TAG Coleus Main Street Michigan Avenue 50/50 Petite Portrait FUL</t>
  </si>
  <si>
    <t>0611861224050</t>
  </si>
  <si>
    <t>TAG Coleus Main Street Ocean Drive 50/50 Petite Portrait FUL</t>
  </si>
  <si>
    <t>0611861225050</t>
  </si>
  <si>
    <t>TAG Coleus Main Street Orchard Red 50/50 Petite Portrait FUL</t>
  </si>
  <si>
    <t>0611861226050</t>
  </si>
  <si>
    <t>TAG Coleus Main Street Portage Avenue 50/50 Petite Portrait FUL</t>
  </si>
  <si>
    <t>0611833200100</t>
  </si>
  <si>
    <t>TAG Coleus Main Street River Walk 100/100 Pixie Tag</t>
  </si>
  <si>
    <t>0611861234050</t>
  </si>
  <si>
    <t>TAG Coleus Main Street River Walk 50/50 Petite Portrait FUL</t>
  </si>
  <si>
    <t>0611861227050</t>
  </si>
  <si>
    <t>TAG Coleus Main Street Ruby Red 50/50 Petite Portrait FUL</t>
  </si>
  <si>
    <t>0611861257050</t>
  </si>
  <si>
    <t>TAG Coleus Main Street Sunset Boulevard 50/50 Petite Portrait FUL</t>
  </si>
  <si>
    <t>0611861228050</t>
  </si>
  <si>
    <t>TAG Coleus Main Street Times Square 50/50 Petite Portrait FUL</t>
  </si>
  <si>
    <t>0611861229050</t>
  </si>
  <si>
    <t>TAG Coleus Main Street Venice Boulevard 50/50 Petite Portrait FUL</t>
  </si>
  <si>
    <t>0611861230050</t>
  </si>
  <si>
    <t>TAG Coleus Main Street Wall Street 50/50 Petite Portrait FUL</t>
  </si>
  <si>
    <t>0611861231050</t>
  </si>
  <si>
    <t>TAG Coleus Main Street Yonge Street 50/50 Petite Portrait FUL</t>
  </si>
  <si>
    <t>0611884106100</t>
  </si>
  <si>
    <t>TAG Coleus Mezmerize Series 100/100 Pixie Tag</t>
  </si>
  <si>
    <t>0611833201100</t>
  </si>
  <si>
    <t>TAG Coleus Mighty Mosaic 100/100 Pixie Tag</t>
  </si>
  <si>
    <t>0611833202100</t>
  </si>
  <si>
    <t>TAG Coleus Multicolor GENERIC 100/100 Pixie Tag</t>
  </si>
  <si>
    <t>0611833203100</t>
  </si>
  <si>
    <t>TAG Coleus Nova Mad Medusa 100/100 Pixie Tag</t>
  </si>
  <si>
    <t>0611833204100</t>
  </si>
  <si>
    <t>TAG Coleus Nova Red Flare 100/100 Pixie Tag</t>
  </si>
  <si>
    <t>0611833205100</t>
  </si>
  <si>
    <t>TAG Coleus Nova Roly Poly 100/100 Pixie Tag</t>
  </si>
  <si>
    <t>0611833206100</t>
  </si>
  <si>
    <t>TAG Coleus Ox Blood 100/100 Pixie Tag</t>
  </si>
  <si>
    <t>0611861232050</t>
  </si>
  <si>
    <t>TAG Coleus Oxford Street 50/50 Petite Portrait FUL</t>
  </si>
  <si>
    <t>0611833207100</t>
  </si>
  <si>
    <t>TAG Coleus PartyTime Lime 100/100 Pixie Tag</t>
  </si>
  <si>
    <t>0611833208100</t>
  </si>
  <si>
    <t>TAG Coleus PartyTime Pink Berry 100/100 Pixie Tag</t>
  </si>
  <si>
    <t>0611833209100</t>
  </si>
  <si>
    <t>TAG Coleus PartyTime Pink Fizz 100/100 Pixie Tag</t>
  </si>
  <si>
    <t>0611833211100</t>
  </si>
  <si>
    <t>TAG Coleus PartyTime Reggae Salmon 100/100 Pixie Tag</t>
  </si>
  <si>
    <t>0611833212100</t>
  </si>
  <si>
    <t>TAG Coleus PartyTime Ruby Punch 100/100 Pixie Tag</t>
  </si>
  <si>
    <t>0611833214100</t>
  </si>
  <si>
    <t>TAG Coleus Peter's Wonder 100/100 Pixie Tag</t>
  </si>
  <si>
    <t>0611833215100</t>
  </si>
  <si>
    <t>TAG Coleus Pineapple 100/100 Pixie Tag</t>
  </si>
  <si>
    <t>0611833216100</t>
  </si>
  <si>
    <t>TAG Coleus Pineapple Beauty 100/100 Pixie Tag</t>
  </si>
  <si>
    <t>0611833217100</t>
  </si>
  <si>
    <t>TAG Coleus Pineapple Surprise 100/100 Pixie Tag</t>
  </si>
  <si>
    <t>0611833218100</t>
  </si>
  <si>
    <t>TAG Coleus Pineapplette 100/100 Pixie Tag</t>
  </si>
  <si>
    <t>0611884107100</t>
  </si>
  <si>
    <t>TAG Coleus Premium Sun Coral Candy 100/100 Pixie Tag</t>
  </si>
  <si>
    <t>0611833221100</t>
  </si>
  <si>
    <t>TAG Coleus Premium Sun Crimson Gold 100/100 Pixie Tag</t>
  </si>
  <si>
    <t>0611833222100</t>
  </si>
  <si>
    <t>TAG Coleus Premium Sun Lime Delight 100/100 Pixie Tag</t>
  </si>
  <si>
    <t>0611856877100</t>
  </si>
  <si>
    <t>TAG Coleus Premium Sun Ruby Heart 100/100 Pixie Tag</t>
  </si>
  <si>
    <t>0611833223100</t>
  </si>
  <si>
    <t>TAG Coleus Premium Sun Watermelon 100/100 Pixie Tag</t>
  </si>
  <si>
    <t>0611861233050</t>
  </si>
  <si>
    <t>TAG Coleus Quetzal 50/50 Petite Portrait FUL</t>
  </si>
  <si>
    <t>0611833224100</t>
  </si>
  <si>
    <t>TAG Coleus Rainbow Mix 100/100 Pixie Tag</t>
  </si>
  <si>
    <t>0611833225100</t>
  </si>
  <si>
    <t>TAG Coleus Rainbow Multicolor 100/100 Pixie Tag</t>
  </si>
  <si>
    <t>0611833226100</t>
  </si>
  <si>
    <t>TAG Coleus Red Ruffles 100/100 Pixie Tag</t>
  </si>
  <si>
    <t>0611833227100</t>
  </si>
  <si>
    <t>TAG Coleus Red Velvet 100/100 Pixie Tag</t>
  </si>
  <si>
    <t>0611833228100</t>
  </si>
  <si>
    <t>TAG Coleus Roaring Fire 100/100 Pixie Tag</t>
  </si>
  <si>
    <t>0611861235050</t>
  </si>
  <si>
    <t>TAG Coleus Rodeo Drive 50/50 Petite Portrait FUL</t>
  </si>
  <si>
    <t>0611833229025</t>
  </si>
  <si>
    <t>TAG Coleus Rustic Orange 25/25 Portrait Tag</t>
  </si>
  <si>
    <t>0611833230100</t>
  </si>
  <si>
    <t>TAG Coleus Sky Fire 100/100 Pixie Tag</t>
  </si>
  <si>
    <t>0611833231100</t>
  </si>
  <si>
    <t>TAG Coleus Solar GENERIC Bilingual 100/100 Pixie Tag</t>
  </si>
  <si>
    <t>0611833232100</t>
  </si>
  <si>
    <t>TAG Coleus Solar Sunrise 100/100 Pixie Tag</t>
  </si>
  <si>
    <t>0611861256050</t>
  </si>
  <si>
    <t>TAG Coleus Splish Splash Rose Gold 50/50 Petite Portrait FUL</t>
  </si>
  <si>
    <t>0611861236050</t>
  </si>
  <si>
    <t>TAG Coleus Stained Glassworks Big Blonde 50/50 Petite Portrait DO FUL</t>
  </si>
  <si>
    <t>0611861237050</t>
  </si>
  <si>
    <t>TAG Coleus Stained Glassworks Copper 50/50 Petite Portrait DO FUL</t>
  </si>
  <si>
    <t>0611861238050</t>
  </si>
  <si>
    <t>TAG Coleus Stained Glassworks Crown Jewel 50/50 Petite Portrait DO FUL</t>
  </si>
  <si>
    <t>0611861239050</t>
  </si>
  <si>
    <t>TAG Coleus Stained Glassworks Eruption 50/50 Petite Tag DO</t>
  </si>
  <si>
    <t>0611861240050</t>
  </si>
  <si>
    <t>TAG Coleus Stained Glassworks Eruption CR3858 50/50 Petite Portrait DO FUL</t>
  </si>
  <si>
    <t>0611861241050</t>
  </si>
  <si>
    <t>TAG Coleus Stained Glassworks Flashbulb 50/50 Petite Portrait DO FUL</t>
  </si>
  <si>
    <t>0611861242050</t>
  </si>
  <si>
    <t>TAG Coleus Stained Glassworks Golden Gate 50/50 Petite Portrait DO FUL</t>
  </si>
  <si>
    <t>0611861243050</t>
  </si>
  <si>
    <t>TAG Coleus Stained Glassworks Kiwi 50/50 Petite Portrait DO FUL</t>
  </si>
  <si>
    <t>0611861244050</t>
  </si>
  <si>
    <t>TAG Coleus Stained Glassworks Luminesce 50/50 Petite Portrait DO FUL</t>
  </si>
  <si>
    <t>0611861245050</t>
  </si>
  <si>
    <t>TAG Coleus Stained Glassworks Molten Lava 50/50 Petite Portrait DO FUL</t>
  </si>
  <si>
    <t>0611861246050</t>
  </si>
  <si>
    <t>TAG Coleus Stained Glassworks Palisade 50/50 Petite Portrait DO FUL</t>
  </si>
  <si>
    <t>0611861248050</t>
  </si>
  <si>
    <t>TAG Coleus Stained Glassworks Pineapple Express 50/50 Petite Portrait DO FUL</t>
  </si>
  <si>
    <t>0611861249050</t>
  </si>
  <si>
    <t>TAG Coleus Stained Glassworks Presidio 50/50 Petite Portrait DO FUL</t>
  </si>
  <si>
    <t>0611861250050</t>
  </si>
  <si>
    <t>TAG Coleus Stained Glassworks Raspberry Tart 50/50 Petite Portrait DO FUL</t>
  </si>
  <si>
    <t>0611861251050</t>
  </si>
  <si>
    <t>TAG Coleus Stained Glassworks Royalty 50/50 Petite Portrait DO FUL</t>
  </si>
  <si>
    <t>0611861252050</t>
  </si>
  <si>
    <t>TAG Coleus Stained Glassworks Tilt A Whirl 50/50 Petite Portrait DO FUL</t>
  </si>
  <si>
    <t>0611861253050</t>
  </si>
  <si>
    <t>TAG Coleus Stained Glassworks Trailing Monarch 50/50 Petite Portrait DO FUL</t>
  </si>
  <si>
    <t>0611861254050</t>
  </si>
  <si>
    <t>TAG Coleus Stained Glassworks Trailing Plum 50/50 Petite Portrait DO FUL</t>
  </si>
  <si>
    <t>0611861255050</t>
  </si>
  <si>
    <t>TAG Coleus Stained Glassworks Velvet 50/50 Petite Portrait DO FUL</t>
  </si>
  <si>
    <t>0611833233100</t>
  </si>
  <si>
    <t>TAG Coleus Sun Lover GENERIC 100/100 Pixie Tag</t>
  </si>
  <si>
    <t>0611833234100</t>
  </si>
  <si>
    <t>TAG Coleus Sunset 100/100 Pixie Tag</t>
  </si>
  <si>
    <t>0611833235100</t>
  </si>
  <si>
    <t>TAG Coleus Superfine Rainbow Mix 100/100 Pixie Tag</t>
  </si>
  <si>
    <t>0611884108050</t>
  </si>
  <si>
    <t>TAG Coleus Talavera Burgundy Lime 50/50 Petite Portrait SF FUL</t>
  </si>
  <si>
    <t>0611884109050</t>
  </si>
  <si>
    <t>TAG Coleus Talavera Chocolate Mint 50/50 Petite Portrait SF FUL</t>
  </si>
  <si>
    <t>0611884110050</t>
  </si>
  <si>
    <t>TAG Coleus Talavera Chocolate Velvet 50/50 Petite Portrait SF FUL</t>
  </si>
  <si>
    <t>0611884111050</t>
  </si>
  <si>
    <t>TAG Coleus Talavera Moondust 50/50 Petite Portrait SF FUL</t>
  </si>
  <si>
    <t>0611884112050</t>
  </si>
  <si>
    <t>TAG Coleus Talavera Pink Tricolor 50/50 Petite Portrait SF FUL</t>
  </si>
  <si>
    <t>0611884113050</t>
  </si>
  <si>
    <t>TAG Coleus Talavera Sienna 50/50 Petite Portrait SF FUL</t>
  </si>
  <si>
    <t>0611833236100</t>
  </si>
  <si>
    <t>TAG Coleus Terra Nova Allspice 100/100 Pixie Tag</t>
  </si>
  <si>
    <t>0611833237100</t>
  </si>
  <si>
    <t>TAG Coleus Terra Nova Burgundy Flgr 100/100 Pixie Tag</t>
  </si>
  <si>
    <t>0611833238100</t>
  </si>
  <si>
    <t>TAG Coleus Terra Nova Electric Slide 100/100 Pixie Tag</t>
  </si>
  <si>
    <t>0611861258050</t>
  </si>
  <si>
    <t>TAG Coleus Terra Nova Electric Slide 50/50 Petite Portrait FUL</t>
  </si>
  <si>
    <t>0611833239100</t>
  </si>
  <si>
    <t>TAG Coleus Terra Nova Fiona 100/100 Pixie Tag</t>
  </si>
  <si>
    <t>0611833240100</t>
  </si>
  <si>
    <t>TAG Coleus Terra Nova Green Lantern 100/100 Pixie Tag</t>
  </si>
  <si>
    <t>0611833243100</t>
  </si>
  <si>
    <t>TAG Coleus Terra Nova Lavish Lime 100/100 Pixie Tag</t>
  </si>
  <si>
    <t>0611833244100</t>
  </si>
  <si>
    <t>TAG Coleus Terra Nova Lovebird 100/100 Pixie Tag</t>
  </si>
  <si>
    <t>0611833245100</t>
  </si>
  <si>
    <t>TAG Coleus Terra Nova Lumen 100/100 Pixie Tag</t>
  </si>
  <si>
    <t>0611833246100</t>
  </si>
  <si>
    <t>TAG Coleus Terra Nova Macaw 100/100 Pixie Tag</t>
  </si>
  <si>
    <t>0611833247100</t>
  </si>
  <si>
    <t>TAG Coleus Terra Nova Magic Spell 100/100 Pixie Tag</t>
  </si>
  <si>
    <t>0611833248100</t>
  </si>
  <si>
    <t>TAG Coleus Terra Nova Maharaja 100/100 Pixie Tag</t>
  </si>
  <si>
    <t>0611833249100</t>
  </si>
  <si>
    <t>TAG Coleus Terra Nova Marrakesh 100/100 Pixie Tag</t>
  </si>
  <si>
    <t>0611833250100</t>
  </si>
  <si>
    <t>TAG Coleus Terra Nova Monkey Puzzle 100/100 Pixie Tag</t>
  </si>
  <si>
    <t>0611833251100</t>
  </si>
  <si>
    <t>TAG Coleus Terra Nova Mystic Light 100/100 Pixie Tag</t>
  </si>
  <si>
    <t>0611833252100</t>
  </si>
  <si>
    <t>TAG Coleus Terra Nova Nutmeg 100/100 Pixie Tag</t>
  </si>
  <si>
    <t>0611833253100</t>
  </si>
  <si>
    <t>TAG Coleus Terra Nova Pandora 100/100 Pixie Tag</t>
  </si>
  <si>
    <t>0611833254100</t>
  </si>
  <si>
    <t>TAG Coleus Terra Nova Peach Julep 100/100 Pixie Tag</t>
  </si>
  <si>
    <t>0611833255100</t>
  </si>
  <si>
    <t>TAG Coleus Terra Nova Persia 100/100 Pixie Tag</t>
  </si>
  <si>
    <t>0611833256100</t>
  </si>
  <si>
    <t>TAG Coleus Terra Nova Pink Poodle 100/100 Pixie Tag</t>
  </si>
  <si>
    <t>0611833257100</t>
  </si>
  <si>
    <t>TAG Coleus Terra Nova Quetzal 100/100 Pixie Tag</t>
  </si>
  <si>
    <t>0611833258100</t>
  </si>
  <si>
    <t>TAG Coleus Terra Nova Red Ripple 100/100 Pixie Tag</t>
  </si>
  <si>
    <t>0611833259100</t>
  </si>
  <si>
    <t>TAG Coleus Terra Nova Red Threads 100/100 Pixie Tag</t>
  </si>
  <si>
    <t>0611833260100</t>
  </si>
  <si>
    <t>TAG Coleus Terra Nova Ruby Filigree 100/100 Pixie Tag</t>
  </si>
  <si>
    <t>0611833261100</t>
  </si>
  <si>
    <t>TAG Coleus Terra Nova Scarlet Ibis 100/100 Pixie Tag</t>
  </si>
  <si>
    <t>0611833262100</t>
  </si>
  <si>
    <t>TAG Coleus Terra Nova Smooth Talker 100/100 Pixie Tag</t>
  </si>
  <si>
    <t>0611833264100</t>
  </si>
  <si>
    <t>TAG Coleus Tidbits Tammy 100/100 Pixie Tag</t>
  </si>
  <si>
    <t>0611833265100</t>
  </si>
  <si>
    <t>TAG Coleus Tidbits Timmy 100/100 Pixie Tag</t>
  </si>
  <si>
    <t>0611833267100</t>
  </si>
  <si>
    <t>TAG Coleus Trailing Plum 100/100 Pixie Tag</t>
  </si>
  <si>
    <t>0611833268025</t>
  </si>
  <si>
    <t>TAG Coleus Vegetative GENERIC 25/25 Portrait Tag</t>
  </si>
  <si>
    <t>0611833269100</t>
  </si>
  <si>
    <t>TAG Coleus Versa Rose To Lime 100/100 Pixie Tag</t>
  </si>
  <si>
    <t>0611833272100</t>
  </si>
  <si>
    <t>TAG Coleus Watermelon 100/100 Pixie Tag</t>
  </si>
  <si>
    <t>0611833273100</t>
  </si>
  <si>
    <t>TAG Coleus Wedding Train 100/100 Pixie Tag</t>
  </si>
  <si>
    <t>0611833274100</t>
  </si>
  <si>
    <t>TAG Coleus Wildfire Blaze 100/100 Pixie Tag</t>
  </si>
  <si>
    <t>0611861259050</t>
  </si>
  <si>
    <t>TAG Coleus Wildfire Blaze 50/50 Petite Portrait FUL</t>
  </si>
  <si>
    <t>0611833275100</t>
  </si>
  <si>
    <t>TAG Coleus Wildfire Flash 100/100 Pixie Tag</t>
  </si>
  <si>
    <t>0611833276100</t>
  </si>
  <si>
    <t>TAG Coleus Wildfire Flicker 100/100 Pixie Tag</t>
  </si>
  <si>
    <t>0611861260050</t>
  </si>
  <si>
    <t>TAG Coleus Wildfire Ignition 50/50 Petite Portrait FUL</t>
  </si>
  <si>
    <t>0611833278100</t>
  </si>
  <si>
    <t>TAG Coleus Wildfire Smoky Rose 100/100 Pixie Tag</t>
  </si>
  <si>
    <t>0611861261050</t>
  </si>
  <si>
    <t>TAG Coleus Wildfire Smoky Rose 50/50 Petite Portrait FUL</t>
  </si>
  <si>
    <t>0611833279100</t>
  </si>
  <si>
    <t>TAG Coleus Wildlime 100/100 Pixie Tag</t>
  </si>
  <si>
    <t>0611833280100</t>
  </si>
  <si>
    <t>TAG Coleus Wizard Coral Sunrise 100/100 Pixie Tag</t>
  </si>
  <si>
    <t>0611833281100</t>
  </si>
  <si>
    <t>TAG Coleus Wizard Jade 100/100 Pixie Tag</t>
  </si>
  <si>
    <t>0611833282100</t>
  </si>
  <si>
    <t>TAG Coleus Wizard Mix 100/100 Pixie Tag</t>
  </si>
  <si>
    <t>0611833283100</t>
  </si>
  <si>
    <t>TAG Coleus Wizard Mosaic 100/100 Pixie Tag</t>
  </si>
  <si>
    <t>0611833284100</t>
  </si>
  <si>
    <t>TAG Coleus Wizard Pastel 100/100 Pixie Tag</t>
  </si>
  <si>
    <t>0611833285100</t>
  </si>
  <si>
    <t>TAG Coleus Wizard Pineapple 100/100 Pixie Tag</t>
  </si>
  <si>
    <t>0611833286100</t>
  </si>
  <si>
    <t>TAG Coleus Wizard Red 100/100 Pixie Tag</t>
  </si>
  <si>
    <t>0611833287100</t>
  </si>
  <si>
    <t>TAG Coleus Wizard Rose 100/100 Pixie Tag</t>
  </si>
  <si>
    <t>0611833288100</t>
  </si>
  <si>
    <t>TAG Coleus Wizard Scarlet 100/100 Pixie Tag</t>
  </si>
  <si>
    <t>0611833289100</t>
  </si>
  <si>
    <t>TAG Coleus Wizard Sun Golden 100/100 Pixie Tag</t>
  </si>
  <si>
    <t>0611833290100</t>
  </si>
  <si>
    <t>TAG Coleus Wizard Sun Sunset 100/100 Pixie Tag</t>
  </si>
  <si>
    <t>0611833291100</t>
  </si>
  <si>
    <t>TAG Coleus Wizard Sun Velvet Red 100/100 Pixie Tag</t>
  </si>
  <si>
    <t>0611833292100</t>
  </si>
  <si>
    <t>TAG Coleus Yellow GENERIC 100/100 Pixie Tag</t>
  </si>
  <si>
    <t>0611831836100</t>
  </si>
  <si>
    <t>TAG Collard Greens GENERIC 100/100 Pixie Tag</t>
  </si>
  <si>
    <t>0611831870100</t>
  </si>
  <si>
    <t>TAG Collard Greens Georgia 100/100 Pixie Tag</t>
  </si>
  <si>
    <t>0611831911100</t>
  </si>
  <si>
    <t>TAG Collard Greens Morris Heading 100/100 Pixie Tag</t>
  </si>
  <si>
    <t>0611831975100</t>
  </si>
  <si>
    <t>TAG Collard Greens Tiger 100/100 Pixie Tag</t>
  </si>
  <si>
    <t>0611831978100</t>
  </si>
  <si>
    <t>TAG Collard Greens Top Bunch 100/100 Pixie Tag</t>
  </si>
  <si>
    <t>0611831980100</t>
  </si>
  <si>
    <t>TAG Collard Greens Vates 100/100 Pixie Tag</t>
  </si>
  <si>
    <t>0611884114025</t>
  </si>
  <si>
    <t>TAG Colocasia Black Magic 25/25 Portrait Tag</t>
  </si>
  <si>
    <t>0611833293025</t>
  </si>
  <si>
    <t>TAG Colocasia Elephant Ear GENERIC 25/25 Portrait Tag</t>
  </si>
  <si>
    <t>0611833294100</t>
  </si>
  <si>
    <t>TAG Colocasia Esculenta GENERIC 100/100 Pixie Tag</t>
  </si>
  <si>
    <t>0611884115025</t>
  </si>
  <si>
    <t>TAG Colocasia Illustris 25/25 Portrait Tag</t>
  </si>
  <si>
    <t>0611860397050</t>
  </si>
  <si>
    <t>TAG Combo Garden Party Abigail 50/50 Petite Portrait DO FUL</t>
  </si>
  <si>
    <t>0611860454050</t>
  </si>
  <si>
    <t>TAG Combo Garden Party Alisa 50/50 Petite Portrait DO FUL</t>
  </si>
  <si>
    <t>0611884116050</t>
  </si>
  <si>
    <t>TAG Combo Garden Party Angelic Brocade 50/50 Petite Portrait DO FUL</t>
  </si>
  <si>
    <t>0611862076050</t>
  </si>
  <si>
    <t>TAG Combo Garden Party Birthday Party 50/50 Petite Portrait DO FUL</t>
  </si>
  <si>
    <t>0611884117050</t>
  </si>
  <si>
    <t>TAG Combo Garden Party Blue Lights 50/50 Petite Portrait DO FUL</t>
  </si>
  <si>
    <t>0611862077050</t>
  </si>
  <si>
    <t>TAG Combo Garden Party Brogan 50/50 Petite Portrait DO FUL</t>
  </si>
  <si>
    <t>0611862078050</t>
  </si>
  <si>
    <t>TAG Combo Garden Party Christa 50/50 Petite Portrait DO FUL</t>
  </si>
  <si>
    <t>0611862079050</t>
  </si>
  <si>
    <t>TAG Combo Garden Party Christine 50/50 Petite Portrait DO FUL</t>
  </si>
  <si>
    <t>0611862080050</t>
  </si>
  <si>
    <t>TAG Combo Garden Party Combo 50/50 Petite Portrait DO FUL</t>
  </si>
  <si>
    <t>0611861264050</t>
  </si>
  <si>
    <t>TAG Combo Garden Party Combo Garden 50/50 Petite Portrait DO FUL</t>
  </si>
  <si>
    <t>0611862081050</t>
  </si>
  <si>
    <t>TAG Combo Garden Party Diane 50/50 Petite Portrait DO FUL</t>
  </si>
  <si>
    <t>0611862082050</t>
  </si>
  <si>
    <t>TAG Combo Garden Party Emily 50/50 Petite Portrait DO FUL</t>
  </si>
  <si>
    <t>0611861453050</t>
  </si>
  <si>
    <t>TAG Combo Garden Party Jennifer 50/50 Petite Portrait DO FUL</t>
  </si>
  <si>
    <t>0611862083050</t>
  </si>
  <si>
    <t>TAG Combo Garden Party Jenny 50/50 Petite Portrait DO FUL</t>
  </si>
  <si>
    <t>0611862084050</t>
  </si>
  <si>
    <t>TAG Combo Garden Party Kate 50/50 Petite Portrait DO FUL</t>
  </si>
  <si>
    <t>0611862085050</t>
  </si>
  <si>
    <t>TAG Combo Garden Party Lindsay 50/50 Petite Portrait DO FUL</t>
  </si>
  <si>
    <t>0611862086050</t>
  </si>
  <si>
    <t>TAG Combo Garden Party Nikki 50/50 Petite Portrait DO FUL</t>
  </si>
  <si>
    <t>0611884118050</t>
  </si>
  <si>
    <t>TAG Combo Garden Party Pink Balloons 50/50 Petite Portrait DO FUL</t>
  </si>
  <si>
    <t>0611884119050</t>
  </si>
  <si>
    <t>TAG Combo Garden Party Pink Lights 50/50 Petite Portrait DO FUL</t>
  </si>
  <si>
    <t>0611862087050</t>
  </si>
  <si>
    <t>TAG Combo Garden Party Pool Party 50/50 Petite Portrait DO FUL</t>
  </si>
  <si>
    <t>0611862088050</t>
  </si>
  <si>
    <t>TAG Combo Garden Party Rebecca 50/50 Petite Portrait DO FUL</t>
  </si>
  <si>
    <t>0611862089050</t>
  </si>
  <si>
    <t>TAG Combo Garden Party Sonja 50/50 Petite Portrait DO FUL</t>
  </si>
  <si>
    <t>0611862090050</t>
  </si>
  <si>
    <t>TAG Combo Garden Party Tea Party 50/50 Petite Portrait DO FUL</t>
  </si>
  <si>
    <t>0611862091050</t>
  </si>
  <si>
    <t>TAG Combo Garden Party Valorie 50/50 Petite Portrait DO FUL</t>
  </si>
  <si>
    <t>0611884120050</t>
  </si>
  <si>
    <t>TAG Combo Garden Party White Lights 50/50 Petite Portrait DO FUL</t>
  </si>
  <si>
    <t>0611884121050</t>
  </si>
  <si>
    <t>TAG Combo Garden Party Yellow Balloons 50/50 Petite Portrait DO FUL</t>
  </si>
  <si>
    <t>0611884122050</t>
  </si>
  <si>
    <t>TAG Combo Garden Party Yellow Lights 50/50 Petite Portrait DO FUL</t>
  </si>
  <si>
    <t>0611861262050</t>
  </si>
  <si>
    <t>TAG Combo Verbena Estrella Sangria Mix 50/50 Petite Portrait DO FUL</t>
  </si>
  <si>
    <t>0611861263050</t>
  </si>
  <si>
    <t>TAG Combo Vibe Good Vibrations 50/50 Petite Portrait DO FUL</t>
  </si>
  <si>
    <t>0611861312050</t>
  </si>
  <si>
    <t>TAG Confetti Garden Aloha Kona Colorplay 50/50 Petite Portrait DO FUL</t>
  </si>
  <si>
    <t>0611861345050</t>
  </si>
  <si>
    <t>TAG Confetti Garden Aloha Kona Hawaiian Color Clash 50/50 Petite Portrait DO FUL</t>
  </si>
  <si>
    <t>0611861276050</t>
  </si>
  <si>
    <t>TAG Confetti Garden Aloha Kona Hawaiian Country 50/50 Petite Portrait DO FUL</t>
  </si>
  <si>
    <t>0611861346050</t>
  </si>
  <si>
    <t>TAG Confetti Garden Aloha Kona Hawaiian Fruit Bowl 50/50 Petite Portrait DO FUL</t>
  </si>
  <si>
    <t>0611861289050</t>
  </si>
  <si>
    <t>TAG Confetti Garden Aloha Kona Hawaiian Gold 50/50 Petite Portrait DO FUL</t>
  </si>
  <si>
    <t>0611861277050</t>
  </si>
  <si>
    <t>TAG Confetti Garden Aloha Kona Hawaiian Hoku Star 50/50 Petite Portrait DO FUL</t>
  </si>
  <si>
    <t>0611861347050</t>
  </si>
  <si>
    <t>TAG Confetti Garden Aloha Kona Hawaiian Hula Lilli 50/50 Petite Portrait DO FUL</t>
  </si>
  <si>
    <t>0611861278050</t>
  </si>
  <si>
    <t>TAG Confetti Garden Aloha Kona Hawaiian Kalani 50/50 Petite Portrait DO FUL</t>
  </si>
  <si>
    <t>0611861343050</t>
  </si>
  <si>
    <t>TAG Confetti Garden Aloha Kona Hawaiian Kona Flamingo 50/50 Petite Portrait DO FUL</t>
  </si>
  <si>
    <t>0611861280050</t>
  </si>
  <si>
    <t>TAG Confetti Garden Aloha Kona Hawaiian Luau 50/50 Petite Portrait DO FUL</t>
  </si>
  <si>
    <t>0611861283050</t>
  </si>
  <si>
    <t>TAG Confetti Garden Aloha Kona Hawaiian Nouveau 50/50 Petite Portrait DO FUL</t>
  </si>
  <si>
    <t>0611861284050</t>
  </si>
  <si>
    <t>TAG Confetti Garden Aloha Kona Hawaiian Ohana 50/50 Petite Portrait DO FUL</t>
  </si>
  <si>
    <t>0611861285050</t>
  </si>
  <si>
    <t>TAG Confetti Garden Aloha Kona Hawaiian Pink Fusion 50/50 Petite Portrait DO FUL</t>
  </si>
  <si>
    <t>0611861286050</t>
  </si>
  <si>
    <t>TAG Confetti Garden Aloha Kona Hawaiian Sailaway 50/50 Petite Portrait DO FUL</t>
  </si>
  <si>
    <t>0611861344050</t>
  </si>
  <si>
    <t>TAG Confetti Garden Aloha Kona Hawaiian Volcano Kea 50/50 Petite Portrait DO FUL</t>
  </si>
  <si>
    <t>0611861348050</t>
  </si>
  <si>
    <t>TAG Confetti Garden Aloha Kona Hawaiin Hilo 50/50 Petite Portrait DO FUL</t>
  </si>
  <si>
    <t>0611861355050</t>
  </si>
  <si>
    <t>TAG Confetti Garden Aloha Kona Mahalo 50/50 Petite Portrait DO FUL</t>
  </si>
  <si>
    <t>0611861281050</t>
  </si>
  <si>
    <t>TAG Confetti Garden Aloha Nani Hawaiian Nani Country 50/50 Petite Portrait DO FUL</t>
  </si>
  <si>
    <t>0611861282050</t>
  </si>
  <si>
    <t>TAG Confetti Garden Aloha Nani Hawaiian Nani Hoku Star 50/50 Petite Portrait DO FUL</t>
  </si>
  <si>
    <t>0611861265050</t>
  </si>
  <si>
    <t>TAG Confetti Garden Angelonia Aria 50/50 Petite Portrait DO FUL</t>
  </si>
  <si>
    <t>0611861266050</t>
  </si>
  <si>
    <t>TAG Confetti Garden Bahia Coconut Coast 50/50 Petite Portrait DO FUL</t>
  </si>
  <si>
    <t>0611884123050</t>
  </si>
  <si>
    <t>TAG Confetti Garden Banachoa Staycation 50/50 Petite Portrait DO FUL</t>
  </si>
  <si>
    <t>0611861428050</t>
  </si>
  <si>
    <t>TAG Confetti Garden Bella Water Colours 50/50 Petite Portrait DO FUL</t>
  </si>
  <si>
    <t>0611861429050</t>
  </si>
  <si>
    <t>TAG Confetti Garden Bella Water Wheel 50/50 Petite Portrait DO FUL</t>
  </si>
  <si>
    <t>0611861430050</t>
  </si>
  <si>
    <t>TAG Confetti Garden Bella Waterbury 50/50 Petite Portrait DO FUL</t>
  </si>
  <si>
    <t>0611861431050</t>
  </si>
  <si>
    <t>TAG Confetti Garden Bella Waterfall 50/50 Petite Portrait DO FUL</t>
  </si>
  <si>
    <t>0611861433050</t>
  </si>
  <si>
    <t>TAG Confetti Garden Bella Waterloo 50/50 Petite Portrait DO FUL</t>
  </si>
  <si>
    <t>0611861268050</t>
  </si>
  <si>
    <t>TAG Confetti Garden Bella Waterrose 50/50 Petite Portrait DO FUL</t>
  </si>
  <si>
    <t>0611861313050</t>
  </si>
  <si>
    <t>TAG Confetti Garden Bidy Compact Fleur De Edna 50/50 Petite Portrait DO FUL</t>
  </si>
  <si>
    <t>0611861314050</t>
  </si>
  <si>
    <t>TAG Confetti Garden Bidy Compact Nightlights 50/50 Petite Portrait DO FUL</t>
  </si>
  <si>
    <t>0611861315050</t>
  </si>
  <si>
    <t>TAG Confetti Garden Bidy Compact Pineapple Punch 50/50 Petite Portrait DO FUL</t>
  </si>
  <si>
    <t>0611861361050</t>
  </si>
  <si>
    <t>TAG Confetti Garden Bidy Nightlights 50/50 Petite Portrait DO FUL</t>
  </si>
  <si>
    <t>0611861378050</t>
  </si>
  <si>
    <t>TAG Confetti Garden Bidy Pineapple Punch 50/50 Petite Portrait DO FUL</t>
  </si>
  <si>
    <t>0611861296050</t>
  </si>
  <si>
    <t>TAG Confetti Garden Bloomtastic Summer Sunset 50/50 Petite Portrait DO FUL</t>
  </si>
  <si>
    <t>0611884124050</t>
  </si>
  <si>
    <t>TAG Confetti Garden Bloomtastic Trio 50/50 Petite Portrait DO FUL</t>
  </si>
  <si>
    <t>0611884125050</t>
  </si>
  <si>
    <t>TAG Confetti Garden Calibrachoa Creamsicle 50/50 Petite Portrait DO FUL</t>
  </si>
  <si>
    <t>0611884126050</t>
  </si>
  <si>
    <t>TAG Confetti Garden Calibrachoa Hawaiian Kaihalulu 50/50 Petite Portrait DO FUL</t>
  </si>
  <si>
    <t>0611884127050</t>
  </si>
  <si>
    <t>TAG Confetti Garden Calibrachoa Hawaiian Orchid 50/50 Petite Portrait DO FUL</t>
  </si>
  <si>
    <t>0611861290050</t>
  </si>
  <si>
    <t>TAG Confetti Garden Calibrachoa My Bonnie 50/50 Petite Portrait DO FUL</t>
  </si>
  <si>
    <t>0611861292050</t>
  </si>
  <si>
    <t>TAG Confetti Garden Calibrachoa My Girlie 50/50 Petite Portrait DO FUL</t>
  </si>
  <si>
    <t>0611861293050</t>
  </si>
  <si>
    <t>TAG Confetti Garden Calibrachoa My Summer 50/50 Petite Portrait DO FUL</t>
  </si>
  <si>
    <t>0611861295050</t>
  </si>
  <si>
    <t>TAG Confetti Garden Calibrachoa Summer Solstice 50/50 Petite Portrait DO FUL</t>
  </si>
  <si>
    <t>0611861426050</t>
  </si>
  <si>
    <t>TAG Confetti Garden Chrysanthemum Eventide Virgo 50/50 Petite Portrait DO FUL</t>
  </si>
  <si>
    <t>0611861401050</t>
  </si>
  <si>
    <t>TAG Confetti Garden Coleus Solenostemon Great Falls 50/50 Petite Portrait DO FUL</t>
  </si>
  <si>
    <t>0611861316050</t>
  </si>
  <si>
    <t>TAG Confetti Garden Compact Spring Break 50/50 Petite Portrait DO FUL</t>
  </si>
  <si>
    <t>0611861317050</t>
  </si>
  <si>
    <t>TAG Confetti Garden Cupcake Cupcake Party 50/50 Petite Portrait DO FUL</t>
  </si>
  <si>
    <t>0611861382050</t>
  </si>
  <si>
    <t>TAG Confetti Garden Cupcake Cupcake Smarty Party 50/50 Petite Portrait DO FUL</t>
  </si>
  <si>
    <t>0611861275050</t>
  </si>
  <si>
    <t>TAG Confetti Garden Duo Bloomtastic Blossoms 50/50 Petite Portrait DO FUL</t>
  </si>
  <si>
    <t>0611861321050</t>
  </si>
  <si>
    <t>TAG Confetti Garden Duo Earth And Fire 50/50 Petite Portrait DO FUL</t>
  </si>
  <si>
    <t>0611861319050</t>
  </si>
  <si>
    <t>TAG Confetti Garden Duo Gemstone 50/50 Petite Portrait DO FUL</t>
  </si>
  <si>
    <t>0611861342050</t>
  </si>
  <si>
    <t>TAG Confetti Garden Duo Grande Fuchsia 50/50 Petite Portrait DO FUL</t>
  </si>
  <si>
    <t>0611861369050</t>
  </si>
  <si>
    <t>TAG Confetti Garden Duo Petunia Coral Reef 50/50 Petite Portrait DO FUL</t>
  </si>
  <si>
    <t>0611861371050</t>
  </si>
  <si>
    <t>TAG Confetti Garden Duo Petunia Dancing Jeans 50/50 Petite Portrait DO FUL</t>
  </si>
  <si>
    <t>0611861372050</t>
  </si>
  <si>
    <t>TAG Confetti Garden Duo Petunia Marvelous Orchid 50/50 Petite Portrait DO FUL</t>
  </si>
  <si>
    <t>0611861374050</t>
  </si>
  <si>
    <t>TAG Confetti Garden Duo Petunia Stormy Orchid 50/50 Petite Portrait DO FUL</t>
  </si>
  <si>
    <t>0611861375050</t>
  </si>
  <si>
    <t>TAG Confetti Garden Duo Petunia Sundance 50/50 Petite Portrait DO FUL</t>
  </si>
  <si>
    <t>0611861376050</t>
  </si>
  <si>
    <t>TAG Confetti Garden Duo Petunia Twist 50/50 Petite Portrait DO FUL</t>
  </si>
  <si>
    <t>0611861320050</t>
  </si>
  <si>
    <t>TAG Confetti Garden Early Love 50/50 Petite Portrait DO FUL</t>
  </si>
  <si>
    <t>0611861424050</t>
  </si>
  <si>
    <t>TAG Confetti Garden Empress Liberty 50/50 Petite Portrait DO FUL</t>
  </si>
  <si>
    <t>0611861425050</t>
  </si>
  <si>
    <t>TAG Confetti Garden Empress Patriot Sun 50/50 Petite Portrait DO FUL</t>
  </si>
  <si>
    <t>0611861323050</t>
  </si>
  <si>
    <t>TAG Confetti Garden Endless Love 50/50 Petite Portrait DO FUL</t>
  </si>
  <si>
    <t>0611861324050</t>
  </si>
  <si>
    <t>TAG Confetti Garden Endurable Beauty 50/50 Petite Portrait DO FUL</t>
  </si>
  <si>
    <t>0611861325050</t>
  </si>
  <si>
    <t>TAG Confetti Garden Endurable Cerise 50/50 Petite Portrait DO FUL</t>
  </si>
  <si>
    <t>0611861326050</t>
  </si>
  <si>
    <t>TAG Confetti Garden Endurable Cherry 50/50 Petite Portrait DO FUL</t>
  </si>
  <si>
    <t>0611861327050</t>
  </si>
  <si>
    <t>TAG Confetti Garden Endurable Lilac 50/50 Petite Portrait DO FUL</t>
  </si>
  <si>
    <t>0611861328050</t>
  </si>
  <si>
    <t>TAG Confetti Garden Endurable Pink 50/50 Petite Portrait DO FUL</t>
  </si>
  <si>
    <t>0611884128050</t>
  </si>
  <si>
    <t>TAG Confetti Garden Endurable Rose 50/50 Petite Portrait DO FUL</t>
  </si>
  <si>
    <t>0611861329050</t>
  </si>
  <si>
    <t>TAG Confetti Garden Evening Safari 50/50 Petite Portrait DO FUL</t>
  </si>
  <si>
    <t>0611884129050</t>
  </si>
  <si>
    <t>TAG Confetti Garden Fleur De Edna 50/50 Petite Portrait DO FUL</t>
  </si>
  <si>
    <t>0611861299050</t>
  </si>
  <si>
    <t>TAG Confetti Garden FloraMia Camouflage 50/50 Petite Portrait DO FUL</t>
  </si>
  <si>
    <t>0611861334050</t>
  </si>
  <si>
    <t>TAG Confetti Garden Glossy Blueberry 50/50 Petite Portrait DO FUL</t>
  </si>
  <si>
    <t>0611861338050</t>
  </si>
  <si>
    <t>TAG Confetti Garden Glossy Mango 50/50 Petite Portrait DO FUL</t>
  </si>
  <si>
    <t>0611861340050</t>
  </si>
  <si>
    <t>TAG Confetti Garden Glossy Sunset 50/50 Petite Portrait DO FUL</t>
  </si>
  <si>
    <t>0611861341050</t>
  </si>
  <si>
    <t>TAG Confetti Garden Glossy Twilight 50/50 Petite Portrait DO FUL</t>
  </si>
  <si>
    <t>0611884130050</t>
  </si>
  <si>
    <t>TAG Confetti Garden Golden Arches 50/50 Petite Portrait DO FUL</t>
  </si>
  <si>
    <t>0611861287050</t>
  </si>
  <si>
    <t>TAG Confetti Garden Havana Havana Summer 50/50 Petite Portrait DO FUL</t>
  </si>
  <si>
    <t>0611861353050</t>
  </si>
  <si>
    <t>TAG Confetti Garden Lasting Love 50/50 Petite Portrait DO FUL</t>
  </si>
  <si>
    <t>0611861305050</t>
  </si>
  <si>
    <t>TAG Confetti Garden Leo 50/50 Petite Portrait DO FUL</t>
  </si>
  <si>
    <t>0611861358050</t>
  </si>
  <si>
    <t>TAG Confetti Garden Main Street Trafalgar Square 50/50 Petite Portrait DO FUL</t>
  </si>
  <si>
    <t>0611861306050</t>
  </si>
  <si>
    <t>TAG Confetti Garden Mantle 50/50 Petite Portrait DO FUL</t>
  </si>
  <si>
    <t>0611861307050</t>
  </si>
  <si>
    <t>TAG Confetti Garden Mays 50/50 Petite Portrait DO FUL</t>
  </si>
  <si>
    <t>0611861294050</t>
  </si>
  <si>
    <t>TAG Confetti Garden Nani Hawaiian Nani Hilo 50/50 Petite Portrait DO FUL</t>
  </si>
  <si>
    <t>0611861364050</t>
  </si>
  <si>
    <t>TAG Confetti Garden Orange Blossom 50/50 Petite Portrait DO FUL</t>
  </si>
  <si>
    <t>0611861366050</t>
  </si>
  <si>
    <t>TAG Confetti Garden Party Oscar 50/50 Petite Portrait DO FUL</t>
  </si>
  <si>
    <t>0611861373050</t>
  </si>
  <si>
    <t>TAG Confetti Garden Petunia Ruby Slippers 50/50 Petite Portrait DO FUL</t>
  </si>
  <si>
    <t>0611884131050</t>
  </si>
  <si>
    <t>TAG Confetti Garden Pink Lemonade 50/50 Petite Portrait DO FUL</t>
  </si>
  <si>
    <t>0611861308050</t>
  </si>
  <si>
    <t>TAG Confetti Garden Pisces 50/50 Petite Portrait DO FUL</t>
  </si>
  <si>
    <t>0611884132050</t>
  </si>
  <si>
    <t>TAG Confetti Garden Portulaca Cupcake Night 50/50 Petite Portrait DO FUL</t>
  </si>
  <si>
    <t>0611861385050</t>
  </si>
  <si>
    <t>TAG Confetti Garden Rainbow Bridge 50/50 Petite Portrait DO FUL</t>
  </si>
  <si>
    <t>0611861331050</t>
  </si>
  <si>
    <t>TAG Confetti Garden Rainbow Fall Fandango 50/50 Petite Portrait DO FUL</t>
  </si>
  <si>
    <t>0611861386050</t>
  </si>
  <si>
    <t>TAG Confetti Garden Rainbow Sherbet 50/50 Petite Portrait DO FUL</t>
  </si>
  <si>
    <t>0611861417050</t>
  </si>
  <si>
    <t>TAG Confetti Garden Rainbow Tiger Tail 50/50 Petite Portrait DO FUL</t>
  </si>
  <si>
    <t>0611861309050</t>
  </si>
  <si>
    <t>TAG Confetti Garden Robinson 50/50 Petite Portrait DO FUL</t>
  </si>
  <si>
    <t>0611861310050</t>
  </si>
  <si>
    <t>TAG Confetti Garden Ruth 50/50 Petite Portrait DO FUL</t>
  </si>
  <si>
    <t>0611861350050</t>
  </si>
  <si>
    <t>TAG Confetti Garden Safari Ivory Coast Safari 50/50 Petite Portrait DO FUL</t>
  </si>
  <si>
    <t>0611861365050</t>
  </si>
  <si>
    <t>TAG Confetti Garden Safari Outback Safari 50/50 Petite Portrait DO FUL</t>
  </si>
  <si>
    <t>0611861390050</t>
  </si>
  <si>
    <t>TAG Confetti Garden Safari Sahara Safari 50/50 Petite Portrait DO FUL</t>
  </si>
  <si>
    <t>0611861407050</t>
  </si>
  <si>
    <t>TAG Confetti Garden Safari Spring Safari 50/50 Petite Portrait DO FUL</t>
  </si>
  <si>
    <t>0611861411050</t>
  </si>
  <si>
    <t>TAG Confetti Garden Safari Still Water Safari 50/50 Petite Portrait DO FUL</t>
  </si>
  <si>
    <t>0611884133050</t>
  </si>
  <si>
    <t>TAG Confetti Garden Salvia Midnight 50/50 Petite Portrait DO FUL</t>
  </si>
  <si>
    <t>0611884134050</t>
  </si>
  <si>
    <t>TAG Confetti Garden Scala Summer Breeze 50/50 Petite Portrait DO FUL</t>
  </si>
  <si>
    <t>0611884135050</t>
  </si>
  <si>
    <t>TAG Confetti Garden Serengeti 50/50 Petite Portrait DO FUL</t>
  </si>
  <si>
    <t>0611861394050</t>
  </si>
  <si>
    <t>TAG Confetti Garden Shocking Purple 50/50 Petite Portrait DO FUL</t>
  </si>
  <si>
    <t>0611861396050</t>
  </si>
  <si>
    <t>TAG Confetti Garden Shocking Star 50/50 Petite Portrait DO FUL</t>
  </si>
  <si>
    <t>0611861400050</t>
  </si>
  <si>
    <t>TAG Confetti Garden Small Talk 50/50 Petite Portrait DO FUL</t>
  </si>
  <si>
    <t>0611861402050</t>
  </si>
  <si>
    <t>TAG Confetti Garden Sparkle Blue 50/50 Petite Portrait DO FUL</t>
  </si>
  <si>
    <t>0611861403050</t>
  </si>
  <si>
    <t>TAG Confetti Garden Sparkle Magenta 50/50 Petite Portrait DO FUL</t>
  </si>
  <si>
    <t>0611861404050</t>
  </si>
  <si>
    <t>TAG Confetti Garden Sparkle Purple 50/50 Petite Portrait DO FUL</t>
  </si>
  <si>
    <t>0611861405050</t>
  </si>
  <si>
    <t>TAG Confetti Garden Sparkle Red 50/50 Petite Portrait DO FUL</t>
  </si>
  <si>
    <t>0611861406050</t>
  </si>
  <si>
    <t>TAG Confetti Garden Spring Break 50/50 Petite Portrait DO FUL</t>
  </si>
  <si>
    <t>0611861409050</t>
  </si>
  <si>
    <t>TAG Confetti Garden Stars And Stripes Honor 50/50 Petite Portrait DO FUL</t>
  </si>
  <si>
    <t>0611861410050</t>
  </si>
  <si>
    <t>TAG Confetti Garden Starts And Stripes Glory 50/50 Petite Portrait DO FUL</t>
  </si>
  <si>
    <t>0611884136050</t>
  </si>
  <si>
    <t>TAG Confetti Garden Sunset Blues 50/50 Petite Portrait DO FUL</t>
  </si>
  <si>
    <t>0611861311050</t>
  </si>
  <si>
    <t>TAG Confetti Garden TikTok Clockworks 50/50 Petite Portrait DO FUL</t>
  </si>
  <si>
    <t>0611861408050</t>
  </si>
  <si>
    <t>TAG Confetti Garden TikTok Star Ship 50/50 Petite Portrait DO FUL</t>
  </si>
  <si>
    <t>0611861418050</t>
  </si>
  <si>
    <t>TAG Confetti Garden TikTok Time For Change 50/50 Petite Portrait DO FUL</t>
  </si>
  <si>
    <t>0611861297050</t>
  </si>
  <si>
    <t>TAG Confetti Garden TikTok Time For Fun 50/50 Petite Portrait DO FUL</t>
  </si>
  <si>
    <t>0611861419050</t>
  </si>
  <si>
    <t>TAG Confetti Garden TikTok Time For Spring 50/50 Petite Portrait DO FUL</t>
  </si>
  <si>
    <t>0611861420050</t>
  </si>
  <si>
    <t>TAG Confetti Garden TikTok Time For Summer 50/50 Petite Portrait DO FUL</t>
  </si>
  <si>
    <t>0611861421050</t>
  </si>
  <si>
    <t>TAG Confetti Garden TikTok Time Travel 50/50 Petite Portrait DO FUL</t>
  </si>
  <si>
    <t>0611884137050</t>
  </si>
  <si>
    <t>TAG Confetti Garden Time After Time 50/50 Petite Portrait DO FUL</t>
  </si>
  <si>
    <t>0611884138050</t>
  </si>
  <si>
    <t>TAG Confetti Garden Time Flies 50/50 Petite Portrait DO FUL</t>
  </si>
  <si>
    <t>0611884139050</t>
  </si>
  <si>
    <t>TAG Confetti Garden Time For Blastoff 50/50 Petite Portrait DO FUL</t>
  </si>
  <si>
    <t>0611884141050</t>
  </si>
  <si>
    <t>TAG Confetti Garden Time To Chill 50/50 Petite Portrait DO FUL</t>
  </si>
  <si>
    <t>0611861267050</t>
  </si>
  <si>
    <t>TAG Confetti Garden Tone On Tone Bel Air Red 50/50 Petite Portrait DO FUL</t>
  </si>
  <si>
    <t>0611861301050</t>
  </si>
  <si>
    <t>TAG Confetti Garden Tone On Tone Cherries On Top 50/50 Petite Portrait DO FUL</t>
  </si>
  <si>
    <t>0611861370050</t>
  </si>
  <si>
    <t>TAG Confetti Garden Tone On Tone Cotton Candy 50/50 Petite Portrait DO FUL</t>
  </si>
  <si>
    <t>0611861388050</t>
  </si>
  <si>
    <t>TAG Confetti Garden Tone On Tone Rockin' Red 50/50 Petite Portrait DO FUL</t>
  </si>
  <si>
    <t>0611861393050</t>
  </si>
  <si>
    <t>TAG Confetti Garden Tone On Tone Shocking Pink 50/50 Petite Portrait DO FUL</t>
  </si>
  <si>
    <t>0611861395050</t>
  </si>
  <si>
    <t>TAG Confetti Garden Tone On Tone Shocking Rose 50/50 Petite Portrait DO FUL</t>
  </si>
  <si>
    <t>0611861397050</t>
  </si>
  <si>
    <t>TAG Confetti Garden Tone On Tone Shocking Storm 50/50 Petite Portrait DO FUL</t>
  </si>
  <si>
    <t>0611861413050</t>
  </si>
  <si>
    <t>TAG Confetti Garden Tone On Tone Sunshine 50/50 Petite Portrait DO FUL</t>
  </si>
  <si>
    <t>0611861360050</t>
  </si>
  <si>
    <t>TAG Confetti Garden Trio Mix Banana Berry Blend 50/50 Petite Portrait DO FUL</t>
  </si>
  <si>
    <t>0611861269050</t>
  </si>
  <si>
    <t>TAG Confetti Garden Trio Mix Berry Cobbler 50/50 Petite Portrait DO FUL</t>
  </si>
  <si>
    <t>0611861270050</t>
  </si>
  <si>
    <t>TAG Confetti Garden Trio Mix Blaze Of Glory 50/50 Petite Portrait DO FUL</t>
  </si>
  <si>
    <t>0611861271050</t>
  </si>
  <si>
    <t>TAG Confetti Garden Trio Mix Bling Cherry 50/50 Petite Portrait DO FUL</t>
  </si>
  <si>
    <t>0611861272050</t>
  </si>
  <si>
    <t>TAG Confetti Garden Trio Mix Blue Danube 50/50 Petite Portrait DO FUL</t>
  </si>
  <si>
    <t>0611861273050</t>
  </si>
  <si>
    <t>TAG Confetti Garden Trio Mix Blue Macaw 50/50 Petite Portrait DO FUL</t>
  </si>
  <si>
    <t>0611861274050</t>
  </si>
  <si>
    <t>TAG Confetti Garden Trio Mix Bunny Tracks 50/50 Petite Portrait DO FUL</t>
  </si>
  <si>
    <t>0611861298050</t>
  </si>
  <si>
    <t>TAG Confetti Garden Trio Mix Calypso 50/50 Petite Portrait DO FUL</t>
  </si>
  <si>
    <t>0611861300050</t>
  </si>
  <si>
    <t>TAG Confetti Garden Trio Mix Campfire 50/50 Petite Portrait DO FUL</t>
  </si>
  <si>
    <t>0611861318050</t>
  </si>
  <si>
    <t>TAG Confetti Garden Trio Mix Denim Blues 50/50 Petite Portrait DO FUL</t>
  </si>
  <si>
    <t>0611861322050</t>
  </si>
  <si>
    <t>TAG Confetti Garden Trio Mix Easter Basket 50/50 Petite Portrait DO FUL</t>
  </si>
  <si>
    <t>0611861332050</t>
  </si>
  <si>
    <t>TAG Confetti Garden Trio Mix Fall Pumpkin Spice 50/50 Petite Portrait DO FUL</t>
  </si>
  <si>
    <t>0611861333050</t>
  </si>
  <si>
    <t>TAG Confetti Garden Trio Mix Fireflash 50/50 Petite Portrait DO FUL</t>
  </si>
  <si>
    <t>0611861352050</t>
  </si>
  <si>
    <t>TAG Confetti Garden Trio Mix Heartland 50/50 Petite Portrait DO FUL</t>
  </si>
  <si>
    <t>0611861349050</t>
  </si>
  <si>
    <t>TAG Confetti Garden Trio Mix Hunny Bunny 50/50 Petite Portrait DO FUL</t>
  </si>
  <si>
    <t>0611861351050</t>
  </si>
  <si>
    <t>TAG Confetti Garden Trio Mix La Salute 50/50 Petite Portrait DO FUL</t>
  </si>
  <si>
    <t>0611861354050</t>
  </si>
  <si>
    <t>TAG Confetti Garden Trio Mix Magenta Star 50/50 Petite Portrait DO FUL</t>
  </si>
  <si>
    <t>0611861356050</t>
  </si>
  <si>
    <t>TAG Confetti Garden Trio Mix Marvelous Treasure 50/50 Petite Portrait DO FUL</t>
  </si>
  <si>
    <t>0611861357050</t>
  </si>
  <si>
    <t>TAG Confetti Garden Trio Mix Material Girl 50/50 Petite Portrait DO FUL</t>
  </si>
  <si>
    <t>0611861359050</t>
  </si>
  <si>
    <t>TAG Confetti Garden Trio Mix Mountains Majesty 50/50 Petite Portrait DO FUL</t>
  </si>
  <si>
    <t>0611861362050</t>
  </si>
  <si>
    <t>TAG Confetti Garden Trio Mix Northern Lights 50/50 Petite Portrait DO FUL</t>
  </si>
  <si>
    <t>0611861363050</t>
  </si>
  <si>
    <t>TAG Confetti Garden Trio Mix Oktoberfest 50/50 Petite Portrait DO FUL</t>
  </si>
  <si>
    <t>0611861367050</t>
  </si>
  <si>
    <t>TAG Confetti Garden Trio Mix Patriot 50/50 Petite Portrait DO FUL</t>
  </si>
  <si>
    <t>0611861368050</t>
  </si>
  <si>
    <t>TAG Confetti Garden Trio Mix Peppermint Candy 50/50 Petite Portrait DO FUL</t>
  </si>
  <si>
    <t>0611861379050</t>
  </si>
  <si>
    <t>TAG Confetti Garden Trio Mix Pirate's Beauty 50/50 Petite Portrait DO FUL</t>
  </si>
  <si>
    <t>0611861380050</t>
  </si>
  <si>
    <t>TAG Confetti Garden Trio Mix Playdate 50/50 Petite Portrait DO FUL</t>
  </si>
  <si>
    <t>0611861383050</t>
  </si>
  <si>
    <t>TAG Confetti Garden Trio Mix Purple Cleopatra 50/50 Petite Portrait DO FUL</t>
  </si>
  <si>
    <t>0611861384050</t>
  </si>
  <si>
    <t>TAG Confetti Garden Trio Mix Purple Halo Mix 50/50 Petite Portrait DO FUL</t>
  </si>
  <si>
    <t>0611861387050</t>
  </si>
  <si>
    <t>TAG Confetti Garden Trio Mix Raspberry Tart 50/50 Petite Portrait DO FUL</t>
  </si>
  <si>
    <t>0611861389050</t>
  </si>
  <si>
    <t>TAG Confetti Garden Trio Mix Rockin' Sunset 50/50 Petite Portrait DO FUL</t>
  </si>
  <si>
    <t>0611861391050</t>
  </si>
  <si>
    <t>TAG Confetti Garden Trio Mix Season Opener 50/50 Petite Portrait DO FUL</t>
  </si>
  <si>
    <t>0611861392050</t>
  </si>
  <si>
    <t>TAG Confetti Garden Trio Mix Shocking Blue 50/50 Petite Portrait DO FUL</t>
  </si>
  <si>
    <t>0611861399050</t>
  </si>
  <si>
    <t>TAG Confetti Garden Trio Mix Shocking Touch 50/50 Petite Portrait DO FUL</t>
  </si>
  <si>
    <t>0611861377050</t>
  </si>
  <si>
    <t>TAG Confetti Garden Trio Mix Spring Love 50/50 Petite Portrait DO FUL</t>
  </si>
  <si>
    <t>0611861412050</t>
  </si>
  <si>
    <t>TAG Confetti Garden Trio Mix Sunny Skies 50/50 Petite Portrait DO FUL</t>
  </si>
  <si>
    <t>0611861415050</t>
  </si>
  <si>
    <t>TAG Confetti Garden Trio Mix Super Mom 50/50 Petite Portrait DO FUL</t>
  </si>
  <si>
    <t>0611861416050</t>
  </si>
  <si>
    <t>TAG Confetti Garden Trio Mix That's Amore 50/50 Petite Portrait DO FUL</t>
  </si>
  <si>
    <t>0611861422050</t>
  </si>
  <si>
    <t>TAG Confetti Garden Trio Mix Tropical Sunrise 50/50 Petite Portrait DO FUL</t>
  </si>
  <si>
    <t>0611861423050</t>
  </si>
  <si>
    <t>TAG Confetti Garden Trio Mix True Love 50/50 Petite Portrait DO FUL</t>
  </si>
  <si>
    <t>0611861427050</t>
  </si>
  <si>
    <t>TAG Confetti Garden Trio Mix Walk In The Clouds 50/50 Petite Portrait DO FUL</t>
  </si>
  <si>
    <t>0611884140050</t>
  </si>
  <si>
    <t>TAG Confetti Garden Verbena Royal Charm 50/50 Petite Portrait DO FUL</t>
  </si>
  <si>
    <t>0611861432050</t>
  </si>
  <si>
    <t>TAG Confetti Garden Waterlily 50/50 Petite Portrait DO FUL</t>
  </si>
  <si>
    <t>0611861335050</t>
  </si>
  <si>
    <t>TAG Confetti Garden Yolo Glossy Cherry 50/50 Petite Portrait DO FUL</t>
  </si>
  <si>
    <t>0611861336050</t>
  </si>
  <si>
    <t>TAG Confetti Garden Yolo Glossy Garden 50/50 Petite Portrait DO FUL</t>
  </si>
  <si>
    <t>0611861337050</t>
  </si>
  <si>
    <t>TAG Confetti Garden Yolo Glossy Grape 50/50 Petite Portrait DO FUL</t>
  </si>
  <si>
    <t>0611861339050</t>
  </si>
  <si>
    <t>TAG Confetti Garden Yolo Glossy Strawberry 50/50 Petite Portrait DO FUL</t>
  </si>
  <si>
    <t>0611833297100</t>
  </si>
  <si>
    <t>TAG Convallaria Lily Of The Valley 100/100 Pixie Tag</t>
  </si>
  <si>
    <t>0611833298025</t>
  </si>
  <si>
    <t>TAG Convallaria Lily Of The Valley 25/25 Portrait Tag</t>
  </si>
  <si>
    <t>0611833299100</t>
  </si>
  <si>
    <t>TAG Convolvulus GENERIC 100/100 Pixie Tag</t>
  </si>
  <si>
    <t>0611833301100</t>
  </si>
  <si>
    <t>TAG Coprosmia Looking Glass Plant GENERIC 100/100 Pixie Tag</t>
  </si>
  <si>
    <t>0611833306025</t>
  </si>
  <si>
    <t>TAG Cordyline Dancing Salsa 25/25 Portrait Tag</t>
  </si>
  <si>
    <t>0611833302100</t>
  </si>
  <si>
    <t>TAG Cordyline GENERIC 100/100 Pixie Tag</t>
  </si>
  <si>
    <t>0611833308100</t>
  </si>
  <si>
    <t>TAG Cordyline Red 100/100 Pixie Tag</t>
  </si>
  <si>
    <t>0611833309100</t>
  </si>
  <si>
    <t>TAG Cordyline Red Sensation 100/100 Pixie Tag</t>
  </si>
  <si>
    <t>0611833310100</t>
  </si>
  <si>
    <t>TAG Cordyline Red Star 100/100 Pixie Tag</t>
  </si>
  <si>
    <t>0611833314025</t>
  </si>
  <si>
    <t>TAG Coreopsis American Dream Rosea 25/25 Portrait Tag</t>
  </si>
  <si>
    <t>0611833315025</t>
  </si>
  <si>
    <t>TAG Coreopsis Andiamo Yellow Red 25/25 Portrait Tag SF</t>
  </si>
  <si>
    <t>0611833317025</t>
  </si>
  <si>
    <t>TAG Coreopsis Baby Sun 25/25 Portrait Tag</t>
  </si>
  <si>
    <t>0611833318025</t>
  </si>
  <si>
    <t>TAG Coreopsis Bengal Tiger 25/25 Portrait Tag</t>
  </si>
  <si>
    <t>0611861436100</t>
  </si>
  <si>
    <t>TAG Coreopsis Big Bang Cosmic Eye 100/100 Pixie Tag FUL</t>
  </si>
  <si>
    <t>0611833320025</t>
  </si>
  <si>
    <t>TAG Coreopsis Big Bang Cosmic Eye 25/25 Portrait Tag</t>
  </si>
  <si>
    <t>0611861435050</t>
  </si>
  <si>
    <t>TAG Coreopsis Big Bang Cosmic Eye Limited Availability 50/50 Petite Portrait</t>
  </si>
  <si>
    <t>0611861437100</t>
  </si>
  <si>
    <t>TAG Coreopsis Big Bang Full Moon 100/100 Pixie Tag FUL</t>
  </si>
  <si>
    <t>0611833321025</t>
  </si>
  <si>
    <t>TAG Coreopsis Big Bang Full Moon 25/25 Portrait Tag</t>
  </si>
  <si>
    <t>0611861438100</t>
  </si>
  <si>
    <t>TAG Coreopsis Big Bang Mercury Rising 100/100 Pixie Tag FUL</t>
  </si>
  <si>
    <t>0611833322025</t>
  </si>
  <si>
    <t>TAG Coreopsis Big Bang Mercury Rising 25/25 Portrait Tag</t>
  </si>
  <si>
    <t>0611861439100</t>
  </si>
  <si>
    <t>TAG Coreopsis Big Bang Polaris 100/100 Pixie Tag FUL</t>
  </si>
  <si>
    <t>0611861440100</t>
  </si>
  <si>
    <t>TAG Coreopsis Big Bang Radioactive 100/100 Pixie Tag FUL</t>
  </si>
  <si>
    <t>0611861441050</t>
  </si>
  <si>
    <t>TAG Coreopsis Big Bang Radioactive Limited Availability 50/50 Petite Portrait FUL</t>
  </si>
  <si>
    <t>0611861442100</t>
  </si>
  <si>
    <t>TAG Coreopsis Big Bang Sun Splash Limited Availability 100/100 Pixie Tag</t>
  </si>
  <si>
    <t>0611861443050</t>
  </si>
  <si>
    <t>TAG Coreopsis Big Bang Sun Splash Limited Availability 50/50 Petite Portrait</t>
  </si>
  <si>
    <t>0611861444100</t>
  </si>
  <si>
    <t>TAG Coreopsis Bloomsation Chameleon 100/100 Pixie Tag FUL</t>
  </si>
  <si>
    <t>0611861445100</t>
  </si>
  <si>
    <t>TAG Coreopsis Bloomsation Dragon 100/100 Pixie Tag FUL</t>
  </si>
  <si>
    <t>0611833325025</t>
  </si>
  <si>
    <t>TAG Coreopsis Castello Compact Yellow 25/25 Portrait Tag SF</t>
  </si>
  <si>
    <t>0611861446050</t>
  </si>
  <si>
    <t>TAG Coreopsis Castello Compact Yellow 50/50 Petite Portrait SF FUL</t>
  </si>
  <si>
    <t>0611833326025</t>
  </si>
  <si>
    <t>TAG Coreopsis Castello Pom Pom Yellow 25/25 Portrait Tag SF</t>
  </si>
  <si>
    <t>0611861447050</t>
  </si>
  <si>
    <t>TAG Coreopsis Castello Pom Pom Yellow 50/50 Petite Portrait SF FUL</t>
  </si>
  <si>
    <t>0611833327025</t>
  </si>
  <si>
    <t>TAG Coreopsis Citrine 25/25 Portrait Tag</t>
  </si>
  <si>
    <t>0611833328025</t>
  </si>
  <si>
    <t>TAG Coreopsis Corey Compact Gold 25/25 Portrait Tag SF</t>
  </si>
  <si>
    <t>0611833329025</t>
  </si>
  <si>
    <t>TAG Coreopsis Creme Caramel 25/25 Portrait Tag</t>
  </si>
  <si>
    <t>0611833332025</t>
  </si>
  <si>
    <t>TAG Coreopsis Cruizin' Main Street 25/25 Portrait Tag</t>
  </si>
  <si>
    <t>0611833334025</t>
  </si>
  <si>
    <t>TAG Coreopsis Dahl Baby 25/25 Portrait Tag</t>
  </si>
  <si>
    <t>0611833335025</t>
  </si>
  <si>
    <t>TAG Coreopsis Desert Coral 25/25 Portrait Tag</t>
  </si>
  <si>
    <t>0611833336025</t>
  </si>
  <si>
    <t>TAG Coreopsis Double The Sun 25/25 Portrait Tag</t>
  </si>
  <si>
    <t>0611833337100</t>
  </si>
  <si>
    <t>TAG Coreopsis Early Sunrise 100/100 Pixie Tag</t>
  </si>
  <si>
    <t>0611833338025</t>
  </si>
  <si>
    <t>TAG Coreopsis Early Sunrise 25/25 Portrait Tag</t>
  </si>
  <si>
    <t>0611861448100</t>
  </si>
  <si>
    <t>TAG Coreopsis Fall Sensation Amber 100/100 Pixie Tag FUL</t>
  </si>
  <si>
    <t>0611861449100</t>
  </si>
  <si>
    <t>TAG Coreopsis Fall Sensation Quartz 100/100 Pixie Tag FUL</t>
  </si>
  <si>
    <t>0611861450100</t>
  </si>
  <si>
    <t>TAG Coreopsis Fall Sensation Sandstone 100/100 Pixie Tag FUL</t>
  </si>
  <si>
    <t>0611861451100</t>
  </si>
  <si>
    <t>TAG Coreopsis Fall Sensation Sunny Side 100/100 Pixie Tag FUL</t>
  </si>
  <si>
    <t>0611861452100</t>
  </si>
  <si>
    <t>TAG Coreopsis Fall Sensation Vermillion 100/100 Pixie Tag FUL</t>
  </si>
  <si>
    <t>0611833340025</t>
  </si>
  <si>
    <t>TAG Coreopsis Firefly 25/25 Portrait Tag</t>
  </si>
  <si>
    <t>0611833342025</t>
  </si>
  <si>
    <t>TAG Coreopsis Golden Stardust 25/25 Portrait Tag</t>
  </si>
  <si>
    <t>0611833344025</t>
  </si>
  <si>
    <t>TAG Coreopsis Honeybunch Red Gold 25/25 Portrait Tag</t>
  </si>
  <si>
    <t>0611833345025</t>
  </si>
  <si>
    <t>TAG Coreopsis Hybrid Forms GENERIC 25/25 Portrait Tag</t>
  </si>
  <si>
    <t>0611833347025</t>
  </si>
  <si>
    <t>TAG Coreopsis Jethro Tull 25/25 Portrait Tag</t>
  </si>
  <si>
    <t>0611861454100</t>
  </si>
  <si>
    <t>TAG Coreopsis Jethro Tull Limited Availability 100/100 Pixie Tag</t>
  </si>
  <si>
    <t>0611861455050</t>
  </si>
  <si>
    <t>TAG Coreopsis Jethro Tull Limited Availability 50/50 Petite Portrait</t>
  </si>
  <si>
    <t>0611833348025</t>
  </si>
  <si>
    <t>TAG Coreopsis Ladybird 25/25 Portrait Tag</t>
  </si>
  <si>
    <t>0611861456100</t>
  </si>
  <si>
    <t>TAG Coreopsis Leading Lady Charlize 100/100 Pixie Tag FUL</t>
  </si>
  <si>
    <t>0611861457050</t>
  </si>
  <si>
    <t>TAG Coreopsis Leading Lady Charlize Limited Availability 50/50 Petite Portrait FUL</t>
  </si>
  <si>
    <t>0611861458100</t>
  </si>
  <si>
    <t>TAG Coreopsis Leading Lady Iron Lady 100/100 Pixie Tag FUL</t>
  </si>
  <si>
    <t>0611861459050</t>
  </si>
  <si>
    <t>TAG Coreopsis Leading Lady Iron Lady 50/50 Petite Portrait FUL</t>
  </si>
  <si>
    <t>0611861460100</t>
  </si>
  <si>
    <t>TAG Coreopsis Leading Lady Lauren 100/100 Pixie Tag FUL</t>
  </si>
  <si>
    <t>0611861461100</t>
  </si>
  <si>
    <t>TAG Coreopsis Leading Lady Sophia 100/100 Pixie Tag FUL</t>
  </si>
  <si>
    <t>0611861462050</t>
  </si>
  <si>
    <t>TAG Coreopsis Leading Lady Sophia 50/50 Petite Portrait FUL</t>
  </si>
  <si>
    <t>0611833349025</t>
  </si>
  <si>
    <t>TAG Coreopsis Lightning Bug 25/25 Portrait Tag</t>
  </si>
  <si>
    <t>0611861463100</t>
  </si>
  <si>
    <t>TAG Coreopsis Li'l Bang Candy Strps 100/100 Pixie Tag FUL</t>
  </si>
  <si>
    <t>0611861466100</t>
  </si>
  <si>
    <t>TAG Coreopsis Li'l Bang Darling Clementine 100/100 Pixie Tag FUL</t>
  </si>
  <si>
    <t>0611861464100</t>
  </si>
  <si>
    <t>TAG Coreopsis Li'l Bang Daybreak 100/100 Pixie Tag FUL</t>
  </si>
  <si>
    <t>0611833351025</t>
  </si>
  <si>
    <t>TAG Coreopsis Li'l Bang Daybreak 25/25 Portrait Tag</t>
  </si>
  <si>
    <t>0611861465050</t>
  </si>
  <si>
    <t>TAG Coreopsis Li'l Bang Daybreak Limited Availability 50/50 Petite Portrait</t>
  </si>
  <si>
    <t>0611833352025</t>
  </si>
  <si>
    <t>TAG Coreopsis Li'l Bang Enchant Eve 25/25 Portrait Tag</t>
  </si>
  <si>
    <t>0611861467100</t>
  </si>
  <si>
    <t>TAG Coreopsis Li'l Bang Enchanted Eve 100/100 Pixie Tag FUL</t>
  </si>
  <si>
    <t>0611861468050</t>
  </si>
  <si>
    <t>TAG Coreopsis Li'l Bang Enchanted Eve Limited Availability 50/50 Petite Portrait FUL</t>
  </si>
  <si>
    <t>0611861469100</t>
  </si>
  <si>
    <t>TAG Coreopsis Li'l Bang Fire Wheel 100/100 Pixie Tag FUL</t>
  </si>
  <si>
    <t>0611861470100</t>
  </si>
  <si>
    <t>TAG Coreopsis Li'l Bang Goldilocks 100/100 Pixie Tag FUL</t>
  </si>
  <si>
    <t>0611861471100</t>
  </si>
  <si>
    <t>TAG Coreopsis Li'l Bang Orange Elf 100/100 Pixie Tag FUL</t>
  </si>
  <si>
    <t>0611861472100</t>
  </si>
  <si>
    <t>TAG Coreopsis Li'l Bang Red Elf 100/100 Pixie Tag FUL</t>
  </si>
  <si>
    <t>0611833360025</t>
  </si>
  <si>
    <t>TAG Coreopsis Li'l Bang Red Elf 25/25 Portrait Tag</t>
  </si>
  <si>
    <t>0611861473050</t>
  </si>
  <si>
    <t>TAG Coreopsis Li'l Bang Red Enchanted Eve 50/50 Petite Portrait FUL</t>
  </si>
  <si>
    <t>0611861474100</t>
  </si>
  <si>
    <t>TAG Coreopsis Li'l Bang Starlight 100/100 Pixie Tag FUL</t>
  </si>
  <si>
    <t>0611833357025</t>
  </si>
  <si>
    <t>TAG Coreopsis Li'l Bang Starlight 25/25 Portrait Tag</t>
  </si>
  <si>
    <t>0611861475050</t>
  </si>
  <si>
    <t>TAG Coreopsis Li'l Bang Starlight Limited Availability 50/50 Petite Portrait</t>
  </si>
  <si>
    <t>0611861476100</t>
  </si>
  <si>
    <t>TAG Coreopsis Li'l Bang Starstruck 100/100 Pixie Tag FUL</t>
  </si>
  <si>
    <t>0611833358025</t>
  </si>
  <si>
    <t>TAG Coreopsis Li'l Bang Starstruck 25/25 Portrait Tag</t>
  </si>
  <si>
    <t>0611861477100</t>
  </si>
  <si>
    <t>TAG Coreopsis Limoncello 100/100 Pixie Tag FUL</t>
  </si>
  <si>
    <t>0611861478050</t>
  </si>
  <si>
    <t>TAG Coreopsis Limoncello Golden Limited Availability 50/50 Petite Portrait</t>
  </si>
  <si>
    <t>0611833361100</t>
  </si>
  <si>
    <t>TAG Coreopsis Moonbeam 100/100 Pixie Tag</t>
  </si>
  <si>
    <t>0611833362025</t>
  </si>
  <si>
    <t>TAG Coreopsis Moonbeam 25/25 Portrait Tag</t>
  </si>
  <si>
    <t>0611861479050</t>
  </si>
  <si>
    <t>TAG Coreopsis Moonbeam 50/50 Petite Portrait FUL</t>
  </si>
  <si>
    <t>0611861480100</t>
  </si>
  <si>
    <t>TAG Coreopsis Moonbeam CN5045 100/100 Pixie Tag FUL</t>
  </si>
  <si>
    <t>0611861481100</t>
  </si>
  <si>
    <t>TAG Coreopsis MoonSwirl 100/100 Pixie Tag DO FUL</t>
  </si>
  <si>
    <t>0611861482100</t>
  </si>
  <si>
    <t>TAG Coreopsis Nana 100/100 Pixie Tag FUL</t>
  </si>
  <si>
    <t>0611833363025</t>
  </si>
  <si>
    <t>TAG Coreopsis Nana Auriculata 25/25 Portrait Tag</t>
  </si>
  <si>
    <t>0611861483100</t>
  </si>
  <si>
    <t>TAG Coreopsis PermaThread Butter Rum 100/100 Pixie Tag FUL</t>
  </si>
  <si>
    <t>0611861484100</t>
  </si>
  <si>
    <t>TAG Coreopsis PermaThread Red Satin 100/100 Pixie Tag FUL</t>
  </si>
  <si>
    <t>0611833367025</t>
  </si>
  <si>
    <t>TAG Coreopsis PermaThread Red Satin 25/25 Portrait Tag</t>
  </si>
  <si>
    <t>0611861485100</t>
  </si>
  <si>
    <t>TAG Coreopsis PermaThread Shades Of Rose 100/100 Pixie Tag FUL</t>
  </si>
  <si>
    <t>0611861486050</t>
  </si>
  <si>
    <t>TAG Coreopsis PermaThread Shades Of Rose 50/50 Petite Portrait FUL</t>
  </si>
  <si>
    <t>0611861487100</t>
  </si>
  <si>
    <t>TAG Coreopsis PermaThread Sweet Tart 100/100 Pixie Tag FUL</t>
  </si>
  <si>
    <t>0611833370025</t>
  </si>
  <si>
    <t>TAG Coreopsis Presto 25/25 Portrait Tag</t>
  </si>
  <si>
    <t>0611833371025</t>
  </si>
  <si>
    <t>TAG Coreopsis Reina Gold 25/25 Portrait Tag</t>
  </si>
  <si>
    <t>0611833372025</t>
  </si>
  <si>
    <t>TAG Coreopsis Reina Single Giant Gold 25/25 Portrait Tag</t>
  </si>
  <si>
    <t>0611833373025</t>
  </si>
  <si>
    <t>TAG Coreopsis Rising Sun 25/25 Portrait Tag</t>
  </si>
  <si>
    <t>0611833374025</t>
  </si>
  <si>
    <t>TAG Coreopsis Rossana 25/25 Portrait Tag</t>
  </si>
  <si>
    <t>0611833375025</t>
  </si>
  <si>
    <t>TAG Coreopsis Ruby Frost 25/25 Portrait Tag</t>
  </si>
  <si>
    <t>0611861488100</t>
  </si>
  <si>
    <t>TAG Coreopsis Satin And Lace Berry Chiffon 100/100 Pixie Tag FUL</t>
  </si>
  <si>
    <t>0611833389025</t>
  </si>
  <si>
    <t>TAG Coreopsis Satin And Lace Berry Chiffon 25/25 Portrait Tag</t>
  </si>
  <si>
    <t>0611833390025</t>
  </si>
  <si>
    <t>TAG Coreopsis Satin And Lace Peach Sparkle 25/25 Portrait Tag</t>
  </si>
  <si>
    <t>0611861489100</t>
  </si>
  <si>
    <t>TAG Coreopsis Satin And Lace Peach Sparkle Limited Availability 100/100 Pixie Tag</t>
  </si>
  <si>
    <t>0611861490050</t>
  </si>
  <si>
    <t>TAG Coreopsis Satin And Lace Peach Sparkle Limited Availability 50/50 Petite Portrait</t>
  </si>
  <si>
    <t>0611833391025</t>
  </si>
  <si>
    <t>TAG Coreopsis Satin And Lace Razzle Dazzle 25/25 Portrait Tag</t>
  </si>
  <si>
    <t>0611861491100</t>
  </si>
  <si>
    <t>TAG Coreopsis Satin And Lace Razzle Dazzle Limited Availability 100/100 Pixie Tag</t>
  </si>
  <si>
    <t>0611861492050</t>
  </si>
  <si>
    <t>TAG Coreopsis Satin And Lace Razzle Dazzle Limited Availability 50/50 Petite Portrait</t>
  </si>
  <si>
    <t>0611861495100</t>
  </si>
  <si>
    <t>TAG Coreopsis Satin And Lace Red Chiffon 100/100 Pixie Tag FUL</t>
  </si>
  <si>
    <t>0611833377025</t>
  </si>
  <si>
    <t>TAG Coreopsis Satin And Lace Red Chiffon 25/25 Portrait Tag</t>
  </si>
  <si>
    <t>0611861494050</t>
  </si>
  <si>
    <t>TAG Coreopsis Satin And Lace Red Chiffon Limited Availability 50/50 Petite Portrait</t>
  </si>
  <si>
    <t>0611861496100</t>
  </si>
  <si>
    <t>TAG Coreopsis Satin And Lace Red Tapestry 100/100 Pixie Tag FUL</t>
  </si>
  <si>
    <t>0611833392025</t>
  </si>
  <si>
    <t>TAG Coreopsis Satin And Lace Red Tapestry 25/25 Portrait Tag</t>
  </si>
  <si>
    <t>0611861493050</t>
  </si>
  <si>
    <t>TAG Coreopsis Satin And Lace Red Tapestry Limited Availability 50/50 Petite Portrait</t>
  </si>
  <si>
    <t>0611833380025</t>
  </si>
  <si>
    <t>TAG Coreopsis Solanna Bright Touch 25/25 Portrait Tag</t>
  </si>
  <si>
    <t>0611833381025</t>
  </si>
  <si>
    <t>TAG Coreopsis Solanna Glow 25/25 Portrait Tag</t>
  </si>
  <si>
    <t>0611833382025</t>
  </si>
  <si>
    <t>TAG Coreopsis Solanna Golden Crown 25/25 Portrait Tag</t>
  </si>
  <si>
    <t>0611833383025</t>
  </si>
  <si>
    <t>TAG Coreopsis Solanna Golden Princess 25/25 Portrait Tag</t>
  </si>
  <si>
    <t>0611833384025</t>
  </si>
  <si>
    <t>TAG Coreopsis Solanna Golden Sphere 25/25 Portrait Tag</t>
  </si>
  <si>
    <t>0611833385100</t>
  </si>
  <si>
    <t>TAG Coreopsis Solanna Series 100/100 Pixie Tag</t>
  </si>
  <si>
    <t>0611884142025</t>
  </si>
  <si>
    <t>TAG Coreopsis Solanna Sunset Bright 25/25 Portrait Tag</t>
  </si>
  <si>
    <t>0611833386025</t>
  </si>
  <si>
    <t>TAG Coreopsis Solanna Sunset Burst 25/25 Portrait Tag</t>
  </si>
  <si>
    <t>0611833387025</t>
  </si>
  <si>
    <t>TAG Coreopsis Solanna Sunshine 25/25 Portrait Tag</t>
  </si>
  <si>
    <t>0611833388025</t>
  </si>
  <si>
    <t>TAG Coreopsis Solanna Yellow Touch 25/25 Portrait Tag</t>
  </si>
  <si>
    <t>0611861497050</t>
  </si>
  <si>
    <t>TAG Coreopsis Sunbright 50/50 Petite Portrait DO FUL</t>
  </si>
  <si>
    <t>0611861498100</t>
  </si>
  <si>
    <t>TAG Coreopsis Sunbright Golden Limited Availability 100/100 Pixie Tag DO</t>
  </si>
  <si>
    <t>0611833394025</t>
  </si>
  <si>
    <t>TAG Coreopsis Sunfire 25/25 Portrait Tag</t>
  </si>
  <si>
    <t>0611833395025</t>
  </si>
  <si>
    <t>TAG Coreopsis Sunkiss 25/25 Portrait Tag</t>
  </si>
  <si>
    <t>0611833396025</t>
  </si>
  <si>
    <t>TAG Coreopsis Sunny Day 25/25 Portrait Tag</t>
  </si>
  <si>
    <t>0611833397100</t>
  </si>
  <si>
    <t>TAG Coreopsis Sunray 100/100 Pixie Tag</t>
  </si>
  <si>
    <t>0611861499100</t>
  </si>
  <si>
    <t>TAG Coreopsis SunSwirl 100/100 Pixie Tag DO FUL</t>
  </si>
  <si>
    <t>0611833399025</t>
  </si>
  <si>
    <t>TAG Coreopsis Super Star 25/25 Portrait Tag</t>
  </si>
  <si>
    <t>0611833400025</t>
  </si>
  <si>
    <t>TAG Coreopsis Sylvester Verticillata 25/25 Portrait Tag</t>
  </si>
  <si>
    <t>0611833401025</t>
  </si>
  <si>
    <t>TAG Coreopsis Tequila Sunrise 25/25 Portrait Tag</t>
  </si>
  <si>
    <t>0611833402025</t>
  </si>
  <si>
    <t>TAG Coreopsis UpTick Cream 25/25 Portrait Tag</t>
  </si>
  <si>
    <t>0611833403025</t>
  </si>
  <si>
    <t>TAG Coreopsis UpTick Cream Red 25/25 Portrait Tag</t>
  </si>
  <si>
    <t>0611833404025</t>
  </si>
  <si>
    <t>TAG Coreopsis UpTick Gold Bronze 25/25 Portrait Tag</t>
  </si>
  <si>
    <t>0611833405025</t>
  </si>
  <si>
    <t>TAG Coreopsis UpTick Red 25/25 Portrait Tag</t>
  </si>
  <si>
    <t>0611833406025</t>
  </si>
  <si>
    <t>TAG Coreopsis UpTick Yellow Red 25/25 Portrait Tag</t>
  </si>
  <si>
    <t>0611833407100</t>
  </si>
  <si>
    <t>TAG Coreopsis Yellow 100/100 Pixie Tag</t>
  </si>
  <si>
    <t>0611833408025</t>
  </si>
  <si>
    <t>TAG Coreopsis Yellow GENERIC 25/25 Portrait Tag</t>
  </si>
  <si>
    <t>0611861500100</t>
  </si>
  <si>
    <t>TAG Coreopsis Zagreb 100/100 Pixie Tag FUL</t>
  </si>
  <si>
    <t>0611861501050</t>
  </si>
  <si>
    <t>TAG Coreopsis Zagreb Limited Availability 50/50 Petite Portrait</t>
  </si>
  <si>
    <t>0611833409100</t>
  </si>
  <si>
    <t>TAG Coreopsis Zagreb Verticillata 100/100 Pixie Tag</t>
  </si>
  <si>
    <t>0611833410025</t>
  </si>
  <si>
    <t>TAG Coreopsis Zagreb Verticillata 25/25 Portrait Tag</t>
  </si>
  <si>
    <t>0611840734100</t>
  </si>
  <si>
    <t>TAG Corn American Dream 100/100 Pixie Tag</t>
  </si>
  <si>
    <t>0611840735100</t>
  </si>
  <si>
    <t>TAG Corn Bicolor GENERIC 100/100 Pixie Tag</t>
  </si>
  <si>
    <t>0611840736100</t>
  </si>
  <si>
    <t>TAG Corn Corn GENERIC 100/100 Pixie Tag</t>
  </si>
  <si>
    <t>0611840737100</t>
  </si>
  <si>
    <t>TAG Corn Devotion 100/100 Pixie Tag</t>
  </si>
  <si>
    <t>0611840739100</t>
  </si>
  <si>
    <t>TAG Corn Honey N Pearl 100/100 Pixie Tag</t>
  </si>
  <si>
    <t>0611840740100</t>
  </si>
  <si>
    <t>TAG Corn How Sweet It Is 100/100 Pixie Tag</t>
  </si>
  <si>
    <t>0611840741100</t>
  </si>
  <si>
    <t>TAG Corn Ornamental 100/100 Pixie Tag</t>
  </si>
  <si>
    <t>0611840743100</t>
  </si>
  <si>
    <t>TAG Corn Silver Queen 100/100 Pixie Tag</t>
  </si>
  <si>
    <t>0611840744100</t>
  </si>
  <si>
    <t>TAG Corn White GENERIC 100/100 Pixie Tag</t>
  </si>
  <si>
    <t>0611840745100</t>
  </si>
  <si>
    <t>TAG Corn Yellow GENERIC 100/100 Pixie Tag</t>
  </si>
  <si>
    <t>0611833416100</t>
  </si>
  <si>
    <t>TAG Cortaderia Pink Selloana 100/100 Pixie Tag</t>
  </si>
  <si>
    <t>0611833417100</t>
  </si>
  <si>
    <t>TAG Cortaderia White Selloana 100/100 Pixie Tag</t>
  </si>
  <si>
    <t>0611833418025</t>
  </si>
  <si>
    <t>TAG Cortaderia White Selloana 25/25 Portrait Tag</t>
  </si>
  <si>
    <t>0611833419025</t>
  </si>
  <si>
    <t>TAG Corynephorus Spiky Blue 25/25 Portrait Tag</t>
  </si>
  <si>
    <t>0611833421100</t>
  </si>
  <si>
    <t>TAG Cosmos Apollo Carmine 100/100 Pixie Tag SF</t>
  </si>
  <si>
    <t>0611833422100</t>
  </si>
  <si>
    <t>TAG Cosmos Apollo Lovesong 100/100 Pixie Tag SF</t>
  </si>
  <si>
    <t>0611833423100</t>
  </si>
  <si>
    <t>TAG Cosmos Apollo Mix 100/100 Pixie Tag SF</t>
  </si>
  <si>
    <t>0611833424100</t>
  </si>
  <si>
    <t>TAG Cosmos Apollo White 100/100 Pixie Tag SF</t>
  </si>
  <si>
    <t>0611833425100</t>
  </si>
  <si>
    <t>TAG Cosmos Casanova Mix 100/100 Pixie Tag</t>
  </si>
  <si>
    <t>0611833430100</t>
  </si>
  <si>
    <t>TAG Cosmos Chocolate 100/100 Pixie Tag</t>
  </si>
  <si>
    <t>0611833431025</t>
  </si>
  <si>
    <t>TAG Cosmos Chocolate 25/25 Portrait Tag</t>
  </si>
  <si>
    <t>0611833432100</t>
  </si>
  <si>
    <t>TAG Cosmos Cosmic Mix 100/100 Pixie Tag</t>
  </si>
  <si>
    <t>0611833433100</t>
  </si>
  <si>
    <t>TAG Cosmos Cosmic Orange 100/100 Pixie Tag</t>
  </si>
  <si>
    <t>0611833434100</t>
  </si>
  <si>
    <t>TAG Cosmos Cosmic Red 100/100 Pixie Tag</t>
  </si>
  <si>
    <t>0611833435100</t>
  </si>
  <si>
    <t>TAG Cosmos Cosmic Yellow 100/100 Pixie Tag</t>
  </si>
  <si>
    <t>0611833436100</t>
  </si>
  <si>
    <t>TAG Cosmos Cosmos GENERIC 100/100 Pixie Tag</t>
  </si>
  <si>
    <t>0611833437100</t>
  </si>
  <si>
    <t>TAG Cosmos Cutesy Mix 100/100 Pixie Tag</t>
  </si>
  <si>
    <t>0611833439100</t>
  </si>
  <si>
    <t>TAG Cosmos Mandarin 100/100 Pixie Tag</t>
  </si>
  <si>
    <t>0611833440100</t>
  </si>
  <si>
    <t>TAG Cosmos Mix GENERIC 100/100 Pixie Tag</t>
  </si>
  <si>
    <t>0611833441100</t>
  </si>
  <si>
    <t>TAG Cosmos Picotee 100/100 Pixie Tag</t>
  </si>
  <si>
    <t>0611833442100</t>
  </si>
  <si>
    <t>TAG Cosmos Seashells 100/100 Pixie Tag</t>
  </si>
  <si>
    <t>0611833443100</t>
  </si>
  <si>
    <t>TAG Cosmos Sensation Mix 100/100 Pixie Tag</t>
  </si>
  <si>
    <t>0611833444100</t>
  </si>
  <si>
    <t>TAG Cosmos Sonata Carmine 100/100 Pixie Tag</t>
  </si>
  <si>
    <t>0611833445100</t>
  </si>
  <si>
    <t>TAG Cosmos Sonata Mix 100/100 Pixie Tag</t>
  </si>
  <si>
    <t>0611833446100</t>
  </si>
  <si>
    <t>TAG Cosmos Sonata Pink 100/100 Pixie Tag</t>
  </si>
  <si>
    <t>0611833447100</t>
  </si>
  <si>
    <t>TAG Cosmos Sonata Pink Blush 100/100 Pixie Tag</t>
  </si>
  <si>
    <t>0611833448100</t>
  </si>
  <si>
    <t>TAG Cosmos Sonata Purple Shades 100/100 Pixie Tag</t>
  </si>
  <si>
    <t>0611833449100</t>
  </si>
  <si>
    <t>TAG Cosmos Sonata Red Shades 100/100 Pixie Tag</t>
  </si>
  <si>
    <t>0611833450100</t>
  </si>
  <si>
    <t>TAG Cosmos Sonata White 100/100 Pixie Tag</t>
  </si>
  <si>
    <t>0611884143100</t>
  </si>
  <si>
    <t>TAG Cosmos Sulfur Generic 100/100 Pixie Tag</t>
  </si>
  <si>
    <t>0611833451100</t>
  </si>
  <si>
    <t>TAG Cosmos Sunny Gold 100/100 Pixie Tag</t>
  </si>
  <si>
    <t>0611833452100</t>
  </si>
  <si>
    <t>TAG Cosmos Sunny Red 100/100 Pixie Tag</t>
  </si>
  <si>
    <t>0611884144100</t>
  </si>
  <si>
    <t>TAG Coteyldon Green Ear 100/100 Pixie Tag FUL</t>
  </si>
  <si>
    <t>0611861502100</t>
  </si>
  <si>
    <t>TAG Coteyldon Silver Peak 100/100 Pixie Tag FUL</t>
  </si>
  <si>
    <t>0611833454100</t>
  </si>
  <si>
    <t>TAG Cotyledon GENERIC 100/100 Pixie Tag</t>
  </si>
  <si>
    <t>0611833455100</t>
  </si>
  <si>
    <t>TAG Craspedia Golf Beauty 100/100 Pixie Tag</t>
  </si>
  <si>
    <t>0611861503100</t>
  </si>
  <si>
    <t>TAG Crassula Arborescens 100/100 Pixie Tag FUL</t>
  </si>
  <si>
    <t>0611833456100</t>
  </si>
  <si>
    <t>TAG Crassula Baby Jade 100/100 Pixie Tag</t>
  </si>
  <si>
    <t>0611833458100</t>
  </si>
  <si>
    <t>TAG Crassula Campfire 100/100 Pixie Tag</t>
  </si>
  <si>
    <t>0611861504100</t>
  </si>
  <si>
    <t>TAG Crassula Campfire CN2014 100/100 Pixie Tag FUL</t>
  </si>
  <si>
    <t>0611861505100</t>
  </si>
  <si>
    <t>TAG Crassula Cephalophora 100/100 Pixie Tag FUL</t>
  </si>
  <si>
    <t>0611861506100</t>
  </si>
  <si>
    <t>TAG Crassula Corymbulosa 100/100 Pixie Tag FUL</t>
  </si>
  <si>
    <t>0611833459100</t>
  </si>
  <si>
    <t>TAG Crassula Crassula GENERIC 100/100 Pixie Tag</t>
  </si>
  <si>
    <t>0611861507100</t>
  </si>
  <si>
    <t>TAG Crassula Curly Grey 100/100 Pixie Tag FUL</t>
  </si>
  <si>
    <t>0611861508100</t>
  </si>
  <si>
    <t>TAG Crassula Gandalf 100/100 Pixie Tag FUL</t>
  </si>
  <si>
    <t>0611833460100</t>
  </si>
  <si>
    <t>TAG Crassula Hobbit 100/100 Pixie Tag</t>
  </si>
  <si>
    <t>0611861509100</t>
  </si>
  <si>
    <t>TAG Crassula Horntree 100/100 Pixie Tag FUL</t>
  </si>
  <si>
    <t>0611861510100</t>
  </si>
  <si>
    <t>TAG Crassula Horntree Gollum 100/100 Pixie Tag FUL</t>
  </si>
  <si>
    <t>0611861511100</t>
  </si>
  <si>
    <t>TAG Crassula Horntree Tricolor 100/100 Pixie Tag FUL</t>
  </si>
  <si>
    <t>0611833461100</t>
  </si>
  <si>
    <t>TAG Crassula Jade Plant GENERIC 100/100 Pixie Tag</t>
  </si>
  <si>
    <t>0611861512100</t>
  </si>
  <si>
    <t>TAG Crassula Justus Corderoy 100/100 Pixie Tag FUL</t>
  </si>
  <si>
    <t>0611861513100</t>
  </si>
  <si>
    <t>TAG Crassula Major 100/100 Pixie Tag FUL</t>
  </si>
  <si>
    <t>0611861514100</t>
  </si>
  <si>
    <t>TAG Crassula Minor 100/100 Pixie Tag FUL</t>
  </si>
  <si>
    <t>0611861515100</t>
  </si>
  <si>
    <t>TAG Crassula Obvallata 100/100 Pixie Tag FUL</t>
  </si>
  <si>
    <t>0611861516100</t>
  </si>
  <si>
    <t>TAG Crassula Ovata 100/100 Pixie Tag FUL</t>
  </si>
  <si>
    <t>0611861517100</t>
  </si>
  <si>
    <t>TAG Crassula Pangolin 100/100 Pixie Tag FUL</t>
  </si>
  <si>
    <t>0611861518100</t>
  </si>
  <si>
    <t>TAG Crassula Perforata 100/100 Pixie Tag FUL</t>
  </si>
  <si>
    <t>0611833462100</t>
  </si>
  <si>
    <t>TAG Crassula Princess Pine 100/100 Pixie Tag</t>
  </si>
  <si>
    <t>0611861519100</t>
  </si>
  <si>
    <t>TAG Crassula Rochea Falcata 100/100 Pixie Tag FUL</t>
  </si>
  <si>
    <t>0611861520100</t>
  </si>
  <si>
    <t>TAG Crassula Springtime 100/100 Pixie Tag FUL</t>
  </si>
  <si>
    <t>0611833463100</t>
  </si>
  <si>
    <t>TAG Crassula Sunset 100/100 Pixie Tag</t>
  </si>
  <si>
    <t>0611861521100</t>
  </si>
  <si>
    <t>TAG Crassula Sunset CN2026 100/100 Pixie Tag FUL</t>
  </si>
  <si>
    <t>0611861522100</t>
  </si>
  <si>
    <t>TAG Crassula Tenelli 100/100 Pixie Tag</t>
  </si>
  <si>
    <t>0611861523100</t>
  </si>
  <si>
    <t>TAG Crassula Variegata 100/100 Pixie Tag FUL</t>
  </si>
  <si>
    <t>0611833464100</t>
  </si>
  <si>
    <t>TAG Crocosmia Lucifer 100/100 Pixie Tag</t>
  </si>
  <si>
    <t>0611833465025</t>
  </si>
  <si>
    <t>TAG Crocosmia Lucifer 25/25 Portrait Tag</t>
  </si>
  <si>
    <t>0611833466100</t>
  </si>
  <si>
    <t>TAG Crocus GENERIC 100/100 Pixie Tag</t>
  </si>
  <si>
    <t>0611833467100</t>
  </si>
  <si>
    <t>TAG Crossandra GENERIC 100/100 Pixie Tag</t>
  </si>
  <si>
    <t>0611861524050</t>
  </si>
  <si>
    <t>TAG Crossandra Orange 50/50 Petite Portrait FUL</t>
  </si>
  <si>
    <t>0611833468100</t>
  </si>
  <si>
    <t>TAG Crossandra Orange Marmalade 100/100 Pixie Tag</t>
  </si>
  <si>
    <t>0611833469100</t>
  </si>
  <si>
    <t>TAG Crossandra Tropic Yellow Splash 100/100 Pixie Tag</t>
  </si>
  <si>
    <t>0611861525050</t>
  </si>
  <si>
    <t>TAG Crossandra Watermelon 50/50 Petite Portrait DO FUL</t>
  </si>
  <si>
    <t>0611833123100</t>
  </si>
  <si>
    <t>TAG Croton GENERIC 100/100 Pixie Tag</t>
  </si>
  <si>
    <t>0611833125100</t>
  </si>
  <si>
    <t>TAG Croton Petra Variegatum 100/100 Pixie Tag</t>
  </si>
  <si>
    <t>0611856878100</t>
  </si>
  <si>
    <t>TAG Ctenanthe GENERIC 100/100 Pixie Tag</t>
  </si>
  <si>
    <t>0611833472100</t>
  </si>
  <si>
    <t>TAG Cucumber All Season Burpless 100/100 Pixie Tag</t>
  </si>
  <si>
    <t>0611833475100</t>
  </si>
  <si>
    <t>TAG Cucumber Armenian Yard Long 100/100 Pixie Tag</t>
  </si>
  <si>
    <t>0611833478100</t>
  </si>
  <si>
    <t>TAG Cucumber Baby Size GENERIC 100/100 Pixie Tag</t>
  </si>
  <si>
    <t>0611833480100</t>
  </si>
  <si>
    <t>TAG Cucumber Burpee Hybrid 100/100 Pixie Tag</t>
  </si>
  <si>
    <t>0611833482100</t>
  </si>
  <si>
    <t>TAG Cucumber Burpless 100/100 Pixie Tag</t>
  </si>
  <si>
    <t>0611833483200</t>
  </si>
  <si>
    <t>TAG Cucumber Burpless 200/200 Thriftee Tag</t>
  </si>
  <si>
    <t>0611833484100</t>
  </si>
  <si>
    <t>TAG Cucumber Burpless 26 100/100 Pixie Tag</t>
  </si>
  <si>
    <t>0611833485100</t>
  </si>
  <si>
    <t>TAG Cucumber Burpless Bush 100/100 Pixie Tag</t>
  </si>
  <si>
    <t>0611833486100</t>
  </si>
  <si>
    <t>TAG Cucumber Burpless Garden Sweet 100/100 Pixie Tag</t>
  </si>
  <si>
    <t>0611833487100</t>
  </si>
  <si>
    <t>TAG Cucumber Burpless Supreme 100/100 Pixie Tag</t>
  </si>
  <si>
    <t>0611833488100</t>
  </si>
  <si>
    <t>TAG Cucumber Bush Crop 100/100 Pixie Tag</t>
  </si>
  <si>
    <t>0611833489200</t>
  </si>
  <si>
    <t>TAG Cucumber Bush Crop 200/200 Thriftee Tag</t>
  </si>
  <si>
    <t>0611833490100</t>
  </si>
  <si>
    <t>TAG Cucumber Bush Pickle 100/100 Pixie Tag</t>
  </si>
  <si>
    <t>0611833492100</t>
  </si>
  <si>
    <t>TAG Cucumber Calypso 100/100 Pixie Tag</t>
  </si>
  <si>
    <t>0611833495100</t>
  </si>
  <si>
    <t>TAG Cucumber Cool Breeze 100/100 Pixie Tag</t>
  </si>
  <si>
    <t>0611833500100</t>
  </si>
  <si>
    <t>TAG Cucumber Dasher II 100/100 Pixie Tag</t>
  </si>
  <si>
    <t>0611833502100</t>
  </si>
  <si>
    <t>TAG Cucumber Diva 100/100 Pixie Tag</t>
  </si>
  <si>
    <t>0611833507100</t>
  </si>
  <si>
    <t>TAG Cucumber Fanfare 100/100 Pixie Tag</t>
  </si>
  <si>
    <t>0611833510100</t>
  </si>
  <si>
    <t>TAG Cucumber Garden Leader Tasty 100/100 Pixie Tag</t>
  </si>
  <si>
    <t>0611833497100</t>
  </si>
  <si>
    <t>TAG Cucumber GENERIC 100/100 Pixie Tag</t>
  </si>
  <si>
    <t>0611833498200</t>
  </si>
  <si>
    <t>TAG Cucumber GENERIC 200/200 Thriftee Tag</t>
  </si>
  <si>
    <t>0611833511100</t>
  </si>
  <si>
    <t>TAG Cucumber Gherking 100/100 Pixie Tag</t>
  </si>
  <si>
    <t>0611833513100</t>
  </si>
  <si>
    <t>TAG Cucumber Green Light 100/100 Pixie Tag</t>
  </si>
  <si>
    <t>0611833515100</t>
  </si>
  <si>
    <t>TAG Cucumber Homemade Pickles 100/100 Pixie Tag</t>
  </si>
  <si>
    <t>0611833520100</t>
  </si>
  <si>
    <t>TAG Cucumber Hybrid 100/100 Pixie Tag</t>
  </si>
  <si>
    <t>0611833522100</t>
  </si>
  <si>
    <t>TAG Cucumber Japanese 100/100 Pixie Tag</t>
  </si>
  <si>
    <t>0611833524100</t>
  </si>
  <si>
    <t>TAG Cucumber Lemon 100/100 Pixie Tag</t>
  </si>
  <si>
    <t>0611833526100</t>
  </si>
  <si>
    <t>TAG Cucumber Marketmore 100/100 Pixie Tag</t>
  </si>
  <si>
    <t>0611833527200</t>
  </si>
  <si>
    <t>TAG Cucumber Marketmore 200/200 Thriftee Tag</t>
  </si>
  <si>
    <t>0611833528100</t>
  </si>
  <si>
    <t>TAG Cucumber Marketmore 76 100/100 Pixie Tag</t>
  </si>
  <si>
    <t>0611833529100</t>
  </si>
  <si>
    <t>TAG Cucumber Martini 100/100 Pixie Tag</t>
  </si>
  <si>
    <t>0611884145100</t>
  </si>
  <si>
    <t>TAG Cucumber MiniCrisp 100/100 Pixie Tag</t>
  </si>
  <si>
    <t>0611833532100</t>
  </si>
  <si>
    <t>TAG Cucumber Orient Express 100/100 Pixie Tag</t>
  </si>
  <si>
    <t>0611833533100</t>
  </si>
  <si>
    <t>TAG Cucumber Parisian Gherkin 100/100 Pixie Tag</t>
  </si>
  <si>
    <t>0611833536100</t>
  </si>
  <si>
    <t>TAG Cucumber Patio Pik 100/100 Pixie Tag</t>
  </si>
  <si>
    <t>0611833537100</t>
  </si>
  <si>
    <t>TAG Cucumber Patio Snacker 100/100 Pixie Tag</t>
  </si>
  <si>
    <t>0611833538100</t>
  </si>
  <si>
    <t>TAG Cucumber Patio Type GENERIC 100/100 Pixie Tag</t>
  </si>
  <si>
    <t>0611833539100</t>
  </si>
  <si>
    <t>TAG Cucumber Pick A Bushel 100/100 Pixie Tag</t>
  </si>
  <si>
    <t>0611833540100</t>
  </si>
  <si>
    <t>TAG Cucumber Pickling 100/100 Pixie Tag</t>
  </si>
  <si>
    <t>0611833541200</t>
  </si>
  <si>
    <t>TAG Cucumber Pickling 200/200 Thriftee Tag</t>
  </si>
  <si>
    <t>0611833542100</t>
  </si>
  <si>
    <t>TAG Cucumber Potluck 100/100 Pixie Tag</t>
  </si>
  <si>
    <t>0611884146100</t>
  </si>
  <si>
    <t>TAG Cucumber Quick Snack Kitchen Minis 100/100 Pixie Tag</t>
  </si>
  <si>
    <t>0611833545100</t>
  </si>
  <si>
    <t>TAG Cucumber Raider 100/100 Pixie Tag</t>
  </si>
  <si>
    <t>0611833546100</t>
  </si>
  <si>
    <t>TAG Cucumber Salad Bush 100/100 Pixie Tag</t>
  </si>
  <si>
    <t>0611833471100</t>
  </si>
  <si>
    <t>TAG Cucumber Salad Crop 100/100 Pixie Tag</t>
  </si>
  <si>
    <t>0611833547100</t>
  </si>
  <si>
    <t>TAG Cucumber Saladmore Bush 100/100 Pixie Tag</t>
  </si>
  <si>
    <t>0611833548100</t>
  </si>
  <si>
    <t>TAG Cucumber Slicemaster 100/100 Pixie Tag</t>
  </si>
  <si>
    <t>0611833549100</t>
  </si>
  <si>
    <t>TAG Cucumber Slicing 100/100 Pixie Tag</t>
  </si>
  <si>
    <t>0611833550200</t>
  </si>
  <si>
    <t>TAG Cucumber Slicing 200/200 Thriftee Tag</t>
  </si>
  <si>
    <t>0611833551100</t>
  </si>
  <si>
    <t>TAG Cucumber Spacemaster Hybrid 100/100 Pixie Tag</t>
  </si>
  <si>
    <t>0611833552100</t>
  </si>
  <si>
    <t>TAG Cucumber Straight Eight 100/100 Pixie Tag</t>
  </si>
  <si>
    <t>0611833554100</t>
  </si>
  <si>
    <t>TAG Cucumber Summer Top Hybrid 100/100 Pixie Tag</t>
  </si>
  <si>
    <t>0611833556100</t>
  </si>
  <si>
    <t>TAG Cucumber Sweet Slice 100/100 Pixie Tag</t>
  </si>
  <si>
    <t>0611833557100</t>
  </si>
  <si>
    <t>TAG Cucumber Sweet Success 100/100 Pixie Tag</t>
  </si>
  <si>
    <t>0611833558100</t>
  </si>
  <si>
    <t>TAG Cucumber Sweeter Yet 100/100 Pixie Tag</t>
  </si>
  <si>
    <t>0611833559100</t>
  </si>
  <si>
    <t>TAG Cucumber Tasty Green 100/100 Pixie Tag</t>
  </si>
  <si>
    <t>0611833560100</t>
  </si>
  <si>
    <t>TAG Cucumber Telegraph 100/100 Pixie Tag</t>
  </si>
  <si>
    <t>0611833562100</t>
  </si>
  <si>
    <t>TAG Cucumber Victory 100/100 Pixie Tag</t>
  </si>
  <si>
    <t>0611833563100</t>
  </si>
  <si>
    <t>TAG Cucumber White GENERIC 100/100 Pixie Tag</t>
  </si>
  <si>
    <t>0611833615100</t>
  </si>
  <si>
    <t>TAG Cumin GENERIC 100/100 Pixie Tag</t>
  </si>
  <si>
    <t>0611833616100</t>
  </si>
  <si>
    <t>TAG Cuphea Allyson 100/100 Pixie Tag</t>
  </si>
  <si>
    <t>0611833617100</t>
  </si>
  <si>
    <t>TAG Cuphea Bat Face GENERIC 100/100 Pixie Tag</t>
  </si>
  <si>
    <t>0611861526050</t>
  </si>
  <si>
    <t>TAG Cuphea Blackberry Sparkler 50/50 Petite Portrait FUL</t>
  </si>
  <si>
    <t>0611833618100</t>
  </si>
  <si>
    <t>TAG Cuphea Cigar Plant GENERIC 100/100 Pixie Tag</t>
  </si>
  <si>
    <t>0611856879100</t>
  </si>
  <si>
    <t>TAG Cuphea Cubano Cristo 100/100 Pixie Tag</t>
  </si>
  <si>
    <t>0611856880100</t>
  </si>
  <si>
    <t>TAG Cuphea Cubano Fuente 100/100 Pixie Tag</t>
  </si>
  <si>
    <t>0611884149100</t>
  </si>
  <si>
    <t>TAG Cuphea Cubano Presidente 100/100 Pixie Tag</t>
  </si>
  <si>
    <t>0611861527050</t>
  </si>
  <si>
    <t>TAG Cuphea Cuphoric Pink 50/50 Petite Portrait SF FUL</t>
  </si>
  <si>
    <t>0611833619100</t>
  </si>
  <si>
    <t>TAG Cuphea Cupid Purple 100/100 Pixie Tag</t>
  </si>
  <si>
    <t>0611833620100</t>
  </si>
  <si>
    <t>TAG Cuphea Cupid White 100/100 Pixie Tag</t>
  </si>
  <si>
    <t>0611833621100</t>
  </si>
  <si>
    <t>TAG Cuphea Dynamite 100/100 Pixie Tag</t>
  </si>
  <si>
    <t>0611833622100</t>
  </si>
  <si>
    <t>TAG Cuphea Firecracker 100/100 Pixie Tag</t>
  </si>
  <si>
    <t>0611833623100</t>
  </si>
  <si>
    <t>TAG Cuphea FloriGlory Corazon 100/100 Pixie Tag</t>
  </si>
  <si>
    <t>0611861528050</t>
  </si>
  <si>
    <t>TAG Cuphea FloriGlory Corazon 50/50 Petite Portrait FUL</t>
  </si>
  <si>
    <t>0611833624100</t>
  </si>
  <si>
    <t>TAG Cuphea FloriGlory Diana 100/100 Pixie Tag</t>
  </si>
  <si>
    <t>0611861529050</t>
  </si>
  <si>
    <t>TAG Cuphea FloriGlory Diana 50/50 Petite Portrait FUL</t>
  </si>
  <si>
    <t>0611833625100</t>
  </si>
  <si>
    <t>TAG Cuphea FloriGlory Maria 100/100 Pixie Tag</t>
  </si>
  <si>
    <t>0611861530050</t>
  </si>
  <si>
    <t>TAG Cuphea FloriGlory Maria 50/50 Petite Portrait FUL</t>
  </si>
  <si>
    <t>0611833626100</t>
  </si>
  <si>
    <t>TAG Cuphea FloriGlory Selena 100/100 Pixie Tag</t>
  </si>
  <si>
    <t>0611861531050</t>
  </si>
  <si>
    <t>TAG Cuphea FloriGlory Selena 50/50 Petite Portrait FUL</t>
  </si>
  <si>
    <t>0611833627100</t>
  </si>
  <si>
    <t>TAG Cuphea FloriGlory Sofia 100/100 Pixie Tag</t>
  </si>
  <si>
    <t>0611861532050</t>
  </si>
  <si>
    <t>TAG Cuphea FloriGlory Sofia 50/50 Petite Portrait FUL</t>
  </si>
  <si>
    <t>0611833628100</t>
  </si>
  <si>
    <t>TAG Cuphea Funny Face 100/100 Pixie Tag</t>
  </si>
  <si>
    <t>0611861533050</t>
  </si>
  <si>
    <t>TAG Cuphea Hummingbird's Lunch 50/50 Petite Portrait FUL</t>
  </si>
  <si>
    <t>0611861534050</t>
  </si>
  <si>
    <t>TAG Cuphea Lavender 50/50 Petite Portrait FUL</t>
  </si>
  <si>
    <t>0611833629100</t>
  </si>
  <si>
    <t>TAG Cuphea Lavender GENERIC 100/100 Pixie Tag</t>
  </si>
  <si>
    <t>0611833630100</t>
  </si>
  <si>
    <t>TAG Cuphea Lavender Lace 100/100 Pixie Tag</t>
  </si>
  <si>
    <t>0611861535050</t>
  </si>
  <si>
    <t>TAG Cuphea Lilac 50/50 Petite Portrait FUL</t>
  </si>
  <si>
    <t>0611861536050</t>
  </si>
  <si>
    <t>TAG Cuphea Lilac CR3520 50/50 Petite Portrait FUL</t>
  </si>
  <si>
    <t>0611833632100</t>
  </si>
  <si>
    <t>TAG Cuphea Mexican Heather GENERIC 100/100 Pixie Tag</t>
  </si>
  <si>
    <t>0611833631025</t>
  </si>
  <si>
    <t>TAG Cuphea Mexican Heather GENERIC 25/25 Portrait Tag</t>
  </si>
  <si>
    <t>0611833633100</t>
  </si>
  <si>
    <t>TAG Cuphea Pink GENERIC 100/100 Pixie Tag</t>
  </si>
  <si>
    <t>0611833634100</t>
  </si>
  <si>
    <t>TAG Cuphea Pink Shimmer 100/100 Pixie Tag</t>
  </si>
  <si>
    <t>0611833635100</t>
  </si>
  <si>
    <t>TAG Cuphea Purple GENERIC 100/100 Pixie Tag</t>
  </si>
  <si>
    <t>0611833636100</t>
  </si>
  <si>
    <t>TAG Cuphea Sriracha Series 100/100 Pixie Tag SF</t>
  </si>
  <si>
    <t>0611884150100</t>
  </si>
  <si>
    <t>TAG Cuphea Sweet Talk Deep Pink 100/100 Pixie Tag</t>
  </si>
  <si>
    <t>0611884151100</t>
  </si>
  <si>
    <t>TAG Cuphea Sweet Talk Lavandula Lavender Spl 100/100 Pixie Tag</t>
  </si>
  <si>
    <t>0611884152100</t>
  </si>
  <si>
    <t>TAG Cuphea Sweet Talk Red 100/100 Pixie Tag</t>
  </si>
  <si>
    <t>0611861537050</t>
  </si>
  <si>
    <t>TAG Cuphea White 50/50 Petite Portrait FUL</t>
  </si>
  <si>
    <t>0611833637100</t>
  </si>
  <si>
    <t>TAG Cuphea White GENERIC 100/100 Pixie Tag</t>
  </si>
  <si>
    <t>0611833639100</t>
  </si>
  <si>
    <t>TAG Cyclamen GENERIC 100/100 Pixie Tag</t>
  </si>
  <si>
    <t>0611833641100</t>
  </si>
  <si>
    <t>TAG Cyclamen Mini GENERIC 100/100 Pixie Tag</t>
  </si>
  <si>
    <t>0611833642100</t>
  </si>
  <si>
    <t>TAG Cyclamen Mix 100/100 Pixie Tag</t>
  </si>
  <si>
    <t>0611833643100</t>
  </si>
  <si>
    <t>TAG Cyclamen Red GENERIC 100/100 Pixie Tag</t>
  </si>
  <si>
    <t>0611833647100</t>
  </si>
  <si>
    <t>TAG Cyclamen White GENERIC 100/100 Pixie Tag</t>
  </si>
  <si>
    <t>0611833648100</t>
  </si>
  <si>
    <t>TAG Cymbalaria Muralis 100/100 Pixie Tag</t>
  </si>
  <si>
    <t>0611833649025</t>
  </si>
  <si>
    <t>TAG Cymbopogon Citratus 25/25 Portrait Tag</t>
  </si>
  <si>
    <t>0611833653100</t>
  </si>
  <si>
    <t>TAG Cyperus Alternifolius 100/100 Pixie Tag</t>
  </si>
  <si>
    <t>0611833654100</t>
  </si>
  <si>
    <t>TAG Cyperus Dwarf Giant Papyrus 100/100 Pixie Tag</t>
  </si>
  <si>
    <t>0611833655100</t>
  </si>
  <si>
    <t>TAG Cyperus Papyrus Dwarf 100/100 Pixie Tag</t>
  </si>
  <si>
    <t>0611833656100</t>
  </si>
  <si>
    <t>TAG Cyperus Wild Spike 100/100 Pixie Tag</t>
  </si>
  <si>
    <t>0611833657100</t>
  </si>
  <si>
    <t>TAG Dactylis Pet Grass 100/100 Pixie Tag</t>
  </si>
  <si>
    <t>0611836880100</t>
  </si>
  <si>
    <t>TAG Daffodil GENERIC 100/100 Pixie Tag</t>
  </si>
  <si>
    <t>0611836881100</t>
  </si>
  <si>
    <t>TAG Daffodil Paper White 100/100 Pixie Tag</t>
  </si>
  <si>
    <t>0611836882100</t>
  </si>
  <si>
    <t>TAG Daffodil Tete A Tete 100/100 Pixie Tag</t>
  </si>
  <si>
    <t>0611836883100</t>
  </si>
  <si>
    <t>TAG Daffodil Yellow 100/100 Pixie Tag</t>
  </si>
  <si>
    <t>0611834105100</t>
  </si>
  <si>
    <t>TAG Dahlberg Daisy Golden Fleece 100/100 Pixie Tag</t>
  </si>
  <si>
    <t>0611833658100</t>
  </si>
  <si>
    <t>TAG Dahlia Black Beauty 100/100 Pixie Tag</t>
  </si>
  <si>
    <t>0611861538050</t>
  </si>
  <si>
    <t>TAG Dahlia Cafe Au Lait 50/50 Petite Portrait SF FUL</t>
  </si>
  <si>
    <t>0611861539050</t>
  </si>
  <si>
    <t>TAG Dahlia Dahlegria Apricot Tricolor 50/50 Petite Portrait SF FUL</t>
  </si>
  <si>
    <t>0611861540050</t>
  </si>
  <si>
    <t>TAG Dahlia Dahlegria Light Rose 50/50 Petite Portrait SF FUL</t>
  </si>
  <si>
    <t>0611861541050</t>
  </si>
  <si>
    <t>TAG Dahlia Dahlegria Magenta Bicolor 50/50 Petite Portrait SF FUL</t>
  </si>
  <si>
    <t>0611861542050</t>
  </si>
  <si>
    <t>TAG Dahlia Dahlegria Magenta Bicolor CE1594 50/50 Petite Portrait SF FUL</t>
  </si>
  <si>
    <t>0611861543050</t>
  </si>
  <si>
    <t>TAG Dahlia Dahlegria Orange 50/50 Petite Portrait SF FUL</t>
  </si>
  <si>
    <t>0611861544050</t>
  </si>
  <si>
    <t>TAG Dahlia Dahlegria Orange Bicolor 50/50 Petite Portrait SF FUL</t>
  </si>
  <si>
    <t>0611861545050</t>
  </si>
  <si>
    <t>TAG Dahlia Dahlegria Pink Flame 50/50 Petite Portrait SF FUL</t>
  </si>
  <si>
    <t>0611861546050</t>
  </si>
  <si>
    <t>TAG Dahlia Dahlegria Red 50/50 Petite Portrait SF FUL</t>
  </si>
  <si>
    <t>0611861547050</t>
  </si>
  <si>
    <t>TAG Dahlia Dahlegria Red CE1595 50/50 Petite Portrait SF FUL</t>
  </si>
  <si>
    <t>0611861548050</t>
  </si>
  <si>
    <t>TAG Dahlia Dahlegria Scarlet Fire 50/50 Petite Portrait SF FUL</t>
  </si>
  <si>
    <t>0611861549050</t>
  </si>
  <si>
    <t>TAG Dahlia Dahlegria Sunrise 50/50 Petite Portrait SF FUL</t>
  </si>
  <si>
    <t>0611861550050</t>
  </si>
  <si>
    <t>TAG Dahlia Dahlegria Sunset 50/50 Petite Portrait SF FUL</t>
  </si>
  <si>
    <t>0611861551050</t>
  </si>
  <si>
    <t>TAG Dahlia Dahlegria White 50/50 Petite Portrait SF FUL</t>
  </si>
  <si>
    <t>0611861552050</t>
  </si>
  <si>
    <t>TAG Dahlia Dahlinova Alabama 50/50 Petite Portrait DO FUL</t>
  </si>
  <si>
    <t>0611861553050</t>
  </si>
  <si>
    <t>TAG Dahlia Dahlinova California 50/50 Petite Portrait DO FUL</t>
  </si>
  <si>
    <t>0611861554050</t>
  </si>
  <si>
    <t>TAG Dahlia Dahlinova Carolina 50/50 Petite Portrait DO FUL</t>
  </si>
  <si>
    <t>0611861555050</t>
  </si>
  <si>
    <t>TAG Dahlia Dahlinova Carolina Burgundy 50/50 Petite Portrait DO FUL</t>
  </si>
  <si>
    <t>0611861556050</t>
  </si>
  <si>
    <t>TAG Dahlia Dahlinova Carolina Orange 50/50 Petite Portrait DO FUL</t>
  </si>
  <si>
    <t>0611861557050</t>
  </si>
  <si>
    <t>TAG Dahlia Dahlinova Florida 50/50 Petite Portrait DO FUL</t>
  </si>
  <si>
    <t>0611861558050</t>
  </si>
  <si>
    <t>TAG Dahlia Dahlinova Lisa Burgundy 50/50 Petite Portrait DO FUL</t>
  </si>
  <si>
    <t>0611861559050</t>
  </si>
  <si>
    <t>TAG Dahlia Dahlinova Lisa Dark Pink 50/50 Petite Portrait DO FUL</t>
  </si>
  <si>
    <t>0611861560050</t>
  </si>
  <si>
    <t>TAG Dahlia Dahlinova Lisa White D 50/50 Petite Portrait DO FUL</t>
  </si>
  <si>
    <t>0611861561050</t>
  </si>
  <si>
    <t>TAG Dahlia Dahlinova Montana 50/50 Petite Portrait DO FUL</t>
  </si>
  <si>
    <t>0611861562050</t>
  </si>
  <si>
    <t>TAG Dahlia Dahlinova New York 50/50 Petite Portrait DO FUL</t>
  </si>
  <si>
    <t>0611861563050</t>
  </si>
  <si>
    <t>TAG Dahlia Dahlinova Oregon Dahlia 50/50 Petite Portrait DO FUL</t>
  </si>
  <si>
    <t>0611861565050</t>
  </si>
  <si>
    <t>TAG Dahlia Dahlinova Temptation Golden 50/50 Petite Portrait DO FUL</t>
  </si>
  <si>
    <t>0611861566050</t>
  </si>
  <si>
    <t>TAG Dahlia Dahlinova Temptation Lavender 50/50 Petite Portrait DO FUL</t>
  </si>
  <si>
    <t>0611861564050</t>
  </si>
  <si>
    <t>TAG Dahlia Dahlinova Texas 50/50 Petite Portrait DO FUL</t>
  </si>
  <si>
    <t>0611833666100</t>
  </si>
  <si>
    <t>TAG Dahlia Darlin' Series 100/100 Pixie Tag</t>
  </si>
  <si>
    <t>0611833667100</t>
  </si>
  <si>
    <t>TAG Dahlia Decorative GENERIC 100/100 Pixie Tag</t>
  </si>
  <si>
    <t>0611833669100</t>
  </si>
  <si>
    <t>TAG Dahlia Diablo 100/100 Pixie Tag</t>
  </si>
  <si>
    <t>0611833671100</t>
  </si>
  <si>
    <t>TAG Dahlia Dreamy Days 100/100 Pixie Tag</t>
  </si>
  <si>
    <t>0611833672100</t>
  </si>
  <si>
    <t>TAG Dahlia Dreamy Eyes 100/100 Pixie Tag</t>
  </si>
  <si>
    <t>0611833673100</t>
  </si>
  <si>
    <t>TAG Dahlia Dreamy Fantasy 100/100 Pixie Tag</t>
  </si>
  <si>
    <t>0611833674100</t>
  </si>
  <si>
    <t>TAG Dahlia Dreamy Flame 100/100 Pixie Tag</t>
  </si>
  <si>
    <t>0611833675100</t>
  </si>
  <si>
    <t>TAG Dahlia Dreamy Kiss 100/100 Pixie Tag</t>
  </si>
  <si>
    <t>0611833676100</t>
  </si>
  <si>
    <t>TAG Dahlia Dreamy Lips 100/100 Pixie Tag</t>
  </si>
  <si>
    <t>0611833677100</t>
  </si>
  <si>
    <t>TAG Dahlia Dreamy Morning 100/100 Pixie Tag</t>
  </si>
  <si>
    <t>0611833678100</t>
  </si>
  <si>
    <t>TAG Dahlia Dreamy Nights 100/100 Pixie Tag</t>
  </si>
  <si>
    <t>0611833680100</t>
  </si>
  <si>
    <t>TAG Dahlia Dreamy Sunlight 100/100 Pixie Tag</t>
  </si>
  <si>
    <t>0611833681100</t>
  </si>
  <si>
    <t>TAG Dahlia Electro Pink 100/100 Pixie Tag</t>
  </si>
  <si>
    <t>0611833682100</t>
  </si>
  <si>
    <t>TAG Dahlia Figaro Mix 100/100 Pixie Tag</t>
  </si>
  <si>
    <t>0611833683100</t>
  </si>
  <si>
    <t>TAG Dahlia Figaro Orange Shades 100/100 Pixie Tag</t>
  </si>
  <si>
    <t>0611833684100</t>
  </si>
  <si>
    <t>TAG Dahlia Figaro Red Shades 100/100 Pixie Tag</t>
  </si>
  <si>
    <t>0611833685100</t>
  </si>
  <si>
    <t>TAG Dahlia Figaro Violet 100/100 Pixie Tag</t>
  </si>
  <si>
    <t>0611833686100</t>
  </si>
  <si>
    <t>TAG Dahlia Figaro White 100/100 Pixie Tag</t>
  </si>
  <si>
    <t>0611833687100</t>
  </si>
  <si>
    <t>TAG Dahlia Figaro Yellow Shades 100/100 Pixie Tag</t>
  </si>
  <si>
    <t>0611833688100</t>
  </si>
  <si>
    <t>TAG Dahlia Fresco Mix 100/100 Pixie Tag SF</t>
  </si>
  <si>
    <t>0611833659025</t>
  </si>
  <si>
    <t>TAG Dahlia GENERIC 25/25 Portrait Tag</t>
  </si>
  <si>
    <t>0611833689100</t>
  </si>
  <si>
    <t>TAG Dahlia GENERIC Bilingual 100/100 Pixie Tag</t>
  </si>
  <si>
    <t>0611861567050</t>
  </si>
  <si>
    <t>TAG Dahlia Goldalia Rose 50/50 Petite Portrait SF FUL</t>
  </si>
  <si>
    <t>0611861568050</t>
  </si>
  <si>
    <t>TAG Dahlia Goldalia Scarlet 50/50 Petite Portrait SF FUL</t>
  </si>
  <si>
    <t>0611861570050</t>
  </si>
  <si>
    <t>TAG Dahlia Grandalia Dark Red 50/50 Petite Portrait SF FUL</t>
  </si>
  <si>
    <t>0611861571050</t>
  </si>
  <si>
    <t>TAG Dahlia Grandalia Dark Rose 50/50 Petite Portrait SF FUL</t>
  </si>
  <si>
    <t>0611861573050</t>
  </si>
  <si>
    <t>TAG Dahlia Grandalia Fire 50/50 Petite Portrait SF FUL</t>
  </si>
  <si>
    <t>0611861574050</t>
  </si>
  <si>
    <t>TAG Dahlia Grandalia Lavender Ice 50/50 Petite Portrait SF FUL</t>
  </si>
  <si>
    <t>0611861575050</t>
  </si>
  <si>
    <t>TAG Dahlia Grandalia Magenta 50/50 Petite Tag SF</t>
  </si>
  <si>
    <t>0611861576050</t>
  </si>
  <si>
    <t>TAG Dahlia Grandalia Orange 50/50 Petite Portrait SF FUL</t>
  </si>
  <si>
    <t>0611861577050</t>
  </si>
  <si>
    <t>TAG Dahlia Grandalia Pink 50/50 Petite Portrait SF FUL</t>
  </si>
  <si>
    <t>0611861578050</t>
  </si>
  <si>
    <t>TAG Dahlia Grandalia Pink Ice 50/50 Petite Portrait SF FUL</t>
  </si>
  <si>
    <t>0611861579050</t>
  </si>
  <si>
    <t>TAG Dahlia Grandalia Red 50/50 Petite Portrait SF FUL</t>
  </si>
  <si>
    <t>0611861581050</t>
  </si>
  <si>
    <t>TAG Dahlia Grandalia Sunny Flame 50/50 Petite Portrait SF FUL</t>
  </si>
  <si>
    <t>0611861582050</t>
  </si>
  <si>
    <t>TAG Dahlia Grandalia Sunrise 50/50 Petite Portrait SF FUL</t>
  </si>
  <si>
    <t>0611861583050</t>
  </si>
  <si>
    <t>TAG Dahlia Grandalia White 50/50 Petite Tag SF</t>
  </si>
  <si>
    <t>0611861584050</t>
  </si>
  <si>
    <t>TAG Dahlia Grandalia Yellow 50/50 Petite Portrait SF FUL</t>
  </si>
  <si>
    <t>0611861585050</t>
  </si>
  <si>
    <t>TAG Dahlia Happy Days Cherry Red 50/50 Petite Portrait SF FUL</t>
  </si>
  <si>
    <t>0611861586050</t>
  </si>
  <si>
    <t>TAG Dahlia Happy Days Fuchsia Halo 50/50 Petite Portrait SF FUL</t>
  </si>
  <si>
    <t>0611861587050</t>
  </si>
  <si>
    <t>TAG Dahlia Happy Days Lemon 50/50 Petite Portrait SF FUL</t>
  </si>
  <si>
    <t>0611861588050</t>
  </si>
  <si>
    <t>TAG Dahlia Happy Days Neon 50/50 Petite Portrait SF FUL</t>
  </si>
  <si>
    <t>0611861589050</t>
  </si>
  <si>
    <t>TAG Dahlia Happy Days Orange Red Bicolor 50/50 Petite Portrait SF FUL</t>
  </si>
  <si>
    <t>0611861590050</t>
  </si>
  <si>
    <t>TAG Dahlia Happy Days Pink 50/50 Petite Portrait SF FUL</t>
  </si>
  <si>
    <t>0611861591050</t>
  </si>
  <si>
    <t>TAG Dahlia Happy Days Purple 50/50 Petite Portrait SF FUL</t>
  </si>
  <si>
    <t>0611861592050</t>
  </si>
  <si>
    <t>TAG Dahlia Happy Days Scarlet 50/50 Petite Portrait SF FUL</t>
  </si>
  <si>
    <t>0611861593050</t>
  </si>
  <si>
    <t>TAG Dahlia Happy Days White 50/50 Petite Portrait SF FUL</t>
  </si>
  <si>
    <t>0611861594050</t>
  </si>
  <si>
    <t>TAG Dahlia Happy Days Yellow 50/50 Petite Portrait SF FUL</t>
  </si>
  <si>
    <t>0611833690100</t>
  </si>
  <si>
    <t>TAG Dahlia Harlequin Mix 100/100 Pixie Tag SF</t>
  </si>
  <si>
    <t>0611861595050</t>
  </si>
  <si>
    <t>TAG Dahlia Hypnotica Bronze 50/50 Petite Portrait DO FUL</t>
  </si>
  <si>
    <t>0611861596050</t>
  </si>
  <si>
    <t>TAG Dahlia Hypnotica Electric Pink 50/50 Petite Portrait DO FUL</t>
  </si>
  <si>
    <t>0611861597050</t>
  </si>
  <si>
    <t>TAG Dahlia Hypnotica Gold 50/50 Petite Portrait DO FUL</t>
  </si>
  <si>
    <t>0611861598050</t>
  </si>
  <si>
    <t>TAG Dahlia Hypnotica Icarus 50/50 Petite Portrait DO FUL</t>
  </si>
  <si>
    <t>0611861599050</t>
  </si>
  <si>
    <t>TAG Dahlia Hypnotica Lavender 50/50 Petite Portrait DO FUL</t>
  </si>
  <si>
    <t>0611861600050</t>
  </si>
  <si>
    <t>TAG Dahlia Hypnotica Limonswirl 50/50 Petite Portrait DO FUL</t>
  </si>
  <si>
    <t>0611861601050</t>
  </si>
  <si>
    <t>TAG Dahlia Hypnotica Orange 50/50 Petite Portrait DO FUL</t>
  </si>
  <si>
    <t>0611861602050</t>
  </si>
  <si>
    <t>TAG Dahlia Hypnotica Pink 50/50 Petite Portrait DO FUL</t>
  </si>
  <si>
    <t>0611861603050</t>
  </si>
  <si>
    <t>TAG Dahlia Hypnotica Pink Bicolor 50/50 Petite Portrait DO FUL</t>
  </si>
  <si>
    <t>0611861604050</t>
  </si>
  <si>
    <t>TAG Dahlia Hypnotica Pink CR5180 50/50 Petite Portrait DO FUL</t>
  </si>
  <si>
    <t>0611861605050</t>
  </si>
  <si>
    <t>TAG Dahlia Hypnotica Purple Bicolor 50/50 Petite Portrait DO FUL</t>
  </si>
  <si>
    <t>0611861606050</t>
  </si>
  <si>
    <t>TAG Dahlia Hypnotica Red 50/50 Petite Portrait DO FUL</t>
  </si>
  <si>
    <t>0611861607050</t>
  </si>
  <si>
    <t>TAG Dahlia Hypnotica Red Velvet 50/50 Petite Portrait DO FUL</t>
  </si>
  <si>
    <t>0611861608050</t>
  </si>
  <si>
    <t>TAG Dahlia Hypnotica Rose Bicolor 50/50 Petite Portrait DO FUL</t>
  </si>
  <si>
    <t>0611861609050</t>
  </si>
  <si>
    <t>TAG Dahlia Hypnotica Rose Swirl 50/50 Petite Portrait DO FUL</t>
  </si>
  <si>
    <t>0611861610050</t>
  </si>
  <si>
    <t>TAG Dahlia Hypnotica Tequila Sunrise 50/50 Petite Portrait DO FUL</t>
  </si>
  <si>
    <t>0611861611050</t>
  </si>
  <si>
    <t>TAG Dahlia Hypnotica Tropical Breeze 50/50 Petite Portrait DO FUL</t>
  </si>
  <si>
    <t>0611861612050</t>
  </si>
  <si>
    <t>TAG Dahlia Hypnotica White 50/50 Petite Portrait DO FUL</t>
  </si>
  <si>
    <t>0611861613050</t>
  </si>
  <si>
    <t>TAG Dahlia Hypnotica Yellow 50/50 Petite Portrait DO FUL</t>
  </si>
  <si>
    <t>0611861614050</t>
  </si>
  <si>
    <t>TAG Dahlia Karma Amanda 50/50 Petite Portrait SF FUL</t>
  </si>
  <si>
    <t>0611861615050</t>
  </si>
  <si>
    <t>TAG Dahlia Karma Amora Bright Scarlet 50/50 Petite Portrait SF FUL</t>
  </si>
  <si>
    <t>0611861616050</t>
  </si>
  <si>
    <t>TAG Dahlia Karma Blue Lagoon 50/50 Petite Portrait SF FUL</t>
  </si>
  <si>
    <t>0611861617050</t>
  </si>
  <si>
    <t>TAG Dahlia Karma Cabernet 50/50 Petite Portrait SF FUL</t>
  </si>
  <si>
    <t>0611861618050</t>
  </si>
  <si>
    <t>TAG Dahlia Karma Corona Pink 50/50 Petite Portrait SF FUL</t>
  </si>
  <si>
    <t>0611861619050</t>
  </si>
  <si>
    <t>TAG Dahlia Karma Corona Purple 50/50 Petite Portrait SF FUL</t>
  </si>
  <si>
    <t>0611861620050</t>
  </si>
  <si>
    <t>TAG Dahlia Karma Corona Red 50/50 Petite Portrait SF FUL</t>
  </si>
  <si>
    <t>0611861621050</t>
  </si>
  <si>
    <t>TAG Dahlia Karma Corona Yellow Bronze Bicolor 50/50 Petite Portrait SF FUL</t>
  </si>
  <si>
    <t>0611861622050</t>
  </si>
  <si>
    <t>TAG Dahlia Karma Irene Red Orange 50/50 Petite Portrait SF FUL</t>
  </si>
  <si>
    <t>0611861623050</t>
  </si>
  <si>
    <t>TAG Dahlia Karma Naomi 50/50 Petite Portrait SF FUL</t>
  </si>
  <si>
    <t>0611861624050</t>
  </si>
  <si>
    <t>TAG Dahlia Karma Sangria 50/50 Petite Portrait SF FUL</t>
  </si>
  <si>
    <t>0611833691100</t>
  </si>
  <si>
    <t>TAG Dahlia Karma Series 100/100 Pixie Tag SF</t>
  </si>
  <si>
    <t>0611833692100</t>
  </si>
  <si>
    <t>TAG Dahlia LaBella Grande Series 100/100 Pixie Tag</t>
  </si>
  <si>
    <t>0611833693100</t>
  </si>
  <si>
    <t>TAG Dahlia LaBella Maggiore Series 100/100 Pixie Tag</t>
  </si>
  <si>
    <t>0611833694100</t>
  </si>
  <si>
    <t>TAG Dahlia LaBella Medio Series 100/100 Pixie Tag</t>
  </si>
  <si>
    <t>0611833695100</t>
  </si>
  <si>
    <t>TAG Dahlia LaBella Piccolo Series 100/100 Pixie Tag</t>
  </si>
  <si>
    <t>0611861625050</t>
  </si>
  <si>
    <t>TAG Dahlia MegaBoom Berry Blast 50/50 Petite Portrait DO FUL</t>
  </si>
  <si>
    <t>0611861626050</t>
  </si>
  <si>
    <t>TAG Dahlia MegaBoom Fire 50/50 Petite Portrait DO FUL</t>
  </si>
  <si>
    <t>0611861627050</t>
  </si>
  <si>
    <t>TAG Dahlia MegaBoom Orange Crush 50/50 Petite Portrait DO FUL</t>
  </si>
  <si>
    <t>0611861628050</t>
  </si>
  <si>
    <t>TAG Dahlia MegaBoom Passion Fruit 50/50 Petite Portrait DO FUL</t>
  </si>
  <si>
    <t>0611861629050</t>
  </si>
  <si>
    <t>TAG Dahlia MegaBoom Pink Lemonade 50/50 Petite Portrait DO FUL</t>
  </si>
  <si>
    <t>0611884154050</t>
  </si>
  <si>
    <t>TAG Dahlia MegaBoom Raspberry Ice 50/50 Petite Portrait DO FUL</t>
  </si>
  <si>
    <t>0611861630050</t>
  </si>
  <si>
    <t>TAG Dahlia Midalio Burgundy 50/50 Petite Portrait SF FUL</t>
  </si>
  <si>
    <t>0611861631050</t>
  </si>
  <si>
    <t>TAG Dahlia Midalio Dark Red 50/50 Petite Portrait SF FUL</t>
  </si>
  <si>
    <t>0611861632050</t>
  </si>
  <si>
    <t>TAG Dahlia Midalio Dark Rose 50/50 Petite Portrait SF FUL</t>
  </si>
  <si>
    <t>0611861633050</t>
  </si>
  <si>
    <t>TAG Dahlia Midalio Orange 50/50 Petite Portrait SF FUL</t>
  </si>
  <si>
    <t>0611861634050</t>
  </si>
  <si>
    <t>TAG Dahlia Midalio Pink 50/50 Petite Portrait SF FUL</t>
  </si>
  <si>
    <t>0611861635050</t>
  </si>
  <si>
    <t>TAG Dahlia Midalio Red 50/50 Petite Portrait SF FUL</t>
  </si>
  <si>
    <t>0611861636050</t>
  </si>
  <si>
    <t>TAG Dahlia Midalio White 50/50 Petite Portrait SF FUL</t>
  </si>
  <si>
    <t>0611861638050</t>
  </si>
  <si>
    <t>TAG Dahlia Moon Lady 50/50 Petite Portrait SF FUL</t>
  </si>
  <si>
    <t>0611833696100</t>
  </si>
  <si>
    <t>TAG Dahlia Mystic Dreamer 100/100 Pixie Tag</t>
  </si>
  <si>
    <t>0611861639050</t>
  </si>
  <si>
    <t>TAG Dahlia Mystic Dreamer 50/50 Petite Portrait FUL</t>
  </si>
  <si>
    <t>0611833697100</t>
  </si>
  <si>
    <t>TAG Dahlia Mystic Enchantment 100/100 Pixie Tag</t>
  </si>
  <si>
    <t>0611861640050</t>
  </si>
  <si>
    <t>TAG Dahlia Mystic Enchantment 50/50 Petite Portrait FUL</t>
  </si>
  <si>
    <t>0611884155100</t>
  </si>
  <si>
    <t>TAG Dahlia Mystic Flares Catch 100/100 Pixie Tag</t>
  </si>
  <si>
    <t>0611884156100</t>
  </si>
  <si>
    <t>TAG Dahlia Mystic Flares Time 100/100 Pixie Tag</t>
  </si>
  <si>
    <t>0611833699100</t>
  </si>
  <si>
    <t>TAG Dahlia Mystic Haze 100/100 Pixie Tag</t>
  </si>
  <si>
    <t>0611861641050</t>
  </si>
  <si>
    <t>TAG Dahlia Mystic Haze 50/50 Petite Portrait FUL</t>
  </si>
  <si>
    <t>0611833700100</t>
  </si>
  <si>
    <t>TAG Dahlia Mystic Illusion 100/100 Pixie Tag</t>
  </si>
  <si>
    <t>0611861642050</t>
  </si>
  <si>
    <t>TAG Dahlia Mystic Illusion 50/50 Petite Portrait FUL</t>
  </si>
  <si>
    <t>0611833702100</t>
  </si>
  <si>
    <t>TAG Dahlia Mystic Sparkler 100/100 Pixie Tag</t>
  </si>
  <si>
    <t>0611861643050</t>
  </si>
  <si>
    <t>TAG Dahlia Mystic Sparkler 50/50 Petite Portrait FUL</t>
  </si>
  <si>
    <t>0611833703100</t>
  </si>
  <si>
    <t>TAG Dahlia Mystic Spirit 100/100 Pixie Tag</t>
  </si>
  <si>
    <t>0611861644050</t>
  </si>
  <si>
    <t>TAG Dahlia Mystic Spirit 50/50 Petite Portrait FUL</t>
  </si>
  <si>
    <t>0611884157100</t>
  </si>
  <si>
    <t>TAG Dahlia Mystic Wizard 100/100 Pixie Tag</t>
  </si>
  <si>
    <t>0611833704100</t>
  </si>
  <si>
    <t>TAG Dahlia Mystic Wonder 100/100 Pixie Tag</t>
  </si>
  <si>
    <t>0611861645050</t>
  </si>
  <si>
    <t>TAG Dahlia Mystic Wonder 50/50 Petite Portrait FUL</t>
  </si>
  <si>
    <t>0611861646050</t>
  </si>
  <si>
    <t>TAG Dahlia Novation Hot Pink 50/50 Petite Portrait DO FUL</t>
  </si>
  <si>
    <t>0611861647050</t>
  </si>
  <si>
    <t>TAG Dahlia Novation Pink Bicolor 50/50 Petite Portrait DO FUL</t>
  </si>
  <si>
    <t>0611861648050</t>
  </si>
  <si>
    <t>TAG Dahlia Novation Pumpkin Spice 50/50 Petite Portrait DO FUL</t>
  </si>
  <si>
    <t>0611861649050</t>
  </si>
  <si>
    <t>TAG Dahlia Novation Red 50/50 Petite Portrait DO FUL</t>
  </si>
  <si>
    <t>0611861650050</t>
  </si>
  <si>
    <t>TAG Dahlia Novation Ruby 50/50 Petite Portrait DO FUL</t>
  </si>
  <si>
    <t>0611861651050</t>
  </si>
  <si>
    <t>TAG Dahlia Novation Salmon 50/50 Petite Portrait DO FUL</t>
  </si>
  <si>
    <t>0611861652050</t>
  </si>
  <si>
    <t>TAG Dahlia Novation White 50/50 Petite Portrait DO FUL</t>
  </si>
  <si>
    <t>0611861653050</t>
  </si>
  <si>
    <t>TAG Dahlia Novation Yellow 50/50 Petite Portrait DO FUL</t>
  </si>
  <si>
    <t>0611833705100</t>
  </si>
  <si>
    <t>TAG Dahlia Painter Series 100/100 Pixie Tag</t>
  </si>
  <si>
    <t>0611833706100</t>
  </si>
  <si>
    <t>TAG Dahlia Redskin 100/100 Pixie Tag</t>
  </si>
  <si>
    <t>0611884158050</t>
  </si>
  <si>
    <t>TAG Dahlia Revelation Pink 50/50 Petite Portrait DO FUL</t>
  </si>
  <si>
    <t>0611884159050</t>
  </si>
  <si>
    <t>TAG Dahlia Revelation Red 50/50 Petite Portrait DO FUL</t>
  </si>
  <si>
    <t>0611884160050</t>
  </si>
  <si>
    <t>TAG Dahlia Revelation Salmon Bicolor 50/50 Petite Portrait DO FUL</t>
  </si>
  <si>
    <t>0611884161050</t>
  </si>
  <si>
    <t>TAG Dahlia Revelation Soft Orange 50/50 Petite Portrait DO FUL</t>
  </si>
  <si>
    <t>0611884162050</t>
  </si>
  <si>
    <t>TAG Dahlia Revelation Yellow 50/50 Petite Portrait DO FUL</t>
  </si>
  <si>
    <t>0611861654050</t>
  </si>
  <si>
    <t>TAG Dahlia Sincerity 50/50 Petite Portrait SF FUL</t>
  </si>
  <si>
    <t>0611861655050</t>
  </si>
  <si>
    <t>TAG Dahlia Starsister Crimson Picotee 50/50 Petite Portrait FUL</t>
  </si>
  <si>
    <t>0611861656050</t>
  </si>
  <si>
    <t>TAG Dahlia Starsister Flamed Rose 50/50 Petite Portrait FUL</t>
  </si>
  <si>
    <t>0611861657050</t>
  </si>
  <si>
    <t>TAG Dahlia Starsister Pink Picotee 50/50 Petite Portrait FUL</t>
  </si>
  <si>
    <t>0611861658050</t>
  </si>
  <si>
    <t>TAG Dahlia Starsister Purple Stripes 50/50 Petite Portrait FUL</t>
  </si>
  <si>
    <t>0611861659050</t>
  </si>
  <si>
    <t>TAG Dahlia Starsister Red Stripes 50/50 Petite Portrait FUL</t>
  </si>
  <si>
    <t>0611861660050</t>
  </si>
  <si>
    <t>TAG Dahlia Starsister Red/White 50/50 Petite Portrait FUL</t>
  </si>
  <si>
    <t>0611861661050</t>
  </si>
  <si>
    <t>TAG Dahlia Starsister Rose/White 50/50 Petite Portrait FUL</t>
  </si>
  <si>
    <t>0611861662050</t>
  </si>
  <si>
    <t>TAG Dahlia Starsister Scarlet/Yellow 50/50 Petite Portrait FUL</t>
  </si>
  <si>
    <t>0611861663050</t>
  </si>
  <si>
    <t>TAG Dahlia Starsister Yellow Daffodil 50/50 Petite Portrait FUL</t>
  </si>
  <si>
    <t>0611861664050</t>
  </si>
  <si>
    <t>TAG Dahlia Starsister Yellow Stripes 50/50 Petite Portrait FUL</t>
  </si>
  <si>
    <t>0611861665050</t>
  </si>
  <si>
    <t>TAG Dahlia Temptation Orange 50/50 Petite Portrait FUL</t>
  </si>
  <si>
    <t>0611861666050</t>
  </si>
  <si>
    <t>TAG Dahlia Temptation Pink Bicolor 50/50 Petite Portrait FUL</t>
  </si>
  <si>
    <t>0611861667050</t>
  </si>
  <si>
    <t>TAG Dahlia Temptation Purple 50/50 Petite Portrait FUL</t>
  </si>
  <si>
    <t>0611861668050</t>
  </si>
  <si>
    <t>TAG Dahlia Temptation Red 50/50 Petite Portrait FUL</t>
  </si>
  <si>
    <t>0611861669050</t>
  </si>
  <si>
    <t>TAG Dahlia Temptation Red Violet 50/50 Petite Portrait FUL</t>
  </si>
  <si>
    <t>0611861670050</t>
  </si>
  <si>
    <t>TAG Dahlia Temptation Yellow 50/50 Petite Portrait FUL</t>
  </si>
  <si>
    <t>0611861671050</t>
  </si>
  <si>
    <t>TAG Dahlia XXL Alamos 50/50 Petite Portrait DO FUL</t>
  </si>
  <si>
    <t>0611861672050</t>
  </si>
  <si>
    <t>TAG Dahlia XXL Baja Sol 50/50 Petite Portrait DO FUL</t>
  </si>
  <si>
    <t>0611861673050</t>
  </si>
  <si>
    <t>TAG Dahlia XXL Cancun 50/50 Petite Portrait DO FUL</t>
  </si>
  <si>
    <t>0611861674050</t>
  </si>
  <si>
    <t>TAG Dahlia XXL Celaya 50/50 Petite Portrait DO FUL</t>
  </si>
  <si>
    <t>0611861675050</t>
  </si>
  <si>
    <t>TAG Dahlia XXL Chiapas 50/50 Petite Portrait DO FUL</t>
  </si>
  <si>
    <t>0611884163050</t>
  </si>
  <si>
    <t>TAG Dahlia XXL Cozumel 50/50 Petite Portrait DO FUL</t>
  </si>
  <si>
    <t>0611861676050</t>
  </si>
  <si>
    <t>TAG Dahlia XXL Durango 50/50 Petite Portrait DO FUL</t>
  </si>
  <si>
    <t>0611861677050</t>
  </si>
  <si>
    <t>TAG Dahlia XXL Ensenada 50/50 Petite Portrait DO FUL</t>
  </si>
  <si>
    <t>0611861678050</t>
  </si>
  <si>
    <t>TAG Dahlia XXL Grand Prismatic 50/50 Petite Portrait DO FUL</t>
  </si>
  <si>
    <t>0611861679050</t>
  </si>
  <si>
    <t>TAG Dahlia XXL Hidalgo 50/50 Petite Portrait DO FUL</t>
  </si>
  <si>
    <t>0611861680050</t>
  </si>
  <si>
    <t>TAG Dahlia XXL Juarez 50/50 Petite Portrait DO FUL</t>
  </si>
  <si>
    <t>0611861681050</t>
  </si>
  <si>
    <t>TAG Dahlia XXL Mayo 50/50 Petite Portrait DO FUL</t>
  </si>
  <si>
    <t>0611861682050</t>
  </si>
  <si>
    <t>TAG Dahlia XXL Merida 50/50 Petite Portrait DO FUL</t>
  </si>
  <si>
    <t>0611861683050</t>
  </si>
  <si>
    <t>TAG Dahlia XXL Paraiso 50/50 Petite Portrait DO FUL</t>
  </si>
  <si>
    <t>0611884164050</t>
  </si>
  <si>
    <t>TAG Dahlia XXL Sunrise 50/50 Petite Portrait DO FUL</t>
  </si>
  <si>
    <t>0611861684050</t>
  </si>
  <si>
    <t>TAG Dahlia XXL Sunset 50/50 Petite Portrait DO FUL</t>
  </si>
  <si>
    <t>0611861685050</t>
  </si>
  <si>
    <t>TAG Dahlia XXL Tabasco 50/50 Petite Portrait DO FUL</t>
  </si>
  <si>
    <t>0611861686050</t>
  </si>
  <si>
    <t>TAG Dahlia XXL Taxco Dahlia 50/50 Petite Portrait DO FUL</t>
  </si>
  <si>
    <t>0611861687050</t>
  </si>
  <si>
    <t>TAG Dahlia XXL Vallarta 50/50 Petite Portrait DO FUL</t>
  </si>
  <si>
    <t>0611861688050</t>
  </si>
  <si>
    <t>TAG Dahlia XXL Veracruz 50/50 Petite Portrait DO FUL</t>
  </si>
  <si>
    <t>0611861689100</t>
  </si>
  <si>
    <t>TAG Dahlia Yellow Shades 100/100 Pixie Tag</t>
  </si>
  <si>
    <t>0611834086100</t>
  </si>
  <si>
    <t>TAG Daisy African GENERIC 100/100 Pixie Tag</t>
  </si>
  <si>
    <t>0611833708100</t>
  </si>
  <si>
    <t>TAG Datura Ballerina Purple 100/100 Pixie Tag</t>
  </si>
  <si>
    <t>0611833709100</t>
  </si>
  <si>
    <t>TAG Datura Ballerina White 100/100 Pixie Tag</t>
  </si>
  <si>
    <t>0611833710100</t>
  </si>
  <si>
    <t>TAG Datura Ballerina Yellow 100/100 Pixie Tag</t>
  </si>
  <si>
    <t>0611833711100</t>
  </si>
  <si>
    <t>TAG Datura Belle Blanche 100/100 Pixie Tag</t>
  </si>
  <si>
    <t>0611833713100</t>
  </si>
  <si>
    <t>TAG Datura Double Purple GENERIC 100/100 Pixie Tag</t>
  </si>
  <si>
    <t>0611833714100</t>
  </si>
  <si>
    <t>TAG Datura Double Yellow GENERIC 100/100 Pixie Tag</t>
  </si>
  <si>
    <t>0611833712100</t>
  </si>
  <si>
    <t>TAG Datura GENERIC 100/100 Pixie Tag</t>
  </si>
  <si>
    <t>0611833715100</t>
  </si>
  <si>
    <t>TAG Datura White GENERIC 100/100 Pixie Tag</t>
  </si>
  <si>
    <t>0611833720025</t>
  </si>
  <si>
    <t>TAG Delosperma Congestum 25/25 Portrait Tag</t>
  </si>
  <si>
    <t>0611861690100</t>
  </si>
  <si>
    <t>TAG Delosperma Cooperi 100/100 Pixie Tag FUL</t>
  </si>
  <si>
    <t>0611833721025</t>
  </si>
  <si>
    <t>TAG Delosperma Cooperi 25/25 Portrait Tag</t>
  </si>
  <si>
    <t>0611833722025</t>
  </si>
  <si>
    <t>TAG Delosperma Delmara Fuchsia 25/25 Portrait Tag</t>
  </si>
  <si>
    <t>0611833723025</t>
  </si>
  <si>
    <t>TAG Delosperma Delmara Orange 25/25 Portrait Tag</t>
  </si>
  <si>
    <t>0611833724025</t>
  </si>
  <si>
    <t>TAG Delosperma Delmara Pink 25/25 Portrait Tag</t>
  </si>
  <si>
    <t>0611833725025</t>
  </si>
  <si>
    <t>TAG Delosperma Delmara Pink Halo 25/25 Portrait Tag</t>
  </si>
  <si>
    <t>0611884165025</t>
  </si>
  <si>
    <t>TAG Delosperma Delmara Pink Red Gold 25/25 Portrait Tag</t>
  </si>
  <si>
    <t>0611884166025</t>
  </si>
  <si>
    <t>TAG Delosperma Delmara Pink Silver 25/25 Portrait Tag</t>
  </si>
  <si>
    <t>0611833726025</t>
  </si>
  <si>
    <t>TAG Delosperma Delmara Red 25/25 Portrait Tag</t>
  </si>
  <si>
    <t>0611856881025</t>
  </si>
  <si>
    <t>TAG Delosperma Delmara White 25/25 Portrait Tag</t>
  </si>
  <si>
    <t>0611833727025</t>
  </si>
  <si>
    <t>TAG Delosperma Delmara Yellow 25/25 Portrait Tag</t>
  </si>
  <si>
    <t>0611833728025</t>
  </si>
  <si>
    <t>TAG Delosperma Early Bird Pink Cooperi 25/25 Portrait Tag</t>
  </si>
  <si>
    <t>0611833729025</t>
  </si>
  <si>
    <t>TAG Delosperma Early Bird Purple Cooperi 25/25 Portrait Tag</t>
  </si>
  <si>
    <t>0611833730100</t>
  </si>
  <si>
    <t>TAG Delosperma Floribunda 100/100 Pixie Tag</t>
  </si>
  <si>
    <t>0611833732025</t>
  </si>
  <si>
    <t>TAG Delosperma Ice Plant GENERIC 25/25 Portrait Tag</t>
  </si>
  <si>
    <t>0611884167025</t>
  </si>
  <si>
    <t>TAG Delosperma Jewel Of Desert Amethyst 25/25 Portrait Tag</t>
  </si>
  <si>
    <t>0611861691100</t>
  </si>
  <si>
    <t>TAG Delosperma Jewel Of Desert Amthyst 100/100 Pixie Tag FUL</t>
  </si>
  <si>
    <t>0611861692100</t>
  </si>
  <si>
    <t>TAG Delosperma Jewel Of Desert Garnet 100/100 Pixie Tag FUL</t>
  </si>
  <si>
    <t>0611884168025</t>
  </si>
  <si>
    <t>TAG Delosperma Jewel Of Desert Garnet 25/25 Portrait Tag</t>
  </si>
  <si>
    <t>0611861693100</t>
  </si>
  <si>
    <t>TAG Delosperma Jewel Of Desert Grenade 100/100 Pixie Tag FUL</t>
  </si>
  <si>
    <t>0611884169025</t>
  </si>
  <si>
    <t>TAG Delosperma Jewel Of Desert Grenade 25/25 Portrait Tag</t>
  </si>
  <si>
    <t>0611861694050</t>
  </si>
  <si>
    <t>TAG Delosperma Jewel Of Desert Grenade 50/50 Petite Portrait</t>
  </si>
  <si>
    <t>0611861695100</t>
  </si>
  <si>
    <t>TAG Delosperma Jewel Of Desert Moonstone 100/100 Pixie Tag FUL</t>
  </si>
  <si>
    <t>0611884170025</t>
  </si>
  <si>
    <t>TAG Delosperma Jewel Of Desert Moonstone 25/25 Portrait Tag</t>
  </si>
  <si>
    <t>0611861696100</t>
  </si>
  <si>
    <t>TAG Delosperma Jewel Of Desert Opal 100/100 Pixie Tag FUL</t>
  </si>
  <si>
    <t>0611884171025</t>
  </si>
  <si>
    <t>TAG Delosperma Jewel Of Desert Opal 25/25 Portrait Tag</t>
  </si>
  <si>
    <t>0611861697100</t>
  </si>
  <si>
    <t>TAG Delosperma Jewel Of Desert Peridot 100/100 Pixie Tag FUL</t>
  </si>
  <si>
    <t>0611884172025</t>
  </si>
  <si>
    <t>TAG Delosperma Jewel Of Desert Peridot 25/25 Portrait Tag</t>
  </si>
  <si>
    <t>0611861698100</t>
  </si>
  <si>
    <t>TAG Delosperma Jewel Of Desert Rosequartz 100/100 Pixie Tag FUL</t>
  </si>
  <si>
    <t>0611884173025</t>
  </si>
  <si>
    <t>TAG Delosperma Jewel Of Desert Rosequartz 25/25 Portrait Tag</t>
  </si>
  <si>
    <t>0611861699050</t>
  </si>
  <si>
    <t>TAG Delosperma Jewel Of Desert Rosequartz Limited Availability 50/50 Petite Portrait</t>
  </si>
  <si>
    <t>0611861700100</t>
  </si>
  <si>
    <t>TAG Delosperma Jewel Of Desert Ruby 100/100 Pixie Tag FUL</t>
  </si>
  <si>
    <t>0611884174025</t>
  </si>
  <si>
    <t>TAG Delosperma Jewel Of Desert Ruby 25/25 Portrait Tag</t>
  </si>
  <si>
    <t>0611861701050</t>
  </si>
  <si>
    <t>TAG Delosperma Jewel Of Desert Ruby Limited Availability 50/50 Petite Portrait</t>
  </si>
  <si>
    <t>0611884175100</t>
  </si>
  <si>
    <t>TAG Delosperma Jewel Of Desert Series 100/100 Pixie Tag</t>
  </si>
  <si>
    <t>0611861702100</t>
  </si>
  <si>
    <t>TAG Delosperma Jewel Of Desert Topaz 100/100 Pixie Tag FUL</t>
  </si>
  <si>
    <t>0611884176025</t>
  </si>
  <si>
    <t>TAG Delosperma Jewel Of Desert Topaz 25/25 Portrait Tag</t>
  </si>
  <si>
    <t>0611856882025</t>
  </si>
  <si>
    <t>TAG Delosperma Mountain Dew 25/25 Portrait Tag</t>
  </si>
  <si>
    <t>0611833733100</t>
  </si>
  <si>
    <t>TAG Delosperma Nubigenum 100/100 Pixie Tag</t>
  </si>
  <si>
    <t>0611833734025</t>
  </si>
  <si>
    <t>TAG Delosperma Nubigenum 25/25 Portrait Tag</t>
  </si>
  <si>
    <t>0611833735025</t>
  </si>
  <si>
    <t>TAG Delosperma Ocean Sunset Orange Glow 25/25 Portrait Tag</t>
  </si>
  <si>
    <t>0611833736025</t>
  </si>
  <si>
    <t>TAG Delosperma Ocean Sunset Orange Vibe 25/25 Portrait Tag</t>
  </si>
  <si>
    <t>0611833737025</t>
  </si>
  <si>
    <t>TAG Delosperma Ocean Sunset Violet 25/25 Portrait Tag</t>
  </si>
  <si>
    <t>0611856883025</t>
  </si>
  <si>
    <t>TAG Delosperma Orange Crush 25/25 Portrait Tag</t>
  </si>
  <si>
    <t>0611884177100</t>
  </si>
  <si>
    <t>TAG Delosperma Pickle Plant Generic 100/100 Pixie Tag</t>
  </si>
  <si>
    <t>0611861703100</t>
  </si>
  <si>
    <t>TAG Delosperma Rock Crystal Neon Orange 100/100 Pixie Tag FUL</t>
  </si>
  <si>
    <t>0611861704100</t>
  </si>
  <si>
    <t>TAG Delosperma Rock Crystal Neon Red 100/100 Pixie Tag FUL</t>
  </si>
  <si>
    <t>0611861707100</t>
  </si>
  <si>
    <t>TAG Delosperma Rock Crystal Pink Limited Availability 100/100 Pixie Tag</t>
  </si>
  <si>
    <t>0611861708050</t>
  </si>
  <si>
    <t>TAG Delosperma Rock Crystal Pink Limited Availability 50/50 Petite Portrait</t>
  </si>
  <si>
    <t>0611861709100</t>
  </si>
  <si>
    <t>TAG Delosperma Rock Crystal Purple 100/100 Pixie Tag FUL</t>
  </si>
  <si>
    <t>0611861711100</t>
  </si>
  <si>
    <t>TAG Delosperma Rock Crystal Red Limited Availability 100/100 Pixie Tag</t>
  </si>
  <si>
    <t>0611861712050</t>
  </si>
  <si>
    <t>TAG Delosperma Rock Crystal Red Limited Availability 50/50 Petite Portrait</t>
  </si>
  <si>
    <t>0611861713100</t>
  </si>
  <si>
    <t>TAG Delosperma Rock Crystal White 100/100 Pixie Tag FUL</t>
  </si>
  <si>
    <t>0611861714100</t>
  </si>
  <si>
    <t>TAG Delosperma Rock Crystal Yellow 100/100 Pixie Tag FUL</t>
  </si>
  <si>
    <t>0611856884025</t>
  </si>
  <si>
    <t>TAG Delosperma Sandgem Ember 25/25 Portrait Tag</t>
  </si>
  <si>
    <t>0611856885025</t>
  </si>
  <si>
    <t>TAG Delosperma Sandgem Gold 25/25 Portrait Tag</t>
  </si>
  <si>
    <t>0611861715100</t>
  </si>
  <si>
    <t>TAG Delosperma Solstice Pink 100/100 Pixie Tag FUL</t>
  </si>
  <si>
    <t>0611861717100</t>
  </si>
  <si>
    <t>TAG Delosperma Solstice Red 100/100 Pixie Tag FUL</t>
  </si>
  <si>
    <t>0611861719050</t>
  </si>
  <si>
    <t>TAG Delosperma Solstice Rose 50/50 Petite Portrait FUL</t>
  </si>
  <si>
    <t>0611861720100</t>
  </si>
  <si>
    <t>TAG Delosperma Solstice Yellow 22 Limited Availability 100/100 Pixie Tag</t>
  </si>
  <si>
    <t>0611861721050</t>
  </si>
  <si>
    <t>TAG Delosperma Solstice Yellow Limited Availability 50/50 Petite Portrait</t>
  </si>
  <si>
    <t>0611861722100</t>
  </si>
  <si>
    <t>TAG Delosperma Wheels Of Wonder Fire 100/100 Pixie Tag FUL</t>
  </si>
  <si>
    <t>0611861723050</t>
  </si>
  <si>
    <t>TAG Delosperma Wheels Of Wonder Fire Limited Availability 50/50 Petite Portrait</t>
  </si>
  <si>
    <t>0611856886025</t>
  </si>
  <si>
    <t>TAG Delosperma Wheels Of Wonder Fire Wonder 25/25 Portrait Tag</t>
  </si>
  <si>
    <t>0611861724100</t>
  </si>
  <si>
    <t>TAG Delosperma Wheels Of Wonder Golden Wonder 100/100 Pixie Tag FUL</t>
  </si>
  <si>
    <t>0611856887025</t>
  </si>
  <si>
    <t>TAG Delosperma Wheels Of Wonder Golden Wonder 25/25 Portrait Tag</t>
  </si>
  <si>
    <t>0611861725100</t>
  </si>
  <si>
    <t>TAG Delosperma Wheels Of Wonder Hot Orange 100/100 Pixie Tag FUL</t>
  </si>
  <si>
    <t>0611856888025</t>
  </si>
  <si>
    <t>TAG Delosperma Wheels Of Wonder Hot Orange 25/25 Portrait Tag</t>
  </si>
  <si>
    <t>0611861726100</t>
  </si>
  <si>
    <t>TAG Delosperma Wheels Of Wonder Hot Pink 100/100 Pixie Tag FUL</t>
  </si>
  <si>
    <t>0611856889025</t>
  </si>
  <si>
    <t>TAG Delosperma Wheels Of Wonder Hot Pink Wonder 25/25 Portrait Tag</t>
  </si>
  <si>
    <t>0611861727100</t>
  </si>
  <si>
    <t>TAG Delosperma Wheels Of Wonder Hot Red 100/100 Pixie Tag FUL</t>
  </si>
  <si>
    <t>0611856890025</t>
  </si>
  <si>
    <t>TAG Delosperma Wheels Of Wonder Hot Red 25/25 Portrait Tag</t>
  </si>
  <si>
    <t>0611861728100</t>
  </si>
  <si>
    <t>TAG Delosperma Wheels Of Wonder Limoncello 100/100 Pixie Tag FUL</t>
  </si>
  <si>
    <t>0611856891025</t>
  </si>
  <si>
    <t>TAG Delosperma Wheels Of Wonder Limoncello 25/25 Portrait Tag</t>
  </si>
  <si>
    <t>0611861729100</t>
  </si>
  <si>
    <t>TAG Delosperma Wheels Of Wonder Orange 100/100 Pixie Tag FUL</t>
  </si>
  <si>
    <t>0611856892025</t>
  </si>
  <si>
    <t>TAG Delosperma Wheels Of Wonder Orange Wonder 25/25 Portrait Tag</t>
  </si>
  <si>
    <t>0611861730100</t>
  </si>
  <si>
    <t>TAG Delosperma Wheels Of Wonder Purple 100/100 Pixie Tag FUL</t>
  </si>
  <si>
    <t>0611861731100</t>
  </si>
  <si>
    <t>TAG Delosperma Wheels Of Wonder Salmony 100/100 Pixie Tag FUL</t>
  </si>
  <si>
    <t>0611856893025</t>
  </si>
  <si>
    <t>TAG Delosperma Wheels Of Wonder Salmony Pink 25/25 Portrait Tag</t>
  </si>
  <si>
    <t>0611861732100</t>
  </si>
  <si>
    <t>TAG Delosperma Wheels Of Wonder Violet 100/100 Pixie Tag FUL</t>
  </si>
  <si>
    <t>0611856894025</t>
  </si>
  <si>
    <t>TAG Delosperma Wheels Of Wonder Violet Wonder 25/25 Portrait Tag</t>
  </si>
  <si>
    <t>0611861733100</t>
  </si>
  <si>
    <t>TAG Delosperma Wheels Of Wonder White Limited Availability 100/100 Pixie Tag FUL</t>
  </si>
  <si>
    <t>0611861734050</t>
  </si>
  <si>
    <t>TAG Delosperma Wheels Of Wonder White Limited Availability 50/50 Petite Portrait</t>
  </si>
  <si>
    <t>0611833738100</t>
  </si>
  <si>
    <t>TAG Delphinium Astolat 100/100 Pixie Tag</t>
  </si>
  <si>
    <t>0611833739025</t>
  </si>
  <si>
    <t>TAG Delphinium Astolat 25/25 Portrait Tag</t>
  </si>
  <si>
    <t>0611833741025</t>
  </si>
  <si>
    <t>TAG Delphinium Aurora Blue 25/25 Portrait Tag</t>
  </si>
  <si>
    <t>0611833742025</t>
  </si>
  <si>
    <t>TAG Delphinium Aurora Deep Purple 25/25 Portrait Tag</t>
  </si>
  <si>
    <t>0611833744025</t>
  </si>
  <si>
    <t>TAG Delphinium Aurora Lavender 25/25 Portrait Tag</t>
  </si>
  <si>
    <t>0611833746025</t>
  </si>
  <si>
    <t>TAG Delphinium Aurora Light Blue 25/25 Portrait Tag</t>
  </si>
  <si>
    <t>0611833747025</t>
  </si>
  <si>
    <t>TAG Delphinium Aurora Light Purple 25/25 Portrait Tag</t>
  </si>
  <si>
    <t>0611833749025</t>
  </si>
  <si>
    <t>TAG Delphinium Bellamosum X Belladonna 25/25 Portrait Tag</t>
  </si>
  <si>
    <t>0611833752100</t>
  </si>
  <si>
    <t>TAG Delphinium Black Knight 100/100 Pixie Tag</t>
  </si>
  <si>
    <t>0611833753025</t>
  </si>
  <si>
    <t>TAG Delphinium Black Knight 25/25 Portrait Tag</t>
  </si>
  <si>
    <t>0611833754100</t>
  </si>
  <si>
    <t>TAG Delphinium Blue Bird 100/100 Pixie Tag</t>
  </si>
  <si>
    <t>0611833755025</t>
  </si>
  <si>
    <t>TAG Delphinium Blue Bird 25/25 Portrait Tag</t>
  </si>
  <si>
    <t>0611833756025</t>
  </si>
  <si>
    <t>TAG Delphinium Blue Butterfly 25/25 Portrait Tag</t>
  </si>
  <si>
    <t>0611833750100</t>
  </si>
  <si>
    <t>TAG Delphinium Blue Butterfly Grandiflorum 100/100 Pixie Tag</t>
  </si>
  <si>
    <t>0611833757100</t>
  </si>
  <si>
    <t>TAG Delphinium Blue Jay 100/100 Pixie Tag</t>
  </si>
  <si>
    <t>0611833751025</t>
  </si>
  <si>
    <t>TAG Delphinium Blue Mirror Grandiflorum 25/25 Portrait Tag</t>
  </si>
  <si>
    <t>0611833758025</t>
  </si>
  <si>
    <t>TAG Delphinium Cheer Blue Grandiflorum 25/25 Portrait Tag</t>
  </si>
  <si>
    <t>0611833759100</t>
  </si>
  <si>
    <t>TAG Delphinium Connecticut Yankee 100/100 Pixie Tag</t>
  </si>
  <si>
    <t>0611833760025</t>
  </si>
  <si>
    <t>TAG Delphinium Dasante Blue 25/25 Portrait Tag</t>
  </si>
  <si>
    <t>0611833763025</t>
  </si>
  <si>
    <t>TAG Delphinium Delphina Dark Blue Black Bee 25/25 Portrait Tag SF</t>
  </si>
  <si>
    <t>0611833762025</t>
  </si>
  <si>
    <t>TAG Delphinium Delphina Dark Blue White Bee 25/25 Portrait Tag SF</t>
  </si>
  <si>
    <t>0611833764025</t>
  </si>
  <si>
    <t>TAG Delphinium Delphina Light Blue White Bee 25/25 Portrait Tag SF</t>
  </si>
  <si>
    <t>0611856895025</t>
  </si>
  <si>
    <t>TAG Delphinium Delphina Pink White Bee 25/25 Portrait Tag SF</t>
  </si>
  <si>
    <t>0611833765025</t>
  </si>
  <si>
    <t>TAG Delphinium Delphina Rose White Bee 25/25 Portrait Tag SF</t>
  </si>
  <si>
    <t>0611856896025</t>
  </si>
  <si>
    <t>TAG Delphinium Delphina White Black Bee 25/25 Portrait Tag SF</t>
  </si>
  <si>
    <t>0611833766025</t>
  </si>
  <si>
    <t>TAG Delphinium Diamonds Blue 25/25 Portrait Tag</t>
  </si>
  <si>
    <t>0611833767100</t>
  </si>
  <si>
    <t>TAG Delphinium Galahad 100/100 Pixie Tag</t>
  </si>
  <si>
    <t>0611833768025</t>
  </si>
  <si>
    <t>TAG Delphinium Galahad 25/25 Portrait Tag</t>
  </si>
  <si>
    <t>0611833769025</t>
  </si>
  <si>
    <t>TAG Delphinium GENERIC Grandiflorum 25/25 Portrait Tag</t>
  </si>
  <si>
    <t>0611833770025</t>
  </si>
  <si>
    <t>TAG Delphinium Guardian Blue 25/25 Portrait Tag</t>
  </si>
  <si>
    <t>0611833771025</t>
  </si>
  <si>
    <t>TAG Delphinium Guardian Lavender 25/25 Portrait Tag</t>
  </si>
  <si>
    <t>0611833772025</t>
  </si>
  <si>
    <t>TAG Delphinium Guardian Series 25/25 Portrait Tag</t>
  </si>
  <si>
    <t>0611833773025</t>
  </si>
  <si>
    <t>TAG Delphinium Guardian White 25/25 Portrait Tag</t>
  </si>
  <si>
    <t>0611833775025</t>
  </si>
  <si>
    <t>TAG Delphinium Guinevere 25/25 Portrait Tag</t>
  </si>
  <si>
    <t>0611884178025</t>
  </si>
  <si>
    <t>TAG Delphinium Hunky Dory Series 25/25 Portrait Tag</t>
  </si>
  <si>
    <t>0611833776100</t>
  </si>
  <si>
    <t>TAG Delphinium Jenny╞s Pearl Pink 100/100 Pixie Tag</t>
  </si>
  <si>
    <t>0611833777100</t>
  </si>
  <si>
    <t>TAG Delphinium Jenny's Pearl Bl 100/100 Pixie Tag</t>
  </si>
  <si>
    <t>0611833779025</t>
  </si>
  <si>
    <t>TAG Delphinium King Arthur 25/25 Portrait Tag</t>
  </si>
  <si>
    <t>0611833782025</t>
  </si>
  <si>
    <t>TAG Delphinium Magic Fountains Cherry Blossom 25/25 Portrait Tag</t>
  </si>
  <si>
    <t>0611833783025</t>
  </si>
  <si>
    <t>TAG Delphinium Magic Fountains Crystal Mix 25/25 Portrait Tag</t>
  </si>
  <si>
    <t>0611833780025</t>
  </si>
  <si>
    <t>TAG Delphinium Magic Fountains Dark Blue Dark Bee 25/25 Portrait Tag</t>
  </si>
  <si>
    <t>0611833781025</t>
  </si>
  <si>
    <t>TAG Delphinium Magic Fountains Dark Blue White Bee 25/25 Portrait Tag</t>
  </si>
  <si>
    <t>0611833784025</t>
  </si>
  <si>
    <t>TAG Delphinium Magic Fountains Lavender White Bee 25/25 Portrait Tag</t>
  </si>
  <si>
    <t>0611833786025</t>
  </si>
  <si>
    <t>TAG Delphinium Magic Fountains Lilac Pink 25/25 Portrait Tag</t>
  </si>
  <si>
    <t>0611833791025</t>
  </si>
  <si>
    <t>TAG Delphinium Magic Fountains Mid Blue White Bee 25/25 Portrait Tag</t>
  </si>
  <si>
    <t>0611833787025</t>
  </si>
  <si>
    <t>TAG Delphinium Magic Fountains Pure White 25/25 Portrait Tag</t>
  </si>
  <si>
    <t>0611833788100</t>
  </si>
  <si>
    <t>TAG Delphinium Magic Fountains Series 100/100 Pixie Tag</t>
  </si>
  <si>
    <t>0611833789025</t>
  </si>
  <si>
    <t>TAG Delphinium Magic Fountains Series 25/25 Portrait Tag</t>
  </si>
  <si>
    <t>0611833790025</t>
  </si>
  <si>
    <t>TAG Delphinium Magic Fountains Sky Blue 25/25 Portrait Tag</t>
  </si>
  <si>
    <t>0611833785025</t>
  </si>
  <si>
    <t>TAG Delphinium Magic Fountains White Dark Bee 25/25 Portrait Tag</t>
  </si>
  <si>
    <t>0611833792025</t>
  </si>
  <si>
    <t>TAG Delphinium Mix GENERIC 25/25 Portrait Tag</t>
  </si>
  <si>
    <t>0611833793100</t>
  </si>
  <si>
    <t>TAG Delphinium Pacific Giants Mix 100/100 Pixie Tag</t>
  </si>
  <si>
    <t>0611856897025</t>
  </si>
  <si>
    <t>TAG Delphinium Red Lark 25/25 Portrait Tag</t>
  </si>
  <si>
    <t>0611833800025</t>
  </si>
  <si>
    <t>TAG Delphinium Summer Blues Grandiflorum 25/25 Portrait Tag</t>
  </si>
  <si>
    <t>0611833801025</t>
  </si>
  <si>
    <t>TAG Delphinium Summer Cloud Grandiflorum 25/25 Portrait Tag</t>
  </si>
  <si>
    <t>0611833802025</t>
  </si>
  <si>
    <t>TAG Delphinium Summer Colors Mix 25/25 Portrait Tag</t>
  </si>
  <si>
    <t>0611833798025</t>
  </si>
  <si>
    <t>TAG Delphinium Summer Morning Grandiflorum 25/25 Portrait Tag</t>
  </si>
  <si>
    <t>0611833799025</t>
  </si>
  <si>
    <t>TAG Delphinium Summer Nights Grandiflorum 25/25 Portrait Tag</t>
  </si>
  <si>
    <t>0611833804025</t>
  </si>
  <si>
    <t>TAG Delphinium Summer Skies 25/25 Portrait Tag</t>
  </si>
  <si>
    <t>0611833805100</t>
  </si>
  <si>
    <t>TAG Delphinium Summer Stars Grandiflorum 100/100 Pixie Tag</t>
  </si>
  <si>
    <t>0611833806025</t>
  </si>
  <si>
    <t>TAG Deschampsia Caespitosa 25/25 Portrait Tag</t>
  </si>
  <si>
    <t>0611833807100</t>
  </si>
  <si>
    <t>TAG Dianthus Amazon Neon Cherry 100/100 Pixie Tag</t>
  </si>
  <si>
    <t>0611833808100</t>
  </si>
  <si>
    <t>TAG Dianthus Amazon Neon Duo 100/100 Pixie Tag</t>
  </si>
  <si>
    <t>0611833809100</t>
  </si>
  <si>
    <t>TAG Dianthus Amazon Neon Purple 100/100 Pixie Tag</t>
  </si>
  <si>
    <t>0611833810100</t>
  </si>
  <si>
    <t>TAG Dianthus Amazon Rose Magic 100/100 Pixie Tag</t>
  </si>
  <si>
    <t>0611833811025</t>
  </si>
  <si>
    <t>TAG Dianthus Angel Of Charm Scent From Heaven 25/25 Portrait Tag</t>
  </si>
  <si>
    <t>0611833812025</t>
  </si>
  <si>
    <t>TAG Dianthus Angel Of Compassion Scent From Heaven 25/25 Portrait Tag</t>
  </si>
  <si>
    <t>0611833813025</t>
  </si>
  <si>
    <t>TAG Dianthus Angel Of Desire Scent From Heaven 25/25 Portrait Tag</t>
  </si>
  <si>
    <t>0611833814025</t>
  </si>
  <si>
    <t>TAG Dianthus Angel Of Enlightenment Scent From Heaven 25/25 Portrait Tag</t>
  </si>
  <si>
    <t>0611833815025</t>
  </si>
  <si>
    <t>TAG Dianthus Angel Of Forgivness Scent From Heaven 25/25 Portrait Tag</t>
  </si>
  <si>
    <t>0611833817025</t>
  </si>
  <si>
    <t>TAG Dianthus Angel Of Harmony Scent From Heaven 25/25 Portrait Tag</t>
  </si>
  <si>
    <t>0611833816025</t>
  </si>
  <si>
    <t>TAG Dianthus Angel Of Hope Scent From Heaven 25/25 Portrait Tag</t>
  </si>
  <si>
    <t>0611833818025</t>
  </si>
  <si>
    <t>TAG Dianthus Angel Of Joy Scent From Heaven 25/25 Portrait Tag</t>
  </si>
  <si>
    <t>0611833819025</t>
  </si>
  <si>
    <t>TAG Dianthus Angel Of Peace Scent From Heaven 25/25 Portrait Tag</t>
  </si>
  <si>
    <t>0611833820025</t>
  </si>
  <si>
    <t>TAG Dianthus Angel Of Purity Scent From Heaven 25/25 Portrait Tag</t>
  </si>
  <si>
    <t>0611833821025</t>
  </si>
  <si>
    <t>TAG Dianthus Angel Of Virtue Scent From Heaven 25/25 Portrait Tag</t>
  </si>
  <si>
    <t>0611861735100</t>
  </si>
  <si>
    <t>TAG Dianthus Arabella Pink 100/100 Pixie Tag FUL</t>
  </si>
  <si>
    <t>0611861736100</t>
  </si>
  <si>
    <t>TAG Dianthus Arabella Purple 100/100 Pixie Tag FUL</t>
  </si>
  <si>
    <t>0611861737100</t>
  </si>
  <si>
    <t>TAG Dianthus Arabella White 100/100 Pixie Tag FUL</t>
  </si>
  <si>
    <t>0611833822100</t>
  </si>
  <si>
    <t>TAG Dianthus Arctic Fire Deltoides 100/100 Pixie Tag</t>
  </si>
  <si>
    <t>0611833823025</t>
  </si>
  <si>
    <t>TAG Dianthus Arctic Fire Deltoides 25/25 Portrait Tag</t>
  </si>
  <si>
    <t>0611861738100</t>
  </si>
  <si>
    <t>TAG Dianthus Bacco 100/100 Pixie Tag FUL</t>
  </si>
  <si>
    <t>0611833824025</t>
  </si>
  <si>
    <t>TAG Dianthus Barbarini Mix 25/25 Portrait Tag SF</t>
  </si>
  <si>
    <t>0611833826025</t>
  </si>
  <si>
    <t>TAG Dianthus Barbarini Purple 25/25 Portrait Tag SF</t>
  </si>
  <si>
    <t>0611833827025</t>
  </si>
  <si>
    <t>TAG Dianthus Barbarini Purple Bicolor 25/25 Portrait Tag SF</t>
  </si>
  <si>
    <t>0611833825025</t>
  </si>
  <si>
    <t>TAG Dianthus Barbarini Purple Picotee 25/25 Portrait Tag SF</t>
  </si>
  <si>
    <t>0611833828025</t>
  </si>
  <si>
    <t>TAG Dianthus Barbarini Red 25/25 Portrait Tag SF</t>
  </si>
  <si>
    <t>0611833829025</t>
  </si>
  <si>
    <t>TAG Dianthus Barbarini Red Picotee 25/25 Portrait Tag SF</t>
  </si>
  <si>
    <t>0611833830025</t>
  </si>
  <si>
    <t>TAG Dianthus Barbarini Rose 25/25 Portrait Tag SF</t>
  </si>
  <si>
    <t>0611833831025</t>
  </si>
  <si>
    <t>TAG Dianthus Barbarini Salmon 25/25 Portrait Tag SF</t>
  </si>
  <si>
    <t>0611833832025</t>
  </si>
  <si>
    <t>TAG Dianthus Barbarini Series 25/25 Portrait Tag SF</t>
  </si>
  <si>
    <t>0611833833025</t>
  </si>
  <si>
    <t>TAG Dianthus Baths Pink 25/25 Portrait Tag</t>
  </si>
  <si>
    <t>0611861739100</t>
  </si>
  <si>
    <t>TAG Dianthus Beauties Annabelle 100/100 Pixie Tag FUL</t>
  </si>
  <si>
    <t>0611861740050</t>
  </si>
  <si>
    <t>TAG Dianthus Beauties Gisele 50/50 Petite Portrait FUL</t>
  </si>
  <si>
    <t>0611861741100</t>
  </si>
  <si>
    <t>TAG Dianthus Beauties Kahori 100/100 Pixie Tag FUL</t>
  </si>
  <si>
    <t>0611861742050</t>
  </si>
  <si>
    <t>TAG Dianthus Beauties Kahori Limited Availability 50/50 Petite Portrait</t>
  </si>
  <si>
    <t>0611861743100</t>
  </si>
  <si>
    <t>TAG Dianthus Beauties Kahori Pink 100/100 Pixie Tag FUL</t>
  </si>
  <si>
    <t>0611861744050</t>
  </si>
  <si>
    <t>TAG Dianthus Beauties Kahori Pink 50/50 Petite Portrait FUL</t>
  </si>
  <si>
    <t>0611861745100</t>
  </si>
  <si>
    <t>TAG Dianthus Beauties Kahori Scarlet 100/100 Pixie Tag FUL</t>
  </si>
  <si>
    <t>0611861746100</t>
  </si>
  <si>
    <t>TAG Dianthus Beauties Kate 100/100 Pixie Tag FUL</t>
  </si>
  <si>
    <t>0611861747050</t>
  </si>
  <si>
    <t>TAG Dianthus Beauties Kate Limited Availability 50/50 Petite Portrait</t>
  </si>
  <si>
    <t>0611861748100</t>
  </si>
  <si>
    <t>TAG Dianthus Beauties Melinda 100/100 Pixie Tag FUL</t>
  </si>
  <si>
    <t>0611856898025</t>
  </si>
  <si>
    <t>TAG Dianthus Beauties Melinda 25/25 Portrait Tag</t>
  </si>
  <si>
    <t>0611861749100</t>
  </si>
  <si>
    <t>TAG Dianthus Beauties Rebecca 100/100 Pixie Tag FUL</t>
  </si>
  <si>
    <t>0611856899025</t>
  </si>
  <si>
    <t>TAG Dianthus Beauties Rebecca 25/25 Portrait Tag</t>
  </si>
  <si>
    <t>0611861750050</t>
  </si>
  <si>
    <t>TAG Dianthus Beauties Sasha 50/50 Petite Portrait FUL</t>
  </si>
  <si>
    <t>0611861751100</t>
  </si>
  <si>
    <t>TAG Dianthus Beauties Tiiu 100/100 Pixie Tag FUL</t>
  </si>
  <si>
    <t>0611856900025</t>
  </si>
  <si>
    <t>TAG Dianthus Beauties Tiiu 25/25 Portrait Tag</t>
  </si>
  <si>
    <t>0611861752100</t>
  </si>
  <si>
    <t>TAG Dianthus Beauties Tyra 100/100 Pixie Tag FUL</t>
  </si>
  <si>
    <t>0611856901025</t>
  </si>
  <si>
    <t>TAG Dianthus Beauties Tyra 25/25 Portrait Tag</t>
  </si>
  <si>
    <t>0611861753100</t>
  </si>
  <si>
    <t>TAG Dianthus Beauties Vida 100/100 Pixie Tag FUL</t>
  </si>
  <si>
    <t>0611856902025</t>
  </si>
  <si>
    <t>TAG Dianthus Beauties Vida 25/25 Portrait Tag</t>
  </si>
  <si>
    <t>0611861754050</t>
  </si>
  <si>
    <t>TAG Dianthus Beauties Yfke 50/50 Petite Portrait FUL</t>
  </si>
  <si>
    <t>0611856903100</t>
  </si>
  <si>
    <t>TAG Dianthus Best Friends Forever Pink Passion 100/100 Pixie Tag</t>
  </si>
  <si>
    <t>0611856904100</t>
  </si>
  <si>
    <t>TAG Dianthus Best Friends Forever Purple Passion 100/100 Pixie Tag</t>
  </si>
  <si>
    <t>0611856905100</t>
  </si>
  <si>
    <t>TAG Dianthus Best Friends Forever Red Passion 100/100 Pixie Tag</t>
  </si>
  <si>
    <t>0611856906100</t>
  </si>
  <si>
    <t>TAG Dianthus Best Friends Forever Rose Passion 100/100 Pixie Tag</t>
  </si>
  <si>
    <t>0611856907100</t>
  </si>
  <si>
    <t>TAG Dianthus Best Friends Forever Scarlet Passion 100/100 Pixie Tag</t>
  </si>
  <si>
    <t>0611856908100</t>
  </si>
  <si>
    <t>TAG Dianthus Best Friends Forever Violet Passion 100/100 Pixie Tag</t>
  </si>
  <si>
    <t>0611833838025</t>
  </si>
  <si>
    <t>TAG Dianthus Brilliant Deltoides 25/25 Portrait Tag</t>
  </si>
  <si>
    <t>0611833840100</t>
  </si>
  <si>
    <t>TAG Dianthus Carnation GENERIC 100/100 Pixie Tag</t>
  </si>
  <si>
    <t>0611861755100</t>
  </si>
  <si>
    <t>TAG Dianthus Cliff Pink 100/100 Pixie Tag FUL</t>
  </si>
  <si>
    <t>0611861756100</t>
  </si>
  <si>
    <t>TAG Dianthus Cliff Purple 100/100 Pixie Tag FUL</t>
  </si>
  <si>
    <t>0611861757100</t>
  </si>
  <si>
    <t>TAG Dianthus Cliff Red 100/100 Pixie Tag FUL</t>
  </si>
  <si>
    <t>0611833844100</t>
  </si>
  <si>
    <t>TAG Dianthus Colori Joy 100/100 Pixie Tag</t>
  </si>
  <si>
    <t>0611833845100</t>
  </si>
  <si>
    <t>TAG Dianthus Colori Mica 100/100 Pixie Tag</t>
  </si>
  <si>
    <t>0611833846100</t>
  </si>
  <si>
    <t>TAG Dianthus Colori Naomi 100/100 Pixie Tag</t>
  </si>
  <si>
    <t>0611833853025</t>
  </si>
  <si>
    <t>TAG Dianthus Constant Beauty Crush Burgundy 25/25 Portrait Tag</t>
  </si>
  <si>
    <t>0611833854025</t>
  </si>
  <si>
    <t>TAG Dianthus Constant Beauty Crush Cherry 25/25 Portrait Tag</t>
  </si>
  <si>
    <t>0611833855025</t>
  </si>
  <si>
    <t>TAG Dianthus Constant Beauty Crush Orange 25/25 Portrait Tag</t>
  </si>
  <si>
    <t>0611856909025</t>
  </si>
  <si>
    <t>TAG Dianthus Constant Beauty Crush Peach 25/25 Portrait Tag</t>
  </si>
  <si>
    <t>0611833856025</t>
  </si>
  <si>
    <t>TAG Dianthus Constant Beauty Crush Pink 25/25 Portrait Tag</t>
  </si>
  <si>
    <t>0611856910025</t>
  </si>
  <si>
    <t>TAG Dianthus Constant Beauty Crush Pomegranate 25/25 Portrait Tag</t>
  </si>
  <si>
    <t>0611833857025</t>
  </si>
  <si>
    <t>TAG Dianthus Constant Beauty Crush Red 25/25 Portrait Tag</t>
  </si>
  <si>
    <t>0611856911025</t>
  </si>
  <si>
    <t>TAG Dianthus Constant Beauty Crush Watermelon 25/25 Portrait Tag</t>
  </si>
  <si>
    <t>0611833859025</t>
  </si>
  <si>
    <t>TAG Dianthus Constant Beauty Crush Wine 25/25 Portrait Tag</t>
  </si>
  <si>
    <t>0611833848025</t>
  </si>
  <si>
    <t>TAG Dianthus Constant Beauty Pink 25/25 Portrait Tag</t>
  </si>
  <si>
    <t>0611833849025</t>
  </si>
  <si>
    <t>TAG Dianthus Constant Beauty Pink Red 25/25 Portrait Tag</t>
  </si>
  <si>
    <t>0611833850025</t>
  </si>
  <si>
    <t>TAG Dianthus Constant Beauty Red 25/25 Portrait Tag</t>
  </si>
  <si>
    <t>0611833851025</t>
  </si>
  <si>
    <t>TAG Dianthus Constant Beauty White 25/25 Portrait Tag</t>
  </si>
  <si>
    <t>0611833852025</t>
  </si>
  <si>
    <t>TAG Dianthus Constant Beauty Yellow 25/25 Portrait Tag</t>
  </si>
  <si>
    <t>0611833860025</t>
  </si>
  <si>
    <t>TAG Dianthus Constant Cadence Cherry 25/25 Portrait Tag</t>
  </si>
  <si>
    <t>0611833865025</t>
  </si>
  <si>
    <t>TAG Dianthus Constant Cadence Milk Cherry 25/25 Portrait Tag</t>
  </si>
  <si>
    <t>0611833866025</t>
  </si>
  <si>
    <t>TAG Dianthus Constant Cadence Peach Milk 25/25 Portrait Tag</t>
  </si>
  <si>
    <t>0611833867025</t>
  </si>
  <si>
    <t>TAG Dianthus Constant Cadence Potpourri 25/25 Portrait Tag</t>
  </si>
  <si>
    <t>0611833861025</t>
  </si>
  <si>
    <t>TAG Dianthus Constant Cadence Raspberry 25/25 Portrait Tag</t>
  </si>
  <si>
    <t>0611833862025</t>
  </si>
  <si>
    <t>TAG Dianthus Constant Cadence Red 25/25 Portrait Tag</t>
  </si>
  <si>
    <t>0611833863025</t>
  </si>
  <si>
    <t>TAG Dianthus Constant Cadence Salmon 25/25 Portrait Tag</t>
  </si>
  <si>
    <t>0611833864025</t>
  </si>
  <si>
    <t>TAG Dianthus Constant Cadence White 25/25 Portrait Tag</t>
  </si>
  <si>
    <t>0611833869025</t>
  </si>
  <si>
    <t>TAG Dianthus Constant Cherry Frost 25/25 Portrait Tag</t>
  </si>
  <si>
    <t>0611833870025</t>
  </si>
  <si>
    <t>TAG Dianthus Constant Promise Papaya 25/25 Portrait Tag</t>
  </si>
  <si>
    <t>0611833871025</t>
  </si>
  <si>
    <t>TAG Dianthus Constant Promise Raspberry 25/25 Portrait Tag</t>
  </si>
  <si>
    <t>0611833872025</t>
  </si>
  <si>
    <t>TAG Dianthus Constant Promise Red 25/25 Portrait Tag</t>
  </si>
  <si>
    <t>0611833873025</t>
  </si>
  <si>
    <t>TAG Dianthus Constant Promise Strawberry 25/25 Portrait Tag</t>
  </si>
  <si>
    <t>0611833874025</t>
  </si>
  <si>
    <t>TAG Dianthus Constant Promise White 25/25 Portrait Tag</t>
  </si>
  <si>
    <t>0611833875100</t>
  </si>
  <si>
    <t>TAG Dianthus Coronet Cherry Red 100/100 Pixie Tag</t>
  </si>
  <si>
    <t>0611833876100</t>
  </si>
  <si>
    <t>TAG Dianthus Coronet Mix 100/100 Pixie Tag</t>
  </si>
  <si>
    <t>0611856912100</t>
  </si>
  <si>
    <t>TAG Dianthus Coronet Purple 100/100 Pixie Tag</t>
  </si>
  <si>
    <t>0611833877100</t>
  </si>
  <si>
    <t>TAG Dianthus Coronet Red Magic 100/100 Pixie Tag</t>
  </si>
  <si>
    <t>0611833878100</t>
  </si>
  <si>
    <t>TAG Dianthus Coronet Rose 100/100 Pixie Tag</t>
  </si>
  <si>
    <t>0611833879100</t>
  </si>
  <si>
    <t>TAG Dianthus Coronet Salmon Red Eye 100/100 Pixie Tag</t>
  </si>
  <si>
    <t>0611833880100</t>
  </si>
  <si>
    <t>TAG Dianthus Coronet Strawberry 100/100 Pixie Tag</t>
  </si>
  <si>
    <t>0611833881100</t>
  </si>
  <si>
    <t>TAG Dianthus Coronet White 100/100 Pixie Tag</t>
  </si>
  <si>
    <t>0611856913100</t>
  </si>
  <si>
    <t>TAG Dianthus Coronet White Purple Eye 100/100 Pixie Tag</t>
  </si>
  <si>
    <t>0611833882025</t>
  </si>
  <si>
    <t>TAG Dianthus Cottage Pinks GENERIC 25/25 Portrait Tag</t>
  </si>
  <si>
    <t>0611833883100</t>
  </si>
  <si>
    <t>TAG Dianthus Dash Series 100/100 Pixie Tag</t>
  </si>
  <si>
    <t>0611833884025</t>
  </si>
  <si>
    <t>TAG Dianthus Delilah Bicolor Magenta 25/25 Portrait Tag</t>
  </si>
  <si>
    <t>0611833887025</t>
  </si>
  <si>
    <t>TAG Dianthus Delilah Purple 25/25 Portrait Tag</t>
  </si>
  <si>
    <t>0611833888100</t>
  </si>
  <si>
    <t>TAG Dianthus Devine Series 100/100 Pixie Tag</t>
  </si>
  <si>
    <t>0611833890100</t>
  </si>
  <si>
    <t>TAG Dianthus Diabunda Mix 100/100 Pixie Tag SF</t>
  </si>
  <si>
    <t>0611833891100</t>
  </si>
  <si>
    <t>TAG Dianthus Diabunda Pink Pearl 100/100 Pixie Tag SF</t>
  </si>
  <si>
    <t>0611833892100</t>
  </si>
  <si>
    <t>TAG Dianthus Diabunda Purple 100/100 Pixie Tag SF</t>
  </si>
  <si>
    <t>0611833893100</t>
  </si>
  <si>
    <t>TAG Dianthus Diabunda Purple Picotee 100/100 Pixie Tag SF</t>
  </si>
  <si>
    <t>0611833894100</t>
  </si>
  <si>
    <t>TAG Dianthus Diabunda Red 100/100 Pixie Tag SF</t>
  </si>
  <si>
    <t>0611833895100</t>
  </si>
  <si>
    <t>TAG Dianthus Diabunda Red Picotee 100/100 Pixie Tag SF</t>
  </si>
  <si>
    <t>0611833896100</t>
  </si>
  <si>
    <t>TAG Dianthus Diabunda Rose 100/100 Pixie Tag SF</t>
  </si>
  <si>
    <t>0611833897100</t>
  </si>
  <si>
    <t>TAG Dianthus Diamond Blush Pink 100/100 Pixie Tag SF</t>
  </si>
  <si>
    <t>0611833898100</t>
  </si>
  <si>
    <t>TAG Dianthus Diamond Carmine Rose 100/100 Pixie Tag SF</t>
  </si>
  <si>
    <t>0611833899100</t>
  </si>
  <si>
    <t>TAG Dianthus Diamond Coral 100/100 Pixie Tag SF</t>
  </si>
  <si>
    <t>0611833900100</t>
  </si>
  <si>
    <t>TAG Dianthus Diamond Mix 100/100 Pixie Tag SF</t>
  </si>
  <si>
    <t>0611833901100</t>
  </si>
  <si>
    <t>TAG Dianthus Diamond Pink 100/100 Pixie Tag SF</t>
  </si>
  <si>
    <t>0611833902100</t>
  </si>
  <si>
    <t>TAG Dianthus Diamond Purple 100/100 Pixie Tag SF</t>
  </si>
  <si>
    <t>0611833903100</t>
  </si>
  <si>
    <t>TAG Dianthus Diamond Purple Picotee 100/100 Pixie Tag SF</t>
  </si>
  <si>
    <t>0611833904100</t>
  </si>
  <si>
    <t>TAG Dianthus Diamond Scarlet 100/100 Pixie Tag SF</t>
  </si>
  <si>
    <t>0611833905100</t>
  </si>
  <si>
    <t>TAG Dianthus Diamond White 100/100 Pixie Tag SF</t>
  </si>
  <si>
    <t>0611833906100</t>
  </si>
  <si>
    <t>TAG Dianthus Diana Series 100/100 Pixie Tag</t>
  </si>
  <si>
    <t>0611833908100</t>
  </si>
  <si>
    <t>TAG Dianthus Disco Rumba 100/100 Pixie Tag</t>
  </si>
  <si>
    <t>0611833909100</t>
  </si>
  <si>
    <t>TAG Dianthus Double Midget Mix 100/100 Pixie Tag</t>
  </si>
  <si>
    <t>0611833911025</t>
  </si>
  <si>
    <t>TAG Dianthus Dwarf Double Mix 25/25 Portrait Tag</t>
  </si>
  <si>
    <t>0611884179025</t>
  </si>
  <si>
    <t>TAG Dianthus Edgy Magic Magenta 25/25 Portrait Tag</t>
  </si>
  <si>
    <t>0611884180025</t>
  </si>
  <si>
    <t>TAG Dianthus Edgy Neon Pink 25/25 Portrait Tag</t>
  </si>
  <si>
    <t>0611884181025</t>
  </si>
  <si>
    <t>TAG Dianthus Edgy Pink Swirl 25/25 Portrait Tag</t>
  </si>
  <si>
    <t>0611833915025</t>
  </si>
  <si>
    <t>TAG Dianthus Firewitch 25/25 Portrait Tag</t>
  </si>
  <si>
    <t>0611833916025</t>
  </si>
  <si>
    <t>TAG Dianthus Flashing Lights Deltoides 25/25 Portrait Tag</t>
  </si>
  <si>
    <t>0611833917100</t>
  </si>
  <si>
    <t>TAG Dianthus Floral Lace Cherry 100/100 Pixie Tag</t>
  </si>
  <si>
    <t>0611833918100</t>
  </si>
  <si>
    <t>TAG Dianthus Floral Lace Crimson 100/100 Pixie Tag</t>
  </si>
  <si>
    <t>0611833919100</t>
  </si>
  <si>
    <t>TAG Dianthus Floral Lace Light Pink 100/100 Pixie Tag</t>
  </si>
  <si>
    <t>0611833920100</t>
  </si>
  <si>
    <t>TAG Dianthus Floral Lace Lilac 100/100 Pixie Tag</t>
  </si>
  <si>
    <t>0611833921100</t>
  </si>
  <si>
    <t>TAG Dianthus Floral Lace Mix 100/100 Pixie Tag</t>
  </si>
  <si>
    <t>0611833922100</t>
  </si>
  <si>
    <t>TAG Dianthus Floral Lace Picotee 100/100 Pixie Tag</t>
  </si>
  <si>
    <t>0611833923100</t>
  </si>
  <si>
    <t>TAG Dianthus Floral Lace Purple 100/100 Pixie Tag</t>
  </si>
  <si>
    <t>0611833924100</t>
  </si>
  <si>
    <t>TAG Dianthus Floral Lace Red 100/100 Pixie Tag</t>
  </si>
  <si>
    <t>0611833925100</t>
  </si>
  <si>
    <t>TAG Dianthus Floral Lace Rose 100/100 Pixie Tag</t>
  </si>
  <si>
    <t>0611833926100</t>
  </si>
  <si>
    <t>TAG Dianthus Floral Lace True Rose 100/100 Pixie Tag</t>
  </si>
  <si>
    <t>0611833927100</t>
  </si>
  <si>
    <t>TAG Dianthus Floral Lace Violet 100/100 Pixie Tag</t>
  </si>
  <si>
    <t>0611833928100</t>
  </si>
  <si>
    <t>TAG Dianthus Floral Lace Violet Picotee 100/100 Pixie Tag</t>
  </si>
  <si>
    <t>0611833929100</t>
  </si>
  <si>
    <t>TAG Dianthus Floral Lace White 100/100 Pixie Tag</t>
  </si>
  <si>
    <t>0611833930100</t>
  </si>
  <si>
    <t>TAG Dianthus Flow Apella Beach 100/100 Pixie Tag</t>
  </si>
  <si>
    <t>0611833931100</t>
  </si>
  <si>
    <t>TAG Dianthus Flow Blinky Beach 100/100 Pixie Tag</t>
  </si>
  <si>
    <t>0611833932100</t>
  </si>
  <si>
    <t>TAG Dianthus Flow Bondi Beach 100/100 Pixie Tag</t>
  </si>
  <si>
    <t>0611833933100</t>
  </si>
  <si>
    <t>TAG Dianthus Flow Crane Beach 100/100 Pixie Tag</t>
  </si>
  <si>
    <t>0611833934100</t>
  </si>
  <si>
    <t>TAG Dianthus Flow Glen Bay 100/100 Pixie Tag</t>
  </si>
  <si>
    <t>0611833935100</t>
  </si>
  <si>
    <t>TAG Dianthus Flow Golden Bay 100/100 Pixie Tag</t>
  </si>
  <si>
    <t>0611833936100</t>
  </si>
  <si>
    <t>TAG Dianthus Flow Grace Bay 100/100 Pixie Tag</t>
  </si>
  <si>
    <t>0611833937100</t>
  </si>
  <si>
    <t>TAG Dianthus Flow Miami Beach 100/100 Pixie Tag</t>
  </si>
  <si>
    <t>0611833938100</t>
  </si>
  <si>
    <t>TAG Dianthus Flow Shark Bay 100/100 Pixie Tag</t>
  </si>
  <si>
    <t>0611833939100</t>
  </si>
  <si>
    <t>TAG Dianthus Flow South Beach 100/100 Pixie Tag</t>
  </si>
  <si>
    <t>0611833940100</t>
  </si>
  <si>
    <t>TAG Dianthus Flow White Bay 100/100 Pixie Tag</t>
  </si>
  <si>
    <t>0611833941025</t>
  </si>
  <si>
    <t>TAG Dianthus Frosty Fire Allwoodii 25/25 Portrait Tag</t>
  </si>
  <si>
    <t>0611833942025</t>
  </si>
  <si>
    <t>TAG Dianthus Garden Pinks GENERIC 25/25 Portrait Tag</t>
  </si>
  <si>
    <t>0611833944025</t>
  </si>
  <si>
    <t>TAG Dianthus Garden Pinks GENERIC Allwoodii 25/25 Portrait Tag</t>
  </si>
  <si>
    <t>0611833943100</t>
  </si>
  <si>
    <t>TAG Dianthus Garden Pleasures Series 100/100 Pixie Tag</t>
  </si>
  <si>
    <t>0611833907100</t>
  </si>
  <si>
    <t>TAG Dianthus GENERIC 100/100 Hang Tag</t>
  </si>
  <si>
    <t>0611833945100</t>
  </si>
  <si>
    <t>TAG Dianthus GENERIC Bilingual 100/100 Pixie Tag</t>
  </si>
  <si>
    <t>0611833946025</t>
  </si>
  <si>
    <t>TAG Dianthus Grenadin Golden Sun 25/25 Portrait Tag</t>
  </si>
  <si>
    <t>0611833947100</t>
  </si>
  <si>
    <t>TAG Dianthus Grenadin Mix 100/100 Pixie Tag</t>
  </si>
  <si>
    <t>0611833948025</t>
  </si>
  <si>
    <t>TAG Dianthus Grenadin Mix 25/25 Portrait Tag</t>
  </si>
  <si>
    <t>0611833949100</t>
  </si>
  <si>
    <t>TAG Dianthus Grenadin Pink 100/100 Pixie Tag</t>
  </si>
  <si>
    <t>0611833950100</t>
  </si>
  <si>
    <t>TAG Dianthus Grenadin Red 100/100 Pixie Tag</t>
  </si>
  <si>
    <t>0611833951100</t>
  </si>
  <si>
    <t>TAG Dianthus Hearts Of Fire 100/100 Pixie Tag</t>
  </si>
  <si>
    <t>0611833952100</t>
  </si>
  <si>
    <t>TAG Dianthus Ideal Mix 100/100 Pixie Tag</t>
  </si>
  <si>
    <t>0611833953100</t>
  </si>
  <si>
    <t>TAG Dianthus Ideal Select Mix 100/100 Pixie Tag</t>
  </si>
  <si>
    <t>0611833954100</t>
  </si>
  <si>
    <t>TAG Dianthus Ideal Select Raspberry 100/100 Pixie Tag</t>
  </si>
  <si>
    <t>0611833955100</t>
  </si>
  <si>
    <t>TAG Dianthus Ideal Select Red 100/100 Pixie Tag</t>
  </si>
  <si>
    <t>0611833956100</t>
  </si>
  <si>
    <t>TAG Dianthus Ideal Select Rose 100/100 Pixie Tag</t>
  </si>
  <si>
    <t>0611833957100</t>
  </si>
  <si>
    <t>TAG Dianthus Ideal Select Salmon 100/100 Pixie Tag</t>
  </si>
  <si>
    <t>0611833958100</t>
  </si>
  <si>
    <t>TAG Dianthus Ideal Select Violet 100/100 Pixie Tag</t>
  </si>
  <si>
    <t>0611833959100</t>
  </si>
  <si>
    <t>TAG Dianthus Ideal Select White 100/100 Pixie Tag</t>
  </si>
  <si>
    <t>0611833960100</t>
  </si>
  <si>
    <t>TAG Dianthus Ideal Select White Fire 100/100 Pixie Tag</t>
  </si>
  <si>
    <t>0611833961100</t>
  </si>
  <si>
    <t>TAG Dianthus Ideal White 100/100 Pixie Tag</t>
  </si>
  <si>
    <t>0611833962100</t>
  </si>
  <si>
    <t>TAG Dianthus Indian Carpet Mix 100/100 Pixie Tag</t>
  </si>
  <si>
    <t>0611833963025</t>
  </si>
  <si>
    <t>TAG Dianthus Indian Carpet Mix 25/25 Portrait Tag</t>
  </si>
  <si>
    <t>0611833964100</t>
  </si>
  <si>
    <t>TAG Dianthus IQ Blueberry Picotee 100/100 Pixie Tag</t>
  </si>
  <si>
    <t>0611833965100</t>
  </si>
  <si>
    <t>TAG Dianthus IQ Mix 100/100 Pixie Tag</t>
  </si>
  <si>
    <t>0611833966100</t>
  </si>
  <si>
    <t>TAG Dianthus IQ Picotee Mix 100/100 Pixie Tag</t>
  </si>
  <si>
    <t>0611833967100</t>
  </si>
  <si>
    <t>TAG Dianthus IQ Pink 100/100 Pixie Tag</t>
  </si>
  <si>
    <t>0611833968100</t>
  </si>
  <si>
    <t>TAG Dianthus IQ Purple 100/100 Pixie Tag</t>
  </si>
  <si>
    <t>0611833969100</t>
  </si>
  <si>
    <t>TAG Dianthus IQ Purple Ice 100/100 Pixie Tag</t>
  </si>
  <si>
    <t>0611833970100</t>
  </si>
  <si>
    <t>TAG Dianthus IQ Raspberry Picotee 100/100 Pixie Tag</t>
  </si>
  <si>
    <t>0611833971100</t>
  </si>
  <si>
    <t>TAG Dianthus IQ Red 100/100 Pixie Tag</t>
  </si>
  <si>
    <t>0611833972100</t>
  </si>
  <si>
    <t>TAG Dianthus IQ Red Picotee 100/100 Pixie Tag</t>
  </si>
  <si>
    <t>0611833973100</t>
  </si>
  <si>
    <t>TAG Dianthus IQ Scarlet 100/100 Pixie Tag</t>
  </si>
  <si>
    <t>0611833974100</t>
  </si>
  <si>
    <t>TAG Dianthus IQ White 100/100 Pixie Tag</t>
  </si>
  <si>
    <t>0611833975100</t>
  </si>
  <si>
    <t>TAG Dianthus Jolt Cherry 100/100 Pixie Tag</t>
  </si>
  <si>
    <t>0611833976100</t>
  </si>
  <si>
    <t>TAG Dianthus Jolt Pink 100/100 Pixie Tag</t>
  </si>
  <si>
    <t>0611833977100</t>
  </si>
  <si>
    <t>TAG Dianthus Jolt Pink Magic 100/100 Pixie Tag</t>
  </si>
  <si>
    <t>0611833978100</t>
  </si>
  <si>
    <t>TAG Dianthus Jolt Purple 100/100 Pixie Tag</t>
  </si>
  <si>
    <t>0611833979025</t>
  </si>
  <si>
    <t>TAG Dianthus Kahori 25/25 Portrait Tag</t>
  </si>
  <si>
    <t>0611833980025</t>
  </si>
  <si>
    <t>TAG Dianthus Kahori Pink 25/25 Portrait Tag</t>
  </si>
  <si>
    <t>0611833981025</t>
  </si>
  <si>
    <t>TAG Dianthus Kahori Scarlet 25/25 Portrait Tag</t>
  </si>
  <si>
    <t>0611833982025</t>
  </si>
  <si>
    <t>TAG Dianthus King Of The Blacks 25/25 Portrait Tag</t>
  </si>
  <si>
    <t>0611833983100</t>
  </si>
  <si>
    <t>TAG Dianthus Lillipot Mix 100/100 Pixie Tag</t>
  </si>
  <si>
    <t>0611861758100</t>
  </si>
  <si>
    <t>TAG Dianthus Mad Magenta 100/100 Pixie Tag FUL</t>
  </si>
  <si>
    <t>0611833984100</t>
  </si>
  <si>
    <t>TAG Dianthus Merlot Mix 100/100 Pixie Tag</t>
  </si>
  <si>
    <t>0611833985025</t>
  </si>
  <si>
    <t>TAG Dianthus Mix 25/25 Portrait Tag</t>
  </si>
  <si>
    <t>0611833986025</t>
  </si>
  <si>
    <t>TAG Dianthus Mountain Frost Pink Carpet 25/25 Portrait Tag</t>
  </si>
  <si>
    <t>0611833987025</t>
  </si>
  <si>
    <t>TAG Dianthus Mountain Frost Pink Pompom 25/25 Portrait Tag</t>
  </si>
  <si>
    <t>0611833988025</t>
  </si>
  <si>
    <t>TAG Dianthus Mountain Frost Pink Twinkle 25/25 Portrait Tag</t>
  </si>
  <si>
    <t>0611833989025</t>
  </si>
  <si>
    <t>TAG Dianthus Mountain Frost Red Garnet 25/25 Portrait Tag</t>
  </si>
  <si>
    <t>0611833990025</t>
  </si>
  <si>
    <t>TAG Dianthus Mountain Frost Rose Bouquet 25/25 Portrait Tag</t>
  </si>
  <si>
    <t>0611833991025</t>
  </si>
  <si>
    <t>TAG Dianthus Mountain Frost Ruby Glitter 25/25 Portrait Tag</t>
  </si>
  <si>
    <t>0611833992025</t>
  </si>
  <si>
    <t>TAG Dianthus Mountain Frost Ruby Snow 25/25 Portrait Tag</t>
  </si>
  <si>
    <t>0611833993025</t>
  </si>
  <si>
    <t>TAG Dianthus Mountain Frost Silver Strike 25/25 Portrait Tag</t>
  </si>
  <si>
    <t>0611833994025</t>
  </si>
  <si>
    <t>TAG Dianthus Mountain Frost White Twinkle 25/25 Portrait Tag</t>
  </si>
  <si>
    <t>0611861759100</t>
  </si>
  <si>
    <t>TAG Dianthus Odessa Amy 100/100 Pixie Tag FUL</t>
  </si>
  <si>
    <t>0611861760050</t>
  </si>
  <si>
    <t>TAG Dianthus Odessa Amy Limited Availability 50/50 Petite Portrait FUL</t>
  </si>
  <si>
    <t>0611861761100</t>
  </si>
  <si>
    <t>TAG Dianthus Odessa Bling Bling 100/100 Pixie Tag FUL</t>
  </si>
  <si>
    <t>0611861762100</t>
  </si>
  <si>
    <t>TAG Dianthus Odessa Cerise Bling Bling 100/100 Pixie Tag FUL</t>
  </si>
  <si>
    <t>0611861763050</t>
  </si>
  <si>
    <t>TAG Dianthus Odessa Early Pink 50/50 Petite Portrait FUL</t>
  </si>
  <si>
    <t>0611861764050</t>
  </si>
  <si>
    <t>TAG Dianthus Odessa Joelle 50/50 Petite Portrait FUL</t>
  </si>
  <si>
    <t>0611861765100</t>
  </si>
  <si>
    <t>TAG Dianthus Odessa Nicky 100/100 Pixie Tag FUL</t>
  </si>
  <si>
    <t>0611861766050</t>
  </si>
  <si>
    <t>TAG Dianthus Odessa Nicky Limited Availability 50/50 Petite Portrait FUL</t>
  </si>
  <si>
    <t>0611861767100</t>
  </si>
  <si>
    <t>TAG Dianthus Odessa Orange Bling Bling 100/100 Pixie Tag FUL</t>
  </si>
  <si>
    <t>0611861768050</t>
  </si>
  <si>
    <t>TAG Dianthus Odessa Orange Bling Bling 50/50 Petite Portrait FUL</t>
  </si>
  <si>
    <t>0611861769100</t>
  </si>
  <si>
    <t>TAG Dianthus Odessa Pierrot 100/100 Pixie Tag FUL</t>
  </si>
  <si>
    <t>0611861770050</t>
  </si>
  <si>
    <t>TAG Dianthus Odessa Pierrot Limited Availability 50/50 Petite Portrait</t>
  </si>
  <si>
    <t>0611861771100</t>
  </si>
  <si>
    <t>TAG Dianthus Odessa Pure 100/100 Pixie Tag FUL</t>
  </si>
  <si>
    <t>0611861772100</t>
  </si>
  <si>
    <t>TAG Dianthus Odessa Red 100/100 Pixie Tag FUL</t>
  </si>
  <si>
    <t>0611861773100</t>
  </si>
  <si>
    <t>TAG Dianthus Odessa Twiggy 100/100 Pixie Tag FUL</t>
  </si>
  <si>
    <t>0611861774100</t>
  </si>
  <si>
    <t>TAG Dianthus Odessa Yellow Bling Bling 100/100 Pixie Tag FUL</t>
  </si>
  <si>
    <t>0611861775100</t>
  </si>
  <si>
    <t>TAG Dianthus Olivia Bella 100/100 Pixie Tag FUL</t>
  </si>
  <si>
    <t>0611861776100</t>
  </si>
  <si>
    <t>TAG Dianthus Olivia Cherry 100/100 Pixie Tag FUL</t>
  </si>
  <si>
    <t>0611861777100</t>
  </si>
  <si>
    <t>TAG Dianthus Olivia Sweet 100/100 Pixie Tag FUL</t>
  </si>
  <si>
    <t>0611861778050</t>
  </si>
  <si>
    <t>TAG Dianthus Olivia Sweet Limited Availability 50/50 Petite Portrait</t>
  </si>
  <si>
    <t>0611861779100</t>
  </si>
  <si>
    <t>TAG Dianthus Olivia Wild 100/100 Pixie Tag FUL</t>
  </si>
  <si>
    <t>0611861780050</t>
  </si>
  <si>
    <t>TAG Dianthus Olivia Wild Limited Availability 50/50 Petite Portrait FUL</t>
  </si>
  <si>
    <t>0611833996100</t>
  </si>
  <si>
    <t>TAG Dianthus Parfait Raspberry 100/100 Pixie Tag</t>
  </si>
  <si>
    <t>0611833997100</t>
  </si>
  <si>
    <t>TAG Dianthus Parfait Strawberry 100/100 Pixie Tag</t>
  </si>
  <si>
    <t>0611861781100</t>
  </si>
  <si>
    <t>TAG Dianthus Peman 100/100 Pixie Tag FUL</t>
  </si>
  <si>
    <t>0611861782100</t>
  </si>
  <si>
    <t>TAG Dianthus Peman Fancy Cerise 100/100 Pixie Tag FUL</t>
  </si>
  <si>
    <t>0611861783100</t>
  </si>
  <si>
    <t>TAG Dianthus Peman Fancy Lilac 100/100 Pixie Tag FUL</t>
  </si>
  <si>
    <t>0611861784100</t>
  </si>
  <si>
    <t>TAG Dianthus Peman Violet 100/100 Pixie Tag FUL</t>
  </si>
  <si>
    <t>0611833998100</t>
  </si>
  <si>
    <t>TAG Dianthus Red Picotee GENERIC 100/100 Pixie Tag</t>
  </si>
  <si>
    <t>0611861785100</t>
  </si>
  <si>
    <t>TAG Dianthus Rock Candy 100/100 Pixie Tag FUL</t>
  </si>
  <si>
    <t>0611861786100</t>
  </si>
  <si>
    <t>TAG Dianthus Rock Compact 100/100 Pixie Tag FUL</t>
  </si>
  <si>
    <t>0611861787100</t>
  </si>
  <si>
    <t>TAG Dianthus Rock Purple 100/100 Pixie Tag FUL</t>
  </si>
  <si>
    <t>0611861788100</t>
  </si>
  <si>
    <t>TAG Dianthus Rock Ruby 100/100 Pixie Tag FUL</t>
  </si>
  <si>
    <t>0611861789100</t>
  </si>
  <si>
    <t>TAG Dianthus Rock Violet 100/100 Pixie Tag FUL</t>
  </si>
  <si>
    <t>0611861790050</t>
  </si>
  <si>
    <t>TAG Dianthus Rock White 100/100 Pixie Tag FUL</t>
  </si>
  <si>
    <t>0611833999100</t>
  </si>
  <si>
    <t>TAG Dianthus Rockin' Pink Magic 100/100 Pixie Tag</t>
  </si>
  <si>
    <t>0611834000025</t>
  </si>
  <si>
    <t>TAG Dianthus Rockin' Pink Magic 25/25 Portrait Tag</t>
  </si>
  <si>
    <t>0611834001100</t>
  </si>
  <si>
    <t>TAG Dianthus Rockin' Purple 100/100 Pixie Tag</t>
  </si>
  <si>
    <t>0611834002025</t>
  </si>
  <si>
    <t>TAG Dianthus Rockin' Purple 25/25 Portrait Tag</t>
  </si>
  <si>
    <t>0611834003100</t>
  </si>
  <si>
    <t>TAG Dianthus Rockin' Red 100/100 Pixie Tag</t>
  </si>
  <si>
    <t>0611834004025</t>
  </si>
  <si>
    <t>TAG Dianthus Rockin' Red 25/25 Portrait Tag</t>
  </si>
  <si>
    <t>0611834005100</t>
  </si>
  <si>
    <t>TAG Dianthus Rockin' Rose 100/100 Pixie Tag</t>
  </si>
  <si>
    <t>0611834006025</t>
  </si>
  <si>
    <t>TAG Dianthus Rockin' Rose 25/25 Portrait Tag</t>
  </si>
  <si>
    <t>0611834007100</t>
  </si>
  <si>
    <t>TAG Dianthus Roselly Series 100/100 Pixie Tag</t>
  </si>
  <si>
    <t>0611834008025</t>
  </si>
  <si>
    <t>TAG Dianthus Rosequartz 25/25 Portrait Tag</t>
  </si>
  <si>
    <t>0611834012100</t>
  </si>
  <si>
    <t>TAG Dianthus Short White GENERIC 100/100 Pixie Tag</t>
  </si>
  <si>
    <t>0611861791100</t>
  </si>
  <si>
    <t>TAG Dianthus Sprint Angie 100/100 Pixie Tag FUL</t>
  </si>
  <si>
    <t>0611861792100</t>
  </si>
  <si>
    <t>TAG Dianthus Sprint Bordeaux 100/100 Pixie Tag FUL</t>
  </si>
  <si>
    <t>0611861793100</t>
  </si>
  <si>
    <t>TAG Dianthus Sprint Bright Red 100/100 Pixie Tag FUL</t>
  </si>
  <si>
    <t>0611861794100</t>
  </si>
  <si>
    <t>TAG Dianthus Sprint Dark Pink 100/100 Pixie Tag FUL</t>
  </si>
  <si>
    <t>0611861795100</t>
  </si>
  <si>
    <t>TAG Dianthus Sprint Dark Red 100/100 Pixie Tag FUL</t>
  </si>
  <si>
    <t>0611861796100</t>
  </si>
  <si>
    <t>TAG Dianthus Sprint Fancy Purple 100/100 Pixie Tag FUL</t>
  </si>
  <si>
    <t>0611861797100</t>
  </si>
  <si>
    <t>TAG Dianthus Sprint Pink 100/100 Pixie Tag FUL</t>
  </si>
  <si>
    <t>0611861798100</t>
  </si>
  <si>
    <t>TAG Dianthus Sprint Pink Shades 100/100 Pixie Tag FUL</t>
  </si>
  <si>
    <t>0611861799100</t>
  </si>
  <si>
    <t>TAG Dianthus Sprint Salmon 100/100 Pixie Tag FUL</t>
  </si>
  <si>
    <t>0611861800100</t>
  </si>
  <si>
    <t>TAG Dianthus Sprint White 100/100 Pixie Tag FUL</t>
  </si>
  <si>
    <t>0611884182025</t>
  </si>
  <si>
    <t>TAG Dianthus Sugar N Spice 25/25 Portrait Tag</t>
  </si>
  <si>
    <t>0611861801100</t>
  </si>
  <si>
    <t>TAG Dianthus Sunflor Allura 100/100 Pixie Tag FUL</t>
  </si>
  <si>
    <t>0611856914025</t>
  </si>
  <si>
    <t>TAG Dianthus Sunflor Allura 25/25 Portrait Tag</t>
  </si>
  <si>
    <t>0611861802100</t>
  </si>
  <si>
    <t>TAG Dianthus Sunflor Allura Red 100/100 Pixie Tag FUL</t>
  </si>
  <si>
    <t>0611856915025</t>
  </si>
  <si>
    <t>TAG Dianthus Sunflor Allura Red 25/25 Portrait Tag</t>
  </si>
  <si>
    <t>0611861803100</t>
  </si>
  <si>
    <t>TAG Dianthus Sunflor Amber 100/100 Pixie Tag FUL</t>
  </si>
  <si>
    <t>0611856916025</t>
  </si>
  <si>
    <t>TAG Dianthus Sunflor Amber 25/25 Portrait Tag</t>
  </si>
  <si>
    <t>0611861804050</t>
  </si>
  <si>
    <t>TAG Dianthus Sunflor Amber Limited Availability 50/50 Petite Portrait</t>
  </si>
  <si>
    <t>0611861805050</t>
  </si>
  <si>
    <t>TAG Dianthus Sunflor Beetle 50/50 Petite Portrait FUL</t>
  </si>
  <si>
    <t>0611861806100</t>
  </si>
  <si>
    <t>TAG Dianthus Sunflor Bowie 100/100 Pixie Tag FUL</t>
  </si>
  <si>
    <t>0611856917025</t>
  </si>
  <si>
    <t>TAG Dianthus Sunflor Bowie 25/25 Portrait Tag</t>
  </si>
  <si>
    <t>0611861807100</t>
  </si>
  <si>
    <t>TAG Dianthus Sunflor Charmy 100/100 Pixie Tag FUL</t>
  </si>
  <si>
    <t>0611856918025</t>
  </si>
  <si>
    <t>TAG Dianthus Sunflor Charmy 25/25 Portrait Tag</t>
  </si>
  <si>
    <t>0611861808100</t>
  </si>
  <si>
    <t>TAG Dianthus Sunflor Cody 100/100 Pixie Tag FUL</t>
  </si>
  <si>
    <t>0611856919025</t>
  </si>
  <si>
    <t>TAG Dianthus Sunflor Cody 25/25 Portrait Tag</t>
  </si>
  <si>
    <t>0611861809100</t>
  </si>
  <si>
    <t>TAG Dianthus Sunflor Cosmos 100/100 Pixie Tag FUL</t>
  </si>
  <si>
    <t>0611856920025</t>
  </si>
  <si>
    <t>TAG Dianthus Sunflor Cosmos 25/25 Portrait Tag</t>
  </si>
  <si>
    <t>0611861810050</t>
  </si>
  <si>
    <t>TAG Dianthus Sunflor Cosmos Limited Availability 50/50 Petite Portrait FUL</t>
  </si>
  <si>
    <t>0611861811100</t>
  </si>
  <si>
    <t>TAG Dianthus Sunflor Dynamite 100/100 Pixie Tag FUL</t>
  </si>
  <si>
    <t>0611856921025</t>
  </si>
  <si>
    <t>TAG Dianthus Sunflor Dynamite 25/25 Portrait Tag</t>
  </si>
  <si>
    <t>0611861812100</t>
  </si>
  <si>
    <t>TAG Dianthus Sunflor Esta 100/100 Pixie Tag FUL</t>
  </si>
  <si>
    <t>0611856922025</t>
  </si>
  <si>
    <t>TAG Dianthus Sunflor Esta 25/25 Portrait Tag</t>
  </si>
  <si>
    <t>0611861813100</t>
  </si>
  <si>
    <t>TAG Dianthus Sunflor Faganza 100/100 Pixie Tag FUL</t>
  </si>
  <si>
    <t>0611856923025</t>
  </si>
  <si>
    <t>TAG Dianthus Sunflor Faganza 25/25 Portrait Tag</t>
  </si>
  <si>
    <t>0611861814050</t>
  </si>
  <si>
    <t>TAG Dianthus Sunflor Faganza Limited Availability 50/50 Petite Portrait</t>
  </si>
  <si>
    <t>0611861815100</t>
  </si>
  <si>
    <t>TAG Dianthus Sunflor Finesse 100/100 Pixie Tag FUL</t>
  </si>
  <si>
    <t>0611856924025</t>
  </si>
  <si>
    <t>TAG Dianthus Sunflor Finesse 25/25 Portrait Tag</t>
  </si>
  <si>
    <t>0611861816050</t>
  </si>
  <si>
    <t>TAG Dianthus Sunflor Finesse Limited Availability 50/50 Petite Portrait</t>
  </si>
  <si>
    <t>0611861817100</t>
  </si>
  <si>
    <t>TAG Dianthus Sunflor Hailey 100/100 Pixie Tag FUL</t>
  </si>
  <si>
    <t>0611884183025</t>
  </si>
  <si>
    <t>TAG Dianthus Sunflor Hailey 25/25 Portrait Tag</t>
  </si>
  <si>
    <t>0611861818100</t>
  </si>
  <si>
    <t>TAG Dianthus Sunflor Harper 100/100 Pixie Tag FUL</t>
  </si>
  <si>
    <t>0611884184025</t>
  </si>
  <si>
    <t>TAG Dianthus Sunflor Harper 25/25 Portrait Tag</t>
  </si>
  <si>
    <t>0611861819100</t>
  </si>
  <si>
    <t>TAG Dianthus Sunflor Kaylee 100/100 Pixie Tag FUL</t>
  </si>
  <si>
    <t>0611856925025</t>
  </si>
  <si>
    <t>TAG Dianthus Sunflor Kaylee 25/25 Portrait Tag</t>
  </si>
  <si>
    <t>0611861820050</t>
  </si>
  <si>
    <t>TAG Dianthus Sunflor Kaylee 50/50 Petite Portrait FUL</t>
  </si>
  <si>
    <t>0611861821050</t>
  </si>
  <si>
    <t>TAG Dianthus Sunflor Lilac Charmy 50/50 Petite Portrait FUL</t>
  </si>
  <si>
    <t>0611861822100</t>
  </si>
  <si>
    <t>TAG Dianthus Sunflor Luigi 100/100 Pixie Tag FUL</t>
  </si>
  <si>
    <t>0611856926025</t>
  </si>
  <si>
    <t>TAG Dianthus Sunflor Luigi 25/25 Portrait Tag</t>
  </si>
  <si>
    <t>0611861823050</t>
  </si>
  <si>
    <t>TAG Dianthus Sunflor Luigi Limited Availability 50/50 Petite Portrait FUL</t>
  </si>
  <si>
    <t>0611861824050</t>
  </si>
  <si>
    <t>TAG Dianthus Sunflor Margarita 50/50 Petite Portrait FUL</t>
  </si>
  <si>
    <t>0611861825050</t>
  </si>
  <si>
    <t>TAG Dianthus Sunflor Megan 50/50 Petite Portrait FUL</t>
  </si>
  <si>
    <t>0611861826100</t>
  </si>
  <si>
    <t>TAG Dianthus Sunflor Mimi 100/100 Pixie Tag FUL</t>
  </si>
  <si>
    <t>0611856927025</t>
  </si>
  <si>
    <t>TAG Dianthus Sunflor Mimi 25/25 Portrait Tag</t>
  </si>
  <si>
    <t>0611861827050</t>
  </si>
  <si>
    <t>TAG Dianthus Sunflor Norah 50/50 Petite Portrait FUL</t>
  </si>
  <si>
    <t>0611861828100</t>
  </si>
  <si>
    <t>TAG Dianthus Sunflor Pink Faganza 100/100 Pixie Tag FUL</t>
  </si>
  <si>
    <t>0611856928025</t>
  </si>
  <si>
    <t>TAG Dianthus Sunflor Pink Faganza 25/25 Portrait Tag</t>
  </si>
  <si>
    <t>0611861829050</t>
  </si>
  <si>
    <t>TAG Dianthus Sunflor Pink Faganza Limited Availability 50/50 Petite Portrait FUL</t>
  </si>
  <si>
    <t>0611861830050</t>
  </si>
  <si>
    <t>TAG Dianthus Sunflor Red Bull 50/50 Petite Portrait FUL</t>
  </si>
  <si>
    <t>0611861831100</t>
  </si>
  <si>
    <t>TAG Dianthus Sunflor Red Esta 100/100 Pixie Tag FUL</t>
  </si>
  <si>
    <t>0611856929025</t>
  </si>
  <si>
    <t>TAG Dianthus Sunflor Red Esta 25/25 Portrait Tag</t>
  </si>
  <si>
    <t>0611861832100</t>
  </si>
  <si>
    <t>TAG Dianthus Sunflor Riley 100/100 Pixie Tag FUL</t>
  </si>
  <si>
    <t>0611884185025</t>
  </si>
  <si>
    <t>TAG Dianthus Sunflor Riley 25/25 Portrait Tag</t>
  </si>
  <si>
    <t>0611861833050</t>
  </si>
  <si>
    <t>TAG Dianthus Sunflor Sasha 50/50 Petite Portrait FUL</t>
  </si>
  <si>
    <t>0611861834100</t>
  </si>
  <si>
    <t>TAG Dianthus Sunflor Skylar 100/100 Pixie Tag FUL</t>
  </si>
  <si>
    <t>0611884186025</t>
  </si>
  <si>
    <t>TAG Dianthus Sunflor Skylar 25/25 Portrait Tag</t>
  </si>
  <si>
    <t>0611861835100</t>
  </si>
  <si>
    <t>TAG Dianthus Sunflor Sofia 100/100 Pixie Tag FUL</t>
  </si>
  <si>
    <t>0611856930025</t>
  </si>
  <si>
    <t>TAG Dianthus Sunflor Sofia 25/25 Portrait Tag</t>
  </si>
  <si>
    <t>0611861836100</t>
  </si>
  <si>
    <t>TAG Dianthus Sunflor Vivre 100/100 Pixie Tag FUL</t>
  </si>
  <si>
    <t>0611856931025</t>
  </si>
  <si>
    <t>TAG Dianthus Sunflor Vivre 25/25 Portrait Tag</t>
  </si>
  <si>
    <t>0611861837050</t>
  </si>
  <si>
    <t>TAG Dianthus Sunflor Vivre Limited Availability 50/50 Petite Portrait</t>
  </si>
  <si>
    <t>0611861838100</t>
  </si>
  <si>
    <t>TAG Dianthus Sunflor Vulcano 100/100 Pixie Tag FUL</t>
  </si>
  <si>
    <t>0611856932025</t>
  </si>
  <si>
    <t>TAG Dianthus Sunflor Vulcano 25/25 Portrait Tag</t>
  </si>
  <si>
    <t>0611834013100</t>
  </si>
  <si>
    <t>TAG Dianthus Super Parfait Raspberry 100/100 Pixie Tag SF</t>
  </si>
  <si>
    <t>0611834014100</t>
  </si>
  <si>
    <t>TAG Dianthus Super Parfait Red Peppermint 100/100 Pixie Tag SF</t>
  </si>
  <si>
    <t>0611834015100</t>
  </si>
  <si>
    <t>TAG Dianthus Super Parfait Series 100/100 Pixie Tag SF</t>
  </si>
  <si>
    <t>0611834016100</t>
  </si>
  <si>
    <t>TAG Dianthus Super Parfait Strawberry 100/100 Pixie Tag SF</t>
  </si>
  <si>
    <t>0611834018100</t>
  </si>
  <si>
    <t>TAG Dianthus Supra Purple 100/100 Pixie Tag</t>
  </si>
  <si>
    <t>0611834019100</t>
  </si>
  <si>
    <t>TAG Dianthus Sweet Series 100/100 Pixie Tag</t>
  </si>
  <si>
    <t>0611834020025</t>
  </si>
  <si>
    <t>TAG Dianthus Sweet William GENERIC 25/25 Portrait Tag</t>
  </si>
  <si>
    <t>0611861839100</t>
  </si>
  <si>
    <t>TAG Dianthus Sweety Pink 100/100 Pixie Tag FUL</t>
  </si>
  <si>
    <t>0611861840100</t>
  </si>
  <si>
    <t>TAG Dianthus Sweety Purple 100/100 Pixie Tag FUL</t>
  </si>
  <si>
    <t>0611834021100</t>
  </si>
  <si>
    <t>TAG Dianthus Telstar Burgundy 100/100 Pixie Tag</t>
  </si>
  <si>
    <t>0611834022100</t>
  </si>
  <si>
    <t>TAG Dianthus Telstar Carmine Rose 100/100 Pixie Tag</t>
  </si>
  <si>
    <t>0611834023100</t>
  </si>
  <si>
    <t>TAG Dianthus Telstar Coral 100/100 Pixie Tag</t>
  </si>
  <si>
    <t>0611834024100</t>
  </si>
  <si>
    <t>TAG Dianthus Telstar Crimson 100/100 Pixie Tag</t>
  </si>
  <si>
    <t>0611834025100</t>
  </si>
  <si>
    <t>TAG Dianthus Telstar Mix 100/100 Pixie Tag</t>
  </si>
  <si>
    <t>0611834026100</t>
  </si>
  <si>
    <t>TAG Dianthus Telstar Picotee 100/100 Pixie Tag</t>
  </si>
  <si>
    <t>0611834027100</t>
  </si>
  <si>
    <t>TAG Dianthus Telstar Pink 100/100 Pixie Tag</t>
  </si>
  <si>
    <t>0611834028100</t>
  </si>
  <si>
    <t>TAG Dianthus Telstar Purple 100/100 Pixie Tag</t>
  </si>
  <si>
    <t>0611834029100</t>
  </si>
  <si>
    <t>TAG Dianthus Telstar Purple Picotee 100/100 Pixie Tag</t>
  </si>
  <si>
    <t>0611834030100</t>
  </si>
  <si>
    <t>TAG Dianthus Telstar Salmon 100/100 Pixie Tag</t>
  </si>
  <si>
    <t>0611834031100</t>
  </si>
  <si>
    <t>TAG Dianthus Telstar Scarlet 100/100 Pixie Tag</t>
  </si>
  <si>
    <t>0611834032100</t>
  </si>
  <si>
    <t>TAG Dianthus Telstar White 100/100 Pixie Tag</t>
  </si>
  <si>
    <t>0611834033025</t>
  </si>
  <si>
    <t>TAG Dianthus Tiny Rubies 25/25 Portrait Tag</t>
  </si>
  <si>
    <t>0611834034025</t>
  </si>
  <si>
    <t>TAG Dianthus Vampire Deltoides 25/25 Portrait Tag</t>
  </si>
  <si>
    <t>0611834035100</t>
  </si>
  <si>
    <t>TAG Dianthus Venti Parfait Blueberry Eye 100/100 Pixie Tag SF</t>
  </si>
  <si>
    <t>0611834036100</t>
  </si>
  <si>
    <t>TAG Dianthus Venti Parfait Crimson 100/100 Pixie Tag SF</t>
  </si>
  <si>
    <t>0611834037100</t>
  </si>
  <si>
    <t>TAG Dianthus Venti Parfait Crimson Eye 100/100 Pixie Tag SF</t>
  </si>
  <si>
    <t>0611834038100</t>
  </si>
  <si>
    <t>TAG Dianthus Venti Parfait Strawberry Shades 100/100 Pixie Tag SF</t>
  </si>
  <si>
    <t>0611834039100</t>
  </si>
  <si>
    <t>TAG Dianthus Wee Willie Mix 100/100 Pixie Tag</t>
  </si>
  <si>
    <t>0611834040025</t>
  </si>
  <si>
    <t>TAG Dianthus Zing Rose Deltoides 25/25 Portrait Tag</t>
  </si>
  <si>
    <t>0611861841050</t>
  </si>
  <si>
    <t>TAG Diascia Darla Appleblossom 50/50 Petite Portrait SF FUL</t>
  </si>
  <si>
    <t>0611861842050</t>
  </si>
  <si>
    <t>TAG Diascia Darla Deep Salmon 50/50 Petite Portrait SF FUL</t>
  </si>
  <si>
    <t>0611861843050</t>
  </si>
  <si>
    <t>TAG Diascia Darla Light Pink 50/50 Petite Portrait SF FUL</t>
  </si>
  <si>
    <t>0611861844050</t>
  </si>
  <si>
    <t>TAG Diascia Darla Light Pink Ce0770 50/50 Petite Portrait SF FUL</t>
  </si>
  <si>
    <t>0611861845050</t>
  </si>
  <si>
    <t>TAG Diascia Darla Orange 50/50 Petite Portrait SF FUL</t>
  </si>
  <si>
    <t>0611861846050</t>
  </si>
  <si>
    <t>TAG Diascia Darla Red 50/50 Petite Portrait SF FUL</t>
  </si>
  <si>
    <t>0611861847050</t>
  </si>
  <si>
    <t>TAG Diascia Darla Rose 50/50 Petite Portrait SF FUL</t>
  </si>
  <si>
    <t>0611861848050</t>
  </si>
  <si>
    <t>TAG Diascia Darla White 50/50 Petite Portrait SF FUL</t>
  </si>
  <si>
    <t>0611834042100</t>
  </si>
  <si>
    <t>TAG Diascia GENERIC 100/100 Pixie Tag</t>
  </si>
  <si>
    <t>0611834043100</t>
  </si>
  <si>
    <t>TAG Diascia Genta Series 100/100 Pixie Tag</t>
  </si>
  <si>
    <t>0611861849050</t>
  </si>
  <si>
    <t>TAG Diascia My Darling Berry 50/50 Petite Portrait DO FUL</t>
  </si>
  <si>
    <t>0611861850050</t>
  </si>
  <si>
    <t>TAG Diascia My Darling Peach 50/50 Petite Portrait DO FUL</t>
  </si>
  <si>
    <t>0611861851050</t>
  </si>
  <si>
    <t>TAG Diascia My Darling Tangerine 50/50 Petite Portrait DO FUL</t>
  </si>
  <si>
    <t>0611861852050</t>
  </si>
  <si>
    <t>TAG Diascia My Darling White 50/50 Petite Portrait DO FUL</t>
  </si>
  <si>
    <t>0611884187100</t>
  </si>
  <si>
    <t>TAG Diascia Trinity Grace 100/100 Pixie Tag</t>
  </si>
  <si>
    <t>0611834044100</t>
  </si>
  <si>
    <t>TAG Diascia Trinity Sunset 100/100 Pixie Tag</t>
  </si>
  <si>
    <t>0611834045025</t>
  </si>
  <si>
    <t>TAG Dicentra Alba Spectabilis 25/25 Portrait Tag</t>
  </si>
  <si>
    <t>0611834046025</t>
  </si>
  <si>
    <t>TAG Dicentra Eximia 25/25 Portrait Tag</t>
  </si>
  <si>
    <t>0611834047025</t>
  </si>
  <si>
    <t>TAG Dicentra Gold Heart 25/25 Portrait Tag</t>
  </si>
  <si>
    <t>0611834049025</t>
  </si>
  <si>
    <t>TAG Dicentra Luxuriant 25/25 Portrait Tag</t>
  </si>
  <si>
    <t>0611834050025</t>
  </si>
  <si>
    <t>TAG Dicentra Old Fashioned 25/25 Portrait Tag</t>
  </si>
  <si>
    <t>0611834051100</t>
  </si>
  <si>
    <t>TAG Dichondra Emerald Falls 100/100 Pixie Tag</t>
  </si>
  <si>
    <t>0611834052100</t>
  </si>
  <si>
    <t>TAG Dichondra Silver Falls 100/100 Pixie Tag</t>
  </si>
  <si>
    <t>0611834053100</t>
  </si>
  <si>
    <t>TAG Dididelta Silver Strand 100/100 Pixie Tag</t>
  </si>
  <si>
    <t>0611834054100</t>
  </si>
  <si>
    <t>TAG Dieffenbachia Camille 100/100 Pixie Tag</t>
  </si>
  <si>
    <t>0611834055100</t>
  </si>
  <si>
    <t>TAG Dieffenbachia GENERIC 100/100 Pixie Tag</t>
  </si>
  <si>
    <t>0611861853100</t>
  </si>
  <si>
    <t>TAG Digiplexis Berry Canary 100/100 Pixie Tag FUL</t>
  </si>
  <si>
    <t>0611861854100</t>
  </si>
  <si>
    <t>TAG Digiplexis Illumination Flame 100/100 Pixie Tag FUL</t>
  </si>
  <si>
    <t>0611861855050</t>
  </si>
  <si>
    <t>TAG Digiplexis Illumination Flame Limited Availability 50/50 Petite Portrait</t>
  </si>
  <si>
    <t>0611861856100</t>
  </si>
  <si>
    <t>TAG Digiplexis Illuminatn Raspberry Limited Availability 100/100 Pixie Tag</t>
  </si>
  <si>
    <t>0611861857050</t>
  </si>
  <si>
    <t>TAG Digiplexis Illuminatn Raspberry Limited Availability 50/50 Petite Portrait</t>
  </si>
  <si>
    <t>0611834057025</t>
  </si>
  <si>
    <t>TAG Digitalis Apricot Purpurea 25/25 Portrait Tag</t>
  </si>
  <si>
    <t>0611834058025</t>
  </si>
  <si>
    <t>TAG Digitalis Arctic Fox Rose 25/25 Portrait Tag</t>
  </si>
  <si>
    <t>0611834059025</t>
  </si>
  <si>
    <t>TAG Digitalis Camelot Cream 25/25 Portrait Tag SF</t>
  </si>
  <si>
    <t>0611834060025</t>
  </si>
  <si>
    <t>TAG Digitalis Camelot Lavender 25/25 Portrait Tag SF</t>
  </si>
  <si>
    <t>0611834061025</t>
  </si>
  <si>
    <t>TAG Digitalis Camelot Mix 25/25 Portrait Tag SF</t>
  </si>
  <si>
    <t>0611834062025</t>
  </si>
  <si>
    <t>TAG Digitalis Camelot Rose 25/25 Portrait Tag SF</t>
  </si>
  <si>
    <t>0611834063025</t>
  </si>
  <si>
    <t>TAG Digitalis Camelot White 25/25 Portrait Tag SF</t>
  </si>
  <si>
    <t>0611834064025</t>
  </si>
  <si>
    <t>TAG Digitalis Candy Mountain 25/25 Portrait Tag</t>
  </si>
  <si>
    <t>0611834065025</t>
  </si>
  <si>
    <t>TAG Digitalis Dalmatian Creme Purpra 25/25 Portrait Tag</t>
  </si>
  <si>
    <t>0611834066100</t>
  </si>
  <si>
    <t>TAG Digitalis Dalmatian Mix Purpurea 100/100 Pixie Tag</t>
  </si>
  <si>
    <t>0611834067025</t>
  </si>
  <si>
    <t>TAG Digitalis Dalmatian Mix Purpurea 25/25 Portrait Tag</t>
  </si>
  <si>
    <t>0611834068025</t>
  </si>
  <si>
    <t>TAG Digitalis Dalmatian Peach Purpra 25/25 Portrait Tag</t>
  </si>
  <si>
    <t>0611834069025</t>
  </si>
  <si>
    <t>TAG Digitalis Dalmatian Purple Purpurea 25/25 Portrait Tag</t>
  </si>
  <si>
    <t>0611834070025</t>
  </si>
  <si>
    <t>TAG Digitalis Dalmatian Rose Purpurea 25/25 Portrait Tag</t>
  </si>
  <si>
    <t>0611834071025</t>
  </si>
  <si>
    <t>TAG Digitalis Dalmatian White Purpurea 25/25 Portrait Tag</t>
  </si>
  <si>
    <t>0611834072025</t>
  </si>
  <si>
    <t>TAG Digitalis Digiplexis Illumination Flame 25/25 Portrait Tag</t>
  </si>
  <si>
    <t>0611834074025</t>
  </si>
  <si>
    <t>TAG Digitalis Excelsior Hybrid Purpra 25/25 Portrait Tag</t>
  </si>
  <si>
    <t>0611834075100</t>
  </si>
  <si>
    <t>TAG Digitalis Foxglove GENERIC Purpurea 100/100 Pixie Tag</t>
  </si>
  <si>
    <t>0611834076025</t>
  </si>
  <si>
    <t>TAG Digitalis Foxglove GENERIC Purpurea 25/25 Portrait Tag</t>
  </si>
  <si>
    <t>0611834077025</t>
  </si>
  <si>
    <t>TAG Digitalis Foxlight Plum Gold 25/25 Portrait Tag</t>
  </si>
  <si>
    <t>0611834078025</t>
  </si>
  <si>
    <t>TAG Digitalis Foxlight Rose Ivory 25/25 Portrait Tag</t>
  </si>
  <si>
    <t>0611834079025</t>
  </si>
  <si>
    <t>TAG Digitalis Foxlight Ruby Glow 25/25 Portrait Tag</t>
  </si>
  <si>
    <t>0611834080100</t>
  </si>
  <si>
    <t>TAG Digitalis Foxy 100/100 Pixie Tag</t>
  </si>
  <si>
    <t>0611834081100</t>
  </si>
  <si>
    <t>TAG Digitalis Foxy Purpurea 100/100 Pixie Tag</t>
  </si>
  <si>
    <t>0611834082025</t>
  </si>
  <si>
    <t>TAG Digitalis Foxy Purpurea 25/25 Portrait Tag</t>
  </si>
  <si>
    <t>0611834083025</t>
  </si>
  <si>
    <t>TAG Digitalis Pink Panther 25/25 Portrait Tag</t>
  </si>
  <si>
    <t>0611834084025</t>
  </si>
  <si>
    <t>TAG Digitalis Strawberry Mertonensis 25/25 Portrait Tag</t>
  </si>
  <si>
    <t>0611834085025</t>
  </si>
  <si>
    <t>TAG Digitalis Yellow Foxglove GENERIC 25/25 Portrait Tag</t>
  </si>
  <si>
    <t>0611830719100</t>
  </si>
  <si>
    <t>TAG Dill Bouquet 100/100 Pixie Tag</t>
  </si>
  <si>
    <t>0611884188025</t>
  </si>
  <si>
    <t>TAG Dill Bouquet 25/25 Portrait Tag</t>
  </si>
  <si>
    <t>0611830723100</t>
  </si>
  <si>
    <t>TAG Dill Dukat 100/100 Pixie Tag</t>
  </si>
  <si>
    <t>0611830724100</t>
  </si>
  <si>
    <t>TAG Dill Fernleaf 100/100 Pixie Tag</t>
  </si>
  <si>
    <t>0611830725025</t>
  </si>
  <si>
    <t>TAG Dill Fernleaf 25/25 Portrait Tag</t>
  </si>
  <si>
    <t>0611830720100</t>
  </si>
  <si>
    <t>TAG Dill GENERIC 100/100 Pixie Tag</t>
  </si>
  <si>
    <t>0611830721200</t>
  </si>
  <si>
    <t>TAG Dill GENERIC 200/200 Thriftee Tag</t>
  </si>
  <si>
    <t>0611830722025</t>
  </si>
  <si>
    <t>TAG Dill GENERIC 25/25 Portrait Tag</t>
  </si>
  <si>
    <t>0611884189050</t>
  </si>
  <si>
    <t>TAG Dipladenia Flordenia Dark Red 50/50 Petite Portrait FUL</t>
  </si>
  <si>
    <t>0611884190050</t>
  </si>
  <si>
    <t>TAG Dipladenia Flordenia Pink 50/50 Petite Portrait FUL</t>
  </si>
  <si>
    <t>0611884191050</t>
  </si>
  <si>
    <t>TAG Dipladenia Flordenia Red Velvet 50/50 Petite Portrait FUL</t>
  </si>
  <si>
    <t>0611884192050</t>
  </si>
  <si>
    <t>TAG Dipladenia Flordenia Rose 50/50 Petite Portrait FUL</t>
  </si>
  <si>
    <t>0611884193050</t>
  </si>
  <si>
    <t>TAG Dipladenia Flordenia Summer Red 50/50 Petite Portrait FUL</t>
  </si>
  <si>
    <t>0611834087100</t>
  </si>
  <si>
    <t>TAG Dipladenia GENERIC 100/100 Pixie Tag FUL</t>
  </si>
  <si>
    <t>0611861858050</t>
  </si>
  <si>
    <t>TAG Dipladenia Madinia Beauty Pink Mandevilla 50/50 Petite Portrait SF FUL</t>
  </si>
  <si>
    <t>0611861859050</t>
  </si>
  <si>
    <t>TAG Dipladenia Madinia Coral Pink 50/50 Petite Portrait SF FUL</t>
  </si>
  <si>
    <t>0611861860050</t>
  </si>
  <si>
    <t>TAG Dipladenia Madinia Deep Red 50/50 Petite Portrait SF FUL</t>
  </si>
  <si>
    <t>0611861862050</t>
  </si>
  <si>
    <t>TAG Dipladenia Madinia Elegant Velvet Red Mandevilla 50/50 Petite Portrait SF FUL</t>
  </si>
  <si>
    <t>0611861863050</t>
  </si>
  <si>
    <t>TAG Dipladenia Madinia Max Light Pink 50/50 Petite Portrait SF FUL</t>
  </si>
  <si>
    <t>0611861865050</t>
  </si>
  <si>
    <t>TAG Dipladenia Madinia Maximo Red 50/50 Petite Portrait SF FUL</t>
  </si>
  <si>
    <t>0611861866050</t>
  </si>
  <si>
    <t>TAG Dipladenia Madinia Pink 50/50 Petite Portrait SF FUL</t>
  </si>
  <si>
    <t>0611861868050</t>
  </si>
  <si>
    <t>TAG Dipladenia Madinia White Mandevilla 50/50 Petite Portrait SF FUL</t>
  </si>
  <si>
    <t>0611861870050</t>
  </si>
  <si>
    <t>TAG Dipladenia Rio Hot Pink Mandevilla 50/50 Petite Portrait SF FUL</t>
  </si>
  <si>
    <t>0611861871050</t>
  </si>
  <si>
    <t>TAG Dipladenia Rio Mega Red Mandevilla 50/50 Petite Portrait SF FUL</t>
  </si>
  <si>
    <t>0611861872050</t>
  </si>
  <si>
    <t>TAG Dipladenia Rio Pink Star 50/50 Petite Portrait SF FUL</t>
  </si>
  <si>
    <t>0611834088100</t>
  </si>
  <si>
    <t>TAG Dish Gardens GENERIC 100/100 Pixie Tag</t>
  </si>
  <si>
    <t>0611861873050</t>
  </si>
  <si>
    <t>TAG DO FULrotheanthus Mezoo Trailing 50/50 Petite Portrait SF FUL</t>
  </si>
  <si>
    <t>0611834090100</t>
  </si>
  <si>
    <t>TAG Doronicum Leonardo Compact Yellow 100/100 Pixie Tag SF</t>
  </si>
  <si>
    <t>0611834091025</t>
  </si>
  <si>
    <t>TAG Doronicum Little Leo 25/25 Portrait Tag</t>
  </si>
  <si>
    <t>0611834092100</t>
  </si>
  <si>
    <t>TAG Dracaena Cmpcta Pineapple 100/100 Pixie Tag</t>
  </si>
  <si>
    <t>0611834099025</t>
  </si>
  <si>
    <t>TAG Dracaena Cordyline Spikes 25/25 Portrait Tag</t>
  </si>
  <si>
    <t>0611834093100</t>
  </si>
  <si>
    <t>TAG Dracaena Dracaena GENERIC 100/100 Pixie Tag</t>
  </si>
  <si>
    <t>0611834095100</t>
  </si>
  <si>
    <t>TAG Dracaena Dragon Tree Marginata 100/100 Pixie Tag</t>
  </si>
  <si>
    <t>0611834094025</t>
  </si>
  <si>
    <t>TAG Dracaena Lucky Bamboo 25/25 Portrait Tag</t>
  </si>
  <si>
    <t>0611834096100</t>
  </si>
  <si>
    <t>TAG Dracaena Massangeana 100/100 Pixie Tag</t>
  </si>
  <si>
    <t>0611834097100</t>
  </si>
  <si>
    <t>TAG Dracaena Spikes GENERIC 100/100 Pixie Tag</t>
  </si>
  <si>
    <t>0611834098100</t>
  </si>
  <si>
    <t>TAG Dracaena Spikes GENERIC Bilingual 100/100 Pixie Tag</t>
  </si>
  <si>
    <t>0611834100100</t>
  </si>
  <si>
    <t>TAG Dracaena Warneckii 100/100 Pixie Tag</t>
  </si>
  <si>
    <t>0611834103100</t>
  </si>
  <si>
    <t>TAG Duranta Aurea 100/100 Pixie Tag</t>
  </si>
  <si>
    <t>0611861874050</t>
  </si>
  <si>
    <t>TAG Duranta Aurea Golden 50/50 Petite Portrait FUL</t>
  </si>
  <si>
    <t>0611834104100</t>
  </si>
  <si>
    <t>TAG Duranta Gold Edge 100/100 Pixie Tag</t>
  </si>
  <si>
    <t>0611861875100</t>
  </si>
  <si>
    <t>TAG Echeveria Affinis 100/100 Pixie Tag FUL</t>
  </si>
  <si>
    <t>0611861876100</t>
  </si>
  <si>
    <t>TAG Echeveria Afterglow 100/100 Pixie Tag FUL</t>
  </si>
  <si>
    <t>0611861877100</t>
  </si>
  <si>
    <t>TAG Echeveria Agavoides 100/100 Pixie Tag FUL</t>
  </si>
  <si>
    <t>0611861878100</t>
  </si>
  <si>
    <t>TAG Echeveria Amoena 100/100 Pixie Tag FUL</t>
  </si>
  <si>
    <t>0611861879100</t>
  </si>
  <si>
    <t>TAG Echeveria Apus 100/100 Pixie Tag FUL</t>
  </si>
  <si>
    <t>0611861880100</t>
  </si>
  <si>
    <t>TAG Echeveria Benitsukasa 100/100 Pixie Tag FUL</t>
  </si>
  <si>
    <t>0611861881100</t>
  </si>
  <si>
    <t>TAG Echeveria Black Prince 100/100 Pixie Tag FUL</t>
  </si>
  <si>
    <t>0611834106100</t>
  </si>
  <si>
    <t>TAG Echeveria Black Prince Hen N Chicks 100/100 Pixie Tag</t>
  </si>
  <si>
    <t>0611861882100</t>
  </si>
  <si>
    <t>TAG Echeveria Blue Bird 100/100 Pixie Tag FUL</t>
  </si>
  <si>
    <t>0611834107100</t>
  </si>
  <si>
    <t>TAG Echeveria Blue Peacockii 100/100 Pixie Tag</t>
  </si>
  <si>
    <t>0611861883100</t>
  </si>
  <si>
    <t>TAG Echeveria Blue Prince 100/100 Pixie Tag FUL</t>
  </si>
  <si>
    <t>0611861884100</t>
  </si>
  <si>
    <t>TAG Echeveria Brown Rose 100/100 Pixie Tag FUL</t>
  </si>
  <si>
    <t>0611861885100</t>
  </si>
  <si>
    <t>TAG Echeveria Burgundy Pearl 100/100 Pixie Tag FUL</t>
  </si>
  <si>
    <t>0611861886100</t>
  </si>
  <si>
    <t>TAG Echeveria Canadian 100/100 Pixie Tag FUL</t>
  </si>
  <si>
    <t>0611884194100</t>
  </si>
  <si>
    <t>TAG Echeveria Coral Reef Series 100/100 Pixie Tag</t>
  </si>
  <si>
    <t>0611861887100</t>
  </si>
  <si>
    <t>TAG Echeveria Crenulata 100/100 Pixie Tag FUL</t>
  </si>
  <si>
    <t>0611861888100</t>
  </si>
  <si>
    <t>TAG Echeveria Dark Purple 100/100 Pixie Tag FUL</t>
  </si>
  <si>
    <t>0611861889100</t>
  </si>
  <si>
    <t>TAG Echeveria Dark Red 100/100 Pixie Tag FUL</t>
  </si>
  <si>
    <t>0611861890100</t>
  </si>
  <si>
    <t>TAG Echeveria Difractens 100/100 Pixie Tag FUL</t>
  </si>
  <si>
    <t>0611861891100</t>
  </si>
  <si>
    <t>TAG Echeveria Domingo 100/100 Pixie Tag FUL</t>
  </si>
  <si>
    <t>0611861892100</t>
  </si>
  <si>
    <t>TAG Echeveria Ebony 100/100 Pixie Tag FUL</t>
  </si>
  <si>
    <t>0611861893100</t>
  </si>
  <si>
    <t>TAG Echeveria Echoc 100/100 Pixie Tag FUL</t>
  </si>
  <si>
    <t>0611861894100</t>
  </si>
  <si>
    <t>TAG Echeveria Elegans 100/100 Pixie Tag FUL</t>
  </si>
  <si>
    <t>0611861895100</t>
  </si>
  <si>
    <t>TAG Echeveria Elegans Blue 100/100 Pixie Tag FUL</t>
  </si>
  <si>
    <t>0611861896100</t>
  </si>
  <si>
    <t>TAG Echeveria Fabiola 100/100 Pixie Tag FUL</t>
  </si>
  <si>
    <t>0611861897100</t>
  </si>
  <si>
    <t>TAG Echeveria First Lady 100/100 Pixie Tag FUL</t>
  </si>
  <si>
    <t>0611861898100</t>
  </si>
  <si>
    <t>TAG Echeveria Frosty 100/100 Pixie Tag FUL</t>
  </si>
  <si>
    <t>0611834108100</t>
  </si>
  <si>
    <t>TAG Echeveria GENERIC 100/100 Pixie Tag</t>
  </si>
  <si>
    <t>0611861899100</t>
  </si>
  <si>
    <t>TAG Echeveria Giant Blue 100/100 Pixie Tag FUL</t>
  </si>
  <si>
    <t>0611861900100</t>
  </si>
  <si>
    <t>TAG Echeveria Gilva 100/100 Pixie Tag FUL</t>
  </si>
  <si>
    <t>0611861901100</t>
  </si>
  <si>
    <t>TAG Echeveria Gliva CN2086 100/100 Pixie Tag FUL</t>
  </si>
  <si>
    <t>0611861902100</t>
  </si>
  <si>
    <t>TAG Echeveria Globulosa 100/100 Pixie Tag FUL</t>
  </si>
  <si>
    <t>0611861903100</t>
  </si>
  <si>
    <t>TAG Echeveria Green Delight 100/100 Pixie Tag FUL</t>
  </si>
  <si>
    <t>0611861904100</t>
  </si>
  <si>
    <t>TAG Echeveria Green Pacific 100/100 Pixie Tag FUL</t>
  </si>
  <si>
    <t>0611861905100</t>
  </si>
  <si>
    <t>TAG Echeveria Green Pearl 100/100 Pixie Tag FUL</t>
  </si>
  <si>
    <t>0611834109100</t>
  </si>
  <si>
    <t>TAG Echeveria Hen N Chicks GENERIC 100/100 Pixie Tag</t>
  </si>
  <si>
    <t>0611834110100</t>
  </si>
  <si>
    <t>TAG Echeveria Hen N Chicks Haagai 100/100 Pixie Tag</t>
  </si>
  <si>
    <t>0611861907100</t>
  </si>
  <si>
    <t>TAG Echeveria Hercules 100/100 Pixie Tag FUL</t>
  </si>
  <si>
    <t>0611861908100</t>
  </si>
  <si>
    <t>TAG Echeveria Holly Gate 100/100 Pixie Tag FUL</t>
  </si>
  <si>
    <t>0611861909100</t>
  </si>
  <si>
    <t>TAG Echeveria Hookerii 100/100 Pixie Tag</t>
  </si>
  <si>
    <t>0611861910100</t>
  </si>
  <si>
    <t>TAG Echeveria Imbricata Green 100/100 Pixie Tag FUL</t>
  </si>
  <si>
    <t>0611861911100</t>
  </si>
  <si>
    <t>TAG Echeveria Jade Point 100/100 Pixie Tag</t>
  </si>
  <si>
    <t>0611861912100</t>
  </si>
  <si>
    <t>TAG Echeveria Lemaire 100/100 Pixie Tag FUL</t>
  </si>
  <si>
    <t>0611861913100</t>
  </si>
  <si>
    <t>TAG Echeveria Lilacina 100/100 Pixie Tag FUL</t>
  </si>
  <si>
    <t>0611861914100</t>
  </si>
  <si>
    <t>TAG Echeveria Lola 100/100 Pixie Tag FUL</t>
  </si>
  <si>
    <t>0611884195100</t>
  </si>
  <si>
    <t>TAG Echeveria Mamba 100/100 Pixie Tag FUL</t>
  </si>
  <si>
    <t>0611861915100</t>
  </si>
  <si>
    <t>TAG Echeveria Mensa 100/100 Pixie Tag FUL</t>
  </si>
  <si>
    <t>0611861916100</t>
  </si>
  <si>
    <t>TAG Echeveria Mexicana 100/100 Pixie Tag FUL</t>
  </si>
  <si>
    <t>0611861917100</t>
  </si>
  <si>
    <t>TAG Echeveria Mira 100/100 Pixie Tag FUL</t>
  </si>
  <si>
    <t>0611861918100</t>
  </si>
  <si>
    <t>TAG Echeveria Moranii 100/100 Pixie Tag FUL</t>
  </si>
  <si>
    <t>0611861919100</t>
  </si>
  <si>
    <t>TAG Echeveria Nodulosa 100/100 Pixie Tag FUL</t>
  </si>
  <si>
    <t>0611861920100</t>
  </si>
  <si>
    <t>TAG Echeveria Orion 100/100 Pixie Tag FUL</t>
  </si>
  <si>
    <t>0611861921100</t>
  </si>
  <si>
    <t>TAG Echeveria Parva 100/100 Pixie Tag FUL</t>
  </si>
  <si>
    <t>0611861922100</t>
  </si>
  <si>
    <t>TAG Echeveria Pearl Of Nurnberg 100/100 Pixie Tag FUL</t>
  </si>
  <si>
    <t>0611861923100</t>
  </si>
  <si>
    <t>TAG Echeveria Pelusida 100/100 Pixie Tag FUL</t>
  </si>
  <si>
    <t>0611834111100</t>
  </si>
  <si>
    <t>TAG Echeveria Perle Hen N Chicks 100/100 Pixie Tag</t>
  </si>
  <si>
    <t>0611861924100</t>
  </si>
  <si>
    <t>TAG Echeveria Pink Edge 100/100 Pixie Tag FUL</t>
  </si>
  <si>
    <t>0611861925100</t>
  </si>
  <si>
    <t>TAG Echeveria Pink Frills 100/100 Pixie Tag FUL</t>
  </si>
  <si>
    <t>0611861926100</t>
  </si>
  <si>
    <t>TAG Echeveria Pollux 100/100 Pixie Tag FUL</t>
  </si>
  <si>
    <t>0611861927100</t>
  </si>
  <si>
    <t>TAG Echeveria Pulvinata 100/100 Pixie Tag FUL</t>
  </si>
  <si>
    <t>0611861928100</t>
  </si>
  <si>
    <t>TAG Echeveria Pumila Glauca 100/100 Pixie Tag FUL</t>
  </si>
  <si>
    <t>0611861929100</t>
  </si>
  <si>
    <t>TAG Echeveria Purple Pearl Of Nurnberg 100/100 Pixie Tag FUL</t>
  </si>
  <si>
    <t>0611861930100</t>
  </si>
  <si>
    <t>TAG Echeveria Purpureum 100/100 Pixie Tag FUL</t>
  </si>
  <si>
    <t>0611861931100</t>
  </si>
  <si>
    <t>TAG Echeveria Red Shade 100/100 Pixie Tag FUL</t>
  </si>
  <si>
    <t>0611861932100</t>
  </si>
  <si>
    <t>TAG Echeveria Red Tip 100/100 Pixie Tag FUL</t>
  </si>
  <si>
    <t>0611861933100</t>
  </si>
  <si>
    <t>TAG Echeveria Rosea 100/100 Pixie Tag FUL</t>
  </si>
  <si>
    <t>0611861934100</t>
  </si>
  <si>
    <t>TAG Echeveria Ruby Star 100/100 Pixie Tag FUL</t>
  </si>
  <si>
    <t>0611861935100</t>
  </si>
  <si>
    <t>TAG Echeveria Rundelli 100/100 Pixie Tag FUL</t>
  </si>
  <si>
    <t>0611861936100</t>
  </si>
  <si>
    <t>TAG Echeveria Rusbyi 100/100 Pixie Tag FUL</t>
  </si>
  <si>
    <t>0611861937100</t>
  </si>
  <si>
    <t>TAG Echeveria Sagita 100/100 Pixie Tag FUL</t>
  </si>
  <si>
    <t>0611861938100</t>
  </si>
  <si>
    <t>TAG Echeveria Sanyatwe 100/100 Pixie Tag FUL</t>
  </si>
  <si>
    <t>0611861939100</t>
  </si>
  <si>
    <t>TAG Echeveria Scheideckeri 100/100 Pixie Tag FUL</t>
  </si>
  <si>
    <t>0611861940100</t>
  </si>
  <si>
    <t>TAG Echeveria Secunda 100/100 Pixie Tag FUL</t>
  </si>
  <si>
    <t>0611861941100</t>
  </si>
  <si>
    <t>TAG Echeveria Serrana 100/100 Pixie Tag FUL</t>
  </si>
  <si>
    <t>0611861942100</t>
  </si>
  <si>
    <t>TAG Echeveria Setosa 100/100 Pixie Tag FUL</t>
  </si>
  <si>
    <t>0611861943100</t>
  </si>
  <si>
    <t>TAG Echeveria Setosa Deminuta 100/100 Pixie Tag FUL</t>
  </si>
  <si>
    <t>0611861944100</t>
  </si>
  <si>
    <t>TAG Echeveria Shaviana 100/100 Pixie Tag FUL</t>
  </si>
  <si>
    <t>0611861945100</t>
  </si>
  <si>
    <t>TAG Echeveria Silver Queen 100/100 Pixie Tag FUL</t>
  </si>
  <si>
    <t>0611884196100</t>
  </si>
  <si>
    <t>TAG Echeveria Skater 100/100 Pixie Tag FUL</t>
  </si>
  <si>
    <t>0611861946100</t>
  </si>
  <si>
    <t>TAG Echeveria Subsessilis 100/100 Pixie Tag FUL</t>
  </si>
  <si>
    <t>0611861947100</t>
  </si>
  <si>
    <t>TAG Echeveria Texensis 100/100 Pixie Tag FUL</t>
  </si>
  <si>
    <t>0611834112100</t>
  </si>
  <si>
    <t>TAG Echeveria Topsy Turvy 100/100 Pixie Tag</t>
  </si>
  <si>
    <t>0611861948100</t>
  </si>
  <si>
    <t>TAG Echeveria Topsy Turvy CN2087 100/100 Pixie Tag FUL</t>
  </si>
  <si>
    <t>0611861949100</t>
  </si>
  <si>
    <t>TAG Echeveria Topsy Turvy Hybrid 100/100 Pixie Tag FUL</t>
  </si>
  <si>
    <t>0611884197100</t>
  </si>
  <si>
    <t>TAG Echeveria Urban Yellow 100/100 Pixie Tag</t>
  </si>
  <si>
    <t>0611861950100</t>
  </si>
  <si>
    <t>TAG Echeveria Victor 100/100 Pixie Tag FUL</t>
  </si>
  <si>
    <t>0611834113025</t>
  </si>
  <si>
    <t>TAG Echinacea Artisan Collection Red Ombre 25/25 Portrait Tag</t>
  </si>
  <si>
    <t>0611834114025</t>
  </si>
  <si>
    <t>TAG Echinacea Artisan Collection Soft Orange 25/25 Portrait Tag</t>
  </si>
  <si>
    <t>0611856933025</t>
  </si>
  <si>
    <t>TAG Echinacea Artisan Collection Yl Ombre 25/25 Portrait Tag</t>
  </si>
  <si>
    <t>0611834115025</t>
  </si>
  <si>
    <t>TAG Echinacea Baby White Swan 25/25 Portrait Tag</t>
  </si>
  <si>
    <t>0611834117025</t>
  </si>
  <si>
    <t>TAG Echinacea Bravado Purpurea 25/25 Portrait Tag</t>
  </si>
  <si>
    <t>0611834119025</t>
  </si>
  <si>
    <t>TAG Echinacea Cheyenne Spirit 25/25 Portrait Tag</t>
  </si>
  <si>
    <t>0611856934025</t>
  </si>
  <si>
    <t>TAG Echinacea Coneflower GENERIC 25/25 Portrait Tag</t>
  </si>
  <si>
    <t>0611834120025</t>
  </si>
  <si>
    <t>TAG Echinacea Double Scoop Bubble Gum 25/25 Portrait Tag</t>
  </si>
  <si>
    <t>0611834121025</t>
  </si>
  <si>
    <t>TAG Echinacea Double Scoop Cranberry 25/25 Portrait Tag</t>
  </si>
  <si>
    <t>0611884198025</t>
  </si>
  <si>
    <t>TAG Echinacea Double Scoop DLX Orangeberry Deluxe 25/25 Portrait Tag</t>
  </si>
  <si>
    <t>0611884199025</t>
  </si>
  <si>
    <t>TAG Echinacea Double Scoop DLX Raspberry Deluxe 25/25 Portrait Tag</t>
  </si>
  <si>
    <t>0611884200025</t>
  </si>
  <si>
    <t>TAG Echinacea Double Scoop DLX Strawberry Deluxe 25/25 Portrait Tag</t>
  </si>
  <si>
    <t>0611884201025</t>
  </si>
  <si>
    <t>TAG Echinacea Double Scoop DLX Watermelon Deluxe 25/25 Portrait Tag</t>
  </si>
  <si>
    <t>0611834122025</t>
  </si>
  <si>
    <t>TAG Echinacea Double Scoop Lemon Cream 25/25 Portrait Tag</t>
  </si>
  <si>
    <t>0611834123025</t>
  </si>
  <si>
    <t>TAG Echinacea Double Scoop Mandarin 25/25 Portrait Tag</t>
  </si>
  <si>
    <t>0611834124025</t>
  </si>
  <si>
    <t>TAG Echinacea Double Scoop Orangeberry 25/25 Portrait Tag</t>
  </si>
  <si>
    <t>0611834125025</t>
  </si>
  <si>
    <t>TAG Echinacea Double Scoop Raspberry 25/25 Portrait Tag</t>
  </si>
  <si>
    <t>0611834126025</t>
  </si>
  <si>
    <t>TAG Echinacea Green Twister Purpurea 25/25 Portrait Tag</t>
  </si>
  <si>
    <t>0611884202025</t>
  </si>
  <si>
    <t>TAG Echinacea Guatemala Gold 25/25 Portrait Tag</t>
  </si>
  <si>
    <t>0611834127025</t>
  </si>
  <si>
    <t>TAG Echinacea Kim's Knee High 25/25 Portrait Tag</t>
  </si>
  <si>
    <t>0611834128025</t>
  </si>
  <si>
    <t>TAG Echinacea Kismet Intense Orange 25/25 Portrait Tag</t>
  </si>
  <si>
    <t>0611834129025</t>
  </si>
  <si>
    <t>TAG Echinacea Kismet Raspberry 25/25 Portrait Tag</t>
  </si>
  <si>
    <t>0611834130025</t>
  </si>
  <si>
    <t>TAG Echinacea Kismet Red 25/25 Portrait Tag</t>
  </si>
  <si>
    <t>0611834131025</t>
  </si>
  <si>
    <t>TAG Echinacea Kismet Yellow 25/25 Portrait Tag</t>
  </si>
  <si>
    <t>0611834132100</t>
  </si>
  <si>
    <t>TAG Echinacea Magnus 100/100 Pixie Tag</t>
  </si>
  <si>
    <t>0611834133025</t>
  </si>
  <si>
    <t>TAG Echinacea Magnus 25/25 Portrait Tag</t>
  </si>
  <si>
    <t>0611834134025</t>
  </si>
  <si>
    <t>TAG Echinacea Magnus Superior Purpra 25/25 Portrait Tag</t>
  </si>
  <si>
    <t>0611834135025</t>
  </si>
  <si>
    <t>TAG Echinacea Mellow Yellows Purpurea 25/25 Portrait Tag</t>
  </si>
  <si>
    <t>0611834136025</t>
  </si>
  <si>
    <t>TAG Echinacea Panama Red 25/25 Portrait Tag</t>
  </si>
  <si>
    <t>0611884203025</t>
  </si>
  <si>
    <t>TAG Echinacea PollyNation Golden Summer Mix 25/25 Portrait Tag</t>
  </si>
  <si>
    <t>0611856935025</t>
  </si>
  <si>
    <t>TAG Echinacea PollyNation Magenta 25/25 Portrait Tag</t>
  </si>
  <si>
    <t>0611856936025</t>
  </si>
  <si>
    <t>TAG Echinacea PollyNation Mix 25/25 Portrait Tag</t>
  </si>
  <si>
    <t>0611856937025</t>
  </si>
  <si>
    <t>TAG Echinacea PollyNation Orange Red 25/25 Portrait Tag</t>
  </si>
  <si>
    <t>0611884204025</t>
  </si>
  <si>
    <t>TAG Echinacea PollyNation Pink Shades 25/25 Portrait Tag</t>
  </si>
  <si>
    <t>0611856938025</t>
  </si>
  <si>
    <t>TAG Echinacea PollyNation White 25/25 Portrait Tag</t>
  </si>
  <si>
    <t>0611856939025</t>
  </si>
  <si>
    <t>TAG Echinacea PollyNation Yellow 25/25 Portrait Tag</t>
  </si>
  <si>
    <t>0611834137025</t>
  </si>
  <si>
    <t>TAG Echinacea PowWow White 25/25 Portrait Tag</t>
  </si>
  <si>
    <t>0611834138025</t>
  </si>
  <si>
    <t>TAG Echinacea PowWow Wild Berry 25/25 Portrait Tag</t>
  </si>
  <si>
    <t>0611884205025</t>
  </si>
  <si>
    <t>TAG Echinacea Prairie Splend D Rose Compact 25/25 Portrait Tag</t>
  </si>
  <si>
    <t>0611834140025</t>
  </si>
  <si>
    <t>TAG Echinacea Prairie Splendor Dark Rose Compact 25/25 Portrait Tag SF</t>
  </si>
  <si>
    <t>0611834143025</t>
  </si>
  <si>
    <t>TAG Echinacea Prairie Splendor Deep Rose 25/25 Portrait Tag SF</t>
  </si>
  <si>
    <t>0611834141025</t>
  </si>
  <si>
    <t>TAG Echinacea Prairie Splendor Rose Compact 25/25 Portrait Tag SF</t>
  </si>
  <si>
    <t>0611834142025</t>
  </si>
  <si>
    <t>TAG Echinacea Prairie Splendor White Compact 25/25 Portrait Tag SF</t>
  </si>
  <si>
    <t>0611834146025</t>
  </si>
  <si>
    <t>TAG Echinacea Primadonna Deep Rose Purpra 25/25 Portrait Tag</t>
  </si>
  <si>
    <t>0611834147025</t>
  </si>
  <si>
    <t>TAG Echinacea Primadonna White Purpurea 25/25 Portrait Tag</t>
  </si>
  <si>
    <t>0611834148025</t>
  </si>
  <si>
    <t>TAG Echinacea Purple Purpurea 25/25 Portrait Tag</t>
  </si>
  <si>
    <t>0611834149025</t>
  </si>
  <si>
    <t>TAG Echinacea Ruby Star 25/25 Portrait Tag</t>
  </si>
  <si>
    <t>0611834150025</t>
  </si>
  <si>
    <t>TAG Echinacea Sombrero Adobe Orange 25/25 Portrait Tag</t>
  </si>
  <si>
    <t>0611834151025</t>
  </si>
  <si>
    <t>TAG Echinacea Sombrero Baja Burgundy 25/25 Portrait Tag</t>
  </si>
  <si>
    <t>0611834152025</t>
  </si>
  <si>
    <t>TAG Echinacea Sombrero Blanco 25/25 Portrait Tag</t>
  </si>
  <si>
    <t>0611834153025</t>
  </si>
  <si>
    <t>TAG Echinacea Sombrero Fiesta Orange 25/25 Portrait Tag</t>
  </si>
  <si>
    <t>0611834154025</t>
  </si>
  <si>
    <t>TAG Echinacea Sombrero Flamenco Orange 25/25 Portrait Tag</t>
  </si>
  <si>
    <t>0611834155025</t>
  </si>
  <si>
    <t>TAG Echinacea Sombrero Granada Gold 25/25 Portrait Tag</t>
  </si>
  <si>
    <t>0611834156025</t>
  </si>
  <si>
    <t>TAG Echinacea Sombrero Hot Coral 25/25 Portrait Tag</t>
  </si>
  <si>
    <t>0611834157025</t>
  </si>
  <si>
    <t>TAG Echinacea Sombrero Lemon Yellow 25/25 Portrait Tag</t>
  </si>
  <si>
    <t>0611834158025</t>
  </si>
  <si>
    <t>TAG Echinacea Sombrero Poco Hot Coral 25/25 Portrait Tag</t>
  </si>
  <si>
    <t>0611856940025</t>
  </si>
  <si>
    <t>TAG Echinacea Sombrero Poco Hot Pink 25/25 Portrait Tag</t>
  </si>
  <si>
    <t>0611856941025</t>
  </si>
  <si>
    <t>TAG Echinacea Sombrero Poco Red 25/25 Portrait Tag</t>
  </si>
  <si>
    <t>0611856942025</t>
  </si>
  <si>
    <t>TAG Echinacea Sombrero Poco White 25/25 Portrait Tag</t>
  </si>
  <si>
    <t>0611834159025</t>
  </si>
  <si>
    <t>TAG Echinacea Sombrero Poco Yellow 25/25 Portrait Tag</t>
  </si>
  <si>
    <t>0611834160025</t>
  </si>
  <si>
    <t>TAG Echinacea Sombrero Rosada 25/25 Portrait Tag</t>
  </si>
  <si>
    <t>0611834161025</t>
  </si>
  <si>
    <t>TAG Echinacea Sombrero Salsa Red 25/25 Portrait Tag</t>
  </si>
  <si>
    <t>0611834163025</t>
  </si>
  <si>
    <t>TAG Echinacea Sombrero Sangrita 25/25 Portrait Tag</t>
  </si>
  <si>
    <t>0611834164025</t>
  </si>
  <si>
    <t>TAG Echinacea Sombrero Summer Solstice 25/25 Portrait Tag</t>
  </si>
  <si>
    <t>0611834165025</t>
  </si>
  <si>
    <t>TAG Echinacea Sombrero Tangerine 25/25 Portrait Tag</t>
  </si>
  <si>
    <t>0611834166025</t>
  </si>
  <si>
    <t>TAG Echinacea Sombrero Tres Amigos 25/25 Portrait Tag</t>
  </si>
  <si>
    <t>0611834170100</t>
  </si>
  <si>
    <t>TAG Echinacea White Swan Purpurea 100/100 Pixie Tag</t>
  </si>
  <si>
    <t>0611834171025</t>
  </si>
  <si>
    <t>TAG Echinacea White Swan Purpurea 25/25 Portrait Tag</t>
  </si>
  <si>
    <t>0611834172025</t>
  </si>
  <si>
    <t>TAG Echinacea Yellow Paradoxa 25/25 Portrait Tag</t>
  </si>
  <si>
    <t>0611834173025</t>
  </si>
  <si>
    <t>TAG Echinops Globe Thistle GENERIC 25/25 Portrait Tag</t>
  </si>
  <si>
    <t>0611839352100</t>
  </si>
  <si>
    <t>TAG Eggplant Amethyst 100/100 Pixie Tag</t>
  </si>
  <si>
    <t>0611839353100</t>
  </si>
  <si>
    <t>TAG Eggplant Asian Delite 100/100 Pixie Tag</t>
  </si>
  <si>
    <t>0611839354100</t>
  </si>
  <si>
    <t>TAG Eggplant Black Beauty 100/100 Pixie Tag</t>
  </si>
  <si>
    <t>0611839355200</t>
  </si>
  <si>
    <t>TAG Eggplant Black Beauty 200/200 Thriftee Tag</t>
  </si>
  <si>
    <t>0611839356100</t>
  </si>
  <si>
    <t>TAG Eggplant Black Magic Hybrid 100/100 Pixie Tag</t>
  </si>
  <si>
    <t>0611839357100</t>
  </si>
  <si>
    <t>TAG Eggplant Classic 100/100 Pixie Tag</t>
  </si>
  <si>
    <t>0611839358200</t>
  </si>
  <si>
    <t>TAG Eggplant Classic 200/200 Thriftee Tag</t>
  </si>
  <si>
    <t>0611839359100</t>
  </si>
  <si>
    <t>TAG Eggplant Cloud Nine 100/100 Pixie Tag</t>
  </si>
  <si>
    <t>0611839360100</t>
  </si>
  <si>
    <t>TAG Eggplant Dusky 100/100 Pixie Tag</t>
  </si>
  <si>
    <t>0611839361100</t>
  </si>
  <si>
    <t>TAG Eggplant Eggplant GENERIC 100/100 Pixie Tag</t>
  </si>
  <si>
    <t>0611839362100</t>
  </si>
  <si>
    <t>TAG Eggplant Fairy Tale 100/100 Pixie Tag</t>
  </si>
  <si>
    <t>0611839363100</t>
  </si>
  <si>
    <t>TAG Eggplant Full Moon 100/100 Pixie Tag</t>
  </si>
  <si>
    <t>0611839364100</t>
  </si>
  <si>
    <t>TAG Eggplant Ghostbuster 100/100 Pixie Tag</t>
  </si>
  <si>
    <t>0611839365100</t>
  </si>
  <si>
    <t>TAG Eggplant Gourmet Long Oriental 100/100 Pixie Tag</t>
  </si>
  <si>
    <t>0611839366100</t>
  </si>
  <si>
    <t>TAG Eggplant Gretel 100/100 Pixie Tag</t>
  </si>
  <si>
    <t>0611839367100</t>
  </si>
  <si>
    <t>TAG Eggplant Hansel 100/100 Pixie Tag</t>
  </si>
  <si>
    <t>0611839368100</t>
  </si>
  <si>
    <t>TAG Eggplant Ichiban 100/100 Pixie Tag</t>
  </si>
  <si>
    <t>0611856943100</t>
  </si>
  <si>
    <t>TAG Eggplant Icicle 100/100 Pixie Tag</t>
  </si>
  <si>
    <t>0611839369100</t>
  </si>
  <si>
    <t>TAG Eggplant Italian Pink Bicolor 100/100 Pixie Tag</t>
  </si>
  <si>
    <t>0611839370100</t>
  </si>
  <si>
    <t>TAG Eggplant Ivory 100/100 Pixie Tag</t>
  </si>
  <si>
    <t>0611839371100</t>
  </si>
  <si>
    <t>TAG Eggplant Japanese Long 100/100 Pixie Tag</t>
  </si>
  <si>
    <t>0611839373100</t>
  </si>
  <si>
    <t>TAG Eggplant Little Fingers 100/100 Pixie Tag</t>
  </si>
  <si>
    <t>0611839374100</t>
  </si>
  <si>
    <t>TAG Eggplant Millionaire 100/100 Pixie Tag</t>
  </si>
  <si>
    <t>0611839375100</t>
  </si>
  <si>
    <t>TAG Eggplant Neon 100/100 Pixie Tag</t>
  </si>
  <si>
    <t>0611839376100</t>
  </si>
  <si>
    <t>TAG Eggplant Patio Baby 100/100 Pixie Tag</t>
  </si>
  <si>
    <t>0611856944100</t>
  </si>
  <si>
    <t>TAG Eggplant Prosperosa 100/100 Pixie Tag</t>
  </si>
  <si>
    <t>0611856945100</t>
  </si>
  <si>
    <t>TAG Eggplant Rosa Bianca 100/100 Pixie Tag</t>
  </si>
  <si>
    <t>0611839377100</t>
  </si>
  <si>
    <t>TAG Eggplant Satin Beauty 100/100 Pixie Tag</t>
  </si>
  <si>
    <t>0611839378100</t>
  </si>
  <si>
    <t>TAG Eggplant Satin Moon 100/100 Pixie Tag</t>
  </si>
  <si>
    <t>0611839379100</t>
  </si>
  <si>
    <t>TAG Eggplant Shikou 100/100 Pixie Tag</t>
  </si>
  <si>
    <t>0611856946100</t>
  </si>
  <si>
    <t>TAG Eggplant Shoya Long 100/100 Pixie Tag</t>
  </si>
  <si>
    <t>0611839381100</t>
  </si>
  <si>
    <t>TAG Eggplant Victoria 100/100 Pixie Tag</t>
  </si>
  <si>
    <t>0611839382100</t>
  </si>
  <si>
    <t>TAG Eggplant White 100/100 Pixie Tag</t>
  </si>
  <si>
    <t>0611832928100</t>
  </si>
  <si>
    <t>TAG Epazote GENERIC 100/100 Pixie Tag</t>
  </si>
  <si>
    <t>0611834177025</t>
  </si>
  <si>
    <t>TAG Epimed Rubrum 25/25 Portrait Tag</t>
  </si>
  <si>
    <t>0611861951100</t>
  </si>
  <si>
    <t>TAG Epiphyllum Anguliger 100/100 Pixie Tag FUL</t>
  </si>
  <si>
    <t>0611884206100</t>
  </si>
  <si>
    <t>TAG Epiphyllum Fishbone Types 100/100 Pixie Tag</t>
  </si>
  <si>
    <t>0611834183025</t>
  </si>
  <si>
    <t>TAG Erianthus Ravennae 25/25 Portrait Tag</t>
  </si>
  <si>
    <t>0611834184025</t>
  </si>
  <si>
    <t>TAG Erigeron Azure Fairy 25/25 Portrait Tag</t>
  </si>
  <si>
    <t>0611834185100</t>
  </si>
  <si>
    <t>TAG Erigeron Prusion Karavinskianus 100/100 Pixie Tag</t>
  </si>
  <si>
    <t>0611834187025</t>
  </si>
  <si>
    <t>TAG Erodium Bishop's Form 25/25 Portrait Tag</t>
  </si>
  <si>
    <t>0611834188025</t>
  </si>
  <si>
    <t>TAG Erodium Heron's Bill GENERIC 25/25 Portrait Tag</t>
  </si>
  <si>
    <t>0611834192025</t>
  </si>
  <si>
    <t>TAG Eryngium Blue Hobbit 25/25 Portrait Tag</t>
  </si>
  <si>
    <t>0611834193025</t>
  </si>
  <si>
    <t>TAG Eryngium Glitter Blue Planum 25/25 Portrait Tag</t>
  </si>
  <si>
    <t>0611861953100</t>
  </si>
  <si>
    <t>TAG Erysimum Berry Lemonade 100/100 Pixie Tag FUL</t>
  </si>
  <si>
    <t>0611861954050</t>
  </si>
  <si>
    <t>TAG Erysimum Berry Lemonade 50/50 Petite Portrait FUL</t>
  </si>
  <si>
    <t>0611834195100</t>
  </si>
  <si>
    <t>TAG Erysimum Bowles Mauve 100/100 Pixie Tag</t>
  </si>
  <si>
    <t>0611834196025</t>
  </si>
  <si>
    <t>TAG Erysimum Bowles Mauve 25/25 Portrait Tag</t>
  </si>
  <si>
    <t>0611834198100</t>
  </si>
  <si>
    <t>TAG Erysimum Charity Mix 100/100 Pixie Tag</t>
  </si>
  <si>
    <t>0611861955100</t>
  </si>
  <si>
    <t>TAG Erysimum Citric 100/100 Pixie Tag FUL</t>
  </si>
  <si>
    <t>0611834203025</t>
  </si>
  <si>
    <t>TAG Erysimum Citrona Orange 25/25 Portrait Tag</t>
  </si>
  <si>
    <t>0611834204025</t>
  </si>
  <si>
    <t>TAG Erysimum Citrona Yellow 25/25 Portrait Tag</t>
  </si>
  <si>
    <t>0611834205025</t>
  </si>
  <si>
    <t>TAG Erysimum Erysistible Forte Magenta 25/25 Portrait Tag SF</t>
  </si>
  <si>
    <t>0611884207100</t>
  </si>
  <si>
    <t>TAG Erysimum Erysistible Series 100/100 Pixie Tag</t>
  </si>
  <si>
    <t>0611834206025</t>
  </si>
  <si>
    <t>TAG Erysimum Erysistible Sunset 25/25 Portrait Tag SF</t>
  </si>
  <si>
    <t>0611834207025</t>
  </si>
  <si>
    <t>TAG Erysimum Erysistible Tricolor 25/25 Portrait Tag SF</t>
  </si>
  <si>
    <t>0611834208025</t>
  </si>
  <si>
    <t>TAG Erysimum Erysistible Yellow 25/25 Portrait Tag SF</t>
  </si>
  <si>
    <t>0611861956100</t>
  </si>
  <si>
    <t>TAG Erysimum Pearl 100/100 Pixie Tag FUL</t>
  </si>
  <si>
    <t>0611861957100</t>
  </si>
  <si>
    <t>TAG Erysimum Pink Lemonade 100/100 Pixie Tag FUL</t>
  </si>
  <si>
    <t>0611834215100</t>
  </si>
  <si>
    <t>TAG Erysimum Sugar Rush Series 100/100 Pixie Tag</t>
  </si>
  <si>
    <t>0611834216025</t>
  </si>
  <si>
    <t>TAG Erysimum Sunstrong Series 25/25 Portrait Tag</t>
  </si>
  <si>
    <t>0611861958050</t>
  </si>
  <si>
    <t>TAG Erysimum Super Bowl 50/50 Petite Portrait FUL</t>
  </si>
  <si>
    <t>0611834217025</t>
  </si>
  <si>
    <t>TAG Erysimum Super Bowl Mauve 25/25 Portrait Tag SF</t>
  </si>
  <si>
    <t>0611834218025</t>
  </si>
  <si>
    <t>TAG Erysimum Super Bowl Purple 25/25 Portrait Tag SF</t>
  </si>
  <si>
    <t>0611861959050</t>
  </si>
  <si>
    <t>TAG Erysimum Super Bowl Sunset 50/50 Petite Portrait SF FUL</t>
  </si>
  <si>
    <t>0611834219025</t>
  </si>
  <si>
    <t>TAG Erysimum Wallflower GENERIC 25/25 Portrait Tag</t>
  </si>
  <si>
    <t>0611834221100</t>
  </si>
  <si>
    <t>TAG Eschscholzia California GENERIC 100/100 Pixie Tag</t>
  </si>
  <si>
    <t>0611884208100</t>
  </si>
  <si>
    <t>TAG Eucalyptus Baby Blue Bouquet 100/100 Pixie Tag</t>
  </si>
  <si>
    <t>0611834224100</t>
  </si>
  <si>
    <t>TAG Eucalyptus Cinerea 100/100 Pixie Tag</t>
  </si>
  <si>
    <t>0611884209025</t>
  </si>
  <si>
    <t>TAG Eucalyptus Silver Dollar 25/25 Portrait Tag</t>
  </si>
  <si>
    <t>0611861961050</t>
  </si>
  <si>
    <t>TAG Eucomis Aloha Lily Leia Pineapple 50/50 Petite Portrait FUL</t>
  </si>
  <si>
    <t>0611861962050</t>
  </si>
  <si>
    <t>TAG Eucomis Aloha Lily Maui Pineapple 50/50 Petite Portrait FUL</t>
  </si>
  <si>
    <t>0611861963050</t>
  </si>
  <si>
    <t>TAG Eucomis Aloha Lily Nani Pineapple 50/50 Petite Portrait FUL</t>
  </si>
  <si>
    <t>0611861964050</t>
  </si>
  <si>
    <t>TAG Eucomis Aloha Lily Tiki Pineapple 50/50 Petite Portrait FUL</t>
  </si>
  <si>
    <t>0611834225100</t>
  </si>
  <si>
    <t>TAG Euonymus Coloratus 100/100 Pixie Tag</t>
  </si>
  <si>
    <t>0611861965100</t>
  </si>
  <si>
    <t>TAG Eupatorium Baby Joe 100/100 Pixie Tag FUL</t>
  </si>
  <si>
    <t>0611834227025</t>
  </si>
  <si>
    <t>TAG Eupatorium Baby Joe 25/25 Portrait Tag</t>
  </si>
  <si>
    <t>0611861966050</t>
  </si>
  <si>
    <t>TAG Eupatorium Baby Joe Limited Availability 50/50 Petite Portrait</t>
  </si>
  <si>
    <t>0611861967100</t>
  </si>
  <si>
    <t>TAG Eupatorium Chocolate Joe 100/100 Pixie Tag FUL</t>
  </si>
  <si>
    <t>0611834228025</t>
  </si>
  <si>
    <t>TAG Eupatorium Chocolate Rugosum 25/25 Portrait Tag</t>
  </si>
  <si>
    <t>0611856947100</t>
  </si>
  <si>
    <t>TAG Eupatorium Elegant Feather 100/100 Pixie Tag</t>
  </si>
  <si>
    <t>0611834229025</t>
  </si>
  <si>
    <t>TAG Eupatorium Euphoria Ruby Purpureum 25/25 Portrait Tag</t>
  </si>
  <si>
    <t>0611834230025</t>
  </si>
  <si>
    <t>TAG Eupatorium Gateway Maculatum 25/25 Portrait Tag</t>
  </si>
  <si>
    <t>0611834231025</t>
  </si>
  <si>
    <t>TAG Eupatorium Joe Pye Weed GENERIC 25/25 Portrait Tag</t>
  </si>
  <si>
    <t>0611861968100</t>
  </si>
  <si>
    <t>TAG Eupatorium Little Joe 100/100 Pixie Tag FUL</t>
  </si>
  <si>
    <t>0611834232025</t>
  </si>
  <si>
    <t>TAG Eupatorium Little Joe 25/25 Portrait Tag</t>
  </si>
  <si>
    <t>0611861969100</t>
  </si>
  <si>
    <t>TAG Euphorbia Ascot Rainbow 100/100 Pixie Tag FUL</t>
  </si>
  <si>
    <t>0611861970050</t>
  </si>
  <si>
    <t>TAG Euphorbia Ascot Rainbow Limited Availability 50/50 Petite Portrait</t>
  </si>
  <si>
    <t>0611834234100</t>
  </si>
  <si>
    <t>TAG Euphorbia Cushion Spurge 100/100 Pixie Tag</t>
  </si>
  <si>
    <t>0611834235025</t>
  </si>
  <si>
    <t>TAG Euphorbia Cushion Spurge 25/25 Portrait Tag</t>
  </si>
  <si>
    <t>0611834236100</t>
  </si>
  <si>
    <t>TAG Euphorbia Diwali Shower 100/100 Pixie Tag</t>
  </si>
  <si>
    <t>0611834238025</t>
  </si>
  <si>
    <t>TAG Euphorbia Donkeytail Spurge 25/25 Portrait Tag</t>
  </si>
  <si>
    <t>0611861971050</t>
  </si>
  <si>
    <t>TAG Euphorbia Euphoric DO FULuble White 50/50 Petite Portrait SF FUL</t>
  </si>
  <si>
    <t>0611861972050</t>
  </si>
  <si>
    <t>TAG Euphorbia Euphoric White 50/50 Petite Portrait SF FUL</t>
  </si>
  <si>
    <t>0611834239100</t>
  </si>
  <si>
    <t>TAG Euphorbia Firesticks Tirucalli 100/100 Pixie Tag</t>
  </si>
  <si>
    <t>0611861973100</t>
  </si>
  <si>
    <t>TAG Euphorbia Glacier Blue 100/100 Pixie Tag FUL</t>
  </si>
  <si>
    <t>0611834240100</t>
  </si>
  <si>
    <t>TAG Euphorbia Glamour 100/100 Pixie Tag</t>
  </si>
  <si>
    <t>0611834241100</t>
  </si>
  <si>
    <t>TAG Euphorbia Glitz 100/100 Pixie Tag</t>
  </si>
  <si>
    <t>0611834242100</t>
  </si>
  <si>
    <t>TAG Euphorbia Gloria 100/100 Pixie Tag</t>
  </si>
  <si>
    <t>0611856948025</t>
  </si>
  <si>
    <t>TAG Euphorbia Golden Glory 25/25 Portrait Tag</t>
  </si>
  <si>
    <t>0611834244100</t>
  </si>
  <si>
    <t>TAG Euphorbia Hypericifolia 100/100 Pixie Tag</t>
  </si>
  <si>
    <t>0611861974050</t>
  </si>
  <si>
    <t>TAG Euphorbia Maxi Aphrodite 50/50 Petite Portrait FUL</t>
  </si>
  <si>
    <t>0611861975050</t>
  </si>
  <si>
    <t>TAG Euphorbia Maxi Apollon 50/50 Petite Portrait FUL</t>
  </si>
  <si>
    <t>0611861976050</t>
  </si>
  <si>
    <t>TAG Euphorbia Maxi Atlas 50/50 Petite Portrait FUL</t>
  </si>
  <si>
    <t>0611861977050</t>
  </si>
  <si>
    <t>TAG Euphorbia Maxi Dinni 50/50 Petite Portrait FUL</t>
  </si>
  <si>
    <t>0611861978050</t>
  </si>
  <si>
    <t>TAG Euphorbia Maxi Helena 50/50 Petite Portrait FUL</t>
  </si>
  <si>
    <t>0611861979050</t>
  </si>
  <si>
    <t>TAG Euphorbia Maxi Helios 50/50 Petite Portrait FUL</t>
  </si>
  <si>
    <t>0611861980050</t>
  </si>
  <si>
    <t>TAG Euphorbia Maxi Karola 50/50 Petite Portrait FUL</t>
  </si>
  <si>
    <t>0611861981050</t>
  </si>
  <si>
    <t>TAG Euphorbia Maxi Kronos 50/50 Petite Portrait FUL</t>
  </si>
  <si>
    <t>0611861982050</t>
  </si>
  <si>
    <t>TAG Euphorbia Maxi Pink Cadillac 50/50 Petite Portrait FUL</t>
  </si>
  <si>
    <t>0611861983050</t>
  </si>
  <si>
    <t>TAG Euphorbia Maxi Red Light 50/50 Petite Portrait FUL</t>
  </si>
  <si>
    <t>0611861984050</t>
  </si>
  <si>
    <t>TAG Euphorbia Maxi Vulkanus 50/50 Petite Portrait FUL</t>
  </si>
  <si>
    <t>0611861985050</t>
  </si>
  <si>
    <t>TAG Euphorbia Maxi Zephyr 50/50 Petite Portrait FUL</t>
  </si>
  <si>
    <t>0611861986050</t>
  </si>
  <si>
    <t>TAG Euphorbia Maxi Zeus 50/50 Petite Portrait FUL</t>
  </si>
  <si>
    <t>0611861987050</t>
  </si>
  <si>
    <t>TAG Euphorbia Mini Athene 50/50 Petite Portrait FUL</t>
  </si>
  <si>
    <t>0611861988050</t>
  </si>
  <si>
    <t>TAG Euphorbia Mini Eos 50/50 Petite Portrait FUL</t>
  </si>
  <si>
    <t>0611861989050</t>
  </si>
  <si>
    <t>TAG Euphorbia Mini Hector 50/50 Petite Portrait FUL</t>
  </si>
  <si>
    <t>0611861990050</t>
  </si>
  <si>
    <t>TAG Euphorbia Mini Hera 50/50 Petite Portrait FUL</t>
  </si>
  <si>
    <t>0611861991050</t>
  </si>
  <si>
    <t>TAG Euphorbia Mini Rhea 50/50 Petite Portrait FUL</t>
  </si>
  <si>
    <t>0611861992050</t>
  </si>
  <si>
    <t>TAG Euphorbia Mini Selene 50/50 Petite Portrait FUL</t>
  </si>
  <si>
    <t>0611834247100</t>
  </si>
  <si>
    <t>TAG Euphorbia Pink GENERIC 100/100 Pixie Tag</t>
  </si>
  <si>
    <t>0611834249100</t>
  </si>
  <si>
    <t>TAG Euphorbia Poinsettia GENERIC 100/100 Pixie Tag</t>
  </si>
  <si>
    <t>0611834250025</t>
  </si>
  <si>
    <t>TAG Euphorbia Poinsettia GENERIC 25/25 Portrait Tag</t>
  </si>
  <si>
    <t>0611834251025</t>
  </si>
  <si>
    <t>TAG Euphorbia Purpurea Amygdaloides 25/25 Portrait Tag</t>
  </si>
  <si>
    <t>0611834252100</t>
  </si>
  <si>
    <t>TAG Euphorbia Red GENERIC 100/100 Pixie Tag</t>
  </si>
  <si>
    <t>0611834254025</t>
  </si>
  <si>
    <t>TAG Euphorbia Robbie Amygdaloides 25/25 Portrait Tag</t>
  </si>
  <si>
    <t>0611861993100</t>
  </si>
  <si>
    <t>TAG Euphorbia Ruby Glow 100/100 Pixie Tag FUL</t>
  </si>
  <si>
    <t>0611861994050</t>
  </si>
  <si>
    <t>TAG Euphorbia Ruby Glow 50/50 Petite Portrait FUL</t>
  </si>
  <si>
    <t>0611856949025</t>
  </si>
  <si>
    <t>TAG Euphorbia Shrubby Spurge GENERIC 25/25 Portrait Tag</t>
  </si>
  <si>
    <t>0611861995100</t>
  </si>
  <si>
    <t>TAG Euphorbia Silver Swan 100/100 Pixie Tag FUL</t>
  </si>
  <si>
    <t>0611834255100</t>
  </si>
  <si>
    <t>TAG Euphorbia Snow On The Mountain 100/100 Pixie Tag</t>
  </si>
  <si>
    <t>0611861996050</t>
  </si>
  <si>
    <t>TAG Euphorbia Star Dust Pink Pandora 50/50 Petite Portrait FUL</t>
  </si>
  <si>
    <t>0611861997050</t>
  </si>
  <si>
    <t>TAG Euphorbia Star Dust Super Flash 50/50 Petite Portrait FUL</t>
  </si>
  <si>
    <t>0611861998050</t>
  </si>
  <si>
    <t>TAG Euphorbia Star Dust White Flash 50/50 Petite Portrait FUL</t>
  </si>
  <si>
    <t>0611861999050</t>
  </si>
  <si>
    <t>TAG Euphorbia Star Dust White Sparkle 50/50 Petite Portrait FUL</t>
  </si>
  <si>
    <t>0611862000050</t>
  </si>
  <si>
    <t>TAG Euphorbia Star Struck Double White 50/50 Petite Portrait FUL</t>
  </si>
  <si>
    <t>0611884210100</t>
  </si>
  <si>
    <t>TAG Euphorbia Starblast Pink 100/100 Pixie Tag</t>
  </si>
  <si>
    <t>0611834256100</t>
  </si>
  <si>
    <t>TAG Euphorbia Starblast Snowdrift 100/100 Pixie Tag</t>
  </si>
  <si>
    <t>0611834258100</t>
  </si>
  <si>
    <t>TAG Euphorbia Starblast White 100/100 Pixie Tag</t>
  </si>
  <si>
    <t>0611862001100</t>
  </si>
  <si>
    <t>TAG Euphorbia Tasmanian Tiger 100/100 Pixie Tag FUL</t>
  </si>
  <si>
    <t>0611862002050</t>
  </si>
  <si>
    <t>TAG Euphorbia Tasmanian Tiger 50/50 Petite Portrait FUL</t>
  </si>
  <si>
    <t>0611834260100</t>
  </si>
  <si>
    <t>TAG Euphorbia White GENERIC 100/100 Pixie Tag</t>
  </si>
  <si>
    <t>0611834262100</t>
  </si>
  <si>
    <t>TAG Euryops Sonnenschein Pectinatus 100/100 Pixie Tag</t>
  </si>
  <si>
    <t>0611834263100</t>
  </si>
  <si>
    <t>TAG Euryops Sunshine Silver 100/100 Pixie Tag</t>
  </si>
  <si>
    <t>0611834264100</t>
  </si>
  <si>
    <t>TAG Euryops Yellow 100/100 Pixie Tag</t>
  </si>
  <si>
    <t>0611862003050</t>
  </si>
  <si>
    <t>TAG Evolvu Beach Bum Blue 50/50 Petite Portrait DO FUL</t>
  </si>
  <si>
    <t>0611834280100</t>
  </si>
  <si>
    <t>TAG Evolvulus Blue Daze 100/100 Pixie Tag</t>
  </si>
  <si>
    <t>0611834281100</t>
  </si>
  <si>
    <t>TAG Evolvulus Hawaiian Blue Eyes 100/100 Pixie Tag</t>
  </si>
  <si>
    <t>0611862004050</t>
  </si>
  <si>
    <t>TAG Evolvulus Hawaiian Blue Eyes 50/50 Petite Portrait FUL</t>
  </si>
  <si>
    <t>0611834282100</t>
  </si>
  <si>
    <t>TAG Exacum Persian Violet Generic 100/100 Pixie Tag</t>
  </si>
  <si>
    <t>0611834284050</t>
  </si>
  <si>
    <t>TAG Fairy Garden GENERIC 50/50 Mini Portrait Tag</t>
  </si>
  <si>
    <t>0611834285025</t>
  </si>
  <si>
    <t>TAG Fatsia Spider's Web Japonica 25/25 Portrait Tag</t>
  </si>
  <si>
    <t>0611834286100</t>
  </si>
  <si>
    <t>TAG Felicia Blue Marguerite 100/100 Pixie Tag</t>
  </si>
  <si>
    <t>0611834287100</t>
  </si>
  <si>
    <t>TAG Felicia Felicity Blue 100/100 Pixie Tag</t>
  </si>
  <si>
    <t>0611834318100</t>
  </si>
  <si>
    <t>TAG Fennel Bronze 100/100 Pixie Tag</t>
  </si>
  <si>
    <t>0611884211025</t>
  </si>
  <si>
    <t>TAG Fennel Bronze 25/25 Portrait Tag</t>
  </si>
  <si>
    <t>0611834320100</t>
  </si>
  <si>
    <t>TAG Fennel Florence 100/100 Pixie Tag</t>
  </si>
  <si>
    <t>0611834319100</t>
  </si>
  <si>
    <t>TAG Fennel GENERIC 100/100 Pixie Tag</t>
  </si>
  <si>
    <t>0611884212025</t>
  </si>
  <si>
    <t>TAG Fennel Grosfruchtiger Green Leaf 25/25 Portrait Tag</t>
  </si>
  <si>
    <t>0611834289025</t>
  </si>
  <si>
    <t>TAG Fern Adiantum Maidenhair 25/25 Portrait Tag</t>
  </si>
  <si>
    <t>0611834290025</t>
  </si>
  <si>
    <t>TAG Fern Asplenium Bird's Nest 25/25 Portrait Tag</t>
  </si>
  <si>
    <t>0611834291025</t>
  </si>
  <si>
    <t>TAG Fern Athyrium Ghost 25/25 Portrait Tag</t>
  </si>
  <si>
    <t>0611834292025</t>
  </si>
  <si>
    <t>TAG Fern Athyrium Lady Fern 25/25 Portrait Tag</t>
  </si>
  <si>
    <t>0611834293025</t>
  </si>
  <si>
    <t>TAG Fern Athyrium Lady In Red 25/25 Portrait Tag</t>
  </si>
  <si>
    <t>0611834294025</t>
  </si>
  <si>
    <t>TAG Fern Athyrium Pictum 25/25 Portrait Tag</t>
  </si>
  <si>
    <t>0611834296100</t>
  </si>
  <si>
    <t>TAG Fern Boston 100/100 Pixie Tag</t>
  </si>
  <si>
    <t>0611834297025</t>
  </si>
  <si>
    <t>TAG Fern Cyrtomium Japanese Holly Fortunei 25/25 Portrait Tag</t>
  </si>
  <si>
    <t>0611834298025</t>
  </si>
  <si>
    <t>TAG Fern Dennstaedtia Hayscented 25/25 Portrait Tag</t>
  </si>
  <si>
    <t>0611834101025</t>
  </si>
  <si>
    <t>TAG Fern Dryopteris Autumn Fern 25/25 Portrait Tag</t>
  </si>
  <si>
    <t>0611834299025</t>
  </si>
  <si>
    <t>TAG Fern Dryopteris Leatherwood Marginalis 25/25 Portrait Tag</t>
  </si>
  <si>
    <t>0611834306100</t>
  </si>
  <si>
    <t>TAG Fern GENERIC 100/100 Pixie Tag</t>
  </si>
  <si>
    <t>0611834842025</t>
  </si>
  <si>
    <t>TAG Fern Hardy GENERIC 25/25 Portrait Tag</t>
  </si>
  <si>
    <t>0611834302025</t>
  </si>
  <si>
    <t>TAG Fern Matteuccia Ostrich Pensylvanica 25/25 Portrait Tag</t>
  </si>
  <si>
    <t>0611834295100</t>
  </si>
  <si>
    <t>TAG Fern Nephrolepis Boston 100/100 Hang Tag</t>
  </si>
  <si>
    <t>0611856950100</t>
  </si>
  <si>
    <t>TAG Fern Nephrolepis Emerald Queen 100/100 Pixie Tag</t>
  </si>
  <si>
    <t>0611836951100</t>
  </si>
  <si>
    <t>TAG Fern Nephrolepis GENERIC 100/100 Hang Tag</t>
  </si>
  <si>
    <t>0611836952100</t>
  </si>
  <si>
    <t>TAG Fern Nephrolepis GENERIC 100/100 Pixie Tag</t>
  </si>
  <si>
    <t>0611834300100</t>
  </si>
  <si>
    <t>TAG Fern Nephrolepis Kimberly Queen 100/100 Pixie Tag</t>
  </si>
  <si>
    <t>0611834305100</t>
  </si>
  <si>
    <t>TAG Fern Nephrolepis Tiger 100/100 Pixie Tag</t>
  </si>
  <si>
    <t>0611834301025</t>
  </si>
  <si>
    <t>TAG Fern Osmunda Cinnamon 25/25 Portrait Tag</t>
  </si>
  <si>
    <t>0611837070025</t>
  </si>
  <si>
    <t>TAG Fern Osmunda Royal 25/25 Portrait Tag</t>
  </si>
  <si>
    <t>0611834303025</t>
  </si>
  <si>
    <t>TAG Fern Polystichum Christmas 25/25 Portrait Tag</t>
  </si>
  <si>
    <t>0611834304025</t>
  </si>
  <si>
    <t>TAG Fern Polystichum Tassel 25/25 Portrait Tag</t>
  </si>
  <si>
    <t>0611834783025</t>
  </si>
  <si>
    <t>TAG Festuca Beyond Blue Glauca 25/25 Portrait Tag</t>
  </si>
  <si>
    <t>0611834784025</t>
  </si>
  <si>
    <t>TAG Festuca Boulder Blue Glauca 25/25 Portrait Tag</t>
  </si>
  <si>
    <t>0611834785100</t>
  </si>
  <si>
    <t>TAG Festuca Buddy Blue Variegated 100/100 Pixie Tag</t>
  </si>
  <si>
    <t>0611834786025</t>
  </si>
  <si>
    <t>TAG Festuca Elijah Blue Glauca 25/25 Portrait Tag</t>
  </si>
  <si>
    <t>0611834787025</t>
  </si>
  <si>
    <t>TAG Festuca Festina 25/25 Portrait Tag</t>
  </si>
  <si>
    <t>0611834788100</t>
  </si>
  <si>
    <t>TAG Festuca Glauca 100/100 Pixie Tag</t>
  </si>
  <si>
    <t>0611834789025</t>
  </si>
  <si>
    <t>TAG Festuca Glauca 25/25 Portrait Tag</t>
  </si>
  <si>
    <t>0611834790025</t>
  </si>
  <si>
    <t>TAG Festuca Select Glauca 25/25 Portrait Tag</t>
  </si>
  <si>
    <t>0611834307100</t>
  </si>
  <si>
    <t>TAG Ficus Benjamina 100/100 Pixie Tag</t>
  </si>
  <si>
    <t>0611834308100</t>
  </si>
  <si>
    <t>TAG Ficus Burgundy 100/100 Pixie Tag</t>
  </si>
  <si>
    <t>0611834309100</t>
  </si>
  <si>
    <t>TAG Ficus Lyrata Fiddleleaf Fig 100/100 Pixie Tag</t>
  </si>
  <si>
    <t>0611834310100</t>
  </si>
  <si>
    <t>TAG Ficus Pumila 100/100 Pixie Tag</t>
  </si>
  <si>
    <t>0611834311100</t>
  </si>
  <si>
    <t>TAG Ficus Robusta 100/100 Pixie Tag</t>
  </si>
  <si>
    <t>0611834312100</t>
  </si>
  <si>
    <t>TAG Ficus Variegated 100/100 Pixie Tag</t>
  </si>
  <si>
    <t>0611834313100</t>
  </si>
  <si>
    <t>TAG Fittonia Argyroneura 100/100 Pixie Tag</t>
  </si>
  <si>
    <t>0611834314100</t>
  </si>
  <si>
    <t>TAG Fittonia Nerve Plant GENERIC 100/100 Pixie Tag</t>
  </si>
  <si>
    <t>0611834315100</t>
  </si>
  <si>
    <t>TAG Fittonia Red Vein 100/100 Pixie Tag</t>
  </si>
  <si>
    <t>0611834316100</t>
  </si>
  <si>
    <t>TAG Flower Bulbs GENERIC 100/100 Pixie Tag</t>
  </si>
  <si>
    <t>0611834317100</t>
  </si>
  <si>
    <t>TAG Flowering Plants GENERIC 100/100 Hang Tag</t>
  </si>
  <si>
    <t>0611834321100</t>
  </si>
  <si>
    <t>TAG Fragaria Strawberry Allstar 100/100 Pixie Tag</t>
  </si>
  <si>
    <t>0611834322100</t>
  </si>
  <si>
    <t>TAG Fragaria Strawberry Alpine 100/100 Pixie Tag</t>
  </si>
  <si>
    <t>0611834323100</t>
  </si>
  <si>
    <t>TAG Fragaria Strawberry Berri Basket White 100/100 Pixie Tag</t>
  </si>
  <si>
    <t>0611834324100</t>
  </si>
  <si>
    <t>TAG Fragaria Strawberry Berries Galore Pink 100/100 Pixie Tag</t>
  </si>
  <si>
    <t>0611834325100</t>
  </si>
  <si>
    <t>TAG Fragaria Strawberry Berries Galore Rose 100/100 Pixie Tag</t>
  </si>
  <si>
    <t>0611834326100</t>
  </si>
  <si>
    <t>TAG Fragaria Strawberry Berries Galore White 100/100 Pixie Tag</t>
  </si>
  <si>
    <t>0611834329100</t>
  </si>
  <si>
    <t>TAG Fragaria Strawberry Delizz 100/100 Pixie Tag</t>
  </si>
  <si>
    <t>0611834330100</t>
  </si>
  <si>
    <t>TAG Fragaria Strawberry Everbearing GENERIC 100/100 Pixie Tag</t>
  </si>
  <si>
    <t>0611834331025</t>
  </si>
  <si>
    <t>TAG Fragaria Strawberry Everbearing GENERIC 25/25 Portrait Tag</t>
  </si>
  <si>
    <t>0611834332100</t>
  </si>
  <si>
    <t>TAG Fragaria Strawberry Eversweet 100/100 Pixie Tag</t>
  </si>
  <si>
    <t>0611834334100</t>
  </si>
  <si>
    <t>TAG Fragaria Strawberry Fort Laramie 100/100 Pixie Tag</t>
  </si>
  <si>
    <t>0611834335100</t>
  </si>
  <si>
    <t>TAG Fragaria Strawberry Gasana 100/100 Pixie Tag</t>
  </si>
  <si>
    <t>0611834336100</t>
  </si>
  <si>
    <t>TAG Fragaria Strawberry Honeoye 100/100 Pixie Tag</t>
  </si>
  <si>
    <t>0611834337100</t>
  </si>
  <si>
    <t>TAG Fragaria Strawberry Junebearing GENERIC 100/100 Pixie Tag</t>
  </si>
  <si>
    <t>0611834339100</t>
  </si>
  <si>
    <t>TAG Fragaria Strawberry Mignonette 100/100 Pixie Tag</t>
  </si>
  <si>
    <t>0611834340100</t>
  </si>
  <si>
    <t>TAG Fragaria Strawberry Ozark Beauty 100/100 Pixie Tag</t>
  </si>
  <si>
    <t>0611834341100</t>
  </si>
  <si>
    <t>TAG Fragaria Strawberry Quinalt 100/100 Pixie Tag</t>
  </si>
  <si>
    <t>0611834342100</t>
  </si>
  <si>
    <t>TAG Fragaria Strawberry Ruby Ann 100/100 Pixie Tag</t>
  </si>
  <si>
    <t>0611834343100</t>
  </si>
  <si>
    <t>TAG Fragaria Strawberry Sequoia 100/100 Pixie Tag</t>
  </si>
  <si>
    <t>0611834344100</t>
  </si>
  <si>
    <t>TAG Fragaria Strawberry Summer Breeze Rose 100/100 Pixie Tag</t>
  </si>
  <si>
    <t>0611834345100</t>
  </si>
  <si>
    <t>TAG Fragaria Strawberry Surecrop 100/100 Pixie Tag</t>
  </si>
  <si>
    <t>0611834346100</t>
  </si>
  <si>
    <t>TAG Fragaria Strawberry Temptation 100/100 Pixie Tag</t>
  </si>
  <si>
    <t>0611834347100</t>
  </si>
  <si>
    <t>TAG Fragaria Strawberry Toscana 100/100 Pixie Tag</t>
  </si>
  <si>
    <t>0611862005050</t>
  </si>
  <si>
    <t>TAG Fuchsia Aretes Alwin 50/50 Petite Portrait FUL</t>
  </si>
  <si>
    <t>0611862013050</t>
  </si>
  <si>
    <t>TAG Fuchsia Aretes Arroyo Grand Upright 50/50 Petite Portrait FUL</t>
  </si>
  <si>
    <t>0611862006050</t>
  </si>
  <si>
    <t>TAG Fuchsia Aretes Arroyo Grande 50/50 Petite Portrait FUL</t>
  </si>
  <si>
    <t>0611862014050</t>
  </si>
  <si>
    <t>TAG Fuchsia Aretes Bari Upright 50/50 Petite Portrait DO FUL</t>
  </si>
  <si>
    <t>0611862007050</t>
  </si>
  <si>
    <t>TAG Fuchsia Aretes Belfort 50/50 Petite Portrait FUL</t>
  </si>
  <si>
    <t>0611862008050</t>
  </si>
  <si>
    <t>TAG Fuchsia Aretes Jollies Nancy 50/50 Petite Portrait FUL</t>
  </si>
  <si>
    <t>0611862009050</t>
  </si>
  <si>
    <t>TAG Fuchsia Aretes Jollies Nantes 50/50 Petite Portrait FUL</t>
  </si>
  <si>
    <t>0611862015050</t>
  </si>
  <si>
    <t>TAG Fuchsia Aretes Jollies Reims Upright 50/50 Petite Portrait FUL</t>
  </si>
  <si>
    <t>0611862016050</t>
  </si>
  <si>
    <t>TAG Fuchsia Aretes Lago Grande Upright 50/50 Petite Portrait FUL</t>
  </si>
  <si>
    <t>0611862017050</t>
  </si>
  <si>
    <t>TAG Fuchsia Aretes Latina Upright 50/50 Petite Portrait DO FUL</t>
  </si>
  <si>
    <t>0611862010050</t>
  </si>
  <si>
    <t>TAG Fuchsia Aretes Patio Princess 50/50 Petite Portrait DO FUL</t>
  </si>
  <si>
    <t>0611862018050</t>
  </si>
  <si>
    <t>TAG Fuchsia Aretes Pompei Upright 50/50 Petite Portrait DO FUL</t>
  </si>
  <si>
    <t>0611862011050</t>
  </si>
  <si>
    <t>TAG Fuchsia Aretes President G Bartlett 50/50 Petite Portrait DO FUL</t>
  </si>
  <si>
    <t>0611862019050</t>
  </si>
  <si>
    <t>TAG Fuchsia Aretes Rimini Upright 50/50 Petite Portrait DO FUL</t>
  </si>
  <si>
    <t>0611862012050</t>
  </si>
  <si>
    <t>TAG Fuchsia Aretes Ringwood Market 50/50 Petite Portrait DO FUL</t>
  </si>
  <si>
    <t>0611862020050</t>
  </si>
  <si>
    <t>TAG Fuchsia Aretes Rio Grande Upright 50/50 Petite Portrait DO FUL</t>
  </si>
  <si>
    <t>0611834351100</t>
  </si>
  <si>
    <t>TAG Fuchsia Autumnale 100/100 Pixie Tag</t>
  </si>
  <si>
    <t>0611862021050</t>
  </si>
  <si>
    <t>TAG Fuchsia Autumnale 50/50 Petite Portrait FUL</t>
  </si>
  <si>
    <t>0611884213050</t>
  </si>
  <si>
    <t>TAG Fuchsia Ballerina Arabesque 50/50 Petite Portrait FUL</t>
  </si>
  <si>
    <t>0611884214050</t>
  </si>
  <si>
    <t>TAG Fuchsia Ballerina Assemble 50/50 Petite Portrait FUL</t>
  </si>
  <si>
    <t>0611884215050</t>
  </si>
  <si>
    <t>TAG Fuchsia Ballerina Brise 50/50 Petite Portrait FUL</t>
  </si>
  <si>
    <t>0611884216050</t>
  </si>
  <si>
    <t>TAG Fuchsia Ballerina Coupe 50/50 Petite Portrait FUL</t>
  </si>
  <si>
    <t>0611884217050</t>
  </si>
  <si>
    <t>TAG Fuchsia Ballerina Pique 50/50 Petite Portrait FUL</t>
  </si>
  <si>
    <t>0611884218050</t>
  </si>
  <si>
    <t>TAG Fuchsia Ballerina Upright Piroet 50/50 Petite Portrait FUL</t>
  </si>
  <si>
    <t>0611884219050</t>
  </si>
  <si>
    <t>TAG Fuchsia Ballerina Upright Releve 50/50 Petite Portrait FUL</t>
  </si>
  <si>
    <t>0611884220050</t>
  </si>
  <si>
    <t>TAG Fuchsia Ballerina Upright Tendu 50/50 Petite Portrait FUL</t>
  </si>
  <si>
    <t>0611834352100</t>
  </si>
  <si>
    <t>TAG Fuchsia Beacon 100/100 Pixie Tag</t>
  </si>
  <si>
    <t>0611834354100</t>
  </si>
  <si>
    <t>TAG Fuchsia Bella Fuchsia Series 100/100 Pixie Tag</t>
  </si>
  <si>
    <t>0611834355100</t>
  </si>
  <si>
    <t>TAG Fuchsia Bella Rosella 100/100 Pixie Tag</t>
  </si>
  <si>
    <t>0611834357100</t>
  </si>
  <si>
    <t>TAG Fuchsia Bicentennial 100/100 Pixie Tag</t>
  </si>
  <si>
    <t>0611834358100</t>
  </si>
  <si>
    <t>TAG Fuchsia Blacky 100/100 Pixie Tag</t>
  </si>
  <si>
    <t>0611834360100</t>
  </si>
  <si>
    <t>TAG Fuchsia Blue Eyes 100/100 Pixie Tag</t>
  </si>
  <si>
    <t>0611862022050</t>
  </si>
  <si>
    <t>TAG Fuchsia Blue Eyes 50/50 Petite Portrait FUL</t>
  </si>
  <si>
    <t>0611862035050</t>
  </si>
  <si>
    <t>TAG Fuchsia Blue Eyes Trailing 50/50 Petite Portrait FUL</t>
  </si>
  <si>
    <t>0611862023050</t>
  </si>
  <si>
    <t>TAG Fuchsia City Lights 50/50 Petite Portrait FUL</t>
  </si>
  <si>
    <t>0611834364100</t>
  </si>
  <si>
    <t>TAG Fuchsia Corabells Dark Eyes 100/100 Pixie Tag</t>
  </si>
  <si>
    <t>0611834366100</t>
  </si>
  <si>
    <t>TAG Fuchsia Corabells Red And White 100/100 Pixie Tag</t>
  </si>
  <si>
    <t>0611834367100</t>
  </si>
  <si>
    <t>TAG Fuchsia Corabells Rose And Purple 100/100 Pixie Tag</t>
  </si>
  <si>
    <t>0611834368100</t>
  </si>
  <si>
    <t>TAG Fuchsia Dark Eyes 100/100 Pixie Tag</t>
  </si>
  <si>
    <t>0611862024050</t>
  </si>
  <si>
    <t>TAG Fuchsia Dark Eyes 50/50 Petite Portrait FUL</t>
  </si>
  <si>
    <t>0611834369100</t>
  </si>
  <si>
    <t>TAG Fuchsia Deep Purple 100/100 Pixie Tag</t>
  </si>
  <si>
    <t>0611834370100</t>
  </si>
  <si>
    <t>TAG Fuchsia Delta Sarah 100/100 Pixie Tag</t>
  </si>
  <si>
    <t>0611834372100</t>
  </si>
  <si>
    <t>TAG Fuchsia Dollar Princess 100/100 Pixie Tag</t>
  </si>
  <si>
    <t>0611862025050</t>
  </si>
  <si>
    <t>TAG Fuchsia Dollar Princess 50/50 Petite Portrait FUL</t>
  </si>
  <si>
    <t>0611862026050</t>
  </si>
  <si>
    <t>TAG Fuchsia Dusky Rose Trailing 50/50 Petite Portrait FUL</t>
  </si>
  <si>
    <t>0611862027050</t>
  </si>
  <si>
    <t>TAG Fuchsia Electric Lights 50/50 Petite Portrait FUL</t>
  </si>
  <si>
    <t>0611834374100</t>
  </si>
  <si>
    <t>TAG Fuchsia Eruptions 100/100 Pixie Tag</t>
  </si>
  <si>
    <t>0611834375100</t>
  </si>
  <si>
    <t>TAG Fuchsia Firecracker 100/100 Pixie Tag</t>
  </si>
  <si>
    <t>0611862040050</t>
  </si>
  <si>
    <t>TAG Fuchsia Firecracker Upright 50/50 Petite Portrait FUL</t>
  </si>
  <si>
    <t>0611834377100</t>
  </si>
  <si>
    <t>TAG Fuchsia Frosted Flame 100/100 Pixie Tag</t>
  </si>
  <si>
    <t>0611834380100</t>
  </si>
  <si>
    <t>TAG Fuchsia Gartenmeister 100/100 Pixie Tag</t>
  </si>
  <si>
    <t>0611862041050</t>
  </si>
  <si>
    <t>TAG Fuchsia Gartenmeister Upright 50/50 Petite Portrait FUL</t>
  </si>
  <si>
    <t>0611834378100</t>
  </si>
  <si>
    <t>TAG Fuchsia GENERIC 100/100 Hang Tag</t>
  </si>
  <si>
    <t>0611834379100</t>
  </si>
  <si>
    <t>TAG Fuchsia GENERIC 100/100 Pixie Tag</t>
  </si>
  <si>
    <t>0611862028050</t>
  </si>
  <si>
    <t>TAG Fuchsia Happy Lights 50/50 Petite Portrait FUL</t>
  </si>
  <si>
    <t>0611834387100</t>
  </si>
  <si>
    <t>TAG Fuchsia Heri Mochara 100/100 Pixie Tag</t>
  </si>
  <si>
    <t>0611834390100</t>
  </si>
  <si>
    <t>TAG Fuchsia Jingle Bells 100/100 Pixie Tag</t>
  </si>
  <si>
    <t>0611834393100</t>
  </si>
  <si>
    <t>TAG Fuchsia Koralle 100/100 Pixie Tag</t>
  </si>
  <si>
    <t>0611834394100</t>
  </si>
  <si>
    <t>TAG Fuchsia La Campanella 100/100 Pixie Tag</t>
  </si>
  <si>
    <t>0611862029050</t>
  </si>
  <si>
    <t>TAG Fuchsia La Campanella 50/50 Petite Portrait FUL</t>
  </si>
  <si>
    <t>0611834395100</t>
  </si>
  <si>
    <t>TAG Fuchsia Lena 100/100 Pixie Tag</t>
  </si>
  <si>
    <t>0611862036050</t>
  </si>
  <si>
    <t>TAG Fuchsia Lena Trailing 50/50 Petite Portrait FUL</t>
  </si>
  <si>
    <t>0611834397100</t>
  </si>
  <si>
    <t>TAG Fuchsia Marinka 100/100 Pixie Tag</t>
  </si>
  <si>
    <t>0611862037050</t>
  </si>
  <si>
    <t>TAG Fuchsia Marinka Trailing 50/50 Petite Portrait FUL</t>
  </si>
  <si>
    <t>0611834398100</t>
  </si>
  <si>
    <t>TAG Fuchsia Millenium 100/100 Pixie Tag</t>
  </si>
  <si>
    <t>0611834399100</t>
  </si>
  <si>
    <t>TAG Fuchsia Miss California 100/100 Pixie Tag</t>
  </si>
  <si>
    <t>0611862030050</t>
  </si>
  <si>
    <t>TAG Fuchsia Northern Lights Upright 50/50 Petite Portrait FUL</t>
  </si>
  <si>
    <t>0611834401100</t>
  </si>
  <si>
    <t>TAG Fuchsia Orange King 100/100 Pixie Tag</t>
  </si>
  <si>
    <t>0611834402100</t>
  </si>
  <si>
    <t>TAG Fuchsia Patio Princess 100/100 Pixie Tag</t>
  </si>
  <si>
    <t>0611834403100</t>
  </si>
  <si>
    <t>TAG Fuchsia Paula Jane 100/100 Pixie Tag</t>
  </si>
  <si>
    <t>0611862031050</t>
  </si>
  <si>
    <t>TAG Fuchsia Paula Jane 50/50 Petite Portrait FUL</t>
  </si>
  <si>
    <t>0611834404100</t>
  </si>
  <si>
    <t>TAG Fuchsia Peachy 100/100 Pixie Tag</t>
  </si>
  <si>
    <t>0611834405100</t>
  </si>
  <si>
    <t>TAG Fuchsia Pink Ballet Girl 100/100 Pixie Tag</t>
  </si>
  <si>
    <t>0611834406100</t>
  </si>
  <si>
    <t>TAG Fuchsia Pink Galore 100/100 Pixie Tag</t>
  </si>
  <si>
    <t>0611834407100</t>
  </si>
  <si>
    <t>TAG Fuchsia Pink Marshmallow 100/100 Pixie Tag</t>
  </si>
  <si>
    <t>0611862038050</t>
  </si>
  <si>
    <t>TAG Fuchsia Pink Marshmallow Trailing 50/50 Petite Portrait FUL</t>
  </si>
  <si>
    <t>0611834409100</t>
  </si>
  <si>
    <t>TAG Fuchsia Red Spider 100/100 Pixie Tag</t>
  </si>
  <si>
    <t>0611834410100</t>
  </si>
  <si>
    <t>TAG Fuchsia Ringwood Market 100/100 Pixie Tag</t>
  </si>
  <si>
    <t>0611834414100</t>
  </si>
  <si>
    <t>TAG Fuchsia Sir Matt Busby 100/100 Pixie Tag</t>
  </si>
  <si>
    <t>0611862032050</t>
  </si>
  <si>
    <t>TAG Fuchsia Skyrocket 50/50 Petite Portrait FUL</t>
  </si>
  <si>
    <t>0611834416100</t>
  </si>
  <si>
    <t>TAG Fuchsia Southgate 100/100 Pixie Tag</t>
  </si>
  <si>
    <t>0611862033050</t>
  </si>
  <si>
    <t>TAG Fuchsia Southgate 50/50 Petite Portrait FUL</t>
  </si>
  <si>
    <t>0611834418100</t>
  </si>
  <si>
    <t>TAG Fuchsia Stand Up Series 100/100 Pixie Tag</t>
  </si>
  <si>
    <t>0611834419100</t>
  </si>
  <si>
    <t>TAG Fuchsia Sunbeam Ernie 100/100 Pixie Tag</t>
  </si>
  <si>
    <t>0611834420100</t>
  </si>
  <si>
    <t>TAG Fuchsia Sunbeam GENERIC 100/100 Pixie Tag</t>
  </si>
  <si>
    <t>0611834422100</t>
  </si>
  <si>
    <t>TAG Fuchsia Sunbeam Lambada 100/100 Pixie Tag</t>
  </si>
  <si>
    <t>0611834423100</t>
  </si>
  <si>
    <t>TAG Fuchsia Sunbeam Paloma 100/100 Pixie Tag</t>
  </si>
  <si>
    <t>0611834424100</t>
  </si>
  <si>
    <t>TAG Fuchsia Sunbeam Rocky 100/100 Pixie Tag</t>
  </si>
  <si>
    <t>0611834425100</t>
  </si>
  <si>
    <t>TAG Fuchsia Sunbeam Samba 100/100 Pixie Tag</t>
  </si>
  <si>
    <t>0611834426100</t>
  </si>
  <si>
    <t>TAG Fuchsia Swingtime 100/100 Pixie Tag</t>
  </si>
  <si>
    <t>0611862034050</t>
  </si>
  <si>
    <t>TAG Fuchsia Swingtime 50/50 Petite Portrait FUL</t>
  </si>
  <si>
    <t>0611834429100</t>
  </si>
  <si>
    <t>TAG Fuchsia Trailing GENERIC 100/100 Pixie Tag</t>
  </si>
  <si>
    <t>0611834430100</t>
  </si>
  <si>
    <t>TAG Fuchsia Upright GENERIC 100/100 Pixie Tag</t>
  </si>
  <si>
    <t>0611834432100</t>
  </si>
  <si>
    <t>TAG Fuchsia Voodoo 100/100 Pixie Tag</t>
  </si>
  <si>
    <t>0611862042050</t>
  </si>
  <si>
    <t>TAG Fuchsia Voodoo Upright 50/50 Petite Portrait FUL</t>
  </si>
  <si>
    <t>0611834433100</t>
  </si>
  <si>
    <t>TAG Fuchsia White Eyes 100/100 Pixie Tag</t>
  </si>
  <si>
    <t>0611862039050</t>
  </si>
  <si>
    <t>TAG Fuchsia White Eyes Trailing 50/50 Petite Portrait FUL</t>
  </si>
  <si>
    <t>0611834434100</t>
  </si>
  <si>
    <t>TAG Fuchsia Windchimes Series Trailing 100/100 Pixie Tag</t>
  </si>
  <si>
    <t>0611834435100</t>
  </si>
  <si>
    <t>TAG Fuchsia Windchimes Upright 100/100 Pixie Tag</t>
  </si>
  <si>
    <t>0611834436100</t>
  </si>
  <si>
    <t>TAG Fuchsia Winston Churchill 100/100 Pixie Tag</t>
  </si>
  <si>
    <t>0611834437025</t>
  </si>
  <si>
    <t>TAG Fuseables Healing Waters 25/25 Portrait Tag</t>
  </si>
  <si>
    <t>0611834439025</t>
  </si>
  <si>
    <t>TAG Gaillardia Arizona Apricot 25/25 Portrait Tag</t>
  </si>
  <si>
    <t>0611834440025</t>
  </si>
  <si>
    <t>TAG Gaillardia Arizona Red Shades 25/25 Portrait Tag</t>
  </si>
  <si>
    <t>0611834441025</t>
  </si>
  <si>
    <t>TAG Gaillardia Arizona Sun 25/25 Portrait Tag</t>
  </si>
  <si>
    <t>0611834442025</t>
  </si>
  <si>
    <t>TAG Gaillardia Barbican Red 25/25 Portrait Tag SF</t>
  </si>
  <si>
    <t>0611834443025</t>
  </si>
  <si>
    <t>TAG Gaillardia Barbican Yellow Red Ring 25/25 Portrait Tag SF</t>
  </si>
  <si>
    <t>0611834444100</t>
  </si>
  <si>
    <t>TAG Gaillardia Burgundy 100/100 Pixie Tag</t>
  </si>
  <si>
    <t>0611862043100</t>
  </si>
  <si>
    <t>TAG Gaillardia Celebration 100/100 Pixie Tag FUL</t>
  </si>
  <si>
    <t>0611862044050</t>
  </si>
  <si>
    <t>TAG Gaillardia Celebration 50/50 Petite Portrait FUL</t>
  </si>
  <si>
    <t>0611862045100</t>
  </si>
  <si>
    <t>TAG Gaillardia Fanfare Blaze 100/100 Pixie Tag FUL</t>
  </si>
  <si>
    <t>0611862046100</t>
  </si>
  <si>
    <t>TAG Gaillardia Fanfare Citronella Limited Availability 100/100 Pixie Tag</t>
  </si>
  <si>
    <t>0611862047050</t>
  </si>
  <si>
    <t>TAG Gaillardia Fanfare Citronella Limited Availability 50/50 Petite Portrait</t>
  </si>
  <si>
    <t>0611862048100</t>
  </si>
  <si>
    <t>TAG Gaillardia Fanfare Showtime 100/100 Pixie Tag FUL</t>
  </si>
  <si>
    <t>0611862049050</t>
  </si>
  <si>
    <t>TAG Gaillardia Fanfare Showtime 50/50 Petite Portrait FUL</t>
  </si>
  <si>
    <t>0611834446025</t>
  </si>
  <si>
    <t>TAG Gaillardia Fire Wheels 25/25 Portrait Tag</t>
  </si>
  <si>
    <t>0611834453025</t>
  </si>
  <si>
    <t>TAG Gaillardia Galya Series 25/25 Portrait Tag</t>
  </si>
  <si>
    <t>0611834447100</t>
  </si>
  <si>
    <t>TAG Gaillardia GENERIC 100/100 Pixie Tag</t>
  </si>
  <si>
    <t>0611834448025</t>
  </si>
  <si>
    <t>TAG Gaillardia GENERIC 25/25 Portrait Tag</t>
  </si>
  <si>
    <t>0611834454100</t>
  </si>
  <si>
    <t>TAG Gaillardia Goblin 100/100 Pixie Tag</t>
  </si>
  <si>
    <t>0611834455025</t>
  </si>
  <si>
    <t>TAG Gaillardia Goblin 25/25 Portrait Tag</t>
  </si>
  <si>
    <t>0611856951025</t>
  </si>
  <si>
    <t>TAG Gaillardia Gusto Lemon 25/25 Portrait Tag</t>
  </si>
  <si>
    <t>0611856952025</t>
  </si>
  <si>
    <t>TAG Gaillardia Gusto Paprika 25/25 Portrait Tag</t>
  </si>
  <si>
    <t>0611856953025</t>
  </si>
  <si>
    <t>TAG Gaillardia Gusto Saffron 25/25 Portrait Tag</t>
  </si>
  <si>
    <t>0611856954025</t>
  </si>
  <si>
    <t>TAG Gaillardia Gusto Sweet Chili 25/25 Portrait Tag</t>
  </si>
  <si>
    <t>0611834456025</t>
  </si>
  <si>
    <t>TAG Gaillardia Lunar Blood Moon 25/25 Portrait Tag</t>
  </si>
  <si>
    <t>0611834457025</t>
  </si>
  <si>
    <t>TAG Gaillardia Lunar Eclipse 25/25 Portrait Tag</t>
  </si>
  <si>
    <t>0611834458025</t>
  </si>
  <si>
    <t>TAG Gaillardia Lunar Harvest Moon 25/25 Portrait Tag</t>
  </si>
  <si>
    <t>0611834459025</t>
  </si>
  <si>
    <t>TAG Gaillardia Lunar Honey Moon 25/25 Portrait Tag</t>
  </si>
  <si>
    <t>0611834460025</t>
  </si>
  <si>
    <t>TAG Gaillardia Lunar Orange Moon 25/25 Portrait Tag</t>
  </si>
  <si>
    <t>0611834461025</t>
  </si>
  <si>
    <t>TAG Gaillardia Lunar Red Moon 25/25 Portrait Tag</t>
  </si>
  <si>
    <t>0611834462025</t>
  </si>
  <si>
    <t>TAG Gaillardia Mesa Bright Bicolour 25/25 Portrait Tag</t>
  </si>
  <si>
    <t>0611834463025</t>
  </si>
  <si>
    <t>TAG Gaillardia Mesa Peach 25/25 Portrait Tag</t>
  </si>
  <si>
    <t>0611834464025</t>
  </si>
  <si>
    <t>TAG Gaillardia Mesa Red 25/25 Portrait Tag</t>
  </si>
  <si>
    <t>0611834465025</t>
  </si>
  <si>
    <t>TAG Gaillardia Mesa Yellow 25/25 Portrait Tag</t>
  </si>
  <si>
    <t>0611862050100</t>
  </si>
  <si>
    <t>TAG Gaillardia SpinTop Copper Sun 100/100 Pixie Tag DO FUL</t>
  </si>
  <si>
    <t>0611834466025</t>
  </si>
  <si>
    <t>TAG Gaillardia SpinTop Copper Sun 25/25 Portrait Tag DO</t>
  </si>
  <si>
    <t>0611862051050</t>
  </si>
  <si>
    <t>TAG Gaillardia SpinTop Copper Sun 50/50 Petite Portrait DO FUL</t>
  </si>
  <si>
    <t>0611862052100</t>
  </si>
  <si>
    <t>TAG Gaillardia SpinTop Mango 100/100 Pixie Tag DO FUL</t>
  </si>
  <si>
    <t>0611862053100</t>
  </si>
  <si>
    <t>TAG Gaillardia SpinTop Mariachi Copper Sun 100/100 Pixie Tag DO FUL</t>
  </si>
  <si>
    <t>0611862054100</t>
  </si>
  <si>
    <t>TAG Gaillardia SpinTop Orange Halo 100/100 Pixie Tag DO FUL</t>
  </si>
  <si>
    <t>0611834467025</t>
  </si>
  <si>
    <t>TAG Gaillardia SpinTop Orange Halo 25/25 Portrait Tag DO</t>
  </si>
  <si>
    <t>0611862056100</t>
  </si>
  <si>
    <t>TAG Gaillardia SpinTop Pineapple 100/100 Pixie Tag DO FUL</t>
  </si>
  <si>
    <t>0611862057100</t>
  </si>
  <si>
    <t>TAG Gaillardia SpinTop Red 100/100 Pixie Tag DO FUL</t>
  </si>
  <si>
    <t>0611834468025</t>
  </si>
  <si>
    <t>TAG Gaillardia SpinTop Red 25/25 Portrait Tag DO</t>
  </si>
  <si>
    <t>0611862058100</t>
  </si>
  <si>
    <t>TAG Gaillardia SpinTop Red Starburst 100/100 Pixie Tag DO FUL</t>
  </si>
  <si>
    <t>0611834469025</t>
  </si>
  <si>
    <t>TAG Gaillardia SpinTop Red Starburst 25/25 Portrait Tag DO</t>
  </si>
  <si>
    <t>0611862059050</t>
  </si>
  <si>
    <t>TAG Gaillardia SpinTop Red Starburst 50/50 Petite Portrait DO FUL</t>
  </si>
  <si>
    <t>0611834470025</t>
  </si>
  <si>
    <t>TAG Gaillardia SpinTop Yellow Halo 25/25 Portrait Tag DO</t>
  </si>
  <si>
    <t>0611862060100</t>
  </si>
  <si>
    <t>TAG Gaillardia SpinTop Yellow Touch 100/100 Pixie Tag DO FUL</t>
  </si>
  <si>
    <t>0611834471025</t>
  </si>
  <si>
    <t>TAG Gaillardia SpinTop Yellow Touch 25/25 Portrait Tag DO</t>
  </si>
  <si>
    <t>0611862061050</t>
  </si>
  <si>
    <t>TAG Gaillardia SpinTop Yellow Touch 50/50 Petite Portrait DO FUL</t>
  </si>
  <si>
    <t>0611834472025</t>
  </si>
  <si>
    <t>TAG Gaillardia Sun Devil 25/25 Portrait Tag</t>
  </si>
  <si>
    <t>0611834473025</t>
  </si>
  <si>
    <t>TAG Gaillardia Sun Flare 25/25 Portrait Tag</t>
  </si>
  <si>
    <t>0611834474025</t>
  </si>
  <si>
    <t>TAG Gaillardia Sun Red 25/25 Portrait Tag</t>
  </si>
  <si>
    <t>0611862062050</t>
  </si>
  <si>
    <t>TAG Gaillardia Sunrita Burgundy Blanket 50/50 Petite Portrait SF FUL</t>
  </si>
  <si>
    <t>0611862063050</t>
  </si>
  <si>
    <t>TAG Gaillardia Sunrita Golden Yellow 50/50 Petite Portrait SF FUL</t>
  </si>
  <si>
    <t>0611862064050</t>
  </si>
  <si>
    <t>TAG Gaillardia Sunrita Red Yellow Tip 50/50 Petite Portrait SF FUL</t>
  </si>
  <si>
    <t>0611862065050</t>
  </si>
  <si>
    <t>TAG Gaillardia Sunrita Yellow Red Ring 50/50 Petite Portrait SF FUL</t>
  </si>
  <si>
    <t>0611862066100</t>
  </si>
  <si>
    <t>TAG Gaillardia Sunset Cutie 100/100 Pixie Tag FUL</t>
  </si>
  <si>
    <t>0611862067100</t>
  </si>
  <si>
    <t>TAG Gaillardia Sunset Flash 100/100 Pixie Tag FUL</t>
  </si>
  <si>
    <t>0611862068050</t>
  </si>
  <si>
    <t>TAG Gaillardia Sunset Flash Limited Availability 50/50 Petite Portrait</t>
  </si>
  <si>
    <t>0611862069100</t>
  </si>
  <si>
    <t>TAG Gaillardia Sunset Orange 100/100 Pixie Tag FUL</t>
  </si>
  <si>
    <t>0611862070050</t>
  </si>
  <si>
    <t>TAG Gaillardia Sunset Orange Limited Availability 50/50 Petite Portrait FUL</t>
  </si>
  <si>
    <t>0611862071100</t>
  </si>
  <si>
    <t>TAG Gaillardia Sunset Snappy 100/100 Pixie Tag FUL</t>
  </si>
  <si>
    <t>0611862072050</t>
  </si>
  <si>
    <t>TAG Gaillardia Sunset Snappy Limited Availability 50/50 Petite Portrait</t>
  </si>
  <si>
    <t>0611862073100</t>
  </si>
  <si>
    <t>TAG Gaillardia Sunset Sunrise 100/100 Pixie Tag FUL</t>
  </si>
  <si>
    <t>0611862074050</t>
  </si>
  <si>
    <t>TAG Gaillardia Yellow Red Ring 50/50 Petite Portrait FUL</t>
  </si>
  <si>
    <t>0611834475100</t>
  </si>
  <si>
    <t>TAG Galium Odoratum 100/100 Pixie Tag</t>
  </si>
  <si>
    <t>0611834476025</t>
  </si>
  <si>
    <t>TAG Galium Odoratum 25/25 Portrait Tag</t>
  </si>
  <si>
    <t>0611834477100</t>
  </si>
  <si>
    <t>TAG Galium Sweet Woodruff 100/100 Pixie Tag</t>
  </si>
  <si>
    <t>0611862075100</t>
  </si>
  <si>
    <t>TAG Galium Sweet Woodruff CN5180 100/100 Pixie Tag FUL</t>
  </si>
  <si>
    <t>0611834478100</t>
  </si>
  <si>
    <t>TAG Garlic Society Tulbaghia 100/100 Pixie Tag</t>
  </si>
  <si>
    <t>0611884221100</t>
  </si>
  <si>
    <t>TAG Gasteria D Tiga 100/100 Pixie Tag FUL</t>
  </si>
  <si>
    <t>0611862092100</t>
  </si>
  <si>
    <t>TAG Gasteria Durban 100/100 Pixie Tag FUL</t>
  </si>
  <si>
    <t>0611862093100</t>
  </si>
  <si>
    <t>TAG Gasteria Ernesti Ruschii 100/100 Pixie Tag FUL</t>
  </si>
  <si>
    <t>0611862094100</t>
  </si>
  <si>
    <t>TAG Gasteria Ewoud 100/100 Pixie Tag FUL</t>
  </si>
  <si>
    <t>0611862095100</t>
  </si>
  <si>
    <t>TAG Gasteria Flow 100/100 Pixie Tag FUL</t>
  </si>
  <si>
    <t>0611862096100</t>
  </si>
  <si>
    <t>TAG Gasteria Fuscopunctata 100/100 Pixie Tag FUL</t>
  </si>
  <si>
    <t>0611834479100</t>
  </si>
  <si>
    <t>TAG Gasteria GENERIC 100/100 Pixie Tag</t>
  </si>
  <si>
    <t>0611862097100</t>
  </si>
  <si>
    <t>TAG Gasteria Gracilis 100/100 Pixie Tag FUL</t>
  </si>
  <si>
    <t>0611862098100</t>
  </si>
  <si>
    <t>TAG Gasteria Green Star 100/100 Pixie Tag FUL</t>
  </si>
  <si>
    <t>0611862099100</t>
  </si>
  <si>
    <t>TAG Gasteria Kyaka 100/100 Pixie Tag FUL</t>
  </si>
  <si>
    <t>0611862100100</t>
  </si>
  <si>
    <t>TAG Gasteria Liliputana 100/100 Pixie Tag FUL</t>
  </si>
  <si>
    <t>0611862101100</t>
  </si>
  <si>
    <t>TAG Gasteria Limpopo 100/100 Pixie Tag FUL</t>
  </si>
  <si>
    <t>0611862102100</t>
  </si>
  <si>
    <t>TAG Gasteria Little Warty 100/100 Pixie Tag FUL</t>
  </si>
  <si>
    <t>0611862103100</t>
  </si>
  <si>
    <t>TAG Gasteria Morombe 100/100 Pixie Tag FUL</t>
  </si>
  <si>
    <t>0611862104100</t>
  </si>
  <si>
    <t>TAG Gasteria Okavango 100/100 Pixie Tag FUL</t>
  </si>
  <si>
    <t>0611862105100</t>
  </si>
  <si>
    <t>TAG Gasteria Royal Wolfgang 100/100 Pixie Tag FUL</t>
  </si>
  <si>
    <t>0611862106100</t>
  </si>
  <si>
    <t>TAG Gasteria Verrucosa 100/100 Pixie Tag FUL</t>
  </si>
  <si>
    <t>0611862107100</t>
  </si>
  <si>
    <t>TAG Gasteria Zimflora 100/100 Pixie Tag FUL</t>
  </si>
  <si>
    <t>0611834480025</t>
  </si>
  <si>
    <t>TAG Gaura Baby Butterfly Dark Pink 25/25 Portrait Tag</t>
  </si>
  <si>
    <t>0611834481025</t>
  </si>
  <si>
    <t>TAG Gaura Ballerina Rose 25/25 Portrait Tag</t>
  </si>
  <si>
    <t>0611834482025</t>
  </si>
  <si>
    <t>TAG Gaura Bantam Iris Pink 25/25 Portrait Tag</t>
  </si>
  <si>
    <t>0611834483025</t>
  </si>
  <si>
    <t>TAG Gaura Bantam Pink 25/25 Portrait Tag</t>
  </si>
  <si>
    <t>0611834484025</t>
  </si>
  <si>
    <t>TAG Gaura Bantam White 25/25 Portrait Tag</t>
  </si>
  <si>
    <t>0611834485025</t>
  </si>
  <si>
    <t>TAG Gaura Belleza Compact Light Pink 25/25 Portrait Tag</t>
  </si>
  <si>
    <t>0611862108100</t>
  </si>
  <si>
    <t>TAG Gaura Belleza Dark Pink 100/100 Pixie Tag FUL</t>
  </si>
  <si>
    <t>0611834486025</t>
  </si>
  <si>
    <t>TAG Gaura Belleza Dark Pink 25/25 Portrait Tag</t>
  </si>
  <si>
    <t>0611862109100</t>
  </si>
  <si>
    <t>TAG Gaura Belleza White 100/100 Pixie Tag FUL</t>
  </si>
  <si>
    <t>0611834487025</t>
  </si>
  <si>
    <t>TAG Gaura Belleza White 25/25 Portrait Tag</t>
  </si>
  <si>
    <t>0611834488025</t>
  </si>
  <si>
    <t>TAG Gaura Bloom Baby 25/25 Portrait Tag</t>
  </si>
  <si>
    <t>0611834489025</t>
  </si>
  <si>
    <t>TAG Gaura Cherry Brandy 25/25 Portrait Tag</t>
  </si>
  <si>
    <t>0611834491025</t>
  </si>
  <si>
    <t>TAG Gaura Freefolk Rosy 25/25 Portrait Tag</t>
  </si>
  <si>
    <t>0611884222100</t>
  </si>
  <si>
    <t>TAG Gaura Gambit Rose 100/100 Pixie Tag</t>
  </si>
  <si>
    <t>0611834493025</t>
  </si>
  <si>
    <t>TAG Gaura Gaudi Red 25/25 Portrait Tag</t>
  </si>
  <si>
    <t>0611834495025</t>
  </si>
  <si>
    <t>TAG Gaura Gauriella Bicolor 25/25 Portrait Tag</t>
  </si>
  <si>
    <t>0611834497025</t>
  </si>
  <si>
    <t>TAG Gaura Grace Pink Compact 25/25 Portrait Tag</t>
  </si>
  <si>
    <t>0611862110100</t>
  </si>
  <si>
    <t>TAG Gaura Graceful Blush 100/100 Pixie Tag DO FUL</t>
  </si>
  <si>
    <t>0611862111100</t>
  </si>
  <si>
    <t>TAG Gaura Graceful Magic 100/100 Pixie Tag DO FUL</t>
  </si>
  <si>
    <t>0611862112100</t>
  </si>
  <si>
    <t>TAG Gaura Graceful Pink 100/100 Pixie Tag DO FUL</t>
  </si>
  <si>
    <t>0611862113050</t>
  </si>
  <si>
    <t>TAG Gaura Graceful Pink 50/50 Petite Portrait DO FUL</t>
  </si>
  <si>
    <t>0611862114100</t>
  </si>
  <si>
    <t>TAG Gaura Graceful White 100/100 Pixie Tag DO FUL</t>
  </si>
  <si>
    <t>0611834498100</t>
  </si>
  <si>
    <t>TAG Gaura Lindheimeri GENERIC 100/100 Pixie Tag</t>
  </si>
  <si>
    <t>0611834500025</t>
  </si>
  <si>
    <t>TAG Gaura Little Janie 25/25 Portrait Tag</t>
  </si>
  <si>
    <t>0611834501025</t>
  </si>
  <si>
    <t>TAG Gaura Passionate Blush 25/25 Portrait Tag</t>
  </si>
  <si>
    <t>0611862115100</t>
  </si>
  <si>
    <t>TAG Gaura Passionate Rainbow 100/100 Pixie Tag FUL</t>
  </si>
  <si>
    <t>0611834502025</t>
  </si>
  <si>
    <t>TAG Gaura Passionate Rainbow 25/25 Portrait Tag</t>
  </si>
  <si>
    <t>0611834503025</t>
  </si>
  <si>
    <t>TAG Gaura Pink 25/25 Portrait Tag</t>
  </si>
  <si>
    <t>0611862116100</t>
  </si>
  <si>
    <t>TAG Gaura Rosy Jane 100/100 Pixie Tag FUL</t>
  </si>
  <si>
    <t>0611834505025</t>
  </si>
  <si>
    <t>TAG Gaura Rosy Jane 25/25 Portrait Tag</t>
  </si>
  <si>
    <t>0611862117100</t>
  </si>
  <si>
    <t>TAG Gaura Siskiyou Pink 100/100 Pixie Tag FUL</t>
  </si>
  <si>
    <t>0611834506025</t>
  </si>
  <si>
    <t>TAG Gaura Siskiyou Pink 25/25 Portrait Tag</t>
  </si>
  <si>
    <t>0611862118050</t>
  </si>
  <si>
    <t>TAG Gaura Siskiyou Pink Limited Availability 50/50 Petite Portrait</t>
  </si>
  <si>
    <t>0611834507025</t>
  </si>
  <si>
    <t>TAG Gaura Sparkle White 25/25 Portrait Tag</t>
  </si>
  <si>
    <t>0611834508025</t>
  </si>
  <si>
    <t>TAG Gaura Steffi Blush Pink 25/25 Portrait Tag</t>
  </si>
  <si>
    <t>0611834509025</t>
  </si>
  <si>
    <t>TAG Gaura Steffi Dark Rose 25/25 Portrait Tag</t>
  </si>
  <si>
    <t>0611856955025</t>
  </si>
  <si>
    <t>TAG Gaura Steffi White 25/25 Portrait Tag</t>
  </si>
  <si>
    <t>0611862119100</t>
  </si>
  <si>
    <t>TAG Gaura Whirling Butterflies 100/100 Pixie Tag FUL</t>
  </si>
  <si>
    <t>0611834512025</t>
  </si>
  <si>
    <t>TAG Gaura Whirling Butterflies 25/25 Portrait Tag</t>
  </si>
  <si>
    <t>0611834513025</t>
  </si>
  <si>
    <t>TAG Gaura Whiskers Deep Rose 25/25 Portrait Tag</t>
  </si>
  <si>
    <t>0611834514025</t>
  </si>
  <si>
    <t>TAG Gaura White Dove 25/25 Portrait Tag</t>
  </si>
  <si>
    <t>0611834544100</t>
  </si>
  <si>
    <t>TAG Gazania Big Kiss Orange 100/100 Pixie Tag SF</t>
  </si>
  <si>
    <t>0611834545100</t>
  </si>
  <si>
    <t>TAG Gazania Big Kiss Orange Flame 100/100 Pixie Tag SF</t>
  </si>
  <si>
    <t>0611834546100</t>
  </si>
  <si>
    <t>TAG Gazania Big Kiss Red 100/100 Pixie Tag SF</t>
  </si>
  <si>
    <t>0611834547100</t>
  </si>
  <si>
    <t>TAG Gazania Big Kiss Series 100/100 Pixie Tag SF</t>
  </si>
  <si>
    <t>0611834548100</t>
  </si>
  <si>
    <t>TAG Gazania Big Kiss White 100/100 Pixie Tag SF</t>
  </si>
  <si>
    <t>0611834549100</t>
  </si>
  <si>
    <t>TAG Gazania Big Kiss White Flame 100/100 Pixie Tag SF</t>
  </si>
  <si>
    <t>0611834550100</t>
  </si>
  <si>
    <t>TAG Gazania Big Kiss Yellow 100/100 Pixie Tag SF</t>
  </si>
  <si>
    <t>0611834551100</t>
  </si>
  <si>
    <t>TAG Gazania Big Kiss Yellow Flame 100/100 Pixie Tag SF</t>
  </si>
  <si>
    <t>0611834515100</t>
  </si>
  <si>
    <t>TAG Gazania Day Bright Mix 100/100 Pixie Tag</t>
  </si>
  <si>
    <t>0611834516100</t>
  </si>
  <si>
    <t>TAG Gazania Day Bronze Shades 100/100 Pixie Tag</t>
  </si>
  <si>
    <t>0611834517100</t>
  </si>
  <si>
    <t>TAG Gazania Day Clear Orange 100/100 Pixie Tag</t>
  </si>
  <si>
    <t>0611834518100</t>
  </si>
  <si>
    <t>TAG Gazania Day Mix 100/100 Pixie Tag</t>
  </si>
  <si>
    <t>0611834519100</t>
  </si>
  <si>
    <t>TAG Gazania Day Pink Shades 100/100 Pixie Tag</t>
  </si>
  <si>
    <t>0611834520100</t>
  </si>
  <si>
    <t>TAG Gazania Day Red Shades 100/100 Pixie Tag</t>
  </si>
  <si>
    <t>0611834521100</t>
  </si>
  <si>
    <t>TAG Gazania Day Red Stripe 100/100 Pixie Tag</t>
  </si>
  <si>
    <t>0611834522100</t>
  </si>
  <si>
    <t>TAG Gazania Day Rose Stripe 100/100 Pixie Tag</t>
  </si>
  <si>
    <t>0611834523100</t>
  </si>
  <si>
    <t>TAG Gazania Day Strawberry Shortcake Mix 100/100 Pixie Tag</t>
  </si>
  <si>
    <t>0611834524100</t>
  </si>
  <si>
    <t>TAG Gazania Day Sunny Side Up Mix 100/100 Pixie Tag</t>
  </si>
  <si>
    <t>0611834525100</t>
  </si>
  <si>
    <t>TAG Gazania Day Tiger Mix 100/100 Pixie Tag</t>
  </si>
  <si>
    <t>0611834526100</t>
  </si>
  <si>
    <t>TAG Gazania Day White 100/100 Pixie Tag</t>
  </si>
  <si>
    <t>0611834527100</t>
  </si>
  <si>
    <t>TAG Gazania Day Yellow 100/100 Pixie Tag</t>
  </si>
  <si>
    <t>0611834528100</t>
  </si>
  <si>
    <t>TAG Gazania Daybreak Bright Orange 100/100 Pixie Tag</t>
  </si>
  <si>
    <t>0611834529100</t>
  </si>
  <si>
    <t>TAG Gazania Daybreak Bright Yellow 100/100 Pixie Tag</t>
  </si>
  <si>
    <t>0611834530100</t>
  </si>
  <si>
    <t>TAG Gazania Daybreak Mix 100/100 Pixie Tag</t>
  </si>
  <si>
    <t>0611834531100</t>
  </si>
  <si>
    <t>TAG Gazania Daybreak Pink Shades 100/100 Pixie Tag</t>
  </si>
  <si>
    <t>0611834532100</t>
  </si>
  <si>
    <t>TAG Gazania Daybreak Red Stripe 100/100 Pixie Tag</t>
  </si>
  <si>
    <t>0611834534100</t>
  </si>
  <si>
    <t>TAG Gazania Enorma Mix 100/100 Pixie Tag</t>
  </si>
  <si>
    <t>0611834540100</t>
  </si>
  <si>
    <t>TAG Gazania Gazoo Formula Mix 100/100 Pixie Tag</t>
  </si>
  <si>
    <t>0611834535100</t>
  </si>
  <si>
    <t>TAG Gazania GENERIC 100/100 Hang Tag</t>
  </si>
  <si>
    <t>0611834536100</t>
  </si>
  <si>
    <t>TAG Gazania GENERIC 100/100 Pixie Tag</t>
  </si>
  <si>
    <t>0611834543025</t>
  </si>
  <si>
    <t>TAG Gazania Gold 25/25 Portrait Tag</t>
  </si>
  <si>
    <t>0611834552100</t>
  </si>
  <si>
    <t>TAG Gazania Kiss Flame Mix 100/100 Pixie Tag SF</t>
  </si>
  <si>
    <t>0611834553100</t>
  </si>
  <si>
    <t>TAG Gazania Kiss Frosty Flame Mix 100/100 Pixie Tag SF</t>
  </si>
  <si>
    <t>0611834554100</t>
  </si>
  <si>
    <t>TAG Gazania Kiss Frosty Mix 100/100 Pixie Tag SF</t>
  </si>
  <si>
    <t>0611834555100</t>
  </si>
  <si>
    <t>TAG Gazania Kiss Frosty Orange 100/100 Pixie Tag SF</t>
  </si>
  <si>
    <t>0611834556100</t>
  </si>
  <si>
    <t>TAG Gazania Kiss Frosty Orange Flame 100/100 Pixie Tag SF</t>
  </si>
  <si>
    <t>0611834557100</t>
  </si>
  <si>
    <t>TAG Gazania Kiss Frosty Red 100/100 Pixie Tag SF</t>
  </si>
  <si>
    <t>0611834558100</t>
  </si>
  <si>
    <t>TAG Gazania Kiss Frosty White 100/100 Pixie Tag SF</t>
  </si>
  <si>
    <t>0611834559100</t>
  </si>
  <si>
    <t>TAG Gazania Kiss Frosty White Flame 100/100 Pixie Tag SF</t>
  </si>
  <si>
    <t>0611834560100</t>
  </si>
  <si>
    <t>TAG Gazania Kiss Frosty Yellow 100/100 Pixie Tag SF</t>
  </si>
  <si>
    <t>0611834561100</t>
  </si>
  <si>
    <t>TAG Gazania Kiss Golden Flame 100/100 Pixie Tag SF</t>
  </si>
  <si>
    <t>0611834562100</t>
  </si>
  <si>
    <t>TAG Gazania Kiss Mix 100/100 Pixie Tag SF</t>
  </si>
  <si>
    <t>0611834563100</t>
  </si>
  <si>
    <t>TAG Gazania Kiss Orange 100/100 Pixie Tag SF</t>
  </si>
  <si>
    <t>0611834564100</t>
  </si>
  <si>
    <t>TAG Gazania Kiss Orange Flame 100/100 Pixie Tag SF</t>
  </si>
  <si>
    <t>0611856956100</t>
  </si>
  <si>
    <t>TAG Gazania Kiss Red 100/100 Pixie Tag SF</t>
  </si>
  <si>
    <t>0611834565100</t>
  </si>
  <si>
    <t>TAG Gazania Kiss Rose 100/100 Pixie Tag SF</t>
  </si>
  <si>
    <t>0611834566100</t>
  </si>
  <si>
    <t>TAG Gazania Kiss Series 100/100 Pixie Tag SF</t>
  </si>
  <si>
    <t>0611834567100</t>
  </si>
  <si>
    <t>TAG Gazania Kiss White 100/100 Pixie Tag SF</t>
  </si>
  <si>
    <t>0611856957100</t>
  </si>
  <si>
    <t>TAG Gazania Kiss White Flame 100/100 Pixie Tag SF</t>
  </si>
  <si>
    <t>0611834568100</t>
  </si>
  <si>
    <t>TAG Gazania Kiss Yellow 100/100 Pixie Tag SF</t>
  </si>
  <si>
    <t>0611834569100</t>
  </si>
  <si>
    <t>TAG Gazania Kiss Yellow Flame 100/100 Pixie Tag SF</t>
  </si>
  <si>
    <t>0611834571100</t>
  </si>
  <si>
    <t>TAG Gazania Mix GENERIC 100/100 Pixie Tag</t>
  </si>
  <si>
    <t>0611834573100</t>
  </si>
  <si>
    <t>TAG Gazania Snbathers Nahui 100/100 Pixie Tag</t>
  </si>
  <si>
    <t>0611834575100</t>
  </si>
  <si>
    <t>TAG Gazania Snbathers Tikal 100/100 Pixie Tag</t>
  </si>
  <si>
    <t>0611834576100</t>
  </si>
  <si>
    <t>TAG Gazania Snbathers Totonaca 100/100 Pixie Tag</t>
  </si>
  <si>
    <t>0611884223100</t>
  </si>
  <si>
    <t>TAG Gazania Sunme Series 100/100 Pixie Tag</t>
  </si>
  <si>
    <t>0611834578100</t>
  </si>
  <si>
    <t>TAG Gazania Talent Mix 100/100 Pixie Tag</t>
  </si>
  <si>
    <t>0611834579100</t>
  </si>
  <si>
    <t>TAG Gazania Tiger Mix 100/100 Pixie Tag</t>
  </si>
  <si>
    <t>0611834580100</t>
  </si>
  <si>
    <t>TAG Gazania Zany Mix 100/100 Pixie Tag</t>
  </si>
  <si>
    <t>0611834581100</t>
  </si>
  <si>
    <t>TAG Gazania Zany Orange 100/100 Pixie Tag</t>
  </si>
  <si>
    <t>0611834582100</t>
  </si>
  <si>
    <t>TAG Gazania Zany Orange Flame 100/100 Pixie Tag</t>
  </si>
  <si>
    <t>0611834583100</t>
  </si>
  <si>
    <t>TAG Gazania Zany Pink 100/100 Pixie Tag</t>
  </si>
  <si>
    <t>0611834584100</t>
  </si>
  <si>
    <t>TAG Gazania Zany White 100/100 Pixie Tag</t>
  </si>
  <si>
    <t>0611834585100</t>
  </si>
  <si>
    <t>TAG Gazania Zany Yellow 100/100 Pixie Tag</t>
  </si>
  <si>
    <t>0611884224100</t>
  </si>
  <si>
    <t>TAG Generic Bright Light Houseplant 100/100 Large Nursery Tag</t>
  </si>
  <si>
    <t>0611831990025</t>
  </si>
  <si>
    <t>TAG Generic Bright Light Houseplant 25/25 Portrait Tag</t>
  </si>
  <si>
    <t>0611884225100</t>
  </si>
  <si>
    <t>TAG Generic Low Light Houseplant 100/100 Large Nursery Tag</t>
  </si>
  <si>
    <t>0611884226100</t>
  </si>
  <si>
    <t>TAG Generic Medium Light Houseplant 100/100 Large Nursery Tag</t>
  </si>
  <si>
    <t>0611836748025</t>
  </si>
  <si>
    <t>TAG Generic Medium Light Houseplant 25/25 Portrait Tag</t>
  </si>
  <si>
    <t>0611837482025</t>
  </si>
  <si>
    <t>TAG Generic Perennial 25/25 Portrait Tag</t>
  </si>
  <si>
    <t>0611862120050</t>
  </si>
  <si>
    <t>TAG Geranium Americana Bright Red 50/50 Petite Portrait SF FUL</t>
  </si>
  <si>
    <t>0611862121050</t>
  </si>
  <si>
    <t>TAG Geranium Americana Cherry Rose 50/50 Petite Portrait SF FUL</t>
  </si>
  <si>
    <t>0611862122050</t>
  </si>
  <si>
    <t>TAG Geranium Americana Coral 50/50 Petite Portrait SF FUL</t>
  </si>
  <si>
    <t>0611862123050</t>
  </si>
  <si>
    <t>TAG Geranium Americana Dark Red 50/50 Petite Portrait SF FUL</t>
  </si>
  <si>
    <t>0611862124050</t>
  </si>
  <si>
    <t>TAG Geranium Americana Dark Salmon 50/50 Petite Portrait SF FUL</t>
  </si>
  <si>
    <t>0611862125050</t>
  </si>
  <si>
    <t>TAG Geranium Americana Hot Pink 50/50 Petite Portrait SF FUL</t>
  </si>
  <si>
    <t>0611862126050</t>
  </si>
  <si>
    <t>TAG Geranium Americana Lavender Splash 50/50 Petite Portrait SF FUL</t>
  </si>
  <si>
    <t>0611862127050</t>
  </si>
  <si>
    <t>TAG Geranium Americana Light Pink Splash 50/50 Petite Portrait SF FUL</t>
  </si>
  <si>
    <t>0611862128050</t>
  </si>
  <si>
    <t>TAG Geranium Americana Orchid 50/50 Petite Portrait SF FUL</t>
  </si>
  <si>
    <t>0611862129050</t>
  </si>
  <si>
    <t>TAG Geranium Americana Pink 50/50 Petite Portrait SF FUL</t>
  </si>
  <si>
    <t>0611862130050</t>
  </si>
  <si>
    <t>TAG Geranium Americana Red 50/50 Petite Portrait SF FUL</t>
  </si>
  <si>
    <t>0611862131050</t>
  </si>
  <si>
    <t>TAG Geranium Americana Rose Ice 50/50 Petite Portrait SF FUL</t>
  </si>
  <si>
    <t>0611862132050</t>
  </si>
  <si>
    <t>TAG Geranium Americana Rose Mega Splash 50/50 Petite Portrait SF FUL</t>
  </si>
  <si>
    <t>0611862133050</t>
  </si>
  <si>
    <t>TAG Geranium Americana Salmon 50/50 Petite Portrait SF FUL</t>
  </si>
  <si>
    <t>0611862135050</t>
  </si>
  <si>
    <t>TAG Geranium Americana Scarlet Fire 50/50 Petite Portrait SF FUL</t>
  </si>
  <si>
    <t>0611862136050</t>
  </si>
  <si>
    <t>TAG Geranium Americana Violet 50/50 Petite Portrait SF FUL</t>
  </si>
  <si>
    <t>0611862137050</t>
  </si>
  <si>
    <t>TAG Geranium Americana Violet Ice 50/50 Petite Portrait SF FUL</t>
  </si>
  <si>
    <t>0611862138050</t>
  </si>
  <si>
    <t>TAG Geranium Americana White 50/50 Petite Portrait SF FUL</t>
  </si>
  <si>
    <t>0611862139050</t>
  </si>
  <si>
    <t>TAG Geranium Americana White Splash 50/50 Petite Portrait SF FUL</t>
  </si>
  <si>
    <t>0611837169100</t>
  </si>
  <si>
    <t>TAG Geranium Appleblossom GENERIC 100/100 Pixie Tag</t>
  </si>
  <si>
    <t>0611837170100</t>
  </si>
  <si>
    <t>TAG Geranium Aristo Series 100/100 Pixie Tag</t>
  </si>
  <si>
    <t>0611856958100</t>
  </si>
  <si>
    <t>TAG Geranium Aroma Series 100/100 Pixie Tag</t>
  </si>
  <si>
    <t>0611837171100</t>
  </si>
  <si>
    <t>TAG Geranium Attar Of Roses 100/100 Pixie Tag</t>
  </si>
  <si>
    <t>0611884227100</t>
  </si>
  <si>
    <t>TAG Geranium Bicolor Generic 100/100 Pixie Tag</t>
  </si>
  <si>
    <t>0611862140050</t>
  </si>
  <si>
    <t>TAG Geranium Big EEZE Coral 50/50 Petite Portrait DO FUL</t>
  </si>
  <si>
    <t>0611862141050</t>
  </si>
  <si>
    <t>TAG Geranium Big EEZE Dark Red 50/50 Petite Portrait DO FUL</t>
  </si>
  <si>
    <t>0611862142050</t>
  </si>
  <si>
    <t>TAG Geranium Big EEZE Foxy Flamingo 50/50 Petite Portrait DO FUL</t>
  </si>
  <si>
    <t>0611862143050</t>
  </si>
  <si>
    <t>TAG Geranium Big EEZE Fuchsia Blue 50/50 Petite Portrait DO FUL</t>
  </si>
  <si>
    <t>0611862144050</t>
  </si>
  <si>
    <t>TAG Geranium Big EEZE Neon 50/50 Petite Portrait DO FUL</t>
  </si>
  <si>
    <t>0611862145050</t>
  </si>
  <si>
    <t>TAG Geranium Big EEZE Pink 50/50 Petite Portrait DO FUL</t>
  </si>
  <si>
    <t>0611884228050</t>
  </si>
  <si>
    <t>TAG Geranium Big EEZE Pink Batik 50/50 Petite Portrait DO FUL</t>
  </si>
  <si>
    <t>0611862146050</t>
  </si>
  <si>
    <t>TAG Geranium Big EEZE Sakura 50/50 Petite Portrait DO FUL</t>
  </si>
  <si>
    <t>0611862147050</t>
  </si>
  <si>
    <t>TAG Geranium Big EEZE Salmon 50/50 Petite Portrait DO FUL</t>
  </si>
  <si>
    <t>0611862148050</t>
  </si>
  <si>
    <t>TAG Geranium Big EEZE Scarlet 50/50 Petite Portrait DO FUL</t>
  </si>
  <si>
    <t>0611862149050</t>
  </si>
  <si>
    <t>TAG Geranium Big EEZE Watermelon 50/50 Petite Portrait DO FUL</t>
  </si>
  <si>
    <t>0611884229050</t>
  </si>
  <si>
    <t>TAG Geranium Big EEZE White 50/50 Petite Portrait DO FUL</t>
  </si>
  <si>
    <t>0611834587025</t>
  </si>
  <si>
    <t>TAG Geranium Biokovo Cantabrigiense 25/25 Portrait Tag</t>
  </si>
  <si>
    <t>0611862150050</t>
  </si>
  <si>
    <t>TAG Geranium Blizzard Blue Ivy 50/50 Petite Portrait SF FUL</t>
  </si>
  <si>
    <t>0611862151050</t>
  </si>
  <si>
    <t>TAG Geranium Blizzard Dark Red 50/50 Petite Portrait SF FUL</t>
  </si>
  <si>
    <t>0611862152050</t>
  </si>
  <si>
    <t>TAG Geranium Blizzard Pink 50/50 Petite Portrait SF FUL</t>
  </si>
  <si>
    <t>0611862153050</t>
  </si>
  <si>
    <t>TAG Geranium Blizzard Red 50/50 Petite Portrait SF FUL</t>
  </si>
  <si>
    <t>0611862154050</t>
  </si>
  <si>
    <t>TAG Geranium Blizzard White 50/50 Petite Portrait SF FUL</t>
  </si>
  <si>
    <t>0611837173100</t>
  </si>
  <si>
    <t>TAG Geranium Bright Pink GENERIC Bilingual 100/100 Pixie Tag</t>
  </si>
  <si>
    <t>0611837174100</t>
  </si>
  <si>
    <t>TAG Geranium Bright Red GENERIC Bilingual 100/100 Pixie Tag</t>
  </si>
  <si>
    <t>0611862156050</t>
  </si>
  <si>
    <t>TAG Geranium Brocade Cherry Night 50/50 Petite Portrait DO FUL</t>
  </si>
  <si>
    <t>0611862157050</t>
  </si>
  <si>
    <t>TAG Geranium Brocade Fire 50/50 Petite Portrait DO FUL</t>
  </si>
  <si>
    <t>0611862158050</t>
  </si>
  <si>
    <t>TAG Geranium Brocade Fire Night 50/50 Petite Portrait DO FUL</t>
  </si>
  <si>
    <t>0611862159050</t>
  </si>
  <si>
    <t>TAG Geranium Brocade Salmon Night 50/50 Petite Portrait FUL</t>
  </si>
  <si>
    <t>0611862155050</t>
  </si>
  <si>
    <t>TAG Geranium Brocade Wilhelm Langguth 50/50 Petite Portrait DO FUL</t>
  </si>
  <si>
    <t>0611834588025</t>
  </si>
  <si>
    <t>TAG Geranium Brookside 25/25 Portrait Tag</t>
  </si>
  <si>
    <t>0611837175100</t>
  </si>
  <si>
    <t>TAG Geranium BullsEye Cherry 100/100 Pixie Tag SF</t>
  </si>
  <si>
    <t>0611837176100</t>
  </si>
  <si>
    <t>TAG Geranium BullsEye Light Pink 100/100 Pixie Tag SF</t>
  </si>
  <si>
    <t>0611837177100</t>
  </si>
  <si>
    <t>TAG Geranium BullsEye Mix 100/100 Pixie Tag SF</t>
  </si>
  <si>
    <t>0611837178100</t>
  </si>
  <si>
    <t>TAG Geranium BullsEye Red 100/100 Pixie Tag SF</t>
  </si>
  <si>
    <t>0611837179100</t>
  </si>
  <si>
    <t>TAG Geranium BullsEye Salmon 100/100 Pixie Tag SF</t>
  </si>
  <si>
    <t>0611837180100</t>
  </si>
  <si>
    <t>TAG Geranium BullsEye Scarlet 100/100 Pixie Tag SF</t>
  </si>
  <si>
    <t>0611862160050</t>
  </si>
  <si>
    <t>TAG Geranium Caldera Lavender Glow 50/50 Petite Portrait SF FUL</t>
  </si>
  <si>
    <t>0611862161050</t>
  </si>
  <si>
    <t>TAG Geranium Caldera Pink 50/50 Petite Portrait SF FUL</t>
  </si>
  <si>
    <t>0611862162050</t>
  </si>
  <si>
    <t>TAG Geranium Caldera Red 50/50 Petite Portrait SF FUL</t>
  </si>
  <si>
    <t>0611862163050</t>
  </si>
  <si>
    <t>TAG Geranium Caldera Salmon 50/50 Petite Portrait SF FUL</t>
  </si>
  <si>
    <t>0611862164050</t>
  </si>
  <si>
    <t>TAG Geranium Caliente Coral Salmon 50/50 Petite Portrait SF FUL</t>
  </si>
  <si>
    <t>0611862165050</t>
  </si>
  <si>
    <t>TAG Geranium Caliente Deep Red 50/50 Petite Portrait SF FUL</t>
  </si>
  <si>
    <t>0611862166050</t>
  </si>
  <si>
    <t>TAG Geranium Caliente Fire 50/50 Petite Portrait SF FUL</t>
  </si>
  <si>
    <t>0611862167050</t>
  </si>
  <si>
    <t>TAG Geranium Caliente Hot Coral 50/50 Petite Portrait SF FUL</t>
  </si>
  <si>
    <t>0611862168050</t>
  </si>
  <si>
    <t>TAG Geranium Caliente Lavender Improved 50/50 Petite Portrait SF FUL</t>
  </si>
  <si>
    <t>0611862169050</t>
  </si>
  <si>
    <t>TAG Geranium Caliente Magenta 50/50 Petite Portrait SF FUL</t>
  </si>
  <si>
    <t>0611862170050</t>
  </si>
  <si>
    <t>TAG Geranium Caliente Orange 50/50 Petite Portrait SF FUL</t>
  </si>
  <si>
    <t>0611862171050</t>
  </si>
  <si>
    <t>TAG Geranium Caliente Pink 50/50 Petite Portrait SF FUL</t>
  </si>
  <si>
    <t>0611862172050</t>
  </si>
  <si>
    <t>TAG Geranium Caliente Rose 50/50 Petite Portrait SF FUL</t>
  </si>
  <si>
    <t>0611862173050</t>
  </si>
  <si>
    <t>TAG Geranium Caliente White 50/50 Petite Portrait SF FUL</t>
  </si>
  <si>
    <t>0611862174050</t>
  </si>
  <si>
    <t>TAG Geranium Calliope Cascade Violet 50/50 Petite Portrait SF FUL</t>
  </si>
  <si>
    <t>0611862175050</t>
  </si>
  <si>
    <t>TAG Geranium Calliope Large Burgundy 50/50 Petite Portrait SF FUL</t>
  </si>
  <si>
    <t>0611862176050</t>
  </si>
  <si>
    <t>TAG Geranium Calliope Large Coral 50/50 Petite Portrait SF FUL</t>
  </si>
  <si>
    <t>0611862177050</t>
  </si>
  <si>
    <t>TAG Geranium Calliope Large Dark Red 50/50 Petite Portrait SF FUL</t>
  </si>
  <si>
    <t>0611862178050</t>
  </si>
  <si>
    <t>TAG Geranium Calliope Large Hot Pink 50/50 Petite Portrait SF FUL</t>
  </si>
  <si>
    <t>0611862179050</t>
  </si>
  <si>
    <t>TAG Geranium Calliope Large Hot Rose 50/50 Petite Portrait SF FUL</t>
  </si>
  <si>
    <t>0611862181050</t>
  </si>
  <si>
    <t>TAG Geranium Calliope Large Lavender 50/50 Petite Portrait SF FUL</t>
  </si>
  <si>
    <t>0611862180050</t>
  </si>
  <si>
    <t>TAG Geranium Calliope Large Lavender Mega Splash 50/50 Petite Portrait SF FUL</t>
  </si>
  <si>
    <t>0611862182050</t>
  </si>
  <si>
    <t>TAG Geranium Calliope Large Magenta 50/50 Petite Portrait SF FUL</t>
  </si>
  <si>
    <t>0611862183050</t>
  </si>
  <si>
    <t>TAG Geranium Calliope Large Orange Splash 50/50 Petite Portrait SF FUL</t>
  </si>
  <si>
    <t>0611862184050</t>
  </si>
  <si>
    <t>TAG Geranium Calliope Large Pink 50/50 Petite Portrait SF FUL</t>
  </si>
  <si>
    <t>0611862185050</t>
  </si>
  <si>
    <t>TAG Geranium Calliope Large Red 50/50 Petite Tag SF</t>
  </si>
  <si>
    <t>0611862186050</t>
  </si>
  <si>
    <t>TAG Geranium Calliope Large Rose Mega Splash 50/50 Petite Portrait SF FUL</t>
  </si>
  <si>
    <t>0611862187050</t>
  </si>
  <si>
    <t>TAG Geranium Calliope Large Salmon 50/50 Petite Portrait SF FUL</t>
  </si>
  <si>
    <t>0611862188050</t>
  </si>
  <si>
    <t>TAG Geranium Calliope Large Scarlet Fire 50/50 Petite Portrait SF FUL</t>
  </si>
  <si>
    <t>0611862189050</t>
  </si>
  <si>
    <t>TAG Geranium Calliope Large White 50/50 Petite Portrait SF FUL</t>
  </si>
  <si>
    <t>0611862190050</t>
  </si>
  <si>
    <t>TAG Geranium Calliope Medium Bright Rose 50/50 Petite Portrait SF FUL</t>
  </si>
  <si>
    <t>0611862191050</t>
  </si>
  <si>
    <t>TAG Geranium Calliope Medium Bright Scarlet 50/50 Petite Portrait SF FUL</t>
  </si>
  <si>
    <t>0611862192050</t>
  </si>
  <si>
    <t>TAG Geranium Calliope Medium Burgundy 50/50 Petite Portrait SF FUL</t>
  </si>
  <si>
    <t>0611862193050</t>
  </si>
  <si>
    <t>TAG Geranium Calliope Medium Cherry 50/50 Petite Portrait SF FUL</t>
  </si>
  <si>
    <t>0611862194050</t>
  </si>
  <si>
    <t>TAG Geranium Calliope Medium Crimson Flame 50/50 Petite Portrait SF FUL</t>
  </si>
  <si>
    <t>0611862195050</t>
  </si>
  <si>
    <t>TAG Geranium Calliope Medium Dark Pink 50/50 Petite Portrait SF FUL</t>
  </si>
  <si>
    <t>0611862197050</t>
  </si>
  <si>
    <t>TAG Geranium Calliope Medium Dark Red 50/50 Petite Portrait SF FUL</t>
  </si>
  <si>
    <t>0611862196050</t>
  </si>
  <si>
    <t>TAG Geranium Calliope Medium Dark Red Dark Leaf 50/50 Petite Portrait SF FUL</t>
  </si>
  <si>
    <t>0611862198050</t>
  </si>
  <si>
    <t>TAG Geranium Calliope Medium Deep Rose 50/50 Petite Portrait SF FUL</t>
  </si>
  <si>
    <t>0611862199050</t>
  </si>
  <si>
    <t>TAG Geranium Calliope Medium Hot Pink 50/50 Petite Portrait SF FUL</t>
  </si>
  <si>
    <t>0611862200050</t>
  </si>
  <si>
    <t>TAG Geranium Calliope Medium Hot Rose 50/50 Petite Portrait SF FUL</t>
  </si>
  <si>
    <t>0611862201050</t>
  </si>
  <si>
    <t>TAG Geranium Calliope Medium Lavender Rose 50/50 Petite Portrait SF FUL</t>
  </si>
  <si>
    <t>0611862203050</t>
  </si>
  <si>
    <t>TAG Geranium Calliope Medium Pink Flame 50/50 Petite Portrait SF FUL</t>
  </si>
  <si>
    <t>0611862204050</t>
  </si>
  <si>
    <t>TAG Geranium Calliope Medium Red 50/50 Petite Portrait SF FUL</t>
  </si>
  <si>
    <t>0611862205050</t>
  </si>
  <si>
    <t>TAG Geranium Calliope Medium Rose Mega Splash 50/50 Petite Portrait SF FUL</t>
  </si>
  <si>
    <t>0611862206050</t>
  </si>
  <si>
    <t>TAG Geranium Calliope Medium Salmon 50/50 Petite Portrait SF FUL</t>
  </si>
  <si>
    <t>0611862207050</t>
  </si>
  <si>
    <t>TAG Geranium Calliope Medium Scarlet 50/50 Petite Portrait SF FUL</t>
  </si>
  <si>
    <t>0611862208050</t>
  </si>
  <si>
    <t>TAG Geranium Calliope Medium Violet 50/50 Petite Portrait SF FUL</t>
  </si>
  <si>
    <t>0611862209050</t>
  </si>
  <si>
    <t>TAG Geranium Calliope Medium White 50/50 Petite Portrait SF FUL</t>
  </si>
  <si>
    <t>0611884230050</t>
  </si>
  <si>
    <t>TAG Geranium Calliope Medium White Splash 50/50 Petite Portrait SF FUL</t>
  </si>
  <si>
    <t>0611856959100</t>
  </si>
  <si>
    <t>TAG Geranium Candy Flowers Series 100/100 Pixie Tag</t>
  </si>
  <si>
    <t>0611862210050</t>
  </si>
  <si>
    <t>TAG Geranium Candy Idols Blue 50/50 Petite Portrait FUL</t>
  </si>
  <si>
    <t>0611862211050</t>
  </si>
  <si>
    <t>TAG Geranium Candy Idols Bright Red 50/50 Petite Portrait FUL</t>
  </si>
  <si>
    <t>0611862212050</t>
  </si>
  <si>
    <t>TAG Geranium Candy Idols Dark Salmon 50/50 Petite Portrait FUL</t>
  </si>
  <si>
    <t>0611862213050</t>
  </si>
  <si>
    <t>TAG Geranium Candy Idols Neon 50/50 Petite Portrait FUL</t>
  </si>
  <si>
    <t>0611862214050</t>
  </si>
  <si>
    <t>TAG Geranium Candy Idols Rose With Eye 50/50 Petite Portrait FUL</t>
  </si>
  <si>
    <t>0611862215050</t>
  </si>
  <si>
    <t>TAG Geranium Candy Idols Violet 50/50 Petite Portrait FUL</t>
  </si>
  <si>
    <t>0611862216050</t>
  </si>
  <si>
    <t>TAG Geranium Candy Idols White 50/50 Petite Portrait FUL</t>
  </si>
  <si>
    <t>0611862217050</t>
  </si>
  <si>
    <t>TAG Geranium Candy Rose Splash 50/50 Petite Portrait FUL</t>
  </si>
  <si>
    <t>0611862218050</t>
  </si>
  <si>
    <t>TAG Geranium Candy White Parfait 50/50 Petite Portrait FUL</t>
  </si>
  <si>
    <t>0611862219050</t>
  </si>
  <si>
    <t>TAG Geranium Cascade Acapulco Compact 50/50 Petite Portrait SF FUL</t>
  </si>
  <si>
    <t>0611862220050</t>
  </si>
  <si>
    <t>TAG Geranium Cascade Appleblossom 50/50 Petite Portrait SF FUL</t>
  </si>
  <si>
    <t>0611862221050</t>
  </si>
  <si>
    <t>TAG Geranium Cascade Bright 50/50 Petite Portrait SF FUL</t>
  </si>
  <si>
    <t>0611862222050</t>
  </si>
  <si>
    <t>TAG Geranium Cascade Dark Red 50/50 Petite Portrait SF FUL</t>
  </si>
  <si>
    <t>0611862223050</t>
  </si>
  <si>
    <t>TAG Geranium Cascade Lila Compact 50/50 Petite Portrait SF FUL</t>
  </si>
  <si>
    <t>0611862224050</t>
  </si>
  <si>
    <t>TAG Geranium Cascade Sofie 50/50 Petite Portrait SF FUL</t>
  </si>
  <si>
    <t>0611862225050</t>
  </si>
  <si>
    <t>TAG Geranium Cascade White 50/50 Petite Portrait SF FUL</t>
  </si>
  <si>
    <t>0611837187100</t>
  </si>
  <si>
    <t>TAG Geranium Cassiopeia 100/100 Pixie Tag</t>
  </si>
  <si>
    <t>0611837188100</t>
  </si>
  <si>
    <t>TAG Geranium Chocolate Apricot 100/100 Pixie Tag</t>
  </si>
  <si>
    <t>0611837189100</t>
  </si>
  <si>
    <t>TAG Geranium Chocolate Cherry 100/100 Pixie Tag</t>
  </si>
  <si>
    <t>0611837190100</t>
  </si>
  <si>
    <t>TAG Geranium Chocolate Fire 100/100 Pixie Tag</t>
  </si>
  <si>
    <t>0611837191100</t>
  </si>
  <si>
    <t>TAG Geranium Chocolate Pink Dragonfruit 100/100 Pixie Tag</t>
  </si>
  <si>
    <t>0611884341025</t>
  </si>
  <si>
    <t>TAG Geranium Citronella 25/25 Portrait Tag</t>
  </si>
  <si>
    <t>0611862226050</t>
  </si>
  <si>
    <t>TAG Geranium Citronella 50/50 Petite Portrait FUL</t>
  </si>
  <si>
    <t>0611837192100</t>
  </si>
  <si>
    <t>TAG Geranium Citrosum 100/100 Pixie Tag</t>
  </si>
  <si>
    <t>0611862227050</t>
  </si>
  <si>
    <t>TAG Geranium Classic Mosaic Purple 50/50 Petite Portrait SF FUL</t>
  </si>
  <si>
    <t>0611862228050</t>
  </si>
  <si>
    <t>TAG Geranium Classic Mosaic Red 50/50 Petite Portrait SF FUL</t>
  </si>
  <si>
    <t>0611837195100</t>
  </si>
  <si>
    <t>TAG Geranium Concolor Lace 100/100 Pixie Tag</t>
  </si>
  <si>
    <t>0611862230050</t>
  </si>
  <si>
    <t>TAG Geranium Contessa Burgundy 50/50 Petite Tag SF</t>
  </si>
  <si>
    <t>0611862238050</t>
  </si>
  <si>
    <t>TAG Geranium Contessa Red 50/50 Petite Tag SF</t>
  </si>
  <si>
    <t>0611837196100</t>
  </si>
  <si>
    <t>TAG Geranium Coral GENERIC Bilingual 100/100 Pixie Tag</t>
  </si>
  <si>
    <t>0611837198100</t>
  </si>
  <si>
    <t>TAG Geranium Crystal Palace 100/100 Pixie Tag</t>
  </si>
  <si>
    <t>0611862240050</t>
  </si>
  <si>
    <t>TAG Geranium Cumbanita Dark Red 50/50 Petite Portrait DO FUL</t>
  </si>
  <si>
    <t>0611862241050</t>
  </si>
  <si>
    <t>TAG Geranium Cumbanita Deep Rose 50/50 Petite Portrait DO FUL</t>
  </si>
  <si>
    <t>0611862242050</t>
  </si>
  <si>
    <t>TAG Geranium Cumbanita Lilac 50/50 Petite Portrait DO FUL</t>
  </si>
  <si>
    <t>0611862243050</t>
  </si>
  <si>
    <t>TAG Geranium Cumbanita Rose Splash 50/50 Petite Portrait DO FUL</t>
  </si>
  <si>
    <t>0611837205100</t>
  </si>
  <si>
    <t>TAG Geranium Dark Red GENERIC Bilingual 100/100 Pixie Tag</t>
  </si>
  <si>
    <t>0611837201100</t>
  </si>
  <si>
    <t>TAG Geranium Darko Series 100/100 Pixie Tag</t>
  </si>
  <si>
    <t>0611837202100</t>
  </si>
  <si>
    <t>TAG Geranium Darko Soft Rose 100/100 Pixie Tag</t>
  </si>
  <si>
    <t>0611837203100</t>
  </si>
  <si>
    <t>TAG Geranium Darko Spanish Wine Rose 100/100 Pixie Tag</t>
  </si>
  <si>
    <t>0611862244050</t>
  </si>
  <si>
    <t>TAG Geranium Decora Red Ivy 50/50 Petite Portrait FUL</t>
  </si>
  <si>
    <t>0611837204100</t>
  </si>
  <si>
    <t>TAG Geranium Decora Series 100/100 Pixie Tag</t>
  </si>
  <si>
    <t>0611837206100</t>
  </si>
  <si>
    <t>TAG Geranium Deep Rose GENERIC Bilingual 100/100 Pixie Tag</t>
  </si>
  <si>
    <t>0611837207100</t>
  </si>
  <si>
    <t>TAG Geranium Elanos Series 100/100 Pixie Tag</t>
  </si>
  <si>
    <t>0611862245050</t>
  </si>
  <si>
    <t>TAG Geranium Elegance Bravo Regal 50/50 Petite Portrait DO FUL</t>
  </si>
  <si>
    <t>0611862246050</t>
  </si>
  <si>
    <t>TAG Geranium Elegance Burgundy 50/50 Petite Portrait DO FUL</t>
  </si>
  <si>
    <t>0611862247050</t>
  </si>
  <si>
    <t>TAG Geranium Elegance Cherry Blush 50/50 Petite Portrait DO FUL</t>
  </si>
  <si>
    <t>0611862248050</t>
  </si>
  <si>
    <t>TAG Geranium Elegance Claret 50/50 Petite Portrait DO FUL</t>
  </si>
  <si>
    <t>0611862249050</t>
  </si>
  <si>
    <t>TAG Geranium Elegance Crystal Rose 50/50 Petite Portrait DO FUL</t>
  </si>
  <si>
    <t>0611862250050</t>
  </si>
  <si>
    <t>TAG Geranium Elegance Imperial 50/50 Petite Portrait DO FUL</t>
  </si>
  <si>
    <t>0611862253050</t>
  </si>
  <si>
    <t>TAG Geranium Elegance Light Lavender Splash 50/50 Petite Portrait DO FUL</t>
  </si>
  <si>
    <t>0611862251050</t>
  </si>
  <si>
    <t>TAG Geranium Elegance Lilac Majesty 50/50 Petite Portrait DO FUL</t>
  </si>
  <si>
    <t>0611862252050</t>
  </si>
  <si>
    <t>TAG Geranium Elegance Lilac Sachet 50/50 Petite Portrait DO FUL</t>
  </si>
  <si>
    <t>0611862254050</t>
  </si>
  <si>
    <t>TAG Geranium Elegance Purple Majesty 50/50 Petite Portrait DO FUL</t>
  </si>
  <si>
    <t>0611862255050</t>
  </si>
  <si>
    <t>TAG Geranium Elegance Red Velvet 50/50 Petite Portrait DO FUL</t>
  </si>
  <si>
    <t>0611862256050</t>
  </si>
  <si>
    <t>TAG Geranium Elegance Rose Bicolor 50/50 Petite Portrait DO FUL</t>
  </si>
  <si>
    <t>0611862257050</t>
  </si>
  <si>
    <t>TAG Geranium Elegance Royalty White 50/50 Petite Portrait DO FUL</t>
  </si>
  <si>
    <t>0611862258050</t>
  </si>
  <si>
    <t>TAG Geranium Elegance Sunrise 50/50 Petite Portrait DO FUL</t>
  </si>
  <si>
    <t>0611862259050</t>
  </si>
  <si>
    <t>TAG Geranium Exotica Coral Sunrise 50/50 Petite Portrait SF FUL</t>
  </si>
  <si>
    <t>0611837208100</t>
  </si>
  <si>
    <t>TAG Geranium Fireworks Series 100/100 Pixie Tag</t>
  </si>
  <si>
    <t>0611837210100</t>
  </si>
  <si>
    <t>TAG Geranium Fragrans 100/100 Pixie Tag</t>
  </si>
  <si>
    <t>0611837212100</t>
  </si>
  <si>
    <t>TAG Geranium GENERIC 100/100 Hang Tag</t>
  </si>
  <si>
    <t>0611837213025</t>
  </si>
  <si>
    <t>TAG Geranium GENERIC 25/25 Portrait Tag</t>
  </si>
  <si>
    <t>0611837211100</t>
  </si>
  <si>
    <t>TAG Geranium GENERIC Bilingual 100/100 Pixie Tag</t>
  </si>
  <si>
    <t>0611862264050</t>
  </si>
  <si>
    <t>TAG Geranium Global Burgundy 50/50 Petite Portrait FUL</t>
  </si>
  <si>
    <t>0611862265050</t>
  </si>
  <si>
    <t>TAG Geranium Global Innovation Stars And Stripes 50/50 Petite Portrait FUL</t>
  </si>
  <si>
    <t>0611862266050</t>
  </si>
  <si>
    <t>TAG Geranium Global Lavender 50/50 Petite Portrait FUL</t>
  </si>
  <si>
    <t>0611862267050</t>
  </si>
  <si>
    <t>TAG Geranium Global Red 50/50 Petite Portrait FUL</t>
  </si>
  <si>
    <t>0611862268050</t>
  </si>
  <si>
    <t>TAG Geranium Global Rose Pink 50/50 Petite Portrait FUL</t>
  </si>
  <si>
    <t>0611862269050</t>
  </si>
  <si>
    <t>TAG Geranium Global Royal White 50/50 Petite Portrait FUL</t>
  </si>
  <si>
    <t>0611884231050</t>
  </si>
  <si>
    <t>TAG Geranium Great Balls Fire Hot Pink 50/50 Petite Portrait DO FUL</t>
  </si>
  <si>
    <t>0611884232050</t>
  </si>
  <si>
    <t>TAG Geranium Great Balls Fire Lilac 50/50 Petite Portrait DO FUL</t>
  </si>
  <si>
    <t>0611862270050</t>
  </si>
  <si>
    <t>TAG Geranium Great Balls Of Fire Blue 50/50 Petite Portrait DO FUL</t>
  </si>
  <si>
    <t>0611862271050</t>
  </si>
  <si>
    <t>TAG Geranium Great Balls Of Fire Burgundy 50/50 Petite Portrait DO FUL</t>
  </si>
  <si>
    <t>0611862272050</t>
  </si>
  <si>
    <t>TAG Geranium Great Balls Of Fire Dark Red 50/50 Petite Portrait DO FUL</t>
  </si>
  <si>
    <t>0611862273050</t>
  </si>
  <si>
    <t>TAG Geranium Great Balls Of Fire Deep Rose 50/50 Petite Portrait DO FUL</t>
  </si>
  <si>
    <t>0611862274050</t>
  </si>
  <si>
    <t>TAG Geranium Great Balls Of Fire Lavender 23 50/50 Petite Portrait DO FUL</t>
  </si>
  <si>
    <t>0611862275050</t>
  </si>
  <si>
    <t>TAG Geranium Great Balls Of Fire Lavender 50/50 Petite Portrait DO FUL</t>
  </si>
  <si>
    <t>0611862276050</t>
  </si>
  <si>
    <t>TAG Geranium Great Balls Of Fire Light Lavender 50/50 Petite Portrait DO FUL</t>
  </si>
  <si>
    <t>0611862277050</t>
  </si>
  <si>
    <t>TAG Geranium Great Balls Of Fire Melon 50/50 Petite Portrait DO FUL</t>
  </si>
  <si>
    <t>0611862278050</t>
  </si>
  <si>
    <t>TAG Geranium Great Balls Of Fire Merlot 50/50 Petite Portrait DO FUL</t>
  </si>
  <si>
    <t>0611862280050</t>
  </si>
  <si>
    <t>TAG Geranium Great Balls Of Fire Pink 23 50/50 Petite Portrait DO FUL</t>
  </si>
  <si>
    <t>0611862279050</t>
  </si>
  <si>
    <t>TAG Geranium Great Balls Of Fire Pink 50/50 Petite Portrait DO FUL</t>
  </si>
  <si>
    <t>0611862281050</t>
  </si>
  <si>
    <t>TAG Geranium Great Balls Of Fire Stars And Stripes 50/50 Petite Portrait DO FUL</t>
  </si>
  <si>
    <t>0611862282050</t>
  </si>
  <si>
    <t>TAG Geranium Great Balls Of Fire Velvet 50/50 Petite Portrait DO FUL</t>
  </si>
  <si>
    <t>0611862283050</t>
  </si>
  <si>
    <t>TAG Geranium Great Balls Of Fire White 50/50 Petite Portrait DO FUL</t>
  </si>
  <si>
    <t>0611834591025</t>
  </si>
  <si>
    <t>TAG Geranium Hampshire Purple 25/25 Portrait Tag</t>
  </si>
  <si>
    <t>0611837199100</t>
  </si>
  <si>
    <t>TAG Geranium Ivy Dandy Series 100/100 Pixie Tag</t>
  </si>
  <si>
    <t>0611837216100</t>
  </si>
  <si>
    <t>TAG Geranium Ivy GENERIC 100/100 Hang Tag</t>
  </si>
  <si>
    <t>0611837217100</t>
  </si>
  <si>
    <t>TAG Geranium Ivy GENERIC 100/100 Pixie Tag</t>
  </si>
  <si>
    <t>0611837220100</t>
  </si>
  <si>
    <t>TAG Geranium Ivy Lavender GENERIC 100/100 Pixie Tag SF</t>
  </si>
  <si>
    <t>0611862285050</t>
  </si>
  <si>
    <t>TAG Geranium Ivy League Amethyst 50/50 Petite Portrait SF FUL</t>
  </si>
  <si>
    <t>0611862286050</t>
  </si>
  <si>
    <t>TAG Geranium Ivy League Arctic Red 50/50 Petite Portrait SF FUL</t>
  </si>
  <si>
    <t>0611862287050</t>
  </si>
  <si>
    <t>TAG Geranium Ivy League Burgundy 50/50 Petite Portrait SF FUL</t>
  </si>
  <si>
    <t>0611862288050</t>
  </si>
  <si>
    <t>TAG Geranium Ivy League Burgundy Bicolor 50/50 Petite Portrait SF FUL</t>
  </si>
  <si>
    <t>0611862289050</t>
  </si>
  <si>
    <t>TAG Geranium Ivy League Cherry Blossom 50/50 Petite Portrait SF FUL</t>
  </si>
  <si>
    <t>0611862290050</t>
  </si>
  <si>
    <t>TAG Geranium Ivy League Deep Pink 50/50 Petite Portrait SF FUL</t>
  </si>
  <si>
    <t>0611862291050</t>
  </si>
  <si>
    <t>TAG Geranium Ivy League Hot Coral 50/50 Petite Portrait SF FUL</t>
  </si>
  <si>
    <t>0611862292050</t>
  </si>
  <si>
    <t>TAG Geranium Ivy League Light Lavender 50/50 Petite Portrait SF FUL</t>
  </si>
  <si>
    <t>0611862293050</t>
  </si>
  <si>
    <t>TAG Geranium Ivy League Orchid 50/50 Petite Portrait SF FUL</t>
  </si>
  <si>
    <t>0611862294050</t>
  </si>
  <si>
    <t>TAG Geranium Ivy League Red 50/50 Petite Portrait SF FUL</t>
  </si>
  <si>
    <t>0611862295050</t>
  </si>
  <si>
    <t>TAG Geranium Ivy League Salmon 50/50 Petite Portrait SF FUL</t>
  </si>
  <si>
    <t>0611862296050</t>
  </si>
  <si>
    <t>TAG Geranium Ivy League White 50/50 Petite Portrait SF FUL</t>
  </si>
  <si>
    <t>0611837284100</t>
  </si>
  <si>
    <t>TAG Geranium Ivy Reach Out Series 100/100 Pixie Tag SF</t>
  </si>
  <si>
    <t>0611837285100</t>
  </si>
  <si>
    <t>TAG Geranium Ivy Red GENERIC 100/100 Pixie Tag SF</t>
  </si>
  <si>
    <t>0611837307100</t>
  </si>
  <si>
    <t>TAG Geranium Ivy Tornado Series 100/100 Pixie Tag SF</t>
  </si>
  <si>
    <t>0611837315100</t>
  </si>
  <si>
    <t>TAG Geranium Ivy White GENERIC 100/100 Pixie Tag SF</t>
  </si>
  <si>
    <t>0611834592025</t>
  </si>
  <si>
    <t>TAG Geranium Johnson's Blue 25/25 Portrait Tag</t>
  </si>
  <si>
    <t>0611834593025</t>
  </si>
  <si>
    <t>TAG Geranium Karmina 25/25 Portrait Tag</t>
  </si>
  <si>
    <t>0611837218025</t>
  </si>
  <si>
    <t>TAG Geranium Lady Plymouth 25/25 Portrait Tag</t>
  </si>
  <si>
    <t>0611837219100</t>
  </si>
  <si>
    <t>TAG Geranium Lavender GENERIC Bilingual 100/100 Pixie Tag</t>
  </si>
  <si>
    <t>0611837222100</t>
  </si>
  <si>
    <t>TAG Geranium Lemona 100/100 Pixie Tag</t>
  </si>
  <si>
    <t>0611837223100</t>
  </si>
  <si>
    <t>TAG Geranium Light Pink GENERIC Bilingual 100/100 Pixie Tag</t>
  </si>
  <si>
    <t>0611837224100</t>
  </si>
  <si>
    <t>TAG Geranium Light Salmon Bilingual 100/100 Pixie Tag</t>
  </si>
  <si>
    <t>0611862297050</t>
  </si>
  <si>
    <t>TAG Geranium Maestro Idols Bright Red 50/50 Petite Portrait DO FUL</t>
  </si>
  <si>
    <t>0611862298050</t>
  </si>
  <si>
    <t>TAG Geranium Maestro Idols Cherry 50/50 Petite Portrait DO FUL</t>
  </si>
  <si>
    <t>0611862299050</t>
  </si>
  <si>
    <t>TAG Geranium Maestro Idols Deep Red 50/50 Petite Portrait DO FUL</t>
  </si>
  <si>
    <t>0611862300050</t>
  </si>
  <si>
    <t>TAG Geranium Maestro Idols Light Pink Parfait 50/50 Petite Portrait DO FUL</t>
  </si>
  <si>
    <t>0611862301050</t>
  </si>
  <si>
    <t>TAG Geranium Maestro Idols Neon Violet 50/50 Petite Portrait DO FUL</t>
  </si>
  <si>
    <t>0611862302050</t>
  </si>
  <si>
    <t>TAG Geranium Maestro Idols Pink Parfait 50/50 Petite Portrait DO FUL</t>
  </si>
  <si>
    <t>0611862303050</t>
  </si>
  <si>
    <t>TAG Geranium Maestro Idols Red 50/50 Petite Portrait DO FUL</t>
  </si>
  <si>
    <t>0611862305050</t>
  </si>
  <si>
    <t>TAG Geranium Maestro Idols Salmon 50/50 Petite Portrait DO FUL</t>
  </si>
  <si>
    <t>0611862304050</t>
  </si>
  <si>
    <t>TAG Geranium Maestro Idols Salmon Splash 50/50 Petite Portrait DO FUL</t>
  </si>
  <si>
    <t>0611862306050</t>
  </si>
  <si>
    <t>TAG Geranium Maestro Idols Sassy Dark Red 50/50 Petite Portrait DO FUL</t>
  </si>
  <si>
    <t>0611862307050</t>
  </si>
  <si>
    <t>TAG Geranium Maestro Idols True Red 50/50 Petite Portrait DO FUL</t>
  </si>
  <si>
    <t>0611862308050</t>
  </si>
  <si>
    <t>TAG Geranium Maestro Idols White 50/50 Petite Portrait DO FUL</t>
  </si>
  <si>
    <t>0611837242100</t>
  </si>
  <si>
    <t>TAG Geranium Magenta GENERIC Bilingual 100/100 Pixie Tag</t>
  </si>
  <si>
    <t>0611862309050</t>
  </si>
  <si>
    <t>TAG Geranium Mantra Bright Red 50/50 Petite Portrait SF FUL</t>
  </si>
  <si>
    <t>0611862310050</t>
  </si>
  <si>
    <t>TAG Geranium Mantra Magenta 50/50 Petite Portrait SF FUL</t>
  </si>
  <si>
    <t>0611862311050</t>
  </si>
  <si>
    <t>TAG Geranium Mantra Pink 50/50 Petite Portrait SF FUL</t>
  </si>
  <si>
    <t>0611837225100</t>
  </si>
  <si>
    <t>TAG Geranium Martha Washington GENERIC 100/100 Pixie Tag</t>
  </si>
  <si>
    <t>0611837226100</t>
  </si>
  <si>
    <t>TAG Geranium Maverick Appleblossom 100/100 Pixie Tag SF</t>
  </si>
  <si>
    <t>0611837227100</t>
  </si>
  <si>
    <t>TAG Geranium Maverick Coral 100/100 Pixie Tag SF</t>
  </si>
  <si>
    <t>0611837229100</t>
  </si>
  <si>
    <t>TAG Geranium Maverick Mix 100/100 Pixie Tag SF</t>
  </si>
  <si>
    <t>0611837230100</t>
  </si>
  <si>
    <t>TAG Geranium Maverick Orange 100/100 Pixie Tag SF</t>
  </si>
  <si>
    <t>0611837231100</t>
  </si>
  <si>
    <t>TAG Geranium Maverick Pink 100/100 Pixie Tag SF</t>
  </si>
  <si>
    <t>0611837232100</t>
  </si>
  <si>
    <t>TAG Geranium Maverick Quicksilver 100/100 Pixie Tag SF</t>
  </si>
  <si>
    <t>0611837233100</t>
  </si>
  <si>
    <t>TAG Geranium Maverick Red 100/100 Pixie Tag SF</t>
  </si>
  <si>
    <t>0611837234100</t>
  </si>
  <si>
    <t>TAG Geranium Maverick Rose 100/100 Pixie Tag SF</t>
  </si>
  <si>
    <t>0611837235100</t>
  </si>
  <si>
    <t>TAG Geranium Maverick Salmon 100/100 Pixie Tag SF</t>
  </si>
  <si>
    <t>0611837236100</t>
  </si>
  <si>
    <t>TAG Geranium Maverick Scarlet 100/100 Pixie Tag SF</t>
  </si>
  <si>
    <t>0611837237100</t>
  </si>
  <si>
    <t>TAG Geranium Maverick Scarlet Picotee 100/100 Pixie Tag SF</t>
  </si>
  <si>
    <t>0611837238100</t>
  </si>
  <si>
    <t>TAG Geranium Maverick Star 100/100 Pixie Tag SF</t>
  </si>
  <si>
    <t>0611837239100</t>
  </si>
  <si>
    <t>TAG Geranium Maverick Violet 100/100 Pixie Tag SF</t>
  </si>
  <si>
    <t>0611837240100</t>
  </si>
  <si>
    <t>TAG Geranium Maverick Violet Picotee 100/100 Pixie Tag SF</t>
  </si>
  <si>
    <t>0611837241100</t>
  </si>
  <si>
    <t>TAG Geranium Maverick White 100/100 Pixie Tag SF</t>
  </si>
  <si>
    <t>0611834594025</t>
  </si>
  <si>
    <t>TAG Geranium Max Frei 25/25 Portrait Tag</t>
  </si>
  <si>
    <t>0611862312050</t>
  </si>
  <si>
    <t>TAG Geranium Mini Cascade Lavender 50/50 Petite Portrait DO FUL</t>
  </si>
  <si>
    <t>0611862313050</t>
  </si>
  <si>
    <t>TAG Geranium Mini Cascade Pink 50/50 Petite Portrait DO FUL</t>
  </si>
  <si>
    <t>0611862314050</t>
  </si>
  <si>
    <t>TAG Geranium Mini Cascade Red 50/50 Petite Portrait DO FUL</t>
  </si>
  <si>
    <t>0611862315050</t>
  </si>
  <si>
    <t>TAG Geranium Mojo Cranberry Splash 50/50 Petite Portrait SF FUL</t>
  </si>
  <si>
    <t>0611862316050</t>
  </si>
  <si>
    <t>TAG Geranium Mojo Dark Pink 50/50 Petite Portrait SF FUL</t>
  </si>
  <si>
    <t>0611862317050</t>
  </si>
  <si>
    <t>TAG Geranium Mojo Dark Red 50/50 Petite Portrait SF FUL</t>
  </si>
  <si>
    <t>0611862318050</t>
  </si>
  <si>
    <t>TAG Geranium Mojo Hot Cherry 50/50 Petite Portrait SF FUL</t>
  </si>
  <si>
    <t>0611862319050</t>
  </si>
  <si>
    <t>TAG Geranium Mojo Magenta 50/50 Petite Portrait SF FUL</t>
  </si>
  <si>
    <t>0611862320050</t>
  </si>
  <si>
    <t>TAG Geranium Mojo Orange 50/50 Petite Portrait SF FUL</t>
  </si>
  <si>
    <t>0611862321050</t>
  </si>
  <si>
    <t>TAG Geranium Mojo Salmon 50/50 Petite Portrait SF FUL</t>
  </si>
  <si>
    <t>0611884233050</t>
  </si>
  <si>
    <t>TAG Geranium Mojo Scarlet 50/50 Petite Portrait SF FUL</t>
  </si>
  <si>
    <t>0611862322050</t>
  </si>
  <si>
    <t>TAG Geranium Mojo White 50/50 Petite Portrait SF FUL</t>
  </si>
  <si>
    <t>0611862323050</t>
  </si>
  <si>
    <t>TAG Geranium Moxie Dark Red 50/50 Petite Portrait SF FUL</t>
  </si>
  <si>
    <t>0611862325050</t>
  </si>
  <si>
    <t>TAG Geranium Moxie Deep Rose Mega Splash 50/50 Petite Portrait SF FUL</t>
  </si>
  <si>
    <t>0611862326050</t>
  </si>
  <si>
    <t>TAG Geranium Moxie Hot Pink 50/50 Petite Portrait SF FUL</t>
  </si>
  <si>
    <t>0611862327050</t>
  </si>
  <si>
    <t>TAG Geranium Moxie Orange 50/50 Petite Portrait SF FUL</t>
  </si>
  <si>
    <t>0611862328050</t>
  </si>
  <si>
    <t>TAG Geranium Moxie Pink 50/50 Petite Portrait SF FUL</t>
  </si>
  <si>
    <t>0611862329050</t>
  </si>
  <si>
    <t>TAG Geranium Moxie Pink Splash 50/50 Petite Portrait SF FUL</t>
  </si>
  <si>
    <t>0611862330050</t>
  </si>
  <si>
    <t>TAG Geranium Moxie Scarlet 50/50 Petite Portrait SF FUL</t>
  </si>
  <si>
    <t>0611862331050</t>
  </si>
  <si>
    <t>TAG Geranium Moxie Violet 50/50 Petite Portrait SF FUL</t>
  </si>
  <si>
    <t>0611862332050</t>
  </si>
  <si>
    <t>TAG Geranium Moxie White 50/50 Petite Portrait SF FUL</t>
  </si>
  <si>
    <t>0611837244100</t>
  </si>
  <si>
    <t>TAG Geranium Mrs Pollock 100/100 Pixie Tag</t>
  </si>
  <si>
    <t>0611837245100</t>
  </si>
  <si>
    <t>TAG Geranium Multibloom Capri 100/100 Pixie Tag SF</t>
  </si>
  <si>
    <t>0611837247100</t>
  </si>
  <si>
    <t>TAG Geranium Multibloom Mix 100/100 Pixie Tag SF</t>
  </si>
  <si>
    <t>0611837248100</t>
  </si>
  <si>
    <t>TAG Geranium Multibloom Pink 100/100 Pixie Tag SF</t>
  </si>
  <si>
    <t>0611837249100</t>
  </si>
  <si>
    <t>TAG Geranium Multibloom Red 100/100 Pixie Tag SF</t>
  </si>
  <si>
    <t>0611837250100</t>
  </si>
  <si>
    <t>TAG Geranium Multibloom Salmon 100/100 Pixie Tag SF</t>
  </si>
  <si>
    <t>0611837251100</t>
  </si>
  <si>
    <t>TAG Geranium Multibloom Violet 100/100 Pixie Tag SF</t>
  </si>
  <si>
    <t>0611837252100</t>
  </si>
  <si>
    <t>TAG Geranium Multibloom White 100/100 Pixie Tag SF</t>
  </si>
  <si>
    <t>0611837254100</t>
  </si>
  <si>
    <t>TAG Geranium Orange GENERIC 100/100 Pixie Tag</t>
  </si>
  <si>
    <t>0611856960100</t>
  </si>
  <si>
    <t>TAG Geranium Orange Glow 100/100 Pixie Tag</t>
  </si>
  <si>
    <t>0611862333050</t>
  </si>
  <si>
    <t>TAG Geranium Patriot Berry Parfait 50/50 Petite Portrait DO FUL</t>
  </si>
  <si>
    <t>0611862337050</t>
  </si>
  <si>
    <t>TAG Geranium Patriot Berry Parfait CR3536 50/50 Petite Portrait DO FUL</t>
  </si>
  <si>
    <t>0611862334050</t>
  </si>
  <si>
    <t>TAG Geranium Patriot Bright Pink 50/50 Petite Portrait DO FUL</t>
  </si>
  <si>
    <t>0611862335050</t>
  </si>
  <si>
    <t>TAG Geranium Patriot Bright Red 50/50 Petite Portrait DO FUL</t>
  </si>
  <si>
    <t>0611862336050</t>
  </si>
  <si>
    <t>TAG Geranium Patriot Bright Violet 50/50 Petite Portrait DO FUL</t>
  </si>
  <si>
    <t>0611862338050</t>
  </si>
  <si>
    <t>TAG Geranium Patriot Cherry Rose Improved 50/50 Petite Portrait DO FUL</t>
  </si>
  <si>
    <t>0611862339050</t>
  </si>
  <si>
    <t>TAG Geranium Patriot Evening Glow 50/50 Petite Portrait DO FUL</t>
  </si>
  <si>
    <t>0611862340050</t>
  </si>
  <si>
    <t>TAG Geranium Patriot Lavender Blue 50/50 Petite Portrait DO FUL</t>
  </si>
  <si>
    <t>0611862341050</t>
  </si>
  <si>
    <t>TAG Geranium Patriot Orange 50/50 Petite Portrait DO FUL</t>
  </si>
  <si>
    <t>0611862342050</t>
  </si>
  <si>
    <t>TAG Geranium Patriot Red Improved 50/50 Petite Portrait DO FUL</t>
  </si>
  <si>
    <t>0611862343050</t>
  </si>
  <si>
    <t>TAG Geranium Patriot Rosalinda 50/50 Petite Portrait DO FUL</t>
  </si>
  <si>
    <t>0611862344050</t>
  </si>
  <si>
    <t>TAG Geranium Patriot Rose Pink 50/50 Petite Portrait DO FUL</t>
  </si>
  <si>
    <t>0611862345050</t>
  </si>
  <si>
    <t>TAG Geranium Patriot Salmon 50/50 Petite Portrait DO FUL</t>
  </si>
  <si>
    <t>0611862346050</t>
  </si>
  <si>
    <t>TAG Geranium Patriot Salmon Chic 50/50 Petite Portrait DO FUL</t>
  </si>
  <si>
    <t>0611862347050</t>
  </si>
  <si>
    <t>TAG Geranium Patriot Tickled Pink 50/50 Petite Portrait DO FUL</t>
  </si>
  <si>
    <t>0611862348050</t>
  </si>
  <si>
    <t>TAG Geranium Patriot Watermelon 50/50 Petite Portrait DO FUL</t>
  </si>
  <si>
    <t>0611862349050</t>
  </si>
  <si>
    <t>TAG Geranium Patriot White Improved 50/50 Petite Portrait DO FUL</t>
  </si>
  <si>
    <t>0611837255100</t>
  </si>
  <si>
    <t>TAG Geranium Pillar GENERIC 100/100 Pixie Tag</t>
  </si>
  <si>
    <t>0611837256100</t>
  </si>
  <si>
    <t>TAG Geranium Pink Bicolor GENERIC 100/100 Pixie Tag</t>
  </si>
  <si>
    <t>0611837257100</t>
  </si>
  <si>
    <t>TAG Geranium Pink GENERIC 100/100 Pixie Tag</t>
  </si>
  <si>
    <t>0611837279100</t>
  </si>
  <si>
    <t>TAG Geranium Pink GENERIC Bilingual 100/100 Pixie Tag</t>
  </si>
  <si>
    <t>0611862350050</t>
  </si>
  <si>
    <t>TAG Geranium Pinnacle Apple Blossom 50/50 Petite Portrait DO FUL</t>
  </si>
  <si>
    <t>0611862351050</t>
  </si>
  <si>
    <t>TAG Geranium Pinnacle Dark Red 50/50 Petite Portrait DO FUL</t>
  </si>
  <si>
    <t>0611837260100</t>
  </si>
  <si>
    <t>TAG Geranium Pinto Pink 100/100 Pixie Tag SF</t>
  </si>
  <si>
    <t>0611837262100</t>
  </si>
  <si>
    <t>TAG Geranium Pinto Premium Coral 100/100 Pixie Tag SF</t>
  </si>
  <si>
    <t>0611837263100</t>
  </si>
  <si>
    <t>TAG Geranium Pinto Premium Deep Red 100/100 Pixie Tag SF</t>
  </si>
  <si>
    <t>0611837264100</t>
  </si>
  <si>
    <t>TAG Geranium Pinto Premium Deep Rose 100/100 Pixie Tag SF</t>
  </si>
  <si>
    <t>0611884234100</t>
  </si>
  <si>
    <t>TAG Geranium Pinto Premium Deep Salmon 100/100 Pixie Tag SF</t>
  </si>
  <si>
    <t>0611837265100</t>
  </si>
  <si>
    <t>TAG Geranium Pinto Premium Deep Scarlet 100/100 Pixie Tag SF</t>
  </si>
  <si>
    <t>0611837267100</t>
  </si>
  <si>
    <t>TAG Geranium Pinto Premium Lavender 100/100 Pixie Tag SF</t>
  </si>
  <si>
    <t>0611837266100</t>
  </si>
  <si>
    <t>TAG Geranium Pinto Premium Lavender Rose 100/100 Pixie Tag SF</t>
  </si>
  <si>
    <t>0611837268100</t>
  </si>
  <si>
    <t>TAG Geranium Pinto Premium Mix 100/100 Pixie Tag SF</t>
  </si>
  <si>
    <t>0611837269100</t>
  </si>
  <si>
    <t>TAG Geranium Pinto Premium Orange 100/100 Pixie Tag SF</t>
  </si>
  <si>
    <t>0611837270100</t>
  </si>
  <si>
    <t>TAG Geranium Pinto Premium Orange Bicolor 100/100 Pixie Tag SF</t>
  </si>
  <si>
    <t>0611837271100</t>
  </si>
  <si>
    <t>TAG Geranium Pinto Premium Rose Bicolor 100/100 Pixie Tag SF</t>
  </si>
  <si>
    <t>0611837272100</t>
  </si>
  <si>
    <t>TAG Geranium Pinto Premium Salmon 100/100 Pixie Tag SF</t>
  </si>
  <si>
    <t>0611837261100</t>
  </si>
  <si>
    <t>TAG Geranium Pinto Premium Salmon Splash 100/100 Pixie Tag SF</t>
  </si>
  <si>
    <t>0611837273100</t>
  </si>
  <si>
    <t>TAG Geranium Pinto Premium Scarlet 100/100 Pixie Tag SF</t>
  </si>
  <si>
    <t>0611837274100</t>
  </si>
  <si>
    <t>TAG Geranium Pinto Premium Violet 100/100 Pixie Tag SF</t>
  </si>
  <si>
    <t>0611837276100</t>
  </si>
  <si>
    <t>TAG Geranium Pinto Premium White 100/100 Pixie Tag SF</t>
  </si>
  <si>
    <t>0611837275100</t>
  </si>
  <si>
    <t>TAG Geranium Pinto Premium White To Rose 100/100 Pixie Tag SF</t>
  </si>
  <si>
    <t>0611837277100</t>
  </si>
  <si>
    <t>TAG Geranium Pinto Red 100/100 Pixie Tag SF</t>
  </si>
  <si>
    <t>0611862352050</t>
  </si>
  <si>
    <t>TAG Geranium Pretty Little Pink Splash 50/50 Petite Portrait SF FUL</t>
  </si>
  <si>
    <t>0611837280100</t>
  </si>
  <si>
    <t>TAG Geranium Purple GENERIC Bilingual 100/100 Pixie Tag</t>
  </si>
  <si>
    <t>0611834595100</t>
  </si>
  <si>
    <t>TAG Geranium Quercifolia Oakleaf 100/100 Pixie Tag</t>
  </si>
  <si>
    <t>0611837286100</t>
  </si>
  <si>
    <t>TAG Geranium Red GENERIC Bilingual 100/100 Pixie Tag</t>
  </si>
  <si>
    <t>0611837287100</t>
  </si>
  <si>
    <t>TAG Geranium Ringo 2000 Cardinal 100/100 Pixie Tag SF</t>
  </si>
  <si>
    <t>0611837288100</t>
  </si>
  <si>
    <t>TAG Geranium Ringo 2000 Deep Red 100/100 Pixie Tag SF</t>
  </si>
  <si>
    <t>0611837289100</t>
  </si>
  <si>
    <t>TAG Geranium Ringo 2000 Deep Rose 100/100 Pixie Tag SF</t>
  </si>
  <si>
    <t>0611837290100</t>
  </si>
  <si>
    <t>TAG Geranium Ringo 2000 Deep Scarlet 100/100 Pixie Tag SF</t>
  </si>
  <si>
    <t>0611837291100</t>
  </si>
  <si>
    <t>TAG Geranium Ringo 2000 Lavender 100/100 Pixie Tag SF</t>
  </si>
  <si>
    <t>0611837292100</t>
  </si>
  <si>
    <t>TAG Geranium Ringo 2000 Pink 100/100 Pixie Tag SF</t>
  </si>
  <si>
    <t>0611837293100</t>
  </si>
  <si>
    <t>TAG Geranium Ringo 2000 Red 100/100 Pixie Tag SF</t>
  </si>
  <si>
    <t>0611837294100</t>
  </si>
  <si>
    <t>TAG Geranium Ringo 2000 Rose Star 100/100 Pixie Tag SF</t>
  </si>
  <si>
    <t>0611837295100</t>
  </si>
  <si>
    <t>TAG Geranium Ringo 2000 Salmon 100/100 Pixie Tag SF</t>
  </si>
  <si>
    <t>0611837296100</t>
  </si>
  <si>
    <t>TAG Geranium Ringo 2000 Scarlet Star 100/100 Pixie Tag SF</t>
  </si>
  <si>
    <t>0611837297100</t>
  </si>
  <si>
    <t>TAG Geranium Ringo 2000 Violet 100/100 Pixie Tag SF</t>
  </si>
  <si>
    <t>0611837298100</t>
  </si>
  <si>
    <t>TAG Geranium Ringo 2000 White 100/100 Pixie Tag SF</t>
  </si>
  <si>
    <t>0611862353050</t>
  </si>
  <si>
    <t>TAG Geranium Rocky Mountain Dark Red 50/50 Petite Portrait SF FUL</t>
  </si>
  <si>
    <t>0611862354050</t>
  </si>
  <si>
    <t>TAG Geranium Rocky Mountain Deep Rose 50/50 Petite Portrait SF FUL</t>
  </si>
  <si>
    <t>0611862355050</t>
  </si>
  <si>
    <t>TAG Geranium Rocky Mountain Lavender 50/50 Petite Portrait SF FUL</t>
  </si>
  <si>
    <t>0611862356050</t>
  </si>
  <si>
    <t>TAG Geranium Rocky Mountain Light Pink 50/50 Petite Portrait SF FUL</t>
  </si>
  <si>
    <t>0611862357050</t>
  </si>
  <si>
    <t>TAG Geranium Rocky Mountain Magenta 50/50 Petite Portrait SF FUL</t>
  </si>
  <si>
    <t>0611862358050</t>
  </si>
  <si>
    <t>TAG Geranium Rocky Mountain Orange 50/50 Petite Portrait SF FUL</t>
  </si>
  <si>
    <t>0611862359050</t>
  </si>
  <si>
    <t>TAG Geranium Rocky Mountain Pink 50/50 Petite Portrait SF FUL</t>
  </si>
  <si>
    <t>0611862360050</t>
  </si>
  <si>
    <t>TAG Geranium Rocky Mountain Red 50/50 Petite Portrait SF FUL</t>
  </si>
  <si>
    <t>0611862362050</t>
  </si>
  <si>
    <t>TAG Geranium Rocky Mountain Salmon 50/50 Petite Portrait SF FUL</t>
  </si>
  <si>
    <t>0611862363050</t>
  </si>
  <si>
    <t>TAG Geranium Rocky Mountain Violet 50/50 Petite Portrait SF FUL</t>
  </si>
  <si>
    <t>0611862364050</t>
  </si>
  <si>
    <t>TAG Geranium Rocky Mountain White 50/50 Petite Portrait SF FUL</t>
  </si>
  <si>
    <t>0611862365050</t>
  </si>
  <si>
    <t>TAG Geranium Rosalie Antique Salmon 50/50 Petite Portrait SF FUL</t>
  </si>
  <si>
    <t>0611837300100</t>
  </si>
  <si>
    <t>TAG Geranium Rose GENERIC Bilingual 100/100 Pixie Tag</t>
  </si>
  <si>
    <t>0611837304100</t>
  </si>
  <si>
    <t>TAG Geranium Salmon GENERIC Bilingual 100/100 Pixie Tag</t>
  </si>
  <si>
    <t>0611834596025</t>
  </si>
  <si>
    <t>TAG Geranium Sanguineum 25/25 Portrait Tag</t>
  </si>
  <si>
    <t>0611862366050</t>
  </si>
  <si>
    <t>TAG Geranium Santana Dark Red 50/50 Petite Portrait DO FUL</t>
  </si>
  <si>
    <t>0611862367050</t>
  </si>
  <si>
    <t>TAG Geranium Santana Fire 50/50 Petite Portrait DO FUL</t>
  </si>
  <si>
    <t>0611862368050</t>
  </si>
  <si>
    <t>TAG Geranium Santana Pink 50/50 Petite Portrait DO FUL</t>
  </si>
  <si>
    <t>0611862369050</t>
  </si>
  <si>
    <t>TAG Geranium Santana Pink Splash 50/50 Petite Portrait DO FUL</t>
  </si>
  <si>
    <t>0611862370050</t>
  </si>
  <si>
    <t>TAG Geranium Santana Purple 50/50 Petite Portrait DO FUL</t>
  </si>
  <si>
    <t>0611862371050</t>
  </si>
  <si>
    <t>TAG Geranium Santana White 50/50 Petite Portrait DO FUL</t>
  </si>
  <si>
    <t>0611862372050</t>
  </si>
  <si>
    <t>TAG Geranium Santana White Splash 50/50 Petite Portrait DO FUL</t>
  </si>
  <si>
    <t>0611862373050</t>
  </si>
  <si>
    <t>TAG Geranium Sarita Dark Red 50/50 Petite Portrait DO FUL</t>
  </si>
  <si>
    <t>0611862374050</t>
  </si>
  <si>
    <t>TAG Geranium Sarita Fire 50/50 Petite Portrait DO FUL</t>
  </si>
  <si>
    <t>0611862375050</t>
  </si>
  <si>
    <t>TAG Geranium Sarita Lilac Splash 50/50 Petite Portrait DO FUL</t>
  </si>
  <si>
    <t>0611862376050</t>
  </si>
  <si>
    <t>TAG Geranium Sarita Neon Sizzle 50/50 Petite Portrait DO FUL</t>
  </si>
  <si>
    <t>0611862377050</t>
  </si>
  <si>
    <t>TAG Geranium Sarita Pink 50/50 Petite Portrait DO FUL</t>
  </si>
  <si>
    <t>0611862378050</t>
  </si>
  <si>
    <t>TAG Geranium Sarita Punch 50/50 Petite Portrait DO FUL</t>
  </si>
  <si>
    <t>0611862379050</t>
  </si>
  <si>
    <t>TAG Geranium Sarita Salmon Pink 50/50 Petite Portrait DO FUL</t>
  </si>
  <si>
    <t>0611862380050</t>
  </si>
  <si>
    <t>TAG Geranium Sarita Sunstar Red 50/50 Petite Portrait DO FUL</t>
  </si>
  <si>
    <t>0611862381050</t>
  </si>
  <si>
    <t>TAG Geranium Sarita White 50/50 Petite Portrait DO FUL</t>
  </si>
  <si>
    <t>0611862382050</t>
  </si>
  <si>
    <t>TAG Geranium Sarita Wild Salmon 50/50 Petite Portrait DO FUL</t>
  </si>
  <si>
    <t>0611862383050</t>
  </si>
  <si>
    <t>TAG Geranium Savannah Blue 50/50 Petite Portrait DO FUL</t>
  </si>
  <si>
    <t>0611862384050</t>
  </si>
  <si>
    <t>TAG Geranium Savannah Bright Eyes 50/50 Petite Portrait DO FUL</t>
  </si>
  <si>
    <t>0611862385050</t>
  </si>
  <si>
    <t>TAG Geranium Savannah Cerise Sizzle 50/50 Petite Portrait DO FUL</t>
  </si>
  <si>
    <t>0611862386050</t>
  </si>
  <si>
    <t>TAG Geranium Savannah Coral 50/50 Petite Portrait DO FUL</t>
  </si>
  <si>
    <t>0611862387050</t>
  </si>
  <si>
    <t>TAG Geranium Savannah Hot Pink Sizzle 50/50 Petite Portrait DO FUL</t>
  </si>
  <si>
    <t>0611862388050</t>
  </si>
  <si>
    <t>TAG Geranium Savannah Hot Rod Red 50/50 Petite Portrait DO FUL</t>
  </si>
  <si>
    <t>0611862389050</t>
  </si>
  <si>
    <t>TAG Geranium Savannah Lavender Splash 50/50 Petite Portrait DO FUL</t>
  </si>
  <si>
    <t>0611862390050</t>
  </si>
  <si>
    <t>TAG Geranium Savannah Light Salmon 50/50 Petite Portrait DO FUL</t>
  </si>
  <si>
    <t>0611862391050</t>
  </si>
  <si>
    <t>TAG Geranium Savannah Merlot Sizzle 50/50 Petite Portrait DO FUL</t>
  </si>
  <si>
    <t>0611884235050</t>
  </si>
  <si>
    <t>TAG Geranium Savannah Neon 50/50 Petite Portrait DO FUL</t>
  </si>
  <si>
    <t>0611862392050</t>
  </si>
  <si>
    <t>TAG Geranium Savannah Oh So Orange 50/50 Petite Portrait DO FUL</t>
  </si>
  <si>
    <t>0611862393050</t>
  </si>
  <si>
    <t>TAG Geranium Savannah Pink 50/50 Petite Portrait DO FUL</t>
  </si>
  <si>
    <t>0611862394050</t>
  </si>
  <si>
    <t>TAG Geranium Savannah Pink Sizzle 50/50 Petite Portrait DO FUL</t>
  </si>
  <si>
    <t>0611862395050</t>
  </si>
  <si>
    <t>TAG Geranium Savannah Pink Splash 50/50 Petite Portrait DO FUL</t>
  </si>
  <si>
    <t>0611862396050</t>
  </si>
  <si>
    <t>TAG Geranium Savannah Punch 50/50 Petite Portrait DO FUL</t>
  </si>
  <si>
    <t>0611862397050</t>
  </si>
  <si>
    <t>TAG Geranium Savannah Really Red 50/50 Petite Portrait DO FUL</t>
  </si>
  <si>
    <t>0611862398050</t>
  </si>
  <si>
    <t>TAG Geranium Savannah Red 50/50 Petite Portrait DO FUL</t>
  </si>
  <si>
    <t>0611862399050</t>
  </si>
  <si>
    <t>TAG Geranium Savannah Ruby Sizzle 50/50 Petite Portrait DO FUL</t>
  </si>
  <si>
    <t>0611862401050</t>
  </si>
  <si>
    <t>TAG Geranium Savannah White 50/50 Petite Portrait DO FUL</t>
  </si>
  <si>
    <t>0611862400050</t>
  </si>
  <si>
    <t>TAG Geranium Savannah White Splash Improved 50/50 Petite Portrait DO FUL</t>
  </si>
  <si>
    <t>0611837302100</t>
  </si>
  <si>
    <t>TAG Geranium Scarlet GENERIC Bilingual 100/100 Pixie Tag</t>
  </si>
  <si>
    <t>0611837301100</t>
  </si>
  <si>
    <t>TAG Geranium Scented GENERIC 100/100 Pixie Tag</t>
  </si>
  <si>
    <t>0611837303100</t>
  </si>
  <si>
    <t>TAG Geranium Seed GENERIC 100/100 Pixie Tag</t>
  </si>
  <si>
    <t>0611862402050</t>
  </si>
  <si>
    <t>TAG Geranium Starry Pure White 50/50 Petite Portrait SF FUL</t>
  </si>
  <si>
    <t>0611862403050</t>
  </si>
  <si>
    <t>TAG Geranium Summer Idols Dark Red 50/50 Petite Portrait FUL</t>
  </si>
  <si>
    <t>0611862404050</t>
  </si>
  <si>
    <t>TAG Geranium Summer Idols Hot Pink 50/50 Petite Portrait FUL</t>
  </si>
  <si>
    <t>0611862405050</t>
  </si>
  <si>
    <t>TAG Geranium Summer Idols Orange 50/50 Petite Portrait FUL</t>
  </si>
  <si>
    <t>0611862406050</t>
  </si>
  <si>
    <t>TAG Geranium Summer Idols Purple 50/50 Petite Portrait FUL</t>
  </si>
  <si>
    <t>0611862407050</t>
  </si>
  <si>
    <t>TAG Geranium Summer Idols True Red 50/50 Petite Portrait FUL</t>
  </si>
  <si>
    <t>0611862408050</t>
  </si>
  <si>
    <t>TAG Geranium Summer Idols White 50/50 Petite Portrait FUL</t>
  </si>
  <si>
    <t>0611862409050</t>
  </si>
  <si>
    <t>TAG Geranium Survivor Baby Face 50/50 Petite Portrait DO FUL</t>
  </si>
  <si>
    <t>0611862410050</t>
  </si>
  <si>
    <t>TAG Geranium Survivor Blue 50/50 Petite Portrait DO FUL</t>
  </si>
  <si>
    <t>0611862411050</t>
  </si>
  <si>
    <t>TAG Geranium Survivor Cherry Red 50/50 Petite Portrait DO FUL</t>
  </si>
  <si>
    <t>0611862413050</t>
  </si>
  <si>
    <t>TAG Geranium Survivor Coral 50/50 Petite Portrait DO FUL</t>
  </si>
  <si>
    <t>0611862414050</t>
  </si>
  <si>
    <t>TAG Geranium Survivor Dark Red 50/50 Petite Portrait DO FUL</t>
  </si>
  <si>
    <t>0611862415050</t>
  </si>
  <si>
    <t>TAG Geranium Survivor Fuchsia 50/50 Petite Portrait DO FUL</t>
  </si>
  <si>
    <t>0611862416050</t>
  </si>
  <si>
    <t>TAG Geranium Survivor Hot Pink 50/50 Petite Portrait DO FUL</t>
  </si>
  <si>
    <t>0611862417050</t>
  </si>
  <si>
    <t>TAG Geranium Survivor Indigo Sky 50/50 Petite Portrait DO FUL</t>
  </si>
  <si>
    <t>0611862418050</t>
  </si>
  <si>
    <t>TAG Geranium Survivor Neon Violet 50/50 Petite Portrait DO FUL</t>
  </si>
  <si>
    <t>0611862419050</t>
  </si>
  <si>
    <t>TAG Geranium Survivor Orange 50/50 Petite Portrait DO FUL</t>
  </si>
  <si>
    <t>0611862420050</t>
  </si>
  <si>
    <t>TAG Geranium Survivor Paperbloom 50/50 Petite Portrait DO FUL</t>
  </si>
  <si>
    <t>0611862421050</t>
  </si>
  <si>
    <t>TAG Geranium Survivor Pink 50/50 Petite Portrait DO FUL</t>
  </si>
  <si>
    <t>0611862422050</t>
  </si>
  <si>
    <t>TAG Geranium Survivor Pink Batik 50/50 Petite Portrait DO FUL</t>
  </si>
  <si>
    <t>0611862423050</t>
  </si>
  <si>
    <t>TAG Geranium Survivor Pink Charme 50/50 Petite Portrait DO FUL</t>
  </si>
  <si>
    <t>0611862425050</t>
  </si>
  <si>
    <t>TAG Geranium Survivor Pink Mega Splash 50/50 Petite Portrait DO FUL</t>
  </si>
  <si>
    <t>0611862424050</t>
  </si>
  <si>
    <t>TAG Geranium Survivor Pink Passion 50/50 Petite Portrait DO FUL</t>
  </si>
  <si>
    <t>0611862427050</t>
  </si>
  <si>
    <t>TAG Geranium Survivor Salmon Pink 50/50 Petite Portrait DO FUL</t>
  </si>
  <si>
    <t>0611862426050</t>
  </si>
  <si>
    <t>TAG Geranium Survivor Salmon Sensation 50/50 Petite Portrait DO FUL</t>
  </si>
  <si>
    <t>0611862428050</t>
  </si>
  <si>
    <t>TAG Geranium Survivor Scarlet 50/50 Petite Portrait DO FUL</t>
  </si>
  <si>
    <t>0611862429050</t>
  </si>
  <si>
    <t>TAG Geranium Survivor Tickled Pink 50/50 Petite Portrait DO FUL</t>
  </si>
  <si>
    <t>0611862430050</t>
  </si>
  <si>
    <t>TAG Geranium Survivor White 11 50/50 Petite Portrait DO FUL</t>
  </si>
  <si>
    <t>0611837305100</t>
  </si>
  <si>
    <t>TAG Geranium Sweet Mimosa 100/100 Pixie Tag</t>
  </si>
  <si>
    <t>0611862431050</t>
  </si>
  <si>
    <t>TAG Geranium Tango Cherry Bicolor 50/50 Petite Portrait SF FUL</t>
  </si>
  <si>
    <t>0611862432050</t>
  </si>
  <si>
    <t>TAG Geranium Tango Dark Red 50/50 Petite Portrait SF FUL</t>
  </si>
  <si>
    <t>0611862433050</t>
  </si>
  <si>
    <t>TAG Geranium Tango Deep Pink 50/50 Petite Portrait SF FUL</t>
  </si>
  <si>
    <t>0611862434050</t>
  </si>
  <si>
    <t>TAG Geranium Tango Deep Red 50/50 Petite Portrait SF FUL</t>
  </si>
  <si>
    <t>0611862435050</t>
  </si>
  <si>
    <t>TAG Geranium Tango Deep Rose With Eye 50/50 Petite Portrait SF FUL</t>
  </si>
  <si>
    <t>0611862436050</t>
  </si>
  <si>
    <t>TAG Geranium Tango Hot Pink 50/50 Petite Portrait SF FUL</t>
  </si>
  <si>
    <t>0611862437050</t>
  </si>
  <si>
    <t>TAG Geranium Tango Lavender 50/50 Petite Portrait SF FUL</t>
  </si>
  <si>
    <t>0611862438050</t>
  </si>
  <si>
    <t>TAG Geranium Tango Light Pink 50/50 Petite Portrait SF FUL</t>
  </si>
  <si>
    <t>0611862439050</t>
  </si>
  <si>
    <t>TAG Geranium Tango Neon Purple 50/50 Petite Portrait SF FUL</t>
  </si>
  <si>
    <t>0611862440050</t>
  </si>
  <si>
    <t>TAG Geranium Tango Orange 50/50 Petite Portrait SF FUL</t>
  </si>
  <si>
    <t>0611862441050</t>
  </si>
  <si>
    <t>TAG Geranium Tango Orange Ice 50/50 Petite Portrait SF FUL</t>
  </si>
  <si>
    <t>0611862442050</t>
  </si>
  <si>
    <t>TAG Geranium Tango Pink Ice 50/50 Petite Portrait SF FUL</t>
  </si>
  <si>
    <t>0611862443050</t>
  </si>
  <si>
    <t>TAG Geranium Tango Rose Splash 50/50 Petite Portrait SF FUL</t>
  </si>
  <si>
    <t>0611862444050</t>
  </si>
  <si>
    <t>TAG Geranium Tango Salmon 50/50 Petite Portrait SF FUL</t>
  </si>
  <si>
    <t>0611862445050</t>
  </si>
  <si>
    <t>TAG Geranium Tango Strawberry Ice 50/50 Petite Portrait SF FUL</t>
  </si>
  <si>
    <t>0611862446050</t>
  </si>
  <si>
    <t>TAG Geranium Tango Tango 50/50 Petite Portrait SF FUL</t>
  </si>
  <si>
    <t>0611862447050</t>
  </si>
  <si>
    <t>TAG Geranium Tango Velvet Red 50/50 Petite Portrait SF FUL</t>
  </si>
  <si>
    <t>0611862448050</t>
  </si>
  <si>
    <t>TAG Geranium Tango Violet 50/50 Petite Portrait SF FUL</t>
  </si>
  <si>
    <t>0611862449050</t>
  </si>
  <si>
    <t>TAG Geranium Tango White 50/50 Petite Portrait SF FUL</t>
  </si>
  <si>
    <t>0611862450050</t>
  </si>
  <si>
    <t>TAG Geranium Tango White Splash 50/50 Petite Portrait SF FUL</t>
  </si>
  <si>
    <t>0611884236100</t>
  </si>
  <si>
    <t>TAG Geranium Tornado White 100/100 Pixie Tag SF</t>
  </si>
  <si>
    <t>0611837308100</t>
  </si>
  <si>
    <t>TAG Geranium Two In One Series 100/100 Pixie Tag</t>
  </si>
  <si>
    <t>0611837309100</t>
  </si>
  <si>
    <t>TAG Geranium Vancouver Centennial 100/100 Pixie Tag DO</t>
  </si>
  <si>
    <t>0611862459050</t>
  </si>
  <si>
    <t>TAG Geranium Vancouver Centennial 50/50 Petite Portrait DO FUL</t>
  </si>
  <si>
    <t>0611837310100</t>
  </si>
  <si>
    <t>TAG Geranium Vegetative Red GENERIC 100/100 Pixie Tag</t>
  </si>
  <si>
    <t>0611837311100</t>
  </si>
  <si>
    <t>TAG Geranium Vegetative Zonal GENERIC 100/100 Pixie Tag</t>
  </si>
  <si>
    <t>0611837312025</t>
  </si>
  <si>
    <t>TAG Geranium Vegetative Zonal GENERIC 25/25 Portrait Tag</t>
  </si>
  <si>
    <t>0611862460050</t>
  </si>
  <si>
    <t>TAG Geranium Ville De Paris Red 50/50 Petite Portrait FUL</t>
  </si>
  <si>
    <t>0611862461050</t>
  </si>
  <si>
    <t>TAG Geranium Ville De Rheinberg Brilliant 50/50 Petite Portrait FUL</t>
  </si>
  <si>
    <t>0611837313100</t>
  </si>
  <si>
    <t>TAG Geranium Violet GENERIC Bilingual 100/100 Pixie Tag</t>
  </si>
  <si>
    <t>0611834597025</t>
  </si>
  <si>
    <t>TAG Geranium Vision Violet Sanguineum 25/25 Portrait Tag</t>
  </si>
  <si>
    <t>0611837314100</t>
  </si>
  <si>
    <t>TAG Geranium White GENERIC Bilingual 100/100 Pixie Tag</t>
  </si>
  <si>
    <t>0611837316100</t>
  </si>
  <si>
    <t>TAG Geranium Wilhelm Langguth 100/100 Pixie Tag DO</t>
  </si>
  <si>
    <t>0611862462050</t>
  </si>
  <si>
    <t>TAG Geranium Wilhelm Langguth 50/50 Petite Portrait DO FUL</t>
  </si>
  <si>
    <t>0611837317100</t>
  </si>
  <si>
    <t>TAG Geranium Yellow 100/100 Pixie Tag</t>
  </si>
  <si>
    <t>0611837318100</t>
  </si>
  <si>
    <t>TAG Geranium Zonal GENERIC 100/100 Hang Tag</t>
  </si>
  <si>
    <t>0611834598100</t>
  </si>
  <si>
    <t>TAG Gerbera Bengal Mix 100/100 Pixie Tag SF</t>
  </si>
  <si>
    <t>0611834600100</t>
  </si>
  <si>
    <t>TAG Gerbera Bengal Orange With Eye 100/100 Pixie Tag SF</t>
  </si>
  <si>
    <t>0611834601100</t>
  </si>
  <si>
    <t>TAG Gerbera Bengal Red With Eye 100/100 Pixie Tag SF</t>
  </si>
  <si>
    <t>0611834602100</t>
  </si>
  <si>
    <t>TAG Gerbera Bengal Rose With Eye 100/100 Pixie Tag SF</t>
  </si>
  <si>
    <t>0611834604100</t>
  </si>
  <si>
    <t>TAG Gerbera Bengal White With Eye 100/100 Pixie Tag SF</t>
  </si>
  <si>
    <t>0611834605100</t>
  </si>
  <si>
    <t>TAG Gerbera Bengal Yellow With Eye 100/100 Pixie Tag SF</t>
  </si>
  <si>
    <t>0611834606100</t>
  </si>
  <si>
    <t>TAG Gerbera Cartwheel Autumn Colors 100/100 Pixie Tag SF</t>
  </si>
  <si>
    <t>0611834607100</t>
  </si>
  <si>
    <t>TAG Gerbera Cartwheel Chardonnay 100/100 Pixie Tag SF</t>
  </si>
  <si>
    <t>0611834609100</t>
  </si>
  <si>
    <t>TAG Gerbera Cartwheel Strawberry Twist 100/100 Pixie Tag SF</t>
  </si>
  <si>
    <t>0611834610100</t>
  </si>
  <si>
    <t>TAG Gerbera ColorBloom Bicolor Deep Orange With Dark Eye 100/100 Pixie Tag</t>
  </si>
  <si>
    <t>0611834611100</t>
  </si>
  <si>
    <t>TAG Gerbera ColorBloom Bicolor Orange Yellow 100/100 Pixie Tag</t>
  </si>
  <si>
    <t>0611834612100</t>
  </si>
  <si>
    <t>TAG Gerbera ColorBloom Bicolor Red White 100/100 Pixie Tag</t>
  </si>
  <si>
    <t>0611834613100</t>
  </si>
  <si>
    <t>TAG Gerbera ColorBloom Cherry With Light Eye 100/100 Pixie Tag</t>
  </si>
  <si>
    <t>0611834614100</t>
  </si>
  <si>
    <t>TAG Gerbera ColorBloom Deep Rose With Light Eye 100/100 Pixie Tag</t>
  </si>
  <si>
    <t>0611834615100</t>
  </si>
  <si>
    <t>TAG Gerbera ColorBloom Mix 100/100 Pixie Tag</t>
  </si>
  <si>
    <t>0611834616100</t>
  </si>
  <si>
    <t>TAG Gerbera ColorBloom Red With Dark Eye 100/100 Pixie Tag</t>
  </si>
  <si>
    <t>0611834617100</t>
  </si>
  <si>
    <t>TAG Gerbera ColorBloom Red With Light Eye 100/100 Pixie Tag</t>
  </si>
  <si>
    <t>0611884237100</t>
  </si>
  <si>
    <t>TAG Gerbera ColorBloom Watermelon With Dark Eye 100/100 Pixie Tag</t>
  </si>
  <si>
    <t>0611834618100</t>
  </si>
  <si>
    <t>TAG Gerbera ColorBloom White With Dark Eye 100/100 Pixie Tag</t>
  </si>
  <si>
    <t>0611834619100</t>
  </si>
  <si>
    <t>TAG Gerbera ColorBloom Yellow With Dark Eye 100/100 Pixie Tag</t>
  </si>
  <si>
    <t>0611834620100</t>
  </si>
  <si>
    <t>TAG Gerbera Daisy Mix GENERIC 100/100 Pixie Tag</t>
  </si>
  <si>
    <t>0611834621100</t>
  </si>
  <si>
    <t>TAG Gerbera Elephant Scarlet 100/100 Pixie Tag SF</t>
  </si>
  <si>
    <t>0611834628100</t>
  </si>
  <si>
    <t>TAG Gerbera Festival Growers Select Mix 100/100 Pixie Tag</t>
  </si>
  <si>
    <t>0611834630100</t>
  </si>
  <si>
    <t>TAG Gerbera Festival Mix 100/100 Pixie Tag</t>
  </si>
  <si>
    <t>0611834631100</t>
  </si>
  <si>
    <t>TAG Gerbera Festival Series 100/100 Pixie Tag</t>
  </si>
  <si>
    <t>0611834632100</t>
  </si>
  <si>
    <t>TAG Gerbera Festival Spider Mix 100/100 Pixie Tag</t>
  </si>
  <si>
    <t>0611834633100</t>
  </si>
  <si>
    <t>TAG Gerbera Flori Line Giant Series 100/100 Pixie Tag</t>
  </si>
  <si>
    <t>0611834634100</t>
  </si>
  <si>
    <t>TAG Gerbera Flori Line Maxi Series 100/100 Pixie Tag</t>
  </si>
  <si>
    <t>0611834635100</t>
  </si>
  <si>
    <t>TAG Gerbera Flori Line Midi Red 100/100 Pixie Tag</t>
  </si>
  <si>
    <t>0611834636100</t>
  </si>
  <si>
    <t>TAG Gerbera Garvinea Sweet Caroline 100/100 Pixie Tag</t>
  </si>
  <si>
    <t>0611834637100</t>
  </si>
  <si>
    <t>TAG Gerbera Garvinea Sweet Fiesta 100/100 Pixie Tag</t>
  </si>
  <si>
    <t>0611834638100</t>
  </si>
  <si>
    <t>TAG Gerbera Garvinea Sweet Frosting 100/100 Pixie Tag</t>
  </si>
  <si>
    <t>0611834639100</t>
  </si>
  <si>
    <t>TAG Gerbera Garvinea Sweet Glow 100/100 Pixie Tag</t>
  </si>
  <si>
    <t>0611834640100</t>
  </si>
  <si>
    <t>TAG Gerbera Garvinea Sweet Honey 100/100 Pixie Tag</t>
  </si>
  <si>
    <t>0611834641100</t>
  </si>
  <si>
    <t>TAG Gerbera Garvinea Sweet Love 100/100 Pixie Tag</t>
  </si>
  <si>
    <t>0611834642100</t>
  </si>
  <si>
    <t>TAG Gerbera Garvinea Sweet Memories 100/100 Pixie Tag</t>
  </si>
  <si>
    <t>0611834643100</t>
  </si>
  <si>
    <t>TAG Gerbera Garvinea Sweet Sixteen 100/100 Pixie Tag</t>
  </si>
  <si>
    <t>0611856961100</t>
  </si>
  <si>
    <t>TAG Gerbera Garvinea Sweet Smile 100/100 Pixie Tag</t>
  </si>
  <si>
    <t>0611856962100</t>
  </si>
  <si>
    <t>TAG Gerbera Garvinea Sweet Sparkle 100/100 Pixie Tag</t>
  </si>
  <si>
    <t>0611834644100</t>
  </si>
  <si>
    <t>TAG Gerbera Garvinea Sweet Spice 100/100 Pixie Tag</t>
  </si>
  <si>
    <t>0611834645100</t>
  </si>
  <si>
    <t>TAG Gerbera Garvinea Sweet Sunset 100/100 Pixie Tag</t>
  </si>
  <si>
    <t>0611834646100</t>
  </si>
  <si>
    <t>TAG Gerbera Garvinea Sweet Surprise 100/100 Pixie Tag</t>
  </si>
  <si>
    <t>0611856963100</t>
  </si>
  <si>
    <t>TAG Gerbera Garvinea Sweet Vibe 100/100 Pixie Tag</t>
  </si>
  <si>
    <t>0611834648025</t>
  </si>
  <si>
    <t>TAG Gerbera GENERIC 25/25 Portrait Tag</t>
  </si>
  <si>
    <t>0611834649100</t>
  </si>
  <si>
    <t>TAG Gerbera GENERIC Bilingual 100/100 Pixie Tag</t>
  </si>
  <si>
    <t>0611834650100</t>
  </si>
  <si>
    <t>TAG Gerbera Jaguar Deep Orange 100/100 Pixie Tag SF</t>
  </si>
  <si>
    <t>0611834651100</t>
  </si>
  <si>
    <t>TAG Gerbera Jaguar Deep Rose 100/100 Pixie Tag SF</t>
  </si>
  <si>
    <t>0611834653100</t>
  </si>
  <si>
    <t>TAG Gerbera Jaguar Fire 100/100 Pixie Tag SF</t>
  </si>
  <si>
    <t>0611834654100</t>
  </si>
  <si>
    <t>TAG Gerbera Jaguar Fire Dark Center 100/100 Pixie Tag SF</t>
  </si>
  <si>
    <t>0611834656100</t>
  </si>
  <si>
    <t>TAG Gerbera Jaguar Mix 100/100 Pixie Tag SF</t>
  </si>
  <si>
    <t>0611834657100</t>
  </si>
  <si>
    <t>TAG Gerbera Jaguar Pink 100/100 Pixie Tag SF</t>
  </si>
  <si>
    <t>0611834658100</t>
  </si>
  <si>
    <t>TAG Gerbera Jaguar Red 100/100 Pixie Tag SF</t>
  </si>
  <si>
    <t>0611834659100</t>
  </si>
  <si>
    <t>TAG Gerbera Jaguar Rose Dark Center 100/100 Pixie Tag SF</t>
  </si>
  <si>
    <t>0611834660100</t>
  </si>
  <si>
    <t>TAG Gerbera Jaguar Rose Picotee 100/100 Pixie Tag SF</t>
  </si>
  <si>
    <t>0611834662100</t>
  </si>
  <si>
    <t>TAG Gerbera Jaguar Salsa Mix 100/100 Pixie Tag SF</t>
  </si>
  <si>
    <t>0611834663100</t>
  </si>
  <si>
    <t>TAG Gerbera Jaguar Scarlet 100/100 Pixie Tag SF</t>
  </si>
  <si>
    <t>0611834664100</t>
  </si>
  <si>
    <t>TAG Gerbera Jaguar Series 100/100 Pixie Tag SF</t>
  </si>
  <si>
    <t>0611834665100</t>
  </si>
  <si>
    <t>TAG Gerbera Jaguar Spring Time Mix 100/100 Pixie Tag SF</t>
  </si>
  <si>
    <t>0611834666100</t>
  </si>
  <si>
    <t>TAG Gerbera Jaguar Tangerine 100/100 Pixie Tag SF</t>
  </si>
  <si>
    <t>0611834668100</t>
  </si>
  <si>
    <t>TAG Gerbera Jaguar White 100/100 Pixie Tag SF</t>
  </si>
  <si>
    <t>0611834669100</t>
  </si>
  <si>
    <t>TAG Gerbera Jaguar Yellow 100/100 Pixie Tag SF</t>
  </si>
  <si>
    <t>0611834670100</t>
  </si>
  <si>
    <t>TAG Gerbera Jaguar Yellow With Dark Eye 100/100 Pixie Tag SF</t>
  </si>
  <si>
    <t>0611834671100</t>
  </si>
  <si>
    <t>TAG Gerbera Jguar Scarlet Shades Dark Center 100/100 Pixie Tag SF</t>
  </si>
  <si>
    <t>0611884238100</t>
  </si>
  <si>
    <t>TAG Gerbera Major Orange Yellow Bicolor Dark Eye 100/100 Pixie Tag</t>
  </si>
  <si>
    <t>0611834673100</t>
  </si>
  <si>
    <t>TAG Gerbera Majorette Bright White With Dark Eye 100/100 Pixie Tag</t>
  </si>
  <si>
    <t>0611834674100</t>
  </si>
  <si>
    <t>TAG Gerbera Majorette Mix 100/100 Pixie Tag</t>
  </si>
  <si>
    <t>0611834675100</t>
  </si>
  <si>
    <t>TAG Gerbera Majorette Orange With Dark Eye 100/100 Pixie Tag</t>
  </si>
  <si>
    <t>0611834676100</t>
  </si>
  <si>
    <t>TAG Gerbera Majorette Pink Halo 100/100 Pixie Tag</t>
  </si>
  <si>
    <t>0611834677100</t>
  </si>
  <si>
    <t>TAG Gerbera Majorette Red With Dark Eye 100/100 Pixie Tag</t>
  </si>
  <si>
    <t>0611834679100</t>
  </si>
  <si>
    <t>TAG Gerbera Majorette Sunset Orange 100/100 Pixie Tag</t>
  </si>
  <si>
    <t>0611834680100</t>
  </si>
  <si>
    <t>TAG Gerbera Majorette Yellow With Dark Eye 100/100 Pixie Tag</t>
  </si>
  <si>
    <t>0611834693100</t>
  </si>
  <si>
    <t>TAG Gerbera Mega Revolution Bright Orange With Light Eye 100/100 Pixie Tag</t>
  </si>
  <si>
    <t>0611834694100</t>
  </si>
  <si>
    <t>TAG Gerbera Mega Revolution Deep Rose With Light Eye 100/100 Pixie Tag</t>
  </si>
  <si>
    <t>0611834695100</t>
  </si>
  <si>
    <t>TAG Gerbera Mega Revolution Orange With Light Eye 100/100 Pixie Tag</t>
  </si>
  <si>
    <t>0611834697100</t>
  </si>
  <si>
    <t>TAG Gerbera Mega Revolution Rose Bright With Dark Eye 100/100 Pixie Tag</t>
  </si>
  <si>
    <t>0611834700100</t>
  </si>
  <si>
    <t>TAG Gerbera Mega Revolution Salmon Rose With Light Eye 100/100 Pixie Tag</t>
  </si>
  <si>
    <t>0611834699100</t>
  </si>
  <si>
    <t>TAG Gerbera Mega Revolution Scarlet Red With Light Eye 100/100 Pixie Tag</t>
  </si>
  <si>
    <t>0611834701100</t>
  </si>
  <si>
    <t>TAG Gerbera Mega Revolution Watermelon 100/100 Pixie Tag</t>
  </si>
  <si>
    <t>0611834702100</t>
  </si>
  <si>
    <t>TAG Gerbera Mega Revolution White With Light Eye 100/100 Pixie Tag</t>
  </si>
  <si>
    <t>0611834703100</t>
  </si>
  <si>
    <t>TAG Gerbera Mega Revolution Yellow With Dark Eye 100/100 Pixie Tag</t>
  </si>
  <si>
    <t>0611834681100</t>
  </si>
  <si>
    <t>TAG Gerbera Mini GENERIC 100/100 Pixie Tag</t>
  </si>
  <si>
    <t>0611834682100</t>
  </si>
  <si>
    <t>TAG Gerbera Patio Capital Reef 100/100 Pixie Tag</t>
  </si>
  <si>
    <t>0611834684100</t>
  </si>
  <si>
    <t>TAG Gerbera Patio Karoo 100/100 Pixie Tag</t>
  </si>
  <si>
    <t>0611834685100</t>
  </si>
  <si>
    <t>TAG Gerbera Patio Parks Series 100/100 Pixie Tag</t>
  </si>
  <si>
    <t>0611834715100</t>
  </si>
  <si>
    <t>TAG Gerbera Revolution Bicolor Mix 100/100 Pixie Tag</t>
  </si>
  <si>
    <t>0611834711100</t>
  </si>
  <si>
    <t>TAG Gerbera Revolution Bicolor Red Lemon 100/100 Pixie Tag</t>
  </si>
  <si>
    <t>0611834712100</t>
  </si>
  <si>
    <t>TAG Gerbera Revolution Bicolor Red White 100/100 Pixie Tag</t>
  </si>
  <si>
    <t>0611834713100</t>
  </si>
  <si>
    <t>TAG Gerbera Revolution Bicolor Rose White 100/100 Pixie Tag</t>
  </si>
  <si>
    <t>0611834714100</t>
  </si>
  <si>
    <t>TAG Gerbera Revolution Bicolor Yellow Orange 100/100 Pixie Tag</t>
  </si>
  <si>
    <t>0611834688100</t>
  </si>
  <si>
    <t>TAG Gerbera Revolution Bright Red With Dark Eye 100/100 Pixie Tag</t>
  </si>
  <si>
    <t>0611834689100</t>
  </si>
  <si>
    <t>TAG Gerbera Revolution Bright Rose With Light Eye 100/100 Pixie Tag</t>
  </si>
  <si>
    <t>0611834716100</t>
  </si>
  <si>
    <t>TAG Gerbera Revolution Classic Mix 100/100 Pixie Tag</t>
  </si>
  <si>
    <t>0611834690100</t>
  </si>
  <si>
    <t>TAG Gerbera Revolution Deep Orange With Dark Eye 100/100 Pixie Tag</t>
  </si>
  <si>
    <t>0611834717100</t>
  </si>
  <si>
    <t>TAG Gerbera Revolution Deep Pink With Light Eye 100/100 Pixie Tag</t>
  </si>
  <si>
    <t>0611834692100</t>
  </si>
  <si>
    <t>TAG Gerbera Revolution Golden Yellow With Dark Center 100/100 Pixie Tag</t>
  </si>
  <si>
    <t>0611834718100</t>
  </si>
  <si>
    <t>TAG Gerbera Revolution Mega Mix 100/100 Pixie Tag</t>
  </si>
  <si>
    <t>0611884239100</t>
  </si>
  <si>
    <t>TAG Gerbera Revolution Mega Orange Dark Eye 100/100 Pixie Tag</t>
  </si>
  <si>
    <t>0611834719100</t>
  </si>
  <si>
    <t>TAG Gerbera Revolution Mega Series 100/100 Pixie Tag</t>
  </si>
  <si>
    <t>0611834720100</t>
  </si>
  <si>
    <t>TAG Gerbera Revolution Mix 100/100 Pixie Tag</t>
  </si>
  <si>
    <t>0611884240100</t>
  </si>
  <si>
    <t>TAG Gerbera Revolution Orange Dark Eye 100/100 Pixie Tag</t>
  </si>
  <si>
    <t>0611834721100</t>
  </si>
  <si>
    <t>TAG Gerbera Revolution Orange With Light Eye 100/100 Pixie Tag</t>
  </si>
  <si>
    <t>0611834706100</t>
  </si>
  <si>
    <t>TAG Gerbera Revolution Pastel Orange With Dark Center 100/100 Pixie Tag</t>
  </si>
  <si>
    <t>0611834707100</t>
  </si>
  <si>
    <t>TAG Gerbera Revolution Red shades With Dark Center 100/100 Pixie Tag</t>
  </si>
  <si>
    <t>0611834723100</t>
  </si>
  <si>
    <t>TAG Gerbera Revolution Red With Light Eye 100/100 Pixie Tag</t>
  </si>
  <si>
    <t>0611834709100</t>
  </si>
  <si>
    <t>TAG Gerbera Revolution Salmon Shades With Light Eye 100/100 Pixie Tag</t>
  </si>
  <si>
    <t>0611834708100</t>
  </si>
  <si>
    <t>TAG Gerbera Revolution Scarlet Red With Dark Eye 100/100 Pixie Tag</t>
  </si>
  <si>
    <t>0611834725100</t>
  </si>
  <si>
    <t>TAG Gerbera Revolution Select Mix 100/100 Pixie Tag</t>
  </si>
  <si>
    <t>0611834728100</t>
  </si>
  <si>
    <t>TAG Gerbera Revolution White 100/100 Pixie Tag</t>
  </si>
  <si>
    <t>0611834727100</t>
  </si>
  <si>
    <t>TAG Gerbera Revolution White With Light Eye 100/100 Pixie Tag</t>
  </si>
  <si>
    <t>0611834710100</t>
  </si>
  <si>
    <t>TAG Gerbera Revolution Yellow With Dark Center 100/100 Pixie Tag</t>
  </si>
  <si>
    <t>0611834729100</t>
  </si>
  <si>
    <t>TAG Gerbera Revolution Yellow With Light Eye 100/100 Pixie Tag</t>
  </si>
  <si>
    <t>0611834730100</t>
  </si>
  <si>
    <t>TAG Gerbera Royal Deep Orange 100/100 Pixie Tag</t>
  </si>
  <si>
    <t>0611834731100</t>
  </si>
  <si>
    <t>TAG Gerbera Royal Deep Rose 100/100 Pixie Tag</t>
  </si>
  <si>
    <t>0611834732100</t>
  </si>
  <si>
    <t>TAG Gerbera Royal Golden Yellow 100/100 Pixie Tag</t>
  </si>
  <si>
    <t>0611834733100</t>
  </si>
  <si>
    <t>TAG Gerbera Royal Mix 100/100 Pixie Tag</t>
  </si>
  <si>
    <t>0611834734100</t>
  </si>
  <si>
    <t>TAG Gerbera Royal Pastel Pink 100/100 Pixie Tag</t>
  </si>
  <si>
    <t>0611834735100</t>
  </si>
  <si>
    <t>TAG Gerbera Royal Peach 100/100 Pixie Tag</t>
  </si>
  <si>
    <t>0611834736100</t>
  </si>
  <si>
    <t>TAG Gerbera Royal Premium Mix 100/100 Pixie Tag</t>
  </si>
  <si>
    <t>0611834737100</t>
  </si>
  <si>
    <t>TAG Gerbera Royal Red 100/100 Pixie Tag</t>
  </si>
  <si>
    <t>0611834738100</t>
  </si>
  <si>
    <t>TAG Gerbera Royal Rose 100/100 Pixie Tag</t>
  </si>
  <si>
    <t>0611834739100</t>
  </si>
  <si>
    <t>TAG Gerbera Royal Yellow 100/100 Pixie Tag</t>
  </si>
  <si>
    <t>0611834740100</t>
  </si>
  <si>
    <t>TAG Geum Blazing Sunset 100/100 Pixie Tag</t>
  </si>
  <si>
    <t>0611834741025</t>
  </si>
  <si>
    <t>TAG Geum Blazing Sunset 25/25 Portrait Tag</t>
  </si>
  <si>
    <t>0611834743025</t>
  </si>
  <si>
    <t>TAG Geum Cocktails Tequila Sunrise 25/25 Portrait Tag</t>
  </si>
  <si>
    <t>0611834744025</t>
  </si>
  <si>
    <t>TAG Geum Cooky Coccineum 25/25 Portrait Tag</t>
  </si>
  <si>
    <t>0611834746025</t>
  </si>
  <si>
    <t>TAG Geum GENERIC 25/25 Portrait Tag</t>
  </si>
  <si>
    <t>0611834747025</t>
  </si>
  <si>
    <t>TAG Geum Koi Coccineum 25/25 Portrait Tag</t>
  </si>
  <si>
    <t>0611834748025</t>
  </si>
  <si>
    <t>TAG Geum Lady Stratheden Coccineum 25/25 Portrait Tag</t>
  </si>
  <si>
    <t>0611834749100</t>
  </si>
  <si>
    <t>TAG Geum Mrs Bradshaw Coccineum 100/100 Pixie Tag</t>
  </si>
  <si>
    <t>0611834750025</t>
  </si>
  <si>
    <t>TAG Geum Mrs Bradshaw Coccineum 25/25 Portrait Tag</t>
  </si>
  <si>
    <t>0611834752025</t>
  </si>
  <si>
    <t>TAG Geum Totally Tangerine 25/25 Portrait Tag</t>
  </si>
  <si>
    <t>0611834753100</t>
  </si>
  <si>
    <t>TAG Gibasis Bridal Veil GENERIC 100/100 Hang Tag</t>
  </si>
  <si>
    <t>0611834754100</t>
  </si>
  <si>
    <t>TAG Gibasis Bridal Veil GENERIC 100/100 Pixie Tag</t>
  </si>
  <si>
    <t>0611862463050</t>
  </si>
  <si>
    <t>TAG Glechoma 50/50 Petite Portrait FUL</t>
  </si>
  <si>
    <t>0611834755100</t>
  </si>
  <si>
    <t>TAG Glechoma Creeping Charlie 100/100 Pixie Tag</t>
  </si>
  <si>
    <t>0611834756025</t>
  </si>
  <si>
    <t>TAG Glechoma Variegata Hederacea 25/25 Portrait Tag</t>
  </si>
  <si>
    <t>0611862464050</t>
  </si>
  <si>
    <t>TAG Glechoma Variegata Limited Availability 50/50 Petite Portrait</t>
  </si>
  <si>
    <t>0611833097100</t>
  </si>
  <si>
    <t>TAG Godetia Satin Mix 100/100 Pixie Tag</t>
  </si>
  <si>
    <t>0611834758100</t>
  </si>
  <si>
    <t>TAG Gomphrena Buddy Mix 100/100 Pixie Tag</t>
  </si>
  <si>
    <t>0611834759100</t>
  </si>
  <si>
    <t>TAG Gomphrena Buddy Purple 100/100 Pixie Tag</t>
  </si>
  <si>
    <t>0611834760100</t>
  </si>
  <si>
    <t>TAG Gomphrena Buddy Rose 100/100 Pixie Tag</t>
  </si>
  <si>
    <t>0611834761100</t>
  </si>
  <si>
    <t>TAG Gomphrena Buddy White 100/100 Pixie Tag</t>
  </si>
  <si>
    <t>0611834762100</t>
  </si>
  <si>
    <t>TAG Gomphrena Fireworks 100/100 Pixie Tag</t>
  </si>
  <si>
    <t>0611834763100</t>
  </si>
  <si>
    <t>TAG Gomphrena Gnome Mix 100/100 Pixie Tag</t>
  </si>
  <si>
    <t>0611834764100</t>
  </si>
  <si>
    <t>TAG Gomphrena Gnome Pink 100/100 Pixie Tag</t>
  </si>
  <si>
    <t>0611834765100</t>
  </si>
  <si>
    <t>TAG Gomphrena Gnome Purple 100/100 Pixie Tag</t>
  </si>
  <si>
    <t>0611834766100</t>
  </si>
  <si>
    <t>TAG Gomphrena Gnome White 100/100 Pixie Tag</t>
  </si>
  <si>
    <t>0611834767100</t>
  </si>
  <si>
    <t>TAG Gomphrena Gomphrena GENERIC 100/100 Pixie Tag</t>
  </si>
  <si>
    <t>0611834768100</t>
  </si>
  <si>
    <t>TAG Gomphrena Las Vegas Series 100/100 Pixie Tag</t>
  </si>
  <si>
    <t>0611834769100</t>
  </si>
  <si>
    <t>TAG Gomphrena Mix GENERIC 100/100 Pixie Tag</t>
  </si>
  <si>
    <t>0611834770100</t>
  </si>
  <si>
    <t>TAG Gomphrena Pinball Purple 100/100 Pixie Tag</t>
  </si>
  <si>
    <t>0611834771100</t>
  </si>
  <si>
    <t>TAG Gomphrena Pinball Snow Tip Lavender 100/100 Pixie Tag</t>
  </si>
  <si>
    <t>0611834772100</t>
  </si>
  <si>
    <t>TAG Gomphrena Ping Pong Lavender 100/100 Pixie Tag</t>
  </si>
  <si>
    <t>0611834773100</t>
  </si>
  <si>
    <t>TAG Gomphrena Ping Pong Mix 100/100 Pixie Tag</t>
  </si>
  <si>
    <t>0611834774100</t>
  </si>
  <si>
    <t>TAG Gomphrena Ping Pong Purple 100/100 Pixie Tag</t>
  </si>
  <si>
    <t>0611834775100</t>
  </si>
  <si>
    <t>TAG Gomphrena Ping Pong White 100/100 Pixie Tag</t>
  </si>
  <si>
    <t>0611834776100</t>
  </si>
  <si>
    <t>TAG Gomphrena Purple GENERIC 100/100 Pixie Tag</t>
  </si>
  <si>
    <t>0611834777100</t>
  </si>
  <si>
    <t>TAG Gomphrena Strawberry Fields 100/100 Pixie Tag</t>
  </si>
  <si>
    <t>0611834778100</t>
  </si>
  <si>
    <t>TAG Gomphrena Tall Orange Red GENERIC 100/100 Pixie Tag</t>
  </si>
  <si>
    <t>0611834779100</t>
  </si>
  <si>
    <t>TAG Gomphrena Tall Purple GENERIC 100/100 Pixie Tag</t>
  </si>
  <si>
    <t>0611833581100</t>
  </si>
  <si>
    <t>TAG Gourds GENERIC 100/100 Pixie Tag</t>
  </si>
  <si>
    <t>0611834780100</t>
  </si>
  <si>
    <t>TAG Graptosedum California Sunset 100/100 Pixie Tag</t>
  </si>
  <si>
    <t>0611834781100</t>
  </si>
  <si>
    <t>TAG Graptosedum Darley Sunshine 100/100 Pixie Tag</t>
  </si>
  <si>
    <t>0611834782100</t>
  </si>
  <si>
    <t>TAG Graptosedum Vera Higgins 100/100 Pixie Tag</t>
  </si>
  <si>
    <t>0611884241100</t>
  </si>
  <si>
    <t>TAG Graptoveria Bashful 100/100 Pixie Tag FUL</t>
  </si>
  <si>
    <t>0611862465100</t>
  </si>
  <si>
    <t>TAG Graptoveria Debbie 100/100 Pixie Tag FUL</t>
  </si>
  <si>
    <t>0611834825100</t>
  </si>
  <si>
    <t>TAG Gynura Purple Passion 100/100 Pixie Tag</t>
  </si>
  <si>
    <t>0611834826025</t>
  </si>
  <si>
    <t>TAG Gypsophelia Alba Repens 25/25 Portrait Tag</t>
  </si>
  <si>
    <t>0611834827100</t>
  </si>
  <si>
    <t>TAG Gypsophelia Baby's Breath Compact Pink 100/100 Pixie Tag</t>
  </si>
  <si>
    <t>0611834828100</t>
  </si>
  <si>
    <t>TAG Gypsophelia Baby's Breath Compact White 100/100 Pixie Tag</t>
  </si>
  <si>
    <t>0611834829025</t>
  </si>
  <si>
    <t>TAG Gypsophelia Double Snowflake Paniculata 25/25 Portrait Tag</t>
  </si>
  <si>
    <t>0611834830025</t>
  </si>
  <si>
    <t>TAG Gypsophelia Festival White Flare 25/25 Portrait Tag</t>
  </si>
  <si>
    <t>0611834831025</t>
  </si>
  <si>
    <t>TAG Gypsophelia Filou Rose Repens 25/25 Portrait Tag</t>
  </si>
  <si>
    <t>0611834832025</t>
  </si>
  <si>
    <t>TAG Gypsophelia Filou White Repens 25/25 Portrait Tag</t>
  </si>
  <si>
    <t>0611834833100</t>
  </si>
  <si>
    <t>TAG Gypsophelia Gypsy 100/100 Pixie Tag</t>
  </si>
  <si>
    <t>0611834834100</t>
  </si>
  <si>
    <t>TAG Gypsophelia Gypsy Deep Rose 100/100 Pixie Tag</t>
  </si>
  <si>
    <t>0611834835100</t>
  </si>
  <si>
    <t>TAG Gypsophelia Gypsy White 100/100 Pixie Tag</t>
  </si>
  <si>
    <t>0611834836025</t>
  </si>
  <si>
    <t>TAG Gypsophelia Pixie Splash 25/25 Portrait Tag</t>
  </si>
  <si>
    <t>0611834837100</t>
  </si>
  <si>
    <t>TAG Gypsophelia Rosea Repens 100/100 Pixie Tag</t>
  </si>
  <si>
    <t>0611834838025</t>
  </si>
  <si>
    <t>TAG Gypsophelia Rosea Repens 25/25 Portrait Tag</t>
  </si>
  <si>
    <t>0611834839025</t>
  </si>
  <si>
    <t>TAG Gypsophelia Snowflake Paniculata 25/25 Portrait Tag</t>
  </si>
  <si>
    <t>0611884242025</t>
  </si>
  <si>
    <t>TAG Gypsophila Pretty Maid 25/25 Portrait Tag</t>
  </si>
  <si>
    <t>0611834840025</t>
  </si>
  <si>
    <t>TAG Hakonechloa All Gold Macra 25/25 Portrait Tag</t>
  </si>
  <si>
    <t>0611834841025</t>
  </si>
  <si>
    <t>TAG Hakonechloa Aureola 25/25 Portrait Tag</t>
  </si>
  <si>
    <t>0611515686100</t>
  </si>
  <si>
    <t xml:space="preserve">TAG Hang N Tags 100/100 Tag </t>
  </si>
  <si>
    <t>0611862466100</t>
  </si>
  <si>
    <t>TAG Haworthia Barcelona 100/100 Pixie Tag FUL</t>
  </si>
  <si>
    <t>0611862467100</t>
  </si>
  <si>
    <t>TAG Haworthia Bella 100/100 Pixie Tag FUL</t>
  </si>
  <si>
    <t>0611862468100</t>
  </si>
  <si>
    <t>TAG Haworthia Big Band 100/100 Pixie Tag FUL</t>
  </si>
  <si>
    <t>0611862469100</t>
  </si>
  <si>
    <t>TAG Haworthia Big Band China 100/100 Pixie Tag FUL</t>
  </si>
  <si>
    <t>0611862470100</t>
  </si>
  <si>
    <t>TAG Haworthia Boston 100/100 Pixie Tag FUL</t>
  </si>
  <si>
    <t>0611862471100</t>
  </si>
  <si>
    <t>TAG Haworthia Cape Town 100/100 Pixie Tag FUL</t>
  </si>
  <si>
    <t>0611862472100</t>
  </si>
  <si>
    <t>TAG Haworthia Coarctata 100/100 Pixie Tag FUL</t>
  </si>
  <si>
    <t>0611862473100</t>
  </si>
  <si>
    <t>TAG Haworthia Columbus 100/100 Pixie Tag FUL</t>
  </si>
  <si>
    <t>0611862474100</t>
  </si>
  <si>
    <t>TAG Haworthia Concolor 100/100 Pixie Tag FUL</t>
  </si>
  <si>
    <t>0611862475100</t>
  </si>
  <si>
    <t>TAG Haworthia Cymbiformis 100/100 Pixie Tag FUL</t>
  </si>
  <si>
    <t>0611862476100</t>
  </si>
  <si>
    <t>TAG Haworthia Enon 100/100 Pixie Tag FUL</t>
  </si>
  <si>
    <t>0611862477100</t>
  </si>
  <si>
    <t>TAG Haworthia Fasciata Green 100/100 Pixie Tag FUL</t>
  </si>
  <si>
    <t>0611862478100</t>
  </si>
  <si>
    <t>TAG Haworthia Gigantea 100/100 Pixie Tag FUL</t>
  </si>
  <si>
    <t>0611834843100</t>
  </si>
  <si>
    <t>TAG Haworthia Haworthia GENERIC 100/100 Pixie Tag</t>
  </si>
  <si>
    <t>0611862479100</t>
  </si>
  <si>
    <t>TAG Haworthia Herbacea 100/100 Pixie Tag FUL</t>
  </si>
  <si>
    <t>0611862480100</t>
  </si>
  <si>
    <t>TAG Haworthia Jacobseniana 100/100 Pixie Tag FUL</t>
  </si>
  <si>
    <t>0611862481100</t>
  </si>
  <si>
    <t>TAG Haworthia Limifolia 100/100 Pixie Tag FUL</t>
  </si>
  <si>
    <t>0611862482100</t>
  </si>
  <si>
    <t>TAG Haworthia Magnificus 100/100 Pixie Tag FUL</t>
  </si>
  <si>
    <t>0611862483100</t>
  </si>
  <si>
    <t>TAG Haworthia Marginata 100/100 Pixie Tag FUL</t>
  </si>
  <si>
    <t>0611862484100</t>
  </si>
  <si>
    <t>TAG Haworthia Pentagona 100/100 Pixie Tag FUL</t>
  </si>
  <si>
    <t>0611862485100</t>
  </si>
  <si>
    <t>TAG Haworthia Pescara 100/100 Pixie Tag FUL</t>
  </si>
  <si>
    <t>0611862486100</t>
  </si>
  <si>
    <t>TAG Haworthia Retusa 100/100 Pixie Tag FUL</t>
  </si>
  <si>
    <t>0611862487100</t>
  </si>
  <si>
    <t>TAG Haworthia Romano 100/100 Pixie Tag FUL</t>
  </si>
  <si>
    <t>0611862488100</t>
  </si>
  <si>
    <t>TAG Haworthia Rome 100/100 Pixie Tag FUL</t>
  </si>
  <si>
    <t>0611862489100</t>
  </si>
  <si>
    <t>TAG Haworthia Royal Albert 100/100 Pixie Tag FUL</t>
  </si>
  <si>
    <t>0611862490100</t>
  </si>
  <si>
    <t>TAG Haworthia Super 100/100 Pixie Tag FUL</t>
  </si>
  <si>
    <t>0611862491100</t>
  </si>
  <si>
    <t>TAG Haworthia Tessellata 100/100 Pixie Tag FUL</t>
  </si>
  <si>
    <t>0611862492100</t>
  </si>
  <si>
    <t>TAG Haworthia Twister 100/100 Pixie Tag FUL</t>
  </si>
  <si>
    <t>0611862493100</t>
  </si>
  <si>
    <t>TAG Haworthia Universe 100/100 Pixie Tag FUL</t>
  </si>
  <si>
    <t>0611862494100</t>
  </si>
  <si>
    <t>TAG Haworthia Zebra 100/100 Pixie Tag FUL</t>
  </si>
  <si>
    <t>0611834844100</t>
  </si>
  <si>
    <t>TAG Hedera Anne Marie 100/100 Pixie Tag</t>
  </si>
  <si>
    <t>0611834845100</t>
  </si>
  <si>
    <t>TAG Hedera Asterisk 100/100 Pixie Tag</t>
  </si>
  <si>
    <t>0611862498100</t>
  </si>
  <si>
    <t>TAG Hedera Baltica CN5199 100/100 Pixie Tag FUL</t>
  </si>
  <si>
    <t>0611834849100</t>
  </si>
  <si>
    <t>TAG Hedera Californian 100/100 Pixie Tag</t>
  </si>
  <si>
    <t>0611834850100</t>
  </si>
  <si>
    <t>TAG Hedera Canariensis 100/100 Pixie Tag</t>
  </si>
  <si>
    <t>0611834851100</t>
  </si>
  <si>
    <t>TAG Hedera Duck Foot 100/100 Pixie Tag</t>
  </si>
  <si>
    <t>0611834852100</t>
  </si>
  <si>
    <t>TAG Hedera Eva 100/100 Pixie Tag</t>
  </si>
  <si>
    <t>0611862499100</t>
  </si>
  <si>
    <t>TAG Hedera Fancy California 100/100 Pixie Tag FUL</t>
  </si>
  <si>
    <t>0611834854100</t>
  </si>
  <si>
    <t>TAG Hedera Glacier 100/100 Pixie Tag</t>
  </si>
  <si>
    <t>0611834855025</t>
  </si>
  <si>
    <t>TAG Hedera Glacier 25/25 Portrait Tag</t>
  </si>
  <si>
    <t>0611862500050</t>
  </si>
  <si>
    <t>TAG Hedera Glacier 50/50 Petite Portrait FUL</t>
  </si>
  <si>
    <t>0611862501100</t>
  </si>
  <si>
    <t>TAG Hedera Glacier CN5193 100/100 Pixie Tag FUL</t>
  </si>
  <si>
    <t>0611834856100</t>
  </si>
  <si>
    <t>TAG Hedera Gold Child 100/100 Pixie Tag</t>
  </si>
  <si>
    <t>0611834857025</t>
  </si>
  <si>
    <t>TAG Hedera Gold Child 25/25 Portrait Tag</t>
  </si>
  <si>
    <t>0611862502100</t>
  </si>
  <si>
    <t>TAG Hedera Gold Child CN5194 100/100 Pixie Tag FUL</t>
  </si>
  <si>
    <t>0611834858100</t>
  </si>
  <si>
    <t>TAG Hedera Golden Ingot 100/100 Pixie Tag</t>
  </si>
  <si>
    <t>0611834859100</t>
  </si>
  <si>
    <t>TAG Hedera Green English Ivy 100/100 Pixie Tag</t>
  </si>
  <si>
    <t>0611834860025</t>
  </si>
  <si>
    <t>TAG Hedera Hardy English 25/25 Portrait Tag</t>
  </si>
  <si>
    <t>0611834864100</t>
  </si>
  <si>
    <t>TAG Hedera Helix English Ivy 100/100 Pixie Tag</t>
  </si>
  <si>
    <t>0611862496050</t>
  </si>
  <si>
    <t>TAG Hedera Ivy Algererian Limited Availability 50/50 Petite Portrait</t>
  </si>
  <si>
    <t>0611862495100</t>
  </si>
  <si>
    <t>TAG Hedera Ivy Algerian 100/100 Pixie Tag FUL</t>
  </si>
  <si>
    <t>0611834847100</t>
  </si>
  <si>
    <t>TAG Hedera Ivy Baltic 100/100 Pixie Tag</t>
  </si>
  <si>
    <t>0611834848025</t>
  </si>
  <si>
    <t>TAG Hedera Ivy Baltic 25/25 Portrait Tag</t>
  </si>
  <si>
    <t>0611862497050</t>
  </si>
  <si>
    <t>TAG Hedera Ivy Baltic 50/50 Petite Portrait FUL</t>
  </si>
  <si>
    <t>0611862503100</t>
  </si>
  <si>
    <t>TAG Hedera Ivy English 100/100 Pixie Tag FUL</t>
  </si>
  <si>
    <t>0611862504050</t>
  </si>
  <si>
    <t>TAG Hedera Ivy English 50/50 Petite Portrait FUL</t>
  </si>
  <si>
    <t>0611834863100</t>
  </si>
  <si>
    <t>TAG Hedera Ivy GENERIC 100/100 Pixie Tag</t>
  </si>
  <si>
    <t>0611834865100</t>
  </si>
  <si>
    <t>TAG Hedera Ivy GENERIC Bilingual 100/100 Pixie Tag</t>
  </si>
  <si>
    <t>0611862505100</t>
  </si>
  <si>
    <t>TAG Hedera Marengo 100/100 Pixie Tag FUL</t>
  </si>
  <si>
    <t>0611834866100</t>
  </si>
  <si>
    <t>TAG Hedera Mint Kolibri 100/100 Pixie Tag</t>
  </si>
  <si>
    <t>0611834867100</t>
  </si>
  <si>
    <t>TAG Hedera Needlepoint 100/100 Pixie Tag</t>
  </si>
  <si>
    <t>0611862507050</t>
  </si>
  <si>
    <t>TAG Hedera Needlepoint Limited Availability 50/50 Petite Portrait</t>
  </si>
  <si>
    <t>0611834868100</t>
  </si>
  <si>
    <t>TAG Hedera Ralf 100/100 Pixie Tag</t>
  </si>
  <si>
    <t>0611862508100</t>
  </si>
  <si>
    <t>TAG Hedera Ripple Yellow 100/100 Pixie Tag FUL</t>
  </si>
  <si>
    <t>0611834869100</t>
  </si>
  <si>
    <t>TAG Hedera Teardrop 100/100 Pixie Tag</t>
  </si>
  <si>
    <t>0611862509100</t>
  </si>
  <si>
    <t>TAG Hedera Thorndale 100/100 Pixie Tag FUL</t>
  </si>
  <si>
    <t>0611834870025</t>
  </si>
  <si>
    <t>TAG Hedera Thorndale 25/25 Portrait Tag</t>
  </si>
  <si>
    <t>0611862510050</t>
  </si>
  <si>
    <t>TAG Hedera Thorndale Limited Availability 50/50 Petite Portrait</t>
  </si>
  <si>
    <t>0611834871100</t>
  </si>
  <si>
    <t>TAG Hedera Variegata 100/100 Pixie Tag</t>
  </si>
  <si>
    <t>0611834872100</t>
  </si>
  <si>
    <t>TAG Hedera Variegated English Ivy 100/100 Pixie Tag</t>
  </si>
  <si>
    <t>0611834873100</t>
  </si>
  <si>
    <t>TAG Hedera White Ripple 100/100 Pixie Tag</t>
  </si>
  <si>
    <t>0611834874100</t>
  </si>
  <si>
    <t>TAG Hedera Yellow Ripple 100/100 Pixie Tag</t>
  </si>
  <si>
    <t>0611834875025</t>
  </si>
  <si>
    <t>TAG Hedera Yellow Ripple 25/25 Portrait Tag</t>
  </si>
  <si>
    <t>0611862511050</t>
  </si>
  <si>
    <t>TAG Hedera Yellow Ripple 50/50 Petite Portrait FUL</t>
  </si>
  <si>
    <t>0611834876025</t>
  </si>
  <si>
    <t>TAG Helenium Dakota Gold 25/25 Portrait Tag</t>
  </si>
  <si>
    <t>0611834877025</t>
  </si>
  <si>
    <t>TAG Helenium Hayday Gold Bicolor 25/25 Portrait Tag SF</t>
  </si>
  <si>
    <t>0611834878025</t>
  </si>
  <si>
    <t>TAG Helenium Hayday Orange 25/25 Portrait Tag SF</t>
  </si>
  <si>
    <t>0611834879025</t>
  </si>
  <si>
    <t>TAG Helenium Hayday Red 25/25 Portrait Tag SF</t>
  </si>
  <si>
    <t>0611834880025</t>
  </si>
  <si>
    <t>TAG Helenium Hayday Red Bicolor 25/25 Portrait Tag SF</t>
  </si>
  <si>
    <t>0611834881025</t>
  </si>
  <si>
    <t>TAG Helenium Hayday Yellow 25/25 Portrait Tag SF</t>
  </si>
  <si>
    <t>0611834882025</t>
  </si>
  <si>
    <t>TAG Helenium Helena Mix 25/25 Portrait Tag</t>
  </si>
  <si>
    <t>0611834883025</t>
  </si>
  <si>
    <t>TAG Helenium Helen's Flower GENERIC 25/25 Portrait Tag</t>
  </si>
  <si>
    <t>0611862512100</t>
  </si>
  <si>
    <t>TAG Helenium Salud Embers 100/100 Pixie Tag FUL</t>
  </si>
  <si>
    <t>0611834885025</t>
  </si>
  <si>
    <t>TAG Helenium Salud Embers' Autumnale 25/25 Portrait Tag</t>
  </si>
  <si>
    <t>0611862513100</t>
  </si>
  <si>
    <t>TAG Helenium Salud Golden 100/100 Pixie Tag FUL</t>
  </si>
  <si>
    <t>0611834886025</t>
  </si>
  <si>
    <t>TAG Helenium Salud Golden Autumnale 25/25 Portrait Tag</t>
  </si>
  <si>
    <t>0611862514100</t>
  </si>
  <si>
    <t>TAG Helenium Salud Yellow 100/100 Pixie Tag FUL</t>
  </si>
  <si>
    <t>0611834887025</t>
  </si>
  <si>
    <t>TAG Helenium Salud Yellow Autumnale 25/25 Portrait Tag</t>
  </si>
  <si>
    <t>0611884243100</t>
  </si>
  <si>
    <t>TAG Helianthus Smiley Gold 100/100 Pixie Tag</t>
  </si>
  <si>
    <t>0611862515050</t>
  </si>
  <si>
    <t>TAG Helianthus Sunfinity 50/50 Petite Portrait SF FUL</t>
  </si>
  <si>
    <t>0611834889100</t>
  </si>
  <si>
    <t>TAG Helianthus Sunflower Autumn Beauty 100/100 Pixie Tag</t>
  </si>
  <si>
    <t>0611834890025</t>
  </si>
  <si>
    <t>TAG Helianthus Sunflower Autumn Gold 25/25 Portrait Tag</t>
  </si>
  <si>
    <t>0611834891100</t>
  </si>
  <si>
    <t>TAG Helianthus Sunflower Ballad 100/100 Pixie Tag</t>
  </si>
  <si>
    <t>0611834892025</t>
  </si>
  <si>
    <t>TAG Helianthus Sunflower Ben Fhada 25/25 Portrait Tag</t>
  </si>
  <si>
    <t>0611834893025</t>
  </si>
  <si>
    <t>TAG Helianthus Sunflower Ben Hope 25/25 Portrait Tag</t>
  </si>
  <si>
    <t>0611834894025</t>
  </si>
  <si>
    <t>TAG Helianthus Sunflower Ben Ledi 25/25 Portrait Tag</t>
  </si>
  <si>
    <t>0611834895100</t>
  </si>
  <si>
    <t>TAG Helianthus Sunflower Bert 100/100 Pixie Tag</t>
  </si>
  <si>
    <t>0611834896100</t>
  </si>
  <si>
    <t>TAG Helianthus Sunflower Big Smile 100/100 Pixie Tag</t>
  </si>
  <si>
    <t>0611834897100</t>
  </si>
  <si>
    <t>TAG Helianthus Sunflower Branching GENERIC 100/100 Pixie Tag</t>
  </si>
  <si>
    <t>0611834898025</t>
  </si>
  <si>
    <t>TAG Helianthus Sunflower Bronze Carpet 25/25 Portrait Tag</t>
  </si>
  <si>
    <t>0611834899025</t>
  </si>
  <si>
    <t>TAG Helianthus Sunflower Cerise Queen 25/25 Portrait Tag</t>
  </si>
  <si>
    <t>0611834900100</t>
  </si>
  <si>
    <t>TAG Helianthus Sunflower Choco Sun 100/100 Pixie Tag</t>
  </si>
  <si>
    <t>0611834901100</t>
  </si>
  <si>
    <t>TAG Helianthus Sunflower Dwarf GENERIC 100/100 Pixie Tag</t>
  </si>
  <si>
    <t>0611834902025</t>
  </si>
  <si>
    <t>TAG Helianthus Sunflower Fire Dragon 25/25 Portrait Tag</t>
  </si>
  <si>
    <t>0611834903100</t>
  </si>
  <si>
    <t>TAG Helianthus Sunflower Firecracker 100/100 Pixie Tag</t>
  </si>
  <si>
    <t>0611834921100</t>
  </si>
  <si>
    <t>TAG Helianthus Sunflower GENERIC 100/100 Pixie Tag</t>
  </si>
  <si>
    <t>0611834922025</t>
  </si>
  <si>
    <t>TAG Helianthus Sunflower GENERIC 25/25 Portrait Tag</t>
  </si>
  <si>
    <t>0611834904100</t>
  </si>
  <si>
    <t>TAG Helianthus Sunflower Helisol 100/100 Pixie Tag</t>
  </si>
  <si>
    <t>0611834905025</t>
  </si>
  <si>
    <t>TAG Helianthus Sunflower Henfield Brilliant 25/25 Portrait Tag</t>
  </si>
  <si>
    <t>0611834906100</t>
  </si>
  <si>
    <t>TAG Helianthus Sunflower Mammoth Russian 100/100 Pixie Tag</t>
  </si>
  <si>
    <t>0611834907100</t>
  </si>
  <si>
    <t>TAG Helianthus Sunflower Miss Sunshine 100/100 Pixie Tag</t>
  </si>
  <si>
    <t>0611834908100</t>
  </si>
  <si>
    <t>TAG Helianthus Sunflower Pacino 100/100 Pixie Tag</t>
  </si>
  <si>
    <t>0611834909100</t>
  </si>
  <si>
    <t>TAG Helianthus Sunflower Pacino Cola 100/100 Pixie Tag</t>
  </si>
  <si>
    <t>0611834911100</t>
  </si>
  <si>
    <t>TAG Helianthus Sunflower Ring Of Fire 100/100 Pixie Tag</t>
  </si>
  <si>
    <t>0611834912100</t>
  </si>
  <si>
    <t>TAG Helianthus Sunflower Smiley 100/100 Pixie Tag</t>
  </si>
  <si>
    <t>0611834914100</t>
  </si>
  <si>
    <t>TAG Helianthus Sunflower Soraya 100/100 Pixie Tag</t>
  </si>
  <si>
    <t>0611834915100</t>
  </si>
  <si>
    <t>TAG Helianthus Sunflower Sunbelievable Brown Eyed Girl 100/100 Pixie Tag</t>
  </si>
  <si>
    <t>0611834916100</t>
  </si>
  <si>
    <t>TAG Helianthus Sunflower Sunbuzz 100/100 Pixie Tag</t>
  </si>
  <si>
    <t>0611856967025</t>
  </si>
  <si>
    <t>TAG Helianthus Sunflower Suncatcher 25/25 Portrait Tag</t>
  </si>
  <si>
    <t>0611834917025</t>
  </si>
  <si>
    <t>TAG Helianthus Sunflower Sunfinity Yellow Dark Center 25/25 Portrait Tag SF</t>
  </si>
  <si>
    <t>0611834918050</t>
  </si>
  <si>
    <t>TAG Helianthus Sunflower Sunfinity Yellow Dark Center 50/50 Mini Portrait Tag SF</t>
  </si>
  <si>
    <t>0611834919025</t>
  </si>
  <si>
    <t>TAG Helianthus Sunflower Sunfinity Yellow Red Bicolor 25/25 Portrait Tag SF</t>
  </si>
  <si>
    <t>0611834920050</t>
  </si>
  <si>
    <t>TAG Helianthus Sunflower Sunfinity Yellow Red Bicolor 50/50 Mini Portrait Tag SF</t>
  </si>
  <si>
    <t>0611857113100</t>
  </si>
  <si>
    <t>TAG Helianthus Sunflower Sunflower Concert Bell 100/100 Pixie Tag</t>
  </si>
  <si>
    <t>0611857114100</t>
  </si>
  <si>
    <t>TAG Helianthus Sunflower Sunflower Sunbelievable Golden Girl 100/100 Pixie Tag</t>
  </si>
  <si>
    <t>0611834923100</t>
  </si>
  <si>
    <t>TAG Helianthus Sunflower Sunny Smile 100/100 Pixie Tag</t>
  </si>
  <si>
    <t>0611834913100</t>
  </si>
  <si>
    <t>TAG Helianthus Sunflower Suntastic Yellow With Black Center 100/100 Pixie Tag</t>
  </si>
  <si>
    <t>0611834925100</t>
  </si>
  <si>
    <t>TAG Helianthus Sunflower Teddy Bear 100/100 Pixie Tag</t>
  </si>
  <si>
    <t>0611884244100</t>
  </si>
  <si>
    <t>TAG Helianthus SunMazing 100/100 Pixie Tag</t>
  </si>
  <si>
    <t>0611834927100</t>
  </si>
  <si>
    <t>TAG Helichrysum Curry 100/100 Pixie Tag</t>
  </si>
  <si>
    <t>0611834928100</t>
  </si>
  <si>
    <t>TAG Helichrysum Dwarf 100/100 Pixie Tag</t>
  </si>
  <si>
    <t>0611884245025</t>
  </si>
  <si>
    <t>TAG Helichrysum Dwarf 25/25 Portrait Tag</t>
  </si>
  <si>
    <t>0611834929100</t>
  </si>
  <si>
    <t>TAG Helichrysum Gold Leaf 100/100 Pixie Tag</t>
  </si>
  <si>
    <t>0611862516050</t>
  </si>
  <si>
    <t>TAG Helichrysum Golden 50/50 Petite Portrait FUL</t>
  </si>
  <si>
    <t>0611834930100</t>
  </si>
  <si>
    <t>TAG Helichrysum Icicles 100/100 Pixie Tag</t>
  </si>
  <si>
    <t>0611862517050</t>
  </si>
  <si>
    <t>TAG Helichrysum Icicles Licorice 50/50 Petite Portrait FUL</t>
  </si>
  <si>
    <t>0611862518050</t>
  </si>
  <si>
    <t>TAG Helichrysum Icicles Silvery 50/50 Petite Portrait FUL</t>
  </si>
  <si>
    <t>0611834931100</t>
  </si>
  <si>
    <t>TAG Helichrysum Licorice Lemon 100/100 Pixie Tag</t>
  </si>
  <si>
    <t>0611834932025</t>
  </si>
  <si>
    <t>TAG Helichrysum Licorice Lemon 25/25 Portrait Tag</t>
  </si>
  <si>
    <t>0611834933100</t>
  </si>
  <si>
    <t>TAG Helichrysum Licorice Plant 100/100 Pixie Tag</t>
  </si>
  <si>
    <t>0611834934025</t>
  </si>
  <si>
    <t>TAG Helichrysum Licorice Splash 25/25 Portrait Tag</t>
  </si>
  <si>
    <t>0611834935100</t>
  </si>
  <si>
    <t>TAG Helichrysum Limelight 100/100 Pixie Tag SF FUL</t>
  </si>
  <si>
    <t>0611862519050</t>
  </si>
  <si>
    <t>TAG Helichrysum Mini Silver 50/50 Petite Portrait SF FUL</t>
  </si>
  <si>
    <t>0611834936100</t>
  </si>
  <si>
    <t>TAG Helichrysum Minus Micro Nanum 100/100 Pixie Tag</t>
  </si>
  <si>
    <t>0611862520050</t>
  </si>
  <si>
    <t>TAG Helichrysum Petite 50/50 Petite Portrait FUL</t>
  </si>
  <si>
    <t>0611834937100</t>
  </si>
  <si>
    <t>TAG Helichrysum Petite Licorice 100/100 Pixie Tag</t>
  </si>
  <si>
    <t>0611862521050</t>
  </si>
  <si>
    <t>TAG Helichrysum Silver 50/50 Petite Portrait FUL</t>
  </si>
  <si>
    <t>0611834938100</t>
  </si>
  <si>
    <t>TAG Helichrysum Silver Leaf 100/100 Pixie Tag</t>
  </si>
  <si>
    <t>0611862522050</t>
  </si>
  <si>
    <t>TAG Helichrysum Silver Licorice Plant 50/50 Petite Portrait FUL</t>
  </si>
  <si>
    <t>0611834939100</t>
  </si>
  <si>
    <t>TAG Helichrysum Silver Mist 100/100 Pixie Tag</t>
  </si>
  <si>
    <t>0611862523050</t>
  </si>
  <si>
    <t>TAG Helichrysum Silver Spike 50/50 Petite Portrait FUL</t>
  </si>
  <si>
    <t>0611834940100</t>
  </si>
  <si>
    <t>TAG Helichrysum Silverstar 100/100 Pixie Tag</t>
  </si>
  <si>
    <t>0611862524050</t>
  </si>
  <si>
    <t>TAG Helichrysum Silverstar 50/50 Petite Portrait FUL</t>
  </si>
  <si>
    <t>0611884246025</t>
  </si>
  <si>
    <t>TAG Helichrysum Tall 25/25 Portrait Tag</t>
  </si>
  <si>
    <t>0611834941100</t>
  </si>
  <si>
    <t>TAG Helichrysum Variegated 100/100 Pixie Tag</t>
  </si>
  <si>
    <t>0611834942025</t>
  </si>
  <si>
    <t>TAG Helichrysum White Licorice 25/25 Portrait Tag</t>
  </si>
  <si>
    <t>0611862525050</t>
  </si>
  <si>
    <t>TAG Helichrysum White Licorice 50/50 Petite Portrait FUL</t>
  </si>
  <si>
    <t>0611856968100</t>
  </si>
  <si>
    <t>TAG Helichrysum White Wonder 100/100 Pixie Tag</t>
  </si>
  <si>
    <t>0611834943025</t>
  </si>
  <si>
    <t>TAG Helictrichon Sapphire 25/25 Portrait Tag</t>
  </si>
  <si>
    <t>0611834944025</t>
  </si>
  <si>
    <t>TAG Helictrichon Sempervirens 25/25 Portrait Tag</t>
  </si>
  <si>
    <t>0611834945025</t>
  </si>
  <si>
    <t>TAG Heliopsis Bleeding Hearts 25/25 Portrait Tag</t>
  </si>
  <si>
    <t>0611834946025</t>
  </si>
  <si>
    <t>TAG Heliopsis Burning Hearts 25/25 Portrait Tag</t>
  </si>
  <si>
    <t>0611834947025</t>
  </si>
  <si>
    <t>TAG Heliopsis Double Sunstruck 25/25 Portrait Tag</t>
  </si>
  <si>
    <t>0611834949025</t>
  </si>
  <si>
    <t>TAG Heliopsis Summer Eclipse 25/25 Portrait Tag</t>
  </si>
  <si>
    <t>0611834950025</t>
  </si>
  <si>
    <t>TAG Heliopsis Summer Nights 25/25 Portrait Tag</t>
  </si>
  <si>
    <t>0611834951100</t>
  </si>
  <si>
    <t>TAG Heliopsis Summer Sun 100/100 Pixie Tag</t>
  </si>
  <si>
    <t>0611834952025</t>
  </si>
  <si>
    <t>TAG Heliopsis Summer Sun 25/25 Portrait Tag</t>
  </si>
  <si>
    <t>0611862526100</t>
  </si>
  <si>
    <t>TAG Heliopsis Sunstruck 100/100 Pixie Tag FUL</t>
  </si>
  <si>
    <t>0611834953025</t>
  </si>
  <si>
    <t>TAG Heliopsis Sunstruck 25/25 Portrait Tag</t>
  </si>
  <si>
    <t>0611862527050</t>
  </si>
  <si>
    <t>TAG Heliopsis Sunstruck 50/50 Petite Portrait FUL</t>
  </si>
  <si>
    <t>0611834955100</t>
  </si>
  <si>
    <t>TAG Heliotrope Fragrant Delight 100/100 Pixie Tag</t>
  </si>
  <si>
    <t>0611862528050</t>
  </si>
  <si>
    <t>TAG Heliotrope Fragrant Delight 50/50 Petite Portrait FUL</t>
  </si>
  <si>
    <t>0611834956100</t>
  </si>
  <si>
    <t>TAG Heliotrope GENERIC 100/100 Pixie Tag</t>
  </si>
  <si>
    <t>0611834957025</t>
  </si>
  <si>
    <t>TAG Heliotrope GENERIC 25/25 Portrait Tag</t>
  </si>
  <si>
    <t>0611862529050</t>
  </si>
  <si>
    <t>TAG Heliotrope Hinto Amethyst 50/50 Petite Portrait DO FUL</t>
  </si>
  <si>
    <t>0611834958100</t>
  </si>
  <si>
    <t>TAG Heliotrope Marine 100/100 Pixie Tag</t>
  </si>
  <si>
    <t>0611834959100</t>
  </si>
  <si>
    <t>TAG Heliotrope Midnight Sky 100/100 Pixie Tag</t>
  </si>
  <si>
    <t>0611834960100</t>
  </si>
  <si>
    <t>TAG Heliotrope Nagano 100/100 Pixie Tag</t>
  </si>
  <si>
    <t>0611862531050</t>
  </si>
  <si>
    <t>TAG Heliotrope Scentropia Dark Blue 50/50 Petite Portrait SF FUL</t>
  </si>
  <si>
    <t>0611834966025</t>
  </si>
  <si>
    <t>TAG Helleborus HGC Ice N Roses White 25/25 Portrait Tag</t>
  </si>
  <si>
    <t>0611884247025</t>
  </si>
  <si>
    <t>TAG Helleborus Ice N Roses Red 25/25 Portrait Tag</t>
  </si>
  <si>
    <t>0611834981025</t>
  </si>
  <si>
    <t>TAG Helleborus Lenten Rose GENERIC 25/25 Portrait Tag</t>
  </si>
  <si>
    <t>0611834982025</t>
  </si>
  <si>
    <t>TAG Helleborus Royal Heritage 25/25 Portrait Tag</t>
  </si>
  <si>
    <t>0611834999100</t>
  </si>
  <si>
    <t>TAG Helxine Baby's Tears GENERIC 100/100 Pixie Tag</t>
  </si>
  <si>
    <t>0611835000025</t>
  </si>
  <si>
    <t>TAG Hemerocallis Chicago Apache 25/25 Portrait Tag</t>
  </si>
  <si>
    <t>0611835003025</t>
  </si>
  <si>
    <t>TAG Hemerocallis Happy Returns 25/25 Portrait Tag</t>
  </si>
  <si>
    <t>0611835004025</t>
  </si>
  <si>
    <t>TAG Hemerocallis Hyperion 25/25 Portrait Tag</t>
  </si>
  <si>
    <t>0611835005025</t>
  </si>
  <si>
    <t>TAG Hemerocallis Little Business 25/25 Portrait Tag</t>
  </si>
  <si>
    <t>0611835006025</t>
  </si>
  <si>
    <t>TAG Hemerocallis Little Grapette 25/25 Portrait Tag</t>
  </si>
  <si>
    <t>0611835007025</t>
  </si>
  <si>
    <t>TAG Hemerocallis Pandora's Box 25/25 Portrait Tag</t>
  </si>
  <si>
    <t>0611835008025</t>
  </si>
  <si>
    <t>TAG Hemerocallis Pardon Me 25/25 Portrait Tag</t>
  </si>
  <si>
    <t>0611835009025</t>
  </si>
  <si>
    <t>TAG Hemerocallis Purple Doro 25/25 Portrait Tag</t>
  </si>
  <si>
    <t>0611835010025</t>
  </si>
  <si>
    <t>TAG Hemerocallis Stella De Oro 25/25 Portrait Tag</t>
  </si>
  <si>
    <t>0611835012100</t>
  </si>
  <si>
    <t>TAG Hemigraphis Waffle Plant GENERIC 100/100 Pixie Tag</t>
  </si>
  <si>
    <t>0611835013100</t>
  </si>
  <si>
    <t>TAG Hemizygia Candy Kisses 100/100 Pixie Tag</t>
  </si>
  <si>
    <t>0611838683100</t>
  </si>
  <si>
    <t>TAG Herb Burnet Poteri 100/100 Pixie Tag</t>
  </si>
  <si>
    <t>0611839864100</t>
  </si>
  <si>
    <t>TAG Herb Fenugreek Trigonella 100/100 Pixie Tag</t>
  </si>
  <si>
    <t>0611835026100</t>
  </si>
  <si>
    <t>TAG Herb GENERIC 100/100 Pixie Tag</t>
  </si>
  <si>
    <t>0611838545100</t>
  </si>
  <si>
    <t>TAG Herb Patchouli Pogostemon Cablin 100/100 Pixie Tag</t>
  </si>
  <si>
    <t>0611838832100</t>
  </si>
  <si>
    <t>TAG Herb Salicornia Europea Saltwort 100/100 Pixie Tag</t>
  </si>
  <si>
    <t>0611839898100</t>
  </si>
  <si>
    <t>TAG Herb Valerian 100/100 Pixie Tag</t>
  </si>
  <si>
    <t>0611835206025</t>
  </si>
  <si>
    <t>TAG Heuchera Big Top Caramel Apple 25/25 Portrait Tag</t>
  </si>
  <si>
    <t>0611856981025</t>
  </si>
  <si>
    <t>TAG Heuchera Black Forest Cake 25/25 Portrait Tag</t>
  </si>
  <si>
    <t>0611835207025</t>
  </si>
  <si>
    <t>TAG Heuchera Blackout 25/25 Portrait Tag</t>
  </si>
  <si>
    <t>0611835209100</t>
  </si>
  <si>
    <t>TAG Heuchera Bressingham Hybrids 100/100 Pixie Tag</t>
  </si>
  <si>
    <t>0611835210025</t>
  </si>
  <si>
    <t>TAG Heuchera Bressingham Hybrids 25/25 Portrait Tag</t>
  </si>
  <si>
    <t>0611835212025</t>
  </si>
  <si>
    <t>TAG Heuchera Caramel 25/25 Portrait Tag</t>
  </si>
  <si>
    <t>0611835213025</t>
  </si>
  <si>
    <t>TAG Heuchera Carnival Black Olive 25/25 Portrait Tag</t>
  </si>
  <si>
    <t>0611835214025</t>
  </si>
  <si>
    <t>TAG Heuchera Carnival Burgundy Blast 25/25 Portrait Tag</t>
  </si>
  <si>
    <t>0611835217025</t>
  </si>
  <si>
    <t>TAG Heuchera Carnival Candy Apple 25/25 Portrait Tag</t>
  </si>
  <si>
    <t>0611835216025</t>
  </si>
  <si>
    <t>TAG Heuchera Carnival Cinnamon Stick 25/25 Portrait Tag</t>
  </si>
  <si>
    <t>0611835218025</t>
  </si>
  <si>
    <t>TAG Heuchera Carnival Cocoa Mint 25/25 Portrait Tag</t>
  </si>
  <si>
    <t>0611835215025</t>
  </si>
  <si>
    <t>TAG Heuchera Carnival Coffee Bean 25/25 Portrait Tag</t>
  </si>
  <si>
    <t>0611835219025</t>
  </si>
  <si>
    <t>TAG Heuchera Carnival Fall Festival 25/25 Portrait Tag</t>
  </si>
  <si>
    <t>0611835220025</t>
  </si>
  <si>
    <t>TAG Heuchera Carnival Limeade 25/25 Portrait Tag</t>
  </si>
  <si>
    <t>0611835221025</t>
  </si>
  <si>
    <t>TAG Heuchera Carnival Peach Parfait 25/25 Portrait Tag</t>
  </si>
  <si>
    <t>0611835222025</t>
  </si>
  <si>
    <t>TAG Heuchera Carnival Plum Crazy 25/25 Portrait Tag</t>
  </si>
  <si>
    <t>0611835223025</t>
  </si>
  <si>
    <t>TAG Heuchera Carnival Rose Granita 25/25 Portrait Tag</t>
  </si>
  <si>
    <t>0611835224025</t>
  </si>
  <si>
    <t>TAG Heuchera Carnival Watermelon 25/25 Portrait Tag</t>
  </si>
  <si>
    <t>0611835228100</t>
  </si>
  <si>
    <t>TAG Heuchera Coral Bells GENERIC 100/100 Pixie Tag</t>
  </si>
  <si>
    <t>0611835229025</t>
  </si>
  <si>
    <t>TAG Heuchera Coral Bells GENERIC 25/25 Portrait Tag</t>
  </si>
  <si>
    <t>0611835230025</t>
  </si>
  <si>
    <t>TAG Heuchera Coral Forest Sanguinea 25/25 Portrait Tag SF</t>
  </si>
  <si>
    <t>0611835231025</t>
  </si>
  <si>
    <t>TAG Heuchera Dales Strain Americana 25/25 Portrait Tag</t>
  </si>
  <si>
    <t>0611835236025</t>
  </si>
  <si>
    <t>TAG Heuchera Firefly 25/25 Portrait Tag</t>
  </si>
  <si>
    <t>0611835237025</t>
  </si>
  <si>
    <t>TAG Heuchera Forever Purple 25/25 Portrait Tag</t>
  </si>
  <si>
    <t>0611856982025</t>
  </si>
  <si>
    <t>TAG Heuchera Forever Red 25/25 Portrait Tag</t>
  </si>
  <si>
    <t>0611835238025</t>
  </si>
  <si>
    <t>TAG Heuchera Georgia Peach 25/25 Portrait Tag</t>
  </si>
  <si>
    <t>0611835240025</t>
  </si>
  <si>
    <t>TAG Heuchera Honey Rose 25/25 Portrait Tag</t>
  </si>
  <si>
    <t>0611835241025</t>
  </si>
  <si>
    <t>TAG Heuchera Kira Series 25/25 Portrait Tag</t>
  </si>
  <si>
    <t>0611835244025</t>
  </si>
  <si>
    <t>TAG Heuchera Marmalade 25/25 Portrait Tag</t>
  </si>
  <si>
    <t>0611835245025</t>
  </si>
  <si>
    <t>TAG Heuchera Marvelous Marble 25/25 Portrait Tag SF</t>
  </si>
  <si>
    <t>0611835246025</t>
  </si>
  <si>
    <t>TAG Heuchera Marvelous Marble Silver 25/25 Portrait Tag SF</t>
  </si>
  <si>
    <t>0611835247025</t>
  </si>
  <si>
    <t>TAG Heuchera Mega Caramel 25/25 Portrait Tag</t>
  </si>
  <si>
    <t>0611835248025</t>
  </si>
  <si>
    <t>TAG Heuchera Melting Fire 25/25 Portrait Tag</t>
  </si>
  <si>
    <t>0611835249025</t>
  </si>
  <si>
    <t>TAG Heuchera Midnight Rose 25/25 Portrait Tag</t>
  </si>
  <si>
    <t>0611835250025</t>
  </si>
  <si>
    <t>TAG Heuchera Obsidian 25/25 Portrait Tag</t>
  </si>
  <si>
    <t>0611835251100</t>
  </si>
  <si>
    <t>TAG Heuchera Palace Purple 100/100 Pixie Tag</t>
  </si>
  <si>
    <t>0611835252025</t>
  </si>
  <si>
    <t>TAG Heuchera Palace Purple 25/25 Portrait Tag</t>
  </si>
  <si>
    <t>0611835253025</t>
  </si>
  <si>
    <t>TAG Heuchera Palace Purple Select 25/25 Portrait Tag</t>
  </si>
  <si>
    <t>0611835255025</t>
  </si>
  <si>
    <t>TAG Heuchera Plum Pudding 25/25 Portrait Tag</t>
  </si>
  <si>
    <t>0611835256025</t>
  </si>
  <si>
    <t>TAG Heuchera Prince 25/25 Portrait Tag</t>
  </si>
  <si>
    <t>0611835257025</t>
  </si>
  <si>
    <t>TAG Heuchera Red Lightning 25/25 Portrait Tag</t>
  </si>
  <si>
    <t>0611835258025</t>
  </si>
  <si>
    <t>TAG Heuchera Ruby Bells 25/25 Portrait Tag</t>
  </si>
  <si>
    <t>0611835260025</t>
  </si>
  <si>
    <t>TAG Heuchera Silver Scrolls 25/25 Portrait Tag</t>
  </si>
  <si>
    <t>0611835262025</t>
  </si>
  <si>
    <t>TAG Heuchera Splendens 25/25 Portrait Tag</t>
  </si>
  <si>
    <t>0611835204025</t>
  </si>
  <si>
    <t>TAG Heucherella Alabama Sunrise 25/25 Portrait Tag</t>
  </si>
  <si>
    <t>0611835211025</t>
  </si>
  <si>
    <t>TAG Heucherella Buttered Rum 25/25 Portrait Tag</t>
  </si>
  <si>
    <t>0611835242025</t>
  </si>
  <si>
    <t>TAG Heucherella Kirella Autumn Shades 25/25 Portrait Tag</t>
  </si>
  <si>
    <t>0611835243025</t>
  </si>
  <si>
    <t>TAG Heucherella Kirella Fresh Green 25/25 Portrait Tag</t>
  </si>
  <si>
    <t>0611835265025</t>
  </si>
  <si>
    <t>TAG Heucherella Sweet Tea 25/25 Portrait Tag</t>
  </si>
  <si>
    <t>0611835266100</t>
  </si>
  <si>
    <t>TAG Hibiscus Disco Belle Mix 100/100 Pixie Tag</t>
  </si>
  <si>
    <t>0611835267025</t>
  </si>
  <si>
    <t>TAG Hibiscus Disco Belle Pink 25/25 Portrait Tag</t>
  </si>
  <si>
    <t>0611835268100</t>
  </si>
  <si>
    <t>TAG Hibiscus Disco Belle Rosy Red 100/100 Pixie Tag</t>
  </si>
  <si>
    <t>0611835270100</t>
  </si>
  <si>
    <t>TAG Hibiscus GENERIC 100/100 Pixie Tag</t>
  </si>
  <si>
    <t>0611856987025</t>
  </si>
  <si>
    <t>TAG Hibiscus Hollywood America's Sweetheart 25/25 Portrait Tag</t>
  </si>
  <si>
    <t>0611835271025</t>
  </si>
  <si>
    <t>TAG Hibiscus Hollywood Disco Diva 25/25 Portrait Tag</t>
  </si>
  <si>
    <t>0611835272025</t>
  </si>
  <si>
    <t>TAG Hibiscus Hollywood Drama Queen 25/25 Portrait Tag</t>
  </si>
  <si>
    <t>0611835273025</t>
  </si>
  <si>
    <t>TAG Hibiscus Hollywood Earth Angel 25/25 Portrait Tag</t>
  </si>
  <si>
    <t>0611884248025</t>
  </si>
  <si>
    <t>TAG Hibiscus Hollywood First Lady 25/25 Portrait Tag</t>
  </si>
  <si>
    <t>0611835274025</t>
  </si>
  <si>
    <t>TAG Hibiscus Hollywood Frst To Arrive 25/25 Portrait Tag</t>
  </si>
  <si>
    <t>0611835275025</t>
  </si>
  <si>
    <t>TAG Hibiscus Hollywood Glamour Gal 25/25 Portrait Tag</t>
  </si>
  <si>
    <t>0611835276025</t>
  </si>
  <si>
    <t>TAG Hibiscus Hollywood Gold Digger 25/25 Portrait Tag</t>
  </si>
  <si>
    <t>0611835277025</t>
  </si>
  <si>
    <t>TAG Hibiscus Hollywood Gossip Queen 25/25 Portrait Tag</t>
  </si>
  <si>
    <t>0611835278025</t>
  </si>
  <si>
    <t>TAG Hibiscus Hollywood Heartbreaker 25/25 Portrait Tag</t>
  </si>
  <si>
    <t>0611856983025</t>
  </si>
  <si>
    <t>TAG Hibiscus Hollywood Hot Shot 25/25 Portrait Tag</t>
  </si>
  <si>
    <t>0611856985025</t>
  </si>
  <si>
    <t>0611856984025</t>
  </si>
  <si>
    <t>TAG Hibiscus Hollywood Hustler 25/25 Portrait Tag</t>
  </si>
  <si>
    <t>0611835279025</t>
  </si>
  <si>
    <t>TAG Hibiscus Hollywood Leading Lady 25/25 Portrait Tag</t>
  </si>
  <si>
    <t>0611835280025</t>
  </si>
  <si>
    <t>TAG Hibiscus Hollywood Playboy 25/25 Portrait Tag</t>
  </si>
  <si>
    <t>0611835281025</t>
  </si>
  <si>
    <t>TAG Hibiscus Hollywood Pop Star 25/25 Portrait Tag</t>
  </si>
  <si>
    <t>0611835282025</t>
  </si>
  <si>
    <t>TAG Hibiscus Hollywood Rico Suave 25/25 Portrait Tag</t>
  </si>
  <si>
    <t>0611856986025</t>
  </si>
  <si>
    <t>TAG Hibiscus Hollywood Rock Star 25/25 Portrait Tag</t>
  </si>
  <si>
    <t>0611835283025</t>
  </si>
  <si>
    <t>TAG Hibiscus Hollywood Social Butterfly 25/25 Portrait Tag</t>
  </si>
  <si>
    <t>0611884249025</t>
  </si>
  <si>
    <t>TAG Hibiscus Hollywood Sunset Boulevard 25/25 Portrait Tag</t>
  </si>
  <si>
    <t>0611835284025</t>
  </si>
  <si>
    <t>TAG Hibiscus Hollywood Trophy Wife 25/25 Portrait Tag</t>
  </si>
  <si>
    <t>0611835285025</t>
  </si>
  <si>
    <t>TAG Hibiscus Honeymoon Deep Red 25/25 Portrait Tag SF</t>
  </si>
  <si>
    <t>0611835286025</t>
  </si>
  <si>
    <t>TAG Hibiscus Honeymoon Light Rose 25/25 Portrait Tag SF</t>
  </si>
  <si>
    <t>0611835288025</t>
  </si>
  <si>
    <t>TAG Hibiscus Honeymoon Rose 25/25 Portrait Tag SF</t>
  </si>
  <si>
    <t>0611835289025</t>
  </si>
  <si>
    <t>TAG Hibiscus Luna Mix 25/25 Portrait Tag</t>
  </si>
  <si>
    <t>0611835290025</t>
  </si>
  <si>
    <t>TAG Hibiscus Luna Pink Swirl 25/25 Portrait Tag</t>
  </si>
  <si>
    <t>0611835291100</t>
  </si>
  <si>
    <t>TAG Hibiscus Luna Red 100/100 Pixie Tag</t>
  </si>
  <si>
    <t>0611835292025</t>
  </si>
  <si>
    <t>TAG Hibiscus Luna Red 25/25 Portrait Tag</t>
  </si>
  <si>
    <t>0611835293025</t>
  </si>
  <si>
    <t>TAG Hibiscus Luna Rose 25/25 Portrait Tag</t>
  </si>
  <si>
    <t>0611835294025</t>
  </si>
  <si>
    <t>TAG Hibiscus Luna White 25/25 Portrait Tag</t>
  </si>
  <si>
    <t>0611835295025</t>
  </si>
  <si>
    <t>TAG Hibiscus Mahogany Splendor 25/25 Portrait Tag</t>
  </si>
  <si>
    <t>0611835296025</t>
  </si>
  <si>
    <t>TAG Hibiscus Moscheutos GENERIC 25/25 Portrait Tag</t>
  </si>
  <si>
    <t>0611835298100</t>
  </si>
  <si>
    <t>TAG Homalocladium Homalomena GENERIC 100/100 Pixie Tag</t>
  </si>
  <si>
    <t>0611884250100</t>
  </si>
  <si>
    <t>TAG Homalocladium Ribbons And Curls 100/100 Pixie Tag</t>
  </si>
  <si>
    <t>0611836712100</t>
  </si>
  <si>
    <t>TAG Horehound GENERIC 100/100 Pixie Tag</t>
  </si>
  <si>
    <t>0611835299025</t>
  </si>
  <si>
    <t>TAG Hosta Abiqua Drinking Gourd 25/25 Portrait Tag</t>
  </si>
  <si>
    <t>0611835300025</t>
  </si>
  <si>
    <t>TAG Hosta Albomarginata Fortunei 25/25 Portrait Tag</t>
  </si>
  <si>
    <t>0611835302025</t>
  </si>
  <si>
    <t>TAG Hosta Ann Kulpa 25/25 Portrait Tag</t>
  </si>
  <si>
    <t>0611835303025</t>
  </si>
  <si>
    <t>TAG Hosta August Moon 25/25 Portrait Tag</t>
  </si>
  <si>
    <t>0611835304025</t>
  </si>
  <si>
    <t>TAG Hosta Aureomarginata Fortunei 25/25 Portrait Tag</t>
  </si>
  <si>
    <t>0611835305025</t>
  </si>
  <si>
    <t>TAG Hosta Big Daddy 25/25 Portrait Tag</t>
  </si>
  <si>
    <t>0611835306025</t>
  </si>
  <si>
    <t>TAG Hosta Blazing Saddles 25/25 Portrait Tag</t>
  </si>
  <si>
    <t>0611835307025</t>
  </si>
  <si>
    <t>TAG Hosta Blue Angel 25/25 Portrait Tag</t>
  </si>
  <si>
    <t>0611835308025</t>
  </si>
  <si>
    <t>TAG Hosta Blue Cadet 25/25 Portrait Tag</t>
  </si>
  <si>
    <t>0611835309025</t>
  </si>
  <si>
    <t>TAG Hosta Blue Mouse Ears 25/25 Portrait Tag</t>
  </si>
  <si>
    <t>0611835310025</t>
  </si>
  <si>
    <t>TAG Hosta Bressingham Blue 25/25 Portrait Tag</t>
  </si>
  <si>
    <t>0611835311025</t>
  </si>
  <si>
    <t>TAG Hosta Brim Cup 25/25 Portrait Tag</t>
  </si>
  <si>
    <t>0611835312025</t>
  </si>
  <si>
    <t>TAG Hosta Brother Stefan 25/25 Portrait Tag</t>
  </si>
  <si>
    <t>0611835313025</t>
  </si>
  <si>
    <t>TAG Hosta Captain Kirk 25/25 Portrait Tag</t>
  </si>
  <si>
    <t>0611835314025</t>
  </si>
  <si>
    <t>TAG Hosta Christmas Tree 25/25 Portrait Tag</t>
  </si>
  <si>
    <t>0611835316025</t>
  </si>
  <si>
    <t>TAG Hosta Diana Remembered 25/25 Portrait Tag</t>
  </si>
  <si>
    <t>0611835317025</t>
  </si>
  <si>
    <t>TAG Hosta Dream Queen 25/25 Portrait Tag</t>
  </si>
  <si>
    <t>0611835318025</t>
  </si>
  <si>
    <t>TAG Hosta Dream Weaver 25/25 Portrait Tag</t>
  </si>
  <si>
    <t>0611835319025</t>
  </si>
  <si>
    <t>TAG Hosta Earth Angel 25/25 Portrait Tag</t>
  </si>
  <si>
    <t>0611835320025</t>
  </si>
  <si>
    <t>TAG Hosta Elegans Sieboldiana 25/25 Portrait Tag</t>
  </si>
  <si>
    <t>0611835321025</t>
  </si>
  <si>
    <t>TAG Hosta Fire N Ice 25/25 Portrait Tag</t>
  </si>
  <si>
    <t>0611835322025</t>
  </si>
  <si>
    <t>TAG Hosta First Frost 25/25 Portrait Tag</t>
  </si>
  <si>
    <t>0611835323025</t>
  </si>
  <si>
    <t>TAG Hosta Fragrant Blue 25/25 Portrait Tag</t>
  </si>
  <si>
    <t>0611835324025</t>
  </si>
  <si>
    <t>TAG Hosta Fragrant Bouquet 25/25 Portrait Tag</t>
  </si>
  <si>
    <t>0611835325025</t>
  </si>
  <si>
    <t>TAG Hosta Francee 25/25 Portrait Tag</t>
  </si>
  <si>
    <t>0611835326025</t>
  </si>
  <si>
    <t>TAG Hosta Frances Williams 25/25 Portrait Tag</t>
  </si>
  <si>
    <t>0611884251025</t>
  </si>
  <si>
    <t>TAG Hosta Gator Cup Gold 25/25 Portrait Tag</t>
  </si>
  <si>
    <t>0611835333025</t>
  </si>
  <si>
    <t>TAG Hosta GENERIC 25/25 Portrait Tag</t>
  </si>
  <si>
    <t>0611835327025</t>
  </si>
  <si>
    <t>TAG Hosta Gold Standard 25/25 Portrait Tag</t>
  </si>
  <si>
    <t>0611835328025</t>
  </si>
  <si>
    <t>TAG Hosta Golden Tiara 25/25 Portrait Tag</t>
  </si>
  <si>
    <t>0611835329025</t>
  </si>
  <si>
    <t>TAG Hosta Great Expectations 25/25 Portrait Tag</t>
  </si>
  <si>
    <t>0611835330025</t>
  </si>
  <si>
    <t>TAG Hosta Guacamole 25/25 Portrait Tag</t>
  </si>
  <si>
    <t>0611835331025</t>
  </si>
  <si>
    <t>TAG Hosta Hadspen Blue 25/25 Portrait Tag</t>
  </si>
  <si>
    <t>0611835332025</t>
  </si>
  <si>
    <t>TAG Hosta Halcyon 25/25 Portrait Tag</t>
  </si>
  <si>
    <t>0611835334025</t>
  </si>
  <si>
    <t>TAG Hosta Hyacinthina Fortunei 25/25 Portrait Tag</t>
  </si>
  <si>
    <t>0611835335025</t>
  </si>
  <si>
    <t>TAG Hosta June 25/25 Portrait Tag</t>
  </si>
  <si>
    <t>0611835336025</t>
  </si>
  <si>
    <t>TAG Hosta Krossa Regal 25/25 Portrait Tag</t>
  </si>
  <si>
    <t>0611835338025</t>
  </si>
  <si>
    <t>TAG Hosta Minuteman 25/25 Portrait Tag</t>
  </si>
  <si>
    <t>0611835340025</t>
  </si>
  <si>
    <t>TAG Hosta Night Before Christmas 25/25 Portrait Tag</t>
  </si>
  <si>
    <t>0611884252025</t>
  </si>
  <si>
    <t>TAG Hosta Old Yeller 25/25 Portrait Tag</t>
  </si>
  <si>
    <t>0611835341025</t>
  </si>
  <si>
    <t>TAG Hosta Paradigm 25/25 Portrait Tag</t>
  </si>
  <si>
    <t>0611835342100</t>
  </si>
  <si>
    <t>TAG Hosta Patriot 100/100 Pixie Tag</t>
  </si>
  <si>
    <t>0611835343025</t>
  </si>
  <si>
    <t>TAG Hosta Patriot 25/25 Portrait Tag</t>
  </si>
  <si>
    <t>0611835344025</t>
  </si>
  <si>
    <t>TAG Hosta Pauls Glory 25/25 Portrait Tag</t>
  </si>
  <si>
    <t>0611835345025</t>
  </si>
  <si>
    <t>TAG Hosta Pilgrim 25/25 Portrait Tag</t>
  </si>
  <si>
    <t>0611835347025</t>
  </si>
  <si>
    <t>TAG Hosta Praying Hands 25/25 Portrait Tag</t>
  </si>
  <si>
    <t>0611835348025</t>
  </si>
  <si>
    <t>TAG Hosta Queen Josephine 25/25 Portrait Tag</t>
  </si>
  <si>
    <t>0611835349025</t>
  </si>
  <si>
    <t>TAG Hosta Rainforest Sunrise 25/25 Portrait Tag</t>
  </si>
  <si>
    <t>0611835350025</t>
  </si>
  <si>
    <t>TAG Hosta Regal Splendor 25/25 Portrait Tag</t>
  </si>
  <si>
    <t>0611835352025</t>
  </si>
  <si>
    <t>TAG Hosta Royal Standard 25/25 Portrait Tag</t>
  </si>
  <si>
    <t>0611835354025</t>
  </si>
  <si>
    <t>TAG Hosta So Sweet 25/25 Portrait Tag</t>
  </si>
  <si>
    <t>0611835355025</t>
  </si>
  <si>
    <t>TAG Hosta Stained Glass 25/25 Portrait Tag</t>
  </si>
  <si>
    <t>0611835356025</t>
  </si>
  <si>
    <t>TAG Hosta Sum N Substance 25/25 Portrait Tag</t>
  </si>
  <si>
    <t>0611835357025</t>
  </si>
  <si>
    <t>TAG Hosta Twilight 25/25 Portrait Tag</t>
  </si>
  <si>
    <t>0611835358025</t>
  </si>
  <si>
    <t>TAG Hosta Undulata Albomarginata 25/25 Portrait Tag</t>
  </si>
  <si>
    <t>0611835359025</t>
  </si>
  <si>
    <t>TAG Hosta Undulata Mediovariegata 25/25 Portrait Tag</t>
  </si>
  <si>
    <t>0611835361025</t>
  </si>
  <si>
    <t>TAG Hosta Wide Brim 25/25 Portrait Tag</t>
  </si>
  <si>
    <t>0611862572100</t>
  </si>
  <si>
    <t>TAG Houttuynia Chameleon Cordata 100/100 Pixie Tag FUL</t>
  </si>
  <si>
    <t>0611835363025</t>
  </si>
  <si>
    <t>TAG Houttuynia Chameleon Cordata 25/25 Portrait Tag</t>
  </si>
  <si>
    <t>0611862573050</t>
  </si>
  <si>
    <t>TAG Houttuynia Chameleon Cordata 50/50 Petite Portrait FUL</t>
  </si>
  <si>
    <t>0611835915100</t>
  </si>
  <si>
    <t>TAG Hyacinth Bean GENERIC 100/100 Pixie Tag</t>
  </si>
  <si>
    <t>0611835364100</t>
  </si>
  <si>
    <t>TAG Hyacinth Blue 100/100 Pixie Tag</t>
  </si>
  <si>
    <t>0611835365100</t>
  </si>
  <si>
    <t>TAG Hyacinth Blue Jacket 100/100 Pixie Tag</t>
  </si>
  <si>
    <t>0611835366100</t>
  </si>
  <si>
    <t>TAG Hyacinth GENERIC 100/100 Pixie Tag</t>
  </si>
  <si>
    <t>0611836863100</t>
  </si>
  <si>
    <t>TAG Hyacinth Grape GENERIC 100/100 Pixie Tag</t>
  </si>
  <si>
    <t>0611835367100</t>
  </si>
  <si>
    <t>TAG Hyacinth Pink 100/100 Pixie Tag</t>
  </si>
  <si>
    <t>0611856988100</t>
  </si>
  <si>
    <t>TAG Hyacinth Purple 100/100 Pixie Tag</t>
  </si>
  <si>
    <t>0611856989100</t>
  </si>
  <si>
    <t>TAG Hyacinth Red 100/100 Pixie Tag</t>
  </si>
  <si>
    <t>0611835916100</t>
  </si>
  <si>
    <t>TAG Hyacinth Ruby Moon 100/100 Pixie Tag</t>
  </si>
  <si>
    <t>0611835368100</t>
  </si>
  <si>
    <t>TAG Hyacinth White 100/100 Pixie Tag</t>
  </si>
  <si>
    <t>0611835369100</t>
  </si>
  <si>
    <t>TAG Hydrangea GENERIC 100/100 Pixie Tag</t>
  </si>
  <si>
    <t>0611835370025</t>
  </si>
  <si>
    <t>TAG Hydrangea GENERIC 25/25 Portrait Tag</t>
  </si>
  <si>
    <t>0611862574050</t>
  </si>
  <si>
    <t>TAG Hydrangea Hi Crystal 50/50 Petite Portrait SF FUL</t>
  </si>
  <si>
    <t>0611862575050</t>
  </si>
  <si>
    <t>TAG Hydrangea Hi Fire 50/50 Petite Portrait SF FUL</t>
  </si>
  <si>
    <t>0611862576050</t>
  </si>
  <si>
    <t>TAG Hydrangea Hi Flame 50/50 Petite Portrait SF FUL</t>
  </si>
  <si>
    <t>0611862577050</t>
  </si>
  <si>
    <t>TAG Hydrangea Hi Mountain 50/50 Petite Portrait SF FUL</t>
  </si>
  <si>
    <t>0611862578050</t>
  </si>
  <si>
    <t>TAG Hydrangea Hi River 50/50 Petite Portrait SF FUL</t>
  </si>
  <si>
    <t>0611862579050</t>
  </si>
  <si>
    <t>TAG Hydrangea Hi Sugar 50/50 Petite Portrait SF FUL</t>
  </si>
  <si>
    <t>0611835371025</t>
  </si>
  <si>
    <t>TAG Hypericum Calycinum 25/25 Portrait Tag</t>
  </si>
  <si>
    <t>0611835372100</t>
  </si>
  <si>
    <t>TAG Hypericum Perforatum 100/100 Pixie Tag</t>
  </si>
  <si>
    <t>0611835373100</t>
  </si>
  <si>
    <t>TAG Hypericum St John's Wort 100/100 Pixie Tag</t>
  </si>
  <si>
    <t>0611835374100</t>
  </si>
  <si>
    <t>TAG Hypoestes Confetti Mix 100/100 Pixie Tag</t>
  </si>
  <si>
    <t>0611835375100</t>
  </si>
  <si>
    <t>TAG Hypoestes Confetti Pink 100/100 Pixie Tag</t>
  </si>
  <si>
    <t>0611835376100</t>
  </si>
  <si>
    <t>TAG Hypoestes Confetti Red 100/100 Pixie Tag</t>
  </si>
  <si>
    <t>0611835377100</t>
  </si>
  <si>
    <t>TAG Hypoestes Confetti Rose 100/100 Pixie Tag</t>
  </si>
  <si>
    <t>0611835378100</t>
  </si>
  <si>
    <t>TAG Hypoestes Confetti White 100/100 Pixie Tag</t>
  </si>
  <si>
    <t>0611835381100</t>
  </si>
  <si>
    <t>TAG Hypoestes Hypoestes GENERIC 100/100 Pixie Tag</t>
  </si>
  <si>
    <t>0611884253100</t>
  </si>
  <si>
    <t>TAG Hypoestes Polka Dot Generic 100/100 Pixie Tag</t>
  </si>
  <si>
    <t>0611884254100</t>
  </si>
  <si>
    <t>TAG Hypoestes Polka Dot Lotty Dotty Series 100/100 Pixie Tag</t>
  </si>
  <si>
    <t>0611835382100</t>
  </si>
  <si>
    <t>TAG Hypoestes Splash Select Mix 100/100 Pixie Tag</t>
  </si>
  <si>
    <t>0611835383100</t>
  </si>
  <si>
    <t>TAG Hypoestes Splash Select Pink 100/100 Pixie Tag</t>
  </si>
  <si>
    <t>0611835384100</t>
  </si>
  <si>
    <t>TAG Hypoestes Splash Select Red 100/100 Pixie Tag</t>
  </si>
  <si>
    <t>0611835385100</t>
  </si>
  <si>
    <t>TAG Hypoestes Splash Select Rose 100/100 Pixie Tag</t>
  </si>
  <si>
    <t>0611835386100</t>
  </si>
  <si>
    <t>TAG Hypoestes Splash Select White 100/100 Pixie Tag</t>
  </si>
  <si>
    <t>0611835387100</t>
  </si>
  <si>
    <t>TAG Hyssop Hyssop 100/100 Pixie Tag</t>
  </si>
  <si>
    <t>0611884255025</t>
  </si>
  <si>
    <t>TAG Hyssop Hyssop Blue 25/25 Portrait Tag</t>
  </si>
  <si>
    <t>0611835388025</t>
  </si>
  <si>
    <t>TAG Iberis Alexander's White 25/25 Portrait Tag</t>
  </si>
  <si>
    <t>0611862580050</t>
  </si>
  <si>
    <t>TAG Iberis Alexanders White 50/50 Petite Portrait FUL</t>
  </si>
  <si>
    <t>0611835389025</t>
  </si>
  <si>
    <t>TAG Iberis Chill Lavender Gibraltarica 25/25 Portrait Tag</t>
  </si>
  <si>
    <t>0611835390025</t>
  </si>
  <si>
    <t>TAG Iberis First Flush Compact Lilac 25/25 Portrait Tag</t>
  </si>
  <si>
    <t>0611835391025</t>
  </si>
  <si>
    <t>TAG Iberis First Flush Lavender 25/25 Portrait Tag</t>
  </si>
  <si>
    <t>0611862581050</t>
  </si>
  <si>
    <t>TAG Iberis Little Gem 50/50 Petite Portrait FUL</t>
  </si>
  <si>
    <t>0611835393025</t>
  </si>
  <si>
    <t>TAG Iberis Little Gem Sempervirens 25/25 Portrait Tag</t>
  </si>
  <si>
    <t>0611835394025</t>
  </si>
  <si>
    <t>TAG Iberis Mermaid Lavender 25/25 Portrait Tag SF</t>
  </si>
  <si>
    <t>0611835395025</t>
  </si>
  <si>
    <t>TAG Iberis Pink Ice 25/25 Portrait Tag</t>
  </si>
  <si>
    <t>0611862582100</t>
  </si>
  <si>
    <t>TAG Iberis Purity 100/100 Pixie Tag FUL</t>
  </si>
  <si>
    <t>0611835396025</t>
  </si>
  <si>
    <t>TAG Iberis Purity Sempervirens 25/25 Portrait Tag</t>
  </si>
  <si>
    <t>0611835403025</t>
  </si>
  <si>
    <t>TAG Iberis Snow Flurries 25/25 Portrait Tag</t>
  </si>
  <si>
    <t>0611862583050</t>
  </si>
  <si>
    <t>TAG Iberis Snowcone 50/50 Petite Portrait SF FUL</t>
  </si>
  <si>
    <t>0611835404025</t>
  </si>
  <si>
    <t>TAG Iberis Snowcone Forte 25/25 Portrait Tag SF</t>
  </si>
  <si>
    <t>0611835398025</t>
  </si>
  <si>
    <t>TAG Iberis Snowcone Sempervirens 25/25 Portrait Tag SF</t>
  </si>
  <si>
    <t>0611862584100</t>
  </si>
  <si>
    <t>TAG Iberis Snowflake 100/100 Pixie Tag FUL</t>
  </si>
  <si>
    <t>0611862585050</t>
  </si>
  <si>
    <t>TAG Iberis Snowflake Limited Availability 50/50 Petite Portrait</t>
  </si>
  <si>
    <t>0611835399025</t>
  </si>
  <si>
    <t>TAG Iberis Snowflake Sempervirens 25/25 Portrait Tag</t>
  </si>
  <si>
    <t>0611835400025</t>
  </si>
  <si>
    <t>TAG Iberis Snowsation 25/25 Portrait Tag</t>
  </si>
  <si>
    <t>0611835401025</t>
  </si>
  <si>
    <t>TAG Iberis Snowsurfer 25/25 Portrait Tag SF</t>
  </si>
  <si>
    <t>0611862586050</t>
  </si>
  <si>
    <t>TAG Iberis Snowsurfer 50/50 Petite Portrait SF FUL</t>
  </si>
  <si>
    <t>0611835402025</t>
  </si>
  <si>
    <t>TAG Iberis Snowsurfer Forte 25/25 Portrait Tag SF</t>
  </si>
  <si>
    <t>0611862587050</t>
  </si>
  <si>
    <t>TAG Iberis Snowsurfer Forte 50/50 Petite Portrait SF FUL</t>
  </si>
  <si>
    <t>0611862588100</t>
  </si>
  <si>
    <t>TAG Iberis Spruzzo 100/100 Pixie Tag DO FUL</t>
  </si>
  <si>
    <t>0611862589050</t>
  </si>
  <si>
    <t>TAG Iberis Spruzzo Limited Availability 50/50 Petite Portrait DO FUL</t>
  </si>
  <si>
    <t>0611835405025</t>
  </si>
  <si>
    <t>TAG Iberis Summer Snowdrift Amara 25/25 Portrait Tag SF</t>
  </si>
  <si>
    <t>0611835406025</t>
  </si>
  <si>
    <t>TAG Iberis Tahoe Sempervirens 25/25 Portrait Tag SF</t>
  </si>
  <si>
    <t>0611862590100</t>
  </si>
  <si>
    <t>TAG Iberis Tuff 100/100 Pixie Tag DO FUL</t>
  </si>
  <si>
    <t>0611862591050</t>
  </si>
  <si>
    <t>TAG Iberis Tuff Limited Availability 50/50 Petite Tag DO</t>
  </si>
  <si>
    <t>0611856990025</t>
  </si>
  <si>
    <t>TAG Iberis Whistler White 25/25 Portrait Tag SF</t>
  </si>
  <si>
    <t>0611835407100</t>
  </si>
  <si>
    <t>TAG Iberis White 100/100 Pixie Tag</t>
  </si>
  <si>
    <t>0611862592100</t>
  </si>
  <si>
    <t>TAG Iberis White Shadow 100/100 Pixie Tag DO FUL</t>
  </si>
  <si>
    <t>0611835409025</t>
  </si>
  <si>
    <t>TAG Iberis Whiteout Sempervirens 25/25 Portrait Tag</t>
  </si>
  <si>
    <t>0611835410100</t>
  </si>
  <si>
    <t>TAG Impatiens Accent Bright Eye 100/100 Pixie Tag SF</t>
  </si>
  <si>
    <t>0611835411100</t>
  </si>
  <si>
    <t>TAG Impatiens Accent Burgundy 100/100 Pixie Tag SF</t>
  </si>
  <si>
    <t>0611835412100</t>
  </si>
  <si>
    <t>TAG Impatiens Accent Coral 100/100 Pixie Tag SF</t>
  </si>
  <si>
    <t>0611835413100</t>
  </si>
  <si>
    <t>TAG Impatiens Accent Deep Pink 100/100 Pixie Tag SF</t>
  </si>
  <si>
    <t>0611835414100</t>
  </si>
  <si>
    <t>TAG Impatiens Accent Lavender Blue 100/100 Pixie Tag SF</t>
  </si>
  <si>
    <t>0611835415100</t>
  </si>
  <si>
    <t>TAG Impatiens Accent Lilac 100/100 Pixie Tag SF</t>
  </si>
  <si>
    <t>0611835416100</t>
  </si>
  <si>
    <t>TAG Impatiens Accent Mix 100/100 Pixie Tag SF</t>
  </si>
  <si>
    <t>0611835417100</t>
  </si>
  <si>
    <t>TAG Impatiens Accent Orange 100/100 Pixie Tag SF</t>
  </si>
  <si>
    <t>0611835418100</t>
  </si>
  <si>
    <t>TAG Impatiens Accent Orange Star 100/100 Pixie Tag SF</t>
  </si>
  <si>
    <t>0611835419100</t>
  </si>
  <si>
    <t>TAG Impatiens Accent Pink 100/100 Pixie Tag SF</t>
  </si>
  <si>
    <t>0611835420100</t>
  </si>
  <si>
    <t>TAG Impatiens Accent Premium Bright Eye 100/100 Pixie Tag SF</t>
  </si>
  <si>
    <t>0611835426100</t>
  </si>
  <si>
    <t>TAG Impatiens Accent Premium Deep Orange 100/100 Pixie Tag SF</t>
  </si>
  <si>
    <t>0611835427100</t>
  </si>
  <si>
    <t>TAG Impatiens Accent Premium Lilac 100/100 Pixie Tag SF</t>
  </si>
  <si>
    <t>0611835428100</t>
  </si>
  <si>
    <t>TAG Impatiens Accent Premium Mix 100/100 Pixie Tag SF</t>
  </si>
  <si>
    <t>0611835422100</t>
  </si>
  <si>
    <t>TAG Impatiens Accent Premium Mystic Mix 100/100 Pixie Tag SF</t>
  </si>
  <si>
    <t>0611835429100</t>
  </si>
  <si>
    <t>TAG Impatiens Accent Premium Orange Star 100/100 Pixie Tag SF</t>
  </si>
  <si>
    <t>0611835423100</t>
  </si>
  <si>
    <t>TAG Impatiens Accent Premium Pastel Mix 100/100 Pixie Tag SF</t>
  </si>
  <si>
    <t>0611835424100</t>
  </si>
  <si>
    <t>TAG Impatiens Accent Premium Peppermint Mix 100/100 Pixie Tag SF</t>
  </si>
  <si>
    <t>0611835430100</t>
  </si>
  <si>
    <t>TAG Impatiens Accent Premium Pink 100/100 Pixie Tag SF</t>
  </si>
  <si>
    <t>0611835431100</t>
  </si>
  <si>
    <t>TAG Impatiens Accent Premium Red 100/100 Pixie Tag SF</t>
  </si>
  <si>
    <t>0611835432100</t>
  </si>
  <si>
    <t>TAG Impatiens Accent Premium Rose 100/100 Pixie Tag SF</t>
  </si>
  <si>
    <t>0611835433100</t>
  </si>
  <si>
    <t>TAG Impatiens Accent Premium Salmon 100/100 Pixie Tag SF</t>
  </si>
  <si>
    <t>0611835434100</t>
  </si>
  <si>
    <t>TAG Impatiens Accent Premium Violet 100/100 Pixie Tag SF</t>
  </si>
  <si>
    <t>0611835425100</t>
  </si>
  <si>
    <t>TAG Impatiens Accent Premium Violet Star 100/100 Pixie Tag SF</t>
  </si>
  <si>
    <t>0611835435100</t>
  </si>
  <si>
    <t>TAG Impatiens Accent Premium White 100/100 Pixie Tag SF</t>
  </si>
  <si>
    <t>0611835436100</t>
  </si>
  <si>
    <t>TAG Impatiens Accent Red 100/100 Pixie Tag SF</t>
  </si>
  <si>
    <t>0611835437100</t>
  </si>
  <si>
    <t>TAG Impatiens Accent Red Star 100/100 Pixie Tag SF</t>
  </si>
  <si>
    <t>0611835438100</t>
  </si>
  <si>
    <t>TAG Impatiens Accent Rose 100/100 Pixie Tag SF</t>
  </si>
  <si>
    <t>0611835439100</t>
  </si>
  <si>
    <t>TAG Impatiens Accent Rose Star 100/100 Pixie Tag SF</t>
  </si>
  <si>
    <t>0611835440100</t>
  </si>
  <si>
    <t>TAG Impatiens Accent Salmon 100/100 Pixie Tag SF</t>
  </si>
  <si>
    <t>0611835442100</t>
  </si>
  <si>
    <t>TAG Impatiens Accent Star Mix 100/100 Pixie Tag SF</t>
  </si>
  <si>
    <t>0611835443100</t>
  </si>
  <si>
    <t>TAG Impatiens Accent Violet 100/100 Pixie Tag SF</t>
  </si>
  <si>
    <t>0611835444100</t>
  </si>
  <si>
    <t>TAG Impatiens Accent Violet Star 100/100 Pixie Tag SF</t>
  </si>
  <si>
    <t>0611835445100</t>
  </si>
  <si>
    <t>TAG Impatiens Accent White 100/100 Pixie Tag SF</t>
  </si>
  <si>
    <t>0611884256050</t>
  </si>
  <si>
    <t>TAG Impatiens Amstel Veronica 50/50 Petite Portrait FUL</t>
  </si>
  <si>
    <t>0611835446100</t>
  </si>
  <si>
    <t>TAG Impatiens Athena Series 100/100 Pixie Tag SF</t>
  </si>
  <si>
    <t>0611835447100</t>
  </si>
  <si>
    <t>TAG Impatiens Beacon Bright Red 100/100 Pixie Tag</t>
  </si>
  <si>
    <t>0611835448100</t>
  </si>
  <si>
    <t>TAG Impatiens Beacon Coral 100/100 Pixie Tag</t>
  </si>
  <si>
    <t>0611856991100</t>
  </si>
  <si>
    <t>TAG Impatiens Beacon Lindau Mix 100/100 Pixie Tag</t>
  </si>
  <si>
    <t>0611884257100</t>
  </si>
  <si>
    <t>TAG Impatiens Beacon Lipstick 100/100 Pixie Tag</t>
  </si>
  <si>
    <t>0611835449100</t>
  </si>
  <si>
    <t>TAG Impatiens Beacon Mix 100/100 Pixie Tag</t>
  </si>
  <si>
    <t>0611835450100</t>
  </si>
  <si>
    <t>TAG Impatiens Beacon Orange 100/100 Pixie Tag</t>
  </si>
  <si>
    <t>0611884258100</t>
  </si>
  <si>
    <t>TAG Impatiens Beacon Pearl Island Mix 100/100 Pixie Tag</t>
  </si>
  <si>
    <t>0611856992100</t>
  </si>
  <si>
    <t>TAG Impatiens Beacon Portland Mix 100/100 Pixie Tag</t>
  </si>
  <si>
    <t>0611835451100</t>
  </si>
  <si>
    <t>TAG Impatiens Beacon Red 100/100 Pixie Tag</t>
  </si>
  <si>
    <t>0611835452100</t>
  </si>
  <si>
    <t>TAG Impatiens Beacon Red White Mix 100/100 Pixie Tag</t>
  </si>
  <si>
    <t>0611835453100</t>
  </si>
  <si>
    <t>TAG Impatiens Beacon Rose 100/100 Pixie Tag</t>
  </si>
  <si>
    <t>0611835454100</t>
  </si>
  <si>
    <t>TAG Impatiens Beacon Salmon 100/100 Pixie Tag</t>
  </si>
  <si>
    <t>0611856993100</t>
  </si>
  <si>
    <t>TAG Impatiens Beacon Sanibel Mix 100/100 Pixie Tag</t>
  </si>
  <si>
    <t>0611835455100</t>
  </si>
  <si>
    <t>TAG Impatiens Beacon Select Mix 100/100 Pixie Tag</t>
  </si>
  <si>
    <t>0611835456100</t>
  </si>
  <si>
    <t>TAG Impatiens Beacon Violet Shades 100/100 Pixie Tag</t>
  </si>
  <si>
    <t>0611835457100</t>
  </si>
  <si>
    <t>TAG Impatiens Beacon White 100/100 Pixie Tag</t>
  </si>
  <si>
    <t>0611835458100</t>
  </si>
  <si>
    <t>TAG Impatiens Blue GENERIC Bilingual 100/100 Pixie Tag</t>
  </si>
  <si>
    <t>0611835459100</t>
  </si>
  <si>
    <t>TAG Impatiens Bright Eyes Bilingual 100/100 Pixie Tag</t>
  </si>
  <si>
    <t>0611835460100</t>
  </si>
  <si>
    <t>TAG Impatiens Burgundy GENERIC Bilingual 100/100 Pixie Tag</t>
  </si>
  <si>
    <t>0611835464100</t>
  </si>
  <si>
    <t>TAG Impatiens Coral GENERIC Bilingual 100/100 Pixie Tag</t>
  </si>
  <si>
    <t>0611835465100</t>
  </si>
  <si>
    <t>TAG Impatiens Cranberry Bilingual 100/100 Pixie Tag</t>
  </si>
  <si>
    <t>0611835466100</t>
  </si>
  <si>
    <t>TAG Impatiens Dazzler Blue Pearl 100/100 Pixie Tag</t>
  </si>
  <si>
    <t>0611835467100</t>
  </si>
  <si>
    <t>TAG Impatiens Dazzler Bright Eye 100/100 Pixie Tag</t>
  </si>
  <si>
    <t>0611835469100</t>
  </si>
  <si>
    <t>TAG Impatiens Dazzler Coral 100/100 Pixie Tag</t>
  </si>
  <si>
    <t>0611835470100</t>
  </si>
  <si>
    <t>TAG Impatiens Dazzler Cranberry 100/100 Pixie Tag</t>
  </si>
  <si>
    <t>0611835471100</t>
  </si>
  <si>
    <t>TAG Impatiens Dazzler Deep Orange 100/100 Pixie Tag</t>
  </si>
  <si>
    <t>0611835472100</t>
  </si>
  <si>
    <t>TAG Impatiens Dazzler Deep Pink 100/100 Pixie Tag</t>
  </si>
  <si>
    <t>0611835473100</t>
  </si>
  <si>
    <t>TAG Impatiens Dazzler Lilac Splash 100/100 Pixie Tag</t>
  </si>
  <si>
    <t>0611835474100</t>
  </si>
  <si>
    <t>TAG Impatiens Dazzler Merlot 100/100 Pixie Tag</t>
  </si>
  <si>
    <t>0611835475100</t>
  </si>
  <si>
    <t>TAG Impatiens Dazzler Mix 100/100 Pixie Tag</t>
  </si>
  <si>
    <t>0611835476100</t>
  </si>
  <si>
    <t>TAG Impatiens Dazzler Mix Baby Shower 100/100 Pixie Tag</t>
  </si>
  <si>
    <t>0611835477100</t>
  </si>
  <si>
    <t>TAG Impatiens Dazzler Orange 100/100 Pixie Tag</t>
  </si>
  <si>
    <t>0611835478100</t>
  </si>
  <si>
    <t>TAG Impatiens Dazzler Passionfruit Mix 100/100 Pixie Tag</t>
  </si>
  <si>
    <t>0611835479100</t>
  </si>
  <si>
    <t>TAG Impatiens Dazzler Pink 100/100 Pixie Tag</t>
  </si>
  <si>
    <t>0611835480100</t>
  </si>
  <si>
    <t>TAG Impatiens Dazzler Punch 100/100 Pixie Tag</t>
  </si>
  <si>
    <t>0611835481100</t>
  </si>
  <si>
    <t>TAG Impatiens Dazzler Red 100/100 Pixie Tag</t>
  </si>
  <si>
    <t>0611835482100</t>
  </si>
  <si>
    <t>TAG Impatiens Dazzler Rose 100/100 Pixie Tag</t>
  </si>
  <si>
    <t>0611835483100</t>
  </si>
  <si>
    <t>TAG Impatiens Dazzler Salmon 100/100 Pixie Tag</t>
  </si>
  <si>
    <t>0611835484100</t>
  </si>
  <si>
    <t>TAG Impatiens Dazzler Salmon Splash 100/100 Pixie Tag</t>
  </si>
  <si>
    <t>0611835485100</t>
  </si>
  <si>
    <t>TAG Impatiens Dazzler Scarlet 100/100 Pixie Tag</t>
  </si>
  <si>
    <t>0611835486100</t>
  </si>
  <si>
    <t>TAG Impatiens Dazzler Select Mix 100/100 Pixie Tag</t>
  </si>
  <si>
    <t>0611835487100</t>
  </si>
  <si>
    <t>TAG Impatiens Dazzler Star Red 100/100 Pixie Tag</t>
  </si>
  <si>
    <t>0611835489100</t>
  </si>
  <si>
    <t>TAG Impatiens Dazzler Violet 100/100 Pixie Tag</t>
  </si>
  <si>
    <t>0611835490100</t>
  </si>
  <si>
    <t>TAG Impatiens Dazzler White 100/100 Pixie Tag</t>
  </si>
  <si>
    <t>0611835492100</t>
  </si>
  <si>
    <t>TAG Impatiens Divine Blue Pearl 100/100 Pixie Tag</t>
  </si>
  <si>
    <t>0611835493100</t>
  </si>
  <si>
    <t>TAG Impatiens Divine Cherry Red 100/100 Pixie Tag</t>
  </si>
  <si>
    <t>0611835496100</t>
  </si>
  <si>
    <t>TAG Impatiens Divine Lavender 100/100 Pixie Tag</t>
  </si>
  <si>
    <t>0611835497100</t>
  </si>
  <si>
    <t>TAG Impatiens Divine Lipstick 100/100 Pixie Tag</t>
  </si>
  <si>
    <t>0611835498100</t>
  </si>
  <si>
    <t>TAG Impatiens Divine Mix 100/100 Pixie Tag</t>
  </si>
  <si>
    <t>0611835499100</t>
  </si>
  <si>
    <t>TAG Impatiens Divine Mystic Mix 100/100 Pixie Tag</t>
  </si>
  <si>
    <t>0611835500100</t>
  </si>
  <si>
    <t>TAG Impatiens Divine Orange 100/100 Pixie Tag</t>
  </si>
  <si>
    <t>0611835502100</t>
  </si>
  <si>
    <t>TAG Impatiens Divine Orange Bronze Leaf 100/100 Pixie Tag</t>
  </si>
  <si>
    <t>0611835501100</t>
  </si>
  <si>
    <t>TAG Impatiens Divine Orchid 100/100 Pixie Tag</t>
  </si>
  <si>
    <t>0611835503100</t>
  </si>
  <si>
    <t>TAG Impatiens Divine Pink 100/100 Pixie Tag</t>
  </si>
  <si>
    <t>0611835504100</t>
  </si>
  <si>
    <t>TAG Impatiens Divine Red 100/100 Pixie Tag</t>
  </si>
  <si>
    <t>0611835505100</t>
  </si>
  <si>
    <t>TAG Impatiens Divine Salsa Mix 100/100 Pixie Tag</t>
  </si>
  <si>
    <t>0611835507100</t>
  </si>
  <si>
    <t>TAG Impatiens Divine Scarlet Red 100/100 Pixie Tag</t>
  </si>
  <si>
    <t>0611835508100</t>
  </si>
  <si>
    <t>TAG Impatiens Divine Series 100/100 Pixie Tag</t>
  </si>
  <si>
    <t>0611835509100</t>
  </si>
  <si>
    <t>TAG Impatiens Divine Violet 100/100 Pixie Tag</t>
  </si>
  <si>
    <t>0611835511100</t>
  </si>
  <si>
    <t>TAG Impatiens Divine White 100/100 Pixie Tag</t>
  </si>
  <si>
    <t>0611835513100</t>
  </si>
  <si>
    <t>TAG Impatiens Double GENERIC 100/100 Hang Tag</t>
  </si>
  <si>
    <t>0611835491100</t>
  </si>
  <si>
    <t>TAG Impatiens Double GENERIC Bilingual 100/100 Pixie Tag</t>
  </si>
  <si>
    <t>0611835515100</t>
  </si>
  <si>
    <t>TAG Impatiens Double Lavender GENERIC 100/100 Pixie Tag</t>
  </si>
  <si>
    <t>0611835516100</t>
  </si>
  <si>
    <t>TAG Impatiens Double Orange GENERIC 100/100 Pixie Tag</t>
  </si>
  <si>
    <t>0611835517100</t>
  </si>
  <si>
    <t>TAG Impatiens Double Pink GENERIC 100/100 Pixie Tag</t>
  </si>
  <si>
    <t>0611835518100</t>
  </si>
  <si>
    <t>TAG Impatiens Double Purple GENERIC 100/100 Pixie Tag</t>
  </si>
  <si>
    <t>0611835520100</t>
  </si>
  <si>
    <t>TAG Impatiens Double Red And White GENERIC 100/100 Pixie Tag</t>
  </si>
  <si>
    <t>0611835519100</t>
  </si>
  <si>
    <t>TAG Impatiens Double Red GENERIC 100/100 Pixie Tag</t>
  </si>
  <si>
    <t>0611835521100</t>
  </si>
  <si>
    <t>TAG Impatiens Double Rose GENERIC 100/100 Pixie Tag</t>
  </si>
  <si>
    <t>0611835522100</t>
  </si>
  <si>
    <t>TAG Impatiens Double Salmon GENERIC 100/100 Pixie Tag</t>
  </si>
  <si>
    <t>0611835523100</t>
  </si>
  <si>
    <t>TAG Impatiens Double White GENERIC 100/100 Pixie Tag</t>
  </si>
  <si>
    <t>0611835530100</t>
  </si>
  <si>
    <t>TAG Impatiens Florific Lavender 100/100 Pixie Tag SF</t>
  </si>
  <si>
    <t>0611835531100</t>
  </si>
  <si>
    <t>TAG Impatiens Florific Mix 100/100 Pixie Tag SF</t>
  </si>
  <si>
    <t>0611835532100</t>
  </si>
  <si>
    <t>TAG Impatiens Florific Red 100/100 Pixie Tag SF</t>
  </si>
  <si>
    <t>0611835533100</t>
  </si>
  <si>
    <t>TAG Impatiens Florific Sweet Orange 100/100 Pixie Tag SF</t>
  </si>
  <si>
    <t>0611835534100</t>
  </si>
  <si>
    <t>TAG Impatiens Florific Violet 100/100 Pixie Tag SF</t>
  </si>
  <si>
    <t>0611835535100</t>
  </si>
  <si>
    <t>TAG Impatiens Florific White 100/100 Pixie Tag SF</t>
  </si>
  <si>
    <t>0611835618100</t>
  </si>
  <si>
    <t>TAG Impatiens GENERIC 100/100 Hang Tag</t>
  </si>
  <si>
    <t>0611835619025</t>
  </si>
  <si>
    <t>TAG Impatiens GENERIC 25/25 Portrait Tag</t>
  </si>
  <si>
    <t>0611835537100</t>
  </si>
  <si>
    <t>TAG Impatiens GENERIC Bilingual 100/100 Pixie Tag</t>
  </si>
  <si>
    <t>0611835540100</t>
  </si>
  <si>
    <t>TAG Impatiens Harmony Apricot Cream 100/100 Pixie Tag</t>
  </si>
  <si>
    <t>0611835541100</t>
  </si>
  <si>
    <t>TAG Impatiens Harmony Bicolor Red 100/100 Pixie Tag</t>
  </si>
  <si>
    <t>0611835542100</t>
  </si>
  <si>
    <t>TAG Impatiens Harmony Blush 100/100 Pixie Tag</t>
  </si>
  <si>
    <t>0611835543100</t>
  </si>
  <si>
    <t>TAG Impatiens Harmony Bold Red 100/100 Pixie Tag</t>
  </si>
  <si>
    <t>0611835545100</t>
  </si>
  <si>
    <t>TAG Impatiens Harmony Bubblegum 100/100 Pixie Tag</t>
  </si>
  <si>
    <t>0611835546100</t>
  </si>
  <si>
    <t>TAG Impatiens Harmony Candy Cream 100/100 Pixie Tag</t>
  </si>
  <si>
    <t>0611856994100</t>
  </si>
  <si>
    <t>TAG Impatiens Harmony Colorfall Dark Leaf Red 100/100 Pixie Tag</t>
  </si>
  <si>
    <t>0611835592100</t>
  </si>
  <si>
    <t>TAG Impatiens Harmony Colorfall Fuchsia 100/100 Pixie Tag</t>
  </si>
  <si>
    <t>0611835593100</t>
  </si>
  <si>
    <t>TAG Impatiens Harmony Colorfall Light Coral 100/100 Pixie Tag</t>
  </si>
  <si>
    <t>0611835594100</t>
  </si>
  <si>
    <t>TAG Impatiens Harmony Colorfall Neon Red 100/100 Pixie Tag</t>
  </si>
  <si>
    <t>0611835547100</t>
  </si>
  <si>
    <t>TAG Impatiens Harmony Colorfall Orange 100/100 Pixie Tag</t>
  </si>
  <si>
    <t>0611835595100</t>
  </si>
  <si>
    <t>TAG Impatiens Harmony Colorfall Passion 100/100 Pixie Tag</t>
  </si>
  <si>
    <t>0611835548100</t>
  </si>
  <si>
    <t>TAG Impatiens Harmony Colorfall Pink 100/100 Pixie Tag</t>
  </si>
  <si>
    <t>0611835549100</t>
  </si>
  <si>
    <t>TAG Impatiens Harmony Colorfall White 100/100 Pixie Tag</t>
  </si>
  <si>
    <t>0611835550100</t>
  </si>
  <si>
    <t>TAG Impatiens Harmony Dark Lavender 100/100 Pixie Tag</t>
  </si>
  <si>
    <t>0611835551100</t>
  </si>
  <si>
    <t>TAG Impatiens Harmony Dark Lilac 100/100 Pixie Tag</t>
  </si>
  <si>
    <t>0611835552100</t>
  </si>
  <si>
    <t>TAG Impatiens Harmony Dark Pink 100/100 Pixie Tag</t>
  </si>
  <si>
    <t>0611835553100</t>
  </si>
  <si>
    <t>TAG Impatiens Harmony Dark Red 100/100 Pixie Tag</t>
  </si>
  <si>
    <t>0611835554100</t>
  </si>
  <si>
    <t>TAG Impatiens Harmony Dark Violet 100/100 Pixie Tag</t>
  </si>
  <si>
    <t>0611835555100</t>
  </si>
  <si>
    <t>TAG Impatiens Harmony Deep Magenta 100/100 Pixie Tag</t>
  </si>
  <si>
    <t>0611835556100</t>
  </si>
  <si>
    <t>TAG Impatiens Harmony Deep Red 100/100 Pixie Tag</t>
  </si>
  <si>
    <t>0611835557100</t>
  </si>
  <si>
    <t>TAG Impatiens Harmony Deep Salmon 100/100 Pixie Tag</t>
  </si>
  <si>
    <t>0611835558100</t>
  </si>
  <si>
    <t>TAG Impatiens Harmony Fire 100/100 Pixie Tag</t>
  </si>
  <si>
    <t>0611835559100</t>
  </si>
  <si>
    <t>TAG Impatiens Harmony Fuchsia Cream 100/100 Pixie Tag</t>
  </si>
  <si>
    <t>0611835560100</t>
  </si>
  <si>
    <t>TAG Impatiens Harmony Magenta 100/100 Pixie Tag</t>
  </si>
  <si>
    <t>0611835561100</t>
  </si>
  <si>
    <t>TAG Impatiens Harmony Marshmallow Cream 100/100 Pixie Tag</t>
  </si>
  <si>
    <t>0611835562100</t>
  </si>
  <si>
    <t>TAG Impatiens Harmony Orange 100/100 Pixie Tag</t>
  </si>
  <si>
    <t>0611835563100</t>
  </si>
  <si>
    <t>TAG Impatiens Harmony Orange Blaze 100/100 Pixie Tag</t>
  </si>
  <si>
    <t>0611835564100</t>
  </si>
  <si>
    <t>TAG Impatiens Harmony Orange Star 100/100 Pixie Tag</t>
  </si>
  <si>
    <t>0611835565100</t>
  </si>
  <si>
    <t>TAG Impatiens Harmony Pastel Lavender 100/100 Pixie Tag</t>
  </si>
  <si>
    <t>0611835566100</t>
  </si>
  <si>
    <t>TAG Impatiens Harmony Perfect Pink 100/100 Pixie Tag</t>
  </si>
  <si>
    <t>0611835567100</t>
  </si>
  <si>
    <t>TAG Impatiens Harmony Pink Cream 100/100 Pixie Tag</t>
  </si>
  <si>
    <t>0611835568100</t>
  </si>
  <si>
    <t>TAG Impatiens Harmony Pink Smile 100/100 Pixie Tag</t>
  </si>
  <si>
    <t>0611835570100</t>
  </si>
  <si>
    <t>TAG Impatiens Harmony Purple Cream 100/100 Pixie Tag</t>
  </si>
  <si>
    <t>0611835571100</t>
  </si>
  <si>
    <t>TAG Impatiens Harmony Radiance Hot Pink 100/100 Pixie Tag</t>
  </si>
  <si>
    <t>0611835572100</t>
  </si>
  <si>
    <t>TAG Impatiens Harmony Radiance Lilac 100/100 Pixie Tag</t>
  </si>
  <si>
    <t>0611835573100</t>
  </si>
  <si>
    <t>TAG Impatiens Harmony Radiance Magenta 100/100 Pixie Tag</t>
  </si>
  <si>
    <t>0611835575100</t>
  </si>
  <si>
    <t>TAG Impatiens Harmony Radiance Scarlet 100/100 Pixie Tag</t>
  </si>
  <si>
    <t>0611835576100</t>
  </si>
  <si>
    <t>TAG Impatiens Harmony Raspberry Cream 100/100 Pixie Tag</t>
  </si>
  <si>
    <t>0611835578100</t>
  </si>
  <si>
    <t>TAG Impatiens Harmony Red Cardinal 100/100 Pixie Tag</t>
  </si>
  <si>
    <t>0611835579100</t>
  </si>
  <si>
    <t>TAG Impatiens Harmony Salmon Cream 100/100 Pixie Tag</t>
  </si>
  <si>
    <t>0611835580100</t>
  </si>
  <si>
    <t>TAG Impatiens Harmony Series 100/100 Pixie Tag</t>
  </si>
  <si>
    <t>0611835581100</t>
  </si>
  <si>
    <t>TAG Impatiens Harmony Snow 100/100 Pixie Tag</t>
  </si>
  <si>
    <t>0611835585100</t>
  </si>
  <si>
    <t>TAG Impatiens Harmony Sweetheart Rose 100/100 Pixie Tag</t>
  </si>
  <si>
    <t>0611835586100</t>
  </si>
  <si>
    <t>TAG Impatiens Harmony Tangerine 100/100 Pixie Tag</t>
  </si>
  <si>
    <t>0611835587100</t>
  </si>
  <si>
    <t>TAG Impatiens Harmony Violet 100/100 Pixie Tag</t>
  </si>
  <si>
    <t>0611835588100</t>
  </si>
  <si>
    <t>TAG Impatiens Harmony White 100/100 Pixie Tag</t>
  </si>
  <si>
    <t>0611835596100</t>
  </si>
  <si>
    <t>TAG Impatiens Imara XDR Hot Mix 100/100 Pixie Tag SF</t>
  </si>
  <si>
    <t>0611835597100</t>
  </si>
  <si>
    <t>TAG Impatiens Imara XDR Mix 100/100 Pixie Tag SF</t>
  </si>
  <si>
    <t>0611835599100</t>
  </si>
  <si>
    <t>TAG Impatiens Imara XDR Orange 100/100 Pixie Tag SF</t>
  </si>
  <si>
    <t>0611835598100</t>
  </si>
  <si>
    <t>TAG Impatiens Imara XDR Orange Star 100/100 Pixie Tag SF</t>
  </si>
  <si>
    <t>0611835600100</t>
  </si>
  <si>
    <t>TAG Impatiens Imara XDR Pastel Mix 100/100 Pixie Tag SF</t>
  </si>
  <si>
    <t>0611835601100</t>
  </si>
  <si>
    <t>TAG Impatiens Imara XDR Pink 100/100 Pixie Tag SF</t>
  </si>
  <si>
    <t>0611835602100</t>
  </si>
  <si>
    <t>TAG Impatiens Imara XDR Purple 100/100 Pixie Tag SF</t>
  </si>
  <si>
    <t>0611835604100</t>
  </si>
  <si>
    <t>TAG Impatiens Imara XDR Red 100/100 Pixie Tag SF</t>
  </si>
  <si>
    <t>0611835603100</t>
  </si>
  <si>
    <t>TAG Impatiens Imara XDR Red Star 100/100 Pixie Tag SF</t>
  </si>
  <si>
    <t>0611835605100</t>
  </si>
  <si>
    <t>TAG Impatiens Imara XDR Rose 100/100 Pixie Tag SF</t>
  </si>
  <si>
    <t>0611835606100</t>
  </si>
  <si>
    <t>TAG Impatiens Imara XDR Rosy Mix 100/100 Pixie Tag SF</t>
  </si>
  <si>
    <t>0611835607100</t>
  </si>
  <si>
    <t>TAG Impatiens Imara XDR Salmon Shades 100/100 Pixie Tag SF</t>
  </si>
  <si>
    <t>0611835608100</t>
  </si>
  <si>
    <t>TAG Impatiens Imara XDR Tango Mix 100/100 Pixie Tag SF</t>
  </si>
  <si>
    <t>0611835609100</t>
  </si>
  <si>
    <t>TAG Impatiens Imara XDR Violet 100/100 Pixie Tag SF</t>
  </si>
  <si>
    <t>0611835610100</t>
  </si>
  <si>
    <t>TAG Impatiens Imara XDR White 100/100 Pixie Tag SF</t>
  </si>
  <si>
    <t>0611835620100</t>
  </si>
  <si>
    <t>TAG Impatiens Impreza Blue Pearl 100/100 Pixie Tag</t>
  </si>
  <si>
    <t>0611835621100</t>
  </si>
  <si>
    <t>TAG Impatiens Impreza Cherry Splash 100/100 Pixie Tag</t>
  </si>
  <si>
    <t>0611835623100</t>
  </si>
  <si>
    <t>TAG Impatiens Impreza Mix 100/100 Pixie Tag</t>
  </si>
  <si>
    <t>0611835624100</t>
  </si>
  <si>
    <t>TAG Impatiens Impreza Passion Mix 100/100 Pixie Tag</t>
  </si>
  <si>
    <t>0611835625100</t>
  </si>
  <si>
    <t>TAG Impatiens Impreza Pink 100/100 Pixie Tag</t>
  </si>
  <si>
    <t>0611835626100</t>
  </si>
  <si>
    <t>TAG Impatiens Impreza Punch 100/100 Pixie Tag</t>
  </si>
  <si>
    <t>0611835627100</t>
  </si>
  <si>
    <t>TAG Impatiens Impreza Red 100/100 Pixie Tag</t>
  </si>
  <si>
    <t>0611835628100</t>
  </si>
  <si>
    <t>TAG Impatiens Impreza Red White Mix 100/100 Pixie Tag</t>
  </si>
  <si>
    <t>0611835629100</t>
  </si>
  <si>
    <t>TAG Impatiens Impreza Rose 100/100 Pixie Tag</t>
  </si>
  <si>
    <t>0611835630100</t>
  </si>
  <si>
    <t>TAG Impatiens Impreza Salmon 100/100 Pixie Tag</t>
  </si>
  <si>
    <t>0611835632100</t>
  </si>
  <si>
    <t>TAG Impatiens Impreza Violet 100/100 Pixie Tag</t>
  </si>
  <si>
    <t>0611835633100</t>
  </si>
  <si>
    <t>TAG Impatiens Impreza Wedgewood Mix 100/100 Pixie Tag</t>
  </si>
  <si>
    <t>0611835634100</t>
  </si>
  <si>
    <t>TAG Impatiens Impreza White 100/100 Pixie Tag</t>
  </si>
  <si>
    <t>0611835611100</t>
  </si>
  <si>
    <t>TAG Impatiens Improved Mix 100/100 Pixie Tag</t>
  </si>
  <si>
    <t>0611835612100</t>
  </si>
  <si>
    <t>TAG Impatiens Improved Orange 100/100 Pixie Tag</t>
  </si>
  <si>
    <t>0611835613100</t>
  </si>
  <si>
    <t>TAG Impatiens Improved Pink 100/100 Pixie Tag</t>
  </si>
  <si>
    <t>0611835614100</t>
  </si>
  <si>
    <t>TAG Impatiens Improved Red 100/100 Pixie Tag</t>
  </si>
  <si>
    <t>0611835615100</t>
  </si>
  <si>
    <t>TAG Impatiens Improved Salmon 100/100 Pixie Tag</t>
  </si>
  <si>
    <t>0611835616100</t>
  </si>
  <si>
    <t>TAG Impatiens Improved Violet 100/100 Pixie Tag</t>
  </si>
  <si>
    <t>0611835617100</t>
  </si>
  <si>
    <t>TAG Impatiens Improved White 100/100 Pixie Tag</t>
  </si>
  <si>
    <t>0611835635100</t>
  </si>
  <si>
    <t>TAG Impatiens Lavender GENERIC Bilingual 100/100 Pixie Tag</t>
  </si>
  <si>
    <t>0611835637100</t>
  </si>
  <si>
    <t>TAG Impatiens Lilac GENERIC Bilingual 100/100 Pixie Tag</t>
  </si>
  <si>
    <t>0611835636100</t>
  </si>
  <si>
    <t>TAG Impatiens Lipstick Bilingual 100/100 Pixie Tag</t>
  </si>
  <si>
    <t>0611856995100</t>
  </si>
  <si>
    <t>TAG Impatiens Lollipop Series 100/100 Pixie Tag</t>
  </si>
  <si>
    <t>0611862598050</t>
  </si>
  <si>
    <t>TAG Impatiens Magnum Blue 50/50 Petite Portrait DO FUL</t>
  </si>
  <si>
    <t>0611862599050</t>
  </si>
  <si>
    <t>TAG Impatiens Magnum Bright Purple 50/50 Petite Portrait DO FUL</t>
  </si>
  <si>
    <t>0611862600050</t>
  </si>
  <si>
    <t>TAG Impatiens Magnum Clear Pink 50/50 Petite Portrait DO FUL</t>
  </si>
  <si>
    <t>0611862601050</t>
  </si>
  <si>
    <t>TAG Impatiens Magnum Clear White 50/50 Petite Portrait DO FUL</t>
  </si>
  <si>
    <t>0611862602050</t>
  </si>
  <si>
    <t>TAG Impatiens Magnum Fire 50/50 Petite Portrait DO FUL</t>
  </si>
  <si>
    <t>0611862603050</t>
  </si>
  <si>
    <t>TAG Impatiens Magnum Hot Pink 50/50 Petite Portrait DO FUL</t>
  </si>
  <si>
    <t>0611862604050</t>
  </si>
  <si>
    <t>TAG Impatiens Magnum Lavender 50/50 Petite Portrait DO FUL</t>
  </si>
  <si>
    <t>0611862605050</t>
  </si>
  <si>
    <t>TAG Impatiens Magnum Lavender Splash 50/50 Petite Portrait DO FUL</t>
  </si>
  <si>
    <t>0611862606050</t>
  </si>
  <si>
    <t>TAG Impatiens Magnum Light Lavender 50/50 Petite Portrait DO FUL</t>
  </si>
  <si>
    <t>0611862607050</t>
  </si>
  <si>
    <t>TAG Impatiens Magnum Magenta 50/50 Petite Portrait DO FUL</t>
  </si>
  <si>
    <t>0611862608050</t>
  </si>
  <si>
    <t>TAG Impatiens Magnum Midnight Orchid 50/50 Petite Portrait DO FUL</t>
  </si>
  <si>
    <t>0611862609050</t>
  </si>
  <si>
    <t>TAG Impatiens Magnum Orange 50/50 Petite Portrait DO FUL</t>
  </si>
  <si>
    <t>0611862610050</t>
  </si>
  <si>
    <t>TAG Impatiens Magnum Pink 50/50 Petite Portrait DO FUL</t>
  </si>
  <si>
    <t>0611862611050</t>
  </si>
  <si>
    <t>TAG Impatiens Magnum Purple 50/50 Petite Portrait DO FUL</t>
  </si>
  <si>
    <t>0611862612050</t>
  </si>
  <si>
    <t>TAG Impatiens Magnum Red 50/50 Petite Portrait DO FUL</t>
  </si>
  <si>
    <t>0611862613050</t>
  </si>
  <si>
    <t>TAG Impatiens Magnum Red Flame 50/50 Petite Portrait DO FUL</t>
  </si>
  <si>
    <t>0611884259050</t>
  </si>
  <si>
    <t>TAG Impatiens Magnum Rose Star 50/50 Petite Portrait DO FUL</t>
  </si>
  <si>
    <t>0611862614050</t>
  </si>
  <si>
    <t>TAG Impatiens Magnum Salmon 50/50 Petite Portrait DO FUL</t>
  </si>
  <si>
    <t>0611862615050</t>
  </si>
  <si>
    <t>TAG Impatiens Magnum White 50/50 Petite Portrait DO FUL</t>
  </si>
  <si>
    <t>0611862616050</t>
  </si>
  <si>
    <t>TAG Impatiens Magnum White Blush 50/50 Petite Portrait DO FUL</t>
  </si>
  <si>
    <t>0611862617050</t>
  </si>
  <si>
    <t>TAG Impatiens Magnum Wild Salmon 50/50 Petite Portrait DO FUL</t>
  </si>
  <si>
    <t>0611862618050</t>
  </si>
  <si>
    <t>TAG Impatiens Magnum XL Orange 50/50 Petite Portrait DO FUL</t>
  </si>
  <si>
    <t>0611862619050</t>
  </si>
  <si>
    <t>TAG Impatiens Magnum XL Salmon 50/50 Petite Portrait DO FUL</t>
  </si>
  <si>
    <t>0611862620050</t>
  </si>
  <si>
    <t>TAG Impatiens MegaGuinea Orange 50/50 Petite Portrait DO FUL</t>
  </si>
  <si>
    <t>0611862621050</t>
  </si>
  <si>
    <t>TAG Impatiens MegaGuinea Pink 50/50 Petite Portrait DO FUL</t>
  </si>
  <si>
    <t>0611862622050</t>
  </si>
  <si>
    <t>TAG Impatiens MegaGuinea Purple 50/50 Petite Portrait DO FUL</t>
  </si>
  <si>
    <t>0611862623050</t>
  </si>
  <si>
    <t>TAG Impatiens MegaGuinea White Blush 50/50 Petite Portrait DO FUL</t>
  </si>
  <si>
    <t>0611835650100</t>
  </si>
  <si>
    <t>TAG Impatiens Musica Bicolor Cherry 100/100 Pixie Tag</t>
  </si>
  <si>
    <t>0611835651100</t>
  </si>
  <si>
    <t>TAG Impatiens Musica Bicolor Dark Red 100/100 Pixie Tag</t>
  </si>
  <si>
    <t>0611835652100</t>
  </si>
  <si>
    <t>TAG Impatiens Musica Bicolor Pink 100/100 Pixie Tag</t>
  </si>
  <si>
    <t>0611835653100</t>
  </si>
  <si>
    <t>TAG Impatiens Musica Electric Purple 100/100 Pixie Tag</t>
  </si>
  <si>
    <t>0611835654100</t>
  </si>
  <si>
    <t>TAG Impatiens Musica Elegant Red 100/100 Pixie Tag</t>
  </si>
  <si>
    <t>0611835655100</t>
  </si>
  <si>
    <t>TAG Impatiens Musica Fine Purple 100/100 Pixie Tag</t>
  </si>
  <si>
    <t>0611835656100</t>
  </si>
  <si>
    <t>TAG Impatiens Musica Lavender 100/100 Pixie Tag</t>
  </si>
  <si>
    <t>0611835657100</t>
  </si>
  <si>
    <t>TAG Impatiens Musica Orange 100/100 Pixie Tag</t>
  </si>
  <si>
    <t>0611835658100</t>
  </si>
  <si>
    <t>TAG Impatiens Musica Pink Aroma 100/100 Pixie Tag</t>
  </si>
  <si>
    <t>0611835660100</t>
  </si>
  <si>
    <t>TAG Impatiens Musica Pure White 100/100 Pixie Tag</t>
  </si>
  <si>
    <t>0611835539100</t>
  </si>
  <si>
    <t>TAG Impatiens New Guinea GENERIC 100/100 Hang Tag</t>
  </si>
  <si>
    <t>0611835538100</t>
  </si>
  <si>
    <t>TAG Impatiens New Guinea GENERIC Bilingual 100/100 Pixie Tag</t>
  </si>
  <si>
    <t>0611835662100</t>
  </si>
  <si>
    <t>TAG Impatiens Orange GENERIC Bilingual 100/100 Pixie Tag</t>
  </si>
  <si>
    <t>0611835664100</t>
  </si>
  <si>
    <t>TAG Impatiens Painted Paradise Lilac 100/100 Pixie Tag</t>
  </si>
  <si>
    <t>0611862624050</t>
  </si>
  <si>
    <t>TAG Impatiens Painted Paradise Lilac 50/50 Petite Portrait FUL</t>
  </si>
  <si>
    <t>0611835665100</t>
  </si>
  <si>
    <t>TAG Impatiens Painted Paradise Orange 100/100 Pixie Tag</t>
  </si>
  <si>
    <t>0611862625050</t>
  </si>
  <si>
    <t>TAG Impatiens Painted Paradise Orange 50/50 Petite Portrait FUL</t>
  </si>
  <si>
    <t>0611835666100</t>
  </si>
  <si>
    <t>TAG Impatiens Painted Paradise Red 100/100 Pixie Tag</t>
  </si>
  <si>
    <t>0611862626050</t>
  </si>
  <si>
    <t>TAG Impatiens Painted Paradise Red 50/50 Petite Portrait FUL</t>
  </si>
  <si>
    <t>0611835667100</t>
  </si>
  <si>
    <t>TAG Impatiens Painted Paradise White 100/100 Pixie Tag</t>
  </si>
  <si>
    <t>0611835668100</t>
  </si>
  <si>
    <t>TAG Impatiens Painted Paradise Wine 100/100 Pixie Tag</t>
  </si>
  <si>
    <t>0611862627050</t>
  </si>
  <si>
    <t>TAG Impatiens Painted Paradise Wine 50/50 Petite Portrait FUL</t>
  </si>
  <si>
    <t>0611835670100</t>
  </si>
  <si>
    <t>TAG Impatiens Paradise Bicolor Red 100/100 Pixie Tag</t>
  </si>
  <si>
    <t>0611862628050</t>
  </si>
  <si>
    <t>TAG Impatiens Paradise Blush White 50/50 Petite Portrait FUL</t>
  </si>
  <si>
    <t>0611835672100</t>
  </si>
  <si>
    <t>TAG Impatiens Paradise Bright Pink 100/100 Pixie Tag</t>
  </si>
  <si>
    <t>0611862629050</t>
  </si>
  <si>
    <t>TAG Impatiens Paradise Bright Red 50/50 Petite Portrait FUL</t>
  </si>
  <si>
    <t>0611835673100</t>
  </si>
  <si>
    <t>TAG Impatiens Paradise Cabano White 100/100 Pixie Tag</t>
  </si>
  <si>
    <t>0611862630050</t>
  </si>
  <si>
    <t>TAG Impatiens Paradise Carmine Red 50/50 Petite Portrait FUL</t>
  </si>
  <si>
    <t>0611835674100</t>
  </si>
  <si>
    <t>TAG Impatiens Paradise Carmona 100/100 Pixie Tag</t>
  </si>
  <si>
    <t>0611862631050</t>
  </si>
  <si>
    <t>TAG Impatiens Paradise Cherry Rose 50/50 Petite Portrait FUL</t>
  </si>
  <si>
    <t>0611835675100</t>
  </si>
  <si>
    <t>TAG Impatiens Paradise Dark Salmon Eye 100/100 Pixie Tag</t>
  </si>
  <si>
    <t>0611862632050</t>
  </si>
  <si>
    <t>TAG Impatiens Paradise Deep Pink 50/50 Petite Portrait FUL</t>
  </si>
  <si>
    <t>0611835676100</t>
  </si>
  <si>
    <t>TAG Impatiens Paradise Electirc Orange 100/100 Pixie Tag</t>
  </si>
  <si>
    <t>0611862633050</t>
  </si>
  <si>
    <t>TAG Impatiens Paradise Electric Orange 50/50 Petite Portrait FUL</t>
  </si>
  <si>
    <t>0611862634050</t>
  </si>
  <si>
    <t>TAG Impatiens Paradise Fuchsia 50/50 Petite Portrait FUL</t>
  </si>
  <si>
    <t>0611862635050</t>
  </si>
  <si>
    <t>TAG Impatiens Paradise Fuchsia Lavender 50/50 Petite Portrait FUL</t>
  </si>
  <si>
    <t>0611862636050</t>
  </si>
  <si>
    <t>TAG Impatiens Paradise Jaco 50/50 Petite Portrait FUL</t>
  </si>
  <si>
    <t>0611862637050</t>
  </si>
  <si>
    <t>TAG Impatiens Paradise Light Lavender 50/50 Petite Portrait FUL</t>
  </si>
  <si>
    <t>0611835679100</t>
  </si>
  <si>
    <t>TAG Impatiens Paradise Light Pink 100/100 Pixie Tag</t>
  </si>
  <si>
    <t>0611862638050</t>
  </si>
  <si>
    <t>TAG Impatiens Paradise Light Pink 50/50 Petite Portrait FUL</t>
  </si>
  <si>
    <t>0611835680100</t>
  </si>
  <si>
    <t>TAG Impatiens Paradise Light Pink Magenta Eye 100/100 Pixie Tag</t>
  </si>
  <si>
    <t>0611835681100</t>
  </si>
  <si>
    <t>TAG Impatiens Paradise Light Rose 100/100 Pixie Tag</t>
  </si>
  <si>
    <t>0611862639050</t>
  </si>
  <si>
    <t>TAG Impatiens Paradise Magenta Pink 50/50 Petite Portrait FUL</t>
  </si>
  <si>
    <t>0611862640050</t>
  </si>
  <si>
    <t>TAG Impatiens Paradise Mango Orange 50/50 Petite Portrait FUL</t>
  </si>
  <si>
    <t>0611862641050</t>
  </si>
  <si>
    <t>TAG Impatiens Paradise New Red 50/50 Petite Portrait FUL</t>
  </si>
  <si>
    <t>0611862642050</t>
  </si>
  <si>
    <t>TAG Impatiens Paradise Orange White 50/50 Petite Portrait FUL</t>
  </si>
  <si>
    <t>0611862643050</t>
  </si>
  <si>
    <t>TAG Impatiens Paradise Orchid 50/50 Petite Portrait FUL</t>
  </si>
  <si>
    <t>0611862644050</t>
  </si>
  <si>
    <t>TAG Impatiens Paradise Pearl White 50/50 Petite Portrait FUL</t>
  </si>
  <si>
    <t>0611835683100</t>
  </si>
  <si>
    <t>TAG Impatiens Paradise Red 100/100 Pixie Tag</t>
  </si>
  <si>
    <t>0611862645050</t>
  </si>
  <si>
    <t>TAG Impatiens Paradise Rococo Apricot 50/50 Petite Portrait FUL</t>
  </si>
  <si>
    <t>0611862646050</t>
  </si>
  <si>
    <t>TAG Impatiens Paradise Rococo Cherry 50/50 Petite Portrait FUL</t>
  </si>
  <si>
    <t>0611862647050</t>
  </si>
  <si>
    <t>TAG Impatiens Paradise Rococo Orange 50/50 Petite Portrait FUL</t>
  </si>
  <si>
    <t>0611862648050</t>
  </si>
  <si>
    <t>TAG Impatiens Paradise Rococo Pink 50/50 Petite Portrait FUL</t>
  </si>
  <si>
    <t>0611862649050</t>
  </si>
  <si>
    <t>TAG Impatiens Paradise Rococo Purple 50/50 Petite Portrait FUL</t>
  </si>
  <si>
    <t>0611862651050</t>
  </si>
  <si>
    <t>TAG Impatiens Paradise Salmon 50/50 Petite Portrait FUL</t>
  </si>
  <si>
    <t>0611835686100</t>
  </si>
  <si>
    <t>TAG Impatiens Paradise Series 100/100 Pixie Tag</t>
  </si>
  <si>
    <t>0611835688100</t>
  </si>
  <si>
    <t>TAG Impatiens Paradise Violet 100/100 Pixie Tag</t>
  </si>
  <si>
    <t>0611862652050</t>
  </si>
  <si>
    <t>TAG Impatiens Paradise White 50/50 Petite Portrait FUL</t>
  </si>
  <si>
    <t>0611835689100</t>
  </si>
  <si>
    <t>TAG Impatiens Pastel Mix GENERIC 100/100 Pixie Tag</t>
  </si>
  <si>
    <t>0611862653050</t>
  </si>
  <si>
    <t>TAG Impatiens Petticoat Aubergine 50/50 Petite Portrait DO FUL</t>
  </si>
  <si>
    <t>0611862654050</t>
  </si>
  <si>
    <t>TAG Impatiens Petticoat Blue 50/50 Petite Portrait DO FUL</t>
  </si>
  <si>
    <t>0611862655050</t>
  </si>
  <si>
    <t>TAG Impatiens Petticoat Blue Star 11 50/50 Petite Portrait DO FUL</t>
  </si>
  <si>
    <t>0611862657050</t>
  </si>
  <si>
    <t>TAG Impatiens Petticoat Cherry Blossom 50/50 Petite Portrait DO FUL</t>
  </si>
  <si>
    <t>0611862656050</t>
  </si>
  <si>
    <t>TAG Impatiens Petticoat Cherry Star 50/50 Petite Portrait DO FUL</t>
  </si>
  <si>
    <t>0611862658050</t>
  </si>
  <si>
    <t>TAG Impatiens Petticoat Fire 50/50 Petite Portrait DO FUL</t>
  </si>
  <si>
    <t>0611862659050</t>
  </si>
  <si>
    <t>TAG Impatiens Petticoat Hot Rose 50/50 Petite Portrait DO FUL</t>
  </si>
  <si>
    <t>0611862660050</t>
  </si>
  <si>
    <t>TAG Impatiens Petticoat Lavender 50/50 Petite Portrait DO FUL</t>
  </si>
  <si>
    <t>0611884260050</t>
  </si>
  <si>
    <t>TAG Impatiens Petticoat Lilac 50/50 Petite Portrait DO FUL</t>
  </si>
  <si>
    <t>0611862661050</t>
  </si>
  <si>
    <t>TAG Impatiens Petticoat Mandarin Star 50/50 Petite Portrait DO FUL</t>
  </si>
  <si>
    <t>0611862663050</t>
  </si>
  <si>
    <t>TAG Impatiens Petticoat Mandarin Star CR3100 50/50 Petite Portrait DO FUL</t>
  </si>
  <si>
    <t>0611862662050</t>
  </si>
  <si>
    <t>TAG Impatiens Petticoat Mango Swirl 50/50 Petite Portrait DO FUL</t>
  </si>
  <si>
    <t>0611862664050</t>
  </si>
  <si>
    <t>TAG Impatiens Petticoat Neon Night 11 50/50 Petite Portrait DO FUL</t>
  </si>
  <si>
    <t>0611862665050</t>
  </si>
  <si>
    <t>TAG Impatiens Petticoat Orange Orchid 50/50 Petite Portrait DO FUL</t>
  </si>
  <si>
    <t>0611862666050</t>
  </si>
  <si>
    <t>TAG Impatiens Petticoat Orange Star 50/50 Petite Portrait DO FUL</t>
  </si>
  <si>
    <t>0611862667050</t>
  </si>
  <si>
    <t>TAG Impatiens Petticoat Orange Swirl 50/50 Petite Portrait DO FUL</t>
  </si>
  <si>
    <t>0611862668050</t>
  </si>
  <si>
    <t>TAG Impatiens Petticoat Pastel Pink 50/50 Petite Portrait DO FUL</t>
  </si>
  <si>
    <t>0611862669050</t>
  </si>
  <si>
    <t>TAG Impatiens Petticoat Pink 50/50 Petite Portrait DO FUL</t>
  </si>
  <si>
    <t>0611884261050</t>
  </si>
  <si>
    <t>TAG Impatiens Petticoat Pink Berry Pie 50/50 Petite Portrait DO FUL</t>
  </si>
  <si>
    <t>0611862670050</t>
  </si>
  <si>
    <t>TAG Impatiens Petticoat Pink Charme 50/50 Petite Portrait DO FUL</t>
  </si>
  <si>
    <t>0611862671050</t>
  </si>
  <si>
    <t>TAG Impatiens Petticoat Pink Eye 50/50 Petite Portrait DO FUL</t>
  </si>
  <si>
    <t>0611862672050</t>
  </si>
  <si>
    <t>TAG Impatiens Petticoat Pink Joy 50/50 Petite Portrait DO FUL</t>
  </si>
  <si>
    <t>0611862674050</t>
  </si>
  <si>
    <t>TAG Impatiens Petticoat Pink Punch 50/50 Petite Portrait DO FUL</t>
  </si>
  <si>
    <t>0611862677050</t>
  </si>
  <si>
    <t>TAG Impatiens Petticoat Purple 50/50 Petite Portrait DO FUL</t>
  </si>
  <si>
    <t>0611862676050</t>
  </si>
  <si>
    <t>TAG Impatiens Petticoat Purple Star 23 50/50 Petite Portrait DO FUL</t>
  </si>
  <si>
    <t>0611862675050</t>
  </si>
  <si>
    <t>TAG Impatiens Petticoat Purple Star 50/50 Petite Portrait DO FUL</t>
  </si>
  <si>
    <t>0611862678050</t>
  </si>
  <si>
    <t>TAG Impatiens Petticoat Red 50/50 Petite Portrait DO FUL</t>
  </si>
  <si>
    <t>0611862679050</t>
  </si>
  <si>
    <t>TAG Impatiens Petticoat Red Flame 50/50 Petite Portrait DO FUL</t>
  </si>
  <si>
    <t>0611862680050</t>
  </si>
  <si>
    <t>TAG Impatiens Petticoat Red Star 50/50 Petite Portrait DO FUL</t>
  </si>
  <si>
    <t>0611862681050</t>
  </si>
  <si>
    <t>TAG Impatiens Petticoat Rose Star 50/50 Petite Portrait DO FUL</t>
  </si>
  <si>
    <t>0611862682050</t>
  </si>
  <si>
    <t>TAG Impatiens Petticoat Salmon Night 50/50 Petite Portrait DO FUL</t>
  </si>
  <si>
    <t>0611862684050</t>
  </si>
  <si>
    <t>TAG Impatiens Petticoat True Red 50/50 Petite Portrait DO FUL</t>
  </si>
  <si>
    <t>0611884262050</t>
  </si>
  <si>
    <t>TAG Impatiens Petticoat Violet Star 50/50 Petite Portrait DO FUL</t>
  </si>
  <si>
    <t>0611862685050</t>
  </si>
  <si>
    <t>TAG Impatiens Petticoat White 11 50/50 Petite Portrait DO FUL</t>
  </si>
  <si>
    <t>0611835690100</t>
  </si>
  <si>
    <t>TAG Impatiens Pink GENERIC Bilingual 100/100 Pixie Tag</t>
  </si>
  <si>
    <t>0611862686050</t>
  </si>
  <si>
    <t>TAG Impatiens Pure Beauty Lavender 50/50 Petite Portrait FUL</t>
  </si>
  <si>
    <t>0611862687050</t>
  </si>
  <si>
    <t>TAG Impatiens Pure Beauty Purple 50/50 Petite Portrait FUL</t>
  </si>
  <si>
    <t>0611862688050</t>
  </si>
  <si>
    <t>TAG Impatiens Pure Beauty Red On Pink 50/50 Petite Portrait FUL</t>
  </si>
  <si>
    <t>0611862689050</t>
  </si>
  <si>
    <t>TAG Impatiens Pure Beauty White 50/50 Petite Portrait FUL</t>
  </si>
  <si>
    <t>0611835691100</t>
  </si>
  <si>
    <t>TAG Impatiens Purple GENERIC Bilingual 100/100 Pixie Tag</t>
  </si>
  <si>
    <t>0611835692100</t>
  </si>
  <si>
    <t>TAG Impatiens Red And White GENERIC Bilingual 100/100 Pixie Tag</t>
  </si>
  <si>
    <t>0611835693100</t>
  </si>
  <si>
    <t>TAG Impatiens Red GENERIC Bilingual 100/100 Pixie Tag</t>
  </si>
  <si>
    <t>0611884263050</t>
  </si>
  <si>
    <t>TAG Impatiens Roller Coaster Dark Coral 50/50 Petite Portrait DO FUL</t>
  </si>
  <si>
    <t>0611884264050</t>
  </si>
  <si>
    <t>TAG Impatiens Roller Coaster Magenta 50/50 Petite Portrait DO FUL</t>
  </si>
  <si>
    <t>0611862690050</t>
  </si>
  <si>
    <t>TAG Impatiens Rollercoaster Cotton Candy 50/50 Petite Portrait DO FUL</t>
  </si>
  <si>
    <t>0611862691050</t>
  </si>
  <si>
    <t>TAG Impatiens Rollercoaster Hot Pink 50/50 Petite Portrait DO FUL</t>
  </si>
  <si>
    <t>0611862692050</t>
  </si>
  <si>
    <t>TAG Impatiens Rollercoaster Orange Ya Shakin' 50/50 Petite Portrait DO FUL</t>
  </si>
  <si>
    <t>0611862693050</t>
  </si>
  <si>
    <t>TAG Impatiens Rollercoaster Red Racer 50/50 Petite Portrait DO FUL</t>
  </si>
  <si>
    <t>0611862694050</t>
  </si>
  <si>
    <t>TAG Impatiens Rollercoaster Tangy Taffy 50/50 Petite Portrait DO FUL</t>
  </si>
  <si>
    <t>0611862695050</t>
  </si>
  <si>
    <t>TAG Impatiens Rollercoaster Valravn Violet 50/50 Petite Portrait DO FUL</t>
  </si>
  <si>
    <t>0611862696050</t>
  </si>
  <si>
    <t>TAG Impatiens Rollercoaster White Lightning 50/50 Petite Portrait DO FUL</t>
  </si>
  <si>
    <t>0611835694100</t>
  </si>
  <si>
    <t>TAG Impatiens Rose GENERIC Bilingual 100/100 Pixie Tag</t>
  </si>
  <si>
    <t>0611835697100</t>
  </si>
  <si>
    <t>TAG Impatiens Salmon GENERIC Bilingual 100/100 Pixie Tag</t>
  </si>
  <si>
    <t>0611862697050</t>
  </si>
  <si>
    <t>TAG Impatiens Silhouette Appleblossom 50/50 Petite Portrait SF FUL</t>
  </si>
  <si>
    <t>0611862698050</t>
  </si>
  <si>
    <t>TAG Impatiens Silhouette Cherry Red 50/50 Petite Portrait SF FUL</t>
  </si>
  <si>
    <t>0611862699050</t>
  </si>
  <si>
    <t>TAG Impatiens Silhouette Purple 50/50 Petite Portrait SF FUL</t>
  </si>
  <si>
    <t>0611862700050</t>
  </si>
  <si>
    <t>TAG Impatiens Silhouette Red 50/50 Petite Portrait SF FUL</t>
  </si>
  <si>
    <t>0611862701050</t>
  </si>
  <si>
    <t>TAG Impatiens Silhouette Red Star 50/50 Petite Portrait SF FUL</t>
  </si>
  <si>
    <t>0611862702050</t>
  </si>
  <si>
    <t>TAG Impatiens Silhouette Rose 50/50 Petite Portrait SF FUL</t>
  </si>
  <si>
    <t>0611862703050</t>
  </si>
  <si>
    <t>TAG Impatiens Silhouette Rose Star 50/50 Petite Portrait SF FUL</t>
  </si>
  <si>
    <t>0611862704050</t>
  </si>
  <si>
    <t>TAG Impatiens Silhouette Salmon 50/50 Petite Portrait SF FUL</t>
  </si>
  <si>
    <t>0611862705050</t>
  </si>
  <si>
    <t>TAG Impatiens Silhouette White 50/50 Petite Portrait SF FUL</t>
  </si>
  <si>
    <t>0611835716100</t>
  </si>
  <si>
    <t>TAG Impatiens Sol Luna Blush 100/100 Pixie Tag</t>
  </si>
  <si>
    <t>0611835717100</t>
  </si>
  <si>
    <t>TAG Impatiens Sol Luna Candy Apple 100/100 Pixie Tag</t>
  </si>
  <si>
    <t>0611835718100</t>
  </si>
  <si>
    <t>TAG Impatiens Sol Luna Dark Lavender 100/100 Pixie Tag</t>
  </si>
  <si>
    <t>0611856996100</t>
  </si>
  <si>
    <t>TAG Impatiens Sol Luna Electric Pink 100/100 Pixie Tag</t>
  </si>
  <si>
    <t>0611835719100</t>
  </si>
  <si>
    <t>TAG Impatiens Sol Luna Lilac 100/100 Pixie Tag</t>
  </si>
  <si>
    <t>0611835720100</t>
  </si>
  <si>
    <t>TAG Impatiens Sol Luna Pink 100/100 Pixie Tag</t>
  </si>
  <si>
    <t>0611856997100</t>
  </si>
  <si>
    <t>TAG Impatiens Sol Luna Red 100/100 Pixie Tag</t>
  </si>
  <si>
    <t>0611835721100</t>
  </si>
  <si>
    <t>TAG Impatiens Sol Luna Tropical Punch 100/100 Pixie Tag</t>
  </si>
  <si>
    <t>0611856998100</t>
  </si>
  <si>
    <t>TAG Impatiens Sol Luna Ultra Violet 100/100 Pixie Tag</t>
  </si>
  <si>
    <t>0611835722100</t>
  </si>
  <si>
    <t>TAG Impatiens Sol Luna White 100/100 Pixie Tag</t>
  </si>
  <si>
    <t>0611856999100</t>
  </si>
  <si>
    <t>TAG Impatiens Solarscape Magenta Bliss 100/100 Pixie Tag</t>
  </si>
  <si>
    <t>0611857000100</t>
  </si>
  <si>
    <t>TAG Impatiens Solarscape Neon Purple 100/100 Pixie Tag</t>
  </si>
  <si>
    <t>0611857001100</t>
  </si>
  <si>
    <t>TAG Impatiens Solarscape Orange Burst 100/100 Pixie Tag</t>
  </si>
  <si>
    <t>0611857002100</t>
  </si>
  <si>
    <t>TAG Impatiens Solarscape White Shimmer 100/100 Pixie Tag</t>
  </si>
  <si>
    <t>0611857003100</t>
  </si>
  <si>
    <t>TAG Impatiens Solarscape XL Salmon Glow 100/100 Pixie Tag</t>
  </si>
  <si>
    <t>0611862739050</t>
  </si>
  <si>
    <t>TAG Impatiens Sonic Amethyst 50/50 Petite Portrait SF FUL</t>
  </si>
  <si>
    <t>0611862740050</t>
  </si>
  <si>
    <t>TAG Impatiens Sonic Bright Pink 50/50 Petite Portrait SF FUL</t>
  </si>
  <si>
    <t>0611862741050</t>
  </si>
  <si>
    <t>TAG Impatiens Sonic Deep Purple 50/50 Petite Portrait SF FUL</t>
  </si>
  <si>
    <t>0611862742050</t>
  </si>
  <si>
    <t>TAG Impatiens Sonic Deep Red 50/50 Petite Portrait SF FUL</t>
  </si>
  <si>
    <t>0611862743050</t>
  </si>
  <si>
    <t>TAG Impatiens Sonic Deep Salmon 50/50 Petite Portrait SF FUL</t>
  </si>
  <si>
    <t>0611862744050</t>
  </si>
  <si>
    <t>TAG Impatiens Sonic Light Lavender 50/50 Petite Portrait SF FUL</t>
  </si>
  <si>
    <t>0611862745050</t>
  </si>
  <si>
    <t>TAG Impatiens Sonic Light Pink 50/50 Petite Portrait SF FUL</t>
  </si>
  <si>
    <t>0611862746050</t>
  </si>
  <si>
    <t>TAG Impatiens Sonic Lilac 50/50 Petite Portrait SF FUL</t>
  </si>
  <si>
    <t>0611862747050</t>
  </si>
  <si>
    <t>TAG Impatiens Sonic Magic Pink 50/50 Petite Portrait SF FUL</t>
  </si>
  <si>
    <t>0611862748050</t>
  </si>
  <si>
    <t>TAG Impatiens Sonic Orange 50/50 Petite Portrait SF FUL</t>
  </si>
  <si>
    <t>0611862749050</t>
  </si>
  <si>
    <t>TAG Impatiens Sonic Pink 50/50 Petite Portrait SF FUL</t>
  </si>
  <si>
    <t>0611862750050</t>
  </si>
  <si>
    <t>TAG Impatiens Sonic Red 50/50 Petite Portrait SF FUL</t>
  </si>
  <si>
    <t>0611862751050</t>
  </si>
  <si>
    <t>TAG Impatiens Sonic Salmon 50/50 Petite Portrait SF FUL</t>
  </si>
  <si>
    <t>0611862752050</t>
  </si>
  <si>
    <t>TAG Impatiens Sonic Sweet Cherry 50/50 Petite Tag SF</t>
  </si>
  <si>
    <t>0611862753050</t>
  </si>
  <si>
    <t>TAG Impatiens Sonic Sweet Orange 50/50 Petite Portrait SF FUL</t>
  </si>
  <si>
    <t>0611862754050</t>
  </si>
  <si>
    <t>TAG Impatiens Sonic Sweet Purple 50/50 Petite Portrait SF FUL</t>
  </si>
  <si>
    <t>0611862755050</t>
  </si>
  <si>
    <t>TAG Impatiens Sonic Sweet Red 50/50 Petite Portrait SF FUL</t>
  </si>
  <si>
    <t>0611862756050</t>
  </si>
  <si>
    <t>TAG Impatiens Sonic White New 50/50 Petite Portrait SF FUL</t>
  </si>
  <si>
    <t>0611862757050</t>
  </si>
  <si>
    <t>TAG Impatiens Spectra Bright Red 50/50 Petite Portrait SF FUL</t>
  </si>
  <si>
    <t>0611862758050</t>
  </si>
  <si>
    <t>TAG Impatiens Spectra Magenta 50/50 Petite Portrait SF FUL</t>
  </si>
  <si>
    <t>0611862759050</t>
  </si>
  <si>
    <t>TAG Impatiens Spectra Orange 50/50 Petite Portrait SF FUL</t>
  </si>
  <si>
    <t>0611862760050</t>
  </si>
  <si>
    <t>TAG Impatiens Spectra Pink 50/50 Petite Portrait SF FUL</t>
  </si>
  <si>
    <t>0611884267050</t>
  </si>
  <si>
    <t>TAG Impatiens Spectra Pink Bicolor 50/50 Petite Portrait SF FUL</t>
  </si>
  <si>
    <t>0611862761050</t>
  </si>
  <si>
    <t>TAG Impatiens Spectra White 50/50 Petite Portrait SF FUL</t>
  </si>
  <si>
    <t>0611835725100</t>
  </si>
  <si>
    <t>TAG Impatiens Strike Orange 100/100 Pixie Tag</t>
  </si>
  <si>
    <t>0611835726100</t>
  </si>
  <si>
    <t>TAG Impatiens Strike Orchid 100/100 Pixie Tag</t>
  </si>
  <si>
    <t>0611835727100</t>
  </si>
  <si>
    <t>TAG Impatiens Strike Plum 100/100 Pixie Tag</t>
  </si>
  <si>
    <t>0611835698100</t>
  </si>
  <si>
    <t>TAG Impatiens Sun Harmony Blushing Orchid 100/100 Pixie Tag</t>
  </si>
  <si>
    <t>0611835728100</t>
  </si>
  <si>
    <t>TAG Impatiens Sun Harmony Compact Lavender 100/100 Pixie Tag</t>
  </si>
  <si>
    <t>0611835729100</t>
  </si>
  <si>
    <t>TAG Impatiens Sun Harmony Deep Orange 100/100 Pixie Tag</t>
  </si>
  <si>
    <t>0611835730100</t>
  </si>
  <si>
    <t>TAG Impatiens Sun Harmony Deep Pink 100/100 Pixie Tag</t>
  </si>
  <si>
    <t>0611835731100</t>
  </si>
  <si>
    <t>TAG Impatiens Sun Harmony Magenta 100/100 Pixie Tag</t>
  </si>
  <si>
    <t>0611835733100</t>
  </si>
  <si>
    <t>TAG Impatiens Sun Harmony Pink 100/100 Pixie Tag</t>
  </si>
  <si>
    <t>0611835734100</t>
  </si>
  <si>
    <t>TAG Impatiens Sun Harmony Purple 100/100 Pixie Tag</t>
  </si>
  <si>
    <t>0611835735100</t>
  </si>
  <si>
    <t>TAG Impatiens Sun Harmony Red 100/100 Pixie Tag</t>
  </si>
  <si>
    <t>0611835736100</t>
  </si>
  <si>
    <t>TAG Impatiens Sun Harmony Salmon 100/100 Pixie Tag</t>
  </si>
  <si>
    <t>0611835737100</t>
  </si>
  <si>
    <t>TAG Impatiens Sun Harmony Scarlet 100/100 Pixie Tag</t>
  </si>
  <si>
    <t>0611835738100</t>
  </si>
  <si>
    <t>TAG Impatiens Sun Harmony Violet 100/100 Pixie Tag</t>
  </si>
  <si>
    <t>0611835739100</t>
  </si>
  <si>
    <t>TAG Impatiens Sun Harmony Vivid Pink 100/100 Pixie Tag</t>
  </si>
  <si>
    <t>0611835740100</t>
  </si>
  <si>
    <t>TAG Impatiens Sun Harmony White 100/100 Pixie Tag</t>
  </si>
  <si>
    <t>0611862707050</t>
  </si>
  <si>
    <t>TAG Impatiens SunStanding Apollo Cherry Red 50/50 Petite Portrait DO FUL</t>
  </si>
  <si>
    <t>0611862706050</t>
  </si>
  <si>
    <t>TAG Impatiens SunStanding Apollo Flamingo Limited Availability 50/50 Petite Tag DO</t>
  </si>
  <si>
    <t>0611862708050</t>
  </si>
  <si>
    <t>TAG Impatiens SunStanding Apollo Lilac 50/50 Petite Portrait DO FUL</t>
  </si>
  <si>
    <t>0611862709050</t>
  </si>
  <si>
    <t>TAG Impatiens SunStanding Apollo Orange 50/50 Petite Portrait DO FUL</t>
  </si>
  <si>
    <t>0611862710050</t>
  </si>
  <si>
    <t>TAG Impatiens SunStanding Apollo Pink 50/50 Petite Portrait DO FUL</t>
  </si>
  <si>
    <t>0611884265050</t>
  </si>
  <si>
    <t>TAG Impatiens SunStanding Apollo Purple 50/50 Petite Portrait DO FUL</t>
  </si>
  <si>
    <t>0611862711050</t>
  </si>
  <si>
    <t>TAG Impatiens SunStanding Apollo Ruby Red 50/50 Petite Portrait DO FUL</t>
  </si>
  <si>
    <t>0611884266050</t>
  </si>
  <si>
    <t>TAG Impatiens SunStanding Apollo White Clo 50/50 Petite Portrait DO FUL</t>
  </si>
  <si>
    <t>0611862712050</t>
  </si>
  <si>
    <t>TAG Impatiens SunStanding California Mix 50/50 Petite Portrait DO FUL</t>
  </si>
  <si>
    <t>0611862713050</t>
  </si>
  <si>
    <t>TAG Impatiens SunStanding Coral Aurora 50/50 Petite Portrait DO FUL</t>
  </si>
  <si>
    <t>0611862714050</t>
  </si>
  <si>
    <t>TAG Impatiens SunStanding Dark Red 50/50 Petite Portrait DO FUL</t>
  </si>
  <si>
    <t>0611862715050</t>
  </si>
  <si>
    <t>TAG Impatiens SunStanding Flame Orange 50/50 Petite Portrait DO FUL</t>
  </si>
  <si>
    <t>0611862716050</t>
  </si>
  <si>
    <t>TAG Impatiens SunStanding Florida Mix Limited Availability 50/50 Petite Tag DO</t>
  </si>
  <si>
    <t>0611862717050</t>
  </si>
  <si>
    <t>TAG Impatiens SunStanding Helios Int Pin 50/50 Petite Portrait DO FUL</t>
  </si>
  <si>
    <t>0611862718050</t>
  </si>
  <si>
    <t>TAG Impatiens SunStanding Helios Orange 50/50 Petite Portrait DO FUL</t>
  </si>
  <si>
    <t>0611862719050</t>
  </si>
  <si>
    <t>TAG Impatiens SunStanding Helios Rose 50/50 Petite Portrait DO FUL</t>
  </si>
  <si>
    <t>0611862720050</t>
  </si>
  <si>
    <t>TAG Impatiens SunStanding Helios Salmon Pink 50/50 Petite Portrait DO FUL</t>
  </si>
  <si>
    <t>0611862721050</t>
  </si>
  <si>
    <t>TAG Impatiens SunStanding Jazzy Coral 50/50 Petite Portrait DO FUL</t>
  </si>
  <si>
    <t>0611862722050</t>
  </si>
  <si>
    <t>TAG Impatiens SunStanding Jazzy Hot Pink 50/50 Petite Portrait DO FUL</t>
  </si>
  <si>
    <t>0611862723050</t>
  </si>
  <si>
    <t>TAG Impatiens SunStanding Lavender 50/50 Petite Portrait DO FUL</t>
  </si>
  <si>
    <t>0611862724050</t>
  </si>
  <si>
    <t>TAG Impatiens SunStanding Light Pink Aurora 50/50 Petite Portrait DO FUL</t>
  </si>
  <si>
    <t>0611862725050</t>
  </si>
  <si>
    <t>TAG Impatiens SunStanding Magenta 50/50 Petite Portrait DO FUL</t>
  </si>
  <si>
    <t>0611862726050</t>
  </si>
  <si>
    <t>TAG Impatiens SunStanding Magnt Borealis 50/50 Petite Portrait DO FUL</t>
  </si>
  <si>
    <t>0611862727050</t>
  </si>
  <si>
    <t>TAG Impatiens SunStanding Neon Red 50/50 Petite Portrait DO FUL</t>
  </si>
  <si>
    <t>0611862728050</t>
  </si>
  <si>
    <t>TAG Impatiens SunStanding Neon Rose 50/50 Petite Portrait DO FUL</t>
  </si>
  <si>
    <t>0611862729050</t>
  </si>
  <si>
    <t>TAG Impatiens SunStanding Orange Aurora 50/50 Petite Portrait DO FUL</t>
  </si>
  <si>
    <t>0611862730050</t>
  </si>
  <si>
    <t>TAG Impatiens SunStanding Purple 50/50 Petite Portrait DO FUL</t>
  </si>
  <si>
    <t>0611862731050</t>
  </si>
  <si>
    <t>TAG Impatiens SunStanding Rose Aurora 50/50 Petite Portrait DO FUL</t>
  </si>
  <si>
    <t>0611862734050</t>
  </si>
  <si>
    <t>TAG Impatiens SunStanding Spot On Lavender CR4107 50/50 Petite Tag DO</t>
  </si>
  <si>
    <t>0611862732050</t>
  </si>
  <si>
    <t>TAG Impatiens SunStanding Spot On Lavender Limited Availability 50/50 Petite Tag DO</t>
  </si>
  <si>
    <t>0611862733050</t>
  </si>
  <si>
    <t>TAG Impatiens SunStanding Spot On Light Salmon Limited Availability 50/50 Petite Tag DO</t>
  </si>
  <si>
    <t>0611862736050</t>
  </si>
  <si>
    <t>TAG Impatiens SunStanding Spot On Pink Blush Limited Availability 50/50 Petite Tag DO</t>
  </si>
  <si>
    <t>0611862735050</t>
  </si>
  <si>
    <t>TAG Impatiens SunStanding Spot On Pink Limited Availability 50/50 Petite Tag DO</t>
  </si>
  <si>
    <t>0611862737050</t>
  </si>
  <si>
    <t>TAG Impatiens SunStanding Spot On Salmon Limited Availability 50/50 Petite Tag DO</t>
  </si>
  <si>
    <t>0611862738050</t>
  </si>
  <si>
    <t>TAG Impatiens SunStanding White Cloud 50/50 Petite Portrait DO FUL</t>
  </si>
  <si>
    <t>0611835757100</t>
  </si>
  <si>
    <t>TAG Impatiens Super Elfin Bright Orange 100/100 Pixie Tag</t>
  </si>
  <si>
    <t>0611835758100</t>
  </si>
  <si>
    <t>TAG Impatiens Super Elfin Cha Cha Mix 100/100 Pixie Tag</t>
  </si>
  <si>
    <t>0611835781100</t>
  </si>
  <si>
    <t>TAG Impatiens Super Elfin Clear Mix 100/100 Pixie Tag</t>
  </si>
  <si>
    <t>0611835762100</t>
  </si>
  <si>
    <t>TAG Impatiens Super Elfin Lavender 100/100 Pixie Tag</t>
  </si>
  <si>
    <t>0611835764100</t>
  </si>
  <si>
    <t>TAG Impatiens Super Elfin Lipstick 100/100 Pixie Tag</t>
  </si>
  <si>
    <t>0611835782100</t>
  </si>
  <si>
    <t>TAG Impatiens Super Elfin Paradise Mix 100/100 Pixie Tag</t>
  </si>
  <si>
    <t>0611835772100</t>
  </si>
  <si>
    <t>TAG Impatiens Super Elfin Ruby 100/100 Pixie Tag</t>
  </si>
  <si>
    <t>0611835776100</t>
  </si>
  <si>
    <t>TAG Impatiens Super Elfin Seaside Mix 100/100 Pixie Tag</t>
  </si>
  <si>
    <t>0611835756100</t>
  </si>
  <si>
    <t>TAG Impatiens Super Elfin XP Blue Pearl 100/100 Pixie Tag</t>
  </si>
  <si>
    <t>0611835524100</t>
  </si>
  <si>
    <t>TAG Impatiens Super Elfin XP Cherry Splash 100/100 Pixie Tag</t>
  </si>
  <si>
    <t>0611835759100</t>
  </si>
  <si>
    <t>TAG Impatiens Super Elfin XP Coral 100/100 Pixie Tag</t>
  </si>
  <si>
    <t>0611835760100</t>
  </si>
  <si>
    <t>TAG Impatiens Super Elfin XP Deep Pink 100/100 Pixie Tag</t>
  </si>
  <si>
    <t>0611835761100</t>
  </si>
  <si>
    <t>TAG Impatiens Super Elfin XP Hot Mix 100/100 Pixie Tag</t>
  </si>
  <si>
    <t>0611835763100</t>
  </si>
  <si>
    <t>TAG Impatiens Super Elfin XP Lilac 100/100 Pixie Tag</t>
  </si>
  <si>
    <t>0611835766100</t>
  </si>
  <si>
    <t>TAG Impatiens Super Elfin XP Mix 100/100 Pixie Tag</t>
  </si>
  <si>
    <t>0611835768100</t>
  </si>
  <si>
    <t>TAG Impatiens Super Elfin XP Pink 100/100 Pixie Tag</t>
  </si>
  <si>
    <t>0611835769100</t>
  </si>
  <si>
    <t>TAG Impatiens Super Elfin XP Punch 100/100 Pixie Tag</t>
  </si>
  <si>
    <t>0611835770100</t>
  </si>
  <si>
    <t>TAG Impatiens Super Elfin XP Red 100/100 Pixie Tag</t>
  </si>
  <si>
    <t>0611835525100</t>
  </si>
  <si>
    <t>TAG Impatiens Super Elfin XP Red Starburst 100/100 Pixie Tag</t>
  </si>
  <si>
    <t>0611835783100</t>
  </si>
  <si>
    <t>TAG Impatiens Super Elfin XP Red White Mix 100/100 Pixie Tag</t>
  </si>
  <si>
    <t>0611835771100</t>
  </si>
  <si>
    <t>TAG Impatiens Super Elfin XP Rose 100/100 Pixie Tag</t>
  </si>
  <si>
    <t>0611835773100</t>
  </si>
  <si>
    <t>TAG Impatiens Super Elfin XP Salmon 100/100 Pixie Tag</t>
  </si>
  <si>
    <t>0611835526100</t>
  </si>
  <si>
    <t>TAG Impatiens Super Elfin XP Salmon Splash 100/100 Pixie Tag</t>
  </si>
  <si>
    <t>0611835775100</t>
  </si>
  <si>
    <t>TAG Impatiens Super Elfin XP Scarlet 100/100 Pixie Tag</t>
  </si>
  <si>
    <t>0611835778100</t>
  </si>
  <si>
    <t>TAG Impatiens Super Elfin XP Series 100/100 Pixie Tag</t>
  </si>
  <si>
    <t>0611835779100</t>
  </si>
  <si>
    <t>TAG Impatiens Super Elfin XP Violet 100/100 Pixie Tag</t>
  </si>
  <si>
    <t>0611835529100</t>
  </si>
  <si>
    <t>TAG Impatiens Super Elfin XP Violet Strbrst 100/100 Pixie Tag</t>
  </si>
  <si>
    <t>0611835780100</t>
  </si>
  <si>
    <t>TAG Impatiens Super Elfin XP White 100/100 Pixie Tag</t>
  </si>
  <si>
    <t>0611862762050</t>
  </si>
  <si>
    <t>TAG Impatiens Super Sonic Dark Red 50/50 Petite Portrait SF FUL</t>
  </si>
  <si>
    <t>0611862763050</t>
  </si>
  <si>
    <t>TAG Impatiens Super Sonic Dark Salmon 50/50 Petite Portrait SF FUL</t>
  </si>
  <si>
    <t>0611862764050</t>
  </si>
  <si>
    <t>TAG Impatiens Super Sonic Deep Salmon 50/50 Petite Portrait SF FUL</t>
  </si>
  <si>
    <t>0611862766050</t>
  </si>
  <si>
    <t>TAG Impatiens Super Sonic Deep Scarlet 50/50 Petite Portrait SF FUL</t>
  </si>
  <si>
    <t>0611862767050</t>
  </si>
  <si>
    <t>TAG Impatiens Super Sonic Flame 50/50 Petite Portrait SF FUL</t>
  </si>
  <si>
    <t>0611862768050</t>
  </si>
  <si>
    <t>TAG Impatiens Super Sonic Hot Pink 50/50 Petite Portrait SF FUL</t>
  </si>
  <si>
    <t>0611862769050</t>
  </si>
  <si>
    <t>TAG Impatiens Super Sonic Lavender 50/50 Petite Portrait SF FUL</t>
  </si>
  <si>
    <t>0611862770050</t>
  </si>
  <si>
    <t>TAG Impatiens Super Sonic Lilac 50/50 Petite Portrait SF FUL</t>
  </si>
  <si>
    <t>0611862771050</t>
  </si>
  <si>
    <t>TAG Impatiens Super Sonic Magenta 50/50 Petite Portrait SF FUL</t>
  </si>
  <si>
    <t>0611862772050</t>
  </si>
  <si>
    <t>TAG Impatiens Super Sonic Orange Ice 50/50 Petite Portrait SF FUL</t>
  </si>
  <si>
    <t>0611862773050</t>
  </si>
  <si>
    <t>TAG Impatiens Super Sonic Pastel Pink 50/50 Petite Portrait SF FUL</t>
  </si>
  <si>
    <t>0611862774050</t>
  </si>
  <si>
    <t>TAG Impatiens Super Sonic Pink 50/50 Petite Portrait SF FUL</t>
  </si>
  <si>
    <t>0611862775050</t>
  </si>
  <si>
    <t>TAG Impatiens Super Sonic Purple 50/50 Petite Portrait SF FUL</t>
  </si>
  <si>
    <t>0611862776050</t>
  </si>
  <si>
    <t>TAG Impatiens Super Sonic Red 50/50 Petite Portrait SF FUL</t>
  </si>
  <si>
    <t>0611862777050</t>
  </si>
  <si>
    <t>TAG Impatiens Super Sonic Sweet Cherry 50/50 Petite Portrait SF FUL</t>
  </si>
  <si>
    <t>0611862778050</t>
  </si>
  <si>
    <t>TAG Impatiens Super Sonic White 50/50 Petite Portrait SF FUL</t>
  </si>
  <si>
    <t>0611862781050</t>
  </si>
  <si>
    <t>TAG Impatiens Sweetie Pie Orange 50/50 Petite Portrait FUL</t>
  </si>
  <si>
    <t>0611862782050</t>
  </si>
  <si>
    <t>TAG Impatiens Tamarinda Dark Red 50/50 Petite Portrait FUL</t>
  </si>
  <si>
    <t>0611862784050</t>
  </si>
  <si>
    <t>TAG Impatiens Tamarinda Max Wild Salmon 50/50 Petite Portrait FUL</t>
  </si>
  <si>
    <t>0611862788050</t>
  </si>
  <si>
    <t>TAG Impatiens Tamarinda Red 50/50 Petite Portrait FUL</t>
  </si>
  <si>
    <t>0611862789050</t>
  </si>
  <si>
    <t>TAG Impatiens Tamarinda Red Bicolor 50/50 Petite Portrait FUL</t>
  </si>
  <si>
    <t>0611862790050</t>
  </si>
  <si>
    <t>TAG Impatiens Tamarinda Soft Pink 50/50 Petite Portrait FUL</t>
  </si>
  <si>
    <t>0611862791050</t>
  </si>
  <si>
    <t>TAG Impatiens Tamarinda True Pink 50/50 Petite Portrait FUL</t>
  </si>
  <si>
    <t>0611862792050</t>
  </si>
  <si>
    <t>TAG Impatiens Tamarinda Violet 50/50 Petite Portrait FUL</t>
  </si>
  <si>
    <t>0611862793050</t>
  </si>
  <si>
    <t>TAG Impatiens Tamarinda White 50/50 Petite Portrait FUL</t>
  </si>
  <si>
    <t>0611835786100</t>
  </si>
  <si>
    <t>TAG Impatiens Topknot Mix 100/100 Pixie Tag</t>
  </si>
  <si>
    <t>0611835798100</t>
  </si>
  <si>
    <t>TAG Impatiens Violet And White GENERIC Bilingual 100/100 Pixie Tag</t>
  </si>
  <si>
    <t>0611835797100</t>
  </si>
  <si>
    <t>TAG Impatiens Violet GENERIC Bilingual 100/100 Pixie Tag</t>
  </si>
  <si>
    <t>0611835799100</t>
  </si>
  <si>
    <t>TAG Impatiens Voodoo Mix 100/100 Pixie Tag</t>
  </si>
  <si>
    <t>0611835800100</t>
  </si>
  <si>
    <t>TAG Impatiens Voodoo Too Mix 100/100 Pixie Tag</t>
  </si>
  <si>
    <t>0611835801100</t>
  </si>
  <si>
    <t>TAG Impatiens White GENERIC Bilingual 100/100 Pixie Tag</t>
  </si>
  <si>
    <t>0611862794050</t>
  </si>
  <si>
    <t>TAG Impatiens Wild Romance Blush 50/50 Petite Portrait DO FUL</t>
  </si>
  <si>
    <t>0611862795050</t>
  </si>
  <si>
    <t>TAG Impatiens Wild Romance Hot Rose 50/50 Petite Portrait DO FUL</t>
  </si>
  <si>
    <t>0611862796050</t>
  </si>
  <si>
    <t>TAG Impatiens Wild Romance Jazzy Blue Rose 50/50 Petite Portrait DO FUL</t>
  </si>
  <si>
    <t>0611862797050</t>
  </si>
  <si>
    <t>TAG Impatiens Wild Romance Lavender 50/50 Petite Portrait DO FUL</t>
  </si>
  <si>
    <t>0611862798050</t>
  </si>
  <si>
    <t>TAG Impatiens Wild Romance Peach 50/50 Petite Portrait DO FUL</t>
  </si>
  <si>
    <t>0611884268050</t>
  </si>
  <si>
    <t>TAG Impatiens Wild Romance Pink 50/50 Petite Portrait DO FUL</t>
  </si>
  <si>
    <t>0611862799050</t>
  </si>
  <si>
    <t>TAG Impatiens Wild Romance Red 50/50 Petite Portrait DO FUL</t>
  </si>
  <si>
    <t>0611862800050</t>
  </si>
  <si>
    <t>TAG Impatiens Wild Romance White 50/50 Petite Portrait DO FUL</t>
  </si>
  <si>
    <t>0611835802100</t>
  </si>
  <si>
    <t>TAG Impatiens Xtreme Bright Eye 100/100 Pixie Tag SF</t>
  </si>
  <si>
    <t>0611835803100</t>
  </si>
  <si>
    <t>TAG Impatiens Xtreme Bright Rose 100/100 Pixie Tag SF</t>
  </si>
  <si>
    <t>0611835804100</t>
  </si>
  <si>
    <t>TAG Impatiens Xtreme Hot Mix 100/100 Pixie Tag SF</t>
  </si>
  <si>
    <t>0611835805100</t>
  </si>
  <si>
    <t>TAG Impatiens Xtreme Lavender 100/100 Pixie Tag SF</t>
  </si>
  <si>
    <t>0611835806100</t>
  </si>
  <si>
    <t>TAG Impatiens Xtreme Lilac 100/100 Pixie Tag SF</t>
  </si>
  <si>
    <t>0611835807100</t>
  </si>
  <si>
    <t>TAG Impatiens Xtreme Little Gem Mix 100/100 Pixie Tag SF</t>
  </si>
  <si>
    <t>0611835808100</t>
  </si>
  <si>
    <t>TAG Impatiens Xtreme Mix 100/100 Pixie Tag SF</t>
  </si>
  <si>
    <t>0611835809100</t>
  </si>
  <si>
    <t>TAG Impatiens Xtreme Orange 100/100 Pixie Tag SF</t>
  </si>
  <si>
    <t>0611835810100</t>
  </si>
  <si>
    <t>TAG Impatiens Xtreme Pastel Mix 100/100 Pixie Tag SF</t>
  </si>
  <si>
    <t>0611835811100</t>
  </si>
  <si>
    <t>TAG Impatiens Xtreme Pink 100/100 Pixie Tag SF</t>
  </si>
  <si>
    <t>0611835813100</t>
  </si>
  <si>
    <t>TAG Impatiens Xtreme Red 100/100 Pixie Tag SF</t>
  </si>
  <si>
    <t>0611835814100</t>
  </si>
  <si>
    <t>TAG Impatiens Xtreme Rose 100/100 Pixie Tag SF</t>
  </si>
  <si>
    <t>0611835815100</t>
  </si>
  <si>
    <t>TAG Impatiens Xtreme Rosy Mix 100/100 Pixie Tag SF</t>
  </si>
  <si>
    <t>0611835816100</t>
  </si>
  <si>
    <t>TAG Impatiens Xtreme Salmon 100/100 Pixie Tag SF</t>
  </si>
  <si>
    <t>0611835817100</t>
  </si>
  <si>
    <t>TAG Impatiens Xtreme Sapphire Mix 100/100 Pixie Tag SF</t>
  </si>
  <si>
    <t>0611835818100</t>
  </si>
  <si>
    <t>TAG Impatiens Xtreme Scarlet 100/100 Pixie Tag SF</t>
  </si>
  <si>
    <t>0611835820100</t>
  </si>
  <si>
    <t>TAG Impatiens Xtreme Tango Mix 100/100 Pixie Tag SF</t>
  </si>
  <si>
    <t>0611835821100</t>
  </si>
  <si>
    <t>TAG Impatiens Xtreme Utopia Mix 100/100 Pixie Tag SF</t>
  </si>
  <si>
    <t>0611835822100</t>
  </si>
  <si>
    <t>TAG Impatiens Xtreme Violet 100/100 Pixie Tag SF</t>
  </si>
  <si>
    <t>0611835823100</t>
  </si>
  <si>
    <t>TAG Impatiens Xtreme White 100/100 Pixie Tag SF</t>
  </si>
  <si>
    <t>0611835824025</t>
  </si>
  <si>
    <t>TAG Imperata Red Baron 25/25 Portrait Tag</t>
  </si>
  <si>
    <t>0611835825100</t>
  </si>
  <si>
    <t>TAG Ipomoea Ace Of Spades 100/100 Pixie Tag</t>
  </si>
  <si>
    <t>0611835826100</t>
  </si>
  <si>
    <t>TAG Ipomoea Beauregard 100/100 Pixie Tag</t>
  </si>
  <si>
    <t>0611862801050</t>
  </si>
  <si>
    <t>TAG Ipomoea Black Heart 50/50 Petite Portrait SF FUL</t>
  </si>
  <si>
    <t>0611835828100</t>
  </si>
  <si>
    <t>TAG Ipomoea Blackie 100/100 Pixie Tag</t>
  </si>
  <si>
    <t>0611835829025</t>
  </si>
  <si>
    <t>TAG Ipomoea Blackie 25/25 Portrait Tag</t>
  </si>
  <si>
    <t>0611862802050</t>
  </si>
  <si>
    <t>TAG Ipomoea Blackie 50/50 Petite Portrait FUL</t>
  </si>
  <si>
    <t>0611835830100</t>
  </si>
  <si>
    <t>TAG Ipomoea Bonita 100/100 Pixie Tag</t>
  </si>
  <si>
    <t>0611835831100</t>
  </si>
  <si>
    <t>TAG Ipomoea Bright Idea Rusty Red Cordate 100/100 Pixie Tag</t>
  </si>
  <si>
    <t>0611835832100</t>
  </si>
  <si>
    <t>TAG Ipomoea Bright Ideas Black 100/100 Pixie Tag</t>
  </si>
  <si>
    <t>0611862803050</t>
  </si>
  <si>
    <t>TAG Ipomoea Bright Ideas Black 50/50 Petite Portrait FUL</t>
  </si>
  <si>
    <t>0611835833100</t>
  </si>
  <si>
    <t>TAG Ipomoea Bright Ideas Black Cordate 100/100 Pixie Tag</t>
  </si>
  <si>
    <t>0611862804050</t>
  </si>
  <si>
    <t>TAG Ipomoea Bright Ideas Cordate Black 50/50 Petite Portrait FUL</t>
  </si>
  <si>
    <t>0611862805050</t>
  </si>
  <si>
    <t>TAG Ipomoea Bright Ideas Cordate Lime 50/50 Petite Portrait FUL</t>
  </si>
  <si>
    <t>0611862806050</t>
  </si>
  <si>
    <t>TAG Ipomoea Bright Ideas Cordate Rusty 50/50 Petite Portrait FUL</t>
  </si>
  <si>
    <t>0611835834100</t>
  </si>
  <si>
    <t>TAG Ipomoea Bright Ideas Lime 100/100 Pixie Tag</t>
  </si>
  <si>
    <t>0611862807050</t>
  </si>
  <si>
    <t>TAG Ipomoea Bright Ideas Lime 50/50 Petite Portrait FUL</t>
  </si>
  <si>
    <t>0611835835100</t>
  </si>
  <si>
    <t>TAG Ipomoea Bright Ideas Lime Cordate 100/100 Pixie Tag</t>
  </si>
  <si>
    <t>0611835836100</t>
  </si>
  <si>
    <t>TAG Ipomoea Bright Ideas Rusty Red 100/100 Pixie Tag</t>
  </si>
  <si>
    <t>0611862808050</t>
  </si>
  <si>
    <t>TAG Ipomoea Bright Ideas Rusty Red 50/50 Petite Portrait FUL</t>
  </si>
  <si>
    <t>0611835838100</t>
  </si>
  <si>
    <t>TAG Ipomoea Cameo Elegance 100/100 Pixie Tag</t>
  </si>
  <si>
    <t>0611835839100</t>
  </si>
  <si>
    <t>TAG Ipomoea Cardinalis 100/100 Pixie Tag</t>
  </si>
  <si>
    <t>0611835840100</t>
  </si>
  <si>
    <t>TAG Ipomoea Crimson Rambler 100/100 Pixie Tag</t>
  </si>
  <si>
    <t>0611835841100</t>
  </si>
  <si>
    <t>TAG Ipomoea Cypress Vine GENERIC 100/100 Pixie Tag</t>
  </si>
  <si>
    <t>0611857004100</t>
  </si>
  <si>
    <t>TAG Ipomoea Dark Leaf GENERIC 100/100 Pixie Tag</t>
  </si>
  <si>
    <t>0611835842100</t>
  </si>
  <si>
    <t>TAG Ipomoea Evangeline 100/100 Pixie Tag</t>
  </si>
  <si>
    <t>0611862809050</t>
  </si>
  <si>
    <t>TAG Ipomoea FloraMia Black 50/50 Petite Portrait DO FUL</t>
  </si>
  <si>
    <t>0611862810050</t>
  </si>
  <si>
    <t>TAG Ipomoea FloraMia Cameo 50/50 Petite Portrait DO FUL</t>
  </si>
  <si>
    <t>0611862811050</t>
  </si>
  <si>
    <t>TAG Ipomoea FloraMia Limon 50/50 Petite Portrait DO FUL</t>
  </si>
  <si>
    <t>0611862812050</t>
  </si>
  <si>
    <t>TAG Ipomoea FloraMia Limon Wedge 50/50 Petite Portrait DO FUL</t>
  </si>
  <si>
    <t>0611862813050</t>
  </si>
  <si>
    <t>TAG Ipomoea FloraMia Nero 50/50 Petite Portrait DO FUL</t>
  </si>
  <si>
    <t>0611862814050</t>
  </si>
  <si>
    <t>TAG Ipomoea FloraMia Rosso 50/50 Petite Portrait DO FUL</t>
  </si>
  <si>
    <t>0611862815050</t>
  </si>
  <si>
    <t>TAG Ipomoea FloraMia Verdino 50/50 Petite Portrait DO FUL</t>
  </si>
  <si>
    <t>0611835850100</t>
  </si>
  <si>
    <t>TAG Ipomoea GENERIC 100/100 Hang Tag</t>
  </si>
  <si>
    <t>0611835843100</t>
  </si>
  <si>
    <t>TAG Ipomoea Georgia Jets 100/100 Pixie Tag</t>
  </si>
  <si>
    <t>0611857005100</t>
  </si>
  <si>
    <t>TAG Ipomoea Golden GENERIC 100/100 Pixie Tag</t>
  </si>
  <si>
    <t>0611835844100</t>
  </si>
  <si>
    <t>TAG Ipomoea Good Morning Blue 100/100 Pixie Tag</t>
  </si>
  <si>
    <t>0611835847100</t>
  </si>
  <si>
    <t>TAG Ipomoea Grandpa Ott 100/100 Pixie Tag</t>
  </si>
  <si>
    <t>0611835848100</t>
  </si>
  <si>
    <t>TAG Ipomoea Happy Hour Rose 100/100 Pixie Tag</t>
  </si>
  <si>
    <t>0611835849100</t>
  </si>
  <si>
    <t>TAG Ipomoea Heavenly Blue 100/100 Pixie Tag</t>
  </si>
  <si>
    <t>0611835851100</t>
  </si>
  <si>
    <t>TAG Ipomoea Kelly Ray 100/100 Pixie Tag</t>
  </si>
  <si>
    <t>0611835852100</t>
  </si>
  <si>
    <t>TAG Ipomoea Lime 100/100 Pixie Tag</t>
  </si>
  <si>
    <t>0611835854100</t>
  </si>
  <si>
    <t>TAG Ipomoea Marguerite 100/100 Pixie Tag</t>
  </si>
  <si>
    <t>0611835855025</t>
  </si>
  <si>
    <t>TAG Ipomoea Marguerite 25/25 Portrait Tag</t>
  </si>
  <si>
    <t>0611862816050</t>
  </si>
  <si>
    <t>TAG Ipomoea Marguerite 50/50 Petite Portrait FUL</t>
  </si>
  <si>
    <t>0611835856100</t>
  </si>
  <si>
    <t>TAG Ipomoea Marguerite Dwarf 100/100 Pixie Tag</t>
  </si>
  <si>
    <t>0611835857100</t>
  </si>
  <si>
    <t>TAG Ipomoea Mini Bar Rose 100/100 Pixie Tag</t>
  </si>
  <si>
    <t>0611835858100</t>
  </si>
  <si>
    <t>TAG Ipomoea Moonflower GENERIC 100/100 Pixie Tag</t>
  </si>
  <si>
    <t>0611835859100</t>
  </si>
  <si>
    <t>TAG Ipomoea Morning Glory GENERIC 100/100 Pixie Tag</t>
  </si>
  <si>
    <t>0611835861100</t>
  </si>
  <si>
    <t>TAG Ipomoea Murasaki 29 100/100 Pixie Tag</t>
  </si>
  <si>
    <t>0611835863100</t>
  </si>
  <si>
    <t>TAG Ipomoea Pearly Gates 100/100 Pixie Tag</t>
  </si>
  <si>
    <t>0611835865100</t>
  </si>
  <si>
    <t>TAG Ipomoea Scarlet O'Hara 100/100 Pixie Tag</t>
  </si>
  <si>
    <t>0611862817050</t>
  </si>
  <si>
    <t>TAG Ipomoea Sidekick Black 50/50 Petite Portrait SF FUL</t>
  </si>
  <si>
    <t>0611862818050</t>
  </si>
  <si>
    <t>TAG Ipomoea Sidekick Heart Black 50/50 Petite Portrait SF FUL</t>
  </si>
  <si>
    <t>0611862819050</t>
  </si>
  <si>
    <t>TAG Ipomoea Sidekick Heart Bronze 50/50 Petite Portrait SF FUL</t>
  </si>
  <si>
    <t>0611862820050</t>
  </si>
  <si>
    <t>TAG Ipomoea Sidekick Heart Lime 50/50 Petite Portrait SF FUL</t>
  </si>
  <si>
    <t>0611862821050</t>
  </si>
  <si>
    <t>TAG Ipomoea Sidekick Lacey Lime 50/50 Petite Portrait SF FUL</t>
  </si>
  <si>
    <t>0611862822050</t>
  </si>
  <si>
    <t>TAG Ipomoea Sidekick Lime 50/50 Petite Portrait SF FUL</t>
  </si>
  <si>
    <t>0611835866100</t>
  </si>
  <si>
    <t>TAG Ipomoea Sunrise Serenade 100/100 Pixie Tag</t>
  </si>
  <si>
    <t>0611857006100</t>
  </si>
  <si>
    <t>TAG Ipomoea Sweet Georgia Black Maple 100/100 Pixie Tag</t>
  </si>
  <si>
    <t>0611835867100</t>
  </si>
  <si>
    <t>TAG Ipomoea Sweet Georgia Bronze 100/100 Pixie Tag</t>
  </si>
  <si>
    <t>0611835868100</t>
  </si>
  <si>
    <t>TAG Ipomoea Sweet Georgia Bullfrog 100/100 Pixie Tag</t>
  </si>
  <si>
    <t>0611835869100</t>
  </si>
  <si>
    <t>TAG Ipomoea Sweet Georgia Deep Purple 100/100 Pixie Tag</t>
  </si>
  <si>
    <t>0611835870100</t>
  </si>
  <si>
    <t>TAG Ipomoea Sweet Georgia Green Splash 100/100 Pixie Tag</t>
  </si>
  <si>
    <t>0611835874100</t>
  </si>
  <si>
    <t>TAG Ipomoea Sweet Georgia Heart Light Green 100/100 Pixie Tag</t>
  </si>
  <si>
    <t>0611835871100</t>
  </si>
  <si>
    <t>TAG Ipomoea Sweet Georgia Heart Purple 100/100 Pixie Tag</t>
  </si>
  <si>
    <t>0611835872100</t>
  </si>
  <si>
    <t>TAG Ipomoea Sweet Georgia Heart Red 100/100 Pixie Tag</t>
  </si>
  <si>
    <t>0611884269100</t>
  </si>
  <si>
    <t>TAG Ipomoea Sweet Georgia Hrt Chestnt 100/100 Pixie Tag</t>
  </si>
  <si>
    <t>0611857007100</t>
  </si>
  <si>
    <t>TAG Ipomoea Sweet Georgia Light Green 100/100 Pixie Tag</t>
  </si>
  <si>
    <t>0611835875100</t>
  </si>
  <si>
    <t>TAG Ipomoea Sweet Georgia Purple Splash 100/100 Pixie Tag</t>
  </si>
  <si>
    <t>0611835873100</t>
  </si>
  <si>
    <t>TAG Ipomoea Sweet Potato GENERIC 100/100 Pixie Tag</t>
  </si>
  <si>
    <t>0611835876100</t>
  </si>
  <si>
    <t>TAG Ipomoea Tricolor 100/100 Pixie Tag DO</t>
  </si>
  <si>
    <t>0611835877025</t>
  </si>
  <si>
    <t>TAG Ipomoea Tricolor 25/25 Portrait Tag DO</t>
  </si>
  <si>
    <t>0611862823050</t>
  </si>
  <si>
    <t>TAG Ipomoea Tricolor 50/50 Petite Portrait DO FUL</t>
  </si>
  <si>
    <t>0611835879100</t>
  </si>
  <si>
    <t>TAG Ipomoea Vine GENERIC Bilingual 100/100 Pixie Tag</t>
  </si>
  <si>
    <t>0611862824050</t>
  </si>
  <si>
    <t>TAG Iresine Blazin Rose 50/50 Petite Portrait FUL</t>
  </si>
  <si>
    <t>0611835880100</t>
  </si>
  <si>
    <t>TAG Iresine Brilliantissima 100/100 Pixie Tag</t>
  </si>
  <si>
    <t>0611835881100</t>
  </si>
  <si>
    <t>TAG Iresine Cherry 100/100 Pixie Tag</t>
  </si>
  <si>
    <t>0611835882025</t>
  </si>
  <si>
    <t>TAG Iresine Chicken Gizzard 25/25 Portrait Tag</t>
  </si>
  <si>
    <t>0611835883100</t>
  </si>
  <si>
    <t>TAG Iresine Purple Lady 100/100 Pixie Tag</t>
  </si>
  <si>
    <t>0611835884100</t>
  </si>
  <si>
    <t>TAG Iresine Red 100/100 Pixie Tag</t>
  </si>
  <si>
    <t>0611835885100</t>
  </si>
  <si>
    <t>TAG Iresine Red Heart 100/100 Pixie Tag</t>
  </si>
  <si>
    <t>0611835886100</t>
  </si>
  <si>
    <t>TAG Iresine Variegated Heart 100/100 Pixie Tag</t>
  </si>
  <si>
    <t>0611835887025</t>
  </si>
  <si>
    <t>TAG Iris Argentea Variegata 25/25 Portrait Tag</t>
  </si>
  <si>
    <t>0611835888025</t>
  </si>
  <si>
    <t>TAG Iris Butter N Sugar 25/25 Portrait Tag</t>
  </si>
  <si>
    <t>0611835889025</t>
  </si>
  <si>
    <t>TAG Iris Caesar's Brother 25/25 Portrait Tag</t>
  </si>
  <si>
    <t>0611835890025</t>
  </si>
  <si>
    <t>TAG Iris Crested GENERIC 25/25 Portrait Tag</t>
  </si>
  <si>
    <t>0611835891025</t>
  </si>
  <si>
    <t>TAG Iris German GENERIC 25/25 Portrait Tag</t>
  </si>
  <si>
    <t>0611835892025</t>
  </si>
  <si>
    <t>TAG Iris Japanese GENERIC 25/25 Portrait Tag</t>
  </si>
  <si>
    <t>0611835894025</t>
  </si>
  <si>
    <t>TAG Iris Variegata 25/25 Portrait Tag</t>
  </si>
  <si>
    <t>0611835895100</t>
  </si>
  <si>
    <t>TAG Isolepis Fiber Optic 100/100 Pixie Tag</t>
  </si>
  <si>
    <t>0611835896025</t>
  </si>
  <si>
    <t>TAG Isolepis Fiber Optic 25/25 Portrait Tag</t>
  </si>
  <si>
    <t>0611836035100</t>
  </si>
  <si>
    <t>TAG Isotoma/Laurentia Blue Star Creeper 100/100 Pixie Tag</t>
  </si>
  <si>
    <t>0611836036025</t>
  </si>
  <si>
    <t>TAG Isotoma/Laurentia Blue Star Creeper 25/25 Portrait Tag</t>
  </si>
  <si>
    <t>0611862825050</t>
  </si>
  <si>
    <t>TAG Isotoma/Laurentia Fizz N Pop Glowing Violet 50/50 Petite Portrait FUL</t>
  </si>
  <si>
    <t>0611862826050</t>
  </si>
  <si>
    <t>TAG Isotoma/Laurentia Fizz N Pop Pretty In Pink 50/50 Petite Portrait FUL</t>
  </si>
  <si>
    <t>0611836037100</t>
  </si>
  <si>
    <t>TAG Isotoma/Laurentia Gemini Blue 100/100 Pixie Tag</t>
  </si>
  <si>
    <t>0611836038100</t>
  </si>
  <si>
    <t>TAG Isotoma/Laurentia Gemini Pink 100/100 Pixie Tag</t>
  </si>
  <si>
    <t>0611836039100</t>
  </si>
  <si>
    <t>TAG Isotoma/Laurentia GENERIC 100/100 Pixie Tag</t>
  </si>
  <si>
    <t>0611836040100</t>
  </si>
  <si>
    <t>TAG Isotoma/Laurentia Starshine Blue 100/100 Pixie Tag SF</t>
  </si>
  <si>
    <t>0611836043025</t>
  </si>
  <si>
    <t>TAG Isotoma/Laurentia White Star Creeper 25/25 Portrait Tag</t>
  </si>
  <si>
    <t>0611835897100</t>
  </si>
  <si>
    <t>TAG Jasmine Polyanthum 100/100 Pixie Tag</t>
  </si>
  <si>
    <t>0611834791100</t>
  </si>
  <si>
    <t>TAG Juncus Blue Arrows 100/100 Pixie Tag</t>
  </si>
  <si>
    <t>0611834792025</t>
  </si>
  <si>
    <t>TAG Juncus Blue Arrows 25/25 Portrait Tag</t>
  </si>
  <si>
    <t>0611834793025</t>
  </si>
  <si>
    <t>TAG Juncus Blue Dart 25/25 Portrait Tag</t>
  </si>
  <si>
    <t>0611834794025</t>
  </si>
  <si>
    <t>TAG Juncus Javelin 25/25 Portrait Tag</t>
  </si>
  <si>
    <t>0611834795100</t>
  </si>
  <si>
    <t>TAG Juncus Spiralis Effusus 100/100 Pixie Tag</t>
  </si>
  <si>
    <t>0611834796025</t>
  </si>
  <si>
    <t>TAG Juncus Starhead 25/25 Portrait Tag</t>
  </si>
  <si>
    <t>0611834824025</t>
  </si>
  <si>
    <t>TAG Juncus Twisted Arrows Mix 25/25 Portrait Tag</t>
  </si>
  <si>
    <t>0611834797025</t>
  </si>
  <si>
    <t>TAG Juncus Twisted Dart Mix 25/25 Portrait Tag</t>
  </si>
  <si>
    <t>0611834798025</t>
  </si>
  <si>
    <t>TAG Juncus Twister Inflexus 25/25 Portrait Tag</t>
  </si>
  <si>
    <t>0611835898100</t>
  </si>
  <si>
    <t>TAG Justicia Brandegeana 100/100 Pixie Tag</t>
  </si>
  <si>
    <t>0611835899100</t>
  </si>
  <si>
    <t>TAG Justicia Pachystachys Lutea 100/100 Pixie Tag</t>
  </si>
  <si>
    <t>0611862827100</t>
  </si>
  <si>
    <t>TAG Kalanchoe Archer 100/100 Pixie Tag FUL</t>
  </si>
  <si>
    <t>0611862830100</t>
  </si>
  <si>
    <t>TAG Kalanchoe Berkley 100/100 Pixie Tag FUL</t>
  </si>
  <si>
    <t>0611862831100</t>
  </si>
  <si>
    <t>TAG Kalanchoe Berry 100/100 Pixie Tag</t>
  </si>
  <si>
    <t>0611862832100</t>
  </si>
  <si>
    <t>TAG Kalanchoe Birkin 100/100 Pixie Tag FUL</t>
  </si>
  <si>
    <t>0611862833100</t>
  </si>
  <si>
    <t>TAG Kalanchoe Bisset 100/100 Pixie Tag</t>
  </si>
  <si>
    <t>0611862834100</t>
  </si>
  <si>
    <t>TAG Kalanchoe Bromo 100/100 Pixie Tag FUL</t>
  </si>
  <si>
    <t>0611862835100</t>
  </si>
  <si>
    <t>TAG Kalanchoe Cadillac Pink 100/100 Pixie Tag</t>
  </si>
  <si>
    <t>0611862836100</t>
  </si>
  <si>
    <t>TAG Kalanchoe Calanday Calor Bartan 100/100 Pixie Tag FUL</t>
  </si>
  <si>
    <t>0611862837100</t>
  </si>
  <si>
    <t>TAG Kalanchoe Calanday Calor Casitas 100/100 Pixie Tag FUL</t>
  </si>
  <si>
    <t>0611862838100</t>
  </si>
  <si>
    <t>TAG Kalanchoe Calanday Calor Kamba 100/100 Pixie Tag FUL</t>
  </si>
  <si>
    <t>0611862839100</t>
  </si>
  <si>
    <t>TAG Kalanchoe Calanday Calor Ubinas 100/100 Pixie Tag FUL</t>
  </si>
  <si>
    <t>0611862840100</t>
  </si>
  <si>
    <t>TAG Kalanchoe Calanday Cerros 100/100 Pixie Tag</t>
  </si>
  <si>
    <t>0611862841100</t>
  </si>
  <si>
    <t>TAG Kalanchoe Calanday Classy 100/100 Pixie Tag FUL</t>
  </si>
  <si>
    <t>0611862842100</t>
  </si>
  <si>
    <t>TAG Kalanchoe Calanday Fiery 100/100 Pixie Tag FUL</t>
  </si>
  <si>
    <t>0611862843100</t>
  </si>
  <si>
    <t>TAG Kalanchoe Calanday Kimono 100/100 Pixie Tag FUL</t>
  </si>
  <si>
    <t>0611862844100</t>
  </si>
  <si>
    <t>TAG Kalanchoe Calanday Luxury 100/100 Pixie Tag FUL</t>
  </si>
  <si>
    <t>0611862845100</t>
  </si>
  <si>
    <t>TAG Kalanchoe Calanday Sublime Couture 100/100 Pixie Tag FUL</t>
  </si>
  <si>
    <t>0611862846100</t>
  </si>
  <si>
    <t>TAG Kalanchoe Calanday Sublime Flair 100/100 Pixie Tag FUL</t>
  </si>
  <si>
    <t>0611862847100</t>
  </si>
  <si>
    <t>TAG Kalanchoe Calanday Sublime Gloss 100/100 Pixie Tag FUL</t>
  </si>
  <si>
    <t>0611862848100</t>
  </si>
  <si>
    <t>TAG Kalanchoe Calanday Sublime Swirl Bossa 100/100 Pixie Tag FUL</t>
  </si>
  <si>
    <t>0611862849100</t>
  </si>
  <si>
    <t>TAG Kalanchoe Calanday Sublime Swirl Nova 100/100 Pixie Tag FUL</t>
  </si>
  <si>
    <t>0611862850100</t>
  </si>
  <si>
    <t>TAG Kalanchoe Calandiva Adkins 100/100 Pixie Tag DO FUL</t>
  </si>
  <si>
    <t>0611884270100</t>
  </si>
  <si>
    <t>TAG Kalanchoe Calandiva Deco Garland 100/100 Pixie Tag DO FUL</t>
  </si>
  <si>
    <t>0611862851100</t>
  </si>
  <si>
    <t>TAG Kalanchoe Calandiva Electra 100/100 Pixie Tag DO FUL</t>
  </si>
  <si>
    <t>0611884271100</t>
  </si>
  <si>
    <t>TAG Kalanchoe Calandiva Florilis 100/100 Pixie Tag DO FUL</t>
  </si>
  <si>
    <t>0611862852100</t>
  </si>
  <si>
    <t>TAG Kalanchoe Calandiva Kelton 100/100 Pixie Tag DO FUL</t>
  </si>
  <si>
    <t>0611862853100</t>
  </si>
  <si>
    <t>TAG Kalanchoe Calandiva Menzel 100/100 Pixie Tag DO FUL</t>
  </si>
  <si>
    <t>0611862854100</t>
  </si>
  <si>
    <t>TAG Kalanchoe Calandiva Turner 100/100 Pixie Tag DO FUL</t>
  </si>
  <si>
    <t>0611884272100</t>
  </si>
  <si>
    <t>TAG Kalanchoe Calor Fabulous Fanta 100/100 Pixie Tag FUL</t>
  </si>
  <si>
    <t>0611862855100</t>
  </si>
  <si>
    <t>TAG Kalanchoe Cates Decorative 100/100 Pixie Tag FUL</t>
  </si>
  <si>
    <t>0611862856100</t>
  </si>
  <si>
    <t>TAG Kalanchoe Cher Decorative 100/100 Pixie Tag FUL</t>
  </si>
  <si>
    <t>0611862857100</t>
  </si>
  <si>
    <t>TAG Kalanchoe Chocolate Soldier 100/100 Pixie Tag FUL</t>
  </si>
  <si>
    <t>0611862858100</t>
  </si>
  <si>
    <t>TAG Kalanchoe Cima 100/100 Pixie Tag FUL</t>
  </si>
  <si>
    <t>0611862859100</t>
  </si>
  <si>
    <t>TAG Kalanchoe Citrine 100/100 Pixie Tag FUL</t>
  </si>
  <si>
    <t>0611862860100</t>
  </si>
  <si>
    <t>TAG Kalanchoe Coto 100/100 Pixie Tag FUL</t>
  </si>
  <si>
    <t>0611862861100</t>
  </si>
  <si>
    <t>TAG Kalanchoe Davis 100/100 Pixie Tag</t>
  </si>
  <si>
    <t>0611862862100</t>
  </si>
  <si>
    <t>TAG Kalanchoe Dendi 100/100 Pixie Tag FUL</t>
  </si>
  <si>
    <t>0611862863100</t>
  </si>
  <si>
    <t>TAG Kalanchoe Dern 100/100 Pixie Tag</t>
  </si>
  <si>
    <t>0611862864100</t>
  </si>
  <si>
    <t>TAG Kalanchoe Discodip 100/100 Pixie Tag FUL</t>
  </si>
  <si>
    <t>0611862865100</t>
  </si>
  <si>
    <t>TAG Kalanchoe Elgon 100/100 Pixie Tag</t>
  </si>
  <si>
    <t>0611862866100</t>
  </si>
  <si>
    <t>TAG Kalanchoe Ewbank 100/100 Pixie Tag</t>
  </si>
  <si>
    <t>0611835901100</t>
  </si>
  <si>
    <t>TAG Kalanchoe Fang Felt Plant 100/100 Pixie Tag</t>
  </si>
  <si>
    <t>0611884273100</t>
  </si>
  <si>
    <t>TAG Kalanchoe Felt Plant 100/100 Pixie Tag</t>
  </si>
  <si>
    <t>0611862867100</t>
  </si>
  <si>
    <t>TAG Kalanchoe Ferna 100/100 Pixie Tag</t>
  </si>
  <si>
    <t>0611862868100</t>
  </si>
  <si>
    <t>TAG Kalanchoe Fiesta 100/100 Pixie Tag FUL</t>
  </si>
  <si>
    <t>0611862869100</t>
  </si>
  <si>
    <t>TAG Kalanchoe Flamingo 100/100 Pixie Tag FUL</t>
  </si>
  <si>
    <t>0611835903100</t>
  </si>
  <si>
    <t>TAG Kalanchoe Flap Jack Plant 100/100 Pixie Tag</t>
  </si>
  <si>
    <t>0611862870100</t>
  </si>
  <si>
    <t>TAG Kalanchoe Flor 100/100 Pixie Tag FUL</t>
  </si>
  <si>
    <t>0611862871100</t>
  </si>
  <si>
    <t>TAG Kalanchoe Foster 100/100 Pixie Tag FUL</t>
  </si>
  <si>
    <t>0611862872100</t>
  </si>
  <si>
    <t>TAG Kalanchoe Fox 100/100 Pixie Tag FUL</t>
  </si>
  <si>
    <t>0611862873100</t>
  </si>
  <si>
    <t>TAG Kalanchoe Fuego 100/100 Pixie Tag FUL</t>
  </si>
  <si>
    <t>0611862874100</t>
  </si>
  <si>
    <t>TAG Kalanchoe Gallonera 100/100 Pixie Tag FUL</t>
  </si>
  <si>
    <t>0611862875100</t>
  </si>
  <si>
    <t>TAG Kalanchoe Garbo 100/100 Pixie Tag FUL</t>
  </si>
  <si>
    <t>0611857008100</t>
  </si>
  <si>
    <t>TAG Kalanchoe GENERIC 100/100 Pixie Tag</t>
  </si>
  <si>
    <t>0611835904100</t>
  </si>
  <si>
    <t>0611862828100</t>
  </si>
  <si>
    <t>TAG Kalanchoe Grandiva Auger 100/100 Pixie Tag FUL</t>
  </si>
  <si>
    <t>0611862829100</t>
  </si>
  <si>
    <t>TAG Kalanchoe Grandiva Barber 100/100 Pixie Tag FUL</t>
  </si>
  <si>
    <t>0611862876100</t>
  </si>
  <si>
    <t>TAG Kalanchoe Grandiva Rimes 100/100 Pixie Tag FUL</t>
  </si>
  <si>
    <t>0611862877100</t>
  </si>
  <si>
    <t>TAG Kalanchoe Hawn 100/100 Pixie Tag FUL</t>
  </si>
  <si>
    <t>0611862878100</t>
  </si>
  <si>
    <t>TAG Kalanchoe Hekla 100/100 Pixie Tag FUL</t>
  </si>
  <si>
    <t>0611862879100</t>
  </si>
  <si>
    <t>TAG Kalanchoe Jamaica 100/100 Pixie Tag FUL</t>
  </si>
  <si>
    <t>0611884274100</t>
  </si>
  <si>
    <t>TAG Kalanchoe Kalanchoe Generic 100/100 Pixie Tag</t>
  </si>
  <si>
    <t>0611862880100</t>
  </si>
  <si>
    <t>TAG Kalanchoe Kerinci 100/100 Pixie Tag FUL</t>
  </si>
  <si>
    <t>0611862881100</t>
  </si>
  <si>
    <t>TAG Kalanchoe Keruna 100/100 Pixie Tag FUL</t>
  </si>
  <si>
    <t>0611862882100</t>
  </si>
  <si>
    <t>TAG Kalanchoe Kikai 100/100 Pixie Tag FUL</t>
  </si>
  <si>
    <t>0611862883100</t>
  </si>
  <si>
    <t>TAG Kalanchoe La Douce 100/100 Pixie Tag FUL</t>
  </si>
  <si>
    <t>0611862884100</t>
  </si>
  <si>
    <t>TAG Kalanchoe Lanin 100/100 Pixie Tag FUL</t>
  </si>
  <si>
    <t>0611862885100</t>
  </si>
  <si>
    <t>TAG Kalanchoe Lascar 100/100 Pixie Tag FUL</t>
  </si>
  <si>
    <t>0611862886100</t>
  </si>
  <si>
    <t>TAG Kalanchoe Leaping Dolphins 100/100 Pixie Tag FUL</t>
  </si>
  <si>
    <t>0611862887100</t>
  </si>
  <si>
    <t>TAG Kalanchoe Leonardo 100/100 Pixie Tag FUL</t>
  </si>
  <si>
    <t>0611862888100</t>
  </si>
  <si>
    <t>TAG Kalanchoe Lican 100/100 Pixie Tag FUL</t>
  </si>
  <si>
    <t>0611862889100</t>
  </si>
  <si>
    <t>TAG Kalanchoe Longo 100/100 Pixie Tag</t>
  </si>
  <si>
    <t>0611862890100</t>
  </si>
  <si>
    <t>TAG Kalanchoe Loy 100/100 Pixie Tag FUL</t>
  </si>
  <si>
    <t>0611862891100</t>
  </si>
  <si>
    <t>TAG Kalanchoe Mandarin 100/100 Pixie Tag</t>
  </si>
  <si>
    <t>0611862892100</t>
  </si>
  <si>
    <t>TAG Kalanchoe Mere 100/100 Pixie Tag FUL</t>
  </si>
  <si>
    <t>0611862893100</t>
  </si>
  <si>
    <t>TAG Kalanchoe Middler 100/100 Pixie Tag</t>
  </si>
  <si>
    <t>0611862894100</t>
  </si>
  <si>
    <t>TAG Kalanchoe Midi Sunkissed Pink 100/100 Pixie Tag FUL</t>
  </si>
  <si>
    <t>0611862895100</t>
  </si>
  <si>
    <t>TAG Kalanchoe Mikeno 100/100 Pixie Tag FUL</t>
  </si>
  <si>
    <t>0611862896100</t>
  </si>
  <si>
    <t>TAG Kalanchoe Milos 100/100 Pixie Tag FUL</t>
  </si>
  <si>
    <t>0611862897100</t>
  </si>
  <si>
    <t>TAG Kalanchoe Moore 100/100 Pixie Tag FUL</t>
  </si>
  <si>
    <t>0611862898100</t>
  </si>
  <si>
    <t>TAG Kalanchoe Moreno 100/100 Pixie Tag FUL</t>
  </si>
  <si>
    <t>0611862899100</t>
  </si>
  <si>
    <t>TAG Kalanchoe Morne 100/100 Pixie Tag FUL</t>
  </si>
  <si>
    <t>0611862900100</t>
  </si>
  <si>
    <t>TAG Kalanchoe Newton 100/100 Pixie Tag FUL</t>
  </si>
  <si>
    <t>0611862901100</t>
  </si>
  <si>
    <t>TAG Kalanchoe Nigrum 100/100 Pixie Tag FUL</t>
  </si>
  <si>
    <t>0611862902100</t>
  </si>
  <si>
    <t>TAG Kalanchoe Nolin 100/100 Pixie Tag FUL</t>
  </si>
  <si>
    <t>0611862903100</t>
  </si>
  <si>
    <t>TAG Kalanchoe Opala 100/100 Pixie Tag FUL</t>
  </si>
  <si>
    <t>0611862904100</t>
  </si>
  <si>
    <t>TAG Kalanchoe Orgyalis 100/100 Pixie Tag FUL</t>
  </si>
  <si>
    <t>0611835905100</t>
  </si>
  <si>
    <t>TAG Kalanchoe Panda Plant Tomentosa 100/100 Pixie Tag</t>
  </si>
  <si>
    <t>0611862905100</t>
  </si>
  <si>
    <t>TAG Kalanchoe Partridge 100/100 Pixie Tag FUL</t>
  </si>
  <si>
    <t>0611862906100</t>
  </si>
  <si>
    <t>TAG Kalanchoe Paso 100/100 Pixie Tag FUL</t>
  </si>
  <si>
    <t>0611862907100</t>
  </si>
  <si>
    <t>TAG Kalanchoe Petero 100/100 Pixie Tag FUL</t>
  </si>
  <si>
    <t>0611862908100</t>
  </si>
  <si>
    <t>TAG Kalanchoe Pilas 100/100 Pixie Tag FUL</t>
  </si>
  <si>
    <t>0611862909100</t>
  </si>
  <si>
    <t>TAG Kalanchoe Piton 100/100 Pixie Tag</t>
  </si>
  <si>
    <t>0611862910100</t>
  </si>
  <si>
    <t>TAG Kalanchoe Piton Pink 100/100 Pixie Tag</t>
  </si>
  <si>
    <t>0611862911100</t>
  </si>
  <si>
    <t>TAG Kalanchoe Polar Bear 100/100 Pixie Tag FUL</t>
  </si>
  <si>
    <t>0611862912100</t>
  </si>
  <si>
    <t>TAG Kalanchoe Raja 100/100 Pixie Tag FUL</t>
  </si>
  <si>
    <t>0611862913100</t>
  </si>
  <si>
    <t>TAG Kalanchoe Rio 100/100 Pixie Tag FUL</t>
  </si>
  <si>
    <t>0611862914100</t>
  </si>
  <si>
    <t>TAG Kalanchoe Rubio 100/100 Pixie Tag FUL</t>
  </si>
  <si>
    <t>0611862915100</t>
  </si>
  <si>
    <t>TAG Kalanchoe Rudak 100/100 Pixie Tag FUL</t>
  </si>
  <si>
    <t>0611862916100</t>
  </si>
  <si>
    <t>TAG Kalanchoe Saja 100/100 Pixie Tag FUL</t>
  </si>
  <si>
    <t>0611884275100</t>
  </si>
  <si>
    <t>TAG Kalanchoe Silver Strand 100/100 Pixie Tag FUL</t>
  </si>
  <si>
    <t>0611862917100</t>
  </si>
  <si>
    <t>TAG Kalanchoe Soldana 100/100 Pixie Tag FUL</t>
  </si>
  <si>
    <t>0611862918100</t>
  </si>
  <si>
    <t>TAG Kalanchoe Tenorio 100/100 Pixie Tag FUL</t>
  </si>
  <si>
    <t>0611862919100</t>
  </si>
  <si>
    <t>TAG Kalanchoe Theron 100/100 Pixie Tag FUL</t>
  </si>
  <si>
    <t>0611862920100</t>
  </si>
  <si>
    <t>TAG Kalanchoe Thyrsiflora 100/100 Pixie Tag FUL</t>
  </si>
  <si>
    <t>0611862921100</t>
  </si>
  <si>
    <t>TAG Kalanchoe Toka 100/100 Pixie Tag FUL</t>
  </si>
  <si>
    <t>0611862922100</t>
  </si>
  <si>
    <t>TAG Kalanchoe Tomas 100/100 Pixie Tag FUL</t>
  </si>
  <si>
    <t>0611862923100</t>
  </si>
  <si>
    <t>TAG Kalanchoe Tombo 100/100 Pixie Tag FUL</t>
  </si>
  <si>
    <t>0611862924100</t>
  </si>
  <si>
    <t>TAG Kalanchoe Tomentosa 100/100 Pixie Tag FUL</t>
  </si>
  <si>
    <t>0611862925100</t>
  </si>
  <si>
    <t>TAG Kalanchoe Tweed 100/100 Pixie Tag FUL</t>
  </si>
  <si>
    <t>0611862926100</t>
  </si>
  <si>
    <t>TAG Kalanchoe Tweed 22 100/100 Pixie Tag</t>
  </si>
  <si>
    <t>0611862927100</t>
  </si>
  <si>
    <t>TAG Kalanchoe Tylo 100/100 Pixie Tag FUL</t>
  </si>
  <si>
    <t>0611862928100</t>
  </si>
  <si>
    <t>TAG Kalanchoe Vega 100/100 Pixie Tag FUL</t>
  </si>
  <si>
    <t>0611862929100</t>
  </si>
  <si>
    <t>TAG Kalanchoe Venia 100/100 Pixie Tag</t>
  </si>
  <si>
    <t>0611862930100</t>
  </si>
  <si>
    <t>TAG Kalanchoe Villosa 100/100 Pixie Tag FUL</t>
  </si>
  <si>
    <t>0611862931100</t>
  </si>
  <si>
    <t>TAG Kalanchoe Weaver 100/100 Pixie Tag FUL</t>
  </si>
  <si>
    <t>0611862932100</t>
  </si>
  <si>
    <t>TAG Kalanchoe Welch 100/100 Pixie Tag FUL</t>
  </si>
  <si>
    <t>0611862933100</t>
  </si>
  <si>
    <t>TAG Kalanchoe Wevano 100/100 Pixie Tag FUL</t>
  </si>
  <si>
    <t>0611862934100</t>
  </si>
  <si>
    <t>TAG Kalanchoe Whites 100/100 Pixie Tag FUL</t>
  </si>
  <si>
    <t>0611862935100</t>
  </si>
  <si>
    <t>TAG Kalanchoe Wilis 100/100 Pixie Tag FUL</t>
  </si>
  <si>
    <t>0611862936100</t>
  </si>
  <si>
    <t>TAG Kalanchoe York 100/100 Pixie Tag FUL</t>
  </si>
  <si>
    <t>0611862937100</t>
  </si>
  <si>
    <t>TAG Kalanchoe Zeta 100/100 Pixie Tag FUL</t>
  </si>
  <si>
    <t>0611831813100</t>
  </si>
  <si>
    <t>TAG Kale Blue Curled Scotch 100/100 Pixie Tag</t>
  </si>
  <si>
    <t>0611831897100</t>
  </si>
  <si>
    <t>TAG Kale GENERIC 100/100 Pixie Tag</t>
  </si>
  <si>
    <t>0611831903100</t>
  </si>
  <si>
    <t>TAG Kale Lacinato 100/100 Pixie Tag</t>
  </si>
  <si>
    <t>0611831936100</t>
  </si>
  <si>
    <t>TAG Kale Prizm 100/100 Pixie Tag</t>
  </si>
  <si>
    <t>0611831945100</t>
  </si>
  <si>
    <t>TAG Kale Red Russian 100/100 Pixie Tag</t>
  </si>
  <si>
    <t>0611831947100</t>
  </si>
  <si>
    <t>TAG Kale Redbor 100/100 Pixie Tag</t>
  </si>
  <si>
    <t>0611831956100</t>
  </si>
  <si>
    <t>TAG Kale Scarletbor 100/100 Pixie Tag</t>
  </si>
  <si>
    <t>0611831959025</t>
  </si>
  <si>
    <t>TAG Kale Simply Salad Storm Mix 25/25 Portrait Tag</t>
  </si>
  <si>
    <t>0611831966100</t>
  </si>
  <si>
    <t>TAG Kale Starbor 100/100 Pixie Tag</t>
  </si>
  <si>
    <t>0611831986100</t>
  </si>
  <si>
    <t>TAG Kale Winterbor 100/100 Pixie Tag</t>
  </si>
  <si>
    <t>0611835906025</t>
  </si>
  <si>
    <t>TAG Kniphofia Border Ballet 25/25 Portrait Tag</t>
  </si>
  <si>
    <t>0611835907025</t>
  </si>
  <si>
    <t>TAG Kniphofia Flamenco 25/25 Portrait Tag</t>
  </si>
  <si>
    <t>0611857014025</t>
  </si>
  <si>
    <t>TAG Kniphofia Glowstick 25/25 Portrait Tag</t>
  </si>
  <si>
    <t>0611835908025</t>
  </si>
  <si>
    <t>TAG Kniphofia Poco Citron 25/25 Portrait Tag</t>
  </si>
  <si>
    <t>0611835909025</t>
  </si>
  <si>
    <t>TAG Kniphofia Poco Orange 25/25 Portrait Tag</t>
  </si>
  <si>
    <t>0611835910025</t>
  </si>
  <si>
    <t>TAG Kniphofia Poco Red 25/25 Portrait Tag</t>
  </si>
  <si>
    <t>0611835912100</t>
  </si>
  <si>
    <t>TAG Kniphofia Red Hot Poker GENERIC 100/100 Pixie Tag</t>
  </si>
  <si>
    <t>0611835913025</t>
  </si>
  <si>
    <t>TAG Kniphofia Red Hot Poker GENERIC 25/25 Portrait Tag</t>
  </si>
  <si>
    <t>0611835914025</t>
  </si>
  <si>
    <t>TAG Koeleria Coolio 25/25 Portrait Tag</t>
  </si>
  <si>
    <t>0611831857100</t>
  </si>
  <si>
    <t>TAG Kohlrabi Early Purple Vienna 100/100 Pixie Tag</t>
  </si>
  <si>
    <t>0611831859100</t>
  </si>
  <si>
    <t>TAG Kohlrabi Early White Vienna 100/100 Pixie Tag</t>
  </si>
  <si>
    <t>0611831871100</t>
  </si>
  <si>
    <t>TAG Kohlrabi Giant Storage Type GENERIC 100/100 Pixie Tag</t>
  </si>
  <si>
    <t>0611831877100</t>
  </si>
  <si>
    <t>TAG Kohlrabi Gourmet Purple 100/100 Pixie Tag</t>
  </si>
  <si>
    <t>0611831878100</t>
  </si>
  <si>
    <t>TAG Kohlrabi Gourmet White 100/100 Pixie Tag</t>
  </si>
  <si>
    <t>0611831881100</t>
  </si>
  <si>
    <t>TAG Kohlrabi Grand Duke Hybrid 100/100 Pixie Tag</t>
  </si>
  <si>
    <t>0611831902100</t>
  </si>
  <si>
    <t>TAG Kohlrabi Konan 100/100 Pixie Tag</t>
  </si>
  <si>
    <t>0611831937100</t>
  </si>
  <si>
    <t>TAG Kohlrabi Quickstar 100/100 Pixie Tag</t>
  </si>
  <si>
    <t>0611831985100</t>
  </si>
  <si>
    <t>TAG Kohlrabi Winner 100/100 Pixie Tag</t>
  </si>
  <si>
    <t>0611862938050</t>
  </si>
  <si>
    <t>TAG Kwik Kombo A Touch Of Color Mix 50/50 Petite Portrait SF FUL</t>
  </si>
  <si>
    <t>0611862939050</t>
  </si>
  <si>
    <t>TAG Kwik Kombo All That Glitters 50/50 Petite Portrait SF FUL</t>
  </si>
  <si>
    <t>0611862940050</t>
  </si>
  <si>
    <t>TAG Kwik Kombo Banana Pancakes Mix 50/50 Petite Portrait SF FUL</t>
  </si>
  <si>
    <t>0611862941050</t>
  </si>
  <si>
    <t>TAG Kwik Kombo Bandana Lava Flow Mix 50/50 Petite Portrait SF FUL</t>
  </si>
  <si>
    <t>0611862942050</t>
  </si>
  <si>
    <t>TAG Kwik Kombo Bandana Lemon Meringue Mix 50/50 Petite Portrait SF FUL</t>
  </si>
  <si>
    <t>0611862943050</t>
  </si>
  <si>
    <t>TAG Kwik Kombo Bandana Lemon Squeeze Mix 50/50 Petite Portrait SF FUL</t>
  </si>
  <si>
    <t>0611862944050</t>
  </si>
  <si>
    <t>TAG Kwik Kombo Bandana Tropical Fruit Mix 50/50 Petite Portrait SF FUL</t>
  </si>
  <si>
    <t>0611884276050</t>
  </si>
  <si>
    <t>TAG Kwik Kombo Bandolista Go Coconuts Mix 50/50 Petite Portrait SF FUL</t>
  </si>
  <si>
    <t>0611884277050</t>
  </si>
  <si>
    <t>TAG Kwik Kombo Bandolista Hot Chili Mix 50/50 Petite Portrait SF FUL</t>
  </si>
  <si>
    <t>0611862945050</t>
  </si>
  <si>
    <t>TAG Kwik Kombo Beach Bound Mix 50/50 Petite Portrait SF FUL</t>
  </si>
  <si>
    <t>0611862946050</t>
  </si>
  <si>
    <t>TAG Kwik Kombo Beach Breeze Mix 50/50 Petite Portrait SF FUL</t>
  </si>
  <si>
    <t>0611862947050</t>
  </si>
  <si>
    <t>TAG Kwik Kombo Beach Bum Mix 50/50 Petite Portrait SF FUL</t>
  </si>
  <si>
    <t>0611862948050</t>
  </si>
  <si>
    <t>TAG Kwik Kombo Blue Breeze 50/50 Petite Portrait SF FUL</t>
  </si>
  <si>
    <t>0611862949050</t>
  </si>
  <si>
    <t>TAG Kwik Kombo Blue Lightning Mix 50/50 Petite Portrait SF FUL</t>
  </si>
  <si>
    <t>0611862950050</t>
  </si>
  <si>
    <t>TAG Kwik Kombo Blue Ridge Mix 50/50 Petite Portrait SF FUL</t>
  </si>
  <si>
    <t>0611884278050</t>
  </si>
  <si>
    <t>TAG Kwik Kombo Blueberry Blast Mix 50/50 Petite Portrait SF FUL</t>
  </si>
  <si>
    <t>0611862951050</t>
  </si>
  <si>
    <t>TAG Kwik Kombo Blueberry Twist 50/50 Petite Portrait SF FUL</t>
  </si>
  <si>
    <t>0611862952050</t>
  </si>
  <si>
    <t>TAG Kwik Kombo Bombay Summer Sparkler Mix 50/50 Petite Portrait SF FUL</t>
  </si>
  <si>
    <t>0611862953050</t>
  </si>
  <si>
    <t>TAG Kwik Kombo Bright Spot Mix 50/50 Petite Portrait SF FUL</t>
  </si>
  <si>
    <t>0611862954050</t>
  </si>
  <si>
    <t>TAG Kwik Kombo Cabrio Life Is A Highway Mix 50/50 Petite Portrait SF FUL</t>
  </si>
  <si>
    <t>0611862955050</t>
  </si>
  <si>
    <t>TAG Kwik Kombo Cabrio Ride Along Mix 50/50 Petite Portrait SF FUL</t>
  </si>
  <si>
    <t>0611862956050</t>
  </si>
  <si>
    <t>TAG Kwik Kombo Cabrio Road Trip Mix 50/50 Petite Portrait SF FUL</t>
  </si>
  <si>
    <t>0611862957050</t>
  </si>
  <si>
    <t>TAG Kwik Kombo Cabrio Speed Limit Mix 50/50 Petite Portrait SF FUL</t>
  </si>
  <si>
    <t>0611862958050</t>
  </si>
  <si>
    <t>TAG Kwik Kombo Cabrio Zoom Zoom Mix 50/50 Petite Portrait SF FUL</t>
  </si>
  <si>
    <t>0611862959050</t>
  </si>
  <si>
    <t>TAG Kwik Kombo Callie Citrus Fire Mix 50/50 Petite Portrait SF FUL</t>
  </si>
  <si>
    <t>0611862960050</t>
  </si>
  <si>
    <t>TAG Kwik Kombo Callie Color Wheel Mix 50/50 Petite Portrait SF FUL</t>
  </si>
  <si>
    <t>0611862961050</t>
  </si>
  <si>
    <t>TAG Kwik Kombo Callie Pink Bliss Mix 50/50 Petite Portrait SF FUL</t>
  </si>
  <si>
    <t>0611862962050</t>
  </si>
  <si>
    <t>TAG Kwik Kombo Carita Summer Berry Blast Mix 50/50 Petite Portrait SF FUL</t>
  </si>
  <si>
    <t>0611862963050</t>
  </si>
  <si>
    <t>TAG Kwik Kombo Cherry Blossom Mix 50/50 Petite Portrait SF FUL</t>
  </si>
  <si>
    <t>0611862964050</t>
  </si>
  <si>
    <t>TAG Kwik Kombo Chloe's Mix 50/50 Petite Portrait SF FUL</t>
  </si>
  <si>
    <t>0611862965050</t>
  </si>
  <si>
    <t>TAG Kwik Kombo Ciao Bella Mix 50/50 Petite Portrait SF FUL</t>
  </si>
  <si>
    <t>0611862966050</t>
  </si>
  <si>
    <t>TAG Kwik Kombo Ciao Bella Mix Limited Availability 50/50 Petite Portrait SF FUL</t>
  </si>
  <si>
    <t>0611862967050</t>
  </si>
  <si>
    <t>TAG Kwik Kombo Coral Kisses Mix 50/50 Petite Portrait SF FUL</t>
  </si>
  <si>
    <t>0611862968050</t>
  </si>
  <si>
    <t>TAG Kwik Kombo Crushed Velvet Mix 50/50 Petite Portrait SF FUL</t>
  </si>
  <si>
    <t>0611862969050</t>
  </si>
  <si>
    <t>TAG Kwik Kombo Curb Appeal 50/50 Petite Portrait SF FUL</t>
  </si>
  <si>
    <t>0611862970050</t>
  </si>
  <si>
    <t>TAG Kwik Kombo Darling Pink Mix 50/50 Petite Portrait SF FUL</t>
  </si>
  <si>
    <t>0611862971050</t>
  </si>
  <si>
    <t>TAG Kwik Kombo Dekko Dare Devil Mix 50/50 Petite Portrait SF FUL</t>
  </si>
  <si>
    <t>0611884279050</t>
  </si>
  <si>
    <t>TAG Kwik Kombo Dekko Lavender Twist Mix 50/50 Petite Portrait SF FUL</t>
  </si>
  <si>
    <t>0611862972050</t>
  </si>
  <si>
    <t>TAG Kwik Kombo Dekko Moody Blues Mix 50/50 Petite Portrait SF FUL</t>
  </si>
  <si>
    <t>0611862973050</t>
  </si>
  <si>
    <t>TAG Kwik Kombo Dekko Salute Mix 50/50 Petite Portrait SF FUL</t>
  </si>
  <si>
    <t>0611862974050</t>
  </si>
  <si>
    <t>TAG Kwik Kombo Dekko Starfish Mix 50/50 Petite Portrait SF FUL</t>
  </si>
  <si>
    <t>0611862975050</t>
  </si>
  <si>
    <t>TAG Kwik Kombo Effortless Beauty Mix 50/50 Petite Portrait SF FUL</t>
  </si>
  <si>
    <t>0611862976050</t>
  </si>
  <si>
    <t>TAG Kwik Kombo Endless Love Mix 50/50 Petite Portrait SF FUL</t>
  </si>
  <si>
    <t>0611862977050</t>
  </si>
  <si>
    <t>TAG Kwik Kombo Fire And Ice Mix 50/50 Petite Portrait SF FUL</t>
  </si>
  <si>
    <t>0611862978050</t>
  </si>
  <si>
    <t>TAG Kwik Kombo Grand Finale Mix 50/50 Petite Portrait SF FUL</t>
  </si>
  <si>
    <t>0611862979050</t>
  </si>
  <si>
    <t>TAG Kwik Kombo Grape Expectations 50/50 Petite Portrait SF FUL</t>
  </si>
  <si>
    <t>0611862980050</t>
  </si>
  <si>
    <t>TAG Kwik Kombo Harvest Moon Mix 50/50 Petite Portrait SF FUL</t>
  </si>
  <si>
    <t>0611862981050</t>
  </si>
  <si>
    <t>TAG Kwik Kombo Hot Tamale Mix 50/50 Petite Portrait SF FUL</t>
  </si>
  <si>
    <t>0611862982050</t>
  </si>
  <si>
    <t>TAG Kwik Kombo I Like It Hot 50/50 Petite Portrait SF FUL</t>
  </si>
  <si>
    <t>0611862983050</t>
  </si>
  <si>
    <t>TAG Kwik Kombo In A Jam Mix 50/50 Petite Portrait SF FUL</t>
  </si>
  <si>
    <t>0611862984050</t>
  </si>
  <si>
    <t>TAG Kwik Kombo Island In The Sun Mix 50/50 Petite Portrait SF FUL</t>
  </si>
  <si>
    <t>0611862985050</t>
  </si>
  <si>
    <t>TAG Kwik Kombo Itsy Bitsy Mix 50/50 Petite Portrait SF FUL</t>
  </si>
  <si>
    <t>0611884280050</t>
  </si>
  <si>
    <t>TAG Kwik Kombo Itsy Trifection Mix 50/50 Petite Portrait SF FUL</t>
  </si>
  <si>
    <t>0611862986050</t>
  </si>
  <si>
    <t>TAG Kwik Kombo Lemon Chiffon Mix 50/50 Petite Portrait SF FUL</t>
  </si>
  <si>
    <t>0611862987050</t>
  </si>
  <si>
    <t>TAG Kwik Kombo Light Bright Mix 50/50 Petite Portrait SF FUL</t>
  </si>
  <si>
    <t>0611862988050</t>
  </si>
  <si>
    <t>TAG Kwik Kombo Little Piece Of My Heart Mix 50/50 Petite Portrait SF FUL</t>
  </si>
  <si>
    <t>0611862989050</t>
  </si>
  <si>
    <t>TAG Kwik Kombo Love Bird Mix 50/50 Petite Portrait SF FUL</t>
  </si>
  <si>
    <t>0611862990050</t>
  </si>
  <si>
    <t>TAG Kwik Kombo Love Potion Mix 50/50 Petite Portrait SF FUL</t>
  </si>
  <si>
    <t>0611862991050</t>
  </si>
  <si>
    <t>TAG Kwik Kombo Mai Tai Mix 50/50 Petite Portrait SF FUL</t>
  </si>
  <si>
    <t>0611862992050</t>
  </si>
  <si>
    <t>TAG Kwik Kombo Makin' Me Blush Mix 50/50 Petite Portrait SF FUL</t>
  </si>
  <si>
    <t>0611862993050</t>
  </si>
  <si>
    <t>TAG Kwik Kombo Mermaid Tails Mix 50/50 Petite Portrait SF FUL</t>
  </si>
  <si>
    <t>0611862994050</t>
  </si>
  <si>
    <t>TAG Kwik Kombo Midnight Moon Mix 50/50 Petite Portrait SF FUL</t>
  </si>
  <si>
    <t>0611862995050</t>
  </si>
  <si>
    <t>TAG Kwik Kombo Mom's Chosen One 50/50 Petite Portrait SF FUL</t>
  </si>
  <si>
    <t>0611862996050</t>
  </si>
  <si>
    <t>TAG Kwik Kombo Mom's Favorite Mix 50/50 Petite Portrait SF FUL</t>
  </si>
  <si>
    <t>0611862997050</t>
  </si>
  <si>
    <t>TAG Kwik Kombo Night In Pompeii Mix 50/50 Petite Portrait SF FUL</t>
  </si>
  <si>
    <t>0611862998050</t>
  </si>
  <si>
    <t>TAG Kwik Kombo Paloma Mix 50/50 Petite Portrait SF FUL</t>
  </si>
  <si>
    <t>0611862999050</t>
  </si>
  <si>
    <t>TAG Kwik Kombo Patio Selfie 50/50 Petite Portrait SF FUL</t>
  </si>
  <si>
    <t>0611863000050</t>
  </si>
  <si>
    <t>TAG Kwik Kombo Picotee Passion Mix 50/50 Petite Portrait SF FUL</t>
  </si>
  <si>
    <t>0611863001050</t>
  </si>
  <si>
    <t>TAG Kwik Kombo Pink Flamingo Mix 50/50 Petite Portrait SF FUL</t>
  </si>
  <si>
    <t>0611863002050</t>
  </si>
  <si>
    <t>TAG Kwik Kombo Pink Lemonade Mix 50/50 Petite Portrait SF FUL</t>
  </si>
  <si>
    <t>0611863003050</t>
  </si>
  <si>
    <t>TAG Kwik Kombo Pink Limeaide Mix 50/50 Petite Portrait SF FUL</t>
  </si>
  <si>
    <t>0611863004050</t>
  </si>
  <si>
    <t>TAG Kwik Kombo Pink Patio 50/50 Petite Portrait SF FUL</t>
  </si>
  <si>
    <t>0611863005050</t>
  </si>
  <si>
    <t>TAG Kwik Kombo Pink Prism Mix 50/50 Petite Portrait SF FUL</t>
  </si>
  <si>
    <t>0611863006050</t>
  </si>
  <si>
    <t>TAG Kwik Kombo Plum Tastic Mix 50/50 Petite Portrait SF FUL</t>
  </si>
  <si>
    <t>0611863007050</t>
  </si>
  <si>
    <t>TAG Kwik Kombo Pops Goes The Combo Mix 50/50 Petite Portrait SF FUL</t>
  </si>
  <si>
    <t>0611863008050</t>
  </si>
  <si>
    <t>TAG Kwik Kombo Powder Puff Mix 50/50 Petite Portrait SF FUL</t>
  </si>
  <si>
    <t>0611863009050</t>
  </si>
  <si>
    <t>TAG Kwik Kombo Primary Perfection Mix 50/50 Petite Portrait SF FUL</t>
  </si>
  <si>
    <t>0611863010050</t>
  </si>
  <si>
    <t>TAG Kwik Kombo Rainy Days Mix 50/50 Petite Portrait SF FUL</t>
  </si>
  <si>
    <t>0611863011050</t>
  </si>
  <si>
    <t>TAG Kwik Kombo Rock N' Roll Mix 50/50 Petite Portrait SF FUL</t>
  </si>
  <si>
    <t>0611863012050</t>
  </si>
  <si>
    <t>TAG Kwik Kombo Rockets' Red Glare Mix 50/50 Petite Portrait SF FUL</t>
  </si>
  <si>
    <t>0611863013050</t>
  </si>
  <si>
    <t>TAG Kwik Kombo Rockies Mix 50/50 Petite Portrait SF FUL</t>
  </si>
  <si>
    <t>0611863014050</t>
  </si>
  <si>
    <t>TAG Kwik Kombo Rocky Mountain High Mix 50/50 Petite Portrait SF FUL</t>
  </si>
  <si>
    <t>0611863015050</t>
  </si>
  <si>
    <t>TAG Kwik Kombo Rosewater Mix 50/50 Petite Portrait SF FUL</t>
  </si>
  <si>
    <t>0611863016050</t>
  </si>
  <si>
    <t>TAG Kwik Kombo Royal Duchess Mix 50/50 Petite Portrait SF FUL</t>
  </si>
  <si>
    <t>0611863017050</t>
  </si>
  <si>
    <t>TAG Kwik Kombo Royal Gold Mix 50/50 Petite Portrait SF FUL</t>
  </si>
  <si>
    <t>0611863018050</t>
  </si>
  <si>
    <t>TAG Kwik Kombo Salsa Mix 50/50 Petite Portrait SF FUL</t>
  </si>
  <si>
    <t>0611863019050</t>
  </si>
  <si>
    <t>TAG Kwik Kombo Sangria And Sunsets 50/50 Petite Portrait SF FUL</t>
  </si>
  <si>
    <t>0611863020050</t>
  </si>
  <si>
    <t>TAG Kwik Kombo Sangria And Sunsets Mix Improved 50/50 Petite Portrait SF FUL</t>
  </si>
  <si>
    <t>0611863021050</t>
  </si>
  <si>
    <t>TAG Kwik Kombo Sanguna Moody Blues Mix 50/50 Petite Portrait SF FUL</t>
  </si>
  <si>
    <t>0611863022050</t>
  </si>
  <si>
    <t>TAG Kwik Kombo Sanguna Punk Rock Mix 50/50 Petite Portrait SF FUL</t>
  </si>
  <si>
    <t>0611863023050</t>
  </si>
  <si>
    <t>TAG Kwik Kombo Sanguna Salute Mix 50/50 Petite Portrait SF FUL</t>
  </si>
  <si>
    <t>0611863024050</t>
  </si>
  <si>
    <t>TAG Kwik Kombo Sanguna Summer Cooler Mix 50/50 Petite Portrait SF FUL</t>
  </si>
  <si>
    <t>0611863025050</t>
  </si>
  <si>
    <t>TAG Kwik Kombo Sea Monkey Mix 50/50 Petite Portrait SF FUL</t>
  </si>
  <si>
    <t>0611863026050</t>
  </si>
  <si>
    <t>TAG Kwik Kombo Sedona Mix 50/50 Petite Portrait SF FUL</t>
  </si>
  <si>
    <t>0611863027050</t>
  </si>
  <si>
    <t>TAG Kwik Kombo Southwestern Summer Mix 50/50 Petite Portrait SF FUL</t>
  </si>
  <si>
    <t>0611863028050</t>
  </si>
  <si>
    <t>TAG Kwik Kombo Spring Breeze Mix 50/50 Petite Portrait SF FUL</t>
  </si>
  <si>
    <t>0611863029050</t>
  </si>
  <si>
    <t>TAG Kwik Kombo Spring Pop Mix 50/50 Petite Portrait SF FUL</t>
  </si>
  <si>
    <t>0611863030050</t>
  </si>
  <si>
    <t>TAG Kwik Kombo Spring Showers Mix 50/50 Petite Portrait SF FUL</t>
  </si>
  <si>
    <t>0611863031050</t>
  </si>
  <si>
    <t>TAG Kwik Kombo Spring Sunset Mix 50/50 Petite Portrait SF FUL</t>
  </si>
  <si>
    <t>0611863032050</t>
  </si>
  <si>
    <t>TAG Kwik Kombo Strawberry Daiquiri Mix 50/50 Petite Portrait SF FUL</t>
  </si>
  <si>
    <t>0611863033050</t>
  </si>
  <si>
    <t>TAG Kwik Kombo Summer Jelly Mix 50/50 Petite Portrait SF FUL</t>
  </si>
  <si>
    <t>0611863034050</t>
  </si>
  <si>
    <t>TAG Kwik Kombo Summer To Remember 50/50 Petite Portrait SF FUL</t>
  </si>
  <si>
    <t>0611863035050</t>
  </si>
  <si>
    <t>TAG Kwik Kombo Summerfun Mix 50/50 Petite Portrait SF FUL</t>
  </si>
  <si>
    <t>0611863036050</t>
  </si>
  <si>
    <t>TAG Kwik Kombo Summer's Promise 50/50 Petite Tag SF</t>
  </si>
  <si>
    <t>0611863037050</t>
  </si>
  <si>
    <t>TAG Kwik Kombo Surfer Chick Mix 50/50 Petite Portrait SF FUL</t>
  </si>
  <si>
    <t>0611863038050</t>
  </si>
  <si>
    <t>TAG Kwik Kombo Sweet Sixteen Mix 50/50 Petite Portrait SF FUL</t>
  </si>
  <si>
    <t>0611863039050</t>
  </si>
  <si>
    <t>TAG Kwik Kombo Tequila Sunrise Mix 50/50 Petite Portrait SF FUL</t>
  </si>
  <si>
    <t>0611863040050</t>
  </si>
  <si>
    <t>TAG Kwik Kombo That's The Spirit Mix 50/50 Petite Portrait SF FUL</t>
  </si>
  <si>
    <t>0611863041050</t>
  </si>
  <si>
    <t>TAG Kwik Kombo The Red Carpet Mix 50/50 Petite Portrait SF FUL</t>
  </si>
  <si>
    <t>0611863042050</t>
  </si>
  <si>
    <t>TAG Kwik Kombo Touch Of Class Mix 50/50 Petite Portrait SF FUL</t>
  </si>
  <si>
    <t>0611863043050</t>
  </si>
  <si>
    <t>TAG Kwik Kombo Walk Of Stars Mix 50/50 Petite Portrait SF FUL</t>
  </si>
  <si>
    <t>0611863044050</t>
  </si>
  <si>
    <t>TAG Kwik Kombo Water Lily Mix 50/50 Petite Portrait SF FUL</t>
  </si>
  <si>
    <t>0611863045050</t>
  </si>
  <si>
    <t>TAG Kwik Kombo Wine DO FULwn Mix 50/50 Petite Portrait SF FUL</t>
  </si>
  <si>
    <t>0611863046050</t>
  </si>
  <si>
    <t>TAG Kwik Kombo Wisteria Lane Mix 50/50 Petite Portrait SF FUL</t>
  </si>
  <si>
    <t>0611863047050</t>
  </si>
  <si>
    <t>TAG Kwik Kombo World's Fair Mix 50/50 Petite Portrait SF FUL</t>
  </si>
  <si>
    <t>0611835966100</t>
  </si>
  <si>
    <t>TAG Lagurus Rabbit Tail 100/100 Pixie Tag</t>
  </si>
  <si>
    <t>0611863048100</t>
  </si>
  <si>
    <t>TAG Lamiastrum Herman's Pride 100/100 Pixie Tag FUL</t>
  </si>
  <si>
    <t>0611835967025</t>
  </si>
  <si>
    <t>TAG Lamiastrum Herman's Pride 25/25 Portrait Tag</t>
  </si>
  <si>
    <t>0611863049050</t>
  </si>
  <si>
    <t>TAG Lamiastrum Herman's Pride 50/50 Petite Portrait FUL</t>
  </si>
  <si>
    <t>0611835968025</t>
  </si>
  <si>
    <t>TAG Lamiastrum Variegatum Galeobdolon 25/25 Portrait Tag</t>
  </si>
  <si>
    <t>0611863050100</t>
  </si>
  <si>
    <t>TAG Lamium Anne Greenaway 100/100 Pixie Tag FUL</t>
  </si>
  <si>
    <t>0611863051050</t>
  </si>
  <si>
    <t>TAG Lamium Anne Greenaway Limited Availability 50/50 Petite Portrait</t>
  </si>
  <si>
    <t>0611835969025</t>
  </si>
  <si>
    <t>TAG Lamium Anne Greenway 25/25 Portrait Tag</t>
  </si>
  <si>
    <t>0611863052050</t>
  </si>
  <si>
    <t>TAG Lamium Aureum 50/50 Petite Portrait FUL</t>
  </si>
  <si>
    <t>0611835970025</t>
  </si>
  <si>
    <t>TAG Lamium Aureum Maculatum 25/25 Portrait Tag</t>
  </si>
  <si>
    <t>0611863053100</t>
  </si>
  <si>
    <t>TAG Lamium Beacon Silver 100/100 Pixie Tag FUL</t>
  </si>
  <si>
    <t>0611835972025</t>
  </si>
  <si>
    <t>TAG Lamium Beacon Silver 25/25 Portrait Tag</t>
  </si>
  <si>
    <t>0611835977100</t>
  </si>
  <si>
    <t>TAG Lamium GENERIC Maculatum 100/100 Pixie Tag</t>
  </si>
  <si>
    <t>0611863054100</t>
  </si>
  <si>
    <t>TAG Lamium Ghost 100/100 Pixie Tag FUL</t>
  </si>
  <si>
    <t>0611863055050</t>
  </si>
  <si>
    <t>TAG Lamium Ghost Limited Availability 50/50 Petite Portrait</t>
  </si>
  <si>
    <t>0611835973025</t>
  </si>
  <si>
    <t>TAG Lamium Ghost Maculatum 25/25 Portrait Tag</t>
  </si>
  <si>
    <t>0611863056100</t>
  </si>
  <si>
    <t>TAG Lamium Golden Anniversary 100/100 Pixie Tag FUL</t>
  </si>
  <si>
    <t>0611835974100</t>
  </si>
  <si>
    <t>TAG Lamium Lami Dark Purple Maculatum 100/100 Pixie Tag</t>
  </si>
  <si>
    <t>0611835975025</t>
  </si>
  <si>
    <t>TAG Lamium Lami Dark Purple Maculatum 25/25 Portrait Tag</t>
  </si>
  <si>
    <t>0611835976100</t>
  </si>
  <si>
    <t>TAG Lamium Lami Mega Purple Maculatum 100/100 Pixie Tag</t>
  </si>
  <si>
    <t>0611835979025</t>
  </si>
  <si>
    <t>TAG Lamium Lemon Frost Maculatum 25/25 Portrait Tag</t>
  </si>
  <si>
    <t>0611863057100</t>
  </si>
  <si>
    <t>TAG Lamium Orchid Frost 100/100 Pixie Tag FUL</t>
  </si>
  <si>
    <t>0611863058100</t>
  </si>
  <si>
    <t>TAG Lamium Orchid Frost Gold 100/100 Pixie Tag FUL</t>
  </si>
  <si>
    <t>0611863059100</t>
  </si>
  <si>
    <t>TAG Lamium Orchid Frost Grande 100/100 Pixie Tag FUL</t>
  </si>
  <si>
    <t>0611863060050</t>
  </si>
  <si>
    <t>TAG Lamium Orchid Frost Limited Availability 50/50 Petite Portrait</t>
  </si>
  <si>
    <t>0611835980100</t>
  </si>
  <si>
    <t>TAG Lamium Orchid Frost Maculatum 100/100 Pixie Tag</t>
  </si>
  <si>
    <t>0611835981025</t>
  </si>
  <si>
    <t>TAG Lamium Orchid Frost Maculatum 25/25 Portrait Tag</t>
  </si>
  <si>
    <t>0611863061100</t>
  </si>
  <si>
    <t>TAG Lamium Pink Pewter 100/100 Pixie Tag FUL</t>
  </si>
  <si>
    <t>0611835983025</t>
  </si>
  <si>
    <t>TAG Lamium Pink Pewter 25/25 Portrait Tag</t>
  </si>
  <si>
    <t>0611863062100</t>
  </si>
  <si>
    <t>TAG Lamium Purple Dragon 100/100 Pixie Tag FUL</t>
  </si>
  <si>
    <t>0611835984025</t>
  </si>
  <si>
    <t>TAG Lamium Purple Dragon 25/25 Portrait Tag</t>
  </si>
  <si>
    <t>0611863063100</t>
  </si>
  <si>
    <t>TAG Lamium Red Nancy 100/100 Pixie Tag FUL</t>
  </si>
  <si>
    <t>0611835985025</t>
  </si>
  <si>
    <t>TAG Lamium Red Nancy 25/25 Portrait Tag</t>
  </si>
  <si>
    <t>0611835986025</t>
  </si>
  <si>
    <t>TAG Lamium Shell Pink Maculatum 25/25 Portrait Tag</t>
  </si>
  <si>
    <t>0611863064100</t>
  </si>
  <si>
    <t>TAG Lamium White Nancy 100/100 Pixie Tag FUL</t>
  </si>
  <si>
    <t>0611835988025</t>
  </si>
  <si>
    <t>TAG Lamium White Nancy 25/25 Portrait Tag</t>
  </si>
  <si>
    <t>0611835989100</t>
  </si>
  <si>
    <t>TAG Lampranthus Ice Plant GENERIC 100/100 Pixie Tag</t>
  </si>
  <si>
    <t>0611863065050</t>
  </si>
  <si>
    <t>TAG Lantana Bandana Black Cherry 50/50 Petite Portrait SF FUL</t>
  </si>
  <si>
    <t>0611863066050</t>
  </si>
  <si>
    <t>TAG Lantana Bandana Cherry 50/50 Petite Portrait SF FUL</t>
  </si>
  <si>
    <t>0611863067050</t>
  </si>
  <si>
    <t>TAG Lantana Bandana Cherry Sunrise 50/50 Petite Portrait SF FUL</t>
  </si>
  <si>
    <t>0611863068050</t>
  </si>
  <si>
    <t>TAG Lantana Bandana Gold 50/50 Petite Portrait SF FUL</t>
  </si>
  <si>
    <t>0611863069050</t>
  </si>
  <si>
    <t>TAG Lantana Bandana Lemon Zest 50/50 Petite Portrait SF FUL</t>
  </si>
  <si>
    <t>0611863070050</t>
  </si>
  <si>
    <t>TAG Lantana Bandana Mango 50/50 Petite Portrait SF FUL</t>
  </si>
  <si>
    <t>0611863071050</t>
  </si>
  <si>
    <t>TAG Lantana Bandana Orange 50/50 Petite Portrait SF FUL</t>
  </si>
  <si>
    <t>0611863072050</t>
  </si>
  <si>
    <t>TAG Lantana Bandana Peach 50/50 Petite Portrait SF FUL</t>
  </si>
  <si>
    <t>0611863073050</t>
  </si>
  <si>
    <t>TAG Lantana Bandana Pink 50/50 Petite Portrait SF FUL</t>
  </si>
  <si>
    <t>0611863074050</t>
  </si>
  <si>
    <t>TAG Lantana Bandana Red 50/50 Petite Portrait SF FUL</t>
  </si>
  <si>
    <t>0611863075050</t>
  </si>
  <si>
    <t>TAG Lantana Bandana Rose 50/50 Petite Portrait SF FUL</t>
  </si>
  <si>
    <t>0611863076050</t>
  </si>
  <si>
    <t>TAG Lantana Bandana White Improved 50/50 Petite Portrait SF FUL</t>
  </si>
  <si>
    <t>0611863078050</t>
  </si>
  <si>
    <t>TAG Lantana Bandana Yellow Improved 50/50 Petite Portrait SF FUL</t>
  </si>
  <si>
    <t>0611863080050</t>
  </si>
  <si>
    <t>TAG Lantana Bandito Gold 50/50 Petite Portrait SF FUL</t>
  </si>
  <si>
    <t>0611863081050</t>
  </si>
  <si>
    <t>TAG Lantana Bandito Lemon Zest 50/50 Petite Tag SF</t>
  </si>
  <si>
    <t>0611863082050</t>
  </si>
  <si>
    <t>TAG Lantana Bandito Orange Sunrise 50/50 Petite Portrait SF FUL</t>
  </si>
  <si>
    <t>0611863083050</t>
  </si>
  <si>
    <t>TAG Lantana Bandito Red 50/50 Petite Portrait SF FUL</t>
  </si>
  <si>
    <t>0611863084050</t>
  </si>
  <si>
    <t>TAG Lantana Bandito Rose 50/50 Petite Portrait SF FUL</t>
  </si>
  <si>
    <t>0611863085050</t>
  </si>
  <si>
    <t>TAG Lantana Bandito White 50/50 Petite Portrait SF FUL</t>
  </si>
  <si>
    <t>0611863086050</t>
  </si>
  <si>
    <t>TAG Lantana Bandito Yellow 50/50 Petite Portrait SF FUL</t>
  </si>
  <si>
    <t>0611863087050</t>
  </si>
  <si>
    <t>TAG Lantana Bandolero Cherry Sunrise 50/50 Petite Portrait SF FUL</t>
  </si>
  <si>
    <t>0611863088050</t>
  </si>
  <si>
    <t>TAG Lantana Bandolero Guava 50/50 Petite Portrait SF FUL</t>
  </si>
  <si>
    <t>0611884281050</t>
  </si>
  <si>
    <t>TAG Lantana Bandolero Lemon 50/50 Petite Portrait SF FUL</t>
  </si>
  <si>
    <t>0611863089050</t>
  </si>
  <si>
    <t>TAG Lantana Bandolero Lychee 50/50 Petite Portrait SF FUL</t>
  </si>
  <si>
    <t>0611863090050</t>
  </si>
  <si>
    <t>TAG Lantana Bandolero Pineapple 50/50 Petite Portrait SF FUL</t>
  </si>
  <si>
    <t>0611863091050</t>
  </si>
  <si>
    <t>TAG Lantana Bandolero Pink 50/50 Petite Portrait SF FUL</t>
  </si>
  <si>
    <t>0611863092050</t>
  </si>
  <si>
    <t>TAG Lantana Bandolero Red 50/50 Petite Portrait SF FUL</t>
  </si>
  <si>
    <t>0611863093050</t>
  </si>
  <si>
    <t>TAG Lantana Bandolero White Improved 50/50 Petite Portrait SF FUL</t>
  </si>
  <si>
    <t>0611863094050</t>
  </si>
  <si>
    <t>TAG Lantana Bandolista Coconut 50/50 Petite Portrait SF FUL</t>
  </si>
  <si>
    <t>0611863095050</t>
  </si>
  <si>
    <t>TAG Lantana Bandolista Mango 50/50 Petite Portrait SF FUL</t>
  </si>
  <si>
    <t>0611863096050</t>
  </si>
  <si>
    <t>TAG Lantana Bandolista Pineapple 50/50 Petite Portrait SF FUL</t>
  </si>
  <si>
    <t>0611863097050</t>
  </si>
  <si>
    <t>TAG Lantana Bandolista Red Chili 50/50 Petite Portrait SF FUL</t>
  </si>
  <si>
    <t>0611835994100</t>
  </si>
  <si>
    <t>TAG Lantana Bicolor GENERIC 100/100 Pixie Tag</t>
  </si>
  <si>
    <t>0611835995100</t>
  </si>
  <si>
    <t>TAG Lantana Carlos 100/100 Pixie Tag</t>
  </si>
  <si>
    <t>0611863098050</t>
  </si>
  <si>
    <t>TAG Lantana Chapel Hill Gold 50/50 Petite Portrait FUL</t>
  </si>
  <si>
    <t>0611863099050</t>
  </si>
  <si>
    <t>TAG Lantana Chapel Hill Pink Huff 50/50 Petite Portrait FUL</t>
  </si>
  <si>
    <t>0611863100050</t>
  </si>
  <si>
    <t>TAG Lantana Chapel Hill Yellow 50/50 Petite Portrait FUL</t>
  </si>
  <si>
    <t>0611835996100</t>
  </si>
  <si>
    <t>TAG Lantana Confetti 100/100 Pixie Tag</t>
  </si>
  <si>
    <t>0611863101050</t>
  </si>
  <si>
    <t>TAG Lantana Confetti 50/50 Petite Portrait FUL</t>
  </si>
  <si>
    <t>0611835997100</t>
  </si>
  <si>
    <t>TAG Lantana Dallas Red 100/100 Pixie Tag</t>
  </si>
  <si>
    <t>0611863102050</t>
  </si>
  <si>
    <t>TAG Lantana Dallas Red 50/50 Petite Portrait FUL</t>
  </si>
  <si>
    <t>0611835998100</t>
  </si>
  <si>
    <t>TAG Lantana Evita Series 100/100 Pixie Tag</t>
  </si>
  <si>
    <t>0611857015100</t>
  </si>
  <si>
    <t>TAG Lantana Fuego Series 100/100 Pixie Tag</t>
  </si>
  <si>
    <t>0611836000100</t>
  </si>
  <si>
    <t>TAG Lantana Gem Series 100/100 Pixie Tag</t>
  </si>
  <si>
    <t>0611836005100</t>
  </si>
  <si>
    <t>TAG Lantana GENERIC 100/100 Hang Tag</t>
  </si>
  <si>
    <t>0611836001100</t>
  </si>
  <si>
    <t>TAG Lantana GENERIC Bilingual 100/100 Pixie Tag</t>
  </si>
  <si>
    <t>0611836002100</t>
  </si>
  <si>
    <t>TAG Lantana Gold 100/100 Pixie Tag</t>
  </si>
  <si>
    <t>0611836003100</t>
  </si>
  <si>
    <t>TAG Lantana Gold Mound 100/100 Pixie Tag</t>
  </si>
  <si>
    <t>0611863103050</t>
  </si>
  <si>
    <t>TAG Lantana Havana Cherry 50/50 Petite Portrait DO FUL</t>
  </si>
  <si>
    <t>0611863104050</t>
  </si>
  <si>
    <t>TAG Lantana Havana Full Moon 50/50 Petite Portrait DO FUL</t>
  </si>
  <si>
    <t>0611863105050</t>
  </si>
  <si>
    <t>TAG Lantana Havana Gold 50/50 Petite Portrait DO FUL</t>
  </si>
  <si>
    <t>0611863106050</t>
  </si>
  <si>
    <t>TAG Lantana Havana Harvest Moon 50/50 Petite Portrait DO FUL</t>
  </si>
  <si>
    <t>0611863107050</t>
  </si>
  <si>
    <t>TAG Lantana Havana Lights 50/50 Petite Portrait DO FUL</t>
  </si>
  <si>
    <t>0611863108050</t>
  </si>
  <si>
    <t>TAG Lantana Havana Nights 50/50 Petite Portrait DO FUL</t>
  </si>
  <si>
    <t>0611863109050</t>
  </si>
  <si>
    <t>TAG Lantana Havana Pink Sky 50/50 Petite Portrait DO FUL</t>
  </si>
  <si>
    <t>0611863110050</t>
  </si>
  <si>
    <t>TAG Lantana Havana Red Sky 50/50 Petite Portrait DO FUL</t>
  </si>
  <si>
    <t>0611863111050</t>
  </si>
  <si>
    <t>TAG Lantana Havana Sky 50/50 Petite Portrait DO FUL</t>
  </si>
  <si>
    <t>0611863112050</t>
  </si>
  <si>
    <t>TAG Lantana Havana Streets 50/50 Petite Portrait DO FUL</t>
  </si>
  <si>
    <t>0611863113050</t>
  </si>
  <si>
    <t>TAG Lantana Havana Summer 50/50 Petite Portrait DO FUL</t>
  </si>
  <si>
    <t>0611863114050</t>
  </si>
  <si>
    <t>TAG Lantana Havana Sunrise 50/50 Petite Portrait DO FUL</t>
  </si>
  <si>
    <t>0611863115050</t>
  </si>
  <si>
    <t>TAG Lantana Havana Sunset 50/50 Petite Portrait DO FUL</t>
  </si>
  <si>
    <t>0611863116050</t>
  </si>
  <si>
    <t>TAG Lantana Havana Sunshine 50/50 Petite Portrait DO FUL</t>
  </si>
  <si>
    <t>0611863117050</t>
  </si>
  <si>
    <t>TAG Lantana Havana Yellow 50/50 Petite Portrait DO FUL</t>
  </si>
  <si>
    <t>0611863118050</t>
  </si>
  <si>
    <t>TAG Lantana Heartland Blue Moon 50/50 Petite Portrait DO FUL</t>
  </si>
  <si>
    <t>0611863119050</t>
  </si>
  <si>
    <t>TAG Lantana Heartland Citrus 50/50 Petite Portrait DO FUL</t>
  </si>
  <si>
    <t>0611863120050</t>
  </si>
  <si>
    <t>TAG Lantana Heartland Neon 50/50 Petite Portrait DO FUL</t>
  </si>
  <si>
    <t>0611863121050</t>
  </si>
  <si>
    <t>TAG Lantana Heartland Orange 50/50 Petite Portrait DO FUL</t>
  </si>
  <si>
    <t>0611863123050</t>
  </si>
  <si>
    <t>TAG Lantana Heartland Pink Sunset 50/50 Petite Portrait DO FUL</t>
  </si>
  <si>
    <t>0611863124050</t>
  </si>
  <si>
    <t>TAG Lantana Heartland Really Red 50/50 Petite Portrait DO FUL</t>
  </si>
  <si>
    <t>0611863125050</t>
  </si>
  <si>
    <t>TAG Lantana Heartland Red 50/50 Petite Portrait DO FUL</t>
  </si>
  <si>
    <t>0611863126050</t>
  </si>
  <si>
    <t>TAG Lantana Heartland Sunrise 50/50 Petite Portrait DO FUL</t>
  </si>
  <si>
    <t>0611863127050</t>
  </si>
  <si>
    <t>TAG Lantana Heartland White 50/50 Petite Portrait DO FUL</t>
  </si>
  <si>
    <t>0611863128050</t>
  </si>
  <si>
    <t>TAG Lantana Hot Blooded Red 50/50 Petite Portrait SF FUL</t>
  </si>
  <si>
    <t>0611836004100</t>
  </si>
  <si>
    <t>TAG Lantana Irene 100/100 Pixie Tag</t>
  </si>
  <si>
    <t>0611863129050</t>
  </si>
  <si>
    <t>TAG Lantana Landscape Bandana Clementine 50/50 Petite Portrait SF FUL</t>
  </si>
  <si>
    <t>0611863130050</t>
  </si>
  <si>
    <t>TAG Lantana Landscape Bandana Gold 50/50 Petite Portrait SF FUL</t>
  </si>
  <si>
    <t>0611863134050</t>
  </si>
  <si>
    <t>TAG Lantana Landscape Bandana Lemon Zest 50/50 Petite Tag SF</t>
  </si>
  <si>
    <t>0611863131050</t>
  </si>
  <si>
    <t>TAG Lantana Landscape Bandana Pink 50/50 Petite Portrait SF FUL</t>
  </si>
  <si>
    <t>0611863132050</t>
  </si>
  <si>
    <t>TAG Lantana Landscape Bandana Red 50/50 Petite Portrait SF FUL</t>
  </si>
  <si>
    <t>0611863133050</t>
  </si>
  <si>
    <t>TAG Lantana Landscape Bandana Yellow 50/50 Petite Portrait SF FUL</t>
  </si>
  <si>
    <t>0611863138050</t>
  </si>
  <si>
    <t>TAG Lantana Lavender Trailing 50/50 Petite Portrait FUL</t>
  </si>
  <si>
    <t>0611836024100</t>
  </si>
  <si>
    <t>TAG Lantana Lavender Trailing GENERIC 100/100 Pixie Tag</t>
  </si>
  <si>
    <t>0611836006100</t>
  </si>
  <si>
    <t>TAG Lantana Miss Huff 100/100 Pixie Tag</t>
  </si>
  <si>
    <t>0611863135050</t>
  </si>
  <si>
    <t>TAG Lantana Miss Huff 50/50 Petite Portrait FUL</t>
  </si>
  <si>
    <t>0611863136050</t>
  </si>
  <si>
    <t>TAG Lantana New Gold 50/50 Petite Portrait FUL</t>
  </si>
  <si>
    <t>0611836009100</t>
  </si>
  <si>
    <t>TAG Lantana Orange GENERIC 100/100 Pixie Tag</t>
  </si>
  <si>
    <t>0611836010100</t>
  </si>
  <si>
    <t>TAG Lantana Pink Caprice 100/100 Pixie Tag</t>
  </si>
  <si>
    <t>0611836011100</t>
  </si>
  <si>
    <t>TAG Lantana Pink GENERIC 100/100 Pixie Tag</t>
  </si>
  <si>
    <t>0611836025100</t>
  </si>
  <si>
    <t>TAG Lantana Purple Trailing GENERIC 100/100 Pixie Tag</t>
  </si>
  <si>
    <t>0611836012100</t>
  </si>
  <si>
    <t>TAG Lantana Radiation 100/100 Pixie Tag</t>
  </si>
  <si>
    <t>0611836013100</t>
  </si>
  <si>
    <t>TAG Lantana Red GENERIC 100/100 Pixie Tag</t>
  </si>
  <si>
    <t>0611836014100</t>
  </si>
  <si>
    <t>TAG Lantana Samantha 100/100 Pixie Tag</t>
  </si>
  <si>
    <t>0611836017100</t>
  </si>
  <si>
    <t>TAG Lantana Silver Mound 100/100 Pixie Tag</t>
  </si>
  <si>
    <t>0611836018100</t>
  </si>
  <si>
    <t>TAG Lantana Spreading Sunset 100/100 Pixie Tag</t>
  </si>
  <si>
    <t>0611836019025</t>
  </si>
  <si>
    <t>TAG Lantana Spreading Sunset 25/25 Portrait Tag</t>
  </si>
  <si>
    <t>0611863137050</t>
  </si>
  <si>
    <t>TAG Lantana Spreading Sunset 50/50 Petite Portrait FUL</t>
  </si>
  <si>
    <t>0611857016100</t>
  </si>
  <si>
    <t>TAG Lantana Sundance Pink 100/100 Pixie Tag</t>
  </si>
  <si>
    <t>0611836020100</t>
  </si>
  <si>
    <t>TAG Lantana Sundance Red 100/100 Pixie Tag</t>
  </si>
  <si>
    <t>0611836021100</t>
  </si>
  <si>
    <t>TAG Lantana Sundance White 100/100 Pixie Tag</t>
  </si>
  <si>
    <t>0611836022100</t>
  </si>
  <si>
    <t>TAG Lantana Sundance Yellow 100/100 Pixie Tag</t>
  </si>
  <si>
    <t>0611836027100</t>
  </si>
  <si>
    <t>TAG Lantana Upright GENERIC 100/100 Pixie Tag</t>
  </si>
  <si>
    <t>0611836028100</t>
  </si>
  <si>
    <t>TAG Lantana White GENERIC 100/100 Pixie Tag</t>
  </si>
  <si>
    <t>0611863139050</t>
  </si>
  <si>
    <t>TAG Lantana White Trailing 50/50 Petite Portrait FUL</t>
  </si>
  <si>
    <t>0611836026100</t>
  </si>
  <si>
    <t>TAG Lantana White Trailing GENERIC 100/100 Pixie Tag</t>
  </si>
  <si>
    <t>0611836029100</t>
  </si>
  <si>
    <t>TAG Lantana Yellow GENERIC 100/100 Pixie Tag FUL</t>
  </si>
  <si>
    <t>0611833296100</t>
  </si>
  <si>
    <t>TAG Larkspur GENERIC 100/100 Pixie Tag</t>
  </si>
  <si>
    <t>0611833295100</t>
  </si>
  <si>
    <t>TAG Larkspur Imperial Giants 100/100 Pixie Tag</t>
  </si>
  <si>
    <t>0611836030100</t>
  </si>
  <si>
    <t>TAG Lathyrus Sweet Pea Compact GENERIC 100/100 Pixie Tag</t>
  </si>
  <si>
    <t>0611836034100</t>
  </si>
  <si>
    <t>TAG Lathyrus Sweet Pea GENERIC 100/100 Pixie Tag</t>
  </si>
  <si>
    <t>0611836031100</t>
  </si>
  <si>
    <t>TAG Lathyrus Sweet Pea Incense Mix 100/100 Pixie Tag</t>
  </si>
  <si>
    <t>0611836032025</t>
  </si>
  <si>
    <t>TAG Lathyrus Sweet Pea Mix Latifolius 25/25 Portrait Tag</t>
  </si>
  <si>
    <t>0611836033100</t>
  </si>
  <si>
    <t>TAG Lathyrus Sweet Pea Royal Mix 100/100 Pixie Tag</t>
  </si>
  <si>
    <t>0611835027025</t>
  </si>
  <si>
    <t>TAG Lavandula Lavender Annet Angustifolia 25/25 Portrait Tag</t>
  </si>
  <si>
    <t>0611863140100</t>
  </si>
  <si>
    <t>TAG Lavandula Lavender Anouk 100/100 Pixie Tag FUL</t>
  </si>
  <si>
    <t>0611835028025</t>
  </si>
  <si>
    <t>TAG Lavandula Lavender Anouk 25/25 Portrait Tag</t>
  </si>
  <si>
    <t>0611835031025</t>
  </si>
  <si>
    <t>TAG Lavandula Lavender Anouk Deep Rose 25/25 Portrait Tag</t>
  </si>
  <si>
    <t>0611835030025</t>
  </si>
  <si>
    <t>TAG Lavandula Lavender Anouk Double 25/25 Portrait Tag</t>
  </si>
  <si>
    <t>0611863141050</t>
  </si>
  <si>
    <t>TAG Lavandula Lavender Anouk Limited Availability 50/50 Petite Portrait</t>
  </si>
  <si>
    <t>0611884282025</t>
  </si>
  <si>
    <t>TAG Lavandula Lavender Anouk Purple Medley 25/25 Portrait Tag</t>
  </si>
  <si>
    <t>0611835032025</t>
  </si>
  <si>
    <t>TAG Lavandula Lavender Anouk Silver 25/25 Portrait Tag</t>
  </si>
  <si>
    <t>0611856974025</t>
  </si>
  <si>
    <t>TAG Lavandula Lavender Anouk Stoechas 25/25 Portrait Tag</t>
  </si>
  <si>
    <t>0611835033025</t>
  </si>
  <si>
    <t>TAG Lavandula Lavender Anouk Supreme 25/25 Portrait Tag</t>
  </si>
  <si>
    <t>0611884283025</t>
  </si>
  <si>
    <t>TAG Lavandula Lavender Anouk Twilight 25/25 Portrait Tag</t>
  </si>
  <si>
    <t>0611835035025</t>
  </si>
  <si>
    <t>TAG Lavandula Lavender Ariel Purple 25/25 Portrait Tag</t>
  </si>
  <si>
    <t>0611835036025</t>
  </si>
  <si>
    <t>TAG Lavandula Lavender Aromatico Blue 25/25 Portrait Tag SF</t>
  </si>
  <si>
    <t>0611863142050</t>
  </si>
  <si>
    <t>TAG Lavandula Lavender Aromatico Blue Improved 50/50 Petite Portrait SF FUL</t>
  </si>
  <si>
    <t>0611835037025</t>
  </si>
  <si>
    <t>TAG Lavandula Lavender Avignon Early Blue 25/25 Portrait Tag</t>
  </si>
  <si>
    <t>0611835038100</t>
  </si>
  <si>
    <t>TAG Lavandula Lavender Bandera Deep Purple 100/100 Pixie Tag</t>
  </si>
  <si>
    <t>0611835039025</t>
  </si>
  <si>
    <t>TAG Lavandula Lavender Bandera Deep Purple 25/25 Portrait Tag</t>
  </si>
  <si>
    <t>0611835040100</t>
  </si>
  <si>
    <t>TAG Lavandula Lavender Bandera Deep Rose 100/100 Pixie Tag</t>
  </si>
  <si>
    <t>0611835041025</t>
  </si>
  <si>
    <t>TAG Lavandula Lavender Bandera Deep Rose 25/25 Portrait Tag</t>
  </si>
  <si>
    <t>0611835042100</t>
  </si>
  <si>
    <t>TAG Lavandula Lavender Bandera Pink 100/100 Pixie Tag</t>
  </si>
  <si>
    <t>0611835043025</t>
  </si>
  <si>
    <t>TAG Lavandula Lavender Bandera Pink 25/25 Portrait Tag</t>
  </si>
  <si>
    <t>0611835044100</t>
  </si>
  <si>
    <t>TAG Lavandula Lavender Bandera Purple 100/100 Pixie Tag</t>
  </si>
  <si>
    <t>0611835045025</t>
  </si>
  <si>
    <t>TAG Lavandula Lavender Bandera Purple 25/25 Portrait Tag</t>
  </si>
  <si>
    <t>0611884284025</t>
  </si>
  <si>
    <t>TAG Lavandula Lavender BeeZee Dark Blue 25/25 Portrait Tag</t>
  </si>
  <si>
    <t>0611884285025</t>
  </si>
  <si>
    <t>TAG Lavandula Lavender BeeZee Pink 25/25 Portrait Tag</t>
  </si>
  <si>
    <t>0611884286025</t>
  </si>
  <si>
    <t>TAG Lavandula Lavender BeeZee White 25/25 Portrait Tag</t>
  </si>
  <si>
    <t>0611863143100</t>
  </si>
  <si>
    <t>TAG Lavandula Lavender Big Time Blue 100/100 Pixie Tag FUL</t>
  </si>
  <si>
    <t>0611835046025</t>
  </si>
  <si>
    <t>TAG Lavandula Lavender Big Time Blue 25/25 Portrait Tag</t>
  </si>
  <si>
    <t>0611863144100</t>
  </si>
  <si>
    <t>TAG Lavandula Lavender Blue Jeans 100/100 Pixie Tag FUL</t>
  </si>
  <si>
    <t>0611835047025</t>
  </si>
  <si>
    <t>TAG Lavandula Lavender Blue Spear 25/25 Portrait Tag</t>
  </si>
  <si>
    <t>0611863145050</t>
  </si>
  <si>
    <t>TAG Lavandula Lavender Blue Spirit Purple Blue 50/50 Petite Portrait FUL</t>
  </si>
  <si>
    <t>0611835049025</t>
  </si>
  <si>
    <t>TAG Lavandula Lavender Castilliano 2.0 Lilac 25/25 Portrait Tag SF</t>
  </si>
  <si>
    <t>0611835051025</t>
  </si>
  <si>
    <t>TAG Lavandula Lavender Castilliano 2.0 Rose 25/25 Portrait Tag SF</t>
  </si>
  <si>
    <t>0611835052025</t>
  </si>
  <si>
    <t>TAG Lavandula Lavender Castilliano 2.0 White 25/25 Portrait Tag SF</t>
  </si>
  <si>
    <t>0611835053025</t>
  </si>
  <si>
    <t>TAG Lavandula Lavender Castilliano Violet 25/25 Portrait Tag SF</t>
  </si>
  <si>
    <t>0611884287025</t>
  </si>
  <si>
    <t>TAG Lavandula Lavender Chill Out Blue 25/25 Portrait Tag</t>
  </si>
  <si>
    <t>0611863146100</t>
  </si>
  <si>
    <t>TAG Lavandula Lavender Dentata French 100/100 Pixie Tag FUL</t>
  </si>
  <si>
    <t>0611835054025</t>
  </si>
  <si>
    <t>TAG Lavandula Lavender Dilly Dilly 25/25 Portrait Tag</t>
  </si>
  <si>
    <t>0611884288025</t>
  </si>
  <si>
    <t>TAG Lavandula Lavender Edelweiss 25/25 Portrait Tag</t>
  </si>
  <si>
    <t>0611835055025</t>
  </si>
  <si>
    <t>TAG Lavandula Lavender Ellagance Ice 25/25 Portrait Tag</t>
  </si>
  <si>
    <t>0611835056025</t>
  </si>
  <si>
    <t>TAG Lavandula Lavender Ellagance Pink 25/25 Portrait Tag</t>
  </si>
  <si>
    <t>0611835057025</t>
  </si>
  <si>
    <t>TAG Lavandula Lavender Ellagance Purple 25/25 Portrait Tag</t>
  </si>
  <si>
    <t>0611835059025</t>
  </si>
  <si>
    <t>TAG Lavandula Lavender Ellagance Sky 25/25 Portrait Tag</t>
  </si>
  <si>
    <t>0611835060025</t>
  </si>
  <si>
    <t>TAG Lavandula Lavender Ellagance Snow 25/25 Portrait Tag</t>
  </si>
  <si>
    <t>0611835061100</t>
  </si>
  <si>
    <t>TAG Lavandula Lavender English 100/100 Pixie Tag</t>
  </si>
  <si>
    <t>0611835062025</t>
  </si>
  <si>
    <t>TAG Lavandula Lavender English GENERIC 25/25 Portrait Tag</t>
  </si>
  <si>
    <t>0611835064100</t>
  </si>
  <si>
    <t>TAG Lavandula Lavender Fernleaf 100/100 Pixie Tag</t>
  </si>
  <si>
    <t>0611835065100</t>
  </si>
  <si>
    <t>TAG Lavandula Lavender Fred Boutin 100/100 Pixie Tag</t>
  </si>
  <si>
    <t>0611835066025</t>
  </si>
  <si>
    <t>TAG Lavandula Lavender French GENERIC 25/25 Portrait Tag</t>
  </si>
  <si>
    <t>0611836046100</t>
  </si>
  <si>
    <t>TAG Lavandula Lavender French Spanish 100/100 Pixie Tag</t>
  </si>
  <si>
    <t>0611863147100</t>
  </si>
  <si>
    <t>TAG Lavandula Lavender Goodwin Creek 100/100 Pixie Tag FUL</t>
  </si>
  <si>
    <t>0611835068025</t>
  </si>
  <si>
    <t>TAG Lavandula Lavender Goodwin Creek 25/25 Portrait Tag</t>
  </si>
  <si>
    <t>0611863148050</t>
  </si>
  <si>
    <t>TAG Lavandula Lavender Goodwin Creek Limited Availability 50/50 Petite Portrait</t>
  </si>
  <si>
    <t>0611863149100</t>
  </si>
  <si>
    <t>TAG Lavandula Lavender Grosso 100/100 Pixie Tag FUL</t>
  </si>
  <si>
    <t>0611835070025</t>
  </si>
  <si>
    <t>TAG Lavandula Lavender Grosso 25/25 Portrait Tag</t>
  </si>
  <si>
    <t>0611863150050</t>
  </si>
  <si>
    <t>TAG Lavandula Lavender Grosso 50/50 Petite Portrait FUL</t>
  </si>
  <si>
    <t>0611835071100</t>
  </si>
  <si>
    <t>TAG Lavandula Lavender Hidcote 100/100 Pixie Tag</t>
  </si>
  <si>
    <t>0611863151100</t>
  </si>
  <si>
    <t>TAG Lavandula Lavender Hidcote Blue 100/100 Pixie Tag FUL</t>
  </si>
  <si>
    <t>0611835072025</t>
  </si>
  <si>
    <t>TAG Lavandula Lavender Hidcote Blue 25/25 Portrait Tag</t>
  </si>
  <si>
    <t>0611835073025</t>
  </si>
  <si>
    <t>TAG Lavandula Lavender Hidcote IOR 25/25 Portrait Tag</t>
  </si>
  <si>
    <t>0611863152050</t>
  </si>
  <si>
    <t>TAG Lavandula Lavender Imperial 50/50 Petite Portrait FUL</t>
  </si>
  <si>
    <t>0611856975025</t>
  </si>
  <si>
    <t>TAG Lavandula Lavender Javelin Compact Purple 25/25 Portrait Tag SF</t>
  </si>
  <si>
    <t>0611835074025</t>
  </si>
  <si>
    <t>TAG Lavandula Lavender Javelin Forte Deep Purple 25/25 Portrait Tag SF</t>
  </si>
  <si>
    <t>0611863153050</t>
  </si>
  <si>
    <t>TAG Lavandula Lavender Javelin Forte Deep Purple 50/50 Petite Portrait SF FUL</t>
  </si>
  <si>
    <t>0611835075025</t>
  </si>
  <si>
    <t>TAG Lavandula Lavender Javelin Forte Deep Rose 25/25 Portrait Tag SF</t>
  </si>
  <si>
    <t>0611863154050</t>
  </si>
  <si>
    <t>TAG Lavandula Lavender Javelin Forte Deep Rose 50/50 Petite Portrait SF FUL</t>
  </si>
  <si>
    <t>0611863155050</t>
  </si>
  <si>
    <t>TAG Lavandula Lavender Javelin Forte Rose 50/50 Petite Portrait SF FUL</t>
  </si>
  <si>
    <t>0611835076025</t>
  </si>
  <si>
    <t>TAG Lavandula Lavender Javelin Forte White 25/25 Portrait Tag SF</t>
  </si>
  <si>
    <t>0611863156050</t>
  </si>
  <si>
    <t>TAG Lavandula Lavender Javelin Forte White Improved 50/50 Petite Portrait SF FUL</t>
  </si>
  <si>
    <t>0611863157100</t>
  </si>
  <si>
    <t>TAG Lavandula Lavender LaDiva Big Night 100/100 Pixie Tag DO FUL</t>
  </si>
  <si>
    <t>0611863158100</t>
  </si>
  <si>
    <t>TAG Lavandula Lavender LaDiva Eternal Elegance 100/100 Pixie Tag DO FUL</t>
  </si>
  <si>
    <t>0611863160100</t>
  </si>
  <si>
    <t>TAG Lavandula Lavender LaDiva Imperial 100/100 Pixie Tag DO FUL</t>
  </si>
  <si>
    <t>0611884289100</t>
  </si>
  <si>
    <t>TAG Lavandula Lavender LaDiva Imperial Early 100/100 Pixie Tag DO FUL</t>
  </si>
  <si>
    <t>0611863163100</t>
  </si>
  <si>
    <t>TAG Lavandula Lavender LaDiva Papillion Deep Rose Limited Availability 100/100 Pixie Tag DO FUL</t>
  </si>
  <si>
    <t>0611863175050</t>
  </si>
  <si>
    <t>TAG Lavandula Lavender LaDiva Papillion Deep Rose Limited Availability 50/50 Petite Portrait</t>
  </si>
  <si>
    <t>0611863164100</t>
  </si>
  <si>
    <t>TAG Lavandula Lavender LaDiva Papillion Light Rose Limited Availability 100/100 Pixie Tag DO</t>
  </si>
  <si>
    <t>0611863176050</t>
  </si>
  <si>
    <t>TAG Lavandula Lavender LaDiva Papillion Light Rose Limited Availability 50/50 Petite Portrait</t>
  </si>
  <si>
    <t>0611863172100</t>
  </si>
  <si>
    <t>TAG Lavandula Lavender LaDiva Papillion Lilac 100/100 Pixie Tag FUL</t>
  </si>
  <si>
    <t>0611863161100</t>
  </si>
  <si>
    <t>TAG Lavandula Lavender LaDiva Papillion Purple 100/100 Pixie Tag DO FUL</t>
  </si>
  <si>
    <t>0611863173050</t>
  </si>
  <si>
    <t>TAG Lavandula Lavender LaDiva Papillion Purple 50/50 Petite Portrait FUL</t>
  </si>
  <si>
    <t>0611863162100</t>
  </si>
  <si>
    <t>TAG Lavandula Lavender LaDiva Papillion Rose 100/100 Pixie Tag DO FUL</t>
  </si>
  <si>
    <t>0611863174050</t>
  </si>
  <si>
    <t>TAG Lavandula Lavender LaDiva Papillion Rose 50/50 Petite Portrait FUL</t>
  </si>
  <si>
    <t>0611863165100</t>
  </si>
  <si>
    <t>TAG Lavandula Lavender LaDiva Spirit Deep Blue 100/100 Pixie Tag DO FUL</t>
  </si>
  <si>
    <t>0611863166100</t>
  </si>
  <si>
    <t>TAG Lavandula Lavender LaDiva Spirit Deep Purple 100/100 Pixie Tag DO FUL</t>
  </si>
  <si>
    <t>0611863167100</t>
  </si>
  <si>
    <t>TAG Lavandula Lavender LaDiva Spirit Purple Blue 100/100 Pixie Tag DO FUL</t>
  </si>
  <si>
    <t>0611863168100</t>
  </si>
  <si>
    <t>TAG Lavandula Lavender LaDiva Spirit White 100/100 Pixie Tag DO FUL</t>
  </si>
  <si>
    <t>0611863159100</t>
  </si>
  <si>
    <t>TAG Lavandula Lavender LaDiva Vintage Violet 100/100 Pixie Tag DO FUL</t>
  </si>
  <si>
    <t>0611835078100</t>
  </si>
  <si>
    <t>TAG Lavandula Lavender Lady 100/100 Pixie Tag</t>
  </si>
  <si>
    <t>0611835079025</t>
  </si>
  <si>
    <t>TAG Lavandula Lavender Lavance Deep Purple 25/25 Portrait Tag</t>
  </si>
  <si>
    <t>0611835080025</t>
  </si>
  <si>
    <t>TAG Lavandula Lavender Lavance Series 25/25 Portrait Tag</t>
  </si>
  <si>
    <t>0611835081100</t>
  </si>
  <si>
    <t>TAG Lavandula Lavender Laveanna Series 100/100 Pixie Tag</t>
  </si>
  <si>
    <t>0611835082100</t>
  </si>
  <si>
    <t>TAG Lavandula Lavender Lavender GENERIC 100/100 Pixie Tag</t>
  </si>
  <si>
    <t>0611835083025</t>
  </si>
  <si>
    <t>TAG Lavandula Lavender Lavender GENERIC 25/25 Portrait Tag</t>
  </si>
  <si>
    <t>0611856976025</t>
  </si>
  <si>
    <t>TAG Lavandula Lavender Lavish Purple Frost 25/25 Portrait Tag</t>
  </si>
  <si>
    <t>0611884290100</t>
  </si>
  <si>
    <t>TAG Lavandula Lavender Lavlov Series 100/100 Pixie Tag</t>
  </si>
  <si>
    <t>0611835084025</t>
  </si>
  <si>
    <t>TAG Lavandula Lavender Layla Blue Angustifolia 25/25 Portrait Tag</t>
  </si>
  <si>
    <t>0611884291025</t>
  </si>
  <si>
    <t>TAG Lavandula Lavender Layla Presto Blue 25/25 Portrait Tag</t>
  </si>
  <si>
    <t>0611835087025</t>
  </si>
  <si>
    <t>TAG Lavandula Lavender Luxurious Bright 25/25 Portrait Tag</t>
  </si>
  <si>
    <t>0611835088025</t>
  </si>
  <si>
    <t>TAG Lavandula Lavender Madrid Blue 25/25 Portrait Tag</t>
  </si>
  <si>
    <t>0611835089025</t>
  </si>
  <si>
    <t>TAG Lavandula Lavender Madrid Lavish Pink 25/25 Portrait Tag</t>
  </si>
  <si>
    <t>0611835090025</t>
  </si>
  <si>
    <t>TAG Lavandula Lavender Madrid Lavish Purple 25/25 Portrait Tag</t>
  </si>
  <si>
    <t>0611835091025</t>
  </si>
  <si>
    <t>TAG Lavandula Lavender Madrid Lavish White 25/25 Portrait Tag</t>
  </si>
  <si>
    <t>0611835092025</t>
  </si>
  <si>
    <t>TAG Lavandula Lavender Madrid Magnum Purple 25/25 Portrait Tag</t>
  </si>
  <si>
    <t>0611835093025</t>
  </si>
  <si>
    <t>TAG Lavandula Lavender Madrid Purple 25/25 Portrait Tag</t>
  </si>
  <si>
    <t>0611835094025</t>
  </si>
  <si>
    <t>TAG Lavandula Lavender Madrid Rose 25/25 Portrait Tag</t>
  </si>
  <si>
    <t>0611835095025</t>
  </si>
  <si>
    <t>TAG Lavandula Lavender Madrid Star Purple 25/25 Portrait Tag</t>
  </si>
  <si>
    <t>0611835096025</t>
  </si>
  <si>
    <t>TAG Lavandula Lavender Meerlo Allardii 25/25 Portrait Tag</t>
  </si>
  <si>
    <t>0611835097025</t>
  </si>
  <si>
    <t>TAG Lavandula Lavender Mini Blue 25/25 Portrait Tag</t>
  </si>
  <si>
    <t>0611863169100</t>
  </si>
  <si>
    <t>TAG Lavandula Lavender Munstead 100/100 Pixie Tag FUL</t>
  </si>
  <si>
    <t>0611835099100</t>
  </si>
  <si>
    <t>TAG Lavandula Lavender Munstead Angustifolia 100/100 Pixie Tag</t>
  </si>
  <si>
    <t>0611835100025</t>
  </si>
  <si>
    <t>TAG Lavandula Lavender Munstead Angustifolia 25/25 Portrait Tag</t>
  </si>
  <si>
    <t>0611863170100</t>
  </si>
  <si>
    <t>TAG Lavandula Lavender Otto Quast 100/100 Pixie Tag FUL</t>
  </si>
  <si>
    <t>0611835102025</t>
  </si>
  <si>
    <t>TAG Lavandula Lavender Otto Quast 25/25 Portrait Tag</t>
  </si>
  <si>
    <t>0611863171050</t>
  </si>
  <si>
    <t>TAG Lavandula Lavender Otto Quast Limited Availability 50/50 Petite Portrait</t>
  </si>
  <si>
    <t>0611835103025</t>
  </si>
  <si>
    <t>TAG Lavandula Lavender Paris Blue Dentata 25/25 Portrait Tag</t>
  </si>
  <si>
    <t>0611863177100</t>
  </si>
  <si>
    <t>TAG Lavandula Lavender Phenomenal 100/100 Pixie Tag FUL</t>
  </si>
  <si>
    <t>0611835104025</t>
  </si>
  <si>
    <t>TAG Lavandula Lavender Pinnata 25/25 Portrait Tag</t>
  </si>
  <si>
    <t>0611863178100</t>
  </si>
  <si>
    <t>TAG Lavandula Lavender Platinum Blonde 100/100 Pixie Tag FUL</t>
  </si>
  <si>
    <t>0611835105025</t>
  </si>
  <si>
    <t>TAG Lavandula Lavender Platinum Blonde 25/25 Portrait Tag</t>
  </si>
  <si>
    <t>0611863179050</t>
  </si>
  <si>
    <t>TAG Lavandula Lavender Platinum Blonde Limited Availability 50/50 Petite Portrait</t>
  </si>
  <si>
    <t>0611835106025</t>
  </si>
  <si>
    <t>TAG Lavandula Lavender Primavera 25/25 Portrait Tag</t>
  </si>
  <si>
    <t>0611863180100</t>
  </si>
  <si>
    <t>TAG Lavandula Lavender Provence 100/100 Pixie Tag FUL</t>
  </si>
  <si>
    <t>0611835108025</t>
  </si>
  <si>
    <t>TAG Lavandula Lavender Provence 25/25 Portrait Tag</t>
  </si>
  <si>
    <t>0611863181050</t>
  </si>
  <si>
    <t>TAG Lavandula Lavender Provence Limited Availability 50/50 Petite Portrait</t>
  </si>
  <si>
    <t>0611863182100</t>
  </si>
  <si>
    <t>TAG Lavandula Lavender Ruffles Blueberry 100/100 Pixie Tag FUL</t>
  </si>
  <si>
    <t>0611863183100</t>
  </si>
  <si>
    <t>TAG Lavandula Lavender Ruffles Boysenberry Limited Availability 100/100 Pixie Tag</t>
  </si>
  <si>
    <t>0611863184050</t>
  </si>
  <si>
    <t>TAG Lavandula Lavender Ruffles Boysenberry Limited Availability 50/50 Petite Portrait</t>
  </si>
  <si>
    <t>0611835109025</t>
  </si>
  <si>
    <t>TAG Lavandula Lavender Scent Blue Angustifolia 25/25 Portrait Tag</t>
  </si>
  <si>
    <t>0611835110100</t>
  </si>
  <si>
    <t>TAG Lavandula Lavender Scent Blue Early 100/100 Pixie Tag</t>
  </si>
  <si>
    <t>0611835111025</t>
  </si>
  <si>
    <t>TAG Lavandula Lavender Scent Blue Early 25/25 Portrait Tag</t>
  </si>
  <si>
    <t>0611835112025</t>
  </si>
  <si>
    <t>TAG Lavandula Lavender Scent Early Blue And White Mix 25/25 Portrait Tag</t>
  </si>
  <si>
    <t>0611835114025</t>
  </si>
  <si>
    <t>TAG Lavandula Lavender Sentivia Blue 25/25 Portrait Tag SF</t>
  </si>
  <si>
    <t>0611863185050</t>
  </si>
  <si>
    <t>TAG Lavandula Lavender Sentivia Blue 50/50 Petite Portrait SF FUL</t>
  </si>
  <si>
    <t>0611835115025</t>
  </si>
  <si>
    <t>TAG Lavandula Lavender Sentivia Early Blue 25/25 Portrait Tag SF</t>
  </si>
  <si>
    <t>0611863186050</t>
  </si>
  <si>
    <t>TAG Lavandula Lavender Sentivia Early Blue 50/50 Petite Portrait SF FUL</t>
  </si>
  <si>
    <t>0611835116025</t>
  </si>
  <si>
    <t>TAG Lavandula Lavender Sentivia Silver 25/25 Portrait Tag SF</t>
  </si>
  <si>
    <t>0611863187050</t>
  </si>
  <si>
    <t>TAG Lavandula Lavender Sentivia Silver 50/50 Petite Portrait SF FUL</t>
  </si>
  <si>
    <t>0611835117025</t>
  </si>
  <si>
    <t>TAG Lavandula Lavender Spanish Eyes 25/25 Portrait Tag</t>
  </si>
  <si>
    <t>0611836047100</t>
  </si>
  <si>
    <t>TAG Lavandula Lavender Spanish French 100/100 Pixie Tag</t>
  </si>
  <si>
    <t>0611835118025</t>
  </si>
  <si>
    <t>TAG Lavandula Lavender Spanish GENERIC 25/25 Portrait Tag</t>
  </si>
  <si>
    <t>0611863188100</t>
  </si>
  <si>
    <t>TAG Lavandula Lavender SuperBlue 100/100 Pixie Tag FUL</t>
  </si>
  <si>
    <t>0611863189050</t>
  </si>
  <si>
    <t>TAG Lavandula Lavender SuperBlue 50/50 Petite Portrait FUL</t>
  </si>
  <si>
    <t>0611835119025</t>
  </si>
  <si>
    <t>TAG Lavandula Lavender SuperBlue Angustifolia 25/25 Portrait Tag</t>
  </si>
  <si>
    <t>0611835120100</t>
  </si>
  <si>
    <t>TAG Lavandula Lavender Sweet Lavender 100/100 Pixie Tag</t>
  </si>
  <si>
    <t>0611835121100</t>
  </si>
  <si>
    <t>TAG Lavandula Lavender Vera 100/100 Pixie Tag</t>
  </si>
  <si>
    <t>0611835122025</t>
  </si>
  <si>
    <t>TAG Lavandula Lavender Vicenza Blue 25/25 Portrait Tag</t>
  </si>
  <si>
    <t>0611863190050</t>
  </si>
  <si>
    <t>TAG Lavandula Lavender Vintro Blue 50/50 Petite Portrait SF FUL</t>
  </si>
  <si>
    <t>0611835123025</t>
  </si>
  <si>
    <t>TAG Lavandula Lavender Vintro Blue Angustifolia 25/25 Portrait Tag SF</t>
  </si>
  <si>
    <t>0611835124025</t>
  </si>
  <si>
    <t>TAG Lavandula Lavender Vintro Blue Compact 25/25 Portrait Tag SF</t>
  </si>
  <si>
    <t>0611835125025</t>
  </si>
  <si>
    <t>TAG Lavandula Lavender Vintro Blue Forte 25/25 Portrait Tag SF</t>
  </si>
  <si>
    <t>0611863191050</t>
  </si>
  <si>
    <t>TAG Lavandula Lavender Vintro White 50/50 Petite Portrait SF FUL</t>
  </si>
  <si>
    <t>0611835126025</t>
  </si>
  <si>
    <t>TAG Lavandula Lavender Vintro White Angustifolia 25/25 Portrait Tag SF</t>
  </si>
  <si>
    <t>0611835127025</t>
  </si>
  <si>
    <t>TAG Lavandula Lavender Violeta Purple XL 25/25 Portrait Tag SF</t>
  </si>
  <si>
    <t>0611836045100</t>
  </si>
  <si>
    <t>TAG Lavatera GENERIC 100/100 Pixie Tag</t>
  </si>
  <si>
    <t>0611830644100</t>
  </si>
  <si>
    <t>TAG Leek 100/100 Pixie Tag</t>
  </si>
  <si>
    <t>0611836758100</t>
  </si>
  <si>
    <t>TAG Lemon Balm Melissa GENERIC 100/100 Pixie Tag</t>
  </si>
  <si>
    <t>0611836759025</t>
  </si>
  <si>
    <t>TAG Lemon Balm Melissa GENERIC 25/25 Portrait Tag</t>
  </si>
  <si>
    <t>0611833650100</t>
  </si>
  <si>
    <t>TAG Lemongrass Cymbopogon 100/100 Pixie Tag</t>
  </si>
  <si>
    <t>0611884153025</t>
  </si>
  <si>
    <t>TAG Lemongrass Cymbopogon East Indian Lemon Grass 25/25 Portrait Tag</t>
  </si>
  <si>
    <t>0611836048100</t>
  </si>
  <si>
    <t>TAG Leontopodium Alpinum 100/100 Pixie Tag</t>
  </si>
  <si>
    <t>0611836049025</t>
  </si>
  <si>
    <t>TAG Leptinella Platt's Black Squalida 25/25 Portrait Tag</t>
  </si>
  <si>
    <t>0611857017100</t>
  </si>
  <si>
    <t>TAG Lettuce Bauer 100/100 Pixie Tag</t>
  </si>
  <si>
    <t>0611835917100</t>
  </si>
  <si>
    <t>TAG Lettuce Bistro Salad Blend 100/100 Pixie Tag</t>
  </si>
  <si>
    <t>0611835918100</t>
  </si>
  <si>
    <t>TAG Lettuce Black Seeded Simpson 100/100 Pixie Tag</t>
  </si>
  <si>
    <t>0611835919100</t>
  </si>
  <si>
    <t>TAG Lettuce Boston 100/100 Pixie Tag</t>
  </si>
  <si>
    <t>0611835920100</t>
  </si>
  <si>
    <t>TAG Lettuce Buttercrunch 100/100 Pixie Tag</t>
  </si>
  <si>
    <t>0611835921200</t>
  </si>
  <si>
    <t>TAG Lettuce Buttercrunch 200/200 Thriftee Tag</t>
  </si>
  <si>
    <t>0611835922100</t>
  </si>
  <si>
    <t>TAG Lettuce Escarole 100/100 Pixie Tag</t>
  </si>
  <si>
    <t>0611835923100</t>
  </si>
  <si>
    <t>TAG Lettuce Gourmet Bibb 100/100 Pixie Tag</t>
  </si>
  <si>
    <t>0611835924100</t>
  </si>
  <si>
    <t>TAG Lettuce Gourmet Blend 100/100 Pixie Tag</t>
  </si>
  <si>
    <t>0611835925100</t>
  </si>
  <si>
    <t>TAG Lettuce Gourmet Leaf 100/100 Pixie Tag</t>
  </si>
  <si>
    <t>0611835926100</t>
  </si>
  <si>
    <t>TAG Lettuce Gourmet Red Leaf 100/100 Pixie Tag</t>
  </si>
  <si>
    <t>0611835927100</t>
  </si>
  <si>
    <t>TAG Lettuce Gourmet Romaine 100/100 Pixie Tag</t>
  </si>
  <si>
    <t>0611835928100</t>
  </si>
  <si>
    <t>TAG Lettuce Grand Rapids 100/100 Pixie Tag</t>
  </si>
  <si>
    <t>0611835929100</t>
  </si>
  <si>
    <t>TAG Lettuce Great Lakes Head 100/100 Pixie Tag</t>
  </si>
  <si>
    <t>0611835930100</t>
  </si>
  <si>
    <t>TAG Lettuce Green Oak Leaf 100/100 Pixie Tag</t>
  </si>
  <si>
    <t>0611835931100</t>
  </si>
  <si>
    <t>TAG Lettuce Green Towers 100/100 Pixie Tag</t>
  </si>
  <si>
    <t>0611835932100</t>
  </si>
  <si>
    <t>TAG Lettuce Head GENERIC 100/100 Pixie Tag</t>
  </si>
  <si>
    <t>0611835933100</t>
  </si>
  <si>
    <t>TAG Lettuce Iceberg Head 100/100 Pixie Tag</t>
  </si>
  <si>
    <t>0611835934100</t>
  </si>
  <si>
    <t>TAG Lettuce Ithaca 100/100 Pixie Tag</t>
  </si>
  <si>
    <t>0611835935100</t>
  </si>
  <si>
    <t>TAG Lettuce Leaf GENERIC 100/100 Pixie Tag</t>
  </si>
  <si>
    <t>0611835936100</t>
  </si>
  <si>
    <t>TAG Lettuce Mesclun Salad Mix 100/100 Pixie Tag</t>
  </si>
  <si>
    <t>0611835937100</t>
  </si>
  <si>
    <t>TAG Lettuce Mini Greens Blend 100/100 Pixie Tag</t>
  </si>
  <si>
    <t>0611835938100</t>
  </si>
  <si>
    <t>TAG Lettuce Parris Island Cos 100/100 Pixie Tag</t>
  </si>
  <si>
    <t>0611835939100</t>
  </si>
  <si>
    <t>TAG Lettuce Radicchio 100/100 Pixie Tag</t>
  </si>
  <si>
    <t>0611835940100</t>
  </si>
  <si>
    <t>TAG Lettuce Red Butterworth 100/100 Pixie Tag</t>
  </si>
  <si>
    <t>0611835941100</t>
  </si>
  <si>
    <t>TAG Lettuce Red Fire 100/100 Pixie Tag</t>
  </si>
  <si>
    <t>0611835942100</t>
  </si>
  <si>
    <t>TAG Lettuce Red Oak Leaf 100/100 Pixie Tag</t>
  </si>
  <si>
    <t>0611835943100</t>
  </si>
  <si>
    <t>TAG Lettuce Red Sails 100/100 Pixie Tag</t>
  </si>
  <si>
    <t>0611835944100</t>
  </si>
  <si>
    <t>TAG Lettuce Romaine 100/100 Pixie Tag</t>
  </si>
  <si>
    <t>0611835945200</t>
  </si>
  <si>
    <t>TAG Lettuce Romaine 200/200 Thriftee Tag</t>
  </si>
  <si>
    <t>0611835946100</t>
  </si>
  <si>
    <t>TAG Lettuce Romaine Red 100/100 Pixie Tag</t>
  </si>
  <si>
    <t>0611835947100</t>
  </si>
  <si>
    <t>TAG Lettuce Royal Oak Leaf 100/100 Pixie Tag</t>
  </si>
  <si>
    <t>0611835948100</t>
  </si>
  <si>
    <t>TAG Lettuce Ruby Leaf 100/100 Pixie Tag</t>
  </si>
  <si>
    <t>0611835949100</t>
  </si>
  <si>
    <t>TAG Lettuce Ruby Red 100/100 Pixie Tag</t>
  </si>
  <si>
    <t>0611835950100</t>
  </si>
  <si>
    <t>TAG Lettuce Salad Bowl 100/100 Pixie Tag</t>
  </si>
  <si>
    <t>0611835951100</t>
  </si>
  <si>
    <t>TAG Lettuce Salad Bowl Red 100/100 Pixie Tag</t>
  </si>
  <si>
    <t>0611835952100</t>
  </si>
  <si>
    <t>TAG Lettuce Salad Mix GENERIC 100/100 Pixie Tag</t>
  </si>
  <si>
    <t>0611835953100</t>
  </si>
  <si>
    <t>TAG Lettuce Sandy 100/100 Pixie Tag</t>
  </si>
  <si>
    <t>0611835961025</t>
  </si>
  <si>
    <t>TAG Lettuce Simply Salad Alfresco Blend 25/25 Portrait Tag</t>
  </si>
  <si>
    <t>0611835959025</t>
  </si>
  <si>
    <t>TAG Lettuce Simply Salad City Garden Blend 25/25 Portrait Tag</t>
  </si>
  <si>
    <t>0611831209025</t>
  </si>
  <si>
    <t>TAG Lettuce Simply Salad Cress 25/25 Portrait Tag</t>
  </si>
  <si>
    <t>0611835960025</t>
  </si>
  <si>
    <t>TAG Lettuce Simply Salad Global Gourmet Blend 25/25 Portrait Tag</t>
  </si>
  <si>
    <t>0611835954025</t>
  </si>
  <si>
    <t>TAG Lettuce Simply Salad Pro San 25/25 Portrait Tag</t>
  </si>
  <si>
    <t>0611835955025</t>
  </si>
  <si>
    <t>TAG Lettuce Simply Salad Pro Tatu 25/25 Portrait Tag</t>
  </si>
  <si>
    <t>0611835956025</t>
  </si>
  <si>
    <t>TAG Lettuce Simply Salad Summer Picnic 25/25 Portrait Tag</t>
  </si>
  <si>
    <t>0611835957025</t>
  </si>
  <si>
    <t>TAG Lettuce Simply Salad Wonder Wok 25/25 Portrait Tag</t>
  </si>
  <si>
    <t>0611835958100</t>
  </si>
  <si>
    <t>TAG Lettuce Simpson Elite 100/100 Pixie Tag</t>
  </si>
  <si>
    <t>0611835962100</t>
  </si>
  <si>
    <t>TAG Lettuce Summer Bibb 100/100 Pixie Tag</t>
  </si>
  <si>
    <t>0611835963100</t>
  </si>
  <si>
    <t>TAG Lettuce Summertime 100/100 Pixie Tag</t>
  </si>
  <si>
    <t>0611835964100</t>
  </si>
  <si>
    <t>TAG Lettuce Valley Heart 100/100 Pixie Tag</t>
  </si>
  <si>
    <t>0611835965100</t>
  </si>
  <si>
    <t>TAG Lettuce Wildfire Mix 100/100 Pixie Tag</t>
  </si>
  <si>
    <t>0611836050025</t>
  </si>
  <si>
    <t>TAG Leucanthemum Adorable 25/25 Portrait Tag</t>
  </si>
  <si>
    <t>0611863192050</t>
  </si>
  <si>
    <t>TAG Leucanthemum Adorable 50/50 Petite Portrait FUL</t>
  </si>
  <si>
    <t>0611836051100</t>
  </si>
  <si>
    <t>TAG Leucanthemum Alaska 100/100 Pixie Tag</t>
  </si>
  <si>
    <t>0611836052025</t>
  </si>
  <si>
    <t>TAG Leucanthemum Alaska 25/25 Portrait Tag</t>
  </si>
  <si>
    <t>0611836053025</t>
  </si>
  <si>
    <t>TAG Leucanthemum Angel Daisy 25/25 Portrait Tag</t>
  </si>
  <si>
    <t>0611836054025</t>
  </si>
  <si>
    <t>TAG Leucanthemum Angel Daisy Carpet 25/25 Portrait Tag</t>
  </si>
  <si>
    <t>0611836055025</t>
  </si>
  <si>
    <t>TAG Leucanthemum Angel Daisy Double 25/25 Portrait Tag</t>
  </si>
  <si>
    <t>0611836056100</t>
  </si>
  <si>
    <t>TAG Leucanthemum Becky 100/100 Pixie Tag</t>
  </si>
  <si>
    <t>0611836057025</t>
  </si>
  <si>
    <t>TAG Leucanthemum Becky 25/25 Portrait Tag</t>
  </si>
  <si>
    <t>0611836058025</t>
  </si>
  <si>
    <t>TAG Leucanthemum Belgian Lace 25/25 Portrait Tag</t>
  </si>
  <si>
    <t>0611836059025</t>
  </si>
  <si>
    <t>TAG Leucanthemum Brightside 25/25 Portrait Tag</t>
  </si>
  <si>
    <t>0611836060025</t>
  </si>
  <si>
    <t>TAG Leucanthemum Coconut 25/25 Portrait Tag</t>
  </si>
  <si>
    <t>0611863193050</t>
  </si>
  <si>
    <t>TAG Leucanthemum Coconut 50/50 Petite Portrait FUL</t>
  </si>
  <si>
    <t>0611836061025</t>
  </si>
  <si>
    <t>TAG Leucanthemum Crazy Daisy 25/25 Portrait Tag</t>
  </si>
  <si>
    <t>0611836062025</t>
  </si>
  <si>
    <t>TAG Leucanthemum Darling Daisy 25/25 Portrait Tag</t>
  </si>
  <si>
    <t>0611836063025</t>
  </si>
  <si>
    <t>TAG Leucanthemum Darling Daisy Double 25/25 Portrait Tag</t>
  </si>
  <si>
    <t>0611836064025</t>
  </si>
  <si>
    <t>TAG Leucanthemum Darling Daisy Supreme 25/25 Portrait Tag</t>
  </si>
  <si>
    <t>0611836065025</t>
  </si>
  <si>
    <t>TAG Leucanthemum Goldfinch 25/25 Portrait Tag</t>
  </si>
  <si>
    <t>0611857018025</t>
  </si>
  <si>
    <t>TAG Leucanthemum Ice Cream Dream 25/25 Portrait Tag</t>
  </si>
  <si>
    <t>0611836067025</t>
  </si>
  <si>
    <t>TAG Leucanthemum Lancaster Betsy 25/25 Portrait Tag</t>
  </si>
  <si>
    <t>0611836068025</t>
  </si>
  <si>
    <t>TAG Leucanthemum Lucille Chic 25/25 Portrait Tag</t>
  </si>
  <si>
    <t>0611836069025</t>
  </si>
  <si>
    <t>TAG Leucanthemum Lucille Grace 25/25 Portrait Tag</t>
  </si>
  <si>
    <t>0611836070025</t>
  </si>
  <si>
    <t>TAG Leucanthemum Lucille White 25/25 Portrait Tag</t>
  </si>
  <si>
    <t>0611836071025</t>
  </si>
  <si>
    <t>TAG Leucanthemum Macaroon 25/25 Portrait Tag</t>
  </si>
  <si>
    <t>0611836072025</t>
  </si>
  <si>
    <t>TAG Leucanthemum Madonna 25/25 Portrait Tag</t>
  </si>
  <si>
    <t>0611857019025</t>
  </si>
  <si>
    <t>TAG Leucanthemum Make My Daisy Crazy 25/25 Portrait Tag</t>
  </si>
  <si>
    <t>0611857020025</t>
  </si>
  <si>
    <t>TAG Leucanthemum Make My Daisy Happy 25/25 Portrait Tag</t>
  </si>
  <si>
    <t>0611836073025</t>
  </si>
  <si>
    <t>TAG Leucanthemum Marconi 25/25 Portrait Tag</t>
  </si>
  <si>
    <t>0611836074025</t>
  </si>
  <si>
    <t>TAG Leucanthemum Mount Hood 25/25 Portrait Tag</t>
  </si>
  <si>
    <t>0611836075025</t>
  </si>
  <si>
    <t>TAG Leucanthemum Ooh La Laspider 25/25 Portrait Tag</t>
  </si>
  <si>
    <t>0611863194100</t>
  </si>
  <si>
    <t>TAG Leucanthemum Real Charmer 100/100 Pixie Tag FUL</t>
  </si>
  <si>
    <t>0611863195050</t>
  </si>
  <si>
    <t>TAG Leucanthemum Real Charmer Limited Availability 50/50 Petite Portrait</t>
  </si>
  <si>
    <t>0611863196100</t>
  </si>
  <si>
    <t>TAG Leucanthemum Real Dream 100/100 Pixie Tag FUL</t>
  </si>
  <si>
    <t>0611863197050</t>
  </si>
  <si>
    <t>TAG Leucanthemum Real Dream Limited Availability 50/50 Petite Portrait</t>
  </si>
  <si>
    <t>0611863198100</t>
  </si>
  <si>
    <t>TAG Leucanthemum Real Galaxy 100/100 Pixie Tag FUL</t>
  </si>
  <si>
    <t>0611863199050</t>
  </si>
  <si>
    <t>TAG Leucanthemum Real Galaxy Limited Availability 50/50 Petite Portrait</t>
  </si>
  <si>
    <t>0611863200100</t>
  </si>
  <si>
    <t>TAG Leucanthemum Real Glory 100/100 Pixie Tag FUL</t>
  </si>
  <si>
    <t>0611863201050</t>
  </si>
  <si>
    <t>TAG Leucanthemum Real Glory Limited Availability 50/50 Petite Portrait</t>
  </si>
  <si>
    <t>0611863202100</t>
  </si>
  <si>
    <t>TAG Leucanthemum Real Neat 100/100 Pixie Tag FUL</t>
  </si>
  <si>
    <t>0611863203050</t>
  </si>
  <si>
    <t>TAG Leucanthemum Real Neat Limited Availability 50/50 Petite Portrait</t>
  </si>
  <si>
    <t>0611863204100</t>
  </si>
  <si>
    <t>TAG Leucanthemum Real Sunbeam 100/100 Pixie Tag FUL</t>
  </si>
  <si>
    <t>0611857021025</t>
  </si>
  <si>
    <t>TAG Leucanthemum Seventh Heaven 25/25 Portrait Tag</t>
  </si>
  <si>
    <t>0611836076025</t>
  </si>
  <si>
    <t>TAG Leucanthemum Shasta Daisy GENERIC 25/25 Portrait Tag</t>
  </si>
  <si>
    <t>0611836077100</t>
  </si>
  <si>
    <t>TAG Leucanthemum Silver Princess 100/100 Pixie Tag</t>
  </si>
  <si>
    <t>0611836078025</t>
  </si>
  <si>
    <t>TAG Leucanthemum Silver Princess 25/25 Portrait Tag</t>
  </si>
  <si>
    <t>0611836079100</t>
  </si>
  <si>
    <t>TAG Leucanthemum Snow Lady 100/100 Pixie Tag</t>
  </si>
  <si>
    <t>0611836080025</t>
  </si>
  <si>
    <t>TAG Leucanthemum Snow Lady 25/25 Portrait Tag</t>
  </si>
  <si>
    <t>0611863205100</t>
  </si>
  <si>
    <t>TAG Leucanthemum Snowcap 100/100 Pixie Tag FUL</t>
  </si>
  <si>
    <t>0611836081025</t>
  </si>
  <si>
    <t>TAG Leucanthemum Snowcap 25/25 Portrait Tag</t>
  </si>
  <si>
    <t>0611863206050</t>
  </si>
  <si>
    <t>TAG Leucanthemum Snowcap Limited Availability 50/50 Petite Portrait</t>
  </si>
  <si>
    <t>0611857022025</t>
  </si>
  <si>
    <t>TAG Leucanthemum Sunshine Freak 25/25 Portrait Tag</t>
  </si>
  <si>
    <t>0611863207100</t>
  </si>
  <si>
    <t>TAG Leucanthemum Sweet Daisy Birdy 100/100 Pixie Tag DO FUL</t>
  </si>
  <si>
    <t>0611863208100</t>
  </si>
  <si>
    <t>TAG Leucanthemum Sweet Daisy Cher 100/100 Pixie Tag DO FUL</t>
  </si>
  <si>
    <t>0611863209100</t>
  </si>
  <si>
    <t>TAG Leucanthemum Sweet Daisy Christine 100/100 Pixie Tag DO FUL</t>
  </si>
  <si>
    <t>0611863210100</t>
  </si>
  <si>
    <t>TAG Leucanthemum Sweet Daisy Izabel 100/100 Pixie Tag DO FUL</t>
  </si>
  <si>
    <t>0611863211100</t>
  </si>
  <si>
    <t>TAG Leucanthemum Sweet Daisy Jane 100/100 Pixie Tag DO FUL</t>
  </si>
  <si>
    <t>0611863212100</t>
  </si>
  <si>
    <t>TAG Leucanthemum Sweet Daisy Rebecca 100/100 Pixie Tag DO FUL</t>
  </si>
  <si>
    <t>0611863213050</t>
  </si>
  <si>
    <t>TAG Leucanthemum Sweet Daisy Rebecca 50/50 Petite Portrait DO FUL</t>
  </si>
  <si>
    <t>0611863214100</t>
  </si>
  <si>
    <t>TAG Leucanthemum Sweet Daisy Shelly 100/100 Pixie Tag DO FUL</t>
  </si>
  <si>
    <t>0611863215100</t>
  </si>
  <si>
    <t>TAG Leucanthemum Sweet Daisy Sofie 100/100 Pixie Tag DO FUL</t>
  </si>
  <si>
    <t>0611863216050</t>
  </si>
  <si>
    <t>TAG Leucanthemum Sweet Daisy Sofie 50/50 Petite Portrait DO FUL</t>
  </si>
  <si>
    <t>0611836082025</t>
  </si>
  <si>
    <t>TAG Leucanthemum Victorian Secret 25/25 Portrait Tag</t>
  </si>
  <si>
    <t>0611836083025</t>
  </si>
  <si>
    <t>TAG Leucanthemum Western Star Gemini 25/25 Portrait Tag SF</t>
  </si>
  <si>
    <t>0611863217050</t>
  </si>
  <si>
    <t>TAG Leucanthemum Western Star Gemini 50/50 Petite Portrait SF FUL</t>
  </si>
  <si>
    <t>0611836084025</t>
  </si>
  <si>
    <t>TAG Leucanthemum Western Star Leo 25/25 Portrait Tag SF</t>
  </si>
  <si>
    <t>0611863218050</t>
  </si>
  <si>
    <t>TAG Leucanthemum Western Star Leo 50/50 Petite Portrait SF FUL</t>
  </si>
  <si>
    <t>0611836085025</t>
  </si>
  <si>
    <t>TAG Leucanthemum Western Star Libra 25/25 Portrait Tag SF</t>
  </si>
  <si>
    <t>0611863219050</t>
  </si>
  <si>
    <t>TAG Leucanthemum Western Star Libra 50/50 Petite Portrait SF FUL</t>
  </si>
  <si>
    <t>0611836086025</t>
  </si>
  <si>
    <t>TAG Leucanthemum Western Star Pisces 25/25 Portrait Tag SF</t>
  </si>
  <si>
    <t>0611836087025</t>
  </si>
  <si>
    <t>TAG Leucanthemum Western Star Taurus 25/25 Portrait Tag SF</t>
  </si>
  <si>
    <t>0611884292050</t>
  </si>
  <si>
    <t>TAG Leucanthemum Western Star Taurus 50/50 Petite Portrait SF FUL</t>
  </si>
  <si>
    <t>0611836088025</t>
  </si>
  <si>
    <t>TAG Leucanthemum White Breeze 25/25 Portrait Tag</t>
  </si>
  <si>
    <t>0611836089025</t>
  </si>
  <si>
    <t>TAG Leucanthemum White Lion 25/25 Portrait Tag</t>
  </si>
  <si>
    <t>0611836090025</t>
  </si>
  <si>
    <t>TAG Leucanthemum White Magic 25/25 Portrait Tag</t>
  </si>
  <si>
    <t>0611836091025</t>
  </si>
  <si>
    <t>TAG Leucanthemum White Mountain 25/25 Portrait Tag</t>
  </si>
  <si>
    <t>0611836092025</t>
  </si>
  <si>
    <t>TAG Leucanthemum Whitecap 25/25 Portrait Tag</t>
  </si>
  <si>
    <t>0611884293025</t>
  </si>
  <si>
    <t>TAG Levisticum Lovage 25/25 Portrait Tag</t>
  </si>
  <si>
    <t>0611884294025</t>
  </si>
  <si>
    <t>TAG Lewisia Elise Golden Yellow 25/25 Portrait Tag</t>
  </si>
  <si>
    <t>0611836094025</t>
  </si>
  <si>
    <t>TAG Lewisia Elise Mix Cotyledon 25/25 Portrait Tag</t>
  </si>
  <si>
    <t>0611836095025</t>
  </si>
  <si>
    <t>TAG Lewisia Elise Ruby Red Cotyledon 25/25 Portrait Tag</t>
  </si>
  <si>
    <t>0611836096025</t>
  </si>
  <si>
    <t>TAG Lewisia Elise Ultra Violet 25/25 Portrait Tag</t>
  </si>
  <si>
    <t>0611836098025</t>
  </si>
  <si>
    <t>TAG Lewisia GENERIC 25/25 Portrait Tag</t>
  </si>
  <si>
    <t>0611836099025</t>
  </si>
  <si>
    <t>TAG Lewisia Special Mix Cotyledon 25/25 Portrait Tag</t>
  </si>
  <si>
    <t>0611836100025</t>
  </si>
  <si>
    <t>TAG Lewisia Sunset Strain Cotyledon 25/25 Portrait Tag</t>
  </si>
  <si>
    <t>0611836101025</t>
  </si>
  <si>
    <t>TAG Liatris Floristan Violet Spicata 25/25 Portrait Tag</t>
  </si>
  <si>
    <t>0611836102025</t>
  </si>
  <si>
    <t>TAG Liatris Floristan White Spicata 25/25 Portrait Tag</t>
  </si>
  <si>
    <t>0611836105100</t>
  </si>
  <si>
    <t>TAG Liatris GENERIC 100/100 Pixie Tag</t>
  </si>
  <si>
    <t>0611836106025</t>
  </si>
  <si>
    <t>TAG Liatris GENERIC 25/25 Portrait Tag</t>
  </si>
  <si>
    <t>0611836103100</t>
  </si>
  <si>
    <t>TAG Liatris Kobold Spicata 100/100 Pixie Tag</t>
  </si>
  <si>
    <t>0611836104025</t>
  </si>
  <si>
    <t>TAG Liatris Kobold Spicata 25/25 Portrait Tag</t>
  </si>
  <si>
    <t>0611836107025</t>
  </si>
  <si>
    <t>TAG Liatris Purple 25/25 Portrait Tag</t>
  </si>
  <si>
    <t>0611836108025</t>
  </si>
  <si>
    <t>TAG Ligularia Little Rocket 25/25 Portrait Tag</t>
  </si>
  <si>
    <t>0611836109025</t>
  </si>
  <si>
    <t>TAG Ligularia Othello Dentata 25/25 Portrait Tag</t>
  </si>
  <si>
    <t>0611836110025</t>
  </si>
  <si>
    <t>TAG Ligularia The Rocket Stenocephala 25/25 Portrait Tag</t>
  </si>
  <si>
    <t>0611836111025</t>
  </si>
  <si>
    <t>TAG Lilium Asiatic GENERIC 25/25 Portrait Tag</t>
  </si>
  <si>
    <t>0611836113100</t>
  </si>
  <si>
    <t>TAG Lilium Easter Lily 100/100 Pixie Tag</t>
  </si>
  <si>
    <t>0611836114025</t>
  </si>
  <si>
    <t>TAG Lilium Matrix 25/25 Portrait Tag</t>
  </si>
  <si>
    <t>0611836115025</t>
  </si>
  <si>
    <t>TAG Lilium Orange Asiatic 25/25 Portrait Tag</t>
  </si>
  <si>
    <t>0611836116025</t>
  </si>
  <si>
    <t>TAG Lilium Oriental GENERIC 25/25 Portrait Tag</t>
  </si>
  <si>
    <t>0611836117100</t>
  </si>
  <si>
    <t>TAG Lilium Oriental Lily GENERIC 100/100 Pixie Tag</t>
  </si>
  <si>
    <t>0611836118025</t>
  </si>
  <si>
    <t>TAG Lilium Pink Asiatic 25/25 Portrait Tag</t>
  </si>
  <si>
    <t>0611836120025</t>
  </si>
  <si>
    <t>TAG Lilium Yellow Asiatic 25/25 Portrait Tag</t>
  </si>
  <si>
    <t>0611836121100</t>
  </si>
  <si>
    <t>TAG Limonium Fortress Dark Blue 100/100 Pixie Tag</t>
  </si>
  <si>
    <t>0611836122100</t>
  </si>
  <si>
    <t>TAG Limonium Fortress Mix 100/100 Pixie Tag</t>
  </si>
  <si>
    <t>0611836124100</t>
  </si>
  <si>
    <t>TAG Limonium Perezii 100/100 Pixie Tag</t>
  </si>
  <si>
    <t>0611836125100</t>
  </si>
  <si>
    <t>TAG Limonium Qis Series 100/100 Pixie Tag</t>
  </si>
  <si>
    <t>0611836126025</t>
  </si>
  <si>
    <t>TAG Limonium Sea Lavender Purple Latifolium 25/25 Portrait Tag</t>
  </si>
  <si>
    <t>0611836127100</t>
  </si>
  <si>
    <t>TAG Limonium Statice GENERIC 100/100 Pixie Tag</t>
  </si>
  <si>
    <t>0611836128100</t>
  </si>
  <si>
    <t>TAG Linaria Enchantment 100/100 Pixie Tag</t>
  </si>
  <si>
    <t>0611836129100</t>
  </si>
  <si>
    <t>TAG Linaria Fantasista Series 100/100 Pixie Tag</t>
  </si>
  <si>
    <t>0611836131100</t>
  </si>
  <si>
    <t>TAG Linaria Fantasy Mix 100/100 Pixie Tag</t>
  </si>
  <si>
    <t>0611836133025</t>
  </si>
  <si>
    <t>TAG Lindernia 25/25 Portrait Tag</t>
  </si>
  <si>
    <t>0611836134100</t>
  </si>
  <si>
    <t>TAG Linum Blue Perenne 100/100 Pixie Tag</t>
  </si>
  <si>
    <t>0611836135025</t>
  </si>
  <si>
    <t>TAG Linum Sapphire Perenne 25/25 Portrait Tag</t>
  </si>
  <si>
    <t>0611836136100</t>
  </si>
  <si>
    <t>TAG Liriope Big Blue Muscari 100/100 Pixie Tag</t>
  </si>
  <si>
    <t>0611836137025</t>
  </si>
  <si>
    <t>TAG Liriope Big Blue Muscari 25/25 Portrait Tag</t>
  </si>
  <si>
    <t>0611836138025</t>
  </si>
  <si>
    <t>TAG Liriope Silver Dragon Spicata 25/25 Portrait Tag</t>
  </si>
  <si>
    <t>0611836139100</t>
  </si>
  <si>
    <t>TAG Liriope Spicata 100/100 Pixie Tag</t>
  </si>
  <si>
    <t>0611836140025</t>
  </si>
  <si>
    <t>TAG Liriope Variegata Muscari 25/25 Portrait Tag</t>
  </si>
  <si>
    <t>0611834265100</t>
  </si>
  <si>
    <t>TAG Lisianthus Doublini Series 100/100 Pixie Tag</t>
  </si>
  <si>
    <t>0611834266100</t>
  </si>
  <si>
    <t>TAG Lisianthus Florida Blue 100/100 Pixie Tag</t>
  </si>
  <si>
    <t>0611834267100</t>
  </si>
  <si>
    <t>TAG Lisianthus Florida Pink 100/100 Pixie Tag</t>
  </si>
  <si>
    <t>0611834269100</t>
  </si>
  <si>
    <t>TAG Lisianthus Forever Blue 100/100 Pixie Tag</t>
  </si>
  <si>
    <t>0611834273100</t>
  </si>
  <si>
    <t>TAG Lisianthus GENERIC 100/100 Pixie Tag</t>
  </si>
  <si>
    <t>0611834271100</t>
  </si>
  <si>
    <t>TAG Lisianthus Julietta Series 100/100 Pixie Tag</t>
  </si>
  <si>
    <t>0611834274100</t>
  </si>
  <si>
    <t>TAG Lisianthus Mermaid Blue 100/100 Pixie Tag</t>
  </si>
  <si>
    <t>0611834276100</t>
  </si>
  <si>
    <t>TAG Lisianthus Rosita Series 100/100 Pixie Tag</t>
  </si>
  <si>
    <t>0611863220100</t>
  </si>
  <si>
    <t>TAG Lithodora Blue Star 100/100 Pixie Tag FUL</t>
  </si>
  <si>
    <t>0611836141025</t>
  </si>
  <si>
    <t>TAG Lithodora Gold N Sapphires Diffusa 25/25 Portrait Tag</t>
  </si>
  <si>
    <t>0611863221100</t>
  </si>
  <si>
    <t>TAG Lithodora Grace Ward 100/100 Pixie Tag FUL</t>
  </si>
  <si>
    <t>0611836142025</t>
  </si>
  <si>
    <t>TAG Lithodora Grace Ward 25/25 Portrait Tag</t>
  </si>
  <si>
    <t>0611863222100</t>
  </si>
  <si>
    <t>TAG Lithodora Heavenly Blue 100/100 Pixie Tag FUL</t>
  </si>
  <si>
    <t>0611836143025</t>
  </si>
  <si>
    <t>TAG Lithodora Heavenly Blue 25/25 Portrait Tag</t>
  </si>
  <si>
    <t>0611836144025</t>
  </si>
  <si>
    <t>TAG Lithodora Lithodora 25/25 Portrait Tag</t>
  </si>
  <si>
    <t>0611857023025</t>
  </si>
  <si>
    <t>TAG Lithodora Tidepool Sky Blue 25/25 Portrait Tag SF</t>
  </si>
  <si>
    <t>0611834799100</t>
  </si>
  <si>
    <t>TAG Live Wire Fiber Optic 100/100 Pixie Tag</t>
  </si>
  <si>
    <t>0611836145100</t>
  </si>
  <si>
    <t>TAG Lobelia Anabel Brilliant Blue 100/100 Pixie Tag</t>
  </si>
  <si>
    <t>0611863223050</t>
  </si>
  <si>
    <t>TAG Lobelia Bella Acqua 50/50 Petite Portrait DO FUL</t>
  </si>
  <si>
    <t>0611863224050</t>
  </si>
  <si>
    <t>TAG Lobelia Bella Azure 50/50 Petite Portrait DO FUL</t>
  </si>
  <si>
    <t>0611863225050</t>
  </si>
  <si>
    <t>TAG Lobelia Bella Bianca 50/50 Petite Portrait DO FUL</t>
  </si>
  <si>
    <t>0611863226050</t>
  </si>
  <si>
    <t>TAG Lobelia Bella Cielo Lobelia 50/50 Petite Portrait DO FUL</t>
  </si>
  <si>
    <t>0611863227050</t>
  </si>
  <si>
    <t>TAG Lobelia Bella Mare 50/50 Petite Portrait DO FUL</t>
  </si>
  <si>
    <t>0611863228050</t>
  </si>
  <si>
    <t>TAG Lobelia Bella Oceano 50/50 Petite Portrait DO FUL</t>
  </si>
  <si>
    <t>0611863229050</t>
  </si>
  <si>
    <t>TAG Lobelia Bella Rosa 50/50 Petite Portrait DO FUL</t>
  </si>
  <si>
    <t>0611836148100</t>
  </si>
  <si>
    <t>TAG Lobelia Blue And White Bicolor GENERIC 100/100 Pixie Tag</t>
  </si>
  <si>
    <t>0611836147100</t>
  </si>
  <si>
    <t>TAG Lobelia Blue GENERIC 100/100 Pixie Tag</t>
  </si>
  <si>
    <t>0611836150100</t>
  </si>
  <si>
    <t>TAG Lobelia Cambridge Blue 100/100 Pixie Tag</t>
  </si>
  <si>
    <t>0611836151100</t>
  </si>
  <si>
    <t>TAG Lobelia Cardinalis 100/100 Pixie Tag</t>
  </si>
  <si>
    <t>0611836152025</t>
  </si>
  <si>
    <t>TAG Lobelia Cardinalis 25/25 Portrait Tag</t>
  </si>
  <si>
    <t>0611836154100</t>
  </si>
  <si>
    <t>TAG Lobelia Crystal Palace 100/100 Pixie Tag</t>
  </si>
  <si>
    <t>0611836158025</t>
  </si>
  <si>
    <t>TAG Lobelia Fan Scarlet Speciosa 25/25 Portrait Tag</t>
  </si>
  <si>
    <t>0611836161100</t>
  </si>
  <si>
    <t>TAG Lobelia GENERIC Bilingual 100/100 Pixie Tag</t>
  </si>
  <si>
    <t>0611884295100</t>
  </si>
  <si>
    <t>TAG Lobelia Glow Blue Volt 100/100 Pixie Tag</t>
  </si>
  <si>
    <t>0611836159100</t>
  </si>
  <si>
    <t>TAG Lobelia Glow Electric Blue 100/100 Pixie Tag</t>
  </si>
  <si>
    <t>0611836160100</t>
  </si>
  <si>
    <t>TAG Lobelia Glow White Lightning 100/100 Pixie Tag</t>
  </si>
  <si>
    <t>0611836162100</t>
  </si>
  <si>
    <t>TAG Lobelia Hot Aqua 100/100 Pixie Tag</t>
  </si>
  <si>
    <t>0611836163100</t>
  </si>
  <si>
    <t>TAG Lobelia Hot Bavaria 100/100 Pixie Tag</t>
  </si>
  <si>
    <t>0611863232050</t>
  </si>
  <si>
    <t>TAG Lobelia Hot Bavaria 50/50 Petite Portrait FUL</t>
  </si>
  <si>
    <t>0611836164100</t>
  </si>
  <si>
    <t>TAG Lobelia Hot Blue 100/100 Pixie Tag</t>
  </si>
  <si>
    <t>0611863233050</t>
  </si>
  <si>
    <t>TAG Lobelia Hot Blue 50/50 Petite Portrait FUL</t>
  </si>
  <si>
    <t>0611836165100</t>
  </si>
  <si>
    <t>TAG Lobelia Hot Blue With Eye 100/100 Pixie Tag</t>
  </si>
  <si>
    <t>0611836166100</t>
  </si>
  <si>
    <t>TAG Lobelia Hot Brilliant Blue 100/100 Pixie Tag</t>
  </si>
  <si>
    <t>0611863234050</t>
  </si>
  <si>
    <t>TAG Lobelia Hot Brilliant Blue 50/50 Petite Portrait FUL</t>
  </si>
  <si>
    <t>0611836167100</t>
  </si>
  <si>
    <t>TAG Lobelia Hot Dark Blue 100/100 Pixie Tag</t>
  </si>
  <si>
    <t>0611836169100</t>
  </si>
  <si>
    <t>TAG Lobelia Hot Electric Purple 100/100 Pixie Tag</t>
  </si>
  <si>
    <t>0611884296100</t>
  </si>
  <si>
    <t>TAG Lobelia Hot Giant Blue 100/100 Pixie Tag</t>
  </si>
  <si>
    <t>0611863235050</t>
  </si>
  <si>
    <t>TAG Lobelia Hot Giant Blue 50/50 Petite Portrait FUL</t>
  </si>
  <si>
    <t>0611863236050</t>
  </si>
  <si>
    <t>TAG Lobelia Hot Plus Aqua 50/50 Petite Portrait FUL</t>
  </si>
  <si>
    <t>0611863237050</t>
  </si>
  <si>
    <t>TAG Lobelia Hot Plus Blue With Eye 50/50 Petite Portrait FUL</t>
  </si>
  <si>
    <t>0611863238050</t>
  </si>
  <si>
    <t>TAG Lobelia Hot Plus Dark Blue With Eye 50/50 Petite Portrait FUL</t>
  </si>
  <si>
    <t>0611863239050</t>
  </si>
  <si>
    <t>TAG Lobelia Hot Plus Pretty Heaven 50/50 Petite Portrait FUL</t>
  </si>
  <si>
    <t>0611863240050</t>
  </si>
  <si>
    <t>TAG Lobelia Hot Plus Rose 50/50 Petite Portrait FUL</t>
  </si>
  <si>
    <t>0611863241050</t>
  </si>
  <si>
    <t>TAG Lobelia Hot Plus White 50/50 Petite Portrait FUL</t>
  </si>
  <si>
    <t>0611836172100</t>
  </si>
  <si>
    <t>TAG Lobelia Hot Pretty Heaven 100/100 Pixie Tag</t>
  </si>
  <si>
    <t>0611836173100</t>
  </si>
  <si>
    <t>TAG Lobelia Hot Purple 100/100 Pixie Tag</t>
  </si>
  <si>
    <t>0611863242050</t>
  </si>
  <si>
    <t>TAG Lobelia Hot Purple 50/50 Petite Portrait FUL</t>
  </si>
  <si>
    <t>0611836174100</t>
  </si>
  <si>
    <t>TAG Lobelia Hot Royal Blue 100/100 Pixie Tag</t>
  </si>
  <si>
    <t>0611863243050</t>
  </si>
  <si>
    <t>TAG Lobelia Hot Royal Blue 50/50 Petite Portrait FUL</t>
  </si>
  <si>
    <t>0611836175100</t>
  </si>
  <si>
    <t>TAG Lobelia Hot Series 100/100 Pixie Tag</t>
  </si>
  <si>
    <t>0611836176100</t>
  </si>
  <si>
    <t>TAG Lobelia Hot Snow White 100/100 Pixie Tag</t>
  </si>
  <si>
    <t>0611863244050</t>
  </si>
  <si>
    <t>TAG Lobelia Hot Snow White 50/50 Petite Portrait FUL</t>
  </si>
  <si>
    <t>0611836177100</t>
  </si>
  <si>
    <t>TAG Lobelia Hot Tiger 100/100 Pixie Tag</t>
  </si>
  <si>
    <t>0611863245050</t>
  </si>
  <si>
    <t>TAG Lobelia Hot Tiger Eyes 50/50 Petite Portrait FUL</t>
  </si>
  <si>
    <t>0611836178100</t>
  </si>
  <si>
    <t>TAG Lobelia Hot Waterblue 100/100 Pixie Tag</t>
  </si>
  <si>
    <t>0611863246050</t>
  </si>
  <si>
    <t>TAG Lobelia Hot Waterblue 50/50 Petite Portrait FUL</t>
  </si>
  <si>
    <t>0611836179100</t>
  </si>
  <si>
    <t>TAG Lobelia Hot White 100/100 Pixie Tag</t>
  </si>
  <si>
    <t>0611884297100</t>
  </si>
  <si>
    <t>TAG Lobelia HotPot Series 100/100 Pixie Tag</t>
  </si>
  <si>
    <t>0611836180100</t>
  </si>
  <si>
    <t>TAG Lobelia Lobelia GENERIC 100/100 Hang Tag</t>
  </si>
  <si>
    <t>0611857024100</t>
  </si>
  <si>
    <t>TAG Lobelia Lobelix Series 100/100 Pixie Tag</t>
  </si>
  <si>
    <t>0611836181100</t>
  </si>
  <si>
    <t>TAG Lobelia Palace Blue 100/100 Pixie Tag</t>
  </si>
  <si>
    <t>0611836182100</t>
  </si>
  <si>
    <t>TAG Lobelia Palace Blue With White Eye 100/100 Pixie Tag</t>
  </si>
  <si>
    <t>0611836183100</t>
  </si>
  <si>
    <t>TAG Lobelia Palace Royal 100/100 Pixie Tag</t>
  </si>
  <si>
    <t>0611836184100</t>
  </si>
  <si>
    <t>TAG Lobelia Palace Sky Blue 100/100 Pixie Tag</t>
  </si>
  <si>
    <t>0611836185100</t>
  </si>
  <si>
    <t>TAG Lobelia Palace White 100/100 Pixie Tag</t>
  </si>
  <si>
    <t>0611836186025</t>
  </si>
  <si>
    <t>TAG Lobelia Queen Victoria 25/25 Portrait Tag</t>
  </si>
  <si>
    <t>0611836187100</t>
  </si>
  <si>
    <t>TAG Lobelia Regatta Blue Splash 100/100 Pixie Tag</t>
  </si>
  <si>
    <t>0611836188100</t>
  </si>
  <si>
    <t>TAG Lobelia Regatta Lilac 100/100 Pixie Tag</t>
  </si>
  <si>
    <t>0611836190100</t>
  </si>
  <si>
    <t>TAG Lobelia Regatta Marine Blue 100/100 Pixie Tag</t>
  </si>
  <si>
    <t>0611836191100</t>
  </si>
  <si>
    <t>TAG Lobelia Regatta Midnight Blue 100/100 Pixie Tag</t>
  </si>
  <si>
    <t>0611836192100</t>
  </si>
  <si>
    <t>TAG Lobelia Regatta Mix 100/100 Pixie Tag</t>
  </si>
  <si>
    <t>0611836193100</t>
  </si>
  <si>
    <t>TAG Lobelia Regatta Rose 100/100 Pixie Tag</t>
  </si>
  <si>
    <t>0611836194100</t>
  </si>
  <si>
    <t>TAG Lobelia Regatta Sapphire 100/100 Pixie Tag</t>
  </si>
  <si>
    <t>0611836195100</t>
  </si>
  <si>
    <t>TAG Lobelia Regatta Sky Blue 100/100 Pixie Tag</t>
  </si>
  <si>
    <t>0611836196100</t>
  </si>
  <si>
    <t>TAG Lobelia Regatta White 100/100 Pixie Tag</t>
  </si>
  <si>
    <t>0611857025100</t>
  </si>
  <si>
    <t>TAG Lobelia Rift Blue 100/100 Pixie Tag</t>
  </si>
  <si>
    <t>0611863247050</t>
  </si>
  <si>
    <t>TAG Lobelia Rift Blue 50/50 Petite Portrait FUL</t>
  </si>
  <si>
    <t>0611857026100</t>
  </si>
  <si>
    <t>TAG Lobelia Rift Great Mix 100/100 Pixie Tag</t>
  </si>
  <si>
    <t>0611857027100</t>
  </si>
  <si>
    <t>TAG Lobelia Rift Purple 100/100 Pixie Tag</t>
  </si>
  <si>
    <t>0611863248050</t>
  </si>
  <si>
    <t>TAG Lobelia Rift Purple 50/50 Petite Portrait FUL</t>
  </si>
  <si>
    <t>0611836197100</t>
  </si>
  <si>
    <t>TAG Lobelia Riviera Blue Eyes 100/100 Pixie Tag</t>
  </si>
  <si>
    <t>0611836198100</t>
  </si>
  <si>
    <t>TAG Lobelia Riviera Blue Splash 100/100 Pixie Tag</t>
  </si>
  <si>
    <t>0611836199100</t>
  </si>
  <si>
    <t>TAG Lobelia Riviera Lilac 100/100 Pixie Tag</t>
  </si>
  <si>
    <t>0611836200100</t>
  </si>
  <si>
    <t>TAG Lobelia Riviera Marine Blue 100/100 Pixie Tag</t>
  </si>
  <si>
    <t>0611836201100</t>
  </si>
  <si>
    <t>TAG Lobelia Riviera Midnight Blue 100/100 Pixie Tag</t>
  </si>
  <si>
    <t>0611836202100</t>
  </si>
  <si>
    <t>TAG Lobelia Riviera Mix 100/100 Pixie Tag</t>
  </si>
  <si>
    <t>0611836203100</t>
  </si>
  <si>
    <t>TAG Lobelia Riviera Rose 100/100 Pixie Tag</t>
  </si>
  <si>
    <t>0611836204100</t>
  </si>
  <si>
    <t>TAG Lobelia Riviera Sky Blue 100/100 Pixie Tag</t>
  </si>
  <si>
    <t>0611836205100</t>
  </si>
  <si>
    <t>TAG Lobelia Riviera Springtime Blues Mix 100/100 Pixie Tag</t>
  </si>
  <si>
    <t>0611836206100</t>
  </si>
  <si>
    <t>TAG Lobelia Riviera White 100/100 Pixie Tag</t>
  </si>
  <si>
    <t>0611836208100</t>
  </si>
  <si>
    <t>TAG Lobelia Sailor 100/100 Pixie Tag</t>
  </si>
  <si>
    <t>0611836209025</t>
  </si>
  <si>
    <t>TAG Lobelia Siphilitica 25/25 Portrait Tag</t>
  </si>
  <si>
    <t>0611836210100</t>
  </si>
  <si>
    <t>TAG Lobelia Sky Blue GENERIC 100/100 Pixie Tag</t>
  </si>
  <si>
    <t>0611836211100</t>
  </si>
  <si>
    <t>TAG Lobelia Star Blue 100/100 Pixie Tag</t>
  </si>
  <si>
    <t>0611836212100</t>
  </si>
  <si>
    <t>TAG Lobelia Star Cobalt 100/100 Pixie Tag</t>
  </si>
  <si>
    <t>0611863230050</t>
  </si>
  <si>
    <t>TAG Lobelia Star Cobalt Star 50/50 Petite Portrait FUL</t>
  </si>
  <si>
    <t>0611836213100</t>
  </si>
  <si>
    <t>TAG Lobelia Star Crocus 100/100 Pixie Tag</t>
  </si>
  <si>
    <t>0611836214100</t>
  </si>
  <si>
    <t>TAG Lobelia Star Deep Blue 100/100 Pixie Tag</t>
  </si>
  <si>
    <t>0611863231050</t>
  </si>
  <si>
    <t>TAG Lobelia Star Deep Blue Star 50/50 Petite Portrait FUL</t>
  </si>
  <si>
    <t>0611836215100</t>
  </si>
  <si>
    <t>TAG Lobelia Star Purple 100/100 Pixie Tag</t>
  </si>
  <si>
    <t>0611863249050</t>
  </si>
  <si>
    <t>TAG Lobelia Star Sailor Star 50/50 Petite Portrait FUL</t>
  </si>
  <si>
    <t>0611863250050</t>
  </si>
  <si>
    <t>TAG Lobelia Star Super Star 50/50 Petite Portrait FUL</t>
  </si>
  <si>
    <t>0611836216100</t>
  </si>
  <si>
    <t>TAG Lobelia Star Superstar 100/100 Pixie Tag</t>
  </si>
  <si>
    <t>0611836217100</t>
  </si>
  <si>
    <t>TAG Lobelia Star White 100/100 Pixie Tag</t>
  </si>
  <si>
    <t>0611836218025</t>
  </si>
  <si>
    <t>TAG Lobelia Starship Blue Speciosa 25/25 Portrait Tag</t>
  </si>
  <si>
    <t>0611836219025</t>
  </si>
  <si>
    <t>TAG Lobelia Starship Burgundy Speciosa 25/25 Portrait Tag</t>
  </si>
  <si>
    <t>0611836220025</t>
  </si>
  <si>
    <t>TAG Lobelia Starship Deep Rose Speciosa 25/25 Portrait Tag</t>
  </si>
  <si>
    <t>0611836221025</t>
  </si>
  <si>
    <t>TAG Lobelia Starship Rose Speciosa 25/25 Portrait Tag</t>
  </si>
  <si>
    <t>0611836222025</t>
  </si>
  <si>
    <t>TAG Lobelia Starship Scarlet Bronze Leaf 25/25 Portrait Tag</t>
  </si>
  <si>
    <t>0611836223025</t>
  </si>
  <si>
    <t>TAG Lobelia Starship Scarlet Speciosa 25/25 Portrait Tag</t>
  </si>
  <si>
    <t>0611863251050</t>
  </si>
  <si>
    <t>TAG Lobelia Techno Blue 50/50 Petite Portrait SF FUL</t>
  </si>
  <si>
    <t>0611863252050</t>
  </si>
  <si>
    <t>TAG Lobelia Techno Cobalt Blue 50/50 Petite Portrait SF FUL</t>
  </si>
  <si>
    <t>0611863253050</t>
  </si>
  <si>
    <t>TAG Lobelia Techno Dark Blue 50/50 Petite Portrait SF FUL</t>
  </si>
  <si>
    <t>0611884298050</t>
  </si>
  <si>
    <t>TAG Lobelia Techno Deep Blue With Eye 50/50 Petite Portrait SF FUL</t>
  </si>
  <si>
    <t>0611863254050</t>
  </si>
  <si>
    <t>TAG Lobelia Techno Electric Blue 50/50 Petite Portrait SF FUL</t>
  </si>
  <si>
    <t>0611863255050</t>
  </si>
  <si>
    <t>TAG Lobelia Techno Heat Dark Blue 50/50 Petite Portrait SF FUL</t>
  </si>
  <si>
    <t>0611863256050</t>
  </si>
  <si>
    <t>TAG Lobelia Techno Heat Electric Blue 50/50 Petite Portrait SF FUL</t>
  </si>
  <si>
    <t>0611863257050</t>
  </si>
  <si>
    <t>TAG Lobelia Techno Heat Upright Purple 50/50 Petite Portrait SF FUL</t>
  </si>
  <si>
    <t>0611863258050</t>
  </si>
  <si>
    <t>TAG Lobelia Techno Large Blue Violet 50/50 Petite Portrait SF FUL</t>
  </si>
  <si>
    <t>0611863259050</t>
  </si>
  <si>
    <t>TAG Lobelia Techno Light Blue 50/50 Petite Portrait SF FUL</t>
  </si>
  <si>
    <t>0611863260050</t>
  </si>
  <si>
    <t>TAG Lobelia Techno Lilac Improved 50/50 Petite Portrait SF FUL</t>
  </si>
  <si>
    <t>0611863261050</t>
  </si>
  <si>
    <t>TAG Lobelia Techno Upright Blue 50/50 Petite Portrait SF FUL</t>
  </si>
  <si>
    <t>0611863262050</t>
  </si>
  <si>
    <t>TAG Lobelia Techno Upright Cobalt Blue 50/50 Petite Portrait SF FUL</t>
  </si>
  <si>
    <t>0611863263050</t>
  </si>
  <si>
    <t>TAG Lobelia Techno Upright Dark Blue 50/50 Petite Tag SF</t>
  </si>
  <si>
    <t>0611863264050</t>
  </si>
  <si>
    <t>TAG Lobelia Techno Upright Delft Blue 50/50 Petite Portrait SF FUL</t>
  </si>
  <si>
    <t>0611863265050</t>
  </si>
  <si>
    <t>TAG Lobelia Techno Upright Light Blue 50/50 Petite Portrait SF FUL</t>
  </si>
  <si>
    <t>0611863266050</t>
  </si>
  <si>
    <t>TAG Lobelia Techno Upright Purple 50/50 Petite Portrait SF FUL</t>
  </si>
  <si>
    <t>0611863267050</t>
  </si>
  <si>
    <t>TAG Lobelia Techno Upright White 50/50 Petite Portrait SF FUL</t>
  </si>
  <si>
    <t>0611863268050</t>
  </si>
  <si>
    <t>TAG Lobelia Techno Violet 50/50 Petite Tag SF</t>
  </si>
  <si>
    <t>0611863270050</t>
  </si>
  <si>
    <t>TAG Lobelia Techno White 20 50/50 Petite Portrait SF FUL</t>
  </si>
  <si>
    <t>0611863269050</t>
  </si>
  <si>
    <t>TAG Lobelia Techno White 50/50 Petite Portrait SF FUL</t>
  </si>
  <si>
    <t>0611836224100</t>
  </si>
  <si>
    <t>TAG Lobelia Trailing GENERIC 100/100 Pixie Tag</t>
  </si>
  <si>
    <t>0611836225100</t>
  </si>
  <si>
    <t>TAG Lobelia Trailing Sapphire 100/100 Pixie Tag</t>
  </si>
  <si>
    <t>0611836226025</t>
  </si>
  <si>
    <t>TAG Lobelia Vulcan Red Speciosa 25/25 Portrait Tag</t>
  </si>
  <si>
    <t>0611836227100</t>
  </si>
  <si>
    <t>TAG Lobelia White GENERIC 100/100 Pixie Tag</t>
  </si>
  <si>
    <t>0611836228100</t>
  </si>
  <si>
    <t>TAG Lobelia White Lady 100/100 Pixie Tag</t>
  </si>
  <si>
    <t>0611884299025</t>
  </si>
  <si>
    <t>TAG Lobelia Zuni Scarlet 25/25 Portrait Tag</t>
  </si>
  <si>
    <t>0611836232100</t>
  </si>
  <si>
    <t>TAG Lobularia Alice White 100/100 Pixie Tag</t>
  </si>
  <si>
    <t>0611836233100</t>
  </si>
  <si>
    <t>TAG Lobularia Alyssum Bilingual 100/100 Pixie Tag</t>
  </si>
  <si>
    <t>0611836234100</t>
  </si>
  <si>
    <t>TAG Lobularia Blue Lavender Shades GENERIC 100/100 Pixie Tag</t>
  </si>
  <si>
    <t>0611836235100</t>
  </si>
  <si>
    <t>TAG Lobularia Blueberry Muffin Mix 100/100 Pixie Tag</t>
  </si>
  <si>
    <t>0611836236100</t>
  </si>
  <si>
    <t>TAG Lobularia Carpet Of Snow 100/100 Pixie Tag</t>
  </si>
  <si>
    <t>0611836237100</t>
  </si>
  <si>
    <t>TAG Lobularia Clear Crystal Lavender Shades 100/100 Pixie Tag</t>
  </si>
  <si>
    <t>0611836238100</t>
  </si>
  <si>
    <t>TAG Lobularia Clear Crystal Mixture 100/100 Pixie Tag</t>
  </si>
  <si>
    <t>0611836239100</t>
  </si>
  <si>
    <t>TAG Lobularia Clear Crystal Purple Shades 100/100 Pixie Tag</t>
  </si>
  <si>
    <t>0611836240100</t>
  </si>
  <si>
    <t>TAG Lobularia Clear Crystal White 100/100 Pixie Tag</t>
  </si>
  <si>
    <t>0611836241100</t>
  </si>
  <si>
    <t>TAG Lobularia Easter Basket Mix 100/100 Pixie Tag</t>
  </si>
  <si>
    <t>0611836242100</t>
  </si>
  <si>
    <t>TAG Lobularia Easter Bonnet Deep Pink 100/100 Pixie Tag</t>
  </si>
  <si>
    <t>0611836243100</t>
  </si>
  <si>
    <t>TAG Lobularia Easter Bonnet Deep Rose 100/100 Pixie Tag</t>
  </si>
  <si>
    <t>0611836244100</t>
  </si>
  <si>
    <t>TAG Lobularia Easter Bonnet Lavender 100/100 Pixie Tag</t>
  </si>
  <si>
    <t>0611836245100</t>
  </si>
  <si>
    <t>TAG Lobularia Easter Bonnet Lemonade 100/100 Pixie Tag</t>
  </si>
  <si>
    <t>0611836246100</t>
  </si>
  <si>
    <t>TAG Lobularia Easter Bonnet Mix 100/100 Pixie Tag</t>
  </si>
  <si>
    <t>0611836247100</t>
  </si>
  <si>
    <t>TAG Lobularia Easter Bonnet Pastel Mix 100/100 Pixie Tag</t>
  </si>
  <si>
    <t>0611836248100</t>
  </si>
  <si>
    <t>TAG Lobularia Easter Bonnet Peach 100/100 Pixie Tag</t>
  </si>
  <si>
    <t>0611836249100</t>
  </si>
  <si>
    <t>TAG Lobularia Easter Bonnet Violet 100/100 Pixie Tag</t>
  </si>
  <si>
    <t>0611836250100</t>
  </si>
  <si>
    <t>TAG Lobularia Easter Bonnet White 100/100 Pixie Tag</t>
  </si>
  <si>
    <t>0611836251100</t>
  </si>
  <si>
    <t>TAG Lobularia Marineland Frosty Lavender 100/100 Pixie Tag</t>
  </si>
  <si>
    <t>0611836252100</t>
  </si>
  <si>
    <t>TAG Lobularia Marineland Lavender 100/100 Pixie Tag</t>
  </si>
  <si>
    <t>0611836253100</t>
  </si>
  <si>
    <t>TAG Lobularia Marineland Pink 100/100 Pixie Tag</t>
  </si>
  <si>
    <t>0611836254100</t>
  </si>
  <si>
    <t>TAG Lobularia Marineland White 100/100 Pixie Tag</t>
  </si>
  <si>
    <t>0611836255100</t>
  </si>
  <si>
    <t>TAG Lobularia North Face 100/100 Pixie Tag</t>
  </si>
  <si>
    <t>0611836257100</t>
  </si>
  <si>
    <t>TAG Lobularia Pastel Mix GENERIC 100/100 Pixie Tag</t>
  </si>
  <si>
    <t>0611836258100</t>
  </si>
  <si>
    <t>TAG Lobularia Pink GENERIC 100/100 Pixie Tag</t>
  </si>
  <si>
    <t>0611836259100</t>
  </si>
  <si>
    <t>TAG Lobularia Purple GENERIC 100/100 Pixie Tag</t>
  </si>
  <si>
    <t>0611836261100</t>
  </si>
  <si>
    <t>TAG Lobularia Snow Crystals 100/100 Pixie Tag</t>
  </si>
  <si>
    <t>0611884300100</t>
  </si>
  <si>
    <t>TAG Lobularia Stream Compact Purple 100/100 Pixie Tag</t>
  </si>
  <si>
    <t>0611884301100</t>
  </si>
  <si>
    <t>TAG Lobularia Stream Compact Rose 100/100 Pixie Tag</t>
  </si>
  <si>
    <t>0611884302100</t>
  </si>
  <si>
    <t>TAG Lobularia Stream Compact White 100/100 Pixie Tag</t>
  </si>
  <si>
    <t>0611836264100</t>
  </si>
  <si>
    <t>TAG Lobularia Stream Deep Lavender 100/100 Pixie Tag</t>
  </si>
  <si>
    <t>0611836265100</t>
  </si>
  <si>
    <t>TAG Lobularia Stream Lavender 100/100 Pixie Tag</t>
  </si>
  <si>
    <t>0611836266100</t>
  </si>
  <si>
    <t>TAG Lobularia Stream Lilac 100/100 Pixie Tag</t>
  </si>
  <si>
    <t>0611836267100</t>
  </si>
  <si>
    <t>TAG Lobularia Stream Purple 100/100 Pixie Tag</t>
  </si>
  <si>
    <t>0611836268100</t>
  </si>
  <si>
    <t>TAG Lobularia Stream Raspberry 100/100 Pixie Tag</t>
  </si>
  <si>
    <t>0611836269100</t>
  </si>
  <si>
    <t>TAG Lobularia Stream Silver 100/100 Pixie Tag</t>
  </si>
  <si>
    <t>0611836270100</t>
  </si>
  <si>
    <t>TAG Lobularia Stream Snow 100/100 Pixie Tag</t>
  </si>
  <si>
    <t>0611836271100</t>
  </si>
  <si>
    <t>TAG Lobularia Stream White 100/100 Pixie Tag</t>
  </si>
  <si>
    <t>0611836272100</t>
  </si>
  <si>
    <t>TAG Lobularia White GENERIC 100/100 Pixie Tag</t>
  </si>
  <si>
    <t>0611836273100</t>
  </si>
  <si>
    <t>TAG Lobularia Wonderland Blue 100/100 Pixie Tag</t>
  </si>
  <si>
    <t>0611836275100</t>
  </si>
  <si>
    <t>TAG Lobularia Wonderland Deep Purple 100/100 Pixie Tag</t>
  </si>
  <si>
    <t>0611836276100</t>
  </si>
  <si>
    <t>TAG Lobularia Wonderland Deep Rose 100/100 Pixie Tag</t>
  </si>
  <si>
    <t>0611836277100</t>
  </si>
  <si>
    <t>TAG Lobularia Wonderland Giga White 100/100 Pixie Tag</t>
  </si>
  <si>
    <t>0611836278100</t>
  </si>
  <si>
    <t>TAG Lobularia Wonderland Lavender 100/100 Pixie Tag</t>
  </si>
  <si>
    <t>0611836279100</t>
  </si>
  <si>
    <t>TAG Lobularia Wonderland Mix 100/100 Pixie Tag</t>
  </si>
  <si>
    <t>0611836280100</t>
  </si>
  <si>
    <t>TAG Lobularia Wonderland Mulberry Mix 100/100 Pixie Tag</t>
  </si>
  <si>
    <t>0611836281100</t>
  </si>
  <si>
    <t>TAG Lobularia Wonderland Pink 100/100 Pixie Tag</t>
  </si>
  <si>
    <t>0611836282100</t>
  </si>
  <si>
    <t>TAG Lobularia Wonderland Purple 100/100 Pixie Tag</t>
  </si>
  <si>
    <t>0611836283100</t>
  </si>
  <si>
    <t>TAG Lobularia Wonderland Rose 100/100 Pixie Tag</t>
  </si>
  <si>
    <t>0611836284100</t>
  </si>
  <si>
    <t>TAG Lobularia Wonderland White 100/100 Pixie Tag</t>
  </si>
  <si>
    <t>0611863271050</t>
  </si>
  <si>
    <t>TAG Lobularia Yolo French Vanilla 50/50 Petite Portrait DO FUL</t>
  </si>
  <si>
    <t>0611863272050</t>
  </si>
  <si>
    <t>TAG Lobularia Yolo Lavender 50/50 Petite Portrait DO FUL</t>
  </si>
  <si>
    <t>0611863273050</t>
  </si>
  <si>
    <t>TAG Lobularia Yolo Top Lavender 50/50 Petite Portrait DO FUL</t>
  </si>
  <si>
    <t>0611863274050</t>
  </si>
  <si>
    <t>TAG Lobularia Yolo Top Pink 50/50 Petite Portrait DO FUL</t>
  </si>
  <si>
    <t>0611863275050</t>
  </si>
  <si>
    <t>TAG Lobularia Yolo Top Purple 50/50 Petite Portrait DO FUL</t>
  </si>
  <si>
    <t>0611863276050</t>
  </si>
  <si>
    <t>TAG Lobularia Yolo Top White 50/50 Petite Portrait DO FUL</t>
  </si>
  <si>
    <t>0611863277050</t>
  </si>
  <si>
    <t>TAG Lobularia Yolo White 50/50 Petite Portrait DO FUL</t>
  </si>
  <si>
    <t>0611836285100</t>
  </si>
  <si>
    <t>TAG Lotus Berthelotii 100/100 Pixie Tag</t>
  </si>
  <si>
    <t>0611863278050</t>
  </si>
  <si>
    <t>TAG Lotus Parrot's Beak 50/50 Petite Portrait FUL</t>
  </si>
  <si>
    <t>0611836287100</t>
  </si>
  <si>
    <t>TAG Lotus Parrot's Beak Maculata 100/100 Pixie Tag</t>
  </si>
  <si>
    <t>0611836286100</t>
  </si>
  <si>
    <t>TAG Lotus Vine GENERIC 100/100 Pixie Tag</t>
  </si>
  <si>
    <t>0611836093100</t>
  </si>
  <si>
    <t>TAG Lovage GENERIC 100/100 Pixie Tag</t>
  </si>
  <si>
    <t>0611836288025</t>
  </si>
  <si>
    <t>TAG Low Light Houseplant 25/25 Portrait Tag</t>
  </si>
  <si>
    <t>0611836289100</t>
  </si>
  <si>
    <t>TAG Lupine Gallery Blue 100/100 Pixie Tag</t>
  </si>
  <si>
    <t>0611836290025</t>
  </si>
  <si>
    <t>TAG Lupine Gallery Blue 25/25 Portrait Tag</t>
  </si>
  <si>
    <t>0611836291025</t>
  </si>
  <si>
    <t>TAG Lupine Gallery Mini Blue 25/25 Portrait Tag</t>
  </si>
  <si>
    <t>0611836292025</t>
  </si>
  <si>
    <t>TAG Lupine Gallery Mini Blue Bicolor 25/25 Portrait Tag</t>
  </si>
  <si>
    <t>0611836293025</t>
  </si>
  <si>
    <t>TAG Lupine Gallery Mini Mix 25/25 Portrait Tag</t>
  </si>
  <si>
    <t>0611836294025</t>
  </si>
  <si>
    <t>TAG Lupine Gallery Mini Pink 25/25 Portrait Tag</t>
  </si>
  <si>
    <t>0611836295025</t>
  </si>
  <si>
    <t>TAG Lupine Gallery Mini Pink Bicolor 25/25 Portrait Tag</t>
  </si>
  <si>
    <t>0611836296025</t>
  </si>
  <si>
    <t>TAG Lupine Gallery Mini Red 25/25 Portrait Tag</t>
  </si>
  <si>
    <t>0611836297025</t>
  </si>
  <si>
    <t>TAG Lupine Gallery Mini White 25/25 Portrait Tag</t>
  </si>
  <si>
    <t>0611836298025</t>
  </si>
  <si>
    <t>TAG Lupine Gallery Mini Yellow 25/25 Portrait Tag</t>
  </si>
  <si>
    <t>0611836299100</t>
  </si>
  <si>
    <t>TAG Lupine Gallery Mix 100/100 Pixie Tag</t>
  </si>
  <si>
    <t>0611836300025</t>
  </si>
  <si>
    <t>TAG Lupine Gallery Mix 25/25 Portrait Tag</t>
  </si>
  <si>
    <t>0611836301100</t>
  </si>
  <si>
    <t>TAG Lupine Gallery Pink 100/100 Pixie Tag</t>
  </si>
  <si>
    <t>0611836302025</t>
  </si>
  <si>
    <t>TAG Lupine Gallery Pink 25/25 Portrait Tag</t>
  </si>
  <si>
    <t>0611836303100</t>
  </si>
  <si>
    <t>TAG Lupine Gallery Red 100/100 Pixie Tag</t>
  </si>
  <si>
    <t>0611836304025</t>
  </si>
  <si>
    <t>TAG Lupine Gallery Red 25/25 Portrait Tag</t>
  </si>
  <si>
    <t>0611836305100</t>
  </si>
  <si>
    <t>TAG Lupine Gallery White 100/100 Pixie Tag</t>
  </si>
  <si>
    <t>0611836306025</t>
  </si>
  <si>
    <t>TAG Lupine Gallery White 25/25 Portrait Tag</t>
  </si>
  <si>
    <t>0611836307100</t>
  </si>
  <si>
    <t>TAG Lupine Gallery Yellow 100/100 Pixie Tag</t>
  </si>
  <si>
    <t>0611836308025</t>
  </si>
  <si>
    <t>TAG Lupine Gallery Yellow 25/25 Portrait Tag</t>
  </si>
  <si>
    <t>0611836309025</t>
  </si>
  <si>
    <t>TAG Lupine Lupini Blue Shades 25/25 Portrait Tag</t>
  </si>
  <si>
    <t>0611836310025</t>
  </si>
  <si>
    <t>TAG Lupine Lupini Mix 25/25 Portrait Tag</t>
  </si>
  <si>
    <t>0611836311025</t>
  </si>
  <si>
    <t>TAG Lupine Lupini Pink Shades 25/25 Portrait Tag</t>
  </si>
  <si>
    <t>0611836312025</t>
  </si>
  <si>
    <t>TAG Lupine Lupini Red Shades 25/25 Portrait Tag</t>
  </si>
  <si>
    <t>0611836313025</t>
  </si>
  <si>
    <t>TAG Lupine Lupini White 25/25 Portrait Tag</t>
  </si>
  <si>
    <t>0611836314025</t>
  </si>
  <si>
    <t>TAG Lupine Lupini Yellow Shades 25/25 Portrait Tag</t>
  </si>
  <si>
    <t>0611836315100</t>
  </si>
  <si>
    <t>TAG Lupine Minarette Mix 100/100 Pixie Tag</t>
  </si>
  <si>
    <t>0611836316025</t>
  </si>
  <si>
    <t>TAG Lupine Minarette Mix 25/25 Portrait Tag</t>
  </si>
  <si>
    <t>0611836317025</t>
  </si>
  <si>
    <t>TAG Lupine Mix 25/25 Portrait Tag</t>
  </si>
  <si>
    <t>0611836318025</t>
  </si>
  <si>
    <t>TAG Lupine My Castle 25/25 Portrait Tag</t>
  </si>
  <si>
    <t>0611836324025</t>
  </si>
  <si>
    <t>TAG Lupine Russell Carmine Red 25/25 Portrait Tag</t>
  </si>
  <si>
    <t>0611836325100</t>
  </si>
  <si>
    <t>TAG Lupine Russell Hybrid Mix 100/100 Pixie Tag</t>
  </si>
  <si>
    <t>0611836326025</t>
  </si>
  <si>
    <t>TAG Lupine Russell Hybrid Mix 25/25 Portrait Tag</t>
  </si>
  <si>
    <t>0611836327025</t>
  </si>
  <si>
    <t>TAG Lupine Russell Yellow 25/25 Portrait Tag</t>
  </si>
  <si>
    <t>0611836328025</t>
  </si>
  <si>
    <t>TAG Lupine Staircase Blue 25/25 Portrait Tag</t>
  </si>
  <si>
    <t>0611836329025</t>
  </si>
  <si>
    <t>TAG Lupine Staircase Blue And Yellow 25/25 Portrait Tag</t>
  </si>
  <si>
    <t>0611857028025</t>
  </si>
  <si>
    <t>TAG Lupine Staircase Dark Blue And White 25/25 Portrait Tag</t>
  </si>
  <si>
    <t>0611836330025</t>
  </si>
  <si>
    <t>TAG Lupine Staircase Orange 25/25 Portrait Tag</t>
  </si>
  <si>
    <t>0611857029025</t>
  </si>
  <si>
    <t>TAG Lupine Staircase Pink Grapefruit 25/25 Portrait Tag</t>
  </si>
  <si>
    <t>0611857030025</t>
  </si>
  <si>
    <t>TAG Lupine Staircase Purple 25/25 Portrait Tag</t>
  </si>
  <si>
    <t>0611836331025</t>
  </si>
  <si>
    <t>TAG Lupine Staircase Red 25/25 Portrait Tag</t>
  </si>
  <si>
    <t>0611836332025</t>
  </si>
  <si>
    <t>TAG Lupine Staircase Red And White 25/25 Portrait Tag</t>
  </si>
  <si>
    <t>0611836333025</t>
  </si>
  <si>
    <t>TAG Lupine Staircase Rose And White 25/25 Portrait Tag</t>
  </si>
  <si>
    <t>0611836334025</t>
  </si>
  <si>
    <t>TAG Lupine Staircase Yellow 25/25 Portrait Tag</t>
  </si>
  <si>
    <t>0611836335100</t>
  </si>
  <si>
    <t>TAG Lupine Texas Bluebonnet 100/100 Pixie Tag</t>
  </si>
  <si>
    <t>0611836336025</t>
  </si>
  <si>
    <t>TAG Lupine The Chatelaine 25/25 Portrait Tag</t>
  </si>
  <si>
    <t>0611836337025</t>
  </si>
  <si>
    <t>TAG Lupine The Governor 25/25 Portrait Tag</t>
  </si>
  <si>
    <t>0611836338025</t>
  </si>
  <si>
    <t>TAG Luzula Lucius 25/25 Portrait Tag</t>
  </si>
  <si>
    <t>0611836339025</t>
  </si>
  <si>
    <t>TAG Lychnis Agrostemma Rose Coronaria 25/25 Portrait Tag</t>
  </si>
  <si>
    <t>0611836340100</t>
  </si>
  <si>
    <t>TAG Lychnis Maltese Cross 100/100 Pixie Tag</t>
  </si>
  <si>
    <t>0611836341025</t>
  </si>
  <si>
    <t>TAG Lychnis Maltese Cross 25/25 Portrait Tag</t>
  </si>
  <si>
    <t>0611836342025</t>
  </si>
  <si>
    <t>TAG Lychnis Molten Lava 25/25 Portrait Tag</t>
  </si>
  <si>
    <t>0611836343025</t>
  </si>
  <si>
    <t>TAG Lychnis Orange Gnome 25/25 Portrait Tag</t>
  </si>
  <si>
    <t>0611836344025</t>
  </si>
  <si>
    <t>TAG Lychnis Rose Campion GENERIC 25/25 Portrait Tag</t>
  </si>
  <si>
    <t>0611836345100</t>
  </si>
  <si>
    <t>TAG Lychnis Vesuvius 100/100 Pixie Tag</t>
  </si>
  <si>
    <t>0611836681025</t>
  </si>
  <si>
    <t>TAG Lysimachia Alexander 25/25 Portrait Tag</t>
  </si>
  <si>
    <t>0611836682100</t>
  </si>
  <si>
    <t>TAG Lysimachia Aurea 100/100 Pixie Tag</t>
  </si>
  <si>
    <t>0611836683025</t>
  </si>
  <si>
    <t>TAG Lysimachia Aurea Creeping Jenny 25/25 Portrait Tag</t>
  </si>
  <si>
    <t>0611836684100</t>
  </si>
  <si>
    <t>TAG Lysimachia Creeping Jenny 100/100 Pixie Tag</t>
  </si>
  <si>
    <t>0611836685025</t>
  </si>
  <si>
    <t>TAG Lysimachia Creepng Jenny Moneywort 25/25 Portrait Tag</t>
  </si>
  <si>
    <t>0611836686025</t>
  </si>
  <si>
    <t>TAG Lysimachia Firefly Congestiflora 25/25 Portrait Tag</t>
  </si>
  <si>
    <t>0611836687025</t>
  </si>
  <si>
    <t>TAG Lysimachia GENERIC Nummularia 25/25 Portrait Tag</t>
  </si>
  <si>
    <t>0611836688100</t>
  </si>
  <si>
    <t>TAG Lysimachia Golden Globes 100/100 Pixie Tag</t>
  </si>
  <si>
    <t>0611863279100</t>
  </si>
  <si>
    <t>TAG Lysimachia Goldii 100/100 Pixie Tag SF FUL</t>
  </si>
  <si>
    <t>0611836690025</t>
  </si>
  <si>
    <t>TAG Lysimachia Goldii 25/25 Portrait Tag SF</t>
  </si>
  <si>
    <t>0611863280050</t>
  </si>
  <si>
    <t>TAG Lysimachia Goldii 50/50 Petite Portrait SF FUL</t>
  </si>
  <si>
    <t>0611836691100</t>
  </si>
  <si>
    <t>TAG Lysimachia Goldilocks 100/100 Pixie Tag</t>
  </si>
  <si>
    <t>0611836692025</t>
  </si>
  <si>
    <t>TAG Lysimachia Goldilocks 25/25 Portrait Tag</t>
  </si>
  <si>
    <t>0611863281050</t>
  </si>
  <si>
    <t>TAG Lysimachia Goldilocks 50/50 Petite Portrait FUL</t>
  </si>
  <si>
    <t>0611863282100</t>
  </si>
  <si>
    <t>TAG Lysimachia Green 100/100 Pixie Tag FUL</t>
  </si>
  <si>
    <t>0611836694100</t>
  </si>
  <si>
    <t>TAG Lysimachia Lysimachia Bilingual 100/100 Pixie Tag</t>
  </si>
  <si>
    <t>0611836695100</t>
  </si>
  <si>
    <t>TAG Lysimachia Midnight Sun 100/100 Pixie Tag</t>
  </si>
  <si>
    <t>0611863283050</t>
  </si>
  <si>
    <t>TAG Lysimachia Midnight Sun 50/50 Petite Portrait FUL</t>
  </si>
  <si>
    <t>0611836696025</t>
  </si>
  <si>
    <t>TAG Lysimachia Night Light Alvredii 25/25 Portrait Tag</t>
  </si>
  <si>
    <t>0611836697100</t>
  </si>
  <si>
    <t>TAG Lysimachia Outback Sunset 100/100 Pixie Tag</t>
  </si>
  <si>
    <t>0611884305100</t>
  </si>
  <si>
    <t>TAG Lysimachia Sunburst 100/100 Pixie Tag</t>
  </si>
  <si>
    <t>0611863284050</t>
  </si>
  <si>
    <t>TAG Lysimachia Sunburst 50/50 Petite Portrait FUL</t>
  </si>
  <si>
    <t>0611836698100</t>
  </si>
  <si>
    <t>TAG Lysimachia Variegated 100/100 Pixie Tag</t>
  </si>
  <si>
    <t>0611863285050</t>
  </si>
  <si>
    <t>TAG Lysimachia Yellow 50/50 Petite Portrait FUL</t>
  </si>
  <si>
    <t>0611836699025</t>
  </si>
  <si>
    <t>TAG Lythrum Morden Gleam Virgatum 25/25 Portrait Tag</t>
  </si>
  <si>
    <t>0611836700025</t>
  </si>
  <si>
    <t>TAG Lythrum Morden Pink Virgatum 25/25 Portrait Tag</t>
  </si>
  <si>
    <t>0611836701025</t>
  </si>
  <si>
    <t>TAG Malva Alba Moschata 25/25 Portrait Tag</t>
  </si>
  <si>
    <t>0611836702025</t>
  </si>
  <si>
    <t>TAG Malva Pink 25/25 Portrait Tag</t>
  </si>
  <si>
    <t>0611836703025</t>
  </si>
  <si>
    <t>TAG Malva Sylvestris 25/25 Portrait Tag</t>
  </si>
  <si>
    <t>0611836704100</t>
  </si>
  <si>
    <t>TAG Malva Zebrina Sylvestris 100/100 Pixie Tag</t>
  </si>
  <si>
    <t>0611836705025</t>
  </si>
  <si>
    <t>TAG Malvav Red 25/25 Portrait Tag</t>
  </si>
  <si>
    <t>0611836706100</t>
  </si>
  <si>
    <t>TAG Mandevilla Bella Series 100/100 Pixie Tag</t>
  </si>
  <si>
    <t>0611836707100</t>
  </si>
  <si>
    <t>TAG Mandevilla GENERIC 100/100 Hang Tag</t>
  </si>
  <si>
    <t>0611836708100</t>
  </si>
  <si>
    <t>TAG Mandevilla GENERIC 100/100 Pixie Tag</t>
  </si>
  <si>
    <t>0611863286050</t>
  </si>
  <si>
    <t>TAG Mandevilla Madinia Petite Pink 50/50 Petite Portrait FUL</t>
  </si>
  <si>
    <t>0611863287050</t>
  </si>
  <si>
    <t>TAG Mandevilla Madinia Petite Red 50/50 Petite Portrait FUL</t>
  </si>
  <si>
    <t>0611836709100</t>
  </si>
  <si>
    <t>TAG Manettia Candy Corn 100/100 Pixie Tag</t>
  </si>
  <si>
    <t>0611836710100</t>
  </si>
  <si>
    <t>TAG Maranta GENERIC 100/100 Pixie Tag</t>
  </si>
  <si>
    <t>0611839514100</t>
  </si>
  <si>
    <t>TAG Marigold African GENERIC Bilingual 100/100 Pixie Tag</t>
  </si>
  <si>
    <t>0611839515100</t>
  </si>
  <si>
    <t>TAG Marigold African Gold GENERIC 100/100 Pixie Tag</t>
  </si>
  <si>
    <t>0611857031100</t>
  </si>
  <si>
    <t>TAG Marigold African Orange GENERIC Bilingual 100/100 Pixie Tag</t>
  </si>
  <si>
    <t>0611857032100</t>
  </si>
  <si>
    <t>TAG Marigold African Yellow GENERIC Bilingual 100/100 Pixie Tag</t>
  </si>
  <si>
    <t>0611839516100</t>
  </si>
  <si>
    <t>TAG Marigold Alumia Cr?me Brulee 100/100 Pixie Tag SF</t>
  </si>
  <si>
    <t>0611884306100</t>
  </si>
  <si>
    <t>TAG Marigold Alumia Deep Orange 100/100 Pixie Tag</t>
  </si>
  <si>
    <t>0611884307100</t>
  </si>
  <si>
    <t>TAG Marigold Alumia Flame 100/100 Pixie Tag</t>
  </si>
  <si>
    <t>0611884308100</t>
  </si>
  <si>
    <t>TAG Marigold Alumia Mix 100/100 Pixie Tag</t>
  </si>
  <si>
    <t>0611839521100</t>
  </si>
  <si>
    <t>TAG Marigold Alumia Vanilla Cream 100/100 Pixie Tag SF</t>
  </si>
  <si>
    <t>0611839522100</t>
  </si>
  <si>
    <t>TAG Marigold Alumia Yellow 100/100 Pixie Tag SF</t>
  </si>
  <si>
    <t>0611839523100</t>
  </si>
  <si>
    <t>TAG Marigold Antigua Gold 100/100 Pixie Tag SF</t>
  </si>
  <si>
    <t>0611839524100</t>
  </si>
  <si>
    <t>TAG Marigold Antigua Mix 100/100 Pixie Tag SF</t>
  </si>
  <si>
    <t>0611839525100</t>
  </si>
  <si>
    <t>TAG Marigold Antigua Orange 100/100 Pixie Tag SF</t>
  </si>
  <si>
    <t>0611839526100</t>
  </si>
  <si>
    <t>TAG Marigold Antigua Primrose 100/100 Pixie Tag SF</t>
  </si>
  <si>
    <t>0611839527100</t>
  </si>
  <si>
    <t>TAG Marigold Antigua Yellow 100/100 Pixie Tag SF</t>
  </si>
  <si>
    <t>0611839528100</t>
  </si>
  <si>
    <t>TAG Marigold Bali Gold 100/100 Pixie Tag</t>
  </si>
  <si>
    <t>0611839529100</t>
  </si>
  <si>
    <t>TAG Marigold Bali Mix 100/100 Pixie Tag</t>
  </si>
  <si>
    <t>0611839530100</t>
  </si>
  <si>
    <t>TAG Marigold Bali Orange 100/100 Pixie Tag</t>
  </si>
  <si>
    <t>0611839531100</t>
  </si>
  <si>
    <t>TAG Marigold Bali Yellow 100/100 Pixie Tag</t>
  </si>
  <si>
    <t>0611839532100</t>
  </si>
  <si>
    <t>TAG Marigold Bicolor GENERIC Bilingual 100/100 Pixie Tag</t>
  </si>
  <si>
    <t>0611839533100</t>
  </si>
  <si>
    <t>TAG Marigold Big Duck Gold 100/100 Pixie Tag</t>
  </si>
  <si>
    <t>0611839534100</t>
  </si>
  <si>
    <t>TAG Marigold Big Duck Orange 100/100 Pixie Tag</t>
  </si>
  <si>
    <t>0611839535100</t>
  </si>
  <si>
    <t>TAG Marigold Big Duck Yellow 100/100 Pixie Tag</t>
  </si>
  <si>
    <t>0611839536100</t>
  </si>
  <si>
    <t>TAG Marigold Big Top Gold 100/100 Pixie Tag SF</t>
  </si>
  <si>
    <t>0611839537100</t>
  </si>
  <si>
    <t>TAG Marigold Big Top Mix 100/100 Pixie Tag SF</t>
  </si>
  <si>
    <t>0611839538100</t>
  </si>
  <si>
    <t>TAG Marigold Big Top Orange 100/100 Pixie Tag SF</t>
  </si>
  <si>
    <t>0611839539100</t>
  </si>
  <si>
    <t>TAG Marigold Big Top Yellow 100/100 Pixie Tag SF</t>
  </si>
  <si>
    <t>0611839540100</t>
  </si>
  <si>
    <t>TAG Marigold Bolero 100/100 Pixie Tag</t>
  </si>
  <si>
    <t>0611839541100</t>
  </si>
  <si>
    <t>TAG Marigold Bonanza Bee 100/100 Pixie Tag</t>
  </si>
  <si>
    <t>0611839542100</t>
  </si>
  <si>
    <t>TAG Marigold Bonanza Bolero 100/100 Pixie Tag</t>
  </si>
  <si>
    <t>0611839543100</t>
  </si>
  <si>
    <t>TAG Marigold Bonanza Deep Orange 100/100 Pixie Tag</t>
  </si>
  <si>
    <t>0611839544100</t>
  </si>
  <si>
    <t>TAG Marigold Bonanza Flame 100/100 Pixie Tag</t>
  </si>
  <si>
    <t>0611839545100</t>
  </si>
  <si>
    <t>TAG Marigold Bonanza Gold 100/100 Pixie Tag</t>
  </si>
  <si>
    <t>0611839546100</t>
  </si>
  <si>
    <t>TAG Marigold Bonanza Harmony 100/100 Pixie Tag</t>
  </si>
  <si>
    <t>0611839547100</t>
  </si>
  <si>
    <t>TAG Marigold Bonanza Mix 100/100 Pixie Tag</t>
  </si>
  <si>
    <t>0611839548100</t>
  </si>
  <si>
    <t>TAG Marigold Bonanza Orange 100/100 Pixie Tag</t>
  </si>
  <si>
    <t>0611839549100</t>
  </si>
  <si>
    <t>TAG Marigold Bonanza Yellow 100/100 Pixie Tag</t>
  </si>
  <si>
    <t>0611839551100</t>
  </si>
  <si>
    <t>TAG Marigold Boy Harmony 100/100 Pixie Tag</t>
  </si>
  <si>
    <t>0611839552100</t>
  </si>
  <si>
    <t>TAG Marigold Boy O' Boy Mix 100/100 Pixie Tag</t>
  </si>
  <si>
    <t>0611839553100</t>
  </si>
  <si>
    <t>TAG Marigold Boy Orange 100/100 Pixie Tag</t>
  </si>
  <si>
    <t>0611839554100</t>
  </si>
  <si>
    <t>TAG Marigold Boy Spry 100/100 Pixie Tag</t>
  </si>
  <si>
    <t>0611839555100</t>
  </si>
  <si>
    <t>TAG Marigold Boy Yellow 100/100 Pixie Tag</t>
  </si>
  <si>
    <t>0611839558100</t>
  </si>
  <si>
    <t>TAG Marigold Chica Flame 100/100 Pixie Tag</t>
  </si>
  <si>
    <t>0611839560100</t>
  </si>
  <si>
    <t>TAG Marigold Chica Mix 100/100 Pixie Tag</t>
  </si>
  <si>
    <t>0611839561100</t>
  </si>
  <si>
    <t>TAG Marigold Chica Orange 100/100 Pixie Tag</t>
  </si>
  <si>
    <t>0611839562100</t>
  </si>
  <si>
    <t>TAG Marigold Chica Yellow 100/100 Pixie Tag</t>
  </si>
  <si>
    <t>0611839563100</t>
  </si>
  <si>
    <t>TAG Marigold Crackerjack Mix 100/100 Pixie Tag</t>
  </si>
  <si>
    <t>0611884309100</t>
  </si>
  <si>
    <t>TAG Marigold Cresta Bee 100/100 Pixie Tag SF</t>
  </si>
  <si>
    <t>0611884310100</t>
  </si>
  <si>
    <t>TAG Marigold Cresta Deep Orange 100/100 Pixie Tag SF</t>
  </si>
  <si>
    <t>0611884311100</t>
  </si>
  <si>
    <t>TAG Marigold Cresta Flame 100/100 Pixie Tag SF</t>
  </si>
  <si>
    <t>0611884312100</t>
  </si>
  <si>
    <t>TAG Marigold Cresta Gold 100/100 Pixie Tag SF</t>
  </si>
  <si>
    <t>0611884313100</t>
  </si>
  <si>
    <t>TAG Marigold Cresta Harmony 100/100 Pixie Tag SF</t>
  </si>
  <si>
    <t>0611884314100</t>
  </si>
  <si>
    <t>TAG Marigold Cresta Mix 100/100 Pixie Tag SF</t>
  </si>
  <si>
    <t>0611884315100</t>
  </si>
  <si>
    <t>TAG Marigold Cresta Orange 100/100 Pixie Tag SF</t>
  </si>
  <si>
    <t>0611884316100</t>
  </si>
  <si>
    <t>TAG Marigold Cresta Spry 100/100 Pixie Tag SF</t>
  </si>
  <si>
    <t>0611884317100</t>
  </si>
  <si>
    <t>TAG Marigold Cresta Yellow 100/100 Pixie Tag SF</t>
  </si>
  <si>
    <t>0611839565100</t>
  </si>
  <si>
    <t>TAG Marigold Crush Pineapple 100/100 Pixie Tag</t>
  </si>
  <si>
    <t>0611839566100</t>
  </si>
  <si>
    <t>TAG Marigold Crush Pumpkin 100/100 Pixie Tag</t>
  </si>
  <si>
    <t>0611839569100</t>
  </si>
  <si>
    <t>TAG Marigold Disco Granada 100/100 Pixie Tag</t>
  </si>
  <si>
    <t>0611839570100</t>
  </si>
  <si>
    <t>TAG Marigold Disco Marietta 100/100 Pixie Tag</t>
  </si>
  <si>
    <t>0611839571100</t>
  </si>
  <si>
    <t>TAG Marigold Disco Mix 100/100 Pixie Tag</t>
  </si>
  <si>
    <t>0611839572100</t>
  </si>
  <si>
    <t>TAG Marigold Disco Orange 100/100 Pixie Tag</t>
  </si>
  <si>
    <t>0611839573100</t>
  </si>
  <si>
    <t>TAG Marigold Disco Red 100/100 Pixie Tag</t>
  </si>
  <si>
    <t>0611839574100</t>
  </si>
  <si>
    <t>TAG Marigold Disco Yellow 100/100 Pixie Tag</t>
  </si>
  <si>
    <t>0611839575100</t>
  </si>
  <si>
    <t>TAG Marigold Discovery Mix 100/100 Pixie Tag</t>
  </si>
  <si>
    <t>0611839576100</t>
  </si>
  <si>
    <t>TAG Marigold Discovery Orange 100/100 Pixie Tag</t>
  </si>
  <si>
    <t>0611839577100</t>
  </si>
  <si>
    <t>TAG Marigold Discovery Yellow 100/100 Pixie Tag</t>
  </si>
  <si>
    <t>0611839579100</t>
  </si>
  <si>
    <t>TAG Marigold Durango Bee 100/100 Pixie Tag</t>
  </si>
  <si>
    <t>0611839580100</t>
  </si>
  <si>
    <t>TAG Marigold Durango Bolero 100/100 Pixie Tag</t>
  </si>
  <si>
    <t>0611839581100</t>
  </si>
  <si>
    <t>TAG Marigold Durango Flame 100/100 Pixie Tag</t>
  </si>
  <si>
    <t>0611839582100</t>
  </si>
  <si>
    <t>TAG Marigold Durango Gold 100/100 Pixie Tag</t>
  </si>
  <si>
    <t>0611839583100</t>
  </si>
  <si>
    <t>TAG Marigold Durango Mix 100/100 Pixie Tag</t>
  </si>
  <si>
    <t>0611839584100</t>
  </si>
  <si>
    <t>TAG Marigold Durango Orange 100/100 Pixie Tag</t>
  </si>
  <si>
    <t>0611839585100</t>
  </si>
  <si>
    <t>TAG Marigold Durango Outback Mix 100/100 Pixie Tag</t>
  </si>
  <si>
    <t>0611839586100</t>
  </si>
  <si>
    <t>TAG Marigold Durango Red 100/100 Pixie Tag</t>
  </si>
  <si>
    <t>0611839587100</t>
  </si>
  <si>
    <t>TAG Marigold Durango Tangerine 100/100 Pixie Tag</t>
  </si>
  <si>
    <t>0611839588100</t>
  </si>
  <si>
    <t>TAG Marigold Durango Yellow 100/100 Pixie Tag</t>
  </si>
  <si>
    <t>0611839589100</t>
  </si>
  <si>
    <t>TAG Marigold Dwarf Bicolor GENERIC 100/100 Pixie Tag</t>
  </si>
  <si>
    <t>0611839590100</t>
  </si>
  <si>
    <t>TAG Marigold Dwarf Mix GENERIC 100/100 Pixie Tag</t>
  </si>
  <si>
    <t>0611839591100</t>
  </si>
  <si>
    <t>TAG Marigold Dwarf Orange GENERIC 100/100 Pixie Tag</t>
  </si>
  <si>
    <t>0611839592100</t>
  </si>
  <si>
    <t>TAG Marigold Dwarf Yellow GENERIC 100/100 Pixie Tag</t>
  </si>
  <si>
    <t>0611839593100</t>
  </si>
  <si>
    <t>TAG Marigold Endurance Mix 100/100 Pixie Tag SF</t>
  </si>
  <si>
    <t>0611839594100</t>
  </si>
  <si>
    <t>TAG Marigold Endurance Orange 100/100 Pixie Tag SF</t>
  </si>
  <si>
    <t>0611839595100</t>
  </si>
  <si>
    <t>TAG Marigold Endurance Sunset Gold 100/100 Pixie Tag SF</t>
  </si>
  <si>
    <t>0611839596100</t>
  </si>
  <si>
    <t>TAG Marigold Endurance Yellow 100/100 Pixie Tag SF</t>
  </si>
  <si>
    <t>0611839597100</t>
  </si>
  <si>
    <t>TAG Marigold Fireball 100/100 Pixie Tag</t>
  </si>
  <si>
    <t>0611839598100</t>
  </si>
  <si>
    <t>TAG Marigold Flamenco 100/100 Pixie Tag</t>
  </si>
  <si>
    <t>0611839599100</t>
  </si>
  <si>
    <t>TAG Marigold French GENERIC Bilingual 100/100 Pixie Tag</t>
  </si>
  <si>
    <t>0611839600100</t>
  </si>
  <si>
    <t>TAG Marigold French Vanilla 100/100 Pixie Tag</t>
  </si>
  <si>
    <t>0611839603100</t>
  </si>
  <si>
    <t>TAG Marigold Gem 100/100 Pixie Tag</t>
  </si>
  <si>
    <t>0611839604100</t>
  </si>
  <si>
    <t>TAG Marigold Gem Golden 100/100 Pixie Tag</t>
  </si>
  <si>
    <t>0611884318025</t>
  </si>
  <si>
    <t>TAG Marigold Gem Lemon 25/25 Portrait Tag</t>
  </si>
  <si>
    <t>0611884319025</t>
  </si>
  <si>
    <t>TAG Marigold Gem Tangerine 25/25 Portrait Tag</t>
  </si>
  <si>
    <t>0611839678100</t>
  </si>
  <si>
    <t>TAG Marigold GENERIC Bilingual 100/100 Pixie Tag</t>
  </si>
  <si>
    <t>0611839605100</t>
  </si>
  <si>
    <t>TAG Marigold Happy Gold 100/100 Pixie Tag SF</t>
  </si>
  <si>
    <t>0611839606100</t>
  </si>
  <si>
    <t>TAG Marigold Happy Harmony 100/100 Pixie Tag SF</t>
  </si>
  <si>
    <t>0611839607100</t>
  </si>
  <si>
    <t>TAG Marigold Happy Mix 100/100 Pixie Tag SF</t>
  </si>
  <si>
    <t>0611839608100</t>
  </si>
  <si>
    <t>TAG Marigold Happy Orange 100/100 Pixie Tag SF</t>
  </si>
  <si>
    <t>0611839609100</t>
  </si>
  <si>
    <t>TAG Marigold Happy Spry 100/100 Pixie Tag SF</t>
  </si>
  <si>
    <t>0611839610100</t>
  </si>
  <si>
    <t>TAG Marigold Happy Yellow 100/100 Pixie Tag SF</t>
  </si>
  <si>
    <t>0611839611100</t>
  </si>
  <si>
    <t>TAG Marigold Hero Bee 100/100 Pixie Tag</t>
  </si>
  <si>
    <t>0611839612100</t>
  </si>
  <si>
    <t>TAG Marigold Hero Flame 100/100 Pixie Tag</t>
  </si>
  <si>
    <t>0611839613100</t>
  </si>
  <si>
    <t>TAG Marigold Hero Harmony 100/100 Pixie Tag</t>
  </si>
  <si>
    <t>0611839614100</t>
  </si>
  <si>
    <t>TAG Marigold Hero Mix 100/100 Pixie Tag</t>
  </si>
  <si>
    <t>0611839615100</t>
  </si>
  <si>
    <t>TAG Marigold Hero Orange 100/100 Pixie Tag</t>
  </si>
  <si>
    <t>0611839617100</t>
  </si>
  <si>
    <t>TAG Marigold Hero Spry 100/100 Pixie Tag</t>
  </si>
  <si>
    <t>0611839618100</t>
  </si>
  <si>
    <t>TAG Marigold Hero Yellow 100/100 Pixie Tag</t>
  </si>
  <si>
    <t>0611839619100</t>
  </si>
  <si>
    <t>TAG Marigold Hot Pak Fire 100/100 Pixie Tag</t>
  </si>
  <si>
    <t>0611839620100</t>
  </si>
  <si>
    <t>TAG Marigold Hot Pak Flame 100/100 Pixie Tag</t>
  </si>
  <si>
    <t>0611839621100</t>
  </si>
  <si>
    <t>TAG Marigold Hot Pak Gold 100/100 Pixie Tag</t>
  </si>
  <si>
    <t>0611839622100</t>
  </si>
  <si>
    <t>TAG Marigold Hot Pak Harmony 100/100 Pixie Tag</t>
  </si>
  <si>
    <t>0611839623100</t>
  </si>
  <si>
    <t>TAG Marigold Hot Pak Mix 100/100 Pixie Tag</t>
  </si>
  <si>
    <t>0611839624100</t>
  </si>
  <si>
    <t>TAG Marigold Hot Pak Orange 100/100 Pixie Tag</t>
  </si>
  <si>
    <t>0611839625100</t>
  </si>
  <si>
    <t>TAG Marigold Hot Pak Spry 100/100 Pixie Tag</t>
  </si>
  <si>
    <t>0611839626100</t>
  </si>
  <si>
    <t>TAG Marigold Hot Pak Yellow 100/100 Pixie Tag</t>
  </si>
  <si>
    <t>0611839627100</t>
  </si>
  <si>
    <t>TAG Marigold Inca Gold 100/100 Pixie Tag SF</t>
  </si>
  <si>
    <t>0611839628100</t>
  </si>
  <si>
    <t>TAG Marigold Inca II Deep Orange 100/100 Pixie Tag SF</t>
  </si>
  <si>
    <t>0611839629100</t>
  </si>
  <si>
    <t>TAG Marigold Inca II Gold 100/100 Pixie Tag SF</t>
  </si>
  <si>
    <t>0611839630100</t>
  </si>
  <si>
    <t>TAG Marigold Inca II Mix 100/100 Pixie Tag SF</t>
  </si>
  <si>
    <t>0611839631100</t>
  </si>
  <si>
    <t>TAG Marigold Inca II Orange 100/100 Pixie Tag SF</t>
  </si>
  <si>
    <t>0611839632100</t>
  </si>
  <si>
    <t>TAG Marigold Inca II Primrose 100/100 Pixie Tag SF</t>
  </si>
  <si>
    <t>0611839633100</t>
  </si>
  <si>
    <t>TAG Marigold Inca II Yellow 100/100 Pixie Tag SF</t>
  </si>
  <si>
    <t>0611839634100</t>
  </si>
  <si>
    <t>TAG Marigold Inca Mix 100/100 Pixie Tag SF</t>
  </si>
  <si>
    <t>0611839635100</t>
  </si>
  <si>
    <t>TAG Marigold Inca Orange 100/100 Pixie Tag SF</t>
  </si>
  <si>
    <t>0611839636100</t>
  </si>
  <si>
    <t>TAG Marigold Inca Yellow 100/100 Pixie Tag SF</t>
  </si>
  <si>
    <t>0611839637100</t>
  </si>
  <si>
    <t>TAG Marigold Janie Bright Yellow 100/100 Pixie Tag</t>
  </si>
  <si>
    <t>0611839638100</t>
  </si>
  <si>
    <t>TAG Marigold Janie Deep Orange 100/100 Pixie Tag</t>
  </si>
  <si>
    <t>0611839639100</t>
  </si>
  <si>
    <t>TAG Marigold Janie Flame 100/100 Pixie Tag</t>
  </si>
  <si>
    <t>0611839640100</t>
  </si>
  <si>
    <t>TAG Marigold Janie Gold 100/100 Pixie Tag</t>
  </si>
  <si>
    <t>0611839641100</t>
  </si>
  <si>
    <t>TAG Marigold Janie Harmony 100/100 Pixie Tag</t>
  </si>
  <si>
    <t>0611839642100</t>
  </si>
  <si>
    <t>TAG Marigold Janie Mix 100/100 Pixie Tag</t>
  </si>
  <si>
    <t>0611839643100</t>
  </si>
  <si>
    <t>TAG Marigold Janie Primrose 100/100 Pixie Tag</t>
  </si>
  <si>
    <t>0611839644100</t>
  </si>
  <si>
    <t>TAG Marigold Janie Spry 100/100 Pixie Tag</t>
  </si>
  <si>
    <t>0611839645100</t>
  </si>
  <si>
    <t>TAG Marigold Janie Tangerine 100/100 Pixie Tag</t>
  </si>
  <si>
    <t>0611839646100</t>
  </si>
  <si>
    <t>TAG Marigold Jedi Orange 100/100 Pixie Tag</t>
  </si>
  <si>
    <t>0611839647100</t>
  </si>
  <si>
    <t>TAG Marigold Lady First 100/100 Pixie Tag</t>
  </si>
  <si>
    <t>0611839649100</t>
  </si>
  <si>
    <t>TAG Marigold Lady Mix 100/100 Pixie Tag</t>
  </si>
  <si>
    <t>0611839650100</t>
  </si>
  <si>
    <t>TAG Marigold Lady Orange 100/100 Pixie Tag</t>
  </si>
  <si>
    <t>0611839652100</t>
  </si>
  <si>
    <t>TAG Marigold Lemon Drop 100/100 Pixie Tag</t>
  </si>
  <si>
    <t>0611839653100</t>
  </si>
  <si>
    <t>TAG Marigold Leopard 100/100 Pixie Tag</t>
  </si>
  <si>
    <t>0611839654100</t>
  </si>
  <si>
    <t>TAG Marigold Little Devil Fire 100/100 Pixie Tag</t>
  </si>
  <si>
    <t>0611839655100</t>
  </si>
  <si>
    <t>TAG Marigold Little Duck Orange 100/100 Pixie Tag</t>
  </si>
  <si>
    <t>0611839656100</t>
  </si>
  <si>
    <t>TAG Marigold Little Duck Yellow 100/100 Pixie Tag</t>
  </si>
  <si>
    <t>0611839657100</t>
  </si>
  <si>
    <t>TAG Marigold Little Hero Fire 100/100 Pixie Tag</t>
  </si>
  <si>
    <t>0611839658100</t>
  </si>
  <si>
    <t>TAG Marigold Little Hero Mix 100/100 Pixie Tag</t>
  </si>
  <si>
    <t>0611839659100</t>
  </si>
  <si>
    <t>TAG Marigold Little Hero Orange 100/100 Pixie Tag</t>
  </si>
  <si>
    <t>0611839660100</t>
  </si>
  <si>
    <t>TAG Marigold Little Hero Spry 100/100 Pixie Tag</t>
  </si>
  <si>
    <t>0611839661100</t>
  </si>
  <si>
    <t>TAG Marigold Little Hero Yellow 100/100 Pixie Tag</t>
  </si>
  <si>
    <t>0611839662100</t>
  </si>
  <si>
    <t>TAG Marigold Lulu 100/100 Pixie Tag</t>
  </si>
  <si>
    <t>0611839663100</t>
  </si>
  <si>
    <t>TAG Marigold Marietta Red 100/100 Pixie Tag</t>
  </si>
  <si>
    <t>0611839664100</t>
  </si>
  <si>
    <t>TAG Marigold Marvel Gold 100/100 Pixie Tag</t>
  </si>
  <si>
    <t>0611839665100</t>
  </si>
  <si>
    <t>TAG Marigold Marvel II Gold 100/100 Pixie Tag</t>
  </si>
  <si>
    <t>0611839666100</t>
  </si>
  <si>
    <t>TAG Marigold Marvel II Mix 100/100 Pixie Tag</t>
  </si>
  <si>
    <t>0611839667100</t>
  </si>
  <si>
    <t>TAG Marigold Marvel II Orange 100/100 Pixie Tag</t>
  </si>
  <si>
    <t>0611839668100</t>
  </si>
  <si>
    <t>TAG Marigold Marvel II Yellow 100/100 Pixie Tag</t>
  </si>
  <si>
    <t>0611839669100</t>
  </si>
  <si>
    <t>TAG Marigold Marvel Mix 100/100 Pixie Tag</t>
  </si>
  <si>
    <t>0611839670100</t>
  </si>
  <si>
    <t>TAG Marigold Marvel Orange 100/100 Pixie Tag</t>
  </si>
  <si>
    <t>0611839671100</t>
  </si>
  <si>
    <t>TAG Marigold Marvel Yellow 100/100 Pixie Tag</t>
  </si>
  <si>
    <t>0611839675100</t>
  </si>
  <si>
    <t>TAG Marigold Moonstruck Orange 100/100 Pixie Tag</t>
  </si>
  <si>
    <t>0611839676100</t>
  </si>
  <si>
    <t>TAG Marigold Moonstruck Yellow 100/100 Pixie Tag</t>
  </si>
  <si>
    <t>0611839677100</t>
  </si>
  <si>
    <t>TAG Marigold Mr Majestic 100/100 Pixie Tag</t>
  </si>
  <si>
    <t>0611839679100</t>
  </si>
  <si>
    <t>TAG Marigold Orange GENERIC 100/100 Pixie Tag</t>
  </si>
  <si>
    <t>0611839680100</t>
  </si>
  <si>
    <t>TAG Marigold Orange GENERIC Bilingual 100/100 Pixie Tag</t>
  </si>
  <si>
    <t>0611839682100</t>
  </si>
  <si>
    <t>TAG Marigold Perfection Orange 100/100 Pixie Tag SF</t>
  </si>
  <si>
    <t>0611839683100</t>
  </si>
  <si>
    <t>TAG Marigold Perfection Yellow 100/100 Pixie Tag SF</t>
  </si>
  <si>
    <t>0611839684100</t>
  </si>
  <si>
    <t>TAG Marigold Proud Mari Gold 100/100 Pixie Tag</t>
  </si>
  <si>
    <t>0611839685100</t>
  </si>
  <si>
    <t>TAG Marigold Proud Mari Mix 100/100 Pixie Tag</t>
  </si>
  <si>
    <t>0611839686100</t>
  </si>
  <si>
    <t>TAG Marigold Proud Mari Orange 100/100 Pixie Tag</t>
  </si>
  <si>
    <t>0611839687100</t>
  </si>
  <si>
    <t>TAG Marigold Proud Mari Yellow 100/100 Pixie Tag</t>
  </si>
  <si>
    <t>0611839689100</t>
  </si>
  <si>
    <t>TAG Marigold Red GENERIC 100/100 Pixie Tag</t>
  </si>
  <si>
    <t>0611839688100</t>
  </si>
  <si>
    <t>TAG Marigold Red GENERIC Bilingual 100/100 Pixie Tag</t>
  </si>
  <si>
    <t>0611839690100</t>
  </si>
  <si>
    <t>TAG Marigold Safari Bolero 100/100 Pixie Tag</t>
  </si>
  <si>
    <t>0611839691100</t>
  </si>
  <si>
    <t>TAG Marigold Safari Gold 100/100 Pixie Tag</t>
  </si>
  <si>
    <t>0611839692100</t>
  </si>
  <si>
    <t>TAG Marigold Safari Mix 100/100 Pixie Tag</t>
  </si>
  <si>
    <t>0611839693100</t>
  </si>
  <si>
    <t>TAG Marigold Safari Orange 100/100 Pixie Tag</t>
  </si>
  <si>
    <t>0611839694100</t>
  </si>
  <si>
    <t>TAG Marigold Safari Queen 100/100 Pixie Tag</t>
  </si>
  <si>
    <t>0611839695100</t>
  </si>
  <si>
    <t>TAG Marigold Safari Red 100/100 Pixie Tag</t>
  </si>
  <si>
    <t>0611839696100</t>
  </si>
  <si>
    <t>TAG Marigold Safari Scarlet 100/100 Pixie Tag</t>
  </si>
  <si>
    <t>0611839697100</t>
  </si>
  <si>
    <t>TAG Marigold Safari Tangerine 100/100 Pixie Tag</t>
  </si>
  <si>
    <t>0611839698100</t>
  </si>
  <si>
    <t>TAG Marigold Safari Yellow 100/100 Pixie Tag</t>
  </si>
  <si>
    <t>0611839699100</t>
  </si>
  <si>
    <t>TAG Marigold Safari Yellow Fire 100/100 Pixie Tag</t>
  </si>
  <si>
    <t>0611839701100</t>
  </si>
  <si>
    <t>TAG Marigold Sophia Queen 100/100 Pixie Tag</t>
  </si>
  <si>
    <t>0611839702100</t>
  </si>
  <si>
    <t>TAG Marigold Strawberry Blonde 100/100 Pixie Tag</t>
  </si>
  <si>
    <t>0611839703100</t>
  </si>
  <si>
    <t>TAG Marigold Super Hero Deep Orange 100/100 Pixie Tag</t>
  </si>
  <si>
    <t>0611839704100</t>
  </si>
  <si>
    <t>TAG Marigold Super Hero Deep Yellow 100/100 Pixie Tag</t>
  </si>
  <si>
    <t>0611839705100</t>
  </si>
  <si>
    <t>TAG Marigold Super Hero Gold 100/100 Pixie Tag</t>
  </si>
  <si>
    <t>0611839706100</t>
  </si>
  <si>
    <t>TAG Marigold Super Hero Harmony 100/100 Pixie Tag</t>
  </si>
  <si>
    <t>0611839707100</t>
  </si>
  <si>
    <t>TAG Marigold Super Hero Mix 100/100 Pixie Tag</t>
  </si>
  <si>
    <t>0611839708100</t>
  </si>
  <si>
    <t>TAG Marigold Super Hero Orange 100/100 Pixie Tag</t>
  </si>
  <si>
    <t>0611839709100</t>
  </si>
  <si>
    <t>TAG Marigold Super Hero Orange Bee 100/100 Pixie Tag</t>
  </si>
  <si>
    <t>0611839710100</t>
  </si>
  <si>
    <t>TAG Marigold Super Hero Orange Flame 100/100 Pixie Tag</t>
  </si>
  <si>
    <t>0611839711100</t>
  </si>
  <si>
    <t>TAG Marigold Super Hero Spry 100/100 Pixie Tag</t>
  </si>
  <si>
    <t>0611839712100</t>
  </si>
  <si>
    <t>TAG Marigold Super Hero Yellow 100/100 Pixie Tag</t>
  </si>
  <si>
    <t>0611839713100</t>
  </si>
  <si>
    <t>TAG Marigold Super Hero Yellow Bee 100/100 Pixie Tag</t>
  </si>
  <si>
    <t>0611839714100</t>
  </si>
  <si>
    <t>TAG Marigold Sweet Cream 100/100 Pixie Tag</t>
  </si>
  <si>
    <t>0611839715100</t>
  </si>
  <si>
    <t>TAG Marigold Taishan Gold 100/100 Pixie Tag</t>
  </si>
  <si>
    <t>0611839716100</t>
  </si>
  <si>
    <t>TAG Marigold Taishan Mix 100/100 Pixie Tag</t>
  </si>
  <si>
    <t>0611839717100</t>
  </si>
  <si>
    <t>TAG Marigold Taishan Orange 100/100 Pixie Tag</t>
  </si>
  <si>
    <t>0611839718100</t>
  </si>
  <si>
    <t>TAG Marigold Taishan Series 100/100 Pixie Tag</t>
  </si>
  <si>
    <t>0611839719100</t>
  </si>
  <si>
    <t>TAG Marigold Taishan Yellow 100/100 Pixie Tag</t>
  </si>
  <si>
    <t>0611839720100</t>
  </si>
  <si>
    <t>TAG Marigold Tall Orange GENERIC 100/100 Pixie Tag</t>
  </si>
  <si>
    <t>0611839721100</t>
  </si>
  <si>
    <t>TAG Marigold Tall Yellow GENERIC 100/100 Pixie Tag</t>
  </si>
  <si>
    <t>0611839723100</t>
  </si>
  <si>
    <t>TAG Marigold Vanilla 100/100 Pixie Tag</t>
  </si>
  <si>
    <t>0611839724100</t>
  </si>
  <si>
    <t>TAG Marigold White GENERIC Bilingual 100/100 Pixie Tag</t>
  </si>
  <si>
    <t>0611839727100</t>
  </si>
  <si>
    <t>TAG Marigold Yellow GENERIC 100/100 Pixie Tag</t>
  </si>
  <si>
    <t>0611839725100</t>
  </si>
  <si>
    <t>TAG Marigold Yellow GENERIC Bilingual 100/100 Pixie Tag</t>
  </si>
  <si>
    <t>0611839728100</t>
  </si>
  <si>
    <t>TAG Marigold Zenith Deep Orange 100/100 Pixie Tag SF</t>
  </si>
  <si>
    <t>0611839729100</t>
  </si>
  <si>
    <t>TAG Marigold Zenith Golden Yellow 100/100 Pixie Tag SF</t>
  </si>
  <si>
    <t>0611839730100</t>
  </si>
  <si>
    <t>TAG Marigold Zenith Lemon Yellow 100/100 Pixie Tag SF</t>
  </si>
  <si>
    <t>0611839731100</t>
  </si>
  <si>
    <t>TAG Marigold Zenith Orange 100/100 Pixie Tag SF</t>
  </si>
  <si>
    <t>0611839732100</t>
  </si>
  <si>
    <t>TAG Marigold Zenith Red 100/100 Pixie Tag SF</t>
  </si>
  <si>
    <t>0611839733100</t>
  </si>
  <si>
    <t>TAG Marigold Zenith Red/Gold 100/100 Pixie Tag SF</t>
  </si>
  <si>
    <t>0611839734100</t>
  </si>
  <si>
    <t>TAG Marigold Zenith Series 100/100 Pixie Tag SF</t>
  </si>
  <si>
    <t>0611839735100</t>
  </si>
  <si>
    <t>TAG Marigold Zenith Yellow 100/100 Pixie Tag SF</t>
  </si>
  <si>
    <t>0611837057100</t>
  </si>
  <si>
    <t>TAG Marjoram GENERIC 100/100 Pixie Tag</t>
  </si>
  <si>
    <t>0611837046100</t>
  </si>
  <si>
    <t>TAG Marjoram Golden 100/100 Pixie Tag</t>
  </si>
  <si>
    <t>0611837062100</t>
  </si>
  <si>
    <t>TAG Marjoram Sweet 100/100 Pixie Tag</t>
  </si>
  <si>
    <t>0611837063025</t>
  </si>
  <si>
    <t>TAG Marjoram Sweet 25/25 Portrait Tag</t>
  </si>
  <si>
    <t>0611837064100</t>
  </si>
  <si>
    <t>TAG Marjoram Variegated 100/100 Pixie Tag</t>
  </si>
  <si>
    <t>0611884320025</t>
  </si>
  <si>
    <t>TAG Marrub Horehound 25/25 Portrait Tag</t>
  </si>
  <si>
    <t>0611863289100</t>
  </si>
  <si>
    <t>TAG Mazus Purple 100/100 Pixie Tag FUL</t>
  </si>
  <si>
    <t>0611836745025</t>
  </si>
  <si>
    <t>TAG Mazus Purple Reptans 25/25 Portrait Tag</t>
  </si>
  <si>
    <t>0611836746100</t>
  </si>
  <si>
    <t>TAG Mecardonia Garden Freckles 100/100 Pixie Tag</t>
  </si>
  <si>
    <t>0611857033100</t>
  </si>
  <si>
    <t>TAG Mecardonia Gold Flakes 100/100 Pixie Tag</t>
  </si>
  <si>
    <t>0611836747100</t>
  </si>
  <si>
    <t>TAG Mecardonia Magic Carpet Yellow 100/100 Pixie Tag</t>
  </si>
  <si>
    <t>0611836749100</t>
  </si>
  <si>
    <t>TAG Melampodium Blackfoot Daisy 100/100 Pixie Tag</t>
  </si>
  <si>
    <t>0611836750100</t>
  </si>
  <si>
    <t>TAG Melampodium Derby 100/100 Pixie Tag</t>
  </si>
  <si>
    <t>0611836753100</t>
  </si>
  <si>
    <t>TAG Melampodium GENERIC 100/100 Pixie Tag</t>
  </si>
  <si>
    <t>0611836751100</t>
  </si>
  <si>
    <t>TAG Melampodium Jackpot Gold 100/100 Pixie Tag</t>
  </si>
  <si>
    <t>0611836752100</t>
  </si>
  <si>
    <t>TAG Melampodium Lemon Delight 100/100 Pixie Tag</t>
  </si>
  <si>
    <t>0611836754100</t>
  </si>
  <si>
    <t>TAG Melampodium Million Gold 100/100 Pixie Tag</t>
  </si>
  <si>
    <t>0611836755100</t>
  </si>
  <si>
    <t>TAG Melampodium Show Star 100/100 Pixie Tag</t>
  </si>
  <si>
    <t>0611836756100</t>
  </si>
  <si>
    <t>TAG Melinus Savannah 100/100 Pixie Tag</t>
  </si>
  <si>
    <t>0611833473100</t>
  </si>
  <si>
    <t>TAG Melon Ambrosia 100/100 Pixie Tag</t>
  </si>
  <si>
    <t>0611833474100</t>
  </si>
  <si>
    <t>TAG Melon Aphrodite 100/100 Pixie Tag SF</t>
  </si>
  <si>
    <t>0611833476100</t>
  </si>
  <si>
    <t>TAG Melon Athena 100/100 Pixie Tag</t>
  </si>
  <si>
    <t>0611833477100</t>
  </si>
  <si>
    <t>TAG Melon Atlantis 100/100 Pixie Tag</t>
  </si>
  <si>
    <t>0611833470100</t>
  </si>
  <si>
    <t>TAG Melon Ball 2076 100/100 Pixie Tag</t>
  </si>
  <si>
    <t>0611833481100</t>
  </si>
  <si>
    <t>TAG Melon Burpee Hybrid Muskmelon 100/100 Pixie Tag</t>
  </si>
  <si>
    <t>0611833493100</t>
  </si>
  <si>
    <t>TAG Melon Cantaloupe Muskmelon 100/100 Pixie Tag</t>
  </si>
  <si>
    <t>0611833494200</t>
  </si>
  <si>
    <t>TAG Melon Cantaloupe Muskmelon 200/200 Thriftee Tag</t>
  </si>
  <si>
    <t>0611833496100</t>
  </si>
  <si>
    <t>TAG Melon Crenshaw 100/100 Pixie Tag</t>
  </si>
  <si>
    <t>0611836761100</t>
  </si>
  <si>
    <t>TAG Melon Cucamelon 100/100 Pixie Tag</t>
  </si>
  <si>
    <t>0611833501100</t>
  </si>
  <si>
    <t>TAG Melon Delicious 51 100/100 Pixie Tag</t>
  </si>
  <si>
    <t>0611833503100</t>
  </si>
  <si>
    <t>TAG Melon Dulce Nectar 100/100 Pixie Tag</t>
  </si>
  <si>
    <t>0611833504100</t>
  </si>
  <si>
    <t>TAG Melon Earli Dew 100/100 Pixie Tag</t>
  </si>
  <si>
    <t>0611833505100</t>
  </si>
  <si>
    <t>TAG Melon Earli Sweet 100/100 Pixie Tag</t>
  </si>
  <si>
    <t>0611833506100</t>
  </si>
  <si>
    <t>TAG Melon Early 100/100 Pixie Tag</t>
  </si>
  <si>
    <t>0611833508100</t>
  </si>
  <si>
    <t>TAG Melon Fastbreak 100/100 Pixie Tag</t>
  </si>
  <si>
    <t>0611833509100</t>
  </si>
  <si>
    <t>TAG Melon Fonzy 100/100 Pixie Tag</t>
  </si>
  <si>
    <t>0611833512100</t>
  </si>
  <si>
    <t>TAG Melon Gold Star 100/100 Pixie Tag</t>
  </si>
  <si>
    <t>0611833514100</t>
  </si>
  <si>
    <t>TAG Melon Hales Best Jumbo 100/100 Pixie Tag</t>
  </si>
  <si>
    <t>0611833516100</t>
  </si>
  <si>
    <t>TAG Melon Honey I Dew 100/100 Pixie Tag</t>
  </si>
  <si>
    <t>0611833517100</t>
  </si>
  <si>
    <t>TAG Melon Honey Rock 100/100 Pixie Tag</t>
  </si>
  <si>
    <t>0611833518100</t>
  </si>
  <si>
    <t>TAG Melon Honeycomb 100/100 Pixie Tag</t>
  </si>
  <si>
    <t>0611833519100</t>
  </si>
  <si>
    <t>TAG Melon Honeydew 100/100 Pixie Tag</t>
  </si>
  <si>
    <t>0611833525100</t>
  </si>
  <si>
    <t>TAG Melon Lilliput 100/100 Pixie Tag</t>
  </si>
  <si>
    <t>0611833535100</t>
  </si>
  <si>
    <t>TAG Melon Parks Whopper 100/100 Pixie Tag</t>
  </si>
  <si>
    <t>0611833543100</t>
  </si>
  <si>
    <t>TAG Melon Pride Of Wisconsin 100/100 Pixie Tag</t>
  </si>
  <si>
    <t>0611833544100</t>
  </si>
  <si>
    <t>TAG Melon Primo 100/100 Pixie Tag SF</t>
  </si>
  <si>
    <t>0611833555100</t>
  </si>
  <si>
    <t>TAG Melon Superstar 100/100 Pixie Tag</t>
  </si>
  <si>
    <t>0611836793025</t>
  </si>
  <si>
    <t>TAG Mertensia GENERIC 25/25 Portrait Tag</t>
  </si>
  <si>
    <t>0611836794100</t>
  </si>
  <si>
    <t>TAG Mesembryanthemum Livingstone Daisy GENERIC 100/100 Pixie Tag</t>
  </si>
  <si>
    <t>0611836795025</t>
  </si>
  <si>
    <t>TAG Milium Aureum Effusum 25/25 Portrait Tag</t>
  </si>
  <si>
    <t>0611836797100</t>
  </si>
  <si>
    <t>TAG Mimosa Sensitive Plant GENERIC 100/100 Pixie Tag</t>
  </si>
  <si>
    <t>0611836802100</t>
  </si>
  <si>
    <t>TAG Mimulus GENERIC 100/100 Pixie Tag</t>
  </si>
  <si>
    <t>0611836798100</t>
  </si>
  <si>
    <t>TAG Mimulus Magic Mix 100/100 Pixie Tag SF</t>
  </si>
  <si>
    <t>0611836799100</t>
  </si>
  <si>
    <t>TAG Mimulus Magic Series 100/100 Pixie Tag SF</t>
  </si>
  <si>
    <t>0611836800100</t>
  </si>
  <si>
    <t>TAG Mimulus Mai Tai Red 100/100 Pixie Tag</t>
  </si>
  <si>
    <t>0611836801100</t>
  </si>
  <si>
    <t>TAG Mimulus Maximus Series 100/100 Pixie Tag</t>
  </si>
  <si>
    <t>0611836803100</t>
  </si>
  <si>
    <t>TAG Mimulus Mystic Mix 100/100 Pixie Tag</t>
  </si>
  <si>
    <t>0611836804100</t>
  </si>
  <si>
    <t>TAG Mina Firecracker Vine Exotic Love 100/100 Pixie Tag</t>
  </si>
  <si>
    <t>0611645903050</t>
  </si>
  <si>
    <t>TAG Mini Portrait 50/50 Tag</t>
  </si>
  <si>
    <t>0611862535050</t>
  </si>
  <si>
    <t>TAG Mint Apple Limited Availability 50/50 Petite Portrait</t>
  </si>
  <si>
    <t>0611836762100</t>
  </si>
  <si>
    <t>TAG Mint Apple Mint 100/100 Pixie Tag</t>
  </si>
  <si>
    <t>0611884321025</t>
  </si>
  <si>
    <t>TAG Mint Banana 25/25 Portrait Tag</t>
  </si>
  <si>
    <t>0611884322025</t>
  </si>
  <si>
    <t>TAG Mint Berries And Cream 25/25 Portrait Tag</t>
  </si>
  <si>
    <t>0611884323025</t>
  </si>
  <si>
    <t>TAG Mint Blackcurrant 25/25 Portrait Tag</t>
  </si>
  <si>
    <t>0611836764100</t>
  </si>
  <si>
    <t>TAG Mint Candy 100/100 Pixie Tag</t>
  </si>
  <si>
    <t>0611836765100</t>
  </si>
  <si>
    <t>TAG Mint Chocolate 100/100 Pixie Tag</t>
  </si>
  <si>
    <t>0611836766025</t>
  </si>
  <si>
    <t>TAG Mint Chocolate 25/25 Portrait Tag</t>
  </si>
  <si>
    <t>0611836767100</t>
  </si>
  <si>
    <t>TAG Mint Corsican 100/100 Pixie Tag</t>
  </si>
  <si>
    <t>0611836768025</t>
  </si>
  <si>
    <t>TAG Mint Corsican 25/25 Portrait Tag</t>
  </si>
  <si>
    <t>0611836769100</t>
  </si>
  <si>
    <t>TAG Mint Curly 100/100 Pixie Tag</t>
  </si>
  <si>
    <t>0611884324025</t>
  </si>
  <si>
    <t>TAG Mint Curly 25/25 Portrait Tag</t>
  </si>
  <si>
    <t>0611836770100</t>
  </si>
  <si>
    <t>TAG Mint English 100/100 Pixie Tag</t>
  </si>
  <si>
    <t>0611884325025</t>
  </si>
  <si>
    <t>TAG Mint English Pennyroyal 25/25 Portrait Tag</t>
  </si>
  <si>
    <t>0611836778100</t>
  </si>
  <si>
    <t>TAG Mint GENERIC 100/100 Pixie Tag</t>
  </si>
  <si>
    <t>0611836771100</t>
  </si>
  <si>
    <t>TAG Mint Ginger 100/100 Pixie Tag</t>
  </si>
  <si>
    <t>0611884326025</t>
  </si>
  <si>
    <t>TAG Mint Ginger 25/25 Portrait Tag</t>
  </si>
  <si>
    <t>0611836772100</t>
  </si>
  <si>
    <t>TAG Mint Grapefruit 100/100 Pixie Tag</t>
  </si>
  <si>
    <t>0611884327025</t>
  </si>
  <si>
    <t>TAG Mint Grapefruit 25/25 Portrait Tag</t>
  </si>
  <si>
    <t>0611884328025</t>
  </si>
  <si>
    <t>TAG Mint Hillary's Sweet Lemon 25/25 Portrait Tag</t>
  </si>
  <si>
    <t>0611836773100</t>
  </si>
  <si>
    <t>TAG Mint Kentucky Colonel 100/100 Pixie Tag</t>
  </si>
  <si>
    <t>0611836774025</t>
  </si>
  <si>
    <t>TAG Mint Kentucky Colonel 25/25 Portrait Tag</t>
  </si>
  <si>
    <t>0611862537100</t>
  </si>
  <si>
    <t>TAG Mint Kentucky Colonel CN5258 100/100 Pixie Tag FUL</t>
  </si>
  <si>
    <t>0611836775100</t>
  </si>
  <si>
    <t>TAG Mint Lemon 100/100 Pixie Tag</t>
  </si>
  <si>
    <t>0611836776100</t>
  </si>
  <si>
    <t>TAG Mint Lime 100/100 Pixie Tag</t>
  </si>
  <si>
    <t>0611836777100</t>
  </si>
  <si>
    <t>TAG Mint Mini Mint 100/100 Pixie Tag</t>
  </si>
  <si>
    <t>0611836779100</t>
  </si>
  <si>
    <t>TAG Mint Mint The Best 100/100 Pixie Tag</t>
  </si>
  <si>
    <t>0611836780100</t>
  </si>
  <si>
    <t>TAG Mint Mojito 100/100 Pixie Tag</t>
  </si>
  <si>
    <t>0611836781025</t>
  </si>
  <si>
    <t>TAG Mint Mojito 25/25 Portrait Tag</t>
  </si>
  <si>
    <t>0611836782100</t>
  </si>
  <si>
    <t>TAG Mint Moroccan 100/100 Pixie Tag</t>
  </si>
  <si>
    <t>0611884329025</t>
  </si>
  <si>
    <t>TAG Mint Moroccan Spearmint 25/25 Portrait Tag</t>
  </si>
  <si>
    <t>0611836783100</t>
  </si>
  <si>
    <t>TAG Mint Orange 100/100 Pixie Tag</t>
  </si>
  <si>
    <t>0611836784025</t>
  </si>
  <si>
    <t>TAG Mint Orange 25/25 Portrait Tag</t>
  </si>
  <si>
    <t>0611836785100</t>
  </si>
  <si>
    <t>TAG Mint Pennyroyal GENERIC 100/100 Pixie Tag</t>
  </si>
  <si>
    <t>0611836786100</t>
  </si>
  <si>
    <t>TAG Mint Peppermint 100/100 Pixie Tag</t>
  </si>
  <si>
    <t>0611836787025</t>
  </si>
  <si>
    <t>TAG Mint Peppermint 25/25 Portrait Tag</t>
  </si>
  <si>
    <t>0611862540100</t>
  </si>
  <si>
    <t>TAG Mint Pineapple 100/100 Pixie Tag FUL</t>
  </si>
  <si>
    <t>0611836789025</t>
  </si>
  <si>
    <t>TAG Mint Pineapple 25/25 Portrait Tag</t>
  </si>
  <si>
    <t>0611862541050</t>
  </si>
  <si>
    <t>TAG Mint Pineapple Limited Availability 50/50 Petite Portrait</t>
  </si>
  <si>
    <t>0611836790100</t>
  </si>
  <si>
    <t>TAG Mint Spanish 100/100 Pixie Tag</t>
  </si>
  <si>
    <t>0611836791100</t>
  </si>
  <si>
    <t>TAG Mint Spearmint 100/100 Pixie Tag</t>
  </si>
  <si>
    <t>0611836792025</t>
  </si>
  <si>
    <t>TAG Mint Spearmint 25/25 Portrait Tag</t>
  </si>
  <si>
    <t>0611862542100</t>
  </si>
  <si>
    <t>TAG Mint Spearmint CN5259 100/100 Pixie Tag FUL</t>
  </si>
  <si>
    <t>0611862543050</t>
  </si>
  <si>
    <t>TAG Mint Spearmint Limited Availability 50/50 Petite Portrait FUL</t>
  </si>
  <si>
    <t>0611884330025</t>
  </si>
  <si>
    <t>TAG Mint Strawberry 25/25 Portrait Tag</t>
  </si>
  <si>
    <t>0611884331025</t>
  </si>
  <si>
    <t>TAG Mint Sweet Pear 25/25 Portrait Tag</t>
  </si>
  <si>
    <t>0611884332025</t>
  </si>
  <si>
    <t>TAG Mint Thai 25/25 Portrait Tag</t>
  </si>
  <si>
    <t>0611836805100</t>
  </si>
  <si>
    <t>TAG Mirabilis Four O'clocks GENERIC 100/100 Pixie Tag</t>
  </si>
  <si>
    <t>0611836814025</t>
  </si>
  <si>
    <t>TAG Miscanthus Adagio Sinensis 25/25 Portrait Tag</t>
  </si>
  <si>
    <t>0611836815025</t>
  </si>
  <si>
    <t>TAG Miscanthus Bandwidth 25/25 Portrait Tag</t>
  </si>
  <si>
    <t>0611836816025</t>
  </si>
  <si>
    <t>TAG Miscanthus Cabaret Sinensis 25/25 Portrait Tag</t>
  </si>
  <si>
    <t>0611836817025</t>
  </si>
  <si>
    <t>TAG Miscanthus Gracillimus 25/25 Portrait Tag</t>
  </si>
  <si>
    <t>0611856964025</t>
  </si>
  <si>
    <t>TAG Miscanthus High Frequency 25/25 Portrait Tag</t>
  </si>
  <si>
    <t>0611836818025</t>
  </si>
  <si>
    <t>TAG Miscanthus Little Kitten 25/25 Portrait Tag</t>
  </si>
  <si>
    <t>0611836819025</t>
  </si>
  <si>
    <t>TAG Miscanthus Morning Light 25/25 Portrait Tag</t>
  </si>
  <si>
    <t>0611836820025</t>
  </si>
  <si>
    <t>TAG Miscanthus Purpurascens 25/25 Portrait Tag</t>
  </si>
  <si>
    <t>0611836821025</t>
  </si>
  <si>
    <t>TAG Miscanthus Strictus Sinensis 25/25 Portrait Tag</t>
  </si>
  <si>
    <t>0611836822025</t>
  </si>
  <si>
    <t>TAG Miscanthus Variegatus 25/25 Portrait Tag</t>
  </si>
  <si>
    <t>0611836823025</t>
  </si>
  <si>
    <t>TAG Miscanthus Zebrinus Sinensis 25/25 Portrait Tag</t>
  </si>
  <si>
    <t>0611836806025</t>
  </si>
  <si>
    <t>TAG Miscellaneous Annual Combination 25/25 Portrait Tag</t>
  </si>
  <si>
    <t>0611836809100</t>
  </si>
  <si>
    <t>TAG Miscellaneous Crop Marker Blue 100/100 Pixie Tag</t>
  </si>
  <si>
    <t>0611836807100</t>
  </si>
  <si>
    <t>TAG Miscellaneous Crop Marker Green 100/100 Pixie Tag</t>
  </si>
  <si>
    <t>0611836810100</t>
  </si>
  <si>
    <t>TAG Miscellaneous Crop Marker Lavender 100/100 Pixie Tag</t>
  </si>
  <si>
    <t>0611836811100</t>
  </si>
  <si>
    <t>TAG Miscellaneous Crop Marker Orange 100/100 Pixie Tag</t>
  </si>
  <si>
    <t>0611836812100</t>
  </si>
  <si>
    <t>TAG Miscellaneous Crop Marker Pink 100/100 Pixie Tag</t>
  </si>
  <si>
    <t>0611836808100</t>
  </si>
  <si>
    <t>TAG Miscellaneous Crop Marker Red 100/100 Pixie Tag</t>
  </si>
  <si>
    <t>0611836813100</t>
  </si>
  <si>
    <t>TAG Miscellaneous Crop Marker Yellow 100/100 Pixie Tag</t>
  </si>
  <si>
    <t>0611833719100</t>
  </si>
  <si>
    <t>TAG Miscellaneous Deer Resistant Garden Solution 100/100 Pixie Tag</t>
  </si>
  <si>
    <t>0611857034100</t>
  </si>
  <si>
    <t>TAG Miscellaneous Gardening Solutions Native 100/100 Pixie Tag</t>
  </si>
  <si>
    <t>0611834757100</t>
  </si>
  <si>
    <t>TAG Miscellaneous GMO Free 100/100 Pixie Tag</t>
  </si>
  <si>
    <t>0611839383100</t>
  </si>
  <si>
    <t>TAG Miscellaneous Merchandising Tag Sold 100/100 Hang Tag</t>
  </si>
  <si>
    <t>0611837041100</t>
  </si>
  <si>
    <t>TAG Miscellaneous Organically Grown 100/100 Pixie Tag</t>
  </si>
  <si>
    <t>0611838554025</t>
  </si>
  <si>
    <t>TAG Miscellaneous Pollinator Friendly 25/25 Portrait Tag</t>
  </si>
  <si>
    <t>0611838757100</t>
  </si>
  <si>
    <t>TAG Miscellaneous Repels Mosquitos 100/100 Pixie Tag</t>
  </si>
  <si>
    <t>0611837163100</t>
  </si>
  <si>
    <t>TAG Miscellaneous Sun/Shade Part Sun 100/100 Hang Tag</t>
  </si>
  <si>
    <t>0611837164025</t>
  </si>
  <si>
    <t>TAG Miscellaneous Sun/Shade Part Sun 25/25 Portrait Tag</t>
  </si>
  <si>
    <t>0611837165100</t>
  </si>
  <si>
    <t>TAG Miscellaneous Sun/Shade Part Sun Annual 100/100 Hang Tag</t>
  </si>
  <si>
    <t>0611839337100</t>
  </si>
  <si>
    <t>TAG Miscellaneous Sun/Shade Shade 100/100 Hang Tag</t>
  </si>
  <si>
    <t>0611839338025</t>
  </si>
  <si>
    <t>TAG Miscellaneous Sun/Shade Shade 25/25 Portrait Tag</t>
  </si>
  <si>
    <t>0611839481100</t>
  </si>
  <si>
    <t>TAG Miscellaneous Sun/Shade Sun 100/100 Hang Tag</t>
  </si>
  <si>
    <t>0611839482025</t>
  </si>
  <si>
    <t>TAG Miscellaneous Sun/Shade Sun 25/25 Portrait Tag</t>
  </si>
  <si>
    <t>0611839483100</t>
  </si>
  <si>
    <t>TAG Miscellaneous Sun/Shade Sun Annual 100/100 Hang Tag</t>
  </si>
  <si>
    <t>0611836824100</t>
  </si>
  <si>
    <t>TAG Moluccella Bells Of Ireland GENERIC 100/100 Pixie Tag</t>
  </si>
  <si>
    <t>0611836825025</t>
  </si>
  <si>
    <t>TAG Monarda Balmy Lilac 25/25 Portrait Tag</t>
  </si>
  <si>
    <t>0611836826025</t>
  </si>
  <si>
    <t>TAG Monarda Balmy Pink 25/25 Portrait Tag</t>
  </si>
  <si>
    <t>0611836827025</t>
  </si>
  <si>
    <t>TAG Monarda Balmy Purple 25/25 Portrait Tag</t>
  </si>
  <si>
    <t>0611836828025</t>
  </si>
  <si>
    <t>TAG Monarda Balmy Rose 25/25 Portrait Tag</t>
  </si>
  <si>
    <t>0611836829100</t>
  </si>
  <si>
    <t>TAG Monarda Bee Balm GENERIC 100/100 Pixie Tag</t>
  </si>
  <si>
    <t>0611836830025</t>
  </si>
  <si>
    <t>TAG Monarda Bee Mine Lavender Didyma 25/25 Portrait Tag</t>
  </si>
  <si>
    <t>0611836831025</t>
  </si>
  <si>
    <t>TAG Monarda Bee Mine Pink Didyma 25/25 Portrait Tag</t>
  </si>
  <si>
    <t>0611836832025</t>
  </si>
  <si>
    <t>TAG Monarda Bee Mine Red Didyma 25/25 Portrait Tag</t>
  </si>
  <si>
    <t>0611836833025</t>
  </si>
  <si>
    <t>TAG Monarda Blue Stocking Blaustrumpf 25/25 Portrait Tag</t>
  </si>
  <si>
    <t>0611863290100</t>
  </si>
  <si>
    <t>TAG Monarda Fireball 100/100 Pixie Tag FUL</t>
  </si>
  <si>
    <t>0611836834025</t>
  </si>
  <si>
    <t>TAG Monarda Fireball 25/25 Portrait Tag</t>
  </si>
  <si>
    <t>0611863291050</t>
  </si>
  <si>
    <t>TAG Monarda Fireball 50/50 Petite Portrait</t>
  </si>
  <si>
    <t>0611836835025</t>
  </si>
  <si>
    <t>TAG Monarda Gardenview Scarlet 25/25 Portrait Tag</t>
  </si>
  <si>
    <t>0611836836025</t>
  </si>
  <si>
    <t>TAG Monarda Grand Parade 25/25 Portrait Tag</t>
  </si>
  <si>
    <t>0611836837025</t>
  </si>
  <si>
    <t>TAG Monarda Jacob Cline 25/25 Portrait Tag</t>
  </si>
  <si>
    <t>0611836838025</t>
  </si>
  <si>
    <t>TAG Monarda Marje Pink 25/25 Portrait Tag</t>
  </si>
  <si>
    <t>0611836839025</t>
  </si>
  <si>
    <t>TAG Monarda Marje Purple 25/25 Portrait Tag</t>
  </si>
  <si>
    <t>0611836840025</t>
  </si>
  <si>
    <t>TAG Monarda Marje Rose 25/25 Portrait Tag</t>
  </si>
  <si>
    <t>0611836841025</t>
  </si>
  <si>
    <t>TAG Monarda Marshall's Delight 25/25 Portrait Tag</t>
  </si>
  <si>
    <t>0611836842025</t>
  </si>
  <si>
    <t>TAG Monarda Mix GENERIC 25/25 Portrait Tag</t>
  </si>
  <si>
    <t>0611836843025</t>
  </si>
  <si>
    <t>TAG Monarda Panorama Mix 25/25 Portrait Tag</t>
  </si>
  <si>
    <t>0611836844100</t>
  </si>
  <si>
    <t>TAG Monarda Panorama Red Shades 100/100 Pixie Tag</t>
  </si>
  <si>
    <t>0611836845025</t>
  </si>
  <si>
    <t>TAG Monarda Petite Delight 25/25 Portrait Tag</t>
  </si>
  <si>
    <t>0611863292100</t>
  </si>
  <si>
    <t>TAG Monarda Petite Delight Limited Availability 100/100 Pixie Tag</t>
  </si>
  <si>
    <t>0611863293050</t>
  </si>
  <si>
    <t>TAG Monarda Petite Delight Limited Availability 50/50 Petite Portrait</t>
  </si>
  <si>
    <t>0611836847025</t>
  </si>
  <si>
    <t>TAG Monarda Pink Lace 25/25 Portrait Tag</t>
  </si>
  <si>
    <t>0611863294100</t>
  </si>
  <si>
    <t>TAG Monarda Pocahontas Deep Purple 100/100 Pixie Tag DO FUL</t>
  </si>
  <si>
    <t>0611863295100</t>
  </si>
  <si>
    <t>TAG Monarda Pocahontas Pink 100/100 Pixie Tag DO FUL</t>
  </si>
  <si>
    <t>0611863296050</t>
  </si>
  <si>
    <t>TAG Monarda Pocahontas Pink Limited Availability 50/50 Petite Portrait DO FUL</t>
  </si>
  <si>
    <t>0611863297100</t>
  </si>
  <si>
    <t>TAG Monarda Pocahontas Red Rose 100/100 Pixie Tag DO FUL</t>
  </si>
  <si>
    <t>0611863298050</t>
  </si>
  <si>
    <t>TAG Monarda Pocahontas Red Rose 50/50 Petite Portrait DO FUL</t>
  </si>
  <si>
    <t>0611836849025</t>
  </si>
  <si>
    <t>TAG Monarda Raspberry Wine 25/25 Portrait Tag</t>
  </si>
  <si>
    <t>0611884333025</t>
  </si>
  <si>
    <t>TAG Monarda Wild Bergamot 25/25 Portrait Tag</t>
  </si>
  <si>
    <t>0611836850100</t>
  </si>
  <si>
    <t>TAG Monstera Deliciosa 100/100 Pixie Tag</t>
  </si>
  <si>
    <t>0611857035100</t>
  </si>
  <si>
    <t>TAG Monstera Mini Monstera 100/100 Pixie Tag</t>
  </si>
  <si>
    <t>0611836851100</t>
  </si>
  <si>
    <t>TAG Monstera Swiss Cheese Plant 100/100 Pixie Tag</t>
  </si>
  <si>
    <t>0611836852025</t>
  </si>
  <si>
    <t>TAG Muehlenbeckia Big Leaf 25/25 Portrait Tag</t>
  </si>
  <si>
    <t>0611863299050</t>
  </si>
  <si>
    <t>TAG Muehlenbeckia Creeping Wire Vine 50/50 Petite Portrait FUL</t>
  </si>
  <si>
    <t>0611836853025</t>
  </si>
  <si>
    <t>TAG Muehlenbeckia Creeping Wire Vine GENERIC 25/25 Portrait Tag</t>
  </si>
  <si>
    <t>0611836855025</t>
  </si>
  <si>
    <t>TAG Muehlenbeckia Nana Little Leaf 25/25 Portrait Tag</t>
  </si>
  <si>
    <t>0611836856025</t>
  </si>
  <si>
    <t>TAG Muhlenbergia Capillaris 25/25 Portrait Tag</t>
  </si>
  <si>
    <t>0611836858025</t>
  </si>
  <si>
    <t>TAG Muhlenbergia Muhli Pink 25/25 Portrait Tag</t>
  </si>
  <si>
    <t>0611856965025</t>
  </si>
  <si>
    <t>TAG Muhlenbergia Rosy 25/25 Portrait Tag</t>
  </si>
  <si>
    <t>0611856966025</t>
  </si>
  <si>
    <t>TAG Muhlenbergia Ruby 25/25 Portrait Tag</t>
  </si>
  <si>
    <t>0611834175025</t>
  </si>
  <si>
    <t>TAG Musa Banana Tree GENERIC 25/25 Portrait Tag</t>
  </si>
  <si>
    <t>0611836859100</t>
  </si>
  <si>
    <t>TAG Musa Basjoo Japanese 100/100 Pixie Tag</t>
  </si>
  <si>
    <t>0611836861100</t>
  </si>
  <si>
    <t>TAG Musa Dwarf Cavendish 100/100 Pixie Tag</t>
  </si>
  <si>
    <t>0611836860100</t>
  </si>
  <si>
    <t>TAG Musa Dwarf Fruiting GENERIC 100/100 Pixie Tag</t>
  </si>
  <si>
    <t>0611834176100</t>
  </si>
  <si>
    <t>TAG Musa Maurelli 100/100 Pixie Tag</t>
  </si>
  <si>
    <t>0611836862100</t>
  </si>
  <si>
    <t>TAG Musa Zebrina 100/100 Pixie Tag</t>
  </si>
  <si>
    <t>0611831912100</t>
  </si>
  <si>
    <t>TAG Mustard Greens GENERIC 100/100 Pixie Tag</t>
  </si>
  <si>
    <t>0611831910100</t>
  </si>
  <si>
    <t>TAG Mustard Greens Miz America 100/100 Pixie Tag</t>
  </si>
  <si>
    <t>0611831941100</t>
  </si>
  <si>
    <t>TAG Mustard Greens Red Giant 100/100 Pixie Tag</t>
  </si>
  <si>
    <t>0611831944100</t>
  </si>
  <si>
    <t>TAG Mustard Greens Red Kingdom 100/100 Pixie Tag</t>
  </si>
  <si>
    <t>0611831951100</t>
  </si>
  <si>
    <t>TAG Mustard Greens Savanna 100/100 Pixie Tag</t>
  </si>
  <si>
    <t>0611836864025</t>
  </si>
  <si>
    <t>TAG Myototis Bellamy Blue Sylvatica 25/25 Portrait Tag</t>
  </si>
  <si>
    <t>0611836865025</t>
  </si>
  <si>
    <t>TAG Myototis Bellamy Pink Sylvatica 25/25 Portrait Tag</t>
  </si>
  <si>
    <t>0611836866025</t>
  </si>
  <si>
    <t>TAG Myototis Bellamy White Sylvatica 25/25 Portrait Tag</t>
  </si>
  <si>
    <t>0611836867025</t>
  </si>
  <si>
    <t>TAG Myototis Bluesylva Sylvatica 25/25 Portrait Tag</t>
  </si>
  <si>
    <t>0611836868025</t>
  </si>
  <si>
    <t>TAG Myototis Compindi 25/25 Portrait Tag</t>
  </si>
  <si>
    <t>0611836869100</t>
  </si>
  <si>
    <t>TAG Myototis Forget Me Not GENERIC 100/100 Pixie Tag</t>
  </si>
  <si>
    <t>0611836870025</t>
  </si>
  <si>
    <t>TAG Myototis Forget Me Not GENERIC 25/25 Portrait Tag</t>
  </si>
  <si>
    <t>0611836871025</t>
  </si>
  <si>
    <t>TAG Myototis Mon Amie Blue 25/25 Portrait Tag</t>
  </si>
  <si>
    <t>0611836872025</t>
  </si>
  <si>
    <t>TAG Myototis Mon Amie Mix 25/25 Portrait Tag</t>
  </si>
  <si>
    <t>0611836873025</t>
  </si>
  <si>
    <t>TAG Myototis Mon Amie Pink 25/25 Portrait Tag</t>
  </si>
  <si>
    <t>0611836874025</t>
  </si>
  <si>
    <t>TAG Myototis Rosylva Sylvatica 25/25 Portrait Tag</t>
  </si>
  <si>
    <t>0611836876025</t>
  </si>
  <si>
    <t>TAG Myototis Victoria Blue 25/25 Portrait Tag</t>
  </si>
  <si>
    <t>0611836878025</t>
  </si>
  <si>
    <t>TAG Myototis Victoria Indigo Blue 25/25 Portrait Tag</t>
  </si>
  <si>
    <t>0611836879100</t>
  </si>
  <si>
    <t>TAG Myototis Victoria Rose 100/100 Pixie Tag</t>
  </si>
  <si>
    <t>0611839867100</t>
  </si>
  <si>
    <t>TAG Nasturtium Alaska Mix 100/100 Pixie Tag</t>
  </si>
  <si>
    <t>0611839868100</t>
  </si>
  <si>
    <t>TAG Nasturtium Baby Rose 100/100 Pixie Tag</t>
  </si>
  <si>
    <t>0611839869100</t>
  </si>
  <si>
    <t>TAG Nasturtium Climbing Mix GENERIC 100/100 Pixie Tag</t>
  </si>
  <si>
    <t>0611839870100</t>
  </si>
  <si>
    <t>TAG Nasturtium Dwarf Jewel Mix 100/100 Pixie Tag</t>
  </si>
  <si>
    <t>0611839871100</t>
  </si>
  <si>
    <t>TAG Nasturtium Empress Of India 100/100 Pixie Tag</t>
  </si>
  <si>
    <t>0611839872100</t>
  </si>
  <si>
    <t>TAG Nasturtium Flame Thrower Series 100/100 Pixie Tag</t>
  </si>
  <si>
    <t>0611839874100</t>
  </si>
  <si>
    <t>TAG Nasturtium GENERIC 100/100 Pixie Tag</t>
  </si>
  <si>
    <t>0611839873100</t>
  </si>
  <si>
    <t>TAG Nasturtium Glorious Gleam Mix 100/100 Pixie Tag</t>
  </si>
  <si>
    <t>0611839875100</t>
  </si>
  <si>
    <t>TAG Nasturtium Pretty N Tasty 100/100 Pixie Tag</t>
  </si>
  <si>
    <t>0611839876100</t>
  </si>
  <si>
    <t>TAG Nasturtium Red Wonder 100/100 Pixie Tag</t>
  </si>
  <si>
    <t>0611839878100</t>
  </si>
  <si>
    <t>TAG Nasturtium Tip Top Mix 100/100 Pixie Tag</t>
  </si>
  <si>
    <t>0611839879100</t>
  </si>
  <si>
    <t>TAG Nasturtium Tip Top Rose 100/100 Pixie Tag</t>
  </si>
  <si>
    <t>0611839880100</t>
  </si>
  <si>
    <t>TAG Nasturtium Trailing Mix GENERIC 100/100 Pixie Tag</t>
  </si>
  <si>
    <t>0611836884100</t>
  </si>
  <si>
    <t>TAG Nasturtium Watercress 100/100 Pixie Tag</t>
  </si>
  <si>
    <t>0611839881100</t>
  </si>
  <si>
    <t>TAG Nasturtium Whirlybird Mix 100/100 Pixie Tag</t>
  </si>
  <si>
    <t>0611836885100</t>
  </si>
  <si>
    <t>TAG Nematanthus Goldfish Plant GENERIC 100/100 Pixie Tag</t>
  </si>
  <si>
    <t>0611863300050</t>
  </si>
  <si>
    <t>TAG Nemesia Angelart Almond 50/50 Petite Portrait DO FUL</t>
  </si>
  <si>
    <t>0611863301050</t>
  </si>
  <si>
    <t>TAG Nemesia Angelart Banana 50/50 Petite Portrait DO FUL</t>
  </si>
  <si>
    <t>0611863302050</t>
  </si>
  <si>
    <t>TAG Nemesia Angelart Berry Blend 50/50 Petite Portrait DO FUL</t>
  </si>
  <si>
    <t>0611863303050</t>
  </si>
  <si>
    <t>TAG Nemesia Angelart Cherry 50/50 Petite Portrait DO FUL</t>
  </si>
  <si>
    <t>0611863304050</t>
  </si>
  <si>
    <t>TAG Nemesia Angelart Grapefruit 50/50 Petite Portrait DO FUL</t>
  </si>
  <si>
    <t>0611863305050</t>
  </si>
  <si>
    <t>TAG Nemesia Angelart Nectarine 50/50 Petite Portrait DO FUL</t>
  </si>
  <si>
    <t>0611863306050</t>
  </si>
  <si>
    <t>TAG Nemesia Angelart Orange 50/50 Petite Portrait DO FUL</t>
  </si>
  <si>
    <t>0611863307050</t>
  </si>
  <si>
    <t>TAG Nemesia Angelart Peach Improved 50/50 Petite Portrait DO FUL</t>
  </si>
  <si>
    <t>0611863308050</t>
  </si>
  <si>
    <t>TAG Nemesia Angelart Pineapple 50/50 Petite Portrait DO FUL</t>
  </si>
  <si>
    <t>0611863309050</t>
  </si>
  <si>
    <t>TAG Nemesia Angelart Raspberry 50/50 Petite Portrait DO FUL</t>
  </si>
  <si>
    <t>0611863310050</t>
  </si>
  <si>
    <t>TAG Nemesia Angelart Strawberry 50/50 Petite Portrait DO FUL</t>
  </si>
  <si>
    <t>0611863311050</t>
  </si>
  <si>
    <t>TAG Nemesia Angelart Watermelon 50/50 Petite Portrait DO FUL</t>
  </si>
  <si>
    <t>0611836886100</t>
  </si>
  <si>
    <t>TAG Nemesia Babycakes Little Banana 100/100 Pixie Tag</t>
  </si>
  <si>
    <t>0611836887100</t>
  </si>
  <si>
    <t>TAG Nemesia Babycakes Little Cherry 100/100 Pixie Tag</t>
  </si>
  <si>
    <t>0611836889100</t>
  </si>
  <si>
    <t>TAG Nemesia Babycakes Little Coconut 100/100 Pixie Tag</t>
  </si>
  <si>
    <t>0611836888100</t>
  </si>
  <si>
    <t>TAG Nemesia Babycakes Little Orange 100/100 Pixie Tag</t>
  </si>
  <si>
    <t>0611857036100</t>
  </si>
  <si>
    <t>TAG Nemesia Babycakes Little Papaya 100/100 Pixie Tag</t>
  </si>
  <si>
    <t>0611863312050</t>
  </si>
  <si>
    <t>TAG Nemesia Blackberry 50/50 Petite Portrait FUL</t>
  </si>
  <si>
    <t>0611836891100</t>
  </si>
  <si>
    <t>TAG Nemesia Blue GENERIC 100/100 Pixie Tag</t>
  </si>
  <si>
    <t>0611863313050</t>
  </si>
  <si>
    <t>TAG Nemesia Blueberry Custard 50/50 Petite Portrait FUL</t>
  </si>
  <si>
    <t>0611863314050</t>
  </si>
  <si>
    <t>TAG Nemesia Bumbleberry 50/50 Petite Portrait FUL</t>
  </si>
  <si>
    <t>0611836892100</t>
  </si>
  <si>
    <t>TAG Nemesia Escential Series 100/100 Pixie Tag DO</t>
  </si>
  <si>
    <t>0611857037100</t>
  </si>
  <si>
    <t>TAG Nemesia Fairy Kisses Series 100/100 Pixie Tag</t>
  </si>
  <si>
    <t>0611836893100</t>
  </si>
  <si>
    <t>TAG Nemesia Fruticans GENERIC 100/100 Pixie Tag</t>
  </si>
  <si>
    <t>0611836897025</t>
  </si>
  <si>
    <t>TAG Nemesia GENERIC 25/25 Portrait Tag</t>
  </si>
  <si>
    <t>0611836894100</t>
  </si>
  <si>
    <t>TAG Nemesia Honey Series 100/100 Pixie Tag</t>
  </si>
  <si>
    <t>0611836898100</t>
  </si>
  <si>
    <t>TAG Nemesia Hybrids GENERIC 100/100 Pixie Tag</t>
  </si>
  <si>
    <t>0611836896100</t>
  </si>
  <si>
    <t>TAG Nemesia Momento Series 100/100 Pixie Tag</t>
  </si>
  <si>
    <t>0611836900100</t>
  </si>
  <si>
    <t>TAG Nemesia Nesia Banana Swirl 100/100 Pixie Tag</t>
  </si>
  <si>
    <t>0611836901100</t>
  </si>
  <si>
    <t>TAG Nemesia Nesia Bananaberry 100/100 Pixie Tag</t>
  </si>
  <si>
    <t>0611836902100</t>
  </si>
  <si>
    <t>TAG Nemesia Nesia Burgundy 100/100 Pixie Tag</t>
  </si>
  <si>
    <t>0611836903100</t>
  </si>
  <si>
    <t>TAG Nemesia Nesia Dark Blue 100/100 Pixie Tag</t>
  </si>
  <si>
    <t>0611836904100</t>
  </si>
  <si>
    <t>TAG Nemesia Nesia Denim 100/100 Pixie Tag</t>
  </si>
  <si>
    <t>0611857038100</t>
  </si>
  <si>
    <t>TAG Nemesia Nesia Inca 100/100 Pixie Tag</t>
  </si>
  <si>
    <t>0611836906100</t>
  </si>
  <si>
    <t>TAG Nemesia Nesia Magenta 100/100 Pixie Tag</t>
  </si>
  <si>
    <t>0611836907100</t>
  </si>
  <si>
    <t>TAG Nemesia Nesia Snowangel 100/100 Pixie Tag</t>
  </si>
  <si>
    <t>0611836908100</t>
  </si>
  <si>
    <t>TAG Nemesia Nesia Sunshine 100/100 Pixie Tag</t>
  </si>
  <si>
    <t>0611836909100</t>
  </si>
  <si>
    <t>TAG Nemesia Nesia Tropical 100/100 Pixie Tag</t>
  </si>
  <si>
    <t>0611836910100</t>
  </si>
  <si>
    <t>TAG Nemesia Nesia Tutti Frutti 100/100 Pixie Tag</t>
  </si>
  <si>
    <t>0611836911100</t>
  </si>
  <si>
    <t>TAG Nemesia Nessie Plus Berry 100/100 Pixie Tag</t>
  </si>
  <si>
    <t>0611863315050</t>
  </si>
  <si>
    <t>TAG Nemesia Nessie Plus Deep Red 50/50 Petite Portrait FUL</t>
  </si>
  <si>
    <t>0611836912100</t>
  </si>
  <si>
    <t>TAG Nemesia Nessie Plus Orange 100/100 Pixie Tag</t>
  </si>
  <si>
    <t>0611863316050</t>
  </si>
  <si>
    <t>TAG Nemesia Nessie Plus Purple 50/50 Petite Portrait FUL</t>
  </si>
  <si>
    <t>0611836913100</t>
  </si>
  <si>
    <t>TAG Nemesia Nessie Plus Raspberry 100/100 Pixie Tag</t>
  </si>
  <si>
    <t>0611836914100</t>
  </si>
  <si>
    <t>TAG Nemesia Nessie Plus Red 100/100 Pixie Tag</t>
  </si>
  <si>
    <t>0611836915100</t>
  </si>
  <si>
    <t>TAG Nemesia Nessie Plus Soft Pink 100/100 Pixie Tag</t>
  </si>
  <si>
    <t>0611836916100</t>
  </si>
  <si>
    <t>TAG Nemesia Nessie Plus White 100/100 Pixie Tag</t>
  </si>
  <si>
    <t>0611863317050</t>
  </si>
  <si>
    <t>TAG Nemesia Nessie Plus Yellow 50/50 Petite Portrait FUL</t>
  </si>
  <si>
    <t>0611836917100</t>
  </si>
  <si>
    <t>TAG Nemesia Nessie Up Series 100/100 Pixie Tag</t>
  </si>
  <si>
    <t>0611863318050</t>
  </si>
  <si>
    <t>TAG Nemesia Penhow Cherry Blue 50/50 Petite Portrait FUL</t>
  </si>
  <si>
    <t>0611863319050</t>
  </si>
  <si>
    <t>TAG Nemesia Pinkberry 50/50 Petite Portrait FUL</t>
  </si>
  <si>
    <t>0611836918100</t>
  </si>
  <si>
    <t>TAG Nemesia Poetry Blue 100/100 Pixie Tag</t>
  </si>
  <si>
    <t>0611836919100</t>
  </si>
  <si>
    <t>TAG Nemesia Poetry Series 100/100 Pixie Tag</t>
  </si>
  <si>
    <t>0611836921100</t>
  </si>
  <si>
    <t>TAG Nemesia Pretty Please Blue Bicolor 100/100 Pixie Tag SF</t>
  </si>
  <si>
    <t>0611836922100</t>
  </si>
  <si>
    <t>TAG Nemesia Pretty Please Pink Bicolor 100/100 Pixie Tag SF</t>
  </si>
  <si>
    <t>0611863320050</t>
  </si>
  <si>
    <t>TAG Nemesia Raspberry Lemonade 50/50 Petite Portrait FUL</t>
  </si>
  <si>
    <t>0611836923100</t>
  </si>
  <si>
    <t>TAG Nemesia Seventh Heaven Mix 100/100 Pixie Tag SF</t>
  </si>
  <si>
    <t>0611863321050</t>
  </si>
  <si>
    <t>TAG Nemesia Strawberry 50/50 Petite Portrait FUL</t>
  </si>
  <si>
    <t>0611863322050</t>
  </si>
  <si>
    <t>TAG Nemesia Sugarberry 50/50 Petite Portrait FUL</t>
  </si>
  <si>
    <t>0611836926100</t>
  </si>
  <si>
    <t>TAG Nemesia Sundrops Mix 100/100 Pixie Tag</t>
  </si>
  <si>
    <t>0611836928025</t>
  </si>
  <si>
    <t>TAG Nepeta Aroma Violet X Faassenii 25/25 Portrait Tag</t>
  </si>
  <si>
    <t>0611836930025</t>
  </si>
  <si>
    <t>TAG Nepeta Blue Dragon Yunnanensis 25/25 Portrait Tag</t>
  </si>
  <si>
    <t>0611836931025</t>
  </si>
  <si>
    <t>TAG Nepeta Blue Dreams Subsessilis 25/25 Portrait Tag</t>
  </si>
  <si>
    <t>0611836932025</t>
  </si>
  <si>
    <t>TAG Nepeta Blue Wonder X Faassenii 25/25 Portrait Tag</t>
  </si>
  <si>
    <t>0611836933100</t>
  </si>
  <si>
    <t>TAG Nepeta Catmint GENERIC 100/100 Pixie Tag</t>
  </si>
  <si>
    <t>0611836934100</t>
  </si>
  <si>
    <t>TAG Nepeta Catnip 100/100 Pixie Tag</t>
  </si>
  <si>
    <t>0611836935025</t>
  </si>
  <si>
    <t>TAG Nepeta Catnip 25/25 Portrait Tag</t>
  </si>
  <si>
    <t>0611884334025</t>
  </si>
  <si>
    <t>TAG Nepeta Chartreuse On The Loose 25/25 Portrait Tag</t>
  </si>
  <si>
    <t>0611836936025</t>
  </si>
  <si>
    <t>TAG Nepeta Dropmore X Faassenii 25/25 Portrait Tag</t>
  </si>
  <si>
    <t>0611863323100</t>
  </si>
  <si>
    <t>TAG Nepeta Junior Walker 100/100 Pixie Tag FUL</t>
  </si>
  <si>
    <t>0611836937025</t>
  </si>
  <si>
    <t>TAG Nepeta Junior Walker X Faassenii 25/25 Portrait Tag</t>
  </si>
  <si>
    <t>0611836938025</t>
  </si>
  <si>
    <t>TAG Nepeta Kit Cat Kit Kat 25/25 Portrait Tag</t>
  </si>
  <si>
    <t>0611836939100</t>
  </si>
  <si>
    <t>TAG Nepeta Mussinii 100/100 Pixie Tag</t>
  </si>
  <si>
    <t>0611836940025</t>
  </si>
  <si>
    <t>TAG Nepeta Picture Purrfect 25/25 Portrait Tag</t>
  </si>
  <si>
    <t>0611836941025</t>
  </si>
  <si>
    <t>TAG Nepeta Pink Cat Nervosa 25/25 Portrait Tag</t>
  </si>
  <si>
    <t>0611836943025</t>
  </si>
  <si>
    <t>TAG Nepeta Prelude Blue 25/25 Portrait Tag</t>
  </si>
  <si>
    <t>0611836944025</t>
  </si>
  <si>
    <t>TAG Nepeta Prelude Purple Subsessilis 25/25 Portrait Tag</t>
  </si>
  <si>
    <t>0611836945025</t>
  </si>
  <si>
    <t>TAG Nepeta Purple Haze 25/25 Portrait Tag</t>
  </si>
  <si>
    <t>0611836946025</t>
  </si>
  <si>
    <t>TAG Nepeta Six Hills Giant 25/25 Portrait Tag</t>
  </si>
  <si>
    <t>0611863324100</t>
  </si>
  <si>
    <t>TAG Nepeta Walker's Low 100/100 Pixie Tag FUL</t>
  </si>
  <si>
    <t>0611836947025</t>
  </si>
  <si>
    <t>TAG Nepeta Walker's Low 25/25 Portrait Tag</t>
  </si>
  <si>
    <t>0611863325050</t>
  </si>
  <si>
    <t>TAG Nepeta Walker's Low 50/50 Petite Portrait FUL</t>
  </si>
  <si>
    <t>0611836948025</t>
  </si>
  <si>
    <t>TAG Nepeta Whispurr Blue X Faassenii 25/25 Portrait Tag</t>
  </si>
  <si>
    <t>0611836949025</t>
  </si>
  <si>
    <t>TAG Nepeta Whispurr Pink 25/25 Portrait Tag</t>
  </si>
  <si>
    <t>0611836950025</t>
  </si>
  <si>
    <t>TAG Nepeta X Faassenii 25/25 Portrait Tag</t>
  </si>
  <si>
    <t>0611836953100</t>
  </si>
  <si>
    <t>TAG Nicotiana Avalon Mix 100/100 Pixie Tag</t>
  </si>
  <si>
    <t>0611836954100</t>
  </si>
  <si>
    <t>TAG Nicotiana GENERIC 100/100 Pixie Tag</t>
  </si>
  <si>
    <t>0611836955100</t>
  </si>
  <si>
    <t>TAG Nicotiana Only The Lonely 100/100 Pixie Tag</t>
  </si>
  <si>
    <t>0611836956100</t>
  </si>
  <si>
    <t>TAG Nicotiana Perfume Ball Mix 100/100 Pixie Tag SF</t>
  </si>
  <si>
    <t>0611836957100</t>
  </si>
  <si>
    <t>TAG Nicotiana Perfume Deep Purple 100/100 Pixie Tag SF</t>
  </si>
  <si>
    <t>0611836958100</t>
  </si>
  <si>
    <t>TAG Nicotiana Perfume Red 100/100 Pixie Tag SF</t>
  </si>
  <si>
    <t>0611836959100</t>
  </si>
  <si>
    <t>TAG Nicotiana Perfume Series 100/100 Pixie Tag SF</t>
  </si>
  <si>
    <t>0611836960100</t>
  </si>
  <si>
    <t>TAG Nicotiana Saratoga Appleblossom 100/100 Pixie Tag SF</t>
  </si>
  <si>
    <t>0611836961100</t>
  </si>
  <si>
    <t>TAG Nicotiana Saratoga Lime 100/100 Pixie Tag SF</t>
  </si>
  <si>
    <t>0611836962100</t>
  </si>
  <si>
    <t>TAG Nicotiana Saratoga Mix 100/100 Pixie Tag SF</t>
  </si>
  <si>
    <t>0611836963100</t>
  </si>
  <si>
    <t>TAG Nicotiana Saratoga Purple Bicolor 100/100 Pixie Tag SF</t>
  </si>
  <si>
    <t>0611836964100</t>
  </si>
  <si>
    <t>TAG Nicotiana Saratoga Red 100/100 Pixie Tag SF</t>
  </si>
  <si>
    <t>0611836965100</t>
  </si>
  <si>
    <t>TAG Nicotiana Saratoga Rose 100/100 Pixie Tag SF</t>
  </si>
  <si>
    <t>0611836966100</t>
  </si>
  <si>
    <t>TAG Nicotiana Saratoga White 100/100 Pixie Tag SF</t>
  </si>
  <si>
    <t>0611836967100</t>
  </si>
  <si>
    <t>TAG Nicotiana Starmaker Appleblossom 100/100 Pixie Tag</t>
  </si>
  <si>
    <t>0611836968100</t>
  </si>
  <si>
    <t>TAG Nicotiana Starmaker Bright Red 100/100 Pixie Tag</t>
  </si>
  <si>
    <t>0611836969100</t>
  </si>
  <si>
    <t>TAG Nicotiana Starmaker Deep Lime 100/100 Pixie Tag</t>
  </si>
  <si>
    <t>0611836970100</t>
  </si>
  <si>
    <t>TAG Nicotiana Starmaker Lime Purple Bicolor 100/100 Pixie Tag</t>
  </si>
  <si>
    <t>0611836971100</t>
  </si>
  <si>
    <t>TAG Nicotiana Starmaker Series 100/100 Pixie Tag</t>
  </si>
  <si>
    <t>0611836972100</t>
  </si>
  <si>
    <t>TAG Nicotiana Starmaker White 100/100 Pixie Tag</t>
  </si>
  <si>
    <t>0611836973100</t>
  </si>
  <si>
    <t>TAG Nicotiana Sylvestris 100/100 Pixie Tag</t>
  </si>
  <si>
    <t>0611836975100</t>
  </si>
  <si>
    <t>TAG Nierembergia Robe Purple 100/100 Pixie Tag</t>
  </si>
  <si>
    <t>0611836976100</t>
  </si>
  <si>
    <t>TAG Nierembergia Robe White 100/100 Pixie Tag</t>
  </si>
  <si>
    <t>0611836977100</t>
  </si>
  <si>
    <t>TAG Nigella Love In A Mist GENERIC 100/100 Pixie Tag</t>
  </si>
  <si>
    <t>0611836978100</t>
  </si>
  <si>
    <t>TAG Nipponanthemum Montauk Dsy Nipponicum 100/100 Pixie Tag</t>
  </si>
  <si>
    <t>0611836979025</t>
  </si>
  <si>
    <t>TAG Nipponanthemum Nippon Daisy Nipponicum 25/25 Portrait Tag</t>
  </si>
  <si>
    <t>0611857039025</t>
  </si>
  <si>
    <t>TAG Oenothera Evening Sun 25/25 Portrait Tag</t>
  </si>
  <si>
    <t>0611837028025</t>
  </si>
  <si>
    <t>TAG Oenothera Glowing Magenta Kunthiana 25/25 Portrait Tag</t>
  </si>
  <si>
    <t>0611837029100</t>
  </si>
  <si>
    <t>TAG Oenothera Missouriensis 100/100 Pixie Tag</t>
  </si>
  <si>
    <t>0611837030025</t>
  </si>
  <si>
    <t>TAG Oenothera Missouriensis 25/25 Portrait Tag</t>
  </si>
  <si>
    <t>0611837031025</t>
  </si>
  <si>
    <t>TAG Oenothera Pink Speciosa 25/25 Portrait Tag</t>
  </si>
  <si>
    <t>0611863326100</t>
  </si>
  <si>
    <t>TAG Oenothera Siskiyou 100/100 Pixie Tag FUL</t>
  </si>
  <si>
    <t>0611837032100</t>
  </si>
  <si>
    <t>TAG Oenothera Siskiyou Berlandieri 100/100 Pixie Tag</t>
  </si>
  <si>
    <t>0611837033025</t>
  </si>
  <si>
    <t>TAG Oenothera Siskiyou Berlandieri 25/25 Portrait Tag</t>
  </si>
  <si>
    <t>0611863327050</t>
  </si>
  <si>
    <t>TAG Oenothera Siskiyou Limited Availability 50/50 Petite Portrait</t>
  </si>
  <si>
    <t>0611837034025</t>
  </si>
  <si>
    <t>TAG Oenothera Sunset Boulevard 25/25 Portrait Tag</t>
  </si>
  <si>
    <t>0611863328100</t>
  </si>
  <si>
    <t>TAG Oenothera Twilight 100/100 Pixie Tag FUL</t>
  </si>
  <si>
    <t>0611863329050</t>
  </si>
  <si>
    <t>TAG Oenothera Twilight Limited Availability 50/50 Petite Portrait</t>
  </si>
  <si>
    <t>0611837035025</t>
  </si>
  <si>
    <t>TAG Oenothera Youngii Fruticosa 25/25 Portrait Tag</t>
  </si>
  <si>
    <t>0611830436100</t>
  </si>
  <si>
    <t>TAG Okra Annie Oakley II 100/100 Pixie Tag</t>
  </si>
  <si>
    <t>0611830437100</t>
  </si>
  <si>
    <t>TAG Okra Cajun Delight 100/100 Pixie Tag</t>
  </si>
  <si>
    <t>0611830438100</t>
  </si>
  <si>
    <t>TAG Okra Candle Fire 100/100 Pixie Tag</t>
  </si>
  <si>
    <t>0611830439100</t>
  </si>
  <si>
    <t>TAG Okra Clemson Spineless 100/100 Pixie Tag</t>
  </si>
  <si>
    <t>0611830440100</t>
  </si>
  <si>
    <t>TAG Okra French Quarter Pink 100/100 Pixie Tag</t>
  </si>
  <si>
    <t>0611830441100</t>
  </si>
  <si>
    <t>TAG Okra French Quarter Red 100/100 Pixie Tag</t>
  </si>
  <si>
    <t>0611830444100</t>
  </si>
  <si>
    <t>TAG Okra GENERIC 100/100 Pixie Tag</t>
  </si>
  <si>
    <t>0611830442100</t>
  </si>
  <si>
    <t>TAG Okra Green Fingers 100/100 Pixie Tag SF</t>
  </si>
  <si>
    <t>0611830443100</t>
  </si>
  <si>
    <t>TAG Okra Jambalaya 100/100 Pixie Tag</t>
  </si>
  <si>
    <t>0611830635100</t>
  </si>
  <si>
    <t>TAG Onion Copra 100/100 Pixie Tag</t>
  </si>
  <si>
    <t>0611830641100</t>
  </si>
  <si>
    <t>TAG Onion Georgia Sweet 100/100 Pixie Tag</t>
  </si>
  <si>
    <t>0611830643100</t>
  </si>
  <si>
    <t>TAG Onion Kelsae Sweet Giant 100/100 Pixie Tag</t>
  </si>
  <si>
    <t>0611830651100</t>
  </si>
  <si>
    <t>TAG Onion Red Burgermaster 100/100 Pixie Tag</t>
  </si>
  <si>
    <t>0611830652100</t>
  </si>
  <si>
    <t>TAG Onion Red GENERIC 100/100 Pixie Tag</t>
  </si>
  <si>
    <t>0611830653100</t>
  </si>
  <si>
    <t>TAG Onion Red Nugent 100/100 Pixie Tag</t>
  </si>
  <si>
    <t>0611830654100</t>
  </si>
  <si>
    <t>TAG Onion Ruby 100/100 Pixie Tag</t>
  </si>
  <si>
    <t>0611830656100</t>
  </si>
  <si>
    <t>TAG Onion Super Star 100/100 Pixie Tag</t>
  </si>
  <si>
    <t>0611830657100</t>
  </si>
  <si>
    <t>TAG Onion Texas Sweet 100/100 Pixie Tag</t>
  </si>
  <si>
    <t>0611830658100</t>
  </si>
  <si>
    <t>TAG Onion Vidalia 100/100 Pixie Tag</t>
  </si>
  <si>
    <t>0611830659100</t>
  </si>
  <si>
    <t>TAG Onion Walla Walla 100/100 Pixie Tag</t>
  </si>
  <si>
    <t>0611830660100</t>
  </si>
  <si>
    <t>TAG Onion White GENERIC 100/100 Pixie Tag</t>
  </si>
  <si>
    <t>0611830661100</t>
  </si>
  <si>
    <t>TAG Onion White Sweet Spanish 100/100 Pixie Tag</t>
  </si>
  <si>
    <t>0611830662100</t>
  </si>
  <si>
    <t>TAG Onion Yellow GENERIC 100/100 Pixie Tag</t>
  </si>
  <si>
    <t>0611830663100</t>
  </si>
  <si>
    <t>TAG Onion Yellow Sweet Spanish 100/100 Pixie Tag</t>
  </si>
  <si>
    <t>0611830664100</t>
  </si>
  <si>
    <t>TAG Onion Yukon 100/100 Pixie Tag</t>
  </si>
  <si>
    <t>0611837036100</t>
  </si>
  <si>
    <t>TAG Ophiopogon Mondo GENERIC 100/100 Pixie Tag</t>
  </si>
  <si>
    <t>0611837037100</t>
  </si>
  <si>
    <t>TAG Oplismenus Basket 100/100 Pixie Tag</t>
  </si>
  <si>
    <t>0611837038100</t>
  </si>
  <si>
    <t>TAG Orchid GENERIC 100/100 Pixie Tag</t>
  </si>
  <si>
    <t>0611837042025</t>
  </si>
  <si>
    <t>TAG Oregano Aureum Golden 25/25 Portrait Tag</t>
  </si>
  <si>
    <t>0611862544050</t>
  </si>
  <si>
    <t>TAG Oregano Aureum Golden 50/50 Petite Portrait FUL</t>
  </si>
  <si>
    <t>0611837044100</t>
  </si>
  <si>
    <t>TAG Oregano Cleopatra Syrian 100/100 Pixie Tag</t>
  </si>
  <si>
    <t>0611837045100</t>
  </si>
  <si>
    <t>TAG Oregano Compact 100/100 Pixie Tag</t>
  </si>
  <si>
    <t>0611884335025</t>
  </si>
  <si>
    <t>TAG Oregano Compact 25/25 Portrait Tag</t>
  </si>
  <si>
    <t>0611862545050</t>
  </si>
  <si>
    <t>TAG Oregano Compact 50/50 Petite Portrait FUL</t>
  </si>
  <si>
    <t>0611837039100</t>
  </si>
  <si>
    <t>TAG Oregano Cuban 100/100 Pixie Tag</t>
  </si>
  <si>
    <t>0611837058100</t>
  </si>
  <si>
    <t>TAG Oregano GENERIC 100/100 Pixie Tag</t>
  </si>
  <si>
    <t>0611837059200</t>
  </si>
  <si>
    <t>TAG Oregano GENERIC 200/200 Thriftee Tag</t>
  </si>
  <si>
    <t>0611837060025</t>
  </si>
  <si>
    <t>TAG Oregano GENERIC 25/25 Portrait Tag</t>
  </si>
  <si>
    <t>0611856977025</t>
  </si>
  <si>
    <t>TAG Oregano Gilt Trip 25/25 Portrait Tag</t>
  </si>
  <si>
    <t>0611837047100</t>
  </si>
  <si>
    <t>TAG Oregano Golden 100/100 Pixie Tag</t>
  </si>
  <si>
    <t>0611862547100</t>
  </si>
  <si>
    <t>TAG Oregano Greek 100/100 Pixie Tag FUL</t>
  </si>
  <si>
    <t>0611837049025</t>
  </si>
  <si>
    <t>TAG Oregano Greek 25/25 Portrait Tag</t>
  </si>
  <si>
    <t>0611862546050</t>
  </si>
  <si>
    <t>TAG Oregano Greek 50/50 Petite Portrait FUL</t>
  </si>
  <si>
    <t>0611862548100</t>
  </si>
  <si>
    <t>TAG Oregano Hot And Spicy 100/100 Pixie Tag FUL</t>
  </si>
  <si>
    <t>0611837051025</t>
  </si>
  <si>
    <t>TAG Oregano Hot And Spicy 25/25 Portrait Tag</t>
  </si>
  <si>
    <t>0611862549100</t>
  </si>
  <si>
    <t>TAG Oregano Italian 100/100 Pixie Tag FUL</t>
  </si>
  <si>
    <t>0611837053025</t>
  </si>
  <si>
    <t>TAG Oregano Italian 25/25 Portrait Tag</t>
  </si>
  <si>
    <t>0611862551100</t>
  </si>
  <si>
    <t>TAG Oregano Kent Beauty 100/100 Pixie Tag FUL</t>
  </si>
  <si>
    <t>0611837055025</t>
  </si>
  <si>
    <t>TAG Oregano Kent Beauty 25/25 Portrait Tag</t>
  </si>
  <si>
    <t>0611862550050</t>
  </si>
  <si>
    <t>TAG Oregano Kent Beauty 50/50 Petite Portrait FUL</t>
  </si>
  <si>
    <t>0611837040100</t>
  </si>
  <si>
    <t>TAG Oregano Mexican 100/100 Pixie Tag</t>
  </si>
  <si>
    <t>0611837061100</t>
  </si>
  <si>
    <t>TAG Oregano Supreme 100/100 Pixie Tag</t>
  </si>
  <si>
    <t>0611856978100</t>
  </si>
  <si>
    <t>TAG Oregano Variegated 100/100 Pixie Tag</t>
  </si>
  <si>
    <t>0611884336025</t>
  </si>
  <si>
    <t>TAG Oregano Variegated 25/25 Portrait Tag</t>
  </si>
  <si>
    <t>0611862552050</t>
  </si>
  <si>
    <t>TAG Oregano Variegated 50/50 Petite Portrait FUL</t>
  </si>
  <si>
    <t>0611830649025</t>
  </si>
  <si>
    <t>TAG Ornamental Allium One Mix 25/25 Portrait Tag</t>
  </si>
  <si>
    <t>0611830650025</t>
  </si>
  <si>
    <t>TAG Ornamental Allium One Pink One 25/25 Portrait Tag</t>
  </si>
  <si>
    <t>0611830647025</t>
  </si>
  <si>
    <t>TAG Ornamental Allium One Purple One 25/25 Portrait Tag</t>
  </si>
  <si>
    <t>0611830648025</t>
  </si>
  <si>
    <t>TAG Ornamental Allium One White One 25/25 Portrait Tag</t>
  </si>
  <si>
    <t>0611831818100</t>
  </si>
  <si>
    <t>TAG Ornamental Broccoli GENERIC 100/100 Pixie Tag</t>
  </si>
  <si>
    <t>0611831868100</t>
  </si>
  <si>
    <t>TAG Ornamental Cabbage GENERIC 100/100 Pixie Tag</t>
  </si>
  <si>
    <t>0611840738100</t>
  </si>
  <si>
    <t>TAG Ornamental Corn Field Of Dreams 100/100 Pixie Tag</t>
  </si>
  <si>
    <t>0611840742100</t>
  </si>
  <si>
    <t>TAG Ornamental Corn Pink Zebra 100/100 Pixie Tag</t>
  </si>
  <si>
    <t>0611833571100</t>
  </si>
  <si>
    <t>TAG Ornamental Gourds Benary's 100/100 Pixie Tag</t>
  </si>
  <si>
    <t>0611837066100</t>
  </si>
  <si>
    <t>TAG Ornamental Grass GENERIC 100/100 Pixie Tag</t>
  </si>
  <si>
    <t>0611837067025</t>
  </si>
  <si>
    <t>TAG Ornamental Grass GENERIC 25/25 Portrait Tag</t>
  </si>
  <si>
    <t>0611831832100</t>
  </si>
  <si>
    <t>TAG Ornamental Kale Chidori Red 100/100 Pixie Tag</t>
  </si>
  <si>
    <t>0611831833100</t>
  </si>
  <si>
    <t>TAG Ornamental Kale Chidori White 100/100 Pixie Tag</t>
  </si>
  <si>
    <t>0611831837100</t>
  </si>
  <si>
    <t>TAG Ornamental Kale Color Up Mix 100/100 Pixie Tag</t>
  </si>
  <si>
    <t>0611831838100</t>
  </si>
  <si>
    <t>TAG Ornamental Kale Color Up Purple 100/100 Pixie Tag</t>
  </si>
  <si>
    <t>0611831839100</t>
  </si>
  <si>
    <t>TAG Ornamental Kale Color Up Red 100/100 Pixie Tag</t>
  </si>
  <si>
    <t>0611831840100</t>
  </si>
  <si>
    <t>TAG Ornamental Kale Color Up White 100/100 Pixie Tag</t>
  </si>
  <si>
    <t>0611831843100</t>
  </si>
  <si>
    <t>TAG Ornamental Kale Coral Prince 100/100 Pixie Tag</t>
  </si>
  <si>
    <t>0611831844100</t>
  </si>
  <si>
    <t>TAG Ornamental Kale Coral Queen 100/100 Pixie Tag</t>
  </si>
  <si>
    <t>0611857009100</t>
  </si>
  <si>
    <t>TAG Ornamental Kale Crystal Deep Red 100/100 Pixie Tag</t>
  </si>
  <si>
    <t>0611857010100</t>
  </si>
  <si>
    <t>TAG Ornamental Kale Crystal Pink 100/100 Pixie Tag</t>
  </si>
  <si>
    <t>0611831845100</t>
  </si>
  <si>
    <t>TAG Ornamental Kale Crystal Red 100/100 Pixie Tag</t>
  </si>
  <si>
    <t>0611831846100</t>
  </si>
  <si>
    <t>TAG Ornamental Kale Crystal Snow 100/100 Pixie Tag</t>
  </si>
  <si>
    <t>0611831863100</t>
  </si>
  <si>
    <t>TAG Ornamental Kale Emperor Red 100/100 Pixie Tag</t>
  </si>
  <si>
    <t>0611831869100</t>
  </si>
  <si>
    <t>TAG Ornamental Kale GENERIC 100/100 Pixie Tag</t>
  </si>
  <si>
    <t>0611831872100</t>
  </si>
  <si>
    <t>TAG Ornamental Kale Glamour Red 100/100 Pixie Tag</t>
  </si>
  <si>
    <t>0611857011100</t>
  </si>
  <si>
    <t>TAG Ornamental Kale Kamome Bright Pink 100/100 Pixie Tag</t>
  </si>
  <si>
    <t>0611857012100</t>
  </si>
  <si>
    <t>TAG Ornamental Kale Kamome Bright White 100/100 Pixie Tag</t>
  </si>
  <si>
    <t>0611831898100</t>
  </si>
  <si>
    <t>TAG Ornamental Kale Kamome Pink 100/100 Pixie Tag</t>
  </si>
  <si>
    <t>0611831899100</t>
  </si>
  <si>
    <t>TAG Ornamental Kale Kamome Red 100/100 Pixie Tag</t>
  </si>
  <si>
    <t>0611831900100</t>
  </si>
  <si>
    <t>TAG Ornamental Kale Kamome White 100/100 Pixie Tag</t>
  </si>
  <si>
    <t>0611831913100</t>
  </si>
  <si>
    <t>TAG Ornamental Kale Nagoya Mix 100/100 Pixie Tag</t>
  </si>
  <si>
    <t>0611831914100</t>
  </si>
  <si>
    <t>TAG Ornamental Kale Nagoya Red 100/100 Pixie Tag</t>
  </si>
  <si>
    <t>0611831915100</t>
  </si>
  <si>
    <t>TAG Ornamental Kale Nagoya Rose 100/100 Pixie Tag</t>
  </si>
  <si>
    <t>0611831916100</t>
  </si>
  <si>
    <t>TAG Ornamental Kale Nagoya White 100/100 Pixie Tag</t>
  </si>
  <si>
    <t>0611857013100</t>
  </si>
  <si>
    <t>TAG Ornamental Kale Osaka IQ Pink Bicolor 100/100 Pixie Tag</t>
  </si>
  <si>
    <t>0611831918100</t>
  </si>
  <si>
    <t>TAG Ornamental Kale Osaka IQ Red 100/100 Pixie Tag</t>
  </si>
  <si>
    <t>0611831919100</t>
  </si>
  <si>
    <t>TAG Ornamental Kale Osaka Mix 100/100 Pixie Tag</t>
  </si>
  <si>
    <t>0611831920100</t>
  </si>
  <si>
    <t>TAG Ornamental Kale Osaka Pink 100/100 Pixie Tag</t>
  </si>
  <si>
    <t>0611831921100</t>
  </si>
  <si>
    <t>TAG Ornamental Kale Osaka Red 100/100 Pixie Tag</t>
  </si>
  <si>
    <t>0611831922100</t>
  </si>
  <si>
    <t>TAG Ornamental Kale Osaka White 100/100 Pixie Tag</t>
  </si>
  <si>
    <t>0611831925100</t>
  </si>
  <si>
    <t>TAG Ornamental Kale Peacock Red 100/100 Pixie Tag</t>
  </si>
  <si>
    <t>0611831926100</t>
  </si>
  <si>
    <t>TAG Ornamental Kale Peacock White 100/100 Pixie Tag</t>
  </si>
  <si>
    <t>0611831928100</t>
  </si>
  <si>
    <t>TAG Ornamental Kale Pigeon Purple 100/100 Pixie Tag</t>
  </si>
  <si>
    <t>0611831929100</t>
  </si>
  <si>
    <t>TAG Ornamental Kale Pigeon Red 100/100 Pixie Tag</t>
  </si>
  <si>
    <t>0611831930100</t>
  </si>
  <si>
    <t>TAG Ornamental Kale Pigeon Victoria 100/100 Pixie Tag</t>
  </si>
  <si>
    <t>0611831931100</t>
  </si>
  <si>
    <t>TAG Ornamental Kale Pigeon White 100/100 Pixie Tag</t>
  </si>
  <si>
    <t>0611831933100</t>
  </si>
  <si>
    <t>TAG Ornamental Kale Pink GENERIC 100/100 Pixie Tag</t>
  </si>
  <si>
    <t>0611831943100</t>
  </si>
  <si>
    <t>TAG Ornamental Kale Red GENERIC 100/100 Pixie Tag</t>
  </si>
  <si>
    <t>0611831955100</t>
  </si>
  <si>
    <t>TAG Ornamental Kale Scarlet Kale GENERIC 100/100 Pixie Tag</t>
  </si>
  <si>
    <t>0611831963100</t>
  </si>
  <si>
    <t>TAG Ornamental Kale Songbird Pink 100/100 Pixie Tag</t>
  </si>
  <si>
    <t>0611831964100</t>
  </si>
  <si>
    <t>TAG Ornamental Kale Songbird Red 100/100 Pixie Tag</t>
  </si>
  <si>
    <t>0611831965100</t>
  </si>
  <si>
    <t>TAG Ornamental Kale Songbird White 100/100 Pixie Tag</t>
  </si>
  <si>
    <t>0611831976100</t>
  </si>
  <si>
    <t>TAG Ornamental Kale Tokyo Red 100/100 Pixie Tag</t>
  </si>
  <si>
    <t>0611831984100</t>
  </si>
  <si>
    <t>TAG Ornamental Kale White Ornamental Kale GENERIC 100/100 Pixie Tag</t>
  </si>
  <si>
    <t>0611831987100</t>
  </si>
  <si>
    <t>TAG Ornamental Kale Yokohama Mix 100/100 Pixie Tag</t>
  </si>
  <si>
    <t>0611831988100</t>
  </si>
  <si>
    <t>TAG Ornamental Kale Yokohama Red 100/100 Pixie Tag</t>
  </si>
  <si>
    <t>0611831989100</t>
  </si>
  <si>
    <t>TAG Ornamental Kale Yokohama White 100/100 Pixie Tag</t>
  </si>
  <si>
    <t>0611837056025</t>
  </si>
  <si>
    <t>TAG Ornamental Oregano Kirigami 25/25 Portrait Tag</t>
  </si>
  <si>
    <t>0611884356100</t>
  </si>
  <si>
    <t>TAG Ornamental Pepper Generic 100/100 Pixie Tag</t>
  </si>
  <si>
    <t>0611832491100</t>
  </si>
  <si>
    <t>TAG Ornamental Pepper GENERIC 100/100 Pixie Tag</t>
  </si>
  <si>
    <t>0611837068100</t>
  </si>
  <si>
    <t>TAG Orostachys Iwarenge 100/100 Pixie Tag</t>
  </si>
  <si>
    <t>0611837072100</t>
  </si>
  <si>
    <t>TAG Osteospermum Akila Grand Canyon Mix 100/100 Pixie Tag</t>
  </si>
  <si>
    <t>0611837073100</t>
  </si>
  <si>
    <t>TAG Osteospermum Akila Lavender Shades 100/100 Pixie Tag</t>
  </si>
  <si>
    <t>0611837074100</t>
  </si>
  <si>
    <t>TAG Osteospermum Akila Mix 100/100 Pixie Tag</t>
  </si>
  <si>
    <t>0611837075100</t>
  </si>
  <si>
    <t>TAG Osteospermum Akila Purple 100/100 Pixie Tag</t>
  </si>
  <si>
    <t>0611837076100</t>
  </si>
  <si>
    <t>TAG Osteospermum Akila Sunset Shades 100/100 Pixie Tag</t>
  </si>
  <si>
    <t>0611837077100</t>
  </si>
  <si>
    <t>TAG Osteospermum Akila White 100/100 Pixie Tag</t>
  </si>
  <si>
    <t>0611837078100</t>
  </si>
  <si>
    <t>TAG Osteospermum Akila White Purple Eye 100/100 Pixie Tag</t>
  </si>
  <si>
    <t>0611837079100</t>
  </si>
  <si>
    <t>TAG Osteospermum Asti Lavender Shades 100/100 Pixie Tag SF</t>
  </si>
  <si>
    <t>0611837080100</t>
  </si>
  <si>
    <t>TAG Osteospermum Asti Mix 100/100 Pixie Tag SF</t>
  </si>
  <si>
    <t>0611837081100</t>
  </si>
  <si>
    <t>TAG Osteospermum Asti Purple 100/100 Pixie Tag SF</t>
  </si>
  <si>
    <t>0611837084100</t>
  </si>
  <si>
    <t>TAG Osteospermum Asti White 100/100 Pixie Tag SF</t>
  </si>
  <si>
    <t>0611837087100</t>
  </si>
  <si>
    <t>TAG Osteospermum Astra Series 100/100 Pixie Tag</t>
  </si>
  <si>
    <t>0611837090100</t>
  </si>
  <si>
    <t>TAG Osteospermum Gelato Series 100/100 Pixie Tag</t>
  </si>
  <si>
    <t>0611837091100</t>
  </si>
  <si>
    <t>TAG Osteospermum GENERIC 100/100 Pixie Tag</t>
  </si>
  <si>
    <t>0611837092025</t>
  </si>
  <si>
    <t>TAG Osteospermum GENERIC 25/25 Portrait Tag</t>
  </si>
  <si>
    <t>0611863330050</t>
  </si>
  <si>
    <t>TAG Osteospermum Margarita Bronze Bicolor 50/50 Petite Portrait DO FUL</t>
  </si>
  <si>
    <t>0611863331050</t>
  </si>
  <si>
    <t>TAG Osteospermum Margarita Bronze Flare 50/50 Petite Portrait DO FUL</t>
  </si>
  <si>
    <t>0611863332050</t>
  </si>
  <si>
    <t>TAG Osteospermum Margarita Cool Purple 50/50 Petite Portrait DO FUL</t>
  </si>
  <si>
    <t>0611863333050</t>
  </si>
  <si>
    <t>TAG Osteospermum Margarita Creme 50/50 Petite Portrait DO FUL</t>
  </si>
  <si>
    <t>0611863334050</t>
  </si>
  <si>
    <t>TAG Osteospermum Margarita Dark Lilac 50/50 Petite Portrait DO FUL</t>
  </si>
  <si>
    <t>0611863335050</t>
  </si>
  <si>
    <t>TAG Osteospermum Margarita Dark Pink 50/50 Petite Portrait DO FUL</t>
  </si>
  <si>
    <t>0611863336050</t>
  </si>
  <si>
    <t>TAG Osteospermum Margarita Eclipse 50/50 Petite Portrait DO FUL</t>
  </si>
  <si>
    <t>0611863337050</t>
  </si>
  <si>
    <t>TAG Osteospermum Margarita Kardinal 50/50 Petite Portrait DO FUL</t>
  </si>
  <si>
    <t>0611863339050</t>
  </si>
  <si>
    <t>TAG Osteospermum Margarita Lilac 50/50 Petite Portrait DO FUL</t>
  </si>
  <si>
    <t>0611863340050</t>
  </si>
  <si>
    <t>TAG Osteospermum Margarita Orange Flare 50/50 Petite Portrait DO FUL</t>
  </si>
  <si>
    <t>0611863341050</t>
  </si>
  <si>
    <t>TAG Osteospermum Margarita Pink Flare 50/50 Petite Portrait DO FUL</t>
  </si>
  <si>
    <t>0611863342050</t>
  </si>
  <si>
    <t>TAG Osteospermum Margarita Plus Lilac 50/50 Petite Portrait DO FUL</t>
  </si>
  <si>
    <t>0611863343050</t>
  </si>
  <si>
    <t>TAG Osteospermum Margarita Plus Pink 50/50 Petite Portrait DO FUL</t>
  </si>
  <si>
    <t>0611863344050</t>
  </si>
  <si>
    <t>TAG Osteospermum Margarita Plus Purple 50/50 Petite Portrait DO FUL</t>
  </si>
  <si>
    <t>0611863345050</t>
  </si>
  <si>
    <t>TAG Osteospermum Margarita Plus White 50/50 Petite Portrait DO FUL</t>
  </si>
  <si>
    <t>0611863346050</t>
  </si>
  <si>
    <t>TAG Osteospermum Margarita Plus Zebra Pink 50/50 Petite Portrait DO FUL</t>
  </si>
  <si>
    <t>0611863347050</t>
  </si>
  <si>
    <t>TAG Osteospermum Margarita Purple 50/50 Petite Portrait DO FUL</t>
  </si>
  <si>
    <t>0611863348050</t>
  </si>
  <si>
    <t>TAG Osteospermum Margarita Rioja Red 50/50 Petite Portrait DO FUL</t>
  </si>
  <si>
    <t>0611863349050</t>
  </si>
  <si>
    <t>TAG Osteospermum Margarita Soft Pink 50/50 Petite Portrait DO FUL</t>
  </si>
  <si>
    <t>0611863351050</t>
  </si>
  <si>
    <t>TAG Osteospermum Margarita White 50/50 Petite Portrait DO FUL</t>
  </si>
  <si>
    <t>0611863352050</t>
  </si>
  <si>
    <t>TAG Osteospermum Margarita Yellow Improved 50/50 Petite Portrait DO FUL</t>
  </si>
  <si>
    <t>0611837093100</t>
  </si>
  <si>
    <t>TAG Osteospermum Ostica Amber 100/100 Pixie Tag</t>
  </si>
  <si>
    <t>0611837094100</t>
  </si>
  <si>
    <t>TAG Osteospermum Ostica Amethyst 100/100 Pixie Tag</t>
  </si>
  <si>
    <t>0611837096100</t>
  </si>
  <si>
    <t>TAG Osteospermum Ostica Bronze 100/100 Pixie Tag</t>
  </si>
  <si>
    <t>0611837097100</t>
  </si>
  <si>
    <t>TAG Osteospermum Ostica Burgundy 100/100 Pixie Tag</t>
  </si>
  <si>
    <t>0611837098100</t>
  </si>
  <si>
    <t>TAG Osteospermum Ostica Glamour 100/100 Pixie Tag</t>
  </si>
  <si>
    <t>0611857040100</t>
  </si>
  <si>
    <t>TAG Osteospermum Ostica Mega Pink 100/100 Pixie Tag</t>
  </si>
  <si>
    <t>0611837099100</t>
  </si>
  <si>
    <t>TAG Osteospermum Ostica Midnight 100/100 Pixie Tag</t>
  </si>
  <si>
    <t>0611837101100</t>
  </si>
  <si>
    <t>TAG Osteospermum Ostica Pink 100/100 Pixie Tag</t>
  </si>
  <si>
    <t>0611837102100</t>
  </si>
  <si>
    <t>TAG Osteospermum Ostica Purple 100/100 Pixie Tag</t>
  </si>
  <si>
    <t>0611837103100</t>
  </si>
  <si>
    <t>TAG Osteospermum Ostica Purple Eye 100/100 Pixie Tag</t>
  </si>
  <si>
    <t>0611837104100</t>
  </si>
  <si>
    <t>TAG Osteospermum Ostica Series 100/100 Pixie Tag</t>
  </si>
  <si>
    <t>0611884337100</t>
  </si>
  <si>
    <t>TAG Osteospermum Osticade Aurora 100/100 Pixie Tag</t>
  </si>
  <si>
    <t>0611837105100</t>
  </si>
  <si>
    <t>TAG Osteospermum Osticade Daybreak 100/100 Pixie Tag</t>
  </si>
  <si>
    <t>0611837107100</t>
  </si>
  <si>
    <t>TAG Osteospermum Osticade Lemon 100/100 Pixie Tag</t>
  </si>
  <si>
    <t>0611837108100</t>
  </si>
  <si>
    <t>TAG Osteospermum Osticade Pink 100/100 Pixie Tag</t>
  </si>
  <si>
    <t>0611837109100</t>
  </si>
  <si>
    <t>TAG Osteospermum Osticade Pure White 100/100 Pixie Tag</t>
  </si>
  <si>
    <t>0611837110100</t>
  </si>
  <si>
    <t>TAG Osteospermum Osticade Purple 100/100 Pixie Tag</t>
  </si>
  <si>
    <t>0611884338100</t>
  </si>
  <si>
    <t>TAG Osteospermum Osticade Twilight Moon 100/100 Pixie Tag</t>
  </si>
  <si>
    <t>0611837112100</t>
  </si>
  <si>
    <t>TAG Osteospermum Osticade White Blush 100/100 Pixie Tag</t>
  </si>
  <si>
    <t>0611837113100</t>
  </si>
  <si>
    <t>TAG Osteospermum Osticade Yellow 100/100 Pixie Tag</t>
  </si>
  <si>
    <t>0611837114100</t>
  </si>
  <si>
    <t>TAG Osteospermum Passion Mix 100/100 Pixie Tag</t>
  </si>
  <si>
    <t>0611884339100</t>
  </si>
  <si>
    <t>TAG Osteospermum Summersmile Series 100/100 Pixie Tag</t>
  </si>
  <si>
    <t>0611863353050</t>
  </si>
  <si>
    <t>TAG Osteospermum Summertime Blue Sunrise 50/50 Petite Portrait FUL</t>
  </si>
  <si>
    <t>0611863354050</t>
  </si>
  <si>
    <t>TAG Osteospermum Summertime Kardinal 50/50 Petite Portrait FUL</t>
  </si>
  <si>
    <t>0611863355050</t>
  </si>
  <si>
    <t>TAG Osteospermum Tradewinds Bronze Improved 50/50 Petite Tag SF</t>
  </si>
  <si>
    <t>0611863356050</t>
  </si>
  <si>
    <t>TAG Osteospermum Tradewinds Cinnamon 50/50 Petite Portrait SF FUL</t>
  </si>
  <si>
    <t>0611863357050</t>
  </si>
  <si>
    <t>TAG Osteospermum Tradewinds Compact Rose 50/50 Petite Portrait SF FUL</t>
  </si>
  <si>
    <t>0611863358050</t>
  </si>
  <si>
    <t>TAG Osteospermum Tradewinds Deep Purple 50/50 Petite Portrait SF FUL</t>
  </si>
  <si>
    <t>0611863359050</t>
  </si>
  <si>
    <t>TAG Osteospermum Tradewinds Lemon Zest 50/50 Petite Portrait SF FUL</t>
  </si>
  <si>
    <t>0611863360050</t>
  </si>
  <si>
    <t>TAG Osteospermum Tradewinds Light Purple 50/50 Petite Portrait SF FUL</t>
  </si>
  <si>
    <t>0611863361050</t>
  </si>
  <si>
    <t>TAG Osteospermum Tradewinds Purple Bicolor 50/50 Petite Portrait SF FUL</t>
  </si>
  <si>
    <t>0611863362050</t>
  </si>
  <si>
    <t>TAG Osteospermum Tradewinds Rose 50/50 Petite Portrait SF FUL</t>
  </si>
  <si>
    <t>0611863363050</t>
  </si>
  <si>
    <t>TAG Osteospermum Tradewinds Sunset 50/50 Petite Portrait SF FUL</t>
  </si>
  <si>
    <t>0611863364050</t>
  </si>
  <si>
    <t>TAG Osteospermum Tradewinds Terracotta 50/50 Petite Portrait SF FUL</t>
  </si>
  <si>
    <t>0611863365050</t>
  </si>
  <si>
    <t>TAG Osteospermum Tradewinds Trailing Deep Purple 50/50 Petite Portrait SF FUL</t>
  </si>
  <si>
    <t>0611863366050</t>
  </si>
  <si>
    <t>TAG Osteospermum Tradewinds Trailing White 50/50 Petite Portrait SF FUL</t>
  </si>
  <si>
    <t>0611863367050</t>
  </si>
  <si>
    <t>TAG Osteospermum Tradewinds White 50/50 Petite Portrait SF FUL</t>
  </si>
  <si>
    <t>0611863368050</t>
  </si>
  <si>
    <t>TAG Osteospermum Tradewinds Yellow 50/50 Petite Portrait SF FUL</t>
  </si>
  <si>
    <t>0611837115100</t>
  </si>
  <si>
    <t>TAG Oxalis Burgundy 100/100 Pixie Tag</t>
  </si>
  <si>
    <t>0611837116100</t>
  </si>
  <si>
    <t>TAG Oxalis Green 100/100 Pixie Tag</t>
  </si>
  <si>
    <t>0611837117100</t>
  </si>
  <si>
    <t>TAG Oxalis Regnellii 100/100 Pixie Tag</t>
  </si>
  <si>
    <t>0611837118100</t>
  </si>
  <si>
    <t>TAG Oxalis Sunset Velvet 100/100 Pixie Tag</t>
  </si>
  <si>
    <t>0611837119100</t>
  </si>
  <si>
    <t>TAG Oxalis Triangularis 100/100 Pixie Tag</t>
  </si>
  <si>
    <t>0611884340100</t>
  </si>
  <si>
    <t>TAG Pachira Money Tree 100/100 Pixie Tag</t>
  </si>
  <si>
    <t>0611863369100</t>
  </si>
  <si>
    <t>TAG Pachyphytum Bracteosum 100/100 Pixie Tag FUL</t>
  </si>
  <si>
    <t>0611837120100</t>
  </si>
  <si>
    <t>TAG Pachyphytum Moonstone GENERIC 100/100 Pixie Tag</t>
  </si>
  <si>
    <t>0611863370100</t>
  </si>
  <si>
    <t>TAG Pachystachys Green Carpet 100/100 Pixie Tag FUL</t>
  </si>
  <si>
    <t>0611863372100</t>
  </si>
  <si>
    <t>TAG Pachystachys Green Sheen 100/100 Pixie Tag FUL</t>
  </si>
  <si>
    <t>0611837122025</t>
  </si>
  <si>
    <t>TAG Pachystachys Green Sheen 25/25 Portrait Tag</t>
  </si>
  <si>
    <t>0611863373100</t>
  </si>
  <si>
    <t>TAG Pachystachys Silver Edge 100/100 Pixie Tag FUL</t>
  </si>
  <si>
    <t>0611863374100</t>
  </si>
  <si>
    <t>TAG Pachystachys Terminalis 100/100 Pixie Tag FUL</t>
  </si>
  <si>
    <t>0611837123100</t>
  </si>
  <si>
    <t>TAG Pachystachys Terminalis GENERIC 100/100 Pixie Tag</t>
  </si>
  <si>
    <t>0611837124025</t>
  </si>
  <si>
    <t>TAG Pachystachys Terminalis GENERIC 25/25 Portrait Tag</t>
  </si>
  <si>
    <t>0611863375100</t>
  </si>
  <si>
    <t>TAG Pachyveria Corvus 100/100 Pixie Tag FUL</t>
  </si>
  <si>
    <t>0611863376100</t>
  </si>
  <si>
    <t>TAG Pachyveria Draco 100/100 Pixie Tag FUL</t>
  </si>
  <si>
    <t>0611863377100</t>
  </si>
  <si>
    <t>TAG Pachyveria Opalina 100/100 Pixie Tag FUL</t>
  </si>
  <si>
    <t>0611837132025</t>
  </si>
  <si>
    <t>TAG Panicum Heavy Metal 25/25 Portrait Tag</t>
  </si>
  <si>
    <t>0611837133025</t>
  </si>
  <si>
    <t>TAG Panicum Northwind 25/25 Portrait Tag</t>
  </si>
  <si>
    <t>0611837134025</t>
  </si>
  <si>
    <t>TAG Panicum Shenandoah 25/25 Portrait Tag</t>
  </si>
  <si>
    <t>0611840089100</t>
  </si>
  <si>
    <t>TAG Pansy Admire Blackberry Mix 100/100 Pixie Tag</t>
  </si>
  <si>
    <t>0611840090100</t>
  </si>
  <si>
    <t>TAG Pansy Admire Blue 100/100 Pixie Tag</t>
  </si>
  <si>
    <t>0611840092100</t>
  </si>
  <si>
    <t>TAG Pansy Admire Deep Blue 100/100 Pixie Tag</t>
  </si>
  <si>
    <t>0611840093100</t>
  </si>
  <si>
    <t>TAG Pansy Admire Deep Purple Face 100/100 Pixie Tag</t>
  </si>
  <si>
    <t>0611840095100</t>
  </si>
  <si>
    <t>TAG Pansy Admire Jewel Tones Mix 100/100 Pixie Tag</t>
  </si>
  <si>
    <t>0611840096100</t>
  </si>
  <si>
    <t>TAG Pansy Admire Jolly Face 100/100 Pixie Tag</t>
  </si>
  <si>
    <t>0611840097100</t>
  </si>
  <si>
    <t>TAG Pansy Admire Lavender Pink Face 100/100 Pixie Tag</t>
  </si>
  <si>
    <t>0611840100100</t>
  </si>
  <si>
    <t>TAG Pansy Admire Mix 100/100 Pixie Tag</t>
  </si>
  <si>
    <t>0611840101100</t>
  </si>
  <si>
    <t>TAG Pansy Admire Neon Purple Wing 100/100 Pixie Tag</t>
  </si>
  <si>
    <t>0611840103100</t>
  </si>
  <si>
    <t>TAG Pansy Admire Orange Purple Wing 100/100 Pixie Tag</t>
  </si>
  <si>
    <t>0611840102100</t>
  </si>
  <si>
    <t>TAG Pansy Admire Orchid 100/100 Pixie Tag</t>
  </si>
  <si>
    <t>0611840107100</t>
  </si>
  <si>
    <t>TAG Pansy Admire Red Blotch 100/100 Pixie Tag</t>
  </si>
  <si>
    <t>0611840112100</t>
  </si>
  <si>
    <t>TAG Pansy Admire Yellow Blotch 100/100 Pixie Tag</t>
  </si>
  <si>
    <t>0611840115100</t>
  </si>
  <si>
    <t>TAG Pansy Antique Shades GENERIC 100/100 Pixie Tag</t>
  </si>
  <si>
    <t>0611840116100</t>
  </si>
  <si>
    <t>TAG Pansy Atlas Black 100/100 Pixie Tag</t>
  </si>
  <si>
    <t>0611840117100</t>
  </si>
  <si>
    <t>TAG Pansy Bel Viso Series 100/100 Pixie Tag</t>
  </si>
  <si>
    <t>0611840123100</t>
  </si>
  <si>
    <t>TAG Pansy Blotch Mix GENERIC Bilingual 100/100 Pixie Tag</t>
  </si>
  <si>
    <t>0611840124100</t>
  </si>
  <si>
    <t>TAG Pansy Blue GENERIC 100/100 Pixie Tag</t>
  </si>
  <si>
    <t>0611840118100</t>
  </si>
  <si>
    <t>TAG Pansy Blue GENERIC Bilingual 100/100 Pixie Tag</t>
  </si>
  <si>
    <t>0611840120100</t>
  </si>
  <si>
    <t>TAG Pansy Blue With Blotch GENERIC Bilingual 100/100 Pixie Tag</t>
  </si>
  <si>
    <t>0611840126100</t>
  </si>
  <si>
    <t>TAG Pansy Blueberry Thrill 100/100 Pixie Tag</t>
  </si>
  <si>
    <t>0611840127100</t>
  </si>
  <si>
    <t>TAG Pansy Bolero Mix 100/100 Pixie Tag</t>
  </si>
  <si>
    <t>0611840128100</t>
  </si>
  <si>
    <t>TAG Pansy Cats Mix 100/100 Pixie Tag</t>
  </si>
  <si>
    <t>0611857041100</t>
  </si>
  <si>
    <t>TAG Pansy Cats Plus Blue And Yellow 100/100 Pixie Tag</t>
  </si>
  <si>
    <t>0611857042100</t>
  </si>
  <si>
    <t>TAG Pansy Cats Plus Marina 100/100 Pixie Tag</t>
  </si>
  <si>
    <t>0611857043100</t>
  </si>
  <si>
    <t>TAG Pansy Cats Plus Purple And White 100/100 Pixie Tag</t>
  </si>
  <si>
    <t>0611857044100</t>
  </si>
  <si>
    <t>TAG Pansy Cats Plus White 100/100 Pixie Tag</t>
  </si>
  <si>
    <t>0611857045100</t>
  </si>
  <si>
    <t>TAG Pansy Cats Plus Yellow 100/100 Pixie Tag</t>
  </si>
  <si>
    <t>0611864305100</t>
  </si>
  <si>
    <t>TAG Pansy Celestial Blue Moon 100/100 Pixie Tag FUL</t>
  </si>
  <si>
    <t>0611864304050</t>
  </si>
  <si>
    <t>TAG Pansy Celestial Blue Moon Violet Limited Availability 50/50 Petite Portrait</t>
  </si>
  <si>
    <t>0611864306100</t>
  </si>
  <si>
    <t>TAG Pansy Celestial Northern Lights 100/100 Pixie Tag FUL</t>
  </si>
  <si>
    <t>0611864307100</t>
  </si>
  <si>
    <t>TAG Pansy Celestial Starry Night 100/100 Pixie Tag FUL</t>
  </si>
  <si>
    <t>0611864308050</t>
  </si>
  <si>
    <t>TAG Pansy Celestial Starry Night Limited Availability 50/50 Petite Portrait</t>
  </si>
  <si>
    <t>0611840129100</t>
  </si>
  <si>
    <t>TAG Pansy Clear GENERIC 100/100 Pixie Tag</t>
  </si>
  <si>
    <t>0611840130100</t>
  </si>
  <si>
    <t>TAG Pansy ColorMax Beacon Rose 100/100 Pixie Tag</t>
  </si>
  <si>
    <t>0611840131100</t>
  </si>
  <si>
    <t>TAG Pansy ColorMax Berry Pie 100/100 Pixie Tag</t>
  </si>
  <si>
    <t>0611840132100</t>
  </si>
  <si>
    <t>TAG Pansy ColorMax Citrus Mix 100/100 Pixie Tag</t>
  </si>
  <si>
    <t>0611840133100</t>
  </si>
  <si>
    <t>TAG Pansy ColorMax Clear Orange 100/100 Pixie Tag</t>
  </si>
  <si>
    <t>0611840134100</t>
  </si>
  <si>
    <t>TAG Pansy ColorMax Clear Purple 100/100 Pixie Tag</t>
  </si>
  <si>
    <t>0611840135100</t>
  </si>
  <si>
    <t>TAG Pansy ColorMax Clear Yellow 100/100 Pixie Tag</t>
  </si>
  <si>
    <t>0611840136100</t>
  </si>
  <si>
    <t>TAG Pansy ColorMax Icy Blue 100/100 Pixie Tag</t>
  </si>
  <si>
    <t>0611840137100</t>
  </si>
  <si>
    <t>TAG Pansy ColorMax Lemon Splash 100/100 Pixie Tag</t>
  </si>
  <si>
    <t>0611840138100</t>
  </si>
  <si>
    <t>TAG Pansy ColorMax Lemonberry Pie Mix 100/100 Pixie Tag</t>
  </si>
  <si>
    <t>0611840139100</t>
  </si>
  <si>
    <t>TAG Pansy ColorMax Mix 100/100 Pixie Tag</t>
  </si>
  <si>
    <t>0611840140100</t>
  </si>
  <si>
    <t>TAG Pansy ColorMax Popcorn 100/100 Pixie Tag</t>
  </si>
  <si>
    <t>0611840141100</t>
  </si>
  <si>
    <t>TAG Pansy ColorMax Purple Glow 100/100 Pixie Tag</t>
  </si>
  <si>
    <t>0611840143100</t>
  </si>
  <si>
    <t>TAG Pansy ColorMax Rose With Blotch 100/100 Pixie Tag</t>
  </si>
  <si>
    <t>0611840142100</t>
  </si>
  <si>
    <t>TAG Pansy ColorMax Royal Mix 100/100 Pixie Tag</t>
  </si>
  <si>
    <t>0611857181100</t>
  </si>
  <si>
    <t>TAG Pansy ColorMax True Blue 100/100 Pixie Tag</t>
  </si>
  <si>
    <t>0611840144100</t>
  </si>
  <si>
    <t>TAG Pansy ColorMax Yellow Jump Up 100/100 Pixie Tag</t>
  </si>
  <si>
    <t>0611840145100</t>
  </si>
  <si>
    <t>TAG Pansy Colossal Mix 100/100 Pixie Tag</t>
  </si>
  <si>
    <t>0611840146100</t>
  </si>
  <si>
    <t>TAG Pansy Colossus Blotch Mix 100/100 Pixie Tag SF</t>
  </si>
  <si>
    <t>0611840147100</t>
  </si>
  <si>
    <t>TAG Pansy Colossus Blue With Blotch 100/100 Pixie Tag SF</t>
  </si>
  <si>
    <t>0611840148100</t>
  </si>
  <si>
    <t>TAG Pansy Colossus Deep Blue With Blotch 100/100 Pixie Tag SF</t>
  </si>
  <si>
    <t>0611840149100</t>
  </si>
  <si>
    <t>TAG Pansy Colossus Fire 100/100 Pixie Tag SF</t>
  </si>
  <si>
    <t>0611840150100</t>
  </si>
  <si>
    <t>TAG Pansy Colossus Lavender Medley 100/100 Pixie Tag SF</t>
  </si>
  <si>
    <t>0611840151100</t>
  </si>
  <si>
    <t>TAG Pansy Colossus Lemon Shades 100/100 Pixie Tag SF</t>
  </si>
  <si>
    <t>0611840152100</t>
  </si>
  <si>
    <t>TAG Pansy Colossus Mix 100/100 Pixie Tag SF</t>
  </si>
  <si>
    <t>0611840153100</t>
  </si>
  <si>
    <t>TAG Pansy Colossus Neon Violet 100/100 Pixie Tag SF</t>
  </si>
  <si>
    <t>0611840154100</t>
  </si>
  <si>
    <t>TAG Pansy Colossus Ocean 100/100 Pixie Tag SF</t>
  </si>
  <si>
    <t>0611840156100</t>
  </si>
  <si>
    <t>TAG Pansy Colossus Purple With Blotch 100/100 Pixie Tag SF</t>
  </si>
  <si>
    <t>0611840157100</t>
  </si>
  <si>
    <t>TAG Pansy Colossus Red With Blotch 100/100 Pixie Tag SF</t>
  </si>
  <si>
    <t>0611840158100</t>
  </si>
  <si>
    <t>TAG Pansy Colossus Rose Medley 100/100 Pixie Tag SF</t>
  </si>
  <si>
    <t>0611840159100</t>
  </si>
  <si>
    <t>TAG Pansy Colossus Rose With Blotch 100/100 Pixie Tag SF</t>
  </si>
  <si>
    <t>0611840160100</t>
  </si>
  <si>
    <t>TAG Pansy Colossus Series 100/100 Pixie Tag SF</t>
  </si>
  <si>
    <t>0611840161100</t>
  </si>
  <si>
    <t>TAG Pansy Colossus Tricolor 100/100 Pixie Tag SF</t>
  </si>
  <si>
    <t>0611840163100</t>
  </si>
  <si>
    <t>TAG Pansy Colossus White 100/100 Pixie Tag SF</t>
  </si>
  <si>
    <t>0611840164100</t>
  </si>
  <si>
    <t>TAG Pansy Colossus White With Blotch 100/100 Pixie Tag SF</t>
  </si>
  <si>
    <t>0611840162100</t>
  </si>
  <si>
    <t>TAG Pansy Colossus White With Purple Wing 100/100 Pixie Tag SF</t>
  </si>
  <si>
    <t>0611840165100</t>
  </si>
  <si>
    <t>TAG Pansy Colossus Yellow 100/100 Pixie Tag SF</t>
  </si>
  <si>
    <t>0611840166100</t>
  </si>
  <si>
    <t>TAG Pansy Colossus Yellow With Blotch 100/100 Pixie Tag SF</t>
  </si>
  <si>
    <t>0611864309100</t>
  </si>
  <si>
    <t>TAG Pansy Columbine 100/100 Pixie Tag FUL</t>
  </si>
  <si>
    <t>0611840167025</t>
  </si>
  <si>
    <t>TAG Pansy Columbine 25/25 Portrait Tag</t>
  </si>
  <si>
    <t>0611864310050</t>
  </si>
  <si>
    <t>TAG Pansy Columbine Limited Availability 50/50 Petite Portrait FUL</t>
  </si>
  <si>
    <t>0611840169050</t>
  </si>
  <si>
    <t>TAG Pansy Cool Wave Berries N Cream Mix 50/50 Mini Portrait Tag</t>
  </si>
  <si>
    <t>0611857046050</t>
  </si>
  <si>
    <t>TAG Pansy Cool Wave Blue 50/50 Mini Portrait Tag</t>
  </si>
  <si>
    <t>0611840171050</t>
  </si>
  <si>
    <t>TAG Pansy Cool Wave Blue Skies 50/50 Mini Portrait Tag</t>
  </si>
  <si>
    <t>0611840170050</t>
  </si>
  <si>
    <t>TAG Pansy Cool Wave Blueberry Swirl 50/50 Mini Portrait Tag</t>
  </si>
  <si>
    <t>0611840172050</t>
  </si>
  <si>
    <t>TAG Pansy Cool Wave Fire 50/50 Mini Portrait Tag</t>
  </si>
  <si>
    <t>0611840174050</t>
  </si>
  <si>
    <t>TAG Pansy Cool Wave Frost 50/50 Mini Portrait Tag</t>
  </si>
  <si>
    <t>0611840175050</t>
  </si>
  <si>
    <t>TAG Pansy Cool Wave Golden Yellow 50/50 Mini Portrait Tag</t>
  </si>
  <si>
    <t>0611840176050</t>
  </si>
  <si>
    <t>TAG Pansy Cool Wave Lemon 50/50 Mini Portrait Tag</t>
  </si>
  <si>
    <t>0611840177050</t>
  </si>
  <si>
    <t>TAG Pansy Cool Wave Lemon Surprise 50/50 Mini Portrait Tag</t>
  </si>
  <si>
    <t>0611840178050</t>
  </si>
  <si>
    <t>TAG Pansy Cool Wave Mix 50/50 Mini Portrait Tag</t>
  </si>
  <si>
    <t>0611840179050</t>
  </si>
  <si>
    <t>TAG Pansy Cool Wave Morpho 50/50 Mini Portrait Tag</t>
  </si>
  <si>
    <t>0611840180050</t>
  </si>
  <si>
    <t>TAG Pansy Cool Wave Pastel Mix 50/50 Mini Portrait Tag</t>
  </si>
  <si>
    <t>0611840181050</t>
  </si>
  <si>
    <t>TAG Pansy Cool Wave Purple 50/50 Mini Portrait Tag</t>
  </si>
  <si>
    <t>0611840183050</t>
  </si>
  <si>
    <t>TAG Pansy Cool Wave Raspberry 50/50 Mini Portrait Tag</t>
  </si>
  <si>
    <t>0611840182050</t>
  </si>
  <si>
    <t>TAG Pansy Cool Wave Raspberry Swirl 50/50 Mini Portrait Tag</t>
  </si>
  <si>
    <t>0611840184100</t>
  </si>
  <si>
    <t>TAG Pansy Cool Wave Series 100/100 Hang Tag</t>
  </si>
  <si>
    <t>0611840187050</t>
  </si>
  <si>
    <t>TAG Pansy Cool Wave Strawberry Swirl 50/50 Mini Portrait Tag</t>
  </si>
  <si>
    <t>0611840186050</t>
  </si>
  <si>
    <t>TAG Pansy Cool Wave Sunshine N Wine 50/50 Mini Portrait Tag</t>
  </si>
  <si>
    <t>0611840188050</t>
  </si>
  <si>
    <t>TAG Pansy Cool Wave Violet Wing 50/50 Mini Portrait Tag</t>
  </si>
  <si>
    <t>0611840189050</t>
  </si>
  <si>
    <t>TAG Pansy Cool Wave White 50/50 Mini Portrait Tag</t>
  </si>
  <si>
    <t>0611840190050</t>
  </si>
  <si>
    <t>TAG Pansy Cool Wave Yellow 50/50 Mini Portrait Tag</t>
  </si>
  <si>
    <t>0611840191100</t>
  </si>
  <si>
    <t>TAG Pansy Crown Azure 100/100 Pixie Tag</t>
  </si>
  <si>
    <t>0611840192100</t>
  </si>
  <si>
    <t>TAG Pansy Crown Blue 100/100 Pixie Tag</t>
  </si>
  <si>
    <t>0611840193100</t>
  </si>
  <si>
    <t>TAG Pansy Crown Golden 100/100 Pixie Tag</t>
  </si>
  <si>
    <t>0611840194100</t>
  </si>
  <si>
    <t>TAG Pansy Crown Mix 100/100 Pixie Tag</t>
  </si>
  <si>
    <t>0611840195100</t>
  </si>
  <si>
    <t>TAG Pansy Crown Orange 100/100 Pixie Tag</t>
  </si>
  <si>
    <t>0611840196100</t>
  </si>
  <si>
    <t>TAG Pansy Crown Purple 100/100 Pixie Tag</t>
  </si>
  <si>
    <t>0611840197100</t>
  </si>
  <si>
    <t>TAG Pansy Crown Rose 100/100 Pixie Tag</t>
  </si>
  <si>
    <t>0611840198100</t>
  </si>
  <si>
    <t>TAG Pansy Crown Scarlet 100/100 Pixie Tag</t>
  </si>
  <si>
    <t>0611840199100</t>
  </si>
  <si>
    <t>TAG Pansy Crown White 100/100 Pixie Tag</t>
  </si>
  <si>
    <t>0611840200100</t>
  </si>
  <si>
    <t>TAG Pansy Crown Yellow 100/100 Pixie Tag</t>
  </si>
  <si>
    <t>0611840213100</t>
  </si>
  <si>
    <t>TAG Pansy Delta Classic Apple Cider Mix 100/100 Pixie Tag SF</t>
  </si>
  <si>
    <t>0611840214100</t>
  </si>
  <si>
    <t>TAG Pansy Delta Classic Beaconsfield 100/100 Pixie Tag SF</t>
  </si>
  <si>
    <t>0611840201100</t>
  </si>
  <si>
    <t>TAG Pansy Delta Classic Berry Tart Mix 100/100 Pixie Tag SF</t>
  </si>
  <si>
    <t>0611840202100</t>
  </si>
  <si>
    <t>TAG Pansy Delta Classic Blaze Mix 100/100 Pixie Tag SF</t>
  </si>
  <si>
    <t>0611840232100</t>
  </si>
  <si>
    <t>TAG Pansy Delta Classic Blue Morpho 100/100 Pixie Tag SF</t>
  </si>
  <si>
    <t>0611840216100</t>
  </si>
  <si>
    <t>TAG Pansy Delta Classic Buttered Popcorn Mix 100/100 Pixie Tag SF</t>
  </si>
  <si>
    <t>0611840204100</t>
  </si>
  <si>
    <t>TAG Pansy Delta Classic Cotton Candy Mix 100/100 Pixie Tag SF</t>
  </si>
  <si>
    <t>0611840234100</t>
  </si>
  <si>
    <t>TAG Pansy Delta Classic Deep Blue 100/100 Pixie Tag SF</t>
  </si>
  <si>
    <t>0611840205100</t>
  </si>
  <si>
    <t>TAG Pansy Delta Classic Fire 100/100 Pixie Tag SF</t>
  </si>
  <si>
    <t>0611840235100</t>
  </si>
  <si>
    <t>TAG Pansy Delta Classic Marina 100/100 Pixie Tag SF</t>
  </si>
  <si>
    <t>0611840210100</t>
  </si>
  <si>
    <t>TAG Pansy Delta Classic Monet Mix 100/100 Pixie Tag SF</t>
  </si>
  <si>
    <t>0611840212100</t>
  </si>
  <si>
    <t>TAG Pansy Delta Classic Pink Shades 100/100 Pixie Tag SF</t>
  </si>
  <si>
    <t>0611840251100</t>
  </si>
  <si>
    <t>TAG Pansy Delta Classic Pure Red 100/100 Pixie Tag SF</t>
  </si>
  <si>
    <t>0611840252100</t>
  </si>
  <si>
    <t>TAG Pansy Delta Classic Pure Rose 100/100 Pixie Tag SF</t>
  </si>
  <si>
    <t>0611840243100</t>
  </si>
  <si>
    <t>TAG Pansy Delta Classic Tapestry 100/100 Pixie Tag SF</t>
  </si>
  <si>
    <t>0611840269100</t>
  </si>
  <si>
    <t>TAG Pansy Delta Classic Watercolors Mix 100/100 Pixie Tag SF</t>
  </si>
  <si>
    <t>0611840270100</t>
  </si>
  <si>
    <t>TAG Pansy Delta Classic Wine N Cheese Mix 100/100 Pixie Tag SF</t>
  </si>
  <si>
    <t>0611840230100</t>
  </si>
  <si>
    <t>TAG Pansy Delta Classic Yellow With Purple Wing 100/100 Pixie Tag SF</t>
  </si>
  <si>
    <t>0611840206100</t>
  </si>
  <si>
    <t>TAG Pansy Delta Fruit Salad Mix 100/100 Pixie Tag SF</t>
  </si>
  <si>
    <t>0611840209100</t>
  </si>
  <si>
    <t>TAG Pansy Delta Mix 100/100 Pixie Tag SF</t>
  </si>
  <si>
    <t>0611840211100</t>
  </si>
  <si>
    <t>TAG Pansy Delta Orange With Blotch 100/100 Pixie Tag SF</t>
  </si>
  <si>
    <t>0611840233100</t>
  </si>
  <si>
    <t>TAG Pansy Delta Premium Blue With Blotch 100/100 Pixie Tag SF</t>
  </si>
  <si>
    <t>0611840218100</t>
  </si>
  <si>
    <t>TAG Pansy Delta Premium Gold With Blotch 100/100 Pixie Tag SF</t>
  </si>
  <si>
    <t>0611840207100</t>
  </si>
  <si>
    <t>TAG Pansy Delta Premium Lavender Blue Shades 100/100 Pixie Tag SF</t>
  </si>
  <si>
    <t>0611840221100</t>
  </si>
  <si>
    <t>TAG Pansy Delta Premium Persian Mdley 100/100 Pixie Tag SF</t>
  </si>
  <si>
    <t>0611840223100</t>
  </si>
  <si>
    <t>TAG Pansy Delta Premium Primrose With Blotch 100/100 Pixie Tag SF</t>
  </si>
  <si>
    <t>0611840224100</t>
  </si>
  <si>
    <t>TAG Pansy Delta Premium Pure Deep Orange 100/100 Pixie Tag SF</t>
  </si>
  <si>
    <t>0611840222100</t>
  </si>
  <si>
    <t>TAG Pansy Delta Premium Pure Golden Yellow 100/100 Pixie Tag SF</t>
  </si>
  <si>
    <t>0611840226100</t>
  </si>
  <si>
    <t>TAG Pansy Delta Premium Pure Primrose 100/100 Pixie Tag SF</t>
  </si>
  <si>
    <t>0611840215100</t>
  </si>
  <si>
    <t>TAG Pansy Delta Pro Blotch Mix 100/100 Pixie Tag SF</t>
  </si>
  <si>
    <t>0611840203100</t>
  </si>
  <si>
    <t>TAG Pansy Delta Pro Citrus Mix 100/100 Pixie Tag SF</t>
  </si>
  <si>
    <t>0611840247100</t>
  </si>
  <si>
    <t>TAG Pansy Delta Pro Clear Colors Mix 100/100 Pixie Tag SF</t>
  </si>
  <si>
    <t>0611840225100</t>
  </si>
  <si>
    <t>TAG Pansy Delta Pro Clear Light Blue 100/100 Pixie Tag SF</t>
  </si>
  <si>
    <t>0611840238100</t>
  </si>
  <si>
    <t>TAG Pansy Delta Pro Clear Orange 100/100 Pixie Tag SF</t>
  </si>
  <si>
    <t>0611840244100</t>
  </si>
  <si>
    <t>TAG Pansy Delta Pro Clear True Blue 100/100 Pixie Tag SF</t>
  </si>
  <si>
    <t>0611840227100</t>
  </si>
  <si>
    <t>TAG Pansy Delta Pro Clear Violet 100/100 Pixie Tag SF</t>
  </si>
  <si>
    <t>0611840239100</t>
  </si>
  <si>
    <t>TAG Pansy Delta Pro Clear White 100/100 Pixie Tag SF</t>
  </si>
  <si>
    <t>0611840240100</t>
  </si>
  <si>
    <t>TAG Pansy Delta Pro Clear Yellow 100/100 Pixie Tag SF</t>
  </si>
  <si>
    <t>0611840217100</t>
  </si>
  <si>
    <t>TAG Pansy Delta Pro Cool Waters Mix 100/100 Pixie Tag SF</t>
  </si>
  <si>
    <t>0611884511100</t>
  </si>
  <si>
    <t>TAG Pansy Delta Pro Deep Blue With Blotch 100/100 Pixie Tag</t>
  </si>
  <si>
    <t>0611840219100</t>
  </si>
  <si>
    <t>TAG Pansy Delta Pro Lavender Blue Shades 100/100 Pixie Tag SF</t>
  </si>
  <si>
    <t>0611840236100</t>
  </si>
  <si>
    <t>TAG Pansy Delta Pro Mix 100/100 Pixie Tag SF</t>
  </si>
  <si>
    <t>0611840220100</t>
  </si>
  <si>
    <t>TAG Pansy Delta Pro Neon Violet 100/100 Pixie Tag SF</t>
  </si>
  <si>
    <t>0611840237100</t>
  </si>
  <si>
    <t>TAG Pansy Delta Pro Pure Lemon 100/100 Pixie Tag SF</t>
  </si>
  <si>
    <t>0611840241100</t>
  </si>
  <si>
    <t>TAG Pansy Delta Pro Red With Blotch 100/100 Pixie Tag SF</t>
  </si>
  <si>
    <t>0611840242100</t>
  </si>
  <si>
    <t>TAG Pansy Delta Pro Rose With Blotch 100/100 Pixie Tag SF</t>
  </si>
  <si>
    <t>0611840228100</t>
  </si>
  <si>
    <t>TAG Pansy Delta Pro Tricolor Mix 100/100 Pixie Tag SF</t>
  </si>
  <si>
    <t>0611840229100</t>
  </si>
  <si>
    <t>TAG Pansy Delta Pro Violet And White 100/100 Pixie Tag SF</t>
  </si>
  <si>
    <t>0611840245100</t>
  </si>
  <si>
    <t>TAG Pansy Delta Pro White With Blotch 100/100 Pixie Tag SF</t>
  </si>
  <si>
    <t>0611840231100</t>
  </si>
  <si>
    <t>TAG Pansy Delta Pro Yellow With Blotch 100/100 Pixie Tag SF</t>
  </si>
  <si>
    <t>0611840271100</t>
  </si>
  <si>
    <t>TAG Pansy Delta Pro Yellow With Red Wing 100/100 Pixie Tag SF</t>
  </si>
  <si>
    <t>0611840246100</t>
  </si>
  <si>
    <t>TAG Pansy Delta Pumpkin Pie Mix 100/100 Pixie Tag SF</t>
  </si>
  <si>
    <t>0611840248100</t>
  </si>
  <si>
    <t>TAG Pansy Delta Pure Light Blue 100/100 Pixie Tag SF</t>
  </si>
  <si>
    <t>0611840249100</t>
  </si>
  <si>
    <t>TAG Pansy Delta Pure Orange 100/100 Pixie Tag SF</t>
  </si>
  <si>
    <t>0611840250100</t>
  </si>
  <si>
    <t>TAG Pansy Delta Pure Primrose 100/100 Pixie Tag SF</t>
  </si>
  <si>
    <t>0611840254100</t>
  </si>
  <si>
    <t>TAG Pansy Delta Series 100/100 Pixie Tag SF</t>
  </si>
  <si>
    <t>0611840255100</t>
  </si>
  <si>
    <t>TAG Pansy Delta Speedy Clear White 100/100 Pixie Tag SF</t>
  </si>
  <si>
    <t>0611840256100</t>
  </si>
  <si>
    <t>TAG Pansy Delta Speedy Clear Yellow 100/100 Pixie Tag SF</t>
  </si>
  <si>
    <t>0611840257100</t>
  </si>
  <si>
    <t>TAG Pansy Delta Speedy Deep Blue With Blotch 100/100 Pixie Tag SF</t>
  </si>
  <si>
    <t>0611840258100</t>
  </si>
  <si>
    <t>TAG Pansy Delta Speedy Frost 100/100 Pixie Tag SF</t>
  </si>
  <si>
    <t>0611840259100</t>
  </si>
  <si>
    <t>TAG Pansy Delta Speedy Mix 100/100 Pixie Tag SF</t>
  </si>
  <si>
    <t>0611840260100</t>
  </si>
  <si>
    <t>TAG Pansy Delta Speedy Purple 100/100 Pixie Tag SF</t>
  </si>
  <si>
    <t>0611840261100</t>
  </si>
  <si>
    <t>TAG Pansy Delta Speedy Rose Medley 100/100 Pixie Tag SF</t>
  </si>
  <si>
    <t>0611840262100</t>
  </si>
  <si>
    <t>TAG Pansy Delta Speedy True Blue 100/100 Pixie Tag SF</t>
  </si>
  <si>
    <t>0611840263100</t>
  </si>
  <si>
    <t>TAG Pansy Delta Speedy Violet And White 100/100 Pixie Tag SF</t>
  </si>
  <si>
    <t>0611840264100</t>
  </si>
  <si>
    <t>TAG Pansy Delta Speedy Yellow And Purple 100/100 Pixie Tag SF</t>
  </si>
  <si>
    <t>0611840265100</t>
  </si>
  <si>
    <t>TAG Pansy Delta Speedy Yellow With Blotch 100/100 Pixie Tag SF</t>
  </si>
  <si>
    <t>0611840268100</t>
  </si>
  <si>
    <t>TAG Pansy Delta Violet With Face 100/100 Pixie Tag SF</t>
  </si>
  <si>
    <t>0611840273100</t>
  </si>
  <si>
    <t>TAG Pansy Deltini Blue 100/100 Pixie Tag</t>
  </si>
  <si>
    <t>0611840272100</t>
  </si>
  <si>
    <t>TAG Pansy Deltini Blue Purple Wing 100/100 Pixie Tag</t>
  </si>
  <si>
    <t>0611840274100</t>
  </si>
  <si>
    <t>TAG Pansy Deltini Burgundy 100/100 Pixie Tag</t>
  </si>
  <si>
    <t>0611840275100</t>
  </si>
  <si>
    <t>TAG Pansy Deltini Copperfield 100/100 Pixie Tag</t>
  </si>
  <si>
    <t>0611840276100</t>
  </si>
  <si>
    <t>TAG Pansy Deltini Honeybee 100/100 Pixie Tag</t>
  </si>
  <si>
    <t>0611840277100</t>
  </si>
  <si>
    <t>TAG Pansy Deltini Mix 100/100 Pixie Tag</t>
  </si>
  <si>
    <t>0611840278100</t>
  </si>
  <si>
    <t>TAG Pansy Deltini Purple With Golden Center 100/100 Pixie Tag</t>
  </si>
  <si>
    <t>0611840279100</t>
  </si>
  <si>
    <t>TAG Pansy Deltini Rose Pink 100/100 Pixie Tag</t>
  </si>
  <si>
    <t>0611840281100</t>
  </si>
  <si>
    <t>TAG Pansy Deltini Violet Blue 100/100 Pixie Tag</t>
  </si>
  <si>
    <t>0611840282100</t>
  </si>
  <si>
    <t>TAG Pansy Deltini Violet Face 100/100 Pixie Tag</t>
  </si>
  <si>
    <t>0611840283100</t>
  </si>
  <si>
    <t>TAG Pansy Deltini White 100/100 Pixie Tag</t>
  </si>
  <si>
    <t>0611840285100</t>
  </si>
  <si>
    <t>TAG Pansy Deltini Yellow 100/100 Pixie Tag</t>
  </si>
  <si>
    <t>0611840284100</t>
  </si>
  <si>
    <t>TAG Pansy Deltini Yellow And Purple 100/100 Pixie Tag</t>
  </si>
  <si>
    <t>0611840286100</t>
  </si>
  <si>
    <t>TAG Pansy Deltini Yellow Jump Up 100/100 Pixie Tag</t>
  </si>
  <si>
    <t>0611840287100</t>
  </si>
  <si>
    <t>TAG Pansy DeluXXe Blue Surprise 100/100 Pixie Tag</t>
  </si>
  <si>
    <t>0611840289100</t>
  </si>
  <si>
    <t>TAG Pansy DeluXXe White With Violet Wing 100/100 Pixie Tag</t>
  </si>
  <si>
    <t>0611840294100</t>
  </si>
  <si>
    <t>TAG Pansy Endurio Red Flare 100/100 Pixie Tag</t>
  </si>
  <si>
    <t>0611840295100</t>
  </si>
  <si>
    <t>TAG Pansy Endurio Sky Blue Martien 100/100 Pixie Tag</t>
  </si>
  <si>
    <t>0611840296100</t>
  </si>
  <si>
    <t>TAG Pansy Endurio Tricolor Mix 100/100 Pixie Tag</t>
  </si>
  <si>
    <t>0611864311100</t>
  </si>
  <si>
    <t>TAG Pansy Etain 100/100 Pixie Tag FUL</t>
  </si>
  <si>
    <t>0611840299025</t>
  </si>
  <si>
    <t>TAG Pansy Etain 25/25 Portrait Tag</t>
  </si>
  <si>
    <t>0611864312050</t>
  </si>
  <si>
    <t>TAG Pansy Etain Limited Availability 50/50 Petite Portrait</t>
  </si>
  <si>
    <t>0611840301100</t>
  </si>
  <si>
    <t>TAG Pansy Fizzy Lemonberry 100/100 Pixie Tag</t>
  </si>
  <si>
    <t>0611840302100</t>
  </si>
  <si>
    <t>TAG Pansy Freefall Series 100/100 Pixie Tag SF</t>
  </si>
  <si>
    <t>0611840303100</t>
  </si>
  <si>
    <t>TAG Pansy Freefall XL Series 100/100 Pixie Tag SF</t>
  </si>
  <si>
    <t>0611840304100</t>
  </si>
  <si>
    <t>TAG Pansy Frizzle Sizzle Blue 100/100 Pixie Tag</t>
  </si>
  <si>
    <t>0611840305100</t>
  </si>
  <si>
    <t>TAG Pansy Frizzle Sizzle Burgundy 100/100 Pixie Tag</t>
  </si>
  <si>
    <t>0611840306100</t>
  </si>
  <si>
    <t>TAG Pansy Frizzle Sizzle Lemonade 100/100 Pixie Tag</t>
  </si>
  <si>
    <t>0611840307100</t>
  </si>
  <si>
    <t>TAG Pansy Frizzle Sizzle Lemonberry 100/100 Pixie Tag</t>
  </si>
  <si>
    <t>0611840308100</t>
  </si>
  <si>
    <t>TAG Pansy Frizzle Sizzle Mini Mix 100/100 Pixie Tag</t>
  </si>
  <si>
    <t>0611840314100</t>
  </si>
  <si>
    <t>TAG Pansy Frizzle Sizzle Mini Purple Shades 100/100 Pixie Tag</t>
  </si>
  <si>
    <t>0611840315100</t>
  </si>
  <si>
    <t>TAG Pansy Frizzle Sizzle Mini Tapestry 100/100 Pixie Tag</t>
  </si>
  <si>
    <t>0611840309100</t>
  </si>
  <si>
    <t>TAG Pansy Frizzle Sizzle Mini Yellow 100/100 Pixie Tag</t>
  </si>
  <si>
    <t>0611840310100</t>
  </si>
  <si>
    <t>TAG Pansy Frizzle Sizzle Mix 100/100 Pixie Tag</t>
  </si>
  <si>
    <t>0611840311100</t>
  </si>
  <si>
    <t>TAG Pansy Frizzle Sizzle Orange 100/100 Pixie Tag</t>
  </si>
  <si>
    <t>0611840312100</t>
  </si>
  <si>
    <t>TAG Pansy Frizzle Sizzle Raspberry 100/100 Pixie Tag</t>
  </si>
  <si>
    <t>0611840313100</t>
  </si>
  <si>
    <t>TAG Pansy Frizzle Sizzle Yellow 100/100 Pixie Tag</t>
  </si>
  <si>
    <t>0611840316100</t>
  </si>
  <si>
    <t>TAG Pansy Frizzle Sizzle Yellow With Blue Swirl 100/100 Pixie Tag</t>
  </si>
  <si>
    <t>0611840324100</t>
  </si>
  <si>
    <t>TAG Pansy Grandio Beacon Blue 100/100 Pixie Tag</t>
  </si>
  <si>
    <t>0611840325100</t>
  </si>
  <si>
    <t>TAG Pansy Grandio Beacon Rose 100/100 Pixie Tag</t>
  </si>
  <si>
    <t>0611840326100</t>
  </si>
  <si>
    <t>TAG Pansy Grandio Blotched Colors Mix 100/100 Pixie Tag</t>
  </si>
  <si>
    <t>0611840327100</t>
  </si>
  <si>
    <t>TAG Pansy Grandio Blue With Blotch 100/100 Pixie Tag</t>
  </si>
  <si>
    <t>0611840328100</t>
  </si>
  <si>
    <t>TAG Pansy Grandio Bright Colors Mix 100/100 Pixie Tag</t>
  </si>
  <si>
    <t>0611840329100</t>
  </si>
  <si>
    <t>TAG Pansy Grandio Citrus Mix 100/100 Pixie Tag</t>
  </si>
  <si>
    <t>0611840330100</t>
  </si>
  <si>
    <t>TAG Pansy Grandio Clear Colors Mix 100/100 Pixie Tag</t>
  </si>
  <si>
    <t>0611840331100</t>
  </si>
  <si>
    <t>TAG Pansy Grandio Clear Orange 100/100 Pixie Tag</t>
  </si>
  <si>
    <t>0611840332100</t>
  </si>
  <si>
    <t>TAG Pansy Grandio Clear Scarlet 100/100 Pixie Tag</t>
  </si>
  <si>
    <t>0611840333100</t>
  </si>
  <si>
    <t>TAG Pansy Grandio Deep Blue With Blotch 100/100 Pixie Tag</t>
  </si>
  <si>
    <t>0611840334100</t>
  </si>
  <si>
    <t>TAG Pansy Grandio Primrose 100/100 Pixie Tag</t>
  </si>
  <si>
    <t>0611840335100</t>
  </si>
  <si>
    <t>TAG Pansy Grandio Purple 100/100 Pixie Tag</t>
  </si>
  <si>
    <t>0611840336100</t>
  </si>
  <si>
    <t>TAG Pansy Grandio Red With Blotch 100/100 Pixie Tag</t>
  </si>
  <si>
    <t>0611840337100</t>
  </si>
  <si>
    <t>TAG Pansy Grandio Rose 100/100 Pixie Tag</t>
  </si>
  <si>
    <t>0611840338100</t>
  </si>
  <si>
    <t>TAG Pansy Grandio Rose With Blotch 100/100 Pixie Tag</t>
  </si>
  <si>
    <t>0611857047100</t>
  </si>
  <si>
    <t>TAG Pansy Grandio Silver Blue 100/100 Pixie Tag</t>
  </si>
  <si>
    <t>0611840340100</t>
  </si>
  <si>
    <t>TAG Pansy Grandio Star Spangled Mix 100/100 Pixie Tag</t>
  </si>
  <si>
    <t>0611840341100</t>
  </si>
  <si>
    <t>TAG Pansy Grandio True Blue 100/100 Pixie Tag</t>
  </si>
  <si>
    <t>0611840343100</t>
  </si>
  <si>
    <t>TAG Pansy Grandio White 100/100 Pixie Tag</t>
  </si>
  <si>
    <t>0611840344100</t>
  </si>
  <si>
    <t>TAG Pansy Grandio White With Blotch 100/100 Pixie Tag</t>
  </si>
  <si>
    <t>0611840342100</t>
  </si>
  <si>
    <t>TAG Pansy Grandio White With Rose Blotch 100/100 Pixie Tag</t>
  </si>
  <si>
    <t>0611840345100</t>
  </si>
  <si>
    <t>TAG Pansy Grandio Yellow 100/100 Pixie Tag</t>
  </si>
  <si>
    <t>0611840346100</t>
  </si>
  <si>
    <t>TAG Pansy Grandio Yellow With Blotch 100/100 Pixie Tag</t>
  </si>
  <si>
    <t>0611840347100</t>
  </si>
  <si>
    <t>TAG Pansy Halloween II 100/100 Pixie Tag</t>
  </si>
  <si>
    <t>0611864313100</t>
  </si>
  <si>
    <t>TAG Pansy Halo Golden Yellow 100/100 Pixie Tag FUL</t>
  </si>
  <si>
    <t>0611840348025</t>
  </si>
  <si>
    <t>TAG Pansy Halo Golden Yellow 25/25 Portrait Tag</t>
  </si>
  <si>
    <t>0611840349025</t>
  </si>
  <si>
    <t>TAG Pansy Halo Lemon Frost 25/25 Portrait Tag</t>
  </si>
  <si>
    <t>0611840350025</t>
  </si>
  <si>
    <t>TAG Pansy Halo Lilac 25/25 Portrait Tag</t>
  </si>
  <si>
    <t>0611864314100</t>
  </si>
  <si>
    <t>TAG Pansy Halo Lilac Limited Availability 100/100 Pixie Tag</t>
  </si>
  <si>
    <t>0611864315050</t>
  </si>
  <si>
    <t>TAG Pansy Halo Lilac Limited Availability 50/50 Petite Portrait</t>
  </si>
  <si>
    <t>0611864316100</t>
  </si>
  <si>
    <t>TAG Pansy Halo Limited Availability 100/100 Pixie Tag</t>
  </si>
  <si>
    <t>0611864317050</t>
  </si>
  <si>
    <t>TAG Pansy Halo Limited Availability 50/50 Petite Portrait</t>
  </si>
  <si>
    <t>0611840351025</t>
  </si>
  <si>
    <t>TAG Pansy Halo Sky Blue 25/25 Portrait Tag</t>
  </si>
  <si>
    <t>0611864318100</t>
  </si>
  <si>
    <t>TAG Pansy Halo Sky Blue Limited Availability 100/100 Pixie Tag</t>
  </si>
  <si>
    <t>0611864319050</t>
  </si>
  <si>
    <t>TAG Pansy Halo Sky Blue Limited Availability 50/50 Petite Portrait</t>
  </si>
  <si>
    <t>0611840352025</t>
  </si>
  <si>
    <t>TAG Pansy Halo Violet 25/25 Portrait Tag</t>
  </si>
  <si>
    <t>0611840354100</t>
  </si>
  <si>
    <t>TAG Pansy Hederacea 100/100 Pixie Tag</t>
  </si>
  <si>
    <t>0611840355100</t>
  </si>
  <si>
    <t>TAG Pansy Helen Mount 100/100 Pixie Tag</t>
  </si>
  <si>
    <t>0611840356100</t>
  </si>
  <si>
    <t>TAG Pansy Imperial Antique Shades 100/100 Pixie Tag</t>
  </si>
  <si>
    <t>0611840358100</t>
  </si>
  <si>
    <t>TAG Pansy Imperial Lavender Shades 100/100 Pixie Tag</t>
  </si>
  <si>
    <t>0611840369100</t>
  </si>
  <si>
    <t>TAG Pansy Inspire Deep Blue Blotch 100/100 Pixie Tag</t>
  </si>
  <si>
    <t>0611840359100</t>
  </si>
  <si>
    <t>TAG Pansy Inspire DeluXXe Denim 100/100 Pixie Tag</t>
  </si>
  <si>
    <t>0611840360100</t>
  </si>
  <si>
    <t>TAG Pansy Inspire DeluXXe Mix 100/100 Pixie Tag</t>
  </si>
  <si>
    <t>0611840361100</t>
  </si>
  <si>
    <t>TAG Pansy Inspire DeluXXe Ocean 100/100 Pixie Tag</t>
  </si>
  <si>
    <t>0611840362100</t>
  </si>
  <si>
    <t>TAG Pansy Inspire DeluXXe Orange 100/100 Pixie Tag</t>
  </si>
  <si>
    <t>0611840366100</t>
  </si>
  <si>
    <t>TAG Pansy Inspire DeluXXe White 100/100 Pixie Tag</t>
  </si>
  <si>
    <t>0611840365100</t>
  </si>
  <si>
    <t>TAG Pansy Inspire DeluXXe White Blotch 100/100 Pixie Tag</t>
  </si>
  <si>
    <t>0611840368100</t>
  </si>
  <si>
    <t>TAG Pansy Inspire DeluXXe Yellow 100/100 Pixie Tag</t>
  </si>
  <si>
    <t>0611840367100</t>
  </si>
  <si>
    <t>TAG Pansy Inspire DeluXXe Yellow Blotch 100/100 Pixie Tag</t>
  </si>
  <si>
    <t>0611840370100</t>
  </si>
  <si>
    <t>TAG Pansy Inspire Light Rose Blotch 100/100 Pixie Tag</t>
  </si>
  <si>
    <t>0611840375100</t>
  </si>
  <si>
    <t>TAG Pansy Inspire Plus Light Blue 100/100 Pixie Tag</t>
  </si>
  <si>
    <t>0611840376100</t>
  </si>
  <si>
    <t>TAG Pansy Inspire Plus Lmn Blotch 100/100 Pixie Tag</t>
  </si>
  <si>
    <t>0611840377100</t>
  </si>
  <si>
    <t>TAG Pansy Inspire Plus Marina 100/100 Pixie Tag</t>
  </si>
  <si>
    <t>0611840379100</t>
  </si>
  <si>
    <t>TAG Pansy Inspire Plus Orange 100/100 Pixie Tag</t>
  </si>
  <si>
    <t>0611840380100</t>
  </si>
  <si>
    <t>TAG Pansy Inspire Plus Orange Blotch 100/100 Pixie Tag</t>
  </si>
  <si>
    <t>0611840387100</t>
  </si>
  <si>
    <t>TAG Pansy Inspire Series 100/100 Pixie Tag</t>
  </si>
  <si>
    <t>0611840390100</t>
  </si>
  <si>
    <t>TAG Pansy Johnny Jump Up GENERIC 100/100 Pixie Tag</t>
  </si>
  <si>
    <t>0611840391100</t>
  </si>
  <si>
    <t>TAG Pansy Jolly Joker 100/100 Pixie Tag</t>
  </si>
  <si>
    <t>0611840399100</t>
  </si>
  <si>
    <t>TAG Pansy Lavender Shades GENERIC 100/100 Pixie Tag</t>
  </si>
  <si>
    <t>0611864320100</t>
  </si>
  <si>
    <t>TAG Pansy Magnifi Scent Sunny Jim Limited Availability 100/100 Pixie Tag FUL</t>
  </si>
  <si>
    <t>0611864321050</t>
  </si>
  <si>
    <t>TAG Pansy Magnifi Scent Sunny Jim Limited Availability 50/50 Petite Portrait</t>
  </si>
  <si>
    <t>0611864322100</t>
  </si>
  <si>
    <t>TAG Pansy Magnifi Scent Sweetheart 100/100 Pixie Tag FUL</t>
  </si>
  <si>
    <t>0611840406100</t>
  </si>
  <si>
    <t>TAG Pansy Majestic Giants Blue Shades 100/100 Pixie Tag</t>
  </si>
  <si>
    <t>0611840317100</t>
  </si>
  <si>
    <t>TAG Pansy Majestic Giants II Autumn Mix 100/100 Pixie Tag</t>
  </si>
  <si>
    <t>0611840408100</t>
  </si>
  <si>
    <t>TAG Pansy Majestic Giants II Blotch Mix 100/100 Pixie Tag</t>
  </si>
  <si>
    <t>0611840407100</t>
  </si>
  <si>
    <t>TAG Pansy Majestic Giants II Blue And White 100/100 Pixie Tag</t>
  </si>
  <si>
    <t>0611840405100</t>
  </si>
  <si>
    <t>TAG Pansy Majestic Giants II Blue Jeans 100/100 Pixie Tag</t>
  </si>
  <si>
    <t>0611840409100</t>
  </si>
  <si>
    <t>TAG Pansy Majestic Giants II Clear Mix 100/100 Pixie Tag</t>
  </si>
  <si>
    <t>0611840318100</t>
  </si>
  <si>
    <t>TAG Pansy Majestic Giants II Clear Purple 100/100 Pixie Tag</t>
  </si>
  <si>
    <t>0611840410100</t>
  </si>
  <si>
    <t>TAG Pansy Majestic Giants II Clear White 100/100 Pixie Tag</t>
  </si>
  <si>
    <t>0611840319100</t>
  </si>
  <si>
    <t>TAG Pansy Majestic Giants II Clear Yellow 100/100 Pixie Tag</t>
  </si>
  <si>
    <t>0611840320100</t>
  </si>
  <si>
    <t>TAG Pansy Majestic Giants II Deep Blue With Blotch 100/100 Pixie Tag</t>
  </si>
  <si>
    <t>0611840400100</t>
  </si>
  <si>
    <t>TAG Pansy Majestic Giants II Fire 100/100 Pixie Tag</t>
  </si>
  <si>
    <t>0611840321100</t>
  </si>
  <si>
    <t>TAG Pansy Majestic Giants II Girlfriend's Mix 100/100 Pixie Tag</t>
  </si>
  <si>
    <t>0611840411100</t>
  </si>
  <si>
    <t>TAG Pansy Majestic Giants II Marina 100/100 Pixie Tag</t>
  </si>
  <si>
    <t>0611840322100</t>
  </si>
  <si>
    <t>TAG Pansy Majestic Giants II Mid Blue With Blotch 100/100 Pixie Tag</t>
  </si>
  <si>
    <t>0611840413100</t>
  </si>
  <si>
    <t>TAG Pansy Majestic Giants II Purple With Blotch 100/100 Pixie Tag</t>
  </si>
  <si>
    <t>0611840414100</t>
  </si>
  <si>
    <t>TAG Pansy Majestic Giants II Red With Blotch 100/100 Pixie Tag</t>
  </si>
  <si>
    <t>0611840415100</t>
  </si>
  <si>
    <t>TAG Pansy Majestic Giants II Rosalyn 100/100 Pixie Tag</t>
  </si>
  <si>
    <t>0611840416100</t>
  </si>
  <si>
    <t>TAG Pansy Majestic Giants II Rose With Blotch 100/100 Pixie Tag</t>
  </si>
  <si>
    <t>0611840323100</t>
  </si>
  <si>
    <t>TAG Pansy Majestic Giants II Sea Breeze 100/100 Pixie Tag</t>
  </si>
  <si>
    <t>0611840417100</t>
  </si>
  <si>
    <t>TAG Pansy Majestic Giants II Series 100/100 Pixie Tag</t>
  </si>
  <si>
    <t>0611840418100</t>
  </si>
  <si>
    <t>TAG Pansy Majestic Giants II Sherry 100/100 Pixie Tag</t>
  </si>
  <si>
    <t>0611840420100</t>
  </si>
  <si>
    <t>TAG Pansy Majestic Giants II Yellow With Blotch 100/100 Pixie Tag</t>
  </si>
  <si>
    <t>0611840402100</t>
  </si>
  <si>
    <t>TAG Pansy Majestic Giants Mix 100/100 Pixie Tag</t>
  </si>
  <si>
    <t>0611840403100</t>
  </si>
  <si>
    <t>TAG Pansy Majestic Giants Purple 100/100 Pixie Tag</t>
  </si>
  <si>
    <t>0611840404100</t>
  </si>
  <si>
    <t>TAG Pansy Majestic Giants White With Blotch 100/100 Pixie Tag</t>
  </si>
  <si>
    <t>0611840421100</t>
  </si>
  <si>
    <t>TAG Pansy Mammoth Big Red 100/100 Pixie Tag SF</t>
  </si>
  <si>
    <t>0611840422100</t>
  </si>
  <si>
    <t>TAG Pansy Mammoth Blue-Ti-Ful 100/100 Pixie Tag SF</t>
  </si>
  <si>
    <t>0611840423100</t>
  </si>
  <si>
    <t>TAG Pansy Mammoth Deep Blue Dazzle 100/100 Pixie Tag SF</t>
  </si>
  <si>
    <t>0611840424100</t>
  </si>
  <si>
    <t>TAG Pansy Mammoth Glamorama White 100/100 Pixie Tag SF</t>
  </si>
  <si>
    <t>0611840425100</t>
  </si>
  <si>
    <t>TAG Pansy Mammoth Masquerade Mix 100/100 Pixie Tag SF</t>
  </si>
  <si>
    <t>0611840426100</t>
  </si>
  <si>
    <t>TAG Pansy Mammoth On Fire 100/100 Pixie Tag SF</t>
  </si>
  <si>
    <t>0611840427100</t>
  </si>
  <si>
    <t>TAG Pansy Mammoth Pink Berry 100/100 Pixie Tag SF</t>
  </si>
  <si>
    <t>0611840428100</t>
  </si>
  <si>
    <t>TAG Pansy Mammoth Prima Yellorina 100/100 Pixie Tag SF</t>
  </si>
  <si>
    <t>0611840429100</t>
  </si>
  <si>
    <t>TAG Pansy Mammoth Queen Yellow Bee 100/100 Pixie Tag SF</t>
  </si>
  <si>
    <t>0611840430100</t>
  </si>
  <si>
    <t>TAG Pansy Mammoth Rocky Rose 100/100 Pixie Tag SF</t>
  </si>
  <si>
    <t>0611840431100</t>
  </si>
  <si>
    <t>TAG Pansy Mammoth Sangria Punch 100/100 Pixie Tag SF</t>
  </si>
  <si>
    <t>0611840432100</t>
  </si>
  <si>
    <t>TAG Pansy Mammoth Series 100/100 Pixie Tag SF</t>
  </si>
  <si>
    <t>0611840433100</t>
  </si>
  <si>
    <t>TAG Pansy Mammoth Viva La Violet 100/100 Pixie Tag SF</t>
  </si>
  <si>
    <t>0611840434100</t>
  </si>
  <si>
    <t>TAG Pansy Mammoth White Hot 100/100 Pixie Tag SF</t>
  </si>
  <si>
    <t>0611840437100</t>
  </si>
  <si>
    <t>TAG Pansy Matrix Amber Mix 100/100 Pixie Tag</t>
  </si>
  <si>
    <t>0611840438100</t>
  </si>
  <si>
    <t>TAG Pansy Matrix Amethyst Mix 100/100 Pixie Tag</t>
  </si>
  <si>
    <t>0611840439100</t>
  </si>
  <si>
    <t>TAG Pansy Matrix Autumn Blaze Mix 100/100 Pixie Tag</t>
  </si>
  <si>
    <t>0611840440100</t>
  </si>
  <si>
    <t>TAG Pansy Matrix Beaconsfield 100/100 Pixie Tag</t>
  </si>
  <si>
    <t>0611840441100</t>
  </si>
  <si>
    <t>TAG Pansy Matrix Blotch Mix 100/100 Pixie Tag</t>
  </si>
  <si>
    <t>0611840442100</t>
  </si>
  <si>
    <t>TAG Pansy Matrix Blue 100/100 Pixie Tag</t>
  </si>
  <si>
    <t>0611840444100</t>
  </si>
  <si>
    <t>TAG Pansy Matrix Blue Wing 100/100 Pixie Tag</t>
  </si>
  <si>
    <t>0611840445100</t>
  </si>
  <si>
    <t>TAG Pansy Matrix Blue With Blotch 100/100 Pixie Tag</t>
  </si>
  <si>
    <t>0611840446100</t>
  </si>
  <si>
    <t>TAG Pansy Matrix Citrus Mix 100/100 Pixie Tag</t>
  </si>
  <si>
    <t>0611840447100</t>
  </si>
  <si>
    <t>TAG Pansy Matrix Clear Mix 100/100 Pixie Tag</t>
  </si>
  <si>
    <t>0611840448100</t>
  </si>
  <si>
    <t>TAG Pansy Matrix Coastal Sunrise Mix 100/100 Pixie Tag</t>
  </si>
  <si>
    <t>0611840449100</t>
  </si>
  <si>
    <t>TAG Pansy Matrix Daffodil Mix 100/100 Pixie Tag</t>
  </si>
  <si>
    <t>0611840450100</t>
  </si>
  <si>
    <t>TAG Pansy Matrix Deep Blue Blotch 100/100 Pixie Tag</t>
  </si>
  <si>
    <t>0611840451100</t>
  </si>
  <si>
    <t>TAG Pansy Matrix Deep Orange 100/100 Pixie Tag</t>
  </si>
  <si>
    <t>0611840452100</t>
  </si>
  <si>
    <t>TAG Pansy Matrix Denim 100/100 Pixie Tag</t>
  </si>
  <si>
    <t>0611840453100</t>
  </si>
  <si>
    <t>TAG Pansy Matrix Golden Yellow Blotch 100/100 Pixie Tag</t>
  </si>
  <si>
    <t>0611840454100</t>
  </si>
  <si>
    <t>TAG Pansy Matrix Halloween Mix 100/100 Pixie Tag</t>
  </si>
  <si>
    <t>0611840455100</t>
  </si>
  <si>
    <t>TAG Pansy Matrix Harvest Mix 100/100 Pixie Tag</t>
  </si>
  <si>
    <t>0611840456100</t>
  </si>
  <si>
    <t>TAG Pansy Matrix Jewels Mix 100/100 Pixie Tag</t>
  </si>
  <si>
    <t>0611840457100</t>
  </si>
  <si>
    <t>TAG Pansy Matrix Lavender Shades 100/100 Pixie Tag</t>
  </si>
  <si>
    <t>0611840458100</t>
  </si>
  <si>
    <t>TAG Pansy Matrix Lemon 100/100 Pixie Tag</t>
  </si>
  <si>
    <t>0611840459100</t>
  </si>
  <si>
    <t>TAG Pansy Matrix Light Blue 100/100 Pixie Tag</t>
  </si>
  <si>
    <t>0611840460100</t>
  </si>
  <si>
    <t>TAG Pansy Matrix Midnight Glow 100/100 Pixie Tag</t>
  </si>
  <si>
    <t>0611840461100</t>
  </si>
  <si>
    <t>TAG Pansy Matrix Mix 100/100 Pixie Tag</t>
  </si>
  <si>
    <t>0611840462100</t>
  </si>
  <si>
    <t>TAG Pansy Matrix Morpheus 100/100 Pixie Tag</t>
  </si>
  <si>
    <t>0611840463100</t>
  </si>
  <si>
    <t>TAG Pansy Matrix Ocean 100/100 Pixie Tag</t>
  </si>
  <si>
    <t>0611840464100</t>
  </si>
  <si>
    <t>TAG Pansy Matrix Ocean Breeze Mix 100/100 Pixie Tag</t>
  </si>
  <si>
    <t>0611840465100</t>
  </si>
  <si>
    <t>TAG Pansy Matrix Orange 100/100 Pixie Tag</t>
  </si>
  <si>
    <t>0611840466100</t>
  </si>
  <si>
    <t>TAG Pansy Matrix Pastel Mix 100/100 Pixie Tag</t>
  </si>
  <si>
    <t>0611840467100</t>
  </si>
  <si>
    <t>TAG Pansy Matrix Pink Shades 100/100 Pixie Tag</t>
  </si>
  <si>
    <t>0611840468100</t>
  </si>
  <si>
    <t>TAG Pansy Matrix Primrose 100/100 Pixie Tag</t>
  </si>
  <si>
    <t>0611840469100</t>
  </si>
  <si>
    <t>TAG Pansy Matrix Purple 100/100 Pixie Tag</t>
  </si>
  <si>
    <t>0611840470100</t>
  </si>
  <si>
    <t>TAG Pansy Matrix Purple And White 100/100 Pixie Tag</t>
  </si>
  <si>
    <t>0611840471100</t>
  </si>
  <si>
    <t>TAG Pansy Matrix Purple Blotch 100/100 Pixie Tag</t>
  </si>
  <si>
    <t>0611840472100</t>
  </si>
  <si>
    <t>TAG Pansy Matrix Raspberry Sundae Mix 100/100 Pixie Tag</t>
  </si>
  <si>
    <t>0611840475100</t>
  </si>
  <si>
    <t>TAG Pansy Matrix Red Wing 100/100 Pixie Tag</t>
  </si>
  <si>
    <t>0611840476100</t>
  </si>
  <si>
    <t>TAG Pansy Matrix Red With Blotch 100/100 Pixie Tag</t>
  </si>
  <si>
    <t>0611840477100</t>
  </si>
  <si>
    <t>TAG Pansy Matrix Rose 100/100 Pixie Tag</t>
  </si>
  <si>
    <t>0611840478100</t>
  </si>
  <si>
    <t>TAG Pansy Matrix Rose Wing 100/100 Pixie Tag</t>
  </si>
  <si>
    <t>0611840479100</t>
  </si>
  <si>
    <t>TAG Pansy Matrix Rose With Blotch 100/100 Pixie Tag</t>
  </si>
  <si>
    <t>0611840480100</t>
  </si>
  <si>
    <t>TAG Pansy Matrix Ruby Mix 100/100 Pixie Tag</t>
  </si>
  <si>
    <t>0611840481100</t>
  </si>
  <si>
    <t>TAG Pansy Matrix Sangria 100/100 Pixie Tag</t>
  </si>
  <si>
    <t>0611840482100</t>
  </si>
  <si>
    <t>TAG Pansy Matrix Scarlet 100/100 Pixie Tag</t>
  </si>
  <si>
    <t>0611840483100</t>
  </si>
  <si>
    <t>TAG Pansy Matrix Series 100/100 Pixie Tag</t>
  </si>
  <si>
    <t>0611840484100</t>
  </si>
  <si>
    <t>TAG Pansy Matrix Solar Flare 100/100 Pixie Tag</t>
  </si>
  <si>
    <t>0611840486100</t>
  </si>
  <si>
    <t>TAG Pansy Matrix Sunrise 100/100 Pixie Tag</t>
  </si>
  <si>
    <t>0611840487100</t>
  </si>
  <si>
    <t>TAG Pansy Matrix Tanzanite Mix 100/100 Pixie Tag</t>
  </si>
  <si>
    <t>0611840488100</t>
  </si>
  <si>
    <t>TAG Pansy Matrix Topaz N Garnet Mix 100/100 Pixie Tag</t>
  </si>
  <si>
    <t>0611840489100</t>
  </si>
  <si>
    <t>TAG Pansy Matrix Tricolor Mix 100/100 Pixie Tag</t>
  </si>
  <si>
    <t>0611840490100</t>
  </si>
  <si>
    <t>TAG Pansy Matrix True Blue 100/100 Pixie Tag</t>
  </si>
  <si>
    <t>0611840491100</t>
  </si>
  <si>
    <t>TAG Pansy Matrix White 100/100 Pixie Tag</t>
  </si>
  <si>
    <t>0611840492100</t>
  </si>
  <si>
    <t>TAG Pansy Matrix White With Blotch 100/100 Pixie Tag</t>
  </si>
  <si>
    <t>0611840494100</t>
  </si>
  <si>
    <t>TAG Pansy Matrix Yellow 100/100 Pixie Tag</t>
  </si>
  <si>
    <t>0611840493100</t>
  </si>
  <si>
    <t>TAG Pansy Matrix Yellow Purple Wing 100/100 Pixie Tag</t>
  </si>
  <si>
    <t>0611840495100</t>
  </si>
  <si>
    <t>TAG Pansy Matrix Yellow With Blotch 100/100 Pixie Tag</t>
  </si>
  <si>
    <t>0611840496100</t>
  </si>
  <si>
    <t>TAG Pansy Orange GENERIC Bilingual 100/100 Pixie Tag</t>
  </si>
  <si>
    <t>0611840510100</t>
  </si>
  <si>
    <t>TAG Pansy Panola Lilac Shades 100/100 Pixie Tag</t>
  </si>
  <si>
    <t>0611840513100</t>
  </si>
  <si>
    <t>TAG Pansy Panola Primrose 100/100 Pixie Tag</t>
  </si>
  <si>
    <t>0611840520100</t>
  </si>
  <si>
    <t>TAG Pansy Panola Silhouette Mix 100/100 Pixie Tag</t>
  </si>
  <si>
    <t>0611840497100</t>
  </si>
  <si>
    <t>TAG Pansy Panola XP Autumn Blaze Mix 100/100 Pixie Tag</t>
  </si>
  <si>
    <t>0611840498100</t>
  </si>
  <si>
    <t>TAG Pansy Panola XP Baby Boy Mix 100/100 Pixie Tag</t>
  </si>
  <si>
    <t>0611840499100</t>
  </si>
  <si>
    <t>TAG Pansy Panola XP Beaconsfield 100/100 Pixie Tag</t>
  </si>
  <si>
    <t>0611840500100</t>
  </si>
  <si>
    <t>TAG Pansy Panola XP Blackberry Sundae Mix 100/100 Pixie Tag</t>
  </si>
  <si>
    <t>0611840501100</t>
  </si>
  <si>
    <t>TAG Pansy Panola XP Blotch Mix 100/100 Pixie Tag</t>
  </si>
  <si>
    <t>0611840502100</t>
  </si>
  <si>
    <t>TAG Pansy Panola XP Citrus Mix 100/100 Pixie Tag</t>
  </si>
  <si>
    <t>0611840503100</t>
  </si>
  <si>
    <t>TAG Pansy Panola XP Clear Mix 100/100 Pixie Tag</t>
  </si>
  <si>
    <t>0611840504100</t>
  </si>
  <si>
    <t>0611840506100</t>
  </si>
  <si>
    <t>TAG Pansy Panola XP Deep Blue With Blotch 100/100 Pixie Tag</t>
  </si>
  <si>
    <t>0611840505100</t>
  </si>
  <si>
    <t>TAG Pansy Panola XP Deep Orange 100/100 Pixie Tag</t>
  </si>
  <si>
    <t>0611840507100</t>
  </si>
  <si>
    <t>TAG Pansy Panola XP Fire 100/100 Pixie Tag</t>
  </si>
  <si>
    <t>0611840508100</t>
  </si>
  <si>
    <t>TAG Pansy Panola XP Halloween Mix 100/100 Pixie Tag</t>
  </si>
  <si>
    <t>0611840509100</t>
  </si>
  <si>
    <t>TAG Pansy Panola XP Jewels N Jazz Mix 100/100 Pixie Tag</t>
  </si>
  <si>
    <t>0611840511100</t>
  </si>
  <si>
    <t>TAG Pansy Panola XP Marina 100/100 Pixie Tag</t>
  </si>
  <si>
    <t>0611840512100</t>
  </si>
  <si>
    <t>TAG Pansy Panola XP Mix 100/100 Pixie Tag</t>
  </si>
  <si>
    <t>0611840516100</t>
  </si>
  <si>
    <t>TAG Pansy Panola XP Purple 100/100 Pixie Tag</t>
  </si>
  <si>
    <t>0611840515100</t>
  </si>
  <si>
    <t>TAG Pansy Panola XP Purple Face 100/100 Pixie Tag</t>
  </si>
  <si>
    <t>0611840517100</t>
  </si>
  <si>
    <t>TAG Pansy Panola XP Rose Picotee 100/100 Pixie Tag</t>
  </si>
  <si>
    <t>0611840518100</t>
  </si>
  <si>
    <t>TAG Pansy Panola XP Scarlet 100/100 Pixie Tag</t>
  </si>
  <si>
    <t>0611840521100</t>
  </si>
  <si>
    <t>TAG Pansy Panola XP Sunburst 100/100 Pixie Tag</t>
  </si>
  <si>
    <t>0611840522100</t>
  </si>
  <si>
    <t>TAG Pansy Panola XP True Blue 100/100 Pixie Tag</t>
  </si>
  <si>
    <t>0611840525100</t>
  </si>
  <si>
    <t>TAG Pansy Panola XP White 100/100 Pixie Tag</t>
  </si>
  <si>
    <t>0611840524100</t>
  </si>
  <si>
    <t>TAG Pansy Panola XP White Blotch 100/100 Pixie Tag</t>
  </si>
  <si>
    <t>0611840527100</t>
  </si>
  <si>
    <t>TAG Pansy Panola XP Yellow 100/100 Pixie Tag</t>
  </si>
  <si>
    <t>0611840526100</t>
  </si>
  <si>
    <t>TAG Pansy Panola XP Yellow Blotch 100/100 Pixie Tag</t>
  </si>
  <si>
    <t>0611840528100</t>
  </si>
  <si>
    <t>TAG Pansy Panola Yellow And Purple 100/100 Pixie Tag</t>
  </si>
  <si>
    <t>0611840529100</t>
  </si>
  <si>
    <t>TAG Pansy Pansy GENERIC 100/100 Hang Tag</t>
  </si>
  <si>
    <t>0611840530025</t>
  </si>
  <si>
    <t>TAG Pansy Pansy GENERIC 25/25 Portrait Tag</t>
  </si>
  <si>
    <t>0611840531100</t>
  </si>
  <si>
    <t>TAG Pansy Pansy GENERIC Bilingual 100/100 Pixie Tag</t>
  </si>
  <si>
    <t>0611840532100</t>
  </si>
  <si>
    <t>TAG Pansy Patriot Mix 100/100 Pixie Tag</t>
  </si>
  <si>
    <t>0611840533100</t>
  </si>
  <si>
    <t>TAG Pansy Penny All Season Mix 100/100 Pixie Tag</t>
  </si>
  <si>
    <t>0611840534100</t>
  </si>
  <si>
    <t>TAG Pansy Penny Azure Dawn 100/100 Pixie Tag</t>
  </si>
  <si>
    <t>0611840535100</t>
  </si>
  <si>
    <t>TAG Pansy Penny Azure Twilight 100/100 Pixie Tag</t>
  </si>
  <si>
    <t>0611840537100</t>
  </si>
  <si>
    <t>TAG Pansy Penny Beaconsfield 100/100 Pixie Tag</t>
  </si>
  <si>
    <t>0611840538100</t>
  </si>
  <si>
    <t>TAG Pansy Penny Black 100/100 Pixie Tag</t>
  </si>
  <si>
    <t>0611840539100</t>
  </si>
  <si>
    <t>TAG Pansy Penny Blue 100/100 Pixie Tag</t>
  </si>
  <si>
    <t>0611840540100</t>
  </si>
  <si>
    <t>TAG Pansy Penny Citrus Mix 100/100 Pixie Tag</t>
  </si>
  <si>
    <t>0611840541100</t>
  </si>
  <si>
    <t>TAG Pansy Penny Clear Yellow 100/100 Pixie Tag</t>
  </si>
  <si>
    <t>0611840542100</t>
  </si>
  <si>
    <t>TAG Pansy Penny Deep Blue 100/100 Pixie Tag</t>
  </si>
  <si>
    <t>0611840543100</t>
  </si>
  <si>
    <t>TAG Pansy Penny Deep Marina 100/100 Pixie Tag</t>
  </si>
  <si>
    <t>0611840544100</t>
  </si>
  <si>
    <t>TAG Pansy Penny Jump Up Denim 100/100 Pixie Tag</t>
  </si>
  <si>
    <t>0611840545100</t>
  </si>
  <si>
    <t>TAG Pansy Penny Jump Up Mix 100/100 Pixie Tag</t>
  </si>
  <si>
    <t>0611840546100</t>
  </si>
  <si>
    <t>TAG Pansy Penny Jump Up Orange 100/100 Pixie Tag</t>
  </si>
  <si>
    <t>0611840547100</t>
  </si>
  <si>
    <t>TAG Pansy Penny Jump Up Peach 100/100 Pixie Tag</t>
  </si>
  <si>
    <t>0611840548100</t>
  </si>
  <si>
    <t>TAG Pansy Penny Jump Up White 100/100 Pixie Tag</t>
  </si>
  <si>
    <t>0611840549100</t>
  </si>
  <si>
    <t>TAG Pansy Penny Jump Up Yellow 100/100 Pixie Tag</t>
  </si>
  <si>
    <t>0611840550100</t>
  </si>
  <si>
    <t>TAG Pansy Penny Lane Mix 100/100 Pixie Tag</t>
  </si>
  <si>
    <t>0611840552100</t>
  </si>
  <si>
    <t>TAG Pansy Penny Marina 100/100 Pixie Tag</t>
  </si>
  <si>
    <t>0611840553100</t>
  </si>
  <si>
    <t>TAG Pansy Penny Marlies 100/100 Pixie Tag</t>
  </si>
  <si>
    <t>0611840554100</t>
  </si>
  <si>
    <t>TAG Pansy Penny Mickey 100/100 Pixie Tag</t>
  </si>
  <si>
    <t>0611840555100</t>
  </si>
  <si>
    <t>TAG Pansy Penny Orange 100/100 Pixie Tag</t>
  </si>
  <si>
    <t>0611840556100</t>
  </si>
  <si>
    <t>TAG Pansy Penny Orchid 100/100 Pixie Tag</t>
  </si>
  <si>
    <t>0611840557100</t>
  </si>
  <si>
    <t>TAG Pansy Penny Primrose Bicolor 100/100 Pixie Tag</t>
  </si>
  <si>
    <t>0611840559100</t>
  </si>
  <si>
    <t>TAG Pansy Penny Primrose Picotee 100/100 Pixie Tag</t>
  </si>
  <si>
    <t>0611840560100</t>
  </si>
  <si>
    <t>TAG Pansy Penny Purple Marina 100/100 Pixie Tag</t>
  </si>
  <si>
    <t>0611840561100</t>
  </si>
  <si>
    <t>TAG Pansy Penny Purple Picotee 100/100 Pixie Tag</t>
  </si>
  <si>
    <t>0611840562100</t>
  </si>
  <si>
    <t>TAG Pansy Penny Red Blotch 100/100 Pixie Tag</t>
  </si>
  <si>
    <t>0611840563100</t>
  </si>
  <si>
    <t>TAG Pansy Penny Red Wing 100/100 Pixie Tag</t>
  </si>
  <si>
    <t>0611840564100</t>
  </si>
  <si>
    <t>TAG Pansy Penny Rose Blotch 100/100 Pixie Tag</t>
  </si>
  <si>
    <t>0611840565100</t>
  </si>
  <si>
    <t>TAG Pansy Penny Series 100/100 Pixie Tag</t>
  </si>
  <si>
    <t>0611840566100</t>
  </si>
  <si>
    <t>TAG Pansy Penny Violet 100/100 Pixie Tag</t>
  </si>
  <si>
    <t>0611840567100</t>
  </si>
  <si>
    <t>TAG Pansy Penny Violet Face 100/100 Pixie Tag</t>
  </si>
  <si>
    <t>0611840569100</t>
  </si>
  <si>
    <t>TAG Pansy Penny Violet Tiger Face 100/100 Pixie Tag</t>
  </si>
  <si>
    <t>0611840570100</t>
  </si>
  <si>
    <t>TAG Pansy Penny White 100/100 Pixie Tag</t>
  </si>
  <si>
    <t>0611840571100</t>
  </si>
  <si>
    <t>TAG Pansy Penny White Blotch 100/100 Pixie Tag</t>
  </si>
  <si>
    <t>0611840572100</t>
  </si>
  <si>
    <t>TAG Pansy Penny Winter Mix 100/100 Pixie Tag</t>
  </si>
  <si>
    <t>0611840573100</t>
  </si>
  <si>
    <t>TAG Pansy Penny Yellow 100/100 Pixie Tag</t>
  </si>
  <si>
    <t>0611840574100</t>
  </si>
  <si>
    <t>TAG Pansy Penny Yellow Blotch 100/100 Pixie Tag</t>
  </si>
  <si>
    <t>0611840577100</t>
  </si>
  <si>
    <t>TAG Pansy Purple And Blue Shades 100/100 Pixie Tag</t>
  </si>
  <si>
    <t>0611840576100</t>
  </si>
  <si>
    <t>TAG Pansy Purple GENERIC Bilingual 100/100 Pixie Tag</t>
  </si>
  <si>
    <t>0611840578100</t>
  </si>
  <si>
    <t>TAG Pansy Purple With Blotch GENERIC Bilingual 100/100 Pixie Tag</t>
  </si>
  <si>
    <t>0611840583100</t>
  </si>
  <si>
    <t>TAG Pansy Quicktime Blue 100/100 Pixie Tag</t>
  </si>
  <si>
    <t>0611840582100</t>
  </si>
  <si>
    <t>TAG Pansy Quicktime Blue Purple Jump Up 100/100 Pixie Tag</t>
  </si>
  <si>
    <t>0611840584100</t>
  </si>
  <si>
    <t>TAG Pansy Quicktime Lemon Jump Up 100/100 Pixie Tag</t>
  </si>
  <si>
    <t>0611840585100</t>
  </si>
  <si>
    <t>TAG Pansy Quicktime Mickey 100/100 Pixie Tag</t>
  </si>
  <si>
    <t>0611840586100</t>
  </si>
  <si>
    <t>TAG Pansy Quicktime White Blotch 100/100 Pixie Tag</t>
  </si>
  <si>
    <t>0611840589100</t>
  </si>
  <si>
    <t>TAG Pansy Quicktime Yellow Blotch 100/100 Pixie Tag</t>
  </si>
  <si>
    <t>0611840587100</t>
  </si>
  <si>
    <t>TAG Pansy Quicktime Yellow Blue Jump Up 100/100 Pixie Tag</t>
  </si>
  <si>
    <t>0611840588100</t>
  </si>
  <si>
    <t>TAG Pansy Quicktime Yellow Violet Jump Up 100/100 Pixie Tag</t>
  </si>
  <si>
    <t>0611840591025</t>
  </si>
  <si>
    <t>TAG Pansy Rebecca 25/25 Portrait Tag</t>
  </si>
  <si>
    <t>0611840592100</t>
  </si>
  <si>
    <t>TAG Pansy Red GENERIC Bilingual 100/100 Pixie Tag</t>
  </si>
  <si>
    <t>0611840590100</t>
  </si>
  <si>
    <t>TAG Pansy Red With Blotch GENERIC Bilingual 100/100 Pixie Tag</t>
  </si>
  <si>
    <t>0611840593100</t>
  </si>
  <si>
    <t>TAG Pansy Rose GENERIC 100/100 Pixie Tag</t>
  </si>
  <si>
    <t>0611840595100</t>
  </si>
  <si>
    <t>TAG Pansy Rose Pink Shades GENERIC 100/100 Pixie Tag</t>
  </si>
  <si>
    <t>0611857048100</t>
  </si>
  <si>
    <t>TAG Pansy Select Orange With Blotch 100/100 Pixie Tag</t>
  </si>
  <si>
    <t>0611840695100</t>
  </si>
  <si>
    <t>TAG Pansy Ultima Morpho 100/100 Pixie Tag</t>
  </si>
  <si>
    <t>0611840697100</t>
  </si>
  <si>
    <t>TAG Pansy Ultima Radiance Red 100/100 Pixie Tag</t>
  </si>
  <si>
    <t>0611840698100</t>
  </si>
  <si>
    <t>TAG Pansy Ultima Radiance Violet 100/100 Pixie Tag</t>
  </si>
  <si>
    <t>0611840706100</t>
  </si>
  <si>
    <t>TAG Pansy Whiskers Orange 100/100 Pixie Tag</t>
  </si>
  <si>
    <t>0611840707100</t>
  </si>
  <si>
    <t>TAG Pansy Whiskers Purple And White 100/100 Pixie Tag</t>
  </si>
  <si>
    <t>0611840708100</t>
  </si>
  <si>
    <t>TAG Pansy Whiskers Red And Gold 100/100 Pixie Tag</t>
  </si>
  <si>
    <t>0611840709100</t>
  </si>
  <si>
    <t>TAG Pansy Whiskers White 100/100 Pixie Tag</t>
  </si>
  <si>
    <t>0611840710100</t>
  </si>
  <si>
    <t>TAG Pansy Whiskers Yellow 100/100 Pixie Tag</t>
  </si>
  <si>
    <t>0611840712100</t>
  </si>
  <si>
    <t>TAG Pansy Wine Flash 100/100 Pixie Tag</t>
  </si>
  <si>
    <t>0611840713100</t>
  </si>
  <si>
    <t>TAG Pansy WonderFall Rose Shades With Face 100/100 Pixie Tag</t>
  </si>
  <si>
    <t>0611840722100</t>
  </si>
  <si>
    <t>TAG Pansy WonderFall Yellow 100/100 Pixie Tag</t>
  </si>
  <si>
    <t>0611840720100</t>
  </si>
  <si>
    <t>TAG Pansy WonderFall Yellow With Red Wing 100/100 Pixie Tag</t>
  </si>
  <si>
    <t>0611837136100</t>
  </si>
  <si>
    <t>TAG Papaver Allegro 100/100 Pixie Tag</t>
  </si>
  <si>
    <t>0611837137025</t>
  </si>
  <si>
    <t>TAG Papaver Allegro 25/25 Portrait Tag</t>
  </si>
  <si>
    <t>0611837138025</t>
  </si>
  <si>
    <t>TAG Papaver Beauty Of Livermere 25/25 Portrait Tag</t>
  </si>
  <si>
    <t>0611837139025</t>
  </si>
  <si>
    <t>TAG Papaver Brilliant 25/25 Portrait Tag</t>
  </si>
  <si>
    <t>0611837140100</t>
  </si>
  <si>
    <t>TAG Papaver Champagne Bubbles Mix 100/100 Pixie Tag</t>
  </si>
  <si>
    <t>0611837141025</t>
  </si>
  <si>
    <t>TAG Papaver Champagne Bubbles Mix 25/25 Portrait Tag</t>
  </si>
  <si>
    <t>0611837142025</t>
  </si>
  <si>
    <t>TAG Papaver Garden Gnome 25/25 Portrait Tag</t>
  </si>
  <si>
    <t>0611837143100</t>
  </si>
  <si>
    <t>TAG Papaver Iceland GENERIC 100/100 Pixie Tag</t>
  </si>
  <si>
    <t>0611837145100</t>
  </si>
  <si>
    <t>TAG Papaver Mix 100/100 Pixie Tag</t>
  </si>
  <si>
    <t>0611837146025</t>
  </si>
  <si>
    <t>TAG Papaver Oriental Poppy GENERIC 25/25 Portrait Tag</t>
  </si>
  <si>
    <t>0611837147025</t>
  </si>
  <si>
    <t>TAG Papaver Pizzicato 25/25 Portrait Tag</t>
  </si>
  <si>
    <t>0611837148025</t>
  </si>
  <si>
    <t>TAG Papaver Prince Of Orange 25/25 Portrait Tag</t>
  </si>
  <si>
    <t>0611837149025</t>
  </si>
  <si>
    <t>TAG Papaver Princess Victoria Louise 25/25 Portrait Tag</t>
  </si>
  <si>
    <t>0611837150100</t>
  </si>
  <si>
    <t>TAG Papaver Red 100/100 Pixie Tag</t>
  </si>
  <si>
    <t>0611837151025</t>
  </si>
  <si>
    <t>TAG Papaver Royal Wedding 25/25 Portrait Tag</t>
  </si>
  <si>
    <t>0611837152025</t>
  </si>
  <si>
    <t>TAG Papaver Spring Fever Orange 25/25 Portrait Tag SF</t>
  </si>
  <si>
    <t>0611837153025</t>
  </si>
  <si>
    <t>TAG Papaver Spring Fever Red 25/25 Portrait Tag SF</t>
  </si>
  <si>
    <t>0611837154100</t>
  </si>
  <si>
    <t>TAG Papaver Spring Fever Series 100/100 Pixie Tag SF</t>
  </si>
  <si>
    <t>0611837155025</t>
  </si>
  <si>
    <t>TAG Papaver Spring Fever Series 25/25 Portrait Tag SF</t>
  </si>
  <si>
    <t>0611837156025</t>
  </si>
  <si>
    <t>TAG Papaver Spring Fever Yellow 25/25 Portrait Tag SF</t>
  </si>
  <si>
    <t>0611837157100</t>
  </si>
  <si>
    <t>TAG Papaver Wonderland Mix 100/100 Pixie Tag</t>
  </si>
  <si>
    <t>0611837158025</t>
  </si>
  <si>
    <t>TAG Papaver Wonderland Series 25/25 Portrait Tag</t>
  </si>
  <si>
    <t>0611837159025</t>
  </si>
  <si>
    <t>TAG Pardancanda Candy Lily GENERIC 25/25 Portrait Tag</t>
  </si>
  <si>
    <t>0611837500100</t>
  </si>
  <si>
    <t>TAG Parsley Banquet 100/100 Pixie Tag</t>
  </si>
  <si>
    <t>0611837501100</t>
  </si>
  <si>
    <t>TAG Parsley Curled 100/100 Pixie Tag</t>
  </si>
  <si>
    <t>0611837502200</t>
  </si>
  <si>
    <t>TAG Parsley Curled 200/200 Thriftee Tag</t>
  </si>
  <si>
    <t>0611837503025</t>
  </si>
  <si>
    <t>TAG Parsley Curled 25/25 Portrait Tag</t>
  </si>
  <si>
    <t>0611837160100</t>
  </si>
  <si>
    <t>TAG Parsley Curled Fine 100/100 Pixie Tag</t>
  </si>
  <si>
    <t>0611837504100</t>
  </si>
  <si>
    <t>TAG Parsley Extra Triple Curled 100/100 Pixie Tag</t>
  </si>
  <si>
    <t>0611837505025</t>
  </si>
  <si>
    <t>TAG Parsley Extra Triple Curled 25/25 Portrait Tag</t>
  </si>
  <si>
    <t>0611837506100</t>
  </si>
  <si>
    <t>TAG Parsley Forest Green 100/100 Pixie Tag</t>
  </si>
  <si>
    <t>0611884363025</t>
  </si>
  <si>
    <t>TAG Parsley Giant Of Italy 25/25 Portrait Tag</t>
  </si>
  <si>
    <t>0611837507100</t>
  </si>
  <si>
    <t>TAG Parsley Hamburg 100/100 Pixie Tag</t>
  </si>
  <si>
    <t>0611837508100</t>
  </si>
  <si>
    <t>TAG Parsley Italian 100/100 Pixie Tag</t>
  </si>
  <si>
    <t>0611837509200</t>
  </si>
  <si>
    <t>TAG Parsley Italian 200/200 Thriftee Tag</t>
  </si>
  <si>
    <t>0611837510100</t>
  </si>
  <si>
    <t>TAG Parsley Moss Curled Double 100/100 Pixie Tag</t>
  </si>
  <si>
    <t>0611837511100</t>
  </si>
  <si>
    <t>TAG Parsley Moss Curled Triple 100/100 Pixie Tag</t>
  </si>
  <si>
    <t>0611837161100</t>
  </si>
  <si>
    <t>TAG Parsley Plain 100/100 Pixie Tag</t>
  </si>
  <si>
    <t>0611837513200</t>
  </si>
  <si>
    <t>TAG Parsley Plain 200/200 Thriftee Tag</t>
  </si>
  <si>
    <t>0611884364100</t>
  </si>
  <si>
    <t>TAG Parsley Plain Italian 100/100 Pixie Tag</t>
  </si>
  <si>
    <t>0611837162025</t>
  </si>
  <si>
    <t>TAG Parsley Plain Italian 25/25 Portrait Tag</t>
  </si>
  <si>
    <t>0611837514100</t>
  </si>
  <si>
    <t>TAG Parsley Vaughan's XXX 100/100 Pixie Tag</t>
  </si>
  <si>
    <t>0611837166100</t>
  </si>
  <si>
    <t>TAG Passiflora Passion Vine 100/100 Pixie Tag</t>
  </si>
  <si>
    <t>0611837167025</t>
  </si>
  <si>
    <t>TAG Passiflora Passion Vine 25/25 Portrait Tag</t>
  </si>
  <si>
    <t>0611837168025</t>
  </si>
  <si>
    <t>TAG Pavonia Lasiopetala 25/25 Portrait Tag</t>
  </si>
  <si>
    <t>0611838499100</t>
  </si>
  <si>
    <t>TAG Peas GENERIC 100/100 Pixie Tag</t>
  </si>
  <si>
    <t>0611838498100</t>
  </si>
  <si>
    <t>TAG Peas Little Snowpea White 100/100 Pixie Tag</t>
  </si>
  <si>
    <t>0611838496100</t>
  </si>
  <si>
    <t>TAG Peas Patio Pride 100/100 Pixie Tag</t>
  </si>
  <si>
    <t>0611838500100</t>
  </si>
  <si>
    <t>TAG Peas Snak Hero 100/100 Pixie Tag SF</t>
  </si>
  <si>
    <t>0611857049100</t>
  </si>
  <si>
    <t>TAG Peas Sugar Dwarf Grey 100/100 Pixie Tag</t>
  </si>
  <si>
    <t>0611838501100</t>
  </si>
  <si>
    <t>TAG Peas Sugar Or Snow Genrc 100/100 Pixie Tag</t>
  </si>
  <si>
    <t>0611838502100</t>
  </si>
  <si>
    <t>TAG Peas Sugar Snap 100/100 Pixie Tag</t>
  </si>
  <si>
    <t>0611838503100</t>
  </si>
  <si>
    <t>TAG Peas Sugar Sprint 100/100 Pixie Tag SF</t>
  </si>
  <si>
    <t>0611838504100</t>
  </si>
  <si>
    <t>TAG Peas Super Sugar Snap 100/100 Pixie Tag SF</t>
  </si>
  <si>
    <t>0611834800025</t>
  </si>
  <si>
    <t>TAG Pennisetum Alopecuroides 25/25 Portrait Tag</t>
  </si>
  <si>
    <t>0611834801025</t>
  </si>
  <si>
    <t>TAG Pennisetum Cherry Sparkler 25/25 Portrait Tag</t>
  </si>
  <si>
    <t>0611834802100</t>
  </si>
  <si>
    <t>TAG Pennisetum Copper Prince 100/100 Pixie Tag</t>
  </si>
  <si>
    <t>0611834803100</t>
  </si>
  <si>
    <t>TAG Pennisetum Feathertop Fountain 100/100 Pixie Tag</t>
  </si>
  <si>
    <t>0611834804025</t>
  </si>
  <si>
    <t>TAG Pennisetum Fireworks 25/25 Portrait Tag</t>
  </si>
  <si>
    <t>0611834805100</t>
  </si>
  <si>
    <t>TAG Pennisetum Fountain 100/100 Pixie Tag</t>
  </si>
  <si>
    <t>0611834806100</t>
  </si>
  <si>
    <t>TAG Pennisetum Fountain Bilingual 100/100 Pixie Tag</t>
  </si>
  <si>
    <t>0611834807025</t>
  </si>
  <si>
    <t>TAG Pennisetum Fuzzy 25/25 Portrait Tag</t>
  </si>
  <si>
    <t>0611834809025</t>
  </si>
  <si>
    <t>TAG Pennisetum Hameln 25/25 Portrait Tag</t>
  </si>
  <si>
    <t>0611834810100</t>
  </si>
  <si>
    <t>TAG Pennisetum Jade Princess 100/100 Pixie Tag</t>
  </si>
  <si>
    <t>0611834811100</t>
  </si>
  <si>
    <t>TAG Pennisetum Jester Millet 100/100 Pixie Tag</t>
  </si>
  <si>
    <t>0611834812025</t>
  </si>
  <si>
    <t>TAG Pennisetum Jester Millet 25/25 Portrait Tag</t>
  </si>
  <si>
    <t>0611834813025</t>
  </si>
  <si>
    <t>TAG Pennisetum Little Bunny 25/25 Portrait Tag</t>
  </si>
  <si>
    <t>0611834815100</t>
  </si>
  <si>
    <t>TAG Pennisetum Purple Baron 100/100 Pixie Tag</t>
  </si>
  <si>
    <t>0611834816025</t>
  </si>
  <si>
    <t>TAG Pennisetum Purple Baron 25/25 Portrait Tag</t>
  </si>
  <si>
    <t>0611834817100</t>
  </si>
  <si>
    <t>TAG Pennisetum Purple Majesty 100/100 Pixie Tag</t>
  </si>
  <si>
    <t>0611834818025</t>
  </si>
  <si>
    <t>TAG Pennisetum Purple Majesty 25/25 Portrait Tag</t>
  </si>
  <si>
    <t>0611834819025</t>
  </si>
  <si>
    <t>TAG Pennisetum Rubrum 25/25 Portrait Tag</t>
  </si>
  <si>
    <t>0611834820025</t>
  </si>
  <si>
    <t>TAG Pennisetum Rubrum Fountain 25/25 Portrait Tag</t>
  </si>
  <si>
    <t>0611834821025</t>
  </si>
  <si>
    <t>TAG Pennisetum Sky Rocket 25/25 Portrait Tag</t>
  </si>
  <si>
    <t>0611837319100</t>
  </si>
  <si>
    <t>TAG Penstemon Arabesque Series 100/100 Pixie Tag SF</t>
  </si>
  <si>
    <t>0611837320025</t>
  </si>
  <si>
    <t>TAG Penstemon Beardtongue GENERIC 25/25 Portrait Tag</t>
  </si>
  <si>
    <t>0611837321025</t>
  </si>
  <si>
    <t>TAG Penstemon Carillo Purple X Mexicale 25/25 Portrait Tag</t>
  </si>
  <si>
    <t>0611837322025</t>
  </si>
  <si>
    <t>TAG Penstemon Carillo Red X Mexicale 25/25 Portrait Tag</t>
  </si>
  <si>
    <t>0611837324025</t>
  </si>
  <si>
    <t>TAG Penstemon Cha Cha Series 25/25 Portrait Tag</t>
  </si>
  <si>
    <t>0611837325025</t>
  </si>
  <si>
    <t>TAG Penstemon Cherry Sparks 25/25 Portrait Tag</t>
  </si>
  <si>
    <t>0611863388050</t>
  </si>
  <si>
    <t>TAG Penstemon Dakota Burgundy 50/50 Petite Portrait FUL</t>
  </si>
  <si>
    <t>0611837326025</t>
  </si>
  <si>
    <t>TAG Penstemon Dakota Burgundy Digitalis 25/25 Portrait Tag</t>
  </si>
  <si>
    <t>0611863389050</t>
  </si>
  <si>
    <t>TAG Penstemon Dakota Verde 50/50 Petite Portrait FUL</t>
  </si>
  <si>
    <t>0611837327025</t>
  </si>
  <si>
    <t>TAG Penstemon Dakota Verde Digitalis 25/25 Portrait Tag</t>
  </si>
  <si>
    <t>0611837328025</t>
  </si>
  <si>
    <t>TAG Penstemon Dark Towers 25/25 Portrait Tag</t>
  </si>
  <si>
    <t>0611837329025</t>
  </si>
  <si>
    <t>TAG Penstemon Electric Blue 25/25 Portrait Tag</t>
  </si>
  <si>
    <t>0611857050025</t>
  </si>
  <si>
    <t>TAG Penstemon Flock Of Flamingos 25/25 Portrait Tag</t>
  </si>
  <si>
    <t>0611837330025</t>
  </si>
  <si>
    <t>TAG Penstemon GENERIC Barbatus 25/25 Portrait Tag</t>
  </si>
  <si>
    <t>0611884342025</t>
  </si>
  <si>
    <t>TAG Penstemon Harlequin Magenta 25/25 Portrait Tag</t>
  </si>
  <si>
    <t>0611884343025</t>
  </si>
  <si>
    <t>TAG Penstemon Harlequin Pink 25/25 Portrait Tag</t>
  </si>
  <si>
    <t>0611884344025</t>
  </si>
  <si>
    <t>TAG Penstemon Harlequin Purple 25/25 Portrait Tag</t>
  </si>
  <si>
    <t>0611884345025</t>
  </si>
  <si>
    <t>TAG Penstemon Harlequin Red 25/25 Portrait Tag</t>
  </si>
  <si>
    <t>0611837331100</t>
  </si>
  <si>
    <t>TAG Penstemon Husker Red 100/100 Pixie Tag</t>
  </si>
  <si>
    <t>0611837332025</t>
  </si>
  <si>
    <t>TAG Penstemon Husker Red 25/25 Portrait Tag</t>
  </si>
  <si>
    <t>0611884346025</t>
  </si>
  <si>
    <t>TAG Penstemon Husker Red Superior 25/25 Portrait Tag</t>
  </si>
  <si>
    <t>0611837337100</t>
  </si>
  <si>
    <t>TAG Penstemon Partybells Red 100/100 Pixie Tag SF</t>
  </si>
  <si>
    <t>0611837338100</t>
  </si>
  <si>
    <t>TAG Penstemon Partybells Violet 100/100 Pixie Tag SF</t>
  </si>
  <si>
    <t>0611863390100</t>
  </si>
  <si>
    <t>TAG Penstemon Peptalk Cerise 100/100 Pixie Tag FUL</t>
  </si>
  <si>
    <t>0611863391050</t>
  </si>
  <si>
    <t>TAG Penstemon Peptalk Cerise Limited Availability 50/50 Petite Portrait</t>
  </si>
  <si>
    <t>0611863392100</t>
  </si>
  <si>
    <t>TAG Penstemon Peptalk Hot Pink 100/100 Pixie Tag FUL</t>
  </si>
  <si>
    <t>0611863393050</t>
  </si>
  <si>
    <t>TAG Penstemon Peptalk Hot Pink Limited Availability 50/50 Petite Portrait</t>
  </si>
  <si>
    <t>0611863394100</t>
  </si>
  <si>
    <t>TAG Penstemon Peptalk Pretty Pink 100/100 Pixie Tag FUL</t>
  </si>
  <si>
    <t>0611863395100</t>
  </si>
  <si>
    <t>TAG Penstemon Peptalk Purple 100/100 Pixie Tag FUL</t>
  </si>
  <si>
    <t>0611863396050</t>
  </si>
  <si>
    <t>TAG Penstemon Peptalk Purple Limited Availability 50/50 Petite Portrait</t>
  </si>
  <si>
    <t>0611863397100</t>
  </si>
  <si>
    <t>TAG Penstemon Peptalk Red 100/100 Pixie Tag FUL</t>
  </si>
  <si>
    <t>0611863398050</t>
  </si>
  <si>
    <t>TAG Penstemon Peptalk Red Limited Availability 50/50 Petite Portrait</t>
  </si>
  <si>
    <t>0611863399050</t>
  </si>
  <si>
    <t>TAG Penstemon Phoenix Appleblossom 50/50 Petite Portrait SF FUL</t>
  </si>
  <si>
    <t>0611863400050</t>
  </si>
  <si>
    <t>TAG Penstemon Phoenix Lavender 50/50 Petite Portrait SF FUL</t>
  </si>
  <si>
    <t>0611863401050</t>
  </si>
  <si>
    <t>TAG Penstemon Phoenix Magenta 50/50 Petite Portrait SF FUL</t>
  </si>
  <si>
    <t>0611863402050</t>
  </si>
  <si>
    <t>TAG Penstemon Phoenix Pink 50/50 Petite Portrait SF FUL</t>
  </si>
  <si>
    <t>0611863403050</t>
  </si>
  <si>
    <t>TAG Penstemon Phoenix Red 50/50 Petite Portrait SF FUL</t>
  </si>
  <si>
    <t>0611863404050</t>
  </si>
  <si>
    <t>TAG Penstemon Phoenix Violet 50/50 Petite Portrait SF FUL</t>
  </si>
  <si>
    <t>0611837343025</t>
  </si>
  <si>
    <t>TAG Penstemon Prairie Dusk 25/25 Portrait Tag</t>
  </si>
  <si>
    <t>0611863405100</t>
  </si>
  <si>
    <t>TAG Penstemon Pristine Blue 100/100 Pixie Tag FUL</t>
  </si>
  <si>
    <t>0611863406100</t>
  </si>
  <si>
    <t>TAG Penstemon Pristine Deep Rose 100/100 Pixie Tag FUL</t>
  </si>
  <si>
    <t>0611863407050</t>
  </si>
  <si>
    <t>TAG Penstemon Pristine Deep Rose 50/50 Petite Portrait FUL</t>
  </si>
  <si>
    <t>0611863408100</t>
  </si>
  <si>
    <t>TAG Penstemon Pristine Lila Purple 100/100 Pixie Tag FUL</t>
  </si>
  <si>
    <t>0611863409100</t>
  </si>
  <si>
    <t>TAG Penstemon Pristine Lipstick 100/100 Pixie Tag FUL</t>
  </si>
  <si>
    <t>0611863410100</t>
  </si>
  <si>
    <t>TAG Penstemon Pristine Nightshade 100/100 Pixie Tag FUL</t>
  </si>
  <si>
    <t>0611863411100</t>
  </si>
  <si>
    <t>TAG Penstemon Pristine Pink 100/100 Pixie Tag FUL</t>
  </si>
  <si>
    <t>0611863412100</t>
  </si>
  <si>
    <t>TAG Penstemon Pristine Primrose 100/100 Pixie Tag FUL</t>
  </si>
  <si>
    <t>0611863413100</t>
  </si>
  <si>
    <t>TAG Penstemon Pristine Princess 100/100 Pixie Tag FUL</t>
  </si>
  <si>
    <t>0611863414100</t>
  </si>
  <si>
    <t>TAG Penstemon Pristine Scarlet 100/100 Pixie Tag FUL</t>
  </si>
  <si>
    <t>0611837344025</t>
  </si>
  <si>
    <t>TAG Penstemon Quartz Amethyst 25/25 Portrait Tag</t>
  </si>
  <si>
    <t>0611837345025</t>
  </si>
  <si>
    <t>TAG Penstemon Quartz Red 25/25 Portrait Tag</t>
  </si>
  <si>
    <t>0611837346025</t>
  </si>
  <si>
    <t>TAG Penstemon Quartz Rose 25/25 Portrait Tag</t>
  </si>
  <si>
    <t>0611837348025</t>
  </si>
  <si>
    <t>TAG Penstemon Riding Hood Red 25/25 Portrait Tag</t>
  </si>
  <si>
    <t>0611837349025</t>
  </si>
  <si>
    <t>TAG Penstemon Rock Candy Blue 25/25 Portrait Tag</t>
  </si>
  <si>
    <t>0611837350025</t>
  </si>
  <si>
    <t>TAG Penstemon Rock Candy Light Pink 25/25 Portrait Tag</t>
  </si>
  <si>
    <t>0611837351025</t>
  </si>
  <si>
    <t>TAG Penstemon Rock Candy Pink 25/25 Portrait Tag</t>
  </si>
  <si>
    <t>0611837352025</t>
  </si>
  <si>
    <t>TAG Penstemon Rock Candy Ruby 25/25 Portrait Tag</t>
  </si>
  <si>
    <t>0611837353100</t>
  </si>
  <si>
    <t>TAG Penstemon Rondo Mix Barbatus 100/100 Pixie Tag</t>
  </si>
  <si>
    <t>0611863415100</t>
  </si>
  <si>
    <t>TAG Penstemon Super Star Limited Availability 100/100 Pixie Tag</t>
  </si>
  <si>
    <t>0611863416050</t>
  </si>
  <si>
    <t>TAG Penstemon Super Star Limited Availability 50/50 Petite Portrait</t>
  </si>
  <si>
    <t>0611837356025</t>
  </si>
  <si>
    <t>TAG Penstemon Twizzle Coral Barbatus 25/25 Portrait Tag</t>
  </si>
  <si>
    <t>0611837359100</t>
  </si>
  <si>
    <t>TAG Pentas Beebright Lipstick 100/100 Pixie Tag</t>
  </si>
  <si>
    <t>0611837360100</t>
  </si>
  <si>
    <t>TAG Pentas Beebright Mix 100/100 Pixie Tag</t>
  </si>
  <si>
    <t>0611837361100</t>
  </si>
  <si>
    <t>TAG Pentas Beebright Pink 100/100 Pixie Tag</t>
  </si>
  <si>
    <t>0611837362100</t>
  </si>
  <si>
    <t>TAG Pentas Beebright Red 100/100 Pixie Tag SF</t>
  </si>
  <si>
    <t>0611837363100</t>
  </si>
  <si>
    <t>TAG Pentas Beebright Violet 100/100 Pixie Tag SF</t>
  </si>
  <si>
    <t>0611837364100</t>
  </si>
  <si>
    <t>TAG Pentas Beebright White 100/100 Pixie Tag SF</t>
  </si>
  <si>
    <t>0611857051100</t>
  </si>
  <si>
    <t>TAG Pentas Beehive White 100/100 Pixie Tag SF</t>
  </si>
  <si>
    <t>0611837366100</t>
  </si>
  <si>
    <t>TAG Pentas Butterfly Deep Pink 100/100 Pixie Tag</t>
  </si>
  <si>
    <t>0611837367100</t>
  </si>
  <si>
    <t>TAG Pentas Butterfly Deep Rose 100/100 Pixie Tag</t>
  </si>
  <si>
    <t>0611837368100</t>
  </si>
  <si>
    <t>TAG Pentas Butterfly Lavender Shades 100/100 Pixie Tag</t>
  </si>
  <si>
    <t>0611837369100</t>
  </si>
  <si>
    <t>TAG Pentas Butterfly Light Lavender 100/100 Pixie Tag</t>
  </si>
  <si>
    <t>0611837370100</t>
  </si>
  <si>
    <t>TAG Pentas Butterfly Mix 100/100 Pixie Tag</t>
  </si>
  <si>
    <t>0611837371100</t>
  </si>
  <si>
    <t>TAG Pentas Butterfly Orchid 100/100 Pixie Tag</t>
  </si>
  <si>
    <t>0611837373100</t>
  </si>
  <si>
    <t>TAG Pentas Butterfly Red 100/100 Pixie Tag</t>
  </si>
  <si>
    <t>0611837374100</t>
  </si>
  <si>
    <t>TAG Pentas Butterfly White 100/100 Pixie Tag</t>
  </si>
  <si>
    <t>0611863417050</t>
  </si>
  <si>
    <t>TAG Pentas Falling Star Hot Pink 50/50 Petite Portrait SF FUL</t>
  </si>
  <si>
    <t>0611863418050</t>
  </si>
  <si>
    <t>TAG Pentas Falling Star Pink Bicolor 50/50 Petite Portrait SF FUL</t>
  </si>
  <si>
    <t>0611863419050</t>
  </si>
  <si>
    <t>TAG Pentas Falling Star Red 50/50 Petite Portrait SF FUL</t>
  </si>
  <si>
    <t>0611863420050</t>
  </si>
  <si>
    <t>TAG Pentas Falling Star Rose 50/50 Petite Portrait SF FUL</t>
  </si>
  <si>
    <t>0611863421050</t>
  </si>
  <si>
    <t>TAG Pentas Falling Star White 50/50 Petite Portrait SF FUL</t>
  </si>
  <si>
    <t>0611837426100</t>
  </si>
  <si>
    <t>TAG Pentas GENERIC 100/100 Pixie Tag FUL</t>
  </si>
  <si>
    <t>0611837427025</t>
  </si>
  <si>
    <t>TAG Pentas GENERIC 25/25 Portrait Tag</t>
  </si>
  <si>
    <t>0611837375100</t>
  </si>
  <si>
    <t>TAG Pentas Glitterati Purple Star 100/100 Pixie Tag</t>
  </si>
  <si>
    <t>0611837376100</t>
  </si>
  <si>
    <t>TAG Pentas Glitterati Red Star 100/100 Pixie Tag</t>
  </si>
  <si>
    <t>0611857052100</t>
  </si>
  <si>
    <t>TAG Pentas Graffiti 20/20 Appleblossom 100/100 Pixie Tag</t>
  </si>
  <si>
    <t>0611837377100</t>
  </si>
  <si>
    <t>TAG Pentas Graffiti 20/20 Cranberry 100/100 Pixie Tag</t>
  </si>
  <si>
    <t>0611837378100</t>
  </si>
  <si>
    <t>TAG Pentas Graffiti 20/20 Flrty Pink 100/100 Pixie Tag</t>
  </si>
  <si>
    <t>0611837379100</t>
  </si>
  <si>
    <t>TAG Pentas Graffiti 20/20 Fuchsia 100/100 Pixie Tag</t>
  </si>
  <si>
    <t>0611837380100</t>
  </si>
  <si>
    <t>TAG Pentas Graffiti 20/20 Lavender Pink 100/100 Pixie Tag</t>
  </si>
  <si>
    <t>0611837381100</t>
  </si>
  <si>
    <t>TAG Pentas Graffiti 20/20 Lazer Pink 100/100 Pixie Tag</t>
  </si>
  <si>
    <t>0611837382100</t>
  </si>
  <si>
    <t>TAG Pentas Graffiti 20/20 Mix 100/100 Pixie Tag</t>
  </si>
  <si>
    <t>0611837383100</t>
  </si>
  <si>
    <t>TAG Pentas Graffiti 20/20 Ruby 100/100 Pixie Tag</t>
  </si>
  <si>
    <t>0611837384100</t>
  </si>
  <si>
    <t>TAG Pentas Graffiti 20/20 True Pink 100/100 Pixie Tag</t>
  </si>
  <si>
    <t>0611837385100</t>
  </si>
  <si>
    <t>TAG Pentas Graffiti 20/20 Ultra Violet 100/100 Pixie Tag</t>
  </si>
  <si>
    <t>0611837386100</t>
  </si>
  <si>
    <t>TAG Pentas Graffiti 20/20 White 100/100 Pixie Tag</t>
  </si>
  <si>
    <t>0611837387100</t>
  </si>
  <si>
    <t>TAG Pentas Graffiti Bright Red 100/100 Pixie Tag</t>
  </si>
  <si>
    <t>0611837388100</t>
  </si>
  <si>
    <t>TAG Pentas Graffiti Lavender 100/100 Pixie Tag</t>
  </si>
  <si>
    <t>0611837389100</t>
  </si>
  <si>
    <t>TAG Pentas Graffiti Lipstick 100/100 Pixie Tag</t>
  </si>
  <si>
    <t>0611837390100</t>
  </si>
  <si>
    <t>TAG Pentas Graffiti Mix 100/100 Pixie Tag</t>
  </si>
  <si>
    <t>0611837391100</t>
  </si>
  <si>
    <t>TAG Pentas Graffiti Pink 100/100 Pixie Tag</t>
  </si>
  <si>
    <t>0611837393100</t>
  </si>
  <si>
    <t>TAG Pentas Graffiti Red Velvet 100/100 Pixie Tag</t>
  </si>
  <si>
    <t>0611837394100</t>
  </si>
  <si>
    <t>TAG Pentas Graffiti Rose 100/100 Pixie Tag</t>
  </si>
  <si>
    <t>0611837395100</t>
  </si>
  <si>
    <t>TAG Pentas Graffiti Series 100/100 Pixie Tag</t>
  </si>
  <si>
    <t>0611837396100</t>
  </si>
  <si>
    <t>TAG Pentas Graffiti Violet 100/100 Pixie Tag</t>
  </si>
  <si>
    <t>0611837397100</t>
  </si>
  <si>
    <t>TAG Pentas Graffiti White 100/100 Pixie Tag</t>
  </si>
  <si>
    <t>0611837400100</t>
  </si>
  <si>
    <t>TAG Pentas Honeycluster Pink 100/100 Pixie Tag SF</t>
  </si>
  <si>
    <t>0611837405100</t>
  </si>
  <si>
    <t>TAG Pentas Kaleidoscope Deep Red 100/100 Pixie Tag</t>
  </si>
  <si>
    <t>0611837410100</t>
  </si>
  <si>
    <t>TAG Pentas Look Mix 100/100 Pixie Tag</t>
  </si>
  <si>
    <t>0611837411100</t>
  </si>
  <si>
    <t>TAG Pentas Look Pink 100/100 Pixie Tag</t>
  </si>
  <si>
    <t>0611837412100</t>
  </si>
  <si>
    <t>TAG Pentas Look Red 100/100 Pixie Tag</t>
  </si>
  <si>
    <t>0611837414100</t>
  </si>
  <si>
    <t>TAG Pentas Look Violet 100/100 Pixie Tag</t>
  </si>
  <si>
    <t>0611837415100</t>
  </si>
  <si>
    <t>TAG Pentas Look White 100/100 Pixie Tag</t>
  </si>
  <si>
    <t>0611837416100</t>
  </si>
  <si>
    <t>TAG Pentas Lucky Star Dark Red 100/100 Pixie Tag</t>
  </si>
  <si>
    <t>0611837417100</t>
  </si>
  <si>
    <t>TAG Pentas Lucky Star Deep Pink 100/100 Pixie Tag</t>
  </si>
  <si>
    <t>0611837418100</t>
  </si>
  <si>
    <t>TAG Pentas Lucky Star Lavender 100/100 Pixie Tag</t>
  </si>
  <si>
    <t>0611837419100</t>
  </si>
  <si>
    <t>TAG Pentas Lucky Star Lipstick 100/100 Pixie Tag</t>
  </si>
  <si>
    <t>0611837420100</t>
  </si>
  <si>
    <t>TAG Pentas Lucky Star Mix 100/100 Pixie Tag</t>
  </si>
  <si>
    <t>0611837421100</t>
  </si>
  <si>
    <t>TAG Pentas Lucky Star Pink 100/100 Pixie Tag</t>
  </si>
  <si>
    <t>0611837422100</t>
  </si>
  <si>
    <t>TAG Pentas Lucky Star Raspberry 100/100 Pixie Tag</t>
  </si>
  <si>
    <t>0611837423100</t>
  </si>
  <si>
    <t>TAG Pentas Lucky Star Violet 100/100 Pixie Tag</t>
  </si>
  <si>
    <t>0611837424100</t>
  </si>
  <si>
    <t>TAG Pentas Lucky Star White 100/100 Pixie Tag</t>
  </si>
  <si>
    <t>0611863422050</t>
  </si>
  <si>
    <t>TAG Pentas Pinata Lavender 50/50 Petite Portrait FUL</t>
  </si>
  <si>
    <t>0611863423050</t>
  </si>
  <si>
    <t>TAG Pentas Pinata Pink 50/50 Petite Portrait FUL</t>
  </si>
  <si>
    <t>0611863424050</t>
  </si>
  <si>
    <t>TAG Pentas Pinata Red 50/50 Petite Portrait FUL</t>
  </si>
  <si>
    <t>0611863425050</t>
  </si>
  <si>
    <t>TAG Pentas Pinata White 50/50 Petite Portrait FUL</t>
  </si>
  <si>
    <t>0611863426050</t>
  </si>
  <si>
    <t>TAG Pentas Starcluster Appleblossom 50/50 Petite Portrait SF FUL</t>
  </si>
  <si>
    <t>0611863427050</t>
  </si>
  <si>
    <t>TAG Pentas Starcluster Cascade Blush 50/50 Petite Portrait SF FUL</t>
  </si>
  <si>
    <t>0611863428050</t>
  </si>
  <si>
    <t>TAG Pentas Starcluster Cascade Pink Bicolor 50/50 Petite Portrait SF FUL</t>
  </si>
  <si>
    <t>0611863429050</t>
  </si>
  <si>
    <t>TAG Pentas Starcluster Cascade Red 50/50 Petite Portrait SF FUL</t>
  </si>
  <si>
    <t>0611863430050</t>
  </si>
  <si>
    <t>TAG Pentas Starcluster Cascade White 50/50 Petite Portrait SF FUL</t>
  </si>
  <si>
    <t>0611863431050</t>
  </si>
  <si>
    <t>TAG Pentas Starcluster Lavender 50/50 Petite Portrait SF FUL</t>
  </si>
  <si>
    <t>0611863432050</t>
  </si>
  <si>
    <t>TAG Pentas Starcluster Light Pink 50/50 Petite Portrait SF FUL</t>
  </si>
  <si>
    <t>0611863433050</t>
  </si>
  <si>
    <t>TAG Pentas Starcluster Pink 50/50 Petite Portrait SF FUL</t>
  </si>
  <si>
    <t>0611863434050</t>
  </si>
  <si>
    <t>TAG Pentas Starcluster Red 50/50 Petite Portrait SF FUL</t>
  </si>
  <si>
    <t>0611863435050</t>
  </si>
  <si>
    <t>TAG Pentas Starcluster Rose Improved 50/50 Petite Portrait SF FUL</t>
  </si>
  <si>
    <t>0611863436050</t>
  </si>
  <si>
    <t>TAG Pentas Starcluster Violet 50/50 Petite Portrait SF FUL</t>
  </si>
  <si>
    <t>0611863437050</t>
  </si>
  <si>
    <t>TAG Pentas Starcluster White 50/50 Petite Portrait SF FUL</t>
  </si>
  <si>
    <t>0611837127025</t>
  </si>
  <si>
    <t>TAG Peony GENERIC 25/25 Portrait Tag</t>
  </si>
  <si>
    <t>0611837126025</t>
  </si>
  <si>
    <t>TAG Peony Karl Rosenfield 25/25 Portrait Tag</t>
  </si>
  <si>
    <t>0611863378050</t>
  </si>
  <si>
    <t>TAG Peony Paeoni Corto Bicolor 50/50 Petite Portrait FUL</t>
  </si>
  <si>
    <t>0611863379050</t>
  </si>
  <si>
    <t>TAG Peony Paeoni Corto Pink 50/50 Petite Portrait FUL</t>
  </si>
  <si>
    <t>0611863380050</t>
  </si>
  <si>
    <t>TAG Peony Paeoni Corto Red 50/50 Petite Portrait FUL</t>
  </si>
  <si>
    <t>0611863381050</t>
  </si>
  <si>
    <t>TAG Peony Paeoni Dwarf Pink 50/50 Petite Portrait FUL</t>
  </si>
  <si>
    <t>0611863382050</t>
  </si>
  <si>
    <t>TAG Peony Paeoni Dwarf Red 50/50 Petite Portrait FUL</t>
  </si>
  <si>
    <t>0611863383050</t>
  </si>
  <si>
    <t>TAG Peony Paeoni Happy Maroon 50/50 Petite Portrait FUL</t>
  </si>
  <si>
    <t>0611863384050</t>
  </si>
  <si>
    <t>TAG Peony Paeoni Happy Pink 50/50 Petite Portrait FUL</t>
  </si>
  <si>
    <t>0611863385050</t>
  </si>
  <si>
    <t>TAG Peony Paeoni Happy Red 50/50 Petite Portrait FUL</t>
  </si>
  <si>
    <t>0611863386050</t>
  </si>
  <si>
    <t>TAG Peony Paeoni Happy Salmon 50/50 Petite Portrait FUL</t>
  </si>
  <si>
    <t>0611863387050</t>
  </si>
  <si>
    <t>TAG Peony Paeoni Happy White 50/50 Petite Portrait FUL</t>
  </si>
  <si>
    <t>0611837128025</t>
  </si>
  <si>
    <t>TAG Peony Pink Double GENERIC 25/25 Portrait Tag</t>
  </si>
  <si>
    <t>0611837129025</t>
  </si>
  <si>
    <t>TAG Peony Red Double GENERIC 25/25 Portrait Tag</t>
  </si>
  <si>
    <t>0611837130025</t>
  </si>
  <si>
    <t>TAG Peony Sarah Bernhardt 25/25 Portrait Tag</t>
  </si>
  <si>
    <t>0611837131025</t>
  </si>
  <si>
    <t>TAG Peony White Double GENERIC 25/25 Portrait Tag</t>
  </si>
  <si>
    <t>0611863438100</t>
  </si>
  <si>
    <t>TAG Peperomia Citrus Twist 100/100 Pixie Tag</t>
  </si>
  <si>
    <t>0611863439100</t>
  </si>
  <si>
    <t>TAG Peperomia Emerald Isle 100/100 Pixie Tag</t>
  </si>
  <si>
    <t>0611863440100</t>
  </si>
  <si>
    <t>TAG Peperomia Ferreyrae 100/100 Pixie Tag FUL</t>
  </si>
  <si>
    <t>0611837428100</t>
  </si>
  <si>
    <t>TAG Peperomia GENERIC 100/100 Pixie Tag</t>
  </si>
  <si>
    <t>0611863441100</t>
  </si>
  <si>
    <t>TAG Peperomia Graveolens 100/100 Pixie Tag FUL</t>
  </si>
  <si>
    <t>0611884347100</t>
  </si>
  <si>
    <t>TAG Peperomia Happy Bean 100/100 Pixie Tag</t>
  </si>
  <si>
    <t>0611884348100</t>
  </si>
  <si>
    <t>TAG Peperomia Jitterbug 100/100 Pixie Tag</t>
  </si>
  <si>
    <t>0611863442100</t>
  </si>
  <si>
    <t>TAG Peperomia Leap Frog 100/100 Pixie Tag</t>
  </si>
  <si>
    <t>0611863443100</t>
  </si>
  <si>
    <t>TAG Peperomia Marble 100/100 Pixie Tag FUL</t>
  </si>
  <si>
    <t>0611884349100</t>
  </si>
  <si>
    <t>TAG Peperomia Pepperspot 100/100 Pixie Tag</t>
  </si>
  <si>
    <t>0611884350100</t>
  </si>
  <si>
    <t>TAG Peperomia Piccola Banda Generic 100/100 Pixie Tag</t>
  </si>
  <si>
    <t>0611884351100</t>
  </si>
  <si>
    <t>TAG Peperomia Red Log Verticillata 100/100 Pixie Tag</t>
  </si>
  <si>
    <t>0611837429100</t>
  </si>
  <si>
    <t>TAG Peperomia Rippled Leaf 100/100 Pixie Tag</t>
  </si>
  <si>
    <t>0611884352100</t>
  </si>
  <si>
    <t>TAG Peperomia Ruby Glow 100/100 Pixie Tag</t>
  </si>
  <si>
    <t>0611837430100</t>
  </si>
  <si>
    <t>TAG Peperomia String Turtles 100/100 Pixie Tag</t>
  </si>
  <si>
    <t>0611884353100</t>
  </si>
  <si>
    <t>TAG Peperomia Watermelon 100/100 Pixie Tag</t>
  </si>
  <si>
    <t>0611832321100</t>
  </si>
  <si>
    <t>TAG Pepper Ace 100/100 Pixie Tag</t>
  </si>
  <si>
    <t>0611832322100</t>
  </si>
  <si>
    <t>TAG Pepper Aconcaqua 100/100 Pixie Tag</t>
  </si>
  <si>
    <t>0611832323100</t>
  </si>
  <si>
    <t>TAG Pepper Admiral 100/100 Pixie Tag</t>
  </si>
  <si>
    <t>0611837431100</t>
  </si>
  <si>
    <t>TAG Pepper Adobo Hot Kitchen Minis 100/100 Pixie Tag</t>
  </si>
  <si>
    <t>0611832324100</t>
  </si>
  <si>
    <t>TAG Pepper Aji Rico 100/100 Pixie Tag</t>
  </si>
  <si>
    <t>0611832325100</t>
  </si>
  <si>
    <t>TAG Pepper Aladdin 100/100 Pixie Tag</t>
  </si>
  <si>
    <t>0611832326100</t>
  </si>
  <si>
    <t>TAG Pepper Alter Ego 100/100 Pixie Tag</t>
  </si>
  <si>
    <t>0611832327100</t>
  </si>
  <si>
    <t>TAG Pepper Anaheim Chili 100/100 Pixie Tag</t>
  </si>
  <si>
    <t>0611832328200</t>
  </si>
  <si>
    <t>TAG Pepper Anaheim Chili 200/200 Thriftee Tag</t>
  </si>
  <si>
    <t>0611837432100</t>
  </si>
  <si>
    <t>TAG Pepper Ancho Poblano 100/100 Pixie Tag</t>
  </si>
  <si>
    <t>0611832329100</t>
  </si>
  <si>
    <t>TAG Pepper Ancho Sanchez 100/100 Pixie Tag</t>
  </si>
  <si>
    <t>0611837433100</t>
  </si>
  <si>
    <t>TAG Pepper Apache Chili 100/100 Pixie Tag SF</t>
  </si>
  <si>
    <t>0611832330100</t>
  </si>
  <si>
    <t>TAG Pepper Aruba 100/100 Pixie Tag SF</t>
  </si>
  <si>
    <t>0611832331100</t>
  </si>
  <si>
    <t>TAG Pepper Atomic 100/100 Pixie Tag</t>
  </si>
  <si>
    <t>0611832332100</t>
  </si>
  <si>
    <t>TAG Pepper Banana Supreme 100/100 Pixie Tag</t>
  </si>
  <si>
    <t>0611837434100</t>
  </si>
  <si>
    <t>TAG Pepper Baron 100/100 Pixie Tag</t>
  </si>
  <si>
    <t>0611832333100</t>
  </si>
  <si>
    <t>TAG Pepper Basket Of Fire 100/100 Pixie Tag</t>
  </si>
  <si>
    <t>0611832334100</t>
  </si>
  <si>
    <t>TAG Pepper Bayonet 100/100 Pixie Tag SF</t>
  </si>
  <si>
    <t>0611832335100</t>
  </si>
  <si>
    <t>TAG Pepper Bell 100/100 Pixie Tag</t>
  </si>
  <si>
    <t>0611832336100</t>
  </si>
  <si>
    <t>TAG Pepper Bell Boy 100/100 Pixie Tag</t>
  </si>
  <si>
    <t>0611832337200</t>
  </si>
  <si>
    <t>TAG Pepper Bell Boy 200/200 Thriftee Tag</t>
  </si>
  <si>
    <t>0611832339100</t>
  </si>
  <si>
    <t>TAG Pepper Bell Green Tasty 100/100 Pixie Tag</t>
  </si>
  <si>
    <t>0611832340100</t>
  </si>
  <si>
    <t>TAG Pepper Bell Orange Sweet 100/100 Pixie Tag</t>
  </si>
  <si>
    <t>0611832341100</t>
  </si>
  <si>
    <t>TAG Pepper Bell Red Sweet 100/100 Pixie Tag</t>
  </si>
  <si>
    <t>0611832342100</t>
  </si>
  <si>
    <t>TAG Pepper Bell Yellow Sweet 100/100 Pixie Tag</t>
  </si>
  <si>
    <t>0611837435100</t>
  </si>
  <si>
    <t>TAG Pepper Better Belle II 100/100 Pixie Tag</t>
  </si>
  <si>
    <t>0611832343100</t>
  </si>
  <si>
    <t>TAG Pepper Big Bertha 100/100 Pixie Tag</t>
  </si>
  <si>
    <t>0611832344100</t>
  </si>
  <si>
    <t>TAG Pepper Big Chili 100/100 Pixie Tag</t>
  </si>
  <si>
    <t>0611832345100</t>
  </si>
  <si>
    <t>TAG Pepper Big Early 100/100 Pixie Tag</t>
  </si>
  <si>
    <t>0611832346100</t>
  </si>
  <si>
    <t>TAG Pepper Big Jim 100/100 Pixie Tag</t>
  </si>
  <si>
    <t>0611832347100</t>
  </si>
  <si>
    <t>TAG Pepper Big Red 100/100 Pixie Tag</t>
  </si>
  <si>
    <t>0611832348200</t>
  </si>
  <si>
    <t>TAG Pepper Biscayne 200/200 Thriftee Tag</t>
  </si>
  <si>
    <t>0611832350100</t>
  </si>
  <si>
    <t>TAG Pepper Black Olive 100/100 Pixie Tag</t>
  </si>
  <si>
    <t>0611832351100</t>
  </si>
  <si>
    <t>TAG Pepper Black Pearl 100/100 Pixie Tag</t>
  </si>
  <si>
    <t>0611832352100</t>
  </si>
  <si>
    <t>TAG Pepper Blaze 100/100 Pixie Tag</t>
  </si>
  <si>
    <t>0611832353100</t>
  </si>
  <si>
    <t>TAG Pepper Blushing Beauty 100/100 Pixie Tag</t>
  </si>
  <si>
    <t>0611857053100</t>
  </si>
  <si>
    <t>TAG Pepper Buffy 100/100 Pixie Tag</t>
  </si>
  <si>
    <t>0611832354100</t>
  </si>
  <si>
    <t>TAG Pepper Bulgarian Carrot 100/100 Pixie Tag</t>
  </si>
  <si>
    <t>0611832355100</t>
  </si>
  <si>
    <t>TAG Pepper Cajun Belle Sweet 100/100 Pixie Tag</t>
  </si>
  <si>
    <t>0611832356100</t>
  </si>
  <si>
    <t>TAG Pepper Calico 100/100 Pixie Tag</t>
  </si>
  <si>
    <t>0611832357100</t>
  </si>
  <si>
    <t>TAG Pepper California Wonder 100/100 Pixie Tag</t>
  </si>
  <si>
    <t>0611832358200</t>
  </si>
  <si>
    <t>TAG Pepper California Wonder 200/200 Thriftee Tag</t>
  </si>
  <si>
    <t>0611832359100</t>
  </si>
  <si>
    <t>TAG Pepper California Wonder Golden 100/100 Pixie Tag</t>
  </si>
  <si>
    <t>0611832360100</t>
  </si>
  <si>
    <t>TAG Pepper California Wonder Yellow 100/100 Pixie Tag</t>
  </si>
  <si>
    <t>0611832361100</t>
  </si>
  <si>
    <t>TAG Pepper California Wonderful 100/100 Pixie Tag</t>
  </si>
  <si>
    <t>0611832362100</t>
  </si>
  <si>
    <t>TAG Pepper Calwonder 100/100 Pixie Tag</t>
  </si>
  <si>
    <t>0611832388100</t>
  </si>
  <si>
    <t>TAG Pepper Candy Cane Chocolate Cherry 100/100 Pixie Tag</t>
  </si>
  <si>
    <t>0611832364100</t>
  </si>
  <si>
    <t>TAG Pepper Candy Cane Red 100/100 Pixie Tag</t>
  </si>
  <si>
    <t>0611832365100</t>
  </si>
  <si>
    <t>TAG Pepper Caribbean Red Hot 100/100 Pixie Tag</t>
  </si>
  <si>
    <t>0611832366100</t>
  </si>
  <si>
    <t>TAG Pepper Carmen 100/100 Pixie Tag</t>
  </si>
  <si>
    <t>0611837436100</t>
  </si>
  <si>
    <t>TAG Pepper Carolina Reaper 100/100 Pixie Tag</t>
  </si>
  <si>
    <t>0611832367100</t>
  </si>
  <si>
    <t>TAG Pepper Cayenne Hot 100/100 Pixie Tag</t>
  </si>
  <si>
    <t>0611832368100</t>
  </si>
  <si>
    <t>TAG Pepper Cayenne Long Red 100/100 Pixie Tag</t>
  </si>
  <si>
    <t>0611832369200</t>
  </si>
  <si>
    <t>TAG Pepper Cayenne Long Red 200/200 Thriftee Tag</t>
  </si>
  <si>
    <t>0611832370100</t>
  </si>
  <si>
    <t>TAG Pepper Cayenne Long Slim 100/100 Pixie Tag</t>
  </si>
  <si>
    <t>0611832371100</t>
  </si>
  <si>
    <t>TAG Pepper Cayenne Long Thin 100/100 Pixie Tag</t>
  </si>
  <si>
    <t>0611832372100</t>
  </si>
  <si>
    <t>TAG Pepper Cayenne Thick Hot 100/100 Pixie Tag</t>
  </si>
  <si>
    <t>0611832373100</t>
  </si>
  <si>
    <t>TAG Pepper Cayennetta 100/100 Pixie Tag</t>
  </si>
  <si>
    <t>0611832374100</t>
  </si>
  <si>
    <t>TAG Pepper Chardonnay 100/100 Pixie Tag</t>
  </si>
  <si>
    <t>0611832375100</t>
  </si>
  <si>
    <t>TAG Pepper Cherry Bomb 100/100 Pixie Tag</t>
  </si>
  <si>
    <t>0611832376100</t>
  </si>
  <si>
    <t>TAG Pepper Cherry Hot 100/100 Pixie Tag</t>
  </si>
  <si>
    <t>0611832377100</t>
  </si>
  <si>
    <t>TAG Pepper Cherry Pick 100/100 Pixie Tag</t>
  </si>
  <si>
    <t>0611832378100</t>
  </si>
  <si>
    <t>TAG Pepper Cheyenne 100/100 Pixie Tag</t>
  </si>
  <si>
    <t>0611832379100</t>
  </si>
  <si>
    <t>TAG Pepper Chile De Arbol 100/100 Pixie Tag</t>
  </si>
  <si>
    <t>0611832380100</t>
  </si>
  <si>
    <t>TAG Pepper Chili Grande 100/100 Pixie Tag</t>
  </si>
  <si>
    <t>0611832381100</t>
  </si>
  <si>
    <t>TAG Pepper Chili Pie 100/100 Pixie Tag</t>
  </si>
  <si>
    <t>0611832382100</t>
  </si>
  <si>
    <t>TAG Pepper Chilly Chili 100/100 Pixie Tag</t>
  </si>
  <si>
    <t>0611832383100</t>
  </si>
  <si>
    <t>TAG Pepper Chiltepin 100/100 Pixie Tag</t>
  </si>
  <si>
    <t>0611832384100</t>
  </si>
  <si>
    <t>TAG Pepper Chinese Giant 100/100 Pixie Tag</t>
  </si>
  <si>
    <t>0611832385100</t>
  </si>
  <si>
    <t>TAG Pepper Chocolate Beauty 100/100 Pixie Tag</t>
  </si>
  <si>
    <t>0611832386100</t>
  </si>
  <si>
    <t>TAG Pepper Chocolate Bell 100/100 Pixie Tag</t>
  </si>
  <si>
    <t>0611832387100</t>
  </si>
  <si>
    <t>TAG Pepper Classic 100/100 Pixie Tag</t>
  </si>
  <si>
    <t>0611832389100</t>
  </si>
  <si>
    <t>TAG Pepper Colossal 100/100 Pixie Tag</t>
  </si>
  <si>
    <t>0611832390100</t>
  </si>
  <si>
    <t>TAG Pepper Compadre 100/100 Pixie Tag SF</t>
  </si>
  <si>
    <t>0611832391100</t>
  </si>
  <si>
    <t>TAG Pepper Cornito Giallo 100/100 Pixie Tag</t>
  </si>
  <si>
    <t>0611832392100</t>
  </si>
  <si>
    <t>TAG Pepper Corno Di Toro 100/100 Pixie Tag</t>
  </si>
  <si>
    <t>0611837437100</t>
  </si>
  <si>
    <t>TAG Pepper Cosmo Hot Kitchen Minis 100/100 Pixie Tag</t>
  </si>
  <si>
    <t>0611837438100</t>
  </si>
  <si>
    <t>TAG Pepper Cowhorn 100/100 Pixie Tag</t>
  </si>
  <si>
    <t>0611837439100</t>
  </si>
  <si>
    <t>TAG Pepper Crackle 100/100 Pixie Tag</t>
  </si>
  <si>
    <t>0611832393100</t>
  </si>
  <si>
    <t>TAG Pepper Crest Red 100/100 Pixie Tag</t>
  </si>
  <si>
    <t>0611832394100</t>
  </si>
  <si>
    <t>TAG Pepper Crest Yellow 100/100 Pixie Tag</t>
  </si>
  <si>
    <t>0611832395100</t>
  </si>
  <si>
    <t>TAG Pepper Crusader 100/100 Pixie Tag SF</t>
  </si>
  <si>
    <t>0611832396100</t>
  </si>
  <si>
    <t>TAG Pepper Cubana Series 100/100 Pixie Tag</t>
  </si>
  <si>
    <t>0611837440100</t>
  </si>
  <si>
    <t>TAG Pepper Cubanelle 100/100 Pixie Tag</t>
  </si>
  <si>
    <t>0611832397100</t>
  </si>
  <si>
    <t>TAG Pepper Cute Stuff Gold 100/100 Pixie Tag</t>
  </si>
  <si>
    <t>0611832398100</t>
  </si>
  <si>
    <t>TAG Pepper Cute Stuff Red 100/100 Pixie Tag</t>
  </si>
  <si>
    <t>0611832399100</t>
  </si>
  <si>
    <t>TAG Pepper Dragon Cayenne 100/100 Pixie Tag</t>
  </si>
  <si>
    <t>0611857054100</t>
  </si>
  <si>
    <t>TAG Pepper Dragonfly 100/100 Pixie Tag</t>
  </si>
  <si>
    <t>0611837441100</t>
  </si>
  <si>
    <t>TAG Pepper Durango 100/100 Pixie Tag</t>
  </si>
  <si>
    <t>0611832400100</t>
  </si>
  <si>
    <t>TAG Pepper Early Bell 100/100 Pixie Tag</t>
  </si>
  <si>
    <t>0611832401100</t>
  </si>
  <si>
    <t>TAG Pepper Early Red 100/100 Pixie Tag</t>
  </si>
  <si>
    <t>0611832402100</t>
  </si>
  <si>
    <t>TAG Pepper Early Summer 100/100 Pixie Tag</t>
  </si>
  <si>
    <t>0611832403100</t>
  </si>
  <si>
    <t>TAG Pepper Early Sunsation 100/100 Pixie Tag</t>
  </si>
  <si>
    <t>0611832404100</t>
  </si>
  <si>
    <t>TAG Pepper El Jefe 100/100 Pixie Tag</t>
  </si>
  <si>
    <t>0611832405100</t>
  </si>
  <si>
    <t>TAG Pepper Elisa 100/100 Pixie Tag</t>
  </si>
  <si>
    <t>0611832406100</t>
  </si>
  <si>
    <t>TAG Pepper Emerald Fire 100/100 Pixie Tag</t>
  </si>
  <si>
    <t>0611832407100</t>
  </si>
  <si>
    <t>TAG Pepper Emerald Giant 100/100 Pixie Tag</t>
  </si>
  <si>
    <t>0611832408100</t>
  </si>
  <si>
    <t>TAG Pepper Escamillo 100/100 Pixie Tag</t>
  </si>
  <si>
    <t>0611832409100</t>
  </si>
  <si>
    <t>TAG Pepper Fat N Sassy 100/100 Pixie Tag</t>
  </si>
  <si>
    <t>0611832410100</t>
  </si>
  <si>
    <t>TAG Pepper Fatali 100/100 Pixie Tag</t>
  </si>
  <si>
    <t>0611832411100</t>
  </si>
  <si>
    <t>TAG Pepper Flaming Flare 100/100 Pixie Tag</t>
  </si>
  <si>
    <t>0611832412100</t>
  </si>
  <si>
    <t>TAG Pepper Flaming Jade 100/100 Pixie Tag</t>
  </si>
  <si>
    <t>0611832413100</t>
  </si>
  <si>
    <t>TAG Pepper Flamingo 100/100 Pixie Tag</t>
  </si>
  <si>
    <t>0611832414100</t>
  </si>
  <si>
    <t>TAG Pepper Fooled You 100/100 Pixie Tag</t>
  </si>
  <si>
    <t>0611837442100</t>
  </si>
  <si>
    <t>TAG Pepper Fresh Bites Red 100/100 Pixie Tag</t>
  </si>
  <si>
    <t>0611837443100</t>
  </si>
  <si>
    <t>TAG Pepper Fresh Bites Yellow 100/100 Pixie Tag</t>
  </si>
  <si>
    <t>0611837444100</t>
  </si>
  <si>
    <t>TAG Pepper Fresh Btes Orange 100/100 Pixie Tag</t>
  </si>
  <si>
    <t>0611832415100</t>
  </si>
  <si>
    <t>TAG Pepper Fresno Chili 100/100 Pixie Tag</t>
  </si>
  <si>
    <t>0611832416100</t>
  </si>
  <si>
    <t>TAG Pepper Garden Leader Tasty Orange 100/100 Pixie Tag</t>
  </si>
  <si>
    <t>0611832418100</t>
  </si>
  <si>
    <t>TAG Pepper Garden Leader Tasty Purple Bell 100/100 Pixie Tag</t>
  </si>
  <si>
    <t>0611837445100</t>
  </si>
  <si>
    <t>TAG Pepper Garden Salsa 100/100 Pixie Tag</t>
  </si>
  <si>
    <t>0611837446100</t>
  </si>
  <si>
    <t>TAG Pepper Ghost Bhut Jolokia 100/100 Pixie Tag</t>
  </si>
  <si>
    <t>0611832420100</t>
  </si>
  <si>
    <t>TAG Pepper Giant Jalapeno 100/100 Pixie Tag</t>
  </si>
  <si>
    <t>0611832421100</t>
  </si>
  <si>
    <t>TAG Pepper Giant Marconi 100/100 Pixie Tag</t>
  </si>
  <si>
    <t>0611832422100</t>
  </si>
  <si>
    <t>TAG Pepper Giant Ristra 100/100 Pixie Tag</t>
  </si>
  <si>
    <t>0611832423100</t>
  </si>
  <si>
    <t>TAG Pepper Golden Bell 100/100 Pixie Tag</t>
  </si>
  <si>
    <t>0611832424100</t>
  </si>
  <si>
    <t>TAG Pepper Golden Summer 100/100 Pixie Tag</t>
  </si>
  <si>
    <t>0611832425100</t>
  </si>
  <si>
    <t>TAG Pepper Golden Wonder 100/100 Pixie Tag</t>
  </si>
  <si>
    <t>0611837447100</t>
  </si>
  <si>
    <t>TAG Pepper Goliath 100/100 Pixie Tag</t>
  </si>
  <si>
    <t>0611884354100</t>
  </si>
  <si>
    <t>TAG Pepper Goliath Large Sweet 100/100 Pixie Tag</t>
  </si>
  <si>
    <t>0611832427100</t>
  </si>
  <si>
    <t>TAG Pepper Green Chile 100/100 Pixie Tag</t>
  </si>
  <si>
    <t>0611832428100</t>
  </si>
  <si>
    <t>TAG Pepper Green Frying 100/100 Pixie Tag</t>
  </si>
  <si>
    <t>0611832429100</t>
  </si>
  <si>
    <t>TAG Pepper Gypsy 100/100 Pixie Tag</t>
  </si>
  <si>
    <t>0611832430100</t>
  </si>
  <si>
    <t>TAG Pepper Habanada 100/100 Pixie Tag</t>
  </si>
  <si>
    <t>0611837448100</t>
  </si>
  <si>
    <t>TAG Pepper Habanero 100/100 Pixie Tag</t>
  </si>
  <si>
    <t>0611837449100</t>
  </si>
  <si>
    <t>TAG Pepper Habanero Chocolate 100/100 Pixie Tag</t>
  </si>
  <si>
    <t>0611837450100</t>
  </si>
  <si>
    <t>TAG Pepper Habanero Red 100/100 Pixie Tag</t>
  </si>
  <si>
    <t>0611837451100</t>
  </si>
  <si>
    <t>TAG Pepper Habanero White 100/100 Pixie Tag</t>
  </si>
  <si>
    <t>0611832431100</t>
  </si>
  <si>
    <t>TAG Pepper Holy Mole 100/100 Pixie Tag</t>
  </si>
  <si>
    <t>0611832432100</t>
  </si>
  <si>
    <t>TAG Pepper Hot 100/100 Pixie Tag</t>
  </si>
  <si>
    <t>0611832433100</t>
  </si>
  <si>
    <t>TAG Pepper Hot Banana 100/100 Pixie Tag</t>
  </si>
  <si>
    <t>0611837452100</t>
  </si>
  <si>
    <t>TAG Pepper Hot Kitcehn Minis Burrito 100/100 Pixie Tag</t>
  </si>
  <si>
    <t>0611837453100</t>
  </si>
  <si>
    <t>TAG Pepper Hot Kitcehn Minis Fajita 100/100 Pixie Tag</t>
  </si>
  <si>
    <t>0611837454100</t>
  </si>
  <si>
    <t>TAG Pepper Hot Kitcehn Minis Joker 100/100 Pixie Tag</t>
  </si>
  <si>
    <t>0611837455100</t>
  </si>
  <si>
    <t>TAG Pepper Hot Kitcehn Minis Lemon 100/100 Pixie Tag</t>
  </si>
  <si>
    <t>0611832435100</t>
  </si>
  <si>
    <t>TAG Pepper Hot Pops Purple 100/100 Pixie Tag</t>
  </si>
  <si>
    <t>0611832436100</t>
  </si>
  <si>
    <t>TAG Pepper Hot Pops Yellow 100/100 Pixie Tag</t>
  </si>
  <si>
    <t>0611832437100</t>
  </si>
  <si>
    <t>TAG Pepper Hot Portugal 100/100 Pixie Tag</t>
  </si>
  <si>
    <t>0611832438100</t>
  </si>
  <si>
    <t>TAG Pepper Hot Sunset 100/100 Pixie Tag</t>
  </si>
  <si>
    <t>0611832439100</t>
  </si>
  <si>
    <t>TAG Pepper Hungarian Cheese Type 100/100 Pixie Tag</t>
  </si>
  <si>
    <t>0611832440100</t>
  </si>
  <si>
    <t>TAG Pepper Hungarian Wax 100/100 Pixie Tag</t>
  </si>
  <si>
    <t>0611832441200</t>
  </si>
  <si>
    <t>TAG Pepper Hungarian Wax 200/200 Thriftee Tag</t>
  </si>
  <si>
    <t>0611832442100</t>
  </si>
  <si>
    <t>TAG Pepper Hungarian Wax Sweet 100/100 Pixie Tag</t>
  </si>
  <si>
    <t>0611832443100</t>
  </si>
  <si>
    <t>TAG Pepper Hunter 100/100 Pixie Tag</t>
  </si>
  <si>
    <t>0611832444100</t>
  </si>
  <si>
    <t>TAG Pepper Inferno 100/100 Pixie Tag</t>
  </si>
  <si>
    <t>0611832445100</t>
  </si>
  <si>
    <t>TAG Pepper Italia 100/100 Pixie Tag</t>
  </si>
  <si>
    <t>0611832446100</t>
  </si>
  <si>
    <t>TAG Pepper Italian Roaster 100/100 Pixie Tag</t>
  </si>
  <si>
    <t>0611832447100</t>
  </si>
  <si>
    <t>TAG Pepper Italianelle 100/100 Pixie Tag</t>
  </si>
  <si>
    <t>0611832448100</t>
  </si>
  <si>
    <t>TAG Pepper Ivory 100/100 Pixie Tag</t>
  </si>
  <si>
    <t>0611832449100</t>
  </si>
  <si>
    <t>TAG Pepper Jalapa 100/100 Pixie Tag</t>
  </si>
  <si>
    <t>0611832450100</t>
  </si>
  <si>
    <t>TAG Pepper Jalapeno Early 100/100 Pixie Tag</t>
  </si>
  <si>
    <t>0611832451100</t>
  </si>
  <si>
    <t>TAG Pepper Jalapeno Hot 100/100 Pixie Tag</t>
  </si>
  <si>
    <t>0611832452200</t>
  </si>
  <si>
    <t>TAG Pepper Jalapeno Hot 200/200 Thriftee Tag</t>
  </si>
  <si>
    <t>0611837456100</t>
  </si>
  <si>
    <t>TAG Pepper Jalapeno M 100/100 Pixie Tag</t>
  </si>
  <si>
    <t>0611837457100</t>
  </si>
  <si>
    <t>TAG Pepper Jamaican Red 100/100 Pixie Tag</t>
  </si>
  <si>
    <t>0611837458100</t>
  </si>
  <si>
    <t>TAG Pepper Jamaican Yellow 100/100 Pixie Tag</t>
  </si>
  <si>
    <t>0611832453100</t>
  </si>
  <si>
    <t>TAG Pepper Jimmy Nardello's 100/100 Pixie Tag</t>
  </si>
  <si>
    <t>0611832454100</t>
  </si>
  <si>
    <t>TAG Pepper Jupiter 100/100 Pixie Tag</t>
  </si>
  <si>
    <t>0611832455100</t>
  </si>
  <si>
    <t>TAG Pepper Just Sweet 100/100 Pixie Tag</t>
  </si>
  <si>
    <t>0611832456100</t>
  </si>
  <si>
    <t>TAG Pepper Keystone Resistant Giant 100/100 Pixie Tag</t>
  </si>
  <si>
    <t>0611832457100</t>
  </si>
  <si>
    <t>TAG Pepper King Arthur 100/100 Pixie Tag</t>
  </si>
  <si>
    <t>0611837469100</t>
  </si>
  <si>
    <t>TAG Pepper Kitcehn Minis Hot Pinata 100/100 Pixie Tag</t>
  </si>
  <si>
    <t>0611837479100</t>
  </si>
  <si>
    <t>TAG Pepper Kitchen Minis Hot Tamale 100/100 Pixie Tag</t>
  </si>
  <si>
    <t>0611837480100</t>
  </si>
  <si>
    <t>TAG Pepper Kitchen Minis Hot Taquito 100/100 Pixie Tag</t>
  </si>
  <si>
    <t>0611832458100</t>
  </si>
  <si>
    <t>TAG Pepper Kung Pao 100/100 Pixie Tag</t>
  </si>
  <si>
    <t>0611832459100</t>
  </si>
  <si>
    <t>TAG Pepper La Bomba 100/100 Pixie Tag</t>
  </si>
  <si>
    <t>0611837459100</t>
  </si>
  <si>
    <t>TAG Pepper La Bomba II 100/100 Pixie Tag</t>
  </si>
  <si>
    <t>0611832460100</t>
  </si>
  <si>
    <t>TAG Pepper Lady Bell 100/100 Pixie Tag</t>
  </si>
  <si>
    <t>0611832461100</t>
  </si>
  <si>
    <t>TAG Pepper Lemon Drop 100/100 Pixie Tag</t>
  </si>
  <si>
    <t>0611832462100</t>
  </si>
  <si>
    <t>TAG Pepper Liberty Belle 100/100 Pixie Tag</t>
  </si>
  <si>
    <t>0611832463100</t>
  </si>
  <si>
    <t>TAG Pepper Lilac 100/100 Pixie Tag</t>
  </si>
  <si>
    <t>0611832465100</t>
  </si>
  <si>
    <t>TAG Pepper Longhorn 100/100 Pixie Tag SF</t>
  </si>
  <si>
    <t>0611832466100</t>
  </si>
  <si>
    <t>TAG Pepper Lunchbox Mix 100/100 Pixie Tag</t>
  </si>
  <si>
    <t>0611837460100</t>
  </si>
  <si>
    <t>TAG Pepper Mad Hatter 100/100 Pixie Tag</t>
  </si>
  <si>
    <t>0611832467100</t>
  </si>
  <si>
    <t>TAG Pepper Majestic Red 100/100 Pixie Tag</t>
  </si>
  <si>
    <t>0611832468100</t>
  </si>
  <si>
    <t>TAG Pepper Mama Mia Giallo 100/100 Pixie Tag</t>
  </si>
  <si>
    <t>0611832469100</t>
  </si>
  <si>
    <t>TAG Pepper Mandarin 100/100 Pixie Tag</t>
  </si>
  <si>
    <t>0611832470100</t>
  </si>
  <si>
    <t>TAG Pepper Mariachi 100/100 Pixie Tag</t>
  </si>
  <si>
    <t>0611832471100</t>
  </si>
  <si>
    <t>TAG Pepper Masquerade 100/100 Pixie Tag</t>
  </si>
  <si>
    <t>0611832472100</t>
  </si>
  <si>
    <t>TAG Pepper Medium Hot Block 100/100 Pixie Tag</t>
  </si>
  <si>
    <t>0611832473100</t>
  </si>
  <si>
    <t>TAG Pepper Medusa 100/100 Pixie Tag</t>
  </si>
  <si>
    <t>0611832474100</t>
  </si>
  <si>
    <t>TAG Pepper Melrose Sweet 100/100 Pixie Tag</t>
  </si>
  <si>
    <t>0611837461100</t>
  </si>
  <si>
    <t>TAG Pepper Merlot 100/100 Pixie Tag</t>
  </si>
  <si>
    <t>0611832475100</t>
  </si>
  <si>
    <t>TAG Pepper Mexi Bell 100/100 Pixie Tag</t>
  </si>
  <si>
    <t>0611832476100</t>
  </si>
  <si>
    <t>TAG Pepper Midas 100/100 Pixie Tag</t>
  </si>
  <si>
    <t>0611832477100</t>
  </si>
  <si>
    <t>TAG Pepper Midnight Fire 100/100 Pixie Tag</t>
  </si>
  <si>
    <t>0611832478100</t>
  </si>
  <si>
    <t>TAG Pepper Mini Bell Pepper GENERIC 100/100 Pixie Tag</t>
  </si>
  <si>
    <t>0611832479100</t>
  </si>
  <si>
    <t>TAG Pepper Mini Snack Pepper GENERIC 100/100 Pixie Tag</t>
  </si>
  <si>
    <t>0611837463100</t>
  </si>
  <si>
    <t>TAG Pepper Mohawk 100/100 Pixie Tag</t>
  </si>
  <si>
    <t>0611832480100</t>
  </si>
  <si>
    <t>TAG Pepper Mosquetero 100/100 Pixie Tag</t>
  </si>
  <si>
    <t>0611832481100</t>
  </si>
  <si>
    <t>TAG Pepper Mucho Nacho Hybrid 100/100 Pixie Tag</t>
  </si>
  <si>
    <t>0611832482100</t>
  </si>
  <si>
    <t>TAG Pepper Mulato Isleno 100/100 Pixie Tag</t>
  </si>
  <si>
    <t>0611832483100</t>
  </si>
  <si>
    <t>TAG Pepper Muscato 100/100 Pixie Tag</t>
  </si>
  <si>
    <t>0611832320100</t>
  </si>
  <si>
    <t>TAG Pepper New Ace 100/100 Pixie Tag</t>
  </si>
  <si>
    <t>0611832484100</t>
  </si>
  <si>
    <t>TAG Pepper North Star 100/100 Pixie Tag</t>
  </si>
  <si>
    <t>0611832485100</t>
  </si>
  <si>
    <t>TAG Pepper Numex Easter 100/100 Pixie Tag</t>
  </si>
  <si>
    <t>0611884355100</t>
  </si>
  <si>
    <t>TAG Pepper Onyx Orange 100/100 Pixie Tag</t>
  </si>
  <si>
    <t>0611832486100</t>
  </si>
  <si>
    <t>TAG Pepper Onyx Red 100/100 Pixie Tag</t>
  </si>
  <si>
    <t>0611832487100</t>
  </si>
  <si>
    <t>TAG Pepper Orange Blaze 100/100 Pixie Tag</t>
  </si>
  <si>
    <t>0611832488100</t>
  </si>
  <si>
    <t>TAG Pepper Orange Marmalade 100/100 Pixie Tag</t>
  </si>
  <si>
    <t>0611832489100</t>
  </si>
  <si>
    <t>TAG Pepper Orange You Sweet 100/100 Pixie Tag</t>
  </si>
  <si>
    <t>0611832490100</t>
  </si>
  <si>
    <t>TAG Pepper Oriole 100/100 Pixie Tag</t>
  </si>
  <si>
    <t>0611832492100</t>
  </si>
  <si>
    <t>TAG Pepper Pageant 100/100 Pixie Tag</t>
  </si>
  <si>
    <t>0611832493100</t>
  </si>
  <si>
    <t>TAG Pepper Paprika Supreme 100/100 Pixie Tag</t>
  </si>
  <si>
    <t>0611832495100</t>
  </si>
  <si>
    <t>TAG Pepper Parks Whopper 100/100 Pixie Tag</t>
  </si>
  <si>
    <t>0611832496100</t>
  </si>
  <si>
    <t>TAG Pepper Parks Whopper II 100/100 Pixie Tag</t>
  </si>
  <si>
    <t>0611832497100</t>
  </si>
  <si>
    <t>TAG Pepper Parks Whopper Jalapeno 100/100 Pixie Tag</t>
  </si>
  <si>
    <t>0611837464100</t>
  </si>
  <si>
    <t>TAG Pepper Patio Snacker 100/100 Pixie Tag</t>
  </si>
  <si>
    <t>0611832498100</t>
  </si>
  <si>
    <t>TAG Pepper Patio Type GENERIC 100/100 Pixie Tag</t>
  </si>
  <si>
    <t>0611832499100</t>
  </si>
  <si>
    <t>TAG Pepper Pennbell 100/100 Pixie Tag</t>
  </si>
  <si>
    <t>0611837465100</t>
  </si>
  <si>
    <t>TAG Pepper Peperomia Baby Rubber Plant 100/100 Pixie Tag</t>
  </si>
  <si>
    <t>0611837466100</t>
  </si>
  <si>
    <t>TAG Pepper Peperomia Beetle 100/100 Pixie Tag</t>
  </si>
  <si>
    <t>0611832500100</t>
  </si>
  <si>
    <t>TAG Pepper Pepperoncini 100/100 Pixie Tag</t>
  </si>
  <si>
    <t>0611832501100</t>
  </si>
  <si>
    <t>TAG Pepper Peppi Cornissimo 100/100 Pixie Tag</t>
  </si>
  <si>
    <t>0611832502100</t>
  </si>
  <si>
    <t>TAG Pepper Peppi Grande Red 100/100 Pixie Tag</t>
  </si>
  <si>
    <t>0611832503100</t>
  </si>
  <si>
    <t>TAG Pepper Peppi Red 100/100 Pixie Tag</t>
  </si>
  <si>
    <t>0611832504100</t>
  </si>
  <si>
    <t>TAG Pepper Peppi Yellow 100/100 Pixie Tag</t>
  </si>
  <si>
    <t>0611837467100</t>
  </si>
  <si>
    <t>TAG Pepper Pimento 100/100 Pixie Tag</t>
  </si>
  <si>
    <t>0611832505100</t>
  </si>
  <si>
    <t>TAG Pepper Pimento Elite 100/100 Pixie Tag</t>
  </si>
  <si>
    <t>0611837468100</t>
  </si>
  <si>
    <t>TAG Pepper Pimento Perfection 100/100 Pixie Tag</t>
  </si>
  <si>
    <t>0611832506100</t>
  </si>
  <si>
    <t>TAG Pepper Pot A Peno 100/100 Pixie Tag</t>
  </si>
  <si>
    <t>0611832507100</t>
  </si>
  <si>
    <t>TAG Pepper Pretty N Sweet 100/100 Pixie Tag</t>
  </si>
  <si>
    <t>0611837470100</t>
  </si>
  <si>
    <t>TAG Pepper Primero Red 100/100 Pixie Tag</t>
  </si>
  <si>
    <t>0611884357100</t>
  </si>
  <si>
    <t>TAG Pepper Prism 100/100 Pixie Tag</t>
  </si>
  <si>
    <t>0611832508100</t>
  </si>
  <si>
    <t>TAG Pepper Purple Beauty 100/100 Pixie Tag</t>
  </si>
  <si>
    <t>0611832509100</t>
  </si>
  <si>
    <t>TAG Pepper Purple Flash 100/100 Pixie Tag</t>
  </si>
  <si>
    <t>0611857055100</t>
  </si>
  <si>
    <t>TAG Pepper Quickfire 100/100 Pixie Tag</t>
  </si>
  <si>
    <t>0611832510100</t>
  </si>
  <si>
    <t>TAG Pepper Rainbow Mix 100/100 Pixie Tag</t>
  </si>
  <si>
    <t>0611832511100</t>
  </si>
  <si>
    <t>TAG Pepper Red Belt 100/100 Pixie Tag</t>
  </si>
  <si>
    <t>0611857056100</t>
  </si>
  <si>
    <t>TAG Pepper Red Bull 100/100 Pixie Tag</t>
  </si>
  <si>
    <t>0611832512100</t>
  </si>
  <si>
    <t>TAG Pepper Red Chili 100/100 Pixie Tag</t>
  </si>
  <si>
    <t>0611837471100</t>
  </si>
  <si>
    <t>TAG Pepper Red Ember 100/100 Pixie Tag</t>
  </si>
  <si>
    <t>0611832513100</t>
  </si>
  <si>
    <t>TAG Pepper Red Knight 100/100 Pixie Tag</t>
  </si>
  <si>
    <t>0611832514100</t>
  </si>
  <si>
    <t>TAG Pepper Red Missile 100/100 Pixie Tag</t>
  </si>
  <si>
    <t>0611832515100</t>
  </si>
  <si>
    <t>TAG Pepper Red Peter 100/100 Pixie Tag</t>
  </si>
  <si>
    <t>0611837472100</t>
  </si>
  <si>
    <t>TAG Pepper Redskin 100/100 Pixie Tag SF</t>
  </si>
  <si>
    <t>0611832516100</t>
  </si>
  <si>
    <t>TAG Pepper Revolution 100/100 Pixie Tag</t>
  </si>
  <si>
    <t>0611832517100</t>
  </si>
  <si>
    <t>TAG Pepper Right On Red 100/100 Pixie Tag</t>
  </si>
  <si>
    <t>0611837473100</t>
  </si>
  <si>
    <t>TAG Pepper Roulette 100/100 Pixie Tag</t>
  </si>
  <si>
    <t>0611837474100</t>
  </si>
  <si>
    <t>TAG Pepper Rumanian Sweet 100/100 Pixie Tag</t>
  </si>
  <si>
    <t>0611832518100</t>
  </si>
  <si>
    <t>TAG Pepper Salsa Orange 100/100 Pixie Tag</t>
  </si>
  <si>
    <t>0611832519100</t>
  </si>
  <si>
    <t>TAG Pepper Salsa Purple Yellow 100/100 Pixie Tag</t>
  </si>
  <si>
    <t>0611832520100</t>
  </si>
  <si>
    <t>TAG Pepper Salsa Red 100/100 Pixie Tag</t>
  </si>
  <si>
    <t>0611832521100</t>
  </si>
  <si>
    <t>TAG Pepper Salsa Yellow 100/100 Pixie Tag</t>
  </si>
  <si>
    <t>0611884358100</t>
  </si>
  <si>
    <t>TAG Pepper San Joaquin 100/100 Pixie Tag</t>
  </si>
  <si>
    <t>0611832523100</t>
  </si>
  <si>
    <t>TAG Pepper Sangria 100/100 Pixie Tag</t>
  </si>
  <si>
    <t>0611832524100</t>
  </si>
  <si>
    <t>TAG Pepper Santa Fe Grande 100/100 Pixie Tag</t>
  </si>
  <si>
    <t>0611837475100</t>
  </si>
  <si>
    <t>TAG Pepper Scorpion Butch T 100/100 Pixie Tag</t>
  </si>
  <si>
    <t>0611837476100</t>
  </si>
  <si>
    <t>TAG Pepper Scorpion Trindad Moruga 100/100 Pixie Tag</t>
  </si>
  <si>
    <t>0611832526100</t>
  </si>
  <si>
    <t>TAG Pepper Scotch Bonnet 100/100 Pixie Tag</t>
  </si>
  <si>
    <t>0611832527100</t>
  </si>
  <si>
    <t>TAG Pepper Sedona Sun 100/100 Pixie Tag</t>
  </si>
  <si>
    <t>0611832528100</t>
  </si>
  <si>
    <t>TAG Pepper Serrano 100/100 Pixie Tag</t>
  </si>
  <si>
    <t>0611832529100</t>
  </si>
  <si>
    <t>TAG Pepper Serrano Del Sol 100/100 Pixie Tag</t>
  </si>
  <si>
    <t>0611832530100</t>
  </si>
  <si>
    <t>TAG Pepper Shishito 100/100 Pixie Tag</t>
  </si>
  <si>
    <t>0611832531100</t>
  </si>
  <si>
    <t>TAG Pepper Snackabelle Red 100/100 Pixie Tag</t>
  </si>
  <si>
    <t>0611832533100</t>
  </si>
  <si>
    <t>TAG Pepper Spanish Spice 100/100 Pixie Tag</t>
  </si>
  <si>
    <t>0611832534100</t>
  </si>
  <si>
    <t>TAG Pepper Spicy Slice 100/100 Pixie Tag</t>
  </si>
  <si>
    <t>0611832535100</t>
  </si>
  <si>
    <t>TAG Pepper Sriracha 100/100 Pixie Tag</t>
  </si>
  <si>
    <t>0611832536100</t>
  </si>
  <si>
    <t>TAG Pepper Staddon's Select 100/100 Pixie Tag</t>
  </si>
  <si>
    <t>0611832537100</t>
  </si>
  <si>
    <t>TAG Pepper Sun Bell 100/100 Pixie Tag</t>
  </si>
  <si>
    <t>0611832538100</t>
  </si>
  <si>
    <t>TAG Pepper Super Cayenne 100/100 Pixie Tag</t>
  </si>
  <si>
    <t>0611832539100</t>
  </si>
  <si>
    <t>TAG Pepper Super Chili 100/100 Pixie Tag</t>
  </si>
  <si>
    <t>0611832540100</t>
  </si>
  <si>
    <t>TAG Pepper Super Heavyweight 100/100 Pixie Tag</t>
  </si>
  <si>
    <t>0611837478100</t>
  </si>
  <si>
    <t>TAG Pepper Super Khi 100/100 Pixie Tag</t>
  </si>
  <si>
    <t>0611832541100</t>
  </si>
  <si>
    <t>TAG Pepper Super Serrano 100/100 Pixie Tag</t>
  </si>
  <si>
    <t>0611832542100</t>
  </si>
  <si>
    <t>TAG Pepper Sweet 100/100 Pixie Tag</t>
  </si>
  <si>
    <t>0611832543100</t>
  </si>
  <si>
    <t>TAG Pepper Sweet Banana 100/100 Pixie Tag</t>
  </si>
  <si>
    <t>0611832544200</t>
  </si>
  <si>
    <t>TAG Pepper Sweet Banana 200/200 Thriftee Tag</t>
  </si>
  <si>
    <t>0611832545100</t>
  </si>
  <si>
    <t>TAG Pepper Sweet Banana Whopper 100/100 Pixie Tag</t>
  </si>
  <si>
    <t>0611832546100</t>
  </si>
  <si>
    <t>TAG Pepper Sweet Cherry 100/100 Pixie Tag</t>
  </si>
  <si>
    <t>0611832553100</t>
  </si>
  <si>
    <t>TAG Pepper Sweet Habanero Type GENERIC 100/100 Pixie Tag</t>
  </si>
  <si>
    <t>0611832547100</t>
  </si>
  <si>
    <t>TAG Pepper Sweet Heat 100/100 Pixie Tag</t>
  </si>
  <si>
    <t>0611832548100</t>
  </si>
  <si>
    <t>TAG Pepper Sweet Italian 100/100 Pixie Tag</t>
  </si>
  <si>
    <t>0611832549100</t>
  </si>
  <si>
    <t>TAG Pepper Sweet Jalapeno Type GENERIC 100/100 Pixie Tag</t>
  </si>
  <si>
    <t>0611832551100</t>
  </si>
  <si>
    <t>TAG Pepper Sweet Sunset 100/100 Pixie Tag</t>
  </si>
  <si>
    <t>0611832552100</t>
  </si>
  <si>
    <t>TAG Pepper Sweetie Pie 100/100 Pixie Tag</t>
  </si>
  <si>
    <t>0611832554100</t>
  </si>
  <si>
    <t>TAG Pepper Tabasco 100/100 Pixie Tag</t>
  </si>
  <si>
    <t>0611832555100</t>
  </si>
  <si>
    <t>TAG Pepper Takara 100/100 Pixie Tag</t>
  </si>
  <si>
    <t>0611832556100</t>
  </si>
  <si>
    <t>TAG Pepper Tam Jalapeno 100/100 Pixie Tag</t>
  </si>
  <si>
    <t>0611832557100</t>
  </si>
  <si>
    <t>TAG Pepper Tasty Poblano 100/100 Pixie Tag</t>
  </si>
  <si>
    <t>0611832558100</t>
  </si>
  <si>
    <t>TAG Pepper Thai Dragon 100/100 Pixie Tag</t>
  </si>
  <si>
    <t>0611832559100</t>
  </si>
  <si>
    <t>TAG Pepper Thai Hot 100/100 Pixie Tag</t>
  </si>
  <si>
    <t>0611832560100</t>
  </si>
  <si>
    <t>TAG Pepper Tiburon 100/100 Pixie Tag</t>
  </si>
  <si>
    <t>0611857057100</t>
  </si>
  <si>
    <t>TAG Pepper Trailblazer 100/100 Pixie Tag</t>
  </si>
  <si>
    <t>0611832562100</t>
  </si>
  <si>
    <t>TAG Pepper Trinidad Scorpion 100/100 Pixie Tag</t>
  </si>
  <si>
    <t>0611832563100</t>
  </si>
  <si>
    <t>TAG Pepper Valencia 100/100 Pixie Tag</t>
  </si>
  <si>
    <t>0611832564100</t>
  </si>
  <si>
    <t>TAG Pepper Wicked 100/100 Pixie Tag</t>
  </si>
  <si>
    <t>0611884359100</t>
  </si>
  <si>
    <t>TAG Pepper Wildcat 100/100 Pixie Tag</t>
  </si>
  <si>
    <t>0611832565100</t>
  </si>
  <si>
    <t>TAG Pepper Wizard 100/100 Pixie Tag</t>
  </si>
  <si>
    <t>0611832566100</t>
  </si>
  <si>
    <t>TAG Pepper Yellow Belle 100/100 Pixie Tag</t>
  </si>
  <si>
    <t>0611832567100</t>
  </si>
  <si>
    <t>TAG Pepper Yellow Stuffer 100/100 Pixie Tag</t>
  </si>
  <si>
    <t>0611832568100</t>
  </si>
  <si>
    <t>TAG Pepper Yes To Yellow 100/100 Pixie Tag</t>
  </si>
  <si>
    <t>0611832569100</t>
  </si>
  <si>
    <t>TAG Pepper Yolo Wonder 100/100 Pixie Tag</t>
  </si>
  <si>
    <t>0611837481100</t>
  </si>
  <si>
    <t>TAG Pepper Yum Yum 100/100 Pixie Tag</t>
  </si>
  <si>
    <t>0611837483100</t>
  </si>
  <si>
    <t>TAG Pericallis Primavera Series 100/100 Pixie Tag</t>
  </si>
  <si>
    <t>0611884360025</t>
  </si>
  <si>
    <t>TAG Perilla Britton Shiso 25/25 Portrait Tag</t>
  </si>
  <si>
    <t>0611837485100</t>
  </si>
  <si>
    <t>TAG Perilla Red 100/100 Pixie Tag</t>
  </si>
  <si>
    <t>0611837486100</t>
  </si>
  <si>
    <t>TAG Perilla Tricolor 100/100 Pixie Tag</t>
  </si>
  <si>
    <t>0611837487025</t>
  </si>
  <si>
    <t>TAG Perovskia Blue Steel Atriplicifolia 25/25 Portrait Tag</t>
  </si>
  <si>
    <t>0611857058025</t>
  </si>
  <si>
    <t>TAG Perovskia Bluesette 25/25 Portrait Tag</t>
  </si>
  <si>
    <t>0611863444100</t>
  </si>
  <si>
    <t>TAG Perovskia CrazyBlue 100/100 Pixie Tag FUL</t>
  </si>
  <si>
    <t>0611837489025</t>
  </si>
  <si>
    <t>TAG Perovskia CrazyBlue 25/25 Portrait Tag</t>
  </si>
  <si>
    <t>0611863445050</t>
  </si>
  <si>
    <t>TAG Perovskia CrazyBlue Limited Availability 50/50 Petite Portrait</t>
  </si>
  <si>
    <t>0611863446100</t>
  </si>
  <si>
    <t>TAG Perovskia Jelena 100/100 Pixie Tag FUL</t>
  </si>
  <si>
    <t>0611863447100</t>
  </si>
  <si>
    <t>TAG Perovskia Lacey Blue 100/100 Pixie Tag FUL</t>
  </si>
  <si>
    <t>0611837490025</t>
  </si>
  <si>
    <t>TAG Perovskia Lacey Blue 25/25 Portrait Tag</t>
  </si>
  <si>
    <t>0611863448050</t>
  </si>
  <si>
    <t>TAG Perovskia Lacey Blue Limited Availability 50/50 Petite Portrait</t>
  </si>
  <si>
    <t>0611837491025</t>
  </si>
  <si>
    <t>TAG Perovskia Little Lace 25/25 Portrait Tag</t>
  </si>
  <si>
    <t>0611863449100</t>
  </si>
  <si>
    <t>TAG Perovskia Little Spire 100/100 Pixie Tag FUL</t>
  </si>
  <si>
    <t>0611837492025</t>
  </si>
  <si>
    <t>TAG Perovskia Little Spire 25/25 Portrait Tag</t>
  </si>
  <si>
    <t>0611863450050</t>
  </si>
  <si>
    <t>TAG Perovskia Little Spire 50/50 Petite Portrait FUL</t>
  </si>
  <si>
    <t>0611837494025</t>
  </si>
  <si>
    <t>TAG Perovskia Longin 25/25 Portrait Tag</t>
  </si>
  <si>
    <t>0611857059025</t>
  </si>
  <si>
    <t>TAG Perovskia Prime Time 25/25 Portrait Tag</t>
  </si>
  <si>
    <t>0611837495100</t>
  </si>
  <si>
    <t>TAG Perovskia Russian 100/100 Pixie Tag</t>
  </si>
  <si>
    <t>0611863451100</t>
  </si>
  <si>
    <t>TAG Perovskia Russian Sage 100/100 Pixie Tag FUL</t>
  </si>
  <si>
    <t>0611837496025</t>
  </si>
  <si>
    <t>TAG Perovskia Russian Sage GENERIC 25/25 Portrait Tag</t>
  </si>
  <si>
    <t>0611863452050</t>
  </si>
  <si>
    <t>TAG Perovskia Russian Sage Limited Availability 50/50 Petite Portrait</t>
  </si>
  <si>
    <t>0611884361025</t>
  </si>
  <si>
    <t>TAG Perovskia Zephyr Compact Blue 25/25 Portrait Tag</t>
  </si>
  <si>
    <t>0611837498100</t>
  </si>
  <si>
    <t>TAG Persicaria Fleece Flower 100/100 Pixie Tag</t>
  </si>
  <si>
    <t>0611837499100</t>
  </si>
  <si>
    <t>TAG Persicaria Vietnamese 100/100 Pixie Tag</t>
  </si>
  <si>
    <t>0611884362025</t>
  </si>
  <si>
    <t>TAG Persicaria Vietnamese 25/25 Portrait Tag</t>
  </si>
  <si>
    <t>0611884365100</t>
  </si>
  <si>
    <t>TAG Petunia Amazonas Plum Cockatoo 100/100 Pixie Tag</t>
  </si>
  <si>
    <t>0611837516100</t>
  </si>
  <si>
    <t>TAG Petunia Amore Fiesta 100/100 Pixie Tag</t>
  </si>
  <si>
    <t>0611837517100</t>
  </si>
  <si>
    <t>TAG Petunia Amore Fluttering Heart 100/100 Pixie Tag</t>
  </si>
  <si>
    <t>0611837518100</t>
  </si>
  <si>
    <t>TAG Petunia Amore Heart N Soul 100/100 Pixie Tag</t>
  </si>
  <si>
    <t>0611837520100</t>
  </si>
  <si>
    <t>TAG Petunia Amore King Of Hearts 100/100 Pixie Tag</t>
  </si>
  <si>
    <t>0611837521100</t>
  </si>
  <si>
    <t>TAG Petunia Amore Pink Heart 100/100 Pixie Tag</t>
  </si>
  <si>
    <t>0611884366100</t>
  </si>
  <si>
    <t>TAG Petunia Amore Princess 100/100 Pixie Tag</t>
  </si>
  <si>
    <t>0611837522100</t>
  </si>
  <si>
    <t>TAG Petunia Amore Purple 100/100 Pixie Tag</t>
  </si>
  <si>
    <t>0611837523100</t>
  </si>
  <si>
    <t>TAG Petunia Amore Queen Of Hearts 100/100 Pixie Tag</t>
  </si>
  <si>
    <t>0611837524025</t>
  </si>
  <si>
    <t>TAG Petunia Amore Series 25/25 Portrait Tag</t>
  </si>
  <si>
    <t>0611837526100</t>
  </si>
  <si>
    <t>TAG Petunia Ball Picotee Mix 100/100 Pixie Tag</t>
  </si>
  <si>
    <t>0611863453050</t>
  </si>
  <si>
    <t>TAG Petunia BigDeal Chocolate Cherries 50/50 Petite Portrait FUL</t>
  </si>
  <si>
    <t>0611863454050</t>
  </si>
  <si>
    <t>TAG Petunia BigDeal Fingerpaint 50/50 Petite Portrait FUL</t>
  </si>
  <si>
    <t>0611863455050</t>
  </si>
  <si>
    <t>TAG Petunia BigDeal Flamenco Dancer 50/50 Petite Portrait FUL</t>
  </si>
  <si>
    <t>0611863456050</t>
  </si>
  <si>
    <t>TAG Petunia BigDeal Hollywood Star 50/50 Petite Portrait FUL</t>
  </si>
  <si>
    <t>0611863457050</t>
  </si>
  <si>
    <t>TAG Petunia BigDeal Pinkadilly Circus 50/50 Petite Portrait FUL</t>
  </si>
  <si>
    <t>0611863458050</t>
  </si>
  <si>
    <t>TAG Petunia BigDeal Roaring Raspberry 50/50 Petite Portrait FUL</t>
  </si>
  <si>
    <t>0611837527100</t>
  </si>
  <si>
    <t>TAG Petunia BigDeal Series 100/100 Pixie Tag</t>
  </si>
  <si>
    <t>0611837529100</t>
  </si>
  <si>
    <t>TAG Petunia Blanket Double Series 100/100 Pixie Tag</t>
  </si>
  <si>
    <t>0611837530100</t>
  </si>
  <si>
    <t>TAG Petunia Blanket Series 100/100 Pixie Tag</t>
  </si>
  <si>
    <t>0611837531100</t>
  </si>
  <si>
    <t>TAG Petunia Blue Bilingual 100/100 Pixie Tag</t>
  </si>
  <si>
    <t>0611837532100</t>
  </si>
  <si>
    <t>TAG Petunia Blue GENERIC 100/100 Pixie Tag</t>
  </si>
  <si>
    <t>0611837533100</t>
  </si>
  <si>
    <t>TAG Petunia Blue Vein GENERIC 100/100 Pixie Tag</t>
  </si>
  <si>
    <t>0611837528100</t>
  </si>
  <si>
    <t>TAG Petunia Blue White Bilingual 100/100 Pixie Tag</t>
  </si>
  <si>
    <t>0611837534025</t>
  </si>
  <si>
    <t>TAG Petunia Blueberry Lime Jam 25/25 Portrait Tag</t>
  </si>
  <si>
    <t>0611837544100</t>
  </si>
  <si>
    <t>TAG Petunia Bravo Sky Blue 100/100 Pixie Tag</t>
  </si>
  <si>
    <t>0611884367100</t>
  </si>
  <si>
    <t>TAG Petunia Bubbles Series 100/100 Pixie Tag</t>
  </si>
  <si>
    <t>0611837548100</t>
  </si>
  <si>
    <t>TAG Petunia Burgundy Bilingual 100/100 Pixie Tag</t>
  </si>
  <si>
    <t>0611837549100</t>
  </si>
  <si>
    <t>TAG Petunia Burgundy GENERIC 100/100 Pixie Tag</t>
  </si>
  <si>
    <t>0611884368100</t>
  </si>
  <si>
    <t>TAG Petunia Caliburst Yellow 100/100 Pixie Tag</t>
  </si>
  <si>
    <t>0611837553100</t>
  </si>
  <si>
    <t>TAG Petunia Capella Baby Pink 100/100 Pixie Tag</t>
  </si>
  <si>
    <t>0611837554100</t>
  </si>
  <si>
    <t>TAG Petunia Capella Burgundy 100/100 Pixie Tag</t>
  </si>
  <si>
    <t>0611837555100</t>
  </si>
  <si>
    <t>TAG Petunia Capella Cherry Vanilla 100/100 Pixie Tag</t>
  </si>
  <si>
    <t>0611837556100</t>
  </si>
  <si>
    <t>TAG Petunia Capella Coral 100/100 Pixie Tag</t>
  </si>
  <si>
    <t>0611837557100</t>
  </si>
  <si>
    <t>TAG Petunia Capella Hello Yellow 100/100 Pixie Tag</t>
  </si>
  <si>
    <t>0611837558100</t>
  </si>
  <si>
    <t>TAG Petunia Capella Indigo 100/100 Pixie Tag</t>
  </si>
  <si>
    <t>0611857060100</t>
  </si>
  <si>
    <t>TAG Petunia Capella Mulberry 100/100 Pixie Tag</t>
  </si>
  <si>
    <t>0611837559100</t>
  </si>
  <si>
    <t>TAG Petunia Capella Neon Pink 100/100 Pixie Tag</t>
  </si>
  <si>
    <t>0611837560100</t>
  </si>
  <si>
    <t>TAG Petunia Capella Pink Lace 100/100 Pixie Tag</t>
  </si>
  <si>
    <t>0611837561100</t>
  </si>
  <si>
    <t>TAG Petunia Capella Purple 100/100 Pixie Tag</t>
  </si>
  <si>
    <t>0611837562100</t>
  </si>
  <si>
    <t>TAG Petunia Capella Purple Veins 100/100 Pixie Tag</t>
  </si>
  <si>
    <t>0611884369100</t>
  </si>
  <si>
    <t>TAG Petunia Capella Rim Fuchsia 100/100 Pixie Tag</t>
  </si>
  <si>
    <t>0611837563100</t>
  </si>
  <si>
    <t>TAG Petunia Capella Rose 100/100 Pixie Tag</t>
  </si>
  <si>
    <t>0611837564100</t>
  </si>
  <si>
    <t>TAG Petunia Capella Ruby Red 100/100 Pixie Tag</t>
  </si>
  <si>
    <t>0611837565100</t>
  </si>
  <si>
    <t>TAG Petunia Capella Salmon 100/100 Pixie Tag</t>
  </si>
  <si>
    <t>0611837566100</t>
  </si>
  <si>
    <t>TAG Petunia Capella Sangria 100/100 Pixie Tag</t>
  </si>
  <si>
    <t>0611837567100</t>
  </si>
  <si>
    <t>TAG Petunia Capella Soft Yellow 100/100 Pixie Tag</t>
  </si>
  <si>
    <t>0611837568100</t>
  </si>
  <si>
    <t>TAG Petunia Capella White 100/100 Pixie Tag</t>
  </si>
  <si>
    <t>0611837569100</t>
  </si>
  <si>
    <t>TAG Petunia Carpet Blue 100/100 Pixie Tag</t>
  </si>
  <si>
    <t>0611837570100</t>
  </si>
  <si>
    <t>TAG Petunia Carpet Blue Lace 100/100 Pixie Tag</t>
  </si>
  <si>
    <t>0611837571100</t>
  </si>
  <si>
    <t>TAG Petunia Carpet Blue Star 100/100 Pixie Tag</t>
  </si>
  <si>
    <t>0611837572100</t>
  </si>
  <si>
    <t>TAG Petunia Carpet Bright Red 100/100 Pixie Tag</t>
  </si>
  <si>
    <t>0611837573100</t>
  </si>
  <si>
    <t>TAG Petunia Carpet Butter Cream 100/100 Pixie Tag</t>
  </si>
  <si>
    <t>0611837574100</t>
  </si>
  <si>
    <t>TAG Petunia Carpet Lilac 100/100 Pixie Tag</t>
  </si>
  <si>
    <t>0611837575100</t>
  </si>
  <si>
    <t>TAG Petunia Carpet Mix 100/100 Pixie Tag</t>
  </si>
  <si>
    <t>0611837576100</t>
  </si>
  <si>
    <t>TAG Petunia Carpet Neptune Mix 100/100 Pixie Tag</t>
  </si>
  <si>
    <t>0611837577100</t>
  </si>
  <si>
    <t>TAG Petunia Carpet Pink 100/100 Pixie Tag</t>
  </si>
  <si>
    <t>0611837578100</t>
  </si>
  <si>
    <t>TAG Petunia Carpet Plum 100/100 Pixie Tag</t>
  </si>
  <si>
    <t>0611837579100</t>
  </si>
  <si>
    <t>TAG Petunia Carpet Red 100/100 Pixie Tag</t>
  </si>
  <si>
    <t>0611837580100</t>
  </si>
  <si>
    <t>TAG Petunia Carpet Rose 100/100 Pixie Tag</t>
  </si>
  <si>
    <t>0611837581100</t>
  </si>
  <si>
    <t>TAG Petunia Carpet Rose Star 100/100 Pixie Tag</t>
  </si>
  <si>
    <t>0611837583100</t>
  </si>
  <si>
    <t>TAG Petunia Carpet Sky Blue 100/100 Pixie Tag</t>
  </si>
  <si>
    <t>0611837584100</t>
  </si>
  <si>
    <t>TAG Petunia Carpet True Blue 100/100 Pixie Tag</t>
  </si>
  <si>
    <t>0611837585100</t>
  </si>
  <si>
    <t>TAG Petunia Carpet Velvet 100/100 Pixie Tag</t>
  </si>
  <si>
    <t>0611837586100</t>
  </si>
  <si>
    <t>TAG Petunia Carpet White 100/100 Pixie Tag</t>
  </si>
  <si>
    <t>0611837589100</t>
  </si>
  <si>
    <t>TAG Petunia Cascade Blue 100/100 Pixie Tag</t>
  </si>
  <si>
    <t>0611837594100</t>
  </si>
  <si>
    <t>TAG Petunia Cascade Mix 100/100 Pixie Tag</t>
  </si>
  <si>
    <t>0611837595100</t>
  </si>
  <si>
    <t>TAG Petunia Cascade Pink 100/100 Pixie Tag</t>
  </si>
  <si>
    <t>0611837596100</t>
  </si>
  <si>
    <t>TAG Petunia Cascade Red 100/100 Pixie Tag</t>
  </si>
  <si>
    <t>0611837597100</t>
  </si>
  <si>
    <t>TAG Petunia Cascade White 100/100 Pixie Tag</t>
  </si>
  <si>
    <t>0611884370100</t>
  </si>
  <si>
    <t>TAG Petunia Cascadias Arizona Sky 100/100 Pixie Tag</t>
  </si>
  <si>
    <t>0611837598100</t>
  </si>
  <si>
    <t>TAG Petunia Cascadias Autumn Mystery 100/100 Pixie Tag</t>
  </si>
  <si>
    <t>0611837599100</t>
  </si>
  <si>
    <t>TAG Petunia Cascadias Bicolor Cabernet 100/100 Pixie Tag</t>
  </si>
  <si>
    <t>0611837600100</t>
  </si>
  <si>
    <t>TAG Petunia Cascadias Blue Omri 100/100 Pixie Tag</t>
  </si>
  <si>
    <t>0611837601100</t>
  </si>
  <si>
    <t>TAG Petunia Cascadias Chili Red 100/100 Pixie Tag</t>
  </si>
  <si>
    <t>0611837602100</t>
  </si>
  <si>
    <t>TAG Petunia Cascadias Fantasy Hot Pink 100/100 Pixie Tag</t>
  </si>
  <si>
    <t>0611857061100</t>
  </si>
  <si>
    <t>TAG Petunia Cascadias Fuchsia 100/100 Pixie Tag</t>
  </si>
  <si>
    <t>0611837603100</t>
  </si>
  <si>
    <t>TAG Petunia Cascadias Hint Of Lime 100/100 Pixie Tag</t>
  </si>
  <si>
    <t>0611837604100</t>
  </si>
  <si>
    <t>TAG Petunia Cascadias Iceberg 100/100 Pixie Tag</t>
  </si>
  <si>
    <t>0611837605100</t>
  </si>
  <si>
    <t>TAG Petunia Cascadias Indian Summer 100/100 Pixie Tag</t>
  </si>
  <si>
    <t>0611857062100</t>
  </si>
  <si>
    <t>TAG Petunia Cascadias Indigo 100/100 Pixie Tag</t>
  </si>
  <si>
    <t>0611837606100</t>
  </si>
  <si>
    <t>TAG Petunia Cascadias Passion 100/100 Pixie Tag</t>
  </si>
  <si>
    <t>0611837608100</t>
  </si>
  <si>
    <t>TAG Petunia Cascadias Pitaya 100/100 Pixie Tag</t>
  </si>
  <si>
    <t>0611837609100</t>
  </si>
  <si>
    <t>TAG Petunia Cascadias Purple Gem 100/100 Pixie Tag</t>
  </si>
  <si>
    <t>0611837610100</t>
  </si>
  <si>
    <t>TAG Petunia Cascadias Purple Ice 100/100 Pixie Tag</t>
  </si>
  <si>
    <t>0611837611100</t>
  </si>
  <si>
    <t>TAG Petunia Cascadias Red 100/100 Pixie Tag</t>
  </si>
  <si>
    <t>0611837612100</t>
  </si>
  <si>
    <t>TAG Petunia Cascadias Rim Cherry 100/100 Pixie Tag</t>
  </si>
  <si>
    <t>0611837613100</t>
  </si>
  <si>
    <t>TAG Petunia Cascadias Rim Chianti 100/100 Pixie Tag</t>
  </si>
  <si>
    <t>0611837615100</t>
  </si>
  <si>
    <t>TAG Petunia Cascadias Rim Magenta 100/100 Pixie Tag</t>
  </si>
  <si>
    <t>0611837616100</t>
  </si>
  <si>
    <t>TAG Petunia Cascadias Rim Violet 100/100 Pixie Tag</t>
  </si>
  <si>
    <t>0611837617100</t>
  </si>
  <si>
    <t>TAG Petunia Cascadias Series 100/100 Pixie Tag</t>
  </si>
  <si>
    <t>0611857063100</t>
  </si>
  <si>
    <t>TAG Petunia Cascadias Vibrant Pink 100/100 Pixie Tag</t>
  </si>
  <si>
    <t>0611837618100</t>
  </si>
  <si>
    <t>TAG Petunia Cascading GENERIC 100/100 Hang Tag</t>
  </si>
  <si>
    <t>0611837619100</t>
  </si>
  <si>
    <t>TAG Petunia Celebrity Blue 100/100 Pixie Tag</t>
  </si>
  <si>
    <t>0611837620100</t>
  </si>
  <si>
    <t>TAG Petunia Celebrity Blue Ice 100/100 Pixie Tag</t>
  </si>
  <si>
    <t>0611837621100</t>
  </si>
  <si>
    <t>TAG Petunia Celebrity Burgundy Frost 100/100 Pixie Tag</t>
  </si>
  <si>
    <t>0611837623100</t>
  </si>
  <si>
    <t>TAG Petunia Celebrity Chiffon Morn 100/100 Pixie Tag</t>
  </si>
  <si>
    <t>0611837626100</t>
  </si>
  <si>
    <t>TAG Petunia Celebrity Mix 100/100 Pixie Tag</t>
  </si>
  <si>
    <t>0611837631100</t>
  </si>
  <si>
    <t>TAG Petunia Celebrity Pink Morn 100/100 Pixie Tag</t>
  </si>
  <si>
    <t>0611837634100</t>
  </si>
  <si>
    <t>TAG Petunia Celebrity Red 100/100 Pixie Tag</t>
  </si>
  <si>
    <t>0611837635100</t>
  </si>
  <si>
    <t>TAG Petunia Celebrity Red Morn 100/100 Pixie Tag</t>
  </si>
  <si>
    <t>0611837639100</t>
  </si>
  <si>
    <t>TAG Petunia Celebrity Sky Blue 100/100 Pixie Tag</t>
  </si>
  <si>
    <t>0611837640100</t>
  </si>
  <si>
    <t>TAG Petunia Celebrity Strawberry Ice 100/100 Pixie Tag</t>
  </si>
  <si>
    <t>0611837641100</t>
  </si>
  <si>
    <t>TAG Petunia Celebrity Watercolor Mix 100/100 Pixie Tag</t>
  </si>
  <si>
    <t>0611837642100</t>
  </si>
  <si>
    <t>TAG Petunia Celebrity White 100/100 Pixie Tag</t>
  </si>
  <si>
    <t>0611837643100</t>
  </si>
  <si>
    <t>TAG Petunia Celebrity Yellow 100/100 Pixie Tag</t>
  </si>
  <si>
    <t>0611837651100</t>
  </si>
  <si>
    <t>TAG Petunia Combo Blue 100/100 Pixie Tag</t>
  </si>
  <si>
    <t>0611837652100</t>
  </si>
  <si>
    <t>TAG Petunia Constellation Aries 100/100 Pixie Tag</t>
  </si>
  <si>
    <t>0611863459050</t>
  </si>
  <si>
    <t>TAG Petunia Constellation Aries 50/50 Petite Portrait FUL</t>
  </si>
  <si>
    <t>0611837653100</t>
  </si>
  <si>
    <t>TAG Petunia Constellation Gemini 100/100 Pixie Tag</t>
  </si>
  <si>
    <t>0611863460050</t>
  </si>
  <si>
    <t>TAG Petunia Constellation Gemini 50/50 Petite Portrait FUL</t>
  </si>
  <si>
    <t>0611837654100</t>
  </si>
  <si>
    <t>TAG Petunia Constellation Magenta Comet 100/100 Pixie Tag</t>
  </si>
  <si>
    <t>0611837655100</t>
  </si>
  <si>
    <t>TAG Petunia Constellation Pyxis 100/100 Pixie Tag</t>
  </si>
  <si>
    <t>0611863461050</t>
  </si>
  <si>
    <t>TAG Petunia Constellation Pyxis 50/50 Petite Portrait FUL</t>
  </si>
  <si>
    <t>0611857064100</t>
  </si>
  <si>
    <t>TAG Petunia Constellation Red Sky 100/100 Pixie Tag</t>
  </si>
  <si>
    <t>0611837656100</t>
  </si>
  <si>
    <t>TAG Petunia Constellation Supernova 100/100 Pixie Tag</t>
  </si>
  <si>
    <t>0611837657100</t>
  </si>
  <si>
    <t>TAG Petunia Constellation Virgo 100/100 Pixie Tag</t>
  </si>
  <si>
    <t>0611863462050</t>
  </si>
  <si>
    <t>TAG Petunia Constellation Virgo 50/50 Petite Portrait FUL</t>
  </si>
  <si>
    <t>0611837658100</t>
  </si>
  <si>
    <t>TAG Petunia Crazytunia Amarena Cream 100/100 Pixie Tag</t>
  </si>
  <si>
    <t>0611863463050</t>
  </si>
  <si>
    <t>TAG Petunia Crazytunia Amarena Cream 50/50 Petite Portrait FUL</t>
  </si>
  <si>
    <t>0611884371100</t>
  </si>
  <si>
    <t>TAG Petunia Crazytunia Asterisk 100/100 Pixie Tag</t>
  </si>
  <si>
    <t>0611837659100</t>
  </si>
  <si>
    <t>TAG Petunia Crazytunia Berry Frappe 100/100 Pixie Tag</t>
  </si>
  <si>
    <t>0611863464050</t>
  </si>
  <si>
    <t>TAG Petunia Crazytunia Berry Frappe 50/50 Petite Portrait FUL</t>
  </si>
  <si>
    <t>0611837660100</t>
  </si>
  <si>
    <t>TAG Petunia Crazytunia Bitter Lemon 100/100 Pixie Tag</t>
  </si>
  <si>
    <t>0611837665100</t>
  </si>
  <si>
    <t>TAG Petunia Crazytunia Black And White 100/100 Pixie Tag</t>
  </si>
  <si>
    <t>0611863466050</t>
  </si>
  <si>
    <t>TAG Petunia Crazytunia Black And White 50/50 Petite Portrait FUL</t>
  </si>
  <si>
    <t>0611837664100</t>
  </si>
  <si>
    <t>TAG Petunia Crazytunia Black Mamba 100/100 Pixie Tag</t>
  </si>
  <si>
    <t>0611863465050</t>
  </si>
  <si>
    <t>TAG Petunia Crazytunia Black Mamba 50/50 Petite Portrait FUL</t>
  </si>
  <si>
    <t>0611837661100</t>
  </si>
  <si>
    <t>TAG Petunia Crazytunia Blackberry Cheesecake 100/100 Pixie Tag</t>
  </si>
  <si>
    <t>0611863469050</t>
  </si>
  <si>
    <t>TAG Petunia Crazytunia Blackberry Cheesecake 50/50 Petite Portrait FUL</t>
  </si>
  <si>
    <t>0611837662100</t>
  </si>
  <si>
    <t>TAG Petunia Crazytunia Blackberry Jam 100/100 Pixie Tag</t>
  </si>
  <si>
    <t>0611863467050</t>
  </si>
  <si>
    <t>TAG Petunia Crazytunia Blackberry Jam 50/50 Petite Portrait FUL</t>
  </si>
  <si>
    <t>0611837663100</t>
  </si>
  <si>
    <t>TAG Petunia Crazytunia Blackberry Mojito 100/100 Pixie Tag</t>
  </si>
  <si>
    <t>0611863468050</t>
  </si>
  <si>
    <t>TAG Petunia Crazytunia Blackberry Mojito 50/50 Petite Portrait FUL</t>
  </si>
  <si>
    <t>0611837666100</t>
  </si>
  <si>
    <t>TAG Petunia Crazytunia Blue Ice 100/100 Pixie Tag</t>
  </si>
  <si>
    <t>0611863470050</t>
  </si>
  <si>
    <t>TAG Petunia Crazytunia Blue Ice 50/50 Petite Portrait FUL</t>
  </si>
  <si>
    <t>0611837668100</t>
  </si>
  <si>
    <t>TAG Petunia Crazytunia Blue Picotee 100/100 Pixie Tag</t>
  </si>
  <si>
    <t>0611863471050</t>
  </si>
  <si>
    <t>TAG Petunia Crazytunia Blue Picotee 50/50 Petite Portrait FUL</t>
  </si>
  <si>
    <t>0611837670100</t>
  </si>
  <si>
    <t>TAG Petunia Crazytunia Cardinal Bl 100/100 Pixie Tag</t>
  </si>
  <si>
    <t>0611863472050</t>
  </si>
  <si>
    <t>TAG Petunia Crazytunia Cherry Cheesecake 50/50 Petite Portrait FUL</t>
  </si>
  <si>
    <t>0611837671100</t>
  </si>
  <si>
    <t>TAG Petunia Crazytunia Cherry Jublee 100/100 Pixie Tag</t>
  </si>
  <si>
    <t>0611863473050</t>
  </si>
  <si>
    <t>TAG Petunia Crazytunia Cherry Jublee 50/50 Petite Portrait FUL</t>
  </si>
  <si>
    <t>0611837673100</t>
  </si>
  <si>
    <t>TAG Petunia Crazytunia Cosmic Pink 100/100 Pixie Tag</t>
  </si>
  <si>
    <t>0611863474050</t>
  </si>
  <si>
    <t>TAG Petunia Crazytunia Cosmic Pink 50/50 Petite Portrait FUL</t>
  </si>
  <si>
    <t>0611837674100</t>
  </si>
  <si>
    <t>TAG Petunia Crazytunia Cosmic Purple 100/100 Pixie Tag</t>
  </si>
  <si>
    <t>0611863475050</t>
  </si>
  <si>
    <t>TAG Petunia Crazytunia Cosmic Purple 50/50 Petite Portrait FUL</t>
  </si>
  <si>
    <t>0611884372100</t>
  </si>
  <si>
    <t>TAG Petunia Crazytunia Cosmic Violet 100/100 Pixie Tag</t>
  </si>
  <si>
    <t>0611837675100</t>
  </si>
  <si>
    <t>TAG Petunia Crazytunia Firecracker 100/100 Pixie Tag</t>
  </si>
  <si>
    <t>0611837676100</t>
  </si>
  <si>
    <t>TAG Petunia Crazytunia French Kiss 100/100 Pixie Tag</t>
  </si>
  <si>
    <t>0611837677100</t>
  </si>
  <si>
    <t>TAG Petunia Crazytunia Frisky Orange 100/100 Pixie Tag</t>
  </si>
  <si>
    <t>0611837678100</t>
  </si>
  <si>
    <t>TAG Petunia Crazytunia Frisky Purple 100/100 Pixie Tag</t>
  </si>
  <si>
    <t>0611837679100</t>
  </si>
  <si>
    <t>TAG Petunia Crazytunia Frisky Red 100/100 Pixie Tag</t>
  </si>
  <si>
    <t>0611863476050</t>
  </si>
  <si>
    <t>TAG Petunia Crazytunia Frisky Red 50/50 Petite Portrait FUL</t>
  </si>
  <si>
    <t>0611837680100</t>
  </si>
  <si>
    <t>TAG Petunia Crazytunia Frisky Violet 100/100 Pixie Tag</t>
  </si>
  <si>
    <t>0611863477050</t>
  </si>
  <si>
    <t>TAG Petunia Crazytunia Frisky Violet 50/50 Petite Portrait FUL</t>
  </si>
  <si>
    <t>0611884373100</t>
  </si>
  <si>
    <t>TAG Petunia Crazytunia Gingersnap 100/100 Pixie Tag</t>
  </si>
  <si>
    <t>0611857065100</t>
  </si>
  <si>
    <t>TAG Petunia Crazytunia Golden Purple Eye 100/100 Pixie Tag</t>
  </si>
  <si>
    <t>0611857066100</t>
  </si>
  <si>
    <t>TAG Petunia Crazytunia Golden Rose Eye 100/100 Pixie Tag</t>
  </si>
  <si>
    <t>0611837682100</t>
  </si>
  <si>
    <t>TAG Petunia Crazytunia Iced Berry 100/100 Pixie Tag</t>
  </si>
  <si>
    <t>0611863478050</t>
  </si>
  <si>
    <t>TAG Petunia Crazytunia Iced Berry 50/50 Petite Portrait FUL</t>
  </si>
  <si>
    <t>0611837683100</t>
  </si>
  <si>
    <t>TAG Petunia Crazytunia Kermit Purple 100/100 Pixie Tag</t>
  </si>
  <si>
    <t>0611837684100</t>
  </si>
  <si>
    <t>TAG Petunia Crazytunia Kermit Rose 100/100 Pixie Tag</t>
  </si>
  <si>
    <t>0611837685100</t>
  </si>
  <si>
    <t>TAG Petunia Crazytunia Knight Rider 100/100 Pixie Tag</t>
  </si>
  <si>
    <t>0611863479050</t>
  </si>
  <si>
    <t>TAG Petunia Crazytunia Knight Rider 50/50 Petite Portrait FUL</t>
  </si>
  <si>
    <t>0611863480050</t>
  </si>
  <si>
    <t>TAG Petunia Crazytunia Lemon Burst 50/50 Petite Portrait FUL</t>
  </si>
  <si>
    <t>0611857067100</t>
  </si>
  <si>
    <t>TAG Petunia Crazytunia Lighthouse Pink 100/100 Pixie Tag</t>
  </si>
  <si>
    <t>0611863481050</t>
  </si>
  <si>
    <t>TAG Petunia Crazytunia Lighthouse Pink 50/50 Petite Portrait FUL</t>
  </si>
  <si>
    <t>0611837687100</t>
  </si>
  <si>
    <t>TAG Petunia Crazytunia Lucky Lilac 100/100 Pixie Tag</t>
  </si>
  <si>
    <t>0611863482050</t>
  </si>
  <si>
    <t>TAG Petunia Crazytunia Lucky Lilac 50/50 Petite Portrait FUL</t>
  </si>
  <si>
    <t>0611837691100</t>
  </si>
  <si>
    <t>TAG Petunia Crazytunia Magenta Storm 100/100 Pixie Tag</t>
  </si>
  <si>
    <t>0611863483050</t>
  </si>
  <si>
    <t>TAG Petunia Crazytunia Magenta Storm 50/50 Petite Portrait FUL</t>
  </si>
  <si>
    <t>0611837688100</t>
  </si>
  <si>
    <t>TAG Petunia Crazytunia Magnterrific 100/100 Pixie Tag</t>
  </si>
  <si>
    <t>0611837692100</t>
  </si>
  <si>
    <t>TAG Petunia Crazytunia Mahogany Queen 100/100 Pixie Tag</t>
  </si>
  <si>
    <t>0611837689100</t>
  </si>
  <si>
    <t>TAG Petunia Crazytunia Mandeville 100/100 Pixie Tag</t>
  </si>
  <si>
    <t>0611863484050</t>
  </si>
  <si>
    <t>TAG Petunia Crazytunia Mandeville 50/50 Petite Portrait FUL</t>
  </si>
  <si>
    <t>0611837693100</t>
  </si>
  <si>
    <t>TAG Petunia Crazytunia Moonstruck 100/100 Pixie Tag</t>
  </si>
  <si>
    <t>0611863485050</t>
  </si>
  <si>
    <t>TAG Petunia Crazytunia Moonstruck 50/50 Petite Portrait FUL</t>
  </si>
  <si>
    <t>0611837694100</t>
  </si>
  <si>
    <t>TAG Petunia Crazytunia Nightwatch 100/100 Pixie Tag</t>
  </si>
  <si>
    <t>0611863486050</t>
  </si>
  <si>
    <t>TAG Petunia Crazytunia Nightwatch 50/50 Petite Portrait FUL</t>
  </si>
  <si>
    <t>0611837695100</t>
  </si>
  <si>
    <t>TAG Petunia Crazytunia Passion Punch 100/100 Pixie Tag</t>
  </si>
  <si>
    <t>0611863487050</t>
  </si>
  <si>
    <t>TAG Petunia Crazytunia Passion Punch 50/50 Petite Portrait FUL</t>
  </si>
  <si>
    <t>0611863488050</t>
  </si>
  <si>
    <t>TAG Petunia Crazytunia Patrick Star 50/50 Petite Portrait FUL</t>
  </si>
  <si>
    <t>0611837697100</t>
  </si>
  <si>
    <t>TAG Petunia Crazytunia Peach Bellini 100/100 Pixie Tag</t>
  </si>
  <si>
    <t>0611863489050</t>
  </si>
  <si>
    <t>TAG Petunia Crazytunia Peach Bellini 50/50 Petite Portrait FUL</t>
  </si>
  <si>
    <t>0611857068100</t>
  </si>
  <si>
    <t>TAG Petunia Crazytunia Pink Bride 100/100 Pixie Tag</t>
  </si>
  <si>
    <t>0611863490050</t>
  </si>
  <si>
    <t>TAG Petunia Crazytunia Pink Bride 50/50 Petite Portrait FUL</t>
  </si>
  <si>
    <t>0611837701100</t>
  </si>
  <si>
    <t>TAG Petunia Crazytunia Pink Flamingo 100/100 Pixie Tag</t>
  </si>
  <si>
    <t>0611863493050</t>
  </si>
  <si>
    <t>TAG Petunia Crazytunia Pink Flamingo 50/50 Petite Portrait FUL</t>
  </si>
  <si>
    <t>0611837698100</t>
  </si>
  <si>
    <t>TAG Petunia Crazytunia Pink Frills 100/100 Pixie Tag</t>
  </si>
  <si>
    <t>0611863491050</t>
  </si>
  <si>
    <t>TAG Petunia Crazytunia Pink Frills 50/50 Petite Portrait FUL</t>
  </si>
  <si>
    <t>0611837699100</t>
  </si>
  <si>
    <t>TAG Petunia Crazytunia Pinkadelic 100/100 Pixie Tag</t>
  </si>
  <si>
    <t>0611837700100</t>
  </si>
  <si>
    <t>TAG Petunia Crazytunia Pinkplosion 100/100 Pixie Tag</t>
  </si>
  <si>
    <t>0611857069100</t>
  </si>
  <si>
    <t>TAG Petunia Crazytunia Plumbelievable 100/100 Pixie Tag</t>
  </si>
  <si>
    <t>0611837702100</t>
  </si>
  <si>
    <t>TAG Petunia Crazytunia Plumtastic 100/100 Pixie Tag</t>
  </si>
  <si>
    <t>0611837705100</t>
  </si>
  <si>
    <t>TAG Petunia Crazytunia Pulse 100/100 Pixie Tag</t>
  </si>
  <si>
    <t>0611863495050</t>
  </si>
  <si>
    <t>TAG Petunia Crazytunia Pulse 50/50 Petite Portrait FUL</t>
  </si>
  <si>
    <t>0611837703100</t>
  </si>
  <si>
    <t>TAG Petunia Crazytunia Purple Picotee 100/100 Pixie Tag</t>
  </si>
  <si>
    <t>0611837706100</t>
  </si>
  <si>
    <t>TAG Petunia Crazytunia Purple Storm 100/100 Pixie Tag</t>
  </si>
  <si>
    <t>0611863497050</t>
  </si>
  <si>
    <t>TAG Petunia Crazytunia Purple Storm 50/50 Petite Portrait FUL</t>
  </si>
  <si>
    <t>0611837707100</t>
  </si>
  <si>
    <t>TAG Petunia Crazytunia Raspberry Lemonade 100/100 Pixie Tag</t>
  </si>
  <si>
    <t>0611837708100</t>
  </si>
  <si>
    <t>TAG Petunia Crazytunia Razzmatazz 100/100 Pixie Tag</t>
  </si>
  <si>
    <t>0611863498050</t>
  </si>
  <si>
    <t>TAG Petunia Crazytunia Razzmatazz 50/50 Petite Portrait FUL</t>
  </si>
  <si>
    <t>0611837709100</t>
  </si>
  <si>
    <t>TAG Petunia Crazytunia Red Blues 100/100 Pixie Tag</t>
  </si>
  <si>
    <t>0611863499050</t>
  </si>
  <si>
    <t>TAG Petunia Crazytunia Red Blues 50/50 Petite Portrait FUL</t>
  </si>
  <si>
    <t>0611837710100</t>
  </si>
  <si>
    <t>TAG Petunia Crazytunia Rose Gold 100/100 Pixie Tag</t>
  </si>
  <si>
    <t>0611837711100</t>
  </si>
  <si>
    <t>TAG Petunia Crazytunia Series 100/100 Pixie Tag</t>
  </si>
  <si>
    <t>0611837712100</t>
  </si>
  <si>
    <t>TAG Petunia Crazytunia Spider Girl 100/100 Pixie Tag</t>
  </si>
  <si>
    <t>0611837713100</t>
  </si>
  <si>
    <t>TAG Petunia Crazytunia Star Fruit 100/100 Pixie Tag</t>
  </si>
  <si>
    <t>0611863500050</t>
  </si>
  <si>
    <t>TAG Petunia Crazytunia Star Fruit 50/50 Petite Portrait FUL</t>
  </si>
  <si>
    <t>0611837714100</t>
  </si>
  <si>
    <t>TAG Petunia Crazytunia Star Jubilee 100/100 Pixie Tag</t>
  </si>
  <si>
    <t>0611837716100</t>
  </si>
  <si>
    <t>TAG Petunia Crazytunia Sugar Beet 100/100 Pixie Tag</t>
  </si>
  <si>
    <t>0611837717100</t>
  </si>
  <si>
    <t>TAG Petunia Crazytunia Terracotta 100/100 Pixie Tag</t>
  </si>
  <si>
    <t>0611863501050</t>
  </si>
  <si>
    <t>TAG Petunia Crazytunia Terracotta 50/50 Petite Portrait FUL</t>
  </si>
  <si>
    <t>0611837718100</t>
  </si>
  <si>
    <t>TAG Petunia Crazytunia Tiki Torch 100/100 Pixie Tag</t>
  </si>
  <si>
    <t>0611863502050</t>
  </si>
  <si>
    <t>TAG Petunia Crazytunia Tiki Torch 50/50 Petite Portrait FUL</t>
  </si>
  <si>
    <t>0611863503050</t>
  </si>
  <si>
    <t>TAG Petunia Crazytunia Ultra Cardinal Blue 50/50 Petite Portrait FUL</t>
  </si>
  <si>
    <t>0611837722100</t>
  </si>
  <si>
    <t>TAG Petunia Crazytunia Ultra Violet 100/100 Pixie Tag</t>
  </si>
  <si>
    <t>0611837724100</t>
  </si>
  <si>
    <t>TAG Petunia Daddy Blue 100/100 Pixie Tag</t>
  </si>
  <si>
    <t>0611837725100</t>
  </si>
  <si>
    <t>TAG Petunia Daddy Mix 100/100 Pixie Tag</t>
  </si>
  <si>
    <t>0611837726100</t>
  </si>
  <si>
    <t>TAG Petunia Daddy Orchid 100/100 Pixie Tag</t>
  </si>
  <si>
    <t>0611837727100</t>
  </si>
  <si>
    <t>TAG Petunia Daddy Peppermint 100/100 Pixie Tag</t>
  </si>
  <si>
    <t>0611837728100</t>
  </si>
  <si>
    <t>TAG Petunia Daddy Pink 100/100 Pixie Tag</t>
  </si>
  <si>
    <t>0611837729100</t>
  </si>
  <si>
    <t>TAG Petunia Daddy Strawberry 100/100 Pixie Tag</t>
  </si>
  <si>
    <t>0611837730100</t>
  </si>
  <si>
    <t>TAG Petunia Daddy Sugar 100/100 Pixie Tag</t>
  </si>
  <si>
    <t>0611837731100</t>
  </si>
  <si>
    <t>TAG Petunia Daddy Sugar Classic 100/100 Pixie Tag</t>
  </si>
  <si>
    <t>0611837732100</t>
  </si>
  <si>
    <t>TAG Petunia Damask Rose 100/100 Pixie Tag SF</t>
  </si>
  <si>
    <t>0611837733100</t>
  </si>
  <si>
    <t>TAG Petunia Damask Series 100/100 Pixie Tag SF</t>
  </si>
  <si>
    <t>0611837734100</t>
  </si>
  <si>
    <t>TAG Petunia Debonair Black Cherry 100/100 Pixie Tag</t>
  </si>
  <si>
    <t>0611837735100</t>
  </si>
  <si>
    <t>TAG Petunia Debonair Dusty Rose 100/100 Pixie Tag</t>
  </si>
  <si>
    <t>0611837736100</t>
  </si>
  <si>
    <t>TAG Petunia Debonair Lime Green 100/100 Pixie Tag</t>
  </si>
  <si>
    <t>0611863504050</t>
  </si>
  <si>
    <t>TAG Petunia Dekko Banana 50/50 Petite Portrait SF FUL</t>
  </si>
  <si>
    <t>0611863505050</t>
  </si>
  <si>
    <t>TAG Petunia Dekko Blue 50/50 Petite Tag SF</t>
  </si>
  <si>
    <t>0611863507050</t>
  </si>
  <si>
    <t>TAG Petunia Dekko Deep Lavender Vein 50/50 Petite Portrait SF FUL</t>
  </si>
  <si>
    <t>0611863508050</t>
  </si>
  <si>
    <t>TAG Petunia Dekko Lavender Eye 50/50 Petite Portrait SF FUL</t>
  </si>
  <si>
    <t>0611863509050</t>
  </si>
  <si>
    <t>TAG Petunia Dekko Purple 50/50 Petite Portrait SF FUL</t>
  </si>
  <si>
    <t>0611863510050</t>
  </si>
  <si>
    <t>TAG Petunia Dekko Red 50/50 Petite Portrait SF FUL</t>
  </si>
  <si>
    <t>0611863511050</t>
  </si>
  <si>
    <t>TAG Petunia Dekko Salmon 50/50 Petite Portrait SF FUL</t>
  </si>
  <si>
    <t>0611863512050</t>
  </si>
  <si>
    <t>TAG Petunia Dekko Sky Blue 50/50 Petite Portrait SF FUL</t>
  </si>
  <si>
    <t>0611863513050</t>
  </si>
  <si>
    <t>TAG Petunia Dekko Sorbet 50/50 Petite Portrait SF FUL</t>
  </si>
  <si>
    <t>0611863514050</t>
  </si>
  <si>
    <t>TAG Petunia Dekko Star Coral 50/50 Petite Portrait SF FUL</t>
  </si>
  <si>
    <t>0611863515050</t>
  </si>
  <si>
    <t>TAG Petunia Dekko Star Rose 50/50 Petite Portrait SF FUL</t>
  </si>
  <si>
    <t>0611863516050</t>
  </si>
  <si>
    <t>TAG Petunia Dekko White 50/50 Petite Tag SF</t>
  </si>
  <si>
    <t>0611884374100</t>
  </si>
  <si>
    <t>TAG Petunia Designer Series 100/100 Pixie Tag</t>
  </si>
  <si>
    <t>0611884375100</t>
  </si>
  <si>
    <t>TAG Petunia Discoball Series 100/100 Pixie Tag</t>
  </si>
  <si>
    <t>0611837741100</t>
  </si>
  <si>
    <t>TAG Petunia Double Blue And Purple GENERIC 100/100 Pixie Tag</t>
  </si>
  <si>
    <t>0611837590100</t>
  </si>
  <si>
    <t>TAG Petunia Double Cascade Blue 100/100 Pixie Tag</t>
  </si>
  <si>
    <t>0611837591100</t>
  </si>
  <si>
    <t>TAG Petunia Double Cascade Burgundy 100/100 Pixie Tag</t>
  </si>
  <si>
    <t>0611837592100</t>
  </si>
  <si>
    <t>TAG Petunia Double Cascade Mix 100/100 Pixie Tag</t>
  </si>
  <si>
    <t>0611837587100</t>
  </si>
  <si>
    <t>TAG Petunia Double Cascade Orchid Mist 100/100 Pixie Tag</t>
  </si>
  <si>
    <t>0611837593100</t>
  </si>
  <si>
    <t>TAG Petunia Double Cascade Pink 100/100 Pixie Tag</t>
  </si>
  <si>
    <t>0611837588100</t>
  </si>
  <si>
    <t>TAG Petunia Double Cascade Valentine 100/100 Pixie Tag</t>
  </si>
  <si>
    <t>0611837742100</t>
  </si>
  <si>
    <t>TAG Petunia Double Mix GENERIC 100/100 Pixie Tag</t>
  </si>
  <si>
    <t>0611837743100</t>
  </si>
  <si>
    <t>TAG Petunia Double Pink And Rose GENERIC 100/100 Pixie Tag</t>
  </si>
  <si>
    <t>0611837745100</t>
  </si>
  <si>
    <t>TAG Petunia Double Red And White GENERIC 100/100 Pixie Tag</t>
  </si>
  <si>
    <t>0611837744100</t>
  </si>
  <si>
    <t>TAG Petunia Double Red GENERIC 100/100 Pixie Tag</t>
  </si>
  <si>
    <t>0611884376100</t>
  </si>
  <si>
    <t>TAG Petunia Double Stuff Series 100/100 Pixie Tag</t>
  </si>
  <si>
    <t>0611837747100</t>
  </si>
  <si>
    <t>TAG Petunia Dreams Appleblossom 100/100 Pixie Tag</t>
  </si>
  <si>
    <t>0611837748100</t>
  </si>
  <si>
    <t>TAG Petunia Dreams Burgundy 100/100 Pixie Tag</t>
  </si>
  <si>
    <t>0611837749100</t>
  </si>
  <si>
    <t>TAG Petunia Dreams Burgundy Picotee 100/100 Pixie Tag</t>
  </si>
  <si>
    <t>0611837750100</t>
  </si>
  <si>
    <t>TAG Petunia Dreams Coral Morn 100/100 Pixie Tag</t>
  </si>
  <si>
    <t>0611837752100</t>
  </si>
  <si>
    <t>TAG Petunia Dreams Midnight 100/100 Pixie Tag</t>
  </si>
  <si>
    <t>0611837753100</t>
  </si>
  <si>
    <t>TAG Petunia Dreams Mix 100/100 Pixie Tag</t>
  </si>
  <si>
    <t>0611837754100</t>
  </si>
  <si>
    <t>TAG Petunia Dreams Neon Rose 100/100 Pixie Tag</t>
  </si>
  <si>
    <t>0611837755100</t>
  </si>
  <si>
    <t>TAG Petunia Dreams Patriot Mix 100/100 Pixie Tag</t>
  </si>
  <si>
    <t>0611837756100</t>
  </si>
  <si>
    <t>TAG Petunia Dreams Pink 100/100 Pixie Tag</t>
  </si>
  <si>
    <t>0611837757100</t>
  </si>
  <si>
    <t>TAG Petunia Dreams Red 100/100 Pixie Tag</t>
  </si>
  <si>
    <t>0611837758100</t>
  </si>
  <si>
    <t>TAG Petunia Dreams Red Picotee 100/100 Pixie Tag</t>
  </si>
  <si>
    <t>0611837759100</t>
  </si>
  <si>
    <t>TAG Petunia Dreams Rose 100/100 Pixie Tag</t>
  </si>
  <si>
    <t>0611837760100</t>
  </si>
  <si>
    <t>TAG Petunia Dreams Rose Morn 100/100 Pixie Tag</t>
  </si>
  <si>
    <t>0611837761100</t>
  </si>
  <si>
    <t>TAG Petunia Dreams Rose Picotee 100/100 Pixie Tag</t>
  </si>
  <si>
    <t>0611837762100</t>
  </si>
  <si>
    <t>TAG Petunia Dreams Salmon 100/100 Pixie Tag</t>
  </si>
  <si>
    <t>0611837763100</t>
  </si>
  <si>
    <t>TAG Petunia Dreams Series 100/100 Pixie Tag</t>
  </si>
  <si>
    <t>0611837764100</t>
  </si>
  <si>
    <t>TAG Petunia Dreams Sky Blue 100/100 Pixie Tag</t>
  </si>
  <si>
    <t>0611837765100</t>
  </si>
  <si>
    <t>TAG Petunia Dreams Waterfall Mix 100/100 Pixie Tag</t>
  </si>
  <si>
    <t>0611837766100</t>
  </si>
  <si>
    <t>TAG Petunia Dreams White 100/100 Pixie Tag</t>
  </si>
  <si>
    <t>0611837767100</t>
  </si>
  <si>
    <t>TAG Petunia Dreams Wild Rose Mix 100/100 Pixie Tag</t>
  </si>
  <si>
    <t>0611863522050</t>
  </si>
  <si>
    <t>TAG Petunia Durabloom Blue Vein 50/50 Petite Portrait DO FUL</t>
  </si>
  <si>
    <t>0611863523050</t>
  </si>
  <si>
    <t>TAG Petunia Durabloom Electric Lilac 50/50 Petite Portrait DO FUL</t>
  </si>
  <si>
    <t>0611863524050</t>
  </si>
  <si>
    <t>TAG Petunia Durabloom Hot Pink 50/50 Petite Portrait DO FUL</t>
  </si>
  <si>
    <t>0611863525050</t>
  </si>
  <si>
    <t>TAG Petunia Durabloom Purple 50/50 Petite Portrait DO FUL</t>
  </si>
  <si>
    <t>0611863526050</t>
  </si>
  <si>
    <t>TAG Petunia Durabloom Red 50/50 Petite Portrait DO FUL</t>
  </si>
  <si>
    <t>0611863527050</t>
  </si>
  <si>
    <t>TAG Petunia Durabloom Royal Pink 50/50 Petite Portrait DO FUL</t>
  </si>
  <si>
    <t>0611863528050</t>
  </si>
  <si>
    <t>TAG Petunia Durabloom Silver 50/50 Petite Portrait DO FUL</t>
  </si>
  <si>
    <t>0611863529050</t>
  </si>
  <si>
    <t>TAG Petunia Durabloom Soft Pink 50/50 Petite Portrait DO FUL</t>
  </si>
  <si>
    <t>0611863530050</t>
  </si>
  <si>
    <t>TAG Petunia Durabloom Watermelon 50/50 Petite Portrait DO FUL</t>
  </si>
  <si>
    <t>0611863531050</t>
  </si>
  <si>
    <t>TAG Petunia Durabloom White 50/50 Petite Portrait DO FUL</t>
  </si>
  <si>
    <t>0611863532050</t>
  </si>
  <si>
    <t>TAG Petunia Durabloom Yellow 50/50 Petite Portrait DO FUL</t>
  </si>
  <si>
    <t>0611837768100</t>
  </si>
  <si>
    <t>TAG Petunia Duvet Blue 100/100 Pixie Tag SF</t>
  </si>
  <si>
    <t>0611837769100</t>
  </si>
  <si>
    <t>TAG Petunia Duvet Burgundy 100/100 Pixie Tag SF</t>
  </si>
  <si>
    <t>0611837770100</t>
  </si>
  <si>
    <t>TAG Petunia Duvet Mix 100/100 Pixie Tag SF</t>
  </si>
  <si>
    <t>0611837771100</t>
  </si>
  <si>
    <t>TAG Petunia Duvet Pink 100/100 Pixie Tag SF</t>
  </si>
  <si>
    <t>0611837772100</t>
  </si>
  <si>
    <t>TAG Petunia Duvet Red 100/100 Pixie Tag SF</t>
  </si>
  <si>
    <t>0611837773100</t>
  </si>
  <si>
    <t>TAG Petunia Duvet Salmon 100/100 Pixie Tag SF</t>
  </si>
  <si>
    <t>0611837774100</t>
  </si>
  <si>
    <t>TAG Petunia Duvet White 100/100 Pixie Tag SF</t>
  </si>
  <si>
    <t>0611838216100</t>
  </si>
  <si>
    <t>TAG Petunia E3 Easy Wave Blue 100/100 Pixie Tag</t>
  </si>
  <si>
    <t>0611838217100</t>
  </si>
  <si>
    <t>TAG Petunia E3 Easy Wave Coral 100/100 Pixie Tag</t>
  </si>
  <si>
    <t>0611857075100</t>
  </si>
  <si>
    <t>TAG Petunia E3 Easy Wave Mix 100/100 Pixie Tag</t>
  </si>
  <si>
    <t>0611838218100</t>
  </si>
  <si>
    <t>TAG Petunia E3 Easy Wave Pink 100/100 Pixie Tag</t>
  </si>
  <si>
    <t>0611838219100</t>
  </si>
  <si>
    <t>TAG Petunia E3 Easy Wave Pink Cosmo 100/100 Pixie Tag</t>
  </si>
  <si>
    <t>0611838220100</t>
  </si>
  <si>
    <t>TAG Petunia E3 Easy Wave Red 100/100 Pixie Tag</t>
  </si>
  <si>
    <t>0611838221100</t>
  </si>
  <si>
    <t>TAG Petunia E3 Easy Wave Sky Blue 100/100 Pixie Tag</t>
  </si>
  <si>
    <t>0611884377100</t>
  </si>
  <si>
    <t>TAG Petunia E3 Easy Wave Sweet Taffy Mix 100/100 Pixie Tag</t>
  </si>
  <si>
    <t>0611838222100</t>
  </si>
  <si>
    <t>TAG Petunia E3 Easy Wave White 100/100 Pixie Tag</t>
  </si>
  <si>
    <t>0611884378100</t>
  </si>
  <si>
    <t>TAG Petunia E3 Easy Wave Yellow 100/100 Pixie Tag</t>
  </si>
  <si>
    <t>0611838223100</t>
  </si>
  <si>
    <t>TAG Petunia Easy Wave Beachcomber Mix 100/100 Pixie Tag</t>
  </si>
  <si>
    <t>0611838224050</t>
  </si>
  <si>
    <t>TAG Petunia Easy Wave Beachcomber Mix 50/50 Mini Portrait Tag</t>
  </si>
  <si>
    <t>0611838225100</t>
  </si>
  <si>
    <t>TAG Petunia Easy Wave Blue 100/100 Pixie Tag</t>
  </si>
  <si>
    <t>0611838226025</t>
  </si>
  <si>
    <t>TAG Petunia Easy Wave Blue 25/25 Portrait Tag</t>
  </si>
  <si>
    <t>0611838227050</t>
  </si>
  <si>
    <t>TAG Petunia Easy Wave Blue 50/50 Mini Portrait Tag</t>
  </si>
  <si>
    <t>0611838228100</t>
  </si>
  <si>
    <t>TAG Petunia Easy Wave Burgundy Star 100/100 Pixie Tag</t>
  </si>
  <si>
    <t>0611838229050</t>
  </si>
  <si>
    <t>TAG Petunia Easy Wave Burgundy Star 50/50 Mini Portrait Tag</t>
  </si>
  <si>
    <t>0611838230100</t>
  </si>
  <si>
    <t>TAG Petunia Easy Wave Coral Reef 100/100 Pixie Tag</t>
  </si>
  <si>
    <t>0611838231050</t>
  </si>
  <si>
    <t>TAG Petunia Easy Wave Coral Reef 50/50 Mini Portrait Tag</t>
  </si>
  <si>
    <t>0611838232100</t>
  </si>
  <si>
    <t>TAG Petunia Easy Wave Formula Mix 100/100 Pixie Tag</t>
  </si>
  <si>
    <t>0611838233050</t>
  </si>
  <si>
    <t>TAG Petunia Easy Wave Formula Mix 50/50 Mini Portrait Tag</t>
  </si>
  <si>
    <t>0611838234100</t>
  </si>
  <si>
    <t>TAG Petunia Easy Wave Gelato Mix 100/100 Pixie Tag</t>
  </si>
  <si>
    <t>0611838235100</t>
  </si>
  <si>
    <t>TAG Petunia Easy Wave Great Lakes Mix 100/100 Pixie Tag</t>
  </si>
  <si>
    <t>0611838236050</t>
  </si>
  <si>
    <t>TAG Petunia Easy Wave Great Lakes Mix 50/50 Mini Portrait Tag</t>
  </si>
  <si>
    <t>0611838237100</t>
  </si>
  <si>
    <t>TAG Petunia Easy Wave Lavender Sky Blue 100/100 Pixie Tag</t>
  </si>
  <si>
    <t>0611838239100</t>
  </si>
  <si>
    <t>TAG Petunia Easy Wave Neon Rose 100/100 Pixie Tag</t>
  </si>
  <si>
    <t>0611838240050</t>
  </si>
  <si>
    <t>TAG Petunia Easy Wave Neon Rose 50/50 Mini Portrait Tag</t>
  </si>
  <si>
    <t>0611838241100</t>
  </si>
  <si>
    <t>TAG Petunia Easy Wave Opposites Attract Mix 100/100 Pixie Tag</t>
  </si>
  <si>
    <t>0611838242100</t>
  </si>
  <si>
    <t>TAG Petunia Easy Wave Pink 100/100 Pixie Tag</t>
  </si>
  <si>
    <t>0611838243025</t>
  </si>
  <si>
    <t>TAG Petunia Easy Wave Pink 25/25 Portrait Tag</t>
  </si>
  <si>
    <t>0611838244050</t>
  </si>
  <si>
    <t>TAG Petunia Easy Wave Pink 50/50 Mini Portrait Tag</t>
  </si>
  <si>
    <t>0611838245100</t>
  </si>
  <si>
    <t>TAG Petunia Easy Wave Pink Passion 100/100 Pixie Tag</t>
  </si>
  <si>
    <t>0611838246050</t>
  </si>
  <si>
    <t>TAG Petunia Easy Wave Pink Passion 50/50 Mini Portrait Tag</t>
  </si>
  <si>
    <t>0611838247100</t>
  </si>
  <si>
    <t>TAG Petunia Easy Wave Plum Pudding Mix 100/100 Pixie Tag</t>
  </si>
  <si>
    <t>0611838248050</t>
  </si>
  <si>
    <t>TAG Petunia Easy Wave Plum Pudding Mix 50/50 Mini Portrait Tag</t>
  </si>
  <si>
    <t>0611838249100</t>
  </si>
  <si>
    <t>TAG Petunia Easy Wave Plum Vein 100/100 Pixie Tag</t>
  </si>
  <si>
    <t>0611838250050</t>
  </si>
  <si>
    <t>TAG Petunia Easy Wave Plum Vein 50/50 Mini Portrait Tag</t>
  </si>
  <si>
    <t>0611838251100</t>
  </si>
  <si>
    <t>TAG Petunia Easy Wave Red 100/100 Pixie Tag</t>
  </si>
  <si>
    <t>0611838252025</t>
  </si>
  <si>
    <t>TAG Petunia Easy Wave Red 25/25 Portrait Tag</t>
  </si>
  <si>
    <t>0611838253050</t>
  </si>
  <si>
    <t>TAG Petunia Easy Wave Red 50/50 Mini Portrait Tag</t>
  </si>
  <si>
    <t>0611838254100</t>
  </si>
  <si>
    <t>TAG Petunia Easy Wave Rise N Shine Mix 100/100 Pixie Tag</t>
  </si>
  <si>
    <t>0611838255100</t>
  </si>
  <si>
    <t>TAG Petunia Easy Wave Rose Fusion 100/100 Pixie Tag</t>
  </si>
  <si>
    <t>0611838256100</t>
  </si>
  <si>
    <t>TAG Petunia Easy Wave Rosy Dawn 100/100 Pixie Tag</t>
  </si>
  <si>
    <t>0611838257050</t>
  </si>
  <si>
    <t>TAG Petunia Easy Wave Rosy Dawn 50/50 Mini Portrait Tag</t>
  </si>
  <si>
    <t>0611838258100</t>
  </si>
  <si>
    <t>TAG Petunia Easy Wave Salmon 100/100 Pixie Tag</t>
  </si>
  <si>
    <t>0611838259100</t>
  </si>
  <si>
    <t>TAG Petunia Easy Wave Series 100/100 Hang Tag</t>
  </si>
  <si>
    <t>0611838261100</t>
  </si>
  <si>
    <t>TAG Petunia Easy Wave Silver 100/100 Pixie Tag</t>
  </si>
  <si>
    <t>0611838264100</t>
  </si>
  <si>
    <t>TAG Petunia Easy Wave South Beach Mix 100/100 Pixie Tag</t>
  </si>
  <si>
    <t>0611838265050</t>
  </si>
  <si>
    <t>TAG Petunia Easy Wave South Beach Mix 50/50 Mini Portrait Tag</t>
  </si>
  <si>
    <t>0611838262100</t>
  </si>
  <si>
    <t>TAG Petunia Easy Wave Starfish Mix 100/100 Pixie Tag</t>
  </si>
  <si>
    <t>0611838267100</t>
  </si>
  <si>
    <t>TAG Petunia Easy Wave The Flag Mix 100/100 Pixie Tag</t>
  </si>
  <si>
    <t>0611838268050</t>
  </si>
  <si>
    <t>TAG Petunia Easy Wave The Flag Mix 50/50 Mini Portrait Tag</t>
  </si>
  <si>
    <t>0611838269100</t>
  </si>
  <si>
    <t>TAG Petunia Easy Wave Velour Berry 100/100 Pixie Tag</t>
  </si>
  <si>
    <t>0611838270100</t>
  </si>
  <si>
    <t>TAG Petunia Easy Wave Velour Burgundy 100/100 Pixie Tag</t>
  </si>
  <si>
    <t>0611838271100</t>
  </si>
  <si>
    <t>TAG Petunia Easy Wave Velour Red 100/100 Pixie Tag</t>
  </si>
  <si>
    <t>0611838272050</t>
  </si>
  <si>
    <t>TAG Petunia Easy Wave Velour Red 50/50 Mini Portrait Tag</t>
  </si>
  <si>
    <t>0611838273100</t>
  </si>
  <si>
    <t>TAG Petunia Easy Wave Violet 100/100 Pixie Tag</t>
  </si>
  <si>
    <t>0611838274050</t>
  </si>
  <si>
    <t>TAG Petunia Easy Wave Violet 50/50 Mini Portrait Tag</t>
  </si>
  <si>
    <t>0611838275100</t>
  </si>
  <si>
    <t>TAG Petunia Easy Wave White 100/100 Pixie Tag</t>
  </si>
  <si>
    <t>0611838276025</t>
  </si>
  <si>
    <t>TAG Petunia Easy Wave White 25/25 Portrait Tag</t>
  </si>
  <si>
    <t>0611838277050</t>
  </si>
  <si>
    <t>TAG Petunia Easy Wave White 50/50 Mini Portrait Tag</t>
  </si>
  <si>
    <t>0611838278100</t>
  </si>
  <si>
    <t>TAG Petunia Easy Wave Yellow 100/100 Pixie Tag</t>
  </si>
  <si>
    <t>0611838279050</t>
  </si>
  <si>
    <t>TAG Petunia Easy Wave Yellow 50/50 Mini Portrait Tag</t>
  </si>
  <si>
    <t>0611837775100</t>
  </si>
  <si>
    <t>TAG Petunia Espresso Frappe Series 100/100 Pixie Tag SF</t>
  </si>
  <si>
    <t>0611837778100</t>
  </si>
  <si>
    <t>TAG Petunia Evening Scentsation 100/100 Pixie Tag</t>
  </si>
  <si>
    <t>0611837779100</t>
  </si>
  <si>
    <t>TAG Petunia Ez Rider Blue 100/100 Pixie Tag</t>
  </si>
  <si>
    <t>0611837780100</t>
  </si>
  <si>
    <t>TAG Petunia Ez Rider Deep Pink 100/100 Pixie Tag</t>
  </si>
  <si>
    <t>0611837781100</t>
  </si>
  <si>
    <t>TAG Petunia Ez Rider Deep Salmon 100/100 Pixie Tag</t>
  </si>
  <si>
    <t>0611837782100</t>
  </si>
  <si>
    <t>TAG Petunia Ez Rider Mix 100/100 Pixie Tag</t>
  </si>
  <si>
    <t>0611837783100</t>
  </si>
  <si>
    <t>TAG Petunia Ez Rider Red 100/100 Pixie Tag</t>
  </si>
  <si>
    <t>0611837784100</t>
  </si>
  <si>
    <t>TAG Petunia Ez Rider Rose 100/100 Pixie Tag</t>
  </si>
  <si>
    <t>0611884379100</t>
  </si>
  <si>
    <t>TAG Petunia Ez Rider Violet 100/100 Pixie Tag</t>
  </si>
  <si>
    <t>0611837785100</t>
  </si>
  <si>
    <t>TAG Petunia Ez Rider White 100/100 Pixie Tag</t>
  </si>
  <si>
    <t>0611837786100</t>
  </si>
  <si>
    <t>TAG Petunia FlashForward Blue 100/100 Pixie Tag SF</t>
  </si>
  <si>
    <t>0611837787100</t>
  </si>
  <si>
    <t>TAG Petunia FlashForward Burgundy 100/100 Pixie Tag SF</t>
  </si>
  <si>
    <t>0611837788100</t>
  </si>
  <si>
    <t>TAG Petunia FlashForward Cool Waters Mix 100/100 Pixie Tag SF</t>
  </si>
  <si>
    <t>0611837789100</t>
  </si>
  <si>
    <t>TAG Petunia FlashForward Coral 100/100 Pixie Tag SF</t>
  </si>
  <si>
    <t>0611837790100</t>
  </si>
  <si>
    <t>TAG Petunia FlashForward Lavender 100/100 Pixie Tag SF</t>
  </si>
  <si>
    <t>0611837791100</t>
  </si>
  <si>
    <t>TAG Petunia FlashForward Mix 100/100 Pixie Tag SF</t>
  </si>
  <si>
    <t>0611837792100</t>
  </si>
  <si>
    <t>TAG Petunia FlashForward Patriot Mix 100/100 Pixie Tag SF</t>
  </si>
  <si>
    <t>0611837793100</t>
  </si>
  <si>
    <t>TAG Petunia FlashForward Pink 100/100 Pixie Tag SF</t>
  </si>
  <si>
    <t>0611837794100</t>
  </si>
  <si>
    <t>TAG Petunia FlashForward Pink Glo 100/100 Pixie Tag SF</t>
  </si>
  <si>
    <t>0611837795100</t>
  </si>
  <si>
    <t>TAG Petunia FlashForward Purple 100/100 Pixie Tag SF</t>
  </si>
  <si>
    <t>0611837796100</t>
  </si>
  <si>
    <t>TAG Petunia FlashForward Red 100/100 Pixie Tag SF</t>
  </si>
  <si>
    <t>0611837797100</t>
  </si>
  <si>
    <t>TAG Petunia FlashForward Salmon 100/100 Pixie Tag SF</t>
  </si>
  <si>
    <t>0611837798100</t>
  </si>
  <si>
    <t>TAG Petunia FlashForward Sky Blue 100/100 Pixie Tag SF</t>
  </si>
  <si>
    <t>0611837799100</t>
  </si>
  <si>
    <t>TAG Petunia FlashForward White 100/100 Pixie Tag SF</t>
  </si>
  <si>
    <t>0611863533050</t>
  </si>
  <si>
    <t>TAG Petunia Flower Shower Flame 50/50 Petite Portrait FUL</t>
  </si>
  <si>
    <t>0611863534050</t>
  </si>
  <si>
    <t>TAG Petunia Flower Shower Mayan Sunset 50/50 Petite Portrait FUL</t>
  </si>
  <si>
    <t>0611863535050</t>
  </si>
  <si>
    <t>TAG Petunia Flower Shower Patrick Star 50/50 Petite Portrait FUL</t>
  </si>
  <si>
    <t>0611857070100</t>
  </si>
  <si>
    <t>TAG Petunia Flower Shower Series 100/100 Pixie Tag</t>
  </si>
  <si>
    <t>0611863536050</t>
  </si>
  <si>
    <t>TAG Petunia Flower Shower White 50/50 Petite Portrait FUL</t>
  </si>
  <si>
    <t>0611863537050</t>
  </si>
  <si>
    <t>TAG Petunia Flower Shower Ziggy Star 50/50 Petite Portrait FUL</t>
  </si>
  <si>
    <t>0611863538050</t>
  </si>
  <si>
    <t>TAG Petunia Fortunia Blackberry Gem 50/50 Petite Portrait FUL</t>
  </si>
  <si>
    <t>0611863539050</t>
  </si>
  <si>
    <t>TAG Petunia Fortunia Coral Gem 50/50 Petite Portrait FUL</t>
  </si>
  <si>
    <t>0611863540050</t>
  </si>
  <si>
    <t>TAG Petunia Fortunia Early Blue 50/50 Petite Portrait FUL</t>
  </si>
  <si>
    <t>0611863541050</t>
  </si>
  <si>
    <t>TAG Petunia Fortunia Early Dark Purple 50/50 Petite Portrait FUL</t>
  </si>
  <si>
    <t>0611863542050</t>
  </si>
  <si>
    <t>TAG Petunia Fortunia Early Pink Gem 50/50 Petite Portrait FUL</t>
  </si>
  <si>
    <t>0611863543050</t>
  </si>
  <si>
    <t>TAG Petunia Fortunia Early Pink Lemonade 50/50 Petite Portrait FUL</t>
  </si>
  <si>
    <t>0611863544050</t>
  </si>
  <si>
    <t>TAG Petunia Fortunia Early Red 50/50 Petite Portrait FUL</t>
  </si>
  <si>
    <t>0611863545050</t>
  </si>
  <si>
    <t>TAG Petunia Fortunia Early White 50/50 Petite Portrait FUL</t>
  </si>
  <si>
    <t>0611863546050</t>
  </si>
  <si>
    <t>TAG Petunia Fortunia Early Yellow 50/50 Petite Portrait FUL</t>
  </si>
  <si>
    <t>0611863547050</t>
  </si>
  <si>
    <t>TAG Petunia Fortunia Purple Gem 50/50 Petite Portrait FUL</t>
  </si>
  <si>
    <t>0611837800100</t>
  </si>
  <si>
    <t>TAG Petunia FotoFinish Blue 100/100 Pixie Tag SF</t>
  </si>
  <si>
    <t>0611837801100</t>
  </si>
  <si>
    <t>TAG Petunia FotoFinish Burgundy 100/100 Pixie Tag SF</t>
  </si>
  <si>
    <t>0611837802100</t>
  </si>
  <si>
    <t>TAG Petunia FotoFinish Mix 100/100 Pixie Tag SF</t>
  </si>
  <si>
    <t>0611837803100</t>
  </si>
  <si>
    <t>TAG Petunia FotoFinish Patriot Mix 100/100 Pixie Tag SF</t>
  </si>
  <si>
    <t>0611837804100</t>
  </si>
  <si>
    <t>TAG Petunia FotoFinish Pink 100/100 Pixie Tag SF</t>
  </si>
  <si>
    <t>0611837805100</t>
  </si>
  <si>
    <t>TAG Petunia FotoFinish Red 100/100 Pixie Tag SF</t>
  </si>
  <si>
    <t>0611837806100</t>
  </si>
  <si>
    <t>TAG Petunia FotoFinish Rose Morn 100/100 Pixie Tag SF</t>
  </si>
  <si>
    <t>0611837807100</t>
  </si>
  <si>
    <t>TAG Petunia FotoFinish Rose Star 100/100 Pixie Tag SF</t>
  </si>
  <si>
    <t>0611837808100</t>
  </si>
  <si>
    <t>TAG Petunia FotoFinish Salmon 100/100 Pixie Tag SF</t>
  </si>
  <si>
    <t>0611837809100</t>
  </si>
  <si>
    <t>TAG Petunia FotoFinish White 100/100 Pixie Tag SF</t>
  </si>
  <si>
    <t>0611837810100</t>
  </si>
  <si>
    <t>TAG Petunia Frost Blue 100/100 Pixie Tag SF</t>
  </si>
  <si>
    <t>0611837811100</t>
  </si>
  <si>
    <t>TAG Petunia Frost Cherry 100/100 Pixie Tag SF</t>
  </si>
  <si>
    <t>0611837812100</t>
  </si>
  <si>
    <t>TAG Petunia Frost Fire 100/100 Pixie Tag SF</t>
  </si>
  <si>
    <t>0611837813100</t>
  </si>
  <si>
    <t>TAG Petunia Frost Mix 100/100 Pixie Tag SF</t>
  </si>
  <si>
    <t>0611837814100</t>
  </si>
  <si>
    <t>TAG Petunia Frost Velvet 100/100 Pixie Tag SF</t>
  </si>
  <si>
    <t>0611863548050</t>
  </si>
  <si>
    <t>TAG Petunia Fun House Amethyst Sunshine 50/50 Petite Portrait SF FUL</t>
  </si>
  <si>
    <t>0611863549050</t>
  </si>
  <si>
    <t>TAG Petunia Fun House Papaya 50/50 Petite Portrait SF FUL</t>
  </si>
  <si>
    <t>0611863550050</t>
  </si>
  <si>
    <t>TAG Petunia Fun House Peach Melba 50/50 Petite Portrait SF FUL</t>
  </si>
  <si>
    <t>0611863551050</t>
  </si>
  <si>
    <t>TAG Petunia Fun House Potpourri 50/50 Petite Portrait SF FUL</t>
  </si>
  <si>
    <t>0611837958100</t>
  </si>
  <si>
    <t>TAG Petunia GENERIC 100/100 Hang Tag</t>
  </si>
  <si>
    <t>0611837959025</t>
  </si>
  <si>
    <t>TAG Petunia GENERIC 25/25 Portrait Tag</t>
  </si>
  <si>
    <t>0611837817100</t>
  </si>
  <si>
    <t>TAG Petunia GENERIC Bilingual 100/100 Pixie Tag</t>
  </si>
  <si>
    <t>0611884380100</t>
  </si>
  <si>
    <t>TAG Petunia Glamouflage Series 100/100 Pixie Tag</t>
  </si>
  <si>
    <t>0611837815100</t>
  </si>
  <si>
    <t>TAG Petunia Glorious Mix 100/100 Pixie Tag</t>
  </si>
  <si>
    <t>0611837818100</t>
  </si>
  <si>
    <t>TAG Petunia Good N Plenty Series 100/100 Pixie Tag</t>
  </si>
  <si>
    <t>0611884381100</t>
  </si>
  <si>
    <t>TAG Petunia Hang Out Series 100/100 Pixie Tag</t>
  </si>
  <si>
    <t>0611837822100</t>
  </si>
  <si>
    <t>TAG Petunia Heat Elite Blue 100/100 Pixie Tag</t>
  </si>
  <si>
    <t>0611837823100</t>
  </si>
  <si>
    <t>TAG Petunia Heat Elite Mambo Mix 100/100 Pixie Tag</t>
  </si>
  <si>
    <t>0611837824100</t>
  </si>
  <si>
    <t>TAG Petunia Heat Elite Mambo Red 100/100 Pixie Tag</t>
  </si>
  <si>
    <t>0611837825100</t>
  </si>
  <si>
    <t>TAG Petunia Heat Elite Mambo Rose 100/100 Pixie Tag</t>
  </si>
  <si>
    <t>0611837827100</t>
  </si>
  <si>
    <t>TAG Petunia Heat Elite Mambo Sweet Pink 100/100 Pixie Tag</t>
  </si>
  <si>
    <t>0611837828100</t>
  </si>
  <si>
    <t>TAG Petunia Heat Elite Mambo Violet 100/100 Pixie Tag</t>
  </si>
  <si>
    <t>0611837830100</t>
  </si>
  <si>
    <t>TAG Petunia Heat Elite White 100/100 Pixie Tag</t>
  </si>
  <si>
    <t>0611837831100</t>
  </si>
  <si>
    <t>TAG Petunia Hell's Flamin Rose 100/100 Pixie Tag</t>
  </si>
  <si>
    <t>0611863552050</t>
  </si>
  <si>
    <t>TAG Petunia Hell's Flamin' Rose 50/50 Petite Portrait FUL</t>
  </si>
  <si>
    <t>0611863553050</t>
  </si>
  <si>
    <t>TAG Petunia Hell's Fusion 50/50 Petite Portrait FUL</t>
  </si>
  <si>
    <t>0611863554050</t>
  </si>
  <si>
    <t>TAG Petunia Hell's Glow 50/50 Petite Portrait FUL</t>
  </si>
  <si>
    <t>0611857071100</t>
  </si>
  <si>
    <t>TAG Petunia Hell's Series 100/100 Pixie Tag</t>
  </si>
  <si>
    <t>0611863555050</t>
  </si>
  <si>
    <t>TAG Petunia Hot Pink Jazz Trailing 50/50 Petite Portrait FUL</t>
  </si>
  <si>
    <t>0611837832100</t>
  </si>
  <si>
    <t>TAG Petunia Hulahoop Blue 100/100 Pixie Tag</t>
  </si>
  <si>
    <t>0611837833100</t>
  </si>
  <si>
    <t>TAG Petunia Hulahoop Burgundy 100/100 Pixie Tag</t>
  </si>
  <si>
    <t>0611837834100</t>
  </si>
  <si>
    <t>TAG Petunia Hulahoop Mix 100/100 Pixie Tag</t>
  </si>
  <si>
    <t>0611837835100</t>
  </si>
  <si>
    <t>TAG Petunia Hulahoop Red 100/100 Pixie Tag</t>
  </si>
  <si>
    <t>0611837836100</t>
  </si>
  <si>
    <t>TAG Petunia Hulahoop Rose 100/100 Pixie Tag</t>
  </si>
  <si>
    <t>0611837837100</t>
  </si>
  <si>
    <t>TAG Petunia Hulahoop Velvet 100/100 Pixie Tag</t>
  </si>
  <si>
    <t>0611837839100</t>
  </si>
  <si>
    <t>TAG Petunia Hurrah Blue 100/100 Pixie Tag SF</t>
  </si>
  <si>
    <t>0611837840100</t>
  </si>
  <si>
    <t>TAG Petunia Hurrah Blue Veined 100/100 Pixie Tag SF</t>
  </si>
  <si>
    <t>0611837838100</t>
  </si>
  <si>
    <t>TAG Petunia Hurrah Blueberry Muffin Mix 100/100 Pixie Tag SF</t>
  </si>
  <si>
    <t>0611837841100</t>
  </si>
  <si>
    <t>TAG Petunia Hurrah Lavender Tie Dye 100/100 Pixie Tag SF</t>
  </si>
  <si>
    <t>0611837842100</t>
  </si>
  <si>
    <t>TAG Petunia Hurrah Mix 100/100 Pixie Tag SF</t>
  </si>
  <si>
    <t>0611837843100</t>
  </si>
  <si>
    <t>TAG Petunia Hurrah Mxed Brry Trt Mix 100/100 Pixie Tag SF</t>
  </si>
  <si>
    <t>0611837844100</t>
  </si>
  <si>
    <t>TAG Petunia Hurrah Pink 100/100 Pixie Tag SF</t>
  </si>
  <si>
    <t>0611837845100</t>
  </si>
  <si>
    <t>TAG Petunia Hurrah Plum 100/100 Pixie Tag SF</t>
  </si>
  <si>
    <t>0611837847100</t>
  </si>
  <si>
    <t>TAG Petunia Hurrah Red 100/100 Pixie Tag SF</t>
  </si>
  <si>
    <t>0611837848100</t>
  </si>
  <si>
    <t>TAG Petunia Hurrah Red Star 100/100 Pixie Tag SF</t>
  </si>
  <si>
    <t>0611837849100</t>
  </si>
  <si>
    <t>TAG Petunia Hurrah Rose 100/100 Pixie Tag SF</t>
  </si>
  <si>
    <t>0611837850100</t>
  </si>
  <si>
    <t>TAG Petunia Hurrah Rose Star 100/100 Pixie Tag SF</t>
  </si>
  <si>
    <t>0611837853100</t>
  </si>
  <si>
    <t>TAG Petunia Hurrah Velvet 100/100 Pixie Tag SF</t>
  </si>
  <si>
    <t>0611837854100</t>
  </si>
  <si>
    <t>TAG Petunia Hurrah White 100/100 Pixie Tag SF</t>
  </si>
  <si>
    <t>0611863556050</t>
  </si>
  <si>
    <t>TAG Petunia Itsy Magenta 50/50 Petite Portrait SF FUL</t>
  </si>
  <si>
    <t>0611884382050</t>
  </si>
  <si>
    <t>TAG Petunia Itsy Pink 50/50 Petite Portrait SF FUL</t>
  </si>
  <si>
    <t>0611863557050</t>
  </si>
  <si>
    <t>TAG Petunia Itsy White 50/50 Petite Portrait SF FUL</t>
  </si>
  <si>
    <t>0611837856100</t>
  </si>
  <si>
    <t>TAG Petunia Laura Bush 100/100 Pixie Tag</t>
  </si>
  <si>
    <t>0611837858100</t>
  </si>
  <si>
    <t>TAG Petunia Limbo GP Blue 100/100 Pixie Tag</t>
  </si>
  <si>
    <t>0611837859100</t>
  </si>
  <si>
    <t>TAG Petunia Limbo GP Blue Veined 100/100 Pixie Tag</t>
  </si>
  <si>
    <t>0611837860100</t>
  </si>
  <si>
    <t>TAG Petunia Limbo GP Burgundy 100/100 Pixie Tag</t>
  </si>
  <si>
    <t>0611837861100</t>
  </si>
  <si>
    <t>TAG Petunia Limbo GP Deep Purple 100/100 Pixie Tag</t>
  </si>
  <si>
    <t>0611837862100</t>
  </si>
  <si>
    <t>TAG Petunia Limbo GP Mix 100/100 Pixie Tag</t>
  </si>
  <si>
    <t>0611837863100</t>
  </si>
  <si>
    <t>TAG Petunia Limbo GP Orchid Veined 100/100 Pixie Tag</t>
  </si>
  <si>
    <t>0611837864100</t>
  </si>
  <si>
    <t>TAG Petunia Limbo GP Picotee Mix 100/100 Pixie Tag</t>
  </si>
  <si>
    <t>0611837865100</t>
  </si>
  <si>
    <t>TAG Petunia Limbo GP Pink 100/100 Pixie Tag</t>
  </si>
  <si>
    <t>0611837866100</t>
  </si>
  <si>
    <t>TAG Petunia Limbo GP Plum 100/100 Pixie Tag</t>
  </si>
  <si>
    <t>0611837867100</t>
  </si>
  <si>
    <t>TAG Petunia Limbo GP Red 100/100 Pixie Tag</t>
  </si>
  <si>
    <t>0611837868100</t>
  </si>
  <si>
    <t>TAG Petunia Limbo GP Red Veined 100/100 Pixie Tag</t>
  </si>
  <si>
    <t>0611837869100</t>
  </si>
  <si>
    <t>TAG Petunia Limbo GP Rose 100/100 Pixie Tag</t>
  </si>
  <si>
    <t>0611837870100</t>
  </si>
  <si>
    <t>TAG Petunia Limbo GP Rose Morn 100/100 Pixie Tag</t>
  </si>
  <si>
    <t>0611837871100</t>
  </si>
  <si>
    <t>TAG Petunia Limbo GP Rose Picotee 100/100 Pixie Tag</t>
  </si>
  <si>
    <t>0611837872100</t>
  </si>
  <si>
    <t>TAG Petunia Limbo GP Salmon 100/100 Pixie Tag</t>
  </si>
  <si>
    <t>0611837873100</t>
  </si>
  <si>
    <t>TAG Petunia Limbo GP Sky Blue 100/100 Pixie Tag</t>
  </si>
  <si>
    <t>0611837874100</t>
  </si>
  <si>
    <t>TAG Petunia Limbo GP Violet 100/100 Pixie Tag</t>
  </si>
  <si>
    <t>0611837875100</t>
  </si>
  <si>
    <t>TAG Petunia Limbo GP Violet Picotee 100/100 Pixie Tag</t>
  </si>
  <si>
    <t>0611837876100</t>
  </si>
  <si>
    <t>TAG Petunia Limbo GP White 100/100 Pixie Tag</t>
  </si>
  <si>
    <t>0611837879100</t>
  </si>
  <si>
    <t>TAG Petunia Littletunia Bicolor Illusion 100/100 Pixie Tag</t>
  </si>
  <si>
    <t>0611837882100</t>
  </si>
  <si>
    <t>TAG Petunia Littletunia Blue Vein 100/100 Pixie Tag</t>
  </si>
  <si>
    <t>0611837883100</t>
  </si>
  <si>
    <t>TAG Petunia Littletunia Bright Red 100/100 Pixie Tag</t>
  </si>
  <si>
    <t>0611837884100</t>
  </si>
  <si>
    <t>TAG Petunia Littletunia Buttercream 100/100 Pixie Tag</t>
  </si>
  <si>
    <t>0611837885100</t>
  </si>
  <si>
    <t>TAG Petunia Littletunia Fuchsia 100/100 Pixie Tag</t>
  </si>
  <si>
    <t>0611837886100</t>
  </si>
  <si>
    <t>TAG Petunia Littletunia Pink 100/100 Pixie Tag</t>
  </si>
  <si>
    <t>0611837887100</t>
  </si>
  <si>
    <t>TAG Petunia Littletunia Pink Frills 100/100 Pixie Tag</t>
  </si>
  <si>
    <t>0611837888100</t>
  </si>
  <si>
    <t>TAG Petunia Littletunia Pink Splash 100/100 Pixie Tag</t>
  </si>
  <si>
    <t>0611837890100</t>
  </si>
  <si>
    <t>TAG Petunia Littletunia Purple Blue 100/100 Pixie Tag</t>
  </si>
  <si>
    <t>0611837891100</t>
  </si>
  <si>
    <t>TAG Petunia Littletunia Rose 100/100 Pixie Tag</t>
  </si>
  <si>
    <t>0611863558050</t>
  </si>
  <si>
    <t>TAG Petunia Littletunia Rose Mini 50/50 Petite Portrait FUL</t>
  </si>
  <si>
    <t>0611837892100</t>
  </si>
  <si>
    <t>TAG Petunia Littletunia Shiraz 100/100 Pixie Tag</t>
  </si>
  <si>
    <t>0611863559050</t>
  </si>
  <si>
    <t>TAG Petunia Littletunia Shiraz Mini 50/50 Petite Portrait FUL</t>
  </si>
  <si>
    <t>0611837893100</t>
  </si>
  <si>
    <t>TAG Petunia Littletunia Violet 100/100 Pixie Tag</t>
  </si>
  <si>
    <t>0611837894100</t>
  </si>
  <si>
    <t>TAG Petunia Littletunia White Grace 100/100 Pixie Tag</t>
  </si>
  <si>
    <t>0611863560050</t>
  </si>
  <si>
    <t>TAG Petunia Littletunia White Grace Mini 50/50 Petite Portrait FUL</t>
  </si>
  <si>
    <t>0611837895100</t>
  </si>
  <si>
    <t>TAG Petunia Madness Blue Sky 100/100 Pixie Tag</t>
  </si>
  <si>
    <t>0611837896100</t>
  </si>
  <si>
    <t>TAG Petunia Madness Blue Star 100/100 Pixie Tag</t>
  </si>
  <si>
    <t>0611837897100</t>
  </si>
  <si>
    <t>TAG Petunia Madness Blue Vein 100/100 Pixie Tag</t>
  </si>
  <si>
    <t>0611837898100</t>
  </si>
  <si>
    <t>TAG Petunia Madness Burgundy 100/100 Pixie Tag</t>
  </si>
  <si>
    <t>0611837899100</t>
  </si>
  <si>
    <t>TAG Petunia Madness Burgundy Star 100/100 Pixie Tag</t>
  </si>
  <si>
    <t>0611837900100</t>
  </si>
  <si>
    <t>TAG Petunia Madness Carmine 100/100 Pixie Tag</t>
  </si>
  <si>
    <t>0611837901100</t>
  </si>
  <si>
    <t>TAG Petunia Madness Clear Mix 100/100 Pixie Tag</t>
  </si>
  <si>
    <t>0611837902100</t>
  </si>
  <si>
    <t>TAG Petunia Madness Deep Rose 100/100 Pixie Tag</t>
  </si>
  <si>
    <t>0611837903100</t>
  </si>
  <si>
    <t>TAG Petunia Madness Double Blue 100/100 Pixie Tag</t>
  </si>
  <si>
    <t>0611837904100</t>
  </si>
  <si>
    <t>TAG Petunia Madness Double Burgundy 100/100 Pixie Tag</t>
  </si>
  <si>
    <t>0611837905100</t>
  </si>
  <si>
    <t>TAG Petunia Madness Double Lavender 100/100 Pixie Tag</t>
  </si>
  <si>
    <t>0611837906100</t>
  </si>
  <si>
    <t>TAG Petunia Madness Double Mix 100/100 Pixie Tag</t>
  </si>
  <si>
    <t>0611837907100</t>
  </si>
  <si>
    <t>TAG Petunia Madness Double Pink 100/100 Pixie Tag</t>
  </si>
  <si>
    <t>0611837908100</t>
  </si>
  <si>
    <t>TAG Petunia Madness Double Red 100/100 Pixie Tag</t>
  </si>
  <si>
    <t>0611837909100</t>
  </si>
  <si>
    <t>TAG Petunia Madness Double Red And White 100/100 Pixie Tag</t>
  </si>
  <si>
    <t>0611837910100</t>
  </si>
  <si>
    <t>TAG Petunia Madness Double Rose 100/100 Pixie Tag</t>
  </si>
  <si>
    <t>0611837911100</t>
  </si>
  <si>
    <t>TAG Petunia Madness Double Rose And White 100/100 Pixie Tag</t>
  </si>
  <si>
    <t>0611837912100</t>
  </si>
  <si>
    <t>TAG Petunia Madness Double Salmon 100/100 Pixie Tag</t>
  </si>
  <si>
    <t>0611837913100</t>
  </si>
  <si>
    <t>TAG Petunia Madness Double Satin Pink 100/100 Pixie Tag</t>
  </si>
  <si>
    <t>0611837914100</t>
  </si>
  <si>
    <t>TAG Petunia Madness Just 100/100 Pixie Tag</t>
  </si>
  <si>
    <t>0611837916100</t>
  </si>
  <si>
    <t>TAG Petunia Madness Lilac 100/100 Pixie Tag</t>
  </si>
  <si>
    <t>0611837917100</t>
  </si>
  <si>
    <t>TAG Petunia Madness Magenta 100/100 Pixie Tag</t>
  </si>
  <si>
    <t>0611837919100</t>
  </si>
  <si>
    <t>TAG Petunia Madness Merlot Mix 100/100 Pixie Tag</t>
  </si>
  <si>
    <t>0611837920100</t>
  </si>
  <si>
    <t>TAG Petunia Madness Mid Blue 100/100 Pixie Tag</t>
  </si>
  <si>
    <t>0611837921100</t>
  </si>
  <si>
    <t>TAG Petunia Madness Midnight 100/100 Pixie Tag</t>
  </si>
  <si>
    <t>0611837922100</t>
  </si>
  <si>
    <t>TAG Petunia Madness Moonlight Mix 100/100 Pixie Tag</t>
  </si>
  <si>
    <t>0611837923100</t>
  </si>
  <si>
    <t>TAG Petunia Madness Orchid 100/100 Pixie Tag</t>
  </si>
  <si>
    <t>0611837924100</t>
  </si>
  <si>
    <t>TAG Petunia Madness Pink 100/100 Pixie Tag</t>
  </si>
  <si>
    <t>0611837925100</t>
  </si>
  <si>
    <t>TAG Petunia Madness Pink Chiffon 100/100 Pixie Tag</t>
  </si>
  <si>
    <t>0611837926100</t>
  </si>
  <si>
    <t>TAG Petunia Madness Plum 100/100 Pixie Tag</t>
  </si>
  <si>
    <t>0611837927100</t>
  </si>
  <si>
    <t>TAG Petunia Madness Plum Crazy 100/100 Pixie Tag</t>
  </si>
  <si>
    <t>0611837928100</t>
  </si>
  <si>
    <t>TAG Petunia Madness Red 100/100 Pixie Tag</t>
  </si>
  <si>
    <t>0611837929100</t>
  </si>
  <si>
    <t>TAG Petunia Madness Red Morn 100/100 Pixie Tag</t>
  </si>
  <si>
    <t>0611837930100</t>
  </si>
  <si>
    <t>TAG Petunia Madness Red Picotee 100/100 Pixie Tag</t>
  </si>
  <si>
    <t>0611837932100</t>
  </si>
  <si>
    <t>TAG Petunia Madness Rose 100/100 Pixie Tag</t>
  </si>
  <si>
    <t>0611837933100</t>
  </si>
  <si>
    <t>TAG Petunia Madness Rose Morn 100/100 Pixie Tag</t>
  </si>
  <si>
    <t>0611837934100</t>
  </si>
  <si>
    <t>TAG Petunia Madness Rose Star 100/100 Pixie Tag</t>
  </si>
  <si>
    <t>0611837935100</t>
  </si>
  <si>
    <t>TAG Petunia Madness Royal 100/100 Pixie Tag</t>
  </si>
  <si>
    <t>0611837936100</t>
  </si>
  <si>
    <t>TAG Petunia Madness Salmon Morn 100/100 Pixie Tag</t>
  </si>
  <si>
    <t>0611837937100</t>
  </si>
  <si>
    <t>TAG Petunia Madness Series 100/100 Pixie Tag</t>
  </si>
  <si>
    <t>0611837938100</t>
  </si>
  <si>
    <t>TAG Petunia Madness Sheer 100/100 Pixie Tag</t>
  </si>
  <si>
    <t>0611837939100</t>
  </si>
  <si>
    <t>TAG Petunia Madness Simply 100/100 Pixie Tag</t>
  </si>
  <si>
    <t>0611837940100</t>
  </si>
  <si>
    <t>TAG Petunia Madness Spring 100/100 Pixie Tag</t>
  </si>
  <si>
    <t>0611837941100</t>
  </si>
  <si>
    <t>TAG Petunia Madness Sugar 100/100 Pixie Tag</t>
  </si>
  <si>
    <t>0611837942100</t>
  </si>
  <si>
    <t>TAG Petunia Madness Summer 100/100 Pixie Tag</t>
  </si>
  <si>
    <t>0611837943100</t>
  </si>
  <si>
    <t>TAG Petunia Madness Total 100/100 Pixie Tag</t>
  </si>
  <si>
    <t>0611837944100</t>
  </si>
  <si>
    <t>TAG Petunia Madness Waterfall Mix 100/100 Pixie Tag</t>
  </si>
  <si>
    <t>0611837945100</t>
  </si>
  <si>
    <t>TAG Petunia Madness White 100/100 Pixie Tag</t>
  </si>
  <si>
    <t>0611837946100</t>
  </si>
  <si>
    <t>TAG Petunia Madness Yellow 100/100 Pixie Tag</t>
  </si>
  <si>
    <t>0611837947100</t>
  </si>
  <si>
    <t>TAG Petunia Mambo Series 100/100 Pixie Tag</t>
  </si>
  <si>
    <t>0611837948100</t>
  </si>
  <si>
    <t>TAG Petunia Merlin Blue Morn 100/100 Pixie Tag</t>
  </si>
  <si>
    <t>0611837949100</t>
  </si>
  <si>
    <t>TAG Petunia Old Glory Mix 100/100 Pixie Tag</t>
  </si>
  <si>
    <t>0611837951100</t>
  </si>
  <si>
    <t>TAG Petunia Opera Supreme Pink Morn 100/100 Pixie Tag</t>
  </si>
  <si>
    <t>0611837953100</t>
  </si>
  <si>
    <t>TAG Petunia Opera Supreme Raspberry Ice 100/100 Pixie Tag</t>
  </si>
  <si>
    <t>0611863561050</t>
  </si>
  <si>
    <t>TAG Petunia Origami 50/50 Petite Portrait DO FUL</t>
  </si>
  <si>
    <t>0611863562050</t>
  </si>
  <si>
    <t>TAG Petunia Origami Burgundy 50/50 Petite Portrait DO FUL</t>
  </si>
  <si>
    <t>0611863563050</t>
  </si>
  <si>
    <t>TAG Petunia Origami Pink 50/50 Petite Portrait DO FUL</t>
  </si>
  <si>
    <t>0611863564050</t>
  </si>
  <si>
    <t>TAG Petunia Origami Pink Star 50/50 Petite Portrait DO FUL</t>
  </si>
  <si>
    <t>0611863565050</t>
  </si>
  <si>
    <t>TAG Petunia Origami Watermelon 50/50 Petite Portrait DO FUL</t>
  </si>
  <si>
    <t>0611863566050</t>
  </si>
  <si>
    <t>TAG Petunia Origami White 50/50 Petite Portrait DO FUL</t>
  </si>
  <si>
    <t>0611884383100</t>
  </si>
  <si>
    <t>TAG Petunia Ovation Series 100/100 Pixie Tag</t>
  </si>
  <si>
    <t>0611863567050</t>
  </si>
  <si>
    <t>TAG Petunia Peppy Blue 50/50 Petite Portrait DO FUL</t>
  </si>
  <si>
    <t>0611863568050</t>
  </si>
  <si>
    <t>TAG Petunia Peppy Burgundy 50/50 Petite Portrait DO FUL</t>
  </si>
  <si>
    <t>0611863569050</t>
  </si>
  <si>
    <t>TAG Petunia Peppy Cerise 50/50 Petite Portrait DO FUL</t>
  </si>
  <si>
    <t>0611863570050</t>
  </si>
  <si>
    <t>TAG Petunia Peppy Pink 50/50 Petite Portrait DO FUL</t>
  </si>
  <si>
    <t>0611884384050</t>
  </si>
  <si>
    <t>TAG Petunia Peppy Pink Vein 50/50 Petite Portrait DO FUL</t>
  </si>
  <si>
    <t>0611863571050</t>
  </si>
  <si>
    <t>TAG Petunia Peppy Plum 50/50 Petite Portrait DO FUL</t>
  </si>
  <si>
    <t>0611863572050</t>
  </si>
  <si>
    <t>TAG Petunia Peppy Purple 50/50 Petite Portrait DO FUL</t>
  </si>
  <si>
    <t>0611863573050</t>
  </si>
  <si>
    <t>TAG Petunia Peppy Red 50/50 Petite Portrait DO FUL</t>
  </si>
  <si>
    <t>0611863574050</t>
  </si>
  <si>
    <t>TAG Petunia Peppy Sunset 50/50 Petite Portrait DO FUL</t>
  </si>
  <si>
    <t>0611837956100</t>
  </si>
  <si>
    <t>TAG Petunia Perfectunia Series 100/100 Pixie Tag</t>
  </si>
  <si>
    <t>0611837960100</t>
  </si>
  <si>
    <t>TAG Petunia Picobella Blue 100/100 Pixie Tag SF</t>
  </si>
  <si>
    <t>0611837961100</t>
  </si>
  <si>
    <t>TAG Petunia Picobella Carmine 100/100 Pixie Tag SF</t>
  </si>
  <si>
    <t>0611837971100</t>
  </si>
  <si>
    <t>TAG Petunia Picobella Lavender 100/100 Pixie Tag SF</t>
  </si>
  <si>
    <t>0611837972100</t>
  </si>
  <si>
    <t>TAG Petunia Picobella Light Lavender 100/100 Pixie Tag SF</t>
  </si>
  <si>
    <t>0611837973100</t>
  </si>
  <si>
    <t>TAG Petunia Picobella Mix 100/100 Pixie Tag SF</t>
  </si>
  <si>
    <t>0611837974100</t>
  </si>
  <si>
    <t>TAG Petunia Picobella Pink 100/100 Pixie Tag SF</t>
  </si>
  <si>
    <t>0611837975100</t>
  </si>
  <si>
    <t>TAG Petunia Picobella Red 100/100 Pixie Tag SF</t>
  </si>
  <si>
    <t>0611837976100</t>
  </si>
  <si>
    <t>TAG Petunia Picobella Rose 100/100 Pixie Tag SF</t>
  </si>
  <si>
    <t>0611837977100</t>
  </si>
  <si>
    <t>TAG Petunia Picobella Rose Morn 100/100 Pixie Tag SF</t>
  </si>
  <si>
    <t>0611837978100</t>
  </si>
  <si>
    <t>TAG Petunia Picobella Rose Star 100/100 Pixie Tag SF</t>
  </si>
  <si>
    <t>0611837979100</t>
  </si>
  <si>
    <t>TAG Petunia Picobella Salmon 100/100 Pixie Tag SF</t>
  </si>
  <si>
    <t>0611837980100</t>
  </si>
  <si>
    <t>TAG Petunia Picobella White 100/100 Pixie Tag SF</t>
  </si>
  <si>
    <t>0611837981100</t>
  </si>
  <si>
    <t>TAG Petunia Picotee Blue 100/100 Pixie Tag</t>
  </si>
  <si>
    <t>0611837982100</t>
  </si>
  <si>
    <t>TAG Petunia Picotee Red 100/100 Pixie Tag</t>
  </si>
  <si>
    <t>0611837983100</t>
  </si>
  <si>
    <t>TAG Petunia Picotee Rose 100/100 Pixie Tag</t>
  </si>
  <si>
    <t>0611837985100</t>
  </si>
  <si>
    <t>TAG Petunia Pink Bilingual 100/100 Pixie Tag</t>
  </si>
  <si>
    <t>0611837986100</t>
  </si>
  <si>
    <t>TAG Petunia Pink GENERIC 100/100 Pixie Tag</t>
  </si>
  <si>
    <t>0611863575050</t>
  </si>
  <si>
    <t>TAG Petunia Pinkerbelle 50/50 Petite Portrait DO FUL</t>
  </si>
  <si>
    <t>0611837987100</t>
  </si>
  <si>
    <t>TAG Petunia Pirouette Purple 100/100 Pixie Tag</t>
  </si>
  <si>
    <t>0611837988100</t>
  </si>
  <si>
    <t>TAG Petunia Pirouette Red 100/100 Pixie Tag</t>
  </si>
  <si>
    <t>0611837989100</t>
  </si>
  <si>
    <t>TAG Petunia Pirouette Rose 100/100 Pixie Tag</t>
  </si>
  <si>
    <t>0611863576050</t>
  </si>
  <si>
    <t>TAG Petunia Pismo Beach 50/50 Petite Portrait FUL</t>
  </si>
  <si>
    <t>0611863577050</t>
  </si>
  <si>
    <t>TAG Petunia Potunia Blueberry Muffin 50/50 Petite Portrait DO FUL</t>
  </si>
  <si>
    <t>0611863578050</t>
  </si>
  <si>
    <t>TAG Petunia Potunia Cappuccino 50/50 Petite Portrait DO FUL</t>
  </si>
  <si>
    <t>0611863579050</t>
  </si>
  <si>
    <t>TAG Petunia Potunia Cobalt Blue 50/50 Petite Portrait DO FUL</t>
  </si>
  <si>
    <t>0611863580050</t>
  </si>
  <si>
    <t>TAG Petunia Potunia Coral 50/50 Petite Portrait DO FUL</t>
  </si>
  <si>
    <t>0611863581050</t>
  </si>
  <si>
    <t>TAG Petunia Potunia Cotton Candy 50/50 Petite Portrait DO FUL</t>
  </si>
  <si>
    <t>0611863582050</t>
  </si>
  <si>
    <t>TAG Petunia Potunia Dark Red 50/50 Petite Portrait DO FUL</t>
  </si>
  <si>
    <t>0611863583050</t>
  </si>
  <si>
    <t>TAG Petunia Potunia Neon 50/50 Petite Portrait DO FUL</t>
  </si>
  <si>
    <t>0611863584050</t>
  </si>
  <si>
    <t>TAG Petunia Potunia Piccola Blue Ice 50/50 Petite Portrait DO FUL</t>
  </si>
  <si>
    <t>0611863585050</t>
  </si>
  <si>
    <t>TAG Petunia Potunia Piccola Grape Ice 50/50 Petite Portrait DO FUL</t>
  </si>
  <si>
    <t>0611863586050</t>
  </si>
  <si>
    <t>TAG Petunia Potunia Piccola Hot Pink 50/50 Petite Portrait DO FUL</t>
  </si>
  <si>
    <t>0611863587050</t>
  </si>
  <si>
    <t>TAG Petunia Potunia Piccola Lavender Touch 50/50 Petite Portrait DO FUL</t>
  </si>
  <si>
    <t>0611863588050</t>
  </si>
  <si>
    <t>TAG Petunia Potunia Piccola Lilac Blue 50/50 Petite Portrait DO FUL</t>
  </si>
  <si>
    <t>0611863589050</t>
  </si>
  <si>
    <t>TAG Petunia Potunia Piccola Magenta Star 50/50 Petite Portrait DO FUL</t>
  </si>
  <si>
    <t>0611863590050</t>
  </si>
  <si>
    <t>TAG Petunia Potunia Piccola Pink 50/50 Petite Portrait DO FUL</t>
  </si>
  <si>
    <t>0611863592050</t>
  </si>
  <si>
    <t>TAG Petunia Potunia Piccola White 50/50 Petite Portrait DO FUL</t>
  </si>
  <si>
    <t>0611863593050</t>
  </si>
  <si>
    <t>TAG Petunia Potunia Pink Orchid 50/50 Petite Portrait DO FUL</t>
  </si>
  <si>
    <t>0611863594050</t>
  </si>
  <si>
    <t>TAG Petunia Potunia Plus Baby Pink 50/50 Petite Portrait DO FUL</t>
  </si>
  <si>
    <t>0611884385050</t>
  </si>
  <si>
    <t>TAG Petunia Potunia Plus Blue Vein 50/50 Petite Portrait DO FUL</t>
  </si>
  <si>
    <t>0611884386050</t>
  </si>
  <si>
    <t>TAG Petunia Potunia Plus Burgundy 50/50 Petite Portrait DO FUL</t>
  </si>
  <si>
    <t>0611884387050</t>
  </si>
  <si>
    <t>TAG Petunia Potunia Plus Coral 50/50 Petite Portrait DO FUL</t>
  </si>
  <si>
    <t>0611863595050</t>
  </si>
  <si>
    <t>TAG Petunia Potunia Plus Denim 50/50 Petite Portrait DO FUL</t>
  </si>
  <si>
    <t>0611863596050</t>
  </si>
  <si>
    <t>TAG Petunia Potunia Plus Neon 50/50 Petite Portrait DO FUL</t>
  </si>
  <si>
    <t>0611863597050</t>
  </si>
  <si>
    <t>TAG Petunia Potunia Plus Papaya 50/50 Petite Portrait DO FUL</t>
  </si>
  <si>
    <t>0611863598050</t>
  </si>
  <si>
    <t>TAG Petunia Potunia Plus Pinkalics 50/50 Petite Portrait DO FUL</t>
  </si>
  <si>
    <t>0611863599050</t>
  </si>
  <si>
    <t>TAG Petunia Potunia Plus Purple 50/50 Petite Portrait DO FUL</t>
  </si>
  <si>
    <t>0611863600050</t>
  </si>
  <si>
    <t>TAG Petunia Potunia Plus Red 50/50 Petite Portrait DO FUL</t>
  </si>
  <si>
    <t>0611863601050</t>
  </si>
  <si>
    <t>TAG Petunia Potunia Plus Soft Pink Morn 50/50 Petite Portrait DO FUL</t>
  </si>
  <si>
    <t>0611863602050</t>
  </si>
  <si>
    <t>TAG Petunia Potunia Plus White 50/50 Petite Portrait DO FUL</t>
  </si>
  <si>
    <t>0611863603050</t>
  </si>
  <si>
    <t>TAG Petunia Potunia Plus Yellow 50/50 Petite Portrait DO FUL</t>
  </si>
  <si>
    <t>0611863604050</t>
  </si>
  <si>
    <t>TAG Petunia Potunia Popcorn 50/50 Petite Portrait DO FUL</t>
  </si>
  <si>
    <t>0611863605050</t>
  </si>
  <si>
    <t>TAG Petunia Potunia Purple Halo 50/50 Petite Portrait DO FUL</t>
  </si>
  <si>
    <t>0611863606050</t>
  </si>
  <si>
    <t>TAG Petunia Potunia Starfish 50/50 Petite Portrait DO FUL</t>
  </si>
  <si>
    <t>0611863607050</t>
  </si>
  <si>
    <t>TAG Petunia Potunia White 50/50 Petite Portrait DO FUL</t>
  </si>
  <si>
    <t>0611838000100</t>
  </si>
  <si>
    <t>TAG Petunia Presto Series 100/100 Pixie Tag</t>
  </si>
  <si>
    <t>0611838001100</t>
  </si>
  <si>
    <t>TAG Petunia Pretty Flora Coral 100/100 Pixie Tag</t>
  </si>
  <si>
    <t>0611838002100</t>
  </si>
  <si>
    <t>TAG Petunia Pretty Flora Flag Mix 100/100 Pixie Tag</t>
  </si>
  <si>
    <t>0611838003100</t>
  </si>
  <si>
    <t>TAG Petunia Pretty Flora Mello Yellow 100/100 Pixie Tag</t>
  </si>
  <si>
    <t>0611838004100</t>
  </si>
  <si>
    <t>TAG Petunia Pretty Flora Midnight 100/100 Pixie Tag</t>
  </si>
  <si>
    <t>0611838005100</t>
  </si>
  <si>
    <t>TAG Petunia Pretty Flora Mix 100/100 Pixie Tag</t>
  </si>
  <si>
    <t>0611838006100</t>
  </si>
  <si>
    <t>TAG Petunia Pretty Flora Pink 100/100 Pixie Tag</t>
  </si>
  <si>
    <t>0611838007100</t>
  </si>
  <si>
    <t>TAG Petunia Pretty Flora Pink Pearl 100/100 Pixie Tag</t>
  </si>
  <si>
    <t>0611838008100</t>
  </si>
  <si>
    <t>TAG Petunia Pretty Flora Purple 100/100 Pixie Tag</t>
  </si>
  <si>
    <t>0611838009100</t>
  </si>
  <si>
    <t>TAG Petunia Pretty Flora Red 100/100 Pixie Tag</t>
  </si>
  <si>
    <t>0611838010100</t>
  </si>
  <si>
    <t>TAG Petunia Pretty Flora Rose 100/100 Pixie Tag</t>
  </si>
  <si>
    <t>0611838011100</t>
  </si>
  <si>
    <t>TAG Petunia Pretty Flora White 100/100 Pixie Tag</t>
  </si>
  <si>
    <t>0611838012100</t>
  </si>
  <si>
    <t>TAG Petunia Pretty Grand Coral 100/100 Pixie Tag</t>
  </si>
  <si>
    <t>0611838013100</t>
  </si>
  <si>
    <t>TAG Petunia Pretty Grand Deep Pink 100/100 Pixie Tag</t>
  </si>
  <si>
    <t>0611838014100</t>
  </si>
  <si>
    <t>TAG Petunia Pretty Grand Flag Mix 100/100 Pixie Tag</t>
  </si>
  <si>
    <t>0611838015100</t>
  </si>
  <si>
    <t>TAG Petunia Pretty Grand Mello Yellow 100/100 Pixie Tag</t>
  </si>
  <si>
    <t>0611838016100</t>
  </si>
  <si>
    <t>TAG Petunia Pretty Grand Midnight 100/100 Pixie Tag</t>
  </si>
  <si>
    <t>0611838017100</t>
  </si>
  <si>
    <t>TAG Petunia Pretty Grand Mix 100/100 Pixie Tag</t>
  </si>
  <si>
    <t>0611838018100</t>
  </si>
  <si>
    <t>TAG Petunia Pretty Grand Purple 100/100 Pixie Tag</t>
  </si>
  <si>
    <t>0611838019100</t>
  </si>
  <si>
    <t>TAG Petunia Pretty Grand Red 100/100 Pixie Tag</t>
  </si>
  <si>
    <t>0611838020100</t>
  </si>
  <si>
    <t>TAG Petunia Pretty Grand Rose 100/100 Pixie Tag</t>
  </si>
  <si>
    <t>0611838021100</t>
  </si>
  <si>
    <t>TAG Petunia Pretty Grand Summer 100/100 Pixie Tag</t>
  </si>
  <si>
    <t>0611838022100</t>
  </si>
  <si>
    <t>TAG Petunia Pretty Grand Violet 100/100 Pixie Tag</t>
  </si>
  <si>
    <t>0611838023100</t>
  </si>
  <si>
    <t>TAG Petunia Pretty Grand White 100/100 Pixie Tag</t>
  </si>
  <si>
    <t>0611838024100</t>
  </si>
  <si>
    <t>TAG Petunia Prism Sunshine 100/100 Pixie Tag SF</t>
  </si>
  <si>
    <t>0611838025100</t>
  </si>
  <si>
    <t>TAG Petunia Purple GENERIC 100/100 Pixie Tag</t>
  </si>
  <si>
    <t>0611838026100</t>
  </si>
  <si>
    <t>TAG Petunia Ramblin Burgundy Chrome 100/100 Pixie Tag SF</t>
  </si>
  <si>
    <t>0611838041100</t>
  </si>
  <si>
    <t>TAG Petunia Ray Baroque Pink 100/100 Pixie Tag</t>
  </si>
  <si>
    <t>0611838042100</t>
  </si>
  <si>
    <t>TAG Petunia Ray Black 100/100 Pixie Tag</t>
  </si>
  <si>
    <t>0611838043100</t>
  </si>
  <si>
    <t>TAG Petunia Ray Blue 100/100 Pixie Tag</t>
  </si>
  <si>
    <t>0611838044100</t>
  </si>
  <si>
    <t>TAG Petunia Ray Bordeaux 100/100 Pixie Tag</t>
  </si>
  <si>
    <t>0611838045100</t>
  </si>
  <si>
    <t>TAG Petunia Ray Fuchsia 100/100 Pixie Tag</t>
  </si>
  <si>
    <t>0611838047100</t>
  </si>
  <si>
    <t>TAG Petunia Ray Pink Halo 100/100 Pixie Tag</t>
  </si>
  <si>
    <t>0611838048100</t>
  </si>
  <si>
    <t>TAG Petunia Ray Pistachio Cream 100/100 Pixie Tag</t>
  </si>
  <si>
    <t>0611838049100</t>
  </si>
  <si>
    <t>TAG Petunia Ray Purple 100/100 Pixie Tag</t>
  </si>
  <si>
    <t>0611838050100</t>
  </si>
  <si>
    <t>TAG Petunia Ray Purple Vein 100/100 Pixie Tag</t>
  </si>
  <si>
    <t>0611838051100</t>
  </si>
  <si>
    <t>TAG Petunia Ray Red 100/100 Pixie Tag</t>
  </si>
  <si>
    <t>0611838052100</t>
  </si>
  <si>
    <t>TAG Petunia Ray Sunflower 100/100 Pixie Tag</t>
  </si>
  <si>
    <t>0611838053100</t>
  </si>
  <si>
    <t>TAG Petunia Ray Sunshine 100/100 Pixie Tag</t>
  </si>
  <si>
    <t>0611838054100</t>
  </si>
  <si>
    <t>TAG Petunia Ray White 100/100 Pixie Tag</t>
  </si>
  <si>
    <t>0611838061100</t>
  </si>
  <si>
    <t>TAG Petunia Red And White Bilingual 100/100 Pixie Tag</t>
  </si>
  <si>
    <t>0611838057100</t>
  </si>
  <si>
    <t>TAG Petunia Red Bilingual 100/100 Pixie Tag</t>
  </si>
  <si>
    <t>0611838055100</t>
  </si>
  <si>
    <t>TAG Petunia Red Carpet Black Moon Rising 100/100 Pixie Tag</t>
  </si>
  <si>
    <t>0611838056100</t>
  </si>
  <si>
    <t>TAG Petunia Red Carpet Hippy Chick Violet 100/100 Pixie Tag</t>
  </si>
  <si>
    <t>0611838058100</t>
  </si>
  <si>
    <t>TAG Petunia Red Carpet Orchid Frost 100/100 Pixie Tag</t>
  </si>
  <si>
    <t>0611857072100</t>
  </si>
  <si>
    <t>TAG Petunia Red Carpet RIMarkable 100/100 Pixie Tag</t>
  </si>
  <si>
    <t>0611838059100</t>
  </si>
  <si>
    <t>TAG Petunia Red GENERIC 100/100 Pixie Tag</t>
  </si>
  <si>
    <t>0611838060100</t>
  </si>
  <si>
    <t>TAG Petunia Red White And Blue Mix GENERIC 100/100 Pixie Tag</t>
  </si>
  <si>
    <t>0611838062100</t>
  </si>
  <si>
    <t>TAG Petunia Retro Red 100/100 Pixie Tag</t>
  </si>
  <si>
    <t>0611838063100</t>
  </si>
  <si>
    <t>TAG Petunia Rose Bilingual 100/100 Pixie Tag</t>
  </si>
  <si>
    <t>0611838064100</t>
  </si>
  <si>
    <t>TAG Petunia Rose GENERIC 100/100 Pixie Tag</t>
  </si>
  <si>
    <t>0611838065100</t>
  </si>
  <si>
    <t>TAG Petunia Salmon Bilingual 100/100 Pixie Tag</t>
  </si>
  <si>
    <t>0611863608050</t>
  </si>
  <si>
    <t>TAG Petunia Sanguna Banana Candy 50/50 Petite Portrait SF FUL</t>
  </si>
  <si>
    <t>0611863609050</t>
  </si>
  <si>
    <t>TAG Petunia Sanguna Blue 50/50 Petite Portrait SF FUL</t>
  </si>
  <si>
    <t>0611863611050</t>
  </si>
  <si>
    <t>TAG Petunia Sanguna Blue Vein 50/50 Petite Portrait SF FUL</t>
  </si>
  <si>
    <t>0611863612050</t>
  </si>
  <si>
    <t>TAG Petunia Sanguna Burgundy 50/50 Petite Portrait SF FUL</t>
  </si>
  <si>
    <t>0611863613050</t>
  </si>
  <si>
    <t>TAG Petunia Sanguna Coral 50/50 Petite Portrait SF FUL</t>
  </si>
  <si>
    <t>0611863614050</t>
  </si>
  <si>
    <t>TAG Petunia Sanguna Deep Lavender Vein 50/50 Petite Portrait SF FUL</t>
  </si>
  <si>
    <t>0611863615050</t>
  </si>
  <si>
    <t>TAG Petunia Sanguna Hot Rose 50/50 Petite Portrait SF FUL</t>
  </si>
  <si>
    <t>0611863616050</t>
  </si>
  <si>
    <t>TAG Petunia Sanguna Light Blue 50/50 Petite Portrait SF FUL</t>
  </si>
  <si>
    <t>0611863617050</t>
  </si>
  <si>
    <t>TAG Petunia Sanguna Lipstick 50/50 Petite Portrait SF FUL</t>
  </si>
  <si>
    <t>0611863618050</t>
  </si>
  <si>
    <t>TAG Petunia Sanguna Mango Punch 50/50 Petite Portrait SF FUL</t>
  </si>
  <si>
    <t>0611884388050</t>
  </si>
  <si>
    <t>TAG Petunia Sanguna Mega Hot Pink 50/50 Petite Portrait SF FUL</t>
  </si>
  <si>
    <t>0611863619050</t>
  </si>
  <si>
    <t>TAG Petunia Sanguna Mega Pink Vein 50/50 Petite Portrait SF FUL</t>
  </si>
  <si>
    <t>0611863621050</t>
  </si>
  <si>
    <t>TAG Petunia Sanguna Mega Purple 50/50 Petite Portrait SF FUL</t>
  </si>
  <si>
    <t>0611863620050</t>
  </si>
  <si>
    <t>TAG Petunia Sanguna Mega Purple Limited Availability 50/50 Petite Tag SF</t>
  </si>
  <si>
    <t>0611863622050</t>
  </si>
  <si>
    <t>TAG Petunia Sanguna Mega Purple Vein 50/50 Petite Portrait SF FUL</t>
  </si>
  <si>
    <t>0611863623050</t>
  </si>
  <si>
    <t>TAG Petunia Sanguna Merlot 50/50 Petite Portrait SF FUL</t>
  </si>
  <si>
    <t>0611863624050</t>
  </si>
  <si>
    <t>TAG Petunia Sanguna Patio Blue 50/50 Petite Portrait SF FUL</t>
  </si>
  <si>
    <t>0611863625050</t>
  </si>
  <si>
    <t>TAG Petunia Sanguna Patio Blue Vein 50/50 Petite Portrait SF FUL</t>
  </si>
  <si>
    <t>0611863626050</t>
  </si>
  <si>
    <t>TAG Petunia Sanguna Patio Light Blue 50/50 Petite Portrait SF FUL</t>
  </si>
  <si>
    <t>0611863627050</t>
  </si>
  <si>
    <t>TAG Petunia Sanguna Patio Melon Morn 50/50 Petite Portrait SF FUL</t>
  </si>
  <si>
    <t>0611863628050</t>
  </si>
  <si>
    <t>TAG Petunia Sanguna Patio Pink Morn 50/50 Petite Portrait SF FUL</t>
  </si>
  <si>
    <t>0611863629050</t>
  </si>
  <si>
    <t>TAG Petunia Sanguna Patio Purple 50/50 Petite Portrait SF FUL</t>
  </si>
  <si>
    <t>0611863630050</t>
  </si>
  <si>
    <t>TAG Petunia Sanguna Patio Purple Vein 50/50 Petite Portrait SF FUL</t>
  </si>
  <si>
    <t>0611863631050</t>
  </si>
  <si>
    <t>TAG Petunia Sanguna Patio Radiant Dark Blue 50/50 Petite Portrait SF FUL</t>
  </si>
  <si>
    <t>0611863632050</t>
  </si>
  <si>
    <t>TAG Petunia Sanguna Patio Rdnt Violet 50/50 Petite Portrait SF FUL</t>
  </si>
  <si>
    <t>0611863633050</t>
  </si>
  <si>
    <t>TAG Petunia Sanguna Patio Red 50/50 Petite Portrait SF FUL</t>
  </si>
  <si>
    <t>0611863634050</t>
  </si>
  <si>
    <t>TAG Petunia Sanguna Patio Salmon 50/50 Petite Portrait SF FUL</t>
  </si>
  <si>
    <t>0611863635050</t>
  </si>
  <si>
    <t>TAG Petunia Sanguna Patio White 50/50 Petite Portrait SF FUL</t>
  </si>
  <si>
    <t>0611863636050</t>
  </si>
  <si>
    <t>TAG Petunia Sanguna Picotee Punch 50/50 Petite Portrait SF FUL</t>
  </si>
  <si>
    <t>0611863637050</t>
  </si>
  <si>
    <t>TAG Petunia Sanguna Pink Vein 50/50 Petite Portrait SF FUL</t>
  </si>
  <si>
    <t>0611863639050</t>
  </si>
  <si>
    <t>TAG Petunia Sanguna Purple 50/50 Petite Tag SF</t>
  </si>
  <si>
    <t>0611863640050</t>
  </si>
  <si>
    <t>TAG Petunia Sanguna Radiant Blue 50/50 Petite Portrait SF FUL</t>
  </si>
  <si>
    <t>0611863641050</t>
  </si>
  <si>
    <t>TAG Petunia Sanguna Radiant Rose 50/50 Petite Portrait SF FUL</t>
  </si>
  <si>
    <t>0611863642050</t>
  </si>
  <si>
    <t>TAG Petunia Sanguna Red 50/50 Petite Portrait SF FUL</t>
  </si>
  <si>
    <t>0611863643050</t>
  </si>
  <si>
    <t>TAG Petunia Sanguna Rose 50/50 Petite Portrait SF FUL</t>
  </si>
  <si>
    <t>0611863644050</t>
  </si>
  <si>
    <t>TAG Petunia Sanguna Rose Vein 50/50 Petite Portrait SF FUL</t>
  </si>
  <si>
    <t>0611863645050</t>
  </si>
  <si>
    <t>TAG Petunia Sanguna Salmon 50/50 Petite Portrait SF FUL</t>
  </si>
  <si>
    <t>0611863646050</t>
  </si>
  <si>
    <t>TAG Petunia Sanguna Star Rose 50/50 Petite Portrait SF FUL</t>
  </si>
  <si>
    <t>0611863647050</t>
  </si>
  <si>
    <t>TAG Petunia Sanguna Sweet Pink 50/50 Petite Portrait SF FUL</t>
  </si>
  <si>
    <t>0611863648050</t>
  </si>
  <si>
    <t>TAG Petunia Sanguna White 50/50 Petite Tag SF</t>
  </si>
  <si>
    <t>0611863651050</t>
  </si>
  <si>
    <t>TAG Petunia Sanguna Yellow 50/50 Petite Portrait SF FUL</t>
  </si>
  <si>
    <t>0611838067100</t>
  </si>
  <si>
    <t>TAG Petunia Scoop Series 100/100 Pixie Tag</t>
  </si>
  <si>
    <t>0611863652050</t>
  </si>
  <si>
    <t>TAG Petunia Shortcake Blueberry 50/50 Petite Portrait SF FUL</t>
  </si>
  <si>
    <t>0611863653050</t>
  </si>
  <si>
    <t>TAG Petunia Shortcake Raspberry 50/50 Petite Portrait SF FUL</t>
  </si>
  <si>
    <t>0611838068100</t>
  </si>
  <si>
    <t>TAG Petunia Single Mix GENERIC 100/100 Pixie Tag</t>
  </si>
  <si>
    <t>0611838069100</t>
  </si>
  <si>
    <t>TAG Petunia Skybox Rose Star 100/100 Pixie Tag SF</t>
  </si>
  <si>
    <t>0611863654050</t>
  </si>
  <si>
    <t>TAG Petunia Smartunia Baby Pink 50/50 Petite Portrait DO FUL</t>
  </si>
  <si>
    <t>0611863655050</t>
  </si>
  <si>
    <t>TAG Petunia Smartunia Neon 50/50 Petite Portrait DO FUL</t>
  </si>
  <si>
    <t>0611863656050</t>
  </si>
  <si>
    <t>TAG Petunia Smartunia Purple Vein 50/50 Petite Portrait DO FUL</t>
  </si>
  <si>
    <t>0611863657050</t>
  </si>
  <si>
    <t>TAG Petunia Smartunia Red 50/50 Petite Portrait DO FUL</t>
  </si>
  <si>
    <t>0611863658050</t>
  </si>
  <si>
    <t>TAG Petunia Smartunia White 50/50 Petite Portrait DO FUL</t>
  </si>
  <si>
    <t>0611863659050</t>
  </si>
  <si>
    <t>TAG Petunia Smartunia Windmill Black 50/50 Petite Portrait DO FUL</t>
  </si>
  <si>
    <t>0611863660050</t>
  </si>
  <si>
    <t>TAG Petunia Smartunia Windmill Pink 50/50 Petite Portrait DO FUL</t>
  </si>
  <si>
    <t>0611863661050</t>
  </si>
  <si>
    <t>TAG Petunia Smartunia Windmill Red 50/50 Petite Portrait DO FUL</t>
  </si>
  <si>
    <t>0611838070100</t>
  </si>
  <si>
    <t>TAG Petunia Sophistica Antique Shades 100/100 Pixie Tag</t>
  </si>
  <si>
    <t>0611838071100</t>
  </si>
  <si>
    <t>TAG Petunia Sophistica Blackberry 100/100 Pixie Tag</t>
  </si>
  <si>
    <t>0611838072100</t>
  </si>
  <si>
    <t>TAG Petunia Sophistica Blue Morn 100/100 Pixie Tag</t>
  </si>
  <si>
    <t>0611838073100</t>
  </si>
  <si>
    <t>TAG Petunia Sophistica Lime Bicolor 100/100 Pixie Tag</t>
  </si>
  <si>
    <t>0611838074100</t>
  </si>
  <si>
    <t>TAG Petunia Sophistica Lime Green 100/100 Pixie Tag</t>
  </si>
  <si>
    <t>0611838075100</t>
  </si>
  <si>
    <t>TAG Petunia Sophistica Twilight 100/100 Pixie Tag</t>
  </si>
  <si>
    <t>0611838076100</t>
  </si>
  <si>
    <t>TAG Petunia Splash Dance Series 100/100 Pixie Tag</t>
  </si>
  <si>
    <t>0611838077100</t>
  </si>
  <si>
    <t>TAG Petunia Spreading GENERIC 100/100 Pixie Tag</t>
  </si>
  <si>
    <t>0611838081100</t>
  </si>
  <si>
    <t>TAG Petunia Storm Lavender 100/100 Pixie Tag</t>
  </si>
  <si>
    <t>0611838083100</t>
  </si>
  <si>
    <t>TAG Petunia Success 360 Blue 100/100 Pixie Tag</t>
  </si>
  <si>
    <t>0611838085100</t>
  </si>
  <si>
    <t>TAG Petunia Success 360 Burgundy 100/100 Pixie Tag</t>
  </si>
  <si>
    <t>0611838084100</t>
  </si>
  <si>
    <t>TAG Petunia Success 360 Burgundy Vein 100/100 Pixie Tag</t>
  </si>
  <si>
    <t>0611838086100</t>
  </si>
  <si>
    <t>TAG Petunia Success 360 Deep Pink 100/100 Pixie Tag</t>
  </si>
  <si>
    <t>0611838087100</t>
  </si>
  <si>
    <t>TAG Petunia Success 360 Deep Rose 100/100 Pixie Tag</t>
  </si>
  <si>
    <t>0611838088100</t>
  </si>
  <si>
    <t>TAG Petunia Success 360 Light Yellow 100/100 Pixie Tag</t>
  </si>
  <si>
    <t>0611838089100</t>
  </si>
  <si>
    <t>TAG Petunia Success 360 Mix 100/100 Pixie Tag</t>
  </si>
  <si>
    <t>0611857073100</t>
  </si>
  <si>
    <t>TAG Petunia Success 360 Pink 100/100 Pixie Tag</t>
  </si>
  <si>
    <t>0611838090100</t>
  </si>
  <si>
    <t>TAG Petunia Success 360 Purple 100/100 Pixie Tag</t>
  </si>
  <si>
    <t>0611838091100</t>
  </si>
  <si>
    <t>TAG Petunia Success 360 Purple Vein 100/100 Pixie Tag</t>
  </si>
  <si>
    <t>0611838092100</t>
  </si>
  <si>
    <t>TAG Petunia Success 360 Red 100/100 Pixie Tag</t>
  </si>
  <si>
    <t>0611838093100</t>
  </si>
  <si>
    <t>TAG Petunia Success 360 Red Star 100/100 Pixie Tag</t>
  </si>
  <si>
    <t>0611838094100</t>
  </si>
  <si>
    <t>TAG Petunia Success 360 Rose Star 100/100 Pixie Tag</t>
  </si>
  <si>
    <t>0611838096100</t>
  </si>
  <si>
    <t>TAG Petunia Success 360 White 100/100 Pixie Tag</t>
  </si>
  <si>
    <t>0611838097100</t>
  </si>
  <si>
    <t>TAG Petunia Success Blue 100/100 Pixie Tag</t>
  </si>
  <si>
    <t>0611838100100</t>
  </si>
  <si>
    <t>TAG Petunia Success HD Blue 100/100 Pixie Tag</t>
  </si>
  <si>
    <t>0611838101100</t>
  </si>
  <si>
    <t>TAG Petunia Success HD Burgundy 100/100 Pixie Tag</t>
  </si>
  <si>
    <t>0611838102100</t>
  </si>
  <si>
    <t>TAG Petunia Success HD Light Pink 100/100 Pixie Tag</t>
  </si>
  <si>
    <t>0611838103100</t>
  </si>
  <si>
    <t>TAG Petunia Success HD Mix 100/100 Pixie Tag</t>
  </si>
  <si>
    <t>0611838104100</t>
  </si>
  <si>
    <t>TAG Petunia Success HD Pink 100/100 Pixie Tag</t>
  </si>
  <si>
    <t>0611838105100</t>
  </si>
  <si>
    <t>TAG Petunia Success HD Red 100/100 Pixie Tag</t>
  </si>
  <si>
    <t>0611838106100</t>
  </si>
  <si>
    <t>TAG Petunia Success HD Rose Star 100/100 Pixie Tag</t>
  </si>
  <si>
    <t>0611857074100</t>
  </si>
  <si>
    <t>TAG Petunia Success HD Salmon 100/100 Pixie Tag</t>
  </si>
  <si>
    <t>0611838107100</t>
  </si>
  <si>
    <t>TAG Petunia Success HD Salmon Morn 100/100 Pixie Tag</t>
  </si>
  <si>
    <t>0611838108100</t>
  </si>
  <si>
    <t>TAG Petunia Success HD White 100/100 Pixie Tag</t>
  </si>
  <si>
    <t>0611838110100</t>
  </si>
  <si>
    <t>TAG Petunia Success Mix Maxi 100/100 Pixie Tag</t>
  </si>
  <si>
    <t>0611838125100</t>
  </si>
  <si>
    <t>TAG Petunia Super Cascade Blue 100/100 Pixie Tag</t>
  </si>
  <si>
    <t>0611838126100</t>
  </si>
  <si>
    <t>TAG Petunia Super Cascade Burgundy 100/100 Pixie Tag</t>
  </si>
  <si>
    <t>0611838127100</t>
  </si>
  <si>
    <t>TAG Petunia Super Cascade Lilac 100/100 Pixie Tag</t>
  </si>
  <si>
    <t>0611838128100</t>
  </si>
  <si>
    <t>TAG Petunia Super Cascade Mix 100/100 Pixie Tag</t>
  </si>
  <si>
    <t>0611838129100</t>
  </si>
  <si>
    <t>TAG Petunia Super Cascade Pink 100/100 Pixie Tag</t>
  </si>
  <si>
    <t>0611838130100</t>
  </si>
  <si>
    <t>TAG Petunia Super Cascade Red 100/100 Pixie Tag</t>
  </si>
  <si>
    <t>0611838131100</t>
  </si>
  <si>
    <t>TAG Petunia Super Cascade Rose 100/100 Pixie Tag</t>
  </si>
  <si>
    <t>0611838133100</t>
  </si>
  <si>
    <t>TAG Petunia Super Cascade White 100/100 Pixie Tag</t>
  </si>
  <si>
    <t>0611838134100</t>
  </si>
  <si>
    <t>TAG Petunia SuperCal Artist Rose 100/100 Pixie Tag</t>
  </si>
  <si>
    <t>0611838135100</t>
  </si>
  <si>
    <t>TAG Petunia SuperCal Blue 100/100 Pixie Tag</t>
  </si>
  <si>
    <t>0611838136100</t>
  </si>
  <si>
    <t>TAG Petunia SuperCal Cherry 100/100 Pixie Tag</t>
  </si>
  <si>
    <t>0611838137100</t>
  </si>
  <si>
    <t>TAG Petunia SuperCal Crimson Red 100/100 Pixie Tag</t>
  </si>
  <si>
    <t>0611838138100</t>
  </si>
  <si>
    <t>TAG Petunia SuperCal Lavender Star 100/100 Pixie Tag</t>
  </si>
  <si>
    <t>0611838139100</t>
  </si>
  <si>
    <t>TAG Petunia SuperCal Light Yellow 100/100 Pixie Tag</t>
  </si>
  <si>
    <t>0611838140100</t>
  </si>
  <si>
    <t>TAG Petunia SuperCal Neon Rose 100/100 Pixie Tag</t>
  </si>
  <si>
    <t>0611838141100</t>
  </si>
  <si>
    <t>TAG Petunia SuperCal Pink 100/100 Pixie Tag</t>
  </si>
  <si>
    <t>0611837550100</t>
  </si>
  <si>
    <t>TAG Petunia SuperCal Premium Bonfire Mix 100/100 Pixie Tag</t>
  </si>
  <si>
    <t>0611838143100</t>
  </si>
  <si>
    <t>TAG Petunia SuperCal Premium Bordeaux 100/100 Pixie Tag</t>
  </si>
  <si>
    <t>0611837551100</t>
  </si>
  <si>
    <t>TAG Petunia SuperCal Premium Caramel Yellow 100/100 Pixie Tag</t>
  </si>
  <si>
    <t>0611838144100</t>
  </si>
  <si>
    <t>TAG Petunia SuperCal Premium Cinnamon 100/100 Pixie Tag</t>
  </si>
  <si>
    <t>0611837552100</t>
  </si>
  <si>
    <t>TAG Petunia SuperCal Premium French Vanilla 100/100 Pixie Tag</t>
  </si>
  <si>
    <t>0611838145100</t>
  </si>
  <si>
    <t>TAG Petunia SuperCal Premium Pearl White 100/100 Pixie Tag</t>
  </si>
  <si>
    <t>0611838146100</t>
  </si>
  <si>
    <t>TAG Petunia SuperCal Premium Purple Dawn 100/100 Pixie Tag</t>
  </si>
  <si>
    <t>0611884389100</t>
  </si>
  <si>
    <t>TAG Petunia SuperCal Premium Red Maple 100/100 Pixie Tag</t>
  </si>
  <si>
    <t>0611838148100</t>
  </si>
  <si>
    <t>TAG Petunia SuperCal Premium Sunray Pink 100/100 Pixie Tag</t>
  </si>
  <si>
    <t>0611838147100</t>
  </si>
  <si>
    <t>TAG Petunia SuperCal Premium Sunset Orange 100/100 Pixie Tag</t>
  </si>
  <si>
    <t>0611838149100</t>
  </si>
  <si>
    <t>TAG Petunia SuperCal Premium Yellow Sun 100/100 Pixie Tag</t>
  </si>
  <si>
    <t>0611838150100</t>
  </si>
  <si>
    <t>TAG Petunia SuperCal Purple 100/100 Pixie Tag</t>
  </si>
  <si>
    <t>0611838151100</t>
  </si>
  <si>
    <t>TAG Petunia SuperCal Rose 100/100 Pixie Tag</t>
  </si>
  <si>
    <t>0611838152100</t>
  </si>
  <si>
    <t>TAG Petunia SuperCal Royal Red 100/100 Pixie Tag</t>
  </si>
  <si>
    <t>0611838153100</t>
  </si>
  <si>
    <t>TAG Petunia SuperCal Salmon Glow 100/100 Pixie Tag</t>
  </si>
  <si>
    <t>0611838154100</t>
  </si>
  <si>
    <t>TAG Petunia SuperCal Snowberry White 100/100 Pixie Tag</t>
  </si>
  <si>
    <t>0611838155100</t>
  </si>
  <si>
    <t>TAG Petunia SuperCal Terra Cotta 100/100 Pixie Tag</t>
  </si>
  <si>
    <t>0611838156100</t>
  </si>
  <si>
    <t>TAG Petunia SuperCal Violet 100/100 Pixie Tag</t>
  </si>
  <si>
    <t>0611863662050</t>
  </si>
  <si>
    <t>TAG Petunia Surprise Amethyst Halo 50/50 Petite Portrait DO FUL</t>
  </si>
  <si>
    <t>0611863663050</t>
  </si>
  <si>
    <t>TAG Petunia Surprise Blue 50/50 Petite Portrait DO FUL</t>
  </si>
  <si>
    <t>0611863664050</t>
  </si>
  <si>
    <t>TAG Petunia Surprise Blue Sky 50/50 Petite Portrait DO FUL</t>
  </si>
  <si>
    <t>0611863665050</t>
  </si>
  <si>
    <t>TAG Petunia Surprise Blue Star 50/50 Petite Portrait DO FUL</t>
  </si>
  <si>
    <t>0611863666050</t>
  </si>
  <si>
    <t>TAG Petunia Surprise Blue Vein 50/50 Petite Portrait DO FUL</t>
  </si>
  <si>
    <t>0611863667050</t>
  </si>
  <si>
    <t>TAG Petunia Surprise Burgundy Star 50/50 Petite Portrait DO FUL</t>
  </si>
  <si>
    <t>0611863668050</t>
  </si>
  <si>
    <t>TAG Petunia Surprise Cobalt Blue 50/50 Petite Portrait DO FUL</t>
  </si>
  <si>
    <t>0611863669050</t>
  </si>
  <si>
    <t>TAG Petunia Surprise Fire Engine Red 50/50 Petite Portrait DO FUL</t>
  </si>
  <si>
    <t>0611863670050</t>
  </si>
  <si>
    <t>TAG Petunia Surprise Grape 50/50 Petite Portrait DO FUL</t>
  </si>
  <si>
    <t>0611863671050</t>
  </si>
  <si>
    <t>TAG Petunia Surprise Green Tambourine 50/50 Petite Portrait DO FUL</t>
  </si>
  <si>
    <t>0611863672050</t>
  </si>
  <si>
    <t>TAG Petunia Surprise Hot Pink 50/50 Petite Portrait DO FUL</t>
  </si>
  <si>
    <t>0611863673050</t>
  </si>
  <si>
    <t>TAG Petunia Surprise Jolly Yellow 50/50 Petite Portrait DO FUL</t>
  </si>
  <si>
    <t>0611863674050</t>
  </si>
  <si>
    <t>TAG Petunia Surprise Kardinal Vein 50/50 Petite Portrait DO FUL</t>
  </si>
  <si>
    <t>0611863675050</t>
  </si>
  <si>
    <t>TAG Petunia Surprise Lemon Frost 50/50 Petite Portrait DO FUL</t>
  </si>
  <si>
    <t>0611863676050</t>
  </si>
  <si>
    <t>TAG Petunia Surprise Lovepink 50/50 Petite Portrait DO FUL</t>
  </si>
  <si>
    <t>0611863677050</t>
  </si>
  <si>
    <t>TAG Petunia Surprise Magenta Halo 50/50 Petite Portrait DO FUL</t>
  </si>
  <si>
    <t>0611863678050</t>
  </si>
  <si>
    <t>TAG Petunia Surprise Mardi Gras 50/50 Petite Portrait DO FUL</t>
  </si>
  <si>
    <t>0611863679050</t>
  </si>
  <si>
    <t>TAG Petunia Surprise Marine 50/50 Petite Portrait DO FUL</t>
  </si>
  <si>
    <t>0611863680050</t>
  </si>
  <si>
    <t>TAG Petunia Surprise Monarch Star 50/50 Petite Portrait DO FUL</t>
  </si>
  <si>
    <t>0611863681050</t>
  </si>
  <si>
    <t>TAG Petunia Surprise Moonlight Bay 50/50 Petite Portrait DO FUL</t>
  </si>
  <si>
    <t>0611863682050</t>
  </si>
  <si>
    <t>TAG Petunia Surprise Neon 50/50 Petite Portrait DO FUL</t>
  </si>
  <si>
    <t>0611863683050</t>
  </si>
  <si>
    <t>TAG Petunia Surprise Pink Orchid 50/50 Petite Portrait DO FUL</t>
  </si>
  <si>
    <t>0611863684050</t>
  </si>
  <si>
    <t>TAG Petunia Surprise Pinkalicious 50/50 Petite Portrait DO FUL</t>
  </si>
  <si>
    <t>0611863686050</t>
  </si>
  <si>
    <t>TAG Petunia Surprise Purple Dance 50/50 Petite Portrait DO FUL</t>
  </si>
  <si>
    <t>0611863687050</t>
  </si>
  <si>
    <t>TAG Petunia Surprise Purple Sky 50/50 Petite Portrait DO FUL</t>
  </si>
  <si>
    <t>0611863688050</t>
  </si>
  <si>
    <t>TAG Petunia Surprise Purple Star 50/50 Petite Portrait DO FUL</t>
  </si>
  <si>
    <t>0611863689050</t>
  </si>
  <si>
    <t>TAG Petunia Surprise Raspberry Jam 50/50 Petite Portrait DO FUL</t>
  </si>
  <si>
    <t>0611863690050</t>
  </si>
  <si>
    <t>TAG Petunia Surprise Red 50/50 Petite Portrait DO FUL</t>
  </si>
  <si>
    <t>0611863691050</t>
  </si>
  <si>
    <t>TAG Petunia Surprise Sparkle Blue 50/50 Petite Portrait DO FUL</t>
  </si>
  <si>
    <t>0611863692050</t>
  </si>
  <si>
    <t>TAG Petunia Surprise Sparkle Burgundy 50/50 Petite Portrait DO FUL</t>
  </si>
  <si>
    <t>0611863693050</t>
  </si>
  <si>
    <t>TAG Petunia Surprise Sparkle Magnt 50/50 Petite Portrait DO FUL</t>
  </si>
  <si>
    <t>0611863694050</t>
  </si>
  <si>
    <t>TAG Petunia Surprise Sparkle Purple 50/50 Petite Portrait DO FUL</t>
  </si>
  <si>
    <t>0611863695050</t>
  </si>
  <si>
    <t>TAG Petunia Surprise Sparkle Red 50/50 Petite Portrait DO FUL</t>
  </si>
  <si>
    <t>0611863696050</t>
  </si>
  <si>
    <t>TAG Petunia Surprise Strawberry Ice 19 50/50 Petite Portrait DO FUL</t>
  </si>
  <si>
    <t>0611863697050</t>
  </si>
  <si>
    <t>TAG Petunia Surprise Tie Dye Pink 50/50 Petite Portrait DO FUL</t>
  </si>
  <si>
    <t>0611863698050</t>
  </si>
  <si>
    <t>TAG Petunia Surprise Tie Dye Violet 50/50 Petite Portrait DO FUL</t>
  </si>
  <si>
    <t>0611863699050</t>
  </si>
  <si>
    <t>TAG Petunia Surprise White 50/50 Petite Portrait DO FUL</t>
  </si>
  <si>
    <t>0611863700050</t>
  </si>
  <si>
    <t>TAG Petunia Surprise White Orchid 50/50 Petite Portrait DO FUL</t>
  </si>
  <si>
    <t>0611863701050</t>
  </si>
  <si>
    <t>TAG Petunia Surprise Yellow 50/50 Petite Portrait DO FUL</t>
  </si>
  <si>
    <t>0611863702050</t>
  </si>
  <si>
    <t>TAG Petunia Sweet Surprise Purple Vein 50/50 Petite Portrait DO FUL</t>
  </si>
  <si>
    <t>0611863703050</t>
  </si>
  <si>
    <t>TAG Petunia Sweetunia Black Satin 50/50 Petite Portrait DO FUL</t>
  </si>
  <si>
    <t>0611863704050</t>
  </si>
  <si>
    <t>TAG Petunia Sweetunia Blueberry Ice 50/50 Petite Portrait DO FUL</t>
  </si>
  <si>
    <t>0611863705050</t>
  </si>
  <si>
    <t>TAG Petunia Sweetunia Bubblelou 50/50 Petite Portrait DO FUL</t>
  </si>
  <si>
    <t>0611863706050</t>
  </si>
  <si>
    <t>TAG Petunia Sweetunia Coral Flash 50/50 Petite Portrait DO FUL</t>
  </si>
  <si>
    <t>0611863707050</t>
  </si>
  <si>
    <t>TAG Petunia Sweetunia Fiona Flash 50/50 Petite Portrait DO FUL</t>
  </si>
  <si>
    <t>0611863708050</t>
  </si>
  <si>
    <t>TAG Petunia Sweetunia Hot Pink 50/50 Petite Portrait DO FUL</t>
  </si>
  <si>
    <t>0611863709050</t>
  </si>
  <si>
    <t>TAG Petunia Sweetunia Hot Pink Lemond 50/50 Petite Portrait DO FUL</t>
  </si>
  <si>
    <t>0611863710050</t>
  </si>
  <si>
    <t>TAG Petunia Sweetunia Hot Pink Touch 50/50 Petite Portrait DO FUL</t>
  </si>
  <si>
    <t>0611863711050</t>
  </si>
  <si>
    <t>TAG Petunia Sweetunia Hot Rod Red 50/50 Petite Portrait DO FUL</t>
  </si>
  <si>
    <t>0611863712050</t>
  </si>
  <si>
    <t>TAG Petunia Sweetunia Johnny Flame 50/50 Petite Portrait DO FUL</t>
  </si>
  <si>
    <t>0611863713050</t>
  </si>
  <si>
    <t>TAG Petunia Sweetunia Lavender Shimmer 50/50 Petite Portrait DO FUL</t>
  </si>
  <si>
    <t>0611863714050</t>
  </si>
  <si>
    <t>TAG Petunia Sweetunia Light Pink Touch 50/50 Petite Portrait DO FUL</t>
  </si>
  <si>
    <t>0611863715050</t>
  </si>
  <si>
    <t>TAG Petunia Sweetunia Miss Marvelous 50/50 Petite Portrait DO FUL</t>
  </si>
  <si>
    <t>0611863716050</t>
  </si>
  <si>
    <t>TAG Petunia Sweetunia Pink Lemonade 50/50 Petite Portrait DO FUL</t>
  </si>
  <si>
    <t>0611863717050</t>
  </si>
  <si>
    <t>TAG Petunia Sweetunia Pink Touch 50/50 Petite Portrait DO FUL</t>
  </si>
  <si>
    <t>0611884390050</t>
  </si>
  <si>
    <t>TAG Petunia Sweetunia Popcorn 50/50 Petite Portrait DO FUL</t>
  </si>
  <si>
    <t>0611863718050</t>
  </si>
  <si>
    <t>TAG Petunia Sweetunia Purple Spotlight 50/50 Petite Portrait DO FUL</t>
  </si>
  <si>
    <t>0611884391050</t>
  </si>
  <si>
    <t>TAG Petunia Sweetunia Purple Star 50/50 Petite Portrait DO FUL</t>
  </si>
  <si>
    <t>0611863719050</t>
  </si>
  <si>
    <t>TAG Petunia Sweetunia Purple Touch 50/50 Petite Portrait DO FUL</t>
  </si>
  <si>
    <t>0611863720050</t>
  </si>
  <si>
    <t>TAG Petunia Sweetunia Purple Vein 50/50 Petite Portrait DO FUL</t>
  </si>
  <si>
    <t>0611863721050</t>
  </si>
  <si>
    <t>TAG Petunia Sweetunia Raspberry Lemonade 50/50 Petite Portrait DO FUL</t>
  </si>
  <si>
    <t>0611863722050</t>
  </si>
  <si>
    <t>TAG Petunia Sweetunia Rose Shimmer 50/50 Petite Portrait DO FUL</t>
  </si>
  <si>
    <t>0611863723050</t>
  </si>
  <si>
    <t>TAG Petunia Sweetunia Strawberry Morning 50/50 Petite Portrait DO FUL</t>
  </si>
  <si>
    <t>0611863724050</t>
  </si>
  <si>
    <t>TAG Petunia Sweetunia Suzie Storm 50/50 Petite Portrait DO FUL</t>
  </si>
  <si>
    <t>0611863726050</t>
  </si>
  <si>
    <t>TAG Petunia Sweetunia White 50/50 Petite Portrait DO FUL</t>
  </si>
  <si>
    <t>0611838157100</t>
  </si>
  <si>
    <t>TAG Petunia Tea Series 100/100 Pixie Tag</t>
  </si>
  <si>
    <t>0611884392100</t>
  </si>
  <si>
    <t>TAG Petunia Titan Series 100/100 Pixie Tag</t>
  </si>
  <si>
    <t>0611838158100</t>
  </si>
  <si>
    <t>TAG Petunia Trilogy Series 100/100 Pixie Tag</t>
  </si>
  <si>
    <t>0611838159100</t>
  </si>
  <si>
    <t>TAG Petunia TriTunia Blue 100/100 Pixie Tag SF</t>
  </si>
  <si>
    <t>0611838160100</t>
  </si>
  <si>
    <t>TAG Petunia TriTunia Blue Star 100/100 Pixie Tag SF</t>
  </si>
  <si>
    <t>0611838161100</t>
  </si>
  <si>
    <t>TAG Petunia TriTunia Blue Veined 100/100 Pixie Tag SF</t>
  </si>
  <si>
    <t>0611838162100</t>
  </si>
  <si>
    <t>TAG Petunia TriTunia Burgundy 100/100 Pixie Tag SF</t>
  </si>
  <si>
    <t>0611838163100</t>
  </si>
  <si>
    <t>TAG Petunia TriTunia Cool Waters Mix 100/100 Pixie Tag SF</t>
  </si>
  <si>
    <t>0611838164100</t>
  </si>
  <si>
    <t>TAG Petunia TriTunia Crimson Star 100/100 Pixie Tag SF</t>
  </si>
  <si>
    <t>0611838165100</t>
  </si>
  <si>
    <t>TAG Petunia TriTunia Fresh White 100/100 Pixie Tag SF</t>
  </si>
  <si>
    <t>0611838166100</t>
  </si>
  <si>
    <t>TAG Petunia TriTunia Lavender 100/100 Pixie Tag SF</t>
  </si>
  <si>
    <t>0611838167100</t>
  </si>
  <si>
    <t>TAG Petunia TriTunia Mix 100/100 Pixie Tag SF</t>
  </si>
  <si>
    <t>0611838168100</t>
  </si>
  <si>
    <t>TAG Petunia TriTunia Pink 100/100 Pixie Tag SF</t>
  </si>
  <si>
    <t>0611838169100</t>
  </si>
  <si>
    <t>TAG Petunia TriTunia Pink Morn 100/100 Pixie Tag SF</t>
  </si>
  <si>
    <t>0611838170100</t>
  </si>
  <si>
    <t>TAG Petunia TriTunia Pink Veined 100/100 Pixie Tag SF</t>
  </si>
  <si>
    <t>0611838171100</t>
  </si>
  <si>
    <t>TAG Petunia TriTunia Plum 100/100 Pixie Tag SF</t>
  </si>
  <si>
    <t>0611838172100</t>
  </si>
  <si>
    <t>TAG Petunia TriTunia Purple 100/100 Pixie Tag SF</t>
  </si>
  <si>
    <t>0611838173100</t>
  </si>
  <si>
    <t>TAG Petunia TriTunia Purple Star 100/100 Pixie Tag SF</t>
  </si>
  <si>
    <t>0611838174100</t>
  </si>
  <si>
    <t>TAG Petunia TriTunia Red 100/100 Pixie Tag SF</t>
  </si>
  <si>
    <t>0611838175100</t>
  </si>
  <si>
    <t>TAG Petunia TriTunia Red Star 100/100 Pixie Tag SF</t>
  </si>
  <si>
    <t>0611838176100</t>
  </si>
  <si>
    <t>TAG Petunia TriTunia Rose 100/100 Pixie Tag SF</t>
  </si>
  <si>
    <t>0611838177100</t>
  </si>
  <si>
    <t>TAG Petunia TriTunia Rose Star 100/100 Pixie Tag SF</t>
  </si>
  <si>
    <t>0611838178100</t>
  </si>
  <si>
    <t>TAG Petunia TriTunia Salmon 100/100 Pixie Tag SF</t>
  </si>
  <si>
    <t>0611838179100</t>
  </si>
  <si>
    <t>TAG Petunia TriTunia Salmon Veined 100/100 Pixie Tag SF</t>
  </si>
  <si>
    <t>0611838180100</t>
  </si>
  <si>
    <t>TAG Petunia TriTunia Series 100/100 Pixie Tag SF</t>
  </si>
  <si>
    <t>0611838181100</t>
  </si>
  <si>
    <t>TAG Petunia TriTunia Sky Blue 100/100 Pixie Tag SF</t>
  </si>
  <si>
    <t>0611838182100</t>
  </si>
  <si>
    <t>TAG Petunia TriTunia Spirit Mix 100/100 Pixie Tag SF</t>
  </si>
  <si>
    <t>0611838183100</t>
  </si>
  <si>
    <t>TAG Petunia TriTunia Star Mix 100/100 Pixie Tag SF</t>
  </si>
  <si>
    <t>0611838184100</t>
  </si>
  <si>
    <t>TAG Petunia TriTunia Veined Mix 100/100 Pixie Tag SF</t>
  </si>
  <si>
    <t>0611838185100</t>
  </si>
  <si>
    <t>TAG Petunia TriTunia Violet 100/100 Pixie Tag SF</t>
  </si>
  <si>
    <t>0611838186100</t>
  </si>
  <si>
    <t>TAG Petunia TriTunia White 100/100 Pixie Tag SF</t>
  </si>
  <si>
    <t>0611884393100</t>
  </si>
  <si>
    <t>TAG Petunia Tumbelina Series 100/100 Pixie Tag</t>
  </si>
  <si>
    <t>0611838187100</t>
  </si>
  <si>
    <t>TAG Petunia Ultra Blue 100/100 Pixie Tag SF</t>
  </si>
  <si>
    <t>0611838188100</t>
  </si>
  <si>
    <t>TAG Petunia Ultra Blue Star 100/100 Pixie Tag SF</t>
  </si>
  <si>
    <t>0611838189100</t>
  </si>
  <si>
    <t>TAG Petunia Ultra Burgundy 100/100 Pixie Tag SF</t>
  </si>
  <si>
    <t>0611838190100</t>
  </si>
  <si>
    <t>TAG Petunia Ultra Crimson Star 100/100 Pixie Tag SF</t>
  </si>
  <si>
    <t>0611838191100</t>
  </si>
  <si>
    <t>TAG Petunia Ultra Lilac 100/100 Pixie Tag SF</t>
  </si>
  <si>
    <t>0611838192100</t>
  </si>
  <si>
    <t>TAG Petunia Ultra Mix 100/100 Pixie Tag SF</t>
  </si>
  <si>
    <t>0611838193100</t>
  </si>
  <si>
    <t>TAG Petunia Ultra Pink 100/100 Pixie Tag SF</t>
  </si>
  <si>
    <t>0611838194100</t>
  </si>
  <si>
    <t>TAG Petunia Ultra Red 100/100 Pixie Tag SF</t>
  </si>
  <si>
    <t>0611838195100</t>
  </si>
  <si>
    <t>TAG Petunia Ultra Red Star 100/100 Pixie Tag SF</t>
  </si>
  <si>
    <t>0611838198100</t>
  </si>
  <si>
    <t>TAG Petunia Ultra Sky Blue 100/100 Pixie Tag SF</t>
  </si>
  <si>
    <t>0611838200100</t>
  </si>
  <si>
    <t>TAG Petunia Ultra Violet 100/100 Pixie Tag SF</t>
  </si>
  <si>
    <t>0611838201100</t>
  </si>
  <si>
    <t>TAG Petunia Ultra White 100/100 Pixie Tag SF</t>
  </si>
  <si>
    <t>0611838202100</t>
  </si>
  <si>
    <t>TAG Petunia Valentine 100/100 Pixie Tag</t>
  </si>
  <si>
    <t>0611837644100</t>
  </si>
  <si>
    <t>TAG Petunia Veranda Compact Sugar Plum 100/100 Pixie Tag</t>
  </si>
  <si>
    <t>0611838207100</t>
  </si>
  <si>
    <t>TAG Petunia Veranda Rose Morn 100/100 Pixie Tag</t>
  </si>
  <si>
    <t>0611838209100</t>
  </si>
  <si>
    <t>TAG Petunia Veranda Series 100/100 Pixie Tag</t>
  </si>
  <si>
    <t>0611838212100</t>
  </si>
  <si>
    <t>TAG Petunia Wave Blue 100/100 Pixie Tag</t>
  </si>
  <si>
    <t>0611838214050</t>
  </si>
  <si>
    <t>TAG Petunia Wave Blue 50/50 Mini Portrait Tag</t>
  </si>
  <si>
    <t>0611838215100</t>
  </si>
  <si>
    <t>TAG Petunia Wave Carmine Velour 100/100 Pixie Tag</t>
  </si>
  <si>
    <t>0611838280100</t>
  </si>
  <si>
    <t>TAG Petunia Wave Lavender 100/100 Pixie Tag</t>
  </si>
  <si>
    <t>0611838282050</t>
  </si>
  <si>
    <t>TAG Petunia Wave Lavender 50/50 Mini Portrait Tag</t>
  </si>
  <si>
    <t>0611838283025</t>
  </si>
  <si>
    <t>TAG Petunia Wave Medley Mix 25/25 Portrait Tag</t>
  </si>
  <si>
    <t>0611838284100</t>
  </si>
  <si>
    <t>TAG Petunia Wave Misty Lilac 100/100 Pixie Tag</t>
  </si>
  <si>
    <t>0611838286050</t>
  </si>
  <si>
    <t>TAG Petunia Wave Misty Lilac 50/50 Mini Portrait Tag</t>
  </si>
  <si>
    <t>0611838287100</t>
  </si>
  <si>
    <t>TAG Petunia Wave Pink 100/100 Pixie Tag</t>
  </si>
  <si>
    <t>0611838288025</t>
  </si>
  <si>
    <t>TAG Petunia Wave Pink 25/25 Portrait Tag</t>
  </si>
  <si>
    <t>0611838289050</t>
  </si>
  <si>
    <t>TAG Petunia Wave Pink 50/50 Mini Portrait Tag</t>
  </si>
  <si>
    <t>0611838290100</t>
  </si>
  <si>
    <t>TAG Petunia Wave Purple 100/100 Pixie Tag</t>
  </si>
  <si>
    <t>0611838291050</t>
  </si>
  <si>
    <t>TAG Petunia Wave Purple 50/50 Mini Portrait Tag</t>
  </si>
  <si>
    <t>0611838292100</t>
  </si>
  <si>
    <t>TAG Petunia Wave Purple Classic 100/100 Hang Tag</t>
  </si>
  <si>
    <t>0611838293100</t>
  </si>
  <si>
    <t>TAG Petunia Wave Purple Classic 100/100 Pixie Tag</t>
  </si>
  <si>
    <t>0611838294025</t>
  </si>
  <si>
    <t>TAG Petunia Wave Purple Classic 25/25 Portrait Tag</t>
  </si>
  <si>
    <t>0611838295050</t>
  </si>
  <si>
    <t>TAG Petunia Wave Purple Classic 50/50 Mini Portrait Tag</t>
  </si>
  <si>
    <t>0611838296100</t>
  </si>
  <si>
    <t>TAG Petunia Wave Rose 100/100 Pixie Tag</t>
  </si>
  <si>
    <t>0611838299100</t>
  </si>
  <si>
    <t>TAG Petunia Wave Shock Coconut 100/100 Pixie Tag</t>
  </si>
  <si>
    <t>0611838300100</t>
  </si>
  <si>
    <t>TAG Petunia Wave Shock Coral Crush 100/100 Pixie Tag</t>
  </si>
  <si>
    <t>0611838301100</t>
  </si>
  <si>
    <t>TAG Petunia Wave Shock Deep Purple 100/100 Pixie Tag</t>
  </si>
  <si>
    <t>0611838303100</t>
  </si>
  <si>
    <t>TAG Petunia Wave Shock Denim 100/100 Pixie Tag</t>
  </si>
  <si>
    <t>0611838305100</t>
  </si>
  <si>
    <t>TAG Petunia Wave Shock Pink Shades 100/100 Pixie Tag</t>
  </si>
  <si>
    <t>0611838306100</t>
  </si>
  <si>
    <t>TAG Petunia Wave Shock Pink Vein 100/100 Pixie Tag</t>
  </si>
  <si>
    <t>0611838307100</t>
  </si>
  <si>
    <t>TAG Petunia Wave Shock Power Mix 100/100 Pixie Tag</t>
  </si>
  <si>
    <t>0611838309100</t>
  </si>
  <si>
    <t>TAG Petunia Wave Shock Purple 100/100 Pixie Tag</t>
  </si>
  <si>
    <t>0611838308100</t>
  </si>
  <si>
    <t>TAG Petunia Wave Shock Purple Tie Dye 100/100 Pixie Tag</t>
  </si>
  <si>
    <t>0611838310100</t>
  </si>
  <si>
    <t>TAG Petunia Wave Shock Red 100/100 Pixie Tag</t>
  </si>
  <si>
    <t>0611838312100</t>
  </si>
  <si>
    <t>TAG Petunia Wave Shock Rose 100/100 Pixie Tag</t>
  </si>
  <si>
    <t>0611838314100</t>
  </si>
  <si>
    <t>TAG Petunia Wave Shock Spark Mix 100/100 Pixie Tag</t>
  </si>
  <si>
    <t>0611838315100</t>
  </si>
  <si>
    <t>TAG Petunia Wave Shock Volt Mix 100/100 Pixie Tag</t>
  </si>
  <si>
    <t>0611838316100</t>
  </si>
  <si>
    <t>TAG Petunia Wave Shock White 100/100 Pixie Tag</t>
  </si>
  <si>
    <t>0611838317100</t>
  </si>
  <si>
    <t>TAG Petunia Wave Shock Yellow 100/100 Pixie Tag</t>
  </si>
  <si>
    <t>0611838318100</t>
  </si>
  <si>
    <t>TAG Petunia Wave Tidal Cherry 100/100 Pixie Tag</t>
  </si>
  <si>
    <t>0611838320100</t>
  </si>
  <si>
    <t>TAG Petunia Wave Tidal Hot Pink 100/100 Pixie Tag</t>
  </si>
  <si>
    <t>0611838321100</t>
  </si>
  <si>
    <t>TAG Petunia Wave Tidal Purple 100/100 Pixie Tag</t>
  </si>
  <si>
    <t>0611838322100</t>
  </si>
  <si>
    <t>TAG Petunia Wave Tidal Red Velour 100/100 Pixie Tag</t>
  </si>
  <si>
    <t>0611838323100</t>
  </si>
  <si>
    <t>TAG Petunia Wave Tidal Silver 100/100 Pixie Tag</t>
  </si>
  <si>
    <t>0611838324050</t>
  </si>
  <si>
    <t>TAG Petunia Wave Tidal Silver 50/50 Mini Portrait Tag</t>
  </si>
  <si>
    <t>0611838325100</t>
  </si>
  <si>
    <t>TAG Petunia White Bilingual 100/100 Pixie Tag</t>
  </si>
  <si>
    <t>0611838326100</t>
  </si>
  <si>
    <t>TAG Petunia White GENERIC 100/100 Pixie Tag</t>
  </si>
  <si>
    <t>0611838327100</t>
  </si>
  <si>
    <t>TAG Petunia Yellow GENERIC 100/100 Pixie Tag</t>
  </si>
  <si>
    <t>0611838328100</t>
  </si>
  <si>
    <t>TAG Petunia Zoom Purple 100/100 Pixie Tag</t>
  </si>
  <si>
    <t>0611857076100</t>
  </si>
  <si>
    <t>TAG Philodendron Blushing GENERIC 100/100 Pixie Tag</t>
  </si>
  <si>
    <t>0611838355100</t>
  </si>
  <si>
    <t>TAG Philodendron GENERIC 100/100 Pixie Tag</t>
  </si>
  <si>
    <t>0611838354100</t>
  </si>
  <si>
    <t>TAG Philodendron Heart Leaf 100/100 Hang Tag</t>
  </si>
  <si>
    <t>0611838356100</t>
  </si>
  <si>
    <t>TAG Phlox 21st Century Blue 100/100 Pixie Tag</t>
  </si>
  <si>
    <t>0611838358100</t>
  </si>
  <si>
    <t>TAG Phlox 21st Century Crimson 100/100 Pixie Tag</t>
  </si>
  <si>
    <t>0611838360100</t>
  </si>
  <si>
    <t>TAG Phlox 21st Century Mix 100/100 Pixie Tag</t>
  </si>
  <si>
    <t>0611838361100</t>
  </si>
  <si>
    <t>TAG Phlox 21st Century Patriot Mix 100/100 Pixie Tag</t>
  </si>
  <si>
    <t>0611838362100</t>
  </si>
  <si>
    <t>TAG Phlox 21st Century Pink 100/100 Pixie Tag</t>
  </si>
  <si>
    <t>0611838363100</t>
  </si>
  <si>
    <t>TAG Phlox 21st Century Scarlet 100/100 Pixie Tag</t>
  </si>
  <si>
    <t>0611838364100</t>
  </si>
  <si>
    <t>TAG Phlox 21st Century White 100/100 Pixie Tag</t>
  </si>
  <si>
    <t>0611863727100</t>
  </si>
  <si>
    <t>TAG Phlox Amazing Grace 100/100 Pixie Tag FUL</t>
  </si>
  <si>
    <t>0611838365025</t>
  </si>
  <si>
    <t>TAG Phlox Amazing Grace 25/25 Portrait Tag</t>
  </si>
  <si>
    <t>0611857077025</t>
  </si>
  <si>
    <t>TAG Phlox Baby Doll White 25/25 Portrait Tag</t>
  </si>
  <si>
    <t>0611838366025</t>
  </si>
  <si>
    <t>TAG Phlox Blue Boy 25/25 Portrait Tag</t>
  </si>
  <si>
    <t>0611838367100</t>
  </si>
  <si>
    <t>TAG Phlox Blue GENERIC 100/100 Pixie Tag</t>
  </si>
  <si>
    <t>0611863728100</t>
  </si>
  <si>
    <t>TAG Phlox Blue Moon 100/100 Pixie Tag FUL</t>
  </si>
  <si>
    <t>0611838369025</t>
  </si>
  <si>
    <t>TAG Phlox Blue Moon 25/25 Portrait Tag</t>
  </si>
  <si>
    <t>0611838370025</t>
  </si>
  <si>
    <t>TAG Phlox Blue Paradise 25/25 Portrait Tag</t>
  </si>
  <si>
    <t>0611838371025</t>
  </si>
  <si>
    <t>TAG Phlox Bright Eyes 25/25 Portrait Tag</t>
  </si>
  <si>
    <t>0611863729100</t>
  </si>
  <si>
    <t>TAG Phlox Candy Stripe 100/100 Pixie Tag FUL</t>
  </si>
  <si>
    <t>0611838372025</t>
  </si>
  <si>
    <t>TAG Phlox Candy Stripe 25/25 Portrait Tag</t>
  </si>
  <si>
    <t>0611863730050</t>
  </si>
  <si>
    <t>TAG Phlox Candy Stripe 50/50 Petite Portrait FUL</t>
  </si>
  <si>
    <t>0611863731050</t>
  </si>
  <si>
    <t>TAG Phlox Candy Stripes Moss 50/50 Petite Portrait FUL</t>
  </si>
  <si>
    <t>0611863733100</t>
  </si>
  <si>
    <t>TAG Phlox Chattahoochee 100/100 Pixie Tag FUL</t>
  </si>
  <si>
    <t>0611838374025</t>
  </si>
  <si>
    <t>TAG Phlox Chattahoochee 25/25 Portrait Tag</t>
  </si>
  <si>
    <t>0611863732050</t>
  </si>
  <si>
    <t>TAG Phlox Chattahoochee 50/50 Petite Portrait FUL</t>
  </si>
  <si>
    <t>0611838375025</t>
  </si>
  <si>
    <t>TAG Phlox Cherry Cream 25/25 Portrait Tag</t>
  </si>
  <si>
    <t>0611838376025</t>
  </si>
  <si>
    <t>TAG Phlox Coral Eye 25/25 Portrait Tag</t>
  </si>
  <si>
    <t>0611838377100</t>
  </si>
  <si>
    <t>TAG Phlox Creeping GENERIC 100/100 Pixie Tag</t>
  </si>
  <si>
    <t>0611838378025</t>
  </si>
  <si>
    <t>TAG Phlox Creeping GENERIC 25/25 Portrait Tag</t>
  </si>
  <si>
    <t>0611863734100</t>
  </si>
  <si>
    <t>TAG Phlox Crimson Beauty 100/100 Pixie Tag FUL</t>
  </si>
  <si>
    <t>0611838379025</t>
  </si>
  <si>
    <t>TAG Phlox Crimson Beauty 25/25 Portrait Tag</t>
  </si>
  <si>
    <t>0611863735050</t>
  </si>
  <si>
    <t>TAG Phlox Crimson Beauty 50/50 Petite Portrait FUL</t>
  </si>
  <si>
    <t>0611838380025</t>
  </si>
  <si>
    <t>TAG Phlox David 25/25 Portrait Tag</t>
  </si>
  <si>
    <t>0611863736100</t>
  </si>
  <si>
    <t>TAG Phlox Drummond's Pink 100/100 Pixie Tag FUL</t>
  </si>
  <si>
    <t>0611838382025</t>
  </si>
  <si>
    <t>TAG Phlox Drummond's Pink 25/25 Portrait Tag</t>
  </si>
  <si>
    <t>0611863737050</t>
  </si>
  <si>
    <t>TAG Phlox Drummond's Pink 50/50 Petite Portrait FUL</t>
  </si>
  <si>
    <t>0611857078025</t>
  </si>
  <si>
    <t>TAG Phlox Dwarf Hybrids GENERIC 25/25 Portrait Tag</t>
  </si>
  <si>
    <t>0611863738100</t>
  </si>
  <si>
    <t>TAG Phlox Early Blush Pop 100/100 Pixie Tag DO FUL</t>
  </si>
  <si>
    <t>0611863739100</t>
  </si>
  <si>
    <t>TAG Phlox Early Cerise 100/100 Pixie Tag DO FUL</t>
  </si>
  <si>
    <t>0611863740050</t>
  </si>
  <si>
    <t>TAG Phlox Early Cerise 50/50 Petite Portrait DO FUL</t>
  </si>
  <si>
    <t>0611863741100</t>
  </si>
  <si>
    <t>TAG Phlox Early Lavender Pop 100/100 Pixie Tag DO FUL</t>
  </si>
  <si>
    <t>0611863742100</t>
  </si>
  <si>
    <t>TAG Phlox Early Magenta 100/100 Pixie Tag DO FUL</t>
  </si>
  <si>
    <t>0611863743050</t>
  </si>
  <si>
    <t>TAG Phlox Early Magenta 50/50 Petite Portrait DO FUL</t>
  </si>
  <si>
    <t>0611863744100</t>
  </si>
  <si>
    <t>TAG Phlox Early Pink 100/100 Pixie Tag DO FUL</t>
  </si>
  <si>
    <t>0611863745050</t>
  </si>
  <si>
    <t>TAG Phlox Early Pink 50/50 Petite Portrait DO FUL</t>
  </si>
  <si>
    <t>0611863746100</t>
  </si>
  <si>
    <t>TAG Phlox Early Pink Candy 100/100 Pixie Tag DO FUL</t>
  </si>
  <si>
    <t>0611863747100</t>
  </si>
  <si>
    <t>TAG Phlox Early Pink Eye 100/100 Pixie Tag DO FUL</t>
  </si>
  <si>
    <t>0611863748050</t>
  </si>
  <si>
    <t>TAG Phlox Early Pink Eye 50/50 Petite Portrait DO FUL</t>
  </si>
  <si>
    <t>0611863749100</t>
  </si>
  <si>
    <t>TAG Phlox Early Purple Eye 100/100 Pixie Tag DO FUL</t>
  </si>
  <si>
    <t>0611863751100</t>
  </si>
  <si>
    <t>TAG Phlox Early Red 100/100 Pixie Tag DO FUL</t>
  </si>
  <si>
    <t>0611863752050</t>
  </si>
  <si>
    <t>TAG Phlox Early Red Limited Availability 50/50 Petite Tag DO</t>
  </si>
  <si>
    <t>0611863753100</t>
  </si>
  <si>
    <t>TAG Phlox Early White 100/100 Pixie Tag DO FUL</t>
  </si>
  <si>
    <t>0611838383100</t>
  </si>
  <si>
    <t>TAG Phlox Emerald Blue 100/100 Pixie Tag</t>
  </si>
  <si>
    <t>0611838384025</t>
  </si>
  <si>
    <t>TAG Phlox Emerald Blue 25/25 Portrait Tag</t>
  </si>
  <si>
    <t>0611863754050</t>
  </si>
  <si>
    <t>TAG Phlox Emerald Blue 50/50 Petite Portrait FUL</t>
  </si>
  <si>
    <t>0611863755100</t>
  </si>
  <si>
    <t>TAG Phlox Emerald Blue CN5344 100/100 Pixie Tag FUL</t>
  </si>
  <si>
    <t>0611838385025</t>
  </si>
  <si>
    <t>TAG Phlox Emerald Cushion Blue 25/25 Portrait Tag</t>
  </si>
  <si>
    <t>0611863756050</t>
  </si>
  <si>
    <t>TAG Phlox Emerald Cushion Blue 50/50 Petite Portrait FUL</t>
  </si>
  <si>
    <t>0611838386100</t>
  </si>
  <si>
    <t>TAG Phlox Emerald Pink 100/100 Pixie Tag</t>
  </si>
  <si>
    <t>0611838387025</t>
  </si>
  <si>
    <t>TAG Phlox Emerald Pink 25/25 Portrait Tag</t>
  </si>
  <si>
    <t>0611863757050</t>
  </si>
  <si>
    <t>TAG Phlox Emerald Pink 50/50 Petite Portrait FUL</t>
  </si>
  <si>
    <t>0611863758100</t>
  </si>
  <si>
    <t>TAG Phlox Emerald Pink CN5345 100/100 Pixie Tag FUL</t>
  </si>
  <si>
    <t>0611838388025</t>
  </si>
  <si>
    <t>TAG Phlox Eva Cullum 25/25 Portrait Tag</t>
  </si>
  <si>
    <t>0611838390025</t>
  </si>
  <si>
    <t>TAG Phlox Famous Coral 25/25 Portrait Tag</t>
  </si>
  <si>
    <t>0611838391025</t>
  </si>
  <si>
    <t>TAG Phlox Famous Light Pink 25/25 Portrait Tag</t>
  </si>
  <si>
    <t>0611838393025</t>
  </si>
  <si>
    <t>TAG Phlox Famous Magenta 25/25 Portrait Tag</t>
  </si>
  <si>
    <t>0611838394025</t>
  </si>
  <si>
    <t>TAG Phlox Famous Pink 25/25 Portrait Tag</t>
  </si>
  <si>
    <t>0611838399025</t>
  </si>
  <si>
    <t>TAG Phlox Flame Blue 25/25 Portrait Tag DO</t>
  </si>
  <si>
    <t>0611863759100</t>
  </si>
  <si>
    <t>TAG Phlox Flame Blue Limited Availability 100/100 Pixie Tag DO</t>
  </si>
  <si>
    <t>0611863760050</t>
  </si>
  <si>
    <t>TAG Phlox Flame Blue Limited Availability 50/50 Petite Tag DO</t>
  </si>
  <si>
    <t>0611863761100</t>
  </si>
  <si>
    <t>TAG Phlox Flame Coral 100/100 Pixie Tag DO FUL</t>
  </si>
  <si>
    <t>0611838401025</t>
  </si>
  <si>
    <t>TAG Phlox Flame Coral 25/25 Portrait Tag DO</t>
  </si>
  <si>
    <t>0611863762050</t>
  </si>
  <si>
    <t>TAG Phlox Flame Coral 50/50 Petite Portrait DO FUL</t>
  </si>
  <si>
    <t>0611863763100</t>
  </si>
  <si>
    <t>TAG Phlox Flame Light Blue 100/100 Pixie Tag DO FUL</t>
  </si>
  <si>
    <t>0611838402025</t>
  </si>
  <si>
    <t>TAG Phlox Flame Light Blue 25/25 Portrait Tag DO</t>
  </si>
  <si>
    <t>0611863764050</t>
  </si>
  <si>
    <t>TAG Phlox Flame Light Blue Limited Availability 50/50 Petite Tag DO</t>
  </si>
  <si>
    <t>0611863765100</t>
  </si>
  <si>
    <t>TAG Phlox Flame Light Pink 100/100 Pixie Tag DO FUL</t>
  </si>
  <si>
    <t>0611838403025</t>
  </si>
  <si>
    <t>TAG Phlox Flame Light Pink 25/25 Portrait Tag DO</t>
  </si>
  <si>
    <t>0611863766050</t>
  </si>
  <si>
    <t>TAG Phlox Flame Light Pink 50/50 Petite Portrait DO FUL</t>
  </si>
  <si>
    <t>0611863767100</t>
  </si>
  <si>
    <t>TAG Phlox Flame Lilac 100/100 Pixie Tag DO FUL</t>
  </si>
  <si>
    <t>0611838404025</t>
  </si>
  <si>
    <t>TAG Phlox Flame Lilac 25/25 Portrait Tag DO</t>
  </si>
  <si>
    <t>0611863768100</t>
  </si>
  <si>
    <t>TAG Phlox Flame Lilac Star 100/100 Pixie Tag DO FUL</t>
  </si>
  <si>
    <t>0611857079025</t>
  </si>
  <si>
    <t>TAG Phlox Flame Lilac Star 25/25 Portrait Tag DO</t>
  </si>
  <si>
    <t>0611838405025</t>
  </si>
  <si>
    <t>TAG Phlox Flame Marine 25/25 Portrait Tag DO</t>
  </si>
  <si>
    <t>0611863769100</t>
  </si>
  <si>
    <t>TAG Phlox Flame Pink 100/100 Pixie Tag DO FUL</t>
  </si>
  <si>
    <t>0611838406025</t>
  </si>
  <si>
    <t>TAG Phlox Flame Pink 25/25 Portrait Tag DO</t>
  </si>
  <si>
    <t>0611838407025</t>
  </si>
  <si>
    <t>TAG Phlox Flame Pink Eye 25/25 Portrait Tag DO</t>
  </si>
  <si>
    <t>0611863770100</t>
  </si>
  <si>
    <t>TAG Phlox Flame Pink Eye Limited Availability 100/100 Pixie Tag DO</t>
  </si>
  <si>
    <t>0611863771050</t>
  </si>
  <si>
    <t>TAG Phlox Flame Pink Eye Limited Availability 50/50 Petite Tag DO</t>
  </si>
  <si>
    <t>0611863772050</t>
  </si>
  <si>
    <t>TAG Phlox Flame Pink Limited Availability 50/50 Petite Tag DO</t>
  </si>
  <si>
    <t>0611863773100</t>
  </si>
  <si>
    <t>TAG Phlox Flame Pro Baby DO FULll 100/100 Pixie Tag DO FUL</t>
  </si>
  <si>
    <t>0611863774050</t>
  </si>
  <si>
    <t>TAG Phlox Flame Pro Baby DO FULll 50/50 Petite Portrait DO FUL</t>
  </si>
  <si>
    <t>0611863775100</t>
  </si>
  <si>
    <t>TAG Phlox Flame Pro Cerise 100/100 Pixie Tag DO FUL</t>
  </si>
  <si>
    <t>0611863776050</t>
  </si>
  <si>
    <t>TAG Phlox Flame Pro Cerise 50/50 Petite Portrait DO FUL</t>
  </si>
  <si>
    <t>0611863777100</t>
  </si>
  <si>
    <t>TAG Phlox Flame Pro Lilac 100/100 Pixie Tag DO FUL</t>
  </si>
  <si>
    <t>0611863778050</t>
  </si>
  <si>
    <t>TAG Phlox Flame Pro Lilac 50/50 Petite Portrait DO FUL</t>
  </si>
  <si>
    <t>0611863779100</t>
  </si>
  <si>
    <t>TAG Phlox Flame Pro Pink Pop 100/100 Pixie Tag DO FUL</t>
  </si>
  <si>
    <t>0611863780100</t>
  </si>
  <si>
    <t>TAG Phlox Flame Pro Purple 100/100 Pixie Tag DO FUL</t>
  </si>
  <si>
    <t>0611863781050</t>
  </si>
  <si>
    <t>TAG Phlox Flame Pro Purple 50/50 Petite Portrait DO FUL</t>
  </si>
  <si>
    <t>0611863782100</t>
  </si>
  <si>
    <t>TAG Phlox Flame Pro Violet Charme 100/100 Pixie Tag DO FUL</t>
  </si>
  <si>
    <t>0611863783100</t>
  </si>
  <si>
    <t>TAG Phlox Flame Purple 100/100 Pixie Tag DO FUL</t>
  </si>
  <si>
    <t>0611838409025</t>
  </si>
  <si>
    <t>TAG Phlox Flame Purple 25/25 Portrait Tag DO</t>
  </si>
  <si>
    <t>0611863784050</t>
  </si>
  <si>
    <t>TAG Phlox Flame Purple 50/50 Petite Portrait DO FUL</t>
  </si>
  <si>
    <t>0611863785100</t>
  </si>
  <si>
    <t>TAG Phlox Flame Purple Eye 100/100 Pixie Tag DO FUL</t>
  </si>
  <si>
    <t>0611838410025</t>
  </si>
  <si>
    <t>TAG Phlox Flame Purple Eye 25/25 Portrait Tag DO</t>
  </si>
  <si>
    <t>0611863786050</t>
  </si>
  <si>
    <t>TAG Phlox Flame Purple Eye 50/50 Petite Portrait DO FUL</t>
  </si>
  <si>
    <t>0611863787100</t>
  </si>
  <si>
    <t>TAG Phlox Flame Red 100/100 Pixie Tag DO FUL</t>
  </si>
  <si>
    <t>0611838411025</t>
  </si>
  <si>
    <t>TAG Phlox Flame Red 25/25 Portrait Tag DO</t>
  </si>
  <si>
    <t>0611863788050</t>
  </si>
  <si>
    <t>TAG Phlox Flame Ruby 50/50 Petite Portrait DO FUL</t>
  </si>
  <si>
    <t>0611838413025</t>
  </si>
  <si>
    <t>TAG Phlox Flame Violet 25/25 Portrait Tag DO</t>
  </si>
  <si>
    <t>0611863789050</t>
  </si>
  <si>
    <t>TAG Phlox Flame Violet 50/50 Petite Portrait DO FUL</t>
  </si>
  <si>
    <t>0611863790100</t>
  </si>
  <si>
    <t>TAG Phlox Flame Watermelon 100/100 Pixie Tag DO FUL</t>
  </si>
  <si>
    <t>0611857080025</t>
  </si>
  <si>
    <t>TAG Phlox Flame Watermelon 25/25 Portrait Tag DO</t>
  </si>
  <si>
    <t>0611863791100</t>
  </si>
  <si>
    <t>TAG Phlox Flame White 100/100 Pixie Tag DO FUL</t>
  </si>
  <si>
    <t>0611838414025</t>
  </si>
  <si>
    <t>TAG Phlox Flame White 25/25 Portrait Tag DO</t>
  </si>
  <si>
    <t>0611863792050</t>
  </si>
  <si>
    <t>TAG Phlox Flame White 50/50 Petite Portrait DO FUL</t>
  </si>
  <si>
    <t>0611863793100</t>
  </si>
  <si>
    <t>TAG Phlox Flame White Eye 100/100 Pixie Tag DO FUL</t>
  </si>
  <si>
    <t>0611838415025</t>
  </si>
  <si>
    <t>TAG Phlox Flame White Eye 25/25 Portrait Tag DO</t>
  </si>
  <si>
    <t>0611863794100</t>
  </si>
  <si>
    <t>TAG Phlox Fort Hill 100/100 Pixie Tag FUL</t>
  </si>
  <si>
    <t>0611838417025</t>
  </si>
  <si>
    <t>TAG Phlox Fort Hill 25/25 Portrait Tag</t>
  </si>
  <si>
    <t>0611863795050</t>
  </si>
  <si>
    <t>TAG Phlox Fort Hill 50/50 Petite Portrait FUL</t>
  </si>
  <si>
    <t>0611838418025</t>
  </si>
  <si>
    <t>TAG Phlox Franz Schubert 25/25 Portrait Tag</t>
  </si>
  <si>
    <t>0611884394025</t>
  </si>
  <si>
    <t>TAG Phlox Garden Girls Cover Girl 25/25 Portrait Tag</t>
  </si>
  <si>
    <t>0611884395025</t>
  </si>
  <si>
    <t>TAG Phlox Garden Girls Fancy Girl 25/25 Portrait Tag</t>
  </si>
  <si>
    <t>0611884396025</t>
  </si>
  <si>
    <t>TAG Phlox Garden Girls Glamour Girl 25/25 Portrait Tag</t>
  </si>
  <si>
    <t>0611884397025</t>
  </si>
  <si>
    <t>TAG Phlox Garden Girls Material Girl 25/25 Portrait Tag</t>
  </si>
  <si>
    <t>0611884398025</t>
  </si>
  <si>
    <t>TAG Phlox Garden Girls Party Girl 25/25 Portrait Tag</t>
  </si>
  <si>
    <t>0611884399025</t>
  </si>
  <si>
    <t>TAG Phlox Garden Girls Uptown Girl 25/25 Portrait Tag</t>
  </si>
  <si>
    <t>0611838419025</t>
  </si>
  <si>
    <t>TAG Phlox Garden Phlox GENERIC 25/25 Portrait Tag</t>
  </si>
  <si>
    <t>0611838420025</t>
  </si>
  <si>
    <t>TAG Phlox Goldiphlox Cherry 25/25 Portrait Tag</t>
  </si>
  <si>
    <t>0611863796050</t>
  </si>
  <si>
    <t>TAG Phlox Goldiphlox Cherry 50/50 Petite Portrait FUL</t>
  </si>
  <si>
    <t>0611884400025</t>
  </si>
  <si>
    <t>TAG Phlox GoldiPhlox Lavender Eye 25/25 Portrait Tag</t>
  </si>
  <si>
    <t>0611838421025</t>
  </si>
  <si>
    <t>TAG Phlox Goldiphlox Light Blue 25/25 Portrait Tag</t>
  </si>
  <si>
    <t>0611863797050</t>
  </si>
  <si>
    <t>TAG Phlox Goldiphlox Light Blue 50/50 Petite Portrait FUL</t>
  </si>
  <si>
    <t>0611884401025</t>
  </si>
  <si>
    <t>TAG Phlox GoldiPhlox Light Pink 25/25 Portrait Tag</t>
  </si>
  <si>
    <t>0611838422025</t>
  </si>
  <si>
    <t>TAG Phlox Goldiphlox Pink 25/25 Portrait Tag</t>
  </si>
  <si>
    <t>0611863798050</t>
  </si>
  <si>
    <t>TAG Phlox Goldiphlox Pink 50/50 Petite Portrait FUL</t>
  </si>
  <si>
    <t>0611838423025</t>
  </si>
  <si>
    <t>TAG Phlox Goldiphlox Rose 25/25 Portrait Tag</t>
  </si>
  <si>
    <t>0611863799050</t>
  </si>
  <si>
    <t>TAG Phlox Goldiphlox Rose 50/50 Petite Portrait FUL</t>
  </si>
  <si>
    <t>0611838424025</t>
  </si>
  <si>
    <t>TAG Phlox Goldiphlox White 25/25 Portrait Tag</t>
  </si>
  <si>
    <t>0611863800050</t>
  </si>
  <si>
    <t>TAG Phlox Goldiphlox White 50/50 Petite Portrait FUL</t>
  </si>
  <si>
    <t>0611838425025</t>
  </si>
  <si>
    <t>TAG Phlox Ka Pow Lavender 25/25 Portrait Tag</t>
  </si>
  <si>
    <t>0611838426025</t>
  </si>
  <si>
    <t>TAG Phlox Ka Pow Pink 25/25 Portrait Tag</t>
  </si>
  <si>
    <t>0611838427025</t>
  </si>
  <si>
    <t>TAG Phlox Ka Pow Purple 25/25 Portrait Tag</t>
  </si>
  <si>
    <t>0611838428025</t>
  </si>
  <si>
    <t>TAG Phlox Ka Pow Soft Pink 25/25 Portrait Tag</t>
  </si>
  <si>
    <t>0611838429025</t>
  </si>
  <si>
    <t>TAG Phlox Ka Pow White 25/25 Portrait Tag</t>
  </si>
  <si>
    <t>0611838430025</t>
  </si>
  <si>
    <t>TAG Phlox Ka Pow White Bicolor 25/25 Portrait Tag</t>
  </si>
  <si>
    <t>0611838431025</t>
  </si>
  <si>
    <t>TAG Phlox Laura 25/25 Portrait Tag</t>
  </si>
  <si>
    <t>0611863801050</t>
  </si>
  <si>
    <t>TAG Phlox Laura 50/50 Petite Portrait FUL</t>
  </si>
  <si>
    <t>0611863802100</t>
  </si>
  <si>
    <t>TAG Phlox May Breeze 100/100 Pixie Tag FUL</t>
  </si>
  <si>
    <t>0611838432025</t>
  </si>
  <si>
    <t>TAG Phlox May Breeze 25/25 Portrait Tag</t>
  </si>
  <si>
    <t>0611838433025</t>
  </si>
  <si>
    <t>TAG Phlox McDaniel's Cushion 25/25 Portrait Tag</t>
  </si>
  <si>
    <t>0611838435025</t>
  </si>
  <si>
    <t>TAG Phlox Nicky 25/25 Portrait Tag</t>
  </si>
  <si>
    <t>0611838436025</t>
  </si>
  <si>
    <t>TAG Phlox Nora Leigh 25/25 Portrait Tag</t>
  </si>
  <si>
    <t>0611863803050</t>
  </si>
  <si>
    <t>TAG Phlox Peacock Cherry Red 50/50 Petite Portrait FUL</t>
  </si>
  <si>
    <t>0611863804050</t>
  </si>
  <si>
    <t>TAG Phlox Peacock White 50/50 Petite Portrait FUL</t>
  </si>
  <si>
    <t>0611838437100</t>
  </si>
  <si>
    <t>TAG Phlox Phlox GENERIC 100/100 Pixie Tag</t>
  </si>
  <si>
    <t>0611838438025</t>
  </si>
  <si>
    <t>TAG Phlox Phlox Trot Pink 25/25 Portrait Tag SF</t>
  </si>
  <si>
    <t>0611857081100</t>
  </si>
  <si>
    <t>TAG Phlox Phloxstar Magenta 100/100 Pixie Tag</t>
  </si>
  <si>
    <t>0611838439100</t>
  </si>
  <si>
    <t>TAG Phlox Phloxstar Red 100/100 Pixie Tag</t>
  </si>
  <si>
    <t>0611838440100</t>
  </si>
  <si>
    <t>TAG Phlox Phloxstar White 100/100 Pixie Tag</t>
  </si>
  <si>
    <t>0611863805050</t>
  </si>
  <si>
    <t>TAG Phlox Phloxy Lady Cherry Red 50/50 Petite Portrait FUL</t>
  </si>
  <si>
    <t>0611863806050</t>
  </si>
  <si>
    <t>TAG Phlox Phloxy Lady Hot Pink 50/50 Petite Portrait FUL</t>
  </si>
  <si>
    <t>0611863807050</t>
  </si>
  <si>
    <t>TAG Phlox Phloxy Lady Purple 50/50 Petite Portrait FUL</t>
  </si>
  <si>
    <t>0611863808050</t>
  </si>
  <si>
    <t>TAG Phlox Phloxy Lady Purple Sky 50/50 Petite Portrait FUL</t>
  </si>
  <si>
    <t>0611863809050</t>
  </si>
  <si>
    <t>TAG Phlox Phloxy Lady White 50/50 Petite Portrait FUL</t>
  </si>
  <si>
    <t>0611838441100</t>
  </si>
  <si>
    <t>TAG Phlox Pink GENERIC 100/100 Pixie Tag</t>
  </si>
  <si>
    <t>0611838446100</t>
  </si>
  <si>
    <t>TAG Phlox Popstars Deep Blue 100/100 Pixie Tag SF</t>
  </si>
  <si>
    <t>0611838447100</t>
  </si>
  <si>
    <t>TAG Phlox Popstars Mix 100/100 Pixie Tag SF</t>
  </si>
  <si>
    <t>0611838449100</t>
  </si>
  <si>
    <t>TAG Phlox Popstars Purple 100/100 Pixie Tag SF</t>
  </si>
  <si>
    <t>0611838448100</t>
  </si>
  <si>
    <t>TAG Phlox Popstars Purple With Eye 100/100 Pixie Tag SF</t>
  </si>
  <si>
    <t>0611838450100</t>
  </si>
  <si>
    <t>TAG Phlox Popstars Red 100/100 Pixie Tag SF</t>
  </si>
  <si>
    <t>0611838451100</t>
  </si>
  <si>
    <t>TAG Phlox Popstars Rose With Eye 100/100 Pixie Tag SF</t>
  </si>
  <si>
    <t>0611838453025</t>
  </si>
  <si>
    <t>TAG Phlox Purple Beauty 25/25 Portrait Tag</t>
  </si>
  <si>
    <t>0611863810050</t>
  </si>
  <si>
    <t>TAG Phlox Purple Beauty 50/50 Petite Portrait FUL</t>
  </si>
  <si>
    <t>0611863811100</t>
  </si>
  <si>
    <t>TAG Phlox Red Wings 100/100 Pixie Tag FUL</t>
  </si>
  <si>
    <t>0611838454025</t>
  </si>
  <si>
    <t>TAG Phlox Red Wings 25/25 Portrait Tag</t>
  </si>
  <si>
    <t>0611863812050</t>
  </si>
  <si>
    <t>TAG Phlox Red Wings 50/50 Petite Portrait FUL</t>
  </si>
  <si>
    <t>0611838455025</t>
  </si>
  <si>
    <t>TAG Phlox Ronsdorfer Beauty 25/25 Portrait Tag</t>
  </si>
  <si>
    <t>0611863813100</t>
  </si>
  <si>
    <t>TAG Phlox Scarlet Flame 100/100 Pixie Tag FUL</t>
  </si>
  <si>
    <t>0611838456025</t>
  </si>
  <si>
    <t>TAG Phlox Scarlet Flame 25/25 Portrait Tag</t>
  </si>
  <si>
    <t>0611863814050</t>
  </si>
  <si>
    <t>TAG Phlox Scarlet Flame 50/50 Petite Portrait FUL</t>
  </si>
  <si>
    <t>0611863815050</t>
  </si>
  <si>
    <t>TAG Phlox Scarlet Flame CR4431 50/50 Petite Portrait FUL</t>
  </si>
  <si>
    <t>0611838457025</t>
  </si>
  <si>
    <t>TAG Phlox Sherwood Purple 25/25 Portrait Tag</t>
  </si>
  <si>
    <t>0611838458100</t>
  </si>
  <si>
    <t>TAG Phlox Snowflake 100/100 Pixie Tag</t>
  </si>
  <si>
    <t>0611838459025</t>
  </si>
  <si>
    <t>TAG Phlox Snowflake 25/25 Portrait Tag</t>
  </si>
  <si>
    <t>0611863816100</t>
  </si>
  <si>
    <t>TAG Phlox Spring Blue 100/100 Pixie Tag DO FUL</t>
  </si>
  <si>
    <t>0611863817100</t>
  </si>
  <si>
    <t>TAG Phlox Spring Dark Pink 100/100 Pixie Tag DO FUL</t>
  </si>
  <si>
    <t>0611863818050</t>
  </si>
  <si>
    <t>TAG Phlox Spring Dark Pink Limited Availability 50/50 Petite Tag DO</t>
  </si>
  <si>
    <t>0611863819100</t>
  </si>
  <si>
    <t>TAG Phlox Spring Hot Pink 100/100 Pixie Tag DO FUL</t>
  </si>
  <si>
    <t>0611863820050</t>
  </si>
  <si>
    <t>TAG Phlox Spring Hot Pink Limited Availability 50/50 Petite Tag DO</t>
  </si>
  <si>
    <t>0611863821100</t>
  </si>
  <si>
    <t>TAG Phlox Spring Lavender 100/100 Pixie Tag DO FUL</t>
  </si>
  <si>
    <t>0611863822050</t>
  </si>
  <si>
    <t>TAG Phlox Spring Lavender Limited Availability 50/50 Petite Tag DO</t>
  </si>
  <si>
    <t>0611863823100</t>
  </si>
  <si>
    <t>TAG Phlox Spring Light Pink 100/100 Pixie Tag DO FUL</t>
  </si>
  <si>
    <t>0611863824050</t>
  </si>
  <si>
    <t>TAG Phlox Spring Light Pink Limited Availability 50/50 Petite Tag DO</t>
  </si>
  <si>
    <t>0611863825100</t>
  </si>
  <si>
    <t>TAG Phlox Spring Lilac 100/100 Pixie Tag DO FUL</t>
  </si>
  <si>
    <t>0611863826050</t>
  </si>
  <si>
    <t>TAG Phlox Spring Lilac Limited Availability 50/50 Petite Tag DO</t>
  </si>
  <si>
    <t>0611863827100</t>
  </si>
  <si>
    <t>TAG Phlox Spring Pink 100/100 Pixie Tag DO FUL</t>
  </si>
  <si>
    <t>0611863828100</t>
  </si>
  <si>
    <t>TAG Phlox Spring Pink Dark Eye 100/100 Pixie Tag DO FUL</t>
  </si>
  <si>
    <t>0611863829100</t>
  </si>
  <si>
    <t>TAG Phlox Spring Purple 100/100 Pixie Tag DO FUL</t>
  </si>
  <si>
    <t>0611863830050</t>
  </si>
  <si>
    <t>TAG Phlox Spring Purple Limited Availability 50/50 Petite Portrait DO FUL</t>
  </si>
  <si>
    <t>0611863831100</t>
  </si>
  <si>
    <t>TAG Phlox Spring Scarlet 100/100 Pixie Tag DO FUL</t>
  </si>
  <si>
    <t>0611863832100</t>
  </si>
  <si>
    <t>TAG Phlox Spring Soft Pink 100/100 Pixie Tag DO FUL</t>
  </si>
  <si>
    <t>0611838461100</t>
  </si>
  <si>
    <t>TAG Phlox Spring White 100/100 Pixie Tag DO</t>
  </si>
  <si>
    <t>0611863833100</t>
  </si>
  <si>
    <t>TAG Phlox Spring White CN5339 100/100 Pixie Tag DO FUL</t>
  </si>
  <si>
    <t>0611863834050</t>
  </si>
  <si>
    <t>TAG Phlox Spring White Limited Availability 50/50 Petite Portrait DO FUL</t>
  </si>
  <si>
    <t>0611838462025</t>
  </si>
  <si>
    <t>TAG Phlox Starfire 25/25 Portrait Tag</t>
  </si>
  <si>
    <t>0611838463025</t>
  </si>
  <si>
    <t>TAG Phlox Super Ka-Pow Blue 25/25 Portrait Tag</t>
  </si>
  <si>
    <t>0611838464025</t>
  </si>
  <si>
    <t>TAG Phlox Super Ka-Pow Coral 25/25 Portrait Tag</t>
  </si>
  <si>
    <t>0611838465025</t>
  </si>
  <si>
    <t>TAG Phlox Super Ka-Pow Fuchsia 25/25 Portrait Tag</t>
  </si>
  <si>
    <t>0611838466025</t>
  </si>
  <si>
    <t>TAG Phlox Super Ka-Pow Lavender 25/25 Portrait Tag</t>
  </si>
  <si>
    <t>0611838467025</t>
  </si>
  <si>
    <t>TAG Phlox Super Ka-Pow Pink 25/25 Portrait Tag</t>
  </si>
  <si>
    <t>0611838468025</t>
  </si>
  <si>
    <t>TAG Phlox Super Ka-Pow White 25/25 Portrait Tag</t>
  </si>
  <si>
    <t>0611863835050</t>
  </si>
  <si>
    <t>TAG Phlox Sweet Seduction Blue 50/50 Petite Portrait FUL</t>
  </si>
  <si>
    <t>0611863836050</t>
  </si>
  <si>
    <t>TAG Phlox Sweet Seduction Pink 50/50 Petite Portrait FUL</t>
  </si>
  <si>
    <t>0611884402025</t>
  </si>
  <si>
    <t>TAG Phlox Sweet Summer Compact Purple Bicolor 25/25 Portrait Tag</t>
  </si>
  <si>
    <t>0611838469025</t>
  </si>
  <si>
    <t>TAG Phlox Sweet Summer Dream 25/25 Portrait Tag SF</t>
  </si>
  <si>
    <t>0611863837050</t>
  </si>
  <si>
    <t>TAG Phlox Sweet Summer Dream Orange Rose 50/50 Petite Portrait SF FUL</t>
  </si>
  <si>
    <t>0611838470025</t>
  </si>
  <si>
    <t>TAG Phlox Sweet Summer Fantasy 25/25 Portrait Tag SF</t>
  </si>
  <si>
    <t>0611863838050</t>
  </si>
  <si>
    <t>TAG Phlox Sweet Summer Fantasy 50/50 Petite Portrait SF FUL</t>
  </si>
  <si>
    <t>0611863839050</t>
  </si>
  <si>
    <t>TAG Phlox Sweet Summer Fantasy Purple Bicolor 50/50 Petite Portrait SF FUL</t>
  </si>
  <si>
    <t>0611838471025</t>
  </si>
  <si>
    <t>TAG Phlox Sweet Summer Festival 25/25 Portrait Tag SF</t>
  </si>
  <si>
    <t>0611863840050</t>
  </si>
  <si>
    <t>TAG Phlox Sweet Summer Festival Rose With Dark Eye 50/50 Petite Portrait SF FUL</t>
  </si>
  <si>
    <t>0611838472025</t>
  </si>
  <si>
    <t>TAG Phlox Sweet Summer Fireball 25/25 Portrait Tag SF</t>
  </si>
  <si>
    <t>0611838473025</t>
  </si>
  <si>
    <t>TAG Phlox Sweet Summer Lilac Wink 25/25 Portrait Tag SF</t>
  </si>
  <si>
    <t>0611863841050</t>
  </si>
  <si>
    <t>TAG Phlox Sweet Summer Lilac Wink Garden 50/50 Petite Portrait SF FUL</t>
  </si>
  <si>
    <t>0611838474025</t>
  </si>
  <si>
    <t>TAG Phlox Sweet Summer Pink Wink 25/25 Portrait Tag SF</t>
  </si>
  <si>
    <t>0611863842050</t>
  </si>
  <si>
    <t>TAG Phlox Sweet Summer Pink Wink Garden 50/50 Petite Portrait SF FUL</t>
  </si>
  <si>
    <t>0611838475025</t>
  </si>
  <si>
    <t>TAG Phlox Sweet Summer Queen 25/25 Portrait Tag SF</t>
  </si>
  <si>
    <t>0611863843050</t>
  </si>
  <si>
    <t>TAG Phlox Sweet Summer Queen Salmon Orange 50/50 Petite Portrait SF FUL</t>
  </si>
  <si>
    <t>0611863844050</t>
  </si>
  <si>
    <t>TAG Phlox Sweet Summer Red 50/50 Petite Portrait SF FUL</t>
  </si>
  <si>
    <t>0611838476025</t>
  </si>
  <si>
    <t>TAG Phlox Sweet Summer Rose 25/25 Portrait Tag SF</t>
  </si>
  <si>
    <t>0611863845050</t>
  </si>
  <si>
    <t>TAG Phlox Sweet Summer Rose 50/50 Petite Portrait SF FUL</t>
  </si>
  <si>
    <t>0611838477025</t>
  </si>
  <si>
    <t>TAG Phlox Sweet Summer Sensation 25/25 Portrait Tag SF</t>
  </si>
  <si>
    <t>0611863846050</t>
  </si>
  <si>
    <t>TAG Phlox Sweet Summer Sensation Soft Pink 50/50 Petite Portrait SF FUL</t>
  </si>
  <si>
    <t>0611838478025</t>
  </si>
  <si>
    <t>TAG Phlox Sweet Summer Snow 25/25 Portrait Tag SF</t>
  </si>
  <si>
    <t>0611863847050</t>
  </si>
  <si>
    <t>TAG Phlox Sweet Summer Snow White 50/50 Petite Portrait SF FUL</t>
  </si>
  <si>
    <t>0611863848050</t>
  </si>
  <si>
    <t>TAG Phlox Sweet Summer Surpris Violet White 50/50 Petite Portrait SF FUL</t>
  </si>
  <si>
    <t>0611838479025</t>
  </si>
  <si>
    <t>TAG Phlox Sweet Summer Surprise 25/25 Portrait Tag SF</t>
  </si>
  <si>
    <t>0611863849050</t>
  </si>
  <si>
    <t>TAG Phlox Trot Pink 50/50 Petite Portrait SF FUL</t>
  </si>
  <si>
    <t>0611838480025</t>
  </si>
  <si>
    <t>TAG Phlox Violet Pinwheels 25/25 Portrait Tag</t>
  </si>
  <si>
    <t>0611838481025</t>
  </si>
  <si>
    <t>TAG Phlox White Delight 25/25 Portrait Tag</t>
  </si>
  <si>
    <t>0611838482025</t>
  </si>
  <si>
    <t>TAG Phlox White GENERIC 25/25 Portrait Tag</t>
  </si>
  <si>
    <t>0611863850100</t>
  </si>
  <si>
    <t>TAG Phlox Woodlander Lilac 100/100 Pixie Tag DO FUL</t>
  </si>
  <si>
    <t>0611863851050</t>
  </si>
  <si>
    <t>TAG Phlox Woodlander Lilac 50/50 Petite Portrait DO FUL</t>
  </si>
  <si>
    <t>0611863852100</t>
  </si>
  <si>
    <t>TAG Phlox Woodlander Pink 100/100 Pixie Tag DO FUL</t>
  </si>
  <si>
    <t>0611863853050</t>
  </si>
  <si>
    <t>TAG Phlox Woodlander Pink 50/50 Petite Portrait DO FUL</t>
  </si>
  <si>
    <t>0611863854100</t>
  </si>
  <si>
    <t>TAG Phlox Woodlander Rose 100/100 Pixie Tag DO FUL</t>
  </si>
  <si>
    <t>0611863855050</t>
  </si>
  <si>
    <t>TAG Phlox Woodlander Rose 50/50 Petite Portrait DO FUL</t>
  </si>
  <si>
    <t>0611863856100</t>
  </si>
  <si>
    <t>TAG Phlox Woodlander White 100/100 Pixie Tag DO FUL</t>
  </si>
  <si>
    <t>0611863857050</t>
  </si>
  <si>
    <t>TAG Phlox Woodlander White 50/50 Petite Portrait DO FUL</t>
  </si>
  <si>
    <t>0611838483100</t>
  </si>
  <si>
    <t>TAG Physalis Chinese Lantern GENERIC 100/100 Pixie Tag</t>
  </si>
  <si>
    <t>0611838484025</t>
  </si>
  <si>
    <t>TAG Physalis Chinese Lantern GENERIC 25/25 Portrait Tag</t>
  </si>
  <si>
    <t>0611838485100</t>
  </si>
  <si>
    <t>TAG Physalis Super Verde 100/100 Pixie Tag</t>
  </si>
  <si>
    <t>0611838486100</t>
  </si>
  <si>
    <t>TAG Physalis Tomatillo GENERIC 100/100 Pixie Tag</t>
  </si>
  <si>
    <t>0611857082025</t>
  </si>
  <si>
    <t>TAG Physostegia Autumn Carnival 25/25 Portrait Tag</t>
  </si>
  <si>
    <t>0611838487025</t>
  </si>
  <si>
    <t>TAG Physostegia Crown Rose 25/25 Portrait Tag</t>
  </si>
  <si>
    <t>0611838489025</t>
  </si>
  <si>
    <t>TAG Physostegia Crystal Peak 25/25 Portrait Tag</t>
  </si>
  <si>
    <t>0611838490100</t>
  </si>
  <si>
    <t>TAG Pilea Cadierei 100/100 Pixie Tag</t>
  </si>
  <si>
    <t>0611884403100</t>
  </si>
  <si>
    <t>TAG Pilea Creeping 100/100 Pixie Tag</t>
  </si>
  <si>
    <t>0611838491100</t>
  </si>
  <si>
    <t>TAG Pilea Creeping Charlie 100/100 Pixie Tag</t>
  </si>
  <si>
    <t>0611884404100</t>
  </si>
  <si>
    <t>TAG Pilea Gray Baby's Tears 100/100 Pixie Tag</t>
  </si>
  <si>
    <t>0611838492100</t>
  </si>
  <si>
    <t>TAG Pilea Microphylla 100/100 Pixie Tag</t>
  </si>
  <si>
    <t>0611863858100</t>
  </si>
  <si>
    <t>TAG Pilea Palus Creeping 100/100 Pixie Tag</t>
  </si>
  <si>
    <t>0611863859100</t>
  </si>
  <si>
    <t>TAG Pilea Pantano Creeping 100/100 Pixie Tag</t>
  </si>
  <si>
    <t>0611838493100</t>
  </si>
  <si>
    <t>TAG Pilea Peperomioides 100/100 Pixie Tag</t>
  </si>
  <si>
    <t>0611838494100</t>
  </si>
  <si>
    <t>TAG Pilea Pilea GENERIC 100/100 Pixie Tag</t>
  </si>
  <si>
    <t>0611831036100</t>
  </si>
  <si>
    <t>TAG Pine Norfolk Island Araucaria 100/100 Pixie Tag</t>
  </si>
  <si>
    <t>0611838505025</t>
  </si>
  <si>
    <t>TAG Platycodon Astra Blue 25/25 Portrait Tag</t>
  </si>
  <si>
    <t>0611838506025</t>
  </si>
  <si>
    <t>TAG Platycodon Astra Light Pink 25/25 Portrait Tag</t>
  </si>
  <si>
    <t>0611838507025</t>
  </si>
  <si>
    <t>TAG Platycodon Astra Pink 25/25 Portrait Tag</t>
  </si>
  <si>
    <t>0611838508025</t>
  </si>
  <si>
    <t>TAG Platycodon Astra Semi Double Blue 25/25 Portrait Tag</t>
  </si>
  <si>
    <t>0611838509025</t>
  </si>
  <si>
    <t>TAG Platycodon Astra Semi Double Pink 25/25 Portrait Tag</t>
  </si>
  <si>
    <t>0611838510025</t>
  </si>
  <si>
    <t>TAG Platycodon Astra Semi Double White 25/25 Portrait Tag</t>
  </si>
  <si>
    <t>0611838511025</t>
  </si>
  <si>
    <t>TAG Platycodon Astra White 25/25 Portrait Tag</t>
  </si>
  <si>
    <t>0611838512100</t>
  </si>
  <si>
    <t>TAG Platycodon Balloon Flower GENERIC 100/100 Pixie Tag</t>
  </si>
  <si>
    <t>0611838515025</t>
  </si>
  <si>
    <t>TAG Platycodon Pop Star Blue 25/25 Portrait Tag</t>
  </si>
  <si>
    <t>0611838517025</t>
  </si>
  <si>
    <t>TAG Platycodon Pop Star Pink 25/25 Portrait Tag</t>
  </si>
  <si>
    <t>0611838518025</t>
  </si>
  <si>
    <t>TAG Platycodon Pop Star White 25/25 Portrait Tag</t>
  </si>
  <si>
    <t>0611838519100</t>
  </si>
  <si>
    <t>TAG Platycodon Sentimental Blue 100/100 Pixie Tag</t>
  </si>
  <si>
    <t>0611838520025</t>
  </si>
  <si>
    <t>TAG Platycodon Sentimental Blue 25/25 Portrait Tag</t>
  </si>
  <si>
    <t>0611838521025</t>
  </si>
  <si>
    <t>TAG Platycodon Twinkle Blue 25/25 Portrait Tag SF</t>
  </si>
  <si>
    <t>0611857083025</t>
  </si>
  <si>
    <t>TAG Platycodon Twinkle White 25/25 Portrait Tag SF</t>
  </si>
  <si>
    <t>0611838522100</t>
  </si>
  <si>
    <t>TAG Plectranthus Australis Swedish Ivy 100/100 Hang Tag</t>
  </si>
  <si>
    <t>0611838523100</t>
  </si>
  <si>
    <t>TAG Plectranthus Australis Swedish Ivy 100/100 Pixie Tag</t>
  </si>
  <si>
    <t>0611863860050</t>
  </si>
  <si>
    <t>TAG Plectranthus Coleoides 50/50 Petite Portrait FUL</t>
  </si>
  <si>
    <t>0611838524100</t>
  </si>
  <si>
    <t>TAG Plectranthus Flowering Hybrids GENERIC 100/100 Pixie Tag</t>
  </si>
  <si>
    <t>0611838525100</t>
  </si>
  <si>
    <t>TAG Plectranthus Golden 100/100 Pixie Tag</t>
  </si>
  <si>
    <t>0611838526100</t>
  </si>
  <si>
    <t>TAG Plectranthus Green 100/100 Pixie Tag</t>
  </si>
  <si>
    <t>0611838527100</t>
  </si>
  <si>
    <t>TAG Plectranthus Guacamole 100/100 Pixie Tag</t>
  </si>
  <si>
    <t>0611863861050</t>
  </si>
  <si>
    <t>TAG Plectranthus Guacamole 50/50 Petite Portrait FUL</t>
  </si>
  <si>
    <t>0611838528100</t>
  </si>
  <si>
    <t>TAG Plectranthus Iboza GENERIC 100/100 Pixie Tag</t>
  </si>
  <si>
    <t>0611838529100</t>
  </si>
  <si>
    <t>TAG Plectranthus Lemon Twist 100/100 Pixie Tag</t>
  </si>
  <si>
    <t>0611863862050</t>
  </si>
  <si>
    <t>TAG Plectranthus Lemon Twist 50/50 Petite Portrait FUL</t>
  </si>
  <si>
    <t>0611838530100</t>
  </si>
  <si>
    <t>TAG Plectranthus Marginatus 100/100 Pixie Tag</t>
  </si>
  <si>
    <t>0611838531100</t>
  </si>
  <si>
    <t>TAG Plectranthus Purpuratus 100/100 Pixie Tag</t>
  </si>
  <si>
    <t>0611838532100</t>
  </si>
  <si>
    <t>TAG Plectranthus Silver Shield 100/100 Pixie Tag</t>
  </si>
  <si>
    <t>0611884405100</t>
  </si>
  <si>
    <t>TAG Plectranthus Variegata 100/100 Pixie Tag</t>
  </si>
  <si>
    <t>0611838534100</t>
  </si>
  <si>
    <t>TAG Plectranthus Variegatus 100/100 Pixie Tag</t>
  </si>
  <si>
    <t>0611863863050</t>
  </si>
  <si>
    <t>TAG Plectranthus Variegatus 50/50 Petite Portrait FUL</t>
  </si>
  <si>
    <t>0611838536100</t>
  </si>
  <si>
    <t>TAG Plectranthus Velvet Diva 100/100 Pixie Tag</t>
  </si>
  <si>
    <t>0611838537100</t>
  </si>
  <si>
    <t>TAG Plectranthus Velvet Elvis 100/100 Pixie Tag</t>
  </si>
  <si>
    <t>0611838538100</t>
  </si>
  <si>
    <t>TAG Plectranthus Velvet Idol 100/100 Pixie Tag</t>
  </si>
  <si>
    <t>0611838539100</t>
  </si>
  <si>
    <t>TAG Plectranthus Velvet Lady 100/100 Pixie Tag</t>
  </si>
  <si>
    <t>0611884406100</t>
  </si>
  <si>
    <t>TAG Plectranthus Velvet Starlet 100/100 Pixie Tag</t>
  </si>
  <si>
    <t>0611838540100</t>
  </si>
  <si>
    <t>TAG Plumbago Dark Blue GENERIC 100/100 Pixie Tag</t>
  </si>
  <si>
    <t>0611838542100</t>
  </si>
  <si>
    <t>TAG Plumbago Imperial Blue 100/100 Pixie Tag</t>
  </si>
  <si>
    <t>0611838543025</t>
  </si>
  <si>
    <t>TAG Plumbago Imperial Blue 25/25 Portrait Tag</t>
  </si>
  <si>
    <t>0611863864050</t>
  </si>
  <si>
    <t>TAG Plumbago Imperial Blue 50/50 Petite Portrait FUL</t>
  </si>
  <si>
    <t>0611838544100</t>
  </si>
  <si>
    <t>TAG Plumbago Plumbago GENERIC 100/100 Pixie Tag</t>
  </si>
  <si>
    <t>0611838546100</t>
  </si>
  <si>
    <t>TAG Polemonium Blue 100/100 Pixie Tag</t>
  </si>
  <si>
    <t>0611838547025</t>
  </si>
  <si>
    <t>TAG Polemonium Blue Pearl Reptans 25/25 Portrait Tag</t>
  </si>
  <si>
    <t>0611857084025</t>
  </si>
  <si>
    <t>TAG Polemonium Golden Feathers 25/25 Portrait Tag</t>
  </si>
  <si>
    <t>0611838548025</t>
  </si>
  <si>
    <t>TAG Polemonium Heavenly Habit 25/25 Portrait Tag</t>
  </si>
  <si>
    <t>0611838549025</t>
  </si>
  <si>
    <t>TAG Polemonium Jacob's Ladder GENERIC 25/25 Portrait Tag</t>
  </si>
  <si>
    <t>0611838550025</t>
  </si>
  <si>
    <t>TAG Polemonium Purple Rain Yezoense 25/25 Portrait Tag</t>
  </si>
  <si>
    <t>0611838551025</t>
  </si>
  <si>
    <t>TAG Polemonium Stairway To Heaven Reptans 25/25 Portrait Tag</t>
  </si>
  <si>
    <t>0611838552025</t>
  </si>
  <si>
    <t>TAG Polemonium Touch Of Class 25/25 Portrait Tag</t>
  </si>
  <si>
    <t>0611838555025</t>
  </si>
  <si>
    <t>TAG Polygonatum Variegatum Odoratum 25/25 Portrait Tag</t>
  </si>
  <si>
    <t>0611884407100</t>
  </si>
  <si>
    <t>TAG Portulaca 24/7 Series 100/100 Pixie Tag</t>
  </si>
  <si>
    <t>0611838560100</t>
  </si>
  <si>
    <t>TAG Portulaca Campino Pink Twist 100/100 Pixie Tag</t>
  </si>
  <si>
    <t>0611838562100</t>
  </si>
  <si>
    <t>TAG Portulaca Campino Red Twist 100/100 Pixie Tag</t>
  </si>
  <si>
    <t>0611838563100</t>
  </si>
  <si>
    <t>TAG Portulaca ColorBlast Double Coconut 100/100 Pixie Tag</t>
  </si>
  <si>
    <t>0611838564100</t>
  </si>
  <si>
    <t>TAG Portulaca ColorBlast Double Dragonfruit 100/100 Pixie Tag</t>
  </si>
  <si>
    <t>0611838566100</t>
  </si>
  <si>
    <t>TAG Portulaca ColorBlast Double Guava 100/100 Pixie Tag</t>
  </si>
  <si>
    <t>0611838565100</t>
  </si>
  <si>
    <t>TAG Portulaca ColorBlast Double Magenta 100/100 Pixie Tag</t>
  </si>
  <si>
    <t>0611863865050</t>
  </si>
  <si>
    <t>TAG Portulaca ColorBlast Double Magenta 50/50 Petite Portrait FUL</t>
  </si>
  <si>
    <t>0611838568100</t>
  </si>
  <si>
    <t>TAG Portulaca ColorBlast Double Orange 100/100 Pixie Tag</t>
  </si>
  <si>
    <t>0611863866050</t>
  </si>
  <si>
    <t>TAG Portulaca ColorBlast Double Orange 50/50 Petite Portrait FUL</t>
  </si>
  <si>
    <t>0611838569100</t>
  </si>
  <si>
    <t>TAG Portulaca ColorBlast Double Pink 100/100 Pixie Tag</t>
  </si>
  <si>
    <t>0611838570100</t>
  </si>
  <si>
    <t>TAG Portulaca ColorBlast Double Scarlet 100/100 Pixie Tag</t>
  </si>
  <si>
    <t>0611863867050</t>
  </si>
  <si>
    <t>TAG Portulaca ColorBlast Double Scarlet 50/50 Petite Portrait FUL</t>
  </si>
  <si>
    <t>0611838571100</t>
  </si>
  <si>
    <t>TAG Portulaca ColorBlast Double Yellow 100/100 Pixie Tag</t>
  </si>
  <si>
    <t>0611863868050</t>
  </si>
  <si>
    <t>TAG Portulaca ColorBlast Double Yellow 50/50 Petite Portrait FUL</t>
  </si>
  <si>
    <t>0611838572100</t>
  </si>
  <si>
    <t>TAG Portulaca ColorBlast Grenadine 100/100 Pixie Tag</t>
  </si>
  <si>
    <t>0611838573100</t>
  </si>
  <si>
    <t>TAG Portulaca ColorBlast Lemon Twist 100/100 Pixie Tag</t>
  </si>
  <si>
    <t>0611863869050</t>
  </si>
  <si>
    <t>TAG Portulaca ColorBlast Lemon Twist 50/50 Petite Portrait FUL</t>
  </si>
  <si>
    <t>0611838574100</t>
  </si>
  <si>
    <t>TAG Portulaca ColorBlast Limon 100/100 Pixie Tag</t>
  </si>
  <si>
    <t>0611838575100</t>
  </si>
  <si>
    <t>TAG Portulaca ColorBlast Mango Mojito 100/100 Pixie Tag</t>
  </si>
  <si>
    <t>0611863870050</t>
  </si>
  <si>
    <t>TAG Portulaca ColorBlast Mango Mojito 50/50 Petite Portrait FUL</t>
  </si>
  <si>
    <t>0611838576100</t>
  </si>
  <si>
    <t>TAG Portulaca ColorBlast Pink Lady 100/100 Pixie Tag</t>
  </si>
  <si>
    <t>0611863871050</t>
  </si>
  <si>
    <t>TAG Portulaca ColorBlast Pink Lady 50/50 Petite Portrait FUL</t>
  </si>
  <si>
    <t>0611838577100</t>
  </si>
  <si>
    <t>TAG Portulaca ColorBlast Plumberry 100/100 Pixie Tag</t>
  </si>
  <si>
    <t>0611838578100</t>
  </si>
  <si>
    <t>TAG Portulaca ColorBlast Rum Punch 100/100 Pixie Tag</t>
  </si>
  <si>
    <t>0611863872050</t>
  </si>
  <si>
    <t>TAG Portulaca ColorBlast Rum Punch 50/50 Petite Portrait FUL</t>
  </si>
  <si>
    <t>0611838580100</t>
  </si>
  <si>
    <t>TAG Portulaca ColorBlast Tangerine 100/100 Pixie Tag</t>
  </si>
  <si>
    <t>0611838581100</t>
  </si>
  <si>
    <t>TAG Portulaca ColorBlast Watermelon Punch 100/100 Pixie Tag</t>
  </si>
  <si>
    <t>0611863873050</t>
  </si>
  <si>
    <t>TAG Portulaca ColorBlast Watermelon Punch 50/50 Petite Portrait FUL</t>
  </si>
  <si>
    <t>0611857085100</t>
  </si>
  <si>
    <t>TAG Portulaca ColorBlast White 100/100 Pixie Tag</t>
  </si>
  <si>
    <t>0611863874050</t>
  </si>
  <si>
    <t>TAG Portulaca Cupcake Carrot 50/50 Petite Portrait DO FUL</t>
  </si>
  <si>
    <t>0611863875050</t>
  </si>
  <si>
    <t>TAG Portulaca Cupcake Cherry Baby 50/50 Petite Portrait DO FUL</t>
  </si>
  <si>
    <t>0611863876050</t>
  </si>
  <si>
    <t>TAG Portulaca Cupcake Coconut 50/50 Petite Portrait DO FUL</t>
  </si>
  <si>
    <t>0611863877050</t>
  </si>
  <si>
    <t>TAG Portulaca Cupcake Grape Jelly 50/50 Petite Portrait DO FUL</t>
  </si>
  <si>
    <t>0611863878050</t>
  </si>
  <si>
    <t>TAG Portulaca Cupcake Magenta Touch 50/50 Petite Portrait DO FUL</t>
  </si>
  <si>
    <t>0611863879050</t>
  </si>
  <si>
    <t>TAG Portulaca Cupcake Orange Touch 50/50 Petite Portrait DO FUL</t>
  </si>
  <si>
    <t>0611863880050</t>
  </si>
  <si>
    <t>TAG Portulaca Cupcake Peachy 50/50 Petite Portrait DO FUL</t>
  </si>
  <si>
    <t>0611863881050</t>
  </si>
  <si>
    <t>TAG Portulaca Cupcake Purple Touch 50/50 Petite Portrait DO FUL</t>
  </si>
  <si>
    <t>0611863882050</t>
  </si>
  <si>
    <t>TAG Portulaca Cupcake Strawberry Banana 50/50 Petite Portrait DO FUL</t>
  </si>
  <si>
    <t>0611863883050</t>
  </si>
  <si>
    <t>TAG Portulaca Cupcake Upright Lavender 50/50 Petite Portrait DO FUL</t>
  </si>
  <si>
    <t>0611863884050</t>
  </si>
  <si>
    <t>TAG Portulaca Cupcake Upright Lemon Zest 50/50 Petite Portrait DO FUL</t>
  </si>
  <si>
    <t>0611863885050</t>
  </si>
  <si>
    <t>TAG Portulaca Cupcake Upright Orange Zest 50/50 Petite Portrait DO FUL</t>
  </si>
  <si>
    <t>0611863886050</t>
  </si>
  <si>
    <t>TAG Portulaca Cupcake Upright Raspberry 50/50 Petite Portrait DO FUL</t>
  </si>
  <si>
    <t>0611863887050</t>
  </si>
  <si>
    <t>TAG Portulaca Cupcake Upright White 50/50 Petite Portrait DO FUL</t>
  </si>
  <si>
    <t>0611863888050</t>
  </si>
  <si>
    <t>TAG Portulaca Cupcake Yellow Chrome 50/50 Petite Portrait DO FUL</t>
  </si>
  <si>
    <t>0611838582100</t>
  </si>
  <si>
    <t>TAG Portulaca Double GENERIC 100/100 Pixie Tag</t>
  </si>
  <si>
    <t>0611884408100</t>
  </si>
  <si>
    <t>TAG Portulaca Elephant Bush 100/100 Pixie Tag</t>
  </si>
  <si>
    <t>0611838625100</t>
  </si>
  <si>
    <t>TAG Portulaca GENERIC 100/100 Hang Tag</t>
  </si>
  <si>
    <t>0611838583100</t>
  </si>
  <si>
    <t>TAG Portulaca GENERIC Bilingual 100/100 Pixie Tag</t>
  </si>
  <si>
    <t>0611838584100</t>
  </si>
  <si>
    <t>TAG Portulaca Happy Hour Banana 100/100 Pixie Tag</t>
  </si>
  <si>
    <t>0611838585100</t>
  </si>
  <si>
    <t>TAG Portulaca Happy Hour Coconut 100/100 Pixie Tag</t>
  </si>
  <si>
    <t>0611838586100</t>
  </si>
  <si>
    <t>TAG Portulaca Happy Hour Deep Red 100/100 Pixie Tag</t>
  </si>
  <si>
    <t>0611838587100</t>
  </si>
  <si>
    <t>TAG Portulaca Happy Hour Fuchsia 100/100 Pixie Tag</t>
  </si>
  <si>
    <t>0611838588100</t>
  </si>
  <si>
    <t>TAG Portulaca Happy Hour Lemon 100/100 Pixie Tag</t>
  </si>
  <si>
    <t>0611838589100</t>
  </si>
  <si>
    <t>TAG Portulaca Happy Hour Mix 100/100 Pixie Tag</t>
  </si>
  <si>
    <t>0611838590100</t>
  </si>
  <si>
    <t>TAG Portulaca Happy Hour Orange 100/100 Pixie Tag</t>
  </si>
  <si>
    <t>0611838591100</t>
  </si>
  <si>
    <t>TAG Portulaca Happy Hour Peppermint 100/100 Pixie Tag</t>
  </si>
  <si>
    <t>0611838594100</t>
  </si>
  <si>
    <t>TAG Portulaca Happy Hour Pink Passion Mix 100/100 Pixie Tag</t>
  </si>
  <si>
    <t>0611838592100</t>
  </si>
  <si>
    <t>TAG Portulaca Happy Hour Rosita 100/100 Pixie Tag</t>
  </si>
  <si>
    <t>0611838593100</t>
  </si>
  <si>
    <t>TAG Portulaca Happy Hour Tropical Mix 100/100 Pixie Tag</t>
  </si>
  <si>
    <t>0611838595100</t>
  </si>
  <si>
    <t>TAG Portulaca Happy Trails Series 100/100 Pixie Tag</t>
  </si>
  <si>
    <t>0611838597100</t>
  </si>
  <si>
    <t>TAG Portulaca Hot Pink GENERIC 100/100 Pixie Tag</t>
  </si>
  <si>
    <t>0611884409100</t>
  </si>
  <si>
    <t>TAG Portulaca Hot Shot Series 100/100 Pixie Tag</t>
  </si>
  <si>
    <t>0611838598100</t>
  </si>
  <si>
    <t>TAG Portulaca Mache Lemon Rose Bicolor 100/100 Pixie Tag</t>
  </si>
  <si>
    <t>0611838599100</t>
  </si>
  <si>
    <t>TAG Portulaca Margarita Mix 100/100 Pixie Tag</t>
  </si>
  <si>
    <t>0611863889100</t>
  </si>
  <si>
    <t>TAG Portulaca Mediopicta 100/100 Pixie Tag FUL</t>
  </si>
  <si>
    <t>0611838600100</t>
  </si>
  <si>
    <t>TAG Portulaca Mix GENERIC 100/100 Pixie Tag</t>
  </si>
  <si>
    <t>0611838601100</t>
  </si>
  <si>
    <t>TAG Portulaca Orange GENERIC 100/100 Pixie Tag</t>
  </si>
  <si>
    <t>0611838602100</t>
  </si>
  <si>
    <t>TAG Portulaca Pazzaz Apricot 100/100 Pixie Tag</t>
  </si>
  <si>
    <t>0611838603100</t>
  </si>
  <si>
    <t>TAG Portulaca Pazzaz Bright Purple 100/100 Pixie Tag</t>
  </si>
  <si>
    <t>0611838604100</t>
  </si>
  <si>
    <t>TAG Portulaca Pazzaz Deep Pink 100/100 Pixie Tag</t>
  </si>
  <si>
    <t>0611838605100</t>
  </si>
  <si>
    <t>TAG Portulaca Pazzaz Fuchsia 100/100 Pixie Tag</t>
  </si>
  <si>
    <t>0611838606100</t>
  </si>
  <si>
    <t>TAG Portulaca Pazzaz Mega Dark Pink 100/100 Pixie Tag</t>
  </si>
  <si>
    <t>0611838607100</t>
  </si>
  <si>
    <t>TAG Portulaca Pazzaz Mega Gold 100/100 Pixie Tag</t>
  </si>
  <si>
    <t>0611857086100</t>
  </si>
  <si>
    <t>TAG Portulaca Pazzaz Mega Mango Twist 100/100 Pixie Tag</t>
  </si>
  <si>
    <t>0611838608100</t>
  </si>
  <si>
    <t>TAG Portulaca Pazzaz Mega Orange 100/100 Pixie Tag</t>
  </si>
  <si>
    <t>0611857087100</t>
  </si>
  <si>
    <t>TAG Portulaca Pazzaz Mega Pink Twist 100/100 Pixie Tag</t>
  </si>
  <si>
    <t>0611838609100</t>
  </si>
  <si>
    <t>TAG Portulaca Pazzaz Mega Purple 100/100 Pixie Tag</t>
  </si>
  <si>
    <t>0611857088100</t>
  </si>
  <si>
    <t>TAG Portulaca Pazzaz Mega Red 100/100 Pixie Tag</t>
  </si>
  <si>
    <t>0611838610100</t>
  </si>
  <si>
    <t>TAG Portulaca Pazzaz Nano Candy Pink 100/100 Pixie Tag</t>
  </si>
  <si>
    <t>0611838611100</t>
  </si>
  <si>
    <t>TAG Portulaca Pazzaz Nano Fuchsia 100/100 Pixie Tag</t>
  </si>
  <si>
    <t>0611857089100</t>
  </si>
  <si>
    <t>TAG Portulaca Pazzaz Nano Gold 100/100 Pixie Tag</t>
  </si>
  <si>
    <t>0611838612100</t>
  </si>
  <si>
    <t>TAG Portulaca Pazzaz Nano Hot Pink 100/100 Pixie Tag</t>
  </si>
  <si>
    <t>0611838613100</t>
  </si>
  <si>
    <t>TAG Portulaca Pazzaz Nano Orange 100/100 Pixie Tag</t>
  </si>
  <si>
    <t>0611857090100</t>
  </si>
  <si>
    <t>TAG Portulaca Pazzaz Nano Orange Twist 100/100 Pixie Tag</t>
  </si>
  <si>
    <t>0611857091100</t>
  </si>
  <si>
    <t>TAG Portulaca Pazzaz Nano Tropical Punch 100/100 Pixie Tag</t>
  </si>
  <si>
    <t>0611838614100</t>
  </si>
  <si>
    <t>TAG Portulaca Pazzaz Nano Yellow 100/100 Pixie Tag</t>
  </si>
  <si>
    <t>0611857092100</t>
  </si>
  <si>
    <t>TAG Portulaca Pazzaz Nano Yellow Twist 100/100 Pixie Tag</t>
  </si>
  <si>
    <t>0611838615100</t>
  </si>
  <si>
    <t>TAG Portulaca Pazzaz Neon Pink 100/100 Pixie Tag</t>
  </si>
  <si>
    <t>0611838616100</t>
  </si>
  <si>
    <t>TAG Portulaca Pazzaz Orange Flare 100/100 Pixie Tag</t>
  </si>
  <si>
    <t>0611838617100</t>
  </si>
  <si>
    <t>TAG Portulaca Pazzaz Red Flare 100/100 Pixie Tag</t>
  </si>
  <si>
    <t>0611838619100</t>
  </si>
  <si>
    <t>TAG Portulaca Pazzaz Series 100/100 Pixie Tag</t>
  </si>
  <si>
    <t>0611838620100</t>
  </si>
  <si>
    <t>TAG Portulaca Pazzaz Tangerine 100/100 Pixie Tag</t>
  </si>
  <si>
    <t>0611838621100</t>
  </si>
  <si>
    <t>TAG Portulaca Pazzaz Vivid Yellow 100/100 Pixie Tag</t>
  </si>
  <si>
    <t>0611838622100</t>
  </si>
  <si>
    <t>TAG Portulaca Pazzaz White 100/100 Pixie Tag</t>
  </si>
  <si>
    <t>0611838623100</t>
  </si>
  <si>
    <t>TAG Portulaca Pazzaz Yellow 100/100 Pixie Tag</t>
  </si>
  <si>
    <t>0611838624100</t>
  </si>
  <si>
    <t>TAG Portulaca Pink GENERIC 100/100 Pixie Tag</t>
  </si>
  <si>
    <t>0611838626100</t>
  </si>
  <si>
    <t>TAG Portulaca Purple GENERIC 100/100 Pixie Tag</t>
  </si>
  <si>
    <t>0611838627100</t>
  </si>
  <si>
    <t>TAG Portulaca Purslane GENERIC 100/100 Hang Tag</t>
  </si>
  <si>
    <t>0611838628100</t>
  </si>
  <si>
    <t>TAG Portulaca Purslane GENERIC 100/100 Pixie Tag</t>
  </si>
  <si>
    <t>0611838629100</t>
  </si>
  <si>
    <t>TAG Portulaca Red GENERIC 100/100 Pixie Tag</t>
  </si>
  <si>
    <t>0611838630100</t>
  </si>
  <si>
    <t>TAG Portulaca Rose GENERIC 100/100 Pixie Tag</t>
  </si>
  <si>
    <t>0611838631100</t>
  </si>
  <si>
    <t>TAG Portulaca Samba Bicolor 100/100 Pixie Tag</t>
  </si>
  <si>
    <t>0611838632100</t>
  </si>
  <si>
    <t>TAG Portulaca Samba Hot Pink 100/100 Pixie Tag</t>
  </si>
  <si>
    <t>0611838633100</t>
  </si>
  <si>
    <t>TAG Portulaca Samba Rose 100/100 Pixie Tag</t>
  </si>
  <si>
    <t>0611838634100</t>
  </si>
  <si>
    <t>TAG Portulaca Stopwatch Cream 100/100 Pixie Tag</t>
  </si>
  <si>
    <t>0611838635100</t>
  </si>
  <si>
    <t>TAG Portulaca Stopwatch Fuchsia 100/100 Pixie Tag</t>
  </si>
  <si>
    <t>0611838636100</t>
  </si>
  <si>
    <t>TAG Portulaca Stopwatch Mix 100/100 Pixie Tag</t>
  </si>
  <si>
    <t>0611838637100</t>
  </si>
  <si>
    <t>TAG Portulaca Stopwatch Orange 100/100 Pixie Tag</t>
  </si>
  <si>
    <t>0611838639100</t>
  </si>
  <si>
    <t>TAG Portulaca Stopwatch Scarlet 100/100 Pixie Tag</t>
  </si>
  <si>
    <t>0611838641100</t>
  </si>
  <si>
    <t>TAG Portulaca Stopwatch Yellow 100/100 Pixie Tag</t>
  </si>
  <si>
    <t>0611838642100</t>
  </si>
  <si>
    <t>TAG Portulaca Sundance Mix 100/100 Pixie Tag</t>
  </si>
  <si>
    <t>0611838643100</t>
  </si>
  <si>
    <t>TAG Portulaca Sundial Caliente Mix 100/100 Pixie Tag</t>
  </si>
  <si>
    <t>0611838644100</t>
  </si>
  <si>
    <t>TAG Portulaca Sundial Coral 100/100 Pixie Tag</t>
  </si>
  <si>
    <t>0611838646100</t>
  </si>
  <si>
    <t>TAG Portulaca Sundial Deep Red 100/100 Pixie Tag</t>
  </si>
  <si>
    <t>0611838647100</t>
  </si>
  <si>
    <t>TAG Portulaca Sundial Fuchsia 100/100 Pixie Tag</t>
  </si>
  <si>
    <t>0611838648100</t>
  </si>
  <si>
    <t>TAG Portulaca Sundial Gold 100/100 Pixie Tag</t>
  </si>
  <si>
    <t>0611838649100</t>
  </si>
  <si>
    <t>TAG Portulaca Sundial Light Pink 100/100 Pixie Tag</t>
  </si>
  <si>
    <t>0611838650100</t>
  </si>
  <si>
    <t>TAG Portulaca Sundial Mango 100/100 Pixie Tag</t>
  </si>
  <si>
    <t>0611838651100</t>
  </si>
  <si>
    <t>TAG Portulaca Sundial Mix 100/100 Pixie Tag</t>
  </si>
  <si>
    <t>0611838652100</t>
  </si>
  <si>
    <t>TAG Portulaca Sundial Orange 100/100 Pixie Tag</t>
  </si>
  <si>
    <t>0611838653100</t>
  </si>
  <si>
    <t>TAG Portulaca Sundial Peach 100/100 Pixie Tag</t>
  </si>
  <si>
    <t>0611838654100</t>
  </si>
  <si>
    <t>TAG Portulaca Sundial Peppermint 100/100 Pixie Tag</t>
  </si>
  <si>
    <t>0611838655100</t>
  </si>
  <si>
    <t>TAG Portulaca Sundial Pink 100/100 Pixie Tag</t>
  </si>
  <si>
    <t>0611838656100</t>
  </si>
  <si>
    <t>TAG Portulaca Sundial Scarlet 100/100 Pixie Tag</t>
  </si>
  <si>
    <t>0611838657100</t>
  </si>
  <si>
    <t>TAG Portulaca Sundial Tangerine 100/100 Pixie Tag</t>
  </si>
  <si>
    <t>0611838658100</t>
  </si>
  <si>
    <t>TAG Portulaca Sundial White 100/100 Pixie Tag</t>
  </si>
  <si>
    <t>0611838659100</t>
  </si>
  <si>
    <t>TAG Portulaca Sundial Yellow 100/100 Pixie Tag</t>
  </si>
  <si>
    <t>0611838666100</t>
  </si>
  <si>
    <t>TAG Portulaca Sunseeker Mix 100/100 Pixie Tag</t>
  </si>
  <si>
    <t>0611838667100</t>
  </si>
  <si>
    <t>TAG Portulaca Sunseeker Orange 100/100 Pixie Tag</t>
  </si>
  <si>
    <t>0611838668100</t>
  </si>
  <si>
    <t>TAG Portulaca Sunseeker Red 100/100 Pixie Tag</t>
  </si>
  <si>
    <t>0611838669100</t>
  </si>
  <si>
    <t>TAG Portulaca Sunseeker Yellow 100/100 Pixie Tag</t>
  </si>
  <si>
    <t>0611838671100</t>
  </si>
  <si>
    <t>TAG Portulaca Tequila Mix 100/100 Pixie Tag</t>
  </si>
  <si>
    <t>0611838675100</t>
  </si>
  <si>
    <t>TAG Portulaca Toucan Scarlet Shades 100/100 Pixie Tag</t>
  </si>
  <si>
    <t>0611863890100</t>
  </si>
  <si>
    <t>TAG Portulaca Variegata 100/100 Pixie Tag FUL</t>
  </si>
  <si>
    <t>0611838677100</t>
  </si>
  <si>
    <t>TAG Portulaca White GENERIC 100/100 Pixie Tag</t>
  </si>
  <si>
    <t>0611838678100</t>
  </si>
  <si>
    <t>TAG Portulaca Yellow GENERIC 100/100 Pixie Tag</t>
  </si>
  <si>
    <t>0611838679100</t>
  </si>
  <si>
    <t>TAG Portulaca Yubi Apricot 100/100 Pixie Tag</t>
  </si>
  <si>
    <t>0611838680100</t>
  </si>
  <si>
    <t>TAG Portulaca Yubi Scarlet 100/100 Pixie Tag</t>
  </si>
  <si>
    <t>0611838681025</t>
  </si>
  <si>
    <t>TAG Potentilla Miss Willmott 25/25 Portrait Tag</t>
  </si>
  <si>
    <t>0611838682100</t>
  </si>
  <si>
    <t>TAG Potentilla Nana Verna 100/100 Pixie Tag</t>
  </si>
  <si>
    <t>0611834178100</t>
  </si>
  <si>
    <t>TAG Pothos Aureum 100/100 Pixie Tag</t>
  </si>
  <si>
    <t>0611834180100</t>
  </si>
  <si>
    <t>TAG Pothos GENERIC 100/100 Hang Tag</t>
  </si>
  <si>
    <t>0611834181100</t>
  </si>
  <si>
    <t>TAG Pothos GENERIC 100/100 Pixie Tag</t>
  </si>
  <si>
    <t>0611834179100</t>
  </si>
  <si>
    <t>TAG Pothos Marble Queen Aureum 100/100 Pixie Tag</t>
  </si>
  <si>
    <t>0611884410100</t>
  </si>
  <si>
    <t>TAG Primula Bonneli Series 100/100 Pixie Tag</t>
  </si>
  <si>
    <t>0611838695100</t>
  </si>
  <si>
    <t>TAG Primula Danessa Mix 100/100 Pixie Tag</t>
  </si>
  <si>
    <t>0611857093100</t>
  </si>
  <si>
    <t>TAG Primula Dania Series 100/100 Pixie Tag</t>
  </si>
  <si>
    <t>0611838696100</t>
  </si>
  <si>
    <t>TAG Primula Danova Blue 100/100 Pixie Tag</t>
  </si>
  <si>
    <t>0611838697100</t>
  </si>
  <si>
    <t>TAG Primula Danova Golden Yellow 100/100 Pixie Tag</t>
  </si>
  <si>
    <t>0611838698100</t>
  </si>
  <si>
    <t>TAG Primula Danova Grower Select Mix 100/100 Pixie Tag</t>
  </si>
  <si>
    <t>0611838699100</t>
  </si>
  <si>
    <t>TAG Primula Danova Mix 100/100 Pixie Tag</t>
  </si>
  <si>
    <t>0611838700100</t>
  </si>
  <si>
    <t>TAG Primula Danova Mix Acaulis 100/100 Pixie Tag</t>
  </si>
  <si>
    <t>0611838701100</t>
  </si>
  <si>
    <t>TAG Primula Danova Pink 100/100 Pixie Tag</t>
  </si>
  <si>
    <t>0611838702100</t>
  </si>
  <si>
    <t>TAG Primula Danova Red 100/100 Pixie Tag</t>
  </si>
  <si>
    <t>0611838703100</t>
  </si>
  <si>
    <t>TAG Primula Danova Series 100/100 Pixie Tag</t>
  </si>
  <si>
    <t>0611838704100</t>
  </si>
  <si>
    <t>TAG Primula Danova White 100/100 Pixie Tag</t>
  </si>
  <si>
    <t>0611884411100</t>
  </si>
  <si>
    <t>TAG Primula Elodie Series 100/100 Pixie Tag</t>
  </si>
  <si>
    <t>0611884412100</t>
  </si>
  <si>
    <t>TAG Primula Fruelo Series 100/100 Pixie Tag</t>
  </si>
  <si>
    <t>0611838705100</t>
  </si>
  <si>
    <t>TAG Primula Hethor Series 100/100 Pixie Tag</t>
  </si>
  <si>
    <t>0611838706100</t>
  </si>
  <si>
    <t>TAG Primula Libre Mix 100/100 Pixie Tag SF</t>
  </si>
  <si>
    <t>0611838707100</t>
  </si>
  <si>
    <t>TAG Primula Lighthouse Series 100/100 Pixie Tag</t>
  </si>
  <si>
    <t>0611838708100</t>
  </si>
  <si>
    <t>TAG Primula Malacoides GENERIC 100/100 Pixie Tag</t>
  </si>
  <si>
    <t>0611838710100</t>
  </si>
  <si>
    <t>TAG Primula Obconica GENERIC 100/100 Pixie Tag</t>
  </si>
  <si>
    <t>0611838711100</t>
  </si>
  <si>
    <t>TAG Primula Optic Series Acaulis 100/100 Pixie Tag</t>
  </si>
  <si>
    <t>0611838712100</t>
  </si>
  <si>
    <t>TAG Primula Pacific Coast Mix 100/100 Pixie Tag</t>
  </si>
  <si>
    <t>0611838713100</t>
  </si>
  <si>
    <t>TAG Primula Pacific Giants Mix 100/100 Pixie Tag</t>
  </si>
  <si>
    <t>0611838714100</t>
  </si>
  <si>
    <t>TAG Primula Piano Series 100/100 Pixie Tag</t>
  </si>
  <si>
    <t>0611838716100</t>
  </si>
  <si>
    <t>TAG Primula Primera Mix 100/100 Pixie Tag SF</t>
  </si>
  <si>
    <t>0611838718100</t>
  </si>
  <si>
    <t>TAG Primula Primlet Series 100/100 Pixie Tag</t>
  </si>
  <si>
    <t>0611838719100</t>
  </si>
  <si>
    <t>TAG Primula Primrose GENERIC 100/100 Pixie Tag</t>
  </si>
  <si>
    <t>0611884413100</t>
  </si>
  <si>
    <t>TAG Primula Sibel Series 100/100 Pixie Tag</t>
  </si>
  <si>
    <t>0611838720100</t>
  </si>
  <si>
    <t>TAG Primula Supernova Mix 100/100 Pixie Tag</t>
  </si>
  <si>
    <t>0611838721100</t>
  </si>
  <si>
    <t>TAG Primula Supernova Series 100/100 Pixie Tag</t>
  </si>
  <si>
    <t>0611838722100</t>
  </si>
  <si>
    <t>TAG Primula Touch Me Large Mix 100/100 Pixie Tag</t>
  </si>
  <si>
    <t>0611838724100</t>
  </si>
  <si>
    <t>TAG Ptilotus Joey 100/100 Pixie Tag</t>
  </si>
  <si>
    <t>0611857094100</t>
  </si>
  <si>
    <t>TAG Ptilotus Matilda 100/100 Pixie Tag</t>
  </si>
  <si>
    <t>0611838726025</t>
  </si>
  <si>
    <t>TAG Pulmonaria Mrs Moon Saccharata 25/25 Portrait Tag</t>
  </si>
  <si>
    <t>0611857095025</t>
  </si>
  <si>
    <t>TAG Pulmonaria Raspberry Frost 25/25 Portrait Tag</t>
  </si>
  <si>
    <t>0611838728025</t>
  </si>
  <si>
    <t>TAG Pulmonaria Raspberry Splash 25/25 Portrait Tag</t>
  </si>
  <si>
    <t>0611838729025</t>
  </si>
  <si>
    <t>TAG Pulsatilla GENERIC Vulgaris 25/25 Portrait Tag</t>
  </si>
  <si>
    <t>0611833566100</t>
  </si>
  <si>
    <t>TAG Pumpkin Atlantic Giant 100/100 Pixie Tag</t>
  </si>
  <si>
    <t>0611833568100</t>
  </si>
  <si>
    <t>TAG Pumpkin Autumn Gold 100/100 Pixie Tag</t>
  </si>
  <si>
    <t>0611833569100</t>
  </si>
  <si>
    <t>TAG Pumpkin Baby Bear 100/100 Pixie Tag</t>
  </si>
  <si>
    <t>0611833572100</t>
  </si>
  <si>
    <t>TAG Pumpkin Big Max 100/100 Pixie Tag</t>
  </si>
  <si>
    <t>0611833573100</t>
  </si>
  <si>
    <t>TAG Pumpkin Blue Prince 100/100 Pixie Tag</t>
  </si>
  <si>
    <t>0611833574100</t>
  </si>
  <si>
    <t>TAG Pumpkin Cinderella's Carriage 100/100 Pixie Tag</t>
  </si>
  <si>
    <t>0611833580100</t>
  </si>
  <si>
    <t>TAG Pumpkin Flat White Boer Ford 100/100 Pixie Tag</t>
  </si>
  <si>
    <t>0611833583100</t>
  </si>
  <si>
    <t>TAG Pumpkin Hijinks 100/100 Pixie Tag</t>
  </si>
  <si>
    <t>0611833584100</t>
  </si>
  <si>
    <t>TAG Pumpkin Howden 100/100 Pixie Tag</t>
  </si>
  <si>
    <t>0611833586100</t>
  </si>
  <si>
    <t>TAG Pumpkin Jack Be Little 100/100 Pixie Tag</t>
  </si>
  <si>
    <t>0611833587100</t>
  </si>
  <si>
    <t>TAG Pumpkin Jack O Lantern 100/100 Pixie Tag</t>
  </si>
  <si>
    <t>0611833588100</t>
  </si>
  <si>
    <t>TAG Pumpkin Jack Sprat 100/100 Pixie Tag</t>
  </si>
  <si>
    <t>0611833589100</t>
  </si>
  <si>
    <t>TAG Pumpkin Mini Pumpkin GENERIC 100/100 Pixie Tag</t>
  </si>
  <si>
    <t>0611833590100</t>
  </si>
  <si>
    <t>TAG Pumpkin Orange Smoothie 100/100 Pixie Tag</t>
  </si>
  <si>
    <t>0611833592100</t>
  </si>
  <si>
    <t>TAG Pumpkin Pie GENERIC 100/100 Pixie Tag</t>
  </si>
  <si>
    <t>0611833593100</t>
  </si>
  <si>
    <t>TAG Pumpkin Prize Winner 100/100 Pixie Tag</t>
  </si>
  <si>
    <t>0611833594100</t>
  </si>
  <si>
    <t>TAG Pumpkin Pumpkin GENERIC 100/100 Pixie Tag</t>
  </si>
  <si>
    <t>0611833597100</t>
  </si>
  <si>
    <t>TAG Pumpkin Spooktacular 100/100 Pixie Tag</t>
  </si>
  <si>
    <t>0611833600100</t>
  </si>
  <si>
    <t>TAG Pumpkin Super Moon 100/100 Pixie Tag</t>
  </si>
  <si>
    <t>0611833602100</t>
  </si>
  <si>
    <t>TAG Pumpkin Warty Goblin 100/100 Pixie Tag</t>
  </si>
  <si>
    <t>0611833603100</t>
  </si>
  <si>
    <t>TAG Pumpkin Wee B Little 100/100 Pixie Tag</t>
  </si>
  <si>
    <t>0611833604100</t>
  </si>
  <si>
    <t>TAG Pumpkin White GENERIC 100/100 Pixie Tag</t>
  </si>
  <si>
    <t>0611838730100</t>
  </si>
  <si>
    <t>TAG Radermachera China Doll GENERIC 100/100 Pixie Tag</t>
  </si>
  <si>
    <t>0611838753100</t>
  </si>
  <si>
    <t>TAG Radish Cherry Belle 100/100 Pixie Tag</t>
  </si>
  <si>
    <t>0611838754100</t>
  </si>
  <si>
    <t>TAG Radish GENERIC 100/100 Pixie Tag</t>
  </si>
  <si>
    <t>0611838731100</t>
  </si>
  <si>
    <t>TAG Rainbo Mix Microgreens 100/100 Pixie Tag</t>
  </si>
  <si>
    <t>0611838732100</t>
  </si>
  <si>
    <t>TAG Ranunculus Bloomingdale Mix 100/100 Pixie Tag</t>
  </si>
  <si>
    <t>0611838751100</t>
  </si>
  <si>
    <t>TAG Ranunculus GENERIC 100/100 Pixie Tag</t>
  </si>
  <si>
    <t>0611838733100</t>
  </si>
  <si>
    <t>TAG Ranunculus GENERIC Bilingual 100/100 Pixie Tag</t>
  </si>
  <si>
    <t>0611838734100</t>
  </si>
  <si>
    <t>TAG Ranunculus Mache Bicolor Mix 100/100 Pixie Tag SF</t>
  </si>
  <si>
    <t>0611857096100</t>
  </si>
  <si>
    <t>TAG Ranunculus Mache Chocolate 100/100 Pixie Tag SF</t>
  </si>
  <si>
    <t>0611838735100</t>
  </si>
  <si>
    <t>TAG Ranunculus Mache Fire 100/100 Pixie Tag SF</t>
  </si>
  <si>
    <t>0611838736100</t>
  </si>
  <si>
    <t>TAG Ranunculus Mache Lemon Rose Bicolor 100/100 Pixie Tag SF</t>
  </si>
  <si>
    <t>0611838737100</t>
  </si>
  <si>
    <t>TAG Ranunculus Mache Orange 100/100 Pixie Tag SF</t>
  </si>
  <si>
    <t>0611838738100</t>
  </si>
  <si>
    <t>TAG Ranunculus Mache Pastel Mix 100/100 Pixie Tag SF</t>
  </si>
  <si>
    <t>0611838739100</t>
  </si>
  <si>
    <t>TAG Ranunculus Mache Pink 100/100 Pixie Tag SF</t>
  </si>
  <si>
    <t>0611838741100</t>
  </si>
  <si>
    <t>TAG Ranunculus Mache Red 100/100 Pixie Tag SF</t>
  </si>
  <si>
    <t>0611838743100</t>
  </si>
  <si>
    <t>TAG Ranunculus Mache Series 100/100 Pixie Tag SF</t>
  </si>
  <si>
    <t>0611838745100</t>
  </si>
  <si>
    <t>TAG Ranunculus Mache White 100/100 Pixie Tag SF</t>
  </si>
  <si>
    <t>0611838746100</t>
  </si>
  <si>
    <t>TAG Ranunculus Mache Yellow 100/100 Pixie Tag SF</t>
  </si>
  <si>
    <t>0611838748100</t>
  </si>
  <si>
    <t>TAG Ranunculus Magic Fireball 100/100 Pixie Tag SF</t>
  </si>
  <si>
    <t>0611838749100</t>
  </si>
  <si>
    <t>TAG Ranunculus Magic Series 100/100 Pixie Tag SF</t>
  </si>
  <si>
    <t>0611838750100</t>
  </si>
  <si>
    <t>TAG Ranunculus Magic Yellow 100/100 Pixie Tag SF</t>
  </si>
  <si>
    <t>0611838752100</t>
  </si>
  <si>
    <t>TAG Ranunculus Sprinkles Series 100/100 Pixie Tag</t>
  </si>
  <si>
    <t>0611838755025</t>
  </si>
  <si>
    <t>TAG Ratibida Red Columnifera 25/25 Portrait Tag</t>
  </si>
  <si>
    <t>0611838756100</t>
  </si>
  <si>
    <t>TAG Ravenea Majesty Palm 100/100 Pixie Tag</t>
  </si>
  <si>
    <t>0611838762100</t>
  </si>
  <si>
    <t>TAG Rhodichtron Purple Bells 100/100 Pixie Tag</t>
  </si>
  <si>
    <t>0611838763100</t>
  </si>
  <si>
    <t>TAG Rhododendron Azalea GENERIC 100/100 Pixie Tag</t>
  </si>
  <si>
    <t>0611838758100</t>
  </si>
  <si>
    <t>TAG Rhubarb Canadian Red 100/100 Pixie Tag</t>
  </si>
  <si>
    <t>0611838759025</t>
  </si>
  <si>
    <t>TAG Rhubarb GENERIC 25/25 Portrait Tag</t>
  </si>
  <si>
    <t>0611838761025</t>
  </si>
  <si>
    <t>TAG Rhubarb Victoria 25/25 Portrait Tag</t>
  </si>
  <si>
    <t>0611838765100</t>
  </si>
  <si>
    <t>TAG Ricinus Castor Bean GENERIC 100/100 Pixie Tag</t>
  </si>
  <si>
    <t>0611835128100</t>
  </si>
  <si>
    <t>TAG Rosemary Arp 100/100 Pixie Tag</t>
  </si>
  <si>
    <t>0611835129025</t>
  </si>
  <si>
    <t>TAG Rosemary Arp 25/25 Portrait Tag</t>
  </si>
  <si>
    <t>0611862553100</t>
  </si>
  <si>
    <t>TAG Rosemary Arp CN5348 100/100 Pixie Tag FUL</t>
  </si>
  <si>
    <t>0611835130100</t>
  </si>
  <si>
    <t>TAG Rosemary Barbeque 100/100 Pixie Tag</t>
  </si>
  <si>
    <t>0611835131025</t>
  </si>
  <si>
    <t>TAG Rosemary Barbeque 25/25 Portrait Tag</t>
  </si>
  <si>
    <t>0611835132100</t>
  </si>
  <si>
    <t>TAG Rosemary Boule Prostratus 100/100 Pixie Tag</t>
  </si>
  <si>
    <t>0611835133100</t>
  </si>
  <si>
    <t>TAG Rosemary Creeping GENERIC 100/100 Pixie Tag</t>
  </si>
  <si>
    <t>0611835137100</t>
  </si>
  <si>
    <t>TAG Rosemary GENERIC 100/100 Pixie Tag</t>
  </si>
  <si>
    <t>0611835138200</t>
  </si>
  <si>
    <t>TAG Rosemary GENERIC 200/200 Thriftee Tag</t>
  </si>
  <si>
    <t>0611835139025</t>
  </si>
  <si>
    <t>TAG Rosemary GENERIC 25/25 Portrait Tag</t>
  </si>
  <si>
    <t>0611835134100</t>
  </si>
  <si>
    <t>TAG Rosemary Gorizia 100/100 Pixie Tag</t>
  </si>
  <si>
    <t>0611835135025</t>
  </si>
  <si>
    <t>TAG Rosemary Gorizia 25/25 Portrait Tag</t>
  </si>
  <si>
    <t>0611862555100</t>
  </si>
  <si>
    <t>TAG Rosemary Gorizia CN5349 100/100 Pixie Tag FUL</t>
  </si>
  <si>
    <t>0611835136100</t>
  </si>
  <si>
    <t>TAG Rosemary Hardy Hill 100/100 Pixie Tag</t>
  </si>
  <si>
    <t>0611835140025</t>
  </si>
  <si>
    <t>TAG Rosemary Huntington Carpet 25/25 Portrait Tag</t>
  </si>
  <si>
    <t>0611835141025</t>
  </si>
  <si>
    <t>TAG Rosemary Irene 25/25 Portrait Tag</t>
  </si>
  <si>
    <t>0611862556050</t>
  </si>
  <si>
    <t>TAG Rosemary Limited Availability 50/50 Petite Portrait</t>
  </si>
  <si>
    <t>0611835142100</t>
  </si>
  <si>
    <t>TAG Rosemary Perigord 100/100 Pixie Tag</t>
  </si>
  <si>
    <t>0611862557100</t>
  </si>
  <si>
    <t>TAG Rosemary Prostratus 100/100 Pixie Tag FUL</t>
  </si>
  <si>
    <t>0611835143100</t>
  </si>
  <si>
    <t>TAG Rosemary Prostratus Creeping 100/100 Pixie Tag</t>
  </si>
  <si>
    <t>0611835144025</t>
  </si>
  <si>
    <t>TAG Rosemary Prostratus Creeping 25/25 Portrait Tag</t>
  </si>
  <si>
    <t>0611835145100</t>
  </si>
  <si>
    <t>TAG Rosemary Salem 100/100 Pixie Tag</t>
  </si>
  <si>
    <t>0611835146025</t>
  </si>
  <si>
    <t>TAG Rosemary Salem 25/25 Portrait Tag</t>
  </si>
  <si>
    <t>0611835147025</t>
  </si>
  <si>
    <t>TAG Rosemary Spice Island 25/25 Portrait Tag</t>
  </si>
  <si>
    <t>0611835148100</t>
  </si>
  <si>
    <t>TAG Rosemary Tuscan Blue 100/100 Pixie Tag</t>
  </si>
  <si>
    <t>0611835149025</t>
  </si>
  <si>
    <t>TAG Rosemary Tuscan Blue 25/25 Portrait Tag</t>
  </si>
  <si>
    <t>0611862558100</t>
  </si>
  <si>
    <t>TAG Rosemary Tuscan Blue CN5351 100/100 Pixie Tag FUL</t>
  </si>
  <si>
    <t>0611835150100</t>
  </si>
  <si>
    <t>TAG Rosemary Upright Blue GENERIC 100/100 Pixie Tag</t>
  </si>
  <si>
    <t>0611835151025</t>
  </si>
  <si>
    <t>TAG Rosemary Upright Blue GENERIC 25/25 Portrait Tag</t>
  </si>
  <si>
    <t>0611884414025</t>
  </si>
  <si>
    <t>TAG Rosmar Foxtail 25/25 Portrait Tag</t>
  </si>
  <si>
    <t>0611884415025</t>
  </si>
  <si>
    <t>TAG Rosmar Hardy Hill 25/25 Portrait Tag</t>
  </si>
  <si>
    <t>0611838767025</t>
  </si>
  <si>
    <t>TAG Rubus Blackberry GENERIC 25/25 Portrait Tag</t>
  </si>
  <si>
    <t>0611838768025</t>
  </si>
  <si>
    <t>TAG Rubus Raspberry GENERIC 25/25 Portrait Tag</t>
  </si>
  <si>
    <t>0611838769100</t>
  </si>
  <si>
    <t>TAG Rudbeckia Amarillo Gold 100/100 Pixie Tag</t>
  </si>
  <si>
    <t>0611838770025</t>
  </si>
  <si>
    <t>TAG Rudbeckia American Gold Rush 25/25 Portrait Tag</t>
  </si>
  <si>
    <t>0611838771100</t>
  </si>
  <si>
    <t>TAG Rudbeckia Autumn Colors 100/100 Pixie Tag</t>
  </si>
  <si>
    <t>0611838772025</t>
  </si>
  <si>
    <t>TAG Rudbeckia Autumn Colors 25/25 Portrait Tag</t>
  </si>
  <si>
    <t>0611838773100</t>
  </si>
  <si>
    <t>TAG Rudbeckia Becky Mix 100/100 Pixie Tag</t>
  </si>
  <si>
    <t>0611838774100</t>
  </si>
  <si>
    <t>TAG Rudbeckia Becky Yellow 100/100 Pixie Tag</t>
  </si>
  <si>
    <t>0611838775025</t>
  </si>
  <si>
    <t>TAG Rudbeckia Black Eyed Susan Hirta 25/25 Portrait Tag</t>
  </si>
  <si>
    <t>0611838776100</t>
  </si>
  <si>
    <t>TAG Rudbeckia Cherokee Sunset 100/100 Pixie Tag</t>
  </si>
  <si>
    <t>0611838777025</t>
  </si>
  <si>
    <t>TAG Rudbeckia Cherokee Sunset 25/25 Portrait Tag</t>
  </si>
  <si>
    <t>0611838778100</t>
  </si>
  <si>
    <t>TAG Rudbeckia Cherry Brandy 100/100 Pixie Tag</t>
  </si>
  <si>
    <t>0611838779025</t>
  </si>
  <si>
    <t>TAG Rudbeckia Cherry Brandy Hirta 25/25 Portrait Tag</t>
  </si>
  <si>
    <t>0611838780100</t>
  </si>
  <si>
    <t>TAG Rudbeckia Cheyenne Gold 100/100 Pixie Tag</t>
  </si>
  <si>
    <t>0611838781025</t>
  </si>
  <si>
    <t>TAG Rudbeckia Dakota Double Gold Hirta 25/25 Portrait Tag</t>
  </si>
  <si>
    <t>0611838782025</t>
  </si>
  <si>
    <t>TAG Rudbeckia Dakota Flame Hirta 25/25 Portrait Tag</t>
  </si>
  <si>
    <t>0611838783025</t>
  </si>
  <si>
    <t>TAG Rudbeckia Dakota Gold Hirta 25/25 Portrait Tag</t>
  </si>
  <si>
    <t>0611838784025</t>
  </si>
  <si>
    <t>TAG Rudbeckia Dakota Red Shield Hirta 25/25 Portrait Tag</t>
  </si>
  <si>
    <t>0611838785025</t>
  </si>
  <si>
    <t>TAG Rudbeckia Deamii Fulgida 25/25 Portrait Tag</t>
  </si>
  <si>
    <t>0611838786100</t>
  </si>
  <si>
    <t>TAG Rudbeckia Denver Daisy 100/100 Pixie Tag</t>
  </si>
  <si>
    <t>0611838787025</t>
  </si>
  <si>
    <t>TAG Rudbeckia Denver Daisy 25/25 Portrait Tag</t>
  </si>
  <si>
    <t>0611857097025</t>
  </si>
  <si>
    <t>TAG Rudbeckia Goldblitz 25/25 Portrait Tag</t>
  </si>
  <si>
    <t>0611838788100</t>
  </si>
  <si>
    <t>TAG Rudbeckia Goldilocks 100/100 Pixie Tag</t>
  </si>
  <si>
    <t>0611838789100</t>
  </si>
  <si>
    <t>TAG Rudbeckia Goldsturm 100/100 Pixie Tag</t>
  </si>
  <si>
    <t>0611838790025</t>
  </si>
  <si>
    <t>TAG Rudbeckia Goldsturm 25/25 Portrait Tag</t>
  </si>
  <si>
    <t>0611838791025</t>
  </si>
  <si>
    <t>TAG Rudbeckia Green Wizard Occidentalis 25/25 Portrait Tag</t>
  </si>
  <si>
    <t>0611838792100</t>
  </si>
  <si>
    <t>TAG Rudbeckia Hybrid Hirta 100/100 Pixie Tag</t>
  </si>
  <si>
    <t>0611838793100</t>
  </si>
  <si>
    <t>TAG Rudbeckia Indian Summer 100/100 Pixie Tag</t>
  </si>
  <si>
    <t>0611838794025</t>
  </si>
  <si>
    <t>TAG Rudbeckia Indian Summer 25/25 Portrait Tag</t>
  </si>
  <si>
    <t>0611838795100</t>
  </si>
  <si>
    <t>TAG Rudbeckia Irish Eyes 100/100 Pixie Tag</t>
  </si>
  <si>
    <t>0611884416025</t>
  </si>
  <si>
    <t>TAG Rudbeckia Lion Cub 25/25 Portrait Tag</t>
  </si>
  <si>
    <t>0611838796025</t>
  </si>
  <si>
    <t>TAG Rudbeckia Little Gold Star Fulgida 25/25 Portrait Tag</t>
  </si>
  <si>
    <t>0611838797025</t>
  </si>
  <si>
    <t>TAG Rudbeckia Little Henry Subtomentosa 25/25 Portrait Tag</t>
  </si>
  <si>
    <t>0611838798100</t>
  </si>
  <si>
    <t>TAG Rudbeckia Maya 100/100 Pixie Tag</t>
  </si>
  <si>
    <t>0611884417100</t>
  </si>
  <si>
    <t>TAG Rudbeckia Pawnee Spirit 100/100 Pixie Tag</t>
  </si>
  <si>
    <t>0611838799100</t>
  </si>
  <si>
    <t>TAG Rudbeckia Prairie Sun 100/100 Pixie Tag</t>
  </si>
  <si>
    <t>0611838800025</t>
  </si>
  <si>
    <t>TAG Rudbeckia Prairie Sun 25/25 Portrait Tag</t>
  </si>
  <si>
    <t>0611838801100</t>
  </si>
  <si>
    <t>TAG Rudbeckia Rising Sun Chestnut Gld 100/100 Pixie Tag</t>
  </si>
  <si>
    <t>0611838802025</t>
  </si>
  <si>
    <t>TAG Rudbeckia Rising Sun Chestnut Gld 25/25 Portrait Tag</t>
  </si>
  <si>
    <t>0611838803100</t>
  </si>
  <si>
    <t>TAG Rudbeckia Rodeo Double Red 100/100 Pixie Tag</t>
  </si>
  <si>
    <t>0611857098025</t>
  </si>
  <si>
    <t>TAG Rudbeckia Rodeo Double Red 25/25 Portrait Tag</t>
  </si>
  <si>
    <t>0611838804100</t>
  </si>
  <si>
    <t>TAG Rudbeckia Rudbeckia GENERIC 100/100 Pixie Tag</t>
  </si>
  <si>
    <t>0611838805100</t>
  </si>
  <si>
    <t>TAG Rudbeckia Rustic Colors 100/100 Pixie Tag</t>
  </si>
  <si>
    <t>0611838806100</t>
  </si>
  <si>
    <t>TAG Rudbeckia Sonora 100/100 Pixie Tag</t>
  </si>
  <si>
    <t>0611838807025</t>
  </si>
  <si>
    <t>TAG Rudbeckia Sonora 25/25 Portrait Tag</t>
  </si>
  <si>
    <t>0611838809100</t>
  </si>
  <si>
    <t>TAG Rudbeckia Toto Gold 100/100 Pixie Tag</t>
  </si>
  <si>
    <t>0611838810025</t>
  </si>
  <si>
    <t>TAG Rudbeckia Toto Gold 25/25 Portrait Tag</t>
  </si>
  <si>
    <t>0611838811100</t>
  </si>
  <si>
    <t>TAG Rudbeckia Toto Lemon 100/100 Pixie Tag</t>
  </si>
  <si>
    <t>0611838812100</t>
  </si>
  <si>
    <t>TAG Rudbeckia Toto Mix 100/100 Pixie Tag</t>
  </si>
  <si>
    <t>0611838813100</t>
  </si>
  <si>
    <t>TAG Rudbeckia Toto Rustic 100/100 Pixie Tag</t>
  </si>
  <si>
    <t>0611838814025</t>
  </si>
  <si>
    <t>TAG Rudbeckia Triloba 25/25 Portrait Tag</t>
  </si>
  <si>
    <t>0611838815025</t>
  </si>
  <si>
    <t>TAG Rudbeckia Variegated Fulgida 25/25 Portrait Tag</t>
  </si>
  <si>
    <t>0611863891050</t>
  </si>
  <si>
    <t>TAG Ruellia Katie Purple 50/50 Petite Portrait FUL</t>
  </si>
  <si>
    <t>0611838817025</t>
  </si>
  <si>
    <t>TAG Ruellia Katie's Dwarf 25/25 Portrait Tag</t>
  </si>
  <si>
    <t>0611838818025</t>
  </si>
  <si>
    <t>TAG Ruellia Katie's Pink Brittoniana 25/25 Portrait Tag</t>
  </si>
  <si>
    <t>0611838819025</t>
  </si>
  <si>
    <t>TAG Ruellia Katie's Purple Brittoniana 25/25 Portrait Tag</t>
  </si>
  <si>
    <t>0611838821100</t>
  </si>
  <si>
    <t>TAG Ruellia Purple Showers Brittoniana 100/100 Pixie Tag</t>
  </si>
  <si>
    <t>0611838822100</t>
  </si>
  <si>
    <t>TAG Ruellia Upright Purple GENERIC 100/100 Pixie Tag</t>
  </si>
  <si>
    <t>0611838823100</t>
  </si>
  <si>
    <t>TAG Rumex French 100/100 Pixie Tag</t>
  </si>
  <si>
    <t>0611884418025</t>
  </si>
  <si>
    <t>TAG Rumex Raspberry Dressing 25/25 Portrait Tag</t>
  </si>
  <si>
    <t>0611838824025</t>
  </si>
  <si>
    <t>TAG Rumex Sanguineus 25/25 Portrait Tag</t>
  </si>
  <si>
    <t>0611838825100</t>
  </si>
  <si>
    <t>TAG Rumex Sorrel GENERIC 100/100 Pixie Tag</t>
  </si>
  <si>
    <t>0611884419025</t>
  </si>
  <si>
    <t>TAG Rungia Klossii 25/25 Portrait Tag</t>
  </si>
  <si>
    <t>0611838826100</t>
  </si>
  <si>
    <t>TAG Rungia Klossii Mushroom Plant 100/100 Pixie Tag</t>
  </si>
  <si>
    <t>0611838827100</t>
  </si>
  <si>
    <t>TAG Ruta Rue 100/100 Pixie Tag</t>
  </si>
  <si>
    <t>0611884420025</t>
  </si>
  <si>
    <t>TAG Ruta Rue 25/25 Portrait Tag</t>
  </si>
  <si>
    <t>0611838828025</t>
  </si>
  <si>
    <t>TAG Sagina Aurea Scotch Moss 25/25 Portrait Tag</t>
  </si>
  <si>
    <t>0611838829025</t>
  </si>
  <si>
    <t>TAG Sagina Crispy Subulata 25/25 Portrait Tag</t>
  </si>
  <si>
    <t>0611838830025</t>
  </si>
  <si>
    <t>TAG Sagina Irish Moss Subulata 25/25 Portrait Tag</t>
  </si>
  <si>
    <t>0611838831100</t>
  </si>
  <si>
    <t>TAG Saintpaulia African Violet GENERIC 100/100 Pixie Tag</t>
  </si>
  <si>
    <t>0611863892050</t>
  </si>
  <si>
    <t>TAG Saintpaulia Maxi Alice Red 50/50 Petite Portrait FUL</t>
  </si>
  <si>
    <t>0611863893050</t>
  </si>
  <si>
    <t>TAG Saintpaulia Maxi Besar Blue White 50/50 Petite Portrait FUL</t>
  </si>
  <si>
    <t>0611863894050</t>
  </si>
  <si>
    <t>TAG Saintpaulia Maxi Besar Light Blue White 50/50 Petite Portrait FUL</t>
  </si>
  <si>
    <t>0611863895050</t>
  </si>
  <si>
    <t>TAG Saintpaulia Maxi Besar Pink White 50/50 Petite Portrait FUL</t>
  </si>
  <si>
    <t>0611863896050</t>
  </si>
  <si>
    <t>TAG Saintpaulia Maxi Besar Red White 50/50 Petite Portrait FUL</t>
  </si>
  <si>
    <t>0611863897050</t>
  </si>
  <si>
    <t>TAG Saintpaulia Maxi Bibi 50/50 Petite Portrait FUL</t>
  </si>
  <si>
    <t>0611863898050</t>
  </si>
  <si>
    <t>TAG Saintpaulia Maxi Biru 50/50 Petite Portrait FUL</t>
  </si>
  <si>
    <t>0611863899050</t>
  </si>
  <si>
    <t>TAG Saintpaulia Maxi Blue Eye 50/50 Petite Portrait FUL</t>
  </si>
  <si>
    <t>0611884421050</t>
  </si>
  <si>
    <t>TAG Saintpaulia Maxi Carol 50/50 Petite Portrait FUL</t>
  </si>
  <si>
    <t>0611884422050</t>
  </si>
  <si>
    <t>TAG Saintpaulia Maxi Catherina 50/50 Petite Portrait FUL</t>
  </si>
  <si>
    <t>0611863901050</t>
  </si>
  <si>
    <t>TAG Saintpaulia Maxi Chico 50/50 Petite Portrait FUL</t>
  </si>
  <si>
    <t>0611863902050</t>
  </si>
  <si>
    <t>TAG Saintpaulia Maxi Claudia 50/50 Petite Portrait FUL</t>
  </si>
  <si>
    <t>0611884423050</t>
  </si>
  <si>
    <t>TAG Saintpaulia Maxi Curly Ocean 50/50 Petite Portrait FUL</t>
  </si>
  <si>
    <t>0611863903050</t>
  </si>
  <si>
    <t>TAG Saintpaulia Maxi Elin 50/50 Petite Portrait FUL</t>
  </si>
  <si>
    <t>0611884424050</t>
  </si>
  <si>
    <t>TAG Saintpaulia Maxi Fabia 50/50 Petite Portrait FUL</t>
  </si>
  <si>
    <t>0611863904050</t>
  </si>
  <si>
    <t>TAG Saintpaulia Maxi Fleur 50/50 Petite Portrait FUL</t>
  </si>
  <si>
    <t>0611863905050</t>
  </si>
  <si>
    <t>TAG Saintpaulia Maxi Floor 50/50 Petite Portrait FUL</t>
  </si>
  <si>
    <t>0611884425050</t>
  </si>
  <si>
    <t>TAG Saintpaulia Maxi Gabby 50/50 Petite Portrait FUL</t>
  </si>
  <si>
    <t>0611863906050</t>
  </si>
  <si>
    <t>TAG Saintpaulia Maxi Gloria 50/50 Petite Portrait FUL</t>
  </si>
  <si>
    <t>0611884426050</t>
  </si>
  <si>
    <t>TAG Saintpaulia Maxi Iris 50/50 Petite Portrait FUL</t>
  </si>
  <si>
    <t>0611884427050</t>
  </si>
  <si>
    <t>TAG Saintpaulia Maxi Jessica 50/50 Petite Portrait FUL</t>
  </si>
  <si>
    <t>0611884428050</t>
  </si>
  <si>
    <t>TAG Saintpaulia Maxi Laura 50/50 Petite Portrait FUL</t>
  </si>
  <si>
    <t>0611863907050</t>
  </si>
  <si>
    <t>TAG Saintpaulia Maxi Lena 50/50 Petite Portrait FUL</t>
  </si>
  <si>
    <t>0611884429050</t>
  </si>
  <si>
    <t>TAG Saintpaulia Maxi Leticia 50/50 Petite Portrait FUL</t>
  </si>
  <si>
    <t>0611863908050</t>
  </si>
  <si>
    <t>TAG Saintpaulia Maxi Lia 50/50 Petite Portrait FUL</t>
  </si>
  <si>
    <t>0611863909050</t>
  </si>
  <si>
    <t>TAG Saintpaulia Maxi Lila Lana 50/50 Petite Portrait FUL</t>
  </si>
  <si>
    <t>0611863910050</t>
  </si>
  <si>
    <t>TAG Saintpaulia Maxi Livia 50/50 Petite Portrait FUL</t>
  </si>
  <si>
    <t>0611863911050</t>
  </si>
  <si>
    <t>TAG Saintpaulia Maxi Lizzy 50/50 Petite Portrait FUL</t>
  </si>
  <si>
    <t>0611863912050</t>
  </si>
  <si>
    <t>TAG Saintpaulia Maxi Lotte 50/50 Petite Portrait FUL</t>
  </si>
  <si>
    <t>0611863913050</t>
  </si>
  <si>
    <t>TAG Saintpaulia Maxi Marilyn 50/50 Petite Portrait FUL</t>
  </si>
  <si>
    <t>0611863914050</t>
  </si>
  <si>
    <t>TAG Saintpaulia Maxi Meike 50/50 Petite Portrait FUL</t>
  </si>
  <si>
    <t>0611863915050</t>
  </si>
  <si>
    <t>TAG Saintpaulia Maxi Patty 50/50 Petite Portrait FUL</t>
  </si>
  <si>
    <t>0611863916050</t>
  </si>
  <si>
    <t>TAG Saintpaulia Maxi Puck 50/50 Petite Portrait FUL</t>
  </si>
  <si>
    <t>0611863917050</t>
  </si>
  <si>
    <t>TAG Saintpaulia Maxi Rana 50/50 Petite Portrait FUL</t>
  </si>
  <si>
    <t>0611863918050</t>
  </si>
  <si>
    <t>TAG Saintpaulia Maxi Rianne 50/50 Petite Portrait FUL</t>
  </si>
  <si>
    <t>0611884430050</t>
  </si>
  <si>
    <t>TAG Saintpaulia Maxi Roccoco Pink 50/50 Petite Portrait FUL</t>
  </si>
  <si>
    <t>0611884431050</t>
  </si>
  <si>
    <t>TAG Saintpaulia Maxi Roccoco White 50/50 Petite Portrait FUL</t>
  </si>
  <si>
    <t>0611884432050</t>
  </si>
  <si>
    <t>TAG Saintpaulia Maxi Triton 50/50 Petite Portrait FUL</t>
  </si>
  <si>
    <t>0611884433050</t>
  </si>
  <si>
    <t>TAG Saintpaulia Maxi Yasmin 50/50 Petite Portrait FUL</t>
  </si>
  <si>
    <t>0611863919050</t>
  </si>
  <si>
    <t>TAG Saintpaulia Mini Dewi 50/50 Petite Portrait FUL</t>
  </si>
  <si>
    <t>0611863920050</t>
  </si>
  <si>
    <t>TAG Saintpaulia Mini Jenny Blue 50/50 Petite Portrait FUL</t>
  </si>
  <si>
    <t>0611863921050</t>
  </si>
  <si>
    <t>TAG Saintpaulia Mini Jenny Dark Pink 50/50 Petite Portrait FUL</t>
  </si>
  <si>
    <t>0611863922050</t>
  </si>
  <si>
    <t>TAG Saintpaulia Mini Jenny Lilac 50/50 Petite Portrait FUL</t>
  </si>
  <si>
    <t>0611863923050</t>
  </si>
  <si>
    <t>TAG Saintpaulia Mini Jenny Pink 50/50 Petite Portrait FUL</t>
  </si>
  <si>
    <t>0611863924050</t>
  </si>
  <si>
    <t>TAG Saintpaulia Mini Lady 50/50 Petite Portrait FUL</t>
  </si>
  <si>
    <t>0611863925050</t>
  </si>
  <si>
    <t>TAG Saintpaulia Mini Loni 50/50 Petite Portrait FUL</t>
  </si>
  <si>
    <t>0611863926050</t>
  </si>
  <si>
    <t>TAG Saintpaulia Mini Rosi 50/50 Petite Portrait FUL</t>
  </si>
  <si>
    <t>0611863927050</t>
  </si>
  <si>
    <t>TAG Saintpaulia Mini Sarah 50/50 Petite Portrait FUL</t>
  </si>
  <si>
    <t>0611863928050</t>
  </si>
  <si>
    <t>TAG Saintpaulia Mini Sarah Lilac 50/50 Petite Portrait FUL</t>
  </si>
  <si>
    <t>0611838835100</t>
  </si>
  <si>
    <t>TAG Salpiglossis GENERIC 100/100 Pixie Tag</t>
  </si>
  <si>
    <t>0611838833100</t>
  </si>
  <si>
    <t>TAG Salpiglossis Royale Formula Mixture 100/100 Pixie Tag</t>
  </si>
  <si>
    <t>0611838834100</t>
  </si>
  <si>
    <t>TAG Salpiglossis Royale Series 100/100 Pixie Tag</t>
  </si>
  <si>
    <t>0611838836025</t>
  </si>
  <si>
    <t>TAG Salvia Adora Blue Superba 25/25 Portrait Tag</t>
  </si>
  <si>
    <t>0611838837025</t>
  </si>
  <si>
    <t>TAG Salvia Amante 25/25 Portrait Tag</t>
  </si>
  <si>
    <t>0611838838025</t>
  </si>
  <si>
    <t>TAG Salvia Amethyst Lips 25/25 Portrait Tag</t>
  </si>
  <si>
    <t>0611884434100</t>
  </si>
  <si>
    <t>TAG Salvia Amigo 100/100 Pixie Tag</t>
  </si>
  <si>
    <t>0611838839100</t>
  </si>
  <si>
    <t>TAG Salvia Amistad 100/100 Pixie Tag</t>
  </si>
  <si>
    <t>0611884435100</t>
  </si>
  <si>
    <t>TAG Salvia Angel Wings 100/100 Pixie Tag</t>
  </si>
  <si>
    <t>0611838841025</t>
  </si>
  <si>
    <t>TAG Salvia Apex Blue Nemorosa 25/25 Portrait Tag</t>
  </si>
  <si>
    <t>0611838842025</t>
  </si>
  <si>
    <t>TAG Salvia Apex Pink Nemorosa 25/25 Portrait Tag</t>
  </si>
  <si>
    <t>0611838843025</t>
  </si>
  <si>
    <t>TAG Salvia Apex White Nemorosa 25/25 Portrait Tag</t>
  </si>
  <si>
    <t>0611838847025</t>
  </si>
  <si>
    <t>TAG Salvia Argentea 25/25 Portrait Tag</t>
  </si>
  <si>
    <t>0611838848025</t>
  </si>
  <si>
    <t>TAG Salvia Aurea 25/25 Portrait Tag</t>
  </si>
  <si>
    <t>0611838849100</t>
  </si>
  <si>
    <t>TAG Salvia Berggarten 100/100 Pixie Tag</t>
  </si>
  <si>
    <t>0611838850025</t>
  </si>
  <si>
    <t>TAG Salvia Berggarten 25/25 Portrait Tag</t>
  </si>
  <si>
    <t>0611863929100</t>
  </si>
  <si>
    <t>TAG Salvia Berggarten Sage 100/100 Pixie Tag FUL</t>
  </si>
  <si>
    <t>0611863930050</t>
  </si>
  <si>
    <t>TAG Salvia Berggarten Sage Limited Availability 50/50 Petite Portrait</t>
  </si>
  <si>
    <t>0611884436025</t>
  </si>
  <si>
    <t>TAG Salvia Berggarten Variegated 25/25 Portrait Tag</t>
  </si>
  <si>
    <t>0611838851100</t>
  </si>
  <si>
    <t>TAG Salvia Big Blue 100/100 Pixie Tag</t>
  </si>
  <si>
    <t>0611863931050</t>
  </si>
  <si>
    <t>TAG Salvia Black And Blue 50/50 Petite Portrait FUL</t>
  </si>
  <si>
    <t>0611838852100</t>
  </si>
  <si>
    <t>TAG Salvia Black And Blue Guaranitica 100/100 Pixie Tag</t>
  </si>
  <si>
    <t>0611838853025</t>
  </si>
  <si>
    <t>TAG Salvia Black And Blue Guaranitica 25/25 Portrait Tag</t>
  </si>
  <si>
    <t>0611838854100</t>
  </si>
  <si>
    <t>TAG Salvia Blue Angel 100/100 Pixie Tag</t>
  </si>
  <si>
    <t>0611838855100</t>
  </si>
  <si>
    <t>TAG Salvia Blue Bedder 100/100 Pixie Tag</t>
  </si>
  <si>
    <t>0611838856025</t>
  </si>
  <si>
    <t>TAG Salvia Blue Bouquetta 25/25 Portrait Tag</t>
  </si>
  <si>
    <t>0611838857025</t>
  </si>
  <si>
    <t>TAG Salvia Blue By You Nemorosa 25/25 Portrait Tag</t>
  </si>
  <si>
    <t>0611863932100</t>
  </si>
  <si>
    <t>TAG Salvia Blue Hill 100/100 Pixie Tag FUL</t>
  </si>
  <si>
    <t>0611838858025</t>
  </si>
  <si>
    <t>TAG Salvia Blue Hill 25/25 Portrait Tag</t>
  </si>
  <si>
    <t>0611863933100</t>
  </si>
  <si>
    <t>TAG Salvia Blue Marvel 100/100 Pixie Tag FUL</t>
  </si>
  <si>
    <t>0611863934050</t>
  </si>
  <si>
    <t>TAG Salvia Blue Marvel Limited Availability 50/50 Petite Portrait</t>
  </si>
  <si>
    <t>0611838859100</t>
  </si>
  <si>
    <t>TAG Salvia Blue Queen 100/100 Pixie Tag</t>
  </si>
  <si>
    <t>0611838860025</t>
  </si>
  <si>
    <t>TAG Salvia Blue Queen 25/25 Portrait Tag</t>
  </si>
  <si>
    <t>0611863935050</t>
  </si>
  <si>
    <t>TAG Salvia Bodacious Hummingbird Falls 50/50 Petite Portrait FUL</t>
  </si>
  <si>
    <t>0611838861100</t>
  </si>
  <si>
    <t>TAG Salvia Bonfire 100/100 Pixie Tag</t>
  </si>
  <si>
    <t>0611838862100</t>
  </si>
  <si>
    <t>TAG Salvia Bonfire Elite 100/100 Pixie Tag</t>
  </si>
  <si>
    <t>0611838863025</t>
  </si>
  <si>
    <t>TAG Salvia Bordeau Compact Sky Blue 25/25 Portrait Tag SF</t>
  </si>
  <si>
    <t>0611838864025</t>
  </si>
  <si>
    <t>TAG Salvia Bordeau Deep Blue Nemorosa 25/25 Portrait Tag SF</t>
  </si>
  <si>
    <t>0611838867025</t>
  </si>
  <si>
    <t>TAG Salvia Bordeau White Nemorosa 25/25 Portrait Tag SF</t>
  </si>
  <si>
    <t>0611838871100</t>
  </si>
  <si>
    <t>TAG Salvia Candle Midnight 100/100 Pixie Tag</t>
  </si>
  <si>
    <t>0611863936100</t>
  </si>
  <si>
    <t>TAG Salvia Caradonna 100/100 Pixie Tag FUL</t>
  </si>
  <si>
    <t>0611838873025</t>
  </si>
  <si>
    <t>TAG Salvia Caradonna 25/25 Portrait Tag</t>
  </si>
  <si>
    <t>0611863937050</t>
  </si>
  <si>
    <t>TAG Salvia Caradonna Limited Availability 50/50 Petite Portrait</t>
  </si>
  <si>
    <t>0611838874025</t>
  </si>
  <si>
    <t>TAG Salvia Caradonna Pink Inspirat 25/25 Portrait Tag</t>
  </si>
  <si>
    <t>0611863938100</t>
  </si>
  <si>
    <t>TAG Salvia Caramia 100/100 Pixie Tag FUL</t>
  </si>
  <si>
    <t>0611838875025</t>
  </si>
  <si>
    <t>TAG Salvia Cathedral Series 25/25 Portrait Tag</t>
  </si>
  <si>
    <t>0611838876025</t>
  </si>
  <si>
    <t>TAG Salvia Cherry Lips 25/25 Portrait Tag</t>
  </si>
  <si>
    <t>0611838877100</t>
  </si>
  <si>
    <t>TAG Salvia Cool Cream 100/100 Pixie Tag</t>
  </si>
  <si>
    <t>0611838878100</t>
  </si>
  <si>
    <t>TAG Salvia Cool Pink 100/100 Pixie Tag</t>
  </si>
  <si>
    <t>0611838879100</t>
  </si>
  <si>
    <t>TAG Salvia Cool Violet 100/100 Pixie Tag</t>
  </si>
  <si>
    <t>0611884437100</t>
  </si>
  <si>
    <t>TAG Salvia Cuello Cream 100/100 Pixie Tag</t>
  </si>
  <si>
    <t>0611884438100</t>
  </si>
  <si>
    <t>TAG Salvia Cuello Pink 100/100 Pixie Tag</t>
  </si>
  <si>
    <t>0611884439100</t>
  </si>
  <si>
    <t>TAG Salvia Cuello White 100/100 Pixie Tag</t>
  </si>
  <si>
    <t>0611838880025</t>
  </si>
  <si>
    <t>TAG Salvia Dark Matter Nemorosa 25/25 Portrait Tag</t>
  </si>
  <si>
    <t>0611884440100</t>
  </si>
  <si>
    <t>TAG Salvia Day Glow 100/100 Pixie Tag</t>
  </si>
  <si>
    <t>0611838881025</t>
  </si>
  <si>
    <t>TAG Salvia Dimension Bl Nemorosa 25/25 Portrait Tag</t>
  </si>
  <si>
    <t>0611838882025</t>
  </si>
  <si>
    <t>TAG Salvia Dimension Rose Nemorosa 25/25 Portrait Tag</t>
  </si>
  <si>
    <t>0611838883100</t>
  </si>
  <si>
    <t>TAG Salvia Dwarf GENERIC 100/100 Pixie Tag</t>
  </si>
  <si>
    <t>0611838884100</t>
  </si>
  <si>
    <t>TAG Salvia Dwarf Purple GENERIC 100/100 Pixie Tag</t>
  </si>
  <si>
    <t>0611838885100</t>
  </si>
  <si>
    <t>TAG Salvia Dwarf Red GENERIC 100/100 Pixie Tag</t>
  </si>
  <si>
    <t>0611838886100</t>
  </si>
  <si>
    <t>TAG Salvia Early Bonfire 100/100 Pixie Tag</t>
  </si>
  <si>
    <t>0611863939100</t>
  </si>
  <si>
    <t>TAG Salvia East Friesland 100/100 Pixie Tag FUL</t>
  </si>
  <si>
    <t>0611838887025</t>
  </si>
  <si>
    <t>TAG Salvia East Friesland 25/25 Portrait Tag</t>
  </si>
  <si>
    <t>0611863940100</t>
  </si>
  <si>
    <t>TAG Salvia Elegans Pineapple Sage 100/100 Pixie Tag FUL</t>
  </si>
  <si>
    <t>0611838888025</t>
  </si>
  <si>
    <t>TAG Salvia Embers Wish 25/25 Portrait Tag</t>
  </si>
  <si>
    <t>0611838889100</t>
  </si>
  <si>
    <t>TAG Salvia Evolution Violet 100/100 Pixie Tag</t>
  </si>
  <si>
    <t>0611838890100</t>
  </si>
  <si>
    <t>TAG Salvia Evolution White 100/100 Pixie Tag</t>
  </si>
  <si>
    <t>0611838891100</t>
  </si>
  <si>
    <t>TAG Salvia Fairy Queen 100/100 Pixie Tag</t>
  </si>
  <si>
    <t>0611838893100</t>
  </si>
  <si>
    <t>TAG Salvia Farinacea GENERIC 100/100 Pixie Tag</t>
  </si>
  <si>
    <t>0611838894100</t>
  </si>
  <si>
    <t>TAG Salvia Fashion Series 100/100 Pixie Tag</t>
  </si>
  <si>
    <t>0611838896100</t>
  </si>
  <si>
    <t>TAG Salvia Flare 100/100 Pixie Tag</t>
  </si>
  <si>
    <t>0611884441100</t>
  </si>
  <si>
    <t>TAG Salvia Flipside 100/100 Pixie Tag</t>
  </si>
  <si>
    <t>0611838897025</t>
  </si>
  <si>
    <t>TAG Salvia Furmans Red Greggii 25/25 Portrait Tag</t>
  </si>
  <si>
    <t>0611863941050</t>
  </si>
  <si>
    <t>TAG Salvia Garden Grey Sage 50/50 Petite Portrait FUL</t>
  </si>
  <si>
    <t>0611838898100</t>
  </si>
  <si>
    <t>TAG Salvia Garden Leader Sage 100/100 Pixie Tag</t>
  </si>
  <si>
    <t>0611838899100</t>
  </si>
  <si>
    <t>TAG Salvia Garden Sage GENERIC 100/100 Pixie Tag</t>
  </si>
  <si>
    <t>0611838900100</t>
  </si>
  <si>
    <t>TAG Salvia Garden Sage Officinalis 100/100 Pixie Tag</t>
  </si>
  <si>
    <t>0611838901200</t>
  </si>
  <si>
    <t>TAG Salvia Garden Sage Officinalis 200/200 Thriftee Tag</t>
  </si>
  <si>
    <t>0611838902025</t>
  </si>
  <si>
    <t>TAG Salvia Garden Sage Officinalis 25/25 Portrait Tag</t>
  </si>
  <si>
    <t>0611838903025</t>
  </si>
  <si>
    <t>TAG Salvia GENERIC Greggii 25/25 Portrait Tag</t>
  </si>
  <si>
    <t>0611838904025</t>
  </si>
  <si>
    <t>TAG Salvia GENERIC Nemorosa 25/25 Portrait Tag</t>
  </si>
  <si>
    <t>0611838905100</t>
  </si>
  <si>
    <t>TAG Salvia Grandstand Series 100/100 Pixie Tag</t>
  </si>
  <si>
    <t>0611838906025</t>
  </si>
  <si>
    <t>TAG Salvia Grandstand Series 25/25 Portrait Tag</t>
  </si>
  <si>
    <t>0611838907100</t>
  </si>
  <si>
    <t>TAG Salvia Growers Friend 100/100 Pixie Tag</t>
  </si>
  <si>
    <t>0611884442100</t>
  </si>
  <si>
    <t>TAG Salvia Guaranitica Generic 100/100 Pixie Tag</t>
  </si>
  <si>
    <t>0611863942050</t>
  </si>
  <si>
    <t>TAG Salvia Heatwave Blast 50/50 Petite Portrait FUL</t>
  </si>
  <si>
    <t>0611863943050</t>
  </si>
  <si>
    <t>TAG Salvia Heatwave Blaze 50/50 Petite Portrait FUL</t>
  </si>
  <si>
    <t>0611863944050</t>
  </si>
  <si>
    <t>TAG Salvia Heatwave Breeze 50/50 Petite Portrait FUL</t>
  </si>
  <si>
    <t>0611863945050</t>
  </si>
  <si>
    <t>TAG Salvia Heatwave Glimmer 50/50 Petite Portrait FUL</t>
  </si>
  <si>
    <t>0611863946050</t>
  </si>
  <si>
    <t>TAG Salvia Heatwave Glitter 50/50 Petite Portrait FUL</t>
  </si>
  <si>
    <t>0611863947050</t>
  </si>
  <si>
    <t>TAG Salvia Heatwave Sparkle 50/50 Petite Portrait FUL</t>
  </si>
  <si>
    <t>0611884443025</t>
  </si>
  <si>
    <t>TAG Salvia Honeydew Honey Melon 25/25 Portrait Tag</t>
  </si>
  <si>
    <t>0611838913100</t>
  </si>
  <si>
    <t>TAG Salvia Hot Lips 100/100 Pixie Tag</t>
  </si>
  <si>
    <t>0611838914025</t>
  </si>
  <si>
    <t>TAG Salvia Hot Lips 25/25 Portrait Tag</t>
  </si>
  <si>
    <t>0611863948050</t>
  </si>
  <si>
    <t>TAG Salvia Hot Lips 50/50 Petite Portrait FUL</t>
  </si>
  <si>
    <t>0611838919100</t>
  </si>
  <si>
    <t>TAG Salvia Hummingbird Coral 100/100 Pixie Tag</t>
  </si>
  <si>
    <t>0611838920100</t>
  </si>
  <si>
    <t>TAG Salvia Hummingbird Forest Fire 100/100 Pixie Tag</t>
  </si>
  <si>
    <t>0611838921100</t>
  </si>
  <si>
    <t>TAG Salvia Hummingbird Red 100/100 Pixie Tag</t>
  </si>
  <si>
    <t>0611838922100</t>
  </si>
  <si>
    <t>TAG Salvia Hummingbird White 100/100 Pixie Tag</t>
  </si>
  <si>
    <t>0611884444100</t>
  </si>
  <si>
    <t>TAG Salvia Hybrid Generic 100/100 Pixie Tag</t>
  </si>
  <si>
    <t>0611884445050</t>
  </si>
  <si>
    <t>TAG Salvia Icon Blue Bicolor 50/50 Petite Portrait DO FUL</t>
  </si>
  <si>
    <t>0611863949050</t>
  </si>
  <si>
    <t>TAG Salvia Icon Dark Blue 50/50 Petite Portrait DO FUL</t>
  </si>
  <si>
    <t>0611884446050</t>
  </si>
  <si>
    <t>TAG Salvia Icon Glacier 50/50 Petite Portrait DO FUL</t>
  </si>
  <si>
    <t>0611863950050</t>
  </si>
  <si>
    <t>TAG Salvia Icon Light Blue 50/50 Petite Portrait DO FUL</t>
  </si>
  <si>
    <t>0611863951050</t>
  </si>
  <si>
    <t>TAG Salvia Icon Violet 50/50 Petite Portrait DO FUL</t>
  </si>
  <si>
    <t>0611838923100</t>
  </si>
  <si>
    <t>TAG Salvia Icterina 100/100 Pixie Tag</t>
  </si>
  <si>
    <t>0611838924025</t>
  </si>
  <si>
    <t>TAG Salvia Icterina 25/25 Portrait Tag</t>
  </si>
  <si>
    <t>0611863952050</t>
  </si>
  <si>
    <t>TAG Salvia Icterina Sage 50/50 Petite Portrait FUL</t>
  </si>
  <si>
    <t>0611838927025</t>
  </si>
  <si>
    <t>TAG Salvia Kate Glenn Nemorosa 25/25 Portrait Tag</t>
  </si>
  <si>
    <t>0611838928025</t>
  </si>
  <si>
    <t>TAG Salvia Kisses And Wishes 25/25 Portrait Tag</t>
  </si>
  <si>
    <t>0611838929100</t>
  </si>
  <si>
    <t>TAG Salvia Lady In Red 100/100 Pixie Tag</t>
  </si>
  <si>
    <t>0611838930100</t>
  </si>
  <si>
    <t>TAG Salvia Lancelot Canariensis 100/100 Pixie Tag</t>
  </si>
  <si>
    <t>0611838931100</t>
  </si>
  <si>
    <t>TAG Salvia Lemon Pie Greggii 100/100 Pixie Tag</t>
  </si>
  <si>
    <t>0611838932100</t>
  </si>
  <si>
    <t>TAG Salvia Lighthouse 100/100 Pixie Tag</t>
  </si>
  <si>
    <t>0611838933100</t>
  </si>
  <si>
    <t>TAG Salvia Lighthouse Purple 100/100 Pixie Tag</t>
  </si>
  <si>
    <t>0611863953050</t>
  </si>
  <si>
    <t>TAG Salvia Lipstick 50/50 Petite Portrait FUL</t>
  </si>
  <si>
    <t>0611838935025</t>
  </si>
  <si>
    <t>TAG Salvia Love And Wishes 25/25 Portrait Tag</t>
  </si>
  <si>
    <t>0611838936025</t>
  </si>
  <si>
    <t>TAG Salvia Lyrical Blues Nemorosa 25/25 Portrait Tag</t>
  </si>
  <si>
    <t>0611838937025</t>
  </si>
  <si>
    <t>TAG Salvia Lyrical Rose Nemorosa 25/25 Portrait Tag</t>
  </si>
  <si>
    <t>0611838938025</t>
  </si>
  <si>
    <t>TAG Salvia Lyrical Silvertone 25/25 Portrait Tag</t>
  </si>
  <si>
    <t>0611838939025</t>
  </si>
  <si>
    <t>TAG Salvia Lyrical White Nemorosa 25/25 Portrait Tag</t>
  </si>
  <si>
    <t>0611838940100</t>
  </si>
  <si>
    <t>TAG Salvia Maestro 100/100 Pixie Tag</t>
  </si>
  <si>
    <t>0611863954100</t>
  </si>
  <si>
    <t>TAG Salvia Marcus 100/100 Pixie Tag FUL</t>
  </si>
  <si>
    <t>0611838942025</t>
  </si>
  <si>
    <t>TAG Salvia Marcus Nemorosa 25/25 Portrait Tag</t>
  </si>
  <si>
    <t>0611838943025</t>
  </si>
  <si>
    <t>TAG Salvia Marvel Blue Nemorosa 25/25 Portrait Tag</t>
  </si>
  <si>
    <t>0611838944025</t>
  </si>
  <si>
    <t>TAG Salvia Marvel Rose Nemorosa 25/25 Portrait Tag</t>
  </si>
  <si>
    <t>0611838945025</t>
  </si>
  <si>
    <t>TAG Salvia Marvel Sky Blue Nemorosa 25/25 Portrait Tag</t>
  </si>
  <si>
    <t>0611863955100</t>
  </si>
  <si>
    <t>TAG Salvia May Night 100/100 Pixie Tag FUL</t>
  </si>
  <si>
    <t>0611838946025</t>
  </si>
  <si>
    <t>TAG Salvia May Night 25/25 Portrait Tag</t>
  </si>
  <si>
    <t>0611863956050</t>
  </si>
  <si>
    <t>TAG Salvia May Night 50/50 Petite Portrait FUL</t>
  </si>
  <si>
    <t>0611838947100</t>
  </si>
  <si>
    <t>TAG Salvia Medium Red GENERIC 100/100 Pixie Tag</t>
  </si>
  <si>
    <t>0611838948025</t>
  </si>
  <si>
    <t>TAG Salvia Merleau Blue Nemorosa 25/25 Portrait Tag SF</t>
  </si>
  <si>
    <t>0611838949025</t>
  </si>
  <si>
    <t>TAG Salvia Merleau Rose Nemorosa 25/25 Portrait Tag SF</t>
  </si>
  <si>
    <t>0611838950100</t>
  </si>
  <si>
    <t>TAG Salvia Mexican 100/100 Pixie Tag</t>
  </si>
  <si>
    <t>0611838951100</t>
  </si>
  <si>
    <t>TAG Salvia Mexican Bush Sage 100/100 Pixie Tag</t>
  </si>
  <si>
    <t>0611838952025</t>
  </si>
  <si>
    <t>TAG Salvia Mexican Bush Sage 25/25 Portrait Tag</t>
  </si>
  <si>
    <t>0611863957100</t>
  </si>
  <si>
    <t>TAG Salvia Midnight Purple 100/100 Pixie Tag DO FUL</t>
  </si>
  <si>
    <t>0611863958100</t>
  </si>
  <si>
    <t>TAG Salvia Midnight Rose 100/100 Pixie Tag DO FUL</t>
  </si>
  <si>
    <t>0611838953025</t>
  </si>
  <si>
    <t>TAG Salvia Mirage Blue Greggii 25/25 Portrait Tag</t>
  </si>
  <si>
    <t>0611838954025</t>
  </si>
  <si>
    <t>TAG Salvia Mirage Burgundy Greggii 25/25 Portrait Tag</t>
  </si>
  <si>
    <t>0611838955025</t>
  </si>
  <si>
    <t>TAG Salvia Mirage Cherry Red Greggii 25/25 Portrait Tag</t>
  </si>
  <si>
    <t>0611838956025</t>
  </si>
  <si>
    <t>TAG Salvia Mirage Deep Purple Greggii 25/25 Portrait Tag</t>
  </si>
  <si>
    <t>0611838957025</t>
  </si>
  <si>
    <t>TAG Salvia Mirage Hot Pink Greggii 25/25 Portrait Tag</t>
  </si>
  <si>
    <t>0611838958025</t>
  </si>
  <si>
    <t>TAG Salvia Mirage Pink Greggii 25/25 Portrait Tag</t>
  </si>
  <si>
    <t>0611838959025</t>
  </si>
  <si>
    <t>TAG Salvia Mirage Rose Bicolor Greggii 25/25 Portrait Tag</t>
  </si>
  <si>
    <t>0611838960025</t>
  </si>
  <si>
    <t>TAG Salvia Mirage Rose Neon Greggii 25/25 Portrait Tag</t>
  </si>
  <si>
    <t>0611838961025</t>
  </si>
  <si>
    <t>TAG Salvia Mirage Salmon Greggii 25/25 Portrait Tag</t>
  </si>
  <si>
    <t>0611838963025</t>
  </si>
  <si>
    <t>TAG Salvia Mirage Violet Greggii 25/25 Portrait Tag</t>
  </si>
  <si>
    <t>0611838964025</t>
  </si>
  <si>
    <t>TAG Salvia Mirage White Greggii 25/25 Portrait Tag</t>
  </si>
  <si>
    <t>0611838965100</t>
  </si>
  <si>
    <t>TAG Salvia Mojave Mix 100/100 Pixie Tag SF</t>
  </si>
  <si>
    <t>0611838966100</t>
  </si>
  <si>
    <t>TAG Salvia Mojave Purple 100/100 Pixie Tag SF</t>
  </si>
  <si>
    <t>0611838967100</t>
  </si>
  <si>
    <t>TAG Salvia Mojave Red 100/100 Pixie Tag SF</t>
  </si>
  <si>
    <t>0611838968100</t>
  </si>
  <si>
    <t>TAG Salvia Mojave Red And White Bicolor 100/100 Pixie Tag SF</t>
  </si>
  <si>
    <t>0611838969100</t>
  </si>
  <si>
    <t>TAG Salvia Mojave Salmon 100/100 Pixie Tag SF</t>
  </si>
  <si>
    <t>0611838970100</t>
  </si>
  <si>
    <t>TAG Salvia Mojave White 100/100 Pixie Tag SF</t>
  </si>
  <si>
    <t>0611838971100</t>
  </si>
  <si>
    <t>TAG Salvia Nymph Coral 100/100 Pixie Tag</t>
  </si>
  <si>
    <t>0611838972100</t>
  </si>
  <si>
    <t>TAG Salvia Nymph White 100/100 Pixie Tag</t>
  </si>
  <si>
    <t>0611884447100</t>
  </si>
  <si>
    <t>TAG Salvia Oriental Dove 100/100 Pixie Tag</t>
  </si>
  <si>
    <t>0611838973100</t>
  </si>
  <si>
    <t>TAG Salvia Patio Deep Blue 100/100 Pixie Tag</t>
  </si>
  <si>
    <t>0611838974100</t>
  </si>
  <si>
    <t>TAG Salvia Patio Sky Blue 100/100 Pixie Tag</t>
  </si>
  <si>
    <t>0611838975100</t>
  </si>
  <si>
    <t>TAG Salvia Peach Cobbler Greggii 100/100 Pixie Tag</t>
  </si>
  <si>
    <t>0611838976100</t>
  </si>
  <si>
    <t>TAG Salvia Pineapple 100/100 Pixie Tag</t>
  </si>
  <si>
    <t>0611838977025</t>
  </si>
  <si>
    <t>TAG Salvia Pineapple 25/25 Portrait Tag</t>
  </si>
  <si>
    <t>0611884448100</t>
  </si>
  <si>
    <t>TAG Salvia Pink Mulberry 100/100 Pixie Tag</t>
  </si>
  <si>
    <t>0611884449025</t>
  </si>
  <si>
    <t>TAG Salvia Pink Nebula 25/25 Portrait Tag</t>
  </si>
  <si>
    <t>0611838979100</t>
  </si>
  <si>
    <t>TAG Salvia Pink Pong 100/100 Pixie Tag</t>
  </si>
  <si>
    <t>0611838981100</t>
  </si>
  <si>
    <t>TAG Salvia Purple 100/100 Pixie Tag</t>
  </si>
  <si>
    <t>0611838982025</t>
  </si>
  <si>
    <t>TAG Salvia Purple 25/25 Portrait Tag</t>
  </si>
  <si>
    <t>0611863959100</t>
  </si>
  <si>
    <t>TAG Salvia Purpurascens Sage 100/100 Pixie Tag FUL</t>
  </si>
  <si>
    <t>0611838985100</t>
  </si>
  <si>
    <t>TAG Salvia Red Greggii 100/100 Pixie Tag</t>
  </si>
  <si>
    <t>0611838986100</t>
  </si>
  <si>
    <t>TAG Salvia Red Hot Sally II 100/100 Pixie Tag</t>
  </si>
  <si>
    <t>0611857099100</t>
  </si>
  <si>
    <t>TAG Salvia Reddy Series 100/100 Pixie Tag</t>
  </si>
  <si>
    <t>0611838988100</t>
  </si>
  <si>
    <t>TAG Salvia Rhea 100/100 Pixie Tag SF</t>
  </si>
  <si>
    <t>0611838989100</t>
  </si>
  <si>
    <t>TAG Salvia Rose Queen Nemorosa 100/100 Pixie Tag</t>
  </si>
  <si>
    <t>0611838990100</t>
  </si>
  <si>
    <t>TAG Salvia Sallyfun Bicolor Blue 100/100 Pixie Tag</t>
  </si>
  <si>
    <t>0611838992100</t>
  </si>
  <si>
    <t>TAG Salvia Sallyfun Blue Emotion 100/100 Pixie Tag</t>
  </si>
  <si>
    <t>0611838993100</t>
  </si>
  <si>
    <t>TAG Salvia Sallyfun Blue Ice 100/100 Pixie Tag</t>
  </si>
  <si>
    <t>0611857100100</t>
  </si>
  <si>
    <t>TAG Salvia Sallyfun Blue Lagoon 100/100 Pixie Tag</t>
  </si>
  <si>
    <t>0611838994100</t>
  </si>
  <si>
    <t>TAG Salvia Sallyfun Deep Ocean 100/100 Pixie Tag</t>
  </si>
  <si>
    <t>0611838995100</t>
  </si>
  <si>
    <t>TAG Salvia Sallyfun Pure White 100/100 Pixie Tag</t>
  </si>
  <si>
    <t>0611838996100</t>
  </si>
  <si>
    <t>TAG Salvia Sallyfun Series 100/100 Pixie Tag</t>
  </si>
  <si>
    <t>0611838997100</t>
  </si>
  <si>
    <t>TAG Salvia Sallyfun Sky Blue 100/100 Pixie Tag</t>
  </si>
  <si>
    <t>0611838998100</t>
  </si>
  <si>
    <t>TAG Salvia Sallyfun XL Blue 100/100 Pixie Tag</t>
  </si>
  <si>
    <t>0611838999025</t>
  </si>
  <si>
    <t>TAG Salvia Sallyrosa April Night 25/25 Portrait Tag</t>
  </si>
  <si>
    <t>0611839000025</t>
  </si>
  <si>
    <t>TAG Salvia Sallyrosa Jumbo Pink 25/25 Portrait Tag</t>
  </si>
  <si>
    <t>0611839001100</t>
  </si>
  <si>
    <t>TAG Salvia Salsa Mix 100/100 Pixie Tag</t>
  </si>
  <si>
    <t>0611839002100</t>
  </si>
  <si>
    <t>TAG Salvia Salsa Purple 100/100 Pixie Tag</t>
  </si>
  <si>
    <t>0611839003100</t>
  </si>
  <si>
    <t>TAG Salvia Salsa Scarlet 100/100 Pixie Tag</t>
  </si>
  <si>
    <t>0611863960050</t>
  </si>
  <si>
    <t>TAG Salvia Salute Blue Improved Limited Availability 50/50 Petite Tag DO</t>
  </si>
  <si>
    <t>0611863961100</t>
  </si>
  <si>
    <t>TAG Salvia Salute Blue Limited Availability 100/100 Pixie Tag DO</t>
  </si>
  <si>
    <t>0611863962100</t>
  </si>
  <si>
    <t>TAG Salvia Salute Deep Blue 100/100 Pixie Tag DO FUL</t>
  </si>
  <si>
    <t>0611863963050</t>
  </si>
  <si>
    <t>TAG Salvia Salute Deep Blue Limited Availability 50/50 Petite Portrait DO FUL</t>
  </si>
  <si>
    <t>0611863964100</t>
  </si>
  <si>
    <t>TAG Salvia Salute Ice Blue 100/100 Pixie Tag DO FUL</t>
  </si>
  <si>
    <t>0611863965100</t>
  </si>
  <si>
    <t>TAG Salvia Salute Light Pink 100/100 Pixie Tag DO FUL</t>
  </si>
  <si>
    <t>0611863966050</t>
  </si>
  <si>
    <t>TAG Salvia Salute Pink 50/50 Petite Portrait DO FUL</t>
  </si>
  <si>
    <t>0611863967100</t>
  </si>
  <si>
    <t>TAG Salvia Salute White 100/100 Pixie Tag DO FUL</t>
  </si>
  <si>
    <t>0611839006025</t>
  </si>
  <si>
    <t>TAG Salvia Salvatore Blue Nemorosa 25/25 Portrait Tag</t>
  </si>
  <si>
    <t>0611839007100</t>
  </si>
  <si>
    <t>TAG Salvia Salvia GENERIC Bilingual 100/100 Pixie Tag</t>
  </si>
  <si>
    <t>0611839008100</t>
  </si>
  <si>
    <t>TAG Salvia Santa Barbara Leucantha 100/100 Pixie Tag</t>
  </si>
  <si>
    <t>0611839009025</t>
  </si>
  <si>
    <t>TAG Salvia Santa Barbara Leucantha 25/25 Portrait Tag</t>
  </si>
  <si>
    <t>0611839010100</t>
  </si>
  <si>
    <t>TAG Salvia Saucy Coral 100/100 Pixie Tag</t>
  </si>
  <si>
    <t>0611839011100</t>
  </si>
  <si>
    <t>TAG Salvia Saucy Purple 100/100 Pixie Tag</t>
  </si>
  <si>
    <t>0611839012100</t>
  </si>
  <si>
    <t>TAG Salvia Saucy Red 100/100 Pixie Tag</t>
  </si>
  <si>
    <t>0611839013100</t>
  </si>
  <si>
    <t>TAG Salvia Saucy Wine 100/100 Pixie Tag</t>
  </si>
  <si>
    <t>0611839014025</t>
  </si>
  <si>
    <t>TAG Salvia Sensation Compact Deep Blue 25/25 Portrait Tag</t>
  </si>
  <si>
    <t>0611839015025</t>
  </si>
  <si>
    <t>TAG Salvia Sensation Compact White 25/25 Portrait Tag</t>
  </si>
  <si>
    <t>0611839017025</t>
  </si>
  <si>
    <t>TAG Salvia Sensation Deep Rose 25/25 Portrait Tag</t>
  </si>
  <si>
    <t>0611839020100</t>
  </si>
  <si>
    <t>TAG Salvia Sentry Red 100/100 Pixie Tag SF</t>
  </si>
  <si>
    <t>0611884450025</t>
  </si>
  <si>
    <t>TAG Salvia Silver Scent 25/25 Portrait Tag</t>
  </si>
  <si>
    <t>0611839021100</t>
  </si>
  <si>
    <t>TAG Salvia Sizzler Burgundy 100/100 Pixie Tag SF</t>
  </si>
  <si>
    <t>0611839022100</t>
  </si>
  <si>
    <t>TAG Salvia Sizzler Burgundy Halo 100/100 Pixie Tag SF</t>
  </si>
  <si>
    <t>0611839024100</t>
  </si>
  <si>
    <t>TAG Salvia Sizzler Mix 100/100 Pixie Tag SF</t>
  </si>
  <si>
    <t>0611839025100</t>
  </si>
  <si>
    <t>TAG Salvia Sizzler Purple 100/100 Pixie Tag SF</t>
  </si>
  <si>
    <t>0611839026100</t>
  </si>
  <si>
    <t>TAG Salvia Sizzler Red 100/100 Pixie Tag SF</t>
  </si>
  <si>
    <t>0611839027100</t>
  </si>
  <si>
    <t>TAG Salvia Sizzler Salmon 100/100 Pixie Tag SF</t>
  </si>
  <si>
    <t>0611839028100</t>
  </si>
  <si>
    <t>TAG Salvia Sizzler White 100/100 Pixie Tag SF</t>
  </si>
  <si>
    <t>0611839029025</t>
  </si>
  <si>
    <t>TAG Salvia Snow Hill 25/25 Portrait Tag</t>
  </si>
  <si>
    <t>0611863968050</t>
  </si>
  <si>
    <t>TAG Salvia Snow Hill 50/50 Petite Portrait FUL</t>
  </si>
  <si>
    <t>0611884451100</t>
  </si>
  <si>
    <t>TAG Salvia Snowflakes 100/100 Pixie Tag</t>
  </si>
  <si>
    <t>0611839030025</t>
  </si>
  <si>
    <t>TAG Salvia So Cool Pale Blue 25/25 Portrait Tag</t>
  </si>
  <si>
    <t>0611863969100</t>
  </si>
  <si>
    <t>TAG Salvia Spring King 100/100 Pixie Tag DO FUL</t>
  </si>
  <si>
    <t>0611863970100</t>
  </si>
  <si>
    <t>TAG Salvia Spring King Mini 100/100 Pixie Tag DO FUL</t>
  </si>
  <si>
    <t>0611839031100</t>
  </si>
  <si>
    <t>TAG Salvia St John's Fire 100/100 Pixie Tag</t>
  </si>
  <si>
    <t>0611839032100</t>
  </si>
  <si>
    <t>TAG Salvia Strata 100/100 Pixie Tag</t>
  </si>
  <si>
    <t>0611839033100</t>
  </si>
  <si>
    <t>TAG Salvia Summer Jewel Lavender 100/100 Pixie Tag</t>
  </si>
  <si>
    <t>0611839034100</t>
  </si>
  <si>
    <t>TAG Salvia Summer Jewel Mix 100/100 Pixie Tag</t>
  </si>
  <si>
    <t>0611839035100</t>
  </si>
  <si>
    <t>TAG Salvia Summer Jewel Pink 100/100 Pixie Tag</t>
  </si>
  <si>
    <t>0611839036100</t>
  </si>
  <si>
    <t>TAG Salvia Summer Jewel Red 100/100 Pixie Tag</t>
  </si>
  <si>
    <t>0611839037100</t>
  </si>
  <si>
    <t>TAG Salvia Summer Jewel White 100/100 Pixie Tag</t>
  </si>
  <si>
    <t>0611839039025</t>
  </si>
  <si>
    <t>TAG Salvia Swifty Rose Multiflora 25/25 Portrait Tag</t>
  </si>
  <si>
    <t>0611839038025</t>
  </si>
  <si>
    <t>TAG Salvia Swifty Rose Nemorosa 25/25 Portrait Tag</t>
  </si>
  <si>
    <t>0611839040025</t>
  </si>
  <si>
    <t>TAG Salvia Swifty Violet Blue Nemorosa 25/25 Portrait Tag</t>
  </si>
  <si>
    <t>0611839041025</t>
  </si>
  <si>
    <t>TAG Salvia Swifty Violet Multiflora 25/25 Portrait Tag</t>
  </si>
  <si>
    <t>0611839042025</t>
  </si>
  <si>
    <t>TAG Salvia Swifty White Nemorosa 25/25 Portrait Tag</t>
  </si>
  <si>
    <t>0611839043100</t>
  </si>
  <si>
    <t>TAG Salvia Tall Purple GENERIC 100/100 Pixie Tag</t>
  </si>
  <si>
    <t>0611839044100</t>
  </si>
  <si>
    <t>TAG Salvia Tall Red GENERIC 100/100 Pixie Tag</t>
  </si>
  <si>
    <t>0611839045025</t>
  </si>
  <si>
    <t>TAG Salvia Transylvanica 25/25 Portrait Tag</t>
  </si>
  <si>
    <t>0611839046100</t>
  </si>
  <si>
    <t>TAG Salvia Tricolor 100/100 Pixie Tag</t>
  </si>
  <si>
    <t>0611839047025</t>
  </si>
  <si>
    <t>TAG Salvia Tricolor 25/25 Portrait Tag</t>
  </si>
  <si>
    <t>0611863971100</t>
  </si>
  <si>
    <t>TAG Salvia Tricolor Sage 100/100 Pixie Tag FUL</t>
  </si>
  <si>
    <t>0611863972050</t>
  </si>
  <si>
    <t>TAG Salvia Tricolor Sage Limited Availability 50/50 Petite Portrait</t>
  </si>
  <si>
    <t>0611839048025</t>
  </si>
  <si>
    <t>TAG Salvia Ultra Violet 25/25 Portrait Tag</t>
  </si>
  <si>
    <t>0611863973050</t>
  </si>
  <si>
    <t>TAG Salvia Velocity Blue 50/50 Petite Portrait SF FUL</t>
  </si>
  <si>
    <t>0611863974050</t>
  </si>
  <si>
    <t>TAG Salvia Vibe Ignition Fuchsia 50/50 Petite Portrait FUL</t>
  </si>
  <si>
    <t>0611863975050</t>
  </si>
  <si>
    <t>TAG Salvia Vibe Ignition Purple 50/50 Petite Portrait FUL</t>
  </si>
  <si>
    <t>0611863976050</t>
  </si>
  <si>
    <t>TAG Salvia Vibe Ignition White 50/50 Petite Portrait FUL</t>
  </si>
  <si>
    <t>0611839049100</t>
  </si>
  <si>
    <t>TAG Salvia Victoria Blue 100/100 Pixie Tag SF</t>
  </si>
  <si>
    <t>0611839050100</t>
  </si>
  <si>
    <t>TAG Salvia Victoria White 100/100 Pixie Tag SF</t>
  </si>
  <si>
    <t>0611839051100</t>
  </si>
  <si>
    <t>TAG Salvia Vista Burgundy 100/100 Pixie Tag</t>
  </si>
  <si>
    <t>0611839052100</t>
  </si>
  <si>
    <t>TAG Salvia Vista Lavender 100/100 Pixie Tag</t>
  </si>
  <si>
    <t>0611839053100</t>
  </si>
  <si>
    <t>TAG Salvia Vista Mix 100/100 Pixie Tag</t>
  </si>
  <si>
    <t>0611839054100</t>
  </si>
  <si>
    <t>TAG Salvia Vista Purple 100/100 Pixie Tag</t>
  </si>
  <si>
    <t>0611839055100</t>
  </si>
  <si>
    <t>TAG Salvia Vista Red 100/100 Pixie Tag</t>
  </si>
  <si>
    <t>0611839056100</t>
  </si>
  <si>
    <t>TAG Salvia Vista Red/White 100/100 Pixie Tag</t>
  </si>
  <si>
    <t>0611839057100</t>
  </si>
  <si>
    <t>TAG Salvia Vista Rose 100/100 Pixie Tag</t>
  </si>
  <si>
    <t>0611839058100</t>
  </si>
  <si>
    <t>TAG Salvia Vista Salmon 100/100 Pixie Tag</t>
  </si>
  <si>
    <t>0611839059100</t>
  </si>
  <si>
    <t>TAG Salvia Vista White 100/100 Pixie Tag</t>
  </si>
  <si>
    <t>0611839060025</t>
  </si>
  <si>
    <t>TAG Salvia Wendy's Wish 25/25 Portrait Tag</t>
  </si>
  <si>
    <t>0611863977050</t>
  </si>
  <si>
    <t>TAG Salvia Wendy's Wish 50/50 Petite Portrait FUL</t>
  </si>
  <si>
    <t>0611884452100</t>
  </si>
  <si>
    <t>TAG Salvia White Full Moon 100/100 Pixie Tag</t>
  </si>
  <si>
    <t>0611839063100</t>
  </si>
  <si>
    <t>TAG Sansevieria Bird's Nest 100/100 Pixie Tag</t>
  </si>
  <si>
    <t>0611839064100</t>
  </si>
  <si>
    <t>TAG Sansevieria Cylindrica 100/100 Pixie Tag</t>
  </si>
  <si>
    <t>0611839065100</t>
  </si>
  <si>
    <t>TAG Sansevieria Laurentii 100/100 Pixie Tag</t>
  </si>
  <si>
    <t>0611839066100</t>
  </si>
  <si>
    <t>TAG Sansevieria Snake Plant GENERIC 100/100 Pixie Tag</t>
  </si>
  <si>
    <t>0611839067025</t>
  </si>
  <si>
    <t>TAG Santolina Chamaecyparissus 25/25 Portrait Tag</t>
  </si>
  <si>
    <t>0611839068100</t>
  </si>
  <si>
    <t>TAG Santolina Gray 100/100 Pixie Tag</t>
  </si>
  <si>
    <t>0611839069100</t>
  </si>
  <si>
    <t>TAG Santolina Green 100/100 Pixie Tag</t>
  </si>
  <si>
    <t>0611863978100</t>
  </si>
  <si>
    <t>TAG Santolina Grey Lavender Cotton 100/100 Pixie Tag FUL</t>
  </si>
  <si>
    <t>0611884453025</t>
  </si>
  <si>
    <t>TAG Santolina Rosmarinifolia 25/25 Portrait Tag</t>
  </si>
  <si>
    <t>0611839070100</t>
  </si>
  <si>
    <t>TAG Sanvitalia Aztec Gold 100/100 Pixie Tag</t>
  </si>
  <si>
    <t>0611839072100</t>
  </si>
  <si>
    <t>TAG Sanvitalia Mandarin Orange 100/100 Pixie Tag</t>
  </si>
  <si>
    <t>0611839073100</t>
  </si>
  <si>
    <t>TAG Sanvitalia Million Suns 100/100 Pixie Tag</t>
  </si>
  <si>
    <t>0611839074100</t>
  </si>
  <si>
    <t>TAG Sanvitalia Powerbini 100/100 Pixie Tag</t>
  </si>
  <si>
    <t>0611839075100</t>
  </si>
  <si>
    <t>TAG Sanvitalia Queen Of Sunlight 100/100 Pixie Tag</t>
  </si>
  <si>
    <t>0611839076100</t>
  </si>
  <si>
    <t>TAG Sanvitalia Solaris Yellow 100/100 Pixie Tag</t>
  </si>
  <si>
    <t>0611863979050</t>
  </si>
  <si>
    <t>TAG Sanvitalia Sunvy Super Gold 50/50 Petite Portrait DO FUL</t>
  </si>
  <si>
    <t>0611863980050</t>
  </si>
  <si>
    <t>TAG Sanvitalia Sunvy Top Gold 50/50 Petite Portrait DO FUL</t>
  </si>
  <si>
    <t>0611863981050</t>
  </si>
  <si>
    <t>TAG Sanvitalia Sunvy Trailing 50/50 Petite Portrait DO FUL</t>
  </si>
  <si>
    <t>0611839077100</t>
  </si>
  <si>
    <t>TAG Sanvitalia Talya Bright 100/100 Pixie Tag</t>
  </si>
  <si>
    <t>0611839078100</t>
  </si>
  <si>
    <t>TAG Sanvitalia Talya Great Yellow 100/100 Pixie Tag</t>
  </si>
  <si>
    <t>0611839079100</t>
  </si>
  <si>
    <t>TAG Sanvitalia Talya Sunny 100/100 Pixie Tag</t>
  </si>
  <si>
    <t>0611839080100</t>
  </si>
  <si>
    <t>TAG Sanvitalia Yellow GENERIC 100/100 Pixie Tag</t>
  </si>
  <si>
    <t>0611839081025</t>
  </si>
  <si>
    <t>TAG Saponaria Ocymoides 25/25 Portrait Tag</t>
  </si>
  <si>
    <t>0611839082100</t>
  </si>
  <si>
    <t>TAG Saponaria Saponaria GENERIC 100/100 Pixie Tag</t>
  </si>
  <si>
    <t>0611839083100</t>
  </si>
  <si>
    <t>TAG Satureja Indian Mint 100/100 Pixie Tag</t>
  </si>
  <si>
    <t>0611884454025</t>
  </si>
  <si>
    <t>TAG Satureja Summer Savory Compact 25/25 Portrait Tag</t>
  </si>
  <si>
    <t>0611884455025</t>
  </si>
  <si>
    <t>TAG Satureja Winter Savory 25/25 Portrait Tag</t>
  </si>
  <si>
    <t>0611839088025</t>
  </si>
  <si>
    <t>TAG Saxifraga Alpino Early Carmine 25/25 Portrait Tag SF</t>
  </si>
  <si>
    <t>0611839089025</t>
  </si>
  <si>
    <t>TAG Saxifraga Alpino Early Carnival 25/25 Portrait Tag SF</t>
  </si>
  <si>
    <t>0611863982050</t>
  </si>
  <si>
    <t>TAG Saxifraga Alpino Early Carnival 50/50 Petite Portrait SF FUL</t>
  </si>
  <si>
    <t>0611884456025</t>
  </si>
  <si>
    <t>TAG Saxifraga Alpino Early Deep Red 25/25 Portrait Tag</t>
  </si>
  <si>
    <t>0611839090025</t>
  </si>
  <si>
    <t>TAG Saxifraga Alpino Early Lime 25/25 Portrait Tag SF</t>
  </si>
  <si>
    <t>0611839091025</t>
  </si>
  <si>
    <t>TAG Saxifraga Alpino Early Magic Salmon 25/25 Portrait Tag SF</t>
  </si>
  <si>
    <t>0611839093025</t>
  </si>
  <si>
    <t>TAG Saxifraga Alpino Early Picotee 25/25 Portrait Tag SF</t>
  </si>
  <si>
    <t>0611863983050</t>
  </si>
  <si>
    <t>TAG Saxifraga Alpino Early Picotee 50/50 Petite Portrait SF FUL</t>
  </si>
  <si>
    <t>0611839095025</t>
  </si>
  <si>
    <t>TAG Saxifraga Alpino Early Rose 25/25 Portrait Tag SF</t>
  </si>
  <si>
    <t>0611863984050</t>
  </si>
  <si>
    <t>TAG Saxifraga Alpino Early White 50/50 Petite Portrait SF FUL</t>
  </si>
  <si>
    <t>0611857101025</t>
  </si>
  <si>
    <t>TAG Saxifraga Lofty Dark Rose Shades 25/25 Portrait Tag SF</t>
  </si>
  <si>
    <t>0611839100025</t>
  </si>
  <si>
    <t>TAG Saxifraga Lofty Pink Shades Arendsii 25/25 Portrait Tag SF</t>
  </si>
  <si>
    <t>0611839101025</t>
  </si>
  <si>
    <t>TAG Saxifraga Lofty White Blush Arendsii 25/25 Portrait Tag SF</t>
  </si>
  <si>
    <t>0611839102025</t>
  </si>
  <si>
    <t>TAG Saxifraga Mix Arendsii 25/25 Portrait Tag</t>
  </si>
  <si>
    <t>0611839103025</t>
  </si>
  <si>
    <t>TAG Saxifraga Purple Robe Arendsii 25/25 Portrait Tag</t>
  </si>
  <si>
    <t>0611839104025</t>
  </si>
  <si>
    <t>TAG Saxifraga Rocco Red Arendsii 25/25 Portrait Tag</t>
  </si>
  <si>
    <t>0611839105100</t>
  </si>
  <si>
    <t>TAG Saxifraga Rockfoil GENERIC 100/100 Pixie Tag</t>
  </si>
  <si>
    <t>0611863985100</t>
  </si>
  <si>
    <t>TAG Saxifraga Scenic Red 100/100 Pixie Tag DO FUL</t>
  </si>
  <si>
    <t>0611863986050</t>
  </si>
  <si>
    <t>TAG Saxifraga Scenic Red Limited Availability 50/50 Petite Tag DO</t>
  </si>
  <si>
    <t>0611863987100</t>
  </si>
  <si>
    <t>TAG Saxifraga Scenic White 100/100 Pixie Tag DO FUL</t>
  </si>
  <si>
    <t>0611863988050</t>
  </si>
  <si>
    <t>TAG Saxifraga Scenic White Limited Availability 50/50 Petite Tag DO</t>
  </si>
  <si>
    <t>0611863989050</t>
  </si>
  <si>
    <t>TAG Saxifraga Touran Deep Red 50/50 Petite Portrait SF FUL</t>
  </si>
  <si>
    <t>0611839106025</t>
  </si>
  <si>
    <t>TAG Saxifraga Touran Deep Red Arendsii 25/25 Portrait Tag SF</t>
  </si>
  <si>
    <t>0611839107025</t>
  </si>
  <si>
    <t>TAG Saxifraga Touran Large White 25/25 Portrait Tag SF</t>
  </si>
  <si>
    <t>0611863990050</t>
  </si>
  <si>
    <t>TAG Saxifraga Touran Large White 50/50 Petite Portrait SF FUL</t>
  </si>
  <si>
    <t>0611839108025</t>
  </si>
  <si>
    <t>TAG Saxifraga Touran Lime Green Arendsii 25/25 Portrait Tag SF</t>
  </si>
  <si>
    <t>0611839109025</t>
  </si>
  <si>
    <t>TAG Saxifraga Touran Pink Arendsii 25/25 Portrait Tag SF</t>
  </si>
  <si>
    <t>0611863991050</t>
  </si>
  <si>
    <t>TAG Saxifraga Touran Red 50/50 Petite Portrait SF FUL</t>
  </si>
  <si>
    <t>0611839110025</t>
  </si>
  <si>
    <t>TAG Saxifraga Touran Scarlet Arendsii 25/25 Portrait Tag SF</t>
  </si>
  <si>
    <t>0611839111025</t>
  </si>
  <si>
    <t>TAG Saxifraga Touran White Arendsii 25/25 Portrait Tag SF</t>
  </si>
  <si>
    <t>0611839112025</t>
  </si>
  <si>
    <t>TAG Scabiosa Blue Note Columbaria 25/25 Portrait Tag</t>
  </si>
  <si>
    <t>0611863992100</t>
  </si>
  <si>
    <t>TAG Scabiosa Butterfly Blue 100/100 Pixie Tag FUL</t>
  </si>
  <si>
    <t>0611839113025</t>
  </si>
  <si>
    <t>TAG Scabiosa Butterfly Blue 25/25 Portrait Tag</t>
  </si>
  <si>
    <t>0611839114025</t>
  </si>
  <si>
    <t>TAG Scabiosa Diamonds Pink Japonica 25/25 Portrait Tag</t>
  </si>
  <si>
    <t>0611839115100</t>
  </si>
  <si>
    <t>TAG Scabiosa Fama Caucasica 100/100 Pixie Tag</t>
  </si>
  <si>
    <t>0611839116025</t>
  </si>
  <si>
    <t>TAG Scabiosa Fama Deep Blue Caucasica 25/25 Portrait Tag</t>
  </si>
  <si>
    <t>0611863993100</t>
  </si>
  <si>
    <t>TAG Scabiosa Flutter Deep Blue 100/100 Pixie Tag FUL</t>
  </si>
  <si>
    <t>0611839117025</t>
  </si>
  <si>
    <t>TAG Scabiosa Flutter Deep Blue 25/25 Portrait Tag</t>
  </si>
  <si>
    <t>0611839118025</t>
  </si>
  <si>
    <t>TAG Scabiosa Flutter Pure White 25/25 Portrait Tag</t>
  </si>
  <si>
    <t>0611863994100</t>
  </si>
  <si>
    <t>TAG Scabiosa Flutter Rose Pink 100/100 Pixie Tag FUL</t>
  </si>
  <si>
    <t>0611839119025</t>
  </si>
  <si>
    <t>TAG Scabiosa Flutter Rose Pink 25/25 Portrait Tag</t>
  </si>
  <si>
    <t>0611863995050</t>
  </si>
  <si>
    <t>TAG Scabiosa Flutter Rose Pink Limited Availability 50/50 Petite Portrait</t>
  </si>
  <si>
    <t>0611839129100</t>
  </si>
  <si>
    <t>TAG Scabiosa GENERIC 100/100 Pixie Tag</t>
  </si>
  <si>
    <t>0611839120025</t>
  </si>
  <si>
    <t>TAG Scabiosa Giga Blue Columbaria 25/25 Portrait Tag</t>
  </si>
  <si>
    <t>0611839121025</t>
  </si>
  <si>
    <t>TAG Scabiosa Giga Deep Ocean Blue 25/25 Portrait Tag</t>
  </si>
  <si>
    <t>0611839122025</t>
  </si>
  <si>
    <t>TAG Scabiosa Giga Pink Columbaria 25/25 Portrait Tag</t>
  </si>
  <si>
    <t>0611839123025</t>
  </si>
  <si>
    <t>TAG Scabiosa Giga Silver Columbaria 25/25 Portrait Tag</t>
  </si>
  <si>
    <t>0611839124025</t>
  </si>
  <si>
    <t>TAG Scabiosa Kudo Pink Incisa 25/25 Portrait Tag</t>
  </si>
  <si>
    <t>0611839125025</t>
  </si>
  <si>
    <t>TAG Scabiosa Pincushion Flower GENERIC 25/25 Portrait Tag</t>
  </si>
  <si>
    <t>0611863996100</t>
  </si>
  <si>
    <t>TAG Scabiosa Pink Mist 100/100 Pixie Tag FUL</t>
  </si>
  <si>
    <t>0611839126025</t>
  </si>
  <si>
    <t>TAG Scabiosa Pink Mist Columbaria 25/25 Portrait Tag</t>
  </si>
  <si>
    <t>0611839127025</t>
  </si>
  <si>
    <t>TAG Scabiosa Ritz Blue Japonica 25/25 Portrait Tag</t>
  </si>
  <si>
    <t>0611839128025</t>
  </si>
  <si>
    <t>TAG Scabiosa Ritz Rose Japonica 25/25 Portrait Tag</t>
  </si>
  <si>
    <t>0611839131025</t>
  </si>
  <si>
    <t>TAG Scabiosa Vivid Violet 25/25 Portrait Tag</t>
  </si>
  <si>
    <t>0611839132100</t>
  </si>
  <si>
    <t>TAG Scaevola Angel Blue 100/100 Pixie Tag</t>
  </si>
  <si>
    <t>0611884457100</t>
  </si>
  <si>
    <t>TAG Scaevola Blessing Bicolor Lavender 100/100 Pixie Tag</t>
  </si>
  <si>
    <t>0611884458100</t>
  </si>
  <si>
    <t>TAG Scaevola Blessing Lavender 100/100 Pixie Tag</t>
  </si>
  <si>
    <t>0611839135100</t>
  </si>
  <si>
    <t>TAG Scaevola Blue Wind 100/100 Pixie Tag</t>
  </si>
  <si>
    <t>0611863997050</t>
  </si>
  <si>
    <t>TAG Scaevola Bombay Compact Dark Blue 50/50 Petite Tag SF</t>
  </si>
  <si>
    <t>0611863998050</t>
  </si>
  <si>
    <t>TAG Scaevola Bombay Dark Blue 50/50 Petite Portrait SF FUL</t>
  </si>
  <si>
    <t>0611863999050</t>
  </si>
  <si>
    <t>TAG Scaevola Bombay Pink 50/50 Petite Portrait SF FUL</t>
  </si>
  <si>
    <t>0611864000050</t>
  </si>
  <si>
    <t>TAG Scaevola Bombay Platinum 50/50 Petite Portrait SF FUL</t>
  </si>
  <si>
    <t>0611864001050</t>
  </si>
  <si>
    <t>TAG Scaevola Bombay White 50/50 Petite Portrait SF FUL</t>
  </si>
  <si>
    <t>0611864002050</t>
  </si>
  <si>
    <t>TAG Scaevola Bombay Yellow 50/50 Petite Portrait SF FUL</t>
  </si>
  <si>
    <t>0611864003050</t>
  </si>
  <si>
    <t>TAG Scaevola Brilliant 50/50 Petite Portrait FUL</t>
  </si>
  <si>
    <t>0611839136100</t>
  </si>
  <si>
    <t>TAG Scaevola Diamond 100/100 Pixie Tag</t>
  </si>
  <si>
    <t>0611864004050</t>
  </si>
  <si>
    <t>TAG Scaevola Fancy 50/50 Petite Portrait FUL</t>
  </si>
  <si>
    <t>0611839144100</t>
  </si>
  <si>
    <t>TAG Scaevola GENERIC 100/100 Hang Tag</t>
  </si>
  <si>
    <t>0611839145100</t>
  </si>
  <si>
    <t>TAG Scaevola GENERIC 100/100 Pixie Tag</t>
  </si>
  <si>
    <t>0611839140100</t>
  </si>
  <si>
    <t>TAG Scaevola Pink Blessing 100/100 Pixie Tag</t>
  </si>
  <si>
    <t>0611839142100</t>
  </si>
  <si>
    <t>TAG Scaevola Purple Haze 100/100 Pixie Tag</t>
  </si>
  <si>
    <t>0611839143100</t>
  </si>
  <si>
    <t>TAG Scaevola Saphira 100/100 Pixie Tag</t>
  </si>
  <si>
    <t>0611864005050</t>
  </si>
  <si>
    <t>TAG Scaevola Scala Blue 50/50 Petite Portrait DO FUL</t>
  </si>
  <si>
    <t>0611884459050</t>
  </si>
  <si>
    <t>TAG Scaevola Scala Blue Bird 50/50 Petite Portrait DO FUL</t>
  </si>
  <si>
    <t>0611884460050</t>
  </si>
  <si>
    <t>TAG Scaevola Scala Blue Jay 50/50 Petite Portrait DO FUL</t>
  </si>
  <si>
    <t>0611864006050</t>
  </si>
  <si>
    <t>TAG Scaevola Scala Blue Shades 50/50 Petite Portrait DO FUL</t>
  </si>
  <si>
    <t>0611864007050</t>
  </si>
  <si>
    <t>TAG Scaevola Scala Pink 50/50 Petite Portrait DO FUL</t>
  </si>
  <si>
    <t>0611884461050</t>
  </si>
  <si>
    <t>TAG Scaevola Scala Pink Bird 50/50 Petite Portrait DO FUL</t>
  </si>
  <si>
    <t>0611864008050</t>
  </si>
  <si>
    <t>TAG Scaevola Scala Purple Bird 50/50 Petite Portrait DO FUL</t>
  </si>
  <si>
    <t>0611864009050</t>
  </si>
  <si>
    <t>TAG Scaevola Scala White 50/50 Petite Portrait DO FUL</t>
  </si>
  <si>
    <t>0611884462050</t>
  </si>
  <si>
    <t>TAG Scaevola Scala White DO FULve 50/50 Petite Portrait DO FUL</t>
  </si>
  <si>
    <t>0611839146100</t>
  </si>
  <si>
    <t>TAG Scaevola Scalora Brilliant 100/100 Pixie Tag DO</t>
  </si>
  <si>
    <t>0611864010050</t>
  </si>
  <si>
    <t>TAG Scaevola Scalora Brilliant 50/50 Petite Portrait DO FUL</t>
  </si>
  <si>
    <t>0611839147100</t>
  </si>
  <si>
    <t>TAG Scaevola Scalora Diamond 100/100 Pixie Tag DO</t>
  </si>
  <si>
    <t>0611864011050</t>
  </si>
  <si>
    <t>TAG Scaevola Scalora Diamond 50/50 Petite Portrait DO FUL</t>
  </si>
  <si>
    <t>0611839148100</t>
  </si>
  <si>
    <t>TAG Scaevola Scalora Fancy 100/100 Pixie Tag DO</t>
  </si>
  <si>
    <t>0611864012050</t>
  </si>
  <si>
    <t>TAG Scaevola Scalora Fancy 50/50 Petite Portrait DO FUL</t>
  </si>
  <si>
    <t>0611839149100</t>
  </si>
  <si>
    <t>TAG Scaevola Scalora Glitzy 100/100 Pixie Tag DO</t>
  </si>
  <si>
    <t>0611839150100</t>
  </si>
  <si>
    <t>TAG Scaevola Scalora Pearl 100/100 Pixie Tag DO</t>
  </si>
  <si>
    <t>0611864013050</t>
  </si>
  <si>
    <t>TAG Scaevola Scalora Pearl 50/50 Petite Portrait DO FUL</t>
  </si>
  <si>
    <t>0611839151100</t>
  </si>
  <si>
    <t>TAG Scaevola Scalora Suntastic 100/100 Pixie Tag DO</t>
  </si>
  <si>
    <t>0611864014050</t>
  </si>
  <si>
    <t>TAG Scaevola Scalora Suntastic 50/50 Petite Portrait DO FUL</t>
  </si>
  <si>
    <t>0611864015050</t>
  </si>
  <si>
    <t>TAG Scaevola Scalora Top Pot Blue 50/50 Petite Portrait DO FUL</t>
  </si>
  <si>
    <t>0611864016050</t>
  </si>
  <si>
    <t>TAG Scaevola Scalora Top Pot Pink 50/50 Petite Portrait DO FUL</t>
  </si>
  <si>
    <t>0611864017050</t>
  </si>
  <si>
    <t>TAG Scaevola Scalora Top Pot White 50/50 Petite Portrait DO FUL</t>
  </si>
  <si>
    <t>0611839152100</t>
  </si>
  <si>
    <t>TAG Scaevola Scalora Topaz Pink 100/100 Pixie Tag DO</t>
  </si>
  <si>
    <t>0611839153100</t>
  </si>
  <si>
    <t>TAG Scaevola Scampi Series 100/100 Pixie Tag</t>
  </si>
  <si>
    <t>0611839155100</t>
  </si>
  <si>
    <t>TAG Scaevola Top Pot Blue 100/100 Pixie Tag</t>
  </si>
  <si>
    <t>0611864018050</t>
  </si>
  <si>
    <t>TAG Scaevola Top Pot Blue 50/50 Petite Portrait FUL</t>
  </si>
  <si>
    <t>0611839156100</t>
  </si>
  <si>
    <t>TAG Scaevola Top Pot Pink 100/100 Pixie Tag</t>
  </si>
  <si>
    <t>0611864019050</t>
  </si>
  <si>
    <t>TAG Scaevola Top Pot Pink 50/50 Petite Portrait FUL</t>
  </si>
  <si>
    <t>0611839157100</t>
  </si>
  <si>
    <t>TAG Scaevola Top Pot White 100/100 Pixie Tag</t>
  </si>
  <si>
    <t>0611864020050</t>
  </si>
  <si>
    <t>TAG Scaevola Top Pot White 50/50 Petite Portrait FUL</t>
  </si>
  <si>
    <t>0611857102100</t>
  </si>
  <si>
    <t>TAG Scaevola Top Pot Yellow 100/100 Pixie Tag</t>
  </si>
  <si>
    <t>0611864021050</t>
  </si>
  <si>
    <t>TAG Scaevola Top Pot Yellow 50/50 Petite Portrait FUL</t>
  </si>
  <si>
    <t>0611839154100</t>
  </si>
  <si>
    <t>TAG Scaevola Topaz Pink 100/100 Pixie Tag</t>
  </si>
  <si>
    <t>0611864022050</t>
  </si>
  <si>
    <t>TAG Scaevola Topaz Pink 50/50 Petite Portrait FUL</t>
  </si>
  <si>
    <t>0611839158100</t>
  </si>
  <si>
    <t>TAG Scaevola Touch Blue 100/100 Pixie Tag</t>
  </si>
  <si>
    <t>0611857103100</t>
  </si>
  <si>
    <t>TAG Scaevola Touch Indigo 100/100 Pixie Tag</t>
  </si>
  <si>
    <t>0611839159100</t>
  </si>
  <si>
    <t>TAG Scaevola Touch White 100/100 Pixie Tag</t>
  </si>
  <si>
    <t>0611839161100</t>
  </si>
  <si>
    <t>TAG Scaevola White GENERIC 100/100 Pixie Tag</t>
  </si>
  <si>
    <t>0611839162100</t>
  </si>
  <si>
    <t>TAG Schefflera Arboricola 100/100 Pixie Tag</t>
  </si>
  <si>
    <t>0611839163100</t>
  </si>
  <si>
    <t>TAG Schefflera Umbrella Tree 100/100 Pixie Tag</t>
  </si>
  <si>
    <t>0611839164100</t>
  </si>
  <si>
    <t>TAG Schefflera Variegata Arboricola 100/100 Pixie Tag</t>
  </si>
  <si>
    <t>0611839165100</t>
  </si>
  <si>
    <t>TAG Schiza Atlantis Series 100/100 Pixie Tag</t>
  </si>
  <si>
    <t>0611839167100</t>
  </si>
  <si>
    <t>TAG Schiza Schizanthus GENERIC 100/100 Pixie Tag</t>
  </si>
  <si>
    <t>0611839166025</t>
  </si>
  <si>
    <t>TAG Schizanthus Prairie Blues 25/25 Portrait Tag</t>
  </si>
  <si>
    <t>0611839168025</t>
  </si>
  <si>
    <t>TAG Schizanthus The Blues 25/25 Portrait Tag</t>
  </si>
  <si>
    <t>0611864023050</t>
  </si>
  <si>
    <t>TAG Scilla Caribbean Jewels Bonaire 50/50 Petite Portrait FUL</t>
  </si>
  <si>
    <t>0611864024050</t>
  </si>
  <si>
    <t>TAG Scilla Caribbean Jewels Saphire Blue 50/50 Petite Portrait FUL</t>
  </si>
  <si>
    <t>0611839169025</t>
  </si>
  <si>
    <t>TAG Scutte Pink 25/25 Portrait Tag</t>
  </si>
  <si>
    <t>0611864025100</t>
  </si>
  <si>
    <t>TAG Sedeve Letizia 100/100 Pixie Tag FUL</t>
  </si>
  <si>
    <t>0611839170025</t>
  </si>
  <si>
    <t>TAG Sedum Acre 25/25 Portrait Tag</t>
  </si>
  <si>
    <t>0611864026100</t>
  </si>
  <si>
    <t>TAG Sedum Adolphii 100/100 Pixie Tag FUL</t>
  </si>
  <si>
    <t>0611884463025</t>
  </si>
  <si>
    <t>TAG Sedum After Dark 25/25 Portrait Tag</t>
  </si>
  <si>
    <t>0611839172100</t>
  </si>
  <si>
    <t>TAG Sedum Angelina 100/100 Pixie Tag</t>
  </si>
  <si>
    <t>0611839173025</t>
  </si>
  <si>
    <t>TAG Sedum Angelina 25/25 Portrait Tag</t>
  </si>
  <si>
    <t>0611864027100</t>
  </si>
  <si>
    <t>TAG Sedum Angelina Limited Availability 100/100 Pixie Tag</t>
  </si>
  <si>
    <t>0611864028050</t>
  </si>
  <si>
    <t>TAG Sedum Angelina Limited Availability 50/50 Petite Portrait</t>
  </si>
  <si>
    <t>0611839174025</t>
  </si>
  <si>
    <t>TAG Sedum Atlantis Takesimense 25/25 Portrait Tag</t>
  </si>
  <si>
    <t>0611839175025</t>
  </si>
  <si>
    <t>TAG Sedum Aurea Goldmoss Acre 25/25 Portrait Tag</t>
  </si>
  <si>
    <t>0611864029100</t>
  </si>
  <si>
    <t>TAG Sedum Aurora Blue 100/100 Pixie Tag FUL</t>
  </si>
  <si>
    <t>0611864030100</t>
  </si>
  <si>
    <t>TAG Sedum Autumn Fire 100/100 Pixie Tag FUL</t>
  </si>
  <si>
    <t>0611839176025</t>
  </si>
  <si>
    <t>TAG Sedum Autumn Fire 25/25 Portrait Tag</t>
  </si>
  <si>
    <t>0611864031100</t>
  </si>
  <si>
    <t>TAG Sedum Autumn Joy 100/100 Pixie Tag FUL</t>
  </si>
  <si>
    <t>0611839178025</t>
  </si>
  <si>
    <t>TAG Sedum Autumn Joy 25/25 Portrait Tag</t>
  </si>
  <si>
    <t>0611864032050</t>
  </si>
  <si>
    <t>TAG Sedum Autumn Joy Limited Availability 50/50 Petite Portrait</t>
  </si>
  <si>
    <t>0611864033100</t>
  </si>
  <si>
    <t>TAG Sedum Banana Split 100/100 Pixie Tag FUL</t>
  </si>
  <si>
    <t>0611839179025</t>
  </si>
  <si>
    <t>TAG Sedum Blue Carpet 25/25 Portrait Tag</t>
  </si>
  <si>
    <t>0611864035100</t>
  </si>
  <si>
    <t>TAG Sedum Blue Spruce 100/100 Pixie Tag FUL</t>
  </si>
  <si>
    <t>0611839182025</t>
  </si>
  <si>
    <t>TAG Sedum Blue Spruce 25/25 Portrait Tag</t>
  </si>
  <si>
    <t>0611864034050</t>
  </si>
  <si>
    <t>TAG Sedum Blue Spruce 50/50 Petite Portrait FUL</t>
  </si>
  <si>
    <t>0611839183025</t>
  </si>
  <si>
    <t>TAG Sedum Brilliant Spectabile 25/25 Portrait Tag</t>
  </si>
  <si>
    <t>0611839184100</t>
  </si>
  <si>
    <t>TAG Sedum Burro's Tail Morganianum 100/100 Pixie Tag</t>
  </si>
  <si>
    <t>0611839185025</t>
  </si>
  <si>
    <t>TAG Sedum Candy Cherry Truffle 25/25 Portrait Tag</t>
  </si>
  <si>
    <t>0611839186025</t>
  </si>
  <si>
    <t>TAG Sedum Cape Blanco 25/25 Portrait Tag</t>
  </si>
  <si>
    <t>0611864036100</t>
  </si>
  <si>
    <t>TAG Sedum Carnicolor 100/100 Pixie Tag FUL</t>
  </si>
  <si>
    <t>0611839187025</t>
  </si>
  <si>
    <t>TAG Sedum Cauticola 25/25 Portrait Tag</t>
  </si>
  <si>
    <t>0611864037100</t>
  </si>
  <si>
    <t>TAG Sedum Chocolate Ball 100/100 Pixie Tag FUL</t>
  </si>
  <si>
    <t>0611839188025</t>
  </si>
  <si>
    <t>TAG Sedum Chocolate Ball Hakonense 25/25 Portrait Tag</t>
  </si>
  <si>
    <t>0611864038050</t>
  </si>
  <si>
    <t>TAG Sedum Chocolate Ball Limited Availability 50/50 Petite Portrait</t>
  </si>
  <si>
    <t>0611839189025</t>
  </si>
  <si>
    <t>TAG Sedum Chocolate Cherry Telephium 25/25 Portrait Tag</t>
  </si>
  <si>
    <t>0611839190025</t>
  </si>
  <si>
    <t>TAG Sedum Class Act 25/25 Portrait Tag</t>
  </si>
  <si>
    <t>0611839191025</t>
  </si>
  <si>
    <t>TAG Sedum Coca Cola Cauticola 25/25 Portrait Tag</t>
  </si>
  <si>
    <t>0611839192025</t>
  </si>
  <si>
    <t>TAG Sedum Conga Line 25/25 Portrait Tag</t>
  </si>
  <si>
    <t>0611839193100</t>
  </si>
  <si>
    <t>TAG Sedum Coppertone Sedum 100/100 Pixie Tag</t>
  </si>
  <si>
    <t>0611839194025</t>
  </si>
  <si>
    <t>TAG Sedum Coral Carpet Album 25/25 Portrait Tag</t>
  </si>
  <si>
    <t>0611839195100</t>
  </si>
  <si>
    <t>TAG Sedum Coral Reef 100/100 Pixie Tag</t>
  </si>
  <si>
    <t>0611839196025</t>
  </si>
  <si>
    <t>TAG Sedum Coral Reef 25/25 Portrait Tag</t>
  </si>
  <si>
    <t>0611864039100</t>
  </si>
  <si>
    <t>TAG Sedum Coral Reef Limited Availability 100/100 Pixie Tag</t>
  </si>
  <si>
    <t>0611864040050</t>
  </si>
  <si>
    <t>TAG Sedum Coral Reef Limited Availability 50/50 Petite Portrait</t>
  </si>
  <si>
    <t>0611839197025</t>
  </si>
  <si>
    <t>TAG Sedum Crystal Pink 25/25 Portrait Tag</t>
  </si>
  <si>
    <t>0611839198025</t>
  </si>
  <si>
    <t>TAG Sedum Cutting Edge 25/25 Portrait Tag</t>
  </si>
  <si>
    <t>0611839199025</t>
  </si>
  <si>
    <t>TAG Sedum Dark Magic 25/25 Portrait Tag</t>
  </si>
  <si>
    <t>0611839200025</t>
  </si>
  <si>
    <t>TAG Sedum Double Martini 25/25 Portrait Tag</t>
  </si>
  <si>
    <t>0611864041100</t>
  </si>
  <si>
    <t>TAG Sedum Dragon's Blood 100/100 Pixie Tag FUL</t>
  </si>
  <si>
    <t>0611839201100</t>
  </si>
  <si>
    <t>TAG Sedum Dragon's Blood Spurium 100/100 Pixie Tag</t>
  </si>
  <si>
    <t>0611839202025</t>
  </si>
  <si>
    <t>TAG Sedum Dragon's Blood Spurium 25/25 Portrait Tag</t>
  </si>
  <si>
    <t>0611839203025</t>
  </si>
  <si>
    <t>TAG Sedum Ellacombianum 25/25 Portrait Tag</t>
  </si>
  <si>
    <t>0611864042100</t>
  </si>
  <si>
    <t>TAG Sedum Ewersii 100/100 Pixie Tag FUL</t>
  </si>
  <si>
    <t>0611839204025</t>
  </si>
  <si>
    <t>TAG Sedum Fuldaglut Spurium 25/25 Portrait Tag</t>
  </si>
  <si>
    <t>0611839245100</t>
  </si>
  <si>
    <t>TAG Sedum GENERIC 100/100 Pixie Tag</t>
  </si>
  <si>
    <t>0611857104025</t>
  </si>
  <si>
    <t>TAG Sedum Glitterbug 25/25 Portrait Tag</t>
  </si>
  <si>
    <t>0611839207025</t>
  </si>
  <si>
    <t>TAG Sedum Gold Digger Sexangulare 25/25 Portrait Tag</t>
  </si>
  <si>
    <t>0611839206025</t>
  </si>
  <si>
    <t>TAG Sedum Gold Dust 25/25 Portrait Tag</t>
  </si>
  <si>
    <t>0611839205025</t>
  </si>
  <si>
    <t>TAG Sedum Golden Carpet Takesimense 25/25 Portrait Tag</t>
  </si>
  <si>
    <t>0611884464100</t>
  </si>
  <si>
    <t>TAG Sedum Houseplant Types Generic 100/100 Pixie Tag</t>
  </si>
  <si>
    <t>0611864043100</t>
  </si>
  <si>
    <t>TAG Sedum Jade Runner 100/100 Pixie Tag</t>
  </si>
  <si>
    <t>0611839209025</t>
  </si>
  <si>
    <t>TAG Sedum John Creech 25/25 Portrait Tag</t>
  </si>
  <si>
    <t>0611839210025</t>
  </si>
  <si>
    <t>TAG Sedum Kamtschaticum 25/25 Portrait Tag</t>
  </si>
  <si>
    <t>0611839211100</t>
  </si>
  <si>
    <t>TAG Sedum Lemon Ball 100/100 Pixie Tag</t>
  </si>
  <si>
    <t>0611839212025</t>
  </si>
  <si>
    <t>TAG Sedum Lemon Ball 25/25 Portrait Tag</t>
  </si>
  <si>
    <t>0611839214025</t>
  </si>
  <si>
    <t>TAG Sedum Limelight 25/25 Portrait Tag</t>
  </si>
  <si>
    <t>0611839215025</t>
  </si>
  <si>
    <t>TAG Sedum Little Missy 25/25 Portrait Tag</t>
  </si>
  <si>
    <t>0611839216025</t>
  </si>
  <si>
    <t>TAG Sedum Lizard Rubens 25/25 Portrait Tag</t>
  </si>
  <si>
    <t>0611839217025</t>
  </si>
  <si>
    <t>TAG Sedum Low Growing GENERIC 25/25 Portrait Tag</t>
  </si>
  <si>
    <t>0611864044100</t>
  </si>
  <si>
    <t>TAG Sedum Lucidum 100/100 Pixie Tag FUL</t>
  </si>
  <si>
    <t>0611839218025</t>
  </si>
  <si>
    <t>TAG Sedum Mahogany Red 25/25 Portrait Tag</t>
  </si>
  <si>
    <t>0611839219025</t>
  </si>
  <si>
    <t>TAG Sedum Majestic Kiss 25/25 Portrait Tag</t>
  </si>
  <si>
    <t>0611839220025</t>
  </si>
  <si>
    <t>TAG Sedum Major Dasyphyllum 25/25 Portrait Tag</t>
  </si>
  <si>
    <t>0611839221025</t>
  </si>
  <si>
    <t>TAG Sedum Makinoi 25/25 Portrait Tag</t>
  </si>
  <si>
    <t>0611839222025</t>
  </si>
  <si>
    <t>TAG Sedum Matrona 25/25 Portrait Tag</t>
  </si>
  <si>
    <t>0611864045050</t>
  </si>
  <si>
    <t>TAG Sedum Matrona 50/50 Petite Portrait FUL</t>
  </si>
  <si>
    <t>0611864046050</t>
  </si>
  <si>
    <t>TAG Sedum Mediovariegatum 50/50 Petite Portrait FUL</t>
  </si>
  <si>
    <t>0611839223025</t>
  </si>
  <si>
    <t>TAG Sedum Middendorfianum Diffusum 25/25 Portrait Tag</t>
  </si>
  <si>
    <t>0611864047100</t>
  </si>
  <si>
    <t>TAG Sedum Morganianum 100/100 Pixie Tag FUL</t>
  </si>
  <si>
    <t>0611839224025</t>
  </si>
  <si>
    <t>TAG Sedum Mr Goodbud Cauticola 25/25 Portrait Tag</t>
  </si>
  <si>
    <t>0611839225025</t>
  </si>
  <si>
    <t>TAG Sedum Neon Spectabile 25/25 Portrait Tag</t>
  </si>
  <si>
    <t>0611857105025</t>
  </si>
  <si>
    <t>TAG Sedum Night Embers 25/25 Portrait Tag</t>
  </si>
  <si>
    <t>0611839226025</t>
  </si>
  <si>
    <t>TAG Sedum Night Light 25/25 Portrait Tag</t>
  </si>
  <si>
    <t>0611864048100</t>
  </si>
  <si>
    <t>TAG Sedum Nussbaumerianum 100/100 Pixie Tag FUL</t>
  </si>
  <si>
    <t>0611839227025</t>
  </si>
  <si>
    <t>TAG Sedum October Daphne Sieboldii 25/25 Portrait Tag</t>
  </si>
  <si>
    <t>0611839228025</t>
  </si>
  <si>
    <t>TAG Sedum Ogon 25/25 Portrait Tag</t>
  </si>
  <si>
    <t>0611839229025</t>
  </si>
  <si>
    <t>TAG Sedum Oracle Forsterianum 25/25 Portrait Tag</t>
  </si>
  <si>
    <t>0611839230025</t>
  </si>
  <si>
    <t>TAG Sedum Pachyclados 25/25 Portrait Tag</t>
  </si>
  <si>
    <t>0611839231025</t>
  </si>
  <si>
    <t>TAG Sedum Painted Pebble 25/25 Portrait Tag</t>
  </si>
  <si>
    <t>0611839233025</t>
  </si>
  <si>
    <t>TAG Sedum Party Hardy Beach Party 25/25 Portrait Tag</t>
  </si>
  <si>
    <t>0611839232025</t>
  </si>
  <si>
    <t>TAG Sedum Party Hardy Birthday Party 25/25 Portrait Tag</t>
  </si>
  <si>
    <t>0611839234025</t>
  </si>
  <si>
    <t>TAG Sedum Party Hardy Pool Party 25/25 Portrait Tag</t>
  </si>
  <si>
    <t>0611839235025</t>
  </si>
  <si>
    <t>TAG Sedum Peach Pearls 25/25 Portrait Tag</t>
  </si>
  <si>
    <t>0611839236025</t>
  </si>
  <si>
    <t>TAG Sedum Pink Bomb Spectabile 25/25 Portrait Tag</t>
  </si>
  <si>
    <t>0611839237100</t>
  </si>
  <si>
    <t>TAG Sedum Pink Jelly Beans Aurora 100/100 Pixie Tag</t>
  </si>
  <si>
    <t>0611839239025</t>
  </si>
  <si>
    <t>TAG Sedum Prima Angelina 25/25 Portrait Tag</t>
  </si>
  <si>
    <t>0611839238025</t>
  </si>
  <si>
    <t>TAG Sedum Purple Form Minis 25/25 Portrait Tag</t>
  </si>
  <si>
    <t>0611839241025</t>
  </si>
  <si>
    <t>TAG Sedum Red Carpet Spurium 25/25 Portrait Tag</t>
  </si>
  <si>
    <t>0611839242100</t>
  </si>
  <si>
    <t>TAG Sedum Rock Garden Blend 100/100 Pixie Tag</t>
  </si>
  <si>
    <t>0611857106025</t>
  </si>
  <si>
    <t>TAG Sedum Rosy Cheeks 25/25 Portrait Tag</t>
  </si>
  <si>
    <t>0611839243025</t>
  </si>
  <si>
    <t>TAG Sedum Royal Pink 25/25 Portrait Tag</t>
  </si>
  <si>
    <t>0611839244100</t>
  </si>
  <si>
    <t>TAG Sedum Sea Urchin Lineare 100/100 Pixie Tag</t>
  </si>
  <si>
    <t>0611839246025</t>
  </si>
  <si>
    <t>TAG Sedum Sexangulare 25/25 Portrait Tag</t>
  </si>
  <si>
    <t>0611864049100</t>
  </si>
  <si>
    <t>TAG Sedum Sieboldii 100/100 Pixie Tag FUL</t>
  </si>
  <si>
    <t>0611864050050</t>
  </si>
  <si>
    <t>TAG Sedum Sieboldii Limited Availability 50/50 Petite Portrait FUL</t>
  </si>
  <si>
    <t>0611839247025</t>
  </si>
  <si>
    <t>TAG Sedum Sieboldii Mediovar 25/25 Portrait Tag</t>
  </si>
  <si>
    <t>0611884465100</t>
  </si>
  <si>
    <t>TAG Sedum Silver Drops 100/100 Pixie Tag</t>
  </si>
  <si>
    <t>0611884466100</t>
  </si>
  <si>
    <t>TAG Sedum Silver Roses 100/100 Pixie Tag</t>
  </si>
  <si>
    <t>0611839249025</t>
  </si>
  <si>
    <t>TAG Sedum Silver Stone 25/25 Portrait Tag</t>
  </si>
  <si>
    <t>0611839259025</t>
  </si>
  <si>
    <t>TAG Sedum Spirit Selskianum 25/25 Portrait Tag</t>
  </si>
  <si>
    <t>0611864062050</t>
  </si>
  <si>
    <t>TAG Sedum Spot On Deep Rose 50/50 Petite Portrait SF FUL</t>
  </si>
  <si>
    <t>0611839260025</t>
  </si>
  <si>
    <t>TAG Sedum Spot On Deep Rose Spurium 25/25 Portrait Tag SF</t>
  </si>
  <si>
    <t>0611839261025</t>
  </si>
  <si>
    <t>TAG Sedum Spot On Pink Spurium 25/25 Portrait Tag SF</t>
  </si>
  <si>
    <t>0611839263025</t>
  </si>
  <si>
    <t>TAG Sedum Strawberry Milkshake 25/25 Portrait Tag</t>
  </si>
  <si>
    <t>0611839264025</t>
  </si>
  <si>
    <t>TAG Sedum Summer Glory Spurium 25/25 Portrait Tag</t>
  </si>
  <si>
    <t>0611839265025</t>
  </si>
  <si>
    <t>TAG Sedum SunSparkler Blue Elf 25/25 Portrait Tag</t>
  </si>
  <si>
    <t>0611864051100</t>
  </si>
  <si>
    <t>TAG Sedum SunSparkler Blue Elf Limited Availability 100/100 Pixie Tag FUL</t>
  </si>
  <si>
    <t>0611864052100</t>
  </si>
  <si>
    <t>TAG Sedum SunSparkler Cherry Tart 100/100 Pixie Tag FUL</t>
  </si>
  <si>
    <t>0611839250025</t>
  </si>
  <si>
    <t>TAG Sedum SunSparkler Cherry Tart 25/25 Portrait Tag</t>
  </si>
  <si>
    <t>0611864053100</t>
  </si>
  <si>
    <t>TAG Sedum SunSparkler Dazzleberry 100/100 Pixie Tag FUL</t>
  </si>
  <si>
    <t>0611839251025</t>
  </si>
  <si>
    <t>TAG Sedum SunSparkler Dazzleberry 25/25 Portrait Tag</t>
  </si>
  <si>
    <t>0611857107025</t>
  </si>
  <si>
    <t>TAG Sedum SunSparkler Dream Dazzler 25/25 Portrait Tag</t>
  </si>
  <si>
    <t>0611864054100</t>
  </si>
  <si>
    <t>TAG Sedum SunSparkler Firecracker 100/100 Pixie Tag FUL</t>
  </si>
  <si>
    <t>0611839252025</t>
  </si>
  <si>
    <t>TAG Sedum SunSparkler Firecracker 25/25 Portrait Tag</t>
  </si>
  <si>
    <t>0611839253025</t>
  </si>
  <si>
    <t>TAG Sedum SunSparkler Jade Tuffet 25/25 Portrait Tag</t>
  </si>
  <si>
    <t>0611864055100</t>
  </si>
  <si>
    <t>TAG Sedum SunSparkler Jade Tuft Limited Availability 100/100 Pixie Tag</t>
  </si>
  <si>
    <t>0611864056050</t>
  </si>
  <si>
    <t>TAG Sedum SunSparkler Jade Tuft Limited Availability 50/50 Petite Portrait</t>
  </si>
  <si>
    <t>0611839254025</t>
  </si>
  <si>
    <t>TAG Sedum SunSparkler Lime Twister 25/25 Portrait Tag</t>
  </si>
  <si>
    <t>0611864057100</t>
  </si>
  <si>
    <t>TAG Sedum SunSparkler Lime Twister Limited Availability 100/100 Pixie Tag</t>
  </si>
  <si>
    <t>0611864058050</t>
  </si>
  <si>
    <t>TAG Sedum SunSparkler Lime Twister Limited Availability 50/50 Petite Portrait</t>
  </si>
  <si>
    <t>0611864059100</t>
  </si>
  <si>
    <t>TAG Sedum SunSparkler Lime Zinger 100/100 Pixie Tag FUL</t>
  </si>
  <si>
    <t>0611839255025</t>
  </si>
  <si>
    <t>TAG Sedum SunSparkler Lime Zinger 25/25 Portrait Tag</t>
  </si>
  <si>
    <t>0611864060100</t>
  </si>
  <si>
    <t>TAG Sedum SunSparkler Plum Dazzled 100/100 Pixie Tag FUL</t>
  </si>
  <si>
    <t>0611839256025</t>
  </si>
  <si>
    <t>TAG Sedum SunSparkler Plum Dazzled 25/25 Portrait Tag</t>
  </si>
  <si>
    <t>0611864061100</t>
  </si>
  <si>
    <t>TAG Sedum SunSparkler Wildfire 100/100 Pixie Tag FUL</t>
  </si>
  <si>
    <t>0611839257025</t>
  </si>
  <si>
    <t>TAG Sedum SunSparkler Wildfire 25/25 Portrait Tag</t>
  </si>
  <si>
    <t>0611839267025</t>
  </si>
  <si>
    <t>TAG Sedum Tall GENERIC 25/25 Portrait Tag</t>
  </si>
  <si>
    <t>0611839268025</t>
  </si>
  <si>
    <t>TAG Sedum Thunderhead 25/25 Portrait Tag</t>
  </si>
  <si>
    <t>0611839269025</t>
  </si>
  <si>
    <t>TAG Sedum Touchdown Teak 25/25 Portrait Tag</t>
  </si>
  <si>
    <t>0611864064100</t>
  </si>
  <si>
    <t>TAG Sedum Tricolor 100/100 Pixie Tag FUL</t>
  </si>
  <si>
    <t>0611839271025</t>
  </si>
  <si>
    <t>TAG Sedum Tricolor 25/25 Portrait Tag</t>
  </si>
  <si>
    <t>0611864065050</t>
  </si>
  <si>
    <t>TAG Sedum Tricolor Limited Availability 50/50 Petite Portrait FUL</t>
  </si>
  <si>
    <t>0611839272025</t>
  </si>
  <si>
    <t>TAG Sedum Turkish Delight 25/25 Portrait Tag</t>
  </si>
  <si>
    <t>0611839273100</t>
  </si>
  <si>
    <t>TAG Sedum Variegatum 100/100 Pixie Tag</t>
  </si>
  <si>
    <t>0611839274025</t>
  </si>
  <si>
    <t>TAG Sedum Variegatum 25/25 Portrait Tag</t>
  </si>
  <si>
    <t>0611864066100</t>
  </si>
  <si>
    <t>TAG Sedum Variegatum CN5388 100/100 Pixie Tag FUL</t>
  </si>
  <si>
    <t>0611864067050</t>
  </si>
  <si>
    <t>TAG Sedum Variegatum Limited Availability 50/50 Petite Portrait</t>
  </si>
  <si>
    <t>0611839275025</t>
  </si>
  <si>
    <t>TAG Sedum Vera Jameson 25/25 Portrait Tag</t>
  </si>
  <si>
    <t>0611839276025</t>
  </si>
  <si>
    <t>TAG Sedum Voodoo Spurium 25/25 Portrait Tag</t>
  </si>
  <si>
    <t>0611839277100</t>
  </si>
  <si>
    <t>TAG Sedum Weihenstephaner Gold 100/100 Pixie Tag</t>
  </si>
  <si>
    <t>0611839278025</t>
  </si>
  <si>
    <t>TAG Sedum Weihenstephaner Gold 25/25 Portrait Tag</t>
  </si>
  <si>
    <t>0611857108025</t>
  </si>
  <si>
    <t>TAG Sedum What A Doozie 25/25 Portrait Tag</t>
  </si>
  <si>
    <t>0611839279100</t>
  </si>
  <si>
    <t>TAG Sedum Yellow Bouquet 100/100 Pixie Tag</t>
  </si>
  <si>
    <t>0611857109025</t>
  </si>
  <si>
    <t>TAG Sedum Yellow Diamonds 25/25 Portrait Tag</t>
  </si>
  <si>
    <t>0611864068100</t>
  </si>
  <si>
    <t>TAG Sempervivum Arachnoideum 100/100 Pixie Tag FUL</t>
  </si>
  <si>
    <t>0611839280025</t>
  </si>
  <si>
    <t>TAG Sempervivum Black 25/25 Portrait Tag</t>
  </si>
  <si>
    <t>0611864069100</t>
  </si>
  <si>
    <t>TAG Sempervivum Calcareum 100/100 Pixie Tag FUL</t>
  </si>
  <si>
    <t>0611839281025</t>
  </si>
  <si>
    <t>TAG Sempervivum Carmen 25/25 Portrait Tag</t>
  </si>
  <si>
    <t>0611864070100</t>
  </si>
  <si>
    <t>TAG Sempervivum Caucasicum 100/100 Pixie Tag FUL</t>
  </si>
  <si>
    <t>0611839282025</t>
  </si>
  <si>
    <t>TAG Sempervivum Cobweb Arachnoideum 25/25 Portrait Tag</t>
  </si>
  <si>
    <t>0611864071100</t>
  </si>
  <si>
    <t>TAG Sempervivum Commander Hay 100/100 Pixie Tag FUL</t>
  </si>
  <si>
    <t>0611839284025</t>
  </si>
  <si>
    <t>TAG Sempervivum Commander Hay 25/25 Portrait Tag</t>
  </si>
  <si>
    <t>0611864072100</t>
  </si>
  <si>
    <t>TAG Sempervivum Ebro 100/100 Pixie Tag FUL</t>
  </si>
  <si>
    <t>0611839288100</t>
  </si>
  <si>
    <t>TAG Sempervivum Green 100/100 Pixie Tag</t>
  </si>
  <si>
    <t>0611839289025</t>
  </si>
  <si>
    <t>TAG Sempervivum Green Wheel 25/25 Portrait Tag</t>
  </si>
  <si>
    <t>0611839290100</t>
  </si>
  <si>
    <t>TAG Sempervivum Hardy Species Mix 100/100 Pixie Tag</t>
  </si>
  <si>
    <t>0611839291025</t>
  </si>
  <si>
    <t>TAG Sempervivum Hardy Species Mix 25/25 Portrait Tag</t>
  </si>
  <si>
    <t>0611861906050</t>
  </si>
  <si>
    <t>TAG Sempervivum Hen And Chicks 50/50 Petite Portrait FUL</t>
  </si>
  <si>
    <t>0611839292025</t>
  </si>
  <si>
    <t>TAG Sempervivum Hippie Chicks 25/25 Portrait Tag</t>
  </si>
  <si>
    <t>0611839293025</t>
  </si>
  <si>
    <t>TAG Sempervivum Hopewell 25/25 Portrait Tag</t>
  </si>
  <si>
    <t>0611839294025</t>
  </si>
  <si>
    <t>TAG Sempervivum Jade Rose 25/25 Portrait Tag</t>
  </si>
  <si>
    <t>0611864073100</t>
  </si>
  <si>
    <t>TAG Sempervivum Kalinda 100/100 Pixie Tag FUL</t>
  </si>
  <si>
    <t>0611839295025</t>
  </si>
  <si>
    <t>TAG Sempervivum Kalinda 25/25 Portrait Tag</t>
  </si>
  <si>
    <t>0611864074100</t>
  </si>
  <si>
    <t>TAG Sempervivum Koeban 100/100 Pixie Tag FUL</t>
  </si>
  <si>
    <t>0611864075100</t>
  </si>
  <si>
    <t>TAG Sempervivum Marne 100/100 Pixie Tag FUL</t>
  </si>
  <si>
    <t>0611839296100</t>
  </si>
  <si>
    <t>TAG Sempervivum Mix GENERIC 100/100 Pixie Tag</t>
  </si>
  <si>
    <t>0611839297025</t>
  </si>
  <si>
    <t>TAG Sempervivum Mix GENERIC 25/25 Portrait Tag</t>
  </si>
  <si>
    <t>0611864076100</t>
  </si>
  <si>
    <t>TAG Sempervivum Moezel 100/100 Pixie Tag FUL</t>
  </si>
  <si>
    <t>0611864077100</t>
  </si>
  <si>
    <t>TAG Sempervivum Neva 100/100 Pixie Tag FUL</t>
  </si>
  <si>
    <t>0611839300100</t>
  </si>
  <si>
    <t>TAG Sempervivum Red 100/100 Pixie Tag</t>
  </si>
  <si>
    <t>0611864078100</t>
  </si>
  <si>
    <t>TAG Sempervivum Red Beauty 100/100 Pixie Tag FUL</t>
  </si>
  <si>
    <t>0611839301025</t>
  </si>
  <si>
    <t>TAG Sempervivum Red Beauty 25/25 Portrait Tag</t>
  </si>
  <si>
    <t>0611839303025</t>
  </si>
  <si>
    <t>TAG Sempervivum Royal Ruby 25/25 Portrait Tag</t>
  </si>
  <si>
    <t>0611864079100</t>
  </si>
  <si>
    <t>TAG Sempervivum Ruby Heart 100/100 Pixie Tag</t>
  </si>
  <si>
    <t>0611839304025</t>
  </si>
  <si>
    <t>TAG Sempervivum Ruby Heart 25/25 Portrait Tag</t>
  </si>
  <si>
    <t>0611839306025</t>
  </si>
  <si>
    <t>TAG Sempervivum Silver King 25/25 Portrait Tag</t>
  </si>
  <si>
    <t>0611839307025</t>
  </si>
  <si>
    <t>TAG Sempervivum Silverine 25/25 Portrait Tag</t>
  </si>
  <si>
    <t>0611839308025</t>
  </si>
  <si>
    <t>TAG Sempervivum Spring Beauty 25/25 Portrait Tag</t>
  </si>
  <si>
    <t>0611864080100</t>
  </si>
  <si>
    <t>TAG Sempervivum Sunset 100/100 Pixie Tag FUL</t>
  </si>
  <si>
    <t>0611839309025</t>
  </si>
  <si>
    <t>TAG Sempervivum Sunset 25/25 Portrait Tag</t>
  </si>
  <si>
    <t>0611864081100</t>
  </si>
  <si>
    <t>TAG Sempervivum Tiber 100/100 Pixie Tag FUL</t>
  </si>
  <si>
    <t>0611864082100</t>
  </si>
  <si>
    <t>TAG Sempervivum Wolga 100/100 Pixie Tag FUL</t>
  </si>
  <si>
    <t>0611864083100</t>
  </si>
  <si>
    <t>TAG Sempervivum Yukon 100/100 Pixie Tag FUL</t>
  </si>
  <si>
    <t>0611884467025</t>
  </si>
  <si>
    <t>TAG Senecio Angel Wings 25/25 Portrait Tag</t>
  </si>
  <si>
    <t>0611839310100</t>
  </si>
  <si>
    <t>TAG Senecio Blue Barbertonicus 100/100 Pixie Tag</t>
  </si>
  <si>
    <t>0611839311100</t>
  </si>
  <si>
    <t>TAG Senecio Blue Mandraliscae 100/100 Pixie Tag</t>
  </si>
  <si>
    <t>0611839312100</t>
  </si>
  <si>
    <t>TAG Senecio Cineraria GENERIC 100/100 Pixie Tag</t>
  </si>
  <si>
    <t>0611864084100</t>
  </si>
  <si>
    <t>TAG Senecio Crassissimus 100/100 Pixie Tag FUL</t>
  </si>
  <si>
    <t>0611839314100</t>
  </si>
  <si>
    <t>TAG Senecio Dusty Miller Cirrus 100/100 Pixie Tag</t>
  </si>
  <si>
    <t>0611839315100</t>
  </si>
  <si>
    <t>TAG Senecio Dusty Miller GENERIC Bilingual 100/100 Pixie Tag</t>
  </si>
  <si>
    <t>0611839320100</t>
  </si>
  <si>
    <t>TAG Senecio Dusty Miller Look 100/100 Pixie Tag</t>
  </si>
  <si>
    <t>0611839327100</t>
  </si>
  <si>
    <t>TAG Senecio Dusty Miller Silver Gleam 100/100 Pixie Tag</t>
  </si>
  <si>
    <t>0611839328100</t>
  </si>
  <si>
    <t>TAG Senecio Dusty Miller Silver Lace 100/100 Pixie Tag</t>
  </si>
  <si>
    <t>0611839329100</t>
  </si>
  <si>
    <t>TAG Senecio Dusty Miller Silverado 100/100 Pixie Tag</t>
  </si>
  <si>
    <t>0611839330100</t>
  </si>
  <si>
    <t>TAG Senecio Dusty Miller Silverdust 100/100 Pixie Tag</t>
  </si>
  <si>
    <t>0611839316100</t>
  </si>
  <si>
    <t>TAG Senecio Dusty Miller Snow Storm 100/100 Pixie Tag</t>
  </si>
  <si>
    <t>0611839334100</t>
  </si>
  <si>
    <t>TAG Senecio Dusty Miller Winter Whispers 100/100 Pixie Tag</t>
  </si>
  <si>
    <t>0611839317100</t>
  </si>
  <si>
    <t>TAG Senecio German Ivy GENERIC 100/100 Pixie Tag</t>
  </si>
  <si>
    <t>0611884468100</t>
  </si>
  <si>
    <t>TAG Senecio Himalaya 100/100 Pixie Tag FUL</t>
  </si>
  <si>
    <t>0611839319100</t>
  </si>
  <si>
    <t>TAG Senecio Jester Series 100/100 Pixie Tag</t>
  </si>
  <si>
    <t>0611839321100</t>
  </si>
  <si>
    <t>TAG Senecio Macroglossus Variegatum 100/100 Pixie Tag</t>
  </si>
  <si>
    <t>0611864085100</t>
  </si>
  <si>
    <t>TAG Senecio Make 100/100 Pixie Tag</t>
  </si>
  <si>
    <t>0611864086050</t>
  </si>
  <si>
    <t>TAG Senecio Mandala Blue Charme 50/50 Petite Portrait DO FUL</t>
  </si>
  <si>
    <t>0611864087050</t>
  </si>
  <si>
    <t>TAG Senecio Mandala Pink Bicolor 50/50 Petite Portrait DO FUL</t>
  </si>
  <si>
    <t>0611864088050</t>
  </si>
  <si>
    <t>TAG Senecio Mandala Plus Bl Charme 50/50 Petite Portrait DO FUL</t>
  </si>
  <si>
    <t>0611864089050</t>
  </si>
  <si>
    <t>TAG Senecio Mandala Plus Rose 50/50 Petite Portrait DO FUL</t>
  </si>
  <si>
    <t>0611864091050</t>
  </si>
  <si>
    <t>TAG Senecio Mandala Plus Rose Charme 50/50 Petite Portrait DO FUL</t>
  </si>
  <si>
    <t>0611864090050</t>
  </si>
  <si>
    <t>TAG Senecio Mandala Plus Royal Blue 50/50 Petite Portrait DO FUL</t>
  </si>
  <si>
    <t>0611864092050</t>
  </si>
  <si>
    <t>TAG Senecio Mandala Plus Sky Blue 50/50 Petite Portrait DO FUL</t>
  </si>
  <si>
    <t>0611864093050</t>
  </si>
  <si>
    <t>TAG Senecio Mandala Plus Violet Bicolor 50/50 Petite Portrait DO FUL</t>
  </si>
  <si>
    <t>0611864094050</t>
  </si>
  <si>
    <t>TAG Senecio Mandala Purple 50/50 Petite Portrait DO FUL</t>
  </si>
  <si>
    <t>0611864095050</t>
  </si>
  <si>
    <t>TAG Senecio Mandala Salmon 50/50 Petite Portrait DO FUL</t>
  </si>
  <si>
    <t>0611864096050</t>
  </si>
  <si>
    <t>TAG Senecio Mandala XL Pink Bicolor 50/50 Petite Portrait DO FUL</t>
  </si>
  <si>
    <t>0611839322100</t>
  </si>
  <si>
    <t>TAG Senecio Mikanioides German Ivy 100/100 Pixie Tag</t>
  </si>
  <si>
    <t>0611864097100</t>
  </si>
  <si>
    <t>TAG Senecio Mont Blanc Senecio 100/100 Pixie Tag FUL</t>
  </si>
  <si>
    <t>0611839323100</t>
  </si>
  <si>
    <t>TAG Senecio Orange Flame 100/100 Pixie Tag</t>
  </si>
  <si>
    <t>0611839313100</t>
  </si>
  <si>
    <t>TAG Senecio Pericallis Cineraria GENERIC 100/100 Pixie Tag</t>
  </si>
  <si>
    <t>0611884469100</t>
  </si>
  <si>
    <t>TAG Senecio Purple Edge 100/100 Pixie Tag</t>
  </si>
  <si>
    <t>0611864098100</t>
  </si>
  <si>
    <t>TAG Senecio Scaposus 100/100 Pixie Tag FUL</t>
  </si>
  <si>
    <t>0611839324100</t>
  </si>
  <si>
    <t>TAG Senecio Senecio GENERIC 100/100 Pixie Tag</t>
  </si>
  <si>
    <t>0611839325100</t>
  </si>
  <si>
    <t>TAG Senecio Serpents 100/100 Pixie Tag</t>
  </si>
  <si>
    <t>0611839326100</t>
  </si>
  <si>
    <t>TAG Senecio Silver Barbertonicus 100/100 Pixie Tag</t>
  </si>
  <si>
    <t>0611864099100</t>
  </si>
  <si>
    <t>TAG Senecio Stapelioformis 100/100 Pixie Tag FUL</t>
  </si>
  <si>
    <t>0611839331100</t>
  </si>
  <si>
    <t>TAG Senecio String Of Bananas 100/100 Pixie Tag</t>
  </si>
  <si>
    <t>0611839332100</t>
  </si>
  <si>
    <t>TAG Senecio String Of Dolphins 100/100 Pixie Tag</t>
  </si>
  <si>
    <t>0611839333100</t>
  </si>
  <si>
    <t>TAG Senecio String Of Pearls 100/100 Pixie Tag</t>
  </si>
  <si>
    <t>0611839335100</t>
  </si>
  <si>
    <t>TAG Senna Popcorn Cassia Yellow 100/100 Pixie Tag</t>
  </si>
  <si>
    <t>0611839336100</t>
  </si>
  <si>
    <t>TAG Setcreasea Purple Heart 100/100 Pixie Tag</t>
  </si>
  <si>
    <t>0611864100050</t>
  </si>
  <si>
    <t>TAG Setcreasea Purple Queen 50/50 Petite Portrait FUL</t>
  </si>
  <si>
    <t>0611882928100</t>
  </si>
  <si>
    <t>TAG SF DO Fulfillment 100/100 Pixie Tag</t>
  </si>
  <si>
    <t>0611867844050</t>
  </si>
  <si>
    <t>TAG SF DO Fulfillment 50/50 Petite Portrait</t>
  </si>
  <si>
    <t>0611830636100</t>
  </si>
  <si>
    <t>TAG Shallot Echalion Creme Brulee 100/100 Pixie Tag</t>
  </si>
  <si>
    <t>0611830655100</t>
  </si>
  <si>
    <t>TAG Shallot GENERIC 100/100 Pixie Tag</t>
  </si>
  <si>
    <t>0611839339025</t>
  </si>
  <si>
    <t>TAG Silene Carol Jean Pink 25/25 Portrait Tag</t>
  </si>
  <si>
    <t>0611839340025</t>
  </si>
  <si>
    <t>TAG Silene Carol Jean Rose Tall 25/25 Portrait Tag</t>
  </si>
  <si>
    <t>0611839341025</t>
  </si>
  <si>
    <t>TAG Silene Carol Jean White 25/25 Portrait Tag</t>
  </si>
  <si>
    <t>0611839342025</t>
  </si>
  <si>
    <t>TAG Silene Clifford Moor 25/25 Portrait Tag</t>
  </si>
  <si>
    <t>0611839344025</t>
  </si>
  <si>
    <t>TAG Silene Pink GENERIC 25/25 Portrait Tag</t>
  </si>
  <si>
    <t>0611839345025</t>
  </si>
  <si>
    <t>TAG Silene Rollie's Favorite 25/25 Portrait Tag</t>
  </si>
  <si>
    <t>0611857110025</t>
  </si>
  <si>
    <t>TAG Silene Valley High 25/25 Portrait Tag</t>
  </si>
  <si>
    <t>0611839347100</t>
  </si>
  <si>
    <t>TAG Sinningia Mix 100/100 Pixie Tag</t>
  </si>
  <si>
    <t>0611839348025</t>
  </si>
  <si>
    <t>TAG Sisyrinchium Blue Eyed Grass GENERIC 25/25 Portrait Tag</t>
  </si>
  <si>
    <t>0611839350025</t>
  </si>
  <si>
    <t>TAG Sisyrinchium Lucerne Angustifolium 25/25 Portrait Tag</t>
  </si>
  <si>
    <t>0611839351025</t>
  </si>
  <si>
    <t>TAG Sisyrinchium Moody Blues 25/25 Portrait Tag</t>
  </si>
  <si>
    <t>0611830783100</t>
  </si>
  <si>
    <t>TAG Snapdragon Antiquity Mix 100/100 Pixie Tag</t>
  </si>
  <si>
    <t>0611860508050</t>
  </si>
  <si>
    <t>TAG Snapdragon Buttery Dragon 50/50 Petite Portrait FUL</t>
  </si>
  <si>
    <t>0611830794100</t>
  </si>
  <si>
    <t>TAG Snapdragon Candy Showers Series 100/100 Pixie Tag</t>
  </si>
  <si>
    <t>0611830795100</t>
  </si>
  <si>
    <t>TAG Snapdragon Candy Tops Mix 100/100 Pixie Tag</t>
  </si>
  <si>
    <t>0611830796100</t>
  </si>
  <si>
    <t>TAG Snapdragon Candy Tops Orange 100/100 Pixie Tag</t>
  </si>
  <si>
    <t>0611830797100</t>
  </si>
  <si>
    <t>TAG Snapdragon Candy Tops Red 100/100 Pixie Tag</t>
  </si>
  <si>
    <t>0611830798100</t>
  </si>
  <si>
    <t>TAG Snapdragon Candy Tops Rose 100/100 Pixie Tag</t>
  </si>
  <si>
    <t>0611830799100</t>
  </si>
  <si>
    <t>TAG Snapdragon Candy Tops White 100/100 Pixie Tag</t>
  </si>
  <si>
    <t>0611830800100</t>
  </si>
  <si>
    <t>TAG Snapdragon Candy Tops Yellow 100/100 Pixie Tag</t>
  </si>
  <si>
    <t>0611884470100</t>
  </si>
  <si>
    <t>TAG Snapdragon DoubleShot Orange Bicolor 100/100 Pixie Tag</t>
  </si>
  <si>
    <t>0611830803100</t>
  </si>
  <si>
    <t>TAG Snapdragon Dwarf Bicolor GENERIC 100/100 Pixie Tag</t>
  </si>
  <si>
    <t>0611830804100</t>
  </si>
  <si>
    <t>TAG Snapdragon Dwarf GENERIC 100/100 Pixie Tag</t>
  </si>
  <si>
    <t>0611830809100</t>
  </si>
  <si>
    <t>TAG Snapdragon Dwarf Lavender Orchid GENERIC 100/100 Pixie Tag</t>
  </si>
  <si>
    <t>0611830810100</t>
  </si>
  <si>
    <t>TAG Snapdragon Dwarf Orange Shades GENERIC 100/100 Pixie Tag</t>
  </si>
  <si>
    <t>0611830805100</t>
  </si>
  <si>
    <t>TAG Snapdragon Dwarf Pink Rose GENERIC 100/100 Pixie Tag</t>
  </si>
  <si>
    <t>0611830806100</t>
  </si>
  <si>
    <t>TAG Snapdragon Dwarf Red GENERIC 100/100 Pixie Tag</t>
  </si>
  <si>
    <t>0611830807100</t>
  </si>
  <si>
    <t>TAG Snapdragon Dwarf White GENERIC 100/100 Pixie Tag</t>
  </si>
  <si>
    <t>0611830808100</t>
  </si>
  <si>
    <t>TAG Snapdragon Dwarf Yellow GENERIC 100/100 Pixie Tag</t>
  </si>
  <si>
    <t>0611830811100</t>
  </si>
  <si>
    <t>TAG Snapdragon Floral Carpet Mix 100/100 Pixie Tag</t>
  </si>
  <si>
    <t>0611830812100</t>
  </si>
  <si>
    <t>TAG Snapdragon Floral Showers Bicolor Mix 100/100 Pixie Tag</t>
  </si>
  <si>
    <t>0611830813100</t>
  </si>
  <si>
    <t>TAG Snapdragon Floral Showers Crimson 100/100 Pixie Tag</t>
  </si>
  <si>
    <t>0611830814100</t>
  </si>
  <si>
    <t>TAG Snapdragon Floral Showers Deep Brnz 100/100 Pixie Tag</t>
  </si>
  <si>
    <t>0611830816100</t>
  </si>
  <si>
    <t>TAG Snapdragon Floral Showers Lilac 100/100 Pixie Tag</t>
  </si>
  <si>
    <t>0611830817100</t>
  </si>
  <si>
    <t>TAG Snapdragon Floral Showers Mix 100/100 Pixie Tag</t>
  </si>
  <si>
    <t>0611830818100</t>
  </si>
  <si>
    <t>TAG Snapdragon Floral Showers Purple 100/100 Pixie Tag</t>
  </si>
  <si>
    <t>0611830823100</t>
  </si>
  <si>
    <t>TAG Snapdragon Floral Showers Red And Yellow Bicolor 100/100 Pixie Tag</t>
  </si>
  <si>
    <t>0611830819100</t>
  </si>
  <si>
    <t>TAG Snapdragon Floral Showers Rose 100/100 Pixie Tag</t>
  </si>
  <si>
    <t>0611830820100</t>
  </si>
  <si>
    <t>TAG Snapdragon Floral Showers Rose Pink 100/100 Pixie Tag</t>
  </si>
  <si>
    <t>0611830821100</t>
  </si>
  <si>
    <t>TAG Snapdragon Floral Showers White 100/100 Pixie Tag</t>
  </si>
  <si>
    <t>0611830822100</t>
  </si>
  <si>
    <t>TAG Snapdragon Floral Showers Yellow 100/100 Pixie Tag</t>
  </si>
  <si>
    <t>0611830802100</t>
  </si>
  <si>
    <t>TAG Snapdragon GENERIC Bilingual 100/100 Pixie Tag</t>
  </si>
  <si>
    <t>0611830824100</t>
  </si>
  <si>
    <t>TAG Snapdragon Liberty Classic Bronze 100/100 Pixie Tag SF</t>
  </si>
  <si>
    <t>0611830825100</t>
  </si>
  <si>
    <t>TAG Snapdragon Liberty Classic Crimson 100/100 Pixie Tag SF</t>
  </si>
  <si>
    <t>0611830826100</t>
  </si>
  <si>
    <t>TAG Snapdragon Liberty Classic Lavender 100/100 Pixie Tag SF</t>
  </si>
  <si>
    <t>0611830827100</t>
  </si>
  <si>
    <t>TAG Snapdragon Liberty Classic Mix 100/100 Pixie Tag SF</t>
  </si>
  <si>
    <t>0611830828100</t>
  </si>
  <si>
    <t>TAG Snapdragon Liberty Classic Rose Pink 100/100 Pixie Tag SF</t>
  </si>
  <si>
    <t>0611830830100</t>
  </si>
  <si>
    <t>TAG Snapdragon Liberty Classic White 100/100 Pixie Tag SF</t>
  </si>
  <si>
    <t>0611830831100</t>
  </si>
  <si>
    <t>TAG Snapdragon Liberty Classic Yellow 100/100 Pixie Tag SF</t>
  </si>
  <si>
    <t>0611830833100</t>
  </si>
  <si>
    <t>TAG Snapdragon Madame Butterfly 100/100 Pixie Tag SF</t>
  </si>
  <si>
    <t>0611830832100</t>
  </si>
  <si>
    <t>TAG Snapdragon Medium GENERIC 100/100 Pixie Tag</t>
  </si>
  <si>
    <t>0611830835100</t>
  </si>
  <si>
    <t>TAG Snapdragon Montego Burgundy Bicolor 100/100 Pixie Tag SF</t>
  </si>
  <si>
    <t>0611830837100</t>
  </si>
  <si>
    <t>TAG Snapdragon Montego Formula Mix 100/100 Pixie Tag SF</t>
  </si>
  <si>
    <t>0611830838100</t>
  </si>
  <si>
    <t>TAG Snapdragon Montego Orange Bicolor 100/100 Pixie Tag SF</t>
  </si>
  <si>
    <t>0611830840100</t>
  </si>
  <si>
    <t>TAG Snapdragon Montego Pink 100/100 Pixie Tag SF</t>
  </si>
  <si>
    <t>0611830841100</t>
  </si>
  <si>
    <t>TAG Snapdragon Montego Purple 100/100 Pixie Tag SF</t>
  </si>
  <si>
    <t>0611830842100</t>
  </si>
  <si>
    <t>TAG Snapdragon Montego Red 100/100 Pixie Tag SF</t>
  </si>
  <si>
    <t>0611830843100</t>
  </si>
  <si>
    <t>TAG Snapdragon Montego Rose 100/100 Pixie Tag SF</t>
  </si>
  <si>
    <t>0611830846100</t>
  </si>
  <si>
    <t>TAG Snapdragon Montego Sunset 100/100 Pixie Tag SF</t>
  </si>
  <si>
    <t>0611830847100</t>
  </si>
  <si>
    <t>TAG Snapdragon Montego Violet 100/100 Pixie Tag SF</t>
  </si>
  <si>
    <t>0611830848100</t>
  </si>
  <si>
    <t>TAG Snapdragon Montego White 100/100 Pixie Tag SF</t>
  </si>
  <si>
    <t>0611830849100</t>
  </si>
  <si>
    <t>TAG Snapdragon Montego Yellow 100/100 Pixie Tag SF</t>
  </si>
  <si>
    <t>0611860509050</t>
  </si>
  <si>
    <t>TAG Snapdragon Peachy Dragon 50/50 Petite Portrait FUL</t>
  </si>
  <si>
    <t>0611830850100</t>
  </si>
  <si>
    <t>TAG Snapdragon Rocket Bronze 100/100 Pixie Tag</t>
  </si>
  <si>
    <t>0611830851100</t>
  </si>
  <si>
    <t>TAG Snapdragon Rocket Cherry 100/100 Pixie Tag</t>
  </si>
  <si>
    <t>0611830852100</t>
  </si>
  <si>
    <t>TAG Snapdragon Rocket Gold 100/100 Pixie Tag</t>
  </si>
  <si>
    <t>0611830853100</t>
  </si>
  <si>
    <t>TAG Snapdragon Rocket Lemon 100/100 Pixie Tag</t>
  </si>
  <si>
    <t>0611830854100</t>
  </si>
  <si>
    <t>TAG Snapdragon Rocket Mix 100/100 Pixie Tag</t>
  </si>
  <si>
    <t>0611830855100</t>
  </si>
  <si>
    <t>TAG Snapdragon Rocket Orchid 100/100 Pixie Tag</t>
  </si>
  <si>
    <t>0611830856100</t>
  </si>
  <si>
    <t>TAG Snapdragon Rocket Pink 100/100 Pixie Tag</t>
  </si>
  <si>
    <t>0611830857100</t>
  </si>
  <si>
    <t>TAG Snapdragon Rocket Red 100/100 Pixie Tag</t>
  </si>
  <si>
    <t>0611830858100</t>
  </si>
  <si>
    <t>TAG Snapdragon Rocket Rose 100/100 Pixie Tag</t>
  </si>
  <si>
    <t>0611830859100</t>
  </si>
  <si>
    <t>TAG Snapdragon Rocket White 100/100 Pixie Tag</t>
  </si>
  <si>
    <t>0611830860100</t>
  </si>
  <si>
    <t>TAG Snapdragon Rocket Yellow 100/100 Pixie Tag</t>
  </si>
  <si>
    <t>0611860510050</t>
  </si>
  <si>
    <t>TAG Snapdragon Rosey Dragon 50/50 Petite Portrait FUL</t>
  </si>
  <si>
    <t>0611830861100</t>
  </si>
  <si>
    <t>TAG Snapdragon Snapshot Appleblossom 100/100 Pixie Tag</t>
  </si>
  <si>
    <t>0611830862100</t>
  </si>
  <si>
    <t>TAG Snapdragon Snapshot Autumn Mix 100/100 Pixie Tag</t>
  </si>
  <si>
    <t>0611830863100</t>
  </si>
  <si>
    <t>TAG Snapdragon Snapshot Berry N Cream 100/100 Pixie Tag</t>
  </si>
  <si>
    <t>0611830864100</t>
  </si>
  <si>
    <t>TAG Snapdragon Snapshot Burgundy 100/100 Pixie Tag</t>
  </si>
  <si>
    <t>0611830866100</t>
  </si>
  <si>
    <t>TAG Snapdragon Snapshot Burgundy And White 100/100 Pixie Tag</t>
  </si>
  <si>
    <t>0611830865100</t>
  </si>
  <si>
    <t>TAG Snapdragon Snapshot Burgundy Bicolor 100/100 Pixie Tag</t>
  </si>
  <si>
    <t>0611830867100</t>
  </si>
  <si>
    <t>TAG Snapdragon Snapshot Citrus Mix 100/100 Pixie Tag</t>
  </si>
  <si>
    <t>0611830868100</t>
  </si>
  <si>
    <t>TAG Snapdragon Snapshot Coral Bicolor 100/100 Pixie Tag</t>
  </si>
  <si>
    <t>0611830869100</t>
  </si>
  <si>
    <t>TAG Snapdragon Snapshot Merlot Mix 100/100 Pixie Tag</t>
  </si>
  <si>
    <t>0611830870100</t>
  </si>
  <si>
    <t>TAG Snapdragon Snapshot Mix 100/100 Pixie Tag</t>
  </si>
  <si>
    <t>0611830871100</t>
  </si>
  <si>
    <t>TAG Snapdragon Snapshot Orange 100/100 Pixie Tag</t>
  </si>
  <si>
    <t>0611830872100</t>
  </si>
  <si>
    <t>TAG Snapdragon Snapshot Orange Yellow 100/100 Pixie Tag</t>
  </si>
  <si>
    <t>0611830874100</t>
  </si>
  <si>
    <t>TAG Snapdragon Snapshot Pink 100/100 Pixie Tag</t>
  </si>
  <si>
    <t>0611830875100</t>
  </si>
  <si>
    <t>TAG Snapdragon Snapshot Plumblossom 100/100 Pixie Tag</t>
  </si>
  <si>
    <t>0611830876100</t>
  </si>
  <si>
    <t>TAG Snapdragon Snapshot Purple 100/100 Pixie Tag</t>
  </si>
  <si>
    <t>0611830877100</t>
  </si>
  <si>
    <t>TAG Snapdragon Snapshot Red 100/100 Pixie Tag</t>
  </si>
  <si>
    <t>0611830878100</t>
  </si>
  <si>
    <t>TAG Snapdragon Snapshot Red Bicolour 100/100 Pixie Tag</t>
  </si>
  <si>
    <t>0611830879100</t>
  </si>
  <si>
    <t>TAG Snapdragon Snapshot Red Flame 100/100 Pixie Tag</t>
  </si>
  <si>
    <t>0611830881100</t>
  </si>
  <si>
    <t>TAG Snapdragon Snapshot Rose 100/100 Pixie Tag</t>
  </si>
  <si>
    <t>0611830882100</t>
  </si>
  <si>
    <t>TAG Snapdragon Snapshot Spring Mix 100/100 Pixie Tag</t>
  </si>
  <si>
    <t>0611830883100</t>
  </si>
  <si>
    <t>TAG Snapdragon Snapshot Sunset 100/100 Pixie Tag</t>
  </si>
  <si>
    <t>0611830884100</t>
  </si>
  <si>
    <t>TAG Snapdragon Snapshot White 100/100 Pixie Tag</t>
  </si>
  <si>
    <t>0611830885100</t>
  </si>
  <si>
    <t>TAG Snapdragon Snapshot Yellow 100/100 Pixie Tag</t>
  </si>
  <si>
    <t>0611830886100</t>
  </si>
  <si>
    <t>TAG Snapdragon Snaptastic Magenta 100/100 Pixie Tag SF</t>
  </si>
  <si>
    <t>0611830887100</t>
  </si>
  <si>
    <t>TAG Snapdragon Snaptastic Mix 100/100 Pixie Tag SF</t>
  </si>
  <si>
    <t>0611830888100</t>
  </si>
  <si>
    <t>TAG Snapdragon Snaptastic Orange Flame 100/100 Pixie Tag SF</t>
  </si>
  <si>
    <t>0611830889100</t>
  </si>
  <si>
    <t>TAG Snapdragon Snaptastic Pink 100/100 Pixie Tag SF</t>
  </si>
  <si>
    <t>0611830890100</t>
  </si>
  <si>
    <t>TAG Snapdragon Snaptastic Red 100/100 Pixie Tag SF</t>
  </si>
  <si>
    <t>0611830891100</t>
  </si>
  <si>
    <t>TAG Snapdragon Snaptastic Yellow 100/100 Pixie Tag SF</t>
  </si>
  <si>
    <t>0611830892100</t>
  </si>
  <si>
    <t>TAG Snapdragon Snaptini Burgundy Bicolor 100/100 Pixie Tag SF</t>
  </si>
  <si>
    <t>0611830893100</t>
  </si>
  <si>
    <t>TAG Snapdragon Snaptini Mix 100/100 Pixie Tag SF</t>
  </si>
  <si>
    <t>0611830894100</t>
  </si>
  <si>
    <t>TAG Snapdragon Snaptini Peach 100/100 Pixie Tag SF</t>
  </si>
  <si>
    <t>0611830895100</t>
  </si>
  <si>
    <t>TAG Snapdragon Snaptini Red 100/100 Pixie Tag SF</t>
  </si>
  <si>
    <t>0611830896100</t>
  </si>
  <si>
    <t>TAG Snapdragon Snaptini Rose Bicolor 100/100 Pixie Tag SF</t>
  </si>
  <si>
    <t>0611830897100</t>
  </si>
  <si>
    <t>TAG Snapdragon Snaptini Scarlet 100/100 Pixie Tag SF</t>
  </si>
  <si>
    <t>0611830898100</t>
  </si>
  <si>
    <t>TAG Snapdragon Snaptini Sunglow 100/100 Pixie Tag SF</t>
  </si>
  <si>
    <t>0611830899100</t>
  </si>
  <si>
    <t>TAG Snapdragon Snaptini Violet 100/100 Pixie Tag SF</t>
  </si>
  <si>
    <t>0611830900100</t>
  </si>
  <si>
    <t>TAG Snapdragon Snaptini White 100/100 Pixie Tag SF</t>
  </si>
  <si>
    <t>0611830901100</t>
  </si>
  <si>
    <t>TAG Snapdragon Snaptini Yellow 100/100 Pixie Tag SF</t>
  </si>
  <si>
    <t>0611830902100</t>
  </si>
  <si>
    <t>TAG Snapdragon Solstice Lavender 100/100 Pixie Tag</t>
  </si>
  <si>
    <t>0611830903100</t>
  </si>
  <si>
    <t>TAG Snapdragon Solstice Mix 100/100 Pixie Tag</t>
  </si>
  <si>
    <t>0611830904100</t>
  </si>
  <si>
    <t>TAG Snapdragon Solstice Orange Tricolor 100/100 Pixie Tag</t>
  </si>
  <si>
    <t>0611830906100</t>
  </si>
  <si>
    <t>TAG Snapdragon Solstice Purple 100/100 Pixie Tag</t>
  </si>
  <si>
    <t>0611830907100</t>
  </si>
  <si>
    <t>TAG Snapdragon Solstice Red 100/100 Pixie Tag</t>
  </si>
  <si>
    <t>0611830909100</t>
  </si>
  <si>
    <t>TAG Snapdragon Solstice White 100/100 Pixie Tag</t>
  </si>
  <si>
    <t>0611830910100</t>
  </si>
  <si>
    <t>TAG Snapdragon Solstice Yellow 100/100 Pixie Tag</t>
  </si>
  <si>
    <t>0611830911100</t>
  </si>
  <si>
    <t>TAG Snapdragon Sonnet Burgundy 100/100 Pixie Tag</t>
  </si>
  <si>
    <t>0611830912100</t>
  </si>
  <si>
    <t>TAG Snapdragon Sonnet Carmine 100/100 Pixie Tag</t>
  </si>
  <si>
    <t>0611830913100</t>
  </si>
  <si>
    <t>TAG Snapdragon Sonnet Crimson 100/100 Pixie Tag</t>
  </si>
  <si>
    <t>0611830914100</t>
  </si>
  <si>
    <t>TAG Snapdragon Sonnet Mix 100/100 Pixie Tag</t>
  </si>
  <si>
    <t>0611830915100</t>
  </si>
  <si>
    <t>TAG Snapdragon Sonnet Orange And Scarlet 100/100 Pixie Tag</t>
  </si>
  <si>
    <t>0611830916100</t>
  </si>
  <si>
    <t>TAG Snapdragon Sonnet Pink 100/100 Pixie Tag</t>
  </si>
  <si>
    <t>0611830917100</t>
  </si>
  <si>
    <t>TAG Snapdragon Sonnet Rose 100/100 Pixie Tag</t>
  </si>
  <si>
    <t>0611830918100</t>
  </si>
  <si>
    <t>TAG Snapdragon Sonnet White 100/100 Pixie Tag</t>
  </si>
  <si>
    <t>0611830919100</t>
  </si>
  <si>
    <t>TAG Snapdragon Sonnet Yellow 100/100 Pixie Tag</t>
  </si>
  <si>
    <t>0611830920100</t>
  </si>
  <si>
    <t>TAG Snapdragon Speedy Sonnet Bronze 100/100 Pixie Tag</t>
  </si>
  <si>
    <t>0611830921100</t>
  </si>
  <si>
    <t>TAG Snapdragon Speedy Sonnet Crimson 100/100 Pixie Tag</t>
  </si>
  <si>
    <t>0611830922100</t>
  </si>
  <si>
    <t>TAG Snapdragon Speedy Sonnet Mix 100/100 Pixie Tag</t>
  </si>
  <si>
    <t>0611830923100</t>
  </si>
  <si>
    <t>TAG Snapdragon Speedy Sonnet Pink 100/100 Pixie Tag</t>
  </si>
  <si>
    <t>0611830924100</t>
  </si>
  <si>
    <t>TAG Snapdragon Speedy Sonnet Purple 100/100 Pixie Tag</t>
  </si>
  <si>
    <t>0611830925100</t>
  </si>
  <si>
    <t>TAG Snapdragon Speedy Sonnet Rose 100/100 Pixie Tag</t>
  </si>
  <si>
    <t>0611830926100</t>
  </si>
  <si>
    <t>TAG Snapdragon Speedy Sonnet White 100/100 Pixie Tag</t>
  </si>
  <si>
    <t>0611830927100</t>
  </si>
  <si>
    <t>TAG Snapdragon Speedy Sonnet Yellow 100/100 Pixie Tag</t>
  </si>
  <si>
    <t>0611830928100</t>
  </si>
  <si>
    <t>TAG Snapdragon Statement Pink 100/100 Pixie Tag</t>
  </si>
  <si>
    <t>0611830929100</t>
  </si>
  <si>
    <t>TAG Snapdragon Statement Rose 100/100 Pixie Tag</t>
  </si>
  <si>
    <t>0611830930100</t>
  </si>
  <si>
    <t>TAG Snapdragon Statement Scarlet 100/100 Pixie Tag</t>
  </si>
  <si>
    <t>0611830931100</t>
  </si>
  <si>
    <t>TAG Snapdragon Statement White 100/100 Pixie Tag</t>
  </si>
  <si>
    <t>0611830932100</t>
  </si>
  <si>
    <t>TAG Snapdragon Statement Yellow 100/100 Pixie Tag</t>
  </si>
  <si>
    <t>0611884471100</t>
  </si>
  <si>
    <t>TAG Snapdragon Sweet Duet Series 100/100 Pixie Tag</t>
  </si>
  <si>
    <t>0611830934100</t>
  </si>
  <si>
    <t>TAG Snapdragon Tall GENERIC 100/100 Pixie Tag</t>
  </si>
  <si>
    <t>0611830935100</t>
  </si>
  <si>
    <t>TAG Snapdragon Trailing GENERIC 100/100 Pixie Tag</t>
  </si>
  <si>
    <t>0611830941100</t>
  </si>
  <si>
    <t>TAG Snapdragon Twinny Peach 100/100 Pixie Tag</t>
  </si>
  <si>
    <t>0611830942100</t>
  </si>
  <si>
    <t>TAG Snapdragon Twinny Series 100/100 Pixie Tag</t>
  </si>
  <si>
    <t>0611839380100</t>
  </si>
  <si>
    <t>TAG Solanum Potato Vine Variegated 100/100 Pixie Tag</t>
  </si>
  <si>
    <t>0611839384025</t>
  </si>
  <si>
    <t>TAG Solidago Fireworks 25/25 Portrait Tag</t>
  </si>
  <si>
    <t>0611884472025</t>
  </si>
  <si>
    <t>TAG Solidago Spark Plug 25/25 Portrait Tag</t>
  </si>
  <si>
    <t>0611864101100</t>
  </si>
  <si>
    <t>TAG Solidago Sweety Goldenrod Limited Availability 100/100 Pixie Tag DO</t>
  </si>
  <si>
    <t>0611864102050</t>
  </si>
  <si>
    <t>TAG Solidago Sweety Goldenrod Limited Availability 50/50 Petite Tag DO</t>
  </si>
  <si>
    <t>0611839385100</t>
  </si>
  <si>
    <t>TAG Spathiphyllum GENERIC 100/100 Pixie Tag</t>
  </si>
  <si>
    <t>0611839386025</t>
  </si>
  <si>
    <t>TAG Spathiphyllum GENERIC 25/25 Portrait Tag</t>
  </si>
  <si>
    <t>0611839387100</t>
  </si>
  <si>
    <t>TAG Spilanthes Peek A Boo 100/100 Pixie Tag</t>
  </si>
  <si>
    <t>0611857111100</t>
  </si>
  <si>
    <t>TAG Spinach Bloomsdale 100/100 Pixie Tag</t>
  </si>
  <si>
    <t>0611839388100</t>
  </si>
  <si>
    <t>TAG Spinach Giant Nobel 100/100 Pixie Tag</t>
  </si>
  <si>
    <t>0611839389100</t>
  </si>
  <si>
    <t>TAG Spinach Olympia 100/100 Pixie Tag</t>
  </si>
  <si>
    <t>0611839390100</t>
  </si>
  <si>
    <t>TAG Spinach Red Stem Malabar 100/100 Pixie Tag</t>
  </si>
  <si>
    <t>0611839391100</t>
  </si>
  <si>
    <t>TAG Spinach Seaside 100/100 Pixie Tag</t>
  </si>
  <si>
    <t>0611839392100</t>
  </si>
  <si>
    <t>TAG Spinach Spinach GENERIC 100/100 Pixie Tag</t>
  </si>
  <si>
    <t>0611839393100</t>
  </si>
  <si>
    <t>TAG Spinach Zealand 100/100 Pixie Tag</t>
  </si>
  <si>
    <t>0611839394025</t>
  </si>
  <si>
    <t>TAG Sporobolus Heterolepis 25/25 Portrait Tag</t>
  </si>
  <si>
    <t>0611833564100</t>
  </si>
  <si>
    <t>TAG Squash Acorn 100/100 Pixie Tag</t>
  </si>
  <si>
    <t>0611833565200</t>
  </si>
  <si>
    <t>TAG Squash Acorn 200/200 Thriftee Tag</t>
  </si>
  <si>
    <t>0611839395100</t>
  </si>
  <si>
    <t>TAG Squash Ambassador 100/100 Pixie Tag</t>
  </si>
  <si>
    <t>0611839396100</t>
  </si>
  <si>
    <t>TAG Squash Aristocrat 100/100 Pixie Tag</t>
  </si>
  <si>
    <t>0611833567100</t>
  </si>
  <si>
    <t>TAG Squash Autumn Frost 100/100 Pixie Tag</t>
  </si>
  <si>
    <t>0611839397100</t>
  </si>
  <si>
    <t>TAG Squash Balls 100/100 Pixie Tag</t>
  </si>
  <si>
    <t>0611833570100</t>
  </si>
  <si>
    <t>TAG Squash Banana 100/100 Pixie Tag</t>
  </si>
  <si>
    <t>0611839398100</t>
  </si>
  <si>
    <t>TAG Squash Black Beauty 100/100 Pixie Tag</t>
  </si>
  <si>
    <t>0611839399100</t>
  </si>
  <si>
    <t>TAG Squash Bonbon 100/100 Pixie Tag</t>
  </si>
  <si>
    <t>0611839400100</t>
  </si>
  <si>
    <t>TAG Squash Bossa Nova 100/100 Pixie Tag</t>
  </si>
  <si>
    <t>0611839401100</t>
  </si>
  <si>
    <t>TAG Squash Buckingham 100/100 Pixie Tag</t>
  </si>
  <si>
    <t>0611839402100</t>
  </si>
  <si>
    <t>TAG Squash Burpee Hybrid 100/100 Pixie Tag</t>
  </si>
  <si>
    <t>0611839403100</t>
  </si>
  <si>
    <t>TAG Squash Butterbaby 100/100 Pixie Tag</t>
  </si>
  <si>
    <t>0611839404100</t>
  </si>
  <si>
    <t>TAG Squash Buttercup 100/100 Pixie Tag</t>
  </si>
  <si>
    <t>0611839405100</t>
  </si>
  <si>
    <t>TAG Squash Butternut 100/100 Pixie Tag</t>
  </si>
  <si>
    <t>0611839406100</t>
  </si>
  <si>
    <t>TAG Squash Butterscotch 100/100 Pixie Tag</t>
  </si>
  <si>
    <t>0611839407100</t>
  </si>
  <si>
    <t>TAG Squash Carnival 100/100 Pixie Tag</t>
  </si>
  <si>
    <t>0611833575100</t>
  </si>
  <si>
    <t>TAG Squash Cornell's Bush Delicata 100/100 Pixie Tag</t>
  </si>
  <si>
    <t>0611839409100</t>
  </si>
  <si>
    <t>TAG Squash Cream Of The Crop 100/100 Pixie Tag</t>
  </si>
  <si>
    <t>0611833577200</t>
  </si>
  <si>
    <t>TAG Squash Crookneck 200/200 Thriftee Tag</t>
  </si>
  <si>
    <t>0611839410100</t>
  </si>
  <si>
    <t>TAG Squash Cucuzzi 100/100 Pixie Tag</t>
  </si>
  <si>
    <t>0611833578100</t>
  </si>
  <si>
    <t>TAG Squash Delicata 100/100 Pixie Tag</t>
  </si>
  <si>
    <t>0611839411100</t>
  </si>
  <si>
    <t>TAG Squash Dixie 100/100 Pixie Tag</t>
  </si>
  <si>
    <t>0611833579100</t>
  </si>
  <si>
    <t>TAG Squash Early Butternut 100/100 Pixie Tag</t>
  </si>
  <si>
    <t>0611839412100</t>
  </si>
  <si>
    <t>TAG Squash Early Summer 100/100 Pixie Tag</t>
  </si>
  <si>
    <t>0611839413100</t>
  </si>
  <si>
    <t>TAG Squash Early White Bush 100/100 Pixie Tag</t>
  </si>
  <si>
    <t>0611839414100</t>
  </si>
  <si>
    <t>TAG Squash EasyPick Gold 100/100 Pixie Tag</t>
  </si>
  <si>
    <t>0611839415100</t>
  </si>
  <si>
    <t>TAG Squash EasyPick Green 100/100 Pixie Tag</t>
  </si>
  <si>
    <t>0611839416100</t>
  </si>
  <si>
    <t>TAG Squash Eight Ball 100/100 Pixie Tag</t>
  </si>
  <si>
    <t>0611839417100</t>
  </si>
  <si>
    <t>TAG Squash Elite 100/100 Pixie Tag</t>
  </si>
  <si>
    <t>0611839418100</t>
  </si>
  <si>
    <t>TAG Squash Enterprise 100/100 Pixie Tag</t>
  </si>
  <si>
    <t>0611839419100</t>
  </si>
  <si>
    <t>TAG Squash Flying Saucer 100/100 Pixie Tag</t>
  </si>
  <si>
    <t>0611839420100</t>
  </si>
  <si>
    <t>TAG Squash Fortune 100/100 Pixie Tag</t>
  </si>
  <si>
    <t>0611884147100</t>
  </si>
  <si>
    <t>TAG Squash Generic 100/100 Pixie Tag</t>
  </si>
  <si>
    <t>0611833598100</t>
  </si>
  <si>
    <t>TAG Squash GENERIC 100/100 Pixie Tag</t>
  </si>
  <si>
    <t>0611833582100</t>
  </si>
  <si>
    <t>TAG Squash Gold Rush 100/100 Pixie Tag</t>
  </si>
  <si>
    <t>0611839421100</t>
  </si>
  <si>
    <t>TAG Squash Goldbar 100/100 Pixie Tag</t>
  </si>
  <si>
    <t>0611839422100</t>
  </si>
  <si>
    <t>TAG Squash Golden Dawn II 100/100 Pixie Tag</t>
  </si>
  <si>
    <t>0611839424100</t>
  </si>
  <si>
    <t>TAG Squash Golden Glory 100/100 Pixie Tag SF</t>
  </si>
  <si>
    <t>0611839425100</t>
  </si>
  <si>
    <t>TAG Squash Goldilocks 100/100 Pixie Tag</t>
  </si>
  <si>
    <t>0611839426100</t>
  </si>
  <si>
    <t>TAG Squash Goldprize 100/100 Pixie Tag SF</t>
  </si>
  <si>
    <t>0611839427100</t>
  </si>
  <si>
    <t>TAG Squash Green Bush 100/100 Pixie Tag</t>
  </si>
  <si>
    <t>0611839428100</t>
  </si>
  <si>
    <t>TAG Squash Green Griller 100/100 Pixie Tag</t>
  </si>
  <si>
    <t>0611839429100</t>
  </si>
  <si>
    <t>TAG Squash Honey Bear 100/100 Pixie Tag</t>
  </si>
  <si>
    <t>0611839430100</t>
  </si>
  <si>
    <t>TAG Squash Honeybaby 100/100 Pixie Tag</t>
  </si>
  <si>
    <t>0611839431100</t>
  </si>
  <si>
    <t>TAG Squash Honeynut 100/100 Pixie Tag</t>
  </si>
  <si>
    <t>0611833585100</t>
  </si>
  <si>
    <t>TAG Squash Hubbard 100/100 Pixie Tag</t>
  </si>
  <si>
    <t>0611839432100</t>
  </si>
  <si>
    <t>TAG Squash Kurihomare 100/100 Pixie Tag</t>
  </si>
  <si>
    <t>0611839433100</t>
  </si>
  <si>
    <t>TAG Squash Lemon Sun 100/100 Pixie Tag</t>
  </si>
  <si>
    <t>0611839434100</t>
  </si>
  <si>
    <t>TAG Squash Multipik 100/100 Pixie Tag</t>
  </si>
  <si>
    <t>0611839435100</t>
  </si>
  <si>
    <t>TAG Squash Peter Pan 100/100 Pixie Tag</t>
  </si>
  <si>
    <t>0611839436100</t>
  </si>
  <si>
    <t>TAG Squash Primavera 100/100 Pixie Tag</t>
  </si>
  <si>
    <t>0611839437100</t>
  </si>
  <si>
    <t>TAG Squash Raven 100/100 Pixie Tag</t>
  </si>
  <si>
    <t>0611839438100</t>
  </si>
  <si>
    <t>TAG Squash Space Miser 100/100 Pixie Tag</t>
  </si>
  <si>
    <t>0611833595100</t>
  </si>
  <si>
    <t>TAG Squash Spaghetti 100/100 Pixie Tag</t>
  </si>
  <si>
    <t>0611839439100</t>
  </si>
  <si>
    <t>TAG Squash Spineless Beauty 100/100 Pixie Tag</t>
  </si>
  <si>
    <t>0611839440100</t>
  </si>
  <si>
    <t>TAG Squash Spineless Perfection 100/100 Pixie Tag SF</t>
  </si>
  <si>
    <t>0611839441100</t>
  </si>
  <si>
    <t>TAG Squash Sugaretti 100/100 Pixie Tag</t>
  </si>
  <si>
    <t>0611839442100</t>
  </si>
  <si>
    <t>TAG Squash Sun Ray 100/100 Pixie Tag</t>
  </si>
  <si>
    <t>0611839443100</t>
  </si>
  <si>
    <t>TAG Squash Sunburst 100/100 Pixie Tag SF</t>
  </si>
  <si>
    <t>0611839444100</t>
  </si>
  <si>
    <t>TAG Squash Sundance 100/100 Pixie Tag</t>
  </si>
  <si>
    <t>0611833599100</t>
  </si>
  <si>
    <t>TAG Squash Sunshine 100/100 Pixie Tag</t>
  </si>
  <si>
    <t>0611839445100</t>
  </si>
  <si>
    <t>TAG Squash Sweet Dumpling 100/100 Pixie Tag</t>
  </si>
  <si>
    <t>0611884148100</t>
  </si>
  <si>
    <t>TAG Squash Sweet Jade 100/100 Pixie Tag</t>
  </si>
  <si>
    <t>0611839446100</t>
  </si>
  <si>
    <t>TAG Squash Sweet Mama 100/100 Pixie Tag</t>
  </si>
  <si>
    <t>0611839447100</t>
  </si>
  <si>
    <t>TAG Squash Table Ace 100/100 Pixie Tag</t>
  </si>
  <si>
    <t>0611839448100</t>
  </si>
  <si>
    <t>TAG Squash Taybelle 100/100 Pixie Tag</t>
  </si>
  <si>
    <t>0611839449100</t>
  </si>
  <si>
    <t>TAG Squash Tivoli 100/100 Pixie Tag</t>
  </si>
  <si>
    <t>0611833601100</t>
  </si>
  <si>
    <t>TAG Squash Waltham Butternut 100/100 Pixie Tag</t>
  </si>
  <si>
    <t>0611833605200</t>
  </si>
  <si>
    <t>TAG Squash Yellow 200/200 Thriftee Tag</t>
  </si>
  <si>
    <t>0611833606100</t>
  </si>
  <si>
    <t>TAG Squash Yellow Crookneck 100/100 Pixie Tag</t>
  </si>
  <si>
    <t>0611833607100</t>
  </si>
  <si>
    <t>TAG Squash Yellow Straightneck 100/100 Pixie Tag</t>
  </si>
  <si>
    <t>0611833608200</t>
  </si>
  <si>
    <t>TAG Squash Yellow Straightneck 200/200 Thriftee Tag</t>
  </si>
  <si>
    <t>0611833609100</t>
  </si>
  <si>
    <t>TAG Squash Zucchini 100/100 Pixie Tag</t>
  </si>
  <si>
    <t>0611833610200</t>
  </si>
  <si>
    <t>TAG Squash Zucchini 200/200 Thriftee Tag</t>
  </si>
  <si>
    <t>0611833611100</t>
  </si>
  <si>
    <t>TAG Squash Zucchini Green 100/100 Pixie Tag</t>
  </si>
  <si>
    <t>0611833612100</t>
  </si>
  <si>
    <t>TAG Squash Zucchini Grey Striped 100/100 Pixie Tag</t>
  </si>
  <si>
    <t>0611833613100</t>
  </si>
  <si>
    <t>TAG Squash Zucchini Tasty 100/100 Pixie Tag</t>
  </si>
  <si>
    <t>0611833614100</t>
  </si>
  <si>
    <t>TAG Squash Zucchini Yellow 100/100 Pixie Tag</t>
  </si>
  <si>
    <t>0611839450100</t>
  </si>
  <si>
    <t>TAG Stachys Byzantina 100/100 Pixie Tag</t>
  </si>
  <si>
    <t>0611839451025</t>
  </si>
  <si>
    <t>TAG Stachys Byzantina 25/25 Portrait Tag</t>
  </si>
  <si>
    <t>0611839452025</t>
  </si>
  <si>
    <t>TAG Stachys Fuzzy Wuzzy 25/25 Portrait Tag</t>
  </si>
  <si>
    <t>0611839453025</t>
  </si>
  <si>
    <t>TAG Stachys Helene Von Stein 25/25 Portrait Tag</t>
  </si>
  <si>
    <t>0611839454025</t>
  </si>
  <si>
    <t>TAG Stachys Hummelo 25/25 Portrait Tag</t>
  </si>
  <si>
    <t>0611864103100</t>
  </si>
  <si>
    <t>TAG Stachys Hummelo Limited Availability 100/100 Pixie Tag</t>
  </si>
  <si>
    <t>0611864104050</t>
  </si>
  <si>
    <t>TAG Stachys Hummelo Limited Availability 50/50 Petite Portrait</t>
  </si>
  <si>
    <t>0611839455100</t>
  </si>
  <si>
    <t>TAG Stachys Lamb's Ear 100/100 Pixie Tag</t>
  </si>
  <si>
    <t>0611884473025</t>
  </si>
  <si>
    <t>TAG Stachys Little Lamb 25/25 Portrait Tag</t>
  </si>
  <si>
    <t>0611864105100</t>
  </si>
  <si>
    <t>TAG Stachys Silver Carpet 100/100 Pixie Tag FUL</t>
  </si>
  <si>
    <t>0611839458025</t>
  </si>
  <si>
    <t>TAG Stachys Silver Carpet 25/25 Portrait Tag</t>
  </si>
  <si>
    <t>0611862559100</t>
  </si>
  <si>
    <t>TAG Stevia Rebaudiana 100/100 Pixie Tag FUL</t>
  </si>
  <si>
    <t>0611839460025</t>
  </si>
  <si>
    <t>TAG Stevia Rebaudiana 25/25 Portrait Tag</t>
  </si>
  <si>
    <t>0611884474025</t>
  </si>
  <si>
    <t>TAG Stevia Sugar Love 25/25 Portrait Tag</t>
  </si>
  <si>
    <t>0611515687100</t>
  </si>
  <si>
    <t>TAG Stik Stakes 100/100 Tag</t>
  </si>
  <si>
    <t>0611834822025</t>
  </si>
  <si>
    <t>TAG Stipa Mexican Feather 25/25 Portrait Tag</t>
  </si>
  <si>
    <t>0611834823100</t>
  </si>
  <si>
    <t>TAG Stipa Pony Tails 100/100 Pixie Tag</t>
  </si>
  <si>
    <t>0611839461025</t>
  </si>
  <si>
    <t>TAG Stipa Pony Tails 25/25 Portrait Tag</t>
  </si>
  <si>
    <t>0611839462100</t>
  </si>
  <si>
    <t>TAG Stipa Sirocco 100/100 Pixie Tag</t>
  </si>
  <si>
    <t>0611836733100</t>
  </si>
  <si>
    <t>TAG Stock GENERIC 100/100 Pixie Tag</t>
  </si>
  <si>
    <t>0611836714100</t>
  </si>
  <si>
    <t>TAG Stock Harmony Cherry Blossom 100/100 Pixie Tag</t>
  </si>
  <si>
    <t>0611836715100</t>
  </si>
  <si>
    <t>TAG Stock Harmony Cream Yellow 100/100 Pixie Tag</t>
  </si>
  <si>
    <t>0611836716100</t>
  </si>
  <si>
    <t>TAG Stock Harmony Deep Rose 100/100 Pixie Tag</t>
  </si>
  <si>
    <t>0611836717100</t>
  </si>
  <si>
    <t>TAG Stock Harmony Light Rose 100/100 Pixie Tag</t>
  </si>
  <si>
    <t>0611836718100</t>
  </si>
  <si>
    <t>TAG Stock Harmony Mix 100/100 Pixie Tag</t>
  </si>
  <si>
    <t>0611836719100</t>
  </si>
  <si>
    <t>TAG Stock Harmony Purple 100/100 Pixie Tag</t>
  </si>
  <si>
    <t>0611836720100</t>
  </si>
  <si>
    <t>TAG Stock Harmony Violet 100/100 Pixie Tag</t>
  </si>
  <si>
    <t>0611836721100</t>
  </si>
  <si>
    <t>TAG Stock Harmony White 100/100 Pixie Tag</t>
  </si>
  <si>
    <t>0611836722100</t>
  </si>
  <si>
    <t>TAG Stock Hot Cakes Hot Rose 100/100 Pixie Tag</t>
  </si>
  <si>
    <t>0611836723100</t>
  </si>
  <si>
    <t>TAG Stock Hot Cakes Mix 100/100 Pixie Tag</t>
  </si>
  <si>
    <t>0611836724100</t>
  </si>
  <si>
    <t>TAG Stock Hot Cakes Pink 100/100 Pixie Tag</t>
  </si>
  <si>
    <t>0611836725100</t>
  </si>
  <si>
    <t>TAG Stock Hot Cakes Purple 100/100 Pixie Tag</t>
  </si>
  <si>
    <t>0611836726100</t>
  </si>
  <si>
    <t>TAG Stock Hot Cakes White 100/100 Pixie Tag</t>
  </si>
  <si>
    <t>0611836728100</t>
  </si>
  <si>
    <t>TAG Stock Midget Mix 100/100 Pixie Tag</t>
  </si>
  <si>
    <t>0611836730100</t>
  </si>
  <si>
    <t>TAG Stock Midget Rose 100/100 Pixie Tag</t>
  </si>
  <si>
    <t>0611836731100</t>
  </si>
  <si>
    <t>TAG Stock Midget Violet 100/100 Pixie Tag</t>
  </si>
  <si>
    <t>0611836732100</t>
  </si>
  <si>
    <t>TAG Stock Mime Series 100/100 Pixie Tag</t>
  </si>
  <si>
    <t>0611836734100</t>
  </si>
  <si>
    <t>TAG Stock Vintage Antique Mix 100/100 Pixie Tag</t>
  </si>
  <si>
    <t>0611836735100</t>
  </si>
  <si>
    <t>TAG Stock Vintage Burgundy 100/100 Pixie Tag</t>
  </si>
  <si>
    <t>0611836736100</t>
  </si>
  <si>
    <t>TAG Stock Vintage Copper 100/100 Pixie Tag</t>
  </si>
  <si>
    <t>0611836737100</t>
  </si>
  <si>
    <t>TAG Stock Vintage Lavender 100/100 Pixie Tag</t>
  </si>
  <si>
    <t>0611836738100</t>
  </si>
  <si>
    <t>TAG Stock Vintage Lilac 100/100 Pixie Tag</t>
  </si>
  <si>
    <t>0611836739100</t>
  </si>
  <si>
    <t>TAG Stock Vintage Mix 100/100 Pixie Tag</t>
  </si>
  <si>
    <t>0611836740100</t>
  </si>
  <si>
    <t>TAG Stock Vintage Red 100/100 Pixie Tag</t>
  </si>
  <si>
    <t>0611836741100</t>
  </si>
  <si>
    <t>TAG Stock Vintage Rose 100/100 Pixie Tag</t>
  </si>
  <si>
    <t>0611836742100</t>
  </si>
  <si>
    <t>TAG Stock Vintage White 100/100 Pixie Tag</t>
  </si>
  <si>
    <t>0611836743100</t>
  </si>
  <si>
    <t>TAG Stock Vintage Yellow 100/100 Pixie Tag</t>
  </si>
  <si>
    <t>0611839464025</t>
  </si>
  <si>
    <t>TAG Stokesia Blue Danube 25/25 Portrait Tag</t>
  </si>
  <si>
    <t>0611839465025</t>
  </si>
  <si>
    <t>TAG Stokesia Peachies Pick 25/25 Portrait Tag</t>
  </si>
  <si>
    <t>0611839466100</t>
  </si>
  <si>
    <t>TAG Strawberry Berri Basket Pink 100/100 Pixie Tag</t>
  </si>
  <si>
    <t>0611839467100</t>
  </si>
  <si>
    <t>TAG Strawberry Berri Basket Rose 100/100 Pixie Tag</t>
  </si>
  <si>
    <t>0611839470100</t>
  </si>
  <si>
    <t>TAG Streptocarpus Blue Heaven 100/100 Pixie Tag</t>
  </si>
  <si>
    <t>0611839471100</t>
  </si>
  <si>
    <t>TAG Streptocarpus Concord Blue 100/100 Pixie Tag</t>
  </si>
  <si>
    <t>0611839474100</t>
  </si>
  <si>
    <t>TAG Streptocarpus Saxorum 100/100 Pixie Tag</t>
  </si>
  <si>
    <t>0611839476100</t>
  </si>
  <si>
    <t>TAG Streptocarpus Streptocarpella GENERIC 100/100 Pixie Tag</t>
  </si>
  <si>
    <t>0611839477100</t>
  </si>
  <si>
    <t>TAG Streptocarpus Streptocarpus GENERIC 100/100 Pixie Tag</t>
  </si>
  <si>
    <t>0611839478100</t>
  </si>
  <si>
    <t>TAG Strobilanthes Persian Shield 100/100 Pixie Tag</t>
  </si>
  <si>
    <t>0611864106050</t>
  </si>
  <si>
    <t>TAG Strobilanthes Persian Shield 50/50 Petite Portrait FUL</t>
  </si>
  <si>
    <t>0611857112100</t>
  </si>
  <si>
    <t>TAG Succulents GENERIC 100/100 Pixie Tag</t>
  </si>
  <si>
    <t>0611839479100</t>
  </si>
  <si>
    <t>0611839480025</t>
  </si>
  <si>
    <t>TAG Succulents GENERIC 25/25 Portrait Tag</t>
  </si>
  <si>
    <t>0611839086100</t>
  </si>
  <si>
    <t>TAG Summer Savory 100/100 Pixie Tag</t>
  </si>
  <si>
    <t>0611835699025</t>
  </si>
  <si>
    <t>TAG Sunpatiens Compact Blush Pink 25/25 Portrait Tag</t>
  </si>
  <si>
    <t>0611857115025</t>
  </si>
  <si>
    <t>TAG Sunpatiens Compact Classic White 25/25 Portrait Tag</t>
  </si>
  <si>
    <t>0611835700025</t>
  </si>
  <si>
    <t>TAG Sunpatiens Compact Coral Pink 25/25 Portrait Tag</t>
  </si>
  <si>
    <t>0611835709025</t>
  </si>
  <si>
    <t>TAG Sunpatiens Compact Deep Red 25/25 Portrait Tag</t>
  </si>
  <si>
    <t>0611835710025</t>
  </si>
  <si>
    <t>TAG Sunpatiens Compact Deep Rose 25/25 Portrait Tag</t>
  </si>
  <si>
    <t>0611835461025</t>
  </si>
  <si>
    <t>TAG Sunpatiens Compact Electric Orange 25/25 Portrait Tag</t>
  </si>
  <si>
    <t>0611835701025</t>
  </si>
  <si>
    <t>TAG Sunpatiens Compact Fire Red 25/25 Portrait Tag</t>
  </si>
  <si>
    <t>0611835702025</t>
  </si>
  <si>
    <t>TAG Sunpatiens Compact Hot Coral 25/25 Portrait Tag</t>
  </si>
  <si>
    <t>0611835703025</t>
  </si>
  <si>
    <t>TAG Sunpatiens Compact Hot Pink 25/25 Portrait Tag</t>
  </si>
  <si>
    <t>0611857116025</t>
  </si>
  <si>
    <t>TAG Sunpatiens Compact Lavender Splash 25/25 Portrait Tag</t>
  </si>
  <si>
    <t>0611835711025</t>
  </si>
  <si>
    <t>TAG Sunpatiens Compact Lilac 25/25 Portrait Tag</t>
  </si>
  <si>
    <t>0611835712025</t>
  </si>
  <si>
    <t>TAG Sunpatiens Compact Magenta 25/25 Portrait Tag</t>
  </si>
  <si>
    <t>0611835704025</t>
  </si>
  <si>
    <t>TAG Sunpatiens Compact Neon Pink 25/25 Portrait Tag</t>
  </si>
  <si>
    <t>0611835742025</t>
  </si>
  <si>
    <t>TAG Sunpatiens Compact Orange 25/25 Portrait Tag</t>
  </si>
  <si>
    <t>0611835705025</t>
  </si>
  <si>
    <t>TAG Sunpatiens Compact Orchid 25/25 Portrait Tag</t>
  </si>
  <si>
    <t>0611835462025</t>
  </si>
  <si>
    <t>TAG Sunpatiens Compact Orchid Blush 25/25 Portrait Tag</t>
  </si>
  <si>
    <t>0611835743025</t>
  </si>
  <si>
    <t>TAG Sunpatiens Compact Pink 25/25 Portrait Tag</t>
  </si>
  <si>
    <t>0611835706025</t>
  </si>
  <si>
    <t>TAG Sunpatiens Compact Pink Candy 25/25 Portrait Tag</t>
  </si>
  <si>
    <t>0611835744025</t>
  </si>
  <si>
    <t>TAG Sunpatiens Compact Purple 25/25 Portrait Tag</t>
  </si>
  <si>
    <t>0611857117025</t>
  </si>
  <si>
    <t>TAG Sunpatiens Compact Purple Candy 25/25 Portrait Tag</t>
  </si>
  <si>
    <t>0611835745025</t>
  </si>
  <si>
    <t>TAG Sunpatiens Compact Red 25/25 Portrait Tag</t>
  </si>
  <si>
    <t>0611884475025</t>
  </si>
  <si>
    <t>TAG Sunpatiens Compact Red Candy 25/25 Portrait Tag</t>
  </si>
  <si>
    <t>0611835707025</t>
  </si>
  <si>
    <t>TAG Sunpatiens Compact Rose Glow 25/25 Portrait Tag</t>
  </si>
  <si>
    <t>0611835463025</t>
  </si>
  <si>
    <t>TAG Sunpatiens Compact Royal Magenta 25/25 Portrait Tag</t>
  </si>
  <si>
    <t>0611835708025</t>
  </si>
  <si>
    <t>TAG Sunpatiens Compact Tropical Rose 25/25 Portrait Tag</t>
  </si>
  <si>
    <t>0611835746025</t>
  </si>
  <si>
    <t>TAG Sunpatiens Compact White 25/25 Portrait Tag</t>
  </si>
  <si>
    <t>0611835536025</t>
  </si>
  <si>
    <t>TAG Sunpatiens Forever Summer Mix 25/25 Portrait Tag</t>
  </si>
  <si>
    <t>0611835713025</t>
  </si>
  <si>
    <t>TAG Sunpatiens Vigorous Clear White 25/25 Portrait Tag</t>
  </si>
  <si>
    <t>0611835747025</t>
  </si>
  <si>
    <t>TAG Sunpatiens Vigorous Corona 25/25 Portrait Tag</t>
  </si>
  <si>
    <t>0611835752025</t>
  </si>
  <si>
    <t>TAG Sunpatiens Vigorous Lavender 25/25 Portrait Tag</t>
  </si>
  <si>
    <t>0611835794025</t>
  </si>
  <si>
    <t>TAG Sunpatiens Vigorous Lavender Spl 25/25 Portrait Tag</t>
  </si>
  <si>
    <t>0611835753025</t>
  </si>
  <si>
    <t>TAG Sunpatiens Vigorous Orange 25/25 Portrait Tag</t>
  </si>
  <si>
    <t>0611835748025</t>
  </si>
  <si>
    <t>TAG Sunpatiens Vigorous Orchid 25/25 Portrait Tag</t>
  </si>
  <si>
    <t>0611857118025</t>
  </si>
  <si>
    <t>TAG Sunpatiens Vigorous Peach Candy 25/25 Portrait Tag</t>
  </si>
  <si>
    <t>0611835749025</t>
  </si>
  <si>
    <t>TAG Sunpatiens Vigorous Pink Kiss 25/25 Portrait Tag</t>
  </si>
  <si>
    <t>0611857119025</t>
  </si>
  <si>
    <t>TAG Sunpatiens Vigorous Pretty In Pink 25/25 Portrait Tag</t>
  </si>
  <si>
    <t>0611835754025</t>
  </si>
  <si>
    <t>TAG Sunpatiens Vigorous Red 25/25 Portrait Tag</t>
  </si>
  <si>
    <t>0611835750025</t>
  </si>
  <si>
    <t>TAG Sunpatiens Vigorous Rose Pink 25/25 Portrait Tag</t>
  </si>
  <si>
    <t>0611835714025</t>
  </si>
  <si>
    <t>TAG Sunpatiens Vigorous Shell Pink 25/25 Portrait Tag</t>
  </si>
  <si>
    <t>0611835795025</t>
  </si>
  <si>
    <t>TAG Sunpatiens Vigorous Sweetheart White 25/25 Portrait Tag</t>
  </si>
  <si>
    <t>0611835715025</t>
  </si>
  <si>
    <t>TAG Sunpatiens Vigorous Tropical Orange 25/25 Portrait Tag</t>
  </si>
  <si>
    <t>0611835796025</t>
  </si>
  <si>
    <t>TAG Sunpatiens Vigorous Tropical Salmon 25/25 Portrait Tag</t>
  </si>
  <si>
    <t>0611835751025</t>
  </si>
  <si>
    <t>TAG Sunpatiens Vigorous Tropical White 25/25 Portrait Tag</t>
  </si>
  <si>
    <t>0611835755025</t>
  </si>
  <si>
    <t>TAG Sunpatiens Vigorous White 25/25 Portrait Tag</t>
  </si>
  <si>
    <t>0611831751100</t>
  </si>
  <si>
    <t>TAG Swiss Chard Bright Lights 100/100 Pixie Tag</t>
  </si>
  <si>
    <t>0611884053025</t>
  </si>
  <si>
    <t>TAG Swiss Chard Bright Lights 25/25 Portrait Tag</t>
  </si>
  <si>
    <t>0611831753100</t>
  </si>
  <si>
    <t>TAG Swiss Chard Eldorado 100/100 Pixie Tag</t>
  </si>
  <si>
    <t>0611831760100</t>
  </si>
  <si>
    <t>TAG Swiss Chard GENERIC 100/100 Pixie Tag</t>
  </si>
  <si>
    <t>0611831755100</t>
  </si>
  <si>
    <t>TAG Swiss Chard Green 100/100 Pixie Tag</t>
  </si>
  <si>
    <t>0611831756100</t>
  </si>
  <si>
    <t>TAG Swiss Chard Peppermint 100/100 Pixie Tag</t>
  </si>
  <si>
    <t>0611831757100</t>
  </si>
  <si>
    <t>TAG Swiss Chard Red 100/100 Pixie Tag</t>
  </si>
  <si>
    <t>0611831758100</t>
  </si>
  <si>
    <t>TAG Swiss Chard Rhubarb 100/100 Pixie Tag</t>
  </si>
  <si>
    <t>0611831759100</t>
  </si>
  <si>
    <t>TAG Swiss Chard Ruby Red 100/100 Pixie Tag</t>
  </si>
  <si>
    <t>0611839510100</t>
  </si>
  <si>
    <t>TAG Syngonium GENERIC 100/100 Pixie Tag</t>
  </si>
  <si>
    <t>0611857122200</t>
  </si>
  <si>
    <t>TAG Tag Blank Thriftee 4 IN 200/200 Thriftee Tag</t>
  </si>
  <si>
    <t>0611515685100</t>
  </si>
  <si>
    <t>TAG Tag Pixie 100/100 Pixie Tag</t>
  </si>
  <si>
    <t>0611515688050</t>
  </si>
  <si>
    <t>TAG Tag Portrait 25/25 Tag</t>
  </si>
  <si>
    <t>0611820124250</t>
  </si>
  <si>
    <t>TAG Tag Thriftee 10 IN Blank Kn0192 250/250 Thriftee Tag</t>
  </si>
  <si>
    <t>0611645909200</t>
  </si>
  <si>
    <t>TAG Tag Thriftee 3 IN Blank Kn0131 1000/1000 Thriftee Tag</t>
  </si>
  <si>
    <t>06118201251000</t>
  </si>
  <si>
    <t>TAG Tag Thriftee 4 IN Blank Kn0141 1000/1000 Thriftee Tag</t>
  </si>
  <si>
    <t>0611645907200</t>
  </si>
  <si>
    <t>TAG Tag Thriftee 4 IN Custom Zc9224 1000/1000 Thriftee Tag</t>
  </si>
  <si>
    <t>0611645911200</t>
  </si>
  <si>
    <t>TAG Tag Thriftee 5 IN Blank Kn0151 1000/1000 Thriftee Tag</t>
  </si>
  <si>
    <t>0611645912200</t>
  </si>
  <si>
    <t>TAG Tag Thriftee 6 IN Blank Kn0161 1000/1000 Thriftee Tag</t>
  </si>
  <si>
    <t>0611645913200</t>
  </si>
  <si>
    <t>TAG Tag Thriftee 8 IN Blank Kn0181 1000/1000 Thriftee Tag</t>
  </si>
  <si>
    <t>0611645906200</t>
  </si>
  <si>
    <t>TAG Tag Thriftee Prprn 4 IN White Ko-Ky 200/200 Thriftee Tag</t>
  </si>
  <si>
    <t>0611857135200</t>
  </si>
  <si>
    <t>TAG Tag White Thriftee 1.99 200/200 Thriftee Tag</t>
  </si>
  <si>
    <t>0611857136200</t>
  </si>
  <si>
    <t>TAG Tag White Thriftee 10.99 200/200 Thriftee Tag</t>
  </si>
  <si>
    <t>0611857137200</t>
  </si>
  <si>
    <t>TAG Tag White Thriftee 11.99 200/200 Thriftee Tag</t>
  </si>
  <si>
    <t>0611857138200</t>
  </si>
  <si>
    <t>TAG Tag White Thriftee 12.99 200/200 Thriftee Tag</t>
  </si>
  <si>
    <t>0611857139200</t>
  </si>
  <si>
    <t>TAG Tag White Thriftee 14.99 200/200 Thriftee Tag</t>
  </si>
  <si>
    <t>0611857140200</t>
  </si>
  <si>
    <t>TAG Tag White Thriftee 2.49 200/200 Thriftee Tag</t>
  </si>
  <si>
    <t>0611857141200</t>
  </si>
  <si>
    <t>TAG Tag White Thriftee 2.99 200/200 Thriftee Tag</t>
  </si>
  <si>
    <t>0611857142200</t>
  </si>
  <si>
    <t>TAG Tag White Thriftee 3.49 200/200 Thriftee Tag</t>
  </si>
  <si>
    <t>0611857143200</t>
  </si>
  <si>
    <t>TAG Tag White Thriftee 3.99 200/200 Thriftee Tag</t>
  </si>
  <si>
    <t>0611857144200</t>
  </si>
  <si>
    <t>TAG Tag White Thriftee 4.49 200/200 Thriftee Tag</t>
  </si>
  <si>
    <t>0611857145200</t>
  </si>
  <si>
    <t>TAG Tag White Thriftee 4.99 200/200 Thriftee Tag</t>
  </si>
  <si>
    <t>0611857146200</t>
  </si>
  <si>
    <t>TAG Tag White Thriftee 5.99 200/200 Thriftee Tag</t>
  </si>
  <si>
    <t>0611857147200</t>
  </si>
  <si>
    <t>TAG Tag White Thriftee 6.99 200/200 Thriftee Tag</t>
  </si>
  <si>
    <t>0611857148200</t>
  </si>
  <si>
    <t>TAG Tag White Thriftee 7.99 200/200 Thriftee Tag</t>
  </si>
  <si>
    <t>0611857149200</t>
  </si>
  <si>
    <t>TAG Tag White Thriftee 8.99 200/200 Thriftee Tag</t>
  </si>
  <si>
    <t>0611857150200</t>
  </si>
  <si>
    <t>TAG Tag White Thriftee 9.99 200/200 Thriftee Tag</t>
  </si>
  <si>
    <t>0611839736100</t>
  </si>
  <si>
    <t>TAG Talinum Limon 100/100 Pixie Tag</t>
  </si>
  <si>
    <t>0611839738025</t>
  </si>
  <si>
    <t>TAG Tanacetum Feverfew GENERIC 25/25 Portrait Tag</t>
  </si>
  <si>
    <t>0611839739025</t>
  </si>
  <si>
    <t>TAG Tanacetum Painted GENERIC 25/25 Portrait Tag</t>
  </si>
  <si>
    <t>0611839740100</t>
  </si>
  <si>
    <t>TAG Tanacetum Robinson Hybrid 100/100 Pixie Tag</t>
  </si>
  <si>
    <t>0611839741025</t>
  </si>
  <si>
    <t>TAG Tanacetum Robinson Hybrid 25/25 Portrait Tag</t>
  </si>
  <si>
    <t>0611839742025</t>
  </si>
  <si>
    <t>TAG Tanacetum Robinson Roseum 25/25 Portrait Tag</t>
  </si>
  <si>
    <t>0611831078100</t>
  </si>
  <si>
    <t>TAG Tarragon French 100/100 Pixie Tag</t>
  </si>
  <si>
    <t>0611831079025</t>
  </si>
  <si>
    <t>TAG Tarragon French 25/25 Portrait Tag</t>
  </si>
  <si>
    <t>0611831091100</t>
  </si>
  <si>
    <t>TAG Tarragon GENERIC 100/100 Pixie Tag</t>
  </si>
  <si>
    <t>0611839722100</t>
  </si>
  <si>
    <t>TAG Tarragon Mexican Marigold 100/100 Pixie Tag</t>
  </si>
  <si>
    <t>0611831083100</t>
  </si>
  <si>
    <t>TAG Tarragon Russian 100/100 Pixie Tag</t>
  </si>
  <si>
    <t>0611839744025</t>
  </si>
  <si>
    <t>TAG Tecomaria Yellow 25/25 Portrait Tag</t>
  </si>
  <si>
    <t>0611839745025</t>
  </si>
  <si>
    <t>TAG Teucrium Chamaedrys 25/25 Portrait Tag</t>
  </si>
  <si>
    <t>0611839746100</t>
  </si>
  <si>
    <t>TAG Teucrium Germander GENERIC 100/100 Pixie Tag</t>
  </si>
  <si>
    <t>0611839749100</t>
  </si>
  <si>
    <t>TAG Thunbergia African Sunset 100/100 Pixie Tag</t>
  </si>
  <si>
    <t>0611839750100</t>
  </si>
  <si>
    <t>TAG Thunbergia Alata 100/100 Pixie Tag</t>
  </si>
  <si>
    <t>0611839751100</t>
  </si>
  <si>
    <t>TAG Thunbergia Arizona Dark Red 100/100 Pixie Tag</t>
  </si>
  <si>
    <t>0611839752100</t>
  </si>
  <si>
    <t>TAG Thunbergia Arizona Glow 100/100 Pixie Tag</t>
  </si>
  <si>
    <t>0611839753100</t>
  </si>
  <si>
    <t>TAG Thunbergia Arizona Lemon Sunrise 100/100 Pixie Tag</t>
  </si>
  <si>
    <t>0611839754100</t>
  </si>
  <si>
    <t>TAG Thunbergia Arizona Pink Beauty 100/100 Pixie Tag</t>
  </si>
  <si>
    <t>0611839755100</t>
  </si>
  <si>
    <t>TAG Thunbergia Arizona Rose Sensation 100/100 Pixie Tag</t>
  </si>
  <si>
    <t>0611839756100</t>
  </si>
  <si>
    <t>TAG Thunbergia Arizona Terracotta 100/100 Pixie Tag</t>
  </si>
  <si>
    <t>0611839757100</t>
  </si>
  <si>
    <t>TAG Thunbergia Arizona White Halo 100/100 Pixie Tag</t>
  </si>
  <si>
    <t>0611839758100</t>
  </si>
  <si>
    <t>TAG Thunbergia Black Eyed Susan Vine GENERIC 100/100 Hang Tag</t>
  </si>
  <si>
    <t>0611839759100</t>
  </si>
  <si>
    <t>TAG Thunbergia Black Eyed Susan Vine GENERIC 100/100 Pixie Tag</t>
  </si>
  <si>
    <t>0611839760100</t>
  </si>
  <si>
    <t>TAG Thunbergia Blushing Susie 100/100 Pixie Tag</t>
  </si>
  <si>
    <t>0611839761100</t>
  </si>
  <si>
    <t>TAG Thunbergia Charles Star 100/100 Pixie Tag</t>
  </si>
  <si>
    <t>0611839762100</t>
  </si>
  <si>
    <t>TAG Thunbergia Hybrid Colors GENERIC 100/100 Pixie Tag</t>
  </si>
  <si>
    <t>0611839763025</t>
  </si>
  <si>
    <t>TAG Thunbergia Lemon 25/25 Portrait Tag</t>
  </si>
  <si>
    <t>0611839764100</t>
  </si>
  <si>
    <t>TAG Thunbergia Orange Beauty 100/100 Pixie Tag</t>
  </si>
  <si>
    <t>0611839765100</t>
  </si>
  <si>
    <t>TAG Thunbergia Orange With Eye 100/100 Pixie Tag</t>
  </si>
  <si>
    <t>0611839767100</t>
  </si>
  <si>
    <t>TAG Thunbergia Sunny Susy Amber Stripe 100/100 Pixie Tag</t>
  </si>
  <si>
    <t>0611839768100</t>
  </si>
  <si>
    <t>TAG Thunbergia Sunny Susy Brownie 100/100 Pixie Tag</t>
  </si>
  <si>
    <t>0611884476100</t>
  </si>
  <si>
    <t>TAG Thunbergia Sunny Susy Cherry 100/100 Pixie Tag</t>
  </si>
  <si>
    <t>0611839769100</t>
  </si>
  <si>
    <t>TAG Thunbergia Sunny Susy Orange 100/100 Pixie Tag</t>
  </si>
  <si>
    <t>0611839770100</t>
  </si>
  <si>
    <t>TAG Thunbergia Sunny Susy Red Orange 100/100 Pixie Tag</t>
  </si>
  <si>
    <t>0611839771100</t>
  </si>
  <si>
    <t>TAG Thunbergia Susie Mix 100/100 Pixie Tag</t>
  </si>
  <si>
    <t>0611839772100</t>
  </si>
  <si>
    <t>TAG Thunbergia Susie Orange With Eye 100/100 Pixie Tag</t>
  </si>
  <si>
    <t>0611839773100</t>
  </si>
  <si>
    <t>TAG Thunbergia Susie Yellow With Eye 100/100 Pixie Tag</t>
  </si>
  <si>
    <t>0611839775100</t>
  </si>
  <si>
    <t>TAG Thunbergia TowerPower Apricot 100/100 Pixie Tag</t>
  </si>
  <si>
    <t>0611884477100</t>
  </si>
  <si>
    <t>TAG Thunbergia TowerPower Dark Orange 100/100 Pixie Tag</t>
  </si>
  <si>
    <t>0611839776100</t>
  </si>
  <si>
    <t>TAG Thunbergia TowerPower Gold 100/100 Pixie Tag</t>
  </si>
  <si>
    <t>0611839777100</t>
  </si>
  <si>
    <t>TAG Thunbergia TowerPower Orange 100/100 Pixie Tag</t>
  </si>
  <si>
    <t>0611839778100</t>
  </si>
  <si>
    <t>TAG Thunbergia TowerPower Red 100/100 Pixie Tag</t>
  </si>
  <si>
    <t>0611839779100</t>
  </si>
  <si>
    <t>TAG Thunbergia TowerPower Terracotta 100/100 Pixie Tag</t>
  </si>
  <si>
    <t>0611839780100</t>
  </si>
  <si>
    <t>TAG Thunbergia TowerPower White 100/100 Pixie Tag</t>
  </si>
  <si>
    <t>0611839781100</t>
  </si>
  <si>
    <t>TAG Thunbergia TowerPower Yellow 100/100 Pixie Tag</t>
  </si>
  <si>
    <t>0611839782100</t>
  </si>
  <si>
    <t>TAG Thunbergia White GENERIC 100/100 Pixie Tag</t>
  </si>
  <si>
    <t>0611835186025</t>
  </si>
  <si>
    <t>TAG Thyme 25/25 Portrait Tag</t>
  </si>
  <si>
    <t>0611835152025</t>
  </si>
  <si>
    <t>TAG Thyme Albiflorus Praecox 25/25 Portrait Tag</t>
  </si>
  <si>
    <t>0611884478025</t>
  </si>
  <si>
    <t>TAG Thyme Archers Gold 25/25 Portrait Tag</t>
  </si>
  <si>
    <t>0611884479025</t>
  </si>
  <si>
    <t>TAG Thyme Caborn Wine/Roses 25/25 Portrait Tag</t>
  </si>
  <si>
    <t>0611835153100</t>
  </si>
  <si>
    <t>TAG Thyme Caraway 100/100 Pixie Tag</t>
  </si>
  <si>
    <t>0611884480025</t>
  </si>
  <si>
    <t>TAG Thyme Caraway 25/25 Portrait Tag</t>
  </si>
  <si>
    <t>0611835154100</t>
  </si>
  <si>
    <t>TAG Thyme Cascata Lemonade 100/100 Pixie Tag</t>
  </si>
  <si>
    <t>0611835155025</t>
  </si>
  <si>
    <t>TAG Thyme Coccineus 25/25 Portrait Tag</t>
  </si>
  <si>
    <t>0611835156025</t>
  </si>
  <si>
    <t>TAG Thyme Coccineus Praecox 25/25 Portrait Tag</t>
  </si>
  <si>
    <t>0611835158100</t>
  </si>
  <si>
    <t>TAG Thyme Creeping 100/100 Pixie Tag</t>
  </si>
  <si>
    <t>0611835159100</t>
  </si>
  <si>
    <t>TAG Thyme Doone Valley 100/100 Pixie Tag</t>
  </si>
  <si>
    <t>0611835160025</t>
  </si>
  <si>
    <t>TAG Thyme Doone Valley 25/25 Portrait Tag</t>
  </si>
  <si>
    <t>0611862560050</t>
  </si>
  <si>
    <t>TAG Thyme Doone Valley 50/50 Petite Portrait FUL</t>
  </si>
  <si>
    <t>0611835161100</t>
  </si>
  <si>
    <t>TAG Thyme Elfin 100/100 Pixie Tag</t>
  </si>
  <si>
    <t>0611835162025</t>
  </si>
  <si>
    <t>TAG Thyme Elfin 25/25 Portrait Tag</t>
  </si>
  <si>
    <t>0611862561100</t>
  </si>
  <si>
    <t>TAG Thyme Elfin CN5404 100/100 Pixie Tag FUL</t>
  </si>
  <si>
    <t>0611862562050</t>
  </si>
  <si>
    <t>TAG Thyme Elfin Limited Availability 50/50 Petite Portrait</t>
  </si>
  <si>
    <t>0611835163100</t>
  </si>
  <si>
    <t>TAG Thyme English 100/100 Pixie Tag</t>
  </si>
  <si>
    <t>0611862571100</t>
  </si>
  <si>
    <t>TAG Thyme English 100/100 Pixie Tag FUL</t>
  </si>
  <si>
    <t>0611835164025</t>
  </si>
  <si>
    <t>TAG Thyme English 25/25 Portrait Tag</t>
  </si>
  <si>
    <t>0611835165100</t>
  </si>
  <si>
    <t>TAG Thyme Faustinoi 100/100 Pixie Tag</t>
  </si>
  <si>
    <t>0611884481025</t>
  </si>
  <si>
    <t>TAG Thyme Faustinoi 25/25 Portrait Tag</t>
  </si>
  <si>
    <t>0611884482025</t>
  </si>
  <si>
    <t>TAG Thyme Foxley 25/25 Portrait Tag</t>
  </si>
  <si>
    <t>0611835166100</t>
  </si>
  <si>
    <t>TAG Thyme French 100/100 Pixie Tag</t>
  </si>
  <si>
    <t>0611835167100</t>
  </si>
  <si>
    <t>TAG Thyme French Cooking 100/100 Pixie Tag</t>
  </si>
  <si>
    <t>0611835168025</t>
  </si>
  <si>
    <t>TAG Thyme French Cooking 25/25 Portrait Tag</t>
  </si>
  <si>
    <t>0611835195100</t>
  </si>
  <si>
    <t>TAG Thyme GENERIC 100/100 Pixie Tag</t>
  </si>
  <si>
    <t>0611835196200</t>
  </si>
  <si>
    <t>TAG Thyme GENERIC 200/200 Thriftee Tag</t>
  </si>
  <si>
    <t>0611835197025</t>
  </si>
  <si>
    <t>TAG Thyme GENERIC 25/25 Portrait Tag</t>
  </si>
  <si>
    <t>0611835169100</t>
  </si>
  <si>
    <t>TAG Thyme Golden 100/100 Pixie Tag</t>
  </si>
  <si>
    <t>0611862563100</t>
  </si>
  <si>
    <t>TAG Thyme Golden Lemon 100/100 Pixie Tag FUL</t>
  </si>
  <si>
    <t>0611835171025</t>
  </si>
  <si>
    <t>TAG Thyme Golden Lemon 25/25 Portrait Tag</t>
  </si>
  <si>
    <t>0611884483025</t>
  </si>
  <si>
    <t>TAG Thyme GrowFlow Lemonade 25/25 Portrait Tag</t>
  </si>
  <si>
    <t>0611884484100</t>
  </si>
  <si>
    <t>TAG Thyme GrowFlow Pink Magic 100/100 Pixie Tag</t>
  </si>
  <si>
    <t>0611862564100</t>
  </si>
  <si>
    <t>TAG Thyme Hi Ho Silver 100/100 Pixie Tag FUL</t>
  </si>
  <si>
    <t>0611884485025</t>
  </si>
  <si>
    <t>TAG Thyme Highland Cream 25/25 Portrait Tag</t>
  </si>
  <si>
    <t>0611835172100</t>
  </si>
  <si>
    <t>TAG Thyme Lavender 100/100 Pixie Tag</t>
  </si>
  <si>
    <t>0611884486100</t>
  </si>
  <si>
    <t>TAG Thyme Lemon 100/100 Pixie Tag</t>
  </si>
  <si>
    <t>0611862565100</t>
  </si>
  <si>
    <t>TAG Thyme Lemon 100/100 Pixie Tag FUL</t>
  </si>
  <si>
    <t>0611835174025</t>
  </si>
  <si>
    <t>TAG Thyme Lemon 25/25 Portrait Tag</t>
  </si>
  <si>
    <t>0611835175100</t>
  </si>
  <si>
    <t>TAG Thyme Lemon Variegated 100/100 Pixie Tag</t>
  </si>
  <si>
    <t>0611856979025</t>
  </si>
  <si>
    <t>TAG Thyme Lemon Variegated 25/25 Portrait Tag</t>
  </si>
  <si>
    <t>0611835177100</t>
  </si>
  <si>
    <t>TAG Thyme Lime 100/100 Pixie Tag</t>
  </si>
  <si>
    <t>0611835178100</t>
  </si>
  <si>
    <t>TAG Thyme Magic Carpet 100/100 Pixie Tag</t>
  </si>
  <si>
    <t>0611835179025</t>
  </si>
  <si>
    <t>TAG Thyme Magic Carpet 25/25 Portrait Tag</t>
  </si>
  <si>
    <t>0611835180100</t>
  </si>
  <si>
    <t>TAG Thyme Minus Serpyllum 100/100 Pixie Tag</t>
  </si>
  <si>
    <t>0611835181100</t>
  </si>
  <si>
    <t>TAG Thyme Mother Of Thyme 100/100 Pixie Tag</t>
  </si>
  <si>
    <t>0611835182025</t>
  </si>
  <si>
    <t>TAG Thyme Mother Of Thyme 25/25 Portrait Tag</t>
  </si>
  <si>
    <t>0611835183025</t>
  </si>
  <si>
    <t>TAG Thyme Orange 25/25 Portrait Tag</t>
  </si>
  <si>
    <t>0611862566100</t>
  </si>
  <si>
    <t>TAG Thyme Pink Chintz 100/100 Pixie Tag FUL</t>
  </si>
  <si>
    <t>0611835185025</t>
  </si>
  <si>
    <t>TAG Thyme Pink Chintz 25/25 Portrait Tag</t>
  </si>
  <si>
    <t>0611856980025</t>
  </si>
  <si>
    <t>TAG Thyme Purple Carpet 25/25 Portrait Tag</t>
  </si>
  <si>
    <t>0611862568100</t>
  </si>
  <si>
    <t>TAG Thyme Red Creeping 100/100 Pixie Tag FUL</t>
  </si>
  <si>
    <t>0611862569050</t>
  </si>
  <si>
    <t>TAG Thyme Red Creeping Limited Availability 50/50 Petite Portrait FUL</t>
  </si>
  <si>
    <t>0611884487025</t>
  </si>
  <si>
    <t>TAG Thyme Rose Scent 25/25 Portrait Tag</t>
  </si>
  <si>
    <t>0611835188100</t>
  </si>
  <si>
    <t>TAG Thyme Silver 100/100 Pixie Tag</t>
  </si>
  <si>
    <t>0611835189100</t>
  </si>
  <si>
    <t>TAG Thyme Silver Edged 100/100 Pixie Tag</t>
  </si>
  <si>
    <t>0611835190025</t>
  </si>
  <si>
    <t>TAG Thyme Silver Edged 25/25 Portrait Tag</t>
  </si>
  <si>
    <t>0611862570100</t>
  </si>
  <si>
    <t>TAG Thyme Silver King 100/100 Pixie Tag FUL</t>
  </si>
  <si>
    <t>0611835191025</t>
  </si>
  <si>
    <t>TAG Thyme Silver Posie 25/25 Portrait Tag</t>
  </si>
  <si>
    <t>0611835192100</t>
  </si>
  <si>
    <t>TAG Thyme Silver Queen 100/100 Pixie Tag</t>
  </si>
  <si>
    <t>0611835193100</t>
  </si>
  <si>
    <t>TAG Thyme Spanish 100/100 Pixie Tag</t>
  </si>
  <si>
    <t>0611835194025</t>
  </si>
  <si>
    <t>TAG Thyme Spicy Orange 25/25 Portrait Tag</t>
  </si>
  <si>
    <t>0611835198100</t>
  </si>
  <si>
    <t>TAG Thyme Vulgaris 100/100 Pixie Tag</t>
  </si>
  <si>
    <t>0611835199025</t>
  </si>
  <si>
    <t>TAG Thyme Vulgaris 25/25 Portrait Tag</t>
  </si>
  <si>
    <t>0611835200100</t>
  </si>
  <si>
    <t>TAG Thyme White Creeping 100/100 Pixie Tag</t>
  </si>
  <si>
    <t>0611835201100</t>
  </si>
  <si>
    <t>TAG Thyme Winter 100/100 Pixie Tag</t>
  </si>
  <si>
    <t>0611862567100</t>
  </si>
  <si>
    <t>TAG Thyme Woolly 100/100 Pixie Tag FUL</t>
  </si>
  <si>
    <t>0611839783025</t>
  </si>
  <si>
    <t>TAG Tiarella Cordifolia 25/25 Portrait Tag</t>
  </si>
  <si>
    <t>0611839786100</t>
  </si>
  <si>
    <t>TAG Tibouchina GENERIC 100/100 Pixie Tag</t>
  </si>
  <si>
    <t>0611839787100</t>
  </si>
  <si>
    <t>TAG Tithonia Fiesta Del Sol 100/100 Pixie Tag</t>
  </si>
  <si>
    <t>0611839788100</t>
  </si>
  <si>
    <t>TAG Tithonia GENERIC 100/100 Pixie Tag</t>
  </si>
  <si>
    <t>0611836346100</t>
  </si>
  <si>
    <t>TAG Tomato Abe Lincoln 100/100 Pixie Tag</t>
  </si>
  <si>
    <t>0611836347100</t>
  </si>
  <si>
    <t>TAG Tomato Ace 100/100 Pixie Tag</t>
  </si>
  <si>
    <t>0611836348100</t>
  </si>
  <si>
    <t>TAG Tomato Ace 55 VF 100/100 Pixie Tag</t>
  </si>
  <si>
    <t>0611836349100</t>
  </si>
  <si>
    <t>TAG Tomato Amish Paste 100/100 Pixie Tag</t>
  </si>
  <si>
    <t>0611836351100</t>
  </si>
  <si>
    <t>TAG Tomato Arkansas Traveler 100/100 Pixie Tag</t>
  </si>
  <si>
    <t>0611836352100</t>
  </si>
  <si>
    <t>TAG Tomato Artemis 100/100 Pixie Tag</t>
  </si>
  <si>
    <t>0611836353100</t>
  </si>
  <si>
    <t>TAG Tomato Atkinson 100/100 Pixie Tag</t>
  </si>
  <si>
    <t>0611836354100</t>
  </si>
  <si>
    <t>TAG Tomato Baby Roma 100/100 Pixie Tag</t>
  </si>
  <si>
    <t>0611836355100</t>
  </si>
  <si>
    <t>TAG Tomato Balls Beefsteak 100/100 Pixie Tag</t>
  </si>
  <si>
    <t>0611836357100</t>
  </si>
  <si>
    <t>TAG Tomato Beefmaster 100/100 Pixie Tag</t>
  </si>
  <si>
    <t>0611836358200</t>
  </si>
  <si>
    <t>TAG Tomato Beefmaster 200/200 Thriftee Tag</t>
  </si>
  <si>
    <t>0611836359100</t>
  </si>
  <si>
    <t>TAG Tomato Beefsteak 100/100 Pixie Tag</t>
  </si>
  <si>
    <t>0611836360200</t>
  </si>
  <si>
    <t>TAG Tomato Beefsteak 200/200 Thriftee Tag</t>
  </si>
  <si>
    <t>0611836361100</t>
  </si>
  <si>
    <t>TAG Tomato Beefy Boy 100/100 Pixie Tag</t>
  </si>
  <si>
    <t>0611836362100</t>
  </si>
  <si>
    <t>TAG Tomato Belgium Giant 100/100 Pixie Tag</t>
  </si>
  <si>
    <t>0611836363100</t>
  </si>
  <si>
    <t>TAG Tomato Bellatrix 100/100 Pixie Tag</t>
  </si>
  <si>
    <t>0611836364100</t>
  </si>
  <si>
    <t>TAG Tomato Best Boy 100/100 Pixie Tag</t>
  </si>
  <si>
    <t>0611836366100</t>
  </si>
  <si>
    <t>TAG Tomato Better Boy 100/100 Pixie Tag</t>
  </si>
  <si>
    <t>0611836367200</t>
  </si>
  <si>
    <t>TAG Tomato Better Boy 200/200 Thriftee Tag</t>
  </si>
  <si>
    <t>0611857151100</t>
  </si>
  <si>
    <t>TAG Tomato Better Boy Plus 100/100 Pixie Tag</t>
  </si>
  <si>
    <t>0611836368100</t>
  </si>
  <si>
    <t>TAG Tomato Better Bush 100/100 Pixie Tag SF</t>
  </si>
  <si>
    <t>0611836369100</t>
  </si>
  <si>
    <t>TAG Tomato Better Girl 100/100 Pixie Tag</t>
  </si>
  <si>
    <t>0611836370100</t>
  </si>
  <si>
    <t>TAG Tomato Big Beef 100/100 Pixie Tag</t>
  </si>
  <si>
    <t>0611857152100</t>
  </si>
  <si>
    <t>TAG Tomato Big Beef Plus 100/100 Pixie Tag</t>
  </si>
  <si>
    <t>0611836372100</t>
  </si>
  <si>
    <t>TAG Tomato Big Boy 100/100 Pixie Tag</t>
  </si>
  <si>
    <t>0611839789100</t>
  </si>
  <si>
    <t>TAG Tomato Big Brandy 100/100 Pixie Tag</t>
  </si>
  <si>
    <t>0611836373100</t>
  </si>
  <si>
    <t>TAG Tomato Big League 100/100 Pixie Tag</t>
  </si>
  <si>
    <t>0611836374100</t>
  </si>
  <si>
    <t>TAG Tomato Big Rainbow 100/100 Pixie Tag</t>
  </si>
  <si>
    <t>0611836376100</t>
  </si>
  <si>
    <t>TAG Tomato Big Zac 100/100 Pixie Tag</t>
  </si>
  <si>
    <t>0611836377100</t>
  </si>
  <si>
    <t>TAG Tomato Biltmore 100/100 Pixie Tag</t>
  </si>
  <si>
    <t>0611836378100</t>
  </si>
  <si>
    <t>TAG Tomato Black Cherry 100/100 Pixie Tag</t>
  </si>
  <si>
    <t>0611836379100</t>
  </si>
  <si>
    <t>TAG Tomato Black Krim 100/100 Pixie Tag</t>
  </si>
  <si>
    <t>0611836380100</t>
  </si>
  <si>
    <t>TAG Tomato Black Prince 100/100 Pixie Tag</t>
  </si>
  <si>
    <t>0611857153100</t>
  </si>
  <si>
    <t>TAG Tomato Blushingstar 100/100 Pixie Tag</t>
  </si>
  <si>
    <t>0611836381100</t>
  </si>
  <si>
    <t>TAG Tomato Bobcat 100/100 Pixie Tag SF</t>
  </si>
  <si>
    <t>0611836382100</t>
  </si>
  <si>
    <t>TAG Tomato Bonny Best 100/100 Pixie Tag</t>
  </si>
  <si>
    <t>0611836383100</t>
  </si>
  <si>
    <t>TAG Tomato Box Car Willie 100/100 Pixie Tag</t>
  </si>
  <si>
    <t>0611836384100</t>
  </si>
  <si>
    <t>TAG Tomato Bradley 100/100 Pixie Tag</t>
  </si>
  <si>
    <t>0611839790100</t>
  </si>
  <si>
    <t>TAG Tomato Brandywine 100/100 Pixie Tag</t>
  </si>
  <si>
    <t>0611836385100</t>
  </si>
  <si>
    <t>TAG Tomato Brandywine Black 100/100 Pixie Tag</t>
  </si>
  <si>
    <t>0611836386100</t>
  </si>
  <si>
    <t>TAG Tomato Brandywine Red 100/100 Pixie Tag</t>
  </si>
  <si>
    <t>0611836387100</t>
  </si>
  <si>
    <t>TAG Tomato Brandywine Type Hybrid 100/100 Pixie Tag</t>
  </si>
  <si>
    <t>0611836388100</t>
  </si>
  <si>
    <t>TAG Tomato Brandywine Yellow 100/100 Pixie Tag</t>
  </si>
  <si>
    <t>0611839791100</t>
  </si>
  <si>
    <t>TAG Tomato Braveheart 100/100 Pixie Tag</t>
  </si>
  <si>
    <t>0611836390100</t>
  </si>
  <si>
    <t>TAG Tomato Buffalosun 100/100 Pixie Tag</t>
  </si>
  <si>
    <t>0611836391100</t>
  </si>
  <si>
    <t>TAG Tomato Bumble Bee Sunrise 100/100 Pixie Tag</t>
  </si>
  <si>
    <t>0611836392100</t>
  </si>
  <si>
    <t>TAG Tomato Burpee Big Boy 100/100 Pixie Tag</t>
  </si>
  <si>
    <t>0611836393200</t>
  </si>
  <si>
    <t>TAG Tomato Burpee Big Boy 200/200 Thriftee Tag</t>
  </si>
  <si>
    <t>0611836394100</t>
  </si>
  <si>
    <t>TAG Tomato Burpee Big Early 100/100 Pixie Tag</t>
  </si>
  <si>
    <t>0611836395100</t>
  </si>
  <si>
    <t>TAG Tomato Burpee Big Girl 100/100 Pixie Tag</t>
  </si>
  <si>
    <t>0611836396200</t>
  </si>
  <si>
    <t>TAG Tomato Bush Beefsteak 200/200 Thriftee Tag</t>
  </si>
  <si>
    <t>0611836397100</t>
  </si>
  <si>
    <t>TAG Tomato Bush Big Boy 100/100 Pixie Tag</t>
  </si>
  <si>
    <t>0611836398100</t>
  </si>
  <si>
    <t>TAG Tomato Bush Celebrity 100/100 Pixie Tag</t>
  </si>
  <si>
    <t>0611836399100</t>
  </si>
  <si>
    <t>TAG Tomato Bush Champion 100/100 Pixie Tag</t>
  </si>
  <si>
    <t>0611836400100</t>
  </si>
  <si>
    <t>TAG Tomato Bush Champion II 100/100 Pixie Tag</t>
  </si>
  <si>
    <t>0611836401100</t>
  </si>
  <si>
    <t>TAG Tomato Bush Early Girl 100/100 Pixie Tag</t>
  </si>
  <si>
    <t>0611836402100</t>
  </si>
  <si>
    <t>TAG Tomato Campbell 1327 100/100 Pixie Tag</t>
  </si>
  <si>
    <t>0611836403100</t>
  </si>
  <si>
    <t>TAG Tomato Candyland Red 100/100 Pixie Tag</t>
  </si>
  <si>
    <t>0611836404100</t>
  </si>
  <si>
    <t>TAG Tomato Carmello 100/100 Pixie Tag SF</t>
  </si>
  <si>
    <t>0611836405100</t>
  </si>
  <si>
    <t>TAG Tomato Carolina Gold 100/100 Pixie Tag SF</t>
  </si>
  <si>
    <t>0611836406100</t>
  </si>
  <si>
    <t>TAG Tomato Caspian Pink 100/100 Pixie Tag</t>
  </si>
  <si>
    <t>0611836407100</t>
  </si>
  <si>
    <t>TAG Tomato Celano 100/100 Pixie Tag</t>
  </si>
  <si>
    <t>0611836408100</t>
  </si>
  <si>
    <t>TAG Tomato Celebrity 100/100 Pixie Tag</t>
  </si>
  <si>
    <t>0611836409200</t>
  </si>
  <si>
    <t>TAG Tomato Celebrity 200/200 Thriftee Tag</t>
  </si>
  <si>
    <t>0611857154100</t>
  </si>
  <si>
    <t>TAG Tomato Celebrity Plus 100/100 Pixie Tag</t>
  </si>
  <si>
    <t>0611836410100</t>
  </si>
  <si>
    <t>TAG Tomato Champion II 100/100 Pixie Tag</t>
  </si>
  <si>
    <t>0611836411100</t>
  </si>
  <si>
    <t>TAG Tomato Champion Vfnt 100/100 Pixie Tag</t>
  </si>
  <si>
    <t>0611836412100</t>
  </si>
  <si>
    <t>TAG Tomato Chef's Choice Bicolor 100/100 Pixie Tag</t>
  </si>
  <si>
    <t>0611836413100</t>
  </si>
  <si>
    <t>TAG Tomato Chef's Choice Black 100/100 Pixie Tag</t>
  </si>
  <si>
    <t>0611836414100</t>
  </si>
  <si>
    <t>TAG Tomato Chef's Choice Green 100/100 Pixie Tag</t>
  </si>
  <si>
    <t>0611836415100</t>
  </si>
  <si>
    <t>TAG Tomato Chef's Choice Orange 100/100 Pixie Tag</t>
  </si>
  <si>
    <t>0611836416100</t>
  </si>
  <si>
    <t>TAG Tomato Chef's Choice Pink 100/100 Pixie Tag</t>
  </si>
  <si>
    <t>0611836417100</t>
  </si>
  <si>
    <t>TAG Tomato Chef's Choice Red 100/100 Pixie Tag</t>
  </si>
  <si>
    <t>0611836418100</t>
  </si>
  <si>
    <t>TAG Tomato Chef's Choice Yellow 100/100 Pixie Tag</t>
  </si>
  <si>
    <t>0611839792100</t>
  </si>
  <si>
    <t>TAG Tomato Cherokee Carbon 100/100 Pixie Tag</t>
  </si>
  <si>
    <t>0611836419100</t>
  </si>
  <si>
    <t>TAG Tomato Cherokee Purple 100/100 Pixie Tag</t>
  </si>
  <si>
    <t>0611836420100</t>
  </si>
  <si>
    <t>TAG Tomato Cherry Cascade 100/100 Pixie Tag</t>
  </si>
  <si>
    <t>0611836421100</t>
  </si>
  <si>
    <t>TAG Tomato Cherry Express 100/100 Pixie Tag</t>
  </si>
  <si>
    <t>0611836422100</t>
  </si>
  <si>
    <t>TAG Tomato Cherry Falls 100/100 Pixie Tag</t>
  </si>
  <si>
    <t>0611836423100</t>
  </si>
  <si>
    <t>TAG Tomato Cherry Red GENERIC 100/100 Pixie Tag</t>
  </si>
  <si>
    <t>0611836424100</t>
  </si>
  <si>
    <t>TAG Tomato Cherry Red Large GENERIC 100/100 Pixie Tag</t>
  </si>
  <si>
    <t>0611836425200</t>
  </si>
  <si>
    <t>TAG Tomato Cherry Red Large GENERIC 200/200 Thriftee Tag</t>
  </si>
  <si>
    <t>0611836426100</t>
  </si>
  <si>
    <t>TAG Tomato Cherry Red Small GENERIC 100/100 Pixie Tag</t>
  </si>
  <si>
    <t>0611836427100</t>
  </si>
  <si>
    <t>TAG Tomato Cherry Sweet GENERIC 100/100 Pixie Tag</t>
  </si>
  <si>
    <t>0611836428100</t>
  </si>
  <si>
    <t>TAG Tomato Cherry Yellow GENERIC 100/100 Pixie Tag</t>
  </si>
  <si>
    <t>0611836429100</t>
  </si>
  <si>
    <t>TAG Tomato Chocolate Cherry 100/100 Pixie Tag</t>
  </si>
  <si>
    <t>0611836430100</t>
  </si>
  <si>
    <t>TAG Tomato Chocolate Sprinkles 100/100 Pixie Tag</t>
  </si>
  <si>
    <t>0611836431100</t>
  </si>
  <si>
    <t>TAG Tomato Christmas Grape 100/100 Pixie Tag</t>
  </si>
  <si>
    <t>0611839793100</t>
  </si>
  <si>
    <t>TAG Tomato Cocoa Kitchen Minis 100/100 Pixie Tag</t>
  </si>
  <si>
    <t>0611836432100</t>
  </si>
  <si>
    <t>TAG Tomato Crokini 100/100 Pixie Tag</t>
  </si>
  <si>
    <t>0611836433100</t>
  </si>
  <si>
    <t>TAG Tomato Cupid 100/100 Pixie Tag</t>
  </si>
  <si>
    <t>0611836434100</t>
  </si>
  <si>
    <t>TAG Tomato Darkstar 100/100 Pixie Tag</t>
  </si>
  <si>
    <t>0611836435100</t>
  </si>
  <si>
    <t>TAG Tomato Daytona 100/100 Pixie Tag</t>
  </si>
  <si>
    <t>0611836436100</t>
  </si>
  <si>
    <t>TAG Tomato Delicious 100/100 Pixie Tag</t>
  </si>
  <si>
    <t>0611836437100</t>
  </si>
  <si>
    <t>TAG Tomato Early Boy 100/100 Pixie Tag</t>
  </si>
  <si>
    <t>0611836438100</t>
  </si>
  <si>
    <t>TAG Tomato Early Cascade 100/100 Pixie Tag</t>
  </si>
  <si>
    <t>0611836439100</t>
  </si>
  <si>
    <t>TAG Tomato Early Doll 100/100 Pixie Tag</t>
  </si>
  <si>
    <t>0611836440100</t>
  </si>
  <si>
    <t>TAG Tomato Early Girl 100/100 Pixie Tag</t>
  </si>
  <si>
    <t>0611836441200</t>
  </si>
  <si>
    <t>TAG Tomato Early Girl 200/200 Thriftee Tag</t>
  </si>
  <si>
    <t>0611884303100</t>
  </si>
  <si>
    <t>TAG Tomato Early Girl Plus 100/100 Pixie Tag</t>
  </si>
  <si>
    <t>0611836442100</t>
  </si>
  <si>
    <t>TAG Tomato Early Pick 100/100 Pixie Tag</t>
  </si>
  <si>
    <t>0611836443100</t>
  </si>
  <si>
    <t>TAG Tomato Early Resilience 100/100 Pixie Tag</t>
  </si>
  <si>
    <t>0611836444100</t>
  </si>
  <si>
    <t>TAG Tomato Early Salad Type 100/100 Pixie Tag</t>
  </si>
  <si>
    <t>0611836445100</t>
  </si>
  <si>
    <t>TAG Tomato Fantastic 100/100 Pixie Tag</t>
  </si>
  <si>
    <t>0611836446100</t>
  </si>
  <si>
    <t>TAG Tomato Fantastico 100/100 Pixie Tag</t>
  </si>
  <si>
    <t>0611836447100</t>
  </si>
  <si>
    <t>TAG Tomato Fire Fly 100/100 Pixie Tag</t>
  </si>
  <si>
    <t>0611836448100</t>
  </si>
  <si>
    <t>TAG Tomato First Lady 100/100 Pixie Tag</t>
  </si>
  <si>
    <t>0611836449100</t>
  </si>
  <si>
    <t>TAG Tomato Florida 91 Hybrid 100/100 Pixie Tag</t>
  </si>
  <si>
    <t>0611836450100</t>
  </si>
  <si>
    <t>TAG Tomato Galahad 100/100 Pixie Tag</t>
  </si>
  <si>
    <t>0611839794100</t>
  </si>
  <si>
    <t>TAG Tomato Genuwine 100/100 Pixie Tag</t>
  </si>
  <si>
    <t>0611836451100</t>
  </si>
  <si>
    <t>TAG Tomato German Johnson 100/100 Pixie Tag</t>
  </si>
  <si>
    <t>0611836452100</t>
  </si>
  <si>
    <t>TAG Tomato German Pink 100/100 Pixie Tag</t>
  </si>
  <si>
    <t>0611836453100</t>
  </si>
  <si>
    <t>TAG Tomato German Queen 100/100 Pixie Tag</t>
  </si>
  <si>
    <t>0611836454100</t>
  </si>
  <si>
    <t>TAG Tomato German Striped 100/100 Pixie Tag</t>
  </si>
  <si>
    <t>0611836455100</t>
  </si>
  <si>
    <t>TAG Tomato Giant Tree 100/100 Pixie Tag</t>
  </si>
  <si>
    <t>0611836456100</t>
  </si>
  <si>
    <t>TAG Tomato Girl 100/100 Pixie Tag</t>
  </si>
  <si>
    <t>0611836457100</t>
  </si>
  <si>
    <t>TAG Tomato Glamour 100/100 Pixie Tag</t>
  </si>
  <si>
    <t>0611836458100</t>
  </si>
  <si>
    <t>TAG Tomato Gold Medal 100/100 Pixie Tag</t>
  </si>
  <si>
    <t>0611839795100</t>
  </si>
  <si>
    <t>TAG Tomato Gold Spark 100/100 Pixie Tag</t>
  </si>
  <si>
    <t>0611836459100</t>
  </si>
  <si>
    <t>TAG Tomato Golden Boy Hybrid 100/100 Pixie Tag</t>
  </si>
  <si>
    <t>0611836460100</t>
  </si>
  <si>
    <t>TAG Tomato Golden Girl 100/100 Pixie Tag</t>
  </si>
  <si>
    <t>0611836462100</t>
  </si>
  <si>
    <t>TAG Tomato Golden Jubilee 100/100 Pixie Tag</t>
  </si>
  <si>
    <t>0611836463100</t>
  </si>
  <si>
    <t>TAG Tomato Goliath 100/100 Pixie Tag</t>
  </si>
  <si>
    <t>0611836464100</t>
  </si>
  <si>
    <t>TAG Tomato Goliath Bush 100/100 Pixie Tag</t>
  </si>
  <si>
    <t>0611836465100</t>
  </si>
  <si>
    <t>TAG Tomato Goliath Early 100/100 Pixie Tag</t>
  </si>
  <si>
    <t>0611836466100</t>
  </si>
  <si>
    <t>TAG Tomato Goliath Old Fashioned 100/100 Pixie Tag</t>
  </si>
  <si>
    <t>0611836468100</t>
  </si>
  <si>
    <t>TAG Tomato Granny Smith 100/100 Pixie Tag</t>
  </si>
  <si>
    <t>0611836469100</t>
  </si>
  <si>
    <t>TAG Tomato Grape GENERIC 100/100 Pixie Tag</t>
  </si>
  <si>
    <t>0611836470025</t>
  </si>
  <si>
    <t>TAG Tomato Grape GENERIC 25/25 Portrait Tag</t>
  </si>
  <si>
    <t>0611836471100</t>
  </si>
  <si>
    <t>TAG Tomato Grape Yellow GENERIC 100/100 Pixie Tag</t>
  </si>
  <si>
    <t>0611836472100</t>
  </si>
  <si>
    <t>TAG Tomato Green Zebra 100/100 Pixie Tag</t>
  </si>
  <si>
    <t>0611836473100</t>
  </si>
  <si>
    <t>TAG Tomato Ground Cherry 100/100 Pixie Tag</t>
  </si>
  <si>
    <t>0611836474100</t>
  </si>
  <si>
    <t>TAG Tomato Hawaiian 100/100 Pixie Tag</t>
  </si>
  <si>
    <t>0611836475100</t>
  </si>
  <si>
    <t>TAG Tomato Health Kick 100/100 Pixie Tag</t>
  </si>
  <si>
    <t>0611836476100</t>
  </si>
  <si>
    <t>TAG Tomato Heartbreaker Vita 100/100 Pixie Tag</t>
  </si>
  <si>
    <t>0611836477100</t>
  </si>
  <si>
    <t>TAG Tomato Heartbreakers Vallery 100/100 Pixie Tag</t>
  </si>
  <si>
    <t>0611836479100</t>
  </si>
  <si>
    <t>TAG Tomato Heatmaster 100/100 Pixie Tag</t>
  </si>
  <si>
    <t>0611836480100</t>
  </si>
  <si>
    <t>TAG Tomato Heatwave II 100/100 Pixie Tag</t>
  </si>
  <si>
    <t>0611836481100</t>
  </si>
  <si>
    <t>TAG Tomato Heinz 1350 100/100 Pixie Tag</t>
  </si>
  <si>
    <t>0611836482100</t>
  </si>
  <si>
    <t>TAG Tomato Heirloom GENERIC 100/100 Pixie Tag</t>
  </si>
  <si>
    <t>0611836483100</t>
  </si>
  <si>
    <t>TAG Tomato Heirloom Rainbow Blend 100/100 Pixie Tag</t>
  </si>
  <si>
    <t>0611836484100</t>
  </si>
  <si>
    <t>TAG Tomato Heritage Variety GENERIC 100/100 Pixie Tag</t>
  </si>
  <si>
    <t>0611836485100</t>
  </si>
  <si>
    <t>TAG Tomato Hillbilly 100/100 Pixie Tag</t>
  </si>
  <si>
    <t>0611836486100</t>
  </si>
  <si>
    <t>TAG Tomato Homeslice 100/100 Pixie Tag</t>
  </si>
  <si>
    <t>0611836487100</t>
  </si>
  <si>
    <t>TAG Tomato Homestead No 24 100/100 Pixie Tag</t>
  </si>
  <si>
    <t>0611836488100</t>
  </si>
  <si>
    <t>TAG Tomato Husky Cherry Red 100/100 Pixie Tag</t>
  </si>
  <si>
    <t>0611836489100</t>
  </si>
  <si>
    <t>TAG Tomato Husky Red 100/100 Pixie Tag</t>
  </si>
  <si>
    <t>0611836490100</t>
  </si>
  <si>
    <t>TAG Tomato Indigo Blue Berries 100/100 Pixie Tag</t>
  </si>
  <si>
    <t>0611836491100</t>
  </si>
  <si>
    <t>TAG Tomato Indigo Gold Berries 100/100 Pixie Tag</t>
  </si>
  <si>
    <t>0611836492100</t>
  </si>
  <si>
    <t>TAG Tomato Indigo Rose 100/100 Pixie Tag</t>
  </si>
  <si>
    <t>0611836493100</t>
  </si>
  <si>
    <t>TAG Tomato Indigo Ruby 100/100 Pixie Tag</t>
  </si>
  <si>
    <t>0611836494100</t>
  </si>
  <si>
    <t>TAG Tomato Jamestown 100/100 Pixie Tag</t>
  </si>
  <si>
    <t>0611836495100</t>
  </si>
  <si>
    <t>TAG Tomato Jasper 100/100 Pixie Tag</t>
  </si>
  <si>
    <t>0611839796100</t>
  </si>
  <si>
    <t>TAG Tomato Jelly Bean 100/100 Pixie Tag</t>
  </si>
  <si>
    <t>0611836496100</t>
  </si>
  <si>
    <t>TAG Tomato Jersey Devil 100/100 Pixie Tag</t>
  </si>
  <si>
    <t>0611836497100</t>
  </si>
  <si>
    <t>TAG Tomato Jet Set 100/100 Pixie Tag</t>
  </si>
  <si>
    <t>0611836498100</t>
  </si>
  <si>
    <t>TAG Tomato Jet Star 100/100 Pixie Tag</t>
  </si>
  <si>
    <t>0611836499200</t>
  </si>
  <si>
    <t>TAG Tomato Jet Star 200/200 Thriftee Tag</t>
  </si>
  <si>
    <t>0611836500100</t>
  </si>
  <si>
    <t>TAG Tomato Jetsetter 100/100 Pixie Tag</t>
  </si>
  <si>
    <t>0611836501100</t>
  </si>
  <si>
    <t>TAG Tomato Jolly Elf 100/100 Pixie Tag</t>
  </si>
  <si>
    <t>0611836502100</t>
  </si>
  <si>
    <t>TAG Tomato Jubilee 100/100 Pixie Tag</t>
  </si>
  <si>
    <t>0611839797100</t>
  </si>
  <si>
    <t>TAG Tomato Juliet 100/100 Pixie Tag</t>
  </si>
  <si>
    <t>0611836503100</t>
  </si>
  <si>
    <t>TAG Tomato La Roma 100/100 Pixie Tag</t>
  </si>
  <si>
    <t>0611836504100</t>
  </si>
  <si>
    <t>TAG Tomato La Roma III Red 100/100 Pixie Tag</t>
  </si>
  <si>
    <t>0611836505100</t>
  </si>
  <si>
    <t>TAG Tomato Lemon Boy 100/100 Pixie Tag</t>
  </si>
  <si>
    <t>0611857155100</t>
  </si>
  <si>
    <t>TAG Tomato Lemon Boy Plus 100/100 Pixie Tag</t>
  </si>
  <si>
    <t>0611836506100</t>
  </si>
  <si>
    <t>TAG Tomato Lemon Cherry 100/100 Pixie Tag</t>
  </si>
  <si>
    <t>0611836507100</t>
  </si>
  <si>
    <t>TAG Tomato Little Bing 100/100 Pixie Tag</t>
  </si>
  <si>
    <t>0611839798100</t>
  </si>
  <si>
    <t>TAG Tomato Little Birdy Red Robin 100/100 Pixie Tag</t>
  </si>
  <si>
    <t>0611836508100</t>
  </si>
  <si>
    <t>TAG Tomato Little Birdy Rosy Finch 100/100 Pixie Tag</t>
  </si>
  <si>
    <t>0611836515100</t>
  </si>
  <si>
    <t>TAG Tomato Little Birdy Yellow Canary 100/100 Pixie Tag</t>
  </si>
  <si>
    <t>0611836509100</t>
  </si>
  <si>
    <t>TAG Tomato Little Napoli 100/100 Pixie Tag</t>
  </si>
  <si>
    <t>0611836510100</t>
  </si>
  <si>
    <t>TAG Tomato Little Sicily 100/100 Pixie Tag</t>
  </si>
  <si>
    <t>0611836512100</t>
  </si>
  <si>
    <t>TAG Tomato Lizzano 100/100 Pixie Tag</t>
  </si>
  <si>
    <t>0611836513100</t>
  </si>
  <si>
    <t>TAG Tomato Loki 100/100 Pixie Tag</t>
  </si>
  <si>
    <t>0611836514100</t>
  </si>
  <si>
    <t>TAG Tomato Long Keeper 100/100 Pixie Tag</t>
  </si>
  <si>
    <t>0611836517100</t>
  </si>
  <si>
    <t>TAG Tomato Manitoba 100/100 Pixie Tag</t>
  </si>
  <si>
    <t>0611836518100</t>
  </si>
  <si>
    <t>TAG Tomato Marglobe 100/100 Pixie Tag</t>
  </si>
  <si>
    <t>0611836520100</t>
  </si>
  <si>
    <t>TAG Tomato Marion 100/100 Pixie Tag</t>
  </si>
  <si>
    <t>0611836521100</t>
  </si>
  <si>
    <t>TAG Tomato Marzano Fire 100/100 Pixie Tag</t>
  </si>
  <si>
    <t>0611839799100</t>
  </si>
  <si>
    <t>TAG Tomato Marzinera 100/100 Pixie Tag</t>
  </si>
  <si>
    <t>0611836522100</t>
  </si>
  <si>
    <t>TAG Tomato Marzito 100/100 Pixie Tag</t>
  </si>
  <si>
    <t>0611836523100</t>
  </si>
  <si>
    <t>TAG Tomato Mega Bite 100/100 Pixie Tag</t>
  </si>
  <si>
    <t>0611839800100</t>
  </si>
  <si>
    <t>TAG Tomato Micro Tom Kitchen Minis 100/100 Pixie Tag</t>
  </si>
  <si>
    <t>0611836524100</t>
  </si>
  <si>
    <t>TAG Tomato Midnight Snack 100/100 Pixie Tag</t>
  </si>
  <si>
    <t>0611836525100</t>
  </si>
  <si>
    <t>TAG Tomato Moby Grape 100/100 Pixie Tag</t>
  </si>
  <si>
    <t>0611839801100</t>
  </si>
  <si>
    <t>TAG Tomato Momotaro 100/100 Pixie Tag</t>
  </si>
  <si>
    <t>0611836527100</t>
  </si>
  <si>
    <t>TAG Tomato Moreton Hybrid 100/100 Pixie Tag</t>
  </si>
  <si>
    <t>0611836528100</t>
  </si>
  <si>
    <t>TAG Tomato Mortgage Lifter 100/100 Pixie Tag</t>
  </si>
  <si>
    <t>0611836529100</t>
  </si>
  <si>
    <t>TAG Tomato Mountain Delight 100/100 Pixie Tag</t>
  </si>
  <si>
    <t>0611836530100</t>
  </si>
  <si>
    <t>TAG Tomato Mountain Fresh 100/100 Pixie Tag</t>
  </si>
  <si>
    <t>0611836531200</t>
  </si>
  <si>
    <t>TAG Tomato Mountain Fresh 200/200 Thriftee Tag</t>
  </si>
  <si>
    <t>0611836532100</t>
  </si>
  <si>
    <t>TAG Tomato Mountain Fresh Plus 100/100 Pixie Tag</t>
  </si>
  <si>
    <t>0611836533100</t>
  </si>
  <si>
    <t>TAG Tomato Mountain Glory 100/100 Pixie Tag</t>
  </si>
  <si>
    <t>0611836534100</t>
  </si>
  <si>
    <t>TAG Tomato Mountain Gold 100/100 Pixie Tag</t>
  </si>
  <si>
    <t>0611836535100</t>
  </si>
  <si>
    <t>TAG Tomato Mountain Magic 100/100 Pixie Tag</t>
  </si>
  <si>
    <t>0611836536100</t>
  </si>
  <si>
    <t>TAG Tomato Mountain Majesty 100/100 Pixie Tag</t>
  </si>
  <si>
    <t>0611836537100</t>
  </si>
  <si>
    <t>TAG Tomato Mountain Merit 100/100 Pixie Tag</t>
  </si>
  <si>
    <t>0611836538100</t>
  </si>
  <si>
    <t>TAG Tomato Mountain Pride 100/100 Pixie Tag</t>
  </si>
  <si>
    <t>0611836539100</t>
  </si>
  <si>
    <t>TAG Tomato Mountain Rouge 100/100 Pixie Tag</t>
  </si>
  <si>
    <t>0611836540100</t>
  </si>
  <si>
    <t>TAG Tomato Mountain Spring 100/100 Pixie Tag</t>
  </si>
  <si>
    <t>0611836541100</t>
  </si>
  <si>
    <t>TAG Tomato Mr Stripey 100/100 Pixie Tag</t>
  </si>
  <si>
    <t>0611836542100</t>
  </si>
  <si>
    <t>TAG Tomato Mushroom Basket 100/100 Pixie Tag</t>
  </si>
  <si>
    <t>0611836544100</t>
  </si>
  <si>
    <t>TAG Tomato Old German 100/100 Pixie Tag</t>
  </si>
  <si>
    <t>0611836545100</t>
  </si>
  <si>
    <t>TAG Tomato Omar's Lebanese 100/100 Pixie Tag</t>
  </si>
  <si>
    <t>0611836546100</t>
  </si>
  <si>
    <t>TAG Tomato Orange Zinger 100/100 Pixie Tag</t>
  </si>
  <si>
    <t>0611836547100</t>
  </si>
  <si>
    <t>TAG Tomato Oregon Spring 100/100 Pixie Tag</t>
  </si>
  <si>
    <t>0611836548100</t>
  </si>
  <si>
    <t>TAG Tomato Oxheart 100/100 Pixie Tag</t>
  </si>
  <si>
    <t>0611836549100</t>
  </si>
  <si>
    <t>TAG Tomato Paisano 100/100 Pixie Tag</t>
  </si>
  <si>
    <t>0611836550100</t>
  </si>
  <si>
    <t>TAG Tomato Park's Legacy 100/100 Pixie Tag</t>
  </si>
  <si>
    <t>0611836552100</t>
  </si>
  <si>
    <t>TAG Tomato Park's Whopper 100/100 Pixie Tag</t>
  </si>
  <si>
    <t>0611836553100</t>
  </si>
  <si>
    <t>TAG Tomato Patio 100/100 Pixie Tag</t>
  </si>
  <si>
    <t>0611836554200</t>
  </si>
  <si>
    <t>TAG Tomato Patio 200/200 Thriftee Tag</t>
  </si>
  <si>
    <t>0611836555025</t>
  </si>
  <si>
    <t>TAG Tomato Patio 25/25 Portrait Tag</t>
  </si>
  <si>
    <t>0611836556100</t>
  </si>
  <si>
    <t>TAG Tomato Patio Choice 100/100 Pixie Tag</t>
  </si>
  <si>
    <t>0611836558100</t>
  </si>
  <si>
    <t>TAG Tomato Patio Prize 100/100 Pixie Tag</t>
  </si>
  <si>
    <t>0611836559100</t>
  </si>
  <si>
    <t>TAG Tomato Patio Type GENERIC 100/100 Pixie Tag</t>
  </si>
  <si>
    <t>0611836560100</t>
  </si>
  <si>
    <t>TAG Tomato Paul Robeson 100/100 Pixie Tag</t>
  </si>
  <si>
    <t>0611836561100</t>
  </si>
  <si>
    <t>TAG Tomato Pear Red GENERIC 100/100 Pixie Tag</t>
  </si>
  <si>
    <t>0611836562100</t>
  </si>
  <si>
    <t>TAG Tomato Pear Yellow GENERIC 100/100 Pixie Tag</t>
  </si>
  <si>
    <t>0611836563100</t>
  </si>
  <si>
    <t>TAG Tomato Peardrops 100/100 Pixie Tag</t>
  </si>
  <si>
    <t>0611839803100</t>
  </si>
  <si>
    <t>TAG Tomato Perfect Flame 100/100 Pixie Tag</t>
  </si>
  <si>
    <t>0611836564100</t>
  </si>
  <si>
    <t>TAG Tomato Persimmon 100/100 Pixie Tag</t>
  </si>
  <si>
    <t>0611836565100</t>
  </si>
  <si>
    <t>TAG Tomato Pik-Red 100/100 Pixie Tag</t>
  </si>
  <si>
    <t>0611836566100</t>
  </si>
  <si>
    <t>TAG Tomato Pillar Catch Red 100/100 Pixie Tag</t>
  </si>
  <si>
    <t>0611836567100</t>
  </si>
  <si>
    <t>TAG Tomato Pineapple 100/100 Pixie Tag</t>
  </si>
  <si>
    <t>0611857156100</t>
  </si>
  <si>
    <t>TAG Tomato Pink Delicious 100/100 Pixie Tag</t>
  </si>
  <si>
    <t>0611836568100</t>
  </si>
  <si>
    <t>TAG Tomato Pink GENERIC 100/100 Pixie Tag</t>
  </si>
  <si>
    <t>0611836569100</t>
  </si>
  <si>
    <t>TAG Tomato Pink Girl 100/100 Pixie Tag</t>
  </si>
  <si>
    <t>0611836570100</t>
  </si>
  <si>
    <t>TAG Tomato Plum Italian GENERIC 100/100 Pixie Tag</t>
  </si>
  <si>
    <t>0611836571100</t>
  </si>
  <si>
    <t>TAG Tomato Plum Red GENERIC 100/100 Pixie Tag</t>
  </si>
  <si>
    <t>0611836572100</t>
  </si>
  <si>
    <t>TAG Tomato Plum Yellow GENERIC 100/100 Pixie Tag</t>
  </si>
  <si>
    <t>0611836573100</t>
  </si>
  <si>
    <t>TAG Tomato Polish Linguisa 100/100 Pixie Tag</t>
  </si>
  <si>
    <t>0611836574100</t>
  </si>
  <si>
    <t>TAG Tomato Ponderosa Pink 100/100 Pixie Tag</t>
  </si>
  <si>
    <t>0611836575100</t>
  </si>
  <si>
    <t>TAG Tomato Primo Red 100/100 Pixie Tag</t>
  </si>
  <si>
    <t>0611836576100</t>
  </si>
  <si>
    <t>TAG Tomato Pruden's Purple 100/100 Pixie Tag</t>
  </si>
  <si>
    <t>0611836577100</t>
  </si>
  <si>
    <t>TAG Tomato Purple Boy 100/100 Pixie Tag</t>
  </si>
  <si>
    <t>0611836578100</t>
  </si>
  <si>
    <t>TAG Tomato Purple GENERIC 100/100 Pixie Tag</t>
  </si>
  <si>
    <t>0611857157100</t>
  </si>
  <si>
    <t>TAG Tomato Purple Zebra 100/100 Pixie Tag</t>
  </si>
  <si>
    <t>0611836580100</t>
  </si>
  <si>
    <t>TAG Tomato Ramapo 100/100 Pixie Tag</t>
  </si>
  <si>
    <t>0611836581100</t>
  </si>
  <si>
    <t>TAG Tomato Rapunzel 100/100 Pixie Tag</t>
  </si>
  <si>
    <t>0611836586100</t>
  </si>
  <si>
    <t>TAG Tomato Red And Yellow Bicolor GENERIC 100/100 Pixie Tag</t>
  </si>
  <si>
    <t>0611836582100</t>
  </si>
  <si>
    <t>TAG Tomato Red Defender 100/100 Pixie Tag</t>
  </si>
  <si>
    <t>0611836583100</t>
  </si>
  <si>
    <t>TAG Tomato Red Profusion 100/100 Pixie Tag SF</t>
  </si>
  <si>
    <t>0611836584100</t>
  </si>
  <si>
    <t>TAG Tomato Red Racer 100/100 Pixie Tag</t>
  </si>
  <si>
    <t>0611836585100</t>
  </si>
  <si>
    <t>TAG Tomato Red Torch 100/100 Pixie Tag</t>
  </si>
  <si>
    <t>0611839804100</t>
  </si>
  <si>
    <t>TAG Tomato Red Velvet Kitchen Minis 100/100 Pixie Tag</t>
  </si>
  <si>
    <t>0611836587100</t>
  </si>
  <si>
    <t>TAG Tomato Riesentraube 100/100 Pixie Tag</t>
  </si>
  <si>
    <t>0611836588100</t>
  </si>
  <si>
    <t>TAG Tomato Rocky Top 100/100 Pixie Tag</t>
  </si>
  <si>
    <t>0611836589100</t>
  </si>
  <si>
    <t>TAG Tomato Roma 100/100 Pixie Tag</t>
  </si>
  <si>
    <t>0611836590200</t>
  </si>
  <si>
    <t>TAG Tomato Roma 200/200 Thriftee Tag</t>
  </si>
  <si>
    <t>0611836591100</t>
  </si>
  <si>
    <t>TAG Tomato Roma Paste 100/100 Pixie Tag</t>
  </si>
  <si>
    <t>0611836592100</t>
  </si>
  <si>
    <t>TAG Tomato Roma Plum 100/100 Pixie Tag</t>
  </si>
  <si>
    <t>0611836593100</t>
  </si>
  <si>
    <t>TAG Tomato Ruby Crush 100/100 Pixie Tag</t>
  </si>
  <si>
    <t>0611836594100</t>
  </si>
  <si>
    <t>TAG Tomato Rutgers 100/100 Pixie Tag</t>
  </si>
  <si>
    <t>0611836595200</t>
  </si>
  <si>
    <t>TAG Tomato Rutgers 200/200 Thriftee Tag</t>
  </si>
  <si>
    <t>0611836596100</t>
  </si>
  <si>
    <t>TAG Tomato Rutgers 250 100/100 Pixie Tag</t>
  </si>
  <si>
    <t>0611836597100</t>
  </si>
  <si>
    <t>TAG Tomato Rutgers Hybrid 100/100 Pixie Tag</t>
  </si>
  <si>
    <t>0611836598100</t>
  </si>
  <si>
    <t>TAG Tomato San Marzano 100/100 Pixie Tag</t>
  </si>
  <si>
    <t>0611839805100</t>
  </si>
  <si>
    <t>TAG Tomato Santa 100/100 Pixie Tag</t>
  </si>
  <si>
    <t>0611836599100</t>
  </si>
  <si>
    <t>TAG Tomato Sausage 100/100 Pixie Tag</t>
  </si>
  <si>
    <t>0611836600100</t>
  </si>
  <si>
    <t>TAG Tomato Scarlet Red 100/100 Pixie Tag</t>
  </si>
  <si>
    <t>0611836601100</t>
  </si>
  <si>
    <t>TAG Tomato Shady Lady 100/100 Pixie Tag</t>
  </si>
  <si>
    <t>0611836602100</t>
  </si>
  <si>
    <t>TAG Tomato Sheyenne 100/100 Pixie Tag</t>
  </si>
  <si>
    <t>0611839806100</t>
  </si>
  <si>
    <t>TAG Tomato Siam Kitchen Minis 100/100 Pixie Tag</t>
  </si>
  <si>
    <t>0611836603100</t>
  </si>
  <si>
    <t>TAG Tomato Siberia 100/100 Pixie Tag</t>
  </si>
  <si>
    <t>0611836604100</t>
  </si>
  <si>
    <t>TAG Tomato Sparky 100/100 Pixie Tag</t>
  </si>
  <si>
    <t>0611836605100</t>
  </si>
  <si>
    <t>TAG Tomato Stellar 100/100 Pixie Tag</t>
  </si>
  <si>
    <t>0611836606100</t>
  </si>
  <si>
    <t>TAG Tomato Stupice 100/100 Pixie Tag</t>
  </si>
  <si>
    <t>0611836607100</t>
  </si>
  <si>
    <t>TAG Tomato Sugar Rush 100/100 Pixie Tag</t>
  </si>
  <si>
    <t>0611839807100</t>
  </si>
  <si>
    <t>TAG Tomato Sugary 100/100 Pixie Tag</t>
  </si>
  <si>
    <t>0611836609100</t>
  </si>
  <si>
    <t>TAG Tomato Summerlast 100/100 Pixie Tag</t>
  </si>
  <si>
    <t>0611836610100</t>
  </si>
  <si>
    <t>TAG Tomato Summerpick 100/100 Pixie Tag</t>
  </si>
  <si>
    <t>0611857158100</t>
  </si>
  <si>
    <t>TAG Tomato Sun Dipper 100/100 Pixie Tag</t>
  </si>
  <si>
    <t>0611836611100</t>
  </si>
  <si>
    <t>TAG Tomato Sun Gold 100/100 Pixie Tag</t>
  </si>
  <si>
    <t>0611836613100</t>
  </si>
  <si>
    <t>TAG Tomato Sunbrite 100/100 Pixie Tag</t>
  </si>
  <si>
    <t>0611836614100</t>
  </si>
  <si>
    <t>TAG Tomato Suncherry 100/100 Pixie Tag</t>
  </si>
  <si>
    <t>0611836616100</t>
  </si>
  <si>
    <t>TAG Tomato Sunny Boy 100/100 Pixie Tag</t>
  </si>
  <si>
    <t>0611836617100</t>
  </si>
  <si>
    <t>TAG Tomato Sunny Goliath 100/100 Pixie Tag</t>
  </si>
  <si>
    <t>0611836618100</t>
  </si>
  <si>
    <t>TAG Tomato Sunray Non Acid 100/100 Pixie Tag</t>
  </si>
  <si>
    <t>0611839808100</t>
  </si>
  <si>
    <t>TAG Tomato Sunrise Sauce 100/100 Pixie Tag</t>
  </si>
  <si>
    <t>0611857159100</t>
  </si>
  <si>
    <t>TAG Tomato Sunset Torch 100/100 Pixie Tag</t>
  </si>
  <si>
    <t>0611836619100</t>
  </si>
  <si>
    <t>TAG Tomato Sunstart 100/100 Pixie Tag</t>
  </si>
  <si>
    <t>0611836620100</t>
  </si>
  <si>
    <t>TAG Tomato Sunsugar 100/100 Pixie Tag</t>
  </si>
  <si>
    <t>0611836621100</t>
  </si>
  <si>
    <t>TAG Tomato Super Bush 100/100 Pixie Tag</t>
  </si>
  <si>
    <t>0611836622100</t>
  </si>
  <si>
    <t>TAG Tomato Super Fantastic 100/100 Pixie Tag</t>
  </si>
  <si>
    <t>0611836623100</t>
  </si>
  <si>
    <t>TAG Tomato Super Marzano 100/100 Pixie Tag</t>
  </si>
  <si>
    <t>0611836624100</t>
  </si>
  <si>
    <t>TAG Tomato Super Sioux 100/100 Pixie Tag</t>
  </si>
  <si>
    <t>0611836625100</t>
  </si>
  <si>
    <t>TAG Tomato Super Tasty 100/100 Pixie Tag</t>
  </si>
  <si>
    <t>0611836626100</t>
  </si>
  <si>
    <t>TAG Tomato Supersonic 100/100 Pixie Tag</t>
  </si>
  <si>
    <t>0611836627200</t>
  </si>
  <si>
    <t>TAG Tomato Supersonic 200/200 Thriftee Tag</t>
  </si>
  <si>
    <t>0611836628100</t>
  </si>
  <si>
    <t>TAG Tomato Supersteak VFN 100/100 Pixie Tag</t>
  </si>
  <si>
    <t>0611836629100</t>
  </si>
  <si>
    <t>TAG Tomato Supersweet 100 100/100 Pixie Tag SF</t>
  </si>
  <si>
    <t>0611836630100</t>
  </si>
  <si>
    <t>TAG Tomato Supremo 100/100 Pixie Tag</t>
  </si>
  <si>
    <t>0611836631100</t>
  </si>
  <si>
    <t>TAG Tomato Sweet 100 100/100 Pixie Tag</t>
  </si>
  <si>
    <t>0611836632200</t>
  </si>
  <si>
    <t>TAG Tomato Sweet 100 200/200 Thriftee Tag</t>
  </si>
  <si>
    <t>0611836633100</t>
  </si>
  <si>
    <t>TAG Tomato Sweet Baby Girl 100/100 Pixie Tag</t>
  </si>
  <si>
    <t>0611836634100</t>
  </si>
  <si>
    <t>TAG Tomato Sweet Chelsea 100/100 Pixie Tag</t>
  </si>
  <si>
    <t>0611836635100</t>
  </si>
  <si>
    <t>TAG Tomato Sweet Cluster 100/100 Pixie Tag</t>
  </si>
  <si>
    <t>0611836636100</t>
  </si>
  <si>
    <t>TAG Tomato Sweet Gold 100/100 Pixie Tag</t>
  </si>
  <si>
    <t>0611836637100</t>
  </si>
  <si>
    <t>TAG Tomato Sweet Million 100/100 Pixie Tag</t>
  </si>
  <si>
    <t>0611836638100</t>
  </si>
  <si>
    <t>TAG Tomato Sweet N Neat Cherry Red 100/100 Pixie Tag</t>
  </si>
  <si>
    <t>0611836639100</t>
  </si>
  <si>
    <t>TAG Tomato Sweet N Neat Scarlet 100/100 Pixie Tag</t>
  </si>
  <si>
    <t>0611836640100</t>
  </si>
  <si>
    <t>TAG Tomato Sweet N Neat Yellow 100/100 Pixie Tag</t>
  </si>
  <si>
    <t>0611836641100</t>
  </si>
  <si>
    <t>TAG Tomato Sweet Olive 100/100 Pixie Tag</t>
  </si>
  <si>
    <t>0611836642100</t>
  </si>
  <si>
    <t>TAG Tomato Sweet Pea 100/100 Pixie Tag</t>
  </si>
  <si>
    <t>0611836643100</t>
  </si>
  <si>
    <t>TAG Tomato Sweet Treats 100/100 Pixie Tag</t>
  </si>
  <si>
    <t>0611836644100</t>
  </si>
  <si>
    <t>TAG Tomato Sweet Zen 100/100 Pixie Tag</t>
  </si>
  <si>
    <t>0611836645100</t>
  </si>
  <si>
    <t>TAG Tomato Taxi 100/100 Pixie Tag</t>
  </si>
  <si>
    <t>0611836646100</t>
  </si>
  <si>
    <t>TAG Tomato Ten Fingers Of Naples 100/100 Pixie Tag</t>
  </si>
  <si>
    <t>0611836647100</t>
  </si>
  <si>
    <t>TAG Tomato Terenzo 100/100 Pixie Tag</t>
  </si>
  <si>
    <t>0611836648100</t>
  </si>
  <si>
    <t>TAG Tomato Tidy Rose 100/100 Pixie Tag</t>
  </si>
  <si>
    <t>0611836649100</t>
  </si>
  <si>
    <t>TAG Tomato Tidy Treats 100/100 Pixie Tag</t>
  </si>
  <si>
    <t>0611836650100</t>
  </si>
  <si>
    <t>TAG Tomato Tiny Tim 100/100 Pixie Tag</t>
  </si>
  <si>
    <t>0611836651100</t>
  </si>
  <si>
    <t>TAG Tomato Tomato GENERIC 100/100 Hang Tag</t>
  </si>
  <si>
    <t>0611836652100</t>
  </si>
  <si>
    <t>TAG Tomato Tomato GENERIC 100/100 Pixie Tag</t>
  </si>
  <si>
    <t>0611836654100</t>
  </si>
  <si>
    <t>TAG Tomato Tomatoberry Garden 100/100 Pixie Tag</t>
  </si>
  <si>
    <t>0611836655100</t>
  </si>
  <si>
    <t>TAG Tomato Topsy Tom 100/100 Pixie Tag</t>
  </si>
  <si>
    <t>0611836656100</t>
  </si>
  <si>
    <t>TAG Tomato Totem 100/100 Pixie Tag SF</t>
  </si>
  <si>
    <t>0611836657100</t>
  </si>
  <si>
    <t>TAG Tomato Tumbler 100/100 Pixie Tag</t>
  </si>
  <si>
    <t>0611836658100</t>
  </si>
  <si>
    <t>TAG Tomato Tumbling Tiger 100/100 Pixie Tag</t>
  </si>
  <si>
    <t>0611836659100</t>
  </si>
  <si>
    <t>TAG Tomato Tumbling Tom Red 100/100 Pixie Tag SF</t>
  </si>
  <si>
    <t>0611836660100</t>
  </si>
  <si>
    <t>TAG Tomato Tumbling Tom Yellow 100/100 Pixie Tag SF</t>
  </si>
  <si>
    <t>0611836661100</t>
  </si>
  <si>
    <t>TAG Tomato Tutti Frutti Cherry 100/100 Pixie Tag</t>
  </si>
  <si>
    <t>0611836662100</t>
  </si>
  <si>
    <t>TAG Tomato Tutti Frutti Mandarin 100/100 Pixie Tag</t>
  </si>
  <si>
    <t>0611836663100</t>
  </si>
  <si>
    <t>TAG Tomato Tutti Frutti Melon 100/100 Pixie Tag</t>
  </si>
  <si>
    <t>0611836664100</t>
  </si>
  <si>
    <t>TAG Tomato Tye Dye 100/100 Pixie Tag</t>
  </si>
  <si>
    <t>0611836665100</t>
  </si>
  <si>
    <t>TAG Tomato Ukrainian Purple 100/100 Pixie Tag</t>
  </si>
  <si>
    <t>0611836666100</t>
  </si>
  <si>
    <t>TAG Tomato Ultra Sweet 100/100 Pixie Tag</t>
  </si>
  <si>
    <t>0611836667100</t>
  </si>
  <si>
    <t>TAG Tomato Valencia 100/100 Pixie Tag</t>
  </si>
  <si>
    <t>0611836668100</t>
  </si>
  <si>
    <t>TAG Tomato Valentine 100/100 Pixie Tag</t>
  </si>
  <si>
    <t>0611836669100</t>
  </si>
  <si>
    <t>TAG Tomato Valleycat 100/100 Pixie Tag</t>
  </si>
  <si>
    <t>0611836670100</t>
  </si>
  <si>
    <t>TAG Tomato Venti Salad 100/100 Pixie Tag</t>
  </si>
  <si>
    <t>0611836671100</t>
  </si>
  <si>
    <t>TAG Tomato Viva Italia 100/100 Pixie Tag</t>
  </si>
  <si>
    <t>0611836672100</t>
  </si>
  <si>
    <t>TAG Tomato Viva Salsa 100/100 Pixie Tag</t>
  </si>
  <si>
    <t>0611857160100</t>
  </si>
  <si>
    <t>TAG Tomato White Cherry 100/100 Pixie Tag</t>
  </si>
  <si>
    <t>0611836673100</t>
  </si>
  <si>
    <t>TAG Tomato White GENERIC 100/100 Pixie Tag</t>
  </si>
  <si>
    <t>0611836674100</t>
  </si>
  <si>
    <t>TAG Tomato Whopper 100/100 Pixie Tag</t>
  </si>
  <si>
    <t>0611836675100</t>
  </si>
  <si>
    <t>TAG Tomato Willamette 100/100 Pixie Tag</t>
  </si>
  <si>
    <t>0611836676100</t>
  </si>
  <si>
    <t>TAG Tomato Window Box Roma 100/100 Pixie Tag</t>
  </si>
  <si>
    <t>0611836677100</t>
  </si>
  <si>
    <t>TAG Tomato Wisconsin 55 100/100 Pixie Tag</t>
  </si>
  <si>
    <t>0611836679100</t>
  </si>
  <si>
    <t>TAG Tomato Yellow GENERIC 100/100 Pixie Tag</t>
  </si>
  <si>
    <t>0611836678100</t>
  </si>
  <si>
    <t>TAG Tomato Yellow Jelly Bean Hybrid 100/100 Pixie Tag</t>
  </si>
  <si>
    <t>0611836680100</t>
  </si>
  <si>
    <t>TAG Tomato Yorker 100/100 Pixie Tag</t>
  </si>
  <si>
    <t>0611884304100</t>
  </si>
  <si>
    <t>TAG Tomato Zenzei 100/100 Pixie Tag</t>
  </si>
  <si>
    <t>0611839811100</t>
  </si>
  <si>
    <t>TAG Torenia Duchess Blue And White 100/100 Pixie Tag SF</t>
  </si>
  <si>
    <t>0611839812100</t>
  </si>
  <si>
    <t>TAG Torenia Duchess Burgundy 100/100 Pixie Tag SF</t>
  </si>
  <si>
    <t>0611839813100</t>
  </si>
  <si>
    <t>TAG Torenia Duchess Deep Blue 100/100 Pixie Tag SF</t>
  </si>
  <si>
    <t>0611839814100</t>
  </si>
  <si>
    <t>TAG Torenia Duchess Mix 100/100 Pixie Tag SF</t>
  </si>
  <si>
    <t>0611839815100</t>
  </si>
  <si>
    <t>TAG Torenia Duchess Pink 100/100 Pixie Tag SF</t>
  </si>
  <si>
    <t>0611839818100</t>
  </si>
  <si>
    <t>TAG Torenia Heat Elite Mix 100/100 Pixie Tag</t>
  </si>
  <si>
    <t>0611839819100</t>
  </si>
  <si>
    <t>TAG Torenia Hi-Lite Blue And White 100/100 Pixie Tag SF</t>
  </si>
  <si>
    <t>0611857161100</t>
  </si>
  <si>
    <t>TAG Torenia Hi-Lite Blue Beacon 100/100 Pixie Tag SF</t>
  </si>
  <si>
    <t>0611839820100</t>
  </si>
  <si>
    <t>TAG Torenia Hi-Lite Blue Jump Up 100/100 Pixie Tag SF</t>
  </si>
  <si>
    <t>0611839821100</t>
  </si>
  <si>
    <t>TAG Torenia Hi-Lite Deep Blue 100/100 Pixie Tag SF</t>
  </si>
  <si>
    <t>0611839822100</t>
  </si>
  <si>
    <t>TAG Torenia Hi-Lite Magenta 100/100 Pixie Tag SF</t>
  </si>
  <si>
    <t>0611839823100</t>
  </si>
  <si>
    <t>TAG Torenia Hi-Lite Mix 100/100 Pixie Tag SF</t>
  </si>
  <si>
    <t>0611839824100</t>
  </si>
  <si>
    <t>TAG Torenia Hi-Lite Pink 100/100 Pixie Tag SF</t>
  </si>
  <si>
    <t>0611884488100</t>
  </si>
  <si>
    <t>TAG Torenia Hi-Lite Rose Picotee 100/100 Pixie Tag</t>
  </si>
  <si>
    <t>0611839825100</t>
  </si>
  <si>
    <t>TAG Torenia Hi-Lite White 100/100 Pixie Tag SF</t>
  </si>
  <si>
    <t>0611839826100</t>
  </si>
  <si>
    <t>TAG Torenia Kauai Blue And White 100/100 Pixie Tag</t>
  </si>
  <si>
    <t>0611839827100</t>
  </si>
  <si>
    <t>TAG Torenia Kauai Burgundy 100/100 Pixie Tag</t>
  </si>
  <si>
    <t>0611839828100</t>
  </si>
  <si>
    <t>TAG Torenia Kauai Deep Blue 100/100 Pixie Tag</t>
  </si>
  <si>
    <t>0611839829100</t>
  </si>
  <si>
    <t>TAG Torenia Kauai Lemon Drop 100/100 Pixie Tag</t>
  </si>
  <si>
    <t>0611839830100</t>
  </si>
  <si>
    <t>TAG Torenia Kauai Magenta 100/100 Pixie Tag</t>
  </si>
  <si>
    <t>0611839831100</t>
  </si>
  <si>
    <t>TAG Torenia Kauai Mix 100/100 Pixie Tag</t>
  </si>
  <si>
    <t>0611839832100</t>
  </si>
  <si>
    <t>TAG Torenia Kauai Rose 100/100 Pixie Tag</t>
  </si>
  <si>
    <t>0611839833100</t>
  </si>
  <si>
    <t>TAG Torenia Kauai White 100/100 Pixie Tag</t>
  </si>
  <si>
    <t>0611839837100</t>
  </si>
  <si>
    <t>TAG Torenia Moon Blue 100/100 Pixie Tag</t>
  </si>
  <si>
    <t>0611839838100</t>
  </si>
  <si>
    <t>TAG Torenia Moon Indigo 100/100 Pixie Tag</t>
  </si>
  <si>
    <t>0611839839100</t>
  </si>
  <si>
    <t>TAG Torenia Moon Magenta 100/100 Pixie Tag</t>
  </si>
  <si>
    <t>0611839841100</t>
  </si>
  <si>
    <t>TAG Torenia Moon Purple 100/100 Pixie Tag</t>
  </si>
  <si>
    <t>0611839842100</t>
  </si>
  <si>
    <t>TAG Torenia Moon Rose 100/100 Pixie Tag</t>
  </si>
  <si>
    <t>0611839843100</t>
  </si>
  <si>
    <t>TAG Torenia Moon White 100/100 Pixie Tag</t>
  </si>
  <si>
    <t>0611839844100</t>
  </si>
  <si>
    <t>TAG Torenia Moon Yellow 100/100 Pixie Tag</t>
  </si>
  <si>
    <t>0611857162100</t>
  </si>
  <si>
    <t>TAG Torenia Summery Love Pure White 100/100 Pixie Tag</t>
  </si>
  <si>
    <t>0611839845100</t>
  </si>
  <si>
    <t>TAG Torenia Torenia Bilingual 100/100 Pixie Tag</t>
  </si>
  <si>
    <t>0611839846100</t>
  </si>
  <si>
    <t>TAG Torenia Torenia GENERIC 100/100 Hang Tag</t>
  </si>
  <si>
    <t>0611857163100</t>
  </si>
  <si>
    <t>TAG Torenia Vertigo Deep Blue 100/100 Pixie Tag</t>
  </si>
  <si>
    <t>0611839847025</t>
  </si>
  <si>
    <t>TAG Tradescantia Charm Angelic 25/25 Portrait Tag</t>
  </si>
  <si>
    <t>0611839848025</t>
  </si>
  <si>
    <t>TAG Tradescantia Charm Lucky 25/25 Portrait Tag</t>
  </si>
  <si>
    <t>0611839849025</t>
  </si>
  <si>
    <t>TAG Tradescantia Charm Regal 25/25 Portrait Tag</t>
  </si>
  <si>
    <t>0611839850025</t>
  </si>
  <si>
    <t>TAG Tradescantia Charm Sunshine 25/25 Portrait Tag</t>
  </si>
  <si>
    <t>0611839851025</t>
  </si>
  <si>
    <t>TAG Tradescantia Concord Grape 25/25 Portrait Tag</t>
  </si>
  <si>
    <t>0611839852100</t>
  </si>
  <si>
    <t>TAG Tradescantia Moses In The Cradle 100/100 Pixie Tag</t>
  </si>
  <si>
    <t>0611864109050</t>
  </si>
  <si>
    <t>TAG Tradescantia Nanouk 50/50 Petite Portrait FUL</t>
  </si>
  <si>
    <t>0611839853100</t>
  </si>
  <si>
    <t>TAG Tradescantia Pink Stripes Pallida 100/100 Pixie Tag</t>
  </si>
  <si>
    <t>0611857164100</t>
  </si>
  <si>
    <t>TAG Tradescantia Pistachio White 100/100 Pixie Tag</t>
  </si>
  <si>
    <t>0611839856100</t>
  </si>
  <si>
    <t>TAG Tradescantia Purple Queen 100/100 Pixie Tag</t>
  </si>
  <si>
    <t>0611839854100</t>
  </si>
  <si>
    <t>TAG Tradescantia Purple Wandering Jew 100/100 Hang Tag</t>
  </si>
  <si>
    <t>0611839855100</t>
  </si>
  <si>
    <t>TAG Tradescantia Purple Wandering Jew 100/100 Pixie Tag</t>
  </si>
  <si>
    <t>0611839857100</t>
  </si>
  <si>
    <t>TAG Tradescantia Spiderwort GENERIC 100/100 Pixie Tag</t>
  </si>
  <si>
    <t>0611839858025</t>
  </si>
  <si>
    <t>TAG Tradescantia Sweet Kate 25/25 Portrait Tag</t>
  </si>
  <si>
    <t>0611864112050</t>
  </si>
  <si>
    <t>TAG Tradescantia Tortuga 50/50 Petite Portrait FUL</t>
  </si>
  <si>
    <t>0611839859100</t>
  </si>
  <si>
    <t>TAG Tradescantia Variegata 100/100 Pixie Tag</t>
  </si>
  <si>
    <t>0611884489100</t>
  </si>
  <si>
    <t>TAG Tradescantia Zebra Generic 100/100 Pixie Tag</t>
  </si>
  <si>
    <t>0611884490100</t>
  </si>
  <si>
    <t>TAG Tradescantia Zebra Type Generic 100/100 Pixie Tag</t>
  </si>
  <si>
    <t>0611663279050</t>
  </si>
  <si>
    <t>TAG Tray Handles 50/50 Handle</t>
  </si>
  <si>
    <t>0611839862025</t>
  </si>
  <si>
    <t>TAG Tricyrtis Toad Lily GENERIC 25/25 Portrait Tag</t>
  </si>
  <si>
    <t>0611839865100</t>
  </si>
  <si>
    <t>TAG Trillium Grandiflorum 100/100 Pixie Tag</t>
  </si>
  <si>
    <t>0611839866025</t>
  </si>
  <si>
    <t>TAG Trollius Golden Queen Chinensis 25/25 Portrait Tag</t>
  </si>
  <si>
    <t>0611839882100</t>
  </si>
  <si>
    <t>TAG Tropic Foliage Plants GENERIC 100/100 Hang Tag</t>
  </si>
  <si>
    <t>0611839883100</t>
  </si>
  <si>
    <t>TAG Tropic Foliage Plants GENERIC 100/100 Pixie Tag</t>
  </si>
  <si>
    <t>0611839884100</t>
  </si>
  <si>
    <t>TAG Tulip Bicolor 100/100 Pixie Tag</t>
  </si>
  <si>
    <t>0611839892100</t>
  </si>
  <si>
    <t>TAG Tulip GENERIC 100/100 Pixie Tag</t>
  </si>
  <si>
    <t>0611839885100</t>
  </si>
  <si>
    <t>TAG Tulip Lavender 100/100 Pixie Tag</t>
  </si>
  <si>
    <t>0611839886100</t>
  </si>
  <si>
    <t>TAG Tulip Orange 100/100 Pixie Tag</t>
  </si>
  <si>
    <t>0611839887100</t>
  </si>
  <si>
    <t>TAG Tulip Pink 100/100 Pixie Tag</t>
  </si>
  <si>
    <t>0611839888100</t>
  </si>
  <si>
    <t>TAG Tulip Purple 100/100 Pixie Tag</t>
  </si>
  <si>
    <t>0611839889100</t>
  </si>
  <si>
    <t>TAG Tulip Red 100/100 Pixie Tag</t>
  </si>
  <si>
    <t>0611839890100</t>
  </si>
  <si>
    <t>TAG Tulip Red And White 100/100 Pixie Tag</t>
  </si>
  <si>
    <t>0611839891100</t>
  </si>
  <si>
    <t>TAG Tulip Red And Yellow 100/100 Pixie Tag</t>
  </si>
  <si>
    <t>0611839893100</t>
  </si>
  <si>
    <t>TAG Tulip White 100/100 Pixie Tag</t>
  </si>
  <si>
    <t>0611839894100</t>
  </si>
  <si>
    <t>TAG Tulip White And Pink 100/100 Pixie Tag</t>
  </si>
  <si>
    <t>0611839895100</t>
  </si>
  <si>
    <t>TAG Tulip Yellow 100/100 Pixie Tag</t>
  </si>
  <si>
    <t>0611839896100</t>
  </si>
  <si>
    <t>TAG Turnera Ulmifolia 100/100 Pixie Tag</t>
  </si>
  <si>
    <t>0611884491025</t>
  </si>
  <si>
    <t>TAG Valerian 25/25 Portrait Tag</t>
  </si>
  <si>
    <t>0611839899100</t>
  </si>
  <si>
    <t>TAG Verbascum Phoeniceum GENERIC 100/100 Pixie Tag</t>
  </si>
  <si>
    <t>0611839900025</t>
  </si>
  <si>
    <t>TAG Verbascum Southern Charm Mix 25/25 Portrait Tag</t>
  </si>
  <si>
    <t>0611839901100</t>
  </si>
  <si>
    <t>TAG Verbena Bonariensis 100/100 Pixie Tag</t>
  </si>
  <si>
    <t>0611839902025</t>
  </si>
  <si>
    <t>TAG Verbena Bonariensis 25/25 Portrait Tag</t>
  </si>
  <si>
    <t>0611839903100</t>
  </si>
  <si>
    <t>TAG Verbena Buenos Aires 100/100 Pixie Tag</t>
  </si>
  <si>
    <t>0611839904100</t>
  </si>
  <si>
    <t>TAG Verbena Cascade Purple Shades With Eye 100/100 Pixie Tag</t>
  </si>
  <si>
    <t>0611839905100</t>
  </si>
  <si>
    <t>TAG Verbena Cascade Twister Burgundy 100/100 Pixie Tag</t>
  </si>
  <si>
    <t>0611839906100</t>
  </si>
  <si>
    <t>TAG Verbena Cascade Twister Violet 100/100 Pixie Tag</t>
  </si>
  <si>
    <t>0611839910100</t>
  </si>
  <si>
    <t>TAG Verbena Compact GENERIC 100/100 Pixie Tag</t>
  </si>
  <si>
    <t>0611839907100</t>
  </si>
  <si>
    <t>TAG Verbena Compact Peach Apricot Shades 100/100 Pixie Tag</t>
  </si>
  <si>
    <t>0611839908100</t>
  </si>
  <si>
    <t>TAG Verbena Compact Purple Blue Shades GENERIC 100/100 Pixie Tag</t>
  </si>
  <si>
    <t>0611864114050</t>
  </si>
  <si>
    <t>TAG Verbena Empress Burgundy Charme 50/50 Petite Portrait DO FUL</t>
  </si>
  <si>
    <t>0611864115050</t>
  </si>
  <si>
    <t>TAG Verbena Empress Dark Red 50/50 Petite Portrait DO FUL</t>
  </si>
  <si>
    <t>0611864116050</t>
  </si>
  <si>
    <t>TAG Verbena Empress Flair Amethyst Chrame 50/50 Petite Portrait DO FUL</t>
  </si>
  <si>
    <t>0611864117050</t>
  </si>
  <si>
    <t>TAG Verbena Empress Flair Blua Charme 50/50 Petite Portrait DO FUL</t>
  </si>
  <si>
    <t>0611864119050</t>
  </si>
  <si>
    <t>TAG Verbena Empress Flair Burgundy 50/50 Petite Portrait DO FUL</t>
  </si>
  <si>
    <t>0611864118050</t>
  </si>
  <si>
    <t>TAG Verbena Empress Flair Burgundy Star 50/50 Petite Portrait DO FUL</t>
  </si>
  <si>
    <t>0611864120050</t>
  </si>
  <si>
    <t>TAG Verbena Empress Flair Cherry 50/50 Petite Portrait DO FUL</t>
  </si>
  <si>
    <t>0611864121050</t>
  </si>
  <si>
    <t>TAG Verbena Empress Flair Cherry Charme 50/50 Petite Portrait DO FUL</t>
  </si>
  <si>
    <t>0611864122050</t>
  </si>
  <si>
    <t>TAG Verbena Empress Flair Coral Reef 50/50 Petite Portrait DO FUL</t>
  </si>
  <si>
    <t>0611864123050</t>
  </si>
  <si>
    <t>TAG Verbena Empress Flair Dark Red Charme 50/50 Petite Portrait DO FUL</t>
  </si>
  <si>
    <t>0611864124050</t>
  </si>
  <si>
    <t>TAG Verbena Empress Flair Heavenly Blue 50/50 Petite Portrait DO FUL</t>
  </si>
  <si>
    <t>0611864125050</t>
  </si>
  <si>
    <t>TAG Verbena Empress Flair Lavender Blue 50/50 Petite Portrait DO FUL</t>
  </si>
  <si>
    <t>0611864126050</t>
  </si>
  <si>
    <t>TAG Verbena Empress Flair Neon 50/50 Petite Portrait DO FUL</t>
  </si>
  <si>
    <t>0611864127050</t>
  </si>
  <si>
    <t>TAG Verbena Empress Flair Peach 50/50 Petite Portrait DO FUL</t>
  </si>
  <si>
    <t>0611864128050</t>
  </si>
  <si>
    <t>TAG Verbena Empress Flair Pink Charme 50/50 Petite Portrait DO FUL</t>
  </si>
  <si>
    <t>0611864129050</t>
  </si>
  <si>
    <t>TAG Verbena Empress Flair Purple Sky 50/50 Petite Portrait DO FUL</t>
  </si>
  <si>
    <t>0611864130050</t>
  </si>
  <si>
    <t>TAG Verbena Empress Flair Red 50/50 Petite Portrait DO FUL</t>
  </si>
  <si>
    <t>0611864131050</t>
  </si>
  <si>
    <t>TAG Verbena Empress Flair Violet Blue 50/50 Petite Portrait DO FUL</t>
  </si>
  <si>
    <t>0611864132050</t>
  </si>
  <si>
    <t>TAG Verbena Empress Flair White 50/50 Petite Portrait DO FUL</t>
  </si>
  <si>
    <t>0611864133050</t>
  </si>
  <si>
    <t>TAG Verbena Empress Hot Pink Charme 50/50 Petite Portrait DO FUL</t>
  </si>
  <si>
    <t>0611864134050</t>
  </si>
  <si>
    <t>TAG Verbena Empress Imperial Blue 50/50 Petite Portrait DO FUL</t>
  </si>
  <si>
    <t>0611864135050</t>
  </si>
  <si>
    <t>TAG Verbena Empress Lavender 50/50 Petite Portrait DO FUL</t>
  </si>
  <si>
    <t>0611864136050</t>
  </si>
  <si>
    <t>TAG Verbena Empress Lavender Blue 50/50 Petite Portrait DO FUL</t>
  </si>
  <si>
    <t>0611864137050</t>
  </si>
  <si>
    <t>TAG Verbena Empress Peach 50/50 Petite Portrait DO FUL</t>
  </si>
  <si>
    <t>0611864138050</t>
  </si>
  <si>
    <t>TAG Verbena Empress Purple Improved 50/50 Petite Portrait DO FUL</t>
  </si>
  <si>
    <t>0611864139050</t>
  </si>
  <si>
    <t>TAG Verbena Empress Red 50/50 Petite Portrait DO FUL</t>
  </si>
  <si>
    <t>0611864140050</t>
  </si>
  <si>
    <t>TAG Verbena Empress Soft Pink Charme 50/50 Petite Portrait DO FUL</t>
  </si>
  <si>
    <t>0611864141050</t>
  </si>
  <si>
    <t>TAG Verbena Empress Strawberry Charme 50/50 Petite Portrait DO FUL</t>
  </si>
  <si>
    <t>0611864142050</t>
  </si>
  <si>
    <t>TAG Verbena Empress Sun Cherry 50/50 Petite Portrait DO FUL</t>
  </si>
  <si>
    <t>0611864145050</t>
  </si>
  <si>
    <t>TAG Verbena Empress Sun Compact Red 50/50 Petite Portrait DO FUL</t>
  </si>
  <si>
    <t>0611864143050</t>
  </si>
  <si>
    <t>TAG Verbena Empress Sun Compact Violet 50/50 Petite Portrait DO FUL</t>
  </si>
  <si>
    <t>0611864144050</t>
  </si>
  <si>
    <t>TAG Verbena Empress Sun Compact White 50/50 Petite Portrait DO FUL</t>
  </si>
  <si>
    <t>0611864146050</t>
  </si>
  <si>
    <t>TAG Verbena Empress Sun Dark Blue 50/50 Petite Portrait DO FUL</t>
  </si>
  <si>
    <t>0611864147050</t>
  </si>
  <si>
    <t>TAG Verbena Empress Sun Hot Pink 50/50 Petite Portrait DO FUL</t>
  </si>
  <si>
    <t>0611864148050</t>
  </si>
  <si>
    <t>TAG Verbena Empress Sun Lavender Charme 50/50 Petite Portrait DO FUL</t>
  </si>
  <si>
    <t>0611864149050</t>
  </si>
  <si>
    <t>TAG Verbena Empress Sun Pink 50/50 Petite Portrait DO FUL</t>
  </si>
  <si>
    <t>0611864150050</t>
  </si>
  <si>
    <t>TAG Verbena Empress Sun Red 50/50 Petite Portrait DO FUL</t>
  </si>
  <si>
    <t>0611864151050</t>
  </si>
  <si>
    <t>TAG Verbena Empress Sun Violet 50/50 Petite Portrait DO FUL</t>
  </si>
  <si>
    <t>0611864152050</t>
  </si>
  <si>
    <t>TAG Verbena Empress Sun White 50/50 Petite Portrait DO FUL</t>
  </si>
  <si>
    <t>0611864153050</t>
  </si>
  <si>
    <t>TAG Verbena Empress Sun White Blush 50/50 Petite Portrait DO FUL</t>
  </si>
  <si>
    <t>0611864154050</t>
  </si>
  <si>
    <t>TAG Verbena Empress Violet Blue 50/50 Petite Portrait DO FUL</t>
  </si>
  <si>
    <t>0611864155050</t>
  </si>
  <si>
    <t>TAG Verbena Empress White 09 50/50 Petite Portrait DO FUL</t>
  </si>
  <si>
    <t>0611864156050</t>
  </si>
  <si>
    <t>TAG Verbena Estrella Blueberry 50/50 Petite Portrait FUL</t>
  </si>
  <si>
    <t>0611864157050</t>
  </si>
  <si>
    <t>TAG Verbena Estrella Dark Orange 50/50 Petite Portrait FUL</t>
  </si>
  <si>
    <t>0611839913100</t>
  </si>
  <si>
    <t>TAG Verbena Estrella Dark Purple 100/100 Pixie Tag</t>
  </si>
  <si>
    <t>0611864158050</t>
  </si>
  <si>
    <t>TAG Verbena Estrella Dark Purple 50/50 Petite Portrait FUL</t>
  </si>
  <si>
    <t>0611864159050</t>
  </si>
  <si>
    <t>TAG Verbena Estrella Hot Pink 50/50 Petite Portrait FUL</t>
  </si>
  <si>
    <t>0611864160050</t>
  </si>
  <si>
    <t>TAG Verbena Estrella Lobsterfest 50/50 Petite Portrait FUL</t>
  </si>
  <si>
    <t>0611864161050</t>
  </si>
  <si>
    <t>TAG Verbena Estrella Magenta 50/50 Petite Portrait FUL</t>
  </si>
  <si>
    <t>0611864162050</t>
  </si>
  <si>
    <t>TAG Verbena Estrella Peach 50/50 Petite Portrait FUL</t>
  </si>
  <si>
    <t>0611864163050</t>
  </si>
  <si>
    <t>TAG Verbena Estrella Red 50/50 Petite Portrait FUL</t>
  </si>
  <si>
    <t>0611839914100</t>
  </si>
  <si>
    <t>TAG Verbena Estrella Series 100/100 Pixie Tag</t>
  </si>
  <si>
    <t>0611864164050</t>
  </si>
  <si>
    <t>TAG Verbena Estrella Upright Vampr Red 50/50 Petite Portrait FUL</t>
  </si>
  <si>
    <t>0611864165050</t>
  </si>
  <si>
    <t>TAG Verbena Estrella Voodoo Lavender Star 50/50 Petite Portrait FUL</t>
  </si>
  <si>
    <t>0611864166050</t>
  </si>
  <si>
    <t>TAG Verbena Estrella Voodoo Merlot Star 50/50 Petite Portrait FUL</t>
  </si>
  <si>
    <t>0611864167050</t>
  </si>
  <si>
    <t>TAG Verbena Estrella Voodoo Pink Star 50/50 Petite Portrait FUL</t>
  </si>
  <si>
    <t>0611864168050</t>
  </si>
  <si>
    <t>TAG Verbena Estrella Voodoo Red Star 50/50 Petite Portrait FUL</t>
  </si>
  <si>
    <t>0611864169050</t>
  </si>
  <si>
    <t>TAG Verbena Estrella White 50/50 Petite Portrait FUL</t>
  </si>
  <si>
    <t>0611840019100</t>
  </si>
  <si>
    <t>TAG Verbena GENERIC 100/100 Hang Tag</t>
  </si>
  <si>
    <t>0611840020025</t>
  </si>
  <si>
    <t>TAG Verbena GENERIC 25/25 Portrait Tag</t>
  </si>
  <si>
    <t>0611839916100</t>
  </si>
  <si>
    <t>TAG Verbena GENERIC Bilingual 100/100 Pixie Tag</t>
  </si>
  <si>
    <t>0611839917025</t>
  </si>
  <si>
    <t>TAG Verbena Homestead Hot Pink 25/25 Portrait Tag</t>
  </si>
  <si>
    <t>0611864172100</t>
  </si>
  <si>
    <t>TAG Verbena Homestead Purple 100/100 Pixie Tag FUL</t>
  </si>
  <si>
    <t>0611839918025</t>
  </si>
  <si>
    <t>TAG Verbena Homestead Purple 25/25 Portrait Tag</t>
  </si>
  <si>
    <t>0611864170050</t>
  </si>
  <si>
    <t>TAG Verbena Homestead Purple 50/50 Petite Portrait FUL</t>
  </si>
  <si>
    <t>0611839920100</t>
  </si>
  <si>
    <t>TAG Verbena Homestead Red 100/100 Pixie Tag</t>
  </si>
  <si>
    <t>0611839921100</t>
  </si>
  <si>
    <t>TAG Verbena Hurricane Blue 100/100 Pixie Tag</t>
  </si>
  <si>
    <t>0611839922100</t>
  </si>
  <si>
    <t>TAG Verbena Hurricane Fuchsia 100/100 Pixie Tag</t>
  </si>
  <si>
    <t>0611864173050</t>
  </si>
  <si>
    <t>TAG Verbena Hybrid Magelena Peach 50/50 Petite Portrait FUL</t>
  </si>
  <si>
    <t>0611839929100</t>
  </si>
  <si>
    <t>TAG Verbena Imagination 100/100 Pixie Tag</t>
  </si>
  <si>
    <t>0611864174050</t>
  </si>
  <si>
    <t>TAG Verbena Lanai Blue 50/50 Petite Portrait SF FUL</t>
  </si>
  <si>
    <t>0611864175050</t>
  </si>
  <si>
    <t>TAG Verbena Lanai Blue Denim 50/50 Petite Portrait SF FUL</t>
  </si>
  <si>
    <t>0611864176050</t>
  </si>
  <si>
    <t>TAG Verbena Lanai Blue Eyes 50/50 Petite Portrait SF FUL</t>
  </si>
  <si>
    <t>0611864177050</t>
  </si>
  <si>
    <t>TAG Verbena Lanai Bright Eye 50/50 Petite Portrait SF FUL</t>
  </si>
  <si>
    <t>0611864178050</t>
  </si>
  <si>
    <t>TAG Verbena Lanai Candy Cane 50/50 Petite Portrait SF FUL</t>
  </si>
  <si>
    <t>0611864179050</t>
  </si>
  <si>
    <t>TAG Verbena Lanai Compact Candy Pink 50/50 Petite Portrait SF FUL</t>
  </si>
  <si>
    <t>0611864180050</t>
  </si>
  <si>
    <t>TAG Verbena Lanai Compact Lime Green 23 50/50 Petite Portrait SF FUL</t>
  </si>
  <si>
    <t>0611864181050</t>
  </si>
  <si>
    <t>TAG Verbena Lanai Compact Red 50/50 Petite Portrait SF FUL</t>
  </si>
  <si>
    <t>0611864182050</t>
  </si>
  <si>
    <t>TAG Verbena Lanai Compact Red Star 50/50 Petite Portrait SF FUL</t>
  </si>
  <si>
    <t>0611864183050</t>
  </si>
  <si>
    <t>TAG Verbena Lanai Compact Scarlet 50/50 Petite Portrait SF FUL</t>
  </si>
  <si>
    <t>0611864184050</t>
  </si>
  <si>
    <t>TAG Verbena Lanai Compact Twister Purple 50/50 Petite Portrait SF FUL</t>
  </si>
  <si>
    <t>0611864185050</t>
  </si>
  <si>
    <t>TAG Verbena Lanai Compact Velvet Eye 50/50 Petite Tag SF</t>
  </si>
  <si>
    <t>0611864186050</t>
  </si>
  <si>
    <t>TAG Verbena Lanai Compact Violet With Eye 50/50 Petite Portrait SF FUL</t>
  </si>
  <si>
    <t>0611864187050</t>
  </si>
  <si>
    <t>TAG Verbena Lanai Compact White 50/50 Petite Portrait SF FUL</t>
  </si>
  <si>
    <t>0611864188050</t>
  </si>
  <si>
    <t>TAG Verbena Lanai Cyclops Purple 50/50 Petite Portrait SF FUL</t>
  </si>
  <si>
    <t>0611864189050</t>
  </si>
  <si>
    <t>TAG Verbena Lanai Deep Pink 50/50 Petite Portrait SF FUL</t>
  </si>
  <si>
    <t>0611864190050</t>
  </si>
  <si>
    <t>TAG Verbena Lanai Deep Purple 50/50 Petite Portrait SF FUL</t>
  </si>
  <si>
    <t>0611864191050</t>
  </si>
  <si>
    <t>TAG Verbena Lanai Early Dark Red 50/50 Petite Portrait SF FUL</t>
  </si>
  <si>
    <t>0611864192050</t>
  </si>
  <si>
    <t>TAG Verbena Lanai Green Apple 50/50 Petite Portrait SF FUL</t>
  </si>
  <si>
    <t>0611864193050</t>
  </si>
  <si>
    <t>TAG Verbena Lanai Lavender Star 50/50 Petite Portrait SF FUL</t>
  </si>
  <si>
    <t>0611864194050</t>
  </si>
  <si>
    <t>TAG Verbena Lanai Lilac 50/50 Petite Portrait SF FUL</t>
  </si>
  <si>
    <t>0611864195050</t>
  </si>
  <si>
    <t>TAG Verbena Lanai Magenta 50/50 Petite Portrait SF FUL</t>
  </si>
  <si>
    <t>0611864196050</t>
  </si>
  <si>
    <t>TAG Verbena Lanai Neon Rose 50/50 Petite Portrait SF FUL</t>
  </si>
  <si>
    <t>0611864197050</t>
  </si>
  <si>
    <t>TAG Verbena Lanai Peach 50/50 Petite Portrait SF FUL</t>
  </si>
  <si>
    <t>0611864198050</t>
  </si>
  <si>
    <t>TAG Verbena Lanai Pink 50/50 Petite Portrait SF FUL</t>
  </si>
  <si>
    <t>0611864199050</t>
  </si>
  <si>
    <t>TAG Verbena Lanai Premium Vintage 50/50 Petite Portrait SF FUL</t>
  </si>
  <si>
    <t>0611864200050</t>
  </si>
  <si>
    <t>TAG Verbena Lanai Purple 50/50 Petite Portrait SF FUL</t>
  </si>
  <si>
    <t>0611864201050</t>
  </si>
  <si>
    <t>TAG Verbena Lanai Purple Star 50/50 Petite Portrait SF FUL</t>
  </si>
  <si>
    <t>0611864202050</t>
  </si>
  <si>
    <t>TAG Verbena Lanai Red 50/50 Petite Portrait SF FUL</t>
  </si>
  <si>
    <t>0611864203050</t>
  </si>
  <si>
    <t>TAG Verbena Lanai Red Star 50/50 Petite Portrait SF FUL</t>
  </si>
  <si>
    <t>0611864204050</t>
  </si>
  <si>
    <t>TAG Verbena Lanai Royal Purple With Eye 50/50 Petite Portrait SF FUL</t>
  </si>
  <si>
    <t>0611864205050</t>
  </si>
  <si>
    <t>TAG Verbena Lanai Scarlet 50/50 Petite Portrait SF FUL</t>
  </si>
  <si>
    <t>0611864206050</t>
  </si>
  <si>
    <t>TAG Verbena Lanai Scarlet With Eye 50/50 Petite Portrait SF FUL</t>
  </si>
  <si>
    <t>0611864207050</t>
  </si>
  <si>
    <t>TAG Verbena Lanai Sky Blue 23 50/50 Petite Portrait SF FUL</t>
  </si>
  <si>
    <t>0611864208050</t>
  </si>
  <si>
    <t>TAG Verbena Lanai Strawberry 50/50 Petite Portrait SF FUL</t>
  </si>
  <si>
    <t>0611864209050</t>
  </si>
  <si>
    <t>TAG Verbena Lanai Strawberry Limited Availability 50/50 Petite Portrait SF FUL</t>
  </si>
  <si>
    <t>0611864210050</t>
  </si>
  <si>
    <t>TAG Verbena Lanai Twister Amethyst 50/50 Petite Portrait SF FUL</t>
  </si>
  <si>
    <t>0611864211050</t>
  </si>
  <si>
    <t>TAG Verbena Lanai Twister Burgundy 50/50 Petite Portrait SF FUL</t>
  </si>
  <si>
    <t>0611864212050</t>
  </si>
  <si>
    <t>TAG Verbena Lanai Twister Hot Lips 50/50 Petite Portrait SF FUL</t>
  </si>
  <si>
    <t>0611864213050</t>
  </si>
  <si>
    <t>TAG Verbena Lanai Twister Pink 50/50 Petite Portrait SF FUL</t>
  </si>
  <si>
    <t>0611864214050</t>
  </si>
  <si>
    <t>TAG Verbena Lanai Twister Purple 50/50 Petite Portrait SF FUL</t>
  </si>
  <si>
    <t>0611864215050</t>
  </si>
  <si>
    <t>TAG Verbena Lanai Twister Red 50/50 Petite Portrait SF FUL</t>
  </si>
  <si>
    <t>0611864216050</t>
  </si>
  <si>
    <t>TAG Verbena Lanai Twister Str Purple 23 50/50 Petite Portrait SF FUL</t>
  </si>
  <si>
    <t>0611864217050</t>
  </si>
  <si>
    <t>TAG Verbena Lanai Upright Blue With Eye 50/50 Petite Portrait SF FUL</t>
  </si>
  <si>
    <t>0611864218050</t>
  </si>
  <si>
    <t>TAG Verbena Lanai Upright Limoncello 50/50 Petite Portrait SF FUL</t>
  </si>
  <si>
    <t>0611864219050</t>
  </si>
  <si>
    <t>TAG Verbena Lanai Upright Merlot With Eye 50/50 Petite Portrait SF FUL</t>
  </si>
  <si>
    <t>0611864220050</t>
  </si>
  <si>
    <t>TAG Verbena Lanai Upright Peach 50/50 Petite Portrait SF FUL</t>
  </si>
  <si>
    <t>0611864221050</t>
  </si>
  <si>
    <t>TAG Verbena Lanai Upright Pink With Eye 50/50 Petite Portrait SF FUL</t>
  </si>
  <si>
    <t>0611864224050</t>
  </si>
  <si>
    <t>TAG Verbena Lanai Upright Purple 23 50/50 Petite Portrait SF FUL</t>
  </si>
  <si>
    <t>0611864222050</t>
  </si>
  <si>
    <t>TAG Verbena Lanai Upright Purple Mosaic 50/50 Petite Portrait SF FUL</t>
  </si>
  <si>
    <t>0611864223050</t>
  </si>
  <si>
    <t>TAG Verbena Lanai Upright Purple Velvet 23 50/50 Petite Portrait SF FUL</t>
  </si>
  <si>
    <t>0611864225050</t>
  </si>
  <si>
    <t>TAG Verbena Lanai Upright Purple With Eye 50/50 Petite Portrait SF FUL</t>
  </si>
  <si>
    <t>0611864226050</t>
  </si>
  <si>
    <t>TAG Verbena Lanai Upright Red With Eye 50/50 Petite Portrait SF FUL</t>
  </si>
  <si>
    <t>0611864227050</t>
  </si>
  <si>
    <t>TAG Verbena Lanai Upright Rose With Eye 50/50 Petite Portrait SF FUL</t>
  </si>
  <si>
    <t>0611864228050</t>
  </si>
  <si>
    <t>TAG Verbena Lanai Upright Scarlet 50/50 Petite Portrait SF FUL</t>
  </si>
  <si>
    <t>0611864229050</t>
  </si>
  <si>
    <t>TAG Verbena Lanai Upright Sky Blue 50/50 Petite Portrait SF FUL</t>
  </si>
  <si>
    <t>0611864230050</t>
  </si>
  <si>
    <t>TAG Verbena Lanai Upright True Blue 50/50 Petite Portrait SF FUL</t>
  </si>
  <si>
    <t>0611864231050</t>
  </si>
  <si>
    <t>TAG Verbena Lanai Upright Twister Purple 50/50 Petite Portrait SF FUL</t>
  </si>
  <si>
    <t>0611864232050</t>
  </si>
  <si>
    <t>TAG Verbena Lanai Upright Twister Red 20 50/50 Petite Tag SF</t>
  </si>
  <si>
    <t>0611864233050</t>
  </si>
  <si>
    <t>TAG Verbena Lanai Upright Twister Rose 23 50/50 Petite Portrait SF FUL</t>
  </si>
  <si>
    <t>0611864234050</t>
  </si>
  <si>
    <t>TAG Verbena Lanai Upright Twister Watercolor 50/50 Petite Portrait SF FUL</t>
  </si>
  <si>
    <t>0611864235050</t>
  </si>
  <si>
    <t>TAG Verbena Lanai Upright White 50/50 Petite Portrait SF FUL</t>
  </si>
  <si>
    <t>0611864236050</t>
  </si>
  <si>
    <t>TAG Verbena Lanai Vintage 23 50/50 Petite Portrait SF FUL</t>
  </si>
  <si>
    <t>0611864237050</t>
  </si>
  <si>
    <t>TAG Verbena Lanai White 50/50 Petite Portrait SF FUL</t>
  </si>
  <si>
    <t>0611830672100</t>
  </si>
  <si>
    <t>TAG Verbena Lemon 100/100 Pixie Tag</t>
  </si>
  <si>
    <t>0611830673025</t>
  </si>
  <si>
    <t>TAG Verbena Lemon 25/25 Portrait Tag</t>
  </si>
  <si>
    <t>0611864238050</t>
  </si>
  <si>
    <t>TAG Verbena Lindolena Lavender 50/50 Petite Portrait FUL</t>
  </si>
  <si>
    <t>0611864239050</t>
  </si>
  <si>
    <t>TAG Verbena Lindolena Red 50/50 Petite Portrait FUL</t>
  </si>
  <si>
    <t>0611864240050</t>
  </si>
  <si>
    <t>TAG Verbena Lindolena White 50/50 Petite Portrait FUL</t>
  </si>
  <si>
    <t>0611864241050</t>
  </si>
  <si>
    <t>TAG Verbena Little One 50/50 Petite Portrait FUL</t>
  </si>
  <si>
    <t>0611864242050</t>
  </si>
  <si>
    <t>TAG Verbena Magelana Hot Rose 50/50 Petite Portrait SF FUL</t>
  </si>
  <si>
    <t>0611864243050</t>
  </si>
  <si>
    <t>TAG Verbena Magelana Lilac 50/50 Petite Portrait SF FUL</t>
  </si>
  <si>
    <t>0611864244050</t>
  </si>
  <si>
    <t>TAG Verbena Magelana Lipstick 50/50 Petite Portrait SF FUL</t>
  </si>
  <si>
    <t>0611864245050</t>
  </si>
  <si>
    <t>TAG Verbena Magelana Plum Frost 50/50 Petite Portrait SF FUL</t>
  </si>
  <si>
    <t>0611864246050</t>
  </si>
  <si>
    <t>TAG Verbena Magelana Violet 50/50 Petite Portrait SF FUL</t>
  </si>
  <si>
    <t>0611864247100</t>
  </si>
  <si>
    <t>TAG Verbena Merlot Mix 100/100 Pixie Tag</t>
  </si>
  <si>
    <t>0611839930100</t>
  </si>
  <si>
    <t>TAG Verbena Obsession Apricot 100/100 Pixie Tag SF</t>
  </si>
  <si>
    <t>0611839931100</t>
  </si>
  <si>
    <t>TAG Verbena Obsession Berry Tart Mix 100/100 Pixie Tag SF</t>
  </si>
  <si>
    <t>0611839932100</t>
  </si>
  <si>
    <t>TAG Verbena Obsession Blue With Eye 100/100 Pixie Tag SF</t>
  </si>
  <si>
    <t>0611839933100</t>
  </si>
  <si>
    <t>TAG Verbena Obsession Bordeaux 100/100 Pixie Tag SF</t>
  </si>
  <si>
    <t>0611839934100</t>
  </si>
  <si>
    <t>TAG Verbena Obsession Burgundy With Eye 100/100 Pixie Tag SF</t>
  </si>
  <si>
    <t>0611839935100</t>
  </si>
  <si>
    <t>TAG Verbena Obsession Casc Burg With Eye 100/100 Pixie Tag SF</t>
  </si>
  <si>
    <t>0611839936100</t>
  </si>
  <si>
    <t>TAG Verbena Obsession Casc Pink Shades 100/100 Pixie Tag SF</t>
  </si>
  <si>
    <t>0611839937100</t>
  </si>
  <si>
    <t>TAG Verbena Obsession Casc Red With Eye 100/100 Pixie Tag SF</t>
  </si>
  <si>
    <t>0611839938100</t>
  </si>
  <si>
    <t>TAG Verbena Obsession Cascade Scarlet 100/100 Pixie Tag SF</t>
  </si>
  <si>
    <t>0611839939100</t>
  </si>
  <si>
    <t>TAG Verbena Obsession Cascade White 100/100 Pixie Tag SF</t>
  </si>
  <si>
    <t>0611839940100</t>
  </si>
  <si>
    <t>TAG Verbena Obsession Coral With Eye 100/100 Pixie Tag SF</t>
  </si>
  <si>
    <t>0611839941100</t>
  </si>
  <si>
    <t>TAG Verbena Obsession Crimson With Eye 100/100 Pixie Tag SF</t>
  </si>
  <si>
    <t>0611839943100</t>
  </si>
  <si>
    <t>TAG Verbena Obsession Eyed Mix 100/100 Pixie Tag SF</t>
  </si>
  <si>
    <t>0611839944100</t>
  </si>
  <si>
    <t>TAG Verbena Obsession Formula Mix 100/100 Pixie Tag SF</t>
  </si>
  <si>
    <t>0611839945100</t>
  </si>
  <si>
    <t>TAG Verbena Obsession Lavender 100/100 Pixie Tag SF</t>
  </si>
  <si>
    <t>0611839946100</t>
  </si>
  <si>
    <t>TAG Verbena Obsession Light Blue With Eye 100/100 Pixie Tag SF</t>
  </si>
  <si>
    <t>0611839947100</t>
  </si>
  <si>
    <t>TAG Verbena Obsession Lilac 100/100 Pixie Tag SF</t>
  </si>
  <si>
    <t>0611839948100</t>
  </si>
  <si>
    <t>TAG Verbena Obsession Mix 100/100 Pixie Tag SF</t>
  </si>
  <si>
    <t>0611839949100</t>
  </si>
  <si>
    <t>TAG Verbena Obsession Pastel Mix 100/100 Pixie Tag SF</t>
  </si>
  <si>
    <t>0611839950100</t>
  </si>
  <si>
    <t>TAG Verbena Obsession Pink 100/100 Pixie Tag SF</t>
  </si>
  <si>
    <t>0611839952100</t>
  </si>
  <si>
    <t>TAG Verbena Obsession Purple 100/100 Pixie Tag SF</t>
  </si>
  <si>
    <t>0611884492100</t>
  </si>
  <si>
    <t>TAG Verbena Obsession Purple Shades With Eye 100/100 Pixie Tag SF</t>
  </si>
  <si>
    <t>0611839953100</t>
  </si>
  <si>
    <t>TAG Verbena Obsession Red 100/100 Pixie Tag SF</t>
  </si>
  <si>
    <t>0611839954100</t>
  </si>
  <si>
    <t>TAG Verbena Obsession Red With Eye 100/100 Pixie Tag SF</t>
  </si>
  <si>
    <t>0611839955100</t>
  </si>
  <si>
    <t>TAG Verbena Obsession Scarlet 100/100 Pixie Tag SF</t>
  </si>
  <si>
    <t>0611839956100</t>
  </si>
  <si>
    <t>TAG Verbena Obsession Spirit Mix 100/100 Pixie Tag SF</t>
  </si>
  <si>
    <t>0611839957100</t>
  </si>
  <si>
    <t>TAG Verbena Obsession Twister Purple 100/100 Pixie Tag SF</t>
  </si>
  <si>
    <t>0611839958100</t>
  </si>
  <si>
    <t>TAG Verbena Obsession Twister Red 100/100 Pixie Tag SF</t>
  </si>
  <si>
    <t>0611839959100</t>
  </si>
  <si>
    <t>TAG Verbena Obsession White 100/100 Pixie Tag SF</t>
  </si>
  <si>
    <t>0611839960100</t>
  </si>
  <si>
    <t>TAG Verbena Peaches And Cream 100/100 Pixie Tag</t>
  </si>
  <si>
    <t>0611839961100</t>
  </si>
  <si>
    <t>TAG Verbena Pink GENERIC 100/100 Pixie Tag</t>
  </si>
  <si>
    <t>0611857165100</t>
  </si>
  <si>
    <t>TAG Verbena Polaris 100/100 Pixie Tag</t>
  </si>
  <si>
    <t>0611839962100</t>
  </si>
  <si>
    <t>TAG Verbena Purple GENERIC 100/100 Pixie Tag</t>
  </si>
  <si>
    <t>0611839963100</t>
  </si>
  <si>
    <t>TAG Verbena Quartz Blue 100/100 Pixie Tag</t>
  </si>
  <si>
    <t>0611839967100</t>
  </si>
  <si>
    <t>TAG Verbena Quartz Merlot Mix 100/100 Pixie Tag</t>
  </si>
  <si>
    <t>0611839964100</t>
  </si>
  <si>
    <t>TAG Verbena Quartz XP Bordeaux 100/100 Pixie Tag</t>
  </si>
  <si>
    <t>0611839966100</t>
  </si>
  <si>
    <t>TAG Verbena Quartz XP Burgundy 100/100 Pixie Tag</t>
  </si>
  <si>
    <t>0611839965100</t>
  </si>
  <si>
    <t>TAG Verbena Quartz XP Burgundy Eye 100/100 Pixie Tag</t>
  </si>
  <si>
    <t>0611839968100</t>
  </si>
  <si>
    <t>TAG Verbena Quartz XP Mix 100/100 Pixie Tag</t>
  </si>
  <si>
    <t>0611839970100</t>
  </si>
  <si>
    <t>TAG Verbena Quartz XP Pink 100/100 Pixie Tag</t>
  </si>
  <si>
    <t>0611839971100</t>
  </si>
  <si>
    <t>TAG Verbena Quartz XP Purple 100/100 Pixie Tag</t>
  </si>
  <si>
    <t>0611839972100</t>
  </si>
  <si>
    <t>TAG Verbena Quartz XP Red Eye 100/100 Pixie Tag</t>
  </si>
  <si>
    <t>0611839974100</t>
  </si>
  <si>
    <t>TAG Verbena Quartz XP Scarlet 100/100 Pixie Tag</t>
  </si>
  <si>
    <t>0611839975100</t>
  </si>
  <si>
    <t>TAG Verbena Quartz XP Silver 100/100 Pixie Tag</t>
  </si>
  <si>
    <t>0611839976100</t>
  </si>
  <si>
    <t>TAG Verbena Quartz XP Violet Eye 100/100 Pixie Tag</t>
  </si>
  <si>
    <t>0611839977100</t>
  </si>
  <si>
    <t>TAG Verbena Quartz XP Waterfall Mix 100/100 Pixie Tag</t>
  </si>
  <si>
    <t>0611839978100</t>
  </si>
  <si>
    <t>TAG Verbena Quartz XP White 100/100 Pixie Tag</t>
  </si>
  <si>
    <t>0611839979100</t>
  </si>
  <si>
    <t>TAG Verbena Red GENERIC 100/100 Pixie Tag</t>
  </si>
  <si>
    <t>0611864248050</t>
  </si>
  <si>
    <t>TAG Verbena Royal Charme 50/50 Petite Portrait FUL</t>
  </si>
  <si>
    <t>0611839980100</t>
  </si>
  <si>
    <t>TAG Verbena Santos Rigida 100/100 Pixie Tag</t>
  </si>
  <si>
    <t>0611839981100</t>
  </si>
  <si>
    <t>TAG Verbena Serenity Mix 100/100 Pixie Tag</t>
  </si>
  <si>
    <t>0611839982100</t>
  </si>
  <si>
    <t>TAG Verbena Tiara Mickey Series 100/100 Pixie Tag</t>
  </si>
  <si>
    <t>0611839983100</t>
  </si>
  <si>
    <t>TAG Verbena Trailing GENERIC 100/100 Pixie Tag</t>
  </si>
  <si>
    <t>0611839984100</t>
  </si>
  <si>
    <t>TAG Verbena Trailing Pink GENERIC 100/100 Pixie Tag</t>
  </si>
  <si>
    <t>0611839985100</t>
  </si>
  <si>
    <t>TAG Verbena Trailing Purple GENERIC 100/100 Pixie Tag</t>
  </si>
  <si>
    <t>0611839986100</t>
  </si>
  <si>
    <t>TAG Verbena Trailing Red GENERIC 100/100 Pixie Tag</t>
  </si>
  <si>
    <t>0611839988100</t>
  </si>
  <si>
    <t>TAG Verbena Tuscany Blue 100/100 Pixie Tag SF</t>
  </si>
  <si>
    <t>0611839989100</t>
  </si>
  <si>
    <t>TAG Verbena Tuscany Burgundy With Eye 100/100 Pixie Tag SF</t>
  </si>
  <si>
    <t>0611839990100</t>
  </si>
  <si>
    <t>TAG Verbena Tuscany Lavender Picotee 100/100 Pixie Tag SF</t>
  </si>
  <si>
    <t>0611839991100</t>
  </si>
  <si>
    <t>TAG Verbena Tuscany Mix 100/100 Pixie Tag SF</t>
  </si>
  <si>
    <t>0611839992100</t>
  </si>
  <si>
    <t>TAG Verbena Tuscany Orchid Frost 100/100 Pixie Tag SF</t>
  </si>
  <si>
    <t>0611839993100</t>
  </si>
  <si>
    <t>TAG Verbena Tuscany Pastel Mix 100/100 Pixie Tag SF</t>
  </si>
  <si>
    <t>0611839994100</t>
  </si>
  <si>
    <t>TAG Verbena Tuscany Peach 100/100 Pixie Tag SF</t>
  </si>
  <si>
    <t>0611839996100</t>
  </si>
  <si>
    <t>TAG Verbena Tuscany Rose With Eye 100/100 Pixie Tag SF</t>
  </si>
  <si>
    <t>0611839997100</t>
  </si>
  <si>
    <t>TAG Verbena Tuscany Scarlet 100/100 Pixie Tag SF</t>
  </si>
  <si>
    <t>0611839998100</t>
  </si>
  <si>
    <t>TAG Verbena Tuscany Scarlet With Eye 100/100 Pixie Tag SF</t>
  </si>
  <si>
    <t>0611839999100</t>
  </si>
  <si>
    <t>TAG Verbena Tuscany Twister Purple Shd 100/100 Pixie Tag SF</t>
  </si>
  <si>
    <t>0611840000100</t>
  </si>
  <si>
    <t>TAG Verbena Tuscany White 100/100 Pixie Tag SF</t>
  </si>
  <si>
    <t>0611840001100</t>
  </si>
  <si>
    <t>TAG Verbena Vanessa Deep Pink 100/100 Pixie Tag</t>
  </si>
  <si>
    <t>0611840002100</t>
  </si>
  <si>
    <t>TAG Verbena Vanessa Series 100/100 Pixie Tag</t>
  </si>
  <si>
    <t>0611857166100</t>
  </si>
  <si>
    <t>TAG Verbena Vanity 100/100 Pixie Tag</t>
  </si>
  <si>
    <t>0611840003100</t>
  </si>
  <si>
    <t>TAG Verbena Vepita Amethyst Kiss 100/100 Pixie Tag</t>
  </si>
  <si>
    <t>0611840011100</t>
  </si>
  <si>
    <t>TAG Verbena Vepita Lilac Eye 100/100 Pixie Tag</t>
  </si>
  <si>
    <t>0611840014100</t>
  </si>
  <si>
    <t>TAG Verbena Vepita Pink Kiss 100/100 Pixie Tag</t>
  </si>
  <si>
    <t>0611840016100</t>
  </si>
  <si>
    <t>TAG Verbena Vepita Series 100/100 Pixie Tag</t>
  </si>
  <si>
    <t>0611884493100</t>
  </si>
  <si>
    <t>TAG Verbena Vivid Series 100/100 Pixie Tag</t>
  </si>
  <si>
    <t>0611864249050</t>
  </si>
  <si>
    <t>TAG Verbena Voodoo Burgundy Star 50/50 Petite Portrait FUL</t>
  </si>
  <si>
    <t>0611864250050</t>
  </si>
  <si>
    <t>TAG Verbena Voodoo Candy Star 50/50 Petite Portrait FUL</t>
  </si>
  <si>
    <t>0611864251050</t>
  </si>
  <si>
    <t>TAG Verbena Voodoo Salmon Star 50/50 Petite Portrait FUL</t>
  </si>
  <si>
    <t>0611840021100</t>
  </si>
  <si>
    <t>TAG Verbena Voodoo Series 100/100 Pixie Tag</t>
  </si>
  <si>
    <t>0611840022100</t>
  </si>
  <si>
    <t>TAG Verbena White GENERIC 100/100 Pixie Tag</t>
  </si>
  <si>
    <t>0611864252050</t>
  </si>
  <si>
    <t>TAG Verbena Wicked Beauty Burgundy 50/50 Petite Portrait DO FUL</t>
  </si>
  <si>
    <t>0611864253050</t>
  </si>
  <si>
    <t>TAG Verbena Wicked Cool Blue 50/50 Petite Portrait DO FUL</t>
  </si>
  <si>
    <t>0611864254050</t>
  </si>
  <si>
    <t>TAG Verbena Wicked Cool Purple 50/50 Petite Portrait DO FUL</t>
  </si>
  <si>
    <t>0611864255050</t>
  </si>
  <si>
    <t>TAG Verbena Wicked Great Grape 50/50 Petite Portrait DO FUL</t>
  </si>
  <si>
    <t>0611864256050</t>
  </si>
  <si>
    <t>TAG Verbena Wicked Hot Pink 50/50 Petite Portrait DO FUL</t>
  </si>
  <si>
    <t>0611884494050</t>
  </si>
  <si>
    <t>TAG Verbena Wicked Hot Red 50/50 Petite Portrait DO FUL</t>
  </si>
  <si>
    <t>0611864257050</t>
  </si>
  <si>
    <t>TAG Verbena Wicked Mad Magenta 50/50 Petite Portrait DO FUL</t>
  </si>
  <si>
    <t>0611864258050</t>
  </si>
  <si>
    <t>TAG Verbena Wicked Pink Pepper 50/50 Petite Portrait DO FUL</t>
  </si>
  <si>
    <t>0611864259050</t>
  </si>
  <si>
    <t>TAG Verbena Wicked Purple 50/50 Petite Portrait DO FUL</t>
  </si>
  <si>
    <t>0611864260050</t>
  </si>
  <si>
    <t>TAG Verbena Wicked Rad Red 50/50 Petite Portrait DO FUL</t>
  </si>
  <si>
    <t>0611840023100</t>
  </si>
  <si>
    <t>TAG Verbena Wine N Cheese Mix 100/100 Pixie Tag</t>
  </si>
  <si>
    <t>0611864261100</t>
  </si>
  <si>
    <t>TAG Veronica Baby Bloomer Blue 100/100 Pixie Tag FUL</t>
  </si>
  <si>
    <t>0611840024100</t>
  </si>
  <si>
    <t>TAG Veronica Blue Bouquet Spicata 100/100 Pixie Tag</t>
  </si>
  <si>
    <t>0611840026100</t>
  </si>
  <si>
    <t>TAG Veronica Blue Carpet 100/100 Pixie Tag</t>
  </si>
  <si>
    <t>0611840027025</t>
  </si>
  <si>
    <t>TAG Veronica Blue Spicata 25/25 Portrait Tag</t>
  </si>
  <si>
    <t>0611864262100</t>
  </si>
  <si>
    <t>TAG Veronica Bubblegum Candles 100/100 Pixie Tag FUL</t>
  </si>
  <si>
    <t>0611840029100</t>
  </si>
  <si>
    <t>TAG Veronica Crater Lake Blue 100/100 Pixie Tag</t>
  </si>
  <si>
    <t>0611840030025</t>
  </si>
  <si>
    <t>TAG Veronica Eveline Longifolia 25/25 Portrait Tag</t>
  </si>
  <si>
    <t>0611857167025</t>
  </si>
  <si>
    <t>TAG Veronica First Bride 25/25 Portrait Tag</t>
  </si>
  <si>
    <t>0611864263100</t>
  </si>
  <si>
    <t>TAG Veronica First Bride Limited Availability 100/100 Pixie Tag</t>
  </si>
  <si>
    <t>0611864264050</t>
  </si>
  <si>
    <t>TAG Veronica First Bride Limited Availability 50/50 Petite Portrait</t>
  </si>
  <si>
    <t>0611864265100</t>
  </si>
  <si>
    <t>TAG Veronica First Choice Limited Availability 100/100 Pixie Tag</t>
  </si>
  <si>
    <t>0611864266050</t>
  </si>
  <si>
    <t>TAG Veronica First Choice Limited Availability 50/50 Petite Portrait</t>
  </si>
  <si>
    <t>0611864267100</t>
  </si>
  <si>
    <t>TAG Veronica First Glory Limited Availability 100/100 Pixie Tag</t>
  </si>
  <si>
    <t>0611864268050</t>
  </si>
  <si>
    <t>TAG Veronica First Glory Limited Availability 50/50 Petite Portrait</t>
  </si>
  <si>
    <t>0611840031025</t>
  </si>
  <si>
    <t>TAG Veronica First Glory Longifolia 25/25 Portrait Tag</t>
  </si>
  <si>
    <t>0611864269100</t>
  </si>
  <si>
    <t>TAG Veronica First Kiss Limited Availability 100/100 Pixie Tag</t>
  </si>
  <si>
    <t>0611864270050</t>
  </si>
  <si>
    <t>TAG Veronica First Kiss Limited Availability 50/50 Petite Portrait</t>
  </si>
  <si>
    <t>0611857168025</t>
  </si>
  <si>
    <t>TAG Veronica First Kiss Longifolia 25/25 Portrait Tag</t>
  </si>
  <si>
    <t>0611864271100</t>
  </si>
  <si>
    <t>TAG Veronica First Lady Limited Availability 100/100 Pixie Tag</t>
  </si>
  <si>
    <t>0611864272050</t>
  </si>
  <si>
    <t>TAG Veronica First Lady Limited Availability 50/50 Petite Portrait</t>
  </si>
  <si>
    <t>0611840032025</t>
  </si>
  <si>
    <t>TAG Veronica First Lady Longifolia 25/25 Portrait Tag</t>
  </si>
  <si>
    <t>0611864273100</t>
  </si>
  <si>
    <t>TAG Veronica First Love Limited Availability 100/100 Pixie Tag</t>
  </si>
  <si>
    <t>0611864274050</t>
  </si>
  <si>
    <t>TAG Veronica First Love Limited Availability 50/50 Petite Portrait</t>
  </si>
  <si>
    <t>0611840033025</t>
  </si>
  <si>
    <t>TAG Veronica First Love Longifolia 25/25 Portrait Tag</t>
  </si>
  <si>
    <t>0611864275100</t>
  </si>
  <si>
    <t>TAG Veronica First Match Limited Availability 100/100 Pixie Tag</t>
  </si>
  <si>
    <t>0611864276050</t>
  </si>
  <si>
    <t>TAG Veronica First Match Limited Availability 50/50 Petite Portrait</t>
  </si>
  <si>
    <t>0611857169025</t>
  </si>
  <si>
    <t>TAG Veronica First Memory 25/25 Portrait Tag</t>
  </si>
  <si>
    <t>0611864277100</t>
  </si>
  <si>
    <t>TAG Veronica First Memory Limited Availability 100/100 Pixie Tag</t>
  </si>
  <si>
    <t>0611864278050</t>
  </si>
  <si>
    <t>TAG Veronica First Memory Limited Availability 50/50 Petite Portrait</t>
  </si>
  <si>
    <t>0611840034025</t>
  </si>
  <si>
    <t>TAG Veronica Forever Blue Longifolia 25/25 Portrait Tag</t>
  </si>
  <si>
    <t>0611840066025</t>
  </si>
  <si>
    <t>TAG Veronica GENERIC 25/25 Portrait Tag</t>
  </si>
  <si>
    <t>0611840035100</t>
  </si>
  <si>
    <t>TAG Veronica Georgia Blue 100/100 Pixie Tag</t>
  </si>
  <si>
    <t>0611840036025</t>
  </si>
  <si>
    <t>TAG Veronica Georgia Blue 25/25 Portrait Tag</t>
  </si>
  <si>
    <t>0611864279050</t>
  </si>
  <si>
    <t>TAG Veronica Georgia Blue 50/50 Petite Portrait FUL</t>
  </si>
  <si>
    <t>0611864280100</t>
  </si>
  <si>
    <t>TAG Veronica Giles Van Hees 100/100 Pixie Tag FUL</t>
  </si>
  <si>
    <t>0611864281050</t>
  </si>
  <si>
    <t>TAG Veronica Giles Van Hees Limited Availability 50/50 Petite Portrait</t>
  </si>
  <si>
    <t>0611840037025</t>
  </si>
  <si>
    <t>TAG Veronica Giles Van Hees Spicata 25/25 Portrait Tag</t>
  </si>
  <si>
    <t>0611840039025</t>
  </si>
  <si>
    <t>TAG Veronica Moody Blues Blue Sky 25/25 Portrait Tag</t>
  </si>
  <si>
    <t>0611840040025</t>
  </si>
  <si>
    <t>TAG Veronica Moody Blues Dark Blue 25/25 Portrait Tag</t>
  </si>
  <si>
    <t>0611864282050</t>
  </si>
  <si>
    <t>TAG Veronica Moody Blues Dark Blue 50/50 Petite Portrait FUL</t>
  </si>
  <si>
    <t>0611840041025</t>
  </si>
  <si>
    <t>TAG Veronica Moody Blues Dark Pink 25/25 Portrait Tag</t>
  </si>
  <si>
    <t>0611840042025</t>
  </si>
  <si>
    <t>TAG Veronica Moody Blues Mauve 25/25 Portrait Tag</t>
  </si>
  <si>
    <t>0611840043025</t>
  </si>
  <si>
    <t>TAG Veronica Moody Blues Pink 25/25 Portrait Tag</t>
  </si>
  <si>
    <t>0611840044025</t>
  </si>
  <si>
    <t>TAG Veronica Moody Blues White 25/25 Portrait Tag</t>
  </si>
  <si>
    <t>0611840045025</t>
  </si>
  <si>
    <t>TAG Veronica Purple Leia 25/25 Portrait Tag</t>
  </si>
  <si>
    <t>0611840046025</t>
  </si>
  <si>
    <t>TAG Veronica Purpleicious 25/25 Portrait Tag</t>
  </si>
  <si>
    <t>0611864283100</t>
  </si>
  <si>
    <t>TAG Veronica Red Fox Limited Availability 100/100 Pixie Tag</t>
  </si>
  <si>
    <t>0611864284050</t>
  </si>
  <si>
    <t>TAG Veronica Red Fox Limited Availability 50/50 Petite Portrait</t>
  </si>
  <si>
    <t>0611840047100</t>
  </si>
  <si>
    <t>TAG Veronica Red Fox Spicata 100/100 Pixie Tag</t>
  </si>
  <si>
    <t>0611840048025</t>
  </si>
  <si>
    <t>TAG Veronica Red Fox Spicata 25/25 Portrait Tag</t>
  </si>
  <si>
    <t>0611840049025</t>
  </si>
  <si>
    <t>TAG Veronica Repens 25/25 Portrait Tag</t>
  </si>
  <si>
    <t>0611840050025</t>
  </si>
  <si>
    <t>TAG Veronica Ronica Blue 25/25 Portrait Tag</t>
  </si>
  <si>
    <t>0611840051025</t>
  </si>
  <si>
    <t>TAG Veronica Ronica Fuchsia 25/25 Portrait Tag</t>
  </si>
  <si>
    <t>0611840052025</t>
  </si>
  <si>
    <t>TAG Veronica Royal Blue Austriaca 25/25 Portrait Tag</t>
  </si>
  <si>
    <t>0611864285100</t>
  </si>
  <si>
    <t>TAG Veronica Royal Candles 100/100 Pixie Tag FUL</t>
  </si>
  <si>
    <t>0611840053025</t>
  </si>
  <si>
    <t>TAG Veronica Royal Candles 25/25 Portrait Tag</t>
  </si>
  <si>
    <t>0611857170025</t>
  </si>
  <si>
    <t>TAG Veronica Skyward Blue 25/25 Portrait Tag</t>
  </si>
  <si>
    <t>0611857171025</t>
  </si>
  <si>
    <t>TAG Veronica Skyward Pink 25/25 Portrait Tag</t>
  </si>
  <si>
    <t>0611864286100</t>
  </si>
  <si>
    <t>TAG Veronica Snow Candles 100/100 Pixie Tag FUL</t>
  </si>
  <si>
    <t>0611840054025</t>
  </si>
  <si>
    <t>TAG Veronica Sunny Border Blue 25/25 Portrait Tag</t>
  </si>
  <si>
    <t>0611864287050</t>
  </si>
  <si>
    <t>TAG Veronica Sunny Border Blue 50/50 Petite Portrait FUL</t>
  </si>
  <si>
    <t>0611864288050</t>
  </si>
  <si>
    <t>TAG Veronica Tidal Pool 50/50 Petite Portrait FUL</t>
  </si>
  <si>
    <t>0611840058025</t>
  </si>
  <si>
    <t>TAG Veronica Venice Blue Austriaca 25/25 Portrait Tag</t>
  </si>
  <si>
    <t>0611840059025</t>
  </si>
  <si>
    <t>TAG Veronica Vernique Blue Longifolia 25/25 Portrait Tag</t>
  </si>
  <si>
    <t>0611840060025</t>
  </si>
  <si>
    <t>TAG Veronica Vernique Dark Blue 25/25 Portrait Tag</t>
  </si>
  <si>
    <t>0611840061025</t>
  </si>
  <si>
    <t>TAG Veronica Vernique Pink Longifolia 25/25 Portrait Tag</t>
  </si>
  <si>
    <t>0611840062025</t>
  </si>
  <si>
    <t>TAG Veronica Vernique Raspberry 25/25 Portrait Tag</t>
  </si>
  <si>
    <t>0611840063025</t>
  </si>
  <si>
    <t>TAG Veronica Vernique Rose Longifolia 25/25 Portrait Tag</t>
  </si>
  <si>
    <t>0611840064025</t>
  </si>
  <si>
    <t>TAG Veronica Vernique Shining Sea 25/25 Portrait Tag</t>
  </si>
  <si>
    <t>0611840065025</t>
  </si>
  <si>
    <t>TAG Veronica Vernique White Longifolia 25/25 Portrait Tag</t>
  </si>
  <si>
    <t>0611840067025</t>
  </si>
  <si>
    <t>TAG Veronica Waterperry 25/25 Portrait Tag</t>
  </si>
  <si>
    <t>0611840068025</t>
  </si>
  <si>
    <t>TAG Veronica Whitewater Peduncularis 25/25 Portrait Tag</t>
  </si>
  <si>
    <t>0611832591100</t>
  </si>
  <si>
    <t>TAG Vinca Blockbuster Apricot 100/100 Pixie Tag SF</t>
  </si>
  <si>
    <t>0611857172100</t>
  </si>
  <si>
    <t>TAG Vinca Blockbuster Blue 100/100 Pixie Tag SF</t>
  </si>
  <si>
    <t>0611832592100</t>
  </si>
  <si>
    <t>TAG Vinca Blockbuster Burgundy 100/100 Pixie Tag SF</t>
  </si>
  <si>
    <t>0611832593100</t>
  </si>
  <si>
    <t>TAG Vinca Blockbuster Crimson 100/100 Pixie Tag SF</t>
  </si>
  <si>
    <t>0611832594100</t>
  </si>
  <si>
    <t>TAG Vinca Blockbuster Dark Red 100/100 Pixie Tag SF</t>
  </si>
  <si>
    <t>0611832590100</t>
  </si>
  <si>
    <t>TAG Vinca Blockbuster Icy Watermelon 100/100 Pixie Tag SF</t>
  </si>
  <si>
    <t>0611832595100</t>
  </si>
  <si>
    <t>TAG Vinca Blockbuster Mix 100/100 Pixie Tag SF</t>
  </si>
  <si>
    <t>0611832596100</t>
  </si>
  <si>
    <t>TAG Vinca Blockbuster Peppermint 100/100 Pixie Tag SF</t>
  </si>
  <si>
    <t>0611832597100</t>
  </si>
  <si>
    <t>TAG Vinca Blockbuster Punch 100/100 Pixie Tag SF</t>
  </si>
  <si>
    <t>0611832598100</t>
  </si>
  <si>
    <t>TAG Vinca Blockbuster Purple 100/100 Pixie Tag SF</t>
  </si>
  <si>
    <t>0611832599100</t>
  </si>
  <si>
    <t>TAG Vinca Blockbuster Red With Eye 100/100 Pixie Tag SF</t>
  </si>
  <si>
    <t>0611832600100</t>
  </si>
  <si>
    <t>TAG Vinca Blockbuster White 100/100 Pixie Tag SF</t>
  </si>
  <si>
    <t>0611832601100</t>
  </si>
  <si>
    <t>TAG Vinca Cobra Apricot 100/100 Pixie Tag SF</t>
  </si>
  <si>
    <t>0611832611100</t>
  </si>
  <si>
    <t>TAG Vinca Cooler Apricot 100/100 Pixie Tag</t>
  </si>
  <si>
    <t>0611832614100</t>
  </si>
  <si>
    <t>TAG Vinca Cooler Deep Orchid 100/100 Pixie Tag</t>
  </si>
  <si>
    <t>0611832615100</t>
  </si>
  <si>
    <t>TAG Vinca Cooler Grape 100/100 Pixie Tag</t>
  </si>
  <si>
    <t>0611832617100</t>
  </si>
  <si>
    <t>TAG Vinca Cooler Mix 100/100 Pixie Tag</t>
  </si>
  <si>
    <t>0611832618100</t>
  </si>
  <si>
    <t>TAG Vinca Cooler Peppermint 100/100 Pixie Tag</t>
  </si>
  <si>
    <t>0611832620100</t>
  </si>
  <si>
    <t>TAG Vinca Cooler Raspberry Red 100/100 Pixie Tag</t>
  </si>
  <si>
    <t>0611832621100</t>
  </si>
  <si>
    <t>TAG Vinca Cooler Red 100/100 Pixie Tag</t>
  </si>
  <si>
    <t>0611832624100</t>
  </si>
  <si>
    <t>TAG Vinca Cora Apricot 100/100 Pixie Tag SF</t>
  </si>
  <si>
    <t>0611832625100</t>
  </si>
  <si>
    <t>TAG Vinca Cora Burgundy 100/100 Pixie Tag SF</t>
  </si>
  <si>
    <t>0611832627100</t>
  </si>
  <si>
    <t>TAG Vinca Cora Cascade Apricot 100/100 Pixie Tag SF</t>
  </si>
  <si>
    <t>0611832628100</t>
  </si>
  <si>
    <t>TAG Vinca Cora Cascade Bright Rose 100/100 Pixie Tag SF</t>
  </si>
  <si>
    <t>0611832629100</t>
  </si>
  <si>
    <t>TAG Vinca Cora Cascade Cherry 100/100 Pixie Tag SF</t>
  </si>
  <si>
    <t>0611832630100</t>
  </si>
  <si>
    <t>TAG Vinca Cora Cascade Lavender With Eye 100/100 Pixie Tag SF</t>
  </si>
  <si>
    <t>0611832631100</t>
  </si>
  <si>
    <t>TAG Vinca Cora Cascade Lilac 100/100 Pixie Tag SF</t>
  </si>
  <si>
    <t>0611832632100</t>
  </si>
  <si>
    <t>TAG Vinca Cora Cascade Magenta 100/100 Pixie Tag SF</t>
  </si>
  <si>
    <t>0611832633100</t>
  </si>
  <si>
    <t>TAG Vinca Cora Cascade Mix 100/100 Pixie Tag SF</t>
  </si>
  <si>
    <t>0611832626100</t>
  </si>
  <si>
    <t>TAG Vinca Cora Cascade Peach Blush 100/100 Pixie Tag SF</t>
  </si>
  <si>
    <t>0611832634100</t>
  </si>
  <si>
    <t>TAG Vinca Cora Cascade Polka Dot 100/100 Pixie Tag SF</t>
  </si>
  <si>
    <t>0611832635100</t>
  </si>
  <si>
    <t>TAG Vinca Cora Cascade Series 100/100 Pixie Tag SF</t>
  </si>
  <si>
    <t>0611832636100</t>
  </si>
  <si>
    <t>TAG Vinca Cora Cascade Shell Pink 100/100 Pixie Tag SF</t>
  </si>
  <si>
    <t>0611832637100</t>
  </si>
  <si>
    <t>TAG Vinca Cora Cascade Strawberry 100/100 Pixie Tag SF</t>
  </si>
  <si>
    <t>0611832638100</t>
  </si>
  <si>
    <t>TAG Vinca Cora Cascade Violet 100/100 Pixie Tag SF</t>
  </si>
  <si>
    <t>0611832639100</t>
  </si>
  <si>
    <t>TAG Vinca Cora Cascade White 100/100 Pixie Tag SF</t>
  </si>
  <si>
    <t>0611857173100</t>
  </si>
  <si>
    <t>TAG Vinca Cora Cascade XDR Punch 100/100 Pixie Tag SF</t>
  </si>
  <si>
    <t>0611857174100</t>
  </si>
  <si>
    <t>TAG Vinca Cora Cascade XDR White 100/100 Pixie Tag SF</t>
  </si>
  <si>
    <t>0611832640100</t>
  </si>
  <si>
    <t>TAG Vinca Cora Deep Lavender 100/100 Pixie Tag SF</t>
  </si>
  <si>
    <t>0611832641100</t>
  </si>
  <si>
    <t>TAG Vinca Cora Lavender 100/100 Pixie Tag SF</t>
  </si>
  <si>
    <t>0611832642100</t>
  </si>
  <si>
    <t>TAG Vinca Cora Mix 100/100 Pixie Tag SF</t>
  </si>
  <si>
    <t>0611832643100</t>
  </si>
  <si>
    <t>TAG Vinca Cora Pink 100/100 Pixie Tag SF</t>
  </si>
  <si>
    <t>0611832644100</t>
  </si>
  <si>
    <t>TAG Vinca Cora Punch 100/100 Pixie Tag SF</t>
  </si>
  <si>
    <t>0611832645100</t>
  </si>
  <si>
    <t>TAG Vinca Cora Red Classic 100/100 Pixie Tag SF</t>
  </si>
  <si>
    <t>0611832646100</t>
  </si>
  <si>
    <t>TAG Vinca Cora Series 100/100 Pixie Tag SF</t>
  </si>
  <si>
    <t>0611832647100</t>
  </si>
  <si>
    <t>TAG Vinca Cora Strawberry 100/100 Pixie Tag SF</t>
  </si>
  <si>
    <t>0611832648100</t>
  </si>
  <si>
    <t>TAG Vinca Cora Violet 100/100 Pixie Tag SF</t>
  </si>
  <si>
    <t>0611832649100</t>
  </si>
  <si>
    <t>TAG Vinca Cora White 100/100 Pixie Tag SF</t>
  </si>
  <si>
    <t>0611832650100</t>
  </si>
  <si>
    <t>TAG Vinca Cora XDR Apricot 100/100 Pixie Tag SF</t>
  </si>
  <si>
    <t>0611832651100</t>
  </si>
  <si>
    <t>TAG Vinca Cora XDR Cranberry 100/100 Pixie Tag SF</t>
  </si>
  <si>
    <t>0611832652100</t>
  </si>
  <si>
    <t>TAG Vinca Cora XDR Deep Strawberry 100/100 Pixie Tag SF</t>
  </si>
  <si>
    <t>0611832653100</t>
  </si>
  <si>
    <t>TAG Vinca Cora XDR Halo Magenta 100/100 Pixie Tag SF</t>
  </si>
  <si>
    <t>0611832654100</t>
  </si>
  <si>
    <t>TAG Vinca Cora XDR Halo Pink 100/100 Pixie Tag SF</t>
  </si>
  <si>
    <t>0611832655100</t>
  </si>
  <si>
    <t>TAG Vinca Cora XDR Hotgenta 100/100 Pixie Tag SF</t>
  </si>
  <si>
    <t>0611832656100</t>
  </si>
  <si>
    <t>TAG Vinca Cora XDR Light Pink 100/100 Pixie Tag SF</t>
  </si>
  <si>
    <t>0611832657100</t>
  </si>
  <si>
    <t>TAG Vinca Cora XDR Mix 100/100 Pixie Tag SF</t>
  </si>
  <si>
    <t>0611832658100</t>
  </si>
  <si>
    <t>TAG Vinca Cora XDR Orchid 100/100 Pixie Tag SF</t>
  </si>
  <si>
    <t>0611832659100</t>
  </si>
  <si>
    <t>TAG Vinca Cora XDR Polka Dot 100/100 Pixie Tag SF</t>
  </si>
  <si>
    <t>0611832660100</t>
  </si>
  <si>
    <t>TAG Vinca Cora XDR Punch 100/100 Pixie Tag SF</t>
  </si>
  <si>
    <t>0611884495100</t>
  </si>
  <si>
    <t>TAG Vinca Cora XDR Rose Punch 100/100 Pixie Tag</t>
  </si>
  <si>
    <t>0611832661100</t>
  </si>
  <si>
    <t>TAG Vinca Cora XDR White 100/100 Pixie Tag SF</t>
  </si>
  <si>
    <t>0611832786100</t>
  </si>
  <si>
    <t>TAG Vinca GENERIC 100/100 Hang Tag</t>
  </si>
  <si>
    <t>0611832787025</t>
  </si>
  <si>
    <t>TAG Vinca GENERIC 25/25 Portrait Tag</t>
  </si>
  <si>
    <t>0611832788100</t>
  </si>
  <si>
    <t>TAG Vinca GENERIC Bilingual 100/100 Pixie Tag</t>
  </si>
  <si>
    <t>0611832668100</t>
  </si>
  <si>
    <t>TAG Vinca Heatwave Grape 100/100 Pixie Tag</t>
  </si>
  <si>
    <t>0611832669100</t>
  </si>
  <si>
    <t>TAG Vinca Jams N Jellies American Pie Mix 100/100 Pixie Tag</t>
  </si>
  <si>
    <t>0611832670100</t>
  </si>
  <si>
    <t>TAG Vinca Jams N Jellies Blackberry 100/100 Pixie Tag</t>
  </si>
  <si>
    <t>0611832671100</t>
  </si>
  <si>
    <t>TAG Vinca Jams N Jellies Blueberry 100/100 Pixie Tag</t>
  </si>
  <si>
    <t>0611840075100</t>
  </si>
  <si>
    <t>TAG Vinca Major Expoflora 100/100 Pixie Tag</t>
  </si>
  <si>
    <t>0611840076100</t>
  </si>
  <si>
    <t>TAG Vinca Major Green 100/100 Pixie Tag</t>
  </si>
  <si>
    <t>0611864298050</t>
  </si>
  <si>
    <t>TAG Vinca Major Green 50/50 Petite Portrait FUL</t>
  </si>
  <si>
    <t>0611840077100</t>
  </si>
  <si>
    <t>TAG Vinca Major High Color 100/100 Pixie Tag</t>
  </si>
  <si>
    <t>0611864295050</t>
  </si>
  <si>
    <t>TAG Vinca Major High Color 50/50 Petite Portrait FUL</t>
  </si>
  <si>
    <t>0611840080100</t>
  </si>
  <si>
    <t>TAG Vinca Major Maculata 100/100 Pixie Tag</t>
  </si>
  <si>
    <t>0611864297050</t>
  </si>
  <si>
    <t>TAG Vinca Major Maculata 50/50 Petite Portrait FUL</t>
  </si>
  <si>
    <t>0611840085025</t>
  </si>
  <si>
    <t>TAG Vinca Major Variegata 25/25 Portrait Tag</t>
  </si>
  <si>
    <t>0611864302050</t>
  </si>
  <si>
    <t>TAG Vinca Major Variegata 50/50 Petite Portrait FUL</t>
  </si>
  <si>
    <t>0611840086100</t>
  </si>
  <si>
    <t>TAG Vinca Major Variegata Bilingual 100/100 Pixie Tag</t>
  </si>
  <si>
    <t>0611840087100</t>
  </si>
  <si>
    <t>TAG Vinca Major Wojo's Jem 100/100 Pixie Tag</t>
  </si>
  <si>
    <t>0611864303050</t>
  </si>
  <si>
    <t>TAG Vinca Major Wojo's Jem 50/50 Petite Portrait FUL</t>
  </si>
  <si>
    <t>0611832672100</t>
  </si>
  <si>
    <t>TAG Vinca Mediterranean Apricot Broadeye 100/100 Pixie Tag</t>
  </si>
  <si>
    <t>0611832677100</t>
  </si>
  <si>
    <t>TAG Vinca Mediterranean Deep Orchid 100/100 Pixie Tag</t>
  </si>
  <si>
    <t>0611832675100</t>
  </si>
  <si>
    <t>TAG Vinca Mediterranean Deep Rose 100/100 Pixie Tag</t>
  </si>
  <si>
    <t>0611832679100</t>
  </si>
  <si>
    <t>TAG Vinca Mediterranean Lilac 100/100 Pixie Tag</t>
  </si>
  <si>
    <t>0611832682100</t>
  </si>
  <si>
    <t>TAG Vinca Mediterranean Polka Dot 100/100 Pixie Tag</t>
  </si>
  <si>
    <t>0611832685100</t>
  </si>
  <si>
    <t>TAG Vinca Mediterranean Strawberry 100/100 Pixie Tag</t>
  </si>
  <si>
    <t>0611832673100</t>
  </si>
  <si>
    <t>TAG Vinca Mediterranean XP Burgundy Halo 100/100 Pixie Tag</t>
  </si>
  <si>
    <t>0611832676100</t>
  </si>
  <si>
    <t>TAG Vinca Mediterranean XP Dark Red 100/100 Pixie Tag</t>
  </si>
  <si>
    <t>0611832678100</t>
  </si>
  <si>
    <t>TAG Vinca Mediterranean XP Hot Rose 100/100 Pixie Tag</t>
  </si>
  <si>
    <t>0611832688100</t>
  </si>
  <si>
    <t>TAG Vinca Mediterranean XP Lipstick Mix 100/100 Pixie Tag</t>
  </si>
  <si>
    <t>0611832680100</t>
  </si>
  <si>
    <t>TAG Vinca Mediterranean XP Mix 100/100 Pixie Tag</t>
  </si>
  <si>
    <t>0611832681100</t>
  </si>
  <si>
    <t>TAG Vinca Mediterranean XP Peach 100/100 Pixie Tag</t>
  </si>
  <si>
    <t>0611832683100</t>
  </si>
  <si>
    <t>TAG Vinca Mediterranean XP Red 100/100 Pixie Tag</t>
  </si>
  <si>
    <t>0611832684100</t>
  </si>
  <si>
    <t>TAG Vinca Mediterranean XP Rose 100/100 Pixie Tag</t>
  </si>
  <si>
    <t>0611832674100</t>
  </si>
  <si>
    <t>TAG Vinca Mediterranean XP Rose Halo 100/100 Pixie Tag</t>
  </si>
  <si>
    <t>0611832686100</t>
  </si>
  <si>
    <t>TAG Vinca Mediterranean XP Strawberry 100/100 Pixie Tag</t>
  </si>
  <si>
    <t>0611832687100</t>
  </si>
  <si>
    <t>TAG Vinca Mediterranean XP White 100/100 Pixie Tag</t>
  </si>
  <si>
    <t>0611832689100</t>
  </si>
  <si>
    <t>TAG Vinca Mega Bloom Orchid Halo 100/100 Pixie Tag</t>
  </si>
  <si>
    <t>0611832690100</t>
  </si>
  <si>
    <t>TAG Vinca Mega Bloom Pink Halo 100/100 Pixie Tag</t>
  </si>
  <si>
    <t>0611832691100</t>
  </si>
  <si>
    <t>TAG Vinca Mega Bloom Polka Dot 100/100 Pixie Tag</t>
  </si>
  <si>
    <t>0611832692100</t>
  </si>
  <si>
    <t>TAG Vinca Mega Bloom Series 100/100 Pixie Tag</t>
  </si>
  <si>
    <t>0611864289100</t>
  </si>
  <si>
    <t>TAG Vinca Minor Alba 100/100 Pixie Tag FUL</t>
  </si>
  <si>
    <t>0611840069025</t>
  </si>
  <si>
    <t>TAG Vinca Minor Alba 25/25 Portrait Tag</t>
  </si>
  <si>
    <t>0611864290100</t>
  </si>
  <si>
    <t>TAG Vinca Minor Atropurpurea 100/100 Pixie Tag FUL</t>
  </si>
  <si>
    <t>0611840071025</t>
  </si>
  <si>
    <t>TAG Vinca Minor Atropurpurea 25/25 Portrait Tag</t>
  </si>
  <si>
    <t>0611864291050</t>
  </si>
  <si>
    <t>TAG Vinca Minor Atropurpurea Limited Availability 50/50 Petite Portrait</t>
  </si>
  <si>
    <t>0611840072100</t>
  </si>
  <si>
    <t>TAG Vinca Minor Bowles 100/100 Pixie Tag</t>
  </si>
  <si>
    <t>0611864292100</t>
  </si>
  <si>
    <t>TAG Vinca Minor Bowles Cunningham 100/100 Pixie Tag FUL</t>
  </si>
  <si>
    <t>0611840073025</t>
  </si>
  <si>
    <t>TAG Vinca Minor Bowles Cunningham 25/25 Portrait Tag</t>
  </si>
  <si>
    <t>0611864293050</t>
  </si>
  <si>
    <t>TAG Vinca Minor Bowles Cunningham Limited Availability 50/50 Petite Portrait</t>
  </si>
  <si>
    <t>0611840074025</t>
  </si>
  <si>
    <t>TAG Vinca Minor Bowles Variety 25/25 Portrait Tag</t>
  </si>
  <si>
    <t>0611864294100</t>
  </si>
  <si>
    <t>TAG Vinca Minor Gertrude Jekyll 100/100 Pixie Tag FUL</t>
  </si>
  <si>
    <t>0611840078100</t>
  </si>
  <si>
    <t>TAG Vinca Minor Illumination 100/100 Pixie Tag</t>
  </si>
  <si>
    <t>0611840079025</t>
  </si>
  <si>
    <t>TAG Vinca Minor Illumination 25/25 Portrait Tag</t>
  </si>
  <si>
    <t>0611864296100</t>
  </si>
  <si>
    <t>TAG Vinca Minor Illumination CN5425 100/100 Pixie Tag FUL</t>
  </si>
  <si>
    <t>0611864299050</t>
  </si>
  <si>
    <t>TAG Vinca Minor Myrtle 50/50 Petite Portrait FUL</t>
  </si>
  <si>
    <t>0611840081100</t>
  </si>
  <si>
    <t>TAG Vinca Minor Myrtle GENERIC 100/100 Pixie Tag</t>
  </si>
  <si>
    <t>0611840082025</t>
  </si>
  <si>
    <t>TAG Vinca Minor Myrtle GENERIC 25/25 Portrait Tag</t>
  </si>
  <si>
    <t>0611840084025</t>
  </si>
  <si>
    <t>TAG Vinca Minor Ralph Shugert 25/25 Portrait Tag</t>
  </si>
  <si>
    <t>0611864300100</t>
  </si>
  <si>
    <t>TAG Vinca Minor Ralph Shugert CN5426 100/100 Pixie Tag FUL</t>
  </si>
  <si>
    <t>0611864301050</t>
  </si>
  <si>
    <t>TAG Vinca Minor Ralph Shugert Limited Availability 50/50 Petite Portrait FUL</t>
  </si>
  <si>
    <t>0611861096050</t>
  </si>
  <si>
    <t>TAG Vinca Nirvana Cascade Pink Splash 50/50 Petite Portrait SF FUL</t>
  </si>
  <si>
    <t>0611832698100</t>
  </si>
  <si>
    <t>TAG Vinca Pacifica Cherry Halo 100/100 Pixie Tag</t>
  </si>
  <si>
    <t>0611832713100</t>
  </si>
  <si>
    <t>TAG Vinca Pacifica Pink 100/100 Pixie Tag</t>
  </si>
  <si>
    <t>0611832716100</t>
  </si>
  <si>
    <t>TAG Vinca Pacifica Pure White 100/100 Pixie Tag</t>
  </si>
  <si>
    <t>0611832719100</t>
  </si>
  <si>
    <t>TAG Vinca Pacifica Red 100/100 Pixie Tag</t>
  </si>
  <si>
    <t>0611832723100</t>
  </si>
  <si>
    <t>TAG Vinca Pacifica XP Cherry Red Halo 100/100 Pixie Tag</t>
  </si>
  <si>
    <t>0611832701100</t>
  </si>
  <si>
    <t>TAG Vinca Pacifica XP Cranberry 100/100 Pixie Tag</t>
  </si>
  <si>
    <t>0611832702100</t>
  </si>
  <si>
    <t>TAG Vinca Pacifica XP Dark Red 100/100 Pixie Tag</t>
  </si>
  <si>
    <t>0611832703100</t>
  </si>
  <si>
    <t>TAG Vinca Pacifica XP Deep Orchid 100/100 Pixie Tag</t>
  </si>
  <si>
    <t>0611832704100</t>
  </si>
  <si>
    <t>TAG Vinca Pacifica XP Halo Mix 100/100 Pixie Tag</t>
  </si>
  <si>
    <t>0611832705100</t>
  </si>
  <si>
    <t>TAG Vinca Pacifica XP Icy Pink 100/100 Pixie Tag</t>
  </si>
  <si>
    <t>0611832706100</t>
  </si>
  <si>
    <t>TAG Vinca Pacifica XP Lilac 100/100 Pixie Tag</t>
  </si>
  <si>
    <t>0611832707100</t>
  </si>
  <si>
    <t>TAG Vinca Pacifica XP Lipstick Mix 100/100 Pixie Tag</t>
  </si>
  <si>
    <t>0611832724100</t>
  </si>
  <si>
    <t>TAG Vinca Pacifica XP Magenta Halo 100/100 Pixie Tag</t>
  </si>
  <si>
    <t>0611832708100</t>
  </si>
  <si>
    <t>TAG Vinca Pacifica XP Merlot Mix 100/100 Pixie Tag</t>
  </si>
  <si>
    <t>0611832709100</t>
  </si>
  <si>
    <t>TAG Vinca Pacifica XP Mix 100/100 Pixie Tag</t>
  </si>
  <si>
    <t>0611832710100</t>
  </si>
  <si>
    <t>TAG Vinca Pacifica XP Mystic Mix 100/100 Pixie Tag</t>
  </si>
  <si>
    <t>0611832711100</t>
  </si>
  <si>
    <t>TAG Vinca Pacifica XP Orange 100/100 Pixie Tag</t>
  </si>
  <si>
    <t>0611832714100</t>
  </si>
  <si>
    <t>TAG Vinca Pacifica XP Polka Dot 100/100 Pixie Tag</t>
  </si>
  <si>
    <t>0611832715100</t>
  </si>
  <si>
    <t>TAG Vinca Pacifica XP Punch 100/100 Pixie Tag</t>
  </si>
  <si>
    <t>0611832717100</t>
  </si>
  <si>
    <t>TAG Vinca Pacifica XP Raspberry 100/100 Pixie Tag</t>
  </si>
  <si>
    <t>0611832718100</t>
  </si>
  <si>
    <t>TAG Vinca Pacifica XP Really Red 100/100 Pixie Tag</t>
  </si>
  <si>
    <t>0611832720100</t>
  </si>
  <si>
    <t>TAG Vinca Pacifica XP Rose Halo 100/100 Pixie Tag</t>
  </si>
  <si>
    <t>0611832721100</t>
  </si>
  <si>
    <t>TAG Vinca Pacifica XP Series 100/100 Pixie Tag</t>
  </si>
  <si>
    <t>0611832722100</t>
  </si>
  <si>
    <t>TAG Vinca Pacifica XP White 100/100 Pixie Tag</t>
  </si>
  <si>
    <t>0611832725100</t>
  </si>
  <si>
    <t>TAG Vinca Polka Dot 100/100 Pixie Tag</t>
  </si>
  <si>
    <t>0611884496100</t>
  </si>
  <si>
    <t>TAG Vinca Quasar Series 100/100 Pixie Tag</t>
  </si>
  <si>
    <t>0611884497100</t>
  </si>
  <si>
    <t>TAG Vinca Sunjewels Blueberry 100/100 Pixie Tag</t>
  </si>
  <si>
    <t>0611884498100</t>
  </si>
  <si>
    <t>TAG Vinca Sunjewels Lavender Halo 100/100 Pixie Tag</t>
  </si>
  <si>
    <t>0611884499100</t>
  </si>
  <si>
    <t>TAG Vinca SunJewels Mix 100/100 Pixie Tag</t>
  </si>
  <si>
    <t>0611884500100</t>
  </si>
  <si>
    <t>TAG Vinca SunJewels Peach Shades 100/100 Pixie Tag</t>
  </si>
  <si>
    <t>0611884501100</t>
  </si>
  <si>
    <t>TAG Vinca SunJewels Peppermint 100/100 Pixie Tag</t>
  </si>
  <si>
    <t>0611884502100</t>
  </si>
  <si>
    <t>TAG Vinca SunJewels Pink With Eye 100/100 Pixie Tag</t>
  </si>
  <si>
    <t>0611884503100</t>
  </si>
  <si>
    <t>TAG Vinca SunJewels Red With Eye 100/100 Pixie Tag</t>
  </si>
  <si>
    <t>0611884504100</t>
  </si>
  <si>
    <t>TAG Vinca SunJewels Rose With Eye 100/100 Pixie Tag</t>
  </si>
  <si>
    <t>0611884505100</t>
  </si>
  <si>
    <t>TAG Vinca SunJewels Strawberry 100/100 Pixie Tag</t>
  </si>
  <si>
    <t>0611884506100</t>
  </si>
  <si>
    <t>TAG Vinca SunJewels White 100/100 Pixie Tag</t>
  </si>
  <si>
    <t>0611832726100</t>
  </si>
  <si>
    <t>TAG Vinca Sunstorm Apricot 100/100 Pixie Tag SF</t>
  </si>
  <si>
    <t>0611832727100</t>
  </si>
  <si>
    <t>TAG Vinca Sunstorm Blush 100/100 Pixie Tag SF</t>
  </si>
  <si>
    <t>0611832728100</t>
  </si>
  <si>
    <t>TAG Vinca Sunstorm Bright Red 100/100 Pixie Tag SF</t>
  </si>
  <si>
    <t>0611832729100</t>
  </si>
  <si>
    <t>TAG Vinca Sunstorm Deep Lilac 100/100 Pixie Tag SF</t>
  </si>
  <si>
    <t>0611832730100</t>
  </si>
  <si>
    <t>TAG Vinca Sunstorm Deep Orchid 100/100 Pixie Tag SF</t>
  </si>
  <si>
    <t>0611832731100</t>
  </si>
  <si>
    <t>TAG Vinca Sunstorm Deep Pink 100/100 Pixie Tag SF</t>
  </si>
  <si>
    <t>0611832732100</t>
  </si>
  <si>
    <t>TAG Vinca Sunstorm Formula Mix 100/100 Pixie Tag SF</t>
  </si>
  <si>
    <t>0611832733100</t>
  </si>
  <si>
    <t>TAG Vinca Sunstorm Light Blue 100/100 Pixie Tag SF</t>
  </si>
  <si>
    <t>0611832736100</t>
  </si>
  <si>
    <t>TAG Vinca Sunstorm Pure White 100/100 Pixie Tag SF</t>
  </si>
  <si>
    <t>0611832737100</t>
  </si>
  <si>
    <t>TAG Vinca Sunstorm Purple 100/100 Pixie Tag SF</t>
  </si>
  <si>
    <t>0611832738100</t>
  </si>
  <si>
    <t>TAG Vinca Sunstorm Red 100/100 Pixie Tag SF</t>
  </si>
  <si>
    <t>0611832739100</t>
  </si>
  <si>
    <t>TAG Vinca Sunstorm Red Halo 100/100 Pixie Tag SF</t>
  </si>
  <si>
    <t>0611832740100</t>
  </si>
  <si>
    <t>TAG Vinca Sunstorm Rose With Eye 100/100 Pixie Tag SF</t>
  </si>
  <si>
    <t>0611832741100</t>
  </si>
  <si>
    <t>TAG Vinca Sunstorm White With Eye 100/100 Pixie Tag SF</t>
  </si>
  <si>
    <t>0611832742100</t>
  </si>
  <si>
    <t>TAG Vinca Tattoo American Pie Mix 100/100 Pixie Tag</t>
  </si>
  <si>
    <t>0611832743100</t>
  </si>
  <si>
    <t>TAG Vinca Tattoo Black Cherry 100/100 Pixie Tag</t>
  </si>
  <si>
    <t>0611832744100</t>
  </si>
  <si>
    <t>TAG Vinca Tattoo Blueberry 100/100 Pixie Tag</t>
  </si>
  <si>
    <t>0611857175100</t>
  </si>
  <si>
    <t>TAG Vinca Tattoo Orange 100/100 Pixie Tag</t>
  </si>
  <si>
    <t>0611832745100</t>
  </si>
  <si>
    <t>TAG Vinca Tattoo Papaya 100/100 Pixie Tag</t>
  </si>
  <si>
    <t>0611832746100</t>
  </si>
  <si>
    <t>TAG Vinca Tattoo Raspberry 100/100 Pixie Tag</t>
  </si>
  <si>
    <t>0611832747100</t>
  </si>
  <si>
    <t>TAG Vinca Tattoo Tangerine 100/100 Pixie Tag</t>
  </si>
  <si>
    <t>0611832748100</t>
  </si>
  <si>
    <t>TAG Vinca Titan Apricot 100/100 Pixie Tag</t>
  </si>
  <si>
    <t>0611832749100</t>
  </si>
  <si>
    <t>TAG Vinca Titan Blush 100/100 Pixie Tag</t>
  </si>
  <si>
    <t>0611832750100</t>
  </si>
  <si>
    <t>TAG Vinca Titan Bubble Gum Mix 100/100 Pixie Tag</t>
  </si>
  <si>
    <t>0611832751100</t>
  </si>
  <si>
    <t>TAG Vinca Titan Burgundy 100/100 Pixie Tag</t>
  </si>
  <si>
    <t>0611832752100</t>
  </si>
  <si>
    <t>TAG Vinca Titan Clear Mix 100/100 Pixie Tag</t>
  </si>
  <si>
    <t>0611832753100</t>
  </si>
  <si>
    <t>TAG Vinca Titan Cotton Candy Mix 100/100 Pixie Tag</t>
  </si>
  <si>
    <t>0611857176100</t>
  </si>
  <si>
    <t>TAG Vinca Titan Cranberry 100/100 Pixie Tag</t>
  </si>
  <si>
    <t>0611832754100</t>
  </si>
  <si>
    <t>TAG Vinca Titan Dark Red 100/100 Pixie Tag</t>
  </si>
  <si>
    <t>0611832755100</t>
  </si>
  <si>
    <t>TAG Vinca Titan Icy Pink 100/100 Pixie Tag</t>
  </si>
  <si>
    <t>0611832756100</t>
  </si>
  <si>
    <t>TAG Vinca Titan Lavender Bl Halo 100/100 Pixie Tag</t>
  </si>
  <si>
    <t>0611832757100</t>
  </si>
  <si>
    <t>TAG Vinca Titan Lilac 100/100 Pixie Tag</t>
  </si>
  <si>
    <t>0611832758100</t>
  </si>
  <si>
    <t>TAG Vinca Titan Mix 100/100 Pixie Tag</t>
  </si>
  <si>
    <t>0611832759100</t>
  </si>
  <si>
    <t>TAG Vinca Titan Polka Dot 100/100 Pixie Tag</t>
  </si>
  <si>
    <t>0611832760100</t>
  </si>
  <si>
    <t>TAG Vinca Titan Punch 100/100 Pixie Tag</t>
  </si>
  <si>
    <t>0611832761100</t>
  </si>
  <si>
    <t>TAG Vinca Titan Pure White 100/100 Pixie Tag</t>
  </si>
  <si>
    <t>0611832762100</t>
  </si>
  <si>
    <t>TAG Vinca Titan Really Red 100/100 Pixie Tag</t>
  </si>
  <si>
    <t>0611832763100</t>
  </si>
  <si>
    <t>TAG Vinca Titan Red And White Mix 100/100 Pixie Tag</t>
  </si>
  <si>
    <t>0611832764100</t>
  </si>
  <si>
    <t>TAG Vinca Titan Romance Mix 100/100 Pixie Tag</t>
  </si>
  <si>
    <t>0611832765100</t>
  </si>
  <si>
    <t>TAG Vinca Titan Rose 100/100 Pixie Tag</t>
  </si>
  <si>
    <t>0611832766100</t>
  </si>
  <si>
    <t>TAG Vinca Titan Rose Halo 100/100 Pixie Tag</t>
  </si>
  <si>
    <t>0611832767100</t>
  </si>
  <si>
    <t>TAG Vinca Titan Series 100/100 Pixie Tag</t>
  </si>
  <si>
    <t>0611832768100</t>
  </si>
  <si>
    <t>TAG Vinca Titan Summer Breeze Mix 100/100 Pixie Tag</t>
  </si>
  <si>
    <t>0611832769100</t>
  </si>
  <si>
    <t>TAG Vinca Trailing GENERIC 100/100 Pixie Tag</t>
  </si>
  <si>
    <t>0611832770100</t>
  </si>
  <si>
    <t>TAG Vinca Upright GENERIC 100/100 Pixie Tag</t>
  </si>
  <si>
    <t>0611832771100</t>
  </si>
  <si>
    <t>TAG Vinca Upright Purple GENERIC 100/100 Pixie Tag</t>
  </si>
  <si>
    <t>0611832772100</t>
  </si>
  <si>
    <t>TAG Vinca Upright Red GENERIC 100/100 Pixie Tag</t>
  </si>
  <si>
    <t>0611832773100</t>
  </si>
  <si>
    <t>TAG Vinca Upright White GENERIC 100/100 Pixie Tag</t>
  </si>
  <si>
    <t>0611832774100</t>
  </si>
  <si>
    <t>TAG Vinca Valiant Apricot 100/100 Pixie Tag</t>
  </si>
  <si>
    <t>0611832775100</t>
  </si>
  <si>
    <t>TAG Vinca Valiant Burgundy 100/100 Pixie Tag</t>
  </si>
  <si>
    <t>0611832776100</t>
  </si>
  <si>
    <t>TAG Vinca Valiant Lilac 100/100 Pixie Tag</t>
  </si>
  <si>
    <t>0611832777100</t>
  </si>
  <si>
    <t>TAG Vinca Valiant Magenta 100/100 Pixie Tag</t>
  </si>
  <si>
    <t>0611832778100</t>
  </si>
  <si>
    <t>TAG Vinca Valiant Mix 100/100 Pixie Tag</t>
  </si>
  <si>
    <t>0611832779100</t>
  </si>
  <si>
    <t>TAG Vinca Valiant Orchid 100/100 Pixie Tag</t>
  </si>
  <si>
    <t>0611832780100</t>
  </si>
  <si>
    <t>TAG Vinca Valiant Punch 100/100 Pixie Tag</t>
  </si>
  <si>
    <t>0611832781100</t>
  </si>
  <si>
    <t>TAG Vinca Valiant Pure White 100/100 Pixie Tag</t>
  </si>
  <si>
    <t>0611832782100</t>
  </si>
  <si>
    <t>TAG Vinca Victory Blue 100/100 Pixie Tag</t>
  </si>
  <si>
    <t>0611832783100</t>
  </si>
  <si>
    <t>TAG Vinca Victory Cranberry 100/100 Pixie Tag</t>
  </si>
  <si>
    <t>0611832784100</t>
  </si>
  <si>
    <t>TAG Vinca Victory Purple 100/100 Pixie Tag</t>
  </si>
  <si>
    <t>0611832785100</t>
  </si>
  <si>
    <t>TAG Vinca Victory Red 100/100 Pixie Tag</t>
  </si>
  <si>
    <t>0611857177100</t>
  </si>
  <si>
    <t>TAG Vinca Virtuosa Apricot 100/100 Pixie Tag</t>
  </si>
  <si>
    <t>0611832789100</t>
  </si>
  <si>
    <t>TAG Vinca Virtuosa Cranberry 100/100 Pixie Tag</t>
  </si>
  <si>
    <t>0611832790100</t>
  </si>
  <si>
    <t>TAG Vinca Virtuosa Deep Purple 100/100 Pixie Tag</t>
  </si>
  <si>
    <t>0611832791100</t>
  </si>
  <si>
    <t>TAG Vinca Virtuosa Deep Red 100/100 Pixie Tag</t>
  </si>
  <si>
    <t>0611832792100</t>
  </si>
  <si>
    <t>TAG Vinca Virtuosa Lavender 100/100 Pixie Tag</t>
  </si>
  <si>
    <t>0611832793100</t>
  </si>
  <si>
    <t>TAG Vinca Virtuosa Mix 100/100 Pixie Tag</t>
  </si>
  <si>
    <t>0611857178100</t>
  </si>
  <si>
    <t>TAG Vinca Virtuosa Orchid 100/100 Pixie Tag</t>
  </si>
  <si>
    <t>0611857179100</t>
  </si>
  <si>
    <t>TAG Vinca Virtuosa Pink 100/100 Pixie Tag</t>
  </si>
  <si>
    <t>0611832794100</t>
  </si>
  <si>
    <t>TAG Vinca Virtuosa Polka Dot 100/100 Pixie Tag</t>
  </si>
  <si>
    <t>0611832795100</t>
  </si>
  <si>
    <t>TAG Vinca Virtuosa Punch 100/100 Pixie Tag</t>
  </si>
  <si>
    <t>0611857180100</t>
  </si>
  <si>
    <t>TAG Vinca Virtuosa Raspberry 100/100 Pixie Tag</t>
  </si>
  <si>
    <t>0611832796100</t>
  </si>
  <si>
    <t>TAG Vinca Virtuosa Rose 100/100 Pixie Tag</t>
  </si>
  <si>
    <t>0611832797100</t>
  </si>
  <si>
    <t>TAG Vinca Virtuosa White 100/100 Pixie Tag</t>
  </si>
  <si>
    <t>0611832802100</t>
  </si>
  <si>
    <t>TAG Vinca Vitesse Patriot Mix 100/100 Pixie Tag SF</t>
  </si>
  <si>
    <t>0611832803100</t>
  </si>
  <si>
    <t>TAG Vinca Vitesse Series 100/100 Pixie Tag SF</t>
  </si>
  <si>
    <t>0611832693100</t>
  </si>
  <si>
    <t>TAG Vinca XP Pacifica XP Apricot 100/100 Pixie Tag</t>
  </si>
  <si>
    <t>0611832694100</t>
  </si>
  <si>
    <t>TAG Vinca XP Pacifica XP Blush 100/100 Pixie Tag</t>
  </si>
  <si>
    <t>0611832695100</t>
  </si>
  <si>
    <t>TAG Vinca XP Pacifica XP Bold Mix 100/100 Pixie Tag</t>
  </si>
  <si>
    <t>0611832697100</t>
  </si>
  <si>
    <t>TAG Vinca XP Pacifica XP Burgundy 100/100 Pixie Tag</t>
  </si>
  <si>
    <t>0611832696100</t>
  </si>
  <si>
    <t>TAG Vinca XP Pacifica XP Burgundy Halo 100/100 Pixie Tag</t>
  </si>
  <si>
    <t>0611884507100</t>
  </si>
  <si>
    <t>TAG Viola Admire Blue Heaven 100/100 Pixie Tag</t>
  </si>
  <si>
    <t>0611884508100</t>
  </si>
  <si>
    <t>TAG Viola Admire Cream 100/100 Pixie Tag</t>
  </si>
  <si>
    <t>0611884509100</t>
  </si>
  <si>
    <t>TAG Viola Admire Red Yellow Face 100/100 Pixie Tag</t>
  </si>
  <si>
    <t>0611884510100</t>
  </si>
  <si>
    <t>TAG Viola ColorMax Blue Jeans 100/100 Pixie Tag</t>
  </si>
  <si>
    <t>0611884512100</t>
  </si>
  <si>
    <t>TAG Viola Delta Speedy White With Blotch 100/100 Pixie Tag</t>
  </si>
  <si>
    <t>0611884513100</t>
  </si>
  <si>
    <t>TAG Viola Deltini Lavender Pink Face 100/100 Pixie Tag SF</t>
  </si>
  <si>
    <t>0611884514100</t>
  </si>
  <si>
    <t>TAG Viola Grandio Lavender Shades 100/100 Pixie Tag</t>
  </si>
  <si>
    <t>0611884515100</t>
  </si>
  <si>
    <t>TAG Viola Highflyer Series 100/100 Pixie Tag</t>
  </si>
  <si>
    <t>0611884516100</t>
  </si>
  <si>
    <t>TAG Viola Inspire DeluXXe Red Blotch 100/100 Pixie Tag</t>
  </si>
  <si>
    <t>0611840372100</t>
  </si>
  <si>
    <t>TAG Viola Inspire Plus Blue Blotch 100/100 Pixie Tag</t>
  </si>
  <si>
    <t>0611884517100</t>
  </si>
  <si>
    <t>TAG Viola Inspire Plus Series 100/100 Pixie Tag</t>
  </si>
  <si>
    <t>0611840597100</t>
  </si>
  <si>
    <t>TAG Viola Sorbet Antique Shades 100/100 Pixie Tag</t>
  </si>
  <si>
    <t>0611840602100</t>
  </si>
  <si>
    <t>TAG Viola Sorbet Babyface Mix 100/100 Pixie Tag</t>
  </si>
  <si>
    <t>0611840603100</t>
  </si>
  <si>
    <t>TAG Viola Sorbet Babyface Ruby And Gold 100/100 Pixie Tag</t>
  </si>
  <si>
    <t>0611840608100</t>
  </si>
  <si>
    <t>TAG Viola Sorbet Black Delight 100/100 Pixie Tag</t>
  </si>
  <si>
    <t>0611840616100</t>
  </si>
  <si>
    <t>TAG Viola Sorbet Blue Heaven 100/100 Pixie Tag</t>
  </si>
  <si>
    <t>0611840618100</t>
  </si>
  <si>
    <t>TAG Viola Sorbet Carmine Rose 100/100 Pixie Tag</t>
  </si>
  <si>
    <t>0611840625100</t>
  </si>
  <si>
    <t>TAG Viola Sorbet Fire 100/100 Pixie Tag</t>
  </si>
  <si>
    <t>0611840627100</t>
  </si>
  <si>
    <t>TAG Viola Sorbet Honeybee 100/100 Pixie Tag</t>
  </si>
  <si>
    <t>0611840628100</t>
  </si>
  <si>
    <t>TAG Viola Sorbet Icy Blue 100/100 Pixie Tag</t>
  </si>
  <si>
    <t>0611840632100</t>
  </si>
  <si>
    <t>TAG Viola Sorbet Jump Up Black 100/100 Pixie Tag</t>
  </si>
  <si>
    <t>0611840633100</t>
  </si>
  <si>
    <t>TAG Viola Sorbet Jump Up Denim 100/100 Pixie Tag</t>
  </si>
  <si>
    <t>0611840638100</t>
  </si>
  <si>
    <t>TAG Viola Sorbet Jump Up Yellow Blue 100/100 Pixie Tag</t>
  </si>
  <si>
    <t>0611840630100</t>
  </si>
  <si>
    <t>TAG Viola Sorbet Jump Up Yellow Burgundy 100/100 Pixie Tag</t>
  </si>
  <si>
    <t>0611840641100</t>
  </si>
  <si>
    <t>TAG Viola Sorbet Lemon Chiffon 100/100 Pixie Tag</t>
  </si>
  <si>
    <t>0611840643100</t>
  </si>
  <si>
    <t>TAG Viola Sorbet Lilac Ice 100/100 Pixie Tag</t>
  </si>
  <si>
    <t>0611840648100</t>
  </si>
  <si>
    <t>TAG Viola Sorbet Midnight Glow 100/100 Pixie Tag</t>
  </si>
  <si>
    <t>0611840649100</t>
  </si>
  <si>
    <t>TAG Viola Sorbet Mix 100/100 Pixie Tag</t>
  </si>
  <si>
    <t>0611840653100</t>
  </si>
  <si>
    <t>TAG Viola Sorbet Ocean Breeze Mix 100/100 Pixie Tag</t>
  </si>
  <si>
    <t>0611840654100</t>
  </si>
  <si>
    <t>TAG Viola Sorbet Orange Delight 100/100 Pixie Tag</t>
  </si>
  <si>
    <t>0611840655100</t>
  </si>
  <si>
    <t>TAG Viola Sorbet Orange Duet 100/100 Pixie Tag</t>
  </si>
  <si>
    <t>0611840668100</t>
  </si>
  <si>
    <t>TAG Viola Sorbet Red Blotch 100/100 Pixie Tag</t>
  </si>
  <si>
    <t>0611840670100</t>
  </si>
  <si>
    <t>TAG Viola Sorbet Rose Wing 100/100 Pixie Tag</t>
  </si>
  <si>
    <t>0611840672025</t>
  </si>
  <si>
    <t>TAG Viola Sorbet Series 25/25 Portrait Tag</t>
  </si>
  <si>
    <t>0611840675100</t>
  </si>
  <si>
    <t>TAG Viola Sorbet Sunny Royale 100/100 Pixie Tag</t>
  </si>
  <si>
    <t>0611840677100</t>
  </si>
  <si>
    <t>TAG Viola Sorbet Tiger Eye 100/100 Pixie Tag</t>
  </si>
  <si>
    <t>0611840598100</t>
  </si>
  <si>
    <t>TAG Viola Sorbet XP Autumn Select Mix 100/100 Pixie Tag</t>
  </si>
  <si>
    <t>0611840605100</t>
  </si>
  <si>
    <t>TAG Viola Sorbet XP Beaconberry Mix 100/100 Pixie Tag</t>
  </si>
  <si>
    <t>0611840606100</t>
  </si>
  <si>
    <t>TAG Viola Sorbet XP Beaconsfield 100/100 Pixie Tag</t>
  </si>
  <si>
    <t>0611840611100</t>
  </si>
  <si>
    <t>TAG Viola Sorbet XP Blackberry 100/100 Pixie Tag</t>
  </si>
  <si>
    <t>0611840607100</t>
  </si>
  <si>
    <t>TAG Viola Sorbet XP Blackberry Sundae Mix 100/100 Pixie Tag</t>
  </si>
  <si>
    <t>0611840614100</t>
  </si>
  <si>
    <t>TAG Viola Sorbet XP Blotch Mix 100/100 Pixie Tag</t>
  </si>
  <si>
    <t>0611840615100</t>
  </si>
  <si>
    <t>TAG Viola Sorbet XP Blue Blotch 100/100 Pixie Tag</t>
  </si>
  <si>
    <t>0611840612100</t>
  </si>
  <si>
    <t>TAG Viola Sorbet XP Blueberry Frost Mix 100/100 Pixie Tag</t>
  </si>
  <si>
    <t>0611840613100</t>
  </si>
  <si>
    <t>TAG Viola Sorbet XP Blueberry Sundae Mix 100/100 Pixie Tag</t>
  </si>
  <si>
    <t>0611840619100</t>
  </si>
  <si>
    <t>TAG Viola Sorbet XP Citrus Mix 100/100 Pixie Tag</t>
  </si>
  <si>
    <t>0611840622100</t>
  </si>
  <si>
    <t>TAG Viola Sorbet XP Coconut Swirl 100/100 Pixie Tag</t>
  </si>
  <si>
    <t>0611840623100</t>
  </si>
  <si>
    <t>TAG Viola Sorbet XP Deep Orange 100/100 Pixie Tag</t>
  </si>
  <si>
    <t>0611840624100</t>
  </si>
  <si>
    <t>TAG Viola Sorbet XP Delft Blue 100/100 Pixie Tag</t>
  </si>
  <si>
    <t>0611840626100</t>
  </si>
  <si>
    <t>TAG Viola Sorbet XP Harvest Mix 100/100 Pixie Tag</t>
  </si>
  <si>
    <t>0611840634100</t>
  </si>
  <si>
    <t>TAG Viola Sorbet XP Jump Up Lemon 100/100 Pixie Tag</t>
  </si>
  <si>
    <t>0611840635100</t>
  </si>
  <si>
    <t>TAG Viola Sorbet XP Jump Up Mix 100/100 Pixie Tag</t>
  </si>
  <si>
    <t>0611840636100</t>
  </si>
  <si>
    <t>TAG Viola Sorbet XP Jump Up Orange 100/100 Pixie Tag</t>
  </si>
  <si>
    <t>0611840637100</t>
  </si>
  <si>
    <t>TAG Viola Sorbet XP Jump Up White 100/100 Pixie Tag</t>
  </si>
  <si>
    <t>0611840639100</t>
  </si>
  <si>
    <t>TAG Viola Sorbet XP Jump Up Yellow 100/100 Pixie Tag</t>
  </si>
  <si>
    <t>0611840629100</t>
  </si>
  <si>
    <t>TAG Viola Sorbet XP Jump Up Yellow Pink 100/100 Pixie Tag</t>
  </si>
  <si>
    <t>0611840640100</t>
  </si>
  <si>
    <t>TAG Viola Sorbet XP Lavender Pink 100/100 Pixie Tag</t>
  </si>
  <si>
    <t>0611840645100</t>
  </si>
  <si>
    <t>TAG Viola Sorbet XP Lmn Ice Blotch 100/100 Pixie Tag</t>
  </si>
  <si>
    <t>0611840646100</t>
  </si>
  <si>
    <t>TAG Viola Sorbet XP Lmn Prfait Mix 100/100 Pixie Tag</t>
  </si>
  <si>
    <t>0611840647100</t>
  </si>
  <si>
    <t>TAG Viola Sorbet XP Marina 100/100 Pixie Tag</t>
  </si>
  <si>
    <t>0611840650100</t>
  </si>
  <si>
    <t>TAG Viola Sorbet XP Mix 100/100 Pixie Tag</t>
  </si>
  <si>
    <t>0611840651100</t>
  </si>
  <si>
    <t>TAG Viola Sorbet XP Morpho 100/100 Pixie Tag</t>
  </si>
  <si>
    <t>0611840652100</t>
  </si>
  <si>
    <t>TAG Viola Sorbet XP Neptune 100/100 Pixie Tag</t>
  </si>
  <si>
    <t>0611840656100</t>
  </si>
  <si>
    <t>TAG Viola Sorbet XP Orange 100/100 Pixie Tag</t>
  </si>
  <si>
    <t>0611840657100</t>
  </si>
  <si>
    <t>TAG Viola Sorbet XP Orchid Rose Bcn 100/100 Pixie Tag</t>
  </si>
  <si>
    <t>0611840660100</t>
  </si>
  <si>
    <t>TAG Viola Sorbet XP Pink Halo 100/100 Pixie Tag</t>
  </si>
  <si>
    <t>0611840661100</t>
  </si>
  <si>
    <t>TAG Viola Sorbet XP Pink Wing 100/100 Pixie Tag</t>
  </si>
  <si>
    <t>0611840663100</t>
  </si>
  <si>
    <t>TAG Viola Sorbet XP Primrose Blotch 100/100 Pixie Tag</t>
  </si>
  <si>
    <t>0611840665100</t>
  </si>
  <si>
    <t>TAG Viola Sorbet XP Purple 100/100 Pixie Tag</t>
  </si>
  <si>
    <t>0611840664100</t>
  </si>
  <si>
    <t>TAG Viola Sorbet XP Purple Face 100/100 Pixie Tag</t>
  </si>
  <si>
    <t>0611840667100</t>
  </si>
  <si>
    <t>TAG Viola Sorbet XP Raspberry 100/100 Pixie Tag</t>
  </si>
  <si>
    <t>0611840666100</t>
  </si>
  <si>
    <t>TAG Viola Sorbet XP Raspberry Sndae Mix 100/100 Pixie Tag</t>
  </si>
  <si>
    <t>0611857182100</t>
  </si>
  <si>
    <t>TAG Viola Sorbet XP Red 100/100 Pixie Tag</t>
  </si>
  <si>
    <t>0611840669100</t>
  </si>
  <si>
    <t>TAG Viola Sorbet XP Rose Blotch 100/100 Pixie Tag</t>
  </si>
  <si>
    <t>0611840671100</t>
  </si>
  <si>
    <t>TAG Viola Sorbet XP Select Mix 100/100 Pixie Tag</t>
  </si>
  <si>
    <t>0611840673100</t>
  </si>
  <si>
    <t>TAG Viola Sorbet XP Spring Select Mix 100/100 Pixie Tag</t>
  </si>
  <si>
    <t>0611840678100</t>
  </si>
  <si>
    <t>TAG Viola Sorbet XP True Blue 100/100 Pixie Tag</t>
  </si>
  <si>
    <t>0611840679100</t>
  </si>
  <si>
    <t>TAG Viola Sorbet XP Violet Beacon 100/100 Pixie Tag</t>
  </si>
  <si>
    <t>0611840681100</t>
  </si>
  <si>
    <t>TAG Viola Sorbet XP White 100/100 Pixie Tag</t>
  </si>
  <si>
    <t>0611840680100</t>
  </si>
  <si>
    <t>TAG Viola Sorbet XP White Blotch 100/100 Pixie Tag</t>
  </si>
  <si>
    <t>0611840687100</t>
  </si>
  <si>
    <t>TAG Viola Sorbet XP Yellow 100/100 Pixie Tag</t>
  </si>
  <si>
    <t>0611840682100</t>
  </si>
  <si>
    <t>TAG Viola Sorbet XP Yellow Blotch 100/100 Pixie Tag</t>
  </si>
  <si>
    <t>0611840684100</t>
  </si>
  <si>
    <t>TAG Viola Sorbet XP Yellow Duet 100/100 Pixie Tag</t>
  </si>
  <si>
    <t>0611840676100</t>
  </si>
  <si>
    <t>TAG Viola Sorbet XP Yesterday, Today And Tmorrow 100/100 Pixie Tag</t>
  </si>
  <si>
    <t>0611840683100</t>
  </si>
  <si>
    <t>TAG Viola Sorbet Yellow Delight 100/100 Pixie Tag</t>
  </si>
  <si>
    <t>0611840686100</t>
  </si>
  <si>
    <t>TAG Viola Sorbet Yellow Pink Wing 100/100 Pixie Tag</t>
  </si>
  <si>
    <t>0611840688025</t>
  </si>
  <si>
    <t>TAG Viola Starry Night 25/25 Portrait Tag</t>
  </si>
  <si>
    <t>0611840689100</t>
  </si>
  <si>
    <t>TAG Viola Tiger Eye Mix 100/100 Pixie Tag SF</t>
  </si>
  <si>
    <t>0611840690100</t>
  </si>
  <si>
    <t>TAG Viola Tiger Eye Red 100/100 Pixie Tag SF</t>
  </si>
  <si>
    <t>0611840691100</t>
  </si>
  <si>
    <t>TAG Viola Tiger Eye Yellow 100/100 Pixie Tag SF</t>
  </si>
  <si>
    <t>0611840692100</t>
  </si>
  <si>
    <t>TAG Viola Tiger Eyes 100/100 Pixie Tag SF</t>
  </si>
  <si>
    <t>0611840693100</t>
  </si>
  <si>
    <t>TAG Viola Trailing Pansy GENERIC 100/100 Pixie Tag</t>
  </si>
  <si>
    <t>0611840694100</t>
  </si>
  <si>
    <t>TAG Viola True Blue GENERIC 100/100 Pixie Tag</t>
  </si>
  <si>
    <t>0611840699100</t>
  </si>
  <si>
    <t>TAG Viola Viola GENERIC 100/100 Hang Tag</t>
  </si>
  <si>
    <t>0611840700100</t>
  </si>
  <si>
    <t>TAG Viola Viola GENERIC Bilingual 100/100 Pixie Tag</t>
  </si>
  <si>
    <t>0611840701025</t>
  </si>
  <si>
    <t>TAG Viola Violet GENERIC 25/25 Portrait Tag</t>
  </si>
  <si>
    <t>0611840702100</t>
  </si>
  <si>
    <t>TAG Viola Watercolors Mix 100/100 Pixie Tag</t>
  </si>
  <si>
    <t>0611840711100</t>
  </si>
  <si>
    <t>TAG Viola White GENERIC 100/100 Pixie Tag</t>
  </si>
  <si>
    <t>0611840703100</t>
  </si>
  <si>
    <t>TAG Viola White GENERIC Bilingual 100/100 Pixie Tag</t>
  </si>
  <si>
    <t>0611840704100</t>
  </si>
  <si>
    <t>TAG Viola White With Blotch GENERIC Bilingual 100/100 Pixie Tag</t>
  </si>
  <si>
    <t>0611840725100</t>
  </si>
  <si>
    <t>TAG Viola Yellow GENERIC 100/100 Pixie Tag</t>
  </si>
  <si>
    <t>0611840724100</t>
  </si>
  <si>
    <t>TAG Viola Yellow GENERIC Bilingual 100/100 Pixie Tag</t>
  </si>
  <si>
    <t>0611840723100</t>
  </si>
  <si>
    <t>TAG Viola Yellow With Blotch GENERIC Bilingual 100/100 Pixie Tag</t>
  </si>
  <si>
    <t>0611864323100</t>
  </si>
  <si>
    <t>TAG Waldsteinia Strawberry Limited Availability 100/100 Pixie Tag</t>
  </si>
  <si>
    <t>0611864324050</t>
  </si>
  <si>
    <t>TAG Waldsteinia Strawberry Limited Availability 50/50 Petite Portrait</t>
  </si>
  <si>
    <t>0611840727025</t>
  </si>
  <si>
    <t>TAG Waldsteinia Ternata 25/25 Portrait Tag</t>
  </si>
  <si>
    <t>0611833073100</t>
  </si>
  <si>
    <t>TAG Watermelon Black Diamond 100/100 Pixie Tag</t>
  </si>
  <si>
    <t>0611833074100</t>
  </si>
  <si>
    <t>TAG Watermelon Cal Sweet Bush 100/100 Pixie Tag</t>
  </si>
  <si>
    <t>0611857183100</t>
  </si>
  <si>
    <t>TAG Watermelon Century Star 100/100 Pixie Tag</t>
  </si>
  <si>
    <t>0611833075100</t>
  </si>
  <si>
    <t>TAG Watermelon Charleston Gray 100/100 Pixie Tag</t>
  </si>
  <si>
    <t>0611833077100</t>
  </si>
  <si>
    <t>TAG Watermelon Crimson Sweet 100/100 Pixie Tag</t>
  </si>
  <si>
    <t>0611833078200</t>
  </si>
  <si>
    <t>TAG Watermelon Crimson Sweet 200/200 Thriftee Tag</t>
  </si>
  <si>
    <t>0611833080100</t>
  </si>
  <si>
    <t>TAG Watermelon Dixie Queen 100/100 Pixie Tag</t>
  </si>
  <si>
    <t>0611833094100</t>
  </si>
  <si>
    <t>TAG Watermelon GENERIC 100/100 Pixie Tag</t>
  </si>
  <si>
    <t>0611833081100</t>
  </si>
  <si>
    <t>TAG Watermelon Jubilee 100/100 Pixie Tag</t>
  </si>
  <si>
    <t>0611833082100</t>
  </si>
  <si>
    <t>TAG Watermelon Mambo 100/100 Pixie Tag</t>
  </si>
  <si>
    <t>0611833083100</t>
  </si>
  <si>
    <t>TAG Watermelon Mini Love 100/100 Pixie Tag</t>
  </si>
  <si>
    <t>0611833084100</t>
  </si>
  <si>
    <t>TAG Watermelon Moon And Stars 100/100 Pixie Tag</t>
  </si>
  <si>
    <t>0611833085100</t>
  </si>
  <si>
    <t>TAG Watermelon Orange GENERIC 100/100 Pixie Tag</t>
  </si>
  <si>
    <t>0611884097100</t>
  </si>
  <si>
    <t>TAG Watermelon Rubyfirm 100/100 Pixie Tag</t>
  </si>
  <si>
    <t>0611833087100</t>
  </si>
  <si>
    <t>TAG Watermelon Sangria 100/100 Pixie Tag SF</t>
  </si>
  <si>
    <t>0611833088100</t>
  </si>
  <si>
    <t>TAG Watermelon Seedless GENERIC 100/100 Pixie Tag</t>
  </si>
  <si>
    <t>0611833089100</t>
  </si>
  <si>
    <t>TAG Watermelon Shiny Boy 100/100 Pixie Tag</t>
  </si>
  <si>
    <t>0611833090100</t>
  </si>
  <si>
    <t>TAG Watermelon Sugar Baby 100/100 Pixie Tag</t>
  </si>
  <si>
    <t>0611833091100</t>
  </si>
  <si>
    <t>TAG Watermelon Sweet Baby 100/100 Pixie Tag</t>
  </si>
  <si>
    <t>0611833092100</t>
  </si>
  <si>
    <t>TAG Watermelon Sweet Favorite Hybrid 100/100 Pixie Tag</t>
  </si>
  <si>
    <t>0611833095100</t>
  </si>
  <si>
    <t>TAG Watermelon Yellow Baby 100/100 Pixie Tag</t>
  </si>
  <si>
    <t>0611833096100</t>
  </si>
  <si>
    <t>TAG Watermelon Yellow Doll 100/100 Pixie Tag</t>
  </si>
  <si>
    <t>0611840729100</t>
  </si>
  <si>
    <t>TAG Wedelia GENERIC 100/100 Pixie Tag</t>
  </si>
  <si>
    <t>0611864325050</t>
  </si>
  <si>
    <t>TAG Welcome To The Jungle House Plant 50/50 Petite Portrait</t>
  </si>
  <si>
    <t>0611839087100</t>
  </si>
  <si>
    <t>TAG Winter Savory 100/100 Pixie Tag</t>
  </si>
  <si>
    <t>0611840730025</t>
  </si>
  <si>
    <t>TAG Zaluzianskya Orange Eye Ovata 25/25 Portrait Tag</t>
  </si>
  <si>
    <t>0611840731025</t>
  </si>
  <si>
    <t>TAG Zaluzianskya Ovata 25/25 Portrait Tag</t>
  </si>
  <si>
    <t>0611884518100</t>
  </si>
  <si>
    <t>TAG Zamia ZZ Plant 100/100 Pixie Tag</t>
  </si>
  <si>
    <t>0611884519050</t>
  </si>
  <si>
    <t>TAG Zantedeschia Calla Arabian Night 50/50 Petite Portrait FUL</t>
  </si>
  <si>
    <t>0611884520050</t>
  </si>
  <si>
    <t>TAG Zantedeschia Calla Beijing 50/50 Petite Portrait FUL</t>
  </si>
  <si>
    <t>0611884521050</t>
  </si>
  <si>
    <t>TAG Zantedeschia Calla Belcanto 50/50 Petite Portrait FUL</t>
  </si>
  <si>
    <t>0611884522050</t>
  </si>
  <si>
    <t>TAG Zantedeschia Calla Buffalo 50/50 Petite Portrait FUL</t>
  </si>
  <si>
    <t>0611884523050</t>
  </si>
  <si>
    <t>TAG Zantedeschia Calla Durban 50/50 Petite Portrait FUL</t>
  </si>
  <si>
    <t>0611884524050</t>
  </si>
  <si>
    <t>TAG Zantedeschia Calla Kunming 50/50 Petite Portrait FUL</t>
  </si>
  <si>
    <t>0611860942050</t>
  </si>
  <si>
    <t>TAG Zantedeschia Calla Lily 50/50 Petite Portrait FUL</t>
  </si>
  <si>
    <t>0611860943050</t>
  </si>
  <si>
    <t>TAG Zantedeschia Calla Lily Acapulco Gold 50/50 Petite Portrait FUL</t>
  </si>
  <si>
    <t>0611860944050</t>
  </si>
  <si>
    <t>TAG Zantedeschia Calla Lily Accent 50/50 Petite Portrait FUL</t>
  </si>
  <si>
    <t>0611860945050</t>
  </si>
  <si>
    <t>TAG Zantedeschia Calla Lily Airbrush 50/50 Petite Portrait FUL</t>
  </si>
  <si>
    <t>0611860946050</t>
  </si>
  <si>
    <t>TAG Zantedeschia Calla Lily Alice Springs 50/50 Petite Portrait FUL</t>
  </si>
  <si>
    <t>0611860948050</t>
  </si>
  <si>
    <t>TAG Zantedeschia Calla Lily Apricot Lady 50/50 Petite Portrait FUL</t>
  </si>
  <si>
    <t>0611860949050</t>
  </si>
  <si>
    <t>TAG Zantedeschia Calla Lily Aspen 50/50 Petite Portrait FUL</t>
  </si>
  <si>
    <t>0611860950050</t>
  </si>
  <si>
    <t>TAG Zantedeschia Calla Lily Beatrix 50/50 Petite Portrait FUL</t>
  </si>
  <si>
    <t>0611860952050</t>
  </si>
  <si>
    <t>TAG Zantedeschia Calla Lily Bloody Mary 50/50 Petite Portrait FUL</t>
  </si>
  <si>
    <t>0611860953050</t>
  </si>
  <si>
    <t>TAG Zantedeschia Calla Lily Brasilia 50/50 Petite Portrait FUL</t>
  </si>
  <si>
    <t>0611860954050</t>
  </si>
  <si>
    <t>TAG Zantedeschia Calla Lily Bullit 50/50 Petite Portrait FUL</t>
  </si>
  <si>
    <t>0611860955050</t>
  </si>
  <si>
    <t>TAG Zantedeschia Calla Lily Callafornia Carnival 50/50 Petite Portrait FUL</t>
  </si>
  <si>
    <t>0611860956050</t>
  </si>
  <si>
    <t>TAG Zantedeschia Calla Lily Callafornia Red 50/50 Petite Portrait FUL</t>
  </si>
  <si>
    <t>0611860957050</t>
  </si>
  <si>
    <t>TAG Zantedeschia Calla Lily Cancun 50/50 Petite Portrait FUL</t>
  </si>
  <si>
    <t>0611860958050</t>
  </si>
  <si>
    <t>TAG Zantedeschia Calla Lily Cantor 50/50 Petite Portrait FUL</t>
  </si>
  <si>
    <t>0611860959050</t>
  </si>
  <si>
    <t>TAG Zantedeschia Calla Lily Capitola 50/50 Petite Portrait FUL</t>
  </si>
  <si>
    <t>0611860960050</t>
  </si>
  <si>
    <t>TAG Zantedeschia Calla Lily Captain Brunello 50/50 Petite Portrait FUL</t>
  </si>
  <si>
    <t>0611860961050</t>
  </si>
  <si>
    <t>TAG Zantedeschia Calla Lily Captain Fuego 50/50 Petite Portrait FUL</t>
  </si>
  <si>
    <t>0611860962050</t>
  </si>
  <si>
    <t>TAG Zantedeschia Calla Lily Captain Marrero 50/50 Petite Portrait FUL</t>
  </si>
  <si>
    <t>0611860964050</t>
  </si>
  <si>
    <t>TAG Zantedeschia Calla Lily Captain Morelli 50/50 Petite Portrait FUL</t>
  </si>
  <si>
    <t>0611860965050</t>
  </si>
  <si>
    <t>TAG Zantedeschia Calla Lily Captain Odeon 50/50 Petite Portrait FUL</t>
  </si>
  <si>
    <t>0611860966050</t>
  </si>
  <si>
    <t>TAG Zantedeschia Calla Lily Captain Promise 50/50 Petite Portrait FUL</t>
  </si>
  <si>
    <t>0611860967050</t>
  </si>
  <si>
    <t>TAG Zantedeschia Calla Lily Captain Reno 50/50 Petite Portrait FUL</t>
  </si>
  <si>
    <t>0611860968050</t>
  </si>
  <si>
    <t>TAG Zantedeschia Calla Lily Captain Romance 50/50 Petite Portrait FUL</t>
  </si>
  <si>
    <t>0611860969050</t>
  </si>
  <si>
    <t>TAG Zantedeschia Calla Lily Captain Rosette 50/50 Petite Portrait FUL</t>
  </si>
  <si>
    <t>0611860970050</t>
  </si>
  <si>
    <t>TAG Zantedeschia Calla Lily Captain Solo 50/50 Petite Portrait FUL</t>
  </si>
  <si>
    <t>0611860971050</t>
  </si>
  <si>
    <t>TAG Zantedeschia Calla Lily Captain Trinity 50/50 Petite Portrait FUL</t>
  </si>
  <si>
    <t>0611860972050</t>
  </si>
  <si>
    <t>TAG Zantedeschia Calla Lily Captain Ventura 50/50 Petite Portrait FUL</t>
  </si>
  <si>
    <t>0611860973050</t>
  </si>
  <si>
    <t>TAG Zantedeschia Calla Lily Copacabana 50/50 Petite Portrait FUL</t>
  </si>
  <si>
    <t>0611860974050</t>
  </si>
  <si>
    <t>TAG Zantedeschia Calla Lily Corazon 50/50 Petite Portrait FUL</t>
  </si>
  <si>
    <t>0611860975050</t>
  </si>
  <si>
    <t>TAG Zantedeschia Calla Lily Crystal Blush 50/50 Petite Portrait FUL</t>
  </si>
  <si>
    <t>0611860976050</t>
  </si>
  <si>
    <t>TAG Zantedeschia Calla Lily Crystal Clear 50/50 Petite Portrait FUL</t>
  </si>
  <si>
    <t>0611860977050</t>
  </si>
  <si>
    <t>TAG Zantedeschia Calla Lily Crystal Queen 50/50 Petite Portrait FUL</t>
  </si>
  <si>
    <t>0611860978050</t>
  </si>
  <si>
    <t>TAG Zantedeschia Calla Lily Denver 50/50 Petite Portrait FUL</t>
  </si>
  <si>
    <t>0611860979050</t>
  </si>
  <si>
    <t>TAG Zantedeschia Calla Lily Devil's Wine 50/50 Petite Portrait FUL</t>
  </si>
  <si>
    <t>0611860980050</t>
  </si>
  <si>
    <t>TAG Zantedeschia Calla Lily Diva Classica 50/50 Petite Portrait FUL</t>
  </si>
  <si>
    <t>0611860981050</t>
  </si>
  <si>
    <t>TAG Zantedeschia Calla Lily Dreamland 50/50 Petite Portrait FUL</t>
  </si>
  <si>
    <t>0611860982050</t>
  </si>
  <si>
    <t>TAG Zantedeschia Calla Lily Drenthe 50/50 Petite Portrait FUL</t>
  </si>
  <si>
    <t>0611860983050</t>
  </si>
  <si>
    <t>TAG Zantedeschia Calla Lily Dubai Nights 50/50 Petite Portrait FUL</t>
  </si>
  <si>
    <t>0611860984050</t>
  </si>
  <si>
    <t>TAG Zantedeschia Calla Lily Fantasia 50/50 Petite Portrait FUL</t>
  </si>
  <si>
    <t>0611860985050</t>
  </si>
  <si>
    <t>TAG Zantedeschia Calla Lily Festival 50/50 Petite Portrait FUL</t>
  </si>
  <si>
    <t>0611860986050</t>
  </si>
  <si>
    <t>TAG Zantedeschia Calla Lily Flirt 50/50 Petite Portrait FUL</t>
  </si>
  <si>
    <t>0611860987050</t>
  </si>
  <si>
    <t>TAG Zantedeschia Calla Lily Fursa 50/50 Petite Portrait FUL</t>
  </si>
  <si>
    <t>0611860988050</t>
  </si>
  <si>
    <t>TAG Zantedeschia Calla Lily Garnet Glow 50/50 Petite Portrait FUL</t>
  </si>
  <si>
    <t>0611860989050</t>
  </si>
  <si>
    <t>TAG Zantedeschia Calla Lily Gold Crown 50/50 Petite Portrait FUL</t>
  </si>
  <si>
    <t>0611860990050</t>
  </si>
  <si>
    <t>TAG Zantedeschia Calla Lily Gold Fever 50/50 Petite Portrait FUL</t>
  </si>
  <si>
    <t>0611860991050</t>
  </si>
  <si>
    <t>TAG Zantedeschia Calla Lily Gold Label 50/50 Petite Portrait FUL</t>
  </si>
  <si>
    <t>0611860992050</t>
  </si>
  <si>
    <t>TAG Zantedeschia Calla Lily Gold Medal 50/50 Petite Portrait FUL</t>
  </si>
  <si>
    <t>0611860993050</t>
  </si>
  <si>
    <t>TAG Zantedeschia Calla Lily Gold Rush 50/50 Petite Portrait FUL</t>
  </si>
  <si>
    <t>0611860994050</t>
  </si>
  <si>
    <t>TAG Zantedeschia Calla Lily Grape Velvet 50/50 Petite Portrait FUL</t>
  </si>
  <si>
    <t>0611860995050</t>
  </si>
  <si>
    <t>TAG Zantedeschia Calla Lily Hanoi 50/50 Petite Portrait FUL</t>
  </si>
  <si>
    <t>0611860996050</t>
  </si>
  <si>
    <t>TAG Zantedeschia Calla Lily Helvetia 50/50 Petite Portrait FUL</t>
  </si>
  <si>
    <t>0611860997050</t>
  </si>
  <si>
    <t>TAG Zantedeschia Calla Lily Hot Coral 50/50 Petite Portrait FUL</t>
  </si>
  <si>
    <t>0611860998050</t>
  </si>
  <si>
    <t>TAG Zantedeschia Calla Lily Ice Dancer 50/50 Petite Portrait FUL</t>
  </si>
  <si>
    <t>0611860999050</t>
  </si>
  <si>
    <t>TAG Zantedeschia Calla Lily Intimate Ivory 50/50 Petite Portrait FUL</t>
  </si>
  <si>
    <t>0611861000050</t>
  </si>
  <si>
    <t>TAG Zantedeschia Calla Lily Izzy Mae 50/50 Petite Portrait FUL</t>
  </si>
  <si>
    <t>0611861001050</t>
  </si>
  <si>
    <t>TAG Zantedeschia Calla Lily Jack O' Lantern 50/50 Petite Portrait FUL</t>
  </si>
  <si>
    <t>0611861002050</t>
  </si>
  <si>
    <t>TAG Zantedeschia Calla Lily Kasai 50/50 Petite Portrait FUL</t>
  </si>
  <si>
    <t>0611861003050</t>
  </si>
  <si>
    <t>TAG Zantedeschia Calla Lily La Paz 50/50 Petite Portrait FUL</t>
  </si>
  <si>
    <t>0611861004050</t>
  </si>
  <si>
    <t>TAG Zantedeschia Calla Lily Lady Marmalade 50/50 Petite Portrait FUL</t>
  </si>
  <si>
    <t>0611861005050</t>
  </si>
  <si>
    <t>TAG Zantedeschia Calla Lily Laguna Beach 50/50 Petite Portrait FUL</t>
  </si>
  <si>
    <t>0611861007050</t>
  </si>
  <si>
    <t>TAG Zantedeschia Calla Lily Le Reve 50/50 Petite Portrait FUL</t>
  </si>
  <si>
    <t>0611861008050</t>
  </si>
  <si>
    <t>TAG Zantedeschia Calla Lily Lemon Drop 50/50 Petite Portrait FUL</t>
  </si>
  <si>
    <t>0611861009050</t>
  </si>
  <si>
    <t>TAG Zantedeschia Calla Lily Lip Gloss 50/50 Petite Portrait FUL</t>
  </si>
  <si>
    <t>0611861010050</t>
  </si>
  <si>
    <t>TAG Zantedeschia Calla Lily Long Beach 50/50 Petite Portrait FUL</t>
  </si>
  <si>
    <t>0611861011050</t>
  </si>
  <si>
    <t>TAG Zantedeschia Calla Lily Macau 50/50 Petite Portrait FUL</t>
  </si>
  <si>
    <t>0611861012050</t>
  </si>
  <si>
    <t>TAG Zantedeschia Calla Lily Manila 50/50 Petite Portrait FUL</t>
  </si>
  <si>
    <t>0611861013050</t>
  </si>
  <si>
    <t>TAG Zantedeschia Calla Lily Mellow Yellow 50/50 Petite Portrait FUL</t>
  </si>
  <si>
    <t>0611861014050</t>
  </si>
  <si>
    <t>TAG Zantedeschia Calla Lily Mercedes 50/50 Petite Portrait FUL</t>
  </si>
  <si>
    <t>0611861015050</t>
  </si>
  <si>
    <t>TAG Zantedeschia Calla Lily Mint Julip 50/50 Petite Portrait FUL</t>
  </si>
  <si>
    <t>0611861016050</t>
  </si>
  <si>
    <t>TAG Zantedeschia Calla Lily Monte Carlo 50/50 Petite Portrait FUL</t>
  </si>
  <si>
    <t>0611861017050</t>
  </si>
  <si>
    <t>TAG Zantedeschia Calla Lily Montevideo 50/50 Petite Portrait FUL</t>
  </si>
  <si>
    <t>0611861018050</t>
  </si>
  <si>
    <t>TAG Zantedeschia Calla Lily Moon Shadow 50/50 Petite Portrait FUL</t>
  </si>
  <si>
    <t>0611861019050</t>
  </si>
  <si>
    <t>TAG Zantedeschia Calla Lily Morning Sun 50/50 Petite Portrait FUL</t>
  </si>
  <si>
    <t>0611861020050</t>
  </si>
  <si>
    <t>TAG Zantedeschia Calla Lily Nashville 50/50 Petite Portrait FUL</t>
  </si>
  <si>
    <t>0611861021050</t>
  </si>
  <si>
    <t>TAG Zantedeschia Calla Lily Natural Bouquet 50/50 Petite Portrait FUL</t>
  </si>
  <si>
    <t>0611861022050</t>
  </si>
  <si>
    <t>TAG Zantedeschia Calla Lily Neon Killer 50/50 Petite Portrait FUL</t>
  </si>
  <si>
    <t>0611861023050</t>
  </si>
  <si>
    <t>TAG Zantedeschia Calla Lily New York 50/50 Petite Portrait FUL</t>
  </si>
  <si>
    <t>0611861024050</t>
  </si>
  <si>
    <t>TAG Zantedeschia Calla Lily Night Club 50/50 Petite Portrait FUL</t>
  </si>
  <si>
    <t>0611861025050</t>
  </si>
  <si>
    <t>TAG Zantedeschia Calla Lily Night Life 50/50 Petite Portrait FUL</t>
  </si>
  <si>
    <t>0611861026050</t>
  </si>
  <si>
    <t>TAG Zantedeschia Calla Lily Nikita 50/50 Petite Portrait FUL</t>
  </si>
  <si>
    <t>0611861027050</t>
  </si>
  <si>
    <t>TAG Zantedeschia Calla Lily Novi Sun 50/50 Petite Portrait FUL</t>
  </si>
  <si>
    <t>0611861028050</t>
  </si>
  <si>
    <t>TAG Zantedeschia Calla Lily Odessa 50/50 Petite Portrait FUL</t>
  </si>
  <si>
    <t>0611861029050</t>
  </si>
  <si>
    <t>TAG Zantedeschia Calla Lily Orange Alert 50/50 Petite Portrait FUL</t>
  </si>
  <si>
    <t>0611861030050</t>
  </si>
  <si>
    <t>TAG Zantedeschia Calla Lily Orange Pride 50/50 Petite Portrait FUL</t>
  </si>
  <si>
    <t>0611861031050</t>
  </si>
  <si>
    <t>TAG Zantedeschia Calla Lily Outback 50/50 Petite Portrait FUL</t>
  </si>
  <si>
    <t>0611861032050</t>
  </si>
  <si>
    <t>TAG Zantedeschia Calla Lily Paco 50/50 Petite Portrait FUL</t>
  </si>
  <si>
    <t>0611861033050</t>
  </si>
  <si>
    <t>TAG Zantedeschia Calla Lily Pasja 50/50 Petite Portrait FUL</t>
  </si>
  <si>
    <t>0611861034050</t>
  </si>
  <si>
    <t>TAG Zantedeschia Calla Lily Peach Pazazz 50/50 Petite Portrait FUL</t>
  </si>
  <si>
    <t>0611861035050</t>
  </si>
  <si>
    <t>TAG Zantedeschia Calla Lily Peach Pearl 50/50 Petite Portrait FUL</t>
  </si>
  <si>
    <t>0611861036050</t>
  </si>
  <si>
    <t>TAG Zantedeschia Calla Lily Peppermint Twist 50/50 Petite Portrait FUL</t>
  </si>
  <si>
    <t>0611861037050</t>
  </si>
  <si>
    <t>TAG Zantedeschia Calla Lily Peter's Pride 50/50 Petite Portrait FUL</t>
  </si>
  <si>
    <t>0611861038050</t>
  </si>
  <si>
    <t>TAG Zantedeschia Calla Lily Picasso 50/50 Petite Portrait FUL</t>
  </si>
  <si>
    <t>0611861039050</t>
  </si>
  <si>
    <t>TAG Zantedeschia Calla Lily Pillow Talk 50/50 Petite Portrait FUL</t>
  </si>
  <si>
    <t>0611861040050</t>
  </si>
  <si>
    <t>TAG Zantedeschia Calla Lily Pink Cloud 50/50 Petite Portrait FUL</t>
  </si>
  <si>
    <t>0611861041050</t>
  </si>
  <si>
    <t>TAG Zantedeschia Calla Lily Pink Giant 50/50 Petite Portrait FUL</t>
  </si>
  <si>
    <t>0611861042050</t>
  </si>
  <si>
    <t>TAG Zantedeschia Calla Lily Pink Jewel 50/50 Petite Portrait FUL</t>
  </si>
  <si>
    <t>0611861043050</t>
  </si>
  <si>
    <t>TAG Zantedeschia Calla Lily Pink Puppy 50/50 Petite Portrait FUL</t>
  </si>
  <si>
    <t>0611861044050</t>
  </si>
  <si>
    <t>TAG Zantedeschia Calla Lily Pink Velvet 50/50 Petite Portrait FUL</t>
  </si>
  <si>
    <t>0611861045050</t>
  </si>
  <si>
    <t>TAG Zantedeschia Calla Lily Purple Spirit 50/50 Petite Portrait FUL</t>
  </si>
  <si>
    <t>0611861046050</t>
  </si>
  <si>
    <t>TAG Zantedeschia Calla Lily Red Alert 50/50 Petite Portrait FUL</t>
  </si>
  <si>
    <t>0611861047050</t>
  </si>
  <si>
    <t>TAG Zantedeschia Calla Lily Red Charm 50/50 Petite Portrait FUL</t>
  </si>
  <si>
    <t>0611861048050</t>
  </si>
  <si>
    <t>TAG Zantedeschia Calla Lily Red Emotion 50/50 Petite Portrait FUL</t>
  </si>
  <si>
    <t>0611861049050</t>
  </si>
  <si>
    <t>TAG Zantedeschia Calla Lily Red Velvet 50/50 Petite Portrait FUL</t>
  </si>
  <si>
    <t>0611861050050</t>
  </si>
  <si>
    <t>TAG Zantedeschia Calla Lily Rio 50/50 Petite Portrait FUL</t>
  </si>
  <si>
    <t>0611861051050</t>
  </si>
  <si>
    <t>TAG Zantedeschia Calla Lily Royal Plum 50/50 Petite Portrait FUL</t>
  </si>
  <si>
    <t>0611861052050</t>
  </si>
  <si>
    <t>TAG Zantedeschia Calla Lily Royal Princess 50/50 Petite Portrait FUL</t>
  </si>
  <si>
    <t>0611861053050</t>
  </si>
  <si>
    <t>TAG Zantedeschia Calla Lily Royal Valentine 50/50 Petite Portrait FUL</t>
  </si>
  <si>
    <t>0611861054050</t>
  </si>
  <si>
    <t>TAG Zantedeschia Calla Lily Ruby Temptation 50/50 Petite Portrait FUL</t>
  </si>
  <si>
    <t>0611861055050</t>
  </si>
  <si>
    <t>TAG Zantedeschia Calla Lily Rubylite Rose 50/50 Petite Portrait FUL</t>
  </si>
  <si>
    <t>0611861056050</t>
  </si>
  <si>
    <t>TAG Zantedeschia Calla Lily Samur 50/50 Petite Portrait FUL</t>
  </si>
  <si>
    <t>0611861057050</t>
  </si>
  <si>
    <t>TAG Zantedeschia Calla Lily Savannah 50/50 Petite Portrait FUL</t>
  </si>
  <si>
    <t>0611861058050</t>
  </si>
  <si>
    <t>TAG Zantedeschia Calla Lily Snow Leopard 50/50 Petite Portrait FUL</t>
  </si>
  <si>
    <t>0611861059050</t>
  </si>
  <si>
    <t>TAG Zantedeschia Calla Lily Snow Storm 50/50 Petite Portrait FUL</t>
  </si>
  <si>
    <t>0611861060050</t>
  </si>
  <si>
    <t>TAG Zantedeschia Calla Lily Stingray 50/50 Petite Portrait FUL</t>
  </si>
  <si>
    <t>0611861061050</t>
  </si>
  <si>
    <t>TAG Zantedeschia Calla Lily Strawberry Blush 50/50 Petite Portrait FUL</t>
  </si>
  <si>
    <t>0611861062050</t>
  </si>
  <si>
    <t>TAG Zantedeschia Calla Lily Strawberry Delight 50/50 Petite Portrait FUL</t>
  </si>
  <si>
    <t>0611861063050</t>
  </si>
  <si>
    <t>TAG Zantedeschia Calla Lily Sumatra 50/50 Petite Portrait FUL</t>
  </si>
  <si>
    <t>0611861064050</t>
  </si>
  <si>
    <t>TAG Zantedeschia Calla Lily Summer Sun 50/50 Petite Portrait FUL</t>
  </si>
  <si>
    <t>0611861065050</t>
  </si>
  <si>
    <t>TAG Zantedeschia Calla Lily Sun Club 50/50 Petite Portrait FUL</t>
  </si>
  <si>
    <t>0611861066050</t>
  </si>
  <si>
    <t>TAG Zantedeschia Calla Lily Sunset Passion 50/50 Petite Portrait FUL</t>
  </si>
  <si>
    <t>0611861067050</t>
  </si>
  <si>
    <t>TAG Zantedeschia Calla Lily Sunya 50/50 Petite Portrait FUL</t>
  </si>
  <si>
    <t>0611861068050</t>
  </si>
  <si>
    <t>TAG Zantedeschia Calla Lily Sweet Talk 50/50 Petite Portrait FUL</t>
  </si>
  <si>
    <t>0611861069050</t>
  </si>
  <si>
    <t>TAG Zantedeschia Calla Lily Toronto 50/50 Petite Portrait FUL</t>
  </si>
  <si>
    <t>0611861070050</t>
  </si>
  <si>
    <t>TAG Zantedeschia Calla Lily Torrey Pines 50/50 Petite Portrait FUL</t>
  </si>
  <si>
    <t>0611861071050</t>
  </si>
  <si>
    <t>TAG Zantedeschia Calla Lily Tropical 50/50 Petite Portrait FUL</t>
  </si>
  <si>
    <t>0611861072050</t>
  </si>
  <si>
    <t>TAG Zantedeschia Calla Lily Twilight 50/50 Petite Portrait FUL</t>
  </si>
  <si>
    <t>0611861073050</t>
  </si>
  <si>
    <t>TAG Zantedeschia Calla Lily Universe 50/50 Petite Portrait FUL</t>
  </si>
  <si>
    <t>0611861074050</t>
  </si>
  <si>
    <t>TAG Zantedeschia Calla Lily Valencia 50/50 Petite Portrait FUL</t>
  </si>
  <si>
    <t>0611861075050</t>
  </si>
  <si>
    <t>TAG Zantedeschia Calla Lily Venice Beach 50/50 Petite Portrait FUL</t>
  </si>
  <si>
    <t>0611861076050</t>
  </si>
  <si>
    <t>TAG Zantedeschia Calla Lily White Flirt 50/50 Petite Portrait FUL</t>
  </si>
  <si>
    <t>0611861077050</t>
  </si>
  <si>
    <t>TAG Zantedeschia Calla Lily Whitehorse 50/50 Petite Portrait FUL</t>
  </si>
  <si>
    <t>0611861078050</t>
  </si>
  <si>
    <t>TAG Zantedeschia Calla Lily Wild Salmon 50/50 Petite Portrait FUL</t>
  </si>
  <si>
    <t>0611861079050</t>
  </si>
  <si>
    <t>TAG Zantedeschia Calla Lily Wisley 50/50 Petite Portrait FUL</t>
  </si>
  <si>
    <t>0611884525050</t>
  </si>
  <si>
    <t>TAG Zantedeschia Calla Pink Harmony 50/50 Petite Portrait FUL</t>
  </si>
  <si>
    <t>0611884526050</t>
  </si>
  <si>
    <t>TAG Zantedeschia Calla Pink Pop 50/50 Petite Portrait FUL</t>
  </si>
  <si>
    <t>0611884527050</t>
  </si>
  <si>
    <t>TAG Zantedeschia Calla Purple Symphony 50/50 Petite Portrait FUL</t>
  </si>
  <si>
    <t>0611884528050</t>
  </si>
  <si>
    <t>TAG Zantedeschia Calla Red Symphony 50/50 Petite Portrait FUL</t>
  </si>
  <si>
    <t>0611884529050</t>
  </si>
  <si>
    <t>TAG Zantedeschia Calla Tokyo 50/50 Petite Portrait FUL</t>
  </si>
  <si>
    <t>0611840732100</t>
  </si>
  <si>
    <t>TAG Zantedeschia Zantedeschia Calla Lily GENERIC 100/100 Pixie Tag</t>
  </si>
  <si>
    <t>0611840733025</t>
  </si>
  <si>
    <t>TAG Zantedeschia Zantedeschia Calla Lily GENERIC 25/25 Portrait Tag</t>
  </si>
  <si>
    <t>0611884530100</t>
  </si>
  <si>
    <t>TAG Zinnia Belize Series 100/100 Pixie Tag</t>
  </si>
  <si>
    <t>0611840746100</t>
  </si>
  <si>
    <t>TAG Zinnia Benary's Giant Bright Pink 100/100 Pixie Tag</t>
  </si>
  <si>
    <t>0611840747100</t>
  </si>
  <si>
    <t>TAG Zinnia Benary's Giant Deep Red 100/100 Pixie Tag</t>
  </si>
  <si>
    <t>0611840748100</t>
  </si>
  <si>
    <t>TAG Zinnia Benary's Giant Golden Yellow 100/100 Pixie Tag</t>
  </si>
  <si>
    <t>0611840749100</t>
  </si>
  <si>
    <t>TAG Zinnia Benary's Giant Lime 100/100 Pixie Tag</t>
  </si>
  <si>
    <t>0611840750100</t>
  </si>
  <si>
    <t>TAG Zinnia Benary's Giant Mix 100/100 Pixie Tag</t>
  </si>
  <si>
    <t>0611840751100</t>
  </si>
  <si>
    <t>TAG Zinnia Benary's Giant Orange 100/100 Pixie Tag</t>
  </si>
  <si>
    <t>0611840752100</t>
  </si>
  <si>
    <t>TAG Zinnia Benary's Giant Purple 100/100 Pixie Tag</t>
  </si>
  <si>
    <t>0611840753100</t>
  </si>
  <si>
    <t>TAG Zinnia Benary's Giant Series 100/100 Pixie Tag</t>
  </si>
  <si>
    <t>0611840754100</t>
  </si>
  <si>
    <t>TAG Zinnia Benary's Giant Wine 100/100 Pixie Tag</t>
  </si>
  <si>
    <t>0611840755100</t>
  </si>
  <si>
    <t>TAG Zinnia Cactus Flowered Mix GENERIC 100/100 Pixie Tag</t>
  </si>
  <si>
    <t>0611840756100</t>
  </si>
  <si>
    <t>TAG Zinnia Candy Mix 100/100 Pixie Tag</t>
  </si>
  <si>
    <t>0611840758100</t>
  </si>
  <si>
    <t>TAG Zinnia Crystal Orange 100/100 Pixie Tag</t>
  </si>
  <si>
    <t>0611840760100</t>
  </si>
  <si>
    <t>TAG Zinnia Crystal White 100/100 Pixie Tag</t>
  </si>
  <si>
    <t>0611840761100</t>
  </si>
  <si>
    <t>TAG Zinnia Crystal Yellow 100/100 Pixie Tag</t>
  </si>
  <si>
    <t>0611840762100</t>
  </si>
  <si>
    <t>TAG Zinnia Cut N Come Again 100/100 Pixie Tag</t>
  </si>
  <si>
    <t>0611840853100</t>
  </si>
  <si>
    <t>TAG Zinnia Double Zahara Bright Orange 100/100 Pixie Tag</t>
  </si>
  <si>
    <t>0611840854100</t>
  </si>
  <si>
    <t>TAG Zinnia Double Zahara Brilliant Mix 100/100 Pixie Tag</t>
  </si>
  <si>
    <t>0611840856100</t>
  </si>
  <si>
    <t>TAG Zinnia Double Zahara Cherry 100/100 Pixie Tag</t>
  </si>
  <si>
    <t>0611840857100</t>
  </si>
  <si>
    <t>TAG Zinnia Double Zahara Duo Mix 100/100 Pixie Tag</t>
  </si>
  <si>
    <t>0611840858100</t>
  </si>
  <si>
    <t>TAG Zinnia Double Zahara Fire 100/100 Pixie Tag</t>
  </si>
  <si>
    <t>0611840859100</t>
  </si>
  <si>
    <t>TAG Zinnia Double Zahara Mix 100/100 Pixie Tag</t>
  </si>
  <si>
    <t>0611840855100</t>
  </si>
  <si>
    <t>TAG Zinnia Double Zahara Raspberry Ripple 100/100 Pixie Tag</t>
  </si>
  <si>
    <t>0611840860100</t>
  </si>
  <si>
    <t>TAG Zinnia Double Zahara Salmon 100/100 Pixie Tag</t>
  </si>
  <si>
    <t>0611840861100</t>
  </si>
  <si>
    <t>TAG Zinnia Double Zahara Salmon Rose 100/100 Pixie Tag</t>
  </si>
  <si>
    <t>0611840863100</t>
  </si>
  <si>
    <t>TAG Zinnia Double Zahara White 100/100 Pixie Tag</t>
  </si>
  <si>
    <t>0611840864100</t>
  </si>
  <si>
    <t>TAG Zinnia Double Zahara Yellow 100/100 Pixie Tag</t>
  </si>
  <si>
    <t>0611840763100</t>
  </si>
  <si>
    <t>TAG Zinnia Dreamland Coral 100/100 Pixie Tag</t>
  </si>
  <si>
    <t>0611840764100</t>
  </si>
  <si>
    <t>TAG Zinnia Dreamland Ivory 100/100 Pixie Tag</t>
  </si>
  <si>
    <t>0611840765100</t>
  </si>
  <si>
    <t>TAG Zinnia Dreamland Mix 100/100 Pixie Tag</t>
  </si>
  <si>
    <t>0611840766100</t>
  </si>
  <si>
    <t>TAG Zinnia Dreamland Pink 100/100 Pixie Tag</t>
  </si>
  <si>
    <t>0611840767100</t>
  </si>
  <si>
    <t>TAG Zinnia Dreamland Red 100/100 Pixie Tag</t>
  </si>
  <si>
    <t>0611840768100</t>
  </si>
  <si>
    <t>TAG Zinnia Dreamland Rose 100/100 Pixie Tag</t>
  </si>
  <si>
    <t>0611840769100</t>
  </si>
  <si>
    <t>TAG Zinnia Dreamland Scarlet 100/100 Pixie Tag</t>
  </si>
  <si>
    <t>0611840770100</t>
  </si>
  <si>
    <t>TAG Zinnia Dreamland Yellow 100/100 Pixie Tag</t>
  </si>
  <si>
    <t>0611840771100</t>
  </si>
  <si>
    <t>TAG Zinnia Dwarf GENERIC 100/100 Pixie Tag</t>
  </si>
  <si>
    <t>0611840772100</t>
  </si>
  <si>
    <t>TAG Zinnia Envy 100/100 Pixie Tag</t>
  </si>
  <si>
    <t>0611840890025</t>
  </si>
  <si>
    <t>TAG Zinnia GENERIC 25/25 Portrait Tag</t>
  </si>
  <si>
    <t>0611840891100</t>
  </si>
  <si>
    <t>TAG Zinnia GENERIC Bilingual 100/100 Pixie Tag</t>
  </si>
  <si>
    <t>0611840774100</t>
  </si>
  <si>
    <t>TAG Zinnia Holi Pink 100/100 Pixie Tag</t>
  </si>
  <si>
    <t>0611840775100</t>
  </si>
  <si>
    <t>TAG Zinnia Holi Scarlet 100/100 Pixie Tag</t>
  </si>
  <si>
    <t>0611840776100</t>
  </si>
  <si>
    <t>TAG Zinnia Lilliput Mix 100/100 Pixie Tag</t>
  </si>
  <si>
    <t>0611840777100</t>
  </si>
  <si>
    <t>TAG Zinnia Magellan Cherry 100/100 Pixie Tag SF</t>
  </si>
  <si>
    <t>0611840778100</t>
  </si>
  <si>
    <t>TAG Zinnia Magellan Coral 100/100 Pixie Tag SF</t>
  </si>
  <si>
    <t>0611840779100</t>
  </si>
  <si>
    <t>TAG Zinnia Magellan Ivory 100/100 Pixie Tag SF</t>
  </si>
  <si>
    <t>0611840780100</t>
  </si>
  <si>
    <t>TAG Zinnia Magellan Mix 100/100 Pixie Tag SF</t>
  </si>
  <si>
    <t>0611840781100</t>
  </si>
  <si>
    <t>TAG Zinnia Magellan Orange 100/100 Pixie Tag SF</t>
  </si>
  <si>
    <t>0611840782100</t>
  </si>
  <si>
    <t>TAG Zinnia Magellan Pink 100/100 Pixie Tag SF</t>
  </si>
  <si>
    <t>0611840783100</t>
  </si>
  <si>
    <t>TAG Zinnia Magellan Salmon 100/100 Pixie Tag SF</t>
  </si>
  <si>
    <t>0611840784100</t>
  </si>
  <si>
    <t>TAG Zinnia Magellan Scarlet 100/100 Pixie Tag SF</t>
  </si>
  <si>
    <t>0611840785100</t>
  </si>
  <si>
    <t>TAG Zinnia Magellan Yellow 100/100 Pixie Tag SF</t>
  </si>
  <si>
    <t>0611840786100</t>
  </si>
  <si>
    <t>TAG Zinnia Oklahoma Mix 100/100 Pixie Tag</t>
  </si>
  <si>
    <t>0611840788100</t>
  </si>
  <si>
    <t>TAG Zinnia Preciosa Mix 100/100 Pixie Tag</t>
  </si>
  <si>
    <t>0611840789100</t>
  </si>
  <si>
    <t>TAG Zinnia Preciosa Pink 100/100 Pixie Tag</t>
  </si>
  <si>
    <t>0611840790100</t>
  </si>
  <si>
    <t>TAG Zinnia Preciosa Red 100/100 Pixie Tag</t>
  </si>
  <si>
    <t>0611840791100</t>
  </si>
  <si>
    <t>TAG Zinnia Preciosa Rose 100/100 Pixie Tag</t>
  </si>
  <si>
    <t>0611840792100</t>
  </si>
  <si>
    <t>TAG Zinnia Preciosa Scarlet 100/100 Pixie Tag</t>
  </si>
  <si>
    <t>0611840793100</t>
  </si>
  <si>
    <t>TAG Zinnia Preciosa White 100/100 Pixie Tag</t>
  </si>
  <si>
    <t>0611840794100</t>
  </si>
  <si>
    <t>TAG Zinnia Preciosa Yellow 100/100 Pixie Tag</t>
  </si>
  <si>
    <t>0611840795100</t>
  </si>
  <si>
    <t>TAG Zinnia Preciosa Yellow Light 100/100 Pixie Tag</t>
  </si>
  <si>
    <t>0611840814100</t>
  </si>
  <si>
    <t>TAG Zinnia Profusion 4 Color Mix 100/100 Pixie Tag</t>
  </si>
  <si>
    <t>0611840813100</t>
  </si>
  <si>
    <t>TAG Zinnia Profusion 5 Color Mix 100/100 Pixie Tag</t>
  </si>
  <si>
    <t>0611840823100</t>
  </si>
  <si>
    <t>TAG Zinnia Profusion 7 Color Mix 100/100 Pixie Tag</t>
  </si>
  <si>
    <t>0611840796100</t>
  </si>
  <si>
    <t>TAG Zinnia Profusion All American Mix 100/100 Pixie Tag</t>
  </si>
  <si>
    <t>0611840797100</t>
  </si>
  <si>
    <t>TAG Zinnia Profusion Apricot 100/100 Pixie Tag</t>
  </si>
  <si>
    <t>0611840798100</t>
  </si>
  <si>
    <t>TAG Zinnia Profusion Cherry 100/100 Pixie Tag</t>
  </si>
  <si>
    <t>0611840799100</t>
  </si>
  <si>
    <t>TAG Zinnia Profusion Cherry Bicolor 100/100 Pixie Tag</t>
  </si>
  <si>
    <t>0611840800100</t>
  </si>
  <si>
    <t>TAG Zinnia Profusion Coral Pink 100/100 Pixie Tag</t>
  </si>
  <si>
    <t>0611840803100</t>
  </si>
  <si>
    <t>TAG Zinnia Profusion Deep Apricot 100/100 Pixie Tag</t>
  </si>
  <si>
    <t>0611840804100</t>
  </si>
  <si>
    <t>TAG Zinnia Profusion Double Cherry 100/100 Pixie Tag</t>
  </si>
  <si>
    <t>0611840801100</t>
  </si>
  <si>
    <t>TAG Zinnia Profusion Double Deep Salmon 100/100 Pixie Tag</t>
  </si>
  <si>
    <t>0611840805100</t>
  </si>
  <si>
    <t>TAG Zinnia Profusion Double Fire 100/100 Pixie Tag</t>
  </si>
  <si>
    <t>0611840806100</t>
  </si>
  <si>
    <t>TAG Zinnia Profusion Double Golden 100/100 Pixie Tag</t>
  </si>
  <si>
    <t>0611840802100</t>
  </si>
  <si>
    <t>TAG Zinnia Profusion Double Hot Cherry 100/100 Pixie Tag</t>
  </si>
  <si>
    <t>0611840807100</t>
  </si>
  <si>
    <t>TAG Zinnia Profusion Double Mix 100/100 Pixie Tag</t>
  </si>
  <si>
    <t>0611840808100</t>
  </si>
  <si>
    <t>TAG Zinnia Profusion Double Red 100/100 Pixie Tag</t>
  </si>
  <si>
    <t>0611840809100</t>
  </si>
  <si>
    <t>TAG Zinnia Profusion Double Series 100/100 Pixie Tag</t>
  </si>
  <si>
    <t>0611840810100</t>
  </si>
  <si>
    <t>TAG Zinnia Profusion Double White 100/100 Pixie Tag</t>
  </si>
  <si>
    <t>0611840811100</t>
  </si>
  <si>
    <t>TAG Zinnia Profusion Double Yellow 100/100 Pixie Tag</t>
  </si>
  <si>
    <t>0611840812100</t>
  </si>
  <si>
    <t>TAG Zinnia Profusion Fire 100/100 Pixie Tag</t>
  </si>
  <si>
    <t>0611840815100</t>
  </si>
  <si>
    <t>TAG Zinnia Profusion Lemon 100/100 Pixie Tag</t>
  </si>
  <si>
    <t>0611840816100</t>
  </si>
  <si>
    <t>TAG Zinnia Profusion Mix 100/100 Pixie Tag</t>
  </si>
  <si>
    <t>0611840817100</t>
  </si>
  <si>
    <t>TAG Zinnia Profusion Orange 100/100 Pixie Tag</t>
  </si>
  <si>
    <t>0611840818100</t>
  </si>
  <si>
    <t>TAG Zinnia Profusion Red 100/100 Pixie Tag</t>
  </si>
  <si>
    <t>0611840819100</t>
  </si>
  <si>
    <t>TAG Zinnia Profusion Red Yellow Bicolor 100/100 Pixie Tag</t>
  </si>
  <si>
    <t>0611840820100</t>
  </si>
  <si>
    <t>TAG Zinnia Profusion Sunrise Mix 100/100 Pixie Tag</t>
  </si>
  <si>
    <t>0611840821100</t>
  </si>
  <si>
    <t>TAG Zinnia Profusion White 100/100 Pixie Tag</t>
  </si>
  <si>
    <t>0611840822100</t>
  </si>
  <si>
    <t>TAG Zinnia Profusion Yellow 100/100 Pixie Tag</t>
  </si>
  <si>
    <t>0611840824100</t>
  </si>
  <si>
    <t>TAG Zinnia Pulcino Mix 100/100 Pixie Tag</t>
  </si>
  <si>
    <t>0611840825100</t>
  </si>
  <si>
    <t>TAG Zinnia Queen Lime 100/100 Pixie Tag</t>
  </si>
  <si>
    <t>0611840826100</t>
  </si>
  <si>
    <t>TAG Zinnia Queen Red Lime 100/100 Pixie Tag</t>
  </si>
  <si>
    <t>0611857184100</t>
  </si>
  <si>
    <t>TAG Zinnia Queeny Lemon Peach 100/100 Pixie Tag</t>
  </si>
  <si>
    <t>0611840827100</t>
  </si>
  <si>
    <t>TAG Zinnia Queeny Lime Orange 100/100 Pixie Tag</t>
  </si>
  <si>
    <t>0611840836100</t>
  </si>
  <si>
    <t>TAG Zinnia Short Stuff Cherry Shades 100/100 Pixie Tag SF</t>
  </si>
  <si>
    <t>0611840828100</t>
  </si>
  <si>
    <t>TAG Zinnia Short Stuff Coral 100/100 Pixie Tag SF</t>
  </si>
  <si>
    <t>0611840829100</t>
  </si>
  <si>
    <t>TAG Zinnia Short Stuff Deep Red 100/100 Pixie Tag SF</t>
  </si>
  <si>
    <t>0611840830100</t>
  </si>
  <si>
    <t>TAG Zinnia Short Stuff Fire Mix 100/100 Pixie Tag SF</t>
  </si>
  <si>
    <t>0611840831100</t>
  </si>
  <si>
    <t>TAG Zinnia Short Stuff Gold 100/100 Pixie Tag SF</t>
  </si>
  <si>
    <t>0611840832100</t>
  </si>
  <si>
    <t>TAG Zinnia Short Stuff Mix 100/100 Pixie Tag SF</t>
  </si>
  <si>
    <t>0611840833100</t>
  </si>
  <si>
    <t>TAG Zinnia Short Stuff Orange 100/100 Pixie Tag SF</t>
  </si>
  <si>
    <t>0611840834100</t>
  </si>
  <si>
    <t>TAG Zinnia Short Stuff Scarlet 100/100 Pixie Tag SF</t>
  </si>
  <si>
    <t>0611840837100</t>
  </si>
  <si>
    <t>TAG Zinnia Star Gold 100/100 Pixie Tag</t>
  </si>
  <si>
    <t>0611840838100</t>
  </si>
  <si>
    <t>TAG Zinnia Star Orange 100/100 Pixie Tag</t>
  </si>
  <si>
    <t>0611840839100</t>
  </si>
  <si>
    <t>TAG Zinnia Star White 100/100 Pixie Tag</t>
  </si>
  <si>
    <t>0611840840100</t>
  </si>
  <si>
    <t>TAG Zinnia Starbright Mix 100/100 Pixie Tag</t>
  </si>
  <si>
    <t>0611840841100</t>
  </si>
  <si>
    <t>TAG Zinnia State Fair Mix 100/100 Pixie Tag</t>
  </si>
  <si>
    <t>0611840842100</t>
  </si>
  <si>
    <t>TAG Zinnia Swizzle Cherry And Ivory 100/100 Pixie Tag SF</t>
  </si>
  <si>
    <t>0611840843100</t>
  </si>
  <si>
    <t>TAG Zinnia Swizzle Scarlet And Yellow 100/100 Pixie Tag SF</t>
  </si>
  <si>
    <t>0611840845100</t>
  </si>
  <si>
    <t>TAG Zinnia Tall Coral Salmon GENERIC 100/100 Pixie Tag</t>
  </si>
  <si>
    <t>0611840846100</t>
  </si>
  <si>
    <t>TAG Zinnia Tall GENERIC 100/100 Pixie Tag</t>
  </si>
  <si>
    <t>0611840847100</t>
  </si>
  <si>
    <t>TAG Zinnia Tall Ivory White GENERIC 100/100 Pixie Tag</t>
  </si>
  <si>
    <t>0611840848100</t>
  </si>
  <si>
    <t>TAG Zinnia Thumbelina Mix 100/100 Pixie Tag</t>
  </si>
  <si>
    <t>0611840849100</t>
  </si>
  <si>
    <t>TAG Zinnia Uproar Rose 100/100 Pixie Tag SF</t>
  </si>
  <si>
    <t>0611840850100</t>
  </si>
  <si>
    <t>TAG Zinnia Zahara Bonfire Mix 100/100 Pixie Tag</t>
  </si>
  <si>
    <t>0611840851100</t>
  </si>
  <si>
    <t>TAG Zinnia Zahara Cherry 100/100 Pixie Tag</t>
  </si>
  <si>
    <t>0611840852100</t>
  </si>
  <si>
    <t>TAG Zinnia Zahara Coral Rose 100/100 Pixie Tag</t>
  </si>
  <si>
    <t>0611840865100</t>
  </si>
  <si>
    <t>TAG Zinnia Zahara Fire 100/100 Pixie Tag</t>
  </si>
  <si>
    <t>0611840866100</t>
  </si>
  <si>
    <t>TAG Zinnia Zahara Mix 100/100 Pixie Tag</t>
  </si>
  <si>
    <t>0611840868100</t>
  </si>
  <si>
    <t>TAG Zinnia Zahara Raspberry 100/100 Pixie Tag</t>
  </si>
  <si>
    <t>0611840867100</t>
  </si>
  <si>
    <t>TAG Zinnia Zahara Raspberry Lemonade Mix 100/100 Pixie Tag</t>
  </si>
  <si>
    <t>0611840869100</t>
  </si>
  <si>
    <t>TAG Zinnia Zahara Red 100/100 Pixie Tag</t>
  </si>
  <si>
    <t>0611840870100</t>
  </si>
  <si>
    <t>TAG Zinnia Zahara Scarlet 100/100 Pixie Tag</t>
  </si>
  <si>
    <t>0611840871100</t>
  </si>
  <si>
    <t>TAG Zinnia Zahara Starlight Rose 100/100 Pixie Tag</t>
  </si>
  <si>
    <t>0611840872100</t>
  </si>
  <si>
    <t>TAG Zinnia Zahara Sunburst 100/100 Pixie Tag</t>
  </si>
  <si>
    <t>0611840873100</t>
  </si>
  <si>
    <t>TAG Zinnia Zahara White 100/100 Pixie Tag</t>
  </si>
  <si>
    <t>0611840874100</t>
  </si>
  <si>
    <t>TAG Zinnia Zahara XL Fire 100/100 Pixie Tag</t>
  </si>
  <si>
    <t>0611840877100</t>
  </si>
  <si>
    <t>TAG Zinnia Zahara XL Yellow 100/100 Pixie Tag</t>
  </si>
  <si>
    <t>0611840878100</t>
  </si>
  <si>
    <t>TAG Zinnia Zahara Yellow 100/100 Pixie Tag</t>
  </si>
  <si>
    <t>0611864326050</t>
  </si>
  <si>
    <t>TAG Zinnia Zany Rose Picotee 50/50 Petite Portrait FUL</t>
  </si>
  <si>
    <t>0611864327050</t>
  </si>
  <si>
    <t>TAG Zinnia Zany Scarlet 50/50 Petite Portrait FUL</t>
  </si>
  <si>
    <t>0611840879100</t>
  </si>
  <si>
    <t>TAG Zinnia Zesty Fuchsia 100/100 Pixie Tag</t>
  </si>
  <si>
    <t>0611840880100</t>
  </si>
  <si>
    <t>TAG Zinnia Zesty Mix 100/100 Pixie Tag</t>
  </si>
  <si>
    <t>0611857185100</t>
  </si>
  <si>
    <t>TAG Zinnia Zesty Orange 100/100 Pixie Tag</t>
  </si>
  <si>
    <t>0611840881100</t>
  </si>
  <si>
    <t>TAG Zinnia Zesty Pink 100/100 Pixie Tag</t>
  </si>
  <si>
    <t>0611840882100</t>
  </si>
  <si>
    <t>TAG Zinnia Zesty Purple 100/100 Pixie Tag</t>
  </si>
  <si>
    <t>0611840883100</t>
  </si>
  <si>
    <t>TAG Zinnia Zesty Scarlet 100/100 Pixie Tag</t>
  </si>
  <si>
    <t>0611840884100</t>
  </si>
  <si>
    <t>TAG Zinnia Zesty White 100/100 Pixie Tag</t>
  </si>
  <si>
    <t>0611840885100</t>
  </si>
  <si>
    <t>TAG Zinnia Zesty Yellow 100/100 Pixie Tag</t>
  </si>
  <si>
    <t>0611840886100</t>
  </si>
  <si>
    <t>TAG Zinnia Zinderella Lilac 100/100 Pixie Tag</t>
  </si>
  <si>
    <t>0611840887100</t>
  </si>
  <si>
    <t>TAG Zinnia Zinderella Peach 100/100 Pixie Tag</t>
  </si>
  <si>
    <t>0611840888100</t>
  </si>
  <si>
    <t>TAG Zinnia Zinderella Purple 100/100 Pixie Tag</t>
  </si>
  <si>
    <t>0611840889100</t>
  </si>
  <si>
    <t>TAG Zinnia Zinderella Red 100/100 Pixie Tag</t>
  </si>
  <si>
    <t>0611840892100</t>
  </si>
  <si>
    <t>TAG Zinnia Zinnita Mix 100/100 Pixie Tag</t>
  </si>
  <si>
    <t>0611840895100</t>
  </si>
  <si>
    <t>TAG Zinnia Zowie Yellow Flame 100/100 Pixie Tag SF</t>
  </si>
  <si>
    <t>0611857186100</t>
  </si>
  <si>
    <t>TAG Zinnia Zydeco Cherry 100/100 Pixie Tag SF</t>
  </si>
  <si>
    <t>0611857187100</t>
  </si>
  <si>
    <t>TAG Zinnia Zydeco Deep Yellow 100/100 Pixie Tag SF</t>
  </si>
  <si>
    <t>0611857188100</t>
  </si>
  <si>
    <t>TAG Zinnia Zydeco Fire 100/100 Pixie Tag SF</t>
  </si>
  <si>
    <t>0611884531100</t>
  </si>
  <si>
    <t>TAG Zinnia Zydeco Mix 100/100 Pixie Tag</t>
  </si>
  <si>
    <t>0611857189100</t>
  </si>
  <si>
    <t>TAG Zinnia Zydeco White 100/100 Pixie Tag SF</t>
  </si>
  <si>
    <t>PROD#</t>
  </si>
  <si>
    <t>DESCRIPTION 1</t>
  </si>
  <si>
    <t>DESCRIPTION 2</t>
  </si>
  <si>
    <t>VENDOR#</t>
  </si>
  <si>
    <t>VENDOR DESC</t>
  </si>
  <si>
    <t>OB</t>
  </si>
  <si>
    <t>RL</t>
  </si>
  <si>
    <t>RL PRODUCT</t>
  </si>
  <si>
    <t>RL DESC</t>
  </si>
  <si>
    <t>PLANT VEND PROD#</t>
  </si>
  <si>
    <t>VENDOR PROGRAM</t>
  </si>
  <si>
    <t>FIELD NAME 1</t>
  </si>
  <si>
    <t>FIELD VALUE 1</t>
  </si>
  <si>
    <t>TOT-S/O</t>
  </si>
  <si>
    <t>BREEDER</t>
  </si>
  <si>
    <t>EST.DATE</t>
  </si>
  <si>
    <t>RL VEND</t>
  </si>
  <si>
    <t>LGGENUS</t>
  </si>
  <si>
    <t>LGSERIES</t>
  </si>
  <si>
    <t>LGVC</t>
  </si>
  <si>
    <t>ABUTIL BELLA MIX</t>
  </si>
  <si>
    <t>100/100 Pixie Tag</t>
  </si>
  <si>
    <t>WESTROCK</t>
  </si>
  <si>
    <t>N</t>
  </si>
  <si>
    <t>Y</t>
  </si>
  <si>
    <t>001!0611830445100</t>
  </si>
  <si>
    <t>RP12,SP12</t>
  </si>
  <si>
    <t>availType</t>
  </si>
  <si>
    <t>V</t>
  </si>
  <si>
    <t>Westrock</t>
  </si>
  <si>
    <t>Tags</t>
  </si>
  <si>
    <t>Pixie</t>
  </si>
  <si>
    <t>ABUTIL BELLA SELECT MIX</t>
  </si>
  <si>
    <t>001!0611830446100</t>
  </si>
  <si>
    <t>ABUTIL FLOWERING MAPLE GENERIC</t>
  </si>
  <si>
    <t>001!0611830447100</t>
  </si>
  <si>
    <t>ABUTIL VARIEGATED SALMON</t>
  </si>
  <si>
    <t>001!0611830448100</t>
  </si>
  <si>
    <t>ACALYP BRONZE PK COPERLF PLANT</t>
  </si>
  <si>
    <t>50/50 Petite Portrait FUL</t>
  </si>
  <si>
    <t>001!0611860398050</t>
  </si>
  <si>
    <t>Petite Portrait</t>
  </si>
  <si>
    <t>ACALYP CAT TAILS</t>
  </si>
  <si>
    <t>25/25 Portrait Tag</t>
  </si>
  <si>
    <t>001!0611830449025</t>
  </si>
  <si>
    <t>Portrait</t>
  </si>
  <si>
    <t>ACALYP CHENILLE FIRETAIL</t>
  </si>
  <si>
    <t>50/50 Petite Portrait DO FUL</t>
  </si>
  <si>
    <t>001!0611860399050</t>
  </si>
  <si>
    <t>ACALYP CHENILLE PLANT GENERIC</t>
  </si>
  <si>
    <t>100/100 Hang Tag</t>
  </si>
  <si>
    <t>001!0611830450100</t>
  </si>
  <si>
    <t>Hang</t>
  </si>
  <si>
    <t>001!0611830451100</t>
  </si>
  <si>
    <t>ACALYP COPPER PLANT GENERIC</t>
  </si>
  <si>
    <t>001!0611830452100</t>
  </si>
  <si>
    <t>ACANTH MOLLIS</t>
  </si>
  <si>
    <t>001!0611830454025</t>
  </si>
  <si>
    <t>ACHILL APPLEBLOSSOM</t>
  </si>
  <si>
    <t>001!0611830455025</t>
  </si>
  <si>
    <t>ACHILL APPLEBLOSSOM LMTD</t>
  </si>
  <si>
    <t>001!0611860400100</t>
  </si>
  <si>
    <t>50/50 Petite Portrait</t>
  </si>
  <si>
    <t>001!0611860401050</t>
  </si>
  <si>
    <t>ACHILL CERISE QUEEN</t>
  </si>
  <si>
    <t>001!0611830456100</t>
  </si>
  <si>
    <t>ACHILL CORONATION GOLD</t>
  </si>
  <si>
    <t>001!0611830457025</t>
  </si>
  <si>
    <t>ACHILL DESERT EVE DEEP ROSE</t>
  </si>
  <si>
    <t>001!0611830458025</t>
  </si>
  <si>
    <t>001!0611860402050</t>
  </si>
  <si>
    <t>ACHILL DESERT EVE RED</t>
  </si>
  <si>
    <t>001!0611830459025</t>
  </si>
  <si>
    <t>001!0611860403050</t>
  </si>
  <si>
    <t>ACHILL DESERT EVE TERRACOTTA</t>
  </si>
  <si>
    <t>001!0611830460025</t>
  </si>
  <si>
    <t>001!0611860404050</t>
  </si>
  <si>
    <t>ACHILL DESERT EVE YELLOW</t>
  </si>
  <si>
    <t>001!0611830461025</t>
  </si>
  <si>
    <t>001!0611860405050</t>
  </si>
  <si>
    <t>ACHILL GOLDIE</t>
  </si>
  <si>
    <t>001!0611830462025</t>
  </si>
  <si>
    <t>ACHILL KING EDWARD</t>
  </si>
  <si>
    <t>001!0611860406050</t>
  </si>
  <si>
    <t>ACHILL MARSHMALLOW</t>
  </si>
  <si>
    <t>001!0611830463025</t>
  </si>
  <si>
    <t>ACHILL MILLY ROCK RED</t>
  </si>
  <si>
    <t>001!0611830464025</t>
  </si>
  <si>
    <t>ACHILL MILLY ROCK ROSE</t>
  </si>
  <si>
    <t>001!0611830465025</t>
  </si>
  <si>
    <t>ACHILL MILLY ROCK YELL TERRAC</t>
  </si>
  <si>
    <t>001!0611856806025</t>
  </si>
  <si>
    <t>ACHILL MILLY ROCK YELLOW</t>
  </si>
  <si>
    <t>001!0611830466025</t>
  </si>
  <si>
    <t>ACHILL MOON DUST</t>
  </si>
  <si>
    <t>001!0611830467025</t>
  </si>
  <si>
    <t>ACHILL MOONSHINE</t>
  </si>
  <si>
    <t>001!0611830468025</t>
  </si>
  <si>
    <t>001!0611860407050</t>
  </si>
  <si>
    <t>ACHILL NEW VINTAGE RED</t>
  </si>
  <si>
    <t>001!0611830482025</t>
  </si>
  <si>
    <t>001!0611860408050</t>
  </si>
  <si>
    <t>ACHILL NEW VINTAGE ROSE</t>
  </si>
  <si>
    <t>001!0611830483025</t>
  </si>
  <si>
    <t>ACHILL NEW VINTAGE VIOLET</t>
  </si>
  <si>
    <t>001!0611830484025</t>
  </si>
  <si>
    <t>001!0611860409050</t>
  </si>
  <si>
    <t>ACHILL NEW VINTAGE WHITE</t>
  </si>
  <si>
    <t>001!0611830485025</t>
  </si>
  <si>
    <t>ACHILL PAPRIKA</t>
  </si>
  <si>
    <t>001!0611830470025</t>
  </si>
  <si>
    <t>100/100 Pixie Tag FUL</t>
  </si>
  <si>
    <t>001!0611860410100</t>
  </si>
  <si>
    <t>001!0611860411050</t>
  </si>
  <si>
    <t>ACHILL SKYSAIL BRIGHT PINK</t>
  </si>
  <si>
    <t>100/100 Pixie Tag DO FUL</t>
  </si>
  <si>
    <t>001!0611860412100</t>
  </si>
  <si>
    <t>Dummen Orange</t>
  </si>
  <si>
    <t>ACHILL SKYSAIL FIRE</t>
  </si>
  <si>
    <t>001!0611860413100</t>
  </si>
  <si>
    <t>ACHILL SKYSAIL YELLOW</t>
  </si>
  <si>
    <t>001!0611860414100</t>
  </si>
  <si>
    <t>ACHILL SUMMER BERRIES</t>
  </si>
  <si>
    <t>001!0611830476025</t>
  </si>
  <si>
    <t>ACHILL SUMMER DRIFT</t>
  </si>
  <si>
    <t>001!0611830477025</t>
  </si>
  <si>
    <t>ACHILL SUMMER PASTELS</t>
  </si>
  <si>
    <t>001!0611830478100</t>
  </si>
  <si>
    <t>001!0611830479025</t>
  </si>
  <si>
    <t>ACHILL SUN N FUN GOLD</t>
  </si>
  <si>
    <t>001!0611830480025</t>
  </si>
  <si>
    <t>ACHILL SUN N FUN RED</t>
  </si>
  <si>
    <t>001!0611856807025</t>
  </si>
  <si>
    <t>ACHILL TERRACOTTA</t>
  </si>
  <si>
    <t>001!0611830481025</t>
  </si>
  <si>
    <t>001!0611860415100</t>
  </si>
  <si>
    <t>001!0611860416050</t>
  </si>
  <si>
    <t>ACHILL YARROW</t>
  </si>
  <si>
    <t>001!0611830486025</t>
  </si>
  <si>
    <t>ACONIT ARENDSII</t>
  </si>
  <si>
    <t>001!0611830487025</t>
  </si>
  <si>
    <t>ACORUS OGON</t>
  </si>
  <si>
    <t>001!0611830489025</t>
  </si>
  <si>
    <t>ACORUS VARIEGATUS</t>
  </si>
  <si>
    <t>001!0611830490025</t>
  </si>
  <si>
    <t>ADROMI COOPERI</t>
  </si>
  <si>
    <t>001!0611860417100</t>
  </si>
  <si>
    <t>ADROMI CRISTATUS</t>
  </si>
  <si>
    <t>001!0611860418100</t>
  </si>
  <si>
    <t>ADROMI MACULATUS</t>
  </si>
  <si>
    <t>001!0611860419100</t>
  </si>
  <si>
    <t>AEGOPO VARIEGATUM</t>
  </si>
  <si>
    <t>001!0611830491100</t>
  </si>
  <si>
    <t>001!0611830492025</t>
  </si>
  <si>
    <t>AEONIU ATROPURPUREUM</t>
  </si>
  <si>
    <t>001!0611860420100</t>
  </si>
  <si>
    <t>AEONIU GENERIC</t>
  </si>
  <si>
    <t>001!0611830493100</t>
  </si>
  <si>
    <t>AEONIU KIWI</t>
  </si>
  <si>
    <t>001!0611830494100</t>
  </si>
  <si>
    <t>AEONIU KIWI CN2004</t>
  </si>
  <si>
    <t>001!0611860421100</t>
  </si>
  <si>
    <t>AEONIU NIGRUM</t>
  </si>
  <si>
    <t>001!0611860422100</t>
  </si>
  <si>
    <t>AEONIU STRIPE</t>
  </si>
  <si>
    <t>001!0611860423100</t>
  </si>
  <si>
    <t>AEONIU ZWARKTOP</t>
  </si>
  <si>
    <t>001!0611830495100</t>
  </si>
  <si>
    <t>AGAPAN LILY OF THE NILE GNERIC</t>
  </si>
  <si>
    <t>001!0611830498025</t>
  </si>
  <si>
    <t>AGASTA ANISE HYSSOP</t>
  </si>
  <si>
    <t>001!0611830499100</t>
  </si>
  <si>
    <t>AGASTA ANISE HYSSOP GENERIC</t>
  </si>
  <si>
    <t>001!0611830500025</t>
  </si>
  <si>
    <t>AGASTA ARIZONA SANDSTONE</t>
  </si>
  <si>
    <t>001!0611830501025</t>
  </si>
  <si>
    <t>AGASTA ARIZONA SERIES</t>
  </si>
  <si>
    <t>001!0611830502100</t>
  </si>
  <si>
    <t>AGASTA ARIZONA SUN</t>
  </si>
  <si>
    <t>001!0611830503025</t>
  </si>
  <si>
    <t>AGASTA ARIZONA SUNSET</t>
  </si>
  <si>
    <t>001!0611830504025</t>
  </si>
  <si>
    <t>AGASTA BEELICIOUS PURPLE</t>
  </si>
  <si>
    <t>001!0611860424100</t>
  </si>
  <si>
    <t>AGASTA BETTERBUZZ AMARILLO</t>
  </si>
  <si>
    <t>001!0611860425100</t>
  </si>
  <si>
    <t>AGASTA BETTERBUZZ AMBER</t>
  </si>
  <si>
    <t>001!0611860426100</t>
  </si>
  <si>
    <t>AGASTA BETTERBUZZ ROSA</t>
  </si>
  <si>
    <t>001!0611860427100</t>
  </si>
  <si>
    <t>AGASTA BLACK ADDER</t>
  </si>
  <si>
    <t>001!0611830505025</t>
  </si>
  <si>
    <t>001!0611860428100</t>
  </si>
  <si>
    <t>001!0611860429050</t>
  </si>
  <si>
    <t>AGASTA BLUE BAYOU</t>
  </si>
  <si>
    <t>001!0611856808025</t>
  </si>
  <si>
    <t>AGASTA BLUE BOA</t>
  </si>
  <si>
    <t>001!0611830506025</t>
  </si>
  <si>
    <t>AGASTA BLUE FORTUNE</t>
  </si>
  <si>
    <t>001!0611830507025</t>
  </si>
  <si>
    <t>001!0611860430100</t>
  </si>
  <si>
    <t>001!0611860431050</t>
  </si>
  <si>
    <t>AGASTA GOLDEN JUBILEE</t>
  </si>
  <si>
    <t>001!0611830509100</t>
  </si>
  <si>
    <t>AGASTA GUAVA LAVA</t>
  </si>
  <si>
    <t>001!0611883987025</t>
  </si>
  <si>
    <t>SP12</t>
  </si>
  <si>
    <t>AGASTA HUMMINGBIRD MINT GNERIC</t>
  </si>
  <si>
    <t>001!0611830511025</t>
  </si>
  <si>
    <t>AGASTA KUDOS AMBROSIA</t>
  </si>
  <si>
    <t>001!0611830512025</t>
  </si>
  <si>
    <t>AGASTA KUDOS CORAL</t>
  </si>
  <si>
    <t>001!0611830513025</t>
  </si>
  <si>
    <t>AGASTA KUDOS GOLD</t>
  </si>
  <si>
    <t>001!0611830514025</t>
  </si>
  <si>
    <t>AGASTA KUDOS MANDARIN</t>
  </si>
  <si>
    <t>001!0611830515025</t>
  </si>
  <si>
    <t>AGASTA KUDOS RED</t>
  </si>
  <si>
    <t>001!0611830516025</t>
  </si>
  <si>
    <t>AGASTA KUDOS RED DWARF</t>
  </si>
  <si>
    <t>001!0611860432050</t>
  </si>
  <si>
    <t>AGASTA KUDOS RED DWARF CR3984</t>
  </si>
  <si>
    <t>001!0611860433050</t>
  </si>
  <si>
    <t>AGASTA KUDOS SILVER BLUE</t>
  </si>
  <si>
    <t>001!0611830517025</t>
  </si>
  <si>
    <t>AGASTA KUDOS YELLOW</t>
  </si>
  <si>
    <t>001!0611830518025</t>
  </si>
  <si>
    <t>AGASTA LITTLE ADDER</t>
  </si>
  <si>
    <t>001!0611830519025</t>
  </si>
  <si>
    <t>AGASTA MORELLO</t>
  </si>
  <si>
    <t>001!0611830520025</t>
  </si>
  <si>
    <t>AGASTA MORELLO HUMNGBIRD MINT</t>
  </si>
  <si>
    <t>001!0611860434050</t>
  </si>
  <si>
    <t>AGASTA PINK PEARL</t>
  </si>
  <si>
    <t>001!0611883988025</t>
  </si>
  <si>
    <t>AGASTA POQUITO BUTTER YELLOW</t>
  </si>
  <si>
    <t>001!0611830521025</t>
  </si>
  <si>
    <t>001!0611860435050</t>
  </si>
  <si>
    <t>AGASTA POQUITO DARK BLUE</t>
  </si>
  <si>
    <t>001!0611830522025</t>
  </si>
  <si>
    <t>001!0611860436050</t>
  </si>
  <si>
    <t>AGASTA POQUITO LAVENDER</t>
  </si>
  <si>
    <t>001!0611830523025</t>
  </si>
  <si>
    <t>001!0611860437050</t>
  </si>
  <si>
    <t>AGASTA POQUITO ORANGE</t>
  </si>
  <si>
    <t>001!0611830524025</t>
  </si>
  <si>
    <t>001!0611860438050</t>
  </si>
  <si>
    <t>AGASTA PURPLE HAZE</t>
  </si>
  <si>
    <t>001!0611830525025</t>
  </si>
  <si>
    <t>AGASTA SUNNY SPARKS ORNG GLOW</t>
  </si>
  <si>
    <t>001!0611830527025</t>
  </si>
  <si>
    <t>AGASTA SUNNY SPARKS PINK</t>
  </si>
  <si>
    <t>001!0611830528025</t>
  </si>
  <si>
    <t>AGASTA SUNNY SPARKS PINK GLOW</t>
  </si>
  <si>
    <t>001!0611830529025</t>
  </si>
  <si>
    <t>AGASTA SUNNY SPARKS TANGERINE</t>
  </si>
  <si>
    <t>001!0611830530025</t>
  </si>
  <si>
    <t>AGASTA SUNNY SPARKS YELLOW</t>
  </si>
  <si>
    <t>001!0611830531025</t>
  </si>
  <si>
    <t>AGASTA SUNRISE BLUE</t>
  </si>
  <si>
    <t>001!0611830532025</t>
  </si>
  <si>
    <t>AGASTA SUNRISE ORANGE</t>
  </si>
  <si>
    <t>001!0611830533025</t>
  </si>
  <si>
    <t>AGASTA SUNRISE RED</t>
  </si>
  <si>
    <t>001!0611830534025</t>
  </si>
  <si>
    <t>AGASTA SUNRISE ROSE</t>
  </si>
  <si>
    <t>001!0611830535025</t>
  </si>
  <si>
    <t>AGASTA SUNRISE SALMON PINK</t>
  </si>
  <si>
    <t>001!0611830536025</t>
  </si>
  <si>
    <t>AGASTA SUNRISE SKY BLUE</t>
  </si>
  <si>
    <t>001!0611830537025</t>
  </si>
  <si>
    <t>AGASTA SUNRISE VIOLET</t>
  </si>
  <si>
    <t>001!0611830538025</t>
  </si>
  <si>
    <t>AGASTA SUNRISE WHITE</t>
  </si>
  <si>
    <t>001!0611830539025</t>
  </si>
  <si>
    <t>AGASTA SUNRISE YELLOW</t>
  </si>
  <si>
    <t>001!0611830540025</t>
  </si>
  <si>
    <t>AGASTA SUNSET HYSSOP</t>
  </si>
  <si>
    <t>001!0611830541025</t>
  </si>
  <si>
    <t>AGASTA TANGO</t>
  </si>
  <si>
    <t>001!0611830542025</t>
  </si>
  <si>
    <t>AGAVE GENERIC</t>
  </si>
  <si>
    <t>001!0611830544100</t>
  </si>
  <si>
    <t>AGERAT AGUILERA DARK PINK</t>
  </si>
  <si>
    <t>001!0611830545100</t>
  </si>
  <si>
    <t>AGERAT AGUILERA SKY BLUE</t>
  </si>
  <si>
    <t>001!0611830547100</t>
  </si>
  <si>
    <t>AGERAT AGUILERA VIOLET</t>
  </si>
  <si>
    <t>001!0611830548100</t>
  </si>
  <si>
    <t>AGERAT ALOHA BLUE</t>
  </si>
  <si>
    <t>001!0611830549100</t>
  </si>
  <si>
    <t>AGERAT ARIELLA SERIES</t>
  </si>
  <si>
    <t>001!0611830550100</t>
  </si>
  <si>
    <t>AGERAT BLUE DANUBE</t>
  </si>
  <si>
    <t>001!0611830552100</t>
  </si>
  <si>
    <t>AGERAT BLUE HORIZON</t>
  </si>
  <si>
    <t>001!0611830553100</t>
  </si>
  <si>
    <t>AGERAT BUMBLE BLUE</t>
  </si>
  <si>
    <t>001!0611830555100</t>
  </si>
  <si>
    <t>AGERAT BUMBLE ROSE</t>
  </si>
  <si>
    <t>001!0611830556100</t>
  </si>
  <si>
    <t>AGERAT BUMBLE SILVER</t>
  </si>
  <si>
    <t>001!0611830557100</t>
  </si>
  <si>
    <t>AGERAT BUMBLE WHITE</t>
  </si>
  <si>
    <t>001!0611830558100</t>
  </si>
  <si>
    <t>AGERAT GENERIC BILINGUAL</t>
  </si>
  <si>
    <t>001!0611830564100</t>
  </si>
  <si>
    <t>AGERAT HAWAII 5 BLUE</t>
  </si>
  <si>
    <t>001!0611830565100</t>
  </si>
  <si>
    <t>AGERAT HAWAII BLUE</t>
  </si>
  <si>
    <t>001!0611830566100</t>
  </si>
  <si>
    <t>AGERAT HIGH TIDE BLUE</t>
  </si>
  <si>
    <t>001!0611830569100</t>
  </si>
  <si>
    <t>AGERAT HIGH TIDE WHITE</t>
  </si>
  <si>
    <t>001!0611830570100</t>
  </si>
  <si>
    <t>AGERAT SHORT BLUE GENERIC</t>
  </si>
  <si>
    <t>001!0611830571100</t>
  </si>
  <si>
    <t>AGERAT SHORT WHITE GENERIC</t>
  </si>
  <si>
    <t>001!0611830572100</t>
  </si>
  <si>
    <t>AGERAT TALL BLUE GENERIC</t>
  </si>
  <si>
    <t>001!0611830573100</t>
  </si>
  <si>
    <t>AGLAON CHINESE EVRGRN GENERIC</t>
  </si>
  <si>
    <t>001!0611830574100</t>
  </si>
  <si>
    <t>AGLAON RED GENERIC</t>
  </si>
  <si>
    <t>001!0611830575100</t>
  </si>
  <si>
    <t>AGROST GREEN TWIST</t>
  </si>
  <si>
    <t>001!0611830576100</t>
  </si>
  <si>
    <t>AJUGA BLACK SCALLOP</t>
  </si>
  <si>
    <t>100/100 Pixie Tag DO</t>
  </si>
  <si>
    <t>001!0611830577100</t>
  </si>
  <si>
    <t>001!0611830578025</t>
  </si>
  <si>
    <t>001!0611860439100</t>
  </si>
  <si>
    <t>AJUGA BLACK SCALLOP CR4157</t>
  </si>
  <si>
    <t>001!0611860440050</t>
  </si>
  <si>
    <t>AJUGA BLUEBERRY MUFFIN</t>
  </si>
  <si>
    <t>001!0611830579025</t>
  </si>
  <si>
    <t>AJUGA BRONZE BEAUTY</t>
  </si>
  <si>
    <t>001!0611830580100</t>
  </si>
  <si>
    <t>001!0611830581025</t>
  </si>
  <si>
    <t>AJUGA BRONZE BEAUTY CN5006</t>
  </si>
  <si>
    <t>001!0611860441100</t>
  </si>
  <si>
    <t>AJUGA BURGUNDY GLOW</t>
  </si>
  <si>
    <t>001!0611830582100</t>
  </si>
  <si>
    <t>001!0611830583025</t>
  </si>
  <si>
    <t>001!0611860442050</t>
  </si>
  <si>
    <t>AJUGA BURGUNDY GLOW CN5007</t>
  </si>
  <si>
    <t>001!0611860443100</t>
  </si>
  <si>
    <t>AJUGA CATLINS GIANT</t>
  </si>
  <si>
    <t>001!0611830584025</t>
  </si>
  <si>
    <t>001!0611860444100</t>
  </si>
  <si>
    <t>AJUGA CHOCOLATE CHIP</t>
  </si>
  <si>
    <t>001!0611830585025</t>
  </si>
  <si>
    <t>001!0611860445100</t>
  </si>
  <si>
    <t>001!0611860446050</t>
  </si>
  <si>
    <t>AJUGA FEATHERED FRND CRDL CNR</t>
  </si>
  <si>
    <t>001!0611856809025</t>
  </si>
  <si>
    <t>AJUGA FEATHERED FRND FNY FNCH</t>
  </si>
  <si>
    <t>001!0611856810025</t>
  </si>
  <si>
    <t>AJUGA FEATHERED FRND FRC FLCN</t>
  </si>
  <si>
    <t>001!0611856811025</t>
  </si>
  <si>
    <t>AJUGA FEATHERED FRND NBL NTNG</t>
  </si>
  <si>
    <t>001!0611856812025</t>
  </si>
  <si>
    <t>AJUGA FEATHERED FRND PRRT PRD</t>
  </si>
  <si>
    <t>001!0611856813025</t>
  </si>
  <si>
    <t>AJUGA FEATHERED FRND PTT PRKT</t>
  </si>
  <si>
    <t>001!0611856814025</t>
  </si>
  <si>
    <t>AJUGA FEATHERED FRND TRPC TCN</t>
  </si>
  <si>
    <t>001!0611856815025</t>
  </si>
  <si>
    <t>AJUGA GOLDEN GLOW</t>
  </si>
  <si>
    <t>001!0611860447100</t>
  </si>
  <si>
    <t>AJUGA GREEN REPTANS</t>
  </si>
  <si>
    <t>001!0611830586025</t>
  </si>
  <si>
    <t>AJUGA MAHOGANY</t>
  </si>
  <si>
    <t>001!0611830587025</t>
  </si>
  <si>
    <t>001!0611860448100</t>
  </si>
  <si>
    <t>001!0611860449050</t>
  </si>
  <si>
    <t>AJUGA PINK LIGHTNING</t>
  </si>
  <si>
    <t>001!0611860450100</t>
  </si>
  <si>
    <t>AJUGA PRINCESS ELSA</t>
  </si>
  <si>
    <t>001!0611860451100</t>
  </si>
  <si>
    <t>AJUGA PRINCESS LEIA</t>
  </si>
  <si>
    <t>001!0611860452100</t>
  </si>
  <si>
    <t>AJUGA PRINCESS NADIA</t>
  </si>
  <si>
    <t>001!0611860453100</t>
  </si>
  <si>
    <t>ALCEA CHATERS DOUBLE MAROON</t>
  </si>
  <si>
    <t>001!0611830593025</t>
  </si>
  <si>
    <t>ALCEA CHATERS DOUBLE MIX</t>
  </si>
  <si>
    <t>001!0611830594100</t>
  </si>
  <si>
    <t>001!0611830595025</t>
  </si>
  <si>
    <t>ALCEA CHATERS DOUBLE PINK</t>
  </si>
  <si>
    <t>001!0611830596025</t>
  </si>
  <si>
    <t>ALCEA CHATERS DOUBLE SCARLET</t>
  </si>
  <si>
    <t>001!0611830597025</t>
  </si>
  <si>
    <t>ALCEA CHATERS DOUBLE SLMN PINK</t>
  </si>
  <si>
    <t>001!0611830592025</t>
  </si>
  <si>
    <t>ALCEA CHATERS DOUBLE WHITE</t>
  </si>
  <si>
    <t>001!0611830598025</t>
  </si>
  <si>
    <t>ALCEA CHATERS DOUBLE YELLOW</t>
  </si>
  <si>
    <t>001!0611830599025</t>
  </si>
  <si>
    <t>ALCEA CREME DE CASSIS</t>
  </si>
  <si>
    <t>001!0611830600025</t>
  </si>
  <si>
    <t>ALCEA HOLLYHOCK GENERIC</t>
  </si>
  <si>
    <t>001!0611830601025</t>
  </si>
  <si>
    <t>ALCEA INDIAN SPRING</t>
  </si>
  <si>
    <t>001!0611830602025</t>
  </si>
  <si>
    <t>ALCEA LAS VEGAS</t>
  </si>
  <si>
    <t>001!0611830603025</t>
  </si>
  <si>
    <t>ALCEA NIGRA</t>
  </si>
  <si>
    <t>001!0611830604025</t>
  </si>
  <si>
    <t>ALCEA PEACHES N DREAMS</t>
  </si>
  <si>
    <t>001!0611830605025</t>
  </si>
  <si>
    <t>ALCEA QUEENY PURPLE</t>
  </si>
  <si>
    <t>001!0611830606100</t>
  </si>
  <si>
    <t>ALCEA SINGLE</t>
  </si>
  <si>
    <t>001!0611830607025</t>
  </si>
  <si>
    <t>ALCEA SPOTLIGHT BLACKNIGHT</t>
  </si>
  <si>
    <t>001!0611830608025</t>
  </si>
  <si>
    <t>ALCEA SPOTLIGHT MARS MAGIC</t>
  </si>
  <si>
    <t>001!0611830609025</t>
  </si>
  <si>
    <t>ALCEA SPOTLIGHT SUNSHINE</t>
  </si>
  <si>
    <t>001!0611830611025</t>
  </si>
  <si>
    <t>ALCEA SPRING CELEB CARMINE RS</t>
  </si>
  <si>
    <t>001!0611830612025</t>
  </si>
  <si>
    <t>ALCEA SPRING CELEB CRIMSON</t>
  </si>
  <si>
    <t>001!0611830613025</t>
  </si>
  <si>
    <t>ALCEA SPRING CELEB LEMON</t>
  </si>
  <si>
    <t>001!0611830614025</t>
  </si>
  <si>
    <t>ALCEA SPRING CELEB MIX</t>
  </si>
  <si>
    <t>001!0611830618025</t>
  </si>
  <si>
    <t>ALCEA SPRING CELEB PINK</t>
  </si>
  <si>
    <t>001!0611830619025</t>
  </si>
  <si>
    <t>ALCEA SPRING CELEB PURPLE</t>
  </si>
  <si>
    <t>001!0611830616025</t>
  </si>
  <si>
    <t>ALCEA SUMMER CARNIVAL MIX</t>
  </si>
  <si>
    <t>001!0611830620100</t>
  </si>
  <si>
    <t>ALCHEM ALMA</t>
  </si>
  <si>
    <t>001!0611830621025</t>
  </si>
  <si>
    <t>ALCHEM AUSLESE</t>
  </si>
  <si>
    <t>001!0611830622025</t>
  </si>
  <si>
    <t>ALCHEM ERYTHROPODA</t>
  </si>
  <si>
    <t>001!0611830623025</t>
  </si>
  <si>
    <t>ALCHEM GOLD STRIKE</t>
  </si>
  <si>
    <t>001!0611830624025</t>
  </si>
  <si>
    <t>ALCHEM MOLLIS</t>
  </si>
  <si>
    <t>001!0611830625025</t>
  </si>
  <si>
    <t>ALCHEM MOLLIS THRILLER</t>
  </si>
  <si>
    <t>001!0611830626100</t>
  </si>
  <si>
    <t>001!0611830627025</t>
  </si>
  <si>
    <t>ALLIUM BENNYS RED</t>
  </si>
  <si>
    <t>001!0611830628100</t>
  </si>
  <si>
    <t>ALLIUM BUNCHING</t>
  </si>
  <si>
    <t>001!0611830629100</t>
  </si>
  <si>
    <t>ALLIUM BURGUNDY</t>
  </si>
  <si>
    <t>001!0611830630100</t>
  </si>
  <si>
    <t>ALLIUM CANDY</t>
  </si>
  <si>
    <t>001!0611830631100</t>
  </si>
  <si>
    <t>ALLIUM CHIVES</t>
  </si>
  <si>
    <t>001!0611830632100</t>
  </si>
  <si>
    <t>200/200 Thriftee Tag</t>
  </si>
  <si>
    <t>001!0611830633200</t>
  </si>
  <si>
    <t>Thriftee</t>
  </si>
  <si>
    <t>001!0611830634025</t>
  </si>
  <si>
    <t>ALLIUM GARLIC CHIVES</t>
  </si>
  <si>
    <t>001!0611830637100</t>
  </si>
  <si>
    <t>001!0611830638025</t>
  </si>
  <si>
    <t>ALLIUM GARLIC GENERIC</t>
  </si>
  <si>
    <t>001!0611830639100</t>
  </si>
  <si>
    <t>ALLIUM GEISHA GARLIC CHIVES</t>
  </si>
  <si>
    <t>001!0611830640100</t>
  </si>
  <si>
    <t>001!0611883989025</t>
  </si>
  <si>
    <t>ALLIUM KING RICHARD</t>
  </si>
  <si>
    <t>001!0611883990025</t>
  </si>
  <si>
    <t>ALLIUM MILLENIUM</t>
  </si>
  <si>
    <t>001!0611830646025</t>
  </si>
  <si>
    <t>ALOCAS ALOCASIA GENERIC</t>
  </si>
  <si>
    <t>001!0611830665100</t>
  </si>
  <si>
    <t>ALOCAS CALIDORA</t>
  </si>
  <si>
    <t>001!0611830666100</t>
  </si>
  <si>
    <t>ALOCAS POLLY</t>
  </si>
  <si>
    <t>001!0611830667100</t>
  </si>
  <si>
    <t>ALOE ALOE</t>
  </si>
  <si>
    <t>001!0611830669100</t>
  </si>
  <si>
    <t>ALOE ARBORESCENS</t>
  </si>
  <si>
    <t>001!0611860455100</t>
  </si>
  <si>
    <t>ALOE ARBORESCENS CN2007</t>
  </si>
  <si>
    <t>001!0611860456100</t>
  </si>
  <si>
    <t>ALOE ARISTATA</t>
  </si>
  <si>
    <t>001!0611860457100</t>
  </si>
  <si>
    <t>ALOE GENERIC</t>
  </si>
  <si>
    <t>001!0611830670100</t>
  </si>
  <si>
    <t>ALOE MEDICINAL ALOE</t>
  </si>
  <si>
    <t>001!0611830671100</t>
  </si>
  <si>
    <t>ALOE VERA</t>
  </si>
  <si>
    <t>001!0611860458100</t>
  </si>
  <si>
    <t>ALOYSI LEMON VERBENA</t>
  </si>
  <si>
    <t>001!0611860459100</t>
  </si>
  <si>
    <t>001!0611860460050</t>
  </si>
  <si>
    <t>ALSTRO BRYCE</t>
  </si>
  <si>
    <t>001!0611860461050</t>
  </si>
  <si>
    <t>ALSTRO DARK PURPLE</t>
  </si>
  <si>
    <t>001!0611860462050</t>
  </si>
  <si>
    <t>ALSTRO DOBA</t>
  </si>
  <si>
    <t>001!0611860463050</t>
  </si>
  <si>
    <t>ALSTRO GENERIC</t>
  </si>
  <si>
    <t>001!0611830674100</t>
  </si>
  <si>
    <t>ALSTRO HOPE</t>
  </si>
  <si>
    <t>001!0611860464050</t>
  </si>
  <si>
    <t>ALSTRO INTICANCHA INDIGO</t>
  </si>
  <si>
    <t>001!0611860465050</t>
  </si>
  <si>
    <t>ALSTRO KANIKA</t>
  </si>
  <si>
    <t>001!0611860466050</t>
  </si>
  <si>
    <t>ALSTRO MACHU</t>
  </si>
  <si>
    <t>001!0611860467050</t>
  </si>
  <si>
    <t>ALSTRO MAGIC WHITE</t>
  </si>
  <si>
    <t>001!0611860468050</t>
  </si>
  <si>
    <t>ALSTRO MAYA</t>
  </si>
  <si>
    <t>001!0611860469050</t>
  </si>
  <si>
    <t>ALSTRO MOON</t>
  </si>
  <si>
    <t>001!0611860470050</t>
  </si>
  <si>
    <t>ALSTRO PASSION</t>
  </si>
  <si>
    <t>001!0611860471050</t>
  </si>
  <si>
    <t>ALSTRO RED</t>
  </si>
  <si>
    <t>001!0611860472050</t>
  </si>
  <si>
    <t>ALSTRO SUM PARADISE BREE</t>
  </si>
  <si>
    <t>001!0611860473050</t>
  </si>
  <si>
    <t>ALSTRO SUM PARADISE DANCER</t>
  </si>
  <si>
    <t>001!0611860474050</t>
  </si>
  <si>
    <t>ALSTRO SUM PARADISE HOLIDAY</t>
  </si>
  <si>
    <t>001!0611860475050</t>
  </si>
  <si>
    <t>ALSTRO SUM PARADISE INDIAN SUM</t>
  </si>
  <si>
    <t>001!0611860476050</t>
  </si>
  <si>
    <t>ALSTRO SUM PARADISE RED</t>
  </si>
  <si>
    <t>001!0611860477050</t>
  </si>
  <si>
    <t>ALSTRO SUM PARADISE RELI</t>
  </si>
  <si>
    <t>001!0611860478050</t>
  </si>
  <si>
    <t>ALSTRO SUM PARADISE SAIN</t>
  </si>
  <si>
    <t>001!0611860479050</t>
  </si>
  <si>
    <t>ALSTRO SUM PARADISE SKY</t>
  </si>
  <si>
    <t>001!0611860480050</t>
  </si>
  <si>
    <t>ALSTRO SUM PARADISE SNOW</t>
  </si>
  <si>
    <t>001!0611860481050</t>
  </si>
  <si>
    <t>ALSTRO SUM PARADISE VALLEY</t>
  </si>
  <si>
    <t>001!0611860482050</t>
  </si>
  <si>
    <t>ALSTRO SUM PARADISE VALLEY GRL</t>
  </si>
  <si>
    <t>001!0611860483050</t>
  </si>
  <si>
    <t>ALSTRO SUNSET</t>
  </si>
  <si>
    <t>001!0611860484050</t>
  </si>
  <si>
    <t>ALSTRO SUNSHINE</t>
  </si>
  <si>
    <t>001!0611860485050</t>
  </si>
  <si>
    <t>ALSTRO TIME VALLEY</t>
  </si>
  <si>
    <t>001!0611860486050</t>
  </si>
  <si>
    <t>ALSTRO VALENTINO</t>
  </si>
  <si>
    <t>001!0611860487050</t>
  </si>
  <si>
    <t>ALSTRO WHITE PINK BLUSH</t>
  </si>
  <si>
    <t>001!0611860488050</t>
  </si>
  <si>
    <t>ALTERN BRAZILIAN RED HOTS</t>
  </si>
  <si>
    <t>001!0611830675100</t>
  </si>
  <si>
    <t>001!0611860489050</t>
  </si>
  <si>
    <t>ALTERN BURGUNDY</t>
  </si>
  <si>
    <t>001!0611830676100</t>
  </si>
  <si>
    <t>ALTERN CHARTREUSE</t>
  </si>
  <si>
    <t>001!0611830677100</t>
  </si>
  <si>
    <t>ALTERN CHOCO CHILI</t>
  </si>
  <si>
    <t>001!0611830678100</t>
  </si>
  <si>
    <t>ALTERN GENERIC BILINGUAL</t>
  </si>
  <si>
    <t>001!0611830679100</t>
  </si>
  <si>
    <t>ALTERN GOLD THREADS</t>
  </si>
  <si>
    <t>001!0611830680100</t>
  </si>
  <si>
    <t>ALTERN GREEN/YELLOW</t>
  </si>
  <si>
    <t>001!0611830681100</t>
  </si>
  <si>
    <t>ALTERN LITTLE RUBY</t>
  </si>
  <si>
    <t>001!0611830684100</t>
  </si>
  <si>
    <t>001!0611860490050</t>
  </si>
  <si>
    <t>ALTERN PARTY TIME</t>
  </si>
  <si>
    <t>001!0611860491050</t>
  </si>
  <si>
    <t>ALTERN PURPLE KNIGHT</t>
  </si>
  <si>
    <t>001!0611830685100</t>
  </si>
  <si>
    <t>ALTERN PURPLE PRINCE</t>
  </si>
  <si>
    <t>001!0611830686100</t>
  </si>
  <si>
    <t>ALTERN RED</t>
  </si>
  <si>
    <t>001!0611830687100</t>
  </si>
  <si>
    <t>ALTERN RED CARPET</t>
  </si>
  <si>
    <t>001!0611860492050</t>
  </si>
  <si>
    <t>ALTERN RED THREADS</t>
  </si>
  <si>
    <t>001!0611830688100</t>
  </si>
  <si>
    <t>ALTERN TRUE YELLOW</t>
  </si>
  <si>
    <t>001!0611860493050</t>
  </si>
  <si>
    <t>ALTHAE ZEBRINA</t>
  </si>
  <si>
    <t>001!0611830690025</t>
  </si>
  <si>
    <t>ALYSSU GENERIC</t>
  </si>
  <si>
    <t>001!0611830691025</t>
  </si>
  <si>
    <t>ALYSSU GOLDEN SPRING</t>
  </si>
  <si>
    <t>001!0611830692025</t>
  </si>
  <si>
    <t>001!0611860494050</t>
  </si>
  <si>
    <t>ALYSSU MOUNTAIN GOLD</t>
  </si>
  <si>
    <t>001!0611830694025</t>
  </si>
  <si>
    <t>ALYSSU NEW CARPET OF SNOW</t>
  </si>
  <si>
    <t>001!0611856816100</t>
  </si>
  <si>
    <t>ALYSSU STREAM CHAMPAGNE 22</t>
  </si>
  <si>
    <t>001!0611856817100</t>
  </si>
  <si>
    <t>ALYSSU STREAM VIOLET 22</t>
  </si>
  <si>
    <t>001!0611856818100</t>
  </si>
  <si>
    <t>AMARAN CARNIVAL</t>
  </si>
  <si>
    <t>001!0611830696100</t>
  </si>
  <si>
    <t>AMARAN EARLY SPLENDOR</t>
  </si>
  <si>
    <t>001!0611830697100</t>
  </si>
  <si>
    <t>AMARAN GENERIC</t>
  </si>
  <si>
    <t>001!0611830695100</t>
  </si>
  <si>
    <t>AMARAN LOVE LIES BLEEDING</t>
  </si>
  <si>
    <t>001!0611830698100</t>
  </si>
  <si>
    <t>AMARAN TRICOLOR SPLENDENS</t>
  </si>
  <si>
    <t>001!0611830700100</t>
  </si>
  <si>
    <t>AMARAN VELVET CURTAINS</t>
  </si>
  <si>
    <t>001!0611830701100</t>
  </si>
  <si>
    <t>AMARYL GENERIC</t>
  </si>
  <si>
    <t>001!0611835297100</t>
  </si>
  <si>
    <t>AMSONI BLUE ICE</t>
  </si>
  <si>
    <t>001!0611830702025</t>
  </si>
  <si>
    <t>AMSONI HUBRICHTII</t>
  </si>
  <si>
    <t>001!0611830703025</t>
  </si>
  <si>
    <t>ANACYC DEPRESSUS</t>
  </si>
  <si>
    <t>001!0611830704025</t>
  </si>
  <si>
    <t>ANAGAL SKYLOVER</t>
  </si>
  <si>
    <t>001!0611830706100</t>
  </si>
  <si>
    <t>ANANAS PINEAPPLE PLANT GENERIC</t>
  </si>
  <si>
    <t>001!0611830707025</t>
  </si>
  <si>
    <t>ANCHUS BLUE ANGEL</t>
  </si>
  <si>
    <t>001!0611830708025</t>
  </si>
  <si>
    <t>ANDROP GERARDII</t>
  </si>
  <si>
    <t>001!0611830709025</t>
  </si>
  <si>
    <t>ANEMON GENERIC</t>
  </si>
  <si>
    <t>001!0611830710100</t>
  </si>
  <si>
    <t>ANEMON HARMONY DBL SERIES</t>
  </si>
  <si>
    <t>001!0611830711100</t>
  </si>
  <si>
    <t>ANEMON HARMONY SERIES</t>
  </si>
  <si>
    <t>001!0611830712100</t>
  </si>
  <si>
    <t>ANEMON HONORINE JOBERT</t>
  </si>
  <si>
    <t>001!0611830713025</t>
  </si>
  <si>
    <t>ANEMON MONA LISA</t>
  </si>
  <si>
    <t>001!0611830714100</t>
  </si>
  <si>
    <t>ANEMON ROBUSTISSIMA</t>
  </si>
  <si>
    <t>001!0611830715025</t>
  </si>
  <si>
    <t>ANEMON SEPTEMBER CHARM</t>
  </si>
  <si>
    <t>001!0611830716025</t>
  </si>
  <si>
    <t>ANEMON SYLVESTRIS</t>
  </si>
  <si>
    <t>001!0611830717025</t>
  </si>
  <si>
    <t>ANEMON WHIRLWIND</t>
  </si>
  <si>
    <t>001!0611830718025</t>
  </si>
  <si>
    <t>ANGELO ALONIA BIC VIOLET</t>
  </si>
  <si>
    <t>001!0611830726100</t>
  </si>
  <si>
    <t>ANGELO ALONIA BIG BIC PINK</t>
  </si>
  <si>
    <t>001!0611830727100</t>
  </si>
  <si>
    <t>ANGELO ALONIA BIG BIC PURPLE</t>
  </si>
  <si>
    <t>001!0611830728100</t>
  </si>
  <si>
    <t>ANGELO ALONIA BIG BLUE</t>
  </si>
  <si>
    <t>001!0611830729100</t>
  </si>
  <si>
    <t>ANGELO ALONIA BIG CHERRY</t>
  </si>
  <si>
    <t>001!0611883991100</t>
  </si>
  <si>
    <t>ANGELO ALONIA BIG DARK PINK</t>
  </si>
  <si>
    <t>001!0611830730100</t>
  </si>
  <si>
    <t>ANGELO ALONIA BIG GRAPE</t>
  </si>
  <si>
    <t>001!0611883992100</t>
  </si>
  <si>
    <t>ANGELO ALONIA BIG INDIGO</t>
  </si>
  <si>
    <t>001!0611830731100</t>
  </si>
  <si>
    <t>ANGELO ALONIA BIG SNOW</t>
  </si>
  <si>
    <t>001!0611830732100</t>
  </si>
  <si>
    <t>ANGELO ALONIA BIG VIOLET</t>
  </si>
  <si>
    <t>001!0611830737100</t>
  </si>
  <si>
    <t>ANGELO ALONIA DARK LAVENDER</t>
  </si>
  <si>
    <t>001!0611830733100</t>
  </si>
  <si>
    <t>ANGELO ALONIA PINK FLIRT</t>
  </si>
  <si>
    <t>001!0611830734100</t>
  </si>
  <si>
    <t>ANGELO ALONIA PURPLE</t>
  </si>
  <si>
    <t>001!0611883993100</t>
  </si>
  <si>
    <t>ANGELO ALONIA SNOW BALL</t>
  </si>
  <si>
    <t>001!0611830736100</t>
  </si>
  <si>
    <t>ANGELO ANGELISSA PURPLE</t>
  </si>
  <si>
    <t>001!0611830738100</t>
  </si>
  <si>
    <t>ANGELO ANGELISSA ROSE</t>
  </si>
  <si>
    <t>001!0611830739100</t>
  </si>
  <si>
    <t>ANGELO ANGELISSA WHITE</t>
  </si>
  <si>
    <t>001!0611830740100</t>
  </si>
  <si>
    <t>ANGELO ARIA ALTA PK</t>
  </si>
  <si>
    <t>001!0611860495050</t>
  </si>
  <si>
    <t>ANGELO ARIA ALTA PRP</t>
  </si>
  <si>
    <t>001!0611860496050</t>
  </si>
  <si>
    <t>ANGELO ARIA ALTA RD RASP</t>
  </si>
  <si>
    <t>001!0611860497050</t>
  </si>
  <si>
    <t>ANGELO ARIA BL</t>
  </si>
  <si>
    <t>001!0611860498050</t>
  </si>
  <si>
    <t>ANGELO ARIA PINK BIC</t>
  </si>
  <si>
    <t>001!0611883994050</t>
  </si>
  <si>
    <t>ANGELO ARIA PRP</t>
  </si>
  <si>
    <t>001!0611860499050</t>
  </si>
  <si>
    <t>ANGELO ARIA SFT PK</t>
  </si>
  <si>
    <t>001!0611860500050</t>
  </si>
  <si>
    <t>ANGELO ARIA WH</t>
  </si>
  <si>
    <t>001!0611860501050</t>
  </si>
  <si>
    <t>ANGELO CARITA CASCADE DP PRPL</t>
  </si>
  <si>
    <t>50/50 Petite Portrait SF FUL</t>
  </si>
  <si>
    <t>001!0611860502050</t>
  </si>
  <si>
    <t>Syngenta Genetics</t>
  </si>
  <si>
    <t>ANGELO CARITA CASCADE RASPBRY</t>
  </si>
  <si>
    <t>001!0611860503050</t>
  </si>
  <si>
    <t>ANGELO CARITA CASCADE WHITE</t>
  </si>
  <si>
    <t>001!0611860504050</t>
  </si>
  <si>
    <t>ANGELO CARITA PURPLE</t>
  </si>
  <si>
    <t>001!0611860505050</t>
  </si>
  <si>
    <t>ANGELO CARITA RASPBERRY</t>
  </si>
  <si>
    <t>001!0611860506050</t>
  </si>
  <si>
    <t>ANGELO CARITA WHITE</t>
  </si>
  <si>
    <t>001!0611860507050</t>
  </si>
  <si>
    <t>ANGELO GENERIC</t>
  </si>
  <si>
    <t>001!0611830741100</t>
  </si>
  <si>
    <t>ANGELO SERAFINA BICOLOR</t>
  </si>
  <si>
    <t>001!0611830749100</t>
  </si>
  <si>
    <t>ANGELO SERAFINA BLUE</t>
  </si>
  <si>
    <t>001!0611830750100</t>
  </si>
  <si>
    <t>ANGELO SERAFINA PINK</t>
  </si>
  <si>
    <t>001!0611830751100</t>
  </si>
  <si>
    <t>ANGELO SERAFINA RASPBERRY</t>
  </si>
  <si>
    <t>001!0611830752100</t>
  </si>
  <si>
    <t>ANGELO SERAFINA ROSE</t>
  </si>
  <si>
    <t>001!0611830753100</t>
  </si>
  <si>
    <t>ANGELO SERAFINA VIOLET</t>
  </si>
  <si>
    <t>001!0611830754100</t>
  </si>
  <si>
    <t>ANGELO SERAFINA WHITE</t>
  </si>
  <si>
    <t>001!0611830755100</t>
  </si>
  <si>
    <t>ANGELO SERENA BLUE</t>
  </si>
  <si>
    <t>001!0611830756100</t>
  </si>
  <si>
    <t>ANGELO SERENA LAVENDER</t>
  </si>
  <si>
    <t>001!0611830757100</t>
  </si>
  <si>
    <t>ANGELO SERENA LAVENDER PINK</t>
  </si>
  <si>
    <t>001!0611830758100</t>
  </si>
  <si>
    <t>ANGELO SERENA MIX</t>
  </si>
  <si>
    <t>001!0611830759100</t>
  </si>
  <si>
    <t>ANGELO SERENA PURPLE</t>
  </si>
  <si>
    <t>001!0611830760100</t>
  </si>
  <si>
    <t>ANGELO SERENA ROSE</t>
  </si>
  <si>
    <t>001!0611830761100</t>
  </si>
  <si>
    <t>ANGELO SERENA WATERFALL MIX</t>
  </si>
  <si>
    <t>001!0611830762100</t>
  </si>
  <si>
    <t>ANGELO SERENA WHITE</t>
  </si>
  <si>
    <t>001!0611830763100</t>
  </si>
  <si>
    <t>ANGELO SERENITA LAVENDER</t>
  </si>
  <si>
    <t>001!0611830764100</t>
  </si>
  <si>
    <t>ANGELO SERENITA LAVENDER PINK</t>
  </si>
  <si>
    <t>001!0611830765100</t>
  </si>
  <si>
    <t>ANGELO SERENITA MIX</t>
  </si>
  <si>
    <t>001!0611830766100</t>
  </si>
  <si>
    <t>ANGELO SERENITA PINK</t>
  </si>
  <si>
    <t>001!0611830767100</t>
  </si>
  <si>
    <t>ANGELO SERENITA PURPLE</t>
  </si>
  <si>
    <t>001!0611830768100</t>
  </si>
  <si>
    <t>ANGELO SERENITA RASPBERRY</t>
  </si>
  <si>
    <t>001!0611830769100</t>
  </si>
  <si>
    <t>ANGELO SERENITA ROSE</t>
  </si>
  <si>
    <t>001!0611830770100</t>
  </si>
  <si>
    <t>ANGELO SERENITA SERIES</t>
  </si>
  <si>
    <t>001!0611830771100</t>
  </si>
  <si>
    <t>ANGELO SERENITA SKY BLUE</t>
  </si>
  <si>
    <t>001!0611830772100</t>
  </si>
  <si>
    <t>ANGELO SERENITA WHITE</t>
  </si>
  <si>
    <t>001!0611830773100</t>
  </si>
  <si>
    <t>ANISE GENERIC</t>
  </si>
  <si>
    <t>001!0611838495100</t>
  </si>
  <si>
    <t>ANISOD CAPENSIS</t>
  </si>
  <si>
    <t>001!0611830775100</t>
  </si>
  <si>
    <t>ANISOD ELEGANS PRINCESS</t>
  </si>
  <si>
    <t>001!0611830776100</t>
  </si>
  <si>
    <t>ANNUAL COMBINATION GENERIC</t>
  </si>
  <si>
    <t>001!0611830777100</t>
  </si>
  <si>
    <t>ANNUAL GENERIC BILINGUAL</t>
  </si>
  <si>
    <t>001!0611830778100</t>
  </si>
  <si>
    <t>ANTENN RUBRA</t>
  </si>
  <si>
    <t>001!0611830779025</t>
  </si>
  <si>
    <t>ANTHRI CHERVIL</t>
  </si>
  <si>
    <t>001!0611830780100</t>
  </si>
  <si>
    <t>001!0611883995025</t>
  </si>
  <si>
    <t>ANTHUR GENERIC</t>
  </si>
  <si>
    <t>001!0611830781100</t>
  </si>
  <si>
    <t>ANTIRR BUTTERY DRAGON</t>
  </si>
  <si>
    <t>001!0611860508050</t>
  </si>
  <si>
    <t>ANTIRR PEACHY DRAGON</t>
  </si>
  <si>
    <t>001!0611860509050</t>
  </si>
  <si>
    <t>ANTIRR ROSEY DRAGON</t>
  </si>
  <si>
    <t>001!0611860510050</t>
  </si>
  <si>
    <t>APIUM PEPPERMINT STICK</t>
  </si>
  <si>
    <t>001!0611883996025</t>
  </si>
  <si>
    <t>APTENI APTENIA GENERIC</t>
  </si>
  <si>
    <t>001!0611830950100</t>
  </si>
  <si>
    <t>APTENI RED</t>
  </si>
  <si>
    <t>001!0611830951100</t>
  </si>
  <si>
    <t>APTENI VARIEGATED</t>
  </si>
  <si>
    <t>001!0611830952100</t>
  </si>
  <si>
    <t>AQUILE ALPINA</t>
  </si>
  <si>
    <t>001!0611830953025</t>
  </si>
  <si>
    <t>AQUILE BARLOW NORA</t>
  </si>
  <si>
    <t>001!0611830954025</t>
  </si>
  <si>
    <t>AQUILE BIEDERMEIER</t>
  </si>
  <si>
    <t>001!0611830955100</t>
  </si>
  <si>
    <t>001!0611830956025</t>
  </si>
  <si>
    <t>AQUILE CANADENSIS</t>
  </si>
  <si>
    <t>001!0611830957025</t>
  </si>
  <si>
    <t>AQUILE CLEMENTINE BLUE</t>
  </si>
  <si>
    <t>001!0611830958025</t>
  </si>
  <si>
    <t>AQUILE CLEMENTINE DARK PURPLE</t>
  </si>
  <si>
    <t>001!0611830959025</t>
  </si>
  <si>
    <t>AQUILE CLEMENTINE MIX</t>
  </si>
  <si>
    <t>001!0611830960025</t>
  </si>
  <si>
    <t>AQUILE CLEMENTINE RED</t>
  </si>
  <si>
    <t>001!0611830961025</t>
  </si>
  <si>
    <t>AQUILE CLEMENTINE SALMON ROSE</t>
  </si>
  <si>
    <t>001!0611830963025</t>
  </si>
  <si>
    <t>AQUILE EARLYBIRD BLUE WHITE</t>
  </si>
  <si>
    <t>001!0611830965025</t>
  </si>
  <si>
    <t>AQUILE EARLYBIRD MIX</t>
  </si>
  <si>
    <t>001!0611830966025</t>
  </si>
  <si>
    <t>AQUILE EARLYBIRD PURPLE BLUE</t>
  </si>
  <si>
    <t>001!0611830967025</t>
  </si>
  <si>
    <t>AQUILE EARLYBIRD PURPLE WHITE</t>
  </si>
  <si>
    <t>001!0611830968025</t>
  </si>
  <si>
    <t>AQUILE EARLYBIRD PURPLE YELLOW</t>
  </si>
  <si>
    <t>001!0611830969025</t>
  </si>
  <si>
    <t>AQUILE EARLYBIRD RED WHITE</t>
  </si>
  <si>
    <t>001!0611830970025</t>
  </si>
  <si>
    <t>AQUILE EARLYBIRD RED YELLOW</t>
  </si>
  <si>
    <t>001!0611830971025</t>
  </si>
  <si>
    <t>AQUILE EARLYBIRD WHITE</t>
  </si>
  <si>
    <t>001!0611830972025</t>
  </si>
  <si>
    <t>AQUILE EARLYBIRD YELLOW</t>
  </si>
  <si>
    <t>001!0611830973025</t>
  </si>
  <si>
    <t>AQUILE KIRIGAMI DP BLUE/WHITE</t>
  </si>
  <si>
    <t>25/25 Portrait Tag SF</t>
  </si>
  <si>
    <t>001!0611830974025</t>
  </si>
  <si>
    <t>AQUILE KIRIGAMI LT BLUE/WHITE</t>
  </si>
  <si>
    <t>001!0611830975025</t>
  </si>
  <si>
    <t>AQUILE KIRIGAMI MIX</t>
  </si>
  <si>
    <t>001!0611830976025</t>
  </si>
  <si>
    <t>AQUILE KIRIGAMI RED/WHITE</t>
  </si>
  <si>
    <t>001!0611830977025</t>
  </si>
  <si>
    <t>AQUILE KIRIGAMI ROSE/PINK</t>
  </si>
  <si>
    <t>001!0611830978025</t>
  </si>
  <si>
    <t>AQUILE KIRIGAMI YELLOW</t>
  </si>
  <si>
    <t>001!0611830979025</t>
  </si>
  <si>
    <t>AQUILE LITTLE LANTERNS</t>
  </si>
  <si>
    <t>001!0611830980025</t>
  </si>
  <si>
    <t>AQUILE MCKANA GIANTS HYBRID</t>
  </si>
  <si>
    <t>001!0611830981100</t>
  </si>
  <si>
    <t>001!0611830982025</t>
  </si>
  <si>
    <t>AQUILE MIX GENERIC</t>
  </si>
  <si>
    <t>001!0611830983100</t>
  </si>
  <si>
    <t>001!0611830984025</t>
  </si>
  <si>
    <t>AQUILE ORIGAMI BLUE/WHITE</t>
  </si>
  <si>
    <t>001!0611830985025</t>
  </si>
  <si>
    <t>AQUILE ORIGAMI MIX</t>
  </si>
  <si>
    <t>001!0611830986025</t>
  </si>
  <si>
    <t>AQUILE ORIGAMI RED/WHITE</t>
  </si>
  <si>
    <t>001!0611830988025</t>
  </si>
  <si>
    <t>AQUILE SONGBIRD BLUE BIRD</t>
  </si>
  <si>
    <t>001!0611830993100</t>
  </si>
  <si>
    <t>AQUILE SONGBIRD CARDINAL</t>
  </si>
  <si>
    <t>001!0611830995025</t>
  </si>
  <si>
    <t>AQUILE SONGBIRD MIX</t>
  </si>
  <si>
    <t>001!0611830997025</t>
  </si>
  <si>
    <t>AQUILE SONGBIRD ROBIN</t>
  </si>
  <si>
    <t>001!0611830999025</t>
  </si>
  <si>
    <t>AQUILE SWAN BLUE/WHITE</t>
  </si>
  <si>
    <t>001!0611831000025</t>
  </si>
  <si>
    <t>AQUILE SWAN BURGUNDY/WHITE</t>
  </si>
  <si>
    <t>001!0611831001025</t>
  </si>
  <si>
    <t>AQUILE SWAN MIX</t>
  </si>
  <si>
    <t>001!0611831002025</t>
  </si>
  <si>
    <t>AQUILE SWAN PINK/YELLOW</t>
  </si>
  <si>
    <t>001!0611831003025</t>
  </si>
  <si>
    <t>AQUILE SWAN RED/WHITE</t>
  </si>
  <si>
    <t>001!0611831004025</t>
  </si>
  <si>
    <t>AQUILE SWAN VIOLET/WHITE</t>
  </si>
  <si>
    <t>001!0611831005025</t>
  </si>
  <si>
    <t>AQUILE SWAN YELLOW</t>
  </si>
  <si>
    <t>001!0611831006025</t>
  </si>
  <si>
    <t>AQUILE WINKY BLUE/WHITE</t>
  </si>
  <si>
    <t>001!0611831007025</t>
  </si>
  <si>
    <t>AQUILE WINKY DBL DK BLUE/WHITE</t>
  </si>
  <si>
    <t>001!0611831008025</t>
  </si>
  <si>
    <t>AQUILE WINKY DBL MIX</t>
  </si>
  <si>
    <t>001!0611831009025</t>
  </si>
  <si>
    <t>AQUILE WINKY DBL RED/WHITE</t>
  </si>
  <si>
    <t>001!0611831010025</t>
  </si>
  <si>
    <t>AQUILE WINKY DBL ROSE/WHITE</t>
  </si>
  <si>
    <t>001!0611831011025</t>
  </si>
  <si>
    <t>AQUILE WINKY EARLY SKY BLUE</t>
  </si>
  <si>
    <t>001!0611831012100</t>
  </si>
  <si>
    <t>AQUILE WINKY MIX</t>
  </si>
  <si>
    <t>001!0611831013025</t>
  </si>
  <si>
    <t>AQUILE WINKY PURPLE/WHITE</t>
  </si>
  <si>
    <t>001!0611831015025</t>
  </si>
  <si>
    <t>AQUILE WINKY RED/WHITE</t>
  </si>
  <si>
    <t>001!0611831016025</t>
  </si>
  <si>
    <t>AQUILE WINKY ROSE ROSE</t>
  </si>
  <si>
    <t>001!0611831017025</t>
  </si>
  <si>
    <t>ARABIS BARRANCA DEEP ROSE</t>
  </si>
  <si>
    <t>001!0611831019025</t>
  </si>
  <si>
    <t>ARABIS BARRANCA PINK</t>
  </si>
  <si>
    <t>001!0611831020025</t>
  </si>
  <si>
    <t>ARABIS CATWALK PINK</t>
  </si>
  <si>
    <t>001!0611883997025</t>
  </si>
  <si>
    <t>ARABIS CATWALK WHITE</t>
  </si>
  <si>
    <t>001!0611831021025</t>
  </si>
  <si>
    <t>ARABIS COMPINKIE</t>
  </si>
  <si>
    <t>001!0611831022100</t>
  </si>
  <si>
    <t>ARABIS LITTLE TREASURE DP ROSE</t>
  </si>
  <si>
    <t>001!0611831024025</t>
  </si>
  <si>
    <t>ARABIS LITTLE TREASURE WHITE</t>
  </si>
  <si>
    <t>100/100 Pixie Tag SF</t>
  </si>
  <si>
    <t>001!0611831025100</t>
  </si>
  <si>
    <t>001!0611831026025</t>
  </si>
  <si>
    <t>ARABIS OLD GOLD</t>
  </si>
  <si>
    <t>001!0611831027025</t>
  </si>
  <si>
    <t>ARABIS ROCK CRESS GENERIC</t>
  </si>
  <si>
    <t>001!0611831028025</t>
  </si>
  <si>
    <t>ARABIS ROTE SENSATION</t>
  </si>
  <si>
    <t>001!0611831029025</t>
  </si>
  <si>
    <t>ARABIS SNOWCAP</t>
  </si>
  <si>
    <t>001!0611831030100</t>
  </si>
  <si>
    <t>001!0611831031025</t>
  </si>
  <si>
    <t>ARABIS SPRING CHARM</t>
  </si>
  <si>
    <t>001!0611831033025</t>
  </si>
  <si>
    <t>ARABIS VARIEGATA</t>
  </si>
  <si>
    <t>001!0611831034025</t>
  </si>
  <si>
    <t>ARALIA ARALIA</t>
  </si>
  <si>
    <t>001!0611838556100</t>
  </si>
  <si>
    <t>ARALIA DIZYGO ELEGANTISSIMA</t>
  </si>
  <si>
    <t>001!0611834089100</t>
  </si>
  <si>
    <t>ARALIA SUN KING</t>
  </si>
  <si>
    <t>001!0611831035025</t>
  </si>
  <si>
    <t>ARCTOT RAVERS BUMBLE BEE</t>
  </si>
  <si>
    <t>001!0611860511050</t>
  </si>
  <si>
    <t>ARCTOT RAVERS CHERRY FROST</t>
  </si>
  <si>
    <t>001!0611860512050</t>
  </si>
  <si>
    <t>ARCTOT RAVERS PINK SUGAR</t>
  </si>
  <si>
    <t>001!0611860513050</t>
  </si>
  <si>
    <t>ARCTOT RAVERS PUMPKIN PIE</t>
  </si>
  <si>
    <t>001!0611860514050</t>
  </si>
  <si>
    <t>ARDISI CRENATA</t>
  </si>
  <si>
    <t>001!0611831037100</t>
  </si>
  <si>
    <t>ARENAR AVALANCHE</t>
  </si>
  <si>
    <t>001!0611831038025</t>
  </si>
  <si>
    <t>ARENAR BLIZZARD COMPACT</t>
  </si>
  <si>
    <t>001!0611831039025</t>
  </si>
  <si>
    <t>ARENAR MONTANA</t>
  </si>
  <si>
    <t>001!0611831040025</t>
  </si>
  <si>
    <t>ARENAR SUMMER WHITE</t>
  </si>
  <si>
    <t>001!0611831041025</t>
  </si>
  <si>
    <t>001!0611860515050</t>
  </si>
  <si>
    <t>ARENAR WINTER LEMON</t>
  </si>
  <si>
    <t>001!0611831042025</t>
  </si>
  <si>
    <t>ARENAR WINTER WHITE</t>
  </si>
  <si>
    <t>001!0611831043025</t>
  </si>
  <si>
    <t>ARGYRA ANGELIC SERIES</t>
  </si>
  <si>
    <t>001!0611831044100</t>
  </si>
  <si>
    <t>ARGYRA BEAUTY YELLOW</t>
  </si>
  <si>
    <t>001!0611860516050</t>
  </si>
  <si>
    <t>ARGYRA BUTTERFLY</t>
  </si>
  <si>
    <t>001!0611831045100</t>
  </si>
  <si>
    <t>001!0611860517050</t>
  </si>
  <si>
    <t>ARGYRA COMET PINK</t>
  </si>
  <si>
    <t>001!0611860518050</t>
  </si>
  <si>
    <t>ARGYRA COMET PINK SHADES</t>
  </si>
  <si>
    <t>001!0611860519050</t>
  </si>
  <si>
    <t>ARGYRA COMET RED</t>
  </si>
  <si>
    <t>001!0611860520050</t>
  </si>
  <si>
    <t>ARGYRA COMET WHITE</t>
  </si>
  <si>
    <t>001!0611860521050</t>
  </si>
  <si>
    <t>ARGYRA COMET YELLOW</t>
  </si>
  <si>
    <t>001!0611860522050</t>
  </si>
  <si>
    <t>ARGYRA EVEREST</t>
  </si>
  <si>
    <t>001!0611831047100</t>
  </si>
  <si>
    <t>ARGYRA GO DAISY SERIES</t>
  </si>
  <si>
    <t>001!0611831051100</t>
  </si>
  <si>
    <t>ARGYRA LOLLIES SERIES</t>
  </si>
  <si>
    <t>001!0611831053100</t>
  </si>
  <si>
    <t>ARGYRA MARGUERITE DAISY GNRC</t>
  </si>
  <si>
    <t>001!0611831054100</t>
  </si>
  <si>
    <t>ARGYRA SASSY DBL DEEP ROSE</t>
  </si>
  <si>
    <t>001!0611860524050</t>
  </si>
  <si>
    <t>ARGYRA SASSY DBL YELLOW</t>
  </si>
  <si>
    <t>001!0611860525050</t>
  </si>
  <si>
    <t>ARGYRA SASSY RED MARGUERITE</t>
  </si>
  <si>
    <t>001!0611860526050</t>
  </si>
  <si>
    <t>ARGYRA SASSY ROSE</t>
  </si>
  <si>
    <t>001!0611860527050</t>
  </si>
  <si>
    <t>ARGYRA SASSY WHITE</t>
  </si>
  <si>
    <t>001!0611860528050</t>
  </si>
  <si>
    <t>ARGYRA SUNNY SPRING</t>
  </si>
  <si>
    <t>001!0611831055100</t>
  </si>
  <si>
    <t>ARGYRA WHITE GENERIC</t>
  </si>
  <si>
    <t>001!0611831056100</t>
  </si>
  <si>
    <t>ARGYRA YELLOW GENERIC</t>
  </si>
  <si>
    <t>001!0611831057100</t>
  </si>
  <si>
    <t>ARMERI ALBA MARITIMA</t>
  </si>
  <si>
    <t>001!0611831059025</t>
  </si>
  <si>
    <t>ARMERI BALLERINA LILAC</t>
  </si>
  <si>
    <t>001!0611831060025</t>
  </si>
  <si>
    <t>ARMERI BALLERINA MIX</t>
  </si>
  <si>
    <t>001!0611831061025</t>
  </si>
  <si>
    <t>ARMERI BALLERINA RED</t>
  </si>
  <si>
    <t>001!0611831062025</t>
  </si>
  <si>
    <t>ARMERI DREAMERIA DAYDREAM</t>
  </si>
  <si>
    <t>001!0611831063025</t>
  </si>
  <si>
    <t>ARMERI DREAMERIA DREAM CLOUDS</t>
  </si>
  <si>
    <t>001!0611831064025</t>
  </si>
  <si>
    <t>ARMERI DREAMERIA DREAM WEAVER</t>
  </si>
  <si>
    <t>001!0611831065025</t>
  </si>
  <si>
    <t>ARMERI DREAMERIA DREAMLAND</t>
  </si>
  <si>
    <t>001!0611831066025</t>
  </si>
  <si>
    <t>ARMERI DREAMERIA SWEET DREAMS</t>
  </si>
  <si>
    <t>001!0611831067025</t>
  </si>
  <si>
    <t>ARMERI DREAMERIA VIVID DREAMS</t>
  </si>
  <si>
    <t>001!0611883998025</t>
  </si>
  <si>
    <t>ARMERI MORNING STAR DEEP ROSE</t>
  </si>
  <si>
    <t>001!0611831070025</t>
  </si>
  <si>
    <t>ARMERI NIFTY THRIFTY</t>
  </si>
  <si>
    <t>001!0611831071025</t>
  </si>
  <si>
    <t>ARMERI PINK SHADES</t>
  </si>
  <si>
    <t>001!0611831072100</t>
  </si>
  <si>
    <t>ARMERI RUBRIFOLIA</t>
  </si>
  <si>
    <t>001!0611831073025</t>
  </si>
  <si>
    <t>ARMERI SPLENDENS</t>
  </si>
  <si>
    <t>001!0611831074025</t>
  </si>
  <si>
    <t>ARMERI THRIFT SEA PINK GENERIC</t>
  </si>
  <si>
    <t>001!0611831075025</t>
  </si>
  <si>
    <t>ARMORA HORSERADISH GENERIC</t>
  </si>
  <si>
    <t>001!0611831076100</t>
  </si>
  <si>
    <t>ARTEMI COCA COLA PLANT</t>
  </si>
  <si>
    <t>001!0611831077100</t>
  </si>
  <si>
    <t>ARTEMI FANCIFILLERS SEA SALT</t>
  </si>
  <si>
    <t>001!0611860529050</t>
  </si>
  <si>
    <t>ARTEMI FRENCH TARRAGON</t>
  </si>
  <si>
    <t>001!0611860530100</t>
  </si>
  <si>
    <t>001!0611860531050</t>
  </si>
  <si>
    <t>ARTEMI GLACIER</t>
  </si>
  <si>
    <t>001!0611856819025</t>
  </si>
  <si>
    <t>ARTEMI MAKANA SILVER</t>
  </si>
  <si>
    <t>001!0611831080025</t>
  </si>
  <si>
    <t>ARTEMI PARFUM D ETHIOPIA</t>
  </si>
  <si>
    <t>001!0611860532050</t>
  </si>
  <si>
    <t>ARTEMI POWIS CASTLE</t>
  </si>
  <si>
    <t>001!0611831081100</t>
  </si>
  <si>
    <t>001!0611831082025</t>
  </si>
  <si>
    <t>001!0611860533050</t>
  </si>
  <si>
    <t>ARTEMI SEA SALT</t>
  </si>
  <si>
    <t>001!0611831084100</t>
  </si>
  <si>
    <t>ARTEMI SILVER BROCADE</t>
  </si>
  <si>
    <t>001!0611831085025</t>
  </si>
  <si>
    <t>001!0611860534100</t>
  </si>
  <si>
    <t>001!0611860535050</t>
  </si>
  <si>
    <t>ARTEMI SILVER CASCADE</t>
  </si>
  <si>
    <t>001!0611831086100</t>
  </si>
  <si>
    <t>ARTEMI SILVER MOUND</t>
  </si>
  <si>
    <t>001!0611831087100</t>
  </si>
  <si>
    <t>001!0611831088025</t>
  </si>
  <si>
    <t>001!0611860536050</t>
  </si>
  <si>
    <t>ARTEMI SILVER MOUND CN5015</t>
  </si>
  <si>
    <t>001!0611860537100</t>
  </si>
  <si>
    <t>ARTEMI SUNFERN ARCADIA</t>
  </si>
  <si>
    <t>001!0611831089025</t>
  </si>
  <si>
    <t>ARTEMI SUNFERN OLYMPIA</t>
  </si>
  <si>
    <t>001!0611831090025</t>
  </si>
  <si>
    <t>ARTEMI TOLERGON</t>
  </si>
  <si>
    <t>001!0611883999025</t>
  </si>
  <si>
    <t>ARTEMI WHITE SAGE HYBRID</t>
  </si>
  <si>
    <t>001!0611884000025</t>
  </si>
  <si>
    <t>ARUGUL ARUGULA</t>
  </si>
  <si>
    <t>001!0611834189100</t>
  </si>
  <si>
    <t>ARUGUL ASTRO</t>
  </si>
  <si>
    <t>001!0611834190100</t>
  </si>
  <si>
    <t>ARUNCU AETHUSIFOLIUS</t>
  </si>
  <si>
    <t>001!0611831092025</t>
  </si>
  <si>
    <t>ARUNCU DIOICUS SYLVESTRIS</t>
  </si>
  <si>
    <t>001!0611831093025</t>
  </si>
  <si>
    <t>ASARIN BLUE GENERIC</t>
  </si>
  <si>
    <t>001!0611831094100</t>
  </si>
  <si>
    <t>ASARUM CANADENSE</t>
  </si>
  <si>
    <t>001!0611831095025</t>
  </si>
  <si>
    <t>ASCLEP BUTTERFLY RED</t>
  </si>
  <si>
    <t>001!0611831096100</t>
  </si>
  <si>
    <t>ASCLEP BUTTERFLY WEED GENERIC</t>
  </si>
  <si>
    <t>001!0611831097025</t>
  </si>
  <si>
    <t>ASCLEP CINDERELLA</t>
  </si>
  <si>
    <t>001!0611831098025</t>
  </si>
  <si>
    <t>ASCLEP HELLO YELLOW</t>
  </si>
  <si>
    <t>001!0611831099025</t>
  </si>
  <si>
    <t>ASCLEP ORANGE TUBEROSA</t>
  </si>
  <si>
    <t>001!0611831100100</t>
  </si>
  <si>
    <t>001!0611831101025</t>
  </si>
  <si>
    <t>ASCLEP SILKY DEEP RED</t>
  </si>
  <si>
    <t>001!0611831102100</t>
  </si>
  <si>
    <t>ASCLEP SILKY GOLD</t>
  </si>
  <si>
    <t>001!0611831103100</t>
  </si>
  <si>
    <t>ASCLEP SILKY MIX</t>
  </si>
  <si>
    <t>001!0611831104100</t>
  </si>
  <si>
    <t>ASCLEP SILKY SCARLET</t>
  </si>
  <si>
    <t>001!0611831105100</t>
  </si>
  <si>
    <t>ASPARA GENERIC</t>
  </si>
  <si>
    <t>001!0611831106100</t>
  </si>
  <si>
    <t>ASPARA MARY WASHINGTON</t>
  </si>
  <si>
    <t>001!0611831107025</t>
  </si>
  <si>
    <t>ASPARA SPRENGERI BILINGUAL</t>
  </si>
  <si>
    <t>001!0611831113100</t>
  </si>
  <si>
    <t>ASTER ALPINE GENERIC</t>
  </si>
  <si>
    <t>001!0611831114100</t>
  </si>
  <si>
    <t>001!0611831115025</t>
  </si>
  <si>
    <t>ASTER ANNUAL GENERIC</t>
  </si>
  <si>
    <t>001!0611832207100</t>
  </si>
  <si>
    <t>ASTER AURELIA YELLOW</t>
  </si>
  <si>
    <t>001!0611860538050</t>
  </si>
  <si>
    <t>ASTER BALL FLORIST MIX</t>
  </si>
  <si>
    <t>001!0611832208100</t>
  </si>
  <si>
    <t>ASTER BELIEVER</t>
  </si>
  <si>
    <t>001!0611831118100</t>
  </si>
  <si>
    <t>ASTER BLUE GENERIC</t>
  </si>
  <si>
    <t>001!0611831119100</t>
  </si>
  <si>
    <t>ASTER BONITA SERIES</t>
  </si>
  <si>
    <t>001!0611832210100</t>
  </si>
  <si>
    <t>ASTER BOUQUET POWDERPUFFS MIX</t>
  </si>
  <si>
    <t>001!0611832211100</t>
  </si>
  <si>
    <t>ASTER DARK BEAUTY</t>
  </si>
  <si>
    <t>001!0611831120025</t>
  </si>
  <si>
    <t>ASTER DAYDREAM</t>
  </si>
  <si>
    <t>001!0611831121100</t>
  </si>
  <si>
    <t>ASTER DAYS</t>
  </si>
  <si>
    <t>001!0611831122100</t>
  </si>
  <si>
    <t>ASTER DRAGON</t>
  </si>
  <si>
    <t>001!0611831123100</t>
  </si>
  <si>
    <t>ASTER GENERIC</t>
  </si>
  <si>
    <t>001!0611831117025</t>
  </si>
  <si>
    <t>ASTER HAZY</t>
  </si>
  <si>
    <t>001!0611831124100</t>
  </si>
  <si>
    <t>ASTER HENRY I BLUE</t>
  </si>
  <si>
    <t>001!0611831125100</t>
  </si>
  <si>
    <t>ASTER HENRY I PINK</t>
  </si>
  <si>
    <t>001!0611831126100</t>
  </si>
  <si>
    <t>ASTER HENRY I PURPLE</t>
  </si>
  <si>
    <t>001!0611831128100</t>
  </si>
  <si>
    <t>ASTER HENRY III PINK</t>
  </si>
  <si>
    <t>001!0611831127100</t>
  </si>
  <si>
    <t>ASTER HENRY III PURPLE</t>
  </si>
  <si>
    <t>001!0611831129100</t>
  </si>
  <si>
    <t>ASTER ISLAND BAHAMAS</t>
  </si>
  <si>
    <t>001!0611860539100</t>
  </si>
  <si>
    <t>ASTER ISLAND BAHAMAS LMTD</t>
  </si>
  <si>
    <t>50/50 Petite Tag DO</t>
  </si>
  <si>
    <t>001!0611860540050</t>
  </si>
  <si>
    <t>Petite</t>
  </si>
  <si>
    <t>ASTER ISLAND BARBADOS</t>
  </si>
  <si>
    <t>001!0611860541100</t>
  </si>
  <si>
    <t>ASTER ISLAND SAMOA</t>
  </si>
  <si>
    <t>001!0611860542100</t>
  </si>
  <si>
    <t>ASTER ISLAND TONGA</t>
  </si>
  <si>
    <t>001!0611860543100</t>
  </si>
  <si>
    <t>ASTER ISLAND TONGA LMTD</t>
  </si>
  <si>
    <t>001!0611860544050</t>
  </si>
  <si>
    <t>ASTER MAGIC PINK</t>
  </si>
  <si>
    <t>001!0611831130100</t>
  </si>
  <si>
    <t>ASTER MAGIC PURPLE</t>
  </si>
  <si>
    <t>001!0611831131100</t>
  </si>
  <si>
    <t>ASTER MARIE III DARK PINK</t>
  </si>
  <si>
    <t>001!0611831132100</t>
  </si>
  <si>
    <t>ASTER MATSUMOTO MIX</t>
  </si>
  <si>
    <t>001!0611832214100</t>
  </si>
  <si>
    <t>ASTER MONCH</t>
  </si>
  <si>
    <t>001!0611831133025</t>
  </si>
  <si>
    <t>ASTER PERENNIAL GENERIC</t>
  </si>
  <si>
    <t>001!0611831116100</t>
  </si>
  <si>
    <t>ASTER PERFECTION MIX</t>
  </si>
  <si>
    <t>001!0611832216100</t>
  </si>
  <si>
    <t>ASTER PETER III BLUE</t>
  </si>
  <si>
    <t>001!0611831134100</t>
  </si>
  <si>
    <t>ASTER PINK GENERIC</t>
  </si>
  <si>
    <t>001!0611831135100</t>
  </si>
  <si>
    <t>ASTER PIXIE PRINCESS MIX</t>
  </si>
  <si>
    <t>001!0611832217100</t>
  </si>
  <si>
    <t>ASTER POT N PATIO BLUE</t>
  </si>
  <si>
    <t>001!0611832218100</t>
  </si>
  <si>
    <t>ASTER POT N PATIO MIX</t>
  </si>
  <si>
    <t>001!0611832219100</t>
  </si>
  <si>
    <t>ASTER POT N PATIO PINK</t>
  </si>
  <si>
    <t>001!0611832220100</t>
  </si>
  <si>
    <t>ASTER POT N PATIO SCARLET</t>
  </si>
  <si>
    <t>001!0611832221100</t>
  </si>
  <si>
    <t>ASTER PROFESSOR A KIPPENBURG</t>
  </si>
  <si>
    <t>001!0611831136025</t>
  </si>
  <si>
    <t>ASTER PUFF WHITE</t>
  </si>
  <si>
    <t>001!0611831137100</t>
  </si>
  <si>
    <t>ASTER PURPLE DOME</t>
  </si>
  <si>
    <t>001!0611831138025</t>
  </si>
  <si>
    <t>ASTER PURPLE GENERIC</t>
  </si>
  <si>
    <t>001!0611831139100</t>
  </si>
  <si>
    <t>ASTER SHOWMAKERS BLUE BAYOU</t>
  </si>
  <si>
    <t>001!0611860545050</t>
  </si>
  <si>
    <t>ASTER SHOWMAKERS PRETTY PINK</t>
  </si>
  <si>
    <t>001!0611860546050</t>
  </si>
  <si>
    <t>ASTER TALL GENERIC</t>
  </si>
  <si>
    <t>001!0611832224100</t>
  </si>
  <si>
    <t>ASTER WHITE GENERIC</t>
  </si>
  <si>
    <t>001!0611831142100</t>
  </si>
  <si>
    <t>ASTER WOODS BLUE</t>
  </si>
  <si>
    <t>001!0611831143025</t>
  </si>
  <si>
    <t>ASTER WOODS PINK</t>
  </si>
  <si>
    <t>001!0611831144025</t>
  </si>
  <si>
    <t>ASTER WOODS PURPLE</t>
  </si>
  <si>
    <t>001!0611831145025</t>
  </si>
  <si>
    <t>ASTILB BRIDAL VEIL</t>
  </si>
  <si>
    <t>001!0611831150025</t>
  </si>
  <si>
    <t>ASTILB DEUTSCHLAND</t>
  </si>
  <si>
    <t>001!0611831151025</t>
  </si>
  <si>
    <t>ASTILB FANAL</t>
  </si>
  <si>
    <t>001!0611831152025</t>
  </si>
  <si>
    <t>ASTILB MIX</t>
  </si>
  <si>
    <t>001!0611831154025</t>
  </si>
  <si>
    <t>ASTILB MONTGOMERY</t>
  </si>
  <si>
    <t>001!0611831155025</t>
  </si>
  <si>
    <t>ASTILB PEACH BLOSSOM</t>
  </si>
  <si>
    <t>001!0611831156025</t>
  </si>
  <si>
    <t>ASTILB PUMILA</t>
  </si>
  <si>
    <t>001!0611831157025</t>
  </si>
  <si>
    <t>ASTILB RHAPSODY</t>
  </si>
  <si>
    <t>001!0611856820025</t>
  </si>
  <si>
    <t>ASTILB RHEINLAND</t>
  </si>
  <si>
    <t>001!0611831158025</t>
  </si>
  <si>
    <t>ASTILB SNOWDRIFT</t>
  </si>
  <si>
    <t>001!0611831159025</t>
  </si>
  <si>
    <t>ASTILB VISION IN PINK</t>
  </si>
  <si>
    <t>001!0611831161025</t>
  </si>
  <si>
    <t>ASTILB VISION IN RED</t>
  </si>
  <si>
    <t>001!0611831162025</t>
  </si>
  <si>
    <t>ASTILB VISIONS</t>
  </si>
  <si>
    <t>001!0611831163025</t>
  </si>
  <si>
    <t>AUBRIE AUDREY BLUE SHADES</t>
  </si>
  <si>
    <t>001!0611831164025</t>
  </si>
  <si>
    <t>AUBRIE AUDREY PURPLE SHADES</t>
  </si>
  <si>
    <t>001!0611831167025</t>
  </si>
  <si>
    <t>AUBRIE AUDREY SKY BLUE</t>
  </si>
  <si>
    <t>001!0611831169025</t>
  </si>
  <si>
    <t>AUBRIE AXCENT ANTIQUE ROSE</t>
  </si>
  <si>
    <t>001!0611860547050</t>
  </si>
  <si>
    <t>AUBRIE AXCENT BURGUNDY</t>
  </si>
  <si>
    <t>001!0611860548050</t>
  </si>
  <si>
    <t>AUBRIE AXCENT DARK RED</t>
  </si>
  <si>
    <t>001!0611860549050</t>
  </si>
  <si>
    <t>AUBRIE AXCENT DEEP PURPLE IMP</t>
  </si>
  <si>
    <t>001!0611860550050</t>
  </si>
  <si>
    <t>AUBRIE AXCENT LIGHT BLUE</t>
  </si>
  <si>
    <t>001!0611860551050</t>
  </si>
  <si>
    <t>AUBRIE AXCENT LILAC IMP</t>
  </si>
  <si>
    <t>001!0611860552050</t>
  </si>
  <si>
    <t>AUBRIE AXCENT SERIES</t>
  </si>
  <si>
    <t>001!0611831170025</t>
  </si>
  <si>
    <t>AUBRIE AXCENT VIOLET W/EYE IMP</t>
  </si>
  <si>
    <t>001!0611860553050</t>
  </si>
  <si>
    <t>AUBRIE CASCADE BLUE</t>
  </si>
  <si>
    <t>001!0611831171100</t>
  </si>
  <si>
    <t>AUBRIE CASCADE RED</t>
  </si>
  <si>
    <t>001!0611831175100</t>
  </si>
  <si>
    <t>AUBRIE GLACIER RED</t>
  </si>
  <si>
    <t>001!0611831172025</t>
  </si>
  <si>
    <t>001!0611860554050</t>
  </si>
  <si>
    <t>AUBRIE GLACIER SKY BLUE</t>
  </si>
  <si>
    <t>001!0611831173025</t>
  </si>
  <si>
    <t>001!0611860555050</t>
  </si>
  <si>
    <t>AUBRIE GLACIER VIOLET</t>
  </si>
  <si>
    <t>001!0611831174025</t>
  </si>
  <si>
    <t>001!0611860556050</t>
  </si>
  <si>
    <t>AUBRIE ROCK CRESS GENERIC</t>
  </si>
  <si>
    <t>25/25 Portrait Tag DO</t>
  </si>
  <si>
    <t>001!0611831176025</t>
  </si>
  <si>
    <t>AUBRIE ROCK ON BLUE</t>
  </si>
  <si>
    <t>001!0611860557100</t>
  </si>
  <si>
    <t>AUBRIE ROCK ON PINK</t>
  </si>
  <si>
    <t>001!0611860558100</t>
  </si>
  <si>
    <t>AUBRIE ROCK ON PURPLE</t>
  </si>
  <si>
    <t>001!0611860559100</t>
  </si>
  <si>
    <t>AUBRIE WHITEWELL GEM</t>
  </si>
  <si>
    <t>001!0611831177025</t>
  </si>
  <si>
    <t>AURINI COMPACTA</t>
  </si>
  <si>
    <t>001!0611831178100</t>
  </si>
  <si>
    <t>AURINI GOLD DUST</t>
  </si>
  <si>
    <t>001!0611831179100</t>
  </si>
  <si>
    <t>AURINI GOLD RUSH</t>
  </si>
  <si>
    <t>001!0611831181025</t>
  </si>
  <si>
    <t>AURINI SUMMIT GOLDEN YELLOW</t>
  </si>
  <si>
    <t>001!0611831182025</t>
  </si>
  <si>
    <t>BACOPA ATLAS BLUE</t>
  </si>
  <si>
    <t>001!0611860560050</t>
  </si>
  <si>
    <t>BACOPA ATLAS PINK</t>
  </si>
  <si>
    <t>001!0611860561050</t>
  </si>
  <si>
    <t>BACOPA ATLAS WHITE</t>
  </si>
  <si>
    <t>001!0611860562050</t>
  </si>
  <si>
    <t>BACOPA BAHIA BLUE SAND</t>
  </si>
  <si>
    <t>001!0611860563050</t>
  </si>
  <si>
    <t>BACOPA BAHIA PINK HALO</t>
  </si>
  <si>
    <t>001!0611860565050</t>
  </si>
  <si>
    <t>BACOPA BAHIA PINK SAND</t>
  </si>
  <si>
    <t>001!0611860566050</t>
  </si>
  <si>
    <t>BACOPA BAHIA PURPLE SAND</t>
  </si>
  <si>
    <t>001!0611860567050</t>
  </si>
  <si>
    <t>BACOPA BAHIA SKY BLUE</t>
  </si>
  <si>
    <t>001!0611860568050</t>
  </si>
  <si>
    <t>BACOPA BAHIA WHITE</t>
  </si>
  <si>
    <t>001!0611860569050</t>
  </si>
  <si>
    <t>BACOPA BAHIA WHITE NIGHT</t>
  </si>
  <si>
    <t>001!0611860570050</t>
  </si>
  <si>
    <t>BACOPA BAHIA WHITE SAND</t>
  </si>
  <si>
    <t>001!0611860571050</t>
  </si>
  <si>
    <t>BACOPA BAJA</t>
  </si>
  <si>
    <t>001!0611839487100</t>
  </si>
  <si>
    <t>BACOPA BETTY SERIES</t>
  </si>
  <si>
    <t>001!0611839488100</t>
  </si>
  <si>
    <t>BACOPA BLUE GENERIC</t>
  </si>
  <si>
    <t>001!0611839489100</t>
  </si>
  <si>
    <t>BACOPA BLUTOPIA</t>
  </si>
  <si>
    <t>001!0611839490100</t>
  </si>
  <si>
    <t>BACOPA CALYPSO JUMBO DEEP LAV</t>
  </si>
  <si>
    <t>001!0611860572050</t>
  </si>
  <si>
    <t>BACOPA CALYPSO JUMBO LILAC</t>
  </si>
  <si>
    <t>001!0611860573050</t>
  </si>
  <si>
    <t>BACOPA CALYPSO JUMBO PINK EYE</t>
  </si>
  <si>
    <t>001!0611860574050</t>
  </si>
  <si>
    <t>BACOPA CALYPSO JUMBO ROSE</t>
  </si>
  <si>
    <t>001!0611860575050</t>
  </si>
  <si>
    <t>BACOPA CALYPSO JUMBO WHITE</t>
  </si>
  <si>
    <t>50/50 Petite Tag SF</t>
  </si>
  <si>
    <t>001!0611860576050</t>
  </si>
  <si>
    <t>BACOPA EPIC LIGHT BLUE</t>
  </si>
  <si>
    <t>001!0611860577050</t>
  </si>
  <si>
    <t>BACOPA EPIC PINK</t>
  </si>
  <si>
    <t>001!0611860578050</t>
  </si>
  <si>
    <t>BACOPA EPIC PINK W/EYE</t>
  </si>
  <si>
    <t>001!0611860579050</t>
  </si>
  <si>
    <t>BACOPA EPIC SERIES</t>
  </si>
  <si>
    <t>001!0611839491100</t>
  </si>
  <si>
    <t>BACOPA EPIC VIOLET</t>
  </si>
  <si>
    <t>001!0611860580050</t>
  </si>
  <si>
    <t>BACOPA EPIC WHITE</t>
  </si>
  <si>
    <t>001!0611860581050</t>
  </si>
  <si>
    <t>BACOPA GENERIC</t>
  </si>
  <si>
    <t>001!0611839484100</t>
  </si>
  <si>
    <t>001!0611839485025</t>
  </si>
  <si>
    <t>BACOPA GENERIC BILINGUAL</t>
  </si>
  <si>
    <t>001!0611839486100</t>
  </si>
  <si>
    <t>BACOPA GOLDSTAR</t>
  </si>
  <si>
    <t>001!0611839492100</t>
  </si>
  <si>
    <t>BACOPA LAVENDER GENERIC</t>
  </si>
  <si>
    <t>001!0611839493100</t>
  </si>
  <si>
    <t>BACOPA PINKTOPIA</t>
  </si>
  <si>
    <t>001!0611839494100</t>
  </si>
  <si>
    <t>BACOPA SCOPIA DBL INDIGO</t>
  </si>
  <si>
    <t>001!0611831189100</t>
  </si>
  <si>
    <t>BACOPA SCOPIA DBL LAVENDER</t>
  </si>
  <si>
    <t>001!0611831190100</t>
  </si>
  <si>
    <t>BACOPA SCOPIA DBL PINK</t>
  </si>
  <si>
    <t>001!0611831191100</t>
  </si>
  <si>
    <t>BACOPA SCOPIA DBL SNOWBALL</t>
  </si>
  <si>
    <t>001!0611831192100</t>
  </si>
  <si>
    <t>BACOPA SCOPIA GLDN LEAVES WHT</t>
  </si>
  <si>
    <t>001!0611831195100</t>
  </si>
  <si>
    <t>BACOPA SCOPIA GREAT AZURE</t>
  </si>
  <si>
    <t>001!0611831196100</t>
  </si>
  <si>
    <t>BACOPA SCOPIA GREAT PINK RING</t>
  </si>
  <si>
    <t>001!0611831199100</t>
  </si>
  <si>
    <t>BACOPA SCOPIA GREAT REGAL BLUE</t>
  </si>
  <si>
    <t>001!0611831200100</t>
  </si>
  <si>
    <t>BACOPA SCOPIA GREAT SERIES</t>
  </si>
  <si>
    <t>001!0611831201100</t>
  </si>
  <si>
    <t>BACOPA SCOPIA GREAT WHITE</t>
  </si>
  <si>
    <t>001!0611831202100</t>
  </si>
  <si>
    <t>BACOPA SCOPIA GULVR BL SENSATN</t>
  </si>
  <si>
    <t>001!0611831184100</t>
  </si>
  <si>
    <t>BACOPA SCOPIA GULVR BLUE</t>
  </si>
  <si>
    <t>001!0611831185100</t>
  </si>
  <si>
    <t>BACOPA SCOPIA GULVR CMP BLS 22</t>
  </si>
  <si>
    <t>001!0611856821100</t>
  </si>
  <si>
    <t>BACOPA SCOPIA GULVR CMP PURPLE</t>
  </si>
  <si>
    <t>001!0611831186100</t>
  </si>
  <si>
    <t>BACOPA SCOPIA GULVR CMP RSA 22</t>
  </si>
  <si>
    <t>001!0611856822100</t>
  </si>
  <si>
    <t>BACOPA SCOPIA GULVR CMP WHITE</t>
  </si>
  <si>
    <t>001!0611831187100</t>
  </si>
  <si>
    <t>BACOPA SCOPIA GULVR DYNMC WHT</t>
  </si>
  <si>
    <t>001!0611831194100</t>
  </si>
  <si>
    <t>BACOPA SCOPIA GULVR PINK</t>
  </si>
  <si>
    <t>001!0611831203100</t>
  </si>
  <si>
    <t>BACOPA SCOPIA GULVR PK HRT</t>
  </si>
  <si>
    <t>001!0611831204100</t>
  </si>
  <si>
    <t>BACOPA SCOPIA GULVR SNOW</t>
  </si>
  <si>
    <t>001!0611831205100</t>
  </si>
  <si>
    <t>BACOPA SCOPIA GULVR VIOLET</t>
  </si>
  <si>
    <t>001!0611831206100</t>
  </si>
  <si>
    <t>BACOPA SCOPIA GULVR WHITE</t>
  </si>
  <si>
    <t>001!0611831207100</t>
  </si>
  <si>
    <t>BACOPA SECRETS XXL BL DELIGHT</t>
  </si>
  <si>
    <t>001!0611839497100</t>
  </si>
  <si>
    <t>BACOPA SECRETS XXL CENTRAL PK</t>
  </si>
  <si>
    <t>001!0611839498100</t>
  </si>
  <si>
    <t>BACOPA SECRETS XXL WHITE</t>
  </si>
  <si>
    <t>001!0611839499100</t>
  </si>
  <si>
    <t>BACOPA SNOWTOPIA</t>
  </si>
  <si>
    <t>001!0611839502100</t>
  </si>
  <si>
    <t>BACOPA STARDOM GOLDSTAR</t>
  </si>
  <si>
    <t>001!0611839503100</t>
  </si>
  <si>
    <t>BACOPA STARDOM PINK</t>
  </si>
  <si>
    <t>001!0611839504100</t>
  </si>
  <si>
    <t>BACOPA STARDOM PURPLE</t>
  </si>
  <si>
    <t>001!0611839505100</t>
  </si>
  <si>
    <t>BACOPA STARDOM WHITE FUSION 22</t>
  </si>
  <si>
    <t>001!0611856823100</t>
  </si>
  <si>
    <t>BACOPA TAIFUN MEGA WHITE</t>
  </si>
  <si>
    <t>001!0611839506100</t>
  </si>
  <si>
    <t>001!0611860582050</t>
  </si>
  <si>
    <t>BACOPA WHITE GENERIC</t>
  </si>
  <si>
    <t>001!0611839507100</t>
  </si>
  <si>
    <t>BAPTIS AUSTRALIS</t>
  </si>
  <si>
    <t>001!0611831208025</t>
  </si>
  <si>
    <t>BASIL AFRICAN BLUE</t>
  </si>
  <si>
    <t>001!0611836980100</t>
  </si>
  <si>
    <t>BASIL AMETHYST</t>
  </si>
  <si>
    <t>001!0611836981100</t>
  </si>
  <si>
    <t>BASIL ARISTOTLE</t>
  </si>
  <si>
    <t>001!0611836982100</t>
  </si>
  <si>
    <t>BASIL BOXWOOD</t>
  </si>
  <si>
    <t>001!0611836983100</t>
  </si>
  <si>
    <t>BASIL BUSH</t>
  </si>
  <si>
    <t>001!0611836984100</t>
  </si>
  <si>
    <t>BASIL CARDINAL</t>
  </si>
  <si>
    <t>001!0611836985100</t>
  </si>
  <si>
    <t>BASIL CINNAMON</t>
  </si>
  <si>
    <t>001!0611836986100</t>
  </si>
  <si>
    <t>001!0611884001025</t>
  </si>
  <si>
    <t>BASIL COLDASIL</t>
  </si>
  <si>
    <t>001!0611856969025</t>
  </si>
  <si>
    <t>BASIL COLUMNAR GREEK</t>
  </si>
  <si>
    <t>001!0611835014100</t>
  </si>
  <si>
    <t>BASIL DARK OPAL</t>
  </si>
  <si>
    <t>001!0611836987100</t>
  </si>
  <si>
    <t>BASIL DOLCE FRESCA</t>
  </si>
  <si>
    <t>001!0611836988100</t>
  </si>
  <si>
    <t>001!0611884002025</t>
  </si>
  <si>
    <t>BASIL EVERLEAF EMRLD TWRS</t>
  </si>
  <si>
    <t>001!0611836989100</t>
  </si>
  <si>
    <t>BASIL EVERLEAF GENOVESE</t>
  </si>
  <si>
    <t>001!0611836990100</t>
  </si>
  <si>
    <t>001!0611884003025</t>
  </si>
  <si>
    <t>BASIL EVERLEAF THAI TOWER</t>
  </si>
  <si>
    <t>001!0611856970100</t>
  </si>
  <si>
    <t>BASIL GARDEN LEADER</t>
  </si>
  <si>
    <t>001!0611835016100</t>
  </si>
  <si>
    <t>BASIL GARDEN LEADER LMN</t>
  </si>
  <si>
    <t>001!0611835017100</t>
  </si>
  <si>
    <t>BASIL GENERIC</t>
  </si>
  <si>
    <t>001!0611836997100</t>
  </si>
  <si>
    <t>001!0611836998025</t>
  </si>
  <si>
    <t>BASIL GENOVESE</t>
  </si>
  <si>
    <t>001!0611836992100</t>
  </si>
  <si>
    <t>001!0611836993200</t>
  </si>
  <si>
    <t>001!0611836994025</t>
  </si>
  <si>
    <t>BASIL GENOVESE COMPACT</t>
  </si>
  <si>
    <t>001!0611836995100</t>
  </si>
  <si>
    <t>BASIL HOLY</t>
  </si>
  <si>
    <t>001!0611835018100</t>
  </si>
  <si>
    <t>BASIL ITALIAN LARGE LEAF</t>
  </si>
  <si>
    <t>001!0611836999100</t>
  </si>
  <si>
    <t>001!0611837000200</t>
  </si>
  <si>
    <t>001!0611837001025</t>
  </si>
  <si>
    <t>BASIL KAPOOR TULSI</t>
  </si>
  <si>
    <t>001!0611884004025</t>
  </si>
  <si>
    <t>BASIL KASAR</t>
  </si>
  <si>
    <t>001!0611837002025</t>
  </si>
  <si>
    <t>BASIL LEMON</t>
  </si>
  <si>
    <t>001!0611837003100</t>
  </si>
  <si>
    <t>001!0611837004025</t>
  </si>
  <si>
    <t>BASIL LETTUCE LEAF</t>
  </si>
  <si>
    <t>001!0611837005100</t>
  </si>
  <si>
    <t>BASIL LICORICE</t>
  </si>
  <si>
    <t>001!0611837006100</t>
  </si>
  <si>
    <t>BASIL LIME</t>
  </si>
  <si>
    <t>001!0611837007100</t>
  </si>
  <si>
    <t>BASIL MAMMOTH</t>
  </si>
  <si>
    <t>001!0611837008100</t>
  </si>
  <si>
    <t>BASIL MINETTE</t>
  </si>
  <si>
    <t>001!0611837009100</t>
  </si>
  <si>
    <t>BASIL MRS BURNS</t>
  </si>
  <si>
    <t>001!0611835019100</t>
  </si>
  <si>
    <t>001!0611884005025</t>
  </si>
  <si>
    <t>BASIL NUFAR</t>
  </si>
  <si>
    <t>001!0611837010100</t>
  </si>
  <si>
    <t>001!0611884006025</t>
  </si>
  <si>
    <t>BASIL PERSIAN</t>
  </si>
  <si>
    <t>001!0611837011100</t>
  </si>
  <si>
    <t>BASIL PESTO</t>
  </si>
  <si>
    <t>001!0611862532100</t>
  </si>
  <si>
    <t>BASIL PESTO PERPETUO</t>
  </si>
  <si>
    <t>001!0611837012025</t>
  </si>
  <si>
    <t>BASIL PURPLE DWARF</t>
  </si>
  <si>
    <t>001!0611837013100</t>
  </si>
  <si>
    <t>BASIL PURPLE RUFFLES</t>
  </si>
  <si>
    <t>001!0611837014100</t>
  </si>
  <si>
    <t>001!0611837015025</t>
  </si>
  <si>
    <t>BASIL RED BALL</t>
  </si>
  <si>
    <t>001!0611837016100</t>
  </si>
  <si>
    <t>001!0611856971025</t>
  </si>
  <si>
    <t>BASIL RED RUBIN</t>
  </si>
  <si>
    <t>001!0611837017100</t>
  </si>
  <si>
    <t>001!0611884007025</t>
  </si>
  <si>
    <t>BASIL RUTGERS DEVOTION</t>
  </si>
  <si>
    <t>001!0611835020100</t>
  </si>
  <si>
    <t>001!0611884008025</t>
  </si>
  <si>
    <t>BASIL RUTGERS OBSESSION</t>
  </si>
  <si>
    <t>001!0611835021100</t>
  </si>
  <si>
    <t>001!0611884009025</t>
  </si>
  <si>
    <t>BASIL RUTGERS PASSION</t>
  </si>
  <si>
    <t>001!0611835022100</t>
  </si>
  <si>
    <t>001!0611884010025</t>
  </si>
  <si>
    <t>BASIL RUTGERS THUNDERSTRUCK</t>
  </si>
  <si>
    <t>001!0611884011025</t>
  </si>
  <si>
    <t>BASIL SIAM QUEEN</t>
  </si>
  <si>
    <t>001!0611837018100</t>
  </si>
  <si>
    <t>001!0611837019025</t>
  </si>
  <si>
    <t>BASIL SPICY GLOBE</t>
  </si>
  <si>
    <t>001!0611835023100</t>
  </si>
  <si>
    <t>001!0611835024025</t>
  </si>
  <si>
    <t>BASIL SWEET</t>
  </si>
  <si>
    <t>001!0611837020100</t>
  </si>
  <si>
    <t>001!0611837021200</t>
  </si>
  <si>
    <t>001!0611837022025</t>
  </si>
  <si>
    <t>BASIL SWEET DANI</t>
  </si>
  <si>
    <t>001!0611837023100</t>
  </si>
  <si>
    <t>BASIL SWEET THAI</t>
  </si>
  <si>
    <t>001!0611884012025</t>
  </si>
  <si>
    <t>BASIL THAI</t>
  </si>
  <si>
    <t>001!0611837024100</t>
  </si>
  <si>
    <t>BASIL THUNDERSTRUCK</t>
  </si>
  <si>
    <t>001!0611835025100</t>
  </si>
  <si>
    <t>BASIL TON</t>
  </si>
  <si>
    <t>001!0611837025100</t>
  </si>
  <si>
    <t>BASIL VALENTINO</t>
  </si>
  <si>
    <t>001!0611837026100</t>
  </si>
  <si>
    <t>BASIL WILD MAGIC</t>
  </si>
  <si>
    <t>001!0611856972025</t>
  </si>
  <si>
    <t>BAY LA LAUREL</t>
  </si>
  <si>
    <t>001!0611884013025</t>
  </si>
  <si>
    <t>BAY LAUREL</t>
  </si>
  <si>
    <t>001!0611836044100</t>
  </si>
  <si>
    <t>BEANS BLUE LAKE BUSH</t>
  </si>
  <si>
    <t>001!0611838332100</t>
  </si>
  <si>
    <t>BEANS BLUE LAKE POLE</t>
  </si>
  <si>
    <t>001!0611838333100</t>
  </si>
  <si>
    <t>BEANS GENERIC</t>
  </si>
  <si>
    <t>001!0611838331100</t>
  </si>
  <si>
    <t>BEANS GOLD N GREEN MIX</t>
  </si>
  <si>
    <t>001!0611838336100</t>
  </si>
  <si>
    <t>BEANS GREEN BUSH GENERIC</t>
  </si>
  <si>
    <t>001!0611838337100</t>
  </si>
  <si>
    <t>BEANS GREEN GENERIC</t>
  </si>
  <si>
    <t>001!0611838338100</t>
  </si>
  <si>
    <t>001!0611838339200</t>
  </si>
  <si>
    <t>BEANS JADE II</t>
  </si>
  <si>
    <t>001!0611838340100</t>
  </si>
  <si>
    <t>BEANS KENTUCKY BLUE</t>
  </si>
  <si>
    <t>001!0611838341100</t>
  </si>
  <si>
    <t>BEANS KENTUCKY WONDER</t>
  </si>
  <si>
    <t>001!0611856824100</t>
  </si>
  <si>
    <t>BEANS LIMA</t>
  </si>
  <si>
    <t>001!0611838342100</t>
  </si>
  <si>
    <t>BEANS MASCOTTE</t>
  </si>
  <si>
    <t>001!0611838343100</t>
  </si>
  <si>
    <t>BEANS OUTLAW</t>
  </si>
  <si>
    <t>001!0611838344100</t>
  </si>
  <si>
    <t>BEANS PROVIDER</t>
  </si>
  <si>
    <t>001!0611838345100</t>
  </si>
  <si>
    <t>BEANS ROMANO</t>
  </si>
  <si>
    <t>001!0611838346100</t>
  </si>
  <si>
    <t>BEANS ROYALTY PURPLE POD</t>
  </si>
  <si>
    <t>001!0611838347100</t>
  </si>
  <si>
    <t>BEANS SCRLT RUNNER BEAN GNRC</t>
  </si>
  <si>
    <t>001!0611838348100</t>
  </si>
  <si>
    <t>BEANS SEYCHELLES</t>
  </si>
  <si>
    <t>001!0611838349100</t>
  </si>
  <si>
    <t>BEANS VALENTINO</t>
  </si>
  <si>
    <t>001!0611838350100</t>
  </si>
  <si>
    <t>BEANS VELOUR</t>
  </si>
  <si>
    <t>001!0611838351100</t>
  </si>
  <si>
    <t>BEANS YELLOW GENERIC</t>
  </si>
  <si>
    <t>001!0611838352100</t>
  </si>
  <si>
    <t>BEAUCA PONYTAIL PALM</t>
  </si>
  <si>
    <t>001!0611831210100</t>
  </si>
  <si>
    <t>BEETS BULLS BLOOD</t>
  </si>
  <si>
    <t>001!0611831752100</t>
  </si>
  <si>
    <t>BEETS GENERIC</t>
  </si>
  <si>
    <t>001!0611831750100</t>
  </si>
  <si>
    <t>BEGONI ADONIA PINK</t>
  </si>
  <si>
    <t>001!0611831211100</t>
  </si>
  <si>
    <t>BEGONI ADORA MOON DANCE</t>
  </si>
  <si>
    <t>001!0611884014050</t>
  </si>
  <si>
    <t>BEGONI ADORA SATIN ROSE</t>
  </si>
  <si>
    <t>001!0611884015050</t>
  </si>
  <si>
    <t>BEGONI ADORA VELVET RED</t>
  </si>
  <si>
    <t>001!0611884016050</t>
  </si>
  <si>
    <t>BEGONI AMBASSADOR BICOLOR</t>
  </si>
  <si>
    <t>001!0611831212100</t>
  </si>
  <si>
    <t>BEGONI AMBASSADOR DEEP ROSE</t>
  </si>
  <si>
    <t>001!0611831213100</t>
  </si>
  <si>
    <t>BEGONI AMBASSADOR MIX</t>
  </si>
  <si>
    <t>001!0611831214100</t>
  </si>
  <si>
    <t>BEGONI AMBASSADOR PINK</t>
  </si>
  <si>
    <t>001!0611831215100</t>
  </si>
  <si>
    <t>BEGONI AMBASSADOR ROSE</t>
  </si>
  <si>
    <t>001!0611831216100</t>
  </si>
  <si>
    <t>BEGONI AMBASSADOR SCARLET</t>
  </si>
  <si>
    <t>001!0611831217100</t>
  </si>
  <si>
    <t>BEGONI AMBASSADOR WHITE</t>
  </si>
  <si>
    <t>001!0611831218100</t>
  </si>
  <si>
    <t>BEGONI AMBER STONE</t>
  </si>
  <si>
    <t>001!0611831219100</t>
  </si>
  <si>
    <t>BEGONI AMERIHYBRID RUFFLED RED</t>
  </si>
  <si>
    <t>001!0611884017100</t>
  </si>
  <si>
    <t>BEGONI BABYWING BICOLOR GL</t>
  </si>
  <si>
    <t>001!0611831225100</t>
  </si>
  <si>
    <t>BEGONI BABYWING MIX GL</t>
  </si>
  <si>
    <t>001!0611831226100</t>
  </si>
  <si>
    <t>BEGONI BABYWING PINK GL</t>
  </si>
  <si>
    <t>001!0611831227100</t>
  </si>
  <si>
    <t>BEGONI BABYWING RED BL</t>
  </si>
  <si>
    <t>001!0611884018100</t>
  </si>
  <si>
    <t>BEGONI BABYWING RED GL</t>
  </si>
  <si>
    <t>001!0611831228100</t>
  </si>
  <si>
    <t>BEGONI BABYWING WHITE BL</t>
  </si>
  <si>
    <t>001!0611831229100</t>
  </si>
  <si>
    <t>BEGONI BABYWING WHITE GL</t>
  </si>
  <si>
    <t>001!0611831230100</t>
  </si>
  <si>
    <t>BEGONI BACHELORETTE TRL RED</t>
  </si>
  <si>
    <t>001!0611860583050</t>
  </si>
  <si>
    <t>BEGONI BADA BING GL MIX</t>
  </si>
  <si>
    <t>001!0611831231100</t>
  </si>
  <si>
    <t>BEGONI BADA BING GL PINK</t>
  </si>
  <si>
    <t>001!0611831232100</t>
  </si>
  <si>
    <t>BEGONI BADA BING GL ROSE</t>
  </si>
  <si>
    <t>001!0611831234100</t>
  </si>
  <si>
    <t>BEGONI BADA BING GL ROSE BIC</t>
  </si>
  <si>
    <t>001!0611831233100</t>
  </si>
  <si>
    <t>BEGONI BADA BING GL SCARLET</t>
  </si>
  <si>
    <t>001!0611831235100</t>
  </si>
  <si>
    <t>BEGONI BADA BING GL WHITE</t>
  </si>
  <si>
    <t>001!0611831236100</t>
  </si>
  <si>
    <t>BEGONI BADA BOOM BL MIX</t>
  </si>
  <si>
    <t>001!0611831237100</t>
  </si>
  <si>
    <t>BEGONI BADA BOOM BL PINK</t>
  </si>
  <si>
    <t>001!0611831238100</t>
  </si>
  <si>
    <t>BEGONI BADA BOOM BL ROSE</t>
  </si>
  <si>
    <t>001!0611831240100</t>
  </si>
  <si>
    <t>BEGONI BADA BOOM BL ROSE BIC</t>
  </si>
  <si>
    <t>001!0611831239100</t>
  </si>
  <si>
    <t>BEGONI BADA BOOM BL SCARLET</t>
  </si>
  <si>
    <t>001!0611831241100</t>
  </si>
  <si>
    <t>BEGONI BADA BOOM BL WHITE</t>
  </si>
  <si>
    <t>001!0611831242100</t>
  </si>
  <si>
    <t>BEGONI BADA SERIES</t>
  </si>
  <si>
    <t>001!0611831243100</t>
  </si>
  <si>
    <t>BEGONI BADA TOTAL MIX</t>
  </si>
  <si>
    <t>001!0611831244100</t>
  </si>
  <si>
    <t>BEGONI BALADIN</t>
  </si>
  <si>
    <t>001!0611831245100</t>
  </si>
  <si>
    <t>001!0611860584050</t>
  </si>
  <si>
    <t>BEGONI BANITA</t>
  </si>
  <si>
    <t>001!0611831247100</t>
  </si>
  <si>
    <t>BEGONI BARKOS</t>
  </si>
  <si>
    <t>001!0611831248100</t>
  </si>
  <si>
    <t>001!0611860585050</t>
  </si>
  <si>
    <t>BEGONI BATIK</t>
  </si>
  <si>
    <t>001!0611831249100</t>
  </si>
  <si>
    <t>001!0611860586050</t>
  </si>
  <si>
    <t>BEGONI BAZAN</t>
  </si>
  <si>
    <t>001!0611831250100</t>
  </si>
  <si>
    <t>BEGONI BEAUGONIA SERIES</t>
  </si>
  <si>
    <t>001!0611884019100</t>
  </si>
  <si>
    <t>BEGONI BEAUVILIA DARK SALMON</t>
  </si>
  <si>
    <t>001!0611831251100</t>
  </si>
  <si>
    <t>BEGONI BEAUVILIA HOT PINK</t>
  </si>
  <si>
    <t>001!0611831252100</t>
  </si>
  <si>
    <t>BEGONI BEAUVILIA RED</t>
  </si>
  <si>
    <t>001!0611831253100</t>
  </si>
  <si>
    <t>BEGONI BEAUVILIA WHITE</t>
  </si>
  <si>
    <t>001!0611831254100</t>
  </si>
  <si>
    <t>BEGONI BEAUVILIA YELLOW 22</t>
  </si>
  <si>
    <t>001!0611856825100</t>
  </si>
  <si>
    <t>BEGONI BEGONIA GENERIC</t>
  </si>
  <si>
    <t>001!0611831255100</t>
  </si>
  <si>
    <t>BEGONI BELLECONIA HOT ORANGE</t>
  </si>
  <si>
    <t>001!0611831258100</t>
  </si>
  <si>
    <t>BEGONI BELLECONIA MANGO</t>
  </si>
  <si>
    <t>001!0611831259100</t>
  </si>
  <si>
    <t>BEGONI BELLECONIA ROSE</t>
  </si>
  <si>
    <t>001!0611831260100</t>
  </si>
  <si>
    <t>BEGONI BELLECONIA SERIES</t>
  </si>
  <si>
    <t>001!0611884020100</t>
  </si>
  <si>
    <t>BEGONI BELLECONIA SNOW</t>
  </si>
  <si>
    <t>001!0611831261100</t>
  </si>
  <si>
    <t>BEGONI BELLECONIA SOFT ORANGE</t>
  </si>
  <si>
    <t>001!0611831262100</t>
  </si>
  <si>
    <t>BEGONI BELOVE CHERRY</t>
  </si>
  <si>
    <t>001!0611831264100</t>
  </si>
  <si>
    <t>BEGONI BELOVE PEACH</t>
  </si>
  <si>
    <t>001!0611831265100</t>
  </si>
  <si>
    <t>BEGONI BELOVE PINK</t>
  </si>
  <si>
    <t>001!0611831266100</t>
  </si>
  <si>
    <t>BEGONI BELOVE PINK WHITE HEART</t>
  </si>
  <si>
    <t>001!0611831267100</t>
  </si>
  <si>
    <t>BEGONI BELOVE RED</t>
  </si>
  <si>
    <t>001!0611831268100</t>
  </si>
  <si>
    <t>BEGONI BELOVE YELLOW</t>
  </si>
  <si>
    <t>001!0611831269100</t>
  </si>
  <si>
    <t>BEGONI BERSEBA LIGHT PINK</t>
  </si>
  <si>
    <t>001!0611831271100</t>
  </si>
  <si>
    <t>BEGONI BERSEBA PINK</t>
  </si>
  <si>
    <t>001!0611831270100</t>
  </si>
  <si>
    <t>BEGONI BERSEBA RED</t>
  </si>
  <si>
    <t>001!0611831272100</t>
  </si>
  <si>
    <t>BEGONI BERSEBA RHINE</t>
  </si>
  <si>
    <t>001!0611860587050</t>
  </si>
  <si>
    <t>BEGONI BEWITCHED SERIES</t>
  </si>
  <si>
    <t>001!0611884021100</t>
  </si>
  <si>
    <t>BEGONI BIG BL DP ROSE</t>
  </si>
  <si>
    <t>001!0611831273100</t>
  </si>
  <si>
    <t>BEGONI BIG BL PINK</t>
  </si>
  <si>
    <t>001!0611831274100</t>
  </si>
  <si>
    <t>BEGONI BIG BL RED</t>
  </si>
  <si>
    <t>001!0611831276100</t>
  </si>
  <si>
    <t>BEGONI BIG BL ROSE</t>
  </si>
  <si>
    <t>001!0611831278100</t>
  </si>
  <si>
    <t>BEGONI BIG DEEP PINK BL</t>
  </si>
  <si>
    <t>001!0611884022100</t>
  </si>
  <si>
    <t>BEGONI BIG GL PINK</t>
  </si>
  <si>
    <t>001!0611831275100</t>
  </si>
  <si>
    <t>BEGONI BIG GL RED</t>
  </si>
  <si>
    <t>001!0611831277100</t>
  </si>
  <si>
    <t>BEGONI BIG GL ROSE</t>
  </si>
  <si>
    <t>001!0611831279100</t>
  </si>
  <si>
    <t>BEGONI BIG GL WHITE</t>
  </si>
  <si>
    <t>001!0611831281100</t>
  </si>
  <si>
    <t>BEGONI BIG SERIES</t>
  </si>
  <si>
    <t>001!0611831280100</t>
  </si>
  <si>
    <t>BEGONI BINOS PINK</t>
  </si>
  <si>
    <t>001!0611831283100</t>
  </si>
  <si>
    <t>BEGONI BINOS SOFT PINK</t>
  </si>
  <si>
    <t>001!0611831284100</t>
  </si>
  <si>
    <t>BEGONI BIONIC BL RED 22</t>
  </si>
  <si>
    <t>001!0611856826100</t>
  </si>
  <si>
    <t>BEGONI BIONIC BL ROSE 22</t>
  </si>
  <si>
    <t>001!0611856827100</t>
  </si>
  <si>
    <t>BEGONI BIONIC GL PINK 22</t>
  </si>
  <si>
    <t>001!0611856828100</t>
  </si>
  <si>
    <t>BEGONI BIONIC GL RED 22</t>
  </si>
  <si>
    <t>001!0611856829100</t>
  </si>
  <si>
    <t>BEGONI BL BIC GENERIC</t>
  </si>
  <si>
    <t>001!0611831312100</t>
  </si>
  <si>
    <t>BEGONI BL MIX GENERIC</t>
  </si>
  <si>
    <t>001!0611831313100</t>
  </si>
  <si>
    <t>BEGONI BL PINK GENERIC</t>
  </si>
  <si>
    <t>001!0611831311100</t>
  </si>
  <si>
    <t>BEGONI BL RED GENERIC</t>
  </si>
  <si>
    <t>001!0611831314100</t>
  </si>
  <si>
    <t>BEGONI BL RS GENERIC</t>
  </si>
  <si>
    <t>001!0611831315100</t>
  </si>
  <si>
    <t>BEGONI BL WHT GENERIC</t>
  </si>
  <si>
    <t>001!0611831316100</t>
  </si>
  <si>
    <t>BEGONI BLISS DEEP RED</t>
  </si>
  <si>
    <t>001!0611831285100</t>
  </si>
  <si>
    <t>BEGONI BLISS MIX</t>
  </si>
  <si>
    <t>001!0611831286100</t>
  </si>
  <si>
    <t>BEGONI BLISS ORANGE</t>
  </si>
  <si>
    <t>001!0611831287100</t>
  </si>
  <si>
    <t>BEGONI BLISS PINK SHADES</t>
  </si>
  <si>
    <t>001!0611831288100</t>
  </si>
  <si>
    <t>BEGONI BLISS SCARLET</t>
  </si>
  <si>
    <t>001!0611831289100</t>
  </si>
  <si>
    <t>BEGONI BLISS WHITE</t>
  </si>
  <si>
    <t>001!0611831290100</t>
  </si>
  <si>
    <t>BEGONI BLISS YELLOW</t>
  </si>
  <si>
    <t>001!0611831291100</t>
  </si>
  <si>
    <t>BEGONI BLITZ</t>
  </si>
  <si>
    <t>001!0611831292100</t>
  </si>
  <si>
    <t>001!0611860588050</t>
  </si>
  <si>
    <t>BEGONI BONNY</t>
  </si>
  <si>
    <t>001!0611831297100</t>
  </si>
  <si>
    <t>BEGONI BORIAS</t>
  </si>
  <si>
    <t>001!0611831298100</t>
  </si>
  <si>
    <t>BEGONI BORIAS DARK</t>
  </si>
  <si>
    <t>001!0611831299100</t>
  </si>
  <si>
    <t>BEGONI BORIAS RHINE</t>
  </si>
  <si>
    <t>001!0611860589050</t>
  </si>
  <si>
    <t>BEGONI BOSSA NOVA MIX</t>
  </si>
  <si>
    <t>001!0611831300100</t>
  </si>
  <si>
    <t>BEGONI BOSSA NOVA NGT FVR PPYA</t>
  </si>
  <si>
    <t>001!0611831317100</t>
  </si>
  <si>
    <t>BEGONI BOSSA NOVA NGT FVR ROSS</t>
  </si>
  <si>
    <t>001!0611884023100</t>
  </si>
  <si>
    <t>BEGONI BOSSA NOVA ORANGE</t>
  </si>
  <si>
    <t>001!0611831301100</t>
  </si>
  <si>
    <t>BEGONI BOSSA NOVA PINK GLOW</t>
  </si>
  <si>
    <t>001!0611831302100</t>
  </si>
  <si>
    <t>BEGONI BOSSA NOVA PURE WHITE</t>
  </si>
  <si>
    <t>001!0611831303100</t>
  </si>
  <si>
    <t>BEGONI BOSSA NOVA RED</t>
  </si>
  <si>
    <t>001!0611831304100</t>
  </si>
  <si>
    <t>BEGONI BOSSA NOVA ROSE</t>
  </si>
  <si>
    <t>001!0611831305100</t>
  </si>
  <si>
    <t>BEGONI BOSSA NOVA WHITE</t>
  </si>
  <si>
    <t>001!0611831307100</t>
  </si>
  <si>
    <t>BEGONI BOSSA NOVA YELLOW</t>
  </si>
  <si>
    <t>001!0611831308100</t>
  </si>
  <si>
    <t>BEGONI BOWLER BL WHITE</t>
  </si>
  <si>
    <t>001!0611831309100</t>
  </si>
  <si>
    <t>BEGONI CAMILLA</t>
  </si>
  <si>
    <t>001!0611831318100</t>
  </si>
  <si>
    <t>BEGONI CANARY WINGS</t>
  </si>
  <si>
    <t>001!0611831319100</t>
  </si>
  <si>
    <t>BEGONI CARMEN</t>
  </si>
  <si>
    <t>001!0611831320100</t>
  </si>
  <si>
    <t>BEGONI CARNEVAL</t>
  </si>
  <si>
    <t>001!0611831321100</t>
  </si>
  <si>
    <t>001!0611860590050</t>
  </si>
  <si>
    <t>BEGONI CATRIN</t>
  </si>
  <si>
    <t>001!0611831322100</t>
  </si>
  <si>
    <t>BEGONI CHARM PINK</t>
  </si>
  <si>
    <t>001!0611831324100</t>
  </si>
  <si>
    <t>BEGONI CHERRY BLOSSOM</t>
  </si>
  <si>
    <t>001!0611831325100</t>
  </si>
  <si>
    <t>BEGONI CHLOE</t>
  </si>
  <si>
    <t>001!0611831326100</t>
  </si>
  <si>
    <t>BEGONI CITIZEN CANE PINK 22</t>
  </si>
  <si>
    <t>001!0611856830100</t>
  </si>
  <si>
    <t>BEGONI CLARA</t>
  </si>
  <si>
    <t>001!0611831328100</t>
  </si>
  <si>
    <t>001!0611860591050</t>
  </si>
  <si>
    <t>BEGONI COCCINEA</t>
  </si>
  <si>
    <t>001!0611831329100</t>
  </si>
  <si>
    <t>001!0611831330100</t>
  </si>
  <si>
    <t>BEGONI COCKTAIL BRANDY</t>
  </si>
  <si>
    <t>001!0611831331100</t>
  </si>
  <si>
    <t>BEGONI COCKTAIL GIN</t>
  </si>
  <si>
    <t>001!0611831332100</t>
  </si>
  <si>
    <t>BEGONI COCKTAIL MIX</t>
  </si>
  <si>
    <t>001!0611831333100</t>
  </si>
  <si>
    <t>BEGONI COCKTAIL RUM</t>
  </si>
  <si>
    <t>001!0611831334100</t>
  </si>
  <si>
    <t>BEGONI COCKTAIL TEQUILA</t>
  </si>
  <si>
    <t>001!0611831335100</t>
  </si>
  <si>
    <t>BEGONI COCKTAIL VODKA</t>
  </si>
  <si>
    <t>001!0611831336100</t>
  </si>
  <si>
    <t>BEGONI COCKTAIL WHISKEY</t>
  </si>
  <si>
    <t>001!0611831337100</t>
  </si>
  <si>
    <t>BEGONI COOL NIGHT MIX</t>
  </si>
  <si>
    <t>001!0611831338100</t>
  </si>
  <si>
    <t>BEGONI CURLY CHERRY MINT</t>
  </si>
  <si>
    <t>001!0611831339100</t>
  </si>
  <si>
    <t>BEGONI CURLY SERIES</t>
  </si>
  <si>
    <t>001!0611884024100</t>
  </si>
  <si>
    <t>BEGONI CURLY STRWBRY CHOCOLATE</t>
  </si>
  <si>
    <t>001!0611831340100</t>
  </si>
  <si>
    <t>BEGONI DARK BRITT</t>
  </si>
  <si>
    <t>001!0611831341100</t>
  </si>
  <si>
    <t>001!0611860592050</t>
  </si>
  <si>
    <t>BEGONI DBL LADY FRANCIS PINK</t>
  </si>
  <si>
    <t>001!0611831438100</t>
  </si>
  <si>
    <t>BEGONI DIBS MOONLIGHT</t>
  </si>
  <si>
    <t>001!0611831342100</t>
  </si>
  <si>
    <t>BEGONI DIBS ROTHKO</t>
  </si>
  <si>
    <t>001!0611831343100</t>
  </si>
  <si>
    <t>BEGONI DIBS SERIES</t>
  </si>
  <si>
    <t>001!0611884025100</t>
  </si>
  <si>
    <t>BEGONI DOUBLET PINK</t>
  </si>
  <si>
    <t>001!0611831344100</t>
  </si>
  <si>
    <t>001!0611860593050</t>
  </si>
  <si>
    <t>BEGONI DOUBLET RED</t>
  </si>
  <si>
    <t>001!0611831345100</t>
  </si>
  <si>
    <t>001!0611860594050</t>
  </si>
  <si>
    <t>BEGONI DOUBLET ROSE</t>
  </si>
  <si>
    <t>001!0611831346100</t>
  </si>
  <si>
    <t>001!0611860595050</t>
  </si>
  <si>
    <t>BEGONI DOUBLET WHITE</t>
  </si>
  <si>
    <t>001!0611831347100</t>
  </si>
  <si>
    <t>001!0611860596050</t>
  </si>
  <si>
    <t>BEGONI DRAGON WING</t>
  </si>
  <si>
    <t>001!0611831348100</t>
  </si>
  <si>
    <t>BEGONI DRAGON WING PINK</t>
  </si>
  <si>
    <t>001!0611831349100</t>
  </si>
  <si>
    <t>001!0611831350100</t>
  </si>
  <si>
    <t>001!0611831351025</t>
  </si>
  <si>
    <t>BEGONI DRAGON WING PINK BL</t>
  </si>
  <si>
    <t>001!0611884026025</t>
  </si>
  <si>
    <t>BEGONI DRAGON WING RED</t>
  </si>
  <si>
    <t>001!0611831352100</t>
  </si>
  <si>
    <t>001!0611831353100</t>
  </si>
  <si>
    <t>001!0611831354025</t>
  </si>
  <si>
    <t>BEGONI DRAGON WING RED BL</t>
  </si>
  <si>
    <t>001!0611884027025</t>
  </si>
  <si>
    <t>BEGONI DRAGON WING WHITE 22</t>
  </si>
  <si>
    <t>001!0611856831100</t>
  </si>
  <si>
    <t>001!0611856832025</t>
  </si>
  <si>
    <t>BEGONI DRAGONE CHAMPAGNE</t>
  </si>
  <si>
    <t>001!0611860597050</t>
  </si>
  <si>
    <t>BEGONI DRAGONE DUSTY ROSE</t>
  </si>
  <si>
    <t>001!0611860598050</t>
  </si>
  <si>
    <t>BEGONI DRAGONE EVENING GLOW</t>
  </si>
  <si>
    <t>001!0611860599050</t>
  </si>
  <si>
    <t>BEGONI DRAGONE SUNSET</t>
  </si>
  <si>
    <t>001!0611860600050</t>
  </si>
  <si>
    <t>BEGONI DREAMS GARDEN MACAROSE</t>
  </si>
  <si>
    <t>001!0611831356100</t>
  </si>
  <si>
    <t>BEGONI DREAMS GARDEN MACAROUGE</t>
  </si>
  <si>
    <t>001!0611831357100</t>
  </si>
  <si>
    <t>BEGONI ENCORE IV SERIES</t>
  </si>
  <si>
    <t>001!0611831358100</t>
  </si>
  <si>
    <t>BEGONI ESCARGOT</t>
  </si>
  <si>
    <t>001!0611831359100</t>
  </si>
  <si>
    <t>BEGONI ESMAY PEACH</t>
  </si>
  <si>
    <t>001!0611831360100</t>
  </si>
  <si>
    <t>BEGONI EUREKA BL DEEP ROSE</t>
  </si>
  <si>
    <t>001!0611831361100</t>
  </si>
  <si>
    <t>BEGONI EUREKA BL FORM MX</t>
  </si>
  <si>
    <t>001!0611831362100</t>
  </si>
  <si>
    <t>BEGONI EUREKA BL MIX</t>
  </si>
  <si>
    <t>001!0611831364100</t>
  </si>
  <si>
    <t>BEGONI EUREKA BL PINK</t>
  </si>
  <si>
    <t>001!0611831365100</t>
  </si>
  <si>
    <t>BEGONI EUREKA BL ROSE</t>
  </si>
  <si>
    <t>001!0611831366100</t>
  </si>
  <si>
    <t>BEGONI EUREKA BL SCARLET</t>
  </si>
  <si>
    <t>001!0611831363100</t>
  </si>
  <si>
    <t>BEGONI EUREKA BL WHITE</t>
  </si>
  <si>
    <t>001!0611831367100</t>
  </si>
  <si>
    <t>BEGONI EUREKA GL DP ROSE</t>
  </si>
  <si>
    <t>001!0611831368100</t>
  </si>
  <si>
    <t>BEGONI EUREKA GL FORM MIX</t>
  </si>
  <si>
    <t>001!0611831373100</t>
  </si>
  <si>
    <t>BEGONI EUREKA GL PINK</t>
  </si>
  <si>
    <t>001!0611831369100</t>
  </si>
  <si>
    <t>BEGONI EUREKA GL ROSE</t>
  </si>
  <si>
    <t>001!0611831370100</t>
  </si>
  <si>
    <t>BEGONI EUREKA GL SCARLET</t>
  </si>
  <si>
    <t>001!0611831372100</t>
  </si>
  <si>
    <t>BEGONI EUREKA GL WHITE</t>
  </si>
  <si>
    <t>001!0611831371100</t>
  </si>
  <si>
    <t>BEGONI EVA</t>
  </si>
  <si>
    <t>001!0611831374100</t>
  </si>
  <si>
    <t>BEGONI EVI</t>
  </si>
  <si>
    <t>001!0611831375100</t>
  </si>
  <si>
    <t>BEGONI FIONA PINK</t>
  </si>
  <si>
    <t>001!0611831377100</t>
  </si>
  <si>
    <t>BEGONI FIONA RED</t>
  </si>
  <si>
    <t>001!0611831378100</t>
  </si>
  <si>
    <t>BEGONI FIONA ROSE</t>
  </si>
  <si>
    <t>001!0611831379100</t>
  </si>
  <si>
    <t>BEGONI FIONA WHITE</t>
  </si>
  <si>
    <t>001!0611831380100</t>
  </si>
  <si>
    <t>BEGONI FLORENCIO CERISE</t>
  </si>
  <si>
    <t>001!0611860601050</t>
  </si>
  <si>
    <t>BEGONI FLORENCIO ORANGE</t>
  </si>
  <si>
    <t>001!0611860602050</t>
  </si>
  <si>
    <t>BEGONI FLORENCIO PINK</t>
  </si>
  <si>
    <t>001!0611860603050</t>
  </si>
  <si>
    <t>BEGONI FLORENCIO RED</t>
  </si>
  <si>
    <t>001!0611860604050</t>
  </si>
  <si>
    <t>BEGONI FLORENCIO WHITE</t>
  </si>
  <si>
    <t>001!0611860605050</t>
  </si>
  <si>
    <t>BEGONI FLORENCIO YELLOW</t>
  </si>
  <si>
    <t>001!0611860606050</t>
  </si>
  <si>
    <t>BEGONI FORTUNE MIX</t>
  </si>
  <si>
    <t>001!0611831381100</t>
  </si>
  <si>
    <t>BEGONI FRAGRANT FALLS LEMON</t>
  </si>
  <si>
    <t>001!0611831382100</t>
  </si>
  <si>
    <t>BEGONI FRAGRANT FALLS PEACH</t>
  </si>
  <si>
    <t>001!0611831383100</t>
  </si>
  <si>
    <t>BEGONI FRIVOLA MAGIC</t>
  </si>
  <si>
    <t>001!0611856833100</t>
  </si>
  <si>
    <t>BEGONI FRIVOLA PINK</t>
  </si>
  <si>
    <t>001!0611831384100</t>
  </si>
  <si>
    <t>BEGONI FUNKY LIGHT PINK</t>
  </si>
  <si>
    <t>001!0611831385100</t>
  </si>
  <si>
    <t>BEGONI FUNKY MIX</t>
  </si>
  <si>
    <t>001!0611831386100</t>
  </si>
  <si>
    <t>BEGONI FUNKY ORANGE</t>
  </si>
  <si>
    <t>001!0611831387100</t>
  </si>
  <si>
    <t>BEGONI FUNKY PINK</t>
  </si>
  <si>
    <t>001!0611831388100</t>
  </si>
  <si>
    <t>BEGONI FUNKY RED</t>
  </si>
  <si>
    <t>001!0611831389100</t>
  </si>
  <si>
    <t>BEGONI FUNKY SCARLET</t>
  </si>
  <si>
    <t>001!0611831390100</t>
  </si>
  <si>
    <t>BEGONI FUNKY WHITE</t>
  </si>
  <si>
    <t>001!0611831391100</t>
  </si>
  <si>
    <t>BEGONI GENERIC</t>
  </si>
  <si>
    <t>001!0611831392100</t>
  </si>
  <si>
    <t>BEGONI GENERIC BILINGUAL</t>
  </si>
  <si>
    <t>001!0611831397100</t>
  </si>
  <si>
    <t>BEGONI GL BICOLOR GENERIC</t>
  </si>
  <si>
    <t>001!0611831406100</t>
  </si>
  <si>
    <t>BEGONI GL MIX GENERIC</t>
  </si>
  <si>
    <t>001!0611831407100</t>
  </si>
  <si>
    <t>BEGONI GL PINK GENERIC</t>
  </si>
  <si>
    <t>001!0611831408100</t>
  </si>
  <si>
    <t>BEGONI GL RED GENERIC</t>
  </si>
  <si>
    <t>001!0611831409100</t>
  </si>
  <si>
    <t>BEGONI GL ROSE GENERIC</t>
  </si>
  <si>
    <t>001!0611831410100</t>
  </si>
  <si>
    <t>BEGONI GL WHITE GENERIC</t>
  </si>
  <si>
    <t>001!0611831411100</t>
  </si>
  <si>
    <t>BEGONI GLORY BICOLOR</t>
  </si>
  <si>
    <t>001!0611831393100</t>
  </si>
  <si>
    <t>BEGONI GLORY PINK</t>
  </si>
  <si>
    <t>001!0611831395100</t>
  </si>
  <si>
    <t>BEGONI GLORY WHITE</t>
  </si>
  <si>
    <t>001!0611831396100</t>
  </si>
  <si>
    <t>BEGONI GRACE DARK RED</t>
  </si>
  <si>
    <t>001!0611860607050</t>
  </si>
  <si>
    <t>BEGONI GRACE ORANGE</t>
  </si>
  <si>
    <t>001!0611860608050</t>
  </si>
  <si>
    <t>BEGONI GRACE PINK</t>
  </si>
  <si>
    <t>001!0611860609050</t>
  </si>
  <si>
    <t>BEGONI GROOVY MELLOW YELLOW</t>
  </si>
  <si>
    <t>001!0611831412100</t>
  </si>
  <si>
    <t>BEGONI GROOVY MIX</t>
  </si>
  <si>
    <t>001!0611831413100</t>
  </si>
  <si>
    <t>BEGONI GROOVY ORANGE</t>
  </si>
  <si>
    <t>001!0611831414100</t>
  </si>
  <si>
    <t>BEGONI GROOVY RED</t>
  </si>
  <si>
    <t>001!0611831415100</t>
  </si>
  <si>
    <t>BEGONI GROOVY ROSE</t>
  </si>
  <si>
    <t>001!0611831416100</t>
  </si>
  <si>
    <t>BEGONI GROOVY WHITE</t>
  </si>
  <si>
    <t>001!0611831417100</t>
  </si>
  <si>
    <t>BEGONI GRYPHON</t>
  </si>
  <si>
    <t>001!0611831418100</t>
  </si>
  <si>
    <t>BEGONI HARMONY MIX</t>
  </si>
  <si>
    <t>001!0611831419100</t>
  </si>
  <si>
    <t>BEGONI HARMONY PINK</t>
  </si>
  <si>
    <t>001!0611831420100</t>
  </si>
  <si>
    <t>BEGONI HARMONY ROSE</t>
  </si>
  <si>
    <t>001!0611831421100</t>
  </si>
  <si>
    <t>BEGONI HARMONY SCARLET</t>
  </si>
  <si>
    <t>001!0611831422100</t>
  </si>
  <si>
    <t>BEGONI HARMONY WHITE</t>
  </si>
  <si>
    <t>001!0611831423100</t>
  </si>
  <si>
    <t>BEGONI HIEMALIS</t>
  </si>
  <si>
    <t>001!0611831424100</t>
  </si>
  <si>
    <t>001!0611831425100</t>
  </si>
  <si>
    <t>BEGONI HULA BIC RED WHITE 22</t>
  </si>
  <si>
    <t>001!0611856834100</t>
  </si>
  <si>
    <t>BEGONI HULA BLUSH 22</t>
  </si>
  <si>
    <t>001!0611856835100</t>
  </si>
  <si>
    <t>BEGONI HULA PINK 22</t>
  </si>
  <si>
    <t>001!0611856836100</t>
  </si>
  <si>
    <t>BEGONI HULA RED 22</t>
  </si>
  <si>
    <t>001!0611856837100</t>
  </si>
  <si>
    <t>BEGONI HULA RED AND WHITE MIX</t>
  </si>
  <si>
    <t>001!0611884028100</t>
  </si>
  <si>
    <t>BEGONI ICONIA BACHELORETTE RED</t>
  </si>
  <si>
    <t>001!0611860610050</t>
  </si>
  <si>
    <t>BEGONI ICONIA BACIO ORANGE</t>
  </si>
  <si>
    <t>001!0611860611050</t>
  </si>
  <si>
    <t>BEGONI ICONIA BACIO PEACH</t>
  </si>
  <si>
    <t>001!0611860612050</t>
  </si>
  <si>
    <t>BEGONI ICONIA BACIO SALMON</t>
  </si>
  <si>
    <t>001!0611860613050</t>
  </si>
  <si>
    <t>BEGONI ICONIA BACIO WHITE</t>
  </si>
  <si>
    <t>001!0611860614050</t>
  </si>
  <si>
    <t>BEGONI ICONIA FIRST KISS</t>
  </si>
  <si>
    <t>001!0611860615050</t>
  </si>
  <si>
    <t>BEGONI ICONIA FIRST KISS ORG</t>
  </si>
  <si>
    <t>001!0611884029050</t>
  </si>
  <si>
    <t>BEGONI ICONIA FRST KSS DEL SOL</t>
  </si>
  <si>
    <t>001!0611860616050</t>
  </si>
  <si>
    <t>BEGONI ICONIA LA LUNA</t>
  </si>
  <si>
    <t>001!0611860617050</t>
  </si>
  <si>
    <t>BEGONI ICONIA LEMON BERRY</t>
  </si>
  <si>
    <t>001!0611860618050</t>
  </si>
  <si>
    <t>BEGONI ICONIA LUCKY STRIKE</t>
  </si>
  <si>
    <t>001!0611860619050</t>
  </si>
  <si>
    <t>BEGONI ICONIA MISS MALIBU</t>
  </si>
  <si>
    <t>001!0611860620050</t>
  </si>
  <si>
    <t>BEGONI ICONIA MISS MIAMI</t>
  </si>
  <si>
    <t>001!0611860621050</t>
  </si>
  <si>
    <t>BEGONI ICONIA MISS MONTREAL</t>
  </si>
  <si>
    <t>001!0611860622050</t>
  </si>
  <si>
    <t>BEGONI ICONIA PEACHY KEEN</t>
  </si>
  <si>
    <t>001!0611860623050</t>
  </si>
  <si>
    <t>BEGONI ICONIA PORTOF CHAMPGNE</t>
  </si>
  <si>
    <t>001!0611860624050</t>
  </si>
  <si>
    <t>BEGONI ICONIA PORTOF CITRIX</t>
  </si>
  <si>
    <t>001!0611860625050</t>
  </si>
  <si>
    <t>BEGONI ICONIA PORTOF DK ORANGE</t>
  </si>
  <si>
    <t>001!0611884030050</t>
  </si>
  <si>
    <t>BEGONI ICONIA PORTOF HOT CORAL</t>
  </si>
  <si>
    <t>001!0611860626050</t>
  </si>
  <si>
    <t>BEGONI ICONIA PORTOF HOT ORNG</t>
  </si>
  <si>
    <t>001!0611860627050</t>
  </si>
  <si>
    <t>BEGONI ICONIA PORTOF SALMON</t>
  </si>
  <si>
    <t>001!0611860628050</t>
  </si>
  <si>
    <t>BEGONI ICONIA PORTOF SUNRISE</t>
  </si>
  <si>
    <t>001!0611860629050</t>
  </si>
  <si>
    <t>BEGONI ICONIA PORTOF YELLOW</t>
  </si>
  <si>
    <t>001!0611860630050</t>
  </si>
  <si>
    <t>BEGONI ICONIA RED</t>
  </si>
  <si>
    <t>001!0611860631050</t>
  </si>
  <si>
    <t>BEGONI ICONIA SAFFRON</t>
  </si>
  <si>
    <t>001!0611860632050</t>
  </si>
  <si>
    <t>BEGONI ICONIA TWEETIE PIE</t>
  </si>
  <si>
    <t>001!0611860633050</t>
  </si>
  <si>
    <t>BEGONI ICONIA UPRT BLUSH</t>
  </si>
  <si>
    <t>001!0611884031050</t>
  </si>
  <si>
    <t>BEGONI ICONIA UPRT FIRE</t>
  </si>
  <si>
    <t>001!0611860634050</t>
  </si>
  <si>
    <t>BEGONI ICONIA UPRT RED</t>
  </si>
  <si>
    <t>001!0611884032050</t>
  </si>
  <si>
    <t>BEGONI ICONIA UPRT SALMON</t>
  </si>
  <si>
    <t>001!0611860635050</t>
  </si>
  <si>
    <t>BEGONI ICONIA UPRT SUNSHINE</t>
  </si>
  <si>
    <t>001!0611860636050</t>
  </si>
  <si>
    <t>BEGONI ICONIA UPRT WHITE</t>
  </si>
  <si>
    <t>001!0611860637050</t>
  </si>
  <si>
    <t>BEGONI ILLUMINATION APRICOT</t>
  </si>
  <si>
    <t>001!0611831428100</t>
  </si>
  <si>
    <t>BEGONI ILLUMINATION GLDN PIC</t>
  </si>
  <si>
    <t>001!0611831426100</t>
  </si>
  <si>
    <t>BEGONI ILLUMINATION LEMON</t>
  </si>
  <si>
    <t>001!0611831429100</t>
  </si>
  <si>
    <t>BEGONI ILLUMINATION ORANGE</t>
  </si>
  <si>
    <t>001!0611831430100</t>
  </si>
  <si>
    <t>BEGONI ILLUMINATION ROSE</t>
  </si>
  <si>
    <t>001!0611831431100</t>
  </si>
  <si>
    <t>BEGONI ILLUMINATION SALM PINK</t>
  </si>
  <si>
    <t>001!0611831432100</t>
  </si>
  <si>
    <t>BEGONI ILLUMINATION SCARLET</t>
  </si>
  <si>
    <t>001!0611831433100</t>
  </si>
  <si>
    <t>BEGONI ILLUMINATION WHITE</t>
  </si>
  <si>
    <t>001!0611831434100</t>
  </si>
  <si>
    <t>BEGONI KAREN</t>
  </si>
  <si>
    <t>001!0611831436100</t>
  </si>
  <si>
    <t>BEGONI LADY CAROL</t>
  </si>
  <si>
    <t>001!0611831437100</t>
  </si>
  <si>
    <t>BEGONI LIMITLESS CREAM SHADES</t>
  </si>
  <si>
    <t>001!0611884033100</t>
  </si>
  <si>
    <t>BEGONI LIMITLESS DARK RED</t>
  </si>
  <si>
    <t>001!0611884034100</t>
  </si>
  <si>
    <t>BEGONI LIMITLESS DARK ROSE</t>
  </si>
  <si>
    <t>001!0611884035100</t>
  </si>
  <si>
    <t>BEGONI LIMITLESS MIX</t>
  </si>
  <si>
    <t>001!0611884036100</t>
  </si>
  <si>
    <t>BEGONI LIMITLESS ORANGE</t>
  </si>
  <si>
    <t>001!0611884037100</t>
  </si>
  <si>
    <t>BEGONI LIMITLESS SORBET</t>
  </si>
  <si>
    <t>001!0611884038100</t>
  </si>
  <si>
    <t>BEGONI LIMITLESS SUNRISE</t>
  </si>
  <si>
    <t>001!0611884039100</t>
  </si>
  <si>
    <t>BEGONI LIMITLESS SUNSET</t>
  </si>
  <si>
    <t>001!0611884040100</t>
  </si>
  <si>
    <t>BEGONI LIMITLESS YELLOW</t>
  </si>
  <si>
    <t>001!0611884041100</t>
  </si>
  <si>
    <t>BEGONI MAESTRO MIX</t>
  </si>
  <si>
    <t>001!0611831440100</t>
  </si>
  <si>
    <t>BEGONI MEGAWATT BL PINK</t>
  </si>
  <si>
    <t>001!0611831441100</t>
  </si>
  <si>
    <t>BEGONI MEGAWATT BL RED</t>
  </si>
  <si>
    <t>001!0611831442100</t>
  </si>
  <si>
    <t>BEGONI MEGAWATT BL ROSE</t>
  </si>
  <si>
    <t>001!0611831443100</t>
  </si>
  <si>
    <t>BEGONI MEGAWATT GL PINK</t>
  </si>
  <si>
    <t>001!0611831446100</t>
  </si>
  <si>
    <t>BEGONI MEGAWATT GL RED</t>
  </si>
  <si>
    <t>001!0611831444100</t>
  </si>
  <si>
    <t>BEGONI MEGAWATT GL ROSE</t>
  </si>
  <si>
    <t>001!0611831445100</t>
  </si>
  <si>
    <t>BEGONI MEGAWATT GL WHITE 22</t>
  </si>
  <si>
    <t>001!0611856838100</t>
  </si>
  <si>
    <t>BEGONI MOVE2 CHERRY RED</t>
  </si>
  <si>
    <t>001!0611860638050</t>
  </si>
  <si>
    <t>BEGONI MOVE2 JOY HT PK ELAT</t>
  </si>
  <si>
    <t>001!0611884042050</t>
  </si>
  <si>
    <t>BEGONI MOVE2 JOY PINK</t>
  </si>
  <si>
    <t>001!0611860639050</t>
  </si>
  <si>
    <t>BEGONI MOVE2 JOY SLMN ELAT</t>
  </si>
  <si>
    <t>001!0611884043050</t>
  </si>
  <si>
    <t>BEGONI MOVE2 JOY WHITE</t>
  </si>
  <si>
    <t>001!0611860640050</t>
  </si>
  <si>
    <t>BEGONI MOVE2 ORANGE</t>
  </si>
  <si>
    <t>001!0611860641050</t>
  </si>
  <si>
    <t>BEGONI MOVE2 PASSION RED</t>
  </si>
  <si>
    <t>001!0611860642050</t>
  </si>
  <si>
    <t>BEGONI MOVE2 RUBY RED</t>
  </si>
  <si>
    <t>001!0611860643050</t>
  </si>
  <si>
    <t>BEGONI MOVE2 SLMN SPL BIC ELAT</t>
  </si>
  <si>
    <t>001!0611884044050</t>
  </si>
  <si>
    <t>BEGONI NADINE</t>
  </si>
  <si>
    <t>001!0611831447100</t>
  </si>
  <si>
    <t>BEGONI NADINE RHINE</t>
  </si>
  <si>
    <t>001!0611860644050</t>
  </si>
  <si>
    <t>BEGONI NELLY</t>
  </si>
  <si>
    <t>001!0611831448100</t>
  </si>
  <si>
    <t>BEGONI NETJA DARK</t>
  </si>
  <si>
    <t>001!0611831449100</t>
  </si>
  <si>
    <t>001!0611860645050</t>
  </si>
  <si>
    <t>BEGONI NETJA WHITE</t>
  </si>
  <si>
    <t>001!0611831450100</t>
  </si>
  <si>
    <t>BEGONI NEW STAR MIX</t>
  </si>
  <si>
    <t>001!0611831625100</t>
  </si>
  <si>
    <t>BEGONI NEW STAR RED</t>
  </si>
  <si>
    <t>001!0611831626100</t>
  </si>
  <si>
    <t>BEGONI NEW STAR WHITE</t>
  </si>
  <si>
    <t>001!0611831627100</t>
  </si>
  <si>
    <t>BEGONI NEW STAR YELLOW</t>
  </si>
  <si>
    <t>001!0611831628100</t>
  </si>
  <si>
    <t>BEGONI NICOLE STONE</t>
  </si>
  <si>
    <t>001!0611831451100</t>
  </si>
  <si>
    <t>BEGONI NIGHTLIFE BLUSH</t>
  </si>
  <si>
    <t>001!0611831452100</t>
  </si>
  <si>
    <t>BEGONI NIGHTLIFE DP ROSE</t>
  </si>
  <si>
    <t>001!0611831453100</t>
  </si>
  <si>
    <t>BEGONI NIGHTLIFE MIX</t>
  </si>
  <si>
    <t>001!0611831454100</t>
  </si>
  <si>
    <t>BEGONI NIGHTLIFE PINK</t>
  </si>
  <si>
    <t>001!0611831455100</t>
  </si>
  <si>
    <t>BEGONI NIGHTLIFE RED</t>
  </si>
  <si>
    <t>001!0611831456100</t>
  </si>
  <si>
    <t>BEGONI NIGHTLIFE ROSE</t>
  </si>
  <si>
    <t>001!0611831457100</t>
  </si>
  <si>
    <t>BEGONI NIGHTLIFE WHITE</t>
  </si>
  <si>
    <t>001!0611831458100</t>
  </si>
  <si>
    <t>BEGONI NONSTOP APPLEBLOSSOM</t>
  </si>
  <si>
    <t>001!0611831459100</t>
  </si>
  <si>
    <t>BEGONI NONSTOP APRICOT</t>
  </si>
  <si>
    <t>001!0611831460100</t>
  </si>
  <si>
    <t>BEGONI NONSTOP BRIGHT RED</t>
  </si>
  <si>
    <t>001!0611831461100</t>
  </si>
  <si>
    <t>BEGONI NONSTOP DEEP RED</t>
  </si>
  <si>
    <t>001!0611831463100</t>
  </si>
  <si>
    <t>BEGONI NONSTOP DEEP ROSE</t>
  </si>
  <si>
    <t>001!0611831464100</t>
  </si>
  <si>
    <t>BEGONI NONSTOP DEEP SALMON</t>
  </si>
  <si>
    <t>001!0611831465100</t>
  </si>
  <si>
    <t>BEGONI NONSTOP FIRE</t>
  </si>
  <si>
    <t>001!0611831466100</t>
  </si>
  <si>
    <t>BEGONI NONSTOP JOY MIX</t>
  </si>
  <si>
    <t>001!0611831468100</t>
  </si>
  <si>
    <t>BEGONI NONSTOP JOY MOC PCH/DRM</t>
  </si>
  <si>
    <t>001!0611884045100</t>
  </si>
  <si>
    <t>BEGONI NONSTOP JOY MOCCA WHITE</t>
  </si>
  <si>
    <t>001!0611831469100</t>
  </si>
  <si>
    <t>BEGONI NONSTOP JOY ORANGE</t>
  </si>
  <si>
    <t>001!0611831470100</t>
  </si>
  <si>
    <t>BEGONI NONSTOP JOY RED</t>
  </si>
  <si>
    <t>001!0611831471100</t>
  </si>
  <si>
    <t>BEGONI NONSTOP JOY ROSE PICOTE</t>
  </si>
  <si>
    <t>001!0611831472100</t>
  </si>
  <si>
    <t>BEGONI NONSTOP JOY YELLOW</t>
  </si>
  <si>
    <t>001!0611831473100</t>
  </si>
  <si>
    <t>BEGONI NONSTOP MIX</t>
  </si>
  <si>
    <t>001!0611831474100</t>
  </si>
  <si>
    <t>BEGONI NONSTOP MOCCA BRT ORNG</t>
  </si>
  <si>
    <t>001!0611831475100</t>
  </si>
  <si>
    <t>BEGONI NONSTOP MOCCA CHERRY</t>
  </si>
  <si>
    <t>001!0611831476100</t>
  </si>
  <si>
    <t>BEGONI NONSTOP MOCCA DEEP RED</t>
  </si>
  <si>
    <t>001!0611831477100</t>
  </si>
  <si>
    <t>BEGONI NONSTOP MOCCA DP ORNG</t>
  </si>
  <si>
    <t>001!0611831478100</t>
  </si>
  <si>
    <t>BEGONI NONSTOP MOCCA MIX</t>
  </si>
  <si>
    <t>001!0611831479100</t>
  </si>
  <si>
    <t>BEGONI NONSTOP MOCCA ORANGE</t>
  </si>
  <si>
    <t>001!0611831480100</t>
  </si>
  <si>
    <t>BEGONI NONSTOP MOCCA PK SHDS</t>
  </si>
  <si>
    <t>001!0611831481100</t>
  </si>
  <si>
    <t>BEGONI NONSTOP MOCCA RED</t>
  </si>
  <si>
    <t>001!0611831482100</t>
  </si>
  <si>
    <t>BEGONI NONSTOP MOCCA SCARLET</t>
  </si>
  <si>
    <t>001!0611831483100</t>
  </si>
  <si>
    <t>BEGONI NONSTOP MOCCA WHITE</t>
  </si>
  <si>
    <t>001!0611831484100</t>
  </si>
  <si>
    <t>BEGONI NONSTOP MOCCA YELLOW</t>
  </si>
  <si>
    <t>001!0611831485100</t>
  </si>
  <si>
    <t>BEGONI NONSTOP ORANGE</t>
  </si>
  <si>
    <t>001!0611831486100</t>
  </si>
  <si>
    <t>BEGONI NONSTOP PINK</t>
  </si>
  <si>
    <t>001!0611831487100</t>
  </si>
  <si>
    <t>BEGONI NONSTOP RED</t>
  </si>
  <si>
    <t>001!0611831488100</t>
  </si>
  <si>
    <t>BEGONI NONSTOP ROSE PETTICOAT</t>
  </si>
  <si>
    <t>001!0611831489100</t>
  </si>
  <si>
    <t>BEGONI NONSTOP ROSE PICOTEE</t>
  </si>
  <si>
    <t>001!0611831490100</t>
  </si>
  <si>
    <t>BEGONI NONSTOP ROSE PINK</t>
  </si>
  <si>
    <t>001!0611831491100</t>
  </si>
  <si>
    <t>BEGONI NONSTOP SALMON</t>
  </si>
  <si>
    <t>001!0611831492100</t>
  </si>
  <si>
    <t>BEGONI NONSTOP SERIES</t>
  </si>
  <si>
    <t>001!0611831494100</t>
  </si>
  <si>
    <t>001!0611831495100</t>
  </si>
  <si>
    <t>BEGONI NONSTOP SUNSET</t>
  </si>
  <si>
    <t>001!0611831496100</t>
  </si>
  <si>
    <t>BEGONI NONSTOP WHITE</t>
  </si>
  <si>
    <t>001!0611831497100</t>
  </si>
  <si>
    <t>BEGONI NONSTOP YELL W/RD BACK</t>
  </si>
  <si>
    <t>001!0611831498100</t>
  </si>
  <si>
    <t>BEGONI NONSTOP YELLOW</t>
  </si>
  <si>
    <t>001!0611831499100</t>
  </si>
  <si>
    <t>BEGONI OH SO ORANGE</t>
  </si>
  <si>
    <t>001!0611831500100</t>
  </si>
  <si>
    <t>001!0611860646050</t>
  </si>
  <si>
    <t>BEGONI ON TOP FANDANGO</t>
  </si>
  <si>
    <t>001!0611831501100</t>
  </si>
  <si>
    <t>BEGONI ON TOP MELON LACE</t>
  </si>
  <si>
    <t>001!0611831502100</t>
  </si>
  <si>
    <t>BEGONI ON TOP PINK HALO</t>
  </si>
  <si>
    <t>001!0611831503100</t>
  </si>
  <si>
    <t>BEGONI ON TOP POLKA DOT</t>
  </si>
  <si>
    <t>001!0611884046100</t>
  </si>
  <si>
    <t>BEGONI ON TOP SUN GLOW</t>
  </si>
  <si>
    <t>001!0611831504100</t>
  </si>
  <si>
    <t>BEGONI ON TOP SUNSET SHADES</t>
  </si>
  <si>
    <t>001!0611831505100</t>
  </si>
  <si>
    <t>BEGONI ON TOP SURPRISE</t>
  </si>
  <si>
    <t>001!0611884047100</t>
  </si>
  <si>
    <t>BEGONI ORANGE STONE</t>
  </si>
  <si>
    <t>001!0611831506100</t>
  </si>
  <si>
    <t>BEGONI PEGGY</t>
  </si>
  <si>
    <t>001!0611831507100</t>
  </si>
  <si>
    <t>BEGONI PENDULA GENERIC</t>
  </si>
  <si>
    <t>001!0611831508100</t>
  </si>
  <si>
    <t>BEGONI PICOTEE CALYPSO</t>
  </si>
  <si>
    <t>001!0611831509100</t>
  </si>
  <si>
    <t>BEGONI PICOTEE FLAMENCO</t>
  </si>
  <si>
    <t>001!0611831510100</t>
  </si>
  <si>
    <t>BEGONI PICOTEE LACE APRICOT</t>
  </si>
  <si>
    <t>001!0611831511100</t>
  </si>
  <si>
    <t>BEGONI PICOTEE LACE PINK</t>
  </si>
  <si>
    <t>001!0611831512100</t>
  </si>
  <si>
    <t>BEGONI PICOTEE LACE RED</t>
  </si>
  <si>
    <t>001!0611831513100</t>
  </si>
  <si>
    <t>BEGONI PICOTEE SUNBURST</t>
  </si>
  <si>
    <t>001!0611831514100</t>
  </si>
  <si>
    <t>BEGONI PICOTEE WHITE PINK</t>
  </si>
  <si>
    <t>001!0611831515100</t>
  </si>
  <si>
    <t>BEGONI PICOTEE WHITE RED</t>
  </si>
  <si>
    <t>001!0611831516100</t>
  </si>
  <si>
    <t>BEGONI PINK GENERIC</t>
  </si>
  <si>
    <t>001!0611831518100</t>
  </si>
  <si>
    <t>BEGONI PINK GENERIC BILINGUAL</t>
  </si>
  <si>
    <t>001!0611831522100</t>
  </si>
  <si>
    <t>BEGONI PRELUDE MIX</t>
  </si>
  <si>
    <t>001!0611831524100</t>
  </si>
  <si>
    <t>BEGONI PRELUDE PINK</t>
  </si>
  <si>
    <t>001!0611831525100</t>
  </si>
  <si>
    <t>BEGONI PRELUDE ROSE</t>
  </si>
  <si>
    <t>001!0611831526100</t>
  </si>
  <si>
    <t>BEGONI PRELUDE SCARLET</t>
  </si>
  <si>
    <t>001!0611831527100</t>
  </si>
  <si>
    <t>BEGONI PRELUDE WHITE</t>
  </si>
  <si>
    <t>001!0611831528100</t>
  </si>
  <si>
    <t>BEGONI REBECCA</t>
  </si>
  <si>
    <t>001!0611831539100</t>
  </si>
  <si>
    <t>BEGONI RED GENERIC</t>
  </si>
  <si>
    <t>001!0611831541100</t>
  </si>
  <si>
    <t>BEGONI RED GENERIC BILINGUAL</t>
  </si>
  <si>
    <t>001!0611831542100</t>
  </si>
  <si>
    <t>BEGONI REINA XL</t>
  </si>
  <si>
    <t>001!0611831544100</t>
  </si>
  <si>
    <t>BEGONI RENATE</t>
  </si>
  <si>
    <t>001!0611831545100</t>
  </si>
  <si>
    <t>BEGONI REVITA</t>
  </si>
  <si>
    <t>001!0611831546100</t>
  </si>
  <si>
    <t>BEGONI REX</t>
  </si>
  <si>
    <t>001!0611831547100</t>
  </si>
  <si>
    <t>BEGONI RHODEE PINK</t>
  </si>
  <si>
    <t>001!0611831549100</t>
  </si>
  <si>
    <t>BEGONI RICHMONDENSIS</t>
  </si>
  <si>
    <t>001!0611831550100</t>
  </si>
  <si>
    <t>BEGONI RISE UP ALOHA GOLD</t>
  </si>
  <si>
    <t>001!0611831551100</t>
  </si>
  <si>
    <t>001!0611860647050</t>
  </si>
  <si>
    <t>BEGONI RISE UP SERIES</t>
  </si>
  <si>
    <t>001!0611884048100</t>
  </si>
  <si>
    <t>BEGONI ROLINDE</t>
  </si>
  <si>
    <t>001!0611831563100</t>
  </si>
  <si>
    <t>BEGONI ROMANCE</t>
  </si>
  <si>
    <t>001!0611831564100</t>
  </si>
  <si>
    <t>BEGONI RSFORM PEACH</t>
  </si>
  <si>
    <t>001!0611831565100</t>
  </si>
  <si>
    <t>BEGONI RSFORM PINK</t>
  </si>
  <si>
    <t>001!0611831220100</t>
  </si>
  <si>
    <t>BEGONI RSFORM RED</t>
  </si>
  <si>
    <t>001!0611831221100</t>
  </si>
  <si>
    <t>BEGONI RSFORM ROSE</t>
  </si>
  <si>
    <t>001!0611831222100</t>
  </si>
  <si>
    <t>BEGONI RSFORM RUFFLED ROSE</t>
  </si>
  <si>
    <t>001!0611831224100</t>
  </si>
  <si>
    <t>BEGONI RSFORM SALMON</t>
  </si>
  <si>
    <t>001!0611831566100</t>
  </si>
  <si>
    <t>BEGONI RSFORM SCARLET ORANGE</t>
  </si>
  <si>
    <t>001!0611831567100</t>
  </si>
  <si>
    <t>BEGONI RSFORM WHITE</t>
  </si>
  <si>
    <t>001!0611831568100</t>
  </si>
  <si>
    <t>BEGONI RSFORM YELLOW</t>
  </si>
  <si>
    <t>001!0611831223100</t>
  </si>
  <si>
    <t>BEGONI RUFFLED APRICOT</t>
  </si>
  <si>
    <t>001!0611831569100</t>
  </si>
  <si>
    <t>BEGONI RUFFLED CORAL SALMON</t>
  </si>
  <si>
    <t>001!0611831570100</t>
  </si>
  <si>
    <t>BEGONI RUFFLED MANDARIN ORG</t>
  </si>
  <si>
    <t>001!0611831571100</t>
  </si>
  <si>
    <t>BEGONI RUFFLED PINK</t>
  </si>
  <si>
    <t>001!0611831572100</t>
  </si>
  <si>
    <t>BEGONI RUFFLED SCARLET RED</t>
  </si>
  <si>
    <t>001!0611831573100</t>
  </si>
  <si>
    <t>BEGONI RUFFLED WHITE</t>
  </si>
  <si>
    <t>001!0611831574100</t>
  </si>
  <si>
    <t>BEGONI RUFFLED YELLOW</t>
  </si>
  <si>
    <t>001!0611831575100</t>
  </si>
  <si>
    <t>BEGONI SALMON GENERIC</t>
  </si>
  <si>
    <t>001!0611831576100</t>
  </si>
  <si>
    <t>BEGONI SAN FRANCISCO</t>
  </si>
  <si>
    <t>001!0611831578100</t>
  </si>
  <si>
    <t>BEGONI SANDRINE</t>
  </si>
  <si>
    <t>001!0611831579100</t>
  </si>
  <si>
    <t>BEGONI SANTA BARBARA</t>
  </si>
  <si>
    <t>001!0611831580100</t>
  </si>
  <si>
    <t>BEGONI SANTA CRUZ SUNSET</t>
  </si>
  <si>
    <t>001!0611831581100</t>
  </si>
  <si>
    <t>BEGONI SCENTIMENT JUST PEACHY</t>
  </si>
  <si>
    <t>001!0611860648050</t>
  </si>
  <si>
    <t>BEGONI SCENTIMENT SUNRISE</t>
  </si>
  <si>
    <t>001!0611860649050</t>
  </si>
  <si>
    <t>BEGONI SENATOR DEEP ROSE</t>
  </si>
  <si>
    <t>001!0611831582100</t>
  </si>
  <si>
    <t>BEGONI SENATOR IQ DEEP ROSE</t>
  </si>
  <si>
    <t>001!0611831583100</t>
  </si>
  <si>
    <t>BEGONI SENATOR IQ MIX</t>
  </si>
  <si>
    <t>001!0611831584100</t>
  </si>
  <si>
    <t>BEGONI SENATOR IQ PINK</t>
  </si>
  <si>
    <t>001!0611831585100</t>
  </si>
  <si>
    <t>BEGONI SENATOR IQ ROSE</t>
  </si>
  <si>
    <t>001!0611831586100</t>
  </si>
  <si>
    <t>BEGONI SENATOR IQ ROSE BIC</t>
  </si>
  <si>
    <t>001!0611831587100</t>
  </si>
  <si>
    <t>BEGONI SENATOR IQ SCARLET</t>
  </si>
  <si>
    <t>001!0611831588100</t>
  </si>
  <si>
    <t>BEGONI SENATOR IQ WHITE</t>
  </si>
  <si>
    <t>001!0611831589100</t>
  </si>
  <si>
    <t>BEGONI SENATOR MIX</t>
  </si>
  <si>
    <t>001!0611831590100</t>
  </si>
  <si>
    <t>BEGONI SENATOR PINK</t>
  </si>
  <si>
    <t>001!0611831591100</t>
  </si>
  <si>
    <t>BEGONI SENATOR ROSE</t>
  </si>
  <si>
    <t>001!0611831592100</t>
  </si>
  <si>
    <t>BEGONI SENATOR SCARLET</t>
  </si>
  <si>
    <t>001!0611831593100</t>
  </si>
  <si>
    <t>BEGONI SENATOR WHITE</t>
  </si>
  <si>
    <t>001!0611831594100</t>
  </si>
  <si>
    <t>BEGONI SHADOW KING BLACK CHRY</t>
  </si>
  <si>
    <t>001!0611831595100</t>
  </si>
  <si>
    <t>BEGONI SHADOW KING CHERRY MINT</t>
  </si>
  <si>
    <t>001!0611831596100</t>
  </si>
  <si>
    <t>BEGONI SHADOW KING LAVA RED</t>
  </si>
  <si>
    <t>001!0611831597100</t>
  </si>
  <si>
    <t>BEGONI SHADOW KING ROSE FROST</t>
  </si>
  <si>
    <t>001!0611831598100</t>
  </si>
  <si>
    <t>BEGONI SHADOW KING SERIES</t>
  </si>
  <si>
    <t>001!0611884049100</t>
  </si>
  <si>
    <t>BEGONI SHADOW KING WINTERGREEN</t>
  </si>
  <si>
    <t>001!0611831599100</t>
  </si>
  <si>
    <t>BEGONI SOLENIA APRICOT</t>
  </si>
  <si>
    <t>001!0611860650050</t>
  </si>
  <si>
    <t>BEGONI SOLENIA CHERRY</t>
  </si>
  <si>
    <t>001!0611860651050</t>
  </si>
  <si>
    <t>BEGONI SOLENIA CHOCOLATE ORNG</t>
  </si>
  <si>
    <t>001!0611831605100</t>
  </si>
  <si>
    <t>BEGONI SOLENIA DARK PINK</t>
  </si>
  <si>
    <t>001!0611860652050</t>
  </si>
  <si>
    <t>BEGONI SOLENIA DEEP ORANGE</t>
  </si>
  <si>
    <t>001!0611860653050</t>
  </si>
  <si>
    <t>BEGONI SOLENIA DUSTY ROSE</t>
  </si>
  <si>
    <t>001!0611860654050</t>
  </si>
  <si>
    <t>BEGONI SOLENIA LIGHT PINK</t>
  </si>
  <si>
    <t>001!0611860655050</t>
  </si>
  <si>
    <t>BEGONI SOLENIA LIGHT YELLOW</t>
  </si>
  <si>
    <t>001!0611860656050</t>
  </si>
  <si>
    <t>BEGONI SOLENIA ORANGE</t>
  </si>
  <si>
    <t>001!0611860657050</t>
  </si>
  <si>
    <t>BEGONI SOLENIA RED</t>
  </si>
  <si>
    <t>001!0611860658050</t>
  </si>
  <si>
    <t>BEGONI SOLENIA RED ORANGE</t>
  </si>
  <si>
    <t>001!0611831607100</t>
  </si>
  <si>
    <t>001!0611860659050</t>
  </si>
  <si>
    <t>BEGONI SOLENIA RED VELVET</t>
  </si>
  <si>
    <t>001!0611860660050</t>
  </si>
  <si>
    <t>BEGONI SOLENIA SALMON CORAL</t>
  </si>
  <si>
    <t>001!0611860661050</t>
  </si>
  <si>
    <t>BEGONI SOLENIA SCARLET</t>
  </si>
  <si>
    <t>001!0611831608100</t>
  </si>
  <si>
    <t>BEGONI SOLENIA YELLOW</t>
  </si>
  <si>
    <t>001!0611831609100</t>
  </si>
  <si>
    <t>BEGONI SPRING FLING BUTTERCUP</t>
  </si>
  <si>
    <t>001!0611860662050</t>
  </si>
  <si>
    <t>BEGONI SPRING FLING PINK</t>
  </si>
  <si>
    <t>001!0611860663050</t>
  </si>
  <si>
    <t>BEGONI SPRINT MIX</t>
  </si>
  <si>
    <t>001!0611831612100</t>
  </si>
  <si>
    <t>BEGONI SPRINT PLUS LIPSTICK</t>
  </si>
  <si>
    <t>001!0611831615100</t>
  </si>
  <si>
    <t>BEGONI SPRINT PLUS MAXI MIX</t>
  </si>
  <si>
    <t>001!0611831616100</t>
  </si>
  <si>
    <t>BEGONI SPRINT PLUS ORANGE</t>
  </si>
  <si>
    <t>001!0611831617100</t>
  </si>
  <si>
    <t>BEGONI SPRINT PLUS PINK</t>
  </si>
  <si>
    <t>001!0611831619100</t>
  </si>
  <si>
    <t>BEGONI SPRINT PLUS RED</t>
  </si>
  <si>
    <t>001!0611831620100</t>
  </si>
  <si>
    <t>BEGONI SPRINT PLUS ROSE</t>
  </si>
  <si>
    <t>001!0611831621100</t>
  </si>
  <si>
    <t>BEGONI SPRINT PLUS WHITE</t>
  </si>
  <si>
    <t>001!0611831622100</t>
  </si>
  <si>
    <t>BEGONI STONEHEDGE LT PINK BL</t>
  </si>
  <si>
    <t>001!0611884050100</t>
  </si>
  <si>
    <t>BEGONI STONEHEDGE ROSE BL</t>
  </si>
  <si>
    <t>001!0611884051100</t>
  </si>
  <si>
    <t>BEGONI SUMMERWINGS SERIES</t>
  </si>
  <si>
    <t>001!0611831636100</t>
  </si>
  <si>
    <t>BEGONI SUN CITIES MIX</t>
  </si>
  <si>
    <t>001!0611831638100</t>
  </si>
  <si>
    <t>BEGONI SUN DANCER APRICOT</t>
  </si>
  <si>
    <t>001!0611831640100</t>
  </si>
  <si>
    <t>BEGONI SUN DANCER PINK</t>
  </si>
  <si>
    <t>001!0611831641100</t>
  </si>
  <si>
    <t>BEGONI SUN DANCER RED</t>
  </si>
  <si>
    <t>001!0611831642100</t>
  </si>
  <si>
    <t>BEGONI SUN DANCER SALMON</t>
  </si>
  <si>
    <t>001!0611831643100</t>
  </si>
  <si>
    <t>BEGONI SUN DANCER SCARLET ORG</t>
  </si>
  <si>
    <t>001!0611831644100</t>
  </si>
  <si>
    <t>BEGONI SUN DANCER WHITE</t>
  </si>
  <si>
    <t>001!0611831645100</t>
  </si>
  <si>
    <t>BEGONI SUN DANCER WHT PK PIC</t>
  </si>
  <si>
    <t>001!0611831639100</t>
  </si>
  <si>
    <t>BEGONI SUN DANCER YELL RD PICO</t>
  </si>
  <si>
    <t>001!0611831604100</t>
  </si>
  <si>
    <t>BEGONI SUN DANCER YELLOW</t>
  </si>
  <si>
    <t>001!0611831646100</t>
  </si>
  <si>
    <t>BEGONI SUPER COOL BLUSH BIC</t>
  </si>
  <si>
    <t>001!0611831647100</t>
  </si>
  <si>
    <t>BEGONI SUPER COOL LIPSTICK</t>
  </si>
  <si>
    <t>001!0611884052100</t>
  </si>
  <si>
    <t>BEGONI SUPER COOL MIX</t>
  </si>
  <si>
    <t>001!0611831648100</t>
  </si>
  <si>
    <t>BEGONI SUPER COOL PINK</t>
  </si>
  <si>
    <t>001!0611831649100</t>
  </si>
  <si>
    <t>BEGONI SUPER COOL RED</t>
  </si>
  <si>
    <t>001!0611831650100</t>
  </si>
  <si>
    <t>BEGONI SUPER COOL WHITE</t>
  </si>
  <si>
    <t>001!0611831651100</t>
  </si>
  <si>
    <t>BEGONI SUPER OLYMPIA BICOLOR</t>
  </si>
  <si>
    <t>001!0611831652100</t>
  </si>
  <si>
    <t>BEGONI SUPER OLYMPIA MIX</t>
  </si>
  <si>
    <t>001!0611831653100</t>
  </si>
  <si>
    <t>BEGONI SUPER OLYMPIA PINK</t>
  </si>
  <si>
    <t>001!0611831654100</t>
  </si>
  <si>
    <t>BEGONI SUPER OLYMPIA RED</t>
  </si>
  <si>
    <t>001!0611831655100</t>
  </si>
  <si>
    <t>BEGONI SUPER OLYMPIA ROSE</t>
  </si>
  <si>
    <t>001!0611831656100</t>
  </si>
  <si>
    <t>BEGONI SUPER OLYMPIA WHITE</t>
  </si>
  <si>
    <t>001!0611831657100</t>
  </si>
  <si>
    <t>BEGONI SWEETHEART MIX</t>
  </si>
  <si>
    <t>001!0611831658100</t>
  </si>
  <si>
    <t>BEGONI SWEETHEART RED</t>
  </si>
  <si>
    <t>001!0611831660100</t>
  </si>
  <si>
    <t>BEGONI SWEETHEART ROSE</t>
  </si>
  <si>
    <t>001!0611831661100</t>
  </si>
  <si>
    <t>BEGONI SWEETHEART WHITE</t>
  </si>
  <si>
    <t>001!0611831662100</t>
  </si>
  <si>
    <t>BEGONI TOPHAT GL ROSE BIC</t>
  </si>
  <si>
    <t>001!0611831664100</t>
  </si>
  <si>
    <t>BEGONI TOPHAT PINK</t>
  </si>
  <si>
    <t>001!0611831663100</t>
  </si>
  <si>
    <t>BEGONI TOPHAT SCARLET</t>
  </si>
  <si>
    <t>001!0611831665100</t>
  </si>
  <si>
    <t>BEGONI TOPHAT WHITE</t>
  </si>
  <si>
    <t>001!0611831666100</t>
  </si>
  <si>
    <t>BEGONI TOPSPIN MIX</t>
  </si>
  <si>
    <t>001!0611831667100</t>
  </si>
  <si>
    <t>BEGONI TOPSPIN PINK</t>
  </si>
  <si>
    <t>001!0611831668100</t>
  </si>
  <si>
    <t>BEGONI TOPSPIN ROSE</t>
  </si>
  <si>
    <t>001!0611831669100</t>
  </si>
  <si>
    <t>BEGONI TOPSPIN SCARLET</t>
  </si>
  <si>
    <t>001!0611831670100</t>
  </si>
  <si>
    <t>BEGONI TOPSPIN WHITE</t>
  </si>
  <si>
    <t>001!0611831671100</t>
  </si>
  <si>
    <t>BEGONI TYPE GENERIC</t>
  </si>
  <si>
    <t>001!0611831672100</t>
  </si>
  <si>
    <t>BEGONI UNBELIEVABLE MISS MNTRL</t>
  </si>
  <si>
    <t>001!0611860664050</t>
  </si>
  <si>
    <t>BEGONI UNBELIEVABLE RED</t>
  </si>
  <si>
    <t>001!0611860665050</t>
  </si>
  <si>
    <t>BEGONI UNSTOPPABLE UPRT FIRE</t>
  </si>
  <si>
    <t>001!0611860666050</t>
  </si>
  <si>
    <t>BEGONI VALENTINE MIX</t>
  </si>
  <si>
    <t>001!0611831673100</t>
  </si>
  <si>
    <t>BEGONI VALENTINE PINK CANDY</t>
  </si>
  <si>
    <t>001!0611831674100</t>
  </si>
  <si>
    <t>BEGONI VALENTINE RED HEARTS</t>
  </si>
  <si>
    <t>001!0611831675100</t>
  </si>
  <si>
    <t>BEGONI VALENTINE RED RHINE</t>
  </si>
  <si>
    <t>001!0611860667050</t>
  </si>
  <si>
    <t>BEGONI VALENTINE ROSE</t>
  </si>
  <si>
    <t>001!0611831676100</t>
  </si>
  <si>
    <t>BEGONI VALENTINE WHITE LACE</t>
  </si>
  <si>
    <t>001!0611831677100</t>
  </si>
  <si>
    <t>BEGONI VALENTINO PINK</t>
  </si>
  <si>
    <t>001!0611831678100</t>
  </si>
  <si>
    <t>BEGONI VALENTINO WHITE</t>
  </si>
  <si>
    <t>001!0611831679100</t>
  </si>
  <si>
    <t>BEGONI VERMILLION HOT PINK</t>
  </si>
  <si>
    <t>001!0611831682100</t>
  </si>
  <si>
    <t>BEGONI VERMILLION RED</t>
  </si>
  <si>
    <t>001!0611831683100</t>
  </si>
  <si>
    <t>BEGONI VERONICA</t>
  </si>
  <si>
    <t>001!0611831684100</t>
  </si>
  <si>
    <t>BEGONI VERONICA RHINE</t>
  </si>
  <si>
    <t>001!0611860668050</t>
  </si>
  <si>
    <t>BEGONI VIKING CORAL FLM ON BRZ</t>
  </si>
  <si>
    <t>001!0611831686100</t>
  </si>
  <si>
    <t>BEGONI VIKING CORAL FLM ON GRN</t>
  </si>
  <si>
    <t>001!0611831685100</t>
  </si>
  <si>
    <t>BEGONI VIKING EXPLORER RED/GRN</t>
  </si>
  <si>
    <t>001!0611831689100</t>
  </si>
  <si>
    <t>BEGONI VIKING PINK ON GREEN</t>
  </si>
  <si>
    <t>001!0611831687100</t>
  </si>
  <si>
    <t>BEGONI VIKING PK ON CHOCOLATE</t>
  </si>
  <si>
    <t>001!0611831688100</t>
  </si>
  <si>
    <t>BEGONI VIKING RED ON BRONZE</t>
  </si>
  <si>
    <t>001!0611831690100</t>
  </si>
  <si>
    <t>BEGONI VIKING RED ON CHOCOLATE</t>
  </si>
  <si>
    <t>001!0611831691100</t>
  </si>
  <si>
    <t>BEGONI VIKING RED ON GREEN</t>
  </si>
  <si>
    <t>001!0611831692100</t>
  </si>
  <si>
    <t>BEGONI VIKING ROSE ON BRONZE</t>
  </si>
  <si>
    <t>001!0611831693100</t>
  </si>
  <si>
    <t>BEGONI VIKING ROSE ON GREEN</t>
  </si>
  <si>
    <t>001!0611831694100</t>
  </si>
  <si>
    <t>BEGONI VIKING XL PINK ON GREEN</t>
  </si>
  <si>
    <t>001!0611831695100</t>
  </si>
  <si>
    <t>BEGONI VIKING XL RED ON CHOC</t>
  </si>
  <si>
    <t>001!0611831696100</t>
  </si>
  <si>
    <t>BEGONI VIKING XL RED ON GREEN</t>
  </si>
  <si>
    <t>001!0611831697100</t>
  </si>
  <si>
    <t>BEGONI VIKING XL ROSE ON GREEN</t>
  </si>
  <si>
    <t>001!0611831698100</t>
  </si>
  <si>
    <t>BEGONI VOLUMIA PINK</t>
  </si>
  <si>
    <t>001!0611831699100</t>
  </si>
  <si>
    <t>BEGONI VOLUMIA ROSE BICOLOR</t>
  </si>
  <si>
    <t>001!0611831700100</t>
  </si>
  <si>
    <t>BEGONI VOLUMIA SCARLET</t>
  </si>
  <si>
    <t>001!0611831701100</t>
  </si>
  <si>
    <t>BEGONI VOLUMIA WHITE</t>
  </si>
  <si>
    <t>001!0611831702100</t>
  </si>
  <si>
    <t>BEGONI WATERFALLS ANGL CHMPGN</t>
  </si>
  <si>
    <t>001!0611831703100</t>
  </si>
  <si>
    <t>BEGONI WATERFALLS ANGL SFT ORG</t>
  </si>
  <si>
    <t>001!0611831704100</t>
  </si>
  <si>
    <t>BEGONI WATERFALLS ANGL SFT PK</t>
  </si>
  <si>
    <t>001!0611831705100</t>
  </si>
  <si>
    <t>BEGONI WATERFALLS BIC 22</t>
  </si>
  <si>
    <t>001!0611856839100</t>
  </si>
  <si>
    <t>BEGONI WATERFALLS ENCANTO ORG</t>
  </si>
  <si>
    <t>001!0611831706100</t>
  </si>
  <si>
    <t>TAG Begonia Waterfalls Encanto Orangeá 100/100 Pixie Tag</t>
  </si>
  <si>
    <t>BEGONI WATERFALLS ENCANTO PINK</t>
  </si>
  <si>
    <t>001!0611831707100</t>
  </si>
  <si>
    <t>BEGONI WATERFALLS ENCANTO RED</t>
  </si>
  <si>
    <t>001!0611831708100</t>
  </si>
  <si>
    <t>BEGONI WATERFALLS ENCANTO WH</t>
  </si>
  <si>
    <t>001!0611831709100</t>
  </si>
  <si>
    <t>BEGONI WAX BEGONIA GENERIC</t>
  </si>
  <si>
    <t>001!0611831710100</t>
  </si>
  <si>
    <t>BEGONI WHITE GENERIC</t>
  </si>
  <si>
    <t>001!0611831712100</t>
  </si>
  <si>
    <t>BEGONI WHITE GENERIC BILINGUAL</t>
  </si>
  <si>
    <t>001!0611831711100</t>
  </si>
  <si>
    <t>BEGONI WHOPPER BL RED</t>
  </si>
  <si>
    <t>001!0611831713100</t>
  </si>
  <si>
    <t>BEGONI WHOPPER BL ROSE</t>
  </si>
  <si>
    <t>001!0611831714100</t>
  </si>
  <si>
    <t>BEGONI WHOPPER GL RED</t>
  </si>
  <si>
    <t>001!0611831715100</t>
  </si>
  <si>
    <t>BEGONI WHOPPER GL ROSE</t>
  </si>
  <si>
    <t>001!0611831716100</t>
  </si>
  <si>
    <t>BEGONI YELLOW GENERIC</t>
  </si>
  <si>
    <t>001!0611831720100</t>
  </si>
  <si>
    <t>BEGONI YELLOW STONE</t>
  </si>
  <si>
    <t>001!0611831721100</t>
  </si>
  <si>
    <t>BELAMC BLKBRY LILY GNRC CHNNSI</t>
  </si>
  <si>
    <t>001!0611831724025</t>
  </si>
  <si>
    <t>BELLIS BAM BAM MIX</t>
  </si>
  <si>
    <t>001!0611831725025</t>
  </si>
  <si>
    <t>BELLIS BAM BAM RED</t>
  </si>
  <si>
    <t>001!0611831726025</t>
  </si>
  <si>
    <t>BELLIS BAM BAM ROSE</t>
  </si>
  <si>
    <t>001!0611831727025</t>
  </si>
  <si>
    <t>BELLIS BELLADAISY SERIES</t>
  </si>
  <si>
    <t>001!0611831728025</t>
  </si>
  <si>
    <t>BELLIS BELLISSIMA MIX</t>
  </si>
  <si>
    <t>001!0611831729025</t>
  </si>
  <si>
    <t>BELLIS BELLISSIMA RED</t>
  </si>
  <si>
    <t>001!0611831730025</t>
  </si>
  <si>
    <t>BELLIS BELLISSIMA ROSE</t>
  </si>
  <si>
    <t>001!0611831731025</t>
  </si>
  <si>
    <t>BELLIS BELLISSIMA WHITE</t>
  </si>
  <si>
    <t>001!0611831733025</t>
  </si>
  <si>
    <t>BELLIS ENGLISH DAISY GENERIC</t>
  </si>
  <si>
    <t>001!0611831734100</t>
  </si>
  <si>
    <t>001!0611831735025</t>
  </si>
  <si>
    <t>BELLIS GALAXY MIX</t>
  </si>
  <si>
    <t>001!0611831736100</t>
  </si>
  <si>
    <t>001!0611831737025</t>
  </si>
  <si>
    <t>BELLIS HABANERA MIX</t>
  </si>
  <si>
    <t>001!0611831740100</t>
  </si>
  <si>
    <t>001!0611831741025</t>
  </si>
  <si>
    <t>BELLIS POMPONETTE MIX</t>
  </si>
  <si>
    <t>001!0611831742025</t>
  </si>
  <si>
    <t>BELLIS SPEEDSTAR SERIES</t>
  </si>
  <si>
    <t>001!0611831743025</t>
  </si>
  <si>
    <t>BELLIS TASSO MIX</t>
  </si>
  <si>
    <t>001!0611831744025</t>
  </si>
  <si>
    <t>BELLIS TASSO STRWBRS N CRM</t>
  </si>
  <si>
    <t>001!0611831745025</t>
  </si>
  <si>
    <t>BERGEN HEARTLEAF GENERIC</t>
  </si>
  <si>
    <t>001!0611831746025</t>
  </si>
  <si>
    <t>BERGEN RED BEAUTY</t>
  </si>
  <si>
    <t>001!0611831747025</t>
  </si>
  <si>
    <t>BERGEN SHOESHINE ROSE</t>
  </si>
  <si>
    <t>001!0611831748025</t>
  </si>
  <si>
    <t>BERGEN WINTERGLUT</t>
  </si>
  <si>
    <t>001!0611831749025</t>
  </si>
  <si>
    <t>BETA BRIGHT LIGHTS</t>
  </si>
  <si>
    <t>001!0611884053025</t>
  </si>
  <si>
    <t>BIDENS BEE SERIES</t>
  </si>
  <si>
    <t>001!0611831763100</t>
  </si>
  <si>
    <t>BIDENS BEE YELLOW CROWN</t>
  </si>
  <si>
    <t>001!0611831766100</t>
  </si>
  <si>
    <t>BIDENS BIDY BLAZE</t>
  </si>
  <si>
    <t>001!0611860669050</t>
  </si>
  <si>
    <t>BIDENS BIDY BOOM BONFIRE</t>
  </si>
  <si>
    <t>001!0611860670050</t>
  </si>
  <si>
    <t>BIDENS BIDY BOOM RED</t>
  </si>
  <si>
    <t>001!0611860671050</t>
  </si>
  <si>
    <t>BIDENS BIDY GONZALES</t>
  </si>
  <si>
    <t>001!0611860672050</t>
  </si>
  <si>
    <t>BIDENS BIDY GONZALES BIG</t>
  </si>
  <si>
    <t>001!0611860673050</t>
  </si>
  <si>
    <t>BIDENS BIDY GONZALES TOP</t>
  </si>
  <si>
    <t>001!0611860674050</t>
  </si>
  <si>
    <t>BIDENS BIDY GONZALES TRAILING</t>
  </si>
  <si>
    <t>001!0611860675050</t>
  </si>
  <si>
    <t>BIDENS BIDY WILDFIRE</t>
  </si>
  <si>
    <t>001!0611860676050</t>
  </si>
  <si>
    <t>BIDENS BLAZING EMBERS</t>
  </si>
  <si>
    <t>001!0611831768100</t>
  </si>
  <si>
    <t>BIDENS BLAZING FIRE</t>
  </si>
  <si>
    <t>001!0611831769100</t>
  </si>
  <si>
    <t>BIDENS BLAZING GLORY</t>
  </si>
  <si>
    <t>001!0611831770100</t>
  </si>
  <si>
    <t>BIDENS BLAZING STAR</t>
  </si>
  <si>
    <t>001!0611884054100</t>
  </si>
  <si>
    <t>BIDENS BRAZEN ETERNAL FLAME</t>
  </si>
  <si>
    <t>001!0611860677050</t>
  </si>
  <si>
    <t>BIDENS BRAZEN GLOWING SKY</t>
  </si>
  <si>
    <t>001!0611884055050</t>
  </si>
  <si>
    <t>BIDENS BRAZEN IMPERIAL LUCK</t>
  </si>
  <si>
    <t>001!0611860678050</t>
  </si>
  <si>
    <t>BIDENS BRAZEN RISING SUN</t>
  </si>
  <si>
    <t>001!0611860679050</t>
  </si>
  <si>
    <t>BIDENS BRAZEN SAMURAI</t>
  </si>
  <si>
    <t>001!0611860680050</t>
  </si>
  <si>
    <t>BIDENS DOUBLOON GOLD</t>
  </si>
  <si>
    <t>001!0611856840100</t>
  </si>
  <si>
    <t>BIDENS DOUBLOON RED BIC</t>
  </si>
  <si>
    <t>001!0611856841100</t>
  </si>
  <si>
    <t>BIDENS GIANT DOUBLE</t>
  </si>
  <si>
    <t>001!0611831771100</t>
  </si>
  <si>
    <t>BIDENS GIANT SUN FRANCISCO</t>
  </si>
  <si>
    <t>001!0611831773100</t>
  </si>
  <si>
    <t>BIDENS GIANT SUN LOUIS</t>
  </si>
  <si>
    <t>001!0611831774100</t>
  </si>
  <si>
    <t>BIDENS GIANT WHITE</t>
  </si>
  <si>
    <t>001!0611831775100</t>
  </si>
  <si>
    <t>BIDENS GOLDEN EMPIRE</t>
  </si>
  <si>
    <t>001!0611831776100</t>
  </si>
  <si>
    <t>BIDENS MEGA CHARM</t>
  </si>
  <si>
    <t>001!0611831777100</t>
  </si>
  <si>
    <t>BIDENS MEXICAN GOLD</t>
  </si>
  <si>
    <t>001!0611860681050</t>
  </si>
  <si>
    <t>BIDENS MEXICAN GOLD COMPACT</t>
  </si>
  <si>
    <t>001!0611860682050</t>
  </si>
  <si>
    <t>BIDENS MEXICAN GOLD JUMBO</t>
  </si>
  <si>
    <t>001!0611860683050</t>
  </si>
  <si>
    <t>BIDENS MEXICAN GOLD SEMI DBL</t>
  </si>
  <si>
    <t>001!0611860684050</t>
  </si>
  <si>
    <t>BIDENS POPSTAR</t>
  </si>
  <si>
    <t>001!0611831778100</t>
  </si>
  <si>
    <t>BIDENS PRETTY IN PINK</t>
  </si>
  <si>
    <t>001!0611831779100</t>
  </si>
  <si>
    <t>BIDENS RED GENERIC</t>
  </si>
  <si>
    <t>001!0611831780100</t>
  </si>
  <si>
    <t>BIDENS STELLAR BLANCO</t>
  </si>
  <si>
    <t>001!0611860685050</t>
  </si>
  <si>
    <t>BIDENS STELLAR ORANGE RING</t>
  </si>
  <si>
    <t>001!0611860686050</t>
  </si>
  <si>
    <t>BIDENS STELLAR ORANGE STAR</t>
  </si>
  <si>
    <t>001!0611860687050</t>
  </si>
  <si>
    <t>BIDENS STELLAR RED RING</t>
  </si>
  <si>
    <t>001!0611860688050</t>
  </si>
  <si>
    <t>BIDENS STELLAR SERIES</t>
  </si>
  <si>
    <t>001!0611831781100</t>
  </si>
  <si>
    <t>BIDENS SUNSHINE DOUBLE</t>
  </si>
  <si>
    <t>001!0611856842100</t>
  </si>
  <si>
    <t>BIDENS TICKSEED</t>
  </si>
  <si>
    <t>001!0611831767100</t>
  </si>
  <si>
    <t>BIDENS WHITE DELIGHT</t>
  </si>
  <si>
    <t>001!0611831782100</t>
  </si>
  <si>
    <t>BIDENS YELLOW CHARM</t>
  </si>
  <si>
    <t>001!0611831783100</t>
  </si>
  <si>
    <t>BIDENS YELLOW CROWN</t>
  </si>
  <si>
    <t>001!0611831784100</t>
  </si>
  <si>
    <t>BIDENS YELLOW GENERIC</t>
  </si>
  <si>
    <t>001!0611831785100</t>
  </si>
  <si>
    <t>BIDENS YELLOW SPLASH</t>
  </si>
  <si>
    <t>001!0611831786100</t>
  </si>
  <si>
    <t>BIDENS YELLOW SUNSHINE</t>
  </si>
  <si>
    <t>001!0611831787100</t>
  </si>
  <si>
    <t>BLANK TAGS HA HANG N TAG</t>
  </si>
  <si>
    <t>001!0611839511100</t>
  </si>
  <si>
    <t>BLANK TAGS PIXIE</t>
  </si>
  <si>
    <t>001!0611839512100</t>
  </si>
  <si>
    <t>BLANK TAGS PORTRAIT</t>
  </si>
  <si>
    <t>001!0611839513025</t>
  </si>
  <si>
    <t>BLUEBE BLUEBERRY GENERIC</t>
  </si>
  <si>
    <t>001!0611839897025</t>
  </si>
  <si>
    <t>BONSAI GENERIC</t>
  </si>
  <si>
    <t>001!0611831788100</t>
  </si>
  <si>
    <t>BORAGE BORAGE</t>
  </si>
  <si>
    <t>001!0611831789100</t>
  </si>
  <si>
    <t>BORAGO BORAGE BLUE</t>
  </si>
  <si>
    <t>001!0611884056025</t>
  </si>
  <si>
    <t>BOUGAI GENERIC</t>
  </si>
  <si>
    <t>001!0611831790100</t>
  </si>
  <si>
    <t>001!0611831791100</t>
  </si>
  <si>
    <t>BOUGAI GENERIC LG0850</t>
  </si>
  <si>
    <t>001!0611856843100</t>
  </si>
  <si>
    <t>BRACHY BLUE GENERIC</t>
  </si>
  <si>
    <t>001!0611831794100</t>
  </si>
  <si>
    <t>BRACHY BRASCO VIOLET</t>
  </si>
  <si>
    <t>001!0611831795100</t>
  </si>
  <si>
    <t>BRACHY FRESCO CANDY</t>
  </si>
  <si>
    <t>001!0611831796100</t>
  </si>
  <si>
    <t>BRACHY FRESCO PURPLE</t>
  </si>
  <si>
    <t>001!0611831797100</t>
  </si>
  <si>
    <t>BRACHY MAUVE DELIGHT</t>
  </si>
  <si>
    <t>001!0611831799100</t>
  </si>
  <si>
    <t>001!0611860689050</t>
  </si>
  <si>
    <t>BRACHY SWAN RIVER DAISY GNRC</t>
  </si>
  <si>
    <t>001!0611831800100</t>
  </si>
  <si>
    <t>BRACTE BRIGHT BIKINIS MIX</t>
  </si>
  <si>
    <t>001!0611831801100</t>
  </si>
  <si>
    <t>BRACTE COTTAGE BRONZE</t>
  </si>
  <si>
    <t>001!0611860690050</t>
  </si>
  <si>
    <t>BRACTE COTTAGE ICE</t>
  </si>
  <si>
    <t>001!0611860691050</t>
  </si>
  <si>
    <t>BRACTE COTTAGE LEMON</t>
  </si>
  <si>
    <t>001!0611860692050</t>
  </si>
  <si>
    <t>BRACTE COTTAGE ORANGE</t>
  </si>
  <si>
    <t>001!0611860693050</t>
  </si>
  <si>
    <t>BRACTE COTTAGE PINK</t>
  </si>
  <si>
    <t>001!0611860695050</t>
  </si>
  <si>
    <t>BRACTE COTTAGE SERIES</t>
  </si>
  <si>
    <t>001!0611831802100</t>
  </si>
  <si>
    <t>BRACTE COTTAGE SPRING MIX</t>
  </si>
  <si>
    <t>001!0611860696050</t>
  </si>
  <si>
    <t>BRACTE STRAWBURST YELLOW</t>
  </si>
  <si>
    <t>001!0611860697050</t>
  </si>
  <si>
    <t>BRACTE STRAWFLOWER GENERIC</t>
  </si>
  <si>
    <t>001!0611831805100</t>
  </si>
  <si>
    <t>001!0611831806100</t>
  </si>
  <si>
    <t>BRAZEN HAPPY SUN</t>
  </si>
  <si>
    <t>001!0611860698050</t>
  </si>
  <si>
    <t>BRAZEN RED FLARE</t>
  </si>
  <si>
    <t>001!0611860699050</t>
  </si>
  <si>
    <t>BROCCO ARCADIA</t>
  </si>
  <si>
    <t>001!0611831810100</t>
  </si>
  <si>
    <t>BROCCO ARTWORK</t>
  </si>
  <si>
    <t>001!0611831811100</t>
  </si>
  <si>
    <t>BROCCO BROCCOLI</t>
  </si>
  <si>
    <t>001!0611831821100</t>
  </si>
  <si>
    <t>BROCCO CASTLE DOME</t>
  </si>
  <si>
    <t>001!0611831827100</t>
  </si>
  <si>
    <t>BROCCO DESTINY</t>
  </si>
  <si>
    <t>001!0611831848100</t>
  </si>
  <si>
    <t>BROCCO EARLY DIVIDEND</t>
  </si>
  <si>
    <t>001!0611831854100</t>
  </si>
  <si>
    <t>BROCCO EMERALD JEWEL</t>
  </si>
  <si>
    <t>001!0611831862100</t>
  </si>
  <si>
    <t>BROCCO EVEREST</t>
  </si>
  <si>
    <t>001!0611831865100</t>
  </si>
  <si>
    <t>BROCCO GENERIC</t>
  </si>
  <si>
    <t>001!0611831819100</t>
  </si>
  <si>
    <t>001!0611831820200</t>
  </si>
  <si>
    <t>BROCCO GREEN COMET</t>
  </si>
  <si>
    <t>001!0611831882100</t>
  </si>
  <si>
    <t>BROCCO GREEN GOLIATH</t>
  </si>
  <si>
    <t>001!0611831883100</t>
  </si>
  <si>
    <t>BROCCO GREEN MAGIC</t>
  </si>
  <si>
    <t>001!0611831884100</t>
  </si>
  <si>
    <t>BROCCO IMPERIAL</t>
  </si>
  <si>
    <t>001!0611831891100</t>
  </si>
  <si>
    <t>BROCCO ITALIAN GREEN SPROUTING</t>
  </si>
  <si>
    <t>001!0611831892100</t>
  </si>
  <si>
    <t>BROCCO PACKMAN</t>
  </si>
  <si>
    <t>001!0611831923100</t>
  </si>
  <si>
    <t>BROCCO PREMIUM CROP</t>
  </si>
  <si>
    <t>001!0611831934100</t>
  </si>
  <si>
    <t>001!0611831935200</t>
  </si>
  <si>
    <t>BROCCO WALTHAM 29</t>
  </si>
  <si>
    <t>001!0611831982100</t>
  </si>
  <si>
    <t>BROMEL GENERIC</t>
  </si>
  <si>
    <t>001!0611831991100</t>
  </si>
  <si>
    <t>BROWAL BLUE BELLS</t>
  </si>
  <si>
    <t>001!0611831992100</t>
  </si>
  <si>
    <t>BROWAL GENERIC</t>
  </si>
  <si>
    <t>001!0611831993100</t>
  </si>
  <si>
    <t>BRUNNE FROSTBITE</t>
  </si>
  <si>
    <t>001!0611856844025</t>
  </si>
  <si>
    <t>BRUNNE FROSTLINE</t>
  </si>
  <si>
    <t>001!0611884057025</t>
  </si>
  <si>
    <t>BRUNNE JACK FROST</t>
  </si>
  <si>
    <t>001!0611831996025</t>
  </si>
  <si>
    <t>BRUNNE MACROPHYLLA</t>
  </si>
  <si>
    <t>001!0611831997025</t>
  </si>
  <si>
    <t>BRUNNE PERMAFROST</t>
  </si>
  <si>
    <t>001!0611884058025</t>
  </si>
  <si>
    <t>BRUSSE SPROUTS GUSTUS</t>
  </si>
  <si>
    <t>001!0611831886100</t>
  </si>
  <si>
    <t>BRUSSE SPROUTS HESTIA</t>
  </si>
  <si>
    <t>001!0611831889100</t>
  </si>
  <si>
    <t>BRUSSE SPROUTS JADE CROSS</t>
  </si>
  <si>
    <t>001!0611831893100</t>
  </si>
  <si>
    <t>BRUSSE SPROUTS JADE CROSS E</t>
  </si>
  <si>
    <t>001!0611831894100</t>
  </si>
  <si>
    <t>BRUSSE SPROUTS LONG ISLAND</t>
  </si>
  <si>
    <t>001!0611831906100</t>
  </si>
  <si>
    <t>BRUSSE SPROUTS REDARLING</t>
  </si>
  <si>
    <t>001!0611831946100</t>
  </si>
  <si>
    <t>BUDDLE BLACK KNIGHT</t>
  </si>
  <si>
    <t>001!0611831998025</t>
  </si>
  <si>
    <t>001!0611860700050</t>
  </si>
  <si>
    <t>BUDDLE BUTTERFLY BUSH GENERIC</t>
  </si>
  <si>
    <t>001!0611831999100</t>
  </si>
  <si>
    <t>001!0611832000025</t>
  </si>
  <si>
    <t>BUDDLE BUTTERFLY GOLD</t>
  </si>
  <si>
    <t>001!0611856845025</t>
  </si>
  <si>
    <t>BUDDLE BUZZ HOT RASPBERRY</t>
  </si>
  <si>
    <t>001!0611832001025</t>
  </si>
  <si>
    <t>001!0611860701050</t>
  </si>
  <si>
    <t>BUDDLE BUZZ IVORY</t>
  </si>
  <si>
    <t>001!0611832002025</t>
  </si>
  <si>
    <t>BUDDLE BUZZ LAVENDER</t>
  </si>
  <si>
    <t>001!0611832003025</t>
  </si>
  <si>
    <t>BUDDLE BUZZ MAGENTA</t>
  </si>
  <si>
    <t>001!0611860702050</t>
  </si>
  <si>
    <t>BUDDLE BUZZ MIDNIGHT</t>
  </si>
  <si>
    <t>001!0611832005025</t>
  </si>
  <si>
    <t>001!0611860703050</t>
  </si>
  <si>
    <t>BUDDLE BUZZ PURPLE</t>
  </si>
  <si>
    <t>001!0611832006025</t>
  </si>
  <si>
    <t>BUDDLE BUZZ SKY BLUE</t>
  </si>
  <si>
    <t>001!0611832007025</t>
  </si>
  <si>
    <t>001!0611860704050</t>
  </si>
  <si>
    <t>BUDDLE BUZZ SOFT PINK</t>
  </si>
  <si>
    <t>001!0611860705100</t>
  </si>
  <si>
    <t>BUDDLE BUZZ VELVET</t>
  </si>
  <si>
    <t>001!0611832009025</t>
  </si>
  <si>
    <t>BUDDLE CHRYSALIS BLUE</t>
  </si>
  <si>
    <t>001!0611832010025</t>
  </si>
  <si>
    <t>BUDDLE CHRYSALIS CRANBERRY</t>
  </si>
  <si>
    <t>001!0611832011025</t>
  </si>
  <si>
    <t>BUDDLE CHRYSALIS PINK</t>
  </si>
  <si>
    <t>001!0611832012025</t>
  </si>
  <si>
    <t>BUDDLE CHRYSALIS PURPLE</t>
  </si>
  <si>
    <t>001!0611832013025</t>
  </si>
  <si>
    <t>BUDDLE CHRYSALIS WHITE</t>
  </si>
  <si>
    <t>001!0611832014025</t>
  </si>
  <si>
    <t>BUDDLE GOLD DROP</t>
  </si>
  <si>
    <t>001!0611832015025</t>
  </si>
  <si>
    <t>BUDDLE LEAH BLUE</t>
  </si>
  <si>
    <t>001!0611832017025</t>
  </si>
  <si>
    <t>BUDDLE LEAH MIDNIGHT</t>
  </si>
  <si>
    <t>001!0611832018025</t>
  </si>
  <si>
    <t>BUDDLE LEAH PINK</t>
  </si>
  <si>
    <t>001!0611856846025</t>
  </si>
  <si>
    <t>BUDDLE LEAH RASPBERRY</t>
  </si>
  <si>
    <t>001!0611832019025</t>
  </si>
  <si>
    <t>BUDDLE LEAH WHITE</t>
  </si>
  <si>
    <t>001!0611832020025</t>
  </si>
  <si>
    <t>BUDDLE LITTLE BUDDY PURPLE</t>
  </si>
  <si>
    <t>001!0611856847025</t>
  </si>
  <si>
    <t>BUDDLE LITTLE BUDDY WHITE</t>
  </si>
  <si>
    <t>001!0611856848025</t>
  </si>
  <si>
    <t>BUDDLE NANHO BLUE</t>
  </si>
  <si>
    <t>001!0611832021025</t>
  </si>
  <si>
    <t>001!0611860706050</t>
  </si>
  <si>
    <t>BUDDLE NANHO PURPLE</t>
  </si>
  <si>
    <t>001!0611832022025</t>
  </si>
  <si>
    <t>001!0611860707050</t>
  </si>
  <si>
    <t>BUDDLE PINK CASCADE II</t>
  </si>
  <si>
    <t>001!0611856849025</t>
  </si>
  <si>
    <t>BUDDLE PINK DELIGHT</t>
  </si>
  <si>
    <t>001!0611832023025</t>
  </si>
  <si>
    <t>BUDDLE PRINCESS PINK</t>
  </si>
  <si>
    <t>001!0611856850025</t>
  </si>
  <si>
    <t>BUDDLE ROYAL RED</t>
  </si>
  <si>
    <t>001!0611832024025</t>
  </si>
  <si>
    <t>001!0611860708050</t>
  </si>
  <si>
    <t>BUDDLE SUMMER BIRD SERIES</t>
  </si>
  <si>
    <t>001!0611832025025</t>
  </si>
  <si>
    <t>BUDDLE VIOLET CASCADE</t>
  </si>
  <si>
    <t>001!0611832026025</t>
  </si>
  <si>
    <t>CABBAG ALL SEASON MIX</t>
  </si>
  <si>
    <t>001!0611831808100</t>
  </si>
  <si>
    <t>CABBAG BLUE DYNASTY</t>
  </si>
  <si>
    <t>001!0611831814100</t>
  </si>
  <si>
    <t>CABBAG BLUE VANTAGE</t>
  </si>
  <si>
    <t>001!0611831815100</t>
  </si>
  <si>
    <t>CABBAG BRAVO</t>
  </si>
  <si>
    <t>001!0611831817100</t>
  </si>
  <si>
    <t>CABBAG CHEERS</t>
  </si>
  <si>
    <t>001!0611831831100</t>
  </si>
  <si>
    <t>CABBAG CHINESE CHINA GOLD</t>
  </si>
  <si>
    <t>001!0611831834100</t>
  </si>
  <si>
    <t>CABBAG CHINESE CHINA KING</t>
  </si>
  <si>
    <t>001!0611831835100</t>
  </si>
  <si>
    <t>CABBAG CHINESE GOURMET</t>
  </si>
  <si>
    <t>001!0611831876100</t>
  </si>
  <si>
    <t>CABBAG COPENHAGEN</t>
  </si>
  <si>
    <t>001!0611831841100</t>
  </si>
  <si>
    <t>CABBAG COPENHAGEN MARKET</t>
  </si>
  <si>
    <t>001!0611831842100</t>
  </si>
  <si>
    <t>CABBAG DANISH BALLHEAD</t>
  </si>
  <si>
    <t>001!0611831847100</t>
  </si>
  <si>
    <t>CABBAG DISCOVERY</t>
  </si>
  <si>
    <t>001!0611831849100</t>
  </si>
  <si>
    <t>CABBAG DYNAMO</t>
  </si>
  <si>
    <t>001!0611831850100</t>
  </si>
  <si>
    <t>CABBAG EARLY</t>
  </si>
  <si>
    <t>001!0611831853100</t>
  </si>
  <si>
    <t>CABBAG EARLY FLAT DUTCH</t>
  </si>
  <si>
    <t>001!0611831855100</t>
  </si>
  <si>
    <t>CABBAG EARLY JERSEY WAKEFIELD</t>
  </si>
  <si>
    <t>001!0611831856100</t>
  </si>
  <si>
    <t>CABBAG EMERALD CROSS</t>
  </si>
  <si>
    <t>001!0611831861100</t>
  </si>
  <si>
    <t>CABBAG FAST VANTAGE</t>
  </si>
  <si>
    <t>001!0611831866100</t>
  </si>
  <si>
    <t>CABBAG GENERIC</t>
  </si>
  <si>
    <t>001!0611831824100</t>
  </si>
  <si>
    <t>001!0611831825200</t>
  </si>
  <si>
    <t>CABBAG GOLDEN ACRE</t>
  </si>
  <si>
    <t>001!0611831874100</t>
  </si>
  <si>
    <t>CABBAG GOLDEN CROSS</t>
  </si>
  <si>
    <t>001!0611831875100</t>
  </si>
  <si>
    <t>CABBAG GREGORIAN</t>
  </si>
  <si>
    <t>001!0611831885100</t>
  </si>
  <si>
    <t>CABBAG HEADSTART</t>
  </si>
  <si>
    <t>001!0611831887100</t>
  </si>
  <si>
    <t>CABBAG HYBRID O S</t>
  </si>
  <si>
    <t>001!0611831890100</t>
  </si>
  <si>
    <t>CABBAG K K CROSS</t>
  </si>
  <si>
    <t>001!0611831896100</t>
  </si>
  <si>
    <t>CABBAG KATARINA</t>
  </si>
  <si>
    <t>001!0611831901100</t>
  </si>
  <si>
    <t>CABBAG LATE</t>
  </si>
  <si>
    <t>001!0611831904100</t>
  </si>
  <si>
    <t>CABBAG LATE FLAT DUTCH</t>
  </si>
  <si>
    <t>001!0611831905100</t>
  </si>
  <si>
    <t>CABBAG MARKET PRIZE</t>
  </si>
  <si>
    <t>001!0611831907100</t>
  </si>
  <si>
    <t>CABBAG MID SEASON</t>
  </si>
  <si>
    <t>001!0611831909100</t>
  </si>
  <si>
    <t>CABBAG PAK CHOI</t>
  </si>
  <si>
    <t>001!0611831816100</t>
  </si>
  <si>
    <t>CABBAG PAK CHOI ASIAN DELIGHT</t>
  </si>
  <si>
    <t>001!0611831812100</t>
  </si>
  <si>
    <t>CABBAG PAK CHOI GOURMET WH STM</t>
  </si>
  <si>
    <t>001!0611831879100</t>
  </si>
  <si>
    <t>CABBAG PAK CHOI JOI CHOI</t>
  </si>
  <si>
    <t>001!0611831895100</t>
  </si>
  <si>
    <t>CABBAG PAK CHOI MEI QING CHOI</t>
  </si>
  <si>
    <t>001!0611831908100</t>
  </si>
  <si>
    <t>CABBAG PINK CABBAGE GENERIC</t>
  </si>
  <si>
    <t>001!0611831932100</t>
  </si>
  <si>
    <t>CABBAG RED</t>
  </si>
  <si>
    <t>001!0611831938100</t>
  </si>
  <si>
    <t>CABBAG RED ACRE</t>
  </si>
  <si>
    <t>001!0611831939100</t>
  </si>
  <si>
    <t>CABBAG RED CABBAGE GENERIC</t>
  </si>
  <si>
    <t>001!0611831940100</t>
  </si>
  <si>
    <t>CABBAG RED JEWEL</t>
  </si>
  <si>
    <t>001!0611831942100</t>
  </si>
  <si>
    <t>CABBAG RIO VERDE</t>
  </si>
  <si>
    <t>001!0611831948100</t>
  </si>
  <si>
    <t>CABBAG RUBY BALL</t>
  </si>
  <si>
    <t>001!0611831949100</t>
  </si>
  <si>
    <t>CABBAG RUBY PERFECTION</t>
  </si>
  <si>
    <t>001!0611831950100</t>
  </si>
  <si>
    <t>CABBAG SAVOY ACE</t>
  </si>
  <si>
    <t>001!0611831952100</t>
  </si>
  <si>
    <t>CABBAG SAVOY EXPRESS</t>
  </si>
  <si>
    <t>001!0611831953100</t>
  </si>
  <si>
    <t>CABBAG SAVOY KING</t>
  </si>
  <si>
    <t>001!0611831954100</t>
  </si>
  <si>
    <t>CABBAG STONEHEAD</t>
  </si>
  <si>
    <t>001!0611831968100</t>
  </si>
  <si>
    <t>001!0611831969200</t>
  </si>
  <si>
    <t>CABBAG STORAGE NO 4</t>
  </si>
  <si>
    <t>001!0611831970100</t>
  </si>
  <si>
    <t>CABBAG SWEET SLAW</t>
  </si>
  <si>
    <t>001!0611831972100</t>
  </si>
  <si>
    <t>CABBAG SWEET THANG</t>
  </si>
  <si>
    <t>001!0611831973100</t>
  </si>
  <si>
    <t>CABBAG WHITE CABBAGE GENERIC</t>
  </si>
  <si>
    <t>001!0611831983100</t>
  </si>
  <si>
    <t>CACTUS CHRISTMAS GENERIC</t>
  </si>
  <si>
    <t>001!0611832028100</t>
  </si>
  <si>
    <t>CACTUS GENERIC</t>
  </si>
  <si>
    <t>001!0611832029100</t>
  </si>
  <si>
    <t>CALADI AARON</t>
  </si>
  <si>
    <t>001!0611832030100</t>
  </si>
  <si>
    <t>CALADI CALADIUM GENERIC</t>
  </si>
  <si>
    <t>001!0611832031100</t>
  </si>
  <si>
    <t>001!0611832032025</t>
  </si>
  <si>
    <t>CALADI CANDIDUM</t>
  </si>
  <si>
    <t>001!0611832034100</t>
  </si>
  <si>
    <t>CALADI CAROLYN WHORTON</t>
  </si>
  <si>
    <t>001!0611832035100</t>
  </si>
  <si>
    <t>CALADI FANNIE MUNSON</t>
  </si>
  <si>
    <t>001!0611832036100</t>
  </si>
  <si>
    <t>CALADI FLORIDA CARDINAL</t>
  </si>
  <si>
    <t>001!0611832037100</t>
  </si>
  <si>
    <t>CALADI FRIEDA HEMPLE</t>
  </si>
  <si>
    <t>001!0611832038100</t>
  </si>
  <si>
    <t>CALADI GNRC BLNGL DSIGN</t>
  </si>
  <si>
    <t>001!0611832039100</t>
  </si>
  <si>
    <t>CALADI MISS MUFFET</t>
  </si>
  <si>
    <t>001!0611832040100</t>
  </si>
  <si>
    <t>CALADI RED FLASH</t>
  </si>
  <si>
    <t>001!0611832041100</t>
  </si>
  <si>
    <t>CALADI ROSEBUD</t>
  </si>
  <si>
    <t>001!0611832042100</t>
  </si>
  <si>
    <t>CALADI STRAP LEAF GENERIC</t>
  </si>
  <si>
    <t>001!0611832033025</t>
  </si>
  <si>
    <t>CALADI WHITE QUEEN</t>
  </si>
  <si>
    <t>001!0611832043100</t>
  </si>
  <si>
    <t>CALAMA AVALANCHE</t>
  </si>
  <si>
    <t>001!0611832044025</t>
  </si>
  <si>
    <t>CALAMA BRACHYTRICHA</t>
  </si>
  <si>
    <t>001!0611832045025</t>
  </si>
  <si>
    <t>CALAMA ELDORADO</t>
  </si>
  <si>
    <t>001!0611832046025</t>
  </si>
  <si>
    <t>CALAMA KARL FOERSTER</t>
  </si>
  <si>
    <t>001!0611832047025</t>
  </si>
  <si>
    <t>CALAMA OVERDAM</t>
  </si>
  <si>
    <t>001!0611832048025</t>
  </si>
  <si>
    <t>CALAMI BLUE CLOUD</t>
  </si>
  <si>
    <t>001!0611832049025</t>
  </si>
  <si>
    <t>CALAMI CALAMINTHA GENERIC</t>
  </si>
  <si>
    <t>001!0611832050025</t>
  </si>
  <si>
    <t>CALAMI VARIEGATA</t>
  </si>
  <si>
    <t>001!0611832051025</t>
  </si>
  <si>
    <t>CALATH CALATHEA GENERIC</t>
  </si>
  <si>
    <t>001!0611832052100</t>
  </si>
  <si>
    <t>CALATH PEACOCK PLANT</t>
  </si>
  <si>
    <t>001!0611832053100</t>
  </si>
  <si>
    <t>CALATH PINSTRIPE PLANT</t>
  </si>
  <si>
    <t>001!0611832054100</t>
  </si>
  <si>
    <t>CALATH RATTLESNAKE PLANT</t>
  </si>
  <si>
    <t>001!0611832055100</t>
  </si>
  <si>
    <t>CALATH ROSE PAINTED</t>
  </si>
  <si>
    <t>001!0611832056100</t>
  </si>
  <si>
    <t>CALCEO CALCEOLARIA GENERIC</t>
  </si>
  <si>
    <t>001!0611832057100</t>
  </si>
  <si>
    <t>CALEND ALPHA</t>
  </si>
  <si>
    <t>001!0611884059025</t>
  </si>
  <si>
    <t>CALEND BON BON MIX</t>
  </si>
  <si>
    <t>001!0611832058100</t>
  </si>
  <si>
    <t>CALEND BON BON ORANGE</t>
  </si>
  <si>
    <t>001!0611832059100</t>
  </si>
  <si>
    <t>CALEND BON BON YELLOW</t>
  </si>
  <si>
    <t>001!0611832060100</t>
  </si>
  <si>
    <t>CALEND CALENDULA GENERIC</t>
  </si>
  <si>
    <t>001!0611832061100</t>
  </si>
  <si>
    <t>CALEND CALEO ORANGE</t>
  </si>
  <si>
    <t>001!0611860709050</t>
  </si>
  <si>
    <t>CALEND CALEO YELLOW</t>
  </si>
  <si>
    <t>001!0611860710050</t>
  </si>
  <si>
    <t>CALEND CHEERS TANGERINE</t>
  </si>
  <si>
    <t>001!0611832063100</t>
  </si>
  <si>
    <t>CALEND CHEERS YELLOW</t>
  </si>
  <si>
    <t>001!0611832064100</t>
  </si>
  <si>
    <t>CALEND COSTA MIX</t>
  </si>
  <si>
    <t>001!0611832065100</t>
  </si>
  <si>
    <t>CALEND COSTA ORANGE</t>
  </si>
  <si>
    <t>001!0611832066100</t>
  </si>
  <si>
    <t>CALEND COSTA YELLOW</t>
  </si>
  <si>
    <t>001!0611832067100</t>
  </si>
  <si>
    <t>CALEND POWER DAISY SUNNY</t>
  </si>
  <si>
    <t>001!0611832069100</t>
  </si>
  <si>
    <t>CALIBR ALOHA BLUE SKY</t>
  </si>
  <si>
    <t>001!0611860711050</t>
  </si>
  <si>
    <t>CALIBR ALOHA BUTTERCREAM</t>
  </si>
  <si>
    <t>001!0611860712050</t>
  </si>
  <si>
    <t>CALIBR ALOHA CANARY YELLOW</t>
  </si>
  <si>
    <t>001!0611860713050</t>
  </si>
  <si>
    <t>CALIBR ALOHA CHERRY CARTWHEEL</t>
  </si>
  <si>
    <t>001!0611860714050</t>
  </si>
  <si>
    <t>CALIBR ALOHA CLEAR PINK</t>
  </si>
  <si>
    <t>001!0611860715050</t>
  </si>
  <si>
    <t>CALIBR ALOHA DBL APRICOT</t>
  </si>
  <si>
    <t>001!0611860716050</t>
  </si>
  <si>
    <t>CALIBR ALOHA DBL CITRIC</t>
  </si>
  <si>
    <t>001!0611860717050</t>
  </si>
  <si>
    <t>CALIBR ALOHA DBL DARK PINK</t>
  </si>
  <si>
    <t>001!0611860718050</t>
  </si>
  <si>
    <t>CALIBR ALOHA DBL LAVENDER</t>
  </si>
  <si>
    <t>001!0611860719050</t>
  </si>
  <si>
    <t>CALIBR ALOHA DBL ORANGE</t>
  </si>
  <si>
    <t>001!0611860720050</t>
  </si>
  <si>
    <t>CALIBR ALOHA DBL PINK</t>
  </si>
  <si>
    <t>001!0611884060050</t>
  </si>
  <si>
    <t>CALIBR ALOHA DBL PURPLE</t>
  </si>
  <si>
    <t>001!0611860721050</t>
  </si>
  <si>
    <t>CALIBR ALOHA DBL RED</t>
  </si>
  <si>
    <t>001!0611860722050</t>
  </si>
  <si>
    <t>CALIBR ALOHA DBL SOFT PINK</t>
  </si>
  <si>
    <t>001!0611860723050</t>
  </si>
  <si>
    <t>CALIBR ALOHA DBL SOFT PINK EYE</t>
  </si>
  <si>
    <t>001!0611860724050</t>
  </si>
  <si>
    <t>CALIBR ALOHA DBL WHITE</t>
  </si>
  <si>
    <t>001!0611884061050</t>
  </si>
  <si>
    <t>CALIBR ALOHA HOT ORANGE</t>
  </si>
  <si>
    <t>001!0611860726050</t>
  </si>
  <si>
    <t>CALIBR ALOHA KONA BLUE SKY</t>
  </si>
  <si>
    <t>001!0611860727050</t>
  </si>
  <si>
    <t>CALIBR ALOHA KONA CHERRY RED</t>
  </si>
  <si>
    <t>001!0611860728050</t>
  </si>
  <si>
    <t>CALIBR ALOHA KONA D LVN CR3588</t>
  </si>
  <si>
    <t>001!0611860729050</t>
  </si>
  <si>
    <t>CALIBR ALOHA KONA DARK LAV</t>
  </si>
  <si>
    <t>001!0611860731050</t>
  </si>
  <si>
    <t>CALIBR ALOHA KONA DARK RED</t>
  </si>
  <si>
    <t>001!0611860730050</t>
  </si>
  <si>
    <t>CALIBR ALOHA KONA FUCHSIA</t>
  </si>
  <si>
    <t>001!0611860732050</t>
  </si>
  <si>
    <t>CALIBR ALOHA KONA HA ORCHID</t>
  </si>
  <si>
    <t>001!0611860733050</t>
  </si>
  <si>
    <t>CALIBR ALOHA KONA HA SUNSET</t>
  </si>
  <si>
    <t>001!0611860734050</t>
  </si>
  <si>
    <t>CALIBR ALOHA KONA HONEYCOMB</t>
  </si>
  <si>
    <t>001!0611860735050</t>
  </si>
  <si>
    <t>CALIBR ALOHA KONA HOT ORANGE</t>
  </si>
  <si>
    <t>001!0611860736050</t>
  </si>
  <si>
    <t>CALIBR ALOHA KONA HOT PINK</t>
  </si>
  <si>
    <t>001!0611860737050</t>
  </si>
  <si>
    <t>CALIBR ALOHA KONA MANGO</t>
  </si>
  <si>
    <t>001!0611860738050</t>
  </si>
  <si>
    <t>CALIBR ALOHA KONA MDNT BLUE</t>
  </si>
  <si>
    <t>001!0611860739050</t>
  </si>
  <si>
    <t>CALIBR ALOHA KONA MDNT PURP</t>
  </si>
  <si>
    <t>001!0611884062050</t>
  </si>
  <si>
    <t>CALIBR ALOHA KONA MNDRN CLBRC</t>
  </si>
  <si>
    <t>001!0611884063050</t>
  </si>
  <si>
    <t>CALIBR ALOHA KONA NANI HA</t>
  </si>
  <si>
    <t>001!0611860740050</t>
  </si>
  <si>
    <t>CALIBR ALOHA KONA NEON</t>
  </si>
  <si>
    <t>001!0611860741050</t>
  </si>
  <si>
    <t>CALIBR ALOHA KONA ORANGE</t>
  </si>
  <si>
    <t>001!0611884064050</t>
  </si>
  <si>
    <t>CALIBR ALOHA KONA ORANGE ZEST</t>
  </si>
  <si>
    <t>001!0611860742050</t>
  </si>
  <si>
    <t>CALIBR ALOHA KONA PINEAPPLE</t>
  </si>
  <si>
    <t>001!0611860743050</t>
  </si>
  <si>
    <t>CALIBR ALOHA KONA PINK</t>
  </si>
  <si>
    <t>001!0611884065050</t>
  </si>
  <si>
    <t>CALIBR ALOHA KONA ROYAL WHITE</t>
  </si>
  <si>
    <t>001!0611860744050</t>
  </si>
  <si>
    <t>CALIBR ALOHA KONA SOFT PINK</t>
  </si>
  <si>
    <t>001!0611860745050</t>
  </si>
  <si>
    <t>CALIBR ALOHA KONA SUNSHINE</t>
  </si>
  <si>
    <t>001!0611860746050</t>
  </si>
  <si>
    <t>CALIBR ALOHA KONA TIKI BL SKY</t>
  </si>
  <si>
    <t>001!0611884066050</t>
  </si>
  <si>
    <t>CALIBR ALOHA KONA TIKI PINK</t>
  </si>
  <si>
    <t>001!0611884067050</t>
  </si>
  <si>
    <t>CALIBR ALOHA KONA TIKI SOFT PK</t>
  </si>
  <si>
    <t>001!0611860747050</t>
  </si>
  <si>
    <t>CALIBR ALOHA KONA TRUE BL LMTD</t>
  </si>
  <si>
    <t>001!0611860748050</t>
  </si>
  <si>
    <t>CALIBR ALOHA KONA TRUE BLUE</t>
  </si>
  <si>
    <t>001!0611860749050</t>
  </si>
  <si>
    <t>CALIBR ALOHA KONA WHITE</t>
  </si>
  <si>
    <t>001!0611860750050</t>
  </si>
  <si>
    <t>CALIBR ALOHA KONA YELLOW</t>
  </si>
  <si>
    <t>001!0611860751050</t>
  </si>
  <si>
    <t>CALIBR ALOHA MIDNIGHT PURPLE</t>
  </si>
  <si>
    <t>001!0611860752050</t>
  </si>
  <si>
    <t>CALIBR ALOHA NANI APPLEBLOSSOM</t>
  </si>
  <si>
    <t>001!0611860753050</t>
  </si>
  <si>
    <t>CALIBR ALOHA NANI BLUE SKY</t>
  </si>
  <si>
    <t>001!0611860754050</t>
  </si>
  <si>
    <t>CALIBR ALOHA NANI CALIBASH</t>
  </si>
  <si>
    <t>001!0611860755050</t>
  </si>
  <si>
    <t>CALIBR ALOHA NANI DARK RED</t>
  </si>
  <si>
    <t>001!0611860756050</t>
  </si>
  <si>
    <t>CALIBR ALOHA NANI FIRE RED</t>
  </si>
  <si>
    <t>001!0611860757050</t>
  </si>
  <si>
    <t>CALIBR ALOHA NANI GOLDEN GIRL</t>
  </si>
  <si>
    <t>001!0611860758050</t>
  </si>
  <si>
    <t>CALIBR ALOHA NANI HA VALTINE</t>
  </si>
  <si>
    <t>001!0611860759050</t>
  </si>
  <si>
    <t>CALIBR ALOHA NANI MANGO TANGO</t>
  </si>
  <si>
    <t>001!0611860760050</t>
  </si>
  <si>
    <t>CALIBR ALOHA NANI MIDNGHT BLUE</t>
  </si>
  <si>
    <t>001!0611860761050</t>
  </si>
  <si>
    <t>CALIBR ALOHA NANI PINK</t>
  </si>
  <si>
    <t>001!0611860762050</t>
  </si>
  <si>
    <t>CALIBR ALOHA NANI RD CARTWHEEL</t>
  </si>
  <si>
    <t>001!0611860763050</t>
  </si>
  <si>
    <t>CALIBR ALOHA NANI TROPICANA</t>
  </si>
  <si>
    <t>001!0611860764050</t>
  </si>
  <si>
    <t>CALIBR ALOHA NANI WHITE</t>
  </si>
  <si>
    <t>001!0611860765050</t>
  </si>
  <si>
    <t>CALIBR ALOHA NEON VOLCANO</t>
  </si>
  <si>
    <t>001!0611860766050</t>
  </si>
  <si>
    <t>CALIBR ALOHA PINK VOLCANO</t>
  </si>
  <si>
    <t>001!0611860767050</t>
  </si>
  <si>
    <t>CALIBR ALOHA PURPLE</t>
  </si>
  <si>
    <t>001!0611860768050</t>
  </si>
  <si>
    <t>CALIBR ALOHA PURPLE SKY</t>
  </si>
  <si>
    <t>001!0611860769050</t>
  </si>
  <si>
    <t>CALIBR ALOHA RED</t>
  </si>
  <si>
    <t>001!0611860770050</t>
  </si>
  <si>
    <t>CALIBR ALOHA ROYAL WHITE</t>
  </si>
  <si>
    <t>001!0611860771050</t>
  </si>
  <si>
    <t>CALIBR ALOHA TIKI BLUE</t>
  </si>
  <si>
    <t>001!0611860772050</t>
  </si>
  <si>
    <t>CALIBR ALOHA TIKI NEON</t>
  </si>
  <si>
    <t>001!0611860773050</t>
  </si>
  <si>
    <t>CALIBR ALOHA TIKI ORANGE</t>
  </si>
  <si>
    <t>001!0611860774050</t>
  </si>
  <si>
    <t>CALIBR ALOHA TIKI SOFT PINK</t>
  </si>
  <si>
    <t>001!0611860775050</t>
  </si>
  <si>
    <t>CALIBR ALOHA VOLCANO GOLD</t>
  </si>
  <si>
    <t>001!0611860776050</t>
  </si>
  <si>
    <t>CALIBR ALOHA VOLCANO SUNSET</t>
  </si>
  <si>
    <t>001!0611860777050</t>
  </si>
  <si>
    <t>CALIBR BLOOMTASTIC BLUE SKY</t>
  </si>
  <si>
    <t>001!0611884068050</t>
  </si>
  <si>
    <t>CALIBR BLOOMTASTIC CHERRY</t>
  </si>
  <si>
    <t>001!0611860778050</t>
  </si>
  <si>
    <t>CALIBR BLOOMTASTIC CHL PPR CAL</t>
  </si>
  <si>
    <t>001!0611860779050</t>
  </si>
  <si>
    <t>CALIBR BLOOMTASTIC LAVEND QRTZ</t>
  </si>
  <si>
    <t>001!0611884069050</t>
  </si>
  <si>
    <t>CALIBR BLOOMTASTIC PCH GRNDN</t>
  </si>
  <si>
    <t>001!0611860780050</t>
  </si>
  <si>
    <t>CALIBR BLOOMTASTIC PINEAPPLE</t>
  </si>
  <si>
    <t>001!0611884070050</t>
  </si>
  <si>
    <t>CALIBR BLOOMTASTIC PINK FLARE</t>
  </si>
  <si>
    <t>001!0611860781050</t>
  </si>
  <si>
    <t>CALIBR BLOOMTASTIC PURPLE</t>
  </si>
  <si>
    <t>001!0611860782050</t>
  </si>
  <si>
    <t>CALIBR BLOOMTASTIC RED</t>
  </si>
  <si>
    <t>001!0611860783050</t>
  </si>
  <si>
    <t>CALIBR BLOOMTASTIC ROSE QUARTZ</t>
  </si>
  <si>
    <t>001!0611860784050</t>
  </si>
  <si>
    <t>CALIBR BLOOMTASTIC SERENITY</t>
  </si>
  <si>
    <t>001!0611860785050</t>
  </si>
  <si>
    <t>CALIBR BLOOMTASTIC TIKI PINK</t>
  </si>
  <si>
    <t>001!0611860786050</t>
  </si>
  <si>
    <t>CALIBR BLOOMTASTIC YELLOW</t>
  </si>
  <si>
    <t>001!0611860787050</t>
  </si>
  <si>
    <t>CALIBR CABRIO AMETHYST</t>
  </si>
  <si>
    <t>001!0611860788050</t>
  </si>
  <si>
    <t>CALIBR CABRIO BURGUNDY</t>
  </si>
  <si>
    <t>001!0611860789050</t>
  </si>
  <si>
    <t>CALIBR CABRIO ECLIPSE LILAC</t>
  </si>
  <si>
    <t>001!0611860790050</t>
  </si>
  <si>
    <t>CALIBR CABRIO ECLIPSE LT ROSE</t>
  </si>
  <si>
    <t>001!0611860791050</t>
  </si>
  <si>
    <t>CALIBR CABRIO ECLIPSE STRAWBRY</t>
  </si>
  <si>
    <t>001!0611860792050</t>
  </si>
  <si>
    <t>CALIBR CABRIO GRAPE</t>
  </si>
  <si>
    <t>001!0611860793050</t>
  </si>
  <si>
    <t>CALIBR CABRIO PINK W/EYE</t>
  </si>
  <si>
    <t>001!0611860795050</t>
  </si>
  <si>
    <t>CALIBR CABRIO SWEET PEACH</t>
  </si>
  <si>
    <t>001!0611860796050</t>
  </si>
  <si>
    <t>CALIBR CABRIO YELLOW</t>
  </si>
  <si>
    <t>001!0611860797050</t>
  </si>
  <si>
    <t>CALIBR CALIBASKET SERIES</t>
  </si>
  <si>
    <t>001!0611832071100</t>
  </si>
  <si>
    <t>CALIBR CALIBRACHOA GENERIC</t>
  </si>
  <si>
    <t>001!0611832072100</t>
  </si>
  <si>
    <t>001!0611832073025</t>
  </si>
  <si>
    <t>CALIBR CALICO</t>
  </si>
  <si>
    <t>001!0611884071100</t>
  </si>
  <si>
    <t>CALIBR CALIPETITE BLUE</t>
  </si>
  <si>
    <t>001!0611832074100</t>
  </si>
  <si>
    <t>CALIBR CALIPETITE MID BLUE</t>
  </si>
  <si>
    <t>001!0611832075100</t>
  </si>
  <si>
    <t>CALIBR CALIPETITE PINK</t>
  </si>
  <si>
    <t>001!0611832076100</t>
  </si>
  <si>
    <t>CALIBR CALIPETITE RED</t>
  </si>
  <si>
    <t>001!0611832077100</t>
  </si>
  <si>
    <t>CALIBR CALIPETITE SUNSET ORNG</t>
  </si>
  <si>
    <t>001!0611884072100</t>
  </si>
  <si>
    <t>CALIBR CALIPETITE WHITE</t>
  </si>
  <si>
    <t>001!0611832078100</t>
  </si>
  <si>
    <t>CALIBR CALIPETITE YELLOW</t>
  </si>
  <si>
    <t>001!0611832079100</t>
  </si>
  <si>
    <t>CALIBR CALITASTIC BALLERINA</t>
  </si>
  <si>
    <t>001!0611860799050</t>
  </si>
  <si>
    <t>CALIBR CALITASTIC BLOOD ORANGE</t>
  </si>
  <si>
    <t>001!0611860800050</t>
  </si>
  <si>
    <t>CALIBR CALITASTIC BORDEAUX STR</t>
  </si>
  <si>
    <t>001!0611860801050</t>
  </si>
  <si>
    <t>CALIBR CALITASTIC BRIGHT PURP</t>
  </si>
  <si>
    <t>001!0611860802050</t>
  </si>
  <si>
    <t>CALIBR CALITASTIC BRIGHT RED</t>
  </si>
  <si>
    <t>001!0611860803050</t>
  </si>
  <si>
    <t>CALIBR CALITASTIC CARAMEL</t>
  </si>
  <si>
    <t>001!0611860804050</t>
  </si>
  <si>
    <t>CALIBR CALITASTIC DARK RED</t>
  </si>
  <si>
    <t>001!0611860805050</t>
  </si>
  <si>
    <t>CALIBR CALITASTIC FANCY FUCHSI</t>
  </si>
  <si>
    <t>001!0611860807050</t>
  </si>
  <si>
    <t>CALIBR CALITASTIC GOLD</t>
  </si>
  <si>
    <t>001!0611860808050</t>
  </si>
  <si>
    <t>CALIBR CALITASTIC ICE BLUE</t>
  </si>
  <si>
    <t>001!0611860810050</t>
  </si>
  <si>
    <t>CALIBR CALITASTIC INDIGO</t>
  </si>
  <si>
    <t>001!0611860811050</t>
  </si>
  <si>
    <t>CALIBR CALITASTIC MANGO</t>
  </si>
  <si>
    <t>001!0611860812050</t>
  </si>
  <si>
    <t>CALIBR CALITASTIC MAROONED</t>
  </si>
  <si>
    <t>001!0611860813050</t>
  </si>
  <si>
    <t>CALIBR CALITASTIC MERRY CHERRY</t>
  </si>
  <si>
    <t>001!0611860814050</t>
  </si>
  <si>
    <t>CALIBR CALITASTIC NOBLE BLUE</t>
  </si>
  <si>
    <t>001!0611860815050</t>
  </si>
  <si>
    <t>CALIBR CALITASTIC ORANGE</t>
  </si>
  <si>
    <t>001!0611860816050</t>
  </si>
  <si>
    <t>CALIBR CALITASTIC PLUMBRY POP</t>
  </si>
  <si>
    <t>001!0611860818050</t>
  </si>
  <si>
    <t>CALIBR CALITASTIC RASPBERRY</t>
  </si>
  <si>
    <t>001!0611860820050</t>
  </si>
  <si>
    <t>CALIBR CALITASTIC RED LIPS</t>
  </si>
  <si>
    <t>001!0611860821050</t>
  </si>
  <si>
    <t>CALIBR CALITASTIC SERIES</t>
  </si>
  <si>
    <t>001!0611832081100</t>
  </si>
  <si>
    <t>CALIBR CALITASTIC STRAWBERRY</t>
  </si>
  <si>
    <t>001!0611860822050</t>
  </si>
  <si>
    <t>CALIBR CALITASTIC SUNNYSIDE</t>
  </si>
  <si>
    <t>001!0611860823050</t>
  </si>
  <si>
    <t>CALIBR CALITASTIC TRICOLOR PK</t>
  </si>
  <si>
    <t>001!0611860824050</t>
  </si>
  <si>
    <t>CALIBR CALITASTIC VIOLACEOUS</t>
  </si>
  <si>
    <t>001!0611860825050</t>
  </si>
  <si>
    <t>CALIBR CALITASTIC WHITE</t>
  </si>
  <si>
    <t>001!0611860827050</t>
  </si>
  <si>
    <t>CALIBR CALITASTIC WHITE CR5153</t>
  </si>
  <si>
    <t>001!0611860828050</t>
  </si>
  <si>
    <t>CALIBR CALLIE APRICOT</t>
  </si>
  <si>
    <t>001!0611860829050</t>
  </si>
  <si>
    <t>CALIBR CALLIE BLUE</t>
  </si>
  <si>
    <t>001!0611860830050</t>
  </si>
  <si>
    <t>CALIBR CALLIE BURGUNDY</t>
  </si>
  <si>
    <t>001!0611860831050</t>
  </si>
  <si>
    <t>CALIBR CALLIE CORAL</t>
  </si>
  <si>
    <t>001!0611860832050</t>
  </si>
  <si>
    <t>CALIBR CALLIE DARK BLUE</t>
  </si>
  <si>
    <t>001!0611884073050</t>
  </si>
  <si>
    <t>CALIBR CALLIE DARK RED</t>
  </si>
  <si>
    <t>001!0611860833050</t>
  </si>
  <si>
    <t>CALIBR CALLIE DEEP ORANGE</t>
  </si>
  <si>
    <t>001!0611884074050</t>
  </si>
  <si>
    <t>CALIBR CALLIE ECLIPSE LAVENDER</t>
  </si>
  <si>
    <t>001!0611860834050</t>
  </si>
  <si>
    <t>CALIBR CALLIE ECLIPSE LILAC</t>
  </si>
  <si>
    <t>001!0611860835050</t>
  </si>
  <si>
    <t>CALIBR CALLIE ECLIPSE RASPBRY</t>
  </si>
  <si>
    <t>001!0611860836050</t>
  </si>
  <si>
    <t>CALIBR CALLIE ECLIPSE STRAWBRY</t>
  </si>
  <si>
    <t>001!0611860837050</t>
  </si>
  <si>
    <t>CALIBR CALLIE GOLD W/RED EYE</t>
  </si>
  <si>
    <t>001!0611860838050</t>
  </si>
  <si>
    <t>CALIBR CALLIE HOT PINK</t>
  </si>
  <si>
    <t>001!0611860839050</t>
  </si>
  <si>
    <t>CALIBR CALLIE HOT PINK SPARK</t>
  </si>
  <si>
    <t>001!0611860840050</t>
  </si>
  <si>
    <t>CALIBR CALLIE LAVENDER</t>
  </si>
  <si>
    <t>001!0611860841050</t>
  </si>
  <si>
    <t>CALIBR CALLIE LIGHT BLUE</t>
  </si>
  <si>
    <t>001!0611860842050</t>
  </si>
  <si>
    <t>CALIBR CALLIE MANGO</t>
  </si>
  <si>
    <t>001!0611860843050</t>
  </si>
  <si>
    <t>CALIBR CALLIE ORANGE</t>
  </si>
  <si>
    <t>001!0611860844050</t>
  </si>
  <si>
    <t>CALIBR CALLIE ORANGE SUNRISE</t>
  </si>
  <si>
    <t>001!0611860845050</t>
  </si>
  <si>
    <t>CALIBR CALLIE PINK MORN</t>
  </si>
  <si>
    <t>001!0611860846050</t>
  </si>
  <si>
    <t>CALIBR CALLIE PINK W/EYE</t>
  </si>
  <si>
    <t>001!0611860847050</t>
  </si>
  <si>
    <t>CALIBR CALLIE PURPLE</t>
  </si>
  <si>
    <t>001!0611860848050</t>
  </si>
  <si>
    <t>CALIBR CALLIE PURPLE CE0405</t>
  </si>
  <si>
    <t>001!0611860849050</t>
  </si>
  <si>
    <t>CALIBR CALLIE ROSE</t>
  </si>
  <si>
    <t>001!0611860850050</t>
  </si>
  <si>
    <t>CALIBR CALLIE ROSE DARK CENTER</t>
  </si>
  <si>
    <t>001!0611860851050</t>
  </si>
  <si>
    <t>CALIBR CALLIE SKY BLUE</t>
  </si>
  <si>
    <t>001!0611860853050</t>
  </si>
  <si>
    <t>CALIBR CALLIE STAR ORANGE</t>
  </si>
  <si>
    <t>001!0611860854050</t>
  </si>
  <si>
    <t>CALIBR CALLIE STAR PINK</t>
  </si>
  <si>
    <t>001!0611860855050</t>
  </si>
  <si>
    <t>CALIBR CALLIE STAR ROSE W/EYE</t>
  </si>
  <si>
    <t>001!0611860852050</t>
  </si>
  <si>
    <t>CALIBR CALLIE STRAWBERRY</t>
  </si>
  <si>
    <t>001!0611860856050</t>
  </si>
  <si>
    <t>CALIBR CALLIE SUNSET GLOW</t>
  </si>
  <si>
    <t>001!0611860857050</t>
  </si>
  <si>
    <t>CALIBR CALLIE WHITE</t>
  </si>
  <si>
    <t>001!0611860858050</t>
  </si>
  <si>
    <t>CALIBR CALLIE WHITE ROSE VEIN</t>
  </si>
  <si>
    <t>001!0611860859050</t>
  </si>
  <si>
    <t>CALIBR CALLIE YELLOW</t>
  </si>
  <si>
    <t>001!0611860860050</t>
  </si>
  <si>
    <t>CALIBR CANDY SHOP BAG OF TRIX</t>
  </si>
  <si>
    <t>001!0611832085100</t>
  </si>
  <si>
    <t>001!0611860861050</t>
  </si>
  <si>
    <t>CALIBR CANDY SHOP CANDY BOUQT</t>
  </si>
  <si>
    <t>001!0611832118100</t>
  </si>
  <si>
    <t>001!0611860862050</t>
  </si>
  <si>
    <t>CALIBR CANDY SHOP CANDY CRUSH</t>
  </si>
  <si>
    <t>001!0611832086100</t>
  </si>
  <si>
    <t>001!0611860863050</t>
  </si>
  <si>
    <t>CALIBR CANDY SHOP CHOCOLATE</t>
  </si>
  <si>
    <t>001!0611832087100</t>
  </si>
  <si>
    <t>001!0611860864050</t>
  </si>
  <si>
    <t>CALIBR CANDY SHOP DBL BBL GUM</t>
  </si>
  <si>
    <t>001!0611832119100</t>
  </si>
  <si>
    <t>CALIBR CANDY SHOP FANCY BERRY</t>
  </si>
  <si>
    <t>001!0611832088100</t>
  </si>
  <si>
    <t>001!0611860865050</t>
  </si>
  <si>
    <t>CALIBR CANDY SHOP GRAPE SPLASH</t>
  </si>
  <si>
    <t>001!0611832089100</t>
  </si>
  <si>
    <t>001!0611860866050</t>
  </si>
  <si>
    <t>CALIBR CANDY SHOP MILKY PINK</t>
  </si>
  <si>
    <t>001!0611832090100</t>
  </si>
  <si>
    <t>CALIBR CANDY SHOP PIX STIX MIX</t>
  </si>
  <si>
    <t>001!0611832120100</t>
  </si>
  <si>
    <t>001!0611860867050</t>
  </si>
  <si>
    <t>CALIBR CANDY SHOP SWEET DREAMS</t>
  </si>
  <si>
    <t>001!0611832091100</t>
  </si>
  <si>
    <t>001!0611860868050</t>
  </si>
  <si>
    <t>CALIBR CANDY SHOP SWEET TART</t>
  </si>
  <si>
    <t>001!0611860869050</t>
  </si>
  <si>
    <t>CALIBR CARAMEL</t>
  </si>
  <si>
    <t>001!0611856851100</t>
  </si>
  <si>
    <t>CALIBR CELEB CHMLN BLUEB</t>
  </si>
  <si>
    <t>001!0611860870050</t>
  </si>
  <si>
    <t>CALIBR CHAMELEON ATOMIC ORANGE</t>
  </si>
  <si>
    <t>001!0611832096100</t>
  </si>
  <si>
    <t>001!0611860872050</t>
  </si>
  <si>
    <t>CALIBR CHAMELEON AVANT GARDEN</t>
  </si>
  <si>
    <t>001!0611832097100</t>
  </si>
  <si>
    <t>001!0611860873050</t>
  </si>
  <si>
    <t>CALIBR CHAMELEON BLACKBRY PIE</t>
  </si>
  <si>
    <t>001!0611832099100</t>
  </si>
  <si>
    <t>001!0611860874050</t>
  </si>
  <si>
    <t>CALIBR CHAMELEON BLACKBRY TART</t>
  </si>
  <si>
    <t>001!0611860875050</t>
  </si>
  <si>
    <t>CALIBR CHAMELEON BLUEBRY SCONE</t>
  </si>
  <si>
    <t>001!0611832100100</t>
  </si>
  <si>
    <t>CALIBR CHAMELEON CHERRY BANANA</t>
  </si>
  <si>
    <t>001!0611832101100</t>
  </si>
  <si>
    <t>001!0611860876050</t>
  </si>
  <si>
    <t>CALIBR CHAMELEON DBL DESERT RS</t>
  </si>
  <si>
    <t>001!0611832102100</t>
  </si>
  <si>
    <t>001!0611860877050</t>
  </si>
  <si>
    <t>CALIBR CHAMELEON DBL INFERNO</t>
  </si>
  <si>
    <t>001!0611832103100</t>
  </si>
  <si>
    <t>001!0611860878050</t>
  </si>
  <si>
    <t>CALIBR CHAMELEON DBL PK YELL</t>
  </si>
  <si>
    <t>001!0611832104100</t>
  </si>
  <si>
    <t>001!0611860879050</t>
  </si>
  <si>
    <t>CALIBR CHAMELEON DBL TICKLD PK</t>
  </si>
  <si>
    <t>001!0611832105100</t>
  </si>
  <si>
    <t>CALIBR CHAMELEON FAIRYTALE</t>
  </si>
  <si>
    <t>001!0611860880050</t>
  </si>
  <si>
    <t>CALIBR CHAMELEON FASHIONISTA</t>
  </si>
  <si>
    <t>001!0611860881050</t>
  </si>
  <si>
    <t>CALIBR CHAMELEON FROZEN ICE</t>
  </si>
  <si>
    <t>001!0611832107100</t>
  </si>
  <si>
    <t>001!0611860882050</t>
  </si>
  <si>
    <t>CALIBR CHAMELEON INDIAN SUMMER</t>
  </si>
  <si>
    <t>001!0611832108100</t>
  </si>
  <si>
    <t>001!0611860883050</t>
  </si>
  <si>
    <t>CALIBR CHAMELEON LAVEND SORBET</t>
  </si>
  <si>
    <t>001!0611860884050</t>
  </si>
  <si>
    <t>CALIBR CHAMELEON LEMON BERRY</t>
  </si>
  <si>
    <t>001!0611832110100</t>
  </si>
  <si>
    <t>001!0611860885050</t>
  </si>
  <si>
    <t>CALIBR CHAMELEON PINK DIAMOND</t>
  </si>
  <si>
    <t>001!0611860886050</t>
  </si>
  <si>
    <t>CALIBR CHAMELEON PINK PASSION</t>
  </si>
  <si>
    <t>001!0611832112100</t>
  </si>
  <si>
    <t>001!0611860887050</t>
  </si>
  <si>
    <t>CALIBR CHAMELEON PINK SORBET</t>
  </si>
  <si>
    <t>001!0611860888050</t>
  </si>
  <si>
    <t>CALIBR CHAMELEON PINK SPLASH</t>
  </si>
  <si>
    <t>001!0611856852100</t>
  </si>
  <si>
    <t>001!0611860889050</t>
  </si>
  <si>
    <t>CALIBR CHAMELEON STARLET PINK</t>
  </si>
  <si>
    <t>001!0611832115100</t>
  </si>
  <si>
    <t>001!0611860890050</t>
  </si>
  <si>
    <t>CALIBR CHAMELEON SUNSHINE 22</t>
  </si>
  <si>
    <t>001!0611860891050</t>
  </si>
  <si>
    <t>CALIBR CHAMELEON SUNSHINE BRY</t>
  </si>
  <si>
    <t>001!0611832114100</t>
  </si>
  <si>
    <t>001!0611860892050</t>
  </si>
  <si>
    <t>CALIBR CHAMELEON TART DECO</t>
  </si>
  <si>
    <t>001!0611832116100</t>
  </si>
  <si>
    <t>001!0611860893050</t>
  </si>
  <si>
    <t>CALIBR COLIBRI ABSTRACT GUAVA</t>
  </si>
  <si>
    <t>001!0611832121100</t>
  </si>
  <si>
    <t>CALIBR COLIBRI BLIZZARD</t>
  </si>
  <si>
    <t>001!0611832122100</t>
  </si>
  <si>
    <t>CALIBR COLIBRI BRIGHT RED</t>
  </si>
  <si>
    <t>001!0611832123100</t>
  </si>
  <si>
    <t>CALIBR COLIBRI CHERRY LACE</t>
  </si>
  <si>
    <t>001!0611832124100</t>
  </si>
  <si>
    <t>CALIBR COLIBRI DARK LAVENDER</t>
  </si>
  <si>
    <t>001!0611856853100</t>
  </si>
  <si>
    <t>CALIBR COLIBRI DOUBLE COPPER</t>
  </si>
  <si>
    <t>001!0611832125100</t>
  </si>
  <si>
    <t>CALIBR COLIBRI DOUBLE DP PURP</t>
  </si>
  <si>
    <t>001!0611832126100</t>
  </si>
  <si>
    <t>CALIBR COLIBRI DOUBLE VIOLET</t>
  </si>
  <si>
    <t>001!0611832127100</t>
  </si>
  <si>
    <t>CALIBR COLIBRI EXOTIC RD BLING</t>
  </si>
  <si>
    <t>001!0611856854100</t>
  </si>
  <si>
    <t>CALIBR COLIBRI LEMON</t>
  </si>
  <si>
    <t>001!0611832128100</t>
  </si>
  <si>
    <t>CALIBR COLIBRI MALIBU PINK</t>
  </si>
  <si>
    <t>001!0611832129100</t>
  </si>
  <si>
    <t>CALIBR COLIBRI MELLOW YELLOW</t>
  </si>
  <si>
    <t>001!0611832130100</t>
  </si>
  <si>
    <t>CALIBR COLIBRI ORANGE</t>
  </si>
  <si>
    <t>001!0611832131100</t>
  </si>
  <si>
    <t>CALIBR COLIBRI PINK BLING</t>
  </si>
  <si>
    <t>001!0611832133100</t>
  </si>
  <si>
    <t>CALIBR COLIBRI PINK FLAMINGO</t>
  </si>
  <si>
    <t>001!0611832134100</t>
  </si>
  <si>
    <t>CALIBR COLIBRI PINK LACE</t>
  </si>
  <si>
    <t>001!0611832135100</t>
  </si>
  <si>
    <t>CALIBR COLIBRI PLUM</t>
  </si>
  <si>
    <t>001!0611832136100</t>
  </si>
  <si>
    <t>CALIBR COLIBRI PURE WHITE</t>
  </si>
  <si>
    <t>001!0611856855100</t>
  </si>
  <si>
    <t>CALIBR COLIBRI PURPLE BLING</t>
  </si>
  <si>
    <t>001!0611832137100</t>
  </si>
  <si>
    <t>CALIBR COLIBRI PURPLE LACE</t>
  </si>
  <si>
    <t>001!0611832138100</t>
  </si>
  <si>
    <t>CALIBR COLIBRI SPARK PURPLE</t>
  </si>
  <si>
    <t>001!0611884075100</t>
  </si>
  <si>
    <t>CALIBR COLIBRI TANGERINE</t>
  </si>
  <si>
    <t>001!0611884076100</t>
  </si>
  <si>
    <t>CALIBR COLIBRI YELLOW CANARY</t>
  </si>
  <si>
    <t>001!0611832139100</t>
  </si>
  <si>
    <t>CALIBR CRAVE STRAWBERRY STAR</t>
  </si>
  <si>
    <t>001!0611832140100</t>
  </si>
  <si>
    <t>CALIBR DRACULA</t>
  </si>
  <si>
    <t>001!0611856856100</t>
  </si>
  <si>
    <t>001!0611860894050</t>
  </si>
  <si>
    <t>CALIBR EYECONIC APRICOT</t>
  </si>
  <si>
    <t>001!0611856857100</t>
  </si>
  <si>
    <t>CALIBR EYECONIC CHERRY BLOSSOM</t>
  </si>
  <si>
    <t>001!0611832143100</t>
  </si>
  <si>
    <t>CALIBR EYECONIC PEACH</t>
  </si>
  <si>
    <t>001!0611832144100</t>
  </si>
  <si>
    <t>CALIBR EYECONIC PINK</t>
  </si>
  <si>
    <t>001!0611832145100</t>
  </si>
  <si>
    <t>CALIBR EYECONIC PURPLE</t>
  </si>
  <si>
    <t>001!0611832146100</t>
  </si>
  <si>
    <t>CALIBR EYECONIC STRAWBERRY</t>
  </si>
  <si>
    <t>001!0611856858100</t>
  </si>
  <si>
    <t>CALIBR EYECONIC SUNSET</t>
  </si>
  <si>
    <t>001!0611832147100</t>
  </si>
  <si>
    <t>CALIBR FIREWALKER</t>
  </si>
  <si>
    <t>001!0611832148100</t>
  </si>
  <si>
    <t>CALIBR GENERIC BILINGUAL</t>
  </si>
  <si>
    <t>001!0611832149100</t>
  </si>
  <si>
    <t>CALIBR HA NANI PIX STX CONF</t>
  </si>
  <si>
    <t>001!0611884077050</t>
  </si>
  <si>
    <t>CALIBR HA NANI VLNT CONF</t>
  </si>
  <si>
    <t>001!0611884078050</t>
  </si>
  <si>
    <t>CALIBR HULA AMETHYST</t>
  </si>
  <si>
    <t>001!0611860895050</t>
  </si>
  <si>
    <t>CALIBR HULA APPLEBLOSSOM</t>
  </si>
  <si>
    <t>001!0611860896050</t>
  </si>
  <si>
    <t>CALIBR HULA BLUE</t>
  </si>
  <si>
    <t>001!0611860897050</t>
  </si>
  <si>
    <t>CALIBR HULA GOLD</t>
  </si>
  <si>
    <t>001!0611860898050</t>
  </si>
  <si>
    <t>CALIBR HULA GOLD MEDAL</t>
  </si>
  <si>
    <t>001!0611860899050</t>
  </si>
  <si>
    <t>CALIBR HULA HOT PINK</t>
  </si>
  <si>
    <t>001!0611860900050</t>
  </si>
  <si>
    <t>CALIBR HULA ORANGE</t>
  </si>
  <si>
    <t>001!0611860901050</t>
  </si>
  <si>
    <t>CALIBR HULA PASTEL PINK</t>
  </si>
  <si>
    <t>001!0611860902050</t>
  </si>
  <si>
    <t>CALIBR HULA RED</t>
  </si>
  <si>
    <t>001!0611860903050</t>
  </si>
  <si>
    <t>CALIBR HULA SOFT PINK</t>
  </si>
  <si>
    <t>001!0611860904050</t>
  </si>
  <si>
    <t>CALIBR ILLUSION</t>
  </si>
  <si>
    <t>001!0611856859100</t>
  </si>
  <si>
    <t>001!0611860905050</t>
  </si>
  <si>
    <t>CALIBR KABLOOM BLUE</t>
  </si>
  <si>
    <t>001!0611832150100</t>
  </si>
  <si>
    <t>CALIBR KABLOOM CHERRY</t>
  </si>
  <si>
    <t>001!0611832151100</t>
  </si>
  <si>
    <t>CALIBR KABLOOM CORAL</t>
  </si>
  <si>
    <t>001!0611832152100</t>
  </si>
  <si>
    <t>CALIBR KABLOOM DEEP PINK</t>
  </si>
  <si>
    <t>001!0611832154100</t>
  </si>
  <si>
    <t>CALIBR KABLOOM DENIM</t>
  </si>
  <si>
    <t>001!0611832155100</t>
  </si>
  <si>
    <t>CALIBR KABLOOM ORANGE</t>
  </si>
  <si>
    <t>001!0611832156100</t>
  </si>
  <si>
    <t>CALIBR KABLOOM PINK</t>
  </si>
  <si>
    <t>001!0611832157100</t>
  </si>
  <si>
    <t>CALIBR KABLOOM PINK LT BLAST</t>
  </si>
  <si>
    <t>001!0611832158100</t>
  </si>
  <si>
    <t>CALIBR KABLOOM VIOLET</t>
  </si>
  <si>
    <t>001!0611832160100</t>
  </si>
  <si>
    <t>CALIBR KABLOOM WHITE</t>
  </si>
  <si>
    <t>001!0611832161100</t>
  </si>
  <si>
    <t>CALIBR KABLOOM YELLOW</t>
  </si>
  <si>
    <t>001!0611832162100</t>
  </si>
  <si>
    <t>CALIBR LAVENDER SPRING</t>
  </si>
  <si>
    <t>001!0611860906050</t>
  </si>
  <si>
    <t>CALIBR LIA SERIES</t>
  </si>
  <si>
    <t>001!0611832163100</t>
  </si>
  <si>
    <t>CALIBR LINDURA ORANGE</t>
  </si>
  <si>
    <t>001!0611860912050</t>
  </si>
  <si>
    <t>CALIBR LINDURA WH YELLOW HEART</t>
  </si>
  <si>
    <t>001!0611860916050</t>
  </si>
  <si>
    <t>CALIBR NOA ALMOND BLOSSOM</t>
  </si>
  <si>
    <t>001!0611832164100</t>
  </si>
  <si>
    <t>CALIBR NOA BLUE LEGEND</t>
  </si>
  <si>
    <t>001!0611832167100</t>
  </si>
  <si>
    <t>CALIBR NOA DEEP PURPLE</t>
  </si>
  <si>
    <t>001!0611832171100</t>
  </si>
  <si>
    <t>CALIBR NOA DK PINK CARNIVAL</t>
  </si>
  <si>
    <t>001!0611832169100</t>
  </si>
  <si>
    <t>CALIBR NOA DK RED</t>
  </si>
  <si>
    <t>001!0611832170100</t>
  </si>
  <si>
    <t>CALIBR NOA MEGA MAGENTA</t>
  </si>
  <si>
    <t>001!0611832172100</t>
  </si>
  <si>
    <t>CALIBR NOA MEGA PINK</t>
  </si>
  <si>
    <t>001!0611832173100</t>
  </si>
  <si>
    <t>CALIBR NOA ORANGE</t>
  </si>
  <si>
    <t>001!0611832175100</t>
  </si>
  <si>
    <t>CALIBR NOA PAPAYA</t>
  </si>
  <si>
    <t>001!0611832176100</t>
  </si>
  <si>
    <t>CALIBR NOA PEACH</t>
  </si>
  <si>
    <t>001!0611832177100</t>
  </si>
  <si>
    <t>CALIBR NOA PINK</t>
  </si>
  <si>
    <t>001!0611832178100</t>
  </si>
  <si>
    <t>CALIBR NOA RED</t>
  </si>
  <si>
    <t>001!0611832179100</t>
  </si>
  <si>
    <t>CALIBR NOA RED WINE</t>
  </si>
  <si>
    <t>001!0611832180100</t>
  </si>
  <si>
    <t>CALIBR NOA SERIES</t>
  </si>
  <si>
    <t>001!0611832181100</t>
  </si>
  <si>
    <t>CALIBR NOA SNOW</t>
  </si>
  <si>
    <t>001!0611832182100</t>
  </si>
  <si>
    <t>CALIBR NOA SUNSET</t>
  </si>
  <si>
    <t>001!0611832184100</t>
  </si>
  <si>
    <t>CALIBR NOA ULTRA PURPLE</t>
  </si>
  <si>
    <t>001!0611832186100</t>
  </si>
  <si>
    <t>CALIBR NOA YELLOW</t>
  </si>
  <si>
    <t>001!0611832187100</t>
  </si>
  <si>
    <t>CALIBR OMBRE BLUE</t>
  </si>
  <si>
    <t>001!0611832188100</t>
  </si>
  <si>
    <t>CALIBR OMBRE BLUSH</t>
  </si>
  <si>
    <t>001!0611832189100</t>
  </si>
  <si>
    <t>CALIBR OMBRE PINK</t>
  </si>
  <si>
    <t>001!0611832190100</t>
  </si>
  <si>
    <t>CALIBR OMBRE PURPLE</t>
  </si>
  <si>
    <t>001!0611884079100</t>
  </si>
  <si>
    <t>CALIBR OMBRE SUNRISE</t>
  </si>
  <si>
    <t>001!0611884080100</t>
  </si>
  <si>
    <t>CALIBR OMBRE YELLOW</t>
  </si>
  <si>
    <t>001!0611832191100</t>
  </si>
  <si>
    <t>CALIBR PARADISE ISLAND MIX</t>
  </si>
  <si>
    <t>001!0611832192025</t>
  </si>
  <si>
    <t>CALIBR POCKET SERIES</t>
  </si>
  <si>
    <t>001!0611832193100</t>
  </si>
  <si>
    <t>CALIBR RAINBOW BERMUDA BLUE</t>
  </si>
  <si>
    <t>001!0611860920050</t>
  </si>
  <si>
    <t>CALIBR RAINBOW CALYPSO CORAL</t>
  </si>
  <si>
    <t>001!0611860921050</t>
  </si>
  <si>
    <t>CALIBR RAINBOW FLAMINGO FLAIR</t>
  </si>
  <si>
    <t>001!0611860922050</t>
  </si>
  <si>
    <t>CALIBR RAINBOW MAPLE SUGAR</t>
  </si>
  <si>
    <t>001!0611860923050</t>
  </si>
  <si>
    <t>CALIBR RAINBOW ORANGE OASIS</t>
  </si>
  <si>
    <t>001!0611860924050</t>
  </si>
  <si>
    <t>CALIBR RAINBOW PALOMA PINK</t>
  </si>
  <si>
    <t>001!0611860927050</t>
  </si>
  <si>
    <t>CALIBR RAINBOW PARISIAN PINK</t>
  </si>
  <si>
    <t>001!0611860925050</t>
  </si>
  <si>
    <t>CALIBR RAINBOW PINK BLUSH</t>
  </si>
  <si>
    <t>001!0611860926050</t>
  </si>
  <si>
    <t>CALIBR RAINBOW PINK PEPPERBRY</t>
  </si>
  <si>
    <t>001!0611860928050</t>
  </si>
  <si>
    <t>CALIBR RAINBOW TIGER TAIL</t>
  </si>
  <si>
    <t>001!0611860929050</t>
  </si>
  <si>
    <t>CALIBR SKYWALKER</t>
  </si>
  <si>
    <t>001!0611832194100</t>
  </si>
  <si>
    <t>001!0611860930050</t>
  </si>
  <si>
    <t>CALIBR TIK TOK BLUE</t>
  </si>
  <si>
    <t>001!0611860931050</t>
  </si>
  <si>
    <t>CALIBR TIK TOK GRAPE</t>
  </si>
  <si>
    <t>001!0611860932050</t>
  </si>
  <si>
    <t>CALIBR TIK TOK ORANGE</t>
  </si>
  <si>
    <t>001!0611860933050</t>
  </si>
  <si>
    <t>CALIBR TIK TOK PINK</t>
  </si>
  <si>
    <t>001!0611860934050</t>
  </si>
  <si>
    <t>CALIBR TIK TOK ROSE</t>
  </si>
  <si>
    <t>001!0611860935050</t>
  </si>
  <si>
    <t>CALIBR TIK TOK WHITE</t>
  </si>
  <si>
    <t>001!0611860936050</t>
  </si>
  <si>
    <t>CALIBR TIKTOK CRYSTAL</t>
  </si>
  <si>
    <t>001!0611884081050</t>
  </si>
  <si>
    <t>CALIBR TIKTOK SKY BLUE</t>
  </si>
  <si>
    <t>001!0611884082050</t>
  </si>
  <si>
    <t>CALIBR UNIQUE CRANBERRY PUNCH</t>
  </si>
  <si>
    <t>001!0611832196100</t>
  </si>
  <si>
    <t>CALIBR UNIQUE DARK PINK</t>
  </si>
  <si>
    <t>001!0611832197100</t>
  </si>
  <si>
    <t>CALIBR UNIQUE DARK RED</t>
  </si>
  <si>
    <t>001!0611832198100</t>
  </si>
  <si>
    <t>CALIBR UNIQUE GOLDEN YELLOW</t>
  </si>
  <si>
    <t>001!0611832199100</t>
  </si>
  <si>
    <t>CALIBR UNIQUE HOT PINK</t>
  </si>
  <si>
    <t>001!0611832200100</t>
  </si>
  <si>
    <t>CALIBR UNIQUE LAVENDER</t>
  </si>
  <si>
    <t>001!0611832201100</t>
  </si>
  <si>
    <t>CALIBR UNIQUE LILAC</t>
  </si>
  <si>
    <t>001!0611832202100</t>
  </si>
  <si>
    <t>CALIBR UNIQUE MANGO PUNCH</t>
  </si>
  <si>
    <t>001!0611832203100</t>
  </si>
  <si>
    <t>CALIBR UNIQUE ORANGE</t>
  </si>
  <si>
    <t>001!0611832204100</t>
  </si>
  <si>
    <t>CALIBR UNIQUE PINK</t>
  </si>
  <si>
    <t>001!0611832205100</t>
  </si>
  <si>
    <t>CALIBR UNIQUE WHITE</t>
  </si>
  <si>
    <t>001!0611832206100</t>
  </si>
  <si>
    <t>CALIBR VOLCANO GOLD</t>
  </si>
  <si>
    <t>001!0611860937050</t>
  </si>
  <si>
    <t>CALIBR VOLCANO NEON</t>
  </si>
  <si>
    <t>001!0611860938050</t>
  </si>
  <si>
    <t>CALIBR VOLCANO PINK</t>
  </si>
  <si>
    <t>001!0611860919050</t>
  </si>
  <si>
    <t>CALIBR VOLCANO SUNRISE</t>
  </si>
  <si>
    <t>001!0611860939050</t>
  </si>
  <si>
    <t>CALIBR VOLCANO SUNRISE LMTD</t>
  </si>
  <si>
    <t>001!0611860940050</t>
  </si>
  <si>
    <t>CALIBR VOLCANO SUNSET</t>
  </si>
  <si>
    <t>001!0611860941050</t>
  </si>
  <si>
    <t>CALLIS BOLIVIAN JEW GENERIC</t>
  </si>
  <si>
    <t>001!0611832209100</t>
  </si>
  <si>
    <t>001!0611832226100</t>
  </si>
  <si>
    <t>CALLIS TURTLE VINE REPENS</t>
  </si>
  <si>
    <t>001!0611832225100</t>
  </si>
  <si>
    <t>CALOCE CUSHION BUSH GENERIC</t>
  </si>
  <si>
    <t>001!0611832228100</t>
  </si>
  <si>
    <t>CALOCE SILVER STONE</t>
  </si>
  <si>
    <t>001!0611832229100</t>
  </si>
  <si>
    <t>CALOCE WHIMSY SILVER</t>
  </si>
  <si>
    <t>001!0611861080050</t>
  </si>
  <si>
    <t>CAMPAN BEYOND BLUE</t>
  </si>
  <si>
    <t>001!0611861081050</t>
  </si>
  <si>
    <t>CAMPAN BIRCH HYBRID</t>
  </si>
  <si>
    <t>001!0611832237025</t>
  </si>
  <si>
    <t>CAMPAN BLUE PERSICIFOLIA</t>
  </si>
  <si>
    <t>001!0611832238025</t>
  </si>
  <si>
    <t>CAMPAN CALYCANTHEMA MIX</t>
  </si>
  <si>
    <t>001!0611832239100</t>
  </si>
  <si>
    <t>001!0611832240025</t>
  </si>
  <si>
    <t>CAMPAN CAMPANELLA PINK</t>
  </si>
  <si>
    <t>001!0611832243100</t>
  </si>
  <si>
    <t>CAMPAN CAMPANELLA SERIES</t>
  </si>
  <si>
    <t>001!0611832244100</t>
  </si>
  <si>
    <t>CAMPAN CARIBOO BLUE</t>
  </si>
  <si>
    <t>001!0611832245025</t>
  </si>
  <si>
    <t>CAMPAN CARIBOO FORTE BLUE</t>
  </si>
  <si>
    <t>001!0611832246025</t>
  </si>
  <si>
    <t>CAMPAN CARPATHIAN HREBELL GNRC</t>
  </si>
  <si>
    <t>001!0611832247025</t>
  </si>
  <si>
    <t>CAMPAN CLIPS BLUE</t>
  </si>
  <si>
    <t>001!0611832249100</t>
  </si>
  <si>
    <t>001!0611832250025</t>
  </si>
  <si>
    <t>CAMPAN CLIPS DEEP BLUE</t>
  </si>
  <si>
    <t>001!0611832251100</t>
  </si>
  <si>
    <t>001!0611832252025</t>
  </si>
  <si>
    <t>CAMPAN CLIPS WHITE</t>
  </si>
  <si>
    <t>001!0611832253100</t>
  </si>
  <si>
    <t>001!0611832254025</t>
  </si>
  <si>
    <t>CAMPAN CLOCKWISE DP BLUE</t>
  </si>
  <si>
    <t>001!0611832256025</t>
  </si>
  <si>
    <t>CAMPAN DALMATIAN BELL LMTD</t>
  </si>
  <si>
    <t>001!0611861082100</t>
  </si>
  <si>
    <t>001!0611861083050</t>
  </si>
  <si>
    <t>CAMPAN DICKSONS GOLD</t>
  </si>
  <si>
    <t>001!0611832259025</t>
  </si>
  <si>
    <t>CAMPAN GENTI BLUE</t>
  </si>
  <si>
    <t>001!0611832260025</t>
  </si>
  <si>
    <t>CAMPAN GENTI TWISTERBELL</t>
  </si>
  <si>
    <t>001!0611832261025</t>
  </si>
  <si>
    <t>CAMPAN GENTI WHITE</t>
  </si>
  <si>
    <t>001!0611832262025</t>
  </si>
  <si>
    <t>CAMPAN IRIDESCENT BELLS</t>
  </si>
  <si>
    <t>001!0611832264025</t>
  </si>
  <si>
    <t>CAMPAN MILKY WAY</t>
  </si>
  <si>
    <t>001!0611832266025</t>
  </si>
  <si>
    <t>CAMPAN MXD CANTERBURY BLLS MED</t>
  </si>
  <si>
    <t>001!0611832267100</t>
  </si>
  <si>
    <t>CAMPAN PEARL DEEP BLUE</t>
  </si>
  <si>
    <t>001!0611832268100</t>
  </si>
  <si>
    <t>001!0611832269025</t>
  </si>
  <si>
    <t>CAMPAN PEARL WHITE</t>
  </si>
  <si>
    <t>001!0611832270100</t>
  </si>
  <si>
    <t>001!0611832271025</t>
  </si>
  <si>
    <t>CAMPAN POSCHARSKYANA</t>
  </si>
  <si>
    <t>001!0611832272025</t>
  </si>
  <si>
    <t>CAMPAN PRISTAR DEEP BLUE</t>
  </si>
  <si>
    <t>001!0611832274025</t>
  </si>
  <si>
    <t>CAMPAN PRISTAR LIGHT BLUE</t>
  </si>
  <si>
    <t>001!0611832275025</t>
  </si>
  <si>
    <t>CAMPAN PRISTAR WHITE</t>
  </si>
  <si>
    <t>001!0611832276025</t>
  </si>
  <si>
    <t>CAMPAN RAPIDO BLUE</t>
  </si>
  <si>
    <t>001!0611832277100</t>
  </si>
  <si>
    <t>001!0611832278025</t>
  </si>
  <si>
    <t>CAMPAN RAPIDO WHITE</t>
  </si>
  <si>
    <t>001!0611832279100</t>
  </si>
  <si>
    <t>001!0611832280025</t>
  </si>
  <si>
    <t>CAMPAN ROTUNDIFOLIA</t>
  </si>
  <si>
    <t>001!0611832281025</t>
  </si>
  <si>
    <t>CAMPAN SPRING BELL 2.0 BLUE</t>
  </si>
  <si>
    <t>001!0611832282025</t>
  </si>
  <si>
    <t>001!0611861084050</t>
  </si>
  <si>
    <t>CAMPAN SPRING BELL 2.0 DK BLUE</t>
  </si>
  <si>
    <t>001!0611832283025</t>
  </si>
  <si>
    <t>001!0611861085050</t>
  </si>
  <si>
    <t>CAMPAN SPRING BELL 2.0 WHITE</t>
  </si>
  <si>
    <t>001!0611832284025</t>
  </si>
  <si>
    <t>001!0611861086050</t>
  </si>
  <si>
    <t>CAMPAN SUPERBA GLOMERATA</t>
  </si>
  <si>
    <t>001!0611832285025</t>
  </si>
  <si>
    <t>CAMPAN TAKION BLUE</t>
  </si>
  <si>
    <t>001!0611832288025</t>
  </si>
  <si>
    <t>CAMPAN TAKION WHITE</t>
  </si>
  <si>
    <t>001!0611832289025</t>
  </si>
  <si>
    <t>CANNA CANNASOL CARMEN</t>
  </si>
  <si>
    <t>001!0611861087050</t>
  </si>
  <si>
    <t>CANNA CANNASOL CLEO</t>
  </si>
  <si>
    <t>001!0611861088050</t>
  </si>
  <si>
    <t>CANNA CANNASOL EMILY</t>
  </si>
  <si>
    <t>001!0611861089050</t>
  </si>
  <si>
    <t>CANNA CANNASOL ISABEL</t>
  </si>
  <si>
    <t>001!0611861090050</t>
  </si>
  <si>
    <t>CANNA CANNOVA BL SCARLET</t>
  </si>
  <si>
    <t>001!0611832294025</t>
  </si>
  <si>
    <t>CANNA CANNOVA BRONZE ORANGE</t>
  </si>
  <si>
    <t>001!0611832295100</t>
  </si>
  <si>
    <t>CANNA CANNOVA BRONZE PEACH</t>
  </si>
  <si>
    <t>001!0611832296100</t>
  </si>
  <si>
    <t>CANNA CANNOVA BRONZE SCARLET</t>
  </si>
  <si>
    <t>001!0611832293100</t>
  </si>
  <si>
    <t>CANNA CANNOVA LEMON</t>
  </si>
  <si>
    <t>001!0611832297100</t>
  </si>
  <si>
    <t>CANNA CANNOVA MANGO</t>
  </si>
  <si>
    <t>001!0611832298100</t>
  </si>
  <si>
    <t>CANNA CANNOVA ORANGE SHADES</t>
  </si>
  <si>
    <t>001!0611832299100</t>
  </si>
  <si>
    <t>CANNA CANNOVA RED FLAME</t>
  </si>
  <si>
    <t>001!0611832300100</t>
  </si>
  <si>
    <t>CANNA CANNOVA RED GOLDEN FLAME</t>
  </si>
  <si>
    <t>001!0611856860100</t>
  </si>
  <si>
    <t>CANNA CANNOVA RED SHADES</t>
  </si>
  <si>
    <t>001!0611832301100</t>
  </si>
  <si>
    <t>001!0611832302025</t>
  </si>
  <si>
    <t>CANNA CANNOVA ROSE</t>
  </si>
  <si>
    <t>001!0611832303100</t>
  </si>
  <si>
    <t>CANNA CANNOVA SCARLET</t>
  </si>
  <si>
    <t>001!0611832305100</t>
  </si>
  <si>
    <t>CANNA CANNOVA YELLOW</t>
  </si>
  <si>
    <t>001!0611832306100</t>
  </si>
  <si>
    <t>001!0611832307025</t>
  </si>
  <si>
    <t>CANNA GENERIC</t>
  </si>
  <si>
    <t>001!0611832291100</t>
  </si>
  <si>
    <t>001!0611832292025</t>
  </si>
  <si>
    <t>CANNA PRETORIA</t>
  </si>
  <si>
    <t>001!0611832308100</t>
  </si>
  <si>
    <t>CANNA SOUTH PACIFIC IVORY</t>
  </si>
  <si>
    <t>001!0611832309100</t>
  </si>
  <si>
    <t>CANNA SOUTH PACIFIC ORANGE</t>
  </si>
  <si>
    <t>001!0611832310100</t>
  </si>
  <si>
    <t>CANNA SOUTH PACIFIC ROSE</t>
  </si>
  <si>
    <t>001!0611832311100</t>
  </si>
  <si>
    <t>CANNA SOUTH PACIFIC SCARLET</t>
  </si>
  <si>
    <t>001!0611832312100</t>
  </si>
  <si>
    <t>CANNA TROPICAL BRZ SCARLET</t>
  </si>
  <si>
    <t>001!0611832313100</t>
  </si>
  <si>
    <t>CANNA TROPICAL RED</t>
  </si>
  <si>
    <t>001!0611832314100</t>
  </si>
  <si>
    <t>CANNA TROPICAL ROSE</t>
  </si>
  <si>
    <t>001!0611832315100</t>
  </si>
  <si>
    <t>CANNA TROPICAL SALMON</t>
  </si>
  <si>
    <t>001!0611832316100</t>
  </si>
  <si>
    <t>CANNA TROPICAL WHITE</t>
  </si>
  <si>
    <t>001!0611832317100</t>
  </si>
  <si>
    <t>CANNA TROPICAL YELLOW</t>
  </si>
  <si>
    <t>001!0611832318100</t>
  </si>
  <si>
    <t>CAREX AMAZON MIST</t>
  </si>
  <si>
    <t>001!0611832570025</t>
  </si>
  <si>
    <t>CAREX BRONCO</t>
  </si>
  <si>
    <t>001!0611832571025</t>
  </si>
  <si>
    <t>CAREX EVERGOLD</t>
  </si>
  <si>
    <t>001!0611832574025</t>
  </si>
  <si>
    <t>CAREX ICE DANCE</t>
  </si>
  <si>
    <t>001!0611832575025</t>
  </si>
  <si>
    <t>CAREX PENSYLVANICA</t>
  </si>
  <si>
    <t>001!0611832576025</t>
  </si>
  <si>
    <t>CAREX PHOENIX GREEN</t>
  </si>
  <si>
    <t>001!0611832577025</t>
  </si>
  <si>
    <t>CAREX RED ROOSTER</t>
  </si>
  <si>
    <t>001!0611832578025</t>
  </si>
  <si>
    <t>CARROT GENERIC</t>
  </si>
  <si>
    <t>001!0611833716100</t>
  </si>
  <si>
    <t>CARROT HARLEQUIN MIX</t>
  </si>
  <si>
    <t>001!0611833718100</t>
  </si>
  <si>
    <t>CARROT RAINBOW COLORS GENERIC</t>
  </si>
  <si>
    <t>001!0611833717100</t>
  </si>
  <si>
    <t>CARUM CARAWAY</t>
  </si>
  <si>
    <t>001!0611832579100</t>
  </si>
  <si>
    <t>CARYOP BLUE CLOUD</t>
  </si>
  <si>
    <t>001!0611832580025</t>
  </si>
  <si>
    <t>CARYOP DARK KNIGHT</t>
  </si>
  <si>
    <t>001!0611832581025</t>
  </si>
  <si>
    <t>001!0611861091100</t>
  </si>
  <si>
    <t>CARYOP DARK KNIGHT LMTD</t>
  </si>
  <si>
    <t>001!0611861092050</t>
  </si>
  <si>
    <t>CARYOP EMERALD CREST</t>
  </si>
  <si>
    <t>001!0611884083025</t>
  </si>
  <si>
    <t>CARYOP FIRST CHOICE LMTD</t>
  </si>
  <si>
    <t>001!0611861093100</t>
  </si>
  <si>
    <t>001!0611861094050</t>
  </si>
  <si>
    <t>CARYOP GOLD CREST</t>
  </si>
  <si>
    <t>001!0611832583025</t>
  </si>
  <si>
    <t>001!0611861095100</t>
  </si>
  <si>
    <t>CARYOP PAVILION BLUE</t>
  </si>
  <si>
    <t>001!0611832584025</t>
  </si>
  <si>
    <t>CARYOP PAVILION PINK</t>
  </si>
  <si>
    <t>001!0611832585025</t>
  </si>
  <si>
    <t>CARYOP PAVILION WHITE</t>
  </si>
  <si>
    <t>001!0611832586025</t>
  </si>
  <si>
    <t>CATANA AMOR BLUE</t>
  </si>
  <si>
    <t>001!0611832587025</t>
  </si>
  <si>
    <t>CATANA CAERULEA BLUE</t>
  </si>
  <si>
    <t>001!0611832588100</t>
  </si>
  <si>
    <t>001!0611832589025</t>
  </si>
  <si>
    <t>CAULIF AMAZING</t>
  </si>
  <si>
    <t>001!0611831809100</t>
  </si>
  <si>
    <t>CAULIF CANDID CHARM</t>
  </si>
  <si>
    <t>001!0611831826100</t>
  </si>
  <si>
    <t>CAULIF CHEDDAR</t>
  </si>
  <si>
    <t>001!0611831830100</t>
  </si>
  <si>
    <t>CAULIF EARLY SNOWBALL</t>
  </si>
  <si>
    <t>001!0611831858100</t>
  </si>
  <si>
    <t>CAULIF FLAME STAR</t>
  </si>
  <si>
    <t>001!0611831867100</t>
  </si>
  <si>
    <t>CAULIF GENERIC</t>
  </si>
  <si>
    <t>001!0611831828100</t>
  </si>
  <si>
    <t>001!0611831829200</t>
  </si>
  <si>
    <t>CAULIF GRAFFITI</t>
  </si>
  <si>
    <t>001!0611831880100</t>
  </si>
  <si>
    <t>CAULIF ORANGE GENERIC</t>
  </si>
  <si>
    <t>001!0611831917100</t>
  </si>
  <si>
    <t>CAULIF SELF BLANCHE</t>
  </si>
  <si>
    <t>001!0611831957100</t>
  </si>
  <si>
    <t>CAULIF SNOW CROWN</t>
  </si>
  <si>
    <t>001!0611831960100</t>
  </si>
  <si>
    <t>CAULIF SNOWBALL</t>
  </si>
  <si>
    <t>001!0611831962100</t>
  </si>
  <si>
    <t>CAULIF STEADY</t>
  </si>
  <si>
    <t>001!0611831967100</t>
  </si>
  <si>
    <t>CAULIF TWISTER</t>
  </si>
  <si>
    <t>001!0611831979100</t>
  </si>
  <si>
    <t>CELERI CELERIAC</t>
  </si>
  <si>
    <t>001!0611830943100</t>
  </si>
  <si>
    <t>CELERY GENERIC</t>
  </si>
  <si>
    <t>001!0611830944100</t>
  </si>
  <si>
    <t>CELERY GIANT PASCAL</t>
  </si>
  <si>
    <t>001!0611830945100</t>
  </si>
  <si>
    <t>CELERY GLDN SELF BLANCHING</t>
  </si>
  <si>
    <t>001!0611830946100</t>
  </si>
  <si>
    <t>CELERY SELF BLANCHING</t>
  </si>
  <si>
    <t>001!0611830947100</t>
  </si>
  <si>
    <t>CELERY SUMMER PASCAL</t>
  </si>
  <si>
    <t>001!0611830948100</t>
  </si>
  <si>
    <t>CELERY UTAH 52 70 R</t>
  </si>
  <si>
    <t>001!0611830949100</t>
  </si>
  <si>
    <t>CELOSI AMIGO MIX</t>
  </si>
  <si>
    <t>001!0611832804100</t>
  </si>
  <si>
    <t>CELOSI AMIGO RED</t>
  </si>
  <si>
    <t>001!0611832806100</t>
  </si>
  <si>
    <t>CELOSI ASIAN GARDEN</t>
  </si>
  <si>
    <t>001!0611832809100</t>
  </si>
  <si>
    <t>CELOSI BRAINIAC LIGHTNING YELL</t>
  </si>
  <si>
    <t>001!0611832810100</t>
  </si>
  <si>
    <t>CELOSI BRAINIAC MAD MAGENTA</t>
  </si>
  <si>
    <t>001!0611832811100</t>
  </si>
  <si>
    <t>CELOSI BRAINIAC MIX</t>
  </si>
  <si>
    <t>001!0611832812100</t>
  </si>
  <si>
    <t>CELOSI BRAINIAC RAVEN RED</t>
  </si>
  <si>
    <t>001!0611832813100</t>
  </si>
  <si>
    <t>CELOSI BRAINIAC ROBO RED</t>
  </si>
  <si>
    <t>001!0611832815100</t>
  </si>
  <si>
    <t>CELOSI BRAINIAC THINK PINK</t>
  </si>
  <si>
    <t>001!0611832816100</t>
  </si>
  <si>
    <t>CELOSI BRIGHT SPARKS BURGUNDY</t>
  </si>
  <si>
    <t>001!0611832817100</t>
  </si>
  <si>
    <t>CELOSI BRIGHT SPARKS DP ROSE</t>
  </si>
  <si>
    <t>001!0611832818100</t>
  </si>
  <si>
    <t>CELOSI BRIGHT SPARKS MIX</t>
  </si>
  <si>
    <t>001!0611832819100</t>
  </si>
  <si>
    <t>CELOSI BRIGHT SPARKS SCARLET</t>
  </si>
  <si>
    <t>001!0611832820100</t>
  </si>
  <si>
    <t>CELOSI BRIGHT SPARKS YELLOW</t>
  </si>
  <si>
    <t>001!0611832903100</t>
  </si>
  <si>
    <t>CELOSI CASTLE MIX</t>
  </si>
  <si>
    <t>001!0611832821100</t>
  </si>
  <si>
    <t>CELOSI CASTLE ORANGE</t>
  </si>
  <si>
    <t>001!0611832822100</t>
  </si>
  <si>
    <t>CELOSI CASTLE PINK</t>
  </si>
  <si>
    <t>001!0611832823100</t>
  </si>
  <si>
    <t>CELOSI CASTLE SCARLET</t>
  </si>
  <si>
    <t>001!0611832824100</t>
  </si>
  <si>
    <t>CELOSI CASTLE YELLOW</t>
  </si>
  <si>
    <t>001!0611832825100</t>
  </si>
  <si>
    <t>CELOSI CENTURY FIRE</t>
  </si>
  <si>
    <t>001!0611832826100</t>
  </si>
  <si>
    <t>CELOSI CENTURY MIX</t>
  </si>
  <si>
    <t>001!0611832827100</t>
  </si>
  <si>
    <t>CELOSI CENTURY PINK</t>
  </si>
  <si>
    <t>001!0611832828100</t>
  </si>
  <si>
    <t>CELOSI CENTURY RED</t>
  </si>
  <si>
    <t>001!0611832829100</t>
  </si>
  <si>
    <t>CELOSI CENTURY ROSE</t>
  </si>
  <si>
    <t>001!0611832830100</t>
  </si>
  <si>
    <t>CELOSI CENTURY YELLOW</t>
  </si>
  <si>
    <t>001!0611832832100</t>
  </si>
  <si>
    <t>CELOSI CHIEF MIX</t>
  </si>
  <si>
    <t>001!0611832833100</t>
  </si>
  <si>
    <t>CELOSI CONCERTINA MIX</t>
  </si>
  <si>
    <t>001!0611832834100</t>
  </si>
  <si>
    <t>CELOSI CONCERTINA PINK</t>
  </si>
  <si>
    <t>001!0611832835100</t>
  </si>
  <si>
    <t>CELOSI CONCERTINA PURPLE</t>
  </si>
  <si>
    <t>001!0611832836100</t>
  </si>
  <si>
    <t>CELOSI CONCERTINA RED</t>
  </si>
  <si>
    <t>001!0611832837100</t>
  </si>
  <si>
    <t>CELOSI CONCERTINA RED DK LEAF</t>
  </si>
  <si>
    <t>001!0611832838100</t>
  </si>
  <si>
    <t>CELOSI CONCERTINA YELLOW</t>
  </si>
  <si>
    <t>001!0611832839100</t>
  </si>
  <si>
    <t>CELOSI CRESTED GENERIC</t>
  </si>
  <si>
    <t>001!0611832840100</t>
  </si>
  <si>
    <t>CELOSI DRACULA</t>
  </si>
  <si>
    <t>001!0611832841100</t>
  </si>
  <si>
    <t>CELOSI DRAGONS BREATH</t>
  </si>
  <si>
    <t>001!0611832842100</t>
  </si>
  <si>
    <t>001!0611832843025</t>
  </si>
  <si>
    <t>CELOSI FASHION LOOK MIX</t>
  </si>
  <si>
    <t>001!0611832844100</t>
  </si>
  <si>
    <t>CELOSI FIRST FLAME MIX</t>
  </si>
  <si>
    <t>001!0611832845100</t>
  </si>
  <si>
    <t>CELOSI FIRST FLAME ORANGE</t>
  </si>
  <si>
    <t>001!0611832846100</t>
  </si>
  <si>
    <t>CELOSI FIRST FLAME PURPLE</t>
  </si>
  <si>
    <t>001!0611832847100</t>
  </si>
  <si>
    <t>CELOSI FIRST FLAME RED</t>
  </si>
  <si>
    <t>001!0611832848100</t>
  </si>
  <si>
    <t>CELOSI FIRST FLAME SCARLET</t>
  </si>
  <si>
    <t>001!0611832849100</t>
  </si>
  <si>
    <t>CELOSI FIRST FLAME YELLOW</t>
  </si>
  <si>
    <t>001!0611832850100</t>
  </si>
  <si>
    <t>CELOSI FLAMINGO FEATHER</t>
  </si>
  <si>
    <t>001!0611832851100</t>
  </si>
  <si>
    <t>CELOSI FLAMINGO FEATHER PURP</t>
  </si>
  <si>
    <t>001!0611832852100</t>
  </si>
  <si>
    <t>CELOSI FLAMMA BRIGHT RED</t>
  </si>
  <si>
    <t>001!0611856861100</t>
  </si>
  <si>
    <t>CELOSI FLAMMA GOLDEN</t>
  </si>
  <si>
    <t>001!0611856862100</t>
  </si>
  <si>
    <t>CELOSI FLAMMA MIX</t>
  </si>
  <si>
    <t>001!0611856863100</t>
  </si>
  <si>
    <t>CELOSI FLAMMA ORANGE</t>
  </si>
  <si>
    <t>001!0611856864100</t>
  </si>
  <si>
    <t>CELOSI FLAMMA RED</t>
  </si>
  <si>
    <t>001!0611856865100</t>
  </si>
  <si>
    <t>CELOSI FLAMMA ROSE</t>
  </si>
  <si>
    <t>001!0611856866100</t>
  </si>
  <si>
    <t>CELOSI FRESH LOOK GOLD</t>
  </si>
  <si>
    <t>001!0611832853100</t>
  </si>
  <si>
    <t>CELOSI FRESH LOOK MIX</t>
  </si>
  <si>
    <t>001!0611832854100</t>
  </si>
  <si>
    <t>CELOSI FRESH LOOK ORANGE</t>
  </si>
  <si>
    <t>001!0611832855100</t>
  </si>
  <si>
    <t>CELOSI FRESH LOOK RED</t>
  </si>
  <si>
    <t>001!0611832856100</t>
  </si>
  <si>
    <t>CELOSI FRESH LOOK YELLOW</t>
  </si>
  <si>
    <t>001!0611832857100</t>
  </si>
  <si>
    <t>CELOSI GLORIA MIX</t>
  </si>
  <si>
    <t>001!0611832858100</t>
  </si>
  <si>
    <t>CELOSI GLORIOUS MIX</t>
  </si>
  <si>
    <t>001!0611832859100</t>
  </si>
  <si>
    <t>CELOSI GLORIOUS ORANGE</t>
  </si>
  <si>
    <t>001!0611832860100</t>
  </si>
  <si>
    <t>CELOSI GLORIOUS PINK</t>
  </si>
  <si>
    <t>001!0611832861100</t>
  </si>
  <si>
    <t>CELOSI GLORIOUS RED</t>
  </si>
  <si>
    <t>001!0611832862100</t>
  </si>
  <si>
    <t>CELOSI GLORIOUS YELLOW</t>
  </si>
  <si>
    <t>001!0611832863100</t>
  </si>
  <si>
    <t>CELOSI GNRC BLNGL DSIGN</t>
  </si>
  <si>
    <t>001!0611832864100</t>
  </si>
  <si>
    <t>CELOSI ICE CREAM BANANA</t>
  </si>
  <si>
    <t>001!0611832865100</t>
  </si>
  <si>
    <t>CELOSI ICE CREAM CHERRY</t>
  </si>
  <si>
    <t>001!0611832866100</t>
  </si>
  <si>
    <t>CELOSI ICE CREAM MANGO</t>
  </si>
  <si>
    <t>001!0611832867100</t>
  </si>
  <si>
    <t>CELOSI ICE CREAM MIX</t>
  </si>
  <si>
    <t>001!0611832868100</t>
  </si>
  <si>
    <t>CELOSI ICE CREAM ORANGE</t>
  </si>
  <si>
    <t>001!0611832869100</t>
  </si>
  <si>
    <t>CELOSI ICE CREAM SALMON</t>
  </si>
  <si>
    <t>001!0611832871100</t>
  </si>
  <si>
    <t>CELOSI INTENZ DARK PURPLE</t>
  </si>
  <si>
    <t>001!0611832873100</t>
  </si>
  <si>
    <t>CELOSI INTENZ PINK</t>
  </si>
  <si>
    <t>001!0611832874100</t>
  </si>
  <si>
    <t>CELOSI INTENZ SERIES</t>
  </si>
  <si>
    <t>001!0611884084100</t>
  </si>
  <si>
    <t>CELOSI JEWEL BOX MIX</t>
  </si>
  <si>
    <t>001!0611832875100</t>
  </si>
  <si>
    <t>CELOSI KELOS CANDELA PINK</t>
  </si>
  <si>
    <t>001!0611832876100</t>
  </si>
  <si>
    <t>CELOSI KELOS SERIES</t>
  </si>
  <si>
    <t>001!0611832878100</t>
  </si>
  <si>
    <t>CELOSI KIMONO CHERRY RED</t>
  </si>
  <si>
    <t>001!0611832879100</t>
  </si>
  <si>
    <t>CELOSI KIMONO MIX</t>
  </si>
  <si>
    <t>001!0611832880100</t>
  </si>
  <si>
    <t>CELOSI KIMONO ORANGE</t>
  </si>
  <si>
    <t>001!0611832881100</t>
  </si>
  <si>
    <t>CELOSI KIMONO RED</t>
  </si>
  <si>
    <t>001!0611832882100</t>
  </si>
  <si>
    <t>CELOSI KIMONO ROSE</t>
  </si>
  <si>
    <t>001!0611832883100</t>
  </si>
  <si>
    <t>CELOSI KIMONO SALMON PINK</t>
  </si>
  <si>
    <t>001!0611832884100</t>
  </si>
  <si>
    <t>CELOSI KIMONO SCARLET</t>
  </si>
  <si>
    <t>001!0611832885100</t>
  </si>
  <si>
    <t>CELOSI KIMONO YELLOW</t>
  </si>
  <si>
    <t>001!0611832886100</t>
  </si>
  <si>
    <t>CELOSI KOSMO CHERRY</t>
  </si>
  <si>
    <t>001!0611832887100</t>
  </si>
  <si>
    <t>CELOSI KOSMO MIX</t>
  </si>
  <si>
    <t>001!0611832888100</t>
  </si>
  <si>
    <t>CELOSI KOSMO ORANGE</t>
  </si>
  <si>
    <t>001!0611832889100</t>
  </si>
  <si>
    <t>CELOSI KOSMO PURPLE RED</t>
  </si>
  <si>
    <t>001!0611832890100</t>
  </si>
  <si>
    <t>CELOSI LOOK</t>
  </si>
  <si>
    <t>001!0611832893100</t>
  </si>
  <si>
    <t>CELOSI MIX GENERIC PLUMOSA</t>
  </si>
  <si>
    <t>001!0611832894100</t>
  </si>
  <si>
    <t>CELOSI PRESTIGE SCARLET</t>
  </si>
  <si>
    <t>001!0611832895100</t>
  </si>
  <si>
    <t>CELOSI RED GENERIC PLUMOSA</t>
  </si>
  <si>
    <t>001!0611832896100</t>
  </si>
  <si>
    <t>CELOSI SHORT GENERIC</t>
  </si>
  <si>
    <t>001!0611832897100</t>
  </si>
  <si>
    <t>CELOSI SMART LOOK RED</t>
  </si>
  <si>
    <t>001!0611832898100</t>
  </si>
  <si>
    <t>CELOSI SMART LOOK ROMANTICA</t>
  </si>
  <si>
    <t>001!0611832899100</t>
  </si>
  <si>
    <t>CELOSI SOL GEKKO GREEN</t>
  </si>
  <si>
    <t>001!0611832900100</t>
  </si>
  <si>
    <t>CELOSI SOL LIZZARD LEAF</t>
  </si>
  <si>
    <t>001!0611832901100</t>
  </si>
  <si>
    <t>CELOSI TALL CRESTED GENERIC</t>
  </si>
  <si>
    <t>001!0611832904100</t>
  </si>
  <si>
    <t>CENTAU BACHELOR BUTTON GNRC</t>
  </si>
  <si>
    <t>001!0611832905100</t>
  </si>
  <si>
    <t>CENTAU BLUE BOY</t>
  </si>
  <si>
    <t>001!0611832906100</t>
  </si>
  <si>
    <t>CENTAU BLUE MONTANA</t>
  </si>
  <si>
    <t>001!0611832907100</t>
  </si>
  <si>
    <t>001!0611832908025</t>
  </si>
  <si>
    <t>CENTAU CHROME FOUNTAIN</t>
  </si>
  <si>
    <t>001!0611832909100</t>
  </si>
  <si>
    <t>001!0611861097050</t>
  </si>
  <si>
    <t>CENTAU DEALBATA</t>
  </si>
  <si>
    <t>001!0611832910025</t>
  </si>
  <si>
    <t>CENTAU MERCURY</t>
  </si>
  <si>
    <t>001!0611884085100</t>
  </si>
  <si>
    <t>CENTAU SILVER SWIRL</t>
  </si>
  <si>
    <t>001!0611884086025</t>
  </si>
  <si>
    <t>CENTRA ALBUS</t>
  </si>
  <si>
    <t>001!0611832911100</t>
  </si>
  <si>
    <t>CENTRA CASCADE</t>
  </si>
  <si>
    <t>001!0611832912100</t>
  </si>
  <si>
    <t>CENTRA COCCINEUS</t>
  </si>
  <si>
    <t>001!0611832913025</t>
  </si>
  <si>
    <t>CENTRA RUBER</t>
  </si>
  <si>
    <t>001!0611832914025</t>
  </si>
  <si>
    <t>CERAST SILVER CARPET</t>
  </si>
  <si>
    <t>001!0611832915025</t>
  </si>
  <si>
    <t>CERAST SILVERY SUMMER</t>
  </si>
  <si>
    <t>001!0611832916025</t>
  </si>
  <si>
    <t>CERAST TOMENTOSUM</t>
  </si>
  <si>
    <t>001!0611832917100</t>
  </si>
  <si>
    <t>001!0611832918025</t>
  </si>
  <si>
    <t>CERATO PLUMBAGINOIDES</t>
  </si>
  <si>
    <t>001!0611832919025</t>
  </si>
  <si>
    <t>001!0611861098100</t>
  </si>
  <si>
    <t>001!0611861099050</t>
  </si>
  <si>
    <t>CERATO PLUMBAGINOIDES LMTD</t>
  </si>
  <si>
    <t>001!0611861100050</t>
  </si>
  <si>
    <t>CEROPE STRING OF HEARTS WOODII</t>
  </si>
  <si>
    <t>001!0611832920100</t>
  </si>
  <si>
    <t>CHAMAE BELLA PALM</t>
  </si>
  <si>
    <t>001!0611832921100</t>
  </si>
  <si>
    <t>CHAMAE ROMAN</t>
  </si>
  <si>
    <t>001!0611884087025</t>
  </si>
  <si>
    <t>CHAMAE STAR DUST WHT SPARKL</t>
  </si>
  <si>
    <t>001!0611861101050</t>
  </si>
  <si>
    <t>CHAMOM GENERIC</t>
  </si>
  <si>
    <t>001!0611832922100</t>
  </si>
  <si>
    <t>CHAMOM GERMAN</t>
  </si>
  <si>
    <t>001!0611832923100</t>
  </si>
  <si>
    <t>001!0611836713025</t>
  </si>
  <si>
    <t>CHAMOM ROMAN</t>
  </si>
  <si>
    <t>001!0611832924100</t>
  </si>
  <si>
    <t>CHASMA LATIFOLIUM</t>
  </si>
  <si>
    <t>001!0611832925025</t>
  </si>
  <si>
    <t>CHELON LYONII HOT LIPS</t>
  </si>
  <si>
    <t>001!0611832926025</t>
  </si>
  <si>
    <t>CHELON PINK TEMPTATION LYONII</t>
  </si>
  <si>
    <t>001!0611832927025</t>
  </si>
  <si>
    <t>CHELON TINY TORTUGA</t>
  </si>
  <si>
    <t>001!0611861102050</t>
  </si>
  <si>
    <t>CHLORO BONNIE</t>
  </si>
  <si>
    <t>001!0611832933100</t>
  </si>
  <si>
    <t>CHLORO GREEN</t>
  </si>
  <si>
    <t>001!0611832929100</t>
  </si>
  <si>
    <t>CHLORO PICTURATUM</t>
  </si>
  <si>
    <t>001!0611832930100</t>
  </si>
  <si>
    <t>CHLORO VARIEGATED</t>
  </si>
  <si>
    <t>001!0611832931100</t>
  </si>
  <si>
    <t>001!0611832932100</t>
  </si>
  <si>
    <t>CHRYSA 24KARAMUM BRONZE</t>
  </si>
  <si>
    <t>001!0611861103050</t>
  </si>
  <si>
    <t>CHRYSA 24KARAMUM GOLD</t>
  </si>
  <si>
    <t>001!0611861104050</t>
  </si>
  <si>
    <t>CHRYSA ADDISON WHITE</t>
  </si>
  <si>
    <t>001!0611832934100</t>
  </si>
  <si>
    <t>CHRYSA ADRIANA PURPLE</t>
  </si>
  <si>
    <t>001!0611832935100</t>
  </si>
  <si>
    <t>CHRYSA AIDEEN RED FIRE</t>
  </si>
  <si>
    <t>001!0611832936100</t>
  </si>
  <si>
    <t>CHRYSA APPLE CIDER</t>
  </si>
  <si>
    <t>001!0611861105050</t>
  </si>
  <si>
    <t>CHRYSA ARLETTE PURPLE</t>
  </si>
  <si>
    <t>001!0611832938100</t>
  </si>
  <si>
    <t>CHRYSA ASHLEY RED</t>
  </si>
  <si>
    <t>001!0611832940100</t>
  </si>
  <si>
    <t>CHRYSA AUBREY ORANGE</t>
  </si>
  <si>
    <t>001!0611832941100</t>
  </si>
  <si>
    <t>CHRYSA AUTUMN SUNSET</t>
  </si>
  <si>
    <t>001!0611856867100</t>
  </si>
  <si>
    <t>CHRYSA BALANCE BRONZE BIC</t>
  </si>
  <si>
    <t>001!0611861106050</t>
  </si>
  <si>
    <t>CHRYSA BANQUET PINK</t>
  </si>
  <si>
    <t>001!0611861107050</t>
  </si>
  <si>
    <t>CHRYSA BANQUET PINK BIC</t>
  </si>
  <si>
    <t>001!0611861108050</t>
  </si>
  <si>
    <t>CHRYSA BANQUET PURPLE</t>
  </si>
  <si>
    <t>001!0611861109050</t>
  </si>
  <si>
    <t>CHRYSA BANQUET RED BIC</t>
  </si>
  <si>
    <t>001!0611861110050</t>
  </si>
  <si>
    <t>CHRYSA BEACH YELLOW</t>
  </si>
  <si>
    <t>001!0611861111050</t>
  </si>
  <si>
    <t>CHRYSA BEATRICE ORANGE</t>
  </si>
  <si>
    <t>001!0611884088100</t>
  </si>
  <si>
    <t>CHRYSA BERTHA WHITE</t>
  </si>
  <si>
    <t>001!0611832942100</t>
  </si>
  <si>
    <t>CHRYSA BETHANY YELLOW</t>
  </si>
  <si>
    <t>001!0611832944100</t>
  </si>
  <si>
    <t>CHRYSA BEVERLY BRONZE</t>
  </si>
  <si>
    <t>001!0611832945100</t>
  </si>
  <si>
    <t>CHRYSA BEVERLY DARK BRONZE</t>
  </si>
  <si>
    <t>001!0611832946100</t>
  </si>
  <si>
    <t>CHRYSA BEVERLY GOLD</t>
  </si>
  <si>
    <t>001!0611832947100</t>
  </si>
  <si>
    <t>CHRYSA BEVERLY ORANGE</t>
  </si>
  <si>
    <t>001!0611832948100</t>
  </si>
  <si>
    <t>CHRYSA BLISS WHITE</t>
  </si>
  <si>
    <t>001!0611861112050</t>
  </si>
  <si>
    <t>CHRYSA BLITZ LEMON</t>
  </si>
  <si>
    <t>001!0611861113050</t>
  </si>
  <si>
    <t>CHRYSA BONNIE RED</t>
  </si>
  <si>
    <t>001!0611832949100</t>
  </si>
  <si>
    <t>CHRYSA BRANDI BURGUNDY</t>
  </si>
  <si>
    <t>001!0611832950100</t>
  </si>
  <si>
    <t>CHRYSA BRITTANY YELLOW</t>
  </si>
  <si>
    <t>001!0611832951100</t>
  </si>
  <si>
    <t>CHRYSA BRONZE/ORANGE GENERIC</t>
  </si>
  <si>
    <t>001!0611832952100</t>
  </si>
  <si>
    <t>CHRYSA BRONZE/ORANGE LK6044</t>
  </si>
  <si>
    <t>001!0611861114100</t>
  </si>
  <si>
    <t>CHRYSA BROOKE DARK PINK</t>
  </si>
  <si>
    <t>001!0611832954100</t>
  </si>
  <si>
    <t>CHRYSA BUZZ LAVENDER</t>
  </si>
  <si>
    <t>001!0611861115050</t>
  </si>
  <si>
    <t>CHRYSA BUZZ MERLOT</t>
  </si>
  <si>
    <t>001!0611861116050</t>
  </si>
  <si>
    <t>CHRYSA CALM WHITE</t>
  </si>
  <si>
    <t>001!0611861117050</t>
  </si>
  <si>
    <t>CHRYSA CATCH RED</t>
  </si>
  <si>
    <t>001!0611861118050</t>
  </si>
  <si>
    <t>CHRYSA CEREMONY WHITE</t>
  </si>
  <si>
    <t>001!0611861119050</t>
  </si>
  <si>
    <t>CHRYSA CHAMPAGNE</t>
  </si>
  <si>
    <t>001!0611861120050</t>
  </si>
  <si>
    <t>CHRYSA CHEER RED</t>
  </si>
  <si>
    <t>001!0611861121050</t>
  </si>
  <si>
    <t>CHRYSA CHELSEY CORAL</t>
  </si>
  <si>
    <t>001!0611832955100</t>
  </si>
  <si>
    <t>CHRYSA CHELSEY PINK</t>
  </si>
  <si>
    <t>001!0611832956100</t>
  </si>
  <si>
    <t>CHRYSA CHELSEY WHITE</t>
  </si>
  <si>
    <t>001!0611832957100</t>
  </si>
  <si>
    <t>CHRYSA CHELSEY YELLOW</t>
  </si>
  <si>
    <t>001!0611832958100</t>
  </si>
  <si>
    <t>CHRYSA CHERRY PURPLE</t>
  </si>
  <si>
    <t>001!0611861123050</t>
  </si>
  <si>
    <t>CHRYSA CHERRY RED</t>
  </si>
  <si>
    <t>001!0611861124050</t>
  </si>
  <si>
    <t>CHRYSA CHERYL FROSTY</t>
  </si>
  <si>
    <t>001!0611832959100</t>
  </si>
  <si>
    <t>CHRYSA CHERYL GOLDEN</t>
  </si>
  <si>
    <t>001!0611832960100</t>
  </si>
  <si>
    <t>CHRYSA CHERYL JOLLY RED</t>
  </si>
  <si>
    <t>001!0611832964100</t>
  </si>
  <si>
    <t>CHRYSA CHERYL PINK</t>
  </si>
  <si>
    <t>001!0611832962100</t>
  </si>
  <si>
    <t>CHRYSA CHERYL REGAL PURPLE</t>
  </si>
  <si>
    <t>001!0611832963100</t>
  </si>
  <si>
    <t>CHRYSA CHERYL SPARKLING YELLOW</t>
  </si>
  <si>
    <t>001!0611832965100</t>
  </si>
  <si>
    <t>CHRYSA CHERYL SPICY ORANGE</t>
  </si>
  <si>
    <t>001!0611832961100</t>
  </si>
  <si>
    <t>CHRYSA CHILI RED</t>
  </si>
  <si>
    <t>001!0611861125050</t>
  </si>
  <si>
    <t>CHRYSA CHLOE YELLOW</t>
  </si>
  <si>
    <t>001!0611832966100</t>
  </si>
  <si>
    <t>CHRYSA CHRISTINA RED</t>
  </si>
  <si>
    <t>001!0611832967100</t>
  </si>
  <si>
    <t>CHRYSA COLEOSTEPHUS MYCONIS</t>
  </si>
  <si>
    <t>001!0611832968100</t>
  </si>
  <si>
    <t>CHRYSA CONCERT PURPLE</t>
  </si>
  <si>
    <t>001!0611861126050</t>
  </si>
  <si>
    <t>CHRYSA CORAL/SALMON GENERIC</t>
  </si>
  <si>
    <t>001!0611832969100</t>
  </si>
  <si>
    <t>CHRYSA CRUISE YELLOW</t>
  </si>
  <si>
    <t>001!0611861127050</t>
  </si>
  <si>
    <t>CHRYSA CRUSH ORANGE</t>
  </si>
  <si>
    <t>001!0611861128050</t>
  </si>
  <si>
    <t>CHRYSA CYNTHIA SCARLET</t>
  </si>
  <si>
    <t>001!0611832970100</t>
  </si>
  <si>
    <t>CHRYSA DANIELLE PURPLE</t>
  </si>
  <si>
    <t>001!0611832971100</t>
  </si>
  <si>
    <t>CHRYSA DANIELLE RED</t>
  </si>
  <si>
    <t>001!0611832972100</t>
  </si>
  <si>
    <t>CHRYSA DARLING PINK</t>
  </si>
  <si>
    <t>001!0611861129050</t>
  </si>
  <si>
    <t>CHRYSA DAWN YELLOW</t>
  </si>
  <si>
    <t>001!0611832973100</t>
  </si>
  <si>
    <t>CHRYSA DEBBIE HOT PINK</t>
  </si>
  <si>
    <t>001!0611832974100</t>
  </si>
  <si>
    <t>CHRYSA DEMI PINK</t>
  </si>
  <si>
    <t>001!0611832975100</t>
  </si>
  <si>
    <t>CHRYSA DESIRE GOLDEN</t>
  </si>
  <si>
    <t>001!0611861130050</t>
  </si>
  <si>
    <t>CHRYSA DITTO DARK ORANGE</t>
  </si>
  <si>
    <t>001!0611861131050</t>
  </si>
  <si>
    <t>CHRYSA DITTO DARK PINK</t>
  </si>
  <si>
    <t>001!0611861132050</t>
  </si>
  <si>
    <t>CHRYSA DITTO PINK</t>
  </si>
  <si>
    <t>001!0611861134050</t>
  </si>
  <si>
    <t>CHRYSA DITTO WHITE</t>
  </si>
  <si>
    <t>001!0611861135050</t>
  </si>
  <si>
    <t>CHRYSA DITTO YELLOW</t>
  </si>
  <si>
    <t>001!0611861136050</t>
  </si>
  <si>
    <t>CHRYSA DOROTHY BRONZE</t>
  </si>
  <si>
    <t>001!0611884089100</t>
  </si>
  <si>
    <t>CHRYSA ECSTATIC PURPLE</t>
  </si>
  <si>
    <t>001!0611861137050</t>
  </si>
  <si>
    <t>CHRYSA EDANA RED</t>
  </si>
  <si>
    <t>001!0611832976100</t>
  </si>
  <si>
    <t>CHRYSA EDITH WHITE</t>
  </si>
  <si>
    <t>001!0611832977100</t>
  </si>
  <si>
    <t>CHRYSA ELATED PURPLE</t>
  </si>
  <si>
    <t>001!0611861138050</t>
  </si>
  <si>
    <t>CHRYSA ELECTRA AMBER</t>
  </si>
  <si>
    <t>001!0611832978100</t>
  </si>
  <si>
    <t>CHRYSA ELENA GOLD</t>
  </si>
  <si>
    <t>001!0611832979100</t>
  </si>
  <si>
    <t>CHRYSA ELIZABETH DARK PINK</t>
  </si>
  <si>
    <t>001!0611856868100</t>
  </si>
  <si>
    <t>CHRYSA ELLEN GOLDEN BICOLOR</t>
  </si>
  <si>
    <t>001!0611884090100</t>
  </si>
  <si>
    <t>CHRYSA EMELDA PURPLE</t>
  </si>
  <si>
    <t>001!0611832980100</t>
  </si>
  <si>
    <t>CHRYSA FAIR WHITE</t>
  </si>
  <si>
    <t>001!0611861139050</t>
  </si>
  <si>
    <t>CHRYSA FESTIVE PURPLE</t>
  </si>
  <si>
    <t>001!0611861140050</t>
  </si>
  <si>
    <t>CHRYSA FEVERFEW GENERIC</t>
  </si>
  <si>
    <t>001!0611832981100</t>
  </si>
  <si>
    <t>CHRYSA FIELD YELLOW</t>
  </si>
  <si>
    <t>001!0611861141050</t>
  </si>
  <si>
    <t>CHRYSA FIESTA RED</t>
  </si>
  <si>
    <t>001!0611861142050</t>
  </si>
  <si>
    <t>CHRYSA FLAME BICOLOR</t>
  </si>
  <si>
    <t>001!0611861143050</t>
  </si>
  <si>
    <t>CHRYSA GIGI CORAL</t>
  </si>
  <si>
    <t>001!0611832982100</t>
  </si>
  <si>
    <t>CHRYSA GIGI DARK PINK</t>
  </si>
  <si>
    <t>001!0611832983100</t>
  </si>
  <si>
    <t>CHRYSA GIGI GOLD</t>
  </si>
  <si>
    <t>001!0611832984100</t>
  </si>
  <si>
    <t>CHRYSA GIGI ORANGE</t>
  </si>
  <si>
    <t>001!0611832985100</t>
  </si>
  <si>
    <t>CHRYSA GIGI SNOW</t>
  </si>
  <si>
    <t>001!0611832986100</t>
  </si>
  <si>
    <t>CHRYSA GIGI YELLOW</t>
  </si>
  <si>
    <t>001!0611832987100</t>
  </si>
  <si>
    <t>CHRYSA GOAL LIGHT BRONZE</t>
  </si>
  <si>
    <t>001!0611861144050</t>
  </si>
  <si>
    <t>CHRYSA GOAL ORANGE</t>
  </si>
  <si>
    <t>001!0611861145050</t>
  </si>
  <si>
    <t>CHRYSA GOAL YELLOW</t>
  </si>
  <si>
    <t>001!0611861146050</t>
  </si>
  <si>
    <t>CHRYSA HAILEY GOLD</t>
  </si>
  <si>
    <t>001!0611832988100</t>
  </si>
  <si>
    <t>CHRYSA HAILEY ORANGE</t>
  </si>
  <si>
    <t>001!0611832989100</t>
  </si>
  <si>
    <t>CHRYSA HAILEY RED BRONZE</t>
  </si>
  <si>
    <t>001!0611832990100</t>
  </si>
  <si>
    <t>CHRYSA HANKIE YELLOW</t>
  </si>
  <si>
    <t>001!0611832991100</t>
  </si>
  <si>
    <t>CHRYSA HANNAH ORANGE</t>
  </si>
  <si>
    <t>001!0611832992100</t>
  </si>
  <si>
    <t>CHRYSA HARDY MUM GENERIC</t>
  </si>
  <si>
    <t>001!0611832993100</t>
  </si>
  <si>
    <t>001!0611832994025</t>
  </si>
  <si>
    <t>CHRYSA HESTIA HOT RED</t>
  </si>
  <si>
    <t>001!0611832995100</t>
  </si>
  <si>
    <t>CHRYSA HOMERUN ORANGE</t>
  </si>
  <si>
    <t>001!0611861147050</t>
  </si>
  <si>
    <t>CHRYSA HOMERUN PINK</t>
  </si>
  <si>
    <t>001!0611861148050</t>
  </si>
  <si>
    <t>CHRYSA HOMERUN SCARLET</t>
  </si>
  <si>
    <t>001!0611861149050</t>
  </si>
  <si>
    <t>CHRYSA HOMERUN WHITE</t>
  </si>
  <si>
    <t>001!0611861150050</t>
  </si>
  <si>
    <t>CHRYSA HOMERUN YELLOW</t>
  </si>
  <si>
    <t>001!0611861151050</t>
  </si>
  <si>
    <t>CHRYSA JACQUELINE ORANGE FSN</t>
  </si>
  <si>
    <t>001!0611832996100</t>
  </si>
  <si>
    <t>CHRYSA JACQUELINE PEACH FSN</t>
  </si>
  <si>
    <t>001!0611832997100</t>
  </si>
  <si>
    <t>CHRYSA JACQUELINE PEARL</t>
  </si>
  <si>
    <t>001!0611832998100</t>
  </si>
  <si>
    <t>CHRYSA JACQUELINE PINK</t>
  </si>
  <si>
    <t>001!0611832999100</t>
  </si>
  <si>
    <t>CHRYSA JACQUELINE ROSE</t>
  </si>
  <si>
    <t>001!0611833000100</t>
  </si>
  <si>
    <t>CHRYSA JACQUELINE YELLOW</t>
  </si>
  <si>
    <t>001!0611833001100</t>
  </si>
  <si>
    <t>CHRYSA JAMBOREE PINK WHITE</t>
  </si>
  <si>
    <t>001!0611861152050</t>
  </si>
  <si>
    <t>CHRYSA JAMBOREE PURPLE WHITE</t>
  </si>
  <si>
    <t>001!0611861153050</t>
  </si>
  <si>
    <t>CHRYSA JAMBOREE RED YELLOW</t>
  </si>
  <si>
    <t>001!0611861154050</t>
  </si>
  <si>
    <t>CHRYSA JANE YELLOW</t>
  </si>
  <si>
    <t>001!0611856869100</t>
  </si>
  <si>
    <t>CHRYSA JOAN WHITE</t>
  </si>
  <si>
    <t>001!0611856870100</t>
  </si>
  <si>
    <t>CHRYSA JOLLY DARK BRONZE</t>
  </si>
  <si>
    <t>001!0611861156050</t>
  </si>
  <si>
    <t>CHRYSA JOSEPHINE RED</t>
  </si>
  <si>
    <t>001!0611856871100</t>
  </si>
  <si>
    <t>CHRYSA JUBILANT RED</t>
  </si>
  <si>
    <t>001!0611861157050</t>
  </si>
  <si>
    <t>CHRYSA JUDY BRONZE</t>
  </si>
  <si>
    <t>001!0611856872100</t>
  </si>
  <si>
    <t>CHRYSA JUMP WHITE</t>
  </si>
  <si>
    <t>001!0611861158050</t>
  </si>
  <si>
    <t>CHRYSA KATHLEEN DARK RED</t>
  </si>
  <si>
    <t>001!0611833002100</t>
  </si>
  <si>
    <t>CHRYSA KATIE WHITE</t>
  </si>
  <si>
    <t>001!0611833003100</t>
  </si>
  <si>
    <t>CHRYSA KEELEY ORANGE</t>
  </si>
  <si>
    <t>001!0611833004100</t>
  </si>
  <si>
    <t>CHRYSA KICK ORANGE</t>
  </si>
  <si>
    <t>001!0611861159050</t>
  </si>
  <si>
    <t>CHRYSA LAGOON PURPLE</t>
  </si>
  <si>
    <t>001!0611861160050</t>
  </si>
  <si>
    <t>CHRYSA LEAGUE PINK</t>
  </si>
  <si>
    <t>001!0611861161050</t>
  </si>
  <si>
    <t>CHRYSA LIVELY PINK BICOLOR</t>
  </si>
  <si>
    <t>001!0611861162050</t>
  </si>
  <si>
    <t>CHRYSA LIVELY RED BICOLOR</t>
  </si>
  <si>
    <t>001!0611861163050</t>
  </si>
  <si>
    <t>CHRYSA LUCKY PURPLE</t>
  </si>
  <si>
    <t>001!0611861164050</t>
  </si>
  <si>
    <t>CHRYSA LUCY BRONZE BICOLOR</t>
  </si>
  <si>
    <t>001!0611884091100</t>
  </si>
  <si>
    <t>CHRYSA MAKAYLA YELLOW</t>
  </si>
  <si>
    <t>001!0611833005100</t>
  </si>
  <si>
    <t>CHRYSA MAKENNA ORANGE</t>
  </si>
  <si>
    <t>001!0611833006100</t>
  </si>
  <si>
    <t>CHRYSA MAKENZIE WHITE</t>
  </si>
  <si>
    <t>001!0611833007100</t>
  </si>
  <si>
    <t>CHRYSA MARSHA PINK</t>
  </si>
  <si>
    <t>001!0611833008100</t>
  </si>
  <si>
    <t>CHRYSA MARY YELLOW</t>
  </si>
  <si>
    <t>001!0611833009100</t>
  </si>
  <si>
    <t>CHRYSA MELODY BRONZE</t>
  </si>
  <si>
    <t>001!0611861165050</t>
  </si>
  <si>
    <t>CHRYSA MERIDIAN DARK PINK</t>
  </si>
  <si>
    <t>001!0611861166050</t>
  </si>
  <si>
    <t>CHRYSA MERRY BRONZE BICOLOR</t>
  </si>
  <si>
    <t>001!0611861167050</t>
  </si>
  <si>
    <t>CHRYSA MICHELLE GOLD</t>
  </si>
  <si>
    <t>001!0611833010100</t>
  </si>
  <si>
    <t>CHRYSA MILA RED</t>
  </si>
  <si>
    <t>001!0611833011100</t>
  </si>
  <si>
    <t>CHRYSA MILDRED WHITE</t>
  </si>
  <si>
    <t>001!0611833012100</t>
  </si>
  <si>
    <t>CHRYSA MIMOSA</t>
  </si>
  <si>
    <t>001!0611861168050</t>
  </si>
  <si>
    <t>CHRYSA MIRANDA ORANGE</t>
  </si>
  <si>
    <t>001!0611833013100</t>
  </si>
  <si>
    <t>CHRYSA MUM GENERIC</t>
  </si>
  <si>
    <t>001!0611833014100</t>
  </si>
  <si>
    <t>001!0611833015100</t>
  </si>
  <si>
    <t>CHRYSA NIKKI BRONZE</t>
  </si>
  <si>
    <t>001!0611833016100</t>
  </si>
  <si>
    <t>CHRYSA NIKKI DARK PINK</t>
  </si>
  <si>
    <t>001!0611833017100</t>
  </si>
  <si>
    <t>CHRYSA NIKKI ORANGE</t>
  </si>
  <si>
    <t>001!0611833018100</t>
  </si>
  <si>
    <t>CHRYSA NIKKI PEARL</t>
  </si>
  <si>
    <t>001!0611833019100</t>
  </si>
  <si>
    <t>CHRYSA NIKKI PINK BICOLOR</t>
  </si>
  <si>
    <t>001!0611833020100</t>
  </si>
  <si>
    <t>CHRYSA NIKKI YELLOW</t>
  </si>
  <si>
    <t>001!0611833021100</t>
  </si>
  <si>
    <t>CHRYSA OKRA YELLOW</t>
  </si>
  <si>
    <t>001!0611833022100</t>
  </si>
  <si>
    <t>CHRYSA PALUDOSUM GENERIC</t>
  </si>
  <si>
    <t>001!0611833023100</t>
  </si>
  <si>
    <t>CHRYSA PAMELA ORANGE</t>
  </si>
  <si>
    <t>001!0611884092100</t>
  </si>
  <si>
    <t>CHRYSA PAMELA PINK</t>
  </si>
  <si>
    <t>001!0611884093100</t>
  </si>
  <si>
    <t>CHRYSA PAMELA WHITE</t>
  </si>
  <si>
    <t>001!0611884094100</t>
  </si>
  <si>
    <t>CHRYSA PAMELA YELLOW</t>
  </si>
  <si>
    <t>001!0611884095100</t>
  </si>
  <si>
    <t>CHRYSA PARADE PINK</t>
  </si>
  <si>
    <t>001!0611861169050</t>
  </si>
  <si>
    <t>CHRYSA PARTY YELLOW</t>
  </si>
  <si>
    <t>001!0611861170050</t>
  </si>
  <si>
    <t>CHRYSA PATTY POMEGRANATE</t>
  </si>
  <si>
    <t>001!0611833024100</t>
  </si>
  <si>
    <t>CHRYSA PATTY PURPLE</t>
  </si>
  <si>
    <t>001!0611833025100</t>
  </si>
  <si>
    <t>CHRYSA PINK GENERIC</t>
  </si>
  <si>
    <t>001!0611833026100</t>
  </si>
  <si>
    <t>CHRYSA POT MUMS GENERIC</t>
  </si>
  <si>
    <t>001!0611833027100</t>
  </si>
  <si>
    <t>CHRYSA POWER RED</t>
  </si>
  <si>
    <t>001!0611861171050</t>
  </si>
  <si>
    <t>CHRYSA PRIDE PINK</t>
  </si>
  <si>
    <t>001!0611861172050</t>
  </si>
  <si>
    <t>CHRYSA PURPLE/LAVENDER GENERIC</t>
  </si>
  <si>
    <t>001!0611833028100</t>
  </si>
  <si>
    <t>CHRYSA RACE ORANGE</t>
  </si>
  <si>
    <t>001!0611861173050</t>
  </si>
  <si>
    <t>CHRYSA RED</t>
  </si>
  <si>
    <t>001!0611861174100</t>
  </si>
  <si>
    <t>CHRYSA RED GENERIC</t>
  </si>
  <si>
    <t>001!0611833030100</t>
  </si>
  <si>
    <t>CHRYSA REEF BRONZE</t>
  </si>
  <si>
    <t>001!0611861175050</t>
  </si>
  <si>
    <t>CHRYSA RHONDA BRONZE</t>
  </si>
  <si>
    <t>001!0611833031100</t>
  </si>
  <si>
    <t>CHRYSA RHONDA PINK</t>
  </si>
  <si>
    <t>001!0611833032100</t>
  </si>
  <si>
    <t>CHRYSA RHONDA PURPLE</t>
  </si>
  <si>
    <t>001!0611833033100</t>
  </si>
  <si>
    <t>CHRYSA RHONDA RED</t>
  </si>
  <si>
    <t>001!0611833034100</t>
  </si>
  <si>
    <t>CHRYSA RHONDA WHITE</t>
  </si>
  <si>
    <t>001!0611833035100</t>
  </si>
  <si>
    <t>CHRYSA RHONDA YELLOW</t>
  </si>
  <si>
    <t>001!0611833036100</t>
  </si>
  <si>
    <t>CHRYSA RIHANNA RED</t>
  </si>
  <si>
    <t>001!0611833037100</t>
  </si>
  <si>
    <t>CHRYSA SAMANTHA RED</t>
  </si>
  <si>
    <t>001!0611833038100</t>
  </si>
  <si>
    <t>CHRYSA SEASIDE RED</t>
  </si>
  <si>
    <t>001!0611861176050</t>
  </si>
  <si>
    <t>CHRYSA SELENA RED</t>
  </si>
  <si>
    <t>001!0611833039100</t>
  </si>
  <si>
    <t>CHRYSA SHANNON WHITE</t>
  </si>
  <si>
    <t>001!0611833040100</t>
  </si>
  <si>
    <t>CHRYSA SHORE APPLEBLOSSOM</t>
  </si>
  <si>
    <t>001!0611861177050</t>
  </si>
  <si>
    <t>CHRYSA SING YELLOW</t>
  </si>
  <si>
    <t>001!0611861178050</t>
  </si>
  <si>
    <t>CHRYSA SNOWLAND PALUDOSUM</t>
  </si>
  <si>
    <t>001!0611833041100</t>
  </si>
  <si>
    <t>CHRYSA SOLAR FLARE</t>
  </si>
  <si>
    <t>001!0611861179050</t>
  </si>
  <si>
    <t>CHRYSA STACY DAZZLING ORANGE</t>
  </si>
  <si>
    <t>001!0611833042100</t>
  </si>
  <si>
    <t>CHRYSA STACY PINK</t>
  </si>
  <si>
    <t>001!0611833043100</t>
  </si>
  <si>
    <t>CHRYSA STARSPOT</t>
  </si>
  <si>
    <t>001!0611861180050</t>
  </si>
  <si>
    <t>CHRYSA STEPHANY BRONZE</t>
  </si>
  <si>
    <t>001!0611833044100</t>
  </si>
  <si>
    <t>CHRYSA STEPHANY YELLOW</t>
  </si>
  <si>
    <t>001!0611833045100</t>
  </si>
  <si>
    <t>CHRYSA STRAWBERRY ICE</t>
  </si>
  <si>
    <t>001!0611861181050</t>
  </si>
  <si>
    <t>CHRYSA SUMMER SUNSET</t>
  </si>
  <si>
    <t>001!0611856873100</t>
  </si>
  <si>
    <t>CHRYSA SUNBLAZE FLAME</t>
  </si>
  <si>
    <t>001!0611861182050</t>
  </si>
  <si>
    <t>CHRYSA TABITHA SCARLET</t>
  </si>
  <si>
    <t>001!0611833047100</t>
  </si>
  <si>
    <t>CHRYSA TANYA YELLOW</t>
  </si>
  <si>
    <t>001!0611833048100</t>
  </si>
  <si>
    <t>CHRYSA TERESA PINK</t>
  </si>
  <si>
    <t>001!0611856874100</t>
  </si>
  <si>
    <t>CHRYSA TIGER EYES</t>
  </si>
  <si>
    <t>001!0611861183050</t>
  </si>
  <si>
    <t>CHRYSA TINA GOLD</t>
  </si>
  <si>
    <t>001!0611833049100</t>
  </si>
  <si>
    <t>CHRYSA TOAST ORANGE</t>
  </si>
  <si>
    <t>001!0611861184050</t>
  </si>
  <si>
    <t>CHRYSA TRACY ORANGE</t>
  </si>
  <si>
    <t>001!0611833050100</t>
  </si>
  <si>
    <t>CHRYSA URSULA FANCY ORANGE</t>
  </si>
  <si>
    <t>001!0611833053100</t>
  </si>
  <si>
    <t>CHRYSA URSULA JAZZY CORAL</t>
  </si>
  <si>
    <t>001!0611833051100</t>
  </si>
  <si>
    <t>CHRYSA URSULA LAVENDER</t>
  </si>
  <si>
    <t>001!0611833052100</t>
  </si>
  <si>
    <t>CHRYSA URSULA SUNNY</t>
  </si>
  <si>
    <t>001!0611833054100</t>
  </si>
  <si>
    <t>CHRYSA VANNA SNOW</t>
  </si>
  <si>
    <t>001!0611833055100</t>
  </si>
  <si>
    <t>CHRYSA VERONICA DARK PINK</t>
  </si>
  <si>
    <t>001!0611833056100</t>
  </si>
  <si>
    <t>CHRYSA VOLLEY RED</t>
  </si>
  <si>
    <t>001!0611861185050</t>
  </si>
  <si>
    <t>CHRYSA WANDA BRONZE</t>
  </si>
  <si>
    <t>001!0611833057100</t>
  </si>
  <si>
    <t>CHRYSA WANDA LAVENDER</t>
  </si>
  <si>
    <t>001!0611833058100</t>
  </si>
  <si>
    <t>CHRYSA WANDA PURPLE</t>
  </si>
  <si>
    <t>001!0611833059100</t>
  </si>
  <si>
    <t>CHRYSA WANDA RED</t>
  </si>
  <si>
    <t>001!0611833060100</t>
  </si>
  <si>
    <t>CHRYSA WHIMSY YELLOW</t>
  </si>
  <si>
    <t>001!0611861186050</t>
  </si>
  <si>
    <t>CHRYSA WHITE</t>
  </si>
  <si>
    <t>001!0611861187100</t>
  </si>
  <si>
    <t>CHRYSA WHITE GENERIC</t>
  </si>
  <si>
    <t>001!0611833061100</t>
  </si>
  <si>
    <t>CHRYSA WILMA WHITE</t>
  </si>
  <si>
    <t>001!0611833062100</t>
  </si>
  <si>
    <t>CHRYSA WILMA YELLOW</t>
  </si>
  <si>
    <t>001!0611833063100</t>
  </si>
  <si>
    <t>CHRYSA WONDER YELLOW</t>
  </si>
  <si>
    <t>001!0611861188050</t>
  </si>
  <si>
    <t>CHRYSA YELLOW</t>
  </si>
  <si>
    <t>001!0611861189100</t>
  </si>
  <si>
    <t>CHRYSA YELLOW GENERIC</t>
  </si>
  <si>
    <t>001!0611833064100</t>
  </si>
  <si>
    <t>CHRYSA YOLANDA YELLOW</t>
  </si>
  <si>
    <t>001!0611833065100</t>
  </si>
  <si>
    <t>CHRYSA YVETTE ORANGE BICOLOR</t>
  </si>
  <si>
    <t>001!0611833066100</t>
  </si>
  <si>
    <t>CHRYSA YVETTE YELLOW</t>
  </si>
  <si>
    <t>001!0611833067100</t>
  </si>
  <si>
    <t>CHRYSA ZELDA YELLOW</t>
  </si>
  <si>
    <t>001!0611884096100</t>
  </si>
  <si>
    <t>CHRYSO PIERRE VIRGINIANUM</t>
  </si>
  <si>
    <t>001!0611833068025</t>
  </si>
  <si>
    <t>CICHOR GOURMET HEAD TYPE</t>
  </si>
  <si>
    <t>001!0611833069100</t>
  </si>
  <si>
    <t>CICHOR GOURMET LEAF TYPE</t>
  </si>
  <si>
    <t>001!0611833070100</t>
  </si>
  <si>
    <t>CIMICI BRUNETTE RAMOSA</t>
  </si>
  <si>
    <t>001!0611833071025</t>
  </si>
  <si>
    <t>CISSUS RHOMBIFOLIA GRAPE IVY</t>
  </si>
  <si>
    <t>001!0611833072100</t>
  </si>
  <si>
    <t>CITRON CRISPUM MOSQUITO PLANT</t>
  </si>
  <si>
    <t>001!0611837197100</t>
  </si>
  <si>
    <t>CITRON MOSQUITO PLANT</t>
  </si>
  <si>
    <t>001!0611837243100</t>
  </si>
  <si>
    <t>CITRUL RUBYFIRM</t>
  </si>
  <si>
    <t>001!0611884097100</t>
  </si>
  <si>
    <t>CLEMAT LARGE FLOWERED GENERIC</t>
  </si>
  <si>
    <t>001!0611833098025</t>
  </si>
  <si>
    <t>CLEMAT SMALL FLOWERED GENERIC</t>
  </si>
  <si>
    <t>001!0611856875025</t>
  </si>
  <si>
    <t>CLEOME CLEMENTINE SERIES</t>
  </si>
  <si>
    <t>001!0611856876100</t>
  </si>
  <si>
    <t>CLEOME CLEOMENTINE GENERIC</t>
  </si>
  <si>
    <t>001!0611833099100</t>
  </si>
  <si>
    <t>CLEOME CLIO MAGENTA</t>
  </si>
  <si>
    <t>001!0611833100100</t>
  </si>
  <si>
    <t>CLEOME CLIO PINK LADY</t>
  </si>
  <si>
    <t>001!0611833101100</t>
  </si>
  <si>
    <t>CLEOME QUEEN CHERRY</t>
  </si>
  <si>
    <t>001!0611833103100</t>
  </si>
  <si>
    <t>CLEOME QUEEN PINK</t>
  </si>
  <si>
    <t>001!0611833104100</t>
  </si>
  <si>
    <t>CLEOME QUEEN PURPLE</t>
  </si>
  <si>
    <t>001!0611833105100</t>
  </si>
  <si>
    <t>CLEOME QUEEN ROSE</t>
  </si>
  <si>
    <t>001!0611833106100</t>
  </si>
  <si>
    <t>CLEOME QUEEN ROYAL MIX</t>
  </si>
  <si>
    <t>001!0611833107100</t>
  </si>
  <si>
    <t>CLEOME QUEEN VIOLET</t>
  </si>
  <si>
    <t>001!0611833108100</t>
  </si>
  <si>
    <t>CLEOME QUEEN WHITE</t>
  </si>
  <si>
    <t>001!0611833109100</t>
  </si>
  <si>
    <t>CLEOME SPARKLER 2.0 BLUSH</t>
  </si>
  <si>
    <t>001!0611833110100</t>
  </si>
  <si>
    <t>CLEOME SPARKLER 2.0 LAVENDER</t>
  </si>
  <si>
    <t>001!0611833111100</t>
  </si>
  <si>
    <t>CLEOME SPARKLER 2.0 MIX</t>
  </si>
  <si>
    <t>001!0611833112100</t>
  </si>
  <si>
    <t>CLEOME SPARKLER 2.0 PURPLE</t>
  </si>
  <si>
    <t>001!0611833113100</t>
  </si>
  <si>
    <t>CLEOME SPARKLER 2.0 ROSE</t>
  </si>
  <si>
    <t>001!0611833114100</t>
  </si>
  <si>
    <t>CLEOME SPARKLER 2.0 WHITE</t>
  </si>
  <si>
    <t>001!0611833115100</t>
  </si>
  <si>
    <t>CLEOME SPARKLER BLUSH</t>
  </si>
  <si>
    <t>001!0611833116100</t>
  </si>
  <si>
    <t>CLEOME SPARKLER LAVENDER</t>
  </si>
  <si>
    <t>001!0611833117100</t>
  </si>
  <si>
    <t>CLEOME SPARKLER MIX</t>
  </si>
  <si>
    <t>001!0611833118100</t>
  </si>
  <si>
    <t>CLEOME SPARKLER ROSE</t>
  </si>
  <si>
    <t>001!0611833119100</t>
  </si>
  <si>
    <t>CLEOME SPARKLER WHITE</t>
  </si>
  <si>
    <t>001!0611833120100</t>
  </si>
  <si>
    <t>CLEROD THOMSONIAE</t>
  </si>
  <si>
    <t>001!0611833122025</t>
  </si>
  <si>
    <t>COELUS DOWN TOWN COLUMBUS</t>
  </si>
  <si>
    <t>001!0611884098050</t>
  </si>
  <si>
    <t>COELUS MN ST LOMBARD STREET</t>
  </si>
  <si>
    <t>001!0611884099050</t>
  </si>
  <si>
    <t>COFFEA ARABICA</t>
  </si>
  <si>
    <t>001!0611833126100</t>
  </si>
  <si>
    <t>COLEUS ALABAMA</t>
  </si>
  <si>
    <t>001!0611833127100</t>
  </si>
  <si>
    <t>001!0611861190050</t>
  </si>
  <si>
    <t>COLEUS ALABAMA SUNSET</t>
  </si>
  <si>
    <t>001!0611833128100</t>
  </si>
  <si>
    <t>COLEUS ALLSPICE</t>
  </si>
  <si>
    <t>001!0611861191050</t>
  </si>
  <si>
    <t>COLEUS BEAUTY OF LYON</t>
  </si>
  <si>
    <t>001!0611833130100</t>
  </si>
  <si>
    <t>001!0611861192050</t>
  </si>
  <si>
    <t>COLEUS BLACK DRAGON</t>
  </si>
  <si>
    <t>001!0611833153100</t>
  </si>
  <si>
    <t>COLEUS BLACK GENERIC</t>
  </si>
  <si>
    <t>001!0611833131100</t>
  </si>
  <si>
    <t>COLEUS BURGUNDY SUN</t>
  </si>
  <si>
    <t>001!0611833132100</t>
  </si>
  <si>
    <t>COLEUS CHOCOLATE COVERED CHRY</t>
  </si>
  <si>
    <t>001!0611833135100</t>
  </si>
  <si>
    <t>COLEUS CHOCOLATE MINT</t>
  </si>
  <si>
    <t>001!0611833136100</t>
  </si>
  <si>
    <t>COLEUS CHOCOLATE SYMPHONY</t>
  </si>
  <si>
    <t>001!0611833138025</t>
  </si>
  <si>
    <t>COLEUS COLEUS GENERIC</t>
  </si>
  <si>
    <t>001!0611833139100</t>
  </si>
  <si>
    <t>001!0611833140025</t>
  </si>
  <si>
    <t>COLEUS COLOR CLOUDS BE MINE</t>
  </si>
  <si>
    <t>001!0611833143100</t>
  </si>
  <si>
    <t>COLEUS COLOR CLOUDS SPICY</t>
  </si>
  <si>
    <t>001!0611833144100</t>
  </si>
  <si>
    <t>COLEUS COLOR CLOUDS VALENTINE</t>
  </si>
  <si>
    <t>001!0611833145100</t>
  </si>
  <si>
    <t>COLEUS COLOR PRIDE</t>
  </si>
  <si>
    <t>001!0611833146100</t>
  </si>
  <si>
    <t>COLEUS DARK CHOCOLATE</t>
  </si>
  <si>
    <t>001!0611833149100</t>
  </si>
  <si>
    <t>COLEUS DARK STAR</t>
  </si>
  <si>
    <t>001!0611833150100</t>
  </si>
  <si>
    <t>COLEUS DEFIANCE</t>
  </si>
  <si>
    <t>001!0611833151100</t>
  </si>
  <si>
    <t>COLEUS DIPT IN WINE</t>
  </si>
  <si>
    <t>001!0611833152100</t>
  </si>
  <si>
    <t>001!0611861193050</t>
  </si>
  <si>
    <t>COLEUS DOWN TOWN GREENVILLE</t>
  </si>
  <si>
    <t>001!0611884100050</t>
  </si>
  <si>
    <t>COLEUS DOWN TOWN LE FREAK</t>
  </si>
  <si>
    <t>001!0611884101050</t>
  </si>
  <si>
    <t>COLEUS DOWN TOWN MIAMI MAGIC</t>
  </si>
  <si>
    <t>001!0611884102050</t>
  </si>
  <si>
    <t>COLEUS DOWN TOWN NYC NIGHTS</t>
  </si>
  <si>
    <t>001!0611884103050</t>
  </si>
  <si>
    <t>COLEUS DOWN TOWN SANTA MONICA</t>
  </si>
  <si>
    <t>001!0611884104050</t>
  </si>
  <si>
    <t>COLEUS DOWN TOWN VEGAS NEON</t>
  </si>
  <si>
    <t>001!0611884105050</t>
  </si>
  <si>
    <t>COLEUS FAIRWAY SERIES</t>
  </si>
  <si>
    <t>001!0611833155100</t>
  </si>
  <si>
    <t>COLEUS FANCY FEATHERS BLACK</t>
  </si>
  <si>
    <t>001!0611833156100</t>
  </si>
  <si>
    <t>001!0611861194050</t>
  </si>
  <si>
    <t>COLEUS FANCY FEATHERS COPPER</t>
  </si>
  <si>
    <t>001!0611861195050</t>
  </si>
  <si>
    <t>COLEUS FANCY FEATHERS PINK</t>
  </si>
  <si>
    <t>001!0611833157100</t>
  </si>
  <si>
    <t>001!0611861196050</t>
  </si>
  <si>
    <t>COLEUS FESTIVE DANCE</t>
  </si>
  <si>
    <t>001!0611833158100</t>
  </si>
  <si>
    <t>COLEUS FINGER PAINT</t>
  </si>
  <si>
    <t>001!0611833159100</t>
  </si>
  <si>
    <t>COLEUS FIONA</t>
  </si>
  <si>
    <t>001!0611861197050</t>
  </si>
  <si>
    <t>COLEUS FISHNET STOCKINGS</t>
  </si>
  <si>
    <t>001!0611833160100</t>
  </si>
  <si>
    <t>COLEUS FLYING CARPET FIRE MTN</t>
  </si>
  <si>
    <t>001!0611833162100</t>
  </si>
  <si>
    <t>COLEUS FLYING CARPET SHOCKER</t>
  </si>
  <si>
    <t>001!0611833163100</t>
  </si>
  <si>
    <t>COLEUS FLYING CARPET THRILLER</t>
  </si>
  <si>
    <t>001!0611833164100</t>
  </si>
  <si>
    <t>COLEUS GAYS DELIGHT</t>
  </si>
  <si>
    <t>001!0611833165100</t>
  </si>
  <si>
    <t>001!0611861198050</t>
  </si>
  <si>
    <t>COLEUS GENERIC BILINGUAL DSIGN</t>
  </si>
  <si>
    <t>001!0611833141100</t>
  </si>
  <si>
    <t>COLEUS GIANT EXHIBITN BLK</t>
  </si>
  <si>
    <t>001!0611833166100</t>
  </si>
  <si>
    <t>COLEUS GIANT EXHIBITN LIME</t>
  </si>
  <si>
    <t>001!0611833167100</t>
  </si>
  <si>
    <t>COLEUS GIANT EXHIBITN MIX</t>
  </si>
  <si>
    <t>001!0611833169100</t>
  </si>
  <si>
    <t>COLEUS GLENNIS</t>
  </si>
  <si>
    <t>001!0611833170100</t>
  </si>
  <si>
    <t>COLEUS GLOBETROTTERS GAGA</t>
  </si>
  <si>
    <t>001!0611833171100</t>
  </si>
  <si>
    <t>COLEUS GLOBETROTTERS TAYLOR</t>
  </si>
  <si>
    <t>001!0611833172100</t>
  </si>
  <si>
    <t>COLEUS GOLD LACE</t>
  </si>
  <si>
    <t>001!0611833174100</t>
  </si>
  <si>
    <t>COLEUS GREAT FALLS ANGEL</t>
  </si>
  <si>
    <t>001!0611861199050</t>
  </si>
  <si>
    <t>COLEUS GREAT FALLS IGUAZU</t>
  </si>
  <si>
    <t>001!0611861200050</t>
  </si>
  <si>
    <t>COLEUS GREAT FALLS NIAGARA</t>
  </si>
  <si>
    <t>001!0611861201050</t>
  </si>
  <si>
    <t>COLEUS GREAT FALLS YOSEMITE</t>
  </si>
  <si>
    <t>001!0611861202050</t>
  </si>
  <si>
    <t>COLEUS GREEN LANTERN</t>
  </si>
  <si>
    <t>001!0611861203050</t>
  </si>
  <si>
    <t>COLEUS HIPSTERS DEXTER</t>
  </si>
  <si>
    <t>001!0611833175100</t>
  </si>
  <si>
    <t>COLEUS HIPSTERS JILLIAN</t>
  </si>
  <si>
    <t>001!0611833177100</t>
  </si>
  <si>
    <t>001!0611861204050</t>
  </si>
  <si>
    <t>COLEUS HIPSTERS PIPER</t>
  </si>
  <si>
    <t>001!0611833178100</t>
  </si>
  <si>
    <t>001!0611861205050</t>
  </si>
  <si>
    <t>COLEUS HIPSTERS ZOOEY</t>
  </si>
  <si>
    <t>001!0611861206050</t>
  </si>
  <si>
    <t>COLEUS KALEIDOSCOPE MIX</t>
  </si>
  <si>
    <t>001!0611833180100</t>
  </si>
  <si>
    <t>COLEUS KINGSWOOD TORCH</t>
  </si>
  <si>
    <t>001!0611833182100</t>
  </si>
  <si>
    <t>001!0611861207050</t>
  </si>
  <si>
    <t>COLEUS KIWI FERN</t>
  </si>
  <si>
    <t>001!0611833183100</t>
  </si>
  <si>
    <t>COLEUS KONG EMPIRE MIX</t>
  </si>
  <si>
    <t>001!0611833184100</t>
  </si>
  <si>
    <t>COLEUS KONG JR GREEN HALO</t>
  </si>
  <si>
    <t>001!0611833186100</t>
  </si>
  <si>
    <t>COLEUS KONG JR LIME VEIN</t>
  </si>
  <si>
    <t>001!0611833187100</t>
  </si>
  <si>
    <t>COLEUS KONG JR ROSE</t>
  </si>
  <si>
    <t>001!0611833188100</t>
  </si>
  <si>
    <t>COLEUS KONG JR SCARLET</t>
  </si>
  <si>
    <t>001!0611833189100</t>
  </si>
  <si>
    <t>COLEUS KONG LIME SPRITE</t>
  </si>
  <si>
    <t>001!0611833190100</t>
  </si>
  <si>
    <t>COLEUS KONG MOSAIC</t>
  </si>
  <si>
    <t>001!0611833191100</t>
  </si>
  <si>
    <t>COLEUS KONG RED</t>
  </si>
  <si>
    <t>001!0611833192100</t>
  </si>
  <si>
    <t>COLEUS KONG ROSE</t>
  </si>
  <si>
    <t>001!0611833193100</t>
  </si>
  <si>
    <t>COLEUS KONG SALMON PINK</t>
  </si>
  <si>
    <t>001!0611833194100</t>
  </si>
  <si>
    <t>COLEUS KONG SCARLET</t>
  </si>
  <si>
    <t>001!0611833195100</t>
  </si>
  <si>
    <t>COLEUS KONG SERIES</t>
  </si>
  <si>
    <t>001!0611833196100</t>
  </si>
  <si>
    <t>COLEUS LAVISH LIME</t>
  </si>
  <si>
    <t>001!0611861208050</t>
  </si>
  <si>
    <t>COLEUS LE FREAK</t>
  </si>
  <si>
    <t>001!0611861209050</t>
  </si>
  <si>
    <t>COLEUS LIFELIME</t>
  </si>
  <si>
    <t>001!0611833197100</t>
  </si>
  <si>
    <t>COLEUS LIME</t>
  </si>
  <si>
    <t>001!0611833198100</t>
  </si>
  <si>
    <t>COLEUS LOVEBIRD</t>
  </si>
  <si>
    <t>001!0611861210050</t>
  </si>
  <si>
    <t>COLEUS MACAW</t>
  </si>
  <si>
    <t>001!0611861211050</t>
  </si>
  <si>
    <t>COLEUS MAHARAJA</t>
  </si>
  <si>
    <t>001!0611861212050</t>
  </si>
  <si>
    <t>COLEUS MEZMERIZE SERIES</t>
  </si>
  <si>
    <t>001!0611884106100</t>
  </si>
  <si>
    <t>COLEUS MIGHTY MOSAIC</t>
  </si>
  <si>
    <t>001!0611833201100</t>
  </si>
  <si>
    <t>COLEUS MN ST ABBEY ROAD</t>
  </si>
  <si>
    <t>001!0611861213050</t>
  </si>
  <si>
    <t>COLEUS MN ST ALLIGATOR ALLEY</t>
  </si>
  <si>
    <t>001!0611861214050</t>
  </si>
  <si>
    <t>COLEUS MN ST ASHBURY</t>
  </si>
  <si>
    <t>001!0611861215050</t>
  </si>
  <si>
    <t>COLEUS MN ST BEALE STREET</t>
  </si>
  <si>
    <t>001!0611861216050</t>
  </si>
  <si>
    <t>COLEUS MN ST BOURBON STREET</t>
  </si>
  <si>
    <t>001!0611861217050</t>
  </si>
  <si>
    <t>COLEUS MN ST BROAD STREET</t>
  </si>
  <si>
    <t>001!0611861218050</t>
  </si>
  <si>
    <t>COLEUS MN ST CHARTRES STREET</t>
  </si>
  <si>
    <t>001!0611861219050</t>
  </si>
  <si>
    <t>COLEUS MN ST FIFTH AVENUE</t>
  </si>
  <si>
    <t>001!0611833199100</t>
  </si>
  <si>
    <t>001!0611861220050</t>
  </si>
  <si>
    <t>COLEUS MN ST FIORI SQUARE</t>
  </si>
  <si>
    <t>001!0611861221050</t>
  </si>
  <si>
    <t>COLEUS MN ST LA RAMBLA</t>
  </si>
  <si>
    <t>001!0611861222050</t>
  </si>
  <si>
    <t>COLEUS MN ST MICHIGAN AVENUE</t>
  </si>
  <si>
    <t>001!0611861223050</t>
  </si>
  <si>
    <t>COLEUS MN ST OCEAN DRIVE</t>
  </si>
  <si>
    <t>001!0611861224050</t>
  </si>
  <si>
    <t>COLEUS MN ST ORCHARD ROAD</t>
  </si>
  <si>
    <t>001!0611861225050</t>
  </si>
  <si>
    <t>COLEUS MN ST OXFORD STREET</t>
  </si>
  <si>
    <t>001!0611861232050</t>
  </si>
  <si>
    <t>COLEUS MN ST PORTAGE AVENUE</t>
  </si>
  <si>
    <t>001!0611861226050</t>
  </si>
  <si>
    <t>COLEUS MN ST RIVER WALK</t>
  </si>
  <si>
    <t>001!0611833200100</t>
  </si>
  <si>
    <t>001!0611861234050</t>
  </si>
  <si>
    <t>COLEUS MN ST RUBY ROAD</t>
  </si>
  <si>
    <t>001!0611861227050</t>
  </si>
  <si>
    <t>COLEUS MN ST TIMES SQUARE</t>
  </si>
  <si>
    <t>001!0611861228050</t>
  </si>
  <si>
    <t>COLEUS MN ST VENICE BOULEVARD</t>
  </si>
  <si>
    <t>001!0611861229050</t>
  </si>
  <si>
    <t>COLEUS MN ST WALL STREET</t>
  </si>
  <si>
    <t>001!0611861230050</t>
  </si>
  <si>
    <t>COLEUS MN ST YONGE STREET</t>
  </si>
  <si>
    <t>001!0611861231050</t>
  </si>
  <si>
    <t>COLEUS MULTICOLOR GENERIC</t>
  </si>
  <si>
    <t>001!0611833202100</t>
  </si>
  <si>
    <t>COLEUS NOVA MAD MEDUSA</t>
  </si>
  <si>
    <t>001!0611833203100</t>
  </si>
  <si>
    <t>COLEUS NOVA RED FLARE</t>
  </si>
  <si>
    <t>001!0611833204100</t>
  </si>
  <si>
    <t>COLEUS NOVA ROLY POLY</t>
  </si>
  <si>
    <t>001!0611833205100</t>
  </si>
  <si>
    <t>COLEUS OX BLOOD</t>
  </si>
  <si>
    <t>001!0611833206100</t>
  </si>
  <si>
    <t>COLEUS PARTYTIME LIME</t>
  </si>
  <si>
    <t>001!0611833207100</t>
  </si>
  <si>
    <t>COLEUS PARTYTIME PINK BERRY</t>
  </si>
  <si>
    <t>001!0611833208100</t>
  </si>
  <si>
    <t>COLEUS PARTYTIME PINK FIZZ</t>
  </si>
  <si>
    <t>001!0611833209100</t>
  </si>
  <si>
    <t>COLEUS PARTYTIME REGGAE SALMN</t>
  </si>
  <si>
    <t>001!0611833211100</t>
  </si>
  <si>
    <t>COLEUS PARTYTIME RUBY PUNCH</t>
  </si>
  <si>
    <t>001!0611833212100</t>
  </si>
  <si>
    <t>COLEUS PETERS WONDER</t>
  </si>
  <si>
    <t>001!0611833214100</t>
  </si>
  <si>
    <t>COLEUS PINEAPPLE</t>
  </si>
  <si>
    <t>001!0611833215100</t>
  </si>
  <si>
    <t>COLEUS PINEAPPLE BEAUTY</t>
  </si>
  <si>
    <t>001!0611833216100</t>
  </si>
  <si>
    <t>COLEUS PINEAPPLE SURPRISE</t>
  </si>
  <si>
    <t>001!0611833217100</t>
  </si>
  <si>
    <t>COLEUS PINEAPPLETTE</t>
  </si>
  <si>
    <t>001!0611833218100</t>
  </si>
  <si>
    <t>COLEUS PREMIUM SUN CORAL CANDY</t>
  </si>
  <si>
    <t>001!0611884107100</t>
  </si>
  <si>
    <t>COLEUS PREMIUM SUN CRIMSON GLD</t>
  </si>
  <si>
    <t>001!0611833221100</t>
  </si>
  <si>
    <t>COLEUS PREMIUM SUN LIME DELT</t>
  </si>
  <si>
    <t>001!0611833222100</t>
  </si>
  <si>
    <t>COLEUS PREMIUM SUN RUBY HEART</t>
  </si>
  <si>
    <t>001!0611856877100</t>
  </si>
  <si>
    <t>COLEUS PREMIUM SUN WATERMELON</t>
  </si>
  <si>
    <t>001!0611833223100</t>
  </si>
  <si>
    <t>COLEUS QUETZAL</t>
  </si>
  <si>
    <t>001!0611861233050</t>
  </si>
  <si>
    <t>COLEUS RAINBOW MIX</t>
  </si>
  <si>
    <t>001!0611833224100</t>
  </si>
  <si>
    <t>COLEUS RAINBOW MULTICOLOR</t>
  </si>
  <si>
    <t>001!0611833225100</t>
  </si>
  <si>
    <t>COLEUS RED RUFFLES</t>
  </si>
  <si>
    <t>001!0611833226100</t>
  </si>
  <si>
    <t>COLEUS RED VELVET</t>
  </si>
  <si>
    <t>001!0611833227100</t>
  </si>
  <si>
    <t>COLEUS ROARING FIRE</t>
  </si>
  <si>
    <t>001!0611833228100</t>
  </si>
  <si>
    <t>COLEUS RODEO DRIVE</t>
  </si>
  <si>
    <t>001!0611861235050</t>
  </si>
  <si>
    <t>COLEUS RUSTIC ORANGE</t>
  </si>
  <si>
    <t>001!0611833229025</t>
  </si>
  <si>
    <t>COLEUS S GLASS BIG BLONDE</t>
  </si>
  <si>
    <t>001!0611861236050</t>
  </si>
  <si>
    <t>COLEUS S GLASS COPPER</t>
  </si>
  <si>
    <t>001!0611861237050</t>
  </si>
  <si>
    <t>COLEUS S GLASS CROWN JEWEL</t>
  </si>
  <si>
    <t>001!0611861238050</t>
  </si>
  <si>
    <t>COLEUS S GLASS ERUPTIO CR3858</t>
  </si>
  <si>
    <t>001!0611861240050</t>
  </si>
  <si>
    <t>COLEUS S GLASS ERUPTION</t>
  </si>
  <si>
    <t>001!0611861239050</t>
  </si>
  <si>
    <t>COLEUS S GLASS FLASHBULB</t>
  </si>
  <si>
    <t>001!0611861241050</t>
  </si>
  <si>
    <t>COLEUS S GLASS GOLDEN</t>
  </si>
  <si>
    <t>001!0611861242050</t>
  </si>
  <si>
    <t>COLEUS S GLASS KIWI</t>
  </si>
  <si>
    <t>001!0611861243050</t>
  </si>
  <si>
    <t>COLEUS S GLASS LUMINESCE</t>
  </si>
  <si>
    <t>001!0611861244050</t>
  </si>
  <si>
    <t>COLEUS S GLASS MOLTEN</t>
  </si>
  <si>
    <t>001!0611861245050</t>
  </si>
  <si>
    <t>COLEUS S GLASS PALISADE</t>
  </si>
  <si>
    <t>001!0611861246050</t>
  </si>
  <si>
    <t>COLEUS S GLASS PINEAPPLE EXPRS</t>
  </si>
  <si>
    <t>001!0611861248050</t>
  </si>
  <si>
    <t>COLEUS S GLASS PRESIDIO</t>
  </si>
  <si>
    <t>001!0611861249050</t>
  </si>
  <si>
    <t>COLEUS S GLASS RASPBERRY</t>
  </si>
  <si>
    <t>001!0611861250050</t>
  </si>
  <si>
    <t>COLEUS S GLASS ROYALTY</t>
  </si>
  <si>
    <t>001!0611861251050</t>
  </si>
  <si>
    <t>COLEUS S GLASS TILT A WHIRL</t>
  </si>
  <si>
    <t>001!0611861252050</t>
  </si>
  <si>
    <t>COLEUS S GLASS TRL MONARCH</t>
  </si>
  <si>
    <t>001!0611861253050</t>
  </si>
  <si>
    <t>COLEUS S GLASS TRL PLUM</t>
  </si>
  <si>
    <t>001!0611861254050</t>
  </si>
  <si>
    <t>COLEUS S GLASS VELVET</t>
  </si>
  <si>
    <t>001!0611861255050</t>
  </si>
  <si>
    <t>COLEUS SKY FIRE</t>
  </si>
  <si>
    <t>001!0611833230100</t>
  </si>
  <si>
    <t>COLEUS SOLAR GNRC BLNGL DESIGN</t>
  </si>
  <si>
    <t>001!0611833231100</t>
  </si>
  <si>
    <t>COLEUS SOLAR SUNRISE</t>
  </si>
  <si>
    <t>001!0611833232100</t>
  </si>
  <si>
    <t>COLEUS SPLISH SPLASH ROSE GOLD</t>
  </si>
  <si>
    <t>001!0611861256050</t>
  </si>
  <si>
    <t>COLEUS SUN LOVER GENERIC</t>
  </si>
  <si>
    <t>001!0611833233100</t>
  </si>
  <si>
    <t>COLEUS SUNSET</t>
  </si>
  <si>
    <t>001!0611833234100</t>
  </si>
  <si>
    <t>COLEUS SUNSET BOULEVARD</t>
  </si>
  <si>
    <t>001!0611861257050</t>
  </si>
  <si>
    <t>COLEUS SUPERFINE RNBW MIX</t>
  </si>
  <si>
    <t>001!0611833235100</t>
  </si>
  <si>
    <t>COLEUS TALAVERA BURGUNDY LIME</t>
  </si>
  <si>
    <t>001!0611884108050</t>
  </si>
  <si>
    <t>COLEUS TALAVERA CHOCOLATE MINT</t>
  </si>
  <si>
    <t>001!0611884109050</t>
  </si>
  <si>
    <t>COLEUS TALAVERA CHOCOLATE VLVT</t>
  </si>
  <si>
    <t>001!0611884110050</t>
  </si>
  <si>
    <t>COLEUS TALAVERA MOONDUST</t>
  </si>
  <si>
    <t>001!0611884111050</t>
  </si>
  <si>
    <t>COLEUS TALAVERA PINK TRICOLOR</t>
  </si>
  <si>
    <t>001!0611884112050</t>
  </si>
  <si>
    <t>COLEUS TALAVERA SIENNA</t>
  </si>
  <si>
    <t>001!0611884113050</t>
  </si>
  <si>
    <t>COLEUS TERRA NOVA ALLSPICE</t>
  </si>
  <si>
    <t>001!0611833236100</t>
  </si>
  <si>
    <t>COLEUS TERRA NOVA BURG FILIGRE</t>
  </si>
  <si>
    <t>001!0611833237100</t>
  </si>
  <si>
    <t>COLEUS TERRA NOVA ELEC SLIDE</t>
  </si>
  <si>
    <t>001!0611833238100</t>
  </si>
  <si>
    <t>001!0611861258050</t>
  </si>
  <si>
    <t>COLEUS TERRA NOVA FIONA</t>
  </si>
  <si>
    <t>001!0611833239100</t>
  </si>
  <si>
    <t>COLEUS TERRA NOVA GRN LANTERN</t>
  </si>
  <si>
    <t>001!0611833240100</t>
  </si>
  <si>
    <t>COLEUS TERRA NOVA LAVISH LIME</t>
  </si>
  <si>
    <t>001!0611833243100</t>
  </si>
  <si>
    <t>COLEUS TERRA NOVA LOVEBIRD</t>
  </si>
  <si>
    <t>001!0611833244100</t>
  </si>
  <si>
    <t>COLEUS TERRA NOVA LUMEN</t>
  </si>
  <si>
    <t>001!0611833245100</t>
  </si>
  <si>
    <t>COLEUS TERRA NOVA MACAW</t>
  </si>
  <si>
    <t>001!0611833246100</t>
  </si>
  <si>
    <t>COLEUS TERRA NOVA MAGIC SPELL</t>
  </si>
  <si>
    <t>001!0611833247100</t>
  </si>
  <si>
    <t>COLEUS TERRA NOVA MAHARAJA</t>
  </si>
  <si>
    <t>001!0611833248100</t>
  </si>
  <si>
    <t>COLEUS TERRA NOVA MARRAKESH</t>
  </si>
  <si>
    <t>001!0611833249100</t>
  </si>
  <si>
    <t>COLEUS TERRA NOVA MONKEY PUZZL</t>
  </si>
  <si>
    <t>001!0611833250100</t>
  </si>
  <si>
    <t>COLEUS TERRA NOVA MYSTIC LIGHT</t>
  </si>
  <si>
    <t>001!0611833251100</t>
  </si>
  <si>
    <t>COLEUS TERRA NOVA NUTMEG</t>
  </si>
  <si>
    <t>001!0611833252100</t>
  </si>
  <si>
    <t>COLEUS TERRA NOVA PANDORA</t>
  </si>
  <si>
    <t>001!0611833253100</t>
  </si>
  <si>
    <t>COLEUS TERRA NOVA PEACH JULEP</t>
  </si>
  <si>
    <t>001!0611833254100</t>
  </si>
  <si>
    <t>COLEUS TERRA NOVA PERSIA</t>
  </si>
  <si>
    <t>001!0611833255100</t>
  </si>
  <si>
    <t>COLEUS TERRA NOVA PINK POODLE</t>
  </si>
  <si>
    <t>001!0611833256100</t>
  </si>
  <si>
    <t>COLEUS TERRA NOVA QUETZAL</t>
  </si>
  <si>
    <t>001!0611833257100</t>
  </si>
  <si>
    <t>COLEUS TERRA NOVA RED RIPPLE</t>
  </si>
  <si>
    <t>001!0611833258100</t>
  </si>
  <si>
    <t>COLEUS TERRA NOVA RED THREADS</t>
  </si>
  <si>
    <t>001!0611833259100</t>
  </si>
  <si>
    <t>COLEUS TERRA NOVA RUBY FLGR</t>
  </si>
  <si>
    <t>001!0611833260100</t>
  </si>
  <si>
    <t>COLEUS TERRA NOVA SCARLET IBIS</t>
  </si>
  <si>
    <t>001!0611833261100</t>
  </si>
  <si>
    <t>COLEUS TERRA NOVA SMTH TALKER</t>
  </si>
  <si>
    <t>001!0611833262100</t>
  </si>
  <si>
    <t>COLEUS TIDBITS TAMMY</t>
  </si>
  <si>
    <t>001!0611833264100</t>
  </si>
  <si>
    <t>COLEUS TIDBITS TIMMY</t>
  </si>
  <si>
    <t>001!0611833265100</t>
  </si>
  <si>
    <t>COLEUS TRL PLUM</t>
  </si>
  <si>
    <t>001!0611833267100</t>
  </si>
  <si>
    <t>COLEUS VEGETATIVE GENERIC</t>
  </si>
  <si>
    <t>001!0611833268025</t>
  </si>
  <si>
    <t>COLEUS VERSA ROSE TO LIME</t>
  </si>
  <si>
    <t>001!0611833269100</t>
  </si>
  <si>
    <t>COLEUS WATERMELON</t>
  </si>
  <si>
    <t>001!0611833272100</t>
  </si>
  <si>
    <t>COLEUS WEDDING TRAIN</t>
  </si>
  <si>
    <t>001!0611833273100</t>
  </si>
  <si>
    <t>COLEUS WILD LIME</t>
  </si>
  <si>
    <t>001!0611833279100</t>
  </si>
  <si>
    <t>COLEUS WILDFIRE BLAZE</t>
  </si>
  <si>
    <t>001!0611833274100</t>
  </si>
  <si>
    <t>001!0611861259050</t>
  </si>
  <si>
    <t>COLEUS WILDFIRE FLASH</t>
  </si>
  <si>
    <t>001!0611833275100</t>
  </si>
  <si>
    <t>COLEUS WILDFIRE FLICKER</t>
  </si>
  <si>
    <t>001!0611833276100</t>
  </si>
  <si>
    <t>COLEUS WILDFIRE IGNITION</t>
  </si>
  <si>
    <t>001!0611861260050</t>
  </si>
  <si>
    <t>COLEUS WILDFIRE SMOKY ROSE</t>
  </si>
  <si>
    <t>001!0611833278100</t>
  </si>
  <si>
    <t>001!0611861261050</t>
  </si>
  <si>
    <t>COLEUS WIZARD CORAL SUNRISE</t>
  </si>
  <si>
    <t>001!0611833280100</t>
  </si>
  <si>
    <t>COLEUS WIZARD JADE</t>
  </si>
  <si>
    <t>001!0611833281100</t>
  </si>
  <si>
    <t>COLEUS WIZARD MIX</t>
  </si>
  <si>
    <t>001!0611833282100</t>
  </si>
  <si>
    <t>COLEUS WIZARD MOSAIC</t>
  </si>
  <si>
    <t>001!0611833283100</t>
  </si>
  <si>
    <t>COLEUS WIZARD PASTEL</t>
  </si>
  <si>
    <t>001!0611833284100</t>
  </si>
  <si>
    <t>COLEUS WIZARD PINEAPPLE</t>
  </si>
  <si>
    <t>001!0611833285100</t>
  </si>
  <si>
    <t>COLEUS WIZARD RED</t>
  </si>
  <si>
    <t>001!0611833286100</t>
  </si>
  <si>
    <t>COLEUS WIZARD ROSE</t>
  </si>
  <si>
    <t>001!0611833287100</t>
  </si>
  <si>
    <t>COLEUS WIZARD SCARLET</t>
  </si>
  <si>
    <t>001!0611833288100</t>
  </si>
  <si>
    <t>COLEUS WIZARD SUN GOLDEN</t>
  </si>
  <si>
    <t>001!0611833289100</t>
  </si>
  <si>
    <t>COLEUS WIZARD SUN SUNSET</t>
  </si>
  <si>
    <t>001!0611833290100</t>
  </si>
  <si>
    <t>COLEUS WIZARD VELVET RED</t>
  </si>
  <si>
    <t>001!0611833291100</t>
  </si>
  <si>
    <t>COLEUS YELLOW GENERIC</t>
  </si>
  <si>
    <t>001!0611833292100</t>
  </si>
  <si>
    <t>COLLAR DVATES</t>
  </si>
  <si>
    <t>001!0611831980100</t>
  </si>
  <si>
    <t>COLLAR GENERIC</t>
  </si>
  <si>
    <t>001!0611831836100</t>
  </si>
  <si>
    <t>COLLAR GEORGIA</t>
  </si>
  <si>
    <t>001!0611831870100</t>
  </si>
  <si>
    <t>COLLAR MORRIS HEADING</t>
  </si>
  <si>
    <t>001!0611831911100</t>
  </si>
  <si>
    <t>COLLAR TIGER</t>
  </si>
  <si>
    <t>001!0611831975100</t>
  </si>
  <si>
    <t>COLLAR TOP BUNCH</t>
  </si>
  <si>
    <t>001!0611831978100</t>
  </si>
  <si>
    <t>COLOCA BLACK MAGIC</t>
  </si>
  <si>
    <t>001!0611884114025</t>
  </si>
  <si>
    <t>COLOCA ELEPHANT EAR GENERIC</t>
  </si>
  <si>
    <t>001!0611833293025</t>
  </si>
  <si>
    <t>COLOCA ESCULENTA GENERIC</t>
  </si>
  <si>
    <t>001!0611833294100</t>
  </si>
  <si>
    <t>COLOCA ILLUSTRIS</t>
  </si>
  <si>
    <t>001!0611884115025</t>
  </si>
  <si>
    <t>COMBO GRDN PRTY ABIGAI</t>
  </si>
  <si>
    <t>001!0611860397050</t>
  </si>
  <si>
    <t>COMBO GRDN PRTY ALISA</t>
  </si>
  <si>
    <t>001!0611860454050</t>
  </si>
  <si>
    <t>COMBO GRDN PRTY ANGELIC BROCAD</t>
  </si>
  <si>
    <t>001!0611884116050</t>
  </si>
  <si>
    <t>COMBO GRDN PRTY BIRTHDAY PARTY</t>
  </si>
  <si>
    <t>001!0611862076050</t>
  </si>
  <si>
    <t>COMBO GRDN PRTY BLUE LIGHTS</t>
  </si>
  <si>
    <t>001!0611884117050</t>
  </si>
  <si>
    <t>COMBO GRDN PRTY BROGAN</t>
  </si>
  <si>
    <t>001!0611862077050</t>
  </si>
  <si>
    <t>COMBO GRDN PRTY CHRISTA</t>
  </si>
  <si>
    <t>001!0611862078050</t>
  </si>
  <si>
    <t>COMBO GRDN PRTY CHRISTINE</t>
  </si>
  <si>
    <t>001!0611862079050</t>
  </si>
  <si>
    <t>COMBO GRDN PRTY COMBO</t>
  </si>
  <si>
    <t>001!0611862080050</t>
  </si>
  <si>
    <t>COMBO GRDN PRTY COMBO GARDEN</t>
  </si>
  <si>
    <t>001!0611861264050</t>
  </si>
  <si>
    <t>COMBO GRDN PRTY DIANE</t>
  </si>
  <si>
    <t>001!0611862081050</t>
  </si>
  <si>
    <t>COMBO GRDN PRTY EMILY</t>
  </si>
  <si>
    <t>001!0611862082050</t>
  </si>
  <si>
    <t>COMBO GRDN PRTY JENNIFER</t>
  </si>
  <si>
    <t>001!0611861453050</t>
  </si>
  <si>
    <t>COMBO GRDN PRTY JENNY</t>
  </si>
  <si>
    <t>001!0611862083050</t>
  </si>
  <si>
    <t>COMBO GRDN PRTY KATE</t>
  </si>
  <si>
    <t>001!0611862084050</t>
  </si>
  <si>
    <t>COMBO GRDN PRTY LINDSAY</t>
  </si>
  <si>
    <t>001!0611862085050</t>
  </si>
  <si>
    <t>COMBO GRDN PRTY NIKKI</t>
  </si>
  <si>
    <t>001!0611862086050</t>
  </si>
  <si>
    <t>COMBO GRDN PRTY PINK BALLOONS</t>
  </si>
  <si>
    <t>001!0611884118050</t>
  </si>
  <si>
    <t>COMBO GRDN PRTY PINK LIGHTS</t>
  </si>
  <si>
    <t>001!0611884119050</t>
  </si>
  <si>
    <t>COMBO GRDN PRTY POOL PARTY</t>
  </si>
  <si>
    <t>001!0611862087050</t>
  </si>
  <si>
    <t>COMBO GRDN PRTY REBECCA</t>
  </si>
  <si>
    <t>001!0611862088050</t>
  </si>
  <si>
    <t>COMBO GRDN PRTY SONJA</t>
  </si>
  <si>
    <t>001!0611862089050</t>
  </si>
  <si>
    <t>COMBO GRDN PRTY TEA PARTY</t>
  </si>
  <si>
    <t>001!0611862090050</t>
  </si>
  <si>
    <t>COMBO GRDN PRTY VALORIE</t>
  </si>
  <si>
    <t>001!0611862091050</t>
  </si>
  <si>
    <t>COMBO GRDN PRTY WHITE LIGHTS</t>
  </si>
  <si>
    <t>001!0611884120050</t>
  </si>
  <si>
    <t>COMBO GRDN PRTY YELL BALLOONS</t>
  </si>
  <si>
    <t>001!0611884121050</t>
  </si>
  <si>
    <t>COMBO GRDN PRTY YELLOW LIGHTS</t>
  </si>
  <si>
    <t>001!0611884122050</t>
  </si>
  <si>
    <t>COMBO VERBEN ESTRELLA SNGRA MX</t>
  </si>
  <si>
    <t>001!0611861262050</t>
  </si>
  <si>
    <t>COMBO VIBE GOOD VIBRATIONS</t>
  </si>
  <si>
    <t>001!0611861263050</t>
  </si>
  <si>
    <t>CONFET GDN AL KNA COLORPLAY</t>
  </si>
  <si>
    <t>001!0611861312050</t>
  </si>
  <si>
    <t>CONFET GDN AL KNA HI CLR CLASH</t>
  </si>
  <si>
    <t>001!0611861345050</t>
  </si>
  <si>
    <t>CONFET GDN AL KNA HI CONTRY</t>
  </si>
  <si>
    <t>001!0611861276050</t>
  </si>
  <si>
    <t>CONFET GDN AL KNA HI FRUIT BWL</t>
  </si>
  <si>
    <t>001!0611861346050</t>
  </si>
  <si>
    <t>CONFET GDN AL KNA HI GL</t>
  </si>
  <si>
    <t>001!0611861289050</t>
  </si>
  <si>
    <t>CONFET GDN AL KNA HI HK ST</t>
  </si>
  <si>
    <t>001!0611861277050</t>
  </si>
  <si>
    <t>CONFET GDN AL KNA HI HL</t>
  </si>
  <si>
    <t>001!0611861348050</t>
  </si>
  <si>
    <t>CONFET GDN AL KNA HI HULA LILI</t>
  </si>
  <si>
    <t>001!0611861347050</t>
  </si>
  <si>
    <t>CONFET GDN AL KNA HI KALANI</t>
  </si>
  <si>
    <t>001!0611861278050</t>
  </si>
  <si>
    <t>CONFET GDN AL KNA HI KNA FLAMI</t>
  </si>
  <si>
    <t>001!0611861343050</t>
  </si>
  <si>
    <t>CONFET GDN AL KNA HI LUAU</t>
  </si>
  <si>
    <t>001!0611861280050</t>
  </si>
  <si>
    <t>CONFET GDN AL KNA HI MAHALO</t>
  </si>
  <si>
    <t>001!0611861355050</t>
  </si>
  <si>
    <t>CONFET GDN AL KNA HI OHANA</t>
  </si>
  <si>
    <t>001!0611861284050</t>
  </si>
  <si>
    <t>CONFET GDN AL KNA HI PK FUSION</t>
  </si>
  <si>
    <t>001!0611861285050</t>
  </si>
  <si>
    <t>CONFET GDN AL KNA HI SAILAW</t>
  </si>
  <si>
    <t>001!0611861286050</t>
  </si>
  <si>
    <t>CONFET GDN AL KNA HI VLCNO KEA</t>
  </si>
  <si>
    <t>001!0611861344050</t>
  </si>
  <si>
    <t>CONFET GDN AL NAN HI NAN CNTRY</t>
  </si>
  <si>
    <t>001!0611861281050</t>
  </si>
  <si>
    <t>CONFET GDN AL NAN HI NAN HK ST</t>
  </si>
  <si>
    <t>001!0611861282050</t>
  </si>
  <si>
    <t>CONFET GDN AL NAN HI NAN HL</t>
  </si>
  <si>
    <t>001!0611861294050</t>
  </si>
  <si>
    <t>CONFET GDN AL NAN HI NAN NVEAU</t>
  </si>
  <si>
    <t>001!0611861283050</t>
  </si>
  <si>
    <t>CONFET GDN ARIA</t>
  </si>
  <si>
    <t>001!0611861265050</t>
  </si>
  <si>
    <t>CONFET GDN BAHIA COCONUT COAST</t>
  </si>
  <si>
    <t>001!0611861266050</t>
  </si>
  <si>
    <t>CONFET GDN BANACHOA STAYCATION</t>
  </si>
  <si>
    <t>001!0611884123050</t>
  </si>
  <si>
    <t>CONFET GDN BELLA WATER COLORS</t>
  </si>
  <si>
    <t>001!0611861428050</t>
  </si>
  <si>
    <t>CONFET GDN BELLA WATER WHEEL</t>
  </si>
  <si>
    <t>001!0611861429050</t>
  </si>
  <si>
    <t>CONFET GDN BELLA WATERBURY</t>
  </si>
  <si>
    <t>001!0611861430050</t>
  </si>
  <si>
    <t>CONFET GDN BELLA WATERFALL</t>
  </si>
  <si>
    <t>001!0611861431050</t>
  </si>
  <si>
    <t>CONFET GDN BELLA WATERLOO</t>
  </si>
  <si>
    <t>001!0611861433050</t>
  </si>
  <si>
    <t>CONFET GDN BELLA WATERROSE</t>
  </si>
  <si>
    <t>001!0611861268050</t>
  </si>
  <si>
    <t>CONFET GDN BIDY CMP FLER DE ED</t>
  </si>
  <si>
    <t>001!0611861313050</t>
  </si>
  <si>
    <t>CONFET GDN BIDY CMP NIGHTLIGHT</t>
  </si>
  <si>
    <t>001!0611861314050</t>
  </si>
  <si>
    <t>CONFET GDN BIDY CMP PINEAP PUN</t>
  </si>
  <si>
    <t>001!0611861315050</t>
  </si>
  <si>
    <t>CONFET GDN BIDY NIGHTLIGHT</t>
  </si>
  <si>
    <t>001!0611861361050</t>
  </si>
  <si>
    <t>CONFET GDN BIDY PINEAP PUN</t>
  </si>
  <si>
    <t>001!0611861378050</t>
  </si>
  <si>
    <t>CONFET GDN BLOOMT SUM SNST</t>
  </si>
  <si>
    <t>001!0611861296050</t>
  </si>
  <si>
    <t>CONFET GDN BLOOMT SUM SOLSTICE</t>
  </si>
  <si>
    <t>001!0611861295050</t>
  </si>
  <si>
    <t>CONFET GDN BLOOMTASTIC TRIO</t>
  </si>
  <si>
    <t>001!0611884124050</t>
  </si>
  <si>
    <t>CONFET GDN CALIBR CREAMSICLE</t>
  </si>
  <si>
    <t>001!0611884125050</t>
  </si>
  <si>
    <t>CONFET GDN CALIBR HA KAIHALULU</t>
  </si>
  <si>
    <t>001!0611884126050</t>
  </si>
  <si>
    <t>CONFET GDN CALIBR HA ORCH</t>
  </si>
  <si>
    <t>001!0611884127050</t>
  </si>
  <si>
    <t>CONFET GDN CALIBR MY BONNIE</t>
  </si>
  <si>
    <t>001!0611861290050</t>
  </si>
  <si>
    <t>CONFET GDN CALIBR MY GIRLIE</t>
  </si>
  <si>
    <t>001!0611861292050</t>
  </si>
  <si>
    <t>CONFET GDN CALIBR MY SUMMER</t>
  </si>
  <si>
    <t>001!0611861293050</t>
  </si>
  <si>
    <t>CONFET GDN COMPACT SPRING BRK</t>
  </si>
  <si>
    <t>001!0611861316050</t>
  </si>
  <si>
    <t>CONFET GDN CUPC CUPCAKE PAR</t>
  </si>
  <si>
    <t>001!0611861317050</t>
  </si>
  <si>
    <t>CONFET GDN CUPC SMARTY PAR</t>
  </si>
  <si>
    <t>001!0611861382050</t>
  </si>
  <si>
    <t>CONFET GDN DUO BLOOMT BLSM</t>
  </si>
  <si>
    <t>001!0611861275050</t>
  </si>
  <si>
    <t>CONFET GDN DUO CORAL REEF</t>
  </si>
  <si>
    <t>001!0611861369050</t>
  </si>
  <si>
    <t>CONFET GDN DUO DANCING JEANS</t>
  </si>
  <si>
    <t>001!0611861371050</t>
  </si>
  <si>
    <t>CONFET GDN DUO EARTH AND FIRE</t>
  </si>
  <si>
    <t>001!0611861321050</t>
  </si>
  <si>
    <t>CONFET GDN DUO GEMSTONE</t>
  </si>
  <si>
    <t>001!0611861319050</t>
  </si>
  <si>
    <t>CONFET GDN DUO GRANDE FUCHSIA</t>
  </si>
  <si>
    <t>001!0611861342050</t>
  </si>
  <si>
    <t>CONFET GDN DUO MARV ORCH</t>
  </si>
  <si>
    <t>001!0611861372050</t>
  </si>
  <si>
    <t>CONFET GDN DUO STORMY ORCH</t>
  </si>
  <si>
    <t>001!0611861374050</t>
  </si>
  <si>
    <t>CONFET GDN DUO SUNDANCE</t>
  </si>
  <si>
    <t>001!0611861375050</t>
  </si>
  <si>
    <t>CONFET GDN DUO TWIST</t>
  </si>
  <si>
    <t>001!0611861376050</t>
  </si>
  <si>
    <t>CONFET GDN EARLY LOVE</t>
  </si>
  <si>
    <t>001!0611861320050</t>
  </si>
  <si>
    <t>CONFET GDN EMPRESS LIBERTY</t>
  </si>
  <si>
    <t>001!0611861424050</t>
  </si>
  <si>
    <t>CONFET GDN EMPRESS PATRIOT SUN</t>
  </si>
  <si>
    <t>001!0611861425050</t>
  </si>
  <si>
    <t>CONFET GDN ENDLESS LOVE</t>
  </si>
  <si>
    <t>001!0611861323050</t>
  </si>
  <si>
    <t>CONFET GDN ENDURABLE BEAUTY</t>
  </si>
  <si>
    <t>001!0611861324050</t>
  </si>
  <si>
    <t>CONFET GDN ENDURABLE CERISE</t>
  </si>
  <si>
    <t>001!0611861325050</t>
  </si>
  <si>
    <t>CONFET GDN ENDURABLE CHRY</t>
  </si>
  <si>
    <t>001!0611861326050</t>
  </si>
  <si>
    <t>CONFET GDN ENDURABLE LILAC</t>
  </si>
  <si>
    <t>001!0611861327050</t>
  </si>
  <si>
    <t>CONFET GDN ENDURABLE PINK</t>
  </si>
  <si>
    <t>001!0611861328050</t>
  </si>
  <si>
    <t>CONFET GDN ENDURABLE ROSE</t>
  </si>
  <si>
    <t>001!0611884128050</t>
  </si>
  <si>
    <t>CONFET GDN EVENING SAFARI</t>
  </si>
  <si>
    <t>001!0611861329050</t>
  </si>
  <si>
    <t>CONFET GDN FLEUR DE EDNA</t>
  </si>
  <si>
    <t>001!0611884129050</t>
  </si>
  <si>
    <t>CONFET GDN FLORAMIA CAMOUFLAGE</t>
  </si>
  <si>
    <t>001!0611861299050</t>
  </si>
  <si>
    <t>CONFET GDN GLOSSY BLUEBERRY</t>
  </si>
  <si>
    <t>001!0611861334050</t>
  </si>
  <si>
    <t>CONFET GDN GLOSSY MANGO</t>
  </si>
  <si>
    <t>001!0611861338050</t>
  </si>
  <si>
    <t>CONFET GDN GLOSSY SUNSET</t>
  </si>
  <si>
    <t>001!0611861340050</t>
  </si>
  <si>
    <t>CONFET GDN GLOSSY TWILIGHT</t>
  </si>
  <si>
    <t>001!0611861341050</t>
  </si>
  <si>
    <t>CONFET GDN GOLDEN ARCHES</t>
  </si>
  <si>
    <t>001!0611884130050</t>
  </si>
  <si>
    <t>CONFET GDN HAV HAVANA SUM</t>
  </si>
  <si>
    <t>001!0611861287050</t>
  </si>
  <si>
    <t>CONFET GDN LASTING LOVE</t>
  </si>
  <si>
    <t>001!0611861353050</t>
  </si>
  <si>
    <t>CONFET GDN LEO</t>
  </si>
  <si>
    <t>001!0611861305050</t>
  </si>
  <si>
    <t>CONFET GDN MAIN ST TRAFALGR SQ</t>
  </si>
  <si>
    <t>001!0611861358050</t>
  </si>
  <si>
    <t>CONFET GDN MANTLE</t>
  </si>
  <si>
    <t>001!0611861306050</t>
  </si>
  <si>
    <t>CONFET GDN MAYS</t>
  </si>
  <si>
    <t>001!0611861307050</t>
  </si>
  <si>
    <t>CONFET GDN ORANGE BLOSSOM</t>
  </si>
  <si>
    <t>001!0611861364050</t>
  </si>
  <si>
    <t>CONFET GDN PARTY OSCAR</t>
  </si>
  <si>
    <t>001!0611861366050</t>
  </si>
  <si>
    <t>CONFET GDN PETUNI RUBY SLPPRS</t>
  </si>
  <si>
    <t>001!0611861373050</t>
  </si>
  <si>
    <t>CONFET GDN PINK LEMONADE</t>
  </si>
  <si>
    <t>001!0611884131050</t>
  </si>
  <si>
    <t>CONFET GDN PISCES</t>
  </si>
  <si>
    <t>001!0611861308050</t>
  </si>
  <si>
    <t>CONFET GDN PORTUL CUPCAKE NGHT</t>
  </si>
  <si>
    <t>001!0611884132050</t>
  </si>
  <si>
    <t>CONFET GDN RAINB BRIDGE</t>
  </si>
  <si>
    <t>001!0611861385050</t>
  </si>
  <si>
    <t>CONFET GDN RAINB FALL FANDANGO</t>
  </si>
  <si>
    <t>001!0611861331050</t>
  </si>
  <si>
    <t>CONFET GDN RAINB SHERBET</t>
  </si>
  <si>
    <t>001!0611861386050</t>
  </si>
  <si>
    <t>CONFET GDN RAINB TIGER TAIL</t>
  </si>
  <si>
    <t>001!0611861417050</t>
  </si>
  <si>
    <t>CONFET GDN ROBINSON</t>
  </si>
  <si>
    <t>001!0611861309050</t>
  </si>
  <si>
    <t>CONFET GDN RUTH</t>
  </si>
  <si>
    <t>001!0611861310050</t>
  </si>
  <si>
    <t>CONFET GDN SAF IVRY CST SAFARI</t>
  </si>
  <si>
    <t>001!0611861350050</t>
  </si>
  <si>
    <t>CONFET GDN SAF OUTBACK SAFARI</t>
  </si>
  <si>
    <t>001!0611861365050</t>
  </si>
  <si>
    <t>CONFET GDN SAF SAHARA SAFARI</t>
  </si>
  <si>
    <t>001!0611861390050</t>
  </si>
  <si>
    <t>CONFET GDN SAF SPR SAFARI</t>
  </si>
  <si>
    <t>001!0611861407050</t>
  </si>
  <si>
    <t>CONFET GDN SAF STLL WTR SAFARI</t>
  </si>
  <si>
    <t>001!0611861411050</t>
  </si>
  <si>
    <t>CONFET GDN SALVIA MIDNIGHT</t>
  </si>
  <si>
    <t>001!0611884133050</t>
  </si>
  <si>
    <t>CONFET GDN SCALA SUMMER BREEZE</t>
  </si>
  <si>
    <t>001!0611884134050</t>
  </si>
  <si>
    <t>CONFET GDN SERENGETI</t>
  </si>
  <si>
    <t>001!0611884135050</t>
  </si>
  <si>
    <t>CONFET GDN SHOCKING PURPLE</t>
  </si>
  <si>
    <t>001!0611861394050</t>
  </si>
  <si>
    <t>CONFET GDN SHOCKING STAR</t>
  </si>
  <si>
    <t>001!0611861396050</t>
  </si>
  <si>
    <t>CONFET GDN SMALL TALK</t>
  </si>
  <si>
    <t>001!0611861400050</t>
  </si>
  <si>
    <t>CONFET GDN SOLENOSTMN GT FALLS</t>
  </si>
  <si>
    <t>001!0611861401050</t>
  </si>
  <si>
    <t>CONFET GDN SPARKLE BL</t>
  </si>
  <si>
    <t>001!0611861402050</t>
  </si>
  <si>
    <t>CONFET GDN SPARKLE MAG</t>
  </si>
  <si>
    <t>001!0611861403050</t>
  </si>
  <si>
    <t>CONFET GDN SPARKLE PRP</t>
  </si>
  <si>
    <t>001!0611861404050</t>
  </si>
  <si>
    <t>CONFET GDN SPARKLE RD</t>
  </si>
  <si>
    <t>001!0611861405050</t>
  </si>
  <si>
    <t>CONFET GDN SPRING BREAK</t>
  </si>
  <si>
    <t>001!0611861406050</t>
  </si>
  <si>
    <t>CONFET GDN STARS/STRIPES GLORY</t>
  </si>
  <si>
    <t>001!0611861410050</t>
  </si>
  <si>
    <t>CONFET GDN STARS/STRIPES HONOR</t>
  </si>
  <si>
    <t>001!0611861409050</t>
  </si>
  <si>
    <t>CONFET GDN SUNSET BLUES</t>
  </si>
  <si>
    <t>001!0611884136050</t>
  </si>
  <si>
    <t>CONFET GDN TIK CLOCKWORKS</t>
  </si>
  <si>
    <t>001!0611861311050</t>
  </si>
  <si>
    <t>CONFET GDN TIK STAR SHIP</t>
  </si>
  <si>
    <t>001!0611861408050</t>
  </si>
  <si>
    <t>CONFET GDN TIK TIME FOR CHANGE</t>
  </si>
  <si>
    <t>001!0611861418050</t>
  </si>
  <si>
    <t>CONFET GDN TIK TIME FOR FUN</t>
  </si>
  <si>
    <t>001!0611861297050</t>
  </si>
  <si>
    <t>CONFET GDN TIK TIME FOR SPR</t>
  </si>
  <si>
    <t>001!0611861419050</t>
  </si>
  <si>
    <t>CONFET GDN TIK TIME FOR SUM</t>
  </si>
  <si>
    <t>001!0611861420050</t>
  </si>
  <si>
    <t>CONFET GDN TIK TIME TRAVEL</t>
  </si>
  <si>
    <t>001!0611861421050</t>
  </si>
  <si>
    <t>CONFET GDN TIME AFTER TIME</t>
  </si>
  <si>
    <t>001!0611884137050</t>
  </si>
  <si>
    <t>CONFET GDN TIME FLIES CONFETTI</t>
  </si>
  <si>
    <t>001!0611884138050</t>
  </si>
  <si>
    <t>CONFET GDN TIME FOR BLASTOFF</t>
  </si>
  <si>
    <t>001!0611884139050</t>
  </si>
  <si>
    <t>CONFET GDN TIME TO CHILL</t>
  </si>
  <si>
    <t>001!0611884141050</t>
  </si>
  <si>
    <t>CONFET GDN TONE BEL AIR RD</t>
  </si>
  <si>
    <t>001!0611861267050</t>
  </si>
  <si>
    <t>CONFET GDN TONE CHERR ON TP</t>
  </si>
  <si>
    <t>001!0611861301050</t>
  </si>
  <si>
    <t>CONFET GDN TONE COTTON CANDY</t>
  </si>
  <si>
    <t>001!0611861370050</t>
  </si>
  <si>
    <t>CONFET GDN TONE ROCKIN RD</t>
  </si>
  <si>
    <t>001!0611861388050</t>
  </si>
  <si>
    <t>CONFET GDN TONE SHOCK PK</t>
  </si>
  <si>
    <t>001!0611861393050</t>
  </si>
  <si>
    <t>CONFET GDN TONE SHOCK RS</t>
  </si>
  <si>
    <t>001!0611861395050</t>
  </si>
  <si>
    <t>CONFET GDN TONE SHOCK STORM</t>
  </si>
  <si>
    <t>001!0611861397050</t>
  </si>
  <si>
    <t>CONFET GDN TONE SUNSHINE</t>
  </si>
  <si>
    <t>001!0611861413050</t>
  </si>
  <si>
    <t>CONFET GDN TR MX BANA BRY BLN</t>
  </si>
  <si>
    <t>001!0611861360050</t>
  </si>
  <si>
    <t>CONFET GDN TR MX BL DANUBE</t>
  </si>
  <si>
    <t>001!0611861272050</t>
  </si>
  <si>
    <t>CONFET GDN TR MX BL MACAW</t>
  </si>
  <si>
    <t>001!0611861273050</t>
  </si>
  <si>
    <t>CONFET GDN TR MX BLAZE OF GLRY</t>
  </si>
  <si>
    <t>001!0611861270050</t>
  </si>
  <si>
    <t>CONFET GDN TR MX BLING CHRY</t>
  </si>
  <si>
    <t>001!0611861271050</t>
  </si>
  <si>
    <t>CONFET GDN TR MX BRY COBBLER</t>
  </si>
  <si>
    <t>001!0611861269050</t>
  </si>
  <si>
    <t>CONFET GDN TR MX BUNNY TRACKS</t>
  </si>
  <si>
    <t>001!0611861274050</t>
  </si>
  <si>
    <t>CONFET GDN TR MX CALYPSO</t>
  </si>
  <si>
    <t>001!0611861298050</t>
  </si>
  <si>
    <t>CONFET GDN TR MX CAMPFIRE</t>
  </si>
  <si>
    <t>001!0611861300050</t>
  </si>
  <si>
    <t>CONFET GDN TR MX DENIM BLUES</t>
  </si>
  <si>
    <t>001!0611861318050</t>
  </si>
  <si>
    <t>CONFET GDN TR MX EASTER BASKET</t>
  </si>
  <si>
    <t>001!0611861322050</t>
  </si>
  <si>
    <t>CONFET GDN TR MX FIREFLASH</t>
  </si>
  <si>
    <t>001!0611861333050</t>
  </si>
  <si>
    <t>CONFET GDN TR MX HUNNY BUNNY</t>
  </si>
  <si>
    <t>001!0611861349050</t>
  </si>
  <si>
    <t>CONFET GDN TR MX LA SALUTE</t>
  </si>
  <si>
    <t>001!0611861351050</t>
  </si>
  <si>
    <t>CONFET GDN TR MX MAG STAR</t>
  </si>
  <si>
    <t>001!0611861354050</t>
  </si>
  <si>
    <t>CONFET GDN TR MX MARV TREASURE</t>
  </si>
  <si>
    <t>001!0611861356050</t>
  </si>
  <si>
    <t>CONFET GDN TR MX MATERIAL GIRL</t>
  </si>
  <si>
    <t>001!0611861357050</t>
  </si>
  <si>
    <t>CONFET GDN TR MX MOUNT MAJESTY</t>
  </si>
  <si>
    <t>001!0611861359050</t>
  </si>
  <si>
    <t>CONFET GDN TR MX NORTH LIGHT</t>
  </si>
  <si>
    <t>001!0611861362050</t>
  </si>
  <si>
    <t>CONFET GDN TR MX OKTOBERFEST</t>
  </si>
  <si>
    <t>001!0611861363050</t>
  </si>
  <si>
    <t>CONFET GDN TR MX PATROT</t>
  </si>
  <si>
    <t>001!0611861367050</t>
  </si>
  <si>
    <t>CONFET GDN TR MX PEPP CANDY</t>
  </si>
  <si>
    <t>001!0611861368050</t>
  </si>
  <si>
    <t>CONFET GDN TR MX PIRATE BEAUTY</t>
  </si>
  <si>
    <t>001!0611861379050</t>
  </si>
  <si>
    <t>CONFET GDN TR MX PLAYDATE</t>
  </si>
  <si>
    <t>001!0611861380050</t>
  </si>
  <si>
    <t>CONFET GDN TR MX PRP CLEOPA</t>
  </si>
  <si>
    <t>001!0611861383050</t>
  </si>
  <si>
    <t>CONFET GDN TR MX PRP HALO</t>
  </si>
  <si>
    <t>001!0611861384050</t>
  </si>
  <si>
    <t>CONFET GDN TR MX PUMPKIN SPICE</t>
  </si>
  <si>
    <t>001!0611861332050</t>
  </si>
  <si>
    <t>CONFET GDN TR MX RASP TARTE</t>
  </si>
  <si>
    <t>001!0611861387050</t>
  </si>
  <si>
    <t>CONFET GDN TR MX ROCKIN SNST</t>
  </si>
  <si>
    <t>001!0611861389050</t>
  </si>
  <si>
    <t>CONFET GDN TR MX SEASON OPENER</t>
  </si>
  <si>
    <t>001!0611861391050</t>
  </si>
  <si>
    <t>CONFET GDN TR MX SHOCK BL</t>
  </si>
  <si>
    <t>001!0611861392050</t>
  </si>
  <si>
    <t>CONFET GDN TR MX SHOCK TOUCH</t>
  </si>
  <si>
    <t>001!0611861399050</t>
  </si>
  <si>
    <t>CONFET GDN TR MX SPR LOVE</t>
  </si>
  <si>
    <t>001!0611861377050</t>
  </si>
  <si>
    <t>CONFET GDN TR MX SPR MOM</t>
  </si>
  <si>
    <t>001!0611861415050</t>
  </si>
  <si>
    <t>CONFET GDN TR MX SUNNY SKIES</t>
  </si>
  <si>
    <t>001!0611861412050</t>
  </si>
  <si>
    <t>CONFET GDN TR MX THATS AMORE</t>
  </si>
  <si>
    <t>001!0611861416050</t>
  </si>
  <si>
    <t>CONFET GDN TR MX TROP SUNRISE</t>
  </si>
  <si>
    <t>001!0611861422050</t>
  </si>
  <si>
    <t>CONFET GDN TR MX TRUE LOVE</t>
  </si>
  <si>
    <t>001!0611861423050</t>
  </si>
  <si>
    <t>CONFET GDN TR MX WALK IN CLOUD</t>
  </si>
  <si>
    <t>001!0611861427050</t>
  </si>
  <si>
    <t>CONFET GDN TRIO MIX HEARTLAND</t>
  </si>
  <si>
    <t>001!0611861352050</t>
  </si>
  <si>
    <t>CONFET GDN VERBENA ROYAL CHARM</t>
  </si>
  <si>
    <t>001!0611884140050</t>
  </si>
  <si>
    <t>CONFET GDN VIRGO</t>
  </si>
  <si>
    <t>001!0611861426050</t>
  </si>
  <si>
    <t>CONFET GDN WATERLILY</t>
  </si>
  <si>
    <t>001!0611861432050</t>
  </si>
  <si>
    <t>CONFET GDN YOLO GLOSSY CHRY</t>
  </si>
  <si>
    <t>001!0611861335050</t>
  </si>
  <si>
    <t>CONFET GDN YOLO GLOSSY GARDEN</t>
  </si>
  <si>
    <t>001!0611861336050</t>
  </si>
  <si>
    <t>CONFET GDN YOLO GLOSSY GRP</t>
  </si>
  <si>
    <t>001!0611861337050</t>
  </si>
  <si>
    <t>CONFET GDN YOLO GLOSSY STRAWB</t>
  </si>
  <si>
    <t>001!0611861339050</t>
  </si>
  <si>
    <t>CONVAL LILY OF THE VALLEY</t>
  </si>
  <si>
    <t>001!0611833297100</t>
  </si>
  <si>
    <t>001!0611833298025</t>
  </si>
  <si>
    <t>CONVOL CONVOLVULUS GENERIC</t>
  </si>
  <si>
    <t>001!0611833299100</t>
  </si>
  <si>
    <t>COPROS LOOKING GLSS PLANT GNRC</t>
  </si>
  <si>
    <t>001!0611833301100</t>
  </si>
  <si>
    <t>CORDYL CORDYLINE GENERIC</t>
  </si>
  <si>
    <t>001!0611833302100</t>
  </si>
  <si>
    <t>CORDYL DANCING SALSA</t>
  </si>
  <si>
    <t>001!0611833306025</t>
  </si>
  <si>
    <t>CORDYL RED</t>
  </si>
  <si>
    <t>001!0611833308100</t>
  </si>
  <si>
    <t>CORDYL RED SENSATION</t>
  </si>
  <si>
    <t>001!0611833309100</t>
  </si>
  <si>
    <t>CORDYL RED STAR</t>
  </si>
  <si>
    <t>001!0611833310100</t>
  </si>
  <si>
    <t>COREOP AMERICAN DREAM ROSEA</t>
  </si>
  <si>
    <t>001!0611833314025</t>
  </si>
  <si>
    <t>COREOP ANDIAMO YELLOW RED</t>
  </si>
  <si>
    <t>001!0611833315025</t>
  </si>
  <si>
    <t>COREOP BABY SUN</t>
  </si>
  <si>
    <t>001!0611833317025</t>
  </si>
  <si>
    <t>COREOP BENGAL TIGER</t>
  </si>
  <si>
    <t>001!0611833318025</t>
  </si>
  <si>
    <t>COREOP BIG BANG COSMIC EYE</t>
  </si>
  <si>
    <t>001!0611833320025</t>
  </si>
  <si>
    <t>001!0611861436100</t>
  </si>
  <si>
    <t>COREOP BIG BANG COSMIC EYE LMT</t>
  </si>
  <si>
    <t>001!0611861435050</t>
  </si>
  <si>
    <t>COREOP BIG BANG FULL MOON</t>
  </si>
  <si>
    <t>001!0611833321025</t>
  </si>
  <si>
    <t>001!0611861437100</t>
  </si>
  <si>
    <t>COREOP BIG BANG MERCURY RISING</t>
  </si>
  <si>
    <t>001!0611833322025</t>
  </si>
  <si>
    <t>001!0611861438100</t>
  </si>
  <si>
    <t>COREOP BIG BANG POLARIS</t>
  </si>
  <si>
    <t>001!0611861439100</t>
  </si>
  <si>
    <t>COREOP BIG BANG RADIOACT TK</t>
  </si>
  <si>
    <t>001!0611861440100</t>
  </si>
  <si>
    <t>COREOP BIG BANG RADIOACT TK LM</t>
  </si>
  <si>
    <t>001!0611861441050</t>
  </si>
  <si>
    <t>COREOP BIG BANG SUN SPL TK LM</t>
  </si>
  <si>
    <t>001!0611861442100</t>
  </si>
  <si>
    <t>001!0611861443050</t>
  </si>
  <si>
    <t>COREOP BLOOMSATION CHAMELEON</t>
  </si>
  <si>
    <t>001!0611861444100</t>
  </si>
  <si>
    <t>COREOP BLOOMSATION DRAGON</t>
  </si>
  <si>
    <t>001!0611861445100</t>
  </si>
  <si>
    <t>COREOP CASTELLO COMPACT YELLOW</t>
  </si>
  <si>
    <t>001!0611833325025</t>
  </si>
  <si>
    <t>001!0611861446050</t>
  </si>
  <si>
    <t>COREOP CASTELLO POM POM YELLOW</t>
  </si>
  <si>
    <t>001!0611833326025</t>
  </si>
  <si>
    <t>001!0611861447050</t>
  </si>
  <si>
    <t>COREOP CITRINE</t>
  </si>
  <si>
    <t>001!0611833327025</t>
  </si>
  <si>
    <t>COREOP COREY COMPACT GOLD</t>
  </si>
  <si>
    <t>001!0611833328025</t>
  </si>
  <si>
    <t>COREOP CREME CARAMEL</t>
  </si>
  <si>
    <t>001!0611833329025</t>
  </si>
  <si>
    <t>COREOP CRUIZIN MAIN STREET</t>
  </si>
  <si>
    <t>001!0611833332025</t>
  </si>
  <si>
    <t>COREOP DAHL BABY</t>
  </si>
  <si>
    <t>001!0611833334025</t>
  </si>
  <si>
    <t>COREOP DESERT CORAL</t>
  </si>
  <si>
    <t>001!0611833335025</t>
  </si>
  <si>
    <t>COREOP DOUBLE THE SUN</t>
  </si>
  <si>
    <t>001!0611833336025</t>
  </si>
  <si>
    <t>COREOP EARLY SUNRISE</t>
  </si>
  <si>
    <t>001!0611833337100</t>
  </si>
  <si>
    <t>001!0611833338025</t>
  </si>
  <si>
    <t>COREOP FALL SENSATION AMBER</t>
  </si>
  <si>
    <t>001!0611861448100</t>
  </si>
  <si>
    <t>COREOP FALL SENSATION QUARTZ</t>
  </si>
  <si>
    <t>001!0611861449100</t>
  </si>
  <si>
    <t>COREOP FALL SENSATION SANDSTN</t>
  </si>
  <si>
    <t>001!0611861450100</t>
  </si>
  <si>
    <t>COREOP FALL SENSATION SUNNY SD</t>
  </si>
  <si>
    <t>001!0611861451100</t>
  </si>
  <si>
    <t>COREOP FALL SENSATION VERMILN</t>
  </si>
  <si>
    <t>001!0611861452100</t>
  </si>
  <si>
    <t>COREOP FIREFLY</t>
  </si>
  <si>
    <t>001!0611833340025</t>
  </si>
  <si>
    <t>COREOP GOLDEN STARDUST</t>
  </si>
  <si>
    <t>001!0611833342025</t>
  </si>
  <si>
    <t>COREOP HONEYBUNCH RED GOLD</t>
  </si>
  <si>
    <t>001!0611833344025</t>
  </si>
  <si>
    <t>COREOP HYBRID FORMS GENERIC</t>
  </si>
  <si>
    <t>001!0611833345025</t>
  </si>
  <si>
    <t>COREOP JETHRO TULL</t>
  </si>
  <si>
    <t>001!0611833347025</t>
  </si>
  <si>
    <t>COREOP JETHRO TULL LMTD</t>
  </si>
  <si>
    <t>001!0611861454100</t>
  </si>
  <si>
    <t>001!0611861455050</t>
  </si>
  <si>
    <t>COREOP LADYBIRD</t>
  </si>
  <si>
    <t>001!0611833348025</t>
  </si>
  <si>
    <t>COREOP LEADING LADY CHARLIZE</t>
  </si>
  <si>
    <t>001!0611861456100</t>
  </si>
  <si>
    <t>COREOP LEADING LADY CHRLZ LMTD</t>
  </si>
  <si>
    <t>001!0611861457050</t>
  </si>
  <si>
    <t>COREOP LEADING LADY IRON LADY</t>
  </si>
  <si>
    <t>001!0611861458100</t>
  </si>
  <si>
    <t>001!0611861459050</t>
  </si>
  <si>
    <t>COREOP LEADING LADY LAUREN</t>
  </si>
  <si>
    <t>001!0611861460100</t>
  </si>
  <si>
    <t>COREOP LEADING LADY SOPHIA</t>
  </si>
  <si>
    <t>001!0611861461100</t>
  </si>
  <si>
    <t>001!0611861462050</t>
  </si>
  <si>
    <t>COREOP LIGHTNING BUG</t>
  </si>
  <si>
    <t>001!0611833349025</t>
  </si>
  <si>
    <t>COREOP LIL BANG CANDY STRIPES</t>
  </si>
  <si>
    <t>001!0611861463100</t>
  </si>
  <si>
    <t>COREOP LIL BANG DARLING CLMNTN</t>
  </si>
  <si>
    <t>001!0611861466100</t>
  </si>
  <si>
    <t>COREOP LIL BANG DAYBREAK</t>
  </si>
  <si>
    <t>001!0611833351025</t>
  </si>
  <si>
    <t>001!0611861464100</t>
  </si>
  <si>
    <t>COREOP LIL BANG DAYBREAK LMTD</t>
  </si>
  <si>
    <t>001!0611861465050</t>
  </si>
  <si>
    <t>COREOP LIL BANG ENCHAN EVE LMT</t>
  </si>
  <si>
    <t>001!0611861468050</t>
  </si>
  <si>
    <t>COREOP LIL BANG ENCHANTED EVE</t>
  </si>
  <si>
    <t>001!0611833352025</t>
  </si>
  <si>
    <t>001!0611861467100</t>
  </si>
  <si>
    <t>001!0611861473050</t>
  </si>
  <si>
    <t>COREOP LIL BANG FIREWHEEL</t>
  </si>
  <si>
    <t>001!0611861469100</t>
  </si>
  <si>
    <t>COREOP LIL BANG GOLDILOCKS</t>
  </si>
  <si>
    <t>001!0611861470100</t>
  </si>
  <si>
    <t>COREOP LIL BANG ORANGE ELF</t>
  </si>
  <si>
    <t>001!0611861471100</t>
  </si>
  <si>
    <t>COREOP LIL BANG RED ELF</t>
  </si>
  <si>
    <t>001!0611833360025</t>
  </si>
  <si>
    <t>001!0611861472100</t>
  </si>
  <si>
    <t>COREOP LIL BANG STARLIGHT</t>
  </si>
  <si>
    <t>001!0611833357025</t>
  </si>
  <si>
    <t>001!0611861474100</t>
  </si>
  <si>
    <t>COREOP LIL BANG STARLIGHT LMT</t>
  </si>
  <si>
    <t>001!0611861475050</t>
  </si>
  <si>
    <t>COREOP LIL BANG STARSTRUCK</t>
  </si>
  <si>
    <t>001!0611833358025</t>
  </si>
  <si>
    <t>001!0611861476100</t>
  </si>
  <si>
    <t>COREOP LIMONCELLO</t>
  </si>
  <si>
    <t>001!0611861477100</t>
  </si>
  <si>
    <t>COREOP LIMONCELLO GOLDEN LMTD</t>
  </si>
  <si>
    <t>001!0611861478050</t>
  </si>
  <si>
    <t>COREOP MOONBEAM</t>
  </si>
  <si>
    <t>001!0611833361100</t>
  </si>
  <si>
    <t>001!0611833362025</t>
  </si>
  <si>
    <t>001!0611861479050</t>
  </si>
  <si>
    <t>COREOP MOONBEAM CN5045</t>
  </si>
  <si>
    <t>001!0611861480100</t>
  </si>
  <si>
    <t>COREOP MOONSWIRL</t>
  </si>
  <si>
    <t>001!0611861481100</t>
  </si>
  <si>
    <t>COREOP NANA</t>
  </si>
  <si>
    <t>001!0611861482100</t>
  </si>
  <si>
    <t>COREOP NANA AURICULATA</t>
  </si>
  <si>
    <t>001!0611833363025</t>
  </si>
  <si>
    <t>COREOP PERMATHREAD BUTTER RUM</t>
  </si>
  <si>
    <t>001!0611861483100</t>
  </si>
  <si>
    <t>COREOP PERMATHREAD RED SATIN</t>
  </si>
  <si>
    <t>001!0611833367025</t>
  </si>
  <si>
    <t>001!0611861484100</t>
  </si>
  <si>
    <t>COREOP PERMATHREAD SHD OF ROSE</t>
  </si>
  <si>
    <t>001!0611861485100</t>
  </si>
  <si>
    <t>001!0611861486050</t>
  </si>
  <si>
    <t>COREOP PERMATHREAD SWEET TART</t>
  </si>
  <si>
    <t>001!0611861487100</t>
  </si>
  <si>
    <t>COREOP PRESTO</t>
  </si>
  <si>
    <t>001!0611833370025</t>
  </si>
  <si>
    <t>COREOP REINA GOLD</t>
  </si>
  <si>
    <t>001!0611833371025</t>
  </si>
  <si>
    <t>COREOP REINA SINGLE GIANT GOLD</t>
  </si>
  <si>
    <t>001!0611833372025</t>
  </si>
  <si>
    <t>COREOP RISING SUN</t>
  </si>
  <si>
    <t>001!0611833373025</t>
  </si>
  <si>
    <t>COREOP ROSSANA</t>
  </si>
  <si>
    <t>001!0611833374025</t>
  </si>
  <si>
    <t>COREOP RUBY FROST</t>
  </si>
  <si>
    <t>001!0611833375025</t>
  </si>
  <si>
    <t>COREOP SATN/LCE BRY CHIFFON</t>
  </si>
  <si>
    <t>001!0611833389025</t>
  </si>
  <si>
    <t>001!0611861488100</t>
  </si>
  <si>
    <t>COREOP SATN/LCE PCH SPARKLE</t>
  </si>
  <si>
    <t>001!0611833390025</t>
  </si>
  <si>
    <t>COREOP SATN/LCE PCH SPRKL LMTD</t>
  </si>
  <si>
    <t>001!0611861489100</t>
  </si>
  <si>
    <t>001!0611861490050</t>
  </si>
  <si>
    <t>COREOP SATN/LCE RAZL/DAZL LMTD</t>
  </si>
  <si>
    <t>001!0611861491100</t>
  </si>
  <si>
    <t>001!0611861492050</t>
  </si>
  <si>
    <t>COREOP SATN/LCE RAZZLE DZZL</t>
  </si>
  <si>
    <t>001!0611833391025</t>
  </si>
  <si>
    <t>COREOP SATN/LCE RD TPSTRY LMTD</t>
  </si>
  <si>
    <t>001!0611861493050</t>
  </si>
  <si>
    <t>COREOP SATN/LCE RED CHFN LMTD</t>
  </si>
  <si>
    <t>001!0611861494050</t>
  </si>
  <si>
    <t>COREOP SATN/LCE RED CHIFFON</t>
  </si>
  <si>
    <t>001!0611833377025</t>
  </si>
  <si>
    <t>001!0611861495100</t>
  </si>
  <si>
    <t>COREOP SATN/LCE RED TAPESTRY</t>
  </si>
  <si>
    <t>001!0611833392025</t>
  </si>
  <si>
    <t>001!0611861496100</t>
  </si>
  <si>
    <t>COREOP SOLANNA BRIGHT TOUCH</t>
  </si>
  <si>
    <t>001!0611833380025</t>
  </si>
  <si>
    <t>COREOP SOLANNA GLOW</t>
  </si>
  <si>
    <t>001!0611833381025</t>
  </si>
  <si>
    <t>COREOP SOLANNA GOLDEN CROWN</t>
  </si>
  <si>
    <t>001!0611833382025</t>
  </si>
  <si>
    <t>COREOP SOLANNA GOLDEN PRINCESS</t>
  </si>
  <si>
    <t>001!0611833383025</t>
  </si>
  <si>
    <t>COREOP SOLANNA GOLDEN SPHERE</t>
  </si>
  <si>
    <t>001!0611833384025</t>
  </si>
  <si>
    <t>COREOP SOLANNA SERIES</t>
  </si>
  <si>
    <t>001!0611833385100</t>
  </si>
  <si>
    <t>COREOP SOLANNA SUNSET BRIGHT</t>
  </si>
  <si>
    <t>001!0611884142025</t>
  </si>
  <si>
    <t>COREOP SOLANNA SUNSET BURST</t>
  </si>
  <si>
    <t>001!0611833386025</t>
  </si>
  <si>
    <t>COREOP SOLANNA SUNSHINE</t>
  </si>
  <si>
    <t>001!0611833387025</t>
  </si>
  <si>
    <t>COREOP SOLANNA YELLOW TOUCH</t>
  </si>
  <si>
    <t>001!0611833388025</t>
  </si>
  <si>
    <t>COREOP SUNBRIGHT</t>
  </si>
  <si>
    <t>001!0611861497050</t>
  </si>
  <si>
    <t>COREOP SUNBRIGHT GOLDEN LMTD</t>
  </si>
  <si>
    <t>001!0611861498100</t>
  </si>
  <si>
    <t>COREOP SUNFIRE</t>
  </si>
  <si>
    <t>001!0611833394025</t>
  </si>
  <si>
    <t>COREOP SUNKISS</t>
  </si>
  <si>
    <t>001!0611833395025</t>
  </si>
  <si>
    <t>COREOP SUNNY DAY</t>
  </si>
  <si>
    <t>001!0611833396025</t>
  </si>
  <si>
    <t>COREOP SUNRAY</t>
  </si>
  <si>
    <t>001!0611833397100</t>
  </si>
  <si>
    <t>COREOP SUNSWIRL</t>
  </si>
  <si>
    <t>001!0611861499100</t>
  </si>
  <si>
    <t>COREOP SUPER STAR</t>
  </si>
  <si>
    <t>001!0611833399025</t>
  </si>
  <si>
    <t>COREOP SYLVESTER VERTICILLATA</t>
  </si>
  <si>
    <t>001!0611833400025</t>
  </si>
  <si>
    <t>COREOP TEQUILA SUNRISE</t>
  </si>
  <si>
    <t>001!0611833401025</t>
  </si>
  <si>
    <t>COREOP UPTICK CREAM</t>
  </si>
  <si>
    <t>001!0611833402025</t>
  </si>
  <si>
    <t>COREOP UPTICK CREAM/RED</t>
  </si>
  <si>
    <t>001!0611833403025</t>
  </si>
  <si>
    <t>COREOP UPTICK GOLD/BRONZE</t>
  </si>
  <si>
    <t>001!0611833404025</t>
  </si>
  <si>
    <t>COREOP UPTICK RED</t>
  </si>
  <si>
    <t>001!0611833405025</t>
  </si>
  <si>
    <t>COREOP UPTICK YELLOW/RED</t>
  </si>
  <si>
    <t>001!0611833406025</t>
  </si>
  <si>
    <t>COREOP VERTICILLATA ZAGREB</t>
  </si>
  <si>
    <t>001!0611833409100</t>
  </si>
  <si>
    <t>001!0611833410025</t>
  </si>
  <si>
    <t>COREOP YELLOW</t>
  </si>
  <si>
    <t>001!0611833407100</t>
  </si>
  <si>
    <t>COREOP YELLOW GENERIC</t>
  </si>
  <si>
    <t>001!0611833408025</t>
  </si>
  <si>
    <t>COREOP ZAGREB</t>
  </si>
  <si>
    <t>001!0611861500100</t>
  </si>
  <si>
    <t>COREOP ZAGREB LMTD</t>
  </si>
  <si>
    <t>001!0611861501050</t>
  </si>
  <si>
    <t>CORIAN CILANTRO</t>
  </si>
  <si>
    <t>001!0611833411100</t>
  </si>
  <si>
    <t>001!0611833412200</t>
  </si>
  <si>
    <t>001!0611833413025</t>
  </si>
  <si>
    <t>CORIAN CILANTRO DELFINO</t>
  </si>
  <si>
    <t>001!0611833414100</t>
  </si>
  <si>
    <t>CORIAN CILANTRO SANTO</t>
  </si>
  <si>
    <t>001!0611833415100</t>
  </si>
  <si>
    <t>001!0611856973025</t>
  </si>
  <si>
    <t>CORN AMERICAN DREAM</t>
  </si>
  <si>
    <t>001!0611840734100</t>
  </si>
  <si>
    <t>CORN BICOLOR GENERIC</t>
  </si>
  <si>
    <t>001!0611840735100</t>
  </si>
  <si>
    <t>CORN CORN GENERIC</t>
  </si>
  <si>
    <t>001!0611840736100</t>
  </si>
  <si>
    <t>CORN DEVOTION</t>
  </si>
  <si>
    <t>001!0611840737100</t>
  </si>
  <si>
    <t>CORN HONEY N PEARL</t>
  </si>
  <si>
    <t>001!0611840739100</t>
  </si>
  <si>
    <t>CORN HOW SWEET IT IS</t>
  </si>
  <si>
    <t>001!0611840740100</t>
  </si>
  <si>
    <t>CORN ORNAMENTAL</t>
  </si>
  <si>
    <t>001!0611840741100</t>
  </si>
  <si>
    <t>CORN SILVER QUEEN</t>
  </si>
  <si>
    <t>001!0611840743100</t>
  </si>
  <si>
    <t>CORN WHITE GENERIC</t>
  </si>
  <si>
    <t>001!0611840744100</t>
  </si>
  <si>
    <t>CORN YELLOW GENERIC</t>
  </si>
  <si>
    <t>001!0611840745100</t>
  </si>
  <si>
    <t>CORTAD PINK SELLOANA</t>
  </si>
  <si>
    <t>001!0611833416100</t>
  </si>
  <si>
    <t>CORTAD WHITE SELLOANA</t>
  </si>
  <si>
    <t>001!0611833417100</t>
  </si>
  <si>
    <t>001!0611833418025</t>
  </si>
  <si>
    <t>CORYNE SPIKY BLUE</t>
  </si>
  <si>
    <t>001!0611833419025</t>
  </si>
  <si>
    <t>COSMOS APOLLO CARMINE</t>
  </si>
  <si>
    <t>001!0611833421100</t>
  </si>
  <si>
    <t>COSMOS APOLLO LOVESONG</t>
  </si>
  <si>
    <t>001!0611833422100</t>
  </si>
  <si>
    <t>COSMOS APOLLO MIX</t>
  </si>
  <si>
    <t>001!0611833423100</t>
  </si>
  <si>
    <t>COSMOS APOLLO WHITE</t>
  </si>
  <si>
    <t>001!0611833424100</t>
  </si>
  <si>
    <t>COSMOS CASANOVA MIX</t>
  </si>
  <si>
    <t>001!0611833425100</t>
  </si>
  <si>
    <t>COSMOS CHOCOLATE</t>
  </si>
  <si>
    <t>001!0611833430100</t>
  </si>
  <si>
    <t>001!0611833431025</t>
  </si>
  <si>
    <t>COSMOS COSMIC MIX</t>
  </si>
  <si>
    <t>001!0611833432100</t>
  </si>
  <si>
    <t>COSMOS COSMIC ORANGE</t>
  </si>
  <si>
    <t>001!0611833433100</t>
  </si>
  <si>
    <t>COSMOS COSMIC RED</t>
  </si>
  <si>
    <t>001!0611833434100</t>
  </si>
  <si>
    <t>COSMOS COSMIC YELLOW</t>
  </si>
  <si>
    <t>001!0611833435100</t>
  </si>
  <si>
    <t>COSMOS COSMOS GENERIC</t>
  </si>
  <si>
    <t>001!0611833436100</t>
  </si>
  <si>
    <t>COSMOS CUTESY MIX</t>
  </si>
  <si>
    <t>001!0611833437100</t>
  </si>
  <si>
    <t>COSMOS MANDARIN</t>
  </si>
  <si>
    <t>001!0611833439100</t>
  </si>
  <si>
    <t>COSMOS MIX GENERIC</t>
  </si>
  <si>
    <t>001!0611833440100</t>
  </si>
  <si>
    <t>COSMOS PICOTEE</t>
  </si>
  <si>
    <t>001!0611833441100</t>
  </si>
  <si>
    <t>COSMOS SEA SHELLS</t>
  </si>
  <si>
    <t>001!0611833442100</t>
  </si>
  <si>
    <t>COSMOS SENSATION MIX</t>
  </si>
  <si>
    <t>001!0611833443100</t>
  </si>
  <si>
    <t>COSMOS SONATA CARMINE</t>
  </si>
  <si>
    <t>001!0611833444100</t>
  </si>
  <si>
    <t>COSMOS SONATA MIX</t>
  </si>
  <si>
    <t>001!0611833445100</t>
  </si>
  <si>
    <t>COSMOS SONATA PINK</t>
  </si>
  <si>
    <t>001!0611833446100</t>
  </si>
  <si>
    <t>COSMOS SONATA PINK BLUSH</t>
  </si>
  <si>
    <t>001!0611833447100</t>
  </si>
  <si>
    <t>COSMOS SONATA PURPLE SHADES</t>
  </si>
  <si>
    <t>001!0611833448100</t>
  </si>
  <si>
    <t>COSMOS SONATA RED SHADES</t>
  </si>
  <si>
    <t>001!0611833449100</t>
  </si>
  <si>
    <t>COSMOS SONATA WHITE</t>
  </si>
  <si>
    <t>001!0611833450100</t>
  </si>
  <si>
    <t>COSMOS SULFUR GENERIC</t>
  </si>
  <si>
    <t>001!0611884143100</t>
  </si>
  <si>
    <t>COSMOS SUNNY GOLD</t>
  </si>
  <si>
    <t>001!0611833451100</t>
  </si>
  <si>
    <t>COSMOS SUNNY RED</t>
  </si>
  <si>
    <t>001!0611833452100</t>
  </si>
  <si>
    <t>COTYLE COTYLEDON GENERIC</t>
  </si>
  <si>
    <t>001!0611833454100</t>
  </si>
  <si>
    <t>COTYLE GREEN EAR</t>
  </si>
  <si>
    <t>001!0611884144100</t>
  </si>
  <si>
    <t>COTYLE SILVER PEAK</t>
  </si>
  <si>
    <t>001!0611861502100</t>
  </si>
  <si>
    <t>CRASPE GOLF BEAUTY</t>
  </si>
  <si>
    <t>001!0611833455100</t>
  </si>
  <si>
    <t>CRASSU ARBORESCENS</t>
  </si>
  <si>
    <t>001!0611861503100</t>
  </si>
  <si>
    <t>CRASSU BABY JADE</t>
  </si>
  <si>
    <t>001!0611833456100</t>
  </si>
  <si>
    <t>CRASSU CAMPFIRE</t>
  </si>
  <si>
    <t>001!0611833458100</t>
  </si>
  <si>
    <t>CRASSU CAMPFIRE CN2014</t>
  </si>
  <si>
    <t>001!0611861504100</t>
  </si>
  <si>
    <t>CRASSU CEPHALOPHORA</t>
  </si>
  <si>
    <t>001!0611861505100</t>
  </si>
  <si>
    <t>CRASSU CORYMBULOSA</t>
  </si>
  <si>
    <t>001!0611861506100</t>
  </si>
  <si>
    <t>CRASSU CRASSULA GENERIC</t>
  </si>
  <si>
    <t>001!0611833459100</t>
  </si>
  <si>
    <t>CRASSU CURLY GREY</t>
  </si>
  <si>
    <t>001!0611861507100</t>
  </si>
  <si>
    <t>CRASSU GANDALF</t>
  </si>
  <si>
    <t>001!0611861508100</t>
  </si>
  <si>
    <t>CRASSU HOBBIT</t>
  </si>
  <si>
    <t>001!0611833460100</t>
  </si>
  <si>
    <t>CRASSU HORNTREE</t>
  </si>
  <si>
    <t>001!0611861509100</t>
  </si>
  <si>
    <t>CRASSU HORNTREE GOLLUM</t>
  </si>
  <si>
    <t>001!0611861510100</t>
  </si>
  <si>
    <t>CRASSU HORNTREE TRICOLOR</t>
  </si>
  <si>
    <t>001!0611861511100</t>
  </si>
  <si>
    <t>CRASSU JADE PLANT GENERIC</t>
  </si>
  <si>
    <t>001!0611833461100</t>
  </si>
  <si>
    <t>CRASSU JUSTUS CORDEROY</t>
  </si>
  <si>
    <t>001!0611861512100</t>
  </si>
  <si>
    <t>CRASSU MAJOR</t>
  </si>
  <si>
    <t>001!0611861513100</t>
  </si>
  <si>
    <t>CRASSU MINOR</t>
  </si>
  <si>
    <t>001!0611861514100</t>
  </si>
  <si>
    <t>CRASSU OBVALLATA</t>
  </si>
  <si>
    <t>001!0611861515100</t>
  </si>
  <si>
    <t>CRASSU OVATA</t>
  </si>
  <si>
    <t>001!0611861516100</t>
  </si>
  <si>
    <t>CRASSU PANGOLIN</t>
  </si>
  <si>
    <t>001!0611861517100</t>
  </si>
  <si>
    <t>CRASSU PERFORATA</t>
  </si>
  <si>
    <t>001!0611861518100</t>
  </si>
  <si>
    <t>CRASSU PRINCESS PINE</t>
  </si>
  <si>
    <t>001!0611833462100</t>
  </si>
  <si>
    <t>CRASSU ROCHEA FALCATA</t>
  </si>
  <si>
    <t>001!0611861519100</t>
  </si>
  <si>
    <t>CRASSU SPRINGTIME</t>
  </si>
  <si>
    <t>001!0611861520100</t>
  </si>
  <si>
    <t>CRASSU SUNSET</t>
  </si>
  <si>
    <t>001!0611833463100</t>
  </si>
  <si>
    <t>CRASSU SUNSET CN2026</t>
  </si>
  <si>
    <t>001!0611861521100</t>
  </si>
  <si>
    <t>CRASSU TENELLI</t>
  </si>
  <si>
    <t>001!0611861522100</t>
  </si>
  <si>
    <t>CRASSU VARIEGATA</t>
  </si>
  <si>
    <t>001!0611861523100</t>
  </si>
  <si>
    <t>CREDIT MEMO ENTRY JOHN HENRY</t>
  </si>
  <si>
    <t>CROCOS LUCIFER</t>
  </si>
  <si>
    <t>001!0611833464100</t>
  </si>
  <si>
    <t>001!0611833465025</t>
  </si>
  <si>
    <t>CROCUS CROCUS GENERIC</t>
  </si>
  <si>
    <t>001!0611833466100</t>
  </si>
  <si>
    <t>CROSSA CROSSANDRA GENERIC</t>
  </si>
  <si>
    <t>001!0611833467100</t>
  </si>
  <si>
    <t>CROSSA ORANGE</t>
  </si>
  <si>
    <t>001!0611861524050</t>
  </si>
  <si>
    <t>CROSSA ORANGE MARMALADE</t>
  </si>
  <si>
    <t>001!0611833468100</t>
  </si>
  <si>
    <t>CROSSA TROPIC YELLOW SPLASH</t>
  </si>
  <si>
    <t>001!0611833469100</t>
  </si>
  <si>
    <t>CROSSA WATERMELON</t>
  </si>
  <si>
    <t>001!0611861525050</t>
  </si>
  <si>
    <t>CROTON GENERIC</t>
  </si>
  <si>
    <t>001!0611833123100</t>
  </si>
  <si>
    <t>CROTON PETRA VARIEGATUM</t>
  </si>
  <si>
    <t>001!0611833125100</t>
  </si>
  <si>
    <t>CTENAN GENERIC</t>
  </si>
  <si>
    <t>001!0611856878100</t>
  </si>
  <si>
    <t>CUCUMB ALL SEASON BURPLESS</t>
  </si>
  <si>
    <t>001!0611833472100</t>
  </si>
  <si>
    <t>CUCUMB ARMENIAN YARD LONG</t>
  </si>
  <si>
    <t>001!0611833475100</t>
  </si>
  <si>
    <t>CUCUMB BABY SIZE GENERIC</t>
  </si>
  <si>
    <t>001!0611833478100</t>
  </si>
  <si>
    <t>CUCUMB BURPEE HYBRID</t>
  </si>
  <si>
    <t>001!0611833480100</t>
  </si>
  <si>
    <t>CUCUMB BURPLESS</t>
  </si>
  <si>
    <t>001!0611833482100</t>
  </si>
  <si>
    <t>001!0611833483200</t>
  </si>
  <si>
    <t>CUCUMB BURPLESS 26</t>
  </si>
  <si>
    <t>001!0611833484100</t>
  </si>
  <si>
    <t>CUCUMB BURPLESS BUSH</t>
  </si>
  <si>
    <t>001!0611833485100</t>
  </si>
  <si>
    <t>CUCUMB BURPLESS GARDEN SWEET</t>
  </si>
  <si>
    <t>001!0611833486100</t>
  </si>
  <si>
    <t>CUCUMB BURPLESS SUPREME</t>
  </si>
  <si>
    <t>001!0611833487100</t>
  </si>
  <si>
    <t>CUCUMB BUSH CROP</t>
  </si>
  <si>
    <t>001!0611833488100</t>
  </si>
  <si>
    <t>001!0611833489200</t>
  </si>
  <si>
    <t>CUCUMB BUSH PICKLE</t>
  </si>
  <si>
    <t>001!0611833490100</t>
  </si>
  <si>
    <t>CUCUMB CALYPSO</t>
  </si>
  <si>
    <t>001!0611833492100</t>
  </si>
  <si>
    <t>CUCUMB COOL BREEZE</t>
  </si>
  <si>
    <t>001!0611833495100</t>
  </si>
  <si>
    <t>CUCUMB CUCUMBER GENERIC</t>
  </si>
  <si>
    <t>001!0611833497100</t>
  </si>
  <si>
    <t>001!0611833498200</t>
  </si>
  <si>
    <t>CUCUMB DASHER II</t>
  </si>
  <si>
    <t>001!0611833500100</t>
  </si>
  <si>
    <t>CUCUMB DIVA</t>
  </si>
  <si>
    <t>001!0611833502100</t>
  </si>
  <si>
    <t>CUCUMB FANFARE</t>
  </si>
  <si>
    <t>001!0611833507100</t>
  </si>
  <si>
    <t>CUCUMB GARDEN LEADER TASTY</t>
  </si>
  <si>
    <t>001!0611833510100</t>
  </si>
  <si>
    <t>CUCUMB GHERKING</t>
  </si>
  <si>
    <t>001!0611833511100</t>
  </si>
  <si>
    <t>CUCUMB GREEN LIGHT</t>
  </si>
  <si>
    <t>001!0611833513100</t>
  </si>
  <si>
    <t>CUCUMB HOMEMADE PICKLES</t>
  </si>
  <si>
    <t>001!0611833515100</t>
  </si>
  <si>
    <t>CUCUMB HYBRID</t>
  </si>
  <si>
    <t>001!0611833520100</t>
  </si>
  <si>
    <t>CUCUMB JAPANESE</t>
  </si>
  <si>
    <t>001!0611833522100</t>
  </si>
  <si>
    <t>CUCUMB LEMON</t>
  </si>
  <si>
    <t>001!0611833524100</t>
  </si>
  <si>
    <t>CUCUMB MARKET MORE</t>
  </si>
  <si>
    <t>001!0611833526100</t>
  </si>
  <si>
    <t>001!0611833527200</t>
  </si>
  <si>
    <t>CUCUMB MARKET MORE 76</t>
  </si>
  <si>
    <t>001!0611833528100</t>
  </si>
  <si>
    <t>CUCUMB MARTINI</t>
  </si>
  <si>
    <t>001!0611833529100</t>
  </si>
  <si>
    <t>CUCUMB ORIENT EXPRESS</t>
  </si>
  <si>
    <t>001!0611833532100</t>
  </si>
  <si>
    <t>CUCUMB PARISIAN GHERKIN</t>
  </si>
  <si>
    <t>001!0611833533100</t>
  </si>
  <si>
    <t>CUCUMB PATIO PIK</t>
  </si>
  <si>
    <t>001!0611833536100</t>
  </si>
  <si>
    <t>CUCUMB PATIO SNACKER</t>
  </si>
  <si>
    <t>001!0611833537100</t>
  </si>
  <si>
    <t>CUCUMB PATIO TYPE GENERIC</t>
  </si>
  <si>
    <t>001!0611833538100</t>
  </si>
  <si>
    <t>CUCUMB PICK A BUSHEL</t>
  </si>
  <si>
    <t>001!0611833539100</t>
  </si>
  <si>
    <t>CUCUMB PICKLING</t>
  </si>
  <si>
    <t>001!0611833540100</t>
  </si>
  <si>
    <t>001!0611833541200</t>
  </si>
  <si>
    <t>CUCUMB POTLUCK</t>
  </si>
  <si>
    <t>001!0611833542100</t>
  </si>
  <si>
    <t>CUCUMB RAIDER</t>
  </si>
  <si>
    <t>001!0611833545100</t>
  </si>
  <si>
    <t>CUCUMB SALAD BUSH</t>
  </si>
  <si>
    <t>001!0611833546100</t>
  </si>
  <si>
    <t>CUCUMB SALAD CROP</t>
  </si>
  <si>
    <t>001!0611833471100</t>
  </si>
  <si>
    <t>CUCUMB SALADMORE BUSH</t>
  </si>
  <si>
    <t>001!0611833547100</t>
  </si>
  <si>
    <t>CUCUMB SLICEMASTER</t>
  </si>
  <si>
    <t>001!0611833548100</t>
  </si>
  <si>
    <t>CUCUMB SLICING</t>
  </si>
  <si>
    <t>001!0611833549100</t>
  </si>
  <si>
    <t>001!0611833550200</t>
  </si>
  <si>
    <t>CUCUMB SPACEMASTER HYBRID</t>
  </si>
  <si>
    <t>001!0611833551100</t>
  </si>
  <si>
    <t>CUCUMB STRAIGHT EIGHT</t>
  </si>
  <si>
    <t>001!0611833552100</t>
  </si>
  <si>
    <t>CUCUMB SUMMER TOP HYBRID</t>
  </si>
  <si>
    <t>001!0611833554100</t>
  </si>
  <si>
    <t>CUCUMB SWEET SLICE</t>
  </si>
  <si>
    <t>001!0611833556100</t>
  </si>
  <si>
    <t>CUCUMB SWEET SUCCESS</t>
  </si>
  <si>
    <t>001!0611833557100</t>
  </si>
  <si>
    <t>CUCUMB SWEETER YET</t>
  </si>
  <si>
    <t>001!0611833558100</t>
  </si>
  <si>
    <t>CUCUMB TASTY GREEN</t>
  </si>
  <si>
    <t>001!0611833559100</t>
  </si>
  <si>
    <t>CUCUMB TELEGRAPH</t>
  </si>
  <si>
    <t>001!0611833560100</t>
  </si>
  <si>
    <t>CUCUMB VICTORY</t>
  </si>
  <si>
    <t>001!0611833562100</t>
  </si>
  <si>
    <t>CUCUMB WHITE GENERIC</t>
  </si>
  <si>
    <t>001!0611833563100</t>
  </si>
  <si>
    <t>CUCUMI MINICRISP</t>
  </si>
  <si>
    <t>001!0611884145100</t>
  </si>
  <si>
    <t>CUCUMI QCK SNCK KITCHEN MINIS</t>
  </si>
  <si>
    <t>001!0611884146100</t>
  </si>
  <si>
    <t>CUCURB SQUASH GENERIC</t>
  </si>
  <si>
    <t>001!0611884147100</t>
  </si>
  <si>
    <t>CUCURB SWEET JADE</t>
  </si>
  <si>
    <t>001!0611884148100</t>
  </si>
  <si>
    <t>CUMIN GENERIC</t>
  </si>
  <si>
    <t>001!0611833615100</t>
  </si>
  <si>
    <t>CUPHEA ALLYSON</t>
  </si>
  <si>
    <t>001!0611833616100</t>
  </si>
  <si>
    <t>CUPHEA BAT FACE GENERIC</t>
  </si>
  <si>
    <t>001!0611833617100</t>
  </si>
  <si>
    <t>CUPHEA BLACKBERRY SPARKLER</t>
  </si>
  <si>
    <t>001!0611861526050</t>
  </si>
  <si>
    <t>CUPHEA CIGAR PLANT GENERIC</t>
  </si>
  <si>
    <t>001!0611833618100</t>
  </si>
  <si>
    <t>CUPHEA CUBANO CRISTO</t>
  </si>
  <si>
    <t>001!0611856879100</t>
  </si>
  <si>
    <t>CUPHEA CUBANO FUENTE</t>
  </si>
  <si>
    <t>001!0611856880100</t>
  </si>
  <si>
    <t>CUPHEA CUBANO PRESIDENTE</t>
  </si>
  <si>
    <t>001!0611884149100</t>
  </si>
  <si>
    <t>CUPHEA CUPHORIC PINK</t>
  </si>
  <si>
    <t>001!0611861527050</t>
  </si>
  <si>
    <t>CUPHEA CUPID PURPLE</t>
  </si>
  <si>
    <t>001!0611833619100</t>
  </si>
  <si>
    <t>CUPHEA CUPID WHITE</t>
  </si>
  <si>
    <t>001!0611833620100</t>
  </si>
  <si>
    <t>CUPHEA DYNAMITE</t>
  </si>
  <si>
    <t>001!0611833621100</t>
  </si>
  <si>
    <t>CUPHEA FIRECRACKER</t>
  </si>
  <si>
    <t>001!0611833622100</t>
  </si>
  <si>
    <t>CUPHEA FLORIGLORY CORAZON</t>
  </si>
  <si>
    <t>001!0611833623100</t>
  </si>
  <si>
    <t>001!0611861528050</t>
  </si>
  <si>
    <t>CUPHEA FLORIGLORY DIANA</t>
  </si>
  <si>
    <t>001!0611833624100</t>
  </si>
  <si>
    <t>001!0611861529050</t>
  </si>
  <si>
    <t>CUPHEA FLORIGLORY MARIA</t>
  </si>
  <si>
    <t>001!0611833625100</t>
  </si>
  <si>
    <t>001!0611861530050</t>
  </si>
  <si>
    <t>CUPHEA FLORIGLORY SELENA</t>
  </si>
  <si>
    <t>001!0611833626100</t>
  </si>
  <si>
    <t>001!0611861531050</t>
  </si>
  <si>
    <t>CUPHEA FLORIGLORY SOFIA</t>
  </si>
  <si>
    <t>001!0611833627100</t>
  </si>
  <si>
    <t>001!0611861532050</t>
  </si>
  <si>
    <t>CUPHEA FUNNY FACE</t>
  </si>
  <si>
    <t>001!0611833628100</t>
  </si>
  <si>
    <t>CUPHEA HUMMINGBIRDS LUNCH</t>
  </si>
  <si>
    <t>001!0611861533050</t>
  </si>
  <si>
    <t>CUPHEA LAVENDER</t>
  </si>
  <si>
    <t>001!0611861534050</t>
  </si>
  <si>
    <t>CUPHEA LAVENDER GENERIC</t>
  </si>
  <si>
    <t>001!0611833629100</t>
  </si>
  <si>
    <t>CUPHEA LAVENDER LACE</t>
  </si>
  <si>
    <t>001!0611833630100</t>
  </si>
  <si>
    <t>CUPHEA LILAC</t>
  </si>
  <si>
    <t>001!0611861535050</t>
  </si>
  <si>
    <t>CUPHEA LILAC CR3520</t>
  </si>
  <si>
    <t>001!0611861536050</t>
  </si>
  <si>
    <t>CUPHEA MEXICAN HEATHER GENERIC</t>
  </si>
  <si>
    <t>001!0611833631025</t>
  </si>
  <si>
    <t>001!0611833632100</t>
  </si>
  <si>
    <t>CUPHEA PINK GENERIC</t>
  </si>
  <si>
    <t>001!0611833633100</t>
  </si>
  <si>
    <t>CUPHEA PINK SHIMMER</t>
  </si>
  <si>
    <t>001!0611833634100</t>
  </si>
  <si>
    <t>CUPHEA PURPLE GENERIC</t>
  </si>
  <si>
    <t>001!0611833635100</t>
  </si>
  <si>
    <t>CUPHEA SRIRACHA SERIES</t>
  </si>
  <si>
    <t>001!0611833636100</t>
  </si>
  <si>
    <t>CUPHEA SWEET TALK DEEP PINK</t>
  </si>
  <si>
    <t>001!0611884150100</t>
  </si>
  <si>
    <t>CUPHEA SWEET TALK LAVAND SPL</t>
  </si>
  <si>
    <t>001!0611884151100</t>
  </si>
  <si>
    <t>CUPHEA SWEET TALK RED</t>
  </si>
  <si>
    <t>001!0611884152100</t>
  </si>
  <si>
    <t>CUPHEA WHITE</t>
  </si>
  <si>
    <t>001!0611861537050</t>
  </si>
  <si>
    <t>CUPHEA WHITE GENERIC</t>
  </si>
  <si>
    <t>001!0611833637100</t>
  </si>
  <si>
    <t>CYCLAM CYCLAMEN GENERIC</t>
  </si>
  <si>
    <t>001!0611833639100</t>
  </si>
  <si>
    <t>CYCLAM MINI GENERIC</t>
  </si>
  <si>
    <t>001!0611833641100</t>
  </si>
  <si>
    <t>CYCLAM MIX</t>
  </si>
  <si>
    <t>001!0611833642100</t>
  </si>
  <si>
    <t>CYCLAM RED GENERIC</t>
  </si>
  <si>
    <t>001!0611833643100</t>
  </si>
  <si>
    <t>CYCLAM WHITE GENERIC</t>
  </si>
  <si>
    <t>001!0611833647100</t>
  </si>
  <si>
    <t>CYMBAL MURALIS</t>
  </si>
  <si>
    <t>001!0611833648100</t>
  </si>
  <si>
    <t>CYMBOP CITRATUS</t>
  </si>
  <si>
    <t>001!0611833649025</t>
  </si>
  <si>
    <t>CYMBOP EAST INDIAN LEMON GRASS</t>
  </si>
  <si>
    <t>001!0611884153025</t>
  </si>
  <si>
    <t>CYMBOP LEMON GRASS</t>
  </si>
  <si>
    <t>001!0611833650100</t>
  </si>
  <si>
    <t>CYNARA ARTICHOKE GENERIC</t>
  </si>
  <si>
    <t>001!0611833651100</t>
  </si>
  <si>
    <t>CYNARA CARDOON GENERIC</t>
  </si>
  <si>
    <t>001!0611833652100</t>
  </si>
  <si>
    <t>CYPERU ALTERNIFOLIUS</t>
  </si>
  <si>
    <t>001!0611833653100</t>
  </si>
  <si>
    <t>CYPERU DWARF GT PAPYRUS</t>
  </si>
  <si>
    <t>001!0611833654100</t>
  </si>
  <si>
    <t>CYPERU PAPYRUS DWARF</t>
  </si>
  <si>
    <t>001!0611833655100</t>
  </si>
  <si>
    <t>CYPERU WILD SPIKE</t>
  </si>
  <si>
    <t>001!0611833656100</t>
  </si>
  <si>
    <t>DACTYL PET GRASS</t>
  </si>
  <si>
    <t>001!0611833657100</t>
  </si>
  <si>
    <t>DAFFOD GENERIC</t>
  </si>
  <si>
    <t>001!0611836880100</t>
  </si>
  <si>
    <t>DAFFOD PAPER WHITE</t>
  </si>
  <si>
    <t>001!0611836881100</t>
  </si>
  <si>
    <t>DAFFOD TETE A TETE</t>
  </si>
  <si>
    <t>001!0611836882100</t>
  </si>
  <si>
    <t>DAFFOD YELLOW</t>
  </si>
  <si>
    <t>001!0611836883100</t>
  </si>
  <si>
    <t>DAHLBE DAISY GOLDEN FLEECE</t>
  </si>
  <si>
    <t>001!0611834105100</t>
  </si>
  <si>
    <t>DAHLIA BLACK BEAUTY</t>
  </si>
  <si>
    <t>001!0611833658100</t>
  </si>
  <si>
    <t>DAHLIA CAFE AU LAIT</t>
  </si>
  <si>
    <t>001!0611861538050</t>
  </si>
  <si>
    <t>DAHLIA DAHLEGRIA APRICOT TRIC</t>
  </si>
  <si>
    <t>001!0611861539050</t>
  </si>
  <si>
    <t>DAHLIA DAHLEGRIA LIGHT ROSE</t>
  </si>
  <si>
    <t>001!0611861540050</t>
  </si>
  <si>
    <t>DAHLIA DAHLEGRIA MAGENTA BIC</t>
  </si>
  <si>
    <t>001!0611861541050</t>
  </si>
  <si>
    <t>DAHLIA DAHLEGRIA MGT BI CE1594</t>
  </si>
  <si>
    <t>001!0611861542050</t>
  </si>
  <si>
    <t>DAHLIA DAHLEGRIA ORANGE</t>
  </si>
  <si>
    <t>001!0611861543050</t>
  </si>
  <si>
    <t>DAHLIA DAHLEGRIA ORANGE BIC</t>
  </si>
  <si>
    <t>001!0611861544050</t>
  </si>
  <si>
    <t>DAHLIA DAHLEGRIA PINK FLAME</t>
  </si>
  <si>
    <t>001!0611861545050</t>
  </si>
  <si>
    <t>DAHLIA DAHLEGRIA RED</t>
  </si>
  <si>
    <t>001!0611861546050</t>
  </si>
  <si>
    <t>DAHLIA DAHLEGRIA RED CE1595</t>
  </si>
  <si>
    <t>001!0611861547050</t>
  </si>
  <si>
    <t>DAHLIA DAHLEGRIA SCARLET FIRE</t>
  </si>
  <si>
    <t>001!0611861548050</t>
  </si>
  <si>
    <t>DAHLIA DAHLEGRIA SUNRISE</t>
  </si>
  <si>
    <t>001!0611861549050</t>
  </si>
  <si>
    <t>DAHLIA DAHLEGRIA SUNSET</t>
  </si>
  <si>
    <t>001!0611861550050</t>
  </si>
  <si>
    <t>DAHLIA DAHLEGRIA WHITE</t>
  </si>
  <si>
    <t>001!0611861551050</t>
  </si>
  <si>
    <t>DAHLIA DAHLINOVA ALABAMA</t>
  </si>
  <si>
    <t>001!0611861552050</t>
  </si>
  <si>
    <t>DAHLIA DAHLINOVA CALIFORNIA</t>
  </si>
  <si>
    <t>001!0611861553050</t>
  </si>
  <si>
    <t>DAHLIA DAHLINOVA CAROLINA</t>
  </si>
  <si>
    <t>001!0611861554050</t>
  </si>
  <si>
    <t>DAHLIA DAHLINOVA CAROLINA BURG</t>
  </si>
  <si>
    <t>001!0611861555050</t>
  </si>
  <si>
    <t>DAHLIA DAHLINOVA CAROLINA ORNG</t>
  </si>
  <si>
    <t>001!0611861556050</t>
  </si>
  <si>
    <t>DAHLIA DAHLINOVA FLORIDA</t>
  </si>
  <si>
    <t>001!0611861557050</t>
  </si>
  <si>
    <t>DAHLIA DAHLINOVA LISA BURGUNDY</t>
  </si>
  <si>
    <t>001!0611861558050</t>
  </si>
  <si>
    <t>DAHLIA DAHLINOVA LISA DK PINK</t>
  </si>
  <si>
    <t>001!0611861559050</t>
  </si>
  <si>
    <t>DAHLIA DAHLINOVA LISA WHITE D</t>
  </si>
  <si>
    <t>001!0611861560050</t>
  </si>
  <si>
    <t>DAHLIA DAHLINOVA MONTANA</t>
  </si>
  <si>
    <t>001!0611861561050</t>
  </si>
  <si>
    <t>DAHLIA DAHLINOVA NEW YORK</t>
  </si>
  <si>
    <t>001!0611861562050</t>
  </si>
  <si>
    <t>DAHLIA DAHLINOVA OREGON DAHLIA</t>
  </si>
  <si>
    <t>001!0611861563050</t>
  </si>
  <si>
    <t>DAHLIA DAHLINOVA TEXAS</t>
  </si>
  <si>
    <t>001!0611861564050</t>
  </si>
  <si>
    <t>DAHLIA DAHLINOVA TMPTTN GOLDEN</t>
  </si>
  <si>
    <t>001!0611861565050</t>
  </si>
  <si>
    <t>DAHLIA DAHLINOVA TMPTTN LAVEND</t>
  </si>
  <si>
    <t>001!0611861566050</t>
  </si>
  <si>
    <t>DAHLIA DARLIN SERIES</t>
  </si>
  <si>
    <t>001!0611833666100</t>
  </si>
  <si>
    <t>DAHLIA DECO GENERIC</t>
  </si>
  <si>
    <t>001!0611833667100</t>
  </si>
  <si>
    <t>DAHLIA DIABLO</t>
  </si>
  <si>
    <t>001!0611833669100</t>
  </si>
  <si>
    <t>DAHLIA DREAMY DAYS</t>
  </si>
  <si>
    <t>001!0611833671100</t>
  </si>
  <si>
    <t>DAHLIA DREAMY EYES</t>
  </si>
  <si>
    <t>001!0611833672100</t>
  </si>
  <si>
    <t>DAHLIA DREAMY FANTASY</t>
  </si>
  <si>
    <t>001!0611833673100</t>
  </si>
  <si>
    <t>DAHLIA DREAMY FLAME</t>
  </si>
  <si>
    <t>001!0611833674100</t>
  </si>
  <si>
    <t>DAHLIA DREAMY KISS</t>
  </si>
  <si>
    <t>001!0611833675100</t>
  </si>
  <si>
    <t>DAHLIA DREAMY LIPS</t>
  </si>
  <si>
    <t>001!0611833676100</t>
  </si>
  <si>
    <t>DAHLIA DREAMY MORNING</t>
  </si>
  <si>
    <t>001!0611833677100</t>
  </si>
  <si>
    <t>DAHLIA DREAMY NIGHTS</t>
  </si>
  <si>
    <t>001!0611833678100</t>
  </si>
  <si>
    <t>DAHLIA DREAMY SUNLIGHT</t>
  </si>
  <si>
    <t>001!0611833680100</t>
  </si>
  <si>
    <t>DAHLIA ELECTRO PINK</t>
  </si>
  <si>
    <t>001!0611833681100</t>
  </si>
  <si>
    <t>DAHLIA FIGARO MIX</t>
  </si>
  <si>
    <t>001!0611833682100</t>
  </si>
  <si>
    <t>DAHLIA FIGARO ORANGE SHADES</t>
  </si>
  <si>
    <t>001!0611833683100</t>
  </si>
  <si>
    <t>DAHLIA FIGARO RED SHADES</t>
  </si>
  <si>
    <t>001!0611833684100</t>
  </si>
  <si>
    <t>DAHLIA FIGARO VIOLET</t>
  </si>
  <si>
    <t>001!0611833685100</t>
  </si>
  <si>
    <t>DAHLIA FIGARO WHITE</t>
  </si>
  <si>
    <t>001!0611833686100</t>
  </si>
  <si>
    <t>DAHLIA FIGARO YELLOW SHADES</t>
  </si>
  <si>
    <t>001!0611833687100</t>
  </si>
  <si>
    <t>DAHLIA FRESCO MIX</t>
  </si>
  <si>
    <t>001!0611833688100</t>
  </si>
  <si>
    <t>DAHLIA GENERIC</t>
  </si>
  <si>
    <t>001!0611833659025</t>
  </si>
  <si>
    <t>DAHLIA GNRC BLNGL DESIGN</t>
  </si>
  <si>
    <t>001!0611833689100</t>
  </si>
  <si>
    <t>DAHLIA GOLDALIA ROSE</t>
  </si>
  <si>
    <t>001!0611861567050</t>
  </si>
  <si>
    <t>DAHLIA GOLDALIA SCARLET</t>
  </si>
  <si>
    <t>001!0611861568050</t>
  </si>
  <si>
    <t>DAHLIA GRANDALIA DARK RED</t>
  </si>
  <si>
    <t>001!0611861570050</t>
  </si>
  <si>
    <t>DAHLIA GRANDALIA DARK ROSE</t>
  </si>
  <si>
    <t>001!0611861571050</t>
  </si>
  <si>
    <t>DAHLIA GRANDALIA FIRE</t>
  </si>
  <si>
    <t>001!0611861573050</t>
  </si>
  <si>
    <t>DAHLIA GRANDALIA LAVENDER ICE</t>
  </si>
  <si>
    <t>001!0611861574050</t>
  </si>
  <si>
    <t>DAHLIA GRANDALIA MAGENTA</t>
  </si>
  <si>
    <t>001!0611861575050</t>
  </si>
  <si>
    <t>DAHLIA GRANDALIA ORANGE</t>
  </si>
  <si>
    <t>001!0611861576050</t>
  </si>
  <si>
    <t>DAHLIA GRANDALIA PINK</t>
  </si>
  <si>
    <t>001!0611861577050</t>
  </si>
  <si>
    <t>DAHLIA GRANDALIA PINK ICE</t>
  </si>
  <si>
    <t>001!0611861578050</t>
  </si>
  <si>
    <t>DAHLIA GRANDALIA RED</t>
  </si>
  <si>
    <t>001!0611861579050</t>
  </si>
  <si>
    <t>DAHLIA GRANDALIA SUNNY FLAME</t>
  </si>
  <si>
    <t>001!0611861581050</t>
  </si>
  <si>
    <t>DAHLIA GRANDALIA SUNRISE</t>
  </si>
  <si>
    <t>001!0611861582050</t>
  </si>
  <si>
    <t>DAHLIA GRANDALIA WHITE</t>
  </si>
  <si>
    <t>001!0611861583050</t>
  </si>
  <si>
    <t>DAHLIA GRANDALIA YELLOW</t>
  </si>
  <si>
    <t>001!0611861584050</t>
  </si>
  <si>
    <t>DAHLIA HAPPY DAYS CHERRY RED</t>
  </si>
  <si>
    <t>001!0611861585050</t>
  </si>
  <si>
    <t>DAHLIA HAPPY DAYS FUCHSIA HALO</t>
  </si>
  <si>
    <t>001!0611861586050</t>
  </si>
  <si>
    <t>DAHLIA HAPPY DAYS LEMON</t>
  </si>
  <si>
    <t>001!0611861587050</t>
  </si>
  <si>
    <t>DAHLIA HAPPY DAYS NEON</t>
  </si>
  <si>
    <t>001!0611861588050</t>
  </si>
  <si>
    <t>DAHLIA HAPPY DAYS ORNG RED BIC</t>
  </si>
  <si>
    <t>001!0611861589050</t>
  </si>
  <si>
    <t>DAHLIA HAPPY DAYS PINK</t>
  </si>
  <si>
    <t>001!0611861590050</t>
  </si>
  <si>
    <t>DAHLIA HAPPY DAYS PURPLE</t>
  </si>
  <si>
    <t>001!0611861591050</t>
  </si>
  <si>
    <t>DAHLIA HAPPY DAYS SCARLET</t>
  </si>
  <si>
    <t>001!0611861592050</t>
  </si>
  <si>
    <t>DAHLIA HAPPY DAYS WHITE</t>
  </si>
  <si>
    <t>001!0611861593050</t>
  </si>
  <si>
    <t>DAHLIA HAPPY DAYS YELLOW</t>
  </si>
  <si>
    <t>001!0611861594050</t>
  </si>
  <si>
    <t>DAHLIA HARLEQUIN MIX</t>
  </si>
  <si>
    <t>001!0611833690100</t>
  </si>
  <si>
    <t>DAHLIA HYPNOTICA BRONZE</t>
  </si>
  <si>
    <t>001!0611861595050</t>
  </si>
  <si>
    <t>DAHLIA HYPNOTICA ELECTRIC PINK</t>
  </si>
  <si>
    <t>001!0611861596050</t>
  </si>
  <si>
    <t>DAHLIA HYPNOTICA GOLD</t>
  </si>
  <si>
    <t>001!0611861597050</t>
  </si>
  <si>
    <t>DAHLIA HYPNOTICA ICARUS</t>
  </si>
  <si>
    <t>001!0611861598050</t>
  </si>
  <si>
    <t>DAHLIA HYPNOTICA LAVENDER</t>
  </si>
  <si>
    <t>001!0611861599050</t>
  </si>
  <si>
    <t>DAHLIA HYPNOTICA LEMON SWIRL</t>
  </si>
  <si>
    <t>001!0611861600050</t>
  </si>
  <si>
    <t>DAHLIA HYPNOTICA ORANGE</t>
  </si>
  <si>
    <t>001!0611861601050</t>
  </si>
  <si>
    <t>DAHLIA HYPNOTICA PINK</t>
  </si>
  <si>
    <t>001!0611861602050</t>
  </si>
  <si>
    <t>DAHLIA HYPNOTICA PINK BIC</t>
  </si>
  <si>
    <t>001!0611861603050</t>
  </si>
  <si>
    <t>DAHLIA HYPNOTICA PINK CR5180</t>
  </si>
  <si>
    <t>001!0611861604050</t>
  </si>
  <si>
    <t>DAHLIA HYPNOTICA PURPLE BIC</t>
  </si>
  <si>
    <t>001!0611861605050</t>
  </si>
  <si>
    <t>DAHLIA HYPNOTICA RED</t>
  </si>
  <si>
    <t>001!0611861606050</t>
  </si>
  <si>
    <t>DAHLIA HYPNOTICA RED VELVET</t>
  </si>
  <si>
    <t>001!0611861607050</t>
  </si>
  <si>
    <t>DAHLIA HYPNOTICA ROSE BIC</t>
  </si>
  <si>
    <t>001!0611861608050</t>
  </si>
  <si>
    <t>DAHLIA HYPNOTICA ROSE SWIRL</t>
  </si>
  <si>
    <t>001!0611861609050</t>
  </si>
  <si>
    <t>DAHLIA HYPNOTICA TEQUILA SUNRS</t>
  </si>
  <si>
    <t>001!0611861610050</t>
  </si>
  <si>
    <t>DAHLIA HYPNOTICA TROP BREEZE</t>
  </si>
  <si>
    <t>001!0611861611050</t>
  </si>
  <si>
    <t>DAHLIA HYPNOTICA WHITE</t>
  </si>
  <si>
    <t>001!0611861612050</t>
  </si>
  <si>
    <t>DAHLIA HYPNOTICA YELLOW</t>
  </si>
  <si>
    <t>001!0611861613050</t>
  </si>
  <si>
    <t>DAHLIA KARMA AMANDA</t>
  </si>
  <si>
    <t>001!0611861614050</t>
  </si>
  <si>
    <t>DAHLIA KARMA AMORA BRT SCARLET</t>
  </si>
  <si>
    <t>001!0611861615050</t>
  </si>
  <si>
    <t>DAHLIA KARMA BLUE LAGOON</t>
  </si>
  <si>
    <t>001!0611861616050</t>
  </si>
  <si>
    <t>DAHLIA KARMA CABERNET</t>
  </si>
  <si>
    <t>001!0611861617050</t>
  </si>
  <si>
    <t>DAHLIA KARMA CORONA PINK</t>
  </si>
  <si>
    <t>001!0611861618050</t>
  </si>
  <si>
    <t>DAHLIA KARMA CORONA PURPLE</t>
  </si>
  <si>
    <t>001!0611861619050</t>
  </si>
  <si>
    <t>DAHLIA KARMA CORONA RED</t>
  </si>
  <si>
    <t>001!0611861620050</t>
  </si>
  <si>
    <t>DAHLIA KARMA CORONA YEL BZ BIC</t>
  </si>
  <si>
    <t>001!0611861621050</t>
  </si>
  <si>
    <t>DAHLIA KARMA IRENE RED ORANGE</t>
  </si>
  <si>
    <t>001!0611861622050</t>
  </si>
  <si>
    <t>DAHLIA KARMA NAOMI</t>
  </si>
  <si>
    <t>001!0611861623050</t>
  </si>
  <si>
    <t>DAHLIA KARMA SANGRIA</t>
  </si>
  <si>
    <t>001!0611861624050</t>
  </si>
  <si>
    <t>DAHLIA KARMA SERIES</t>
  </si>
  <si>
    <t>001!0611833691100</t>
  </si>
  <si>
    <t>DAHLIA LABELLA GRANDE SERIES</t>
  </si>
  <si>
    <t>001!0611833692100</t>
  </si>
  <si>
    <t>DAHLIA LABELLA MAGG SERIES</t>
  </si>
  <si>
    <t>001!0611833693100</t>
  </si>
  <si>
    <t>DAHLIA LABELLA MEDIO SERIES</t>
  </si>
  <si>
    <t>001!0611833694100</t>
  </si>
  <si>
    <t>DAHLIA LABELLA PICCOLO SERIES</t>
  </si>
  <si>
    <t>001!0611833695100</t>
  </si>
  <si>
    <t>DAHLIA MEGABOOM BERRY BLAST</t>
  </si>
  <si>
    <t>001!0611861625050</t>
  </si>
  <si>
    <t>DAHLIA MEGABOOM FIRE</t>
  </si>
  <si>
    <t>001!0611861626050</t>
  </si>
  <si>
    <t>DAHLIA MEGABOOM ORANGE CRUSH</t>
  </si>
  <si>
    <t>001!0611861627050</t>
  </si>
  <si>
    <t>DAHLIA MEGABOOM PASSION FRUIT</t>
  </si>
  <si>
    <t>001!0611861628050</t>
  </si>
  <si>
    <t>DAHLIA MEGABOOM PINK LEMONADE</t>
  </si>
  <si>
    <t>001!0611861629050</t>
  </si>
  <si>
    <t>DAHLIA MEGABOOM RASPBERRY ICE</t>
  </si>
  <si>
    <t>001!0611884154050</t>
  </si>
  <si>
    <t>DAHLIA MIDALIO BURGUNDY</t>
  </si>
  <si>
    <t>001!0611861630050</t>
  </si>
  <si>
    <t>DAHLIA MIDALIO DARK RED</t>
  </si>
  <si>
    <t>001!0611861631050</t>
  </si>
  <si>
    <t>DAHLIA MIDALIO DARK ROSE</t>
  </si>
  <si>
    <t>001!0611861632050</t>
  </si>
  <si>
    <t>DAHLIA MIDALIO ORANGE</t>
  </si>
  <si>
    <t>001!0611861633050</t>
  </si>
  <si>
    <t>DAHLIA MIDALIO PINK</t>
  </si>
  <si>
    <t>001!0611861634050</t>
  </si>
  <si>
    <t>DAHLIA MIDALIO RED</t>
  </si>
  <si>
    <t>001!0611861635050</t>
  </si>
  <si>
    <t>DAHLIA MIDALIO WHITE</t>
  </si>
  <si>
    <t>001!0611861636050</t>
  </si>
  <si>
    <t>DAHLIA MOON LADY</t>
  </si>
  <si>
    <t>001!0611861638050</t>
  </si>
  <si>
    <t>DAHLIA MYSTIC DREAMER</t>
  </si>
  <si>
    <t>001!0611833696100</t>
  </si>
  <si>
    <t>001!0611861639050</t>
  </si>
  <si>
    <t>DAHLIA MYSTIC ENCHANTMENT</t>
  </si>
  <si>
    <t>001!0611833697100</t>
  </si>
  <si>
    <t>001!0611861640050</t>
  </si>
  <si>
    <t>DAHLIA MYSTIC FLARES CATCH</t>
  </si>
  <si>
    <t>001!0611884155100</t>
  </si>
  <si>
    <t>DAHLIA MYSTIC FLARES TIME</t>
  </si>
  <si>
    <t>001!0611884156100</t>
  </si>
  <si>
    <t>DAHLIA MYSTIC HAZE</t>
  </si>
  <si>
    <t>001!0611833699100</t>
  </si>
  <si>
    <t>001!0611861641050</t>
  </si>
  <si>
    <t>DAHLIA MYSTIC ILLUSION</t>
  </si>
  <si>
    <t>001!0611833700100</t>
  </si>
  <si>
    <t>001!0611861642050</t>
  </si>
  <si>
    <t>DAHLIA MYSTIC SPARKLER</t>
  </si>
  <si>
    <t>001!0611833702100</t>
  </si>
  <si>
    <t>001!0611861643050</t>
  </si>
  <si>
    <t>DAHLIA MYSTIC SPIRIT</t>
  </si>
  <si>
    <t>001!0611833703100</t>
  </si>
  <si>
    <t>001!0611861644050</t>
  </si>
  <si>
    <t>DAHLIA MYSTIC WIZARD</t>
  </si>
  <si>
    <t>001!0611884157100</t>
  </si>
  <si>
    <t>DAHLIA MYSTIC WONDER</t>
  </si>
  <si>
    <t>001!0611833704100</t>
  </si>
  <si>
    <t>001!0611861645050</t>
  </si>
  <si>
    <t>DAHLIA NOVATION HOT PINK</t>
  </si>
  <si>
    <t>001!0611861646050</t>
  </si>
  <si>
    <t>DAHLIA NOVATION PINK BICOLOR</t>
  </si>
  <si>
    <t>001!0611861647050</t>
  </si>
  <si>
    <t>DAHLIA NOVATION PUMPKIN SPICE</t>
  </si>
  <si>
    <t>001!0611861648050</t>
  </si>
  <si>
    <t>DAHLIA NOVATION RED</t>
  </si>
  <si>
    <t>001!0611861649050</t>
  </si>
  <si>
    <t>DAHLIA NOVATION RUBY</t>
  </si>
  <si>
    <t>001!0611861650050</t>
  </si>
  <si>
    <t>DAHLIA NOVATION SALMON</t>
  </si>
  <si>
    <t>001!0611861651050</t>
  </si>
  <si>
    <t>DAHLIA NOVATION WHITE</t>
  </si>
  <si>
    <t>001!0611861652050</t>
  </si>
  <si>
    <t>DAHLIA NOVATION YELLOW</t>
  </si>
  <si>
    <t>001!0611861653050</t>
  </si>
  <si>
    <t>DAHLIA PAINTER SERIES</t>
  </si>
  <si>
    <t>001!0611833705100</t>
  </si>
  <si>
    <t>DAHLIA REDSKIN</t>
  </si>
  <si>
    <t>001!0611833706100</t>
  </si>
  <si>
    <t>DAHLIA REVELATION PINK</t>
  </si>
  <si>
    <t>001!0611884158050</t>
  </si>
  <si>
    <t>DAHLIA REVELATION RED</t>
  </si>
  <si>
    <t>001!0611884159050</t>
  </si>
  <si>
    <t>DAHLIA REVELATION SALMON BIC</t>
  </si>
  <si>
    <t>001!0611884160050</t>
  </si>
  <si>
    <t>DAHLIA REVELATION SOFT ORANGE</t>
  </si>
  <si>
    <t>001!0611884161050</t>
  </si>
  <si>
    <t>DAHLIA REVELATION YELLOW</t>
  </si>
  <si>
    <t>001!0611884162050</t>
  </si>
  <si>
    <t>DAHLIA SINCERITY</t>
  </si>
  <si>
    <t>001!0611861654050</t>
  </si>
  <si>
    <t>DAHLIA STARSISTER CRIMSON PICO</t>
  </si>
  <si>
    <t>001!0611861655050</t>
  </si>
  <si>
    <t>DAHLIA STARSISTER FLAMED ROSE</t>
  </si>
  <si>
    <t>001!0611861656050</t>
  </si>
  <si>
    <t>DAHLIA STARSISTER PINK PICOTEE</t>
  </si>
  <si>
    <t>001!0611861657050</t>
  </si>
  <si>
    <t>DAHLIA STARSISTER PURP STRIPES</t>
  </si>
  <si>
    <t>001!0611861658050</t>
  </si>
  <si>
    <t>DAHLIA STARSISTER RED STRIPES</t>
  </si>
  <si>
    <t>001!0611861659050</t>
  </si>
  <si>
    <t>DAHLIA STARSISTER RED/WHITE</t>
  </si>
  <si>
    <t>001!0611861660050</t>
  </si>
  <si>
    <t>DAHLIA STARSISTER ROSE/WHITE</t>
  </si>
  <si>
    <t>001!0611861661050</t>
  </si>
  <si>
    <t>DAHLIA STARSISTER SCARLET/YELL</t>
  </si>
  <si>
    <t>001!0611861662050</t>
  </si>
  <si>
    <t>DAHLIA STARSISTER YELL DAFFOD</t>
  </si>
  <si>
    <t>001!0611861663050</t>
  </si>
  <si>
    <t>DAHLIA STARSISTER YELL STRIPES</t>
  </si>
  <si>
    <t>001!0611861664050</t>
  </si>
  <si>
    <t>DAHLIA TEMPTATION ORANGE</t>
  </si>
  <si>
    <t>001!0611861665050</t>
  </si>
  <si>
    <t>DAHLIA TEMPTATION PINK BIC</t>
  </si>
  <si>
    <t>001!0611861666050</t>
  </si>
  <si>
    <t>DAHLIA TEMPTATION PURPLE</t>
  </si>
  <si>
    <t>001!0611861667050</t>
  </si>
  <si>
    <t>DAHLIA TEMPTATION RED</t>
  </si>
  <si>
    <t>001!0611861668050</t>
  </si>
  <si>
    <t>DAHLIA TEMPTATION RED VIOLET</t>
  </si>
  <si>
    <t>001!0611861669050</t>
  </si>
  <si>
    <t>DAHLIA TEMPTATION YELLOW</t>
  </si>
  <si>
    <t>001!0611861670050</t>
  </si>
  <si>
    <t>DAHLIA XXL ALAMOS</t>
  </si>
  <si>
    <t>001!0611861671050</t>
  </si>
  <si>
    <t>DAHLIA XXL BAJA SOL</t>
  </si>
  <si>
    <t>001!0611861672050</t>
  </si>
  <si>
    <t>DAHLIA XXL CANCUN</t>
  </si>
  <si>
    <t>001!0611861673050</t>
  </si>
  <si>
    <t>DAHLIA XXL CELAYA</t>
  </si>
  <si>
    <t>001!0611861674050</t>
  </si>
  <si>
    <t>DAHLIA XXL CHIAPAS</t>
  </si>
  <si>
    <t>001!0611861675050</t>
  </si>
  <si>
    <t>DAHLIA XXL COZUMEL</t>
  </si>
  <si>
    <t>001!0611884163050</t>
  </si>
  <si>
    <t>DAHLIA XXL DURANGO</t>
  </si>
  <si>
    <t>001!0611861676050</t>
  </si>
  <si>
    <t>DAHLIA XXL ENSENADA</t>
  </si>
  <si>
    <t>001!0611861677050</t>
  </si>
  <si>
    <t>DAHLIA XXL GRAND PRISMATIC</t>
  </si>
  <si>
    <t>001!0611861678050</t>
  </si>
  <si>
    <t>DAHLIA XXL HIDALGO</t>
  </si>
  <si>
    <t>001!0611861679050</t>
  </si>
  <si>
    <t>DAHLIA XXL JUAREZ</t>
  </si>
  <si>
    <t>001!0611861680050</t>
  </si>
  <si>
    <t>DAHLIA XXL MAYO</t>
  </si>
  <si>
    <t>001!0611861681050</t>
  </si>
  <si>
    <t>DAHLIA XXL MERIDA</t>
  </si>
  <si>
    <t>001!0611861682050</t>
  </si>
  <si>
    <t>DAHLIA XXL PARAISO</t>
  </si>
  <si>
    <t>001!0611861683050</t>
  </si>
  <si>
    <t>DAHLIA XXL SUNRISE</t>
  </si>
  <si>
    <t>001!0611884164050</t>
  </si>
  <si>
    <t>DAHLIA XXL SUNSET</t>
  </si>
  <si>
    <t>001!0611861684050</t>
  </si>
  <si>
    <t>DAHLIA XXL TABASCO</t>
  </si>
  <si>
    <t>001!0611861685050</t>
  </si>
  <si>
    <t>DAHLIA XXL TAXCO DAHLIA</t>
  </si>
  <si>
    <t>001!0611861686050</t>
  </si>
  <si>
    <t>DAHLIA XXL VALLARTA</t>
  </si>
  <si>
    <t>001!0611861687050</t>
  </si>
  <si>
    <t>DAHLIA XXL VERACRUZ</t>
  </si>
  <si>
    <t>001!0611861688050</t>
  </si>
  <si>
    <t>DAHLIA YELLOW SHADES</t>
  </si>
  <si>
    <t>001!0611861689100</t>
  </si>
  <si>
    <t>DAISY AFRICAN GENERIC</t>
  </si>
  <si>
    <t>001!0611834086100</t>
  </si>
  <si>
    <t>DATURA BALLERINA PURPLE</t>
  </si>
  <si>
    <t>001!0611833708100</t>
  </si>
  <si>
    <t>DATURA BALLERINA WHITE</t>
  </si>
  <si>
    <t>001!0611833709100</t>
  </si>
  <si>
    <t>DATURA BALLERINA YELLOW</t>
  </si>
  <si>
    <t>001!0611833710100</t>
  </si>
  <si>
    <t>DATURA BELLERINA BLANCHE</t>
  </si>
  <si>
    <t>001!0611833711100</t>
  </si>
  <si>
    <t>DATURA DATURA GENERIC</t>
  </si>
  <si>
    <t>001!0611833712100</t>
  </si>
  <si>
    <t>DATURA DOUBLE PURPLE GENERIC</t>
  </si>
  <si>
    <t>001!0611833713100</t>
  </si>
  <si>
    <t>DATURA DOUBLE YELLOW GENERIC</t>
  </si>
  <si>
    <t>001!0611833714100</t>
  </si>
  <si>
    <t>DATURA WHITE GENERIC</t>
  </si>
  <si>
    <t>001!0611833715100</t>
  </si>
  <si>
    <t>DELOSP CONGESTUM</t>
  </si>
  <si>
    <t>001!0611833720025</t>
  </si>
  <si>
    <t>DELOSP COOPERI</t>
  </si>
  <si>
    <t>001!0611833721025</t>
  </si>
  <si>
    <t>001!0611861690100</t>
  </si>
  <si>
    <t>DELOSP DELMARA FUCHSIA</t>
  </si>
  <si>
    <t>001!0611833722025</t>
  </si>
  <si>
    <t>DELOSP DELMARA ORANGE</t>
  </si>
  <si>
    <t>001!0611833723025</t>
  </si>
  <si>
    <t>DELOSP DELMARA PINK</t>
  </si>
  <si>
    <t>001!0611833724025</t>
  </si>
  <si>
    <t>DELOSP DELMARA PINK HALO</t>
  </si>
  <si>
    <t>001!0611833725025</t>
  </si>
  <si>
    <t>DELOSP DELMARA PINK RED GOLD</t>
  </si>
  <si>
    <t>001!0611884165025</t>
  </si>
  <si>
    <t>DELOSP DELMARA PINK SILVER</t>
  </si>
  <si>
    <t>001!0611884166025</t>
  </si>
  <si>
    <t>DELOSP DELMARA RED</t>
  </si>
  <si>
    <t>001!0611833726025</t>
  </si>
  <si>
    <t>DELOSP DELMARA WHITE</t>
  </si>
  <si>
    <t>001!0611856881025</t>
  </si>
  <si>
    <t>DELOSP DELMARA YELLOW</t>
  </si>
  <si>
    <t>001!0611833727025</t>
  </si>
  <si>
    <t>DELOSP EARLY BIRD PINK COOPERI</t>
  </si>
  <si>
    <t>001!0611833728025</t>
  </si>
  <si>
    <t>DELOSP EARLY BIRD PPL COOPERI</t>
  </si>
  <si>
    <t>001!0611833729025</t>
  </si>
  <si>
    <t>DELOSP FLORIBUNDA</t>
  </si>
  <si>
    <t>001!0611833730100</t>
  </si>
  <si>
    <t>DELOSP ICE PLANT GENERIC</t>
  </si>
  <si>
    <t>001!0611833732025</t>
  </si>
  <si>
    <t>DELOSP JEWL DESRT RS QRTZ LMTD</t>
  </si>
  <si>
    <t>001!0611861699050</t>
  </si>
  <si>
    <t>DELOSP JEWL OF DESRT AMETHYST</t>
  </si>
  <si>
    <t>001!0611884167025</t>
  </si>
  <si>
    <t>DELOSP JEWL OF DESRT AMTHYST</t>
  </si>
  <si>
    <t>001!0611861691100</t>
  </si>
  <si>
    <t>DELOSP JEWL OF DESRT GARNET</t>
  </si>
  <si>
    <t>001!0611861692100</t>
  </si>
  <si>
    <t>001!0611884168025</t>
  </si>
  <si>
    <t>DELOSP JEWL OF DESRT GRANADE</t>
  </si>
  <si>
    <t>001!0611861693100</t>
  </si>
  <si>
    <t>001!0611861694050</t>
  </si>
  <si>
    <t>DELOSP JEWL OF DESRT GRENADE</t>
  </si>
  <si>
    <t>001!0611884169025</t>
  </si>
  <si>
    <t>DELOSP JEWL OF DESRT MOON STN</t>
  </si>
  <si>
    <t>001!0611861695100</t>
  </si>
  <si>
    <t>001!0611884170025</t>
  </si>
  <si>
    <t>DELOSP JEWL OF DESRT OPAL</t>
  </si>
  <si>
    <t>001!0611861696100</t>
  </si>
  <si>
    <t>001!0611884171025</t>
  </si>
  <si>
    <t>DELOSP JEWL OF DESRT PERIDOT</t>
  </si>
  <si>
    <t>001!0611861697100</t>
  </si>
  <si>
    <t>001!0611884172025</t>
  </si>
  <si>
    <t>DELOSP JEWL OF DESRT RSQRTZ</t>
  </si>
  <si>
    <t>001!0611861698100</t>
  </si>
  <si>
    <t>001!0611884173025</t>
  </si>
  <si>
    <t>DELOSP JEWL OF DESRT RUBY</t>
  </si>
  <si>
    <t>001!0611861700100</t>
  </si>
  <si>
    <t>001!0611884174025</t>
  </si>
  <si>
    <t>DELOSP JEWL OF DESRT RUBY LMTD</t>
  </si>
  <si>
    <t>001!0611861701050</t>
  </si>
  <si>
    <t>DELOSP JEWL OF DESRT SERIES</t>
  </si>
  <si>
    <t>001!0611884175100</t>
  </si>
  <si>
    <t>DELOSP JEWL OF DESRT TOPAZ</t>
  </si>
  <si>
    <t>001!0611861702100</t>
  </si>
  <si>
    <t>001!0611884176025</t>
  </si>
  <si>
    <t>DELOSP MOUNTAIN DEW</t>
  </si>
  <si>
    <t>001!0611856882025</t>
  </si>
  <si>
    <t>DELOSP NUBIGENUM</t>
  </si>
  <si>
    <t>001!0611833733100</t>
  </si>
  <si>
    <t>001!0611833734025</t>
  </si>
  <si>
    <t>DELOSP OCEAN SUNSET ORNG GLOW</t>
  </si>
  <si>
    <t>001!0611833735025</t>
  </si>
  <si>
    <t>DELOSP OCEAN SUNSET ORNG VIBE</t>
  </si>
  <si>
    <t>001!0611833736025</t>
  </si>
  <si>
    <t>DELOSP OCEAN SUNSET VIOLET</t>
  </si>
  <si>
    <t>001!0611833737025</t>
  </si>
  <si>
    <t>DELOSP ORANGE CRUSH</t>
  </si>
  <si>
    <t>001!0611856883025</t>
  </si>
  <si>
    <t>DELOSP PICKLE PLANT GENERIC</t>
  </si>
  <si>
    <t>001!0611884177100</t>
  </si>
  <si>
    <t>DELOSP ROCK CRYSTAL NEON ORNG</t>
  </si>
  <si>
    <t>001!0611861703100</t>
  </si>
  <si>
    <t>DELOSP ROCK CRYSTAL NEON RED</t>
  </si>
  <si>
    <t>001!0611861704100</t>
  </si>
  <si>
    <t>DELOSP ROCK CRYSTAL PINK LMTD</t>
  </si>
  <si>
    <t>001!0611861707100</t>
  </si>
  <si>
    <t>001!0611861708050</t>
  </si>
  <si>
    <t>DELOSP ROCK CRYSTAL PURPLE</t>
  </si>
  <si>
    <t>001!0611861709100</t>
  </si>
  <si>
    <t>DELOSP ROCK CRYSTAL RED LMTD</t>
  </si>
  <si>
    <t>001!0611861711100</t>
  </si>
  <si>
    <t>001!0611861712050</t>
  </si>
  <si>
    <t>DELOSP ROCK CRYSTAL WHITE</t>
  </si>
  <si>
    <t>001!0611861713100</t>
  </si>
  <si>
    <t>DELOSP ROCK CRYSTAL YELLOW</t>
  </si>
  <si>
    <t>001!0611861714100</t>
  </si>
  <si>
    <t>DELOSP SANDGEM EMBER</t>
  </si>
  <si>
    <t>001!0611856884025</t>
  </si>
  <si>
    <t>DELOSP SANDGEM GOLD</t>
  </si>
  <si>
    <t>001!0611856885025</t>
  </si>
  <si>
    <t>DELOSP SOLSTICE PINK</t>
  </si>
  <si>
    <t>001!0611861715100</t>
  </si>
  <si>
    <t>DELOSP SOLSTICE RED</t>
  </si>
  <si>
    <t>001!0611861717100</t>
  </si>
  <si>
    <t>DELOSP SOLSTICE ROSE</t>
  </si>
  <si>
    <t>001!0611861719050</t>
  </si>
  <si>
    <t>DELOSP SOLSTICE YELLOW 22 LMTD</t>
  </si>
  <si>
    <t>001!0611861720100</t>
  </si>
  <si>
    <t>DELOSP SOLSTICE YELLOW LMTD</t>
  </si>
  <si>
    <t>001!0611861721050</t>
  </si>
  <si>
    <t>DELOSP WHEEL OF WNDR FIRE</t>
  </si>
  <si>
    <t>001!0611861722100</t>
  </si>
  <si>
    <t>DELOSP WHEEL OF WNDR FIRE LMTD</t>
  </si>
  <si>
    <t>001!0611861723050</t>
  </si>
  <si>
    <t>DELOSP WHEEL OF WNDR FIRE WND</t>
  </si>
  <si>
    <t>001!0611856886025</t>
  </si>
  <si>
    <t>DELOSP WHEEL OF WNDR GLDN WND</t>
  </si>
  <si>
    <t>001!0611856887025</t>
  </si>
  <si>
    <t>001!0611861724100</t>
  </si>
  <si>
    <t>DELOSP WHEEL OF WNDR HT ORNG</t>
  </si>
  <si>
    <t>001!0611856888025</t>
  </si>
  <si>
    <t>001!0611861725100</t>
  </si>
  <si>
    <t>DELOSP WHEEL OF WNDR HT PINK</t>
  </si>
  <si>
    <t>001!0611861726100</t>
  </si>
  <si>
    <t>DELOSP WHEEL OF WNDR HT PK WND</t>
  </si>
  <si>
    <t>001!0611856889025</t>
  </si>
  <si>
    <t>DELOSP WHEEL OF WNDR HT RED</t>
  </si>
  <si>
    <t>001!0611856890025</t>
  </si>
  <si>
    <t>001!0611861727100</t>
  </si>
  <si>
    <t>DELOSP WHEEL OF WNDR LIMONCELL</t>
  </si>
  <si>
    <t>001!0611856891025</t>
  </si>
  <si>
    <t>001!0611861728100</t>
  </si>
  <si>
    <t>DELOSP WHEEL OF WNDR ORANGE</t>
  </si>
  <si>
    <t>001!0611861729100</t>
  </si>
  <si>
    <t>DELOSP WHEEL OF WNDR ORNG WND</t>
  </si>
  <si>
    <t>001!0611856892025</t>
  </si>
  <si>
    <t>DELOSP WHEEL OF WNDR PURPLE</t>
  </si>
  <si>
    <t>001!0611861730100</t>
  </si>
  <si>
    <t>DELOSP WHEEL OF WNDR SALMNY PK</t>
  </si>
  <si>
    <t>001!0611856893025</t>
  </si>
  <si>
    <t>DELOSP WHEEL OF WNDR SALMONY</t>
  </si>
  <si>
    <t>001!0611861731100</t>
  </si>
  <si>
    <t>DELOSP WHEEL OF WNDR VIOLET</t>
  </si>
  <si>
    <t>001!0611861732100</t>
  </si>
  <si>
    <t>DELOSP WHEEL OF WNDR VLT WND</t>
  </si>
  <si>
    <t>001!0611856894025</t>
  </si>
  <si>
    <t>DELOSP WHEEL OF WNDR WHT LMTD</t>
  </si>
  <si>
    <t>001!0611861733100</t>
  </si>
  <si>
    <t>001!0611861734050</t>
  </si>
  <si>
    <t>DELPHI ASTOLAT</t>
  </si>
  <si>
    <t>001!0611833738100</t>
  </si>
  <si>
    <t>001!0611833739025</t>
  </si>
  <si>
    <t>DELPHI AURORA BLUE</t>
  </si>
  <si>
    <t>001!0611833741025</t>
  </si>
  <si>
    <t>DELPHI AURORA DEEP PURPLE</t>
  </si>
  <si>
    <t>001!0611833742025</t>
  </si>
  <si>
    <t>DELPHI AURORA LAVENDER</t>
  </si>
  <si>
    <t>001!0611833744025</t>
  </si>
  <si>
    <t>DELPHI AURORA LIGHT BLUE</t>
  </si>
  <si>
    <t>001!0611833746025</t>
  </si>
  <si>
    <t>DELPHI AURORA LIGHT PURPLE</t>
  </si>
  <si>
    <t>001!0611833747025</t>
  </si>
  <si>
    <t>DELPHI BELLAMOSUM X BELLADONNA</t>
  </si>
  <si>
    <t>001!0611833749025</t>
  </si>
  <si>
    <t>DELPHI BL BUTTERFLY GRANDIFLOR</t>
  </si>
  <si>
    <t>001!0611833750100</t>
  </si>
  <si>
    <t>DELPHI BL MIRROR GRANDIFLORUM</t>
  </si>
  <si>
    <t>001!0611833751025</t>
  </si>
  <si>
    <t>DELPHI BLACK KNIGHT</t>
  </si>
  <si>
    <t>001!0611833752100</t>
  </si>
  <si>
    <t>001!0611833753025</t>
  </si>
  <si>
    <t>DELPHI BLUE BIRD</t>
  </si>
  <si>
    <t>001!0611833754100</t>
  </si>
  <si>
    <t>001!0611833755025</t>
  </si>
  <si>
    <t>DELPHI BLUE BUTTERFLY</t>
  </si>
  <si>
    <t>001!0611833756025</t>
  </si>
  <si>
    <t>DELPHI BLUE JAY</t>
  </si>
  <si>
    <t>001!0611833757100</t>
  </si>
  <si>
    <t>DELPHI CHEER BLUE GRANDIFLORUM</t>
  </si>
  <si>
    <t>001!0611833758025</t>
  </si>
  <si>
    <t>DELPHI CONNECTICUT YANKEE</t>
  </si>
  <si>
    <t>001!0611833759100</t>
  </si>
  <si>
    <t>DELPHI DASANTE BLUE</t>
  </si>
  <si>
    <t>001!0611833760025</t>
  </si>
  <si>
    <t>DELPHI DELPHINA DK BL BLK BEE</t>
  </si>
  <si>
    <t>001!0611833763025</t>
  </si>
  <si>
    <t>DELPHI DELPHINA DK BL W/WH BEE</t>
  </si>
  <si>
    <t>001!0611833762025</t>
  </si>
  <si>
    <t>DELPHI DELPHINA LT BL W/WH BEE</t>
  </si>
  <si>
    <t>001!0611833764025</t>
  </si>
  <si>
    <t>DELPHI DELPHINA PINK WHITE BEE</t>
  </si>
  <si>
    <t>001!0611856895025</t>
  </si>
  <si>
    <t>DELPHI DELPHINA ROSE WHITE BEE</t>
  </si>
  <si>
    <t>001!0611833765025</t>
  </si>
  <si>
    <t>DELPHI DELPHINA WHITE BLK BEE</t>
  </si>
  <si>
    <t>001!0611856896025</t>
  </si>
  <si>
    <t>DELPHI DIAMONDS BLUE</t>
  </si>
  <si>
    <t>001!0611833766025</t>
  </si>
  <si>
    <t>DELPHI GALAHAD</t>
  </si>
  <si>
    <t>001!0611833767100</t>
  </si>
  <si>
    <t>001!0611833768025</t>
  </si>
  <si>
    <t>DELPHI GNRC GRNDFLORUM</t>
  </si>
  <si>
    <t>001!0611833769025</t>
  </si>
  <si>
    <t>DELPHI GUARDIAN BLUE</t>
  </si>
  <si>
    <t>001!0611833770025</t>
  </si>
  <si>
    <t>DELPHI GUARDIAN LAVENDER</t>
  </si>
  <si>
    <t>001!0611833771025</t>
  </si>
  <si>
    <t>DELPHI GUARDIAN SERIES</t>
  </si>
  <si>
    <t>001!0611833772025</t>
  </si>
  <si>
    <t>DELPHI GUARDIAN WHITE</t>
  </si>
  <si>
    <t>001!0611833773025</t>
  </si>
  <si>
    <t>DELPHI GUINEVERE</t>
  </si>
  <si>
    <t>001!0611833775025</t>
  </si>
  <si>
    <t>DELPHI HUNKY DORY SERIES</t>
  </si>
  <si>
    <t>001!0611884178025</t>
  </si>
  <si>
    <t>DELPHI JENNYS PEARL BLUE</t>
  </si>
  <si>
    <t>001!0611833777100</t>
  </si>
  <si>
    <t>DELPHI JENNYS PEARL PINK</t>
  </si>
  <si>
    <t>001!0611833776100</t>
  </si>
  <si>
    <t>TAG Delphinium JennyÆs Pearl Pink 100/100 Pixie Tag</t>
  </si>
  <si>
    <t>DELPHI KING ARTHUR</t>
  </si>
  <si>
    <t>001!0611833779025</t>
  </si>
  <si>
    <t>DELPHI MG FTN CHERRY BLOSSOM</t>
  </si>
  <si>
    <t>001!0611833782025</t>
  </si>
  <si>
    <t>DELPHI MG FTN CRYSTAL MIX</t>
  </si>
  <si>
    <t>001!0611833783025</t>
  </si>
  <si>
    <t>DELPHI MG FTN DK BL W/DK BEE</t>
  </si>
  <si>
    <t>001!0611833780025</t>
  </si>
  <si>
    <t>DELPHI MG FTN DK BL W/WHT BEE</t>
  </si>
  <si>
    <t>001!0611833781025</t>
  </si>
  <si>
    <t>DELPHI MG FTN LAV W/WHT BEE</t>
  </si>
  <si>
    <t>001!0611833784025</t>
  </si>
  <si>
    <t>DELPHI MG FTN LILAC PINK</t>
  </si>
  <si>
    <t>001!0611833786025</t>
  </si>
  <si>
    <t>DELPHI MG FTN MID BL W/WH BEE</t>
  </si>
  <si>
    <t>001!0611833791025</t>
  </si>
  <si>
    <t>DELPHI MG FTN PURE WHITE</t>
  </si>
  <si>
    <t>001!0611833787025</t>
  </si>
  <si>
    <t>DELPHI MG FTN SERIES</t>
  </si>
  <si>
    <t>001!0611833788100</t>
  </si>
  <si>
    <t>001!0611833789025</t>
  </si>
  <si>
    <t>DELPHI MG FTN SKY BLUE</t>
  </si>
  <si>
    <t>001!0611833790025</t>
  </si>
  <si>
    <t>DELPHI MG FTN WHITE W/DARK BEE</t>
  </si>
  <si>
    <t>001!0611833785025</t>
  </si>
  <si>
    <t>DELPHI MIX GENERIC</t>
  </si>
  <si>
    <t>001!0611833792025</t>
  </si>
  <si>
    <t>DELPHI PACIFIC GT MIX</t>
  </si>
  <si>
    <t>001!0611833793100</t>
  </si>
  <si>
    <t>DELPHI RED LARK</t>
  </si>
  <si>
    <t>001!0611856897025</t>
  </si>
  <si>
    <t>DELPHI SMMR MORNING GRNDFLORUM</t>
  </si>
  <si>
    <t>001!0611833798025</t>
  </si>
  <si>
    <t>DELPHI SMMR NIGHTS GRNDFLORUM</t>
  </si>
  <si>
    <t>001!0611833799025</t>
  </si>
  <si>
    <t>DELPHI SUMMER BLS GRANDIFLORUM</t>
  </si>
  <si>
    <t>001!0611833800025</t>
  </si>
  <si>
    <t>DELPHI SUMMER CLOUD GRNDFLORUM</t>
  </si>
  <si>
    <t>001!0611833801025</t>
  </si>
  <si>
    <t>DELPHI SUMMER COLORS MIX</t>
  </si>
  <si>
    <t>001!0611833802025</t>
  </si>
  <si>
    <t>DELPHI SUMMER SKIES</t>
  </si>
  <si>
    <t>001!0611833804025</t>
  </si>
  <si>
    <t>DELPHI SUMMER STARS GRNDFLORUM</t>
  </si>
  <si>
    <t>001!0611833805100</t>
  </si>
  <si>
    <t>DESCHA CAESPITOSA</t>
  </si>
  <si>
    <t>001!0611833806025</t>
  </si>
  <si>
    <t>DIANTH AMAZON NEON CHERRY</t>
  </si>
  <si>
    <t>001!0611833807100</t>
  </si>
  <si>
    <t>DIANTH AMAZON NEON DUO</t>
  </si>
  <si>
    <t>001!0611833808100</t>
  </si>
  <si>
    <t>DIANTH AMAZON NEON PURPLE</t>
  </si>
  <si>
    <t>001!0611833809100</t>
  </si>
  <si>
    <t>DIANTH AMAZON ROSE MAGIC</t>
  </si>
  <si>
    <t>001!0611833810100</t>
  </si>
  <si>
    <t>DIANTH ANGEL CHARM SCNT HVN</t>
  </si>
  <si>
    <t>001!0611833811025</t>
  </si>
  <si>
    <t>DIANTH ANGEL COMPASSN SCNT HVN</t>
  </si>
  <si>
    <t>001!0611833812025</t>
  </si>
  <si>
    <t>DIANTH ANGEL DESIRE SCNT HVN</t>
  </si>
  <si>
    <t>001!0611833813025</t>
  </si>
  <si>
    <t>DIANTH ANGEL ENLTNMNT SCNT HVN</t>
  </si>
  <si>
    <t>001!0611833814025</t>
  </si>
  <si>
    <t>DIANTH ANGEL FORGIVNS SCNT HVN</t>
  </si>
  <si>
    <t>001!0611833815025</t>
  </si>
  <si>
    <t>DIANTH ANGEL HOPE SCNT HVN</t>
  </si>
  <si>
    <t>001!0611833816025</t>
  </si>
  <si>
    <t>DIANTH ANGEL HRMNY SCNT HVN</t>
  </si>
  <si>
    <t>001!0611833817025</t>
  </si>
  <si>
    <t>DIANTH ANGEL JOY SCNT HVN</t>
  </si>
  <si>
    <t>001!0611833818025</t>
  </si>
  <si>
    <t>DIANTH ANGEL PEACE SCNT HVN</t>
  </si>
  <si>
    <t>001!0611833819025</t>
  </si>
  <si>
    <t>DIANTH ANGEL PURITY SCNT HVN</t>
  </si>
  <si>
    <t>001!0611833820025</t>
  </si>
  <si>
    <t>DIANTH ANGEL VIRTUE SCNT HVN</t>
  </si>
  <si>
    <t>001!0611833821025</t>
  </si>
  <si>
    <t>DIANTH ARABELLA PINK</t>
  </si>
  <si>
    <t>001!0611861735100</t>
  </si>
  <si>
    <t>DIANTH ARABELLA PURPLE</t>
  </si>
  <si>
    <t>001!0611861736100</t>
  </si>
  <si>
    <t>DIANTH ARABELLA WHITE</t>
  </si>
  <si>
    <t>001!0611861737100</t>
  </si>
  <si>
    <t>DIANTH ARCTIC FIRE DELTOIDES</t>
  </si>
  <si>
    <t>001!0611833822100</t>
  </si>
  <si>
    <t>001!0611833823025</t>
  </si>
  <si>
    <t>DIANTH BACCO</t>
  </si>
  <si>
    <t>001!0611861738100</t>
  </si>
  <si>
    <t>DIANTH BARBARINI MIX</t>
  </si>
  <si>
    <t>001!0611833824025</t>
  </si>
  <si>
    <t>DIANTH BARBARINI PURPLE</t>
  </si>
  <si>
    <t>001!0611833826025</t>
  </si>
  <si>
    <t>DIANTH BARBARINI PURPLE BIC</t>
  </si>
  <si>
    <t>001!0611833827025</t>
  </si>
  <si>
    <t>DIANTH BARBARINI PURPLE PICO</t>
  </si>
  <si>
    <t>001!0611833825025</t>
  </si>
  <si>
    <t>DIANTH BARBARINI RED</t>
  </si>
  <si>
    <t>001!0611833828025</t>
  </si>
  <si>
    <t>DIANTH BARBARINI RED PICOTEE</t>
  </si>
  <si>
    <t>001!0611833829025</t>
  </si>
  <si>
    <t>DIANTH BARBARINI ROSE</t>
  </si>
  <si>
    <t>001!0611833830025</t>
  </si>
  <si>
    <t>DIANTH BARBARINI SALMON</t>
  </si>
  <si>
    <t>001!0611833831025</t>
  </si>
  <si>
    <t>DIANTH BARBARINI SERIES</t>
  </si>
  <si>
    <t>001!0611833832025</t>
  </si>
  <si>
    <t>DIANTH BATHS PK</t>
  </si>
  <si>
    <t>001!0611833833025</t>
  </si>
  <si>
    <t>DIANTH BEAUTIES ANNABELLE</t>
  </si>
  <si>
    <t>001!0611861739100</t>
  </si>
  <si>
    <t>DIANTH BEAUTIES GISELE</t>
  </si>
  <si>
    <t>001!0611861740050</t>
  </si>
  <si>
    <t>DIANTH BEAUTIES KAHORI</t>
  </si>
  <si>
    <t>001!0611861741100</t>
  </si>
  <si>
    <t>DIANTH BEAUTIES KAHORI LMTD</t>
  </si>
  <si>
    <t>001!0611861742050</t>
  </si>
  <si>
    <t>DIANTH BEAUTIES KAHORI PINK</t>
  </si>
  <si>
    <t>001!0611861743100</t>
  </si>
  <si>
    <t>001!0611861744050</t>
  </si>
  <si>
    <t>DIANTH BEAUTIES KAHORI SCARLET</t>
  </si>
  <si>
    <t>001!0611861745100</t>
  </si>
  <si>
    <t>DIANTH BEAUTIES KATE</t>
  </si>
  <si>
    <t>001!0611861746100</t>
  </si>
  <si>
    <t>DIANTH BEAUTIES KATE LMTD</t>
  </si>
  <si>
    <t>001!0611861747050</t>
  </si>
  <si>
    <t>DIANTH BEAUTIES MELINDA</t>
  </si>
  <si>
    <t>001!0611856898025</t>
  </si>
  <si>
    <t>001!0611861748100</t>
  </si>
  <si>
    <t>DIANTH BEAUTIES REBECCA</t>
  </si>
  <si>
    <t>001!0611856899025</t>
  </si>
  <si>
    <t>001!0611861749100</t>
  </si>
  <si>
    <t>DIANTH BEAUTIES SASHA</t>
  </si>
  <si>
    <t>001!0611861750050</t>
  </si>
  <si>
    <t>DIANTH BEAUTIES TIUU</t>
  </si>
  <si>
    <t>001!0611856900025</t>
  </si>
  <si>
    <t>001!0611861751100</t>
  </si>
  <si>
    <t>DIANTH BEAUTIES TYRA</t>
  </si>
  <si>
    <t>001!0611856901025</t>
  </si>
  <si>
    <t>001!0611861752100</t>
  </si>
  <si>
    <t>DIANTH BEAUTIES VIDA</t>
  </si>
  <si>
    <t>001!0611856902025</t>
  </si>
  <si>
    <t>001!0611861753100</t>
  </si>
  <si>
    <t>DIANTH BEAUTIES YFKE</t>
  </si>
  <si>
    <t>001!0611861754050</t>
  </si>
  <si>
    <t>DIANTH BRILLIANT DELTOIDES</t>
  </si>
  <si>
    <t>001!0611833838025</t>
  </si>
  <si>
    <t>DIANTH BST FRND FRVR PK PSN</t>
  </si>
  <si>
    <t>001!0611856903100</t>
  </si>
  <si>
    <t>DIANTH BST FRND FRVR PURP PSN</t>
  </si>
  <si>
    <t>001!0611856904100</t>
  </si>
  <si>
    <t>DIANTH BST FRND FRVR RED PSN</t>
  </si>
  <si>
    <t>001!0611856905100</t>
  </si>
  <si>
    <t>DIANTH BST FRND FRVR ROSE PSN</t>
  </si>
  <si>
    <t>001!0611856906100</t>
  </si>
  <si>
    <t>DIANTH BST FRND FRVR SCAR PSN</t>
  </si>
  <si>
    <t>001!0611856907100</t>
  </si>
  <si>
    <t>DIANTH BST FRND FRVR VLT PSN</t>
  </si>
  <si>
    <t>001!0611856908100</t>
  </si>
  <si>
    <t>DIANTH CARNATION GENERIC</t>
  </si>
  <si>
    <t>001!0611833840100</t>
  </si>
  <si>
    <t>DIANTH CLIFF PINK</t>
  </si>
  <si>
    <t>001!0611861755100</t>
  </si>
  <si>
    <t>DIANTH CLIFF PURPLE</t>
  </si>
  <si>
    <t>001!0611861756100</t>
  </si>
  <si>
    <t>DIANTH CLIFF RED</t>
  </si>
  <si>
    <t>001!0611861757100</t>
  </si>
  <si>
    <t>DIANTH COLORI JOY</t>
  </si>
  <si>
    <t>001!0611833844100</t>
  </si>
  <si>
    <t>DIANTH COLORI MICA</t>
  </si>
  <si>
    <t>001!0611833845100</t>
  </si>
  <si>
    <t>DIANTH COLORI NAOMI</t>
  </si>
  <si>
    <t>001!0611833846100</t>
  </si>
  <si>
    <t>DIANTH CONSTANT BTY CRSH BURG</t>
  </si>
  <si>
    <t>001!0611833853025</t>
  </si>
  <si>
    <t>DIANTH CONSTANT BTY CRSH CHRY</t>
  </si>
  <si>
    <t>001!0611833854025</t>
  </si>
  <si>
    <t>DIANTH CONSTANT BTY CRSH ORG</t>
  </si>
  <si>
    <t>001!0611833855025</t>
  </si>
  <si>
    <t>DIANTH CONSTANT BTY CRSH PEACH</t>
  </si>
  <si>
    <t>001!0611856909025</t>
  </si>
  <si>
    <t>DIANTH CONSTANT BTY CRSH PINK</t>
  </si>
  <si>
    <t>001!0611833856025</t>
  </si>
  <si>
    <t>DIANTH CONSTANT BTY CRSH POMEG</t>
  </si>
  <si>
    <t>001!0611856910025</t>
  </si>
  <si>
    <t>DIANTH CONSTANT BTY CRSH RED</t>
  </si>
  <si>
    <t>001!0611833857025</t>
  </si>
  <si>
    <t>DIANTH CONSTANT BTY CRSH WINE</t>
  </si>
  <si>
    <t>001!0611833859025</t>
  </si>
  <si>
    <t>DIANTH CONSTANT BTY CRSH WTRML</t>
  </si>
  <si>
    <t>001!0611856911025</t>
  </si>
  <si>
    <t>DIANTH CONSTANT BTY PINK</t>
  </si>
  <si>
    <t>001!0611833848025</t>
  </si>
  <si>
    <t>DIANTH CONSTANT BTY PINK RED</t>
  </si>
  <si>
    <t>001!0611833849025</t>
  </si>
  <si>
    <t>DIANTH CONSTANT BTY RED</t>
  </si>
  <si>
    <t>001!0611833850025</t>
  </si>
  <si>
    <t>DIANTH CONSTANT BTY WHITE</t>
  </si>
  <si>
    <t>001!0611833851025</t>
  </si>
  <si>
    <t>DIANTH CONSTANT BTY YELLOW</t>
  </si>
  <si>
    <t>001!0611833852025</t>
  </si>
  <si>
    <t>DIANTH CONSTANT CADNC CHERRY</t>
  </si>
  <si>
    <t>001!0611833860025</t>
  </si>
  <si>
    <t>DIANTH CONSTANT CADNC MLK CHRY</t>
  </si>
  <si>
    <t>001!0611833865025</t>
  </si>
  <si>
    <t>DIANTH CONSTANT CADNC MLK PCH</t>
  </si>
  <si>
    <t>001!0611833866025</t>
  </si>
  <si>
    <t>DIANTH CONSTANT CADNC POTPOURI</t>
  </si>
  <si>
    <t>001!0611833867025</t>
  </si>
  <si>
    <t>DIANTH CONSTANT CADNC RED</t>
  </si>
  <si>
    <t>001!0611833862025</t>
  </si>
  <si>
    <t>DIANTH CONSTANT CADNC RSPBRY</t>
  </si>
  <si>
    <t>001!0611833861025</t>
  </si>
  <si>
    <t>DIANTH CONSTANT CADNC SALMON</t>
  </si>
  <si>
    <t>001!0611833863025</t>
  </si>
  <si>
    <t>DIANTH CONSTANT CADNC WHITE</t>
  </si>
  <si>
    <t>001!0611833864025</t>
  </si>
  <si>
    <t>DIANTH CONSTANT PRMSE CHRY FRT</t>
  </si>
  <si>
    <t>001!0611833869025</t>
  </si>
  <si>
    <t>DIANTH CONSTANT PRMSE PAPAYA</t>
  </si>
  <si>
    <t>001!0611833870025</t>
  </si>
  <si>
    <t>DIANTH CONSTANT PRMSE RED</t>
  </si>
  <si>
    <t>001!0611833872025</t>
  </si>
  <si>
    <t>DIANTH CONSTANT PRMSE RSPBRY</t>
  </si>
  <si>
    <t>001!0611833871025</t>
  </si>
  <si>
    <t>DIANTH CONSTANT PRMSE STRWBRY</t>
  </si>
  <si>
    <t>001!0611833873025</t>
  </si>
  <si>
    <t>DIANTH CONSTANT PRMSE WHITE</t>
  </si>
  <si>
    <t>001!0611833874025</t>
  </si>
  <si>
    <t>DIANTH CORONET CHERRY RED</t>
  </si>
  <si>
    <t>001!0611833875100</t>
  </si>
  <si>
    <t>DIANTH CORONET MIX</t>
  </si>
  <si>
    <t>001!0611833876100</t>
  </si>
  <si>
    <t>DIANTH CORONET PURPLE</t>
  </si>
  <si>
    <t>001!0611856912100</t>
  </si>
  <si>
    <t>DIANTH CORONET RED MAGIC</t>
  </si>
  <si>
    <t>001!0611833877100</t>
  </si>
  <si>
    <t>DIANTH CORONET ROSE</t>
  </si>
  <si>
    <t>001!0611833878100</t>
  </si>
  <si>
    <t>DIANTH CORONET SALMON RED EYE</t>
  </si>
  <si>
    <t>001!0611833879100</t>
  </si>
  <si>
    <t>DIANTH CORONET STRAWBERRY</t>
  </si>
  <si>
    <t>001!0611833880100</t>
  </si>
  <si>
    <t>DIANTH CORONET WHITE</t>
  </si>
  <si>
    <t>001!0611833881100</t>
  </si>
  <si>
    <t>DIANTH CORONET WHITE PURP EYE</t>
  </si>
  <si>
    <t>001!0611856913100</t>
  </si>
  <si>
    <t>DIANTH COTTAGE PKS GNRC PLMRS</t>
  </si>
  <si>
    <t>001!0611833882025</t>
  </si>
  <si>
    <t>DIANTH DASH SERIES</t>
  </si>
  <si>
    <t>001!0611833883100</t>
  </si>
  <si>
    <t>DIANTH DELILAH BIC MGNTA PLMRS</t>
  </si>
  <si>
    <t>001!0611833884025</t>
  </si>
  <si>
    <t>DIANTH DELILAH BIC PPL PLMRS</t>
  </si>
  <si>
    <t>001!0611833887025</t>
  </si>
  <si>
    <t>DIANTH DEVINE SERIES</t>
  </si>
  <si>
    <t>001!0611833888100</t>
  </si>
  <si>
    <t>DIANTH DIABUNDA MIX</t>
  </si>
  <si>
    <t>001!0611833890100</t>
  </si>
  <si>
    <t>DIANTH DIABUNDA PINK PEARL</t>
  </si>
  <si>
    <t>001!0611833891100</t>
  </si>
  <si>
    <t>DIANTH DIABUNDA PURPLE</t>
  </si>
  <si>
    <t>001!0611833892100</t>
  </si>
  <si>
    <t>DIANTH DIABUNDA PURPLE PICOTEE</t>
  </si>
  <si>
    <t>001!0611833893100</t>
  </si>
  <si>
    <t>DIANTH DIABUNDA RED</t>
  </si>
  <si>
    <t>001!0611833894100</t>
  </si>
  <si>
    <t>DIANTH DIABUNDA RED PICOTEE</t>
  </si>
  <si>
    <t>001!0611833895100</t>
  </si>
  <si>
    <t>DIANTH DIABUNDA ROSE</t>
  </si>
  <si>
    <t>001!0611833896100</t>
  </si>
  <si>
    <t>DIANTH DIAMOND BLUSH PINK</t>
  </si>
  <si>
    <t>001!0611833897100</t>
  </si>
  <si>
    <t>DIANTH DIAMOND CARMINE ROSE</t>
  </si>
  <si>
    <t>001!0611833898100</t>
  </si>
  <si>
    <t>DIANTH DIAMOND CORAL</t>
  </si>
  <si>
    <t>001!0611833899100</t>
  </si>
  <si>
    <t>DIANTH DIAMOND MIX</t>
  </si>
  <si>
    <t>001!0611833900100</t>
  </si>
  <si>
    <t>DIANTH DIAMOND PINK</t>
  </si>
  <si>
    <t>001!0611833901100</t>
  </si>
  <si>
    <t>DIANTH DIAMOND PURPLE</t>
  </si>
  <si>
    <t>001!0611833902100</t>
  </si>
  <si>
    <t>DIANTH DIAMOND PURPLE PICOTEE</t>
  </si>
  <si>
    <t>001!0611833903100</t>
  </si>
  <si>
    <t>DIANTH DIAMOND SCARLET</t>
  </si>
  <si>
    <t>001!0611833904100</t>
  </si>
  <si>
    <t>DIANTH DIAMOND WHITE</t>
  </si>
  <si>
    <t>001!0611833905100</t>
  </si>
  <si>
    <t>DIANTH DIANA SERIES</t>
  </si>
  <si>
    <t>001!0611833906100</t>
  </si>
  <si>
    <t>DIANTH DIANTHUS GENERIC</t>
  </si>
  <si>
    <t>001!0611833907100</t>
  </si>
  <si>
    <t>DIANTH DISCO RUMBA</t>
  </si>
  <si>
    <t>001!0611833908100</t>
  </si>
  <si>
    <t>DIANTH DOUBLE MIDGET MIX</t>
  </si>
  <si>
    <t>001!0611833909100</t>
  </si>
  <si>
    <t>DIANTH DWARF DOUBLE MIX</t>
  </si>
  <si>
    <t>001!0611833911025</t>
  </si>
  <si>
    <t>DIANTH EDGY MAGIC MAGENTA</t>
  </si>
  <si>
    <t>001!0611884179025</t>
  </si>
  <si>
    <t>DIANTH EDGY NEON PINK</t>
  </si>
  <si>
    <t>001!0611884180025</t>
  </si>
  <si>
    <t>DIANTH EDGY PINK SWIRL</t>
  </si>
  <si>
    <t>001!0611884181025</t>
  </si>
  <si>
    <t>DIANTH FIREWITCH</t>
  </si>
  <si>
    <t>001!0611833915025</t>
  </si>
  <si>
    <t>DIANTH FLASHING LIGHTS DELTOID</t>
  </si>
  <si>
    <t>001!0611833916025</t>
  </si>
  <si>
    <t>DIANTH FLORAL LACE CHERRY</t>
  </si>
  <si>
    <t>001!0611833917100</t>
  </si>
  <si>
    <t>DIANTH FLORAL LACE CRIMSON</t>
  </si>
  <si>
    <t>001!0611833918100</t>
  </si>
  <si>
    <t>DIANTH FLORAL LACE LIGHT PINK</t>
  </si>
  <si>
    <t>001!0611833919100</t>
  </si>
  <si>
    <t>DIANTH FLORAL LACE LILAC</t>
  </si>
  <si>
    <t>001!0611833920100</t>
  </si>
  <si>
    <t>DIANTH FLORAL LACE MIX</t>
  </si>
  <si>
    <t>001!0611833921100</t>
  </si>
  <si>
    <t>DIANTH FLORAL LACE PICOTEE</t>
  </si>
  <si>
    <t>001!0611833922100</t>
  </si>
  <si>
    <t>DIANTH FLORAL LACE PURPLE</t>
  </si>
  <si>
    <t>001!0611833923100</t>
  </si>
  <si>
    <t>DIANTH FLORAL LACE RED</t>
  </si>
  <si>
    <t>001!0611833924100</t>
  </si>
  <si>
    <t>DIANTH FLORAL LACE ROSE</t>
  </si>
  <si>
    <t>001!0611833925100</t>
  </si>
  <si>
    <t>DIANTH FLORAL LACE TRUE ROSE</t>
  </si>
  <si>
    <t>001!0611833926100</t>
  </si>
  <si>
    <t>DIANTH FLORAL LACE VIOLET</t>
  </si>
  <si>
    <t>001!0611833927100</t>
  </si>
  <si>
    <t>DIANTH FLORAL LACE VIOLET PICO</t>
  </si>
  <si>
    <t>001!0611833928100</t>
  </si>
  <si>
    <t>DIANTH FLORAL LACE WHITE</t>
  </si>
  <si>
    <t>001!0611833929100</t>
  </si>
  <si>
    <t>DIANTH FLOW APELLA BEACH</t>
  </si>
  <si>
    <t>001!0611833930100</t>
  </si>
  <si>
    <t>DIANTH FLOW BLINKY BEACH</t>
  </si>
  <si>
    <t>001!0611833931100</t>
  </si>
  <si>
    <t>DIANTH FLOW BONDI BEACH</t>
  </si>
  <si>
    <t>001!0611833932100</t>
  </si>
  <si>
    <t>DIANTH FLOW CRANE BEACH</t>
  </si>
  <si>
    <t>001!0611833933100</t>
  </si>
  <si>
    <t>DIANTH FLOW GLEN BAY</t>
  </si>
  <si>
    <t>001!0611833934100</t>
  </si>
  <si>
    <t>DIANTH FLOW GOLDEN BAY</t>
  </si>
  <si>
    <t>001!0611833935100</t>
  </si>
  <si>
    <t>DIANTH FLOW GRACE BAY</t>
  </si>
  <si>
    <t>001!0611833936100</t>
  </si>
  <si>
    <t>DIANTH FLOW MIAMI BEACH</t>
  </si>
  <si>
    <t>001!0611833937100</t>
  </si>
  <si>
    <t>DIANTH FLOW SHARK BAY</t>
  </si>
  <si>
    <t>001!0611833938100</t>
  </si>
  <si>
    <t>DIANTH FLOW SOUTH BEACH</t>
  </si>
  <si>
    <t>001!0611833939100</t>
  </si>
  <si>
    <t>DIANTH FLOW WHITE BAY</t>
  </si>
  <si>
    <t>001!0611833940100</t>
  </si>
  <si>
    <t>DIANTH FROSTY FIRE ALLWOODII</t>
  </si>
  <si>
    <t>001!0611833941025</t>
  </si>
  <si>
    <t>DIANTH GARDEN PINKS GENERIC</t>
  </si>
  <si>
    <t>001!0611833942025</t>
  </si>
  <si>
    <t>DIANTH GARDEN PLEASURES SERIES</t>
  </si>
  <si>
    <t>001!0611833943100</t>
  </si>
  <si>
    <t>DIANTH GDN PKS GNRC ALLWOODII</t>
  </si>
  <si>
    <t>001!0611833944025</t>
  </si>
  <si>
    <t>DIANTH GNRC BLNGL DSIGN</t>
  </si>
  <si>
    <t>001!0611833945100</t>
  </si>
  <si>
    <t>DIANTH GRENADIN GOLDEN SUN</t>
  </si>
  <si>
    <t>001!0611833946025</t>
  </si>
  <si>
    <t>DIANTH GRENADIN MIX</t>
  </si>
  <si>
    <t>001!0611833947100</t>
  </si>
  <si>
    <t>001!0611833948025</t>
  </si>
  <si>
    <t>DIANTH GRENADIN PINK</t>
  </si>
  <si>
    <t>001!0611833949100</t>
  </si>
  <si>
    <t>DIANTH GRENADIN RED</t>
  </si>
  <si>
    <t>001!0611833950100</t>
  </si>
  <si>
    <t>DIANTH HEARTS OF FIRE</t>
  </si>
  <si>
    <t>001!0611833951100</t>
  </si>
  <si>
    <t>DIANTH IDEAL MIX</t>
  </si>
  <si>
    <t>001!0611833952100</t>
  </si>
  <si>
    <t>DIANTH IDEAL SELECT MIX</t>
  </si>
  <si>
    <t>001!0611833953100</t>
  </si>
  <si>
    <t>DIANTH IDEAL SELECT RASPBERRY</t>
  </si>
  <si>
    <t>001!0611833954100</t>
  </si>
  <si>
    <t>DIANTH IDEAL SELECT RED</t>
  </si>
  <si>
    <t>001!0611833955100</t>
  </si>
  <si>
    <t>DIANTH IDEAL SELECT ROSE</t>
  </si>
  <si>
    <t>001!0611833956100</t>
  </si>
  <si>
    <t>DIANTH IDEAL SELECT SALMON</t>
  </si>
  <si>
    <t>001!0611833957100</t>
  </si>
  <si>
    <t>DIANTH IDEAL SELECT VIOLET</t>
  </si>
  <si>
    <t>001!0611833958100</t>
  </si>
  <si>
    <t>DIANTH IDEAL SELECT WHITE</t>
  </si>
  <si>
    <t>001!0611833959100</t>
  </si>
  <si>
    <t>DIANTH IDEAL SELECT WHITE FIRE</t>
  </si>
  <si>
    <t>001!0611833960100</t>
  </si>
  <si>
    <t>DIANTH IDEAL WHITE</t>
  </si>
  <si>
    <t>001!0611833961100</t>
  </si>
  <si>
    <t>DIANTH INDIAN CARPET MIX</t>
  </si>
  <si>
    <t>001!0611833962100</t>
  </si>
  <si>
    <t>001!0611833963025</t>
  </si>
  <si>
    <t>DIANTH IQ BLUEBERRY PICOTEE</t>
  </si>
  <si>
    <t>001!0611833964100</t>
  </si>
  <si>
    <t>DIANTH IQ MIX</t>
  </si>
  <si>
    <t>001!0611833965100</t>
  </si>
  <si>
    <t>DIANTH IQ PICOTEE MIX</t>
  </si>
  <si>
    <t>001!0611833966100</t>
  </si>
  <si>
    <t>DIANTH IQ PINK</t>
  </si>
  <si>
    <t>001!0611833967100</t>
  </si>
  <si>
    <t>DIANTH IQ PURPLE</t>
  </si>
  <si>
    <t>001!0611833968100</t>
  </si>
  <si>
    <t>DIANTH IQ PURPLE ICE</t>
  </si>
  <si>
    <t>001!0611833969100</t>
  </si>
  <si>
    <t>DIANTH IQ RASPBERRY PICOTEE</t>
  </si>
  <si>
    <t>001!0611833970100</t>
  </si>
  <si>
    <t>DIANTH IQ RED</t>
  </si>
  <si>
    <t>001!0611833971100</t>
  </si>
  <si>
    <t>DIANTH IQ RED PICOTEE</t>
  </si>
  <si>
    <t>001!0611833972100</t>
  </si>
  <si>
    <t>DIANTH IQ SCARLET</t>
  </si>
  <si>
    <t>001!0611833973100</t>
  </si>
  <si>
    <t>DIANTH IQ WHITE</t>
  </si>
  <si>
    <t>001!0611833974100</t>
  </si>
  <si>
    <t>DIANTH JOLT CHERRY</t>
  </si>
  <si>
    <t>001!0611833975100</t>
  </si>
  <si>
    <t>DIANTH JOLT PINK</t>
  </si>
  <si>
    <t>001!0611833976100</t>
  </si>
  <si>
    <t>DIANTH JOLT PINK MAGIC</t>
  </si>
  <si>
    <t>001!0611833977100</t>
  </si>
  <si>
    <t>DIANTH JOLT PURPLE</t>
  </si>
  <si>
    <t>001!0611833978100</t>
  </si>
  <si>
    <t>DIANTH KAHORI</t>
  </si>
  <si>
    <t>001!0611833979025</t>
  </si>
  <si>
    <t>DIANTH KAHORI PINK</t>
  </si>
  <si>
    <t>001!0611833980025</t>
  </si>
  <si>
    <t>DIANTH KAHORI SCARLET</t>
  </si>
  <si>
    <t>001!0611833981025</t>
  </si>
  <si>
    <t>DIANTH KING OF THE BLACKS</t>
  </si>
  <si>
    <t>001!0611833982025</t>
  </si>
  <si>
    <t>DIANTH LILLIPOT MIX</t>
  </si>
  <si>
    <t>001!0611833983100</t>
  </si>
  <si>
    <t>DIANTH MAD MAGENTA</t>
  </si>
  <si>
    <t>001!0611861758100</t>
  </si>
  <si>
    <t>DIANTH MERLOT MIX</t>
  </si>
  <si>
    <t>001!0611833984100</t>
  </si>
  <si>
    <t>DIANTH MIX</t>
  </si>
  <si>
    <t>001!0611833985025</t>
  </si>
  <si>
    <t>DIANTH MTN FROST PK CARPET</t>
  </si>
  <si>
    <t>001!0611833986025</t>
  </si>
  <si>
    <t>DIANTH MTN FROST PK POMPOM</t>
  </si>
  <si>
    <t>001!0611833987025</t>
  </si>
  <si>
    <t>DIANTH MTN FROST PK TWINKLE</t>
  </si>
  <si>
    <t>001!0611833988025</t>
  </si>
  <si>
    <t>DIANTH MTN FROST RD GARNET</t>
  </si>
  <si>
    <t>001!0611833989025</t>
  </si>
  <si>
    <t>DIANTH MTN FROST RS BOUQUET</t>
  </si>
  <si>
    <t>001!0611833990025</t>
  </si>
  <si>
    <t>DIANTH MTN FROST RUBY GLITTER</t>
  </si>
  <si>
    <t>001!0611833991025</t>
  </si>
  <si>
    <t>DIANTH MTN FROST RUBY SNOW</t>
  </si>
  <si>
    <t>001!0611833992025</t>
  </si>
  <si>
    <t>DIANTH MTN FROST SILVER STRIKE</t>
  </si>
  <si>
    <t>001!0611833993025</t>
  </si>
  <si>
    <t>DIANTH MTN FROST WH TWINKLE</t>
  </si>
  <si>
    <t>001!0611833994025</t>
  </si>
  <si>
    <t>DIANTH ODESSA AMY</t>
  </si>
  <si>
    <t>001!0611861759100</t>
  </si>
  <si>
    <t>DIANTH ODESSA AMY LMTD</t>
  </si>
  <si>
    <t>001!0611861760050</t>
  </si>
  <si>
    <t>DIANTH ODESSA BLING BLING</t>
  </si>
  <si>
    <t>001!0611861761100</t>
  </si>
  <si>
    <t>DIANTH ODESSA CERISE BLNG BLNG</t>
  </si>
  <si>
    <t>001!0611861762100</t>
  </si>
  <si>
    <t>DIANTH ODESSA EARLY PINK</t>
  </si>
  <si>
    <t>001!0611861763050</t>
  </si>
  <si>
    <t>DIANTH ODESSA JOELLE</t>
  </si>
  <si>
    <t>001!0611861764050</t>
  </si>
  <si>
    <t>DIANTH ODESSA NICKY</t>
  </si>
  <si>
    <t>001!0611861765100</t>
  </si>
  <si>
    <t>DIANTH ODESSA NICKY LMTD</t>
  </si>
  <si>
    <t>001!0611861766050</t>
  </si>
  <si>
    <t>DIANTH ODESSA ORANGE BLNG BLNG</t>
  </si>
  <si>
    <t>001!0611861767100</t>
  </si>
  <si>
    <t>001!0611861768050</t>
  </si>
  <si>
    <t>DIANTH ODESSA PIERROT</t>
  </si>
  <si>
    <t>001!0611861769100</t>
  </si>
  <si>
    <t>DIANTH ODESSA PIERROT LMTD</t>
  </si>
  <si>
    <t>001!0611861770050</t>
  </si>
  <si>
    <t>DIANTH ODESSA PURE</t>
  </si>
  <si>
    <t>001!0611861771100</t>
  </si>
  <si>
    <t>DIANTH ODESSA RED</t>
  </si>
  <si>
    <t>001!0611861772100</t>
  </si>
  <si>
    <t>DIANTH ODESSA TWIGGY</t>
  </si>
  <si>
    <t>001!0611861773100</t>
  </si>
  <si>
    <t>DIANTH ODESSA YELL BLING BLING</t>
  </si>
  <si>
    <t>001!0611861774100</t>
  </si>
  <si>
    <t>DIANTH OLIVIA BELLA</t>
  </si>
  <si>
    <t>001!0611861775100</t>
  </si>
  <si>
    <t>DIANTH OLIVIA CHERRY</t>
  </si>
  <si>
    <t>001!0611861776100</t>
  </si>
  <si>
    <t>DIANTH OLIVIA SWEET</t>
  </si>
  <si>
    <t>001!0611861777100</t>
  </si>
  <si>
    <t>DIANTH OLIVIA SWEET LMTD</t>
  </si>
  <si>
    <t>001!0611861778050</t>
  </si>
  <si>
    <t>DIANTH OLIVIA WILD</t>
  </si>
  <si>
    <t>001!0611861779100</t>
  </si>
  <si>
    <t>DIANTH OLIVIA WILD LMTD</t>
  </si>
  <si>
    <t>001!0611861780050</t>
  </si>
  <si>
    <t>DIANTH PARFAIT RASPBERRY</t>
  </si>
  <si>
    <t>001!0611833996100</t>
  </si>
  <si>
    <t>DIANTH PARFAIT STRAWBERRY</t>
  </si>
  <si>
    <t>001!0611833997100</t>
  </si>
  <si>
    <t>DIANTH PEMAN</t>
  </si>
  <si>
    <t>001!0611861781100</t>
  </si>
  <si>
    <t>DIANTH PEMAN FANCY CERISE</t>
  </si>
  <si>
    <t>001!0611861782100</t>
  </si>
  <si>
    <t>DIANTH PEMAN FANCY LILAC</t>
  </si>
  <si>
    <t>001!0611861783100</t>
  </si>
  <si>
    <t>DIANTH PEMAN VIOLET</t>
  </si>
  <si>
    <t>001!0611861784100</t>
  </si>
  <si>
    <t>DIANTH RED PICOTEE GENERIC</t>
  </si>
  <si>
    <t>001!0611833998100</t>
  </si>
  <si>
    <t>DIANTH ROCK CANDY</t>
  </si>
  <si>
    <t>001!0611861785100</t>
  </si>
  <si>
    <t>DIANTH ROCK COMPACT</t>
  </si>
  <si>
    <t>001!0611861786100</t>
  </si>
  <si>
    <t>DIANTH ROCK PURPLE</t>
  </si>
  <si>
    <t>001!0611861787100</t>
  </si>
  <si>
    <t>DIANTH ROCK RUBY</t>
  </si>
  <si>
    <t>001!0611861788100</t>
  </si>
  <si>
    <t>DIANTH ROCK VIOLET</t>
  </si>
  <si>
    <t>001!0611861789100</t>
  </si>
  <si>
    <t>DIANTH ROCK WHITE</t>
  </si>
  <si>
    <t>001!0611861790050</t>
  </si>
  <si>
    <t>DIANTH ROCKIN PINK MAGIC</t>
  </si>
  <si>
    <t>001!0611833999100</t>
  </si>
  <si>
    <t>001!0611834000025</t>
  </si>
  <si>
    <t>DIANTH ROCKIN PURPLE</t>
  </si>
  <si>
    <t>001!0611834001100</t>
  </si>
  <si>
    <t>001!0611834002025</t>
  </si>
  <si>
    <t>DIANTH ROCKIN RED</t>
  </si>
  <si>
    <t>001!0611834003100</t>
  </si>
  <si>
    <t>001!0611834004025</t>
  </si>
  <si>
    <t>DIANTH ROCKIN ROSE</t>
  </si>
  <si>
    <t>001!0611834005100</t>
  </si>
  <si>
    <t>001!0611834006025</t>
  </si>
  <si>
    <t>DIANTH ROSE QUARTZ</t>
  </si>
  <si>
    <t>001!0611834008025</t>
  </si>
  <si>
    <t>DIANTH ROSELLY SERIES</t>
  </si>
  <si>
    <t>001!0611834007100</t>
  </si>
  <si>
    <t>DIANTH SHORT WHITE GENERIC</t>
  </si>
  <si>
    <t>001!0611834012100</t>
  </si>
  <si>
    <t>DIANTH SPRINT ANGIE</t>
  </si>
  <si>
    <t>001!0611861791100</t>
  </si>
  <si>
    <t>DIANTH SPRINT BORDEAUX</t>
  </si>
  <si>
    <t>001!0611861792100</t>
  </si>
  <si>
    <t>DIANTH SPRINT BRIGHT RED</t>
  </si>
  <si>
    <t>001!0611861793100</t>
  </si>
  <si>
    <t>DIANTH SPRINT DARK PINK</t>
  </si>
  <si>
    <t>001!0611861794100</t>
  </si>
  <si>
    <t>DIANTH SPRINT DARK RED</t>
  </si>
  <si>
    <t>001!0611861795100</t>
  </si>
  <si>
    <t>DIANTH SPRINT FANCY PURPLE</t>
  </si>
  <si>
    <t>001!0611861796100</t>
  </si>
  <si>
    <t>DIANTH SPRINT PINK</t>
  </si>
  <si>
    <t>001!0611861797100</t>
  </si>
  <si>
    <t>DIANTH SPRINT PINK SHADES</t>
  </si>
  <si>
    <t>001!0611861798100</t>
  </si>
  <si>
    <t>DIANTH SPRINT SALMON</t>
  </si>
  <si>
    <t>001!0611861799100</t>
  </si>
  <si>
    <t>DIANTH SPRINT WHITE</t>
  </si>
  <si>
    <t>001!0611861800100</t>
  </si>
  <si>
    <t>DIANTH SUGAR N SPICE</t>
  </si>
  <si>
    <t>001!0611884182025</t>
  </si>
  <si>
    <t>DIANTH SUNFLOR ALLURA</t>
  </si>
  <si>
    <t>001!0611856914025</t>
  </si>
  <si>
    <t>001!0611861801100</t>
  </si>
  <si>
    <t>DIANTH SUNFLOR ALLURA RED</t>
  </si>
  <si>
    <t>001!0611856915025</t>
  </si>
  <si>
    <t>001!0611861802100</t>
  </si>
  <si>
    <t>DIANTH SUNFLOR AMBER</t>
  </si>
  <si>
    <t>001!0611856916025</t>
  </si>
  <si>
    <t>001!0611861803100</t>
  </si>
  <si>
    <t>DIANTH SUNFLOR AMBER LMTD</t>
  </si>
  <si>
    <t>001!0611861804050</t>
  </si>
  <si>
    <t>DIANTH SUNFLOR BEETLE</t>
  </si>
  <si>
    <t>001!0611861805050</t>
  </si>
  <si>
    <t>DIANTH SUNFLOR BOWIE</t>
  </si>
  <si>
    <t>001!0611856917025</t>
  </si>
  <si>
    <t>001!0611861806100</t>
  </si>
  <si>
    <t>DIANTH SUNFLOR CHARMY</t>
  </si>
  <si>
    <t>001!0611856918025</t>
  </si>
  <si>
    <t>001!0611861807100</t>
  </si>
  <si>
    <t>DIANTH SUNFLOR CODY</t>
  </si>
  <si>
    <t>001!0611856919025</t>
  </si>
  <si>
    <t>001!0611861808100</t>
  </si>
  <si>
    <t>DIANTH SUNFLOR COSMOS</t>
  </si>
  <si>
    <t>001!0611856920025</t>
  </si>
  <si>
    <t>001!0611861809100</t>
  </si>
  <si>
    <t>DIANTH SUNFLOR COSMOS LMTD</t>
  </si>
  <si>
    <t>001!0611861810050</t>
  </si>
  <si>
    <t>DIANTH SUNFLOR DYNAMITE</t>
  </si>
  <si>
    <t>001!0611856921025</t>
  </si>
  <si>
    <t>001!0611861811100</t>
  </si>
  <si>
    <t>DIANTH SUNFLOR ESTA</t>
  </si>
  <si>
    <t>001!0611856922025</t>
  </si>
  <si>
    <t>001!0611861812100</t>
  </si>
  <si>
    <t>DIANTH SUNFLOR FAGANZA</t>
  </si>
  <si>
    <t>001!0611856923025</t>
  </si>
  <si>
    <t>001!0611861813100</t>
  </si>
  <si>
    <t>DIANTH SUNFLOR FAGANZA LMTD</t>
  </si>
  <si>
    <t>001!0611861814050</t>
  </si>
  <si>
    <t>DIANTH SUNFLOR FINESSE</t>
  </si>
  <si>
    <t>001!0611856924025</t>
  </si>
  <si>
    <t>001!0611861815100</t>
  </si>
  <si>
    <t>DIANTH SUNFLOR FINESSE LMTD</t>
  </si>
  <si>
    <t>001!0611861816050</t>
  </si>
  <si>
    <t>DIANTH SUNFLOR HAILEY</t>
  </si>
  <si>
    <t>001!0611861817100</t>
  </si>
  <si>
    <t>001!0611884183025</t>
  </si>
  <si>
    <t>DIANTH SUNFLOR HARPER</t>
  </si>
  <si>
    <t>001!0611861818100</t>
  </si>
  <si>
    <t>001!0611884184025</t>
  </si>
  <si>
    <t>DIANTH SUNFLOR KAYLEE</t>
  </si>
  <si>
    <t>001!0611856925025</t>
  </si>
  <si>
    <t>001!0611861819100</t>
  </si>
  <si>
    <t>001!0611861820050</t>
  </si>
  <si>
    <t>DIANTH SUNFLOR LILAC CHARMY</t>
  </si>
  <si>
    <t>001!0611861821050</t>
  </si>
  <si>
    <t>DIANTH SUNFLOR LUIGI</t>
  </si>
  <si>
    <t>001!0611856926025</t>
  </si>
  <si>
    <t>001!0611861822100</t>
  </si>
  <si>
    <t>DIANTH SUNFLOR LUIGI LMTD</t>
  </si>
  <si>
    <t>001!0611861823050</t>
  </si>
  <si>
    <t>DIANTH SUNFLOR MARGARITA</t>
  </si>
  <si>
    <t>001!0611861824050</t>
  </si>
  <si>
    <t>DIANTH SUNFLOR MEGAN</t>
  </si>
  <si>
    <t>001!0611861825050</t>
  </si>
  <si>
    <t>DIANTH SUNFLOR MIMI</t>
  </si>
  <si>
    <t>001!0611856927025</t>
  </si>
  <si>
    <t>001!0611861826100</t>
  </si>
  <si>
    <t>DIANTH SUNFLOR NORAH</t>
  </si>
  <si>
    <t>001!0611861827050</t>
  </si>
  <si>
    <t>DIANTH SUNFLOR PINK FAGANZA</t>
  </si>
  <si>
    <t>001!0611856928025</t>
  </si>
  <si>
    <t>001!0611861828100</t>
  </si>
  <si>
    <t>DIANTH SUNFLOR PK FAGANZA LMTD</t>
  </si>
  <si>
    <t>001!0611861829050</t>
  </si>
  <si>
    <t>DIANTH SUNFLOR RED BULL</t>
  </si>
  <si>
    <t>001!0611861830050</t>
  </si>
  <si>
    <t>DIANTH SUNFLOR RED ESTA</t>
  </si>
  <si>
    <t>001!0611856929025</t>
  </si>
  <si>
    <t>001!0611861831100</t>
  </si>
  <si>
    <t>DIANTH SUNFLOR RILEY</t>
  </si>
  <si>
    <t>001!0611861832100</t>
  </si>
  <si>
    <t>001!0611884185025</t>
  </si>
  <si>
    <t>DIANTH SUNFLOR SASHA</t>
  </si>
  <si>
    <t>001!0611861833050</t>
  </si>
  <si>
    <t>DIANTH SUNFLOR SKYLAR</t>
  </si>
  <si>
    <t>001!0611861834100</t>
  </si>
  <si>
    <t>001!0611884186025</t>
  </si>
  <si>
    <t>DIANTH SUNFLOR SOFIA</t>
  </si>
  <si>
    <t>001!0611856930025</t>
  </si>
  <si>
    <t>001!0611861835100</t>
  </si>
  <si>
    <t>DIANTH SUNFLOR VIVRE</t>
  </si>
  <si>
    <t>001!0611856931025</t>
  </si>
  <si>
    <t>001!0611861836100</t>
  </si>
  <si>
    <t>DIANTH SUNFLOR VIVRE LMTD</t>
  </si>
  <si>
    <t>001!0611861837050</t>
  </si>
  <si>
    <t>DIANTH SUNFLOR VULCANO</t>
  </si>
  <si>
    <t>001!0611856932025</t>
  </si>
  <si>
    <t>001!0611861838100</t>
  </si>
  <si>
    <t>DIANTH SUPER PARFAIT RASPBERRY</t>
  </si>
  <si>
    <t>001!0611834013100</t>
  </si>
  <si>
    <t>DIANTH SUPER PARFAIT RED PPMT</t>
  </si>
  <si>
    <t>001!0611834014100</t>
  </si>
  <si>
    <t>DIANTH SUPER PARFAIT SERIES</t>
  </si>
  <si>
    <t>001!0611834015100</t>
  </si>
  <si>
    <t>DIANTH SUPER PARFAIT STRAWBRY</t>
  </si>
  <si>
    <t>001!0611834016100</t>
  </si>
  <si>
    <t>DIANTH SUPRA PURPLE</t>
  </si>
  <si>
    <t>001!0611834018100</t>
  </si>
  <si>
    <t>DIANTH SWEET SERIES</t>
  </si>
  <si>
    <t>001!0611834019100</t>
  </si>
  <si>
    <t>DIANTH SWEET WILLIAM GENERIC</t>
  </si>
  <si>
    <t>001!0611834020025</t>
  </si>
  <si>
    <t>DIANTH SWEETY PINK</t>
  </si>
  <si>
    <t>001!0611861839100</t>
  </si>
  <si>
    <t>DIANTH SWEETY PURPLE</t>
  </si>
  <si>
    <t>001!0611861840100</t>
  </si>
  <si>
    <t>DIANTH TELSTAR BURGUNDY</t>
  </si>
  <si>
    <t>001!0611834021100</t>
  </si>
  <si>
    <t>DIANTH TELSTAR CARMINE ROSE</t>
  </si>
  <si>
    <t>001!0611834022100</t>
  </si>
  <si>
    <t>DIANTH TELSTAR CORAL</t>
  </si>
  <si>
    <t>001!0611834023100</t>
  </si>
  <si>
    <t>DIANTH TELSTAR CRIMSON</t>
  </si>
  <si>
    <t>001!0611834024100</t>
  </si>
  <si>
    <t>DIANTH TELSTAR MIX</t>
  </si>
  <si>
    <t>001!0611834025100</t>
  </si>
  <si>
    <t>DIANTH TELSTAR PICOTEE</t>
  </si>
  <si>
    <t>001!0611834026100</t>
  </si>
  <si>
    <t>DIANTH TELSTAR PINK</t>
  </si>
  <si>
    <t>001!0611834027100</t>
  </si>
  <si>
    <t>DIANTH TELSTAR PURPLE</t>
  </si>
  <si>
    <t>001!0611834028100</t>
  </si>
  <si>
    <t>DIANTH TELSTAR PURPLE PICOTEE</t>
  </si>
  <si>
    <t>001!0611834029100</t>
  </si>
  <si>
    <t>DIANTH TELSTAR SALMON</t>
  </si>
  <si>
    <t>001!0611834030100</t>
  </si>
  <si>
    <t>DIANTH TELSTAR SCARLET</t>
  </si>
  <si>
    <t>001!0611834031100</t>
  </si>
  <si>
    <t>DIANTH TELSTAR WHITE</t>
  </si>
  <si>
    <t>001!0611834032100</t>
  </si>
  <si>
    <t>DIANTH TINY RUBIES</t>
  </si>
  <si>
    <t>001!0611834033025</t>
  </si>
  <si>
    <t>DIANTH VAMPIRE DELTOIDES</t>
  </si>
  <si>
    <t>001!0611834034025</t>
  </si>
  <si>
    <t>DIANTH VENTI PARF BLUEBERRY EY</t>
  </si>
  <si>
    <t>001!0611834035100</t>
  </si>
  <si>
    <t>DIANTH VENTI PARF CRIMSON</t>
  </si>
  <si>
    <t>001!0611834036100</t>
  </si>
  <si>
    <t>DIANTH VENTI PARF CRIMSON EYE</t>
  </si>
  <si>
    <t>001!0611834037100</t>
  </si>
  <si>
    <t>DIANTH VENTI PARF STRWBRY SHDS</t>
  </si>
  <si>
    <t>001!0611834038100</t>
  </si>
  <si>
    <t>DIANTH WEE WILLIE MIX</t>
  </si>
  <si>
    <t>001!0611834039100</t>
  </si>
  <si>
    <t>DIANTH ZING ROSE DELTOIDES</t>
  </si>
  <si>
    <t>001!0611834040025</t>
  </si>
  <si>
    <t>DIASCI DARLA APPLEBLOSSOM</t>
  </si>
  <si>
    <t>001!0611861841050</t>
  </si>
  <si>
    <t>DIASCI DARLA DEEP SALMON</t>
  </si>
  <si>
    <t>001!0611861842050</t>
  </si>
  <si>
    <t>DIASCI DARLA LIGHT PINK</t>
  </si>
  <si>
    <t>001!0611861843050</t>
  </si>
  <si>
    <t>DIASCI DARLA LIGHT PINK CE0770</t>
  </si>
  <si>
    <t>001!0611861844050</t>
  </si>
  <si>
    <t>DIASCI DARLA ORANGE</t>
  </si>
  <si>
    <t>001!0611861845050</t>
  </si>
  <si>
    <t>DIASCI DARLA RED</t>
  </si>
  <si>
    <t>001!0611861846050</t>
  </si>
  <si>
    <t>DIASCI DARLA ROSE</t>
  </si>
  <si>
    <t>001!0611861847050</t>
  </si>
  <si>
    <t>DIASCI DARLA WHITE</t>
  </si>
  <si>
    <t>001!0611861848050</t>
  </si>
  <si>
    <t>DIASCI DIASCIA GENERIC</t>
  </si>
  <si>
    <t>001!0611834042100</t>
  </si>
  <si>
    <t>DIASCI GENTA SERIES</t>
  </si>
  <si>
    <t>001!0611834043100</t>
  </si>
  <si>
    <t>DIASCI MY DARLING BERRY</t>
  </si>
  <si>
    <t>001!0611861849050</t>
  </si>
  <si>
    <t>DIASCI MY DARLING PEACH</t>
  </si>
  <si>
    <t>001!0611861850050</t>
  </si>
  <si>
    <t>DIASCI MY DARLING TANGERINE</t>
  </si>
  <si>
    <t>001!0611861851050</t>
  </si>
  <si>
    <t>DIASCI MY DARLING WHITE</t>
  </si>
  <si>
    <t>001!0611861852050</t>
  </si>
  <si>
    <t>DIASCI TRINITY GRACE</t>
  </si>
  <si>
    <t>001!0611884187100</t>
  </si>
  <si>
    <t>DIASCI TRINITY SUNSET</t>
  </si>
  <si>
    <t>001!0611834044100</t>
  </si>
  <si>
    <t>DICENT ALBA SPECTABILIS</t>
  </si>
  <si>
    <t>001!0611834045025</t>
  </si>
  <si>
    <t>DICENT EXIMIA</t>
  </si>
  <si>
    <t>001!0611834046025</t>
  </si>
  <si>
    <t>DICENT GOLD HEART</t>
  </si>
  <si>
    <t>001!0611834047025</t>
  </si>
  <si>
    <t>DICENT LUXURIANT</t>
  </si>
  <si>
    <t>001!0611834049025</t>
  </si>
  <si>
    <t>DICENT OLD FASHIONED</t>
  </si>
  <si>
    <t>001!0611834050025</t>
  </si>
  <si>
    <t>DICHON EMERALD FALLS</t>
  </si>
  <si>
    <t>001!0611834051100</t>
  </si>
  <si>
    <t>DICHON SILVER FALLS</t>
  </si>
  <si>
    <t>001!0611834052100</t>
  </si>
  <si>
    <t>DIDELT SILVER STRAND</t>
  </si>
  <si>
    <t>001!0611834053100</t>
  </si>
  <si>
    <t>DIEFFE CAMILLE</t>
  </si>
  <si>
    <t>001!0611834054100</t>
  </si>
  <si>
    <t>DIEFFE DIEFFENBACHIA GENERIC</t>
  </si>
  <si>
    <t>001!0611834055100</t>
  </si>
  <si>
    <t>DIGIPL BERRY CANARY</t>
  </si>
  <si>
    <t>001!0611861853100</t>
  </si>
  <si>
    <t>DIGIPL ILLUMINATION FLAME</t>
  </si>
  <si>
    <t>001!0611861854100</t>
  </si>
  <si>
    <t>DIGIPL ILLUMINATION FLAME LMTD</t>
  </si>
  <si>
    <t>001!0611861855050</t>
  </si>
  <si>
    <t>DIGIPL ILLUMINATION RSPBRY LMT</t>
  </si>
  <si>
    <t>001!0611861856100</t>
  </si>
  <si>
    <t>001!0611861857050</t>
  </si>
  <si>
    <t>DIGITA APRICOT PURPUREA</t>
  </si>
  <si>
    <t>001!0611834057025</t>
  </si>
  <si>
    <t>DIGITA ARCTIC FOX ROSE</t>
  </si>
  <si>
    <t>001!0611834058025</t>
  </si>
  <si>
    <t>DIGITA CAMELOT CREAM</t>
  </si>
  <si>
    <t>001!0611834059025</t>
  </si>
  <si>
    <t>DIGITA CAMELOT LAV</t>
  </si>
  <si>
    <t>001!0611834060025</t>
  </si>
  <si>
    <t>DIGITA CAMELOT MIX</t>
  </si>
  <si>
    <t>001!0611834061025</t>
  </si>
  <si>
    <t>DIGITA CAMELOT ROSE</t>
  </si>
  <si>
    <t>001!0611834062025</t>
  </si>
  <si>
    <t>DIGITA CAMELOT WHITE</t>
  </si>
  <si>
    <t>001!0611834063025</t>
  </si>
  <si>
    <t>DIGITA CANDY MOUNTAIN</t>
  </si>
  <si>
    <t>001!0611834064025</t>
  </si>
  <si>
    <t>DIGITA DALMATIAN CREME PURPRA</t>
  </si>
  <si>
    <t>001!0611834065025</t>
  </si>
  <si>
    <t>DIGITA DALMATIAN MIX PURPUREA</t>
  </si>
  <si>
    <t>001!0611834066100</t>
  </si>
  <si>
    <t>001!0611834067025</t>
  </si>
  <si>
    <t>DIGITA DALMATIAN PEACH PURPRA</t>
  </si>
  <si>
    <t>001!0611834068025</t>
  </si>
  <si>
    <t>DIGITA DALMATIAN PPL PURPUREA</t>
  </si>
  <si>
    <t>001!0611834069025</t>
  </si>
  <si>
    <t>DIGITA DALMATIAN ROSE PURPUREA</t>
  </si>
  <si>
    <t>001!0611834070025</t>
  </si>
  <si>
    <t>DIGITA DALMATIAN WH PURPUREA</t>
  </si>
  <si>
    <t>001!0611834071025</t>
  </si>
  <si>
    <t>DIGITA DIGIPLEXIS ILLUMIN FLM</t>
  </si>
  <si>
    <t>001!0611834072025</t>
  </si>
  <si>
    <t>DIGITA EXCELSIOR HYBRID PURPRA</t>
  </si>
  <si>
    <t>001!0611834074025</t>
  </si>
  <si>
    <t>DIGITA FOXGLOVE GNRC PURPUREA</t>
  </si>
  <si>
    <t>001!0611834075100</t>
  </si>
  <si>
    <t>001!0611834076025</t>
  </si>
  <si>
    <t>DIGITA FOXLIGHT PLUM GOLD</t>
  </si>
  <si>
    <t>001!0611834077025</t>
  </si>
  <si>
    <t>DIGITA FOXLIGHT ROSE IVORY</t>
  </si>
  <si>
    <t>001!0611834078025</t>
  </si>
  <si>
    <t>DIGITA FOXLIGHT RUBY GLOW</t>
  </si>
  <si>
    <t>001!0611834079025</t>
  </si>
  <si>
    <t>DIGITA FOXY</t>
  </si>
  <si>
    <t>001!0611834080100</t>
  </si>
  <si>
    <t>DIGITA FOXY PURPUREA</t>
  </si>
  <si>
    <t>001!0611834081100</t>
  </si>
  <si>
    <t>001!0611834082025</t>
  </si>
  <si>
    <t>DIGITA PINK PANTHER</t>
  </si>
  <si>
    <t>001!0611834083025</t>
  </si>
  <si>
    <t>DIGITA STRAWBERRY MERTONENSIS</t>
  </si>
  <si>
    <t>001!0611834084025</t>
  </si>
  <si>
    <t>DIGITA YELLOW FOXGLOVE GENERIC</t>
  </si>
  <si>
    <t>001!0611834085025</t>
  </si>
  <si>
    <t>DILL BOUQUET</t>
  </si>
  <si>
    <t>001!0611830719100</t>
  </si>
  <si>
    <t>001!0611884188025</t>
  </si>
  <si>
    <t>DILL DUKAT</t>
  </si>
  <si>
    <t>001!0611830723100</t>
  </si>
  <si>
    <t>DILL FERNLEAF</t>
  </si>
  <si>
    <t>001!0611830724100</t>
  </si>
  <si>
    <t>001!0611830725025</t>
  </si>
  <si>
    <t>DILL GENERIC</t>
  </si>
  <si>
    <t>001!0611830720100</t>
  </si>
  <si>
    <t>001!0611830721200</t>
  </si>
  <si>
    <t>001!0611830722025</t>
  </si>
  <si>
    <t>DIPLAD FLORDENIA DARK RED</t>
  </si>
  <si>
    <t>001!0611884189050</t>
  </si>
  <si>
    <t>DIPLAD FLORDENIA PINK</t>
  </si>
  <si>
    <t>001!0611884190050</t>
  </si>
  <si>
    <t>DIPLAD FLORDENIA RED VELVET</t>
  </si>
  <si>
    <t>001!0611884191050</t>
  </si>
  <si>
    <t>DIPLAD FLORDENIA ROSE</t>
  </si>
  <si>
    <t>001!0611884192050</t>
  </si>
  <si>
    <t>DIPLAD FLORDENIA SUMMER RED</t>
  </si>
  <si>
    <t>001!0611884193050</t>
  </si>
  <si>
    <t>DIPLAD GENERIC</t>
  </si>
  <si>
    <t>001!0611834087100</t>
  </si>
  <si>
    <t>DIPLAD MADINIA BEAUTY PK</t>
  </si>
  <si>
    <t>001!0611861858050</t>
  </si>
  <si>
    <t>DIPLAD MADINIA CORAL PINK</t>
  </si>
  <si>
    <t>001!0611861859050</t>
  </si>
  <si>
    <t>DIPLAD MADINIA DEEP RED</t>
  </si>
  <si>
    <t>001!0611861860050</t>
  </si>
  <si>
    <t>DIPLAD MADINIA ELEG VELVET RED</t>
  </si>
  <si>
    <t>001!0611861862050</t>
  </si>
  <si>
    <t>DIPLAD MADINIA MAXIMO LT PINK</t>
  </si>
  <si>
    <t>001!0611861863050</t>
  </si>
  <si>
    <t>DIPLAD MADINIA MAXIMO RED</t>
  </si>
  <si>
    <t>001!0611861865050</t>
  </si>
  <si>
    <t>DIPLAD MADINIA PINK</t>
  </si>
  <si>
    <t>001!0611861866050</t>
  </si>
  <si>
    <t>DIPLAD MADINIA WHITE</t>
  </si>
  <si>
    <t>001!0611861868050</t>
  </si>
  <si>
    <t>DIPLAD RIO HOT PINK</t>
  </si>
  <si>
    <t>001!0611861870050</t>
  </si>
  <si>
    <t>DIPLAD RIO MEGA RED</t>
  </si>
  <si>
    <t>001!0611861871050</t>
  </si>
  <si>
    <t>DIPLAD RIO PINK STAR</t>
  </si>
  <si>
    <t>001!0611861872050</t>
  </si>
  <si>
    <t>DISH GARDENS GENERIC</t>
  </si>
  <si>
    <t>001!0611834088100</t>
  </si>
  <si>
    <t>DORONI LEONARDO COMPACT YELLOW</t>
  </si>
  <si>
    <t>001!0611834090100</t>
  </si>
  <si>
    <t>DORONI LITTLE LEO</t>
  </si>
  <si>
    <t>001!0611834091025</t>
  </si>
  <si>
    <t>DOROTH MEZOO TRAILING RED</t>
  </si>
  <si>
    <t>001!0611861873050</t>
  </si>
  <si>
    <t>DRACAE CMPCTA PINEAPPLE</t>
  </si>
  <si>
    <t>001!0611834092100</t>
  </si>
  <si>
    <t>DRACAE CORDYLINE SPIKES</t>
  </si>
  <si>
    <t>001!0611834099025</t>
  </si>
  <si>
    <t>DRACAE DRACAENA GENERIC</t>
  </si>
  <si>
    <t>001!0611834093100</t>
  </si>
  <si>
    <t>DRACAE DRAGON TREE MARGINATA</t>
  </si>
  <si>
    <t>001!0611834095100</t>
  </si>
  <si>
    <t>DRACAE LUCKY BAMBOO</t>
  </si>
  <si>
    <t>001!0611834094025</t>
  </si>
  <si>
    <t>DRACAE MASSANGEANA</t>
  </si>
  <si>
    <t>001!0611834096100</t>
  </si>
  <si>
    <t>DRACAE SPIKES GENERIC</t>
  </si>
  <si>
    <t>001!0611834097100</t>
  </si>
  <si>
    <t>DRACAE SPIKES GNRC BLNGL DSIGN</t>
  </si>
  <si>
    <t>001!0611834098100</t>
  </si>
  <si>
    <t>DRACAE WARNECKII</t>
  </si>
  <si>
    <t>001!0611834100100</t>
  </si>
  <si>
    <t>DURANT AUREA</t>
  </si>
  <si>
    <t>001!0611834103100</t>
  </si>
  <si>
    <t>DURANT AUREA GOLDEN</t>
  </si>
  <si>
    <t>001!0611861874050</t>
  </si>
  <si>
    <t>DURANT GOLD EDGE</t>
  </si>
  <si>
    <t>001!0611834104100</t>
  </si>
  <si>
    <t>ECHEVE AFFINIS</t>
  </si>
  <si>
    <t>001!0611861875100</t>
  </si>
  <si>
    <t>ECHEVE AFTERGLOW</t>
  </si>
  <si>
    <t>001!0611861876100</t>
  </si>
  <si>
    <t>ECHEVE AGAVOIDES</t>
  </si>
  <si>
    <t>001!0611861877100</t>
  </si>
  <si>
    <t>ECHEVE AMOENA</t>
  </si>
  <si>
    <t>001!0611861878100</t>
  </si>
  <si>
    <t>ECHEVE APUS</t>
  </si>
  <si>
    <t>001!0611861879100</t>
  </si>
  <si>
    <t>ECHEVE BENITSUKASA</t>
  </si>
  <si>
    <t>001!0611861880100</t>
  </si>
  <si>
    <t>ECHEVE BLACK PRINCE</t>
  </si>
  <si>
    <t>001!0611861881100</t>
  </si>
  <si>
    <t>ECHEVE BLACK PRINCE HEN N CHCK</t>
  </si>
  <si>
    <t>001!0611834106100</t>
  </si>
  <si>
    <t>ECHEVE BLUE BIRD</t>
  </si>
  <si>
    <t>001!0611861882100</t>
  </si>
  <si>
    <t>ECHEVE BLUE PEACOCKII</t>
  </si>
  <si>
    <t>001!0611834107100</t>
  </si>
  <si>
    <t>ECHEVE BLUE PRINCE</t>
  </si>
  <si>
    <t>001!0611861883100</t>
  </si>
  <si>
    <t>ECHEVE BROWN ROSE</t>
  </si>
  <si>
    <t>001!0611861884100</t>
  </si>
  <si>
    <t>ECHEVE BURGUNDY PEARL</t>
  </si>
  <si>
    <t>001!0611861885100</t>
  </si>
  <si>
    <t>ECHEVE CANADIAN</t>
  </si>
  <si>
    <t>001!0611861886100</t>
  </si>
  <si>
    <t>ECHEVE CORAL REEF SERIES</t>
  </si>
  <si>
    <t>001!0611884194100</t>
  </si>
  <si>
    <t>ECHEVE CRENULATA</t>
  </si>
  <si>
    <t>001!0611861887100</t>
  </si>
  <si>
    <t>ECHEVE DARK PURPLE</t>
  </si>
  <si>
    <t>001!0611861888100</t>
  </si>
  <si>
    <t>ECHEVE DARK RED</t>
  </si>
  <si>
    <t>001!0611861889100</t>
  </si>
  <si>
    <t>ECHEVE DIFRACTENS</t>
  </si>
  <si>
    <t>001!0611861890100</t>
  </si>
  <si>
    <t>ECHEVE DOMINGO</t>
  </si>
  <si>
    <t>001!0611861891100</t>
  </si>
  <si>
    <t>ECHEVE EBONY</t>
  </si>
  <si>
    <t>001!0611861892100</t>
  </si>
  <si>
    <t>ECHEVE ECHOC</t>
  </si>
  <si>
    <t>001!0611861893100</t>
  </si>
  <si>
    <t>ECHEVE ELEGANS</t>
  </si>
  <si>
    <t>001!0611861894100</t>
  </si>
  <si>
    <t>ECHEVE ELEGANS BLUE</t>
  </si>
  <si>
    <t>001!0611861895100</t>
  </si>
  <si>
    <t>ECHEVE FABIOLA</t>
  </si>
  <si>
    <t>001!0611861896100</t>
  </si>
  <si>
    <t>ECHEVE FIRST LADY</t>
  </si>
  <si>
    <t>001!0611861897100</t>
  </si>
  <si>
    <t>ECHEVE FROSTY</t>
  </si>
  <si>
    <t>001!0611861898100</t>
  </si>
  <si>
    <t>ECHEVE GENERIC</t>
  </si>
  <si>
    <t>001!0611834108100</t>
  </si>
  <si>
    <t>ECHEVE GIANT BLUE</t>
  </si>
  <si>
    <t>001!0611861899100</t>
  </si>
  <si>
    <t>ECHEVE GILVA</t>
  </si>
  <si>
    <t>001!0611861900100</t>
  </si>
  <si>
    <t>ECHEVE GLIVA CN2086</t>
  </si>
  <si>
    <t>001!0611861901100</t>
  </si>
  <si>
    <t>ECHEVE GLOBULOSA</t>
  </si>
  <si>
    <t>001!0611861902100</t>
  </si>
  <si>
    <t>ECHEVE GREEN DELIGHT</t>
  </si>
  <si>
    <t>001!0611861903100</t>
  </si>
  <si>
    <t>ECHEVE GREEN PACIFIC</t>
  </si>
  <si>
    <t>001!0611861904100</t>
  </si>
  <si>
    <t>ECHEVE GREEN PEARL</t>
  </si>
  <si>
    <t>001!0611861905100</t>
  </si>
  <si>
    <t>ECHEVE HEN N CHICKS</t>
  </si>
  <si>
    <t>001!0611861906050</t>
  </si>
  <si>
    <t>ECHEVE HEN N CHICKS GENERIC</t>
  </si>
  <si>
    <t>001!0611834109100</t>
  </si>
  <si>
    <t>ECHEVE HEN N CHICKS HAAGAI</t>
  </si>
  <si>
    <t>001!0611834110100</t>
  </si>
  <si>
    <t>ECHEVE HERCULES</t>
  </si>
  <si>
    <t>001!0611861907100</t>
  </si>
  <si>
    <t>ECHEVE HOLLY GATE</t>
  </si>
  <si>
    <t>001!0611861908100</t>
  </si>
  <si>
    <t>ECHEVE HOOKERII</t>
  </si>
  <si>
    <t>001!0611861909100</t>
  </si>
  <si>
    <t>ECHEVE IMBRICATA GREEN</t>
  </si>
  <si>
    <t>001!0611861910100</t>
  </si>
  <si>
    <t>ECHEVE JADE POINT</t>
  </si>
  <si>
    <t>001!0611861911100</t>
  </si>
  <si>
    <t>ECHEVE LEMAIRE</t>
  </si>
  <si>
    <t>001!0611861912100</t>
  </si>
  <si>
    <t>ECHEVE LILACINA</t>
  </si>
  <si>
    <t>001!0611861913100</t>
  </si>
  <si>
    <t>ECHEVE LOLA</t>
  </si>
  <si>
    <t>001!0611861914100</t>
  </si>
  <si>
    <t>ECHEVE MAMBA</t>
  </si>
  <si>
    <t>001!0611884195100</t>
  </si>
  <si>
    <t>ECHEVE MENSA</t>
  </si>
  <si>
    <t>001!0611861915100</t>
  </si>
  <si>
    <t>ECHEVE MEXICANA</t>
  </si>
  <si>
    <t>001!0611861916100</t>
  </si>
  <si>
    <t>ECHEVE MIRA</t>
  </si>
  <si>
    <t>001!0611861917100</t>
  </si>
  <si>
    <t>ECHEVE MORANII</t>
  </si>
  <si>
    <t>001!0611861918100</t>
  </si>
  <si>
    <t>ECHEVE NODULOSA</t>
  </si>
  <si>
    <t>001!0611861919100</t>
  </si>
  <si>
    <t>ECHEVE ORION</t>
  </si>
  <si>
    <t>001!0611861920100</t>
  </si>
  <si>
    <t>ECHEVE PARVA</t>
  </si>
  <si>
    <t>001!0611861921100</t>
  </si>
  <si>
    <t>ECHEVE PEARL OF NEURENBERG</t>
  </si>
  <si>
    <t>001!0611861922100</t>
  </si>
  <si>
    <t>ECHEVE PELUSIDA</t>
  </si>
  <si>
    <t>001!0611861923100</t>
  </si>
  <si>
    <t>ECHEVE PERLE HEN N CHICKS</t>
  </si>
  <si>
    <t>001!0611834111100</t>
  </si>
  <si>
    <t>ECHEVE PINK EDGE</t>
  </si>
  <si>
    <t>001!0611861924100</t>
  </si>
  <si>
    <t>ECHEVE PINK FRILLS</t>
  </si>
  <si>
    <t>001!0611861925100</t>
  </si>
  <si>
    <t>ECHEVE POLLUX</t>
  </si>
  <si>
    <t>001!0611861926100</t>
  </si>
  <si>
    <t>ECHEVE PRP PEARL OF NEURENBERG</t>
  </si>
  <si>
    <t>001!0611861929100</t>
  </si>
  <si>
    <t>ECHEVE PULVINATA</t>
  </si>
  <si>
    <t>001!0611861927100</t>
  </si>
  <si>
    <t>ECHEVE PUMILA GLAUCA</t>
  </si>
  <si>
    <t>001!0611861928100</t>
  </si>
  <si>
    <t>ECHEVE PURPUREUM</t>
  </si>
  <si>
    <t>001!0611861930100</t>
  </si>
  <si>
    <t>ECHEVE RED SHADE</t>
  </si>
  <si>
    <t>001!0611861931100</t>
  </si>
  <si>
    <t>ECHEVE RED TIP</t>
  </si>
  <si>
    <t>001!0611861932100</t>
  </si>
  <si>
    <t>ECHEVE ROSEA</t>
  </si>
  <si>
    <t>001!0611861933100</t>
  </si>
  <si>
    <t>ECHEVE RUBY STAR</t>
  </si>
  <si>
    <t>001!0611861934100</t>
  </si>
  <si>
    <t>ECHEVE RUNDELLI</t>
  </si>
  <si>
    <t>001!0611861935100</t>
  </si>
  <si>
    <t>ECHEVE RUSBYI</t>
  </si>
  <si>
    <t>001!0611861936100</t>
  </si>
  <si>
    <t>ECHEVE SAGITA</t>
  </si>
  <si>
    <t>001!0611861937100</t>
  </si>
  <si>
    <t>ECHEVE SANYATWE</t>
  </si>
  <si>
    <t>001!0611861938100</t>
  </si>
  <si>
    <t>ECHEVE SCHEIDECKERI</t>
  </si>
  <si>
    <t>001!0611861939100</t>
  </si>
  <si>
    <t>ECHEVE SECUNDA</t>
  </si>
  <si>
    <t>001!0611861940100</t>
  </si>
  <si>
    <t>ECHEVE SERRANA</t>
  </si>
  <si>
    <t>001!0611861941100</t>
  </si>
  <si>
    <t>ECHEVE SETOSA</t>
  </si>
  <si>
    <t>001!0611861942100</t>
  </si>
  <si>
    <t>ECHEVE SETOSA DEMINUTA</t>
  </si>
  <si>
    <t>001!0611861943100</t>
  </si>
  <si>
    <t>ECHEVE SHAVIANA</t>
  </si>
  <si>
    <t>001!0611861944100</t>
  </si>
  <si>
    <t>ECHEVE SILVER QUEEN</t>
  </si>
  <si>
    <t>001!0611861945100</t>
  </si>
  <si>
    <t>ECHEVE SKATER</t>
  </si>
  <si>
    <t>001!0611884196100</t>
  </si>
  <si>
    <t>ECHEVE SUBSESSILIS</t>
  </si>
  <si>
    <t>001!0611861946100</t>
  </si>
  <si>
    <t>ECHEVE TEXENSIS</t>
  </si>
  <si>
    <t>001!0611861947100</t>
  </si>
  <si>
    <t>ECHEVE TOPSY TURVY</t>
  </si>
  <si>
    <t>001!0611834112100</t>
  </si>
  <si>
    <t>ECHEVE TOPSY TURVY CN2087</t>
  </si>
  <si>
    <t>001!0611861948100</t>
  </si>
  <si>
    <t>ECHEVE TOPSY TURVY HYBRID</t>
  </si>
  <si>
    <t>001!0611861949100</t>
  </si>
  <si>
    <t>ECHEVE URBAN YELLOW</t>
  </si>
  <si>
    <t>001!0611884197100</t>
  </si>
  <si>
    <t>ECHEVE VICTOR</t>
  </si>
  <si>
    <t>001!0611861950100</t>
  </si>
  <si>
    <t>ECHINA ARTISAN COLLEC RD OMBRE</t>
  </si>
  <si>
    <t>001!0611834113025</t>
  </si>
  <si>
    <t>ECHINA ARTISAN COLLEC SFT ORN</t>
  </si>
  <si>
    <t>001!0611834114025</t>
  </si>
  <si>
    <t>ECHINA ARTISAN COLLEC YL OMBRE</t>
  </si>
  <si>
    <t>001!0611856933025</t>
  </si>
  <si>
    <t>ECHINA BABY WHITE SWAN</t>
  </si>
  <si>
    <t>001!0611834115025</t>
  </si>
  <si>
    <t>ECHINA BRAVADO PURPUREA</t>
  </si>
  <si>
    <t>001!0611834117025</t>
  </si>
  <si>
    <t>ECHINA CHEYENNE SPIRIT</t>
  </si>
  <si>
    <t>001!0611834119025</t>
  </si>
  <si>
    <t>ECHINA CONEFLOWER GENERIC</t>
  </si>
  <si>
    <t>001!0611856934025</t>
  </si>
  <si>
    <t>ECHINA DBL SCOOP BUBBLE GUM</t>
  </si>
  <si>
    <t>001!0611834120025</t>
  </si>
  <si>
    <t>ECHINA DBL SCOOP CRANBERRY</t>
  </si>
  <si>
    <t>001!0611834121025</t>
  </si>
  <si>
    <t>ECHINA DBL SCOOP LEMON CREAM</t>
  </si>
  <si>
    <t>001!0611834122025</t>
  </si>
  <si>
    <t>ECHINA DBL SCOOP MANDARIN</t>
  </si>
  <si>
    <t>001!0611834123025</t>
  </si>
  <si>
    <t>ECHINA DBL SCOOP ORANGE BERRY</t>
  </si>
  <si>
    <t>001!0611834124025</t>
  </si>
  <si>
    <t>ECHINA DBL SCOOP ORGBRY DELUXE</t>
  </si>
  <si>
    <t>001!0611884198025</t>
  </si>
  <si>
    <t>ECHINA DBL SCOOP RASP DELUXE</t>
  </si>
  <si>
    <t>001!0611884199025</t>
  </si>
  <si>
    <t>ECHINA DBL SCOOP RASPBERRY</t>
  </si>
  <si>
    <t>001!0611834125025</t>
  </si>
  <si>
    <t>ECHINA DBL SCOOP STRAWB DELUXE</t>
  </si>
  <si>
    <t>001!0611884200025</t>
  </si>
  <si>
    <t>ECHINA DBL SCOOP WTRMLN DELUXE</t>
  </si>
  <si>
    <t>001!0611884201025</t>
  </si>
  <si>
    <t>ECHINA GREEN TWISTER PURPUREA</t>
  </si>
  <si>
    <t>001!0611834126025</t>
  </si>
  <si>
    <t>ECHINA GUATEMALA GOLD</t>
  </si>
  <si>
    <t>001!0611884202025</t>
  </si>
  <si>
    <t>ECHINA KIMS KNEE HIGH</t>
  </si>
  <si>
    <t>001!0611834127025</t>
  </si>
  <si>
    <t>ECHINA KISMET INTENSE ORANGE</t>
  </si>
  <si>
    <t>001!0611834128025</t>
  </si>
  <si>
    <t>ECHINA KISMET RASPBERRY</t>
  </si>
  <si>
    <t>001!0611834129025</t>
  </si>
  <si>
    <t>ECHINA KISMET RED</t>
  </si>
  <si>
    <t>001!0611834130025</t>
  </si>
  <si>
    <t>ECHINA KISMET YELLOW</t>
  </si>
  <si>
    <t>001!0611834131025</t>
  </si>
  <si>
    <t>ECHINA MAGNUS</t>
  </si>
  <si>
    <t>001!0611834132100</t>
  </si>
  <si>
    <t>001!0611834133025</t>
  </si>
  <si>
    <t>ECHINA MAGNUS SUPERIOR PURPRA</t>
  </si>
  <si>
    <t>001!0611834134025</t>
  </si>
  <si>
    <t>ECHINA MELLOW YELLOWS PURPUREA</t>
  </si>
  <si>
    <t>001!0611834135025</t>
  </si>
  <si>
    <t>ECHINA PANAMA RED</t>
  </si>
  <si>
    <t>001!0611834136025</t>
  </si>
  <si>
    <t>ECHINA POLLYNATION GLDN SMR MX</t>
  </si>
  <si>
    <t>001!0611884203025</t>
  </si>
  <si>
    <t>ECHINA POLLYNATION MAGENTA</t>
  </si>
  <si>
    <t>001!0611856935025</t>
  </si>
  <si>
    <t>ECHINA POLLYNATION MIX</t>
  </si>
  <si>
    <t>001!0611856936025</t>
  </si>
  <si>
    <t>ECHINA POLLYNATION ORANGE RED</t>
  </si>
  <si>
    <t>001!0611856937025</t>
  </si>
  <si>
    <t>ECHINA POLLYNATION PINK SHADES</t>
  </si>
  <si>
    <t>001!0611884204025</t>
  </si>
  <si>
    <t>ECHINA POLLYNATION WHITE</t>
  </si>
  <si>
    <t>001!0611856938025</t>
  </si>
  <si>
    <t>ECHINA POLLYNATION YELLOW</t>
  </si>
  <si>
    <t>001!0611856939025</t>
  </si>
  <si>
    <t>ECHINA POWWOW WHITE</t>
  </si>
  <si>
    <t>001!0611834137025</t>
  </si>
  <si>
    <t>ECHINA POWWOW WILD BERRY</t>
  </si>
  <si>
    <t>001!0611834138025</t>
  </si>
  <si>
    <t>ECHINA PRAIRIE SPLEND CM DK RS</t>
  </si>
  <si>
    <t>001!0611834140025</t>
  </si>
  <si>
    <t>ECHINA PRAIRIE SPLEND CM WHT</t>
  </si>
  <si>
    <t>001!0611834142025</t>
  </si>
  <si>
    <t>ECHINA PRAIRIE SPLEND D RS CMP</t>
  </si>
  <si>
    <t>001!0611884205025</t>
  </si>
  <si>
    <t>ECHINA PRAIRIE SPLEND RS CMPCT</t>
  </si>
  <si>
    <t>001!0611834141025</t>
  </si>
  <si>
    <t>ECHINA PRAIRIE SPLENDOR DP RS</t>
  </si>
  <si>
    <t>001!0611834143025</t>
  </si>
  <si>
    <t>ECHINA PRIMADONNA DP RS PURPRA</t>
  </si>
  <si>
    <t>001!0611834146025</t>
  </si>
  <si>
    <t>ECHINA PRIMADONNA WH PURPUREA</t>
  </si>
  <si>
    <t>001!0611834147025</t>
  </si>
  <si>
    <t>ECHINA PURPLE PURPUREA</t>
  </si>
  <si>
    <t>001!0611834148025</t>
  </si>
  <si>
    <t>ECHINA RUBY STAR</t>
  </si>
  <si>
    <t>001!0611834149025</t>
  </si>
  <si>
    <t>ECHINA SOMBRERO ADOBE ORANGE</t>
  </si>
  <si>
    <t>001!0611834150025</t>
  </si>
  <si>
    <t>ECHINA SOMBRERO BAJA BURGUNDY</t>
  </si>
  <si>
    <t>001!0611834151025</t>
  </si>
  <si>
    <t>ECHINA SOMBRERO BLANCO</t>
  </si>
  <si>
    <t>001!0611834152025</t>
  </si>
  <si>
    <t>ECHINA SOMBRERO FIESTA ORANGE</t>
  </si>
  <si>
    <t>001!0611834153025</t>
  </si>
  <si>
    <t>ECHINA SOMBRERO FLAMENCO ORNG</t>
  </si>
  <si>
    <t>001!0611834154025</t>
  </si>
  <si>
    <t>ECHINA SOMBRERO GRANADA GOLD</t>
  </si>
  <si>
    <t>001!0611834155025</t>
  </si>
  <si>
    <t>ECHINA SOMBRERO HOT CORAL</t>
  </si>
  <si>
    <t>001!0611834156025</t>
  </si>
  <si>
    <t>ECHINA SOMBRERO LEMON YELLOW</t>
  </si>
  <si>
    <t>001!0611834157025</t>
  </si>
  <si>
    <t>ECHINA SOMBRERO POCO HOT CORAL</t>
  </si>
  <si>
    <t>001!0611834158025</t>
  </si>
  <si>
    <t>ECHINA SOMBRERO POCO HOT PINK</t>
  </si>
  <si>
    <t>001!0611856940025</t>
  </si>
  <si>
    <t>ECHINA SOMBRERO POCO RED</t>
  </si>
  <si>
    <t>001!0611856941025</t>
  </si>
  <si>
    <t>ECHINA SOMBRERO POCO WHITE</t>
  </si>
  <si>
    <t>001!0611856942025</t>
  </si>
  <si>
    <t>ECHINA SOMBRERO POCO YELLOW</t>
  </si>
  <si>
    <t>001!0611834159025</t>
  </si>
  <si>
    <t>ECHINA SOMBRERO ROSADA</t>
  </si>
  <si>
    <t>001!0611834160025</t>
  </si>
  <si>
    <t>ECHINA SOMBRERO SALSA RED</t>
  </si>
  <si>
    <t>001!0611834161025</t>
  </si>
  <si>
    <t>ECHINA SOMBRERO SANGRITA</t>
  </si>
  <si>
    <t>001!0611834163025</t>
  </si>
  <si>
    <t>ECHINA SOMBRERO SUMMER SOLSTCE</t>
  </si>
  <si>
    <t>001!0611834164025</t>
  </si>
  <si>
    <t>ECHINA SOMBRERO TANGERINE</t>
  </si>
  <si>
    <t>001!0611834165025</t>
  </si>
  <si>
    <t>ECHINA SOMBRERO TRES AMIGOS</t>
  </si>
  <si>
    <t>001!0611834166025</t>
  </si>
  <si>
    <t>ECHINA WHITE SWAN PURPUREA</t>
  </si>
  <si>
    <t>001!0611834170100</t>
  </si>
  <si>
    <t>001!0611834171025</t>
  </si>
  <si>
    <t>ECHINA YELLOW PARADOXA</t>
  </si>
  <si>
    <t>001!0611834172025</t>
  </si>
  <si>
    <t>ECHINO GLOBE THISTLE GENERIC</t>
  </si>
  <si>
    <t>001!0611834173025</t>
  </si>
  <si>
    <t>EGGPLA AMETHYST</t>
  </si>
  <si>
    <t>001!0611839352100</t>
  </si>
  <si>
    <t>EGGPLA ASIAN DELITE</t>
  </si>
  <si>
    <t>001!0611839353100</t>
  </si>
  <si>
    <t>EGGPLA BLACK BEAUTY</t>
  </si>
  <si>
    <t>001!0611839354100</t>
  </si>
  <si>
    <t>001!0611839355200</t>
  </si>
  <si>
    <t>EGGPLA BLACK MAGIC HYBRID</t>
  </si>
  <si>
    <t>001!0611839356100</t>
  </si>
  <si>
    <t>EGGPLA CLASSIC</t>
  </si>
  <si>
    <t>001!0611839357100</t>
  </si>
  <si>
    <t>001!0611839358200</t>
  </si>
  <si>
    <t>EGGPLA CLOUD NINE</t>
  </si>
  <si>
    <t>001!0611839359100</t>
  </si>
  <si>
    <t>EGGPLA DUSKY</t>
  </si>
  <si>
    <t>001!0611839360100</t>
  </si>
  <si>
    <t>EGGPLA EGGPLANT GENERIC</t>
  </si>
  <si>
    <t>001!0611839361100</t>
  </si>
  <si>
    <t>EGGPLA FAIRY TALE</t>
  </si>
  <si>
    <t>001!0611839362100</t>
  </si>
  <si>
    <t>EGGPLA FULL MOON</t>
  </si>
  <si>
    <t>001!0611839363100</t>
  </si>
  <si>
    <t>EGGPLA GHOSTBUSTER</t>
  </si>
  <si>
    <t>001!0611839364100</t>
  </si>
  <si>
    <t>EGGPLA GOURMET LONG ORIENTAL</t>
  </si>
  <si>
    <t>001!0611839365100</t>
  </si>
  <si>
    <t>EGGPLA GRETEL</t>
  </si>
  <si>
    <t>001!0611839366100</t>
  </si>
  <si>
    <t>EGGPLA HANSEL</t>
  </si>
  <si>
    <t>001!0611839367100</t>
  </si>
  <si>
    <t>EGGPLA ICHIBAN</t>
  </si>
  <si>
    <t>001!0611839368100</t>
  </si>
  <si>
    <t>EGGPLA ICICLE</t>
  </si>
  <si>
    <t>001!0611856943100</t>
  </si>
  <si>
    <t>EGGPLA ITALIAN PINK BICOLOR</t>
  </si>
  <si>
    <t>001!0611839369100</t>
  </si>
  <si>
    <t>EGGPLA IVORY</t>
  </si>
  <si>
    <t>001!0611839370100</t>
  </si>
  <si>
    <t>EGGPLA JAPANESE LONG</t>
  </si>
  <si>
    <t>001!0611839371100</t>
  </si>
  <si>
    <t>EGGPLA LITTLE FINGERS</t>
  </si>
  <si>
    <t>001!0611839373100</t>
  </si>
  <si>
    <t>EGGPLA MILLIONAIRE</t>
  </si>
  <si>
    <t>001!0611839374100</t>
  </si>
  <si>
    <t>EGGPLA NEON</t>
  </si>
  <si>
    <t>001!0611839375100</t>
  </si>
  <si>
    <t>EGGPLA PATIO BABY</t>
  </si>
  <si>
    <t>001!0611839376100</t>
  </si>
  <si>
    <t>EGGPLA PROSPEROSA</t>
  </si>
  <si>
    <t>001!0611856944100</t>
  </si>
  <si>
    <t>EGGPLA ROSA BIANCA</t>
  </si>
  <si>
    <t>001!0611856945100</t>
  </si>
  <si>
    <t>EGGPLA SATIN BEAUTY</t>
  </si>
  <si>
    <t>001!0611839377100</t>
  </si>
  <si>
    <t>EGGPLA SATIN MOON</t>
  </si>
  <si>
    <t>001!0611839378100</t>
  </si>
  <si>
    <t>EGGPLA SHIKOU</t>
  </si>
  <si>
    <t>001!0611839379100</t>
  </si>
  <si>
    <t>EGGPLA SHOYA LONG</t>
  </si>
  <si>
    <t>001!0611856946100</t>
  </si>
  <si>
    <t>EGGPLA VICTORIA</t>
  </si>
  <si>
    <t>001!0611839381100</t>
  </si>
  <si>
    <t>EGGPLA WHITE</t>
  </si>
  <si>
    <t>001!0611839382100</t>
  </si>
  <si>
    <t>EPAZOT GENERIC</t>
  </si>
  <si>
    <t>001!0611832928100</t>
  </si>
  <si>
    <t>EPIMED RUBRUM</t>
  </si>
  <si>
    <t>001!0611834177025</t>
  </si>
  <si>
    <t>EPIPHY ANGULIGER</t>
  </si>
  <si>
    <t>001!0611861951100</t>
  </si>
  <si>
    <t>EPIPHY FISHBONE TYPES</t>
  </si>
  <si>
    <t>001!0611884206100</t>
  </si>
  <si>
    <t>EPIPRE AUREUM</t>
  </si>
  <si>
    <t>001!0611834178100</t>
  </si>
  <si>
    <t>EPIPRE MARBLE QUEEN AUREUM</t>
  </si>
  <si>
    <t>001!0611834179100</t>
  </si>
  <si>
    <t>EPIPRE POTHOS GENERIC</t>
  </si>
  <si>
    <t>001!0611834180100</t>
  </si>
  <si>
    <t>001!0611834181100</t>
  </si>
  <si>
    <t>ERIANT RAVENNAE</t>
  </si>
  <si>
    <t>001!0611834183025</t>
  </si>
  <si>
    <t>ERIGER AZURE FAIRY</t>
  </si>
  <si>
    <t>001!0611834184025</t>
  </si>
  <si>
    <t>ERIGER PRUSION KARAVINSKIANUS</t>
  </si>
  <si>
    <t>001!0611834185100</t>
  </si>
  <si>
    <t>ERODIU BISHOPS FORM</t>
  </si>
  <si>
    <t>001!0611834187025</t>
  </si>
  <si>
    <t>ERODIU HERONS BILL GENERIC</t>
  </si>
  <si>
    <t>001!0611834188025</t>
  </si>
  <si>
    <t>ERUCA SIMPLYSALAD ARUGULA</t>
  </si>
  <si>
    <t>001!0611834191025</t>
  </si>
  <si>
    <t>ERYNGI BLUE GLITTER PLANUM</t>
  </si>
  <si>
    <t>001!0611834193025</t>
  </si>
  <si>
    <t>ERYNGI BLUE HOBBIT</t>
  </si>
  <si>
    <t>001!0611834192025</t>
  </si>
  <si>
    <t>ERYSIM BERRY LEMONADE</t>
  </si>
  <si>
    <t>001!0611861953100</t>
  </si>
  <si>
    <t>001!0611861954050</t>
  </si>
  <si>
    <t>ERYSIM BOWLES MAUVE</t>
  </si>
  <si>
    <t>001!0611834195100</t>
  </si>
  <si>
    <t>001!0611834196025</t>
  </si>
  <si>
    <t>ERYSIM CHARITY MIX</t>
  </si>
  <si>
    <t>001!0611834198100</t>
  </si>
  <si>
    <t>ERYSIM CITRIC</t>
  </si>
  <si>
    <t>001!0611861955100</t>
  </si>
  <si>
    <t>ERYSIM CITRONA ORANGE</t>
  </si>
  <si>
    <t>001!0611834203025</t>
  </si>
  <si>
    <t>ERYSIM CITRONA YELLOW</t>
  </si>
  <si>
    <t>001!0611834204025</t>
  </si>
  <si>
    <t>ERYSIM ERYSISTIBLE FORTE MGNTA</t>
  </si>
  <si>
    <t>001!0611834205025</t>
  </si>
  <si>
    <t>ERYSIM ERYSISTIBLE SERIES</t>
  </si>
  <si>
    <t>001!0611884207100</t>
  </si>
  <si>
    <t>ERYSIM ERYSISTIBLE SUNSET</t>
  </si>
  <si>
    <t>001!0611834206025</t>
  </si>
  <si>
    <t>ERYSIM ERYSISTIBLE TRICOLOR</t>
  </si>
  <si>
    <t>001!0611834207025</t>
  </si>
  <si>
    <t>ERYSIM ERYSISTIBLE YELLOW</t>
  </si>
  <si>
    <t>001!0611834208025</t>
  </si>
  <si>
    <t>ERYSIM PEARL</t>
  </si>
  <si>
    <t>001!0611861956100</t>
  </si>
  <si>
    <t>ERYSIM PINK LEMONADE</t>
  </si>
  <si>
    <t>001!0611861957100</t>
  </si>
  <si>
    <t>ERYSIM SUGAR RUSH SERIES</t>
  </si>
  <si>
    <t>001!0611834215100</t>
  </si>
  <si>
    <t>ERYSIM SUNSTRONG SERIES</t>
  </si>
  <si>
    <t>001!0611834216025</t>
  </si>
  <si>
    <t>ERYSIM SUPER BOWL</t>
  </si>
  <si>
    <t>001!0611861958050</t>
  </si>
  <si>
    <t>ERYSIM SUPER BOWL MAUVE</t>
  </si>
  <si>
    <t>001!0611834217025</t>
  </si>
  <si>
    <t>ERYSIM SUPER BOWL PURPLE</t>
  </si>
  <si>
    <t>001!0611834218025</t>
  </si>
  <si>
    <t>ERYSIM SUPER BOWL SUNSET</t>
  </si>
  <si>
    <t>001!0611861959050</t>
  </si>
  <si>
    <t>ERYSIM WALLFLOWER GENERIC</t>
  </si>
  <si>
    <t>001!0611834219025</t>
  </si>
  <si>
    <t>ESCHSC CALIFORNIA GENERIC</t>
  </si>
  <si>
    <t>001!0611834221100</t>
  </si>
  <si>
    <t>EUCALY BABY BLUE BOUQUET</t>
  </si>
  <si>
    <t>001!0611884208100</t>
  </si>
  <si>
    <t>EUCALY CINEREA</t>
  </si>
  <si>
    <t>001!0611834224100</t>
  </si>
  <si>
    <t>EUCALY SILVER DOLLAR</t>
  </si>
  <si>
    <t>001!0611884209025</t>
  </si>
  <si>
    <t>EUCOMI ALOHA LILY LEIA PINEAPL</t>
  </si>
  <si>
    <t>001!0611861961050</t>
  </si>
  <si>
    <t>EUCOMI ALOHA LILY MAUI PINEAPL</t>
  </si>
  <si>
    <t>001!0611861962050</t>
  </si>
  <si>
    <t>EUCOMI ALOHA LILY NANI PINEAPL</t>
  </si>
  <si>
    <t>001!0611861963050</t>
  </si>
  <si>
    <t>EUCOMI ALOHA LILY TIKI PINEAPL</t>
  </si>
  <si>
    <t>001!0611861964050</t>
  </si>
  <si>
    <t>EUONYM COLORATUS</t>
  </si>
  <si>
    <t>001!0611834225100</t>
  </si>
  <si>
    <t>EUPATO BABY JOE</t>
  </si>
  <si>
    <t>001!0611834227025</t>
  </si>
  <si>
    <t>001!0611861965100</t>
  </si>
  <si>
    <t>EUPATO BABY JOE LMTD</t>
  </si>
  <si>
    <t>001!0611861966050</t>
  </si>
  <si>
    <t>EUPATO CHOCOLATE JOE</t>
  </si>
  <si>
    <t>001!0611861967100</t>
  </si>
  <si>
    <t>EUPATO CHOCOLATE RUGOSUM</t>
  </si>
  <si>
    <t>001!0611834228025</t>
  </si>
  <si>
    <t>EUPATO ELEGANT FEATHER</t>
  </si>
  <si>
    <t>001!0611856947100</t>
  </si>
  <si>
    <t>EUPATO EUPHORIA RUBY PURPUREUM</t>
  </si>
  <si>
    <t>001!0611834229025</t>
  </si>
  <si>
    <t>EUPATO GATEWAY MACULATUM</t>
  </si>
  <si>
    <t>001!0611834230025</t>
  </si>
  <si>
    <t>EUPATO JOE PYE WEED GENERIC</t>
  </si>
  <si>
    <t>001!0611834231025</t>
  </si>
  <si>
    <t>EUPATO LITTLE JOE</t>
  </si>
  <si>
    <t>001!0611834232025</t>
  </si>
  <si>
    <t>001!0611861968100</t>
  </si>
  <si>
    <t>EUPHOR ASCOT RAINBOW</t>
  </si>
  <si>
    <t>001!0611861969100</t>
  </si>
  <si>
    <t>EUPHOR ASCOT RAINBOW LMTD</t>
  </si>
  <si>
    <t>001!0611861970050</t>
  </si>
  <si>
    <t>EUPHOR CUSHION SPURGE</t>
  </si>
  <si>
    <t>001!0611834234100</t>
  </si>
  <si>
    <t>001!0611834235025</t>
  </si>
  <si>
    <t>EUPHOR DIWALI SHOWER</t>
  </si>
  <si>
    <t>001!0611834236100</t>
  </si>
  <si>
    <t>EUPHOR DONKEY TAIL SPURGE</t>
  </si>
  <si>
    <t>001!0611834238025</t>
  </si>
  <si>
    <t>EUPHOR EUPHORIC DBL WHITE</t>
  </si>
  <si>
    <t>001!0611861971050</t>
  </si>
  <si>
    <t>EUPHOR EUPHORIC WHITE</t>
  </si>
  <si>
    <t>001!0611861972050</t>
  </si>
  <si>
    <t>EUPHOR FIRESTICKS TIRUCALLI</t>
  </si>
  <si>
    <t>001!0611834239100</t>
  </si>
  <si>
    <t>EUPHOR GLACIER BLUE</t>
  </si>
  <si>
    <t>001!0611861973100</t>
  </si>
  <si>
    <t>EUPHOR GLAMOUR</t>
  </si>
  <si>
    <t>001!0611834240100</t>
  </si>
  <si>
    <t>EUPHOR GLITZ</t>
  </si>
  <si>
    <t>001!0611834241100</t>
  </si>
  <si>
    <t>EUPHOR GLORIA</t>
  </si>
  <si>
    <t>001!0611834242100</t>
  </si>
  <si>
    <t>EUPHOR GOLDEN GLORY</t>
  </si>
  <si>
    <t>001!0611856948025</t>
  </si>
  <si>
    <t>EUPHOR HYPERICIFOLIA</t>
  </si>
  <si>
    <t>001!0611834244100</t>
  </si>
  <si>
    <t>EUPHOR MAXI APHRODITE</t>
  </si>
  <si>
    <t>001!0611861974050</t>
  </si>
  <si>
    <t>EUPHOR MAXI APOLLON</t>
  </si>
  <si>
    <t>001!0611861975050</t>
  </si>
  <si>
    <t>EUPHOR MAXI ATLAS</t>
  </si>
  <si>
    <t>001!0611861976050</t>
  </si>
  <si>
    <t>EUPHOR MAXI DINNI</t>
  </si>
  <si>
    <t>001!0611861977050</t>
  </si>
  <si>
    <t>EUPHOR MAXI HELENA</t>
  </si>
  <si>
    <t>001!0611861978050</t>
  </si>
  <si>
    <t>EUPHOR MAXI HELIOS</t>
  </si>
  <si>
    <t>001!0611861979050</t>
  </si>
  <si>
    <t>EUPHOR MAXI KAROLA</t>
  </si>
  <si>
    <t>001!0611861980050</t>
  </si>
  <si>
    <t>EUPHOR MAXI KRONOS</t>
  </si>
  <si>
    <t>001!0611861981050</t>
  </si>
  <si>
    <t>EUPHOR MAXI PINK CADILLAC</t>
  </si>
  <si>
    <t>001!0611861982050</t>
  </si>
  <si>
    <t>EUPHOR MAXI RED LIGHT</t>
  </si>
  <si>
    <t>001!0611861983050</t>
  </si>
  <si>
    <t>EUPHOR MAXI VULKANUS</t>
  </si>
  <si>
    <t>001!0611861984050</t>
  </si>
  <si>
    <t>EUPHOR MAXI ZEPHYR</t>
  </si>
  <si>
    <t>001!0611861985050</t>
  </si>
  <si>
    <t>EUPHOR MAXI ZEUS</t>
  </si>
  <si>
    <t>001!0611861986050</t>
  </si>
  <si>
    <t>EUPHOR MINI ATHENE</t>
  </si>
  <si>
    <t>001!0611861987050</t>
  </si>
  <si>
    <t>EUPHOR MINI EOS</t>
  </si>
  <si>
    <t>001!0611861988050</t>
  </si>
  <si>
    <t>EUPHOR MINI HECTOR</t>
  </si>
  <si>
    <t>001!0611861989050</t>
  </si>
  <si>
    <t>EUPHOR MINI HERA</t>
  </si>
  <si>
    <t>001!0611861990050</t>
  </si>
  <si>
    <t>EUPHOR MINI RHEA</t>
  </si>
  <si>
    <t>001!0611861991050</t>
  </si>
  <si>
    <t>EUPHOR MINI SELENE</t>
  </si>
  <si>
    <t>001!0611861992050</t>
  </si>
  <si>
    <t>EUPHOR PINK GENERIC</t>
  </si>
  <si>
    <t>001!0611834247100</t>
  </si>
  <si>
    <t>EUPHOR POINSETTIA GENERIC</t>
  </si>
  <si>
    <t>001!0611834249100</t>
  </si>
  <si>
    <t>001!0611834250025</t>
  </si>
  <si>
    <t>EUPHOR PURPUREA AMYGDALOIDES</t>
  </si>
  <si>
    <t>001!0611834251025</t>
  </si>
  <si>
    <t>EUPHOR RED GENERIC</t>
  </si>
  <si>
    <t>001!0611834252100</t>
  </si>
  <si>
    <t>EUPHOR ROBBIE AMYGDALOIDES</t>
  </si>
  <si>
    <t>001!0611834254025</t>
  </si>
  <si>
    <t>EUPHOR RUBY GLOW</t>
  </si>
  <si>
    <t>001!0611861993100</t>
  </si>
  <si>
    <t>001!0611861994050</t>
  </si>
  <si>
    <t>EUPHOR SHRUBBY SPURGE GENERIC</t>
  </si>
  <si>
    <t>001!0611856949025</t>
  </si>
  <si>
    <t>EUPHOR SILVER SWAN</t>
  </si>
  <si>
    <t>001!0611861995100</t>
  </si>
  <si>
    <t>EUPHOR SNOW ON THE MOUNTAIN</t>
  </si>
  <si>
    <t>001!0611834255100</t>
  </si>
  <si>
    <t>EUPHOR STAR DUST PINK PANDORA</t>
  </si>
  <si>
    <t>001!0611861996050</t>
  </si>
  <si>
    <t>EUPHOR STAR DUST SUPER FLASH</t>
  </si>
  <si>
    <t>001!0611861997050</t>
  </si>
  <si>
    <t>EUPHOR STAR DUST WHITE FLASH</t>
  </si>
  <si>
    <t>001!0611861998050</t>
  </si>
  <si>
    <t>EUPHOR STAR DUST WHITE SPARKLE</t>
  </si>
  <si>
    <t>001!0611861999050</t>
  </si>
  <si>
    <t>EUPHOR STAR STRUCK DBL WHITE</t>
  </si>
  <si>
    <t>001!0611862000050</t>
  </si>
  <si>
    <t>EUPHOR STARBLAST PINK</t>
  </si>
  <si>
    <t>001!0611884210100</t>
  </si>
  <si>
    <t>EUPHOR STARBLAST SNOWDRIFT</t>
  </si>
  <si>
    <t>001!0611834256100</t>
  </si>
  <si>
    <t>EUPHOR STARBLAST WHITE</t>
  </si>
  <si>
    <t>001!0611834258100</t>
  </si>
  <si>
    <t>EUPHOR TASMANIAN TIGER</t>
  </si>
  <si>
    <t>001!0611862001100</t>
  </si>
  <si>
    <t>001!0611862002050</t>
  </si>
  <si>
    <t>EUPHOR WHITE GENERIC</t>
  </si>
  <si>
    <t>001!0611834260100</t>
  </si>
  <si>
    <t>EURYOP SONNENSCHEIN PECTINATUS</t>
  </si>
  <si>
    <t>001!0611834262100</t>
  </si>
  <si>
    <t>EURYOP SUNSHINE SILVER</t>
  </si>
  <si>
    <t>001!0611834263100</t>
  </si>
  <si>
    <t>EURYOP YELLOW</t>
  </si>
  <si>
    <t>001!0611834264100</t>
  </si>
  <si>
    <t>EVOLVU BEACH BUM BLUE</t>
  </si>
  <si>
    <t>001!0611862003050</t>
  </si>
  <si>
    <t>EVOLVU BLUE DAZE</t>
  </si>
  <si>
    <t>001!0611834280100</t>
  </si>
  <si>
    <t>EVOLVU HAWAIIAN BLUE EYES</t>
  </si>
  <si>
    <t>001!0611834281100</t>
  </si>
  <si>
    <t>001!0611862004050</t>
  </si>
  <si>
    <t>EXACUM PERSIAN VIOLET GENERIC</t>
  </si>
  <si>
    <t>001!0611834282100</t>
  </si>
  <si>
    <t>FAIRY GARDEN GENERIC</t>
  </si>
  <si>
    <t>50/50 Mini Portrait Tag</t>
  </si>
  <si>
    <t>001!0611834284050</t>
  </si>
  <si>
    <t>Mini Portrait</t>
  </si>
  <si>
    <t>FATSIA SPIDERS WEB JAPONICA</t>
  </si>
  <si>
    <t>001!0611834285025</t>
  </si>
  <si>
    <t>FELICI BLUE MARGUERITE</t>
  </si>
  <si>
    <t>001!0611834286100</t>
  </si>
  <si>
    <t>FELICI FELICITY BLUE</t>
  </si>
  <si>
    <t>001!0611834287100</t>
  </si>
  <si>
    <t>FENNEL BRONZE</t>
  </si>
  <si>
    <t>001!0611834318100</t>
  </si>
  <si>
    <t>FENNEL FLORENCE</t>
  </si>
  <si>
    <t>001!0611834320100</t>
  </si>
  <si>
    <t>FENNEL GENERIC</t>
  </si>
  <si>
    <t>001!0611834319100</t>
  </si>
  <si>
    <t>FERN ADIANTUM MAIDENHAIR</t>
  </si>
  <si>
    <t>001!0611834289025</t>
  </si>
  <si>
    <t>FERN ASPARA MYERS</t>
  </si>
  <si>
    <t>001!0611831108100</t>
  </si>
  <si>
    <t>FERN ASPARA NANA PLUMOSUS</t>
  </si>
  <si>
    <t>001!0611831109100</t>
  </si>
  <si>
    <t>FERN ASPARA PLUMOSA SETACEUS</t>
  </si>
  <si>
    <t>001!0611831110100</t>
  </si>
  <si>
    <t>FERN ASPARA SPRENGERI</t>
  </si>
  <si>
    <t>001!0611831111100</t>
  </si>
  <si>
    <t>001!0611831112100</t>
  </si>
  <si>
    <t>FERN ASPLENIUM BIRDS NEST</t>
  </si>
  <si>
    <t>001!0611834290025</t>
  </si>
  <si>
    <t>FERN ATHYRIUM GHOST</t>
  </si>
  <si>
    <t>001!0611834291025</t>
  </si>
  <si>
    <t>FERN ATHYRIUM LADY FERN</t>
  </si>
  <si>
    <t>001!0611834292025</t>
  </si>
  <si>
    <t>FERN ATHYRIUM LADY IN RED</t>
  </si>
  <si>
    <t>001!0611834293025</t>
  </si>
  <si>
    <t>FERN ATHYRIUM PICTUM</t>
  </si>
  <si>
    <t>001!0611834294025</t>
  </si>
  <si>
    <t>FERN BOSTONIENSIS BOSTON</t>
  </si>
  <si>
    <t>001!0611834295100</t>
  </si>
  <si>
    <t>001!0611834296100</t>
  </si>
  <si>
    <t>FERN CYRTOM JPNS HLLY FORTUNEI</t>
  </si>
  <si>
    <t>001!0611834297025</t>
  </si>
  <si>
    <t>FERN DENNST HAYSCNTED</t>
  </si>
  <si>
    <t>001!0611834298025</t>
  </si>
  <si>
    <t>FERN DRYOPT AUTUMN FERN</t>
  </si>
  <si>
    <t>001!0611834101025</t>
  </si>
  <si>
    <t>FERN DRYOPT LTHERWD MARGINALIS</t>
  </si>
  <si>
    <t>001!0611834299025</t>
  </si>
  <si>
    <t>FERN GENERIC</t>
  </si>
  <si>
    <t>001!0611834306100</t>
  </si>
  <si>
    <t>FERN HARDY GENERIC</t>
  </si>
  <si>
    <t>001!0611834842025</t>
  </si>
  <si>
    <t>FERN KIMBERLY QUEEN</t>
  </si>
  <si>
    <t>001!0611834300100</t>
  </si>
  <si>
    <t>FERN NEPHRO EMERALD QN</t>
  </si>
  <si>
    <t>001!0611856950100</t>
  </si>
  <si>
    <t>FERN NEPHRO GENERIC</t>
  </si>
  <si>
    <t>001!0611836951100</t>
  </si>
  <si>
    <t>001!0611836952100</t>
  </si>
  <si>
    <t>FERN OSMUND CINNAMON</t>
  </si>
  <si>
    <t>001!0611834301025</t>
  </si>
  <si>
    <t>FERN OSMUND ROYAL</t>
  </si>
  <si>
    <t>001!0611837070025</t>
  </si>
  <si>
    <t>FERN OSTRICH PENSYLVANICA</t>
  </si>
  <si>
    <t>001!0611834302025</t>
  </si>
  <si>
    <t>FERN POLYST CHRISTMAS</t>
  </si>
  <si>
    <t>001!0611834303025</t>
  </si>
  <si>
    <t>FERN POLYST TASSEL</t>
  </si>
  <si>
    <t>001!0611834304025</t>
  </si>
  <si>
    <t>FERN TIGER</t>
  </si>
  <si>
    <t>001!0611834305100</t>
  </si>
  <si>
    <t>FESTUC BEYOND BL GLAUCA</t>
  </si>
  <si>
    <t>001!0611834783025</t>
  </si>
  <si>
    <t>FESTUC BOULDER BL GLAUCA</t>
  </si>
  <si>
    <t>001!0611834784025</t>
  </si>
  <si>
    <t>FESTUC BUDDY BL VAR</t>
  </si>
  <si>
    <t>001!0611834785100</t>
  </si>
  <si>
    <t>FESTUC ELIJAH BL GLAUCA</t>
  </si>
  <si>
    <t>001!0611834786025</t>
  </si>
  <si>
    <t>FESTUC FESTINA</t>
  </si>
  <si>
    <t>001!0611834787025</t>
  </si>
  <si>
    <t>FESTUC GLAUCA</t>
  </si>
  <si>
    <t>001!0611834788100</t>
  </si>
  <si>
    <t>001!0611834789025</t>
  </si>
  <si>
    <t>FESTUC SELECT GLAUCA</t>
  </si>
  <si>
    <t>001!0611834790025</t>
  </si>
  <si>
    <t>FICUS BENJAMINA</t>
  </si>
  <si>
    <t>001!0611834307100</t>
  </si>
  <si>
    <t>FICUS BURGUNDY</t>
  </si>
  <si>
    <t>001!0611834308100</t>
  </si>
  <si>
    <t>FICUS LYRATA FIDDLELEAF FIG</t>
  </si>
  <si>
    <t>001!0611834309100</t>
  </si>
  <si>
    <t>FICUS PUMILA</t>
  </si>
  <si>
    <t>001!0611834310100</t>
  </si>
  <si>
    <t>FICUS ROBUSTA</t>
  </si>
  <si>
    <t>001!0611834311100</t>
  </si>
  <si>
    <t>FICUS VARIEGATED</t>
  </si>
  <si>
    <t>001!0611834312100</t>
  </si>
  <si>
    <t>FITTON ARGYRONEURA</t>
  </si>
  <si>
    <t>001!0611834313100</t>
  </si>
  <si>
    <t>FITTON NERVE PLANT GENERIC</t>
  </si>
  <si>
    <t>001!0611834314100</t>
  </si>
  <si>
    <t>FITTON RED VEIN</t>
  </si>
  <si>
    <t>001!0611834315100</t>
  </si>
  <si>
    <t>FLOWER BULBS GENERIC</t>
  </si>
  <si>
    <t>001!0611834316100</t>
  </si>
  <si>
    <t>FLOWER PLANTS GENERIC</t>
  </si>
  <si>
    <t>001!0611834317100</t>
  </si>
  <si>
    <t>FOENIC BRONZE</t>
  </si>
  <si>
    <t>001!0611884211025</t>
  </si>
  <si>
    <t>FOENIC GROSFRUCHTIGER GRN LF</t>
  </si>
  <si>
    <t>001!0611884212025</t>
  </si>
  <si>
    <t>FRAGAR ALLSTAR</t>
  </si>
  <si>
    <t>001!0611834321100</t>
  </si>
  <si>
    <t>FRAGAR ALPINE</t>
  </si>
  <si>
    <t>001!0611834322100</t>
  </si>
  <si>
    <t>FRAGAR BERRIES GALORE PINK</t>
  </si>
  <si>
    <t>001!0611834324100</t>
  </si>
  <si>
    <t>FRAGAR BERRIES GALORE ROSE</t>
  </si>
  <si>
    <t>001!0611834325100</t>
  </si>
  <si>
    <t>FRAGAR BERRIES GALORE WHITE</t>
  </si>
  <si>
    <t>001!0611834326100</t>
  </si>
  <si>
    <t>FRAGAR BERRY BASKET WHITE</t>
  </si>
  <si>
    <t>001!0611834323100</t>
  </si>
  <si>
    <t>FRAGAR DELIZZ</t>
  </si>
  <si>
    <t>001!0611834329100</t>
  </si>
  <si>
    <t>FRAGAR EVERBEARING GENERIC</t>
  </si>
  <si>
    <t>001!0611834330100</t>
  </si>
  <si>
    <t>001!0611834331025</t>
  </si>
  <si>
    <t>FRAGAR EVERSWEET</t>
  </si>
  <si>
    <t>001!0611834332100</t>
  </si>
  <si>
    <t>FRAGAR FT LARAMIE</t>
  </si>
  <si>
    <t>001!0611834334100</t>
  </si>
  <si>
    <t>FRAGAR GASANA</t>
  </si>
  <si>
    <t>001!0611834335100</t>
  </si>
  <si>
    <t>FRAGAR HONEOYE</t>
  </si>
  <si>
    <t>001!0611834336100</t>
  </si>
  <si>
    <t>FRAGAR JUNEBEARING GENERIC</t>
  </si>
  <si>
    <t>001!0611834337100</t>
  </si>
  <si>
    <t>FRAGAR MIGNONETTE</t>
  </si>
  <si>
    <t>001!0611834339100</t>
  </si>
  <si>
    <t>FRAGAR OZARK BEAUTY</t>
  </si>
  <si>
    <t>001!0611834340100</t>
  </si>
  <si>
    <t>FRAGAR QUINALT</t>
  </si>
  <si>
    <t>001!0611834341100</t>
  </si>
  <si>
    <t>FRAGAR RUBY ANN</t>
  </si>
  <si>
    <t>001!0611834342100</t>
  </si>
  <si>
    <t>FRAGAR SEQUOIA</t>
  </si>
  <si>
    <t>001!0611834343100</t>
  </si>
  <si>
    <t>FRAGAR SUMMER BREEZE ROSE</t>
  </si>
  <si>
    <t>001!0611834344100</t>
  </si>
  <si>
    <t>FRAGAR SURECROP</t>
  </si>
  <si>
    <t>001!0611834345100</t>
  </si>
  <si>
    <t>FRAGAR TEMPTATION</t>
  </si>
  <si>
    <t>001!0611834346100</t>
  </si>
  <si>
    <t>FRAGAR TOSCANA</t>
  </si>
  <si>
    <t>001!0611834347100</t>
  </si>
  <si>
    <t>FRT:  WESTROCK</t>
  </si>
  <si>
    <t>FREIGHT INVOICE TO FOLLOW</t>
  </si>
  <si>
    <t>FUCHSI ARETES ALWIN</t>
  </si>
  <si>
    <t>001!0611862005050</t>
  </si>
  <si>
    <t>FUCHSI ARETES ARROYO GRANDE</t>
  </si>
  <si>
    <t>001!0611862006050</t>
  </si>
  <si>
    <t>FUCHSI ARETES BELFORT</t>
  </si>
  <si>
    <t>001!0611862007050</t>
  </si>
  <si>
    <t>FUCHSI ARETES JOLLIES NANCY</t>
  </si>
  <si>
    <t>001!0611862008050</t>
  </si>
  <si>
    <t>FUCHSI ARETES JOLLIES NANTES</t>
  </si>
  <si>
    <t>001!0611862009050</t>
  </si>
  <si>
    <t>FUCHSI ARETES PATIO PRINCESS</t>
  </si>
  <si>
    <t>001!0611862010050</t>
  </si>
  <si>
    <t>FUCHSI ARETES PRSDNT G BARTLT</t>
  </si>
  <si>
    <t>001!0611862011050</t>
  </si>
  <si>
    <t>FUCHSI ARETES RINGWOOD MARKET</t>
  </si>
  <si>
    <t>001!0611862012050</t>
  </si>
  <si>
    <t>FUCHSI ARETES UPRT ARROYO GRND</t>
  </si>
  <si>
    <t>001!0611862013050</t>
  </si>
  <si>
    <t>FUCHSI ARETES UPRT BARI</t>
  </si>
  <si>
    <t>001!0611862014050</t>
  </si>
  <si>
    <t>FUCHSI ARETES UPRT JOLL REIMS</t>
  </si>
  <si>
    <t>001!0611862015050</t>
  </si>
  <si>
    <t>FUCHSI ARETES UPRT LAGO GRANDE</t>
  </si>
  <si>
    <t>001!0611862016050</t>
  </si>
  <si>
    <t>FUCHSI ARETES UPRT LATINA</t>
  </si>
  <si>
    <t>001!0611862017050</t>
  </si>
  <si>
    <t>FUCHSI ARETES UPRT POMPEI</t>
  </si>
  <si>
    <t>001!0611862018050</t>
  </si>
  <si>
    <t>FUCHSI ARETES UPRT RIMINI</t>
  </si>
  <si>
    <t>001!0611862019050</t>
  </si>
  <si>
    <t>FUCHSI ARETES UPRT RIO GRANDE</t>
  </si>
  <si>
    <t>001!0611862020050</t>
  </si>
  <si>
    <t>FUCHSI AUTUMNALE</t>
  </si>
  <si>
    <t>001!0611834351100</t>
  </si>
  <si>
    <t>001!0611862021050</t>
  </si>
  <si>
    <t>FUCHSI BALLERINA ARABESQUE</t>
  </si>
  <si>
    <t>001!0611884213050</t>
  </si>
  <si>
    <t>FUCHSI BALLERINA ASSEMBLE</t>
  </si>
  <si>
    <t>001!0611884214050</t>
  </si>
  <si>
    <t>FUCHSI BALLERINA BRISE FUCHSIA</t>
  </si>
  <si>
    <t>001!0611884215050</t>
  </si>
  <si>
    <t>FUCHSI BALLERINA COUPE FUCHSIA</t>
  </si>
  <si>
    <t>001!0611884216050</t>
  </si>
  <si>
    <t>FUCHSI BALLERINA PIQUE FUCHSIA</t>
  </si>
  <si>
    <t>001!0611884217050</t>
  </si>
  <si>
    <t>FUCHSI BALLERINA UPRT PIROET</t>
  </si>
  <si>
    <t>001!0611884218050</t>
  </si>
  <si>
    <t>FUCHSI BALLERINA UPRT RELEVE</t>
  </si>
  <si>
    <t>001!0611884219050</t>
  </si>
  <si>
    <t>FUCHSI BALLERINA UPRT TENDU</t>
  </si>
  <si>
    <t>001!0611884220050</t>
  </si>
  <si>
    <t>FUCHSI BEACON</t>
  </si>
  <si>
    <t>001!0611834352100</t>
  </si>
  <si>
    <t>FUCHSI BELLA FUCHSIA SERIES</t>
  </si>
  <si>
    <t>001!0611834354100</t>
  </si>
  <si>
    <t>FUCHSI BELLA ROSELLA</t>
  </si>
  <si>
    <t>001!0611834355100</t>
  </si>
  <si>
    <t>FUCHSI BICENTENNIAL</t>
  </si>
  <si>
    <t>001!0611834357100</t>
  </si>
  <si>
    <t>FUCHSI BLACKY</t>
  </si>
  <si>
    <t>001!0611834358100</t>
  </si>
  <si>
    <t>FUCHSI BLUE EYES</t>
  </si>
  <si>
    <t>001!0611834360100</t>
  </si>
  <si>
    <t>001!0611862022050</t>
  </si>
  <si>
    <t>FUCHSI CITY LIGHTS</t>
  </si>
  <si>
    <t>001!0611862023050</t>
  </si>
  <si>
    <t>FUCHSI CORABELLS DARK EYES</t>
  </si>
  <si>
    <t>001!0611834364100</t>
  </si>
  <si>
    <t>FUCHSI CORABELLS RED WHITE</t>
  </si>
  <si>
    <t>001!0611834366100</t>
  </si>
  <si>
    <t>FUCHSI CORABELLS ROSE PURPLE</t>
  </si>
  <si>
    <t>001!0611834367100</t>
  </si>
  <si>
    <t>FUCHSI DARK EYES</t>
  </si>
  <si>
    <t>001!0611834368100</t>
  </si>
  <si>
    <t>001!0611862024050</t>
  </si>
  <si>
    <t>FUCHSI DEEP PURPLE</t>
  </si>
  <si>
    <t>001!0611834369100</t>
  </si>
  <si>
    <t>FUCHSI DELTA SARAH</t>
  </si>
  <si>
    <t>001!0611834370100</t>
  </si>
  <si>
    <t>FUCHSI DOLLAR PRINCESS</t>
  </si>
  <si>
    <t>001!0611834372100</t>
  </si>
  <si>
    <t>001!0611862025050</t>
  </si>
  <si>
    <t>FUCHSI DUSKY ROSE TRAILING</t>
  </si>
  <si>
    <t>001!0611862026050</t>
  </si>
  <si>
    <t>FUCHSI ELECTRIC LIGHTS</t>
  </si>
  <si>
    <t>001!0611862027050</t>
  </si>
  <si>
    <t>FUCHSI ERUPTIONS</t>
  </si>
  <si>
    <t>001!0611834374100</t>
  </si>
  <si>
    <t>FUCHSI FIRECRACKER</t>
  </si>
  <si>
    <t>001!0611834375100</t>
  </si>
  <si>
    <t>FUCHSI FROSTED FLAME</t>
  </si>
  <si>
    <t>001!0611834377100</t>
  </si>
  <si>
    <t>FUCHSI FUCHSIA GENERIC</t>
  </si>
  <si>
    <t>001!0611834378100</t>
  </si>
  <si>
    <t>001!0611834379100</t>
  </si>
  <si>
    <t>FUCHSI GARTENMEISTER</t>
  </si>
  <si>
    <t>001!0611834380100</t>
  </si>
  <si>
    <t>FUCHSI HAPPY LIGHTS</t>
  </si>
  <si>
    <t>001!0611862028050</t>
  </si>
  <si>
    <t>FUCHSI HERI MOCHARA</t>
  </si>
  <si>
    <t>001!0611834387100</t>
  </si>
  <si>
    <t>FUCHSI JINGLE BELLS</t>
  </si>
  <si>
    <t>001!0611834390100</t>
  </si>
  <si>
    <t>FUCHSI KORALLE</t>
  </si>
  <si>
    <t>001!0611834393100</t>
  </si>
  <si>
    <t>FUCHSI LA CAMPANELLA</t>
  </si>
  <si>
    <t>001!0611834394100</t>
  </si>
  <si>
    <t>001!0611862029050</t>
  </si>
  <si>
    <t>FUCHSI LENA</t>
  </si>
  <si>
    <t>001!0611834395100</t>
  </si>
  <si>
    <t>FUCHSI MARINKA</t>
  </si>
  <si>
    <t>001!0611834397100</t>
  </si>
  <si>
    <t>FUCHSI MILLENIUM</t>
  </si>
  <si>
    <t>001!0611834398100</t>
  </si>
  <si>
    <t>FUCHSI MISS CALIFORNIA</t>
  </si>
  <si>
    <t>001!0611834399100</t>
  </si>
  <si>
    <t>FUCHSI NORTHERN LIGHTS UPRIGHT</t>
  </si>
  <si>
    <t>001!0611862030050</t>
  </si>
  <si>
    <t>FUCHSI ORANGE KING</t>
  </si>
  <si>
    <t>001!0611834401100</t>
  </si>
  <si>
    <t>FUCHSI PATIO PRINCESS</t>
  </si>
  <si>
    <t>001!0611834402100</t>
  </si>
  <si>
    <t>FUCHSI PAULA JANE</t>
  </si>
  <si>
    <t>001!0611834403100</t>
  </si>
  <si>
    <t>001!0611862031050</t>
  </si>
  <si>
    <t>FUCHSI PEACHY</t>
  </si>
  <si>
    <t>001!0611834404100</t>
  </si>
  <si>
    <t>FUCHSI PINK BALLET GIRL</t>
  </si>
  <si>
    <t>001!0611834405100</t>
  </si>
  <si>
    <t>FUCHSI PINK GALORE</t>
  </si>
  <si>
    <t>001!0611834406100</t>
  </si>
  <si>
    <t>FUCHSI PINK MARSHMALLOW</t>
  </si>
  <si>
    <t>001!0611834407100</t>
  </si>
  <si>
    <t>FUCHSI RED SPIDER</t>
  </si>
  <si>
    <t>001!0611834409100</t>
  </si>
  <si>
    <t>FUCHSI RINGWOOD MARKET</t>
  </si>
  <si>
    <t>001!0611834410100</t>
  </si>
  <si>
    <t>FUCHSI SIR MATT BUSBY</t>
  </si>
  <si>
    <t>001!0611834414100</t>
  </si>
  <si>
    <t>FUCHSI SKYROCKET</t>
  </si>
  <si>
    <t>001!0611862032050</t>
  </si>
  <si>
    <t>FUCHSI SOUTHGATE</t>
  </si>
  <si>
    <t>001!0611834416100</t>
  </si>
  <si>
    <t>001!0611862033050</t>
  </si>
  <si>
    <t>FUCHSI STAND UP SERIES</t>
  </si>
  <si>
    <t>001!0611834418100</t>
  </si>
  <si>
    <t>FUCHSI SUNBEAM ERNIE</t>
  </si>
  <si>
    <t>001!0611834419100</t>
  </si>
  <si>
    <t>FUCHSI SUNBEAM GENERIC</t>
  </si>
  <si>
    <t>001!0611834420100</t>
  </si>
  <si>
    <t>FUCHSI SUNBEAM LAMBADA</t>
  </si>
  <si>
    <t>001!0611834422100</t>
  </si>
  <si>
    <t>FUCHSI SUNBEAM PALOMA</t>
  </si>
  <si>
    <t>001!0611834423100</t>
  </si>
  <si>
    <t>FUCHSI SUNBEAM ROCKY</t>
  </si>
  <si>
    <t>001!0611834424100</t>
  </si>
  <si>
    <t>FUCHSI SUNBEAM SAMBA</t>
  </si>
  <si>
    <t>001!0611834425100</t>
  </si>
  <si>
    <t>FUCHSI SWINGTIME</t>
  </si>
  <si>
    <t>001!0611834426100</t>
  </si>
  <si>
    <t>001!0611862034050</t>
  </si>
  <si>
    <t>FUCHSI TRL BLUE EYES</t>
  </si>
  <si>
    <t>001!0611862035050</t>
  </si>
  <si>
    <t>FUCHSI TRL GENERIC</t>
  </si>
  <si>
    <t>001!0611834429100</t>
  </si>
  <si>
    <t>FUCHSI TRL LENA</t>
  </si>
  <si>
    <t>001!0611862036050</t>
  </si>
  <si>
    <t>FUCHSI TRL MARINKA</t>
  </si>
  <si>
    <t>001!0611862037050</t>
  </si>
  <si>
    <t>FUCHSI TRL PINK MARSHMALLOW</t>
  </si>
  <si>
    <t>001!0611862038050</t>
  </si>
  <si>
    <t>FUCHSI TRL WHITE EYES</t>
  </si>
  <si>
    <t>001!0611862039050</t>
  </si>
  <si>
    <t>FUCHSI UPRT FIRECRACKER</t>
  </si>
  <si>
    <t>001!0611862040050</t>
  </si>
  <si>
    <t>FUCHSI UPRT GARTENMEISTER</t>
  </si>
  <si>
    <t>001!0611862041050</t>
  </si>
  <si>
    <t>FUCHSI UPRT GENERIC</t>
  </si>
  <si>
    <t>001!0611834430100</t>
  </si>
  <si>
    <t>FUCHSI UPRT VOODOO</t>
  </si>
  <si>
    <t>001!0611862042050</t>
  </si>
  <si>
    <t>FUCHSI VOODOO</t>
  </si>
  <si>
    <t>001!0611834432100</t>
  </si>
  <si>
    <t>FUCHSI WHITE EYES</t>
  </si>
  <si>
    <t>001!0611834433100</t>
  </si>
  <si>
    <t>FUCHSI WINSTON CHURCHILL</t>
  </si>
  <si>
    <t>001!0611834436100</t>
  </si>
  <si>
    <t>FUCHSI WNDCHMS SERIES TRL</t>
  </si>
  <si>
    <t>001!0611834434100</t>
  </si>
  <si>
    <t>FUCHSI WNDCHMS UPRT</t>
  </si>
  <si>
    <t>001!0611834435100</t>
  </si>
  <si>
    <t>FUSEAB HEALING WATERS</t>
  </si>
  <si>
    <t>001!0611834437025</t>
  </si>
  <si>
    <t>GAILLA ARIZONA APRICOT</t>
  </si>
  <si>
    <t>001!0611834439025</t>
  </si>
  <si>
    <t>GAILLA ARIZONA RED SHADES</t>
  </si>
  <si>
    <t>001!0611834440025</t>
  </si>
  <si>
    <t>GAILLA ARIZONA SUN</t>
  </si>
  <si>
    <t>001!0611834441025</t>
  </si>
  <si>
    <t>GAILLA BARBICAN RED</t>
  </si>
  <si>
    <t>001!0611834442025</t>
  </si>
  <si>
    <t>GAILLA BARBICAN YELL RED RING</t>
  </si>
  <si>
    <t>001!0611834443025</t>
  </si>
  <si>
    <t>GAILLA BURGUNDY</t>
  </si>
  <si>
    <t>001!0611834444100</t>
  </si>
  <si>
    <t>GAILLA CELEBRATION</t>
  </si>
  <si>
    <t>001!0611862043100</t>
  </si>
  <si>
    <t>001!0611862044050</t>
  </si>
  <si>
    <t>GAILLA FANFARE BLAZE</t>
  </si>
  <si>
    <t>001!0611862045100</t>
  </si>
  <si>
    <t>GAILLA FANFARE CITRONELLA LMTD</t>
  </si>
  <si>
    <t>001!0611862046100</t>
  </si>
  <si>
    <t>001!0611862047050</t>
  </si>
  <si>
    <t>GAILLA FANFARE SHOWTIME</t>
  </si>
  <si>
    <t>001!0611862048100</t>
  </si>
  <si>
    <t>001!0611862049050</t>
  </si>
  <si>
    <t>GAILLA FIRE WHEELS</t>
  </si>
  <si>
    <t>001!0611834446025</t>
  </si>
  <si>
    <t>GAILLA GAILLARDIA GENERIC</t>
  </si>
  <si>
    <t>001!0611834447100</t>
  </si>
  <si>
    <t>001!0611834448025</t>
  </si>
  <si>
    <t>GAILLA GALYA SERIES</t>
  </si>
  <si>
    <t>001!0611834453025</t>
  </si>
  <si>
    <t>GAILLA GOBLIN</t>
  </si>
  <si>
    <t>001!0611834454100</t>
  </si>
  <si>
    <t>001!0611834455025</t>
  </si>
  <si>
    <t>GAILLA GUSTO LEMON</t>
  </si>
  <si>
    <t>001!0611856951025</t>
  </si>
  <si>
    <t>GAILLA GUSTO PAPRIKA</t>
  </si>
  <si>
    <t>001!0611856952025</t>
  </si>
  <si>
    <t>GAILLA GUSTO SAFFRON</t>
  </si>
  <si>
    <t>001!0611856953025</t>
  </si>
  <si>
    <t>GAILLA GUSTO SWEET CHILI</t>
  </si>
  <si>
    <t>001!0611856954025</t>
  </si>
  <si>
    <t>GAILLA LUNAR BLOOD MOON</t>
  </si>
  <si>
    <t>001!0611834456025</t>
  </si>
  <si>
    <t>GAILLA LUNAR ECLIPSE</t>
  </si>
  <si>
    <t>001!0611834457025</t>
  </si>
  <si>
    <t>GAILLA LUNAR HARVEST MOON</t>
  </si>
  <si>
    <t>001!0611834458025</t>
  </si>
  <si>
    <t>GAILLA LUNAR HONEY MOON</t>
  </si>
  <si>
    <t>001!0611834459025</t>
  </si>
  <si>
    <t>GAILLA LUNAR ORANGE MOON</t>
  </si>
  <si>
    <t>001!0611834460025</t>
  </si>
  <si>
    <t>GAILLA LUNAR RED MOON</t>
  </si>
  <si>
    <t>001!0611834461025</t>
  </si>
  <si>
    <t>GAILLA MESA BRIGHT BIC</t>
  </si>
  <si>
    <t>001!0611834462025</t>
  </si>
  <si>
    <t>GAILLA MESA PEACH</t>
  </si>
  <si>
    <t>001!0611834463025</t>
  </si>
  <si>
    <t>GAILLA MESA RED</t>
  </si>
  <si>
    <t>001!0611834464025</t>
  </si>
  <si>
    <t>GAILLA MESA YELLOW</t>
  </si>
  <si>
    <t>001!0611834465025</t>
  </si>
  <si>
    <t>GAILLA SPINTOP COPPER SUN</t>
  </si>
  <si>
    <t>001!0611834466025</t>
  </si>
  <si>
    <t>001!0611862050100</t>
  </si>
  <si>
    <t>001!0611862051050</t>
  </si>
  <si>
    <t>GAILLA SPINTOP MANGO</t>
  </si>
  <si>
    <t>001!0611862052100</t>
  </si>
  <si>
    <t>GAILLA SPINTOP MARIACHI CPR SN</t>
  </si>
  <si>
    <t>001!0611862053100</t>
  </si>
  <si>
    <t>GAILLA SPINTOP ORANGE HALO</t>
  </si>
  <si>
    <t>001!0611834467025</t>
  </si>
  <si>
    <t>001!0611862054100</t>
  </si>
  <si>
    <t>GAILLA SPINTOP PINEAPPLE</t>
  </si>
  <si>
    <t>001!0611862056100</t>
  </si>
  <si>
    <t>GAILLA SPINTOP RED</t>
  </si>
  <si>
    <t>001!0611834468025</t>
  </si>
  <si>
    <t>001!0611862057100</t>
  </si>
  <si>
    <t>GAILLA SPINTOP RED STARBURST</t>
  </si>
  <si>
    <t>001!0611834469025</t>
  </si>
  <si>
    <t>001!0611862058100</t>
  </si>
  <si>
    <t>001!0611862059050</t>
  </si>
  <si>
    <t>GAILLA SPINTOP YELLOW HALO</t>
  </si>
  <si>
    <t>001!0611834470025</t>
  </si>
  <si>
    <t>GAILLA SPINTOP YELLOW TOUCH</t>
  </si>
  <si>
    <t>001!0611834471025</t>
  </si>
  <si>
    <t>001!0611862060100</t>
  </si>
  <si>
    <t>001!0611862061050</t>
  </si>
  <si>
    <t>GAILLA SUN DEVIL</t>
  </si>
  <si>
    <t>001!0611834472025</t>
  </si>
  <si>
    <t>GAILLA SUN FLARE</t>
  </si>
  <si>
    <t>001!0611834473025</t>
  </si>
  <si>
    <t>GAILLA SUN RED</t>
  </si>
  <si>
    <t>001!0611834474025</t>
  </si>
  <si>
    <t>GAILLA SUNRITA BURG BLANKET</t>
  </si>
  <si>
    <t>001!0611862062050</t>
  </si>
  <si>
    <t>GAILLA SUNRITA GOLDEN YELLOW</t>
  </si>
  <si>
    <t>001!0611862063050</t>
  </si>
  <si>
    <t>GAILLA SUNRITA RD YELL TIP</t>
  </si>
  <si>
    <t>001!0611862064050</t>
  </si>
  <si>
    <t>GAILLA SUNRITA YELLOW RED RING</t>
  </si>
  <si>
    <t>001!0611862065050</t>
  </si>
  <si>
    <t>GAILLA SUNSET CUTIE</t>
  </si>
  <si>
    <t>001!0611862066100</t>
  </si>
  <si>
    <t>GAILLA SUNSET FLASH</t>
  </si>
  <si>
    <t>001!0611862067100</t>
  </si>
  <si>
    <t>GAILLA SUNSET FLASH LMTD</t>
  </si>
  <si>
    <t>001!0611862068050</t>
  </si>
  <si>
    <t>GAILLA SUNSET ORANGE</t>
  </si>
  <si>
    <t>001!0611862069100</t>
  </si>
  <si>
    <t>GAILLA SUNSET ORANGE LMTD</t>
  </si>
  <si>
    <t>001!0611862070050</t>
  </si>
  <si>
    <t>GAILLA SUNSET SNAPPY</t>
  </si>
  <si>
    <t>001!0611862071100</t>
  </si>
  <si>
    <t>GAILLA SUNSET SNAPPY LMTD</t>
  </si>
  <si>
    <t>001!0611862072050</t>
  </si>
  <si>
    <t>GAILLA SUNSET SUNRISE</t>
  </si>
  <si>
    <t>001!0611862073100</t>
  </si>
  <si>
    <t>GAILLA YELLOW RED RING</t>
  </si>
  <si>
    <t>001!0611862074050</t>
  </si>
  <si>
    <t>GALIUM ODORATUM</t>
  </si>
  <si>
    <t>001!0611834475100</t>
  </si>
  <si>
    <t>001!0611834476025</t>
  </si>
  <si>
    <t>GALIUM SWEET WOODRUFF</t>
  </si>
  <si>
    <t>001!0611834477100</t>
  </si>
  <si>
    <t>GALIUM SWEET WOODRUFF CN5180</t>
  </si>
  <si>
    <t>001!0611862075100</t>
  </si>
  <si>
    <t>GARLIC SOCIETY TULBAGHIA</t>
  </si>
  <si>
    <t>001!0611834478100</t>
  </si>
  <si>
    <t>GASTER D TIGA</t>
  </si>
  <si>
    <t>001!0611884221100</t>
  </si>
  <si>
    <t>GASTER DURBAN</t>
  </si>
  <si>
    <t>001!0611862092100</t>
  </si>
  <si>
    <t>GASTER ERNESTI RUSCHII</t>
  </si>
  <si>
    <t>001!0611862093100</t>
  </si>
  <si>
    <t>GASTER EWOUD</t>
  </si>
  <si>
    <t>001!0611862094100</t>
  </si>
  <si>
    <t>GASTER FLOW</t>
  </si>
  <si>
    <t>001!0611862095100</t>
  </si>
  <si>
    <t>GASTER FUSCOPUNCTATA</t>
  </si>
  <si>
    <t>001!0611862096100</t>
  </si>
  <si>
    <t>GASTER GASTERIA GENERIC</t>
  </si>
  <si>
    <t>001!0611834479100</t>
  </si>
  <si>
    <t>GASTER GRACILIS</t>
  </si>
  <si>
    <t>001!0611862097100</t>
  </si>
  <si>
    <t>GASTER GREEN STAR</t>
  </si>
  <si>
    <t>001!0611862098100</t>
  </si>
  <si>
    <t>GASTER KYAKA</t>
  </si>
  <si>
    <t>001!0611862099100</t>
  </si>
  <si>
    <t>GASTER LILIPUTANA</t>
  </si>
  <si>
    <t>001!0611862100100</t>
  </si>
  <si>
    <t>GASTER LIMPOPO</t>
  </si>
  <si>
    <t>001!0611862101100</t>
  </si>
  <si>
    <t>GASTER LITTLE WARTY</t>
  </si>
  <si>
    <t>001!0611862102100</t>
  </si>
  <si>
    <t>GASTER MOROMBE</t>
  </si>
  <si>
    <t>001!0611862103100</t>
  </si>
  <si>
    <t>GASTER OKAVANGO</t>
  </si>
  <si>
    <t>001!0611862104100</t>
  </si>
  <si>
    <t>GASTER ROYAL WOLFGANG</t>
  </si>
  <si>
    <t>001!0611862105100</t>
  </si>
  <si>
    <t>GASTER VERRUCOSA</t>
  </si>
  <si>
    <t>001!0611862106100</t>
  </si>
  <si>
    <t>GASTER ZIMFLORA</t>
  </si>
  <si>
    <t>001!0611862107100</t>
  </si>
  <si>
    <t>GAURA BABY BUTTERFLY DK PINK</t>
  </si>
  <si>
    <t>001!0611834480025</t>
  </si>
  <si>
    <t>GAURA BALLERINA ROSE</t>
  </si>
  <si>
    <t>001!0611834481025</t>
  </si>
  <si>
    <t>GAURA BANTAM IRIS PINK</t>
  </si>
  <si>
    <t>001!0611834482025</t>
  </si>
  <si>
    <t>GAURA BANTAM PINK</t>
  </si>
  <si>
    <t>001!0611834483025</t>
  </si>
  <si>
    <t>GAURA BANTAM WHITE</t>
  </si>
  <si>
    <t>001!0611834484025</t>
  </si>
  <si>
    <t>GAURA BELLEZA COMP LT PINK</t>
  </si>
  <si>
    <t>001!0611834485025</t>
  </si>
  <si>
    <t>GAURA BELLEZA DARK PINK</t>
  </si>
  <si>
    <t>001!0611834486025</t>
  </si>
  <si>
    <t>001!0611862108100</t>
  </si>
  <si>
    <t>GAURA BELLEZA WHITE</t>
  </si>
  <si>
    <t>001!0611834487025</t>
  </si>
  <si>
    <t>001!0611862109100</t>
  </si>
  <si>
    <t>GAURA BLOOM BABY</t>
  </si>
  <si>
    <t>001!0611834488025</t>
  </si>
  <si>
    <t>GAURA CHERRY BRANDY</t>
  </si>
  <si>
    <t>001!0611834489025</t>
  </si>
  <si>
    <t>GAURA FREEFOLK ROSY</t>
  </si>
  <si>
    <t>001!0611834491025</t>
  </si>
  <si>
    <t>GAURA GAMBIT ROSE</t>
  </si>
  <si>
    <t>001!0611884222100</t>
  </si>
  <si>
    <t>GAURA GAUDI RED</t>
  </si>
  <si>
    <t>001!0611834493025</t>
  </si>
  <si>
    <t>GAURA GAURIELLA BIC</t>
  </si>
  <si>
    <t>001!0611834495025</t>
  </si>
  <si>
    <t>GAURA GRACE COMP PINK</t>
  </si>
  <si>
    <t>001!0611834497025</t>
  </si>
  <si>
    <t>GAURA GRACEFUL BLUSH</t>
  </si>
  <si>
    <t>001!0611862110100</t>
  </si>
  <si>
    <t>GAURA GRACEFUL MAGIC</t>
  </si>
  <si>
    <t>001!0611862111100</t>
  </si>
  <si>
    <t>GAURA GRACEFUL PINK</t>
  </si>
  <si>
    <t>001!0611862112100</t>
  </si>
  <si>
    <t>001!0611862113050</t>
  </si>
  <si>
    <t>GAURA GRACEFUL WHITE</t>
  </si>
  <si>
    <t>001!0611862114100</t>
  </si>
  <si>
    <t>GAURA LINDHEIMERI GENERIC</t>
  </si>
  <si>
    <t>001!0611834498100</t>
  </si>
  <si>
    <t>GAURA LITTLE JANIE</t>
  </si>
  <si>
    <t>001!0611834500025</t>
  </si>
  <si>
    <t>GAURA PASSIONATE BLUSH</t>
  </si>
  <si>
    <t>001!0611834501025</t>
  </si>
  <si>
    <t>GAURA PASSIONATE RAINBOW</t>
  </si>
  <si>
    <t>001!0611834502025</t>
  </si>
  <si>
    <t>001!0611862115100</t>
  </si>
  <si>
    <t>GAURA PINK</t>
  </si>
  <si>
    <t>001!0611834503025</t>
  </si>
  <si>
    <t>GAURA ROSY JANE</t>
  </si>
  <si>
    <t>001!0611834505025</t>
  </si>
  <si>
    <t>001!0611862116100</t>
  </si>
  <si>
    <t>GAURA SISKIYOU PINK</t>
  </si>
  <si>
    <t>001!0611834506025</t>
  </si>
  <si>
    <t>001!0611862117100</t>
  </si>
  <si>
    <t>GAURA SISKIYOU PINK LMTD</t>
  </si>
  <si>
    <t>001!0611862118050</t>
  </si>
  <si>
    <t>GAURA SPARKLE WHITE</t>
  </si>
  <si>
    <t>001!0611834507025</t>
  </si>
  <si>
    <t>GAURA STEFFI BLUSH PINK</t>
  </si>
  <si>
    <t>001!0611834508025</t>
  </si>
  <si>
    <t>GAURA STEFFI DARK ROSE</t>
  </si>
  <si>
    <t>001!0611834509025</t>
  </si>
  <si>
    <t>GAURA STEFFI WHITE</t>
  </si>
  <si>
    <t>001!0611856955025</t>
  </si>
  <si>
    <t>GAURA WHIRLING BUTTERFLIES</t>
  </si>
  <si>
    <t>001!0611834512025</t>
  </si>
  <si>
    <t>001!0611862119100</t>
  </si>
  <si>
    <t>GAURA WHISKERS DEEP ROSE</t>
  </si>
  <si>
    <t>001!0611834513025</t>
  </si>
  <si>
    <t>GAURA WHITE DOVE</t>
  </si>
  <si>
    <t>001!0611834514025</t>
  </si>
  <si>
    <t>GAZANI BIG KISS ORANGE</t>
  </si>
  <si>
    <t>001!0611834544100</t>
  </si>
  <si>
    <t>GAZANI BIG KISS ORANGE FLAME</t>
  </si>
  <si>
    <t>001!0611834545100</t>
  </si>
  <si>
    <t>GAZANI BIG KISS RED</t>
  </si>
  <si>
    <t>001!0611834546100</t>
  </si>
  <si>
    <t>GAZANI BIG KISS SERIES</t>
  </si>
  <si>
    <t>001!0611834547100</t>
  </si>
  <si>
    <t>GAZANI BIG KISS WHITE</t>
  </si>
  <si>
    <t>001!0611834548100</t>
  </si>
  <si>
    <t>GAZANI BIG KISS WHITE FLAME</t>
  </si>
  <si>
    <t>001!0611834549100</t>
  </si>
  <si>
    <t>GAZANI BIG KISS YELLOW</t>
  </si>
  <si>
    <t>001!0611834550100</t>
  </si>
  <si>
    <t>GAZANI BIG KISS YELLOW FLAME</t>
  </si>
  <si>
    <t>001!0611834551100</t>
  </si>
  <si>
    <t>GAZANI DAY BRIGHT MIX</t>
  </si>
  <si>
    <t>001!0611834515100</t>
  </si>
  <si>
    <t>GAZANI DAY BRONZE SHADES</t>
  </si>
  <si>
    <t>001!0611834516100</t>
  </si>
  <si>
    <t>GAZANI DAY CLEAR ORANGE</t>
  </si>
  <si>
    <t>001!0611834517100</t>
  </si>
  <si>
    <t>GAZANI DAY MIX</t>
  </si>
  <si>
    <t>001!0611834518100</t>
  </si>
  <si>
    <t>GAZANI DAY PINK SHADES</t>
  </si>
  <si>
    <t>001!0611834519100</t>
  </si>
  <si>
    <t>GAZANI DAY RED SHADES</t>
  </si>
  <si>
    <t>001!0611834520100</t>
  </si>
  <si>
    <t>GAZANI DAY RED STRIPE</t>
  </si>
  <si>
    <t>001!0611834521100</t>
  </si>
  <si>
    <t>GAZANI DAY ROSE STRIPE</t>
  </si>
  <si>
    <t>001!0611834522100</t>
  </si>
  <si>
    <t>GAZANI DAY STRWBR SHORTCAKE MX</t>
  </si>
  <si>
    <t>001!0611834523100</t>
  </si>
  <si>
    <t>GAZANI DAY SUNNY SIDE UP MIX</t>
  </si>
  <si>
    <t>001!0611834524100</t>
  </si>
  <si>
    <t>GAZANI DAY TIGER MIX</t>
  </si>
  <si>
    <t>001!0611834525100</t>
  </si>
  <si>
    <t>GAZANI DAY WHITE</t>
  </si>
  <si>
    <t>001!0611834526100</t>
  </si>
  <si>
    <t>GAZANI DAY YELLOW</t>
  </si>
  <si>
    <t>001!0611834527100</t>
  </si>
  <si>
    <t>GAZANI DAYBREAK BRIGHT ORANGE</t>
  </si>
  <si>
    <t>001!0611834528100</t>
  </si>
  <si>
    <t>GAZANI DAYBREAK BRIGHT YELLOW</t>
  </si>
  <si>
    <t>001!0611834529100</t>
  </si>
  <si>
    <t>GAZANI DAYBREAK MIX</t>
  </si>
  <si>
    <t>001!0611834530100</t>
  </si>
  <si>
    <t>GAZANI DAYBREAK PINK SHADES</t>
  </si>
  <si>
    <t>001!0611834531100</t>
  </si>
  <si>
    <t>GAZANI DAYBREAK RED STRIPE</t>
  </si>
  <si>
    <t>001!0611834532100</t>
  </si>
  <si>
    <t>GAZANI ENORMA MIX</t>
  </si>
  <si>
    <t>001!0611834534100</t>
  </si>
  <si>
    <t>GAZANI GAZANIA GENERIC</t>
  </si>
  <si>
    <t>001!0611834535100</t>
  </si>
  <si>
    <t>001!0611834536100</t>
  </si>
  <si>
    <t>GAZANI GAZOO FORMULA MIX</t>
  </si>
  <si>
    <t>001!0611834540100</t>
  </si>
  <si>
    <t>GAZANI GOLD</t>
  </si>
  <si>
    <t>001!0611834543025</t>
  </si>
  <si>
    <t>GAZANI KISS FLAME MIX</t>
  </si>
  <si>
    <t>001!0611834552100</t>
  </si>
  <si>
    <t>GAZANI KISS FROSTY FLAME MIX</t>
  </si>
  <si>
    <t>001!0611834553100</t>
  </si>
  <si>
    <t>GAZANI KISS FROSTY MIX</t>
  </si>
  <si>
    <t>001!0611834554100</t>
  </si>
  <si>
    <t>GAZANI KISS FROSTY ORANGE</t>
  </si>
  <si>
    <t>001!0611834555100</t>
  </si>
  <si>
    <t>GAZANI KISS FROSTY ORANGE FLM</t>
  </si>
  <si>
    <t>001!0611834556100</t>
  </si>
  <si>
    <t>GAZANI KISS FROSTY RED</t>
  </si>
  <si>
    <t>001!0611834557100</t>
  </si>
  <si>
    <t>GAZANI KISS FROSTY WHITE</t>
  </si>
  <si>
    <t>001!0611834558100</t>
  </si>
  <si>
    <t>GAZANI KISS FROSTY WHITE FLAME</t>
  </si>
  <si>
    <t>001!0611834559100</t>
  </si>
  <si>
    <t>GAZANI KISS FROSTY YELLOW</t>
  </si>
  <si>
    <t>001!0611834560100</t>
  </si>
  <si>
    <t>GAZANI KISS GOLDEN FLAME</t>
  </si>
  <si>
    <t>001!0611834561100</t>
  </si>
  <si>
    <t>GAZANI KISS MIX</t>
  </si>
  <si>
    <t>001!0611834562100</t>
  </si>
  <si>
    <t>GAZANI KISS ORANGE</t>
  </si>
  <si>
    <t>001!0611834563100</t>
  </si>
  <si>
    <t>GAZANI KISS ORANGE FLAME</t>
  </si>
  <si>
    <t>001!0611834564100</t>
  </si>
  <si>
    <t>GAZANI KISS RED</t>
  </si>
  <si>
    <t>001!0611856956100</t>
  </si>
  <si>
    <t>GAZANI KISS ROSE</t>
  </si>
  <si>
    <t>001!0611834565100</t>
  </si>
  <si>
    <t>GAZANI KISS SERIES</t>
  </si>
  <si>
    <t>001!0611834566100</t>
  </si>
  <si>
    <t>GAZANI KISS WHITE</t>
  </si>
  <si>
    <t>001!0611834567100</t>
  </si>
  <si>
    <t>GAZANI KISS WHITE FLAME</t>
  </si>
  <si>
    <t>001!0611856957100</t>
  </si>
  <si>
    <t>GAZANI KISS YELLOW</t>
  </si>
  <si>
    <t>001!0611834568100</t>
  </si>
  <si>
    <t>GAZANI KISS YELLOW FLAME</t>
  </si>
  <si>
    <t>001!0611834569100</t>
  </si>
  <si>
    <t>GAZANI MIX GENERIC</t>
  </si>
  <si>
    <t>001!0611834571100</t>
  </si>
  <si>
    <t>GAZANI SUNBATHERS NAHUI</t>
  </si>
  <si>
    <t>001!0611834573100</t>
  </si>
  <si>
    <t>GAZANI SUNBATHERS TIKAL</t>
  </si>
  <si>
    <t>001!0611834575100</t>
  </si>
  <si>
    <t>GAZANI SUNBATHERS TOTONACA</t>
  </si>
  <si>
    <t>001!0611834576100</t>
  </si>
  <si>
    <t>GAZANI SUNME SERIES</t>
  </si>
  <si>
    <t>001!0611884223100</t>
  </si>
  <si>
    <t>GAZANI TALENT MIX</t>
  </si>
  <si>
    <t>001!0611834578100</t>
  </si>
  <si>
    <t>GAZANI TIGER MIX</t>
  </si>
  <si>
    <t>001!0611834579100</t>
  </si>
  <si>
    <t>GAZANI ZANY MIX</t>
  </si>
  <si>
    <t>001!0611834580100</t>
  </si>
  <si>
    <t>GAZANI ZANY ORANGE</t>
  </si>
  <si>
    <t>001!0611834581100</t>
  </si>
  <si>
    <t>GAZANI ZANY ORANGE FLAME</t>
  </si>
  <si>
    <t>001!0611834582100</t>
  </si>
  <si>
    <t>GAZANI ZANY PINK</t>
  </si>
  <si>
    <t>001!0611834583100</t>
  </si>
  <si>
    <t>GAZANI ZANY WHITE</t>
  </si>
  <si>
    <t>001!0611834584100</t>
  </si>
  <si>
    <t>GAZANI ZANY YELLOW</t>
  </si>
  <si>
    <t>001!0611834585100</t>
  </si>
  <si>
    <t>GENERI BRIGHT LIGHT HOUSEPLANT</t>
  </si>
  <si>
    <t>001!0611831990025</t>
  </si>
  <si>
    <t>100/100 LG Nurs Tag</t>
  </si>
  <si>
    <t>001!0611884224100</t>
  </si>
  <si>
    <t>Large Nursery</t>
  </si>
  <si>
    <t>GENERI LOW LIGHT HOUSEPLANT</t>
  </si>
  <si>
    <t>001!0611884225100</t>
  </si>
  <si>
    <t>GENERI MEDIUM LIGHT HOUSEPLANT</t>
  </si>
  <si>
    <t>001!0611836748025</t>
  </si>
  <si>
    <t>001!0611884226100</t>
  </si>
  <si>
    <t>GENERI PERENNIAL GENERIC</t>
  </si>
  <si>
    <t>001!0611837482025</t>
  </si>
  <si>
    <t>GERANI AMERICANA BRIGHT RED</t>
  </si>
  <si>
    <t>001!0611862120050</t>
  </si>
  <si>
    <t>GERANI AMERICANA CHERRY ROSE</t>
  </si>
  <si>
    <t>001!0611862121050</t>
  </si>
  <si>
    <t>GERANI AMERICANA CORAL</t>
  </si>
  <si>
    <t>001!0611862122050</t>
  </si>
  <si>
    <t>GERANI AMERICANA DARK RED</t>
  </si>
  <si>
    <t>001!0611862123050</t>
  </si>
  <si>
    <t>GERANI AMERICANA DARK SALMON</t>
  </si>
  <si>
    <t>001!0611862124050</t>
  </si>
  <si>
    <t>GERANI AMERICANA HOT PINK</t>
  </si>
  <si>
    <t>001!0611862125050</t>
  </si>
  <si>
    <t>GERANI AMERICANA LAVEND SPLASH</t>
  </si>
  <si>
    <t>001!0611862126050</t>
  </si>
  <si>
    <t>GERANI AMERICANA LT PK SPLASH</t>
  </si>
  <si>
    <t>001!0611862127050</t>
  </si>
  <si>
    <t>GERANI AMERICANA ORCHID</t>
  </si>
  <si>
    <t>001!0611862128050</t>
  </si>
  <si>
    <t>GERANI AMERICANA PINK</t>
  </si>
  <si>
    <t>001!0611862129050</t>
  </si>
  <si>
    <t>GERANI AMERICANA RED</t>
  </si>
  <si>
    <t>001!0611862130050</t>
  </si>
  <si>
    <t>GERANI AMERICANA ROSE ICE</t>
  </si>
  <si>
    <t>001!0611862131050</t>
  </si>
  <si>
    <t>GERANI AMERICANA ROSE MEGA SPL</t>
  </si>
  <si>
    <t>001!0611862132050</t>
  </si>
  <si>
    <t>GERANI AMERICANA SALMON</t>
  </si>
  <si>
    <t>001!0611862133050</t>
  </si>
  <si>
    <t>GERANI AMERICANA SCARLET FIRE</t>
  </si>
  <si>
    <t>001!0611862135050</t>
  </si>
  <si>
    <t>GERANI AMERICANA VIOLET</t>
  </si>
  <si>
    <t>001!0611862136050</t>
  </si>
  <si>
    <t>GERANI AMERICANA VIOLET ICE</t>
  </si>
  <si>
    <t>001!0611862137050</t>
  </si>
  <si>
    <t>GERANI AMERICANA WHITE</t>
  </si>
  <si>
    <t>001!0611862138050</t>
  </si>
  <si>
    <t>GERANI AMERICANA WHITE SPLASH</t>
  </si>
  <si>
    <t>001!0611862139050</t>
  </si>
  <si>
    <t>GERANI APPLEBLOSSOM GENERIC</t>
  </si>
  <si>
    <t>001!0611837169100</t>
  </si>
  <si>
    <t>GERANI ARISTO SERIES</t>
  </si>
  <si>
    <t>001!0611837170100</t>
  </si>
  <si>
    <t>GERANI AROMA SERIES</t>
  </si>
  <si>
    <t>001!0611856958100</t>
  </si>
  <si>
    <t>GERANI ATTAR OF ROSES</t>
  </si>
  <si>
    <t>001!0611837171100</t>
  </si>
  <si>
    <t>GERANI BICOLOR GENERIC</t>
  </si>
  <si>
    <t>001!0611884227100</t>
  </si>
  <si>
    <t>GERANI BIG EEZE CORAL</t>
  </si>
  <si>
    <t>001!0611862140050</t>
  </si>
  <si>
    <t>GERANI BIG EEZE DARK RED</t>
  </si>
  <si>
    <t>001!0611862141050</t>
  </si>
  <si>
    <t>GERANI BIG EEZE FOXY FLAMINGO</t>
  </si>
  <si>
    <t>001!0611862142050</t>
  </si>
  <si>
    <t>GERANI BIG EEZE FUCHSIA BLUE</t>
  </si>
  <si>
    <t>001!0611862143050</t>
  </si>
  <si>
    <t>GERANI BIG EEZE NEON</t>
  </si>
  <si>
    <t>001!0611862144050</t>
  </si>
  <si>
    <t>GERANI BIG EEZE PINK</t>
  </si>
  <si>
    <t>001!0611862145050</t>
  </si>
  <si>
    <t>GERANI BIG EEZE PINK BATIK</t>
  </si>
  <si>
    <t>001!0611884228050</t>
  </si>
  <si>
    <t>GERANI BIG EEZE SAKURA</t>
  </si>
  <si>
    <t>001!0611862146050</t>
  </si>
  <si>
    <t>GERANI BIG EEZE SALMON</t>
  </si>
  <si>
    <t>001!0611862147050</t>
  </si>
  <si>
    <t>GERANI BIG EEZE SCARLET</t>
  </si>
  <si>
    <t>001!0611862148050</t>
  </si>
  <si>
    <t>GERANI BIG EEZE WATERMELON</t>
  </si>
  <si>
    <t>001!0611862149050</t>
  </si>
  <si>
    <t>GERANI BIG EEZE WHITE</t>
  </si>
  <si>
    <t>001!0611884229050</t>
  </si>
  <si>
    <t>GERANI BIOKOVO CANTABRIGIENSE</t>
  </si>
  <si>
    <t>001!0611834587025</t>
  </si>
  <si>
    <t>GERANI BLIZZARD BLUE IVY</t>
  </si>
  <si>
    <t>001!0611862150050</t>
  </si>
  <si>
    <t>GERANI BLIZZARD DARK RED</t>
  </si>
  <si>
    <t>001!0611862151050</t>
  </si>
  <si>
    <t>GERANI BLIZZARD PINK</t>
  </si>
  <si>
    <t>001!0611862152050</t>
  </si>
  <si>
    <t>GERANI BLIZZARD RED</t>
  </si>
  <si>
    <t>001!0611862153050</t>
  </si>
  <si>
    <t>GERANI BLIZZARD WHITE</t>
  </si>
  <si>
    <t>001!0611862154050</t>
  </si>
  <si>
    <t>GERANI BRGHT PINK GNRC BILINGL</t>
  </si>
  <si>
    <t>001!0611837173100</t>
  </si>
  <si>
    <t>GERANI BRGHT RED GNRC BILINGL</t>
  </si>
  <si>
    <t>001!0611837174100</t>
  </si>
  <si>
    <t>GERANI BROCADE CHERRY NIGHT</t>
  </si>
  <si>
    <t>001!0611862156050</t>
  </si>
  <si>
    <t>GERANI BROCADE FIRE</t>
  </si>
  <si>
    <t>001!0611862157050</t>
  </si>
  <si>
    <t>GERANI BROCADE FIRE NIGHT</t>
  </si>
  <si>
    <t>001!0611862158050</t>
  </si>
  <si>
    <t>GERANI BROCADE SALMON NIGHT</t>
  </si>
  <si>
    <t>001!0611862159050</t>
  </si>
  <si>
    <t>GERANI BROCADE WILHLM LANGGUTH</t>
  </si>
  <si>
    <t>001!0611862155050</t>
  </si>
  <si>
    <t>GERANI BROOKSIDE</t>
  </si>
  <si>
    <t>001!0611834588025</t>
  </si>
  <si>
    <t>GERANI BULLSEYE CHERRY</t>
  </si>
  <si>
    <t>001!0611837175100</t>
  </si>
  <si>
    <t>GERANI BULLSEYE LIGHT PINK</t>
  </si>
  <si>
    <t>001!0611837176100</t>
  </si>
  <si>
    <t>GERANI BULLSEYE MIX</t>
  </si>
  <si>
    <t>001!0611837177100</t>
  </si>
  <si>
    <t>GERANI BULLSEYE RED</t>
  </si>
  <si>
    <t>001!0611837178100</t>
  </si>
  <si>
    <t>GERANI BULLSEYE SALMON</t>
  </si>
  <si>
    <t>001!0611837179100</t>
  </si>
  <si>
    <t>GERANI BULLSEYE SCARLET</t>
  </si>
  <si>
    <t>001!0611837180100</t>
  </si>
  <si>
    <t>GERANI CALDERA LAVENDER GLOW</t>
  </si>
  <si>
    <t>001!0611862160050</t>
  </si>
  <si>
    <t>GERANI CALDERA PINK</t>
  </si>
  <si>
    <t>001!0611862161050</t>
  </si>
  <si>
    <t>GERANI CALDERA RED</t>
  </si>
  <si>
    <t>001!0611862162050</t>
  </si>
  <si>
    <t>GERANI CALDERA SALMON</t>
  </si>
  <si>
    <t>001!0611862163050</t>
  </si>
  <si>
    <t>GERANI CALIENTE CORAL SALMON</t>
  </si>
  <si>
    <t>001!0611862164050</t>
  </si>
  <si>
    <t>GERANI CALIENTE DEEP RED</t>
  </si>
  <si>
    <t>001!0611862165050</t>
  </si>
  <si>
    <t>GERANI CALIENTE FIRE</t>
  </si>
  <si>
    <t>001!0611862166050</t>
  </si>
  <si>
    <t>GERANI CALIENTE HOT CORAL</t>
  </si>
  <si>
    <t>001!0611862167050</t>
  </si>
  <si>
    <t>GERANI CALIENTE LAVENDER IMP</t>
  </si>
  <si>
    <t>001!0611862168050</t>
  </si>
  <si>
    <t>GERANI CALIENTE MAGENTA</t>
  </si>
  <si>
    <t>001!0611862169050</t>
  </si>
  <si>
    <t>GERANI CALIENTE ORANGE</t>
  </si>
  <si>
    <t>001!0611862170050</t>
  </si>
  <si>
    <t>GERANI CALIENTE PINK</t>
  </si>
  <si>
    <t>001!0611862171050</t>
  </si>
  <si>
    <t>GERANI CALIENTE ROSE</t>
  </si>
  <si>
    <t>001!0611862172050</t>
  </si>
  <si>
    <t>GERANI CALIENTE WHITE</t>
  </si>
  <si>
    <t>001!0611862173050</t>
  </si>
  <si>
    <t>GERANI CALLIOPE CASCADE VIOLET</t>
  </si>
  <si>
    <t>001!0611862174050</t>
  </si>
  <si>
    <t>GERANI CALLIOPE LG BURGUNDY</t>
  </si>
  <si>
    <t>001!0611862175050</t>
  </si>
  <si>
    <t>GERANI CALLIOPE LG CORAL</t>
  </si>
  <si>
    <t>001!0611862176050</t>
  </si>
  <si>
    <t>GERANI CALLIOPE LG DARK RED</t>
  </si>
  <si>
    <t>001!0611862177050</t>
  </si>
  <si>
    <t>GERANI CALLIOPE LG HOT PINK</t>
  </si>
  <si>
    <t>001!0611862178050</t>
  </si>
  <si>
    <t>GERANI CALLIOPE LG HOT ROSE</t>
  </si>
  <si>
    <t>001!0611862179050</t>
  </si>
  <si>
    <t>GERANI CALLIOPE LG LAV MGA SPL</t>
  </si>
  <si>
    <t>001!0611862180050</t>
  </si>
  <si>
    <t>GERANI CALLIOPE LG LAVENDER</t>
  </si>
  <si>
    <t>001!0611862181050</t>
  </si>
  <si>
    <t>GERANI CALLIOPE LG MAGENTA</t>
  </si>
  <si>
    <t>001!0611862182050</t>
  </si>
  <si>
    <t>GERANI CALLIOPE LG ORNG SPLASH</t>
  </si>
  <si>
    <t>001!0611862183050</t>
  </si>
  <si>
    <t>GERANI CALLIOPE LG PINK</t>
  </si>
  <si>
    <t>001!0611862184050</t>
  </si>
  <si>
    <t>GERANI CALLIOPE LG RED</t>
  </si>
  <si>
    <t>001!0611862185050</t>
  </si>
  <si>
    <t>GERANI CALLIOPE LG RS MEGA SPL</t>
  </si>
  <si>
    <t>001!0611862186050</t>
  </si>
  <si>
    <t>GERANI CALLIOPE LG SALMON</t>
  </si>
  <si>
    <t>001!0611862187050</t>
  </si>
  <si>
    <t>GERANI CALLIOPE LG SCARLET FIR</t>
  </si>
  <si>
    <t>001!0611862188050</t>
  </si>
  <si>
    <t>GERANI CALLIOPE LG WHITE</t>
  </si>
  <si>
    <t>001!0611862189050</t>
  </si>
  <si>
    <t>GERANI CALLIOPE MED BRT ROSE</t>
  </si>
  <si>
    <t>001!0611862190050</t>
  </si>
  <si>
    <t>GERANI CALLIOPE MED BRT SCARLT</t>
  </si>
  <si>
    <t>001!0611862191050</t>
  </si>
  <si>
    <t>GERANI CALLIOPE MED BURGUNDY</t>
  </si>
  <si>
    <t>001!0611862192050</t>
  </si>
  <si>
    <t>GERANI CALLIOPE MED CHERRY</t>
  </si>
  <si>
    <t>001!0611862193050</t>
  </si>
  <si>
    <t>GERANI CALLIOPE MED CRIMSN FLM</t>
  </si>
  <si>
    <t>001!0611862194050</t>
  </si>
  <si>
    <t>GERANI CALLIOPE MED DARK PINK</t>
  </si>
  <si>
    <t>001!0611862195050</t>
  </si>
  <si>
    <t>GERANI CALLIOPE MED DARK RD DL</t>
  </si>
  <si>
    <t>001!0611862196050</t>
  </si>
  <si>
    <t>GERANI CALLIOPE MED DARK RED</t>
  </si>
  <si>
    <t>001!0611862197050</t>
  </si>
  <si>
    <t>GERANI CALLIOPE MED DEEP ROSE</t>
  </si>
  <si>
    <t>001!0611862198050</t>
  </si>
  <si>
    <t>GERANI CALLIOPE MED HOT PINK</t>
  </si>
  <si>
    <t>001!0611862199050</t>
  </si>
  <si>
    <t>GERANI CALLIOPE MED HOT ROSE</t>
  </si>
  <si>
    <t>001!0611862200050</t>
  </si>
  <si>
    <t>GERANI CALLIOPE MED LAV ROSE</t>
  </si>
  <si>
    <t>001!0611862201050</t>
  </si>
  <si>
    <t>GERANI CALLIOPE MED PINK FLAME</t>
  </si>
  <si>
    <t>001!0611862203050</t>
  </si>
  <si>
    <t>GERANI CALLIOPE MED RED</t>
  </si>
  <si>
    <t>001!0611862204050</t>
  </si>
  <si>
    <t>GERANI CALLIOPE MED RS MEG SPL</t>
  </si>
  <si>
    <t>001!0611862205050</t>
  </si>
  <si>
    <t>GERANI CALLIOPE MED SALMON</t>
  </si>
  <si>
    <t>001!0611862206050</t>
  </si>
  <si>
    <t>GERANI CALLIOPE MED SCARLET</t>
  </si>
  <si>
    <t>001!0611862207050</t>
  </si>
  <si>
    <t>GERANI CALLIOPE MED VIOLET</t>
  </si>
  <si>
    <t>001!0611862208050</t>
  </si>
  <si>
    <t>GERANI CALLIOPE MED WHITE</t>
  </si>
  <si>
    <t>001!0611862209050</t>
  </si>
  <si>
    <t>GERANI CALLIOPE MED WHITE SPL</t>
  </si>
  <si>
    <t>001!0611884230050</t>
  </si>
  <si>
    <t>GERANI CANDY FLWRS SERIES</t>
  </si>
  <si>
    <t>001!0611856959100</t>
  </si>
  <si>
    <t>GERANI CANDY IDOLS BLUE</t>
  </si>
  <si>
    <t>001!0611862210050</t>
  </si>
  <si>
    <t>GERANI CANDY IDOLS BRIGHT RED</t>
  </si>
  <si>
    <t>001!0611862211050</t>
  </si>
  <si>
    <t>GERANI CANDY IDOLS DARK SALMON</t>
  </si>
  <si>
    <t>001!0611862212050</t>
  </si>
  <si>
    <t>GERANI CANDY IDOLS NEON</t>
  </si>
  <si>
    <t>001!0611862213050</t>
  </si>
  <si>
    <t>GERANI CANDY IDOLS ROSE W/EYE</t>
  </si>
  <si>
    <t>001!0611862214050</t>
  </si>
  <si>
    <t>GERANI CANDY IDOLS VIOLET</t>
  </si>
  <si>
    <t>001!0611862215050</t>
  </si>
  <si>
    <t>GERANI CANDY IDOLS WHITE</t>
  </si>
  <si>
    <t>001!0611862216050</t>
  </si>
  <si>
    <t>GERANI CANDY ROSE SPLASH</t>
  </si>
  <si>
    <t>001!0611862217050</t>
  </si>
  <si>
    <t>GERANI CANDY WHITE PARFAIT</t>
  </si>
  <si>
    <t>001!0611862218050</t>
  </si>
  <si>
    <t>GERANI CASCADE ACAPULCO COMP</t>
  </si>
  <si>
    <t>001!0611862219050</t>
  </si>
  <si>
    <t>GERANI CASCADE APPLEBLOSSOM</t>
  </si>
  <si>
    <t>001!0611862220050</t>
  </si>
  <si>
    <t>GERANI CASCADE BRIGHT</t>
  </si>
  <si>
    <t>001!0611862221050</t>
  </si>
  <si>
    <t>GERANI CASCADE DARK RED</t>
  </si>
  <si>
    <t>001!0611862222050</t>
  </si>
  <si>
    <t>GERANI CASCADE LILA COMP</t>
  </si>
  <si>
    <t>001!0611862223050</t>
  </si>
  <si>
    <t>GERANI CASCADE SOFIE</t>
  </si>
  <si>
    <t>001!0611862224050</t>
  </si>
  <si>
    <t>GERANI CASCADE WHITE</t>
  </si>
  <si>
    <t>001!0611862225050</t>
  </si>
  <si>
    <t>GERANI CASSIOPEIA</t>
  </si>
  <si>
    <t>001!0611837187100</t>
  </si>
  <si>
    <t>GERANI CHOCOLATE APRICOT</t>
  </si>
  <si>
    <t>001!0611837188100</t>
  </si>
  <si>
    <t>GERANI CHOCOLATE CHERRY</t>
  </si>
  <si>
    <t>001!0611837189100</t>
  </si>
  <si>
    <t>GERANI CHOCOLATE FIRE</t>
  </si>
  <si>
    <t>001!0611837190100</t>
  </si>
  <si>
    <t>GERANI CHOCOLT PK DRAGON FRUIT</t>
  </si>
  <si>
    <t>001!0611837191100</t>
  </si>
  <si>
    <t>GERANI CITRONELLA</t>
  </si>
  <si>
    <t>001!0611862226050</t>
  </si>
  <si>
    <t>GERANI CITROSUM</t>
  </si>
  <si>
    <t>001!0611837192100</t>
  </si>
  <si>
    <t>GERANI CLASSIC MOSAIC PURPLE</t>
  </si>
  <si>
    <t>001!0611862227050</t>
  </si>
  <si>
    <t>GERANI CLASSIC MOSAIC RED</t>
  </si>
  <si>
    <t>001!0611862228050</t>
  </si>
  <si>
    <t>GERANI CONCOLOR LACE</t>
  </si>
  <si>
    <t>001!0611837195100</t>
  </si>
  <si>
    <t>GERANI CONTESSA BURGUNDY</t>
  </si>
  <si>
    <t>001!0611862230050</t>
  </si>
  <si>
    <t>GERANI CONTESSA RED</t>
  </si>
  <si>
    <t>001!0611862238050</t>
  </si>
  <si>
    <t>GERANI CORAL GENERIC BILINGUAL</t>
  </si>
  <si>
    <t>001!0611837196100</t>
  </si>
  <si>
    <t>GERANI CRYSTAL PALACE</t>
  </si>
  <si>
    <t>001!0611837198100</t>
  </si>
  <si>
    <t>GERANI CUMBANITA DARK RED</t>
  </si>
  <si>
    <t>001!0611862240050</t>
  </si>
  <si>
    <t>GERANI CUMBANITA DEEP ROSE</t>
  </si>
  <si>
    <t>001!0611862241050</t>
  </si>
  <si>
    <t>GERANI CUMBANITA LILAC</t>
  </si>
  <si>
    <t>001!0611862242050</t>
  </si>
  <si>
    <t>GERANI CUMBANITA ROSE SPLASH</t>
  </si>
  <si>
    <t>001!0611862243050</t>
  </si>
  <si>
    <t>GERANI DARKO SERIES</t>
  </si>
  <si>
    <t>001!0611837201100</t>
  </si>
  <si>
    <t>GERANI DARKO SOFT ROSE</t>
  </si>
  <si>
    <t>001!0611837202100</t>
  </si>
  <si>
    <t>GERANI DARKO SPANISH WINE ROSE</t>
  </si>
  <si>
    <t>001!0611837203100</t>
  </si>
  <si>
    <t>GERANI DECORA RED IVY</t>
  </si>
  <si>
    <t>001!0611862244050</t>
  </si>
  <si>
    <t>GERANI DECORA SERIES</t>
  </si>
  <si>
    <t>001!0611837204100</t>
  </si>
  <si>
    <t>GERANI DEEP ROSE GNRC BILINGL</t>
  </si>
  <si>
    <t>001!0611837206100</t>
  </si>
  <si>
    <t>GERANI DK RD GENERIC BILINGUAL</t>
  </si>
  <si>
    <t>001!0611837205100</t>
  </si>
  <si>
    <t>GERANI ELANOS SERIES</t>
  </si>
  <si>
    <t>001!0611837207100</t>
  </si>
  <si>
    <t>GERANI ELEGANCE BRAVO REGAL</t>
  </si>
  <si>
    <t>001!0611862245050</t>
  </si>
  <si>
    <t>GERANI ELEGANCE BURGUNDY</t>
  </si>
  <si>
    <t>001!0611862246050</t>
  </si>
  <si>
    <t>GERANI ELEGANCE CHERRY BLUSH</t>
  </si>
  <si>
    <t>001!0611862247050</t>
  </si>
  <si>
    <t>GERANI ELEGANCE CLARET</t>
  </si>
  <si>
    <t>001!0611862248050</t>
  </si>
  <si>
    <t>GERANI ELEGANCE CRYSTAL ROSE</t>
  </si>
  <si>
    <t>001!0611862249050</t>
  </si>
  <si>
    <t>GERANI ELEGANCE IMPERIAL</t>
  </si>
  <si>
    <t>001!0611862250050</t>
  </si>
  <si>
    <t>GERANI ELEGANCE LILAC MAJESTY</t>
  </si>
  <si>
    <t>001!0611862251050</t>
  </si>
  <si>
    <t>GERANI ELEGANCE LILAC SACHET</t>
  </si>
  <si>
    <t>001!0611862252050</t>
  </si>
  <si>
    <t>GERANI ELEGANCE LT LAV SPLASH</t>
  </si>
  <si>
    <t>001!0611862253050</t>
  </si>
  <si>
    <t>GERANI ELEGANCE PURPLE MAJESTY</t>
  </si>
  <si>
    <t>001!0611862254050</t>
  </si>
  <si>
    <t>GERANI ELEGANCE RED VELVET</t>
  </si>
  <si>
    <t>001!0611862255050</t>
  </si>
  <si>
    <t>GERANI ELEGANCE ROSE BICOLOR</t>
  </si>
  <si>
    <t>001!0611862256050</t>
  </si>
  <si>
    <t>GERANI ELEGANCE ROYALTY WHITE</t>
  </si>
  <si>
    <t>001!0611862257050</t>
  </si>
  <si>
    <t>GERANI ELEGANCE SUNRISE</t>
  </si>
  <si>
    <t>001!0611862258050</t>
  </si>
  <si>
    <t>GERANI EXOTICA CORAL SUNRISE</t>
  </si>
  <si>
    <t>001!0611862259050</t>
  </si>
  <si>
    <t>GERANI FIREWORKS SERIES</t>
  </si>
  <si>
    <t>001!0611837208100</t>
  </si>
  <si>
    <t>GERANI FRAGRANS</t>
  </si>
  <si>
    <t>001!0611837210100</t>
  </si>
  <si>
    <t>GERANI GENERIC</t>
  </si>
  <si>
    <t>001!0611837212100</t>
  </si>
  <si>
    <t>001!0611837213025</t>
  </si>
  <si>
    <t>GERANI GENERIC BILINGUAL</t>
  </si>
  <si>
    <t>001!0611837211100</t>
  </si>
  <si>
    <t>GERANI GLOBAL BURGUNDY</t>
  </si>
  <si>
    <t>001!0611862264050</t>
  </si>
  <si>
    <t>GERANI GLOBAL INOVT STRS/STRPS</t>
  </si>
  <si>
    <t>001!0611862265050</t>
  </si>
  <si>
    <t>GERANI GLOBAL LAVENDER</t>
  </si>
  <si>
    <t>001!0611862266050</t>
  </si>
  <si>
    <t>GERANI GLOBAL RED</t>
  </si>
  <si>
    <t>001!0611862267050</t>
  </si>
  <si>
    <t>GERANI GLOBAL ROSE PINK</t>
  </si>
  <si>
    <t>001!0611862268050</t>
  </si>
  <si>
    <t>GERANI GLOBAL ROYAL WHITE</t>
  </si>
  <si>
    <t>001!0611862269050</t>
  </si>
  <si>
    <t>GERANI GRT BALLS FIRE BLUE</t>
  </si>
  <si>
    <t>001!0611862270050</t>
  </si>
  <si>
    <t>GERANI GRT BALLS FIRE BURG</t>
  </si>
  <si>
    <t>001!0611862271050</t>
  </si>
  <si>
    <t>GERANI GRT BALLS FIRE DK RED</t>
  </si>
  <si>
    <t>001!0611862272050</t>
  </si>
  <si>
    <t>GERANI GRT BALLS FIRE DP ROSE</t>
  </si>
  <si>
    <t>001!0611862273050</t>
  </si>
  <si>
    <t>GERANI GRT BALLS FIRE HOT PINK</t>
  </si>
  <si>
    <t>001!0611884231050</t>
  </si>
  <si>
    <t>GERANI GRT BALLS FIRE LAV 23</t>
  </si>
  <si>
    <t>001!0611862274050</t>
  </si>
  <si>
    <t>GERANI GRT BALLS FIRE LAVENDER</t>
  </si>
  <si>
    <t>001!0611862275050</t>
  </si>
  <si>
    <t>GERANI GRT BALLS FIRE LILAC</t>
  </si>
  <si>
    <t>001!0611884232050</t>
  </si>
  <si>
    <t>GERANI GRT BALLS FIRE LT LAV</t>
  </si>
  <si>
    <t>001!0611862276050</t>
  </si>
  <si>
    <t>GERANI GRT BALLS FIRE MELON</t>
  </si>
  <si>
    <t>001!0611862277050</t>
  </si>
  <si>
    <t>GERANI GRT BALLS FIRE MERLOT</t>
  </si>
  <si>
    <t>001!0611862278050</t>
  </si>
  <si>
    <t>GERANI GRT BALLS FIRE PINK</t>
  </si>
  <si>
    <t>001!0611862279050</t>
  </si>
  <si>
    <t>GERANI GRT BALLS FIRE PINK 23</t>
  </si>
  <si>
    <t>001!0611862280050</t>
  </si>
  <si>
    <t>GERANI GRT BALLS FIRE STR/STRP</t>
  </si>
  <si>
    <t>001!0611862281050</t>
  </si>
  <si>
    <t>GERANI GRT BALLS FIRE VELVET</t>
  </si>
  <si>
    <t>001!0611862282050</t>
  </si>
  <si>
    <t>GERANI GRT BALLS FIRE WHITE</t>
  </si>
  <si>
    <t>001!0611862283050</t>
  </si>
  <si>
    <t>GERANI HAMPSHIRE PURPLE</t>
  </si>
  <si>
    <t>001!0611834591025</t>
  </si>
  <si>
    <t>GERANI IVY DANDY SERIES</t>
  </si>
  <si>
    <t>001!0611837199100</t>
  </si>
  <si>
    <t>GERANI IVY GENERIC</t>
  </si>
  <si>
    <t>001!0611837216100</t>
  </si>
  <si>
    <t>001!0611837217100</t>
  </si>
  <si>
    <t>GERANI IVY LAVENDER GENERIC</t>
  </si>
  <si>
    <t>001!0611837220100</t>
  </si>
  <si>
    <t>GERANI IVY LEAGUE AMETHYST</t>
  </si>
  <si>
    <t>001!0611862285050</t>
  </si>
  <si>
    <t>GERANI IVY LEAGUE ARCTIC RED</t>
  </si>
  <si>
    <t>001!0611862286050</t>
  </si>
  <si>
    <t>GERANI IVY LEAGUE BURGUNDY</t>
  </si>
  <si>
    <t>001!0611862287050</t>
  </si>
  <si>
    <t>GERANI IVY LEAGUE BURGUNDY BIC</t>
  </si>
  <si>
    <t>001!0611862288050</t>
  </si>
  <si>
    <t>GERANI IVY LEAGUE CHERRY BLSM</t>
  </si>
  <si>
    <t>001!0611862289050</t>
  </si>
  <si>
    <t>GERANI IVY LEAGUE DEEP PINK</t>
  </si>
  <si>
    <t>001!0611862290050</t>
  </si>
  <si>
    <t>GERANI IVY LEAGUE HOT CORAL</t>
  </si>
  <si>
    <t>001!0611862291050</t>
  </si>
  <si>
    <t>GERANI IVY LEAGUE LT LAVENDER</t>
  </si>
  <si>
    <t>001!0611862292050</t>
  </si>
  <si>
    <t>GERANI IVY LEAGUE ORCHID</t>
  </si>
  <si>
    <t>001!0611862293050</t>
  </si>
  <si>
    <t>GERANI IVY LEAGUE RED</t>
  </si>
  <si>
    <t>001!0611862294050</t>
  </si>
  <si>
    <t>GERANI IVY LEAGUE SALMON</t>
  </si>
  <si>
    <t>001!0611862295050</t>
  </si>
  <si>
    <t>GERANI IVY LEAGUE WHITE</t>
  </si>
  <si>
    <t>001!0611862296050</t>
  </si>
  <si>
    <t>GERANI IVY REACH OUT SERIES</t>
  </si>
  <si>
    <t>001!0611837284100</t>
  </si>
  <si>
    <t>GERANI IVY RED GENERIC</t>
  </si>
  <si>
    <t>001!0611837285100</t>
  </si>
  <si>
    <t>GERANI IVY TORNADO SERIES</t>
  </si>
  <si>
    <t>001!0611837307100</t>
  </si>
  <si>
    <t>GERANI IVY WHITE GENERIC</t>
  </si>
  <si>
    <t>001!0611837315100</t>
  </si>
  <si>
    <t>GERANI JOHNSONS BLUE</t>
  </si>
  <si>
    <t>001!0611834592025</t>
  </si>
  <si>
    <t>GERANI KARMINA</t>
  </si>
  <si>
    <t>001!0611834593025</t>
  </si>
  <si>
    <t>GERANI LADY PLYMOUTH</t>
  </si>
  <si>
    <t>001!0611837218025</t>
  </si>
  <si>
    <t>GERANI LAV GENERIC BILINGUAL</t>
  </si>
  <si>
    <t>001!0611837219100</t>
  </si>
  <si>
    <t>GERANI LEMONA</t>
  </si>
  <si>
    <t>001!0611837222100</t>
  </si>
  <si>
    <t>GERANI LT PK GENERIC BILINGUAL</t>
  </si>
  <si>
    <t>001!0611837223100</t>
  </si>
  <si>
    <t>GERANI LT SALMON BILINGUAL</t>
  </si>
  <si>
    <t>001!0611837224100</t>
  </si>
  <si>
    <t>GERANI MAESTRO IDOLS BRT RED</t>
  </si>
  <si>
    <t>001!0611862297050</t>
  </si>
  <si>
    <t>GERANI MAESTRO IDOLS CHERRY</t>
  </si>
  <si>
    <t>001!0611862298050</t>
  </si>
  <si>
    <t>GERANI MAESTRO IDOLS DEEP RED</t>
  </si>
  <si>
    <t>001!0611862299050</t>
  </si>
  <si>
    <t>GERANI MAESTRO IDOLS LT PK PRF</t>
  </si>
  <si>
    <t>001!0611862300050</t>
  </si>
  <si>
    <t>GERANI MAESTRO IDOLS NEON VLT</t>
  </si>
  <si>
    <t>001!0611862301050</t>
  </si>
  <si>
    <t>GERANI MAESTRO IDOLS PINK PARF</t>
  </si>
  <si>
    <t>001!0611862302050</t>
  </si>
  <si>
    <t>GERANI MAESTRO IDOLS RED</t>
  </si>
  <si>
    <t>001!0611862303050</t>
  </si>
  <si>
    <t>GERANI MAESTRO IDOLS SALM SPL</t>
  </si>
  <si>
    <t>001!0611862304050</t>
  </si>
  <si>
    <t>GERANI MAESTRO IDOLS SALMON</t>
  </si>
  <si>
    <t>001!0611862305050</t>
  </si>
  <si>
    <t>GERANI MAESTRO IDOLS SSY DK RD</t>
  </si>
  <si>
    <t>001!0611862306050</t>
  </si>
  <si>
    <t>GERANI MAESTRO IDOLS TRUE RED</t>
  </si>
  <si>
    <t>001!0611862307050</t>
  </si>
  <si>
    <t>GERANI MAESTRO IDOLS WHITE</t>
  </si>
  <si>
    <t>001!0611862308050</t>
  </si>
  <si>
    <t>GERANI MANTRA BRIGHT RED</t>
  </si>
  <si>
    <t>001!0611862309050</t>
  </si>
  <si>
    <t>GERANI MANTRA MAGENTA</t>
  </si>
  <si>
    <t>001!0611862310050</t>
  </si>
  <si>
    <t>GERANI MANTRA PINK</t>
  </si>
  <si>
    <t>001!0611862311050</t>
  </si>
  <si>
    <t>GERANI MARTHA WASHINGTON GNRC</t>
  </si>
  <si>
    <t>001!0611837225100</t>
  </si>
  <si>
    <t>GERANI MAVERICK APPLEBLOSSOM</t>
  </si>
  <si>
    <t>001!0611837226100</t>
  </si>
  <si>
    <t>GERANI MAVERICK CORAL</t>
  </si>
  <si>
    <t>001!0611837227100</t>
  </si>
  <si>
    <t>GERANI MAVERICK MIX</t>
  </si>
  <si>
    <t>001!0611837229100</t>
  </si>
  <si>
    <t>GERANI MAVERICK ORANGE</t>
  </si>
  <si>
    <t>001!0611837230100</t>
  </si>
  <si>
    <t>GERANI MAVERICK PINK</t>
  </si>
  <si>
    <t>001!0611837231100</t>
  </si>
  <si>
    <t>GERANI MAVERICK QUICKSILVER</t>
  </si>
  <si>
    <t>001!0611837232100</t>
  </si>
  <si>
    <t>GERANI MAVERICK RED</t>
  </si>
  <si>
    <t>001!0611837233100</t>
  </si>
  <si>
    <t>GERANI MAVERICK ROSE</t>
  </si>
  <si>
    <t>001!0611837234100</t>
  </si>
  <si>
    <t>GERANI MAVERICK SALMON</t>
  </si>
  <si>
    <t>001!0611837235100</t>
  </si>
  <si>
    <t>GERANI MAVERICK SCARLET</t>
  </si>
  <si>
    <t>001!0611837236100</t>
  </si>
  <si>
    <t>GERANI MAVERICK SCARLET PICO</t>
  </si>
  <si>
    <t>001!0611837237100</t>
  </si>
  <si>
    <t>GERANI MAVERICK STAR</t>
  </si>
  <si>
    <t>001!0611837238100</t>
  </si>
  <si>
    <t>GERANI MAVERICK VIOLET</t>
  </si>
  <si>
    <t>001!0611837239100</t>
  </si>
  <si>
    <t>GERANI MAVERICK VIOLET PICO</t>
  </si>
  <si>
    <t>001!0611837240100</t>
  </si>
  <si>
    <t>GERANI MAVERICK WHITE</t>
  </si>
  <si>
    <t>001!0611837241100</t>
  </si>
  <si>
    <t>GERANI MAX FREI</t>
  </si>
  <si>
    <t>001!0611834594025</t>
  </si>
  <si>
    <t>GERANI MGNTA GENERIC BILINGUAL</t>
  </si>
  <si>
    <t>001!0611837242100</t>
  </si>
  <si>
    <t>GERANI MINICASCADE LAVENDER</t>
  </si>
  <si>
    <t>001!0611862312050</t>
  </si>
  <si>
    <t>GERANI MINICASCADE PINK</t>
  </si>
  <si>
    <t>001!0611862313050</t>
  </si>
  <si>
    <t>GERANI MINICASCADE RED</t>
  </si>
  <si>
    <t>001!0611862314050</t>
  </si>
  <si>
    <t>GERANI MOJO CRANBERRY SPLASH</t>
  </si>
  <si>
    <t>001!0611862315050</t>
  </si>
  <si>
    <t>GERANI MOJO DARK PINK</t>
  </si>
  <si>
    <t>001!0611862316050</t>
  </si>
  <si>
    <t>GERANI MOJO DARK RED</t>
  </si>
  <si>
    <t>001!0611862317050</t>
  </si>
  <si>
    <t>GERANI MOJO HOT CHERRY</t>
  </si>
  <si>
    <t>001!0611862318050</t>
  </si>
  <si>
    <t>GERANI MOJO MAGENTA</t>
  </si>
  <si>
    <t>001!0611862319050</t>
  </si>
  <si>
    <t>GERANI MOJO ORANGE</t>
  </si>
  <si>
    <t>001!0611862320050</t>
  </si>
  <si>
    <t>GERANI MOJO SALMON</t>
  </si>
  <si>
    <t>001!0611862321050</t>
  </si>
  <si>
    <t>GERANI MOJO SCARLET</t>
  </si>
  <si>
    <t>001!0611884233050</t>
  </si>
  <si>
    <t>GERANI MOJO WHITE</t>
  </si>
  <si>
    <t>001!0611862322050</t>
  </si>
  <si>
    <t>GERANI MOXIE DARK RED</t>
  </si>
  <si>
    <t>001!0611862323050</t>
  </si>
  <si>
    <t>GERANI MOXIE DEEP RS MEGA SPL</t>
  </si>
  <si>
    <t>001!0611862325050</t>
  </si>
  <si>
    <t>GERANI MOXIE HOT PINK</t>
  </si>
  <si>
    <t>001!0611862326050</t>
  </si>
  <si>
    <t>GERANI MOXIE ORANGE</t>
  </si>
  <si>
    <t>001!0611862327050</t>
  </si>
  <si>
    <t>GERANI MOXIE PINK</t>
  </si>
  <si>
    <t>001!0611862328050</t>
  </si>
  <si>
    <t>GERANI MOXIE PINK SPLASH</t>
  </si>
  <si>
    <t>001!0611862329050</t>
  </si>
  <si>
    <t>GERANI MOXIE SCARLET</t>
  </si>
  <si>
    <t>001!0611862330050</t>
  </si>
  <si>
    <t>GERANI MOXIE VIOLET</t>
  </si>
  <si>
    <t>001!0611862331050</t>
  </si>
  <si>
    <t>GERANI MOXIE WHITE</t>
  </si>
  <si>
    <t>001!0611862332050</t>
  </si>
  <si>
    <t>GERANI MRS POLLOCK</t>
  </si>
  <si>
    <t>001!0611837244100</t>
  </si>
  <si>
    <t>GERANI MULTIBLOOM CAPRI</t>
  </si>
  <si>
    <t>001!0611837245100</t>
  </si>
  <si>
    <t>GERANI MULTIBLOOM MIX</t>
  </si>
  <si>
    <t>001!0611837247100</t>
  </si>
  <si>
    <t>GERANI MULTIBLOOM PINK</t>
  </si>
  <si>
    <t>001!0611837248100</t>
  </si>
  <si>
    <t>GERANI MULTIBLOOM RED</t>
  </si>
  <si>
    <t>001!0611837249100</t>
  </si>
  <si>
    <t>GERANI MULTIBLOOM SALMON</t>
  </si>
  <si>
    <t>001!0611837250100</t>
  </si>
  <si>
    <t>GERANI MULTIBLOOM VIOLET</t>
  </si>
  <si>
    <t>001!0611837251100</t>
  </si>
  <si>
    <t>GERANI MULTIBLOOM WHITE</t>
  </si>
  <si>
    <t>001!0611837252100</t>
  </si>
  <si>
    <t>GERANI ORANGE GENERIC</t>
  </si>
  <si>
    <t>001!0611837254100</t>
  </si>
  <si>
    <t>GERANI ORANGE GLOW</t>
  </si>
  <si>
    <t>001!0611856960100</t>
  </si>
  <si>
    <t>GERANI PATRIOT BERRY PARFAIT</t>
  </si>
  <si>
    <t>001!0611862333050</t>
  </si>
  <si>
    <t>GERANI PATRIOT BRIGHT PINK</t>
  </si>
  <si>
    <t>001!0611862334050</t>
  </si>
  <si>
    <t>GERANI PATRIOT BRIGHT RED</t>
  </si>
  <si>
    <t>001!0611862335050</t>
  </si>
  <si>
    <t>GERANI PATRIOT BRIGHT VIOLET</t>
  </si>
  <si>
    <t>001!0611862336050</t>
  </si>
  <si>
    <t>GERANI PATRIOT BRY PARF CR3536</t>
  </si>
  <si>
    <t>001!0611862337050</t>
  </si>
  <si>
    <t>GERANI PATRIOT CHERRY ROSE IMP</t>
  </si>
  <si>
    <t>001!0611862338050</t>
  </si>
  <si>
    <t>GERANI PATRIOT EVENING GLOW</t>
  </si>
  <si>
    <t>001!0611862339050</t>
  </si>
  <si>
    <t>GERANI PATRIOT LAVENDER BLUE</t>
  </si>
  <si>
    <t>001!0611862340050</t>
  </si>
  <si>
    <t>GERANI PATRIOT ORANGE</t>
  </si>
  <si>
    <t>001!0611862341050</t>
  </si>
  <si>
    <t>GERANI PATRIOT RED IMP</t>
  </si>
  <si>
    <t>001!0611862342050</t>
  </si>
  <si>
    <t>GERANI PATRIOT ROSALINDA</t>
  </si>
  <si>
    <t>001!0611862343050</t>
  </si>
  <si>
    <t>GERANI PATRIOT ROSE PINK</t>
  </si>
  <si>
    <t>001!0611862344050</t>
  </si>
  <si>
    <t>GERANI PATRIOT SALMON</t>
  </si>
  <si>
    <t>001!0611862345050</t>
  </si>
  <si>
    <t>GERANI PATRIOT SALMON CHIC</t>
  </si>
  <si>
    <t>001!0611862346050</t>
  </si>
  <si>
    <t>GERANI PATRIOT TICKLED PINK</t>
  </si>
  <si>
    <t>001!0611862347050</t>
  </si>
  <si>
    <t>GERANI PATRIOT WATERMELON</t>
  </si>
  <si>
    <t>001!0611862348050</t>
  </si>
  <si>
    <t>GERANI PATRIOT WHITE IMP</t>
  </si>
  <si>
    <t>001!0611862349050</t>
  </si>
  <si>
    <t>GERANI PILLAR GENERIC</t>
  </si>
  <si>
    <t>001!0611837255100</t>
  </si>
  <si>
    <t>GERANI PINK BICOLOR GENERIC</t>
  </si>
  <si>
    <t>001!0611837256100</t>
  </si>
  <si>
    <t>GERANI PINK GENERIC</t>
  </si>
  <si>
    <t>001!0611837257100</t>
  </si>
  <si>
    <t>GERANI PINK GENERIC BILINGUAL</t>
  </si>
  <si>
    <t>001!0611837279100</t>
  </si>
  <si>
    <t>GERANI PINNACLE APPLE BLOSSOM</t>
  </si>
  <si>
    <t>001!0611862350050</t>
  </si>
  <si>
    <t>GERANI PINNACLE DARK RED</t>
  </si>
  <si>
    <t>001!0611862351050</t>
  </si>
  <si>
    <t>GERANI PINTO PINK</t>
  </si>
  <si>
    <t>001!0611837260100</t>
  </si>
  <si>
    <t>GERANI PINTO PREM CORAL</t>
  </si>
  <si>
    <t>001!0611837262100</t>
  </si>
  <si>
    <t>GERANI PINTO PREM DEEP RED</t>
  </si>
  <si>
    <t>001!0611837263100</t>
  </si>
  <si>
    <t>GERANI PINTO PREM DEEP ROSE</t>
  </si>
  <si>
    <t>001!0611837264100</t>
  </si>
  <si>
    <t>GERANI PINTO PREM DEEP SALMON</t>
  </si>
  <si>
    <t>001!0611884234100</t>
  </si>
  <si>
    <t>GERANI PINTO PREM DEEP SCARLET</t>
  </si>
  <si>
    <t>001!0611837265100</t>
  </si>
  <si>
    <t>GERANI PINTO PREM LAVENDER</t>
  </si>
  <si>
    <t>001!0611837267100</t>
  </si>
  <si>
    <t>GERANI PINTO PREM LAVENDER RS</t>
  </si>
  <si>
    <t>001!0611837266100</t>
  </si>
  <si>
    <t>GERANI PINTO PREM MIX</t>
  </si>
  <si>
    <t>001!0611837268100</t>
  </si>
  <si>
    <t>GERANI PINTO PREM ORANGE</t>
  </si>
  <si>
    <t>001!0611837269100</t>
  </si>
  <si>
    <t>GERANI PINTO PREM ORANGE BIC</t>
  </si>
  <si>
    <t>001!0611837270100</t>
  </si>
  <si>
    <t>GERANI PINTO PREM ROSE BIC</t>
  </si>
  <si>
    <t>001!0611837271100</t>
  </si>
  <si>
    <t>GERANI PINTO PREM SALMON</t>
  </si>
  <si>
    <t>001!0611837272100</t>
  </si>
  <si>
    <t>GERANI PINTO PREM SALMON SPL</t>
  </si>
  <si>
    <t>001!0611837261100</t>
  </si>
  <si>
    <t>GERANI PINTO PREM SCARLET</t>
  </si>
  <si>
    <t>001!0611837273100</t>
  </si>
  <si>
    <t>GERANI PINTO PREM VIOLET</t>
  </si>
  <si>
    <t>001!0611837274100</t>
  </si>
  <si>
    <t>GERANI PINTO PREM WHITE</t>
  </si>
  <si>
    <t>001!0611837276100</t>
  </si>
  <si>
    <t>GERANI PINTO PREM WHITE TO RS</t>
  </si>
  <si>
    <t>001!0611837275100</t>
  </si>
  <si>
    <t>GERANI PINTO RED</t>
  </si>
  <si>
    <t>001!0611837277100</t>
  </si>
  <si>
    <t>GERANI PRETTY LTL PINK SPLASH</t>
  </si>
  <si>
    <t>001!0611862352050</t>
  </si>
  <si>
    <t>GERANI PURPLE GNRC BLNGL</t>
  </si>
  <si>
    <t>001!0611837280100</t>
  </si>
  <si>
    <t>GERANI QUERCIFOLIA OAKLEAF</t>
  </si>
  <si>
    <t>001!0611834595100</t>
  </si>
  <si>
    <t>GERANI RED GENERIC BILINGUAL</t>
  </si>
  <si>
    <t>001!0611837286100</t>
  </si>
  <si>
    <t>GERANI RINGO 2000 CARDINAL</t>
  </si>
  <si>
    <t>001!0611837287100</t>
  </si>
  <si>
    <t>GERANI RINGO 2000 DEEP RED</t>
  </si>
  <si>
    <t>001!0611837288100</t>
  </si>
  <si>
    <t>GERANI RINGO 2000 DEEP ROSE</t>
  </si>
  <si>
    <t>001!0611837289100</t>
  </si>
  <si>
    <t>GERANI RINGO 2000 DEEP SCARLET</t>
  </si>
  <si>
    <t>001!0611837290100</t>
  </si>
  <si>
    <t>GERANI RINGO 2000 LAVENDER</t>
  </si>
  <si>
    <t>001!0611837291100</t>
  </si>
  <si>
    <t>GERANI RINGO 2000 PINK</t>
  </si>
  <si>
    <t>001!0611837292100</t>
  </si>
  <si>
    <t>GERANI RINGO 2000 RED</t>
  </si>
  <si>
    <t>001!0611837293100</t>
  </si>
  <si>
    <t>GERANI RINGO 2000 ROSE STAR</t>
  </si>
  <si>
    <t>001!0611837294100</t>
  </si>
  <si>
    <t>GERANI RINGO 2000 SALMON</t>
  </si>
  <si>
    <t>001!0611837295100</t>
  </si>
  <si>
    <t>GERANI RINGO 2000 SCARLET STAR</t>
  </si>
  <si>
    <t>001!0611837296100</t>
  </si>
  <si>
    <t>GERANI RINGO 2000 VIOLET</t>
  </si>
  <si>
    <t>001!0611837297100</t>
  </si>
  <si>
    <t>GERANI RINGO 2000 WHITE</t>
  </si>
  <si>
    <t>001!0611837298100</t>
  </si>
  <si>
    <t>GERANI ROCKY MTN DARK RED</t>
  </si>
  <si>
    <t>001!0611862353050</t>
  </si>
  <si>
    <t>GERANI ROCKY MTN DEEP ROSE</t>
  </si>
  <si>
    <t>001!0611862354050</t>
  </si>
  <si>
    <t>GERANI ROCKY MTN LAVENDER</t>
  </si>
  <si>
    <t>001!0611862355050</t>
  </si>
  <si>
    <t>GERANI ROCKY MTN LIGHT PINK</t>
  </si>
  <si>
    <t>001!0611862356050</t>
  </si>
  <si>
    <t>GERANI ROCKY MTN MAGENTA</t>
  </si>
  <si>
    <t>001!0611862357050</t>
  </si>
  <si>
    <t>GERANI ROCKY MTN ORANGE</t>
  </si>
  <si>
    <t>001!0611862358050</t>
  </si>
  <si>
    <t>GERANI ROCKY MTN PINK</t>
  </si>
  <si>
    <t>001!0611862359050</t>
  </si>
  <si>
    <t>GERANI ROCKY MTN RED</t>
  </si>
  <si>
    <t>001!0611862360050</t>
  </si>
  <si>
    <t>GERANI ROCKY MTN SALMON</t>
  </si>
  <si>
    <t>001!0611862362050</t>
  </si>
  <si>
    <t>GERANI ROCKY MTN VIOLET</t>
  </si>
  <si>
    <t>001!0611862363050</t>
  </si>
  <si>
    <t>GERANI ROCKY MTN WHITE</t>
  </si>
  <si>
    <t>001!0611862364050</t>
  </si>
  <si>
    <t>GERANI ROSALIE ANTIQUE SALMON</t>
  </si>
  <si>
    <t>001!0611862365050</t>
  </si>
  <si>
    <t>GERANI ROSE GENERIC BILINGUAL</t>
  </si>
  <si>
    <t>001!0611837300100</t>
  </si>
  <si>
    <t>GERANI SANGUINEUM</t>
  </si>
  <si>
    <t>001!0611834596025</t>
  </si>
  <si>
    <t>GERANI SANTANA DARK RED</t>
  </si>
  <si>
    <t>001!0611862366050</t>
  </si>
  <si>
    <t>GERANI SANTANA FIRE</t>
  </si>
  <si>
    <t>001!0611862367050</t>
  </si>
  <si>
    <t>GERANI SANTANA PINK</t>
  </si>
  <si>
    <t>001!0611862368050</t>
  </si>
  <si>
    <t>GERANI SANTANA PINK SPLASH</t>
  </si>
  <si>
    <t>001!0611862369050</t>
  </si>
  <si>
    <t>GERANI SANTANA PURPLE</t>
  </si>
  <si>
    <t>001!0611862370050</t>
  </si>
  <si>
    <t>GERANI SANTANA WHITE</t>
  </si>
  <si>
    <t>001!0611862371050</t>
  </si>
  <si>
    <t>GERANI SANTANA WHITE SPLASH</t>
  </si>
  <si>
    <t>001!0611862372050</t>
  </si>
  <si>
    <t>GERANI SARITA DARK RED</t>
  </si>
  <si>
    <t>001!0611862373050</t>
  </si>
  <si>
    <t>GERANI SARITA FIRE</t>
  </si>
  <si>
    <t>001!0611862374050</t>
  </si>
  <si>
    <t>GERANI SARITA LILAC SPLASH</t>
  </si>
  <si>
    <t>001!0611862375050</t>
  </si>
  <si>
    <t>GERANI SARITA NEON SIZZLE</t>
  </si>
  <si>
    <t>001!0611862376050</t>
  </si>
  <si>
    <t>GERANI SARITA PINK</t>
  </si>
  <si>
    <t>001!0611862377050</t>
  </si>
  <si>
    <t>GERANI SARITA PUNCH</t>
  </si>
  <si>
    <t>001!0611862378050</t>
  </si>
  <si>
    <t>GERANI SARITA SALMON PINK</t>
  </si>
  <si>
    <t>001!0611862379050</t>
  </si>
  <si>
    <t>GERANI SARITA SUNSTAR RED</t>
  </si>
  <si>
    <t>001!0611862380050</t>
  </si>
  <si>
    <t>GERANI SARITA WHITE</t>
  </si>
  <si>
    <t>001!0611862381050</t>
  </si>
  <si>
    <t>GERANI SARITA WILD SALMON</t>
  </si>
  <si>
    <t>001!0611862382050</t>
  </si>
  <si>
    <t>GERANI SAVANNAH BLUE</t>
  </si>
  <si>
    <t>001!0611862383050</t>
  </si>
  <si>
    <t>GERANI SAVANNAH BRIGHT EYES</t>
  </si>
  <si>
    <t>001!0611862384050</t>
  </si>
  <si>
    <t>GERANI SAVANNAH CERISE SIZZLE</t>
  </si>
  <si>
    <t>001!0611862385050</t>
  </si>
  <si>
    <t>GERANI SAVANNAH CORAL</t>
  </si>
  <si>
    <t>001!0611862386050</t>
  </si>
  <si>
    <t>GERANI SAVANNAH HOT PK SIZZLE</t>
  </si>
  <si>
    <t>001!0611862387050</t>
  </si>
  <si>
    <t>GERANI SAVANNAH HOT ROD RED</t>
  </si>
  <si>
    <t>001!0611862388050</t>
  </si>
  <si>
    <t>GERANI SAVANNAH LAV SPLASH</t>
  </si>
  <si>
    <t>001!0611862389050</t>
  </si>
  <si>
    <t>GERANI SAVANNAH LIGHT SALMON</t>
  </si>
  <si>
    <t>001!0611862390050</t>
  </si>
  <si>
    <t>GERANI SAVANNAH MERLOT SIZZLE</t>
  </si>
  <si>
    <t>001!0611862391050</t>
  </si>
  <si>
    <t>GERANI SAVANNAH NEON</t>
  </si>
  <si>
    <t>001!0611884235050</t>
  </si>
  <si>
    <t>GERANI SAVANNAH OH SO ORANGE</t>
  </si>
  <si>
    <t>001!0611862392050</t>
  </si>
  <si>
    <t>GERANI SAVANNAH PINK</t>
  </si>
  <si>
    <t>001!0611862393050</t>
  </si>
  <si>
    <t>GERANI SAVANNAH PINK SIZZLE</t>
  </si>
  <si>
    <t>001!0611862394050</t>
  </si>
  <si>
    <t>GERANI SAVANNAH PINK SPLASH</t>
  </si>
  <si>
    <t>001!0611862395050</t>
  </si>
  <si>
    <t>GERANI SAVANNAH PUNCH</t>
  </si>
  <si>
    <t>001!0611862396050</t>
  </si>
  <si>
    <t>GERANI SAVANNAH REALLY RED</t>
  </si>
  <si>
    <t>001!0611862397050</t>
  </si>
  <si>
    <t>GERANI SAVANNAH RED</t>
  </si>
  <si>
    <t>001!0611862398050</t>
  </si>
  <si>
    <t>GERANI SAVANNAH RUBY SIZZLE</t>
  </si>
  <si>
    <t>001!0611862399050</t>
  </si>
  <si>
    <t>GERANI SAVANNAH WHITE</t>
  </si>
  <si>
    <t>001!0611862401050</t>
  </si>
  <si>
    <t>GERANI SAVANNAH WHT SPLSH IMP</t>
  </si>
  <si>
    <t>001!0611862400050</t>
  </si>
  <si>
    <t>GERANI SCAR GENERIC BILINGUAL</t>
  </si>
  <si>
    <t>001!0611837302100</t>
  </si>
  <si>
    <t>GERANI SCENTED GENERIC</t>
  </si>
  <si>
    <t>001!0611837301100</t>
  </si>
  <si>
    <t>GERANI SEED GENERIC</t>
  </si>
  <si>
    <t>001!0611837303100</t>
  </si>
  <si>
    <t>GERANI SLMN GENERIC BILINGUAL</t>
  </si>
  <si>
    <t>001!0611837304100</t>
  </si>
  <si>
    <t>GERANI STARRY PURE WHITE</t>
  </si>
  <si>
    <t>001!0611862402050</t>
  </si>
  <si>
    <t>GERANI SUMMER IDOLS DARK RED</t>
  </si>
  <si>
    <t>001!0611862403050</t>
  </si>
  <si>
    <t>GERANI SUMMER IDOLS HOT PINK</t>
  </si>
  <si>
    <t>001!0611862404050</t>
  </si>
  <si>
    <t>GERANI SUMMER IDOLS ORANGE</t>
  </si>
  <si>
    <t>001!0611862405050</t>
  </si>
  <si>
    <t>GERANI SUMMER IDOLS PURPLE</t>
  </si>
  <si>
    <t>001!0611862406050</t>
  </si>
  <si>
    <t>GERANI SUMMER IDOLS TRUE RED</t>
  </si>
  <si>
    <t>001!0611862407050</t>
  </si>
  <si>
    <t>GERANI SUMMER IDOLS WHITE</t>
  </si>
  <si>
    <t>001!0611862408050</t>
  </si>
  <si>
    <t>GERANI SURVIVOR BABY FACE</t>
  </si>
  <si>
    <t>001!0611862409050</t>
  </si>
  <si>
    <t>GERANI SURVIVOR BLUE</t>
  </si>
  <si>
    <t>001!0611862410050</t>
  </si>
  <si>
    <t>GERANI SURVIVOR CHERRY RED</t>
  </si>
  <si>
    <t>001!0611862411050</t>
  </si>
  <si>
    <t>GERANI SURVIVOR CORAL</t>
  </si>
  <si>
    <t>001!0611862413050</t>
  </si>
  <si>
    <t>GERANI SURVIVOR DARK RED</t>
  </si>
  <si>
    <t>001!0611862414050</t>
  </si>
  <si>
    <t>GERANI SURVIVOR FUCHSIA</t>
  </si>
  <si>
    <t>001!0611862415050</t>
  </si>
  <si>
    <t>GERANI SURVIVOR HOT PINK</t>
  </si>
  <si>
    <t>001!0611862416050</t>
  </si>
  <si>
    <t>GERANI SURVIVOR INDIGO SKY</t>
  </si>
  <si>
    <t>001!0611862417050</t>
  </si>
  <si>
    <t>GERANI SURVIVOR NEON VIOLET</t>
  </si>
  <si>
    <t>001!0611862418050</t>
  </si>
  <si>
    <t>GERANI SURVIVOR ORANGE</t>
  </si>
  <si>
    <t>001!0611862419050</t>
  </si>
  <si>
    <t>GERANI SURVIVOR PAPERBLOOM</t>
  </si>
  <si>
    <t>001!0611862420050</t>
  </si>
  <si>
    <t>GERANI SURVIVOR PINK</t>
  </si>
  <si>
    <t>001!0611862421050</t>
  </si>
  <si>
    <t>GERANI SURVIVOR PINK BATIK</t>
  </si>
  <si>
    <t>001!0611862422050</t>
  </si>
  <si>
    <t>GERANI SURVIVOR PINK CHARME</t>
  </si>
  <si>
    <t>001!0611862423050</t>
  </si>
  <si>
    <t>GERANI SURVIVOR PINK MEGA SPL</t>
  </si>
  <si>
    <t>001!0611862425050</t>
  </si>
  <si>
    <t>GERANI SURVIVOR PINK PASSION</t>
  </si>
  <si>
    <t>001!0611862424050</t>
  </si>
  <si>
    <t>GERANI SURVIVOR SALMON PINK</t>
  </si>
  <si>
    <t>001!0611862427050</t>
  </si>
  <si>
    <t>GERANI SURVIVOR SALMON SENS</t>
  </si>
  <si>
    <t>001!0611862426050</t>
  </si>
  <si>
    <t>GERANI SURVIVOR SCARLET</t>
  </si>
  <si>
    <t>001!0611862428050</t>
  </si>
  <si>
    <t>GERANI SURVIVOR TICKLED PINK</t>
  </si>
  <si>
    <t>001!0611862429050</t>
  </si>
  <si>
    <t>GERANI SURVIVOR WHITE 11</t>
  </si>
  <si>
    <t>001!0611862430050</t>
  </si>
  <si>
    <t>GERANI SWEET MIMOSA</t>
  </si>
  <si>
    <t>001!0611837305100</t>
  </si>
  <si>
    <t>GERANI TANGO CHERRY BIC</t>
  </si>
  <si>
    <t>001!0611862431050</t>
  </si>
  <si>
    <t>GERANI TANGO DARK RED</t>
  </si>
  <si>
    <t>001!0611862432050</t>
  </si>
  <si>
    <t>GERANI TANGO DEEP PINK</t>
  </si>
  <si>
    <t>001!0611862433050</t>
  </si>
  <si>
    <t>GERANI TANGO DEEP RED</t>
  </si>
  <si>
    <t>001!0611862434050</t>
  </si>
  <si>
    <t>GERANI TANGO DEEP ROSE W/EYE</t>
  </si>
  <si>
    <t>001!0611862435050</t>
  </si>
  <si>
    <t>GERANI TANGO HOT PINK</t>
  </si>
  <si>
    <t>001!0611862436050</t>
  </si>
  <si>
    <t>GERANI TANGO LAVENDER</t>
  </si>
  <si>
    <t>001!0611862437050</t>
  </si>
  <si>
    <t>GERANI TANGO LIGHT PINK</t>
  </si>
  <si>
    <t>001!0611862438050</t>
  </si>
  <si>
    <t>GERANI TANGO NEON PURPLE</t>
  </si>
  <si>
    <t>001!0611862439050</t>
  </si>
  <si>
    <t>GERANI TANGO ORANGE</t>
  </si>
  <si>
    <t>001!0611862440050</t>
  </si>
  <si>
    <t>GERANI TANGO ORANGE ICE</t>
  </si>
  <si>
    <t>001!0611862441050</t>
  </si>
  <si>
    <t>GERANI TANGO PINK ICE</t>
  </si>
  <si>
    <t>001!0611862442050</t>
  </si>
  <si>
    <t>GERANI TANGO ROSE SPLASH</t>
  </si>
  <si>
    <t>001!0611862443050</t>
  </si>
  <si>
    <t>GERANI TANGO SALMON</t>
  </si>
  <si>
    <t>001!0611862444050</t>
  </si>
  <si>
    <t>GERANI TANGO STRAWBERRY ICE</t>
  </si>
  <si>
    <t>001!0611862445050</t>
  </si>
  <si>
    <t>GERANI TANGO TANGO</t>
  </si>
  <si>
    <t>001!0611862446050</t>
  </si>
  <si>
    <t>GERANI TANGO VELVET RED</t>
  </si>
  <si>
    <t>001!0611862447050</t>
  </si>
  <si>
    <t>GERANI TANGO VIOLET</t>
  </si>
  <si>
    <t>001!0611862448050</t>
  </si>
  <si>
    <t>GERANI TANGO WHITE</t>
  </si>
  <si>
    <t>001!0611862449050</t>
  </si>
  <si>
    <t>GERANI TANGO WHITE SPLASH</t>
  </si>
  <si>
    <t>001!0611862450050</t>
  </si>
  <si>
    <t>GERANI TORNADO WHITE</t>
  </si>
  <si>
    <t>001!0611884236100</t>
  </si>
  <si>
    <t>GERANI TWOINONE SERIES</t>
  </si>
  <si>
    <t>001!0611837308100</t>
  </si>
  <si>
    <t>GERANI VANCOUVER CENTENNIAL</t>
  </si>
  <si>
    <t>001!0611837309100</t>
  </si>
  <si>
    <t>001!0611862459050</t>
  </si>
  <si>
    <t>GERANI VEGETATIVE RED GENERIC</t>
  </si>
  <si>
    <t>001!0611837310100</t>
  </si>
  <si>
    <t>GERANI VEGETATIVE ZONAL GNRC</t>
  </si>
  <si>
    <t>001!0611837311100</t>
  </si>
  <si>
    <t>001!0611837312025</t>
  </si>
  <si>
    <t>GERANI VILLE DE PARIS RED</t>
  </si>
  <si>
    <t>001!0611862460050</t>
  </si>
  <si>
    <t>GERANI VILLE DE RHEINBERG BRNT</t>
  </si>
  <si>
    <t>001!0611862461050</t>
  </si>
  <si>
    <t>GERANI VIOLET GENERIC BILINGL</t>
  </si>
  <si>
    <t>001!0611837313100</t>
  </si>
  <si>
    <t>GERANI VISION VLT SANGUINEUM</t>
  </si>
  <si>
    <t>001!0611834597025</t>
  </si>
  <si>
    <t>GERANI WH GENERIC BILINGUAL</t>
  </si>
  <si>
    <t>001!0611837314100</t>
  </si>
  <si>
    <t>GERANI WILHELM LANGGUTH</t>
  </si>
  <si>
    <t>001!0611837316100</t>
  </si>
  <si>
    <t>001!0611862462050</t>
  </si>
  <si>
    <t>GERANI YELLOW</t>
  </si>
  <si>
    <t>001!0611837317100</t>
  </si>
  <si>
    <t>GERANI ZONAL GERANIUM GENERIC</t>
  </si>
  <si>
    <t>001!0611837318100</t>
  </si>
  <si>
    <t>GERBER BENGAL MIX</t>
  </si>
  <si>
    <t>001!0611834598100</t>
  </si>
  <si>
    <t>GERBER BENGAL ORANGE W/EYE</t>
  </si>
  <si>
    <t>001!0611834600100</t>
  </si>
  <si>
    <t>GERBER BENGAL RED W/EYE</t>
  </si>
  <si>
    <t>001!0611834601100</t>
  </si>
  <si>
    <t>GERBER BENGAL ROSE W/EYE</t>
  </si>
  <si>
    <t>001!0611834602100</t>
  </si>
  <si>
    <t>GERBER BENGAL WHITE W/EYE</t>
  </si>
  <si>
    <t>001!0611834604100</t>
  </si>
  <si>
    <t>GERBER BENGAL YELLOW W/EYE</t>
  </si>
  <si>
    <t>001!0611834605100</t>
  </si>
  <si>
    <t>GERBER CARTWHEEL AUTUMN COLORS</t>
  </si>
  <si>
    <t>001!0611834606100</t>
  </si>
  <si>
    <t>GERBER CARTWHEEL CHARDONNAY</t>
  </si>
  <si>
    <t>001!0611834607100</t>
  </si>
  <si>
    <t>GERBER CARTWHEEL STRWBRY TWIST</t>
  </si>
  <si>
    <t>001!0611834609100</t>
  </si>
  <si>
    <t>GERBER COLORBLOOM BIC DP OR DE</t>
  </si>
  <si>
    <t>001!0611834610100</t>
  </si>
  <si>
    <t>GERBER COLORBLOOM BIC ORNG YEL</t>
  </si>
  <si>
    <t>001!0611834611100</t>
  </si>
  <si>
    <t>GERBER COLORBLOOM BIC RED WHT</t>
  </si>
  <si>
    <t>001!0611834612100</t>
  </si>
  <si>
    <t>GERBER COLORBLOOM CHRY W/LT E</t>
  </si>
  <si>
    <t>001!0611834613100</t>
  </si>
  <si>
    <t>GERBER COLORBLOOM DP RS W/LT E</t>
  </si>
  <si>
    <t>001!0611834614100</t>
  </si>
  <si>
    <t>GERBER COLORBLOOM MIX</t>
  </si>
  <si>
    <t>001!0611834615100</t>
  </si>
  <si>
    <t>GERBER COLORBLOOM RED W/DK EYE</t>
  </si>
  <si>
    <t>001!0611834616100</t>
  </si>
  <si>
    <t>GERBER COLORBLOOM RED W/LT EYE</t>
  </si>
  <si>
    <t>001!0611834617100</t>
  </si>
  <si>
    <t>GERBER COLORBLOOM WHITE W/DK E</t>
  </si>
  <si>
    <t>001!0611834618100</t>
  </si>
  <si>
    <t>GERBER COLORBLOOM WTRMLN W/D E</t>
  </si>
  <si>
    <t>001!0611884237100</t>
  </si>
  <si>
    <t>GERBER COLORBLOOM YELLOW DK E</t>
  </si>
  <si>
    <t>001!0611834619100</t>
  </si>
  <si>
    <t>GERBER DAISY MIX GENERIC</t>
  </si>
  <si>
    <t>001!0611834620100</t>
  </si>
  <si>
    <t>GERBER ELEPHANT SCARLET</t>
  </si>
  <si>
    <t>001!0611834621100</t>
  </si>
  <si>
    <t>GERBER FESTIVAL GRW SEL MX</t>
  </si>
  <si>
    <t>001!0611834628100</t>
  </si>
  <si>
    <t>GERBER FESTIVAL MIX</t>
  </si>
  <si>
    <t>001!0611834630100</t>
  </si>
  <si>
    <t>GERBER FESTIVAL SERIES</t>
  </si>
  <si>
    <t>001!0611834631100</t>
  </si>
  <si>
    <t>GERBER FESTIVAL SPIDER MIX</t>
  </si>
  <si>
    <t>001!0611834632100</t>
  </si>
  <si>
    <t>GERBER FLORI LINE GIANT SERIES</t>
  </si>
  <si>
    <t>001!0611834633100</t>
  </si>
  <si>
    <t>GERBER FLORI LINE MAXI SERIES</t>
  </si>
  <si>
    <t>001!0611834634100</t>
  </si>
  <si>
    <t>GERBER FLORI LINE MIDI RD</t>
  </si>
  <si>
    <t>001!0611834635100</t>
  </si>
  <si>
    <t>GERBER GARVINEA SWEET CAROLINE</t>
  </si>
  <si>
    <t>001!0611834636100</t>
  </si>
  <si>
    <t>GERBER GARVINEA SWEET FIESTA</t>
  </si>
  <si>
    <t>001!0611834637100</t>
  </si>
  <si>
    <t>GERBER GARVINEA SWEET FROSTING</t>
  </si>
  <si>
    <t>001!0611834638100</t>
  </si>
  <si>
    <t>GERBER GARVINEA SWEET GLOW</t>
  </si>
  <si>
    <t>001!0611834639100</t>
  </si>
  <si>
    <t>GERBER GARVINEA SWEET HONEY</t>
  </si>
  <si>
    <t>001!0611834640100</t>
  </si>
  <si>
    <t>GERBER GARVINEA SWEET LOVE</t>
  </si>
  <si>
    <t>001!0611834641100</t>
  </si>
  <si>
    <t>GERBER GARVINEA SWEET MEMORIES</t>
  </si>
  <si>
    <t>001!0611834642100</t>
  </si>
  <si>
    <t>GERBER GARVINEA SWEET SIXTEEN</t>
  </si>
  <si>
    <t>001!0611834643100</t>
  </si>
  <si>
    <t>GERBER GARVINEA SWEET SMILE</t>
  </si>
  <si>
    <t>001!0611856961100</t>
  </si>
  <si>
    <t>GERBER GARVINEA SWEET SPARKLE</t>
  </si>
  <si>
    <t>001!0611856962100</t>
  </si>
  <si>
    <t>GERBER GARVINEA SWEET SPICE</t>
  </si>
  <si>
    <t>001!0611834644100</t>
  </si>
  <si>
    <t>GERBER GARVINEA SWEET SUNSET</t>
  </si>
  <si>
    <t>001!0611834645100</t>
  </si>
  <si>
    <t>GERBER GARVINEA SWEET SURPRISE</t>
  </si>
  <si>
    <t>001!0611834646100</t>
  </si>
  <si>
    <t>GERBER GARVINEA SWEET VIBE</t>
  </si>
  <si>
    <t>001!0611856963100</t>
  </si>
  <si>
    <t>GERBER GENERIC BILINGUAL</t>
  </si>
  <si>
    <t>001!0611834649100</t>
  </si>
  <si>
    <t>GERBER GERBERA GENERIC</t>
  </si>
  <si>
    <t>001!0611834648025</t>
  </si>
  <si>
    <t>GERBER JAGUAR DEEP ORANGE</t>
  </si>
  <si>
    <t>001!0611834650100</t>
  </si>
  <si>
    <t>GERBER JAGUAR DEEP ROSE</t>
  </si>
  <si>
    <t>001!0611834651100</t>
  </si>
  <si>
    <t>GERBER JAGUAR FIRE</t>
  </si>
  <si>
    <t>001!0611834653100</t>
  </si>
  <si>
    <t>GERBER JAGUAR FIRE W/DK CTR</t>
  </si>
  <si>
    <t>001!0611834654100</t>
  </si>
  <si>
    <t>GERBER JAGUAR MIX</t>
  </si>
  <si>
    <t>001!0611834656100</t>
  </si>
  <si>
    <t>GERBER JAGUAR PINK</t>
  </si>
  <si>
    <t>001!0611834657100</t>
  </si>
  <si>
    <t>GERBER JAGUAR RED</t>
  </si>
  <si>
    <t>001!0611834658100</t>
  </si>
  <si>
    <t>GERBER JAGUAR ROSE PICOTEE</t>
  </si>
  <si>
    <t>001!0611834660100</t>
  </si>
  <si>
    <t>GERBER JAGUAR ROSE W/DK CTR</t>
  </si>
  <si>
    <t>001!0611834659100</t>
  </si>
  <si>
    <t>GERBER JAGUAR SALSA MIX</t>
  </si>
  <si>
    <t>001!0611834662100</t>
  </si>
  <si>
    <t>GERBER JAGUAR SCARLET</t>
  </si>
  <si>
    <t>001!0611834663100</t>
  </si>
  <si>
    <t>GERBER JAGUAR SCR SHD W/DK CTR</t>
  </si>
  <si>
    <t>001!0611834671100</t>
  </si>
  <si>
    <t>GERBER JAGUAR SERIES</t>
  </si>
  <si>
    <t>001!0611834664100</t>
  </si>
  <si>
    <t>GERBER JAGUAR SPRING TIME MIX</t>
  </si>
  <si>
    <t>001!0611834665100</t>
  </si>
  <si>
    <t>GERBER JAGUAR TANGERINE</t>
  </si>
  <si>
    <t>001!0611834666100</t>
  </si>
  <si>
    <t>GERBER JAGUAR WHITE</t>
  </si>
  <si>
    <t>001!0611834668100</t>
  </si>
  <si>
    <t>GERBER JAGUAR YELLOW</t>
  </si>
  <si>
    <t>001!0611834669100</t>
  </si>
  <si>
    <t>GERBER JAGUAR YELLOW W/DK EYE</t>
  </si>
  <si>
    <t>001!0611834670100</t>
  </si>
  <si>
    <t>GERBER MAJOR ORG YL BIC DK EYE</t>
  </si>
  <si>
    <t>001!0611884238100</t>
  </si>
  <si>
    <t>GERBER MAJORETTE BRT WHT DK EY</t>
  </si>
  <si>
    <t>001!0611834673100</t>
  </si>
  <si>
    <t>GERBER MAJORETTE MIX</t>
  </si>
  <si>
    <t>001!0611834674100</t>
  </si>
  <si>
    <t>GERBER MAJORETTE ORANGE DK EYE</t>
  </si>
  <si>
    <t>001!0611834675100</t>
  </si>
  <si>
    <t>GERBER MAJORETTE PINK HALO</t>
  </si>
  <si>
    <t>001!0611834676100</t>
  </si>
  <si>
    <t>GERBER MAJORETTE RED DK EYE</t>
  </si>
  <si>
    <t>001!0611834677100</t>
  </si>
  <si>
    <t>GERBER MAJORETTE SUNSET ORANGE</t>
  </si>
  <si>
    <t>001!0611834679100</t>
  </si>
  <si>
    <t>GERBER MAJORETTE YELLOW DK EY</t>
  </si>
  <si>
    <t>001!0611834680100</t>
  </si>
  <si>
    <t>GERBER MINI GENERIC</t>
  </si>
  <si>
    <t>001!0611834681100</t>
  </si>
  <si>
    <t>GERBER PATIO CAPITAL REEF</t>
  </si>
  <si>
    <t>001!0611834682100</t>
  </si>
  <si>
    <t>GERBER PATIO KAROO</t>
  </si>
  <si>
    <t>001!0611834684100</t>
  </si>
  <si>
    <t>GERBER PATIO PARKS SERIES</t>
  </si>
  <si>
    <t>001!0611834685100</t>
  </si>
  <si>
    <t>GERBER REVOL BIC MIX</t>
  </si>
  <si>
    <t>001!0611834715100</t>
  </si>
  <si>
    <t>GERBER REVOL BIC RED LEMON</t>
  </si>
  <si>
    <t>001!0611834711100</t>
  </si>
  <si>
    <t>GERBER REVOL BIC RED WHITE</t>
  </si>
  <si>
    <t>001!0611834712100</t>
  </si>
  <si>
    <t>GERBER REVOL BIC RS WHITE</t>
  </si>
  <si>
    <t>001!0611834713100</t>
  </si>
  <si>
    <t>GERBER REVOL BIC YELL ORG</t>
  </si>
  <si>
    <t>001!0611834714100</t>
  </si>
  <si>
    <t>GERBER REVOL BRT RED W/DK EYE</t>
  </si>
  <si>
    <t>001!0611834688100</t>
  </si>
  <si>
    <t>GERBER REVOL BRT ROSE W/LT EYE</t>
  </si>
  <si>
    <t>001!0611834689100</t>
  </si>
  <si>
    <t>GERBER REVOL CLASSIC MIX</t>
  </si>
  <si>
    <t>001!0611834716100</t>
  </si>
  <si>
    <t>GERBER REVOL DP ORNG W/DK EYE</t>
  </si>
  <si>
    <t>001!0611834690100</t>
  </si>
  <si>
    <t>GERBER REVOL DP PINK W/LT EYE</t>
  </si>
  <si>
    <t>001!0611834717100</t>
  </si>
  <si>
    <t>GERBER REVOL GLDN YEL W/DK CTR</t>
  </si>
  <si>
    <t>001!0611834692100</t>
  </si>
  <si>
    <t>GERBER REVOL MEGA BRT OR W/L E</t>
  </si>
  <si>
    <t>001!0611834693100</t>
  </si>
  <si>
    <t>GERBER REVOL MEGA BRT RS W/D E</t>
  </si>
  <si>
    <t>001!0611834697100</t>
  </si>
  <si>
    <t>GERBER REVOL MEGA DP RS W/LT E</t>
  </si>
  <si>
    <t>001!0611834694100</t>
  </si>
  <si>
    <t>GERBER REVOL MEGA MIX</t>
  </si>
  <si>
    <t>001!0611834718100</t>
  </si>
  <si>
    <t>GERBER REVOL MEGA ORNG W/LT E</t>
  </si>
  <si>
    <t>001!0611834695100</t>
  </si>
  <si>
    <t>GERBER REVOL MEGA ORNG/DK EYE</t>
  </si>
  <si>
    <t>001!0611884239100</t>
  </si>
  <si>
    <t>GERBER REVOL MEGA SCR RD W/L E</t>
  </si>
  <si>
    <t>001!0611834699100</t>
  </si>
  <si>
    <t>GERBER REVOL MEGA SERIES</t>
  </si>
  <si>
    <t>001!0611834719100</t>
  </si>
  <si>
    <t>GERBER REVOL MEGA SLM RS W/L E</t>
  </si>
  <si>
    <t>001!0611834700100</t>
  </si>
  <si>
    <t>GERBER REVOL MEGA WATERMELON</t>
  </si>
  <si>
    <t>001!0611834701100</t>
  </si>
  <si>
    <t>GERBER REVOL MEGA WHT W/L E</t>
  </si>
  <si>
    <t>001!0611834702100</t>
  </si>
  <si>
    <t>GERBER REVOL MEGA YEL W/DK E</t>
  </si>
  <si>
    <t>001!0611834703100</t>
  </si>
  <si>
    <t>GERBER REVOL MIX</t>
  </si>
  <si>
    <t>001!0611834720100</t>
  </si>
  <si>
    <t>GERBER REVOL OR W/LT EYE</t>
  </si>
  <si>
    <t>001!0611834721100</t>
  </si>
  <si>
    <t>GERBER REVOL ORNG/DK EYE</t>
  </si>
  <si>
    <t>001!0611884240100</t>
  </si>
  <si>
    <t>GERBER REVOL PASTEL OR W/D CTR</t>
  </si>
  <si>
    <t>001!0611834706100</t>
  </si>
  <si>
    <t>GERBER REVOL RD SHDS W/DK CTR</t>
  </si>
  <si>
    <t>001!0611834707100</t>
  </si>
  <si>
    <t>GERBER REVOL RED W/LT EYE</t>
  </si>
  <si>
    <t>001!0611834723100</t>
  </si>
  <si>
    <t>GERBER REVOL SCRLT RD W/DK EYE</t>
  </si>
  <si>
    <t>001!0611834708100</t>
  </si>
  <si>
    <t>GERBER REVOL SELECT MIX</t>
  </si>
  <si>
    <t>001!0611834725100</t>
  </si>
  <si>
    <t>GERBER REVOL SLMN SHD W/LT EYE</t>
  </si>
  <si>
    <t>001!0611834709100</t>
  </si>
  <si>
    <t>GERBER REVOL WHITE</t>
  </si>
  <si>
    <t>001!0611834728100</t>
  </si>
  <si>
    <t>GERBER REVOL WHT W/LT EYE</t>
  </si>
  <si>
    <t>001!0611834727100</t>
  </si>
  <si>
    <t>GERBER REVOL YELL W/DK CTR</t>
  </si>
  <si>
    <t>001!0611834710100</t>
  </si>
  <si>
    <t>GERBER REVOL YELL W/LT EYE</t>
  </si>
  <si>
    <t>001!0611834729100</t>
  </si>
  <si>
    <t>GERBER ROYAL DEEP ORANGE</t>
  </si>
  <si>
    <t>001!0611834730100</t>
  </si>
  <si>
    <t>GERBER ROYAL DEEP ROSE</t>
  </si>
  <si>
    <t>001!0611834731100</t>
  </si>
  <si>
    <t>GERBER ROYAL GOLDEN YELLOW</t>
  </si>
  <si>
    <t>001!0611834732100</t>
  </si>
  <si>
    <t>GERBER ROYAL MIX</t>
  </si>
  <si>
    <t>001!0611834733100</t>
  </si>
  <si>
    <t>GERBER ROYAL PASTEL PINK</t>
  </si>
  <si>
    <t>001!0611834734100</t>
  </si>
  <si>
    <t>GERBER ROYAL PEACH</t>
  </si>
  <si>
    <t>001!0611834735100</t>
  </si>
  <si>
    <t>GERBER ROYAL PREMIUM MIX</t>
  </si>
  <si>
    <t>001!0611834736100</t>
  </si>
  <si>
    <t>GERBER ROYAL RED</t>
  </si>
  <si>
    <t>001!0611834737100</t>
  </si>
  <si>
    <t>GERBER ROYAL ROSE</t>
  </si>
  <si>
    <t>001!0611834738100</t>
  </si>
  <si>
    <t>GERBER ROYAL YELLOW</t>
  </si>
  <si>
    <t>001!0611834739100</t>
  </si>
  <si>
    <t>GEUM BLAZING SUNSET</t>
  </si>
  <si>
    <t>001!0611834740100</t>
  </si>
  <si>
    <t>001!0611834741025</t>
  </si>
  <si>
    <t>GEUM COCKTAILS TEQUILA SNRISE</t>
  </si>
  <si>
    <t>001!0611834743025</t>
  </si>
  <si>
    <t>GEUM COOKY COCCINEUM</t>
  </si>
  <si>
    <t>001!0611834744025</t>
  </si>
  <si>
    <t>GEUM GENERIC</t>
  </si>
  <si>
    <t>001!0611834746025</t>
  </si>
  <si>
    <t>GEUM KOI COCCINEUM</t>
  </si>
  <si>
    <t>001!0611834747025</t>
  </si>
  <si>
    <t>GEUM LADY STRATHEDEN COCCINEUM</t>
  </si>
  <si>
    <t>001!0611834748025</t>
  </si>
  <si>
    <t>GEUM MRS BRADSHAW COCCINEUM</t>
  </si>
  <si>
    <t>001!0611834749100</t>
  </si>
  <si>
    <t>001!0611834750025</t>
  </si>
  <si>
    <t>GEUM TOTALLY TANGERINE</t>
  </si>
  <si>
    <t>001!0611834752025</t>
  </si>
  <si>
    <t>GIBASI BRIDAL VEIL GENERIC</t>
  </si>
  <si>
    <t>001!0611834753100</t>
  </si>
  <si>
    <t>001!0611834754100</t>
  </si>
  <si>
    <t>GLECHO CREEPING CHARLIE</t>
  </si>
  <si>
    <t>001!0611834755100</t>
  </si>
  <si>
    <t>GLECHO GLECHOMA</t>
  </si>
  <si>
    <t>001!0611862463050</t>
  </si>
  <si>
    <t>GLECHO HEDERACEA VARIEGATA</t>
  </si>
  <si>
    <t>001!0611834756025</t>
  </si>
  <si>
    <t>GLECHO VARIEGATA LMTD</t>
  </si>
  <si>
    <t>001!0611862464050</t>
  </si>
  <si>
    <t>GODETI SATIN MIX</t>
  </si>
  <si>
    <t>001!0611833097100</t>
  </si>
  <si>
    <t>GOMPHR BUDDY MIX</t>
  </si>
  <si>
    <t>001!0611834758100</t>
  </si>
  <si>
    <t>GOMPHR BUDDY PURPLE</t>
  </si>
  <si>
    <t>001!0611834759100</t>
  </si>
  <si>
    <t>GOMPHR BUDDY ROSE</t>
  </si>
  <si>
    <t>001!0611834760100</t>
  </si>
  <si>
    <t>GOMPHR BUDDY WHITE</t>
  </si>
  <si>
    <t>001!0611834761100</t>
  </si>
  <si>
    <t>GOMPHR FIREWORKS</t>
  </si>
  <si>
    <t>001!0611834762100</t>
  </si>
  <si>
    <t>GOMPHR GNOME MIX</t>
  </si>
  <si>
    <t>001!0611834763100</t>
  </si>
  <si>
    <t>GOMPHR GNOME PINK</t>
  </si>
  <si>
    <t>001!0611834764100</t>
  </si>
  <si>
    <t>GOMPHR GNOME PURPLE</t>
  </si>
  <si>
    <t>001!0611834765100</t>
  </si>
  <si>
    <t>GOMPHR GNOME WHITE</t>
  </si>
  <si>
    <t>001!0611834766100</t>
  </si>
  <si>
    <t>GOMPHR GOMPHRENA GENERIC</t>
  </si>
  <si>
    <t>001!0611834767100</t>
  </si>
  <si>
    <t>GOMPHR LAS VEGAS SERIES</t>
  </si>
  <si>
    <t>001!0611834768100</t>
  </si>
  <si>
    <t>GOMPHR MIX GENERIC</t>
  </si>
  <si>
    <t>001!0611834769100</t>
  </si>
  <si>
    <t>GOMPHR PINBALL PURPLE</t>
  </si>
  <si>
    <t>001!0611834770100</t>
  </si>
  <si>
    <t>GOMPHR PINBALL SNOW TIP LAV</t>
  </si>
  <si>
    <t>001!0611834771100</t>
  </si>
  <si>
    <t>GOMPHR PING PONG LAVENDER</t>
  </si>
  <si>
    <t>001!0611834772100</t>
  </si>
  <si>
    <t>GOMPHR PING PONG MIX</t>
  </si>
  <si>
    <t>001!0611834773100</t>
  </si>
  <si>
    <t>GOMPHR PING PONG PURPLE</t>
  </si>
  <si>
    <t>001!0611834774100</t>
  </si>
  <si>
    <t>GOMPHR PING PONG WHITE</t>
  </si>
  <si>
    <t>001!0611834775100</t>
  </si>
  <si>
    <t>GOMPHR PURPLE GENERIC</t>
  </si>
  <si>
    <t>001!0611834776100</t>
  </si>
  <si>
    <t>GOMPHR STRAWBERRY FIELDS</t>
  </si>
  <si>
    <t>001!0611834777100</t>
  </si>
  <si>
    <t>GOMPHR TALL ORANGE RED GENERIC</t>
  </si>
  <si>
    <t>001!0611834778100</t>
  </si>
  <si>
    <t>GOMPHR TALL PURPLE GENERIC</t>
  </si>
  <si>
    <t>001!0611834779100</t>
  </si>
  <si>
    <t>GOURDS GENERIC</t>
  </si>
  <si>
    <t>001!0611833581100</t>
  </si>
  <si>
    <t>GRAPTO BASHFUL</t>
  </si>
  <si>
    <t>001!0611884241100</t>
  </si>
  <si>
    <t>GRAPTO CALIFORNIA SUNSET</t>
  </si>
  <si>
    <t>001!0611834780100</t>
  </si>
  <si>
    <t>GRAPTO DARLEY SUNSHINE</t>
  </si>
  <si>
    <t>001!0611834781100</t>
  </si>
  <si>
    <t>GRAPTO VERA HIGGINS</t>
  </si>
  <si>
    <t>001!0611834782100</t>
  </si>
  <si>
    <t>GRAPTV DEBBIE</t>
  </si>
  <si>
    <t>001!0611862465100</t>
  </si>
  <si>
    <t>GYNURA PURPLE PASSION</t>
  </si>
  <si>
    <t>001!0611834825100</t>
  </si>
  <si>
    <t>GYPSOP ALBA REPENS</t>
  </si>
  <si>
    <t>001!0611834826025</t>
  </si>
  <si>
    <t>GYPSOP BABYS BREATH CMPCT PK</t>
  </si>
  <si>
    <t>001!0611834827100</t>
  </si>
  <si>
    <t>GYPSOP BABYS BREATH CMPCT WH</t>
  </si>
  <si>
    <t>001!0611834828100</t>
  </si>
  <si>
    <t>GYPSOP DOUBLE SNOWFLAKE</t>
  </si>
  <si>
    <t>001!0611834829025</t>
  </si>
  <si>
    <t>GYPSOP FESTIVAL WHITE FLARE</t>
  </si>
  <si>
    <t>001!0611834830025</t>
  </si>
  <si>
    <t>GYPSOP FILOU ROSE REPENS</t>
  </si>
  <si>
    <t>001!0611834831025</t>
  </si>
  <si>
    <t>GYPSOP FILOU WHITE REPENS</t>
  </si>
  <si>
    <t>001!0611834832025</t>
  </si>
  <si>
    <t>GYPSOP GYPSY</t>
  </si>
  <si>
    <t>001!0611834833100</t>
  </si>
  <si>
    <t>GYPSOP GYPSY DEEP ROSE</t>
  </si>
  <si>
    <t>001!0611834834100</t>
  </si>
  <si>
    <t>GYPSOP GYPSY WHITE</t>
  </si>
  <si>
    <t>001!0611834835100</t>
  </si>
  <si>
    <t>GYPSOP PIXIE SPLASH</t>
  </si>
  <si>
    <t>001!0611834836025</t>
  </si>
  <si>
    <t>GYPSOP PRETTY MAID</t>
  </si>
  <si>
    <t>001!0611884242025</t>
  </si>
  <si>
    <t>GYPSOP ROSEA REPENS</t>
  </si>
  <si>
    <t>001!0611834837100</t>
  </si>
  <si>
    <t>001!0611834838025</t>
  </si>
  <si>
    <t>GYPSOP SNOWFLAKE PANICULATA</t>
  </si>
  <si>
    <t>001!0611834839025</t>
  </si>
  <si>
    <t>HAKONE ALL GOLD MACRA</t>
  </si>
  <si>
    <t>001!0611834840025</t>
  </si>
  <si>
    <t>HAKONE AUREOLA</t>
  </si>
  <si>
    <t>001!0611834841025</t>
  </si>
  <si>
    <t>HANG N TAGS</t>
  </si>
  <si>
    <t>100/100 Tag</t>
  </si>
  <si>
    <t>001!0611515686100</t>
  </si>
  <si>
    <t>HAWORT BARCELONA</t>
  </si>
  <si>
    <t>001!0611862466100</t>
  </si>
  <si>
    <t>HAWORT BELLA</t>
  </si>
  <si>
    <t>001!0611862467100</t>
  </si>
  <si>
    <t>HAWORT BIG BAND</t>
  </si>
  <si>
    <t>001!0611862468100</t>
  </si>
  <si>
    <t>HAWORT BIG BAND CHINA</t>
  </si>
  <si>
    <t>001!0611862469100</t>
  </si>
  <si>
    <t>HAWORT BOSTON</t>
  </si>
  <si>
    <t>001!0611862470100</t>
  </si>
  <si>
    <t>HAWORT CAPE TOWN</t>
  </si>
  <si>
    <t>001!0611862471100</t>
  </si>
  <si>
    <t>HAWORT COARCTATA</t>
  </si>
  <si>
    <t>001!0611862472100</t>
  </si>
  <si>
    <t>HAWORT COLUMBUS</t>
  </si>
  <si>
    <t>001!0611862473100</t>
  </si>
  <si>
    <t>HAWORT CONCOLOR</t>
  </si>
  <si>
    <t>001!0611862474100</t>
  </si>
  <si>
    <t>HAWORT CYMBIFORMIS</t>
  </si>
  <si>
    <t>001!0611862475100</t>
  </si>
  <si>
    <t>HAWORT ENON</t>
  </si>
  <si>
    <t>001!0611862476100</t>
  </si>
  <si>
    <t>HAWORT FASCIATA GREEN</t>
  </si>
  <si>
    <t>001!0611862477100</t>
  </si>
  <si>
    <t>HAWORT GIGANTEA</t>
  </si>
  <si>
    <t>001!0611862478100</t>
  </si>
  <si>
    <t>HAWORT HAWORTHIA GENERIC</t>
  </si>
  <si>
    <t>001!0611834843100</t>
  </si>
  <si>
    <t>HAWORT HERBACEA</t>
  </si>
  <si>
    <t>001!0611862479100</t>
  </si>
  <si>
    <t>HAWORT JACOBSENIANA</t>
  </si>
  <si>
    <t>001!0611862480100</t>
  </si>
  <si>
    <t>HAWORT LIMIFOLIA</t>
  </si>
  <si>
    <t>001!0611862481100</t>
  </si>
  <si>
    <t>HAWORT MAGNIFICUS</t>
  </si>
  <si>
    <t>001!0611862482100</t>
  </si>
  <si>
    <t>HAWORT MARGINATA</t>
  </si>
  <si>
    <t>001!0611862483100</t>
  </si>
  <si>
    <t>HAWORT PENTAGONA</t>
  </si>
  <si>
    <t>001!0611862484100</t>
  </si>
  <si>
    <t>HAWORT PESCARA</t>
  </si>
  <si>
    <t>001!0611862485100</t>
  </si>
  <si>
    <t>HAWORT RETUSA</t>
  </si>
  <si>
    <t>001!0611862486100</t>
  </si>
  <si>
    <t>HAWORT ROMANO</t>
  </si>
  <si>
    <t>001!0611862487100</t>
  </si>
  <si>
    <t>HAWORT ROME</t>
  </si>
  <si>
    <t>001!0611862488100</t>
  </si>
  <si>
    <t>HAWORT ROYAL ALBERT</t>
  </si>
  <si>
    <t>001!0611862489100</t>
  </si>
  <si>
    <t>HAWORT SUPER</t>
  </si>
  <si>
    <t>001!0611862490100</t>
  </si>
  <si>
    <t>HAWORT TESSELLATA</t>
  </si>
  <si>
    <t>001!0611862491100</t>
  </si>
  <si>
    <t>HAWORT TWISTER</t>
  </si>
  <si>
    <t>001!0611862492100</t>
  </si>
  <si>
    <t>HAWORT UNIVERSE</t>
  </si>
  <si>
    <t>001!0611862493100</t>
  </si>
  <si>
    <t>HAWORT ZEBRA</t>
  </si>
  <si>
    <t>001!0611862494100</t>
  </si>
  <si>
    <t>HEDERA ANNE MARIE</t>
  </si>
  <si>
    <t>001!0611834844100</t>
  </si>
  <si>
    <t>HEDERA ASTERISK</t>
  </si>
  <si>
    <t>001!0611834845100</t>
  </si>
  <si>
    <t>HEDERA BALTICA CN5199</t>
  </si>
  <si>
    <t>001!0611862498100</t>
  </si>
  <si>
    <t>HEDERA CALIFORNIAN</t>
  </si>
  <si>
    <t>001!0611834849100</t>
  </si>
  <si>
    <t>HEDERA CANARIENSIS</t>
  </si>
  <si>
    <t>001!0611834850100</t>
  </si>
  <si>
    <t>HEDERA DUCK FOOT</t>
  </si>
  <si>
    <t>001!0611834851100</t>
  </si>
  <si>
    <t>HEDERA EVA</t>
  </si>
  <si>
    <t>001!0611834852100</t>
  </si>
  <si>
    <t>HEDERA FANCY CALIFORNIA</t>
  </si>
  <si>
    <t>001!0611862499100</t>
  </si>
  <si>
    <t>HEDERA GLACIER</t>
  </si>
  <si>
    <t>001!0611834854100</t>
  </si>
  <si>
    <t>001!0611834855025</t>
  </si>
  <si>
    <t>001!0611862500050</t>
  </si>
  <si>
    <t>HEDERA GLACIER CN5193</t>
  </si>
  <si>
    <t>001!0611862501100</t>
  </si>
  <si>
    <t>HEDERA GOLD CHILD</t>
  </si>
  <si>
    <t>001!0611834856100</t>
  </si>
  <si>
    <t>001!0611834857025</t>
  </si>
  <si>
    <t>HEDERA GOLD CHILD CN5194</t>
  </si>
  <si>
    <t>001!0611862502100</t>
  </si>
  <si>
    <t>HEDERA GOLDEN INGOT</t>
  </si>
  <si>
    <t>001!0611834858100</t>
  </si>
  <si>
    <t>HEDERA GREEN ENGLISH IVY</t>
  </si>
  <si>
    <t>001!0611834859100</t>
  </si>
  <si>
    <t>HEDERA HARDY ENGLISH</t>
  </si>
  <si>
    <t>001!0611834860025</t>
  </si>
  <si>
    <t>HEDERA HEDERA IVY GENERIC</t>
  </si>
  <si>
    <t>001!0611834863100</t>
  </si>
  <si>
    <t>HEDERA HELIX ENGLISH IVY</t>
  </si>
  <si>
    <t>001!0611834864100</t>
  </si>
  <si>
    <t>HEDERA IVY ALGERIAN</t>
  </si>
  <si>
    <t>001!0611862495100</t>
  </si>
  <si>
    <t>HEDERA IVY ALGERIAN LMTD</t>
  </si>
  <si>
    <t>001!0611862496050</t>
  </si>
  <si>
    <t>HEDERA IVY BALTIC</t>
  </si>
  <si>
    <t>001!0611834847100</t>
  </si>
  <si>
    <t>001!0611834848025</t>
  </si>
  <si>
    <t>001!0611862497050</t>
  </si>
  <si>
    <t>HEDERA IVY ENGLISH</t>
  </si>
  <si>
    <t>001!0611862503100</t>
  </si>
  <si>
    <t>001!0611862504050</t>
  </si>
  <si>
    <t>HEDERA IVY GNRC BLNGL DESIGN</t>
  </si>
  <si>
    <t>001!0611834865100</t>
  </si>
  <si>
    <t>HEDERA MARENGO</t>
  </si>
  <si>
    <t>001!0611862505100</t>
  </si>
  <si>
    <t>HEDERA MINT KOLIBRI</t>
  </si>
  <si>
    <t>001!0611834866100</t>
  </si>
  <si>
    <t>HEDERA NEEDLEPOINT</t>
  </si>
  <si>
    <t>001!0611834867100</t>
  </si>
  <si>
    <t>HEDERA NEEDLEPOINT LMTD</t>
  </si>
  <si>
    <t>001!0611862507050</t>
  </si>
  <si>
    <t>HEDERA RALF</t>
  </si>
  <si>
    <t>001!0611834868100</t>
  </si>
  <si>
    <t>HEDERA RIPPLE YELLOW</t>
  </si>
  <si>
    <t>001!0611862508100</t>
  </si>
  <si>
    <t>HEDERA TEARDROP</t>
  </si>
  <si>
    <t>001!0611834869100</t>
  </si>
  <si>
    <t>HEDERA THORNDALE</t>
  </si>
  <si>
    <t>001!0611834870025</t>
  </si>
  <si>
    <t>001!0611862509100</t>
  </si>
  <si>
    <t>HEDERA THORNDALE LMTD</t>
  </si>
  <si>
    <t>001!0611862510050</t>
  </si>
  <si>
    <t>HEDERA VARIEGATA</t>
  </si>
  <si>
    <t>001!0611834871100</t>
  </si>
  <si>
    <t>HEDERA VARIEGATED ENGLISH IVY</t>
  </si>
  <si>
    <t>001!0611834872100</t>
  </si>
  <si>
    <t>HEDERA WHITE RIPPLE</t>
  </si>
  <si>
    <t>001!0611834873100</t>
  </si>
  <si>
    <t>HEDERA YELLOW RIPPLE</t>
  </si>
  <si>
    <t>001!0611834874100</t>
  </si>
  <si>
    <t>001!0611834875025</t>
  </si>
  <si>
    <t>001!0611862511050</t>
  </si>
  <si>
    <t>HELENI DAKOTA GOLD</t>
  </si>
  <si>
    <t>001!0611834876025</t>
  </si>
  <si>
    <t>HELENI HAYDAY GOLD BIC</t>
  </si>
  <si>
    <t>001!0611834877025</t>
  </si>
  <si>
    <t>HELENI HAYDAY ORANGE</t>
  </si>
  <si>
    <t>001!0611834878025</t>
  </si>
  <si>
    <t>HELENI HAYDAY RED</t>
  </si>
  <si>
    <t>001!0611834879025</t>
  </si>
  <si>
    <t>HELENI HAYDAY RED BIC</t>
  </si>
  <si>
    <t>001!0611834880025</t>
  </si>
  <si>
    <t>HELENI HAYDAY YELLOW</t>
  </si>
  <si>
    <t>001!0611834881025</t>
  </si>
  <si>
    <t>HELENI HELENA MIX</t>
  </si>
  <si>
    <t>001!0611834882025</t>
  </si>
  <si>
    <t>HELENI HELENS FLOWER GENERIC</t>
  </si>
  <si>
    <t>001!0611834883025</t>
  </si>
  <si>
    <t>HELENI SALUD EMBERS</t>
  </si>
  <si>
    <t>001!0611862512100</t>
  </si>
  <si>
    <t>HELENI SALUD EMBERS AUTUMNALE</t>
  </si>
  <si>
    <t>001!0611834885025</t>
  </si>
  <si>
    <t>HELENI SALUD GOLDEN</t>
  </si>
  <si>
    <t>001!0611862513100</t>
  </si>
  <si>
    <t>HELENI SALUD GOLDEN AUTUMNALE</t>
  </si>
  <si>
    <t>001!0611834886025</t>
  </si>
  <si>
    <t>HELENI SALUD YELLOW</t>
  </si>
  <si>
    <t>001!0611862514100</t>
  </si>
  <si>
    <t>HELENI SALUD YELLOW AUTUMNALE</t>
  </si>
  <si>
    <t>001!0611834887025</t>
  </si>
  <si>
    <t>HELIAN AUTUMN BEAUTY</t>
  </si>
  <si>
    <t>001!0611834889100</t>
  </si>
  <si>
    <t>HELIAN AUTUMN GLD SALICIFOLIUS</t>
  </si>
  <si>
    <t>001!0611834890025</t>
  </si>
  <si>
    <t>HELIAN BALLAD</t>
  </si>
  <si>
    <t>001!0611834891100</t>
  </si>
  <si>
    <t>HELIAN BEN FHADA</t>
  </si>
  <si>
    <t>001!0611834892025</t>
  </si>
  <si>
    <t>HELIAN BEN HOPE</t>
  </si>
  <si>
    <t>001!0611834893025</t>
  </si>
  <si>
    <t>HELIAN BEN LEDI</t>
  </si>
  <si>
    <t>001!0611834894025</t>
  </si>
  <si>
    <t>HELIAN BERT</t>
  </si>
  <si>
    <t>001!0611834895100</t>
  </si>
  <si>
    <t>HELIAN BIG SMILE</t>
  </si>
  <si>
    <t>001!0611834896100</t>
  </si>
  <si>
    <t>HELIAN BRANCHING GENERIC</t>
  </si>
  <si>
    <t>001!0611834897100</t>
  </si>
  <si>
    <t>HELIAN BRONZE CARPET</t>
  </si>
  <si>
    <t>001!0611834898025</t>
  </si>
  <si>
    <t>HELIAN CERISE QUEEN</t>
  </si>
  <si>
    <t>001!0611834899025</t>
  </si>
  <si>
    <t>HELIAN CHOCO SUN</t>
  </si>
  <si>
    <t>001!0611834900100</t>
  </si>
  <si>
    <t>HELIAN DWARF GENERIC</t>
  </si>
  <si>
    <t>001!0611834901100</t>
  </si>
  <si>
    <t>HELIAN FIRE DRAGON</t>
  </si>
  <si>
    <t>001!0611834902025</t>
  </si>
  <si>
    <t>HELIAN FIRECRACKER</t>
  </si>
  <si>
    <t>001!0611834903100</t>
  </si>
  <si>
    <t>HELIAN HELISOL</t>
  </si>
  <si>
    <t>001!0611834904100</t>
  </si>
  <si>
    <t>HELIAN HENFIELD BRILLIANT</t>
  </si>
  <si>
    <t>001!0611834905025</t>
  </si>
  <si>
    <t>HELIAN MAMMOTH RUSSIAN</t>
  </si>
  <si>
    <t>001!0611834906100</t>
  </si>
  <si>
    <t>HELIAN MISS SUNSHINE</t>
  </si>
  <si>
    <t>001!0611834907100</t>
  </si>
  <si>
    <t>HELIAN PACINO</t>
  </si>
  <si>
    <t>001!0611834908100</t>
  </si>
  <si>
    <t>HELIAN PACINO COLA</t>
  </si>
  <si>
    <t>001!0611834909100</t>
  </si>
  <si>
    <t>HELIAN RING OF FIRE</t>
  </si>
  <si>
    <t>001!0611834911100</t>
  </si>
  <si>
    <t>HELIAN SMILEY</t>
  </si>
  <si>
    <t>001!0611834912100</t>
  </si>
  <si>
    <t>HELIAN SMILEY GOLD</t>
  </si>
  <si>
    <t>001!0611884243100</t>
  </si>
  <si>
    <t>HELIAN SNTASTIC YELL W/BLK CTR</t>
  </si>
  <si>
    <t>001!0611834913100</t>
  </si>
  <si>
    <t>HELIAN SORAYA</t>
  </si>
  <si>
    <t>001!0611834914100</t>
  </si>
  <si>
    <t>HELIAN SUNBELIEVABLE BRN EYD G</t>
  </si>
  <si>
    <t>001!0611834915100</t>
  </si>
  <si>
    <t>HELIAN SUNBUZZ</t>
  </si>
  <si>
    <t>001!0611834916100</t>
  </si>
  <si>
    <t>HELIAN SUNCATCHER</t>
  </si>
  <si>
    <t>001!0611856967025</t>
  </si>
  <si>
    <t>HELIAN SUNFINITY</t>
  </si>
  <si>
    <t>001!0611862515050</t>
  </si>
  <si>
    <t>HELIAN SUNFINITY YELL DK CNTR</t>
  </si>
  <si>
    <t>001!0611834917025</t>
  </si>
  <si>
    <t>50/50 Mini Portrait Tag SF</t>
  </si>
  <si>
    <t>001!0611834918050</t>
  </si>
  <si>
    <t>HELIAN SUNFINITY YELL RED BIC</t>
  </si>
  <si>
    <t>001!0611834919025</t>
  </si>
  <si>
    <t>001!0611834920050</t>
  </si>
  <si>
    <t>HELIAN SUNFLOWER GENERIC</t>
  </si>
  <si>
    <t>001!0611834921100</t>
  </si>
  <si>
    <t>001!0611834922025</t>
  </si>
  <si>
    <t>HELIAN SUNMAZING</t>
  </si>
  <si>
    <t>001!0611884244100</t>
  </si>
  <si>
    <t>HELIAN SUNNY SMILE</t>
  </si>
  <si>
    <t>001!0611834923100</t>
  </si>
  <si>
    <t>HELIAN TEDDY BEAR</t>
  </si>
  <si>
    <t>001!0611834925100</t>
  </si>
  <si>
    <t>HELICH CURRY</t>
  </si>
  <si>
    <t>001!0611834927100</t>
  </si>
  <si>
    <t>HELICH DWARF</t>
  </si>
  <si>
    <t>001!0611834928100</t>
  </si>
  <si>
    <t>001!0611884245025</t>
  </si>
  <si>
    <t>HELICH GOLD LEAF</t>
  </si>
  <si>
    <t>001!0611834929100</t>
  </si>
  <si>
    <t>HELICH GOLDEN</t>
  </si>
  <si>
    <t>001!0611862516050</t>
  </si>
  <si>
    <t>HELICH ICICLES</t>
  </si>
  <si>
    <t>001!0611834930100</t>
  </si>
  <si>
    <t>HELICH ICICLES LICORICE</t>
  </si>
  <si>
    <t>001!0611862517050</t>
  </si>
  <si>
    <t>HELICH ICICLES SILVERY</t>
  </si>
  <si>
    <t>001!0611862518050</t>
  </si>
  <si>
    <t>HELICH LICORICE LEMON</t>
  </si>
  <si>
    <t>001!0611834931100</t>
  </si>
  <si>
    <t>001!0611834932025</t>
  </si>
  <si>
    <t>HELICH LICORICE PLANT DSIGN</t>
  </si>
  <si>
    <t>001!0611834933100</t>
  </si>
  <si>
    <t>HELICH LICORICE SPLASH</t>
  </si>
  <si>
    <t>001!0611834934025</t>
  </si>
  <si>
    <t>HELICH LIMELIGHT</t>
  </si>
  <si>
    <t>100/100 Pixie Tag SF FUL</t>
  </si>
  <si>
    <t>001!0611834935100</t>
  </si>
  <si>
    <t>HELICH MINI SILVER</t>
  </si>
  <si>
    <t>001!0611862519050</t>
  </si>
  <si>
    <t>HELICH MINUS MICRO NANUM</t>
  </si>
  <si>
    <t>001!0611834936100</t>
  </si>
  <si>
    <t>HELICH PETITE</t>
  </si>
  <si>
    <t>001!0611862520050</t>
  </si>
  <si>
    <t>HELICH PETITE LICORICE</t>
  </si>
  <si>
    <t>001!0611834937100</t>
  </si>
  <si>
    <t>HELICH SILVER</t>
  </si>
  <si>
    <t>001!0611862521050</t>
  </si>
  <si>
    <t>HELICH SILVER LEAF</t>
  </si>
  <si>
    <t>001!0611834938100</t>
  </si>
  <si>
    <t>HELICH SILVER LICORICE PLANT</t>
  </si>
  <si>
    <t>001!0611862522050</t>
  </si>
  <si>
    <t>HELICH SILVER MIST</t>
  </si>
  <si>
    <t>001!0611834939100</t>
  </si>
  <si>
    <t>HELICH SILVER SPIKE</t>
  </si>
  <si>
    <t>001!0611862523050</t>
  </si>
  <si>
    <t>HELICH SILVERSTAR</t>
  </si>
  <si>
    <t>001!0611834940100</t>
  </si>
  <si>
    <t>001!0611862524050</t>
  </si>
  <si>
    <t>HELICH TALL</t>
  </si>
  <si>
    <t>001!0611884246025</t>
  </si>
  <si>
    <t>HELICH VARIEGATED</t>
  </si>
  <si>
    <t>001!0611834941100</t>
  </si>
  <si>
    <t>HELICH WHITE LICORICE</t>
  </si>
  <si>
    <t>001!0611834942025</t>
  </si>
  <si>
    <t>001!0611862525050</t>
  </si>
  <si>
    <t>HELICH WHITE WONDER</t>
  </si>
  <si>
    <t>001!0611856968100</t>
  </si>
  <si>
    <t>HELICT SAPPHIRE</t>
  </si>
  <si>
    <t>001!0611834943025</t>
  </si>
  <si>
    <t>HELICT SEMPERVIRENS</t>
  </si>
  <si>
    <t>001!0611834944025</t>
  </si>
  <si>
    <t>HELIOP BLEEDING HEARTS</t>
  </si>
  <si>
    <t>001!0611834945025</t>
  </si>
  <si>
    <t>HELIOP BURNING HEARTS</t>
  </si>
  <si>
    <t>001!0611834946025</t>
  </si>
  <si>
    <t>HELIOP DBL SNSTRUCK</t>
  </si>
  <si>
    <t>001!0611834947025</t>
  </si>
  <si>
    <t>HELIOP SUMMER ECLIPSE</t>
  </si>
  <si>
    <t>001!0611834949025</t>
  </si>
  <si>
    <t>HELIOP SUMMER NIGHTS</t>
  </si>
  <si>
    <t>001!0611834950025</t>
  </si>
  <si>
    <t>HELIOP SUMMER SN HELIANTHOIDES</t>
  </si>
  <si>
    <t>001!0611834951100</t>
  </si>
  <si>
    <t>001!0611834952025</t>
  </si>
  <si>
    <t>HELIOP SUNSTRUCK</t>
  </si>
  <si>
    <t>001!0611834953025</t>
  </si>
  <si>
    <t>001!0611862526100</t>
  </si>
  <si>
    <t>001!0611862527050</t>
  </si>
  <si>
    <t>HELIOT FRAGRANT DELIGHT</t>
  </si>
  <si>
    <t>001!0611834955100</t>
  </si>
  <si>
    <t>001!0611862528050</t>
  </si>
  <si>
    <t>HELIOT HELIOTROPE GENERIC</t>
  </si>
  <si>
    <t>001!0611834956100</t>
  </si>
  <si>
    <t>001!0611834957025</t>
  </si>
  <si>
    <t>HELIOT HINTO AMETHYST</t>
  </si>
  <si>
    <t>001!0611862529050</t>
  </si>
  <si>
    <t>HELIOT MARINE</t>
  </si>
  <si>
    <t>001!0611834958100</t>
  </si>
  <si>
    <t>HELIOT MIDNIGHT SKY</t>
  </si>
  <si>
    <t>001!0611834959100</t>
  </si>
  <si>
    <t>HELIOT NAGANO</t>
  </si>
  <si>
    <t>001!0611834960100</t>
  </si>
  <si>
    <t>HELIOT SCENTROPIA DARK BLUE</t>
  </si>
  <si>
    <t>001!0611862531050</t>
  </si>
  <si>
    <t>HELLEB HGC ICE N ROSES WHITE</t>
  </si>
  <si>
    <t>001!0611834966025</t>
  </si>
  <si>
    <t>HELLEB ICE N ROSES RED</t>
  </si>
  <si>
    <t>001!0611884247025</t>
  </si>
  <si>
    <t>HELLEB LENTEN ROSE GENERIC</t>
  </si>
  <si>
    <t>001!0611834981025</t>
  </si>
  <si>
    <t>HELLEB ROYAL HERITAGE</t>
  </si>
  <si>
    <t>001!0611834982025</t>
  </si>
  <si>
    <t>HELXIN BABYS TEARS GENERIC</t>
  </si>
  <si>
    <t>001!0611834999100</t>
  </si>
  <si>
    <t>HEMERO CHICAGO APACHE</t>
  </si>
  <si>
    <t>001!0611835000025</t>
  </si>
  <si>
    <t>HEMERO HAPPY RETURNS</t>
  </si>
  <si>
    <t>001!0611835003025</t>
  </si>
  <si>
    <t>HEMERO HYPERION</t>
  </si>
  <si>
    <t>001!0611835004025</t>
  </si>
  <si>
    <t>HEMERO LITTLE BUSINESS</t>
  </si>
  <si>
    <t>001!0611835005025</t>
  </si>
  <si>
    <t>HEMERO LITTLE GRAPETTE</t>
  </si>
  <si>
    <t>001!0611835006025</t>
  </si>
  <si>
    <t>HEMERO PANDORAS BOX</t>
  </si>
  <si>
    <t>001!0611835007025</t>
  </si>
  <si>
    <t>HEMERO PARDON ME</t>
  </si>
  <si>
    <t>001!0611835008025</t>
  </si>
  <si>
    <t>HEMERO PURPLE DE ORO</t>
  </si>
  <si>
    <t>001!0611835009025</t>
  </si>
  <si>
    <t>HEMERO STELLA DE ORO</t>
  </si>
  <si>
    <t>001!0611835010025</t>
  </si>
  <si>
    <t>HEMIGR WAFFLE PLANT GENERIC</t>
  </si>
  <si>
    <t>001!0611835012100</t>
  </si>
  <si>
    <t>HEMIZY CANDY KISSES</t>
  </si>
  <si>
    <t>001!0611835013100</t>
  </si>
  <si>
    <t>HERB GENERIC</t>
  </si>
  <si>
    <t>001!0611835026100</t>
  </si>
  <si>
    <t>HERB THYME ENGLISH</t>
  </si>
  <si>
    <t>001!0611862571100</t>
  </si>
  <si>
    <t>HEUCHE BIG TOP CARAMEL APPLE</t>
  </si>
  <si>
    <t>001!0611835206025</t>
  </si>
  <si>
    <t>HEUCHE BLACK FOREST CAKE</t>
  </si>
  <si>
    <t>001!0611856981025</t>
  </si>
  <si>
    <t>HEUCHE BLACKOUT</t>
  </si>
  <si>
    <t>001!0611835207025</t>
  </si>
  <si>
    <t>HEUCHE BRESSINGHAM HYBRIDS</t>
  </si>
  <si>
    <t>001!0611835209100</t>
  </si>
  <si>
    <t>001!0611835210025</t>
  </si>
  <si>
    <t>HEUCHE CARAMEL</t>
  </si>
  <si>
    <t>001!0611835212025</t>
  </si>
  <si>
    <t>HEUCHE CARNIVAL BLACK OLIVE</t>
  </si>
  <si>
    <t>001!0611835213025</t>
  </si>
  <si>
    <t>HEUCHE CARNIVAL BURGUNDY BLAST</t>
  </si>
  <si>
    <t>001!0611835214025</t>
  </si>
  <si>
    <t>HEUCHE CARNIVAL CANDY APPLE</t>
  </si>
  <si>
    <t>001!0611835217025</t>
  </si>
  <si>
    <t>HEUCHE CARNIVAL CINNAMON STICK</t>
  </si>
  <si>
    <t>001!0611835216025</t>
  </si>
  <si>
    <t>HEUCHE CARNIVAL COCOMINT</t>
  </si>
  <si>
    <t>001!0611835218025</t>
  </si>
  <si>
    <t>HEUCHE CARNIVAL COFFEE BEAN</t>
  </si>
  <si>
    <t>001!0611835215025</t>
  </si>
  <si>
    <t>HEUCHE CARNIVAL FALL FESTIVAL</t>
  </si>
  <si>
    <t>001!0611835219025</t>
  </si>
  <si>
    <t>HEUCHE CARNIVAL LIMEADE</t>
  </si>
  <si>
    <t>001!0611835220025</t>
  </si>
  <si>
    <t>HEUCHE CARNIVAL PEACH PARFAIT</t>
  </si>
  <si>
    <t>001!0611835221025</t>
  </si>
  <si>
    <t>HEUCHE CARNIVAL PLUM CRAZY</t>
  </si>
  <si>
    <t>001!0611835222025</t>
  </si>
  <si>
    <t>HEUCHE CARNIVAL ROSE GRANITA</t>
  </si>
  <si>
    <t>001!0611835223025</t>
  </si>
  <si>
    <t>HEUCHE CARNIVAL WATERMELON</t>
  </si>
  <si>
    <t>001!0611835224025</t>
  </si>
  <si>
    <t>HEUCHE CORAL BELLS GENERIC</t>
  </si>
  <si>
    <t>001!0611835228100</t>
  </si>
  <si>
    <t>001!0611835229025</t>
  </si>
  <si>
    <t>HEUCHE CORAL FOREST SANGUINEA</t>
  </si>
  <si>
    <t>001!0611835230025</t>
  </si>
  <si>
    <t>HEUCHE DALES STRAIN AMERICANA</t>
  </si>
  <si>
    <t>001!0611835231025</t>
  </si>
  <si>
    <t>HEUCHE FIREFLY</t>
  </si>
  <si>
    <t>001!0611835236025</t>
  </si>
  <si>
    <t>HEUCHE FOREVER PURPLE</t>
  </si>
  <si>
    <t>001!0611835237025</t>
  </si>
  <si>
    <t>HEUCHE FOREVER RED</t>
  </si>
  <si>
    <t>001!0611856982025</t>
  </si>
  <si>
    <t>HEUCHE GEORGIA PEACH</t>
  </si>
  <si>
    <t>001!0611835238025</t>
  </si>
  <si>
    <t>HEUCHE HONEY ROSE</t>
  </si>
  <si>
    <t>001!0611835240025</t>
  </si>
  <si>
    <t>HEUCHE KIRA SERIES</t>
  </si>
  <si>
    <t>001!0611835241025</t>
  </si>
  <si>
    <t>HEUCHE MARMALADE</t>
  </si>
  <si>
    <t>001!0611835244025</t>
  </si>
  <si>
    <t>HEUCHE MARVELOUS MRBL AMRC</t>
  </si>
  <si>
    <t>001!0611835245025</t>
  </si>
  <si>
    <t>HEUCHE MARVELOUS MRBL SLV AMRC</t>
  </si>
  <si>
    <t>001!0611835246025</t>
  </si>
  <si>
    <t>HEUCHE MEGA CARAMEL</t>
  </si>
  <si>
    <t>001!0611835247025</t>
  </si>
  <si>
    <t>HEUCHE MELTING FIRE</t>
  </si>
  <si>
    <t>001!0611835248025</t>
  </si>
  <si>
    <t>HEUCHE MIDNIGHT ROSE</t>
  </si>
  <si>
    <t>001!0611835249025</t>
  </si>
  <si>
    <t>HEUCHE OBSIDIAN</t>
  </si>
  <si>
    <t>001!0611835250025</t>
  </si>
  <si>
    <t>HEUCHE PALACE PURPLE</t>
  </si>
  <si>
    <t>001!0611835251100</t>
  </si>
  <si>
    <t>001!0611835252025</t>
  </si>
  <si>
    <t>HEUCHE PALACE PURPLE SELECT</t>
  </si>
  <si>
    <t>001!0611835253025</t>
  </si>
  <si>
    <t>HEUCHE PLUM PUDDING</t>
  </si>
  <si>
    <t>001!0611835255025</t>
  </si>
  <si>
    <t>HEUCHE PRINCE</t>
  </si>
  <si>
    <t>001!0611835256025</t>
  </si>
  <si>
    <t>HEUCHE RED LIGHTNING</t>
  </si>
  <si>
    <t>001!0611835257025</t>
  </si>
  <si>
    <t>HEUCHE RUBY BELLS</t>
  </si>
  <si>
    <t>001!0611835258025</t>
  </si>
  <si>
    <t>HEUCHE SILVER SCROLLS</t>
  </si>
  <si>
    <t>001!0611835260025</t>
  </si>
  <si>
    <t>HEUCHE SPLENDENS</t>
  </si>
  <si>
    <t>001!0611835262025</t>
  </si>
  <si>
    <t>HEUCHL ALABAMA SUNRISE</t>
  </si>
  <si>
    <t>001!0611835204025</t>
  </si>
  <si>
    <t>HEUCHL BUTTERED RUM</t>
  </si>
  <si>
    <t>001!0611835211025</t>
  </si>
  <si>
    <t>HEUCHL KIRELLA AUTUMN SHADES</t>
  </si>
  <si>
    <t>001!0611835242025</t>
  </si>
  <si>
    <t>HEUCHL KIRELLA FRESH GREEN</t>
  </si>
  <si>
    <t>001!0611835243025</t>
  </si>
  <si>
    <t>HEUCHL SWEET TEA</t>
  </si>
  <si>
    <t>001!0611835265025</t>
  </si>
  <si>
    <t>HIBISC DISCO BELLE MIX</t>
  </si>
  <si>
    <t>001!0611835266100</t>
  </si>
  <si>
    <t>HIBISC DISCO BELLE PINK</t>
  </si>
  <si>
    <t>001!0611835267025</t>
  </si>
  <si>
    <t>HIBISC DISCO BELLE ROSY RED</t>
  </si>
  <si>
    <t>001!0611835268100</t>
  </si>
  <si>
    <t>HIBISC HIBISCUS GENERIC</t>
  </si>
  <si>
    <t>001!0611835270100</t>
  </si>
  <si>
    <t>HIBISC HOLLYWOOD AMERCS SWTHRT</t>
  </si>
  <si>
    <t>001!0611856987025</t>
  </si>
  <si>
    <t>HIBISC HOLLYWOOD DISCO DIVA</t>
  </si>
  <si>
    <t>001!0611835271025</t>
  </si>
  <si>
    <t>HIBISC HOLLYWOOD DRAMA QUEEN</t>
  </si>
  <si>
    <t>001!0611835272025</t>
  </si>
  <si>
    <t>HIBISC HOLLYWOOD EARTH ANGEL</t>
  </si>
  <si>
    <t>001!0611835273025</t>
  </si>
  <si>
    <t>HIBISC HOLLYWOOD FIRST LADY</t>
  </si>
  <si>
    <t>001!0611884248025</t>
  </si>
  <si>
    <t>HIBISC HOLLYWOOD FIRST TO ARV</t>
  </si>
  <si>
    <t>001!0611835274025</t>
  </si>
  <si>
    <t>HIBISC HOLLYWOOD GLAMOUR GAL</t>
  </si>
  <si>
    <t>001!0611835275025</t>
  </si>
  <si>
    <t>HIBISC HOLLYWOOD GOLD DIGGER</t>
  </si>
  <si>
    <t>001!0611835276025</t>
  </si>
  <si>
    <t>HIBISC HOLLYWOOD GOSSIP QUEEN</t>
  </si>
  <si>
    <t>001!0611835277025</t>
  </si>
  <si>
    <t>HIBISC HOLLYWOOD HEARTBREAKER</t>
  </si>
  <si>
    <t>001!0611835278025</t>
  </si>
  <si>
    <t>HIBISC HOLLYWOOD HOT SHOT</t>
  </si>
  <si>
    <t>001!0611856983025</t>
  </si>
  <si>
    <t>HIBISC HOLLYWOOD HUSTLER</t>
  </si>
  <si>
    <t>001!0611856984025</t>
  </si>
  <si>
    <t>HIBISC HOLLYWOOD LEADING LADY</t>
  </si>
  <si>
    <t>001!0611835279025</t>
  </si>
  <si>
    <t>HIBISC HOLLYWOOD NEW HOT SHOT</t>
  </si>
  <si>
    <t>001!0611856985025</t>
  </si>
  <si>
    <t>HIBISC HOLLYWOOD PLAYBOY</t>
  </si>
  <si>
    <t>001!0611835280025</t>
  </si>
  <si>
    <t>HIBISC HOLLYWOOD POP STAR</t>
  </si>
  <si>
    <t>001!0611835281025</t>
  </si>
  <si>
    <t>HIBISC HOLLYWOOD RICO SUAVE</t>
  </si>
  <si>
    <t>001!0611835282025</t>
  </si>
  <si>
    <t>HIBISC HOLLYWOOD ROCK STAR</t>
  </si>
  <si>
    <t>001!0611856986025</t>
  </si>
  <si>
    <t>HIBISC HOLLYWOOD SNST BLVRD</t>
  </si>
  <si>
    <t>001!0611884249025</t>
  </si>
  <si>
    <t>HIBISC HOLLYWOOD SOCIAL BTFLY</t>
  </si>
  <si>
    <t>001!0611835283025</t>
  </si>
  <si>
    <t>HIBISC HOLLYWOOD TROPHY WIFE</t>
  </si>
  <si>
    <t>001!0611835284025</t>
  </si>
  <si>
    <t>HIBISC HONEYMOON DEEP RED</t>
  </si>
  <si>
    <t>001!0611835285025</t>
  </si>
  <si>
    <t>HIBISC HONEYMOON LIGHT ROSE</t>
  </si>
  <si>
    <t>001!0611835286025</t>
  </si>
  <si>
    <t>HIBISC HONEYMOON ROSE</t>
  </si>
  <si>
    <t>001!0611835288025</t>
  </si>
  <si>
    <t>HIBISC LUNA MIX</t>
  </si>
  <si>
    <t>001!0611835289025</t>
  </si>
  <si>
    <t>HIBISC LUNA PINK SWIRL</t>
  </si>
  <si>
    <t>001!0611835290025</t>
  </si>
  <si>
    <t>HIBISC LUNA RED</t>
  </si>
  <si>
    <t>001!0611835291100</t>
  </si>
  <si>
    <t>001!0611835292025</t>
  </si>
  <si>
    <t>HIBISC LUNA ROSE</t>
  </si>
  <si>
    <t>001!0611835293025</t>
  </si>
  <si>
    <t>HIBISC LUNA WHITE</t>
  </si>
  <si>
    <t>001!0611835294025</t>
  </si>
  <si>
    <t>HIBISC MAHOGANY SPLENDOR</t>
  </si>
  <si>
    <t>001!0611835295025</t>
  </si>
  <si>
    <t>HIBISC MOSCHEUTOS GENERIC</t>
  </si>
  <si>
    <t>001!0611835296025</t>
  </si>
  <si>
    <t>HOMALO HOMALOMENA GENERIC</t>
  </si>
  <si>
    <t>001!0611835298100</t>
  </si>
  <si>
    <t>HOMALO RIBBON/CURLS</t>
  </si>
  <si>
    <t>001!0611884250100</t>
  </si>
  <si>
    <t>HOREHO GENERIC</t>
  </si>
  <si>
    <t>001!0611836712100</t>
  </si>
  <si>
    <t>HOSTA ABIQUA DRINKING GOURD</t>
  </si>
  <si>
    <t>001!0611835299025</t>
  </si>
  <si>
    <t>HOSTA ALBO MARGINATA FORTUNEI</t>
  </si>
  <si>
    <t>001!0611835300025</t>
  </si>
  <si>
    <t>HOSTA ANN KULPA</t>
  </si>
  <si>
    <t>001!0611835302025</t>
  </si>
  <si>
    <t>HOSTA AUGUST MOON</t>
  </si>
  <si>
    <t>001!0611835303025</t>
  </si>
  <si>
    <t>HOSTA AUREO MARGINATA FORTUNEI</t>
  </si>
  <si>
    <t>001!0611835304025</t>
  </si>
  <si>
    <t>HOSTA BIG DADDY</t>
  </si>
  <si>
    <t>001!0611835305025</t>
  </si>
  <si>
    <t>HOSTA BLAZING SADDLES</t>
  </si>
  <si>
    <t>001!0611835306025</t>
  </si>
  <si>
    <t>HOSTA BLUE ANGEL</t>
  </si>
  <si>
    <t>001!0611835307025</t>
  </si>
  <si>
    <t>HOSTA BLUE CADET</t>
  </si>
  <si>
    <t>001!0611835308025</t>
  </si>
  <si>
    <t>HOSTA BLUE MOUSE EARS</t>
  </si>
  <si>
    <t>001!0611835309025</t>
  </si>
  <si>
    <t>HOSTA BRESSINGHAM BLUE</t>
  </si>
  <si>
    <t>001!0611835310025</t>
  </si>
  <si>
    <t>HOSTA BRIM CUP</t>
  </si>
  <si>
    <t>001!0611835311025</t>
  </si>
  <si>
    <t>HOSTA BROTHER STEFAN</t>
  </si>
  <si>
    <t>001!0611835312025</t>
  </si>
  <si>
    <t>HOSTA CAPTAIN KIRK</t>
  </si>
  <si>
    <t>001!0611835313025</t>
  </si>
  <si>
    <t>HOSTA CHRISTMAS TREE</t>
  </si>
  <si>
    <t>001!0611835314025</t>
  </si>
  <si>
    <t>HOSTA DIANA REMEMBERED</t>
  </si>
  <si>
    <t>001!0611835316025</t>
  </si>
  <si>
    <t>HOSTA DREAM QUEEN</t>
  </si>
  <si>
    <t>001!0611835317025</t>
  </si>
  <si>
    <t>HOSTA DREAM WEAVER</t>
  </si>
  <si>
    <t>001!0611835318025</t>
  </si>
  <si>
    <t>HOSTA EARTH ANGEL</t>
  </si>
  <si>
    <t>001!0611835319025</t>
  </si>
  <si>
    <t>HOSTA ELEGANS SIEBOLDIANA</t>
  </si>
  <si>
    <t>001!0611835320025</t>
  </si>
  <si>
    <t>HOSTA FIRE AND ICE</t>
  </si>
  <si>
    <t>001!0611835321025</t>
  </si>
  <si>
    <t>HOSTA FIRST FROST</t>
  </si>
  <si>
    <t>001!0611835322025</t>
  </si>
  <si>
    <t>HOSTA FRAGRANT BLUE</t>
  </si>
  <si>
    <t>001!0611835323025</t>
  </si>
  <si>
    <t>HOSTA FRAGRANT BOUQUET</t>
  </si>
  <si>
    <t>001!0611835324025</t>
  </si>
  <si>
    <t>HOSTA FRANCEE</t>
  </si>
  <si>
    <t>001!0611835325025</t>
  </si>
  <si>
    <t>HOSTA FRANCES WILLIAMS</t>
  </si>
  <si>
    <t>001!0611835326025</t>
  </si>
  <si>
    <t>HOSTA GATOR CUP GOLD</t>
  </si>
  <si>
    <t>001!0611884251025</t>
  </si>
  <si>
    <t>HOSTA GOLD STANDARD</t>
  </si>
  <si>
    <t>001!0611835327025</t>
  </si>
  <si>
    <t>HOSTA GOLDEN TIARA</t>
  </si>
  <si>
    <t>001!0611835328025</t>
  </si>
  <si>
    <t>HOSTA GREAT EXPECTATIONS</t>
  </si>
  <si>
    <t>001!0611835329025</t>
  </si>
  <si>
    <t>HOSTA GUACAMOLE</t>
  </si>
  <si>
    <t>001!0611835330025</t>
  </si>
  <si>
    <t>HOSTA HADSPEN BLUE</t>
  </si>
  <si>
    <t>001!0611835331025</t>
  </si>
  <si>
    <t>HOSTA HALCYON</t>
  </si>
  <si>
    <t>001!0611835332025</t>
  </si>
  <si>
    <t>HOSTA HOSTA GENERIC</t>
  </si>
  <si>
    <t>001!0611835333025</t>
  </si>
  <si>
    <t>HOSTA HYACINTHINA FORTUNEI</t>
  </si>
  <si>
    <t>001!0611835334025</t>
  </si>
  <si>
    <t>HOSTA JUNE</t>
  </si>
  <si>
    <t>001!0611835335025</t>
  </si>
  <si>
    <t>HOSTA KROSSA REGAL</t>
  </si>
  <si>
    <t>001!0611835336025</t>
  </si>
  <si>
    <t>HOSTA MINUTEMAN</t>
  </si>
  <si>
    <t>001!0611835338025</t>
  </si>
  <si>
    <t>HOSTA NIGHT BEFORE CHRISTMAS</t>
  </si>
  <si>
    <t>001!0611835340025</t>
  </si>
  <si>
    <t>HOSTA OLD YELLER</t>
  </si>
  <si>
    <t>001!0611884252025</t>
  </si>
  <si>
    <t>HOSTA PARADIGM</t>
  </si>
  <si>
    <t>001!0611835341025</t>
  </si>
  <si>
    <t>HOSTA PATRIOT</t>
  </si>
  <si>
    <t>001!0611835342100</t>
  </si>
  <si>
    <t>001!0611835343025</t>
  </si>
  <si>
    <t>HOSTA PAULS GLORY</t>
  </si>
  <si>
    <t>001!0611835344025</t>
  </si>
  <si>
    <t>HOSTA PILGRIM</t>
  </si>
  <si>
    <t>001!0611835345025</t>
  </si>
  <si>
    <t>HOSTA PRAYING HANDS</t>
  </si>
  <si>
    <t>001!0611835347025</t>
  </si>
  <si>
    <t>HOSTA QUEEN JOSEPHINE</t>
  </si>
  <si>
    <t>001!0611835348025</t>
  </si>
  <si>
    <t>HOSTA RAINFOREST SUNRISE</t>
  </si>
  <si>
    <t>001!0611835349025</t>
  </si>
  <si>
    <t>HOSTA REGAL SPLENDOR</t>
  </si>
  <si>
    <t>001!0611835350025</t>
  </si>
  <si>
    <t>HOSTA ROYAL STANDARD</t>
  </si>
  <si>
    <t>001!0611835352025</t>
  </si>
  <si>
    <t>HOSTA SO SWEET</t>
  </si>
  <si>
    <t>001!0611835354025</t>
  </si>
  <si>
    <t>HOSTA STAINED GLASS</t>
  </si>
  <si>
    <t>001!0611835355025</t>
  </si>
  <si>
    <t>HOSTA SUM AND SUBSTANCE</t>
  </si>
  <si>
    <t>001!0611835356025</t>
  </si>
  <si>
    <t>HOSTA TWILIGHT</t>
  </si>
  <si>
    <t>001!0611835357025</t>
  </si>
  <si>
    <t>HOSTA UNDULATA ALBOMARGINATA</t>
  </si>
  <si>
    <t>001!0611835358025</t>
  </si>
  <si>
    <t>HOSTA UNDULATA MEDIOVARIEGATA</t>
  </si>
  <si>
    <t>001!0611835359025</t>
  </si>
  <si>
    <t>HOSTA WIDE BRIM</t>
  </si>
  <si>
    <t>001!0611835361025</t>
  </si>
  <si>
    <t>HOUTTU CHAMELEON CORDATA</t>
  </si>
  <si>
    <t>001!0611835363025</t>
  </si>
  <si>
    <t>001!0611862572100</t>
  </si>
  <si>
    <t>001!0611862573050</t>
  </si>
  <si>
    <t>HYACIN BEAN GENERIC</t>
  </si>
  <si>
    <t>001!0611835915100</t>
  </si>
  <si>
    <t>HYACIN BLUE</t>
  </si>
  <si>
    <t>001!0611835364100</t>
  </si>
  <si>
    <t>HYACIN BLUE JACKET</t>
  </si>
  <si>
    <t>001!0611835365100</t>
  </si>
  <si>
    <t>HYACIN GRAPE GENERIC</t>
  </si>
  <si>
    <t>001!0611836863100</t>
  </si>
  <si>
    <t>HYACIN HYACINTH GENERIC</t>
  </si>
  <si>
    <t>001!0611835366100</t>
  </si>
  <si>
    <t>HYACIN PINK</t>
  </si>
  <si>
    <t>001!0611835367100</t>
  </si>
  <si>
    <t>HYACIN PURPLE</t>
  </si>
  <si>
    <t>001!0611856988100</t>
  </si>
  <si>
    <t>HYACIN RED</t>
  </si>
  <si>
    <t>001!0611856989100</t>
  </si>
  <si>
    <t>HYACIN RUBY MOON</t>
  </si>
  <si>
    <t>001!0611835916100</t>
  </si>
  <si>
    <t>HYACIN WHITE</t>
  </si>
  <si>
    <t>001!0611835368100</t>
  </si>
  <si>
    <t>HYDRAN HI CRYSTAL</t>
  </si>
  <si>
    <t>001!0611862574050</t>
  </si>
  <si>
    <t>HYDRAN HI FIRE</t>
  </si>
  <si>
    <t>001!0611862575050</t>
  </si>
  <si>
    <t>HYDRAN HI FLAME</t>
  </si>
  <si>
    <t>001!0611862576050</t>
  </si>
  <si>
    <t>HYDRAN HI MOUNTAIN</t>
  </si>
  <si>
    <t>001!0611862577050</t>
  </si>
  <si>
    <t>HYDRAN HI RIVER</t>
  </si>
  <si>
    <t>001!0611862578050</t>
  </si>
  <si>
    <t>HYDRAN HI SUGAR</t>
  </si>
  <si>
    <t>001!0611862579050</t>
  </si>
  <si>
    <t>HYDRAN HYDRANGEA GENERIC</t>
  </si>
  <si>
    <t>001!0611835369100</t>
  </si>
  <si>
    <t>001!0611835370025</t>
  </si>
  <si>
    <t>HYPERI CALYCINUM</t>
  </si>
  <si>
    <t>001!0611835371025</t>
  </si>
  <si>
    <t>HYPERI PERFORATUM</t>
  </si>
  <si>
    <t>001!0611835372100</t>
  </si>
  <si>
    <t>HYPERI ST JOHNS WORT</t>
  </si>
  <si>
    <t>001!0611835373100</t>
  </si>
  <si>
    <t>HYPOES CONFETTI MIX</t>
  </si>
  <si>
    <t>001!0611835374100</t>
  </si>
  <si>
    <t>HYPOES CONFETTI PINK</t>
  </si>
  <si>
    <t>001!0611835375100</t>
  </si>
  <si>
    <t>HYPOES CONFETTI RED</t>
  </si>
  <si>
    <t>001!0611835376100</t>
  </si>
  <si>
    <t>HYPOES CONFETTI ROSE</t>
  </si>
  <si>
    <t>001!0611835377100</t>
  </si>
  <si>
    <t>HYPOES CONFETTI WHITE</t>
  </si>
  <si>
    <t>001!0611835378100</t>
  </si>
  <si>
    <t>HYPOES GENERIC</t>
  </si>
  <si>
    <t>001!0611884253100</t>
  </si>
  <si>
    <t>HYPOES HYPOESTES GENERIC</t>
  </si>
  <si>
    <t>001!0611835381100</t>
  </si>
  <si>
    <t>HYPOES LOTTY DOTTY SERIES</t>
  </si>
  <si>
    <t>001!0611884254100</t>
  </si>
  <si>
    <t>HYPOES SPLASH SELECT MIX</t>
  </si>
  <si>
    <t>001!0611835382100</t>
  </si>
  <si>
    <t>HYPOES SPLASH SELECT PINK</t>
  </si>
  <si>
    <t>001!0611835383100</t>
  </si>
  <si>
    <t>HYPOES SPLASH SELECT RED</t>
  </si>
  <si>
    <t>001!0611835384100</t>
  </si>
  <si>
    <t>HYPOES SPLASH SELECT ROSE</t>
  </si>
  <si>
    <t>001!0611835385100</t>
  </si>
  <si>
    <t>HYPOES SPLASH SELECT WHITE</t>
  </si>
  <si>
    <t>001!0611835386100</t>
  </si>
  <si>
    <t>HYSSOP HYSSOP</t>
  </si>
  <si>
    <t>001!0611835387100</t>
  </si>
  <si>
    <t>HYSSOP HYSSOP BLUE</t>
  </si>
  <si>
    <t>001!0611884255025</t>
  </si>
  <si>
    <t>IBERIS ALEXANDERS WHITE</t>
  </si>
  <si>
    <t>001!0611835388025</t>
  </si>
  <si>
    <t>001!0611862580050</t>
  </si>
  <si>
    <t>IBERIS CHILL LAV GIBRALTARICA</t>
  </si>
  <si>
    <t>001!0611835389025</t>
  </si>
  <si>
    <t>IBERIS FIRST FLUSH COMP LILAC</t>
  </si>
  <si>
    <t>001!0611835390025</t>
  </si>
  <si>
    <t>IBERIS FIRST FLUSH LAVENDER S</t>
  </si>
  <si>
    <t>001!0611835391025</t>
  </si>
  <si>
    <t>IBERIS LITTLE GEM</t>
  </si>
  <si>
    <t>001!0611862581050</t>
  </si>
  <si>
    <t>IBERIS LITTLE GEM SEMPERVIRENS</t>
  </si>
  <si>
    <t>001!0611835393025</t>
  </si>
  <si>
    <t>IBERIS MERMAID LAVENDER</t>
  </si>
  <si>
    <t>001!0611835394025</t>
  </si>
  <si>
    <t>IBERIS PINK ICE</t>
  </si>
  <si>
    <t>001!0611835395025</t>
  </si>
  <si>
    <t>IBERIS PURITY</t>
  </si>
  <si>
    <t>001!0611862582100</t>
  </si>
  <si>
    <t>IBERIS PURITY SEMPERVIRENS</t>
  </si>
  <si>
    <t>001!0611835396025</t>
  </si>
  <si>
    <t>IBERIS SNOW FLURRIES</t>
  </si>
  <si>
    <t>001!0611835403025</t>
  </si>
  <si>
    <t>IBERIS SNOWCONE</t>
  </si>
  <si>
    <t>001!0611862583050</t>
  </si>
  <si>
    <t>IBERIS SNOWCONE FORTE</t>
  </si>
  <si>
    <t>001!0611835404025</t>
  </si>
  <si>
    <t>IBERIS SNOWCONE SEMPERVIRENS</t>
  </si>
  <si>
    <t>001!0611835398025</t>
  </si>
  <si>
    <t>IBERIS SNOWFLAKE</t>
  </si>
  <si>
    <t>001!0611862584100</t>
  </si>
  <si>
    <t>IBERIS SNOWFLAKE LMTD</t>
  </si>
  <si>
    <t>001!0611862585050</t>
  </si>
  <si>
    <t>IBERIS SNOWFLAKE SEMPERVIRENS</t>
  </si>
  <si>
    <t>001!0611835399025</t>
  </si>
  <si>
    <t>IBERIS SNOWSATION</t>
  </si>
  <si>
    <t>001!0611835400025</t>
  </si>
  <si>
    <t>IBERIS SNOWSURFER</t>
  </si>
  <si>
    <t>001!0611835401025</t>
  </si>
  <si>
    <t>001!0611862586050</t>
  </si>
  <si>
    <t>IBERIS SNOWSURFER FORTE</t>
  </si>
  <si>
    <t>001!0611835402025</t>
  </si>
  <si>
    <t>001!0611862587050</t>
  </si>
  <si>
    <t>IBERIS SPRUZZO</t>
  </si>
  <si>
    <t>001!0611862588100</t>
  </si>
  <si>
    <t>IBERIS SPRUZZO LMTD</t>
  </si>
  <si>
    <t>001!0611862589050</t>
  </si>
  <si>
    <t>IBERIS SUMMER SNOWDRIFT AMARA</t>
  </si>
  <si>
    <t>001!0611835405025</t>
  </si>
  <si>
    <t>IBERIS TAHOE SEMPERVIRENS</t>
  </si>
  <si>
    <t>001!0611835406025</t>
  </si>
  <si>
    <t>IBERIS TUFF</t>
  </si>
  <si>
    <t>001!0611862590100</t>
  </si>
  <si>
    <t>IBERIS TUFF LMTD</t>
  </si>
  <si>
    <t>001!0611862591050</t>
  </si>
  <si>
    <t>IBERIS WHISTLER WHITE</t>
  </si>
  <si>
    <t>001!0611856990025</t>
  </si>
  <si>
    <t>IBERIS WHITE</t>
  </si>
  <si>
    <t>001!0611835407100</t>
  </si>
  <si>
    <t>IBERIS WHITE SHADOW</t>
  </si>
  <si>
    <t>001!0611862592100</t>
  </si>
  <si>
    <t>IBERIS WHITEOUT SEMPERVIRENS</t>
  </si>
  <si>
    <t>001!0611835409025</t>
  </si>
  <si>
    <t>IMPATI ACCENT BRIGHT EYE</t>
  </si>
  <si>
    <t>001!0611835410100</t>
  </si>
  <si>
    <t>IMPATI ACCENT BURGUNDY</t>
  </si>
  <si>
    <t>001!0611835411100</t>
  </si>
  <si>
    <t>IMPATI ACCENT CORAL</t>
  </si>
  <si>
    <t>001!0611835412100</t>
  </si>
  <si>
    <t>IMPATI ACCENT DEEP PINK</t>
  </si>
  <si>
    <t>001!0611835413100</t>
  </si>
  <si>
    <t>IMPATI ACCENT LAVENDER BLUE</t>
  </si>
  <si>
    <t>001!0611835414100</t>
  </si>
  <si>
    <t>IMPATI ACCENT LILAC</t>
  </si>
  <si>
    <t>001!0611835415100</t>
  </si>
  <si>
    <t>IMPATI ACCENT MIX</t>
  </si>
  <si>
    <t>001!0611835416100</t>
  </si>
  <si>
    <t>IMPATI ACCENT ORANGE</t>
  </si>
  <si>
    <t>001!0611835417100</t>
  </si>
  <si>
    <t>IMPATI ACCENT ORANGE STAR</t>
  </si>
  <si>
    <t>001!0611835418100</t>
  </si>
  <si>
    <t>IMPATI ACCENT PINK</t>
  </si>
  <si>
    <t>001!0611835419100</t>
  </si>
  <si>
    <t>IMPATI ACCENT PREM BRIGHT EYE</t>
  </si>
  <si>
    <t>001!0611835420100</t>
  </si>
  <si>
    <t>IMPATI ACCENT PREM DP ORANGE</t>
  </si>
  <si>
    <t>001!0611835426100</t>
  </si>
  <si>
    <t>IMPATI ACCENT PREM LILAC</t>
  </si>
  <si>
    <t>001!0611835427100</t>
  </si>
  <si>
    <t>IMPATI ACCENT PREM MIX</t>
  </si>
  <si>
    <t>001!0611835428100</t>
  </si>
  <si>
    <t>IMPATI ACCENT PREM MYSTIC MIX</t>
  </si>
  <si>
    <t>001!0611835422100</t>
  </si>
  <si>
    <t>IMPATI ACCENT PREM ORNG STAR</t>
  </si>
  <si>
    <t>001!0611835429100</t>
  </si>
  <si>
    <t>IMPATI ACCENT PREM PASTEL MIX</t>
  </si>
  <si>
    <t>001!0611835423100</t>
  </si>
  <si>
    <t>IMPATI ACCENT PREM PINK</t>
  </si>
  <si>
    <t>001!0611835430100</t>
  </si>
  <si>
    <t>IMPATI ACCENT PREM PPMT MIX</t>
  </si>
  <si>
    <t>001!0611835424100</t>
  </si>
  <si>
    <t>IMPATI ACCENT PREM RED</t>
  </si>
  <si>
    <t>001!0611835431100</t>
  </si>
  <si>
    <t>IMPATI ACCENT PREM ROSE</t>
  </si>
  <si>
    <t>001!0611835432100</t>
  </si>
  <si>
    <t>IMPATI ACCENT PREM SALMON</t>
  </si>
  <si>
    <t>001!0611835433100</t>
  </si>
  <si>
    <t>IMPATI ACCENT PREM VIOLET</t>
  </si>
  <si>
    <t>001!0611835434100</t>
  </si>
  <si>
    <t>IMPATI ACCENT PREM VIOLET STAR</t>
  </si>
  <si>
    <t>001!0611835425100</t>
  </si>
  <si>
    <t>IMPATI ACCENT PREM WHITE</t>
  </si>
  <si>
    <t>001!0611835435100</t>
  </si>
  <si>
    <t>IMPATI ACCENT RED</t>
  </si>
  <si>
    <t>001!0611835436100</t>
  </si>
  <si>
    <t>IMPATI ACCENT RED STAR</t>
  </si>
  <si>
    <t>001!0611835437100</t>
  </si>
  <si>
    <t>IMPATI ACCENT ROSE</t>
  </si>
  <si>
    <t>001!0611835438100</t>
  </si>
  <si>
    <t>IMPATI ACCENT ROSE STAR</t>
  </si>
  <si>
    <t>001!0611835439100</t>
  </si>
  <si>
    <t>IMPATI ACCENT SALMON</t>
  </si>
  <si>
    <t>001!0611835440100</t>
  </si>
  <si>
    <t>IMPATI ACCENT STAR MIX</t>
  </si>
  <si>
    <t>001!0611835442100</t>
  </si>
  <si>
    <t>IMPATI ACCENT VIOLET</t>
  </si>
  <si>
    <t>001!0611835443100</t>
  </si>
  <si>
    <t>IMPATI ACCENT VIOLET STAR</t>
  </si>
  <si>
    <t>001!0611835444100</t>
  </si>
  <si>
    <t>IMPATI ACCENT WHITE</t>
  </si>
  <si>
    <t>001!0611835445100</t>
  </si>
  <si>
    <t>IMPATI AMSTEL VERONICA</t>
  </si>
  <si>
    <t>001!0611884256050</t>
  </si>
  <si>
    <t>IMPATI ATHENA SERIES</t>
  </si>
  <si>
    <t>001!0611835446100</t>
  </si>
  <si>
    <t>IMPATI BEACON BRIGHT RED</t>
  </si>
  <si>
    <t>001!0611835447100</t>
  </si>
  <si>
    <t>IMPATI BEACON CORAL</t>
  </si>
  <si>
    <t>001!0611835448100</t>
  </si>
  <si>
    <t>IMPATI BEACON LINDAU MIX</t>
  </si>
  <si>
    <t>001!0611856991100</t>
  </si>
  <si>
    <t>IMPATI BEACON LIPSTICK</t>
  </si>
  <si>
    <t>001!0611884257100</t>
  </si>
  <si>
    <t>IMPATI BEACON MIX</t>
  </si>
  <si>
    <t>001!0611835449100</t>
  </si>
  <si>
    <t>IMPATI BEACON ORANGE</t>
  </si>
  <si>
    <t>001!0611835450100</t>
  </si>
  <si>
    <t>IMPATI BEACON PEARL ISLAND MIX</t>
  </si>
  <si>
    <t>001!0611884258100</t>
  </si>
  <si>
    <t>IMPATI BEACON PORTLAND MIX</t>
  </si>
  <si>
    <t>001!0611856992100</t>
  </si>
  <si>
    <t>IMPATI BEACON RED</t>
  </si>
  <si>
    <t>001!0611835451100</t>
  </si>
  <si>
    <t>IMPATI BEACON RED WHITE MIX</t>
  </si>
  <si>
    <t>001!0611835452100</t>
  </si>
  <si>
    <t>IMPATI BEACON ROSE</t>
  </si>
  <si>
    <t>001!0611835453100</t>
  </si>
  <si>
    <t>IMPATI BEACON SALMON</t>
  </si>
  <si>
    <t>001!0611835454100</t>
  </si>
  <si>
    <t>IMPATI BEACON SANIBEL MIX</t>
  </si>
  <si>
    <t>001!0611856993100</t>
  </si>
  <si>
    <t>IMPATI BEACON SELECT MIX</t>
  </si>
  <si>
    <t>001!0611835455100</t>
  </si>
  <si>
    <t>IMPATI BEACON VIOLET SHADES</t>
  </si>
  <si>
    <t>001!0611835456100</t>
  </si>
  <si>
    <t>IMPATI BEACON WHITE</t>
  </si>
  <si>
    <t>001!0611835457100</t>
  </si>
  <si>
    <t>IMPATI BL GNRC BLNGL DESIGN</t>
  </si>
  <si>
    <t>001!0611835458100</t>
  </si>
  <si>
    <t>IMPATI BRGHT ES BLNGL DSIGN</t>
  </si>
  <si>
    <t>001!0611835459100</t>
  </si>
  <si>
    <t>IMPATI BURG GNRC BLNGL DESIGN</t>
  </si>
  <si>
    <t>001!0611835460100</t>
  </si>
  <si>
    <t>IMPATI CORAL GNRC BLNGL DESIGN</t>
  </si>
  <si>
    <t>001!0611835464100</t>
  </si>
  <si>
    <t>IMPATI CRANBRRY BLNGL DSIGN</t>
  </si>
  <si>
    <t>001!0611835465100</t>
  </si>
  <si>
    <t>IMPATI DAZZLER BABY SHOWER MX</t>
  </si>
  <si>
    <t>001!0611835476100</t>
  </si>
  <si>
    <t>IMPATI DAZZLER BLUE PEARL</t>
  </si>
  <si>
    <t>001!0611835466100</t>
  </si>
  <si>
    <t>IMPATI DAZZLER BRIGHT EYE</t>
  </si>
  <si>
    <t>001!0611835467100</t>
  </si>
  <si>
    <t>IMPATI DAZZLER CORAL</t>
  </si>
  <si>
    <t>001!0611835469100</t>
  </si>
  <si>
    <t>IMPATI DAZZLER CRANBERRY</t>
  </si>
  <si>
    <t>001!0611835470100</t>
  </si>
  <si>
    <t>IMPATI DAZZLER DEEP ORANGE</t>
  </si>
  <si>
    <t>001!0611835471100</t>
  </si>
  <si>
    <t>IMPATI DAZZLER DEEP PINK</t>
  </si>
  <si>
    <t>001!0611835472100</t>
  </si>
  <si>
    <t>IMPATI DAZZLER LILAC SPLASH</t>
  </si>
  <si>
    <t>001!0611835473100</t>
  </si>
  <si>
    <t>IMPATI DAZZLER MERLOT MIX</t>
  </si>
  <si>
    <t>001!0611835474100</t>
  </si>
  <si>
    <t>IMPATI DAZZLER MIX</t>
  </si>
  <si>
    <t>001!0611835475100</t>
  </si>
  <si>
    <t>IMPATI DAZZLER ORANGE</t>
  </si>
  <si>
    <t>001!0611835477100</t>
  </si>
  <si>
    <t>IMPATI DAZZLER PASSION FRT MIX</t>
  </si>
  <si>
    <t>001!0611835478100</t>
  </si>
  <si>
    <t>IMPATI DAZZLER PINK</t>
  </si>
  <si>
    <t>001!0611835479100</t>
  </si>
  <si>
    <t>IMPATI DAZZLER PUNCH</t>
  </si>
  <si>
    <t>001!0611835480100</t>
  </si>
  <si>
    <t>IMPATI DAZZLER RED</t>
  </si>
  <si>
    <t>001!0611835481100</t>
  </si>
  <si>
    <t>IMPATI DAZZLER ROSE</t>
  </si>
  <si>
    <t>001!0611835482100</t>
  </si>
  <si>
    <t>IMPATI DAZZLER SALMON</t>
  </si>
  <si>
    <t>001!0611835483100</t>
  </si>
  <si>
    <t>IMPATI DAZZLER SALMON SPLASH</t>
  </si>
  <si>
    <t>001!0611835484100</t>
  </si>
  <si>
    <t>IMPATI DAZZLER SCARLET</t>
  </si>
  <si>
    <t>001!0611835485100</t>
  </si>
  <si>
    <t>IMPATI DAZZLER SELECT MIX</t>
  </si>
  <si>
    <t>001!0611835486100</t>
  </si>
  <si>
    <t>IMPATI DAZZLER STAR RED</t>
  </si>
  <si>
    <t>001!0611835487100</t>
  </si>
  <si>
    <t>IMPATI DAZZLER VIOLET</t>
  </si>
  <si>
    <t>001!0611835489100</t>
  </si>
  <si>
    <t>IMPATI DAZZLER WHITE</t>
  </si>
  <si>
    <t>001!0611835490100</t>
  </si>
  <si>
    <t>IMPATI DBL GNRC BLNGL DESIGN</t>
  </si>
  <si>
    <t>001!0611835491100</t>
  </si>
  <si>
    <t>IMPATI DIVINE BLUE PEARL</t>
  </si>
  <si>
    <t>001!0611835492100</t>
  </si>
  <si>
    <t>IMPATI DIVINE CHERRY RED</t>
  </si>
  <si>
    <t>001!0611835493100</t>
  </si>
  <si>
    <t>IMPATI DIVINE LAVENDER</t>
  </si>
  <si>
    <t>001!0611835496100</t>
  </si>
  <si>
    <t>IMPATI DIVINE LIPSTICK</t>
  </si>
  <si>
    <t>001!0611835497100</t>
  </si>
  <si>
    <t>IMPATI DIVINE MIXTURE</t>
  </si>
  <si>
    <t>001!0611835498100</t>
  </si>
  <si>
    <t>IMPATI DIVINE MYSTIC MIX</t>
  </si>
  <si>
    <t>001!0611835499100</t>
  </si>
  <si>
    <t>IMPATI DIVINE ORANGE</t>
  </si>
  <si>
    <t>001!0611835500100</t>
  </si>
  <si>
    <t>IMPATI DIVINE ORCHID</t>
  </si>
  <si>
    <t>001!0611835501100</t>
  </si>
  <si>
    <t>IMPATI DIVINE ORG BRONZE LEAF</t>
  </si>
  <si>
    <t>001!0611835502100</t>
  </si>
  <si>
    <t>IMPATI DIVINE PINK</t>
  </si>
  <si>
    <t>001!0611835503100</t>
  </si>
  <si>
    <t>IMPATI DIVINE RED</t>
  </si>
  <si>
    <t>001!0611835504100</t>
  </si>
  <si>
    <t>IMPATI DIVINE SALSA MIX</t>
  </si>
  <si>
    <t>001!0611835505100</t>
  </si>
  <si>
    <t>IMPATI DIVINE SCARLET RED</t>
  </si>
  <si>
    <t>001!0611835507100</t>
  </si>
  <si>
    <t>IMPATI DIVINE SERIES</t>
  </si>
  <si>
    <t>001!0611835508100</t>
  </si>
  <si>
    <t>IMPATI DIVINE VIOLET</t>
  </si>
  <si>
    <t>001!0611835509100</t>
  </si>
  <si>
    <t>IMPATI DIVINE WHITE</t>
  </si>
  <si>
    <t>001!0611835511100</t>
  </si>
  <si>
    <t>IMPATI DOUBLE GENERIC</t>
  </si>
  <si>
    <t>001!0611835513100</t>
  </si>
  <si>
    <t>IMPATI DOUBLE LAVENDER GENERIC</t>
  </si>
  <si>
    <t>001!0611835515100</t>
  </si>
  <si>
    <t>IMPATI DOUBLE ORANGE GENERIC</t>
  </si>
  <si>
    <t>001!0611835516100</t>
  </si>
  <si>
    <t>IMPATI DOUBLE PINK GENERIC</t>
  </si>
  <si>
    <t>001!0611835517100</t>
  </si>
  <si>
    <t>IMPATI DOUBLE PURPLE GENERIC</t>
  </si>
  <si>
    <t>001!0611835518100</t>
  </si>
  <si>
    <t>IMPATI DOUBLE RED GENERIC</t>
  </si>
  <si>
    <t>001!0611835519100</t>
  </si>
  <si>
    <t>IMPATI DOUBLE RED/WH GENERIC</t>
  </si>
  <si>
    <t>001!0611835520100</t>
  </si>
  <si>
    <t>IMPATI DOUBLE ROSE GENERIC</t>
  </si>
  <si>
    <t>001!0611835521100</t>
  </si>
  <si>
    <t>IMPATI DOUBLE SALMON GENERIC</t>
  </si>
  <si>
    <t>001!0611835522100</t>
  </si>
  <si>
    <t>IMPATI DOUBLE WHITE GENERIC</t>
  </si>
  <si>
    <t>001!0611835523100</t>
  </si>
  <si>
    <t>IMPATI ELFIN XP CHERRY SPLASH</t>
  </si>
  <si>
    <t>001!0611835524100</t>
  </si>
  <si>
    <t>IMPATI ELFIN XP RD STARBURST</t>
  </si>
  <si>
    <t>001!0611835525100</t>
  </si>
  <si>
    <t>IMPATI ELFIN XP SLMN SPLASH</t>
  </si>
  <si>
    <t>001!0611835526100</t>
  </si>
  <si>
    <t>IMPATI ELFIN XP VLT STRBRST</t>
  </si>
  <si>
    <t>001!0611835529100</t>
  </si>
  <si>
    <t>IMPATI FLORIFIC LAVENDER</t>
  </si>
  <si>
    <t>001!0611835530100</t>
  </si>
  <si>
    <t>IMPATI FLORIFIC MIX</t>
  </si>
  <si>
    <t>001!0611835531100</t>
  </si>
  <si>
    <t>IMPATI FLORIFIC RED</t>
  </si>
  <si>
    <t>001!0611835532100</t>
  </si>
  <si>
    <t>IMPATI FLORIFIC SWEET ORANGE</t>
  </si>
  <si>
    <t>001!0611835533100</t>
  </si>
  <si>
    <t>IMPATI FLORIFIC VIOLET</t>
  </si>
  <si>
    <t>001!0611835534100</t>
  </si>
  <si>
    <t>IMPATI FLORIFIC WHITE</t>
  </si>
  <si>
    <t>001!0611835535100</t>
  </si>
  <si>
    <t>IMPATI GENERIC</t>
  </si>
  <si>
    <t>001!0611835618100</t>
  </si>
  <si>
    <t>001!0611835619025</t>
  </si>
  <si>
    <t>IMPATI GENERIC BILINGUAL</t>
  </si>
  <si>
    <t>001!0611835537100</t>
  </si>
  <si>
    <t>IMPATI HARMONY APRICOT CREAM</t>
  </si>
  <si>
    <t>001!0611835540100</t>
  </si>
  <si>
    <t>IMPATI HARMONY BICOLOR RED</t>
  </si>
  <si>
    <t>001!0611835541100</t>
  </si>
  <si>
    <t>IMPATI HARMONY BLUSH</t>
  </si>
  <si>
    <t>001!0611835542100</t>
  </si>
  <si>
    <t>IMPATI HARMONY BOLD RED</t>
  </si>
  <si>
    <t>001!0611835543100</t>
  </si>
  <si>
    <t>IMPATI HARMONY BUBBLEGUM</t>
  </si>
  <si>
    <t>001!0611835545100</t>
  </si>
  <si>
    <t>IMPATI HARMONY CANDY CREAM</t>
  </si>
  <si>
    <t>001!0611835546100</t>
  </si>
  <si>
    <t>IMPATI HARMONY CLRFALL DK LF R</t>
  </si>
  <si>
    <t>001!0611856994100</t>
  </si>
  <si>
    <t>IMPATI HARMONY CLRFALL ORANGE</t>
  </si>
  <si>
    <t>001!0611835547100</t>
  </si>
  <si>
    <t>IMPATI HARMONY CLRFALL PINK</t>
  </si>
  <si>
    <t>001!0611835548100</t>
  </si>
  <si>
    <t>IMPATI HARMONY CLRFALL WHITE</t>
  </si>
  <si>
    <t>001!0611835549100</t>
  </si>
  <si>
    <t>IMPATI HARMONY DARK LAVENDER</t>
  </si>
  <si>
    <t>001!0611835550100</t>
  </si>
  <si>
    <t>IMPATI HARMONY DARK LILAC</t>
  </si>
  <si>
    <t>001!0611835551100</t>
  </si>
  <si>
    <t>IMPATI HARMONY DARK PINK</t>
  </si>
  <si>
    <t>001!0611835552100</t>
  </si>
  <si>
    <t>IMPATI HARMONY DARK RED</t>
  </si>
  <si>
    <t>001!0611835553100</t>
  </si>
  <si>
    <t>IMPATI HARMONY DARK VIOLET</t>
  </si>
  <si>
    <t>001!0611835554100</t>
  </si>
  <si>
    <t>IMPATI HARMONY DEEP MAGENTA</t>
  </si>
  <si>
    <t>001!0611835555100</t>
  </si>
  <si>
    <t>IMPATI HARMONY DEEP RED</t>
  </si>
  <si>
    <t>001!0611835556100</t>
  </si>
  <si>
    <t>IMPATI HARMONY DEEP SALMON</t>
  </si>
  <si>
    <t>001!0611835557100</t>
  </si>
  <si>
    <t>IMPATI HARMONY FIRE</t>
  </si>
  <si>
    <t>001!0611835558100</t>
  </si>
  <si>
    <t>IMPATI HARMONY FUCHSIA CREAM</t>
  </si>
  <si>
    <t>001!0611835559100</t>
  </si>
  <si>
    <t>IMPATI HARMONY MAGENTA</t>
  </si>
  <si>
    <t>001!0611835560100</t>
  </si>
  <si>
    <t>IMPATI HARMONY MARSHMALLOW CRM</t>
  </si>
  <si>
    <t>001!0611835561100</t>
  </si>
  <si>
    <t>IMPATI HARMONY ORANGE</t>
  </si>
  <si>
    <t>001!0611835562100</t>
  </si>
  <si>
    <t>IMPATI HARMONY ORANGE BLAZE</t>
  </si>
  <si>
    <t>001!0611835563100</t>
  </si>
  <si>
    <t>IMPATI HARMONY ORANGE STAR</t>
  </si>
  <si>
    <t>001!0611835564100</t>
  </si>
  <si>
    <t>IMPATI HARMONY PASTEL LAVENDER</t>
  </si>
  <si>
    <t>001!0611835565100</t>
  </si>
  <si>
    <t>IMPATI HARMONY PERFECT PINK</t>
  </si>
  <si>
    <t>001!0611835566100</t>
  </si>
  <si>
    <t>IMPATI HARMONY PINK CREAM</t>
  </si>
  <si>
    <t>001!0611835567100</t>
  </si>
  <si>
    <t>IMPATI HARMONY PINK SMILE</t>
  </si>
  <si>
    <t>001!0611835568100</t>
  </si>
  <si>
    <t>IMPATI HARMONY PURPLE CREAM</t>
  </si>
  <si>
    <t>001!0611835570100</t>
  </si>
  <si>
    <t>IMPATI HARMONY RADIANCE HOT PK</t>
  </si>
  <si>
    <t>001!0611835571100</t>
  </si>
  <si>
    <t>IMPATI HARMONY RADIANCE LILAC</t>
  </si>
  <si>
    <t>001!0611835572100</t>
  </si>
  <si>
    <t>IMPATI HARMONY RADIANCE MGNTA</t>
  </si>
  <si>
    <t>001!0611835573100</t>
  </si>
  <si>
    <t>IMPATI HARMONY RADIANCE SCARLT</t>
  </si>
  <si>
    <t>001!0611835575100</t>
  </si>
  <si>
    <t>IMPATI HARMONY RASPBERRY CREAM</t>
  </si>
  <si>
    <t>001!0611835576100</t>
  </si>
  <si>
    <t>IMPATI HARMONY RED CARDINAL</t>
  </si>
  <si>
    <t>001!0611835578100</t>
  </si>
  <si>
    <t>IMPATI HARMONY SALMON CREAM</t>
  </si>
  <si>
    <t>001!0611835579100</t>
  </si>
  <si>
    <t>IMPATI HARMONY SERIES</t>
  </si>
  <si>
    <t>001!0611835580100</t>
  </si>
  <si>
    <t>IMPATI HARMONY SNOW</t>
  </si>
  <si>
    <t>001!0611835581100</t>
  </si>
  <si>
    <t>IMPATI HARMONY SWEETHEART ROSE</t>
  </si>
  <si>
    <t>001!0611835585100</t>
  </si>
  <si>
    <t>IMPATI HARMONY TANGERINE</t>
  </si>
  <si>
    <t>001!0611835586100</t>
  </si>
  <si>
    <t>IMPATI HARMONY VIOLET</t>
  </si>
  <si>
    <t>001!0611835587100</t>
  </si>
  <si>
    <t>IMPATI HARMONY WHITE</t>
  </si>
  <si>
    <t>001!0611835588100</t>
  </si>
  <si>
    <t>IMPATI HRMNY COLORFALL FUCHSIA</t>
  </si>
  <si>
    <t>001!0611835592100</t>
  </si>
  <si>
    <t>IMPATI HRMNY COLORFALL LT CRL</t>
  </si>
  <si>
    <t>001!0611835593100</t>
  </si>
  <si>
    <t>IMPATI HRMNY COLORFALL NEON RD</t>
  </si>
  <si>
    <t>001!0611835594100</t>
  </si>
  <si>
    <t>IMPATI HRMNY COLORFALL PASSION</t>
  </si>
  <si>
    <t>001!0611835595100</t>
  </si>
  <si>
    <t>IMPATI IMARA HOT MIX XDR</t>
  </si>
  <si>
    <t>001!0611835596100</t>
  </si>
  <si>
    <t>IMPATI IMARA MIX XDR</t>
  </si>
  <si>
    <t>001!0611835597100</t>
  </si>
  <si>
    <t>IMPATI IMARA ORANGE STAR XDR</t>
  </si>
  <si>
    <t>001!0611835598100</t>
  </si>
  <si>
    <t>IMPATI IMARA ORANGE XDR</t>
  </si>
  <si>
    <t>001!0611835599100</t>
  </si>
  <si>
    <t>IMPATI IMARA PASTEL MIX XDR</t>
  </si>
  <si>
    <t>001!0611835600100</t>
  </si>
  <si>
    <t>IMPATI IMARA PINK XDR</t>
  </si>
  <si>
    <t>001!0611835601100</t>
  </si>
  <si>
    <t>IMPATI IMARA PURPLE XDR</t>
  </si>
  <si>
    <t>001!0611835602100</t>
  </si>
  <si>
    <t>IMPATI IMARA RED STAR XDR</t>
  </si>
  <si>
    <t>001!0611835603100</t>
  </si>
  <si>
    <t>IMPATI IMARA RED XDR</t>
  </si>
  <si>
    <t>001!0611835604100</t>
  </si>
  <si>
    <t>IMPATI IMARA ROSE XDR</t>
  </si>
  <si>
    <t>001!0611835605100</t>
  </si>
  <si>
    <t>IMPATI IMARA ROSY MIX XDR</t>
  </si>
  <si>
    <t>001!0611835606100</t>
  </si>
  <si>
    <t>IMPATI IMARA SALMON SHADES XDR</t>
  </si>
  <si>
    <t>001!0611835607100</t>
  </si>
  <si>
    <t>IMPATI IMARA TANGO MIX XDR</t>
  </si>
  <si>
    <t>001!0611835608100</t>
  </si>
  <si>
    <t>IMPATI IMARA VIOLET XDR</t>
  </si>
  <si>
    <t>001!0611835609100</t>
  </si>
  <si>
    <t>IMPATI IMARA WHITE XDR</t>
  </si>
  <si>
    <t>001!0611835610100</t>
  </si>
  <si>
    <t>IMPATI IMP MIX</t>
  </si>
  <si>
    <t>001!0611835611100</t>
  </si>
  <si>
    <t>IMPATI IMP ORANGE</t>
  </si>
  <si>
    <t>001!0611835612100</t>
  </si>
  <si>
    <t>IMPATI IMP PINK</t>
  </si>
  <si>
    <t>001!0611835613100</t>
  </si>
  <si>
    <t>IMPATI IMP RED</t>
  </si>
  <si>
    <t>001!0611835614100</t>
  </si>
  <si>
    <t>IMPATI IMP SALMON</t>
  </si>
  <si>
    <t>001!0611835615100</t>
  </si>
  <si>
    <t>IMPATI IMP VIOLET</t>
  </si>
  <si>
    <t>001!0611835616100</t>
  </si>
  <si>
    <t>IMPATI IMP WHITE</t>
  </si>
  <si>
    <t>001!0611835617100</t>
  </si>
  <si>
    <t>IMPATI IMPREZA BLUE PEARL</t>
  </si>
  <si>
    <t>001!0611835620100</t>
  </si>
  <si>
    <t>IMPATI IMPREZA CHERRY SPLASH</t>
  </si>
  <si>
    <t>001!0611835621100</t>
  </si>
  <si>
    <t>IMPATI IMPREZA MIX</t>
  </si>
  <si>
    <t>001!0611835623100</t>
  </si>
  <si>
    <t>IMPATI IMPREZA PASSION MIX</t>
  </si>
  <si>
    <t>001!0611835624100</t>
  </si>
  <si>
    <t>IMPATI IMPREZA PINK</t>
  </si>
  <si>
    <t>001!0611835625100</t>
  </si>
  <si>
    <t>IMPATI IMPREZA PUNCH</t>
  </si>
  <si>
    <t>001!0611835626100</t>
  </si>
  <si>
    <t>IMPATI IMPREZA RED</t>
  </si>
  <si>
    <t>001!0611835627100</t>
  </si>
  <si>
    <t>IMPATI IMPREZA RED WHITE MIX</t>
  </si>
  <si>
    <t>001!0611835628100</t>
  </si>
  <si>
    <t>IMPATI IMPREZA ROSE</t>
  </si>
  <si>
    <t>001!0611835629100</t>
  </si>
  <si>
    <t>IMPATI IMPREZA SALMON</t>
  </si>
  <si>
    <t>001!0611835630100</t>
  </si>
  <si>
    <t>IMPATI IMPREZA VIOLET</t>
  </si>
  <si>
    <t>001!0611835632100</t>
  </si>
  <si>
    <t>IMPATI IMPREZA WEDGEWOOD MX</t>
  </si>
  <si>
    <t>001!0611835633100</t>
  </si>
  <si>
    <t>IMPATI IMPREZA WHITE</t>
  </si>
  <si>
    <t>001!0611835634100</t>
  </si>
  <si>
    <t>IMPATI LAV GNRC BLNGL DESIGN</t>
  </si>
  <si>
    <t>001!0611835635100</t>
  </si>
  <si>
    <t>IMPATI LIPSTICK BLNGL DSIGN</t>
  </si>
  <si>
    <t>001!0611835636100</t>
  </si>
  <si>
    <t>IMPATI LLCGNRC BLNGL DESIGN</t>
  </si>
  <si>
    <t>001!0611835637100</t>
  </si>
  <si>
    <t>IMPATI LOLLIPOP SERIES</t>
  </si>
  <si>
    <t>001!0611856995100</t>
  </si>
  <si>
    <t>IMPATI MAGNUM BLUE</t>
  </si>
  <si>
    <t>001!0611862598050</t>
  </si>
  <si>
    <t>IMPATI MAGNUM BRIGHT PURPLE</t>
  </si>
  <si>
    <t>001!0611862599050</t>
  </si>
  <si>
    <t>IMPATI MAGNUM CLEAR PINK</t>
  </si>
  <si>
    <t>001!0611862600050</t>
  </si>
  <si>
    <t>IMPATI MAGNUM CLEAR WHITE</t>
  </si>
  <si>
    <t>001!0611862601050</t>
  </si>
  <si>
    <t>IMPATI MAGNUM FIRE</t>
  </si>
  <si>
    <t>001!0611862602050</t>
  </si>
  <si>
    <t>IMPATI MAGNUM HOT PINK</t>
  </si>
  <si>
    <t>001!0611862603050</t>
  </si>
  <si>
    <t>IMPATI MAGNUM LAVENDER</t>
  </si>
  <si>
    <t>001!0611862604050</t>
  </si>
  <si>
    <t>IMPATI MAGNUM LAVENDER SPLASH</t>
  </si>
  <si>
    <t>001!0611862605050</t>
  </si>
  <si>
    <t>IMPATI MAGNUM LIGHT LAVENDER</t>
  </si>
  <si>
    <t>001!0611862606050</t>
  </si>
  <si>
    <t>IMPATI MAGNUM MAGENTA</t>
  </si>
  <si>
    <t>001!0611862607050</t>
  </si>
  <si>
    <t>IMPATI MAGNUM MIDNIGHT ORCHID</t>
  </si>
  <si>
    <t>001!0611862608050</t>
  </si>
  <si>
    <t>IMPATI MAGNUM ORANGE</t>
  </si>
  <si>
    <t>001!0611862609050</t>
  </si>
  <si>
    <t>IMPATI MAGNUM PINK</t>
  </si>
  <si>
    <t>001!0611862610050</t>
  </si>
  <si>
    <t>IMPATI MAGNUM PURPLE</t>
  </si>
  <si>
    <t>001!0611862611050</t>
  </si>
  <si>
    <t>IMPATI MAGNUM RED</t>
  </si>
  <si>
    <t>001!0611862612050</t>
  </si>
  <si>
    <t>IMPATI MAGNUM RED FLAME</t>
  </si>
  <si>
    <t>001!0611862613050</t>
  </si>
  <si>
    <t>IMPATI MAGNUM ROSE STAR</t>
  </si>
  <si>
    <t>001!0611884259050</t>
  </si>
  <si>
    <t>IMPATI MAGNUM SALMON</t>
  </si>
  <si>
    <t>001!0611862614050</t>
  </si>
  <si>
    <t>IMPATI MAGNUM WHITE</t>
  </si>
  <si>
    <t>001!0611862615050</t>
  </si>
  <si>
    <t>IMPATI MAGNUM WHITE BLUSH</t>
  </si>
  <si>
    <t>001!0611862616050</t>
  </si>
  <si>
    <t>IMPATI MAGNUM WILD SALMON</t>
  </si>
  <si>
    <t>001!0611862617050</t>
  </si>
  <si>
    <t>IMPATI MAGNUM XL ORANGE</t>
  </si>
  <si>
    <t>001!0611862618050</t>
  </si>
  <si>
    <t>IMPATI MAGNUM XL SALMON</t>
  </si>
  <si>
    <t>001!0611862619050</t>
  </si>
  <si>
    <t>IMPATI MEGAGUINEA ORANGE</t>
  </si>
  <si>
    <t>001!0611862620050</t>
  </si>
  <si>
    <t>IMPATI MEGAGUINEA PINK</t>
  </si>
  <si>
    <t>001!0611862621050</t>
  </si>
  <si>
    <t>IMPATI MEGAGUINEA PURPLE</t>
  </si>
  <si>
    <t>001!0611862622050</t>
  </si>
  <si>
    <t>IMPATI MEGAGUINEA WHITE BLUSH</t>
  </si>
  <si>
    <t>001!0611862623050</t>
  </si>
  <si>
    <t>IMPATI MUSICA BICOLOR CHERRY</t>
  </si>
  <si>
    <t>001!0611835650100</t>
  </si>
  <si>
    <t>IMPATI MUSICA BICOLOR DARK RED</t>
  </si>
  <si>
    <t>001!0611835651100</t>
  </si>
  <si>
    <t>IMPATI MUSICA BICOLOR PINK</t>
  </si>
  <si>
    <t>001!0611835652100</t>
  </si>
  <si>
    <t>IMPATI MUSICA ELECTRIC PURPLE</t>
  </si>
  <si>
    <t>001!0611835653100</t>
  </si>
  <si>
    <t>IMPATI MUSICA ELEGANT RED</t>
  </si>
  <si>
    <t>001!0611835654100</t>
  </si>
  <si>
    <t>IMPATI MUSICA FINE PURPLE</t>
  </si>
  <si>
    <t>001!0611835655100</t>
  </si>
  <si>
    <t>IMPATI MUSICA LAVENDER</t>
  </si>
  <si>
    <t>001!0611835656100</t>
  </si>
  <si>
    <t>IMPATI MUSICA ORANGE</t>
  </si>
  <si>
    <t>001!0611835657100</t>
  </si>
  <si>
    <t>IMPATI MUSICA PINK AROMA</t>
  </si>
  <si>
    <t>001!0611835658100</t>
  </si>
  <si>
    <t>IMPATI MUSICA PURE WHITE</t>
  </si>
  <si>
    <t>001!0611835660100</t>
  </si>
  <si>
    <t>IMPATI NEW GUINEA GENERIC</t>
  </si>
  <si>
    <t>001!0611835539100</t>
  </si>
  <si>
    <t>IMPATI NEW GUINEA GENERIC BLNG</t>
  </si>
  <si>
    <t>001!0611835538100</t>
  </si>
  <si>
    <t>IMPATI ORANGE GENERIC BILINGL</t>
  </si>
  <si>
    <t>001!0611835662100</t>
  </si>
  <si>
    <t>IMPATI PAINTED PARADISE LILAC</t>
  </si>
  <si>
    <t>001!0611835664100</t>
  </si>
  <si>
    <t>001!0611862624050</t>
  </si>
  <si>
    <t>IMPATI PAINTED PARADISE ORANGE</t>
  </si>
  <si>
    <t>001!0611835665100</t>
  </si>
  <si>
    <t>001!0611862625050</t>
  </si>
  <si>
    <t>IMPATI PAINTED PARADISE RED</t>
  </si>
  <si>
    <t>001!0611835666100</t>
  </si>
  <si>
    <t>001!0611862626050</t>
  </si>
  <si>
    <t>IMPATI PAINTED PARADISE WHITE</t>
  </si>
  <si>
    <t>001!0611835667100</t>
  </si>
  <si>
    <t>IMPATI PAINTED PARADISE WINE</t>
  </si>
  <si>
    <t>001!0611835668100</t>
  </si>
  <si>
    <t>001!0611862627050</t>
  </si>
  <si>
    <t>IMPATI PARADISE BICOLOR RED</t>
  </si>
  <si>
    <t>001!0611835670100</t>
  </si>
  <si>
    <t>IMPATI PARADISE BLUSH WHITE</t>
  </si>
  <si>
    <t>001!0611862628050</t>
  </si>
  <si>
    <t>IMPATI PARADISE BRIGHT PINK</t>
  </si>
  <si>
    <t>001!0611835672100</t>
  </si>
  <si>
    <t>IMPATI PARADISE BRIGHT RED</t>
  </si>
  <si>
    <t>001!0611862629050</t>
  </si>
  <si>
    <t>IMPATI PARADISE CABANO WH SEL</t>
  </si>
  <si>
    <t>001!0611835673100</t>
  </si>
  <si>
    <t>IMPATI PARADISE CARMINE RED</t>
  </si>
  <si>
    <t>001!0611862630050</t>
  </si>
  <si>
    <t>IMPATI PARADISE CARMONA</t>
  </si>
  <si>
    <t>001!0611835674100</t>
  </si>
  <si>
    <t>IMPATI PARADISE CHERRY ROSE</t>
  </si>
  <si>
    <t>001!0611862631050</t>
  </si>
  <si>
    <t>IMPATI PARADISE DEEP PINK</t>
  </si>
  <si>
    <t>001!0611862632050</t>
  </si>
  <si>
    <t>IMPATI PARADISE DK SALM W/EYE</t>
  </si>
  <si>
    <t>001!0611835675100</t>
  </si>
  <si>
    <t>IMPATI PARADISE ELCTRC ORG SEL</t>
  </si>
  <si>
    <t>001!0611835676100</t>
  </si>
  <si>
    <t>IMPATI PARADISE ELECTRIC ORNG</t>
  </si>
  <si>
    <t>001!0611862633050</t>
  </si>
  <si>
    <t>IMPATI PARADISE FUCHSIA</t>
  </si>
  <si>
    <t>001!0611862634050</t>
  </si>
  <si>
    <t>IMPATI PARADISE FUCHSIA ON LAV</t>
  </si>
  <si>
    <t>001!0611862635050</t>
  </si>
  <si>
    <t>IMPATI PARADISE JACO</t>
  </si>
  <si>
    <t>001!0611862636050</t>
  </si>
  <si>
    <t>IMPATI PARADISE LIGHT LAVENDER</t>
  </si>
  <si>
    <t>001!0611862637050</t>
  </si>
  <si>
    <t>IMPATI PARADISE LIGHT PINK</t>
  </si>
  <si>
    <t>001!0611862638050</t>
  </si>
  <si>
    <t>IMPATI PARADISE LT PINK SELECT</t>
  </si>
  <si>
    <t>001!0611835679100</t>
  </si>
  <si>
    <t>IMPATI PARADISE LT PK MGNTA E</t>
  </si>
  <si>
    <t>001!0611835680100</t>
  </si>
  <si>
    <t>IMPATI PARADISE LT RS SELECT</t>
  </si>
  <si>
    <t>001!0611835681100</t>
  </si>
  <si>
    <t>IMPATI PARADISE MAGENTA PINK</t>
  </si>
  <si>
    <t>001!0611862639050</t>
  </si>
  <si>
    <t>IMPATI PARADISE MANGO ORANGE</t>
  </si>
  <si>
    <t>001!0611862640050</t>
  </si>
  <si>
    <t>IMPATI PARADISE NEW RED</t>
  </si>
  <si>
    <t>001!0611862641050</t>
  </si>
  <si>
    <t>IMPATI PARADISE ORANGE WHITE</t>
  </si>
  <si>
    <t>001!0611862642050</t>
  </si>
  <si>
    <t>IMPATI PARADISE ORCHID</t>
  </si>
  <si>
    <t>001!0611862643050</t>
  </si>
  <si>
    <t>IMPATI PARADISE PEARL WHITE</t>
  </si>
  <si>
    <t>001!0611862644050</t>
  </si>
  <si>
    <t>IMPATI PARADISE RED SELECT</t>
  </si>
  <si>
    <t>001!0611835683100</t>
  </si>
  <si>
    <t>IMPATI PARADISE ROCOCO APRICOT</t>
  </si>
  <si>
    <t>001!0611862645050</t>
  </si>
  <si>
    <t>IMPATI PARADISE ROCOCO CHERRY</t>
  </si>
  <si>
    <t>001!0611862646050</t>
  </si>
  <si>
    <t>IMPATI PARADISE ROCOCO ORANGE</t>
  </si>
  <si>
    <t>001!0611862647050</t>
  </si>
  <si>
    <t>IMPATI PARADISE ROCOCO PINK</t>
  </si>
  <si>
    <t>001!0611862648050</t>
  </si>
  <si>
    <t>IMPATI PARADISE ROCOCO PURPLE</t>
  </si>
  <si>
    <t>001!0611862649050</t>
  </si>
  <si>
    <t>IMPATI PARADISE SALMON</t>
  </si>
  <si>
    <t>001!0611862651050</t>
  </si>
  <si>
    <t>IMPATI PARADISE SERIES</t>
  </si>
  <si>
    <t>001!0611835686100</t>
  </si>
  <si>
    <t>IMPATI PARADISE VIOLET SELECT</t>
  </si>
  <si>
    <t>001!0611835688100</t>
  </si>
  <si>
    <t>IMPATI PARADISE WHITE</t>
  </si>
  <si>
    <t>001!0611862652050</t>
  </si>
  <si>
    <t>IMPATI PASTEL MIX GENERIC</t>
  </si>
  <si>
    <t>001!0611835689100</t>
  </si>
  <si>
    <t>IMPATI PETTICOAT AUBERGINE</t>
  </si>
  <si>
    <t>001!0611862653050</t>
  </si>
  <si>
    <t>IMPATI PETTICOAT BLUE</t>
  </si>
  <si>
    <t>001!0611862654050</t>
  </si>
  <si>
    <t>IMPATI PETTICOAT BLUE STAR 11</t>
  </si>
  <si>
    <t>001!0611862655050</t>
  </si>
  <si>
    <t>IMPATI PETTICOAT CHERRY STAR</t>
  </si>
  <si>
    <t>001!0611862656050</t>
  </si>
  <si>
    <t>IMPATI PETTICOAT CHRY BLOSSOM</t>
  </si>
  <si>
    <t>001!0611862657050</t>
  </si>
  <si>
    <t>IMPATI PETTICOAT FIRE</t>
  </si>
  <si>
    <t>001!0611862658050</t>
  </si>
  <si>
    <t>IMPATI PETTICOAT HOT ROSE</t>
  </si>
  <si>
    <t>001!0611862659050</t>
  </si>
  <si>
    <t>IMPATI PETTICOAT LAVENDER</t>
  </si>
  <si>
    <t>001!0611862660050</t>
  </si>
  <si>
    <t>IMPATI PETTICOAT LILAC</t>
  </si>
  <si>
    <t>001!0611884260050</t>
  </si>
  <si>
    <t>IMPATI PETTICOAT MANDARIN STAR</t>
  </si>
  <si>
    <t>001!0611862661050</t>
  </si>
  <si>
    <t>IMPATI PETTICOAT MANGO SWIRL</t>
  </si>
  <si>
    <t>001!0611862662050</t>
  </si>
  <si>
    <t>IMPATI PETTICOAT MND ST CR3100</t>
  </si>
  <si>
    <t>001!0611862663050</t>
  </si>
  <si>
    <t>IMPATI PETTICOAT NEON NIGHT 11</t>
  </si>
  <si>
    <t>001!0611862664050</t>
  </si>
  <si>
    <t>IMPATI PETTICOAT ORANGE ORCHID</t>
  </si>
  <si>
    <t>001!0611862665050</t>
  </si>
  <si>
    <t>IMPATI PETTICOAT ORANGE STAR</t>
  </si>
  <si>
    <t>001!0611862666050</t>
  </si>
  <si>
    <t>IMPATI PETTICOAT ORANGE SWIRL</t>
  </si>
  <si>
    <t>001!0611862667050</t>
  </si>
  <si>
    <t>IMPATI PETTICOAT PASTEL PINK</t>
  </si>
  <si>
    <t>001!0611862668050</t>
  </si>
  <si>
    <t>IMPATI PETTICOAT PINK</t>
  </si>
  <si>
    <t>001!0611862669050</t>
  </si>
  <si>
    <t>IMPATI PETTICOAT PINK CHARME</t>
  </si>
  <si>
    <t>001!0611862670050</t>
  </si>
  <si>
    <t>IMPATI PETTICOAT PINK EYE</t>
  </si>
  <si>
    <t>001!0611862671050</t>
  </si>
  <si>
    <t>IMPATI PETTICOAT PINK JOY</t>
  </si>
  <si>
    <t>001!0611862672050</t>
  </si>
  <si>
    <t>IMPATI PETTICOAT PINK PUNCH</t>
  </si>
  <si>
    <t>001!0611862674050</t>
  </si>
  <si>
    <t>IMPATI PETTICOAT PK BERRY PIE</t>
  </si>
  <si>
    <t>001!0611884261050</t>
  </si>
  <si>
    <t>IMPATI PETTICOAT PURP STAR</t>
  </si>
  <si>
    <t>001!0611862675050</t>
  </si>
  <si>
    <t>IMPATI PETTICOAT PURP STAR 23</t>
  </si>
  <si>
    <t>001!0611862676050</t>
  </si>
  <si>
    <t>IMPATI PETTICOAT PURPLE</t>
  </si>
  <si>
    <t>001!0611862677050</t>
  </si>
  <si>
    <t>IMPATI PETTICOAT RED</t>
  </si>
  <si>
    <t>001!0611862678050</t>
  </si>
  <si>
    <t>IMPATI PETTICOAT RED FLAME</t>
  </si>
  <si>
    <t>001!0611862679050</t>
  </si>
  <si>
    <t>IMPATI PETTICOAT RED STAR</t>
  </si>
  <si>
    <t>001!0611862680050</t>
  </si>
  <si>
    <t>IMPATI PETTICOAT ROSE STAR</t>
  </si>
  <si>
    <t>001!0611862681050</t>
  </si>
  <si>
    <t>IMPATI PETTICOAT SALMON NIGHT</t>
  </si>
  <si>
    <t>001!0611862682050</t>
  </si>
  <si>
    <t>IMPATI PETTICOAT TRUE RED</t>
  </si>
  <si>
    <t>001!0611862684050</t>
  </si>
  <si>
    <t>IMPATI PETTICOAT VIOLET STAR</t>
  </si>
  <si>
    <t>001!0611884262050</t>
  </si>
  <si>
    <t>IMPATI PETTICOAT WHITE 11</t>
  </si>
  <si>
    <t>001!0611862685050</t>
  </si>
  <si>
    <t>IMPATI PINK GENERIC BILINGUAL</t>
  </si>
  <si>
    <t>001!0611835690100</t>
  </si>
  <si>
    <t>IMPATI PURE BEAUTY LAVENDER</t>
  </si>
  <si>
    <t>001!0611862686050</t>
  </si>
  <si>
    <t>IMPATI PURE BEAUTY PURPLE</t>
  </si>
  <si>
    <t>001!0611862687050</t>
  </si>
  <si>
    <t>IMPATI PURE BEAUTY RED ON PINK</t>
  </si>
  <si>
    <t>001!0611862688050</t>
  </si>
  <si>
    <t>IMPATI PURE BEAUTY WHITE</t>
  </si>
  <si>
    <t>001!0611862689050</t>
  </si>
  <si>
    <t>IMPATI PURPLE GENERIC BILINGL</t>
  </si>
  <si>
    <t>001!0611835691100</t>
  </si>
  <si>
    <t>IMPATI RED GENERIC BILINGUAL</t>
  </si>
  <si>
    <t>001!0611835693100</t>
  </si>
  <si>
    <t>IMPATI RED/WHITE GENERIC BLNGL</t>
  </si>
  <si>
    <t>001!0611835692100</t>
  </si>
  <si>
    <t>IMPATI ROLLER COASTER DK CORAL</t>
  </si>
  <si>
    <t>001!0611884263050</t>
  </si>
  <si>
    <t>IMPATI ROLLER COASTER MAGENTA</t>
  </si>
  <si>
    <t>001!0611884264050</t>
  </si>
  <si>
    <t>IMPATI ROLLERCOASTER COTN CNDY</t>
  </si>
  <si>
    <t>001!0611862690050</t>
  </si>
  <si>
    <t>IMPATI ROLLERCOASTER HOT PINK</t>
  </si>
  <si>
    <t>001!0611862691050</t>
  </si>
  <si>
    <t>IMPATI ROLLERCOASTER ORNG SHKN</t>
  </si>
  <si>
    <t>001!0611862692050</t>
  </si>
  <si>
    <t>IMPATI ROLLERCOASTER RED RACER</t>
  </si>
  <si>
    <t>001!0611862693050</t>
  </si>
  <si>
    <t>IMPATI ROLLERCOASTER TNGY TFY</t>
  </si>
  <si>
    <t>001!0611862694050</t>
  </si>
  <si>
    <t>IMPATI ROLLERCOASTER VLRVN VLT</t>
  </si>
  <si>
    <t>001!0611862695050</t>
  </si>
  <si>
    <t>IMPATI ROLLERCOASTER WH LIGHTN</t>
  </si>
  <si>
    <t>001!0611862696050</t>
  </si>
  <si>
    <t>IMPATI ROSE GENERIC BILINGUAL</t>
  </si>
  <si>
    <t>001!0611835694100</t>
  </si>
  <si>
    <t>IMPATI SALMON GENERIC BILINGL</t>
  </si>
  <si>
    <t>001!0611835697100</t>
  </si>
  <si>
    <t>IMPATI SILHOUETTE APPLEBLOSSOM</t>
  </si>
  <si>
    <t>001!0611862697050</t>
  </si>
  <si>
    <t>IMPATI SILHOUETTE CHERRY RED</t>
  </si>
  <si>
    <t>001!0611862698050</t>
  </si>
  <si>
    <t>IMPATI SILHOUETTE PURPLE</t>
  </si>
  <si>
    <t>001!0611862699050</t>
  </si>
  <si>
    <t>IMPATI SILHOUETTE RED</t>
  </si>
  <si>
    <t>001!0611862700050</t>
  </si>
  <si>
    <t>IMPATI SILHOUETTE RED STAR</t>
  </si>
  <si>
    <t>001!0611862701050</t>
  </si>
  <si>
    <t>IMPATI SILHOUETTE ROSE</t>
  </si>
  <si>
    <t>001!0611862702050</t>
  </si>
  <si>
    <t>IMPATI SILHOUETTE ROSE STAR</t>
  </si>
  <si>
    <t>001!0611862703050</t>
  </si>
  <si>
    <t>IMPATI SILHOUETTE SALMON</t>
  </si>
  <si>
    <t>001!0611862704050</t>
  </si>
  <si>
    <t>IMPATI SILHOUETTE WHITE</t>
  </si>
  <si>
    <t>001!0611862705050</t>
  </si>
  <si>
    <t>IMPATI SNSTND APOLL FLMNG LMTD</t>
  </si>
  <si>
    <t>001!0611862706050</t>
  </si>
  <si>
    <t>IMPATI SNSTND APOLLO CHRY RD</t>
  </si>
  <si>
    <t>001!0611862707050</t>
  </si>
  <si>
    <t>IMPATI SNSTND APOLLO LILAC</t>
  </si>
  <si>
    <t>001!0611862708050</t>
  </si>
  <si>
    <t>IMPATI SNSTND APOLLO ORANGE</t>
  </si>
  <si>
    <t>001!0611862709050</t>
  </si>
  <si>
    <t>IMPATI SNSTND APOLLO PINK</t>
  </si>
  <si>
    <t>001!0611862710050</t>
  </si>
  <si>
    <t>IMPATI SNSTND APOLLO PURPLE</t>
  </si>
  <si>
    <t>001!0611884265050</t>
  </si>
  <si>
    <t>IMPATI SNSTND APOLLO RUBY RD</t>
  </si>
  <si>
    <t>001!0611862711050</t>
  </si>
  <si>
    <t>IMPATI SNSTND APOLLO WHITE CLO</t>
  </si>
  <si>
    <t>001!0611884266050</t>
  </si>
  <si>
    <t>IMPATI SNSTND CALIFORNIA MIX</t>
  </si>
  <si>
    <t>001!0611862712050</t>
  </si>
  <si>
    <t>IMPATI SNSTND CORAL AURORA</t>
  </si>
  <si>
    <t>001!0611862713050</t>
  </si>
  <si>
    <t>IMPATI SNSTND DARK RED</t>
  </si>
  <si>
    <t>001!0611862714050</t>
  </si>
  <si>
    <t>IMPATI SNSTND FLAME ORANGE</t>
  </si>
  <si>
    <t>001!0611862715050</t>
  </si>
  <si>
    <t>IMPATI SNSTND FLORIDA MIX LMTD</t>
  </si>
  <si>
    <t>001!0611862716050</t>
  </si>
  <si>
    <t>IMPATI SNSTND HELIOS INT PIN</t>
  </si>
  <si>
    <t>001!0611862717050</t>
  </si>
  <si>
    <t>IMPATI SNSTND HELIOS ORANGE</t>
  </si>
  <si>
    <t>001!0611862718050</t>
  </si>
  <si>
    <t>IMPATI SNSTND HELIOS ROSE</t>
  </si>
  <si>
    <t>001!0611862719050</t>
  </si>
  <si>
    <t>IMPATI SNSTND HELIOS SALM PK</t>
  </si>
  <si>
    <t>001!0611862720050</t>
  </si>
  <si>
    <t>IMPATI SNSTND JAZZY CORAL</t>
  </si>
  <si>
    <t>001!0611862721050</t>
  </si>
  <si>
    <t>IMPATI SNSTND JAZZY HOT PINK</t>
  </si>
  <si>
    <t>001!0611862722050</t>
  </si>
  <si>
    <t>IMPATI SNSTND LAVENDER</t>
  </si>
  <si>
    <t>001!0611862723050</t>
  </si>
  <si>
    <t>IMPATI SNSTND LT PINK AURORA</t>
  </si>
  <si>
    <t>001!0611862724050</t>
  </si>
  <si>
    <t>IMPATI SNSTND MAGENTA</t>
  </si>
  <si>
    <t>001!0611862725050</t>
  </si>
  <si>
    <t>IMPATI SNSTND MAGNT BOREALIS</t>
  </si>
  <si>
    <t>001!0611862726050</t>
  </si>
  <si>
    <t>IMPATI SNSTND NEON RED</t>
  </si>
  <si>
    <t>001!0611862727050</t>
  </si>
  <si>
    <t>IMPATI SNSTND NEON ROSE</t>
  </si>
  <si>
    <t>001!0611862728050</t>
  </si>
  <si>
    <t>IMPATI SNSTND ORANGE AURORA</t>
  </si>
  <si>
    <t>001!0611862729050</t>
  </si>
  <si>
    <t>IMPATI SNSTND PURPLE</t>
  </si>
  <si>
    <t>001!0611862730050</t>
  </si>
  <si>
    <t>IMPATI SNSTND ROSE AURORA</t>
  </si>
  <si>
    <t>001!0611862731050</t>
  </si>
  <si>
    <t>IMPATI SNSTND SPT N LAVND LMTD</t>
  </si>
  <si>
    <t>001!0611862732050</t>
  </si>
  <si>
    <t>IMPATI SNSTND SPT N LIGHT LMTD</t>
  </si>
  <si>
    <t>001!0611862733050</t>
  </si>
  <si>
    <t>IMPATI SNSTND SPT N LVN CR4107</t>
  </si>
  <si>
    <t>001!0611862734050</t>
  </si>
  <si>
    <t>IMPATI SNSTND SPT N PINK LMTD</t>
  </si>
  <si>
    <t>001!0611862735050</t>
  </si>
  <si>
    <t>IMPATI SNSTND SPT N PK BL LMTD</t>
  </si>
  <si>
    <t>001!0611862736050</t>
  </si>
  <si>
    <t>IMPATI SNSTND SPT N SALM LMTD</t>
  </si>
  <si>
    <t>001!0611862737050</t>
  </si>
  <si>
    <t>IMPATI SNSTND WHITE CLOUD</t>
  </si>
  <si>
    <t>001!0611862738050</t>
  </si>
  <si>
    <t>IMPATI SOL LUNA BLUSH</t>
  </si>
  <si>
    <t>001!0611835716100</t>
  </si>
  <si>
    <t>IMPATI SOL LUNA CANDY APPLE</t>
  </si>
  <si>
    <t>001!0611835717100</t>
  </si>
  <si>
    <t>IMPATI SOL LUNA DARK LAVENDER</t>
  </si>
  <si>
    <t>001!0611835718100</t>
  </si>
  <si>
    <t>IMPATI SOL LUNA ELECTRIC PINK</t>
  </si>
  <si>
    <t>001!0611856996100</t>
  </si>
  <si>
    <t>IMPATI SOL LUNA LILAC</t>
  </si>
  <si>
    <t>001!0611835719100</t>
  </si>
  <si>
    <t>IMPATI SOL LUNA PINK</t>
  </si>
  <si>
    <t>001!0611835720100</t>
  </si>
  <si>
    <t>IMPATI SOL LUNA RED</t>
  </si>
  <si>
    <t>001!0611856997100</t>
  </si>
  <si>
    <t>IMPATI SOL LUNA TROPICAL PUNCH</t>
  </si>
  <si>
    <t>001!0611835721100</t>
  </si>
  <si>
    <t>IMPATI SOL LUNA ULTRA VIOLET</t>
  </si>
  <si>
    <t>001!0611856998100</t>
  </si>
  <si>
    <t>IMPATI SOL LUNA WHITE</t>
  </si>
  <si>
    <t>001!0611835722100</t>
  </si>
  <si>
    <t>IMPATI SOLARSCAPE MAGENTA BLSS</t>
  </si>
  <si>
    <t>001!0611856999100</t>
  </si>
  <si>
    <t>IMPATI SOLARSCAPE NEON PURPLE</t>
  </si>
  <si>
    <t>001!0611857000100</t>
  </si>
  <si>
    <t>IMPATI SOLARSCAPE ORANGE BURST</t>
  </si>
  <si>
    <t>001!0611857001100</t>
  </si>
  <si>
    <t>IMPATI SOLARSCAPE WH SHIMMER</t>
  </si>
  <si>
    <t>001!0611857002100</t>
  </si>
  <si>
    <t>IMPATI SOLARSCAPE XL SALM GLOW</t>
  </si>
  <si>
    <t>001!0611857003100</t>
  </si>
  <si>
    <t>IMPATI SONIC AMETHYST</t>
  </si>
  <si>
    <t>001!0611862739050</t>
  </si>
  <si>
    <t>IMPATI SONIC BRIGHT PINK</t>
  </si>
  <si>
    <t>001!0611862740050</t>
  </si>
  <si>
    <t>IMPATI SONIC DEEP PURPLE</t>
  </si>
  <si>
    <t>001!0611862741050</t>
  </si>
  <si>
    <t>IMPATI SONIC DEEP RED</t>
  </si>
  <si>
    <t>001!0611862742050</t>
  </si>
  <si>
    <t>IMPATI SONIC DEEP SALMON</t>
  </si>
  <si>
    <t>001!0611862743050</t>
  </si>
  <si>
    <t>IMPATI SONIC LIGHT LAVENDER</t>
  </si>
  <si>
    <t>001!0611862744050</t>
  </si>
  <si>
    <t>IMPATI SONIC LIGHT PINK</t>
  </si>
  <si>
    <t>001!0611862745050</t>
  </si>
  <si>
    <t>IMPATI SONIC LILAC</t>
  </si>
  <si>
    <t>001!0611862746050</t>
  </si>
  <si>
    <t>IMPATI SONIC MAGIC PINK</t>
  </si>
  <si>
    <t>001!0611862747050</t>
  </si>
  <si>
    <t>IMPATI SONIC ORANGE</t>
  </si>
  <si>
    <t>001!0611862748050</t>
  </si>
  <si>
    <t>IMPATI SONIC PINK</t>
  </si>
  <si>
    <t>001!0611862749050</t>
  </si>
  <si>
    <t>IMPATI SONIC RED</t>
  </si>
  <si>
    <t>001!0611862750050</t>
  </si>
  <si>
    <t>IMPATI SONIC SALMON</t>
  </si>
  <si>
    <t>001!0611862751050</t>
  </si>
  <si>
    <t>IMPATI SONIC SWEET CHERRY</t>
  </si>
  <si>
    <t>001!0611862752050</t>
  </si>
  <si>
    <t>IMPATI SONIC SWEET ORANGE</t>
  </si>
  <si>
    <t>001!0611862753050</t>
  </si>
  <si>
    <t>IMPATI SONIC SWEET PURPLE</t>
  </si>
  <si>
    <t>001!0611862754050</t>
  </si>
  <si>
    <t>IMPATI SONIC SWEET RED</t>
  </si>
  <si>
    <t>001!0611862755050</t>
  </si>
  <si>
    <t>IMPATI SONIC WHITE NEW</t>
  </si>
  <si>
    <t>001!0611862756050</t>
  </si>
  <si>
    <t>IMPATI SPECTRA BRIGHT RED</t>
  </si>
  <si>
    <t>001!0611862757050</t>
  </si>
  <si>
    <t>IMPATI SPECTRA MAGENTA</t>
  </si>
  <si>
    <t>001!0611862758050</t>
  </si>
  <si>
    <t>IMPATI SPECTRA ORANGE</t>
  </si>
  <si>
    <t>001!0611862759050</t>
  </si>
  <si>
    <t>IMPATI SPECTRA PINK</t>
  </si>
  <si>
    <t>001!0611862760050</t>
  </si>
  <si>
    <t>IMPATI SPECTRA PINK BIC</t>
  </si>
  <si>
    <t>001!0611884267050</t>
  </si>
  <si>
    <t>IMPATI SPECTRA WHITE</t>
  </si>
  <si>
    <t>001!0611862761050</t>
  </si>
  <si>
    <t>IMPATI STRIKE ORANGE</t>
  </si>
  <si>
    <t>001!0611835725100</t>
  </si>
  <si>
    <t>IMPATI STRIKE ORCHID</t>
  </si>
  <si>
    <t>001!0611835726100</t>
  </si>
  <si>
    <t>IMPATI STRIKE PLUM</t>
  </si>
  <si>
    <t>001!0611835727100</t>
  </si>
  <si>
    <t>IMPATI SUN HARMONY BLSH ORCHID</t>
  </si>
  <si>
    <t>001!0611835698100</t>
  </si>
  <si>
    <t>IMPATI SUN HARMONY COMPACT LAV</t>
  </si>
  <si>
    <t>001!0611835728100</t>
  </si>
  <si>
    <t>IMPATI SUN HARMONY DEEP ORANGE</t>
  </si>
  <si>
    <t>001!0611835729100</t>
  </si>
  <si>
    <t>IMPATI SUN HARMONY DEEP PINK</t>
  </si>
  <si>
    <t>001!0611835730100</t>
  </si>
  <si>
    <t>IMPATI SUN HARMONY MAGENTA</t>
  </si>
  <si>
    <t>001!0611835731100</t>
  </si>
  <si>
    <t>IMPATI SUN HARMONY PINK</t>
  </si>
  <si>
    <t>001!0611835733100</t>
  </si>
  <si>
    <t>IMPATI SUN HARMONY PURPLE</t>
  </si>
  <si>
    <t>001!0611835734100</t>
  </si>
  <si>
    <t>IMPATI SUN HARMONY RED</t>
  </si>
  <si>
    <t>001!0611835735100</t>
  </si>
  <si>
    <t>IMPATI SUN HARMONY SALMON</t>
  </si>
  <si>
    <t>001!0611835736100</t>
  </si>
  <si>
    <t>IMPATI SUN HARMONY SCARLET</t>
  </si>
  <si>
    <t>001!0611835737100</t>
  </si>
  <si>
    <t>IMPATI SUN HARMONY VIOLET</t>
  </si>
  <si>
    <t>001!0611835738100</t>
  </si>
  <si>
    <t>IMPATI SUN HARMONY VIVID PINK</t>
  </si>
  <si>
    <t>001!0611835739100</t>
  </si>
  <si>
    <t>IMPATI SUN HARMONY WHITE</t>
  </si>
  <si>
    <t>001!0611835740100</t>
  </si>
  <si>
    <t>IMPATI SUPER ELFIN BL PEARL XP</t>
  </si>
  <si>
    <t>001!0611835756100</t>
  </si>
  <si>
    <t>IMPATI SUPER ELFIN BRIGHT ORG</t>
  </si>
  <si>
    <t>001!0611835757100</t>
  </si>
  <si>
    <t>IMPATI SUPER ELFIN CHA CHA MIX</t>
  </si>
  <si>
    <t>001!0611835758100</t>
  </si>
  <si>
    <t>IMPATI SUPER ELFIN CORAL XP</t>
  </si>
  <si>
    <t>001!0611835759100</t>
  </si>
  <si>
    <t>IMPATI SUPER ELFIN DP PINK XP</t>
  </si>
  <si>
    <t>001!0611835760100</t>
  </si>
  <si>
    <t>IMPATI SUPER ELFIN HOT MIX XP</t>
  </si>
  <si>
    <t>001!0611835761100</t>
  </si>
  <si>
    <t>IMPATI SUPER ELFIN LAVENDER</t>
  </si>
  <si>
    <t>001!0611835762100</t>
  </si>
  <si>
    <t>IMPATI SUPER ELFIN LILAC XP</t>
  </si>
  <si>
    <t>001!0611835763100</t>
  </si>
  <si>
    <t>IMPATI SUPER ELFIN LIPSTICK</t>
  </si>
  <si>
    <t>001!0611835764100</t>
  </si>
  <si>
    <t>IMPATI SUPER ELFIN MIX XP</t>
  </si>
  <si>
    <t>001!0611835766100</t>
  </si>
  <si>
    <t>IMPATI SUPER ELFIN PINK XP</t>
  </si>
  <si>
    <t>001!0611835768100</t>
  </si>
  <si>
    <t>IMPATI SUPER ELFIN PUNCH XP</t>
  </si>
  <si>
    <t>001!0611835769100</t>
  </si>
  <si>
    <t>IMPATI SUPER ELFIN RED XP</t>
  </si>
  <si>
    <t>001!0611835770100</t>
  </si>
  <si>
    <t>IMPATI SUPER ELFIN ROSE XP</t>
  </si>
  <si>
    <t>001!0611835771100</t>
  </si>
  <si>
    <t>IMPATI SUPER ELFIN RUBY</t>
  </si>
  <si>
    <t>001!0611835772100</t>
  </si>
  <si>
    <t>IMPATI SUPER ELFIN SALMON XP</t>
  </si>
  <si>
    <t>001!0611835773100</t>
  </si>
  <si>
    <t>IMPATI SUPER ELFIN SCARLET XP</t>
  </si>
  <si>
    <t>001!0611835775100</t>
  </si>
  <si>
    <t>IMPATI SUPER ELFIN SEASIDE MIX</t>
  </si>
  <si>
    <t>001!0611835776100</t>
  </si>
  <si>
    <t>IMPATI SUPER ELFIN SERIES XP</t>
  </si>
  <si>
    <t>001!0611835778100</t>
  </si>
  <si>
    <t>IMPATI SUPER ELFIN VIOLET XP</t>
  </si>
  <si>
    <t>001!0611835779100</t>
  </si>
  <si>
    <t>IMPATI SUPER ELFIN WHITE XP</t>
  </si>
  <si>
    <t>001!0611835780100</t>
  </si>
  <si>
    <t>IMPATI SUPER ELFN CLEAR MIX XP</t>
  </si>
  <si>
    <t>001!0611835781100</t>
  </si>
  <si>
    <t>IMPATI SUPER ELFN PARADISE MIX</t>
  </si>
  <si>
    <t>001!0611835782100</t>
  </si>
  <si>
    <t>IMPATI SUPER ELFN RD WH MIX XP</t>
  </si>
  <si>
    <t>001!0611835783100</t>
  </si>
  <si>
    <t>IMPATI SUPER SONIC DARK RED</t>
  </si>
  <si>
    <t>001!0611862762050</t>
  </si>
  <si>
    <t>IMPATI SUPER SONIC DARK SALMON</t>
  </si>
  <si>
    <t>001!0611862763050</t>
  </si>
  <si>
    <t>IMPATI SUPER SONIC DEEP SALMON</t>
  </si>
  <si>
    <t>001!0611862764050</t>
  </si>
  <si>
    <t>IMPATI SUPER SONIC DP SCARLET</t>
  </si>
  <si>
    <t>001!0611862766050</t>
  </si>
  <si>
    <t>IMPATI SUPER SONIC FLAME</t>
  </si>
  <si>
    <t>001!0611862767050</t>
  </si>
  <si>
    <t>IMPATI SUPER SONIC HOT PINK</t>
  </si>
  <si>
    <t>001!0611862768050</t>
  </si>
  <si>
    <t>IMPATI SUPER SONIC LAVENDER</t>
  </si>
  <si>
    <t>001!0611862769050</t>
  </si>
  <si>
    <t>IMPATI SUPER SONIC LILAC</t>
  </si>
  <si>
    <t>001!0611862770050</t>
  </si>
  <si>
    <t>IMPATI SUPER SONIC MAGENTA</t>
  </si>
  <si>
    <t>001!0611862771050</t>
  </si>
  <si>
    <t>IMPATI SUPER SONIC ORANGE ICE</t>
  </si>
  <si>
    <t>001!0611862772050</t>
  </si>
  <si>
    <t>IMPATI SUPER SONIC PASTEL PINK</t>
  </si>
  <si>
    <t>001!0611862773050</t>
  </si>
  <si>
    <t>IMPATI SUPER SONIC PINK</t>
  </si>
  <si>
    <t>001!0611862774050</t>
  </si>
  <si>
    <t>IMPATI SUPER SONIC PURPLE</t>
  </si>
  <si>
    <t>001!0611862775050</t>
  </si>
  <si>
    <t>IMPATI SUPER SONIC RED</t>
  </si>
  <si>
    <t>001!0611862776050</t>
  </si>
  <si>
    <t>IMPATI SUPER SONIC SWT CHERRY</t>
  </si>
  <si>
    <t>001!0611862777050</t>
  </si>
  <si>
    <t>IMPATI SUPER SONIC WHITE</t>
  </si>
  <si>
    <t>001!0611862778050</t>
  </si>
  <si>
    <t>IMPATI SWEETIE PIE ORANGE</t>
  </si>
  <si>
    <t>001!0611862781050</t>
  </si>
  <si>
    <t>IMPATI TAMARINDA DARK RED</t>
  </si>
  <si>
    <t>001!0611862782050</t>
  </si>
  <si>
    <t>IMPATI TAMARINDA MAX WILD SALM</t>
  </si>
  <si>
    <t>001!0611862784050</t>
  </si>
  <si>
    <t>IMPATI TAMARINDA RED</t>
  </si>
  <si>
    <t>001!0611862788050</t>
  </si>
  <si>
    <t>IMPATI TAMARINDA RED BICOLOR</t>
  </si>
  <si>
    <t>001!0611862789050</t>
  </si>
  <si>
    <t>IMPATI TAMARINDA SOFT PINK</t>
  </si>
  <si>
    <t>001!0611862790050</t>
  </si>
  <si>
    <t>IMPATI TAMARINDA TRUE PINK</t>
  </si>
  <si>
    <t>001!0611862791050</t>
  </si>
  <si>
    <t>IMPATI TAMARINDA VIOLET</t>
  </si>
  <si>
    <t>001!0611862792050</t>
  </si>
  <si>
    <t>IMPATI TAMARINDA WHITE</t>
  </si>
  <si>
    <t>001!0611862793050</t>
  </si>
  <si>
    <t>IMPATI TOPKNOT MIX</t>
  </si>
  <si>
    <t>001!0611835786100</t>
  </si>
  <si>
    <t>IMPATI VIOLET GENERIC BILINGL</t>
  </si>
  <si>
    <t>001!0611835797100</t>
  </si>
  <si>
    <t>IMPATI VIOLET/WHITE GNRC BLNGL</t>
  </si>
  <si>
    <t>001!0611835798100</t>
  </si>
  <si>
    <t>IMPATI VOODOO MIX</t>
  </si>
  <si>
    <t>001!0611835799100</t>
  </si>
  <si>
    <t>IMPATI VOODOO TOO MIX</t>
  </si>
  <si>
    <t>001!0611835800100</t>
  </si>
  <si>
    <t>IMPATI WHITE GENERIC BILINGUAL</t>
  </si>
  <si>
    <t>001!0611835801100</t>
  </si>
  <si>
    <t>IMPATI WILD ROMANCE BLUSH</t>
  </si>
  <si>
    <t>001!0611862794050</t>
  </si>
  <si>
    <t>IMPATI WILD ROMANCE HOT ROSE</t>
  </si>
  <si>
    <t>001!0611862795050</t>
  </si>
  <si>
    <t>IMPATI WILD ROMANCE JZZY BL RS</t>
  </si>
  <si>
    <t>001!0611862796050</t>
  </si>
  <si>
    <t>IMPATI WILD ROMANCE LAVENDER</t>
  </si>
  <si>
    <t>001!0611862797050</t>
  </si>
  <si>
    <t>IMPATI WILD ROMANCE PEACH</t>
  </si>
  <si>
    <t>001!0611862798050</t>
  </si>
  <si>
    <t>IMPATI WILD ROMANCE PINK</t>
  </si>
  <si>
    <t>001!0611884268050</t>
  </si>
  <si>
    <t>IMPATI WILD ROMANCE RED</t>
  </si>
  <si>
    <t>001!0611862799050</t>
  </si>
  <si>
    <t>IMPATI WILD ROMANCE WHITE</t>
  </si>
  <si>
    <t>001!0611862800050</t>
  </si>
  <si>
    <t>IMPATI XTREME BRIGHT EYE</t>
  </si>
  <si>
    <t>001!0611835802100</t>
  </si>
  <si>
    <t>IMPATI XTREME BRIGHT ROSE</t>
  </si>
  <si>
    <t>001!0611835803100</t>
  </si>
  <si>
    <t>IMPATI XTREME HOT MIX</t>
  </si>
  <si>
    <t>001!0611835804100</t>
  </si>
  <si>
    <t>IMPATI XTREME LAVENDER</t>
  </si>
  <si>
    <t>001!0611835805100</t>
  </si>
  <si>
    <t>IMPATI XTREME LILAC</t>
  </si>
  <si>
    <t>001!0611835806100</t>
  </si>
  <si>
    <t>IMPATI XTREME LITTLE GEM MIX</t>
  </si>
  <si>
    <t>001!0611835807100</t>
  </si>
  <si>
    <t>IMPATI XTREME MIX</t>
  </si>
  <si>
    <t>001!0611835808100</t>
  </si>
  <si>
    <t>IMPATI XTREME ORANGE</t>
  </si>
  <si>
    <t>001!0611835809100</t>
  </si>
  <si>
    <t>IMPATI XTREME PASTEL MIX</t>
  </si>
  <si>
    <t>001!0611835810100</t>
  </si>
  <si>
    <t>IMPATI XTREME PINK</t>
  </si>
  <si>
    <t>001!0611835811100</t>
  </si>
  <si>
    <t>IMPATI XTREME RED</t>
  </si>
  <si>
    <t>001!0611835813100</t>
  </si>
  <si>
    <t>IMPATI XTREME ROSE</t>
  </si>
  <si>
    <t>001!0611835814100</t>
  </si>
  <si>
    <t>IMPATI XTREME ROSY MIX</t>
  </si>
  <si>
    <t>001!0611835815100</t>
  </si>
  <si>
    <t>IMPATI XTREME SALMON</t>
  </si>
  <si>
    <t>001!0611835816100</t>
  </si>
  <si>
    <t>IMPATI XTREME SAPPHIRE MIX</t>
  </si>
  <si>
    <t>001!0611835817100</t>
  </si>
  <si>
    <t>IMPATI XTREME SCARLET</t>
  </si>
  <si>
    <t>001!0611835818100</t>
  </si>
  <si>
    <t>IMPATI XTREME TANGO MIX</t>
  </si>
  <si>
    <t>001!0611835820100</t>
  </si>
  <si>
    <t>IMPATI XTREME UTOPIA MIX</t>
  </si>
  <si>
    <t>001!0611835821100</t>
  </si>
  <si>
    <t>IMPATI XTREME VIOLET</t>
  </si>
  <si>
    <t>001!0611835822100</t>
  </si>
  <si>
    <t>IMPATI XTREME WHITE</t>
  </si>
  <si>
    <t>001!0611835823100</t>
  </si>
  <si>
    <t>IMPERA RED BARON</t>
  </si>
  <si>
    <t>001!0611835824025</t>
  </si>
  <si>
    <t>IPOMOE ACE OF SPADES</t>
  </si>
  <si>
    <t>001!0611835825100</t>
  </si>
  <si>
    <t>IPOMOE BEAUREGARD</t>
  </si>
  <si>
    <t>001!0611835826100</t>
  </si>
  <si>
    <t>IPOMOE BLACK HEART</t>
  </si>
  <si>
    <t>001!0611862801050</t>
  </si>
  <si>
    <t>IPOMOE BLACKIE</t>
  </si>
  <si>
    <t>001!0611835828100</t>
  </si>
  <si>
    <t>001!0611835829025</t>
  </si>
  <si>
    <t>001!0611862802050</t>
  </si>
  <si>
    <t>IPOMOE BONITA</t>
  </si>
  <si>
    <t>001!0611835830100</t>
  </si>
  <si>
    <t>IPOMOE BRGHT IDEA RSTY RD CRDT</t>
  </si>
  <si>
    <t>001!0611835831100</t>
  </si>
  <si>
    <t>IPOMOE BRIGHT IDEAS BLACK</t>
  </si>
  <si>
    <t>001!0611835832100</t>
  </si>
  <si>
    <t>001!0611862803050</t>
  </si>
  <si>
    <t>IPOMOE BRIGHT IDEAS BLK CRDT</t>
  </si>
  <si>
    <t>001!0611835833100</t>
  </si>
  <si>
    <t>IPOMOE BRIGHT IDEAS CRDT BLK</t>
  </si>
  <si>
    <t>001!0611862804050</t>
  </si>
  <si>
    <t>IPOMOE BRIGHT IDEAS CRDT LIME</t>
  </si>
  <si>
    <t>001!0611862805050</t>
  </si>
  <si>
    <t>IPOMOE BRIGHT IDEAS CRDT RUSTY</t>
  </si>
  <si>
    <t>001!0611862806050</t>
  </si>
  <si>
    <t>IPOMOE BRIGHT IDEAS LIME</t>
  </si>
  <si>
    <t>001!0611835834100</t>
  </si>
  <si>
    <t>001!0611862807050</t>
  </si>
  <si>
    <t>IPOMOE BRIGHT IDEAS LIME CRDT</t>
  </si>
  <si>
    <t>001!0611835835100</t>
  </si>
  <si>
    <t>IPOMOE BRIGHT IDEAS RUSTY RED</t>
  </si>
  <si>
    <t>001!0611835836100</t>
  </si>
  <si>
    <t>001!0611862808050</t>
  </si>
  <si>
    <t>IPOMOE CAMEO ELEGANCE</t>
  </si>
  <si>
    <t>001!0611835838100</t>
  </si>
  <si>
    <t>IPOMOE CARDINALIS</t>
  </si>
  <si>
    <t>001!0611835839100</t>
  </si>
  <si>
    <t>IPOMOE CRIMSON RAMBLER</t>
  </si>
  <si>
    <t>001!0611835840100</t>
  </si>
  <si>
    <t>IPOMOE CYPRESS VINE GENERIC</t>
  </si>
  <si>
    <t>001!0611835841100</t>
  </si>
  <si>
    <t>IPOMOE DARK LEAF GENERIC</t>
  </si>
  <si>
    <t>001!0611857004100</t>
  </si>
  <si>
    <t>IPOMOE EVANGELINE</t>
  </si>
  <si>
    <t>001!0611835842100</t>
  </si>
  <si>
    <t>IPOMOE FLORAMIA BLACK</t>
  </si>
  <si>
    <t>001!0611862809050</t>
  </si>
  <si>
    <t>IPOMOE FLORAMIA CAMEO</t>
  </si>
  <si>
    <t>001!0611862810050</t>
  </si>
  <si>
    <t>IPOMOE FLORAMIA LIMON</t>
  </si>
  <si>
    <t>001!0611862811050</t>
  </si>
  <si>
    <t>IPOMOE FLORAMIA LIMON WEDGE</t>
  </si>
  <si>
    <t>001!0611862812050</t>
  </si>
  <si>
    <t>IPOMOE FLORAMIA NERO</t>
  </si>
  <si>
    <t>001!0611862813050</t>
  </si>
  <si>
    <t>IPOMOE FLORAMIA ROSSO</t>
  </si>
  <si>
    <t>001!0611862814050</t>
  </si>
  <si>
    <t>IPOMOE FLORAMIA VERDINO</t>
  </si>
  <si>
    <t>001!0611862815050</t>
  </si>
  <si>
    <t>IPOMOE GEORGIA JETS</t>
  </si>
  <si>
    <t>001!0611835843100</t>
  </si>
  <si>
    <t>IPOMOE GOLDEN GENERIC</t>
  </si>
  <si>
    <t>001!0611857005100</t>
  </si>
  <si>
    <t>IPOMOE GOOD MORNING BLUE</t>
  </si>
  <si>
    <t>001!0611835844100</t>
  </si>
  <si>
    <t>IPOMOE GRANDPA OTT</t>
  </si>
  <si>
    <t>001!0611835847100</t>
  </si>
  <si>
    <t>IPOMOE HAPPY HOUR ROSE</t>
  </si>
  <si>
    <t>001!0611835848100</t>
  </si>
  <si>
    <t>IPOMOE HEAVENLY BLUE</t>
  </si>
  <si>
    <t>001!0611835849100</t>
  </si>
  <si>
    <t>IPOMOE IPOMOEA GENERIC</t>
  </si>
  <si>
    <t>001!0611835850100</t>
  </si>
  <si>
    <t>IPOMOE KELLY RAY</t>
  </si>
  <si>
    <t>001!0611835851100</t>
  </si>
  <si>
    <t>IPOMOE LIME</t>
  </si>
  <si>
    <t>001!0611835852100</t>
  </si>
  <si>
    <t>IPOMOE MARGUERITE</t>
  </si>
  <si>
    <t>001!0611835854100</t>
  </si>
  <si>
    <t>001!0611835855025</t>
  </si>
  <si>
    <t>001!0611862816050</t>
  </si>
  <si>
    <t>IPOMOE MARGUERITE DWARF</t>
  </si>
  <si>
    <t>001!0611835856100</t>
  </si>
  <si>
    <t>IPOMOE MINI BAR ROSE</t>
  </si>
  <si>
    <t>001!0611835857100</t>
  </si>
  <si>
    <t>IPOMOE MOONFLOWER GENERIC</t>
  </si>
  <si>
    <t>001!0611835858100</t>
  </si>
  <si>
    <t>IPOMOE MORNING GLORY GENERIC</t>
  </si>
  <si>
    <t>001!0611835859100</t>
  </si>
  <si>
    <t>IPOMOE MURASAKI 29</t>
  </si>
  <si>
    <t>001!0611835861100</t>
  </si>
  <si>
    <t>IPOMOE PEARLY GATES</t>
  </si>
  <si>
    <t>001!0611835863100</t>
  </si>
  <si>
    <t>IPOMOE SCARLET OHARA</t>
  </si>
  <si>
    <t>001!0611835865100</t>
  </si>
  <si>
    <t>IPOMOE SIDEKICK BLACK</t>
  </si>
  <si>
    <t>001!0611862817050</t>
  </si>
  <si>
    <t>IPOMOE SIDEKICK HEART BLACK</t>
  </si>
  <si>
    <t>001!0611862818050</t>
  </si>
  <si>
    <t>IPOMOE SIDEKICK HEART BRONZE</t>
  </si>
  <si>
    <t>001!0611862819050</t>
  </si>
  <si>
    <t>IPOMOE SIDEKICK HEART LIME</t>
  </si>
  <si>
    <t>001!0611862820050</t>
  </si>
  <si>
    <t>IPOMOE SIDEKICK LACEY LIME</t>
  </si>
  <si>
    <t>001!0611862821050</t>
  </si>
  <si>
    <t>IPOMOE SIDEKICK LIME</t>
  </si>
  <si>
    <t>001!0611862822050</t>
  </si>
  <si>
    <t>IPOMOE SUNRISE SERENADE</t>
  </si>
  <si>
    <t>001!0611835866100</t>
  </si>
  <si>
    <t>IPOMOE SWT GEORGIA BLK MAPLE</t>
  </si>
  <si>
    <t>001!0611857006100</t>
  </si>
  <si>
    <t>IPOMOE SWT GEORGIA BRONZE</t>
  </si>
  <si>
    <t>001!0611835867100</t>
  </si>
  <si>
    <t>IPOMOE SWT GEORGIA BULLFROG</t>
  </si>
  <si>
    <t>001!0611835868100</t>
  </si>
  <si>
    <t>IPOMOE SWT GEORGIA DP PURPLE</t>
  </si>
  <si>
    <t>001!0611835869100</t>
  </si>
  <si>
    <t>IPOMOE SWT GEORGIA GRNSPLASH</t>
  </si>
  <si>
    <t>001!0611835870100</t>
  </si>
  <si>
    <t>IPOMOE SWT GEORGIA HEART PPL</t>
  </si>
  <si>
    <t>001!0611835871100</t>
  </si>
  <si>
    <t>IPOMOE SWT GEORGIA HEART RED</t>
  </si>
  <si>
    <t>001!0611835872100</t>
  </si>
  <si>
    <t>IPOMOE SWT GEORGIA HRT CHESTNT</t>
  </si>
  <si>
    <t>001!0611884269100</t>
  </si>
  <si>
    <t>IPOMOE SWT GEORGIA HRT LT GRN</t>
  </si>
  <si>
    <t>001!0611835874100</t>
  </si>
  <si>
    <t>IPOMOE SWT GEORGIA LT GREEN</t>
  </si>
  <si>
    <t>001!0611857007100</t>
  </si>
  <si>
    <t>IPOMOE SWT GEORGIA PPL SPLASH</t>
  </si>
  <si>
    <t>001!0611835875100</t>
  </si>
  <si>
    <t>IPOMOE SWT POTATO GENERIC</t>
  </si>
  <si>
    <t>001!0611835873100</t>
  </si>
  <si>
    <t>IPOMOE TRICOLOR</t>
  </si>
  <si>
    <t>001!0611835876100</t>
  </si>
  <si>
    <t>001!0611835877025</t>
  </si>
  <si>
    <t>001!0611862823050</t>
  </si>
  <si>
    <t>IPOMOE VINE GENERIC BILINGUAL</t>
  </si>
  <si>
    <t>001!0611835879100</t>
  </si>
  <si>
    <t>IRESIN BLAZIN ROSE</t>
  </si>
  <si>
    <t>001!0611862824050</t>
  </si>
  <si>
    <t>IRESIN BRILLIANTISSIMA</t>
  </si>
  <si>
    <t>001!0611835880100</t>
  </si>
  <si>
    <t>IRESIN CHERRY</t>
  </si>
  <si>
    <t>001!0611835881100</t>
  </si>
  <si>
    <t>IRESIN CHICKEN GIZZARD</t>
  </si>
  <si>
    <t>001!0611835882025</t>
  </si>
  <si>
    <t>IRESIN PURPLE LADY</t>
  </si>
  <si>
    <t>001!0611835883100</t>
  </si>
  <si>
    <t>IRESIN RED</t>
  </si>
  <si>
    <t>001!0611835884100</t>
  </si>
  <si>
    <t>IRESIN RED HEART</t>
  </si>
  <si>
    <t>001!0611835885100</t>
  </si>
  <si>
    <t>IRESIN VARIEGATED HEART</t>
  </si>
  <si>
    <t>001!0611835886100</t>
  </si>
  <si>
    <t>IRIS ARGENTEA VARIEGATA</t>
  </si>
  <si>
    <t>001!0611835887025</t>
  </si>
  <si>
    <t>IRIS BUTTER N SUGAR</t>
  </si>
  <si>
    <t>001!0611835888025</t>
  </si>
  <si>
    <t>IRIS CAESARS BROTHER</t>
  </si>
  <si>
    <t>001!0611835889025</t>
  </si>
  <si>
    <t>IRIS CRESTED IRIS GENERIC</t>
  </si>
  <si>
    <t>001!0611835890025</t>
  </si>
  <si>
    <t>IRIS GERMAN IRIS GENERIC</t>
  </si>
  <si>
    <t>001!0611835891025</t>
  </si>
  <si>
    <t>IRIS JAPANESE IRIS GENERIC</t>
  </si>
  <si>
    <t>001!0611835892025</t>
  </si>
  <si>
    <t>IRIS VARIEGATA</t>
  </si>
  <si>
    <t>001!0611835894025</t>
  </si>
  <si>
    <t>ISOLEP CLRGRSS LIVE WIRE</t>
  </si>
  <si>
    <t>001!0611834799100</t>
  </si>
  <si>
    <t>ISOLEP FIBER OPTIC</t>
  </si>
  <si>
    <t>001!0611835895100</t>
  </si>
  <si>
    <t>001!0611835896025</t>
  </si>
  <si>
    <t>ISOTOM FIZZ N POP GLOWING VLT</t>
  </si>
  <si>
    <t>001!0611862825050</t>
  </si>
  <si>
    <t>ISOTOM FIZZ N POP PRETTY IN PK</t>
  </si>
  <si>
    <t>001!0611862826050</t>
  </si>
  <si>
    <t>JASMIN JASMINE POLYANTHUM</t>
  </si>
  <si>
    <t>001!0611835897100</t>
  </si>
  <si>
    <t>JOHN HENRY MISC - PLANTS</t>
  </si>
  <si>
    <t>JOHN HENRY PINK WAVE HANDLE</t>
  </si>
  <si>
    <t>(RTW PROGRAM) 50/BDL T10643</t>
  </si>
  <si>
    <t>001!49-6825</t>
  </si>
  <si>
    <t>JUNCUS BLUE ARROWS</t>
  </si>
  <si>
    <t>001!0611834791100</t>
  </si>
  <si>
    <t>001!0611834792025</t>
  </si>
  <si>
    <t>JUNCUS BLUE DART</t>
  </si>
  <si>
    <t>001!0611834793025</t>
  </si>
  <si>
    <t>JUNCUS JAVELIN</t>
  </si>
  <si>
    <t>001!0611834794025</t>
  </si>
  <si>
    <t>JUNCUS SPIRALIS EFFUSUS</t>
  </si>
  <si>
    <t>001!0611834795100</t>
  </si>
  <si>
    <t>JUNCUS STARHEAD</t>
  </si>
  <si>
    <t>001!0611834796025</t>
  </si>
  <si>
    <t>JUNCUS TWISTED ARROWS MX</t>
  </si>
  <si>
    <t>001!0611834824025</t>
  </si>
  <si>
    <t>JUNCUS TWISTED DART MIX</t>
  </si>
  <si>
    <t>001!0611834797025</t>
  </si>
  <si>
    <t>JUNCUS TWISTER INFLEXUS</t>
  </si>
  <si>
    <t>001!0611834798025</t>
  </si>
  <si>
    <t>JUSTIC BRANDEGEANA</t>
  </si>
  <si>
    <t>001!0611835898100</t>
  </si>
  <si>
    <t>JUSTIC PACHYSTACHYS LUTEA</t>
  </si>
  <si>
    <t>001!0611835899100</t>
  </si>
  <si>
    <t>KALANC ARCHER</t>
  </si>
  <si>
    <t>001!0611862827100</t>
  </si>
  <si>
    <t>KALANC AUGER</t>
  </si>
  <si>
    <t>001!0611862828100</t>
  </si>
  <si>
    <t>KALANC BARBER</t>
  </si>
  <si>
    <t>001!0611862829100</t>
  </si>
  <si>
    <t>KALANC BERKLEY</t>
  </si>
  <si>
    <t>001!0611862830100</t>
  </si>
  <si>
    <t>KALANC BERRY</t>
  </si>
  <si>
    <t>001!0611862831100</t>
  </si>
  <si>
    <t>KALANC BIRKIN</t>
  </si>
  <si>
    <t>001!0611862832100</t>
  </si>
  <si>
    <t>KALANC BISSET</t>
  </si>
  <si>
    <t>001!0611862833100</t>
  </si>
  <si>
    <t>KALANC BROMO</t>
  </si>
  <si>
    <t>001!0611862834100</t>
  </si>
  <si>
    <t>KALANC CADILLAC PINK</t>
  </si>
  <si>
    <t>001!0611862835100</t>
  </si>
  <si>
    <t>KALANC CALANDAY CALOR BARTAN</t>
  </si>
  <si>
    <t>001!0611862836100</t>
  </si>
  <si>
    <t>KALANC CALANDAY CALOR CASITAS</t>
  </si>
  <si>
    <t>001!0611862837100</t>
  </si>
  <si>
    <t>KALANC CALANDAY CALOR KAMBA</t>
  </si>
  <si>
    <t>001!0611862838100</t>
  </si>
  <si>
    <t>KALANC CALANDAY CALOR UBINAS</t>
  </si>
  <si>
    <t>001!0611862839100</t>
  </si>
  <si>
    <t>KALANC CALANDAY CERROS</t>
  </si>
  <si>
    <t>001!0611862840100</t>
  </si>
  <si>
    <t>KALANC CALANDAY CLASSY</t>
  </si>
  <si>
    <t>001!0611862841100</t>
  </si>
  <si>
    <t>KALANC CALANDAY FIERY</t>
  </si>
  <si>
    <t>001!0611862842100</t>
  </si>
  <si>
    <t>KALANC CALANDAY KIMONO</t>
  </si>
  <si>
    <t>001!0611862843100</t>
  </si>
  <si>
    <t>KALANC CALANDAY LUXURY</t>
  </si>
  <si>
    <t>001!0611862844100</t>
  </si>
  <si>
    <t>KALANC CALANDAY SUBLM COUTURE</t>
  </si>
  <si>
    <t>001!0611862845100</t>
  </si>
  <si>
    <t>KALANC CALANDAY SUBLM FLAIR</t>
  </si>
  <si>
    <t>001!0611862846100</t>
  </si>
  <si>
    <t>KALANC CALANDAY SUBLM GLOSS</t>
  </si>
  <si>
    <t>001!0611862847100</t>
  </si>
  <si>
    <t>KALANC CALANDAY SUBLM SWRL BS</t>
  </si>
  <si>
    <t>001!0611862848100</t>
  </si>
  <si>
    <t>KALANC CALANDAY SUBLM SWRL NV</t>
  </si>
  <si>
    <t>001!0611862849100</t>
  </si>
  <si>
    <t>KALANC CALANDIVA ADKINS</t>
  </si>
  <si>
    <t>001!0611862850100</t>
  </si>
  <si>
    <t>KALANC CALANDIVA DECO GARLAND</t>
  </si>
  <si>
    <t>001!0611884270100</t>
  </si>
  <si>
    <t>KALANC CALANDIVA ELECTRA</t>
  </si>
  <si>
    <t>001!0611862851100</t>
  </si>
  <si>
    <t>KALANC CALANDIVA FLORILIS</t>
  </si>
  <si>
    <t>001!0611884271100</t>
  </si>
  <si>
    <t>KALANC CALANDIVA KELTON</t>
  </si>
  <si>
    <t>001!0611862852100</t>
  </si>
  <si>
    <t>KALANC CALANDIVA MENZEL</t>
  </si>
  <si>
    <t>001!0611862853100</t>
  </si>
  <si>
    <t>KALANC CALANDIVA TURNER</t>
  </si>
  <si>
    <t>001!0611862854100</t>
  </si>
  <si>
    <t>KALANC CALOR FABULOUS FANTA</t>
  </si>
  <si>
    <t>001!0611884272100</t>
  </si>
  <si>
    <t>KALANC CATES DECORATIVE</t>
  </si>
  <si>
    <t>001!0611862855100</t>
  </si>
  <si>
    <t>KALANC CHER DECORATIVE</t>
  </si>
  <si>
    <t>001!0611862856100</t>
  </si>
  <si>
    <t>KALANC CHOCOLATE SOLDIER</t>
  </si>
  <si>
    <t>001!0611862857100</t>
  </si>
  <si>
    <t>KALANC CIMA</t>
  </si>
  <si>
    <t>001!0611862858100</t>
  </si>
  <si>
    <t>KALANC CITRINE</t>
  </si>
  <si>
    <t>001!0611862859100</t>
  </si>
  <si>
    <t>KALANC COTO</t>
  </si>
  <si>
    <t>001!0611862860100</t>
  </si>
  <si>
    <t>KALANC DAVIS</t>
  </si>
  <si>
    <t>001!0611862861100</t>
  </si>
  <si>
    <t>KALANC DENDI</t>
  </si>
  <si>
    <t>001!0611862862100</t>
  </si>
  <si>
    <t>KALANC DERN</t>
  </si>
  <si>
    <t>001!0611862863100</t>
  </si>
  <si>
    <t>KALANC DISCODIP</t>
  </si>
  <si>
    <t>001!0611862864100</t>
  </si>
  <si>
    <t>KALANC ELGON</t>
  </si>
  <si>
    <t>001!0611862865100</t>
  </si>
  <si>
    <t>KALANC EWBANK</t>
  </si>
  <si>
    <t>001!0611862866100</t>
  </si>
  <si>
    <t>KALANC FANG FELT PLANT</t>
  </si>
  <si>
    <t>001!0611835901100</t>
  </si>
  <si>
    <t>KALANC FELT PLANT</t>
  </si>
  <si>
    <t>001!0611884273100</t>
  </si>
  <si>
    <t>KALANC FERNA</t>
  </si>
  <si>
    <t>001!0611862867100</t>
  </si>
  <si>
    <t>KALANC FIESTA</t>
  </si>
  <si>
    <t>001!0611862868100</t>
  </si>
  <si>
    <t>KALANC FLAMINGO</t>
  </si>
  <si>
    <t>001!0611862869100</t>
  </si>
  <si>
    <t>KALANC FLAP JACK PLANT</t>
  </si>
  <si>
    <t>001!0611835903100</t>
  </si>
  <si>
    <t>KALANC FLOR</t>
  </si>
  <si>
    <t>001!0611862870100</t>
  </si>
  <si>
    <t>KALANC FOSTER</t>
  </si>
  <si>
    <t>001!0611862871100</t>
  </si>
  <si>
    <t>KALANC FOX</t>
  </si>
  <si>
    <t>001!0611862872100</t>
  </si>
  <si>
    <t>KALANC FUEGO</t>
  </si>
  <si>
    <t>001!0611862873100</t>
  </si>
  <si>
    <t>KALANC GALERA</t>
  </si>
  <si>
    <t>001!0611862874100</t>
  </si>
  <si>
    <t>KALANC GARBO</t>
  </si>
  <si>
    <t>001!0611862875100</t>
  </si>
  <si>
    <t>KALANC GENERIC</t>
  </si>
  <si>
    <t>001!0611857008100</t>
  </si>
  <si>
    <t>KALANC GENERIC LK0212</t>
  </si>
  <si>
    <t>001!0611835904100</t>
  </si>
  <si>
    <t>KALANC GRANDIVA RIMES</t>
  </si>
  <si>
    <t>001!0611862876100</t>
  </si>
  <si>
    <t>KALANC HAWN</t>
  </si>
  <si>
    <t>001!0611862877100</t>
  </si>
  <si>
    <t>KALANC HEKLA</t>
  </si>
  <si>
    <t>001!0611862878100</t>
  </si>
  <si>
    <t>KALANC JAMAICA</t>
  </si>
  <si>
    <t>001!0611862879100</t>
  </si>
  <si>
    <t>KALANC KALANCHOE GENERIC</t>
  </si>
  <si>
    <t>001!0611884274100</t>
  </si>
  <si>
    <t>KALANC KERINCI</t>
  </si>
  <si>
    <t>001!0611862880100</t>
  </si>
  <si>
    <t>KALANC KERUNA</t>
  </si>
  <si>
    <t>001!0611862881100</t>
  </si>
  <si>
    <t>KALANC KIKAI</t>
  </si>
  <si>
    <t>001!0611862882100</t>
  </si>
  <si>
    <t>KALANC LA DOUCE</t>
  </si>
  <si>
    <t>001!0611862883100</t>
  </si>
  <si>
    <t>KALANC LANIN</t>
  </si>
  <si>
    <t>001!0611862884100</t>
  </si>
  <si>
    <t>KALANC LASCAR</t>
  </si>
  <si>
    <t>001!0611862885100</t>
  </si>
  <si>
    <t>KALANC LEAPING DOLPHINS</t>
  </si>
  <si>
    <t>001!0611862886100</t>
  </si>
  <si>
    <t>KALANC LEONARDO</t>
  </si>
  <si>
    <t>001!0611862887100</t>
  </si>
  <si>
    <t>KALANC LICAN</t>
  </si>
  <si>
    <t>001!0611862888100</t>
  </si>
  <si>
    <t>KALANC LONGO</t>
  </si>
  <si>
    <t>001!0611862889100</t>
  </si>
  <si>
    <t>KALANC LOY</t>
  </si>
  <si>
    <t>001!0611862890100</t>
  </si>
  <si>
    <t>KALANC MANDARIN</t>
  </si>
  <si>
    <t>001!0611862891100</t>
  </si>
  <si>
    <t>KALANC MERE</t>
  </si>
  <si>
    <t>001!0611862892100</t>
  </si>
  <si>
    <t>KALANC MIDDLER</t>
  </si>
  <si>
    <t>001!0611862893100</t>
  </si>
  <si>
    <t>KALANC MIDI SUNKISSED PINK</t>
  </si>
  <si>
    <t>001!0611862894100</t>
  </si>
  <si>
    <t>KALANC MIKENO</t>
  </si>
  <si>
    <t>001!0611862895100</t>
  </si>
  <si>
    <t>KALANC MILOS</t>
  </si>
  <si>
    <t>001!0611862896100</t>
  </si>
  <si>
    <t>KALANC MOORE</t>
  </si>
  <si>
    <t>001!0611862897100</t>
  </si>
  <si>
    <t>KALANC MORENO</t>
  </si>
  <si>
    <t>001!0611862898100</t>
  </si>
  <si>
    <t>KALANC MORNE</t>
  </si>
  <si>
    <t>001!0611862899100</t>
  </si>
  <si>
    <t>KALANC NEWTON</t>
  </si>
  <si>
    <t>001!0611862900100</t>
  </si>
  <si>
    <t>KALANC NIGRUM</t>
  </si>
  <si>
    <t>001!0611862901100</t>
  </si>
  <si>
    <t>KALANC NOLIN</t>
  </si>
  <si>
    <t>001!0611862902100</t>
  </si>
  <si>
    <t>KALANC OPALA</t>
  </si>
  <si>
    <t>001!0611862903100</t>
  </si>
  <si>
    <t>KALANC ORGYALIS</t>
  </si>
  <si>
    <t>001!0611862904100</t>
  </si>
  <si>
    <t>KALANC PANDA PLANT TOMENTOSA</t>
  </si>
  <si>
    <t>001!0611835905100</t>
  </si>
  <si>
    <t>KALANC PARTRIDGE</t>
  </si>
  <si>
    <t>001!0611862905100</t>
  </si>
  <si>
    <t>KALANC PASO</t>
  </si>
  <si>
    <t>001!0611862906100</t>
  </si>
  <si>
    <t>KALANC PETERO</t>
  </si>
  <si>
    <t>001!0611862907100</t>
  </si>
  <si>
    <t>KALANC PILAS</t>
  </si>
  <si>
    <t>001!0611862908100</t>
  </si>
  <si>
    <t>KALANC PITON</t>
  </si>
  <si>
    <t>001!0611862909100</t>
  </si>
  <si>
    <t>KALANC PITON PINK</t>
  </si>
  <si>
    <t>001!0611862910100</t>
  </si>
  <si>
    <t>KALANC POLAR BEAR</t>
  </si>
  <si>
    <t>001!0611862911100</t>
  </si>
  <si>
    <t>KALANC RAJA</t>
  </si>
  <si>
    <t>001!0611862912100</t>
  </si>
  <si>
    <t>KALANC RIO</t>
  </si>
  <si>
    <t>001!0611862913100</t>
  </si>
  <si>
    <t>KALANC RUBIO</t>
  </si>
  <si>
    <t>001!0611862914100</t>
  </si>
  <si>
    <t>KALANC RUDAK</t>
  </si>
  <si>
    <t>001!0611862915100</t>
  </si>
  <si>
    <t>KALANC SAJA</t>
  </si>
  <si>
    <t>001!0611862916100</t>
  </si>
  <si>
    <t>KALANC SILVER STRAND</t>
  </si>
  <si>
    <t>001!0611884275100</t>
  </si>
  <si>
    <t>KALANC SOLDANA</t>
  </si>
  <si>
    <t>001!0611862917100</t>
  </si>
  <si>
    <t>KALANC TENORIO</t>
  </si>
  <si>
    <t>001!0611862918100</t>
  </si>
  <si>
    <t>KALANC THERON</t>
  </si>
  <si>
    <t>001!0611862919100</t>
  </si>
  <si>
    <t>KALANC THYRSIFLORA</t>
  </si>
  <si>
    <t>001!0611862920100</t>
  </si>
  <si>
    <t>KALANC TOKA</t>
  </si>
  <si>
    <t>001!0611862921100</t>
  </si>
  <si>
    <t>KALANC TOMAS</t>
  </si>
  <si>
    <t>001!0611862922100</t>
  </si>
  <si>
    <t>KALANC TOMBO</t>
  </si>
  <si>
    <t>001!0611862923100</t>
  </si>
  <si>
    <t>KALANC TOMENTOSA</t>
  </si>
  <si>
    <t>001!0611862924100</t>
  </si>
  <si>
    <t>KALANC TWEED</t>
  </si>
  <si>
    <t>001!0611862925100</t>
  </si>
  <si>
    <t>KALANC TWEED 22</t>
  </si>
  <si>
    <t>001!0611862926100</t>
  </si>
  <si>
    <t>KALANC TYLO</t>
  </si>
  <si>
    <t>001!0611862927100</t>
  </si>
  <si>
    <t>KALANC VEGA</t>
  </si>
  <si>
    <t>001!0611862928100</t>
  </si>
  <si>
    <t>KALANC VENIA</t>
  </si>
  <si>
    <t>001!0611862929100</t>
  </si>
  <si>
    <t>KALANC VILLOSA</t>
  </si>
  <si>
    <t>001!0611862930100</t>
  </si>
  <si>
    <t>KALANC WEAVER</t>
  </si>
  <si>
    <t>001!0611862931100</t>
  </si>
  <si>
    <t>KALANC WELCH</t>
  </si>
  <si>
    <t>001!0611862932100</t>
  </si>
  <si>
    <t>KALANC WEVANO</t>
  </si>
  <si>
    <t>001!0611862933100</t>
  </si>
  <si>
    <t>KALANC WHITES</t>
  </si>
  <si>
    <t>001!0611862934100</t>
  </si>
  <si>
    <t>KALANC WILIS</t>
  </si>
  <si>
    <t>001!0611862935100</t>
  </si>
  <si>
    <t>KALANC YORK</t>
  </si>
  <si>
    <t>001!0611862936100</t>
  </si>
  <si>
    <t>KALANC ZETA</t>
  </si>
  <si>
    <t>001!0611862937100</t>
  </si>
  <si>
    <t>KALE BLUE CURLED SCOTCH</t>
  </si>
  <si>
    <t>001!0611831813100</t>
  </si>
  <si>
    <t>KALE CHIDORI RED</t>
  </si>
  <si>
    <t>001!0611831832100</t>
  </si>
  <si>
    <t>KALE CHIDORI WHITE</t>
  </si>
  <si>
    <t>001!0611831833100</t>
  </si>
  <si>
    <t>KALE COLOR UP MIX</t>
  </si>
  <si>
    <t>001!0611831837100</t>
  </si>
  <si>
    <t>KALE COLOR UP PURPLE</t>
  </si>
  <si>
    <t>001!0611831838100</t>
  </si>
  <si>
    <t>KALE COLOR UP RED</t>
  </si>
  <si>
    <t>001!0611831839100</t>
  </si>
  <si>
    <t>KALE COLOR UP WHITE</t>
  </si>
  <si>
    <t>001!0611831840100</t>
  </si>
  <si>
    <t>KALE CORAL PRINCE</t>
  </si>
  <si>
    <t>001!0611831843100</t>
  </si>
  <si>
    <t>KALE CORAL QUEEN</t>
  </si>
  <si>
    <t>001!0611831844100</t>
  </si>
  <si>
    <t>KALE CRYSTAL DEEP RED</t>
  </si>
  <si>
    <t>001!0611857009100</t>
  </si>
  <si>
    <t>KALE CRYSTAL PINK</t>
  </si>
  <si>
    <t>001!0611857010100</t>
  </si>
  <si>
    <t>KALE CRYSTAL RED</t>
  </si>
  <si>
    <t>001!0611831845100</t>
  </si>
  <si>
    <t>KALE CRYSTAL SNOW</t>
  </si>
  <si>
    <t>001!0611831846100</t>
  </si>
  <si>
    <t>KALE EMPEROR RED</t>
  </si>
  <si>
    <t>001!0611831863100</t>
  </si>
  <si>
    <t>KALE GENERIC</t>
  </si>
  <si>
    <t>001!0611831897100</t>
  </si>
  <si>
    <t>KALE GLAMOUR RED</t>
  </si>
  <si>
    <t>001!0611831872100</t>
  </si>
  <si>
    <t>KALE KAMOME BRIGHT PINK</t>
  </si>
  <si>
    <t>001!0611857011100</t>
  </si>
  <si>
    <t>KALE KAMOME BRIGHT WHITE</t>
  </si>
  <si>
    <t>001!0611857012100</t>
  </si>
  <si>
    <t>KALE KAMOME PINK</t>
  </si>
  <si>
    <t>001!0611831898100</t>
  </si>
  <si>
    <t>KALE KAMOME RED</t>
  </si>
  <si>
    <t>001!0611831899100</t>
  </si>
  <si>
    <t>KALE KAMOME WHITE</t>
  </si>
  <si>
    <t>001!0611831900100</t>
  </si>
  <si>
    <t>KALE LACINATO</t>
  </si>
  <si>
    <t>001!0611831903100</t>
  </si>
  <si>
    <t>KALE NAGOYA MIX</t>
  </si>
  <si>
    <t>001!0611831913100</t>
  </si>
  <si>
    <t>KALE NAGOYA RED</t>
  </si>
  <si>
    <t>001!0611831914100</t>
  </si>
  <si>
    <t>KALE NAGOYA ROSE</t>
  </si>
  <si>
    <t>001!0611831915100</t>
  </si>
  <si>
    <t>KALE NAGOYA WHITE</t>
  </si>
  <si>
    <t>001!0611831916100</t>
  </si>
  <si>
    <t>KALE OSAKA IQ PINK BICOLOR</t>
  </si>
  <si>
    <t>001!0611857013100</t>
  </si>
  <si>
    <t>KALE OSAKA IQ RED</t>
  </si>
  <si>
    <t>001!0611831918100</t>
  </si>
  <si>
    <t>KALE OSAKA MIX</t>
  </si>
  <si>
    <t>001!0611831919100</t>
  </si>
  <si>
    <t>KALE OSAKA PINK</t>
  </si>
  <si>
    <t>001!0611831920100</t>
  </si>
  <si>
    <t>KALE OSAKA RED</t>
  </si>
  <si>
    <t>001!0611831921100</t>
  </si>
  <si>
    <t>KALE OSAKA WHITE</t>
  </si>
  <si>
    <t>001!0611831922100</t>
  </si>
  <si>
    <t>KALE PEACOCK RED</t>
  </si>
  <si>
    <t>001!0611831925100</t>
  </si>
  <si>
    <t>KALE PEACOCK WHITE</t>
  </si>
  <si>
    <t>001!0611831926100</t>
  </si>
  <si>
    <t>KALE PIGEON PURPLE</t>
  </si>
  <si>
    <t>001!0611831928100</t>
  </si>
  <si>
    <t>KALE PIGEON RED</t>
  </si>
  <si>
    <t>001!0611831929100</t>
  </si>
  <si>
    <t>KALE PIGEON VICTORIA</t>
  </si>
  <si>
    <t>001!0611831930100</t>
  </si>
  <si>
    <t>KALE PIGEON WHITE</t>
  </si>
  <si>
    <t>001!0611831931100</t>
  </si>
  <si>
    <t>KALE PINK GENERIC</t>
  </si>
  <si>
    <t>001!0611831933100</t>
  </si>
  <si>
    <t>KALE PRIZM</t>
  </si>
  <si>
    <t>001!0611831936100</t>
  </si>
  <si>
    <t>KALE RED GENERIC</t>
  </si>
  <si>
    <t>001!0611831943100</t>
  </si>
  <si>
    <t>KALE RED RUSSIAN</t>
  </si>
  <si>
    <t>001!0611831945100</t>
  </si>
  <si>
    <t>KALE REDBOR</t>
  </si>
  <si>
    <t>001!0611831947100</t>
  </si>
  <si>
    <t>KALE SCARLET KALE GENERIC</t>
  </si>
  <si>
    <t>001!0611831955100</t>
  </si>
  <si>
    <t>KALE SCARLETBOR</t>
  </si>
  <si>
    <t>001!0611831956100</t>
  </si>
  <si>
    <t>KALE SIMPLYSALAD STORM MIX</t>
  </si>
  <si>
    <t>001!0611831959025</t>
  </si>
  <si>
    <t>KALE SONGBIRD PINK</t>
  </si>
  <si>
    <t>001!0611831963100</t>
  </si>
  <si>
    <t>KALE SONGBIRD RED</t>
  </si>
  <si>
    <t>001!0611831964100</t>
  </si>
  <si>
    <t>KALE SONGBIRD WHITE</t>
  </si>
  <si>
    <t>001!0611831965100</t>
  </si>
  <si>
    <t>KALE STARBOR</t>
  </si>
  <si>
    <t>001!0611831966100</t>
  </si>
  <si>
    <t>KALE TOKYO RED</t>
  </si>
  <si>
    <t>001!0611831976100</t>
  </si>
  <si>
    <t>KALE WHITE KALE GENERIC</t>
  </si>
  <si>
    <t>001!0611831984100</t>
  </si>
  <si>
    <t>KALE WINTERBOR</t>
  </si>
  <si>
    <t>001!0611831986100</t>
  </si>
  <si>
    <t>KALE YOKOHAMA MIX</t>
  </si>
  <si>
    <t>001!0611831987100</t>
  </si>
  <si>
    <t>KALE YOKOHAMA RED</t>
  </si>
  <si>
    <t>001!0611831988100</t>
  </si>
  <si>
    <t>KALE YOKOHAMA WHITE</t>
  </si>
  <si>
    <t>001!0611831989100</t>
  </si>
  <si>
    <t>KNIPHO BORDER BALLET</t>
  </si>
  <si>
    <t>001!0611835906025</t>
  </si>
  <si>
    <t>KNIPHO FLAMENCO</t>
  </si>
  <si>
    <t>001!0611835907025</t>
  </si>
  <si>
    <t>KNIPHO GLOWSTICK</t>
  </si>
  <si>
    <t>001!0611857014025</t>
  </si>
  <si>
    <t>KNIPHO POCO CITRON</t>
  </si>
  <si>
    <t>001!0611835908025</t>
  </si>
  <si>
    <t>KNIPHO POCO ORANGE</t>
  </si>
  <si>
    <t>001!0611835909025</t>
  </si>
  <si>
    <t>KNIPHO POCO RED</t>
  </si>
  <si>
    <t>001!0611835910025</t>
  </si>
  <si>
    <t>KNIPHO RED HOT POKER GENERIC</t>
  </si>
  <si>
    <t>001!0611835912100</t>
  </si>
  <si>
    <t>001!0611835913025</t>
  </si>
  <si>
    <t>KOELER COOLIO</t>
  </si>
  <si>
    <t>001!0611835914025</t>
  </si>
  <si>
    <t>KOHLRA EARLY PURPLE VIENNA</t>
  </si>
  <si>
    <t>001!0611831857100</t>
  </si>
  <si>
    <t>KOHLRA EARLY WHITE VIENNA</t>
  </si>
  <si>
    <t>001!0611831859100</t>
  </si>
  <si>
    <t>KOHLRA GIANT STORAGE TYPE GNRC</t>
  </si>
  <si>
    <t>001!0611831871100</t>
  </si>
  <si>
    <t>KOHLRA GOURMET PURPLE</t>
  </si>
  <si>
    <t>001!0611831877100</t>
  </si>
  <si>
    <t>KOHLRA GOURMET WHITE</t>
  </si>
  <si>
    <t>001!0611831878100</t>
  </si>
  <si>
    <t>KOHLRA GRAND DUKE HYBRID</t>
  </si>
  <si>
    <t>001!0611831881100</t>
  </si>
  <si>
    <t>KOHLRA KONAN</t>
  </si>
  <si>
    <t>001!0611831902100</t>
  </si>
  <si>
    <t>KOHLRA QUICKSTAR</t>
  </si>
  <si>
    <t>001!0611831937100</t>
  </si>
  <si>
    <t>KOHLRA WINNER</t>
  </si>
  <si>
    <t>001!0611831985100</t>
  </si>
  <si>
    <t>KOMBO A TOUCH OF COLOR MIX</t>
  </si>
  <si>
    <t>001!0611862938050</t>
  </si>
  <si>
    <t>KOMBO ALL THAT GLITTERS</t>
  </si>
  <si>
    <t>001!0611862939050</t>
  </si>
  <si>
    <t>KOMBO BANANA PANCAKES MIX</t>
  </si>
  <si>
    <t>001!0611862940050</t>
  </si>
  <si>
    <t>KOMBO BANDANA LAVA FLOW MIX</t>
  </si>
  <si>
    <t>001!0611862941050</t>
  </si>
  <si>
    <t>KOMBO BANDANA LEMON MERING MX</t>
  </si>
  <si>
    <t>001!0611862942050</t>
  </si>
  <si>
    <t>KOMBO BANDANA LEMON SQUZE MX</t>
  </si>
  <si>
    <t>001!0611862943050</t>
  </si>
  <si>
    <t>KOMBO BANDANA TROP FRUIT MIX</t>
  </si>
  <si>
    <t>001!0611862944050</t>
  </si>
  <si>
    <t>KOMBO BANDOLISTA GO COCNTS MIX</t>
  </si>
  <si>
    <t>001!0611884276050</t>
  </si>
  <si>
    <t>KOMBO BANDOLISTA HOT CHILI MIX</t>
  </si>
  <si>
    <t>001!0611884277050</t>
  </si>
  <si>
    <t>KOMBO BEACH BOUND MIX</t>
  </si>
  <si>
    <t>001!0611862945050</t>
  </si>
  <si>
    <t>KOMBO BEACH BREEZE MIX</t>
  </si>
  <si>
    <t>001!0611862946050</t>
  </si>
  <si>
    <t>KOMBO BEACH BUM MIX</t>
  </si>
  <si>
    <t>001!0611862947050</t>
  </si>
  <si>
    <t>KOMBO BLUE BREEZE</t>
  </si>
  <si>
    <t>001!0611862948050</t>
  </si>
  <si>
    <t>KOMBO BLUE LIGHTNING MIX</t>
  </si>
  <si>
    <t>001!0611862949050</t>
  </si>
  <si>
    <t>KOMBO BLUE RIDGE MIX</t>
  </si>
  <si>
    <t>001!0611862950050</t>
  </si>
  <si>
    <t>KOMBO BLUEBERRY BLAST MIX</t>
  </si>
  <si>
    <t>001!0611884278050</t>
  </si>
  <si>
    <t>KOMBO BLUEBERRY TWIST</t>
  </si>
  <si>
    <t>001!0611862951050</t>
  </si>
  <si>
    <t>KOMBO BOMBAY SUM SPARKLER MIX</t>
  </si>
  <si>
    <t>001!0611862952050</t>
  </si>
  <si>
    <t>KOMBO BRIGHT SPOT MIX</t>
  </si>
  <si>
    <t>001!0611862953050</t>
  </si>
  <si>
    <t>KOMBO CABRIO LIFE IS A HGHWY M</t>
  </si>
  <si>
    <t>001!0611862954050</t>
  </si>
  <si>
    <t>KOMBO CABRIO RIDE ALONG MIX</t>
  </si>
  <si>
    <t>001!0611862955050</t>
  </si>
  <si>
    <t>KOMBO CABRIO ROAD TRIP MIX</t>
  </si>
  <si>
    <t>001!0611862956050</t>
  </si>
  <si>
    <t>KOMBO CABRIO SPEED LIMIT MIX</t>
  </si>
  <si>
    <t>001!0611862957050</t>
  </si>
  <si>
    <t>KOMBO CABRIO ZOOM ZOOM MIX</t>
  </si>
  <si>
    <t>001!0611862958050</t>
  </si>
  <si>
    <t>KOMBO CALLIE CITRUS FIRE MIX</t>
  </si>
  <si>
    <t>001!0611862959050</t>
  </si>
  <si>
    <t>KOMBO CALLIE COLOR WHEEL MIX</t>
  </si>
  <si>
    <t>001!0611862960050</t>
  </si>
  <si>
    <t>KOMBO CALLIE PINK BLISS MIX</t>
  </si>
  <si>
    <t>001!0611862961050</t>
  </si>
  <si>
    <t>KOMBO CARITA SUM BRY BLAST MX</t>
  </si>
  <si>
    <t>001!0611862962050</t>
  </si>
  <si>
    <t>KOMBO CHERRY BLOSSOM MIX</t>
  </si>
  <si>
    <t>001!0611862963050</t>
  </si>
  <si>
    <t>KOMBO CHLOES MIX</t>
  </si>
  <si>
    <t>001!0611862964050</t>
  </si>
  <si>
    <t>KOMBO CIAO BELLA MIX</t>
  </si>
  <si>
    <t>001!0611862965050</t>
  </si>
  <si>
    <t>KOMBO CIAO BELLA MIX LMTD</t>
  </si>
  <si>
    <t>001!0611862966050</t>
  </si>
  <si>
    <t>KOMBO CORAL KISSES MIX</t>
  </si>
  <si>
    <t>001!0611862967050</t>
  </si>
  <si>
    <t>KOMBO CRUSHED VELVET MIX</t>
  </si>
  <si>
    <t>001!0611862968050</t>
  </si>
  <si>
    <t>KOMBO CURB APPEAL</t>
  </si>
  <si>
    <t>001!0611862969050</t>
  </si>
  <si>
    <t>KOMBO DARLING PINK MIX</t>
  </si>
  <si>
    <t>001!0611862970050</t>
  </si>
  <si>
    <t>KOMBO DEKKO DARE DEVIL MIX</t>
  </si>
  <si>
    <t>001!0611862971050</t>
  </si>
  <si>
    <t>KOMBO DEKKO LAVENDER TWIST MIX</t>
  </si>
  <si>
    <t>001!0611884279050</t>
  </si>
  <si>
    <t>KOMBO DEKKO MOODY BLUES MIX</t>
  </si>
  <si>
    <t>001!0611862972050</t>
  </si>
  <si>
    <t>KOMBO DEKKO SALUTE MIX</t>
  </si>
  <si>
    <t>001!0611862973050</t>
  </si>
  <si>
    <t>KOMBO DEKKO STARFISH MIX</t>
  </si>
  <si>
    <t>001!0611862974050</t>
  </si>
  <si>
    <t>KOMBO EFFORTLESS BEAUTY MIX</t>
  </si>
  <si>
    <t>001!0611862975050</t>
  </si>
  <si>
    <t>KOMBO ENDLESS LOVE MIX</t>
  </si>
  <si>
    <t>001!0611862976050</t>
  </si>
  <si>
    <t>KOMBO FIRE/ICE MIX</t>
  </si>
  <si>
    <t>001!0611862977050</t>
  </si>
  <si>
    <t>KOMBO GRAND FINALE MIX</t>
  </si>
  <si>
    <t>001!0611862978050</t>
  </si>
  <si>
    <t>KOMBO GRAPE EXPECTATIONS</t>
  </si>
  <si>
    <t>001!0611862979050</t>
  </si>
  <si>
    <t>KOMBO HARVEST MOON MIX</t>
  </si>
  <si>
    <t>001!0611862980050</t>
  </si>
  <si>
    <t>KOMBO HOT TAMALE MIX</t>
  </si>
  <si>
    <t>001!0611862981050</t>
  </si>
  <si>
    <t>KOMBO I LIKE IT HOT</t>
  </si>
  <si>
    <t>001!0611862982050</t>
  </si>
  <si>
    <t>KOMBO IN A JAM MIX</t>
  </si>
  <si>
    <t>001!0611862983050</t>
  </si>
  <si>
    <t>KOMBO ISLAND IN THE SUN MIX</t>
  </si>
  <si>
    <t>001!0611862984050</t>
  </si>
  <si>
    <t>KOMBO ITSY BITSY MIX</t>
  </si>
  <si>
    <t>001!0611862985050</t>
  </si>
  <si>
    <t>KOMBO ITSY TRIFECTION MIX</t>
  </si>
  <si>
    <t>001!0611884280050</t>
  </si>
  <si>
    <t>KOMBO LEMON CHIFFON MIX</t>
  </si>
  <si>
    <t>001!0611862986050</t>
  </si>
  <si>
    <t>KOMBO LIGHT BRIGHT MIX</t>
  </si>
  <si>
    <t>001!0611862987050</t>
  </si>
  <si>
    <t>KOMBO LIL PIECE OF MY HRT MIX</t>
  </si>
  <si>
    <t>001!0611862988050</t>
  </si>
  <si>
    <t>KOMBO LOVE BIRD MIX</t>
  </si>
  <si>
    <t>001!0611862989050</t>
  </si>
  <si>
    <t>KOMBO LOVE POTION MIX</t>
  </si>
  <si>
    <t>001!0611862990050</t>
  </si>
  <si>
    <t>KOMBO MAI TAI MIX</t>
  </si>
  <si>
    <t>001!0611862991050</t>
  </si>
  <si>
    <t>KOMBO MAKIN ME BLUSH MIX</t>
  </si>
  <si>
    <t>001!0611862992050</t>
  </si>
  <si>
    <t>KOMBO MERMAID TAILS MIX</t>
  </si>
  <si>
    <t>001!0611862993050</t>
  </si>
  <si>
    <t>KOMBO MIDNIGHT MOON MIX</t>
  </si>
  <si>
    <t>001!0611862994050</t>
  </si>
  <si>
    <t>KOMBO MOMS CHOSEN ONE</t>
  </si>
  <si>
    <t>001!0611862995050</t>
  </si>
  <si>
    <t>KOMBO MOMS FAVORITE MIX</t>
  </si>
  <si>
    <t>001!0611862996050</t>
  </si>
  <si>
    <t>KOMBO NIGHT IN POMPEII MIX</t>
  </si>
  <si>
    <t>001!0611862997050</t>
  </si>
  <si>
    <t>KOMBO PALOMA MIX</t>
  </si>
  <si>
    <t>001!0611862998050</t>
  </si>
  <si>
    <t>KOMBO PATIO SELFIE</t>
  </si>
  <si>
    <t>001!0611862999050</t>
  </si>
  <si>
    <t>KOMBO PICOTEE PASSION MIX</t>
  </si>
  <si>
    <t>001!0611863000050</t>
  </si>
  <si>
    <t>KOMBO PINK FLAMINGO MIX</t>
  </si>
  <si>
    <t>001!0611863001050</t>
  </si>
  <si>
    <t>KOMBO PINK LEMONADE MIX</t>
  </si>
  <si>
    <t>001!0611863002050</t>
  </si>
  <si>
    <t>KOMBO PINK LIMEAIDE MIX</t>
  </si>
  <si>
    <t>001!0611863003050</t>
  </si>
  <si>
    <t>KOMBO PINK PATIO</t>
  </si>
  <si>
    <t>001!0611863004050</t>
  </si>
  <si>
    <t>KOMBO PINK PRISM MIX</t>
  </si>
  <si>
    <t>001!0611863005050</t>
  </si>
  <si>
    <t>KOMBO PLUM TASTIC MIX</t>
  </si>
  <si>
    <t>001!0611863006050</t>
  </si>
  <si>
    <t>TAG Kwik Kombo Plum-Tastic Mix 50/50 Petite Portrait SF FUL</t>
  </si>
  <si>
    <t>KOMBO POPS GOES THE COMBO MIX</t>
  </si>
  <si>
    <t>001!0611863007050</t>
  </si>
  <si>
    <t>KOMBO POWDER PUFF MIX</t>
  </si>
  <si>
    <t>001!0611863008050</t>
  </si>
  <si>
    <t>KOMBO PRIMARY PERFECTION MIX</t>
  </si>
  <si>
    <t>001!0611863009050</t>
  </si>
  <si>
    <t>KOMBO RAINY DAYS MIX</t>
  </si>
  <si>
    <t>001!0611863010050</t>
  </si>
  <si>
    <t>KOMBO ROCK N ROLL MIX</t>
  </si>
  <si>
    <t>001!0611863011050</t>
  </si>
  <si>
    <t>KOMBO ROCKETS RED GLARE MIX</t>
  </si>
  <si>
    <t>001!0611863012050</t>
  </si>
  <si>
    <t>KOMBO ROCKIES MIX</t>
  </si>
  <si>
    <t>001!0611863013050</t>
  </si>
  <si>
    <t>KOMBO ROCKY MOUNTAIN HIGH MIX</t>
  </si>
  <si>
    <t>001!0611863014050</t>
  </si>
  <si>
    <t>KOMBO ROSEWATER MIX</t>
  </si>
  <si>
    <t>001!0611863015050</t>
  </si>
  <si>
    <t>KOMBO ROYAL DUCHESS MIX</t>
  </si>
  <si>
    <t>001!0611863016050</t>
  </si>
  <si>
    <t>KOMBO ROYAL GOLD MIX</t>
  </si>
  <si>
    <t>001!0611863017050</t>
  </si>
  <si>
    <t>KOMBO SALSA MIX</t>
  </si>
  <si>
    <t>001!0611863018050</t>
  </si>
  <si>
    <t>KOMBO SANGRIA SUNSETS</t>
  </si>
  <si>
    <t>001!0611863019050</t>
  </si>
  <si>
    <t>KOMBO SANGRIA/SUNSETS MIX IMP</t>
  </si>
  <si>
    <t>001!0611863020050</t>
  </si>
  <si>
    <t>KOMBO SANGUNA MOODY BLUES MIX</t>
  </si>
  <si>
    <t>001!0611863021050</t>
  </si>
  <si>
    <t>KOMBO SANGUNA PUNK ROCK MIX</t>
  </si>
  <si>
    <t>001!0611863022050</t>
  </si>
  <si>
    <t>KOMBO SANGUNA SALUTE MIX</t>
  </si>
  <si>
    <t>001!0611863023050</t>
  </si>
  <si>
    <t>KOMBO SANGUNA SUM COOLER MIX</t>
  </si>
  <si>
    <t>001!0611863024050</t>
  </si>
  <si>
    <t>KOMBO SEA MONKEY MIX</t>
  </si>
  <si>
    <t>001!0611863025050</t>
  </si>
  <si>
    <t>KOMBO SEDONA MIX</t>
  </si>
  <si>
    <t>001!0611863026050</t>
  </si>
  <si>
    <t>KOMBO SOUTHWESTERN SUMMER MIX</t>
  </si>
  <si>
    <t>001!0611863027050</t>
  </si>
  <si>
    <t>KOMBO SPRING BREEZE MIC</t>
  </si>
  <si>
    <t>001!0611863028050</t>
  </si>
  <si>
    <t>KOMBO SPRING POP MIX</t>
  </si>
  <si>
    <t>001!0611863029050</t>
  </si>
  <si>
    <t>KOMBO SPRING SHOWERS MIX</t>
  </si>
  <si>
    <t>001!0611863030050</t>
  </si>
  <si>
    <t>KOMBO SPRING SUNSET MIX</t>
  </si>
  <si>
    <t>001!0611863031050</t>
  </si>
  <si>
    <t>KOMBO STRAWBRY DAIQUIRI MIX</t>
  </si>
  <si>
    <t>001!0611863032050</t>
  </si>
  <si>
    <t>KOMBO SUMMER JELLY MIX</t>
  </si>
  <si>
    <t>001!0611863033050</t>
  </si>
  <si>
    <t>KOMBO SUMMER TO REMEMBER</t>
  </si>
  <si>
    <t>001!0611863034050</t>
  </si>
  <si>
    <t>KOMBO SUMMERFUN MIX</t>
  </si>
  <si>
    <t>001!0611863035050</t>
  </si>
  <si>
    <t>KOMBO SUMMERS PROMISE</t>
  </si>
  <si>
    <t>001!0611863036050</t>
  </si>
  <si>
    <t>KOMBO SURFER CHICK MIX</t>
  </si>
  <si>
    <t>001!0611863037050</t>
  </si>
  <si>
    <t>KOMBO SWEET SIXTEEN MIX</t>
  </si>
  <si>
    <t>001!0611863038050</t>
  </si>
  <si>
    <t>KOMBO TEQUILA SUNRISE MIX</t>
  </si>
  <si>
    <t>001!0611863039050</t>
  </si>
  <si>
    <t>KOMBO THATS THE SPIRIT MIX</t>
  </si>
  <si>
    <t>001!0611863040050</t>
  </si>
  <si>
    <t>KOMBO THE RED CARPET MIX</t>
  </si>
  <si>
    <t>001!0611863041050</t>
  </si>
  <si>
    <t>KOMBO TOUCH OF CLASS MIX</t>
  </si>
  <si>
    <t>001!0611863042050</t>
  </si>
  <si>
    <t>KOMBO WALK OF STARS MIX</t>
  </si>
  <si>
    <t>001!0611863043050</t>
  </si>
  <si>
    <t>KOMBO WATER LILY MIX</t>
  </si>
  <si>
    <t>001!0611863044050</t>
  </si>
  <si>
    <t>KOMBO WINE DOWN MIX</t>
  </si>
  <si>
    <t>001!0611863045050</t>
  </si>
  <si>
    <t>KOMBO WISTERIA LANE MIX</t>
  </si>
  <si>
    <t>001!0611863046050</t>
  </si>
  <si>
    <t>KOMBO WORLDS FAIR MIX</t>
  </si>
  <si>
    <t>001!0611863047050</t>
  </si>
  <si>
    <t>LAGURU RABBIT TAIL</t>
  </si>
  <si>
    <t>001!0611835966100</t>
  </si>
  <si>
    <t>LAMIAS HERMANS PRIDE</t>
  </si>
  <si>
    <t>001!0611835967025</t>
  </si>
  <si>
    <t>001!0611863048100</t>
  </si>
  <si>
    <t>001!0611863049050</t>
  </si>
  <si>
    <t>LAMIAS VARIEGATUM GALEOBDOLON</t>
  </si>
  <si>
    <t>001!0611835968025</t>
  </si>
  <si>
    <t>LAMIUM ANNE GREENAWAY</t>
  </si>
  <si>
    <t>001!0611835969025</t>
  </si>
  <si>
    <t>001!0611863050100</t>
  </si>
  <si>
    <t>LAMIUM ANNE GREENAWAY LMTD</t>
  </si>
  <si>
    <t>001!0611863051050</t>
  </si>
  <si>
    <t>LAMIUM AUREUM</t>
  </si>
  <si>
    <t>001!0611863052050</t>
  </si>
  <si>
    <t>LAMIUM AUREUM MACULATUM</t>
  </si>
  <si>
    <t>001!0611835970025</t>
  </si>
  <si>
    <t>LAMIUM BEACON SILVER</t>
  </si>
  <si>
    <t>001!0611835972025</t>
  </si>
  <si>
    <t>001!0611863053100</t>
  </si>
  <si>
    <t>LAMIUM GHOST</t>
  </si>
  <si>
    <t>001!0611863054100</t>
  </si>
  <si>
    <t>LAMIUM GHOST LMTD</t>
  </si>
  <si>
    <t>001!0611863055050</t>
  </si>
  <si>
    <t>LAMIUM GHOST MACULATUM</t>
  </si>
  <si>
    <t>001!0611835973025</t>
  </si>
  <si>
    <t>LAMIUM GOLDEN ANNIVERSARY</t>
  </si>
  <si>
    <t>001!0611863056100</t>
  </si>
  <si>
    <t>LAMIUM LAMI DARK PPL MACULATUM</t>
  </si>
  <si>
    <t>001!0611835974100</t>
  </si>
  <si>
    <t>001!0611835975025</t>
  </si>
  <si>
    <t>LAMIUM LAMI MEGA PPL MACULATUM</t>
  </si>
  <si>
    <t>001!0611835976100</t>
  </si>
  <si>
    <t>LAMIUM LAMIUM GNRC MACULATUM</t>
  </si>
  <si>
    <t>001!0611835977100</t>
  </si>
  <si>
    <t>LAMIUM LEMON FROST MACULATUM</t>
  </si>
  <si>
    <t>001!0611835979025</t>
  </si>
  <si>
    <t>LAMIUM ORCHID FROST</t>
  </si>
  <si>
    <t>001!0611863057100</t>
  </si>
  <si>
    <t>LAMIUM ORCHID FROST GOLD</t>
  </si>
  <si>
    <t>001!0611863058100</t>
  </si>
  <si>
    <t>LAMIUM ORCHID FROST GRANDE</t>
  </si>
  <si>
    <t>001!0611863059100</t>
  </si>
  <si>
    <t>LAMIUM ORCHID FROST LMTD</t>
  </si>
  <si>
    <t>001!0611863060050</t>
  </si>
  <si>
    <t>LAMIUM ORCHID FROST MACULATUM</t>
  </si>
  <si>
    <t>001!0611835980100</t>
  </si>
  <si>
    <t>001!0611835981025</t>
  </si>
  <si>
    <t>LAMIUM PINK PEWTER</t>
  </si>
  <si>
    <t>001!0611835983025</t>
  </si>
  <si>
    <t>001!0611863061100</t>
  </si>
  <si>
    <t>LAMIUM PURPLE DRAGON</t>
  </si>
  <si>
    <t>001!0611835984025</t>
  </si>
  <si>
    <t>001!0611863062100</t>
  </si>
  <si>
    <t>LAMIUM RED NANCY</t>
  </si>
  <si>
    <t>001!0611835985025</t>
  </si>
  <si>
    <t>001!0611863063100</t>
  </si>
  <si>
    <t>LAMIUM SHELL PINK MACULATUM</t>
  </si>
  <si>
    <t>001!0611835986025</t>
  </si>
  <si>
    <t>LAMIUM WHITE NANCY</t>
  </si>
  <si>
    <t>001!0611835988025</t>
  </si>
  <si>
    <t>001!0611863064100</t>
  </si>
  <si>
    <t>LAMPRA ICE PLANT GENERIC</t>
  </si>
  <si>
    <t>001!0611835989100</t>
  </si>
  <si>
    <t>LANTAN BANDANA BLACK CHERRY</t>
  </si>
  <si>
    <t>001!0611863065050</t>
  </si>
  <si>
    <t>LANTAN BANDANA CHERRY</t>
  </si>
  <si>
    <t>001!0611863066050</t>
  </si>
  <si>
    <t>LANTAN BANDANA CHERRY SUNRISE</t>
  </si>
  <si>
    <t>001!0611863067050</t>
  </si>
  <si>
    <t>LANTAN BANDANA GOLD</t>
  </si>
  <si>
    <t>001!0611863068050</t>
  </si>
  <si>
    <t>LANTAN BANDANA LEMON ZEST</t>
  </si>
  <si>
    <t>001!0611863069050</t>
  </si>
  <si>
    <t>LANTAN BANDANA MANGO</t>
  </si>
  <si>
    <t>001!0611863070050</t>
  </si>
  <si>
    <t>LANTAN BANDANA ORANGE</t>
  </si>
  <si>
    <t>001!0611863071050</t>
  </si>
  <si>
    <t>LANTAN BANDANA PEACH</t>
  </si>
  <si>
    <t>001!0611863072050</t>
  </si>
  <si>
    <t>LANTAN BANDANA PINK</t>
  </si>
  <si>
    <t>001!0611863073050</t>
  </si>
  <si>
    <t>LANTAN BANDANA RED</t>
  </si>
  <si>
    <t>001!0611863074050</t>
  </si>
  <si>
    <t>LANTAN BANDANA ROSE</t>
  </si>
  <si>
    <t>001!0611863075050</t>
  </si>
  <si>
    <t>LANTAN BANDANA WHITE IMP</t>
  </si>
  <si>
    <t>001!0611863076050</t>
  </si>
  <si>
    <t>LANTAN BANDANA YELLOW IMP</t>
  </si>
  <si>
    <t>001!0611863078050</t>
  </si>
  <si>
    <t>LANTAN BANDITO GOLD</t>
  </si>
  <si>
    <t>001!0611863080050</t>
  </si>
  <si>
    <t>LANTAN BANDITO LEMON ZEST</t>
  </si>
  <si>
    <t>001!0611863081050</t>
  </si>
  <si>
    <t>LANTAN BANDITO ORANGE SUNRISE</t>
  </si>
  <si>
    <t>001!0611863082050</t>
  </si>
  <si>
    <t>LANTAN BANDITO RED</t>
  </si>
  <si>
    <t>001!0611863083050</t>
  </si>
  <si>
    <t>LANTAN BANDITO ROSE</t>
  </si>
  <si>
    <t>001!0611863084050</t>
  </si>
  <si>
    <t>LANTAN BANDITO WHITE</t>
  </si>
  <si>
    <t>001!0611863085050</t>
  </si>
  <si>
    <t>LANTAN BANDITO YELLOW</t>
  </si>
  <si>
    <t>001!0611863086050</t>
  </si>
  <si>
    <t>LANTAN BANDOLERO CHRY SUNRISE</t>
  </si>
  <si>
    <t>001!0611863087050</t>
  </si>
  <si>
    <t>LANTAN BANDOLERO GUAVA</t>
  </si>
  <si>
    <t>001!0611863088050</t>
  </si>
  <si>
    <t>LANTAN BANDOLERO LEMON</t>
  </si>
  <si>
    <t>001!0611884281050</t>
  </si>
  <si>
    <t>LANTAN BANDOLERO LYCHEE</t>
  </si>
  <si>
    <t>001!0611863089050</t>
  </si>
  <si>
    <t>LANTAN BANDOLERO PINEAPPLE</t>
  </si>
  <si>
    <t>001!0611863090050</t>
  </si>
  <si>
    <t>LANTAN BANDOLERO PINK</t>
  </si>
  <si>
    <t>001!0611863091050</t>
  </si>
  <si>
    <t>LANTAN BANDOLERO RED</t>
  </si>
  <si>
    <t>001!0611863092050</t>
  </si>
  <si>
    <t>LANTAN BANDOLERO WHITE IMP</t>
  </si>
  <si>
    <t>001!0611863093050</t>
  </si>
  <si>
    <t>LANTAN BANDOLISTA COCONUT</t>
  </si>
  <si>
    <t>001!0611863094050</t>
  </si>
  <si>
    <t>LANTAN BANDOLISTA MANGO</t>
  </si>
  <si>
    <t>001!0611863095050</t>
  </si>
  <si>
    <t>LANTAN BANDOLISTA PINEAPPLE</t>
  </si>
  <si>
    <t>001!0611863096050</t>
  </si>
  <si>
    <t>LANTAN BANDOLISTA RED CHILI</t>
  </si>
  <si>
    <t>001!0611863097050</t>
  </si>
  <si>
    <t>LANTAN BICOLOR GENERIC</t>
  </si>
  <si>
    <t>001!0611835994100</t>
  </si>
  <si>
    <t>LANTAN CARLOS</t>
  </si>
  <si>
    <t>001!0611835995100</t>
  </si>
  <si>
    <t>LANTAN CHAPEL HILL GOLD</t>
  </si>
  <si>
    <t>001!0611863098050</t>
  </si>
  <si>
    <t>LANTAN CHAPEL HILL PINK HUFF</t>
  </si>
  <si>
    <t>001!0611863099050</t>
  </si>
  <si>
    <t>LANTAN CHAPEL HILL YELLOW</t>
  </si>
  <si>
    <t>001!0611863100050</t>
  </si>
  <si>
    <t>LANTAN CONFETTI</t>
  </si>
  <si>
    <t>001!0611835996100</t>
  </si>
  <si>
    <t>001!0611863101050</t>
  </si>
  <si>
    <t>LANTAN DALLAS RED</t>
  </si>
  <si>
    <t>001!0611835997100</t>
  </si>
  <si>
    <t>001!0611863102050</t>
  </si>
  <si>
    <t>LANTAN EVITA SERIES</t>
  </si>
  <si>
    <t>001!0611835998100</t>
  </si>
  <si>
    <t>LANTAN FUEGO SERIES</t>
  </si>
  <si>
    <t>001!0611857015100</t>
  </si>
  <si>
    <t>LANTAN GEM SERIES</t>
  </si>
  <si>
    <t>001!0611836000100</t>
  </si>
  <si>
    <t>LANTAN GNRC BLNGL DSIGN</t>
  </si>
  <si>
    <t>001!0611836001100</t>
  </si>
  <si>
    <t>LANTAN GOLD</t>
  </si>
  <si>
    <t>001!0611836002100</t>
  </si>
  <si>
    <t>LANTAN GOLD MOUND</t>
  </si>
  <si>
    <t>001!0611836003100</t>
  </si>
  <si>
    <t>LANTAN HAVANA CHERRY</t>
  </si>
  <si>
    <t>001!0611863103050</t>
  </si>
  <si>
    <t>LANTAN HAVANA FULL MOON</t>
  </si>
  <si>
    <t>001!0611863104050</t>
  </si>
  <si>
    <t>LANTAN HAVANA GOLD</t>
  </si>
  <si>
    <t>001!0611863105050</t>
  </si>
  <si>
    <t>LANTAN HAVANA HARVEST MOON</t>
  </si>
  <si>
    <t>001!0611863106050</t>
  </si>
  <si>
    <t>LANTAN HAVANA LIGHTS</t>
  </si>
  <si>
    <t>001!0611863107050</t>
  </si>
  <si>
    <t>LANTAN HAVANA NIGHTS</t>
  </si>
  <si>
    <t>001!0611863108050</t>
  </si>
  <si>
    <t>LANTAN HAVANA PINK SKY</t>
  </si>
  <si>
    <t>001!0611863109050</t>
  </si>
  <si>
    <t>LANTAN HAVANA RED SKY</t>
  </si>
  <si>
    <t>001!0611863110050</t>
  </si>
  <si>
    <t>LANTAN HAVANA SKY</t>
  </si>
  <si>
    <t>001!0611863111050</t>
  </si>
  <si>
    <t>LANTAN HAVANA STREETS</t>
  </si>
  <si>
    <t>001!0611863112050</t>
  </si>
  <si>
    <t>LANTAN HAVANA SUMMER</t>
  </si>
  <si>
    <t>001!0611863113050</t>
  </si>
  <si>
    <t>LANTAN HAVANA SUNRISE</t>
  </si>
  <si>
    <t>001!0611863114050</t>
  </si>
  <si>
    <t>LANTAN HAVANA SUNSET</t>
  </si>
  <si>
    <t>001!0611863115050</t>
  </si>
  <si>
    <t>LANTAN HAVANA SUNSHINE</t>
  </si>
  <si>
    <t>001!0611863116050</t>
  </si>
  <si>
    <t>LANTAN HAVANA YELLOW</t>
  </si>
  <si>
    <t>001!0611863117050</t>
  </si>
  <si>
    <t>LANTAN HEARTLAND BLUE MOON</t>
  </si>
  <si>
    <t>001!0611863118050</t>
  </si>
  <si>
    <t>LANTAN HEARTLAND CITRUS</t>
  </si>
  <si>
    <t>001!0611863119050</t>
  </si>
  <si>
    <t>LANTAN HEARTLAND NEON</t>
  </si>
  <si>
    <t>001!0611863120050</t>
  </si>
  <si>
    <t>LANTAN HEARTLAND ORANGE</t>
  </si>
  <si>
    <t>001!0611863121050</t>
  </si>
  <si>
    <t>LANTAN HEARTLAND PINK SUNSET</t>
  </si>
  <si>
    <t>001!0611863123050</t>
  </si>
  <si>
    <t>LANTAN HEARTLAND REALLY RED</t>
  </si>
  <si>
    <t>001!0611863124050</t>
  </si>
  <si>
    <t>LANTAN HEARTLAND RED</t>
  </si>
  <si>
    <t>001!0611863125050</t>
  </si>
  <si>
    <t>LANTAN HEARTLAND SUNRISE</t>
  </si>
  <si>
    <t>001!0611863126050</t>
  </si>
  <si>
    <t>LANTAN HEARTLAND WHITE</t>
  </si>
  <si>
    <t>001!0611863127050</t>
  </si>
  <si>
    <t>LANTAN HOT BLOODED RED</t>
  </si>
  <si>
    <t>001!0611863128050</t>
  </si>
  <si>
    <t>LANTAN IRENE</t>
  </si>
  <si>
    <t>001!0611836004100</t>
  </si>
  <si>
    <t>LANTAN LANDSCAPE BANDANA CLMNT</t>
  </si>
  <si>
    <t>001!0611863129050</t>
  </si>
  <si>
    <t>LANTAN LANDSCAPE BANDANA GOLD</t>
  </si>
  <si>
    <t>001!0611863130050</t>
  </si>
  <si>
    <t>LANTAN LANDSCAPE BANDANA PINK</t>
  </si>
  <si>
    <t>001!0611863131050</t>
  </si>
  <si>
    <t>LANTAN LANDSCAPE BANDANA RED</t>
  </si>
  <si>
    <t>001!0611863132050</t>
  </si>
  <si>
    <t>LANTAN LANDSCAPE BANDANA YELL</t>
  </si>
  <si>
    <t>001!0611863133050</t>
  </si>
  <si>
    <t>LANTAN LANDSCAPE BANDN LMN ZST</t>
  </si>
  <si>
    <t>001!0611863134050</t>
  </si>
  <si>
    <t>LANTAN LANTANA GENERIC</t>
  </si>
  <si>
    <t>001!0611836005100</t>
  </si>
  <si>
    <t>LANTAN MISS HUFF</t>
  </si>
  <si>
    <t>001!0611836006100</t>
  </si>
  <si>
    <t>001!0611863135050</t>
  </si>
  <si>
    <t>LANTAN NEW GOLD</t>
  </si>
  <si>
    <t>001!0611863136050</t>
  </si>
  <si>
    <t>LANTAN ORANGE GENERIC</t>
  </si>
  <si>
    <t>001!0611836009100</t>
  </si>
  <si>
    <t>LANTAN PINK CAPRICE</t>
  </si>
  <si>
    <t>001!0611836010100</t>
  </si>
  <si>
    <t>LANTAN PINK GENERIC</t>
  </si>
  <si>
    <t>001!0611836011100</t>
  </si>
  <si>
    <t>LANTAN RADIATION</t>
  </si>
  <si>
    <t>001!0611836012100</t>
  </si>
  <si>
    <t>LANTAN RED GENERIC</t>
  </si>
  <si>
    <t>001!0611836013100</t>
  </si>
  <si>
    <t>LANTAN SAMANTHA</t>
  </si>
  <si>
    <t>001!0611836014100</t>
  </si>
  <si>
    <t>LANTAN SILVER MOUND</t>
  </si>
  <si>
    <t>001!0611836017100</t>
  </si>
  <si>
    <t>LANTAN SPREADING SUNSET</t>
  </si>
  <si>
    <t>001!0611836018100</t>
  </si>
  <si>
    <t>001!0611836019025</t>
  </si>
  <si>
    <t>001!0611863137050</t>
  </si>
  <si>
    <t>LANTAN SUNDANCE PINK</t>
  </si>
  <si>
    <t>001!0611857016100</t>
  </si>
  <si>
    <t>LANTAN SUNDANCE RED</t>
  </si>
  <si>
    <t>001!0611836020100</t>
  </si>
  <si>
    <t>LANTAN SUNDANCE WHITE</t>
  </si>
  <si>
    <t>001!0611836021100</t>
  </si>
  <si>
    <t>LANTAN SUNDANCE YELLOW</t>
  </si>
  <si>
    <t>001!0611836022100</t>
  </si>
  <si>
    <t>LANTAN TRL LAV GENERIC</t>
  </si>
  <si>
    <t>001!0611836024100</t>
  </si>
  <si>
    <t>LANTAN TRL LAVENDER</t>
  </si>
  <si>
    <t>001!0611863138050</t>
  </si>
  <si>
    <t>LANTAN TRL PURPLE GENERIC</t>
  </si>
  <si>
    <t>001!0611836025100</t>
  </si>
  <si>
    <t>LANTAN TRL WHITE</t>
  </si>
  <si>
    <t>001!0611863139050</t>
  </si>
  <si>
    <t>LANTAN TRL WHITE GENERIC</t>
  </si>
  <si>
    <t>001!0611836026100</t>
  </si>
  <si>
    <t>LANTAN UPRIGHT GENERIC</t>
  </si>
  <si>
    <t>001!0611836027100</t>
  </si>
  <si>
    <t>LANTAN WHITE GENERIC</t>
  </si>
  <si>
    <t>001!0611836028100</t>
  </si>
  <si>
    <t>LANTAN YELLOW GENERIC</t>
  </si>
  <si>
    <t>001!0611836029100</t>
  </si>
  <si>
    <t>LARKSP GENERIC</t>
  </si>
  <si>
    <t>001!0611833296100</t>
  </si>
  <si>
    <t>LARKSP IMPERIAL GIANTS</t>
  </si>
  <si>
    <t>001!0611833295100</t>
  </si>
  <si>
    <t>LATHYR COMPACT GENERIC</t>
  </si>
  <si>
    <t>001!0611836030100</t>
  </si>
  <si>
    <t>LATHYR INCENSE MIX</t>
  </si>
  <si>
    <t>001!0611836031100</t>
  </si>
  <si>
    <t>LATHYR MIX LATIFOLIUS</t>
  </si>
  <si>
    <t>001!0611836032025</t>
  </si>
  <si>
    <t>LATHYR ROYAL MIX</t>
  </si>
  <si>
    <t>001!0611836033100</t>
  </si>
  <si>
    <t>LATHYR SWEET PEA GENERIC</t>
  </si>
  <si>
    <t>001!0611836034100</t>
  </si>
  <si>
    <t>LAUREN BL STAR CREEPER</t>
  </si>
  <si>
    <t>001!0611836035100</t>
  </si>
  <si>
    <t>001!0611836036025</t>
  </si>
  <si>
    <t>LAUREN GEMINI BLUE</t>
  </si>
  <si>
    <t>001!0611836037100</t>
  </si>
  <si>
    <t>LAUREN GEMINI PINK</t>
  </si>
  <si>
    <t>001!0611836038100</t>
  </si>
  <si>
    <t>LAUREN LAURENTIA GENERIC</t>
  </si>
  <si>
    <t>001!0611836039100</t>
  </si>
  <si>
    <t>LAUREN STARSHINE BLUE</t>
  </si>
  <si>
    <t>001!0611836040100</t>
  </si>
  <si>
    <t>LAUREN WH STAR CREEPER</t>
  </si>
  <si>
    <t>001!0611836043025</t>
  </si>
  <si>
    <t>LAVAND ANNT ANGUSTIFOLIA</t>
  </si>
  <si>
    <t>001!0611835027025</t>
  </si>
  <si>
    <t>LAVAND ANOUK</t>
  </si>
  <si>
    <t>001!0611835028025</t>
  </si>
  <si>
    <t>001!0611863140100</t>
  </si>
  <si>
    <t>LAVAND ANOUK DEEP ROSE</t>
  </si>
  <si>
    <t>001!0611835031025</t>
  </si>
  <si>
    <t>LAVAND ANOUK DOUBLE</t>
  </si>
  <si>
    <t>001!0611835030025</t>
  </si>
  <si>
    <t>LAVAND ANOUK LMTD</t>
  </si>
  <si>
    <t>001!0611863141050</t>
  </si>
  <si>
    <t>LAVAND ANOUK PURPLE MEDLEY</t>
  </si>
  <si>
    <t>001!0611884282025</t>
  </si>
  <si>
    <t>LAVAND ANOUK SILVER</t>
  </si>
  <si>
    <t>001!0611835032025</t>
  </si>
  <si>
    <t>LAVAND ANOUK STOECHAS</t>
  </si>
  <si>
    <t>001!0611856974025</t>
  </si>
  <si>
    <t>LAVAND ANOUK SUPREME</t>
  </si>
  <si>
    <t>001!0611835033025</t>
  </si>
  <si>
    <t>LAVAND ANOUK TWILIGHT</t>
  </si>
  <si>
    <t>001!0611884283025</t>
  </si>
  <si>
    <t>LAVAND ARIEL PPL</t>
  </si>
  <si>
    <t>001!0611835035025</t>
  </si>
  <si>
    <t>LAVAND AROMATICO BL</t>
  </si>
  <si>
    <t>001!0611835036025</t>
  </si>
  <si>
    <t>LAVAND AROMATICO BLUE IMP</t>
  </si>
  <si>
    <t>001!0611863142050</t>
  </si>
  <si>
    <t>LAVAND AVIGNON EARLY BLUE</t>
  </si>
  <si>
    <t>001!0611835037025</t>
  </si>
  <si>
    <t>LAVAND BANDERA DP PPL</t>
  </si>
  <si>
    <t>001!0611835038100</t>
  </si>
  <si>
    <t>001!0611835039025</t>
  </si>
  <si>
    <t>LAVAND BANDERA DP RS</t>
  </si>
  <si>
    <t>001!0611835040100</t>
  </si>
  <si>
    <t>001!0611835041025</t>
  </si>
  <si>
    <t>LAVAND BANDERA PINK</t>
  </si>
  <si>
    <t>001!0611835042100</t>
  </si>
  <si>
    <t>001!0611835043025</t>
  </si>
  <si>
    <t>LAVAND BANDERA PURPLE</t>
  </si>
  <si>
    <t>001!0611835044100</t>
  </si>
  <si>
    <t>001!0611835045025</t>
  </si>
  <si>
    <t>LAVAND BEEZEE DARK BLUE</t>
  </si>
  <si>
    <t>001!0611884284025</t>
  </si>
  <si>
    <t>LAVAND BEEZEE PINK</t>
  </si>
  <si>
    <t>001!0611884285025</t>
  </si>
  <si>
    <t>LAVAND BEEZEE WHITE</t>
  </si>
  <si>
    <t>001!0611884286025</t>
  </si>
  <si>
    <t>LAVAND BIG TIME BLUE</t>
  </si>
  <si>
    <t>001!0611835046025</t>
  </si>
  <si>
    <t>001!0611863143100</t>
  </si>
  <si>
    <t>LAVAND BLUE JEANS</t>
  </si>
  <si>
    <t>001!0611863144100</t>
  </si>
  <si>
    <t>LAVAND BLUE SPEAR</t>
  </si>
  <si>
    <t>001!0611835047025</t>
  </si>
  <si>
    <t>LAVAND BLUE SPIRIT PURPLE BLUE</t>
  </si>
  <si>
    <t>001!0611863145050</t>
  </si>
  <si>
    <t>LAVAND CASTILLIANO 2.0 WH</t>
  </si>
  <si>
    <t>001!0611835052025</t>
  </si>
  <si>
    <t>LAVAND CASTILLIANO 2.O LLC</t>
  </si>
  <si>
    <t>001!0611835049025</t>
  </si>
  <si>
    <t>LAVAND CASTILLIANO 2.O RS</t>
  </si>
  <si>
    <t>001!0611835051025</t>
  </si>
  <si>
    <t>LAVAND CASTILLIANO VLT</t>
  </si>
  <si>
    <t>001!0611835053025</t>
  </si>
  <si>
    <t>LAVAND CHILL OUT BLUE</t>
  </si>
  <si>
    <t>001!0611884287025</t>
  </si>
  <si>
    <t>LAVAND DENTATA FRENCH</t>
  </si>
  <si>
    <t>001!0611863146100</t>
  </si>
  <si>
    <t>LAVAND DILLY DILLY INTRMD</t>
  </si>
  <si>
    <t>001!0611835054025</t>
  </si>
  <si>
    <t>LAVAND EDELWEISS</t>
  </si>
  <si>
    <t>001!0611884288025</t>
  </si>
  <si>
    <t>LAVAND ELLAGANCE ICE</t>
  </si>
  <si>
    <t>001!0611835055025</t>
  </si>
  <si>
    <t>LAVAND ELLAGANCE PINK</t>
  </si>
  <si>
    <t>001!0611835056025</t>
  </si>
  <si>
    <t>LAVAND ELLAGANCE PURPLE</t>
  </si>
  <si>
    <t>001!0611835057025</t>
  </si>
  <si>
    <t>LAVAND ELLAGANCE SKY</t>
  </si>
  <si>
    <t>001!0611835059025</t>
  </si>
  <si>
    <t>LAVAND ELLAGANCE SNOW</t>
  </si>
  <si>
    <t>001!0611835060025</t>
  </si>
  <si>
    <t>LAVAND ENGLISH</t>
  </si>
  <si>
    <t>001!0611835061100</t>
  </si>
  <si>
    <t>LAVAND ENGLISH GNRC</t>
  </si>
  <si>
    <t>001!0611835062025</t>
  </si>
  <si>
    <t>LAVAND FERNLEAF</t>
  </si>
  <si>
    <t>001!0611835064100</t>
  </si>
  <si>
    <t>LAVAND FRED BOUTIN</t>
  </si>
  <si>
    <t>001!0611835065100</t>
  </si>
  <si>
    <t>LAVAND FRENCH LAV GNRC</t>
  </si>
  <si>
    <t>001!0611835066025</t>
  </si>
  <si>
    <t>LAVAND FRENCH SPANISH</t>
  </si>
  <si>
    <t>001!0611836046100</t>
  </si>
  <si>
    <t>LAVAND GOODWIN CREEK</t>
  </si>
  <si>
    <t>001!0611835068025</t>
  </si>
  <si>
    <t>001!0611863147100</t>
  </si>
  <si>
    <t>LAVAND GOODWIN CREEK LMTD</t>
  </si>
  <si>
    <t>001!0611863148050</t>
  </si>
  <si>
    <t>LAVAND GROSSO</t>
  </si>
  <si>
    <t>001!0611835070025</t>
  </si>
  <si>
    <t>001!0611863149100</t>
  </si>
  <si>
    <t>001!0611863150050</t>
  </si>
  <si>
    <t>LAVAND HIDCOTE</t>
  </si>
  <si>
    <t>001!0611835071100</t>
  </si>
  <si>
    <t>LAVAND HIDCOTE BLUE</t>
  </si>
  <si>
    <t>001!0611835072025</t>
  </si>
  <si>
    <t>001!0611863151100</t>
  </si>
  <si>
    <t>LAVAND HIDCOTE IOR</t>
  </si>
  <si>
    <t>001!0611835073025</t>
  </si>
  <si>
    <t>LAVAND IMPERIAL</t>
  </si>
  <si>
    <t>001!0611863152050</t>
  </si>
  <si>
    <t>LAVAND JAVELIN COMP PURP</t>
  </si>
  <si>
    <t>001!0611856975025</t>
  </si>
  <si>
    <t>LAVAND JAVELIN FORTE DEEP PURP</t>
  </si>
  <si>
    <t>001!0611863153050</t>
  </si>
  <si>
    <t>LAVAND JAVELIN FORTE DEEP ROSE</t>
  </si>
  <si>
    <t>001!0611863154050</t>
  </si>
  <si>
    <t>LAVAND JAVELIN FORTE ROSE</t>
  </si>
  <si>
    <t>001!0611863155050</t>
  </si>
  <si>
    <t>LAVAND JAVELIN FORTE WH</t>
  </si>
  <si>
    <t>001!0611835076025</t>
  </si>
  <si>
    <t>LAVAND JAVELIN FORTE WHITE IMP</t>
  </si>
  <si>
    <t>001!0611863156050</t>
  </si>
  <si>
    <t>LAVAND JAVELIN FRT DP PPL</t>
  </si>
  <si>
    <t>001!0611835074025</t>
  </si>
  <si>
    <t>LAVAND JAVELIN FRT DP RS</t>
  </si>
  <si>
    <t>001!0611835075025</t>
  </si>
  <si>
    <t>LAVAND LA DIVA BIG NIGHT</t>
  </si>
  <si>
    <t>001!0611863157100</t>
  </si>
  <si>
    <t>LAVAND LA DIVA ETERNAL ELEGAN</t>
  </si>
  <si>
    <t>001!0611863158100</t>
  </si>
  <si>
    <t>LAVAND LA DIVA IMPERIAL</t>
  </si>
  <si>
    <t>001!0611863160100</t>
  </si>
  <si>
    <t>LAVAND LA DIVA IMPERIAL EARLY</t>
  </si>
  <si>
    <t>001!0611884289100</t>
  </si>
  <si>
    <t>LAVAND LA DIVA PAPILLION PURP</t>
  </si>
  <si>
    <t>001!0611863161100</t>
  </si>
  <si>
    <t>LAVAND LA DIVA PAPILLION ROSE</t>
  </si>
  <si>
    <t>001!0611863162100</t>
  </si>
  <si>
    <t>LAVAND LA DIVA PAPLN DP RS LMT</t>
  </si>
  <si>
    <t>001!0611863163100</t>
  </si>
  <si>
    <t>LAVAND LA DIVA PAPLN LT RS LMT</t>
  </si>
  <si>
    <t>001!0611863164100</t>
  </si>
  <si>
    <t>LAVAND LA DIVA SPIRIT DP BLUE</t>
  </si>
  <si>
    <t>001!0611863165100</t>
  </si>
  <si>
    <t>LAVAND LA DIVA SPIRIT DP PURP</t>
  </si>
  <si>
    <t>001!0611863166100</t>
  </si>
  <si>
    <t>LAVAND LA DIVA SPIRIT PURP BL</t>
  </si>
  <si>
    <t>001!0611863167100</t>
  </si>
  <si>
    <t>LAVAND LA DIVA SPIRIT WHITE</t>
  </si>
  <si>
    <t>001!0611863168100</t>
  </si>
  <si>
    <t>LAVAND LA DIVA VINTAGE VIOLET</t>
  </si>
  <si>
    <t>001!0611863159100</t>
  </si>
  <si>
    <t>LAVAND LADY</t>
  </si>
  <si>
    <t>001!0611835078100</t>
  </si>
  <si>
    <t>LAVAND LAVANCE DP PURPLE</t>
  </si>
  <si>
    <t>001!0611835079025</t>
  </si>
  <si>
    <t>LAVAND LAVANCE SERIES</t>
  </si>
  <si>
    <t>001!0611835080025</t>
  </si>
  <si>
    <t>LAVAND LAVANDER GENERIC</t>
  </si>
  <si>
    <t>001!0611835082100</t>
  </si>
  <si>
    <t>001!0611835083025</t>
  </si>
  <si>
    <t>LAVAND LAVEANNA SERIES</t>
  </si>
  <si>
    <t>001!0611835081100</t>
  </si>
  <si>
    <t>LAVAND LAVISH PURP FROST</t>
  </si>
  <si>
    <t>001!0611856976025</t>
  </si>
  <si>
    <t>LAVAND LAVLOV SERIES</t>
  </si>
  <si>
    <t>001!0611884290100</t>
  </si>
  <si>
    <t>LAVAND LAYLA BLUE ANGUST</t>
  </si>
  <si>
    <t>001!0611835084025</t>
  </si>
  <si>
    <t>LAVAND LAYLA PRESTO BLUE</t>
  </si>
  <si>
    <t>001!0611884291025</t>
  </si>
  <si>
    <t>LAVAND LUXURIOUS BRGHT</t>
  </si>
  <si>
    <t>001!0611835087025</t>
  </si>
  <si>
    <t>LAVAND MADRID BLUE</t>
  </si>
  <si>
    <t>001!0611835088025</t>
  </si>
  <si>
    <t>LAVAND MADRID LAVISH PK</t>
  </si>
  <si>
    <t>001!0611835089025</t>
  </si>
  <si>
    <t>LAVAND MADRID LAVISH PPL</t>
  </si>
  <si>
    <t>001!0611835090025</t>
  </si>
  <si>
    <t>LAVAND MADRID LAVISH WH</t>
  </si>
  <si>
    <t>001!0611835091025</t>
  </si>
  <si>
    <t>LAVAND MADRID MAGNUM PPL</t>
  </si>
  <si>
    <t>001!0611835092025</t>
  </si>
  <si>
    <t>LAVAND MADRID PURPLE</t>
  </si>
  <si>
    <t>001!0611835093025</t>
  </si>
  <si>
    <t>LAVAND MADRID ROSE</t>
  </si>
  <si>
    <t>001!0611835094025</t>
  </si>
  <si>
    <t>LAVAND MADRID STAR PPL</t>
  </si>
  <si>
    <t>001!0611835095025</t>
  </si>
  <si>
    <t>LAVAND MEERLO ALLARDII</t>
  </si>
  <si>
    <t>001!0611835096025</t>
  </si>
  <si>
    <t>LAVAND MINI BLUE</t>
  </si>
  <si>
    <t>001!0611835097025</t>
  </si>
  <si>
    <t>LAVAND MUNSTEAD</t>
  </si>
  <si>
    <t>001!0611863169100</t>
  </si>
  <si>
    <t>LAVAND MUNSTEAD ANGUST</t>
  </si>
  <si>
    <t>001!0611835099100</t>
  </si>
  <si>
    <t>001!0611835100025</t>
  </si>
  <si>
    <t>LAVAND OTTO QUAST</t>
  </si>
  <si>
    <t>001!0611835102025</t>
  </si>
  <si>
    <t>001!0611863170100</t>
  </si>
  <si>
    <t>LAVAND OTTO QUAST LMTD</t>
  </si>
  <si>
    <t>001!0611863171050</t>
  </si>
  <si>
    <t>LAVAND PAPILLION LILAC</t>
  </si>
  <si>
    <t>001!0611863172100</t>
  </si>
  <si>
    <t>LAVAND PAPILLION PURPLE</t>
  </si>
  <si>
    <t>001!0611863173050</t>
  </si>
  <si>
    <t>LAVAND PAPILLION ROSE</t>
  </si>
  <si>
    <t>001!0611863174050</t>
  </si>
  <si>
    <t>LAVAND PAPILLN DEEP ROSE LMTD</t>
  </si>
  <si>
    <t>001!0611863175050</t>
  </si>
  <si>
    <t>LAVAND PAPILLN LIGHT ROSE LMTD</t>
  </si>
  <si>
    <t>001!0611863176050</t>
  </si>
  <si>
    <t>LAVAND PARIS BLUE DENTATA</t>
  </si>
  <si>
    <t>001!0611835103025</t>
  </si>
  <si>
    <t>LAVAND PHENOMENAL</t>
  </si>
  <si>
    <t>001!0611863177100</t>
  </si>
  <si>
    <t>LAVAND PINNATA</t>
  </si>
  <si>
    <t>001!0611835104025</t>
  </si>
  <si>
    <t>LAVAND PLATINUM BLONDE</t>
  </si>
  <si>
    <t>001!0611835105025</t>
  </si>
  <si>
    <t>001!0611863178100</t>
  </si>
  <si>
    <t>LAVAND PLATINUM BLONDE LMTD</t>
  </si>
  <si>
    <t>001!0611863179050</t>
  </si>
  <si>
    <t>LAVAND PRIMAVERA</t>
  </si>
  <si>
    <t>001!0611835106025</t>
  </si>
  <si>
    <t>LAVAND PROVENCE</t>
  </si>
  <si>
    <t>001!0611835108025</t>
  </si>
  <si>
    <t>001!0611863180100</t>
  </si>
  <si>
    <t>LAVAND PROVENCE LMTD</t>
  </si>
  <si>
    <t>001!0611863181050</t>
  </si>
  <si>
    <t>LAVAND RUFFLES BLUEBERRY</t>
  </si>
  <si>
    <t>001!0611863182100</t>
  </si>
  <si>
    <t>LAVAND RUFFLES BOYSENBRY LMTD</t>
  </si>
  <si>
    <t>001!0611863183100</t>
  </si>
  <si>
    <t>001!0611863184050</t>
  </si>
  <si>
    <t>LAVAND SCNT BL EARLY</t>
  </si>
  <si>
    <t>001!0611835110100</t>
  </si>
  <si>
    <t>001!0611835111025</t>
  </si>
  <si>
    <t>LAVAND SCNT BLUE ANGUST</t>
  </si>
  <si>
    <t>001!0611835109025</t>
  </si>
  <si>
    <t>LAVAND SCNT ERLY BL/WH MX</t>
  </si>
  <si>
    <t>001!0611835112025</t>
  </si>
  <si>
    <t>LAVAND SENTIVIA BL</t>
  </si>
  <si>
    <t>001!0611835114025</t>
  </si>
  <si>
    <t>LAVAND SENTIVIA BLUE</t>
  </si>
  <si>
    <t>001!0611863185050</t>
  </si>
  <si>
    <t>LAVAND SENTIVIA EARLY BL</t>
  </si>
  <si>
    <t>001!0611835115025</t>
  </si>
  <si>
    <t>LAVAND SENTIVIA EARLY BLUE</t>
  </si>
  <si>
    <t>001!0611863186050</t>
  </si>
  <si>
    <t>LAVAND SENTIVIA SILVER</t>
  </si>
  <si>
    <t>001!0611835116025</t>
  </si>
  <si>
    <t>001!0611863187050</t>
  </si>
  <si>
    <t>LAVAND SPANISH EYE MULTI</t>
  </si>
  <si>
    <t>001!0611835117025</t>
  </si>
  <si>
    <t>LAVAND SPANISH FRENCH</t>
  </si>
  <si>
    <t>001!0611836047100</t>
  </si>
  <si>
    <t>LAVAND SPANISH LAV GNRC</t>
  </si>
  <si>
    <t>001!0611835118025</t>
  </si>
  <si>
    <t>LAVAND SUPER BLUE</t>
  </si>
  <si>
    <t>001!0611863188100</t>
  </si>
  <si>
    <t>001!0611863189050</t>
  </si>
  <si>
    <t>LAVAND SUPER BLUE ANGUST</t>
  </si>
  <si>
    <t>001!0611835119025</t>
  </si>
  <si>
    <t>LAVAND SWEET LAVANDER</t>
  </si>
  <si>
    <t>001!0611835120100</t>
  </si>
  <si>
    <t>LAVAND VERA</t>
  </si>
  <si>
    <t>001!0611835121100</t>
  </si>
  <si>
    <t>LAVAND VICENZA BLUE</t>
  </si>
  <si>
    <t>001!0611835122025</t>
  </si>
  <si>
    <t>LAVAND VINTRO BL ANGUST</t>
  </si>
  <si>
    <t>001!0611835123025</t>
  </si>
  <si>
    <t>LAVAND VINTRO BL CMPCT</t>
  </si>
  <si>
    <t>001!0611835124025</t>
  </si>
  <si>
    <t>LAVAND VINTRO BL FORTE</t>
  </si>
  <si>
    <t>001!0611835125025</t>
  </si>
  <si>
    <t>LAVAND VINTRO BLUE</t>
  </si>
  <si>
    <t>001!0611863190050</t>
  </si>
  <si>
    <t>LAVAND VINTRO WH ANGUST</t>
  </si>
  <si>
    <t>001!0611835126025</t>
  </si>
  <si>
    <t>LAVAND VINTRO WHITE</t>
  </si>
  <si>
    <t>001!0611863191050</t>
  </si>
  <si>
    <t>LAVAND VIOLETA PPL XL</t>
  </si>
  <si>
    <t>001!0611835127025</t>
  </si>
  <si>
    <t>LAVATE GENERIC</t>
  </si>
  <si>
    <t>001!0611836045100</t>
  </si>
  <si>
    <t>LEEK GENERIC</t>
  </si>
  <si>
    <t>001!0611830644100</t>
  </si>
  <si>
    <t>LEMON BALM MELISSA GNRC</t>
  </si>
  <si>
    <t>001!0611836758100</t>
  </si>
  <si>
    <t>001!0611836759025</t>
  </si>
  <si>
    <t>LEONTO ALPINUM</t>
  </si>
  <si>
    <t>001!0611836048100</t>
  </si>
  <si>
    <t>LEPTIN PLATTS BLACK SQUALIDA</t>
  </si>
  <si>
    <t>001!0611836049025</t>
  </si>
  <si>
    <t>LETTUC BAUER</t>
  </si>
  <si>
    <t>001!0611857017100</t>
  </si>
  <si>
    <t>LETTUC BISTRO SALAD BLEND</t>
  </si>
  <si>
    <t>001!0611835917100</t>
  </si>
  <si>
    <t>LETTUC BLACK SEEDED SIMPSON</t>
  </si>
  <si>
    <t>001!0611835918100</t>
  </si>
  <si>
    <t>LETTUC BOSTON</t>
  </si>
  <si>
    <t>001!0611835919100</t>
  </si>
  <si>
    <t>LETTUC BUTTERCRUNCH</t>
  </si>
  <si>
    <t>001!0611835920100</t>
  </si>
  <si>
    <t>001!0611835921200</t>
  </si>
  <si>
    <t>LETTUC ESCAROLE</t>
  </si>
  <si>
    <t>001!0611835922100</t>
  </si>
  <si>
    <t>LETTUC GOURMET BIBB</t>
  </si>
  <si>
    <t>001!0611835923100</t>
  </si>
  <si>
    <t>LETTUC GOURMET BLEND</t>
  </si>
  <si>
    <t>001!0611835924100</t>
  </si>
  <si>
    <t>LETTUC GOURMET LEAF</t>
  </si>
  <si>
    <t>001!0611835925100</t>
  </si>
  <si>
    <t>LETTUC GOURMET RED LEAF</t>
  </si>
  <si>
    <t>001!0611835926100</t>
  </si>
  <si>
    <t>LETTUC GOURMET ROMAINE</t>
  </si>
  <si>
    <t>001!0611835927100</t>
  </si>
  <si>
    <t>LETTUC GRAND RAPIDS</t>
  </si>
  <si>
    <t>001!0611835928100</t>
  </si>
  <si>
    <t>LETTUC GREAT LAKES HEAD</t>
  </si>
  <si>
    <t>001!0611835929100</t>
  </si>
  <si>
    <t>LETTUC GREEN OAK LEAF</t>
  </si>
  <si>
    <t>001!0611835930100</t>
  </si>
  <si>
    <t>LETTUC GREEN TOWERS</t>
  </si>
  <si>
    <t>001!0611835931100</t>
  </si>
  <si>
    <t>LETTUC HEAD GENERIC</t>
  </si>
  <si>
    <t>001!0611835932100</t>
  </si>
  <si>
    <t>LETTUC ICEBERG HEAD</t>
  </si>
  <si>
    <t>001!0611835933100</t>
  </si>
  <si>
    <t>LETTUC ITHACA</t>
  </si>
  <si>
    <t>001!0611835934100</t>
  </si>
  <si>
    <t>LETTUC LEAF GENERIC</t>
  </si>
  <si>
    <t>001!0611835935100</t>
  </si>
  <si>
    <t>LETTUC MESCLUN SALAD MIX</t>
  </si>
  <si>
    <t>001!0611835936100</t>
  </si>
  <si>
    <t>LETTUC MINI GREENS BLEND</t>
  </si>
  <si>
    <t>001!0611835937100</t>
  </si>
  <si>
    <t>LETTUC PARRIS ISLAND COS</t>
  </si>
  <si>
    <t>001!0611835938100</t>
  </si>
  <si>
    <t>LETTUC RADICCHIO</t>
  </si>
  <si>
    <t>001!0611835939100</t>
  </si>
  <si>
    <t>LETTUC RED BUTTERWORTH</t>
  </si>
  <si>
    <t>001!0611835940100</t>
  </si>
  <si>
    <t>LETTUC RED FIRE</t>
  </si>
  <si>
    <t>001!0611835941100</t>
  </si>
  <si>
    <t>LETTUC RED OAK LEAF</t>
  </si>
  <si>
    <t>001!0611835942100</t>
  </si>
  <si>
    <t>LETTUC RED SAILS</t>
  </si>
  <si>
    <t>001!0611835943100</t>
  </si>
  <si>
    <t>LETTUC ROMAINE</t>
  </si>
  <si>
    <t>001!0611835944100</t>
  </si>
  <si>
    <t>001!0611835945200</t>
  </si>
  <si>
    <t>LETTUC ROMAINE RED</t>
  </si>
  <si>
    <t>001!0611835946100</t>
  </si>
  <si>
    <t>LETTUC ROYAL OAK LEAF</t>
  </si>
  <si>
    <t>001!0611835947100</t>
  </si>
  <si>
    <t>LETTUC RUBY LEAF</t>
  </si>
  <si>
    <t>001!0611835948100</t>
  </si>
  <si>
    <t>LETTUC RUBY RED</t>
  </si>
  <si>
    <t>001!0611835949100</t>
  </si>
  <si>
    <t>LETTUC SALAD BOWL</t>
  </si>
  <si>
    <t>001!0611835950100</t>
  </si>
  <si>
    <t>LETTUC SALAD BOWL RED</t>
  </si>
  <si>
    <t>001!0611835951100</t>
  </si>
  <si>
    <t>LETTUC SALAD MIX GENERIC</t>
  </si>
  <si>
    <t>001!0611835952100</t>
  </si>
  <si>
    <t>LETTUC SANDY</t>
  </si>
  <si>
    <t>001!0611835953100</t>
  </si>
  <si>
    <t>LETTUC SIMPLYSALAD SMMR PICNIC</t>
  </si>
  <si>
    <t>001!0611835956025</t>
  </si>
  <si>
    <t>LETTUC SIMPSON ELITE</t>
  </si>
  <si>
    <t>001!0611835958100</t>
  </si>
  <si>
    <t>LETTUC SMPLYSALAD CTY GDN BLND</t>
  </si>
  <si>
    <t>001!0611835959025</t>
  </si>
  <si>
    <t>LETTUC SUMMER BIBB</t>
  </si>
  <si>
    <t>001!0611835962100</t>
  </si>
  <si>
    <t>LETTUC SUMMERTIME</t>
  </si>
  <si>
    <t>001!0611835963100</t>
  </si>
  <si>
    <t>LETTUC VALLEY HEART</t>
  </si>
  <si>
    <t>001!0611835964100</t>
  </si>
  <si>
    <t>LETTUC WILDFIRE MIX</t>
  </si>
  <si>
    <t>001!0611835965100</t>
  </si>
  <si>
    <t>LEUCAN ADORABLE</t>
  </si>
  <si>
    <t>001!0611836050025</t>
  </si>
  <si>
    <t>001!0611863192050</t>
  </si>
  <si>
    <t>LEUCAN ALASKA</t>
  </si>
  <si>
    <t>001!0611836051100</t>
  </si>
  <si>
    <t>001!0611836052025</t>
  </si>
  <si>
    <t>LEUCAN ANGEL DAISY</t>
  </si>
  <si>
    <t>001!0611836053025</t>
  </si>
  <si>
    <t>LEUCAN ANGEL DAISY CARPET</t>
  </si>
  <si>
    <t>001!0611836054025</t>
  </si>
  <si>
    <t>LEUCAN ANGEL DAISY DOUBLE</t>
  </si>
  <si>
    <t>001!0611836055025</t>
  </si>
  <si>
    <t>LEUCAN BECKY</t>
  </si>
  <si>
    <t>001!0611836056100</t>
  </si>
  <si>
    <t>001!0611836057025</t>
  </si>
  <si>
    <t>LEUCAN BELGIAN LACE</t>
  </si>
  <si>
    <t>001!0611836058025</t>
  </si>
  <si>
    <t>LEUCAN BRIGHTSIDE</t>
  </si>
  <si>
    <t>001!0611836059025</t>
  </si>
  <si>
    <t>LEUCAN COCONUT</t>
  </si>
  <si>
    <t>001!0611836060025</t>
  </si>
  <si>
    <t>001!0611863193050</t>
  </si>
  <si>
    <t>LEUCAN CRAZY DAISY</t>
  </si>
  <si>
    <t>001!0611836061025</t>
  </si>
  <si>
    <t>LEUCAN DARLING DAISY</t>
  </si>
  <si>
    <t>001!0611836062025</t>
  </si>
  <si>
    <t>LEUCAN DARLING DAISY DOUBLE</t>
  </si>
  <si>
    <t>001!0611836063025</t>
  </si>
  <si>
    <t>LEUCAN DARLING DAISY SUPREME</t>
  </si>
  <si>
    <t>001!0611836064025</t>
  </si>
  <si>
    <t>LEUCAN GOLDFINCH</t>
  </si>
  <si>
    <t>001!0611836065025</t>
  </si>
  <si>
    <t>LEUCAN ICE CREAM DREAM</t>
  </si>
  <si>
    <t>001!0611857018025</t>
  </si>
  <si>
    <t>LEUCAN LANCASTER BETSY</t>
  </si>
  <si>
    <t>001!0611836067025</t>
  </si>
  <si>
    <t>LEUCAN LUCILLE CHIC</t>
  </si>
  <si>
    <t>001!0611836068025</t>
  </si>
  <si>
    <t>LEUCAN LUCILLE GRACE</t>
  </si>
  <si>
    <t>001!0611836069025</t>
  </si>
  <si>
    <t>LEUCAN LUCILLE WHITE</t>
  </si>
  <si>
    <t>001!0611836070025</t>
  </si>
  <si>
    <t>LEUCAN MACAROON</t>
  </si>
  <si>
    <t>001!0611836071025</t>
  </si>
  <si>
    <t>LEUCAN MADONNA</t>
  </si>
  <si>
    <t>001!0611836072025</t>
  </si>
  <si>
    <t>LEUCAN MAKE MY DAISY CRAZY</t>
  </si>
  <si>
    <t>001!0611857019025</t>
  </si>
  <si>
    <t>LEUCAN MAKE MY DAISY HAPPY</t>
  </si>
  <si>
    <t>001!0611857020025</t>
  </si>
  <si>
    <t>LEUCAN MARCONI</t>
  </si>
  <si>
    <t>001!0611836073025</t>
  </si>
  <si>
    <t>LEUCAN MT HOOD</t>
  </si>
  <si>
    <t>001!0611836074025</t>
  </si>
  <si>
    <t>LEUCAN OOH LA LASPIDER</t>
  </si>
  <si>
    <t>001!0611836075025</t>
  </si>
  <si>
    <t>LEUCAN REAL CHARMER</t>
  </si>
  <si>
    <t>001!0611863194100</t>
  </si>
  <si>
    <t>LEUCAN REAL CHARMER LMTD</t>
  </si>
  <si>
    <t>001!0611863195050</t>
  </si>
  <si>
    <t>LEUCAN REAL DREAM</t>
  </si>
  <si>
    <t>001!0611863196100</t>
  </si>
  <si>
    <t>LEUCAN REAL DREAM LMTD</t>
  </si>
  <si>
    <t>001!0611863197050</t>
  </si>
  <si>
    <t>LEUCAN REAL GALAXY</t>
  </si>
  <si>
    <t>001!0611863198100</t>
  </si>
  <si>
    <t>LEUCAN REAL GALAXY LMTD</t>
  </si>
  <si>
    <t>001!0611863199050</t>
  </si>
  <si>
    <t>LEUCAN REAL GLORY</t>
  </si>
  <si>
    <t>001!0611863200100</t>
  </si>
  <si>
    <t>LEUCAN REAL GLORY LMTD</t>
  </si>
  <si>
    <t>001!0611863201050</t>
  </si>
  <si>
    <t>LEUCAN REAL NEAT</t>
  </si>
  <si>
    <t>001!0611863202100</t>
  </si>
  <si>
    <t>LEUCAN REAL NEAT LMTD</t>
  </si>
  <si>
    <t>001!0611863203050</t>
  </si>
  <si>
    <t>LEUCAN REAL SUNBEAM</t>
  </si>
  <si>
    <t>001!0611863204100</t>
  </si>
  <si>
    <t>LEUCAN SEVENTH HEAVEN</t>
  </si>
  <si>
    <t>001!0611857021025</t>
  </si>
  <si>
    <t>LEUCAN SHASTA DAISY GENERIC</t>
  </si>
  <si>
    <t>001!0611836076025</t>
  </si>
  <si>
    <t>LEUCAN SILVER PRINCESS</t>
  </si>
  <si>
    <t>001!0611836077100</t>
  </si>
  <si>
    <t>001!0611836078025</t>
  </si>
  <si>
    <t>LEUCAN SNOW LADY</t>
  </si>
  <si>
    <t>001!0611836079100</t>
  </si>
  <si>
    <t>001!0611836080025</t>
  </si>
  <si>
    <t>LEUCAN SNOWCAP</t>
  </si>
  <si>
    <t>001!0611836081025</t>
  </si>
  <si>
    <t>001!0611863205100</t>
  </si>
  <si>
    <t>LEUCAN SNOWCAP LMTD</t>
  </si>
  <si>
    <t>001!0611863206050</t>
  </si>
  <si>
    <t>LEUCAN SUNSHINE FREAK</t>
  </si>
  <si>
    <t>001!0611857022025</t>
  </si>
  <si>
    <t>LEUCAN SWEET DAISY BIRDY</t>
  </si>
  <si>
    <t>001!0611863207100</t>
  </si>
  <si>
    <t>LEUCAN SWEET DAISY CHER</t>
  </si>
  <si>
    <t>001!0611863208100</t>
  </si>
  <si>
    <t>LEUCAN SWEET DAISY CHRISTINE</t>
  </si>
  <si>
    <t>001!0611863209100</t>
  </si>
  <si>
    <t>LEUCAN SWEET DAISY IZABEL</t>
  </si>
  <si>
    <t>001!0611863210100</t>
  </si>
  <si>
    <t>LEUCAN SWEET DAISY JANE</t>
  </si>
  <si>
    <t>001!0611863211100</t>
  </si>
  <si>
    <t>LEUCAN SWEET DAISY REBECCA</t>
  </si>
  <si>
    <t>001!0611863212100</t>
  </si>
  <si>
    <t>001!0611863213050</t>
  </si>
  <si>
    <t>LEUCAN SWEET DAISY SHELLY</t>
  </si>
  <si>
    <t>001!0611863214100</t>
  </si>
  <si>
    <t>LEUCAN SWEET DAISY SOFIE</t>
  </si>
  <si>
    <t>001!0611863215100</t>
  </si>
  <si>
    <t>001!0611863216050</t>
  </si>
  <si>
    <t>LEUCAN VICTORIAN SECRET</t>
  </si>
  <si>
    <t>001!0611836082025</t>
  </si>
  <si>
    <t>LEUCAN WESTERN STAR GEMINI</t>
  </si>
  <si>
    <t>001!0611836083025</t>
  </si>
  <si>
    <t>001!0611863217050</t>
  </si>
  <si>
    <t>LEUCAN WESTERN STAR LEO</t>
  </si>
  <si>
    <t>001!0611836084025</t>
  </si>
  <si>
    <t>001!0611863218050</t>
  </si>
  <si>
    <t>LEUCAN WESTERN STAR LIBRA</t>
  </si>
  <si>
    <t>001!0611836085025</t>
  </si>
  <si>
    <t>001!0611863219050</t>
  </si>
  <si>
    <t>LEUCAN WESTERN STAR PISCES</t>
  </si>
  <si>
    <t>001!0611836086025</t>
  </si>
  <si>
    <t>LEUCAN WESTERN STAR TAURUS</t>
  </si>
  <si>
    <t>001!0611836087025</t>
  </si>
  <si>
    <t>001!0611884292050</t>
  </si>
  <si>
    <t>LEUCAN WHITE BREEZE</t>
  </si>
  <si>
    <t>001!0611836088025</t>
  </si>
  <si>
    <t>LEUCAN WHITE LION</t>
  </si>
  <si>
    <t>001!0611836089025</t>
  </si>
  <si>
    <t>LEUCAN WHITE MAGIC</t>
  </si>
  <si>
    <t>001!0611836090025</t>
  </si>
  <si>
    <t>LEUCAN WHITE MOUNTAIN</t>
  </si>
  <si>
    <t>001!0611836091025</t>
  </si>
  <si>
    <t>LEUCAN WHITECAP</t>
  </si>
  <si>
    <t>001!0611836092025</t>
  </si>
  <si>
    <t>LEVIST LOVAGE</t>
  </si>
  <si>
    <t>001!0611884293025</t>
  </si>
  <si>
    <t>LEWISI ELISE GOLDEN YELLOW</t>
  </si>
  <si>
    <t>001!0611884294025</t>
  </si>
  <si>
    <t>LEWISI ELISE MIX COTYLEDON</t>
  </si>
  <si>
    <t>001!0611836094025</t>
  </si>
  <si>
    <t>LEWISI ELISE RUBY RD COTYLEDON</t>
  </si>
  <si>
    <t>001!0611836095025</t>
  </si>
  <si>
    <t>LEWISI ELISE ULTRA VLT</t>
  </si>
  <si>
    <t>001!0611836096025</t>
  </si>
  <si>
    <t>LEWISI GENERIC</t>
  </si>
  <si>
    <t>001!0611836098025</t>
  </si>
  <si>
    <t>LEWISI SPECIAL MIX COTYLEDON</t>
  </si>
  <si>
    <t>001!0611836099025</t>
  </si>
  <si>
    <t>LEWISI SUNSET STRAIN COTYLEDON</t>
  </si>
  <si>
    <t>001!0611836100025</t>
  </si>
  <si>
    <t>LIATRI FLORISTAN VLT SPICATA</t>
  </si>
  <si>
    <t>001!0611836101025</t>
  </si>
  <si>
    <t>LIATRI FLORISTAN WHITE SPICATA</t>
  </si>
  <si>
    <t>001!0611836102025</t>
  </si>
  <si>
    <t>LIATRI KOBOLD SPICATA</t>
  </si>
  <si>
    <t>001!0611836103100</t>
  </si>
  <si>
    <t>001!0611836104025</t>
  </si>
  <si>
    <t>LIATRI LIATRIS GENERIC</t>
  </si>
  <si>
    <t>001!0611836105100</t>
  </si>
  <si>
    <t>001!0611836106025</t>
  </si>
  <si>
    <t>LIATRI PURPLE</t>
  </si>
  <si>
    <t>001!0611836107025</t>
  </si>
  <si>
    <t>LIGULA LITTLE ROCKET</t>
  </si>
  <si>
    <t>001!0611836108025</t>
  </si>
  <si>
    <t>LIGULA OTHELLO DENTATA</t>
  </si>
  <si>
    <t>001!0611836109025</t>
  </si>
  <si>
    <t>LIGULA THE ROCKET STENOCEPHALA</t>
  </si>
  <si>
    <t>001!0611836110025</t>
  </si>
  <si>
    <t>LILIUM ASIATIC GENERIC</t>
  </si>
  <si>
    <t>001!0611836111025</t>
  </si>
  <si>
    <t>LILIUM EASTER LILY</t>
  </si>
  <si>
    <t>001!0611836113100</t>
  </si>
  <si>
    <t>LILIUM MATRIX</t>
  </si>
  <si>
    <t>001!0611836114025</t>
  </si>
  <si>
    <t>LILIUM ORANGE ASIATIC</t>
  </si>
  <si>
    <t>001!0611836115025</t>
  </si>
  <si>
    <t>LILIUM ORIENTAL GENERIC</t>
  </si>
  <si>
    <t>001!0611836116025</t>
  </si>
  <si>
    <t>LILIUM ORIENTAL LILY GENERIC</t>
  </si>
  <si>
    <t>001!0611836117100</t>
  </si>
  <si>
    <t>LILIUM PINK ASIATIC</t>
  </si>
  <si>
    <t>001!0611836118025</t>
  </si>
  <si>
    <t>LILIUM YELLOW ASIATIC</t>
  </si>
  <si>
    <t>001!0611836120025</t>
  </si>
  <si>
    <t>LIMONI FORTRESS DARK BLUE</t>
  </si>
  <si>
    <t>001!0611836121100</t>
  </si>
  <si>
    <t>LIMONI FORTRESS MIX</t>
  </si>
  <si>
    <t>001!0611836122100</t>
  </si>
  <si>
    <t>LIMONI PEREZII</t>
  </si>
  <si>
    <t>001!0611836124100</t>
  </si>
  <si>
    <t>LIMONI QIS SERIES</t>
  </si>
  <si>
    <t>001!0611836125100</t>
  </si>
  <si>
    <t>LIMONI SEA LAV PPL LATIFOLIUM</t>
  </si>
  <si>
    <t>001!0611836126025</t>
  </si>
  <si>
    <t>LIMONI STATICE GENERIC</t>
  </si>
  <si>
    <t>001!0611836127100</t>
  </si>
  <si>
    <t>LINARI ENCHANTMENT</t>
  </si>
  <si>
    <t>001!0611836128100</t>
  </si>
  <si>
    <t>LINARI FANTASISTA SERIES</t>
  </si>
  <si>
    <t>001!0611836129100</t>
  </si>
  <si>
    <t>LINARI FANTASY MIX</t>
  </si>
  <si>
    <t>001!0611836131100</t>
  </si>
  <si>
    <t>LINDER GENERIC</t>
  </si>
  <si>
    <t>001!0611836133025</t>
  </si>
  <si>
    <t>LINUM BLUE PERENNE</t>
  </si>
  <si>
    <t>001!0611836134100</t>
  </si>
  <si>
    <t>LINUM SAPPHIRE PERENNE</t>
  </si>
  <si>
    <t>001!0611836135025</t>
  </si>
  <si>
    <t>LIRIOP BIG BLUE MUSCARI</t>
  </si>
  <si>
    <t>001!0611836136100</t>
  </si>
  <si>
    <t>001!0611836137025</t>
  </si>
  <si>
    <t>LIRIOP SILVER DRAGON SPICATA</t>
  </si>
  <si>
    <t>001!0611836138025</t>
  </si>
  <si>
    <t>LIRIOP SPICATA</t>
  </si>
  <si>
    <t>001!0611836139100</t>
  </si>
  <si>
    <t>LIRIOP VARIEGATA MUSCARI</t>
  </si>
  <si>
    <t>001!0611836140025</t>
  </si>
  <si>
    <t>LISIAN DOUBLINI SERIES</t>
  </si>
  <si>
    <t>001!0611834265100</t>
  </si>
  <si>
    <t>LISIAN FLORIDA BLUE</t>
  </si>
  <si>
    <t>001!0611834266100</t>
  </si>
  <si>
    <t>LISIAN FLORIDA PINK</t>
  </si>
  <si>
    <t>001!0611834267100</t>
  </si>
  <si>
    <t>LISIAN FOREVER BLUE</t>
  </si>
  <si>
    <t>001!0611834269100</t>
  </si>
  <si>
    <t>LISIAN JULIETTA SERIES</t>
  </si>
  <si>
    <t>001!0611834271100</t>
  </si>
  <si>
    <t>LISIAN LISIANTHUS GENERIC</t>
  </si>
  <si>
    <t>001!0611834273100</t>
  </si>
  <si>
    <t>LISIAN MERMAID BLUE</t>
  </si>
  <si>
    <t>001!0611834274100</t>
  </si>
  <si>
    <t>LISIAN ROSITA SERIES</t>
  </si>
  <si>
    <t>001!0611834276100</t>
  </si>
  <si>
    <t>LITHOD BLUE STAR</t>
  </si>
  <si>
    <t>001!0611863220100</t>
  </si>
  <si>
    <t>LITHOD GLD N SAPPHIRES DIFFUSA</t>
  </si>
  <si>
    <t>001!0611836141025</t>
  </si>
  <si>
    <t>LITHOD GRACE WARD</t>
  </si>
  <si>
    <t>001!0611836142025</t>
  </si>
  <si>
    <t>001!0611863221100</t>
  </si>
  <si>
    <t>LITHOD HEAVENLY BLUE</t>
  </si>
  <si>
    <t>001!0611836143025</t>
  </si>
  <si>
    <t>001!0611863222100</t>
  </si>
  <si>
    <t>LITHOD LITHODORA</t>
  </si>
  <si>
    <t>001!0611836144025</t>
  </si>
  <si>
    <t>LITHOD TIDEPOOL SKY BLUE</t>
  </si>
  <si>
    <t>001!0611857023025</t>
  </si>
  <si>
    <t>LOBELI ANABEL BRILLIANT BLUE</t>
  </si>
  <si>
    <t>001!0611836145100</t>
  </si>
  <si>
    <t>LOBELI BELLA ACQUA</t>
  </si>
  <si>
    <t>001!0611863223050</t>
  </si>
  <si>
    <t>LOBELI BELLA AZURE</t>
  </si>
  <si>
    <t>001!0611863224050</t>
  </si>
  <si>
    <t>LOBELI BELLA BIANCA</t>
  </si>
  <si>
    <t>001!0611863225050</t>
  </si>
  <si>
    <t>LOBELI BELLA CIELO LOBELIA</t>
  </si>
  <si>
    <t>001!0611863226050</t>
  </si>
  <si>
    <t>LOBELI BELLA MARE</t>
  </si>
  <si>
    <t>001!0611863227050</t>
  </si>
  <si>
    <t>LOBELI BELLA OCEANO</t>
  </si>
  <si>
    <t>001!0611863228050</t>
  </si>
  <si>
    <t>LOBELI BELLA ROSA</t>
  </si>
  <si>
    <t>001!0611863229050</t>
  </si>
  <si>
    <t>LOBELI BLUE GENERIC</t>
  </si>
  <si>
    <t>001!0611836147100</t>
  </si>
  <si>
    <t>LOBELI BLUE/WHITE BIC GENERIC</t>
  </si>
  <si>
    <t>001!0611836148100</t>
  </si>
  <si>
    <t>LOBELI CAMBRIDGE BLUE</t>
  </si>
  <si>
    <t>001!0611836150100</t>
  </si>
  <si>
    <t>LOBELI CARDINALIS</t>
  </si>
  <si>
    <t>001!0611836151100</t>
  </si>
  <si>
    <t>001!0611836152025</t>
  </si>
  <si>
    <t>LOBELI COBALT STAR</t>
  </si>
  <si>
    <t>001!0611863230050</t>
  </si>
  <si>
    <t>LOBELI CRYSTAL PALACE</t>
  </si>
  <si>
    <t>001!0611836154100</t>
  </si>
  <si>
    <t>LOBELI DEEP BLUE STAR</t>
  </si>
  <si>
    <t>001!0611863231050</t>
  </si>
  <si>
    <t>LOBELI FAN SCARLET SPECIOSA</t>
  </si>
  <si>
    <t>001!0611836158025</t>
  </si>
  <si>
    <t>LOBELI GLOW BLUE VOLT</t>
  </si>
  <si>
    <t>001!0611884295100</t>
  </si>
  <si>
    <t>LOBELI GLOW ELECTRIC BLUE</t>
  </si>
  <si>
    <t>001!0611836159100</t>
  </si>
  <si>
    <t>LOBELI GLOW WHITE LIGHTNING</t>
  </si>
  <si>
    <t>001!0611836160100</t>
  </si>
  <si>
    <t>LOBELI GNRC BLNGL DSIGN</t>
  </si>
  <si>
    <t>001!0611836161100</t>
  </si>
  <si>
    <t>LOBELI HOT AQUA</t>
  </si>
  <si>
    <t>001!0611836162100</t>
  </si>
  <si>
    <t>LOBELI HOT BAVARIA</t>
  </si>
  <si>
    <t>001!0611836163100</t>
  </si>
  <si>
    <t>001!0611863232050</t>
  </si>
  <si>
    <t>LOBELI HOT BLUE</t>
  </si>
  <si>
    <t>001!0611836164100</t>
  </si>
  <si>
    <t>001!0611863233050</t>
  </si>
  <si>
    <t>LOBELI HOT BLUE WITH EYE</t>
  </si>
  <si>
    <t>001!0611836165100</t>
  </si>
  <si>
    <t>LOBELI HOT BRILLIANT BLUE</t>
  </si>
  <si>
    <t>001!0611836166100</t>
  </si>
  <si>
    <t>001!0611863234050</t>
  </si>
  <si>
    <t>LOBELI HOT DARK BLUE</t>
  </si>
  <si>
    <t>001!0611836167100</t>
  </si>
  <si>
    <t>LOBELI HOT ELECTRIC PURPLE</t>
  </si>
  <si>
    <t>001!0611836169100</t>
  </si>
  <si>
    <t>LOBELI HOT GIANT BLUE</t>
  </si>
  <si>
    <t>001!0611863235050</t>
  </si>
  <si>
    <t>001!0611884296100</t>
  </si>
  <si>
    <t>LOBELI HOT PLUS AQUA</t>
  </si>
  <si>
    <t>001!0611863236050</t>
  </si>
  <si>
    <t>LOBELI HOT PLUS BLUE WITH EYE</t>
  </si>
  <si>
    <t>001!0611863237050</t>
  </si>
  <si>
    <t>LOBELI HOT PLUS DK BLUE W/EYE</t>
  </si>
  <si>
    <t>001!0611863238050</t>
  </si>
  <si>
    <t>LOBELI HOT PLUS PRETTY HEAVEN</t>
  </si>
  <si>
    <t>001!0611863239050</t>
  </si>
  <si>
    <t>LOBELI HOT PLUS ROSE</t>
  </si>
  <si>
    <t>001!0611863240050</t>
  </si>
  <si>
    <t>LOBELI HOT PLUS WHITE</t>
  </si>
  <si>
    <t>001!0611863241050</t>
  </si>
  <si>
    <t>LOBELI HOT POT SERIES</t>
  </si>
  <si>
    <t>001!0611884297100</t>
  </si>
  <si>
    <t>LOBELI HOT PRETTY HEAVEN</t>
  </si>
  <si>
    <t>001!0611836172100</t>
  </si>
  <si>
    <t>LOBELI HOT PURPLE</t>
  </si>
  <si>
    <t>001!0611836173100</t>
  </si>
  <si>
    <t>001!0611863242050</t>
  </si>
  <si>
    <t>LOBELI HOT ROYAL BLUE</t>
  </si>
  <si>
    <t>001!0611836174100</t>
  </si>
  <si>
    <t>001!0611863243050</t>
  </si>
  <si>
    <t>LOBELI HOT SERIES</t>
  </si>
  <si>
    <t>001!0611836175100</t>
  </si>
  <si>
    <t>LOBELI HOT SNOW WHITE</t>
  </si>
  <si>
    <t>001!0611836176100</t>
  </si>
  <si>
    <t>001!0611863244050</t>
  </si>
  <si>
    <t>LOBELI HOT TIGER</t>
  </si>
  <si>
    <t>001!0611836177100</t>
  </si>
  <si>
    <t>LOBELI HOT TIGER EYES</t>
  </si>
  <si>
    <t>001!0611863245050</t>
  </si>
  <si>
    <t>LOBELI HOT WATERBLUE</t>
  </si>
  <si>
    <t>001!0611836178100</t>
  </si>
  <si>
    <t>001!0611863246050</t>
  </si>
  <si>
    <t>LOBELI HOT WHITE</t>
  </si>
  <si>
    <t>001!0611836179100</t>
  </si>
  <si>
    <t>LOBELI LOBELIA GENERIC</t>
  </si>
  <si>
    <t>001!0611836180100</t>
  </si>
  <si>
    <t>LOBELI LOBELIX SERIES</t>
  </si>
  <si>
    <t>001!0611857024100</t>
  </si>
  <si>
    <t>LOBELI PALACE BLUE</t>
  </si>
  <si>
    <t>001!0611836181100</t>
  </si>
  <si>
    <t>LOBELI PALACE BLUE/WHITE EYE</t>
  </si>
  <si>
    <t>001!0611836182100</t>
  </si>
  <si>
    <t>LOBELI PALACE ROYAL</t>
  </si>
  <si>
    <t>001!0611836183100</t>
  </si>
  <si>
    <t>LOBELI PALACE SKY BLUE</t>
  </si>
  <si>
    <t>001!0611836184100</t>
  </si>
  <si>
    <t>LOBELI PALACE WHITE</t>
  </si>
  <si>
    <t>001!0611836185100</t>
  </si>
  <si>
    <t>LOBELI QUEEN VICTORIA</t>
  </si>
  <si>
    <t>001!0611836186025</t>
  </si>
  <si>
    <t>LOBELI REGATTA BLUE SPLASH</t>
  </si>
  <si>
    <t>001!0611836187100</t>
  </si>
  <si>
    <t>LOBELI REGATTA LILAC</t>
  </si>
  <si>
    <t>001!0611836188100</t>
  </si>
  <si>
    <t>LOBELI REGATTA MARINE BLUE</t>
  </si>
  <si>
    <t>001!0611836190100</t>
  </si>
  <si>
    <t>LOBELI REGATTA MIDNIGHT BLUE</t>
  </si>
  <si>
    <t>001!0611836191100</t>
  </si>
  <si>
    <t>LOBELI REGATTA MIX</t>
  </si>
  <si>
    <t>001!0611836192100</t>
  </si>
  <si>
    <t>LOBELI REGATTA ROSE</t>
  </si>
  <si>
    <t>001!0611836193100</t>
  </si>
  <si>
    <t>LOBELI REGATTA SAPPHIRE</t>
  </si>
  <si>
    <t>001!0611836194100</t>
  </si>
  <si>
    <t>LOBELI REGATTA SKY BLUE</t>
  </si>
  <si>
    <t>001!0611836195100</t>
  </si>
  <si>
    <t>LOBELI REGATTA WHITE</t>
  </si>
  <si>
    <t>001!0611836196100</t>
  </si>
  <si>
    <t>LOBELI RIFT BLUE</t>
  </si>
  <si>
    <t>001!0611857025100</t>
  </si>
  <si>
    <t>001!0611863247050</t>
  </si>
  <si>
    <t>LOBELI RIFT GREAT MIX</t>
  </si>
  <si>
    <t>001!0611857026100</t>
  </si>
  <si>
    <t>LOBELI RIFT PURPLE</t>
  </si>
  <si>
    <t>001!0611857027100</t>
  </si>
  <si>
    <t>001!0611863248050</t>
  </si>
  <si>
    <t>LOBELI RIVIERA BLUE EYES</t>
  </si>
  <si>
    <t>001!0611836197100</t>
  </si>
  <si>
    <t>LOBELI RIVIERA BLUE SPLASH</t>
  </si>
  <si>
    <t>001!0611836198100</t>
  </si>
  <si>
    <t>LOBELI RIVIERA LILAC</t>
  </si>
  <si>
    <t>001!0611836199100</t>
  </si>
  <si>
    <t>LOBELI RIVIERA MARINE BLUE</t>
  </si>
  <si>
    <t>001!0611836200100</t>
  </si>
  <si>
    <t>LOBELI RIVIERA MIDNIGHT BLUE</t>
  </si>
  <si>
    <t>001!0611836201100</t>
  </si>
  <si>
    <t>LOBELI RIVIERA MIX</t>
  </si>
  <si>
    <t>001!0611836202100</t>
  </si>
  <si>
    <t>LOBELI RIVIERA ROSE</t>
  </si>
  <si>
    <t>001!0611836203100</t>
  </si>
  <si>
    <t>LOBELI RIVIERA SKY BLUE</t>
  </si>
  <si>
    <t>001!0611836204100</t>
  </si>
  <si>
    <t>LOBELI RIVIERA SPRNGTM BLS MX</t>
  </si>
  <si>
    <t>001!0611836205100</t>
  </si>
  <si>
    <t>LOBELI RIVIERA WHITE</t>
  </si>
  <si>
    <t>001!0611836206100</t>
  </si>
  <si>
    <t>LOBELI SAILOR</t>
  </si>
  <si>
    <t>001!0611836208100</t>
  </si>
  <si>
    <t>LOBELI SAILOR STAR</t>
  </si>
  <si>
    <t>001!0611863249050</t>
  </si>
  <si>
    <t>LOBELI SIPHILITICA</t>
  </si>
  <si>
    <t>001!0611836209025</t>
  </si>
  <si>
    <t>LOBELI SKY BLUE GENERIC</t>
  </si>
  <si>
    <t>001!0611836210100</t>
  </si>
  <si>
    <t>LOBELI STAR BLUE</t>
  </si>
  <si>
    <t>001!0611836211100</t>
  </si>
  <si>
    <t>LOBELI STAR COBALT</t>
  </si>
  <si>
    <t>001!0611836212100</t>
  </si>
  <si>
    <t>LOBELI STAR CROCUS</t>
  </si>
  <si>
    <t>001!0611836213100</t>
  </si>
  <si>
    <t>LOBELI STAR DEEP BLUE</t>
  </si>
  <si>
    <t>001!0611836214100</t>
  </si>
  <si>
    <t>LOBELI STAR PURPLE</t>
  </si>
  <si>
    <t>001!0611836215100</t>
  </si>
  <si>
    <t>LOBELI STAR SUPERSTAR</t>
  </si>
  <si>
    <t>001!0611836216100</t>
  </si>
  <si>
    <t>LOBELI STAR WHITE</t>
  </si>
  <si>
    <t>001!0611836217100</t>
  </si>
  <si>
    <t>LOBELI STARSHIP BLUE SPECIOSA</t>
  </si>
  <si>
    <t>001!0611836218025</t>
  </si>
  <si>
    <t>LOBELI STARSHIP BURG SPECIOSA</t>
  </si>
  <si>
    <t>001!0611836219025</t>
  </si>
  <si>
    <t>LOBELI STARSHIP DP RS SPECIOSA</t>
  </si>
  <si>
    <t>001!0611836220025</t>
  </si>
  <si>
    <t>LOBELI STARSHIP ROSE SPECIOSA</t>
  </si>
  <si>
    <t>001!0611836221025</t>
  </si>
  <si>
    <t>LOBELI STARSHIP SCRLT BRNZLF</t>
  </si>
  <si>
    <t>001!0611836222025</t>
  </si>
  <si>
    <t>LOBELI STARSHIP SCRLT SPECIOSA</t>
  </si>
  <si>
    <t>001!0611836223025</t>
  </si>
  <si>
    <t>LOBELI SUPERSTAR</t>
  </si>
  <si>
    <t>001!0611863250050</t>
  </si>
  <si>
    <t>LOBELI TECHNO BLUE</t>
  </si>
  <si>
    <t>001!0611863251050</t>
  </si>
  <si>
    <t>LOBELI TECHNO COBALT BLUE</t>
  </si>
  <si>
    <t>001!0611863252050</t>
  </si>
  <si>
    <t>LOBELI TECHNO DARK BLUE</t>
  </si>
  <si>
    <t>001!0611863253050</t>
  </si>
  <si>
    <t>LOBELI TECHNO DEEP BLUE W/EYE</t>
  </si>
  <si>
    <t>001!0611884298050</t>
  </si>
  <si>
    <t>LOBELI TECHNO ELECTRIC BLUE</t>
  </si>
  <si>
    <t>001!0611863254050</t>
  </si>
  <si>
    <t>LOBELI TECHNO HEAT DARK BLUE</t>
  </si>
  <si>
    <t>001!0611863255050</t>
  </si>
  <si>
    <t>LOBELI TECHNO HEAT ELEC BLUE</t>
  </si>
  <si>
    <t>001!0611863256050</t>
  </si>
  <si>
    <t>LOBELI TECHNO HEAT UPRT PURPLE</t>
  </si>
  <si>
    <t>001!0611863257050</t>
  </si>
  <si>
    <t>LOBELI TECHNO LARGE BLUE VLT</t>
  </si>
  <si>
    <t>001!0611863258050</t>
  </si>
  <si>
    <t>LOBELI TECHNO LIGHT BLUE</t>
  </si>
  <si>
    <t>001!0611863259050</t>
  </si>
  <si>
    <t>LOBELI TECHNO LILAC IMP</t>
  </si>
  <si>
    <t>001!0611863260050</t>
  </si>
  <si>
    <t>LOBELI TECHNO UPRT BLUE</t>
  </si>
  <si>
    <t>001!0611863261050</t>
  </si>
  <si>
    <t>LOBELI TECHNO UPRT COBALT BLUE</t>
  </si>
  <si>
    <t>001!0611863262050</t>
  </si>
  <si>
    <t>LOBELI TECHNO UPRT DARK BLUE</t>
  </si>
  <si>
    <t>001!0611863263050</t>
  </si>
  <si>
    <t>LOBELI TECHNO UPRT DELFT BLUE</t>
  </si>
  <si>
    <t>001!0611863264050</t>
  </si>
  <si>
    <t>LOBELI TECHNO UPRT LIGHT BLUE</t>
  </si>
  <si>
    <t>001!0611863265050</t>
  </si>
  <si>
    <t>LOBELI TECHNO UPRT PURPLE</t>
  </si>
  <si>
    <t>001!0611863266050</t>
  </si>
  <si>
    <t>LOBELI TECHNO UPRT WHITE</t>
  </si>
  <si>
    <t>001!0611863267050</t>
  </si>
  <si>
    <t>LOBELI TECHNO VIOLET</t>
  </si>
  <si>
    <t>001!0611863268050</t>
  </si>
  <si>
    <t>LOBELI TECHNO WHITE</t>
  </si>
  <si>
    <t>001!0611863269050</t>
  </si>
  <si>
    <t>LOBELI TECHNO WHITE 20</t>
  </si>
  <si>
    <t>001!0611863270050</t>
  </si>
  <si>
    <t>LOBELI TRAILING GENERIC</t>
  </si>
  <si>
    <t>001!0611836224100</t>
  </si>
  <si>
    <t>LOBELI TRAILING SAPPHIRE</t>
  </si>
  <si>
    <t>001!0611836225100</t>
  </si>
  <si>
    <t>LOBELI VULCAN RED SPECIOSA</t>
  </si>
  <si>
    <t>001!0611836226025</t>
  </si>
  <si>
    <t>LOBELI WHITE GENERIC</t>
  </si>
  <si>
    <t>001!0611836227100</t>
  </si>
  <si>
    <t>LOBELI WHITE LADY</t>
  </si>
  <si>
    <t>001!0611836228100</t>
  </si>
  <si>
    <t>LOBELI ZUNI SCARLET</t>
  </si>
  <si>
    <t>001!0611884299025</t>
  </si>
  <si>
    <t>LOBULA ALICE WHITE</t>
  </si>
  <si>
    <t>001!0611836232100</t>
  </si>
  <si>
    <t>LOBULA ALYSSUM BLNGL DSIGN</t>
  </si>
  <si>
    <t>001!0611836233100</t>
  </si>
  <si>
    <t>LOBULA BL LAV SHADES GENERIC</t>
  </si>
  <si>
    <t>001!0611836234100</t>
  </si>
  <si>
    <t>LOBULA BLBRRY MUFFIN MX</t>
  </si>
  <si>
    <t>001!0611836235100</t>
  </si>
  <si>
    <t>LOBULA CARPET OF SNOW</t>
  </si>
  <si>
    <t>001!0611836236100</t>
  </si>
  <si>
    <t>LOBULA CLEAR CRYSTAL LAV SHDS</t>
  </si>
  <si>
    <t>001!0611836237100</t>
  </si>
  <si>
    <t>LOBULA CLEAR CRYSTAL MIXTURE</t>
  </si>
  <si>
    <t>001!0611836238100</t>
  </si>
  <si>
    <t>LOBULA CLEAR CRYSTAL PPL SHDS</t>
  </si>
  <si>
    <t>001!0611836239100</t>
  </si>
  <si>
    <t>LOBULA CLEAR CRYSTAL WHITE</t>
  </si>
  <si>
    <t>001!0611836240100</t>
  </si>
  <si>
    <t>LOBULA EASTER BASKET MIX</t>
  </si>
  <si>
    <t>001!0611836241100</t>
  </si>
  <si>
    <t>LOBULA EASTER BONNET DEEP PINK</t>
  </si>
  <si>
    <t>001!0611836242100</t>
  </si>
  <si>
    <t>LOBULA EASTER BONNET DEEP ROSE</t>
  </si>
  <si>
    <t>001!0611836243100</t>
  </si>
  <si>
    <t>LOBULA EASTER BONNET LAVENDER</t>
  </si>
  <si>
    <t>001!0611836244100</t>
  </si>
  <si>
    <t>LOBULA EASTER BONNET LEMONADE</t>
  </si>
  <si>
    <t>001!0611836245100</t>
  </si>
  <si>
    <t>LOBULA EASTER BONNET MIX</t>
  </si>
  <si>
    <t>001!0611836246100</t>
  </si>
  <si>
    <t>LOBULA EASTER BONNET PASTEL MX</t>
  </si>
  <si>
    <t>001!0611836247100</t>
  </si>
  <si>
    <t>LOBULA EASTER BONNET PEACH</t>
  </si>
  <si>
    <t>001!0611836248100</t>
  </si>
  <si>
    <t>LOBULA EASTER BONNET VIOLET</t>
  </si>
  <si>
    <t>001!0611836249100</t>
  </si>
  <si>
    <t>LOBULA EASTER BONNET WHITE</t>
  </si>
  <si>
    <t>001!0611836250100</t>
  </si>
  <si>
    <t>LOBULA MARINELAND FROSTY LAV</t>
  </si>
  <si>
    <t>001!0611836251100</t>
  </si>
  <si>
    <t>LOBULA MARINELAND LAVENDER</t>
  </si>
  <si>
    <t>001!0611836252100</t>
  </si>
  <si>
    <t>LOBULA MARINELAND PINK</t>
  </si>
  <si>
    <t>001!0611836253100</t>
  </si>
  <si>
    <t>LOBULA MARINELAND WHITE</t>
  </si>
  <si>
    <t>001!0611836254100</t>
  </si>
  <si>
    <t>LOBULA NORTH FACE</t>
  </si>
  <si>
    <t>001!0611836255100</t>
  </si>
  <si>
    <t>LOBULA PASTEL MIX GENERIC</t>
  </si>
  <si>
    <t>001!0611836257100</t>
  </si>
  <si>
    <t>LOBULA PINK GENERIC</t>
  </si>
  <si>
    <t>001!0611836258100</t>
  </si>
  <si>
    <t>LOBULA PURPLE GENERIC</t>
  </si>
  <si>
    <t>001!0611836259100</t>
  </si>
  <si>
    <t>LOBULA SNOW CRYSTALS</t>
  </si>
  <si>
    <t>001!0611836261100</t>
  </si>
  <si>
    <t>LOBULA STREAM COMP PURPLE</t>
  </si>
  <si>
    <t>001!0611884300100</t>
  </si>
  <si>
    <t>LOBULA STREAM COMP ROSE</t>
  </si>
  <si>
    <t>001!0611884301100</t>
  </si>
  <si>
    <t>LOBULA STREAM COMP WHITE</t>
  </si>
  <si>
    <t>001!0611884302100</t>
  </si>
  <si>
    <t>LOBULA STREAM DEEP LAVENDER</t>
  </si>
  <si>
    <t>001!0611836264100</t>
  </si>
  <si>
    <t>LOBULA STREAM LAVENDER</t>
  </si>
  <si>
    <t>001!0611836265100</t>
  </si>
  <si>
    <t>LOBULA STREAM LILAC</t>
  </si>
  <si>
    <t>001!0611836266100</t>
  </si>
  <si>
    <t>LOBULA STREAM PURPLE</t>
  </si>
  <si>
    <t>001!0611836267100</t>
  </si>
  <si>
    <t>LOBULA STREAM RASPBERRY</t>
  </si>
  <si>
    <t>001!0611836268100</t>
  </si>
  <si>
    <t>LOBULA STREAM SILVER</t>
  </si>
  <si>
    <t>001!0611836269100</t>
  </si>
  <si>
    <t>LOBULA STREAM SNOW</t>
  </si>
  <si>
    <t>001!0611836270100</t>
  </si>
  <si>
    <t>LOBULA STREAM WHITE</t>
  </si>
  <si>
    <t>001!0611836271100</t>
  </si>
  <si>
    <t>LOBULA WHITE GENERIC</t>
  </si>
  <si>
    <t>001!0611836272100</t>
  </si>
  <si>
    <t>LOBULA WONDERLAND BLUE</t>
  </si>
  <si>
    <t>001!0611836273100</t>
  </si>
  <si>
    <t>LOBULA WONDERLAND DEEP PURPLE</t>
  </si>
  <si>
    <t>001!0611836275100</t>
  </si>
  <si>
    <t>LOBULA WONDERLAND DEEP ROSE</t>
  </si>
  <si>
    <t>001!0611836276100</t>
  </si>
  <si>
    <t>LOBULA WONDERLAND GIGA WHITE</t>
  </si>
  <si>
    <t>001!0611836277100</t>
  </si>
  <si>
    <t>LOBULA WONDERLAND LAVENDER</t>
  </si>
  <si>
    <t>001!0611836278100</t>
  </si>
  <si>
    <t>LOBULA WONDERLAND MIX</t>
  </si>
  <si>
    <t>001!0611836279100</t>
  </si>
  <si>
    <t>LOBULA WONDERLAND MULBERRY MIX</t>
  </si>
  <si>
    <t>001!0611836280100</t>
  </si>
  <si>
    <t>LOBULA WONDERLAND PINK</t>
  </si>
  <si>
    <t>001!0611836281100</t>
  </si>
  <si>
    <t>LOBULA WONDERLAND PURPLE</t>
  </si>
  <si>
    <t>001!0611836282100</t>
  </si>
  <si>
    <t>LOBULA WONDERLAND ROSE</t>
  </si>
  <si>
    <t>001!0611836283100</t>
  </si>
  <si>
    <t>LOBULA WONDERLAND WHITE</t>
  </si>
  <si>
    <t>001!0611836284100</t>
  </si>
  <si>
    <t>LOBULA YOLO FRENCH VANILLA</t>
  </si>
  <si>
    <t>001!0611863271050</t>
  </si>
  <si>
    <t>LOBULA YOLO LAVENDER</t>
  </si>
  <si>
    <t>001!0611863272050</t>
  </si>
  <si>
    <t>LOBULA YOLO TOP LAVENDER</t>
  </si>
  <si>
    <t>001!0611863273050</t>
  </si>
  <si>
    <t>LOBULA YOLO TOP PINK</t>
  </si>
  <si>
    <t>001!0611863274050</t>
  </si>
  <si>
    <t>LOBULA YOLO TOP PURPLE</t>
  </si>
  <si>
    <t>001!0611863275050</t>
  </si>
  <si>
    <t>LOBULA YOLO TOP WHITE</t>
  </si>
  <si>
    <t>001!0611863276050</t>
  </si>
  <si>
    <t>LOBULA YOLO WHITE</t>
  </si>
  <si>
    <t>001!0611863277050</t>
  </si>
  <si>
    <t>LOTUS BERTHELOTII</t>
  </si>
  <si>
    <t>001!0611836285100</t>
  </si>
  <si>
    <t>LOTUS LOTUS VINE GENERIC</t>
  </si>
  <si>
    <t>001!0611836286100</t>
  </si>
  <si>
    <t>LOTUS PARROTS BEAK</t>
  </si>
  <si>
    <t>001!0611863278050</t>
  </si>
  <si>
    <t>LOTUS PARROTS BEAK MACULATA</t>
  </si>
  <si>
    <t>001!0611836287100</t>
  </si>
  <si>
    <t>LOVAGE GENERIC</t>
  </si>
  <si>
    <t>001!0611836093100</t>
  </si>
  <si>
    <t>LOW LIGHT HOUSEPLANT</t>
  </si>
  <si>
    <t>001!0611836288025</t>
  </si>
  <si>
    <t>LUPINU GALLERY BLUE</t>
  </si>
  <si>
    <t>001!0611836289100</t>
  </si>
  <si>
    <t>001!0611836290025</t>
  </si>
  <si>
    <t>LUPINU GALLERY MINI BLUE</t>
  </si>
  <si>
    <t>001!0611836291025</t>
  </si>
  <si>
    <t>LUPINU GALLERY MINI BLUE BIC</t>
  </si>
  <si>
    <t>001!0611836292025</t>
  </si>
  <si>
    <t>LUPINU GALLERY MINI MIX</t>
  </si>
  <si>
    <t>001!0611836293025</t>
  </si>
  <si>
    <t>LUPINU GALLERY MINI PINK</t>
  </si>
  <si>
    <t>001!0611836294025</t>
  </si>
  <si>
    <t>LUPINU GALLERY MINI PINK BIC</t>
  </si>
  <si>
    <t>001!0611836295025</t>
  </si>
  <si>
    <t>LUPINU GALLERY MINI RED</t>
  </si>
  <si>
    <t>001!0611836296025</t>
  </si>
  <si>
    <t>LUPINU GALLERY MINI WHITE</t>
  </si>
  <si>
    <t>001!0611836297025</t>
  </si>
  <si>
    <t>LUPINU GALLERY MINI YELLOW</t>
  </si>
  <si>
    <t>001!0611836298025</t>
  </si>
  <si>
    <t>LUPINU GALLERY MIX</t>
  </si>
  <si>
    <t>001!0611836299100</t>
  </si>
  <si>
    <t>001!0611836300025</t>
  </si>
  <si>
    <t>LUPINU GALLERY PINK</t>
  </si>
  <si>
    <t>001!0611836301100</t>
  </si>
  <si>
    <t>001!0611836302025</t>
  </si>
  <si>
    <t>LUPINU GALLERY RED</t>
  </si>
  <si>
    <t>001!0611836303100</t>
  </si>
  <si>
    <t>001!0611836304025</t>
  </si>
  <si>
    <t>LUPINU GALLERY WHITE</t>
  </si>
  <si>
    <t>001!0611836305100</t>
  </si>
  <si>
    <t>001!0611836306025</t>
  </si>
  <si>
    <t>LUPINU GALLERY YELLOW</t>
  </si>
  <si>
    <t>001!0611836307100</t>
  </si>
  <si>
    <t>001!0611836308025</t>
  </si>
  <si>
    <t>LUPINU LUPINI BLUE SHADES</t>
  </si>
  <si>
    <t>001!0611836309025</t>
  </si>
  <si>
    <t>LUPINU LUPINI MIX</t>
  </si>
  <si>
    <t>001!0611836310025</t>
  </si>
  <si>
    <t>LUPINU LUPINI PINK SHADES</t>
  </si>
  <si>
    <t>001!0611836311025</t>
  </si>
  <si>
    <t>LUPINU LUPINI RED SHADES</t>
  </si>
  <si>
    <t>001!0611836312025</t>
  </si>
  <si>
    <t>LUPINU LUPINI WHITE</t>
  </si>
  <si>
    <t>001!0611836313025</t>
  </si>
  <si>
    <t>LUPINU LUPINI YELLOW SHADES</t>
  </si>
  <si>
    <t>001!0611836314025</t>
  </si>
  <si>
    <t>LUPINU MINARETTE MIX</t>
  </si>
  <si>
    <t>001!0611836315100</t>
  </si>
  <si>
    <t>001!0611836316025</t>
  </si>
  <si>
    <t>LUPINU MIX</t>
  </si>
  <si>
    <t>001!0611836317025</t>
  </si>
  <si>
    <t>LUPINU MY CASTLE</t>
  </si>
  <si>
    <t>001!0611836318025</t>
  </si>
  <si>
    <t>LUPINU RUSSELLS CARMINE RED</t>
  </si>
  <si>
    <t>001!0611836324025</t>
  </si>
  <si>
    <t>LUPINU RUSSELLS HYBRID MIX</t>
  </si>
  <si>
    <t>001!0611836325100</t>
  </si>
  <si>
    <t>001!0611836326025</t>
  </si>
  <si>
    <t>LUPINU RUSSELLS YELLOW</t>
  </si>
  <si>
    <t>001!0611836327025</t>
  </si>
  <si>
    <t>LUPINU STAIRCASE BLUE</t>
  </si>
  <si>
    <t>001!0611836328025</t>
  </si>
  <si>
    <t>LUPINU STAIRCASE BLUE/YELLOW</t>
  </si>
  <si>
    <t>001!0611836329025</t>
  </si>
  <si>
    <t>LUPINU STAIRCASE DARK BLUE/WH</t>
  </si>
  <si>
    <t>001!0611857028025</t>
  </si>
  <si>
    <t>LUPINU STAIRCASE ORANGE</t>
  </si>
  <si>
    <t>001!0611836330025</t>
  </si>
  <si>
    <t>LUPINU STAIRCASE PK GRAPEFRUIT</t>
  </si>
  <si>
    <t>001!0611857029025</t>
  </si>
  <si>
    <t>LUPINU STAIRCASE PURPLE</t>
  </si>
  <si>
    <t>001!0611857030025</t>
  </si>
  <si>
    <t>LUPINU STAIRCASE RED</t>
  </si>
  <si>
    <t>001!0611836331025</t>
  </si>
  <si>
    <t>LUPINU STAIRCASE RED/WHITE</t>
  </si>
  <si>
    <t>001!0611836332025</t>
  </si>
  <si>
    <t>LUPINU STAIRCASE ROSE/WHITE</t>
  </si>
  <si>
    <t>001!0611836333025</t>
  </si>
  <si>
    <t>LUPINU STAIRCASE YELLOW</t>
  </si>
  <si>
    <t>001!0611836334025</t>
  </si>
  <si>
    <t>LUPINU TEXAS BLUEBONNET</t>
  </si>
  <si>
    <t>001!0611836335100</t>
  </si>
  <si>
    <t>LUPINU THE CHATELAINE</t>
  </si>
  <si>
    <t>001!0611836336025</t>
  </si>
  <si>
    <t>LUPINU THE GOVERNOR</t>
  </si>
  <si>
    <t>001!0611836337025</t>
  </si>
  <si>
    <t>LUZULA CLGRSS LUCIUS</t>
  </si>
  <si>
    <t>001!0611836338025</t>
  </si>
  <si>
    <t>LYCHNI AGROSTEMMA RS CORONARIA</t>
  </si>
  <si>
    <t>001!0611836339025</t>
  </si>
  <si>
    <t>LYCHNI MALTESE CROSS</t>
  </si>
  <si>
    <t>001!0611836340100</t>
  </si>
  <si>
    <t>001!0611836341025</t>
  </si>
  <si>
    <t>LYCHNI MOLTEN LAVA</t>
  </si>
  <si>
    <t>001!0611836342025</t>
  </si>
  <si>
    <t>LYCHNI ORANGE GNOME</t>
  </si>
  <si>
    <t>001!0611836343025</t>
  </si>
  <si>
    <t>LYCHNI ROSE CAMPION GENERIC</t>
  </si>
  <si>
    <t>001!0611836344025</t>
  </si>
  <si>
    <t>LYCHNI VESUVIUS</t>
  </si>
  <si>
    <t>001!0611836345100</t>
  </si>
  <si>
    <t>LYCOPE EARLY GIRL PLUS</t>
  </si>
  <si>
    <t>001!0611884303100</t>
  </si>
  <si>
    <t>LYCOPE ZENZEI</t>
  </si>
  <si>
    <t>001!0611884304100</t>
  </si>
  <si>
    <t>LYSIMA ALEXANDER</t>
  </si>
  <si>
    <t>001!0611836681025</t>
  </si>
  <si>
    <t>LYSIMA AUREA</t>
  </si>
  <si>
    <t>001!0611836682100</t>
  </si>
  <si>
    <t>LYSIMA AUREA CREEPING JENNY</t>
  </si>
  <si>
    <t>001!0611836683025</t>
  </si>
  <si>
    <t>LYSIMA CREEPING JENNY</t>
  </si>
  <si>
    <t>001!0611836684100</t>
  </si>
  <si>
    <t>LYSIMA CRPNG JENNY MONEYWORT</t>
  </si>
  <si>
    <t>001!0611836685025</t>
  </si>
  <si>
    <t>LYSIMA FIREFLY CONGESTIFLORA</t>
  </si>
  <si>
    <t>001!0611836686025</t>
  </si>
  <si>
    <t>LYSIMA GENERIC NUMMULARIA</t>
  </si>
  <si>
    <t>001!0611836687025</t>
  </si>
  <si>
    <t>LYSIMA GOLDEN GLOBES</t>
  </si>
  <si>
    <t>001!0611836688100</t>
  </si>
  <si>
    <t>LYSIMA GOLDII</t>
  </si>
  <si>
    <t>001!0611836690025</t>
  </si>
  <si>
    <t>001!0611863279100</t>
  </si>
  <si>
    <t>001!0611863280050</t>
  </si>
  <si>
    <t>LYSIMA GOLDILOCKS</t>
  </si>
  <si>
    <t>001!0611836691100</t>
  </si>
  <si>
    <t>001!0611836692025</t>
  </si>
  <si>
    <t>001!0611863281050</t>
  </si>
  <si>
    <t>LYSIMA GREEN</t>
  </si>
  <si>
    <t>001!0611863282100</t>
  </si>
  <si>
    <t>LYSIMA LYSIMACHIA BLNGL DSIGN</t>
  </si>
  <si>
    <t>001!0611836694100</t>
  </si>
  <si>
    <t>LYSIMA MIDNIGHT SUN</t>
  </si>
  <si>
    <t>001!0611836695100</t>
  </si>
  <si>
    <t>001!0611863283050</t>
  </si>
  <si>
    <t>LYSIMA NIGHT LIGHT ALVREDII</t>
  </si>
  <si>
    <t>001!0611836696025</t>
  </si>
  <si>
    <t>LYSIMA OUTBACK SUNSET</t>
  </si>
  <si>
    <t>001!0611836697100</t>
  </si>
  <si>
    <t>LYSIMA SUNBURST</t>
  </si>
  <si>
    <t>001!0611863284050</t>
  </si>
  <si>
    <t>001!0611884305100</t>
  </si>
  <si>
    <t>LYSIMA VARIEGATED</t>
  </si>
  <si>
    <t>001!0611836698100</t>
  </si>
  <si>
    <t>LYSIMA YELLOW</t>
  </si>
  <si>
    <t>001!0611863285050</t>
  </si>
  <si>
    <t>LYTHRU MORDEN GLEAM VIRGATUM</t>
  </si>
  <si>
    <t>001!0611836699025</t>
  </si>
  <si>
    <t>LYTHRU MORDEN PINK VIRGATUM</t>
  </si>
  <si>
    <t>001!0611836700025</t>
  </si>
  <si>
    <t>MADINI PETITE PINK</t>
  </si>
  <si>
    <t>001!0611863286050</t>
  </si>
  <si>
    <t>MADINI PETITE RED</t>
  </si>
  <si>
    <t>001!0611863287050</t>
  </si>
  <si>
    <t>MALVA ALBA MOSCHATA</t>
  </si>
  <si>
    <t>001!0611836701025</t>
  </si>
  <si>
    <t>MALVA PINK</t>
  </si>
  <si>
    <t>001!0611836702025</t>
  </si>
  <si>
    <t>MALVA SYLVESTRIS</t>
  </si>
  <si>
    <t>001!0611836703025</t>
  </si>
  <si>
    <t>MALVA ZEBRINA SYLVESTRIS</t>
  </si>
  <si>
    <t>001!0611836704100</t>
  </si>
  <si>
    <t>MALVAV RED</t>
  </si>
  <si>
    <t>001!0611836705025</t>
  </si>
  <si>
    <t>MANDEV BELLA SERIES</t>
  </si>
  <si>
    <t>001!0611836706100</t>
  </si>
  <si>
    <t>MANDEV MANDEVILLA GENERIC</t>
  </si>
  <si>
    <t>001!0611836707100</t>
  </si>
  <si>
    <t>001!0611836708100</t>
  </si>
  <si>
    <t>MANETT CANDY CORN</t>
  </si>
  <si>
    <t>001!0611836709100</t>
  </si>
  <si>
    <t>MARANT MARANTA GENERIC</t>
  </si>
  <si>
    <t>001!0611836710100</t>
  </si>
  <si>
    <t>MARIGO AFRICAN GNRC BLNGL</t>
  </si>
  <si>
    <t>001!0611839514100</t>
  </si>
  <si>
    <t>MARIGO AFRICAN GOLD GENERIC</t>
  </si>
  <si>
    <t>001!0611839515100</t>
  </si>
  <si>
    <t>MARIGO AFRICAN ORNG GNRC BLNGL</t>
  </si>
  <si>
    <t>001!0611857031100</t>
  </si>
  <si>
    <t>MARIGO AFRICAN YELL GNRC BLNGL</t>
  </si>
  <si>
    <t>001!0611857032100</t>
  </si>
  <si>
    <t>MARIGO ALUMIA CRÈME BRULEE</t>
  </si>
  <si>
    <t>001!0611839516100</t>
  </si>
  <si>
    <t>MARIGO ALUMIA DEEP ORANGE</t>
  </si>
  <si>
    <t>001!0611884306100</t>
  </si>
  <si>
    <t>MARIGO ALUMIA FLAME</t>
  </si>
  <si>
    <t>001!0611884307100</t>
  </si>
  <si>
    <t>MARIGO ALUMIA MIX</t>
  </si>
  <si>
    <t>001!0611884308100</t>
  </si>
  <si>
    <t>MARIGO ALUMIA VANILLA CREAM</t>
  </si>
  <si>
    <t>001!0611839521100</t>
  </si>
  <si>
    <t>MARIGO ALUMIA YELLOW</t>
  </si>
  <si>
    <t>001!0611839522100</t>
  </si>
  <si>
    <t>MARIGO ANTIGUA GOLD</t>
  </si>
  <si>
    <t>001!0611839523100</t>
  </si>
  <si>
    <t>MARIGO ANTIGUA MIX</t>
  </si>
  <si>
    <t>001!0611839524100</t>
  </si>
  <si>
    <t>MARIGO ANTIGUA ORANGE</t>
  </si>
  <si>
    <t>001!0611839525100</t>
  </si>
  <si>
    <t>MARIGO ANTIGUA PRIMROSE</t>
  </si>
  <si>
    <t>001!0611839526100</t>
  </si>
  <si>
    <t>MARIGO ANTIGUA YELLOW</t>
  </si>
  <si>
    <t>001!0611839527100</t>
  </si>
  <si>
    <t>MARIGO BALI GOLD</t>
  </si>
  <si>
    <t>001!0611839528100</t>
  </si>
  <si>
    <t>MARIGO BALI MIX</t>
  </si>
  <si>
    <t>001!0611839529100</t>
  </si>
  <si>
    <t>MARIGO BALI ORANGE</t>
  </si>
  <si>
    <t>001!0611839530100</t>
  </si>
  <si>
    <t>MARIGO BALI YELLOW</t>
  </si>
  <si>
    <t>001!0611839531100</t>
  </si>
  <si>
    <t>MARIGO BIC GENERIC BILINGUAL</t>
  </si>
  <si>
    <t>001!0611839532100</t>
  </si>
  <si>
    <t>MARIGO BIG DUCK GOLD</t>
  </si>
  <si>
    <t>001!0611839533100</t>
  </si>
  <si>
    <t>MARIGO BIG DUCK ORANGE</t>
  </si>
  <si>
    <t>001!0611839534100</t>
  </si>
  <si>
    <t>MARIGO BIG DUCK YELLOW</t>
  </si>
  <si>
    <t>001!0611839535100</t>
  </si>
  <si>
    <t>MARIGO BIG TOP GOLD</t>
  </si>
  <si>
    <t>001!0611839536100</t>
  </si>
  <si>
    <t>MARIGO BIG TOP MIX</t>
  </si>
  <si>
    <t>001!0611839537100</t>
  </si>
  <si>
    <t>MARIGO BIG TOP ORANGE</t>
  </si>
  <si>
    <t>001!0611839538100</t>
  </si>
  <si>
    <t>MARIGO BIG TOP YELLOW</t>
  </si>
  <si>
    <t>001!0611839539100</t>
  </si>
  <si>
    <t>MARIGO BOLERO</t>
  </si>
  <si>
    <t>001!0611839540100</t>
  </si>
  <si>
    <t>MARIGO BONANZA BEE</t>
  </si>
  <si>
    <t>001!0611839541100</t>
  </si>
  <si>
    <t>MARIGO BONANZA BOLERO</t>
  </si>
  <si>
    <t>001!0611839542100</t>
  </si>
  <si>
    <t>MARIGO BONANZA DEEP ORANGE</t>
  </si>
  <si>
    <t>001!0611839543100</t>
  </si>
  <si>
    <t>MARIGO BONANZA FLAME</t>
  </si>
  <si>
    <t>001!0611839544100</t>
  </si>
  <si>
    <t>MARIGO BONANZA GOLD</t>
  </si>
  <si>
    <t>001!0611839545100</t>
  </si>
  <si>
    <t>MARIGO BONANZA HARMONY</t>
  </si>
  <si>
    <t>001!0611839546100</t>
  </si>
  <si>
    <t>MARIGO BONANZA MIX</t>
  </si>
  <si>
    <t>001!0611839547100</t>
  </si>
  <si>
    <t>MARIGO BONANZA ORANGE</t>
  </si>
  <si>
    <t>001!0611839548100</t>
  </si>
  <si>
    <t>MARIGO BONANZA YELLOW</t>
  </si>
  <si>
    <t>001!0611839549100</t>
  </si>
  <si>
    <t>MARIGO BOY HARMONY</t>
  </si>
  <si>
    <t>001!0611839551100</t>
  </si>
  <si>
    <t>MARIGO BOY O BOY MIX</t>
  </si>
  <si>
    <t>001!0611839552100</t>
  </si>
  <si>
    <t>MARIGO BOY ORANGE</t>
  </si>
  <si>
    <t>001!0611839553100</t>
  </si>
  <si>
    <t>MARIGO BOY SPRY</t>
  </si>
  <si>
    <t>001!0611839554100</t>
  </si>
  <si>
    <t>MARIGO BOY YELLOW</t>
  </si>
  <si>
    <t>001!0611839555100</t>
  </si>
  <si>
    <t>MARIGO CHICA FLAME</t>
  </si>
  <si>
    <t>001!0611839558100</t>
  </si>
  <si>
    <t>MARIGO CHICA MIX</t>
  </si>
  <si>
    <t>001!0611839560100</t>
  </si>
  <si>
    <t>MARIGO CHICA ORANGE</t>
  </si>
  <si>
    <t>001!0611839561100</t>
  </si>
  <si>
    <t>MARIGO CHICA YELLOW</t>
  </si>
  <si>
    <t>001!0611839562100</t>
  </si>
  <si>
    <t>MARIGO CRACKERJACK MIX</t>
  </si>
  <si>
    <t>001!0611839563100</t>
  </si>
  <si>
    <t>MARIGO CRESTA BEE</t>
  </si>
  <si>
    <t>001!0611884309100</t>
  </si>
  <si>
    <t>MARIGO CRESTA DEEP ORANGE</t>
  </si>
  <si>
    <t>001!0611884310100</t>
  </si>
  <si>
    <t>MARIGO CRESTA FLAME</t>
  </si>
  <si>
    <t>001!0611884311100</t>
  </si>
  <si>
    <t>MARIGO CRESTA GOLD</t>
  </si>
  <si>
    <t>001!0611884312100</t>
  </si>
  <si>
    <t>MARIGO CRESTA HARMONY</t>
  </si>
  <si>
    <t>001!0611884313100</t>
  </si>
  <si>
    <t>MARIGO CRESTA MIX</t>
  </si>
  <si>
    <t>001!0611884314100</t>
  </si>
  <si>
    <t>MARIGO CRESTA ORANGE</t>
  </si>
  <si>
    <t>001!0611884315100</t>
  </si>
  <si>
    <t>MARIGO CRESTA SPRY</t>
  </si>
  <si>
    <t>001!0611884316100</t>
  </si>
  <si>
    <t>MARIGO CRESTA YELLOW</t>
  </si>
  <si>
    <t>001!0611884317100</t>
  </si>
  <si>
    <t>MARIGO CRUSH PINEAPPLE</t>
  </si>
  <si>
    <t>001!0611839565100</t>
  </si>
  <si>
    <t>MARIGO CRUSH PUMPKIN</t>
  </si>
  <si>
    <t>001!0611839566100</t>
  </si>
  <si>
    <t>MARIGO DISCO GRANADA</t>
  </si>
  <si>
    <t>001!0611839569100</t>
  </si>
  <si>
    <t>MARIGO DISCO MARIETTA</t>
  </si>
  <si>
    <t>001!0611839570100</t>
  </si>
  <si>
    <t>MARIGO DISCO MIX</t>
  </si>
  <si>
    <t>001!0611839571100</t>
  </si>
  <si>
    <t>MARIGO DISCO ORANGE</t>
  </si>
  <si>
    <t>001!0611839572100</t>
  </si>
  <si>
    <t>MARIGO DISCO RED</t>
  </si>
  <si>
    <t>001!0611839573100</t>
  </si>
  <si>
    <t>MARIGO DISCO YELLOW</t>
  </si>
  <si>
    <t>001!0611839574100</t>
  </si>
  <si>
    <t>MARIGO DISCOVERY MIX</t>
  </si>
  <si>
    <t>001!0611839575100</t>
  </si>
  <si>
    <t>MARIGO DISCOVERY ORANGE</t>
  </si>
  <si>
    <t>001!0611839576100</t>
  </si>
  <si>
    <t>MARIGO DISCOVERY YELLOW</t>
  </si>
  <si>
    <t>001!0611839577100</t>
  </si>
  <si>
    <t>MARIGO DURANGO BEE</t>
  </si>
  <si>
    <t>001!0611839579100</t>
  </si>
  <si>
    <t>MARIGO DURANGO BOLERO</t>
  </si>
  <si>
    <t>001!0611839580100</t>
  </si>
  <si>
    <t>MARIGO DURANGO FLAME</t>
  </si>
  <si>
    <t>001!0611839581100</t>
  </si>
  <si>
    <t>MARIGO DURANGO GOLD</t>
  </si>
  <si>
    <t>001!0611839582100</t>
  </si>
  <si>
    <t>MARIGO DURANGO MIX</t>
  </si>
  <si>
    <t>001!0611839583100</t>
  </si>
  <si>
    <t>MARIGO DURANGO ORANGE</t>
  </si>
  <si>
    <t>001!0611839584100</t>
  </si>
  <si>
    <t>MARIGO DURANGO OUTBACK MIX</t>
  </si>
  <si>
    <t>001!0611839585100</t>
  </si>
  <si>
    <t>MARIGO DURANGO RED</t>
  </si>
  <si>
    <t>001!0611839586100</t>
  </si>
  <si>
    <t>MARIGO DURANGO TANGERINE</t>
  </si>
  <si>
    <t>001!0611839587100</t>
  </si>
  <si>
    <t>MARIGO DURANGO YELLOW</t>
  </si>
  <si>
    <t>001!0611839588100</t>
  </si>
  <si>
    <t>MARIGO DWARF BICOLOR GENERIC</t>
  </si>
  <si>
    <t>001!0611839589100</t>
  </si>
  <si>
    <t>MARIGO DWARF MIX GENERIC</t>
  </si>
  <si>
    <t>001!0611839590100</t>
  </si>
  <si>
    <t>MARIGO DWARF ORANGE GENERIC</t>
  </si>
  <si>
    <t>001!0611839591100</t>
  </si>
  <si>
    <t>MARIGO DWARF YELLOW GENERIC</t>
  </si>
  <si>
    <t>001!0611839592100</t>
  </si>
  <si>
    <t>MARIGO ENDURANCE MIX</t>
  </si>
  <si>
    <t>001!0611839593100</t>
  </si>
  <si>
    <t>MARIGO ENDURANCE ORANGE</t>
  </si>
  <si>
    <t>001!0611839594100</t>
  </si>
  <si>
    <t>MARIGO ENDURANCE SUNSET GOLD</t>
  </si>
  <si>
    <t>001!0611839595100</t>
  </si>
  <si>
    <t>MARIGO ENDURANCE YELLOW</t>
  </si>
  <si>
    <t>001!0611839596100</t>
  </si>
  <si>
    <t>MARIGO FIREBALL</t>
  </si>
  <si>
    <t>001!0611839597100</t>
  </si>
  <si>
    <t>MARIGO FLAMENCO</t>
  </si>
  <si>
    <t>001!0611839598100</t>
  </si>
  <si>
    <t>MARIGO FRENCH GENERIC BILINGL</t>
  </si>
  <si>
    <t>001!0611839599100</t>
  </si>
  <si>
    <t>MARIGO FRENCH VANILLA</t>
  </si>
  <si>
    <t>001!0611839600100</t>
  </si>
  <si>
    <t>MARIGO GEM</t>
  </si>
  <si>
    <t>001!0611839603100</t>
  </si>
  <si>
    <t>MARIGO GEM GOLDEN</t>
  </si>
  <si>
    <t>001!0611839604100</t>
  </si>
  <si>
    <t>MARIGO GEM LEMON</t>
  </si>
  <si>
    <t>001!0611884318025</t>
  </si>
  <si>
    <t>MARIGO GEM TANGERINE</t>
  </si>
  <si>
    <t>001!0611884319025</t>
  </si>
  <si>
    <t>MARIGO GENERIC BILINGUAL</t>
  </si>
  <si>
    <t>001!0611839678100</t>
  </si>
  <si>
    <t>MARIGO HAPPY GOLD</t>
  </si>
  <si>
    <t>001!0611839605100</t>
  </si>
  <si>
    <t>MARIGO HAPPY HARMONY</t>
  </si>
  <si>
    <t>001!0611839606100</t>
  </si>
  <si>
    <t>MARIGO HAPPY MIX</t>
  </si>
  <si>
    <t>001!0611839607100</t>
  </si>
  <si>
    <t>MARIGO HAPPY ORANGE</t>
  </si>
  <si>
    <t>001!0611839608100</t>
  </si>
  <si>
    <t>MARIGO HAPPY SPRY</t>
  </si>
  <si>
    <t>001!0611839609100</t>
  </si>
  <si>
    <t>MARIGO HAPPY YELLOW</t>
  </si>
  <si>
    <t>001!0611839610100</t>
  </si>
  <si>
    <t>MARIGO HERO BEE</t>
  </si>
  <si>
    <t>001!0611839611100</t>
  </si>
  <si>
    <t>MARIGO HERO FLAME</t>
  </si>
  <si>
    <t>001!0611839612100</t>
  </si>
  <si>
    <t>MARIGO HERO HARMONY</t>
  </si>
  <si>
    <t>001!0611839613100</t>
  </si>
  <si>
    <t>MARIGO HERO MIX</t>
  </si>
  <si>
    <t>001!0611839614100</t>
  </si>
  <si>
    <t>MARIGO HERO ORANGE</t>
  </si>
  <si>
    <t>001!0611839615100</t>
  </si>
  <si>
    <t>MARIGO HERO SPRY</t>
  </si>
  <si>
    <t>001!0611839617100</t>
  </si>
  <si>
    <t>MARIGO HERO YELLOW</t>
  </si>
  <si>
    <t>001!0611839618100</t>
  </si>
  <si>
    <t>MARIGO HOT PAK FIRE</t>
  </si>
  <si>
    <t>001!0611839619100</t>
  </si>
  <si>
    <t>MARIGO HOT PAK FLAME</t>
  </si>
  <si>
    <t>001!0611839620100</t>
  </si>
  <si>
    <t>MARIGO HOT PAK GOLD</t>
  </si>
  <si>
    <t>001!0611839621100</t>
  </si>
  <si>
    <t>MARIGO HOT PAK HARMONY</t>
  </si>
  <si>
    <t>001!0611839622100</t>
  </si>
  <si>
    <t>MARIGO HOT PAK MIX</t>
  </si>
  <si>
    <t>001!0611839623100</t>
  </si>
  <si>
    <t>MARIGO HOT PAK ORANGE</t>
  </si>
  <si>
    <t>001!0611839624100</t>
  </si>
  <si>
    <t>MARIGO HOT PAK SPRY</t>
  </si>
  <si>
    <t>001!0611839625100</t>
  </si>
  <si>
    <t>MARIGO HOT PAK YELLOW</t>
  </si>
  <si>
    <t>001!0611839626100</t>
  </si>
  <si>
    <t>MARIGO INCA GOLD</t>
  </si>
  <si>
    <t>001!0611839627100</t>
  </si>
  <si>
    <t>MARIGO INCA II DEEP ORANGE</t>
  </si>
  <si>
    <t>001!0611839628100</t>
  </si>
  <si>
    <t>MARIGO INCA II GOLD</t>
  </si>
  <si>
    <t>001!0611839629100</t>
  </si>
  <si>
    <t>MARIGO INCA II MIX</t>
  </si>
  <si>
    <t>001!0611839630100</t>
  </si>
  <si>
    <t>MARIGO INCA II ORANGE</t>
  </si>
  <si>
    <t>001!0611839631100</t>
  </si>
  <si>
    <t>MARIGO INCA II PRIMROSE</t>
  </si>
  <si>
    <t>001!0611839632100</t>
  </si>
  <si>
    <t>MARIGO INCA II YELLOW</t>
  </si>
  <si>
    <t>001!0611839633100</t>
  </si>
  <si>
    <t>MARIGO INCA MIX</t>
  </si>
  <si>
    <t>001!0611839634100</t>
  </si>
  <si>
    <t>MARIGO INCA ORANGE</t>
  </si>
  <si>
    <t>001!0611839635100</t>
  </si>
  <si>
    <t>MARIGO INCA YELLOW</t>
  </si>
  <si>
    <t>001!0611839636100</t>
  </si>
  <si>
    <t>MARIGO JANIE BRIGHT YELLOW</t>
  </si>
  <si>
    <t>001!0611839637100</t>
  </si>
  <si>
    <t>MARIGO JANIE DEEP ORANGE</t>
  </si>
  <si>
    <t>001!0611839638100</t>
  </si>
  <si>
    <t>MARIGO JANIE FLAME</t>
  </si>
  <si>
    <t>001!0611839639100</t>
  </si>
  <si>
    <t>MARIGO JANIE GOLD</t>
  </si>
  <si>
    <t>001!0611839640100</t>
  </si>
  <si>
    <t>MARIGO JANIE HARMONY</t>
  </si>
  <si>
    <t>001!0611839641100</t>
  </si>
  <si>
    <t>MARIGO JANIE MIX</t>
  </si>
  <si>
    <t>001!0611839642100</t>
  </si>
  <si>
    <t>MARIGO JANIE PRIMROSE</t>
  </si>
  <si>
    <t>001!0611839643100</t>
  </si>
  <si>
    <t>MARIGO JANIE SPRY</t>
  </si>
  <si>
    <t>001!0611839644100</t>
  </si>
  <si>
    <t>MARIGO JANIE TANGERINE</t>
  </si>
  <si>
    <t>001!0611839645100</t>
  </si>
  <si>
    <t>MARIGO JEDI ORANGE</t>
  </si>
  <si>
    <t>001!0611839646100</t>
  </si>
  <si>
    <t>MARIGO LADY FIRST</t>
  </si>
  <si>
    <t>001!0611839647100</t>
  </si>
  <si>
    <t>MARIGO LADY MIX</t>
  </si>
  <si>
    <t>001!0611839649100</t>
  </si>
  <si>
    <t>MARIGO LADY ORANGE</t>
  </si>
  <si>
    <t>001!0611839650100</t>
  </si>
  <si>
    <t>MARIGO LEMON DROP</t>
  </si>
  <si>
    <t>001!0611839652100</t>
  </si>
  <si>
    <t>MARIGO LEOPARD</t>
  </si>
  <si>
    <t>001!0611839653100</t>
  </si>
  <si>
    <t>MARIGO LITTLE DEVIL FIRE</t>
  </si>
  <si>
    <t>001!0611839654100</t>
  </si>
  <si>
    <t>MARIGO LITTLE DUCK ORANGE</t>
  </si>
  <si>
    <t>001!0611839655100</t>
  </si>
  <si>
    <t>MARIGO LITTLE DUCK YELLOW</t>
  </si>
  <si>
    <t>001!0611839656100</t>
  </si>
  <si>
    <t>MARIGO LITTLE HERO FIRE</t>
  </si>
  <si>
    <t>001!0611839657100</t>
  </si>
  <si>
    <t>MARIGO LITTLE HERO MIX</t>
  </si>
  <si>
    <t>001!0611839658100</t>
  </si>
  <si>
    <t>MARIGO LITTLE HERO ORANGE</t>
  </si>
  <si>
    <t>001!0611839659100</t>
  </si>
  <si>
    <t>MARIGO LITTLE HERO SPRY</t>
  </si>
  <si>
    <t>001!0611839660100</t>
  </si>
  <si>
    <t>MARIGO LITTLE HERO YELLOW</t>
  </si>
  <si>
    <t>001!0611839661100</t>
  </si>
  <si>
    <t>MARIGO LULU</t>
  </si>
  <si>
    <t>001!0611839662100</t>
  </si>
  <si>
    <t>MARIGO MARIETTA RED</t>
  </si>
  <si>
    <t>001!0611839663100</t>
  </si>
  <si>
    <t>MARIGO MARVEL GOLD</t>
  </si>
  <si>
    <t>001!0611839664100</t>
  </si>
  <si>
    <t>MARIGO MARVEL II GOLD</t>
  </si>
  <si>
    <t>001!0611839665100</t>
  </si>
  <si>
    <t>MARIGO MARVEL II MIX</t>
  </si>
  <si>
    <t>001!0611839666100</t>
  </si>
  <si>
    <t>MARIGO MARVEL II ORANGE</t>
  </si>
  <si>
    <t>001!0611839667100</t>
  </si>
  <si>
    <t>MARIGO MARVEL II YELLOW</t>
  </si>
  <si>
    <t>001!0611839668100</t>
  </si>
  <si>
    <t>MARIGO MARVEL MIX</t>
  </si>
  <si>
    <t>001!0611839669100</t>
  </si>
  <si>
    <t>MARIGO MARVEL ORANGE</t>
  </si>
  <si>
    <t>001!0611839670100</t>
  </si>
  <si>
    <t>MARIGO MARVEL YELLOW</t>
  </si>
  <si>
    <t>001!0611839671100</t>
  </si>
  <si>
    <t>MARIGO MOONSTRUCK ORANGE</t>
  </si>
  <si>
    <t>001!0611839675100</t>
  </si>
  <si>
    <t>MARIGO MOONSTRUCK YELLOW</t>
  </si>
  <si>
    <t>001!0611839676100</t>
  </si>
  <si>
    <t>MARIGO MR MAJESTIC</t>
  </si>
  <si>
    <t>001!0611839677100</t>
  </si>
  <si>
    <t>MARIGO ORANGE GENERIC</t>
  </si>
  <si>
    <t>001!0611839679100</t>
  </si>
  <si>
    <t>MARIGO ORANGE GNRC BLNGL</t>
  </si>
  <si>
    <t>001!0611839680100</t>
  </si>
  <si>
    <t>MARIGO PERFECTION ORANGE</t>
  </si>
  <si>
    <t>001!0611839682100</t>
  </si>
  <si>
    <t>MARIGO PERFECTION YELLOW</t>
  </si>
  <si>
    <t>001!0611839683100</t>
  </si>
  <si>
    <t>MARIGO PROUD MARI GOLD</t>
  </si>
  <si>
    <t>001!0611839684100</t>
  </si>
  <si>
    <t>MARIGO PROUD MARI MIX</t>
  </si>
  <si>
    <t>001!0611839685100</t>
  </si>
  <si>
    <t>MARIGO PROUD MARI ORANGE</t>
  </si>
  <si>
    <t>001!0611839686100</t>
  </si>
  <si>
    <t>MARIGO PROUD MARI YELLOW</t>
  </si>
  <si>
    <t>001!0611839687100</t>
  </si>
  <si>
    <t>MARIGO RED GENERIC</t>
  </si>
  <si>
    <t>001!0611839689100</t>
  </si>
  <si>
    <t>MARIGO RED GENERIC BILINGUAL</t>
  </si>
  <si>
    <t>001!0611839688100</t>
  </si>
  <si>
    <t>MARIGO SAFARI BOLERO</t>
  </si>
  <si>
    <t>001!0611839690100</t>
  </si>
  <si>
    <t>MARIGO SAFARI GOLD</t>
  </si>
  <si>
    <t>001!0611839691100</t>
  </si>
  <si>
    <t>MARIGO SAFARI MIX</t>
  </si>
  <si>
    <t>001!0611839692100</t>
  </si>
  <si>
    <t>MARIGO SAFARI ORANGE</t>
  </si>
  <si>
    <t>001!0611839693100</t>
  </si>
  <si>
    <t>MARIGO SAFARI QUEEN</t>
  </si>
  <si>
    <t>001!0611839694100</t>
  </si>
  <si>
    <t>MARIGO SAFARI RED</t>
  </si>
  <si>
    <t>001!0611839695100</t>
  </si>
  <si>
    <t>MARIGO SAFARI SCARLET</t>
  </si>
  <si>
    <t>001!0611839696100</t>
  </si>
  <si>
    <t>MARIGO SAFARI TANGERINE</t>
  </si>
  <si>
    <t>001!0611839697100</t>
  </si>
  <si>
    <t>MARIGO SAFARI YELLOW</t>
  </si>
  <si>
    <t>001!0611839698100</t>
  </si>
  <si>
    <t>MARIGO SAFARI YELLOW FIRE</t>
  </si>
  <si>
    <t>001!0611839699100</t>
  </si>
  <si>
    <t>MARIGO SOPHIA QUEEN</t>
  </si>
  <si>
    <t>001!0611839701100</t>
  </si>
  <si>
    <t>MARIGO STRAWBERRY BLONDE</t>
  </si>
  <si>
    <t>001!0611839702100</t>
  </si>
  <si>
    <t>MARIGO SUPER HERO DEEP ORANGE</t>
  </si>
  <si>
    <t>001!0611839703100</t>
  </si>
  <si>
    <t>MARIGO SUPER HERO DEEP YELLOW</t>
  </si>
  <si>
    <t>001!0611839704100</t>
  </si>
  <si>
    <t>MARIGO SUPER HERO GOLD</t>
  </si>
  <si>
    <t>001!0611839705100</t>
  </si>
  <si>
    <t>MARIGO SUPER HERO HARMONY</t>
  </si>
  <si>
    <t>001!0611839706100</t>
  </si>
  <si>
    <t>MARIGO SUPER HERO MIX</t>
  </si>
  <si>
    <t>001!0611839707100</t>
  </si>
  <si>
    <t>MARIGO SUPER HERO ORANGE</t>
  </si>
  <si>
    <t>001!0611839708100</t>
  </si>
  <si>
    <t>MARIGO SUPER HERO ORANGE BEE</t>
  </si>
  <si>
    <t>001!0611839709100</t>
  </si>
  <si>
    <t>MARIGO SUPER HERO ORANGE FLAME</t>
  </si>
  <si>
    <t>001!0611839710100</t>
  </si>
  <si>
    <t>MARIGO SUPER HERO SPRY</t>
  </si>
  <si>
    <t>001!0611839711100</t>
  </si>
  <si>
    <t>MARIGO SUPER HERO YELLOW</t>
  </si>
  <si>
    <t>001!0611839712100</t>
  </si>
  <si>
    <t>MARIGO SUPER HERO YELLOW BEE</t>
  </si>
  <si>
    <t>001!0611839713100</t>
  </si>
  <si>
    <t>MARIGO SWEET CREAM</t>
  </si>
  <si>
    <t>001!0611839714100</t>
  </si>
  <si>
    <t>MARIGO TAISHAN GOLD</t>
  </si>
  <si>
    <t>001!0611839715100</t>
  </si>
  <si>
    <t>MARIGO TAISHAN MIX</t>
  </si>
  <si>
    <t>001!0611839716100</t>
  </si>
  <si>
    <t>MARIGO TAISHAN ORANGE</t>
  </si>
  <si>
    <t>001!0611839717100</t>
  </si>
  <si>
    <t>MARIGO TAISHAN SERIES</t>
  </si>
  <si>
    <t>001!0611839718100</t>
  </si>
  <si>
    <t>MARIGO TAISHAN YELLOW</t>
  </si>
  <si>
    <t>001!0611839719100</t>
  </si>
  <si>
    <t>MARIGO TALL ORANGE GENERIC</t>
  </si>
  <si>
    <t>001!0611839720100</t>
  </si>
  <si>
    <t>MARIGO TALL YELLOW GENERIC</t>
  </si>
  <si>
    <t>001!0611839721100</t>
  </si>
  <si>
    <t>MARIGO VANILLA</t>
  </si>
  <si>
    <t>001!0611839723100</t>
  </si>
  <si>
    <t>MARIGO WHITE GENERIC BILINGUAL</t>
  </si>
  <si>
    <t>001!0611839724100</t>
  </si>
  <si>
    <t>MARIGO YELL GENERIC BILINGUAL</t>
  </si>
  <si>
    <t>001!0611839725100</t>
  </si>
  <si>
    <t>MARIGO YELLOW GENERIC</t>
  </si>
  <si>
    <t>001!0611839727100</t>
  </si>
  <si>
    <t>MARIGO ZENITH DEEP ORANGE</t>
  </si>
  <si>
    <t>001!0611839728100</t>
  </si>
  <si>
    <t>MARIGO ZENITH GOLDEN YELLOW</t>
  </si>
  <si>
    <t>001!0611839729100</t>
  </si>
  <si>
    <t>MARIGO ZENITH LEMON YELLOW</t>
  </si>
  <si>
    <t>001!0611839730100</t>
  </si>
  <si>
    <t>MARIGO ZENITH ORANGE</t>
  </si>
  <si>
    <t>001!0611839731100</t>
  </si>
  <si>
    <t>MARIGO ZENITH RED</t>
  </si>
  <si>
    <t>001!0611839732100</t>
  </si>
  <si>
    <t>MARIGO ZENITH RED/GOLD</t>
  </si>
  <si>
    <t>001!0611839733100</t>
  </si>
  <si>
    <t>MARIGO ZENITH SERIES</t>
  </si>
  <si>
    <t>001!0611839734100</t>
  </si>
  <si>
    <t>MARIGO ZENITH YELLOW</t>
  </si>
  <si>
    <t>001!0611839735100</t>
  </si>
  <si>
    <t>MARJOR GENERIC</t>
  </si>
  <si>
    <t>001!0611837057100</t>
  </si>
  <si>
    <t>MARJOR GOLDEN</t>
  </si>
  <si>
    <t>001!0611837046100</t>
  </si>
  <si>
    <t>MARJOR SWEET</t>
  </si>
  <si>
    <t>001!0611837062100</t>
  </si>
  <si>
    <t>001!0611837063025</t>
  </si>
  <si>
    <t>MARJOR VARIEGATED</t>
  </si>
  <si>
    <t>001!0611837064100</t>
  </si>
  <si>
    <t>MARRUB HOREHOUND</t>
  </si>
  <si>
    <t>001!0611884320025</t>
  </si>
  <si>
    <t>MAZUS PURPLE</t>
  </si>
  <si>
    <t>001!0611863289100</t>
  </si>
  <si>
    <t>MAZUS PURPLE REPTANS</t>
  </si>
  <si>
    <t>001!0611836745025</t>
  </si>
  <si>
    <t>MECARD GARDEN FRECKLES</t>
  </si>
  <si>
    <t>001!0611836746100</t>
  </si>
  <si>
    <t>MECARD GOLD FLAKES</t>
  </si>
  <si>
    <t>001!0611857033100</t>
  </si>
  <si>
    <t>MECARD MAGIC CARPET YELLOW</t>
  </si>
  <si>
    <t>001!0611836747100</t>
  </si>
  <si>
    <t>MELAMP BLACKFOOT DAISY</t>
  </si>
  <si>
    <t>001!0611836749100</t>
  </si>
  <si>
    <t>MELAMP DERBY</t>
  </si>
  <si>
    <t>001!0611836750100</t>
  </si>
  <si>
    <t>MELAMP JACKPOT GOLD</t>
  </si>
  <si>
    <t>001!0611836751100</t>
  </si>
  <si>
    <t>MELAMP LEMON DELIGHT</t>
  </si>
  <si>
    <t>001!0611836752100</t>
  </si>
  <si>
    <t>MELAMP MELAMPODIUM GENERIC</t>
  </si>
  <si>
    <t>001!0611836753100</t>
  </si>
  <si>
    <t>MELAMP MILLION GOLD</t>
  </si>
  <si>
    <t>001!0611836754100</t>
  </si>
  <si>
    <t>MELAMP SHOW STAR</t>
  </si>
  <si>
    <t>001!0611836755100</t>
  </si>
  <si>
    <t>MELINU SAVANNAH</t>
  </si>
  <si>
    <t>001!0611836756100</t>
  </si>
  <si>
    <t>MELON AMBROSIA</t>
  </si>
  <si>
    <t>001!0611833473100</t>
  </si>
  <si>
    <t>MELON APHRODITE</t>
  </si>
  <si>
    <t>001!0611833474100</t>
  </si>
  <si>
    <t>MELON ATHENA</t>
  </si>
  <si>
    <t>001!0611833476100</t>
  </si>
  <si>
    <t>MELON ATLANTIS</t>
  </si>
  <si>
    <t>001!0611833477100</t>
  </si>
  <si>
    <t>MELON BALL 2076</t>
  </si>
  <si>
    <t>001!0611833470100</t>
  </si>
  <si>
    <t>MELON BURPEE HYBRID MUSKMELON</t>
  </si>
  <si>
    <t>001!0611833481100</t>
  </si>
  <si>
    <t>MELON CANTALOUPE MSKMELON</t>
  </si>
  <si>
    <t>001!0611833493100</t>
  </si>
  <si>
    <t>MELON CANTALOUPE MUSKMELON</t>
  </si>
  <si>
    <t>001!0611833494200</t>
  </si>
  <si>
    <t>MELON CRENSHAW</t>
  </si>
  <si>
    <t>001!0611833496100</t>
  </si>
  <si>
    <t>MELON CUCAMELON</t>
  </si>
  <si>
    <t>001!0611836761100</t>
  </si>
  <si>
    <t>MELON DELICIOUS 51</t>
  </si>
  <si>
    <t>001!0611833501100</t>
  </si>
  <si>
    <t>MELON DULCE NECTAR</t>
  </si>
  <si>
    <t>001!0611833503100</t>
  </si>
  <si>
    <t>MELON EARLI DEW</t>
  </si>
  <si>
    <t>001!0611833504100</t>
  </si>
  <si>
    <t>MELON EARLI SWEET</t>
  </si>
  <si>
    <t>001!0611833505100</t>
  </si>
  <si>
    <t>MELON EARLY</t>
  </si>
  <si>
    <t>001!0611833506100</t>
  </si>
  <si>
    <t>MELON FASTBREAK</t>
  </si>
  <si>
    <t>001!0611833508100</t>
  </si>
  <si>
    <t>MELON FONZY</t>
  </si>
  <si>
    <t>001!0611833509100</t>
  </si>
  <si>
    <t>MELON GOLD STAR</t>
  </si>
  <si>
    <t>001!0611833512100</t>
  </si>
  <si>
    <t>MELON HALES BEST JUMBO</t>
  </si>
  <si>
    <t>001!0611833514100</t>
  </si>
  <si>
    <t>MELON HONEY I DEW</t>
  </si>
  <si>
    <t>001!0611833516100</t>
  </si>
  <si>
    <t>MELON HONEY ROCK</t>
  </si>
  <si>
    <t>001!0611833517100</t>
  </si>
  <si>
    <t>MELON HONEYCOMB</t>
  </si>
  <si>
    <t>001!0611833518100</t>
  </si>
  <si>
    <t>MELON HONEYDEW</t>
  </si>
  <si>
    <t>001!0611833519100</t>
  </si>
  <si>
    <t>MELON LILLIPUT</t>
  </si>
  <si>
    <t>001!0611833525100</t>
  </si>
  <si>
    <t>MELON PARKS WHOPPER</t>
  </si>
  <si>
    <t>001!0611833535100</t>
  </si>
  <si>
    <t>MELON PRIDE OF WISCONSIN</t>
  </si>
  <si>
    <t>001!0611833543100</t>
  </si>
  <si>
    <t>MELON PRIMO</t>
  </si>
  <si>
    <t>001!0611833544100</t>
  </si>
  <si>
    <t>MELON SUPERSTAR</t>
  </si>
  <si>
    <t>001!0611833555100</t>
  </si>
  <si>
    <t>MERTEN MERTENSIA GENERIC</t>
  </si>
  <si>
    <t>001!0611836793025</t>
  </si>
  <si>
    <t>MESEMB LIVINGSTONE DAISY GNRC</t>
  </si>
  <si>
    <t>001!0611836794100</t>
  </si>
  <si>
    <t>MILIUM EFFUSUM AUREUM</t>
  </si>
  <si>
    <t>001!0611836795025</t>
  </si>
  <si>
    <t>MIMOSA SENSITIVE PLANT GENERIC</t>
  </si>
  <si>
    <t>001!0611836797100</t>
  </si>
  <si>
    <t>MIMULU MAGIC MIX</t>
  </si>
  <si>
    <t>001!0611836798100</t>
  </si>
  <si>
    <t>MIMULU MAGIC SERIES</t>
  </si>
  <si>
    <t>001!0611836799100</t>
  </si>
  <si>
    <t>MIMULU MAI TAI RED</t>
  </si>
  <si>
    <t>001!0611836800100</t>
  </si>
  <si>
    <t>MIMULU MAXIMUS SERIES</t>
  </si>
  <si>
    <t>001!0611836801100</t>
  </si>
  <si>
    <t>MIMULU MIMULUS GENERIC</t>
  </si>
  <si>
    <t>001!0611836802100</t>
  </si>
  <si>
    <t>MIMULU MYSTIC MIX</t>
  </si>
  <si>
    <t>001!0611836803100</t>
  </si>
  <si>
    <t>MINA E EXOTIC LOVE</t>
  </si>
  <si>
    <t>001!0611836804100</t>
  </si>
  <si>
    <t>MINI PORTRAIT</t>
  </si>
  <si>
    <t>50/50 Tag</t>
  </si>
  <si>
    <t>001!0611645903050</t>
  </si>
  <si>
    <t>MINT APPLE MINT</t>
  </si>
  <si>
    <t>001!0611836762100</t>
  </si>
  <si>
    <t>MINT APPLE MINT LMTD</t>
  </si>
  <si>
    <t>001!0611862535050</t>
  </si>
  <si>
    <t>MINT BANANA</t>
  </si>
  <si>
    <t>001!0611884321025</t>
  </si>
  <si>
    <t>MINT BERRIES/CREAM</t>
  </si>
  <si>
    <t>001!0611884322025</t>
  </si>
  <si>
    <t>MINT BLACKCURRANT</t>
  </si>
  <si>
    <t>001!0611884323025</t>
  </si>
  <si>
    <t>MINT CANDY</t>
  </si>
  <si>
    <t>001!0611836764100</t>
  </si>
  <si>
    <t>MINT CHOCOLATE</t>
  </si>
  <si>
    <t>001!0611836765100</t>
  </si>
  <si>
    <t>001!0611836766025</t>
  </si>
  <si>
    <t>MINT CORSICAN</t>
  </si>
  <si>
    <t>001!0611836767100</t>
  </si>
  <si>
    <t>001!0611836768025</t>
  </si>
  <si>
    <t>MINT CURLY</t>
  </si>
  <si>
    <t>001!0611836769100</t>
  </si>
  <si>
    <t>001!0611884324025</t>
  </si>
  <si>
    <t>MINT ENGLISH</t>
  </si>
  <si>
    <t>001!0611836770100</t>
  </si>
  <si>
    <t>MINT ENGLISH PENNYROYAL</t>
  </si>
  <si>
    <t>001!0611884325025</t>
  </si>
  <si>
    <t>MINT GINGER</t>
  </si>
  <si>
    <t>001!0611836771100</t>
  </si>
  <si>
    <t>001!0611884326025</t>
  </si>
  <si>
    <t>MINT GRAPEFRUIT</t>
  </si>
  <si>
    <t>001!0611836772100</t>
  </si>
  <si>
    <t>001!0611884327025</t>
  </si>
  <si>
    <t>MINT HILARYS SWEET LEMON</t>
  </si>
  <si>
    <t>001!0611884328025</t>
  </si>
  <si>
    <t>MINT KENTUCKY COLONEL</t>
  </si>
  <si>
    <t>001!0611836773100</t>
  </si>
  <si>
    <t>001!0611836774025</t>
  </si>
  <si>
    <t>MINT KENTUCKY COLONEL CN5258</t>
  </si>
  <si>
    <t>001!0611862537100</t>
  </si>
  <si>
    <t>MINT LEMON</t>
  </si>
  <si>
    <t>001!0611836775100</t>
  </si>
  <si>
    <t>MINT LIME</t>
  </si>
  <si>
    <t>001!0611836776100</t>
  </si>
  <si>
    <t>MINT MINI MINT</t>
  </si>
  <si>
    <t>001!0611836777100</t>
  </si>
  <si>
    <t>MINT MINT GENERIC</t>
  </si>
  <si>
    <t>001!0611836778100</t>
  </si>
  <si>
    <t>MINT MINT THE BEST</t>
  </si>
  <si>
    <t>001!0611836779100</t>
  </si>
  <si>
    <t>MINT MOJITO</t>
  </si>
  <si>
    <t>001!0611836780100</t>
  </si>
  <si>
    <t>001!0611836781025</t>
  </si>
  <si>
    <t>MINT MOROCCAN</t>
  </si>
  <si>
    <t>001!0611836782100</t>
  </si>
  <si>
    <t>MINT MOROCCAN SPEARMINT</t>
  </si>
  <si>
    <t>001!0611884329025</t>
  </si>
  <si>
    <t>MINT ORANGE</t>
  </si>
  <si>
    <t>001!0611836783100</t>
  </si>
  <si>
    <t>001!0611836784025</t>
  </si>
  <si>
    <t>MINT PENNYROYAL GENERIC</t>
  </si>
  <si>
    <t>001!0611836785100</t>
  </si>
  <si>
    <t>MINT PEPPERMINT</t>
  </si>
  <si>
    <t>001!0611836786100</t>
  </si>
  <si>
    <t>001!0611836787025</t>
  </si>
  <si>
    <t>MINT PINEAPPLE</t>
  </si>
  <si>
    <t>001!0611836789025</t>
  </si>
  <si>
    <t>001!0611862540100</t>
  </si>
  <si>
    <t>MINT PINEAPPLE LMTD</t>
  </si>
  <si>
    <t>001!0611862541050</t>
  </si>
  <si>
    <t>MINT SATURE INDIAN MINT</t>
  </si>
  <si>
    <t>001!0611839083100</t>
  </si>
  <si>
    <t>MINT SPANISH</t>
  </si>
  <si>
    <t>001!0611836790100</t>
  </si>
  <si>
    <t>MINT SPEARMINT</t>
  </si>
  <si>
    <t>001!0611836791100</t>
  </si>
  <si>
    <t>001!0611836792025</t>
  </si>
  <si>
    <t>MINT SPEARMINT CN5259</t>
  </si>
  <si>
    <t>001!0611862542100</t>
  </si>
  <si>
    <t>MINT SPEARMINT LMTD</t>
  </si>
  <si>
    <t>001!0611862543050</t>
  </si>
  <si>
    <t>MINT STRAWBERRY</t>
  </si>
  <si>
    <t>001!0611884330025</t>
  </si>
  <si>
    <t>MINT SWEET PEAR</t>
  </si>
  <si>
    <t>001!0611884331025</t>
  </si>
  <si>
    <t>MINT THAI</t>
  </si>
  <si>
    <t>001!0611884332025</t>
  </si>
  <si>
    <t>MIRABI FOUR OCLOCKS GENERIC</t>
  </si>
  <si>
    <t>001!0611836805100</t>
  </si>
  <si>
    <t>MISC ANNUAL COMBINATION</t>
  </si>
  <si>
    <t>001!0611836806025</t>
  </si>
  <si>
    <t>MISC CROP MARKER BLUE</t>
  </si>
  <si>
    <t>001!0611836809100</t>
  </si>
  <si>
    <t>MISC CROP MARKER GREEN</t>
  </si>
  <si>
    <t>001!0611836807100</t>
  </si>
  <si>
    <t>MISC CROP MARKER LAVENDER</t>
  </si>
  <si>
    <t>001!0611836810100</t>
  </si>
  <si>
    <t>MISC CROP MARKER ORANGE</t>
  </si>
  <si>
    <t>001!0611836811100</t>
  </si>
  <si>
    <t>MISC CROP MARKER PINK</t>
  </si>
  <si>
    <t>001!0611836812100</t>
  </si>
  <si>
    <t>MISC CROP MARKER RED</t>
  </si>
  <si>
    <t>001!0611836808100</t>
  </si>
  <si>
    <t>MISC CROP MARKER YELLOW</t>
  </si>
  <si>
    <t>001!0611836813100</t>
  </si>
  <si>
    <t>MISC DEER RESISTANT GDN SOLUTN</t>
  </si>
  <si>
    <t>001!0611833719100</t>
  </si>
  <si>
    <t>MISC GARDENING SOLUTIONS NATIV</t>
  </si>
  <si>
    <t>001!0611857034100</t>
  </si>
  <si>
    <t>MISC GMO FREE</t>
  </si>
  <si>
    <t>001!0611834757100</t>
  </si>
  <si>
    <t>MISC MERCHANDISING TAG SOLD</t>
  </si>
  <si>
    <t>001!0611839383100</t>
  </si>
  <si>
    <t>MISC ORGANICALLY GROWN</t>
  </si>
  <si>
    <t>001!0611837041100</t>
  </si>
  <si>
    <t>MISC POLLINATOR FRIENDLY</t>
  </si>
  <si>
    <t>001!0611838554025</t>
  </si>
  <si>
    <t>MISC REPELS MOSQUITOS</t>
  </si>
  <si>
    <t>001!0611838757100</t>
  </si>
  <si>
    <t>MISC SUN/SHADE PART SUN</t>
  </si>
  <si>
    <t>001!0611837163100</t>
  </si>
  <si>
    <t>001!0611837164025</t>
  </si>
  <si>
    <t>MISC SUN/SHADE PART SUN ANNUAL</t>
  </si>
  <si>
    <t>001!0611837165100</t>
  </si>
  <si>
    <t>MISC SUN/SHADE SHADE</t>
  </si>
  <si>
    <t>001!0611839337100</t>
  </si>
  <si>
    <t>001!0611839338025</t>
  </si>
  <si>
    <t>MISC SUN/SHADE SUN</t>
  </si>
  <si>
    <t>001!0611839481100</t>
  </si>
  <si>
    <t>001!0611839482025</t>
  </si>
  <si>
    <t>MISC SUN/SHADE SUN ANNUAL</t>
  </si>
  <si>
    <t>001!0611839483100</t>
  </si>
  <si>
    <t>MISCAN ADAGIO SINENSIS</t>
  </si>
  <si>
    <t>001!0611836814025</t>
  </si>
  <si>
    <t>MISCAN BANDWIDTH</t>
  </si>
  <si>
    <t>001!0611836815025</t>
  </si>
  <si>
    <t>MISCAN CABARET SINENSIS</t>
  </si>
  <si>
    <t>001!0611836816025</t>
  </si>
  <si>
    <t>MISCAN GRACILLIMUS</t>
  </si>
  <si>
    <t>001!0611836817025</t>
  </si>
  <si>
    <t>MISCAN HIGH FREQUENCY</t>
  </si>
  <si>
    <t>001!0611856964025</t>
  </si>
  <si>
    <t>MISCAN LITTLE KITTEN</t>
  </si>
  <si>
    <t>001!0611836818025</t>
  </si>
  <si>
    <t>MISCAN MORNING LIGHT</t>
  </si>
  <si>
    <t>001!0611836819025</t>
  </si>
  <si>
    <t>MISCAN PURPURASCENS</t>
  </si>
  <si>
    <t>001!0611836820025</t>
  </si>
  <si>
    <t>MISCAN SINENSIS STRICTUS</t>
  </si>
  <si>
    <t>001!0611836821025</t>
  </si>
  <si>
    <t>MISCAN SINENSIS ZEBRINUS</t>
  </si>
  <si>
    <t>001!0611836823025</t>
  </si>
  <si>
    <t>MISCAN VARIEGATUS</t>
  </si>
  <si>
    <t>001!0611836822025</t>
  </si>
  <si>
    <t>MOLUCC BELLS OF IRELAND GNRC</t>
  </si>
  <si>
    <t>001!0611836824100</t>
  </si>
  <si>
    <t>MONARD BALMY LILAC</t>
  </si>
  <si>
    <t>001!0611836825025</t>
  </si>
  <si>
    <t>MONARD BALMY PINK</t>
  </si>
  <si>
    <t>001!0611836826025</t>
  </si>
  <si>
    <t>MONARD BALMY PURPLE</t>
  </si>
  <si>
    <t>001!0611836827025</t>
  </si>
  <si>
    <t>MONARD BALMY ROSE</t>
  </si>
  <si>
    <t>001!0611836828025</t>
  </si>
  <si>
    <t>MONARD BEE BALM GENERIC</t>
  </si>
  <si>
    <t>001!0611836829100</t>
  </si>
  <si>
    <t>MONARD BEE MINE LAV DIDYMA</t>
  </si>
  <si>
    <t>001!0611836830025</t>
  </si>
  <si>
    <t>MONARD BEE MINE PINK DIDYMA</t>
  </si>
  <si>
    <t>001!0611836831025</t>
  </si>
  <si>
    <t>MONARD BEE MINE RED DIDYMA</t>
  </si>
  <si>
    <t>001!0611836832025</t>
  </si>
  <si>
    <t>MONARD BL STOCKING BLAUSTRUMPF</t>
  </si>
  <si>
    <t>001!0611836833025</t>
  </si>
  <si>
    <t>MONARD FIREBALL</t>
  </si>
  <si>
    <t>001!0611836834025</t>
  </si>
  <si>
    <t>001!0611863290100</t>
  </si>
  <si>
    <t>001!0611863291050</t>
  </si>
  <si>
    <t>MONARD GARDENVIEW SCARLET</t>
  </si>
  <si>
    <t>001!0611836835025</t>
  </si>
  <si>
    <t>MONARD GRAND PARADE</t>
  </si>
  <si>
    <t>001!0611836836025</t>
  </si>
  <si>
    <t>MONARD JACOB CLINE</t>
  </si>
  <si>
    <t>001!0611836837025</t>
  </si>
  <si>
    <t>MONARD MARJE PINK</t>
  </si>
  <si>
    <t>001!0611836838025</t>
  </si>
  <si>
    <t>MONARD MARJE PURPLE</t>
  </si>
  <si>
    <t>001!0611836839025</t>
  </si>
  <si>
    <t>MONARD MARJE ROSE</t>
  </si>
  <si>
    <t>001!0611836840025</t>
  </si>
  <si>
    <t>MONARD MARSHALLS DELIGHT</t>
  </si>
  <si>
    <t>001!0611836841025</t>
  </si>
  <si>
    <t>MONARD MIX GENERIC</t>
  </si>
  <si>
    <t>001!0611836842025</t>
  </si>
  <si>
    <t>MONARD PANORAMA MIX</t>
  </si>
  <si>
    <t>001!0611836843025</t>
  </si>
  <si>
    <t>MONARD PANORAMA RED SHADES</t>
  </si>
  <si>
    <t>001!0611836844100</t>
  </si>
  <si>
    <t>MONARD PETITE DELIGHT</t>
  </si>
  <si>
    <t>001!0611836845025</t>
  </si>
  <si>
    <t>MONARD PETITE DELIGHT LMTD</t>
  </si>
  <si>
    <t>001!0611863292100</t>
  </si>
  <si>
    <t>001!0611863293050</t>
  </si>
  <si>
    <t>MONARD PINK LACE</t>
  </si>
  <si>
    <t>001!0611836847025</t>
  </si>
  <si>
    <t>MONARD POCAHONTAS DEEP PURPLE</t>
  </si>
  <si>
    <t>001!0611863294100</t>
  </si>
  <si>
    <t>MONARD POCAHONTAS PINK</t>
  </si>
  <si>
    <t>001!0611863295100</t>
  </si>
  <si>
    <t>MONARD POCAHONTAS PINK LMTD</t>
  </si>
  <si>
    <t>001!0611863296050</t>
  </si>
  <si>
    <t>MONARD POCAHONTAS RED ROSE</t>
  </si>
  <si>
    <t>001!0611863297100</t>
  </si>
  <si>
    <t>001!0611863298050</t>
  </si>
  <si>
    <t>MONARD RASPBERRY WINE</t>
  </si>
  <si>
    <t>001!0611836849025</t>
  </si>
  <si>
    <t>MONARD WILD BERGAMOT</t>
  </si>
  <si>
    <t>001!0611884333025</t>
  </si>
  <si>
    <t>MONSTE DELICIOSA</t>
  </si>
  <si>
    <t>001!0611836850100</t>
  </si>
  <si>
    <t>MONSTE MINI MONSTERA</t>
  </si>
  <si>
    <t>001!0611857035100</t>
  </si>
  <si>
    <t>MONSTE SWISS CHEESE PLANT</t>
  </si>
  <si>
    <t>001!0611836851100</t>
  </si>
  <si>
    <t>MUEHLE BIG LEAF</t>
  </si>
  <si>
    <t>001!0611836852025</t>
  </si>
  <si>
    <t>MUEHLE CREEPING WIRE VINE</t>
  </si>
  <si>
    <t>001!0611863299050</t>
  </si>
  <si>
    <t>MUEHLE CREEPING WIRE VINE GNRC</t>
  </si>
  <si>
    <t>001!0611836853025</t>
  </si>
  <si>
    <t>MUEHLE NANA LITTLE LEAF</t>
  </si>
  <si>
    <t>001!0611836855025</t>
  </si>
  <si>
    <t>MUHLEN CAPILLARIS</t>
  </si>
  <si>
    <t>001!0611836856025</t>
  </si>
  <si>
    <t>MUHLEN MUHLI PINK</t>
  </si>
  <si>
    <t>001!0611836858025</t>
  </si>
  <si>
    <t>MUHLEN ROSY</t>
  </si>
  <si>
    <t>001!0611856965025</t>
  </si>
  <si>
    <t>MUHLEN RUBY</t>
  </si>
  <si>
    <t>001!0611856966025</t>
  </si>
  <si>
    <t>MUSA BANANA TREE GENERIC</t>
  </si>
  <si>
    <t>001!0611834175025</t>
  </si>
  <si>
    <t>MUSA BASJOO JAPANESE</t>
  </si>
  <si>
    <t>001!0611836859100</t>
  </si>
  <si>
    <t>MUSA DWARF CAVENDISH</t>
  </si>
  <si>
    <t>001!0611836861100</t>
  </si>
  <si>
    <t>MUSA DWARF FRUITING GENERIC</t>
  </si>
  <si>
    <t>001!0611836860100</t>
  </si>
  <si>
    <t>MUSA MAURELLI</t>
  </si>
  <si>
    <t>001!0611834176100</t>
  </si>
  <si>
    <t>MUSA ZEBRINA</t>
  </si>
  <si>
    <t>001!0611836862100</t>
  </si>
  <si>
    <t>MUSTAR GENERIC</t>
  </si>
  <si>
    <t>001!0611831912100</t>
  </si>
  <si>
    <t>MUSTAR MIZ AMERICA</t>
  </si>
  <si>
    <t>001!0611831910100</t>
  </si>
  <si>
    <t>MUSTAR RED GIANT</t>
  </si>
  <si>
    <t>001!0611831941100</t>
  </si>
  <si>
    <t>MUSTAR RED KINGDOM</t>
  </si>
  <si>
    <t>001!0611831944100</t>
  </si>
  <si>
    <t>MUSTAR SAVANNA</t>
  </si>
  <si>
    <t>001!0611831951100</t>
  </si>
  <si>
    <t>MYOSOT BELLAMY BLUE SYLVATICA</t>
  </si>
  <si>
    <t>001!0611836864025</t>
  </si>
  <si>
    <t>MYOSOT BELLAMY PINK SYLVATICA</t>
  </si>
  <si>
    <t>001!0611836865025</t>
  </si>
  <si>
    <t>MYOSOT BELLAMY WHITE SYLVATICA</t>
  </si>
  <si>
    <t>001!0611836866025</t>
  </si>
  <si>
    <t>MYOSOT BLUESYLVA SYLVATICA</t>
  </si>
  <si>
    <t>001!0611836867025</t>
  </si>
  <si>
    <t>MYOSOT COMPINDI</t>
  </si>
  <si>
    <t>001!0611836868025</t>
  </si>
  <si>
    <t>MYOSOT FORGET ME NOT GENERIC</t>
  </si>
  <si>
    <t>001!0611836869100</t>
  </si>
  <si>
    <t>001!0611836870025</t>
  </si>
  <si>
    <t>MYOSOT MON AMIE BLUE</t>
  </si>
  <si>
    <t>001!0611836871025</t>
  </si>
  <si>
    <t>MYOSOT MON AMIE MIX</t>
  </si>
  <si>
    <t>001!0611836872025</t>
  </si>
  <si>
    <t>MYOSOT MON AMIE PINK</t>
  </si>
  <si>
    <t>001!0611836873025</t>
  </si>
  <si>
    <t>MYOSOT ROSYLVA SYLVATICA</t>
  </si>
  <si>
    <t>001!0611836874025</t>
  </si>
  <si>
    <t>MYOSOT VICTORIA BLUE</t>
  </si>
  <si>
    <t>001!0611836876025</t>
  </si>
  <si>
    <t>MYOSOT VICTORIA INDIGO BLUE</t>
  </si>
  <si>
    <t>001!0611836878025</t>
  </si>
  <si>
    <t>MYOSOT VICTORIA ROSE</t>
  </si>
  <si>
    <t>001!0611836879100</t>
  </si>
  <si>
    <t>NASTUR ALASKA MIX</t>
  </si>
  <si>
    <t>001!0611839867100</t>
  </si>
  <si>
    <t>NASTUR BABY ROSE</t>
  </si>
  <si>
    <t>001!0611839868100</t>
  </si>
  <si>
    <t>NASTUR CLIMBING MIX GENERIC</t>
  </si>
  <si>
    <t>001!0611839869100</t>
  </si>
  <si>
    <t>NASTUR DWARF JEWEL MIX</t>
  </si>
  <si>
    <t>001!0611839870100</t>
  </si>
  <si>
    <t>NASTUR EMPRESS OF INDIA</t>
  </si>
  <si>
    <t>001!0611839871100</t>
  </si>
  <si>
    <t>NASTUR FLAME THROWER SERIES</t>
  </si>
  <si>
    <t>001!0611839872100</t>
  </si>
  <si>
    <t>NASTUR GLORIOUS GLEAM MIX</t>
  </si>
  <si>
    <t>001!0611839873100</t>
  </si>
  <si>
    <t>NASTUR NASTURTIUM GENERIC</t>
  </si>
  <si>
    <t>001!0611839874100</t>
  </si>
  <si>
    <t>NASTUR PRETTY N TASTY</t>
  </si>
  <si>
    <t>001!0611839875100</t>
  </si>
  <si>
    <t>NASTUR RED WONDER</t>
  </si>
  <si>
    <t>001!0611839876100</t>
  </si>
  <si>
    <t>NASTUR TIP TOP MIX</t>
  </si>
  <si>
    <t>001!0611839878100</t>
  </si>
  <si>
    <t>NASTUR TIP TOP ROSE</t>
  </si>
  <si>
    <t>001!0611839879100</t>
  </si>
  <si>
    <t>NASTUR TRAILING MIX GENERIC</t>
  </si>
  <si>
    <t>001!0611839880100</t>
  </si>
  <si>
    <t>NASTUR WATERCRESS</t>
  </si>
  <si>
    <t>001!0611836884100</t>
  </si>
  <si>
    <t>NASTUR WHIRLYBIRD MIX</t>
  </si>
  <si>
    <t>001!0611839881100</t>
  </si>
  <si>
    <t>NEMATA GOLDFISH PLANT GENERIC</t>
  </si>
  <si>
    <t>001!0611836885100</t>
  </si>
  <si>
    <t>NEMESI ANGELART ALMOND</t>
  </si>
  <si>
    <t>001!0611863300050</t>
  </si>
  <si>
    <t>NEMESI ANGELART BANANA</t>
  </si>
  <si>
    <t>001!0611863301050</t>
  </si>
  <si>
    <t>NEMESI ANGELART BERRY BLEND</t>
  </si>
  <si>
    <t>001!0611863302050</t>
  </si>
  <si>
    <t>NEMESI ANGELART CHERRY</t>
  </si>
  <si>
    <t>001!0611863303050</t>
  </si>
  <si>
    <t>NEMESI ANGELART GRAPEFRUIT</t>
  </si>
  <si>
    <t>001!0611863304050</t>
  </si>
  <si>
    <t>NEMESI ANGELART NECTARINE</t>
  </si>
  <si>
    <t>001!0611863305050</t>
  </si>
  <si>
    <t>NEMESI ANGELART ORANGE</t>
  </si>
  <si>
    <t>001!0611863306050</t>
  </si>
  <si>
    <t>NEMESI ANGELART PEACH IMP</t>
  </si>
  <si>
    <t>001!0611863307050</t>
  </si>
  <si>
    <t>NEMESI ANGELART PINEAPPLE</t>
  </si>
  <si>
    <t>001!0611863308050</t>
  </si>
  <si>
    <t>NEMESI ANGELART RASPBERRY</t>
  </si>
  <si>
    <t>001!0611863309050</t>
  </si>
  <si>
    <t>NEMESI ANGELART STRAWBERRY</t>
  </si>
  <si>
    <t>001!0611863310050</t>
  </si>
  <si>
    <t>NEMESI ANGELART WATERMELON</t>
  </si>
  <si>
    <t>001!0611863311050</t>
  </si>
  <si>
    <t>NEMESI BABYCAKES LITTLE BANANA</t>
  </si>
  <si>
    <t>001!0611836886100</t>
  </si>
  <si>
    <t>NEMESI BABYCAKES LITTLE CHERRY</t>
  </si>
  <si>
    <t>001!0611836887100</t>
  </si>
  <si>
    <t>NEMESI BABYCAKES LITTLE ORANGE</t>
  </si>
  <si>
    <t>001!0611836888100</t>
  </si>
  <si>
    <t>NEMESI BABYCAKES LITTLE PAPAYA</t>
  </si>
  <si>
    <t>001!0611857036100</t>
  </si>
  <si>
    <t>NEMESI BABYCAKES LTCOCONUT</t>
  </si>
  <si>
    <t>001!0611836889100</t>
  </si>
  <si>
    <t>NEMESI BLACKBERRY</t>
  </si>
  <si>
    <t>001!0611863312050</t>
  </si>
  <si>
    <t>NEMESI BLUE GENERIC</t>
  </si>
  <si>
    <t>001!0611836891100</t>
  </si>
  <si>
    <t>NEMESI BLUEBERRY CUSTARD</t>
  </si>
  <si>
    <t>001!0611863313050</t>
  </si>
  <si>
    <t>NEMESI BUMBLEBERRY</t>
  </si>
  <si>
    <t>001!0611863314050</t>
  </si>
  <si>
    <t>NEMESI ESCENTIAL SERIES</t>
  </si>
  <si>
    <t>001!0611836892100</t>
  </si>
  <si>
    <t>NEMESI FAIRY KISSES SERIES</t>
  </si>
  <si>
    <t>001!0611857037100</t>
  </si>
  <si>
    <t>NEMESI FRUTICANS GENERIC</t>
  </si>
  <si>
    <t>001!0611836893100</t>
  </si>
  <si>
    <t>NEMESI HONEY SERIES</t>
  </si>
  <si>
    <t>001!0611836894100</t>
  </si>
  <si>
    <t>NEMESI MOMENTO SERIES</t>
  </si>
  <si>
    <t>001!0611836896100</t>
  </si>
  <si>
    <t>NEMESI NEMESIA GENERIC</t>
  </si>
  <si>
    <t>001!0611836897025</t>
  </si>
  <si>
    <t>NEMESI NEMESIA HYBRIDS GENERIC</t>
  </si>
  <si>
    <t>001!0611836898100</t>
  </si>
  <si>
    <t>NEMESI NESIA BANANA SWIRL</t>
  </si>
  <si>
    <t>001!0611836900100</t>
  </si>
  <si>
    <t>NEMESI NESIA BANANABERRY</t>
  </si>
  <si>
    <t>001!0611836901100</t>
  </si>
  <si>
    <t>NEMESI NESIA BURGUNDY</t>
  </si>
  <si>
    <t>001!0611836902100</t>
  </si>
  <si>
    <t>NEMESI NESIA DARK BLUE</t>
  </si>
  <si>
    <t>001!0611836903100</t>
  </si>
  <si>
    <t>NEMESI NESIA DENIM</t>
  </si>
  <si>
    <t>001!0611836904100</t>
  </si>
  <si>
    <t>NEMESI NESIA INCA</t>
  </si>
  <si>
    <t>001!0611857038100</t>
  </si>
  <si>
    <t>NEMESI NESIA MAGENTA</t>
  </si>
  <si>
    <t>001!0611836906100</t>
  </si>
  <si>
    <t>NEMESI NESIA SNOWANGEL</t>
  </si>
  <si>
    <t>001!0611836907100</t>
  </si>
  <si>
    <t>NEMESI NESIA SUNSHINE</t>
  </si>
  <si>
    <t>001!0611836908100</t>
  </si>
  <si>
    <t>NEMESI NESIA TROPICAL</t>
  </si>
  <si>
    <t>001!0611836909100</t>
  </si>
  <si>
    <t>NEMESI NESIA TUTTI FRUTTI</t>
  </si>
  <si>
    <t>001!0611836910100</t>
  </si>
  <si>
    <t>NEMESI NESSIE PLUS BERRY DELT</t>
  </si>
  <si>
    <t>001!0611836911100</t>
  </si>
  <si>
    <t>NEMESI NESSIE PLUS DEEP RED</t>
  </si>
  <si>
    <t>001!0611863315050</t>
  </si>
  <si>
    <t>NEMESI NESSIE PLUS ORANGE</t>
  </si>
  <si>
    <t>001!0611836912100</t>
  </si>
  <si>
    <t>NEMESI NESSIE PLUS PURPLE</t>
  </si>
  <si>
    <t>001!0611863316050</t>
  </si>
  <si>
    <t>NEMESI NESSIE PLUS RASPBERRY</t>
  </si>
  <si>
    <t>001!0611836913100</t>
  </si>
  <si>
    <t>NEMESI NESSIE PLUS RED</t>
  </si>
  <si>
    <t>001!0611836914100</t>
  </si>
  <si>
    <t>NEMESI NESSIE PLUS SOFT PINK</t>
  </si>
  <si>
    <t>001!0611836915100</t>
  </si>
  <si>
    <t>NEMESI NESSIE PLUS WHITE</t>
  </si>
  <si>
    <t>001!0611836916100</t>
  </si>
  <si>
    <t>NEMESI NESSIE PLUS YELLOW</t>
  </si>
  <si>
    <t>001!0611863317050</t>
  </si>
  <si>
    <t>NEMESI NESSIE UP SERIES</t>
  </si>
  <si>
    <t>001!0611836917100</t>
  </si>
  <si>
    <t>NEMESI PENHOW CHERRY BLUE</t>
  </si>
  <si>
    <t>001!0611863318050</t>
  </si>
  <si>
    <t>NEMESI PINKBERRY</t>
  </si>
  <si>
    <t>001!0611863319050</t>
  </si>
  <si>
    <t>NEMESI POETRY BLUE</t>
  </si>
  <si>
    <t>001!0611836918100</t>
  </si>
  <si>
    <t>NEMESI POETRY SERIES</t>
  </si>
  <si>
    <t>001!0611836919100</t>
  </si>
  <si>
    <t>NEMESI PRETTY PLEASE BLUE BIC</t>
  </si>
  <si>
    <t>001!0611836921100</t>
  </si>
  <si>
    <t>NEMESI PRETTY PLEASE PINK BIC</t>
  </si>
  <si>
    <t>001!0611836922100</t>
  </si>
  <si>
    <t>NEMESI RASPBERRY LEMONADE</t>
  </si>
  <si>
    <t>001!0611863320050</t>
  </si>
  <si>
    <t>NEMESI SEVENTH HEAVEN MIX</t>
  </si>
  <si>
    <t>001!0611836923100</t>
  </si>
  <si>
    <t>NEMESI STRAWBERRY</t>
  </si>
  <si>
    <t>001!0611863321050</t>
  </si>
  <si>
    <t>NEMESI SUGARBERRY</t>
  </si>
  <si>
    <t>001!0611863322050</t>
  </si>
  <si>
    <t>NEMESI SUNDROPS MIX</t>
  </si>
  <si>
    <t>001!0611836926100</t>
  </si>
  <si>
    <t>NEPETA AROMA VLT X FAASSENII</t>
  </si>
  <si>
    <t>001!0611836928025</t>
  </si>
  <si>
    <t>NEPETA BLUE DRAGON YUNNANENSIS</t>
  </si>
  <si>
    <t>001!0611836930025</t>
  </si>
  <si>
    <t>NEPETA BLUE DREAMS SUBSESSILIS</t>
  </si>
  <si>
    <t>001!0611836931025</t>
  </si>
  <si>
    <t>NEPETA BLUE WONDER X FAASSENII</t>
  </si>
  <si>
    <t>001!0611836932025</t>
  </si>
  <si>
    <t>NEPETA CATMINT GENERIC</t>
  </si>
  <si>
    <t>001!0611836933100</t>
  </si>
  <si>
    <t>NEPETA CATNIP</t>
  </si>
  <si>
    <t>001!0611836934100</t>
  </si>
  <si>
    <t>001!0611836935025</t>
  </si>
  <si>
    <t>NEPETA CHARTREUSE ON THE LOOSE</t>
  </si>
  <si>
    <t>001!0611884334025</t>
  </si>
  <si>
    <t>NEPETA DROPMORE</t>
  </si>
  <si>
    <t>001!0611836936025</t>
  </si>
  <si>
    <t>NEPETA GENERIC</t>
  </si>
  <si>
    <t>001!0611836950025</t>
  </si>
  <si>
    <t>NEPETA JUNIOR WALKER</t>
  </si>
  <si>
    <t>001!0611836937025</t>
  </si>
  <si>
    <t>001!0611863323100</t>
  </si>
  <si>
    <t>NEPETA KIT KAT</t>
  </si>
  <si>
    <t>001!0611836938025</t>
  </si>
  <si>
    <t>NEPETA MUSSINII</t>
  </si>
  <si>
    <t>001!0611836939100</t>
  </si>
  <si>
    <t>NEPETA PICTURE PURRFECT</t>
  </si>
  <si>
    <t>001!0611836940025</t>
  </si>
  <si>
    <t>NEPETA PINK CAT NERVOSA</t>
  </si>
  <si>
    <t>001!0611836941025</t>
  </si>
  <si>
    <t>NEPETA PRELUDE BLUE</t>
  </si>
  <si>
    <t>001!0611836943025</t>
  </si>
  <si>
    <t>NEPETA PRELUDE PPL SUBSESSILIS</t>
  </si>
  <si>
    <t>001!0611836944025</t>
  </si>
  <si>
    <t>NEPETA PURPLE HAZE</t>
  </si>
  <si>
    <t>001!0611836945025</t>
  </si>
  <si>
    <t>NEPETA SIX HILLS GIANT</t>
  </si>
  <si>
    <t>001!0611836946025</t>
  </si>
  <si>
    <t>NEPETA WALKERS LOW</t>
  </si>
  <si>
    <t>001!0611836947025</t>
  </si>
  <si>
    <t>001!0611863324100</t>
  </si>
  <si>
    <t>001!0611863325050</t>
  </si>
  <si>
    <t>NEPETA WHISPURR BL</t>
  </si>
  <si>
    <t>001!0611836948025</t>
  </si>
  <si>
    <t>NEPETA WHISPURR PINK</t>
  </si>
  <si>
    <t>001!0611836949025</t>
  </si>
  <si>
    <t>NICOTI AVALON MIX</t>
  </si>
  <si>
    <t>001!0611836953100</t>
  </si>
  <si>
    <t>NICOTI GENERIC</t>
  </si>
  <si>
    <t>001!0611836954100</t>
  </si>
  <si>
    <t>NICOTI ONLY THE LONELY</t>
  </si>
  <si>
    <t>001!0611836955100</t>
  </si>
  <si>
    <t>NICOTI PERFUME BALL MIX</t>
  </si>
  <si>
    <t>001!0611836956100</t>
  </si>
  <si>
    <t>NICOTI PERFUME DEEP PURPLE</t>
  </si>
  <si>
    <t>001!0611836957100</t>
  </si>
  <si>
    <t>NICOTI PERFUME RED</t>
  </si>
  <si>
    <t>001!0611836958100</t>
  </si>
  <si>
    <t>NICOTI PERFUME SERIES</t>
  </si>
  <si>
    <t>001!0611836959100</t>
  </si>
  <si>
    <t>NICOTI SARATOGA APPLEBLOSSOM</t>
  </si>
  <si>
    <t>001!0611836960100</t>
  </si>
  <si>
    <t>NICOTI SARATOGA LIME</t>
  </si>
  <si>
    <t>001!0611836961100</t>
  </si>
  <si>
    <t>NICOTI SARATOGA MIX</t>
  </si>
  <si>
    <t>001!0611836962100</t>
  </si>
  <si>
    <t>NICOTI SARATOGA PURPLE BICOLOR</t>
  </si>
  <si>
    <t>001!0611836963100</t>
  </si>
  <si>
    <t>NICOTI SARATOGA RED</t>
  </si>
  <si>
    <t>001!0611836964100</t>
  </si>
  <si>
    <t>NICOTI SARATOGA ROSE</t>
  </si>
  <si>
    <t>001!0611836965100</t>
  </si>
  <si>
    <t>NICOTI SARATOGA WHITE</t>
  </si>
  <si>
    <t>001!0611836966100</t>
  </si>
  <si>
    <t>NICOTI STARMAKER APPLEBLOSSOM</t>
  </si>
  <si>
    <t>001!0611836967100</t>
  </si>
  <si>
    <t>NICOTI STARMAKER BRIGHT RED</t>
  </si>
  <si>
    <t>001!0611836968100</t>
  </si>
  <si>
    <t>NICOTI STARMAKER DEEP LIME</t>
  </si>
  <si>
    <t>001!0611836969100</t>
  </si>
  <si>
    <t>NICOTI STARMAKER LIME PPL BIC</t>
  </si>
  <si>
    <t>001!0611836970100</t>
  </si>
  <si>
    <t>NICOTI STARMAKER SERIES</t>
  </si>
  <si>
    <t>001!0611836971100</t>
  </si>
  <si>
    <t>NICOTI STARMAKER WHITE</t>
  </si>
  <si>
    <t>001!0611836972100</t>
  </si>
  <si>
    <t>NICOTI SYLVESTRIS</t>
  </si>
  <si>
    <t>001!0611836973100</t>
  </si>
  <si>
    <t>NIEREM ROBE PURPLE</t>
  </si>
  <si>
    <t>001!0611836975100</t>
  </si>
  <si>
    <t>NIEREM ROBE WHITE</t>
  </si>
  <si>
    <t>001!0611836976100</t>
  </si>
  <si>
    <t>NIGELL LOVE IN A MIST GENERIC</t>
  </si>
  <si>
    <t>001!0611836977100</t>
  </si>
  <si>
    <t>NIPPON MONTAUK DAISY</t>
  </si>
  <si>
    <t>001!0611836978100</t>
  </si>
  <si>
    <t>001!0611836979025</t>
  </si>
  <si>
    <t>OENOTH EVENING SUN</t>
  </si>
  <si>
    <t>001!0611857039025</t>
  </si>
  <si>
    <t>OENOTH GLOWING MAGENTA</t>
  </si>
  <si>
    <t>001!0611837028025</t>
  </si>
  <si>
    <t>OENOTH MISSOURIENSIS</t>
  </si>
  <si>
    <t>001!0611837029100</t>
  </si>
  <si>
    <t>001!0611837030025</t>
  </si>
  <si>
    <t>OENOTH PINK SPECIOSA</t>
  </si>
  <si>
    <t>001!0611837031025</t>
  </si>
  <si>
    <t>OENOTH SISKIYOU</t>
  </si>
  <si>
    <t>001!0611863326100</t>
  </si>
  <si>
    <t>OENOTH SISKIYOU BERLANDIERI</t>
  </si>
  <si>
    <t>001!0611837032100</t>
  </si>
  <si>
    <t>001!0611837033025</t>
  </si>
  <si>
    <t>OENOTH SISKIYOU LMTD</t>
  </si>
  <si>
    <t>001!0611863327050</t>
  </si>
  <si>
    <t>OENOTH SUNSET BOULEVARD</t>
  </si>
  <si>
    <t>001!0611837034025</t>
  </si>
  <si>
    <t>OENOTH TWILIGHT</t>
  </si>
  <si>
    <t>001!0611863328100</t>
  </si>
  <si>
    <t>OENOTH TWILIGHT LMTD</t>
  </si>
  <si>
    <t>001!0611863329050</t>
  </si>
  <si>
    <t>OENOTH YOUNGII FRUTICOSA</t>
  </si>
  <si>
    <t>001!0611837035025</t>
  </si>
  <si>
    <t>OKRA ANNIE OAKLEY II</t>
  </si>
  <si>
    <t>001!0611830436100</t>
  </si>
  <si>
    <t>OKRA CAJUN DELIGHT</t>
  </si>
  <si>
    <t>001!0611830437100</t>
  </si>
  <si>
    <t>OKRA CANDLE FIRE</t>
  </si>
  <si>
    <t>001!0611830438100</t>
  </si>
  <si>
    <t>OKRA CLEMSON SPINELESS</t>
  </si>
  <si>
    <t>001!0611830439100</t>
  </si>
  <si>
    <t>OKRA FRENCH QUARTER PINK</t>
  </si>
  <si>
    <t>001!0611830440100</t>
  </si>
  <si>
    <t>OKRA FRENCH QUARTER RED</t>
  </si>
  <si>
    <t>001!0611830441100</t>
  </si>
  <si>
    <t>OKRA GENERIC</t>
  </si>
  <si>
    <t>001!0611830444100</t>
  </si>
  <si>
    <t>OKRA GREEN FINGERS</t>
  </si>
  <si>
    <t>001!0611830442100</t>
  </si>
  <si>
    <t>OKRA JAMBALAYA</t>
  </si>
  <si>
    <t>001!0611830443100</t>
  </si>
  <si>
    <t>ONION COPRA</t>
  </si>
  <si>
    <t>001!0611830635100</t>
  </si>
  <si>
    <t>ONION GEORGIA SWEET</t>
  </si>
  <si>
    <t>001!0611830641100</t>
  </si>
  <si>
    <t>ONION KELSAE SWEET GIANT</t>
  </si>
  <si>
    <t>001!0611830643100</t>
  </si>
  <si>
    <t>ONION RED BURGERMASTER</t>
  </si>
  <si>
    <t>001!0611830651100</t>
  </si>
  <si>
    <t>ONION RED GENERIC</t>
  </si>
  <si>
    <t>001!0611830652100</t>
  </si>
  <si>
    <t>ONION RED NUGENT</t>
  </si>
  <si>
    <t>001!0611830653100</t>
  </si>
  <si>
    <t>ONION RUBY</t>
  </si>
  <si>
    <t>001!0611830654100</t>
  </si>
  <si>
    <t>ONION SUPER STAR</t>
  </si>
  <si>
    <t>001!0611830656100</t>
  </si>
  <si>
    <t>ONION TEXAS SWEET</t>
  </si>
  <si>
    <t>001!0611830657100</t>
  </si>
  <si>
    <t>ONION VIDALIA</t>
  </si>
  <si>
    <t>001!0611830658100</t>
  </si>
  <si>
    <t>ONION WALLA WALLA</t>
  </si>
  <si>
    <t>001!0611830659100</t>
  </si>
  <si>
    <t>ONION WHITE GENERIC</t>
  </si>
  <si>
    <t>001!0611830660100</t>
  </si>
  <si>
    <t>ONION WHITE SWEET SPANISH</t>
  </si>
  <si>
    <t>001!0611830661100</t>
  </si>
  <si>
    <t>ONION YELLOW GENERIC</t>
  </si>
  <si>
    <t>001!0611830662100</t>
  </si>
  <si>
    <t>ONION YELLOW SWEET SPANISH</t>
  </si>
  <si>
    <t>001!0611830663100</t>
  </si>
  <si>
    <t>ONION YUKON</t>
  </si>
  <si>
    <t>001!0611830664100</t>
  </si>
  <si>
    <t>OPHIOP MONDO GENERIC</t>
  </si>
  <si>
    <t>001!0611837036100</t>
  </si>
  <si>
    <t>OPLISM BASKET GRASS</t>
  </si>
  <si>
    <t>001!0611837037100</t>
  </si>
  <si>
    <t>ORCHID GENERIC</t>
  </si>
  <si>
    <t>001!0611837038100</t>
  </si>
  <si>
    <t>OREGAN AUREUM GOLDEN</t>
  </si>
  <si>
    <t>001!0611837042025</t>
  </si>
  <si>
    <t>001!0611862544050</t>
  </si>
  <si>
    <t>OREGAN CLEOPATRA SYRIAN</t>
  </si>
  <si>
    <t>001!0611837044100</t>
  </si>
  <si>
    <t>OREGAN COMPACT</t>
  </si>
  <si>
    <t>001!0611837045100</t>
  </si>
  <si>
    <t>001!0611862545050</t>
  </si>
  <si>
    <t>001!0611884335025</t>
  </si>
  <si>
    <t>OREGAN CUBAN</t>
  </si>
  <si>
    <t>001!0611837039100</t>
  </si>
  <si>
    <t>OREGAN GENERIC</t>
  </si>
  <si>
    <t>001!0611837058100</t>
  </si>
  <si>
    <t>001!0611837059200</t>
  </si>
  <si>
    <t>001!0611837060025</t>
  </si>
  <si>
    <t>OREGAN GILT TRIP</t>
  </si>
  <si>
    <t>001!0611856977025</t>
  </si>
  <si>
    <t>OREGAN GOLDEN</t>
  </si>
  <si>
    <t>001!0611837047100</t>
  </si>
  <si>
    <t>OREGAN GREEK</t>
  </si>
  <si>
    <t>001!0611837049025</t>
  </si>
  <si>
    <t>001!0611862546050</t>
  </si>
  <si>
    <t>001!0611862547100</t>
  </si>
  <si>
    <t>OREGAN HOT/SPICY</t>
  </si>
  <si>
    <t>001!0611837051025</t>
  </si>
  <si>
    <t>001!0611862548100</t>
  </si>
  <si>
    <t>OREGAN ITALIAN</t>
  </si>
  <si>
    <t>001!0611837053025</t>
  </si>
  <si>
    <t>001!0611862549100</t>
  </si>
  <si>
    <t>OREGAN KENT BEAUTY</t>
  </si>
  <si>
    <t>001!0611837055025</t>
  </si>
  <si>
    <t>001!0611862550050</t>
  </si>
  <si>
    <t>001!0611862551100</t>
  </si>
  <si>
    <t>OREGAN MEXICAN</t>
  </si>
  <si>
    <t>001!0611837040100</t>
  </si>
  <si>
    <t>OREGAN SUPREME</t>
  </si>
  <si>
    <t>001!0611837061100</t>
  </si>
  <si>
    <t>OREGAN VARIEGATED</t>
  </si>
  <si>
    <t>001!0611856978100</t>
  </si>
  <si>
    <t>001!0611862552050</t>
  </si>
  <si>
    <t>001!0611884336025</t>
  </si>
  <si>
    <t>ORNAME ALLIUM ONE MIX</t>
  </si>
  <si>
    <t>001!0611830649025</t>
  </si>
  <si>
    <t>ORNAME ALLIUM ONE PINK ONE</t>
  </si>
  <si>
    <t>001!0611830650025</t>
  </si>
  <si>
    <t>ORNAME ALLIUM ONE PURPLE ONE</t>
  </si>
  <si>
    <t>001!0611830647025</t>
  </si>
  <si>
    <t>ORNAME ALLIUM ONE WHITE ONE</t>
  </si>
  <si>
    <t>001!0611830648025</t>
  </si>
  <si>
    <t>ORNAME BROCCO GENERIC</t>
  </si>
  <si>
    <t>001!0611831818100</t>
  </si>
  <si>
    <t>ORNAME CABBAGE GENERIC</t>
  </si>
  <si>
    <t>001!0611831868100</t>
  </si>
  <si>
    <t>ORNAME CORN FIELD OF DREAMS</t>
  </si>
  <si>
    <t>001!0611840738100</t>
  </si>
  <si>
    <t>ORNAME CORN PINK ZEBRA</t>
  </si>
  <si>
    <t>001!0611840742100</t>
  </si>
  <si>
    <t>ORNAME GOURDS BENARYS</t>
  </si>
  <si>
    <t>001!0611833571100</t>
  </si>
  <si>
    <t>ORNAME GRASS GENERIC</t>
  </si>
  <si>
    <t>001!0611837066100</t>
  </si>
  <si>
    <t>001!0611837067025</t>
  </si>
  <si>
    <t>ORNAME KALE GENERIC</t>
  </si>
  <si>
    <t>001!0611831869100</t>
  </si>
  <si>
    <t>ORNAME OREGAN KIRIGAMI</t>
  </si>
  <si>
    <t>001!0611837056025</t>
  </si>
  <si>
    <t>ORNAME PEPPER GENERIC</t>
  </si>
  <si>
    <t>001!0611832491100</t>
  </si>
  <si>
    <t>OROSTA IWARENGE</t>
  </si>
  <si>
    <t>001!0611837068100</t>
  </si>
  <si>
    <t>OSTEOS AKILA GRAND CANYON MIX</t>
  </si>
  <si>
    <t>001!0611837072100</t>
  </si>
  <si>
    <t>OSTEOS AKILA LAVENDER SHADES</t>
  </si>
  <si>
    <t>001!0611837073100</t>
  </si>
  <si>
    <t>OSTEOS AKILA MIX</t>
  </si>
  <si>
    <t>001!0611837074100</t>
  </si>
  <si>
    <t>OSTEOS AKILA PURPLE</t>
  </si>
  <si>
    <t>001!0611837075100</t>
  </si>
  <si>
    <t>OSTEOS AKILA SUNSET SHADES</t>
  </si>
  <si>
    <t>001!0611837076100</t>
  </si>
  <si>
    <t>OSTEOS AKILA WHITE</t>
  </si>
  <si>
    <t>001!0611837077100</t>
  </si>
  <si>
    <t>OSTEOS AKILA WHITE PURPLE EYE</t>
  </si>
  <si>
    <t>001!0611837078100</t>
  </si>
  <si>
    <t>OSTEOS ASTI LAVENDER SHADES</t>
  </si>
  <si>
    <t>001!0611837079100</t>
  </si>
  <si>
    <t>OSTEOS ASTI MIX</t>
  </si>
  <si>
    <t>001!0611837080100</t>
  </si>
  <si>
    <t>OSTEOS ASTI PURPLE</t>
  </si>
  <si>
    <t>001!0611837081100</t>
  </si>
  <si>
    <t>OSTEOS ASTI WHITE</t>
  </si>
  <si>
    <t>001!0611837084100</t>
  </si>
  <si>
    <t>OSTEOS ASTRA SERIES</t>
  </si>
  <si>
    <t>001!0611837087100</t>
  </si>
  <si>
    <t>OSTEOS GELATO SERIES</t>
  </si>
  <si>
    <t>001!0611837090100</t>
  </si>
  <si>
    <t>OSTEOS MARGARITA BRONZE BIC</t>
  </si>
  <si>
    <t>001!0611863330050</t>
  </si>
  <si>
    <t>OSTEOS MARGARITA BRONZE FLARE</t>
  </si>
  <si>
    <t>001!0611863331050</t>
  </si>
  <si>
    <t>OSTEOS MARGARITA COOL PURPLE</t>
  </si>
  <si>
    <t>001!0611863332050</t>
  </si>
  <si>
    <t>OSTEOS MARGARITA CREME</t>
  </si>
  <si>
    <t>001!0611863333050</t>
  </si>
  <si>
    <t>OSTEOS MARGARITA DARK LILAC</t>
  </si>
  <si>
    <t>001!0611863334050</t>
  </si>
  <si>
    <t>OSTEOS MARGARITA DARK PINK</t>
  </si>
  <si>
    <t>001!0611863335050</t>
  </si>
  <si>
    <t>OSTEOS MARGARITA ECLIPSE</t>
  </si>
  <si>
    <t>001!0611863336050</t>
  </si>
  <si>
    <t>OSTEOS MARGARITA KARDINAL</t>
  </si>
  <si>
    <t>001!0611863337050</t>
  </si>
  <si>
    <t>OSTEOS MARGARITA LILAC</t>
  </si>
  <si>
    <t>001!0611863339050</t>
  </si>
  <si>
    <t>OSTEOS MARGARITA ORANGE FLARE</t>
  </si>
  <si>
    <t>001!0611863340050</t>
  </si>
  <si>
    <t>OSTEOS MARGARITA PINK FLARE</t>
  </si>
  <si>
    <t>001!0611863341050</t>
  </si>
  <si>
    <t>OSTEOS MARGARITA PLUS LILAC</t>
  </si>
  <si>
    <t>001!0611863342050</t>
  </si>
  <si>
    <t>OSTEOS MARGARITA PLUS PINK</t>
  </si>
  <si>
    <t>001!0611863343050</t>
  </si>
  <si>
    <t>OSTEOS MARGARITA PLUS PURPLE</t>
  </si>
  <si>
    <t>001!0611863344050</t>
  </si>
  <si>
    <t>OSTEOS MARGARITA PLUS WHITE</t>
  </si>
  <si>
    <t>001!0611863345050</t>
  </si>
  <si>
    <t>OSTEOS MARGARITA PLUS ZEBRA PK</t>
  </si>
  <si>
    <t>001!0611863346050</t>
  </si>
  <si>
    <t>OSTEOS MARGARITA PURPLE</t>
  </si>
  <si>
    <t>001!0611863347050</t>
  </si>
  <si>
    <t>OSTEOS MARGARITA RIOJA RED</t>
  </si>
  <si>
    <t>001!0611863348050</t>
  </si>
  <si>
    <t>OSTEOS MARGARITA SOFT PINK</t>
  </si>
  <si>
    <t>001!0611863349050</t>
  </si>
  <si>
    <t>OSTEOS MARGARITA WHITE</t>
  </si>
  <si>
    <t>001!0611863351050</t>
  </si>
  <si>
    <t>OSTEOS MARGARITA YELLOW IMP</t>
  </si>
  <si>
    <t>001!0611863352050</t>
  </si>
  <si>
    <t>OSTEOS OSTEOSPERMUM GENERIC</t>
  </si>
  <si>
    <t>001!0611837091100</t>
  </si>
  <si>
    <t>001!0611837092025</t>
  </si>
  <si>
    <t>OSTEOS OSTICA AMBER</t>
  </si>
  <si>
    <t>001!0611837093100</t>
  </si>
  <si>
    <t>OSTEOS OSTICA AMETHYST</t>
  </si>
  <si>
    <t>001!0611837094100</t>
  </si>
  <si>
    <t>OSTEOS OSTICA BRONZE</t>
  </si>
  <si>
    <t>001!0611837096100</t>
  </si>
  <si>
    <t>OSTEOS OSTICA BURGUNDY</t>
  </si>
  <si>
    <t>001!0611837097100</t>
  </si>
  <si>
    <t>OSTEOS OSTICA GLAMOUR</t>
  </si>
  <si>
    <t>001!0611837098100</t>
  </si>
  <si>
    <t>OSTEOS OSTICA MEGA PINK</t>
  </si>
  <si>
    <t>001!0611857040100</t>
  </si>
  <si>
    <t>OSTEOS OSTICA MIDNIGHT</t>
  </si>
  <si>
    <t>001!0611837099100</t>
  </si>
  <si>
    <t>OSTEOS OSTICA PINK</t>
  </si>
  <si>
    <t>001!0611837101100</t>
  </si>
  <si>
    <t>OSTEOS OSTICA PURPLE</t>
  </si>
  <si>
    <t>001!0611837102100</t>
  </si>
  <si>
    <t>OSTEOS OSTICA PURPLE EYE</t>
  </si>
  <si>
    <t>001!0611837103100</t>
  </si>
  <si>
    <t>OSTEOS OSTICA SERIES</t>
  </si>
  <si>
    <t>001!0611837104100</t>
  </si>
  <si>
    <t>OSTEOS OSTICADE AURORA</t>
  </si>
  <si>
    <t>001!0611884337100</t>
  </si>
  <si>
    <t>OSTEOS OSTICADE DAYBREAK</t>
  </si>
  <si>
    <t>001!0611837105100</t>
  </si>
  <si>
    <t>OSTEOS OSTICADE LEMON</t>
  </si>
  <si>
    <t>001!0611837107100</t>
  </si>
  <si>
    <t>OSTEOS OSTICADE PINK</t>
  </si>
  <si>
    <t>001!0611837108100</t>
  </si>
  <si>
    <t>OSTEOS OSTICADE PURE WHITE</t>
  </si>
  <si>
    <t>001!0611837109100</t>
  </si>
  <si>
    <t>OSTEOS OSTICADE PURPLE</t>
  </si>
  <si>
    <t>001!0611837110100</t>
  </si>
  <si>
    <t>OSTEOS OSTICADE TWILIGHT MOON</t>
  </si>
  <si>
    <t>001!0611884338100</t>
  </si>
  <si>
    <t>OSTEOS OSTICADE WHITE BLUSH</t>
  </si>
  <si>
    <t>001!0611837112100</t>
  </si>
  <si>
    <t>OSTEOS OSTICADE YELLOW</t>
  </si>
  <si>
    <t>001!0611837113100</t>
  </si>
  <si>
    <t>OSTEOS PASSION MIX</t>
  </si>
  <si>
    <t>001!0611837114100</t>
  </si>
  <si>
    <t>OSTEOS SUMMERSMILE SERIES</t>
  </si>
  <si>
    <t>001!0611884339100</t>
  </si>
  <si>
    <t>OSTEOS SUMMERTIME BLUE SUNRISE</t>
  </si>
  <si>
    <t>001!0611863353050</t>
  </si>
  <si>
    <t>OSTEOS SUMMERTIME KARDINAL</t>
  </si>
  <si>
    <t>001!0611863354050</t>
  </si>
  <si>
    <t>OSTEOS TRADEWINDS BRONZE IMP</t>
  </si>
  <si>
    <t>001!0611863355050</t>
  </si>
  <si>
    <t>OSTEOS TRADEWINDS CINNAMON</t>
  </si>
  <si>
    <t>001!0611863356050</t>
  </si>
  <si>
    <t>OSTEOS TRADEWINDS COMPACT ROSE</t>
  </si>
  <si>
    <t>001!0611863357050</t>
  </si>
  <si>
    <t>OSTEOS TRADEWINDS DEEP PURPLE</t>
  </si>
  <si>
    <t>001!0611863358050</t>
  </si>
  <si>
    <t>OSTEOS TRADEWINDS LEMON ZEST</t>
  </si>
  <si>
    <t>001!0611863359050</t>
  </si>
  <si>
    <t>OSTEOS TRADEWINDS LIGHT PURPLE</t>
  </si>
  <si>
    <t>001!0611863360050</t>
  </si>
  <si>
    <t>OSTEOS TRADEWINDS PURPLE BIC</t>
  </si>
  <si>
    <t>001!0611863361050</t>
  </si>
  <si>
    <t>OSTEOS TRADEWINDS ROSE</t>
  </si>
  <si>
    <t>001!0611863362050</t>
  </si>
  <si>
    <t>OSTEOS TRADEWINDS SUNSET</t>
  </si>
  <si>
    <t>001!0611863363050</t>
  </si>
  <si>
    <t>OSTEOS TRADEWINDS TERRACOTTA</t>
  </si>
  <si>
    <t>001!0611863364050</t>
  </si>
  <si>
    <t>OSTEOS TRADEWINDS TRL DP PURP</t>
  </si>
  <si>
    <t>001!0611863365050</t>
  </si>
  <si>
    <t>OSTEOS TRADEWINDS TRL WHITE</t>
  </si>
  <si>
    <t>001!0611863366050</t>
  </si>
  <si>
    <t>OSTEOS TRADEWINDS WHITE</t>
  </si>
  <si>
    <t>001!0611863367050</t>
  </si>
  <si>
    <t>OSTEOS TRADEWINDS YELLOW</t>
  </si>
  <si>
    <t>001!0611863368050</t>
  </si>
  <si>
    <t>OXALIS BURGUNDY</t>
  </si>
  <si>
    <t>001!0611837115100</t>
  </si>
  <si>
    <t>OXALIS GREEN</t>
  </si>
  <si>
    <t>001!0611837116100</t>
  </si>
  <si>
    <t>OXALIS REGNELLII</t>
  </si>
  <si>
    <t>001!0611837117100</t>
  </si>
  <si>
    <t>OXALIS SUNSET VELVET</t>
  </si>
  <si>
    <t>001!0611837118100</t>
  </si>
  <si>
    <t>OXALIS TRIANGULARIS</t>
  </si>
  <si>
    <t>001!0611837119100</t>
  </si>
  <si>
    <t>PACHIR MONEY TREE</t>
  </si>
  <si>
    <t>001!0611884340100</t>
  </si>
  <si>
    <t>PACHYP BRACTEOSUM</t>
  </si>
  <si>
    <t>001!0611863369100</t>
  </si>
  <si>
    <t>PACHYP MOONSTONE GENERIC</t>
  </si>
  <si>
    <t>001!0611837120100</t>
  </si>
  <si>
    <t>PACHYS GREEN CARPET</t>
  </si>
  <si>
    <t>001!0611863370100</t>
  </si>
  <si>
    <t>PACHYS GREEN SHEEN</t>
  </si>
  <si>
    <t>001!0611837122025</t>
  </si>
  <si>
    <t>001!0611863372100</t>
  </si>
  <si>
    <t>PACHYS SILVER EDGE</t>
  </si>
  <si>
    <t>001!0611863373100</t>
  </si>
  <si>
    <t>PACHYS TERMINALIS</t>
  </si>
  <si>
    <t>001!0611863374100</t>
  </si>
  <si>
    <t>PACHYS TERMINALIS GENERIC</t>
  </si>
  <si>
    <t>001!0611837123100</t>
  </si>
  <si>
    <t>001!0611837124025</t>
  </si>
  <si>
    <t>PACHYV CORVUS</t>
  </si>
  <si>
    <t>001!0611863375100</t>
  </si>
  <si>
    <t>PACHYV DRACO</t>
  </si>
  <si>
    <t>001!0611863376100</t>
  </si>
  <si>
    <t>PACHYV OPALINA</t>
  </si>
  <si>
    <t>001!0611863377100</t>
  </si>
  <si>
    <t>PAEONI CORTO BICOLOR</t>
  </si>
  <si>
    <t>001!0611863378050</t>
  </si>
  <si>
    <t>PAEONI CORTO PINK</t>
  </si>
  <si>
    <t>001!0611863379050</t>
  </si>
  <si>
    <t>PAEONI CORTO RED</t>
  </si>
  <si>
    <t>001!0611863380050</t>
  </si>
  <si>
    <t>PAEONI DWARF PINK</t>
  </si>
  <si>
    <t>001!0611863381050</t>
  </si>
  <si>
    <t>PAEONI DWARF RED</t>
  </si>
  <si>
    <t>001!0611863382050</t>
  </si>
  <si>
    <t>PAEONI HAPPY MAROON</t>
  </si>
  <si>
    <t>001!0611863383050</t>
  </si>
  <si>
    <t>PAEONI HAPPY PINK</t>
  </si>
  <si>
    <t>001!0611863384050</t>
  </si>
  <si>
    <t>PAEONI HAPPY RED</t>
  </si>
  <si>
    <t>001!0611863385050</t>
  </si>
  <si>
    <t>PAEONI HAPPY SALMON</t>
  </si>
  <si>
    <t>001!0611863386050</t>
  </si>
  <si>
    <t>PAEONI HAPPY WHITE</t>
  </si>
  <si>
    <t>001!0611863387050</t>
  </si>
  <si>
    <t>PAEONI KARL ROSENFIELD</t>
  </si>
  <si>
    <t>001!0611837126025</t>
  </si>
  <si>
    <t>PAEONI PEONY GENERIC</t>
  </si>
  <si>
    <t>001!0611837127025</t>
  </si>
  <si>
    <t>PAEONI PINK DOUBLE GENERIC</t>
  </si>
  <si>
    <t>001!0611837128025</t>
  </si>
  <si>
    <t>PAEONI RED DOUBLE GENERIC</t>
  </si>
  <si>
    <t>001!0611837129025</t>
  </si>
  <si>
    <t>PAEONI SARAH BERNHARDT</t>
  </si>
  <si>
    <t>001!0611837130025</t>
  </si>
  <si>
    <t>PAEONI WHITE DOUBLE GENERIC</t>
  </si>
  <si>
    <t>001!0611837131025</t>
  </si>
  <si>
    <t>PANICU HEAVY METAL</t>
  </si>
  <si>
    <t>001!0611837132025</t>
  </si>
  <si>
    <t>PANICU NORTHWIND</t>
  </si>
  <si>
    <t>001!0611837133025</t>
  </si>
  <si>
    <t>PANICU SHENANDOAH</t>
  </si>
  <si>
    <t>001!0611837134025</t>
  </si>
  <si>
    <t>PANSY ADMIRE BLACKBERRY MIX</t>
  </si>
  <si>
    <t>001!0611840089100</t>
  </si>
  <si>
    <t>PANSY ADMIRE BLUE</t>
  </si>
  <si>
    <t>001!0611840090100</t>
  </si>
  <si>
    <t>PANSY ADMIRE DEEP BLUE</t>
  </si>
  <si>
    <t>001!0611840092100</t>
  </si>
  <si>
    <t>PANSY ADMIRE DEEP PURPLE FACE</t>
  </si>
  <si>
    <t>001!0611840093100</t>
  </si>
  <si>
    <t>PANSY ADMIRE JEWEL TONES MIX</t>
  </si>
  <si>
    <t>001!0611840095100</t>
  </si>
  <si>
    <t>PANSY ADMIRE JOLLY FACE</t>
  </si>
  <si>
    <t>001!0611840096100</t>
  </si>
  <si>
    <t>PANSY ADMIRE LAV PINK FACE</t>
  </si>
  <si>
    <t>001!0611840097100</t>
  </si>
  <si>
    <t>PANSY ADMIRE MIX</t>
  </si>
  <si>
    <t>001!0611840100100</t>
  </si>
  <si>
    <t>PANSY ADMIRE NEON PURPLE WING</t>
  </si>
  <si>
    <t>001!0611840101100</t>
  </si>
  <si>
    <t>PANSY ADMIRE ORCHID</t>
  </si>
  <si>
    <t>001!0611840102100</t>
  </si>
  <si>
    <t>PANSY ADMIRE ORG PURPLE WING</t>
  </si>
  <si>
    <t>001!0611840103100</t>
  </si>
  <si>
    <t>PANSY ADMIRE RED BLOTCH</t>
  </si>
  <si>
    <t>001!0611840107100</t>
  </si>
  <si>
    <t>PANSY ADMIRE YELLOW BLOTCH</t>
  </si>
  <si>
    <t>001!0611840112100</t>
  </si>
  <si>
    <t>PANSY ANTIQUE SHADES GENERIC</t>
  </si>
  <si>
    <t>001!0611840115100</t>
  </si>
  <si>
    <t>PANSY ATLAS BLACK</t>
  </si>
  <si>
    <t>001!0611840116100</t>
  </si>
  <si>
    <t>PANSY BEL VISO SERIES</t>
  </si>
  <si>
    <t>001!0611840117100</t>
  </si>
  <si>
    <t>PANSY BL GNRC BLNGL DESIGN</t>
  </si>
  <si>
    <t>001!0611840118100</t>
  </si>
  <si>
    <t>PANSY BL/BLO GNRC BLNGL DSIGN</t>
  </si>
  <si>
    <t>001!0611840120100</t>
  </si>
  <si>
    <t>PANSY BLO/MX GNRC BLNGL DSIGN</t>
  </si>
  <si>
    <t>001!0611840123100</t>
  </si>
  <si>
    <t>PANSY BLUE GENERIC</t>
  </si>
  <si>
    <t>001!0611840124100</t>
  </si>
  <si>
    <t>PANSY BLUEBERRY THRILL</t>
  </si>
  <si>
    <t>001!0611840126100</t>
  </si>
  <si>
    <t>PANSY BOLERO MIX</t>
  </si>
  <si>
    <t>001!0611840127100</t>
  </si>
  <si>
    <t>PANSY CATS MIX</t>
  </si>
  <si>
    <t>001!0611840128100</t>
  </si>
  <si>
    <t>PANSY CATS PLUS BLUE/YELLOW</t>
  </si>
  <si>
    <t>001!0611857041100</t>
  </si>
  <si>
    <t>PANSY CATS PLUS MARINA</t>
  </si>
  <si>
    <t>001!0611857042100</t>
  </si>
  <si>
    <t>PANSY CATS PLUS PURPLE/WHITE</t>
  </si>
  <si>
    <t>001!0611857043100</t>
  </si>
  <si>
    <t>PANSY CATS PLUS WHITE</t>
  </si>
  <si>
    <t>001!0611857044100</t>
  </si>
  <si>
    <t>PANSY CATS PLUS YELLOW</t>
  </si>
  <si>
    <t>001!0611857045100</t>
  </si>
  <si>
    <t>PANSY CELESTIAL BL MN VLT LMTD</t>
  </si>
  <si>
    <t>001!0611864304050</t>
  </si>
  <si>
    <t>PANSY CELESTIAL BLUE MOON</t>
  </si>
  <si>
    <t>001!0611864305100</t>
  </si>
  <si>
    <t>PANSY CELESTIAL NORTHERN LGHTS</t>
  </si>
  <si>
    <t>001!0611864306100</t>
  </si>
  <si>
    <t>PANSY CELESTIAL STARRY NIGHT</t>
  </si>
  <si>
    <t>001!0611864307100</t>
  </si>
  <si>
    <t>PANSY CELESTIAL STRY NGHT LMTD</t>
  </si>
  <si>
    <t>001!0611864308050</t>
  </si>
  <si>
    <t>PANSY CLEAR GENERIC</t>
  </si>
  <si>
    <t>001!0611840129100</t>
  </si>
  <si>
    <t>PANSY COLORMAX BEACON ROSE</t>
  </si>
  <si>
    <t>001!0611840130100</t>
  </si>
  <si>
    <t>PANSY COLORMAX BERRY PIE</t>
  </si>
  <si>
    <t>001!0611840131100</t>
  </si>
  <si>
    <t>PANSY COLORMAX CITRUS MIX</t>
  </si>
  <si>
    <t>001!0611840132100</t>
  </si>
  <si>
    <t>PANSY COLORMAX CLEAR ORANGE</t>
  </si>
  <si>
    <t>001!0611840133100</t>
  </si>
  <si>
    <t>PANSY COLORMAX CLEAR PURPLE</t>
  </si>
  <si>
    <t>001!0611840134100</t>
  </si>
  <si>
    <t>PANSY COLORMAX CLEAR YELLOW</t>
  </si>
  <si>
    <t>001!0611840135100</t>
  </si>
  <si>
    <t>PANSY COLORMAX ICY BLUE</t>
  </si>
  <si>
    <t>001!0611840136100</t>
  </si>
  <si>
    <t>PANSY COLORMAX LEMON SPLASH</t>
  </si>
  <si>
    <t>001!0611840137100</t>
  </si>
  <si>
    <t>PANSY COLORMAX LMNBRRY PIE MX</t>
  </si>
  <si>
    <t>001!0611840138100</t>
  </si>
  <si>
    <t>PANSY COLORMAX MIX</t>
  </si>
  <si>
    <t>001!0611840139100</t>
  </si>
  <si>
    <t>PANSY COLORMAX POPCORN</t>
  </si>
  <si>
    <t>001!0611840140100</t>
  </si>
  <si>
    <t>PANSY COLORMAX PURPLE GLOW</t>
  </si>
  <si>
    <t>001!0611840141100</t>
  </si>
  <si>
    <t>PANSY COLORMAX ROYAL MIX</t>
  </si>
  <si>
    <t>001!0611840142100</t>
  </si>
  <si>
    <t>PANSY COLORMAX RS WITH BLOTCH</t>
  </si>
  <si>
    <t>001!0611840143100</t>
  </si>
  <si>
    <t>PANSY COLORMAX TRUE BLUE</t>
  </si>
  <si>
    <t>001!0611857181100</t>
  </si>
  <si>
    <t>PANSY COLORMAX YELLOW JUMP UP</t>
  </si>
  <si>
    <t>001!0611840144100</t>
  </si>
  <si>
    <t>PANSY COLOSSAL MIX</t>
  </si>
  <si>
    <t>001!0611840145100</t>
  </si>
  <si>
    <t>PANSY COLOSSUS BLOTCH MIX</t>
  </si>
  <si>
    <t>001!0611840146100</t>
  </si>
  <si>
    <t>PANSY COLOSSUS BLUE/BLOTCH</t>
  </si>
  <si>
    <t>001!0611840147100</t>
  </si>
  <si>
    <t>PANSY COLOSSUS DP BLUE/BLOTCH</t>
  </si>
  <si>
    <t>001!0611840148100</t>
  </si>
  <si>
    <t>PANSY COLOSSUS FIRE</t>
  </si>
  <si>
    <t>001!0611840149100</t>
  </si>
  <si>
    <t>PANSY COLOSSUS LAV MEDLEY</t>
  </si>
  <si>
    <t>001!0611840150100</t>
  </si>
  <si>
    <t>PANSY COLOSSUS LEMON SHADES</t>
  </si>
  <si>
    <t>001!0611840151100</t>
  </si>
  <si>
    <t>PANSY COLOSSUS MIX</t>
  </si>
  <si>
    <t>001!0611840152100</t>
  </si>
  <si>
    <t>PANSY COLOSSUS NEON VIOLET</t>
  </si>
  <si>
    <t>001!0611840153100</t>
  </si>
  <si>
    <t>PANSY COLOSSUS OCEAN</t>
  </si>
  <si>
    <t>001!0611840154100</t>
  </si>
  <si>
    <t>PANSY COLOSSUS PURPLE/BLOTCH</t>
  </si>
  <si>
    <t>001!0611840156100</t>
  </si>
  <si>
    <t>PANSY COLOSSUS RED/BLOTCH</t>
  </si>
  <si>
    <t>001!0611840157100</t>
  </si>
  <si>
    <t>PANSY COLOSSUS ROSE MEDLEY</t>
  </si>
  <si>
    <t>001!0611840158100</t>
  </si>
  <si>
    <t>PANSY COLOSSUS ROSE/BLOTCH</t>
  </si>
  <si>
    <t>001!0611840159100</t>
  </si>
  <si>
    <t>PANSY COLOSSUS SERIES</t>
  </si>
  <si>
    <t>001!0611840160100</t>
  </si>
  <si>
    <t>PANSY COLOSSUS TRICOLOR</t>
  </si>
  <si>
    <t>001!0611840161100</t>
  </si>
  <si>
    <t>PANSY COLOSSUS WH/PURPLE WING</t>
  </si>
  <si>
    <t>001!0611840162100</t>
  </si>
  <si>
    <t>PANSY COLOSSUS WHITE</t>
  </si>
  <si>
    <t>001!0611840163100</t>
  </si>
  <si>
    <t>PANSY COLOSSUS WHITE/BLOTCH</t>
  </si>
  <si>
    <t>001!0611840164100</t>
  </si>
  <si>
    <t>PANSY COLOSSUS YELLOW</t>
  </si>
  <si>
    <t>001!0611840165100</t>
  </si>
  <si>
    <t>PANSY COLOSSUS YELLOW/BLOTCH</t>
  </si>
  <si>
    <t>001!0611840166100</t>
  </si>
  <si>
    <t>PANSY COLUMBINE</t>
  </si>
  <si>
    <t>001!0611840167025</t>
  </si>
  <si>
    <t>001!0611864309100</t>
  </si>
  <si>
    <t>PANSY COLUMBINE LMTD</t>
  </si>
  <si>
    <t>001!0611864310050</t>
  </si>
  <si>
    <t>PANSY COOL WAVE BERRS N CRM MX</t>
  </si>
  <si>
    <t>001!0611840169050</t>
  </si>
  <si>
    <t>PANSY COOL WAVE BLBERRY SWIRL</t>
  </si>
  <si>
    <t>001!0611840170050</t>
  </si>
  <si>
    <t>PANSY COOL WAVE BLUE</t>
  </si>
  <si>
    <t>001!0611857046050</t>
  </si>
  <si>
    <t>PANSY COOL WAVE BLUE SKIES</t>
  </si>
  <si>
    <t>001!0611840171050</t>
  </si>
  <si>
    <t>PANSY COOL WAVE FIRE</t>
  </si>
  <si>
    <t>001!0611840172050</t>
  </si>
  <si>
    <t>PANSY COOL WAVE FROST</t>
  </si>
  <si>
    <t>001!0611840174050</t>
  </si>
  <si>
    <t>PANSY COOL WAVE GOLDEN YELLOW</t>
  </si>
  <si>
    <t>001!0611840175050</t>
  </si>
  <si>
    <t>PANSY COOL WAVE LEMON</t>
  </si>
  <si>
    <t>001!0611840176050</t>
  </si>
  <si>
    <t>PANSY COOL WAVE LMN SURPRISE</t>
  </si>
  <si>
    <t>001!0611840177050</t>
  </si>
  <si>
    <t>PANSY COOL WAVE MIX</t>
  </si>
  <si>
    <t>001!0611840178050</t>
  </si>
  <si>
    <t>PANSY COOL WAVE MORPHO</t>
  </si>
  <si>
    <t>001!0611840179050</t>
  </si>
  <si>
    <t>PANSY COOL WAVE PASTEL MIX</t>
  </si>
  <si>
    <t>001!0611840180050</t>
  </si>
  <si>
    <t>PANSY COOL WAVE PURPLE</t>
  </si>
  <si>
    <t>001!0611840181050</t>
  </si>
  <si>
    <t>PANSY COOL WAVE RASP SWIRL</t>
  </si>
  <si>
    <t>001!0611840182050</t>
  </si>
  <si>
    <t>PANSY COOL WAVE RASPBERRY</t>
  </si>
  <si>
    <t>001!0611840183050</t>
  </si>
  <si>
    <t>PANSY COOL WAVE SERIES</t>
  </si>
  <si>
    <t>001!0611840184100</t>
  </si>
  <si>
    <t>PANSY COOL WAVE SNSHINE N WINE</t>
  </si>
  <si>
    <t>001!0611840186050</t>
  </si>
  <si>
    <t>PANSY COOL WAVE STRWBR SWIRL</t>
  </si>
  <si>
    <t>001!0611840187050</t>
  </si>
  <si>
    <t>PANSY COOL WAVE VIOLET WING</t>
  </si>
  <si>
    <t>001!0611840188050</t>
  </si>
  <si>
    <t>PANSY COOL WAVE WHITE</t>
  </si>
  <si>
    <t>001!0611840189050</t>
  </si>
  <si>
    <t>PANSY COOL WAVE YELLOW</t>
  </si>
  <si>
    <t>001!0611840190050</t>
  </si>
  <si>
    <t>PANSY CROWN AZURE</t>
  </si>
  <si>
    <t>001!0611840191100</t>
  </si>
  <si>
    <t>PANSY CROWN BLUE</t>
  </si>
  <si>
    <t>001!0611840192100</t>
  </si>
  <si>
    <t>PANSY CROWN GOLDEN</t>
  </si>
  <si>
    <t>001!0611840193100</t>
  </si>
  <si>
    <t>PANSY CROWN MIX</t>
  </si>
  <si>
    <t>001!0611840194100</t>
  </si>
  <si>
    <t>PANSY CROWN ORANGE</t>
  </si>
  <si>
    <t>001!0611840195100</t>
  </si>
  <si>
    <t>PANSY CROWN PURPLE</t>
  </si>
  <si>
    <t>001!0611840196100</t>
  </si>
  <si>
    <t>PANSY CROWN ROSE</t>
  </si>
  <si>
    <t>001!0611840197100</t>
  </si>
  <si>
    <t>PANSY CROWN SCARLET</t>
  </si>
  <si>
    <t>001!0611840198100</t>
  </si>
  <si>
    <t>PANSY CROWN WHITE</t>
  </si>
  <si>
    <t>001!0611840199100</t>
  </si>
  <si>
    <t>PANSY CROWN YELLOW</t>
  </si>
  <si>
    <t>001!0611840200100</t>
  </si>
  <si>
    <t>PANSY DELTA CLSC APPLE CIDR MX</t>
  </si>
  <si>
    <t>001!0611840213100</t>
  </si>
  <si>
    <t>PANSY DELTA CLSC BEACONSFIELD</t>
  </si>
  <si>
    <t>001!0611840214100</t>
  </si>
  <si>
    <t>PANSY DELTA CLSC BERRY TART MX</t>
  </si>
  <si>
    <t>001!0611840201100</t>
  </si>
  <si>
    <t>PANSY DELTA CLSC BLAZE MIX</t>
  </si>
  <si>
    <t>001!0611840202100</t>
  </si>
  <si>
    <t>PANSY DELTA CLSC BLUE MORPHO</t>
  </si>
  <si>
    <t>001!0611840232100</t>
  </si>
  <si>
    <t>PANSY DELTA CLSC BTRD PPCRN MX</t>
  </si>
  <si>
    <t>001!0611840216100</t>
  </si>
  <si>
    <t>PANSY DELTA CLSC COTTN CNDY MX</t>
  </si>
  <si>
    <t>001!0611840204100</t>
  </si>
  <si>
    <t>PANSY DELTA CLSC DEEP BLUE</t>
  </si>
  <si>
    <t>001!0611840234100</t>
  </si>
  <si>
    <t>PANSY DELTA CLSC FIRE</t>
  </si>
  <si>
    <t>001!0611840205100</t>
  </si>
  <si>
    <t>PANSY DELTA CLSC MARINA</t>
  </si>
  <si>
    <t>001!0611840235100</t>
  </si>
  <si>
    <t>PANSY DELTA CLSC MONET MIX</t>
  </si>
  <si>
    <t>001!0611840210100</t>
  </si>
  <si>
    <t>PANSY DELTA CLSC PINK SHADES</t>
  </si>
  <si>
    <t>001!0611840212100</t>
  </si>
  <si>
    <t>PANSY DELTA CLSC PURE RED</t>
  </si>
  <si>
    <t>001!0611840251100</t>
  </si>
  <si>
    <t>PANSY DELTA CLSC PURE ROSE</t>
  </si>
  <si>
    <t>001!0611840252100</t>
  </si>
  <si>
    <t>PANSY DELTA CLSC TAPESTRY</t>
  </si>
  <si>
    <t>001!0611840243100</t>
  </si>
  <si>
    <t>PANSY DELTA CLSC WATERCOLOR MX</t>
  </si>
  <si>
    <t>001!0611840269100</t>
  </si>
  <si>
    <t>PANSY DELTA CLSC WINE/CHSE MIX</t>
  </si>
  <si>
    <t>001!0611840270100</t>
  </si>
  <si>
    <t>PANSY DELTA CLSC YEL W/PRP WNG</t>
  </si>
  <si>
    <t>001!0611840230100</t>
  </si>
  <si>
    <t>PANSY DELTA FRUIT SALAD MIX</t>
  </si>
  <si>
    <t>001!0611840206100</t>
  </si>
  <si>
    <t>PANSY DELTA MIX</t>
  </si>
  <si>
    <t>001!0611840209100</t>
  </si>
  <si>
    <t>PANSY DELTA ORANGE/BLOTCH</t>
  </si>
  <si>
    <t>001!0611840211100</t>
  </si>
  <si>
    <t>PANSY DELTA PREM BL/BLOTCH</t>
  </si>
  <si>
    <t>001!0611840233100</t>
  </si>
  <si>
    <t>PANSY DELTA PREM GLD/BLO</t>
  </si>
  <si>
    <t>001!0611840218100</t>
  </si>
  <si>
    <t>PANSY DELTA PREM LAV BLUE SHDS</t>
  </si>
  <si>
    <t>001!0611840207100</t>
  </si>
  <si>
    <t>PANSY DELTA PREM PERSIAN MDLEY</t>
  </si>
  <si>
    <t>001!0611840221100</t>
  </si>
  <si>
    <t>PANSY DELTA PREM PR GLDEN YEL</t>
  </si>
  <si>
    <t>001!0611840222100</t>
  </si>
  <si>
    <t>PANSY DELTA PREM PRIMRS/BLO</t>
  </si>
  <si>
    <t>001!0611840223100</t>
  </si>
  <si>
    <t>PANSY DELTA PREM PURE DP ORG</t>
  </si>
  <si>
    <t>001!0611840224100</t>
  </si>
  <si>
    <t>PANSY DELTA PREM PURE PRIMRS</t>
  </si>
  <si>
    <t>001!0611840226100</t>
  </si>
  <si>
    <t>PANSY DELTA PRO ALL COLORS MIX</t>
  </si>
  <si>
    <t>001!0611840236100</t>
  </si>
  <si>
    <t>PANSY DELTA PRO BLOTCH MIX</t>
  </si>
  <si>
    <t>001!0611840215100</t>
  </si>
  <si>
    <t>PANSY DELTA PRO CITRUS MIX</t>
  </si>
  <si>
    <t>001!0611840203100</t>
  </si>
  <si>
    <t>PANSY DELTA PRO CLEAR COLOR MX</t>
  </si>
  <si>
    <t>001!0611840247100</t>
  </si>
  <si>
    <t>PANSY DELTA PRO CLEAR LT BLUE</t>
  </si>
  <si>
    <t>001!0611840225100</t>
  </si>
  <si>
    <t>PANSY DELTA PRO CLEAR ORANGE</t>
  </si>
  <si>
    <t>001!0611840238100</t>
  </si>
  <si>
    <t>PANSY DELTA PRO CLEAR TRUE BL</t>
  </si>
  <si>
    <t>001!0611840244100</t>
  </si>
  <si>
    <t>PANSY DELTA PRO CLEAR VIOLET</t>
  </si>
  <si>
    <t>001!0611840227100</t>
  </si>
  <si>
    <t>PANSY DELTA PRO CLEAR WHITE</t>
  </si>
  <si>
    <t>001!0611840239100</t>
  </si>
  <si>
    <t>PANSY DELTA PRO CLEAR YELLOW</t>
  </si>
  <si>
    <t>001!0611840240100</t>
  </si>
  <si>
    <t>PANSY DELTA PRO COOL WATERS MX</t>
  </si>
  <si>
    <t>001!0611840217100</t>
  </si>
  <si>
    <t>PANSY DELTA PRO DP BLUE BLOTCH</t>
  </si>
  <si>
    <t>001!0611884511100</t>
  </si>
  <si>
    <t>PANSY DELTA PRO LAV BLUE SHADE</t>
  </si>
  <si>
    <t>001!0611840219100</t>
  </si>
  <si>
    <t>PANSY DELTA PRO NEON VIOLET</t>
  </si>
  <si>
    <t>001!0611840220100</t>
  </si>
  <si>
    <t>PANSY DELTA PRO PURE LEMON</t>
  </si>
  <si>
    <t>001!0611840237100</t>
  </si>
  <si>
    <t>PANSY DELTA PRO RED BLOTCH</t>
  </si>
  <si>
    <t>001!0611840241100</t>
  </si>
  <si>
    <t>PANSY DELTA PRO ROSE BLOTCH</t>
  </si>
  <si>
    <t>001!0611840242100</t>
  </si>
  <si>
    <t>PANSY DELTA PRO TRICOLOR MIX</t>
  </si>
  <si>
    <t>001!0611840228100</t>
  </si>
  <si>
    <t>PANSY DELTA PRO VIOLET/WHITE</t>
  </si>
  <si>
    <t>001!0611840229100</t>
  </si>
  <si>
    <t>PANSY DELTA PRO WHITE BLOTCH</t>
  </si>
  <si>
    <t>001!0611840245100</t>
  </si>
  <si>
    <t>PANSY DELTA PRO YELL RED RING</t>
  </si>
  <si>
    <t>001!0611840271100</t>
  </si>
  <si>
    <t>PANSY DELTA PRO YELLOW BLOTCH</t>
  </si>
  <si>
    <t>001!0611840231100</t>
  </si>
  <si>
    <t>PANSY DELTA PUMPKIN PIE MIX</t>
  </si>
  <si>
    <t>001!0611840246100</t>
  </si>
  <si>
    <t>PANSY DELTA PURE LIGHT BLUE</t>
  </si>
  <si>
    <t>001!0611840248100</t>
  </si>
  <si>
    <t>PANSY DELTA PURE ORANGE</t>
  </si>
  <si>
    <t>001!0611840249100</t>
  </si>
  <si>
    <t>PANSY DELTA PURE PRIMROSE</t>
  </si>
  <si>
    <t>001!0611840250100</t>
  </si>
  <si>
    <t>PANSY DELTA SERIES</t>
  </si>
  <si>
    <t>001!0611840254100</t>
  </si>
  <si>
    <t>PANSY DELTA SPEEDY CLEAR WH</t>
  </si>
  <si>
    <t>001!0611840255100</t>
  </si>
  <si>
    <t>PANSY DELTA SPEEDY CLEAR YELL</t>
  </si>
  <si>
    <t>001!0611840256100</t>
  </si>
  <si>
    <t>PANSY DELTA SPEEDY DP BL/BLO</t>
  </si>
  <si>
    <t>001!0611840257100</t>
  </si>
  <si>
    <t>PANSY DELTA SPEEDY FROST</t>
  </si>
  <si>
    <t>001!0611840258100</t>
  </si>
  <si>
    <t>PANSY DELTA SPEEDY MIX</t>
  </si>
  <si>
    <t>001!0611840259100</t>
  </si>
  <si>
    <t>PANSY DELTA SPEEDY PURPLE</t>
  </si>
  <si>
    <t>001!0611840260100</t>
  </si>
  <si>
    <t>PANSY DELTA SPEEDY RS MEDLEY</t>
  </si>
  <si>
    <t>001!0611840261100</t>
  </si>
  <si>
    <t>PANSY DELTA SPEEDY TRUE BLUE</t>
  </si>
  <si>
    <t>001!0611840262100</t>
  </si>
  <si>
    <t>PANSY DELTA SPEEDY VLT AND WH</t>
  </si>
  <si>
    <t>001!0611840263100</t>
  </si>
  <si>
    <t>PANSY DELTA SPEEDY YEL AND PPL</t>
  </si>
  <si>
    <t>001!0611840264100</t>
  </si>
  <si>
    <t>PANSY DELTA SPEEDY YELL/BLO</t>
  </si>
  <si>
    <t>001!0611840265100</t>
  </si>
  <si>
    <t>PANSY DELTA VIOLET/FACE</t>
  </si>
  <si>
    <t>001!0611840268100</t>
  </si>
  <si>
    <t>PANSY DELTINI BL PURPLE WING</t>
  </si>
  <si>
    <t>001!0611840272100</t>
  </si>
  <si>
    <t>PANSY DELTINI BLUE</t>
  </si>
  <si>
    <t>001!0611840273100</t>
  </si>
  <si>
    <t>PANSY DELTINI BURGUNDY</t>
  </si>
  <si>
    <t>001!0611840274100</t>
  </si>
  <si>
    <t>PANSY DELTINI COPPERFIELD</t>
  </si>
  <si>
    <t>001!0611840275100</t>
  </si>
  <si>
    <t>PANSY DELTINI HONEYBEE</t>
  </si>
  <si>
    <t>001!0611840276100</t>
  </si>
  <si>
    <t>PANSY DELTINI MIX</t>
  </si>
  <si>
    <t>001!0611840277100</t>
  </si>
  <si>
    <t>PANSY DELTINI PPL/GLDEN CTR</t>
  </si>
  <si>
    <t>001!0611840278100</t>
  </si>
  <si>
    <t>PANSY DELTINI ROSE PINK</t>
  </si>
  <si>
    <t>001!0611840279100</t>
  </si>
  <si>
    <t>PANSY DELTINI VIOLET BLUE</t>
  </si>
  <si>
    <t>001!0611840281100</t>
  </si>
  <si>
    <t>PANSY DELTINI VIOLET FACE</t>
  </si>
  <si>
    <t>001!0611840282100</t>
  </si>
  <si>
    <t>PANSY DELTINI WHITE</t>
  </si>
  <si>
    <t>001!0611840283100</t>
  </si>
  <si>
    <t>PANSY DELTINI YELL AND PURPLE</t>
  </si>
  <si>
    <t>001!0611840284100</t>
  </si>
  <si>
    <t>PANSY DELTINI YELLOW</t>
  </si>
  <si>
    <t>001!0611840285100</t>
  </si>
  <si>
    <t>PANSY DELTINI YELLOW JUMP UP</t>
  </si>
  <si>
    <t>001!0611840286100</t>
  </si>
  <si>
    <t>PANSY DELUXXE BL SURPRISE</t>
  </si>
  <si>
    <t>001!0611840287100</t>
  </si>
  <si>
    <t>PANSY DELUXXE WHITE VLT WING</t>
  </si>
  <si>
    <t>001!0611840289100</t>
  </si>
  <si>
    <t>PANSY ENDURIO RED FLARE</t>
  </si>
  <si>
    <t>001!0611840294100</t>
  </si>
  <si>
    <t>PANSY ENDURIO SKY BL MARTIEN</t>
  </si>
  <si>
    <t>001!0611840295100</t>
  </si>
  <si>
    <t>PANSY ENDURIO TRICOLOR MIX</t>
  </si>
  <si>
    <t>001!0611840296100</t>
  </si>
  <si>
    <t>PANSY ETAIN</t>
  </si>
  <si>
    <t>001!0611840299025</t>
  </si>
  <si>
    <t>001!0611864311100</t>
  </si>
  <si>
    <t>PANSY ETAIN LMTD</t>
  </si>
  <si>
    <t>001!0611864312050</t>
  </si>
  <si>
    <t>PANSY FIZZY LEMONBERRY</t>
  </si>
  <si>
    <t>001!0611840301100</t>
  </si>
  <si>
    <t>PANSY FREEFALL SERIES</t>
  </si>
  <si>
    <t>001!0611840302100</t>
  </si>
  <si>
    <t>PANSY FREEFALL XL SERIES</t>
  </si>
  <si>
    <t>001!0611840303100</t>
  </si>
  <si>
    <t>PANSY FRIZZLE SIZZLE BLUE</t>
  </si>
  <si>
    <t>001!0611840304100</t>
  </si>
  <si>
    <t>PANSY FRIZZLE SIZZLE BURGUNDY</t>
  </si>
  <si>
    <t>001!0611840305100</t>
  </si>
  <si>
    <t>PANSY FRIZZLE SIZZLE LEMONADE</t>
  </si>
  <si>
    <t>001!0611840306100</t>
  </si>
  <si>
    <t>PANSY FRIZZLE SIZZLE LMNBERRY</t>
  </si>
  <si>
    <t>001!0611840307100</t>
  </si>
  <si>
    <t>PANSY FRIZZLE SIZZLE MINI MIX</t>
  </si>
  <si>
    <t>001!0611840308100</t>
  </si>
  <si>
    <t>PANSY FRIZZLE SIZZLE MINI YEL</t>
  </si>
  <si>
    <t>001!0611840309100</t>
  </si>
  <si>
    <t>PANSY FRIZZLE SIZZLE MIX</t>
  </si>
  <si>
    <t>001!0611840310100</t>
  </si>
  <si>
    <t>PANSY FRIZZLE SIZZLE ORANGE</t>
  </si>
  <si>
    <t>001!0611840311100</t>
  </si>
  <si>
    <t>PANSY FRIZZLE SIZZLE RASP</t>
  </si>
  <si>
    <t>001!0611840312100</t>
  </si>
  <si>
    <t>PANSY FRIZZLE SIZZLE YELLOW</t>
  </si>
  <si>
    <t>001!0611840313100</t>
  </si>
  <si>
    <t>PANSY FRZZL SZZL MINI PPL SHDS</t>
  </si>
  <si>
    <t>001!0611840314100</t>
  </si>
  <si>
    <t>PANSY FRZZL SZZLE MN TAPESTRY</t>
  </si>
  <si>
    <t>001!0611840315100</t>
  </si>
  <si>
    <t>PANSY FRZZL SZZLE YEL/BL SWIRL</t>
  </si>
  <si>
    <t>001!0611840316100</t>
  </si>
  <si>
    <t>PANSY GENERIC</t>
  </si>
  <si>
    <t>001!0611840530025</t>
  </si>
  <si>
    <t>PANSY GRANDIO BEACON BLUE</t>
  </si>
  <si>
    <t>001!0611840324100</t>
  </si>
  <si>
    <t>PANSY GRANDIO BEACON ROSE</t>
  </si>
  <si>
    <t>001!0611840325100</t>
  </si>
  <si>
    <t>PANSY GRANDIO BLOED COLORS MX</t>
  </si>
  <si>
    <t>001!0611840326100</t>
  </si>
  <si>
    <t>PANSY GRANDIO BLUE W/BLOTCH</t>
  </si>
  <si>
    <t>001!0611840327100</t>
  </si>
  <si>
    <t>PANSY GRANDIO BRGHT COLORS MX</t>
  </si>
  <si>
    <t>001!0611840328100</t>
  </si>
  <si>
    <t>PANSY GRANDIO CITRUS MIX</t>
  </si>
  <si>
    <t>001!0611840329100</t>
  </si>
  <si>
    <t>PANSY GRANDIO CLEAR COLORS MX</t>
  </si>
  <si>
    <t>001!0611840330100</t>
  </si>
  <si>
    <t>PANSY GRANDIO CLEAR ORANGE</t>
  </si>
  <si>
    <t>001!0611840331100</t>
  </si>
  <si>
    <t>PANSY GRANDIO CLEAR SCARLET</t>
  </si>
  <si>
    <t>001!0611840332100</t>
  </si>
  <si>
    <t>PANSY GRANDIO DP BL W/BLOTCH</t>
  </si>
  <si>
    <t>001!0611840333100</t>
  </si>
  <si>
    <t>PANSY GRANDIO PRIMROSE</t>
  </si>
  <si>
    <t>001!0611840334100</t>
  </si>
  <si>
    <t>PANSY GRANDIO PURPLE</t>
  </si>
  <si>
    <t>001!0611840335100</t>
  </si>
  <si>
    <t>PANSY GRANDIO RED W/BLOTCH</t>
  </si>
  <si>
    <t>001!0611840336100</t>
  </si>
  <si>
    <t>PANSY GRANDIO ROSE</t>
  </si>
  <si>
    <t>001!0611840337100</t>
  </si>
  <si>
    <t>PANSY GRANDIO ROSE W/BLOTCH</t>
  </si>
  <si>
    <t>001!0611840338100</t>
  </si>
  <si>
    <t>PANSY GRANDIO SILVER BLUE</t>
  </si>
  <si>
    <t>001!0611857047100</t>
  </si>
  <si>
    <t>PANSY GRANDIO STAR SPANGLED MX</t>
  </si>
  <si>
    <t>001!0611840340100</t>
  </si>
  <si>
    <t>PANSY GRANDIO TRUE BLUE</t>
  </si>
  <si>
    <t>001!0611840341100</t>
  </si>
  <si>
    <t>PANSY GRANDIO WH W/RS BLOTCH</t>
  </si>
  <si>
    <t>001!0611840342100</t>
  </si>
  <si>
    <t>PANSY GRANDIO WHITE</t>
  </si>
  <si>
    <t>001!0611840343100</t>
  </si>
  <si>
    <t>PANSY GRANDIO WHITE W/BLOTCH</t>
  </si>
  <si>
    <t>001!0611840344100</t>
  </si>
  <si>
    <t>PANSY GRANDIO YELLOW</t>
  </si>
  <si>
    <t>001!0611840345100</t>
  </si>
  <si>
    <t>PANSY GRANDIO YELLOW W/BLOTCH</t>
  </si>
  <si>
    <t>001!0611840346100</t>
  </si>
  <si>
    <t>PANSY HALLOWEEN II</t>
  </si>
  <si>
    <t>001!0611840347100</t>
  </si>
  <si>
    <t>PANSY HALO GOLDEN YELLOW</t>
  </si>
  <si>
    <t>001!0611840348025</t>
  </si>
  <si>
    <t>001!0611864313100</t>
  </si>
  <si>
    <t>PANSY HALO LEMON FROST</t>
  </si>
  <si>
    <t>001!0611840349025</t>
  </si>
  <si>
    <t>PANSY HALO LILAC</t>
  </si>
  <si>
    <t>001!0611840350025</t>
  </si>
  <si>
    <t>PANSY HALO LILAC LMTD</t>
  </si>
  <si>
    <t>001!0611864314100</t>
  </si>
  <si>
    <t>001!0611864315050</t>
  </si>
  <si>
    <t>PANSY HALO LMTD</t>
  </si>
  <si>
    <t>001!0611864316100</t>
  </si>
  <si>
    <t>001!0611864317050</t>
  </si>
  <si>
    <t>PANSY HALO SKY BLUE</t>
  </si>
  <si>
    <t>001!0611840351025</t>
  </si>
  <si>
    <t>PANSY HALO SKY BLUE LMTD</t>
  </si>
  <si>
    <t>001!0611864318100</t>
  </si>
  <si>
    <t>001!0611864319050</t>
  </si>
  <si>
    <t>PANSY HALO VIOLET</t>
  </si>
  <si>
    <t>001!0611840352025</t>
  </si>
  <si>
    <t>PANSY HEDERACEA</t>
  </si>
  <si>
    <t>001!0611840354100</t>
  </si>
  <si>
    <t>PANSY HELEN MOUNT</t>
  </si>
  <si>
    <t>001!0611840355100</t>
  </si>
  <si>
    <t>PANSY IMPERIAL ANTIQUE SHADES</t>
  </si>
  <si>
    <t>001!0611840356100</t>
  </si>
  <si>
    <t>PANSY IMPERIAL LAV SHADES</t>
  </si>
  <si>
    <t>001!0611840358100</t>
  </si>
  <si>
    <t>PANSY INSPIRE DELUXXE DENIM</t>
  </si>
  <si>
    <t>001!0611840359100</t>
  </si>
  <si>
    <t>PANSY INSPIRE DELUXXE MIX</t>
  </si>
  <si>
    <t>001!0611840360100</t>
  </si>
  <si>
    <t>PANSY INSPIRE DELUXXE OCEAN</t>
  </si>
  <si>
    <t>001!0611840361100</t>
  </si>
  <si>
    <t>PANSY INSPIRE DELUXXE ORANGE</t>
  </si>
  <si>
    <t>001!0611840362100</t>
  </si>
  <si>
    <t>PANSY INSPIRE DELUXXE WH BLO</t>
  </si>
  <si>
    <t>001!0611840365100</t>
  </si>
  <si>
    <t>PANSY INSPIRE DELUXXE WHITE</t>
  </si>
  <si>
    <t>001!0611840366100</t>
  </si>
  <si>
    <t>PANSY INSPIRE DELUXXE YEL BLO</t>
  </si>
  <si>
    <t>001!0611840367100</t>
  </si>
  <si>
    <t>PANSY INSPIRE DELUXXE YELLOW</t>
  </si>
  <si>
    <t>001!0611840368100</t>
  </si>
  <si>
    <t>PANSY INSPIRE DP BL BLO</t>
  </si>
  <si>
    <t>001!0611840369100</t>
  </si>
  <si>
    <t>PANSY INSPIRE LT RS BLO</t>
  </si>
  <si>
    <t>001!0611840370100</t>
  </si>
  <si>
    <t>PANSY INSPIRE PLUS LIGHT BLUE</t>
  </si>
  <si>
    <t>001!0611840375100</t>
  </si>
  <si>
    <t>PANSY INSPIRE PLUS LMN BLOTCH</t>
  </si>
  <si>
    <t>001!0611840376100</t>
  </si>
  <si>
    <t>PANSY INSPIRE PLUS MARINA</t>
  </si>
  <si>
    <t>001!0611840377100</t>
  </si>
  <si>
    <t>PANSY INSPIRE PLUS ORANGE</t>
  </si>
  <si>
    <t>001!0611840379100</t>
  </si>
  <si>
    <t>PANSY INSPIRE PLUS ORG BLOTCH</t>
  </si>
  <si>
    <t>001!0611840380100</t>
  </si>
  <si>
    <t>PANSY INSPIRE SERIES</t>
  </si>
  <si>
    <t>001!0611840387100</t>
  </si>
  <si>
    <t>PANSY JOHNNY JUMP UP GENERIC</t>
  </si>
  <si>
    <t>001!0611840390100</t>
  </si>
  <si>
    <t>PANSY JOLLY JOKER</t>
  </si>
  <si>
    <t>001!0611840391100</t>
  </si>
  <si>
    <t>PANSY LAVENDER SHADES GENERIC</t>
  </si>
  <si>
    <t>001!0611840399100</t>
  </si>
  <si>
    <t>PANSY MAGNF SCENT SNY JIM LMTD</t>
  </si>
  <si>
    <t>001!0611864320100</t>
  </si>
  <si>
    <t>001!0611864321050</t>
  </si>
  <si>
    <t>PANSY MAGNF SCENT SWEETHEART</t>
  </si>
  <si>
    <t>001!0611864322100</t>
  </si>
  <si>
    <t>PANSY MAJ GT II ATMN MX</t>
  </si>
  <si>
    <t>001!0611840317100</t>
  </si>
  <si>
    <t>PANSY MAJ GT II BL JNS</t>
  </si>
  <si>
    <t>001!0611840405100</t>
  </si>
  <si>
    <t>PANSY MAJ GT II BL SHDS</t>
  </si>
  <si>
    <t>001!0611840406100</t>
  </si>
  <si>
    <t>PANSY MAJ GT II BL/WH</t>
  </si>
  <si>
    <t>001!0611840407100</t>
  </si>
  <si>
    <t>PANSY MAJ GT II BLO MX</t>
  </si>
  <si>
    <t>001!0611840408100</t>
  </si>
  <si>
    <t>PANSY MAJ GT II CLR MX</t>
  </si>
  <si>
    <t>001!0611840409100</t>
  </si>
  <si>
    <t>PANSY MAJ GT II CLR PPL</t>
  </si>
  <si>
    <t>001!0611840318100</t>
  </si>
  <si>
    <t>PANSY MAJ GT II CLR WH</t>
  </si>
  <si>
    <t>001!0611840410100</t>
  </si>
  <si>
    <t>PANSY MAJ GT II CLR YEL</t>
  </si>
  <si>
    <t>001!0611840319100</t>
  </si>
  <si>
    <t>PANSY MAJ GT II DP BL/BLO</t>
  </si>
  <si>
    <t>001!0611840320100</t>
  </si>
  <si>
    <t>PANSY MAJ GT II FIRE</t>
  </si>
  <si>
    <t>001!0611840400100</t>
  </si>
  <si>
    <t>PANSY MAJ GT II GRFRND MX</t>
  </si>
  <si>
    <t>001!0611840321100</t>
  </si>
  <si>
    <t>PANSY MAJ GT II MARINA</t>
  </si>
  <si>
    <t>001!0611840411100</t>
  </si>
  <si>
    <t>PANSY MAJ GT II MD BL/BLO</t>
  </si>
  <si>
    <t>001!0611840322100</t>
  </si>
  <si>
    <t>PANSY MAJ GT II MIX</t>
  </si>
  <si>
    <t>001!0611840402100</t>
  </si>
  <si>
    <t>PANSY MAJ GT II PPL/BLO</t>
  </si>
  <si>
    <t>001!0611840413100</t>
  </si>
  <si>
    <t>PANSY MAJ GT II PURPLE</t>
  </si>
  <si>
    <t>001!0611840403100</t>
  </si>
  <si>
    <t>PANSY MAJ GT II RD/BLO</t>
  </si>
  <si>
    <t>001!0611840414100</t>
  </si>
  <si>
    <t>PANSY MAJ GT II ROSALYN</t>
  </si>
  <si>
    <t>001!0611840415100</t>
  </si>
  <si>
    <t>PANSY MAJ GT II RS/BLO</t>
  </si>
  <si>
    <t>001!0611840416100</t>
  </si>
  <si>
    <t>PANSY MAJ GT II SEA BRZ</t>
  </si>
  <si>
    <t>001!0611840323100</t>
  </si>
  <si>
    <t>PANSY MAJ GT II SERIES</t>
  </si>
  <si>
    <t>001!0611840417100</t>
  </si>
  <si>
    <t>PANSY MAJ GT II SHERRY</t>
  </si>
  <si>
    <t>001!0611840418100</t>
  </si>
  <si>
    <t>PANSY MAJ GT II WH/BLO</t>
  </si>
  <si>
    <t>001!0611840404100</t>
  </si>
  <si>
    <t>PANSY MAJ GT II YEL/BLO</t>
  </si>
  <si>
    <t>001!0611840420100</t>
  </si>
  <si>
    <t>PANSY MAMMOTH BIG RED</t>
  </si>
  <si>
    <t>001!0611840421100</t>
  </si>
  <si>
    <t>PANSY MAMMOTH BLUE TI FUL</t>
  </si>
  <si>
    <t>001!0611840422100</t>
  </si>
  <si>
    <t>PANSY MAMMOTH DP BLUE DAZZLE</t>
  </si>
  <si>
    <t>001!0611840423100</t>
  </si>
  <si>
    <t>PANSY MAMMOTH GLAMORAMA WHITE</t>
  </si>
  <si>
    <t>001!0611840424100</t>
  </si>
  <si>
    <t>PANSY MAMMOTH MASQUERADE MIX</t>
  </si>
  <si>
    <t>001!0611840425100</t>
  </si>
  <si>
    <t>PANSY MAMMOTH ON FIRE</t>
  </si>
  <si>
    <t>001!0611840426100</t>
  </si>
  <si>
    <t>PANSY MAMMOTH PINK BERRY</t>
  </si>
  <si>
    <t>001!0611840427100</t>
  </si>
  <si>
    <t>PANSY MAMMOTH PRIMA YELLORINA</t>
  </si>
  <si>
    <t>001!0611840428100</t>
  </si>
  <si>
    <t>PANSY MAMMOTH QUEEN YELL BEE</t>
  </si>
  <si>
    <t>001!0611840429100</t>
  </si>
  <si>
    <t>PANSY MAMMOTH ROCKY ROSE</t>
  </si>
  <si>
    <t>001!0611840430100</t>
  </si>
  <si>
    <t>PANSY MAMMOTH SANGRIA PUNCH</t>
  </si>
  <si>
    <t>001!0611840431100</t>
  </si>
  <si>
    <t>PANSY MAMMOTH SERIES</t>
  </si>
  <si>
    <t>001!0611840432100</t>
  </si>
  <si>
    <t>PANSY MAMMOTH VIVA LA VIOLET</t>
  </si>
  <si>
    <t>001!0611840433100</t>
  </si>
  <si>
    <t>PANSY MAMMOTH WHITE HOT</t>
  </si>
  <si>
    <t>001!0611840434100</t>
  </si>
  <si>
    <t>PANSY MATRIX AMBER MIX</t>
  </si>
  <si>
    <t>001!0611840437100</t>
  </si>
  <si>
    <t>PANSY MATRIX AMETHYST MIX</t>
  </si>
  <si>
    <t>001!0611840438100</t>
  </si>
  <si>
    <t>PANSY MATRIX AUTUMN BLAZE MIX</t>
  </si>
  <si>
    <t>001!0611840439100</t>
  </si>
  <si>
    <t>PANSY MATRIX BEACONSFIELD</t>
  </si>
  <si>
    <t>001!0611840440100</t>
  </si>
  <si>
    <t>PANSY MATRIX BLOTCH MIX</t>
  </si>
  <si>
    <t>001!0611840441100</t>
  </si>
  <si>
    <t>PANSY MATRIX BLUE</t>
  </si>
  <si>
    <t>001!0611840442100</t>
  </si>
  <si>
    <t>PANSY MATRIX BLUE WING</t>
  </si>
  <si>
    <t>001!0611840444100</t>
  </si>
  <si>
    <t>PANSY MATRIX BLUE/BLOTCH</t>
  </si>
  <si>
    <t>001!0611840445100</t>
  </si>
  <si>
    <t>PANSY MATRIX CITRUS MIX</t>
  </si>
  <si>
    <t>001!0611840446100</t>
  </si>
  <si>
    <t>PANSY MATRIX CLEAR MIX</t>
  </si>
  <si>
    <t>001!0611840447100</t>
  </si>
  <si>
    <t>PANSY MATRIX COASTAL SNRISE MX</t>
  </si>
  <si>
    <t>001!0611840448100</t>
  </si>
  <si>
    <t>PANSY MATRIX DAFFODIL MIX</t>
  </si>
  <si>
    <t>001!0611840449100</t>
  </si>
  <si>
    <t>PANSY MATRIX DEEP BLUE BLOTCH</t>
  </si>
  <si>
    <t>001!0611840450100</t>
  </si>
  <si>
    <t>PANSY MATRIX DEEP ORANGE</t>
  </si>
  <si>
    <t>001!0611840451100</t>
  </si>
  <si>
    <t>PANSY MATRIX DENIM</t>
  </si>
  <si>
    <t>001!0611840452100</t>
  </si>
  <si>
    <t>PANSY MATRIX GLDEN YELL BLO</t>
  </si>
  <si>
    <t>001!0611840453100</t>
  </si>
  <si>
    <t>PANSY MATRIX HALLOWEEN MIX</t>
  </si>
  <si>
    <t>001!0611840454100</t>
  </si>
  <si>
    <t>PANSY MATRIX HARVEST MIX</t>
  </si>
  <si>
    <t>001!0611840455100</t>
  </si>
  <si>
    <t>PANSY MATRIX JEWELS MIX</t>
  </si>
  <si>
    <t>001!0611840456100</t>
  </si>
  <si>
    <t>PANSY MATRIX LAVENDER SHADES</t>
  </si>
  <si>
    <t>001!0611840457100</t>
  </si>
  <si>
    <t>PANSY MATRIX LEMON</t>
  </si>
  <si>
    <t>001!0611840458100</t>
  </si>
  <si>
    <t>PANSY MATRIX LIGHT BLUE</t>
  </si>
  <si>
    <t>001!0611840459100</t>
  </si>
  <si>
    <t>PANSY MATRIX MIDNIGHT GLOW</t>
  </si>
  <si>
    <t>001!0611840460100</t>
  </si>
  <si>
    <t>PANSY MATRIX MIX</t>
  </si>
  <si>
    <t>001!0611840461100</t>
  </si>
  <si>
    <t>PANSY MATRIX MORPHEUS</t>
  </si>
  <si>
    <t>001!0611840462100</t>
  </si>
  <si>
    <t>PANSY MATRIX OCEAN</t>
  </si>
  <si>
    <t>001!0611840463100</t>
  </si>
  <si>
    <t>PANSY MATRIX OCEAN BREEZE MIX</t>
  </si>
  <si>
    <t>001!0611840464100</t>
  </si>
  <si>
    <t>PANSY MATRIX ORANGE</t>
  </si>
  <si>
    <t>001!0611840465100</t>
  </si>
  <si>
    <t>PANSY MATRIX PASTEL MIX</t>
  </si>
  <si>
    <t>001!0611840466100</t>
  </si>
  <si>
    <t>PANSY MATRIX PINK SHADES</t>
  </si>
  <si>
    <t>001!0611840467100</t>
  </si>
  <si>
    <t>PANSY MATRIX PRIMROSE</t>
  </si>
  <si>
    <t>001!0611840468100</t>
  </si>
  <si>
    <t>PANSY MATRIX PURPLE</t>
  </si>
  <si>
    <t>001!0611840469100</t>
  </si>
  <si>
    <t>PANSY MATRIX PURPLE AND WHITE</t>
  </si>
  <si>
    <t>001!0611840470100</t>
  </si>
  <si>
    <t>PANSY MATRIX PURPLE BLOTCH</t>
  </si>
  <si>
    <t>001!0611840471100</t>
  </si>
  <si>
    <t>PANSY MATRIX RASP SUNDAE MX</t>
  </si>
  <si>
    <t>001!0611840472100</t>
  </si>
  <si>
    <t>PANSY MATRIX RED WING</t>
  </si>
  <si>
    <t>001!0611840475100</t>
  </si>
  <si>
    <t>PANSY MATRIX RED/BLOTCH</t>
  </si>
  <si>
    <t>001!0611840476100</t>
  </si>
  <si>
    <t>PANSY MATRIX ROSE</t>
  </si>
  <si>
    <t>001!0611840477100</t>
  </si>
  <si>
    <t>PANSY MATRIX ROSE WING</t>
  </si>
  <si>
    <t>001!0611840478100</t>
  </si>
  <si>
    <t>PANSY MATRIX ROSE/BLOTCH</t>
  </si>
  <si>
    <t>001!0611840479100</t>
  </si>
  <si>
    <t>PANSY MATRIX RUBY MIX</t>
  </si>
  <si>
    <t>001!0611840480100</t>
  </si>
  <si>
    <t>PANSY MATRIX SANGRIA</t>
  </si>
  <si>
    <t>001!0611840481100</t>
  </si>
  <si>
    <t>PANSY MATRIX SCARLET</t>
  </si>
  <si>
    <t>001!0611840482100</t>
  </si>
  <si>
    <t>PANSY MATRIX SERIES</t>
  </si>
  <si>
    <t>001!0611840483100</t>
  </si>
  <si>
    <t>PANSY MATRIX SOLAR FLARE</t>
  </si>
  <si>
    <t>001!0611840484100</t>
  </si>
  <si>
    <t>PANSY MATRIX SUNRISE</t>
  </si>
  <si>
    <t>001!0611840486100</t>
  </si>
  <si>
    <t>PANSY MATRIX TANZANITE MIX</t>
  </si>
  <si>
    <t>001!0611840487100</t>
  </si>
  <si>
    <t>PANSY MATRIX TOPAZ N GARNET MX</t>
  </si>
  <si>
    <t>001!0611840488100</t>
  </si>
  <si>
    <t>PANSY MATRIX TRICOLOUR MIX</t>
  </si>
  <si>
    <t>001!0611840489100</t>
  </si>
  <si>
    <t>PANSY MATRIX TRUE BLUE</t>
  </si>
  <si>
    <t>001!0611840490100</t>
  </si>
  <si>
    <t>PANSY MATRIX WHITE</t>
  </si>
  <si>
    <t>001!0611840491100</t>
  </si>
  <si>
    <t>PANSY MATRIX WHITE/BLOTCH</t>
  </si>
  <si>
    <t>001!0611840492100</t>
  </si>
  <si>
    <t>PANSY MATRIX YELL PURPLE WING</t>
  </si>
  <si>
    <t>001!0611840493100</t>
  </si>
  <si>
    <t>PANSY MATRIX YELLOW</t>
  </si>
  <si>
    <t>001!0611840494100</t>
  </si>
  <si>
    <t>PANSY MATRIX YELLOW/BLOTCH</t>
  </si>
  <si>
    <t>001!0611840495100</t>
  </si>
  <si>
    <t>PANSY ORG GNRC BLNGL DESIGN</t>
  </si>
  <si>
    <t>001!0611840496100</t>
  </si>
  <si>
    <t>PANSY PANOLA AUTUMN BLZ MX XP</t>
  </si>
  <si>
    <t>001!0611840497100</t>
  </si>
  <si>
    <t>PANSY PANOLA BABY BOY MIX XP</t>
  </si>
  <si>
    <t>001!0611840498100</t>
  </si>
  <si>
    <t>PANSY PANOLA BEACONSFIELD XP</t>
  </si>
  <si>
    <t>001!0611840499100</t>
  </si>
  <si>
    <t>PANSY PANOLA BKBRY SNDAE MX XP</t>
  </si>
  <si>
    <t>001!0611840500100</t>
  </si>
  <si>
    <t>PANSY PANOLA BLOTCH MIX XP</t>
  </si>
  <si>
    <t>001!0611840501100</t>
  </si>
  <si>
    <t>PANSY PANOLA CITRUS MIX XP</t>
  </si>
  <si>
    <t>001!0611840502100</t>
  </si>
  <si>
    <t>PANSY PANOLA CLEAR MIX</t>
  </si>
  <si>
    <t>001!0611840503100</t>
  </si>
  <si>
    <t>PANSY PANOLA CLEAR MIX XP</t>
  </si>
  <si>
    <t>001!0611840504100</t>
  </si>
  <si>
    <t>PANSY PANOLA DEEP ORANGE XP</t>
  </si>
  <si>
    <t>001!0611840505100</t>
  </si>
  <si>
    <t>PANSY PANOLA DP BL W BLO XP</t>
  </si>
  <si>
    <t>001!0611840506100</t>
  </si>
  <si>
    <t>PANSY PANOLA FIRE XP</t>
  </si>
  <si>
    <t>001!0611840507100</t>
  </si>
  <si>
    <t>PANSY PANOLA HALLOWEEN MIX XP</t>
  </si>
  <si>
    <t>001!0611840508100</t>
  </si>
  <si>
    <t>PANSY PANOLA JWLS N JAZZ MX XP</t>
  </si>
  <si>
    <t>001!0611840509100</t>
  </si>
  <si>
    <t>PANSY PANOLA LILAC SHADES</t>
  </si>
  <si>
    <t>001!0611840510100</t>
  </si>
  <si>
    <t>PANSY PANOLA MARINA XP</t>
  </si>
  <si>
    <t>001!0611840511100</t>
  </si>
  <si>
    <t>PANSY PANOLA MIX XP</t>
  </si>
  <si>
    <t>001!0611840512100</t>
  </si>
  <si>
    <t>PANSY PANOLA PRIMROSE</t>
  </si>
  <si>
    <t>001!0611840513100</t>
  </si>
  <si>
    <t>PANSY PANOLA PURPLE FACE XP</t>
  </si>
  <si>
    <t>001!0611840515100</t>
  </si>
  <si>
    <t>PANSY PANOLA PURPLE XP</t>
  </si>
  <si>
    <t>001!0611840516100</t>
  </si>
  <si>
    <t>PANSY PANOLA ROSE PICOTEE XP</t>
  </si>
  <si>
    <t>001!0611840517100</t>
  </si>
  <si>
    <t>PANSY PANOLA SCARLET XP</t>
  </si>
  <si>
    <t>001!0611840518100</t>
  </si>
  <si>
    <t>PANSY PANOLA SILHOUETTE MIX</t>
  </si>
  <si>
    <t>001!0611840520100</t>
  </si>
  <si>
    <t>PANSY PANOLA SUNBURST XP</t>
  </si>
  <si>
    <t>001!0611840521100</t>
  </si>
  <si>
    <t>PANSY PANOLA TRUE BLUE XP</t>
  </si>
  <si>
    <t>001!0611840522100</t>
  </si>
  <si>
    <t>PANSY PANOLA WHITE BLOTCH XP</t>
  </si>
  <si>
    <t>001!0611840524100</t>
  </si>
  <si>
    <t>PANSY PANOLA WHITE XP</t>
  </si>
  <si>
    <t>001!0611840525100</t>
  </si>
  <si>
    <t>PANSY PANOLA YELLOW BLOTCH XP</t>
  </si>
  <si>
    <t>001!0611840526100</t>
  </si>
  <si>
    <t>PANSY PANOLA YELLOW XP</t>
  </si>
  <si>
    <t>001!0611840527100</t>
  </si>
  <si>
    <t>PANSY PANOLA YELLOW/PURPLE</t>
  </si>
  <si>
    <t>001!0611840528100</t>
  </si>
  <si>
    <t>PANSY PANSY GENERIC</t>
  </si>
  <si>
    <t>001!0611840529100</t>
  </si>
  <si>
    <t>PANSY PANSY GNRC BLNGL DESIGN</t>
  </si>
  <si>
    <t>001!0611840531100</t>
  </si>
  <si>
    <t>PANSY PATRIOT MIX</t>
  </si>
  <si>
    <t>001!0611840532100</t>
  </si>
  <si>
    <t>PANSY PENNY ALL SEASON MIX</t>
  </si>
  <si>
    <t>001!0611840533100</t>
  </si>
  <si>
    <t>PANSY PENNY AZURE DAWN</t>
  </si>
  <si>
    <t>001!0611840534100</t>
  </si>
  <si>
    <t>PANSY PENNY AZURE TWILIGHT</t>
  </si>
  <si>
    <t>001!0611840535100</t>
  </si>
  <si>
    <t>PANSY PENNY BEACONSFIELD</t>
  </si>
  <si>
    <t>001!0611840537100</t>
  </si>
  <si>
    <t>PANSY PENNY BLACK</t>
  </si>
  <si>
    <t>001!0611840538100</t>
  </si>
  <si>
    <t>PANSY PENNY BLUE</t>
  </si>
  <si>
    <t>001!0611840539100</t>
  </si>
  <si>
    <t>PANSY PENNY CITRUS MIX</t>
  </si>
  <si>
    <t>001!0611840540100</t>
  </si>
  <si>
    <t>PANSY PENNY CLEAR YELLOW</t>
  </si>
  <si>
    <t>001!0611840541100</t>
  </si>
  <si>
    <t>PANSY PENNY DEEP BLUE</t>
  </si>
  <si>
    <t>001!0611840542100</t>
  </si>
  <si>
    <t>PANSY PENNY DEEP MARINA</t>
  </si>
  <si>
    <t>001!0611840543100</t>
  </si>
  <si>
    <t>PANSY PENNY JUMP UP DENIM</t>
  </si>
  <si>
    <t>001!0611840544100</t>
  </si>
  <si>
    <t>PANSY PENNY JUMP UP MIX</t>
  </si>
  <si>
    <t>001!0611840545100</t>
  </si>
  <si>
    <t>PANSY PENNY JUMP UP ORANGE</t>
  </si>
  <si>
    <t>001!0611840546100</t>
  </si>
  <si>
    <t>PANSY PENNY JUMP UP PEACH</t>
  </si>
  <si>
    <t>001!0611840547100</t>
  </si>
  <si>
    <t>PANSY PENNY JUMP UP WHITE</t>
  </si>
  <si>
    <t>001!0611840548100</t>
  </si>
  <si>
    <t>PANSY PENNY JUMP UP YELLOW</t>
  </si>
  <si>
    <t>001!0611840549100</t>
  </si>
  <si>
    <t>PANSY PENNY LANE MIX</t>
  </si>
  <si>
    <t>001!0611840550100</t>
  </si>
  <si>
    <t>PANSY PENNY MARINA</t>
  </si>
  <si>
    <t>001!0611840552100</t>
  </si>
  <si>
    <t>PANSY PENNY MARLIES</t>
  </si>
  <si>
    <t>001!0611840553100</t>
  </si>
  <si>
    <t>PANSY PENNY MICKEY</t>
  </si>
  <si>
    <t>001!0611840554100</t>
  </si>
  <si>
    <t>PANSY PENNY ORANGE</t>
  </si>
  <si>
    <t>001!0611840555100</t>
  </si>
  <si>
    <t>PANSY PENNY ORCHID</t>
  </si>
  <si>
    <t>001!0611840556100</t>
  </si>
  <si>
    <t>PANSY PENNY PRIMROSE BICOLOR</t>
  </si>
  <si>
    <t>001!0611840557100</t>
  </si>
  <si>
    <t>PANSY PENNY PRIMROSE PICOTEE</t>
  </si>
  <si>
    <t>001!0611840559100</t>
  </si>
  <si>
    <t>PANSY PENNY PURPLE MARINA</t>
  </si>
  <si>
    <t>001!0611840560100</t>
  </si>
  <si>
    <t>PANSY PENNY PURPLE PICOTEE</t>
  </si>
  <si>
    <t>001!0611840561100</t>
  </si>
  <si>
    <t>PANSY PENNY RED BLOTCH</t>
  </si>
  <si>
    <t>001!0611840562100</t>
  </si>
  <si>
    <t>PANSY PENNY RED WING</t>
  </si>
  <si>
    <t>001!0611840563100</t>
  </si>
  <si>
    <t>PANSY PENNY ROSE BLOTCH</t>
  </si>
  <si>
    <t>001!0611840564100</t>
  </si>
  <si>
    <t>PANSY PENNY SERIES</t>
  </si>
  <si>
    <t>001!0611840565100</t>
  </si>
  <si>
    <t>PANSY PENNY VIOLET</t>
  </si>
  <si>
    <t>001!0611840566100</t>
  </si>
  <si>
    <t>PANSY PENNY VIOLET FACE</t>
  </si>
  <si>
    <t>001!0611840567100</t>
  </si>
  <si>
    <t>PANSY PENNY VIOLET TIGER FACE</t>
  </si>
  <si>
    <t>001!0611840569100</t>
  </si>
  <si>
    <t>PANSY PENNY WHITE</t>
  </si>
  <si>
    <t>001!0611840570100</t>
  </si>
  <si>
    <t>PANSY PENNY WHITE BLOTCH</t>
  </si>
  <si>
    <t>001!0611840571100</t>
  </si>
  <si>
    <t>PANSY PENNY WINTER MIX</t>
  </si>
  <si>
    <t>001!0611840572100</t>
  </si>
  <si>
    <t>PANSY PENNY YELLOW</t>
  </si>
  <si>
    <t>001!0611840573100</t>
  </si>
  <si>
    <t>PANSY PENNY YELLOW BLOTCH</t>
  </si>
  <si>
    <t>001!0611840574100</t>
  </si>
  <si>
    <t>PANSY PPL GNRC BLNGL DESIGN</t>
  </si>
  <si>
    <t>001!0611840576100</t>
  </si>
  <si>
    <t>PANSY PPL/BLO GNRC BLNGL DSIGN</t>
  </si>
  <si>
    <t>001!0611840578100</t>
  </si>
  <si>
    <t>PANSY PURPLE/BLUE SHADES</t>
  </si>
  <si>
    <t>001!0611840577100</t>
  </si>
  <si>
    <t>PANSY QUICKTIME BL PPL JMP UP</t>
  </si>
  <si>
    <t>001!0611840582100</t>
  </si>
  <si>
    <t>PANSY QUICKTIME BLUE</t>
  </si>
  <si>
    <t>001!0611840583100</t>
  </si>
  <si>
    <t>PANSY QUICKTIME LEMON JUMP UP</t>
  </si>
  <si>
    <t>001!0611840584100</t>
  </si>
  <si>
    <t>PANSY QUICKTIME MICKEY</t>
  </si>
  <si>
    <t>001!0611840585100</t>
  </si>
  <si>
    <t>PANSY QUICKTIME WHITE BLOTCH</t>
  </si>
  <si>
    <t>001!0611840586100</t>
  </si>
  <si>
    <t>PANSY QUICKTIME YEL BL JMP UP</t>
  </si>
  <si>
    <t>001!0611840587100</t>
  </si>
  <si>
    <t>PANSY QUICKTIME YEL VLT JMP UP</t>
  </si>
  <si>
    <t>001!0611840588100</t>
  </si>
  <si>
    <t>PANSY QUICKTIME YELLOW BLOTCH</t>
  </si>
  <si>
    <t>001!0611840589100</t>
  </si>
  <si>
    <t>PANSY RD/BLO GNRC BLNGL DSIGN</t>
  </si>
  <si>
    <t>001!0611840590100</t>
  </si>
  <si>
    <t>PANSY REBECCA</t>
  </si>
  <si>
    <t>001!0611840591025</t>
  </si>
  <si>
    <t>PANSY RED GNRC BLNGL DESIGN</t>
  </si>
  <si>
    <t>001!0611840592100</t>
  </si>
  <si>
    <t>PANSY ROSE GENERIC</t>
  </si>
  <si>
    <t>001!0611840593100</t>
  </si>
  <si>
    <t>PANSY RS PINK SHADES GENERIC</t>
  </si>
  <si>
    <t>001!0611840595100</t>
  </si>
  <si>
    <t>PANSY SELECT ORANGE W/BLOTCH</t>
  </si>
  <si>
    <t>001!0611857048100</t>
  </si>
  <si>
    <t>PAPAVE ALLEGRO</t>
  </si>
  <si>
    <t>001!0611837136100</t>
  </si>
  <si>
    <t>001!0611837137025</t>
  </si>
  <si>
    <t>PAPAVE BEAUTY OF LIVERMERE</t>
  </si>
  <si>
    <t>001!0611837138025</t>
  </si>
  <si>
    <t>PAPAVE BRILLIANT</t>
  </si>
  <si>
    <t>001!0611837139025</t>
  </si>
  <si>
    <t>PAPAVE CHAMPAGN BUBBLES MX</t>
  </si>
  <si>
    <t>001!0611837140100</t>
  </si>
  <si>
    <t>001!0611837141025</t>
  </si>
  <si>
    <t>PAPAVE GARDEN GNOME</t>
  </si>
  <si>
    <t>001!0611837142025</t>
  </si>
  <si>
    <t>PAPAVE ICELAND GENERIC</t>
  </si>
  <si>
    <t>001!0611837143100</t>
  </si>
  <si>
    <t>PAPAVE MIX</t>
  </si>
  <si>
    <t>001!0611837145100</t>
  </si>
  <si>
    <t>PAPAVE ORIENTAL POPPY GENERIC</t>
  </si>
  <si>
    <t>001!0611837146025</t>
  </si>
  <si>
    <t>PAPAVE PIZZICATO</t>
  </si>
  <si>
    <t>001!0611837147025</t>
  </si>
  <si>
    <t>PAPAVE PRINCE OF ORANGE</t>
  </si>
  <si>
    <t>001!0611837148025</t>
  </si>
  <si>
    <t>PAPAVE PRNCSS VICTORIA LOUISE</t>
  </si>
  <si>
    <t>001!0611837149025</t>
  </si>
  <si>
    <t>PAPAVE RED</t>
  </si>
  <si>
    <t>001!0611837150100</t>
  </si>
  <si>
    <t>PAPAVE ROYAL WEDDING</t>
  </si>
  <si>
    <t>001!0611837151025</t>
  </si>
  <si>
    <t>PAPAVE SPRING FEVER ORANGE</t>
  </si>
  <si>
    <t>001!0611837152025</t>
  </si>
  <si>
    <t>PAPAVE SPRING FEVER RED</t>
  </si>
  <si>
    <t>001!0611837153025</t>
  </si>
  <si>
    <t>PAPAVE SPRING FEVER SERIES</t>
  </si>
  <si>
    <t>001!0611837154100</t>
  </si>
  <si>
    <t>001!0611837155025</t>
  </si>
  <si>
    <t>PAPAVE SPRING FEVER YELLOW</t>
  </si>
  <si>
    <t>001!0611837156025</t>
  </si>
  <si>
    <t>PAPAVE WONDERLAND MIX</t>
  </si>
  <si>
    <t>001!0611837157100</t>
  </si>
  <si>
    <t>PAPAVE WONDERLAND SERIES</t>
  </si>
  <si>
    <t>001!0611837158025</t>
  </si>
  <si>
    <t>PARDAN CANDY LILY GENERIC</t>
  </si>
  <si>
    <t>001!0611837159025</t>
  </si>
  <si>
    <t>PARSLE BANQUET</t>
  </si>
  <si>
    <t>001!0611837500100</t>
  </si>
  <si>
    <t>PARSLE CURLED</t>
  </si>
  <si>
    <t>001!0611837501100</t>
  </si>
  <si>
    <t>001!0611837502200</t>
  </si>
  <si>
    <t>001!0611837503025</t>
  </si>
  <si>
    <t>PARSLE CURLED FINE</t>
  </si>
  <si>
    <t>001!0611837160100</t>
  </si>
  <si>
    <t>PARSLE EXTRA TRIPLE CRL</t>
  </si>
  <si>
    <t>001!0611837504100</t>
  </si>
  <si>
    <t>001!0611837505025</t>
  </si>
  <si>
    <t>PARSLE FOREST GREEN</t>
  </si>
  <si>
    <t>001!0611837506100</t>
  </si>
  <si>
    <t>PARSLE HAMBURG</t>
  </si>
  <si>
    <t>001!0611837507100</t>
  </si>
  <si>
    <t>PARSLE ITALIAN</t>
  </si>
  <si>
    <t>001!0611837508100</t>
  </si>
  <si>
    <t>001!0611837509200</t>
  </si>
  <si>
    <t>PARSLE MOSS CURLED DBL</t>
  </si>
  <si>
    <t>001!0611837510100</t>
  </si>
  <si>
    <t>PARSLE MOSS CURLED TRPLE</t>
  </si>
  <si>
    <t>001!0611837511100</t>
  </si>
  <si>
    <t>PARSLE PLAIN</t>
  </si>
  <si>
    <t>001!0611837161100</t>
  </si>
  <si>
    <t>001!0611837513200</t>
  </si>
  <si>
    <t>PARSLE PLAIN ITALIAN</t>
  </si>
  <si>
    <t>001!0611837162025</t>
  </si>
  <si>
    <t>PARSLE VAUGHANS XXX</t>
  </si>
  <si>
    <t>001!0611837514100</t>
  </si>
  <si>
    <t>PASSIF PASSION VINE</t>
  </si>
  <si>
    <t>001!0611837166100</t>
  </si>
  <si>
    <t>001!0611837167025</t>
  </si>
  <si>
    <t>PAVONI LASIOPETALA</t>
  </si>
  <si>
    <t>001!0611837168025</t>
  </si>
  <si>
    <t>PEAS DWARF GREY SUGAR</t>
  </si>
  <si>
    <t>001!0611857049100</t>
  </si>
  <si>
    <t>PEAS GENERIC</t>
  </si>
  <si>
    <t>001!0611838499100</t>
  </si>
  <si>
    <t>PEAS LITTLE SNOWPEA WH</t>
  </si>
  <si>
    <t>001!0611838498100</t>
  </si>
  <si>
    <t>PEAS PATIO PRIDE</t>
  </si>
  <si>
    <t>001!0611838496100</t>
  </si>
  <si>
    <t>PEAS SNAK HERO</t>
  </si>
  <si>
    <t>001!0611838500100</t>
  </si>
  <si>
    <t>PEAS SUGAR OR SNOW GENRC</t>
  </si>
  <si>
    <t>001!0611838501100</t>
  </si>
  <si>
    <t>PEAS SUGAR SNAP</t>
  </si>
  <si>
    <t>001!0611838502100</t>
  </si>
  <si>
    <t>PEAS SUGAR SPRINT</t>
  </si>
  <si>
    <t>001!0611838503100</t>
  </si>
  <si>
    <t>PEAS SUPER SUGAR SNAP</t>
  </si>
  <si>
    <t>001!0611838504100</t>
  </si>
  <si>
    <t>PELARG CITRONELLA</t>
  </si>
  <si>
    <t>001!0611884341025</t>
  </si>
  <si>
    <t>PENNIS ALOPECUROIDES</t>
  </si>
  <si>
    <t>001!0611834800025</t>
  </si>
  <si>
    <t>PENNIS CHERRY SPARKLER</t>
  </si>
  <si>
    <t>001!0611834801025</t>
  </si>
  <si>
    <t>PENNIS COPPER PRINCE</t>
  </si>
  <si>
    <t>001!0611834802100</t>
  </si>
  <si>
    <t>PENNIS FEATHERTOP FNTN</t>
  </si>
  <si>
    <t>001!0611834803100</t>
  </si>
  <si>
    <t>PENNIS FIREWORKS</t>
  </si>
  <si>
    <t>001!0611834804025</t>
  </si>
  <si>
    <t>PENNIS FOUNTAIN</t>
  </si>
  <si>
    <t>001!0611834805100</t>
  </si>
  <si>
    <t>PENNIS FTN BILINGL DSGN</t>
  </si>
  <si>
    <t>001!0611834806100</t>
  </si>
  <si>
    <t>PENNIS FUZZY</t>
  </si>
  <si>
    <t>001!0611834807025</t>
  </si>
  <si>
    <t>PENNIS HAMELN</t>
  </si>
  <si>
    <t>001!0611834809025</t>
  </si>
  <si>
    <t>PENNIS JADE PRINCESS</t>
  </si>
  <si>
    <t>001!0611834810100</t>
  </si>
  <si>
    <t>PENNIS JESTER MILLET</t>
  </si>
  <si>
    <t>001!0611834811100</t>
  </si>
  <si>
    <t>001!0611834812025</t>
  </si>
  <si>
    <t>PENNIS LITTLE BUNNY</t>
  </si>
  <si>
    <t>001!0611834813025</t>
  </si>
  <si>
    <t>PENNIS PURPLE BARON</t>
  </si>
  <si>
    <t>001!0611834815100</t>
  </si>
  <si>
    <t>001!0611834816025</t>
  </si>
  <si>
    <t>PENNIS PURPLE MAJESTY</t>
  </si>
  <si>
    <t>001!0611834817100</t>
  </si>
  <si>
    <t>001!0611834818025</t>
  </si>
  <si>
    <t>PENNIS RUBRUM</t>
  </si>
  <si>
    <t>001!0611834819025</t>
  </si>
  <si>
    <t>PENNIS RUBRUM FOUNTAIN</t>
  </si>
  <si>
    <t>001!0611834820025</t>
  </si>
  <si>
    <t>PENNIS SKY ROCKET</t>
  </si>
  <si>
    <t>001!0611834821025</t>
  </si>
  <si>
    <t>PENSTE ARABESQUE SERIES</t>
  </si>
  <si>
    <t>001!0611837319100</t>
  </si>
  <si>
    <t>PENSTE BEARDTONGUE GENERIC</t>
  </si>
  <si>
    <t>001!0611837320025</t>
  </si>
  <si>
    <t>PENSTE CARILLO PPL X MEXICALE</t>
  </si>
  <si>
    <t>001!0611837321025</t>
  </si>
  <si>
    <t>PENSTE CARILLO RED X MEXICALE</t>
  </si>
  <si>
    <t>001!0611837322025</t>
  </si>
  <si>
    <t>PENSTE CHA CHA SERIES</t>
  </si>
  <si>
    <t>001!0611837324025</t>
  </si>
  <si>
    <t>PENSTE CHERRY SPARKS</t>
  </si>
  <si>
    <t>001!0611837325025</t>
  </si>
  <si>
    <t>PENSTE DAKOTA BURG DIGITALIS</t>
  </si>
  <si>
    <t>001!0611837326025</t>
  </si>
  <si>
    <t>PENSTE DAKOTA BURGUNDY</t>
  </si>
  <si>
    <t>001!0611863388050</t>
  </si>
  <si>
    <t>PENSTE DAKOTA VERDE</t>
  </si>
  <si>
    <t>001!0611863389050</t>
  </si>
  <si>
    <t>PENSTE DAKOTA VERDE DIGITALIS</t>
  </si>
  <si>
    <t>001!0611837327025</t>
  </si>
  <si>
    <t>PENSTE DARK TOWERS</t>
  </si>
  <si>
    <t>001!0611837328025</t>
  </si>
  <si>
    <t>PENSTE ELECTRIC BL</t>
  </si>
  <si>
    <t>001!0611837329025</t>
  </si>
  <si>
    <t>PENSTE FLOCK OF FLAMINGOS</t>
  </si>
  <si>
    <t>001!0611857050025</t>
  </si>
  <si>
    <t>PENSTE GENERIC BARBATUS</t>
  </si>
  <si>
    <t>001!0611837330025</t>
  </si>
  <si>
    <t>PENSTE HARLEQUIN MAGENTA</t>
  </si>
  <si>
    <t>001!0611884342025</t>
  </si>
  <si>
    <t>PENSTE HARLEQUIN PINK</t>
  </si>
  <si>
    <t>001!0611884343025</t>
  </si>
  <si>
    <t>PENSTE HARLEQUIN PURPLE</t>
  </si>
  <si>
    <t>001!0611884344025</t>
  </si>
  <si>
    <t>PENSTE HARLEQUIN RED</t>
  </si>
  <si>
    <t>001!0611884345025</t>
  </si>
  <si>
    <t>PENSTE HUSKER RED</t>
  </si>
  <si>
    <t>001!0611837331100</t>
  </si>
  <si>
    <t>001!0611837332025</t>
  </si>
  <si>
    <t>PENSTE HUSKER RED SUPERIOR</t>
  </si>
  <si>
    <t>001!0611884346025</t>
  </si>
  <si>
    <t>PENSTE PARTYBELLS RED</t>
  </si>
  <si>
    <t>001!0611837337100</t>
  </si>
  <si>
    <t>PENSTE PARTYBELLS VIOLET</t>
  </si>
  <si>
    <t>001!0611837338100</t>
  </si>
  <si>
    <t>PENSTE PEPTALK CERISE</t>
  </si>
  <si>
    <t>001!0611863390100</t>
  </si>
  <si>
    <t>PENSTE PEPTALK CERISE LMTD</t>
  </si>
  <si>
    <t>001!0611863391050</t>
  </si>
  <si>
    <t>PENSTE PEPTALK HOT PINK</t>
  </si>
  <si>
    <t>001!0611863392100</t>
  </si>
  <si>
    <t>PENSTE PEPTALK HOT PINK LMTD</t>
  </si>
  <si>
    <t>001!0611863393050</t>
  </si>
  <si>
    <t>PENSTE PEPTALK PRETTY PINK</t>
  </si>
  <si>
    <t>001!0611863394100</t>
  </si>
  <si>
    <t>PENSTE PEPTALK PURPLE</t>
  </si>
  <si>
    <t>001!0611863395100</t>
  </si>
  <si>
    <t>PENSTE PEPTALK PURPLE LMTD</t>
  </si>
  <si>
    <t>001!0611863396050</t>
  </si>
  <si>
    <t>PENSTE PEPTALK RED</t>
  </si>
  <si>
    <t>001!0611863397100</t>
  </si>
  <si>
    <t>PENSTE PEPTALK RED LMTD</t>
  </si>
  <si>
    <t>001!0611863398050</t>
  </si>
  <si>
    <t>PENSTE PHOENIX APPLEBLOSSOM</t>
  </si>
  <si>
    <t>001!0611863399050</t>
  </si>
  <si>
    <t>PENSTE PHOENIX LAVENDER</t>
  </si>
  <si>
    <t>001!0611863400050</t>
  </si>
  <si>
    <t>PENSTE PHOENIX MAGENTA</t>
  </si>
  <si>
    <t>001!0611863401050</t>
  </si>
  <si>
    <t>PENSTE PHOENIX PINK</t>
  </si>
  <si>
    <t>001!0611863402050</t>
  </si>
  <si>
    <t>PENSTE PHOENIX RED</t>
  </si>
  <si>
    <t>001!0611863403050</t>
  </si>
  <si>
    <t>PENSTE PHOENIX VIOLET</t>
  </si>
  <si>
    <t>001!0611863404050</t>
  </si>
  <si>
    <t>PENSTE PRAIRIE DUSK</t>
  </si>
  <si>
    <t>001!0611837343025</t>
  </si>
  <si>
    <t>PENSTE PRISTINE BLUE</t>
  </si>
  <si>
    <t>001!0611863405100</t>
  </si>
  <si>
    <t>PENSTE PRISTINE DEEP ROSE</t>
  </si>
  <si>
    <t>001!0611863406100</t>
  </si>
  <si>
    <t>001!0611863407050</t>
  </si>
  <si>
    <t>PENSTE PRISTINE LILA PURPLE</t>
  </si>
  <si>
    <t>001!0611863408100</t>
  </si>
  <si>
    <t>PENSTE PRISTINE LIPSTICK</t>
  </si>
  <si>
    <t>001!0611863409100</t>
  </si>
  <si>
    <t>PENSTE PRISTINE NIGHTSHADE</t>
  </si>
  <si>
    <t>001!0611863410100</t>
  </si>
  <si>
    <t>PENSTE PRISTINE PINK</t>
  </si>
  <si>
    <t>001!0611863411100</t>
  </si>
  <si>
    <t>PENSTE PRISTINE PRIMROSE</t>
  </si>
  <si>
    <t>001!0611863412100</t>
  </si>
  <si>
    <t>PENSTE PRISTINE PRINCESS</t>
  </si>
  <si>
    <t>001!0611863413100</t>
  </si>
  <si>
    <t>PENSTE PRISTINE SCARLET</t>
  </si>
  <si>
    <t>001!0611863414100</t>
  </si>
  <si>
    <t>PENSTE QUARTZ AMETHYST</t>
  </si>
  <si>
    <t>001!0611837344025</t>
  </si>
  <si>
    <t>PENSTE QUARTZ RED</t>
  </si>
  <si>
    <t>001!0611837345025</t>
  </si>
  <si>
    <t>PENSTE QUARTZ ROSE</t>
  </si>
  <si>
    <t>001!0611837346025</t>
  </si>
  <si>
    <t>PENSTE RIDING HOOD RED</t>
  </si>
  <si>
    <t>001!0611837348025</t>
  </si>
  <si>
    <t>PENSTE ROCK CANDY BLUE</t>
  </si>
  <si>
    <t>001!0611837349025</t>
  </si>
  <si>
    <t>PENSTE ROCK CANDY LIGHT PINK</t>
  </si>
  <si>
    <t>001!0611837350025</t>
  </si>
  <si>
    <t>PENSTE ROCK CANDY PINK</t>
  </si>
  <si>
    <t>001!0611837351025</t>
  </si>
  <si>
    <t>PENSTE ROCK CANDY RUBY</t>
  </si>
  <si>
    <t>001!0611837352025</t>
  </si>
  <si>
    <t>PENSTE RONDO MIX BARBATUS</t>
  </si>
  <si>
    <t>001!0611837353100</t>
  </si>
  <si>
    <t>PENSTE SUPER STAR LMTD</t>
  </si>
  <si>
    <t>001!0611863415100</t>
  </si>
  <si>
    <t>001!0611863416050</t>
  </si>
  <si>
    <t>PENSTE TWIZZLE CORAL BARBATUS</t>
  </si>
  <si>
    <t>001!0611837356025</t>
  </si>
  <si>
    <t>PENTAS BEEBRIGHT LIPSTICK</t>
  </si>
  <si>
    <t>001!0611837359100</t>
  </si>
  <si>
    <t>PENTAS BEEBRIGHT MIX</t>
  </si>
  <si>
    <t>001!0611837360100</t>
  </si>
  <si>
    <t>PENTAS BEEBRIGHT PINK</t>
  </si>
  <si>
    <t>001!0611837361100</t>
  </si>
  <si>
    <t>PENTAS BEEBRIGHT RED</t>
  </si>
  <si>
    <t>001!0611837362100</t>
  </si>
  <si>
    <t>PENTAS BEEBRIGHT VIOLET</t>
  </si>
  <si>
    <t>001!0611837363100</t>
  </si>
  <si>
    <t>PENTAS BEEBRIGHT WHITE</t>
  </si>
  <si>
    <t>001!0611837364100</t>
  </si>
  <si>
    <t>PENTAS BEEHIVE WHITE</t>
  </si>
  <si>
    <t>001!0611857051100</t>
  </si>
  <si>
    <t>PENTAS BUTTERFLY DEEP PINK</t>
  </si>
  <si>
    <t>001!0611837366100</t>
  </si>
  <si>
    <t>PENTAS BUTTERFLY DEEP ROSE</t>
  </si>
  <si>
    <t>001!0611837367100</t>
  </si>
  <si>
    <t>PENTAS BUTTERFLY LAV SHADES</t>
  </si>
  <si>
    <t>001!0611837368100</t>
  </si>
  <si>
    <t>PENTAS BUTTERFLY LIGHT LAV</t>
  </si>
  <si>
    <t>001!0611837369100</t>
  </si>
  <si>
    <t>PENTAS BUTTERFLY MIX</t>
  </si>
  <si>
    <t>001!0611837370100</t>
  </si>
  <si>
    <t>PENTAS BUTTERFLY ORCHID</t>
  </si>
  <si>
    <t>001!0611837371100</t>
  </si>
  <si>
    <t>PENTAS BUTTERFLY RED</t>
  </si>
  <si>
    <t>001!0611837373100</t>
  </si>
  <si>
    <t>PENTAS BUTTERFLY WHITE</t>
  </si>
  <si>
    <t>001!0611837374100</t>
  </si>
  <si>
    <t>PENTAS FALLING STAR HOT PINK</t>
  </si>
  <si>
    <t>001!0611863417050</t>
  </si>
  <si>
    <t>PENTAS FALLING STAR PINK BIC</t>
  </si>
  <si>
    <t>001!0611863418050</t>
  </si>
  <si>
    <t>PENTAS FALLING STAR RED</t>
  </si>
  <si>
    <t>001!0611863419050</t>
  </si>
  <si>
    <t>PENTAS FALLING STAR ROSE</t>
  </si>
  <si>
    <t>001!0611863420050</t>
  </si>
  <si>
    <t>PENTAS FALLING STAR WHITE</t>
  </si>
  <si>
    <t>001!0611863421050</t>
  </si>
  <si>
    <t>PENTAS GENERIC</t>
  </si>
  <si>
    <t>001!0611837426100</t>
  </si>
  <si>
    <t>001!0611837427025</t>
  </si>
  <si>
    <t>PENTAS GLITTERATI PURPLE STAR</t>
  </si>
  <si>
    <t>001!0611837375100</t>
  </si>
  <si>
    <t>PENTAS GLITTERATI RED STAR</t>
  </si>
  <si>
    <t>001!0611837376100</t>
  </si>
  <si>
    <t>PENTAS GRAFFITI 20/20 APLBLSM</t>
  </si>
  <si>
    <t>001!0611857052100</t>
  </si>
  <si>
    <t>PENTAS GRAFFITI 20/20 CRANBRRY</t>
  </si>
  <si>
    <t>001!0611837377100</t>
  </si>
  <si>
    <t>PENTAS GRAFFITI 20/20 FLRTY PK</t>
  </si>
  <si>
    <t>001!0611837378100</t>
  </si>
  <si>
    <t>PENTAS GRAFFITI 20/20 FUCHSIA</t>
  </si>
  <si>
    <t>001!0611837379100</t>
  </si>
  <si>
    <t>PENTAS GRAFFITI 20/20 LAV PINK</t>
  </si>
  <si>
    <t>001!0611837380100</t>
  </si>
  <si>
    <t>PENTAS GRAFFITI 20/20 LAZER PK</t>
  </si>
  <si>
    <t>001!0611837381100</t>
  </si>
  <si>
    <t>PENTAS GRAFFITI 20/20 MIX</t>
  </si>
  <si>
    <t>001!0611837382100</t>
  </si>
  <si>
    <t>PENTAS GRAFFITI 20/20 RUBY</t>
  </si>
  <si>
    <t>001!0611837383100</t>
  </si>
  <si>
    <t>PENTAS GRAFFITI 20/20 TRUE PK</t>
  </si>
  <si>
    <t>001!0611837384100</t>
  </si>
  <si>
    <t>PENTAS GRAFFITI 20/20 ULTR VLT</t>
  </si>
  <si>
    <t>001!0611837385100</t>
  </si>
  <si>
    <t>PENTAS GRAFFITI 20/20 WHITE</t>
  </si>
  <si>
    <t>001!0611837386100</t>
  </si>
  <si>
    <t>PENTAS GRAFFITI BRIGHT RED</t>
  </si>
  <si>
    <t>001!0611837387100</t>
  </si>
  <si>
    <t>PENTAS GRAFFITI LAVENDER</t>
  </si>
  <si>
    <t>001!0611837388100</t>
  </si>
  <si>
    <t>PENTAS GRAFFITI LIPSTICK</t>
  </si>
  <si>
    <t>001!0611837389100</t>
  </si>
  <si>
    <t>PENTAS GRAFFITI MIX</t>
  </si>
  <si>
    <t>001!0611837390100</t>
  </si>
  <si>
    <t>PENTAS GRAFFITI PINK</t>
  </si>
  <si>
    <t>001!0611837391100</t>
  </si>
  <si>
    <t>PENTAS GRAFFITI RED VELVET</t>
  </si>
  <si>
    <t>001!0611837393100</t>
  </si>
  <si>
    <t>PENTAS GRAFFITI ROSE</t>
  </si>
  <si>
    <t>001!0611837394100</t>
  </si>
  <si>
    <t>PENTAS GRAFFITI SERIES</t>
  </si>
  <si>
    <t>001!0611837395100</t>
  </si>
  <si>
    <t>PENTAS GRAFFITI VIOLET</t>
  </si>
  <si>
    <t>001!0611837396100</t>
  </si>
  <si>
    <t>PENTAS GRAFFITI WHITE</t>
  </si>
  <si>
    <t>001!0611837397100</t>
  </si>
  <si>
    <t>PENTAS HONEYCLUSTER PINK</t>
  </si>
  <si>
    <t>001!0611837400100</t>
  </si>
  <si>
    <t>PENTAS KALEIDOSCOPE DEEP RED</t>
  </si>
  <si>
    <t>001!0611837405100</t>
  </si>
  <si>
    <t>PENTAS LOOK MIX</t>
  </si>
  <si>
    <t>001!0611837410100</t>
  </si>
  <si>
    <t>PENTAS LOOK PINK</t>
  </si>
  <si>
    <t>001!0611837411100</t>
  </si>
  <si>
    <t>PENTAS LOOK RED</t>
  </si>
  <si>
    <t>001!0611837412100</t>
  </si>
  <si>
    <t>PENTAS LOOK VIOLET</t>
  </si>
  <si>
    <t>001!0611837414100</t>
  </si>
  <si>
    <t>PENTAS LOOK WHITE</t>
  </si>
  <si>
    <t>001!0611837415100</t>
  </si>
  <si>
    <t>PENTAS LUCKY STAR DARK RED</t>
  </si>
  <si>
    <t>001!0611837416100</t>
  </si>
  <si>
    <t>PENTAS LUCKY STAR DEEP PINK</t>
  </si>
  <si>
    <t>001!0611837417100</t>
  </si>
  <si>
    <t>PENTAS LUCKY STAR LAVENDER</t>
  </si>
  <si>
    <t>001!0611837418100</t>
  </si>
  <si>
    <t>PENTAS LUCKY STAR LIPSTICK</t>
  </si>
  <si>
    <t>001!0611837419100</t>
  </si>
  <si>
    <t>PENTAS LUCKY STAR MIX</t>
  </si>
  <si>
    <t>001!0611837420100</t>
  </si>
  <si>
    <t>PENTAS LUCKY STAR PINK</t>
  </si>
  <si>
    <t>001!0611837421100</t>
  </si>
  <si>
    <t>PENTAS LUCKY STAR RASPBERRY</t>
  </si>
  <si>
    <t>001!0611837422100</t>
  </si>
  <si>
    <t>PENTAS LUCKY STAR VIOLET</t>
  </si>
  <si>
    <t>001!0611837423100</t>
  </si>
  <si>
    <t>PENTAS LUCKY STAR WHITE</t>
  </si>
  <si>
    <t>001!0611837424100</t>
  </si>
  <si>
    <t>PENTAS PINATA LAVENDER</t>
  </si>
  <si>
    <t>001!0611863422050</t>
  </si>
  <si>
    <t>PENTAS PINATA PINK</t>
  </si>
  <si>
    <t>001!0611863423050</t>
  </si>
  <si>
    <t>PENTAS PINATA RED</t>
  </si>
  <si>
    <t>001!0611863424050</t>
  </si>
  <si>
    <t>PENTAS PINATA WHITE</t>
  </si>
  <si>
    <t>001!0611863425050</t>
  </si>
  <si>
    <t>PENTAS STARCLUSTER APPLBLSM</t>
  </si>
  <si>
    <t>001!0611863426050</t>
  </si>
  <si>
    <t>PENTAS STARCLUSTER CASC BLUSH</t>
  </si>
  <si>
    <t>001!0611863427050</t>
  </si>
  <si>
    <t>PENTAS STARCLUSTER CASC PK BIC</t>
  </si>
  <si>
    <t>001!0611863428050</t>
  </si>
  <si>
    <t>PENTAS STARCLUSTER CASC RED</t>
  </si>
  <si>
    <t>001!0611863429050</t>
  </si>
  <si>
    <t>PENTAS STARCLUSTER CASC WHITE</t>
  </si>
  <si>
    <t>001!0611863430050</t>
  </si>
  <si>
    <t>PENTAS STARCLUSTER LAVENDER</t>
  </si>
  <si>
    <t>001!0611863431050</t>
  </si>
  <si>
    <t>PENTAS STARCLUSTER LIGHT PINK</t>
  </si>
  <si>
    <t>001!0611863432050</t>
  </si>
  <si>
    <t>PENTAS STARCLUSTER PINK</t>
  </si>
  <si>
    <t>001!0611863433050</t>
  </si>
  <si>
    <t>PENTAS STARCLUSTER RED</t>
  </si>
  <si>
    <t>001!0611863434050</t>
  </si>
  <si>
    <t>PENTAS STARCLUSTER ROSE IMP</t>
  </si>
  <si>
    <t>001!0611863435050</t>
  </si>
  <si>
    <t>PENTAS STARCLUSTER VIOLET</t>
  </si>
  <si>
    <t>001!0611863436050</t>
  </si>
  <si>
    <t>PENTAS STARCLUSTER WHITE</t>
  </si>
  <si>
    <t>001!0611863437050</t>
  </si>
  <si>
    <t>PEPERO CITRUS TWIST</t>
  </si>
  <si>
    <t>001!0611863438100</t>
  </si>
  <si>
    <t>PEPERO EMERALD ISLE</t>
  </si>
  <si>
    <t>001!0611863439100</t>
  </si>
  <si>
    <t>PEPERO FERREYRAE</t>
  </si>
  <si>
    <t>001!0611863440100</t>
  </si>
  <si>
    <t>PEPERO GRAVEOLENS</t>
  </si>
  <si>
    <t>001!0611863441100</t>
  </si>
  <si>
    <t>PEPERO HAPPY BEAN</t>
  </si>
  <si>
    <t>001!0611884347100</t>
  </si>
  <si>
    <t>PEPERO JITTERBUG</t>
  </si>
  <si>
    <t>001!0611884348100</t>
  </si>
  <si>
    <t>PEPERO LEAP FROG</t>
  </si>
  <si>
    <t>001!0611863442100</t>
  </si>
  <si>
    <t>PEPERO MARBLE</t>
  </si>
  <si>
    <t>001!0611863443100</t>
  </si>
  <si>
    <t>PEPERO PEPEROMIA GENERIC</t>
  </si>
  <si>
    <t>001!0611837428100</t>
  </si>
  <si>
    <t>PEPERO PEPEROMIA RIPPLED LF</t>
  </si>
  <si>
    <t>001!0611837429100</t>
  </si>
  <si>
    <t>PEPERO PEPPERSPOT</t>
  </si>
  <si>
    <t>001!0611884349100</t>
  </si>
  <si>
    <t>PEPERO PICCOLA BANDA GENERIC</t>
  </si>
  <si>
    <t>001!0611884350100</t>
  </si>
  <si>
    <t>PEPERO RED LOG VERTICILLATA</t>
  </si>
  <si>
    <t>001!0611884351100</t>
  </si>
  <si>
    <t>PEPERO RUBY GLOW</t>
  </si>
  <si>
    <t>001!0611884352100</t>
  </si>
  <si>
    <t>PEPERO STRING TURTLES</t>
  </si>
  <si>
    <t>001!0611837430100</t>
  </si>
  <si>
    <t>PEPERO WATERMELON</t>
  </si>
  <si>
    <t>001!0611884353100</t>
  </si>
  <si>
    <t>PEPPER ACE</t>
  </si>
  <si>
    <t>001!0611832321100</t>
  </si>
  <si>
    <t>PEPPER ACONCAQUA</t>
  </si>
  <si>
    <t>001!0611832322100</t>
  </si>
  <si>
    <t>PEPPER ADMIRAL</t>
  </si>
  <si>
    <t>001!0611832323100</t>
  </si>
  <si>
    <t>PEPPER ADOBO HOT KITCHEN MINIS</t>
  </si>
  <si>
    <t>001!0611837431100</t>
  </si>
  <si>
    <t>PEPPER AJI RICO</t>
  </si>
  <si>
    <t>001!0611832324100</t>
  </si>
  <si>
    <t>PEPPER ALADDIN</t>
  </si>
  <si>
    <t>001!0611832325100</t>
  </si>
  <si>
    <t>PEPPER ALTER EGO</t>
  </si>
  <si>
    <t>001!0611832326100</t>
  </si>
  <si>
    <t>PEPPER ANAHEIM CHILI</t>
  </si>
  <si>
    <t>001!0611832327100</t>
  </si>
  <si>
    <t>001!0611832328200</t>
  </si>
  <si>
    <t>PEPPER ANCHO POBLANO</t>
  </si>
  <si>
    <t>001!0611837432100</t>
  </si>
  <si>
    <t>PEPPER ANCHO SANCHEZ</t>
  </si>
  <si>
    <t>001!0611832329100</t>
  </si>
  <si>
    <t>PEPPER APACHE CHILI</t>
  </si>
  <si>
    <t>001!0611837433100</t>
  </si>
  <si>
    <t>PEPPER ARUBA</t>
  </si>
  <si>
    <t>001!0611832330100</t>
  </si>
  <si>
    <t>PEPPER ATOMIC</t>
  </si>
  <si>
    <t>001!0611832331100</t>
  </si>
  <si>
    <t>PEPPER BANANA SUPREME</t>
  </si>
  <si>
    <t>001!0611832332100</t>
  </si>
  <si>
    <t>PEPPER BARON</t>
  </si>
  <si>
    <t>001!0611837434100</t>
  </si>
  <si>
    <t>PEPPER BASKET OF FIRE</t>
  </si>
  <si>
    <t>001!0611832333100</t>
  </si>
  <si>
    <t>PEPPER BAYONET</t>
  </si>
  <si>
    <t>001!0611832334100</t>
  </si>
  <si>
    <t>PEPPER BELL</t>
  </si>
  <si>
    <t>001!0611832335100</t>
  </si>
  <si>
    <t>PEPPER BELL BOY</t>
  </si>
  <si>
    <t>001!0611832336100</t>
  </si>
  <si>
    <t>001!0611832337200</t>
  </si>
  <si>
    <t>PEPPER BELL GREEN TASTY</t>
  </si>
  <si>
    <t>001!0611832339100</t>
  </si>
  <si>
    <t>PEPPER BELL ORANGE SWEET</t>
  </si>
  <si>
    <t>001!0611832340100</t>
  </si>
  <si>
    <t>PEPPER BELL RED SWEET</t>
  </si>
  <si>
    <t>001!0611832341100</t>
  </si>
  <si>
    <t>PEPPER BELL YELLOW SWEET</t>
  </si>
  <si>
    <t>001!0611832342100</t>
  </si>
  <si>
    <t>PEPPER BETTER BELLE II</t>
  </si>
  <si>
    <t>001!0611837435100</t>
  </si>
  <si>
    <t>PEPPER BIG BERTHA</t>
  </si>
  <si>
    <t>001!0611832343100</t>
  </si>
  <si>
    <t>PEPPER BIG CHILI</t>
  </si>
  <si>
    <t>001!0611832344100</t>
  </si>
  <si>
    <t>PEPPER BIG EARLY</t>
  </si>
  <si>
    <t>001!0611832345100</t>
  </si>
  <si>
    <t>PEPPER BIG JIM</t>
  </si>
  <si>
    <t>001!0611832346100</t>
  </si>
  <si>
    <t>PEPPER BIG RED</t>
  </si>
  <si>
    <t>001!0611832347100</t>
  </si>
  <si>
    <t>PEPPER BISCAYNE</t>
  </si>
  <si>
    <t>001!0611832348200</t>
  </si>
  <si>
    <t>PEPPER BLACK OLIVE</t>
  </si>
  <si>
    <t>001!0611832350100</t>
  </si>
  <si>
    <t>PEPPER BLACK PEARL</t>
  </si>
  <si>
    <t>001!0611832351100</t>
  </si>
  <si>
    <t>PEPPER BLAZE</t>
  </si>
  <si>
    <t>001!0611832352100</t>
  </si>
  <si>
    <t>PEPPER BLUSHING BEAUTY</t>
  </si>
  <si>
    <t>001!0611832353100</t>
  </si>
  <si>
    <t>PEPPER BUFFY</t>
  </si>
  <si>
    <t>001!0611857053100</t>
  </si>
  <si>
    <t>PEPPER BULGARIAN CARROT</t>
  </si>
  <si>
    <t>001!0611832354100</t>
  </si>
  <si>
    <t>PEPPER CAJUN BELLE SWEET</t>
  </si>
  <si>
    <t>001!0611832355100</t>
  </si>
  <si>
    <t>PEPPER CALICO</t>
  </si>
  <si>
    <t>001!0611832356100</t>
  </si>
  <si>
    <t>PEPPER CALIFORNIA WONDER</t>
  </si>
  <si>
    <t>001!0611832357100</t>
  </si>
  <si>
    <t>001!0611832358200</t>
  </si>
  <si>
    <t>PEPPER CALIFORNIA WONDER GLDEN</t>
  </si>
  <si>
    <t>001!0611832359100</t>
  </si>
  <si>
    <t>PEPPER CALIFORNIA WONDER YELL</t>
  </si>
  <si>
    <t>001!0611832360100</t>
  </si>
  <si>
    <t>PEPPER CALIFORNIA WONDERFUL</t>
  </si>
  <si>
    <t>001!0611832361100</t>
  </si>
  <si>
    <t>PEPPER CALWONDER</t>
  </si>
  <si>
    <t>001!0611832362100</t>
  </si>
  <si>
    <t>PEPPER CANDY CANE RED</t>
  </si>
  <si>
    <t>001!0611832364100</t>
  </si>
  <si>
    <t>PEPPER CARIBBEAN RED HOT</t>
  </si>
  <si>
    <t>001!0611832365100</t>
  </si>
  <si>
    <t>PEPPER CARMEN</t>
  </si>
  <si>
    <t>001!0611832366100</t>
  </si>
  <si>
    <t>PEPPER CAROLINA REAPER</t>
  </si>
  <si>
    <t>001!0611837436100</t>
  </si>
  <si>
    <t>PEPPER CAYENNE HOT</t>
  </si>
  <si>
    <t>001!0611832367100</t>
  </si>
  <si>
    <t>PEPPER CAYENNE LONG RED</t>
  </si>
  <si>
    <t>001!0611832368100</t>
  </si>
  <si>
    <t>001!0611832369200</t>
  </si>
  <si>
    <t>PEPPER CAYENNE LONG SLIM</t>
  </si>
  <si>
    <t>001!0611832370100</t>
  </si>
  <si>
    <t>PEPPER CAYENNE LONG THIN</t>
  </si>
  <si>
    <t>001!0611832371100</t>
  </si>
  <si>
    <t>PEPPER CAYENNE THICK HOT</t>
  </si>
  <si>
    <t>001!0611832372100</t>
  </si>
  <si>
    <t>PEPPER CAYENNETTA</t>
  </si>
  <si>
    <t>001!0611832373100</t>
  </si>
  <si>
    <t>PEPPER CHARDONNAY</t>
  </si>
  <si>
    <t>001!0611832374100</t>
  </si>
  <si>
    <t>PEPPER CHERRY BOMB</t>
  </si>
  <si>
    <t>001!0611832375100</t>
  </si>
  <si>
    <t>PEPPER CHERRY HOT</t>
  </si>
  <si>
    <t>001!0611832376100</t>
  </si>
  <si>
    <t>PEPPER CHERRY PICK</t>
  </si>
  <si>
    <t>001!0611832377100</t>
  </si>
  <si>
    <t>PEPPER CHEYENNE</t>
  </si>
  <si>
    <t>001!0611832378100</t>
  </si>
  <si>
    <t>PEPPER CHILE DE ARBOL</t>
  </si>
  <si>
    <t>001!0611832379100</t>
  </si>
  <si>
    <t>PEPPER CHILI GRANDE</t>
  </si>
  <si>
    <t>001!0611832380100</t>
  </si>
  <si>
    <t>PEPPER CHILI PIE</t>
  </si>
  <si>
    <t>001!0611832381100</t>
  </si>
  <si>
    <t>PEPPER CHILLY CHILI</t>
  </si>
  <si>
    <t>001!0611832382100</t>
  </si>
  <si>
    <t>PEPPER CHILTEPIN</t>
  </si>
  <si>
    <t>001!0611832383100</t>
  </si>
  <si>
    <t>PEPPER CHINESE GIANT</t>
  </si>
  <si>
    <t>001!0611832384100</t>
  </si>
  <si>
    <t>PEPPER CHOCOLATE BEAUTY</t>
  </si>
  <si>
    <t>001!0611832385100</t>
  </si>
  <si>
    <t>PEPPER CHOCOLATE BELL</t>
  </si>
  <si>
    <t>001!0611832386100</t>
  </si>
  <si>
    <t>PEPPER CLASSIC</t>
  </si>
  <si>
    <t>001!0611832387100</t>
  </si>
  <si>
    <t>PEPPER CNDY CANE CHOCOLT CHRRY</t>
  </si>
  <si>
    <t>001!0611832388100</t>
  </si>
  <si>
    <t>PEPPER COLOSSAL</t>
  </si>
  <si>
    <t>001!0611832389100</t>
  </si>
  <si>
    <t>PEPPER COMPADRE</t>
  </si>
  <si>
    <t>001!0611832390100</t>
  </si>
  <si>
    <t>PEPPER CORNITO GIALLO</t>
  </si>
  <si>
    <t>001!0611832391100</t>
  </si>
  <si>
    <t>PEPPER CORNO DI TORO</t>
  </si>
  <si>
    <t>001!0611832392100</t>
  </si>
  <si>
    <t>PEPPER COSMO HOT KITCHEN MINIS</t>
  </si>
  <si>
    <t>001!0611837437100</t>
  </si>
  <si>
    <t>PEPPER COWHORN</t>
  </si>
  <si>
    <t>001!0611837438100</t>
  </si>
  <si>
    <t>PEPPER CRACKLE</t>
  </si>
  <si>
    <t>001!0611837439100</t>
  </si>
  <si>
    <t>PEPPER CREST RED</t>
  </si>
  <si>
    <t>001!0611832393100</t>
  </si>
  <si>
    <t>PEPPER CREST YELLOW</t>
  </si>
  <si>
    <t>001!0611832394100</t>
  </si>
  <si>
    <t>PEPPER CRUSADER</t>
  </si>
  <si>
    <t>001!0611832395100</t>
  </si>
  <si>
    <t>PEPPER CUBANA SERIES</t>
  </si>
  <si>
    <t>001!0611832396100</t>
  </si>
  <si>
    <t>PEPPER CUBANELLE</t>
  </si>
  <si>
    <t>001!0611837440100</t>
  </si>
  <si>
    <t>PEPPER CUTE STUFF GOLD</t>
  </si>
  <si>
    <t>001!0611832397100</t>
  </si>
  <si>
    <t>PEPPER CUTE STUFF RED</t>
  </si>
  <si>
    <t>001!0611832398100</t>
  </si>
  <si>
    <t>PEPPER DRAGON CAYENNE</t>
  </si>
  <si>
    <t>001!0611832399100</t>
  </si>
  <si>
    <t>PEPPER DRAGONFLY</t>
  </si>
  <si>
    <t>001!0611857054100</t>
  </si>
  <si>
    <t>PEPPER DURANGO</t>
  </si>
  <si>
    <t>001!0611837441100</t>
  </si>
  <si>
    <t>PEPPER EARLY BELL</t>
  </si>
  <si>
    <t>001!0611832400100</t>
  </si>
  <si>
    <t>PEPPER EARLY RED</t>
  </si>
  <si>
    <t>001!0611832401100</t>
  </si>
  <si>
    <t>PEPPER EARLY SUMMER</t>
  </si>
  <si>
    <t>001!0611832402100</t>
  </si>
  <si>
    <t>PEPPER EARLY SUNSATION</t>
  </si>
  <si>
    <t>001!0611832403100</t>
  </si>
  <si>
    <t>PEPPER EL JEFE</t>
  </si>
  <si>
    <t>001!0611832404100</t>
  </si>
  <si>
    <t>PEPPER ELISA</t>
  </si>
  <si>
    <t>001!0611832405100</t>
  </si>
  <si>
    <t>PEPPER EMERALD FIRE</t>
  </si>
  <si>
    <t>001!0611832406100</t>
  </si>
  <si>
    <t>PEPPER EMERALD GIANT</t>
  </si>
  <si>
    <t>001!0611832407100</t>
  </si>
  <si>
    <t>PEPPER ESCAMILLO</t>
  </si>
  <si>
    <t>001!0611832408100</t>
  </si>
  <si>
    <t>PEPPER FAT N SASSY</t>
  </si>
  <si>
    <t>001!0611832409100</t>
  </si>
  <si>
    <t>PEPPER FATALI</t>
  </si>
  <si>
    <t>001!0611832410100</t>
  </si>
  <si>
    <t>PEPPER FLAMING FLARE</t>
  </si>
  <si>
    <t>001!0611832411100</t>
  </si>
  <si>
    <t>PEPPER FLAMING JADE</t>
  </si>
  <si>
    <t>001!0611832412100</t>
  </si>
  <si>
    <t>PEPPER FLAMINGO</t>
  </si>
  <si>
    <t>001!0611832413100</t>
  </si>
  <si>
    <t>PEPPER FOOLED YOU</t>
  </si>
  <si>
    <t>001!0611832414100</t>
  </si>
  <si>
    <t>PEPPER FRESH BITES RD</t>
  </si>
  <si>
    <t>001!0611837442100</t>
  </si>
  <si>
    <t>PEPPER FRESH BITES YEL</t>
  </si>
  <si>
    <t>001!0611837443100</t>
  </si>
  <si>
    <t>PEPPER FRESH BTES ORG</t>
  </si>
  <si>
    <t>001!0611837444100</t>
  </si>
  <si>
    <t>PEPPER FRESNO CHILI</t>
  </si>
  <si>
    <t>001!0611832415100</t>
  </si>
  <si>
    <t>PEPPER GARDEN LEADER TASTY ORG</t>
  </si>
  <si>
    <t>001!0611832416100</t>
  </si>
  <si>
    <t>PEPPER GARDEN SALSA</t>
  </si>
  <si>
    <t>001!0611837445100</t>
  </si>
  <si>
    <t>PEPPER GDN LDER TASTY PPL BELL</t>
  </si>
  <si>
    <t>001!0611832418100</t>
  </si>
  <si>
    <t>PEPPER GHOST BHUT JOLOKIA</t>
  </si>
  <si>
    <t>001!0611837446100</t>
  </si>
  <si>
    <t>PEPPER GIANT JALAPENO</t>
  </si>
  <si>
    <t>001!0611832420100</t>
  </si>
  <si>
    <t>PEPPER GIANT MARCONI</t>
  </si>
  <si>
    <t>001!0611832421100</t>
  </si>
  <si>
    <t>PEPPER GIANT RISTRA</t>
  </si>
  <si>
    <t>001!0611832422100</t>
  </si>
  <si>
    <t>PEPPER GOLDEN BELL</t>
  </si>
  <si>
    <t>001!0611832423100</t>
  </si>
  <si>
    <t>PEPPER GOLDEN SUMMER</t>
  </si>
  <si>
    <t>001!0611832424100</t>
  </si>
  <si>
    <t>PEPPER GOLDEN WONDER</t>
  </si>
  <si>
    <t>001!0611832425100</t>
  </si>
  <si>
    <t>PEPPER GOLIATH</t>
  </si>
  <si>
    <t>001!0611837447100</t>
  </si>
  <si>
    <t>PEPPER GOLIATH LARGE SWEET</t>
  </si>
  <si>
    <t>001!0611884354100</t>
  </si>
  <si>
    <t>PEPPER GREEN CHILE</t>
  </si>
  <si>
    <t>001!0611832427100</t>
  </si>
  <si>
    <t>PEPPER GREEN FRYING</t>
  </si>
  <si>
    <t>001!0611832428100</t>
  </si>
  <si>
    <t>PEPPER GYPSY</t>
  </si>
  <si>
    <t>001!0611832429100</t>
  </si>
  <si>
    <t>PEPPER HABANADA</t>
  </si>
  <si>
    <t>001!0611832430100</t>
  </si>
  <si>
    <t>PEPPER HABANERO</t>
  </si>
  <si>
    <t>001!0611837448100</t>
  </si>
  <si>
    <t>PEPPER HABANERO CHOCOLATE</t>
  </si>
  <si>
    <t>001!0611837449100</t>
  </si>
  <si>
    <t>PEPPER HABANERO RED</t>
  </si>
  <si>
    <t>001!0611837450100</t>
  </si>
  <si>
    <t>PEPPER HABANERO WHITE</t>
  </si>
  <si>
    <t>001!0611837451100</t>
  </si>
  <si>
    <t>PEPPER HOLY MOLE</t>
  </si>
  <si>
    <t>001!0611832431100</t>
  </si>
  <si>
    <t>PEPPER HOT</t>
  </si>
  <si>
    <t>001!0611832432100</t>
  </si>
  <si>
    <t>PEPPER HOT BANANA</t>
  </si>
  <si>
    <t>001!0611832433100</t>
  </si>
  <si>
    <t>PEPPER HOT POPS PURPLE</t>
  </si>
  <si>
    <t>001!0611832435100</t>
  </si>
  <si>
    <t>PEPPER HOT POPS YELLOW</t>
  </si>
  <si>
    <t>001!0611832436100</t>
  </si>
  <si>
    <t>PEPPER HOT PORTUGAL</t>
  </si>
  <si>
    <t>001!0611832437100</t>
  </si>
  <si>
    <t>PEPPER HOT SUNSET</t>
  </si>
  <si>
    <t>001!0611832438100</t>
  </si>
  <si>
    <t>PEPPER HT BURRITO HT KTCHN MIN</t>
  </si>
  <si>
    <t>001!0611837452100</t>
  </si>
  <si>
    <t>PEPPER HT FAJITA HT KTCHN MIN</t>
  </si>
  <si>
    <t>001!0611837453100</t>
  </si>
  <si>
    <t>PEPPER HT JOKER HT KTCHN MIN</t>
  </si>
  <si>
    <t>001!0611837454100</t>
  </si>
  <si>
    <t>PEPPER HT LMN HT KTCHN MIN</t>
  </si>
  <si>
    <t>001!0611837455100</t>
  </si>
  <si>
    <t>PEPPER HUNGARIAN CHEESE TYPE</t>
  </si>
  <si>
    <t>001!0611832439100</t>
  </si>
  <si>
    <t>PEPPER HUNGARIAN WAX</t>
  </si>
  <si>
    <t>001!0611832440100</t>
  </si>
  <si>
    <t>001!0611832441200</t>
  </si>
  <si>
    <t>PEPPER HUNGARIAN WAX SWEET</t>
  </si>
  <si>
    <t>001!0611832442100</t>
  </si>
  <si>
    <t>PEPPER HUNTER</t>
  </si>
  <si>
    <t>001!0611832443100</t>
  </si>
  <si>
    <t>PEPPER INFERNO</t>
  </si>
  <si>
    <t>001!0611832444100</t>
  </si>
  <si>
    <t>PEPPER ITALIA</t>
  </si>
  <si>
    <t>001!0611832445100</t>
  </si>
  <si>
    <t>PEPPER ITALIAN ROASTER</t>
  </si>
  <si>
    <t>001!0611832446100</t>
  </si>
  <si>
    <t>PEPPER ITALIANELLE</t>
  </si>
  <si>
    <t>001!0611832447100</t>
  </si>
  <si>
    <t>PEPPER IVORY</t>
  </si>
  <si>
    <t>001!0611832448100</t>
  </si>
  <si>
    <t>PEPPER JALAPA</t>
  </si>
  <si>
    <t>001!0611832449100</t>
  </si>
  <si>
    <t>PEPPER JALAPENO EARLY</t>
  </si>
  <si>
    <t>001!0611832450100</t>
  </si>
  <si>
    <t>PEPPER JALAPENO HOT</t>
  </si>
  <si>
    <t>001!0611832451100</t>
  </si>
  <si>
    <t>001!0611832452200</t>
  </si>
  <si>
    <t>PEPPER JALAPENO M</t>
  </si>
  <si>
    <t>001!0611837456100</t>
  </si>
  <si>
    <t>PEPPER JAMAICAN RED</t>
  </si>
  <si>
    <t>001!0611837457100</t>
  </si>
  <si>
    <t>PEPPER JAMAICAN YELLOW</t>
  </si>
  <si>
    <t>001!0611837458100</t>
  </si>
  <si>
    <t>PEPPER JIMMY NARDELLOS</t>
  </si>
  <si>
    <t>001!0611832453100</t>
  </si>
  <si>
    <t>PEPPER JUPITER</t>
  </si>
  <si>
    <t>001!0611832454100</t>
  </si>
  <si>
    <t>PEPPER JUST SWEET</t>
  </si>
  <si>
    <t>001!0611832455100</t>
  </si>
  <si>
    <t>PEPPER KEYSTONE RESISTANT GNT</t>
  </si>
  <si>
    <t>001!0611832456100</t>
  </si>
  <si>
    <t>PEPPER KING ARTHUR</t>
  </si>
  <si>
    <t>001!0611832457100</t>
  </si>
  <si>
    <t>PEPPER KUNG PAO</t>
  </si>
  <si>
    <t>001!0611832458100</t>
  </si>
  <si>
    <t>PEPPER LA BOMBA</t>
  </si>
  <si>
    <t>001!0611832459100</t>
  </si>
  <si>
    <t>PEPPER LA BOMBA II</t>
  </si>
  <si>
    <t>001!0611837459100</t>
  </si>
  <si>
    <t>PEPPER LADY BELL</t>
  </si>
  <si>
    <t>001!0611832460100</t>
  </si>
  <si>
    <t>PEPPER LEMON DROP</t>
  </si>
  <si>
    <t>001!0611832461100</t>
  </si>
  <si>
    <t>PEPPER LIBERTY BELLE</t>
  </si>
  <si>
    <t>001!0611832462100</t>
  </si>
  <si>
    <t>PEPPER LILAC</t>
  </si>
  <si>
    <t>001!0611832463100</t>
  </si>
  <si>
    <t>PEPPER LONGHORN</t>
  </si>
  <si>
    <t>001!0611832465100</t>
  </si>
  <si>
    <t>PEPPER LUNCHBOX MIX</t>
  </si>
  <si>
    <t>001!0611832466100</t>
  </si>
  <si>
    <t>PEPPER MAD HATTER</t>
  </si>
  <si>
    <t>001!0611837460100</t>
  </si>
  <si>
    <t>PEPPER MAJESTIC RED</t>
  </si>
  <si>
    <t>001!0611832467100</t>
  </si>
  <si>
    <t>PEPPER MAMA MIA GIALLO</t>
  </si>
  <si>
    <t>001!0611832468100</t>
  </si>
  <si>
    <t>PEPPER MANDARIN</t>
  </si>
  <si>
    <t>001!0611832469100</t>
  </si>
  <si>
    <t>PEPPER MARIACHI</t>
  </si>
  <si>
    <t>001!0611832470100</t>
  </si>
  <si>
    <t>PEPPER MASQUERADE</t>
  </si>
  <si>
    <t>001!0611832471100</t>
  </si>
  <si>
    <t>PEPPER MEDIUM HOT BLOCK</t>
  </si>
  <si>
    <t>001!0611832472100</t>
  </si>
  <si>
    <t>PEPPER MEDUSA</t>
  </si>
  <si>
    <t>001!0611832473100</t>
  </si>
  <si>
    <t>PEPPER MELROSE SWEET</t>
  </si>
  <si>
    <t>001!0611832474100</t>
  </si>
  <si>
    <t>PEPPER MERLOT</t>
  </si>
  <si>
    <t>001!0611837461100</t>
  </si>
  <si>
    <t>PEPPER MEXI BELL</t>
  </si>
  <si>
    <t>001!0611832475100</t>
  </si>
  <si>
    <t>PEPPER MIDAS</t>
  </si>
  <si>
    <t>001!0611832476100</t>
  </si>
  <si>
    <t>PEPPER MIDNIGHT FIRE</t>
  </si>
  <si>
    <t>001!0611832477100</t>
  </si>
  <si>
    <t>PEPPER MINI BELL PEPPER GNRC</t>
  </si>
  <si>
    <t>001!0611832478100</t>
  </si>
  <si>
    <t>PEPPER MINI SNACK PEPPER GNRC</t>
  </si>
  <si>
    <t>001!0611832479100</t>
  </si>
  <si>
    <t>PEPPER MOHAWK</t>
  </si>
  <si>
    <t>001!0611837463100</t>
  </si>
  <si>
    <t>PEPPER MOSQUETERO</t>
  </si>
  <si>
    <t>001!0611832480100</t>
  </si>
  <si>
    <t>PEPPER MUCHO NACHO HYBRID</t>
  </si>
  <si>
    <t>001!0611832481100</t>
  </si>
  <si>
    <t>PEPPER MULATO ISLENO</t>
  </si>
  <si>
    <t>001!0611832482100</t>
  </si>
  <si>
    <t>PEPPER MUSCATO</t>
  </si>
  <si>
    <t>001!0611832483100</t>
  </si>
  <si>
    <t>PEPPER NEW ACE</t>
  </si>
  <si>
    <t>001!0611832320100</t>
  </si>
  <si>
    <t>PEPPER NORTH STAR</t>
  </si>
  <si>
    <t>001!0611832484100</t>
  </si>
  <si>
    <t>PEPPER NUMEX EASTER</t>
  </si>
  <si>
    <t>001!0611832485100</t>
  </si>
  <si>
    <t>PEPPER ONYX ORANGE</t>
  </si>
  <si>
    <t>001!0611884355100</t>
  </si>
  <si>
    <t>PEPPER ONYX RED</t>
  </si>
  <si>
    <t>001!0611832486100</t>
  </si>
  <si>
    <t>PEPPER ORANGE BLAZE</t>
  </si>
  <si>
    <t>001!0611832487100</t>
  </si>
  <si>
    <t>PEPPER ORANGE MARMALADE</t>
  </si>
  <si>
    <t>001!0611832488100</t>
  </si>
  <si>
    <t>PEPPER ORANGE YOU SWEET</t>
  </si>
  <si>
    <t>001!0611832489100</t>
  </si>
  <si>
    <t>PEPPER ORIOLE</t>
  </si>
  <si>
    <t>001!0611832490100</t>
  </si>
  <si>
    <t>PEPPER ORNAMENTAL GENERIC</t>
  </si>
  <si>
    <t>001!0611884356100</t>
  </si>
  <si>
    <t>PEPPER PAGEANT</t>
  </si>
  <si>
    <t>001!0611832492100</t>
  </si>
  <si>
    <t>PEPPER PAPRIKA SUPREME</t>
  </si>
  <si>
    <t>001!0611832493100</t>
  </si>
  <si>
    <t>PEPPER PARKS WHOPPER</t>
  </si>
  <si>
    <t>001!0611832495100</t>
  </si>
  <si>
    <t>PEPPER PARKS WHOPPER II</t>
  </si>
  <si>
    <t>001!0611832496100</t>
  </si>
  <si>
    <t>PEPPER PARKS WHOPPER JALAPENO</t>
  </si>
  <si>
    <t>001!0611832497100</t>
  </si>
  <si>
    <t>PEPPER PATIO SNACKER</t>
  </si>
  <si>
    <t>001!0611837464100</t>
  </si>
  <si>
    <t>PEPPER PATIO TYPE GENERIC</t>
  </si>
  <si>
    <t>001!0611832498100</t>
  </si>
  <si>
    <t>PEPPER PENNBELL</t>
  </si>
  <si>
    <t>001!0611832499100</t>
  </si>
  <si>
    <t>PEPPER PEPERO BABY RBBER PLANT</t>
  </si>
  <si>
    <t>001!0611837465100</t>
  </si>
  <si>
    <t>PEPPER PEPERO BEETLE</t>
  </si>
  <si>
    <t>001!0611837466100</t>
  </si>
  <si>
    <t>PEPPER PEPPERONCINI</t>
  </si>
  <si>
    <t>001!0611832500100</t>
  </si>
  <si>
    <t>PEPPER PEPPI CORNISSIMO</t>
  </si>
  <si>
    <t>001!0611832501100</t>
  </si>
  <si>
    <t>PEPPER PEPPI GRANDE RED</t>
  </si>
  <si>
    <t>001!0611832502100</t>
  </si>
  <si>
    <t>PEPPER PEPPI RED</t>
  </si>
  <si>
    <t>001!0611832503100</t>
  </si>
  <si>
    <t>PEPPER PEPPI YELLOW</t>
  </si>
  <si>
    <t>001!0611832504100</t>
  </si>
  <si>
    <t>PEPPER PIMENTO</t>
  </si>
  <si>
    <t>001!0611837467100</t>
  </si>
  <si>
    <t>PEPPER PIMENTO ELITE</t>
  </si>
  <si>
    <t>001!0611832505100</t>
  </si>
  <si>
    <t>PEPPER PIMENTO PERFECTION</t>
  </si>
  <si>
    <t>001!0611837468100</t>
  </si>
  <si>
    <t>PEPPER PINATA HT KTCHN MIN</t>
  </si>
  <si>
    <t>001!0611837469100</t>
  </si>
  <si>
    <t>PEPPER POT A PENO</t>
  </si>
  <si>
    <t>001!0611832506100</t>
  </si>
  <si>
    <t>PEPPER PRETTY N SWEET</t>
  </si>
  <si>
    <t>001!0611832507100</t>
  </si>
  <si>
    <t>PEPPER PRIMERO RED</t>
  </si>
  <si>
    <t>001!0611837470100</t>
  </si>
  <si>
    <t>PEPPER PRISM</t>
  </si>
  <si>
    <t>001!0611884357100</t>
  </si>
  <si>
    <t>PEPPER PURPLE BEAUTY</t>
  </si>
  <si>
    <t>001!0611832508100</t>
  </si>
  <si>
    <t>PEPPER PURPLE FLASH</t>
  </si>
  <si>
    <t>001!0611832509100</t>
  </si>
  <si>
    <t>PEPPER QUICKFIRE</t>
  </si>
  <si>
    <t>001!0611857055100</t>
  </si>
  <si>
    <t>PEPPER RAINBOW MIX</t>
  </si>
  <si>
    <t>001!0611832510100</t>
  </si>
  <si>
    <t>PEPPER RED BELT</t>
  </si>
  <si>
    <t>001!0611832511100</t>
  </si>
  <si>
    <t>PEPPER RED BULL</t>
  </si>
  <si>
    <t>001!0611857056100</t>
  </si>
  <si>
    <t>PEPPER RED CHILI</t>
  </si>
  <si>
    <t>001!0611832512100</t>
  </si>
  <si>
    <t>PEPPER RED EMBER</t>
  </si>
  <si>
    <t>001!0611837471100</t>
  </si>
  <si>
    <t>PEPPER RED KNIGHT</t>
  </si>
  <si>
    <t>001!0611832513100</t>
  </si>
  <si>
    <t>PEPPER RED MISSILE</t>
  </si>
  <si>
    <t>001!0611832514100</t>
  </si>
  <si>
    <t>PEPPER RED PETER</t>
  </si>
  <si>
    <t>001!0611832515100</t>
  </si>
  <si>
    <t>PEPPER REDSKIN</t>
  </si>
  <si>
    <t>001!0611837472100</t>
  </si>
  <si>
    <t>PEPPER REVOLUTION</t>
  </si>
  <si>
    <t>001!0611832516100</t>
  </si>
  <si>
    <t>PEPPER RIGHT ON RED</t>
  </si>
  <si>
    <t>001!0611832517100</t>
  </si>
  <si>
    <t>PEPPER ROULETTE</t>
  </si>
  <si>
    <t>001!0611837473100</t>
  </si>
  <si>
    <t>PEPPER RUMANIAN SWEET</t>
  </si>
  <si>
    <t>001!0611837474100</t>
  </si>
  <si>
    <t>PEPPER SALSA ORANGE</t>
  </si>
  <si>
    <t>001!0611832518100</t>
  </si>
  <si>
    <t>PEPPER SALSA PURPLE YELLOW</t>
  </si>
  <si>
    <t>001!0611832519100</t>
  </si>
  <si>
    <t>PEPPER SALSA RED</t>
  </si>
  <si>
    <t>001!0611832520100</t>
  </si>
  <si>
    <t>PEPPER SALSA YELLOW</t>
  </si>
  <si>
    <t>001!0611832521100</t>
  </si>
  <si>
    <t>PEPPER SAN JOAQUIN</t>
  </si>
  <si>
    <t>001!0611884358100</t>
  </si>
  <si>
    <t>PEPPER SANGRIA</t>
  </si>
  <si>
    <t>001!0611832523100</t>
  </si>
  <si>
    <t>PEPPER SANTA FE GRANDE</t>
  </si>
  <si>
    <t>001!0611832524100</t>
  </si>
  <si>
    <t>PEPPER SCORPION BUTCH T</t>
  </si>
  <si>
    <t>001!0611837475100</t>
  </si>
  <si>
    <t>PEPPER SCORPION TRINDAD MORUGA</t>
  </si>
  <si>
    <t>001!0611837476100</t>
  </si>
  <si>
    <t>PEPPER SCOTCH BONNET</t>
  </si>
  <si>
    <t>001!0611832526100</t>
  </si>
  <si>
    <t>PEPPER SEDONA SUN</t>
  </si>
  <si>
    <t>001!0611832527100</t>
  </si>
  <si>
    <t>PEPPER SERRANO</t>
  </si>
  <si>
    <t>001!0611832528100</t>
  </si>
  <si>
    <t>PEPPER SERRANO DEL SOL</t>
  </si>
  <si>
    <t>001!0611832529100</t>
  </si>
  <si>
    <t>PEPPER SHISHITO</t>
  </si>
  <si>
    <t>001!0611832530100</t>
  </si>
  <si>
    <t>PEPPER SNACKABELLE RED</t>
  </si>
  <si>
    <t>001!0611832531100</t>
  </si>
  <si>
    <t>PEPPER SPANISH SPICE</t>
  </si>
  <si>
    <t>001!0611832533100</t>
  </si>
  <si>
    <t>PEPPER SPICY SLICE</t>
  </si>
  <si>
    <t>001!0611832534100</t>
  </si>
  <si>
    <t>PEPPER SRIRACHA</t>
  </si>
  <si>
    <t>001!0611832535100</t>
  </si>
  <si>
    <t>PEPPER STADDONS SELECT</t>
  </si>
  <si>
    <t>001!0611832536100</t>
  </si>
  <si>
    <t>PEPPER SUN BELL</t>
  </si>
  <si>
    <t>001!0611832537100</t>
  </si>
  <si>
    <t>PEPPER SUPER CAYENNE</t>
  </si>
  <si>
    <t>001!0611832538100</t>
  </si>
  <si>
    <t>PEPPER SUPER CHILI</t>
  </si>
  <si>
    <t>001!0611832539100</t>
  </si>
  <si>
    <t>PEPPER SUPER HEAVYWEIGHT</t>
  </si>
  <si>
    <t>001!0611832540100</t>
  </si>
  <si>
    <t>PEPPER SUPER KHI</t>
  </si>
  <si>
    <t>001!0611837478100</t>
  </si>
  <si>
    <t>PEPPER SUPER SERRANO</t>
  </si>
  <si>
    <t>001!0611832541100</t>
  </si>
  <si>
    <t>PEPPER SWEET</t>
  </si>
  <si>
    <t>001!0611832542100</t>
  </si>
  <si>
    <t>PEPPER SWEET BANANA</t>
  </si>
  <si>
    <t>001!0611832543100</t>
  </si>
  <si>
    <t>001!0611832544200</t>
  </si>
  <si>
    <t>PEPPER SWEET BANANA WHOPPER</t>
  </si>
  <si>
    <t>001!0611832545100</t>
  </si>
  <si>
    <t>PEPPER SWEET CHERRY</t>
  </si>
  <si>
    <t>001!0611832546100</t>
  </si>
  <si>
    <t>PEPPER SWEET HEAT</t>
  </si>
  <si>
    <t>001!0611832547100</t>
  </si>
  <si>
    <t>PEPPER SWEET ITALIAN</t>
  </si>
  <si>
    <t>001!0611832548100</t>
  </si>
  <si>
    <t>PEPPER SWEET JLPN TYPE GENERIC</t>
  </si>
  <si>
    <t>001!0611832549100</t>
  </si>
  <si>
    <t>PEPPER SWEET SUNSET</t>
  </si>
  <si>
    <t>001!0611832551100</t>
  </si>
  <si>
    <t>PEPPER SWEETIE PIE</t>
  </si>
  <si>
    <t>001!0611832552100</t>
  </si>
  <si>
    <t>PEPPER SWT HABANERO TYPE GNRC</t>
  </si>
  <si>
    <t>001!0611832553100</t>
  </si>
  <si>
    <t>PEPPER TABASCO</t>
  </si>
  <si>
    <t>001!0611832554100</t>
  </si>
  <si>
    <t>PEPPER TAKARA</t>
  </si>
  <si>
    <t>001!0611832555100</t>
  </si>
  <si>
    <t>PEPPER TAM JALAPENO</t>
  </si>
  <si>
    <t>001!0611832556100</t>
  </si>
  <si>
    <t>PEPPER TAMALE HT KTCHN MIN</t>
  </si>
  <si>
    <t>001!0611837479100</t>
  </si>
  <si>
    <t>PEPPER TAQUITO HT KTCHN MIN</t>
  </si>
  <si>
    <t>001!0611837480100</t>
  </si>
  <si>
    <t>PEPPER TASTY POBLANO</t>
  </si>
  <si>
    <t>001!0611832557100</t>
  </si>
  <si>
    <t>PEPPER THAI DRAGON</t>
  </si>
  <si>
    <t>001!0611832558100</t>
  </si>
  <si>
    <t>PEPPER THAI HOT</t>
  </si>
  <si>
    <t>001!0611832559100</t>
  </si>
  <si>
    <t>PEPPER TIBURON</t>
  </si>
  <si>
    <t>001!0611832560100</t>
  </si>
  <si>
    <t>PEPPER TRAILBLAZER</t>
  </si>
  <si>
    <t>001!0611857057100</t>
  </si>
  <si>
    <t>PEPPER TRINIDAD SCORPION</t>
  </si>
  <si>
    <t>001!0611832562100</t>
  </si>
  <si>
    <t>PEPPER VALENCIA</t>
  </si>
  <si>
    <t>001!0611832563100</t>
  </si>
  <si>
    <t>PEPPER WICKED</t>
  </si>
  <si>
    <t>001!0611832564100</t>
  </si>
  <si>
    <t>PEPPER WILDCAT</t>
  </si>
  <si>
    <t>001!0611884359100</t>
  </si>
  <si>
    <t>PEPPER WIZARD</t>
  </si>
  <si>
    <t>001!0611832565100</t>
  </si>
  <si>
    <t>PEPPER YELLOW BELLE</t>
  </si>
  <si>
    <t>001!0611832566100</t>
  </si>
  <si>
    <t>PEPPER YELLOW STUFFER</t>
  </si>
  <si>
    <t>001!0611832567100</t>
  </si>
  <si>
    <t>PEPPER YES TO YELLOW</t>
  </si>
  <si>
    <t>001!0611832568100</t>
  </si>
  <si>
    <t>PEPPER YOLO WONDER</t>
  </si>
  <si>
    <t>001!0611832569100</t>
  </si>
  <si>
    <t>PEPPER YUM YUM</t>
  </si>
  <si>
    <t>001!0611837481100</t>
  </si>
  <si>
    <t>PERICA PRIMAVERA SERIES</t>
  </si>
  <si>
    <t>001!0611837483100</t>
  </si>
  <si>
    <t>PERILL BRITTON SHISO</t>
  </si>
  <si>
    <t>001!0611884360025</t>
  </si>
  <si>
    <t>PERILL RED</t>
  </si>
  <si>
    <t>001!0611837485100</t>
  </si>
  <si>
    <t>PERILL TRICOLOR</t>
  </si>
  <si>
    <t>001!0611837486100</t>
  </si>
  <si>
    <t>PEROVS BL STEEL ATRIPLICIFOLIA</t>
  </si>
  <si>
    <t>001!0611837487025</t>
  </si>
  <si>
    <t>PEROVS BLUESETTE</t>
  </si>
  <si>
    <t>001!0611857058025</t>
  </si>
  <si>
    <t>PEROVS CRAZY BLUE</t>
  </si>
  <si>
    <t>001!0611837489025</t>
  </si>
  <si>
    <t>001!0611863444100</t>
  </si>
  <si>
    <t>PEROVS CRAZY BLUE LMTD</t>
  </si>
  <si>
    <t>001!0611863445050</t>
  </si>
  <si>
    <t>PEROVS JELENA</t>
  </si>
  <si>
    <t>001!0611863446100</t>
  </si>
  <si>
    <t>PEROVS LACEY BLUE</t>
  </si>
  <si>
    <t>001!0611837490025</t>
  </si>
  <si>
    <t>001!0611863447100</t>
  </si>
  <si>
    <t>PEROVS LACEY BLUE LMTD</t>
  </si>
  <si>
    <t>001!0611863448050</t>
  </si>
  <si>
    <t>PEROVS LITTLE LACE</t>
  </si>
  <si>
    <t>001!0611837491025</t>
  </si>
  <si>
    <t>PEROVS LITTLE SPIRE</t>
  </si>
  <si>
    <t>001!0611837492025</t>
  </si>
  <si>
    <t>001!0611863449100</t>
  </si>
  <si>
    <t>001!0611863450050</t>
  </si>
  <si>
    <t>PEROVS LONGIN</t>
  </si>
  <si>
    <t>001!0611837494025</t>
  </si>
  <si>
    <t>PEROVS PRIME TIME</t>
  </si>
  <si>
    <t>001!0611857059025</t>
  </si>
  <si>
    <t>PEROVS RUSSIAN</t>
  </si>
  <si>
    <t>001!0611837495100</t>
  </si>
  <si>
    <t>PEROVS RUSSIAN SAGE</t>
  </si>
  <si>
    <t>001!0611863451100</t>
  </si>
  <si>
    <t>PEROVS RUSSIAN SAGE GENERIC</t>
  </si>
  <si>
    <t>001!0611837496025</t>
  </si>
  <si>
    <t>PEROVS RUSSIAN SAGE LMTD</t>
  </si>
  <si>
    <t>001!0611863452050</t>
  </si>
  <si>
    <t>PEROVS ZEPHYR COMPACT BLUE</t>
  </si>
  <si>
    <t>001!0611884361025</t>
  </si>
  <si>
    <t>PERSIC FLEECE FLOWER</t>
  </si>
  <si>
    <t>001!0611837498100</t>
  </si>
  <si>
    <t>PERSIC VIETNAMESE</t>
  </si>
  <si>
    <t>001!0611837499100</t>
  </si>
  <si>
    <t>001!0611884362025</t>
  </si>
  <si>
    <t>PETROS GIANT OF ITALY</t>
  </si>
  <si>
    <t>001!0611884363025</t>
  </si>
  <si>
    <t>PETROS PLAIN ITALIAN</t>
  </si>
  <si>
    <t>001!0611884364100</t>
  </si>
  <si>
    <t>PETUNI AMAZONAS PLUM COCKATOO</t>
  </si>
  <si>
    <t>001!0611884365100</t>
  </si>
  <si>
    <t>PETUNI AMORE FIESTA</t>
  </si>
  <si>
    <t>001!0611837516100</t>
  </si>
  <si>
    <t>PETUNI AMORE FLUTTERING HEART</t>
  </si>
  <si>
    <t>001!0611837517100</t>
  </si>
  <si>
    <t>PETUNI AMORE HEART N SOUL</t>
  </si>
  <si>
    <t>001!0611837518100</t>
  </si>
  <si>
    <t>PETUNI AMORE KING OF HEARTS</t>
  </si>
  <si>
    <t>001!0611837520100</t>
  </si>
  <si>
    <t>PETUNI AMORE PINK HEART</t>
  </si>
  <si>
    <t>001!0611837521100</t>
  </si>
  <si>
    <t>PETUNI AMORE PRINCESS</t>
  </si>
  <si>
    <t>001!0611884366100</t>
  </si>
  <si>
    <t>PETUNI AMORE PURPLE</t>
  </si>
  <si>
    <t>001!0611837522100</t>
  </si>
  <si>
    <t>PETUNI AMORE QUEEN OF HEARTS</t>
  </si>
  <si>
    <t>001!0611837523100</t>
  </si>
  <si>
    <t>PETUNI AMORE SERIES</t>
  </si>
  <si>
    <t>001!0611837524025</t>
  </si>
  <si>
    <t>PETUNI BALL PICOTEE MIX</t>
  </si>
  <si>
    <t>001!0611837526100</t>
  </si>
  <si>
    <t>PETUNI BIGDEAL CHOC CHERRIES</t>
  </si>
  <si>
    <t>001!0611863453050</t>
  </si>
  <si>
    <t>PETUNI BIGDEAL FINGERPAINT</t>
  </si>
  <si>
    <t>001!0611863454050</t>
  </si>
  <si>
    <t>PETUNI BIGDEAL FLAMENCO DANCER</t>
  </si>
  <si>
    <t>001!0611863455050</t>
  </si>
  <si>
    <t>PETUNI BIGDEAL HOLLYWOOD STAR</t>
  </si>
  <si>
    <t>001!0611863456050</t>
  </si>
  <si>
    <t>PETUNI BIGDEAL PINKDLLY CIRCUS</t>
  </si>
  <si>
    <t>001!0611863457050</t>
  </si>
  <si>
    <t>PETUNI BIGDEAL ROARING RASPBRY</t>
  </si>
  <si>
    <t>001!0611863458050</t>
  </si>
  <si>
    <t>PETUNI BIGDEAL SERIES</t>
  </si>
  <si>
    <t>001!0611837527100</t>
  </si>
  <si>
    <t>PETUNI BL/WH BILINGUAL DESIGN</t>
  </si>
  <si>
    <t>001!0611837528100</t>
  </si>
  <si>
    <t>PETUNI BLANKET DOUBLE SERIES</t>
  </si>
  <si>
    <t>001!0611837529100</t>
  </si>
  <si>
    <t>PETUNI BLANKET SERIES</t>
  </si>
  <si>
    <t>001!0611837530100</t>
  </si>
  <si>
    <t>PETUNI BLUE BILINGUAL DESIGN</t>
  </si>
  <si>
    <t>001!0611837531100</t>
  </si>
  <si>
    <t>PETUNI BLUE GENERIC</t>
  </si>
  <si>
    <t>001!0611837532100</t>
  </si>
  <si>
    <t>PETUNI BLUE VEIN GENERIC</t>
  </si>
  <si>
    <t>001!0611837533100</t>
  </si>
  <si>
    <t>PETUNI BLUEBERRY LIME JAM</t>
  </si>
  <si>
    <t>001!0611837534025</t>
  </si>
  <si>
    <t>PETUNI BRAVO SKY BLUE</t>
  </si>
  <si>
    <t>001!0611837544100</t>
  </si>
  <si>
    <t>PETUNI BUBBLES SERIES</t>
  </si>
  <si>
    <t>001!0611884367100</t>
  </si>
  <si>
    <t>PETUNI BURGUNDY BLNGL DESIGN</t>
  </si>
  <si>
    <t>001!0611837548100</t>
  </si>
  <si>
    <t>PETUNI BURGUNDY GENERIC</t>
  </si>
  <si>
    <t>001!0611837549100</t>
  </si>
  <si>
    <t>PETUNI CAL PREM BONFIRE MX</t>
  </si>
  <si>
    <t>001!0611837550100</t>
  </si>
  <si>
    <t>PETUNI CAL PREM CARAMEL YELL</t>
  </si>
  <si>
    <t>001!0611837551100</t>
  </si>
  <si>
    <t>PETUNI CAL PREM FRENCH VANILLA</t>
  </si>
  <si>
    <t>001!0611837552100</t>
  </si>
  <si>
    <t>PETUNI CALIBURST YELLOW</t>
  </si>
  <si>
    <t>001!0611884368100</t>
  </si>
  <si>
    <t>PETUNI CAPELLA BABY PINK</t>
  </si>
  <si>
    <t>001!0611837553100</t>
  </si>
  <si>
    <t>PETUNI CAPELLA BURGUNDY</t>
  </si>
  <si>
    <t>001!0611837554100</t>
  </si>
  <si>
    <t>PETUNI CAPELLA CHERRY VANILLA</t>
  </si>
  <si>
    <t>001!0611837555100</t>
  </si>
  <si>
    <t>PETUNI CAPELLA CORAL</t>
  </si>
  <si>
    <t>001!0611837556100</t>
  </si>
  <si>
    <t>PETUNI CAPELLA HELLO YELLOW</t>
  </si>
  <si>
    <t>001!0611837557100</t>
  </si>
  <si>
    <t>PETUNI CAPELLA INDIGO</t>
  </si>
  <si>
    <t>001!0611837558100</t>
  </si>
  <si>
    <t>PETUNI CAPELLA MULBERRY</t>
  </si>
  <si>
    <t>001!0611857060100</t>
  </si>
  <si>
    <t>PETUNI CAPELLA NEON PINK</t>
  </si>
  <si>
    <t>001!0611837559100</t>
  </si>
  <si>
    <t>PETUNI CAPELLA PINK LACE</t>
  </si>
  <si>
    <t>001!0611837560100</t>
  </si>
  <si>
    <t>PETUNI CAPELLA PURPLE</t>
  </si>
  <si>
    <t>001!0611837561100</t>
  </si>
  <si>
    <t>PETUNI CAPELLA PURPLE VEINS</t>
  </si>
  <si>
    <t>001!0611837562100</t>
  </si>
  <si>
    <t>PETUNI CAPELLA RIM FUCHSIA</t>
  </si>
  <si>
    <t>001!0611884369100</t>
  </si>
  <si>
    <t>PETUNI CAPELLA ROSE</t>
  </si>
  <si>
    <t>001!0611837563100</t>
  </si>
  <si>
    <t>PETUNI CAPELLA RUBY RED</t>
  </si>
  <si>
    <t>001!0611837564100</t>
  </si>
  <si>
    <t>PETUNI CAPELLA SALMON</t>
  </si>
  <si>
    <t>001!0611837565100</t>
  </si>
  <si>
    <t>PETUNI CAPELLA SANGRIA</t>
  </si>
  <si>
    <t>001!0611837566100</t>
  </si>
  <si>
    <t>PETUNI CAPELLA SOFT YELLOW</t>
  </si>
  <si>
    <t>001!0611837567100</t>
  </si>
  <si>
    <t>PETUNI CAPELLA WHITE</t>
  </si>
  <si>
    <t>001!0611837568100</t>
  </si>
  <si>
    <t>PETUNI CARPET BLUE</t>
  </si>
  <si>
    <t>001!0611837569100</t>
  </si>
  <si>
    <t>PETUNI CARPET BLUE LACE</t>
  </si>
  <si>
    <t>001!0611837570100</t>
  </si>
  <si>
    <t>PETUNI CARPET BLUE STAR</t>
  </si>
  <si>
    <t>001!0611837571100</t>
  </si>
  <si>
    <t>PETUNI CARPET BRIGHT RED</t>
  </si>
  <si>
    <t>001!0611837572100</t>
  </si>
  <si>
    <t>PETUNI CARPET BUTTER CREAM</t>
  </si>
  <si>
    <t>001!0611837573100</t>
  </si>
  <si>
    <t>PETUNI CARPET LILAC</t>
  </si>
  <si>
    <t>001!0611837574100</t>
  </si>
  <si>
    <t>PETUNI CARPET MIX</t>
  </si>
  <si>
    <t>001!0611837575100</t>
  </si>
  <si>
    <t>PETUNI CARPET NEPTUNE MIX</t>
  </si>
  <si>
    <t>001!0611837576100</t>
  </si>
  <si>
    <t>PETUNI CARPET PINK</t>
  </si>
  <si>
    <t>001!0611837577100</t>
  </si>
  <si>
    <t>PETUNI CARPET PLUM</t>
  </si>
  <si>
    <t>001!0611837578100</t>
  </si>
  <si>
    <t>PETUNI CARPET RED</t>
  </si>
  <si>
    <t>001!0611837579100</t>
  </si>
  <si>
    <t>PETUNI CARPET ROSE</t>
  </si>
  <si>
    <t>001!0611837580100</t>
  </si>
  <si>
    <t>PETUNI CARPET ROSE STAR</t>
  </si>
  <si>
    <t>001!0611837581100</t>
  </si>
  <si>
    <t>PETUNI CARPET SKY BLUE</t>
  </si>
  <si>
    <t>001!0611837583100</t>
  </si>
  <si>
    <t>PETUNI CARPET TRUE BLUE</t>
  </si>
  <si>
    <t>001!0611837584100</t>
  </si>
  <si>
    <t>PETUNI CARPET VELVET</t>
  </si>
  <si>
    <t>001!0611837585100</t>
  </si>
  <si>
    <t>PETUNI CARPET WHITE</t>
  </si>
  <si>
    <t>001!0611837586100</t>
  </si>
  <si>
    <t>PETUNI CASC DOUBLE ORCHID MIST</t>
  </si>
  <si>
    <t>001!0611837587100</t>
  </si>
  <si>
    <t>PETUNI CASC DOUBLE VALENTINE</t>
  </si>
  <si>
    <t>001!0611837588100</t>
  </si>
  <si>
    <t>PETUNI CASCADE BLUE</t>
  </si>
  <si>
    <t>001!0611837589100</t>
  </si>
  <si>
    <t>PETUNI CASCADE DOUBLE BLUE</t>
  </si>
  <si>
    <t>001!0611837590100</t>
  </si>
  <si>
    <t>PETUNI CASCADE DOUBLE BURGUNDY</t>
  </si>
  <si>
    <t>001!0611837591100</t>
  </si>
  <si>
    <t>PETUNI CASCADE DOUBLE MIX</t>
  </si>
  <si>
    <t>001!0611837592100</t>
  </si>
  <si>
    <t>PETUNI CASCADE DOUBLE PINK</t>
  </si>
  <si>
    <t>001!0611837593100</t>
  </si>
  <si>
    <t>PETUNI CASCADE MIX</t>
  </si>
  <si>
    <t>001!0611837594100</t>
  </si>
  <si>
    <t>PETUNI CASCADE PINK</t>
  </si>
  <si>
    <t>001!0611837595100</t>
  </si>
  <si>
    <t>PETUNI CASCADE RED</t>
  </si>
  <si>
    <t>001!0611837596100</t>
  </si>
  <si>
    <t>PETUNI CASCADE WHITE</t>
  </si>
  <si>
    <t>001!0611837597100</t>
  </si>
  <si>
    <t>PETUNI CASCADIAS ARIZONA SKY</t>
  </si>
  <si>
    <t>001!0611884370100</t>
  </si>
  <si>
    <t>PETUNI CASCADIAS ATMN MYSTERY</t>
  </si>
  <si>
    <t>001!0611837598100</t>
  </si>
  <si>
    <t>PETUNI CASCADIAS BIC CABERNET</t>
  </si>
  <si>
    <t>001!0611837599100</t>
  </si>
  <si>
    <t>PETUNI CASCADIAS BLUE OMRI</t>
  </si>
  <si>
    <t>001!0611837600100</t>
  </si>
  <si>
    <t>PETUNI CASCADIAS CHILI RED</t>
  </si>
  <si>
    <t>001!0611837601100</t>
  </si>
  <si>
    <t>PETUNI CASCADIAS FANTASY HT PK</t>
  </si>
  <si>
    <t>001!0611837602100</t>
  </si>
  <si>
    <t>PETUNI CASCADIAS FUCHSIA</t>
  </si>
  <si>
    <t>001!0611857061100</t>
  </si>
  <si>
    <t>PETUNI CASCADIAS HINT OF LIME</t>
  </si>
  <si>
    <t>001!0611837603100</t>
  </si>
  <si>
    <t>PETUNI CASCADIAS ICEBERG</t>
  </si>
  <si>
    <t>001!0611837604100</t>
  </si>
  <si>
    <t>PETUNI CASCADIAS INDIAN SUMMER</t>
  </si>
  <si>
    <t>001!0611837605100</t>
  </si>
  <si>
    <t>PETUNI CASCADIAS INDIGO</t>
  </si>
  <si>
    <t>001!0611857062100</t>
  </si>
  <si>
    <t>PETUNI CASCADIAS PASSION</t>
  </si>
  <si>
    <t>001!0611837606100</t>
  </si>
  <si>
    <t>PETUNI CASCADIAS PITAYA</t>
  </si>
  <si>
    <t>001!0611837608100</t>
  </si>
  <si>
    <t>PETUNI CASCADIAS PURPLE GEM</t>
  </si>
  <si>
    <t>001!0611837609100</t>
  </si>
  <si>
    <t>PETUNI CASCADIAS PURPLE ICE</t>
  </si>
  <si>
    <t>001!0611837610100</t>
  </si>
  <si>
    <t>PETUNI CASCADIAS RED</t>
  </si>
  <si>
    <t>001!0611837611100</t>
  </si>
  <si>
    <t>PETUNI CASCADIAS RIM CHERRY</t>
  </si>
  <si>
    <t>001!0611837612100</t>
  </si>
  <si>
    <t>PETUNI CASCADIAS RIM CHIANTI</t>
  </si>
  <si>
    <t>001!0611837613100</t>
  </si>
  <si>
    <t>PETUNI CASCADIAS RIM MAGENTA</t>
  </si>
  <si>
    <t>001!0611837615100</t>
  </si>
  <si>
    <t>PETUNI CASCADIAS RIM VIOLET</t>
  </si>
  <si>
    <t>001!0611837616100</t>
  </si>
  <si>
    <t>PETUNI CASCADIAS SERIES</t>
  </si>
  <si>
    <t>001!0611837617100</t>
  </si>
  <si>
    <t>PETUNI CASCADIAS VIBRANT PINK</t>
  </si>
  <si>
    <t>001!0611857063100</t>
  </si>
  <si>
    <t>PETUNI CASCADING GENERIC</t>
  </si>
  <si>
    <t>001!0611837618100</t>
  </si>
  <si>
    <t>PETUNI CELEBRITY BLUE</t>
  </si>
  <si>
    <t>001!0611837619100</t>
  </si>
  <si>
    <t>PETUNI CELEBRITY BLUE ICE</t>
  </si>
  <si>
    <t>001!0611837620100</t>
  </si>
  <si>
    <t>PETUNI CELEBRITY BURG FROST</t>
  </si>
  <si>
    <t>001!0611837621100</t>
  </si>
  <si>
    <t>PETUNI CELEBRITY CHIFFON MORN</t>
  </si>
  <si>
    <t>001!0611837623100</t>
  </si>
  <si>
    <t>PETUNI CELEBRITY MIX</t>
  </si>
  <si>
    <t>001!0611837626100</t>
  </si>
  <si>
    <t>PETUNI CELEBRITY PINK MORN</t>
  </si>
  <si>
    <t>001!0611837631100</t>
  </si>
  <si>
    <t>PETUNI CELEBRITY RED</t>
  </si>
  <si>
    <t>001!0611837634100</t>
  </si>
  <si>
    <t>PETUNI CELEBRITY RED MORN</t>
  </si>
  <si>
    <t>001!0611837635100</t>
  </si>
  <si>
    <t>PETUNI CELEBRITY SKY BLUE</t>
  </si>
  <si>
    <t>001!0611837639100</t>
  </si>
  <si>
    <t>PETUNI CELEBRITY STRWBR ICE</t>
  </si>
  <si>
    <t>001!0611837640100</t>
  </si>
  <si>
    <t>PETUNI CELEBRITY WATERCOLOR MX</t>
  </si>
  <si>
    <t>001!0611837641100</t>
  </si>
  <si>
    <t>PETUNI CELEBRITY WHITE</t>
  </si>
  <si>
    <t>001!0611837642100</t>
  </si>
  <si>
    <t>PETUNI CELEBRITY YELLOW</t>
  </si>
  <si>
    <t>001!0611837643100</t>
  </si>
  <si>
    <t>PETUNI CMPCT SUGAR PLUM</t>
  </si>
  <si>
    <t>001!0611837644100</t>
  </si>
  <si>
    <t>PETUNI COMBO BLUE</t>
  </si>
  <si>
    <t>001!0611837651100</t>
  </si>
  <si>
    <t>PETUNI CONSTELLATION ARIES</t>
  </si>
  <si>
    <t>001!0611837652100</t>
  </si>
  <si>
    <t>001!0611863459050</t>
  </si>
  <si>
    <t>PETUNI CONSTELLATION GEMINI</t>
  </si>
  <si>
    <t>001!0611837653100</t>
  </si>
  <si>
    <t>001!0611863460050</t>
  </si>
  <si>
    <t>PETUNI CONSTELLATION MGNT COMT</t>
  </si>
  <si>
    <t>001!0611837654100</t>
  </si>
  <si>
    <t>PETUNI CONSTELLATION PYXIS</t>
  </si>
  <si>
    <t>001!0611837655100</t>
  </si>
  <si>
    <t>001!0611863461050</t>
  </si>
  <si>
    <t>PETUNI CONSTELLATION RED SKY</t>
  </si>
  <si>
    <t>001!0611857064100</t>
  </si>
  <si>
    <t>PETUNI CONSTELLATION SUPERNOVA</t>
  </si>
  <si>
    <t>001!0611837656100</t>
  </si>
  <si>
    <t>PETUNI CONSTELLATION VIRGO</t>
  </si>
  <si>
    <t>001!0611837657100</t>
  </si>
  <si>
    <t>001!0611863462050</t>
  </si>
  <si>
    <t>PETUNI CRAZYTUNIA AMARENA CRM</t>
  </si>
  <si>
    <t>001!0611837658100</t>
  </si>
  <si>
    <t>001!0611863463050</t>
  </si>
  <si>
    <t>PETUNI CRAZYTUNIA ASTERISK</t>
  </si>
  <si>
    <t>001!0611884371100</t>
  </si>
  <si>
    <t>PETUNI CRAZYTUNIA BERRY FRAPPE</t>
  </si>
  <si>
    <t>001!0611837659100</t>
  </si>
  <si>
    <t>001!0611863464050</t>
  </si>
  <si>
    <t>PETUNI CRAZYTUNIA BITTER LEMON</t>
  </si>
  <si>
    <t>001!0611837660100</t>
  </si>
  <si>
    <t>PETUNI CRAZYTUNIA BKBRY CHSCK</t>
  </si>
  <si>
    <t>001!0611837661100</t>
  </si>
  <si>
    <t>PETUNI CRAZYTUNIA BKBRY JAM</t>
  </si>
  <si>
    <t>001!0611837662100</t>
  </si>
  <si>
    <t>PETUNI CRAZYTUNIA BKBRY MOJITO</t>
  </si>
  <si>
    <t>001!0611837663100</t>
  </si>
  <si>
    <t>PETUNI CRAZYTUNIA BLACK MAMBA</t>
  </si>
  <si>
    <t>001!0611837664100</t>
  </si>
  <si>
    <t>001!0611863465050</t>
  </si>
  <si>
    <t>PETUNI CRAZYTUNIA BLACK/WHITE</t>
  </si>
  <si>
    <t>001!0611837665100</t>
  </si>
  <si>
    <t>001!0611863466050</t>
  </si>
  <si>
    <t>PETUNI CRAZYTUNIA BLACKBRY JAM</t>
  </si>
  <si>
    <t>001!0611863467050</t>
  </si>
  <si>
    <t>PETUNI CRAZYTUNIA BLACKBRY MOJ</t>
  </si>
  <si>
    <t>001!0611863468050</t>
  </si>
  <si>
    <t>PETUNI CRAZYTUNIA BLKBRY CHSCK</t>
  </si>
  <si>
    <t>001!0611863469050</t>
  </si>
  <si>
    <t>PETUNI CRAZYTUNIA BLUE ICE</t>
  </si>
  <si>
    <t>001!0611837666100</t>
  </si>
  <si>
    <t>001!0611863470050</t>
  </si>
  <si>
    <t>PETUNI CRAZYTUNIA BLUE PICOTEE</t>
  </si>
  <si>
    <t>001!0611837668100</t>
  </si>
  <si>
    <t>001!0611863471050</t>
  </si>
  <si>
    <t>PETUNI CRAZYTUNIA CARDINAL BL</t>
  </si>
  <si>
    <t>001!0611837670100</t>
  </si>
  <si>
    <t>PETUNI CRAZYTUNIA CHERRY CHSCK</t>
  </si>
  <si>
    <t>001!0611863472050</t>
  </si>
  <si>
    <t>PETUNI CRAZYTUNIA CHRRY JUBLEE</t>
  </si>
  <si>
    <t>001!0611837671100</t>
  </si>
  <si>
    <t>001!0611863473050</t>
  </si>
  <si>
    <t>PETUNI CRAZYTUNIA COSMIC PINK</t>
  </si>
  <si>
    <t>001!0611837673100</t>
  </si>
  <si>
    <t>001!0611863474050</t>
  </si>
  <si>
    <t>PETUNI CRAZYTUNIA COSMIC PURP</t>
  </si>
  <si>
    <t>001!0611837674100</t>
  </si>
  <si>
    <t>001!0611863475050</t>
  </si>
  <si>
    <t>PETUNI CRAZYTUNIA COSMIC VLT</t>
  </si>
  <si>
    <t>001!0611884372100</t>
  </si>
  <si>
    <t>PETUNI CRAZYTUNIA FIRECRACKER</t>
  </si>
  <si>
    <t>001!0611837675100</t>
  </si>
  <si>
    <t>PETUNI CRAZYTUNIA FRENCH KISS</t>
  </si>
  <si>
    <t>001!0611837676100</t>
  </si>
  <si>
    <t>PETUNI CRAZYTUNIA FRISKY ORG</t>
  </si>
  <si>
    <t>001!0611837677100</t>
  </si>
  <si>
    <t>PETUNI CRAZYTUNIA FRISKY PPL</t>
  </si>
  <si>
    <t>001!0611837678100</t>
  </si>
  <si>
    <t>PETUNI CRAZYTUNIA FRISKY RED</t>
  </si>
  <si>
    <t>001!0611837679100</t>
  </si>
  <si>
    <t>001!0611863476050</t>
  </si>
  <si>
    <t>PETUNI CRAZYTUNIA FRISKY VLT</t>
  </si>
  <si>
    <t>001!0611837680100</t>
  </si>
  <si>
    <t>001!0611863477050</t>
  </si>
  <si>
    <t>PETUNI CRAZYTUNIA GINGERSNAP</t>
  </si>
  <si>
    <t>001!0611884373100</t>
  </si>
  <si>
    <t>PETUNI CRAZYTUNIA GLDN PRP EY</t>
  </si>
  <si>
    <t>001!0611857065100</t>
  </si>
  <si>
    <t>PETUNI CRAZYTUNIA GLDN ROSE EY</t>
  </si>
  <si>
    <t>001!0611857066100</t>
  </si>
  <si>
    <t>PETUNI CRAZYTUNIA ICED BERRY</t>
  </si>
  <si>
    <t>001!0611837682100</t>
  </si>
  <si>
    <t>001!0611863478050</t>
  </si>
  <si>
    <t>PETUNI CRAZYTUNIA KERMIT PPL</t>
  </si>
  <si>
    <t>001!0611837683100</t>
  </si>
  <si>
    <t>PETUNI CRAZYTUNIA KERMIT ROSE</t>
  </si>
  <si>
    <t>001!0611837684100</t>
  </si>
  <si>
    <t>PETUNI CRAZYTUNIA KNIGHT RIDER</t>
  </si>
  <si>
    <t>001!0611837685100</t>
  </si>
  <si>
    <t>001!0611863479050</t>
  </si>
  <si>
    <t>PETUNI CRAZYTUNIA LEMON BURST</t>
  </si>
  <si>
    <t>001!0611863480050</t>
  </si>
  <si>
    <t>PETUNI CRAZYTUNIA LIGHTHS PINK</t>
  </si>
  <si>
    <t>001!0611857067100</t>
  </si>
  <si>
    <t>001!0611863481050</t>
  </si>
  <si>
    <t>PETUNI CRAZYTUNIA LUCKY LILAC</t>
  </si>
  <si>
    <t>001!0611837687100</t>
  </si>
  <si>
    <t>001!0611863482050</t>
  </si>
  <si>
    <t>PETUNI CRAZYTUNIA MAGENTA STRM</t>
  </si>
  <si>
    <t>001!0611863483050</t>
  </si>
  <si>
    <t>PETUNI CRAZYTUNIA MAGNTERRIFIC</t>
  </si>
  <si>
    <t>001!0611837688100</t>
  </si>
  <si>
    <t>PETUNI CRAZYTUNIA MANDEVILLE</t>
  </si>
  <si>
    <t>001!0611837689100</t>
  </si>
  <si>
    <t>001!0611863484050</t>
  </si>
  <si>
    <t>PETUNI CRAZYTUNIA MGNTA STORM</t>
  </si>
  <si>
    <t>001!0611837691100</t>
  </si>
  <si>
    <t>PETUNI CRAZYTUNIA MHGNY QUEEN</t>
  </si>
  <si>
    <t>001!0611837692100</t>
  </si>
  <si>
    <t>PETUNI CRAZYTUNIA MOONSTRUCK</t>
  </si>
  <si>
    <t>001!0611837693100</t>
  </si>
  <si>
    <t>001!0611863485050</t>
  </si>
  <si>
    <t>PETUNI CRAZYTUNIA NIGHTWATCH</t>
  </si>
  <si>
    <t>001!0611837694100</t>
  </si>
  <si>
    <t>001!0611863486050</t>
  </si>
  <si>
    <t>PETUNI CRAZYTUNIA PASSION PNCH</t>
  </si>
  <si>
    <t>001!0611837695100</t>
  </si>
  <si>
    <t>001!0611863487050</t>
  </si>
  <si>
    <t>PETUNI CRAZYTUNIA PATRICK STAR</t>
  </si>
  <si>
    <t>001!0611863488050</t>
  </si>
  <si>
    <t>PETUNI CRAZYTUNIA PCH BELLINI</t>
  </si>
  <si>
    <t>001!0611837697100</t>
  </si>
  <si>
    <t>001!0611863489050</t>
  </si>
  <si>
    <t>PETUNI CRAZYTUNIA PINK BRIDE</t>
  </si>
  <si>
    <t>001!0611857068100</t>
  </si>
  <si>
    <t>001!0611863490050</t>
  </si>
  <si>
    <t>PETUNI CRAZYTUNIA PINK FRILLS</t>
  </si>
  <si>
    <t>001!0611837698100</t>
  </si>
  <si>
    <t>001!0611863491050</t>
  </si>
  <si>
    <t>PETUNI CRAZYTUNIA PINKADELIC</t>
  </si>
  <si>
    <t>001!0611837699100</t>
  </si>
  <si>
    <t>PETUNI CRAZYTUNIA PINKPLOSION</t>
  </si>
  <si>
    <t>001!0611837700100</t>
  </si>
  <si>
    <t>PETUNI CRAZYTUNIA PK FLAMINGO</t>
  </si>
  <si>
    <t>001!0611837701100</t>
  </si>
  <si>
    <t>001!0611863493050</t>
  </si>
  <si>
    <t>PETUNI CRAZYTUNIA PLUMBELIEVBL</t>
  </si>
  <si>
    <t>001!0611857069100</t>
  </si>
  <si>
    <t>PETUNI CRAZYTUNIA PLUMTASTIC</t>
  </si>
  <si>
    <t>001!0611837702100</t>
  </si>
  <si>
    <t>PETUNI CRAZYTUNIA PULSE</t>
  </si>
  <si>
    <t>001!0611837705100</t>
  </si>
  <si>
    <t>001!0611863495050</t>
  </si>
  <si>
    <t>PETUNI CRAZYTUNIA PURPLE PICO</t>
  </si>
  <si>
    <t>001!0611837703100</t>
  </si>
  <si>
    <t>PETUNI CRAZYTUNIA PURPLE STORM</t>
  </si>
  <si>
    <t>001!0611837706100</t>
  </si>
  <si>
    <t>001!0611863497050</t>
  </si>
  <si>
    <t>PETUNI CRAZYTUNIA RASP LMNADE</t>
  </si>
  <si>
    <t>001!0611837707100</t>
  </si>
  <si>
    <t>PETUNI CRAZYTUNIA RAZZMATAZZ</t>
  </si>
  <si>
    <t>001!0611837708100</t>
  </si>
  <si>
    <t>001!0611863498050</t>
  </si>
  <si>
    <t>PETUNI CRAZYTUNIA RED BLUES</t>
  </si>
  <si>
    <t>001!0611837709100</t>
  </si>
  <si>
    <t>001!0611863499050</t>
  </si>
  <si>
    <t>PETUNI CRAZYTUNIA ROSE GOLD</t>
  </si>
  <si>
    <t>001!0611837710100</t>
  </si>
  <si>
    <t>PETUNI CRAZYTUNIA SERIES</t>
  </si>
  <si>
    <t>001!0611837711100</t>
  </si>
  <si>
    <t>PETUNI CRAZYTUNIA SPIDER GIRL</t>
  </si>
  <si>
    <t>001!0611837712100</t>
  </si>
  <si>
    <t>PETUNI CRAZYTUNIA STAR FRUIT</t>
  </si>
  <si>
    <t>001!0611837713100</t>
  </si>
  <si>
    <t>001!0611863500050</t>
  </si>
  <si>
    <t>PETUNI CRAZYTUNIA STAR JUBILEE</t>
  </si>
  <si>
    <t>001!0611837714100</t>
  </si>
  <si>
    <t>PETUNI CRAZYTUNIA SUGAR BEET</t>
  </si>
  <si>
    <t>001!0611837716100</t>
  </si>
  <si>
    <t>PETUNI CRAZYTUNIA TERRACOTTA</t>
  </si>
  <si>
    <t>001!0611837717100</t>
  </si>
  <si>
    <t>001!0611863501050</t>
  </si>
  <si>
    <t>PETUNI CRAZYTUNIA TIKI TORCH</t>
  </si>
  <si>
    <t>001!0611837718100</t>
  </si>
  <si>
    <t>001!0611863502050</t>
  </si>
  <si>
    <t>PETUNI CRAZYTUNIA ULT CRDNL BL</t>
  </si>
  <si>
    <t>001!0611863503050</t>
  </si>
  <si>
    <t>PETUNI CRAZYTUNIA ULTRA VIOLET</t>
  </si>
  <si>
    <t>001!0611837722100</t>
  </si>
  <si>
    <t>PETUNI DADDY BLUE</t>
  </si>
  <si>
    <t>001!0611837724100</t>
  </si>
  <si>
    <t>PETUNI DADDY MIX</t>
  </si>
  <si>
    <t>001!0611837725100</t>
  </si>
  <si>
    <t>PETUNI DADDY ORCHID</t>
  </si>
  <si>
    <t>001!0611837726100</t>
  </si>
  <si>
    <t>PETUNI DADDY PEPPERMINT</t>
  </si>
  <si>
    <t>001!0611837727100</t>
  </si>
  <si>
    <t>PETUNI DADDY PINK</t>
  </si>
  <si>
    <t>001!0611837728100</t>
  </si>
  <si>
    <t>PETUNI DADDY STRAWBERRY</t>
  </si>
  <si>
    <t>001!0611837729100</t>
  </si>
  <si>
    <t>PETUNI DADDY SUGAR</t>
  </si>
  <si>
    <t>001!0611837730100</t>
  </si>
  <si>
    <t>PETUNI DADDY SUGAR CLASSIC</t>
  </si>
  <si>
    <t>001!0611837731100</t>
  </si>
  <si>
    <t>PETUNI DAMASK ROSE</t>
  </si>
  <si>
    <t>001!0611837732100</t>
  </si>
  <si>
    <t>PETUNI DAMASK SERIES</t>
  </si>
  <si>
    <t>001!0611837733100</t>
  </si>
  <si>
    <t>PETUNI DEBONAIR BLACK CHERRY</t>
  </si>
  <si>
    <t>001!0611837734100</t>
  </si>
  <si>
    <t>PETUNI DEBONAIR DUSTY ROSE</t>
  </si>
  <si>
    <t>001!0611837735100</t>
  </si>
  <si>
    <t>PETUNI DEBONAIR LIME GREEN</t>
  </si>
  <si>
    <t>001!0611837736100</t>
  </si>
  <si>
    <t>PETUNI DEKKO BANANA</t>
  </si>
  <si>
    <t>001!0611863504050</t>
  </si>
  <si>
    <t>PETUNI DEKKO BLUE</t>
  </si>
  <si>
    <t>001!0611863505050</t>
  </si>
  <si>
    <t>PETUNI DEKKO DEEP LAVENDER VN</t>
  </si>
  <si>
    <t>001!0611863507050</t>
  </si>
  <si>
    <t>PETUNI DEKKO LAVENDER EYE</t>
  </si>
  <si>
    <t>001!0611863508050</t>
  </si>
  <si>
    <t>PETUNI DEKKO PURPLE</t>
  </si>
  <si>
    <t>001!0611863509050</t>
  </si>
  <si>
    <t>PETUNI DEKKO RED</t>
  </si>
  <si>
    <t>001!0611863510050</t>
  </si>
  <si>
    <t>PETUNI DEKKO SALMON</t>
  </si>
  <si>
    <t>001!0611863511050</t>
  </si>
  <si>
    <t>PETUNI DEKKO SKY BLUE</t>
  </si>
  <si>
    <t>001!0611863512050</t>
  </si>
  <si>
    <t>PETUNI DEKKO SORBET</t>
  </si>
  <si>
    <t>001!0611863513050</t>
  </si>
  <si>
    <t>PETUNI DEKKO STAR CORAL</t>
  </si>
  <si>
    <t>001!0611863514050</t>
  </si>
  <si>
    <t>PETUNI DEKKO STAR ROSE</t>
  </si>
  <si>
    <t>001!0611863515050</t>
  </si>
  <si>
    <t>PETUNI DEKKO WHITE</t>
  </si>
  <si>
    <t>001!0611863516050</t>
  </si>
  <si>
    <t>PETUNI DESIGNER SERIES</t>
  </si>
  <si>
    <t>001!0611884374100</t>
  </si>
  <si>
    <t>PETUNI DISCOBALL SERIES</t>
  </si>
  <si>
    <t>001!0611884375100</t>
  </si>
  <si>
    <t>PETUNI DOUBLE BL/PPL GENERIC</t>
  </si>
  <si>
    <t>001!0611837741100</t>
  </si>
  <si>
    <t>PETUNI DOUBLE MIX GENERIC</t>
  </si>
  <si>
    <t>001!0611837742100</t>
  </si>
  <si>
    <t>PETUNI DOUBLE PINK/RS GENERIC</t>
  </si>
  <si>
    <t>001!0611837743100</t>
  </si>
  <si>
    <t>PETUNI DOUBLE RED GENERIC</t>
  </si>
  <si>
    <t>001!0611837744100</t>
  </si>
  <si>
    <t>PETUNI DOUBLE RED/WH GENERIC</t>
  </si>
  <si>
    <t>001!0611837745100</t>
  </si>
  <si>
    <t>PETUNI DOUBLE STUFF SERIES</t>
  </si>
  <si>
    <t>001!0611884376100</t>
  </si>
  <si>
    <t>PETUNI DREAMS APPLEBLOSSOM</t>
  </si>
  <si>
    <t>001!0611837747100</t>
  </si>
  <si>
    <t>PETUNI DREAMS BURGUNDY</t>
  </si>
  <si>
    <t>001!0611837748100</t>
  </si>
  <si>
    <t>PETUNI DREAMS BURGUNDY PICOTEE</t>
  </si>
  <si>
    <t>001!0611837749100</t>
  </si>
  <si>
    <t>PETUNI DREAMS CORAL MORN</t>
  </si>
  <si>
    <t>001!0611837750100</t>
  </si>
  <si>
    <t>PETUNI DREAMS MIDNIGHT</t>
  </si>
  <si>
    <t>001!0611837752100</t>
  </si>
  <si>
    <t>PETUNI DREAMS MIX</t>
  </si>
  <si>
    <t>001!0611837753100</t>
  </si>
  <si>
    <t>PETUNI DREAMS NEON ROSE</t>
  </si>
  <si>
    <t>001!0611837754100</t>
  </si>
  <si>
    <t>PETUNI DREAMS PATRIOT MIX</t>
  </si>
  <si>
    <t>001!0611837755100</t>
  </si>
  <si>
    <t>PETUNI DREAMS PINK</t>
  </si>
  <si>
    <t>001!0611837756100</t>
  </si>
  <si>
    <t>PETUNI DREAMS RED</t>
  </si>
  <si>
    <t>001!0611837757100</t>
  </si>
  <si>
    <t>PETUNI DREAMS RED PICOTEE</t>
  </si>
  <si>
    <t>001!0611837758100</t>
  </si>
  <si>
    <t>PETUNI DREAMS ROSE</t>
  </si>
  <si>
    <t>001!0611837759100</t>
  </si>
  <si>
    <t>PETUNI DREAMS ROSE MORN</t>
  </si>
  <si>
    <t>001!0611837760100</t>
  </si>
  <si>
    <t>PETUNI DREAMS ROSE PICOTEE</t>
  </si>
  <si>
    <t>001!0611837761100</t>
  </si>
  <si>
    <t>PETUNI DREAMS SALMON</t>
  </si>
  <si>
    <t>001!0611837762100</t>
  </si>
  <si>
    <t>PETUNI DREAMS SERIES</t>
  </si>
  <si>
    <t>001!0611837763100</t>
  </si>
  <si>
    <t>PETUNI DREAMS SKY BLUE</t>
  </si>
  <si>
    <t>001!0611837764100</t>
  </si>
  <si>
    <t>PETUNI DREAMS WATERFALL MIX</t>
  </si>
  <si>
    <t>001!0611837765100</t>
  </si>
  <si>
    <t>PETUNI DREAMS WHITE</t>
  </si>
  <si>
    <t>001!0611837766100</t>
  </si>
  <si>
    <t>PETUNI DREAMS WILD ROSE MIX</t>
  </si>
  <si>
    <t>001!0611837767100</t>
  </si>
  <si>
    <t>PETUNI DURABLOOM BLUE VEIN</t>
  </si>
  <si>
    <t>001!0611863522050</t>
  </si>
  <si>
    <t>PETUNI DURABLOOM ELEC LILAC</t>
  </si>
  <si>
    <t>001!0611863523050</t>
  </si>
  <si>
    <t>PETUNI DURABLOOM HOT PINK</t>
  </si>
  <si>
    <t>001!0611863524050</t>
  </si>
  <si>
    <t>PETUNI DURABLOOM PURPLE</t>
  </si>
  <si>
    <t>001!0611863525050</t>
  </si>
  <si>
    <t>PETUNI DURABLOOM RED</t>
  </si>
  <si>
    <t>001!0611863526050</t>
  </si>
  <si>
    <t>PETUNI DURABLOOM ROYAL PINK</t>
  </si>
  <si>
    <t>001!0611863527050</t>
  </si>
  <si>
    <t>PETUNI DURABLOOM SILVER</t>
  </si>
  <si>
    <t>001!0611863528050</t>
  </si>
  <si>
    <t>PETUNI DURABLOOM SOFT PINK</t>
  </si>
  <si>
    <t>001!0611863529050</t>
  </si>
  <si>
    <t>PETUNI DURABLOOM WATERMELON</t>
  </si>
  <si>
    <t>001!0611863530050</t>
  </si>
  <si>
    <t>PETUNI DURABLOOM WHITE</t>
  </si>
  <si>
    <t>001!0611863531050</t>
  </si>
  <si>
    <t>PETUNI DURABLOOM YELLOW</t>
  </si>
  <si>
    <t>001!0611863532050</t>
  </si>
  <si>
    <t>PETUNI DUVET BLUE</t>
  </si>
  <si>
    <t>001!0611837768100</t>
  </si>
  <si>
    <t>PETUNI DUVET BURGUNDY</t>
  </si>
  <si>
    <t>001!0611837769100</t>
  </si>
  <si>
    <t>PETUNI DUVET MIX</t>
  </si>
  <si>
    <t>001!0611837770100</t>
  </si>
  <si>
    <t>PETUNI DUVET PINK</t>
  </si>
  <si>
    <t>001!0611837771100</t>
  </si>
  <si>
    <t>PETUNI DUVET RED</t>
  </si>
  <si>
    <t>001!0611837772100</t>
  </si>
  <si>
    <t>PETUNI DUVET SALMON</t>
  </si>
  <si>
    <t>001!0611837773100</t>
  </si>
  <si>
    <t>PETUNI DUVET WHITE</t>
  </si>
  <si>
    <t>001!0611837774100</t>
  </si>
  <si>
    <t>PETUNI E3 EASY WAVE SWT TFY MX</t>
  </si>
  <si>
    <t>001!0611884377100</t>
  </si>
  <si>
    <t>PETUNI E3 EASY WAVE YELLOW</t>
  </si>
  <si>
    <t>001!0611884378100</t>
  </si>
  <si>
    <t>PETUNI ESPRESSO FRAPPE SERIES</t>
  </si>
  <si>
    <t>001!0611837775100</t>
  </si>
  <si>
    <t>PETUNI EVENING SCENTSATION</t>
  </si>
  <si>
    <t>001!0611837778100</t>
  </si>
  <si>
    <t>PETUNI EZ RIDER BLUE</t>
  </si>
  <si>
    <t>001!0611837779100</t>
  </si>
  <si>
    <t>PETUNI EZ RIDER DEEP PINK</t>
  </si>
  <si>
    <t>001!0611837780100</t>
  </si>
  <si>
    <t>PETUNI EZ RIDER DEEP SALMON</t>
  </si>
  <si>
    <t>001!0611837781100</t>
  </si>
  <si>
    <t>PETUNI EZ RIDER MIX</t>
  </si>
  <si>
    <t>001!0611837782100</t>
  </si>
  <si>
    <t>PETUNI EZ RIDER RED</t>
  </si>
  <si>
    <t>001!0611837783100</t>
  </si>
  <si>
    <t>PETUNI EZ RIDER ROSE</t>
  </si>
  <si>
    <t>001!0611837784100</t>
  </si>
  <si>
    <t>PETUNI EZ RIDER VIOLET</t>
  </si>
  <si>
    <t>001!0611884379100</t>
  </si>
  <si>
    <t>PETUNI EZ RIDER WHITE</t>
  </si>
  <si>
    <t>001!0611837785100</t>
  </si>
  <si>
    <t>PETUNI FLASHFORWARD BLUE</t>
  </si>
  <si>
    <t>001!0611837786100</t>
  </si>
  <si>
    <t>PETUNI FLASHFORWARD BURGUNDY</t>
  </si>
  <si>
    <t>001!0611837787100</t>
  </si>
  <si>
    <t>PETUNI FLASHFORWARD CL WTRS MX</t>
  </si>
  <si>
    <t>001!0611837788100</t>
  </si>
  <si>
    <t>PETUNI FLASHFORWARD CORAL</t>
  </si>
  <si>
    <t>001!0611837789100</t>
  </si>
  <si>
    <t>PETUNI FLASHFORWARD LAVENDER</t>
  </si>
  <si>
    <t>001!0611837790100</t>
  </si>
  <si>
    <t>PETUNI FLASHFORWARD MIX</t>
  </si>
  <si>
    <t>001!0611837791100</t>
  </si>
  <si>
    <t>PETUNI FLASHFORWARD PATRIOT MX</t>
  </si>
  <si>
    <t>001!0611837792100</t>
  </si>
  <si>
    <t>PETUNI FLASHFORWARD PINK</t>
  </si>
  <si>
    <t>001!0611837793100</t>
  </si>
  <si>
    <t>PETUNI FLASHFORWARD PINK GLO</t>
  </si>
  <si>
    <t>001!0611837794100</t>
  </si>
  <si>
    <t>PETUNI FLASHFORWARD PURPLE</t>
  </si>
  <si>
    <t>001!0611837795100</t>
  </si>
  <si>
    <t>PETUNI FLASHFORWARD RED</t>
  </si>
  <si>
    <t>001!0611837796100</t>
  </si>
  <si>
    <t>PETUNI FLASHFORWARD SALMON</t>
  </si>
  <si>
    <t>001!0611837797100</t>
  </si>
  <si>
    <t>PETUNI FLASHFORWARD SKY BLUE</t>
  </si>
  <si>
    <t>001!0611837798100</t>
  </si>
  <si>
    <t>PETUNI FLASHFORWARD WHITE</t>
  </si>
  <si>
    <t>001!0611837799100</t>
  </si>
  <si>
    <t>PETUNI FLOWER SHOWER FLAME</t>
  </si>
  <si>
    <t>001!0611863533050</t>
  </si>
  <si>
    <t>PETUNI FLOWER SHOWER MYN SUNST</t>
  </si>
  <si>
    <t>001!0611863534050</t>
  </si>
  <si>
    <t>PETUNI FLOWER SHOWER PTRCK STR</t>
  </si>
  <si>
    <t>001!0611863535050</t>
  </si>
  <si>
    <t>PETUNI FLOWER SHOWER SERIES</t>
  </si>
  <si>
    <t>001!0611857070100</t>
  </si>
  <si>
    <t>PETUNI FLOWER SHOWER WHITE</t>
  </si>
  <si>
    <t>001!0611863536050</t>
  </si>
  <si>
    <t>PETUNI FLOWER SHOWER ZIGGY STR</t>
  </si>
  <si>
    <t>001!0611863537050</t>
  </si>
  <si>
    <t>PETUNI FORTUNIA BLACKBERRY GEM</t>
  </si>
  <si>
    <t>001!0611863538050</t>
  </si>
  <si>
    <t>PETUNI FORTUNIA CORAL GEM</t>
  </si>
  <si>
    <t>001!0611863539050</t>
  </si>
  <si>
    <t>PETUNI FORTUNIA EARLY BLUE</t>
  </si>
  <si>
    <t>001!0611863540050</t>
  </si>
  <si>
    <t>PETUNI FORTUNIA EARLY DK PURP</t>
  </si>
  <si>
    <t>001!0611863541050</t>
  </si>
  <si>
    <t>PETUNI FORTUNIA EARLY PINK GEM</t>
  </si>
  <si>
    <t>001!0611863542050</t>
  </si>
  <si>
    <t>PETUNI FORTUNIA EARLY PK LEMND</t>
  </si>
  <si>
    <t>001!0611863543050</t>
  </si>
  <si>
    <t>PETUNI FORTUNIA EARLY RED</t>
  </si>
  <si>
    <t>001!0611863544050</t>
  </si>
  <si>
    <t>PETUNI FORTUNIA EARLY WHITE</t>
  </si>
  <si>
    <t>001!0611863545050</t>
  </si>
  <si>
    <t>PETUNI FORTUNIA EARLY YELLOW</t>
  </si>
  <si>
    <t>001!0611863546050</t>
  </si>
  <si>
    <t>PETUNI FORTUNIA PURPLE GEM</t>
  </si>
  <si>
    <t>001!0611863547050</t>
  </si>
  <si>
    <t>PETUNI FOTOFINISH BLUE</t>
  </si>
  <si>
    <t>001!0611837800100</t>
  </si>
  <si>
    <t>PETUNI FOTOFINISH BURGUNDY</t>
  </si>
  <si>
    <t>001!0611837801100</t>
  </si>
  <si>
    <t>PETUNI FOTOFINISH MIX</t>
  </si>
  <si>
    <t>001!0611837802100</t>
  </si>
  <si>
    <t>PETUNI FOTOFINISH PATRIOT MIX</t>
  </si>
  <si>
    <t>001!0611837803100</t>
  </si>
  <si>
    <t>PETUNI FOTOFINISH PINK</t>
  </si>
  <si>
    <t>001!0611837804100</t>
  </si>
  <si>
    <t>PETUNI FOTOFINISH RED</t>
  </si>
  <si>
    <t>001!0611837805100</t>
  </si>
  <si>
    <t>PETUNI FOTOFINISH ROSE MORN</t>
  </si>
  <si>
    <t>001!0611837806100</t>
  </si>
  <si>
    <t>PETUNI FOTOFINISH ROSE STAR</t>
  </si>
  <si>
    <t>001!0611837807100</t>
  </si>
  <si>
    <t>PETUNI FOTOFINISH SALMON</t>
  </si>
  <si>
    <t>001!0611837808100</t>
  </si>
  <si>
    <t>PETUNI FOTOFINISH WHITE</t>
  </si>
  <si>
    <t>001!0611837809100</t>
  </si>
  <si>
    <t>PETUNI FROST BLUE</t>
  </si>
  <si>
    <t>001!0611837810100</t>
  </si>
  <si>
    <t>PETUNI FROST CHERRY</t>
  </si>
  <si>
    <t>001!0611837811100</t>
  </si>
  <si>
    <t>PETUNI FROST FIRE</t>
  </si>
  <si>
    <t>001!0611837812100</t>
  </si>
  <si>
    <t>PETUNI FROST MIX</t>
  </si>
  <si>
    <t>001!0611837813100</t>
  </si>
  <si>
    <t>PETUNI FROST VELVET</t>
  </si>
  <si>
    <t>001!0611837814100</t>
  </si>
  <si>
    <t>PETUNI FUN HOUSE AMET SUNSHINE</t>
  </si>
  <si>
    <t>001!0611863548050</t>
  </si>
  <si>
    <t>PETUNI FUN HOUSE PAPAYA</t>
  </si>
  <si>
    <t>001!0611863549050</t>
  </si>
  <si>
    <t>PETUNI FUN HOUSE PEACH MELBA</t>
  </si>
  <si>
    <t>001!0611863550050</t>
  </si>
  <si>
    <t>PETUNI FUN HOUSE POTPOURRI</t>
  </si>
  <si>
    <t>001!0611863551050</t>
  </si>
  <si>
    <t>PETUNI GLAMOUFLAGE SERIES</t>
  </si>
  <si>
    <t>001!0611884380100</t>
  </si>
  <si>
    <t>PETUNI GLORIOUS MIX</t>
  </si>
  <si>
    <t>001!0611837815100</t>
  </si>
  <si>
    <t>PETUNI GNRC BLNGL DSIGN</t>
  </si>
  <si>
    <t>001!0611837817100</t>
  </si>
  <si>
    <t>PETUNI GOOD N PLENTY SERIES</t>
  </si>
  <si>
    <t>001!0611837818100</t>
  </si>
  <si>
    <t>PETUNI HANG OUT SERIES</t>
  </si>
  <si>
    <t>001!0611884381100</t>
  </si>
  <si>
    <t>PETUNI HEAT ELITE BLUE</t>
  </si>
  <si>
    <t>001!0611837822100</t>
  </si>
  <si>
    <t>PETUNI HEAT ELITE MAMBO MIX</t>
  </si>
  <si>
    <t>001!0611837823100</t>
  </si>
  <si>
    <t>PETUNI HEAT ELITE MAMBO RED</t>
  </si>
  <si>
    <t>001!0611837824100</t>
  </si>
  <si>
    <t>PETUNI HEAT ELITE MAMBO ROSE</t>
  </si>
  <si>
    <t>001!0611837825100</t>
  </si>
  <si>
    <t>PETUNI HEAT ELITE MAMBO SWT PK</t>
  </si>
  <si>
    <t>001!0611837827100</t>
  </si>
  <si>
    <t>PETUNI HEAT ELITE MAMBO VIOLET</t>
  </si>
  <si>
    <t>001!0611837828100</t>
  </si>
  <si>
    <t>PETUNI HEAT ELITE WHITE</t>
  </si>
  <si>
    <t>001!0611837830100</t>
  </si>
  <si>
    <t>PETUNI HELLS FLAMIN ROSE</t>
  </si>
  <si>
    <t>001!0611837831100</t>
  </si>
  <si>
    <t>001!0611863552050</t>
  </si>
  <si>
    <t>PETUNI HELLS FUSION</t>
  </si>
  <si>
    <t>001!0611863553050</t>
  </si>
  <si>
    <t>PETUNI HELLS GLOW</t>
  </si>
  <si>
    <t>001!0611863554050</t>
  </si>
  <si>
    <t>PETUNI HELLS SERIES</t>
  </si>
  <si>
    <t>001!0611857071100</t>
  </si>
  <si>
    <t>PETUNI HOT PINK JAZZ TRAILING</t>
  </si>
  <si>
    <t>001!0611863555050</t>
  </si>
  <si>
    <t>PETUNI HULAHOOP BLUE</t>
  </si>
  <si>
    <t>001!0611837832100</t>
  </si>
  <si>
    <t>PETUNI HULAHOOP BURGUNDY</t>
  </si>
  <si>
    <t>001!0611837833100</t>
  </si>
  <si>
    <t>PETUNI HULAHOOP MIX</t>
  </si>
  <si>
    <t>001!0611837834100</t>
  </si>
  <si>
    <t>PETUNI HULAHOOP RED</t>
  </si>
  <si>
    <t>001!0611837835100</t>
  </si>
  <si>
    <t>PETUNI HULAHOOP ROSE</t>
  </si>
  <si>
    <t>001!0611837836100</t>
  </si>
  <si>
    <t>PETUNI HULAHOOP VELVET</t>
  </si>
  <si>
    <t>001!0611837837100</t>
  </si>
  <si>
    <t>PETUNI HURRAH BLBRRY MUFFIN MX</t>
  </si>
  <si>
    <t>001!0611837838100</t>
  </si>
  <si>
    <t>PETUNI HURRAH BLUE</t>
  </si>
  <si>
    <t>001!0611837839100</t>
  </si>
  <si>
    <t>PETUNI HURRAH BLUE VEINED</t>
  </si>
  <si>
    <t>001!0611837840100</t>
  </si>
  <si>
    <t>PETUNI HURRAH LAVENDER TIE DYE</t>
  </si>
  <si>
    <t>001!0611837841100</t>
  </si>
  <si>
    <t>PETUNI HURRAH MIX</t>
  </si>
  <si>
    <t>001!0611837842100</t>
  </si>
  <si>
    <t>PETUNI HURRAH MXED BRRY TRT MX</t>
  </si>
  <si>
    <t>001!0611837843100</t>
  </si>
  <si>
    <t>PETUNI HURRAH PINK</t>
  </si>
  <si>
    <t>001!0611837844100</t>
  </si>
  <si>
    <t>PETUNI HURRAH PLUM</t>
  </si>
  <si>
    <t>001!0611837845100</t>
  </si>
  <si>
    <t>PETUNI HURRAH RED</t>
  </si>
  <si>
    <t>001!0611837847100</t>
  </si>
  <si>
    <t>PETUNI HURRAH RED STAR</t>
  </si>
  <si>
    <t>001!0611837848100</t>
  </si>
  <si>
    <t>PETUNI HURRAH ROSE</t>
  </si>
  <si>
    <t>001!0611837849100</t>
  </si>
  <si>
    <t>PETUNI HURRAH ROSE STAR</t>
  </si>
  <si>
    <t>001!0611837850100</t>
  </si>
  <si>
    <t>PETUNI HURRAH VELVET</t>
  </si>
  <si>
    <t>001!0611837853100</t>
  </si>
  <si>
    <t>PETUNI HURRAH WHITE</t>
  </si>
  <si>
    <t>001!0611837854100</t>
  </si>
  <si>
    <t>PETUNI ITSY MAGENTA</t>
  </si>
  <si>
    <t>001!0611863556050</t>
  </si>
  <si>
    <t>PETUNI ITSY PINK</t>
  </si>
  <si>
    <t>001!0611884382050</t>
  </si>
  <si>
    <t>PETUNI ITSY WHITE</t>
  </si>
  <si>
    <t>001!0611863557050</t>
  </si>
  <si>
    <t>PETUNI LAURA BUSH</t>
  </si>
  <si>
    <t>001!0611837856100</t>
  </si>
  <si>
    <t>PETUNI LIMBO BLUE GP</t>
  </si>
  <si>
    <t>001!0611837858100</t>
  </si>
  <si>
    <t>PETUNI LIMBO BLUE VEINED GP</t>
  </si>
  <si>
    <t>001!0611837859100</t>
  </si>
  <si>
    <t>PETUNI LIMBO BURGUNDY GP</t>
  </si>
  <si>
    <t>001!0611837860100</t>
  </si>
  <si>
    <t>PETUNI LIMBO DEEP PURPLE GP</t>
  </si>
  <si>
    <t>001!0611837861100</t>
  </si>
  <si>
    <t>PETUNI LIMBO MIX GP</t>
  </si>
  <si>
    <t>001!0611837862100</t>
  </si>
  <si>
    <t>PETUNI LIMBO ORCHID VEINED GP</t>
  </si>
  <si>
    <t>001!0611837863100</t>
  </si>
  <si>
    <t>PETUNI LIMBO PICOTEE MIX GP</t>
  </si>
  <si>
    <t>001!0611837864100</t>
  </si>
  <si>
    <t>PETUNI LIMBO PINK GP</t>
  </si>
  <si>
    <t>001!0611837865100</t>
  </si>
  <si>
    <t>PETUNI LIMBO PLUM GP</t>
  </si>
  <si>
    <t>001!0611837866100</t>
  </si>
  <si>
    <t>PETUNI LIMBO RED GP</t>
  </si>
  <si>
    <t>001!0611837867100</t>
  </si>
  <si>
    <t>PETUNI LIMBO RED VEINED GP</t>
  </si>
  <si>
    <t>001!0611837868100</t>
  </si>
  <si>
    <t>PETUNI LIMBO ROSE GP</t>
  </si>
  <si>
    <t>001!0611837869100</t>
  </si>
  <si>
    <t>PETUNI LIMBO ROSE MORN GP</t>
  </si>
  <si>
    <t>001!0611837870100</t>
  </si>
  <si>
    <t>PETUNI LIMBO ROSE PICOTEE GP</t>
  </si>
  <si>
    <t>001!0611837871100</t>
  </si>
  <si>
    <t>PETUNI LIMBO SALMON GP</t>
  </si>
  <si>
    <t>001!0611837872100</t>
  </si>
  <si>
    <t>PETUNI LIMBO SKY BLUE GP</t>
  </si>
  <si>
    <t>001!0611837873100</t>
  </si>
  <si>
    <t>PETUNI LIMBO VIOLET GP</t>
  </si>
  <si>
    <t>001!0611837874100</t>
  </si>
  <si>
    <t>PETUNI LIMBO VIOLET PICOTEE GP</t>
  </si>
  <si>
    <t>001!0611837875100</t>
  </si>
  <si>
    <t>PETUNI LIMBO WHITE GP</t>
  </si>
  <si>
    <t>001!0611837876100</t>
  </si>
  <si>
    <t>PETUNI LITTLETUNIA BI ILLUSION</t>
  </si>
  <si>
    <t>001!0611837879100</t>
  </si>
  <si>
    <t>PETUNI LITTLETUNIA BLUE VEIN</t>
  </si>
  <si>
    <t>001!0611837882100</t>
  </si>
  <si>
    <t>PETUNI LITTLETUNIA BRIGHT RED</t>
  </si>
  <si>
    <t>001!0611837883100</t>
  </si>
  <si>
    <t>PETUNI LITTLETUNIA BUTTERCREAM</t>
  </si>
  <si>
    <t>001!0611837884100</t>
  </si>
  <si>
    <t>PETUNI LITTLETUNIA FUCHSIA</t>
  </si>
  <si>
    <t>001!0611837885100</t>
  </si>
  <si>
    <t>PETUNI LITTLETUNIA PINK</t>
  </si>
  <si>
    <t>001!0611837886100</t>
  </si>
  <si>
    <t>PETUNI LITTLETUNIA PINK FRILLS</t>
  </si>
  <si>
    <t>001!0611837887100</t>
  </si>
  <si>
    <t>PETUNI LITTLETUNIA PINK SPLASH</t>
  </si>
  <si>
    <t>001!0611837888100</t>
  </si>
  <si>
    <t>PETUNI LITTLETUNIA PURPLE BLUE</t>
  </si>
  <si>
    <t>001!0611837890100</t>
  </si>
  <si>
    <t>PETUNI LITTLETUNIA ROSE</t>
  </si>
  <si>
    <t>001!0611837891100</t>
  </si>
  <si>
    <t>PETUNI LITTLETUNIA ROSE MINI</t>
  </si>
  <si>
    <t>001!0611863558050</t>
  </si>
  <si>
    <t>PETUNI LITTLETUNIA SHIRAZ</t>
  </si>
  <si>
    <t>001!0611837892100</t>
  </si>
  <si>
    <t>PETUNI LITTLETUNIA SHIRAZ MINI</t>
  </si>
  <si>
    <t>001!0611863559050</t>
  </si>
  <si>
    <t>PETUNI LITTLETUNIA VIOLET</t>
  </si>
  <si>
    <t>001!0611837893100</t>
  </si>
  <si>
    <t>PETUNI LITTLETUNIA WH GRACE MN</t>
  </si>
  <si>
    <t>001!0611863560050</t>
  </si>
  <si>
    <t>PETUNI LITTLETUNIA WHITE GRACE</t>
  </si>
  <si>
    <t>001!0611837894100</t>
  </si>
  <si>
    <t>PETUNI MADNESS BLUE SKY</t>
  </si>
  <si>
    <t>001!0611837895100</t>
  </si>
  <si>
    <t>PETUNI MADNESS BLUE STAR</t>
  </si>
  <si>
    <t>001!0611837896100</t>
  </si>
  <si>
    <t>PETUNI MADNESS BLUE VEIN</t>
  </si>
  <si>
    <t>001!0611837897100</t>
  </si>
  <si>
    <t>PETUNI MADNESS BURGUNDY</t>
  </si>
  <si>
    <t>001!0611837898100</t>
  </si>
  <si>
    <t>PETUNI MADNESS BURGUNDY STAR</t>
  </si>
  <si>
    <t>001!0611837899100</t>
  </si>
  <si>
    <t>PETUNI MADNESS CARMINE</t>
  </si>
  <si>
    <t>001!0611837900100</t>
  </si>
  <si>
    <t>PETUNI MADNESS CLEAR MIX</t>
  </si>
  <si>
    <t>001!0611837901100</t>
  </si>
  <si>
    <t>PETUNI MADNESS DEEP ROSE</t>
  </si>
  <si>
    <t>001!0611837902100</t>
  </si>
  <si>
    <t>PETUNI MADNESS DOUBLE BLUE</t>
  </si>
  <si>
    <t>001!0611837903100</t>
  </si>
  <si>
    <t>PETUNI MADNESS DOUBLE BURGUNDY</t>
  </si>
  <si>
    <t>001!0611837904100</t>
  </si>
  <si>
    <t>PETUNI MADNESS DOUBLE LAVENDER</t>
  </si>
  <si>
    <t>001!0611837905100</t>
  </si>
  <si>
    <t>PETUNI MADNESS DOUBLE MIX</t>
  </si>
  <si>
    <t>001!0611837906100</t>
  </si>
  <si>
    <t>PETUNI MADNESS DOUBLE PINK</t>
  </si>
  <si>
    <t>001!0611837907100</t>
  </si>
  <si>
    <t>PETUNI MADNESS DOUBLE RED</t>
  </si>
  <si>
    <t>001!0611837908100</t>
  </si>
  <si>
    <t>PETUNI MADNESS DOUBLE RED/WH</t>
  </si>
  <si>
    <t>001!0611837909100</t>
  </si>
  <si>
    <t>PETUNI MADNESS DOUBLE ROSE</t>
  </si>
  <si>
    <t>001!0611837910100</t>
  </si>
  <si>
    <t>PETUNI MADNESS DOUBLE RS/WHITE</t>
  </si>
  <si>
    <t>001!0611837911100</t>
  </si>
  <si>
    <t>PETUNI MADNESS DOUBLE SALMON</t>
  </si>
  <si>
    <t>001!0611837912100</t>
  </si>
  <si>
    <t>PETUNI MADNESS DOUBLE SATIN PK</t>
  </si>
  <si>
    <t>001!0611837913100</t>
  </si>
  <si>
    <t>PETUNI MADNESS JUST</t>
  </si>
  <si>
    <t>001!0611837914100</t>
  </si>
  <si>
    <t>PETUNI MADNESS LILAC</t>
  </si>
  <si>
    <t>001!0611837916100</t>
  </si>
  <si>
    <t>PETUNI MADNESS MAGENTA</t>
  </si>
  <si>
    <t>001!0611837917100</t>
  </si>
  <si>
    <t>PETUNI MADNESS MERLOT MIX</t>
  </si>
  <si>
    <t>001!0611837919100</t>
  </si>
  <si>
    <t>PETUNI MADNESS MID BLUE</t>
  </si>
  <si>
    <t>001!0611837920100</t>
  </si>
  <si>
    <t>PETUNI MADNESS MIDNIGHT</t>
  </si>
  <si>
    <t>001!0611837921100</t>
  </si>
  <si>
    <t>PETUNI MADNESS MOONLIGHT MIX</t>
  </si>
  <si>
    <t>001!0611837922100</t>
  </si>
  <si>
    <t>PETUNI MADNESS ORCHID</t>
  </si>
  <si>
    <t>001!0611837923100</t>
  </si>
  <si>
    <t>PETUNI MADNESS PINK</t>
  </si>
  <si>
    <t>001!0611837924100</t>
  </si>
  <si>
    <t>PETUNI MADNESS PINK CHIFFON</t>
  </si>
  <si>
    <t>001!0611837925100</t>
  </si>
  <si>
    <t>PETUNI MADNESS PLUM</t>
  </si>
  <si>
    <t>001!0611837926100</t>
  </si>
  <si>
    <t>PETUNI MADNESS PLUM CRAZY</t>
  </si>
  <si>
    <t>001!0611837927100</t>
  </si>
  <si>
    <t>PETUNI MADNESS RED</t>
  </si>
  <si>
    <t>001!0611837928100</t>
  </si>
  <si>
    <t>PETUNI MADNESS RED MORN</t>
  </si>
  <si>
    <t>001!0611837929100</t>
  </si>
  <si>
    <t>PETUNI MADNESS RED PICOTEE</t>
  </si>
  <si>
    <t>001!0611837930100</t>
  </si>
  <si>
    <t>PETUNI MADNESS ROSE</t>
  </si>
  <si>
    <t>001!0611837932100</t>
  </si>
  <si>
    <t>PETUNI MADNESS ROSE MORN</t>
  </si>
  <si>
    <t>001!0611837933100</t>
  </si>
  <si>
    <t>PETUNI MADNESS ROSE STAR</t>
  </si>
  <si>
    <t>001!0611837934100</t>
  </si>
  <si>
    <t>PETUNI MADNESS ROYAL</t>
  </si>
  <si>
    <t>001!0611837935100</t>
  </si>
  <si>
    <t>PETUNI MADNESS SALMON MORN</t>
  </si>
  <si>
    <t>001!0611837936100</t>
  </si>
  <si>
    <t>PETUNI MADNESS SERIES</t>
  </si>
  <si>
    <t>001!0611837937100</t>
  </si>
  <si>
    <t>PETUNI MADNESS SHEER</t>
  </si>
  <si>
    <t>001!0611837938100</t>
  </si>
  <si>
    <t>PETUNI MADNESS SIMPLY</t>
  </si>
  <si>
    <t>001!0611837939100</t>
  </si>
  <si>
    <t>PETUNI MADNESS SPRING</t>
  </si>
  <si>
    <t>001!0611837940100</t>
  </si>
  <si>
    <t>PETUNI MADNESS SUGAR</t>
  </si>
  <si>
    <t>001!0611837941100</t>
  </si>
  <si>
    <t>PETUNI MADNESS SUMMER</t>
  </si>
  <si>
    <t>001!0611837942100</t>
  </si>
  <si>
    <t>PETUNI MADNESS TOTAL</t>
  </si>
  <si>
    <t>001!0611837943100</t>
  </si>
  <si>
    <t>PETUNI MADNESS WATERFALL MIX</t>
  </si>
  <si>
    <t>001!0611837944100</t>
  </si>
  <si>
    <t>PETUNI MADNESS WHITE</t>
  </si>
  <si>
    <t>001!0611837945100</t>
  </si>
  <si>
    <t>PETUNI MADNESS YELLOW</t>
  </si>
  <si>
    <t>001!0611837946100</t>
  </si>
  <si>
    <t>PETUNI MAMBO SERIES</t>
  </si>
  <si>
    <t>001!0611837947100</t>
  </si>
  <si>
    <t>PETUNI MERLIN BLUE MORN</t>
  </si>
  <si>
    <t>001!0611837948100</t>
  </si>
  <si>
    <t>PETUNI OLD GLORY MIX</t>
  </si>
  <si>
    <t>001!0611837949100</t>
  </si>
  <si>
    <t>PETUNI OPERA SUPREME PINK MORN</t>
  </si>
  <si>
    <t>001!0611837951100</t>
  </si>
  <si>
    <t>PETUNI OPERA SUPREME RASP ICE</t>
  </si>
  <si>
    <t>001!0611837953100</t>
  </si>
  <si>
    <t>PETUNI ORIGAMI</t>
  </si>
  <si>
    <t>001!0611863561050</t>
  </si>
  <si>
    <t>PETUNI ORIGAMI BURGUNDY</t>
  </si>
  <si>
    <t>001!0611863562050</t>
  </si>
  <si>
    <t>PETUNI ORIGAMI PINK</t>
  </si>
  <si>
    <t>001!0611863563050</t>
  </si>
  <si>
    <t>PETUNI ORIGAMI PINK STAR</t>
  </si>
  <si>
    <t>001!0611863564050</t>
  </si>
  <si>
    <t>PETUNI ORIGAMI WATERMELON</t>
  </si>
  <si>
    <t>001!0611863565050</t>
  </si>
  <si>
    <t>PETUNI ORIGAMI WHITE</t>
  </si>
  <si>
    <t>001!0611863566050</t>
  </si>
  <si>
    <t>PETUNI OVATION SERIES</t>
  </si>
  <si>
    <t>001!0611884383100</t>
  </si>
  <si>
    <t>PETUNI PEPPY BLUE</t>
  </si>
  <si>
    <t>001!0611863567050</t>
  </si>
  <si>
    <t>PETUNI PEPPY BURGUNDY</t>
  </si>
  <si>
    <t>001!0611863568050</t>
  </si>
  <si>
    <t>PETUNI PEPPY CERISE</t>
  </si>
  <si>
    <t>001!0611863569050</t>
  </si>
  <si>
    <t>PETUNI PEPPY PINK</t>
  </si>
  <si>
    <t>001!0611863570050</t>
  </si>
  <si>
    <t>PETUNI PEPPY PINK VEIN</t>
  </si>
  <si>
    <t>001!0611884384050</t>
  </si>
  <si>
    <t>PETUNI PEPPY PLUM</t>
  </si>
  <si>
    <t>001!0611863571050</t>
  </si>
  <si>
    <t>PETUNI PEPPY PURPLE</t>
  </si>
  <si>
    <t>001!0611863572050</t>
  </si>
  <si>
    <t>PETUNI PEPPY RED</t>
  </si>
  <si>
    <t>001!0611863573050</t>
  </si>
  <si>
    <t>PETUNI PEPPY SUNSET</t>
  </si>
  <si>
    <t>001!0611863574050</t>
  </si>
  <si>
    <t>PETUNI PERFECTUNIA SERIES</t>
  </si>
  <si>
    <t>001!0611837956100</t>
  </si>
  <si>
    <t>PETUNI PETUNIA GENERIC</t>
  </si>
  <si>
    <t>001!0611837958100</t>
  </si>
  <si>
    <t>001!0611837959025</t>
  </si>
  <si>
    <t>PETUNI PICOBELLA BLUE</t>
  </si>
  <si>
    <t>001!0611837960100</t>
  </si>
  <si>
    <t>PETUNI PICOBELLA CARMINE</t>
  </si>
  <si>
    <t>001!0611837961100</t>
  </si>
  <si>
    <t>PETUNI PICOBELLA LAVENDER</t>
  </si>
  <si>
    <t>001!0611837971100</t>
  </si>
  <si>
    <t>PETUNI PICOBELLA LIGHT LAV</t>
  </si>
  <si>
    <t>001!0611837972100</t>
  </si>
  <si>
    <t>PETUNI PICOBELLA MIX</t>
  </si>
  <si>
    <t>001!0611837973100</t>
  </si>
  <si>
    <t>PETUNI PICOBELLA PINK</t>
  </si>
  <si>
    <t>001!0611837974100</t>
  </si>
  <si>
    <t>PETUNI PICOBELLA RED</t>
  </si>
  <si>
    <t>001!0611837975100</t>
  </si>
  <si>
    <t>PETUNI PICOBELLA ROSE</t>
  </si>
  <si>
    <t>001!0611837976100</t>
  </si>
  <si>
    <t>PETUNI PICOBELLA ROSE MORN</t>
  </si>
  <si>
    <t>001!0611837977100</t>
  </si>
  <si>
    <t>PETUNI PICOBELLA ROSE STAR</t>
  </si>
  <si>
    <t>001!0611837978100</t>
  </si>
  <si>
    <t>PETUNI PICOBELLA SALMON</t>
  </si>
  <si>
    <t>001!0611837979100</t>
  </si>
  <si>
    <t>PETUNI PICOBELLA WHITE</t>
  </si>
  <si>
    <t>001!0611837980100</t>
  </si>
  <si>
    <t>PETUNI PICOTEE BLUE</t>
  </si>
  <si>
    <t>001!0611837981100</t>
  </si>
  <si>
    <t>PETUNI PICOTEE RED</t>
  </si>
  <si>
    <t>001!0611837982100</t>
  </si>
  <si>
    <t>PETUNI PICOTEE ROSE</t>
  </si>
  <si>
    <t>001!0611837983100</t>
  </si>
  <si>
    <t>PETUNI PINK BILINGUAL DESIGN</t>
  </si>
  <si>
    <t>001!0611837985100</t>
  </si>
  <si>
    <t>PETUNI PINK GENERIC</t>
  </si>
  <si>
    <t>001!0611837986100</t>
  </si>
  <si>
    <t>PETUNI PINKERBELLE</t>
  </si>
  <si>
    <t>001!0611863575050</t>
  </si>
  <si>
    <t>PETUNI PIROUETTE PURPLE</t>
  </si>
  <si>
    <t>001!0611837987100</t>
  </si>
  <si>
    <t>PETUNI PIROUETTE RED</t>
  </si>
  <si>
    <t>001!0611837988100</t>
  </si>
  <si>
    <t>PETUNI PIROUETTE ROSE</t>
  </si>
  <si>
    <t>001!0611837989100</t>
  </si>
  <si>
    <t>PETUNI PISMO BEACH</t>
  </si>
  <si>
    <t>001!0611863576050</t>
  </si>
  <si>
    <t>PETUNI POTUNIA BLUEBRY MUFFIN</t>
  </si>
  <si>
    <t>001!0611863577050</t>
  </si>
  <si>
    <t>PETUNI POTUNIA CAPPUCCINO</t>
  </si>
  <si>
    <t>001!0611863578050</t>
  </si>
  <si>
    <t>PETUNI POTUNIA COBALT BLUE</t>
  </si>
  <si>
    <t>001!0611863579050</t>
  </si>
  <si>
    <t>PETUNI POTUNIA CORAL</t>
  </si>
  <si>
    <t>001!0611863580050</t>
  </si>
  <si>
    <t>PETUNI POTUNIA COTTON CANDY</t>
  </si>
  <si>
    <t>001!0611863581050</t>
  </si>
  <si>
    <t>PETUNI POTUNIA DARK RED</t>
  </si>
  <si>
    <t>001!0611863582050</t>
  </si>
  <si>
    <t>PETUNI POTUNIA NEON</t>
  </si>
  <si>
    <t>001!0611863583050</t>
  </si>
  <si>
    <t>PETUNI POTUNIA PICCO BLUE ICE</t>
  </si>
  <si>
    <t>001!0611863584050</t>
  </si>
  <si>
    <t>PETUNI POTUNIA PICCO GRAPE ICE</t>
  </si>
  <si>
    <t>001!0611863585050</t>
  </si>
  <si>
    <t>PETUNI POTUNIA PICCO HOT PINK</t>
  </si>
  <si>
    <t>001!0611863586050</t>
  </si>
  <si>
    <t>PETUNI POTUNIA PICCO LAVND TCH</t>
  </si>
  <si>
    <t>001!0611863587050</t>
  </si>
  <si>
    <t>PETUNI POTUNIA PICCO LLC BLUE</t>
  </si>
  <si>
    <t>001!0611863588050</t>
  </si>
  <si>
    <t>PETUNI POTUNIA PICCO MGNT STAR</t>
  </si>
  <si>
    <t>001!0611863589050</t>
  </si>
  <si>
    <t>PETUNI POTUNIA PICCO PINK</t>
  </si>
  <si>
    <t>001!0611863590050</t>
  </si>
  <si>
    <t>PETUNI POTUNIA PICCO WHITE</t>
  </si>
  <si>
    <t>001!0611863592050</t>
  </si>
  <si>
    <t>PETUNI POTUNIA PINK ORCHID</t>
  </si>
  <si>
    <t>001!0611863593050</t>
  </si>
  <si>
    <t>PETUNI POTUNIA PLUS BABY PINK</t>
  </si>
  <si>
    <t>001!0611863594050</t>
  </si>
  <si>
    <t>PETUNI POTUNIA PLUS BLUE VEIN</t>
  </si>
  <si>
    <t>001!0611884385050</t>
  </si>
  <si>
    <t>PETUNI POTUNIA PLUS BURGUNDY</t>
  </si>
  <si>
    <t>001!0611884386050</t>
  </si>
  <si>
    <t>PETUNI POTUNIA PLUS CORAL</t>
  </si>
  <si>
    <t>001!0611884387050</t>
  </si>
  <si>
    <t>PETUNI POTUNIA PLUS DENIM</t>
  </si>
  <si>
    <t>001!0611863595050</t>
  </si>
  <si>
    <t>PETUNI POTUNIA PLUS NEON</t>
  </si>
  <si>
    <t>001!0611863596050</t>
  </si>
  <si>
    <t>PETUNI POTUNIA PLUS PAPAYA</t>
  </si>
  <si>
    <t>001!0611863597050</t>
  </si>
  <si>
    <t>PETUNI POTUNIA PLUS PINKALICS</t>
  </si>
  <si>
    <t>001!0611863598050</t>
  </si>
  <si>
    <t>PETUNI POTUNIA PLUS PURPLE</t>
  </si>
  <si>
    <t>001!0611863599050</t>
  </si>
  <si>
    <t>PETUNI POTUNIA PLUS RED</t>
  </si>
  <si>
    <t>001!0611863600050</t>
  </si>
  <si>
    <t>PETUNI POTUNIA PLUS SFT PK MRN</t>
  </si>
  <si>
    <t>001!0611863601050</t>
  </si>
  <si>
    <t>PETUNI POTUNIA PLUS WHITE</t>
  </si>
  <si>
    <t>001!0611863602050</t>
  </si>
  <si>
    <t>PETUNI POTUNIA PLUS YELLOW</t>
  </si>
  <si>
    <t>001!0611863603050</t>
  </si>
  <si>
    <t>PETUNI POTUNIA POPCORN</t>
  </si>
  <si>
    <t>001!0611863604050</t>
  </si>
  <si>
    <t>PETUNI POTUNIA PURPLE HALO</t>
  </si>
  <si>
    <t>001!0611863605050</t>
  </si>
  <si>
    <t>PETUNI POTUNIA STARFISH</t>
  </si>
  <si>
    <t>001!0611863606050</t>
  </si>
  <si>
    <t>PETUNI POTUNIA WHITE</t>
  </si>
  <si>
    <t>001!0611863607050</t>
  </si>
  <si>
    <t>PETUNI PRESTO SERIES</t>
  </si>
  <si>
    <t>001!0611838000100</t>
  </si>
  <si>
    <t>PETUNI PRETTY FLORA CORAL</t>
  </si>
  <si>
    <t>001!0611838001100</t>
  </si>
  <si>
    <t>PETUNI PRETTY FLORA FLAG MIX</t>
  </si>
  <si>
    <t>001!0611838002100</t>
  </si>
  <si>
    <t>PETUNI PRETTY FLORA MELLO YELL</t>
  </si>
  <si>
    <t>001!0611838003100</t>
  </si>
  <si>
    <t>PETUNI PRETTY FLORA MIDNIGHT</t>
  </si>
  <si>
    <t>001!0611838004100</t>
  </si>
  <si>
    <t>PETUNI PRETTY FLORA MIX</t>
  </si>
  <si>
    <t>001!0611838005100</t>
  </si>
  <si>
    <t>PETUNI PRETTY FLORA PINK</t>
  </si>
  <si>
    <t>001!0611838006100</t>
  </si>
  <si>
    <t>PETUNI PRETTY FLORA PINK PEARL</t>
  </si>
  <si>
    <t>001!0611838007100</t>
  </si>
  <si>
    <t>PETUNI PRETTY FLORA PURPLE</t>
  </si>
  <si>
    <t>001!0611838008100</t>
  </si>
  <si>
    <t>PETUNI PRETTY FLORA RED</t>
  </si>
  <si>
    <t>001!0611838009100</t>
  </si>
  <si>
    <t>PETUNI PRETTY FLORA ROSE</t>
  </si>
  <si>
    <t>001!0611838010100</t>
  </si>
  <si>
    <t>PETUNI PRETTY FLORA WHITE</t>
  </si>
  <si>
    <t>001!0611838011100</t>
  </si>
  <si>
    <t>PETUNI PRETTY GRAND CORAL</t>
  </si>
  <si>
    <t>001!0611838012100</t>
  </si>
  <si>
    <t>PETUNI PRETTY GRAND DEEP PINK</t>
  </si>
  <si>
    <t>001!0611838013100</t>
  </si>
  <si>
    <t>PETUNI PRETTY GRAND FLAG MIX</t>
  </si>
  <si>
    <t>001!0611838014100</t>
  </si>
  <si>
    <t>PETUNI PRETTY GRAND MELLO YELL</t>
  </si>
  <si>
    <t>001!0611838015100</t>
  </si>
  <si>
    <t>PETUNI PRETTY GRAND MIDNIGHT</t>
  </si>
  <si>
    <t>001!0611838016100</t>
  </si>
  <si>
    <t>PETUNI PRETTY GRAND MIX</t>
  </si>
  <si>
    <t>001!0611838017100</t>
  </si>
  <si>
    <t>PETUNI PRETTY GRAND PURPLE</t>
  </si>
  <si>
    <t>001!0611838018100</t>
  </si>
  <si>
    <t>PETUNI PRETTY GRAND RED</t>
  </si>
  <si>
    <t>001!0611838019100</t>
  </si>
  <si>
    <t>PETUNI PRETTY GRAND ROSE</t>
  </si>
  <si>
    <t>001!0611838020100</t>
  </si>
  <si>
    <t>PETUNI PRETTY GRAND SUMMER</t>
  </si>
  <si>
    <t>001!0611838021100</t>
  </si>
  <si>
    <t>PETUNI PRETTY GRAND VIOLET</t>
  </si>
  <si>
    <t>001!0611838022100</t>
  </si>
  <si>
    <t>PETUNI PRETTY GRAND WHITE</t>
  </si>
  <si>
    <t>001!0611838023100</t>
  </si>
  <si>
    <t>PETUNI PRISM SUNSHINE</t>
  </si>
  <si>
    <t>001!0611838024100</t>
  </si>
  <si>
    <t>PETUNI PURPLE GENERIC</t>
  </si>
  <si>
    <t>001!0611838025100</t>
  </si>
  <si>
    <t>PETUNI RAMBLIN BURGUNDY CHROME</t>
  </si>
  <si>
    <t>001!0611838026100</t>
  </si>
  <si>
    <t>PETUNI RAY BAROQUE PINK</t>
  </si>
  <si>
    <t>001!0611838041100</t>
  </si>
  <si>
    <t>PETUNI RAY BLACK</t>
  </si>
  <si>
    <t>001!0611838042100</t>
  </si>
  <si>
    <t>PETUNI RAY BLUE</t>
  </si>
  <si>
    <t>001!0611838043100</t>
  </si>
  <si>
    <t>PETUNI RAY BORDEAUX</t>
  </si>
  <si>
    <t>001!0611838044100</t>
  </si>
  <si>
    <t>PETUNI RAY FUCHSIA</t>
  </si>
  <si>
    <t>001!0611838045100</t>
  </si>
  <si>
    <t>PETUNI RAY PINK HALO</t>
  </si>
  <si>
    <t>001!0611838047100</t>
  </si>
  <si>
    <t>PETUNI RAY PISTACHIO CREAM</t>
  </si>
  <si>
    <t>001!0611838048100</t>
  </si>
  <si>
    <t>PETUNI RAY PURPLE</t>
  </si>
  <si>
    <t>001!0611838049100</t>
  </si>
  <si>
    <t>PETUNI RAY PURPLE VEIN</t>
  </si>
  <si>
    <t>001!0611838050100</t>
  </si>
  <si>
    <t>PETUNI RAY RED</t>
  </si>
  <si>
    <t>001!0611838051100</t>
  </si>
  <si>
    <t>PETUNI RAY SUNFLOWER</t>
  </si>
  <si>
    <t>001!0611838052100</t>
  </si>
  <si>
    <t>PETUNI RAY SUNSHINE</t>
  </si>
  <si>
    <t>001!0611838053100</t>
  </si>
  <si>
    <t>PETUNI RAY WHITE</t>
  </si>
  <si>
    <t>001!0611838054100</t>
  </si>
  <si>
    <t>PETUNI RD CARPET BLK MN RISING</t>
  </si>
  <si>
    <t>001!0611838055100</t>
  </si>
  <si>
    <t>PETUNI RD CRPT HIPPY CHICK VLT</t>
  </si>
  <si>
    <t>001!0611838056100</t>
  </si>
  <si>
    <t>PETUNI RED BILINGUAL DESIGN</t>
  </si>
  <si>
    <t>001!0611838057100</t>
  </si>
  <si>
    <t>PETUNI RED CARPET ORCHID FROST</t>
  </si>
  <si>
    <t>001!0611838058100</t>
  </si>
  <si>
    <t>PETUNI RED CARPET RIMARKABLE</t>
  </si>
  <si>
    <t>001!0611857072100</t>
  </si>
  <si>
    <t>PETUNI RED GENERIC</t>
  </si>
  <si>
    <t>001!0611838059100</t>
  </si>
  <si>
    <t>PETUNI RED WH/BL MIX GENERIC</t>
  </si>
  <si>
    <t>001!0611838060100</t>
  </si>
  <si>
    <t>PETUNI RED/WH BILINGUAL DESIGN</t>
  </si>
  <si>
    <t>001!0611838061100</t>
  </si>
  <si>
    <t>PETUNI RETRO RED</t>
  </si>
  <si>
    <t>001!0611838062100</t>
  </si>
  <si>
    <t>PETUNI ROSE BILINGUAL DESIGN</t>
  </si>
  <si>
    <t>001!0611838063100</t>
  </si>
  <si>
    <t>PETUNI ROSE GENERIC</t>
  </si>
  <si>
    <t>001!0611838064100</t>
  </si>
  <si>
    <t>PETUNI SALMON BILINGUAL DESIGN</t>
  </si>
  <si>
    <t>001!0611838065100</t>
  </si>
  <si>
    <t>PETUNI SANGUNA BANANA CANDY</t>
  </si>
  <si>
    <t>001!0611863608050</t>
  </si>
  <si>
    <t>PETUNI SANGUNA BLUE</t>
  </si>
  <si>
    <t>001!0611863609050</t>
  </si>
  <si>
    <t>PETUNI SANGUNA BLUE VEIN</t>
  </si>
  <si>
    <t>001!0611863611050</t>
  </si>
  <si>
    <t>PETUNI SANGUNA BURGUNDY</t>
  </si>
  <si>
    <t>001!0611863612050</t>
  </si>
  <si>
    <t>PETUNI SANGUNA CORAL</t>
  </si>
  <si>
    <t>001!0611863613050</t>
  </si>
  <si>
    <t>PETUNI SANGUNA DP LAVENDER VN</t>
  </si>
  <si>
    <t>001!0611863614050</t>
  </si>
  <si>
    <t>PETUNI SANGUNA HOT ROSE</t>
  </si>
  <si>
    <t>001!0611863615050</t>
  </si>
  <si>
    <t>PETUNI SANGUNA LIPSTICK</t>
  </si>
  <si>
    <t>001!0611863617050</t>
  </si>
  <si>
    <t>PETUNI SANGUNA LT BLUE</t>
  </si>
  <si>
    <t>001!0611863616050</t>
  </si>
  <si>
    <t>PETUNI SANGUNA MANGO PUNCH</t>
  </si>
  <si>
    <t>001!0611863618050</t>
  </si>
  <si>
    <t>PETUNI SANGUNA MEGA HOT PINK</t>
  </si>
  <si>
    <t>001!0611884388050</t>
  </si>
  <si>
    <t>PETUNI SANGUNA MEGA PINK VEIN</t>
  </si>
  <si>
    <t>001!0611863619050</t>
  </si>
  <si>
    <t>PETUNI SANGUNA MEGA PURP LMTD</t>
  </si>
  <si>
    <t>001!0611863620050</t>
  </si>
  <si>
    <t>PETUNI SANGUNA MEGA PURPLE</t>
  </si>
  <si>
    <t>001!0611863621050</t>
  </si>
  <si>
    <t>PETUNI SANGUNA MEGA PURPLE VN</t>
  </si>
  <si>
    <t>001!0611863622050</t>
  </si>
  <si>
    <t>PETUNI SANGUNA MERLOT</t>
  </si>
  <si>
    <t>001!0611863623050</t>
  </si>
  <si>
    <t>PETUNI SANGUNA PATIO BLUE</t>
  </si>
  <si>
    <t>001!0611863624050</t>
  </si>
  <si>
    <t>PETUNI SANGUNA PATIO BLUE VN</t>
  </si>
  <si>
    <t>001!0611863625050</t>
  </si>
  <si>
    <t>PETUNI SANGUNA PATIO LT BLUE</t>
  </si>
  <si>
    <t>001!0611863626050</t>
  </si>
  <si>
    <t>PETUNI SANGUNA PATIO MELON MRN</t>
  </si>
  <si>
    <t>001!0611863627050</t>
  </si>
  <si>
    <t>PETUNI SANGUNA PATIO PINK MRN</t>
  </si>
  <si>
    <t>001!0611863628050</t>
  </si>
  <si>
    <t>PETUNI SANGUNA PATIO PURPLE</t>
  </si>
  <si>
    <t>001!0611863629050</t>
  </si>
  <si>
    <t>PETUNI SANGUNA PATIO PURPLE VN</t>
  </si>
  <si>
    <t>001!0611863630050</t>
  </si>
  <si>
    <t>PETUNI SANGUNA PATIO RED</t>
  </si>
  <si>
    <t>001!0611863633050</t>
  </si>
  <si>
    <t>PETUNI SANGUNA PATIO RNT DK BL</t>
  </si>
  <si>
    <t>001!0611863631050</t>
  </si>
  <si>
    <t>PETUNI SANGUNA PATIO RNT VLT</t>
  </si>
  <si>
    <t>001!0611863632050</t>
  </si>
  <si>
    <t>PETUNI SANGUNA PATIO SALMON</t>
  </si>
  <si>
    <t>001!0611863634050</t>
  </si>
  <si>
    <t>PETUNI SANGUNA PATIO WHITE</t>
  </si>
  <si>
    <t>001!0611863635050</t>
  </si>
  <si>
    <t>PETUNI SANGUNA PICOTEE PUNCH</t>
  </si>
  <si>
    <t>001!0611863636050</t>
  </si>
  <si>
    <t>PETUNI SANGUNA PINK VEIN</t>
  </si>
  <si>
    <t>001!0611863637050</t>
  </si>
  <si>
    <t>PETUNI SANGUNA PURPLE</t>
  </si>
  <si>
    <t>001!0611863639050</t>
  </si>
  <si>
    <t>PETUNI SANGUNA RADIANT BLUE</t>
  </si>
  <si>
    <t>001!0611863640050</t>
  </si>
  <si>
    <t>PETUNI SANGUNA RADIANT ROSE</t>
  </si>
  <si>
    <t>001!0611863641050</t>
  </si>
  <si>
    <t>PETUNI SANGUNA RED</t>
  </si>
  <si>
    <t>001!0611863642050</t>
  </si>
  <si>
    <t>PETUNI SANGUNA ROSE</t>
  </si>
  <si>
    <t>001!0611863643050</t>
  </si>
  <si>
    <t>PETUNI SANGUNA ROSE VEIN</t>
  </si>
  <si>
    <t>001!0611863644050</t>
  </si>
  <si>
    <t>PETUNI SANGUNA SALMON</t>
  </si>
  <si>
    <t>001!0611863645050</t>
  </si>
  <si>
    <t>PETUNI SANGUNA STAR ROSE</t>
  </si>
  <si>
    <t>001!0611863646050</t>
  </si>
  <si>
    <t>PETUNI SANGUNA SWEET PINK</t>
  </si>
  <si>
    <t>001!0611863647050</t>
  </si>
  <si>
    <t>PETUNI SANGUNA WHITE</t>
  </si>
  <si>
    <t>001!0611863648050</t>
  </si>
  <si>
    <t>PETUNI SANGUNA YELLOW</t>
  </si>
  <si>
    <t>001!0611863651050</t>
  </si>
  <si>
    <t>PETUNI SCOOP SERIES</t>
  </si>
  <si>
    <t>001!0611838067100</t>
  </si>
  <si>
    <t>PETUNI SHORTCAKE BLUEBERRY</t>
  </si>
  <si>
    <t>001!0611863652050</t>
  </si>
  <si>
    <t>PETUNI SHORTCAKE RASPBERRY</t>
  </si>
  <si>
    <t>001!0611863653050</t>
  </si>
  <si>
    <t>PETUNI SINGLE MIX GENERIC</t>
  </si>
  <si>
    <t>001!0611838068100</t>
  </si>
  <si>
    <t>PETUNI SKYBOX ROSE STAR</t>
  </si>
  <si>
    <t>001!0611838069100</t>
  </si>
  <si>
    <t>PETUNI SMARTUNIA BABY PINK</t>
  </si>
  <si>
    <t>001!0611863654050</t>
  </si>
  <si>
    <t>PETUNI SMARTUNIA NEON</t>
  </si>
  <si>
    <t>001!0611863655050</t>
  </si>
  <si>
    <t>PETUNI SMARTUNIA PURPLE VEIN</t>
  </si>
  <si>
    <t>001!0611863656050</t>
  </si>
  <si>
    <t>PETUNI SMARTUNIA RED</t>
  </si>
  <si>
    <t>001!0611863657050</t>
  </si>
  <si>
    <t>PETUNI SMARTUNIA WHITE</t>
  </si>
  <si>
    <t>001!0611863658050</t>
  </si>
  <si>
    <t>PETUNI SMARTUNIA WINDMILL BLK</t>
  </si>
  <si>
    <t>001!0611863659050</t>
  </si>
  <si>
    <t>PETUNI SMARTUNIA WINDMILL PINK</t>
  </si>
  <si>
    <t>001!0611863660050</t>
  </si>
  <si>
    <t>PETUNI SMARTUNIA WINDMILL RED</t>
  </si>
  <si>
    <t>001!0611863661050</t>
  </si>
  <si>
    <t>PETUNI SOPHISTICA ANTIQUE SHDS</t>
  </si>
  <si>
    <t>001!0611838070100</t>
  </si>
  <si>
    <t>PETUNI SOPHISTICA BLACKBERRY</t>
  </si>
  <si>
    <t>001!0611838071100</t>
  </si>
  <si>
    <t>PETUNI SOPHISTICA BLUE MORN</t>
  </si>
  <si>
    <t>001!0611838072100</t>
  </si>
  <si>
    <t>PETUNI SOPHISTICA LIME BICOLOR</t>
  </si>
  <si>
    <t>001!0611838073100</t>
  </si>
  <si>
    <t>PETUNI SOPHISTICA LIME GREEN</t>
  </si>
  <si>
    <t>001!0611838074100</t>
  </si>
  <si>
    <t>PETUNI SOPHISTICA TWILIGHT</t>
  </si>
  <si>
    <t>001!0611838075100</t>
  </si>
  <si>
    <t>PETUNI SPLASH DANCE SERIES</t>
  </si>
  <si>
    <t>001!0611838076100</t>
  </si>
  <si>
    <t>PETUNI SPREADING GENERIC</t>
  </si>
  <si>
    <t>001!0611838077100</t>
  </si>
  <si>
    <t>PETUNI STORM LAVENDER</t>
  </si>
  <si>
    <t>001!0611838081100</t>
  </si>
  <si>
    <t>PETUNI SUCCESS 360 BLUE</t>
  </si>
  <si>
    <t>001!0611838083100</t>
  </si>
  <si>
    <t>PETUNI SUCCESS 360 BURG VEIN</t>
  </si>
  <si>
    <t>001!0611838084100</t>
  </si>
  <si>
    <t>PETUNI SUCCESS 360 BURGUNDY</t>
  </si>
  <si>
    <t>001!0611838085100</t>
  </si>
  <si>
    <t>PETUNI SUCCESS 360 DEEP PINK</t>
  </si>
  <si>
    <t>001!0611838086100</t>
  </si>
  <si>
    <t>PETUNI SUCCESS 360 DEEP ROSE</t>
  </si>
  <si>
    <t>001!0611838087100</t>
  </si>
  <si>
    <t>PETUNI SUCCESS 360 LIGHT YELL</t>
  </si>
  <si>
    <t>001!0611838088100</t>
  </si>
  <si>
    <t>PETUNI SUCCESS 360 MIX</t>
  </si>
  <si>
    <t>001!0611838089100</t>
  </si>
  <si>
    <t>PETUNI SUCCESS 360 PINK</t>
  </si>
  <si>
    <t>001!0611857073100</t>
  </si>
  <si>
    <t>PETUNI SUCCESS 360 PURPLE</t>
  </si>
  <si>
    <t>001!0611838090100</t>
  </si>
  <si>
    <t>PETUNI SUCCESS 360 PURPLE VEIN</t>
  </si>
  <si>
    <t>001!0611838091100</t>
  </si>
  <si>
    <t>PETUNI SUCCESS 360 RED</t>
  </si>
  <si>
    <t>001!0611838092100</t>
  </si>
  <si>
    <t>PETUNI SUCCESS 360 RED STAR</t>
  </si>
  <si>
    <t>001!0611838093100</t>
  </si>
  <si>
    <t>PETUNI SUCCESS 360 ROSE STAR</t>
  </si>
  <si>
    <t>001!0611838094100</t>
  </si>
  <si>
    <t>PETUNI SUCCESS 360 WHITE</t>
  </si>
  <si>
    <t>001!0611838096100</t>
  </si>
  <si>
    <t>PETUNI SUCCESS BLUE</t>
  </si>
  <si>
    <t>001!0611838097100</t>
  </si>
  <si>
    <t>PETUNI SUCCESS HD BLUE</t>
  </si>
  <si>
    <t>001!0611838100100</t>
  </si>
  <si>
    <t>PETUNI SUCCESS HD BURGUNDY</t>
  </si>
  <si>
    <t>001!0611838101100</t>
  </si>
  <si>
    <t>PETUNI SUCCESS HD LIGHT PINK</t>
  </si>
  <si>
    <t>001!0611838102100</t>
  </si>
  <si>
    <t>PETUNI SUCCESS HD MIX</t>
  </si>
  <si>
    <t>001!0611838103100</t>
  </si>
  <si>
    <t>PETUNI SUCCESS HD PINK</t>
  </si>
  <si>
    <t>001!0611838104100</t>
  </si>
  <si>
    <t>PETUNI SUCCESS HD RED</t>
  </si>
  <si>
    <t>001!0611838105100</t>
  </si>
  <si>
    <t>PETUNI SUCCESS HD ROSE STAR</t>
  </si>
  <si>
    <t>001!0611838106100</t>
  </si>
  <si>
    <t>PETUNI SUCCESS HD SALMON</t>
  </si>
  <si>
    <t>001!0611857074100</t>
  </si>
  <si>
    <t>PETUNI SUCCESS HD SALMON MORN</t>
  </si>
  <si>
    <t>001!0611838107100</t>
  </si>
  <si>
    <t>PETUNI SUCCESS HD WHITE</t>
  </si>
  <si>
    <t>001!0611838108100</t>
  </si>
  <si>
    <t>PETUNI SUCCESS MIX MAXI</t>
  </si>
  <si>
    <t>001!0611838110100</t>
  </si>
  <si>
    <t>PETUNI SUPER CASCADE BLUE</t>
  </si>
  <si>
    <t>001!0611838125100</t>
  </si>
  <si>
    <t>PETUNI SUPER CASCADE BURGUNDY</t>
  </si>
  <si>
    <t>001!0611838126100</t>
  </si>
  <si>
    <t>PETUNI SUPER CASCADE LILAC</t>
  </si>
  <si>
    <t>001!0611838127100</t>
  </si>
  <si>
    <t>PETUNI SUPER CASCADE MIX</t>
  </si>
  <si>
    <t>001!0611838128100</t>
  </si>
  <si>
    <t>PETUNI SUPER CASCADE PINK</t>
  </si>
  <si>
    <t>001!0611838129100</t>
  </si>
  <si>
    <t>PETUNI SUPER CASCADE RED</t>
  </si>
  <si>
    <t>001!0611838130100</t>
  </si>
  <si>
    <t>PETUNI SUPER CASCADE ROSE</t>
  </si>
  <si>
    <t>001!0611838131100</t>
  </si>
  <si>
    <t>PETUNI SUPER CASCADE WHITE</t>
  </si>
  <si>
    <t>001!0611838133100</t>
  </si>
  <si>
    <t>PETUNI SUPERCAL ARTIST ROSE</t>
  </si>
  <si>
    <t>001!0611838134100</t>
  </si>
  <si>
    <t>PETUNI SUPERCAL BLUE</t>
  </si>
  <si>
    <t>001!0611838135100</t>
  </si>
  <si>
    <t>PETUNI SUPERCAL CHERRY</t>
  </si>
  <si>
    <t>001!0611838136100</t>
  </si>
  <si>
    <t>PETUNI SUPERCAL CRIMSON RED</t>
  </si>
  <si>
    <t>001!0611838137100</t>
  </si>
  <si>
    <t>PETUNI SUPERCAL LAVENDER STAR</t>
  </si>
  <si>
    <t>001!0611838138100</t>
  </si>
  <si>
    <t>PETUNI SUPERCAL LIGHT YELLOW</t>
  </si>
  <si>
    <t>001!0611838139100</t>
  </si>
  <si>
    <t>PETUNI SUPERCAL NEON ROSE</t>
  </si>
  <si>
    <t>001!0611838140100</t>
  </si>
  <si>
    <t>PETUNI SUPERCAL PINK</t>
  </si>
  <si>
    <t>001!0611838141100</t>
  </si>
  <si>
    <t>PETUNI SUPERCAL PREM BORDEAUX</t>
  </si>
  <si>
    <t>001!0611838143100</t>
  </si>
  <si>
    <t>PETUNI SUPERCAL PREM CINNAMON</t>
  </si>
  <si>
    <t>001!0611838144100</t>
  </si>
  <si>
    <t>PETUNI SUPERCAL PREM PEARL WH</t>
  </si>
  <si>
    <t>001!0611838145100</t>
  </si>
  <si>
    <t>PETUNI SUPERCAL PREM PPL DAWN</t>
  </si>
  <si>
    <t>001!0611838146100</t>
  </si>
  <si>
    <t>PETUNI SUPERCAL PREM RED MAPLE</t>
  </si>
  <si>
    <t>001!0611884389100</t>
  </si>
  <si>
    <t>PETUNI SUPERCAL PREM SNSET ORG</t>
  </si>
  <si>
    <t>001!0611838147100</t>
  </si>
  <si>
    <t>PETUNI SUPERCAL PREM SUNRAY PK</t>
  </si>
  <si>
    <t>001!0611838148100</t>
  </si>
  <si>
    <t>PETUNI SUPERCAL PREM YELL SUN</t>
  </si>
  <si>
    <t>001!0611838149100</t>
  </si>
  <si>
    <t>PETUNI SUPERCAL PURPLE</t>
  </si>
  <si>
    <t>001!0611838150100</t>
  </si>
  <si>
    <t>PETUNI SUPERCAL ROSE</t>
  </si>
  <si>
    <t>001!0611838151100</t>
  </si>
  <si>
    <t>PETUNI SUPERCAL ROYAL RED</t>
  </si>
  <si>
    <t>001!0611838152100</t>
  </si>
  <si>
    <t>PETUNI SUPERCAL SALMON GLOW</t>
  </si>
  <si>
    <t>001!0611838153100</t>
  </si>
  <si>
    <t>PETUNI SUPERCAL SNOWBERRY WH</t>
  </si>
  <si>
    <t>001!0611838154100</t>
  </si>
  <si>
    <t>PETUNI SUPERCAL TERRA COTTA</t>
  </si>
  <si>
    <t>001!0611838155100</t>
  </si>
  <si>
    <t>PETUNI SUPERCAL VIOLET</t>
  </si>
  <si>
    <t>001!0611838156100</t>
  </si>
  <si>
    <t>PETUNI SURPRISE AMETHYST HALO</t>
  </si>
  <si>
    <t>001!0611863662050</t>
  </si>
  <si>
    <t>PETUNI SURPRISE BLUE</t>
  </si>
  <si>
    <t>001!0611863663050</t>
  </si>
  <si>
    <t>PETUNI SURPRISE BLUE SKY</t>
  </si>
  <si>
    <t>001!0611863664050</t>
  </si>
  <si>
    <t>PETUNI SURPRISE BLUE STAR</t>
  </si>
  <si>
    <t>001!0611863665050</t>
  </si>
  <si>
    <t>PETUNI SURPRISE BLUE VEIN</t>
  </si>
  <si>
    <t>001!0611863666050</t>
  </si>
  <si>
    <t>PETUNI SURPRISE BURGUNDY STAR</t>
  </si>
  <si>
    <t>001!0611863667050</t>
  </si>
  <si>
    <t>PETUNI SURPRISE COBALT BLUE</t>
  </si>
  <si>
    <t>001!0611863668050</t>
  </si>
  <si>
    <t>PETUNI SURPRISE FIRE ENGINE RD</t>
  </si>
  <si>
    <t>001!0611863669050</t>
  </si>
  <si>
    <t>PETUNI SURPRISE GRAPE</t>
  </si>
  <si>
    <t>001!0611863670050</t>
  </si>
  <si>
    <t>PETUNI SURPRISE GRN TAMBOURINE</t>
  </si>
  <si>
    <t>001!0611863671050</t>
  </si>
  <si>
    <t>PETUNI SURPRISE HOT PINK</t>
  </si>
  <si>
    <t>001!0611863672050</t>
  </si>
  <si>
    <t>PETUNI SURPRISE JOLLY YELLOW</t>
  </si>
  <si>
    <t>001!0611863673050</t>
  </si>
  <si>
    <t>PETUNI SURPRISE KARDINAL VEIN</t>
  </si>
  <si>
    <t>001!0611863674050</t>
  </si>
  <si>
    <t>PETUNI SURPRISE LEMON FROST</t>
  </si>
  <si>
    <t>001!0611863675050</t>
  </si>
  <si>
    <t>PETUNI SURPRISE LOVEPINK</t>
  </si>
  <si>
    <t>001!0611863676050</t>
  </si>
  <si>
    <t>PETUNI SURPRISE MAGENTA HALO</t>
  </si>
  <si>
    <t>001!0611863677050</t>
  </si>
  <si>
    <t>PETUNI SURPRISE MARDI GRAS</t>
  </si>
  <si>
    <t>001!0611863678050</t>
  </si>
  <si>
    <t>PETUNI SURPRISE MARINE</t>
  </si>
  <si>
    <t>001!0611863679050</t>
  </si>
  <si>
    <t>PETUNI SURPRISE MONARCH STAR</t>
  </si>
  <si>
    <t>001!0611863680050</t>
  </si>
  <si>
    <t>PETUNI SURPRISE MOONLIGHT BAY</t>
  </si>
  <si>
    <t>001!0611863681050</t>
  </si>
  <si>
    <t>PETUNI SURPRISE NEON</t>
  </si>
  <si>
    <t>001!0611863682050</t>
  </si>
  <si>
    <t>PETUNI SURPRISE PINK ORCHID</t>
  </si>
  <si>
    <t>001!0611863683050</t>
  </si>
  <si>
    <t>PETUNI SURPRISE PINKALICIOUS</t>
  </si>
  <si>
    <t>001!0611863684050</t>
  </si>
  <si>
    <t>PETUNI SURPRISE PURPLE DANCE</t>
  </si>
  <si>
    <t>001!0611863686050</t>
  </si>
  <si>
    <t>PETUNI SURPRISE PURPLE SKY</t>
  </si>
  <si>
    <t>001!0611863687050</t>
  </si>
  <si>
    <t>PETUNI SURPRISE PURPLE STAR</t>
  </si>
  <si>
    <t>001!0611863688050</t>
  </si>
  <si>
    <t>PETUNI SURPRISE RASPBERRY JAM</t>
  </si>
  <si>
    <t>001!0611863689050</t>
  </si>
  <si>
    <t>PETUNI SURPRISE RED</t>
  </si>
  <si>
    <t>001!0611863690050</t>
  </si>
  <si>
    <t>PETUNI SURPRISE SPARKLE BLUE</t>
  </si>
  <si>
    <t>001!0611863691050</t>
  </si>
  <si>
    <t>PETUNI SURPRISE SPARKLE BURG</t>
  </si>
  <si>
    <t>001!0611863692050</t>
  </si>
  <si>
    <t>PETUNI SURPRISE SPARKLE MAGNT</t>
  </si>
  <si>
    <t>001!0611863693050</t>
  </si>
  <si>
    <t>PETUNI SURPRISE SPARKLE PURPLE</t>
  </si>
  <si>
    <t>001!0611863694050</t>
  </si>
  <si>
    <t>PETUNI SURPRISE SPARKLE RED</t>
  </si>
  <si>
    <t>001!0611863695050</t>
  </si>
  <si>
    <t>PETUNI SURPRISE STRWBRY ICE 19</t>
  </si>
  <si>
    <t>001!0611863696050</t>
  </si>
  <si>
    <t>PETUNI SURPRISE TIE DYE PINK</t>
  </si>
  <si>
    <t>001!0611863697050</t>
  </si>
  <si>
    <t>PETUNI SURPRISE TIE DYE VIOLET</t>
  </si>
  <si>
    <t>001!0611863698050</t>
  </si>
  <si>
    <t>PETUNI SURPRISE WHITE</t>
  </si>
  <si>
    <t>001!0611863699050</t>
  </si>
  <si>
    <t>PETUNI SURPRISE WHITE ORCHID</t>
  </si>
  <si>
    <t>001!0611863700050</t>
  </si>
  <si>
    <t>PETUNI SURPRISE YELLOW</t>
  </si>
  <si>
    <t>001!0611863701050</t>
  </si>
  <si>
    <t>PETUNI SWEET SURPRISE PURP VN</t>
  </si>
  <si>
    <t>001!0611863702050</t>
  </si>
  <si>
    <t>PETUNI SWEETUNIA BLACK SATIN</t>
  </si>
  <si>
    <t>001!0611863703050</t>
  </si>
  <si>
    <t>PETUNI SWEETUNIA BLUEBERRY ICE</t>
  </si>
  <si>
    <t>001!0611863704050</t>
  </si>
  <si>
    <t>PETUNI SWEETUNIA BUBBLELOU</t>
  </si>
  <si>
    <t>001!0611863705050</t>
  </si>
  <si>
    <t>PETUNI SWEETUNIA CORAL FLASH</t>
  </si>
  <si>
    <t>001!0611863706050</t>
  </si>
  <si>
    <t>PETUNI SWEETUNIA FIONA FLASH</t>
  </si>
  <si>
    <t>001!0611863707050</t>
  </si>
  <si>
    <t>PETUNI SWEETUNIA HOT PINK</t>
  </si>
  <si>
    <t>001!0611863708050</t>
  </si>
  <si>
    <t>PETUNI SWEETUNIA HOT PK LEMOND</t>
  </si>
  <si>
    <t>001!0611863709050</t>
  </si>
  <si>
    <t>PETUNI SWEETUNIA HOT PK TOUCH</t>
  </si>
  <si>
    <t>001!0611863710050</t>
  </si>
  <si>
    <t>PETUNI SWEETUNIA HOT ROD RED</t>
  </si>
  <si>
    <t>001!0611863711050</t>
  </si>
  <si>
    <t>PETUNI SWEETUNIA JOHNNY FLAME</t>
  </si>
  <si>
    <t>001!0611863712050</t>
  </si>
  <si>
    <t>PETUNI SWEETUNIA LAVENDER SHMR</t>
  </si>
  <si>
    <t>001!0611863713050</t>
  </si>
  <si>
    <t>PETUNI SWEETUNIA LIGHT PK TCH</t>
  </si>
  <si>
    <t>001!0611863714050</t>
  </si>
  <si>
    <t>PETUNI SWEETUNIA MISS MARVELS</t>
  </si>
  <si>
    <t>001!0611863715050</t>
  </si>
  <si>
    <t>PETUNI SWEETUNIA PINK LEMONADE</t>
  </si>
  <si>
    <t>001!0611863716050</t>
  </si>
  <si>
    <t>PETUNI SWEETUNIA PINK TOUCH</t>
  </si>
  <si>
    <t>001!0611863717050</t>
  </si>
  <si>
    <t>PETUNI SWEETUNIA POPCORN</t>
  </si>
  <si>
    <t>001!0611884390050</t>
  </si>
  <si>
    <t>PETUNI SWEETUNIA PURPLE SPOTLT</t>
  </si>
  <si>
    <t>001!0611863718050</t>
  </si>
  <si>
    <t>PETUNI SWEETUNIA PURPLE STAR</t>
  </si>
  <si>
    <t>001!0611884391050</t>
  </si>
  <si>
    <t>PETUNI SWEETUNIA PURPLE TOUCH</t>
  </si>
  <si>
    <t>001!0611863719050</t>
  </si>
  <si>
    <t>PETUNI SWEETUNIA PURPLE VEIN</t>
  </si>
  <si>
    <t>001!0611863720050</t>
  </si>
  <si>
    <t>PETUNI SWEETUNIA RASPBRY LMND</t>
  </si>
  <si>
    <t>001!0611863721050</t>
  </si>
  <si>
    <t>PETUNI SWEETUNIA ROSE SHIMMER</t>
  </si>
  <si>
    <t>001!0611863722050</t>
  </si>
  <si>
    <t>PETUNI SWEETUNIA STRWBRY MORNG</t>
  </si>
  <si>
    <t>001!0611863723050</t>
  </si>
  <si>
    <t>PETUNI SWEETUNIA SUZIE STORM</t>
  </si>
  <si>
    <t>001!0611863724050</t>
  </si>
  <si>
    <t>PETUNI SWEETUNIA WHITE</t>
  </si>
  <si>
    <t>001!0611863726050</t>
  </si>
  <si>
    <t>PETUNI TEA SERIES</t>
  </si>
  <si>
    <t>001!0611838157100</t>
  </si>
  <si>
    <t>PETUNI TITAN SERIES</t>
  </si>
  <si>
    <t>001!0611884392100</t>
  </si>
  <si>
    <t>PETUNI TRILOGY SERIES</t>
  </si>
  <si>
    <t>001!0611838158100</t>
  </si>
  <si>
    <t>PETUNI TRITUNIA BLUE</t>
  </si>
  <si>
    <t>001!0611838159100</t>
  </si>
  <si>
    <t>PETUNI TRITUNIA BLUE STAR</t>
  </si>
  <si>
    <t>001!0611838160100</t>
  </si>
  <si>
    <t>PETUNI TRITUNIA BLUE VEINED</t>
  </si>
  <si>
    <t>001!0611838161100</t>
  </si>
  <si>
    <t>PETUNI TRITUNIA BURGUNDY</t>
  </si>
  <si>
    <t>001!0611838162100</t>
  </si>
  <si>
    <t>PETUNI TRITUNIA COOL WATER MIX</t>
  </si>
  <si>
    <t>001!0611838163100</t>
  </si>
  <si>
    <t>PETUNI TRITUNIA CRIMSON STAR</t>
  </si>
  <si>
    <t>001!0611838164100</t>
  </si>
  <si>
    <t>PETUNI TRITUNIA FRESH WHITE</t>
  </si>
  <si>
    <t>001!0611838165100</t>
  </si>
  <si>
    <t>PETUNI TRITUNIA LAVENDER</t>
  </si>
  <si>
    <t>001!0611838166100</t>
  </si>
  <si>
    <t>PETUNI TRITUNIA MIX</t>
  </si>
  <si>
    <t>001!0611838167100</t>
  </si>
  <si>
    <t>PETUNI TRITUNIA PINK</t>
  </si>
  <si>
    <t>001!0611838168100</t>
  </si>
  <si>
    <t>PETUNI TRITUNIA PINK MORN</t>
  </si>
  <si>
    <t>001!0611838169100</t>
  </si>
  <si>
    <t>PETUNI TRITUNIA PINK VEINED</t>
  </si>
  <si>
    <t>001!0611838170100</t>
  </si>
  <si>
    <t>PETUNI TRITUNIA PLUM</t>
  </si>
  <si>
    <t>001!0611838171100</t>
  </si>
  <si>
    <t>PETUNI TRITUNIA PURPLE</t>
  </si>
  <si>
    <t>001!0611838172100</t>
  </si>
  <si>
    <t>PETUNI TRITUNIA PURPLE STAR</t>
  </si>
  <si>
    <t>001!0611838173100</t>
  </si>
  <si>
    <t>PETUNI TRITUNIA RED</t>
  </si>
  <si>
    <t>001!0611838174100</t>
  </si>
  <si>
    <t>PETUNI TRITUNIA RED STAR</t>
  </si>
  <si>
    <t>001!0611838175100</t>
  </si>
  <si>
    <t>PETUNI TRITUNIA ROSE</t>
  </si>
  <si>
    <t>001!0611838176100</t>
  </si>
  <si>
    <t>PETUNI TRITUNIA ROSE STAR</t>
  </si>
  <si>
    <t>001!0611838177100</t>
  </si>
  <si>
    <t>PETUNI TRITUNIA SALMON</t>
  </si>
  <si>
    <t>001!0611838178100</t>
  </si>
  <si>
    <t>PETUNI TRITUNIA SALMON VEINED</t>
  </si>
  <si>
    <t>001!0611838179100</t>
  </si>
  <si>
    <t>PETUNI TRITUNIA SERIES</t>
  </si>
  <si>
    <t>001!0611838180100</t>
  </si>
  <si>
    <t>PETUNI TRITUNIA SKY BLUE</t>
  </si>
  <si>
    <t>001!0611838181100</t>
  </si>
  <si>
    <t>PETUNI TRITUNIA SPIRIT MIX</t>
  </si>
  <si>
    <t>001!0611838182100</t>
  </si>
  <si>
    <t>PETUNI TRITUNIA STAR MIX</t>
  </si>
  <si>
    <t>001!0611838183100</t>
  </si>
  <si>
    <t>PETUNI TRITUNIA VEINED MIX</t>
  </si>
  <si>
    <t>001!0611838184100</t>
  </si>
  <si>
    <t>PETUNI TRITUNIA VIOLET</t>
  </si>
  <si>
    <t>001!0611838185100</t>
  </si>
  <si>
    <t>PETUNI TRITUNIA WHITE</t>
  </si>
  <si>
    <t>001!0611838186100</t>
  </si>
  <si>
    <t>PETUNI TUMBELINA SERIES</t>
  </si>
  <si>
    <t>001!0611884393100</t>
  </si>
  <si>
    <t>PETUNI ULTRA BLUE</t>
  </si>
  <si>
    <t>001!0611838187100</t>
  </si>
  <si>
    <t>PETUNI ULTRA BLUE STAR</t>
  </si>
  <si>
    <t>001!0611838188100</t>
  </si>
  <si>
    <t>PETUNI ULTRA BURGUNDY</t>
  </si>
  <si>
    <t>001!0611838189100</t>
  </si>
  <si>
    <t>PETUNI ULTRA CRIMSON STAR</t>
  </si>
  <si>
    <t>001!0611838190100</t>
  </si>
  <si>
    <t>PETUNI ULTRA LILAC</t>
  </si>
  <si>
    <t>001!0611838191100</t>
  </si>
  <si>
    <t>PETUNI ULTRA MIX</t>
  </si>
  <si>
    <t>001!0611838192100</t>
  </si>
  <si>
    <t>PETUNI ULTRA PINK</t>
  </si>
  <si>
    <t>001!0611838193100</t>
  </si>
  <si>
    <t>PETUNI ULTRA RED</t>
  </si>
  <si>
    <t>001!0611838194100</t>
  </si>
  <si>
    <t>PETUNI ULTRA RED STAR</t>
  </si>
  <si>
    <t>001!0611838195100</t>
  </si>
  <si>
    <t>PETUNI ULTRA SKY BLUE</t>
  </si>
  <si>
    <t>001!0611838198100</t>
  </si>
  <si>
    <t>PETUNI ULTRA VIOLET</t>
  </si>
  <si>
    <t>001!0611838200100</t>
  </si>
  <si>
    <t>PETUNI ULTRA WHITE</t>
  </si>
  <si>
    <t>001!0611838201100</t>
  </si>
  <si>
    <t>PETUNI VALENTINE</t>
  </si>
  <si>
    <t>001!0611838202100</t>
  </si>
  <si>
    <t>PETUNI VERANDA ROSE MORN</t>
  </si>
  <si>
    <t>001!0611838207100</t>
  </si>
  <si>
    <t>PETUNI VERANDA SERIES</t>
  </si>
  <si>
    <t>001!0611838209100</t>
  </si>
  <si>
    <t>PETUNI WAVE BLUE</t>
  </si>
  <si>
    <t>001!0611838212100</t>
  </si>
  <si>
    <t>001!0611838214050</t>
  </si>
  <si>
    <t>PETUNI WAVE CARMINE VELOUR</t>
  </si>
  <si>
    <t>001!0611838215100</t>
  </si>
  <si>
    <t>PETUNI WAVE E3 EASY BLUE</t>
  </si>
  <si>
    <t>001!0611838216100</t>
  </si>
  <si>
    <t>PETUNI WAVE E3 EASY CORAL</t>
  </si>
  <si>
    <t>001!0611838217100</t>
  </si>
  <si>
    <t>PETUNI WAVE E3 EASY MIX</t>
  </si>
  <si>
    <t>001!0611857075100</t>
  </si>
  <si>
    <t>PETUNI WAVE E3 EASY PINK</t>
  </si>
  <si>
    <t>001!0611838218100</t>
  </si>
  <si>
    <t>PETUNI WAVE E3 EASY PINK COSMO</t>
  </si>
  <si>
    <t>001!0611838219100</t>
  </si>
  <si>
    <t>PETUNI WAVE E3 EASY RED</t>
  </si>
  <si>
    <t>001!0611838220100</t>
  </si>
  <si>
    <t>PETUNI WAVE E3 EASY SKY BLUE</t>
  </si>
  <si>
    <t>001!0611838221100</t>
  </si>
  <si>
    <t>PETUNI WAVE E3 EASY WHITE</t>
  </si>
  <si>
    <t>001!0611838222100</t>
  </si>
  <si>
    <t>PETUNI WAVE EASY BCHCMBR MIX</t>
  </si>
  <si>
    <t>001!0611838223100</t>
  </si>
  <si>
    <t>001!0611838224050</t>
  </si>
  <si>
    <t>PETUNI WAVE EASY BLUE</t>
  </si>
  <si>
    <t>001!0611838225100</t>
  </si>
  <si>
    <t>001!0611838226025</t>
  </si>
  <si>
    <t>001!0611838227050</t>
  </si>
  <si>
    <t>PETUNI WAVE EASY BURGUNDY STAR</t>
  </si>
  <si>
    <t>001!0611838228100</t>
  </si>
  <si>
    <t>001!0611838229050</t>
  </si>
  <si>
    <t>PETUNI WAVE EASY CORAL REEF</t>
  </si>
  <si>
    <t>001!0611838230100</t>
  </si>
  <si>
    <t>001!0611838231050</t>
  </si>
  <si>
    <t>PETUNI WAVE EASY FORMULA MIX</t>
  </si>
  <si>
    <t>001!0611838232100</t>
  </si>
  <si>
    <t>001!0611838233050</t>
  </si>
  <si>
    <t>PETUNI WAVE EASY GELATO MIX</t>
  </si>
  <si>
    <t>001!0611838234100</t>
  </si>
  <si>
    <t>PETUNI WAVE EASY GRTLAKES MIX</t>
  </si>
  <si>
    <t>001!0611838235100</t>
  </si>
  <si>
    <t>001!0611838236050</t>
  </si>
  <si>
    <t>PETUNI WAVE EASY LAV SKY BL</t>
  </si>
  <si>
    <t>001!0611838237100</t>
  </si>
  <si>
    <t>PETUNI WAVE EASY NEON ROSE</t>
  </si>
  <si>
    <t>001!0611838239100</t>
  </si>
  <si>
    <t>001!0611838240050</t>
  </si>
  <si>
    <t>PETUNI WAVE EASY OPP ATTRCT MX</t>
  </si>
  <si>
    <t>001!0611838241100</t>
  </si>
  <si>
    <t>PETUNI WAVE EASY PINK</t>
  </si>
  <si>
    <t>001!0611838242100</t>
  </si>
  <si>
    <t>001!0611838243025</t>
  </si>
  <si>
    <t>001!0611838244050</t>
  </si>
  <si>
    <t>PETUNI WAVE EASY PINK PASSION</t>
  </si>
  <si>
    <t>001!0611838245100</t>
  </si>
  <si>
    <t>001!0611838246050</t>
  </si>
  <si>
    <t>PETUNI WAVE EASY PLUM PDDNG MX</t>
  </si>
  <si>
    <t>001!0611838247100</t>
  </si>
  <si>
    <t>001!0611838248050</t>
  </si>
  <si>
    <t>PETUNI WAVE EASY PLUM VEIN</t>
  </si>
  <si>
    <t>001!0611838249100</t>
  </si>
  <si>
    <t>001!0611838250050</t>
  </si>
  <si>
    <t>PETUNI WAVE EASY RED</t>
  </si>
  <si>
    <t>001!0611838251100</t>
  </si>
  <si>
    <t>001!0611838252025</t>
  </si>
  <si>
    <t>001!0611838253050</t>
  </si>
  <si>
    <t>PETUNI WAVE EASY RISE N SHN MX</t>
  </si>
  <si>
    <t>001!0611838254100</t>
  </si>
  <si>
    <t>PETUNI WAVE EASY ROSE FUSION</t>
  </si>
  <si>
    <t>001!0611838255100</t>
  </si>
  <si>
    <t>PETUNI WAVE EASY ROSY DAWN</t>
  </si>
  <si>
    <t>001!0611838256100</t>
  </si>
  <si>
    <t>001!0611838257050</t>
  </si>
  <si>
    <t>PETUNI WAVE EASY SALMON</t>
  </si>
  <si>
    <t>001!0611838258100</t>
  </si>
  <si>
    <t>PETUNI WAVE EASY SERIES</t>
  </si>
  <si>
    <t>001!0611838259100</t>
  </si>
  <si>
    <t>PETUNI WAVE EASY SILVER</t>
  </si>
  <si>
    <t>001!0611838261100</t>
  </si>
  <si>
    <t>PETUNI WAVE EASY STARFISH MIX</t>
  </si>
  <si>
    <t>001!0611838262100</t>
  </si>
  <si>
    <t>PETUNI WAVE EASY STH BEACH MIX</t>
  </si>
  <si>
    <t>001!0611838264100</t>
  </si>
  <si>
    <t>001!0611838265050</t>
  </si>
  <si>
    <t>PETUNI WAVE EASY THE FLAG MIX</t>
  </si>
  <si>
    <t>001!0611838267100</t>
  </si>
  <si>
    <t>001!0611838268050</t>
  </si>
  <si>
    <t>PETUNI WAVE EASY VELOUR BERRY</t>
  </si>
  <si>
    <t>001!0611838269100</t>
  </si>
  <si>
    <t>PETUNI WAVE EASY VELOUR BURG</t>
  </si>
  <si>
    <t>001!0611838270100</t>
  </si>
  <si>
    <t>PETUNI WAVE EASY VELOUR RED</t>
  </si>
  <si>
    <t>001!0611838271100</t>
  </si>
  <si>
    <t>001!0611838272050</t>
  </si>
  <si>
    <t>PETUNI WAVE EASY VIOLET</t>
  </si>
  <si>
    <t>001!0611838273100</t>
  </si>
  <si>
    <t>001!0611838274050</t>
  </si>
  <si>
    <t>PETUNI WAVE EASY WHITE</t>
  </si>
  <si>
    <t>001!0611838275100</t>
  </si>
  <si>
    <t>001!0611838276025</t>
  </si>
  <si>
    <t>001!0611838277050</t>
  </si>
  <si>
    <t>PETUNI WAVE EASY YELLOW</t>
  </si>
  <si>
    <t>001!0611838278100</t>
  </si>
  <si>
    <t>001!0611838279050</t>
  </si>
  <si>
    <t>PETUNI WAVE LAVENDER</t>
  </si>
  <si>
    <t>001!0611838280100</t>
  </si>
  <si>
    <t>001!0611838282050</t>
  </si>
  <si>
    <t>PETUNI WAVE MEDLEY MIX</t>
  </si>
  <si>
    <t>001!0611838283025</t>
  </si>
  <si>
    <t>PETUNI WAVE MISTY LILAC</t>
  </si>
  <si>
    <t>001!0611838284100</t>
  </si>
  <si>
    <t>001!0611838286050</t>
  </si>
  <si>
    <t>PETUNI WAVE PINK</t>
  </si>
  <si>
    <t>001!0611838287100</t>
  </si>
  <si>
    <t>001!0611838288025</t>
  </si>
  <si>
    <t>001!0611838289050</t>
  </si>
  <si>
    <t>PETUNI WAVE PURPLE</t>
  </si>
  <si>
    <t>001!0611838290100</t>
  </si>
  <si>
    <t>001!0611838291050</t>
  </si>
  <si>
    <t>PETUNI WAVE PURPLE CLASSIC</t>
  </si>
  <si>
    <t>001!0611838292100</t>
  </si>
  <si>
    <t>001!0611838293100</t>
  </si>
  <si>
    <t>001!0611838294025</t>
  </si>
  <si>
    <t>001!0611838295050</t>
  </si>
  <si>
    <t>PETUNI WAVE ROSE</t>
  </si>
  <si>
    <t>001!0611838296100</t>
  </si>
  <si>
    <t>PETUNI WAVE SHOCK COCONUT</t>
  </si>
  <si>
    <t>001!0611838299100</t>
  </si>
  <si>
    <t>PETUNI WAVE SHOCK CORAL CRUSH</t>
  </si>
  <si>
    <t>001!0611838300100</t>
  </si>
  <si>
    <t>PETUNI WAVE SHOCK DEEP PURPLE</t>
  </si>
  <si>
    <t>001!0611838301100</t>
  </si>
  <si>
    <t>PETUNI WAVE SHOCK DENIM</t>
  </si>
  <si>
    <t>001!0611838303100</t>
  </si>
  <si>
    <t>PETUNI WAVE SHOCK PINK SHADES</t>
  </si>
  <si>
    <t>001!0611838305100</t>
  </si>
  <si>
    <t>PETUNI WAVE SHOCK PINK VEIN</t>
  </si>
  <si>
    <t>001!0611838306100</t>
  </si>
  <si>
    <t>PETUNI WAVE SHOCK POWER MIX</t>
  </si>
  <si>
    <t>001!0611838307100</t>
  </si>
  <si>
    <t>PETUNI WAVE SHOCK PPL TIE DYE</t>
  </si>
  <si>
    <t>001!0611838308100</t>
  </si>
  <si>
    <t>PETUNI WAVE SHOCK PURPLE</t>
  </si>
  <si>
    <t>001!0611838309100</t>
  </si>
  <si>
    <t>PETUNI WAVE SHOCK RED</t>
  </si>
  <si>
    <t>001!0611838310100</t>
  </si>
  <si>
    <t>PETUNI WAVE SHOCK ROSE</t>
  </si>
  <si>
    <t>001!0611838312100</t>
  </si>
  <si>
    <t>PETUNI WAVE SHOCK SPARK MIX</t>
  </si>
  <si>
    <t>001!0611838314100</t>
  </si>
  <si>
    <t>PETUNI WAVE SHOCK VOLT MIX</t>
  </si>
  <si>
    <t>001!0611838315100</t>
  </si>
  <si>
    <t>PETUNI WAVE SHOCK WHITE</t>
  </si>
  <si>
    <t>001!0611838316100</t>
  </si>
  <si>
    <t>PETUNI WAVE SHOCK YELLOW</t>
  </si>
  <si>
    <t>001!0611838317100</t>
  </si>
  <si>
    <t>PETUNI WAVE TIDAL CHERRY</t>
  </si>
  <si>
    <t>001!0611838318100</t>
  </si>
  <si>
    <t>PETUNI WAVE TIDAL HOT PINK</t>
  </si>
  <si>
    <t>001!0611838320100</t>
  </si>
  <si>
    <t>PETUNI WAVE TIDAL PURPLE</t>
  </si>
  <si>
    <t>001!0611838321100</t>
  </si>
  <si>
    <t>PETUNI WAVE TIDAL RED VELOUR</t>
  </si>
  <si>
    <t>001!0611838322100</t>
  </si>
  <si>
    <t>PETUNI WAVE TIDAL SILVER</t>
  </si>
  <si>
    <t>001!0611838323100</t>
  </si>
  <si>
    <t>001!0611838324050</t>
  </si>
  <si>
    <t>PETUNI WHITE BILINGUAL DESIGN</t>
  </si>
  <si>
    <t>001!0611838325100</t>
  </si>
  <si>
    <t>PETUNI WHITE GENERIC</t>
  </si>
  <si>
    <t>001!0611838326100</t>
  </si>
  <si>
    <t>PETUNI YELLOW GENERIC</t>
  </si>
  <si>
    <t>001!0611838327100</t>
  </si>
  <si>
    <t>PETUNI ZOOM PURPLE</t>
  </si>
  <si>
    <t>001!0611838328100</t>
  </si>
  <si>
    <t>PHILOD BLUSHING GENERIC</t>
  </si>
  <si>
    <t>001!0611857076100</t>
  </si>
  <si>
    <t>PHILOD HEART LEAF</t>
  </si>
  <si>
    <t>001!0611838354100</t>
  </si>
  <si>
    <t>PHILOD PHILODENDRON GENERIC</t>
  </si>
  <si>
    <t>001!0611838355100</t>
  </si>
  <si>
    <t>PHLOX 21ST CENTURY BLUE</t>
  </si>
  <si>
    <t>001!0611838356100</t>
  </si>
  <si>
    <t>PHLOX 21ST CENTURY CRIMSON</t>
  </si>
  <si>
    <t>001!0611838358100</t>
  </si>
  <si>
    <t>PHLOX 21ST CENTURY MIX</t>
  </si>
  <si>
    <t>001!0611838360100</t>
  </si>
  <si>
    <t>PHLOX 21ST CENTURY PATRIOT MX</t>
  </si>
  <si>
    <t>001!0611838361100</t>
  </si>
  <si>
    <t>PHLOX 21ST CENTURY PINK</t>
  </si>
  <si>
    <t>001!0611838362100</t>
  </si>
  <si>
    <t>PHLOX 21ST CENTURY SCARLET</t>
  </si>
  <si>
    <t>001!0611838363100</t>
  </si>
  <si>
    <t>PHLOX 21ST CENTURY WHITE</t>
  </si>
  <si>
    <t>001!0611838364100</t>
  </si>
  <si>
    <t>PHLOX AMAZING GRACE</t>
  </si>
  <si>
    <t>001!0611838365025</t>
  </si>
  <si>
    <t>001!0611863727100</t>
  </si>
  <si>
    <t>PHLOX BABY DOLL WHITE</t>
  </si>
  <si>
    <t>001!0611857077025</t>
  </si>
  <si>
    <t>PHLOX BLUE BOY</t>
  </si>
  <si>
    <t>001!0611838366025</t>
  </si>
  <si>
    <t>PHLOX BLUE GENERIC</t>
  </si>
  <si>
    <t>001!0611838367100</t>
  </si>
  <si>
    <t>PHLOX BLUE MOON</t>
  </si>
  <si>
    <t>001!0611838369025</t>
  </si>
  <si>
    <t>001!0611863728100</t>
  </si>
  <si>
    <t>PHLOX BLUE PARADISE</t>
  </si>
  <si>
    <t>001!0611838370025</t>
  </si>
  <si>
    <t>PHLOX BRIGHT EYES</t>
  </si>
  <si>
    <t>001!0611838371025</t>
  </si>
  <si>
    <t>PHLOX CANDY STRIPE</t>
  </si>
  <si>
    <t>001!0611838372025</t>
  </si>
  <si>
    <t>001!0611863729100</t>
  </si>
  <si>
    <t>001!0611863730050</t>
  </si>
  <si>
    <t>PHLOX CANDY STRIPES MOSS</t>
  </si>
  <si>
    <t>001!0611863731050</t>
  </si>
  <si>
    <t>PHLOX CHATTAHOOCHEE</t>
  </si>
  <si>
    <t>001!0611838374025</t>
  </si>
  <si>
    <t>001!0611863732050</t>
  </si>
  <si>
    <t>001!0611863733100</t>
  </si>
  <si>
    <t>PHLOX CHERRY CREAM</t>
  </si>
  <si>
    <t>001!0611838375025</t>
  </si>
  <si>
    <t>PHLOX CORAL EYE</t>
  </si>
  <si>
    <t>001!0611838376025</t>
  </si>
  <si>
    <t>PHLOX CREEPING PHLOX GENERIC</t>
  </si>
  <si>
    <t>001!0611838377100</t>
  </si>
  <si>
    <t>001!0611838378025</t>
  </si>
  <si>
    <t>PHLOX CRIMSON BEAUTY</t>
  </si>
  <si>
    <t>001!0611838379025</t>
  </si>
  <si>
    <t>001!0611863734100</t>
  </si>
  <si>
    <t>001!0611863735050</t>
  </si>
  <si>
    <t>PHLOX DAVID</t>
  </si>
  <si>
    <t>001!0611838380025</t>
  </si>
  <si>
    <t>PHLOX DRUMMOND PINK</t>
  </si>
  <si>
    <t>001!0611838382025</t>
  </si>
  <si>
    <t>001!0611863736100</t>
  </si>
  <si>
    <t>001!0611863737050</t>
  </si>
  <si>
    <t>PHLOX DWARF HYBRIDS GENERIC</t>
  </si>
  <si>
    <t>001!0611857078025</t>
  </si>
  <si>
    <t>PHLOX EARLY BLUSH POP</t>
  </si>
  <si>
    <t>001!0611863738100</t>
  </si>
  <si>
    <t>PHLOX EARLY CERISE</t>
  </si>
  <si>
    <t>001!0611863739100</t>
  </si>
  <si>
    <t>001!0611863740050</t>
  </si>
  <si>
    <t>PHLOX EARLY LAVENDER POP</t>
  </si>
  <si>
    <t>001!0611863741100</t>
  </si>
  <si>
    <t>PHLOX EARLY MAGENTA</t>
  </si>
  <si>
    <t>001!0611863742100</t>
  </si>
  <si>
    <t>001!0611863743050</t>
  </si>
  <si>
    <t>PHLOX EARLY PINK</t>
  </si>
  <si>
    <t>001!0611863744100</t>
  </si>
  <si>
    <t>001!0611863745050</t>
  </si>
  <si>
    <t>PHLOX EARLY PINK CANDY</t>
  </si>
  <si>
    <t>001!0611863746100</t>
  </si>
  <si>
    <t>PHLOX EARLY PINK EYE</t>
  </si>
  <si>
    <t>001!0611863747100</t>
  </si>
  <si>
    <t>001!0611863748050</t>
  </si>
  <si>
    <t>PHLOX EARLY PURPLE EYE</t>
  </si>
  <si>
    <t>001!0611863749100</t>
  </si>
  <si>
    <t>PHLOX EARLY RED</t>
  </si>
  <si>
    <t>001!0611863751100</t>
  </si>
  <si>
    <t>PHLOX EARLY RED LMTD</t>
  </si>
  <si>
    <t>001!0611863752050</t>
  </si>
  <si>
    <t>PHLOX EARLY WHITE</t>
  </si>
  <si>
    <t>001!0611863753100</t>
  </si>
  <si>
    <t>PHLOX EMERALD BLUE</t>
  </si>
  <si>
    <t>001!0611838383100</t>
  </si>
  <si>
    <t>001!0611838384025</t>
  </si>
  <si>
    <t>001!0611863754050</t>
  </si>
  <si>
    <t>PHLOX EMERALD BLUE CN5344</t>
  </si>
  <si>
    <t>001!0611863755100</t>
  </si>
  <si>
    <t>PHLOX EMERALD CUSHION BLUE</t>
  </si>
  <si>
    <t>001!0611838385025</t>
  </si>
  <si>
    <t>001!0611863756050</t>
  </si>
  <si>
    <t>PHLOX EMERALD PINK</t>
  </si>
  <si>
    <t>001!0611838386100</t>
  </si>
  <si>
    <t>001!0611838387025</t>
  </si>
  <si>
    <t>001!0611863757050</t>
  </si>
  <si>
    <t>PHLOX EMERALD PINK CN5345</t>
  </si>
  <si>
    <t>001!0611863758100</t>
  </si>
  <si>
    <t>PHLOX EVA CULLUM</t>
  </si>
  <si>
    <t>001!0611838388025</t>
  </si>
  <si>
    <t>PHLOX FAMOUS CORAL</t>
  </si>
  <si>
    <t>001!0611838390025</t>
  </si>
  <si>
    <t>PHLOX FAMOUS LIGHT PINK</t>
  </si>
  <si>
    <t>001!0611838391025</t>
  </si>
  <si>
    <t>PHLOX FAMOUS MAGENTA</t>
  </si>
  <si>
    <t>001!0611838393025</t>
  </si>
  <si>
    <t>PHLOX FAMOUS PINK</t>
  </si>
  <si>
    <t>001!0611838394025</t>
  </si>
  <si>
    <t>PHLOX FLAME BLUE</t>
  </si>
  <si>
    <t>001!0611838399025</t>
  </si>
  <si>
    <t>PHLOX FLAME BLUE LMTD</t>
  </si>
  <si>
    <t>001!0611863759100</t>
  </si>
  <si>
    <t>001!0611863760050</t>
  </si>
  <si>
    <t>PHLOX FLAME CORAL</t>
  </si>
  <si>
    <t>001!0611838401025</t>
  </si>
  <si>
    <t>001!0611863761100</t>
  </si>
  <si>
    <t>001!0611863762050</t>
  </si>
  <si>
    <t>PHLOX FLAME LIGHT BLUE</t>
  </si>
  <si>
    <t>001!0611838402025</t>
  </si>
  <si>
    <t>001!0611863763100</t>
  </si>
  <si>
    <t>PHLOX FLAME LIGHT BLUE LMTD</t>
  </si>
  <si>
    <t>001!0611863764050</t>
  </si>
  <si>
    <t>PHLOX FLAME LIGHT PINK</t>
  </si>
  <si>
    <t>001!0611838403025</t>
  </si>
  <si>
    <t>001!0611863765100</t>
  </si>
  <si>
    <t>001!0611863766050</t>
  </si>
  <si>
    <t>PHLOX FLAME LILAC</t>
  </si>
  <si>
    <t>001!0611838404025</t>
  </si>
  <si>
    <t>001!0611863767100</t>
  </si>
  <si>
    <t>PHLOX FLAME LILAC STAR</t>
  </si>
  <si>
    <t>001!0611857079025</t>
  </si>
  <si>
    <t>001!0611863768100</t>
  </si>
  <si>
    <t>PHLOX FLAME MARINE</t>
  </si>
  <si>
    <t>001!0611838405025</t>
  </si>
  <si>
    <t>PHLOX FLAME PINK</t>
  </si>
  <si>
    <t>001!0611838406025</t>
  </si>
  <si>
    <t>001!0611863769100</t>
  </si>
  <si>
    <t>PHLOX FLAME PINK EYE</t>
  </si>
  <si>
    <t>001!0611838407025</t>
  </si>
  <si>
    <t>PHLOX FLAME PINK EYE LMTD</t>
  </si>
  <si>
    <t>001!0611863770100</t>
  </si>
  <si>
    <t>001!0611863771050</t>
  </si>
  <si>
    <t>PHLOX FLAME PINK LMTD</t>
  </si>
  <si>
    <t>001!0611863772050</t>
  </si>
  <si>
    <t>PHLOX FLAME PRO BABY DOLL</t>
  </si>
  <si>
    <t>001!0611863773100</t>
  </si>
  <si>
    <t>001!0611863774050</t>
  </si>
  <si>
    <t>PHLOX FLAME PRO CERISE</t>
  </si>
  <si>
    <t>001!0611863775100</t>
  </si>
  <si>
    <t>001!0611863776050</t>
  </si>
  <si>
    <t>PHLOX FLAME PRO LILAC</t>
  </si>
  <si>
    <t>001!0611863777100</t>
  </si>
  <si>
    <t>001!0611863778050</t>
  </si>
  <si>
    <t>PHLOX FLAME PRO PINK POP</t>
  </si>
  <si>
    <t>001!0611863779100</t>
  </si>
  <si>
    <t>PHLOX FLAME PRO PURPLE</t>
  </si>
  <si>
    <t>001!0611863780100</t>
  </si>
  <si>
    <t>001!0611863781050</t>
  </si>
  <si>
    <t>PHLOX FLAME PRO VIOLET CHARME</t>
  </si>
  <si>
    <t>001!0611863782100</t>
  </si>
  <si>
    <t>PHLOX FLAME PURPLE</t>
  </si>
  <si>
    <t>001!0611838409025</t>
  </si>
  <si>
    <t>001!0611863783100</t>
  </si>
  <si>
    <t>001!0611863784050</t>
  </si>
  <si>
    <t>PHLOX FLAME PURPLE EYE</t>
  </si>
  <si>
    <t>001!0611838410025</t>
  </si>
  <si>
    <t>001!0611863785100</t>
  </si>
  <si>
    <t>001!0611863786050</t>
  </si>
  <si>
    <t>PHLOX FLAME RED</t>
  </si>
  <si>
    <t>001!0611838411025</t>
  </si>
  <si>
    <t>001!0611863787100</t>
  </si>
  <si>
    <t>PHLOX FLAME RUBY</t>
  </si>
  <si>
    <t>001!0611863788050</t>
  </si>
  <si>
    <t>PHLOX FLAME VIOLET</t>
  </si>
  <si>
    <t>001!0611838413025</t>
  </si>
  <si>
    <t>001!0611863789050</t>
  </si>
  <si>
    <t>PHLOX FLAME WATERMELON</t>
  </si>
  <si>
    <t>001!0611857080025</t>
  </si>
  <si>
    <t>001!0611863790100</t>
  </si>
  <si>
    <t>PHLOX FLAME WHITE</t>
  </si>
  <si>
    <t>001!0611838414025</t>
  </si>
  <si>
    <t>001!0611863791100</t>
  </si>
  <si>
    <t>001!0611863792050</t>
  </si>
  <si>
    <t>PHLOX FLAME WHITE EYE</t>
  </si>
  <si>
    <t>001!0611838415025</t>
  </si>
  <si>
    <t>001!0611863793100</t>
  </si>
  <si>
    <t>PHLOX FORT HILL</t>
  </si>
  <si>
    <t>001!0611838417025</t>
  </si>
  <si>
    <t>001!0611863794100</t>
  </si>
  <si>
    <t>001!0611863795050</t>
  </si>
  <si>
    <t>PHLOX FRANZ SCHUBERT</t>
  </si>
  <si>
    <t>001!0611838418025</t>
  </si>
  <si>
    <t>PHLOX GARDEN GIRLS COVER GIRL</t>
  </si>
  <si>
    <t>001!0611884394025</t>
  </si>
  <si>
    <t>PHLOX GARDEN GIRLS FANCY GIRL</t>
  </si>
  <si>
    <t>001!0611884395025</t>
  </si>
  <si>
    <t>PHLOX GARDEN GIRLS GLAMOUR GRL</t>
  </si>
  <si>
    <t>001!0611884396025</t>
  </si>
  <si>
    <t>PHLOX GARDEN GIRLS MATERL GIRL</t>
  </si>
  <si>
    <t>001!0611884397025</t>
  </si>
  <si>
    <t>PHLOX GARDEN GIRLS PARTY GIRL</t>
  </si>
  <si>
    <t>001!0611884398025</t>
  </si>
  <si>
    <t>PHLOX GARDEN GIRLS UPTOWN GIRL</t>
  </si>
  <si>
    <t>001!0611884399025</t>
  </si>
  <si>
    <t>PHLOX GARDEN PHLOX GENERIC</t>
  </si>
  <si>
    <t>001!0611838419025</t>
  </si>
  <si>
    <t>PHLOX GOLDIPHLOX CHERRY</t>
  </si>
  <si>
    <t>001!0611838420025</t>
  </si>
  <si>
    <t>001!0611863796050</t>
  </si>
  <si>
    <t>PHLOX GOLDIPHLOX LAVENDER EYE</t>
  </si>
  <si>
    <t>001!0611884400025</t>
  </si>
  <si>
    <t>PHLOX GOLDIPHLOX LIGHT BLUE</t>
  </si>
  <si>
    <t>001!0611838421025</t>
  </si>
  <si>
    <t>001!0611863797050</t>
  </si>
  <si>
    <t>PHLOX GOLDIPHLOX LIGHT PINK</t>
  </si>
  <si>
    <t>001!0611884401025</t>
  </si>
  <si>
    <t>PHLOX GOLDIPHLOX PINK</t>
  </si>
  <si>
    <t>001!0611838422025</t>
  </si>
  <si>
    <t>001!0611863798050</t>
  </si>
  <si>
    <t>PHLOX GOLDIPHLOX ROSE</t>
  </si>
  <si>
    <t>001!0611838423025</t>
  </si>
  <si>
    <t>001!0611863799050</t>
  </si>
  <si>
    <t>PHLOX GOLDIPHLOX WHITE</t>
  </si>
  <si>
    <t>001!0611838424025</t>
  </si>
  <si>
    <t>001!0611863800050</t>
  </si>
  <si>
    <t>PHLOX KA POW LAVENDER</t>
  </si>
  <si>
    <t>001!0611838425025</t>
  </si>
  <si>
    <t>PHLOX KA POW PINK</t>
  </si>
  <si>
    <t>001!0611838426025</t>
  </si>
  <si>
    <t>PHLOX KA POW PURPLE</t>
  </si>
  <si>
    <t>001!0611838427025</t>
  </si>
  <si>
    <t>PHLOX KA POW SOFT PINK</t>
  </si>
  <si>
    <t>001!0611838428025</t>
  </si>
  <si>
    <t>PHLOX KA POW WHITE</t>
  </si>
  <si>
    <t>001!0611838429025</t>
  </si>
  <si>
    <t>PHLOX KA POW WHITE BICOLOR</t>
  </si>
  <si>
    <t>001!0611838430025</t>
  </si>
  <si>
    <t>PHLOX LAURA</t>
  </si>
  <si>
    <t>001!0611838431025</t>
  </si>
  <si>
    <t>001!0611863801050</t>
  </si>
  <si>
    <t>PHLOX MAY BREEZE</t>
  </si>
  <si>
    <t>001!0611838432025</t>
  </si>
  <si>
    <t>001!0611863802100</t>
  </si>
  <si>
    <t>PHLOX MCDANIELS CUSHION</t>
  </si>
  <si>
    <t>001!0611838433025</t>
  </si>
  <si>
    <t>PHLOX NICKY</t>
  </si>
  <si>
    <t>001!0611838435025</t>
  </si>
  <si>
    <t>PHLOX NORA LEIGH</t>
  </si>
  <si>
    <t>001!0611838436025</t>
  </si>
  <si>
    <t>PHLOX PEACOCK CHERRY RED</t>
  </si>
  <si>
    <t>001!0611863803050</t>
  </si>
  <si>
    <t>PHLOX PEACOCK WHITE</t>
  </si>
  <si>
    <t>001!0611863804050</t>
  </si>
  <si>
    <t>PHLOX PHLOX GENERIC</t>
  </si>
  <si>
    <t>001!0611838437100</t>
  </si>
  <si>
    <t>PHLOX PHLOX TROT PINK</t>
  </si>
  <si>
    <t>001!0611838438025</t>
  </si>
  <si>
    <t>001!0611863849050</t>
  </si>
  <si>
    <t>PHLOX PHLOXSTAR MAGENTA</t>
  </si>
  <si>
    <t>001!0611857081100</t>
  </si>
  <si>
    <t>PHLOX PHLOXSTAR RED</t>
  </si>
  <si>
    <t>001!0611838439100</t>
  </si>
  <si>
    <t>PHLOX PHLOXSTAR WHITE</t>
  </si>
  <si>
    <t>001!0611838440100</t>
  </si>
  <si>
    <t>PHLOX PHLOXY LADY CHERRY RED</t>
  </si>
  <si>
    <t>001!0611863805050</t>
  </si>
  <si>
    <t>PHLOX PHLOXY LADY HOT PINK</t>
  </si>
  <si>
    <t>001!0611863806050</t>
  </si>
  <si>
    <t>PHLOX PHLOXY LADY PURPLE</t>
  </si>
  <si>
    <t>001!0611863807050</t>
  </si>
  <si>
    <t>PHLOX PHLOXY LADY PURPLE SKY</t>
  </si>
  <si>
    <t>001!0611863808050</t>
  </si>
  <si>
    <t>PHLOX PHLOXY LADY WHITE</t>
  </si>
  <si>
    <t>001!0611863809050</t>
  </si>
  <si>
    <t>PHLOX PINK GENERIC</t>
  </si>
  <si>
    <t>001!0611838441100</t>
  </si>
  <si>
    <t>PHLOX POPSTARS DEEP BLUE</t>
  </si>
  <si>
    <t>001!0611838446100</t>
  </si>
  <si>
    <t>PHLOX POPSTARS MIX</t>
  </si>
  <si>
    <t>001!0611838447100</t>
  </si>
  <si>
    <t>PHLOX POPSTARS PPL WITH EYE</t>
  </si>
  <si>
    <t>001!0611838448100</t>
  </si>
  <si>
    <t>PHLOX POPSTARS PURPLE</t>
  </si>
  <si>
    <t>001!0611838449100</t>
  </si>
  <si>
    <t>PHLOX POPSTARS RED</t>
  </si>
  <si>
    <t>001!0611838450100</t>
  </si>
  <si>
    <t>PHLOX POPSTARS ROSE WITH EYE</t>
  </si>
  <si>
    <t>001!0611838451100</t>
  </si>
  <si>
    <t>PHLOX PURPLE BEAUTY</t>
  </si>
  <si>
    <t>001!0611838453025</t>
  </si>
  <si>
    <t>001!0611863810050</t>
  </si>
  <si>
    <t>PHLOX RED WINGS</t>
  </si>
  <si>
    <t>001!0611838454025</t>
  </si>
  <si>
    <t>001!0611863811100</t>
  </si>
  <si>
    <t>001!0611863812050</t>
  </si>
  <si>
    <t>PHLOX RONSDORFER BEAUTY</t>
  </si>
  <si>
    <t>001!0611838455025</t>
  </si>
  <si>
    <t>PHLOX SCARLET FLAME</t>
  </si>
  <si>
    <t>001!0611838456025</t>
  </si>
  <si>
    <t>001!0611863813100</t>
  </si>
  <si>
    <t>001!0611863814050</t>
  </si>
  <si>
    <t>PHLOX SCARLET FLAME CR4431</t>
  </si>
  <si>
    <t>001!0611863815050</t>
  </si>
  <si>
    <t>PHLOX SHERWOOD PURPLE</t>
  </si>
  <si>
    <t>001!0611838457025</t>
  </si>
  <si>
    <t>PHLOX SNOWFLAKE</t>
  </si>
  <si>
    <t>001!0611838458100</t>
  </si>
  <si>
    <t>001!0611838459025</t>
  </si>
  <si>
    <t>PHLOX SPRING BLUE</t>
  </si>
  <si>
    <t>001!0611863816100</t>
  </si>
  <si>
    <t>PHLOX SPRING DARK PINK</t>
  </si>
  <si>
    <t>001!0611863817100</t>
  </si>
  <si>
    <t>PHLOX SPRING DARK PINK LMTD</t>
  </si>
  <si>
    <t>001!0611863818050</t>
  </si>
  <si>
    <t>PHLOX SPRING HOT PINK</t>
  </si>
  <si>
    <t>001!0611863819100</t>
  </si>
  <si>
    <t>PHLOX SPRING HOT PINK LMTD</t>
  </si>
  <si>
    <t>001!0611863820050</t>
  </si>
  <si>
    <t>PHLOX SPRING LAVENDER</t>
  </si>
  <si>
    <t>001!0611863821100</t>
  </si>
  <si>
    <t>PHLOX SPRING LAVENDER LMTD</t>
  </si>
  <si>
    <t>001!0611863822050</t>
  </si>
  <si>
    <t>PHLOX SPRING LIGHT PINK</t>
  </si>
  <si>
    <t>001!0611863823100</t>
  </si>
  <si>
    <t>PHLOX SPRING LIGHT PINK LMTD</t>
  </si>
  <si>
    <t>001!0611863824050</t>
  </si>
  <si>
    <t>PHLOX SPRING LILAC</t>
  </si>
  <si>
    <t>001!0611863825100</t>
  </si>
  <si>
    <t>PHLOX SPRING LILAC LMTD</t>
  </si>
  <si>
    <t>001!0611863826050</t>
  </si>
  <si>
    <t>PHLOX SPRING PINK</t>
  </si>
  <si>
    <t>001!0611863827100</t>
  </si>
  <si>
    <t>PHLOX SPRING PINK DARK EYE</t>
  </si>
  <si>
    <t>001!0611863828100</t>
  </si>
  <si>
    <t>PHLOX SPRING PURPLE</t>
  </si>
  <si>
    <t>001!0611863829100</t>
  </si>
  <si>
    <t>PHLOX SPRING PURPLE LMTD</t>
  </si>
  <si>
    <t>001!0611863830050</t>
  </si>
  <si>
    <t>PHLOX SPRING SCARLET</t>
  </si>
  <si>
    <t>001!0611863831100</t>
  </si>
  <si>
    <t>PHLOX SPRING SOFT PINK</t>
  </si>
  <si>
    <t>001!0611863832100</t>
  </si>
  <si>
    <t>PHLOX SPRING WHITE</t>
  </si>
  <si>
    <t>001!0611838461100</t>
  </si>
  <si>
    <t>PHLOX SPRING WHITE CN5339</t>
  </si>
  <si>
    <t>001!0611863833100</t>
  </si>
  <si>
    <t>PHLOX SPRING WHITE LMTD</t>
  </si>
  <si>
    <t>001!0611863834050</t>
  </si>
  <si>
    <t>PHLOX STARFIRE</t>
  </si>
  <si>
    <t>001!0611838462025</t>
  </si>
  <si>
    <t>PHLOX SUPER KA POW BLUE</t>
  </si>
  <si>
    <t>001!0611838463025</t>
  </si>
  <si>
    <t>PHLOX SUPER KA POW CORAL</t>
  </si>
  <si>
    <t>001!0611838464025</t>
  </si>
  <si>
    <t>PHLOX SUPER KA POW FUCHSIA</t>
  </si>
  <si>
    <t>001!0611838465025</t>
  </si>
  <si>
    <t>PHLOX SUPER KA POW LAVENDER</t>
  </si>
  <si>
    <t>001!0611838466025</t>
  </si>
  <si>
    <t>PHLOX SUPER KA POW PINK</t>
  </si>
  <si>
    <t>001!0611838467025</t>
  </si>
  <si>
    <t>PHLOX SUPER KA POW WHITE</t>
  </si>
  <si>
    <t>001!0611838468025</t>
  </si>
  <si>
    <t>PHLOX SWT SEDUCTION BLUE</t>
  </si>
  <si>
    <t>001!0611863835050</t>
  </si>
  <si>
    <t>PHLOX SWT SEDUCTION PINK</t>
  </si>
  <si>
    <t>001!0611863836050</t>
  </si>
  <si>
    <t>PHLOX SWT SUM COMP PURPLE BIC</t>
  </si>
  <si>
    <t>001!0611884402025</t>
  </si>
  <si>
    <t>PHLOX SWT SUM DREAM</t>
  </si>
  <si>
    <t>001!0611838469025</t>
  </si>
  <si>
    <t>PHLOX SWT SUM DREAM ORNG ROSE</t>
  </si>
  <si>
    <t>001!0611863837050</t>
  </si>
  <si>
    <t>PHLOX SWT SUM FANTASY</t>
  </si>
  <si>
    <t>001!0611838470025</t>
  </si>
  <si>
    <t>001!0611863838050</t>
  </si>
  <si>
    <t>PHLOX SWT SUM FANTASY PURP BIC</t>
  </si>
  <si>
    <t>001!0611863839050</t>
  </si>
  <si>
    <t>PHLOX SWT SUM FESTIVAL</t>
  </si>
  <si>
    <t>001!0611838471025</t>
  </si>
  <si>
    <t>PHLOX SWT SUM FESTIVAL RS W/D</t>
  </si>
  <si>
    <t>001!0611863840050</t>
  </si>
  <si>
    <t>PHLOX SWT SUM FIREBALL</t>
  </si>
  <si>
    <t>001!0611838472025</t>
  </si>
  <si>
    <t>PHLOX SWT SUM LILAC WINK</t>
  </si>
  <si>
    <t>001!0611838473025</t>
  </si>
  <si>
    <t>PHLOX SWT SUM LLC WINK GARDEN</t>
  </si>
  <si>
    <t>001!0611863841050</t>
  </si>
  <si>
    <t>PHLOX SWT SUM PINK WINK</t>
  </si>
  <si>
    <t>001!0611838474025</t>
  </si>
  <si>
    <t>PHLOX SWT SUM PINK WINK GARDEN</t>
  </si>
  <si>
    <t>001!0611863842050</t>
  </si>
  <si>
    <t>PHLOX SWT SUM QUEEN</t>
  </si>
  <si>
    <t>001!0611838475025</t>
  </si>
  <si>
    <t>PHLOX SWT SUM QUEEN SALM ORNG</t>
  </si>
  <si>
    <t>001!0611863843050</t>
  </si>
  <si>
    <t>PHLOX SWT SUM RED</t>
  </si>
  <si>
    <t>001!0611863844050</t>
  </si>
  <si>
    <t>PHLOX SWT SUM ROSE</t>
  </si>
  <si>
    <t>001!0611838476025</t>
  </si>
  <si>
    <t>001!0611863845050</t>
  </si>
  <si>
    <t>PHLOX SWT SUM SENSATION</t>
  </si>
  <si>
    <t>001!0611838477025</t>
  </si>
  <si>
    <t>PHLOX SWT SUM SENSATION SFT PK</t>
  </si>
  <si>
    <t>001!0611863846050</t>
  </si>
  <si>
    <t>PHLOX SWT SUM SNOW</t>
  </si>
  <si>
    <t>001!0611838478025</t>
  </si>
  <si>
    <t>PHLOX SWT SUM SNOW WHITE</t>
  </si>
  <si>
    <t>001!0611863847050</t>
  </si>
  <si>
    <t>PHLOX SWT SUM SURPRIS VLT WH</t>
  </si>
  <si>
    <t>001!0611863848050</t>
  </si>
  <si>
    <t>PHLOX SWT SUM SURPRISE</t>
  </si>
  <si>
    <t>001!0611838479025</t>
  </si>
  <si>
    <t>PHLOX VIOLET PINWHEELS</t>
  </si>
  <si>
    <t>001!0611838480025</t>
  </si>
  <si>
    <t>PHLOX WHITE DELIGHT</t>
  </si>
  <si>
    <t>001!0611838481025</t>
  </si>
  <si>
    <t>PHLOX WHITE GENERIC</t>
  </si>
  <si>
    <t>001!0611838482025</t>
  </si>
  <si>
    <t>PHLOX WOODLANDER LILAC</t>
  </si>
  <si>
    <t>001!0611863850100</t>
  </si>
  <si>
    <t>001!0611863851050</t>
  </si>
  <si>
    <t>PHLOX WOODLANDER PINK</t>
  </si>
  <si>
    <t>001!0611863852100</t>
  </si>
  <si>
    <t>001!0611863853050</t>
  </si>
  <si>
    <t>PHLOX WOODLANDER ROSE</t>
  </si>
  <si>
    <t>001!0611863854100</t>
  </si>
  <si>
    <t>001!0611863855050</t>
  </si>
  <si>
    <t>PHLOX WOODLANDER WHITE</t>
  </si>
  <si>
    <t>001!0611863856100</t>
  </si>
  <si>
    <t>001!0611863857050</t>
  </si>
  <si>
    <t>PHYSAL CHINESE LANTERN GENERIC</t>
  </si>
  <si>
    <t>001!0611838483100</t>
  </si>
  <si>
    <t>001!0611838484025</t>
  </si>
  <si>
    <t>PHYSAL SUPER VERDE</t>
  </si>
  <si>
    <t>001!0611838485100</t>
  </si>
  <si>
    <t>PHYSAL TOMATILLO GENERIC</t>
  </si>
  <si>
    <t>001!0611838486100</t>
  </si>
  <si>
    <t>PHYSOS AUTUMN CARNIVAL</t>
  </si>
  <si>
    <t>001!0611857082025</t>
  </si>
  <si>
    <t>PHYSOS CROWN ROSE</t>
  </si>
  <si>
    <t>001!0611838487025</t>
  </si>
  <si>
    <t>PHYSOS CRYSTAL PEAK</t>
  </si>
  <si>
    <t>001!0611838489025</t>
  </si>
  <si>
    <t>PILEA CADIEREI</t>
  </si>
  <si>
    <t>001!0611838490100</t>
  </si>
  <si>
    <t>PILEA CREEPING</t>
  </si>
  <si>
    <t>001!0611884403100</t>
  </si>
  <si>
    <t>PILEA CREEPING CHARLIE</t>
  </si>
  <si>
    <t>001!0611838491100</t>
  </si>
  <si>
    <t>PILEA GRAY BABYS TEARS</t>
  </si>
  <si>
    <t>001!0611884404100</t>
  </si>
  <si>
    <t>PILEA MICROPHYLLA</t>
  </si>
  <si>
    <t>001!0611838492100</t>
  </si>
  <si>
    <t>PILEA PALUS CREEPING</t>
  </si>
  <si>
    <t>001!0611863858100</t>
  </si>
  <si>
    <t>PILEA PANTANO CREEPING</t>
  </si>
  <si>
    <t>001!0611863859100</t>
  </si>
  <si>
    <t>PILEA PEPEROMIOIDES</t>
  </si>
  <si>
    <t>001!0611838493100</t>
  </si>
  <si>
    <t>PILEA PILEA GENERIC</t>
  </si>
  <si>
    <t>001!0611838494100</t>
  </si>
  <si>
    <t>PINE ARAUCARIA</t>
  </si>
  <si>
    <t>001!0611831036100</t>
  </si>
  <si>
    <t>PLATYC ASTRA BLUE</t>
  </si>
  <si>
    <t>001!0611838505025</t>
  </si>
  <si>
    <t>PLATYC ASTRA LIGHT PINK</t>
  </si>
  <si>
    <t>001!0611838506025</t>
  </si>
  <si>
    <t>PLATYC ASTRA PINK</t>
  </si>
  <si>
    <t>001!0611838507025</t>
  </si>
  <si>
    <t>PLATYC ASTRA SEMI DOUBLE BLUE</t>
  </si>
  <si>
    <t>001!0611838508025</t>
  </si>
  <si>
    <t>PLATYC ASTRA SEMI DOUBLE PINK</t>
  </si>
  <si>
    <t>001!0611838509025</t>
  </si>
  <si>
    <t>PLATYC ASTRA SEMI DOUBLE WHITE</t>
  </si>
  <si>
    <t>001!0611838510025</t>
  </si>
  <si>
    <t>PLATYC ASTRA WHITE</t>
  </si>
  <si>
    <t>001!0611838511025</t>
  </si>
  <si>
    <t>PLATYC BALLOON FLOWER GENERIC</t>
  </si>
  <si>
    <t>001!0611838512100</t>
  </si>
  <si>
    <t>PLATYC POP STAR BLUE</t>
  </si>
  <si>
    <t>001!0611838515025</t>
  </si>
  <si>
    <t>PLATYC POP STAR PINK</t>
  </si>
  <si>
    <t>001!0611838517025</t>
  </si>
  <si>
    <t>PLATYC POP STAR WHITE</t>
  </si>
  <si>
    <t>001!0611838518025</t>
  </si>
  <si>
    <t>PLATYC SENTIMENTAL BLUE</t>
  </si>
  <si>
    <t>001!0611838519100</t>
  </si>
  <si>
    <t>001!0611838520025</t>
  </si>
  <si>
    <t>PLATYC TWINKLE BLUE</t>
  </si>
  <si>
    <t>001!0611838521025</t>
  </si>
  <si>
    <t>PLATYC TWINKLE WHITE</t>
  </si>
  <si>
    <t>001!0611857083025</t>
  </si>
  <si>
    <t>PLECTR AUSTRALIS SWEDISH IVY</t>
  </si>
  <si>
    <t>001!0611838522100</t>
  </si>
  <si>
    <t>001!0611838523100</t>
  </si>
  <si>
    <t>PLECTR COLEOIDES</t>
  </si>
  <si>
    <t>001!0611863860050</t>
  </si>
  <si>
    <t>PLECTR FLOWERING HYBRIDS GNRC</t>
  </si>
  <si>
    <t>001!0611838524100</t>
  </si>
  <si>
    <t>PLECTR GOLDEN</t>
  </si>
  <si>
    <t>001!0611838525100</t>
  </si>
  <si>
    <t>PLECTR GREEN</t>
  </si>
  <si>
    <t>001!0611838526100</t>
  </si>
  <si>
    <t>PLECTR GUACAMOLE</t>
  </si>
  <si>
    <t>001!0611838527100</t>
  </si>
  <si>
    <t>001!0611863861050</t>
  </si>
  <si>
    <t>PLECTR IBOZA GENERIC</t>
  </si>
  <si>
    <t>001!0611838528100</t>
  </si>
  <si>
    <t>PLECTR LEMON TWIST</t>
  </si>
  <si>
    <t>001!0611838529100</t>
  </si>
  <si>
    <t>001!0611863862050</t>
  </si>
  <si>
    <t>PLECTR MARGINATUS</t>
  </si>
  <si>
    <t>001!0611838530100</t>
  </si>
  <si>
    <t>PLECTR PURPURATUS</t>
  </si>
  <si>
    <t>001!0611838531100</t>
  </si>
  <si>
    <t>PLECTR SILVER SHIELD</t>
  </si>
  <si>
    <t>001!0611838532100</t>
  </si>
  <si>
    <t>PLECTR VARIEGATA</t>
  </si>
  <si>
    <t>001!0611884405100</t>
  </si>
  <si>
    <t>PLECTR VARIEGATUS</t>
  </si>
  <si>
    <t>001!0611838534100</t>
  </si>
  <si>
    <t>001!0611863863050</t>
  </si>
  <si>
    <t>PLECTR VELVET DIVA</t>
  </si>
  <si>
    <t>001!0611838536100</t>
  </si>
  <si>
    <t>PLECTR VELVET ELVIS</t>
  </si>
  <si>
    <t>001!0611838537100</t>
  </si>
  <si>
    <t>PLECTR VELVET IDOL</t>
  </si>
  <si>
    <t>001!0611838538100</t>
  </si>
  <si>
    <t>PLECTR VELVET LADY</t>
  </si>
  <si>
    <t>001!0611838539100</t>
  </si>
  <si>
    <t>PLECTR VELVET STARLET</t>
  </si>
  <si>
    <t>001!0611884406100</t>
  </si>
  <si>
    <t>PLUMBA DARK BLUE GENERIC</t>
  </si>
  <si>
    <t>001!0611838540100</t>
  </si>
  <si>
    <t>PLUMBA IMPERIAL BLUE</t>
  </si>
  <si>
    <t>001!0611838542100</t>
  </si>
  <si>
    <t>001!0611838543025</t>
  </si>
  <si>
    <t>001!0611863864050</t>
  </si>
  <si>
    <t>PLUMBA PLUMBAGO GENERIC</t>
  </si>
  <si>
    <t>001!0611838544100</t>
  </si>
  <si>
    <t>POGOST CABLIN</t>
  </si>
  <si>
    <t>001!0611838545100</t>
  </si>
  <si>
    <t>POLEMO BLUE</t>
  </si>
  <si>
    <t>001!0611838546100</t>
  </si>
  <si>
    <t>POLEMO BLUE PEARL REPTANS</t>
  </si>
  <si>
    <t>001!0611838547025</t>
  </si>
  <si>
    <t>POLEMO GOLDEN FEATHERS</t>
  </si>
  <si>
    <t>001!0611857084025</t>
  </si>
  <si>
    <t>POLEMO HEAVENLY HABIT</t>
  </si>
  <si>
    <t>001!0611838548025</t>
  </si>
  <si>
    <t>POLEMO JACOBS LADDER GENERIC</t>
  </si>
  <si>
    <t>001!0611838549025</t>
  </si>
  <si>
    <t>POLEMO PURPLE RAIN YEZOENSE</t>
  </si>
  <si>
    <t>001!0611838550025</t>
  </si>
  <si>
    <t>POLEMO STAIRWAY TO HVN REPTANS</t>
  </si>
  <si>
    <t>001!0611838551025</t>
  </si>
  <si>
    <t>POLEMO TOUCH OF CLASS</t>
  </si>
  <si>
    <t>001!0611838552025</t>
  </si>
  <si>
    <t>POLYGO VARIEGATUM ODORATUM</t>
  </si>
  <si>
    <t>001!0611838555025</t>
  </si>
  <si>
    <t>PORTUL 24/7 SERIES</t>
  </si>
  <si>
    <t>001!0611884407100</t>
  </si>
  <si>
    <t>PORTUL CAMPINO PINK TWIST</t>
  </si>
  <si>
    <t>001!0611838560100</t>
  </si>
  <si>
    <t>PORTUL CAMPINO RED TWIST</t>
  </si>
  <si>
    <t>001!0611838562100</t>
  </si>
  <si>
    <t>PORTUL COLORBLAST DBL COCONUT</t>
  </si>
  <si>
    <t>001!0611838563100</t>
  </si>
  <si>
    <t>PORTUL COLORBLAST DBL DRGNFRT</t>
  </si>
  <si>
    <t>001!0611838564100</t>
  </si>
  <si>
    <t>PORTUL COLORBLAST DBL GUAVA</t>
  </si>
  <si>
    <t>001!0611838566100</t>
  </si>
  <si>
    <t>PORTUL COLORBLAST DBL MAGENTA</t>
  </si>
  <si>
    <t>001!0611838565100</t>
  </si>
  <si>
    <t>001!0611863865050</t>
  </si>
  <si>
    <t>PORTUL COLORBLAST DBL ORANGE</t>
  </si>
  <si>
    <t>001!0611838568100</t>
  </si>
  <si>
    <t>001!0611863866050</t>
  </si>
  <si>
    <t>PORTUL COLORBLAST DBL PINK</t>
  </si>
  <si>
    <t>001!0611838569100</t>
  </si>
  <si>
    <t>PORTUL COLORBLAST DBL SCARLET</t>
  </si>
  <si>
    <t>001!0611838570100</t>
  </si>
  <si>
    <t>001!0611863867050</t>
  </si>
  <si>
    <t>PORTUL COLORBLAST DBL YELLOW</t>
  </si>
  <si>
    <t>001!0611838571100</t>
  </si>
  <si>
    <t>001!0611863868050</t>
  </si>
  <si>
    <t>PORTUL COLORBLAST GRENADINE</t>
  </si>
  <si>
    <t>001!0611838572100</t>
  </si>
  <si>
    <t>PORTUL COLORBLAST LEMON TWIST</t>
  </si>
  <si>
    <t>001!0611838573100</t>
  </si>
  <si>
    <t>001!0611863869050</t>
  </si>
  <si>
    <t>PORTUL COLORBLAST LIMON</t>
  </si>
  <si>
    <t>001!0611838574100</t>
  </si>
  <si>
    <t>PORTUL COLORBLAST MANGO MOJITO</t>
  </si>
  <si>
    <t>001!0611838575100</t>
  </si>
  <si>
    <t>001!0611863870050</t>
  </si>
  <si>
    <t>PORTUL COLORBLAST PINK LADY</t>
  </si>
  <si>
    <t>001!0611838576100</t>
  </si>
  <si>
    <t>001!0611863871050</t>
  </si>
  <si>
    <t>PORTUL COLORBLAST PLUMBERRY</t>
  </si>
  <si>
    <t>001!0611838577100</t>
  </si>
  <si>
    <t>PORTUL COLORBLAST RUM PUNCH</t>
  </si>
  <si>
    <t>001!0611838578100</t>
  </si>
  <si>
    <t>001!0611863872050</t>
  </si>
  <si>
    <t>PORTUL COLORBLAST TANGERINE</t>
  </si>
  <si>
    <t>001!0611838580100</t>
  </si>
  <si>
    <t>PORTUL COLORBLAST WHITE</t>
  </si>
  <si>
    <t>001!0611857085100</t>
  </si>
  <si>
    <t>PORTUL COLORBLAST WTRMLN PUNCH</t>
  </si>
  <si>
    <t>001!0611838581100</t>
  </si>
  <si>
    <t>001!0611863873050</t>
  </si>
  <si>
    <t>PORTUL CUPCAKE CARROT</t>
  </si>
  <si>
    <t>001!0611863874050</t>
  </si>
  <si>
    <t>PORTUL CUPCAKE CHERRY BABY</t>
  </si>
  <si>
    <t>001!0611863875050</t>
  </si>
  <si>
    <t>PORTUL CUPCAKE COCONUT</t>
  </si>
  <si>
    <t>001!0611863876050</t>
  </si>
  <si>
    <t>PORTUL CUPCAKE GRAPE JELLY</t>
  </si>
  <si>
    <t>001!0611863877050</t>
  </si>
  <si>
    <t>PORTUL CUPCAKE MAGENTA TOUCH</t>
  </si>
  <si>
    <t>001!0611863878050</t>
  </si>
  <si>
    <t>PORTUL CUPCAKE ORANGE TOUCH</t>
  </si>
  <si>
    <t>001!0611863879050</t>
  </si>
  <si>
    <t>PORTUL CUPCAKE PEACHY</t>
  </si>
  <si>
    <t>001!0611863880050</t>
  </si>
  <si>
    <t>PORTUL CUPCAKE PURPLE TOUCH</t>
  </si>
  <si>
    <t>001!0611863881050</t>
  </si>
  <si>
    <t>PORTUL CUPCAKE STRAWBRY BANANA</t>
  </si>
  <si>
    <t>001!0611863882050</t>
  </si>
  <si>
    <t>PORTUL CUPCAKE UPRT LAVENDER</t>
  </si>
  <si>
    <t>001!0611863883050</t>
  </si>
  <si>
    <t>PORTUL CUPCAKE UPRT LEMON ZEST</t>
  </si>
  <si>
    <t>001!0611863884050</t>
  </si>
  <si>
    <t>PORTUL CUPCAKE UPRT ORNG ZEST</t>
  </si>
  <si>
    <t>001!0611863885050</t>
  </si>
  <si>
    <t>PORTUL CUPCAKE UPRT RASPBERRY</t>
  </si>
  <si>
    <t>001!0611863886050</t>
  </si>
  <si>
    <t>PORTUL CUPCAKE UPRT WHITE</t>
  </si>
  <si>
    <t>001!0611863887050</t>
  </si>
  <si>
    <t>PORTUL CUPCAKE YELLOW CHROME</t>
  </si>
  <si>
    <t>001!0611863888050</t>
  </si>
  <si>
    <t>PORTUL DOUBLE GENERIC</t>
  </si>
  <si>
    <t>001!0611838582100</t>
  </si>
  <si>
    <t>PORTUL ELEPHANT BUSH</t>
  </si>
  <si>
    <t>001!0611884408100</t>
  </si>
  <si>
    <t>PORTUL GNRC BLNGL DSIGN</t>
  </si>
  <si>
    <t>001!0611838583100</t>
  </si>
  <si>
    <t>PORTUL HAPPY HOUR BANANA</t>
  </si>
  <si>
    <t>001!0611838584100</t>
  </si>
  <si>
    <t>PORTUL HAPPY HOUR COCONUT</t>
  </si>
  <si>
    <t>001!0611838585100</t>
  </si>
  <si>
    <t>PORTUL HAPPY HOUR DEEP RED</t>
  </si>
  <si>
    <t>001!0611838586100</t>
  </si>
  <si>
    <t>PORTUL HAPPY HOUR FUCHSIA</t>
  </si>
  <si>
    <t>001!0611838587100</t>
  </si>
  <si>
    <t>PORTUL HAPPY HOUR LEMON</t>
  </si>
  <si>
    <t>001!0611838588100</t>
  </si>
  <si>
    <t>PORTUL HAPPY HOUR MIX</t>
  </si>
  <si>
    <t>001!0611838589100</t>
  </si>
  <si>
    <t>PORTUL HAPPY HOUR ORANGE</t>
  </si>
  <si>
    <t>001!0611838590100</t>
  </si>
  <si>
    <t>PORTUL HAPPY HOUR PEPPERMINT</t>
  </si>
  <si>
    <t>001!0611838591100</t>
  </si>
  <si>
    <t>PORTUL HAPPY HOUR ROSITA</t>
  </si>
  <si>
    <t>001!0611838592100</t>
  </si>
  <si>
    <t>PORTUL HAPPY HOUR TROPICAL MIX</t>
  </si>
  <si>
    <t>001!0611838593100</t>
  </si>
  <si>
    <t>PORTUL HAPPY HR PK PASSION MX</t>
  </si>
  <si>
    <t>001!0611838594100</t>
  </si>
  <si>
    <t>PORTUL HAPPY TRAILS SERIES</t>
  </si>
  <si>
    <t>001!0611838595100</t>
  </si>
  <si>
    <t>PORTUL HOT PINK GENERIC</t>
  </si>
  <si>
    <t>001!0611838597100</t>
  </si>
  <si>
    <t>PORTUL HOT SHOT SERIES</t>
  </si>
  <si>
    <t>001!0611884409100</t>
  </si>
  <si>
    <t>PORTUL MACHE LEMON ROSE BIC</t>
  </si>
  <si>
    <t>001!0611838598100</t>
  </si>
  <si>
    <t>PORTUL MARGARITA MIX</t>
  </si>
  <si>
    <t>001!0611838599100</t>
  </si>
  <si>
    <t>PORTUL MEDIOPICTA</t>
  </si>
  <si>
    <t>001!0611863889100</t>
  </si>
  <si>
    <t>PORTUL MIX GENERIC</t>
  </si>
  <si>
    <t>001!0611838600100</t>
  </si>
  <si>
    <t>PORTUL ORANGE GENERIC</t>
  </si>
  <si>
    <t>001!0611838601100</t>
  </si>
  <si>
    <t>PORTUL PAZZAZ APRICOT</t>
  </si>
  <si>
    <t>001!0611838602100</t>
  </si>
  <si>
    <t>PORTUL PAZZAZ BRIGHT PURPLE</t>
  </si>
  <si>
    <t>001!0611838603100</t>
  </si>
  <si>
    <t>PORTUL PAZZAZ DEEP PINK</t>
  </si>
  <si>
    <t>001!0611838604100</t>
  </si>
  <si>
    <t>PORTUL PAZZAZ FUCHSIA</t>
  </si>
  <si>
    <t>001!0611838605100</t>
  </si>
  <si>
    <t>PORTUL PAZZAZ MEGA DARK PINK</t>
  </si>
  <si>
    <t>001!0611838606100</t>
  </si>
  <si>
    <t>PORTUL PAZZAZ MEGA GOLD</t>
  </si>
  <si>
    <t>001!0611838607100</t>
  </si>
  <si>
    <t>PORTUL PAZZAZ MEGA MANGO TWIST</t>
  </si>
  <si>
    <t>001!0611857086100</t>
  </si>
  <si>
    <t>PORTUL PAZZAZ MEGA ORANGE</t>
  </si>
  <si>
    <t>001!0611838608100</t>
  </si>
  <si>
    <t>PORTUL PAZZAZ MEGA PINK TWIST</t>
  </si>
  <si>
    <t>001!0611857087100</t>
  </si>
  <si>
    <t>PORTUL PAZZAZ MEGA PURPLE</t>
  </si>
  <si>
    <t>001!0611838609100</t>
  </si>
  <si>
    <t>PORTUL PAZZAZ MEGA RED</t>
  </si>
  <si>
    <t>001!0611857088100</t>
  </si>
  <si>
    <t>PORTUL PAZZAZ NANO CANDY PINK</t>
  </si>
  <si>
    <t>001!0611838610100</t>
  </si>
  <si>
    <t>PORTUL PAZZAZ NANO FUCHSIA</t>
  </si>
  <si>
    <t>001!0611838611100</t>
  </si>
  <si>
    <t>PORTUL PAZZAZ NANO GOLD</t>
  </si>
  <si>
    <t>001!0611857089100</t>
  </si>
  <si>
    <t>PORTUL PAZZAZ NANO HOT PINK</t>
  </si>
  <si>
    <t>001!0611838612100</t>
  </si>
  <si>
    <t>PORTUL PAZZAZ NANO ORANGE</t>
  </si>
  <si>
    <t>001!0611838613100</t>
  </si>
  <si>
    <t>PORTUL PAZZAZ NANO ORNG TWIST</t>
  </si>
  <si>
    <t>001!0611857090100</t>
  </si>
  <si>
    <t>PORTUL PAZZAZ NANO TROP PUNCH</t>
  </si>
  <si>
    <t>001!0611857091100</t>
  </si>
  <si>
    <t>PORTUL PAZZAZ NANO YELL TWIST</t>
  </si>
  <si>
    <t>001!0611857092100</t>
  </si>
  <si>
    <t>PORTUL PAZZAZ NANO YELLOW</t>
  </si>
  <si>
    <t>001!0611838614100</t>
  </si>
  <si>
    <t>PORTUL PAZZAZ NEON PINK</t>
  </si>
  <si>
    <t>001!0611838615100</t>
  </si>
  <si>
    <t>PORTUL PAZZAZ ORANGE FLARE</t>
  </si>
  <si>
    <t>001!0611838616100</t>
  </si>
  <si>
    <t>PORTUL PAZZAZ RED FLARE</t>
  </si>
  <si>
    <t>001!0611838617100</t>
  </si>
  <si>
    <t>PORTUL PAZZAZ SERIES</t>
  </si>
  <si>
    <t>001!0611838619100</t>
  </si>
  <si>
    <t>PORTUL PAZZAZ TANGERINE</t>
  </si>
  <si>
    <t>001!0611838620100</t>
  </si>
  <si>
    <t>PORTUL PAZZAZ VIVID YELLOW</t>
  </si>
  <si>
    <t>001!0611838621100</t>
  </si>
  <si>
    <t>PORTUL PAZZAZ WHITE</t>
  </si>
  <si>
    <t>001!0611838622100</t>
  </si>
  <si>
    <t>PORTUL PAZZAZ YELLOW</t>
  </si>
  <si>
    <t>001!0611838623100</t>
  </si>
  <si>
    <t>PORTUL PINK GENERIC</t>
  </si>
  <si>
    <t>001!0611838624100</t>
  </si>
  <si>
    <t>PORTUL PORTULACA GENERIC</t>
  </si>
  <si>
    <t>001!0611838625100</t>
  </si>
  <si>
    <t>PORTUL PURPLE GENERIC</t>
  </si>
  <si>
    <t>001!0611838626100</t>
  </si>
  <si>
    <t>PORTUL PURSLANE GENERIC</t>
  </si>
  <si>
    <t>001!0611838627100</t>
  </si>
  <si>
    <t>001!0611838628100</t>
  </si>
  <si>
    <t>PORTUL RED GENERIC</t>
  </si>
  <si>
    <t>001!0611838629100</t>
  </si>
  <si>
    <t>PORTUL ROSE GENERIC</t>
  </si>
  <si>
    <t>001!0611838630100</t>
  </si>
  <si>
    <t>PORTUL SAMBA BICOLOR</t>
  </si>
  <si>
    <t>001!0611838631100</t>
  </si>
  <si>
    <t>PORTUL SAMBA HOT PINK</t>
  </si>
  <si>
    <t>001!0611838632100</t>
  </si>
  <si>
    <t>PORTUL SAMBA ROSE</t>
  </si>
  <si>
    <t>001!0611838633100</t>
  </si>
  <si>
    <t>PORTUL STOPWATCH CREAM</t>
  </si>
  <si>
    <t>001!0611838634100</t>
  </si>
  <si>
    <t>PORTUL STOPWATCH FUCHSIA</t>
  </si>
  <si>
    <t>001!0611838635100</t>
  </si>
  <si>
    <t>PORTUL STOPWATCH MIX</t>
  </si>
  <si>
    <t>001!0611838636100</t>
  </si>
  <si>
    <t>PORTUL STOPWATCH ORANGE</t>
  </si>
  <si>
    <t>001!0611838637100</t>
  </si>
  <si>
    <t>PORTUL STOPWATCH SCARLET</t>
  </si>
  <si>
    <t>001!0611838639100</t>
  </si>
  <si>
    <t>PORTUL STOPWATCH YELLOW</t>
  </si>
  <si>
    <t>001!0611838641100</t>
  </si>
  <si>
    <t>PORTUL SUNDANCE MIX</t>
  </si>
  <si>
    <t>001!0611838642100</t>
  </si>
  <si>
    <t>PORTUL SUNDIAL CALIENTE MIX</t>
  </si>
  <si>
    <t>001!0611838643100</t>
  </si>
  <si>
    <t>PORTUL SUNDIAL CORAL</t>
  </si>
  <si>
    <t>001!0611838644100</t>
  </si>
  <si>
    <t>PORTUL SUNDIAL DEEP RED</t>
  </si>
  <si>
    <t>001!0611838646100</t>
  </si>
  <si>
    <t>PORTUL SUNDIAL FUCHSIA</t>
  </si>
  <si>
    <t>001!0611838647100</t>
  </si>
  <si>
    <t>PORTUL SUNDIAL GOLD</t>
  </si>
  <si>
    <t>001!0611838648100</t>
  </si>
  <si>
    <t>PORTUL SUNDIAL LIGHT PINK</t>
  </si>
  <si>
    <t>001!0611838649100</t>
  </si>
  <si>
    <t>PORTUL SUNDIAL MANGO</t>
  </si>
  <si>
    <t>001!0611838650100</t>
  </si>
  <si>
    <t>PORTUL SUNDIAL MIX</t>
  </si>
  <si>
    <t>001!0611838651100</t>
  </si>
  <si>
    <t>PORTUL SUNDIAL ORANGE</t>
  </si>
  <si>
    <t>001!0611838652100</t>
  </si>
  <si>
    <t>PORTUL SUNDIAL PEACH</t>
  </si>
  <si>
    <t>001!0611838653100</t>
  </si>
  <si>
    <t>PORTUL SUNDIAL PEPPERMINT</t>
  </si>
  <si>
    <t>001!0611838654100</t>
  </si>
  <si>
    <t>PORTUL SUNDIAL PINK</t>
  </si>
  <si>
    <t>001!0611838655100</t>
  </si>
  <si>
    <t>PORTUL SUNDIAL SCARLET</t>
  </si>
  <si>
    <t>001!0611838656100</t>
  </si>
  <si>
    <t>PORTUL SUNDIAL TANGERINE</t>
  </si>
  <si>
    <t>001!0611838657100</t>
  </si>
  <si>
    <t>PORTUL SUNDIAL WHITE</t>
  </si>
  <si>
    <t>001!0611838658100</t>
  </si>
  <si>
    <t>PORTUL SUNDIAL YELLOW</t>
  </si>
  <si>
    <t>001!0611838659100</t>
  </si>
  <si>
    <t>PORTUL SUNSEEKER MIX</t>
  </si>
  <si>
    <t>001!0611838666100</t>
  </si>
  <si>
    <t>PORTUL SUNSEEKER ORANGE</t>
  </si>
  <si>
    <t>001!0611838667100</t>
  </si>
  <si>
    <t>PORTUL SUNSEEKER RED</t>
  </si>
  <si>
    <t>001!0611838668100</t>
  </si>
  <si>
    <t>PORTUL SUNSEEKER YELLOW</t>
  </si>
  <si>
    <t>001!0611838669100</t>
  </si>
  <si>
    <t>PORTUL TEQUILA MIX</t>
  </si>
  <si>
    <t>001!0611838671100</t>
  </si>
  <si>
    <t>PORTUL TOUCAN SCARLET SHADES</t>
  </si>
  <si>
    <t>001!0611838675100</t>
  </si>
  <si>
    <t>PORTUL VARIEGATA</t>
  </si>
  <si>
    <t>001!0611863890100</t>
  </si>
  <si>
    <t>PORTUL WHITE GENERIC</t>
  </si>
  <si>
    <t>001!0611838677100</t>
  </si>
  <si>
    <t>PORTUL YELLOW GENERIC</t>
  </si>
  <si>
    <t>001!0611838678100</t>
  </si>
  <si>
    <t>PORTUL YUBI APRICOT</t>
  </si>
  <si>
    <t>001!0611838679100</t>
  </si>
  <si>
    <t>PORTUL YUBI SCARLET</t>
  </si>
  <si>
    <t>001!0611838680100</t>
  </si>
  <si>
    <t>POTENT MISS WILLMOTT</t>
  </si>
  <si>
    <t>001!0611838681025</t>
  </si>
  <si>
    <t>POTENT NANA VERNA</t>
  </si>
  <si>
    <t>001!0611838682100</t>
  </si>
  <si>
    <t>POTERI BURNET</t>
  </si>
  <si>
    <t>001!0611838683100</t>
  </si>
  <si>
    <t>PRIMUL BONNELI SERIES</t>
  </si>
  <si>
    <t>001!0611884410100</t>
  </si>
  <si>
    <t>PRIMUL DANESSA MIX</t>
  </si>
  <si>
    <t>001!0611838695100</t>
  </si>
  <si>
    <t>PRIMUL DANIA SERIES</t>
  </si>
  <si>
    <t>001!0611857093100</t>
  </si>
  <si>
    <t>PRIMUL DANOVA BLUE</t>
  </si>
  <si>
    <t>001!0611838696100</t>
  </si>
  <si>
    <t>PRIMUL DANOVA GOLDEN YELLOW</t>
  </si>
  <si>
    <t>001!0611838697100</t>
  </si>
  <si>
    <t>PRIMUL DANOVA GROWER SELECT MX</t>
  </si>
  <si>
    <t>001!0611838698100</t>
  </si>
  <si>
    <t>PRIMUL DANOVA MIX</t>
  </si>
  <si>
    <t>001!0611838699100</t>
  </si>
  <si>
    <t>PRIMUL DANOVA MIX ACAULIS</t>
  </si>
  <si>
    <t>001!0611838700100</t>
  </si>
  <si>
    <t>PRIMUL DANOVA PINK</t>
  </si>
  <si>
    <t>001!0611838701100</t>
  </si>
  <si>
    <t>PRIMUL DANOVA RED</t>
  </si>
  <si>
    <t>001!0611838702100</t>
  </si>
  <si>
    <t>PRIMUL DANOVA SERIES</t>
  </si>
  <si>
    <t>001!0611838703100</t>
  </si>
  <si>
    <t>PRIMUL DANOVA WHITE</t>
  </si>
  <si>
    <t>001!0611838704100</t>
  </si>
  <si>
    <t>PRIMUL ELODIE SERIES</t>
  </si>
  <si>
    <t>001!0611884411100</t>
  </si>
  <si>
    <t>PRIMUL FRUELO SERIES</t>
  </si>
  <si>
    <t>001!0611884412100</t>
  </si>
  <si>
    <t>PRIMUL HETHOR SERIES</t>
  </si>
  <si>
    <t>001!0611838705100</t>
  </si>
  <si>
    <t>PRIMUL LIBRE MIX</t>
  </si>
  <si>
    <t>001!0611838706100</t>
  </si>
  <si>
    <t>PRIMUL LIGHTHOUSE SERIES</t>
  </si>
  <si>
    <t>001!0611838707100</t>
  </si>
  <si>
    <t>PRIMUL MALACOIDES GENERIC</t>
  </si>
  <si>
    <t>001!0611838708100</t>
  </si>
  <si>
    <t>PRIMUL OBCONICA GENERIC</t>
  </si>
  <si>
    <t>001!0611838710100</t>
  </si>
  <si>
    <t>PRIMUL OPTIC SERIES ACAULIS</t>
  </si>
  <si>
    <t>001!0611838711100</t>
  </si>
  <si>
    <t>PRIMUL PACIFIC COAST MIX</t>
  </si>
  <si>
    <t>001!0611838712100</t>
  </si>
  <si>
    <t>PRIMUL PACIFIC GIANTS MIX</t>
  </si>
  <si>
    <t>001!0611838713100</t>
  </si>
  <si>
    <t>PRIMUL PIANO SERIES</t>
  </si>
  <si>
    <t>001!0611838714100</t>
  </si>
  <si>
    <t>PRIMUL PRIMERA MIX</t>
  </si>
  <si>
    <t>001!0611838716100</t>
  </si>
  <si>
    <t>PRIMUL PRIMLET SERIES</t>
  </si>
  <si>
    <t>001!0611838718100</t>
  </si>
  <si>
    <t>PRIMUL PRIMROSE GENERIC</t>
  </si>
  <si>
    <t>001!0611838719100</t>
  </si>
  <si>
    <t>PRIMUL SIBEL SERIES</t>
  </si>
  <si>
    <t>001!0611884413100</t>
  </si>
  <si>
    <t>PRIMUL SUPERNOVA MIX</t>
  </si>
  <si>
    <t>001!0611838720100</t>
  </si>
  <si>
    <t>PRIMUL SUPERNOVA SERIES</t>
  </si>
  <si>
    <t>001!0611838721100</t>
  </si>
  <si>
    <t>PRIMUL TOUCH ME LARGE MX</t>
  </si>
  <si>
    <t>001!0611838722100</t>
  </si>
  <si>
    <t>PTILOT JOEY</t>
  </si>
  <si>
    <t>001!0611838724100</t>
  </si>
  <si>
    <t>PTILOT MATILDA</t>
  </si>
  <si>
    <t>001!0611857094100</t>
  </si>
  <si>
    <t>PULMON MRS MOON SACCHARATA</t>
  </si>
  <si>
    <t>001!0611838726025</t>
  </si>
  <si>
    <t>PULMON RASPBERRY FROST</t>
  </si>
  <si>
    <t>001!0611857095025</t>
  </si>
  <si>
    <t>PULMON RASPBERRY SPLASH</t>
  </si>
  <si>
    <t>001!0611838728025</t>
  </si>
  <si>
    <t>PULSAT GENERIC VULGARIS</t>
  </si>
  <si>
    <t>001!0611838729025</t>
  </si>
  <si>
    <t>PUMPKI ATLANTIC GIANT</t>
  </si>
  <si>
    <t>001!0611833566100</t>
  </si>
  <si>
    <t>PUMPKI AUTUMN GOLD</t>
  </si>
  <si>
    <t>001!0611833568100</t>
  </si>
  <si>
    <t>PUMPKI BABY BEAR</t>
  </si>
  <si>
    <t>001!0611833569100</t>
  </si>
  <si>
    <t>PUMPKI BIG MAX</t>
  </si>
  <si>
    <t>001!0611833572100</t>
  </si>
  <si>
    <t>PUMPKI BLUE PRINCE</t>
  </si>
  <si>
    <t>001!0611833573100</t>
  </si>
  <si>
    <t>PUMPKI CINDERELLAS CARRIAGE</t>
  </si>
  <si>
    <t>001!0611833574100</t>
  </si>
  <si>
    <t>PUMPKI FLAT WHITE BOER FORD</t>
  </si>
  <si>
    <t>001!0611833580100</t>
  </si>
  <si>
    <t>PUMPKI HIJINKS</t>
  </si>
  <si>
    <t>001!0611833583100</t>
  </si>
  <si>
    <t>PUMPKI HOWDEN</t>
  </si>
  <si>
    <t>001!0611833584100</t>
  </si>
  <si>
    <t>PUMPKI JACK BE LITTLE</t>
  </si>
  <si>
    <t>001!0611833586100</t>
  </si>
  <si>
    <t>PUMPKI JACK O LANTERN</t>
  </si>
  <si>
    <t>001!0611833587100</t>
  </si>
  <si>
    <t>PUMPKI JACK SPRAT</t>
  </si>
  <si>
    <t>001!0611833588100</t>
  </si>
  <si>
    <t>PUMPKI MINI PUMPKIN GENERIC</t>
  </si>
  <si>
    <t>001!0611833589100</t>
  </si>
  <si>
    <t>PUMPKI ORANGE SMOOTHIE</t>
  </si>
  <si>
    <t>001!0611833590100</t>
  </si>
  <si>
    <t>PUMPKI PIE GENERIC</t>
  </si>
  <si>
    <t>001!0611833592100</t>
  </si>
  <si>
    <t>PUMPKI PRIZE WINNER</t>
  </si>
  <si>
    <t>001!0611833593100</t>
  </si>
  <si>
    <t>PUMPKI PUMPKIN GENERIC</t>
  </si>
  <si>
    <t>001!0611833594100</t>
  </si>
  <si>
    <t>PUMPKI SPOOKTACULAR</t>
  </si>
  <si>
    <t>001!0611833597100</t>
  </si>
  <si>
    <t>PUMPKI SUPER MOON</t>
  </si>
  <si>
    <t>001!0611833600100</t>
  </si>
  <si>
    <t>PUMPKI WARTY GOBLIN</t>
  </si>
  <si>
    <t>001!0611833602100</t>
  </si>
  <si>
    <t>PUMPKI WEE B LITTLE</t>
  </si>
  <si>
    <t>001!0611833603100</t>
  </si>
  <si>
    <t>PUMPKI WHITE GENERIC</t>
  </si>
  <si>
    <t>001!0611833604100</t>
  </si>
  <si>
    <t>RADERM CHINA DOLL GENERIC</t>
  </si>
  <si>
    <t>001!0611838730100</t>
  </si>
  <si>
    <t>RAINBO MIX MICROGREENS</t>
  </si>
  <si>
    <t>001!0611838731100</t>
  </si>
  <si>
    <t>RANUNC BLOOMINGDALE MIX</t>
  </si>
  <si>
    <t>001!0611838732100</t>
  </si>
  <si>
    <t>RANUNC GENERIC</t>
  </si>
  <si>
    <t>001!0611838751100</t>
  </si>
  <si>
    <t>RANUNC GNRC BLNGL DSIGN</t>
  </si>
  <si>
    <t>001!0611838733100</t>
  </si>
  <si>
    <t>RANUNC MACHE BICOLOR MIX</t>
  </si>
  <si>
    <t>001!0611838734100</t>
  </si>
  <si>
    <t>RANUNC MACHE CHOCOLATE</t>
  </si>
  <si>
    <t>001!0611857096100</t>
  </si>
  <si>
    <t>RANUNC MACHE FIRE</t>
  </si>
  <si>
    <t>001!0611838735100</t>
  </si>
  <si>
    <t>RANUNC MACHE LEMON ROSE BIC</t>
  </si>
  <si>
    <t>001!0611838736100</t>
  </si>
  <si>
    <t>RANUNC MACHE ORANGE</t>
  </si>
  <si>
    <t>001!0611838737100</t>
  </si>
  <si>
    <t>RANUNC MACHE PASTEL MIX</t>
  </si>
  <si>
    <t>001!0611838738100</t>
  </si>
  <si>
    <t>RANUNC MACHE PINK</t>
  </si>
  <si>
    <t>001!0611838739100</t>
  </si>
  <si>
    <t>RANUNC MACHE RED</t>
  </si>
  <si>
    <t>001!0611838741100</t>
  </si>
  <si>
    <t>RANUNC MACHE SERIES</t>
  </si>
  <si>
    <t>001!0611838743100</t>
  </si>
  <si>
    <t>RANUNC MACHE WHITE</t>
  </si>
  <si>
    <t>001!0611838745100</t>
  </si>
  <si>
    <t>RANUNC MACHE YELLOW</t>
  </si>
  <si>
    <t>001!0611838746100</t>
  </si>
  <si>
    <t>RANUNC MAGIC FIREBALL</t>
  </si>
  <si>
    <t>001!0611838748100</t>
  </si>
  <si>
    <t>RANUNC MAGIC SERIES</t>
  </si>
  <si>
    <t>001!0611838749100</t>
  </si>
  <si>
    <t>RANUNC MAGIC YELLOW</t>
  </si>
  <si>
    <t>001!0611838750100</t>
  </si>
  <si>
    <t>RANUNC SPRINKLES SERIES</t>
  </si>
  <si>
    <t>001!0611838752100</t>
  </si>
  <si>
    <t>RAPHAN RADISH CHERRY BELLE</t>
  </si>
  <si>
    <t>001!0611838753100</t>
  </si>
  <si>
    <t>RAPHAN RADISH GENERIC</t>
  </si>
  <si>
    <t>001!0611838754100</t>
  </si>
  <si>
    <t>RATIBI RED COLUMNIFERA</t>
  </si>
  <si>
    <t>001!0611838755025</t>
  </si>
  <si>
    <t>RAVENE MAJESTY PALM</t>
  </si>
  <si>
    <t>001!0611838756100</t>
  </si>
  <si>
    <t>RHODIC PURPLE BELLS</t>
  </si>
  <si>
    <t>001!0611838762100</t>
  </si>
  <si>
    <t>RHODOD AZALEA GENERIC</t>
  </si>
  <si>
    <t>001!0611838763100</t>
  </si>
  <si>
    <t>RHUBAR CANADIAN RED</t>
  </si>
  <si>
    <t>001!0611838758100</t>
  </si>
  <si>
    <t>RHUBAR GENERIC</t>
  </si>
  <si>
    <t>001!0611838759025</t>
  </si>
  <si>
    <t>RHUBAR VICTORIA</t>
  </si>
  <si>
    <t>001!0611838761025</t>
  </si>
  <si>
    <t>RICINU CASTOR BEAN GENERIC</t>
  </si>
  <si>
    <t>001!0611838765100</t>
  </si>
  <si>
    <t>ROSEMA ARP</t>
  </si>
  <si>
    <t>001!0611835128100</t>
  </si>
  <si>
    <t>001!0611835129025</t>
  </si>
  <si>
    <t>ROSEMA ARP CN5348</t>
  </si>
  <si>
    <t>001!0611862553100</t>
  </si>
  <si>
    <t>ROSEMA BARBEQUE</t>
  </si>
  <si>
    <t>001!0611835130100</t>
  </si>
  <si>
    <t>001!0611835131025</t>
  </si>
  <si>
    <t>ROSEMA BOULE PROSTRATUS</t>
  </si>
  <si>
    <t>001!0611835132100</t>
  </si>
  <si>
    <t>ROSEMA CREEPING GENERIC</t>
  </si>
  <si>
    <t>001!0611835133100</t>
  </si>
  <si>
    <t>ROSEMA GENERIC</t>
  </si>
  <si>
    <t>001!0611835137100</t>
  </si>
  <si>
    <t>001!0611835138200</t>
  </si>
  <si>
    <t>001!0611835139025</t>
  </si>
  <si>
    <t>ROSEMA GORIZIA</t>
  </si>
  <si>
    <t>001!0611835134100</t>
  </si>
  <si>
    <t>001!0611835135025</t>
  </si>
  <si>
    <t>ROSEMA GORIZIA CN5349</t>
  </si>
  <si>
    <t>001!0611862555100</t>
  </si>
  <si>
    <t>ROSEMA HARDY HILL</t>
  </si>
  <si>
    <t>001!0611835136100</t>
  </si>
  <si>
    <t>ROSEMA HUNTINGTON CARPT</t>
  </si>
  <si>
    <t>001!0611835140025</t>
  </si>
  <si>
    <t>ROSEMA IRENE</t>
  </si>
  <si>
    <t>001!0611835141025</t>
  </si>
  <si>
    <t>ROSEMA LMTD</t>
  </si>
  <si>
    <t>001!0611862556050</t>
  </si>
  <si>
    <t>ROSEMA PERIGORD</t>
  </si>
  <si>
    <t>001!0611835142100</t>
  </si>
  <si>
    <t>ROSEMA PROSTRATUS</t>
  </si>
  <si>
    <t>001!0611862557100</t>
  </si>
  <si>
    <t>ROSEMA PROSTRATUS CRPNG</t>
  </si>
  <si>
    <t>001!0611835143100</t>
  </si>
  <si>
    <t>001!0611835144025</t>
  </si>
  <si>
    <t>ROSEMA SALEM</t>
  </si>
  <si>
    <t>001!0611835145100</t>
  </si>
  <si>
    <t>001!0611835146025</t>
  </si>
  <si>
    <t>ROSEMA SPICE ISLAND</t>
  </si>
  <si>
    <t>001!0611835147025</t>
  </si>
  <si>
    <t>ROSEMA TUSCAN BL CN5351</t>
  </si>
  <si>
    <t>001!0611862558100</t>
  </si>
  <si>
    <t>ROSEMA TUSCAN BLUE</t>
  </si>
  <si>
    <t>001!0611835148100</t>
  </si>
  <si>
    <t>001!0611835149025</t>
  </si>
  <si>
    <t>ROSEMA UPRT BL GEN</t>
  </si>
  <si>
    <t>001!0611835150100</t>
  </si>
  <si>
    <t>001!0611835151025</t>
  </si>
  <si>
    <t>ROSMAR FOXTAIL</t>
  </si>
  <si>
    <t>001!0611884414025</t>
  </si>
  <si>
    <t>ROSMAR HARDY HILL</t>
  </si>
  <si>
    <t>001!0611884415025</t>
  </si>
  <si>
    <t>RUBUS BLACKBERRY GENERIC</t>
  </si>
  <si>
    <t>001!0611838767025</t>
  </si>
  <si>
    <t>RUBUS RASPBERRY GENERIC</t>
  </si>
  <si>
    <t>001!0611838768025</t>
  </si>
  <si>
    <t>RUDBEC AMARILLO GOLD</t>
  </si>
  <si>
    <t>001!0611838769100</t>
  </si>
  <si>
    <t>RUDBEC AMERICAN GOLD RUSH</t>
  </si>
  <si>
    <t>001!0611838770025</t>
  </si>
  <si>
    <t>RUDBEC AUTUMN COLORS</t>
  </si>
  <si>
    <t>001!0611838771100</t>
  </si>
  <si>
    <t>001!0611838772025</t>
  </si>
  <si>
    <t>RUDBEC BECKY MIX</t>
  </si>
  <si>
    <t>001!0611838773100</t>
  </si>
  <si>
    <t>RUDBEC BECKY YELLOW</t>
  </si>
  <si>
    <t>001!0611838774100</t>
  </si>
  <si>
    <t>RUDBEC BLACK EYED SUSAN HIRTA</t>
  </si>
  <si>
    <t>001!0611838775025</t>
  </si>
  <si>
    <t>RUDBEC CHEROKEE SUNSET</t>
  </si>
  <si>
    <t>001!0611838776100</t>
  </si>
  <si>
    <t>001!0611838777025</t>
  </si>
  <si>
    <t>RUDBEC CHERRY BRANDY</t>
  </si>
  <si>
    <t>001!0611838778100</t>
  </si>
  <si>
    <t>RUDBEC CHERRY BRANDY HIRTA</t>
  </si>
  <si>
    <t>001!0611838779025</t>
  </si>
  <si>
    <t>RUDBEC CHEYENNE GOLD</t>
  </si>
  <si>
    <t>001!0611838780100</t>
  </si>
  <si>
    <t>RUDBEC DAKOTA DBL GLD HIRTA</t>
  </si>
  <si>
    <t>001!0611838781025</t>
  </si>
  <si>
    <t>RUDBEC DAKOTA FLAME HIRTA</t>
  </si>
  <si>
    <t>001!0611838782025</t>
  </si>
  <si>
    <t>RUDBEC DAKOTA GOLD HIRTA</t>
  </si>
  <si>
    <t>001!0611838783025</t>
  </si>
  <si>
    <t>RUDBEC DAKOTA RED SHIELD HIRTA</t>
  </si>
  <si>
    <t>001!0611838784025</t>
  </si>
  <si>
    <t>RUDBEC DEAMII FULGIDA</t>
  </si>
  <si>
    <t>001!0611838785025</t>
  </si>
  <si>
    <t>RUDBEC DENVER DAISY</t>
  </si>
  <si>
    <t>001!0611838786100</t>
  </si>
  <si>
    <t>001!0611838787025</t>
  </si>
  <si>
    <t>RUDBEC GOLDBLITZ</t>
  </si>
  <si>
    <t>001!0611857097025</t>
  </si>
  <si>
    <t>RUDBEC GOLDILOCKS</t>
  </si>
  <si>
    <t>001!0611838788100</t>
  </si>
  <si>
    <t>RUDBEC GOLDSTURM</t>
  </si>
  <si>
    <t>001!0611838789100</t>
  </si>
  <si>
    <t>001!0611838790025</t>
  </si>
  <si>
    <t>RUDBEC GRNWIZARD OCCIDENTALIS</t>
  </si>
  <si>
    <t>001!0611838791025</t>
  </si>
  <si>
    <t>RUDBEC HYBRID HIRTA</t>
  </si>
  <si>
    <t>001!0611838792100</t>
  </si>
  <si>
    <t>RUDBEC INDIAN SUMMER</t>
  </si>
  <si>
    <t>001!0611838793100</t>
  </si>
  <si>
    <t>001!0611838794025</t>
  </si>
  <si>
    <t>RUDBEC IRISH EYES</t>
  </si>
  <si>
    <t>001!0611838795100</t>
  </si>
  <si>
    <t>RUDBEC LION CUB</t>
  </si>
  <si>
    <t>001!0611884416025</t>
  </si>
  <si>
    <t>RUDBEC LTGLD STAR FULGIDA</t>
  </si>
  <si>
    <t>001!0611838796025</t>
  </si>
  <si>
    <t>RUDBEC LTHENRY SUBTOMENTOSA</t>
  </si>
  <si>
    <t>001!0611838797025</t>
  </si>
  <si>
    <t>RUDBEC MAYA</t>
  </si>
  <si>
    <t>001!0611838798100</t>
  </si>
  <si>
    <t>RUDBEC PAWNEE SPIRIT</t>
  </si>
  <si>
    <t>001!0611884417100</t>
  </si>
  <si>
    <t>RUDBEC PRAIRIE SUN</t>
  </si>
  <si>
    <t>001!0611838799100</t>
  </si>
  <si>
    <t>001!0611838800025</t>
  </si>
  <si>
    <t>RUDBEC RISING SUN CHESTNUT GLD</t>
  </si>
  <si>
    <t>001!0611838801100</t>
  </si>
  <si>
    <t>001!0611838802025</t>
  </si>
  <si>
    <t>RUDBEC RODEO DOUBLE RED</t>
  </si>
  <si>
    <t>001!0611838803100</t>
  </si>
  <si>
    <t>001!0611857098025</t>
  </si>
  <si>
    <t>RUDBEC RUDBECKIA GENERIC</t>
  </si>
  <si>
    <t>001!0611838804100</t>
  </si>
  <si>
    <t>RUDBEC RUSTIC COLORS</t>
  </si>
  <si>
    <t>001!0611838805100</t>
  </si>
  <si>
    <t>RUDBEC SONORA</t>
  </si>
  <si>
    <t>001!0611838806100</t>
  </si>
  <si>
    <t>001!0611838807025</t>
  </si>
  <si>
    <t>RUDBEC TOTO GOLD</t>
  </si>
  <si>
    <t>001!0611838809100</t>
  </si>
  <si>
    <t>001!0611838810025</t>
  </si>
  <si>
    <t>RUDBEC TOTO LEMON</t>
  </si>
  <si>
    <t>001!0611838811100</t>
  </si>
  <si>
    <t>RUDBEC TOTO MIX</t>
  </si>
  <si>
    <t>001!0611838812100</t>
  </si>
  <si>
    <t>RUDBEC TOTO RUSTIC</t>
  </si>
  <si>
    <t>001!0611838813100</t>
  </si>
  <si>
    <t>RUDBEC TRILOBA</t>
  </si>
  <si>
    <t>001!0611838814025</t>
  </si>
  <si>
    <t>RUDBEC VAR FULGIDA FULGIDA</t>
  </si>
  <si>
    <t>001!0611838815025</t>
  </si>
  <si>
    <t>RUELLI KATIE PURPLE</t>
  </si>
  <si>
    <t>001!0611863891050</t>
  </si>
  <si>
    <t>RUELLI KATIES DWARF</t>
  </si>
  <si>
    <t>001!0611838817025</t>
  </si>
  <si>
    <t>RUELLI KATIES PINK BRITTONIANA</t>
  </si>
  <si>
    <t>001!0611838818025</t>
  </si>
  <si>
    <t>RUELLI KATIES PPL BRITTONIANA</t>
  </si>
  <si>
    <t>001!0611838819025</t>
  </si>
  <si>
    <t>RUELLI PPL SHOWERS BRITTONIANA</t>
  </si>
  <si>
    <t>001!0611838821100</t>
  </si>
  <si>
    <t>RUELLI UPRIGHT PURPLE GENERIC</t>
  </si>
  <si>
    <t>001!0611838822100</t>
  </si>
  <si>
    <t>RUMEX FRENCH</t>
  </si>
  <si>
    <t>001!0611838823100</t>
  </si>
  <si>
    <t>RUMEX RASPBERRY DRESSING</t>
  </si>
  <si>
    <t>001!0611884418025</t>
  </si>
  <si>
    <t>RUMEX SANGUINEUS</t>
  </si>
  <si>
    <t>001!0611838824025</t>
  </si>
  <si>
    <t>RUMEX SORREL GENERIC</t>
  </si>
  <si>
    <t>001!0611838825100</t>
  </si>
  <si>
    <t>RUNGIA KLOSSII</t>
  </si>
  <si>
    <t>001!0611884419025</t>
  </si>
  <si>
    <t>RUNGIA RUNGIA KLOSSII</t>
  </si>
  <si>
    <t>001!0611838826100</t>
  </si>
  <si>
    <t>RUTA RUE</t>
  </si>
  <si>
    <t>001!0611838827100</t>
  </si>
  <si>
    <t>001!0611884420025</t>
  </si>
  <si>
    <t>SAGE BERGGARTEN</t>
  </si>
  <si>
    <t>001!0611838849100</t>
  </si>
  <si>
    <t>001!0611838850025</t>
  </si>
  <si>
    <t>SAGE BERGGARTEN SAGE</t>
  </si>
  <si>
    <t>001!0611863929100</t>
  </si>
  <si>
    <t>SAGE BERGGARTEN SAGE LMTD</t>
  </si>
  <si>
    <t>001!0611863930050</t>
  </si>
  <si>
    <t>SAGINA AUREA SCOTCH MOSS</t>
  </si>
  <si>
    <t>001!0611838828025</t>
  </si>
  <si>
    <t>SAGINA CRISPY SUBULATA</t>
  </si>
  <si>
    <t>001!0611838829025</t>
  </si>
  <si>
    <t>SAGINA IRISH MOSS SUBULATA</t>
  </si>
  <si>
    <t>001!0611838830025</t>
  </si>
  <si>
    <t>SAINTP AFRICAN VIOLET GENERIC</t>
  </si>
  <si>
    <t>001!0611838831100</t>
  </si>
  <si>
    <t>SAINTP MAXI ALICE RED</t>
  </si>
  <si>
    <t>001!0611863892050</t>
  </si>
  <si>
    <t>SAINTP MAXI BESAR BLUE WHITE</t>
  </si>
  <si>
    <t>001!0611863893050</t>
  </si>
  <si>
    <t>SAINTP MAXI BESAR LT BLUE WH</t>
  </si>
  <si>
    <t>001!0611863894050</t>
  </si>
  <si>
    <t>SAINTP MAXI BESAR PINK WHITE</t>
  </si>
  <si>
    <t>001!0611863895050</t>
  </si>
  <si>
    <t>SAINTP MAXI BESAR RED WHITE</t>
  </si>
  <si>
    <t>001!0611863896050</t>
  </si>
  <si>
    <t>SAINTP MAXI BIBI</t>
  </si>
  <si>
    <t>001!0611863897050</t>
  </si>
  <si>
    <t>SAINTP MAXI BIRU</t>
  </si>
  <si>
    <t>001!0611863898050</t>
  </si>
  <si>
    <t>SAINTP MAXI BLUE EYE</t>
  </si>
  <si>
    <t>001!0611863899050</t>
  </si>
  <si>
    <t>SAINTP MAXI CAROL</t>
  </si>
  <si>
    <t>001!0611884421050</t>
  </si>
  <si>
    <t>SAINTP MAXI CATHERINA</t>
  </si>
  <si>
    <t>001!0611884422050</t>
  </si>
  <si>
    <t>SAINTP MAXI CHICO</t>
  </si>
  <si>
    <t>001!0611863901050</t>
  </si>
  <si>
    <t>SAINTP MAXI CLAUDIA</t>
  </si>
  <si>
    <t>001!0611863902050</t>
  </si>
  <si>
    <t>SAINTP MAXI CURLY OCEAN</t>
  </si>
  <si>
    <t>001!0611884423050</t>
  </si>
  <si>
    <t>SAINTP MAXI ELIN</t>
  </si>
  <si>
    <t>001!0611863903050</t>
  </si>
  <si>
    <t>SAINTP MAXI FABIA</t>
  </si>
  <si>
    <t>001!0611884424050</t>
  </si>
  <si>
    <t>SAINTP MAXI FLEUR</t>
  </si>
  <si>
    <t>001!0611863904050</t>
  </si>
  <si>
    <t>SAINTP MAXI FLOOR</t>
  </si>
  <si>
    <t>001!0611863905050</t>
  </si>
  <si>
    <t>SAINTP MAXI GABBY</t>
  </si>
  <si>
    <t>001!0611884425050</t>
  </si>
  <si>
    <t>SAINTP MAXI GLORIA</t>
  </si>
  <si>
    <t>001!0611863906050</t>
  </si>
  <si>
    <t>SAINTP MAXI IRIS</t>
  </si>
  <si>
    <t>001!0611884426050</t>
  </si>
  <si>
    <t>SAINTP MAXI JESSICA</t>
  </si>
  <si>
    <t>001!0611884427050</t>
  </si>
  <si>
    <t>SAINTP MAXI LAURA</t>
  </si>
  <si>
    <t>001!0611884428050</t>
  </si>
  <si>
    <t>SAINTP MAXI LENA</t>
  </si>
  <si>
    <t>001!0611863907050</t>
  </si>
  <si>
    <t>SAINTP MAXI LETICIA</t>
  </si>
  <si>
    <t>001!0611884429050</t>
  </si>
  <si>
    <t>SAINTP MAXI LIA</t>
  </si>
  <si>
    <t>001!0611863908050</t>
  </si>
  <si>
    <t>SAINTP MAXI LILA LANA</t>
  </si>
  <si>
    <t>001!0611863909050</t>
  </si>
  <si>
    <t>SAINTP MAXI LIVIA</t>
  </si>
  <si>
    <t>001!0611863910050</t>
  </si>
  <si>
    <t>SAINTP MAXI LIZZY</t>
  </si>
  <si>
    <t>001!0611863911050</t>
  </si>
  <si>
    <t>SAINTP MAXI LOTTE</t>
  </si>
  <si>
    <t>001!0611863912050</t>
  </si>
  <si>
    <t>SAINTP MAXI MARILYN</t>
  </si>
  <si>
    <t>001!0611863913050</t>
  </si>
  <si>
    <t>SAINTP MAXI MEIKE</t>
  </si>
  <si>
    <t>001!0611863914050</t>
  </si>
  <si>
    <t>SAINTP MAXI PATTY</t>
  </si>
  <si>
    <t>001!0611863915050</t>
  </si>
  <si>
    <t>SAINTP MAXI PUCK</t>
  </si>
  <si>
    <t>001!0611863916050</t>
  </si>
  <si>
    <t>SAINTP MAXI RANA</t>
  </si>
  <si>
    <t>001!0611863917050</t>
  </si>
  <si>
    <t>SAINTP MAXI RIANNE</t>
  </si>
  <si>
    <t>001!0611863918050</t>
  </si>
  <si>
    <t>SAINTP MAXI ROCCOCO PINK</t>
  </si>
  <si>
    <t>001!0611884430050</t>
  </si>
  <si>
    <t>SAINTP MAXI ROCCOCO WHITE</t>
  </si>
  <si>
    <t>001!0611884431050</t>
  </si>
  <si>
    <t>SAINTP MAXI TRITON</t>
  </si>
  <si>
    <t>001!0611884432050</t>
  </si>
  <si>
    <t>SAINTP MAXI YASMIN</t>
  </si>
  <si>
    <t>001!0611884433050</t>
  </si>
  <si>
    <t>SAINTP MINI DEWI</t>
  </si>
  <si>
    <t>001!0611863919050</t>
  </si>
  <si>
    <t>SAINTP MINI JENNY BLUE</t>
  </si>
  <si>
    <t>001!0611863920050</t>
  </si>
  <si>
    <t>SAINTP MINI JENNY DARK PINK</t>
  </si>
  <si>
    <t>001!0611863921050</t>
  </si>
  <si>
    <t>SAINTP MINI JENNY LILAC</t>
  </si>
  <si>
    <t>001!0611863922050</t>
  </si>
  <si>
    <t>SAINTP MINI JENNY PINK</t>
  </si>
  <si>
    <t>001!0611863923050</t>
  </si>
  <si>
    <t>SAINTP MINI LADY</t>
  </si>
  <si>
    <t>001!0611863924050</t>
  </si>
  <si>
    <t>SAINTP MINI LONI</t>
  </si>
  <si>
    <t>001!0611863925050</t>
  </si>
  <si>
    <t>SAINTP MINI ROSI</t>
  </si>
  <si>
    <t>001!0611863926050</t>
  </si>
  <si>
    <t>SAINTP MINI SARAH</t>
  </si>
  <si>
    <t>001!0611863927050</t>
  </si>
  <si>
    <t>SAINTP MINI SARAH LILAC</t>
  </si>
  <si>
    <t>001!0611863928050</t>
  </si>
  <si>
    <t>SALICO SALICORNIA EUROPEA</t>
  </si>
  <si>
    <t>001!0611838832100</t>
  </si>
  <si>
    <t>SALPIG ROYALE FORMULA MIXTURE</t>
  </si>
  <si>
    <t>001!0611838833100</t>
  </si>
  <si>
    <t>SALPIG ROYALE SERIES</t>
  </si>
  <si>
    <t>001!0611838834100</t>
  </si>
  <si>
    <t>SALPIG SALPIGLOSSIS GENERIC</t>
  </si>
  <si>
    <t>001!0611838835100</t>
  </si>
  <si>
    <t>SALVIA ADORA BLUE SUPERBA</t>
  </si>
  <si>
    <t>001!0611838836025</t>
  </si>
  <si>
    <t>SALVIA AMANTE</t>
  </si>
  <si>
    <t>001!0611838837025</t>
  </si>
  <si>
    <t>SALVIA AMETHYST LIPS</t>
  </si>
  <si>
    <t>001!0611838838025</t>
  </si>
  <si>
    <t>SALVIA AMIGO</t>
  </si>
  <si>
    <t>001!0611884434100</t>
  </si>
  <si>
    <t>SALVIA AMISTAD</t>
  </si>
  <si>
    <t>001!0611838839100</t>
  </si>
  <si>
    <t>SALVIA ANGEL WINGS</t>
  </si>
  <si>
    <t>001!0611884435100</t>
  </si>
  <si>
    <t>SALVIA APEX BLUE NEMOROSA</t>
  </si>
  <si>
    <t>001!0611838841025</t>
  </si>
  <si>
    <t>SALVIA APEX PINK NEMOROSA</t>
  </si>
  <si>
    <t>001!0611838842025</t>
  </si>
  <si>
    <t>SALVIA APEX WHITE NEMOROSA</t>
  </si>
  <si>
    <t>001!0611838843025</t>
  </si>
  <si>
    <t>SALVIA ARGENTEA</t>
  </si>
  <si>
    <t>001!0611838847025</t>
  </si>
  <si>
    <t>SALVIA AUREA</t>
  </si>
  <si>
    <t>001!0611838848025</t>
  </si>
  <si>
    <t>SALVIA BERGGARTEN VARIEGATED</t>
  </si>
  <si>
    <t>001!0611884436025</t>
  </si>
  <si>
    <t>SALVIA BIG BLUE</t>
  </si>
  <si>
    <t>001!0611838851100</t>
  </si>
  <si>
    <t>SALVIA BLACK/BLUE</t>
  </si>
  <si>
    <t>001!0611863931050</t>
  </si>
  <si>
    <t>SALVIA BLACK/BLUE GUARANITICA</t>
  </si>
  <si>
    <t>001!0611838852100</t>
  </si>
  <si>
    <t>001!0611838853025</t>
  </si>
  <si>
    <t>SALVIA BLUE ANGEL</t>
  </si>
  <si>
    <t>001!0611838854100</t>
  </si>
  <si>
    <t>SALVIA BLUE BEDDER</t>
  </si>
  <si>
    <t>001!0611838855100</t>
  </si>
  <si>
    <t>SALVIA BLUE BOUQUETTA</t>
  </si>
  <si>
    <t>001!0611838856025</t>
  </si>
  <si>
    <t>SALVIA BLUE BY YOU NEMOROSA</t>
  </si>
  <si>
    <t>001!0611838857025</t>
  </si>
  <si>
    <t>SALVIA BLUE HILL</t>
  </si>
  <si>
    <t>001!0611838858025</t>
  </si>
  <si>
    <t>001!0611863932100</t>
  </si>
  <si>
    <t>SALVIA BLUE MARVEL</t>
  </si>
  <si>
    <t>001!0611863933100</t>
  </si>
  <si>
    <t>SALVIA BLUE MARVEL LMTD</t>
  </si>
  <si>
    <t>001!0611863934050</t>
  </si>
  <si>
    <t>SALVIA BLUE QUEEN</t>
  </si>
  <si>
    <t>001!0611838859100</t>
  </si>
  <si>
    <t>001!0611838860025</t>
  </si>
  <si>
    <t>SALVIA BODACIOUS HMNGBRD FALLS</t>
  </si>
  <si>
    <t>001!0611863935050</t>
  </si>
  <si>
    <t>SALVIA BONFIRE</t>
  </si>
  <si>
    <t>001!0611838861100</t>
  </si>
  <si>
    <t>SALVIA BONFIRE ELITE</t>
  </si>
  <si>
    <t>001!0611838862100</t>
  </si>
  <si>
    <t>SALVIA BORDEAU CMPCT SKY BL</t>
  </si>
  <si>
    <t>001!0611838863025</t>
  </si>
  <si>
    <t>SALVIA BORDEAU DP BL NEMOROSA</t>
  </si>
  <si>
    <t>001!0611838864025</t>
  </si>
  <si>
    <t>SALVIA BORDEAU WHITE NEMOROSA</t>
  </si>
  <si>
    <t>001!0611838867025</t>
  </si>
  <si>
    <t>SALVIA CANDLE MIDNIGHT</t>
  </si>
  <si>
    <t>001!0611838871100</t>
  </si>
  <si>
    <t>SALVIA CARADONNA</t>
  </si>
  <si>
    <t>001!0611838873025</t>
  </si>
  <si>
    <t>001!0611863936100</t>
  </si>
  <si>
    <t>SALVIA CARADONNA LMTD</t>
  </si>
  <si>
    <t>001!0611863937050</t>
  </si>
  <si>
    <t>SALVIA CARADONNA PK INSPIRAT</t>
  </si>
  <si>
    <t>001!0611838874025</t>
  </si>
  <si>
    <t>SALVIA CARAMIA</t>
  </si>
  <si>
    <t>001!0611863938100</t>
  </si>
  <si>
    <t>SALVIA CATHEDRAL SERIES</t>
  </si>
  <si>
    <t>001!0611838875025</t>
  </si>
  <si>
    <t>SALVIA CHERRY LIPS</t>
  </si>
  <si>
    <t>001!0611838876025</t>
  </si>
  <si>
    <t>SALVIA COOL CREAM</t>
  </si>
  <si>
    <t>001!0611838877100</t>
  </si>
  <si>
    <t>SALVIA COOL PINK</t>
  </si>
  <si>
    <t>001!0611838878100</t>
  </si>
  <si>
    <t>SALVIA COOL VIOLET</t>
  </si>
  <si>
    <t>001!0611838879100</t>
  </si>
  <si>
    <t>SALVIA CUELLO CREAM</t>
  </si>
  <si>
    <t>001!0611884437100</t>
  </si>
  <si>
    <t>SALVIA CUELLO PINK</t>
  </si>
  <si>
    <t>001!0611884438100</t>
  </si>
  <si>
    <t>SALVIA CUELLO WHITE</t>
  </si>
  <si>
    <t>001!0611884439100</t>
  </si>
  <si>
    <t>SALVIA DARK MATTER NEMOROSA</t>
  </si>
  <si>
    <t>001!0611838880025</t>
  </si>
  <si>
    <t>SALVIA DAY GLOW</t>
  </si>
  <si>
    <t>001!0611884440100</t>
  </si>
  <si>
    <t>SALVIA DIMENSION BL NEMOROSA</t>
  </si>
  <si>
    <t>001!0611838881025</t>
  </si>
  <si>
    <t>SALVIA DIMENSION RS NEMOROSA</t>
  </si>
  <si>
    <t>001!0611838882025</t>
  </si>
  <si>
    <t>SALVIA DWARF GENERIC</t>
  </si>
  <si>
    <t>001!0611838883100</t>
  </si>
  <si>
    <t>SALVIA DWARF PURPLE GENERIC</t>
  </si>
  <si>
    <t>001!0611838884100</t>
  </si>
  <si>
    <t>SALVIA DWARF RED GENERIC</t>
  </si>
  <si>
    <t>001!0611838885100</t>
  </si>
  <si>
    <t>SALVIA EARLY BONFIRE</t>
  </si>
  <si>
    <t>001!0611838886100</t>
  </si>
  <si>
    <t>SALVIA EAST FRIESLAND</t>
  </si>
  <si>
    <t>001!0611838887025</t>
  </si>
  <si>
    <t>001!0611863939100</t>
  </si>
  <si>
    <t>SALVIA ELEGANS PINEAPPLE SAGE</t>
  </si>
  <si>
    <t>001!0611863940100</t>
  </si>
  <si>
    <t>SALVIA EMBERS WISH</t>
  </si>
  <si>
    <t>001!0611838888025</t>
  </si>
  <si>
    <t>SALVIA EVOLUTION VIOLET</t>
  </si>
  <si>
    <t>001!0611838889100</t>
  </si>
  <si>
    <t>SALVIA EVOLUTION WHITE</t>
  </si>
  <si>
    <t>001!0611838890100</t>
  </si>
  <si>
    <t>SALVIA FAIRY QUEEN</t>
  </si>
  <si>
    <t>001!0611838891100</t>
  </si>
  <si>
    <t>SALVIA FARINACEA GENERIC</t>
  </si>
  <si>
    <t>001!0611838893100</t>
  </si>
  <si>
    <t>SALVIA FASHION SERIES</t>
  </si>
  <si>
    <t>001!0611838894100</t>
  </si>
  <si>
    <t>SALVIA FLARE</t>
  </si>
  <si>
    <t>001!0611838896100</t>
  </si>
  <si>
    <t>SALVIA FLIPSIDE</t>
  </si>
  <si>
    <t>001!0611884441100</t>
  </si>
  <si>
    <t>SALVIA FURMANS RED GREGGII</t>
  </si>
  <si>
    <t>001!0611838897025</t>
  </si>
  <si>
    <t>SALVIA GARDEN GREY SAGE</t>
  </si>
  <si>
    <t>001!0611863941050</t>
  </si>
  <si>
    <t>SALVIA GARDEN LEADER SAGE</t>
  </si>
  <si>
    <t>001!0611838898100</t>
  </si>
  <si>
    <t>SALVIA GARDEN SAGE GENERIC</t>
  </si>
  <si>
    <t>001!0611838899100</t>
  </si>
  <si>
    <t>SALVIA GARDEN SAGE OFFICINALIS</t>
  </si>
  <si>
    <t>001!0611838900100</t>
  </si>
  <si>
    <t>001!0611838901200</t>
  </si>
  <si>
    <t>001!0611838902025</t>
  </si>
  <si>
    <t>SALVIA GENERIC GREGGII</t>
  </si>
  <si>
    <t>001!0611838903025</t>
  </si>
  <si>
    <t>SALVIA GENERIC NEMOROSA</t>
  </si>
  <si>
    <t>001!0611838904025</t>
  </si>
  <si>
    <t>SALVIA GRANDSTAND SERIES</t>
  </si>
  <si>
    <t>001!0611838905100</t>
  </si>
  <si>
    <t>001!0611838906025</t>
  </si>
  <si>
    <t>SALVIA GROWERS FRIEND</t>
  </si>
  <si>
    <t>001!0611838907100</t>
  </si>
  <si>
    <t>SALVIA GUARANITICA GENERIC</t>
  </si>
  <si>
    <t>001!0611884442100</t>
  </si>
  <si>
    <t>SALVIA HEATWAVE BLAST</t>
  </si>
  <si>
    <t>001!0611863942050</t>
  </si>
  <si>
    <t>SALVIA HEATWAVE BLAZE</t>
  </si>
  <si>
    <t>001!0611863943050</t>
  </si>
  <si>
    <t>SALVIA HEATWAVE BREEZE</t>
  </si>
  <si>
    <t>001!0611863944050</t>
  </si>
  <si>
    <t>SALVIA HEATWAVE GLIMMER</t>
  </si>
  <si>
    <t>001!0611863945050</t>
  </si>
  <si>
    <t>SALVIA HEATWAVE GLITTER</t>
  </si>
  <si>
    <t>001!0611863946050</t>
  </si>
  <si>
    <t>SALVIA HEATWAVE SPARKLE</t>
  </si>
  <si>
    <t>001!0611863947050</t>
  </si>
  <si>
    <t>SALVIA HONEYDEW HONEY MELON</t>
  </si>
  <si>
    <t>001!0611884443025</t>
  </si>
  <si>
    <t>SALVIA HOT LIPS</t>
  </si>
  <si>
    <t>001!0611838913100</t>
  </si>
  <si>
    <t>001!0611838914025</t>
  </si>
  <si>
    <t>001!0611863948050</t>
  </si>
  <si>
    <t>SALVIA HUMMINGBIRD CORAL</t>
  </si>
  <si>
    <t>001!0611838919100</t>
  </si>
  <si>
    <t>SALVIA HUMMINGBIRD FOREST FIRE</t>
  </si>
  <si>
    <t>001!0611838920100</t>
  </si>
  <si>
    <t>SALVIA HUMMINGBIRD RED</t>
  </si>
  <si>
    <t>001!0611838921100</t>
  </si>
  <si>
    <t>SALVIA HUMMINGBIRD WHITE</t>
  </si>
  <si>
    <t>001!0611838922100</t>
  </si>
  <si>
    <t>SALVIA HYBRID GENERIC</t>
  </si>
  <si>
    <t>001!0611884444100</t>
  </si>
  <si>
    <t>SALVIA ICON BLUE BIC</t>
  </si>
  <si>
    <t>001!0611884445050</t>
  </si>
  <si>
    <t>SALVIA ICON DARK BLUE</t>
  </si>
  <si>
    <t>001!0611863949050</t>
  </si>
  <si>
    <t>SALVIA ICON GLACIER</t>
  </si>
  <si>
    <t>001!0611884446050</t>
  </si>
  <si>
    <t>SALVIA ICON LIGHT BLUE</t>
  </si>
  <si>
    <t>001!0611863950050</t>
  </si>
  <si>
    <t>SALVIA ICON VIOLET</t>
  </si>
  <si>
    <t>001!0611863951050</t>
  </si>
  <si>
    <t>SALVIA ICTERINA</t>
  </si>
  <si>
    <t>001!0611838923100</t>
  </si>
  <si>
    <t>001!0611838924025</t>
  </si>
  <si>
    <t>SALVIA ICTERINA SAGE</t>
  </si>
  <si>
    <t>001!0611863952050</t>
  </si>
  <si>
    <t>SALVIA KATE GLENN NEMOROSA</t>
  </si>
  <si>
    <t>001!0611838927025</t>
  </si>
  <si>
    <t>SALVIA KISSES AND WISHES</t>
  </si>
  <si>
    <t>001!0611838928025</t>
  </si>
  <si>
    <t>SALVIA LADY IN RED</t>
  </si>
  <si>
    <t>001!0611838929100</t>
  </si>
  <si>
    <t>SALVIA LANCELOT CANARIENSIS</t>
  </si>
  <si>
    <t>001!0611838930100</t>
  </si>
  <si>
    <t>SALVIA LEMON PIE GREGGII</t>
  </si>
  <si>
    <t>001!0611838931100</t>
  </si>
  <si>
    <t>SALVIA LIGHTHOUSE</t>
  </si>
  <si>
    <t>001!0611838932100</t>
  </si>
  <si>
    <t>SALVIA LIGHTHOUSE PURPLE</t>
  </si>
  <si>
    <t>001!0611838933100</t>
  </si>
  <si>
    <t>SALVIA LIPSTICK</t>
  </si>
  <si>
    <t>001!0611863953050</t>
  </si>
  <si>
    <t>SALVIA LOVE AND WISHES</t>
  </si>
  <si>
    <t>001!0611838935025</t>
  </si>
  <si>
    <t>SALVIA LYRICAL BLUES NEMOROSA</t>
  </si>
  <si>
    <t>001!0611838936025</t>
  </si>
  <si>
    <t>SALVIA LYRICAL ROSE NEMOROSA</t>
  </si>
  <si>
    <t>001!0611838937025</t>
  </si>
  <si>
    <t>SALVIA LYRICAL SILVERTONE</t>
  </si>
  <si>
    <t>001!0611838938025</t>
  </si>
  <si>
    <t>SALVIA LYRICAL WHITE NEMOROSA</t>
  </si>
  <si>
    <t>001!0611838939025</t>
  </si>
  <si>
    <t>SALVIA MAESTRO</t>
  </si>
  <si>
    <t>001!0611838940100</t>
  </si>
  <si>
    <t>SALVIA MARCUS</t>
  </si>
  <si>
    <t>001!0611863954100</t>
  </si>
  <si>
    <t>SALVIA MARCUS NEMOROSA</t>
  </si>
  <si>
    <t>001!0611838942025</t>
  </si>
  <si>
    <t>SALVIA MARVEL BLUE NEMOROSA</t>
  </si>
  <si>
    <t>001!0611838943025</t>
  </si>
  <si>
    <t>SALVIA MARVEL ROSE NEMOROSA</t>
  </si>
  <si>
    <t>001!0611838944025</t>
  </si>
  <si>
    <t>SALVIA MARVEL SKY BL NEMOROSA</t>
  </si>
  <si>
    <t>001!0611838945025</t>
  </si>
  <si>
    <t>SALVIA MAY NIGHT</t>
  </si>
  <si>
    <t>001!0611838946025</t>
  </si>
  <si>
    <t>001!0611863955100</t>
  </si>
  <si>
    <t>001!0611863956050</t>
  </si>
  <si>
    <t>SALVIA MEDIUM RED GENERIC</t>
  </si>
  <si>
    <t>001!0611838947100</t>
  </si>
  <si>
    <t>SALVIA MERLEAU BLUE NEMOROSA</t>
  </si>
  <si>
    <t>001!0611838948025</t>
  </si>
  <si>
    <t>SALVIA MERLEAU ROSE NEMOROSA</t>
  </si>
  <si>
    <t>001!0611838949025</t>
  </si>
  <si>
    <t>SALVIA MEXICAN</t>
  </si>
  <si>
    <t>001!0611838950100</t>
  </si>
  <si>
    <t>SALVIA MEXICAN BUSH SAGE</t>
  </si>
  <si>
    <t>001!0611838951100</t>
  </si>
  <si>
    <t>001!0611838952025</t>
  </si>
  <si>
    <t>SALVIA MIDNIGHT PURPLE</t>
  </si>
  <si>
    <t>001!0611863957100</t>
  </si>
  <si>
    <t>SALVIA MIDNIGHT ROSE</t>
  </si>
  <si>
    <t>001!0611863958100</t>
  </si>
  <si>
    <t>SALVIA MIRAGE BLUE GREGGII</t>
  </si>
  <si>
    <t>001!0611838953025</t>
  </si>
  <si>
    <t>SALVIA MIRAGE BURGUNDY GREGGII</t>
  </si>
  <si>
    <t>001!0611838954025</t>
  </si>
  <si>
    <t>SALVIA MIRAGE CHRRY RD GREGGII</t>
  </si>
  <si>
    <t>001!0611838955025</t>
  </si>
  <si>
    <t>SALVIA MIRAGE DP PPL GREGGII</t>
  </si>
  <si>
    <t>001!0611838956025</t>
  </si>
  <si>
    <t>SALVIA MIRAGE HOT PINK GREGGII</t>
  </si>
  <si>
    <t>001!0611838957025</t>
  </si>
  <si>
    <t>SALVIA MIRAGE PINK GREGGII</t>
  </si>
  <si>
    <t>001!0611838958025</t>
  </si>
  <si>
    <t>SALVIA MIRAGE ROSE BIC GREGGII</t>
  </si>
  <si>
    <t>001!0611838959025</t>
  </si>
  <si>
    <t>SALVIA MIRAGE RS NEON GREGGII</t>
  </si>
  <si>
    <t>001!0611838960025</t>
  </si>
  <si>
    <t>SALVIA MIRAGE SALMON GREGGII</t>
  </si>
  <si>
    <t>001!0611838961025</t>
  </si>
  <si>
    <t>SALVIA MIRAGE VIOLET GREGGII</t>
  </si>
  <si>
    <t>001!0611838963025</t>
  </si>
  <si>
    <t>SALVIA MIRAGE WHITE GREGGII</t>
  </si>
  <si>
    <t>001!0611838964025</t>
  </si>
  <si>
    <t>SALVIA MOJAVE MIX</t>
  </si>
  <si>
    <t>001!0611838965100</t>
  </si>
  <si>
    <t>SALVIA MOJAVE PURPLE</t>
  </si>
  <si>
    <t>001!0611838966100</t>
  </si>
  <si>
    <t>SALVIA MOJAVE RED</t>
  </si>
  <si>
    <t>001!0611838967100</t>
  </si>
  <si>
    <t>SALVIA MOJAVE RED/WHITE BIC</t>
  </si>
  <si>
    <t>001!0611838968100</t>
  </si>
  <si>
    <t>SALVIA MOJAVE SALMON</t>
  </si>
  <si>
    <t>001!0611838969100</t>
  </si>
  <si>
    <t>SALVIA MOJAVE WHITE</t>
  </si>
  <si>
    <t>001!0611838970100</t>
  </si>
  <si>
    <t>SALVIA NYMPH CORAL</t>
  </si>
  <si>
    <t>001!0611838971100</t>
  </si>
  <si>
    <t>SALVIA NYMPH WHITE</t>
  </si>
  <si>
    <t>001!0611838972100</t>
  </si>
  <si>
    <t>SALVIA ORIENTAL DOVE</t>
  </si>
  <si>
    <t>001!0611884447100</t>
  </si>
  <si>
    <t>SALVIA PATIO DEEP BLUE</t>
  </si>
  <si>
    <t>001!0611838973100</t>
  </si>
  <si>
    <t>SALVIA PATIO SKY BLUE</t>
  </si>
  <si>
    <t>001!0611838974100</t>
  </si>
  <si>
    <t>SALVIA PEACH COBBLER GREGGII</t>
  </si>
  <si>
    <t>001!0611838975100</t>
  </si>
  <si>
    <t>SALVIA PINEAPPLE</t>
  </si>
  <si>
    <t>001!0611838976100</t>
  </si>
  <si>
    <t>001!0611838977025</t>
  </si>
  <si>
    <t>SALVIA PINK MULBERRY</t>
  </si>
  <si>
    <t>001!0611884448100</t>
  </si>
  <si>
    <t>SALVIA PINK NEBULA</t>
  </si>
  <si>
    <t>001!0611884449025</t>
  </si>
  <si>
    <t>SALVIA PINK PONG</t>
  </si>
  <si>
    <t>001!0611838979100</t>
  </si>
  <si>
    <t>SALVIA PURPLE</t>
  </si>
  <si>
    <t>001!0611838981100</t>
  </si>
  <si>
    <t>001!0611838982025</t>
  </si>
  <si>
    <t>SALVIA PURPURASCENS SAGE</t>
  </si>
  <si>
    <t>001!0611863959100</t>
  </si>
  <si>
    <t>SALVIA RED GREGGII</t>
  </si>
  <si>
    <t>001!0611838985100</t>
  </si>
  <si>
    <t>SALVIA RED HOT SALLY II</t>
  </si>
  <si>
    <t>001!0611838986100</t>
  </si>
  <si>
    <t>SALVIA REDDY SERIES</t>
  </si>
  <si>
    <t>001!0611857099100</t>
  </si>
  <si>
    <t>SALVIA RHEA</t>
  </si>
  <si>
    <t>001!0611838988100</t>
  </si>
  <si>
    <t>SALVIA ROSE QUEEN NEMOROSA</t>
  </si>
  <si>
    <t>001!0611838989100</t>
  </si>
  <si>
    <t>SALVIA SALLYFUN BICOLOR BLUE</t>
  </si>
  <si>
    <t>001!0611838990100</t>
  </si>
  <si>
    <t>SALVIA SALLYFUN BLUE EMOTION</t>
  </si>
  <si>
    <t>001!0611838992100</t>
  </si>
  <si>
    <t>SALVIA SALLYFUN BLUE ICE</t>
  </si>
  <si>
    <t>001!0611838993100</t>
  </si>
  <si>
    <t>SALVIA SALLYFUN BLUE LAGOON</t>
  </si>
  <si>
    <t>001!0611857100100</t>
  </si>
  <si>
    <t>SALVIA SALLYFUN DEEP OCEAN</t>
  </si>
  <si>
    <t>001!0611838994100</t>
  </si>
  <si>
    <t>SALVIA SALLYFUN PURE WHITE</t>
  </si>
  <si>
    <t>001!0611838995100</t>
  </si>
  <si>
    <t>SALVIA SALLYFUN SERIES</t>
  </si>
  <si>
    <t>001!0611838996100</t>
  </si>
  <si>
    <t>SALVIA SALLYFUN SKY BLUE</t>
  </si>
  <si>
    <t>001!0611838997100</t>
  </si>
  <si>
    <t>SALVIA SALLYFUN XL BLUE</t>
  </si>
  <si>
    <t>001!0611838998100</t>
  </si>
  <si>
    <t>SALVIA SALLYROSA APRIL NIGHT</t>
  </si>
  <si>
    <t>001!0611838999025</t>
  </si>
  <si>
    <t>SALVIA SALLYROSA JUMBO PINK</t>
  </si>
  <si>
    <t>001!0611839000025</t>
  </si>
  <si>
    <t>SALVIA SALSA MIX</t>
  </si>
  <si>
    <t>001!0611839001100</t>
  </si>
  <si>
    <t>SALVIA SALSA PURPLE</t>
  </si>
  <si>
    <t>001!0611839002100</t>
  </si>
  <si>
    <t>SALVIA SALSA SCARLET</t>
  </si>
  <si>
    <t>001!0611839003100</t>
  </si>
  <si>
    <t>SALVIA SALUTE BLUE IMP LMTD</t>
  </si>
  <si>
    <t>001!0611863960050</t>
  </si>
  <si>
    <t>SALVIA SALUTE BLUE LMTD</t>
  </si>
  <si>
    <t>001!0611863961100</t>
  </si>
  <si>
    <t>SALVIA SALUTE DEEP BLUE</t>
  </si>
  <si>
    <t>001!0611863962100</t>
  </si>
  <si>
    <t>SALVIA SALUTE DEEP BLUE LMTD</t>
  </si>
  <si>
    <t>001!0611863963050</t>
  </si>
  <si>
    <t>SALVIA SALUTE ICE BLUE</t>
  </si>
  <si>
    <t>001!0611863964100</t>
  </si>
  <si>
    <t>SALVIA SALUTE LIGHT PINK</t>
  </si>
  <si>
    <t>001!0611863965100</t>
  </si>
  <si>
    <t>SALVIA SALUTE PINK</t>
  </si>
  <si>
    <t>001!0611863966050</t>
  </si>
  <si>
    <t>SALVIA SALUTE WHITE</t>
  </si>
  <si>
    <t>001!0611863967100</t>
  </si>
  <si>
    <t>SALVIA SALVATORE BLUE NEMOROSA</t>
  </si>
  <si>
    <t>001!0611839006025</t>
  </si>
  <si>
    <t>SALVIA SALVIA GNRC BLNGL DSIGN</t>
  </si>
  <si>
    <t>001!0611839007100</t>
  </si>
  <si>
    <t>SALVIA SANTA BARBARA LEUCANTHA</t>
  </si>
  <si>
    <t>001!0611839008100</t>
  </si>
  <si>
    <t>001!0611839009025</t>
  </si>
  <si>
    <t>SALVIA SAUCY CORAL</t>
  </si>
  <si>
    <t>001!0611839010100</t>
  </si>
  <si>
    <t>SALVIA SAUCY PURPLE</t>
  </si>
  <si>
    <t>001!0611839011100</t>
  </si>
  <si>
    <t>SALVIA SAUCY RED</t>
  </si>
  <si>
    <t>001!0611839012100</t>
  </si>
  <si>
    <t>SALVIA SAUCY WINE</t>
  </si>
  <si>
    <t>001!0611839013100</t>
  </si>
  <si>
    <t>SALVIA SENSATION CMPCT DP BL</t>
  </si>
  <si>
    <t>001!0611839014025</t>
  </si>
  <si>
    <t>SALVIA SENSATION CMPCT WH</t>
  </si>
  <si>
    <t>001!0611839015025</t>
  </si>
  <si>
    <t>SALVIA SENSATION DEEP ROSE</t>
  </si>
  <si>
    <t>001!0611839017025</t>
  </si>
  <si>
    <t>SALVIA SENTRY RED</t>
  </si>
  <si>
    <t>001!0611839020100</t>
  </si>
  <si>
    <t>SALVIA SILVER SCENT</t>
  </si>
  <si>
    <t>001!0611884450025</t>
  </si>
  <si>
    <t>SALVIA SIZZLER BURGUNDY</t>
  </si>
  <si>
    <t>001!0611839021100</t>
  </si>
  <si>
    <t>SALVIA SIZZLER BURGUNDY HALO</t>
  </si>
  <si>
    <t>001!0611839022100</t>
  </si>
  <si>
    <t>SALVIA SIZZLER MIX</t>
  </si>
  <si>
    <t>001!0611839024100</t>
  </si>
  <si>
    <t>SALVIA SIZZLER PURPLE</t>
  </si>
  <si>
    <t>001!0611839025100</t>
  </si>
  <si>
    <t>SALVIA SIZZLER RED</t>
  </si>
  <si>
    <t>001!0611839026100</t>
  </si>
  <si>
    <t>SALVIA SIZZLER SALMON</t>
  </si>
  <si>
    <t>001!0611839027100</t>
  </si>
  <si>
    <t>SALVIA SIZZLER WHITE</t>
  </si>
  <si>
    <t>001!0611839028100</t>
  </si>
  <si>
    <t>SALVIA SNOW HILL</t>
  </si>
  <si>
    <t>001!0611839029025</t>
  </si>
  <si>
    <t>001!0611863968050</t>
  </si>
  <si>
    <t>SALVIA SNOWFLAKES</t>
  </si>
  <si>
    <t>001!0611884451100</t>
  </si>
  <si>
    <t>SALVIA SO COOL PALE BLUE</t>
  </si>
  <si>
    <t>001!0611839030025</t>
  </si>
  <si>
    <t>SALVIA SPRING KING</t>
  </si>
  <si>
    <t>001!0611863969100</t>
  </si>
  <si>
    <t>SALVIA SPRING KING MINI</t>
  </si>
  <si>
    <t>001!0611863970100</t>
  </si>
  <si>
    <t>SALVIA ST JOHNS FIRE</t>
  </si>
  <si>
    <t>001!0611839031100</t>
  </si>
  <si>
    <t>SALVIA STRATA</t>
  </si>
  <si>
    <t>001!0611839032100</t>
  </si>
  <si>
    <t>SALVIA SUMMER JEWEL LAVENDER</t>
  </si>
  <si>
    <t>001!0611839033100</t>
  </si>
  <si>
    <t>SALVIA SUMMER JEWEL MIX</t>
  </si>
  <si>
    <t>001!0611839034100</t>
  </si>
  <si>
    <t>SALVIA SUMMER JEWEL PINK</t>
  </si>
  <si>
    <t>001!0611839035100</t>
  </si>
  <si>
    <t>SALVIA SUMMER JEWEL RED</t>
  </si>
  <si>
    <t>001!0611839036100</t>
  </si>
  <si>
    <t>SALVIA SUMMER JEWEL WHITE</t>
  </si>
  <si>
    <t>001!0611839037100</t>
  </si>
  <si>
    <t>SALVIA SWIFTY ROSE NEMOROSA</t>
  </si>
  <si>
    <t>001!0611839038025</t>
  </si>
  <si>
    <t>SALVIA SWIFTY RS MULTIFLORA</t>
  </si>
  <si>
    <t>001!0611839039025</t>
  </si>
  <si>
    <t>SALVIA SWIFTY VLT BL NEMOROSA</t>
  </si>
  <si>
    <t>001!0611839040025</t>
  </si>
  <si>
    <t>SALVIA SWIFTY VLT MULTIFLORA</t>
  </si>
  <si>
    <t>001!0611839041025</t>
  </si>
  <si>
    <t>SALVIA SWIFTY WHITE NEMOROSA</t>
  </si>
  <si>
    <t>001!0611839042025</t>
  </si>
  <si>
    <t>SALVIA TALL PURPLE GENERIC</t>
  </si>
  <si>
    <t>001!0611839043100</t>
  </si>
  <si>
    <t>SALVIA TALL RED GENERIC</t>
  </si>
  <si>
    <t>001!0611839044100</t>
  </si>
  <si>
    <t>SALVIA TRANSYLVANICA</t>
  </si>
  <si>
    <t>001!0611839045025</t>
  </si>
  <si>
    <t>SALVIA TRICOLOR</t>
  </si>
  <si>
    <t>001!0611839046100</t>
  </si>
  <si>
    <t>001!0611839047025</t>
  </si>
  <si>
    <t>SALVIA TRICOLOR SAGE</t>
  </si>
  <si>
    <t>001!0611863971100</t>
  </si>
  <si>
    <t>SALVIA TRICOLOR SAGE LMTD</t>
  </si>
  <si>
    <t>001!0611863972050</t>
  </si>
  <si>
    <t>SALVIA ULTRA VIOLET</t>
  </si>
  <si>
    <t>001!0611839048025</t>
  </si>
  <si>
    <t>SALVIA VELOCITY BLUE</t>
  </si>
  <si>
    <t>001!0611863973050</t>
  </si>
  <si>
    <t>SALVIA VIBE IGNITION FUCHSIA</t>
  </si>
  <si>
    <t>001!0611863974050</t>
  </si>
  <si>
    <t>SALVIA VIBE IGNITION PURPLE</t>
  </si>
  <si>
    <t>001!0611863975050</t>
  </si>
  <si>
    <t>SALVIA VIBE IGNITION WHITE</t>
  </si>
  <si>
    <t>001!0611863976050</t>
  </si>
  <si>
    <t>SALVIA VICTORIA BLUE</t>
  </si>
  <si>
    <t>001!0611839049100</t>
  </si>
  <si>
    <t>SALVIA VICTORIA WHITE</t>
  </si>
  <si>
    <t>001!0611839050100</t>
  </si>
  <si>
    <t>SALVIA VISTA BURGUNDY</t>
  </si>
  <si>
    <t>001!0611839051100</t>
  </si>
  <si>
    <t>SALVIA VISTA LAVENDER</t>
  </si>
  <si>
    <t>001!0611839052100</t>
  </si>
  <si>
    <t>SALVIA VISTA MIX</t>
  </si>
  <si>
    <t>001!0611839053100</t>
  </si>
  <si>
    <t>SALVIA VISTA PURPLE</t>
  </si>
  <si>
    <t>001!0611839054100</t>
  </si>
  <si>
    <t>SALVIA VISTA RED</t>
  </si>
  <si>
    <t>001!0611839055100</t>
  </si>
  <si>
    <t>SALVIA VISTA RED/WHITE</t>
  </si>
  <si>
    <t>001!0611839056100</t>
  </si>
  <si>
    <t>SALVIA VISTA ROSE</t>
  </si>
  <si>
    <t>001!0611839057100</t>
  </si>
  <si>
    <t>SALVIA VISTA SALMON</t>
  </si>
  <si>
    <t>001!0611839058100</t>
  </si>
  <si>
    <t>SALVIA VISTA WHITE</t>
  </si>
  <si>
    <t>001!0611839059100</t>
  </si>
  <si>
    <t>SALVIA WENDYS WISH</t>
  </si>
  <si>
    <t>001!0611839060025</t>
  </si>
  <si>
    <t>001!0611863977050</t>
  </si>
  <si>
    <t>SALVIA WHITE FULL MOON</t>
  </si>
  <si>
    <t>001!0611884452100</t>
  </si>
  <si>
    <t>SANSEV BIRDSNEST</t>
  </si>
  <si>
    <t>001!0611839063100</t>
  </si>
  <si>
    <t>SANSEV CYLINDRICA</t>
  </si>
  <si>
    <t>001!0611839064100</t>
  </si>
  <si>
    <t>SANSEV LAURENTII</t>
  </si>
  <si>
    <t>001!0611839065100</t>
  </si>
  <si>
    <t>SANSEV SNAKE PLANT GENERIC</t>
  </si>
  <si>
    <t>001!0611839066100</t>
  </si>
  <si>
    <t>SANTOL CHAMAECYPARISSUS</t>
  </si>
  <si>
    <t>001!0611839067025</t>
  </si>
  <si>
    <t>SANTOL GRAY</t>
  </si>
  <si>
    <t>001!0611839068100</t>
  </si>
  <si>
    <t>SANTOL GREEN</t>
  </si>
  <si>
    <t>001!0611839069100</t>
  </si>
  <si>
    <t>SANTOL GREY LAVENDER COTTON</t>
  </si>
  <si>
    <t>001!0611863978100</t>
  </si>
  <si>
    <t>SANTOL ROSMARINIFOLIA</t>
  </si>
  <si>
    <t>001!0611884453025</t>
  </si>
  <si>
    <t>SANVIT AZTEC GOLD</t>
  </si>
  <si>
    <t>001!0611839070100</t>
  </si>
  <si>
    <t>SANVIT MANDARIN ORANGE</t>
  </si>
  <si>
    <t>001!0611839072100</t>
  </si>
  <si>
    <t>SANVIT MILLION SUNS</t>
  </si>
  <si>
    <t>001!0611839073100</t>
  </si>
  <si>
    <t>SANVIT POWERBINI</t>
  </si>
  <si>
    <t>001!0611839074100</t>
  </si>
  <si>
    <t>SANVIT QUEEN OF SUNLIGHT</t>
  </si>
  <si>
    <t>001!0611839075100</t>
  </si>
  <si>
    <t>SANVIT SOLARIS YELLOW</t>
  </si>
  <si>
    <t>001!0611839076100</t>
  </si>
  <si>
    <t>SANVIT SUNVY SUPER GOLD</t>
  </si>
  <si>
    <t>001!0611863979050</t>
  </si>
  <si>
    <t>SANVIT SUNVY TOP GOLD</t>
  </si>
  <si>
    <t>001!0611863980050</t>
  </si>
  <si>
    <t>SANVIT SUNVY TRAILING</t>
  </si>
  <si>
    <t>001!0611863981050</t>
  </si>
  <si>
    <t>SANVIT TALYA BRIGHT</t>
  </si>
  <si>
    <t>001!0611839077100</t>
  </si>
  <si>
    <t>SANVIT TALYA GREAT YELLOW</t>
  </si>
  <si>
    <t>001!0611839078100</t>
  </si>
  <si>
    <t>SANVIT TALYA SUNNY</t>
  </si>
  <si>
    <t>001!0611839079100</t>
  </si>
  <si>
    <t>SANVIT YELLOW GENERIC</t>
  </si>
  <si>
    <t>001!0611839080100</t>
  </si>
  <si>
    <t>SAPONA OCYMOIDES</t>
  </si>
  <si>
    <t>001!0611839081025</t>
  </si>
  <si>
    <t>SAPONA SAPONARIA GENERIC</t>
  </si>
  <si>
    <t>001!0611839082100</t>
  </si>
  <si>
    <t>SATURE SUMMER SAVORY COMP</t>
  </si>
  <si>
    <t>001!0611884454025</t>
  </si>
  <si>
    <t>SATURE WINTER SAVORY</t>
  </si>
  <si>
    <t>001!0611884455025</t>
  </si>
  <si>
    <t>SAXIF ALPINO EARLY DEEP RED</t>
  </si>
  <si>
    <t>001!0611884456025</t>
  </si>
  <si>
    <t>SAXIFR ALPINO EARLY CARMINE</t>
  </si>
  <si>
    <t>001!0611839088025</t>
  </si>
  <si>
    <t>SAXIFR ALPINO EARLY CARNIVAL</t>
  </si>
  <si>
    <t>001!0611839089025</t>
  </si>
  <si>
    <t>001!0611863982050</t>
  </si>
  <si>
    <t>SAXIFR ALPINO EARLY LIME</t>
  </si>
  <si>
    <t>001!0611839090025</t>
  </si>
  <si>
    <t>SAXIFR ALPINO EARLY MAGIC SLMN</t>
  </si>
  <si>
    <t>001!0611839091025</t>
  </si>
  <si>
    <t>SAXIFR ALPINO EARLY PICOTEE</t>
  </si>
  <si>
    <t>001!0611839093025</t>
  </si>
  <si>
    <t>001!0611863983050</t>
  </si>
  <si>
    <t>SAXIFR ALPINO EARLY RS</t>
  </si>
  <si>
    <t>001!0611839095025</t>
  </si>
  <si>
    <t>SAXIFR ALPINO EARLY WHITE</t>
  </si>
  <si>
    <t>001!0611863984050</t>
  </si>
  <si>
    <t>SAXIFR LOFTY DARK ROSE SHADES</t>
  </si>
  <si>
    <t>001!0611857101025</t>
  </si>
  <si>
    <t>SAXIFR LOFTY PK SHDS ARENDSII</t>
  </si>
  <si>
    <t>001!0611839100025</t>
  </si>
  <si>
    <t>SAXIFR LOFTY WH BLUSH ARENDSII</t>
  </si>
  <si>
    <t>001!0611839101025</t>
  </si>
  <si>
    <t>SAXIFR MIX ARENDSII</t>
  </si>
  <si>
    <t>001!0611839102025</t>
  </si>
  <si>
    <t>SAXIFR PURPLE ROBE ARENDSII</t>
  </si>
  <si>
    <t>001!0611839103025</t>
  </si>
  <si>
    <t>SAXIFR ROCCO RED ARENDSII</t>
  </si>
  <si>
    <t>001!0611839104025</t>
  </si>
  <si>
    <t>SAXIFR ROCKFOIL GENERIC</t>
  </si>
  <si>
    <t>001!0611839105100</t>
  </si>
  <si>
    <t>SAXIFR SCENIC RED</t>
  </si>
  <si>
    <t>001!0611863985100</t>
  </si>
  <si>
    <t>SAXIFR SCENIC RED LMTD</t>
  </si>
  <si>
    <t>001!0611863986050</t>
  </si>
  <si>
    <t>SAXIFR SCENIC WHITE</t>
  </si>
  <si>
    <t>001!0611863987100</t>
  </si>
  <si>
    <t>SAXIFR SCENIC WHITE LMTD</t>
  </si>
  <si>
    <t>001!0611863988050</t>
  </si>
  <si>
    <t>SAXIFR TOURAN DEEP RED</t>
  </si>
  <si>
    <t>001!0611863989050</t>
  </si>
  <si>
    <t>SAXIFR TOURAN DP RED ARENDSII</t>
  </si>
  <si>
    <t>001!0611839106025</t>
  </si>
  <si>
    <t>SAXIFR TOURAN LARGE WHITE</t>
  </si>
  <si>
    <t>001!0611839107025</t>
  </si>
  <si>
    <t>001!0611863990050</t>
  </si>
  <si>
    <t>SAXIFR TOURAN LIME GRNARENDSII</t>
  </si>
  <si>
    <t>001!0611839108025</t>
  </si>
  <si>
    <t>SAXIFR TOURAN PINK ARENDSII</t>
  </si>
  <si>
    <t>001!0611839109025</t>
  </si>
  <si>
    <t>SAXIFR TOURAN RED</t>
  </si>
  <si>
    <t>001!0611863991050</t>
  </si>
  <si>
    <t>SAXIFR TOURAN SCARLET ARENDSII</t>
  </si>
  <si>
    <t>001!0611839110025</t>
  </si>
  <si>
    <t>SAXIFR TOURAN WHITE ARENDSII</t>
  </si>
  <si>
    <t>001!0611839111025</t>
  </si>
  <si>
    <t>SCABIO BLUE NOTE COLUMBARIA</t>
  </si>
  <si>
    <t>001!0611839112025</t>
  </si>
  <si>
    <t>SCABIO BUTTERFLY BLUE</t>
  </si>
  <si>
    <t>001!0611839113025</t>
  </si>
  <si>
    <t>001!0611863992100</t>
  </si>
  <si>
    <t>SCABIO DMNDS PK JAPONICA</t>
  </si>
  <si>
    <t>001!0611839114025</t>
  </si>
  <si>
    <t>SCABIO FAMA CAUCASICA</t>
  </si>
  <si>
    <t>001!0611839115100</t>
  </si>
  <si>
    <t>SCABIO FAMA DP BLUE CAUCASICA</t>
  </si>
  <si>
    <t>001!0611839116025</t>
  </si>
  <si>
    <t>SCABIO FLUTTER DP BL</t>
  </si>
  <si>
    <t>001!0611839117025</t>
  </si>
  <si>
    <t>001!0611863993100</t>
  </si>
  <si>
    <t>SCABIO FLUTTER PR WH</t>
  </si>
  <si>
    <t>001!0611839118025</t>
  </si>
  <si>
    <t>SCABIO FLUTTER ROSE PINK</t>
  </si>
  <si>
    <t>001!0611863994100</t>
  </si>
  <si>
    <t>SCABIO FLUTTER ROSE PINK LMTD</t>
  </si>
  <si>
    <t>001!0611863995050</t>
  </si>
  <si>
    <t>SCABIO FLUTTER RS PK</t>
  </si>
  <si>
    <t>001!0611839119025</t>
  </si>
  <si>
    <t>SCABIO GIGA BLUE COLUMBARIA</t>
  </si>
  <si>
    <t>001!0611839120025</t>
  </si>
  <si>
    <t>SCABIO GIGA DP OCEAN BL</t>
  </si>
  <si>
    <t>001!0611839121025</t>
  </si>
  <si>
    <t>SCABIO GIGA PINK COLUMBARIA</t>
  </si>
  <si>
    <t>001!0611839122025</t>
  </si>
  <si>
    <t>SCABIO GIGA SILVER COLUMBARIA</t>
  </si>
  <si>
    <t>001!0611839123025</t>
  </si>
  <si>
    <t>SCABIO KUDO PINK INCISA</t>
  </si>
  <si>
    <t>001!0611839124025</t>
  </si>
  <si>
    <t>SCABIO PINCUSHION FLOWER GNRC</t>
  </si>
  <si>
    <t>001!0611839125025</t>
  </si>
  <si>
    <t>SCABIO PINK MIST</t>
  </si>
  <si>
    <t>001!0611863996100</t>
  </si>
  <si>
    <t>SCABIO PINK MIST COLUMBARIA</t>
  </si>
  <si>
    <t>001!0611839126025</t>
  </si>
  <si>
    <t>SCABIO RITZ BL JAPONICA</t>
  </si>
  <si>
    <t>001!0611839127025</t>
  </si>
  <si>
    <t>SCABIO RITZ RS JAPONICA</t>
  </si>
  <si>
    <t>001!0611839128025</t>
  </si>
  <si>
    <t>SCABIO SCABIOSA GENERIC</t>
  </si>
  <si>
    <t>001!0611839129100</t>
  </si>
  <si>
    <t>SCABIO VIVID VIOLET</t>
  </si>
  <si>
    <t>001!0611839131025</t>
  </si>
  <si>
    <t>SCAEVO ANGEL BLUE</t>
  </si>
  <si>
    <t>001!0611839132100</t>
  </si>
  <si>
    <t>SCAEVO BLESSING BIC LAVENDER</t>
  </si>
  <si>
    <t>001!0611884457100</t>
  </si>
  <si>
    <t>SCAEVO BLESSING LAVENDER</t>
  </si>
  <si>
    <t>001!0611884458100</t>
  </si>
  <si>
    <t>SCAEVO BLUE WIND</t>
  </si>
  <si>
    <t>001!0611839135100</t>
  </si>
  <si>
    <t>SCAEVO BOMBAY COMPACT DK BLUE</t>
  </si>
  <si>
    <t>001!0611863997050</t>
  </si>
  <si>
    <t>SCAEVO BOMBAY DARK BLUE</t>
  </si>
  <si>
    <t>001!0611863998050</t>
  </si>
  <si>
    <t>SCAEVO BOMBAY PINK</t>
  </si>
  <si>
    <t>001!0611863999050</t>
  </si>
  <si>
    <t>SCAEVO BOMBAY PLATINUM</t>
  </si>
  <si>
    <t>001!0611864000050</t>
  </si>
  <si>
    <t>SCAEVO BOMBAY WHITE</t>
  </si>
  <si>
    <t>001!0611864001050</t>
  </si>
  <si>
    <t>SCAEVO BOMBAY YELLOW</t>
  </si>
  <si>
    <t>001!0611864002050</t>
  </si>
  <si>
    <t>SCAEVO BRILLIANT</t>
  </si>
  <si>
    <t>001!0611864003050</t>
  </si>
  <si>
    <t>SCAEVO DIAMOND</t>
  </si>
  <si>
    <t>001!0611839136100</t>
  </si>
  <si>
    <t>SCAEVO FANCY</t>
  </si>
  <si>
    <t>001!0611864004050</t>
  </si>
  <si>
    <t>SCAEVO PINK BLESSING</t>
  </si>
  <si>
    <t>001!0611839140100</t>
  </si>
  <si>
    <t>SCAEVO PURPLE HAZE</t>
  </si>
  <si>
    <t>001!0611839142100</t>
  </si>
  <si>
    <t>SCAEVO SAPHIRA</t>
  </si>
  <si>
    <t>001!0611839143100</t>
  </si>
  <si>
    <t>SCAEVO SCAEVOLA GENERIC</t>
  </si>
  <si>
    <t>001!0611839144100</t>
  </si>
  <si>
    <t>001!0611839145100</t>
  </si>
  <si>
    <t>SCAEVO SCALA BLUE</t>
  </si>
  <si>
    <t>001!0611864005050</t>
  </si>
  <si>
    <t>SCAEVO SCALA BLUE BIRD</t>
  </si>
  <si>
    <t>001!0611884459050</t>
  </si>
  <si>
    <t>SCAEVO SCALA BLUE JAY</t>
  </si>
  <si>
    <t>001!0611884460050</t>
  </si>
  <si>
    <t>SCAEVO SCALA BLUE SHADES</t>
  </si>
  <si>
    <t>001!0611864006050</t>
  </si>
  <si>
    <t>SCAEVO SCALA PINK</t>
  </si>
  <si>
    <t>001!0611864007050</t>
  </si>
  <si>
    <t>SCAEVO SCALA PINK BIRD</t>
  </si>
  <si>
    <t>001!0611884461050</t>
  </si>
  <si>
    <t>SCAEVO SCALA PURPLE BIRD</t>
  </si>
  <si>
    <t>001!0611864008050</t>
  </si>
  <si>
    <t>SCAEVO SCALA WHITE</t>
  </si>
  <si>
    <t>001!0611864009050</t>
  </si>
  <si>
    <t>SCAEVO SCALA WHITE DOVE</t>
  </si>
  <si>
    <t>001!0611884462050</t>
  </si>
  <si>
    <t>SCAEVO SCALORA BRILLIANT</t>
  </si>
  <si>
    <t>001!0611839146100</t>
  </si>
  <si>
    <t>001!0611864010050</t>
  </si>
  <si>
    <t>SCAEVO SCALORA DIAMOND</t>
  </si>
  <si>
    <t>001!0611839147100</t>
  </si>
  <si>
    <t>001!0611864011050</t>
  </si>
  <si>
    <t>SCAEVO SCALORA FANCY</t>
  </si>
  <si>
    <t>001!0611839148100</t>
  </si>
  <si>
    <t>001!0611864012050</t>
  </si>
  <si>
    <t>SCAEVO SCALORA GLITZY</t>
  </si>
  <si>
    <t>001!0611839149100</t>
  </si>
  <si>
    <t>SCAEVO SCALORA PEARL</t>
  </si>
  <si>
    <t>001!0611839150100</t>
  </si>
  <si>
    <t>001!0611864013050</t>
  </si>
  <si>
    <t>SCAEVO SCALORA SUNTASTIC</t>
  </si>
  <si>
    <t>001!0611839151100</t>
  </si>
  <si>
    <t>001!0611864014050</t>
  </si>
  <si>
    <t>SCAEVO SCALORA TOP POT BLUE</t>
  </si>
  <si>
    <t>001!0611864015050</t>
  </si>
  <si>
    <t>SCAEVO SCALORA TOP POT PINK</t>
  </si>
  <si>
    <t>001!0611864016050</t>
  </si>
  <si>
    <t>SCAEVO SCALORA TOP POT WHITE</t>
  </si>
  <si>
    <t>001!0611864017050</t>
  </si>
  <si>
    <t>SCAEVO SCALORA TOPAZ PINK</t>
  </si>
  <si>
    <t>001!0611839152100</t>
  </si>
  <si>
    <t>SCAEVO SCAMPI SERIES</t>
  </si>
  <si>
    <t>001!0611839153100</t>
  </si>
  <si>
    <t>SCAEVO TOP POT BLUE</t>
  </si>
  <si>
    <t>001!0611864018050</t>
  </si>
  <si>
    <t>SCAEVO TOP POT PINK</t>
  </si>
  <si>
    <t>001!0611864019050</t>
  </si>
  <si>
    <t>SCAEVO TOP POT WHITE</t>
  </si>
  <si>
    <t>001!0611864020050</t>
  </si>
  <si>
    <t>SCAEVO TOP POT YELLOW</t>
  </si>
  <si>
    <t>001!0611864021050</t>
  </si>
  <si>
    <t>SCAEVO TOPAZ PINK</t>
  </si>
  <si>
    <t>001!0611839154100</t>
  </si>
  <si>
    <t>001!0611864022050</t>
  </si>
  <si>
    <t>SCAEVO TOPPOT BLUE</t>
  </si>
  <si>
    <t>001!0611839155100</t>
  </si>
  <si>
    <t>SCAEVO TOPPOT PINK</t>
  </si>
  <si>
    <t>001!0611839156100</t>
  </si>
  <si>
    <t>SCAEVO TOPPOT WHITE</t>
  </si>
  <si>
    <t>001!0611839157100</t>
  </si>
  <si>
    <t>SCAEVO TOPPOT YELLOW</t>
  </si>
  <si>
    <t>001!0611857102100</t>
  </si>
  <si>
    <t>SCAEVO TOUCH BLUE</t>
  </si>
  <si>
    <t>001!0611839158100</t>
  </si>
  <si>
    <t>SCAEVO TOUCH INDIGO</t>
  </si>
  <si>
    <t>001!0611857103100</t>
  </si>
  <si>
    <t>SCAEVO TOUCH WHITE</t>
  </si>
  <si>
    <t>001!0611839159100</t>
  </si>
  <si>
    <t>SCAEVO WHITE GENERIC</t>
  </si>
  <si>
    <t>001!0611839161100</t>
  </si>
  <si>
    <t>SCHEFF ARBORICOLA</t>
  </si>
  <si>
    <t>001!0611839162100</t>
  </si>
  <si>
    <t>SCHEFF UMBRELLA TREE</t>
  </si>
  <si>
    <t>001!0611839163100</t>
  </si>
  <si>
    <t>SCHEFF VARIEGATA ARBORICOLA</t>
  </si>
  <si>
    <t>001!0611839164100</t>
  </si>
  <si>
    <t>SCHIZA ATLANTIS SERIES</t>
  </si>
  <si>
    <t>001!0611839165100</t>
  </si>
  <si>
    <t>SCHIZA PRAIRIE BLUES</t>
  </si>
  <si>
    <t>001!0611839166025</t>
  </si>
  <si>
    <t>SCHIZA SCHIZANTHUS GENERIC</t>
  </si>
  <si>
    <t>001!0611839167100</t>
  </si>
  <si>
    <t>SCHIZA THE BLUES</t>
  </si>
  <si>
    <t>001!0611839168025</t>
  </si>
  <si>
    <t>SCILLA CARIBBEAN JWLS BONAIRE</t>
  </si>
  <si>
    <t>001!0611864023050</t>
  </si>
  <si>
    <t>SCILLA CARIBBEAN JWLS SAPHR BL</t>
  </si>
  <si>
    <t>001!0611864024050</t>
  </si>
  <si>
    <t>SCUTTE PINK</t>
  </si>
  <si>
    <t>001!0611839169025</t>
  </si>
  <si>
    <t>SEDEVE LETIZIA</t>
  </si>
  <si>
    <t>001!0611864025100</t>
  </si>
  <si>
    <t>SEDUM ACRE</t>
  </si>
  <si>
    <t>001!0611839170025</t>
  </si>
  <si>
    <t>SEDUM ADOLPHII</t>
  </si>
  <si>
    <t>001!0611864026100</t>
  </si>
  <si>
    <t>SEDUM AFTER DARK</t>
  </si>
  <si>
    <t>001!0611884463025</t>
  </si>
  <si>
    <t>SEDUM ANGELINA</t>
  </si>
  <si>
    <t>001!0611839172100</t>
  </si>
  <si>
    <t>001!0611839173025</t>
  </si>
  <si>
    <t>SEDUM ANGELINA LMTD</t>
  </si>
  <si>
    <t>001!0611864027100</t>
  </si>
  <si>
    <t>001!0611864028050</t>
  </si>
  <si>
    <t>SEDUM ATLANTIS TAKESIMENSE</t>
  </si>
  <si>
    <t>001!0611839174025</t>
  </si>
  <si>
    <t>SEDUM AUREA GOLDMOSS ACRE</t>
  </si>
  <si>
    <t>001!0611839175025</t>
  </si>
  <si>
    <t>SEDUM AURORA BLUE</t>
  </si>
  <si>
    <t>001!0611864029100</t>
  </si>
  <si>
    <t>SEDUM AUTUMN FIRE</t>
  </si>
  <si>
    <t>001!0611839176025</t>
  </si>
  <si>
    <t>001!0611864030100</t>
  </si>
  <si>
    <t>SEDUM AUTUMN JOY</t>
  </si>
  <si>
    <t>001!0611839178025</t>
  </si>
  <si>
    <t>001!0611864031100</t>
  </si>
  <si>
    <t>SEDUM AUTUMN JOY LMTD</t>
  </si>
  <si>
    <t>001!0611864032050</t>
  </si>
  <si>
    <t>SEDUM BANANA SPLIT</t>
  </si>
  <si>
    <t>001!0611864033100</t>
  </si>
  <si>
    <t>SEDUM BLUE CARPET</t>
  </si>
  <si>
    <t>001!0611839179025</t>
  </si>
  <si>
    <t>SEDUM BLUE SPRUCE</t>
  </si>
  <si>
    <t>001!0611839182025</t>
  </si>
  <si>
    <t>001!0611864034050</t>
  </si>
  <si>
    <t>001!0611864035100</t>
  </si>
  <si>
    <t>SEDUM BRILLIANT SPECTABILE</t>
  </si>
  <si>
    <t>001!0611839183025</t>
  </si>
  <si>
    <t>SEDUM BURROS TAIL MORGANIANUM</t>
  </si>
  <si>
    <t>001!0611839184100</t>
  </si>
  <si>
    <t>SEDUM CANDY CHERRY TRUFFLE</t>
  </si>
  <si>
    <t>001!0611839185025</t>
  </si>
  <si>
    <t>SEDUM CAPE BLANCO</t>
  </si>
  <si>
    <t>001!0611839186025</t>
  </si>
  <si>
    <t>SEDUM CARNICOLOR</t>
  </si>
  <si>
    <t>001!0611864036100</t>
  </si>
  <si>
    <t>SEDUM CAUTICOLA</t>
  </si>
  <si>
    <t>001!0611839187025</t>
  </si>
  <si>
    <t>SEDUM CHOCOLATE BALL</t>
  </si>
  <si>
    <t>001!0611864037100</t>
  </si>
  <si>
    <t>SEDUM CHOCOLATE BALL LMTD</t>
  </si>
  <si>
    <t>001!0611864038050</t>
  </si>
  <si>
    <t>SEDUM CHOCOLT BALL HAKONENSE</t>
  </si>
  <si>
    <t>001!0611839188025</t>
  </si>
  <si>
    <t>SEDUM CHOCOLT CHRRY TELEPHIUM</t>
  </si>
  <si>
    <t>001!0611839189025</t>
  </si>
  <si>
    <t>SEDUM CLASS ACT</t>
  </si>
  <si>
    <t>001!0611839190025</t>
  </si>
  <si>
    <t>SEDUM COCA COLA CAUTICOLA</t>
  </si>
  <si>
    <t>001!0611839191025</t>
  </si>
  <si>
    <t>SEDUM CONGA LINE</t>
  </si>
  <si>
    <t>001!0611839192025</t>
  </si>
  <si>
    <t>SEDUM COPPERTONE SEDUM</t>
  </si>
  <si>
    <t>001!0611839193100</t>
  </si>
  <si>
    <t>SEDUM CORAL CARPET ALBUM</t>
  </si>
  <si>
    <t>001!0611839194025</t>
  </si>
  <si>
    <t>SEDUM CORAL REEF</t>
  </si>
  <si>
    <t>001!0611839195100</t>
  </si>
  <si>
    <t>001!0611839196025</t>
  </si>
  <si>
    <t>SEDUM CORAL REEF LMTD</t>
  </si>
  <si>
    <t>001!0611864039100</t>
  </si>
  <si>
    <t>001!0611864040050</t>
  </si>
  <si>
    <t>SEDUM CRYSTAL PINK</t>
  </si>
  <si>
    <t>001!0611839197025</t>
  </si>
  <si>
    <t>SEDUM CUTTING EDGE</t>
  </si>
  <si>
    <t>001!0611839198025</t>
  </si>
  <si>
    <t>SEDUM DARK MAGIC</t>
  </si>
  <si>
    <t>001!0611839199025</t>
  </si>
  <si>
    <t>SEDUM DOUBLE MARTINI</t>
  </si>
  <si>
    <t>001!0611839200025</t>
  </si>
  <si>
    <t>SEDUM DRAGONS BLOOD</t>
  </si>
  <si>
    <t>001!0611864041100</t>
  </si>
  <si>
    <t>SEDUM DRAGONS BLOOD SPURIUM</t>
  </si>
  <si>
    <t>001!0611839201100</t>
  </si>
  <si>
    <t>001!0611839202025</t>
  </si>
  <si>
    <t>SEDUM ELLACOMBIANUM</t>
  </si>
  <si>
    <t>001!0611839203025</t>
  </si>
  <si>
    <t>SEDUM EWERSII</t>
  </si>
  <si>
    <t>001!0611864042100</t>
  </si>
  <si>
    <t>SEDUM FULDAGLUT SPURIUM</t>
  </si>
  <si>
    <t>001!0611839204025</t>
  </si>
  <si>
    <t>SEDUM GENERIC</t>
  </si>
  <si>
    <t>001!0611839245100</t>
  </si>
  <si>
    <t>SEDUM GLDEN CARPET TAKESIMENSE</t>
  </si>
  <si>
    <t>001!0611839205025</t>
  </si>
  <si>
    <t>SEDUM GLITTERBUG</t>
  </si>
  <si>
    <t>001!0611857104025</t>
  </si>
  <si>
    <t>SEDUM GOLD DUST</t>
  </si>
  <si>
    <t>001!0611839206025</t>
  </si>
  <si>
    <t>SEDUM GOLDDIGGER SEXANGULARE</t>
  </si>
  <si>
    <t>001!0611839207025</t>
  </si>
  <si>
    <t>SEDUM HOUSEPLANT TYPES GENERIC</t>
  </si>
  <si>
    <t>001!0611884464100</t>
  </si>
  <si>
    <t>SEDUM JADE RUNNER</t>
  </si>
  <si>
    <t>001!0611864043100</t>
  </si>
  <si>
    <t>SEDUM JOHN CREECH</t>
  </si>
  <si>
    <t>001!0611839209025</t>
  </si>
  <si>
    <t>SEDUM KAMTSCHATICUM</t>
  </si>
  <si>
    <t>001!0611839210025</t>
  </si>
  <si>
    <t>SEDUM LEMON BALL</t>
  </si>
  <si>
    <t>001!0611839211100</t>
  </si>
  <si>
    <t>001!0611839212025</t>
  </si>
  <si>
    <t>SEDUM LIMELIGHT</t>
  </si>
  <si>
    <t>001!0611839214025</t>
  </si>
  <si>
    <t>SEDUM LITTLE MISSY</t>
  </si>
  <si>
    <t>001!0611839215025</t>
  </si>
  <si>
    <t>SEDUM LIZARD RUBENS</t>
  </si>
  <si>
    <t>001!0611839216025</t>
  </si>
  <si>
    <t>SEDUM LOW GROWING GENERIC</t>
  </si>
  <si>
    <t>001!0611839217025</t>
  </si>
  <si>
    <t>SEDUM LUCIDUM</t>
  </si>
  <si>
    <t>001!0611864044100</t>
  </si>
  <si>
    <t>SEDUM MAHOGANY RED</t>
  </si>
  <si>
    <t>001!0611839218025</t>
  </si>
  <si>
    <t>SEDUM MAJESTIC KISS</t>
  </si>
  <si>
    <t>001!0611839219025</t>
  </si>
  <si>
    <t>SEDUM MAJOR DASYPHYLLUM</t>
  </si>
  <si>
    <t>001!0611839220025</t>
  </si>
  <si>
    <t>SEDUM MAKINOI</t>
  </si>
  <si>
    <t>001!0611839221025</t>
  </si>
  <si>
    <t>SEDUM MATRONA</t>
  </si>
  <si>
    <t>001!0611839222025</t>
  </si>
  <si>
    <t>001!0611864045050</t>
  </si>
  <si>
    <t>SEDUM MEDIOVARIEGATUM</t>
  </si>
  <si>
    <t>001!0611864046050</t>
  </si>
  <si>
    <t>SEDUM MIDDENDORFIANUM DIFFUSUM</t>
  </si>
  <si>
    <t>001!0611839223025</t>
  </si>
  <si>
    <t>SEDUM MORGANIANUM</t>
  </si>
  <si>
    <t>001!0611864047100</t>
  </si>
  <si>
    <t>SEDUM MR GOODBUD CAUTICOLA</t>
  </si>
  <si>
    <t>001!0611839224025</t>
  </si>
  <si>
    <t>SEDUM NEON SPECTABILE</t>
  </si>
  <si>
    <t>001!0611839225025</t>
  </si>
  <si>
    <t>SEDUM NIGHT EMBERS</t>
  </si>
  <si>
    <t>001!0611857105025</t>
  </si>
  <si>
    <t>SEDUM NIGHT LIGHT</t>
  </si>
  <si>
    <t>001!0611839226025</t>
  </si>
  <si>
    <t>SEDUM NUSSBAUMERIANUM</t>
  </si>
  <si>
    <t>001!0611864048100</t>
  </si>
  <si>
    <t>SEDUM OCTOBER DAPHNE SIEBOLDII</t>
  </si>
  <si>
    <t>001!0611839227025</t>
  </si>
  <si>
    <t>SEDUM OGON</t>
  </si>
  <si>
    <t>001!0611839228025</t>
  </si>
  <si>
    <t>SEDUM ORACLE FORSTERIANUM</t>
  </si>
  <si>
    <t>001!0611839229025</t>
  </si>
  <si>
    <t>SEDUM PACHYCLADOS</t>
  </si>
  <si>
    <t>001!0611839230025</t>
  </si>
  <si>
    <t>SEDUM PAINTED PEBBLE</t>
  </si>
  <si>
    <t>001!0611839231025</t>
  </si>
  <si>
    <t>SEDUM PARTY HARDY BDAY PARTY</t>
  </si>
  <si>
    <t>001!0611839232025</t>
  </si>
  <si>
    <t>SEDUM PARTY HARDY BEACH PARTY</t>
  </si>
  <si>
    <t>001!0611839233025</t>
  </si>
  <si>
    <t>SEDUM PARTY HARDY POOL PARTY</t>
  </si>
  <si>
    <t>001!0611839234025</t>
  </si>
  <si>
    <t>SEDUM PEACH PEARLS</t>
  </si>
  <si>
    <t>001!0611839235025</t>
  </si>
  <si>
    <t>SEDUM PINK BOMB SPECTABILE</t>
  </si>
  <si>
    <t>001!0611839236025</t>
  </si>
  <si>
    <t>SEDUM PK JELLY BEANS AURORA</t>
  </si>
  <si>
    <t>001!0611839237100</t>
  </si>
  <si>
    <t>SEDUM PPL FORM MINIS</t>
  </si>
  <si>
    <t>001!0611839238025</t>
  </si>
  <si>
    <t>SEDUM PRIMA ANGELINA</t>
  </si>
  <si>
    <t>001!0611839239025</t>
  </si>
  <si>
    <t>SEDUM RED CARPET SPURIUM</t>
  </si>
  <si>
    <t>001!0611839241025</t>
  </si>
  <si>
    <t>SEDUM ROCK GARDEN BLEND</t>
  </si>
  <si>
    <t>001!0611839242100</t>
  </si>
  <si>
    <t>SEDUM ROSY CHEEKS</t>
  </si>
  <si>
    <t>001!0611857106025</t>
  </si>
  <si>
    <t>SEDUM ROYAL PINK</t>
  </si>
  <si>
    <t>001!0611839243025</t>
  </si>
  <si>
    <t>SEDUM SEA URCHIN LINEARE</t>
  </si>
  <si>
    <t>001!0611839244100</t>
  </si>
  <si>
    <t>SEDUM SEXANGULARE</t>
  </si>
  <si>
    <t>001!0611839246025</t>
  </si>
  <si>
    <t>SEDUM SIEBOLDII</t>
  </si>
  <si>
    <t>001!0611864049100</t>
  </si>
  <si>
    <t>SEDUM SIEBOLDII LMTD</t>
  </si>
  <si>
    <t>001!0611864050050</t>
  </si>
  <si>
    <t>SEDUM SIEBOLDII MEDIOVAR</t>
  </si>
  <si>
    <t>001!0611839247025</t>
  </si>
  <si>
    <t>SEDUM SILVER DROPS</t>
  </si>
  <si>
    <t>001!0611884465100</t>
  </si>
  <si>
    <t>SEDUM SILVER ROSES</t>
  </si>
  <si>
    <t>001!0611884466100</t>
  </si>
  <si>
    <t>SEDUM SILVER STONE</t>
  </si>
  <si>
    <t>001!0611839249025</t>
  </si>
  <si>
    <t>SEDUM SNSPRKLR BLUE ELF</t>
  </si>
  <si>
    <t>001!0611839265025</t>
  </si>
  <si>
    <t>SEDUM SNSPRKLR BLUE ELF LMTD</t>
  </si>
  <si>
    <t>001!0611864051100</t>
  </si>
  <si>
    <t>SEDUM SNSPRKLR CHERRY TART</t>
  </si>
  <si>
    <t>001!0611864052100</t>
  </si>
  <si>
    <t>SEDUM SNSPRKLR CHRRY TART</t>
  </si>
  <si>
    <t>001!0611839250025</t>
  </si>
  <si>
    <t>SEDUM SNSPRKLR DAZZLEBERRY</t>
  </si>
  <si>
    <t>001!0611839251025</t>
  </si>
  <si>
    <t>001!0611864053100</t>
  </si>
  <si>
    <t>SEDUM SNSPRKLR DRM DAZZLER</t>
  </si>
  <si>
    <t>001!0611857107025</t>
  </si>
  <si>
    <t>SEDUM SNSPRKLR FIRECRACKER</t>
  </si>
  <si>
    <t>001!0611839252025</t>
  </si>
  <si>
    <t>001!0611864054100</t>
  </si>
  <si>
    <t>SEDUM SNSPRKLR JADE TUFFET</t>
  </si>
  <si>
    <t>001!0611839253025</t>
  </si>
  <si>
    <t>SEDUM SNSPRKLR JADE TUFT LMTD</t>
  </si>
  <si>
    <t>001!0611864055100</t>
  </si>
  <si>
    <t>001!0611864056050</t>
  </si>
  <si>
    <t>SEDUM SNSPRKLR LIME TWISTER</t>
  </si>
  <si>
    <t>001!0611839254025</t>
  </si>
  <si>
    <t>SEDUM SNSPRKLR LIME TWSTR LMTD</t>
  </si>
  <si>
    <t>001!0611864057100</t>
  </si>
  <si>
    <t>001!0611864058050</t>
  </si>
  <si>
    <t>SEDUM SNSPRKLR LIME ZINGER</t>
  </si>
  <si>
    <t>001!0611839255025</t>
  </si>
  <si>
    <t>001!0611864059100</t>
  </si>
  <si>
    <t>SEDUM SNSPRKLR PLUM DAZZLED</t>
  </si>
  <si>
    <t>001!0611839256025</t>
  </si>
  <si>
    <t>001!0611864060100</t>
  </si>
  <si>
    <t>SEDUM SNSPRKLR WILDFIRE</t>
  </si>
  <si>
    <t>001!0611839257025</t>
  </si>
  <si>
    <t>001!0611864061100</t>
  </si>
  <si>
    <t>SEDUM SPIRIT SELSKIANUM</t>
  </si>
  <si>
    <t>001!0611839259025</t>
  </si>
  <si>
    <t>SEDUM SPOT ON DEEP ROSE</t>
  </si>
  <si>
    <t>001!0611864062050</t>
  </si>
  <si>
    <t>SEDUM SPOT ON DP ROSE SPURIUM</t>
  </si>
  <si>
    <t>001!0611839260025</t>
  </si>
  <si>
    <t>SEDUM SPOT ON PINK SPURIUM</t>
  </si>
  <si>
    <t>001!0611839261025</t>
  </si>
  <si>
    <t>SEDUM STRAWBERRY MILKSHAKE</t>
  </si>
  <si>
    <t>001!0611839263025</t>
  </si>
  <si>
    <t>SEDUM SUMMER GLORY SPURIUM</t>
  </si>
  <si>
    <t>001!0611839264025</t>
  </si>
  <si>
    <t>SEDUM TALL SEDUM GENERIC</t>
  </si>
  <si>
    <t>001!0611839267025</t>
  </si>
  <si>
    <t>SEDUM THUNDERHEAD</t>
  </si>
  <si>
    <t>001!0611839268025</t>
  </si>
  <si>
    <t>SEDUM TOUCHDOWN TEAK</t>
  </si>
  <si>
    <t>001!0611839269025</t>
  </si>
  <si>
    <t>SEDUM TRICOLOR</t>
  </si>
  <si>
    <t>001!0611839271025</t>
  </si>
  <si>
    <t>001!0611864064100</t>
  </si>
  <si>
    <t>SEDUM TRICOLOR LMTD</t>
  </si>
  <si>
    <t>001!0611864065050</t>
  </si>
  <si>
    <t>SEDUM TURKISH DELT USSURIENSE</t>
  </si>
  <si>
    <t>001!0611839272025</t>
  </si>
  <si>
    <t>SEDUM VARIEGATUM</t>
  </si>
  <si>
    <t>001!0611839273100</t>
  </si>
  <si>
    <t>001!0611839274025</t>
  </si>
  <si>
    <t>SEDUM VARIEGATUM CN5388</t>
  </si>
  <si>
    <t>001!0611864066100</t>
  </si>
  <si>
    <t>SEDUM VARIEGATUM LMTD</t>
  </si>
  <si>
    <t>001!0611864067050</t>
  </si>
  <si>
    <t>SEDUM VERA JAMESON</t>
  </si>
  <si>
    <t>001!0611839275025</t>
  </si>
  <si>
    <t>SEDUM VOODOO SPURIUM</t>
  </si>
  <si>
    <t>001!0611839276025</t>
  </si>
  <si>
    <t>SEDUM WEIHENSTEPHANER GLD</t>
  </si>
  <si>
    <t>001!0611839277100</t>
  </si>
  <si>
    <t>001!0611839278025</t>
  </si>
  <si>
    <t>SEDUM WHAT A DOOZIE</t>
  </si>
  <si>
    <t>001!0611857108025</t>
  </si>
  <si>
    <t>SEDUM YELLOW BOUQUET</t>
  </si>
  <si>
    <t>001!0611839279100</t>
  </si>
  <si>
    <t>SEDUM YELLOW DIAMONDS</t>
  </si>
  <si>
    <t>001!0611857109025</t>
  </si>
  <si>
    <t>SEMPER ARACHNOIDEUM</t>
  </si>
  <si>
    <t>001!0611864068100</t>
  </si>
  <si>
    <t>SEMPER BLACK</t>
  </si>
  <si>
    <t>001!0611839280025</t>
  </si>
  <si>
    <t>SEMPER CALCAREUM</t>
  </si>
  <si>
    <t>001!0611864069100</t>
  </si>
  <si>
    <t>SEMPER CARMEN</t>
  </si>
  <si>
    <t>001!0611839281025</t>
  </si>
  <si>
    <t>SEMPER CAUCASICUM</t>
  </si>
  <si>
    <t>001!0611864070100</t>
  </si>
  <si>
    <t>SEMPER COBWEB ARACHNOIDEUM</t>
  </si>
  <si>
    <t>001!0611839282025</t>
  </si>
  <si>
    <t>SEMPER COMMANDER HAY</t>
  </si>
  <si>
    <t>001!0611839284025</t>
  </si>
  <si>
    <t>001!0611864071100</t>
  </si>
  <si>
    <t>SEMPER EBRO</t>
  </si>
  <si>
    <t>001!0611864072100</t>
  </si>
  <si>
    <t>SEMPER GREEN</t>
  </si>
  <si>
    <t>001!0611839288100</t>
  </si>
  <si>
    <t>SEMPER GREEN WHEEL</t>
  </si>
  <si>
    <t>001!0611839289025</t>
  </si>
  <si>
    <t>SEMPER HARDY SPECIES MIX</t>
  </si>
  <si>
    <t>001!0611839290100</t>
  </si>
  <si>
    <t>001!0611839291025</t>
  </si>
  <si>
    <t>SEMPER HIPPIE CHICKS</t>
  </si>
  <si>
    <t>001!0611839292025</t>
  </si>
  <si>
    <t>SEMPER HOPEWELL</t>
  </si>
  <si>
    <t>001!0611839293025</t>
  </si>
  <si>
    <t>SEMPER JADE ROSE</t>
  </si>
  <si>
    <t>001!0611839294025</t>
  </si>
  <si>
    <t>SEMPER KALINDA</t>
  </si>
  <si>
    <t>001!0611839295025</t>
  </si>
  <si>
    <t>001!0611864073100</t>
  </si>
  <si>
    <t>SEMPER KOEBAN</t>
  </si>
  <si>
    <t>001!0611864074100</t>
  </si>
  <si>
    <t>SEMPER MARNE</t>
  </si>
  <si>
    <t>001!0611864075100</t>
  </si>
  <si>
    <t>SEMPER MIX GENERIC</t>
  </si>
  <si>
    <t>001!0611839296100</t>
  </si>
  <si>
    <t>001!0611839297025</t>
  </si>
  <si>
    <t>SEMPER MOEZEL</t>
  </si>
  <si>
    <t>001!0611864076100</t>
  </si>
  <si>
    <t>SEMPER NEVA</t>
  </si>
  <si>
    <t>001!0611864077100</t>
  </si>
  <si>
    <t>SEMPER RED</t>
  </si>
  <si>
    <t>001!0611839300100</t>
  </si>
  <si>
    <t>SEMPER RED BEAUTY</t>
  </si>
  <si>
    <t>001!0611839301025</t>
  </si>
  <si>
    <t>001!0611864078100</t>
  </si>
  <si>
    <t>SEMPER ROYAL RUBY</t>
  </si>
  <si>
    <t>001!0611839303025</t>
  </si>
  <si>
    <t>SEMPER RUBY HEART</t>
  </si>
  <si>
    <t>001!0611839304025</t>
  </si>
  <si>
    <t>001!0611864079100</t>
  </si>
  <si>
    <t>SEMPER SILVER KING</t>
  </si>
  <si>
    <t>001!0611839306025</t>
  </si>
  <si>
    <t>SEMPER SILVERINE</t>
  </si>
  <si>
    <t>001!0611839307025</t>
  </si>
  <si>
    <t>SEMPER SPRING BEAUTY</t>
  </si>
  <si>
    <t>001!0611839308025</t>
  </si>
  <si>
    <t>SEMPER SUNSET</t>
  </si>
  <si>
    <t>001!0611839309025</t>
  </si>
  <si>
    <t>001!0611864080100</t>
  </si>
  <si>
    <t>SEMPER TIBER</t>
  </si>
  <si>
    <t>001!0611864081100</t>
  </si>
  <si>
    <t>SEMPER WOLGA</t>
  </si>
  <si>
    <t>001!0611864082100</t>
  </si>
  <si>
    <t>SEMPER YUKON</t>
  </si>
  <si>
    <t>001!0611864083100</t>
  </si>
  <si>
    <t>SENECI ANGEL WINGS</t>
  </si>
  <si>
    <t>001!0611884467025</t>
  </si>
  <si>
    <t>SENECI BLUE BARBERTONICUS</t>
  </si>
  <si>
    <t>001!0611839310100</t>
  </si>
  <si>
    <t>SENECI BLUE MANDRALISCAE</t>
  </si>
  <si>
    <t>001!0611839311100</t>
  </si>
  <si>
    <t>SENECI CINERARIA GENERIC</t>
  </si>
  <si>
    <t>001!0611839312100</t>
  </si>
  <si>
    <t>SENECI CRASSISSIMUS</t>
  </si>
  <si>
    <t>001!0611864084100</t>
  </si>
  <si>
    <t>SENECI DUSTY MILLER CIRRUS</t>
  </si>
  <si>
    <t>001!0611839314100</t>
  </si>
  <si>
    <t>SENECI DUSTY MILLER LOOK</t>
  </si>
  <si>
    <t>001!0611839320100</t>
  </si>
  <si>
    <t>SENECI DUSTY MILLER SILVER GLM</t>
  </si>
  <si>
    <t>001!0611839327100</t>
  </si>
  <si>
    <t>SENECI DUSTY MILLER SILVER LC</t>
  </si>
  <si>
    <t>001!0611839328100</t>
  </si>
  <si>
    <t>SENECI DUSTY MILLER SILVERADO</t>
  </si>
  <si>
    <t>001!0611839329100</t>
  </si>
  <si>
    <t>SENECI DUSTY MILLER SILVERDUST</t>
  </si>
  <si>
    <t>001!0611839330100</t>
  </si>
  <si>
    <t>SENECI DUSTY MILLER SNOW STORM</t>
  </si>
  <si>
    <t>001!0611839316100</t>
  </si>
  <si>
    <t>SENECI DUSTY MILLER WNTR WHSPR</t>
  </si>
  <si>
    <t>001!0611839334100</t>
  </si>
  <si>
    <t>SENECI DUSTY MLLER GNRC BLNGL</t>
  </si>
  <si>
    <t>001!0611839315100</t>
  </si>
  <si>
    <t>SENECI GERMAN IVY GENERIC</t>
  </si>
  <si>
    <t>001!0611839317100</t>
  </si>
  <si>
    <t>SENECI HIMALAYA</t>
  </si>
  <si>
    <t>001!0611884468100</t>
  </si>
  <si>
    <t>SENECI JESTER SERIES</t>
  </si>
  <si>
    <t>001!0611839319100</t>
  </si>
  <si>
    <t>SENECI MACROGLOSSUS VARIEGATUM</t>
  </si>
  <si>
    <t>001!0611839321100</t>
  </si>
  <si>
    <t>SENECI MAKE</t>
  </si>
  <si>
    <t>001!0611864085100</t>
  </si>
  <si>
    <t>SENECI MANDALA BLUE CHARME</t>
  </si>
  <si>
    <t>001!0611864086050</t>
  </si>
  <si>
    <t>SENECI MANDALA PINK BICOLOR</t>
  </si>
  <si>
    <t>001!0611864087050</t>
  </si>
  <si>
    <t>SENECI MANDALA PLUS BL CHARME</t>
  </si>
  <si>
    <t>001!0611864088050</t>
  </si>
  <si>
    <t>SENECI MANDALA PLUS ROSE</t>
  </si>
  <si>
    <t>001!0611864089050</t>
  </si>
  <si>
    <t>SENECI MANDALA PLUS ROYAL BLUE</t>
  </si>
  <si>
    <t>001!0611864090050</t>
  </si>
  <si>
    <t>SENECI MANDALA PLUS RS CHARME</t>
  </si>
  <si>
    <t>001!0611864091050</t>
  </si>
  <si>
    <t>SENECI MANDALA PLUS SKY BLUE</t>
  </si>
  <si>
    <t>001!0611864092050</t>
  </si>
  <si>
    <t>SENECI MANDALA PLUS VIOLET BIC</t>
  </si>
  <si>
    <t>001!0611864093050</t>
  </si>
  <si>
    <t>SENECI MANDALA PURPLE</t>
  </si>
  <si>
    <t>001!0611864094050</t>
  </si>
  <si>
    <t>SENECI MANDALA SALMON</t>
  </si>
  <si>
    <t>001!0611864095050</t>
  </si>
  <si>
    <t>SENECI MANDALA XL PINK BIC</t>
  </si>
  <si>
    <t>001!0611864096050</t>
  </si>
  <si>
    <t>SENECI MIKANIOIDES GERMAN IVY</t>
  </si>
  <si>
    <t>001!0611839322100</t>
  </si>
  <si>
    <t>SENECI MONT BLANC SENECIO</t>
  </si>
  <si>
    <t>001!0611864097100</t>
  </si>
  <si>
    <t>SENECI ORANGE FLAME</t>
  </si>
  <si>
    <t>001!0611839323100</t>
  </si>
  <si>
    <t>SENECI PERICALLIS CINERAR GNRC</t>
  </si>
  <si>
    <t>001!0611839313100</t>
  </si>
  <si>
    <t>SENECI PURPLE EDGE</t>
  </si>
  <si>
    <t>001!0611884469100</t>
  </si>
  <si>
    <t>SENECI SCAPOSUS</t>
  </si>
  <si>
    <t>001!0611864098100</t>
  </si>
  <si>
    <t>SENECI SENECIO GENERIC</t>
  </si>
  <si>
    <t>001!0611839324100</t>
  </si>
  <si>
    <t>SENECI SERPENTS</t>
  </si>
  <si>
    <t>001!0611839325100</t>
  </si>
  <si>
    <t>SENECI SILVER BARBERTONICUS</t>
  </si>
  <si>
    <t>001!0611839326100</t>
  </si>
  <si>
    <t>SENECI STAPELIOFORMIS</t>
  </si>
  <si>
    <t>001!0611864099100</t>
  </si>
  <si>
    <t>SENECI STRING OF BANANAS</t>
  </si>
  <si>
    <t>001!0611839331100</t>
  </si>
  <si>
    <t>SENECI STRING OF DOLPHINS</t>
  </si>
  <si>
    <t>001!0611839332100</t>
  </si>
  <si>
    <t>SENECI STRING OF PEARLS</t>
  </si>
  <si>
    <t>001!0611839333100</t>
  </si>
  <si>
    <t>SENNA POPCORN CASSIA YELLOW</t>
  </si>
  <si>
    <t>001!0611839335100</t>
  </si>
  <si>
    <t>SETCRE PURPLE HEART</t>
  </si>
  <si>
    <t>001!0611839336100</t>
  </si>
  <si>
    <t>SETCRE PURPLE QUEEN</t>
  </si>
  <si>
    <t>001!0611864100050</t>
  </si>
  <si>
    <t>SHALLO ECHALION CREME BRULEE</t>
  </si>
  <si>
    <t>001!0611830636100</t>
  </si>
  <si>
    <t>SHALLO GENERIC</t>
  </si>
  <si>
    <t>001!0611830655100</t>
  </si>
  <si>
    <t>SILENE CAROL JEAN PINK</t>
  </si>
  <si>
    <t>001!0611839339025</t>
  </si>
  <si>
    <t>SILENE CAROL JEAN ROSE TALL</t>
  </si>
  <si>
    <t>001!0611839340025</t>
  </si>
  <si>
    <t>SILENE CAROL JEAN WHITE</t>
  </si>
  <si>
    <t>001!0611839341025</t>
  </si>
  <si>
    <t>SILENE CLIFFORD MOOR</t>
  </si>
  <si>
    <t>001!0611839342025</t>
  </si>
  <si>
    <t>SILENE PINK GENERIC</t>
  </si>
  <si>
    <t>001!0611839344025</t>
  </si>
  <si>
    <t>SILENE ROLLIES FAVORITE</t>
  </si>
  <si>
    <t>001!0611839345025</t>
  </si>
  <si>
    <t>SILENE VALLEY HIGH</t>
  </si>
  <si>
    <t>001!0611857110025</t>
  </si>
  <si>
    <t>SIMPLY SALAD ALFRESCO BLEND</t>
  </si>
  <si>
    <t>001!0611835961025</t>
  </si>
  <si>
    <t>SIMPLY SALAD CRESS</t>
  </si>
  <si>
    <t>001!0611831209025</t>
  </si>
  <si>
    <t>SIMPLY SALAD GLOBAL GRMT BLND</t>
  </si>
  <si>
    <t>001!0611835960025</t>
  </si>
  <si>
    <t>SIMPLY SALAD PRO SAN</t>
  </si>
  <si>
    <t>001!0611835954025</t>
  </si>
  <si>
    <t>SIMPLY SALAD PRO TATU</t>
  </si>
  <si>
    <t>001!0611835955025</t>
  </si>
  <si>
    <t>SIMPLY SALAD WONDER WOK</t>
  </si>
  <si>
    <t>001!0611835957025</t>
  </si>
  <si>
    <t>SINNIN MIX</t>
  </si>
  <si>
    <t>001!0611839347100</t>
  </si>
  <si>
    <t>SISYRI BLUE EYED GRASS GENERIC</t>
  </si>
  <si>
    <t>001!0611839348025</t>
  </si>
  <si>
    <t>SISYRI LUCERNE ANGUSTIFOLIUM</t>
  </si>
  <si>
    <t>001!0611839350025</t>
  </si>
  <si>
    <t>SISYRI MOODY BLUES</t>
  </si>
  <si>
    <t>001!0611839351025</t>
  </si>
  <si>
    <t>SNAPDR ANTIQUITY MIX</t>
  </si>
  <si>
    <t>001!0611830783100</t>
  </si>
  <si>
    <t>SNAPDR CANDY SHOWERS SERIES</t>
  </si>
  <si>
    <t>001!0611830794100</t>
  </si>
  <si>
    <t>SNAPDR CANDY TOPS MIX</t>
  </si>
  <si>
    <t>001!0611830795100</t>
  </si>
  <si>
    <t>SNAPDR CANDY TOPS ORANGE</t>
  </si>
  <si>
    <t>001!0611830796100</t>
  </si>
  <si>
    <t>SNAPDR CANDY TOPS RED</t>
  </si>
  <si>
    <t>001!0611830797100</t>
  </si>
  <si>
    <t>SNAPDR CANDY TOPS ROSE</t>
  </si>
  <si>
    <t>001!0611830798100</t>
  </si>
  <si>
    <t>SNAPDR CANDY TOPS WHITE</t>
  </si>
  <si>
    <t>001!0611830799100</t>
  </si>
  <si>
    <t>SNAPDR CANDY TOPS YELLOW</t>
  </si>
  <si>
    <t>001!0611830800100</t>
  </si>
  <si>
    <t>SNAPDR DOUBLESHOT ORANGE BIC</t>
  </si>
  <si>
    <t>001!0611884470100</t>
  </si>
  <si>
    <t>SNAPDR DWARF BICOLOR GENERIC</t>
  </si>
  <si>
    <t>001!0611830803100</t>
  </si>
  <si>
    <t>SNAPDR DWARF GENERIC</t>
  </si>
  <si>
    <t>001!0611830804100</t>
  </si>
  <si>
    <t>SNAPDR DWARF PINK ROSE GENERIC</t>
  </si>
  <si>
    <t>001!0611830805100</t>
  </si>
  <si>
    <t>SNAPDR DWARF RED GENERIC</t>
  </si>
  <si>
    <t>001!0611830806100</t>
  </si>
  <si>
    <t>SNAPDR DWARF WHITE GENERIC</t>
  </si>
  <si>
    <t>001!0611830807100</t>
  </si>
  <si>
    <t>SNAPDR DWARF YELLOW GENERIC</t>
  </si>
  <si>
    <t>001!0611830808100</t>
  </si>
  <si>
    <t>SNAPDR DWRF LAV ORCHID GENERIC</t>
  </si>
  <si>
    <t>001!0611830809100</t>
  </si>
  <si>
    <t>SNAPDR DWRF ORG SHADES GENERIC</t>
  </si>
  <si>
    <t>001!0611830810100</t>
  </si>
  <si>
    <t>SNAPDR FLORAL CARPET MIX</t>
  </si>
  <si>
    <t>001!0611830811100</t>
  </si>
  <si>
    <t>SNAPDR FLORAL SHOWERS BIC MIX</t>
  </si>
  <si>
    <t>001!0611830812100</t>
  </si>
  <si>
    <t>SNAPDR FLORAL SHOWERS CRIMSON</t>
  </si>
  <si>
    <t>001!0611830813100</t>
  </si>
  <si>
    <t>SNAPDR FLORAL SHOWERS DP BRNZ</t>
  </si>
  <si>
    <t>001!0611830814100</t>
  </si>
  <si>
    <t>SNAPDR FLORAL SHOWERS LILAC</t>
  </si>
  <si>
    <t>001!0611830816100</t>
  </si>
  <si>
    <t>SNAPDR FLORAL SHOWERS MIX</t>
  </si>
  <si>
    <t>001!0611830817100</t>
  </si>
  <si>
    <t>SNAPDR FLORAL SHOWERS PURPLE</t>
  </si>
  <si>
    <t>001!0611830818100</t>
  </si>
  <si>
    <t>SNAPDR FLORAL SHOWERS ROSE</t>
  </si>
  <si>
    <t>001!0611830819100</t>
  </si>
  <si>
    <t>SNAPDR FLORAL SHOWERS RS PINK</t>
  </si>
  <si>
    <t>001!0611830820100</t>
  </si>
  <si>
    <t>SNAPDR FLORAL SHOWERS WHITE</t>
  </si>
  <si>
    <t>001!0611830821100</t>
  </si>
  <si>
    <t>SNAPDR FLORAL SHOWERS YELLOW</t>
  </si>
  <si>
    <t>001!0611830822100</t>
  </si>
  <si>
    <t>SNAPDR FLORAL SHWRS RD/YELL BI</t>
  </si>
  <si>
    <t>001!0611830823100</t>
  </si>
  <si>
    <t>SNAPDR GENERIC BILINGUAL</t>
  </si>
  <si>
    <t>001!0611830802100</t>
  </si>
  <si>
    <t>SNAPDR LIBERTY CLASSIC BRONZE</t>
  </si>
  <si>
    <t>001!0611830824100</t>
  </si>
  <si>
    <t>SNAPDR LIBERTY CLASSIC CRIMSON</t>
  </si>
  <si>
    <t>001!0611830825100</t>
  </si>
  <si>
    <t>SNAPDR LIBERTY CLASSIC LAV</t>
  </si>
  <si>
    <t>001!0611830826100</t>
  </si>
  <si>
    <t>SNAPDR LIBERTY CLASSIC MIX</t>
  </si>
  <si>
    <t>001!0611830827100</t>
  </si>
  <si>
    <t>SNAPDR LIBERTY CLASSIC RS PINK</t>
  </si>
  <si>
    <t>001!0611830828100</t>
  </si>
  <si>
    <t>SNAPDR LIBERTY CLASSIC WHITE</t>
  </si>
  <si>
    <t>001!0611830830100</t>
  </si>
  <si>
    <t>SNAPDR LIBERTY CLASSIC YELLOW</t>
  </si>
  <si>
    <t>001!0611830831100</t>
  </si>
  <si>
    <t>SNAPDR MEDIUM GENERIC</t>
  </si>
  <si>
    <t>001!0611830832100</t>
  </si>
  <si>
    <t>SNAPDR MME BUTTERFLY</t>
  </si>
  <si>
    <t>001!0611830833100</t>
  </si>
  <si>
    <t>SNAPDR MONTEGO BURGUNDY BIC</t>
  </si>
  <si>
    <t>001!0611830835100</t>
  </si>
  <si>
    <t>SNAPDR MONTEGO FORMULA MIX</t>
  </si>
  <si>
    <t>001!0611830837100</t>
  </si>
  <si>
    <t>SNAPDR MONTEGO ORANGE BICOLOR</t>
  </si>
  <si>
    <t>001!0611830838100</t>
  </si>
  <si>
    <t>SNAPDR MONTEGO PINK</t>
  </si>
  <si>
    <t>001!0611830840100</t>
  </si>
  <si>
    <t>SNAPDR MONTEGO PURPLE</t>
  </si>
  <si>
    <t>001!0611830841100</t>
  </si>
  <si>
    <t>SNAPDR MONTEGO RED</t>
  </si>
  <si>
    <t>001!0611830842100</t>
  </si>
  <si>
    <t>SNAPDR MONTEGO ROSE</t>
  </si>
  <si>
    <t>001!0611830843100</t>
  </si>
  <si>
    <t>SNAPDR MONTEGO SUNSET</t>
  </si>
  <si>
    <t>001!0611830846100</t>
  </si>
  <si>
    <t>SNAPDR MONTEGO VIOLET</t>
  </si>
  <si>
    <t>001!0611830847100</t>
  </si>
  <si>
    <t>SNAPDR MONTEGO WHITE</t>
  </si>
  <si>
    <t>001!0611830848100</t>
  </si>
  <si>
    <t>SNAPDR MONTEGO YELLOW</t>
  </si>
  <si>
    <t>001!0611830849100</t>
  </si>
  <si>
    <t>SNAPDR ROCKET BRONZE</t>
  </si>
  <si>
    <t>001!0611830850100</t>
  </si>
  <si>
    <t>SNAPDR ROCKET CHERRY</t>
  </si>
  <si>
    <t>001!0611830851100</t>
  </si>
  <si>
    <t>SNAPDR ROCKET GOLD</t>
  </si>
  <si>
    <t>001!0611830852100</t>
  </si>
  <si>
    <t>SNAPDR ROCKET LEMON</t>
  </si>
  <si>
    <t>001!0611830853100</t>
  </si>
  <si>
    <t>SNAPDR ROCKET MIX</t>
  </si>
  <si>
    <t>001!0611830854100</t>
  </si>
  <si>
    <t>SNAPDR ROCKET ORCHID</t>
  </si>
  <si>
    <t>001!0611830855100</t>
  </si>
  <si>
    <t>SNAPDR ROCKET PINK</t>
  </si>
  <si>
    <t>001!0611830856100</t>
  </si>
  <si>
    <t>SNAPDR ROCKET RED</t>
  </si>
  <si>
    <t>001!0611830857100</t>
  </si>
  <si>
    <t>SNAPDR ROCKET ROSE</t>
  </si>
  <si>
    <t>001!0611830858100</t>
  </si>
  <si>
    <t>SNAPDR ROCKET WHITE</t>
  </si>
  <si>
    <t>001!0611830859100</t>
  </si>
  <si>
    <t>SNAPDR ROCKET YELLOW</t>
  </si>
  <si>
    <t>001!0611830860100</t>
  </si>
  <si>
    <t>SNAPDR SNAPSHOT APPLEBLOSSOM</t>
  </si>
  <si>
    <t>001!0611830861100</t>
  </si>
  <si>
    <t>SNAPDR SNAPSHOT AUTUMN MIX</t>
  </si>
  <si>
    <t>001!0611830862100</t>
  </si>
  <si>
    <t>SNAPDR SNAPSHOT BERRY N CREAM</t>
  </si>
  <si>
    <t>001!0611830863100</t>
  </si>
  <si>
    <t>SNAPDR SNAPSHOT BURGUNDY</t>
  </si>
  <si>
    <t>001!0611830864100</t>
  </si>
  <si>
    <t>SNAPDR SNAPSHOT BURGUNDY BIC</t>
  </si>
  <si>
    <t>001!0611830865100</t>
  </si>
  <si>
    <t>SNAPDR SNAPSHOT BURGUNDY/WHITE</t>
  </si>
  <si>
    <t>001!0611830866100</t>
  </si>
  <si>
    <t>SNAPDR SNAPSHOT CITRUS MIX</t>
  </si>
  <si>
    <t>001!0611830867100</t>
  </si>
  <si>
    <t>SNAPDR SNAPSHOT CORAL BICOLOR</t>
  </si>
  <si>
    <t>001!0611830868100</t>
  </si>
  <si>
    <t>SNAPDR SNAPSHOT MERLOT MIX</t>
  </si>
  <si>
    <t>001!0611830869100</t>
  </si>
  <si>
    <t>SNAPDR SNAPSHOT MIX</t>
  </si>
  <si>
    <t>001!0611830870100</t>
  </si>
  <si>
    <t>SNAPDR SNAPSHOT ORANGE</t>
  </si>
  <si>
    <t>001!0611830871100</t>
  </si>
  <si>
    <t>SNAPDR SNAPSHOT ORANGE YELLOW</t>
  </si>
  <si>
    <t>001!0611830872100</t>
  </si>
  <si>
    <t>SNAPDR SNAPSHOT PINK</t>
  </si>
  <si>
    <t>001!0611830874100</t>
  </si>
  <si>
    <t>SNAPDR SNAPSHOT PLUMBLOSSOM</t>
  </si>
  <si>
    <t>001!0611830875100</t>
  </si>
  <si>
    <t>SNAPDR SNAPSHOT PURPLE</t>
  </si>
  <si>
    <t>001!0611830876100</t>
  </si>
  <si>
    <t>SNAPDR SNAPSHOT RED</t>
  </si>
  <si>
    <t>001!0611830877100</t>
  </si>
  <si>
    <t>SNAPDR SNAPSHOT RED BICOLOUR</t>
  </si>
  <si>
    <t>001!0611830878100</t>
  </si>
  <si>
    <t>SNAPDR SNAPSHOT RED FLAME</t>
  </si>
  <si>
    <t>001!0611830879100</t>
  </si>
  <si>
    <t>SNAPDR SNAPSHOT ROSE</t>
  </si>
  <si>
    <t>001!0611830881100</t>
  </si>
  <si>
    <t>SNAPDR SNAPSHOT SPRING MIX</t>
  </si>
  <si>
    <t>001!0611830882100</t>
  </si>
  <si>
    <t>SNAPDR SNAPSHOT SUNSET</t>
  </si>
  <si>
    <t>001!0611830883100</t>
  </si>
  <si>
    <t>SNAPDR SNAPSHOT WHITE</t>
  </si>
  <si>
    <t>001!0611830884100</t>
  </si>
  <si>
    <t>SNAPDR SNAPSHOT YELLOW</t>
  </si>
  <si>
    <t>001!0611830885100</t>
  </si>
  <si>
    <t>SNAPDR SNAPTASTIC MAGENTA</t>
  </si>
  <si>
    <t>001!0611830886100</t>
  </si>
  <si>
    <t>SNAPDR SNAPTASTIC MIX</t>
  </si>
  <si>
    <t>001!0611830887100</t>
  </si>
  <si>
    <t>SNAPDR SNAPTASTIC ORANGE FLAME</t>
  </si>
  <si>
    <t>001!0611830888100</t>
  </si>
  <si>
    <t>SNAPDR SNAPTASTIC PINK</t>
  </si>
  <si>
    <t>001!0611830889100</t>
  </si>
  <si>
    <t>SNAPDR SNAPTASTIC RED</t>
  </si>
  <si>
    <t>001!0611830890100</t>
  </si>
  <si>
    <t>SNAPDR SNAPTASTIC YELLOW</t>
  </si>
  <si>
    <t>001!0611830891100</t>
  </si>
  <si>
    <t>SNAPDR SNAPTINI BURGUNDY BIC</t>
  </si>
  <si>
    <t>001!0611830892100</t>
  </si>
  <si>
    <t>SNAPDR SNAPTINI MIX</t>
  </si>
  <si>
    <t>001!0611830893100</t>
  </si>
  <si>
    <t>SNAPDR SNAPTINI PEACH</t>
  </si>
  <si>
    <t>001!0611830894100</t>
  </si>
  <si>
    <t>SNAPDR SNAPTINI RED</t>
  </si>
  <si>
    <t>001!0611830895100</t>
  </si>
  <si>
    <t>SNAPDR SNAPTINI ROSE BIC</t>
  </si>
  <si>
    <t>001!0611830896100</t>
  </si>
  <si>
    <t>SNAPDR SNAPTINI SCARLET</t>
  </si>
  <si>
    <t>001!0611830897100</t>
  </si>
  <si>
    <t>SNAPDR SNAPTINI SUNGLOW</t>
  </si>
  <si>
    <t>001!0611830898100</t>
  </si>
  <si>
    <t>SNAPDR SNAPTINI VIOLET</t>
  </si>
  <si>
    <t>001!0611830899100</t>
  </si>
  <si>
    <t>SNAPDR SNAPTINI WHITE</t>
  </si>
  <si>
    <t>001!0611830900100</t>
  </si>
  <si>
    <t>SNAPDR SNAPTINI YELLOW</t>
  </si>
  <si>
    <t>001!0611830901100</t>
  </si>
  <si>
    <t>SNAPDR SOLSTICE LAVENDER</t>
  </si>
  <si>
    <t>001!0611830902100</t>
  </si>
  <si>
    <t>SNAPDR SOLSTICE MIX</t>
  </si>
  <si>
    <t>001!0611830903100</t>
  </si>
  <si>
    <t>SNAPDR SOLSTICE ORG TRICOLOR</t>
  </si>
  <si>
    <t>001!0611830904100</t>
  </si>
  <si>
    <t>SNAPDR SOLSTICE PURPLE</t>
  </si>
  <si>
    <t>001!0611830906100</t>
  </si>
  <si>
    <t>SNAPDR SOLSTICE RED</t>
  </si>
  <si>
    <t>001!0611830907100</t>
  </si>
  <si>
    <t>SNAPDR SOLSTICE WHITE</t>
  </si>
  <si>
    <t>001!0611830909100</t>
  </si>
  <si>
    <t>SNAPDR SOLSTICE YELLOW</t>
  </si>
  <si>
    <t>001!0611830910100</t>
  </si>
  <si>
    <t>SNAPDR SONNET BURGUNDY</t>
  </si>
  <si>
    <t>001!0611830911100</t>
  </si>
  <si>
    <t>SNAPDR SONNET CARMINE</t>
  </si>
  <si>
    <t>001!0611830912100</t>
  </si>
  <si>
    <t>SNAPDR SONNET CRIMSON</t>
  </si>
  <si>
    <t>001!0611830913100</t>
  </si>
  <si>
    <t>SNAPDR SONNET MIX</t>
  </si>
  <si>
    <t>001!0611830914100</t>
  </si>
  <si>
    <t>SNAPDR SONNET ORANGE/SCARLET</t>
  </si>
  <si>
    <t>001!0611830915100</t>
  </si>
  <si>
    <t>SNAPDR SONNET PINK</t>
  </si>
  <si>
    <t>001!0611830916100</t>
  </si>
  <si>
    <t>SNAPDR SONNET ROSE</t>
  </si>
  <si>
    <t>001!0611830917100</t>
  </si>
  <si>
    <t>SNAPDR SONNET WHITE</t>
  </si>
  <si>
    <t>001!0611830918100</t>
  </si>
  <si>
    <t>SNAPDR SONNET YELLOW</t>
  </si>
  <si>
    <t>001!0611830919100</t>
  </si>
  <si>
    <t>SNAPDR SPEEDY SONNET BRONZE</t>
  </si>
  <si>
    <t>001!0611830920100</t>
  </si>
  <si>
    <t>SNAPDR SPEEDY SONNET CRIMSON</t>
  </si>
  <si>
    <t>001!0611830921100</t>
  </si>
  <si>
    <t>SNAPDR SPEEDY SONNET MIX</t>
  </si>
  <si>
    <t>001!0611830922100</t>
  </si>
  <si>
    <t>SNAPDR SPEEDY SONNET PINK</t>
  </si>
  <si>
    <t>001!0611830923100</t>
  </si>
  <si>
    <t>SNAPDR SPEEDY SONNET PURPLE</t>
  </si>
  <si>
    <t>001!0611830924100</t>
  </si>
  <si>
    <t>SNAPDR SPEEDY SONNET ROSE</t>
  </si>
  <si>
    <t>001!0611830925100</t>
  </si>
  <si>
    <t>SNAPDR SPEEDY SONNET WHITE</t>
  </si>
  <si>
    <t>001!0611830926100</t>
  </si>
  <si>
    <t>SNAPDR SPEEDY SONNET YELLOW</t>
  </si>
  <si>
    <t>001!0611830927100</t>
  </si>
  <si>
    <t>SNAPDR STATEMENT PINK</t>
  </si>
  <si>
    <t>001!0611830928100</t>
  </si>
  <si>
    <t>SNAPDR STATEMENT ROSE</t>
  </si>
  <si>
    <t>001!0611830929100</t>
  </si>
  <si>
    <t>SNAPDR STATEMENT SCARLET</t>
  </si>
  <si>
    <t>001!0611830930100</t>
  </si>
  <si>
    <t>SNAPDR STATEMENT WHITE</t>
  </si>
  <si>
    <t>001!0611830931100</t>
  </si>
  <si>
    <t>SNAPDR STATEMENT YELLOW</t>
  </si>
  <si>
    <t>001!0611830932100</t>
  </si>
  <si>
    <t>SNAPDR SWEET DUET SERIES</t>
  </si>
  <si>
    <t>001!0611884471100</t>
  </si>
  <si>
    <t>SNAPDR TALL GENERIC</t>
  </si>
  <si>
    <t>001!0611830934100</t>
  </si>
  <si>
    <t>SNAPDR TRAILING GENERIC</t>
  </si>
  <si>
    <t>001!0611830935100</t>
  </si>
  <si>
    <t>SNAPDR TWINNY PEACH</t>
  </si>
  <si>
    <t>001!0611830941100</t>
  </si>
  <si>
    <t>SNAPDR TWINNY SERIES</t>
  </si>
  <si>
    <t>001!0611830942100</t>
  </si>
  <si>
    <t>SOLANU VARIEGATED</t>
  </si>
  <si>
    <t>001!0611839380100</t>
  </si>
  <si>
    <t>SOLIDA FIREWORKS</t>
  </si>
  <si>
    <t>001!0611839384025</t>
  </si>
  <si>
    <t>SOLIDA SPARK PLUG</t>
  </si>
  <si>
    <t>001!0611884472025</t>
  </si>
  <si>
    <t>SOLIDA SWEETY GOLDENROD LMTD</t>
  </si>
  <si>
    <t>001!0611864101100</t>
  </si>
  <si>
    <t>001!0611864102050</t>
  </si>
  <si>
    <t>SPATHI SPATHIPHYLLUM GENERIC</t>
  </si>
  <si>
    <t>001!0611839385100</t>
  </si>
  <si>
    <t>001!0611839386025</t>
  </si>
  <si>
    <t>SPILAN PEEK A BOO</t>
  </si>
  <si>
    <t>001!0611839387100</t>
  </si>
  <si>
    <t>SPINAC BLOOMSDALE</t>
  </si>
  <si>
    <t>001!0611857111100</t>
  </si>
  <si>
    <t>SPINAC GIANT NOBEL</t>
  </si>
  <si>
    <t>001!0611839388100</t>
  </si>
  <si>
    <t>SPINAC OLYMPIA</t>
  </si>
  <si>
    <t>001!0611839389100</t>
  </si>
  <si>
    <t>SPINAC RED STEM MALABAR</t>
  </si>
  <si>
    <t>001!0611839390100</t>
  </si>
  <si>
    <t>SPINAC SEASIDE</t>
  </si>
  <si>
    <t>001!0611839391100</t>
  </si>
  <si>
    <t>SPINAC SPINACH GENERIC</t>
  </si>
  <si>
    <t>001!0611839392100</t>
  </si>
  <si>
    <t>SPINAC ZEALAND</t>
  </si>
  <si>
    <t>001!0611839393100</t>
  </si>
  <si>
    <t>SPOROB HETEROLEPIS</t>
  </si>
  <si>
    <t>001!0611839394025</t>
  </si>
  <si>
    <t>SPROUT BRUSSELS GENERIC</t>
  </si>
  <si>
    <t>001!0611831822100</t>
  </si>
  <si>
    <t>001!0611831823200</t>
  </si>
  <si>
    <t>SQUASH ACORN</t>
  </si>
  <si>
    <t>001!0611833564100</t>
  </si>
  <si>
    <t>001!0611833565200</t>
  </si>
  <si>
    <t>SQUASH AMBASSADOR</t>
  </si>
  <si>
    <t>001!0611839395100</t>
  </si>
  <si>
    <t>SQUASH ARISTOCRAT</t>
  </si>
  <si>
    <t>001!0611839396100</t>
  </si>
  <si>
    <t>SQUASH AUTUMN FROST</t>
  </si>
  <si>
    <t>001!0611833567100</t>
  </si>
  <si>
    <t>SQUASH BALLS</t>
  </si>
  <si>
    <t>001!0611839397100</t>
  </si>
  <si>
    <t>SQUASH BANANA</t>
  </si>
  <si>
    <t>001!0611833570100</t>
  </si>
  <si>
    <t>SQUASH BLACK BEAUTY</t>
  </si>
  <si>
    <t>001!0611839398100</t>
  </si>
  <si>
    <t>SQUASH BONBON</t>
  </si>
  <si>
    <t>001!0611839399100</t>
  </si>
  <si>
    <t>SQUASH BOSSA NOVA</t>
  </si>
  <si>
    <t>001!0611839400100</t>
  </si>
  <si>
    <t>SQUASH BUCKINGHAM</t>
  </si>
  <si>
    <t>001!0611839401100</t>
  </si>
  <si>
    <t>SQUASH BURPEE HYBRID</t>
  </si>
  <si>
    <t>001!0611839402100</t>
  </si>
  <si>
    <t>SQUASH BUTTERBABY</t>
  </si>
  <si>
    <t>001!0611839403100</t>
  </si>
  <si>
    <t>SQUASH BUTTERCUP</t>
  </si>
  <si>
    <t>001!0611839404100</t>
  </si>
  <si>
    <t>SQUASH BUTTERNUT</t>
  </si>
  <si>
    <t>001!0611839405100</t>
  </si>
  <si>
    <t>SQUASH BUTTERSCOTCH</t>
  </si>
  <si>
    <t>001!0611839406100</t>
  </si>
  <si>
    <t>SQUASH CARNIVAL</t>
  </si>
  <si>
    <t>001!0611839407100</t>
  </si>
  <si>
    <t>SQUASH CORNELLS BUSH DELICATA</t>
  </si>
  <si>
    <t>001!0611833575100</t>
  </si>
  <si>
    <t>SQUASH CREAM OF THE CROP</t>
  </si>
  <si>
    <t>001!0611839409100</t>
  </si>
  <si>
    <t>SQUASH CROOKNECK</t>
  </si>
  <si>
    <t>001!0611833577200</t>
  </si>
  <si>
    <t>SQUASH CUCUZZI</t>
  </si>
  <si>
    <t>001!0611839410100</t>
  </si>
  <si>
    <t>SQUASH DELICATA</t>
  </si>
  <si>
    <t>001!0611833578100</t>
  </si>
  <si>
    <t>SQUASH DIXIE</t>
  </si>
  <si>
    <t>001!0611839411100</t>
  </si>
  <si>
    <t>SQUASH EARLY BUTTERNUT</t>
  </si>
  <si>
    <t>001!0611833579100</t>
  </si>
  <si>
    <t>SQUASH EARLY SUMMER</t>
  </si>
  <si>
    <t>001!0611839412100</t>
  </si>
  <si>
    <t>SQUASH EARLY WHITE BUSH</t>
  </si>
  <si>
    <t>001!0611839413100</t>
  </si>
  <si>
    <t>SQUASH EASYPICK GOLD</t>
  </si>
  <si>
    <t>001!0611839414100</t>
  </si>
  <si>
    <t>SQUASH EASYPICK GREEN</t>
  </si>
  <si>
    <t>001!0611839415100</t>
  </si>
  <si>
    <t>SQUASH EIGHT BALL</t>
  </si>
  <si>
    <t>001!0611839416100</t>
  </si>
  <si>
    <t>SQUASH ELITE</t>
  </si>
  <si>
    <t>001!0611839417100</t>
  </si>
  <si>
    <t>SQUASH ENTERPRISE</t>
  </si>
  <si>
    <t>001!0611839418100</t>
  </si>
  <si>
    <t>SQUASH FLYING SAUCER</t>
  </si>
  <si>
    <t>001!0611839419100</t>
  </si>
  <si>
    <t>SQUASH FORTUNE</t>
  </si>
  <si>
    <t>001!0611839420100</t>
  </si>
  <si>
    <t>SQUASH GENERIC</t>
  </si>
  <si>
    <t>001!0611833598100</t>
  </si>
  <si>
    <t>SQUASH GOLD RUSH</t>
  </si>
  <si>
    <t>001!0611833582100</t>
  </si>
  <si>
    <t>SQUASH GOLDBAR</t>
  </si>
  <si>
    <t>001!0611839421100</t>
  </si>
  <si>
    <t>SQUASH GOLDEN DAWN II</t>
  </si>
  <si>
    <t>001!0611839422100</t>
  </si>
  <si>
    <t>SQUASH GOLDEN GLORY</t>
  </si>
  <si>
    <t>001!0611839424100</t>
  </si>
  <si>
    <t>SQUASH GOLDILOCKS</t>
  </si>
  <si>
    <t>001!0611839425100</t>
  </si>
  <si>
    <t>SQUASH GOLDPRIZE</t>
  </si>
  <si>
    <t>001!0611839426100</t>
  </si>
  <si>
    <t>SQUASH GREEN BUSH</t>
  </si>
  <si>
    <t>001!0611839427100</t>
  </si>
  <si>
    <t>SQUASH GREEN GRILLER</t>
  </si>
  <si>
    <t>001!0611839428100</t>
  </si>
  <si>
    <t>SQUASH HONEY BEAR</t>
  </si>
  <si>
    <t>001!0611839429100</t>
  </si>
  <si>
    <t>SQUASH HONEYBABY</t>
  </si>
  <si>
    <t>001!0611839430100</t>
  </si>
  <si>
    <t>SQUASH HONEYNUT</t>
  </si>
  <si>
    <t>001!0611839431100</t>
  </si>
  <si>
    <t>SQUASH HUBBARD</t>
  </si>
  <si>
    <t>001!0611833585100</t>
  </si>
  <si>
    <t>SQUASH KURIHOMARE</t>
  </si>
  <si>
    <t>001!0611839432100</t>
  </si>
  <si>
    <t>SQUASH LEMON SUN</t>
  </si>
  <si>
    <t>001!0611839433100</t>
  </si>
  <si>
    <t>SQUASH MULTIPIK</t>
  </si>
  <si>
    <t>001!0611839434100</t>
  </si>
  <si>
    <t>SQUASH PETER PAN</t>
  </si>
  <si>
    <t>001!0611839435100</t>
  </si>
  <si>
    <t>SQUASH PRIMAVERA</t>
  </si>
  <si>
    <t>001!0611839436100</t>
  </si>
  <si>
    <t>SQUASH RAVEN</t>
  </si>
  <si>
    <t>001!0611839437100</t>
  </si>
  <si>
    <t>SQUASH SPACE MISER</t>
  </si>
  <si>
    <t>001!0611839438100</t>
  </si>
  <si>
    <t>SQUASH SPAGHETTI</t>
  </si>
  <si>
    <t>001!0611833595100</t>
  </si>
  <si>
    <t>SQUASH SPINELESS BEAUTY</t>
  </si>
  <si>
    <t>001!0611839439100</t>
  </si>
  <si>
    <t>SQUASH SPINELESS PERFECTION</t>
  </si>
  <si>
    <t>001!0611839440100</t>
  </si>
  <si>
    <t>SQUASH SUGARETTI</t>
  </si>
  <si>
    <t>001!0611839441100</t>
  </si>
  <si>
    <t>SQUASH SUN RAY</t>
  </si>
  <si>
    <t>001!0611839442100</t>
  </si>
  <si>
    <t>SQUASH SUNBURST</t>
  </si>
  <si>
    <t>001!0611839443100</t>
  </si>
  <si>
    <t>SQUASH SUNDANCE</t>
  </si>
  <si>
    <t>001!0611839444100</t>
  </si>
  <si>
    <t>SQUASH SUNSHINE</t>
  </si>
  <si>
    <t>001!0611833599100</t>
  </si>
  <si>
    <t>SQUASH SWEET DUMPLING</t>
  </si>
  <si>
    <t>001!0611839445100</t>
  </si>
  <si>
    <t>SQUASH SWEET MAMA</t>
  </si>
  <si>
    <t>001!0611839446100</t>
  </si>
  <si>
    <t>SQUASH TABLE ACE</t>
  </si>
  <si>
    <t>001!0611839447100</t>
  </si>
  <si>
    <t>SQUASH TAYBELLE</t>
  </si>
  <si>
    <t>001!0611839448100</t>
  </si>
  <si>
    <t>SQUASH TIVOLI</t>
  </si>
  <si>
    <t>001!0611839449100</t>
  </si>
  <si>
    <t>SQUASH WALTHAM BUTTERNUT</t>
  </si>
  <si>
    <t>001!0611833601100</t>
  </si>
  <si>
    <t>SQUASH YELLOW</t>
  </si>
  <si>
    <t>001!0611833605200</t>
  </si>
  <si>
    <t>SQUASH YELLOW CROOKNECK</t>
  </si>
  <si>
    <t>001!0611833606100</t>
  </si>
  <si>
    <t>SQUASH YELLOW STRAIGHTNECK</t>
  </si>
  <si>
    <t>001!0611833607100</t>
  </si>
  <si>
    <t>001!0611833608200</t>
  </si>
  <si>
    <t>SQUASH ZUCCHINI</t>
  </si>
  <si>
    <t>001!0611833609100</t>
  </si>
  <si>
    <t>001!0611833610200</t>
  </si>
  <si>
    <t>SQUASH ZUCCHINI GREEN</t>
  </si>
  <si>
    <t>001!0611833611100</t>
  </si>
  <si>
    <t>SQUASH ZUCCHINI GREY STRIPED</t>
  </si>
  <si>
    <t>001!0611833612100</t>
  </si>
  <si>
    <t>SQUASH ZUCCHINI TASTY</t>
  </si>
  <si>
    <t>001!0611833613100</t>
  </si>
  <si>
    <t>SQUASH ZUCCHINI YELLOW</t>
  </si>
  <si>
    <t>001!0611833614100</t>
  </si>
  <si>
    <t>STACHY BYZANTINA</t>
  </si>
  <si>
    <t>001!0611839450100</t>
  </si>
  <si>
    <t>001!0611839451025</t>
  </si>
  <si>
    <t>STACHY FUZZY WUZZY</t>
  </si>
  <si>
    <t>001!0611839452025</t>
  </si>
  <si>
    <t>STACHY HELENE VON STEIN</t>
  </si>
  <si>
    <t>001!0611839453025</t>
  </si>
  <si>
    <t>STACHY HUMMELO</t>
  </si>
  <si>
    <t>001!0611839454025</t>
  </si>
  <si>
    <t>STACHY HUMMELO LMTD</t>
  </si>
  <si>
    <t>001!0611864103100</t>
  </si>
  <si>
    <t>001!0611864104050</t>
  </si>
  <si>
    <t>STACHY LAMBS EAR</t>
  </si>
  <si>
    <t>001!0611839455100</t>
  </si>
  <si>
    <t>STACHY LITTLE LAMB</t>
  </si>
  <si>
    <t>001!0611884473025</t>
  </si>
  <si>
    <t>STACHY SILVER CARPET</t>
  </si>
  <si>
    <t>001!0611839458025</t>
  </si>
  <si>
    <t>001!0611864105100</t>
  </si>
  <si>
    <t>STEVIA REBAUDIANA</t>
  </si>
  <si>
    <t>001!0611839460025</t>
  </si>
  <si>
    <t>001!0611862559100</t>
  </si>
  <si>
    <t>STEVIA SUGAR LOVE</t>
  </si>
  <si>
    <t>001!0611884474025</t>
  </si>
  <si>
    <t>STIK STAKES</t>
  </si>
  <si>
    <t>001!0611515687100</t>
  </si>
  <si>
    <t>Stik Stakes</t>
  </si>
  <si>
    <t>STIPA MEXICAN FEATHER</t>
  </si>
  <si>
    <t>001!0611834822025</t>
  </si>
  <si>
    <t>STIPA PONY TAILS</t>
  </si>
  <si>
    <t>001!0611834823100</t>
  </si>
  <si>
    <t>001!0611839461025</t>
  </si>
  <si>
    <t>STIPA SIROCCO</t>
  </si>
  <si>
    <t>001!0611839462100</t>
  </si>
  <si>
    <t>STOCK GENERIC</t>
  </si>
  <si>
    <t>001!0611836733100</t>
  </si>
  <si>
    <t>STOCK HARMONY CHERRY BLOSSOM</t>
  </si>
  <si>
    <t>001!0611836714100</t>
  </si>
  <si>
    <t>STOCK HARMONY CREAM YELLOW</t>
  </si>
  <si>
    <t>001!0611836715100</t>
  </si>
  <si>
    <t>STOCK HARMONY DEEP ROSE</t>
  </si>
  <si>
    <t>001!0611836716100</t>
  </si>
  <si>
    <t>STOCK HARMONY LIGHT ROSE</t>
  </si>
  <si>
    <t>001!0611836717100</t>
  </si>
  <si>
    <t>STOCK HARMONY MIX</t>
  </si>
  <si>
    <t>001!0611836718100</t>
  </si>
  <si>
    <t>STOCK HARMONY PURPLE</t>
  </si>
  <si>
    <t>001!0611836719100</t>
  </si>
  <si>
    <t>STOCK HARMONY VIOLET</t>
  </si>
  <si>
    <t>001!0611836720100</t>
  </si>
  <si>
    <t>STOCK HARMONY WHITE</t>
  </si>
  <si>
    <t>001!0611836721100</t>
  </si>
  <si>
    <t>STOCK HOT CAKES HOT ROSE</t>
  </si>
  <si>
    <t>001!0611836722100</t>
  </si>
  <si>
    <t>STOCK HOT CAKES MIX</t>
  </si>
  <si>
    <t>001!0611836723100</t>
  </si>
  <si>
    <t>STOCK HOT CAKES PINK</t>
  </si>
  <si>
    <t>001!0611836724100</t>
  </si>
  <si>
    <t>STOCK HOT CAKES PURPLE</t>
  </si>
  <si>
    <t>001!0611836725100</t>
  </si>
  <si>
    <t>STOCK HOT CAKES WHITE</t>
  </si>
  <si>
    <t>001!0611836726100</t>
  </si>
  <si>
    <t>STOCK MIDGET MIX</t>
  </si>
  <si>
    <t>001!0611836728100</t>
  </si>
  <si>
    <t>STOCK MIDGET ROSE</t>
  </si>
  <si>
    <t>001!0611836730100</t>
  </si>
  <si>
    <t>STOCK MIDGET VIOLET</t>
  </si>
  <si>
    <t>001!0611836731100</t>
  </si>
  <si>
    <t>STOCK MIME SERIES</t>
  </si>
  <si>
    <t>001!0611836732100</t>
  </si>
  <si>
    <t>STOCK VINTAGE ANTIQUE MIX</t>
  </si>
  <si>
    <t>001!0611836734100</t>
  </si>
  <si>
    <t>STOCK VINTAGE BURGUNDY</t>
  </si>
  <si>
    <t>001!0611836735100</t>
  </si>
  <si>
    <t>STOCK VINTAGE COPPER</t>
  </si>
  <si>
    <t>001!0611836736100</t>
  </si>
  <si>
    <t>STOCK VINTAGE LAVENDER</t>
  </si>
  <si>
    <t>001!0611836737100</t>
  </si>
  <si>
    <t>STOCK VINTAGE LILAC</t>
  </si>
  <si>
    <t>001!0611836738100</t>
  </si>
  <si>
    <t>STOCK VINTAGE MIX</t>
  </si>
  <si>
    <t>001!0611836739100</t>
  </si>
  <si>
    <t>STOCK VINTAGE RED</t>
  </si>
  <si>
    <t>001!0611836740100</t>
  </si>
  <si>
    <t>STOCK VINTAGE ROSE</t>
  </si>
  <si>
    <t>001!0611836741100</t>
  </si>
  <si>
    <t>STOCK VINTAGE WHITE</t>
  </si>
  <si>
    <t>001!0611836742100</t>
  </si>
  <si>
    <t>STOCK VINTAGE YELLOW</t>
  </si>
  <si>
    <t>001!0611836743100</t>
  </si>
  <si>
    <t>STOKES BLUE DANUBE</t>
  </si>
  <si>
    <t>001!0611839464025</t>
  </si>
  <si>
    <t>STOKES PEACHIES PICK</t>
  </si>
  <si>
    <t>001!0611839465025</t>
  </si>
  <si>
    <t>STRAWB BERRI BASKET PINK</t>
  </si>
  <si>
    <t>001!0611839466100</t>
  </si>
  <si>
    <t>STRAWB BERRI BASKET ROSE</t>
  </si>
  <si>
    <t>001!0611839467100</t>
  </si>
  <si>
    <t>STREPT BLUE HEAVEN</t>
  </si>
  <si>
    <t>001!0611839470100</t>
  </si>
  <si>
    <t>STREPT CONCORD BLUE</t>
  </si>
  <si>
    <t>001!0611839471100</t>
  </si>
  <si>
    <t>STREPT SAXORUM</t>
  </si>
  <si>
    <t>001!0611839474100</t>
  </si>
  <si>
    <t>STREPT STREPTOCARPELLA GENERIC</t>
  </si>
  <si>
    <t>001!0611839476100</t>
  </si>
  <si>
    <t>STREPT STREPTOCARPUS GENERIC</t>
  </si>
  <si>
    <t>001!0611839477100</t>
  </si>
  <si>
    <t>STROBI PERSIAN SHIELD</t>
  </si>
  <si>
    <t>001!0611839478100</t>
  </si>
  <si>
    <t>001!0611864106050</t>
  </si>
  <si>
    <t>SUCCUL GENERIC</t>
  </si>
  <si>
    <t>001!0611839479100</t>
  </si>
  <si>
    <t>001!0611839480025</t>
  </si>
  <si>
    <t>SUCCUL SUCCULENTS GENERIC</t>
  </si>
  <si>
    <t>001!0611857112100</t>
  </si>
  <si>
    <t>SUMMER SAVORY</t>
  </si>
  <si>
    <t>001!0611839086100</t>
  </si>
  <si>
    <t>SUNFLO CONCERT BELL</t>
  </si>
  <si>
    <t>001!0611857113100</t>
  </si>
  <si>
    <t>SUNFLO SUNBELIEVABLE GLDN GIRL</t>
  </si>
  <si>
    <t>001!0611857114100</t>
  </si>
  <si>
    <t>SUNPAT COMP ELECTRIC ORG</t>
  </si>
  <si>
    <t>001!0611835461025</t>
  </si>
  <si>
    <t>SUNPAT COMP ORCHID BLSH</t>
  </si>
  <si>
    <t>001!0611835462025</t>
  </si>
  <si>
    <t>SUNPAT COMP ROYAL MGNTA</t>
  </si>
  <si>
    <t>001!0611835463025</t>
  </si>
  <si>
    <t>SUNPAT COMPACT BLUSH PINK</t>
  </si>
  <si>
    <t>001!0611835699025</t>
  </si>
  <si>
    <t>SUNPAT COMPACT CLASSIC WHITE</t>
  </si>
  <si>
    <t>001!0611857115025</t>
  </si>
  <si>
    <t>SUNPAT COMPACT CORAL PINK</t>
  </si>
  <si>
    <t>001!0611835700025</t>
  </si>
  <si>
    <t>SUNPAT COMPACT DEEP RED</t>
  </si>
  <si>
    <t>001!0611835709025</t>
  </si>
  <si>
    <t>SUNPAT COMPACT DEEP ROSE</t>
  </si>
  <si>
    <t>001!0611835710025</t>
  </si>
  <si>
    <t>SUNPAT COMPACT FIRE RED</t>
  </si>
  <si>
    <t>001!0611835701025</t>
  </si>
  <si>
    <t>SUNPAT COMPACT HOT CORAL</t>
  </si>
  <si>
    <t>001!0611835702025</t>
  </si>
  <si>
    <t>SUNPAT COMPACT HOT PINK</t>
  </si>
  <si>
    <t>001!0611835703025</t>
  </si>
  <si>
    <t>SUNPAT COMPACT LAVENDER SPLASH</t>
  </si>
  <si>
    <t>001!0611857116025</t>
  </si>
  <si>
    <t>SUNPAT COMPACT LILAC</t>
  </si>
  <si>
    <t>001!0611835711025</t>
  </si>
  <si>
    <t>SUNPAT COMPACT MAGENTA</t>
  </si>
  <si>
    <t>001!0611835712025</t>
  </si>
  <si>
    <t>SUNPAT COMPACT NEON PINK</t>
  </si>
  <si>
    <t>001!0611835704025</t>
  </si>
  <si>
    <t>SUNPAT COMPACT ORANGE</t>
  </si>
  <si>
    <t>001!0611835742025</t>
  </si>
  <si>
    <t>SUNPAT COMPACT ORCHID</t>
  </si>
  <si>
    <t>001!0611835705025</t>
  </si>
  <si>
    <t>SUNPAT COMPACT PINK</t>
  </si>
  <si>
    <t>001!0611835743025</t>
  </si>
  <si>
    <t>SUNPAT COMPACT PINK CANDY</t>
  </si>
  <si>
    <t>001!0611835706025</t>
  </si>
  <si>
    <t>SUNPAT COMPACT PURPLE</t>
  </si>
  <si>
    <t>001!0611835744025</t>
  </si>
  <si>
    <t>SUNPAT COMPACT PURPLE CANDY</t>
  </si>
  <si>
    <t>001!0611857117025</t>
  </si>
  <si>
    <t>SUNPAT COMPACT RED</t>
  </si>
  <si>
    <t>001!0611835745025</t>
  </si>
  <si>
    <t>SUNPAT COMPACT RED CANDY</t>
  </si>
  <si>
    <t>001!0611884475025</t>
  </si>
  <si>
    <t>SUNPAT COMPACT ROSE GLOW</t>
  </si>
  <si>
    <t>001!0611835707025</t>
  </si>
  <si>
    <t>SUNPAT COMPACT TROPICAL ROSE</t>
  </si>
  <si>
    <t>001!0611835708025</t>
  </si>
  <si>
    <t>SUNPAT COMPACT WHITE</t>
  </si>
  <si>
    <t>001!0611835746025</t>
  </si>
  <si>
    <t>SUNPAT FOREVER SUMMER MX</t>
  </si>
  <si>
    <t>001!0611835536025</t>
  </si>
  <si>
    <t>SUNPAT VIGOROUS CLEAR WHITE</t>
  </si>
  <si>
    <t>001!0611835713025</t>
  </si>
  <si>
    <t>SUNPAT VIGOROUS CORONA</t>
  </si>
  <si>
    <t>001!0611835747025</t>
  </si>
  <si>
    <t>SUNPAT VIGOROUS LAVENDER</t>
  </si>
  <si>
    <t>001!0611835752025</t>
  </si>
  <si>
    <t>SUNPAT VIGOROUS LAVENDER SPL</t>
  </si>
  <si>
    <t>001!0611835794025</t>
  </si>
  <si>
    <t>SUNPAT VIGOROUS ORANGE</t>
  </si>
  <si>
    <t>001!0611835753025</t>
  </si>
  <si>
    <t>SUNPAT VIGOROUS ORCHID</t>
  </si>
  <si>
    <t>001!0611835748025</t>
  </si>
  <si>
    <t>SUNPAT VIGOROUS PEACH CANDY</t>
  </si>
  <si>
    <t>001!0611857118025</t>
  </si>
  <si>
    <t>SUNPAT VIGOROUS PINK KISS</t>
  </si>
  <si>
    <t>001!0611835749025</t>
  </si>
  <si>
    <t>SUNPAT VIGOROUS PRETTY IN PINK</t>
  </si>
  <si>
    <t>001!0611857119025</t>
  </si>
  <si>
    <t>SUNPAT VIGOROUS RED</t>
  </si>
  <si>
    <t>001!0611835754025</t>
  </si>
  <si>
    <t>SUNPAT VIGOROUS ROSE PINK</t>
  </si>
  <si>
    <t>001!0611835750025</t>
  </si>
  <si>
    <t>SUNPAT VIGOROUS SHELL PINK</t>
  </si>
  <si>
    <t>001!0611835714025</t>
  </si>
  <si>
    <t>SUNPAT VIGOROUS SWEETHEART WH</t>
  </si>
  <si>
    <t>001!0611835795025</t>
  </si>
  <si>
    <t>SUNPAT VIGOROUS TROPICAL ORNG</t>
  </si>
  <si>
    <t>001!0611835715025</t>
  </si>
  <si>
    <t>SUNPAT VIGOROUS TROPICAL SALM</t>
  </si>
  <si>
    <t>001!0611835796025</t>
  </si>
  <si>
    <t>SUNPAT VIGOROUS TROPICAL WHITE</t>
  </si>
  <si>
    <t>001!0611835751025</t>
  </si>
  <si>
    <t>SUNPAT VIGOROUS WHITE</t>
  </si>
  <si>
    <t>001!0611835755025</t>
  </si>
  <si>
    <t>SUSPENSE: JOHN HENRY HARDGOODS</t>
  </si>
  <si>
    <t>001!*49-1390</t>
  </si>
  <si>
    <t>SUSPENSE: THE JOHN HENRY COMPANY</t>
  </si>
  <si>
    <t>SWISS CHARD BRIGHT LIGHTS</t>
  </si>
  <si>
    <t>001!0611831751100</t>
  </si>
  <si>
    <t>SWISS CHARD ELDORADO</t>
  </si>
  <si>
    <t>001!0611831753100</t>
  </si>
  <si>
    <t>SWISS CHARD GENERIC</t>
  </si>
  <si>
    <t>001!0611831760100</t>
  </si>
  <si>
    <t>SWISS CHARD GREEN</t>
  </si>
  <si>
    <t>001!0611831755100</t>
  </si>
  <si>
    <t>SWISS CHARD PEPPERMINT</t>
  </si>
  <si>
    <t>001!0611831756100</t>
  </si>
  <si>
    <t>SWISS CHARD RED</t>
  </si>
  <si>
    <t>001!0611831757100</t>
  </si>
  <si>
    <t>SWISS CHARD RHUBARB</t>
  </si>
  <si>
    <t>001!0611831758100</t>
  </si>
  <si>
    <t>SWISS CHARD RUBY RED</t>
  </si>
  <si>
    <t>001!0611831759100</t>
  </si>
  <si>
    <t>SYNGON SYNGONIUM GENERIC</t>
  </si>
  <si>
    <t>001!0611839510100</t>
  </si>
  <si>
    <t>TAG BLANK THRIFTEE 4 IN</t>
  </si>
  <si>
    <t>001!0611857122200</t>
  </si>
  <si>
    <t>TAG PIXIE</t>
  </si>
  <si>
    <t>001!0611515685100</t>
  </si>
  <si>
    <t>TAG PORTRAIT</t>
  </si>
  <si>
    <t>25/25 Tag</t>
  </si>
  <si>
    <t>001!0611515688050</t>
  </si>
  <si>
    <t>TAG SF DO FULFILLMENT</t>
  </si>
  <si>
    <t>001!0611867844050</t>
  </si>
  <si>
    <t>001!0611882928100</t>
  </si>
  <si>
    <t>TAG THRIFT 10 IN BLANK KN0192</t>
  </si>
  <si>
    <t>250/250 Tag</t>
  </si>
  <si>
    <t>001!0611820124250</t>
  </si>
  <si>
    <t>TAG THRIFT 4 IN CUSTOM ZC9224</t>
  </si>
  <si>
    <t>1000/1000 Tag</t>
  </si>
  <si>
    <t>001!0611645907200</t>
  </si>
  <si>
    <t>TAG THRIFT PRPRN 4 IN WH KO-KY</t>
  </si>
  <si>
    <t>200/200 Tag</t>
  </si>
  <si>
    <t>001!0611645906200</t>
  </si>
  <si>
    <t>TAG THRIFTEE 3 IN BLANK KN0131</t>
  </si>
  <si>
    <t>001!0611645909200</t>
  </si>
  <si>
    <t>TAG THRIFTEE 4 IN BLANK KN0141</t>
  </si>
  <si>
    <t>001!06118201251000</t>
  </si>
  <si>
    <t>TAG THRIFTEE 5 IN BLANK KN0151</t>
  </si>
  <si>
    <t>001!0611645911200</t>
  </si>
  <si>
    <t>TAG THRIFTEE 6 IN BLANK KN0161</t>
  </si>
  <si>
    <t>001!0611645912200</t>
  </si>
  <si>
    <t>TAG THRIFTEE 8 IN BLANK KN0181</t>
  </si>
  <si>
    <t>001!0611645913200</t>
  </si>
  <si>
    <t>TAG WHITE THRIFTEE 1.99</t>
  </si>
  <si>
    <t>001!0611857135200</t>
  </si>
  <si>
    <t>TAG WHITE THRIFTEE 10.99</t>
  </si>
  <si>
    <t>001!0611857136200</t>
  </si>
  <si>
    <t>TAG WHITE THRIFTEE 11.99</t>
  </si>
  <si>
    <t>001!0611857137200</t>
  </si>
  <si>
    <t>TAG WHITE THRIFTEE 12.99</t>
  </si>
  <si>
    <t>001!0611857138200</t>
  </si>
  <si>
    <t>TAG WHITE THRIFTEE 14.99</t>
  </si>
  <si>
    <t>001!0611857139200</t>
  </si>
  <si>
    <t>TAG WHITE THRIFTEE 2.49</t>
  </si>
  <si>
    <t>001!0611857140200</t>
  </si>
  <si>
    <t>TAG WHITE THRIFTEE 2.99</t>
  </si>
  <si>
    <t>001!0611857141200</t>
  </si>
  <si>
    <t>TAG WHITE THRIFTEE 3.49</t>
  </si>
  <si>
    <t>001!0611857142200</t>
  </si>
  <si>
    <t>TAG WHITE THRIFTEE 3.99</t>
  </si>
  <si>
    <t>001!0611857143200</t>
  </si>
  <si>
    <t>TAG WHITE THRIFTEE 4.49</t>
  </si>
  <si>
    <t>001!0611857144200</t>
  </si>
  <si>
    <t>TAG WHITE THRIFTEE 4.99</t>
  </si>
  <si>
    <t>001!0611857145200</t>
  </si>
  <si>
    <t>TAG WHITE THRIFTEE 5.99</t>
  </si>
  <si>
    <t>001!0611857146200</t>
  </si>
  <si>
    <t>TAG WHITE THRIFTEE 6.99</t>
  </si>
  <si>
    <t>001!0611857147200</t>
  </si>
  <si>
    <t>TAG WHITE THRIFTEE 7.99</t>
  </si>
  <si>
    <t>001!0611857148200</t>
  </si>
  <si>
    <t>TAG WHITE THRIFTEE 8.99</t>
  </si>
  <si>
    <t>001!0611857149200</t>
  </si>
  <si>
    <t>TAG WHITE THRIFTEE 9.99</t>
  </si>
  <si>
    <t>001!0611857150200</t>
  </si>
  <si>
    <t>TALINU LIMON</t>
  </si>
  <si>
    <t>001!0611839736100</t>
  </si>
  <si>
    <t>TANACE FEVERFEW GENERIC</t>
  </si>
  <si>
    <t>001!0611839738025</t>
  </si>
  <si>
    <t>TANACE PAINTED GENERIC</t>
  </si>
  <si>
    <t>001!0611839739025</t>
  </si>
  <si>
    <t>TANACE ROBINSON HYBRID</t>
  </si>
  <si>
    <t>001!0611839740100</t>
  </si>
  <si>
    <t>001!0611839741025</t>
  </si>
  <si>
    <t>TANACE ROBINSON ROSEUM</t>
  </si>
  <si>
    <t>001!0611839742025</t>
  </si>
  <si>
    <t>TARRAG FRENCH</t>
  </si>
  <si>
    <t>001!0611831078100</t>
  </si>
  <si>
    <t>001!0611831079025</t>
  </si>
  <si>
    <t>TARRAG GENERIC</t>
  </si>
  <si>
    <t>001!0611831091100</t>
  </si>
  <si>
    <t>TARRAG MEXICAN MARIGOLD</t>
  </si>
  <si>
    <t>001!0611839722100</t>
  </si>
  <si>
    <t>TARRAG RUSSIAN</t>
  </si>
  <si>
    <t>001!0611831083100</t>
  </si>
  <si>
    <t>TECOMA YELLOW</t>
  </si>
  <si>
    <t>001!0611839744025</t>
  </si>
  <si>
    <t>TEUCRI CHAMAEDRYS</t>
  </si>
  <si>
    <t>001!0611839745025</t>
  </si>
  <si>
    <t>TEUCRI GERMANDER GENERIC</t>
  </si>
  <si>
    <t>001!0611839746100</t>
  </si>
  <si>
    <t>THUNBE AFRICAN SUNSET</t>
  </si>
  <si>
    <t>001!0611839749100</t>
  </si>
  <si>
    <t>THUNBE ALATA</t>
  </si>
  <si>
    <t>001!0611839750100</t>
  </si>
  <si>
    <t>THUNBE ARIZONA DARK RED</t>
  </si>
  <si>
    <t>001!0611839751100</t>
  </si>
  <si>
    <t>THUNBE ARIZONA GLOW</t>
  </si>
  <si>
    <t>001!0611839752100</t>
  </si>
  <si>
    <t>THUNBE ARIZONA LEMON SUNRISE</t>
  </si>
  <si>
    <t>001!0611839753100</t>
  </si>
  <si>
    <t>THUNBE ARIZONA PINK BEAUTY</t>
  </si>
  <si>
    <t>001!0611839754100</t>
  </si>
  <si>
    <t>THUNBE ARIZONA ROSE SENSATION</t>
  </si>
  <si>
    <t>001!0611839755100</t>
  </si>
  <si>
    <t>THUNBE ARIZONA TERRACOTTA</t>
  </si>
  <si>
    <t>001!0611839756100</t>
  </si>
  <si>
    <t>THUNBE ARIZONA WHITE HALO</t>
  </si>
  <si>
    <t>001!0611839757100</t>
  </si>
  <si>
    <t>THUNBE BLK ED SUSAN VINE GNRC</t>
  </si>
  <si>
    <t>001!0611839758100</t>
  </si>
  <si>
    <t>001!0611839759100</t>
  </si>
  <si>
    <t>THUNBE BLUSHING SUSIE</t>
  </si>
  <si>
    <t>001!0611839760100</t>
  </si>
  <si>
    <t>THUNBE CHARLES STAR</t>
  </si>
  <si>
    <t>001!0611839761100</t>
  </si>
  <si>
    <t>THUNBE HYBRID COLORS GENERIC</t>
  </si>
  <si>
    <t>001!0611839762100</t>
  </si>
  <si>
    <t>THUNBE LEMON</t>
  </si>
  <si>
    <t>001!0611839763025</t>
  </si>
  <si>
    <t>THUNBE ORANGE BEAUTY</t>
  </si>
  <si>
    <t>001!0611839764100</t>
  </si>
  <si>
    <t>THUNBE ORANGE/EYE</t>
  </si>
  <si>
    <t>001!0611839765100</t>
  </si>
  <si>
    <t>THUNBE SUNNY SUSY AMBER STRIPE</t>
  </si>
  <si>
    <t>001!0611839767100</t>
  </si>
  <si>
    <t>THUNBE SUNNY SUSY BROWNIE</t>
  </si>
  <si>
    <t>001!0611839768100</t>
  </si>
  <si>
    <t>THUNBE SUNNY SUSY CHERRY</t>
  </si>
  <si>
    <t>001!0611884476100</t>
  </si>
  <si>
    <t>THUNBE SUNNY SUSY ORANGE</t>
  </si>
  <si>
    <t>001!0611839769100</t>
  </si>
  <si>
    <t>THUNBE SUNNY SUSY RED ORANGE</t>
  </si>
  <si>
    <t>001!0611839770100</t>
  </si>
  <si>
    <t>THUNBE SUSIE MIX</t>
  </si>
  <si>
    <t>001!0611839771100</t>
  </si>
  <si>
    <t>THUNBE SUSIE ORANGE/EYE</t>
  </si>
  <si>
    <t>001!0611839772100</t>
  </si>
  <si>
    <t>THUNBE SUSIE YELLOW/EYE</t>
  </si>
  <si>
    <t>001!0611839773100</t>
  </si>
  <si>
    <t>THUNBE TOWERPOWER APRICOT</t>
  </si>
  <si>
    <t>001!0611839775100</t>
  </si>
  <si>
    <t>THUNBE TOWERPOWER DARK ORANGE</t>
  </si>
  <si>
    <t>001!0611884477100</t>
  </si>
  <si>
    <t>THUNBE TOWERPOWER GOLD</t>
  </si>
  <si>
    <t>001!0611839776100</t>
  </si>
  <si>
    <t>THUNBE TOWERPOWER ORANGE</t>
  </si>
  <si>
    <t>001!0611839777100</t>
  </si>
  <si>
    <t>THUNBE TOWERPOWER RED</t>
  </si>
  <si>
    <t>001!0611839778100</t>
  </si>
  <si>
    <t>THUNBE TOWERPOWER TERRACOTTA</t>
  </si>
  <si>
    <t>001!0611839779100</t>
  </si>
  <si>
    <t>THUNBE TOWERPOWER WHITE</t>
  </si>
  <si>
    <t>001!0611839780100</t>
  </si>
  <si>
    <t>THUNBE TOWERPOWER YELLOW</t>
  </si>
  <si>
    <t>001!0611839781100</t>
  </si>
  <si>
    <t>THUNBE WHITE GENERIC</t>
  </si>
  <si>
    <t>001!0611839782100</t>
  </si>
  <si>
    <t>THYME ALBIFLORUS PRAECOX</t>
  </si>
  <si>
    <t>001!0611835152025</t>
  </si>
  <si>
    <t>THYME CARAWAY</t>
  </si>
  <si>
    <t>001!0611835153100</t>
  </si>
  <si>
    <t>THYME CASCATA LEMONADE</t>
  </si>
  <si>
    <t>001!0611835154100</t>
  </si>
  <si>
    <t>THYME COCCINEUS</t>
  </si>
  <si>
    <t>001!0611835155025</t>
  </si>
  <si>
    <t>THYME COCCINEUS PRAECOX</t>
  </si>
  <si>
    <t>001!0611835156025</t>
  </si>
  <si>
    <t>THYME CREEPING</t>
  </si>
  <si>
    <t>001!0611835158100</t>
  </si>
  <si>
    <t>THYME DOONE VALLEY</t>
  </si>
  <si>
    <t>001!0611835159100</t>
  </si>
  <si>
    <t>001!0611835160025</t>
  </si>
  <si>
    <t>001!0611862560050</t>
  </si>
  <si>
    <t>THYME ELFIN</t>
  </si>
  <si>
    <t>001!0611835161100</t>
  </si>
  <si>
    <t>001!0611835162025</t>
  </si>
  <si>
    <t>THYME ELFIN CN5404</t>
  </si>
  <si>
    <t>001!0611862561100</t>
  </si>
  <si>
    <t>THYME ELFIN LMTD</t>
  </si>
  <si>
    <t>001!0611862562050</t>
  </si>
  <si>
    <t>THYME ENGLISH</t>
  </si>
  <si>
    <t>001!0611835163100</t>
  </si>
  <si>
    <t>001!0611835164025</t>
  </si>
  <si>
    <t>THYME FAUSTINOI</t>
  </si>
  <si>
    <t>001!0611835165100</t>
  </si>
  <si>
    <t>THYME FRENCH</t>
  </si>
  <si>
    <t>001!0611835166100</t>
  </si>
  <si>
    <t>THYME FRENCH COOKING</t>
  </si>
  <si>
    <t>001!0611835167100</t>
  </si>
  <si>
    <t>001!0611835168025</t>
  </si>
  <si>
    <t>THYME GENERIC</t>
  </si>
  <si>
    <t>001!0611835195100</t>
  </si>
  <si>
    <t>001!0611835196200</t>
  </si>
  <si>
    <t>001!0611835197025</t>
  </si>
  <si>
    <t>THYME GOLDEN</t>
  </si>
  <si>
    <t>001!0611835169100</t>
  </si>
  <si>
    <t>THYME GOLDEN LEMON</t>
  </si>
  <si>
    <t>001!0611835171025</t>
  </si>
  <si>
    <t>001!0611862563100</t>
  </si>
  <si>
    <t>THYME HI HO SILVER</t>
  </si>
  <si>
    <t>001!0611862564100</t>
  </si>
  <si>
    <t>THYME LAVENDER</t>
  </si>
  <si>
    <t>001!0611835172100</t>
  </si>
  <si>
    <t>THYME LEMON</t>
  </si>
  <si>
    <t>001!0611835174025</t>
  </si>
  <si>
    <t>001!0611862565100</t>
  </si>
  <si>
    <t>THYME LEMON VARI</t>
  </si>
  <si>
    <t>001!0611835175100</t>
  </si>
  <si>
    <t>001!0611856979025</t>
  </si>
  <si>
    <t>THYME LIME</t>
  </si>
  <si>
    <t>001!0611835177100</t>
  </si>
  <si>
    <t>THYME MAGIC CARPET</t>
  </si>
  <si>
    <t>001!0611835178100</t>
  </si>
  <si>
    <t>001!0611835179025</t>
  </si>
  <si>
    <t>THYME MINUS SERPYLLUM</t>
  </si>
  <si>
    <t>001!0611835180100</t>
  </si>
  <si>
    <t>THYME MOTHER OF THYME</t>
  </si>
  <si>
    <t>001!0611835181100</t>
  </si>
  <si>
    <t>001!0611835182025</t>
  </si>
  <si>
    <t>THYME ORANGE</t>
  </si>
  <si>
    <t>001!0611835183025</t>
  </si>
  <si>
    <t>THYME PINK CHINTZ</t>
  </si>
  <si>
    <t>001!0611835185025</t>
  </si>
  <si>
    <t>001!0611862566100</t>
  </si>
  <si>
    <t>THYME PURPLE CARPET</t>
  </si>
  <si>
    <t>001!0611856980025</t>
  </si>
  <si>
    <t>THYME RED CREEPING</t>
  </si>
  <si>
    <t>001!0611862568100</t>
  </si>
  <si>
    <t>THYME RED CREEPING LMTD</t>
  </si>
  <si>
    <t>001!0611862569050</t>
  </si>
  <si>
    <t>THYME SILVER</t>
  </si>
  <si>
    <t>001!0611835188100</t>
  </si>
  <si>
    <t>THYME SILVER EDGED</t>
  </si>
  <si>
    <t>001!0611835189100</t>
  </si>
  <si>
    <t>001!0611835190025</t>
  </si>
  <si>
    <t>THYME SILVER KING</t>
  </si>
  <si>
    <t>001!0611862570100</t>
  </si>
  <si>
    <t>THYME SILVER POSIE</t>
  </si>
  <si>
    <t>001!0611835191025</t>
  </si>
  <si>
    <t>THYME SILVER QUEEN</t>
  </si>
  <si>
    <t>001!0611835192100</t>
  </si>
  <si>
    <t>THYME SPANISH</t>
  </si>
  <si>
    <t>001!0611835193100</t>
  </si>
  <si>
    <t>THYME SPICY ORANGE</t>
  </si>
  <si>
    <t>001!0611835194025</t>
  </si>
  <si>
    <t>THYME VULGARIS</t>
  </si>
  <si>
    <t>001!0611835198100</t>
  </si>
  <si>
    <t>001!0611835199025</t>
  </si>
  <si>
    <t>THYME WHITE CREEPING</t>
  </si>
  <si>
    <t>001!0611835200100</t>
  </si>
  <si>
    <t>THYME WINTER</t>
  </si>
  <si>
    <t>001!0611835201100</t>
  </si>
  <si>
    <t>THYME WOOLLY</t>
  </si>
  <si>
    <t>001!0611835186025</t>
  </si>
  <si>
    <t>001!0611862567100</t>
  </si>
  <si>
    <t>THYMUS ARCHERS GOLD</t>
  </si>
  <si>
    <t>001!0611884478025</t>
  </si>
  <si>
    <t>THYMUS CABORN WINE/ROSES</t>
  </si>
  <si>
    <t>001!0611884479025</t>
  </si>
  <si>
    <t>THYMUS CARAWAY</t>
  </si>
  <si>
    <t>001!0611884480025</t>
  </si>
  <si>
    <t>THYMUS FAUSTINOI</t>
  </si>
  <si>
    <t>001!0611884481025</t>
  </si>
  <si>
    <t>THYMUS FOXLEY</t>
  </si>
  <si>
    <t>001!0611884482025</t>
  </si>
  <si>
    <t>THYMUS GROWFLOW LEMONADE</t>
  </si>
  <si>
    <t>001!0611884483025</t>
  </si>
  <si>
    <t>THYMUS GROWFLOW PINK MAGIC</t>
  </si>
  <si>
    <t>001!0611884484100</t>
  </si>
  <si>
    <t>THYMUS HIGHLAND CREAM</t>
  </si>
  <si>
    <t>001!0611884485025</t>
  </si>
  <si>
    <t>THYMUS LEMON</t>
  </si>
  <si>
    <t>001!0611884486100</t>
  </si>
  <si>
    <t>THYMUS ROSE SCENT</t>
  </si>
  <si>
    <t>001!0611884487025</t>
  </si>
  <si>
    <t>TIAREL CORDIFOLIA</t>
  </si>
  <si>
    <t>001!0611839783025</t>
  </si>
  <si>
    <t>TIBOUC TIBOUCHINA GENERIC</t>
  </si>
  <si>
    <t>001!0611839786100</t>
  </si>
  <si>
    <t>TITHON FIESTA DEL SOL</t>
  </si>
  <si>
    <t>001!0611839787100</t>
  </si>
  <si>
    <t>TITHON TITHONIA GENERIC</t>
  </si>
  <si>
    <t>001!0611839788100</t>
  </si>
  <si>
    <t>TOMATO ABE LINCOLN</t>
  </si>
  <si>
    <t>001!0611836346100</t>
  </si>
  <si>
    <t>TOMATO ACE</t>
  </si>
  <si>
    <t>001!0611836347100</t>
  </si>
  <si>
    <t>TOMATO ACE 55 VF</t>
  </si>
  <si>
    <t>001!0611836348100</t>
  </si>
  <si>
    <t>TOMATO AMISH PASTE</t>
  </si>
  <si>
    <t>001!0611836349100</t>
  </si>
  <si>
    <t>TOMATO ARKANSAS TRAVELER</t>
  </si>
  <si>
    <t>001!0611836351100</t>
  </si>
  <si>
    <t>TOMATO ARTEMIS</t>
  </si>
  <si>
    <t>001!0611836352100</t>
  </si>
  <si>
    <t>TOMATO ATKINSON</t>
  </si>
  <si>
    <t>001!0611836353100</t>
  </si>
  <si>
    <t>TOMATO BABY ROMA</t>
  </si>
  <si>
    <t>001!0611836354100</t>
  </si>
  <si>
    <t>TOMATO BALLS BEEFSTEAK</t>
  </si>
  <si>
    <t>001!0611836355100</t>
  </si>
  <si>
    <t>TOMATO BEEFMASTER</t>
  </si>
  <si>
    <t>001!0611836357100</t>
  </si>
  <si>
    <t>001!0611836358200</t>
  </si>
  <si>
    <t>TOMATO BEEFSTEAK</t>
  </si>
  <si>
    <t>001!0611836359100</t>
  </si>
  <si>
    <t>001!0611836360200</t>
  </si>
  <si>
    <t>TOMATO BEEFY BOY</t>
  </si>
  <si>
    <t>001!0611836361100</t>
  </si>
  <si>
    <t>TOMATO BELGIUM GIANT</t>
  </si>
  <si>
    <t>001!0611836362100</t>
  </si>
  <si>
    <t>TOMATO BELLATRIX</t>
  </si>
  <si>
    <t>001!0611836363100</t>
  </si>
  <si>
    <t>TOMATO BEST BOY</t>
  </si>
  <si>
    <t>001!0611836364100</t>
  </si>
  <si>
    <t>TOMATO BETTER BOY</t>
  </si>
  <si>
    <t>001!0611836366100</t>
  </si>
  <si>
    <t>001!0611836367200</t>
  </si>
  <si>
    <t>TOMATO BETTER BOY PLUS</t>
  </si>
  <si>
    <t>001!0611857151100</t>
  </si>
  <si>
    <t>TOMATO BETTER BUSH</t>
  </si>
  <si>
    <t>001!0611836368100</t>
  </si>
  <si>
    <t>TOMATO BETTER GIRL</t>
  </si>
  <si>
    <t>001!0611836369100</t>
  </si>
  <si>
    <t>TOMATO BIG BEEF</t>
  </si>
  <si>
    <t>001!0611836370100</t>
  </si>
  <si>
    <t>TOMATO BIG BEEF PLUS</t>
  </si>
  <si>
    <t>001!0611857152100</t>
  </si>
  <si>
    <t>TOMATO BIG BOY</t>
  </si>
  <si>
    <t>001!0611836372100</t>
  </si>
  <si>
    <t>TOMATO BIG BRANDY</t>
  </si>
  <si>
    <t>001!0611839789100</t>
  </si>
  <si>
    <t>TOMATO BIG LEAGUE</t>
  </si>
  <si>
    <t>001!0611836373100</t>
  </si>
  <si>
    <t>TOMATO BIG RAINBOW</t>
  </si>
  <si>
    <t>001!0611836374100</t>
  </si>
  <si>
    <t>TOMATO BIG ZAC</t>
  </si>
  <si>
    <t>001!0611836376100</t>
  </si>
  <si>
    <t>TOMATO BILTMORE</t>
  </si>
  <si>
    <t>001!0611836377100</t>
  </si>
  <si>
    <t>TOMATO BLACK CHERRY</t>
  </si>
  <si>
    <t>001!0611836378100</t>
  </si>
  <si>
    <t>TOMATO BLACK KRIM</t>
  </si>
  <si>
    <t>001!0611836379100</t>
  </si>
  <si>
    <t>TOMATO BLACK PRINCE</t>
  </si>
  <si>
    <t>001!0611836380100</t>
  </si>
  <si>
    <t>TOMATO BLUSHINGSTAR</t>
  </si>
  <si>
    <t>001!0611857153100</t>
  </si>
  <si>
    <t>TOMATO BOBCAT</t>
  </si>
  <si>
    <t>001!0611836381100</t>
  </si>
  <si>
    <t>TOMATO BONNY BEST</t>
  </si>
  <si>
    <t>001!0611836382100</t>
  </si>
  <si>
    <t>TOMATO BOX CAR WILLIE</t>
  </si>
  <si>
    <t>001!0611836383100</t>
  </si>
  <si>
    <t>TOMATO BRADLEY</t>
  </si>
  <si>
    <t>001!0611836384100</t>
  </si>
  <si>
    <t>TOMATO BRANDYWINE</t>
  </si>
  <si>
    <t>001!0611839790100</t>
  </si>
  <si>
    <t>TOMATO BRANDYWINE BLACK</t>
  </si>
  <si>
    <t>001!0611836385100</t>
  </si>
  <si>
    <t>TOMATO BRANDYWINE RED</t>
  </si>
  <si>
    <t>001!0611836386100</t>
  </si>
  <si>
    <t>TOMATO BRANDYWINE TYPE HYBRID</t>
  </si>
  <si>
    <t>001!0611836387100</t>
  </si>
  <si>
    <t>TOMATO BRANDYWINE YELLOW</t>
  </si>
  <si>
    <t>001!0611836388100</t>
  </si>
  <si>
    <t>TOMATO BRAVEHEART</t>
  </si>
  <si>
    <t>001!0611839791100</t>
  </si>
  <si>
    <t>TOMATO BUFFALOSUN</t>
  </si>
  <si>
    <t>001!0611836390100</t>
  </si>
  <si>
    <t>TOMATO BUMBLE BEE SUNRISE</t>
  </si>
  <si>
    <t>001!0611836391100</t>
  </si>
  <si>
    <t>TOMATO BURPEE BIG BOY</t>
  </si>
  <si>
    <t>001!0611836392100</t>
  </si>
  <si>
    <t>001!0611836393200</t>
  </si>
  <si>
    <t>TOMATO BURPEE BIG EARLY</t>
  </si>
  <si>
    <t>001!0611836394100</t>
  </si>
  <si>
    <t>TOMATO BURPEE BIG GIRL</t>
  </si>
  <si>
    <t>001!0611836395100</t>
  </si>
  <si>
    <t>TOMATO BUSH BEEFSTEAK</t>
  </si>
  <si>
    <t>001!0611836396200</t>
  </si>
  <si>
    <t>TOMATO BUSH BIG BOY</t>
  </si>
  <si>
    <t>001!0611836397100</t>
  </si>
  <si>
    <t>TOMATO BUSH CELEBRITY</t>
  </si>
  <si>
    <t>001!0611836398100</t>
  </si>
  <si>
    <t>TOMATO BUSH CHAMPION</t>
  </si>
  <si>
    <t>001!0611836399100</t>
  </si>
  <si>
    <t>TOMATO BUSH CHAMPION II</t>
  </si>
  <si>
    <t>001!0611836400100</t>
  </si>
  <si>
    <t>TOMATO BUSH EARLY GIRL</t>
  </si>
  <si>
    <t>001!0611836401100</t>
  </si>
  <si>
    <t>TOMATO CAMPBELL 1327</t>
  </si>
  <si>
    <t>001!0611836402100</t>
  </si>
  <si>
    <t>TOMATO CANDYLAND RED</t>
  </si>
  <si>
    <t>001!0611836403100</t>
  </si>
  <si>
    <t>TOMATO CARMELLO</t>
  </si>
  <si>
    <t>001!0611836404100</t>
  </si>
  <si>
    <t>TOMATO CAROLINA GOLD</t>
  </si>
  <si>
    <t>001!0611836405100</t>
  </si>
  <si>
    <t>TOMATO CASPIAN PINK</t>
  </si>
  <si>
    <t>001!0611836406100</t>
  </si>
  <si>
    <t>TOMATO CELANO</t>
  </si>
  <si>
    <t>001!0611836407100</t>
  </si>
  <si>
    <t>TOMATO CELEBRITY</t>
  </si>
  <si>
    <t>001!0611836408100</t>
  </si>
  <si>
    <t>001!0611836409200</t>
  </si>
  <si>
    <t>TOMATO CELEBRITY PLUS</t>
  </si>
  <si>
    <t>001!0611857154100</t>
  </si>
  <si>
    <t>TOMATO CHAMPION II</t>
  </si>
  <si>
    <t>001!0611836410100</t>
  </si>
  <si>
    <t>TOMATO CHAMPION VFNT</t>
  </si>
  <si>
    <t>001!0611836411100</t>
  </si>
  <si>
    <t>TOMATO CHEFS CHOICE BICOLOR</t>
  </si>
  <si>
    <t>001!0611836412100</t>
  </si>
  <si>
    <t>TOMATO CHEFS CHOICE BLACK</t>
  </si>
  <si>
    <t>001!0611836413100</t>
  </si>
  <si>
    <t>TOMATO CHEFS CHOICE GREEN</t>
  </si>
  <si>
    <t>001!0611836414100</t>
  </si>
  <si>
    <t>TOMATO CHEFS CHOICE ORANGE</t>
  </si>
  <si>
    <t>001!0611836415100</t>
  </si>
  <si>
    <t>TOMATO CHEFS CHOICE PINK</t>
  </si>
  <si>
    <t>001!0611836416100</t>
  </si>
  <si>
    <t>TOMATO CHEFS CHOICE RED</t>
  </si>
  <si>
    <t>001!0611836417100</t>
  </si>
  <si>
    <t>TOMATO CHEFS CHOICE YELLOW</t>
  </si>
  <si>
    <t>001!0611836418100</t>
  </si>
  <si>
    <t>TOMATO CHEROKEE CARBON</t>
  </si>
  <si>
    <t>001!0611839792100</t>
  </si>
  <si>
    <t>TOMATO CHEROKEE PURPLE</t>
  </si>
  <si>
    <t>001!0611836419100</t>
  </si>
  <si>
    <t>TOMATO CHERRY CASCADE</t>
  </si>
  <si>
    <t>001!0611836420100</t>
  </si>
  <si>
    <t>TOMATO CHERRY EXPRESS</t>
  </si>
  <si>
    <t>001!0611836421100</t>
  </si>
  <si>
    <t>TOMATO CHERRY FALLS</t>
  </si>
  <si>
    <t>001!0611836422100</t>
  </si>
  <si>
    <t>TOMATO CHERRY RED GENERIC</t>
  </si>
  <si>
    <t>001!0611836423100</t>
  </si>
  <si>
    <t>TOMATO CHERRY RED LARGE GNRC</t>
  </si>
  <si>
    <t>001!0611836424100</t>
  </si>
  <si>
    <t>001!0611836425200</t>
  </si>
  <si>
    <t>TOMATO CHERRY RED SMALL GNRC</t>
  </si>
  <si>
    <t>001!0611836426100</t>
  </si>
  <si>
    <t>TOMATO CHERRY SWEET GENERIC</t>
  </si>
  <si>
    <t>001!0611836427100</t>
  </si>
  <si>
    <t>TOMATO CHERRY YELLOW GENERIC</t>
  </si>
  <si>
    <t>001!0611836428100</t>
  </si>
  <si>
    <t>TOMATO CHOCOLATE CHERRY</t>
  </si>
  <si>
    <t>001!0611836429100</t>
  </si>
  <si>
    <t>TOMATO CHOCOLATE SPRINKLES</t>
  </si>
  <si>
    <t>001!0611836430100</t>
  </si>
  <si>
    <t>TOMATO CHRISTMAS GRAPE</t>
  </si>
  <si>
    <t>001!0611836431100</t>
  </si>
  <si>
    <t>TOMATO COCOA KITCHEN MINIS</t>
  </si>
  <si>
    <t>001!0611839793100</t>
  </si>
  <si>
    <t>TOMATO CROKINI</t>
  </si>
  <si>
    <t>001!0611836432100</t>
  </si>
  <si>
    <t>TOMATO CUPID</t>
  </si>
  <si>
    <t>001!0611836433100</t>
  </si>
  <si>
    <t>TOMATO DARKSTAR</t>
  </si>
  <si>
    <t>001!0611836434100</t>
  </si>
  <si>
    <t>TOMATO DAYTONA</t>
  </si>
  <si>
    <t>001!0611836435100</t>
  </si>
  <si>
    <t>TOMATO DELICIOUS</t>
  </si>
  <si>
    <t>001!0611836436100</t>
  </si>
  <si>
    <t>TOMATO EARLY BOY</t>
  </si>
  <si>
    <t>001!0611836437100</t>
  </si>
  <si>
    <t>TOMATO EARLY CASCADE</t>
  </si>
  <si>
    <t>001!0611836438100</t>
  </si>
  <si>
    <t>TOMATO EARLY DOLL</t>
  </si>
  <si>
    <t>001!0611836439100</t>
  </si>
  <si>
    <t>TOMATO EARLY GIRL</t>
  </si>
  <si>
    <t>001!0611836440100</t>
  </si>
  <si>
    <t>001!0611836441200</t>
  </si>
  <si>
    <t>TOMATO EARLY PICK</t>
  </si>
  <si>
    <t>001!0611836442100</t>
  </si>
  <si>
    <t>TOMATO EARLY RESILIENCE</t>
  </si>
  <si>
    <t>001!0611836443100</t>
  </si>
  <si>
    <t>TOMATO EARLY SALAD TYPE</t>
  </si>
  <si>
    <t>001!0611836444100</t>
  </si>
  <si>
    <t>TOMATO FANTASTIC</t>
  </si>
  <si>
    <t>001!0611836445100</t>
  </si>
  <si>
    <t>TOMATO FANTASTICO</t>
  </si>
  <si>
    <t>001!0611836446100</t>
  </si>
  <si>
    <t>TOMATO FIRE FLY</t>
  </si>
  <si>
    <t>001!0611836447100</t>
  </si>
  <si>
    <t>TOMATO FIRST LADY</t>
  </si>
  <si>
    <t>001!0611836448100</t>
  </si>
  <si>
    <t>TOMATO FLORIDA 91 HYBRID</t>
  </si>
  <si>
    <t>001!0611836449100</t>
  </si>
  <si>
    <t>TOMATO GALAHAD</t>
  </si>
  <si>
    <t>001!0611836450100</t>
  </si>
  <si>
    <t>TOMATO GENUWINE</t>
  </si>
  <si>
    <t>001!0611839794100</t>
  </si>
  <si>
    <t>TOMATO GERMAN JOHNSON</t>
  </si>
  <si>
    <t>001!0611836451100</t>
  </si>
  <si>
    <t>TOMATO GERMAN PINK</t>
  </si>
  <si>
    <t>001!0611836452100</t>
  </si>
  <si>
    <t>TOMATO GERMAN QUEEN</t>
  </si>
  <si>
    <t>001!0611836453100</t>
  </si>
  <si>
    <t>TOMATO GERMAN STRIPED</t>
  </si>
  <si>
    <t>001!0611836454100</t>
  </si>
  <si>
    <t>TOMATO GIANT TREE</t>
  </si>
  <si>
    <t>001!0611836455100</t>
  </si>
  <si>
    <t>TOMATO GIRL</t>
  </si>
  <si>
    <t>001!0611836456100</t>
  </si>
  <si>
    <t>TOMATO GLAMOUR</t>
  </si>
  <si>
    <t>001!0611836457100</t>
  </si>
  <si>
    <t>TOMATO GOLD MEDAL</t>
  </si>
  <si>
    <t>001!0611836458100</t>
  </si>
  <si>
    <t>TOMATO GOLD SPARK</t>
  </si>
  <si>
    <t>001!0611839795100</t>
  </si>
  <si>
    <t>TOMATO GOLDEN BOY HYBRID</t>
  </si>
  <si>
    <t>001!0611836459100</t>
  </si>
  <si>
    <t>TOMATO GOLDEN GIRL</t>
  </si>
  <si>
    <t>001!0611836460100</t>
  </si>
  <si>
    <t>TOMATO GOLDEN JUBILEE</t>
  </si>
  <si>
    <t>001!0611836462100</t>
  </si>
  <si>
    <t>TOMATO GOLIATH</t>
  </si>
  <si>
    <t>001!0611836463100</t>
  </si>
  <si>
    <t>TOMATO GOLIATH BUSH</t>
  </si>
  <si>
    <t>001!0611836464100</t>
  </si>
  <si>
    <t>TOMATO GOLIATH EARLY</t>
  </si>
  <si>
    <t>001!0611836465100</t>
  </si>
  <si>
    <t>TOMATO GOLIATH OLD FASHIONED</t>
  </si>
  <si>
    <t>001!0611836466100</t>
  </si>
  <si>
    <t>TOMATO GRANNY SMITH</t>
  </si>
  <si>
    <t>001!0611836468100</t>
  </si>
  <si>
    <t>TOMATO GRAPE GENERIC</t>
  </si>
  <si>
    <t>001!0611836469100</t>
  </si>
  <si>
    <t>001!0611836470025</t>
  </si>
  <si>
    <t>TOMATO GRAPE YELLOW GENERIC</t>
  </si>
  <si>
    <t>001!0611836471100</t>
  </si>
  <si>
    <t>TOMATO GREEN ZEBRA</t>
  </si>
  <si>
    <t>001!0611836472100</t>
  </si>
  <si>
    <t>TOMATO GROUND CHERRY</t>
  </si>
  <si>
    <t>001!0611836473100</t>
  </si>
  <si>
    <t>TOMATO HAWAIIAN</t>
  </si>
  <si>
    <t>001!0611836474100</t>
  </si>
  <si>
    <t>TOMATO HEALTH KICK</t>
  </si>
  <si>
    <t>001!0611836475100</t>
  </si>
  <si>
    <t>TOMATO HEARTBREAKER VITA</t>
  </si>
  <si>
    <t>001!0611836476100</t>
  </si>
  <si>
    <t>TOMATO HEARTBREAKERS VALLERY</t>
  </si>
  <si>
    <t>001!0611836477100</t>
  </si>
  <si>
    <t>TOMATO HEATMASTER</t>
  </si>
  <si>
    <t>001!0611836479100</t>
  </si>
  <si>
    <t>TOMATO HEATWAVE II</t>
  </si>
  <si>
    <t>001!0611836480100</t>
  </si>
  <si>
    <t>TOMATO HEINZ 1350</t>
  </si>
  <si>
    <t>001!0611836481100</t>
  </si>
  <si>
    <t>TOMATO HEIRLOOM GENERIC</t>
  </si>
  <si>
    <t>001!0611836482100</t>
  </si>
  <si>
    <t>TOMATO HEIRLOOM RAINBOW BLEND</t>
  </si>
  <si>
    <t>001!0611836483100</t>
  </si>
  <si>
    <t>TOMATO HERITAGE VARIETY GNRC</t>
  </si>
  <si>
    <t>001!0611836484100</t>
  </si>
  <si>
    <t>TOMATO HILLBILLY</t>
  </si>
  <si>
    <t>001!0611836485100</t>
  </si>
  <si>
    <t>TOMATO HOMESLICE</t>
  </si>
  <si>
    <t>001!0611836486100</t>
  </si>
  <si>
    <t>TOMATO HOMESTEAD NO 24</t>
  </si>
  <si>
    <t>001!0611836487100</t>
  </si>
  <si>
    <t>TOMATO HUSKY CHERRY RED</t>
  </si>
  <si>
    <t>001!0611836488100</t>
  </si>
  <si>
    <t>TOMATO HUSKY RED</t>
  </si>
  <si>
    <t>001!0611836489100</t>
  </si>
  <si>
    <t>TOMATO INDIGO BLUE BERRIES</t>
  </si>
  <si>
    <t>001!0611836490100</t>
  </si>
  <si>
    <t>TOMATO INDIGO GOLD BERRIES</t>
  </si>
  <si>
    <t>001!0611836491100</t>
  </si>
  <si>
    <t>TOMATO INDIGO ROSE</t>
  </si>
  <si>
    <t>001!0611836492100</t>
  </si>
  <si>
    <t>TOMATO INDIGO RUBY</t>
  </si>
  <si>
    <t>001!0611836493100</t>
  </si>
  <si>
    <t>TOMATO JAMESTOWN</t>
  </si>
  <si>
    <t>001!0611836494100</t>
  </si>
  <si>
    <t>TOMATO JASPER</t>
  </si>
  <si>
    <t>001!0611836495100</t>
  </si>
  <si>
    <t>TOMATO JELLY BEAN</t>
  </si>
  <si>
    <t>001!0611839796100</t>
  </si>
  <si>
    <t>TOMATO JERSEY DEVIL</t>
  </si>
  <si>
    <t>001!0611836496100</t>
  </si>
  <si>
    <t>TOMATO JET SET</t>
  </si>
  <si>
    <t>001!0611836497100</t>
  </si>
  <si>
    <t>TOMATO JET STAR</t>
  </si>
  <si>
    <t>001!0611836498100</t>
  </si>
  <si>
    <t>001!0611836499200</t>
  </si>
  <si>
    <t>TOMATO JETSETTER</t>
  </si>
  <si>
    <t>001!0611836500100</t>
  </si>
  <si>
    <t>TOMATO JOLLY ELF</t>
  </si>
  <si>
    <t>001!0611836501100</t>
  </si>
  <si>
    <t>TOMATO JUBILEE</t>
  </si>
  <si>
    <t>001!0611836502100</t>
  </si>
  <si>
    <t>TOMATO JULIET</t>
  </si>
  <si>
    <t>001!0611839797100</t>
  </si>
  <si>
    <t>TOMATO LA ROMA</t>
  </si>
  <si>
    <t>001!0611836503100</t>
  </si>
  <si>
    <t>TOMATO LA ROMA III RED</t>
  </si>
  <si>
    <t>001!0611836504100</t>
  </si>
  <si>
    <t>TOMATO LEMON BOY</t>
  </si>
  <si>
    <t>001!0611836505100</t>
  </si>
  <si>
    <t>TOMATO LEMON BOY PLUS</t>
  </si>
  <si>
    <t>001!0611857155100</t>
  </si>
  <si>
    <t>TOMATO LEMON CHERRY</t>
  </si>
  <si>
    <t>001!0611836506100</t>
  </si>
  <si>
    <t>TOMATO LITTLE BING</t>
  </si>
  <si>
    <t>001!0611836507100</t>
  </si>
  <si>
    <t>TOMATO LITTLE BIRDY RED ROBIN</t>
  </si>
  <si>
    <t>001!0611839798100</t>
  </si>
  <si>
    <t>TOMATO LITTLE BIRDY ROSY FINCH</t>
  </si>
  <si>
    <t>001!0611836508100</t>
  </si>
  <si>
    <t>TOMATO LITTLE NAPOLI</t>
  </si>
  <si>
    <t>001!0611836509100</t>
  </si>
  <si>
    <t>TOMATO LITTLE SICILY</t>
  </si>
  <si>
    <t>001!0611836510100</t>
  </si>
  <si>
    <t>TOMATO LIZZANO</t>
  </si>
  <si>
    <t>001!0611836512100</t>
  </si>
  <si>
    <t>TOMATO LOKI</t>
  </si>
  <si>
    <t>001!0611836513100</t>
  </si>
  <si>
    <t>TOMATO LONG KEEPER</t>
  </si>
  <si>
    <t>001!0611836514100</t>
  </si>
  <si>
    <t>TOMATO LTBIRDY YELL CANARY</t>
  </si>
  <si>
    <t>001!0611836515100</t>
  </si>
  <si>
    <t>TOMATO MANITOBA</t>
  </si>
  <si>
    <t>001!0611836517100</t>
  </si>
  <si>
    <t>TOMATO MARGLOBE</t>
  </si>
  <si>
    <t>001!0611836518100</t>
  </si>
  <si>
    <t>TOMATO MARION</t>
  </si>
  <si>
    <t>001!0611836520100</t>
  </si>
  <si>
    <t>TOMATO MARZANO FIRE</t>
  </si>
  <si>
    <t>001!0611836521100</t>
  </si>
  <si>
    <t>TOMATO MARZINERA</t>
  </si>
  <si>
    <t>001!0611839799100</t>
  </si>
  <si>
    <t>TOMATO MARZITO</t>
  </si>
  <si>
    <t>001!0611836522100</t>
  </si>
  <si>
    <t>TOMATO MEGA BITE</t>
  </si>
  <si>
    <t>001!0611836523100</t>
  </si>
  <si>
    <t>TOMATO MICRO TOM KITCHEN MINIS</t>
  </si>
  <si>
    <t>001!0611839800100</t>
  </si>
  <si>
    <t>TOMATO MIDNIGHT SNACK</t>
  </si>
  <si>
    <t>001!0611836524100</t>
  </si>
  <si>
    <t>TOMATO MOBY GRAPE</t>
  </si>
  <si>
    <t>001!0611836525100</t>
  </si>
  <si>
    <t>TOMATO MOMOTARO</t>
  </si>
  <si>
    <t>001!0611839801100</t>
  </si>
  <si>
    <t>TOMATO MORETON HYBRID</t>
  </si>
  <si>
    <t>001!0611836527100</t>
  </si>
  <si>
    <t>TOMATO MORTGAGE LIFTER</t>
  </si>
  <si>
    <t>001!0611836528100</t>
  </si>
  <si>
    <t>TOMATO MOUNTAIN DELIGHT</t>
  </si>
  <si>
    <t>001!0611836529100</t>
  </si>
  <si>
    <t>TOMATO MOUNTAIN FRESH</t>
  </si>
  <si>
    <t>001!0611836530100</t>
  </si>
  <si>
    <t>001!0611836531200</t>
  </si>
  <si>
    <t>TOMATO MOUNTAIN FRESH PLUS</t>
  </si>
  <si>
    <t>001!0611836532100</t>
  </si>
  <si>
    <t>TOMATO MOUNTAIN GLORY</t>
  </si>
  <si>
    <t>001!0611836533100</t>
  </si>
  <si>
    <t>TOMATO MOUNTAIN GOLD</t>
  </si>
  <si>
    <t>001!0611836534100</t>
  </si>
  <si>
    <t>TOMATO MOUNTAIN MAGIC</t>
  </si>
  <si>
    <t>001!0611836535100</t>
  </si>
  <si>
    <t>TOMATO MOUNTAIN MAJESTY</t>
  </si>
  <si>
    <t>001!0611836536100</t>
  </si>
  <si>
    <t>TOMATO MOUNTAIN MERIT</t>
  </si>
  <si>
    <t>001!0611836537100</t>
  </si>
  <si>
    <t>TOMATO MOUNTAIN PRIDE</t>
  </si>
  <si>
    <t>001!0611836538100</t>
  </si>
  <si>
    <t>TOMATO MOUNTAIN ROUGE</t>
  </si>
  <si>
    <t>001!0611836539100</t>
  </si>
  <si>
    <t>TOMATO MOUNTAIN SPRING</t>
  </si>
  <si>
    <t>001!0611836540100</t>
  </si>
  <si>
    <t>TOMATO MR STRIPEY</t>
  </si>
  <si>
    <t>001!0611836541100</t>
  </si>
  <si>
    <t>TOMATO MUSHROOM BASKET</t>
  </si>
  <si>
    <t>001!0611836542100</t>
  </si>
  <si>
    <t>TOMATO OLD GERMAN</t>
  </si>
  <si>
    <t>001!0611836544100</t>
  </si>
  <si>
    <t>TOMATO OMARS LEBANESE</t>
  </si>
  <si>
    <t>001!0611836545100</t>
  </si>
  <si>
    <t>TOMATO ORANGE ZINGER</t>
  </si>
  <si>
    <t>001!0611836546100</t>
  </si>
  <si>
    <t>TOMATO OREGON SPRING</t>
  </si>
  <si>
    <t>001!0611836547100</t>
  </si>
  <si>
    <t>TOMATO OXHEART</t>
  </si>
  <si>
    <t>001!0611836548100</t>
  </si>
  <si>
    <t>TOMATO PAISANO</t>
  </si>
  <si>
    <t>001!0611836549100</t>
  </si>
  <si>
    <t>TOMATO PARKS LEGACY</t>
  </si>
  <si>
    <t>001!0611836550100</t>
  </si>
  <si>
    <t>TOMATO PARKS WHOPPER</t>
  </si>
  <si>
    <t>001!0611836552100</t>
  </si>
  <si>
    <t>TOMATO PATIO</t>
  </si>
  <si>
    <t>001!0611836553100</t>
  </si>
  <si>
    <t>001!0611836554200</t>
  </si>
  <si>
    <t>001!0611836555025</t>
  </si>
  <si>
    <t>TOMATO PATIO CHOICE</t>
  </si>
  <si>
    <t>001!0611836556100</t>
  </si>
  <si>
    <t>TOMATO PATIO PRIZE</t>
  </si>
  <si>
    <t>001!0611836558100</t>
  </si>
  <si>
    <t>TOMATO PATIO TYPE GENERIC</t>
  </si>
  <si>
    <t>001!0611836559100</t>
  </si>
  <si>
    <t>TOMATO PAUL ROBESON</t>
  </si>
  <si>
    <t>001!0611836560100</t>
  </si>
  <si>
    <t>TOMATO PEAR RED GENERIC</t>
  </si>
  <si>
    <t>001!0611836561100</t>
  </si>
  <si>
    <t>TOMATO PEAR YELLOW GENERIC</t>
  </si>
  <si>
    <t>001!0611836562100</t>
  </si>
  <si>
    <t>TOMATO PEARDROPS</t>
  </si>
  <si>
    <t>001!0611836563100</t>
  </si>
  <si>
    <t>TOMATO PERFECT FLAME</t>
  </si>
  <si>
    <t>001!0611839803100</t>
  </si>
  <si>
    <t>TOMATO PERSIMMON</t>
  </si>
  <si>
    <t>001!0611836564100</t>
  </si>
  <si>
    <t>TOMATO PIK RED</t>
  </si>
  <si>
    <t>001!0611836565100</t>
  </si>
  <si>
    <t>TOMATO PILLAR CATCH RED</t>
  </si>
  <si>
    <t>001!0611836566100</t>
  </si>
  <si>
    <t>TOMATO PINEAPPLE</t>
  </si>
  <si>
    <t>001!0611836567100</t>
  </si>
  <si>
    <t>TOMATO PINK DELICIOUS</t>
  </si>
  <si>
    <t>001!0611857156100</t>
  </si>
  <si>
    <t>TOMATO PINK GENERIC</t>
  </si>
  <si>
    <t>001!0611836568100</t>
  </si>
  <si>
    <t>TOMATO PINK GIRL</t>
  </si>
  <si>
    <t>001!0611836569100</t>
  </si>
  <si>
    <t>TOMATO PLUM ITALIAN GENERIC</t>
  </si>
  <si>
    <t>001!0611836570100</t>
  </si>
  <si>
    <t>TOMATO PLUM RED GENERIC</t>
  </si>
  <si>
    <t>001!0611836571100</t>
  </si>
  <si>
    <t>TOMATO PLUM YELLOW GENERIC</t>
  </si>
  <si>
    <t>001!0611836572100</t>
  </si>
  <si>
    <t>TOMATO POLISH LINGUISA</t>
  </si>
  <si>
    <t>001!0611836573100</t>
  </si>
  <si>
    <t>TOMATO PONDEROSA PINK</t>
  </si>
  <si>
    <t>001!0611836574100</t>
  </si>
  <si>
    <t>TOMATO PRIMO RED</t>
  </si>
  <si>
    <t>001!0611836575100</t>
  </si>
  <si>
    <t>TOMATO PRUDENS PURPLE</t>
  </si>
  <si>
    <t>001!0611836576100</t>
  </si>
  <si>
    <t>TOMATO PURPLE BOY</t>
  </si>
  <si>
    <t>001!0611836577100</t>
  </si>
  <si>
    <t>TOMATO PURPLE GENERIC</t>
  </si>
  <si>
    <t>001!0611836578100</t>
  </si>
  <si>
    <t>TOMATO PURPLE ZEBRA</t>
  </si>
  <si>
    <t>001!0611857157100</t>
  </si>
  <si>
    <t>TOMATO RAMAPO</t>
  </si>
  <si>
    <t>001!0611836580100</t>
  </si>
  <si>
    <t>TOMATO RAPUNZEL</t>
  </si>
  <si>
    <t>001!0611836581100</t>
  </si>
  <si>
    <t>TOMATO RD VELVET KITCHEN MINIS</t>
  </si>
  <si>
    <t>001!0611839804100</t>
  </si>
  <si>
    <t>TOMATO RED DEFENDER</t>
  </si>
  <si>
    <t>001!0611836582100</t>
  </si>
  <si>
    <t>TOMATO RED PROFUSION</t>
  </si>
  <si>
    <t>001!0611836583100</t>
  </si>
  <si>
    <t>TOMATO RED RACER</t>
  </si>
  <si>
    <t>001!0611836584100</t>
  </si>
  <si>
    <t>TOMATO RED TORCH</t>
  </si>
  <si>
    <t>001!0611836585100</t>
  </si>
  <si>
    <t>TOMATO RED/YELL BIC GENERIC</t>
  </si>
  <si>
    <t>001!0611836586100</t>
  </si>
  <si>
    <t>TOMATO RIESENTRAUBE</t>
  </si>
  <si>
    <t>001!0611836587100</t>
  </si>
  <si>
    <t>TOMATO ROCKY TOP</t>
  </si>
  <si>
    <t>001!0611836588100</t>
  </si>
  <si>
    <t>TOMATO ROMA</t>
  </si>
  <si>
    <t>001!0611836589100</t>
  </si>
  <si>
    <t>001!0611836590200</t>
  </si>
  <si>
    <t>TOMATO ROMA PASTE</t>
  </si>
  <si>
    <t>001!0611836591100</t>
  </si>
  <si>
    <t>TOMATO ROMA PLUM</t>
  </si>
  <si>
    <t>001!0611836592100</t>
  </si>
  <si>
    <t>TOMATO RUBY CRUSH</t>
  </si>
  <si>
    <t>001!0611836593100</t>
  </si>
  <si>
    <t>TOMATO RUTGERS</t>
  </si>
  <si>
    <t>001!0611836594100</t>
  </si>
  <si>
    <t>001!0611836595200</t>
  </si>
  <si>
    <t>TOMATO RUTGERS 250</t>
  </si>
  <si>
    <t>001!0611836596100</t>
  </si>
  <si>
    <t>TOMATO RUTGERS HYBRID</t>
  </si>
  <si>
    <t>001!0611836597100</t>
  </si>
  <si>
    <t>TOMATO SAN MARZANO</t>
  </si>
  <si>
    <t>001!0611836598100</t>
  </si>
  <si>
    <t>TOMATO SANTA</t>
  </si>
  <si>
    <t>001!0611839805100</t>
  </si>
  <si>
    <t>TOMATO SAUSAGE</t>
  </si>
  <si>
    <t>001!0611836599100</t>
  </si>
  <si>
    <t>TOMATO SCARLET RED</t>
  </si>
  <si>
    <t>001!0611836600100</t>
  </si>
  <si>
    <t>TOMATO SHADY LADY</t>
  </si>
  <si>
    <t>001!0611836601100</t>
  </si>
  <si>
    <t>TOMATO SHEYENNE</t>
  </si>
  <si>
    <t>001!0611836602100</t>
  </si>
  <si>
    <t>TOMATO SIAM KITCHEN MINIS</t>
  </si>
  <si>
    <t>001!0611839806100</t>
  </si>
  <si>
    <t>TOMATO SIBERIA</t>
  </si>
  <si>
    <t>001!0611836603100</t>
  </si>
  <si>
    <t>TOMATO SPARKY</t>
  </si>
  <si>
    <t>001!0611836604100</t>
  </si>
  <si>
    <t>TOMATO STELLAR</t>
  </si>
  <si>
    <t>001!0611836605100</t>
  </si>
  <si>
    <t>TOMATO STUPICE</t>
  </si>
  <si>
    <t>001!0611836606100</t>
  </si>
  <si>
    <t>TOMATO SUGAR RUSH</t>
  </si>
  <si>
    <t>001!0611836607100</t>
  </si>
  <si>
    <t>TOMATO SUGARY</t>
  </si>
  <si>
    <t>001!0611839807100</t>
  </si>
  <si>
    <t>TOMATO SUMMERLAST</t>
  </si>
  <si>
    <t>001!0611836609100</t>
  </si>
  <si>
    <t>TOMATO SUMMERPICK</t>
  </si>
  <si>
    <t>001!0611836610100</t>
  </si>
  <si>
    <t>TOMATO SUN DIPPER</t>
  </si>
  <si>
    <t>001!0611857158100</t>
  </si>
  <si>
    <t>TOMATO SUN GOLD</t>
  </si>
  <si>
    <t>001!0611836611100</t>
  </si>
  <si>
    <t>TOMATO SUNBRITE</t>
  </si>
  <si>
    <t>001!0611836613100</t>
  </si>
  <si>
    <t>TOMATO SUNCHERRY</t>
  </si>
  <si>
    <t>001!0611836614100</t>
  </si>
  <si>
    <t>TOMATO SUNNY BOY</t>
  </si>
  <si>
    <t>001!0611836616100</t>
  </si>
  <si>
    <t>TOMATO SUNNY GOLIATH</t>
  </si>
  <si>
    <t>001!0611836617100</t>
  </si>
  <si>
    <t>TOMATO SUNRAY NON ACID</t>
  </si>
  <si>
    <t>001!0611836618100</t>
  </si>
  <si>
    <t>TOMATO SUNRISE SAUCE</t>
  </si>
  <si>
    <t>001!0611839808100</t>
  </si>
  <si>
    <t>TOMATO SUNSET TORCH</t>
  </si>
  <si>
    <t>001!0611857159100</t>
  </si>
  <si>
    <t>TOMATO SUNSTART</t>
  </si>
  <si>
    <t>001!0611836619100</t>
  </si>
  <si>
    <t>TOMATO SUNSUGAR</t>
  </si>
  <si>
    <t>001!0611836620100</t>
  </si>
  <si>
    <t>TOMATO SUPER BUSH</t>
  </si>
  <si>
    <t>001!0611836621100</t>
  </si>
  <si>
    <t>TOMATO SUPER FANTASTIC</t>
  </si>
  <si>
    <t>001!0611836622100</t>
  </si>
  <si>
    <t>TOMATO SUPER MARZANO</t>
  </si>
  <si>
    <t>001!0611836623100</t>
  </si>
  <si>
    <t>TOMATO SUPER SIOUX</t>
  </si>
  <si>
    <t>001!0611836624100</t>
  </si>
  <si>
    <t>TOMATO SUPER TASTY</t>
  </si>
  <si>
    <t>001!0611836625100</t>
  </si>
  <si>
    <t>TOMATO SUPERSONIC</t>
  </si>
  <si>
    <t>001!0611836626100</t>
  </si>
  <si>
    <t>001!0611836627200</t>
  </si>
  <si>
    <t>TOMATO SUPERSTEAK VFN</t>
  </si>
  <si>
    <t>001!0611836628100</t>
  </si>
  <si>
    <t>TOMATO SUPERSWEET 100</t>
  </si>
  <si>
    <t>001!0611836629100</t>
  </si>
  <si>
    <t>TOMATO SUPREMO</t>
  </si>
  <si>
    <t>001!0611836630100</t>
  </si>
  <si>
    <t>TOMATO SWEET 100</t>
  </si>
  <si>
    <t>001!0611836631100</t>
  </si>
  <si>
    <t>001!0611836632200</t>
  </si>
  <si>
    <t>TOMATO SWEET BABY GIRL</t>
  </si>
  <si>
    <t>001!0611836633100</t>
  </si>
  <si>
    <t>TOMATO SWEET CHELSEA</t>
  </si>
  <si>
    <t>001!0611836634100</t>
  </si>
  <si>
    <t>TOMATO SWEET CLUSTER</t>
  </si>
  <si>
    <t>001!0611836635100</t>
  </si>
  <si>
    <t>TOMATO SWEET GOLD</t>
  </si>
  <si>
    <t>001!0611836636100</t>
  </si>
  <si>
    <t>TOMATO SWEET MILLION</t>
  </si>
  <si>
    <t>001!0611836637100</t>
  </si>
  <si>
    <t>TOMATO SWEET N NEAT CHERRY RED</t>
  </si>
  <si>
    <t>001!0611836638100</t>
  </si>
  <si>
    <t>TOMATO SWEET N NEAT SCARLET</t>
  </si>
  <si>
    <t>001!0611836639100</t>
  </si>
  <si>
    <t>TOMATO SWEET N NEAT YELLOW</t>
  </si>
  <si>
    <t>001!0611836640100</t>
  </si>
  <si>
    <t>TOMATO SWEET OLIVE</t>
  </si>
  <si>
    <t>001!0611836641100</t>
  </si>
  <si>
    <t>TOMATO SWEET PEA</t>
  </si>
  <si>
    <t>001!0611836642100</t>
  </si>
  <si>
    <t>TOMATO SWEET TREATS</t>
  </si>
  <si>
    <t>001!0611836643100</t>
  </si>
  <si>
    <t>TOMATO SWEET ZEN</t>
  </si>
  <si>
    <t>001!0611836644100</t>
  </si>
  <si>
    <t>TOMATO TAXI</t>
  </si>
  <si>
    <t>001!0611836645100</t>
  </si>
  <si>
    <t>TOMATO TEN FINGERS OF NAPLES</t>
  </si>
  <si>
    <t>001!0611836646100</t>
  </si>
  <si>
    <t>TOMATO TERENZO</t>
  </si>
  <si>
    <t>001!0611836647100</t>
  </si>
  <si>
    <t>TOMATO TIDY ROSE</t>
  </si>
  <si>
    <t>001!0611836648100</t>
  </si>
  <si>
    <t>TOMATO TIDY TREATS</t>
  </si>
  <si>
    <t>001!0611836649100</t>
  </si>
  <si>
    <t>TOMATO TINY TIM</t>
  </si>
  <si>
    <t>001!0611836650100</t>
  </si>
  <si>
    <t>TOMATO TOMATO GENERIC</t>
  </si>
  <si>
    <t>001!0611836651100</t>
  </si>
  <si>
    <t>001!0611836652100</t>
  </si>
  <si>
    <t>TOMATO TOMATOBERRY GARDEN</t>
  </si>
  <si>
    <t>001!0611836654100</t>
  </si>
  <si>
    <t>TOMATO TOPSY TOM</t>
  </si>
  <si>
    <t>001!0611836655100</t>
  </si>
  <si>
    <t>TOMATO TOTEM</t>
  </si>
  <si>
    <t>001!0611836656100</t>
  </si>
  <si>
    <t>TOMATO TUMBLER</t>
  </si>
  <si>
    <t>001!0611836657100</t>
  </si>
  <si>
    <t>TOMATO TUMBLING TIGER</t>
  </si>
  <si>
    <t>001!0611836658100</t>
  </si>
  <si>
    <t>TOMATO TUMBLING TOM RED</t>
  </si>
  <si>
    <t>001!0611836659100</t>
  </si>
  <si>
    <t>TOMATO TUMBLING TOM YELLOW</t>
  </si>
  <si>
    <t>001!0611836660100</t>
  </si>
  <si>
    <t>TOMATO TUTTI FRUTTI CHERRY</t>
  </si>
  <si>
    <t>001!0611836661100</t>
  </si>
  <si>
    <t>TOMATO TUTTI FRUTTI MANDARIN</t>
  </si>
  <si>
    <t>001!0611836662100</t>
  </si>
  <si>
    <t>TOMATO TUTTI FRUTTI MELON</t>
  </si>
  <si>
    <t>001!0611836663100</t>
  </si>
  <si>
    <t>TOMATO TYE DYE</t>
  </si>
  <si>
    <t>001!0611836664100</t>
  </si>
  <si>
    <t>TOMATO UKRAINIAN PURPLE</t>
  </si>
  <si>
    <t>001!0611836665100</t>
  </si>
  <si>
    <t>TOMATO ULTRA SWEET</t>
  </si>
  <si>
    <t>001!0611836666100</t>
  </si>
  <si>
    <t>TOMATO VALENCIA</t>
  </si>
  <si>
    <t>001!0611836667100</t>
  </si>
  <si>
    <t>TOMATO VALENTINE</t>
  </si>
  <si>
    <t>001!0611836668100</t>
  </si>
  <si>
    <t>TOMATO VALLEYCAT</t>
  </si>
  <si>
    <t>001!0611836669100</t>
  </si>
  <si>
    <t>TOMATO VENTI SALAD</t>
  </si>
  <si>
    <t>001!0611836670100</t>
  </si>
  <si>
    <t>TOMATO VIVA ITALIA</t>
  </si>
  <si>
    <t>001!0611836671100</t>
  </si>
  <si>
    <t>TOMATO VIVA SALSA</t>
  </si>
  <si>
    <t>001!0611836672100</t>
  </si>
  <si>
    <t>TOMATO WHITE CHERRY</t>
  </si>
  <si>
    <t>001!0611857160100</t>
  </si>
  <si>
    <t>TOMATO WHITE GENERIC</t>
  </si>
  <si>
    <t>001!0611836673100</t>
  </si>
  <si>
    <t>TOMATO WHOPPER</t>
  </si>
  <si>
    <t>001!0611836674100</t>
  </si>
  <si>
    <t>TOMATO WILLAMETTE</t>
  </si>
  <si>
    <t>001!0611836675100</t>
  </si>
  <si>
    <t>TOMATO WINDOW BOX ROMA</t>
  </si>
  <si>
    <t>001!0611836676100</t>
  </si>
  <si>
    <t>TOMATO WISCONSIN 55</t>
  </si>
  <si>
    <t>001!0611836677100</t>
  </si>
  <si>
    <t>TOMATO YELL JELLY BEAN HYBRID</t>
  </si>
  <si>
    <t>001!0611836678100</t>
  </si>
  <si>
    <t>TOMATO YELLOW GENERIC</t>
  </si>
  <si>
    <t>001!0611836679100</t>
  </si>
  <si>
    <t>TOMATO YORKER</t>
  </si>
  <si>
    <t>001!0611836680100</t>
  </si>
  <si>
    <t>TORENI DUCHESS BLUE/WHITE</t>
  </si>
  <si>
    <t>001!0611839811100</t>
  </si>
  <si>
    <t>TORENI DUCHESS BURGUNDY</t>
  </si>
  <si>
    <t>001!0611839812100</t>
  </si>
  <si>
    <t>TORENI DUCHESS DEEP BLUE</t>
  </si>
  <si>
    <t>001!0611839813100</t>
  </si>
  <si>
    <t>TORENI DUCHESS MIX</t>
  </si>
  <si>
    <t>001!0611839814100</t>
  </si>
  <si>
    <t>TORENI DUCHESS PINK</t>
  </si>
  <si>
    <t>001!0611839815100</t>
  </si>
  <si>
    <t>TORENI HEAT ELITE MIX</t>
  </si>
  <si>
    <t>001!0611839818100</t>
  </si>
  <si>
    <t>TORENI HI LITE BLUE AND WHITE</t>
  </si>
  <si>
    <t>001!0611839819100</t>
  </si>
  <si>
    <t>TORENI HI LITE BLUE BEACON</t>
  </si>
  <si>
    <t>001!0611857161100</t>
  </si>
  <si>
    <t>TORENI HI LITE BLUE JUMP UP</t>
  </si>
  <si>
    <t>001!0611839820100</t>
  </si>
  <si>
    <t>TORENI HI LITE DEEP BLUE</t>
  </si>
  <si>
    <t>001!0611839821100</t>
  </si>
  <si>
    <t>TORENI HI LITE MAGENTA</t>
  </si>
  <si>
    <t>001!0611839822100</t>
  </si>
  <si>
    <t>TORENI HI LITE MIX</t>
  </si>
  <si>
    <t>001!0611839823100</t>
  </si>
  <si>
    <t>TORENI HI LITE PINK</t>
  </si>
  <si>
    <t>001!0611839824100</t>
  </si>
  <si>
    <t>TORENI HI LITE ROSE PICOTEE</t>
  </si>
  <si>
    <t>001!0611884488100</t>
  </si>
  <si>
    <t>TORENI HI LITE WHITE</t>
  </si>
  <si>
    <t>001!0611839825100</t>
  </si>
  <si>
    <t>TORENI KAUAI BLUE/WHITE</t>
  </si>
  <si>
    <t>001!0611839826100</t>
  </si>
  <si>
    <t>TORENI KAUAI BURGUNDY</t>
  </si>
  <si>
    <t>001!0611839827100</t>
  </si>
  <si>
    <t>TORENI KAUAI DEEP BLUE</t>
  </si>
  <si>
    <t>001!0611839828100</t>
  </si>
  <si>
    <t>TORENI KAUAI LEMON DROP</t>
  </si>
  <si>
    <t>001!0611839829100</t>
  </si>
  <si>
    <t>TORENI KAUAI MAGENTA</t>
  </si>
  <si>
    <t>001!0611839830100</t>
  </si>
  <si>
    <t>TORENI KAUAI MIX</t>
  </si>
  <si>
    <t>001!0611839831100</t>
  </si>
  <si>
    <t>TORENI KAUAI ROSE</t>
  </si>
  <si>
    <t>001!0611839832100</t>
  </si>
  <si>
    <t>TORENI KAUAI WHITE</t>
  </si>
  <si>
    <t>001!0611839833100</t>
  </si>
  <si>
    <t>TORENI MOON BLUE</t>
  </si>
  <si>
    <t>001!0611839837100</t>
  </si>
  <si>
    <t>TORENI MOON INDIGO</t>
  </si>
  <si>
    <t>001!0611839838100</t>
  </si>
  <si>
    <t>TORENI MOON MAGENTA</t>
  </si>
  <si>
    <t>001!0611839839100</t>
  </si>
  <si>
    <t>TORENI MOON PURPLE</t>
  </si>
  <si>
    <t>001!0611839841100</t>
  </si>
  <si>
    <t>TORENI MOON ROSE</t>
  </si>
  <si>
    <t>001!0611839842100</t>
  </si>
  <si>
    <t>TORENI MOON WHITE</t>
  </si>
  <si>
    <t>001!0611839843100</t>
  </si>
  <si>
    <t>TORENI MOON YELLOW</t>
  </si>
  <si>
    <t>001!0611839844100</t>
  </si>
  <si>
    <t>TORENI SUMMERY LOVE PURE WHITE</t>
  </si>
  <si>
    <t>001!0611857162100</t>
  </si>
  <si>
    <t>TORENI TORENIA BLNGL DSIGN</t>
  </si>
  <si>
    <t>001!0611839845100</t>
  </si>
  <si>
    <t>TORENI TORENIA GENERIC</t>
  </si>
  <si>
    <t>001!0611839846100</t>
  </si>
  <si>
    <t>TORENI VERTIGO DEEP BLUE</t>
  </si>
  <si>
    <t>001!0611857163100</t>
  </si>
  <si>
    <t>TRADES CHARM ANGELIC</t>
  </si>
  <si>
    <t>001!0611839847025</t>
  </si>
  <si>
    <t>TRADES CHARM LUCKY</t>
  </si>
  <si>
    <t>001!0611839848025</t>
  </si>
  <si>
    <t>TRADES CHARM REGAL</t>
  </si>
  <si>
    <t>001!0611839849025</t>
  </si>
  <si>
    <t>TRADES CHARM SUNSHINE</t>
  </si>
  <si>
    <t>001!0611839850025</t>
  </si>
  <si>
    <t>TRADES CONCORD GRAPE</t>
  </si>
  <si>
    <t>001!0611839851025</t>
  </si>
  <si>
    <t>TRADES MOSES IN THE CRADLE</t>
  </si>
  <si>
    <t>001!0611839852100</t>
  </si>
  <si>
    <t>TRADES NANOUK</t>
  </si>
  <si>
    <t>001!0611864109050</t>
  </si>
  <si>
    <t>TRADES PINK STRIPES PALLIDA</t>
  </si>
  <si>
    <t>001!0611839853100</t>
  </si>
  <si>
    <t>TRADES PISTACHIO WHITE</t>
  </si>
  <si>
    <t>001!0611857164100</t>
  </si>
  <si>
    <t>TRADES PPL WANDERING JEW</t>
  </si>
  <si>
    <t>001!0611839854100</t>
  </si>
  <si>
    <t>001!0611839855100</t>
  </si>
  <si>
    <t>TRADES PURPLE QUEEN</t>
  </si>
  <si>
    <t>001!0611839856100</t>
  </si>
  <si>
    <t>TRADES SPIDERWORT GENERIC</t>
  </si>
  <si>
    <t>001!0611839857100</t>
  </si>
  <si>
    <t>TRADES SWEET KATE</t>
  </si>
  <si>
    <t>001!0611839858025</t>
  </si>
  <si>
    <t>TRADES TORTUGA</t>
  </si>
  <si>
    <t>001!0611864112050</t>
  </si>
  <si>
    <t>TRADES VARIEGATA</t>
  </si>
  <si>
    <t>001!0611839859100</t>
  </si>
  <si>
    <t>TRADES ZEBRA GENERIC</t>
  </si>
  <si>
    <t>001!0611884489100</t>
  </si>
  <si>
    <t>TRADES ZEBRA TYPE GENERIC</t>
  </si>
  <si>
    <t>001!0611884490100</t>
  </si>
  <si>
    <t>TRAY HANDLES</t>
  </si>
  <si>
    <t>50/50 Handle</t>
  </si>
  <si>
    <t>001!0611663279050</t>
  </si>
  <si>
    <t>Tray Handles</t>
  </si>
  <si>
    <t>TRICYR TOAD LILY GENERIC</t>
  </si>
  <si>
    <t>001!0611839862025</t>
  </si>
  <si>
    <t>TRIGON FENUGREEK</t>
  </si>
  <si>
    <t>001!0611839864100</t>
  </si>
  <si>
    <t>TRILLI GRANDIFLORUM</t>
  </si>
  <si>
    <t>001!0611839865100</t>
  </si>
  <si>
    <t>TROLLI GOLDEN QUEEN CHINENSIS</t>
  </si>
  <si>
    <t>001!0611839866025</t>
  </si>
  <si>
    <t>TROPIC FOLIAGE PLANTS GENERIC</t>
  </si>
  <si>
    <t>001!0611839882100</t>
  </si>
  <si>
    <t>001!0611839883100</t>
  </si>
  <si>
    <t>TULIP BICOLOR</t>
  </si>
  <si>
    <t>001!0611839884100</t>
  </si>
  <si>
    <t>TULIP LAVENDER</t>
  </si>
  <si>
    <t>001!0611839885100</t>
  </si>
  <si>
    <t>TULIP ORANGE</t>
  </si>
  <si>
    <t>001!0611839886100</t>
  </si>
  <si>
    <t>TULIP PINK</t>
  </si>
  <si>
    <t>001!0611839887100</t>
  </si>
  <si>
    <t>TULIP PURPLE</t>
  </si>
  <si>
    <t>001!0611839888100</t>
  </si>
  <si>
    <t>TULIP RED</t>
  </si>
  <si>
    <t>001!0611839889100</t>
  </si>
  <si>
    <t>TULIP RED/WHITE</t>
  </si>
  <si>
    <t>001!0611839890100</t>
  </si>
  <si>
    <t>TULIP RED/YELLOW</t>
  </si>
  <si>
    <t>001!0611839891100</t>
  </si>
  <si>
    <t>TULIP TULIP GENERIC</t>
  </si>
  <si>
    <t>001!0611839892100</t>
  </si>
  <si>
    <t>TULIP WHITE</t>
  </si>
  <si>
    <t>001!0611839893100</t>
  </si>
  <si>
    <t>TULIP WHITE/PINK</t>
  </si>
  <si>
    <t>001!0611839894100</t>
  </si>
  <si>
    <t>TULIP YELLOW</t>
  </si>
  <si>
    <t>001!0611839895100</t>
  </si>
  <si>
    <t>TURNER ULMIFOLIA</t>
  </si>
  <si>
    <t>001!0611839896100</t>
  </si>
  <si>
    <t>VALERI VALERIAN</t>
  </si>
  <si>
    <t>001!0611839898100</t>
  </si>
  <si>
    <t>001!0611884491025</t>
  </si>
  <si>
    <t>VERBAS PHOENICEUM GENERIC</t>
  </si>
  <si>
    <t>001!0611839899100</t>
  </si>
  <si>
    <t>VERBAS SOUTHERN CHARM MIX</t>
  </si>
  <si>
    <t>001!0611839900025</t>
  </si>
  <si>
    <t>VERBEN BONARIENSIS</t>
  </si>
  <si>
    <t>001!0611839901100</t>
  </si>
  <si>
    <t>001!0611839902025</t>
  </si>
  <si>
    <t>VERBEN BUENOS AIRES</t>
  </si>
  <si>
    <t>001!0611839903100</t>
  </si>
  <si>
    <t>VERBEN CASCADE PPL SHDS W EYE</t>
  </si>
  <si>
    <t>001!0611839904100</t>
  </si>
  <si>
    <t>VERBEN CASCADE TWISTER BURG</t>
  </si>
  <si>
    <t>001!0611839905100</t>
  </si>
  <si>
    <t>VERBEN CASCADE TWISTER VLT</t>
  </si>
  <si>
    <t>001!0611839906100</t>
  </si>
  <si>
    <t>VERBEN CMPCT PCH APRCT SHDS</t>
  </si>
  <si>
    <t>001!0611839907100</t>
  </si>
  <si>
    <t>VERBEN CMPCT PPL BL SHDS GNRC</t>
  </si>
  <si>
    <t>001!0611839908100</t>
  </si>
  <si>
    <t>VERBEN COMPACT GENERIC</t>
  </si>
  <si>
    <t>001!0611839910100</t>
  </si>
  <si>
    <t>VERBEN EMPRESS BURGUNDY CHARME</t>
  </si>
  <si>
    <t>001!0611864114050</t>
  </si>
  <si>
    <t>VERBEN EMPRESS DARK RED</t>
  </si>
  <si>
    <t>001!0611864115050</t>
  </si>
  <si>
    <t>VERBEN EMPRESS FLAIR AMT CHRME</t>
  </si>
  <si>
    <t>001!0611864116050</t>
  </si>
  <si>
    <t>VERBEN EMPRESS FLAIR BL CHARME</t>
  </si>
  <si>
    <t>001!0611864117050</t>
  </si>
  <si>
    <t>VERBEN EMPRESS FLAIR BURG STAR</t>
  </si>
  <si>
    <t>001!0611864118050</t>
  </si>
  <si>
    <t>VERBEN EMPRESS FLAIR BURGUNDY</t>
  </si>
  <si>
    <t>001!0611864119050</t>
  </si>
  <si>
    <t>VERBEN EMPRESS FLAIR CHERRY</t>
  </si>
  <si>
    <t>001!0611864120050</t>
  </si>
  <si>
    <t>VERBEN EMPRESS FLAIR CHRY CHRM</t>
  </si>
  <si>
    <t>001!0611864121050</t>
  </si>
  <si>
    <t>VERBEN EMPRESS FLAIR CRL REEF</t>
  </si>
  <si>
    <t>001!0611864122050</t>
  </si>
  <si>
    <t>VERBEN EMPRESS FLAIR D RD CHRM</t>
  </si>
  <si>
    <t>001!0611864123050</t>
  </si>
  <si>
    <t>VERBEN EMPRESS FLAIR HVNLY BL</t>
  </si>
  <si>
    <t>001!0611864124050</t>
  </si>
  <si>
    <t>VERBEN EMPRESS FLAIR LAVEND BL</t>
  </si>
  <si>
    <t>001!0611864125050</t>
  </si>
  <si>
    <t>VERBEN EMPRESS FLAIR NEON</t>
  </si>
  <si>
    <t>001!0611864126050</t>
  </si>
  <si>
    <t>VERBEN EMPRESS FLAIR PEACH</t>
  </si>
  <si>
    <t>001!0611864127050</t>
  </si>
  <si>
    <t>VERBEN EMPRESS FLAIR PK CHARME</t>
  </si>
  <si>
    <t>001!0611864128050</t>
  </si>
  <si>
    <t>VERBEN EMPRESS FLAIR PURP SKY</t>
  </si>
  <si>
    <t>001!0611864129050</t>
  </si>
  <si>
    <t>VERBEN EMPRESS FLAIR RED</t>
  </si>
  <si>
    <t>001!0611864130050</t>
  </si>
  <si>
    <t>VERBEN EMPRESS FLAIR VLT BLUE</t>
  </si>
  <si>
    <t>001!0611864131050</t>
  </si>
  <si>
    <t>VERBEN EMPRESS FLAIR WHITE</t>
  </si>
  <si>
    <t>001!0611864132050</t>
  </si>
  <si>
    <t>VERBEN EMPRESS HOT PINK CHARME</t>
  </si>
  <si>
    <t>001!0611864133050</t>
  </si>
  <si>
    <t>VERBEN EMPRESS IMPERIAL BLUE</t>
  </si>
  <si>
    <t>001!0611864134050</t>
  </si>
  <si>
    <t>VERBEN EMPRESS LAVENDER</t>
  </si>
  <si>
    <t>001!0611864135050</t>
  </si>
  <si>
    <t>VERBEN EMPRESS LAVENDER BLUE</t>
  </si>
  <si>
    <t>001!0611864136050</t>
  </si>
  <si>
    <t>VERBEN EMPRESS PEACH</t>
  </si>
  <si>
    <t>001!0611864137050</t>
  </si>
  <si>
    <t>VERBEN EMPRESS PURPLE IMP</t>
  </si>
  <si>
    <t>001!0611864138050</t>
  </si>
  <si>
    <t>VERBEN EMPRESS RED</t>
  </si>
  <si>
    <t>001!0611864139050</t>
  </si>
  <si>
    <t>VERBEN EMPRESS SOFT PK CHARME</t>
  </si>
  <si>
    <t>001!0611864140050</t>
  </si>
  <si>
    <t>VERBEN EMPRESS STRAWBRY CHARME</t>
  </si>
  <si>
    <t>001!0611864141050</t>
  </si>
  <si>
    <t>VERBEN EMPRESS SUN CHERRY</t>
  </si>
  <si>
    <t>001!0611864142050</t>
  </si>
  <si>
    <t>VERBEN EMPRESS SUN COMP VIOLET</t>
  </si>
  <si>
    <t>001!0611864143050</t>
  </si>
  <si>
    <t>VERBEN EMPRESS SUN COMP WHITE</t>
  </si>
  <si>
    <t>001!0611864144050</t>
  </si>
  <si>
    <t>VERBEN EMPRESS SUN COMPACT RED</t>
  </si>
  <si>
    <t>001!0611864145050</t>
  </si>
  <si>
    <t>VERBEN EMPRESS SUN DARK BLUE</t>
  </si>
  <si>
    <t>001!0611864146050</t>
  </si>
  <si>
    <t>VERBEN EMPRESS SUN HOT PINK</t>
  </si>
  <si>
    <t>001!0611864147050</t>
  </si>
  <si>
    <t>VERBEN EMPRESS SUN LAVEND CHRM</t>
  </si>
  <si>
    <t>001!0611864148050</t>
  </si>
  <si>
    <t>VERBEN EMPRESS SUN PINK</t>
  </si>
  <si>
    <t>001!0611864149050</t>
  </si>
  <si>
    <t>VERBEN EMPRESS SUN RED</t>
  </si>
  <si>
    <t>001!0611864150050</t>
  </si>
  <si>
    <t>VERBEN EMPRESS SUN VIOLET</t>
  </si>
  <si>
    <t>001!0611864151050</t>
  </si>
  <si>
    <t>VERBEN EMPRESS SUN WHITE</t>
  </si>
  <si>
    <t>001!0611864152050</t>
  </si>
  <si>
    <t>VERBEN EMPRESS SUN WHITE BLUSH</t>
  </si>
  <si>
    <t>001!0611864153050</t>
  </si>
  <si>
    <t>VERBEN EMPRESS VIOLET BLUE</t>
  </si>
  <si>
    <t>001!0611864154050</t>
  </si>
  <si>
    <t>VERBEN EMPRESS WHITE 09</t>
  </si>
  <si>
    <t>001!0611864155050</t>
  </si>
  <si>
    <t>VERBEN ESTRELLA BLUEBERRY</t>
  </si>
  <si>
    <t>001!0611864156050</t>
  </si>
  <si>
    <t>VERBEN ESTRELLA DARK ORANGE</t>
  </si>
  <si>
    <t>001!0611864157050</t>
  </si>
  <si>
    <t>VERBEN ESTRELLA DARK PURPLE</t>
  </si>
  <si>
    <t>001!0611839913100</t>
  </si>
  <si>
    <t>001!0611864158050</t>
  </si>
  <si>
    <t>VERBEN ESTRELLA HOT PINK</t>
  </si>
  <si>
    <t>001!0611864159050</t>
  </si>
  <si>
    <t>VERBEN ESTRELLA LOBSTERFEST</t>
  </si>
  <si>
    <t>001!0611864160050</t>
  </si>
  <si>
    <t>VERBEN ESTRELLA MAGENTA</t>
  </si>
  <si>
    <t>001!0611864161050</t>
  </si>
  <si>
    <t>VERBEN ESTRELLA PEACH</t>
  </si>
  <si>
    <t>001!0611864162050</t>
  </si>
  <si>
    <t>VERBEN ESTRELLA RED</t>
  </si>
  <si>
    <t>001!0611864163050</t>
  </si>
  <si>
    <t>VERBEN ESTRELLA SERIES</t>
  </si>
  <si>
    <t>001!0611839914100</t>
  </si>
  <si>
    <t>VERBEN ESTRELLA UPRT VAMPR RD</t>
  </si>
  <si>
    <t>001!0611864164050</t>
  </si>
  <si>
    <t>VERBEN ESTRELLA VOODOO LVN STR</t>
  </si>
  <si>
    <t>001!0611864165050</t>
  </si>
  <si>
    <t>VERBEN ESTRELLA VOODOO MLT STR</t>
  </si>
  <si>
    <t>001!0611864166050</t>
  </si>
  <si>
    <t>VERBEN ESTRELLA VOODOO PK STAR</t>
  </si>
  <si>
    <t>001!0611864167050</t>
  </si>
  <si>
    <t>VERBEN ESTRELLA VOODOO RD STAR</t>
  </si>
  <si>
    <t>001!0611864168050</t>
  </si>
  <si>
    <t>VERBEN ESTRELLA WHITE</t>
  </si>
  <si>
    <t>001!0611864169050</t>
  </si>
  <si>
    <t>VERBEN GNRC BLNGL DSIGN</t>
  </si>
  <si>
    <t>001!0611839916100</t>
  </si>
  <si>
    <t>VERBEN HOMESTEAD HT PK</t>
  </si>
  <si>
    <t>001!0611839917025</t>
  </si>
  <si>
    <t>VERBEN HOMESTEAD PURPLE</t>
  </si>
  <si>
    <t>001!0611839918025</t>
  </si>
  <si>
    <t>001!0611864170050</t>
  </si>
  <si>
    <t>001!0611864172100</t>
  </si>
  <si>
    <t>VERBEN HOMESTEAD RED</t>
  </si>
  <si>
    <t>001!0611839920100</t>
  </si>
  <si>
    <t>VERBEN HURRICANE BLUE</t>
  </si>
  <si>
    <t>001!0611839921100</t>
  </si>
  <si>
    <t>VERBEN HURRICANE FUCHSIA</t>
  </si>
  <si>
    <t>001!0611839922100</t>
  </si>
  <si>
    <t>VERBEN HYBRID MAGELENA PEACH</t>
  </si>
  <si>
    <t>001!0611864173050</t>
  </si>
  <si>
    <t>VERBEN IMAGINATION</t>
  </si>
  <si>
    <t>001!0611839929100</t>
  </si>
  <si>
    <t>VERBEN LANAI BLUE</t>
  </si>
  <si>
    <t>001!0611864174050</t>
  </si>
  <si>
    <t>VERBEN LANAI BLUE DENIM</t>
  </si>
  <si>
    <t>001!0611864175050</t>
  </si>
  <si>
    <t>VERBEN LANAI BLUE EYES</t>
  </si>
  <si>
    <t>001!0611864176050</t>
  </si>
  <si>
    <t>VERBEN LANAI BRIGHT EYE</t>
  </si>
  <si>
    <t>001!0611864177050</t>
  </si>
  <si>
    <t>VERBEN LANAI CANDY CANE</t>
  </si>
  <si>
    <t>001!0611864178050</t>
  </si>
  <si>
    <t>VERBEN LANAI COMP CANDY PINK</t>
  </si>
  <si>
    <t>001!0611864179050</t>
  </si>
  <si>
    <t>VERBEN LANAI COMP LIME GRN 23</t>
  </si>
  <si>
    <t>001!0611864180050</t>
  </si>
  <si>
    <t>VERBEN LANAI COMP RED</t>
  </si>
  <si>
    <t>001!0611864181050</t>
  </si>
  <si>
    <t>VERBEN LANAI COMP RED STAR</t>
  </si>
  <si>
    <t>001!0611864182050</t>
  </si>
  <si>
    <t>VERBEN LANAI COMP SCARLET</t>
  </si>
  <si>
    <t>001!0611864183050</t>
  </si>
  <si>
    <t>VERBEN LANAI COMP TWISTER PURP</t>
  </si>
  <si>
    <t>001!0611864184050</t>
  </si>
  <si>
    <t>VERBEN LANAI COMP VELVET EYE</t>
  </si>
  <si>
    <t>001!0611864185050</t>
  </si>
  <si>
    <t>VERBEN LANAI COMP VIOLET W/EYE</t>
  </si>
  <si>
    <t>001!0611864186050</t>
  </si>
  <si>
    <t>VERBEN LANAI COMP WHITE</t>
  </si>
  <si>
    <t>001!0611864187050</t>
  </si>
  <si>
    <t>VERBEN LANAI CYCLOPS PURPLE</t>
  </si>
  <si>
    <t>001!0611864188050</t>
  </si>
  <si>
    <t>VERBEN LANAI DEEP PINK</t>
  </si>
  <si>
    <t>001!0611864189050</t>
  </si>
  <si>
    <t>VERBEN LANAI DEEP PURPLE</t>
  </si>
  <si>
    <t>001!0611864190050</t>
  </si>
  <si>
    <t>VERBEN LANAI EARLY DARK RED</t>
  </si>
  <si>
    <t>001!0611864191050</t>
  </si>
  <si>
    <t>VERBEN LANAI GREEN APPLE</t>
  </si>
  <si>
    <t>001!0611864192050</t>
  </si>
  <si>
    <t>VERBEN LANAI LAVENDER STAR</t>
  </si>
  <si>
    <t>001!0611864193050</t>
  </si>
  <si>
    <t>VERBEN LANAI LILAC</t>
  </si>
  <si>
    <t>001!0611864194050</t>
  </si>
  <si>
    <t>VERBEN LANAI MAGENTA</t>
  </si>
  <si>
    <t>001!0611864195050</t>
  </si>
  <si>
    <t>VERBEN LANAI NEON ROSE</t>
  </si>
  <si>
    <t>001!0611864196050</t>
  </si>
  <si>
    <t>VERBEN LANAI PEACH</t>
  </si>
  <si>
    <t>001!0611864197050</t>
  </si>
  <si>
    <t>VERBEN LANAI PINK</t>
  </si>
  <si>
    <t>001!0611864198050</t>
  </si>
  <si>
    <t>VERBEN LANAI PREMIUM VINTAGE</t>
  </si>
  <si>
    <t>001!0611864199050</t>
  </si>
  <si>
    <t>VERBEN LANAI PURPLE</t>
  </si>
  <si>
    <t>001!0611864200050</t>
  </si>
  <si>
    <t>VERBEN LANAI PURPLE STAR</t>
  </si>
  <si>
    <t>001!0611864201050</t>
  </si>
  <si>
    <t>VERBEN LANAI RED</t>
  </si>
  <si>
    <t>001!0611864202050</t>
  </si>
  <si>
    <t>VERBEN LANAI RED STAR</t>
  </si>
  <si>
    <t>001!0611864203050</t>
  </si>
  <si>
    <t>VERBEN LANAI ROYAL PURP W/EYE</t>
  </si>
  <si>
    <t>001!0611864204050</t>
  </si>
  <si>
    <t>VERBEN LANAI SCARLET</t>
  </si>
  <si>
    <t>001!0611864205050</t>
  </si>
  <si>
    <t>VERBEN LANAI SCARLET W/EYE</t>
  </si>
  <si>
    <t>001!0611864206050</t>
  </si>
  <si>
    <t>VERBEN LANAI SKY BLUE 23</t>
  </si>
  <si>
    <t>001!0611864207050</t>
  </si>
  <si>
    <t>VERBEN LANAI STRAWBERRY</t>
  </si>
  <si>
    <t>001!0611864208050</t>
  </si>
  <si>
    <t>VERBEN LANAI STRAWBERRY LMTD</t>
  </si>
  <si>
    <t>001!0611864209050</t>
  </si>
  <si>
    <t>VERBEN LANAI TWSTR AMETHYST</t>
  </si>
  <si>
    <t>001!0611864210050</t>
  </si>
  <si>
    <t>VERBEN LANAI TWSTR BURGUNDY</t>
  </si>
  <si>
    <t>001!0611864211050</t>
  </si>
  <si>
    <t>VERBEN LANAI TWSTR HOT LIPS</t>
  </si>
  <si>
    <t>001!0611864212050</t>
  </si>
  <si>
    <t>VERBEN LANAI TWSTR PINK</t>
  </si>
  <si>
    <t>001!0611864213050</t>
  </si>
  <si>
    <t>VERBEN LANAI TWSTR PURPLE</t>
  </si>
  <si>
    <t>001!0611864214050</t>
  </si>
  <si>
    <t>VERBEN LANAI TWSTR RED</t>
  </si>
  <si>
    <t>001!0611864215050</t>
  </si>
  <si>
    <t>VERBEN LANAI TWSTR STR PURP 23</t>
  </si>
  <si>
    <t>001!0611864216050</t>
  </si>
  <si>
    <t>VERBEN LANAI UPRT BLUE W/EYE</t>
  </si>
  <si>
    <t>001!0611864217050</t>
  </si>
  <si>
    <t>VERBEN LANAI UPRT LIMONCELLO</t>
  </si>
  <si>
    <t>001!0611864218050</t>
  </si>
  <si>
    <t>VERBEN LANAI UPRT MERLOT W/EYE</t>
  </si>
  <si>
    <t>001!0611864219050</t>
  </si>
  <si>
    <t>VERBEN LANAI UPRT PEACH</t>
  </si>
  <si>
    <t>001!0611864220050</t>
  </si>
  <si>
    <t>VERBEN LANAI UPRT PINK W/EYE</t>
  </si>
  <si>
    <t>001!0611864221050</t>
  </si>
  <si>
    <t>VERBEN LANAI UPRT PURP MOSAIC</t>
  </si>
  <si>
    <t>001!0611864222050</t>
  </si>
  <si>
    <t>VERBEN LANAI UPRT PURP VLVT 23</t>
  </si>
  <si>
    <t>001!0611864223050</t>
  </si>
  <si>
    <t>VERBEN LANAI UPRT PURPLE 23</t>
  </si>
  <si>
    <t>001!0611864224050</t>
  </si>
  <si>
    <t>VERBEN LANAI UPRT PURPLE W/EYE</t>
  </si>
  <si>
    <t>001!0611864225050</t>
  </si>
  <si>
    <t>VERBEN LANAI UPRT RED W/EYE</t>
  </si>
  <si>
    <t>001!0611864226050</t>
  </si>
  <si>
    <t>VERBEN LANAI UPRT ROSE W/EYE</t>
  </si>
  <si>
    <t>001!0611864227050</t>
  </si>
  <si>
    <t>VERBEN LANAI UPRT SCARLET</t>
  </si>
  <si>
    <t>001!0611864228050</t>
  </si>
  <si>
    <t>VERBEN LANAI UPRT SKY BLUE</t>
  </si>
  <si>
    <t>001!0611864229050</t>
  </si>
  <si>
    <t>VERBEN LANAI UPRT TRUE BLUE</t>
  </si>
  <si>
    <t>001!0611864230050</t>
  </si>
  <si>
    <t>VERBEN LANAI UPRT TWSTR PURP</t>
  </si>
  <si>
    <t>001!0611864231050</t>
  </si>
  <si>
    <t>VERBEN LANAI UPRT TWSTR RED 20</t>
  </si>
  <si>
    <t>001!0611864232050</t>
  </si>
  <si>
    <t>VERBEN LANAI UPRT TWSTR RS 23</t>
  </si>
  <si>
    <t>001!0611864233050</t>
  </si>
  <si>
    <t>VERBEN LANAI UPRT TWSTR WTRCOL</t>
  </si>
  <si>
    <t>001!0611864234050</t>
  </si>
  <si>
    <t>VERBEN LANAI UPRT WHITE</t>
  </si>
  <si>
    <t>001!0611864235050</t>
  </si>
  <si>
    <t>VERBEN LANAI VINTAGE 23</t>
  </si>
  <si>
    <t>001!0611864236050</t>
  </si>
  <si>
    <t>VERBEN LANAI WHITE</t>
  </si>
  <si>
    <t>001!0611864237050</t>
  </si>
  <si>
    <t>VERBEN LEMON</t>
  </si>
  <si>
    <t>001!0611830672100</t>
  </si>
  <si>
    <t>001!0611830673025</t>
  </si>
  <si>
    <t>VERBEN LINDOLENA LAVENDER</t>
  </si>
  <si>
    <t>001!0611864238050</t>
  </si>
  <si>
    <t>VERBEN LINDOLENA RED</t>
  </si>
  <si>
    <t>001!0611864239050</t>
  </si>
  <si>
    <t>VERBEN LINDOLENA WHITE</t>
  </si>
  <si>
    <t>001!0611864240050</t>
  </si>
  <si>
    <t>VERBEN LITTLE ONE</t>
  </si>
  <si>
    <t>001!0611864241050</t>
  </si>
  <si>
    <t>VERBEN MAGELANA HOT ROSE</t>
  </si>
  <si>
    <t>001!0611864242050</t>
  </si>
  <si>
    <t>VERBEN MAGELANA LILAC</t>
  </si>
  <si>
    <t>001!0611864243050</t>
  </si>
  <si>
    <t>VERBEN MAGELANA LIPSTICK</t>
  </si>
  <si>
    <t>001!0611864244050</t>
  </si>
  <si>
    <t>VERBEN MAGELANA PLUM FROST</t>
  </si>
  <si>
    <t>001!0611864245050</t>
  </si>
  <si>
    <t>VERBEN MAGELANA VIOLET</t>
  </si>
  <si>
    <t>001!0611864246050</t>
  </si>
  <si>
    <t>VERBEN MERLOT MIX</t>
  </si>
  <si>
    <t>001!0611864247100</t>
  </si>
  <si>
    <t>VERBEN OBSESSION APRICOT</t>
  </si>
  <si>
    <t>001!0611839930100</t>
  </si>
  <si>
    <t>VERBEN OBSESSION BERRY TART MX</t>
  </si>
  <si>
    <t>001!0611839931100</t>
  </si>
  <si>
    <t>VERBEN OBSESSION BLUE/EYE</t>
  </si>
  <si>
    <t>001!0611839932100</t>
  </si>
  <si>
    <t>VERBEN OBSESSION BORDEAUX</t>
  </si>
  <si>
    <t>001!0611839933100</t>
  </si>
  <si>
    <t>VERBEN OBSESSION BURGUNDY/EYE</t>
  </si>
  <si>
    <t>001!0611839934100</t>
  </si>
  <si>
    <t>VERBEN OBSESSION CASC BURG/EYE</t>
  </si>
  <si>
    <t>001!0611839935100</t>
  </si>
  <si>
    <t>VERBEN OBSESSION CASC PK SHDS</t>
  </si>
  <si>
    <t>001!0611839936100</t>
  </si>
  <si>
    <t>VERBEN OBSESSION CASC RD W E</t>
  </si>
  <si>
    <t>001!0611839937100</t>
  </si>
  <si>
    <t>VERBEN OBSESSION CASCADE SCRLT</t>
  </si>
  <si>
    <t>001!0611839938100</t>
  </si>
  <si>
    <t>VERBEN OBSESSION CASCADE WHITE</t>
  </si>
  <si>
    <t>001!0611839939100</t>
  </si>
  <si>
    <t>VERBEN OBSESSION CORAL/EYE</t>
  </si>
  <si>
    <t>001!0611839940100</t>
  </si>
  <si>
    <t>VERBEN OBSESSION CRIMSON/EYE</t>
  </si>
  <si>
    <t>001!0611839941100</t>
  </si>
  <si>
    <t>VERBEN OBSESSION EYED MIX</t>
  </si>
  <si>
    <t>001!0611839943100</t>
  </si>
  <si>
    <t>VERBEN OBSESSION FORMULA MIX</t>
  </si>
  <si>
    <t>001!0611839944100</t>
  </si>
  <si>
    <t>VERBEN OBSESSION LAVENDER</t>
  </si>
  <si>
    <t>001!0611839945100</t>
  </si>
  <si>
    <t>VERBEN OBSESSION LIGHT BL/EYE</t>
  </si>
  <si>
    <t>001!0611839946100</t>
  </si>
  <si>
    <t>VERBEN OBSESSION LILAC</t>
  </si>
  <si>
    <t>001!0611839947100</t>
  </si>
  <si>
    <t>VERBEN OBSESSION MIX</t>
  </si>
  <si>
    <t>001!0611839948100</t>
  </si>
  <si>
    <t>VERBEN OBSESSION PASTEL MIX</t>
  </si>
  <si>
    <t>001!0611839949100</t>
  </si>
  <si>
    <t>VERBEN OBSESSION PINK</t>
  </si>
  <si>
    <t>001!0611839950100</t>
  </si>
  <si>
    <t>VERBEN OBSESSION PRP SHDS W/EY</t>
  </si>
  <si>
    <t>001!0611884492100</t>
  </si>
  <si>
    <t>VERBEN OBSESSION PURPLE</t>
  </si>
  <si>
    <t>001!0611839952100</t>
  </si>
  <si>
    <t>VERBEN OBSESSION RED</t>
  </si>
  <si>
    <t>001!0611839953100</t>
  </si>
  <si>
    <t>VERBEN OBSESSION RED/EYE</t>
  </si>
  <si>
    <t>001!0611839954100</t>
  </si>
  <si>
    <t>VERBEN OBSESSION SCARLET</t>
  </si>
  <si>
    <t>001!0611839955100</t>
  </si>
  <si>
    <t>VERBEN OBSESSION SPIRIT MIX</t>
  </si>
  <si>
    <t>001!0611839956100</t>
  </si>
  <si>
    <t>VERBEN OBSESSION TWISTER PPL</t>
  </si>
  <si>
    <t>001!0611839957100</t>
  </si>
  <si>
    <t>VERBEN OBSESSION TWISTER RED</t>
  </si>
  <si>
    <t>001!0611839958100</t>
  </si>
  <si>
    <t>VERBEN OBSESSION WHITE</t>
  </si>
  <si>
    <t>001!0611839959100</t>
  </si>
  <si>
    <t>VERBEN PEACHES/CREAM</t>
  </si>
  <si>
    <t>001!0611839960100</t>
  </si>
  <si>
    <t>VERBEN PINK GENERIC</t>
  </si>
  <si>
    <t>001!0611839961100</t>
  </si>
  <si>
    <t>VERBEN POLARIS</t>
  </si>
  <si>
    <t>001!0611857165100</t>
  </si>
  <si>
    <t>VERBEN PURPLE GENERIC</t>
  </si>
  <si>
    <t>001!0611839962100</t>
  </si>
  <si>
    <t>VERBEN QUARTZ BLUE</t>
  </si>
  <si>
    <t>001!0611839963100</t>
  </si>
  <si>
    <t>VERBEN QUARTZ BORDEAUX XP</t>
  </si>
  <si>
    <t>001!0611839964100</t>
  </si>
  <si>
    <t>VERBEN QUARTZ BURGUNDY EYE XP</t>
  </si>
  <si>
    <t>001!0611839965100</t>
  </si>
  <si>
    <t>VERBEN QUARTZ BURGUNDY XP</t>
  </si>
  <si>
    <t>001!0611839966100</t>
  </si>
  <si>
    <t>VERBEN QUARTZ MERLOT MIX</t>
  </si>
  <si>
    <t>001!0611839967100</t>
  </si>
  <si>
    <t>VERBEN QUARTZ MIX XP</t>
  </si>
  <si>
    <t>001!0611839968100</t>
  </si>
  <si>
    <t>VERBEN QUARTZ PINK XP</t>
  </si>
  <si>
    <t>001!0611839970100</t>
  </si>
  <si>
    <t>VERBEN QUARTZ PURPLE XP</t>
  </si>
  <si>
    <t>001!0611839971100</t>
  </si>
  <si>
    <t>VERBEN QUARTZ RED EYE XP</t>
  </si>
  <si>
    <t>001!0611839972100</t>
  </si>
  <si>
    <t>VERBEN QUARTZ SCARLET XP</t>
  </si>
  <si>
    <t>001!0611839974100</t>
  </si>
  <si>
    <t>VERBEN QUARTZ SILVER XP</t>
  </si>
  <si>
    <t>001!0611839975100</t>
  </si>
  <si>
    <t>VERBEN QUARTZ VIOLET EYE XP</t>
  </si>
  <si>
    <t>001!0611839976100</t>
  </si>
  <si>
    <t>VERBEN QUARTZ WATERFALL MIX XP</t>
  </si>
  <si>
    <t>001!0611839977100</t>
  </si>
  <si>
    <t>VERBEN QUARTZ WHITE XP</t>
  </si>
  <si>
    <t>001!0611839978100</t>
  </si>
  <si>
    <t>VERBEN RED GENERIC</t>
  </si>
  <si>
    <t>001!0611839979100</t>
  </si>
  <si>
    <t>VERBEN ROYAL CHARME</t>
  </si>
  <si>
    <t>001!0611864248050</t>
  </si>
  <si>
    <t>VERBEN SANTOS RIGIDA</t>
  </si>
  <si>
    <t>001!0611839980100</t>
  </si>
  <si>
    <t>VERBEN SERENITY MIX</t>
  </si>
  <si>
    <t>001!0611839981100</t>
  </si>
  <si>
    <t>VERBEN TIARA MICKEY SERIES</t>
  </si>
  <si>
    <t>001!0611839982100</t>
  </si>
  <si>
    <t>VERBEN TRAILING GENERIC</t>
  </si>
  <si>
    <t>001!0611839983100</t>
  </si>
  <si>
    <t>VERBEN TRAILING PINK GENERIC</t>
  </si>
  <si>
    <t>001!0611839984100</t>
  </si>
  <si>
    <t>VERBEN TRAILING PURPLE GENERIC</t>
  </si>
  <si>
    <t>001!0611839985100</t>
  </si>
  <si>
    <t>VERBEN TRAILING RED GENERIC</t>
  </si>
  <si>
    <t>001!0611839986100</t>
  </si>
  <si>
    <t>VERBEN TUSCANY BLUE</t>
  </si>
  <si>
    <t>001!0611839988100</t>
  </si>
  <si>
    <t>VERBEN TUSCANY BURGUNDY/EYE</t>
  </si>
  <si>
    <t>001!0611839989100</t>
  </si>
  <si>
    <t>VERBEN TUSCANY LAV PICOTEE</t>
  </si>
  <si>
    <t>001!0611839990100</t>
  </si>
  <si>
    <t>VERBEN TUSCANY MIX</t>
  </si>
  <si>
    <t>001!0611839991100</t>
  </si>
  <si>
    <t>VERBEN TUSCANY ORCHID FROST</t>
  </si>
  <si>
    <t>001!0611839992100</t>
  </si>
  <si>
    <t>VERBEN TUSCANY PASTEL MIX</t>
  </si>
  <si>
    <t>001!0611839993100</t>
  </si>
  <si>
    <t>VERBEN TUSCANY PEACH</t>
  </si>
  <si>
    <t>001!0611839994100</t>
  </si>
  <si>
    <t>VERBEN TUSCANY ROSE/EYE</t>
  </si>
  <si>
    <t>001!0611839996100</t>
  </si>
  <si>
    <t>VERBEN TUSCANY SCARLET</t>
  </si>
  <si>
    <t>001!0611839997100</t>
  </si>
  <si>
    <t>VERBEN TUSCANY SCARLET/EYE</t>
  </si>
  <si>
    <t>001!0611839998100</t>
  </si>
  <si>
    <t>VERBEN TUSCANY TWISTER PPL SHD</t>
  </si>
  <si>
    <t>001!0611839999100</t>
  </si>
  <si>
    <t>VERBEN TUSCANY WHITE</t>
  </si>
  <si>
    <t>001!0611840000100</t>
  </si>
  <si>
    <t>VERBEN VANESSA DEEP PINK</t>
  </si>
  <si>
    <t>001!0611840001100</t>
  </si>
  <si>
    <t>VERBEN VANESSA SERIES</t>
  </si>
  <si>
    <t>001!0611840002100</t>
  </si>
  <si>
    <t>VERBEN VANITY</t>
  </si>
  <si>
    <t>001!0611857166100</t>
  </si>
  <si>
    <t>VERBEN VEPITA AMETHYST KISS</t>
  </si>
  <si>
    <t>001!0611840003100</t>
  </si>
  <si>
    <t>VERBEN VEPITA LILAC EYE</t>
  </si>
  <si>
    <t>001!0611840011100</t>
  </si>
  <si>
    <t>VERBEN VEPITA PINK KISS</t>
  </si>
  <si>
    <t>001!0611840014100</t>
  </si>
  <si>
    <t>VERBEN VEPITA SERIES</t>
  </si>
  <si>
    <t>001!0611840016100</t>
  </si>
  <si>
    <t>VERBEN VERBENA GENERIC</t>
  </si>
  <si>
    <t>001!0611840019100</t>
  </si>
  <si>
    <t>001!0611840020025</t>
  </si>
  <si>
    <t>VERBEN VIVID SERIES</t>
  </si>
  <si>
    <t>001!0611884493100</t>
  </si>
  <si>
    <t>VERBEN VOODOO BURGUNDY STAR</t>
  </si>
  <si>
    <t>001!0611864249050</t>
  </si>
  <si>
    <t>VERBEN VOODOO CANDY STAR</t>
  </si>
  <si>
    <t>001!0611864250050</t>
  </si>
  <si>
    <t>VERBEN VOODOO SALMON STAR</t>
  </si>
  <si>
    <t>001!0611864251050</t>
  </si>
  <si>
    <t>VERBEN VOODOO SERIES</t>
  </si>
  <si>
    <t>001!0611840021100</t>
  </si>
  <si>
    <t>VERBEN WHITE GENERIC</t>
  </si>
  <si>
    <t>001!0611840022100</t>
  </si>
  <si>
    <t>VERBEN WICKED BEAUTY BURGUNDY</t>
  </si>
  <si>
    <t>001!0611864252050</t>
  </si>
  <si>
    <t>VERBEN WICKED COOL BLUE</t>
  </si>
  <si>
    <t>001!0611864253050</t>
  </si>
  <si>
    <t>VERBEN WICKED COOL PURPLE</t>
  </si>
  <si>
    <t>001!0611864254050</t>
  </si>
  <si>
    <t>VERBEN WICKED GREAT GRAPE</t>
  </si>
  <si>
    <t>001!0611864255050</t>
  </si>
  <si>
    <t>VERBEN WICKED HOT PINK</t>
  </si>
  <si>
    <t>001!0611864256050</t>
  </si>
  <si>
    <t>VERBEN WICKED HOT RED</t>
  </si>
  <si>
    <t>001!0611884494050</t>
  </si>
  <si>
    <t>VERBEN WICKED MAD MAGENTA</t>
  </si>
  <si>
    <t>001!0611864257050</t>
  </si>
  <si>
    <t>VERBEN WICKED PINK PEPPER</t>
  </si>
  <si>
    <t>001!0611864258050</t>
  </si>
  <si>
    <t>VERBEN WICKED PURPLE</t>
  </si>
  <si>
    <t>001!0611864259050</t>
  </si>
  <si>
    <t>VERBEN WICKED RAD RED</t>
  </si>
  <si>
    <t>001!0611864260050</t>
  </si>
  <si>
    <t>VERBEN WINE N CHEESE MX</t>
  </si>
  <si>
    <t>001!0611840023100</t>
  </si>
  <si>
    <t>VERONI BABY BLOOMER BLUE</t>
  </si>
  <si>
    <t>001!0611864261100</t>
  </si>
  <si>
    <t>VERONI BLUE BOUQUET SPICATA</t>
  </si>
  <si>
    <t>001!0611840024100</t>
  </si>
  <si>
    <t>VERONI BLUE CARPET</t>
  </si>
  <si>
    <t>001!0611840026100</t>
  </si>
  <si>
    <t>VERONI BLUE SPICATA</t>
  </si>
  <si>
    <t>001!0611840027025</t>
  </si>
  <si>
    <t>VERONI BUBBLEGUM CANDLES</t>
  </si>
  <si>
    <t>001!0611864262100</t>
  </si>
  <si>
    <t>VERONI CRATER LAKE BL</t>
  </si>
  <si>
    <t>001!0611840029100</t>
  </si>
  <si>
    <t>VERONI EVELINE LONGIFOLIA</t>
  </si>
  <si>
    <t>001!0611840030025</t>
  </si>
  <si>
    <t>VERONI FIRST BRIDE</t>
  </si>
  <si>
    <t>001!0611857167025</t>
  </si>
  <si>
    <t>VERONI FIRST BRIDE LMTD</t>
  </si>
  <si>
    <t>001!0611864263100</t>
  </si>
  <si>
    <t>001!0611864264050</t>
  </si>
  <si>
    <t>VERONI FIRST CHOICE LMTD</t>
  </si>
  <si>
    <t>001!0611864265100</t>
  </si>
  <si>
    <t>001!0611864266050</t>
  </si>
  <si>
    <t>VERONI FIRST GLORY LMTD</t>
  </si>
  <si>
    <t>001!0611864267100</t>
  </si>
  <si>
    <t>001!0611864268050</t>
  </si>
  <si>
    <t>VERONI FIRST GLORY LONGIFOLIA</t>
  </si>
  <si>
    <t>001!0611840031025</t>
  </si>
  <si>
    <t>VERONI FIRST KISS LMTD</t>
  </si>
  <si>
    <t>001!0611864269100</t>
  </si>
  <si>
    <t>001!0611864270050</t>
  </si>
  <si>
    <t>VERONI FIRST KISS LONGIFOLIA</t>
  </si>
  <si>
    <t>001!0611857168025</t>
  </si>
  <si>
    <t>VERONI FIRST LADY LMTD</t>
  </si>
  <si>
    <t>001!0611864271100</t>
  </si>
  <si>
    <t>001!0611864272050</t>
  </si>
  <si>
    <t>VERONI FIRST LADY LONGIFOLIA</t>
  </si>
  <si>
    <t>001!0611840032025</t>
  </si>
  <si>
    <t>VERONI FIRST LOVE LMTD</t>
  </si>
  <si>
    <t>001!0611864273100</t>
  </si>
  <si>
    <t>001!0611864274050</t>
  </si>
  <si>
    <t>VERONI FIRST LOVE LONGIFOLIA</t>
  </si>
  <si>
    <t>001!0611840033025</t>
  </si>
  <si>
    <t>VERONI FIRST MATCH LMTD</t>
  </si>
  <si>
    <t>001!0611864275100</t>
  </si>
  <si>
    <t>001!0611864276050</t>
  </si>
  <si>
    <t>VERONI FIRST MEMORY</t>
  </si>
  <si>
    <t>001!0611857169025</t>
  </si>
  <si>
    <t>VERONI FIRST MEMORY LMTD</t>
  </si>
  <si>
    <t>001!0611864277100</t>
  </si>
  <si>
    <t>001!0611864278050</t>
  </si>
  <si>
    <t>VERONI FOREVER BLUE LONGIFOLIA</t>
  </si>
  <si>
    <t>001!0611840034025</t>
  </si>
  <si>
    <t>VERONI GEORGIA BLUE</t>
  </si>
  <si>
    <t>001!0611840035100</t>
  </si>
  <si>
    <t>001!0611840036025</t>
  </si>
  <si>
    <t>001!0611864279050</t>
  </si>
  <si>
    <t>VERONI GILES VAN HEES</t>
  </si>
  <si>
    <t>001!0611864280100</t>
  </si>
  <si>
    <t>VERONI GILES VAN HEES LMTD</t>
  </si>
  <si>
    <t>001!0611864281050</t>
  </si>
  <si>
    <t>VERONI GILES VAN HEES SPICATA</t>
  </si>
  <si>
    <t>001!0611840037025</t>
  </si>
  <si>
    <t>VERONI MOODY BLUES BLUE SKY</t>
  </si>
  <si>
    <t>001!0611840039025</t>
  </si>
  <si>
    <t>VERONI MOODY BLUES DARK BLUE</t>
  </si>
  <si>
    <t>001!0611840040025</t>
  </si>
  <si>
    <t>001!0611864282050</t>
  </si>
  <si>
    <t>VERONI MOODY BLUES DARK PINK</t>
  </si>
  <si>
    <t>001!0611840041025</t>
  </si>
  <si>
    <t>VERONI MOODY BLUES MAUVE</t>
  </si>
  <si>
    <t>001!0611840042025</t>
  </si>
  <si>
    <t>VERONI MOODY BLUES PINK</t>
  </si>
  <si>
    <t>001!0611840043025</t>
  </si>
  <si>
    <t>VERONI MOODY BLUES WHITE</t>
  </si>
  <si>
    <t>001!0611840044025</t>
  </si>
  <si>
    <t>VERONI PURPLE LEIA</t>
  </si>
  <si>
    <t>001!0611840045025</t>
  </si>
  <si>
    <t>VERONI PURPLEICIOUS</t>
  </si>
  <si>
    <t>001!0611840046025</t>
  </si>
  <si>
    <t>VERONI RED FOX LMTD</t>
  </si>
  <si>
    <t>001!0611864283100</t>
  </si>
  <si>
    <t>001!0611864284050</t>
  </si>
  <si>
    <t>VERONI RED FOX SPICATA</t>
  </si>
  <si>
    <t>001!0611840047100</t>
  </si>
  <si>
    <t>001!0611840048025</t>
  </si>
  <si>
    <t>VERONI REPENS</t>
  </si>
  <si>
    <t>001!0611840049025</t>
  </si>
  <si>
    <t>VERONI RONICA BLUE</t>
  </si>
  <si>
    <t>001!0611840050025</t>
  </si>
  <si>
    <t>VERONI RONICA FUCHSIA</t>
  </si>
  <si>
    <t>001!0611840051025</t>
  </si>
  <si>
    <t>VERONI ROYAL BLUE AUSTRIACA</t>
  </si>
  <si>
    <t>001!0611840052025</t>
  </si>
  <si>
    <t>VERONI ROYAL CANDLES</t>
  </si>
  <si>
    <t>001!0611840053025</t>
  </si>
  <si>
    <t>001!0611864285100</t>
  </si>
  <si>
    <t>VERONI SKYWARD BLUE</t>
  </si>
  <si>
    <t>001!0611857170025</t>
  </si>
  <si>
    <t>VERONI SKYWARD PINK</t>
  </si>
  <si>
    <t>001!0611857171025</t>
  </si>
  <si>
    <t>VERONI SNOW CANDLES</t>
  </si>
  <si>
    <t>001!0611864286100</t>
  </si>
  <si>
    <t>VERONI SUNNY BORDER BLUE</t>
  </si>
  <si>
    <t>001!0611840054025</t>
  </si>
  <si>
    <t>001!0611864287050</t>
  </si>
  <si>
    <t>VERONI TIDAL POOL</t>
  </si>
  <si>
    <t>001!0611864288050</t>
  </si>
  <si>
    <t>VERONI VENICE BLUE AUSTRIACA</t>
  </si>
  <si>
    <t>001!0611840058025</t>
  </si>
  <si>
    <t>VERONI VERNIQUE BL LONGIFOLIA</t>
  </si>
  <si>
    <t>001!0611840059025</t>
  </si>
  <si>
    <t>VERONI VERNIQUE DK BL</t>
  </si>
  <si>
    <t>001!0611840060025</t>
  </si>
  <si>
    <t>VERONI VERNIQUE PK LONGIFOLIA</t>
  </si>
  <si>
    <t>001!0611840061025</t>
  </si>
  <si>
    <t>VERONI VERNIQUE RASPBERRY</t>
  </si>
  <si>
    <t>001!0611840062025</t>
  </si>
  <si>
    <t>VERONI VERNIQUE RS LONGIFOLIA</t>
  </si>
  <si>
    <t>001!0611840063025</t>
  </si>
  <si>
    <t>VERONI VERNIQUE SHINING SEA</t>
  </si>
  <si>
    <t>001!0611840064025</t>
  </si>
  <si>
    <t>VERONI VERNIQUE WH LONGIFOLIA</t>
  </si>
  <si>
    <t>001!0611840065025</t>
  </si>
  <si>
    <t>VERONI VERONICA GENERIC</t>
  </si>
  <si>
    <t>001!0611840066025</t>
  </si>
  <si>
    <t>VERONI WATERPERRY</t>
  </si>
  <si>
    <t>001!0611840067025</t>
  </si>
  <si>
    <t>VERONI WHITEWATER PEDUNCULARIS</t>
  </si>
  <si>
    <t>001!0611840068025</t>
  </si>
  <si>
    <t>VINCA ALBA</t>
  </si>
  <si>
    <t>001!0611840069025</t>
  </si>
  <si>
    <t>001!0611864289100</t>
  </si>
  <si>
    <t>VINCA ATROPURPUREA</t>
  </si>
  <si>
    <t>001!0611840071025</t>
  </si>
  <si>
    <t>001!0611864290100</t>
  </si>
  <si>
    <t>VINCA ATROPURPUREA LMTD</t>
  </si>
  <si>
    <t>001!0611864291050</t>
  </si>
  <si>
    <t>VINCA BLOCKBUSTER APRICOT</t>
  </si>
  <si>
    <t>001!0611832591100</t>
  </si>
  <si>
    <t>VINCA BLOCKBUSTER BLUE</t>
  </si>
  <si>
    <t>001!0611857172100</t>
  </si>
  <si>
    <t>VINCA BLOCKBUSTER BURGUNDY</t>
  </si>
  <si>
    <t>001!0611832592100</t>
  </si>
  <si>
    <t>VINCA BLOCKBUSTER CRIMSON</t>
  </si>
  <si>
    <t>001!0611832593100</t>
  </si>
  <si>
    <t>VINCA BLOCKBUSTER DARK RED</t>
  </si>
  <si>
    <t>001!0611832594100</t>
  </si>
  <si>
    <t>VINCA BLOCKBUSTER ICY WTERMLN</t>
  </si>
  <si>
    <t>001!0611832590100</t>
  </si>
  <si>
    <t>VINCA BLOCKBUSTER MIX</t>
  </si>
  <si>
    <t>001!0611832595100</t>
  </si>
  <si>
    <t>VINCA BLOCKBUSTER PEPPERMINT</t>
  </si>
  <si>
    <t>001!0611832596100</t>
  </si>
  <si>
    <t>VINCA BLOCKBUSTER PUNCH</t>
  </si>
  <si>
    <t>001!0611832597100</t>
  </si>
  <si>
    <t>VINCA BLOCKBUSTER PURPLE</t>
  </si>
  <si>
    <t>001!0611832598100</t>
  </si>
  <si>
    <t>VINCA BLOCKBUSTER RED W/EYE</t>
  </si>
  <si>
    <t>001!0611832599100</t>
  </si>
  <si>
    <t>VINCA BLOCKBUSTER WHITE</t>
  </si>
  <si>
    <t>001!0611832600100</t>
  </si>
  <si>
    <t>VINCA BOWLES</t>
  </si>
  <si>
    <t>001!0611840072100</t>
  </si>
  <si>
    <t>VINCA BOWLES CUNNINGHAM</t>
  </si>
  <si>
    <t>001!0611840073025</t>
  </si>
  <si>
    <t>001!0611864292100</t>
  </si>
  <si>
    <t>VINCA BOWLES CUNNINGHAM LMTD</t>
  </si>
  <si>
    <t>001!0611864293050</t>
  </si>
  <si>
    <t>VINCA BOWLES VARIETY</t>
  </si>
  <si>
    <t>001!0611840074025</t>
  </si>
  <si>
    <t>VINCA COBRA APRICOT</t>
  </si>
  <si>
    <t>001!0611832601100</t>
  </si>
  <si>
    <t>VINCA COOLER APRICOT</t>
  </si>
  <si>
    <t>001!0611832611100</t>
  </si>
  <si>
    <t>VINCA COOLER DEEP ORCHID</t>
  </si>
  <si>
    <t>001!0611832614100</t>
  </si>
  <si>
    <t>VINCA COOLER GRAPE</t>
  </si>
  <si>
    <t>001!0611832615100</t>
  </si>
  <si>
    <t>VINCA COOLER MIX</t>
  </si>
  <si>
    <t>001!0611832617100</t>
  </si>
  <si>
    <t>VINCA COOLER PEPPERMINT</t>
  </si>
  <si>
    <t>001!0611832618100</t>
  </si>
  <si>
    <t>VINCA COOLER RASPBERRY RED</t>
  </si>
  <si>
    <t>001!0611832620100</t>
  </si>
  <si>
    <t>VINCA COOLER RED</t>
  </si>
  <si>
    <t>001!0611832621100</t>
  </si>
  <si>
    <t>VINCA CORA APRICOT</t>
  </si>
  <si>
    <t>001!0611832624100</t>
  </si>
  <si>
    <t>VINCA CORA BURGUNDY</t>
  </si>
  <si>
    <t>001!0611832625100</t>
  </si>
  <si>
    <t>VINCA CORA CASCADE APRICOT</t>
  </si>
  <si>
    <t>001!0611832627100</t>
  </si>
  <si>
    <t>VINCA CORA CASCADE BRIGHT RS</t>
  </si>
  <si>
    <t>001!0611832628100</t>
  </si>
  <si>
    <t>VINCA CORA CASCADE CHERRY</t>
  </si>
  <si>
    <t>001!0611832629100</t>
  </si>
  <si>
    <t>VINCA CORA CASCADE LAV/EYE</t>
  </si>
  <si>
    <t>001!0611832630100</t>
  </si>
  <si>
    <t>VINCA CORA CASCADE LILAC</t>
  </si>
  <si>
    <t>001!0611832631100</t>
  </si>
  <si>
    <t>VINCA CORA CASCADE MAGENTA</t>
  </si>
  <si>
    <t>001!0611832632100</t>
  </si>
  <si>
    <t>VINCA CORA CASCADE MIX</t>
  </si>
  <si>
    <t>001!0611832633100</t>
  </si>
  <si>
    <t>VINCA CORA CASCADE PCH BLSH</t>
  </si>
  <si>
    <t>001!0611832626100</t>
  </si>
  <si>
    <t>VINCA CORA CASCADE POLKA DOT</t>
  </si>
  <si>
    <t>001!0611832634100</t>
  </si>
  <si>
    <t>VINCA CORA CASCADE SERIES</t>
  </si>
  <si>
    <t>001!0611832635100</t>
  </si>
  <si>
    <t>VINCA CORA CASCADE SHELL PINK</t>
  </si>
  <si>
    <t>001!0611832636100</t>
  </si>
  <si>
    <t>VINCA CORA CASCADE STRAWBERRY</t>
  </si>
  <si>
    <t>001!0611832637100</t>
  </si>
  <si>
    <t>VINCA CORA CASCADE VIOLET</t>
  </si>
  <si>
    <t>001!0611832638100</t>
  </si>
  <si>
    <t>VINCA CORA CASCADE WHITE</t>
  </si>
  <si>
    <t>001!0611832639100</t>
  </si>
  <si>
    <t>VINCA CORA CASCADE XDR PUNCH</t>
  </si>
  <si>
    <t>001!0611857173100</t>
  </si>
  <si>
    <t>VINCA CORA CASCADE XDR WHITE</t>
  </si>
  <si>
    <t>001!0611857174100</t>
  </si>
  <si>
    <t>VINCA CORA DEEP LAVENDER</t>
  </si>
  <si>
    <t>001!0611832640100</t>
  </si>
  <si>
    <t>VINCA CORA LAVENDER</t>
  </si>
  <si>
    <t>001!0611832641100</t>
  </si>
  <si>
    <t>VINCA CORA MIX</t>
  </si>
  <si>
    <t>001!0611832642100</t>
  </si>
  <si>
    <t>VINCA CORA PINK</t>
  </si>
  <si>
    <t>001!0611832643100</t>
  </si>
  <si>
    <t>VINCA CORA PUNCH</t>
  </si>
  <si>
    <t>001!0611832644100</t>
  </si>
  <si>
    <t>VINCA CORA RED CLASSIC</t>
  </si>
  <si>
    <t>001!0611832645100</t>
  </si>
  <si>
    <t>VINCA CORA SERIES</t>
  </si>
  <si>
    <t>001!0611832646100</t>
  </si>
  <si>
    <t>VINCA CORA STRAWBERRY</t>
  </si>
  <si>
    <t>001!0611832647100</t>
  </si>
  <si>
    <t>VINCA CORA VIOLET</t>
  </si>
  <si>
    <t>001!0611832648100</t>
  </si>
  <si>
    <t>VINCA CORA WHITE</t>
  </si>
  <si>
    <t>001!0611832649100</t>
  </si>
  <si>
    <t>VINCA CORA XDR APRICOT</t>
  </si>
  <si>
    <t>001!0611832650100</t>
  </si>
  <si>
    <t>VINCA CORA XDR CRANBERRY</t>
  </si>
  <si>
    <t>001!0611832651100</t>
  </si>
  <si>
    <t>VINCA CORA XDR DP STRAWBERRY</t>
  </si>
  <si>
    <t>001!0611832652100</t>
  </si>
  <si>
    <t>VINCA CORA XDR HALO MAGENTA</t>
  </si>
  <si>
    <t>001!0611832653100</t>
  </si>
  <si>
    <t>VINCA CORA XDR HALO PINK</t>
  </si>
  <si>
    <t>001!0611832654100</t>
  </si>
  <si>
    <t>VINCA CORA XDR HOTGENTA</t>
  </si>
  <si>
    <t>001!0611832655100</t>
  </si>
  <si>
    <t>VINCA CORA XDR LIGHT PINK</t>
  </si>
  <si>
    <t>001!0611832656100</t>
  </si>
  <si>
    <t>VINCA CORA XDR MIX</t>
  </si>
  <si>
    <t>001!0611832657100</t>
  </si>
  <si>
    <t>VINCA CORA XDR ORCHID</t>
  </si>
  <si>
    <t>001!0611832658100</t>
  </si>
  <si>
    <t>VINCA CORA XDR POLKA DOT</t>
  </si>
  <si>
    <t>001!0611832659100</t>
  </si>
  <si>
    <t>VINCA CORA XDR PUNCH</t>
  </si>
  <si>
    <t>001!0611832660100</t>
  </si>
  <si>
    <t>VINCA CORA XDR ROSE PUNCH</t>
  </si>
  <si>
    <t>001!0611884495100</t>
  </si>
  <si>
    <t>VINCA CORA XDR WHITE</t>
  </si>
  <si>
    <t>001!0611832661100</t>
  </si>
  <si>
    <t>VINCA EXPOFLORA</t>
  </si>
  <si>
    <t>001!0611840075100</t>
  </si>
  <si>
    <t>VINCA GENERIC</t>
  </si>
  <si>
    <t>001!0611832786100</t>
  </si>
  <si>
    <t>001!0611832787025</t>
  </si>
  <si>
    <t>VINCA GENERIC BINGUAL DESIGN</t>
  </si>
  <si>
    <t>001!0611832788100</t>
  </si>
  <si>
    <t>VINCA GERTRUDE JEKYLL</t>
  </si>
  <si>
    <t>001!0611864294100</t>
  </si>
  <si>
    <t>VINCA GREEN</t>
  </si>
  <si>
    <t>001!0611840076100</t>
  </si>
  <si>
    <t>VINCA HEATWAVE GRAPE</t>
  </si>
  <si>
    <t>001!0611832668100</t>
  </si>
  <si>
    <t>VINCA HIGH COLOR</t>
  </si>
  <si>
    <t>001!0611840077100</t>
  </si>
  <si>
    <t>001!0611864295050</t>
  </si>
  <si>
    <t>VINCA ILLUMINATION</t>
  </si>
  <si>
    <t>001!0611840078100</t>
  </si>
  <si>
    <t>001!0611840079025</t>
  </si>
  <si>
    <t>VINCA ILLUMINATION CN5425</t>
  </si>
  <si>
    <t>001!0611864296100</t>
  </si>
  <si>
    <t>VINCA JAMS N JELLIE AMR PE MX</t>
  </si>
  <si>
    <t>001!0611832669100</t>
  </si>
  <si>
    <t>VINCA JAMS N JELLIES BKBRY</t>
  </si>
  <si>
    <t>001!0611832670100</t>
  </si>
  <si>
    <t>VINCA JAMS N JELLIES BLBERRY</t>
  </si>
  <si>
    <t>001!0611832671100</t>
  </si>
  <si>
    <t>VINCA MACULATA</t>
  </si>
  <si>
    <t>001!0611840080100</t>
  </si>
  <si>
    <t>001!0611864297050</t>
  </si>
  <si>
    <t>VINCA MAJOR GREEN</t>
  </si>
  <si>
    <t>001!0611864298050</t>
  </si>
  <si>
    <t>VINCA MEDITERRANEAN APRC BRDE</t>
  </si>
  <si>
    <t>001!0611832672100</t>
  </si>
  <si>
    <t>VINCA MEDITERRANEAN BUR HL XP</t>
  </si>
  <si>
    <t>001!0611832673100</t>
  </si>
  <si>
    <t>VINCA MEDITERRANEAN DK RD XP</t>
  </si>
  <si>
    <t>001!0611832676100</t>
  </si>
  <si>
    <t>VINCA MEDITERRANEAN DP ORCHID</t>
  </si>
  <si>
    <t>001!0611832677100</t>
  </si>
  <si>
    <t>VINCA MEDITERRANEAN DP ROSE</t>
  </si>
  <si>
    <t>001!0611832675100</t>
  </si>
  <si>
    <t>VINCA MEDITERRANEAN HOT RS XP</t>
  </si>
  <si>
    <t>001!0611832678100</t>
  </si>
  <si>
    <t>VINCA MEDITERRANEAN LILAC</t>
  </si>
  <si>
    <t>001!0611832679100</t>
  </si>
  <si>
    <t>VINCA MEDITERRANEAN LIPST XP</t>
  </si>
  <si>
    <t>001!0611832688100</t>
  </si>
  <si>
    <t>VINCA MEDITERRANEAN MIX XP</t>
  </si>
  <si>
    <t>001!0611832680100</t>
  </si>
  <si>
    <t>VINCA MEDITERRANEAN PEACH XP</t>
  </si>
  <si>
    <t>001!0611832681100</t>
  </si>
  <si>
    <t>VINCA MEDITERRANEAN POLKA DOT</t>
  </si>
  <si>
    <t>001!0611832682100</t>
  </si>
  <si>
    <t>VINCA MEDITERRANEAN RED XP</t>
  </si>
  <si>
    <t>001!0611832683100</t>
  </si>
  <si>
    <t>VINCA MEDITERRANEAN ROSE XP</t>
  </si>
  <si>
    <t>001!0611832684100</t>
  </si>
  <si>
    <t>VINCA MEDITERRANEAN RS HL XP</t>
  </si>
  <si>
    <t>001!0611832674100</t>
  </si>
  <si>
    <t>VINCA MEDITERRANEAN STRWBR</t>
  </si>
  <si>
    <t>001!0611832685100</t>
  </si>
  <si>
    <t>VINCA MEDITERRANEAN STRWBR XP</t>
  </si>
  <si>
    <t>001!0611832686100</t>
  </si>
  <si>
    <t>VINCA MEDITERRANEAN WHITE XP</t>
  </si>
  <si>
    <t>001!0611832687100</t>
  </si>
  <si>
    <t>VINCA MEGA BLOOM ORCHID HALO</t>
  </si>
  <si>
    <t>001!0611832689100</t>
  </si>
  <si>
    <t>VINCA MEGA BLOOM PINK HALO</t>
  </si>
  <si>
    <t>001!0611832690100</t>
  </si>
  <si>
    <t>VINCA MEGA BLOOM POLKA DOT</t>
  </si>
  <si>
    <t>001!0611832691100</t>
  </si>
  <si>
    <t>VINCA MEGA BLOOM SERIES</t>
  </si>
  <si>
    <t>001!0611832692100</t>
  </si>
  <si>
    <t>VINCA MINOR MYRTLE</t>
  </si>
  <si>
    <t>001!0611864299050</t>
  </si>
  <si>
    <t>VINCA MYRTLE GENERIC</t>
  </si>
  <si>
    <t>001!0611840081100</t>
  </si>
  <si>
    <t>001!0611840082025</t>
  </si>
  <si>
    <t>VINCA NIERVANA CASC PK SPLASH</t>
  </si>
  <si>
    <t>001!0611861096050</t>
  </si>
  <si>
    <t>VINCA PACIFICA APRICOT XP</t>
  </si>
  <si>
    <t>001!0611832693100</t>
  </si>
  <si>
    <t>VINCA PACIFICA BLUSH XP</t>
  </si>
  <si>
    <t>001!0611832694100</t>
  </si>
  <si>
    <t>VINCA PACIFICA BOLD MIX XP</t>
  </si>
  <si>
    <t>001!0611832695100</t>
  </si>
  <si>
    <t>VINCA PACIFICA BURG HALO XP</t>
  </si>
  <si>
    <t>001!0611832696100</t>
  </si>
  <si>
    <t>VINCA PACIFICA BURGUNDY XP</t>
  </si>
  <si>
    <t>001!0611832697100</t>
  </si>
  <si>
    <t>VINCA PACIFICA CHERRY HALO</t>
  </si>
  <si>
    <t>001!0611832698100</t>
  </si>
  <si>
    <t>VINCA PACIFICA CHRY RD HL XP</t>
  </si>
  <si>
    <t>001!0611832723100</t>
  </si>
  <si>
    <t>VINCA PACIFICA CRANBERRY XP</t>
  </si>
  <si>
    <t>001!0611832701100</t>
  </si>
  <si>
    <t>VINCA PACIFICA DARK RED XP</t>
  </si>
  <si>
    <t>001!0611832702100</t>
  </si>
  <si>
    <t>VINCA PACIFICA DEEP ORCHID XP</t>
  </si>
  <si>
    <t>001!0611832703100</t>
  </si>
  <si>
    <t>VINCA PACIFICA HALO MIX XP</t>
  </si>
  <si>
    <t>001!0611832704100</t>
  </si>
  <si>
    <t>VINCA PACIFICA ICY PINK XP</t>
  </si>
  <si>
    <t>001!0611832705100</t>
  </si>
  <si>
    <t>VINCA PACIFICA LILAC XP</t>
  </si>
  <si>
    <t>001!0611832706100</t>
  </si>
  <si>
    <t>VINCA PACIFICA LIPSTICK MX XP</t>
  </si>
  <si>
    <t>001!0611832707100</t>
  </si>
  <si>
    <t>VINCA PACIFICA MERLOT MIX XP</t>
  </si>
  <si>
    <t>001!0611832708100</t>
  </si>
  <si>
    <t>VINCA PACIFICA MGNT HL XP</t>
  </si>
  <si>
    <t>001!0611832724100</t>
  </si>
  <si>
    <t>VINCA PACIFICA MIX XP</t>
  </si>
  <si>
    <t>001!0611832709100</t>
  </si>
  <si>
    <t>VINCA PACIFICA MYSTIC MIX XP</t>
  </si>
  <si>
    <t>001!0611832710100</t>
  </si>
  <si>
    <t>VINCA PACIFICA ORANGE XP</t>
  </si>
  <si>
    <t>001!0611832711100</t>
  </si>
  <si>
    <t>VINCA PACIFICA PINK</t>
  </si>
  <si>
    <t>001!0611832713100</t>
  </si>
  <si>
    <t>VINCA PACIFICA POLKA DOT XP</t>
  </si>
  <si>
    <t>001!0611832714100</t>
  </si>
  <si>
    <t>VINCA PACIFICA PUNCH XP</t>
  </si>
  <si>
    <t>001!0611832715100</t>
  </si>
  <si>
    <t>VINCA PACIFICA PURE WHITE</t>
  </si>
  <si>
    <t>001!0611832716100</t>
  </si>
  <si>
    <t>VINCA PACIFICA RASPBERRY XP</t>
  </si>
  <si>
    <t>001!0611832717100</t>
  </si>
  <si>
    <t>VINCA PACIFICA REALLY RED XP</t>
  </si>
  <si>
    <t>001!0611832718100</t>
  </si>
  <si>
    <t>VINCA PACIFICA RED</t>
  </si>
  <si>
    <t>001!0611832719100</t>
  </si>
  <si>
    <t>VINCA PACIFICA ROSE HALO XP</t>
  </si>
  <si>
    <t>001!0611832720100</t>
  </si>
  <si>
    <t>VINCA PACIFICA SERIES XP</t>
  </si>
  <si>
    <t>001!0611832721100</t>
  </si>
  <si>
    <t>VINCA PACIFICA WHITE XP</t>
  </si>
  <si>
    <t>001!0611832722100</t>
  </si>
  <si>
    <t>VINCA POLKA DOT</t>
  </si>
  <si>
    <t>001!0611832725100</t>
  </si>
  <si>
    <t>VINCA QUASAR SERIES</t>
  </si>
  <si>
    <t>001!0611884496100</t>
  </si>
  <si>
    <t>VINCA RALPH SHUGERT</t>
  </si>
  <si>
    <t>001!0611840084025</t>
  </si>
  <si>
    <t>VINCA RALPH SHUGERT CN5426</t>
  </si>
  <si>
    <t>001!0611864300100</t>
  </si>
  <si>
    <t>VINCA RALPH SHUGERT LMTD</t>
  </si>
  <si>
    <t>001!0611864301050</t>
  </si>
  <si>
    <t>VINCA SUNJEWELS BLUEBERRY</t>
  </si>
  <si>
    <t>001!0611884497100</t>
  </si>
  <si>
    <t>VINCA SUNJEWELS LAVENDER HALO</t>
  </si>
  <si>
    <t>001!0611884498100</t>
  </si>
  <si>
    <t>VINCA SUNJEWELS MIX</t>
  </si>
  <si>
    <t>001!0611884499100</t>
  </si>
  <si>
    <t>VINCA SUNJEWELS PEACH SHADES</t>
  </si>
  <si>
    <t>001!0611884500100</t>
  </si>
  <si>
    <t>VINCA SUNJEWELS PEPPERMINT</t>
  </si>
  <si>
    <t>001!0611884501100</t>
  </si>
  <si>
    <t>VINCA SUNJEWELS PINK WITH EYE</t>
  </si>
  <si>
    <t>001!0611884502100</t>
  </si>
  <si>
    <t>VINCA SUNJEWELS RED WITH EYE</t>
  </si>
  <si>
    <t>001!0611884503100</t>
  </si>
  <si>
    <t>VINCA SUNJEWELS ROSE WITH EYE</t>
  </si>
  <si>
    <t>001!0611884504100</t>
  </si>
  <si>
    <t>VINCA SUNJEWELS STRAWBERRY</t>
  </si>
  <si>
    <t>001!0611884505100</t>
  </si>
  <si>
    <t>VINCA SUNJEWELS WHITE</t>
  </si>
  <si>
    <t>001!0611884506100</t>
  </si>
  <si>
    <t>VINCA SUNSTORM APRICOT</t>
  </si>
  <si>
    <t>001!0611832726100</t>
  </si>
  <si>
    <t>VINCA SUNSTORM BLUSH</t>
  </si>
  <si>
    <t>001!0611832727100</t>
  </si>
  <si>
    <t>VINCA SUNSTORM BRIGHT RED</t>
  </si>
  <si>
    <t>001!0611832728100</t>
  </si>
  <si>
    <t>VINCA SUNSTORM DEEP LILAC</t>
  </si>
  <si>
    <t>001!0611832729100</t>
  </si>
  <si>
    <t>VINCA SUNSTORM DEEP ORCHID</t>
  </si>
  <si>
    <t>001!0611832730100</t>
  </si>
  <si>
    <t>VINCA SUNSTORM DEEP PINK</t>
  </si>
  <si>
    <t>001!0611832731100</t>
  </si>
  <si>
    <t>VINCA SUNSTORM FORMULA MIX</t>
  </si>
  <si>
    <t>001!0611832732100</t>
  </si>
  <si>
    <t>VINCA SUNSTORM LIGHT BLUE</t>
  </si>
  <si>
    <t>001!0611832733100</t>
  </si>
  <si>
    <t>VINCA SUNSTORM PURE WHITE</t>
  </si>
  <si>
    <t>001!0611832736100</t>
  </si>
  <si>
    <t>VINCA SUNSTORM PURPLE</t>
  </si>
  <si>
    <t>001!0611832737100</t>
  </si>
  <si>
    <t>VINCA SUNSTORM RED</t>
  </si>
  <si>
    <t>001!0611832738100</t>
  </si>
  <si>
    <t>VINCA SUNSTORM RED HALO</t>
  </si>
  <si>
    <t>001!0611832739100</t>
  </si>
  <si>
    <t>VINCA SUNSTORM ROSE/EYE</t>
  </si>
  <si>
    <t>001!0611832740100</t>
  </si>
  <si>
    <t>VINCA SUNSTORM WHITE/EYE</t>
  </si>
  <si>
    <t>001!0611832741100</t>
  </si>
  <si>
    <t>VINCA TATTOO AMERICAN PIE MIX</t>
  </si>
  <si>
    <t>001!0611832742100</t>
  </si>
  <si>
    <t>VINCA TATTOO BLACK CHERRY</t>
  </si>
  <si>
    <t>001!0611832743100</t>
  </si>
  <si>
    <t>VINCA TATTOO BLUEBERRY</t>
  </si>
  <si>
    <t>001!0611832744100</t>
  </si>
  <si>
    <t>VINCA TATTOO ORANGE</t>
  </si>
  <si>
    <t>001!0611857175100</t>
  </si>
  <si>
    <t>VINCA TATTOO PAPAYA</t>
  </si>
  <si>
    <t>001!0611832745100</t>
  </si>
  <si>
    <t>VINCA TATTOO RASPBERRY</t>
  </si>
  <si>
    <t>001!0611832746100</t>
  </si>
  <si>
    <t>VINCA TATTOO TANGERINE</t>
  </si>
  <si>
    <t>001!0611832747100</t>
  </si>
  <si>
    <t>VINCA TITAN APRICOT</t>
  </si>
  <si>
    <t>001!0611832748100</t>
  </si>
  <si>
    <t>VINCA TITAN BLUSH</t>
  </si>
  <si>
    <t>001!0611832749100</t>
  </si>
  <si>
    <t>VINCA TITAN BUBBLE GUM MIX</t>
  </si>
  <si>
    <t>001!0611832750100</t>
  </si>
  <si>
    <t>VINCA TITAN BURGUNDY</t>
  </si>
  <si>
    <t>001!0611832751100</t>
  </si>
  <si>
    <t>VINCA TITAN CLEAR MIX</t>
  </si>
  <si>
    <t>001!0611832752100</t>
  </si>
  <si>
    <t>VINCA TITAN COTTON CANDY MIX</t>
  </si>
  <si>
    <t>001!0611832753100</t>
  </si>
  <si>
    <t>VINCA TITAN CRANBERRY</t>
  </si>
  <si>
    <t>001!0611857176100</t>
  </si>
  <si>
    <t>VINCA TITAN DARK RED</t>
  </si>
  <si>
    <t>001!0611832754100</t>
  </si>
  <si>
    <t>VINCA TITAN ICY PINK</t>
  </si>
  <si>
    <t>001!0611832755100</t>
  </si>
  <si>
    <t>VINCA TITAN LAV BL HALO</t>
  </si>
  <si>
    <t>001!0611832756100</t>
  </si>
  <si>
    <t>VINCA TITAN LILAC</t>
  </si>
  <si>
    <t>001!0611832757100</t>
  </si>
  <si>
    <t>VINCA TITAN MIX</t>
  </si>
  <si>
    <t>001!0611832758100</t>
  </si>
  <si>
    <t>VINCA TITAN POLKA DOT</t>
  </si>
  <si>
    <t>001!0611832759100</t>
  </si>
  <si>
    <t>VINCA TITAN PUNCH</t>
  </si>
  <si>
    <t>001!0611832760100</t>
  </si>
  <si>
    <t>VINCA TITAN PURE WHITE</t>
  </si>
  <si>
    <t>001!0611832761100</t>
  </si>
  <si>
    <t>VINCA TITAN REALLY RED</t>
  </si>
  <si>
    <t>001!0611832762100</t>
  </si>
  <si>
    <t>VINCA TITAN RED AND WHITE MIX</t>
  </si>
  <si>
    <t>001!0611832763100</t>
  </si>
  <si>
    <t>VINCA TITAN ROMANCE MIX</t>
  </si>
  <si>
    <t>001!0611832764100</t>
  </si>
  <si>
    <t>VINCA TITAN ROSE</t>
  </si>
  <si>
    <t>001!0611832765100</t>
  </si>
  <si>
    <t>VINCA TITAN ROSE HALO</t>
  </si>
  <si>
    <t>001!0611832766100</t>
  </si>
  <si>
    <t>VINCA TITAN SERIES</t>
  </si>
  <si>
    <t>001!0611832767100</t>
  </si>
  <si>
    <t>VINCA TITAN SUMMER BREEZE MIX</t>
  </si>
  <si>
    <t>001!0611832768100</t>
  </si>
  <si>
    <t>VINCA TRAILING GENERIC</t>
  </si>
  <si>
    <t>001!0611832769100</t>
  </si>
  <si>
    <t>VINCA UPRT GENERIC</t>
  </si>
  <si>
    <t>001!0611832770100</t>
  </si>
  <si>
    <t>VINCA UPRT PURPLE GENERIC</t>
  </si>
  <si>
    <t>001!0611832771100</t>
  </si>
  <si>
    <t>VINCA UPRT RED GENERIC</t>
  </si>
  <si>
    <t>001!0611832772100</t>
  </si>
  <si>
    <t>VINCA UPRT WHITE GENERIC</t>
  </si>
  <si>
    <t>001!0611832773100</t>
  </si>
  <si>
    <t>VINCA VALIANT APRICOT</t>
  </si>
  <si>
    <t>001!0611832774100</t>
  </si>
  <si>
    <t>VINCA VALIANT BURGUNDY</t>
  </si>
  <si>
    <t>001!0611832775100</t>
  </si>
  <si>
    <t>VINCA VALIANT LILAC</t>
  </si>
  <si>
    <t>001!0611832776100</t>
  </si>
  <si>
    <t>VINCA VALIANT MAGENTA</t>
  </si>
  <si>
    <t>001!0611832777100</t>
  </si>
  <si>
    <t>VINCA VALIANT MIX</t>
  </si>
  <si>
    <t>001!0611832778100</t>
  </si>
  <si>
    <t>VINCA VALIANT ORCHID</t>
  </si>
  <si>
    <t>001!0611832779100</t>
  </si>
  <si>
    <t>VINCA VALIANT PUNCH</t>
  </si>
  <si>
    <t>001!0611832780100</t>
  </si>
  <si>
    <t>VINCA VALIANT PURE WHITE</t>
  </si>
  <si>
    <t>001!0611832781100</t>
  </si>
  <si>
    <t>VINCA VARIEGATA</t>
  </si>
  <si>
    <t>001!0611840085025</t>
  </si>
  <si>
    <t>001!0611864302050</t>
  </si>
  <si>
    <t>VINCA VARIEGATA BLNGL DESIGN</t>
  </si>
  <si>
    <t>001!0611840086100</t>
  </si>
  <si>
    <t>VINCA VICTORY BLUE</t>
  </si>
  <si>
    <t>001!0611832782100</t>
  </si>
  <si>
    <t>VINCA VICTORY CRANBERRY</t>
  </si>
  <si>
    <t>001!0611832783100</t>
  </si>
  <si>
    <t>VINCA VICTORY PURPLE</t>
  </si>
  <si>
    <t>001!0611832784100</t>
  </si>
  <si>
    <t>VINCA VICTORY RED</t>
  </si>
  <si>
    <t>001!0611832785100</t>
  </si>
  <si>
    <t>VINCA VIRTUOSA APRICOT</t>
  </si>
  <si>
    <t>001!0611857177100</t>
  </si>
  <si>
    <t>VINCA VIRTUOSA CRANBERRY</t>
  </si>
  <si>
    <t>001!0611832789100</t>
  </si>
  <si>
    <t>VINCA VIRTUOSA DEEP PURPLE</t>
  </si>
  <si>
    <t>001!0611832790100</t>
  </si>
  <si>
    <t>VINCA VIRTUOSA DEEP RED</t>
  </si>
  <si>
    <t>001!0611832791100</t>
  </si>
  <si>
    <t>VINCA VIRTUOSA LAVENDER</t>
  </si>
  <si>
    <t>001!0611832792100</t>
  </si>
  <si>
    <t>VINCA VIRTUOSA MIX</t>
  </si>
  <si>
    <t>001!0611832793100</t>
  </si>
  <si>
    <t>VINCA VIRTUOSA ORCHID</t>
  </si>
  <si>
    <t>001!0611857178100</t>
  </si>
  <si>
    <t>VINCA VIRTUOSA PINK</t>
  </si>
  <si>
    <t>001!0611857179100</t>
  </si>
  <si>
    <t>VINCA VIRTUOSA POLKA DOT</t>
  </si>
  <si>
    <t>001!0611832794100</t>
  </si>
  <si>
    <t>VINCA VIRTUOSA PUNCH</t>
  </si>
  <si>
    <t>001!0611832795100</t>
  </si>
  <si>
    <t>VINCA VIRTUOSA RASPBERRY</t>
  </si>
  <si>
    <t>001!0611857180100</t>
  </si>
  <si>
    <t>VINCA VIRTUOSA ROSE</t>
  </si>
  <si>
    <t>001!0611832796100</t>
  </si>
  <si>
    <t>VINCA VIRTUOSA WHITE</t>
  </si>
  <si>
    <t>001!0611832797100</t>
  </si>
  <si>
    <t>VINCA VITESSE PATRIOT MIX</t>
  </si>
  <si>
    <t>001!0611832802100</t>
  </si>
  <si>
    <t>VINCA VITESSE SERIES</t>
  </si>
  <si>
    <t>001!0611832803100</t>
  </si>
  <si>
    <t>VINCA WOJOS JEM</t>
  </si>
  <si>
    <t>001!0611840087100</t>
  </si>
  <si>
    <t>001!0611864303050</t>
  </si>
  <si>
    <t>VIOLA ADMIRE BLUE HEAVEN</t>
  </si>
  <si>
    <t>001!0611884507100</t>
  </si>
  <si>
    <t>VIOLA ADMIRE CREAM</t>
  </si>
  <si>
    <t>001!0611884508100</t>
  </si>
  <si>
    <t>VIOLA ADMIRE RED YELLOW FACE</t>
  </si>
  <si>
    <t>001!0611884509100</t>
  </si>
  <si>
    <t>VIOLA COLORMAX BLUE JEANS</t>
  </si>
  <si>
    <t>001!0611884510100</t>
  </si>
  <si>
    <t>VIOLA DELTA SPEEDY WHITE W/BLO</t>
  </si>
  <si>
    <t>001!0611884512100</t>
  </si>
  <si>
    <t>VIOLA DELTINI LAVENDER PK FACE</t>
  </si>
  <si>
    <t>001!0611884513100</t>
  </si>
  <si>
    <t>VIOLA GRANDIO LAVENDER SHADES</t>
  </si>
  <si>
    <t>001!0611884514100</t>
  </si>
  <si>
    <t>VIOLA HIGHFLYER SERIES</t>
  </si>
  <si>
    <t>001!0611884515100</t>
  </si>
  <si>
    <t>VIOLA INSPIRE DELUXXE RED BLO</t>
  </si>
  <si>
    <t>001!0611884516100</t>
  </si>
  <si>
    <t>VIOLA INSPIRE PLUS BLUE BLO</t>
  </si>
  <si>
    <t>001!0611840372100</t>
  </si>
  <si>
    <t>VIOLA INSPIRE PLUS SERIES</t>
  </si>
  <si>
    <t>001!0611884517100</t>
  </si>
  <si>
    <t>VIOLA SORBET ANTIQUE SHADES</t>
  </si>
  <si>
    <t>001!0611840597100</t>
  </si>
  <si>
    <t>VIOLA SORBET AUTUMN SEL MX XP</t>
  </si>
  <si>
    <t>001!0611840598100</t>
  </si>
  <si>
    <t>VIOLA SORBET BABYFACE MIX</t>
  </si>
  <si>
    <t>001!0611840602100</t>
  </si>
  <si>
    <t>VIOLA SORBET BABYFACE RUBY/GLD</t>
  </si>
  <si>
    <t>001!0611840603100</t>
  </si>
  <si>
    <t>VIOLA SORBET BCNBERRY MX XP</t>
  </si>
  <si>
    <t>001!0611840605100</t>
  </si>
  <si>
    <t>VIOLA SORBET BEACONSFIELD XP</t>
  </si>
  <si>
    <t>001!0611840606100</t>
  </si>
  <si>
    <t>VIOLA SORBET BKBRY SNDAE MX XP</t>
  </si>
  <si>
    <t>001!0611840607100</t>
  </si>
  <si>
    <t>VIOLA SORBET BLACK DELIGHT</t>
  </si>
  <si>
    <t>001!0611840608100</t>
  </si>
  <si>
    <t>VIOLA SORBET BLACKBERRY XP</t>
  </si>
  <si>
    <t>001!0611840611100</t>
  </si>
  <si>
    <t>VIOLA SORBET BLBRRY FRST MX XP</t>
  </si>
  <si>
    <t>001!0611840612100</t>
  </si>
  <si>
    <t>VIOLA SORBET BLBRRY SND MX XP</t>
  </si>
  <si>
    <t>001!0611840613100</t>
  </si>
  <si>
    <t>VIOLA SORBET BLOTCH MIX XP</t>
  </si>
  <si>
    <t>001!0611840614100</t>
  </si>
  <si>
    <t>VIOLA SORBET BLUE BLOTCH XP</t>
  </si>
  <si>
    <t>001!0611840615100</t>
  </si>
  <si>
    <t>VIOLA SORBET BLUE HEAVEN</t>
  </si>
  <si>
    <t>001!0611840616100</t>
  </si>
  <si>
    <t>VIOLA SORBET CARMINE ROSE</t>
  </si>
  <si>
    <t>001!0611840618100</t>
  </si>
  <si>
    <t>VIOLA SORBET CITRUS MIX XP</t>
  </si>
  <si>
    <t>001!0611840619100</t>
  </si>
  <si>
    <t>VIOLA SORBET COCONUT SWIRL XP</t>
  </si>
  <si>
    <t>001!0611840622100</t>
  </si>
  <si>
    <t>VIOLA SORBET DEEP ORANGE XP</t>
  </si>
  <si>
    <t>001!0611840623100</t>
  </si>
  <si>
    <t>VIOLA SORBET DELFT BLUE XP</t>
  </si>
  <si>
    <t>001!0611840624100</t>
  </si>
  <si>
    <t>VIOLA SORBET FIRE</t>
  </si>
  <si>
    <t>001!0611840625100</t>
  </si>
  <si>
    <t>VIOLA SORBET HARVEST MIX XP</t>
  </si>
  <si>
    <t>001!0611840626100</t>
  </si>
  <si>
    <t>VIOLA SORBET HONEYBEE</t>
  </si>
  <si>
    <t>001!0611840627100</t>
  </si>
  <si>
    <t>VIOLA SORBET ICY BLUE</t>
  </si>
  <si>
    <t>001!0611840628100</t>
  </si>
  <si>
    <t>VIOLA SORBET JMP UP YEL PK XP</t>
  </si>
  <si>
    <t>001!0611840629100</t>
  </si>
  <si>
    <t>VIOLA SORBET JMP UP YELL BURG</t>
  </si>
  <si>
    <t>001!0611840630100</t>
  </si>
  <si>
    <t>VIOLA SORBET JUMP UP BLACK</t>
  </si>
  <si>
    <t>001!0611840632100</t>
  </si>
  <si>
    <t>VIOLA SORBET JUMP UP DENIM</t>
  </si>
  <si>
    <t>001!0611840633100</t>
  </si>
  <si>
    <t>VIOLA SORBET JUMP UP LEMON XP</t>
  </si>
  <si>
    <t>001!0611840634100</t>
  </si>
  <si>
    <t>VIOLA SORBET JUMP UP MIX XP</t>
  </si>
  <si>
    <t>001!0611840635100</t>
  </si>
  <si>
    <t>VIOLA SORBET JUMP UP ORG XP</t>
  </si>
  <si>
    <t>001!0611840636100</t>
  </si>
  <si>
    <t>VIOLA SORBET JUMP UP WHITE XP</t>
  </si>
  <si>
    <t>001!0611840637100</t>
  </si>
  <si>
    <t>VIOLA SORBET JUMP UP YELL BL</t>
  </si>
  <si>
    <t>001!0611840638100</t>
  </si>
  <si>
    <t>VIOLA SORBET JUMP UP YELL XP</t>
  </si>
  <si>
    <t>001!0611840639100</t>
  </si>
  <si>
    <t>VIOLA SORBET LAVENDER PINK XP</t>
  </si>
  <si>
    <t>001!0611840640100</t>
  </si>
  <si>
    <t>VIOLA SORBET LEMON CHIFFON</t>
  </si>
  <si>
    <t>001!0611840641100</t>
  </si>
  <si>
    <t>VIOLA SORBET LILAC ICE</t>
  </si>
  <si>
    <t>001!0611840643100</t>
  </si>
  <si>
    <t>VIOLA SORBET LMN ICE BLO XP</t>
  </si>
  <si>
    <t>001!0611840645100</t>
  </si>
  <si>
    <t>VIOLA SORBET LMN PRFAIT MX XP</t>
  </si>
  <si>
    <t>001!0611840646100</t>
  </si>
  <si>
    <t>VIOLA SORBET MARINA XP</t>
  </si>
  <si>
    <t>001!0611840647100</t>
  </si>
  <si>
    <t>VIOLA SORBET MIDNIGHT GLOW</t>
  </si>
  <si>
    <t>001!0611840648100</t>
  </si>
  <si>
    <t>VIOLA SORBET MIX</t>
  </si>
  <si>
    <t>001!0611840649100</t>
  </si>
  <si>
    <t>VIOLA SORBET MIX XP</t>
  </si>
  <si>
    <t>001!0611840650100</t>
  </si>
  <si>
    <t>VIOLA SORBET MORPHO XP</t>
  </si>
  <si>
    <t>001!0611840651100</t>
  </si>
  <si>
    <t>VIOLA SORBET NEPTUNE XP</t>
  </si>
  <si>
    <t>001!0611840652100</t>
  </si>
  <si>
    <t>VIOLA SORBET OCEAN BREEZE MIX</t>
  </si>
  <si>
    <t>001!0611840653100</t>
  </si>
  <si>
    <t>VIOLA SORBET ORANGE DELIGHT</t>
  </si>
  <si>
    <t>001!0611840654100</t>
  </si>
  <si>
    <t>VIOLA SORBET ORANGE DUET</t>
  </si>
  <si>
    <t>001!0611840655100</t>
  </si>
  <si>
    <t>VIOLA SORBET ORANGE XP</t>
  </si>
  <si>
    <t>001!0611840656100</t>
  </si>
  <si>
    <t>VIOLA SORBET ORCHID RS BCN XP</t>
  </si>
  <si>
    <t>001!0611840657100</t>
  </si>
  <si>
    <t>VIOLA SORBET PINK HALO XP</t>
  </si>
  <si>
    <t>001!0611840660100</t>
  </si>
  <si>
    <t>VIOLA SORBET PINK WING XP</t>
  </si>
  <si>
    <t>001!0611840661100</t>
  </si>
  <si>
    <t>VIOLA SORBET PRIMRS BLOTCH XP</t>
  </si>
  <si>
    <t>001!0611840663100</t>
  </si>
  <si>
    <t>VIOLA SORBET PURPLE FACE XP</t>
  </si>
  <si>
    <t>001!0611840664100</t>
  </si>
  <si>
    <t>VIOLA SORBET PURPLE XP</t>
  </si>
  <si>
    <t>001!0611840665100</t>
  </si>
  <si>
    <t>VIOLA SORBET RASP SNDAE MX XP</t>
  </si>
  <si>
    <t>001!0611840666100</t>
  </si>
  <si>
    <t>VIOLA SORBET RASPBERRY XP</t>
  </si>
  <si>
    <t>001!0611840667100</t>
  </si>
  <si>
    <t>VIOLA SORBET RED BLOTCH</t>
  </si>
  <si>
    <t>001!0611840668100</t>
  </si>
  <si>
    <t>VIOLA SORBET RED XP</t>
  </si>
  <si>
    <t>001!0611857182100</t>
  </si>
  <si>
    <t>VIOLA SORBET ROSE BLOTCH XP</t>
  </si>
  <si>
    <t>001!0611840669100</t>
  </si>
  <si>
    <t>VIOLA SORBET ROSE WING</t>
  </si>
  <si>
    <t>001!0611840670100</t>
  </si>
  <si>
    <t>VIOLA SORBET SELECT MIX XP</t>
  </si>
  <si>
    <t>001!0611840671100</t>
  </si>
  <si>
    <t>VIOLA SORBET SERIES</t>
  </si>
  <si>
    <t>001!0611840672025</t>
  </si>
  <si>
    <t>VIOLA SORBET SPRING SEL MX XP</t>
  </si>
  <si>
    <t>001!0611840673100</t>
  </si>
  <si>
    <t>VIOLA SORBET SUNNY ROYALE</t>
  </si>
  <si>
    <t>001!0611840675100</t>
  </si>
  <si>
    <t>VIOLA SORBET TDAY N TMORROW XP</t>
  </si>
  <si>
    <t>001!0611840676100</t>
  </si>
  <si>
    <t>VIOLA SORBET TIGER EYE</t>
  </si>
  <si>
    <t>001!0611840677100</t>
  </si>
  <si>
    <t>VIOLA SORBET TRUE BLUE XP</t>
  </si>
  <si>
    <t>001!0611840678100</t>
  </si>
  <si>
    <t>VIOLA SORBET VIOLET BEACON XP</t>
  </si>
  <si>
    <t>001!0611840679100</t>
  </si>
  <si>
    <t>VIOLA SORBET WHITE BLOTCH XP</t>
  </si>
  <si>
    <t>001!0611840680100</t>
  </si>
  <si>
    <t>VIOLA SORBET WHITE XP</t>
  </si>
  <si>
    <t>001!0611840681100</t>
  </si>
  <si>
    <t>VIOLA SORBET YELLOW BLOTCH XP</t>
  </si>
  <si>
    <t>001!0611840682100</t>
  </si>
  <si>
    <t>VIOLA SORBET YELLOW DELIGHT</t>
  </si>
  <si>
    <t>001!0611840683100</t>
  </si>
  <si>
    <t>VIOLA SORBET YELLOW DUET XP</t>
  </si>
  <si>
    <t>001!0611840684100</t>
  </si>
  <si>
    <t>VIOLA SORBET YELLOW PINK WING</t>
  </si>
  <si>
    <t>001!0611840686100</t>
  </si>
  <si>
    <t>VIOLA SORBET YELLOW XP</t>
  </si>
  <si>
    <t>001!0611840687100</t>
  </si>
  <si>
    <t>VIOLA STARRY NIGHT</t>
  </si>
  <si>
    <t>001!0611840688025</t>
  </si>
  <si>
    <t>VIOLA TIGER EYE MIX</t>
  </si>
  <si>
    <t>001!0611840689100</t>
  </si>
  <si>
    <t>VIOLA TIGER EYE RED</t>
  </si>
  <si>
    <t>001!0611840690100</t>
  </si>
  <si>
    <t>VIOLA TIGER EYE YELLOW</t>
  </si>
  <si>
    <t>001!0611840691100</t>
  </si>
  <si>
    <t>VIOLA TIGER EYES</t>
  </si>
  <si>
    <t>001!0611840692100</t>
  </si>
  <si>
    <t>VIOLA TRAILING PANSY GENERIC</t>
  </si>
  <si>
    <t>001!0611840693100</t>
  </si>
  <si>
    <t>VIOLA TRUE BLUE GENERIC</t>
  </si>
  <si>
    <t>001!0611840694100</t>
  </si>
  <si>
    <t>VIOLA ULTIMA MORPHO</t>
  </si>
  <si>
    <t>001!0611840695100</t>
  </si>
  <si>
    <t>VIOLA ULTIMA RADIANCE RED</t>
  </si>
  <si>
    <t>001!0611840697100</t>
  </si>
  <si>
    <t>VIOLA ULTIMA RADIANCE VIOLET</t>
  </si>
  <si>
    <t>001!0611840698100</t>
  </si>
  <si>
    <t>VIOLA VIOLA GENERIC</t>
  </si>
  <si>
    <t>001!0611840699100</t>
  </si>
  <si>
    <t>VIOLA VIOLA GNRC BLNGL DESIGN</t>
  </si>
  <si>
    <t>001!0611840700100</t>
  </si>
  <si>
    <t>VIOLA VIOLA/VIOLET GENERIC</t>
  </si>
  <si>
    <t>001!0611840701025</t>
  </si>
  <si>
    <t>VIOLA WATERCOLORS MIX</t>
  </si>
  <si>
    <t>001!0611840702100</t>
  </si>
  <si>
    <t>VIOLA WH GNRC BLNGL DESIGN</t>
  </si>
  <si>
    <t>001!0611840703100</t>
  </si>
  <si>
    <t>VIOLA WH/BLO GNRC BLNGL DSIGN</t>
  </si>
  <si>
    <t>001!0611840704100</t>
  </si>
  <si>
    <t>VIOLA WHISKERS ORANGE</t>
  </si>
  <si>
    <t>001!0611840706100</t>
  </si>
  <si>
    <t>VIOLA WHISKERS PURPLE/WHITE</t>
  </si>
  <si>
    <t>001!0611840707100</t>
  </si>
  <si>
    <t>VIOLA WHISKERS RED/GOLD</t>
  </si>
  <si>
    <t>001!0611840708100</t>
  </si>
  <si>
    <t>VIOLA WHISKERS WHITE</t>
  </si>
  <si>
    <t>001!0611840709100</t>
  </si>
  <si>
    <t>VIOLA WHISKERS YELLOW</t>
  </si>
  <si>
    <t>001!0611840710100</t>
  </si>
  <si>
    <t>VIOLA WHITE GENERIC</t>
  </si>
  <si>
    <t>001!0611840711100</t>
  </si>
  <si>
    <t>VIOLA WINE FLASH</t>
  </si>
  <si>
    <t>001!0611840712100</t>
  </si>
  <si>
    <t>VIOLA WNDERFALL RS SHDS W FACE</t>
  </si>
  <si>
    <t>001!0611840713100</t>
  </si>
  <si>
    <t>VIOLA WONDERFALL YEL W RD WING</t>
  </si>
  <si>
    <t>001!0611840720100</t>
  </si>
  <si>
    <t>VIOLA WONDERFALL YELLOW</t>
  </si>
  <si>
    <t>001!0611840722100</t>
  </si>
  <si>
    <t>VIOLA YEL/BLO GNRC BLNGL DSIGN</t>
  </si>
  <si>
    <t>001!0611840723100</t>
  </si>
  <si>
    <t>VIOLA YELL GNRC BLNGL DESIGN</t>
  </si>
  <si>
    <t>001!0611840724100</t>
  </si>
  <si>
    <t>VIOLA YELLOW GENERIC</t>
  </si>
  <si>
    <t>001!0611840725100</t>
  </si>
  <si>
    <t>WALDST STRAWBERRY LMTD</t>
  </si>
  <si>
    <t>001!0611864323100</t>
  </si>
  <si>
    <t>001!0611864324050</t>
  </si>
  <si>
    <t>WALDST TERNATA</t>
  </si>
  <si>
    <t>001!0611840727025</t>
  </si>
  <si>
    <t>WATERM BLACK DIAMOND</t>
  </si>
  <si>
    <t>001!0611833073100</t>
  </si>
  <si>
    <t>WATERM CAL SWEET BUSH</t>
  </si>
  <si>
    <t>001!0611833074100</t>
  </si>
  <si>
    <t>WATERM CENTURY STAR</t>
  </si>
  <si>
    <t>001!0611857183100</t>
  </si>
  <si>
    <t>WATERM CHARLESTON GRAY</t>
  </si>
  <si>
    <t>001!0611833075100</t>
  </si>
  <si>
    <t>WATERM CRIMSON SWEET</t>
  </si>
  <si>
    <t>001!0611833077100</t>
  </si>
  <si>
    <t>001!0611833078200</t>
  </si>
  <si>
    <t>WATERM DIXIE QUEEN</t>
  </si>
  <si>
    <t>001!0611833080100</t>
  </si>
  <si>
    <t>WATERM JUBILEE</t>
  </si>
  <si>
    <t>001!0611833081100</t>
  </si>
  <si>
    <t>WATERM MAMBO</t>
  </si>
  <si>
    <t>001!0611833082100</t>
  </si>
  <si>
    <t>WATERM MINI LOVE</t>
  </si>
  <si>
    <t>001!0611833083100</t>
  </si>
  <si>
    <t>WATERM MOON N STARS</t>
  </si>
  <si>
    <t>001!0611833084100</t>
  </si>
  <si>
    <t>WATERM ORANGE GENERIC</t>
  </si>
  <si>
    <t>001!0611833085100</t>
  </si>
  <si>
    <t>WATERM SANGRIA</t>
  </si>
  <si>
    <t>001!0611833087100</t>
  </si>
  <si>
    <t>WATERM SEEDLESS GENERIC</t>
  </si>
  <si>
    <t>001!0611833088100</t>
  </si>
  <si>
    <t>WATERM SHINY BOY</t>
  </si>
  <si>
    <t>001!0611833089100</t>
  </si>
  <si>
    <t>WATERM SUGAR BABY</t>
  </si>
  <si>
    <t>001!0611833090100</t>
  </si>
  <si>
    <t>WATERM SWEET BABY</t>
  </si>
  <si>
    <t>001!0611833091100</t>
  </si>
  <si>
    <t>WATERM SWEET FAVORITE HYBRID</t>
  </si>
  <si>
    <t>001!0611833092100</t>
  </si>
  <si>
    <t>WATERM WATERMELON GENERIC</t>
  </si>
  <si>
    <t>001!0611833094100</t>
  </si>
  <si>
    <t>WATERM YELLOW BABY</t>
  </si>
  <si>
    <t>001!0611833095100</t>
  </si>
  <si>
    <t>WATERM YELLOW DOLL</t>
  </si>
  <si>
    <t>001!0611833096100</t>
  </si>
  <si>
    <t>WEDELI WEDELIA GENERIC</t>
  </si>
  <si>
    <t>001!0611840729100</t>
  </si>
  <si>
    <t>WELCOM TO T JUNGLE HOUSE PLANT</t>
  </si>
  <si>
    <t>001!0611864325050</t>
  </si>
  <si>
    <t>WINTER SAVORY</t>
  </si>
  <si>
    <t>001!0611839087100</t>
  </si>
  <si>
    <t>ZALUZI ORANGE EYE OVATA</t>
  </si>
  <si>
    <t>001!0611840730025</t>
  </si>
  <si>
    <t>ZALUZI OVATA</t>
  </si>
  <si>
    <t>001!0611840731025</t>
  </si>
  <si>
    <t>ZAMIA ZZ PLANT</t>
  </si>
  <si>
    <t>001!0611884518100</t>
  </si>
  <si>
    <t>ZANTED CALLA</t>
  </si>
  <si>
    <t>001!0611860942050</t>
  </si>
  <si>
    <t>ZANTED CALLA ACAPULCO GOLD</t>
  </si>
  <si>
    <t>001!0611860943050</t>
  </si>
  <si>
    <t>ZANTED CALLA ACCENT</t>
  </si>
  <si>
    <t>001!0611860944050</t>
  </si>
  <si>
    <t>ZANTED CALLA AIRBRUSH</t>
  </si>
  <si>
    <t>001!0611860945050</t>
  </si>
  <si>
    <t>ZANTED CALLA ALICE SPRINGS</t>
  </si>
  <si>
    <t>001!0611860946050</t>
  </si>
  <si>
    <t>ZANTED CALLA APRICOT LADY</t>
  </si>
  <si>
    <t>001!0611860948050</t>
  </si>
  <si>
    <t>ZANTED CALLA ARABIAN NIGHT</t>
  </si>
  <si>
    <t>001!0611884519050</t>
  </si>
  <si>
    <t>ZANTED CALLA ASPEN</t>
  </si>
  <si>
    <t>001!0611860949050</t>
  </si>
  <si>
    <t>ZANTED CALLA BEATRIX</t>
  </si>
  <si>
    <t>001!0611860950050</t>
  </si>
  <si>
    <t>ZANTED CALLA BEIJING</t>
  </si>
  <si>
    <t>001!0611884520050</t>
  </si>
  <si>
    <t>ZANTED CALLA BELCANTO</t>
  </si>
  <si>
    <t>001!0611884521050</t>
  </si>
  <si>
    <t>ZANTED CALLA BLOODY MARY</t>
  </si>
  <si>
    <t>001!0611860952050</t>
  </si>
  <si>
    <t>ZANTED CALLA BRASILIA</t>
  </si>
  <si>
    <t>001!0611860953050</t>
  </si>
  <si>
    <t>ZANTED CALLA BUFFALO</t>
  </si>
  <si>
    <t>001!0611884522050</t>
  </si>
  <si>
    <t>ZANTED CALLA BULLIT</t>
  </si>
  <si>
    <t>001!0611860954050</t>
  </si>
  <si>
    <t>ZANTED CALLA CALLAFORNIA CRNVL</t>
  </si>
  <si>
    <t>001!0611860955050</t>
  </si>
  <si>
    <t>ZANTED CALLA CALLAFORNIA RED</t>
  </si>
  <si>
    <t>001!0611860956050</t>
  </si>
  <si>
    <t>ZANTED CALLA CANCUN</t>
  </si>
  <si>
    <t>001!0611860957050</t>
  </si>
  <si>
    <t>ZANTED CALLA CANTOR</t>
  </si>
  <si>
    <t>001!0611860958050</t>
  </si>
  <si>
    <t>ZANTED CALLA CAPITOLA</t>
  </si>
  <si>
    <t>001!0611860959050</t>
  </si>
  <si>
    <t>ZANTED CALLA CAPTAIN BRUNELLO</t>
  </si>
  <si>
    <t>001!0611860960050</t>
  </si>
  <si>
    <t>ZANTED CALLA CAPTAIN FUEGO</t>
  </si>
  <si>
    <t>001!0611860961050</t>
  </si>
  <si>
    <t>ZANTED CALLA CAPTAIN MARRERO</t>
  </si>
  <si>
    <t>001!0611860962050</t>
  </si>
  <si>
    <t>ZANTED CALLA CAPTAIN MORELLI</t>
  </si>
  <si>
    <t>001!0611860964050</t>
  </si>
  <si>
    <t>ZANTED CALLA CAPTAIN ODEON</t>
  </si>
  <si>
    <t>001!0611860965050</t>
  </si>
  <si>
    <t>ZANTED CALLA CAPTAIN PROMISE</t>
  </si>
  <si>
    <t>001!0611860966050</t>
  </si>
  <si>
    <t>ZANTED CALLA CAPTAIN RENO</t>
  </si>
  <si>
    <t>001!0611860967050</t>
  </si>
  <si>
    <t>ZANTED CALLA CAPTAIN ROMANCE</t>
  </si>
  <si>
    <t>001!0611860968050</t>
  </si>
  <si>
    <t>ZANTED CALLA CAPTAIN ROSETTE</t>
  </si>
  <si>
    <t>001!0611860969050</t>
  </si>
  <si>
    <t>ZANTED CALLA CAPTAIN SOLO</t>
  </si>
  <si>
    <t>001!0611860970050</t>
  </si>
  <si>
    <t>ZANTED CALLA CAPTAIN TRINITY</t>
  </si>
  <si>
    <t>001!0611860971050</t>
  </si>
  <si>
    <t>ZANTED CALLA CAPTAIN VENTURA</t>
  </si>
  <si>
    <t>001!0611860972050</t>
  </si>
  <si>
    <t>ZANTED CALLA COPACABANA</t>
  </si>
  <si>
    <t>001!0611860973050</t>
  </si>
  <si>
    <t>ZANTED CALLA CORAZON</t>
  </si>
  <si>
    <t>001!0611860974050</t>
  </si>
  <si>
    <t>ZANTED CALLA CRYSTAL BLUSH</t>
  </si>
  <si>
    <t>001!0611860975050</t>
  </si>
  <si>
    <t>ZANTED CALLA CRYSTAL CLEAR</t>
  </si>
  <si>
    <t>001!0611860976050</t>
  </si>
  <si>
    <t>ZANTED CALLA CRYSTAL QUEEN</t>
  </si>
  <si>
    <t>001!0611860977050</t>
  </si>
  <si>
    <t>ZANTED CALLA DENVER</t>
  </si>
  <si>
    <t>001!0611860978050</t>
  </si>
  <si>
    <t>ZANTED CALLA DEVILS WINE</t>
  </si>
  <si>
    <t>001!0611860979050</t>
  </si>
  <si>
    <t>ZANTED CALLA DIVA CLASSICA</t>
  </si>
  <si>
    <t>001!0611860980050</t>
  </si>
  <si>
    <t>ZANTED CALLA DREAMLAND</t>
  </si>
  <si>
    <t>001!0611860981050</t>
  </si>
  <si>
    <t>ZANTED CALLA DRENTHE</t>
  </si>
  <si>
    <t>001!0611860982050</t>
  </si>
  <si>
    <t>ZANTED CALLA DUBAI NIGHTS</t>
  </si>
  <si>
    <t>001!0611860983050</t>
  </si>
  <si>
    <t>ZANTED CALLA DURBAN</t>
  </si>
  <si>
    <t>001!0611884523050</t>
  </si>
  <si>
    <t>ZANTED CALLA FANTASIA</t>
  </si>
  <si>
    <t>001!0611860984050</t>
  </si>
  <si>
    <t>ZANTED CALLA FESTIVAL</t>
  </si>
  <si>
    <t>001!0611860985050</t>
  </si>
  <si>
    <t>ZANTED CALLA FLIRT</t>
  </si>
  <si>
    <t>001!0611860986050</t>
  </si>
  <si>
    <t>ZANTED CALLA FURSA</t>
  </si>
  <si>
    <t>001!0611860987050</t>
  </si>
  <si>
    <t>ZANTED CALLA GARNET GLOW</t>
  </si>
  <si>
    <t>001!0611860988050</t>
  </si>
  <si>
    <t>ZANTED CALLA GENERIC</t>
  </si>
  <si>
    <t>001!0611840732100</t>
  </si>
  <si>
    <t>001!0611840733025</t>
  </si>
  <si>
    <t>ZANTED CALLA GOLD CROWN</t>
  </si>
  <si>
    <t>001!0611860989050</t>
  </si>
  <si>
    <t>ZANTED CALLA GOLD FEVER</t>
  </si>
  <si>
    <t>001!0611860990050</t>
  </si>
  <si>
    <t>ZANTED CALLA GOLD LABEL</t>
  </si>
  <si>
    <t>001!0611860991050</t>
  </si>
  <si>
    <t>ZANTED CALLA GOLD MEDAL</t>
  </si>
  <si>
    <t>001!0611860992050</t>
  </si>
  <si>
    <t>ZANTED CALLA GOLD RUSH</t>
  </si>
  <si>
    <t>001!0611860993050</t>
  </si>
  <si>
    <t>ZANTED CALLA GRAPE VELVET</t>
  </si>
  <si>
    <t>001!0611860994050</t>
  </si>
  <si>
    <t>ZANTED CALLA HANOI</t>
  </si>
  <si>
    <t>001!0611860995050</t>
  </si>
  <si>
    <t>ZANTED CALLA HELVETIA</t>
  </si>
  <si>
    <t>001!0611860996050</t>
  </si>
  <si>
    <t>ZANTED CALLA HOT CORAL</t>
  </si>
  <si>
    <t>001!0611860997050</t>
  </si>
  <si>
    <t>ZANTED CALLA ICE DANCER</t>
  </si>
  <si>
    <t>001!0611860998050</t>
  </si>
  <si>
    <t>ZANTED CALLA INTIMATE IVORY</t>
  </si>
  <si>
    <t>001!0611860999050</t>
  </si>
  <si>
    <t>ZANTED CALLA IZZY MAE</t>
  </si>
  <si>
    <t>001!0611861000050</t>
  </si>
  <si>
    <t>ZANTED CALLA JACK O LANTERN</t>
  </si>
  <si>
    <t>001!0611861001050</t>
  </si>
  <si>
    <t>ZANTED CALLA KASAI</t>
  </si>
  <si>
    <t>001!0611861002050</t>
  </si>
  <si>
    <t>ZANTED CALLA KUNMING</t>
  </si>
  <si>
    <t>001!0611884524050</t>
  </si>
  <si>
    <t>ZANTED CALLA LA PAZ</t>
  </si>
  <si>
    <t>001!0611861003050</t>
  </si>
  <si>
    <t>ZANTED CALLA LADY MARMALADE</t>
  </si>
  <si>
    <t>001!0611861004050</t>
  </si>
  <si>
    <t>ZANTED CALLA LAGUNA BEACH</t>
  </si>
  <si>
    <t>001!0611861005050</t>
  </si>
  <si>
    <t>ZANTED CALLA LE REVE</t>
  </si>
  <si>
    <t>001!0611861007050</t>
  </si>
  <si>
    <t>ZANTED CALLA LEMON DROP</t>
  </si>
  <si>
    <t>001!0611861008050</t>
  </si>
  <si>
    <t>ZANTED CALLA LIP GLOSS</t>
  </si>
  <si>
    <t>001!0611861009050</t>
  </si>
  <si>
    <t>ZANTED CALLA LONG BEACH</t>
  </si>
  <si>
    <t>001!0611861010050</t>
  </si>
  <si>
    <t>ZANTED CALLA MACAU</t>
  </si>
  <si>
    <t>001!0611861011050</t>
  </si>
  <si>
    <t>ZANTED CALLA MANILA</t>
  </si>
  <si>
    <t>001!0611861012050</t>
  </si>
  <si>
    <t>ZANTED CALLA MELLOW YELLOW</t>
  </si>
  <si>
    <t>001!0611861013050</t>
  </si>
  <si>
    <t>ZANTED CALLA MERCEDES</t>
  </si>
  <si>
    <t>001!0611861014050</t>
  </si>
  <si>
    <t>ZANTED CALLA MINT JULIP</t>
  </si>
  <si>
    <t>001!0611861015050</t>
  </si>
  <si>
    <t>ZANTED CALLA MONTE CARLO</t>
  </si>
  <si>
    <t>001!0611861016050</t>
  </si>
  <si>
    <t>ZANTED CALLA MONTEVIDEO</t>
  </si>
  <si>
    <t>001!0611861017050</t>
  </si>
  <si>
    <t>ZANTED CALLA MOON SHADOW</t>
  </si>
  <si>
    <t>001!0611861018050</t>
  </si>
  <si>
    <t>ZANTED CALLA MORNING SUN</t>
  </si>
  <si>
    <t>001!0611861019050</t>
  </si>
  <si>
    <t>ZANTED CALLA NASHVILLE</t>
  </si>
  <si>
    <t>001!0611861020050</t>
  </si>
  <si>
    <t>ZANTED CALLA NATURAL BOUQUET</t>
  </si>
  <si>
    <t>001!0611861021050</t>
  </si>
  <si>
    <t>ZANTED CALLA NEON KILLER</t>
  </si>
  <si>
    <t>001!0611861022050</t>
  </si>
  <si>
    <t>ZANTED CALLA NEW YORK</t>
  </si>
  <si>
    <t>001!0611861023050</t>
  </si>
  <si>
    <t>ZANTED CALLA NIGHT CLUB</t>
  </si>
  <si>
    <t>001!0611861024050</t>
  </si>
  <si>
    <t>ZANTED CALLA NIGHT LIFE</t>
  </si>
  <si>
    <t>001!0611861025050</t>
  </si>
  <si>
    <t>ZANTED CALLA NIKITA</t>
  </si>
  <si>
    <t>001!0611861026050</t>
  </si>
  <si>
    <t>ZANTED CALLA NOVI SUN</t>
  </si>
  <si>
    <t>001!0611861027050</t>
  </si>
  <si>
    <t>ZANTED CALLA ODESSA</t>
  </si>
  <si>
    <t>001!0611861028050</t>
  </si>
  <si>
    <t>ZANTED CALLA ORANGE ALERT</t>
  </si>
  <si>
    <t>001!0611861029050</t>
  </si>
  <si>
    <t>ZANTED CALLA ORANGE PRIDE</t>
  </si>
  <si>
    <t>001!0611861030050</t>
  </si>
  <si>
    <t>ZANTED CALLA OUTBACK</t>
  </si>
  <si>
    <t>001!0611861031050</t>
  </si>
  <si>
    <t>ZANTED CALLA PACO</t>
  </si>
  <si>
    <t>001!0611861032050</t>
  </si>
  <si>
    <t>ZANTED CALLA PASJA</t>
  </si>
  <si>
    <t>001!0611861033050</t>
  </si>
  <si>
    <t>ZANTED CALLA PEACH PAZAZZ</t>
  </si>
  <si>
    <t>001!0611861034050</t>
  </si>
  <si>
    <t>ZANTED CALLA PEACH PEARL</t>
  </si>
  <si>
    <t>001!0611861035050</t>
  </si>
  <si>
    <t>ZANTED CALLA PEPPERMINT TWIST</t>
  </si>
  <si>
    <t>001!0611861036050</t>
  </si>
  <si>
    <t>ZANTED CALLA PETERS PRIDE</t>
  </si>
  <si>
    <t>001!0611861037050</t>
  </si>
  <si>
    <t>ZANTED CALLA PICASSO</t>
  </si>
  <si>
    <t>001!0611861038050</t>
  </si>
  <si>
    <t>ZANTED CALLA PILLOW TALK</t>
  </si>
  <si>
    <t>001!0611861039050</t>
  </si>
  <si>
    <t>ZANTED CALLA PINK CLOUD</t>
  </si>
  <si>
    <t>001!0611861040050</t>
  </si>
  <si>
    <t>ZANTED CALLA PINK GIANT</t>
  </si>
  <si>
    <t>001!0611861041050</t>
  </si>
  <si>
    <t>ZANTED CALLA PINK HARMONY</t>
  </si>
  <si>
    <t>001!0611884525050</t>
  </si>
  <si>
    <t>ZANTED CALLA PINK JEWEL</t>
  </si>
  <si>
    <t>001!0611861042050</t>
  </si>
  <si>
    <t>ZANTED CALLA PINK POP</t>
  </si>
  <si>
    <t>001!0611884526050</t>
  </si>
  <si>
    <t>ZANTED CALLA PINK PUPPY</t>
  </si>
  <si>
    <t>001!0611861043050</t>
  </si>
  <si>
    <t>ZANTED CALLA PINK VELVET</t>
  </si>
  <si>
    <t>001!0611861044050</t>
  </si>
  <si>
    <t>ZANTED CALLA PURPLE SPIRIT</t>
  </si>
  <si>
    <t>001!0611861045050</t>
  </si>
  <si>
    <t>ZANTED CALLA PURPLE SYMPHONY</t>
  </si>
  <si>
    <t>001!0611884527050</t>
  </si>
  <si>
    <t>ZANTED CALLA RED ALERT</t>
  </si>
  <si>
    <t>001!0611861046050</t>
  </si>
  <si>
    <t>ZANTED CALLA RED CHARM</t>
  </si>
  <si>
    <t>001!0611861047050</t>
  </si>
  <si>
    <t>ZANTED CALLA RED EMOTION</t>
  </si>
  <si>
    <t>001!0611861048050</t>
  </si>
  <si>
    <t>ZANTED CALLA RED SYMPHONY</t>
  </si>
  <si>
    <t>001!0611884528050</t>
  </si>
  <si>
    <t>ZANTED CALLA RED VELVET</t>
  </si>
  <si>
    <t>001!0611861049050</t>
  </si>
  <si>
    <t>ZANTED CALLA RIO</t>
  </si>
  <si>
    <t>001!0611861050050</t>
  </si>
  <si>
    <t>ZANTED CALLA ROYAL PLUM</t>
  </si>
  <si>
    <t>001!0611861051050</t>
  </si>
  <si>
    <t>ZANTED CALLA ROYAL PRINCESS</t>
  </si>
  <si>
    <t>001!0611861052050</t>
  </si>
  <si>
    <t>ZANTED CALLA ROYAL VALENTINE</t>
  </si>
  <si>
    <t>001!0611861053050</t>
  </si>
  <si>
    <t>ZANTED CALLA RUBY TEMPTATION</t>
  </si>
  <si>
    <t>001!0611861054050</t>
  </si>
  <si>
    <t>ZANTED CALLA RUBYLITE ROSE</t>
  </si>
  <si>
    <t>001!0611861055050</t>
  </si>
  <si>
    <t>ZANTED CALLA SAMUR</t>
  </si>
  <si>
    <t>001!0611861056050</t>
  </si>
  <si>
    <t>ZANTED CALLA SAVANNAH</t>
  </si>
  <si>
    <t>001!0611861057050</t>
  </si>
  <si>
    <t>ZANTED CALLA SNOW LEOPARD</t>
  </si>
  <si>
    <t>001!0611861058050</t>
  </si>
  <si>
    <t>ZANTED CALLA SNOW STORM</t>
  </si>
  <si>
    <t>001!0611861059050</t>
  </si>
  <si>
    <t>ZANTED CALLA STINGRAY</t>
  </si>
  <si>
    <t>001!0611861060050</t>
  </si>
  <si>
    <t>ZANTED CALLA STRAWBERRY BLUSH</t>
  </si>
  <si>
    <t>001!0611861061050</t>
  </si>
  <si>
    <t>ZANTED CALLA STRAWBERRY DLGHT</t>
  </si>
  <si>
    <t>001!0611861062050</t>
  </si>
  <si>
    <t>ZANTED CALLA SUMATRA</t>
  </si>
  <si>
    <t>001!0611861063050</t>
  </si>
  <si>
    <t>ZANTED CALLA SUMMER SUN</t>
  </si>
  <si>
    <t>001!0611861064050</t>
  </si>
  <si>
    <t>ZANTED CALLA SUN CLUB</t>
  </si>
  <si>
    <t>001!0611861065050</t>
  </si>
  <si>
    <t>ZANTED CALLA SUNSET PASSION</t>
  </si>
  <si>
    <t>001!0611861066050</t>
  </si>
  <si>
    <t>ZANTED CALLA SUNYA</t>
  </si>
  <si>
    <t>001!0611861067050</t>
  </si>
  <si>
    <t>ZANTED CALLA SWEET TALK</t>
  </si>
  <si>
    <t>001!0611861068050</t>
  </si>
  <si>
    <t>ZANTED CALLA TOKYO</t>
  </si>
  <si>
    <t>001!0611884529050</t>
  </si>
  <si>
    <t>ZANTED CALLA TORONTO</t>
  </si>
  <si>
    <t>001!0611861069050</t>
  </si>
  <si>
    <t>ZANTED CALLA TORREY PINES</t>
  </si>
  <si>
    <t>001!0611861070050</t>
  </si>
  <si>
    <t>ZANTED CALLA TROPICAL</t>
  </si>
  <si>
    <t>001!0611861071050</t>
  </si>
  <si>
    <t>ZANTED CALLA TWILIGHT</t>
  </si>
  <si>
    <t>001!0611861072050</t>
  </si>
  <si>
    <t>ZANTED CALLA UNIVERSE</t>
  </si>
  <si>
    <t>001!0611861073050</t>
  </si>
  <si>
    <t>ZANTED CALLA VALENCIA</t>
  </si>
  <si>
    <t>001!0611861074050</t>
  </si>
  <si>
    <t>ZANTED CALLA VENICE BEACH</t>
  </si>
  <si>
    <t>001!0611861075050</t>
  </si>
  <si>
    <t>ZANTED CALLA WHITE FLIRT</t>
  </si>
  <si>
    <t>001!0611861076050</t>
  </si>
  <si>
    <t>ZANTED CALLA WHITEHORSE</t>
  </si>
  <si>
    <t>001!0611861077050</t>
  </si>
  <si>
    <t>ZANTED CALLA WILD SALMON</t>
  </si>
  <si>
    <t>001!0611861078050</t>
  </si>
  <si>
    <t>ZANTED CALLA WISLEY</t>
  </si>
  <si>
    <t>001!0611861079050</t>
  </si>
  <si>
    <t>ZINNIA BELIZE SERIES</t>
  </si>
  <si>
    <t>001!0611884530100</t>
  </si>
  <si>
    <t>ZINNIA BENARYS GIANT BRIGHT PK</t>
  </si>
  <si>
    <t>001!0611840746100</t>
  </si>
  <si>
    <t>ZINNIA BENARYS GIANT DEEP RED</t>
  </si>
  <si>
    <t>001!0611840747100</t>
  </si>
  <si>
    <t>ZINNIA BENARYS GIANT GLDEN YEL</t>
  </si>
  <si>
    <t>001!0611840748100</t>
  </si>
  <si>
    <t>ZINNIA BENARYS GIANT LIME</t>
  </si>
  <si>
    <t>001!0611840749100</t>
  </si>
  <si>
    <t>ZINNIA BENARYS GIANT MIX</t>
  </si>
  <si>
    <t>001!0611840750100</t>
  </si>
  <si>
    <t>ZINNIA BENARYS GIANT ORANGE</t>
  </si>
  <si>
    <t>001!0611840751100</t>
  </si>
  <si>
    <t>ZINNIA BENARYS GIANT PURPLE</t>
  </si>
  <si>
    <t>001!0611840752100</t>
  </si>
  <si>
    <t>ZINNIA BENARYS GIANT SERIES</t>
  </si>
  <si>
    <t>001!0611840753100</t>
  </si>
  <si>
    <t>ZINNIA BENARYS GIANT WINE</t>
  </si>
  <si>
    <t>001!0611840754100</t>
  </si>
  <si>
    <t>ZINNIA CACTUS FLOWERD MIX GNRC</t>
  </si>
  <si>
    <t>001!0611840755100</t>
  </si>
  <si>
    <t>ZINNIA CANDY MIX</t>
  </si>
  <si>
    <t>001!0611840756100</t>
  </si>
  <si>
    <t>ZINNIA CRYSTAL ORANGE</t>
  </si>
  <si>
    <t>001!0611840758100</t>
  </si>
  <si>
    <t>ZINNIA CRYSTAL WHITE</t>
  </si>
  <si>
    <t>001!0611840760100</t>
  </si>
  <si>
    <t>ZINNIA CRYSTAL YELLOW</t>
  </si>
  <si>
    <t>001!0611840761100</t>
  </si>
  <si>
    <t>ZINNIA CUT N COME AGAIN</t>
  </si>
  <si>
    <t>001!0611840762100</t>
  </si>
  <si>
    <t>ZINNIA DREAMLAND CORAL</t>
  </si>
  <si>
    <t>001!0611840763100</t>
  </si>
  <si>
    <t>ZINNIA DREAMLAND IVORY</t>
  </si>
  <si>
    <t>001!0611840764100</t>
  </si>
  <si>
    <t>ZINNIA DREAMLAND MIX</t>
  </si>
  <si>
    <t>001!0611840765100</t>
  </si>
  <si>
    <t>ZINNIA DREAMLAND PINK</t>
  </si>
  <si>
    <t>001!0611840766100</t>
  </si>
  <si>
    <t>ZINNIA DREAMLAND RED</t>
  </si>
  <si>
    <t>001!0611840767100</t>
  </si>
  <si>
    <t>ZINNIA DREAMLAND ROSE</t>
  </si>
  <si>
    <t>001!0611840768100</t>
  </si>
  <si>
    <t>ZINNIA DREAMLAND SCARLET</t>
  </si>
  <si>
    <t>001!0611840769100</t>
  </si>
  <si>
    <t>ZINNIA DREAMLAND YELLOW</t>
  </si>
  <si>
    <t>001!0611840770100</t>
  </si>
  <si>
    <t>ZINNIA DWARF GENERIC</t>
  </si>
  <si>
    <t>001!0611840771100</t>
  </si>
  <si>
    <t>ZINNIA ENVY</t>
  </si>
  <si>
    <t>001!0611840772100</t>
  </si>
  <si>
    <t>ZINNIA GENERIC</t>
  </si>
  <si>
    <t>001!0611840890025</t>
  </si>
  <si>
    <t>ZINNIA HOLI PINK</t>
  </si>
  <si>
    <t>001!0611840774100</t>
  </si>
  <si>
    <t>ZINNIA HOLI SCARLET</t>
  </si>
  <si>
    <t>001!0611840775100</t>
  </si>
  <si>
    <t>ZINNIA LILLIPUT MIX</t>
  </si>
  <si>
    <t>001!0611840776100</t>
  </si>
  <si>
    <t>ZINNIA MAGELLAN CHERRY</t>
  </si>
  <si>
    <t>001!0611840777100</t>
  </si>
  <si>
    <t>ZINNIA MAGELLAN CORAL</t>
  </si>
  <si>
    <t>001!0611840778100</t>
  </si>
  <si>
    <t>ZINNIA MAGELLAN IVORY</t>
  </si>
  <si>
    <t>001!0611840779100</t>
  </si>
  <si>
    <t>ZINNIA MAGELLAN MIX</t>
  </si>
  <si>
    <t>001!0611840780100</t>
  </si>
  <si>
    <t>ZINNIA MAGELLAN ORANGE</t>
  </si>
  <si>
    <t>001!0611840781100</t>
  </si>
  <si>
    <t>ZINNIA MAGELLAN PINK</t>
  </si>
  <si>
    <t>001!0611840782100</t>
  </si>
  <si>
    <t>ZINNIA MAGELLAN SALMON</t>
  </si>
  <si>
    <t>001!0611840783100</t>
  </si>
  <si>
    <t>ZINNIA MAGELLAN SCARLET</t>
  </si>
  <si>
    <t>001!0611840784100</t>
  </si>
  <si>
    <t>ZINNIA MAGELLAN YELLOW</t>
  </si>
  <si>
    <t>001!0611840785100</t>
  </si>
  <si>
    <t>ZINNIA OKLAHOMA MIX</t>
  </si>
  <si>
    <t>001!0611840786100</t>
  </si>
  <si>
    <t>ZINNIA PRECIOSA MIX</t>
  </si>
  <si>
    <t>001!0611840788100</t>
  </si>
  <si>
    <t>ZINNIA PRECIOSA PINK</t>
  </si>
  <si>
    <t>001!0611840789100</t>
  </si>
  <si>
    <t>ZINNIA PRECIOSA RED</t>
  </si>
  <si>
    <t>001!0611840790100</t>
  </si>
  <si>
    <t>ZINNIA PRECIOSA ROSE</t>
  </si>
  <si>
    <t>001!0611840791100</t>
  </si>
  <si>
    <t>ZINNIA PRECIOSA SCARLET</t>
  </si>
  <si>
    <t>001!0611840792100</t>
  </si>
  <si>
    <t>ZINNIA PRECIOSA WHITE</t>
  </si>
  <si>
    <t>001!0611840793100</t>
  </si>
  <si>
    <t>ZINNIA PRECIOSA YELLOW</t>
  </si>
  <si>
    <t>001!0611840794100</t>
  </si>
  <si>
    <t>ZINNIA PRECIOSA YELLOW LT</t>
  </si>
  <si>
    <t>001!0611840795100</t>
  </si>
  <si>
    <t>ZINNIA PROFUSION 4 COLOR MIX</t>
  </si>
  <si>
    <t>001!0611840814100</t>
  </si>
  <si>
    <t>ZINNIA PROFUSION 5 COLOR MIX</t>
  </si>
  <si>
    <t>001!0611840813100</t>
  </si>
  <si>
    <t>ZINNIA PROFUSION ALL AMERIC MX</t>
  </si>
  <si>
    <t>001!0611840796100</t>
  </si>
  <si>
    <t>ZINNIA PROFUSION APRICOT</t>
  </si>
  <si>
    <t>001!0611840797100</t>
  </si>
  <si>
    <t>ZINNIA PROFUSION CHERRY</t>
  </si>
  <si>
    <t>001!0611840798100</t>
  </si>
  <si>
    <t>ZINNIA PROFUSION CHERRY BIC</t>
  </si>
  <si>
    <t>001!0611840799100</t>
  </si>
  <si>
    <t>ZINNIA PROFUSION CORAL PINK</t>
  </si>
  <si>
    <t>001!0611840800100</t>
  </si>
  <si>
    <t>ZINNIA PROFUSION DBL DP SLMN</t>
  </si>
  <si>
    <t>001!0611840801100</t>
  </si>
  <si>
    <t>ZINNIA PROFUSION DBL HOT CHRRY</t>
  </si>
  <si>
    <t>001!0611840802100</t>
  </si>
  <si>
    <t>ZINNIA PROFUSION DEEP APRICOT</t>
  </si>
  <si>
    <t>001!0611840803100</t>
  </si>
  <si>
    <t>ZINNIA PROFUSION DOUBLE CHERRY</t>
  </si>
  <si>
    <t>001!0611840804100</t>
  </si>
  <si>
    <t>ZINNIA PROFUSION DOUBLE FIRE</t>
  </si>
  <si>
    <t>001!0611840805100</t>
  </si>
  <si>
    <t>ZINNIA PROFUSION DOUBLE GOLDEN</t>
  </si>
  <si>
    <t>001!0611840806100</t>
  </si>
  <si>
    <t>ZINNIA PROFUSION DOUBLE MIX</t>
  </si>
  <si>
    <t>001!0611840807100</t>
  </si>
  <si>
    <t>ZINNIA PROFUSION DOUBLE RED</t>
  </si>
  <si>
    <t>001!0611840808100</t>
  </si>
  <si>
    <t>ZINNIA PROFUSION DOUBLE SERIES</t>
  </si>
  <si>
    <t>001!0611840809100</t>
  </si>
  <si>
    <t>ZINNIA PROFUSION DOUBLE WHITE</t>
  </si>
  <si>
    <t>001!0611840810100</t>
  </si>
  <si>
    <t>ZINNIA PROFUSION DOUBLE YELLOW</t>
  </si>
  <si>
    <t>001!0611840811100</t>
  </si>
  <si>
    <t>ZINNIA PROFUSION FIRE</t>
  </si>
  <si>
    <t>001!0611840812100</t>
  </si>
  <si>
    <t>ZINNIA PROFUSION LEMON</t>
  </si>
  <si>
    <t>001!0611840815100</t>
  </si>
  <si>
    <t>ZINNIA PROFUSION MIX</t>
  </si>
  <si>
    <t>001!0611840816100</t>
  </si>
  <si>
    <t>ZINNIA PROFUSION ORANGE</t>
  </si>
  <si>
    <t>001!0611840817100</t>
  </si>
  <si>
    <t>ZINNIA PROFUSION RED</t>
  </si>
  <si>
    <t>001!0611840818100</t>
  </si>
  <si>
    <t>ZINNIA PROFUSION RED YELL BIC</t>
  </si>
  <si>
    <t>001!0611840819100</t>
  </si>
  <si>
    <t>ZINNIA PROFUSION SUNRISE MIX</t>
  </si>
  <si>
    <t>001!0611840820100</t>
  </si>
  <si>
    <t>ZINNIA PROFUSION WHITE</t>
  </si>
  <si>
    <t>001!0611840821100</t>
  </si>
  <si>
    <t>ZINNIA PROFUSION YELLOW</t>
  </si>
  <si>
    <t>001!0611840822100</t>
  </si>
  <si>
    <t>ZINNIA PRUSION SEVEN COLOR MX</t>
  </si>
  <si>
    <t>001!0611840823100</t>
  </si>
  <si>
    <t>ZINNIA PULCINO MIX</t>
  </si>
  <si>
    <t>001!0611840824100</t>
  </si>
  <si>
    <t>ZINNIA QUEEN LIME</t>
  </si>
  <si>
    <t>001!0611840825100</t>
  </si>
  <si>
    <t>ZINNIA QUEEN RED LIME</t>
  </si>
  <si>
    <t>001!0611840826100</t>
  </si>
  <si>
    <t>ZINNIA QUEENY LEMON PEACH</t>
  </si>
  <si>
    <t>001!0611857184100</t>
  </si>
  <si>
    <t>ZINNIA QUEENY LIME ORANGE</t>
  </si>
  <si>
    <t>001!0611840827100</t>
  </si>
  <si>
    <t>ZINNIA SHORT STUFF CHERRY SHDS</t>
  </si>
  <si>
    <t>001!0611840836100</t>
  </si>
  <si>
    <t>ZINNIA SHORT STUFF CORAL</t>
  </si>
  <si>
    <t>001!0611840828100</t>
  </si>
  <si>
    <t>ZINNIA SHORT STUFF DEEP RED</t>
  </si>
  <si>
    <t>001!0611840829100</t>
  </si>
  <si>
    <t>ZINNIA SHORT STUFF FIRE MIX</t>
  </si>
  <si>
    <t>001!0611840830100</t>
  </si>
  <si>
    <t>ZINNIA SHORT STUFF GOLD</t>
  </si>
  <si>
    <t>001!0611840831100</t>
  </si>
  <si>
    <t>ZINNIA SHORT STUFF MIX</t>
  </si>
  <si>
    <t>001!0611840832100</t>
  </si>
  <si>
    <t>ZINNIA SHORT STUFF ORANGE</t>
  </si>
  <si>
    <t>001!0611840833100</t>
  </si>
  <si>
    <t>ZINNIA SHORT STUFF SCARLET</t>
  </si>
  <si>
    <t>001!0611840834100</t>
  </si>
  <si>
    <t>ZINNIA STAR GOLD</t>
  </si>
  <si>
    <t>001!0611840837100</t>
  </si>
  <si>
    <t>ZINNIA STAR ORANGE</t>
  </si>
  <si>
    <t>001!0611840838100</t>
  </si>
  <si>
    <t>ZINNIA STAR WHITE</t>
  </si>
  <si>
    <t>001!0611840839100</t>
  </si>
  <si>
    <t>ZINNIA STARBRIGHT MIX</t>
  </si>
  <si>
    <t>001!0611840840100</t>
  </si>
  <si>
    <t>ZINNIA STATE FAIR MIX</t>
  </si>
  <si>
    <t>001!0611840841100</t>
  </si>
  <si>
    <t>ZINNIA SWIZZLE CHERRY/IVORY</t>
  </si>
  <si>
    <t>001!0611840842100</t>
  </si>
  <si>
    <t>ZINNIA SWIZZLE SCARLET/YELLOW</t>
  </si>
  <si>
    <t>001!0611840843100</t>
  </si>
  <si>
    <t>ZINNIA TALL CORAL SALMON GNRC</t>
  </si>
  <si>
    <t>001!0611840845100</t>
  </si>
  <si>
    <t>ZINNIA TALL GENERIC</t>
  </si>
  <si>
    <t>001!0611840846100</t>
  </si>
  <si>
    <t>ZINNIA TALL IVORY WH GENERIC</t>
  </si>
  <si>
    <t>001!0611840847100</t>
  </si>
  <si>
    <t>ZINNIA THUMBELINA MIX</t>
  </si>
  <si>
    <t>001!0611840848100</t>
  </si>
  <si>
    <t>ZINNIA UPROAR ROSE</t>
  </si>
  <si>
    <t>001!0611840849100</t>
  </si>
  <si>
    <t>ZINNIA ZAHARA BONFIRE MIX</t>
  </si>
  <si>
    <t>001!0611840850100</t>
  </si>
  <si>
    <t>ZINNIA ZAHARA CHERRY</t>
  </si>
  <si>
    <t>001!0611840851100</t>
  </si>
  <si>
    <t>ZINNIA ZAHARA CORAL ROSE</t>
  </si>
  <si>
    <t>001!0611840852100</t>
  </si>
  <si>
    <t>ZINNIA ZAHARA DBL BRIGHT ORG</t>
  </si>
  <si>
    <t>001!0611840853100</t>
  </si>
  <si>
    <t>ZINNIA ZAHARA DBL BRILLIANT MX</t>
  </si>
  <si>
    <t>001!0611840854100</t>
  </si>
  <si>
    <t>ZINNIA ZAHARA DBL RASP RIPPLE</t>
  </si>
  <si>
    <t>001!0611840855100</t>
  </si>
  <si>
    <t>ZINNIA ZAHARA DOUBLE CHERRY</t>
  </si>
  <si>
    <t>001!0611840856100</t>
  </si>
  <si>
    <t>ZINNIA ZAHARA DOUBLE DUO MIX</t>
  </si>
  <si>
    <t>001!0611840857100</t>
  </si>
  <si>
    <t>ZINNIA ZAHARA DOUBLE FIRE</t>
  </si>
  <si>
    <t>001!0611840858100</t>
  </si>
  <si>
    <t>ZINNIA ZAHARA DOUBLE MIX</t>
  </si>
  <si>
    <t>001!0611840859100</t>
  </si>
  <si>
    <t>ZINNIA ZAHARA DOUBLE SALMON</t>
  </si>
  <si>
    <t>001!0611840860100</t>
  </si>
  <si>
    <t>ZINNIA ZAHARA DOUBLE SALMON RS</t>
  </si>
  <si>
    <t>001!0611840861100</t>
  </si>
  <si>
    <t>ZINNIA ZAHARA DOUBLE WHITE</t>
  </si>
  <si>
    <t>001!0611840863100</t>
  </si>
  <si>
    <t>ZINNIA ZAHARA DOUBLE YELLOW</t>
  </si>
  <si>
    <t>001!0611840864100</t>
  </si>
  <si>
    <t>ZINNIA ZAHARA FIRE</t>
  </si>
  <si>
    <t>001!0611840865100</t>
  </si>
  <si>
    <t>ZINNIA ZAHARA MIX</t>
  </si>
  <si>
    <t>001!0611840866100</t>
  </si>
  <si>
    <t>ZINNIA ZAHARA RASP LMNADE MX</t>
  </si>
  <si>
    <t>001!0611840867100</t>
  </si>
  <si>
    <t>ZINNIA ZAHARA RASPBERRY</t>
  </si>
  <si>
    <t>001!0611840868100</t>
  </si>
  <si>
    <t>ZINNIA ZAHARA RED</t>
  </si>
  <si>
    <t>001!0611840869100</t>
  </si>
  <si>
    <t>ZINNIA ZAHARA SCARLET</t>
  </si>
  <si>
    <t>001!0611840870100</t>
  </si>
  <si>
    <t>ZINNIA ZAHARA STARLIGHT ROSE</t>
  </si>
  <si>
    <t>001!0611840871100</t>
  </si>
  <si>
    <t>ZINNIA ZAHARA SUNBURST</t>
  </si>
  <si>
    <t>001!0611840872100</t>
  </si>
  <si>
    <t>ZINNIA ZAHARA WHITE</t>
  </si>
  <si>
    <t>001!0611840873100</t>
  </si>
  <si>
    <t>ZINNIA ZAHARA XL FIRE</t>
  </si>
  <si>
    <t>001!0611840874100</t>
  </si>
  <si>
    <t>ZINNIA ZAHARA XL YELLOW</t>
  </si>
  <si>
    <t>001!0611840877100</t>
  </si>
  <si>
    <t>ZINNIA ZAHARA YELLOW</t>
  </si>
  <si>
    <t>001!0611840878100</t>
  </si>
  <si>
    <t>ZINNIA ZANY ROSE PICOTEE</t>
  </si>
  <si>
    <t>001!0611864326050</t>
  </si>
  <si>
    <t>ZINNIA ZANY SCARLET</t>
  </si>
  <si>
    <t>001!0611864327050</t>
  </si>
  <si>
    <t>ZINNIA ZESTY FUCHSIA</t>
  </si>
  <si>
    <t>001!0611840879100</t>
  </si>
  <si>
    <t>ZINNIA ZESTY MIX</t>
  </si>
  <si>
    <t>001!0611840880100</t>
  </si>
  <si>
    <t>ZINNIA ZESTY ORANGE</t>
  </si>
  <si>
    <t>001!0611857185100</t>
  </si>
  <si>
    <t>ZINNIA ZESTY PINK</t>
  </si>
  <si>
    <t>001!0611840881100</t>
  </si>
  <si>
    <t>ZINNIA ZESTY PURPLE</t>
  </si>
  <si>
    <t>001!0611840882100</t>
  </si>
  <si>
    <t>ZINNIA ZESTY SCARLET</t>
  </si>
  <si>
    <t>001!0611840883100</t>
  </si>
  <si>
    <t>ZINNIA ZESTY WHITE</t>
  </si>
  <si>
    <t>001!0611840884100</t>
  </si>
  <si>
    <t>ZINNIA ZESTY YELLOW</t>
  </si>
  <si>
    <t>001!0611840885100</t>
  </si>
  <si>
    <t>ZINNIA ZINDERELLA LILAC</t>
  </si>
  <si>
    <t>001!0611840886100</t>
  </si>
  <si>
    <t>ZINNIA ZINDERELLA PEACH</t>
  </si>
  <si>
    <t>001!0611840887100</t>
  </si>
  <si>
    <t>ZINNIA ZINDERELLA PURPLE</t>
  </si>
  <si>
    <t>001!0611840888100</t>
  </si>
  <si>
    <t>ZINNIA ZINDERELLA RED</t>
  </si>
  <si>
    <t>001!0611840889100</t>
  </si>
  <si>
    <t>ZINNIA ZINNIA GNRC BLNGL DSIGN</t>
  </si>
  <si>
    <t>001!0611840891100</t>
  </si>
  <si>
    <t>ZINNIA ZINNITA MIX</t>
  </si>
  <si>
    <t>001!0611840892100</t>
  </si>
  <si>
    <t>ZINNIA ZOWIE YELLOW FLAME</t>
  </si>
  <si>
    <t>001!0611840895100</t>
  </si>
  <si>
    <t>ZINNIA ZYDECO CHERRY</t>
  </si>
  <si>
    <t>001!0611857186100</t>
  </si>
  <si>
    <t>ZINNIA ZYDECO DEEP YELLOW</t>
  </si>
  <si>
    <t>001!0611857187100</t>
  </si>
  <si>
    <t>ZINNIA ZYDECO FIRE</t>
  </si>
  <si>
    <t>001!0611857188100</t>
  </si>
  <si>
    <t>ZINNIA ZYDECO MIX</t>
  </si>
  <si>
    <t>001!0611884531100</t>
  </si>
  <si>
    <t>ZINNIA ZYDECO WHITE</t>
  </si>
  <si>
    <t>001!0611857189100</t>
  </si>
  <si>
    <t xml:space="preserve">Westrock number. </t>
  </si>
  <si>
    <t xml:space="preserve">Griffin P.O. # </t>
  </si>
  <si>
    <t>Customer account #:</t>
  </si>
  <si>
    <t>Requested Shipping Date:</t>
  </si>
  <si>
    <t>Sold To:</t>
  </si>
  <si>
    <t>Phone:</t>
  </si>
  <si>
    <t>Ship To:</t>
  </si>
  <si>
    <t>Total Tags:</t>
  </si>
  <si>
    <t>West Rock Tag order Form</t>
  </si>
  <si>
    <t>LG0011</t>
  </si>
  <si>
    <t>LK1833</t>
  </si>
  <si>
    <t>LF0240</t>
  </si>
  <si>
    <t>LK2508</t>
  </si>
  <si>
    <t>CR3308</t>
  </si>
  <si>
    <t>MC3093</t>
  </si>
  <si>
    <t>MB0250</t>
  </si>
  <si>
    <t>LG0100</t>
  </si>
  <si>
    <t>LB0195</t>
  </si>
  <si>
    <t>CR3196</t>
  </si>
  <si>
    <t>MC0825</t>
  </si>
  <si>
    <t>MC0971</t>
  </si>
  <si>
    <t>CN5000</t>
  </si>
  <si>
    <t>CR4148</t>
  </si>
  <si>
    <t>LH0343</t>
  </si>
  <si>
    <t>MC0001</t>
  </si>
  <si>
    <t>MQ3096</t>
  </si>
  <si>
    <t>CE0949</t>
  </si>
  <si>
    <t>MQ3097</t>
  </si>
  <si>
    <t>CE0951</t>
  </si>
  <si>
    <t>MQ3098</t>
  </si>
  <si>
    <t>CE0952</t>
  </si>
  <si>
    <t>MQ3099</t>
  </si>
  <si>
    <t>CE0953</t>
  </si>
  <si>
    <t>MC3332</t>
  </si>
  <si>
    <t>CR4150</t>
  </si>
  <si>
    <t>MC4399</t>
  </si>
  <si>
    <t>MQ7246</t>
  </si>
  <si>
    <t>MQ7247</t>
  </si>
  <si>
    <t>MQ0634</t>
  </si>
  <si>
    <t>MQ0813</t>
  </si>
  <si>
    <t>MQ3109</t>
  </si>
  <si>
    <t>MC0002</t>
  </si>
  <si>
    <t>CR4144</t>
  </si>
  <si>
    <t>MQ3110</t>
  </si>
  <si>
    <t>CR4145</t>
  </si>
  <si>
    <t>MQ3111</t>
  </si>
  <si>
    <t>MQ3112</t>
  </si>
  <si>
    <t>CR4146</t>
  </si>
  <si>
    <t>MQ3113</t>
  </si>
  <si>
    <t>CN5001</t>
  </si>
  <si>
    <t>MC0003</t>
  </si>
  <si>
    <t>CR4147</t>
  </si>
  <si>
    <t>CN2301</t>
  </si>
  <si>
    <t>CN2302</t>
  </si>
  <si>
    <t>CN2336</t>
  </si>
  <si>
    <t>MC4079</t>
  </si>
  <si>
    <t>MC4362</t>
  </si>
  <si>
    <t>LH0370</t>
  </si>
  <si>
    <t>MC0007</t>
  </si>
  <si>
    <t>MQ0682</t>
  </si>
  <si>
    <t>MQ0749</t>
  </si>
  <si>
    <t>CN5002</t>
  </si>
  <si>
    <t>MC0826</t>
  </si>
  <si>
    <t>CR4149</t>
  </si>
  <si>
    <t>MC3668</t>
  </si>
  <si>
    <t>MC0980</t>
  </si>
  <si>
    <t>MC0828</t>
  </si>
  <si>
    <t>MC1901</t>
  </si>
  <si>
    <t>CN2000</t>
  </si>
  <si>
    <t>CN2001</t>
  </si>
  <si>
    <t>CN2002</t>
  </si>
  <si>
    <t>LH0450</t>
  </si>
  <si>
    <t>MC0012</t>
  </si>
  <si>
    <t>CN2003</t>
  </si>
  <si>
    <t>LG1003</t>
  </si>
  <si>
    <t>LG8030</t>
  </si>
  <si>
    <t>CN2004</t>
  </si>
  <si>
    <t>CN2005</t>
  </si>
  <si>
    <t>CN2006</t>
  </si>
  <si>
    <t>LF0006</t>
  </si>
  <si>
    <t>MC4091</t>
  </si>
  <si>
    <t>LC5105</t>
  </si>
  <si>
    <t>MC3669</t>
  </si>
  <si>
    <t>MC3991</t>
  </si>
  <si>
    <t>LH8878</t>
  </si>
  <si>
    <t>MC3992</t>
  </si>
  <si>
    <t>MC3993</t>
  </si>
  <si>
    <t>CN2404</t>
  </si>
  <si>
    <t>CN2337</t>
  </si>
  <si>
    <t>CN2338</t>
  </si>
  <si>
    <t>CN2339</t>
  </si>
  <si>
    <t>CN5004</t>
  </si>
  <si>
    <t>MC2624</t>
  </si>
  <si>
    <t>CR4152</t>
  </si>
  <si>
    <t>MQ0750</t>
  </si>
  <si>
    <t>MQ0145</t>
  </si>
  <si>
    <t>CN5003</t>
  </si>
  <si>
    <t>MC1504</t>
  </si>
  <si>
    <t>CR4151</t>
  </si>
  <si>
    <t>LH0200</t>
  </si>
  <si>
    <t>MQ0817</t>
  </si>
  <si>
    <t>MC4341</t>
  </si>
  <si>
    <t>MQ0146</t>
  </si>
  <si>
    <t>MQ0147</t>
  </si>
  <si>
    <t>MQ0148</t>
  </si>
  <si>
    <t>MQ0149</t>
  </si>
  <si>
    <t>MQ0404</t>
  </si>
  <si>
    <t>CR3919</t>
  </si>
  <si>
    <t>CR3984</t>
  </si>
  <si>
    <t>MQ0150</t>
  </si>
  <si>
    <t>MQ0151</t>
  </si>
  <si>
    <t>MQ3116</t>
  </si>
  <si>
    <t>MQ5156</t>
  </si>
  <si>
    <t>CR3920</t>
  </si>
  <si>
    <t>MQ0818</t>
  </si>
  <si>
    <t>MQ0405</t>
  </si>
  <si>
    <t>CR3921</t>
  </si>
  <si>
    <t>MQ0406</t>
  </si>
  <si>
    <t>CR3922</t>
  </si>
  <si>
    <t>MQ0407</t>
  </si>
  <si>
    <t>CR3924</t>
  </si>
  <si>
    <t>MQ0408</t>
  </si>
  <si>
    <t>CR3925</t>
  </si>
  <si>
    <t>MQ0152</t>
  </si>
  <si>
    <t>MQ6000</t>
  </si>
  <si>
    <t>MQ0635</t>
  </si>
  <si>
    <t>MQ6001</t>
  </si>
  <si>
    <t>MQ0683</t>
  </si>
  <si>
    <t>MQ0684</t>
  </si>
  <si>
    <t>MQ0459</t>
  </si>
  <si>
    <t>MQ0461</t>
  </si>
  <si>
    <t>MQ0462</t>
  </si>
  <si>
    <t>MQ0558</t>
  </si>
  <si>
    <t>MQ0463</t>
  </si>
  <si>
    <t>MQ6002</t>
  </si>
  <si>
    <t>MQ0464</t>
  </si>
  <si>
    <t>MQ0465</t>
  </si>
  <si>
    <t>MQ0466</t>
  </si>
  <si>
    <t>MC2837</t>
  </si>
  <si>
    <t>MC3539</t>
  </si>
  <si>
    <t>LK6297</t>
  </si>
  <si>
    <t>LQ6149</t>
  </si>
  <si>
    <t>LQ6150</t>
  </si>
  <si>
    <t>LQ6049</t>
  </si>
  <si>
    <t>LK3768</t>
  </si>
  <si>
    <t>LQ0776</t>
  </si>
  <si>
    <t>LB0245</t>
  </si>
  <si>
    <t>LB0232</t>
  </si>
  <si>
    <t>LQ3369</t>
  </si>
  <si>
    <t>LQ3370</t>
  </si>
  <si>
    <t>LQ3371</t>
  </si>
  <si>
    <t>LQ3372</t>
  </si>
  <si>
    <t>LS0001</t>
  </si>
  <si>
    <t>LK5429</t>
  </si>
  <si>
    <t>LB0280</t>
  </si>
  <si>
    <t>LK1940</t>
  </si>
  <si>
    <t>LK1941</t>
  </si>
  <si>
    <t>LB0231</t>
  </si>
  <si>
    <t>LB0370</t>
  </si>
  <si>
    <t>LK5161</t>
  </si>
  <si>
    <t>LF0369</t>
  </si>
  <si>
    <t>LF0022</t>
  </si>
  <si>
    <t>LQ0672</t>
  </si>
  <si>
    <t>LQ3254</t>
  </si>
  <si>
    <t>CN5005</t>
  </si>
  <si>
    <t>MQ3008</t>
  </si>
  <si>
    <t>CR4157</t>
  </si>
  <si>
    <t>MQ5157</t>
  </si>
  <si>
    <t>LH0507</t>
  </si>
  <si>
    <t>MC0015</t>
  </si>
  <si>
    <t>CN5006</t>
  </si>
  <si>
    <t>LH0510</t>
  </si>
  <si>
    <t>MC0016</t>
  </si>
  <si>
    <t>CE0955</t>
  </si>
  <si>
    <t>CN5007</t>
  </si>
  <si>
    <t>CN5008</t>
  </si>
  <si>
    <t>MC0018</t>
  </si>
  <si>
    <t>CN5012</t>
  </si>
  <si>
    <t>MC1605</t>
  </si>
  <si>
    <t>CR4159</t>
  </si>
  <si>
    <t>MQ0751</t>
  </si>
  <si>
    <t>MQ0752</t>
  </si>
  <si>
    <t>MQ0753</t>
  </si>
  <si>
    <t>MQ0754</t>
  </si>
  <si>
    <t>MQ0755</t>
  </si>
  <si>
    <t>MQ0756</t>
  </si>
  <si>
    <t>MQ0757</t>
  </si>
  <si>
    <t>CN5009</t>
  </si>
  <si>
    <t>MC2838</t>
  </si>
  <si>
    <t>CN5010</t>
  </si>
  <si>
    <t>MC2208</t>
  </si>
  <si>
    <t>CR4156</t>
  </si>
  <si>
    <t>CN5011</t>
  </si>
  <si>
    <t>CN2343</t>
  </si>
  <si>
    <t>CN2341</t>
  </si>
  <si>
    <t>CN2342</t>
  </si>
  <si>
    <t>MC0991</t>
  </si>
  <si>
    <t>LH4730</t>
  </si>
  <si>
    <t>MC0020</t>
  </si>
  <si>
    <t>MC0021</t>
  </si>
  <si>
    <t>MC3598</t>
  </si>
  <si>
    <t>MC0024</t>
  </si>
  <si>
    <t>MC0025</t>
  </si>
  <si>
    <t>MC0026</t>
  </si>
  <si>
    <t>MC1768</t>
  </si>
  <si>
    <t>MC1767</t>
  </si>
  <si>
    <t>MC0994</t>
  </si>
  <si>
    <t>MC3670</t>
  </si>
  <si>
    <t>MC0027</t>
  </si>
  <si>
    <t>MC1606</t>
  </si>
  <si>
    <t>LK1258</t>
  </si>
  <si>
    <t>MC0029</t>
  </si>
  <si>
    <t>MC3467</t>
  </si>
  <si>
    <t>MC3468</t>
  </si>
  <si>
    <t>MC3470</t>
  </si>
  <si>
    <t>MC4040</t>
  </si>
  <si>
    <t>MC4041</t>
  </si>
  <si>
    <t>MC4042</t>
  </si>
  <si>
    <t>MC3383</t>
  </si>
  <si>
    <t>MC4044</t>
  </si>
  <si>
    <t>MC4045</t>
  </si>
  <si>
    <t>LH4799</t>
  </si>
  <si>
    <t>MC3214</t>
  </si>
  <si>
    <t>MC4129</t>
  </si>
  <si>
    <t>MC0997</t>
  </si>
  <si>
    <t>MC3336</t>
  </si>
  <si>
    <t>MC0030</t>
  </si>
  <si>
    <t>LH0460</t>
  </si>
  <si>
    <t>MC4130</t>
  </si>
  <si>
    <t>LL2828</t>
  </si>
  <si>
    <t>LL2776</t>
  </si>
  <si>
    <t>LL8205</t>
  </si>
  <si>
    <t>LL2782</t>
  </si>
  <si>
    <t>LC5850</t>
  </si>
  <si>
    <t>KP5725</t>
  </si>
  <si>
    <t>MC0784</t>
  </si>
  <si>
    <t>LC5851</t>
  </si>
  <si>
    <t>MC0785</t>
  </si>
  <si>
    <t>LC5855</t>
  </si>
  <si>
    <t>LC6625</t>
  </si>
  <si>
    <t>MC4469</t>
  </si>
  <si>
    <t>MC4454</t>
  </si>
  <si>
    <t>MC4276</t>
  </si>
  <si>
    <t>LF0270</t>
  </si>
  <si>
    <t>LG8026</t>
  </si>
  <si>
    <t>LF0027</t>
  </si>
  <si>
    <t>LC5095</t>
  </si>
  <si>
    <t>CN2323</t>
  </si>
  <si>
    <t>CN2007</t>
  </si>
  <si>
    <t>CN2008</t>
  </si>
  <si>
    <t>LG0998</t>
  </si>
  <si>
    <t>LF0479</t>
  </si>
  <si>
    <t>CN2269</t>
  </si>
  <si>
    <t>CN5013</t>
  </si>
  <si>
    <t>CR4160</t>
  </si>
  <si>
    <t>CR4161</t>
  </si>
  <si>
    <t>CR4162</t>
  </si>
  <si>
    <t>CR4163</t>
  </si>
  <si>
    <t>LH0570</t>
  </si>
  <si>
    <t>CR4164</t>
  </si>
  <si>
    <t>CR4165</t>
  </si>
  <si>
    <t>CR4166</t>
  </si>
  <si>
    <t>CR4167</t>
  </si>
  <si>
    <t>CR4168</t>
  </si>
  <si>
    <t>CR4169</t>
  </si>
  <si>
    <t>CR4170</t>
  </si>
  <si>
    <t>CR4171</t>
  </si>
  <si>
    <t>CR4172</t>
  </si>
  <si>
    <t>CR4180</t>
  </si>
  <si>
    <t>CR4181</t>
  </si>
  <si>
    <t>CR4177</t>
  </si>
  <si>
    <t>CR4178</t>
  </si>
  <si>
    <t>CR4182</t>
  </si>
  <si>
    <t>CR4183</t>
  </si>
  <si>
    <t>CR4184</t>
  </si>
  <si>
    <t>CR4185</t>
  </si>
  <si>
    <t>CR4186</t>
  </si>
  <si>
    <t>CR4179</t>
  </si>
  <si>
    <t>CR4188</t>
  </si>
  <si>
    <t>CR4173</t>
  </si>
  <si>
    <t>CR4174</t>
  </si>
  <si>
    <t>CR4187</t>
  </si>
  <si>
    <t>CR4175</t>
  </si>
  <si>
    <t>CR4176</t>
  </si>
  <si>
    <t>LK4433</t>
  </si>
  <si>
    <t>CR2808</t>
  </si>
  <si>
    <t>LK2511</t>
  </si>
  <si>
    <t>LK5994</t>
  </si>
  <si>
    <t>LQ3373</t>
  </si>
  <si>
    <t>LS0002</t>
  </si>
  <si>
    <t>LK1714</t>
  </si>
  <si>
    <t>LK2513</t>
  </si>
  <si>
    <t>LK5683</t>
  </si>
  <si>
    <t>CR3282</t>
  </si>
  <si>
    <t>CR2605</t>
  </si>
  <si>
    <t>LK0594</t>
  </si>
  <si>
    <t>LK6016</t>
  </si>
  <si>
    <t>LK2514</t>
  </si>
  <si>
    <t>CR3057</t>
  </si>
  <si>
    <t>LK6225</t>
  </si>
  <si>
    <t>CR3309</t>
  </si>
  <si>
    <t>MC0033</t>
  </si>
  <si>
    <t>MC3685</t>
  </si>
  <si>
    <t>MQ3117</t>
  </si>
  <si>
    <t>CR4189</t>
  </si>
  <si>
    <t>MC3881</t>
  </si>
  <si>
    <t>LB0531</t>
  </si>
  <si>
    <t>LQ6257</t>
  </si>
  <si>
    <t>LQ6258</t>
  </si>
  <si>
    <t>LK5673</t>
  </si>
  <si>
    <t>LB0619</t>
  </si>
  <si>
    <t>LB0615</t>
  </si>
  <si>
    <t>LB0617</t>
  </si>
  <si>
    <t>LB0616</t>
  </si>
  <si>
    <t>LK6017</t>
  </si>
  <si>
    <t>LG0250</t>
  </si>
  <si>
    <t>MC3384</t>
  </si>
  <si>
    <t>MC1769</t>
  </si>
  <si>
    <t>MC0034</t>
  </si>
  <si>
    <t>LK2515</t>
  </si>
  <si>
    <t>MC2541</t>
  </si>
  <si>
    <t>MC0036</t>
  </si>
  <si>
    <t>MC2715</t>
  </si>
  <si>
    <t>LK0074</t>
  </si>
  <si>
    <t>LG1007</t>
  </si>
  <si>
    <t>LG8024</t>
  </si>
  <si>
    <t>MC1000</t>
  </si>
  <si>
    <t>LB0628</t>
  </si>
  <si>
    <t>MC0041</t>
  </si>
  <si>
    <t>MC1002</t>
  </si>
  <si>
    <t>MC0040</t>
  </si>
  <si>
    <t>MC4309</t>
  </si>
  <si>
    <t>LQ6135</t>
  </si>
  <si>
    <t>LQ6184</t>
  </si>
  <si>
    <t>LQ6185</t>
  </si>
  <si>
    <t>LQ5991</t>
  </si>
  <si>
    <t>LQ6287</t>
  </si>
  <si>
    <t>LQ5908</t>
  </si>
  <si>
    <t>LQ6288</t>
  </si>
  <si>
    <t>LQ5821</t>
  </si>
  <si>
    <t>LQ5822</t>
  </si>
  <si>
    <t>LQ6186</t>
  </si>
  <si>
    <t>LQ6086</t>
  </si>
  <si>
    <t>LQ5492</t>
  </si>
  <si>
    <t>LQ6087</t>
  </si>
  <si>
    <t>LQ5909</t>
  </si>
  <si>
    <t>LQ3812</t>
  </si>
  <si>
    <t>LQ3813</t>
  </si>
  <si>
    <t>LQ3814</t>
  </si>
  <si>
    <t>CR4908</t>
  </si>
  <si>
    <t>CR4909</t>
  </si>
  <si>
    <t>CR4910</t>
  </si>
  <si>
    <t>CR3996</t>
  </si>
  <si>
    <t>CR5400</t>
  </si>
  <si>
    <t>CR3997</t>
  </si>
  <si>
    <t>CR3998</t>
  </si>
  <si>
    <t>CR3999</t>
  </si>
  <si>
    <t>CE0842</t>
  </si>
  <si>
    <t>CE0808</t>
  </si>
  <si>
    <t>CE0841</t>
  </si>
  <si>
    <t>CE0758</t>
  </si>
  <si>
    <t>CE0759</t>
  </si>
  <si>
    <t>CE0760</t>
  </si>
  <si>
    <t>LK1085</t>
  </si>
  <si>
    <t>LQ3815</t>
  </si>
  <si>
    <t>LQ3816</t>
  </si>
  <si>
    <t>LQ3817</t>
  </si>
  <si>
    <t>LQ3818</t>
  </si>
  <si>
    <t>LQ3819</t>
  </si>
  <si>
    <t>LQ3820</t>
  </si>
  <si>
    <t>LQ3821</t>
  </si>
  <si>
    <t>LK4783</t>
  </si>
  <si>
    <t>LK1942</t>
  </si>
  <si>
    <t>LK1943</t>
  </si>
  <si>
    <t>LK1944</t>
  </si>
  <si>
    <t>LK1945</t>
  </si>
  <si>
    <t>LK6536</t>
  </si>
  <si>
    <t>LK4784</t>
  </si>
  <si>
    <t>LK1946</t>
  </si>
  <si>
    <t>LK6839</t>
  </si>
  <si>
    <t>LK5688</t>
  </si>
  <si>
    <t>LK5689</t>
  </si>
  <si>
    <t>LK5544</t>
  </si>
  <si>
    <t>LK5690</t>
  </si>
  <si>
    <t>LK5691</t>
  </si>
  <si>
    <t>LK6591</t>
  </si>
  <si>
    <t>LK4948</t>
  </si>
  <si>
    <t>LK5692</t>
  </si>
  <si>
    <t>LK5693</t>
  </si>
  <si>
    <t>LC5106</t>
  </si>
  <si>
    <t>LK6018</t>
  </si>
  <si>
    <t>LQ9029</t>
  </si>
  <si>
    <t>MB0300</t>
  </si>
  <si>
    <t>LS0004</t>
  </si>
  <si>
    <t>MC4063</t>
  </si>
  <si>
    <t>LC5480</t>
  </si>
  <si>
    <t>MC4468</t>
  </si>
  <si>
    <t>LG0300</t>
  </si>
  <si>
    <t>MC4452</t>
  </si>
  <si>
    <t>LK6198</t>
  </si>
  <si>
    <t>LH0681</t>
  </si>
  <si>
    <t>LK5553</t>
  </si>
  <si>
    <t>MC0061</t>
  </si>
  <si>
    <t>MC0053</t>
  </si>
  <si>
    <t>LH0939</t>
  </si>
  <si>
    <t>MC0044</t>
  </si>
  <si>
    <t>MC0062</t>
  </si>
  <si>
    <t>MC2676</t>
  </si>
  <si>
    <t>MC2677</t>
  </si>
  <si>
    <t>MC2678</t>
  </si>
  <si>
    <t>MC2679</t>
  </si>
  <si>
    <t>MC2681</t>
  </si>
  <si>
    <t>MC4367</t>
  </si>
  <si>
    <t>MC4368</t>
  </si>
  <si>
    <t>MC4369</t>
  </si>
  <si>
    <t>MC4370</t>
  </si>
  <si>
    <t>MC4371</t>
  </si>
  <si>
    <t>MC4372</t>
  </si>
  <si>
    <t>MC4373</t>
  </si>
  <si>
    <t>MC4374</t>
  </si>
  <si>
    <t>MC4375</t>
  </si>
  <si>
    <t>MC4277</t>
  </si>
  <si>
    <t>MC4278</t>
  </si>
  <si>
    <t>MC4279</t>
  </si>
  <si>
    <t>MC4280</t>
  </si>
  <si>
    <t>MC4281</t>
  </si>
  <si>
    <t>MC4282</t>
  </si>
  <si>
    <t>MC4131</t>
  </si>
  <si>
    <t>LH0955</t>
  </si>
  <si>
    <t>MC0047</t>
  </si>
  <si>
    <t>LH0960</t>
  </si>
  <si>
    <t>MC1021</t>
  </si>
  <si>
    <t>MC3123</t>
  </si>
  <si>
    <t>MC3127</t>
  </si>
  <si>
    <t>MC3124</t>
  </si>
  <si>
    <t>LH8881</t>
  </si>
  <si>
    <t>MC0056</t>
  </si>
  <si>
    <t>MC1015</t>
  </si>
  <si>
    <t>MC0059</t>
  </si>
  <si>
    <t>MC2356</t>
  </si>
  <si>
    <t>MC4092</t>
  </si>
  <si>
    <t>MC2202</t>
  </si>
  <si>
    <t>MC2974</t>
  </si>
  <si>
    <t>MC2357</t>
  </si>
  <si>
    <t>MC2200</t>
  </si>
  <si>
    <t>MC3385</t>
  </si>
  <si>
    <t>MC1017</t>
  </si>
  <si>
    <t>MC2989</t>
  </si>
  <si>
    <t>MC3631</t>
  </si>
  <si>
    <t>MC1782</t>
  </si>
  <si>
    <t>MC3409</t>
  </si>
  <si>
    <t>LH8884</t>
  </si>
  <si>
    <t>MC2140</t>
  </si>
  <si>
    <t>MC1018</t>
  </si>
  <si>
    <t>MC1781</t>
  </si>
  <si>
    <t>MC1783</t>
  </si>
  <si>
    <t>MC4376</t>
  </si>
  <si>
    <t>MC4377</t>
  </si>
  <si>
    <t>MC4518</t>
  </si>
  <si>
    <t>MC4400</t>
  </si>
  <si>
    <t>LH1009</t>
  </si>
  <si>
    <t>MQ0409</t>
  </si>
  <si>
    <t>LH8949</t>
  </si>
  <si>
    <t>MQ0410</t>
  </si>
  <si>
    <t>MC3542</t>
  </si>
  <si>
    <t>MC3678</t>
  </si>
  <si>
    <t>MC2360</t>
  </si>
  <si>
    <t>LH1016</t>
  </si>
  <si>
    <t>MC0067</t>
  </si>
  <si>
    <t>MC0068</t>
  </si>
  <si>
    <t>MC0069</t>
  </si>
  <si>
    <t>LF0370</t>
  </si>
  <si>
    <t>LF1850</t>
  </si>
  <si>
    <t>MC4345</t>
  </si>
  <si>
    <t>CR3951</t>
  </si>
  <si>
    <t>CR3952</t>
  </si>
  <si>
    <t>CR3953</t>
  </si>
  <si>
    <t>CR3954</t>
  </si>
  <si>
    <t>LF0605</t>
  </si>
  <si>
    <t>MC3882</t>
  </si>
  <si>
    <t>MC4261</t>
  </si>
  <si>
    <t>MC0070</t>
  </si>
  <si>
    <t>MQ0685</t>
  </si>
  <si>
    <t>CE0956</t>
  </si>
  <si>
    <t>MQ0612</t>
  </si>
  <si>
    <t>MQ0613</t>
  </si>
  <si>
    <t>LQ0410</t>
  </si>
  <si>
    <t>CR2001</t>
  </si>
  <si>
    <t>LK2519</t>
  </si>
  <si>
    <t>CR2002</t>
  </si>
  <si>
    <t>CR2003</t>
  </si>
  <si>
    <t>CR3468</t>
  </si>
  <si>
    <t>CR2004</t>
  </si>
  <si>
    <t>CR2005</t>
  </si>
  <si>
    <t>CR3281</t>
  </si>
  <si>
    <t>LQ5823</t>
  </si>
  <si>
    <t>LQ0859</t>
  </si>
  <si>
    <t>LQ6221</t>
  </si>
  <si>
    <t>LH5608</t>
  </si>
  <si>
    <t>CE1079</t>
  </si>
  <si>
    <t>CE0918</t>
  </si>
  <si>
    <t>CE0385</t>
  </si>
  <si>
    <t>CE1080</t>
  </si>
  <si>
    <t>CE1081</t>
  </si>
  <si>
    <t>LQ6151</t>
  </si>
  <si>
    <t>LK2050</t>
  </si>
  <si>
    <t>LK2051</t>
  </si>
  <si>
    <t>MC0075</t>
  </si>
  <si>
    <t>MC3543</t>
  </si>
  <si>
    <t>MC4093</t>
  </si>
  <si>
    <t>MC3281</t>
  </si>
  <si>
    <t>MQ0154</t>
  </si>
  <si>
    <t>MQ0636</t>
  </si>
  <si>
    <t>MQ0411</t>
  </si>
  <si>
    <t>MQ0412</t>
  </si>
  <si>
    <t>MQ0155</t>
  </si>
  <si>
    <t>MQ0819</t>
  </si>
  <si>
    <t>MC3283</t>
  </si>
  <si>
    <t>MC4133</t>
  </si>
  <si>
    <t>LH1060</t>
  </si>
  <si>
    <t>MC2142</t>
  </si>
  <si>
    <t>MC0073</t>
  </si>
  <si>
    <t>MC1787</t>
  </si>
  <si>
    <t>LL8109</t>
  </si>
  <si>
    <t>LC0009</t>
  </si>
  <si>
    <t>CR4065</t>
  </si>
  <si>
    <t>CN5014</t>
  </si>
  <si>
    <t>CR4191</t>
  </si>
  <si>
    <t>MC4413</t>
  </si>
  <si>
    <t>MQ0559</t>
  </si>
  <si>
    <t>CR2007</t>
  </si>
  <si>
    <t>LH1088</t>
  </si>
  <si>
    <t>MC0076</t>
  </si>
  <si>
    <t>CR4190</t>
  </si>
  <si>
    <t>LH0033</t>
  </si>
  <si>
    <t>CN5016</t>
  </si>
  <si>
    <t>MC0077</t>
  </si>
  <si>
    <t>CR4193</t>
  </si>
  <si>
    <t>LH8955</t>
  </si>
  <si>
    <t>LH1087</t>
  </si>
  <si>
    <t>MC0079</t>
  </si>
  <si>
    <t>CR3358</t>
  </si>
  <si>
    <t>CN5015</t>
  </si>
  <si>
    <t>MQ0680</t>
  </si>
  <si>
    <t>MQ0681</t>
  </si>
  <si>
    <t>MC4507</t>
  </si>
  <si>
    <t>MC4512</t>
  </si>
  <si>
    <t>LL0100</t>
  </si>
  <si>
    <t>LL0090</t>
  </si>
  <si>
    <t>LL5021</t>
  </si>
  <si>
    <t>MC2992</t>
  </si>
  <si>
    <t>MC0082</t>
  </si>
  <si>
    <t>MC0083</t>
  </si>
  <si>
    <t>LK5166</t>
  </si>
  <si>
    <t>MC0084</t>
  </si>
  <si>
    <t>LH1132</t>
  </si>
  <si>
    <t>MC1789</t>
  </si>
  <si>
    <t>MC3386</t>
  </si>
  <si>
    <t>MC4378</t>
  </si>
  <si>
    <t>LH1130</t>
  </si>
  <si>
    <t>MC0086</t>
  </si>
  <si>
    <t>LH8952</t>
  </si>
  <si>
    <t>LH1131</t>
  </si>
  <si>
    <t>LH0004</t>
  </si>
  <si>
    <t>LH8828</t>
  </si>
  <si>
    <t>LF0620</t>
  </si>
  <si>
    <t>LG8028</t>
  </si>
  <si>
    <t>LF0625</t>
  </si>
  <si>
    <t>MB0627</t>
  </si>
  <si>
    <t>LF0627</t>
  </si>
  <si>
    <t>LS0005</t>
  </si>
  <si>
    <t>LL0200</t>
  </si>
  <si>
    <t>MC0945</t>
  </si>
  <si>
    <t>LH1186</t>
  </si>
  <si>
    <t>MC0095</t>
  </si>
  <si>
    <t>LK0075</t>
  </si>
  <si>
    <t>CE1082</t>
  </si>
  <si>
    <t>LB0641</t>
  </si>
  <si>
    <t>LY0243</t>
  </si>
  <si>
    <t>LH0031</t>
  </si>
  <si>
    <t>LK5554</t>
  </si>
  <si>
    <t>LB0645</t>
  </si>
  <si>
    <t>MC2143</t>
  </si>
  <si>
    <t>LY0245</t>
  </si>
  <si>
    <t>LY0246</t>
  </si>
  <si>
    <t>LY0247</t>
  </si>
  <si>
    <t>MC3679</t>
  </si>
  <si>
    <t>LY0249</t>
  </si>
  <si>
    <t>LY5655</t>
  </si>
  <si>
    <t>LY5658</t>
  </si>
  <si>
    <t>LY0256</t>
  </si>
  <si>
    <t>LY5657</t>
  </si>
  <si>
    <t>LY0250</t>
  </si>
  <si>
    <t>CN5017</t>
  </si>
  <si>
    <t>CR4194</t>
  </si>
  <si>
    <t>CN5018</t>
  </si>
  <si>
    <t>CN5019</t>
  </si>
  <si>
    <t>CN5020</t>
  </si>
  <si>
    <t>CR4197</t>
  </si>
  <si>
    <t>LY0257</t>
  </si>
  <si>
    <t>LY0251</t>
  </si>
  <si>
    <t>LY0252</t>
  </si>
  <si>
    <t>LB0636</t>
  </si>
  <si>
    <t>MC0097</t>
  </si>
  <si>
    <t>LH0030</t>
  </si>
  <si>
    <t>LB0695</t>
  </si>
  <si>
    <t>LY0255</t>
  </si>
  <si>
    <t>LH0032</t>
  </si>
  <si>
    <t>LB0700</t>
  </si>
  <si>
    <t>LB0702</t>
  </si>
  <si>
    <t>LB0708</t>
  </si>
  <si>
    <t>LB0703</t>
  </si>
  <si>
    <t>LB0705</t>
  </si>
  <si>
    <t>MC0089</t>
  </si>
  <si>
    <t>LY0258</t>
  </si>
  <si>
    <t>MC0090</t>
  </si>
  <si>
    <t>LH0034</t>
  </si>
  <si>
    <t>CE1373</t>
  </si>
  <si>
    <t>CE1374</t>
  </si>
  <si>
    <t>LB0715</t>
  </si>
  <si>
    <t>LH0035</t>
  </si>
  <si>
    <t>MC1043</t>
  </si>
  <si>
    <t>MC1044</t>
  </si>
  <si>
    <t>MC1045</t>
  </si>
  <si>
    <t>MC0101</t>
  </si>
  <si>
    <t>MC0103</t>
  </si>
  <si>
    <t>MC0107</t>
  </si>
  <si>
    <t>MC0116</t>
  </si>
  <si>
    <t>MC1059</t>
  </si>
  <si>
    <t>MC0111</t>
  </si>
  <si>
    <t>MC0119</t>
  </si>
  <si>
    <t>MC4432</t>
  </si>
  <si>
    <t>MC0113</t>
  </si>
  <si>
    <t>MC1060</t>
  </si>
  <si>
    <t>MC4008</t>
  </si>
  <si>
    <t>MC4009</t>
  </si>
  <si>
    <t>MC0120</t>
  </si>
  <si>
    <t>MC3411</t>
  </si>
  <si>
    <t>MC3934</t>
  </si>
  <si>
    <t>MC4134</t>
  </si>
  <si>
    <t>CE0957</t>
  </si>
  <si>
    <t>CE0958</t>
  </si>
  <si>
    <t>CE0960</t>
  </si>
  <si>
    <t>CE0961</t>
  </si>
  <si>
    <t>CE0963</t>
  </si>
  <si>
    <t>CE0964</t>
  </si>
  <si>
    <t>MQ0686</t>
  </si>
  <si>
    <t>CE0967</t>
  </si>
  <si>
    <t>LH1362</t>
  </si>
  <si>
    <t>MQ6003</t>
  </si>
  <si>
    <t>CE1700</t>
  </si>
  <si>
    <t>MQ6004</t>
  </si>
  <si>
    <t>CE1701</t>
  </si>
  <si>
    <t>MQ6005</t>
  </si>
  <si>
    <t>CE1702</t>
  </si>
  <si>
    <t>LH1363</t>
  </si>
  <si>
    <t>MC3683</t>
  </si>
  <si>
    <t>CN5021</t>
  </si>
  <si>
    <t>CN5022</t>
  </si>
  <si>
    <t>CN5023</t>
  </si>
  <si>
    <t>MC0127</t>
  </si>
  <si>
    <t>LH8836</t>
  </si>
  <si>
    <t>LH0626</t>
  </si>
  <si>
    <t>MC4379</t>
  </si>
  <si>
    <t>MC2688</t>
  </si>
  <si>
    <t>CR2008</t>
  </si>
  <si>
    <t>CR2009</t>
  </si>
  <si>
    <t>CR2010</t>
  </si>
  <si>
    <t>CR3059</t>
  </si>
  <si>
    <t>CR3060</t>
  </si>
  <si>
    <t>CR3061</t>
  </si>
  <si>
    <t>CR3062</t>
  </si>
  <si>
    <t>CR2011</t>
  </si>
  <si>
    <t>CR3063</t>
  </si>
  <si>
    <t>CR2012</t>
  </si>
  <si>
    <t>CR2013</t>
  </si>
  <si>
    <t>LQ3114</t>
  </si>
  <si>
    <t>LQ3782</t>
  </si>
  <si>
    <t>LK1497</t>
  </si>
  <si>
    <t>LK3280</t>
  </si>
  <si>
    <t>CE0919</t>
  </si>
  <si>
    <t>CE1243</t>
  </si>
  <si>
    <t>CE0920</t>
  </si>
  <si>
    <t>CE1242</t>
  </si>
  <si>
    <t>CE0387</t>
  </si>
  <si>
    <t>CR4911</t>
  </si>
  <si>
    <t>CR3400</t>
  </si>
  <si>
    <t>CR4912</t>
  </si>
  <si>
    <t>LQ0744</t>
  </si>
  <si>
    <t>CR4913</t>
  </si>
  <si>
    <t>CR3401</t>
  </si>
  <si>
    <t>MB7150</t>
  </si>
  <si>
    <t>MC1420</t>
  </si>
  <si>
    <t>LS0006</t>
  </si>
  <si>
    <t>LQ6172</t>
  </si>
  <si>
    <t>LK1528</t>
  </si>
  <si>
    <t>LK6772</t>
  </si>
  <si>
    <t>LQ5913</t>
  </si>
  <si>
    <t>LQ5993</t>
  </si>
  <si>
    <t>LQ6177</t>
  </si>
  <si>
    <t>LQ5830</t>
  </si>
  <si>
    <t>LQ5256</t>
  </si>
  <si>
    <t>LQ6122</t>
  </si>
  <si>
    <t>LQ5439</t>
  </si>
  <si>
    <t>LQ5496</t>
  </si>
  <si>
    <t>LQ5994</t>
  </si>
  <si>
    <t>LQ5103</t>
  </si>
  <si>
    <t>LQ5678</t>
  </si>
  <si>
    <t>LQ5497</t>
  </si>
  <si>
    <t>LQ6249</t>
  </si>
  <si>
    <t>LQ6178</t>
  </si>
  <si>
    <t>LQ6250</t>
  </si>
  <si>
    <t>LQ5912</t>
  </si>
  <si>
    <t>LQ6036</t>
  </si>
  <si>
    <t>LQ6088</t>
  </si>
  <si>
    <t>LQ5832</t>
  </si>
  <si>
    <t>LQ5420</t>
  </si>
  <si>
    <t>LQ5915</t>
  </si>
  <si>
    <t>LQ5258</t>
  </si>
  <si>
    <t>LQ5592</t>
  </si>
  <si>
    <t>LQ5593</t>
  </si>
  <si>
    <t>LQ5595</t>
  </si>
  <si>
    <t>LK3281</t>
  </si>
  <si>
    <t>LQ6222</t>
  </si>
  <si>
    <t>LQ6223</t>
  </si>
  <si>
    <t>LQ6224</t>
  </si>
  <si>
    <t>LQ6259</t>
  </si>
  <si>
    <t>LQ0069</t>
  </si>
  <si>
    <t>CR2014</t>
  </si>
  <si>
    <t>LB0731</t>
  </si>
  <si>
    <t>MC0132</t>
  </si>
  <si>
    <t>LC5231</t>
  </si>
  <si>
    <t>LC3378</t>
  </si>
  <si>
    <t>LC3376</t>
  </si>
  <si>
    <t>LC9610</t>
  </si>
  <si>
    <t>LC5216</t>
  </si>
  <si>
    <t>LC9613</t>
  </si>
  <si>
    <t>LC5196</t>
  </si>
  <si>
    <t>MC0763</t>
  </si>
  <si>
    <t>MC4409</t>
  </si>
  <si>
    <t>LC5228</t>
  </si>
  <si>
    <t>LC5195</t>
  </si>
  <si>
    <t>LC9621</t>
  </si>
  <si>
    <t>MC4455</t>
  </si>
  <si>
    <t>LC0001</t>
  </si>
  <si>
    <t>LC3396</t>
  </si>
  <si>
    <t>MC4456</t>
  </si>
  <si>
    <t>LC3410</t>
  </si>
  <si>
    <t>LC5223</t>
  </si>
  <si>
    <t>LC5224</t>
  </si>
  <si>
    <t>LC9612</t>
  </si>
  <si>
    <t>MC2627</t>
  </si>
  <si>
    <t>LC5202</t>
  </si>
  <si>
    <t>KP5206</t>
  </si>
  <si>
    <t>MC0765</t>
  </si>
  <si>
    <t>LC3382</t>
  </si>
  <si>
    <t>LC5205</t>
  </si>
  <si>
    <t>LC5206</t>
  </si>
  <si>
    <t>KP5199</t>
  </si>
  <si>
    <t>MC0767</t>
  </si>
  <si>
    <t>MC4457</t>
  </si>
  <si>
    <t>MC2324</t>
  </si>
  <si>
    <t>LC5207</t>
  </si>
  <si>
    <t>MC0768</t>
  </si>
  <si>
    <t>LC5208</t>
  </si>
  <si>
    <t>LC5209</t>
  </si>
  <si>
    <t>LC5219</t>
  </si>
  <si>
    <t>LC5226</t>
  </si>
  <si>
    <t>LC5222</t>
  </si>
  <si>
    <t>LC3383</t>
  </si>
  <si>
    <t>MC4458</t>
  </si>
  <si>
    <t>LC3384</t>
  </si>
  <si>
    <t>MC4459</t>
  </si>
  <si>
    <t>LC9622</t>
  </si>
  <si>
    <t>CN2333</t>
  </si>
  <si>
    <t>MQ0039</t>
  </si>
  <si>
    <t>LC5233</t>
  </si>
  <si>
    <t>LC5217</t>
  </si>
  <si>
    <t>MC0770</t>
  </si>
  <si>
    <t>LK5631</t>
  </si>
  <si>
    <t>MC4410</t>
  </si>
  <si>
    <t>LC5221</t>
  </si>
  <si>
    <t>MC4460</t>
  </si>
  <si>
    <t>MC4461</t>
  </si>
  <si>
    <t>LC0002</t>
  </si>
  <si>
    <t>LC0003</t>
  </si>
  <si>
    <t>LC0004</t>
  </si>
  <si>
    <t>MC4462</t>
  </si>
  <si>
    <t>MC4463</t>
  </si>
  <si>
    <t>MC4464</t>
  </si>
  <si>
    <t>LC5200</t>
  </si>
  <si>
    <t>MC0771</t>
  </si>
  <si>
    <t>LC5230</t>
  </si>
  <si>
    <t>MC0772</t>
  </si>
  <si>
    <t>LC5220</t>
  </si>
  <si>
    <t>KP5220</t>
  </si>
  <si>
    <t>MC0773</t>
  </si>
  <si>
    <t>LC5212</t>
  </si>
  <si>
    <t>MC4465</t>
  </si>
  <si>
    <t>LC5213</t>
  </si>
  <si>
    <t>LC0005</t>
  </si>
  <si>
    <t>LC3409</t>
  </si>
  <si>
    <t>LC5199</t>
  </si>
  <si>
    <t>MC4411</t>
  </si>
  <si>
    <t>MC0762</t>
  </si>
  <si>
    <t>LC5214</t>
  </si>
  <si>
    <t>LL0270</t>
  </si>
  <si>
    <t>LL0271</t>
  </si>
  <si>
    <t>LL0265</t>
  </si>
  <si>
    <t>LL8018</t>
  </si>
  <si>
    <t>LL0113</t>
  </si>
  <si>
    <t>LL8071</t>
  </si>
  <si>
    <t>KY0267</t>
  </si>
  <si>
    <t>LL8158</t>
  </si>
  <si>
    <t>LL0268</t>
  </si>
  <si>
    <t>LL5036</t>
  </si>
  <si>
    <t>LL8072</t>
  </si>
  <si>
    <t>LL8119</t>
  </si>
  <si>
    <t>LL5004</t>
  </si>
  <si>
    <t>LL5005</t>
  </si>
  <si>
    <t>LL0279</t>
  </si>
  <si>
    <t>LL8159</t>
  </si>
  <si>
    <t>LB8400</t>
  </si>
  <si>
    <t>LL8336</t>
  </si>
  <si>
    <t>LL5006</t>
  </si>
  <si>
    <t>LL5007</t>
  </si>
  <si>
    <t>LL8073</t>
  </si>
  <si>
    <t>LF0800</t>
  </si>
  <si>
    <t>LL8160</t>
  </si>
  <si>
    <t>LL0110</t>
  </si>
  <si>
    <t>LQ3630</t>
  </si>
  <si>
    <t>CE1745</t>
  </si>
  <si>
    <t>CE1741</t>
  </si>
  <si>
    <t>CE1740</t>
  </si>
  <si>
    <t>LB0820</t>
  </si>
  <si>
    <t>LB0902</t>
  </si>
  <si>
    <t>LB0821</t>
  </si>
  <si>
    <t>LB0822</t>
  </si>
  <si>
    <t>LB0823</t>
  </si>
  <si>
    <t>LB0824</t>
  </si>
  <si>
    <t>LB0826</t>
  </si>
  <si>
    <t>LQ3647</t>
  </si>
  <si>
    <t>LK7125</t>
  </si>
  <si>
    <t>LK7122</t>
  </si>
  <si>
    <t>LK5701</t>
  </si>
  <si>
    <t>LK5662</t>
  </si>
  <si>
    <t>LK5700</t>
  </si>
  <si>
    <t>LK1529</t>
  </si>
  <si>
    <t>LK5663</t>
  </si>
  <si>
    <t>LK2712</t>
  </si>
  <si>
    <t>CR5067</t>
  </si>
  <si>
    <t>LK3282</t>
  </si>
  <si>
    <t>LK3222</t>
  </si>
  <si>
    <t>LK3223</t>
  </si>
  <si>
    <t>LK3283</t>
  </si>
  <si>
    <t>LK3224</t>
  </si>
  <si>
    <t>LK3225</t>
  </si>
  <si>
    <t>LK3284</t>
  </si>
  <si>
    <t>LK3226</t>
  </si>
  <si>
    <t>LK3227</t>
  </si>
  <si>
    <t>LK4265</t>
  </si>
  <si>
    <t>LK3228</t>
  </si>
  <si>
    <t>LK3229</t>
  </si>
  <si>
    <t>LK3564</t>
  </si>
  <si>
    <t>LK3285</t>
  </si>
  <si>
    <t>LQ3648</t>
  </si>
  <si>
    <t>CR2611</t>
  </si>
  <si>
    <t>LQ3650</t>
  </si>
  <si>
    <t>LQ3651</t>
  </si>
  <si>
    <t>CR2016</t>
  </si>
  <si>
    <t>LQ3490</t>
  </si>
  <si>
    <t>CR2017</t>
  </si>
  <si>
    <t>LQ3631</t>
  </si>
  <si>
    <t>LQ3907</t>
  </si>
  <si>
    <t>LQ3732</t>
  </si>
  <si>
    <t>LQ3733</t>
  </si>
  <si>
    <t>LQ3487</t>
  </si>
  <si>
    <t>LQ3488</t>
  </si>
  <si>
    <t>LQ3867</t>
  </si>
  <si>
    <t>LK0084</t>
  </si>
  <si>
    <t>LQ3432</t>
  </si>
  <si>
    <t>LQ3794</t>
  </si>
  <si>
    <t>LQ3433</t>
  </si>
  <si>
    <t>LQ0971</t>
  </si>
  <si>
    <t>LQ3435</t>
  </si>
  <si>
    <t>LQ3436</t>
  </si>
  <si>
    <t>LQ3652</t>
  </si>
  <si>
    <t>LQ3653</t>
  </si>
  <si>
    <t>LQ3654</t>
  </si>
  <si>
    <t>LQ3822</t>
  </si>
  <si>
    <t>LQ3823</t>
  </si>
  <si>
    <t>LQ3824</t>
  </si>
  <si>
    <t>LQ3655</t>
  </si>
  <si>
    <t>LQ3491</t>
  </si>
  <si>
    <t>LQ3656</t>
  </si>
  <si>
    <t>CR2018</t>
  </si>
  <si>
    <t>LQ3903</t>
  </si>
  <si>
    <t>LK7156</t>
  </si>
  <si>
    <t>LK6848</t>
  </si>
  <si>
    <t>LK6592</t>
  </si>
  <si>
    <t>LK4166</t>
  </si>
  <si>
    <t>LK4167</t>
  </si>
  <si>
    <t>LK5639</t>
  </si>
  <si>
    <t>LK4168</t>
  </si>
  <si>
    <t>LK5702</t>
  </si>
  <si>
    <t>LK3784</t>
  </si>
  <si>
    <t>LK6849</t>
  </si>
  <si>
    <t>LQ3658</t>
  </si>
  <si>
    <t>LQ3659</t>
  </si>
  <si>
    <t>LK7066</t>
  </si>
  <si>
    <t>LK7067</t>
  </si>
  <si>
    <t>LK7068</t>
  </si>
  <si>
    <t>LK7069</t>
  </si>
  <si>
    <t>LK4933</t>
  </si>
  <si>
    <t>LK4934</t>
  </si>
  <si>
    <t>LK4935</t>
  </si>
  <si>
    <t>LK4936</t>
  </si>
  <si>
    <t>LK4937</t>
  </si>
  <si>
    <t>LK4938</t>
  </si>
  <si>
    <t>LK4939</t>
  </si>
  <si>
    <t>LQ3492</t>
  </si>
  <si>
    <t>CR2019</t>
  </si>
  <si>
    <t>LQ3787</t>
  </si>
  <si>
    <t>LQ3493</t>
  </si>
  <si>
    <t>LQ3636</t>
  </si>
  <si>
    <t>CR3172</t>
  </si>
  <si>
    <t>LK5703</t>
  </si>
  <si>
    <t>LK6777</t>
  </si>
  <si>
    <t>LK7123</t>
  </si>
  <si>
    <t>LK5655</t>
  </si>
  <si>
    <t>LK5704</t>
  </si>
  <si>
    <t>LK5705</t>
  </si>
  <si>
    <t>LK5656</t>
  </si>
  <si>
    <t>LK5657</t>
  </si>
  <si>
    <t>LK5658</t>
  </si>
  <si>
    <t>LK6019</t>
  </si>
  <si>
    <t>LK6983</t>
  </si>
  <si>
    <t>LK5177</t>
  </si>
  <si>
    <t>LB0871</t>
  </si>
  <si>
    <t>LB0872</t>
  </si>
  <si>
    <t>LB0873</t>
  </si>
  <si>
    <t>LB0976</t>
  </si>
  <si>
    <t>LB0874</t>
  </si>
  <si>
    <t>LQ3495</t>
  </si>
  <si>
    <t>LK0427</t>
  </si>
  <si>
    <t>LQ3661</t>
  </si>
  <si>
    <t>LQ3496</t>
  </si>
  <si>
    <t>CR2021</t>
  </si>
  <si>
    <t>LQ3662</t>
  </si>
  <si>
    <t>LB1041</t>
  </si>
  <si>
    <t>LB0838</t>
  </si>
  <si>
    <t>LQ3497</t>
  </si>
  <si>
    <t>LQ3875</t>
  </si>
  <si>
    <t>LQ3665</t>
  </si>
  <si>
    <t>CR3204</t>
  </si>
  <si>
    <t>MB0770</t>
  </si>
  <si>
    <t>LG0770</t>
  </si>
  <si>
    <t>LB0870</t>
  </si>
  <si>
    <t>LB0925</t>
  </si>
  <si>
    <t>LB0880</t>
  </si>
  <si>
    <t>LB1040</t>
  </si>
  <si>
    <t>LK4621</t>
  </si>
  <si>
    <t>LB1085</t>
  </si>
  <si>
    <t>LB1090</t>
  </si>
  <si>
    <t>LK6889</t>
  </si>
  <si>
    <t>LG0026</t>
  </si>
  <si>
    <t>LQ3904</t>
  </si>
  <si>
    <t>LG0029</t>
  </si>
  <si>
    <t>LQ3498</t>
  </si>
  <si>
    <t>CR2607</t>
  </si>
  <si>
    <t>LG0027</t>
  </si>
  <si>
    <t>LG0028</t>
  </si>
  <si>
    <t>LQ3905</t>
  </si>
  <si>
    <t>LQ5793</t>
  </si>
  <si>
    <t>CR2022</t>
  </si>
  <si>
    <t>LQ5794</t>
  </si>
  <si>
    <t>CR2023</t>
  </si>
  <si>
    <t>LQ5795</t>
  </si>
  <si>
    <t>CR2024</t>
  </si>
  <si>
    <t>LQ5796</t>
  </si>
  <si>
    <t>CR2025</t>
  </si>
  <si>
    <t>LG0774</t>
  </si>
  <si>
    <t>MC4449</t>
  </si>
  <si>
    <t>MC4450</t>
  </si>
  <si>
    <t>MB0776</t>
  </si>
  <si>
    <t>LK0584</t>
  </si>
  <si>
    <t>MC1496</t>
  </si>
  <si>
    <t>MB0775</t>
  </si>
  <si>
    <t>LK0591</t>
  </si>
  <si>
    <t>MC0931</t>
  </si>
  <si>
    <t>LK7045</t>
  </si>
  <si>
    <t>MC4421</t>
  </si>
  <si>
    <t>CR3205</t>
  </si>
  <si>
    <t>CR2026</t>
  </si>
  <si>
    <t>CR2027</t>
  </si>
  <si>
    <t>CR2029</t>
  </si>
  <si>
    <t>LQ3788</t>
  </si>
  <si>
    <t>LQ3789</t>
  </si>
  <si>
    <t>LK6022</t>
  </si>
  <si>
    <t>LK5707</t>
  </si>
  <si>
    <t>LQ3790</t>
  </si>
  <si>
    <t>LB1042</t>
  </si>
  <si>
    <t>LB1043</t>
  </si>
  <si>
    <t>LB0893</t>
  </si>
  <si>
    <t>LB0792</t>
  </si>
  <si>
    <t>LB0793</t>
  </si>
  <si>
    <t>LB0794</t>
  </si>
  <si>
    <t>LB0795</t>
  </si>
  <si>
    <t>LB0796</t>
  </si>
  <si>
    <t>LB0797</t>
  </si>
  <si>
    <t>LB1044</t>
  </si>
  <si>
    <t>LB0798</t>
  </si>
  <si>
    <t>LB0799</t>
  </si>
  <si>
    <t>LB0800</t>
  </si>
  <si>
    <t>LQ3501</t>
  </si>
  <si>
    <t>LQ3502</t>
  </si>
  <si>
    <t>LK6890</t>
  </si>
  <si>
    <t>LK6593</t>
  </si>
  <si>
    <t>LK6594</t>
  </si>
  <si>
    <t>LK6891</t>
  </si>
  <si>
    <t>CE1589</t>
  </si>
  <si>
    <t>CE1469</t>
  </si>
  <si>
    <t>CE1470</t>
  </si>
  <si>
    <t>CE1471</t>
  </si>
  <si>
    <t>CE1472</t>
  </si>
  <si>
    <t>CE1473</t>
  </si>
  <si>
    <t>LB0842</t>
  </si>
  <si>
    <t>LQ3783</t>
  </si>
  <si>
    <t>LQ3784</t>
  </si>
  <si>
    <t>LQ3869</t>
  </si>
  <si>
    <t>LQ3666</t>
  </si>
  <si>
    <t>LK6595</t>
  </si>
  <si>
    <t>LK6850</t>
  </si>
  <si>
    <t>LK6360</t>
  </si>
  <si>
    <t>LK6020</t>
  </si>
  <si>
    <t>LK6851</t>
  </si>
  <si>
    <t>LK6596</t>
  </si>
  <si>
    <t>LK6361</t>
  </si>
  <si>
    <t>MB0850</t>
  </si>
  <si>
    <t>LS0007</t>
  </si>
  <si>
    <t>LQ3791</t>
  </si>
  <si>
    <t>LK5996</t>
  </si>
  <si>
    <t>LK5997</t>
  </si>
  <si>
    <t>CE1520</t>
  </si>
  <si>
    <t>CE1293</t>
  </si>
  <si>
    <t>CE1294</t>
  </si>
  <si>
    <t>LK5178</t>
  </si>
  <si>
    <t>LB0930</t>
  </si>
  <si>
    <t>LB0932</t>
  </si>
  <si>
    <t>LB0934</t>
  </si>
  <si>
    <t>LB0977</t>
  </si>
  <si>
    <t>LB0936</t>
  </si>
  <si>
    <t>LK6852</t>
  </si>
  <si>
    <t>LK6853</t>
  </si>
  <si>
    <t>LK6854</t>
  </si>
  <si>
    <t>LK6855</t>
  </si>
  <si>
    <t>LK6856</t>
  </si>
  <si>
    <t>LK6857</t>
  </si>
  <si>
    <t>LK4442</t>
  </si>
  <si>
    <t>LB0895</t>
  </si>
  <si>
    <t>LB0896</t>
  </si>
  <si>
    <t>LB9554</t>
  </si>
  <si>
    <t>LB0898</t>
  </si>
  <si>
    <t>LB0899</t>
  </si>
  <si>
    <t>MB0760</t>
  </si>
  <si>
    <t>LG0771</t>
  </si>
  <si>
    <t>LK7070</t>
  </si>
  <si>
    <t>LK7071</t>
  </si>
  <si>
    <t>LK7072</t>
  </si>
  <si>
    <t>LK7073</t>
  </si>
  <si>
    <t>LK7124</t>
  </si>
  <si>
    <t>CR5128</t>
  </si>
  <si>
    <t>CR4777</t>
  </si>
  <si>
    <t>CR4778</t>
  </si>
  <si>
    <t>CR4776</t>
  </si>
  <si>
    <t>CR4775</t>
  </si>
  <si>
    <t>CR2046</t>
  </si>
  <si>
    <t>CR5251</t>
  </si>
  <si>
    <t>CR5345</t>
  </si>
  <si>
    <t>CR5126</t>
  </si>
  <si>
    <t>CR4915</t>
  </si>
  <si>
    <t>CR2047</t>
  </si>
  <si>
    <t>CR3700</t>
  </si>
  <si>
    <t>CR4779</t>
  </si>
  <si>
    <t>CR3583</t>
  </si>
  <si>
    <t>CR4916</t>
  </si>
  <si>
    <t>CR3843</t>
  </si>
  <si>
    <t>CR3846</t>
  </si>
  <si>
    <t>CR5338</t>
  </si>
  <si>
    <t>CR3848</t>
  </si>
  <si>
    <t>CR3847</t>
  </si>
  <si>
    <t>CR3845</t>
  </si>
  <si>
    <t>CR3844</t>
  </si>
  <si>
    <t>CR3849</t>
  </si>
  <si>
    <t>CR3968</t>
  </si>
  <si>
    <t>CR5127</t>
  </si>
  <si>
    <t>CR2787</t>
  </si>
  <si>
    <t>CR5424</t>
  </si>
  <si>
    <t>CR3969</t>
  </si>
  <si>
    <t>CR5386</t>
  </si>
  <si>
    <t>CR2788</t>
  </si>
  <si>
    <t>CR4774</t>
  </si>
  <si>
    <t>CR2050</t>
  </si>
  <si>
    <t>LB1020</t>
  </si>
  <si>
    <t>LK4444</t>
  </si>
  <si>
    <t>LK5721</t>
  </si>
  <si>
    <t>LB1184</t>
  </si>
  <si>
    <t>LB0944</t>
  </si>
  <si>
    <t>LB1183</t>
  </si>
  <si>
    <t>LK3293</t>
  </si>
  <si>
    <t>LB0909</t>
  </si>
  <si>
    <t>LQ3667</t>
  </si>
  <si>
    <t>LB1045</t>
  </si>
  <si>
    <t>LB0905</t>
  </si>
  <si>
    <t>LK7146</t>
  </si>
  <si>
    <t>LK7147</t>
  </si>
  <si>
    <t>LK7148</t>
  </si>
  <si>
    <t>LK7154</t>
  </si>
  <si>
    <t>LK7149</t>
  </si>
  <si>
    <t>LK7150</t>
  </si>
  <si>
    <t>LK7151</t>
  </si>
  <si>
    <t>LK7152</t>
  </si>
  <si>
    <t>LK7153</t>
  </si>
  <si>
    <t>LK0436</t>
  </si>
  <si>
    <t>LK6023</t>
  </si>
  <si>
    <t>LK6199</t>
  </si>
  <si>
    <t>LK6024</t>
  </si>
  <si>
    <t>LK6324</t>
  </si>
  <si>
    <t>LK5999</t>
  </si>
  <si>
    <t>LK6000</t>
  </si>
  <si>
    <t>LK7046</t>
  </si>
  <si>
    <t>CR5129</t>
  </si>
  <si>
    <t>CR5331</t>
  </si>
  <si>
    <t>CR4085</t>
  </si>
  <si>
    <t>CR5332</t>
  </si>
  <si>
    <t>CR4086</t>
  </si>
  <si>
    <t>CR5130</t>
  </si>
  <si>
    <t>CR4087</t>
  </si>
  <si>
    <t>CR5131</t>
  </si>
  <si>
    <t>CR5330</t>
  </si>
  <si>
    <t>LQ3504</t>
  </si>
  <si>
    <t>CR2031</t>
  </si>
  <si>
    <t>LQ3505</t>
  </si>
  <si>
    <t>LQ3506</t>
  </si>
  <si>
    <t>CR2032</t>
  </si>
  <si>
    <t>LQ3637</t>
  </si>
  <si>
    <t>LK4446</t>
  </si>
  <si>
    <t>LK4635</t>
  </si>
  <si>
    <t>LK4445</t>
  </si>
  <si>
    <t>LK4637</t>
  </si>
  <si>
    <t>LQ3669</t>
  </si>
  <si>
    <t>LK4624</t>
  </si>
  <si>
    <t>LK2745</t>
  </si>
  <si>
    <t>LK2746</t>
  </si>
  <si>
    <t>LK3287</t>
  </si>
  <si>
    <t>LK2747</t>
  </si>
  <si>
    <t>LK2748</t>
  </si>
  <si>
    <t>LK2749</t>
  </si>
  <si>
    <t>LB1021</t>
  </si>
  <si>
    <t>LB1169</t>
  </si>
  <si>
    <t>LB1170</t>
  </si>
  <si>
    <t>LK1534</t>
  </si>
  <si>
    <t>LK4785</t>
  </si>
  <si>
    <t>LK3296</t>
  </si>
  <si>
    <t>LK6895</t>
  </si>
  <si>
    <t>LK6986</t>
  </si>
  <si>
    <t>LK7160</t>
  </si>
  <si>
    <t>LK0551</t>
  </si>
  <si>
    <t>LK6893</t>
  </si>
  <si>
    <t>LK6894</t>
  </si>
  <si>
    <t>LK6987</t>
  </si>
  <si>
    <t>LK5664</t>
  </si>
  <si>
    <t>LB1174</t>
  </si>
  <si>
    <t>LK5723</t>
  </si>
  <si>
    <t>LK5436</t>
  </si>
  <si>
    <t>LK2760</t>
  </si>
  <si>
    <t>LK6897</t>
  </si>
  <si>
    <t>LK2761</t>
  </si>
  <si>
    <t>LK2762</t>
  </si>
  <si>
    <t>LK3297</t>
  </si>
  <si>
    <t>LK0738</t>
  </si>
  <si>
    <t>LK2763</t>
  </si>
  <si>
    <t>LK2764</t>
  </si>
  <si>
    <t>LK2765</t>
  </si>
  <si>
    <t>LB1175</t>
  </si>
  <si>
    <t>LB1176</t>
  </si>
  <si>
    <t>LK5722</t>
  </si>
  <si>
    <t>LB0913</t>
  </si>
  <si>
    <t>LK6988</t>
  </si>
  <si>
    <t>LB1177</t>
  </si>
  <si>
    <t>LB1172</t>
  </si>
  <si>
    <t>MB0830</t>
  </si>
  <si>
    <t>LK3298</t>
  </si>
  <si>
    <t>LK6896</t>
  </si>
  <si>
    <t>LB1180</t>
  </si>
  <si>
    <t>LB1179</t>
  </si>
  <si>
    <t>LK4786</t>
  </si>
  <si>
    <t>LQ3507</t>
  </si>
  <si>
    <t>CR2034</t>
  </si>
  <si>
    <t>LK6564</t>
  </si>
  <si>
    <t>LK6565</t>
  </si>
  <si>
    <t>LK6566</t>
  </si>
  <si>
    <t>LK7126</t>
  </si>
  <si>
    <t>LK6567</t>
  </si>
  <si>
    <t>LK6568</t>
  </si>
  <si>
    <t>LK7127</t>
  </si>
  <si>
    <t>LQ3670</t>
  </si>
  <si>
    <t>LQ3508</t>
  </si>
  <si>
    <t>LB1027</t>
  </si>
  <si>
    <t>LK6598</t>
  </si>
  <si>
    <t>LK6599</t>
  </si>
  <si>
    <t>LK6600</t>
  </si>
  <si>
    <t>LK6601</t>
  </si>
  <si>
    <t>LK6602</t>
  </si>
  <si>
    <t>LK6603</t>
  </si>
  <si>
    <t>LK6604</t>
  </si>
  <si>
    <t>LK6605</t>
  </si>
  <si>
    <t>LB1191</t>
  </si>
  <si>
    <t>LS0008</t>
  </si>
  <si>
    <t>LB1005</t>
  </si>
  <si>
    <t>LB1006</t>
  </si>
  <si>
    <t>LB1007</t>
  </si>
  <si>
    <t>LB1008</t>
  </si>
  <si>
    <t>LB1009</t>
  </si>
  <si>
    <t>LQ3638</t>
  </si>
  <si>
    <t>LB1200</t>
  </si>
  <si>
    <t>LS0009</t>
  </si>
  <si>
    <t>LQ3639</t>
  </si>
  <si>
    <t>LQ3672</t>
  </si>
  <si>
    <t>LQ3640</t>
  </si>
  <si>
    <t>LF0833</t>
  </si>
  <si>
    <t>LQ3792</t>
  </si>
  <si>
    <t>LB1030</t>
  </si>
  <si>
    <t>LQ3374</t>
  </si>
  <si>
    <t>CR3478</t>
  </si>
  <si>
    <t>LQ0972</t>
  </si>
  <si>
    <t>LQ3641</t>
  </si>
  <si>
    <t>LQ3642</t>
  </si>
  <si>
    <t>LK6606</t>
  </si>
  <si>
    <t>LK6607</t>
  </si>
  <si>
    <t>LK6613</t>
  </si>
  <si>
    <t>LK6608</t>
  </si>
  <si>
    <t>LK6618</t>
  </si>
  <si>
    <t>LK6609</t>
  </si>
  <si>
    <t>LK6610</t>
  </si>
  <si>
    <t>LK6611</t>
  </si>
  <si>
    <t>LK6612</t>
  </si>
  <si>
    <t>LK6614</t>
  </si>
  <si>
    <t>LK6615</t>
  </si>
  <si>
    <t>LK6616</t>
  </si>
  <si>
    <t>LK6617</t>
  </si>
  <si>
    <t>LK6619</t>
  </si>
  <si>
    <t>LK6620</t>
  </si>
  <si>
    <t>LK6621</t>
  </si>
  <si>
    <t>LB1208</t>
  </si>
  <si>
    <t>LK5715</t>
  </si>
  <si>
    <t>LQ3674</t>
  </si>
  <si>
    <t>LK6021</t>
  </si>
  <si>
    <t>LK4952</t>
  </si>
  <si>
    <t>CR4100</t>
  </si>
  <si>
    <t>CR4101</t>
  </si>
  <si>
    <t>LB0935</t>
  </si>
  <si>
    <t>LK6362</t>
  </si>
  <si>
    <t>LK6892</t>
  </si>
  <si>
    <t>LK6363</t>
  </si>
  <si>
    <t>LK6364</t>
  </si>
  <si>
    <t>LK6365</t>
  </si>
  <si>
    <t>LK6366</t>
  </si>
  <si>
    <t>LK6367</t>
  </si>
  <si>
    <t>LB0818</t>
  </si>
  <si>
    <t>LB0910</t>
  </si>
  <si>
    <t>LB0978</t>
  </si>
  <si>
    <t>LB0911</t>
  </si>
  <si>
    <t>LB0979</t>
  </si>
  <si>
    <t>LG0030</t>
  </si>
  <si>
    <t>LG0031</t>
  </si>
  <si>
    <t>LG0032</t>
  </si>
  <si>
    <t>LG0033</t>
  </si>
  <si>
    <t>LQ3906</t>
  </si>
  <si>
    <t>LG0034</t>
  </si>
  <si>
    <t>CR2036</t>
  </si>
  <si>
    <t>CR2037</t>
  </si>
  <si>
    <t>LQ3675</t>
  </si>
  <si>
    <t>CR2038</t>
  </si>
  <si>
    <t>CR4102</t>
  </si>
  <si>
    <t>CR2039</t>
  </si>
  <si>
    <t>CR2040</t>
  </si>
  <si>
    <t>CR2041</t>
  </si>
  <si>
    <t>CR2042</t>
  </si>
  <si>
    <t>CR2043</t>
  </si>
  <si>
    <t>LQ3677</t>
  </si>
  <si>
    <t>CR4103</t>
  </si>
  <si>
    <t>CR2045</t>
  </si>
  <si>
    <t>CR2044</t>
  </si>
  <si>
    <t>LQ3678</t>
  </si>
  <si>
    <t>LQ3679</t>
  </si>
  <si>
    <t>CR3850</t>
  </si>
  <si>
    <t>CR3851</t>
  </si>
  <si>
    <t>LK2753</t>
  </si>
  <si>
    <t>LK6368</t>
  </si>
  <si>
    <t>LK6027</t>
  </si>
  <si>
    <t>LK6028</t>
  </si>
  <si>
    <t>LK6029</t>
  </si>
  <si>
    <t>LK6030</t>
  </si>
  <si>
    <t>LK6031</t>
  </si>
  <si>
    <t>LK6032</t>
  </si>
  <si>
    <t>LK7157</t>
  </si>
  <si>
    <t>LK7158</t>
  </si>
  <si>
    <t>LQ3785</t>
  </si>
  <si>
    <t>LK6888</t>
  </si>
  <si>
    <t>LK6622</t>
  </si>
  <si>
    <t>LK6623</t>
  </si>
  <si>
    <t>LK6624</t>
  </si>
  <si>
    <t>LK6625</t>
  </si>
  <si>
    <t>LK6626</t>
  </si>
  <si>
    <t>LK6627</t>
  </si>
  <si>
    <t>LK6628</t>
  </si>
  <si>
    <t>LK6629</t>
  </si>
  <si>
    <t>LK6630</t>
  </si>
  <si>
    <t>LK6814</t>
  </si>
  <si>
    <t>LK7159</t>
  </si>
  <si>
    <t>LK6815</t>
  </si>
  <si>
    <t>LK6816</t>
  </si>
  <si>
    <t>LK6817</t>
  </si>
  <si>
    <t>LK6818</t>
  </si>
  <si>
    <t>LK4268</t>
  </si>
  <si>
    <t>LB0805</t>
  </si>
  <si>
    <t>LB0806</t>
  </si>
  <si>
    <t>LB0807</t>
  </si>
  <si>
    <t>LB0808</t>
  </si>
  <si>
    <t>LB0906</t>
  </si>
  <si>
    <t>LK2061</t>
  </si>
  <si>
    <t>LK0641</t>
  </si>
  <si>
    <t>LK0642</t>
  </si>
  <si>
    <t>LK0643</t>
  </si>
  <si>
    <t>LK6357</t>
  </si>
  <si>
    <t>LK6597</t>
  </si>
  <si>
    <t>LK6358</t>
  </si>
  <si>
    <t>LK6359</t>
  </si>
  <si>
    <t>LK6033</t>
  </si>
  <si>
    <t>LK6034</t>
  </si>
  <si>
    <t>LK6035</t>
  </si>
  <si>
    <t>LK6036</t>
  </si>
  <si>
    <t>LK6037</t>
  </si>
  <si>
    <t>LK5699</t>
  </si>
  <si>
    <t>CR2048</t>
  </si>
  <si>
    <t>CR3667</t>
  </si>
  <si>
    <t>CR2049</t>
  </si>
  <si>
    <t>LK3290</t>
  </si>
  <si>
    <t>LB0788</t>
  </si>
  <si>
    <t>LB0789</t>
  </si>
  <si>
    <t>CR2035</t>
  </si>
  <si>
    <t>LB0791</t>
  </si>
  <si>
    <t>LB0790</t>
  </si>
  <si>
    <t>LQ3643</t>
  </si>
  <si>
    <t>LQ3680</t>
  </si>
  <si>
    <t>LQ3793</t>
  </si>
  <si>
    <t>LK5998</t>
  </si>
  <si>
    <t>LQ3511</t>
  </si>
  <si>
    <t>CR2051</t>
  </si>
  <si>
    <t>LK6675</t>
  </si>
  <si>
    <t>LK6676</t>
  </si>
  <si>
    <t>LK6677</t>
  </si>
  <si>
    <t>LK6678</t>
  </si>
  <si>
    <t>LK6679</t>
  </si>
  <si>
    <t>LK6680</t>
  </si>
  <si>
    <t>LK6984</t>
  </si>
  <si>
    <t>LK6681</t>
  </si>
  <si>
    <t>LK6682</t>
  </si>
  <si>
    <t>LK6985</t>
  </si>
  <si>
    <t>LK6683</t>
  </si>
  <si>
    <t>LK6563</t>
  </si>
  <si>
    <t>LK6684</t>
  </si>
  <si>
    <t>LK6685</t>
  </si>
  <si>
    <t>LK3787</t>
  </si>
  <si>
    <t>LK3788</t>
  </si>
  <si>
    <t>LK3789</t>
  </si>
  <si>
    <t>LK3790</t>
  </si>
  <si>
    <t>LQ3489</t>
  </si>
  <si>
    <t>LQ3786</t>
  </si>
  <si>
    <t>LQ0629</t>
  </si>
  <si>
    <t>LQ3868</t>
  </si>
  <si>
    <t>LQ5596</t>
  </si>
  <si>
    <t>LQ3741</t>
  </si>
  <si>
    <t>LQ0631</t>
  </si>
  <si>
    <t>LQ3742</t>
  </si>
  <si>
    <t>MB0810</t>
  </si>
  <si>
    <t>LB1215</t>
  </si>
  <si>
    <t>LS0010</t>
  </si>
  <si>
    <t>LK4919</t>
  </si>
  <si>
    <t>LK4921</t>
  </si>
  <si>
    <t>LK4920</t>
  </si>
  <si>
    <t>LK4922</t>
  </si>
  <si>
    <t>LB1225</t>
  </si>
  <si>
    <t>LQ3681</t>
  </si>
  <si>
    <t>MC3686</t>
  </si>
  <si>
    <t>MC4321</t>
  </si>
  <si>
    <t>MC4322</t>
  </si>
  <si>
    <t>MC4323</t>
  </si>
  <si>
    <t>MC4401</t>
  </si>
  <si>
    <t>MC2654</t>
  </si>
  <si>
    <t>MC2655</t>
  </si>
  <si>
    <t>MC4310</t>
  </si>
  <si>
    <t>MC4311</t>
  </si>
  <si>
    <t>LH3050</t>
  </si>
  <si>
    <t>MC0136</t>
  </si>
  <si>
    <t>LH3082</t>
  </si>
  <si>
    <t>MC4135</t>
  </si>
  <si>
    <t>LH3087</t>
  </si>
  <si>
    <t>MC1452</t>
  </si>
  <si>
    <t>MC0134</t>
  </si>
  <si>
    <t>MC3286</t>
  </si>
  <si>
    <t>MC1797</t>
  </si>
  <si>
    <t>MC3884</t>
  </si>
  <si>
    <t>MC0138</t>
  </si>
  <si>
    <t>MC2632</t>
  </si>
  <si>
    <t>MC4137</t>
  </si>
  <si>
    <t>MC1801</t>
  </si>
  <si>
    <t>LK5575</t>
  </si>
  <si>
    <t>LQ0633</t>
  </si>
  <si>
    <t>CR3586</t>
  </si>
  <si>
    <t>CR4001</t>
  </si>
  <si>
    <t>CR3955</t>
  </si>
  <si>
    <t>CR2052</t>
  </si>
  <si>
    <t>CR2053</t>
  </si>
  <si>
    <t>CR3064</t>
  </si>
  <si>
    <t>CR2054</t>
  </si>
  <si>
    <t>CR3585</t>
  </si>
  <si>
    <t>LQ6152</t>
  </si>
  <si>
    <t>LQ6089</t>
  </si>
  <si>
    <t>LQ6052</t>
  </si>
  <si>
    <t>LQ6289</t>
  </si>
  <si>
    <t>CE1637</t>
  </si>
  <si>
    <t>CE1747</t>
  </si>
  <si>
    <t>CE1641</t>
  </si>
  <si>
    <t>CE1638</t>
  </si>
  <si>
    <t>CE1642</t>
  </si>
  <si>
    <t>CE1639</t>
  </si>
  <si>
    <t>CE1590</t>
  </si>
  <si>
    <t>LQ3876</t>
  </si>
  <si>
    <t>LQ3877</t>
  </si>
  <si>
    <t>LQ0860</t>
  </si>
  <si>
    <t>LQ3743</t>
  </si>
  <si>
    <t>LQ3388</t>
  </si>
  <si>
    <t>LQ0861</t>
  </si>
  <si>
    <t>LQ6053</t>
  </si>
  <si>
    <t>LQ6054</t>
  </si>
  <si>
    <t>CE0388</t>
  </si>
  <si>
    <t>CE0764</t>
  </si>
  <si>
    <t>CE1298</t>
  </si>
  <si>
    <t>CE0843</t>
  </si>
  <si>
    <t>LQ3290</t>
  </si>
  <si>
    <t>LQ6090</t>
  </si>
  <si>
    <t>LK6990</t>
  </si>
  <si>
    <t>CR4917</t>
  </si>
  <si>
    <t>CR4919</t>
  </si>
  <si>
    <t>CR4918</t>
  </si>
  <si>
    <t>CR4920</t>
  </si>
  <si>
    <t>LQ3825</t>
  </si>
  <si>
    <t>LQ6251</t>
  </si>
  <si>
    <t>LK6370</t>
  </si>
  <si>
    <t>LQ6091</t>
  </si>
  <si>
    <t>LQ5499</t>
  </si>
  <si>
    <t>LQ5996</t>
  </si>
  <si>
    <t>LB1230</t>
  </si>
  <si>
    <t>LQ6153</t>
  </si>
  <si>
    <t>LQ5833</t>
  </si>
  <si>
    <t>MB0010</t>
  </si>
  <si>
    <t>LA0010</t>
  </si>
  <si>
    <t>MC0753</t>
  </si>
  <si>
    <t>MC3664</t>
  </si>
  <si>
    <t>LF2023</t>
  </si>
  <si>
    <t>LC5340</t>
  </si>
  <si>
    <t>MC4467</t>
  </si>
  <si>
    <t>MB1200</t>
  </si>
  <si>
    <t>LK5438</t>
  </si>
  <si>
    <t>LG0850</t>
  </si>
  <si>
    <t>LK2528</t>
  </si>
  <si>
    <t>LQ5683</t>
  </si>
  <si>
    <t>LQ6093</t>
  </si>
  <si>
    <t>LQ6136</t>
  </si>
  <si>
    <t>LQ5684</t>
  </si>
  <si>
    <t>CR2612</t>
  </si>
  <si>
    <t>LB1290</t>
  </si>
  <si>
    <t>LB3089</t>
  </si>
  <si>
    <t>CR4040</t>
  </si>
  <si>
    <t>CR4041</t>
  </si>
  <si>
    <t>CR4042</t>
  </si>
  <si>
    <t>CR5029</t>
  </si>
  <si>
    <t>CR4043</t>
  </si>
  <si>
    <t>LQ0750</t>
  </si>
  <si>
    <t>CR4090</t>
  </si>
  <si>
    <t>CE0389</t>
  </si>
  <si>
    <t>MB2730</t>
  </si>
  <si>
    <t>LK0410</t>
  </si>
  <si>
    <t>LL0286</t>
  </si>
  <si>
    <t>LL8157</t>
  </si>
  <si>
    <t>LL0114</t>
  </si>
  <si>
    <t>LL8161</t>
  </si>
  <si>
    <t>LL8162</t>
  </si>
  <si>
    <t>LL0401</t>
  </si>
  <si>
    <t>LL8303</t>
  </si>
  <si>
    <t>LL8163</t>
  </si>
  <si>
    <t>LL0280</t>
  </si>
  <si>
    <t>KY0280</t>
  </si>
  <si>
    <t>LL0320</t>
  </si>
  <si>
    <t>LL0402</t>
  </si>
  <si>
    <t>LL8164</t>
  </si>
  <si>
    <t>LL8165</t>
  </si>
  <si>
    <t>LL0330</t>
  </si>
  <si>
    <t>LL0345</t>
  </si>
  <si>
    <t>LL0350</t>
  </si>
  <si>
    <t>KY0350</t>
  </si>
  <si>
    <t>LL0400</t>
  </si>
  <si>
    <t>LG0990</t>
  </si>
  <si>
    <t>LB1315</t>
  </si>
  <si>
    <t>LB1316</t>
  </si>
  <si>
    <t>MQ0758</t>
  </si>
  <si>
    <t>MQ0820</t>
  </si>
  <si>
    <t>MC1804</t>
  </si>
  <si>
    <t>MC0144</t>
  </si>
  <si>
    <t>MQ0821</t>
  </si>
  <si>
    <t>LL0445</t>
  </si>
  <si>
    <t>KY0445</t>
  </si>
  <si>
    <t>LL8166</t>
  </si>
  <si>
    <t>LL8136</t>
  </si>
  <si>
    <t>LL0490</t>
  </si>
  <si>
    <t>LL0492</t>
  </si>
  <si>
    <t>LL0530</t>
  </si>
  <si>
    <t>LL0153</t>
  </si>
  <si>
    <t>MC0145</t>
  </si>
  <si>
    <t>CR4204</t>
  </si>
  <si>
    <t>LH1502</t>
  </si>
  <si>
    <t>MC0148</t>
  </si>
  <si>
    <t>MQ0759</t>
  </si>
  <si>
    <t>MQ0156</t>
  </si>
  <si>
    <t>CR4200</t>
  </si>
  <si>
    <t>MQ3046</t>
  </si>
  <si>
    <t>MQ3047</t>
  </si>
  <si>
    <t>CR4201</t>
  </si>
  <si>
    <t>MQ3049</t>
  </si>
  <si>
    <t>CR4202</t>
  </si>
  <si>
    <t>MQ3050</t>
  </si>
  <si>
    <t>MQ3051</t>
  </si>
  <si>
    <t>CR4203</t>
  </si>
  <si>
    <t>CN2344</t>
  </si>
  <si>
    <t>MQ0158</t>
  </si>
  <si>
    <t>MQ0687</t>
  </si>
  <si>
    <t>MQ0688</t>
  </si>
  <si>
    <t>MQ0689</t>
  </si>
  <si>
    <t>MQ0690</t>
  </si>
  <si>
    <t>MQ0691</t>
  </si>
  <si>
    <t>MQ0692</t>
  </si>
  <si>
    <t>MQ0587</t>
  </si>
  <si>
    <t>MQ0693</t>
  </si>
  <si>
    <t>MQ0760</t>
  </si>
  <si>
    <t>MQ6006</t>
  </si>
  <si>
    <t>MQ0588</t>
  </si>
  <si>
    <t>MQ0761</t>
  </si>
  <si>
    <t>MQ0762</t>
  </si>
  <si>
    <t>MC0149</t>
  </si>
  <si>
    <t>CR4205</t>
  </si>
  <si>
    <t>MC1519</t>
  </si>
  <si>
    <t>CR4207</t>
  </si>
  <si>
    <t>MQ0763</t>
  </si>
  <si>
    <t>MC0146</t>
  </si>
  <si>
    <t>MQ0764</t>
  </si>
  <si>
    <t>MC1073</t>
  </si>
  <si>
    <t>CR4206</t>
  </si>
  <si>
    <t>MQ0694</t>
  </si>
  <si>
    <t>MQ0695</t>
  </si>
  <si>
    <t>LL0605</t>
  </si>
  <si>
    <t>LL8168</t>
  </si>
  <si>
    <t>LL8169</t>
  </si>
  <si>
    <t>LL0634</t>
  </si>
  <si>
    <t>LL0609</t>
  </si>
  <si>
    <t>LL8208</t>
  </si>
  <si>
    <t>LL0002</t>
  </si>
  <si>
    <t>LL0610</t>
  </si>
  <si>
    <t>LL0613</t>
  </si>
  <si>
    <t>LL0623</t>
  </si>
  <si>
    <t>LL0626</t>
  </si>
  <si>
    <t>LL0627</t>
  </si>
  <si>
    <t>LL0633</t>
  </si>
  <si>
    <t>LL0635</t>
  </si>
  <si>
    <t>LL0638</t>
  </si>
  <si>
    <t>LL0640</t>
  </si>
  <si>
    <t>LL8170</t>
  </si>
  <si>
    <t>LL0600</t>
  </si>
  <si>
    <t>KY0600</t>
  </si>
  <si>
    <t>LL0662</t>
  </si>
  <si>
    <t>LL0670</t>
  </si>
  <si>
    <t>LL2872</t>
  </si>
  <si>
    <t>LL8171</t>
  </si>
  <si>
    <t>LL0154</t>
  </si>
  <si>
    <t>LL0680</t>
  </si>
  <si>
    <t>LL8172</t>
  </si>
  <si>
    <t>LL8305</t>
  </si>
  <si>
    <t>LL0707</t>
  </si>
  <si>
    <t>LL0710</t>
  </si>
  <si>
    <t>LL0730</t>
  </si>
  <si>
    <t>LL0735</t>
  </si>
  <si>
    <t>LL8141</t>
  </si>
  <si>
    <t>LL0034</t>
  </si>
  <si>
    <t>LL2887</t>
  </si>
  <si>
    <t>LL2871</t>
  </si>
  <si>
    <t>LL2874</t>
  </si>
  <si>
    <t>LB5789</t>
  </si>
  <si>
    <t>LL0765</t>
  </si>
  <si>
    <t>LL0766</t>
  </si>
  <si>
    <t>LB5791</t>
  </si>
  <si>
    <t>LL8174</t>
  </si>
  <si>
    <t>LL0636</t>
  </si>
  <si>
    <t>LL0770</t>
  </si>
  <si>
    <t>LL0775</t>
  </si>
  <si>
    <t>LL0787</t>
  </si>
  <si>
    <t>LL0791</t>
  </si>
  <si>
    <t>LL0790</t>
  </si>
  <si>
    <t>LL0800</t>
  </si>
  <si>
    <t>KY0800</t>
  </si>
  <si>
    <t>LL8175</t>
  </si>
  <si>
    <t>LL5008</t>
  </si>
  <si>
    <t>LL5009</t>
  </si>
  <si>
    <t>LB5792</t>
  </si>
  <si>
    <t>LG6625</t>
  </si>
  <si>
    <t>LF8530</t>
  </si>
  <si>
    <t>LK2767</t>
  </si>
  <si>
    <t>LF1110</t>
  </si>
  <si>
    <t>MC1422</t>
  </si>
  <si>
    <t>LB1430</t>
  </si>
  <si>
    <t>LK1087</t>
  </si>
  <si>
    <t>LK0472</t>
  </si>
  <si>
    <t>LK0473</t>
  </si>
  <si>
    <t>LK0005</t>
  </si>
  <si>
    <t>LS0011</t>
  </si>
  <si>
    <t>LK0474</t>
  </si>
  <si>
    <t>LK1089</t>
  </si>
  <si>
    <t>LK2768</t>
  </si>
  <si>
    <t>MC4125</t>
  </si>
  <si>
    <t>LK2769</t>
  </si>
  <si>
    <t>MC3223</t>
  </si>
  <si>
    <t>MC1903</t>
  </si>
  <si>
    <t>MQ0224</t>
  </si>
  <si>
    <t>MC0150</t>
  </si>
  <si>
    <t>MC1540</t>
  </si>
  <si>
    <t>MC4138</t>
  </si>
  <si>
    <t>MC3691</t>
  </si>
  <si>
    <t>MC0151</t>
  </si>
  <si>
    <t>LF1111</t>
  </si>
  <si>
    <t>LF0023</t>
  </si>
  <si>
    <t>LF0024</t>
  </si>
  <si>
    <t>LF0025</t>
  </si>
  <si>
    <t>LF0026</t>
  </si>
  <si>
    <t>LB1411</t>
  </si>
  <si>
    <t>MC4451</t>
  </si>
  <si>
    <t>LB1470</t>
  </si>
  <si>
    <t>LB1471</t>
  </si>
  <si>
    <t>LB1473</t>
  </si>
  <si>
    <t>LB1451</t>
  </si>
  <si>
    <t>CE1083</t>
  </si>
  <si>
    <t>CE1084</t>
  </si>
  <si>
    <t>LQ3795</t>
  </si>
  <si>
    <t>LQ6055</t>
  </si>
  <si>
    <t>LK6994</t>
  </si>
  <si>
    <t>LK6995</t>
  </si>
  <si>
    <t>LK6996</t>
  </si>
  <si>
    <t>LQ3447</t>
  </si>
  <si>
    <t>CR2055</t>
  </si>
  <si>
    <t>CR3989</t>
  </si>
  <si>
    <t>CR2056</t>
  </si>
  <si>
    <t>CR2057</t>
  </si>
  <si>
    <t>CR3990</t>
  </si>
  <si>
    <t>CR5132</t>
  </si>
  <si>
    <t>CR5134</t>
  </si>
  <si>
    <t>CR5135</t>
  </si>
  <si>
    <t>CR5136</t>
  </si>
  <si>
    <t>CR5137</t>
  </si>
  <si>
    <t>CR5417</t>
  </si>
  <si>
    <t>CR5138</t>
  </si>
  <si>
    <t>CR5139</t>
  </si>
  <si>
    <t>CR5140</t>
  </si>
  <si>
    <t>CR5141</t>
  </si>
  <si>
    <t>CR5410</t>
  </si>
  <si>
    <t>CR4904</t>
  </si>
  <si>
    <t>CR3587</t>
  </si>
  <si>
    <t>CR3177</t>
  </si>
  <si>
    <t>CR2058</t>
  </si>
  <si>
    <t>CR3588</t>
  </si>
  <si>
    <t>CR2059</t>
  </si>
  <si>
    <t>CR3696</t>
  </si>
  <si>
    <t>CR3862</t>
  </si>
  <si>
    <t>CR3591</t>
  </si>
  <si>
    <t>CR3717</t>
  </si>
  <si>
    <t>CR2064</t>
  </si>
  <si>
    <t>CR2063</t>
  </si>
  <si>
    <t>CR2613</t>
  </si>
  <si>
    <t>CR2067</t>
  </si>
  <si>
    <t>CR2068</t>
  </si>
  <si>
    <t>CR3066</t>
  </si>
  <si>
    <t>CR3863</t>
  </si>
  <si>
    <t>CR3067</t>
  </si>
  <si>
    <t>CR5312</t>
  </si>
  <si>
    <t>CR4780</t>
  </si>
  <si>
    <t>CR2069</t>
  </si>
  <si>
    <t>CR5313</t>
  </si>
  <si>
    <t>CR3458</t>
  </si>
  <si>
    <t>CR2065</t>
  </si>
  <si>
    <t>CR3697</t>
  </si>
  <si>
    <t>CR5314</t>
  </si>
  <si>
    <t>CR5315</t>
  </si>
  <si>
    <t>CR2070</t>
  </si>
  <si>
    <t>CR3589</t>
  </si>
  <si>
    <t>CR2084</t>
  </si>
  <si>
    <t>CR2071</t>
  </si>
  <si>
    <t>CR3718</t>
  </si>
  <si>
    <t>CR2072</t>
  </si>
  <si>
    <t>CR3993</t>
  </si>
  <si>
    <t>CR5142</t>
  </si>
  <si>
    <t>CR3994</t>
  </si>
  <si>
    <t>CR3070</t>
  </si>
  <si>
    <t>CR5143</t>
  </si>
  <si>
    <t>CR2881</t>
  </si>
  <si>
    <t>CR3864</t>
  </si>
  <si>
    <t>CR4781</t>
  </si>
  <si>
    <t>CR2883</t>
  </si>
  <si>
    <t>CR3069</t>
  </si>
  <si>
    <t>CR2884</t>
  </si>
  <si>
    <t>CR3949</t>
  </si>
  <si>
    <t>CR3071</t>
  </si>
  <si>
    <t>CR2075</t>
  </si>
  <si>
    <t>CR2076</t>
  </si>
  <si>
    <t>CR2077</t>
  </si>
  <si>
    <t>CR2614</t>
  </si>
  <si>
    <t>CR2079</t>
  </si>
  <si>
    <t>CR2080</t>
  </si>
  <si>
    <t>CR3970</t>
  </si>
  <si>
    <t>CR2081</t>
  </si>
  <si>
    <t>CR2082</t>
  </si>
  <si>
    <t>CR2083</t>
  </si>
  <si>
    <t>CR2085</t>
  </si>
  <si>
    <t>CR2086</t>
  </si>
  <si>
    <t>CR5317</t>
  </si>
  <si>
    <t>CR3853</t>
  </si>
  <si>
    <t>CR4782</t>
  </si>
  <si>
    <t>CR5318</t>
  </si>
  <si>
    <t>CR5144</t>
  </si>
  <si>
    <t>CR5319</t>
  </si>
  <si>
    <t>CR3719</t>
  </si>
  <si>
    <t>CR4783</t>
  </si>
  <si>
    <t>CR5145</t>
  </si>
  <si>
    <t>CR3713</t>
  </si>
  <si>
    <t>CR3714</t>
  </si>
  <si>
    <t>CR4006</t>
  </si>
  <si>
    <t>CR4007</t>
  </si>
  <si>
    <t>CE1171</t>
  </si>
  <si>
    <t>CE1172</t>
  </si>
  <si>
    <t>CE1643</t>
  </si>
  <si>
    <t>CE1173</t>
  </si>
  <si>
    <t>CE1266</t>
  </si>
  <si>
    <t>CE1174</t>
  </si>
  <si>
    <t>CE1267</t>
  </si>
  <si>
    <t>CE1268</t>
  </si>
  <si>
    <t>CE1176</t>
  </si>
  <si>
    <t>LQ0864</t>
  </si>
  <si>
    <t>MB1202</t>
  </si>
  <si>
    <t>MC1423</t>
  </si>
  <si>
    <t>LQ3910</t>
  </si>
  <si>
    <t>LQ3319</t>
  </si>
  <si>
    <t>LQ3291</t>
  </si>
  <si>
    <t>LQ3292</t>
  </si>
  <si>
    <t>LQ3320</t>
  </si>
  <si>
    <t>LQ3911</t>
  </si>
  <si>
    <t>LQ3322</t>
  </si>
  <si>
    <t>LQ3323</t>
  </si>
  <si>
    <t>CR4010</t>
  </si>
  <si>
    <t>CR4785</t>
  </si>
  <si>
    <t>CR4922</t>
  </si>
  <si>
    <t>CR5146</t>
  </si>
  <si>
    <t>CR5147</t>
  </si>
  <si>
    <t>CR5148</t>
  </si>
  <si>
    <t>CR4923</t>
  </si>
  <si>
    <t>CR4012</t>
  </si>
  <si>
    <t>CR4013</t>
  </si>
  <si>
    <t>CR4014</t>
  </si>
  <si>
    <t>CR4015</t>
  </si>
  <si>
    <t>CR4016</t>
  </si>
  <si>
    <t>CR4017</t>
  </si>
  <si>
    <t>CR5149</t>
  </si>
  <si>
    <t>CR4924</t>
  </si>
  <si>
    <t>CR4018</t>
  </si>
  <si>
    <t>CR4020</t>
  </si>
  <si>
    <t>CR4787</t>
  </si>
  <si>
    <t>CR4022</t>
  </si>
  <si>
    <t>LQ0865</t>
  </si>
  <si>
    <t>CR4023</t>
  </si>
  <si>
    <t>CR5150</t>
  </si>
  <si>
    <t>CR5151</t>
  </si>
  <si>
    <t>CR5152</t>
  </si>
  <si>
    <t>CR4025</t>
  </si>
  <si>
    <t>CR5153</t>
  </si>
  <si>
    <t>CE0809</t>
  </si>
  <si>
    <t>CE1269</t>
  </si>
  <si>
    <t>CE0810</t>
  </si>
  <si>
    <t>CE1214</t>
  </si>
  <si>
    <t>CE0397</t>
  </si>
  <si>
    <t>CE1085</t>
  </si>
  <si>
    <t>CE1727</t>
  </si>
  <si>
    <t>CE1177</t>
  </si>
  <si>
    <t>CE1299</t>
  </si>
  <si>
    <t>CE1270</t>
  </si>
  <si>
    <t>CE1271</t>
  </si>
  <si>
    <t>CE0399</t>
  </si>
  <si>
    <t>CE1644</t>
  </si>
  <si>
    <t>CE1645</t>
  </si>
  <si>
    <t>CE1591</t>
  </si>
  <si>
    <t>CE0400</t>
  </si>
  <si>
    <t>CE0401</t>
  </si>
  <si>
    <t>CE0402</t>
  </si>
  <si>
    <t>CE0403</t>
  </si>
  <si>
    <t>CE1086</t>
  </si>
  <si>
    <t>CE0811</t>
  </si>
  <si>
    <t>CE1476</t>
  </si>
  <si>
    <t>CE0405</t>
  </si>
  <si>
    <t>CE0406</t>
  </si>
  <si>
    <t>CE1592</t>
  </si>
  <si>
    <t>CE1629</t>
  </si>
  <si>
    <t>CE1300</t>
  </si>
  <si>
    <t>CE1178</t>
  </si>
  <si>
    <t>CE0409</t>
  </si>
  <si>
    <t>CE1272</t>
  </si>
  <si>
    <t>CE1273</t>
  </si>
  <si>
    <t>CE0410</t>
  </si>
  <si>
    <t>CE0411</t>
  </si>
  <si>
    <t>CE0398</t>
  </si>
  <si>
    <t>LQ3826</t>
  </si>
  <si>
    <t>CR4925</t>
  </si>
  <si>
    <t>LQ0785</t>
  </si>
  <si>
    <t>CR3487</t>
  </si>
  <si>
    <t>LQ3390</t>
  </si>
  <si>
    <t>CR3488</t>
  </si>
  <si>
    <t>LQ3734</t>
  </si>
  <si>
    <t>CR4788</t>
  </si>
  <si>
    <t>LQ3735</t>
  </si>
  <si>
    <t>LQ3391</t>
  </si>
  <si>
    <t>CR3489</t>
  </si>
  <si>
    <t>LQ3574</t>
  </si>
  <si>
    <t>CR3854</t>
  </si>
  <si>
    <t>LQ3739</t>
  </si>
  <si>
    <t>LQ3575</t>
  </si>
  <si>
    <t>CR4091</t>
  </si>
  <si>
    <t>LQ0869</t>
  </si>
  <si>
    <t>CR4926</t>
  </si>
  <si>
    <t>CR3490</t>
  </si>
  <si>
    <t>LQ3878</t>
  </si>
  <si>
    <t>CR2588</t>
  </si>
  <si>
    <t>LQ3576</t>
  </si>
  <si>
    <t>CR4033</t>
  </si>
  <si>
    <t>LQ3828</t>
  </si>
  <si>
    <t>CR4927</t>
  </si>
  <si>
    <t>LQ3736</t>
  </si>
  <si>
    <t>CR4789</t>
  </si>
  <si>
    <t>CR4928</t>
  </si>
  <si>
    <t>LQ3514</t>
  </si>
  <si>
    <t>LQ3515</t>
  </si>
  <si>
    <t>CR2093</t>
  </si>
  <si>
    <t>LQ3737</t>
  </si>
  <si>
    <t>CR4790</t>
  </si>
  <si>
    <t>LQ3829</t>
  </si>
  <si>
    <t>CR4929</t>
  </si>
  <si>
    <t>LQ3578</t>
  </si>
  <si>
    <t>CR3042</t>
  </si>
  <si>
    <t>LQ0934</t>
  </si>
  <si>
    <t>CR4930</t>
  </si>
  <si>
    <t>CR4034</t>
  </si>
  <si>
    <t>LQ3738</t>
  </si>
  <si>
    <t>CR4791</t>
  </si>
  <si>
    <t>LQ3516</t>
  </si>
  <si>
    <t>CR3491</t>
  </si>
  <si>
    <t>CR2589</t>
  </si>
  <si>
    <t>LQ3518</t>
  </si>
  <si>
    <t>CR3492</t>
  </si>
  <si>
    <t>CR5155</t>
  </si>
  <si>
    <t>LQ3582</t>
  </si>
  <si>
    <t>CR2094</t>
  </si>
  <si>
    <t>CR2095</t>
  </si>
  <si>
    <t>LQ3879</t>
  </si>
  <si>
    <t>CR5156</t>
  </si>
  <si>
    <t>LQ3583</t>
  </si>
  <si>
    <t>CR4035</t>
  </si>
  <si>
    <t>CR2096</t>
  </si>
  <si>
    <t>LQ3520</t>
  </si>
  <si>
    <t>CR4931</t>
  </si>
  <si>
    <t>LQ0935</t>
  </si>
  <si>
    <t>CR4036</t>
  </si>
  <si>
    <t>LQ6225</t>
  </si>
  <si>
    <t>LQ6154</t>
  </si>
  <si>
    <t>LQ6226</t>
  </si>
  <si>
    <t>LQ6056</t>
  </si>
  <si>
    <t>LQ6260</t>
  </si>
  <si>
    <t>LQ6155</t>
  </si>
  <si>
    <t>LQ6227</t>
  </si>
  <si>
    <t>LQ6156</t>
  </si>
  <si>
    <t>LQ6261</t>
  </si>
  <si>
    <t>LQ6137</t>
  </si>
  <si>
    <t>LQ6179</t>
  </si>
  <si>
    <t>LQ6180</t>
  </si>
  <si>
    <t>LQ6058</t>
  </si>
  <si>
    <t>LQ6228</t>
  </si>
  <si>
    <t>LQ6157</t>
  </si>
  <si>
    <t>LQ6059</t>
  </si>
  <si>
    <t>LQ6095</t>
  </si>
  <si>
    <t>LQ6262</t>
  </si>
  <si>
    <t>LQ6229</t>
  </si>
  <si>
    <t>LQ6060</t>
  </si>
  <si>
    <t>LQ6290</t>
  </si>
  <si>
    <t>LQ6291</t>
  </si>
  <si>
    <t>LQ6174</t>
  </si>
  <si>
    <t>LK6200</t>
  </si>
  <si>
    <t>LQ3880</t>
  </si>
  <si>
    <t>CR5163</t>
  </si>
  <si>
    <t>LQ6263</t>
  </si>
  <si>
    <t>LQ6230</t>
  </si>
  <si>
    <t>LQ6231</t>
  </si>
  <si>
    <t>LQ6232</t>
  </si>
  <si>
    <t>LQ6158</t>
  </si>
  <si>
    <t>LQ6264</t>
  </si>
  <si>
    <t>LQ6181</t>
  </si>
  <si>
    <t>LQ3796</t>
  </si>
  <si>
    <t>LS0012</t>
  </si>
  <si>
    <t>CR5267</t>
  </si>
  <si>
    <t>CR5268</t>
  </si>
  <si>
    <t>CR3590</t>
  </si>
  <si>
    <t>CR2097</t>
  </si>
  <si>
    <t>CR2886</t>
  </si>
  <si>
    <t>CR2100</t>
  </si>
  <si>
    <t>CR4792</t>
  </si>
  <si>
    <t>CR2101</t>
  </si>
  <si>
    <t>CR2102</t>
  </si>
  <si>
    <t>CR2103</t>
  </si>
  <si>
    <t>CR4074</t>
  </si>
  <si>
    <t>CR2104</t>
  </si>
  <si>
    <t>LQ3881</t>
  </si>
  <si>
    <t>CR5164</t>
  </si>
  <si>
    <t>LK6631</t>
  </si>
  <si>
    <t>LK6632</t>
  </si>
  <si>
    <t>LK6633</t>
  </si>
  <si>
    <t>LK5642</t>
  </si>
  <si>
    <t>LK6325</t>
  </si>
  <si>
    <t>LK6634</t>
  </si>
  <si>
    <t>LK6635</t>
  </si>
  <si>
    <t>LK6636</t>
  </si>
  <si>
    <t>LQ6176</t>
  </si>
  <si>
    <t>LK5645</t>
  </si>
  <si>
    <t>LK5646</t>
  </si>
  <si>
    <t>CR3410</t>
  </si>
  <si>
    <t>LQ6138</t>
  </si>
  <si>
    <t>CR2619</t>
  </si>
  <si>
    <t>CR2791</t>
  </si>
  <si>
    <t>LQ0425</t>
  </si>
  <si>
    <t>LQ5302</t>
  </si>
  <si>
    <t>LQ0426</t>
  </si>
  <si>
    <t>LQ5012</t>
  </si>
  <si>
    <t>LQ5835</t>
  </si>
  <si>
    <t>LQ5501</t>
  </si>
  <si>
    <t>LQ5502</t>
  </si>
  <si>
    <t>LQ5307</t>
  </si>
  <si>
    <t>LQ5918</t>
  </si>
  <si>
    <t>LQ0428</t>
  </si>
  <si>
    <t>LQ5309</t>
  </si>
  <si>
    <t>LQ5311</t>
  </si>
  <si>
    <t>LQ5689</t>
  </si>
  <si>
    <t>LQ0424</t>
  </si>
  <si>
    <t>LQ5919</t>
  </si>
  <si>
    <t>LQ5692</t>
  </si>
  <si>
    <t>LQ5314</t>
  </si>
  <si>
    <t>LQ5444</t>
  </si>
  <si>
    <t>LQ6187</t>
  </si>
  <si>
    <t>LQ6188</t>
  </si>
  <si>
    <t>LQ6189</t>
  </si>
  <si>
    <t>LQ6292</t>
  </si>
  <si>
    <t>LK7128</t>
  </si>
  <si>
    <t>LQ6190</t>
  </si>
  <si>
    <t>MC4089</t>
  </si>
  <si>
    <t>CR2625</t>
  </si>
  <si>
    <t>LQ3797</t>
  </si>
  <si>
    <t>CR4932</t>
  </si>
  <si>
    <t>CR4933</t>
  </si>
  <si>
    <t>CR4934</t>
  </si>
  <si>
    <t>CR5158</t>
  </si>
  <si>
    <t>CR4935</t>
  </si>
  <si>
    <t>CR4936</t>
  </si>
  <si>
    <t>CR5160</t>
  </si>
  <si>
    <t>CR5159</t>
  </si>
  <si>
    <t>CR4937</t>
  </si>
  <si>
    <t>CR4938</t>
  </si>
  <si>
    <t>LQ3585</t>
  </si>
  <si>
    <t>CR3855</t>
  </si>
  <si>
    <t>CR5021</t>
  </si>
  <si>
    <t>CR5320</t>
  </si>
  <si>
    <t>CR4795</t>
  </si>
  <si>
    <t>CR5161</t>
  </si>
  <si>
    <t>CR5162</t>
  </si>
  <si>
    <t>CR4794</t>
  </si>
  <si>
    <t>CR5316</t>
  </si>
  <si>
    <t>CR4793</t>
  </si>
  <si>
    <t>LQ3798</t>
  </si>
  <si>
    <t>LQ3449</t>
  </si>
  <si>
    <t>LQ3450</t>
  </si>
  <si>
    <t>LQ3451</t>
  </si>
  <si>
    <t>LQ3452</t>
  </si>
  <si>
    <t>LQ3453</t>
  </si>
  <si>
    <t>LQ3455</t>
  </si>
  <si>
    <t>LQ3457</t>
  </si>
  <si>
    <t>LQ3799</t>
  </si>
  <si>
    <t>LQ3458</t>
  </si>
  <si>
    <t>LQ3459</t>
  </si>
  <si>
    <t>CR3072</t>
  </si>
  <si>
    <t>CR3073</t>
  </si>
  <si>
    <t>CR2105</t>
  </si>
  <si>
    <t>CR3698</t>
  </si>
  <si>
    <t>CR3074</t>
  </si>
  <si>
    <t>MB1115</t>
  </si>
  <si>
    <t>LF1115</t>
  </si>
  <si>
    <t>LF0032</t>
  </si>
  <si>
    <t>LK6898</t>
  </si>
  <si>
    <t>LK4791</t>
  </si>
  <si>
    <t>CE1301</t>
  </si>
  <si>
    <t>CE0968</t>
  </si>
  <si>
    <t>MC1521</t>
  </si>
  <si>
    <t>MC0162</t>
  </si>
  <si>
    <t>LH1536</t>
  </si>
  <si>
    <t>MC0159</t>
  </si>
  <si>
    <t>LG0025</t>
  </si>
  <si>
    <t>LK6686</t>
  </si>
  <si>
    <t>MQ0614</t>
  </si>
  <si>
    <t>MC4380</t>
  </si>
  <si>
    <t>MC3695</t>
  </si>
  <si>
    <t>LH1534</t>
  </si>
  <si>
    <t>MC0154</t>
  </si>
  <si>
    <t>LH1544</t>
  </si>
  <si>
    <t>MC0842</t>
  </si>
  <si>
    <t>LH1547</t>
  </si>
  <si>
    <t>MC0155</t>
  </si>
  <si>
    <t>MC4142</t>
  </si>
  <si>
    <t>CN5024</t>
  </si>
  <si>
    <t>CR4208</t>
  </si>
  <si>
    <t>MC3129</t>
  </si>
  <si>
    <t>MQ0160</t>
  </si>
  <si>
    <t>MQ0161</t>
  </si>
  <si>
    <t>MQ0162</t>
  </si>
  <si>
    <t>MQ0163</t>
  </si>
  <si>
    <t>MC4139</t>
  </si>
  <si>
    <t>LH1540</t>
  </si>
  <si>
    <t>LH8888</t>
  </si>
  <si>
    <t>MC4264</t>
  </si>
  <si>
    <t>LH8889</t>
  </si>
  <si>
    <t>MC4265</t>
  </si>
  <si>
    <t>MC0163</t>
  </si>
  <si>
    <t>MC4143</t>
  </si>
  <si>
    <t>MC4144</t>
  </si>
  <si>
    <t>MC4145</t>
  </si>
  <si>
    <t>LH8890</t>
  </si>
  <si>
    <t>MC4146</t>
  </si>
  <si>
    <t>LH8891</t>
  </si>
  <si>
    <t>MC4147</t>
  </si>
  <si>
    <t>MC3001</t>
  </si>
  <si>
    <t>MC4381</t>
  </si>
  <si>
    <t>CE1710</t>
  </si>
  <si>
    <t>MC4382</t>
  </si>
  <si>
    <t>CE1711</t>
  </si>
  <si>
    <t>MC4383</t>
  </si>
  <si>
    <t>CE1712</t>
  </si>
  <si>
    <t>MC0157</t>
  </si>
  <si>
    <t>MC4010</t>
  </si>
  <si>
    <t>MC2696</t>
  </si>
  <si>
    <t>CR4029</t>
  </si>
  <si>
    <t>CR4030</t>
  </si>
  <si>
    <t>CR4031</t>
  </si>
  <si>
    <t>CR4032</t>
  </si>
  <si>
    <t>LK5665</t>
  </si>
  <si>
    <t>MC4148</t>
  </si>
  <si>
    <t>LK2603</t>
  </si>
  <si>
    <t>LK6997</t>
  </si>
  <si>
    <t>LK6001</t>
  </si>
  <si>
    <t>LK6002</t>
  </si>
  <si>
    <t>LK6041</t>
  </si>
  <si>
    <t>LK6352</t>
  </si>
  <si>
    <t>LK7047</t>
  </si>
  <si>
    <t>LK5541</t>
  </si>
  <si>
    <t>MC4149</t>
  </si>
  <si>
    <t>LK5542</t>
  </si>
  <si>
    <t>LK6637</t>
  </si>
  <si>
    <t>LK5543</t>
  </si>
  <si>
    <t>MC4151</t>
  </si>
  <si>
    <t>LK0099</t>
  </si>
  <si>
    <t>MC0845</t>
  </si>
  <si>
    <t>LK5647</t>
  </si>
  <si>
    <t>LK6371</t>
  </si>
  <si>
    <t>LK6326</t>
  </si>
  <si>
    <t>LK6372</t>
  </si>
  <si>
    <t>LK5428</t>
  </si>
  <si>
    <t>LK4644</t>
  </si>
  <si>
    <t>LK0665</t>
  </si>
  <si>
    <t>LB1600</t>
  </si>
  <si>
    <t>LB1601</t>
  </si>
  <si>
    <t>LK2770</t>
  </si>
  <si>
    <t>LK0664</t>
  </si>
  <si>
    <t>LC5400</t>
  </si>
  <si>
    <t>LL1191</t>
  </si>
  <si>
    <t>MC2665</t>
  </si>
  <si>
    <t>MC2664</t>
  </si>
  <si>
    <t>MC3888</t>
  </si>
  <si>
    <t>MC1907</t>
  </si>
  <si>
    <t>MC3395</t>
  </si>
  <si>
    <t>MC3351</t>
  </si>
  <si>
    <t>MC2663</t>
  </si>
  <si>
    <t>LL0890</t>
  </si>
  <si>
    <t>LL5010</t>
  </si>
  <si>
    <t>LL0115</t>
  </si>
  <si>
    <t>MQ3214</t>
  </si>
  <si>
    <t>CN5025</t>
  </si>
  <si>
    <t>MC1094</t>
  </si>
  <si>
    <t>CR4209</t>
  </si>
  <si>
    <t>MQ0822</t>
  </si>
  <si>
    <t>CN5026</t>
  </si>
  <si>
    <t>CR4210</t>
  </si>
  <si>
    <t>CN2345</t>
  </si>
  <si>
    <t>MQ0548</t>
  </si>
  <si>
    <t>MQ6007</t>
  </si>
  <si>
    <t>MQ0414</t>
  </si>
  <si>
    <t>MQ6008</t>
  </si>
  <si>
    <t>MC3885</t>
  </si>
  <si>
    <t>LH1746</t>
  </si>
  <si>
    <t>MC0167</t>
  </si>
  <si>
    <t>LL1709</t>
  </si>
  <si>
    <t>LL1004</t>
  </si>
  <si>
    <t>LL1133</t>
  </si>
  <si>
    <t>LL1108</t>
  </si>
  <si>
    <t>LL0155</t>
  </si>
  <si>
    <t>LL1000</t>
  </si>
  <si>
    <t>KY1000</t>
  </si>
  <si>
    <t>LL8047</t>
  </si>
  <si>
    <t>LL0116</t>
  </si>
  <si>
    <t>LL1090</t>
  </si>
  <si>
    <t>LL1115</t>
  </si>
  <si>
    <t>LL1105</t>
  </si>
  <si>
    <t>LL0020</t>
  </si>
  <si>
    <t>LL0156</t>
  </si>
  <si>
    <t>LL1250</t>
  </si>
  <si>
    <t>LL1195</t>
  </si>
  <si>
    <t>LL8179</t>
  </si>
  <si>
    <t>LL1210</t>
  </si>
  <si>
    <t>LL1217</t>
  </si>
  <si>
    <t>LL1220</t>
  </si>
  <si>
    <t>LL1240</t>
  </si>
  <si>
    <t>LB1703</t>
  </si>
  <si>
    <t>LK4277</t>
  </si>
  <si>
    <t>LK6201</t>
  </si>
  <si>
    <t>LK6858</t>
  </si>
  <si>
    <t>LK6859</t>
  </si>
  <si>
    <t>LK6860</t>
  </si>
  <si>
    <t>LK6861</t>
  </si>
  <si>
    <t>LK6999</t>
  </si>
  <si>
    <t>LK6862</t>
  </si>
  <si>
    <t>LK6374</t>
  </si>
  <si>
    <t>LK6375</t>
  </si>
  <si>
    <t>LK6376</t>
  </si>
  <si>
    <t>LK6377</t>
  </si>
  <si>
    <t>LB1642</t>
  </si>
  <si>
    <t>LB1648</t>
  </si>
  <si>
    <t>LB1643</t>
  </si>
  <si>
    <t>LB1646</t>
  </si>
  <si>
    <t>LB1659</t>
  </si>
  <si>
    <t>LK5729</t>
  </si>
  <si>
    <t>LB1655</t>
  </si>
  <si>
    <t>LK2992</t>
  </si>
  <si>
    <t>LB1653</t>
  </si>
  <si>
    <t>LB1656</t>
  </si>
  <si>
    <t>LB1658</t>
  </si>
  <si>
    <t>LB1674</t>
  </si>
  <si>
    <t>LK6687</t>
  </si>
  <si>
    <t>LK6688</t>
  </si>
  <si>
    <t>LK6689</t>
  </si>
  <si>
    <t>LK6690</t>
  </si>
  <si>
    <t>LK6691</t>
  </si>
  <si>
    <t>LK6692</t>
  </si>
  <si>
    <t>LK6512</t>
  </si>
  <si>
    <t>LK6042</t>
  </si>
  <si>
    <t>LK5730</t>
  </si>
  <si>
    <t>MC4001</t>
  </si>
  <si>
    <t>LK3304</t>
  </si>
  <si>
    <t>LK6230</t>
  </si>
  <si>
    <t>LK5444</t>
  </si>
  <si>
    <t>LK6379</t>
  </si>
  <si>
    <t>LK5445</t>
  </si>
  <si>
    <t>LK6231</t>
  </si>
  <si>
    <t>LK5446</t>
  </si>
  <si>
    <t>LB1657</t>
  </si>
  <si>
    <t>LB1739</t>
  </si>
  <si>
    <t>LK7079</t>
  </si>
  <si>
    <t>LK7080</t>
  </si>
  <si>
    <t>LK7081</t>
  </si>
  <si>
    <t>LK7062</t>
  </si>
  <si>
    <t>LK7082</t>
  </si>
  <si>
    <t>LK7083</t>
  </si>
  <si>
    <t>LK2771</t>
  </si>
  <si>
    <t>LK3305</t>
  </si>
  <si>
    <t>LK2772</t>
  </si>
  <si>
    <t>LK1205</t>
  </si>
  <si>
    <t>LK1206</t>
  </si>
  <si>
    <t>LS0013</t>
  </si>
  <si>
    <t>LB1677</t>
  </si>
  <si>
    <t>LK4448</t>
  </si>
  <si>
    <t>LK4449</t>
  </si>
  <si>
    <t>LK4450</t>
  </si>
  <si>
    <t>LK4451</t>
  </si>
  <si>
    <t>LK4452</t>
  </si>
  <si>
    <t>LK2069</t>
  </si>
  <si>
    <t>LK2070</t>
  </si>
  <si>
    <t>LK2073</t>
  </si>
  <si>
    <t>LK2071</t>
  </si>
  <si>
    <t>LK2074</t>
  </si>
  <si>
    <t>LK6232</t>
  </si>
  <si>
    <t>LK6639</t>
  </si>
  <si>
    <t>LK5731</t>
  </si>
  <si>
    <t>LK7129</t>
  </si>
  <si>
    <t>LB1670</t>
  </si>
  <si>
    <t>LK6962</t>
  </si>
  <si>
    <t>LQ6002</t>
  </si>
  <si>
    <t>LB1664</t>
  </si>
  <si>
    <t>LB1654</t>
  </si>
  <si>
    <t>LB1666</t>
  </si>
  <si>
    <t>LB1667</t>
  </si>
  <si>
    <t>LB1668</t>
  </si>
  <si>
    <t>LB1671</t>
  </si>
  <si>
    <t>LB1672</t>
  </si>
  <si>
    <t>LB1673</t>
  </si>
  <si>
    <t>LK6202</t>
  </si>
  <si>
    <t>LK5447</t>
  </si>
  <si>
    <t>LK6842</t>
  </si>
  <si>
    <t>LK0669</t>
  </si>
  <si>
    <t>LB1760</t>
  </si>
  <si>
    <t>LB1793</t>
  </si>
  <si>
    <t>LB1651</t>
  </si>
  <si>
    <t>LB1795</t>
  </si>
  <si>
    <t>LK5188</t>
  </si>
  <si>
    <t>LK3307</t>
  </si>
  <si>
    <t>LK4453</t>
  </si>
  <si>
    <t>LK6863</t>
  </si>
  <si>
    <t>LK6864</t>
  </si>
  <si>
    <t>LK6373</t>
  </si>
  <si>
    <t>LK6513</t>
  </si>
  <si>
    <t>LB1836</t>
  </si>
  <si>
    <t>LB1837</t>
  </si>
  <si>
    <t>LH1838</t>
  </si>
  <si>
    <t>MC0170</t>
  </si>
  <si>
    <t>LQ3835</t>
  </si>
  <si>
    <t>CR4939</t>
  </si>
  <si>
    <t>MC0168</t>
  </si>
  <si>
    <t>LQ3914</t>
  </si>
  <si>
    <t>MQ0823</t>
  </si>
  <si>
    <t>LH8837</t>
  </si>
  <si>
    <t>LK2533</t>
  </si>
  <si>
    <t>MC4152</t>
  </si>
  <si>
    <t>MC0171</t>
  </si>
  <si>
    <t>MC4266</t>
  </si>
  <si>
    <t>MC1827</t>
  </si>
  <si>
    <t>LH1800</t>
  </si>
  <si>
    <t>MC0173</t>
  </si>
  <si>
    <t>CN5027</t>
  </si>
  <si>
    <t>MC0174</t>
  </si>
  <si>
    <t>CE0972</t>
  </si>
  <si>
    <t>CR4211</t>
  </si>
  <si>
    <t>LF0043</t>
  </si>
  <si>
    <t>LF1200</t>
  </si>
  <si>
    <t>MC2127</t>
  </si>
  <si>
    <t>CR4796</t>
  </si>
  <si>
    <t>LC5460</t>
  </si>
  <si>
    <t>LC5461</t>
  </si>
  <si>
    <t>MC0781</t>
  </si>
  <si>
    <t>LC5462</t>
  </si>
  <si>
    <t>MC1542</t>
  </si>
  <si>
    <t>MC1523</t>
  </si>
  <si>
    <t>MC3004</t>
  </si>
  <si>
    <t>CR4212</t>
  </si>
  <si>
    <t>LF0005</t>
  </si>
  <si>
    <t>LF1239</t>
  </si>
  <si>
    <t>MB1240</t>
  </si>
  <si>
    <t>MB1243</t>
  </si>
  <si>
    <t>LF1243</t>
  </si>
  <si>
    <t>CR3975</t>
  </si>
  <si>
    <t>CR4528</t>
  </si>
  <si>
    <t>LY0014</t>
  </si>
  <si>
    <t>LY0022</t>
  </si>
  <si>
    <t>LY5670</t>
  </si>
  <si>
    <t>CR4529</t>
  </si>
  <si>
    <t>LY5714</t>
  </si>
  <si>
    <t>LY5715</t>
  </si>
  <si>
    <t>LY5671</t>
  </si>
  <si>
    <t>LY5730</t>
  </si>
  <si>
    <t>CR4530</t>
  </si>
  <si>
    <t>CR5050</t>
  </si>
  <si>
    <t>CR5051</t>
  </si>
  <si>
    <t>CR5052</t>
  </si>
  <si>
    <t>CR5053</t>
  </si>
  <si>
    <t>CR4531</t>
  </si>
  <si>
    <t>LY5739</t>
  </si>
  <si>
    <t>LY5681</t>
  </si>
  <si>
    <t>LY5622</t>
  </si>
  <si>
    <t>LY5709</t>
  </si>
  <si>
    <t>LY0001</t>
  </si>
  <si>
    <t>LY0015</t>
  </si>
  <si>
    <t>LY5716</t>
  </si>
  <si>
    <t>CR4532</t>
  </si>
  <si>
    <t>CR4533</t>
  </si>
  <si>
    <t>LY5636</t>
  </si>
  <si>
    <t>LY5593</t>
  </si>
  <si>
    <t>LY5699</t>
  </si>
  <si>
    <t>LH2013</t>
  </si>
  <si>
    <t>LK6044</t>
  </si>
  <si>
    <t>LY0002</t>
  </si>
  <si>
    <t>CR4881</t>
  </si>
  <si>
    <t>CR4880</t>
  </si>
  <si>
    <t>CR4534</t>
  </si>
  <si>
    <t>CR4535</t>
  </si>
  <si>
    <t>CR4536</t>
  </si>
  <si>
    <t>CR4883</t>
  </si>
  <si>
    <t>CR4537</t>
  </si>
  <si>
    <t>LY5692</t>
  </si>
  <si>
    <t>LY5693</t>
  </si>
  <si>
    <t>LY5694</t>
  </si>
  <si>
    <t>LY5695</t>
  </si>
  <si>
    <t>CR4538</t>
  </si>
  <si>
    <t>CR4539</t>
  </si>
  <si>
    <t>LY5661</t>
  </si>
  <si>
    <t>LY5594</t>
  </si>
  <si>
    <t>LY4512</t>
  </si>
  <si>
    <t>LY0872</t>
  </si>
  <si>
    <t>LY3958</t>
  </si>
  <si>
    <t>LY5641</t>
  </si>
  <si>
    <t>LY5645</t>
  </si>
  <si>
    <t>CR3430</t>
  </si>
  <si>
    <t>LY0016</t>
  </si>
  <si>
    <t>LY5717</t>
  </si>
  <si>
    <t>LB1848</t>
  </si>
  <si>
    <t>CR4541</t>
  </si>
  <si>
    <t>LH8948</t>
  </si>
  <si>
    <t>CR4542</t>
  </si>
  <si>
    <t>CR4543</t>
  </si>
  <si>
    <t>LY0008</t>
  </si>
  <si>
    <t>LY5696</t>
  </si>
  <si>
    <t>LY5697</t>
  </si>
  <si>
    <t>CR4544</t>
  </si>
  <si>
    <t>LY5620</t>
  </si>
  <si>
    <t>LY0009</t>
  </si>
  <si>
    <t>LY0023</t>
  </si>
  <si>
    <t>CR4545</t>
  </si>
  <si>
    <t>CR4546</t>
  </si>
  <si>
    <t>CR4547</t>
  </si>
  <si>
    <t>CR3979</t>
  </si>
  <si>
    <t>CR3980</t>
  </si>
  <si>
    <t>CR5047</t>
  </si>
  <si>
    <t>LY5740</t>
  </si>
  <si>
    <t>CR4549</t>
  </si>
  <si>
    <t>LY5673</t>
  </si>
  <si>
    <t>LY5707</t>
  </si>
  <si>
    <t>CR4550</t>
  </si>
  <si>
    <t>LY5674</t>
  </si>
  <si>
    <t>LY0232</t>
  </si>
  <si>
    <t>LY5731</t>
  </si>
  <si>
    <t>LY5741</t>
  </si>
  <si>
    <t>LY5700</t>
  </si>
  <si>
    <t>CR4551</t>
  </si>
  <si>
    <t>CR4552</t>
  </si>
  <si>
    <t>LC6400</t>
  </si>
  <si>
    <t>CR4885</t>
  </si>
  <si>
    <t>CR4553</t>
  </si>
  <si>
    <t>CR4554</t>
  </si>
  <si>
    <t>LY5683</t>
  </si>
  <si>
    <t>LY5684</t>
  </si>
  <si>
    <t>LY0235</t>
  </si>
  <si>
    <t>LY5685</t>
  </si>
  <si>
    <t>LY5686</t>
  </si>
  <si>
    <t>LY5687</t>
  </si>
  <si>
    <t>CR4555</t>
  </si>
  <si>
    <t>CR4556</t>
  </si>
  <si>
    <t>CR4557</t>
  </si>
  <si>
    <t>LY0010</t>
  </si>
  <si>
    <t>LY5688</t>
  </si>
  <si>
    <t>LY0011</t>
  </si>
  <si>
    <t>LY5629</t>
  </si>
  <si>
    <t>LY5600</t>
  </si>
  <si>
    <t>LH2002</t>
  </si>
  <si>
    <t>MC3387</t>
  </si>
  <si>
    <t>LY5677</t>
  </si>
  <si>
    <t>CR4558</t>
  </si>
  <si>
    <t>CR4559</t>
  </si>
  <si>
    <t>CR5054</t>
  </si>
  <si>
    <t>CR4560</t>
  </si>
  <si>
    <t>CR4561</t>
  </si>
  <si>
    <t>LY5662</t>
  </si>
  <si>
    <t>LY5663</t>
  </si>
  <si>
    <t>LY5664</t>
  </si>
  <si>
    <t>LY5665</t>
  </si>
  <si>
    <t>LY0004</t>
  </si>
  <si>
    <t>LY5666</t>
  </si>
  <si>
    <t>CR5055</t>
  </si>
  <si>
    <t>CR5056</t>
  </si>
  <si>
    <t>CR5057</t>
  </si>
  <si>
    <t>LY5733</t>
  </si>
  <si>
    <t>LY5734</t>
  </si>
  <si>
    <t>CR4562</t>
  </si>
  <si>
    <t>LY5735</t>
  </si>
  <si>
    <t>CR4563</t>
  </si>
  <si>
    <t>LY5736</t>
  </si>
  <si>
    <t>CR4564</t>
  </si>
  <si>
    <t>LY5689</t>
  </si>
  <si>
    <t>LY0012</t>
  </si>
  <si>
    <t>LY5718</t>
  </si>
  <si>
    <t>CR4565</t>
  </si>
  <si>
    <t>CR4566</t>
  </si>
  <si>
    <t>CR4567</t>
  </si>
  <si>
    <t>CR4568</t>
  </si>
  <si>
    <t>CR4569</t>
  </si>
  <si>
    <t>CR4570</t>
  </si>
  <si>
    <t>LY5742</t>
  </si>
  <si>
    <t>LY5701</t>
  </si>
  <si>
    <t>LY5702</t>
  </si>
  <si>
    <t>LY5703</t>
  </si>
  <si>
    <t>LY5668</t>
  </si>
  <si>
    <t>LY5642</t>
  </si>
  <si>
    <t>CR4571</t>
  </si>
  <si>
    <t>CR2689</t>
  </si>
  <si>
    <t>CR4572</t>
  </si>
  <si>
    <t>LY5616</t>
  </si>
  <si>
    <t>LY0005</t>
  </si>
  <si>
    <t>LY5654</t>
  </si>
  <si>
    <t>CR4884</t>
  </si>
  <si>
    <t>LY5632</t>
  </si>
  <si>
    <t>MB9908</t>
  </si>
  <si>
    <t>LH2003</t>
  </si>
  <si>
    <t>LY0006</t>
  </si>
  <si>
    <t>LY5719</t>
  </si>
  <si>
    <t>LY5720</t>
  </si>
  <si>
    <t>LY0024</t>
  </si>
  <si>
    <t>LY0007</t>
  </si>
  <si>
    <t>LY5721</t>
  </si>
  <si>
    <t>LY3359</t>
  </si>
  <si>
    <t>LB1850</t>
  </si>
  <si>
    <t>LY5743</t>
  </si>
  <si>
    <t>LY5744</t>
  </si>
  <si>
    <t>LY5745</t>
  </si>
  <si>
    <t>LY5746</t>
  </si>
  <si>
    <t>CR5058</t>
  </si>
  <si>
    <t>CR4573</t>
  </si>
  <si>
    <t>LY5722</t>
  </si>
  <si>
    <t>LY5704</t>
  </si>
  <si>
    <t>LH2385</t>
  </si>
  <si>
    <t>LG1200</t>
  </si>
  <si>
    <t>CR4574</t>
  </si>
  <si>
    <t>CR4575</t>
  </si>
  <si>
    <t>LH2400</t>
  </si>
  <si>
    <t>CR4576</t>
  </si>
  <si>
    <t>LK4961</t>
  </si>
  <si>
    <t>LH2430</t>
  </si>
  <si>
    <t>CR4577</t>
  </si>
  <si>
    <t>LY5723</t>
  </si>
  <si>
    <t>LY5724</t>
  </si>
  <si>
    <t>LY5725</t>
  </si>
  <si>
    <t>LY5726</t>
  </si>
  <si>
    <t>LY5727</t>
  </si>
  <si>
    <t>LY5728</t>
  </si>
  <si>
    <t>LY0025</t>
  </si>
  <si>
    <t>LY0017</t>
  </si>
  <si>
    <t>CR4578</t>
  </si>
  <si>
    <t>LY0026</t>
  </si>
  <si>
    <t>LY5710</t>
  </si>
  <si>
    <t>CR4579</t>
  </si>
  <si>
    <t>CR4580</t>
  </si>
  <si>
    <t>LB1851</t>
  </si>
  <si>
    <t>CR2674</t>
  </si>
  <si>
    <t>LY1285</t>
  </si>
  <si>
    <t>LY4533</t>
  </si>
  <si>
    <t>CR4582</t>
  </si>
  <si>
    <t>LY5711</t>
  </si>
  <si>
    <t>LY5712</t>
  </si>
  <si>
    <t>CR4882</t>
  </si>
  <si>
    <t>LY5737</t>
  </si>
  <si>
    <t>CR5046</t>
  </si>
  <si>
    <t>LY5602</t>
  </si>
  <si>
    <t>LY0018</t>
  </si>
  <si>
    <t>LY5738</t>
  </si>
  <si>
    <t>CR3983</t>
  </si>
  <si>
    <t>LY0027</t>
  </si>
  <si>
    <t>CR4583</t>
  </si>
  <si>
    <t>LY0028</t>
  </si>
  <si>
    <t>LY5667</t>
  </si>
  <si>
    <t>LY4848</t>
  </si>
  <si>
    <t>LY5660</t>
  </si>
  <si>
    <t>LY4610</t>
  </si>
  <si>
    <t>LY0240</t>
  </si>
  <si>
    <t>LY0013</t>
  </si>
  <si>
    <t>CR4584</t>
  </si>
  <si>
    <t>LY0019</t>
  </si>
  <si>
    <t>LY0241</t>
  </si>
  <si>
    <t>LY5680</t>
  </si>
  <si>
    <t>LY5698</t>
  </si>
  <si>
    <t>CR5059</t>
  </si>
  <si>
    <t>LK4962</t>
  </si>
  <si>
    <t>LH2550</t>
  </si>
  <si>
    <t>LY5647</t>
  </si>
  <si>
    <t>LY5669</t>
  </si>
  <si>
    <t>CR4585</t>
  </si>
  <si>
    <t>LK4963</t>
  </si>
  <si>
    <t>LH2650</t>
  </si>
  <si>
    <t>LY5648</t>
  </si>
  <si>
    <t>LY5729</t>
  </si>
  <si>
    <t>LY0021</t>
  </si>
  <si>
    <t>LY5747</t>
  </si>
  <si>
    <t>MC4153</t>
  </si>
  <si>
    <t>LL1880</t>
  </si>
  <si>
    <t>LL1885</t>
  </si>
  <si>
    <t>LC5800</t>
  </si>
  <si>
    <t>KP5801</t>
  </si>
  <si>
    <t>MC0786</t>
  </si>
  <si>
    <t>LC5804</t>
  </si>
  <si>
    <t>LC5803</t>
  </si>
  <si>
    <t>MC4412</t>
  </si>
  <si>
    <t>MC1100</t>
  </si>
  <si>
    <t>LF1277</t>
  </si>
  <si>
    <t>LK5733</t>
  </si>
  <si>
    <t>LB1900</t>
  </si>
  <si>
    <t>MC3703</t>
  </si>
  <si>
    <t>MC3704</t>
  </si>
  <si>
    <t>LQ3870</t>
  </si>
  <si>
    <t>LB1960</t>
  </si>
  <si>
    <t>LQ5842</t>
  </si>
  <si>
    <t>LQ6097</t>
  </si>
  <si>
    <t>LB1965</t>
  </si>
  <si>
    <t>LB1962</t>
  </si>
  <si>
    <t>LK5734</t>
  </si>
  <si>
    <t>LB1970</t>
  </si>
  <si>
    <t>LB1973</t>
  </si>
  <si>
    <t>LB1963</t>
  </si>
  <si>
    <t>LB1964</t>
  </si>
  <si>
    <t>LK7001</t>
  </si>
  <si>
    <t>LK7002</t>
  </si>
  <si>
    <t>LK7003</t>
  </si>
  <si>
    <t>LK7004</t>
  </si>
  <si>
    <t>LK7005</t>
  </si>
  <si>
    <t>LK7006</t>
  </si>
  <si>
    <t>LK0108</t>
  </si>
  <si>
    <t>LK0109</t>
  </si>
  <si>
    <t>LK0672</t>
  </si>
  <si>
    <t>LK0110</t>
  </si>
  <si>
    <t>LK0111</t>
  </si>
  <si>
    <t>MC3473</t>
  </si>
  <si>
    <t>CR5368</t>
  </si>
  <si>
    <t>CR5346</t>
  </si>
  <si>
    <t>LF1425</t>
  </si>
  <si>
    <t>LK2592</t>
  </si>
  <si>
    <t>CR2629</t>
  </si>
  <si>
    <t>LK0478</t>
  </si>
  <si>
    <t>CR3493</t>
  </si>
  <si>
    <t>LK3726</t>
  </si>
  <si>
    <t>CE0766</t>
  </si>
  <si>
    <t>LK5197</t>
  </si>
  <si>
    <t>LK2604</t>
  </si>
  <si>
    <t>LK4964</t>
  </si>
  <si>
    <t>LK3309</t>
  </si>
  <si>
    <t>MC3657</t>
  </si>
  <si>
    <t>LQ3693</t>
  </si>
  <si>
    <t>LQ3694</t>
  </si>
  <si>
    <t>LQ3695</t>
  </si>
  <si>
    <t>LB2028</t>
  </si>
  <si>
    <t>LK3801</t>
  </si>
  <si>
    <t>LK3210</t>
  </si>
  <si>
    <t>LK3728</t>
  </si>
  <si>
    <t>LK5450</t>
  </si>
  <si>
    <t>CR3495</t>
  </si>
  <si>
    <t>CR5369</t>
  </si>
  <si>
    <t>CR5360</t>
  </si>
  <si>
    <t>CR5352</t>
  </si>
  <si>
    <t>CR5341</t>
  </si>
  <si>
    <t>CR5353</t>
  </si>
  <si>
    <t>CR5370</t>
  </si>
  <si>
    <t>LB2035</t>
  </si>
  <si>
    <t>LK4170</t>
  </si>
  <si>
    <t>LQ3696</t>
  </si>
  <si>
    <t>CR3956</t>
  </si>
  <si>
    <t>CR3496</t>
  </si>
  <si>
    <t>LQ3697</t>
  </si>
  <si>
    <t>CR3497</t>
  </si>
  <si>
    <t>LB2053</t>
  </si>
  <si>
    <t>LK3698</t>
  </si>
  <si>
    <t>CR3498</t>
  </si>
  <si>
    <t>LK4255</t>
  </si>
  <si>
    <t>LQ3698</t>
  </si>
  <si>
    <t>LQ3699</t>
  </si>
  <si>
    <t>LQ3398</t>
  </si>
  <si>
    <t>LK0673</t>
  </si>
  <si>
    <t>CR3499</t>
  </si>
  <si>
    <t>MB1450</t>
  </si>
  <si>
    <t>MC2203</t>
  </si>
  <si>
    <t>LS0014</t>
  </si>
  <si>
    <t>LK0680</t>
  </si>
  <si>
    <t>LK0677</t>
  </si>
  <si>
    <t>LK0679</t>
  </si>
  <si>
    <t>LK3729</t>
  </si>
  <si>
    <t>LQ3392</t>
  </si>
  <si>
    <t>LQ3700</t>
  </si>
  <si>
    <t>LK4256</t>
  </si>
  <si>
    <t>CR3669</t>
  </si>
  <si>
    <t>CR3670</t>
  </si>
  <si>
    <t>CR3671</t>
  </si>
  <si>
    <t>CR3672</t>
  </si>
  <si>
    <t>CR3500</t>
  </si>
  <si>
    <t>LQ3701</t>
  </si>
  <si>
    <t>LQ3703</t>
  </si>
  <si>
    <t>CR3501</t>
  </si>
  <si>
    <t>LQ3704</t>
  </si>
  <si>
    <t>CR3443</t>
  </si>
  <si>
    <t>CR3444</t>
  </si>
  <si>
    <t>LB2150</t>
  </si>
  <si>
    <t>CR2119</t>
  </si>
  <si>
    <t>LK4261</t>
  </si>
  <si>
    <t>LK5739</t>
  </si>
  <si>
    <t>LK3802</t>
  </si>
  <si>
    <t>LK5451</t>
  </si>
  <si>
    <t>LK5452</t>
  </si>
  <si>
    <t>LK5453</t>
  </si>
  <si>
    <t>LK5454</t>
  </si>
  <si>
    <t>LK5556</t>
  </si>
  <si>
    <t>LK1541</t>
  </si>
  <si>
    <t>LK1542</t>
  </si>
  <si>
    <t>LK1543</t>
  </si>
  <si>
    <t>LK3803</t>
  </si>
  <si>
    <t>LK1544</t>
  </si>
  <si>
    <t>LK4646</t>
  </si>
  <si>
    <t>CR3502</t>
  </si>
  <si>
    <t>CR4797</t>
  </si>
  <si>
    <t>LK6328</t>
  </si>
  <si>
    <t>LK4797</t>
  </si>
  <si>
    <t>CR3503</t>
  </si>
  <si>
    <t>CR3504</t>
  </si>
  <si>
    <t>CR3505</t>
  </si>
  <si>
    <t>CR2804</t>
  </si>
  <si>
    <t>CR3856</t>
  </si>
  <si>
    <t>CR5165</t>
  </si>
  <si>
    <t>CR4081</t>
  </si>
  <si>
    <t>CR4940</t>
  </si>
  <si>
    <t>CR2116</t>
  </si>
  <si>
    <t>CR3673</t>
  </si>
  <si>
    <t>LQ3259</t>
  </si>
  <si>
    <t>CR2118</t>
  </si>
  <si>
    <t>CR3230</t>
  </si>
  <si>
    <t>CR3674</t>
  </si>
  <si>
    <t>CR2806</t>
  </si>
  <si>
    <t>CR3857</t>
  </si>
  <si>
    <t>CR4941</t>
  </si>
  <si>
    <t>CR5038</t>
  </si>
  <si>
    <t>LQ3262</t>
  </si>
  <si>
    <t>CR2121</t>
  </si>
  <si>
    <t>CR3675</t>
  </si>
  <si>
    <t>CR2123</t>
  </si>
  <si>
    <t>CR3425</t>
  </si>
  <si>
    <t>CR4942</t>
  </si>
  <si>
    <t>CR2124</t>
  </si>
  <si>
    <t>CR4943</t>
  </si>
  <si>
    <t>LK7161</t>
  </si>
  <si>
    <t>LK5455</t>
  </si>
  <si>
    <t>LK5199</t>
  </si>
  <si>
    <t>LQ3830</t>
  </si>
  <si>
    <t>LQ3831</t>
  </si>
  <si>
    <t>LQ3832</t>
  </si>
  <si>
    <t>LK3211</t>
  </si>
  <si>
    <t>CR2120</t>
  </si>
  <si>
    <t>LQ3232</t>
  </si>
  <si>
    <t>LQ3233</t>
  </si>
  <si>
    <t>LQ3586</t>
  </si>
  <si>
    <t>LQ0936</t>
  </si>
  <si>
    <t>LQ3397</t>
  </si>
  <si>
    <t>LD0031</t>
  </si>
  <si>
    <t>LK2594</t>
  </si>
  <si>
    <t>LK4647</t>
  </si>
  <si>
    <t>LK6003</t>
  </si>
  <si>
    <t>LK4799</t>
  </si>
  <si>
    <t>LK7130</t>
  </si>
  <si>
    <t>LK4282</t>
  </si>
  <si>
    <t>LK4283</t>
  </si>
  <si>
    <t>LK7048</t>
  </si>
  <si>
    <t>LK4285</t>
  </si>
  <si>
    <t>CR3508</t>
  </si>
  <si>
    <t>LB2190</t>
  </si>
  <si>
    <t>LB2192</t>
  </si>
  <si>
    <t>LK0684</t>
  </si>
  <si>
    <t>LK4648</t>
  </si>
  <si>
    <t>LK6329</t>
  </si>
  <si>
    <t>CR2122</t>
  </si>
  <si>
    <t>MC2247</t>
  </si>
  <si>
    <t>LK3212</t>
  </si>
  <si>
    <t>LS0015</t>
  </si>
  <si>
    <t>LK0685</t>
  </si>
  <si>
    <t>CR5166</t>
  </si>
  <si>
    <t>CR2106</t>
  </si>
  <si>
    <t>CR2108</t>
  </si>
  <si>
    <t>CR3510</t>
  </si>
  <si>
    <t>CR2109</t>
  </si>
  <si>
    <t>CR3858</t>
  </si>
  <si>
    <t>CR5167</t>
  </si>
  <si>
    <t>CR3511</t>
  </si>
  <si>
    <t>CR2110</t>
  </si>
  <si>
    <t>CR2111</t>
  </si>
  <si>
    <t>CR2112</t>
  </si>
  <si>
    <t>CR4944</t>
  </si>
  <si>
    <t>CR5068</t>
  </si>
  <si>
    <t>CR3676</t>
  </si>
  <si>
    <t>CR2113</t>
  </si>
  <si>
    <t>CR3512</t>
  </si>
  <si>
    <t>CR2114</t>
  </si>
  <si>
    <t>CR2809</t>
  </si>
  <si>
    <t>CR2115</t>
  </si>
  <si>
    <t>CR4104</t>
  </si>
  <si>
    <t>LB2194</t>
  </si>
  <si>
    <t>LK2595</t>
  </si>
  <si>
    <t>LK5740</t>
  </si>
  <si>
    <t>CE1738</t>
  </si>
  <si>
    <t>CE1731</t>
  </si>
  <si>
    <t>CE1730</t>
  </si>
  <si>
    <t>CE1732</t>
  </si>
  <si>
    <t>CE1736</t>
  </si>
  <si>
    <t>CE1737</t>
  </si>
  <si>
    <t>LQ3705</t>
  </si>
  <si>
    <t>LQ3706</t>
  </si>
  <si>
    <t>LQ3367</t>
  </si>
  <si>
    <t>CR3441</t>
  </si>
  <si>
    <t>LQ0937</t>
  </si>
  <si>
    <t>LQ3707</t>
  </si>
  <si>
    <t>LQ0938</t>
  </si>
  <si>
    <t>LQ0939</t>
  </si>
  <si>
    <t>LQ3709</t>
  </si>
  <si>
    <t>LQ3344</t>
  </si>
  <si>
    <t>LQ3710</t>
  </si>
  <si>
    <t>LQ3711</t>
  </si>
  <si>
    <t>LQ3345</t>
  </si>
  <si>
    <t>LQ3833</t>
  </si>
  <si>
    <t>LQ3712</t>
  </si>
  <si>
    <t>LQ3713</t>
  </si>
  <si>
    <t>LQ3714</t>
  </si>
  <si>
    <t>LQ3834</t>
  </si>
  <si>
    <t>LQ3715</t>
  </si>
  <si>
    <t>LQ3368</t>
  </si>
  <si>
    <t>LQ0940</t>
  </si>
  <si>
    <t>LQ3716</t>
  </si>
  <si>
    <t>LQ3717</t>
  </si>
  <si>
    <t>LQ3718</t>
  </si>
  <si>
    <t>LQ0941</t>
  </si>
  <si>
    <t>LQ3719</t>
  </si>
  <si>
    <t>LQ3720</t>
  </si>
  <si>
    <t>LQ3721</t>
  </si>
  <si>
    <t>LK5742</t>
  </si>
  <si>
    <t>MC1424</t>
  </si>
  <si>
    <t>LK4284</t>
  </si>
  <si>
    <t>LK3125</t>
  </si>
  <si>
    <t>LK5743</t>
  </si>
  <si>
    <t>LQ3722</t>
  </si>
  <si>
    <t>CR3513</t>
  </si>
  <si>
    <t>LQ3723</t>
  </si>
  <si>
    <t>LQ3724</t>
  </si>
  <si>
    <t>CR3514</t>
  </si>
  <si>
    <t>LQ3725</t>
  </si>
  <si>
    <t>CR3445</t>
  </si>
  <si>
    <t>LK0693</t>
  </si>
  <si>
    <t>LK2782</t>
  </si>
  <si>
    <t>LB2308</t>
  </si>
  <si>
    <t>LB2310</t>
  </si>
  <si>
    <t>LK1947</t>
  </si>
  <si>
    <t>LB2311</t>
  </si>
  <si>
    <t>LB2312</t>
  </si>
  <si>
    <t>LB2313</t>
  </si>
  <si>
    <t>LB2314</t>
  </si>
  <si>
    <t>LB2316</t>
  </si>
  <si>
    <t>LB2305</t>
  </si>
  <si>
    <t>LB2318</t>
  </si>
  <si>
    <t>LB2320</t>
  </si>
  <si>
    <t>LK5209</t>
  </si>
  <si>
    <t>LL1360</t>
  </si>
  <si>
    <t>LL1362</t>
  </si>
  <si>
    <t>LL1361</t>
  </si>
  <si>
    <t>LL8124</t>
  </si>
  <si>
    <t>LL1363</t>
  </si>
  <si>
    <t>LL1375</t>
  </si>
  <si>
    <t>MC4514</t>
  </si>
  <si>
    <t>MC1682</t>
  </si>
  <si>
    <t>LF1430</t>
  </si>
  <si>
    <t>MC4515</t>
  </si>
  <si>
    <t>CR4297</t>
  </si>
  <si>
    <t>CR4291</t>
  </si>
  <si>
    <t>CR5326</t>
  </si>
  <si>
    <t>CR3887</t>
  </si>
  <si>
    <t>CR5378</t>
  </si>
  <si>
    <t>CR4299</t>
  </si>
  <si>
    <t>CR4292</t>
  </si>
  <si>
    <t>CR4300</t>
  </si>
  <si>
    <t>CR3988</t>
  </si>
  <si>
    <t>CR4298</t>
  </si>
  <si>
    <t>CR4301</t>
  </si>
  <si>
    <t>CR4293</t>
  </si>
  <si>
    <t>CR4302</t>
  </si>
  <si>
    <t>CR4303</t>
  </si>
  <si>
    <t>CR4294</t>
  </si>
  <si>
    <t>CR4295</t>
  </si>
  <si>
    <t>CR4304</t>
  </si>
  <si>
    <t>CR5404</t>
  </si>
  <si>
    <t>CR5392</t>
  </si>
  <si>
    <t>CR3888</t>
  </si>
  <si>
    <t>CR4305</t>
  </si>
  <si>
    <t>CR4296</t>
  </si>
  <si>
    <t>CR3885</t>
  </si>
  <si>
    <t>CR4306</t>
  </si>
  <si>
    <t>CR5379</t>
  </si>
  <si>
    <t>CR5393</t>
  </si>
  <si>
    <t>CR5380</t>
  </si>
  <si>
    <t>CR3986</t>
  </si>
  <si>
    <t>CR4089</t>
  </si>
  <si>
    <t>CR4762</t>
  </si>
  <si>
    <t>CR4798</t>
  </si>
  <si>
    <t>CR3050</t>
  </si>
  <si>
    <t>CR2133</t>
  </si>
  <si>
    <t>CR4945</t>
  </si>
  <si>
    <t>CR3758</t>
  </si>
  <si>
    <t>CR2135</t>
  </si>
  <si>
    <t>CR2134</t>
  </si>
  <si>
    <t>CR3432</t>
  </si>
  <si>
    <t>CR2136</t>
  </si>
  <si>
    <t>CR3760</t>
  </si>
  <si>
    <t>CR4768</t>
  </si>
  <si>
    <t>CR3418</t>
  </si>
  <si>
    <t>CR5172</t>
  </si>
  <si>
    <t>CR2888</t>
  </si>
  <si>
    <t>CR3037</t>
  </si>
  <si>
    <t>CR3038</t>
  </si>
  <si>
    <t>CR3759</t>
  </si>
  <si>
    <t>CR5173</t>
  </si>
  <si>
    <t>CR4088</t>
  </si>
  <si>
    <t>CR3413</t>
  </si>
  <si>
    <t>CR5354</t>
  </si>
  <si>
    <t>CR3036</t>
  </si>
  <si>
    <t>CR2149</t>
  </si>
  <si>
    <t>CR3420</t>
  </si>
  <si>
    <t>CR2150</t>
  </si>
  <si>
    <t>CR2152</t>
  </si>
  <si>
    <t>CR3865</t>
  </si>
  <si>
    <t>CR3284</t>
  </si>
  <si>
    <t>CR3414</t>
  </si>
  <si>
    <t>CR3416</t>
  </si>
  <si>
    <t>CR3035</t>
  </si>
  <si>
    <t>CR3415</t>
  </si>
  <si>
    <t>CR5025</t>
  </si>
  <si>
    <t>CR5402</t>
  </si>
  <si>
    <t>CR5375</t>
  </si>
  <si>
    <t>CR5325</t>
  </si>
  <si>
    <t>CR5269</t>
  </si>
  <si>
    <t>CR5168</t>
  </si>
  <si>
    <t>CR5170</t>
  </si>
  <si>
    <t>CR5171</t>
  </si>
  <si>
    <t>CR4127</t>
  </si>
  <si>
    <t>CR3985</t>
  </si>
  <si>
    <t>CR3877</t>
  </si>
  <si>
    <t>CR3417</t>
  </si>
  <si>
    <t>CR2126</t>
  </si>
  <si>
    <t>CR3866</t>
  </si>
  <si>
    <t>CR3751</t>
  </si>
  <si>
    <t>CR4802</t>
  </si>
  <si>
    <t>CR3987</t>
  </si>
  <si>
    <t>CR4799</t>
  </si>
  <si>
    <t>CR3859</t>
  </si>
  <si>
    <t>CR3229</t>
  </si>
  <si>
    <t>CR3763</t>
  </si>
  <si>
    <t>CR3770</t>
  </si>
  <si>
    <t>CR3861</t>
  </si>
  <si>
    <t>CR3860</t>
  </si>
  <si>
    <t>CR3926</t>
  </si>
  <si>
    <t>CR3449</t>
  </si>
  <si>
    <t>CR4129</t>
  </si>
  <si>
    <t>CR3927</t>
  </si>
  <si>
    <t>CR4808</t>
  </si>
  <si>
    <t>CR5026</t>
  </si>
  <si>
    <t>CR4809</t>
  </si>
  <si>
    <t>CR4810</t>
  </si>
  <si>
    <t>CR4811</t>
  </si>
  <si>
    <t>CR5403</t>
  </si>
  <si>
    <t>CR3755</t>
  </si>
  <si>
    <t>CR5254</t>
  </si>
  <si>
    <t>CR5027</t>
  </si>
  <si>
    <t>CR4761</t>
  </si>
  <si>
    <t>CR3757</t>
  </si>
  <si>
    <t>CR3288</t>
  </si>
  <si>
    <t>CR2132</t>
  </si>
  <si>
    <t>CR5253</t>
  </si>
  <si>
    <t>CR2137</t>
  </si>
  <si>
    <t>CR3929</t>
  </si>
  <si>
    <t>CR4586</t>
  </si>
  <si>
    <t>CR3287</t>
  </si>
  <si>
    <t>CR4587</t>
  </si>
  <si>
    <t>CR4588</t>
  </si>
  <si>
    <t>CR4771</t>
  </si>
  <si>
    <t>CR4760</t>
  </si>
  <si>
    <t>CR3886</t>
  </si>
  <si>
    <t>CR3231</t>
  </si>
  <si>
    <t>CR5362</t>
  </si>
  <si>
    <t>CR5250</t>
  </si>
  <si>
    <t>CR5388</t>
  </si>
  <si>
    <t>CR4956</t>
  </si>
  <si>
    <t>CR4948</t>
  </si>
  <si>
    <t>CR5037</t>
  </si>
  <si>
    <t>CR4952</t>
  </si>
  <si>
    <t>CR4590</t>
  </si>
  <si>
    <t>CR4591</t>
  </si>
  <si>
    <t>CR3762</t>
  </si>
  <si>
    <t>CR3764</t>
  </si>
  <si>
    <t>CR3765</t>
  </si>
  <si>
    <t>CR3768</t>
  </si>
  <si>
    <t>CR3769</t>
  </si>
  <si>
    <t>CR5271</t>
  </si>
  <si>
    <t>CR5356</t>
  </si>
  <si>
    <t>CR5272</t>
  </si>
  <si>
    <t>CR2146</t>
  </si>
  <si>
    <t>CR4763</t>
  </si>
  <si>
    <t>CR3931</t>
  </si>
  <si>
    <t>CR4804</t>
  </si>
  <si>
    <t>CR4806</t>
  </si>
  <si>
    <t>CR4807</t>
  </si>
  <si>
    <t>CR4805</t>
  </si>
  <si>
    <t>CR3056</t>
  </si>
  <si>
    <t>CR5022</t>
  </si>
  <si>
    <t>CR5024</t>
  </si>
  <si>
    <t>CR5357</t>
  </si>
  <si>
    <t>CR5028</t>
  </si>
  <si>
    <t>CR4801</t>
  </si>
  <si>
    <t>CR5178</t>
  </si>
  <si>
    <t>CR5036</t>
  </si>
  <si>
    <t>CR4812</t>
  </si>
  <si>
    <t>CR4813</t>
  </si>
  <si>
    <t>CR5179</t>
  </si>
  <si>
    <t>CR5342</t>
  </si>
  <si>
    <t>CR5358</t>
  </si>
  <si>
    <t>CR5336</t>
  </si>
  <si>
    <t>CR5348</t>
  </si>
  <si>
    <t>CR2985</t>
  </si>
  <si>
    <t>CR3752</t>
  </si>
  <si>
    <t>CR3754</t>
  </si>
  <si>
    <t>CR2142</t>
  </si>
  <si>
    <t>CR2145</t>
  </si>
  <si>
    <t>CR3054</t>
  </si>
  <si>
    <t>CR3766</t>
  </si>
  <si>
    <t>CR4137</t>
  </si>
  <si>
    <t>CR4125</t>
  </si>
  <si>
    <t>CR5175</t>
  </si>
  <si>
    <t>CR3419</t>
  </si>
  <si>
    <t>CR3181</t>
  </si>
  <si>
    <t>CR3875</t>
  </si>
  <si>
    <t>CR5176</t>
  </si>
  <si>
    <t>CR4131</t>
  </si>
  <si>
    <t>CR2125</t>
  </si>
  <si>
    <t>CR3868</t>
  </si>
  <si>
    <t>CR3178</t>
  </si>
  <si>
    <t>CR4130</t>
  </si>
  <si>
    <t>CR2127</t>
  </si>
  <si>
    <t>CR3867</t>
  </si>
  <si>
    <t>CR5174</t>
  </si>
  <si>
    <t>CR3051</t>
  </si>
  <si>
    <t>CR3930</t>
  </si>
  <si>
    <t>CR5062</t>
  </si>
  <si>
    <t>CR3874</t>
  </si>
  <si>
    <t>CR5177</t>
  </si>
  <si>
    <t>CR3052</t>
  </si>
  <si>
    <t>CR4135</t>
  </si>
  <si>
    <t>CR3412</t>
  </si>
  <si>
    <t>CR3053</t>
  </si>
  <si>
    <t>CR3043</t>
  </si>
  <si>
    <t>CR2139</t>
  </si>
  <si>
    <t>CR3876</t>
  </si>
  <si>
    <t>CR2141</t>
  </si>
  <si>
    <t>CR3593</t>
  </si>
  <si>
    <t>CR5023</t>
  </si>
  <si>
    <t>CR2143</t>
  </si>
  <si>
    <t>CR4133</t>
  </si>
  <si>
    <t>CR2144</t>
  </si>
  <si>
    <t>CR3055</t>
  </si>
  <si>
    <t>CR4213</t>
  </si>
  <si>
    <t>CR4800</t>
  </si>
  <si>
    <t>CR4134</t>
  </si>
  <si>
    <t>CR3322</t>
  </si>
  <si>
    <t>CR4803</t>
  </si>
  <si>
    <t>CR3928</t>
  </si>
  <si>
    <t>CR3771</t>
  </si>
  <si>
    <t>CR5311</t>
  </si>
  <si>
    <t>CR2151</t>
  </si>
  <si>
    <t>CR2129</t>
  </si>
  <si>
    <t>CR4953</t>
  </si>
  <si>
    <t>CR2130</t>
  </si>
  <si>
    <t>CR2131</t>
  </si>
  <si>
    <t>LH2841</t>
  </si>
  <si>
    <t>MC0197</t>
  </si>
  <si>
    <t>LB2326</t>
  </si>
  <si>
    <t>LK6350</t>
  </si>
  <si>
    <t>MQ0190</t>
  </si>
  <si>
    <t>LF1463</t>
  </si>
  <si>
    <t>LK3666</t>
  </si>
  <si>
    <t>LK4171</t>
  </si>
  <si>
    <t>LK4172</t>
  </si>
  <si>
    <t>MC1525</t>
  </si>
  <si>
    <t>MC4094</t>
  </si>
  <si>
    <t>MC0198</t>
  </si>
  <si>
    <t>MQ3215</t>
  </si>
  <si>
    <t>CN5047</t>
  </si>
  <si>
    <t>MQ7046</t>
  </si>
  <si>
    <t>CR4230</t>
  </si>
  <si>
    <t>CN5048</t>
  </si>
  <si>
    <t>MQ7047</t>
  </si>
  <si>
    <t>CN5049</t>
  </si>
  <si>
    <t>MQ7048</t>
  </si>
  <si>
    <t>CN5050</t>
  </si>
  <si>
    <t>CN5051</t>
  </si>
  <si>
    <t>CR4226</t>
  </si>
  <si>
    <t>CN5052</t>
  </si>
  <si>
    <t>CR4239</t>
  </si>
  <si>
    <t>CN5038</t>
  </si>
  <si>
    <t>CN5039</t>
  </si>
  <si>
    <t>MC4384</t>
  </si>
  <si>
    <t>CE1696</t>
  </si>
  <si>
    <t>MC4346</t>
  </si>
  <si>
    <t>CE1697</t>
  </si>
  <si>
    <t>MQ0169</t>
  </si>
  <si>
    <t>MQ0615</t>
  </si>
  <si>
    <t>MQ0164</t>
  </si>
  <si>
    <t>MQ0166</t>
  </si>
  <si>
    <t>MQ5135</t>
  </si>
  <si>
    <t>MQ6011</t>
  </si>
  <si>
    <t>MC4284</t>
  </si>
  <si>
    <t>LH2863</t>
  </si>
  <si>
    <t>MC0199</t>
  </si>
  <si>
    <t>CN2303</t>
  </si>
  <si>
    <t>CN2304</t>
  </si>
  <si>
    <t>CN2305</t>
  </si>
  <si>
    <t>CN2306</t>
  </si>
  <si>
    <t>CN2307</t>
  </si>
  <si>
    <t>MQ0168</t>
  </si>
  <si>
    <t>MQ0416</t>
  </si>
  <si>
    <t>MQ6009</t>
  </si>
  <si>
    <t>MC4342</t>
  </si>
  <si>
    <t>MQ3009</t>
  </si>
  <si>
    <t>CN5032</t>
  </si>
  <si>
    <t>CR4218</t>
  </si>
  <si>
    <t>MQ6012</t>
  </si>
  <si>
    <t>CN5028</t>
  </si>
  <si>
    <t>CR3790</t>
  </si>
  <si>
    <t>CN5029</t>
  </si>
  <si>
    <t>CR4214</t>
  </si>
  <si>
    <t>CN5030</t>
  </si>
  <si>
    <t>CN5031</t>
  </si>
  <si>
    <t>CR3792</t>
  </si>
  <si>
    <t>MQ6013</t>
  </si>
  <si>
    <t>CN5053</t>
  </si>
  <si>
    <t>CN2347</t>
  </si>
  <si>
    <t>CN5054</t>
  </si>
  <si>
    <t>MQ7051</t>
  </si>
  <si>
    <t>CR4233</t>
  </si>
  <si>
    <t>MQ7052</t>
  </si>
  <si>
    <t>CN5055</t>
  </si>
  <si>
    <t>CR4234</t>
  </si>
  <si>
    <t>CN5056</t>
  </si>
  <si>
    <t>CN5057</t>
  </si>
  <si>
    <t>CN5058</t>
  </si>
  <si>
    <t>CN5059</t>
  </si>
  <si>
    <t>MQ7053</t>
  </si>
  <si>
    <t>CR4227</t>
  </si>
  <si>
    <t>CN5060</t>
  </si>
  <si>
    <t>MQ7054</t>
  </si>
  <si>
    <t>CR4236</t>
  </si>
  <si>
    <t>CN5061</t>
  </si>
  <si>
    <t>MQ0474</t>
  </si>
  <si>
    <t>CN5033</t>
  </si>
  <si>
    <t>CR4216</t>
  </si>
  <si>
    <t>LH2871</t>
  </si>
  <si>
    <t>MC0201</t>
  </si>
  <si>
    <t>CR3783</t>
  </si>
  <si>
    <t>CN5045</t>
  </si>
  <si>
    <t>CN5036</t>
  </si>
  <si>
    <t>CN5035</t>
  </si>
  <si>
    <t>MC0204</t>
  </si>
  <si>
    <t>CN2346</t>
  </si>
  <si>
    <t>CN5062</t>
  </si>
  <si>
    <t>MQ7055</t>
  </si>
  <si>
    <t>CN5063</t>
  </si>
  <si>
    <t>CR4229</t>
  </si>
  <si>
    <t>CN5064</t>
  </si>
  <si>
    <t>MC4075</t>
  </si>
  <si>
    <t>MQ3216</t>
  </si>
  <si>
    <t>MQ0696</t>
  </si>
  <si>
    <t>MC2386</t>
  </si>
  <si>
    <t>MQ5151</t>
  </si>
  <si>
    <t>MQ6010</t>
  </si>
  <si>
    <t>CN5040</t>
  </si>
  <si>
    <t>MQ0481</t>
  </si>
  <si>
    <t>MQ0483</t>
  </si>
  <si>
    <t>CN5041</t>
  </si>
  <si>
    <t>CR4220</t>
  </si>
  <si>
    <t>MQ0484</t>
  </si>
  <si>
    <t>CN5042</t>
  </si>
  <si>
    <t>CR4221</t>
  </si>
  <si>
    <t>CN5043</t>
  </si>
  <si>
    <t>MQ0485</t>
  </si>
  <si>
    <t>CR4222</t>
  </si>
  <si>
    <t>CN5044</t>
  </si>
  <si>
    <t>MQ0486</t>
  </si>
  <si>
    <t>CR4223</t>
  </si>
  <si>
    <t>MQ0637</t>
  </si>
  <si>
    <t>MQ0589</t>
  </si>
  <si>
    <t>MQ5011</t>
  </si>
  <si>
    <t>MQ0662</t>
  </si>
  <si>
    <t>MQ5040</t>
  </si>
  <si>
    <t>LQ6011</t>
  </si>
  <si>
    <t>MQ0824</t>
  </si>
  <si>
    <t>MQ0663</t>
  </si>
  <si>
    <t>MQ0664</t>
  </si>
  <si>
    <t>MQ0665</t>
  </si>
  <si>
    <t>CR4215</t>
  </si>
  <si>
    <t>CN5034</t>
  </si>
  <si>
    <t>MC2659</t>
  </si>
  <si>
    <t>MC4095</t>
  </si>
  <si>
    <t>MQ0079</t>
  </si>
  <si>
    <t>LH2867</t>
  </si>
  <si>
    <t>CN5037</t>
  </si>
  <si>
    <t>MQ0417</t>
  </si>
  <si>
    <t>MQ3213</t>
  </si>
  <si>
    <t>MQ0174</t>
  </si>
  <si>
    <t>MQ3118</t>
  </si>
  <si>
    <t>MQ3119</t>
  </si>
  <si>
    <t>MQ3120</t>
  </si>
  <si>
    <t>MQ0697</t>
  </si>
  <si>
    <t>MQ3121</t>
  </si>
  <si>
    <t>LH2874</t>
  </si>
  <si>
    <t>MC3709</t>
  </si>
  <si>
    <t>CN5046</t>
  </si>
  <si>
    <t>CR4225</t>
  </si>
  <si>
    <t>LH2875</t>
  </si>
  <si>
    <t>MC0203</t>
  </si>
  <si>
    <t>LL0021</t>
  </si>
  <si>
    <t>LL1458</t>
  </si>
  <si>
    <t>LL1450</t>
  </si>
  <si>
    <t>LL5012</t>
  </si>
  <si>
    <t>LL1462</t>
  </si>
  <si>
    <t>LL1451</t>
  </si>
  <si>
    <t>LC9601</t>
  </si>
  <si>
    <t>LL1453</t>
  </si>
  <si>
    <t>LL1459</t>
  </si>
  <si>
    <t>LL1460</t>
  </si>
  <si>
    <t>LH2922</t>
  </si>
  <si>
    <t>LH2920</t>
  </si>
  <si>
    <t>MC0867</t>
  </si>
  <si>
    <t>MC1909</t>
  </si>
  <si>
    <t>LK6045</t>
  </si>
  <si>
    <t>LK7007</t>
  </si>
  <si>
    <t>LK6046</t>
  </si>
  <si>
    <t>LK6048</t>
  </si>
  <si>
    <t>LK6380</t>
  </si>
  <si>
    <t>LK7008</t>
  </si>
  <si>
    <t>MC1527</t>
  </si>
  <si>
    <t>LK1546</t>
  </si>
  <si>
    <t>LB2335</t>
  </si>
  <si>
    <t>LK1547</t>
  </si>
  <si>
    <t>LB2353</t>
  </si>
  <si>
    <t>LB2337</t>
  </si>
  <si>
    <t>LK3311</t>
  </si>
  <si>
    <t>LK6538</t>
  </si>
  <si>
    <t>LB2340</t>
  </si>
  <si>
    <t>LB2346</t>
  </si>
  <si>
    <t>LB2342</t>
  </si>
  <si>
    <t>LB2345</t>
  </si>
  <si>
    <t>LB2331</t>
  </si>
  <si>
    <t>LB2334</t>
  </si>
  <si>
    <t>LB2332</t>
  </si>
  <si>
    <t>LB2333</t>
  </si>
  <si>
    <t>LK6331</t>
  </si>
  <si>
    <t>LK6537</t>
  </si>
  <si>
    <t>LB2343</t>
  </si>
  <si>
    <t>LK7162</t>
  </si>
  <si>
    <t>LB2348</t>
  </si>
  <si>
    <t>LB2350</t>
  </si>
  <si>
    <t>CN2010</t>
  </si>
  <si>
    <t>CN2011</t>
  </si>
  <si>
    <t>LF0044</t>
  </si>
  <si>
    <t>LQ6080</t>
  </si>
  <si>
    <t>CN2012</t>
  </si>
  <si>
    <t>LF0007</t>
  </si>
  <si>
    <t>LG8034</t>
  </si>
  <si>
    <t>CN2014</t>
  </si>
  <si>
    <t>CN2324</t>
  </si>
  <si>
    <t>CN2016</t>
  </si>
  <si>
    <t>LG1004</t>
  </si>
  <si>
    <t>CN2013</t>
  </si>
  <si>
    <t>CN2017</t>
  </si>
  <si>
    <t>LG8040</t>
  </si>
  <si>
    <t>CN2018</t>
  </si>
  <si>
    <t>CN2019</t>
  </si>
  <si>
    <t>CN2020</t>
  </si>
  <si>
    <t>LF1500</t>
  </si>
  <si>
    <t>CN2021</t>
  </si>
  <si>
    <t>CN2030</t>
  </si>
  <si>
    <t>CN2022</t>
  </si>
  <si>
    <t>CN2024</t>
  </si>
  <si>
    <t>CN2025</t>
  </si>
  <si>
    <t>CN2028</t>
  </si>
  <si>
    <t>CN2029</t>
  </si>
  <si>
    <t>LF0009</t>
  </si>
  <si>
    <t>CN2241</t>
  </si>
  <si>
    <t>CN2300</t>
  </si>
  <si>
    <t>LF0021</t>
  </si>
  <si>
    <t>CN2026</t>
  </si>
  <si>
    <t>LF8537</t>
  </si>
  <si>
    <t>CN2027</t>
  </si>
  <si>
    <t>LH2950</t>
  </si>
  <si>
    <t>MC0207</t>
  </si>
  <si>
    <t>LG1440</t>
  </si>
  <si>
    <t>LG1460</t>
  </si>
  <si>
    <t>CR3323</t>
  </si>
  <si>
    <t>LQ6079</t>
  </si>
  <si>
    <t>LG1461</t>
  </si>
  <si>
    <t>CR5069</t>
  </si>
  <si>
    <t>LF1410</t>
  </si>
  <si>
    <t>LF1408</t>
  </si>
  <si>
    <t>LF3490</t>
  </si>
  <si>
    <t>LL1485</t>
  </si>
  <si>
    <t>LL1468</t>
  </si>
  <si>
    <t>LL0117</t>
  </si>
  <si>
    <t>LL1469</t>
  </si>
  <si>
    <t>LL1470</t>
  </si>
  <si>
    <t>KY1470</t>
  </si>
  <si>
    <t>LL1471</t>
  </si>
  <si>
    <t>LL1472</t>
  </si>
  <si>
    <t>LL8182</t>
  </si>
  <si>
    <t>LL1489</t>
  </si>
  <si>
    <t>LL1475</t>
  </si>
  <si>
    <t>KY1475</t>
  </si>
  <si>
    <t>LL1480</t>
  </si>
  <si>
    <t>LL1667</t>
  </si>
  <si>
    <t>LL1488</t>
  </si>
  <si>
    <t>LL8183</t>
  </si>
  <si>
    <t>LL1492</t>
  </si>
  <si>
    <t>LL1494</t>
  </si>
  <si>
    <t>LL1664</t>
  </si>
  <si>
    <t>LL1490</t>
  </si>
  <si>
    <t>KY1490</t>
  </si>
  <si>
    <t>LL8306</t>
  </si>
  <si>
    <t>LL0056</t>
  </si>
  <si>
    <t>LL1486</t>
  </si>
  <si>
    <t>LL1500</t>
  </si>
  <si>
    <t>LL1555</t>
  </si>
  <si>
    <t>LL1560</t>
  </si>
  <si>
    <t>LL1585</t>
  </si>
  <si>
    <t>KY1585</t>
  </si>
  <si>
    <t>LL1586</t>
  </si>
  <si>
    <t>LL8307</t>
  </si>
  <si>
    <t>LL5061</t>
  </si>
  <si>
    <t>LL1501</t>
  </si>
  <si>
    <t>LL8137</t>
  </si>
  <si>
    <t>LL1603</t>
  </si>
  <si>
    <t>LL1691</t>
  </si>
  <si>
    <t>LL8037</t>
  </si>
  <si>
    <t>LL8138</t>
  </si>
  <si>
    <t>LL1610</t>
  </si>
  <si>
    <t>KY1610</t>
  </si>
  <si>
    <t>LL1612</t>
  </si>
  <si>
    <t>LL5062</t>
  </si>
  <si>
    <t>LL1615</t>
  </si>
  <si>
    <t>LL1632</t>
  </si>
  <si>
    <t>LL4868</t>
  </si>
  <si>
    <t>LL8139</t>
  </si>
  <si>
    <t>LL1640</t>
  </si>
  <si>
    <t>LL1642</t>
  </si>
  <si>
    <t>KY1642</t>
  </si>
  <si>
    <t>LL1491</t>
  </si>
  <si>
    <t>LL1484</t>
  </si>
  <si>
    <t>LL8187</t>
  </si>
  <si>
    <t>LL1650</t>
  </si>
  <si>
    <t>LL1655</t>
  </si>
  <si>
    <t>LL1498</t>
  </si>
  <si>
    <t>LL1666</t>
  </si>
  <si>
    <t>LL0157</t>
  </si>
  <si>
    <t>LL1690</t>
  </si>
  <si>
    <t>LL0118</t>
  </si>
  <si>
    <t>LC6050</t>
  </si>
  <si>
    <t>LB2366</t>
  </si>
  <si>
    <t>LK1092</t>
  </si>
  <si>
    <t>CR4815</t>
  </si>
  <si>
    <t>LB2367</t>
  </si>
  <si>
    <t>LQ6265</t>
  </si>
  <si>
    <t>LQ6266</t>
  </si>
  <si>
    <t>LQ3912</t>
  </si>
  <si>
    <t>CE0416</t>
  </si>
  <si>
    <t>LQ5697</t>
  </si>
  <si>
    <t>LQ5698</t>
  </si>
  <si>
    <t>LB2369</t>
  </si>
  <si>
    <t>LK0697</t>
  </si>
  <si>
    <t>LQ3689</t>
  </si>
  <si>
    <t>CR4957</t>
  </si>
  <si>
    <t>LQ3401</t>
  </si>
  <si>
    <t>CR3516</t>
  </si>
  <si>
    <t>LQ3403</t>
  </si>
  <si>
    <t>CR3517</t>
  </si>
  <si>
    <t>LQ3521</t>
  </si>
  <si>
    <t>CR3518</t>
  </si>
  <si>
    <t>LQ3406</t>
  </si>
  <si>
    <t>CR3519</t>
  </si>
  <si>
    <t>LQ3800</t>
  </si>
  <si>
    <t>CR4814</t>
  </si>
  <si>
    <t>CR2154</t>
  </si>
  <si>
    <t>LB2362</t>
  </si>
  <si>
    <t>LK1850</t>
  </si>
  <si>
    <t>CR3210</t>
  </si>
  <si>
    <t>CR3520</t>
  </si>
  <si>
    <t>LS0016</t>
  </si>
  <si>
    <t>MC1425</t>
  </si>
  <si>
    <t>LK1213</t>
  </si>
  <si>
    <t>LK6776</t>
  </si>
  <si>
    <t>LK2538</t>
  </si>
  <si>
    <t>LK5456</t>
  </si>
  <si>
    <t>LK7131</t>
  </si>
  <si>
    <t>LK7132</t>
  </si>
  <si>
    <t>LK7133</t>
  </si>
  <si>
    <t>CR3264</t>
  </si>
  <si>
    <t>LB2363</t>
  </si>
  <si>
    <t>LG1650</t>
  </si>
  <si>
    <t>LG1769</t>
  </si>
  <si>
    <t>LK0052</t>
  </si>
  <si>
    <t>LG1771</t>
  </si>
  <si>
    <t>LG1776</t>
  </si>
  <si>
    <t>LH8829</t>
  </si>
  <si>
    <t>MC2716</t>
  </si>
  <si>
    <t>LK4657</t>
  </si>
  <si>
    <t>LK6335</t>
  </si>
  <si>
    <t>LK3705</t>
  </si>
  <si>
    <t>LH3003</t>
  </si>
  <si>
    <t>LC8610</t>
  </si>
  <si>
    <t>LG1900</t>
  </si>
  <si>
    <t>LG4900</t>
  </si>
  <si>
    <t>LG1905</t>
  </si>
  <si>
    <t>LG1901</t>
  </si>
  <si>
    <t>LB2370</t>
  </si>
  <si>
    <t>LK4174</t>
  </si>
  <si>
    <t>CE1628</t>
  </si>
  <si>
    <t>CE1302</t>
  </si>
  <si>
    <t>CE1698</t>
  </si>
  <si>
    <t>CE1477</t>
  </si>
  <si>
    <t>CE1594</t>
  </si>
  <si>
    <t>CE1303</t>
  </si>
  <si>
    <t>CE1304</t>
  </si>
  <si>
    <t>CE1305</t>
  </si>
  <si>
    <t>CE1306</t>
  </si>
  <si>
    <t>CE1595</t>
  </si>
  <si>
    <t>CE1307</t>
  </si>
  <si>
    <t>CE1479</t>
  </si>
  <si>
    <t>CE1596</t>
  </si>
  <si>
    <t>CE1308</t>
  </si>
  <si>
    <t>CR2171</t>
  </si>
  <si>
    <t>CR2172</t>
  </si>
  <si>
    <t>CR2173</t>
  </si>
  <si>
    <t>CR2174</t>
  </si>
  <si>
    <t>CR2175</t>
  </si>
  <si>
    <t>CR2176</t>
  </si>
  <si>
    <t>CR2177</t>
  </si>
  <si>
    <t>CR2178</t>
  </si>
  <si>
    <t>CR2179</t>
  </si>
  <si>
    <t>CR2180</t>
  </si>
  <si>
    <t>CR2181</t>
  </si>
  <si>
    <t>CR2182</t>
  </si>
  <si>
    <t>CR2632</t>
  </si>
  <si>
    <t>CR3199</t>
  </si>
  <si>
    <t>CR2183</t>
  </si>
  <si>
    <t>LQ3753</t>
  </si>
  <si>
    <t>LK5212</t>
  </si>
  <si>
    <t>LB2406</t>
  </si>
  <si>
    <t>LQ0943</t>
  </si>
  <si>
    <t>LQ3523</t>
  </si>
  <si>
    <t>LQ3745</t>
  </si>
  <si>
    <t>LQ0944</t>
  </si>
  <si>
    <t>LQ0945</t>
  </si>
  <si>
    <t>LQ0946</t>
  </si>
  <si>
    <t>LQ0947</t>
  </si>
  <si>
    <t>LQ3525</t>
  </si>
  <si>
    <t>LQ0948</t>
  </si>
  <si>
    <t>LQ3801</t>
  </si>
  <si>
    <t>LB2415</t>
  </si>
  <si>
    <t>LB2411</t>
  </si>
  <si>
    <t>LB2412</t>
  </si>
  <si>
    <t>LB2413</t>
  </si>
  <si>
    <t>LB2416</t>
  </si>
  <si>
    <t>LB2414</t>
  </si>
  <si>
    <t>LK2785</t>
  </si>
  <si>
    <t>MC1453</t>
  </si>
  <si>
    <t>LS0017</t>
  </si>
  <si>
    <t>CE0418</t>
  </si>
  <si>
    <t>CE0420</t>
  </si>
  <si>
    <t>CE0921</t>
  </si>
  <si>
    <t>CE1309</t>
  </si>
  <si>
    <t>CE1180</t>
  </si>
  <si>
    <t>CE1310</t>
  </si>
  <si>
    <t>CE0844</t>
  </si>
  <si>
    <t>CE0845</t>
  </si>
  <si>
    <t>CE0846</t>
  </si>
  <si>
    <t>CE1181</t>
  </si>
  <si>
    <t>CE0922</t>
  </si>
  <si>
    <t>CE0924</t>
  </si>
  <si>
    <t>CE0848</t>
  </si>
  <si>
    <t>CE0849</t>
  </si>
  <si>
    <t>CE0850</t>
  </si>
  <si>
    <t>CE1311</t>
  </si>
  <si>
    <t>CE1522</t>
  </si>
  <si>
    <t>CE1312</t>
  </si>
  <si>
    <t>CE1313</t>
  </si>
  <si>
    <t>CE1314</t>
  </si>
  <si>
    <t>CE1315</t>
  </si>
  <si>
    <t>CE1316</t>
  </si>
  <si>
    <t>CE1317</t>
  </si>
  <si>
    <t>CE1318</t>
  </si>
  <si>
    <t>CE1319</t>
  </si>
  <si>
    <t>LB2387</t>
  </si>
  <si>
    <t>CR3521</t>
  </si>
  <si>
    <t>CR3882</t>
  </si>
  <si>
    <t>CR3523</t>
  </si>
  <si>
    <t>CR3883</t>
  </si>
  <si>
    <t>CR2161</t>
  </si>
  <si>
    <t>CR4816</t>
  </si>
  <si>
    <t>CR2162</t>
  </si>
  <si>
    <t>CR2163</t>
  </si>
  <si>
    <t>CR3524</t>
  </si>
  <si>
    <t>CR5180</t>
  </si>
  <si>
    <t>CR2164</t>
  </si>
  <si>
    <t>CR2165</t>
  </si>
  <si>
    <t>CR2166</t>
  </si>
  <si>
    <t>CR2167</t>
  </si>
  <si>
    <t>CR5181</t>
  </si>
  <si>
    <t>CR2169</t>
  </si>
  <si>
    <t>CR2170</t>
  </si>
  <si>
    <t>CR2631</t>
  </si>
  <si>
    <t>CR2156</t>
  </si>
  <si>
    <t>CE1685</t>
  </si>
  <si>
    <t>CE1647</t>
  </si>
  <si>
    <t>CE1648</t>
  </si>
  <si>
    <t>CE1646</t>
  </si>
  <si>
    <t>CE1726</t>
  </si>
  <si>
    <t>CE1689</t>
  </si>
  <si>
    <t>CE1687</t>
  </si>
  <si>
    <t>CE1626</t>
  </si>
  <si>
    <t>CE1627</t>
  </si>
  <si>
    <t>CE1686</t>
  </si>
  <si>
    <t>CE1688</t>
  </si>
  <si>
    <t>LQ3802</t>
  </si>
  <si>
    <t>LQ6013</t>
  </si>
  <si>
    <t>LQ3746</t>
  </si>
  <si>
    <t>LQ3747</t>
  </si>
  <si>
    <t>LQ3748</t>
  </si>
  <si>
    <t>CR4886</t>
  </si>
  <si>
    <t>CR4958</t>
  </si>
  <si>
    <t>CR5182</t>
  </si>
  <si>
    <t>CR4959</t>
  </si>
  <si>
    <t>CR4960</t>
  </si>
  <si>
    <t>CR5343</t>
  </si>
  <si>
    <t>CE1231</t>
  </si>
  <si>
    <t>CE1088</t>
  </si>
  <si>
    <t>CE1320</t>
  </si>
  <si>
    <t>CE1089</t>
  </si>
  <si>
    <t>CE1090</t>
  </si>
  <si>
    <t>CE1321</t>
  </si>
  <si>
    <t>CE1092</t>
  </si>
  <si>
    <t>CE1690</t>
  </si>
  <si>
    <t>LQ0524</t>
  </si>
  <si>
    <t>CR3354</t>
  </si>
  <si>
    <t>LQ0525</t>
  </si>
  <si>
    <t>CR3525</t>
  </si>
  <si>
    <t>LQ0976</t>
  </si>
  <si>
    <t>LQ0977</t>
  </si>
  <si>
    <t>LQ0526</t>
  </si>
  <si>
    <t>CR3527</t>
  </si>
  <si>
    <t>LQ0527</t>
  </si>
  <si>
    <t>CR3528</t>
  </si>
  <si>
    <t>LQ0918</t>
  </si>
  <si>
    <t>CR3529</t>
  </si>
  <si>
    <t>LQ0568</t>
  </si>
  <si>
    <t>CR3198</t>
  </si>
  <si>
    <t>LQ0978</t>
  </si>
  <si>
    <t>LQ0569</t>
  </si>
  <si>
    <t>CR2932</t>
  </si>
  <si>
    <t>CR4820</t>
  </si>
  <si>
    <t>CR4823</t>
  </si>
  <si>
    <t>CR5034</t>
  </si>
  <si>
    <t>CR4821</t>
  </si>
  <si>
    <t>CR4819</t>
  </si>
  <si>
    <t>CR4818</t>
  </si>
  <si>
    <t>CR4822</t>
  </si>
  <si>
    <t>CR4817</t>
  </si>
  <si>
    <t>LQ3527</t>
  </si>
  <si>
    <t>LB2430</t>
  </si>
  <si>
    <t>CR5390</t>
  </si>
  <si>
    <t>CR5391</t>
  </si>
  <si>
    <t>CR5349</t>
  </si>
  <si>
    <t>CR5350</t>
  </si>
  <si>
    <t>CR5377</t>
  </si>
  <si>
    <t>CE1322</t>
  </si>
  <si>
    <t>CR2184</t>
  </si>
  <si>
    <t>CR3213</t>
  </si>
  <si>
    <t>CR2186</t>
  </si>
  <si>
    <t>CR3530</t>
  </si>
  <si>
    <t>CR2933</t>
  </si>
  <si>
    <t>CR2187</t>
  </si>
  <si>
    <t>CR2934</t>
  </si>
  <si>
    <t>CR2158</t>
  </si>
  <si>
    <t>CR3884</t>
  </si>
  <si>
    <t>CR2936</t>
  </si>
  <si>
    <t>CR3972</t>
  </si>
  <si>
    <t>CR3040</t>
  </si>
  <si>
    <t>CR3973</t>
  </si>
  <si>
    <t>CR3041</t>
  </si>
  <si>
    <t>CR3974</t>
  </si>
  <si>
    <t>CR2633</t>
  </si>
  <si>
    <t>CR2188</t>
  </si>
  <si>
    <t>CR3678</t>
  </si>
  <si>
    <t>CR4770</t>
  </si>
  <si>
    <t>CR3679</t>
  </si>
  <si>
    <t>CR2189</t>
  </si>
  <si>
    <t>CR5411</t>
  </si>
  <si>
    <t>CR2190</t>
  </si>
  <si>
    <t>CR4824</t>
  </si>
  <si>
    <t>CR5183</t>
  </si>
  <si>
    <t>CR2191</t>
  </si>
  <si>
    <t>CR5184</t>
  </si>
  <si>
    <t>CR2819</t>
  </si>
  <si>
    <t>CR3680</t>
  </si>
  <si>
    <t>CR2192</t>
  </si>
  <si>
    <t>CR5419</t>
  </si>
  <si>
    <t>CR2193</t>
  </si>
  <si>
    <t>CR3681</t>
  </si>
  <si>
    <t>CR2194</t>
  </si>
  <si>
    <t>CR5185</t>
  </si>
  <si>
    <t>CR2195</t>
  </si>
  <si>
    <t>LK5216</t>
  </si>
  <si>
    <t>LB2600</t>
  </si>
  <si>
    <t>LK2615</t>
  </si>
  <si>
    <t>LK2616</t>
  </si>
  <si>
    <t>LK2617</t>
  </si>
  <si>
    <t>LK0115</t>
  </si>
  <si>
    <t>LK1548</t>
  </si>
  <si>
    <t>LK3809</t>
  </si>
  <si>
    <t>LB2380</t>
  </si>
  <si>
    <t>LB2381</t>
  </si>
  <si>
    <t>MC3551</t>
  </si>
  <si>
    <t>CN5090</t>
  </si>
  <si>
    <t>MC0209</t>
  </si>
  <si>
    <t>MQ0560</t>
  </si>
  <si>
    <t>MQ0487</t>
  </si>
  <si>
    <t>MQ0488</t>
  </si>
  <si>
    <t>MQ6014</t>
  </si>
  <si>
    <t>MQ0825</t>
  </si>
  <si>
    <t>MQ0826</t>
  </si>
  <si>
    <t>MQ0489</t>
  </si>
  <si>
    <t>MQ0765</t>
  </si>
  <si>
    <t>MQ0490</t>
  </si>
  <si>
    <t>MQ6015</t>
  </si>
  <si>
    <t>MQ6016</t>
  </si>
  <si>
    <t>LH3020</t>
  </si>
  <si>
    <t>MC3712</t>
  </si>
  <si>
    <t>MQ7063</t>
  </si>
  <si>
    <t>CN5065</t>
  </si>
  <si>
    <t>CN5066</t>
  </si>
  <si>
    <t>MQ7064</t>
  </si>
  <si>
    <t>CN5067</t>
  </si>
  <si>
    <t>MQ7065</t>
  </si>
  <si>
    <t>CR4243</t>
  </si>
  <si>
    <t>CN5068</t>
  </si>
  <si>
    <t>MQ7066</t>
  </si>
  <si>
    <t>CN5069</t>
  </si>
  <si>
    <t>MQ7067</t>
  </si>
  <si>
    <t>CN5070</t>
  </si>
  <si>
    <t>MQ7068</t>
  </si>
  <si>
    <t>CN5071</t>
  </si>
  <si>
    <t>MQ7069</t>
  </si>
  <si>
    <t>CR4247</t>
  </si>
  <si>
    <t>CN5072</t>
  </si>
  <si>
    <t>MQ7070</t>
  </si>
  <si>
    <t>CR4248</t>
  </si>
  <si>
    <t>LH0024</t>
  </si>
  <si>
    <t>CN5073</t>
  </si>
  <si>
    <t>MQ7071</t>
  </si>
  <si>
    <t>MQ0766</t>
  </si>
  <si>
    <t>LH3150</t>
  </si>
  <si>
    <t>MC1608</t>
  </si>
  <si>
    <t>MQ0698</t>
  </si>
  <si>
    <t>MQ0699</t>
  </si>
  <si>
    <t>MQ0700</t>
  </si>
  <si>
    <t>MQ0767</t>
  </si>
  <si>
    <t>LK7145</t>
  </si>
  <si>
    <t>CN5075</t>
  </si>
  <si>
    <t>CN5074</t>
  </si>
  <si>
    <t>CN5076</t>
  </si>
  <si>
    <t>CR4258</t>
  </si>
  <si>
    <t>CN5077</t>
  </si>
  <si>
    <t>CN5078</t>
  </si>
  <si>
    <t>CR4260</t>
  </si>
  <si>
    <t>CN5079</t>
  </si>
  <si>
    <t>CN5080</t>
  </si>
  <si>
    <t>MQ0768</t>
  </si>
  <si>
    <t>MQ0769</t>
  </si>
  <si>
    <t>CN5081</t>
  </si>
  <si>
    <t>CN5082</t>
  </si>
  <si>
    <t>CR4265</t>
  </si>
  <si>
    <t>CN5083</t>
  </si>
  <si>
    <t>CR4266</t>
  </si>
  <si>
    <t>CN5084</t>
  </si>
  <si>
    <t>CR4250</t>
  </si>
  <si>
    <t>MQ7075</t>
  </si>
  <si>
    <t>CN5085</t>
  </si>
  <si>
    <t>MQ7076</t>
  </si>
  <si>
    <t>CN2349</t>
  </si>
  <si>
    <t>MQ7424</t>
  </si>
  <si>
    <t>CN5086</t>
  </si>
  <si>
    <t>MQ7077</t>
  </si>
  <si>
    <t>CN2350</t>
  </si>
  <si>
    <t>MQ7425</t>
  </si>
  <si>
    <t>CN2348</t>
  </si>
  <si>
    <t>MQ7426</t>
  </si>
  <si>
    <t>CN5087</t>
  </si>
  <si>
    <t>MQ7078</t>
  </si>
  <si>
    <t>CN2351</t>
  </si>
  <si>
    <t>CN2352</t>
  </si>
  <si>
    <t>MQ7427</t>
  </si>
  <si>
    <t>CN5088</t>
  </si>
  <si>
    <t>MQ7079</t>
  </si>
  <si>
    <t>CN5089</t>
  </si>
  <si>
    <t>CR4255</t>
  </si>
  <si>
    <t>LH3266</t>
  </si>
  <si>
    <t>MC0225</t>
  </si>
  <si>
    <t>MC4156</t>
  </si>
  <si>
    <t>MC4157</t>
  </si>
  <si>
    <t>MC4158</t>
  </si>
  <si>
    <t>MC4159</t>
  </si>
  <si>
    <t>MC4160</t>
  </si>
  <si>
    <t>MC0210</t>
  </si>
  <si>
    <t>LH3268</t>
  </si>
  <si>
    <t>MC0226</t>
  </si>
  <si>
    <t>LH3270</t>
  </si>
  <si>
    <t>MC0227</t>
  </si>
  <si>
    <t>MC0211</t>
  </si>
  <si>
    <t>LH3178</t>
  </si>
  <si>
    <t>LH3272</t>
  </si>
  <si>
    <t>MC1112</t>
  </si>
  <si>
    <t>MC4391</t>
  </si>
  <si>
    <t>LH3189</t>
  </si>
  <si>
    <t>MC3342</t>
  </si>
  <si>
    <t>MC4285</t>
  </si>
  <si>
    <t>MC4161</t>
  </si>
  <si>
    <t>MC4162</t>
  </si>
  <si>
    <t>MC4433</t>
  </si>
  <si>
    <t>MC4163</t>
  </si>
  <si>
    <t>MC4434</t>
  </si>
  <si>
    <t>MC3343</t>
  </si>
  <si>
    <t>LH3280</t>
  </si>
  <si>
    <t>MC0228</t>
  </si>
  <si>
    <t>MC3713</t>
  </si>
  <si>
    <t>MC1851</t>
  </si>
  <si>
    <t>MC1853</t>
  </si>
  <si>
    <t>MC3474</t>
  </si>
  <si>
    <t>MC1854</t>
  </si>
  <si>
    <t>MC0229</t>
  </si>
  <si>
    <t>MC4519</t>
  </si>
  <si>
    <t>LH0037</t>
  </si>
  <si>
    <t>LH0036</t>
  </si>
  <si>
    <t>MC0230</t>
  </si>
  <si>
    <t>MC0214</t>
  </si>
  <si>
    <t>MC1115</t>
  </si>
  <si>
    <t>MC0215</t>
  </si>
  <si>
    <t>MC0216</t>
  </si>
  <si>
    <t>MC0217</t>
  </si>
  <si>
    <t>MC0218</t>
  </si>
  <si>
    <t>MC2794</t>
  </si>
  <si>
    <t>MC0219</t>
  </si>
  <si>
    <t>LH3253</t>
  </si>
  <si>
    <t>MC0222</t>
  </si>
  <si>
    <t>MC0220</t>
  </si>
  <si>
    <t>MC0221</t>
  </si>
  <si>
    <t>MC1528</t>
  </si>
  <si>
    <t>LH3290</t>
  </si>
  <si>
    <t>MQ7428</t>
  </si>
  <si>
    <t>MC1857</t>
  </si>
  <si>
    <t>MC3344</t>
  </si>
  <si>
    <t>MC2394</t>
  </si>
  <si>
    <t>MC3179</t>
  </si>
  <si>
    <t>MC2814</t>
  </si>
  <si>
    <t>MC0232</t>
  </si>
  <si>
    <t>LH8909</t>
  </si>
  <si>
    <t>MC0865</t>
  </si>
  <si>
    <t>LK1215</t>
  </si>
  <si>
    <t>LK0698</t>
  </si>
  <si>
    <t>LK1216</t>
  </si>
  <si>
    <t>LK1217</t>
  </si>
  <si>
    <t>MQ0392</t>
  </si>
  <si>
    <t>MQ0393</t>
  </si>
  <si>
    <t>MQ0394</t>
  </si>
  <si>
    <t>MQ0396</t>
  </si>
  <si>
    <t>MQ0399</t>
  </si>
  <si>
    <t>MQ0400</t>
  </si>
  <si>
    <t>MQ0397</t>
  </si>
  <si>
    <t>MQ0401</t>
  </si>
  <si>
    <t>MQ0175</t>
  </si>
  <si>
    <t>MQ0638</t>
  </si>
  <si>
    <t>MQ0398</t>
  </si>
  <si>
    <t>CN5140</t>
  </si>
  <si>
    <t>CN5139</t>
  </si>
  <si>
    <t>CN5138</t>
  </si>
  <si>
    <t>LH8923</t>
  </si>
  <si>
    <t>MC0247</t>
  </si>
  <si>
    <t>CN5142</t>
  </si>
  <si>
    <t>MC2796</t>
  </si>
  <si>
    <t>MC2797</t>
  </si>
  <si>
    <t>MC2798</t>
  </si>
  <si>
    <t>MC2799</t>
  </si>
  <si>
    <t>MC2800</t>
  </si>
  <si>
    <t>MC3324</t>
  </si>
  <si>
    <t>MC2801</t>
  </si>
  <si>
    <t>MC4347</t>
  </si>
  <si>
    <t>MC3220</t>
  </si>
  <si>
    <t>MC0237</t>
  </si>
  <si>
    <t>CN5091</t>
  </si>
  <si>
    <t>CR3794</t>
  </si>
  <si>
    <t>CN5092</t>
  </si>
  <si>
    <t>CR2636</t>
  </si>
  <si>
    <t>CN5093</t>
  </si>
  <si>
    <t>CR3599</t>
  </si>
  <si>
    <t>CN5094</t>
  </si>
  <si>
    <t>CN5095</t>
  </si>
  <si>
    <t>CR3842</t>
  </si>
  <si>
    <t>CN2354</t>
  </si>
  <si>
    <t>MQ0770</t>
  </si>
  <si>
    <t>CN2355</t>
  </si>
  <si>
    <t>MQ0771</t>
  </si>
  <si>
    <t>CR3932</t>
  </si>
  <si>
    <t>CN2356</t>
  </si>
  <si>
    <t>MQ0772</t>
  </si>
  <si>
    <t>CN2357</t>
  </si>
  <si>
    <t>MQ0773</t>
  </si>
  <si>
    <t>CN2358</t>
  </si>
  <si>
    <t>MQ0774</t>
  </si>
  <si>
    <t>CR3933</t>
  </si>
  <si>
    <t>LG8044</t>
  </si>
  <si>
    <t>LG8045</t>
  </si>
  <si>
    <t>LG8046</t>
  </si>
  <si>
    <t>LG8047</t>
  </si>
  <si>
    <t>LG8048</t>
  </si>
  <si>
    <t>LG8049</t>
  </si>
  <si>
    <t>MC0239</t>
  </si>
  <si>
    <t>LK0100</t>
  </si>
  <si>
    <t>CN5144</t>
  </si>
  <si>
    <t>CN5145</t>
  </si>
  <si>
    <t>CN5146</t>
  </si>
  <si>
    <t>LH0038</t>
  </si>
  <si>
    <t>LH0039</t>
  </si>
  <si>
    <t>LH0040</t>
  </si>
  <si>
    <t>MQ0561</t>
  </si>
  <si>
    <t>MQ0616</t>
  </si>
  <si>
    <t>MQ0563</t>
  </si>
  <si>
    <t>MQ0775</t>
  </si>
  <si>
    <t>MQ0617</t>
  </si>
  <si>
    <t>MQ0776</t>
  </si>
  <si>
    <t>MQ0701</t>
  </si>
  <si>
    <t>MQ0777</t>
  </si>
  <si>
    <t>MQ0702</t>
  </si>
  <si>
    <t>MQ0492</t>
  </si>
  <si>
    <t>MQ0564</t>
  </si>
  <si>
    <t>MQ0565</t>
  </si>
  <si>
    <t>MQ0591</t>
  </si>
  <si>
    <t>MQ6019</t>
  </si>
  <si>
    <t>MQ0493</t>
  </si>
  <si>
    <t>MQ0544</t>
  </si>
  <si>
    <t>MQ0545</t>
  </si>
  <si>
    <t>MQ0703</t>
  </si>
  <si>
    <t>MQ0494</t>
  </si>
  <si>
    <t>MQ0547</t>
  </si>
  <si>
    <t>MQ0495</t>
  </si>
  <si>
    <t>MQ0496</t>
  </si>
  <si>
    <t>MQ0704</t>
  </si>
  <si>
    <t>MQ0705</t>
  </si>
  <si>
    <t>MQ0566</t>
  </si>
  <si>
    <t>MQ0666</t>
  </si>
  <si>
    <t>MQ0567</t>
  </si>
  <si>
    <t>MQ0568</t>
  </si>
  <si>
    <t>LK6206</t>
  </si>
  <si>
    <t>LK6641</t>
  </si>
  <si>
    <t>LK7084</t>
  </si>
  <si>
    <t>LK6205</t>
  </si>
  <si>
    <t>LK6385</t>
  </si>
  <si>
    <t>LK6386</t>
  </si>
  <si>
    <t>LK6387</t>
  </si>
  <si>
    <t>LK6204</t>
  </si>
  <si>
    <t>LK7085</t>
  </si>
  <si>
    <t>MC3715</t>
  </si>
  <si>
    <t>LK4968</t>
  </si>
  <si>
    <t>MQ5136</t>
  </si>
  <si>
    <t>MQ5133</t>
  </si>
  <si>
    <t>LQ0847</t>
  </si>
  <si>
    <t>LK4459</t>
  </si>
  <si>
    <t>LK4460</t>
  </si>
  <si>
    <t>LK4461</t>
  </si>
  <si>
    <t>LK4462</t>
  </si>
  <si>
    <t>LK4463</t>
  </si>
  <si>
    <t>LK4464</t>
  </si>
  <si>
    <t>LK4465</t>
  </si>
  <si>
    <t>LB2436</t>
  </si>
  <si>
    <t>LB2437</t>
  </si>
  <si>
    <t>LB2438</t>
  </si>
  <si>
    <t>LB2451</t>
  </si>
  <si>
    <t>LB2439</t>
  </si>
  <si>
    <t>LB2440</t>
  </si>
  <si>
    <t>LK2790</t>
  </si>
  <si>
    <t>LB2441</t>
  </si>
  <si>
    <t>LK4972</t>
  </si>
  <si>
    <t>LK3811</t>
  </si>
  <si>
    <t>LH0041</t>
  </si>
  <si>
    <t>LH3382</t>
  </si>
  <si>
    <t>MC0250</t>
  </si>
  <si>
    <t>MQ3218</t>
  </si>
  <si>
    <t>MQ3220</t>
  </si>
  <si>
    <t>MQ3219</t>
  </si>
  <si>
    <t>MC1120</t>
  </si>
  <si>
    <t>MC0248</t>
  </si>
  <si>
    <t>LB2513</t>
  </si>
  <si>
    <t>LB2554</t>
  </si>
  <si>
    <t>LB2562</t>
  </si>
  <si>
    <t>LB2561</t>
  </si>
  <si>
    <t>LB2555</t>
  </si>
  <si>
    <t>LB2556</t>
  </si>
  <si>
    <t>LB2557</t>
  </si>
  <si>
    <t>LK6545</t>
  </si>
  <si>
    <t>LB2558</t>
  </si>
  <si>
    <t>LB2563</t>
  </si>
  <si>
    <t>LB2559</t>
  </si>
  <si>
    <t>LB2560</t>
  </si>
  <si>
    <t>LB2540</t>
  </si>
  <si>
    <t>LQ3560</t>
  </si>
  <si>
    <t>LQ3561</t>
  </si>
  <si>
    <t>LQ3562</t>
  </si>
  <si>
    <t>LQ3563</t>
  </si>
  <si>
    <t>LQ3729</t>
  </si>
  <si>
    <t>LQ3730</t>
  </si>
  <si>
    <t>LQ3564</t>
  </si>
  <si>
    <t>LQ3565</t>
  </si>
  <si>
    <t>LQ3731</t>
  </si>
  <si>
    <t>LQ3567</t>
  </si>
  <si>
    <t>LQ3568</t>
  </si>
  <si>
    <t>MC1121</t>
  </si>
  <si>
    <t>MC0246</t>
  </si>
  <si>
    <t>MC0245</t>
  </si>
  <si>
    <t>LH0042</t>
  </si>
  <si>
    <t>MB1510</t>
  </si>
  <si>
    <t>LS0018</t>
  </si>
  <si>
    <t>MC0252</t>
  </si>
  <si>
    <t>LH1645</t>
  </si>
  <si>
    <t>MC0254</t>
  </si>
  <si>
    <t>LH1647</t>
  </si>
  <si>
    <t>LH1649</t>
  </si>
  <si>
    <t>LK0487</t>
  </si>
  <si>
    <t>LK0057</t>
  </si>
  <si>
    <t>LK2621</t>
  </si>
  <si>
    <t>LK2622</t>
  </si>
  <si>
    <t>LK2623</t>
  </si>
  <si>
    <t>LK2624</t>
  </si>
  <si>
    <t>LK2625</t>
  </si>
  <si>
    <t>LK2626</t>
  </si>
  <si>
    <t>LK2627</t>
  </si>
  <si>
    <t>LK2628</t>
  </si>
  <si>
    <t>LK0121</t>
  </si>
  <si>
    <t>LH3391</t>
  </si>
  <si>
    <t>MC0249</t>
  </si>
  <si>
    <t>LK6786</t>
  </si>
  <si>
    <t>LK6787</t>
  </si>
  <si>
    <t>LK6788</t>
  </si>
  <si>
    <t>LK6789</t>
  </si>
  <si>
    <t>LK6790</t>
  </si>
  <si>
    <t>LK6791</t>
  </si>
  <si>
    <t>LK6792</t>
  </si>
  <si>
    <t>LK6793</t>
  </si>
  <si>
    <t>LK6794</t>
  </si>
  <si>
    <t>LK6795</t>
  </si>
  <si>
    <t>LK6796</t>
  </si>
  <si>
    <t>LK5744</t>
  </si>
  <si>
    <t>LK5674</t>
  </si>
  <si>
    <t>LK6219</t>
  </si>
  <si>
    <t>LK6963</t>
  </si>
  <si>
    <t>MQ0176</t>
  </si>
  <si>
    <t>MQ0177</t>
  </si>
  <si>
    <t>MQ0178</t>
  </si>
  <si>
    <t>MC0257</t>
  </si>
  <si>
    <t>LB1593</t>
  </si>
  <si>
    <t>CN2353</t>
  </si>
  <si>
    <t>LK0701</t>
  </si>
  <si>
    <t>MC1137</t>
  </si>
  <si>
    <t>MQ0179</t>
  </si>
  <si>
    <t>MQ0180</t>
  </si>
  <si>
    <t>MQ0181</t>
  </si>
  <si>
    <t>MQ0549</t>
  </si>
  <si>
    <t>MQ0182</t>
  </si>
  <si>
    <t>MQ0639</t>
  </si>
  <si>
    <t>MQ0640</t>
  </si>
  <si>
    <t>MQ0183</t>
  </si>
  <si>
    <t>MQ0184</t>
  </si>
  <si>
    <t>CN5096</t>
  </si>
  <si>
    <t>CR3601</t>
  </si>
  <si>
    <t>CN5097</t>
  </si>
  <si>
    <t>CN5098</t>
  </si>
  <si>
    <t>CR3785</t>
  </si>
  <si>
    <t>CR3604</t>
  </si>
  <si>
    <t>CN5099</t>
  </si>
  <si>
    <t>CR3786</t>
  </si>
  <si>
    <t>CN5100</t>
  </si>
  <si>
    <t>CR3605</t>
  </si>
  <si>
    <t>CN5101</t>
  </si>
  <si>
    <t>CR3606</t>
  </si>
  <si>
    <t>CN5102</t>
  </si>
  <si>
    <t>CN5103</t>
  </si>
  <si>
    <t>CN5104</t>
  </si>
  <si>
    <t>CN5105</t>
  </si>
  <si>
    <t>CN5106</t>
  </si>
  <si>
    <t>CN5107</t>
  </si>
  <si>
    <t>CN5108</t>
  </si>
  <si>
    <t>CR3611</t>
  </si>
  <si>
    <t>CN5109</t>
  </si>
  <si>
    <t>CR3613</t>
  </si>
  <si>
    <t>LB2516</t>
  </si>
  <si>
    <t>LB2517</t>
  </si>
  <si>
    <t>CN5149</t>
  </si>
  <si>
    <t>CN5150</t>
  </si>
  <si>
    <t>CN5151</t>
  </si>
  <si>
    <t>CN5152</t>
  </si>
  <si>
    <t>LK1555</t>
  </si>
  <si>
    <t>CN5143</t>
  </si>
  <si>
    <t>CN5438</t>
  </si>
  <si>
    <t>CN5153</t>
  </si>
  <si>
    <t>CN5155</t>
  </si>
  <si>
    <t>CN5154</t>
  </si>
  <si>
    <t>CN5439</t>
  </si>
  <si>
    <t>LH0027</t>
  </si>
  <si>
    <t>MC4333</t>
  </si>
  <si>
    <t>LH0028</t>
  </si>
  <si>
    <t>MC4334</t>
  </si>
  <si>
    <t>LH0003</t>
  </si>
  <si>
    <t>MC4286</t>
  </si>
  <si>
    <t>LH0029</t>
  </si>
  <si>
    <t>MC4335</t>
  </si>
  <si>
    <t>LH0043</t>
  </si>
  <si>
    <t>MC4402</t>
  </si>
  <si>
    <t>LK1558</t>
  </si>
  <si>
    <t>CN5141</t>
  </si>
  <si>
    <t>CN5129</t>
  </si>
  <si>
    <t>CN5131</t>
  </si>
  <si>
    <t>CN5135</t>
  </si>
  <si>
    <t>CN5136</t>
  </si>
  <si>
    <t>CN5132</t>
  </si>
  <si>
    <t>CN5133</t>
  </si>
  <si>
    <t>CN5130</t>
  </si>
  <si>
    <t>CN5134</t>
  </si>
  <si>
    <t>CN5137</t>
  </si>
  <si>
    <t>MQ3221</t>
  </si>
  <si>
    <t>CN5110</t>
  </si>
  <si>
    <t>MQ7326</t>
  </si>
  <si>
    <t>CN5111</t>
  </si>
  <si>
    <t>MQ7327</t>
  </si>
  <si>
    <t>CN5112</t>
  </si>
  <si>
    <t>MQ7328</t>
  </si>
  <si>
    <t>CR3795</t>
  </si>
  <si>
    <t>CR3617</t>
  </si>
  <si>
    <t>CN5113</t>
  </si>
  <si>
    <t>MQ7329</t>
  </si>
  <si>
    <t>CN5114</t>
  </si>
  <si>
    <t>MQ7330</t>
  </si>
  <si>
    <t>CN5115</t>
  </si>
  <si>
    <t>MQ7331</t>
  </si>
  <si>
    <t>CN5116</t>
  </si>
  <si>
    <t>MQ7332</t>
  </si>
  <si>
    <t>CR3619</t>
  </si>
  <si>
    <t>CN5117</t>
  </si>
  <si>
    <t>MQ7333</t>
  </si>
  <si>
    <t>CN5118</t>
  </si>
  <si>
    <t>MQ7334</t>
  </si>
  <si>
    <t>CN5119</t>
  </si>
  <si>
    <t>MQ7335</t>
  </si>
  <si>
    <t>CR3624</t>
  </si>
  <si>
    <t>CN5120</t>
  </si>
  <si>
    <t>MQ7336</t>
  </si>
  <si>
    <t>CR3625</t>
  </si>
  <si>
    <t>CN2359</t>
  </si>
  <si>
    <t>MQ4000</t>
  </si>
  <si>
    <t>CN2360</t>
  </si>
  <si>
    <t>MQ4001</t>
  </si>
  <si>
    <t>CN5121</t>
  </si>
  <si>
    <t>MQ7337</t>
  </si>
  <si>
    <t>CR3628</t>
  </si>
  <si>
    <t>CR3796</t>
  </si>
  <si>
    <t>CN5122</t>
  </si>
  <si>
    <t>MQ7338</t>
  </si>
  <si>
    <t>CR3629</t>
  </si>
  <si>
    <t>CR3630</t>
  </si>
  <si>
    <t>CR3631</t>
  </si>
  <si>
    <t>CN5123</t>
  </si>
  <si>
    <t>MQ7339</t>
  </si>
  <si>
    <t>CR3633</t>
  </si>
  <si>
    <t>CN5124</t>
  </si>
  <si>
    <t>MQ7340</t>
  </si>
  <si>
    <t>CR3797</t>
  </si>
  <si>
    <t>CR3635</t>
  </si>
  <si>
    <t>CN5125</t>
  </si>
  <si>
    <t>MQ7341</t>
  </si>
  <si>
    <t>CN2361</t>
  </si>
  <si>
    <t>MQ4002</t>
  </si>
  <si>
    <t>CR3788</t>
  </si>
  <si>
    <t>CN2362</t>
  </si>
  <si>
    <t>MQ4003</t>
  </si>
  <si>
    <t>CN5126</t>
  </si>
  <si>
    <t>MQ7342</t>
  </si>
  <si>
    <t>CN5127</t>
  </si>
  <si>
    <t>MQ7343</t>
  </si>
  <si>
    <t>CR3638</t>
  </si>
  <si>
    <t>CN5128</t>
  </si>
  <si>
    <t>MQ7344</t>
  </si>
  <si>
    <t>LB2459</t>
  </si>
  <si>
    <t>LK3814</t>
  </si>
  <si>
    <t>LK4650</t>
  </si>
  <si>
    <t>LB2460</t>
  </si>
  <si>
    <t>LK2082</t>
  </si>
  <si>
    <t>LK5745</t>
  </si>
  <si>
    <t>MC0848</t>
  </si>
  <si>
    <t>CN5147</t>
  </si>
  <si>
    <t>CN5148</t>
  </si>
  <si>
    <t>LK4651</t>
  </si>
  <si>
    <t>LB2543</t>
  </si>
  <si>
    <t>LK0703</t>
  </si>
  <si>
    <t>LB2542</t>
  </si>
  <si>
    <t>LB2545</t>
  </si>
  <si>
    <t>LB2546</t>
  </si>
  <si>
    <t>LB2499</t>
  </si>
  <si>
    <t>LB2501</t>
  </si>
  <si>
    <t>LB2547</t>
  </si>
  <si>
    <t>LK0704</t>
  </si>
  <si>
    <t>LB2548</t>
  </si>
  <si>
    <t>LB2549</t>
  </si>
  <si>
    <t>MC0243</t>
  </si>
  <si>
    <t>MQ3035</t>
  </si>
  <si>
    <t>LK6899</t>
  </si>
  <si>
    <t>LK5557</t>
  </si>
  <si>
    <t>LK4469</t>
  </si>
  <si>
    <t>LK6900</t>
  </si>
  <si>
    <t>LB2553</t>
  </si>
  <si>
    <t>MC1125</t>
  </si>
  <si>
    <t>CE0851</t>
  </si>
  <si>
    <t>CE0614</t>
  </si>
  <si>
    <t>CE0615</t>
  </si>
  <si>
    <t>CE0770</t>
  </si>
  <si>
    <t>CE0616</t>
  </si>
  <si>
    <t>CE0617</t>
  </si>
  <si>
    <t>CE0618</t>
  </si>
  <si>
    <t>CE0619</t>
  </si>
  <si>
    <t>LK1221</t>
  </si>
  <si>
    <t>LQ6014</t>
  </si>
  <si>
    <t>CR2197</t>
  </si>
  <si>
    <t>CR3077</t>
  </si>
  <si>
    <t>CR3720</t>
  </si>
  <si>
    <t>CR3078</t>
  </si>
  <si>
    <t>LQ3913</t>
  </si>
  <si>
    <t>LQ6160</t>
  </si>
  <si>
    <t>MC0263</t>
  </si>
  <si>
    <t>MC0262</t>
  </si>
  <si>
    <t>MC2802</t>
  </si>
  <si>
    <t>MC0261</t>
  </si>
  <si>
    <t>MC0264</t>
  </si>
  <si>
    <t>LK1222</t>
  </si>
  <si>
    <t>LK0595</t>
  </si>
  <si>
    <t>LQ3726</t>
  </si>
  <si>
    <t>LF1815</t>
  </si>
  <si>
    <t>LF1800</t>
  </si>
  <si>
    <t>CN5158</t>
  </si>
  <si>
    <t>CN5156</t>
  </si>
  <si>
    <t>CR4272</t>
  </si>
  <si>
    <t>CN5157</t>
  </si>
  <si>
    <t>CR4273</t>
  </si>
  <si>
    <t>MC0266</t>
  </si>
  <si>
    <t>MQ0550</t>
  </si>
  <si>
    <t>MC2400</t>
  </si>
  <si>
    <t>MC2401</t>
  </si>
  <si>
    <t>MC3389</t>
  </si>
  <si>
    <t>MC2402</t>
  </si>
  <si>
    <t>MC2403</t>
  </si>
  <si>
    <t>MC3019</t>
  </si>
  <si>
    <t>MC3649</t>
  </si>
  <si>
    <t>LH8915</t>
  </si>
  <si>
    <t>MC4164</t>
  </si>
  <si>
    <t>MC3650</t>
  </si>
  <si>
    <t>MC3651</t>
  </si>
  <si>
    <t>MC3652</t>
  </si>
  <si>
    <t>MC3653</t>
  </si>
  <si>
    <t>MQ0186</t>
  </si>
  <si>
    <t>MC0267</t>
  </si>
  <si>
    <t>LH3525</t>
  </si>
  <si>
    <t>MC0269</t>
  </si>
  <si>
    <t>MQ3132</t>
  </si>
  <si>
    <t>MQ3133</t>
  </si>
  <si>
    <t>MQ3134</t>
  </si>
  <si>
    <t>LB0390</t>
  </si>
  <si>
    <t>LH3527</t>
  </si>
  <si>
    <t>MC0268</t>
  </si>
  <si>
    <t>MC4336</t>
  </si>
  <si>
    <t>MC0272</t>
  </si>
  <si>
    <t>MC3719</t>
  </si>
  <si>
    <t>LC6002</t>
  </si>
  <si>
    <t>MC4473</t>
  </si>
  <si>
    <t>LC6003</t>
  </si>
  <si>
    <t>LC6001</t>
  </si>
  <si>
    <t>MC0954</t>
  </si>
  <si>
    <t>LC6000</t>
  </si>
  <si>
    <t>KP6000</t>
  </si>
  <si>
    <t>MC0788</t>
  </si>
  <si>
    <t>CR5427</t>
  </si>
  <si>
    <t>CR5428</t>
  </si>
  <si>
    <t>CR5425</t>
  </si>
  <si>
    <t>CR5426</t>
  </si>
  <si>
    <t>CR5429</t>
  </si>
  <si>
    <t>LG2000</t>
  </si>
  <si>
    <t>CE1631</t>
  </si>
  <si>
    <t>CE0423</t>
  </si>
  <si>
    <t>CE0422</t>
  </si>
  <si>
    <t>CE1634</t>
  </si>
  <si>
    <t>CE1323</t>
  </si>
  <si>
    <t>CE1324</t>
  </si>
  <si>
    <t>CE0424</t>
  </si>
  <si>
    <t>CE1423</t>
  </si>
  <si>
    <t>CE1633</t>
  </si>
  <si>
    <t>CE1632</t>
  </si>
  <si>
    <t>CE1658</t>
  </si>
  <si>
    <t>LF1835</t>
  </si>
  <si>
    <t>CE0426</t>
  </si>
  <si>
    <t>LH8911</t>
  </si>
  <si>
    <t>MC0851</t>
  </si>
  <si>
    <t>LF2002</t>
  </si>
  <si>
    <t>MC2205</t>
  </si>
  <si>
    <t>LF2019</t>
  </si>
  <si>
    <t>LF2016</t>
  </si>
  <si>
    <t>MC2207</t>
  </si>
  <si>
    <t>LF2012</t>
  </si>
  <si>
    <t>LK5652</t>
  </si>
  <si>
    <t>LS0118</t>
  </si>
  <si>
    <t>LF2000</t>
  </si>
  <si>
    <t>LK4470</t>
  </si>
  <si>
    <t>CR2943</t>
  </si>
  <si>
    <t>LK4294</t>
  </si>
  <si>
    <t>CN2031</t>
  </si>
  <si>
    <t>CN2032</t>
  </si>
  <si>
    <t>CN2034</t>
  </si>
  <si>
    <t>CN2276</t>
  </si>
  <si>
    <t>CN2039</t>
  </si>
  <si>
    <t>CN2040</t>
  </si>
  <si>
    <t>CN2041</t>
  </si>
  <si>
    <t>LG8031</t>
  </si>
  <si>
    <t>CN2042</t>
  </si>
  <si>
    <t>LG8033</t>
  </si>
  <si>
    <t>CN2043</t>
  </si>
  <si>
    <t>CN2044</t>
  </si>
  <si>
    <t>CN2045</t>
  </si>
  <si>
    <t>CN2046</t>
  </si>
  <si>
    <t>LF8533</t>
  </si>
  <si>
    <t>CN2047</t>
  </si>
  <si>
    <t>CN2048</t>
  </si>
  <si>
    <t>CN2049</t>
  </si>
  <si>
    <t>CN2270</t>
  </si>
  <si>
    <t>CN2051</t>
  </si>
  <si>
    <t>CN2035</t>
  </si>
  <si>
    <t>CN2052</t>
  </si>
  <si>
    <t>CN2053</t>
  </si>
  <si>
    <t>CN2054</t>
  </si>
  <si>
    <t>CN2057</t>
  </si>
  <si>
    <t>CN2058</t>
  </si>
  <si>
    <t>CN2275</t>
  </si>
  <si>
    <t>LG8036</t>
  </si>
  <si>
    <t>CN2059</t>
  </si>
  <si>
    <t>CN2036</t>
  </si>
  <si>
    <t>CN2086</t>
  </si>
  <si>
    <t>CN2060</t>
  </si>
  <si>
    <t>CN2061</t>
  </si>
  <si>
    <t>CN2064</t>
  </si>
  <si>
    <t>CN2063</t>
  </si>
  <si>
    <t>LG1006</t>
  </si>
  <si>
    <t>LG8043</t>
  </si>
  <si>
    <t>CN2065</t>
  </si>
  <si>
    <t>CN2066</t>
  </si>
  <si>
    <t>CN2067</t>
  </si>
  <si>
    <t>CN2062</t>
  </si>
  <si>
    <t>CN2068</t>
  </si>
  <si>
    <t>CN2037</t>
  </si>
  <si>
    <t>CN2069</t>
  </si>
  <si>
    <t>CN2070</t>
  </si>
  <si>
    <t>CN2410</t>
  </si>
  <si>
    <t>CN2071</t>
  </si>
  <si>
    <t>CN2320</t>
  </si>
  <si>
    <t>CN2073</t>
  </si>
  <si>
    <t>CN2074</t>
  </si>
  <si>
    <t>CN2075</t>
  </si>
  <si>
    <t>CN2076</t>
  </si>
  <si>
    <t>CN2077</t>
  </si>
  <si>
    <t>CN2078</t>
  </si>
  <si>
    <t>CN2079</t>
  </si>
  <si>
    <t>LG8042</t>
  </si>
  <si>
    <t>CN2080</t>
  </si>
  <si>
    <t>CN2081</t>
  </si>
  <si>
    <t>CN2082</t>
  </si>
  <si>
    <t>CN2084</t>
  </si>
  <si>
    <t>CN2085</t>
  </si>
  <si>
    <t>CN2083</t>
  </si>
  <si>
    <t>CN2271</t>
  </si>
  <si>
    <t>CN2033</t>
  </si>
  <si>
    <t>CN2038</t>
  </si>
  <si>
    <t>CN2089</t>
  </si>
  <si>
    <t>CN2335</t>
  </si>
  <si>
    <t>CN2090</t>
  </si>
  <si>
    <t>CN2091</t>
  </si>
  <si>
    <t>CN2092</t>
  </si>
  <si>
    <t>CN2093</t>
  </si>
  <si>
    <t>CN2094</t>
  </si>
  <si>
    <t>CN2095</t>
  </si>
  <si>
    <t>CN2096</t>
  </si>
  <si>
    <t>CN2098</t>
  </si>
  <si>
    <t>CN2099</t>
  </si>
  <si>
    <t>CN2100</t>
  </si>
  <si>
    <t>CN2101</t>
  </si>
  <si>
    <t>CN2413</t>
  </si>
  <si>
    <t>CN2102</t>
  </si>
  <si>
    <t>CN2103</t>
  </si>
  <si>
    <t>LF0010</t>
  </si>
  <si>
    <t>CN2087</t>
  </si>
  <si>
    <t>CN2088</t>
  </si>
  <si>
    <t>LF8534</t>
  </si>
  <si>
    <t>CN2097</t>
  </si>
  <si>
    <t>MC4348</t>
  </si>
  <si>
    <t>MC4349</t>
  </si>
  <si>
    <t>MC4422</t>
  </si>
  <si>
    <t>MC3020</t>
  </si>
  <si>
    <t>MC0276</t>
  </si>
  <si>
    <t>MC3720</t>
  </si>
  <si>
    <t>MC4448</t>
  </si>
  <si>
    <t>MQ3135</t>
  </si>
  <si>
    <t>MQ3136</t>
  </si>
  <si>
    <t>MQ0827</t>
  </si>
  <si>
    <t>MQ0828</t>
  </si>
  <si>
    <t>MQ0829</t>
  </si>
  <si>
    <t>MQ0830</t>
  </si>
  <si>
    <t>MQ3137</t>
  </si>
  <si>
    <t>MQ3138</t>
  </si>
  <si>
    <t>MQ3139</t>
  </si>
  <si>
    <t>MQ3140</t>
  </si>
  <si>
    <t>MC4287</t>
  </si>
  <si>
    <t>MQ0831</t>
  </si>
  <si>
    <t>MQ0192</t>
  </si>
  <si>
    <t>MQ0193</t>
  </si>
  <si>
    <t>MQ0569</t>
  </si>
  <si>
    <t>MQ0570</t>
  </si>
  <si>
    <t>MQ0571</t>
  </si>
  <si>
    <t>LH3631</t>
  </si>
  <si>
    <t>MC0280</t>
  </si>
  <si>
    <t>MC3476</t>
  </si>
  <si>
    <t>MC4312</t>
  </si>
  <si>
    <t>MQ0706</t>
  </si>
  <si>
    <t>MC4520</t>
  </si>
  <si>
    <t>MC4435</t>
  </si>
  <si>
    <t>MC4436</t>
  </si>
  <si>
    <t>MC4437</t>
  </si>
  <si>
    <t>MC4521</t>
  </si>
  <si>
    <t>MC4438</t>
  </si>
  <si>
    <t>MC4439</t>
  </si>
  <si>
    <t>MC3477</t>
  </si>
  <si>
    <t>MC3408</t>
  </si>
  <si>
    <t>MC4330</t>
  </si>
  <si>
    <t>MC3134</t>
  </si>
  <si>
    <t>MC4098</t>
  </si>
  <si>
    <t>MC4167</t>
  </si>
  <si>
    <t>MC2805</t>
  </si>
  <si>
    <t>MC2806</t>
  </si>
  <si>
    <t>MC0279</t>
  </si>
  <si>
    <t>MC1454</t>
  </si>
  <si>
    <t>MQ3141</t>
  </si>
  <si>
    <t>MQ3142</t>
  </si>
  <si>
    <t>MQ3143</t>
  </si>
  <si>
    <t>MQ0642</t>
  </si>
  <si>
    <t>MQ3144</t>
  </si>
  <si>
    <t>MQ3211</t>
  </si>
  <si>
    <t>MQ3145</t>
  </si>
  <si>
    <t>MQ3146</t>
  </si>
  <si>
    <t>MQ6020</t>
  </si>
  <si>
    <t>MQ0778</t>
  </si>
  <si>
    <t>MQ0779</t>
  </si>
  <si>
    <t>MQ0780</t>
  </si>
  <si>
    <t>MQ0641</t>
  </si>
  <si>
    <t>MQ0643</t>
  </si>
  <si>
    <t>MQ3147</t>
  </si>
  <si>
    <t>MQ3212</t>
  </si>
  <si>
    <t>MQ0552</t>
  </si>
  <si>
    <t>MQ0551</t>
  </si>
  <si>
    <t>MQ0418</t>
  </si>
  <si>
    <t>LH3642</t>
  </si>
  <si>
    <t>MC0278</t>
  </si>
  <si>
    <t>MC2411</t>
  </si>
  <si>
    <t>MC0281</t>
  </si>
  <si>
    <t>LL8188</t>
  </si>
  <si>
    <t>LL1701</t>
  </si>
  <si>
    <t>LL1775</t>
  </si>
  <si>
    <t>KY1775</t>
  </si>
  <si>
    <t>LL1780</t>
  </si>
  <si>
    <t>LL1795</t>
  </si>
  <si>
    <t>KY1795</t>
  </si>
  <si>
    <t>LL1784</t>
  </si>
  <si>
    <t>LL1805</t>
  </si>
  <si>
    <t>LL1820</t>
  </si>
  <si>
    <t>LL4075</t>
  </si>
  <si>
    <t>LL8189</t>
  </si>
  <si>
    <t>LL1797</t>
  </si>
  <si>
    <t>LL1821</t>
  </si>
  <si>
    <t>LL8022</t>
  </si>
  <si>
    <t>LL8017</t>
  </si>
  <si>
    <t>LL1823</t>
  </si>
  <si>
    <t>LL5037</t>
  </si>
  <si>
    <t>LL1776</t>
  </si>
  <si>
    <t>LL4832</t>
  </si>
  <si>
    <t>LL1825</t>
  </si>
  <si>
    <t>LL1830</t>
  </si>
  <si>
    <t>LL8190</t>
  </si>
  <si>
    <t>LL1778</t>
  </si>
  <si>
    <t>LL8123</t>
  </si>
  <si>
    <t>LL5038</t>
  </si>
  <si>
    <t>LL5039</t>
  </si>
  <si>
    <t>LL1850</t>
  </si>
  <si>
    <t>LL8308</t>
  </si>
  <si>
    <t>LL8191</t>
  </si>
  <si>
    <t>LL5040</t>
  </si>
  <si>
    <t>LL1782</t>
  </si>
  <si>
    <t>LL1827</t>
  </si>
  <si>
    <t>LC6211</t>
  </si>
  <si>
    <t>MC3722</t>
  </si>
  <si>
    <t>CN2104</t>
  </si>
  <si>
    <t>LF8531</t>
  </si>
  <si>
    <t>MC0282</t>
  </si>
  <si>
    <t>MC0283</t>
  </si>
  <si>
    <t>LH3756</t>
  </si>
  <si>
    <t>MC3097</t>
  </si>
  <si>
    <t>MC3724</t>
  </si>
  <si>
    <t>MC3024</t>
  </si>
  <si>
    <t>MC3023</t>
  </si>
  <si>
    <t>CN2363</t>
  </si>
  <si>
    <t>CR5065</t>
  </si>
  <si>
    <t>LH3762</t>
  </si>
  <si>
    <t>MC4168</t>
  </si>
  <si>
    <t>LB1811</t>
  </si>
  <si>
    <t>CN2364</t>
  </si>
  <si>
    <t>MC2660</t>
  </si>
  <si>
    <t>MC2661</t>
  </si>
  <si>
    <t>MQ0619</t>
  </si>
  <si>
    <t>LQ6304</t>
  </si>
  <si>
    <t>MQ0620</t>
  </si>
  <si>
    <t>MQ0621</t>
  </si>
  <si>
    <t>MQ0622</t>
  </si>
  <si>
    <t>CN2365</t>
  </si>
  <si>
    <t>CN2366</t>
  </si>
  <si>
    <t>LK7000</t>
  </si>
  <si>
    <t>MQ0419</t>
  </si>
  <si>
    <t>CE0977</t>
  </si>
  <si>
    <t>MQ0707</t>
  </si>
  <si>
    <t>MQ6024</t>
  </si>
  <si>
    <t>CE0978</t>
  </si>
  <si>
    <t>MC3725</t>
  </si>
  <si>
    <t>LB7891</t>
  </si>
  <si>
    <t>LC9629</t>
  </si>
  <si>
    <t>LB2634</t>
  </si>
  <si>
    <t>MC4474</t>
  </si>
  <si>
    <t>CR4706</t>
  </si>
  <si>
    <t>CR4712</t>
  </si>
  <si>
    <t>CR4717</t>
  </si>
  <si>
    <t>CR4754</t>
  </si>
  <si>
    <t>LH3776</t>
  </si>
  <si>
    <t>CN5159</t>
  </si>
  <si>
    <t>MQ0205</t>
  </si>
  <si>
    <t>CR4275</t>
  </si>
  <si>
    <t>CN5160</t>
  </si>
  <si>
    <t>MC0856</t>
  </si>
  <si>
    <t>LK7049</t>
  </si>
  <si>
    <t>MQ0572</t>
  </si>
  <si>
    <t>MC1153</t>
  </si>
  <si>
    <t>MC3726</t>
  </si>
  <si>
    <t>CN2308</t>
  </si>
  <si>
    <t>MQ0206</t>
  </si>
  <si>
    <t>CN5165</t>
  </si>
  <si>
    <t>CR4280</t>
  </si>
  <si>
    <t>LH3855</t>
  </si>
  <si>
    <t>MC0287</t>
  </si>
  <si>
    <t>LQ5747</t>
  </si>
  <si>
    <t>MC1155</t>
  </si>
  <si>
    <t>CE1625</t>
  </si>
  <si>
    <t>CE0427</t>
  </si>
  <si>
    <t>LG1005</t>
  </si>
  <si>
    <t>CN5162</t>
  </si>
  <si>
    <t>LK5746</t>
  </si>
  <si>
    <t>LK5558</t>
  </si>
  <si>
    <t>LQ3141</t>
  </si>
  <si>
    <t>MQ6025</t>
  </si>
  <si>
    <t>LK5539</t>
  </si>
  <si>
    <t>CR4595</t>
  </si>
  <si>
    <t>CR4600</t>
  </si>
  <si>
    <t>CR4599</t>
  </si>
  <si>
    <t>CR4887</t>
  </si>
  <si>
    <t>CR4592</t>
  </si>
  <si>
    <t>CR4596</t>
  </si>
  <si>
    <t>CR4888</t>
  </si>
  <si>
    <t>CR4601</t>
  </si>
  <si>
    <t>CR4593</t>
  </si>
  <si>
    <t>CR4889</t>
  </si>
  <si>
    <t>CR4597</t>
  </si>
  <si>
    <t>CR4598</t>
  </si>
  <si>
    <t>CR4594</t>
  </si>
  <si>
    <t>CR4602</t>
  </si>
  <si>
    <t>CR4603</t>
  </si>
  <si>
    <t>CR4604</t>
  </si>
  <si>
    <t>CR4605</t>
  </si>
  <si>
    <t>CR4606</t>
  </si>
  <si>
    <t>CR4607</t>
  </si>
  <si>
    <t>LG2551</t>
  </si>
  <si>
    <t>LG2554</t>
  </si>
  <si>
    <t>MC2341</t>
  </si>
  <si>
    <t>MC1890</t>
  </si>
  <si>
    <t>LG2552</t>
  </si>
  <si>
    <t>MC2615</t>
  </si>
  <si>
    <t>CN5161</t>
  </si>
  <si>
    <t>CR3695</t>
  </si>
  <si>
    <t>MC4423</t>
  </si>
  <si>
    <t>CN5163</t>
  </si>
  <si>
    <t>LB2612</t>
  </si>
  <si>
    <t>CR2198</t>
  </si>
  <si>
    <t>CR2199</t>
  </si>
  <si>
    <t>CR2200</t>
  </si>
  <si>
    <t>CR2201</t>
  </si>
  <si>
    <t>CR2202</t>
  </si>
  <si>
    <t>LQ3915</t>
  </si>
  <si>
    <t>LQ0882</t>
  </si>
  <si>
    <t>LQ0571</t>
  </si>
  <si>
    <t>CN5164</t>
  </si>
  <si>
    <t>CR4278</t>
  </si>
  <si>
    <t>LG2553</t>
  </si>
  <si>
    <t>LK3251</t>
  </si>
  <si>
    <t>LH0044</t>
  </si>
  <si>
    <t>LK4259</t>
  </si>
  <si>
    <t>CR4825</t>
  </si>
  <si>
    <t>LB2646</t>
  </si>
  <si>
    <t>LK1223</t>
  </si>
  <si>
    <t>CR2203</t>
  </si>
  <si>
    <t>LK7012</t>
  </si>
  <si>
    <t>NM1174</t>
  </si>
  <si>
    <t>MQ6026</t>
  </si>
  <si>
    <t>LB2480</t>
  </si>
  <si>
    <t>LQ5946</t>
  </si>
  <si>
    <t>LC6309</t>
  </si>
  <si>
    <t>MC1448</t>
  </si>
  <si>
    <t>LC6307</t>
  </si>
  <si>
    <t>LC6306</t>
  </si>
  <si>
    <t>MC4475</t>
  </si>
  <si>
    <t>MC0011</t>
  </si>
  <si>
    <t>MC4126</t>
  </si>
  <si>
    <t>MC2809</t>
  </si>
  <si>
    <t>MC0123</t>
  </si>
  <si>
    <t>MC3221</t>
  </si>
  <si>
    <t>MC0124</t>
  </si>
  <si>
    <t>LF5075</t>
  </si>
  <si>
    <t>MC1162</t>
  </si>
  <si>
    <t>MC1157</t>
  </si>
  <si>
    <t>MC0275</t>
  </si>
  <si>
    <t>MC1160</t>
  </si>
  <si>
    <t>LF2550</t>
  </si>
  <si>
    <t>MC1161</t>
  </si>
  <si>
    <t>MC0530</t>
  </si>
  <si>
    <t>MB5075</t>
  </si>
  <si>
    <t>LK6998</t>
  </si>
  <si>
    <t>MB5073</t>
  </si>
  <si>
    <t>LF5073</t>
  </si>
  <si>
    <t>LF9101</t>
  </si>
  <si>
    <t>LG8029</t>
  </si>
  <si>
    <t>MC0557</t>
  </si>
  <si>
    <t>MC0558</t>
  </si>
  <si>
    <t>MC0635</t>
  </si>
  <si>
    <t>MC1164</t>
  </si>
  <si>
    <t>MC4203</t>
  </si>
  <si>
    <t>MC3136</t>
  </si>
  <si>
    <t>LH8950</t>
  </si>
  <si>
    <t>MC0289</t>
  </si>
  <si>
    <t>MC2667</t>
  </si>
  <si>
    <t>LH3901</t>
  </si>
  <si>
    <t>MC0290</t>
  </si>
  <si>
    <t>MC2438</t>
  </si>
  <si>
    <t>LF2600</t>
  </si>
  <si>
    <t>LF2603</t>
  </si>
  <si>
    <t>LF0028</t>
  </si>
  <si>
    <t>LF2617</t>
  </si>
  <si>
    <t>LF2609</t>
  </si>
  <si>
    <t>LF0029</t>
  </si>
  <si>
    <t>LF2628</t>
  </si>
  <si>
    <t>LF0030</t>
  </si>
  <si>
    <t>LF0031</t>
  </si>
  <si>
    <t>LG0995</t>
  </si>
  <si>
    <t>MB2580</t>
  </si>
  <si>
    <t>LL8111</t>
  </si>
  <si>
    <t>LL3840</t>
  </si>
  <si>
    <t>LG2591</t>
  </si>
  <si>
    <t>LL4856</t>
  </si>
  <si>
    <t>LL4857</t>
  </si>
  <si>
    <t>LH8021</t>
  </si>
  <si>
    <t>LL8297</t>
  </si>
  <si>
    <t>LH8020</t>
  </si>
  <si>
    <t>MC0705</t>
  </si>
  <si>
    <t>LL8112</t>
  </si>
  <si>
    <t>LL8113</t>
  </si>
  <si>
    <t>LL3841</t>
  </si>
  <si>
    <t>LL8114</t>
  </si>
  <si>
    <t>LH8023</t>
  </si>
  <si>
    <t>LL4844</t>
  </si>
  <si>
    <t>LL8115</t>
  </si>
  <si>
    <t>LL8116</t>
  </si>
  <si>
    <t>LL8242</t>
  </si>
  <si>
    <t>LH8035</t>
  </si>
  <si>
    <t>LH0026</t>
  </si>
  <si>
    <t>LL8117</t>
  </si>
  <si>
    <t>LH8022</t>
  </si>
  <si>
    <t>LL3842</t>
  </si>
  <si>
    <t>CR2637</t>
  </si>
  <si>
    <t>CR3715</t>
  </si>
  <si>
    <t>CR2207</t>
  </si>
  <si>
    <t>CR3682</t>
  </si>
  <si>
    <t>CR3307</t>
  </si>
  <si>
    <t>CR2209</t>
  </si>
  <si>
    <t>CR2204</t>
  </si>
  <si>
    <t>CR2208</t>
  </si>
  <si>
    <t>CR4767</t>
  </si>
  <si>
    <t>CR4826</t>
  </si>
  <si>
    <t>CR2638</t>
  </si>
  <si>
    <t>CR3683</t>
  </si>
  <si>
    <t>CR2205</t>
  </si>
  <si>
    <t>CR3684</t>
  </si>
  <si>
    <t>CR2206</t>
  </si>
  <si>
    <t>CR2822</t>
  </si>
  <si>
    <t>LK3757</t>
  </si>
  <si>
    <t>CR2944</t>
  </si>
  <si>
    <t>CR5337</t>
  </si>
  <si>
    <t>CR5344</t>
  </si>
  <si>
    <t>CR5363</t>
  </si>
  <si>
    <t>CR5364</t>
  </si>
  <si>
    <t>CR5365</t>
  </si>
  <si>
    <t>CR5327</t>
  </si>
  <si>
    <t>CR5328</t>
  </si>
  <si>
    <t>CR5329</t>
  </si>
  <si>
    <t>LK4571</t>
  </si>
  <si>
    <t>LK6744</t>
  </si>
  <si>
    <t>LK3213</t>
  </si>
  <si>
    <t>LB2701</t>
  </si>
  <si>
    <t>LQ0337</t>
  </si>
  <si>
    <t>LB2672</t>
  </si>
  <si>
    <t>CR3531</t>
  </si>
  <si>
    <t>CR2219</t>
  </si>
  <si>
    <t>CR2930</t>
  </si>
  <si>
    <t>LQ3222</t>
  </si>
  <si>
    <t>LQ3224</t>
  </si>
  <si>
    <t>LQ3225</t>
  </si>
  <si>
    <t>LB2651</t>
  </si>
  <si>
    <t>CR2210</t>
  </si>
  <si>
    <t>LK3741</t>
  </si>
  <si>
    <t>LK4977</t>
  </si>
  <si>
    <t>LB2653</t>
  </si>
  <si>
    <t>CR2211</t>
  </si>
  <si>
    <t>CR3182</t>
  </si>
  <si>
    <t>CR2212</t>
  </si>
  <si>
    <t>LK4978</t>
  </si>
  <si>
    <t>LK5678</t>
  </si>
  <si>
    <t>CR2955</t>
  </si>
  <si>
    <t>LK3759</t>
  </si>
  <si>
    <t>LB2605</t>
  </si>
  <si>
    <t>CR2956</t>
  </si>
  <si>
    <t>MB2610</t>
  </si>
  <si>
    <t>LB2697</t>
  </si>
  <si>
    <t>CR2213</t>
  </si>
  <si>
    <t>LK4980</t>
  </si>
  <si>
    <t>LB2700</t>
  </si>
  <si>
    <t>LK3256</t>
  </si>
  <si>
    <t>LK3760</t>
  </si>
  <si>
    <t>CR2214</t>
  </si>
  <si>
    <t>LB2654</t>
  </si>
  <si>
    <t>CR2951</t>
  </si>
  <si>
    <t>LB2655</t>
  </si>
  <si>
    <t>CR2952</t>
  </si>
  <si>
    <t>LK3742</t>
  </si>
  <si>
    <t>LB2696</t>
  </si>
  <si>
    <t>CR3532</t>
  </si>
  <si>
    <t>LK4985</t>
  </si>
  <si>
    <t>LK4598</t>
  </si>
  <si>
    <t>LK3753</t>
  </si>
  <si>
    <t>CR2215</t>
  </si>
  <si>
    <t>LK4599</t>
  </si>
  <si>
    <t>LK3761</t>
  </si>
  <si>
    <t>LK3762</t>
  </si>
  <si>
    <t>LB2692</t>
  </si>
  <si>
    <t>CR2953</t>
  </si>
  <si>
    <t>LK6007</t>
  </si>
  <si>
    <t>LK3754</t>
  </si>
  <si>
    <t>LK6008</t>
  </si>
  <si>
    <t>CR4827</t>
  </si>
  <si>
    <t>LB2657</t>
  </si>
  <si>
    <t>CR2220</t>
  </si>
  <si>
    <t>LQ3529</t>
  </si>
  <si>
    <t>LQ0076</t>
  </si>
  <si>
    <t>LQ0124</t>
  </si>
  <si>
    <t>LQ0040</t>
  </si>
  <si>
    <t>LQ0339</t>
  </si>
  <si>
    <t>LQ0380</t>
  </si>
  <si>
    <t>LQ0041</t>
  </si>
  <si>
    <t>LB2659</t>
  </si>
  <si>
    <t>CR2218</t>
  </si>
  <si>
    <t>LB2660</t>
  </si>
  <si>
    <t>LB2665</t>
  </si>
  <si>
    <t>LB2731</t>
  </si>
  <si>
    <t>CR3534</t>
  </si>
  <si>
    <t>LB2732</t>
  </si>
  <si>
    <t>CR2954</t>
  </si>
  <si>
    <t>LK6745</t>
  </si>
  <si>
    <t>LK6746</t>
  </si>
  <si>
    <t>LB2666</t>
  </si>
  <si>
    <t>MC3861</t>
  </si>
  <si>
    <t>MC3509</t>
  </si>
  <si>
    <t>MC3416</t>
  </si>
  <si>
    <t>MC2425</t>
  </si>
  <si>
    <t>MQ0573</t>
  </si>
  <si>
    <t>MQ0497</t>
  </si>
  <si>
    <t>LH4134</t>
  </si>
  <si>
    <t>CN5179</t>
  </si>
  <si>
    <t>CR4286</t>
  </si>
  <si>
    <t>CN5167</t>
  </si>
  <si>
    <t>CN5168</t>
  </si>
  <si>
    <t>CR4288</t>
  </si>
  <si>
    <t>CN5166</t>
  </si>
  <si>
    <t>CR4289</t>
  </si>
  <si>
    <t>MQ6027</t>
  </si>
  <si>
    <t>MQ5127</t>
  </si>
  <si>
    <t>LH4147</t>
  </si>
  <si>
    <t>MC3729</t>
  </si>
  <si>
    <t>LH4150</t>
  </si>
  <si>
    <t>MC0296</t>
  </si>
  <si>
    <t>MQ0781</t>
  </si>
  <si>
    <t>MQ0782</t>
  </si>
  <si>
    <t>MQ0783</t>
  </si>
  <si>
    <t>MQ0784</t>
  </si>
  <si>
    <t>MQ6028</t>
  </si>
  <si>
    <t>MQ6029</t>
  </si>
  <si>
    <t>MQ0574</t>
  </si>
  <si>
    <t>MQ0498</t>
  </si>
  <si>
    <t>MQ6030</t>
  </si>
  <si>
    <t>MQ0499</t>
  </si>
  <si>
    <t>MC3347</t>
  </si>
  <si>
    <t>MC3860</t>
  </si>
  <si>
    <t>MC4099</t>
  </si>
  <si>
    <t>MC3348</t>
  </si>
  <si>
    <t>CN5169</t>
  </si>
  <si>
    <t>MQ0575</t>
  </si>
  <si>
    <t>CR3934</t>
  </si>
  <si>
    <t>CN2367</t>
  </si>
  <si>
    <t>CN2309</t>
  </si>
  <si>
    <t>CN5170</t>
  </si>
  <si>
    <t>MQ0215</t>
  </si>
  <si>
    <t>CN2368</t>
  </si>
  <si>
    <t>CN5171</t>
  </si>
  <si>
    <t>MQ0216</t>
  </si>
  <si>
    <t>CN5172</t>
  </si>
  <si>
    <t>MQ0623</t>
  </si>
  <si>
    <t>CR3706</t>
  </si>
  <si>
    <t>MQ0624</t>
  </si>
  <si>
    <t>CN5173</t>
  </si>
  <si>
    <t>MQ0217</t>
  </si>
  <si>
    <t>CR3709</t>
  </si>
  <si>
    <t>MQ6031</t>
  </si>
  <si>
    <t>MQ6032</t>
  </si>
  <si>
    <t>MQ6033</t>
  </si>
  <si>
    <t>CE0413</t>
  </si>
  <si>
    <t>CE0415</t>
  </si>
  <si>
    <t>CE1061</t>
  </si>
  <si>
    <t>CE1428</t>
  </si>
  <si>
    <t>CN5174</t>
  </si>
  <si>
    <t>CN5175</t>
  </si>
  <si>
    <t>CR4283</t>
  </si>
  <si>
    <t>CN5176</t>
  </si>
  <si>
    <t>CR4281</t>
  </si>
  <si>
    <t>CN5177</t>
  </si>
  <si>
    <t>CR4284</t>
  </si>
  <si>
    <t>CN5178</t>
  </si>
  <si>
    <t>CE0947</t>
  </si>
  <si>
    <t>LH4080</t>
  </si>
  <si>
    <t>MC0297</t>
  </si>
  <si>
    <t>LC9600</t>
  </si>
  <si>
    <t>CN5180</t>
  </si>
  <si>
    <t>LC6626</t>
  </si>
  <si>
    <t>CN5440</t>
  </si>
  <si>
    <t>CN2105</t>
  </si>
  <si>
    <t>CN2106</t>
  </si>
  <si>
    <t>CN2107</t>
  </si>
  <si>
    <t>CN2108</t>
  </si>
  <si>
    <t>CN2109</t>
  </si>
  <si>
    <t>LG0999</t>
  </si>
  <si>
    <t>CN2110</t>
  </si>
  <si>
    <t>CN2111</t>
  </si>
  <si>
    <t>CN2112</t>
  </si>
  <si>
    <t>CN2113</t>
  </si>
  <si>
    <t>CN2114</t>
  </si>
  <si>
    <t>CN2115</t>
  </si>
  <si>
    <t>CN2116</t>
  </si>
  <si>
    <t>CN2117</t>
  </si>
  <si>
    <t>CN2118</t>
  </si>
  <si>
    <t>CN2119</t>
  </si>
  <si>
    <t>CN2120</t>
  </si>
  <si>
    <t>MQ0576</t>
  </si>
  <si>
    <t>MQ0087</t>
  </si>
  <si>
    <t>MC4338</t>
  </si>
  <si>
    <t>MQ0543</t>
  </si>
  <si>
    <t>MQ0577</t>
  </si>
  <si>
    <t>MQ0088</t>
  </si>
  <si>
    <t>CN5181</t>
  </si>
  <si>
    <t>MQ0089</t>
  </si>
  <si>
    <t>CN5182</t>
  </si>
  <si>
    <t>MQ0090</t>
  </si>
  <si>
    <t>MQ0708</t>
  </si>
  <si>
    <t>MC2426</t>
  </si>
  <si>
    <t>MQ0709</t>
  </si>
  <si>
    <t>LH8077</t>
  </si>
  <si>
    <t>MQ3149</t>
  </si>
  <si>
    <t>MQ9011</t>
  </si>
  <si>
    <t>MQ5158</t>
  </si>
  <si>
    <t>CN2369</t>
  </si>
  <si>
    <t>CN5183</t>
  </si>
  <si>
    <t>CN5184</t>
  </si>
  <si>
    <t>CR3798</t>
  </si>
  <si>
    <t>CN5185</t>
  </si>
  <si>
    <t>LH0012</t>
  </si>
  <si>
    <t>MQ3150</t>
  </si>
  <si>
    <t>MQ0022</t>
  </si>
  <si>
    <t>CN5186</t>
  </si>
  <si>
    <t>MQ0023</t>
  </si>
  <si>
    <t>MC3561</t>
  </si>
  <si>
    <t>CN5187</t>
  </si>
  <si>
    <t>MQ0710</t>
  </si>
  <si>
    <t>CN5188</t>
  </si>
  <si>
    <t>MC0860</t>
  </si>
  <si>
    <t>CR4310</t>
  </si>
  <si>
    <t>MC3878</t>
  </si>
  <si>
    <t>MQ5159</t>
  </si>
  <si>
    <t>MQ5160</t>
  </si>
  <si>
    <t>MQ0785</t>
  </si>
  <si>
    <t>CN5189</t>
  </si>
  <si>
    <t>MC0299</t>
  </si>
  <si>
    <t>MQ3151</t>
  </si>
  <si>
    <t>MQ0041</t>
  </si>
  <si>
    <t>LK6388</t>
  </si>
  <si>
    <t>LK7010</t>
  </si>
  <si>
    <t>LK5559</t>
  </si>
  <si>
    <t>LK4296</t>
  </si>
  <si>
    <t>LK6050</t>
  </si>
  <si>
    <t>LK4297</t>
  </si>
  <si>
    <t>LK5560</t>
  </si>
  <si>
    <t>LK4298</t>
  </si>
  <si>
    <t>LK4993</t>
  </si>
  <si>
    <t>LK4808</t>
  </si>
  <si>
    <t>LK4809</t>
  </si>
  <si>
    <t>LK4810</t>
  </si>
  <si>
    <t>LK4811</t>
  </si>
  <si>
    <t>LK5460</t>
  </si>
  <si>
    <t>LK5753</t>
  </si>
  <si>
    <t>LK5562</t>
  </si>
  <si>
    <t>LK4994</t>
  </si>
  <si>
    <t>LK4995</t>
  </si>
  <si>
    <t>LK5754</t>
  </si>
  <si>
    <t>LK4812</t>
  </si>
  <si>
    <t>LK4813</t>
  </si>
  <si>
    <t>LB3244</t>
  </si>
  <si>
    <t>LB2706</t>
  </si>
  <si>
    <t>LB2676</t>
  </si>
  <si>
    <t>LB2699</t>
  </si>
  <si>
    <t>LB0371</t>
  </si>
  <si>
    <t>LK7009</t>
  </si>
  <si>
    <t>LK0491</t>
  </si>
  <si>
    <t>MB2700</t>
  </si>
  <si>
    <t>LB2711</t>
  </si>
  <si>
    <t>MC4027</t>
  </si>
  <si>
    <t>LK3321</t>
  </si>
  <si>
    <t>LK5749</t>
  </si>
  <si>
    <t>LK0707</t>
  </si>
  <si>
    <t>LK5459</t>
  </si>
  <si>
    <t>LK5750</t>
  </si>
  <si>
    <t>LK4992</t>
  </si>
  <si>
    <t>LK5751</t>
  </si>
  <si>
    <t>LK4471</t>
  </si>
  <si>
    <t>LK5752</t>
  </si>
  <si>
    <t>LK1561</t>
  </si>
  <si>
    <t>LK0139</t>
  </si>
  <si>
    <t>LK0140</t>
  </si>
  <si>
    <t>LK3821</t>
  </si>
  <si>
    <t>LK7087</t>
  </si>
  <si>
    <t>LK0141</t>
  </si>
  <si>
    <t>LK3323</t>
  </si>
  <si>
    <t>LK0142</t>
  </si>
  <si>
    <t>LK7088</t>
  </si>
  <si>
    <t>LK0143</t>
  </si>
  <si>
    <t>LK1562</t>
  </si>
  <si>
    <t>LB2685</t>
  </si>
  <si>
    <t>LQ9007</t>
  </si>
  <si>
    <t>LQ9014</t>
  </si>
  <si>
    <t>LQ9011</t>
  </si>
  <si>
    <t>LQ3934</t>
  </si>
  <si>
    <t>LB3241</t>
  </si>
  <si>
    <t>LK0709</t>
  </si>
  <si>
    <t>LK6819</t>
  </si>
  <si>
    <t>LK6820</t>
  </si>
  <si>
    <t>LK6821</t>
  </si>
  <si>
    <t>LK6822</t>
  </si>
  <si>
    <t>LK6823</t>
  </si>
  <si>
    <t>LK6824</t>
  </si>
  <si>
    <t>BS4701</t>
  </si>
  <si>
    <t>MC4396</t>
  </si>
  <si>
    <t>BS4702</t>
  </si>
  <si>
    <t>BS4700</t>
  </si>
  <si>
    <t>MC4398</t>
  </si>
  <si>
    <t>MC2343</t>
  </si>
  <si>
    <t>CE0667</t>
  </si>
  <si>
    <t>CE0668</t>
  </si>
  <si>
    <t>CE0670</t>
  </si>
  <si>
    <t>CE0672</t>
  </si>
  <si>
    <t>CE0682</t>
  </si>
  <si>
    <t>CE0930</t>
  </si>
  <si>
    <t>CE0931</t>
  </si>
  <si>
    <t>CE0673</t>
  </si>
  <si>
    <t>CE0674</t>
  </si>
  <si>
    <t>CE0675</t>
  </si>
  <si>
    <t>CE0676</t>
  </si>
  <si>
    <t>CE1197</t>
  </si>
  <si>
    <t>CE0677</t>
  </si>
  <si>
    <t>CE0678</t>
  </si>
  <si>
    <t>CE1481</t>
  </si>
  <si>
    <t>CE0679</t>
  </si>
  <si>
    <t>CE1341</t>
  </si>
  <si>
    <t>CE0680</t>
  </si>
  <si>
    <t>CE0681</t>
  </si>
  <si>
    <t>LK5237</t>
  </si>
  <si>
    <t>LK6747</t>
  </si>
  <si>
    <t>LC3411</t>
  </si>
  <si>
    <t>LC6662</t>
  </si>
  <si>
    <t>LK7163</t>
  </si>
  <si>
    <t>CR4979</t>
  </si>
  <si>
    <t>CR3079</t>
  </si>
  <si>
    <t>CR3901</t>
  </si>
  <si>
    <t>CR2222</t>
  </si>
  <si>
    <t>CR2223</t>
  </si>
  <si>
    <t>CR2224</t>
  </si>
  <si>
    <t>CR5381</t>
  </si>
  <si>
    <t>CR4980</t>
  </si>
  <si>
    <t>CR4842</t>
  </si>
  <si>
    <t>CR5186</t>
  </si>
  <si>
    <t>CR4527</t>
  </si>
  <si>
    <t>CR5420</t>
  </si>
  <si>
    <t>MC0302</t>
  </si>
  <si>
    <t>CE0638</t>
  </si>
  <si>
    <t>CE0639</t>
  </si>
  <si>
    <t>CE0640</t>
  </si>
  <si>
    <t>CE0641</t>
  </si>
  <si>
    <t>CE0642</t>
  </si>
  <si>
    <t>LS0022</t>
  </si>
  <si>
    <t>LS0023</t>
  </si>
  <si>
    <t>CR2227</t>
  </si>
  <si>
    <t>CR2228</t>
  </si>
  <si>
    <t>CR2229</t>
  </si>
  <si>
    <t>CR2231</t>
  </si>
  <si>
    <t>CR2233</t>
  </si>
  <si>
    <t>MC2839</t>
  </si>
  <si>
    <t>LK1563</t>
  </si>
  <si>
    <t>LK1564</t>
  </si>
  <si>
    <t>LK4177</t>
  </si>
  <si>
    <t>LK4996</t>
  </si>
  <si>
    <t>LK1565</t>
  </si>
  <si>
    <t>LK1566</t>
  </si>
  <si>
    <t>CE1659</t>
  </si>
  <si>
    <t>CE1439</t>
  </si>
  <si>
    <t>CE1437</t>
  </si>
  <si>
    <t>CE1438</t>
  </si>
  <si>
    <t>CE0925</t>
  </si>
  <si>
    <t>CE0626</t>
  </si>
  <si>
    <t>CE0627</t>
  </si>
  <si>
    <t>CE0628</t>
  </si>
  <si>
    <t>CE0629</t>
  </si>
  <si>
    <t>CE1099</t>
  </si>
  <si>
    <t>CE0630</t>
  </si>
  <si>
    <t>CE0631</t>
  </si>
  <si>
    <t>CE0632</t>
  </si>
  <si>
    <t>CE1100</t>
  </si>
  <si>
    <t>CE1743</t>
  </si>
  <si>
    <t>CE0633</t>
  </si>
  <si>
    <t>CE1280</t>
  </si>
  <si>
    <t>CE0634</t>
  </si>
  <si>
    <t>CE1182</t>
  </si>
  <si>
    <t>CE1183</t>
  </si>
  <si>
    <t>CE1184</t>
  </si>
  <si>
    <t>CE1190</t>
  </si>
  <si>
    <t>CE1106</t>
  </si>
  <si>
    <t>CE1281</t>
  </si>
  <si>
    <t>CE0926</t>
  </si>
  <si>
    <t>CE1185</t>
  </si>
  <si>
    <t>CE1186</t>
  </si>
  <si>
    <t>CE1107</t>
  </si>
  <si>
    <t>CE0637</t>
  </si>
  <si>
    <t>CE1606</t>
  </si>
  <si>
    <t>CE1661</t>
  </si>
  <si>
    <t>CE1283</t>
  </si>
  <si>
    <t>CE1109</t>
  </si>
  <si>
    <t>CE1482</t>
  </si>
  <si>
    <t>CE0852</t>
  </si>
  <si>
    <t>CE1282</t>
  </si>
  <si>
    <t>CE1111</t>
  </si>
  <si>
    <t>CE1607</t>
  </si>
  <si>
    <t>CE1110</t>
  </si>
  <si>
    <t>CE0635</t>
  </si>
  <si>
    <t>CE1187</t>
  </si>
  <si>
    <t>CE0636</t>
  </si>
  <si>
    <t>CE0928</t>
  </si>
  <si>
    <t>CE1206</t>
  </si>
  <si>
    <t>CE1189</t>
  </si>
  <si>
    <t>CE1662</t>
  </si>
  <si>
    <t>CE0929</t>
  </si>
  <si>
    <t>CE1112</t>
  </si>
  <si>
    <t>CE1113</t>
  </si>
  <si>
    <t>CE1748</t>
  </si>
  <si>
    <t>LQ3882</t>
  </si>
  <si>
    <t>CR2960</t>
  </si>
  <si>
    <t>CR3380</t>
  </si>
  <si>
    <t>CR3378</t>
  </si>
  <si>
    <t>CR4026</t>
  </si>
  <si>
    <t>CR4028</t>
  </si>
  <si>
    <t>CR3299</t>
  </si>
  <si>
    <t>CR2237</t>
  </si>
  <si>
    <t>CR2235</t>
  </si>
  <si>
    <t>CR2236</t>
  </si>
  <si>
    <t>CE0643</t>
  </si>
  <si>
    <t>CE1328</t>
  </si>
  <si>
    <t>CE0644</t>
  </si>
  <si>
    <t>CE1329</t>
  </si>
  <si>
    <t>CE0645</t>
  </si>
  <si>
    <t>CE0646</t>
  </si>
  <si>
    <t>CE0647</t>
  </si>
  <si>
    <t>LQ3803</t>
  </si>
  <si>
    <t>LQ3592</t>
  </si>
  <si>
    <t>LQ3593</t>
  </si>
  <si>
    <t>LQ3804</t>
  </si>
  <si>
    <t>LQ3594</t>
  </si>
  <si>
    <t>MC4513</t>
  </si>
  <si>
    <t>CR4989</t>
  </si>
  <si>
    <t>LC6659</t>
  </si>
  <si>
    <t>CE0685</t>
  </si>
  <si>
    <t>CE0779</t>
  </si>
  <si>
    <t>LK3571</t>
  </si>
  <si>
    <t>CE0648</t>
  </si>
  <si>
    <t>CE0655</t>
  </si>
  <si>
    <t>LS0024</t>
  </si>
  <si>
    <t>LK4768</t>
  </si>
  <si>
    <t>CR2238</t>
  </si>
  <si>
    <t>CR2239</t>
  </si>
  <si>
    <t>CR2240</t>
  </si>
  <si>
    <t>CR2241</t>
  </si>
  <si>
    <t>LS0025</t>
  </si>
  <si>
    <t>LQ3750</t>
  </si>
  <si>
    <t>LQ3595</t>
  </si>
  <si>
    <t>LQ3596</t>
  </si>
  <si>
    <t>CR2242</t>
  </si>
  <si>
    <t>LQ3754</t>
  </si>
  <si>
    <t>LS0026</t>
  </si>
  <si>
    <t>LQ3751</t>
  </si>
  <si>
    <t>CR2826</t>
  </si>
  <si>
    <t>CR2827</t>
  </si>
  <si>
    <t>CR2828</t>
  </si>
  <si>
    <t>CR2830</t>
  </si>
  <si>
    <t>CR2831</t>
  </si>
  <si>
    <t>CR2833</t>
  </si>
  <si>
    <t>CR2836</t>
  </si>
  <si>
    <t>CR2834</t>
  </si>
  <si>
    <t>CR2835</t>
  </si>
  <si>
    <t>CR2838</t>
  </si>
  <si>
    <t>CR2839</t>
  </si>
  <si>
    <t>CR2840</t>
  </si>
  <si>
    <t>CR2841</t>
  </si>
  <si>
    <t>CR2842</t>
  </si>
  <si>
    <t>CE1612</t>
  </si>
  <si>
    <t>LQ3752</t>
  </si>
  <si>
    <t>LC9615</t>
  </si>
  <si>
    <t>MB2800</t>
  </si>
  <si>
    <t>MC2204</t>
  </si>
  <si>
    <t>LS0021</t>
  </si>
  <si>
    <t>CR2843</t>
  </si>
  <si>
    <t>CR2254</t>
  </si>
  <si>
    <t>CR2844</t>
  </si>
  <si>
    <t>CR2255</t>
  </si>
  <si>
    <t>CR2845</t>
  </si>
  <si>
    <t>CR2256</t>
  </si>
  <si>
    <t>CR5421</t>
  </si>
  <si>
    <t>CR5422</t>
  </si>
  <si>
    <t>CR2243</t>
  </si>
  <si>
    <t>CR2244</t>
  </si>
  <si>
    <t>CR4981</t>
  </si>
  <si>
    <t>CR2246</t>
  </si>
  <si>
    <t>CR3084</t>
  </si>
  <si>
    <t>CR2247</t>
  </si>
  <si>
    <t>CR4982</t>
  </si>
  <si>
    <t>CR4983</t>
  </si>
  <si>
    <t>CR2249</t>
  </si>
  <si>
    <t>CR2250</t>
  </si>
  <si>
    <t>CR4984</t>
  </si>
  <si>
    <t>CR3957</t>
  </si>
  <si>
    <t>CR3902</t>
  </si>
  <si>
    <t>CR2252</t>
  </si>
  <si>
    <t>MC1175</t>
  </si>
  <si>
    <t>LQ3749</t>
  </si>
  <si>
    <t>MB2820</t>
  </si>
  <si>
    <t>LB4250</t>
  </si>
  <si>
    <t>LB4223</t>
  </si>
  <si>
    <t>CE1611</t>
  </si>
  <si>
    <t>CE1331</t>
  </si>
  <si>
    <t>CE1332</t>
  </si>
  <si>
    <t>CE1333</t>
  </si>
  <si>
    <t>CE1491</t>
  </si>
  <si>
    <t>CE1334</t>
  </si>
  <si>
    <t>CE1335</t>
  </si>
  <si>
    <t>CE1336</t>
  </si>
  <si>
    <t>CE1337</t>
  </si>
  <si>
    <t>CE1338</t>
  </si>
  <si>
    <t>CE1339</t>
  </si>
  <si>
    <t>CE1340</t>
  </si>
  <si>
    <t>LK6389</t>
  </si>
  <si>
    <t>LB4226</t>
  </si>
  <si>
    <t>LK5757</t>
  </si>
  <si>
    <t>LK2828</t>
  </si>
  <si>
    <t>MC0301</t>
  </si>
  <si>
    <t>MC1897</t>
  </si>
  <si>
    <t>MC3099</t>
  </si>
  <si>
    <t>LS0028</t>
  </si>
  <si>
    <t>LQ3600</t>
  </si>
  <si>
    <t>LS0029</t>
  </si>
  <si>
    <t>LS0030</t>
  </si>
  <si>
    <t>CR2266</t>
  </si>
  <si>
    <t>CR2267</t>
  </si>
  <si>
    <t>CR2270</t>
  </si>
  <si>
    <t>CR2271</t>
  </si>
  <si>
    <t>CR2272</t>
  </si>
  <si>
    <t>CR2273</t>
  </si>
  <si>
    <t>CR2274</t>
  </si>
  <si>
    <t>CR2275</t>
  </si>
  <si>
    <t>CR4985</t>
  </si>
  <si>
    <t>CR2269</t>
  </si>
  <si>
    <t>CR4986</t>
  </si>
  <si>
    <t>CR2277</t>
  </si>
  <si>
    <t>LS0031</t>
  </si>
  <si>
    <t>CE1663</t>
  </si>
  <si>
    <t>CE1664</t>
  </si>
  <si>
    <t>CE1665</t>
  </si>
  <si>
    <t>LB2882</t>
  </si>
  <si>
    <t>LK1835</t>
  </si>
  <si>
    <t>LB0461</t>
  </si>
  <si>
    <t>LB2817</t>
  </si>
  <si>
    <t>LK2103</t>
  </si>
  <si>
    <t>LB2880</t>
  </si>
  <si>
    <t>LK0155</t>
  </si>
  <si>
    <t>LB2881</t>
  </si>
  <si>
    <t>LK4997</t>
  </si>
  <si>
    <t>LB2884</t>
  </si>
  <si>
    <t>LB2889</t>
  </si>
  <si>
    <t>LK5462</t>
  </si>
  <si>
    <t>LB2874</t>
  </si>
  <si>
    <t>LB2818</t>
  </si>
  <si>
    <t>LK6332</t>
  </si>
  <si>
    <t>LB2891</t>
  </si>
  <si>
    <t>MC1174</t>
  </si>
  <si>
    <t>CR2263</t>
  </si>
  <si>
    <t>CR2264</t>
  </si>
  <si>
    <t>CR2265</t>
  </si>
  <si>
    <t>CE1483</t>
  </si>
  <si>
    <t>CE1608</t>
  </si>
  <si>
    <t>CE1284</t>
  </si>
  <si>
    <t>CE1609</t>
  </si>
  <si>
    <t>CE1666</t>
  </si>
  <si>
    <t>CE1484</t>
  </si>
  <si>
    <t>CE1485</t>
  </si>
  <si>
    <t>CE1343</t>
  </si>
  <si>
    <t>CE1486</t>
  </si>
  <si>
    <t>CE1191</t>
  </si>
  <si>
    <t>CE1194</t>
  </si>
  <si>
    <t>CE1285</t>
  </si>
  <si>
    <t>CE1487</t>
  </si>
  <si>
    <t>CE1193</t>
  </si>
  <si>
    <t>CE1610</t>
  </si>
  <si>
    <t>CE1195</t>
  </si>
  <si>
    <t>CE1488</t>
  </si>
  <si>
    <t>CE1196</t>
  </si>
  <si>
    <t>LK4774</t>
  </si>
  <si>
    <t>LK5755</t>
  </si>
  <si>
    <t>LK7011</t>
  </si>
  <si>
    <t>LB2823</t>
  </si>
  <si>
    <t>LB2824</t>
  </si>
  <si>
    <t>LB2825</t>
  </si>
  <si>
    <t>LK4998</t>
  </si>
  <si>
    <t>LB2828</t>
  </si>
  <si>
    <t>LK5246</t>
  </si>
  <si>
    <t>LQ3883</t>
  </si>
  <si>
    <t>CR2221</t>
  </si>
  <si>
    <t>CR3536</t>
  </si>
  <si>
    <t>CR2278</t>
  </si>
  <si>
    <t>CR2279</t>
  </si>
  <si>
    <t>CR2280</t>
  </si>
  <si>
    <t>CR2281</t>
  </si>
  <si>
    <t>CR2283</t>
  </si>
  <si>
    <t>CR2284</t>
  </si>
  <si>
    <t>CR2285</t>
  </si>
  <si>
    <t>CR2287</t>
  </si>
  <si>
    <t>CR4843</t>
  </si>
  <si>
    <t>CR2288</t>
  </si>
  <si>
    <t>CR2290</t>
  </si>
  <si>
    <t>CR2291</t>
  </si>
  <si>
    <t>CR2293</t>
  </si>
  <si>
    <t>CR2294</t>
  </si>
  <si>
    <t>CR2295</t>
  </si>
  <si>
    <t>LK6832</t>
  </si>
  <si>
    <t>LK5248</t>
  </si>
  <si>
    <t>LB4225</t>
  </si>
  <si>
    <t>LS0033</t>
  </si>
  <si>
    <t>CR2296</t>
  </si>
  <si>
    <t>CR2298</t>
  </si>
  <si>
    <t>LB2922</t>
  </si>
  <si>
    <t>LK4816</t>
  </si>
  <si>
    <t>LK4817</t>
  </si>
  <si>
    <t>LK4818</t>
  </si>
  <si>
    <t>LK7164</t>
  </si>
  <si>
    <t>LK6237</t>
  </si>
  <si>
    <t>LK4819</t>
  </si>
  <si>
    <t>LK5563</t>
  </si>
  <si>
    <t>LK5564</t>
  </si>
  <si>
    <t>LK6051</t>
  </si>
  <si>
    <t>LK5463</t>
  </si>
  <si>
    <t>LK5464</t>
  </si>
  <si>
    <t>LK4821</t>
  </si>
  <si>
    <t>LK4822</t>
  </si>
  <si>
    <t>LK4823</t>
  </si>
  <si>
    <t>LK4824</t>
  </si>
  <si>
    <t>LB2926</t>
  </si>
  <si>
    <t>LK5425</t>
  </si>
  <si>
    <t>LB2915</t>
  </si>
  <si>
    <t>CE1210</t>
  </si>
  <si>
    <t>LS0034</t>
  </si>
  <si>
    <t>LC9609</t>
  </si>
  <si>
    <t>LS0035</t>
  </si>
  <si>
    <t>LB2979</t>
  </si>
  <si>
    <t>LK0716</t>
  </si>
  <si>
    <t>LB2964</t>
  </si>
  <si>
    <t>LB2965</t>
  </si>
  <si>
    <t>LB2876</t>
  </si>
  <si>
    <t>LB2717</t>
  </si>
  <si>
    <t>LB2877</t>
  </si>
  <si>
    <t>LB2980</t>
  </si>
  <si>
    <t>LB2967</t>
  </si>
  <si>
    <t>LB2981</t>
  </si>
  <si>
    <t>LB2968</t>
  </si>
  <si>
    <t>LB2975</t>
  </si>
  <si>
    <t>CE0699</t>
  </si>
  <si>
    <t>CE0700</t>
  </si>
  <si>
    <t>CE0698</t>
  </si>
  <si>
    <t>CE0701</t>
  </si>
  <si>
    <t>CE0702</t>
  </si>
  <si>
    <t>CE0703</t>
  </si>
  <si>
    <t>CE0704</t>
  </si>
  <si>
    <t>CE0705</t>
  </si>
  <si>
    <t>CE0707</t>
  </si>
  <si>
    <t>CE0708</t>
  </si>
  <si>
    <t>CE0709</t>
  </si>
  <si>
    <t>CE1490</t>
  </si>
  <si>
    <t>LS0036</t>
  </si>
  <si>
    <t>LS0037</t>
  </si>
  <si>
    <t>MC0305</t>
  </si>
  <si>
    <t>CR5187</t>
  </si>
  <si>
    <t>CR5188</t>
  </si>
  <si>
    <t>CR5071</t>
  </si>
  <si>
    <t>CR5189</t>
  </si>
  <si>
    <t>CR5072</t>
  </si>
  <si>
    <t>CR5190</t>
  </si>
  <si>
    <t>CR5191</t>
  </si>
  <si>
    <t>CR2304</t>
  </si>
  <si>
    <t>CR2305</t>
  </si>
  <si>
    <t>CR2306</t>
  </si>
  <si>
    <t>CR2641</t>
  </si>
  <si>
    <t>CR2642</t>
  </si>
  <si>
    <t>CR2307</t>
  </si>
  <si>
    <t>CR5192</t>
  </si>
  <si>
    <t>CR2308</t>
  </si>
  <si>
    <t>CR4097</t>
  </si>
  <si>
    <t>CR2309</t>
  </si>
  <si>
    <t>CR2310</t>
  </si>
  <si>
    <t>CR2311</t>
  </si>
  <si>
    <t>CR2961</t>
  </si>
  <si>
    <t>CR2312</t>
  </si>
  <si>
    <t>CR2313</t>
  </si>
  <si>
    <t>CR3467</t>
  </si>
  <si>
    <t>CR2315</t>
  </si>
  <si>
    <t>CR2314</t>
  </si>
  <si>
    <t>CR2316</t>
  </si>
  <si>
    <t>CR5409</t>
  </si>
  <si>
    <t>CR3090</t>
  </si>
  <si>
    <t>CR2318</t>
  </si>
  <si>
    <t>CR2319</t>
  </si>
  <si>
    <t>CR2643</t>
  </si>
  <si>
    <t>CR2320</t>
  </si>
  <si>
    <t>CR2321</t>
  </si>
  <si>
    <t>CR2322</t>
  </si>
  <si>
    <t>CR2323</t>
  </si>
  <si>
    <t>CR2324</t>
  </si>
  <si>
    <t>CR3091</t>
  </si>
  <si>
    <t>LS0038</t>
  </si>
  <si>
    <t>LC6660</t>
  </si>
  <si>
    <t>LK5461</t>
  </si>
  <si>
    <t>CE1613</t>
  </si>
  <si>
    <t>CR2325</t>
  </si>
  <si>
    <t>CR2853</t>
  </si>
  <si>
    <t>CR2326</t>
  </si>
  <si>
    <t>CR2856</t>
  </si>
  <si>
    <t>CR2858</t>
  </si>
  <si>
    <t>CR2859</t>
  </si>
  <si>
    <t>CR2327</t>
  </si>
  <si>
    <t>CR2328</t>
  </si>
  <si>
    <t>CR2329</t>
  </si>
  <si>
    <t>CR2330</t>
  </si>
  <si>
    <t>CR2331</t>
  </si>
  <si>
    <t>CR2332</t>
  </si>
  <si>
    <t>CR2333</t>
  </si>
  <si>
    <t>CR2334</t>
  </si>
  <si>
    <t>CR2336</t>
  </si>
  <si>
    <t>CR4987</t>
  </si>
  <si>
    <t>CR5249</t>
  </si>
  <si>
    <t>CR2337</t>
  </si>
  <si>
    <t>CR2340</t>
  </si>
  <si>
    <t>CR4120</t>
  </si>
  <si>
    <t>CR2339</t>
  </si>
  <si>
    <t>CR2338</t>
  </si>
  <si>
    <t>CR2343</t>
  </si>
  <si>
    <t>CR2342</t>
  </si>
  <si>
    <t>CR2344</t>
  </si>
  <si>
    <t>CR4988</t>
  </si>
  <si>
    <t>CR2345</t>
  </si>
  <si>
    <t>LC9616</t>
  </si>
  <si>
    <t>CE1117</t>
  </si>
  <si>
    <t>CE0711</t>
  </si>
  <si>
    <t>CE0712</t>
  </si>
  <si>
    <t>CE0713</t>
  </si>
  <si>
    <t>CE1215</t>
  </si>
  <si>
    <t>CE0714</t>
  </si>
  <si>
    <t>CE0715</t>
  </si>
  <si>
    <t>CE0716</t>
  </si>
  <si>
    <t>CE0717</t>
  </si>
  <si>
    <t>CE0718</t>
  </si>
  <si>
    <t>CE1345</t>
  </si>
  <si>
    <t>CE1346</t>
  </si>
  <si>
    <t>CE0720</t>
  </si>
  <si>
    <t>CE0721</t>
  </si>
  <si>
    <t>CE1347</t>
  </si>
  <si>
    <t>CE0722</t>
  </si>
  <si>
    <t>CE0723</t>
  </si>
  <si>
    <t>CE0724</t>
  </si>
  <si>
    <t>CE0725</t>
  </si>
  <si>
    <t>CE1216</t>
  </si>
  <si>
    <t>LB2994</t>
  </si>
  <si>
    <t>LQ3755</t>
  </si>
  <si>
    <t>LK4776</t>
  </si>
  <si>
    <t>CR3535</t>
  </si>
  <si>
    <t>LB2942</t>
  </si>
  <si>
    <t>LB3036</t>
  </si>
  <si>
    <t>MC1429</t>
  </si>
  <si>
    <t>CR3087</t>
  </si>
  <si>
    <t>CR3089</t>
  </si>
  <si>
    <t>LS0039</t>
  </si>
  <si>
    <t>MC3887</t>
  </si>
  <si>
    <t>LS0040</t>
  </si>
  <si>
    <t>LB3039</t>
  </si>
  <si>
    <t>CE0778</t>
  </si>
  <si>
    <t>LQ3805</t>
  </si>
  <si>
    <t>MB0011</t>
  </si>
  <si>
    <t>LK5758</t>
  </si>
  <si>
    <t>LK5760</t>
  </si>
  <si>
    <t>LK5761</t>
  </si>
  <si>
    <t>LK5762</t>
  </si>
  <si>
    <t>LK6642</t>
  </si>
  <si>
    <t>LK5764</t>
  </si>
  <si>
    <t>LK4999</t>
  </si>
  <si>
    <t>LK5000</t>
  </si>
  <si>
    <t>LK5466</t>
  </si>
  <si>
    <t>LK6964</t>
  </si>
  <si>
    <t>LK6702</t>
  </si>
  <si>
    <t>LK6965</t>
  </si>
  <si>
    <t>LK6703</t>
  </si>
  <si>
    <t>LK6704</t>
  </si>
  <si>
    <t>LK6643</t>
  </si>
  <si>
    <t>LK6843</t>
  </si>
  <si>
    <t>LK6705</t>
  </si>
  <si>
    <t>LK7134</t>
  </si>
  <si>
    <t>LK6901</t>
  </si>
  <si>
    <t>LK6706</t>
  </si>
  <si>
    <t>LB3045</t>
  </si>
  <si>
    <t>LK5002</t>
  </si>
  <si>
    <t>LK5766</t>
  </si>
  <si>
    <t>LB3022</t>
  </si>
  <si>
    <t>LK3326</t>
  </si>
  <si>
    <t>LB2945</t>
  </si>
  <si>
    <t>LQ0932</t>
  </si>
  <si>
    <t>LQ0933</t>
  </si>
  <si>
    <t>LQ3285</t>
  </si>
  <si>
    <t>LQ0949</t>
  </si>
  <si>
    <t>LQ0950</t>
  </si>
  <si>
    <t>LQ0951</t>
  </si>
  <si>
    <t>LQ3271</t>
  </si>
  <si>
    <t>LQ3272</t>
  </si>
  <si>
    <t>LQ0952</t>
  </si>
  <si>
    <t>LQ0953</t>
  </si>
  <si>
    <t>LQ0954</t>
  </si>
  <si>
    <t>LQ3276</t>
  </si>
  <si>
    <t>LQ3884</t>
  </si>
  <si>
    <t>LQ3273</t>
  </si>
  <si>
    <t>LQ0955</t>
  </si>
  <si>
    <t>LQ3277</t>
  </si>
  <si>
    <t>LQ3885</t>
  </si>
  <si>
    <t>MC1431</t>
  </si>
  <si>
    <t>LS0041</t>
  </si>
  <si>
    <t>LK1247</t>
  </si>
  <si>
    <t>LK0726</t>
  </si>
  <si>
    <t>LK1575</t>
  </si>
  <si>
    <t>LK4475</t>
  </si>
  <si>
    <t>LB3009</t>
  </si>
  <si>
    <t>LK4181</t>
  </si>
  <si>
    <t>LK2834</t>
  </si>
  <si>
    <t>LK1094</t>
  </si>
  <si>
    <t>LK1576</t>
  </si>
  <si>
    <t>LK4826</t>
  </si>
  <si>
    <t>LK5468</t>
  </si>
  <si>
    <t>LK3328</t>
  </si>
  <si>
    <t>LK4827</t>
  </si>
  <si>
    <t>LK2108</t>
  </si>
  <si>
    <t>LK1577</t>
  </si>
  <si>
    <t>LK0728</t>
  </si>
  <si>
    <t>LK0178</t>
  </si>
  <si>
    <t>LK3595</t>
  </si>
  <si>
    <t>LK7165</t>
  </si>
  <si>
    <t>LK6056</t>
  </si>
  <si>
    <t>LK6057</t>
  </si>
  <si>
    <t>LK6058</t>
  </si>
  <si>
    <t>LK6238</t>
  </si>
  <si>
    <t>LK6059</t>
  </si>
  <si>
    <t>LK6061</t>
  </si>
  <si>
    <t>LK6062</t>
  </si>
  <si>
    <t>LK6645</t>
  </si>
  <si>
    <t>LK6240</t>
  </si>
  <si>
    <t>LK6067</t>
  </si>
  <si>
    <t>LK6646</t>
  </si>
  <si>
    <t>LK5778</t>
  </si>
  <si>
    <t>LK6068</t>
  </si>
  <si>
    <t>LK4655</t>
  </si>
  <si>
    <t>LK6069</t>
  </si>
  <si>
    <t>LK6070</t>
  </si>
  <si>
    <t>LB3024</t>
  </si>
  <si>
    <t>LQ0956</t>
  </si>
  <si>
    <t>LQ0957</t>
  </si>
  <si>
    <t>LQ3756</t>
  </si>
  <si>
    <t>LK6239</t>
  </si>
  <si>
    <t>LK6063</t>
  </si>
  <si>
    <t>LK6064</t>
  </si>
  <si>
    <t>LK6065</t>
  </si>
  <si>
    <t>LK5774</t>
  </si>
  <si>
    <t>LK5565</t>
  </si>
  <si>
    <t>LK5775</t>
  </si>
  <si>
    <t>LK6066</t>
  </si>
  <si>
    <t>LK6902</t>
  </si>
  <si>
    <t>LK6644</t>
  </si>
  <si>
    <t>LK5469</t>
  </si>
  <si>
    <t>LK2835</t>
  </si>
  <si>
    <t>LK7136</t>
  </si>
  <si>
    <t>LK3837</t>
  </si>
  <si>
    <t>LK0181</t>
  </si>
  <si>
    <t>LK7135</t>
  </si>
  <si>
    <t>LK5568</t>
  </si>
  <si>
    <t>LK0731</t>
  </si>
  <si>
    <t>LK0733</t>
  </si>
  <si>
    <t>LK5779</t>
  </si>
  <si>
    <t>LK6241</t>
  </si>
  <si>
    <t>LK1579</t>
  </si>
  <si>
    <t>LK6071</t>
  </si>
  <si>
    <t>LK4656</t>
  </si>
  <si>
    <t>LK5569</t>
  </si>
  <si>
    <t>LK0736</t>
  </si>
  <si>
    <t>LK4184</t>
  </si>
  <si>
    <t>LK2635</t>
  </si>
  <si>
    <t>LK2636</t>
  </si>
  <si>
    <t>LK2638</t>
  </si>
  <si>
    <t>LK2640</t>
  </si>
  <si>
    <t>LK2642</t>
  </si>
  <si>
    <t>LK6072</t>
  </si>
  <si>
    <t>LK2643</t>
  </si>
  <si>
    <t>LK2644</t>
  </si>
  <si>
    <t>LK2645</t>
  </si>
  <si>
    <t>LK2651</t>
  </si>
  <si>
    <t>LH8840</t>
  </si>
  <si>
    <t>MC4202</t>
  </si>
  <si>
    <t>MQ0222</t>
  </si>
  <si>
    <t>MC1899</t>
  </si>
  <si>
    <t>MC3732</t>
  </si>
  <si>
    <t>MC3350</t>
  </si>
  <si>
    <t>MC0307</t>
  </si>
  <si>
    <t>LH4228</t>
  </si>
  <si>
    <t>MC0308</t>
  </si>
  <si>
    <t>MQ5106</t>
  </si>
  <si>
    <t>MB2950</t>
  </si>
  <si>
    <t>LF2950</t>
  </si>
  <si>
    <t>CR2346</t>
  </si>
  <si>
    <t>LH4300</t>
  </si>
  <si>
    <t>MC2282</t>
  </si>
  <si>
    <t>CR3537</t>
  </si>
  <si>
    <t>LB9478</t>
  </si>
  <si>
    <t>LK5780</t>
  </si>
  <si>
    <t>LB3076</t>
  </si>
  <si>
    <t>LB3058</t>
  </si>
  <si>
    <t>LK5781</t>
  </si>
  <si>
    <t>LK4311</t>
  </si>
  <si>
    <t>LB3130</t>
  </si>
  <si>
    <t>LB3131</t>
  </si>
  <si>
    <t>LB3132</t>
  </si>
  <si>
    <t>LB3133</t>
  </si>
  <si>
    <t>LK0183</t>
  </si>
  <si>
    <t>LK4312</t>
  </si>
  <si>
    <t>LB3071</t>
  </si>
  <si>
    <t>LK6073</t>
  </si>
  <si>
    <t>LK6074</t>
  </si>
  <si>
    <t>LK6076</t>
  </si>
  <si>
    <t>LK6077</t>
  </si>
  <si>
    <t>LK6078</t>
  </si>
  <si>
    <t>LK6079</t>
  </si>
  <si>
    <t>LB3072</t>
  </si>
  <si>
    <t>LB3075</t>
  </si>
  <si>
    <t>LK5266</t>
  </si>
  <si>
    <t>LK5267</t>
  </si>
  <si>
    <t>LL3833</t>
  </si>
  <si>
    <t>LF0018</t>
  </si>
  <si>
    <t>LF0011</t>
  </si>
  <si>
    <t>LF0012</t>
  </si>
  <si>
    <t>CN2121</t>
  </si>
  <si>
    <t>CN2122</t>
  </si>
  <si>
    <t>LF3077</t>
  </si>
  <si>
    <t>MC0317</t>
  </si>
  <si>
    <t>LH0005</t>
  </si>
  <si>
    <t>LH8954</t>
  </si>
  <si>
    <t>MC1543</t>
  </si>
  <si>
    <t>MQ5109</t>
  </si>
  <si>
    <t>MC3419</t>
  </si>
  <si>
    <t>MC3353</t>
  </si>
  <si>
    <t>LB0891</t>
  </si>
  <si>
    <t>LK1185</t>
  </si>
  <si>
    <t>LK5430</t>
  </si>
  <si>
    <t>MC3563</t>
  </si>
  <si>
    <t>LH4340</t>
  </si>
  <si>
    <t>MC0318</t>
  </si>
  <si>
    <t>MC0316</t>
  </si>
  <si>
    <t>MC4522</t>
  </si>
  <si>
    <t>MC4204</t>
  </si>
  <si>
    <t>MC1180</t>
  </si>
  <si>
    <t/>
  </si>
  <si>
    <t>CN2124</t>
  </si>
  <si>
    <t>CN2125</t>
  </si>
  <si>
    <t>CN2126</t>
  </si>
  <si>
    <t>CN2127</t>
  </si>
  <si>
    <t>CN2132</t>
  </si>
  <si>
    <t>CN2134</t>
  </si>
  <si>
    <t>CN2128</t>
  </si>
  <si>
    <t>CN2133</t>
  </si>
  <si>
    <t>CN2129</t>
  </si>
  <si>
    <t>CN2130</t>
  </si>
  <si>
    <t>CN2131</t>
  </si>
  <si>
    <t>CN2135</t>
  </si>
  <si>
    <t>CN2138</t>
  </si>
  <si>
    <t>LG1001</t>
  </si>
  <si>
    <t>CN2139</t>
  </si>
  <si>
    <t>CN2140</t>
  </si>
  <si>
    <t>CN2141</t>
  </si>
  <si>
    <t>CN2325</t>
  </si>
  <si>
    <t>CN2145</t>
  </si>
  <si>
    <t>CN2146</t>
  </si>
  <si>
    <t>CN2136</t>
  </si>
  <si>
    <t>CN2147</t>
  </si>
  <si>
    <t>CN2319</t>
  </si>
  <si>
    <t>CN2137</t>
  </si>
  <si>
    <t>CN2148</t>
  </si>
  <si>
    <t>CN2149</t>
  </si>
  <si>
    <t>CN2150</t>
  </si>
  <si>
    <t>CN2142</t>
  </si>
  <si>
    <t>CN2151</t>
  </si>
  <si>
    <t>CN2143</t>
  </si>
  <si>
    <t>LF5919</t>
  </si>
  <si>
    <t>LK6226</t>
  </si>
  <si>
    <t>CN5199</t>
  </si>
  <si>
    <t>LF3134</t>
  </si>
  <si>
    <t>LF3120</t>
  </si>
  <si>
    <t>LF0001</t>
  </si>
  <si>
    <t>LK3183</t>
  </si>
  <si>
    <t>CN5192</t>
  </si>
  <si>
    <t>LF3137</t>
  </si>
  <si>
    <t>MC4205</t>
  </si>
  <si>
    <t>CR4315</t>
  </si>
  <si>
    <t>CN5193</t>
  </si>
  <si>
    <t>LF5920</t>
  </si>
  <si>
    <t>MC4206</t>
  </si>
  <si>
    <t>CN5194</t>
  </si>
  <si>
    <t>LK3187</t>
  </si>
  <si>
    <t>LK2548</t>
  </si>
  <si>
    <t>MC0321</t>
  </si>
  <si>
    <t>LF3129</t>
  </si>
  <si>
    <t>CR4313</t>
  </si>
  <si>
    <t>CN5190</t>
  </si>
  <si>
    <t>LH4880</t>
  </si>
  <si>
    <t>MC0319</t>
  </si>
  <si>
    <t>CR4322</t>
  </si>
  <si>
    <t>CN5191</t>
  </si>
  <si>
    <t>CR3232</t>
  </si>
  <si>
    <t>LF3125</t>
  </si>
  <si>
    <t>LS0042</t>
  </si>
  <si>
    <t>CN5195</t>
  </si>
  <si>
    <t>LK3197</t>
  </si>
  <si>
    <t>LH4991</t>
  </si>
  <si>
    <t>CR4321</t>
  </si>
  <si>
    <t>LK3200</t>
  </si>
  <si>
    <t>CN5197</t>
  </si>
  <si>
    <t>LF0003</t>
  </si>
  <si>
    <t>CN5198</t>
  </si>
  <si>
    <t>MC0320</t>
  </si>
  <si>
    <t>CR4314</t>
  </si>
  <si>
    <t>LF3121</t>
  </si>
  <si>
    <t>LK3263</t>
  </si>
  <si>
    <t>LF0004</t>
  </si>
  <si>
    <t>LK3207</t>
  </si>
  <si>
    <t>MC4207</t>
  </si>
  <si>
    <t>CE0785</t>
  </si>
  <si>
    <t>MC2662</t>
  </si>
  <si>
    <t>MQ6034</t>
  </si>
  <si>
    <t>MQ6035</t>
  </si>
  <si>
    <t>MQ6036</t>
  </si>
  <si>
    <t>MQ6037</t>
  </si>
  <si>
    <t>MQ6038</t>
  </si>
  <si>
    <t>MC1665</t>
  </si>
  <si>
    <t>MC3734</t>
  </si>
  <si>
    <t>CN2370</t>
  </si>
  <si>
    <t>MQ0421</t>
  </si>
  <si>
    <t>CN2371</t>
  </si>
  <si>
    <t>MQ0422</t>
  </si>
  <si>
    <t>CN2372</t>
  </si>
  <si>
    <t>MQ0423</t>
  </si>
  <si>
    <t>LK7179</t>
  </si>
  <si>
    <t>CE1148</t>
  </si>
  <si>
    <t>LB9025</t>
  </si>
  <si>
    <t>MC4210</t>
  </si>
  <si>
    <t>LK1772</t>
  </si>
  <si>
    <t>MC3869</t>
  </si>
  <si>
    <t>MQ9012</t>
  </si>
  <si>
    <t>MC3870</t>
  </si>
  <si>
    <t>LK6459</t>
  </si>
  <si>
    <t>LB3080</t>
  </si>
  <si>
    <t>LK6525</t>
  </si>
  <si>
    <t>MC4209</t>
  </si>
  <si>
    <t>MQ9013</t>
  </si>
  <si>
    <t>LK3513</t>
  </si>
  <si>
    <t>LK4711</t>
  </si>
  <si>
    <t>MQ9014</t>
  </si>
  <si>
    <t>LK1175</t>
  </si>
  <si>
    <t>LB8961</t>
  </si>
  <si>
    <t>MC2206</t>
  </si>
  <si>
    <t>LQ3777</t>
  </si>
  <si>
    <t>MC3871</t>
  </si>
  <si>
    <t>LB9030</t>
  </si>
  <si>
    <t>LK4370</t>
  </si>
  <si>
    <t>LB9022</t>
  </si>
  <si>
    <t>LK1405</t>
  </si>
  <si>
    <t>LB9042</t>
  </si>
  <si>
    <t>LK6978</t>
  </si>
  <si>
    <t>LB9038</t>
  </si>
  <si>
    <t>LQ6248</t>
  </si>
  <si>
    <t>LK6460</t>
  </si>
  <si>
    <t>MQ0748</t>
  </si>
  <si>
    <t>MC4269</t>
  </si>
  <si>
    <t>NM0076</t>
  </si>
  <si>
    <t>MC4359</t>
  </si>
  <si>
    <t>NM0083</t>
  </si>
  <si>
    <t>LL5053</t>
  </si>
  <si>
    <t>LQ6255</t>
  </si>
  <si>
    <t>LK3045</t>
  </si>
  <si>
    <t>LK5653</t>
  </si>
  <si>
    <t>LB3108</t>
  </si>
  <si>
    <t>LQ3930</t>
  </si>
  <si>
    <t>LC6070</t>
  </si>
  <si>
    <t>LC6071</t>
  </si>
  <si>
    <t>MC4471</t>
  </si>
  <si>
    <t>LK2550</t>
  </si>
  <si>
    <t>CE1417</t>
  </si>
  <si>
    <t>LB4296</t>
  </si>
  <si>
    <t>CR2860</t>
  </si>
  <si>
    <t>CE1508</t>
  </si>
  <si>
    <t>LK2156</t>
  </si>
  <si>
    <t>MC1603</t>
  </si>
  <si>
    <t>LS0073</t>
  </si>
  <si>
    <t>MC1604</t>
  </si>
  <si>
    <t>LK0778</t>
  </si>
  <si>
    <t>CE1510</t>
  </si>
  <si>
    <t>LK0779</t>
  </si>
  <si>
    <t>CR2863</t>
  </si>
  <si>
    <t>LK3707</t>
  </si>
  <si>
    <t>CE1418</t>
  </si>
  <si>
    <t>LK2555</t>
  </si>
  <si>
    <t>CR2348</t>
  </si>
  <si>
    <t>LK0597</t>
  </si>
  <si>
    <t>CR2349</t>
  </si>
  <si>
    <t>LQ0679</t>
  </si>
  <si>
    <t>CR3166</t>
  </si>
  <si>
    <t>MC4472</t>
  </si>
  <si>
    <t>LK0781</t>
  </si>
  <si>
    <t>MC2269</t>
  </si>
  <si>
    <t>CR2811</t>
  </si>
  <si>
    <t>LQ3538</t>
  </si>
  <si>
    <t>MC1912</t>
  </si>
  <si>
    <t>MC1187</t>
  </si>
  <si>
    <t>MC4288</t>
  </si>
  <si>
    <t>MC4289</t>
  </si>
  <si>
    <t>MQ3153</t>
  </si>
  <si>
    <t>MQ0711</t>
  </si>
  <si>
    <t>MC2444</t>
  </si>
  <si>
    <t>LH4420</t>
  </si>
  <si>
    <t>MC0326</t>
  </si>
  <si>
    <t>CN5200</t>
  </si>
  <si>
    <t>MQ0229</t>
  </si>
  <si>
    <t>CR4323</t>
  </si>
  <si>
    <t>LB3068</t>
  </si>
  <si>
    <t>CR2963</t>
  </si>
  <si>
    <t>LK0184</t>
  </si>
  <si>
    <t>MC1432</t>
  </si>
  <si>
    <t>CR4961</t>
  </si>
  <si>
    <t>LB3250</t>
  </si>
  <si>
    <t>LQ3461</t>
  </si>
  <si>
    <t>LQ0381</t>
  </si>
  <si>
    <t>CE0430</t>
  </si>
  <si>
    <t>MQ0236</t>
  </si>
  <si>
    <t>MQ0235</t>
  </si>
  <si>
    <t>MC1199</t>
  </si>
  <si>
    <t>MC2721</t>
  </si>
  <si>
    <t>LF3250</t>
  </si>
  <si>
    <t>MC3891</t>
  </si>
  <si>
    <t>MC0869</t>
  </si>
  <si>
    <t>MC0343</t>
  </si>
  <si>
    <t>MC1951</t>
  </si>
  <si>
    <t>MC1551</t>
  </si>
  <si>
    <t>MC1955</t>
  </si>
  <si>
    <t>MC1458</t>
  </si>
  <si>
    <t>MC3595</t>
  </si>
  <si>
    <t>MC0357</t>
  </si>
  <si>
    <t>LF3260</t>
  </si>
  <si>
    <t>LK5004</t>
  </si>
  <si>
    <t>LC5360</t>
  </si>
  <si>
    <t>LC0006</t>
  </si>
  <si>
    <t>LC5000</t>
  </si>
  <si>
    <t>LC8599</t>
  </si>
  <si>
    <t>LC0011</t>
  </si>
  <si>
    <t>LC9530</t>
  </si>
  <si>
    <t>MQ0712</t>
  </si>
  <si>
    <t>MQ0786</t>
  </si>
  <si>
    <t>MC4212</t>
  </si>
  <si>
    <t>LH4571</t>
  </si>
  <si>
    <t>MC0368</t>
  </si>
  <si>
    <t>MC4213</t>
  </si>
  <si>
    <t>MQ3154</t>
  </si>
  <si>
    <t>MQ0713</t>
  </si>
  <si>
    <t>MQ3155</t>
  </si>
  <si>
    <t>MQ0714</t>
  </si>
  <si>
    <t>MQ3156</t>
  </si>
  <si>
    <t>MQ3157</t>
  </si>
  <si>
    <t>MQ3158</t>
  </si>
  <si>
    <t>MQ3159</t>
  </si>
  <si>
    <t>MQ3160</t>
  </si>
  <si>
    <t>MQ3161</t>
  </si>
  <si>
    <t>MQ3162</t>
  </si>
  <si>
    <t>MQ3164</t>
  </si>
  <si>
    <t>LH4575</t>
  </si>
  <si>
    <t>MC3737</t>
  </si>
  <si>
    <t>MC3354</t>
  </si>
  <si>
    <t>MC0877</t>
  </si>
  <si>
    <t>MC0371</t>
  </si>
  <si>
    <t>MQ0281</t>
  </si>
  <si>
    <t>MC4414</t>
  </si>
  <si>
    <t>MQ0506</t>
  </si>
  <si>
    <t>MQ0292</t>
  </si>
  <si>
    <t>MQ5120</t>
  </si>
  <si>
    <t>MQ0283</t>
  </si>
  <si>
    <t>MC3356</t>
  </si>
  <si>
    <t>MC4290</t>
  </si>
  <si>
    <t>MQ0284</t>
  </si>
  <si>
    <t>MC3233</t>
  </si>
  <si>
    <t>MQ3053</t>
  </si>
  <si>
    <t>MQ3031</t>
  </si>
  <si>
    <t>LH4583</t>
  </si>
  <si>
    <t>MC0372</t>
  </si>
  <si>
    <t>MC2462</t>
  </si>
  <si>
    <t>MC1216</t>
  </si>
  <si>
    <t>MC4324</t>
  </si>
  <si>
    <t>MQ0507</t>
  </si>
  <si>
    <t>MC1973</t>
  </si>
  <si>
    <t>MC1624</t>
  </si>
  <si>
    <t>MC1218</t>
  </si>
  <si>
    <t>MQ3057</t>
  </si>
  <si>
    <t>MQ3058</t>
  </si>
  <si>
    <t>MQ5113</t>
  </si>
  <si>
    <t>MQ5114</t>
  </si>
  <si>
    <t>MQ3060</t>
  </si>
  <si>
    <t>LH4624</t>
  </si>
  <si>
    <t>MC0376</t>
  </si>
  <si>
    <t>LH4625</t>
  </si>
  <si>
    <t>LG2900</t>
  </si>
  <si>
    <t>MD1019</t>
  </si>
  <si>
    <t>MD1006</t>
  </si>
  <si>
    <t>MD1003</t>
  </si>
  <si>
    <t>MD1011</t>
  </si>
  <si>
    <t>MD1017</t>
  </si>
  <si>
    <t>MD1002</t>
  </si>
  <si>
    <t>MD1007</t>
  </si>
  <si>
    <t>MD1004</t>
  </si>
  <si>
    <t>MD1001</t>
  </si>
  <si>
    <t>MD1014</t>
  </si>
  <si>
    <t>MD1015</t>
  </si>
  <si>
    <t>MD0017</t>
  </si>
  <si>
    <t>MD1016</t>
  </si>
  <si>
    <t>MD1008</t>
  </si>
  <si>
    <t>MD1009</t>
  </si>
  <si>
    <t>MD1012</t>
  </si>
  <si>
    <t>MD1013</t>
  </si>
  <si>
    <t>MD1018</t>
  </si>
  <si>
    <t>MD1010</t>
  </si>
  <si>
    <t>MD1020</t>
  </si>
  <si>
    <t>MD1005</t>
  </si>
  <si>
    <t>MC4064</t>
  </si>
  <si>
    <t>MC4065</t>
  </si>
  <si>
    <t>MC4291</t>
  </si>
  <si>
    <t>MC3399</t>
  </si>
  <si>
    <t>MC2650</t>
  </si>
  <si>
    <t>LH4623</t>
  </si>
  <si>
    <t>MC1978</t>
  </si>
  <si>
    <t>MC3192</t>
  </si>
  <si>
    <t>MC2651</t>
  </si>
  <si>
    <t>MC3520</t>
  </si>
  <si>
    <t>MC0878</t>
  </si>
  <si>
    <t>LF1462</t>
  </si>
  <si>
    <t>LQ3902</t>
  </si>
  <si>
    <t>LC6960</t>
  </si>
  <si>
    <t>MC1979</t>
  </si>
  <si>
    <t>MC0414</t>
  </si>
  <si>
    <t>MC3996</t>
  </si>
  <si>
    <t>MC0393</t>
  </si>
  <si>
    <t>MC0416</t>
  </si>
  <si>
    <t>MC1980</t>
  </si>
  <si>
    <t>MC3858</t>
  </si>
  <si>
    <t>MC1223</t>
  </si>
  <si>
    <t>MC1224</t>
  </si>
  <si>
    <t>MC4215</t>
  </si>
  <si>
    <t>MC0394</t>
  </si>
  <si>
    <t>MC3978</t>
  </si>
  <si>
    <t>MQ0508</t>
  </si>
  <si>
    <t>MC3997</t>
  </si>
  <si>
    <t>MC1981</t>
  </si>
  <si>
    <t>MC4058</t>
  </si>
  <si>
    <t>MC3740</t>
  </si>
  <si>
    <t>MC3980</t>
  </si>
  <si>
    <t>MC3981</t>
  </si>
  <si>
    <t>MC0420</t>
  </si>
  <si>
    <t>MC2468</t>
  </si>
  <si>
    <t>MC3982</t>
  </si>
  <si>
    <t>MC3513</t>
  </si>
  <si>
    <t>MC2732</t>
  </si>
  <si>
    <t>MC0396</t>
  </si>
  <si>
    <t>MC0397</t>
  </si>
  <si>
    <t>MC4523</t>
  </si>
  <si>
    <t>MC0413</t>
  </si>
  <si>
    <t>MC0400</t>
  </si>
  <si>
    <t>MC0401</t>
  </si>
  <si>
    <t>MC0879</t>
  </si>
  <si>
    <t>MC3893</t>
  </si>
  <si>
    <t>MC4059</t>
  </si>
  <si>
    <t>MC0403</t>
  </si>
  <si>
    <t>MC0417</t>
  </si>
  <si>
    <t>MC1234</t>
  </si>
  <si>
    <t>MC0405</t>
  </si>
  <si>
    <t>MC2733</t>
  </si>
  <si>
    <t>MC1460</t>
  </si>
  <si>
    <t>MC4524</t>
  </si>
  <si>
    <t>MC3565</t>
  </si>
  <si>
    <t>LH4834</t>
  </si>
  <si>
    <t>MC0406</t>
  </si>
  <si>
    <t>MC0880</t>
  </si>
  <si>
    <t>MC3517</t>
  </si>
  <si>
    <t>MC3566</t>
  </si>
  <si>
    <t>MC2470</t>
  </si>
  <si>
    <t>MC3986</t>
  </si>
  <si>
    <t>MC0388</t>
  </si>
  <si>
    <t>MC0408</t>
  </si>
  <si>
    <t>MC0389</t>
  </si>
  <si>
    <t>MC3195</t>
  </si>
  <si>
    <t>MC0411</t>
  </si>
  <si>
    <t>MC4061</t>
  </si>
  <si>
    <t>MC0421</t>
  </si>
  <si>
    <t>MC0422</t>
  </si>
  <si>
    <t>MC0412</t>
  </si>
  <si>
    <t>CN5201</t>
  </si>
  <si>
    <t>MC0424</t>
  </si>
  <si>
    <t>CR4324</t>
  </si>
  <si>
    <t>LK0186</t>
  </si>
  <si>
    <t>LG3001</t>
  </si>
  <si>
    <t>LG3007</t>
  </si>
  <si>
    <t>LG3000</t>
  </si>
  <si>
    <t>LG3004</t>
  </si>
  <si>
    <t>LG3002</t>
  </si>
  <si>
    <t>LG1008</t>
  </si>
  <si>
    <t>LG1009</t>
  </si>
  <si>
    <t>LB0210</t>
  </si>
  <si>
    <t>LG3003</t>
  </si>
  <si>
    <t>LG3500</t>
  </si>
  <si>
    <t>MC3464</t>
  </si>
  <si>
    <t>CE1708</t>
  </si>
  <si>
    <t>CE1586</t>
  </si>
  <si>
    <t>CE1709</t>
  </si>
  <si>
    <t>CE1585</t>
  </si>
  <si>
    <t>CE1584</t>
  </si>
  <si>
    <t>CE1587</t>
  </si>
  <si>
    <t>MC0426</t>
  </si>
  <si>
    <t>LC6950</t>
  </si>
  <si>
    <t>LH0014</t>
  </si>
  <si>
    <t>LK4659</t>
  </si>
  <si>
    <t>LF4870</t>
  </si>
  <si>
    <t>LF3484</t>
  </si>
  <si>
    <t>LF3482</t>
  </si>
  <si>
    <t>LF3483</t>
  </si>
  <si>
    <t>LB3251</t>
  </si>
  <si>
    <t>LF3480</t>
  </si>
  <si>
    <t>LQ3916</t>
  </si>
  <si>
    <t>LK4764</t>
  </si>
  <si>
    <t>LB3252</t>
  </si>
  <si>
    <t>LB3253</t>
  </si>
  <si>
    <t>LB3254</t>
  </si>
  <si>
    <t>LB3249</t>
  </si>
  <si>
    <t>LC6970</t>
  </si>
  <si>
    <t>MC4477</t>
  </si>
  <si>
    <t>MC0427</t>
  </si>
  <si>
    <t>CR4327</t>
  </si>
  <si>
    <t>MQ6039</t>
  </si>
  <si>
    <t>MQ6040</t>
  </si>
  <si>
    <t>MQ6041</t>
  </si>
  <si>
    <t>CR4330</t>
  </si>
  <si>
    <t>MC2842</t>
  </si>
  <si>
    <t>MQ0715</t>
  </si>
  <si>
    <t>MQ9008</t>
  </si>
  <si>
    <t>CN5202</t>
  </si>
  <si>
    <t>MC1989</t>
  </si>
  <si>
    <t>MC4403</t>
  </si>
  <si>
    <t>CE0987</t>
  </si>
  <si>
    <t>MQ6042</t>
  </si>
  <si>
    <t>MC4017</t>
  </si>
  <si>
    <t>CN5203</t>
  </si>
  <si>
    <t>CR4328</t>
  </si>
  <si>
    <t>MC0430</t>
  </si>
  <si>
    <t>MQ0294</t>
  </si>
  <si>
    <t>MQ7156</t>
  </si>
  <si>
    <t>CE0988</t>
  </si>
  <si>
    <t>MQ7157</t>
  </si>
  <si>
    <t>CE0989</t>
  </si>
  <si>
    <t>CN5204</t>
  </si>
  <si>
    <t>CR4325</t>
  </si>
  <si>
    <t>MQ0413</t>
  </si>
  <si>
    <t>MC2736</t>
  </si>
  <si>
    <t>CN5205</t>
  </si>
  <si>
    <t>CR4326</t>
  </si>
  <si>
    <t>MC4442</t>
  </si>
  <si>
    <t>LH1605</t>
  </si>
  <si>
    <t>CN2373</t>
  </si>
  <si>
    <t>MC3922</t>
  </si>
  <si>
    <t>LB3280</t>
  </si>
  <si>
    <t>LB3331</t>
  </si>
  <si>
    <t>LB3286</t>
  </si>
  <si>
    <t>LB3281</t>
  </si>
  <si>
    <t>LB3272</t>
  </si>
  <si>
    <t>LB3287</t>
  </si>
  <si>
    <t>LB3289</t>
  </si>
  <si>
    <t>LB3290</t>
  </si>
  <si>
    <t>LB3288</t>
  </si>
  <si>
    <t>LB3291</t>
  </si>
  <si>
    <t>LK4832</t>
  </si>
  <si>
    <t>LK4833</t>
  </si>
  <si>
    <t>LK4834</t>
  </si>
  <si>
    <t>LK4836</t>
  </si>
  <si>
    <t>LK5005</t>
  </si>
  <si>
    <t>LK4835</t>
  </si>
  <si>
    <t>LK5006</t>
  </si>
  <si>
    <t>LK5007</t>
  </si>
  <si>
    <t>LK4837</t>
  </si>
  <si>
    <t>LK4838</t>
  </si>
  <si>
    <t>LK4839</t>
  </si>
  <si>
    <t>LK4840</t>
  </si>
  <si>
    <t>LK4841</t>
  </si>
  <si>
    <t>LK4842</t>
  </si>
  <si>
    <t>LK4843</t>
  </si>
  <si>
    <t>LB3292</t>
  </si>
  <si>
    <t>LB3277</t>
  </si>
  <si>
    <t>LB3293</t>
  </si>
  <si>
    <t>LB3279</t>
  </si>
  <si>
    <t>LB3294</t>
  </si>
  <si>
    <t>LB3274</t>
  </si>
  <si>
    <t>LB3298</t>
  </si>
  <si>
    <t>LB3278</t>
  </si>
  <si>
    <t>LB3296</t>
  </si>
  <si>
    <t>CR5260</t>
  </si>
  <si>
    <t>LK3597</t>
  </si>
  <si>
    <t>LK6579</t>
  </si>
  <si>
    <t>LK6580</t>
  </si>
  <si>
    <t>LK7050</t>
  </si>
  <si>
    <t>LK7137</t>
  </si>
  <si>
    <t>LK6966</t>
  </si>
  <si>
    <t>LK6581</t>
  </si>
  <si>
    <t>LK7138</t>
  </si>
  <si>
    <t>LK7051</t>
  </si>
  <si>
    <t>LK6582</t>
  </si>
  <si>
    <t>LK6583</t>
  </si>
  <si>
    <t>LK6844</t>
  </si>
  <si>
    <t>LK6584</t>
  </si>
  <si>
    <t>LK7052</t>
  </si>
  <si>
    <t>LK6585</t>
  </si>
  <si>
    <t>LK6586</t>
  </si>
  <si>
    <t>LK6587</t>
  </si>
  <si>
    <t>LS0045</t>
  </si>
  <si>
    <t>LS0047</t>
  </si>
  <si>
    <t>LS0048</t>
  </si>
  <si>
    <t>LS0050</t>
  </si>
  <si>
    <t>LS0051</t>
  </si>
  <si>
    <t>LK0754</t>
  </si>
  <si>
    <t>LB3457</t>
  </si>
  <si>
    <t>LB3446</t>
  </si>
  <si>
    <t>LB3445</t>
  </si>
  <si>
    <t>LB3265</t>
  </si>
  <si>
    <t>LB3438</t>
  </si>
  <si>
    <t>LB3475</t>
  </si>
  <si>
    <t>LB3477</t>
  </si>
  <si>
    <t>LB3447</t>
  </si>
  <si>
    <t>LK3842</t>
  </si>
  <si>
    <t>LB3448</t>
  </si>
  <si>
    <t>LK4845</t>
  </si>
  <si>
    <t>LB3449</t>
  </si>
  <si>
    <t>LB3458</t>
  </si>
  <si>
    <t>LB3450</t>
  </si>
  <si>
    <t>LB3451</t>
  </si>
  <si>
    <t>LB3263</t>
  </si>
  <si>
    <t>LK5008</t>
  </si>
  <si>
    <t>LK5009</t>
  </si>
  <si>
    <t>LK1836</t>
  </si>
  <si>
    <t>LB3474</t>
  </si>
  <si>
    <t>LB3452</t>
  </si>
  <si>
    <t>LB3453</t>
  </si>
  <si>
    <t>LK5471</t>
  </si>
  <si>
    <t>LK1958</t>
  </si>
  <si>
    <t>LK1959</t>
  </si>
  <si>
    <t>LK6080</t>
  </si>
  <si>
    <t>LK1960</t>
  </si>
  <si>
    <t>LK1961</t>
  </si>
  <si>
    <t>LK1962</t>
  </si>
  <si>
    <t>LK4435</t>
  </si>
  <si>
    <t>LK6081</t>
  </si>
  <si>
    <t>LK1963</t>
  </si>
  <si>
    <t>LK6244</t>
  </si>
  <si>
    <t>LK1964</t>
  </si>
  <si>
    <t>LK1965</t>
  </si>
  <si>
    <t>LK4318</t>
  </si>
  <si>
    <t>LK1966</t>
  </si>
  <si>
    <t>LK1967</t>
  </si>
  <si>
    <t>MB3291</t>
  </si>
  <si>
    <t>LS0052</t>
  </si>
  <si>
    <t>LB4170</t>
  </si>
  <si>
    <t>LB3267</t>
  </si>
  <si>
    <t>LB3275</t>
  </si>
  <si>
    <t>LB4171</t>
  </si>
  <si>
    <t>LB3338</t>
  </si>
  <si>
    <t>LB3282</t>
  </si>
  <si>
    <t>LB3283</t>
  </si>
  <si>
    <t>LB3339</t>
  </si>
  <si>
    <t>LB3340</t>
  </si>
  <si>
    <t>LK5475</t>
  </si>
  <si>
    <t>LK5476</t>
  </si>
  <si>
    <t>LK5477</t>
  </si>
  <si>
    <t>LK5545</t>
  </si>
  <si>
    <t>LK5478</t>
  </si>
  <si>
    <t>LK5479</t>
  </si>
  <si>
    <t>MB3290</t>
  </si>
  <si>
    <t>MC2303</t>
  </si>
  <si>
    <t>LS0043</t>
  </si>
  <si>
    <t>LQ5358</t>
  </si>
  <si>
    <t>LK6797</t>
  </si>
  <si>
    <t>LQ6140</t>
  </si>
  <si>
    <t>LQ6141</t>
  </si>
  <si>
    <t>LQ6082</t>
  </si>
  <si>
    <t>LQ5361</t>
  </si>
  <si>
    <t>LQ6256</t>
  </si>
  <si>
    <t>LQ6234</t>
  </si>
  <si>
    <t>LQ6191</t>
  </si>
  <si>
    <t>LQ6192</t>
  </si>
  <si>
    <t>LQ6235</t>
  </si>
  <si>
    <t>LQ6236</t>
  </si>
  <si>
    <t>LQ6193</t>
  </si>
  <si>
    <t>LQ6194</t>
  </si>
  <si>
    <t>LQ5028</t>
  </si>
  <si>
    <t>LQ5029</t>
  </si>
  <si>
    <t>LQ5362</t>
  </si>
  <si>
    <t>LQ5031</t>
  </si>
  <si>
    <t>LQ5032</t>
  </si>
  <si>
    <t>LQ5951</t>
  </si>
  <si>
    <t>LQ5364</t>
  </si>
  <si>
    <t>LQ5033</t>
  </si>
  <si>
    <t>LK6798</t>
  </si>
  <si>
    <t>LQ0445</t>
  </si>
  <si>
    <t>LQ5042</t>
  </si>
  <si>
    <t>LQ5953</t>
  </si>
  <si>
    <t>LQ5044</t>
  </si>
  <si>
    <t>LQ5045</t>
  </si>
  <si>
    <t>LQ5515</t>
  </si>
  <si>
    <t>LQ5516</t>
  </si>
  <si>
    <t>LQ6098</t>
  </si>
  <si>
    <t>LQ5050</t>
  </si>
  <si>
    <t>LQ5239</t>
  </si>
  <si>
    <t>LQ5718</t>
  </si>
  <si>
    <t>LQ6139</t>
  </si>
  <si>
    <t>LQ6017</t>
  </si>
  <si>
    <t>LQ6018</t>
  </si>
  <si>
    <t>LQ6020</t>
  </si>
  <si>
    <t>LQ5054</t>
  </si>
  <si>
    <t>LQ5517</t>
  </si>
  <si>
    <t>LQ5954</t>
  </si>
  <si>
    <t>LQ5489</t>
  </si>
  <si>
    <t>LQ5521</t>
  </si>
  <si>
    <t>LQ5962</t>
  </si>
  <si>
    <t>LK6799</t>
  </si>
  <si>
    <t>LQ5059</t>
  </si>
  <si>
    <t>LQ5060</t>
  </si>
  <si>
    <t>LK6903</t>
  </si>
  <si>
    <t>LK6548</t>
  </si>
  <si>
    <t>LK6549</t>
  </si>
  <si>
    <t>LK6550</t>
  </si>
  <si>
    <t>LK6904</t>
  </si>
  <si>
    <t>LK6800</t>
  </si>
  <si>
    <t>LK6801</t>
  </si>
  <si>
    <t>LK6552</t>
  </si>
  <si>
    <t>LK6802</t>
  </si>
  <si>
    <t>LK6553</t>
  </si>
  <si>
    <t>LK6905</t>
  </si>
  <si>
    <t>LK6554</t>
  </si>
  <si>
    <t>LK6906</t>
  </si>
  <si>
    <t>LK6555</t>
  </si>
  <si>
    <t>LK6556</t>
  </si>
  <si>
    <t>LK4670</t>
  </si>
  <si>
    <t>LK4671</t>
  </si>
  <si>
    <t>LK4476</t>
  </si>
  <si>
    <t>LK4846</t>
  </si>
  <si>
    <t>LK4940</t>
  </si>
  <si>
    <t>LK5011</t>
  </si>
  <si>
    <t>LK4673</t>
  </si>
  <si>
    <t>LK4479</t>
  </si>
  <si>
    <t>LK4674</t>
  </si>
  <si>
    <t>LK4675</t>
  </si>
  <si>
    <t>LK4676</t>
  </si>
  <si>
    <t>LK4482</t>
  </si>
  <si>
    <t>LK4677</t>
  </si>
  <si>
    <t>LB3630</t>
  </si>
  <si>
    <t>LB3635</t>
  </si>
  <si>
    <t>LB3637</t>
  </si>
  <si>
    <t>LB3640</t>
  </si>
  <si>
    <t>LB3642</t>
  </si>
  <si>
    <t>LB3646</t>
  </si>
  <si>
    <t>LB3650</t>
  </si>
  <si>
    <t>LS0053</t>
  </si>
  <si>
    <t>LS0054</t>
  </si>
  <si>
    <t>LS0055</t>
  </si>
  <si>
    <t>LK7089</t>
  </si>
  <si>
    <t>CR2402</t>
  </si>
  <si>
    <t>CR3093</t>
  </si>
  <si>
    <t>CR2403</t>
  </si>
  <si>
    <t>CR2404</t>
  </si>
  <si>
    <t>CR2711</t>
  </si>
  <si>
    <t>CR2406</t>
  </si>
  <si>
    <t>CR3703</t>
  </si>
  <si>
    <t>CR2407</t>
  </si>
  <si>
    <t>CR4078</t>
  </si>
  <si>
    <t>CR4079</t>
  </si>
  <si>
    <t>CR4878</t>
  </si>
  <si>
    <t>CR2408</t>
  </si>
  <si>
    <t>CR2409</t>
  </si>
  <si>
    <t>CR2410</t>
  </si>
  <si>
    <t>CR2964</t>
  </si>
  <si>
    <t>CR2411</t>
  </si>
  <si>
    <t>CR5412</t>
  </si>
  <si>
    <t>CR2412</t>
  </si>
  <si>
    <t>CR4080</t>
  </si>
  <si>
    <t>CR2712</t>
  </si>
  <si>
    <t>CR2413</t>
  </si>
  <si>
    <t>CR4835</t>
  </si>
  <si>
    <t>CR5197</t>
  </si>
  <si>
    <t>CR5198</t>
  </si>
  <si>
    <t>CR5199</t>
  </si>
  <si>
    <t>CR5200</t>
  </si>
  <si>
    <t>CR5201</t>
  </si>
  <si>
    <t>LQ5706</t>
  </si>
  <si>
    <t>LQ5507</t>
  </si>
  <si>
    <t>LQ5325</t>
  </si>
  <si>
    <t>LQ6063</t>
  </si>
  <si>
    <t>LQ5708</t>
  </si>
  <si>
    <t>LQ5709</t>
  </si>
  <si>
    <t>LQ6233</t>
  </si>
  <si>
    <t>LQ0442</t>
  </si>
  <si>
    <t>LQ5327</t>
  </si>
  <si>
    <t>LQ5716</t>
  </si>
  <si>
    <t>MB3300</t>
  </si>
  <si>
    <t>LS0056</t>
  </si>
  <si>
    <t>LS0057</t>
  </si>
  <si>
    <t>LQ3533</t>
  </si>
  <si>
    <t>CR2414</t>
  </si>
  <si>
    <t>LQ3534</t>
  </si>
  <si>
    <t>CR2415</t>
  </si>
  <si>
    <t>LQ3535</t>
  </si>
  <si>
    <t>CR2416</t>
  </si>
  <si>
    <t>LQ3462</t>
  </si>
  <si>
    <t>LQ3537</t>
  </si>
  <si>
    <t>CR2870</t>
  </si>
  <si>
    <t>LQ3354</t>
  </si>
  <si>
    <t>CR2713</t>
  </si>
  <si>
    <t>LQ3463</t>
  </si>
  <si>
    <t>CR3361</t>
  </si>
  <si>
    <t>LQ3356</t>
  </si>
  <si>
    <t>CR3300</t>
  </si>
  <si>
    <t>LQ0970</t>
  </si>
  <si>
    <t>CR2417</t>
  </si>
  <si>
    <t>LQ3464</t>
  </si>
  <si>
    <t>CR2418</t>
  </si>
  <si>
    <t>LQ3357</t>
  </si>
  <si>
    <t>CR2419</t>
  </si>
  <si>
    <t>CR2420</t>
  </si>
  <si>
    <t>CR2421</t>
  </si>
  <si>
    <t>CR3268</t>
  </si>
  <si>
    <t>CR3212</t>
  </si>
  <si>
    <t>LQ3359</t>
  </si>
  <si>
    <t>CR2422</t>
  </si>
  <si>
    <t>LQ3465</t>
  </si>
  <si>
    <t>LQ3360</t>
  </si>
  <si>
    <t>CR3365</t>
  </si>
  <si>
    <t>CR2714</t>
  </si>
  <si>
    <t>CR2423</t>
  </si>
  <si>
    <t>CR2715</t>
  </si>
  <si>
    <t>CR3211</t>
  </si>
  <si>
    <t>CR2424</t>
  </si>
  <si>
    <t>LQ3361</t>
  </si>
  <si>
    <t>CR2871</t>
  </si>
  <si>
    <t>CR3195</t>
  </si>
  <si>
    <t>CR2873</t>
  </si>
  <si>
    <t>CR3328</t>
  </si>
  <si>
    <t>CR3539</t>
  </si>
  <si>
    <t>CR3337</t>
  </si>
  <si>
    <t>LQ5619</t>
  </si>
  <si>
    <t>LQ3364</t>
  </si>
  <si>
    <t>CR2425</t>
  </si>
  <si>
    <t>LB3887</t>
  </si>
  <si>
    <t>CR3094</t>
  </si>
  <si>
    <t>CR3095</t>
  </si>
  <si>
    <t>CR3096</t>
  </si>
  <si>
    <t>CR3543</t>
  </si>
  <si>
    <t>CR3097</t>
  </si>
  <si>
    <t>CR3098</t>
  </si>
  <si>
    <t>CR3111</t>
  </si>
  <si>
    <t>CR3099</t>
  </si>
  <si>
    <t>CR5423</t>
  </si>
  <si>
    <t>CR3892</t>
  </si>
  <si>
    <t>CR3100</t>
  </si>
  <si>
    <t>CR5202</t>
  </si>
  <si>
    <t>CR3101</t>
  </si>
  <si>
    <t>CR2429</t>
  </si>
  <si>
    <t>CR4974</t>
  </si>
  <si>
    <t>CR5203</t>
  </si>
  <si>
    <t>CR3106</t>
  </si>
  <si>
    <t>CR3102</t>
  </si>
  <si>
    <t>CR5289</t>
  </si>
  <si>
    <t>CR3103</t>
  </si>
  <si>
    <t>CR3104</t>
  </si>
  <si>
    <t>CR3898</t>
  </si>
  <si>
    <t>CR5204</t>
  </si>
  <si>
    <t>CR2432</t>
  </si>
  <si>
    <t>CR4836</t>
  </si>
  <si>
    <t>CR3108</t>
  </si>
  <si>
    <t>CR3109</t>
  </si>
  <si>
    <t>CR2967</t>
  </si>
  <si>
    <t>CR3110</t>
  </si>
  <si>
    <t>CR3893</t>
  </si>
  <si>
    <t>CR3112</t>
  </si>
  <si>
    <t>CR3964</t>
  </si>
  <si>
    <t>CR5413</t>
  </si>
  <si>
    <t>CR3113</t>
  </si>
  <si>
    <t>LS0060</t>
  </si>
  <si>
    <t>CR2426</t>
  </si>
  <si>
    <t>CR3363</t>
  </si>
  <si>
    <t>CR2718</t>
  </si>
  <si>
    <t>CR2427</t>
  </si>
  <si>
    <t>LS0061</t>
  </si>
  <si>
    <t>LS0063</t>
  </si>
  <si>
    <t>LS0062</t>
  </si>
  <si>
    <t>CR5382</t>
  </si>
  <si>
    <t>CR5414</t>
  </si>
  <si>
    <t>CR4838</t>
  </si>
  <si>
    <t>CR3894</t>
  </si>
  <si>
    <t>CR5205</t>
  </si>
  <si>
    <t>CR4839</t>
  </si>
  <si>
    <t>CR4840</t>
  </si>
  <si>
    <t>CR4837</t>
  </si>
  <si>
    <t>CR4841</t>
  </si>
  <si>
    <t>LS0064</t>
  </si>
  <si>
    <t>LS0066</t>
  </si>
  <si>
    <t>CE0431</t>
  </si>
  <si>
    <t>CE0432</t>
  </si>
  <si>
    <t>CE0435</t>
  </si>
  <si>
    <t>CE0436</t>
  </si>
  <si>
    <t>CE0437</t>
  </si>
  <si>
    <t>CE0438</t>
  </si>
  <si>
    <t>CE0439</t>
  </si>
  <si>
    <t>CE0440</t>
  </si>
  <si>
    <t>CE0441</t>
  </si>
  <si>
    <t>LQ6237</t>
  </si>
  <si>
    <t>LQ6195</t>
  </si>
  <si>
    <t>LQ6196</t>
  </si>
  <si>
    <t>LQ6267</t>
  </si>
  <si>
    <t>LQ6238</t>
  </si>
  <si>
    <t>LQ6197</t>
  </si>
  <si>
    <t>LQ6268</t>
  </si>
  <si>
    <t>LQ6198</t>
  </si>
  <si>
    <t>LQ6269</t>
  </si>
  <si>
    <t>LQ6239</t>
  </si>
  <si>
    <t>LK7053</t>
  </si>
  <si>
    <t>LK7054</t>
  </si>
  <si>
    <t>LK7055</t>
  </si>
  <si>
    <t>LK7056</t>
  </si>
  <si>
    <t>LK7057</t>
  </si>
  <si>
    <t>CE0583</t>
  </si>
  <si>
    <t>CE0584</t>
  </si>
  <si>
    <t>CE0585</t>
  </si>
  <si>
    <t>CE0586</t>
  </si>
  <si>
    <t>CE1441</t>
  </si>
  <si>
    <t>CE0587</t>
  </si>
  <si>
    <t>CE0588</t>
  </si>
  <si>
    <t>CE0589</t>
  </si>
  <si>
    <t>CE0590</t>
  </si>
  <si>
    <t>CE0592</t>
  </si>
  <si>
    <t>CE0593</t>
  </si>
  <si>
    <t>CE0594</t>
  </si>
  <si>
    <t>CE0595</t>
  </si>
  <si>
    <t>CE0597</t>
  </si>
  <si>
    <t>CE0598</t>
  </si>
  <si>
    <t>CE0599</t>
  </si>
  <si>
    <t>CE0934</t>
  </si>
  <si>
    <t>CE0600</t>
  </si>
  <si>
    <t>CE1597</t>
  </si>
  <si>
    <t>CE1598</t>
  </si>
  <si>
    <t>CE1599</t>
  </si>
  <si>
    <t>CE1600</t>
  </si>
  <si>
    <t>CE1744</t>
  </si>
  <si>
    <t>CE1601</t>
  </si>
  <si>
    <t>LQ5847</t>
  </si>
  <si>
    <t>LQ5848</t>
  </si>
  <si>
    <t>LQ5850</t>
  </si>
  <si>
    <t>LQ6142</t>
  </si>
  <si>
    <t>LQ5958</t>
  </si>
  <si>
    <t>LQ5853</t>
  </si>
  <si>
    <t>LQ5959</t>
  </si>
  <si>
    <t>LQ5806</t>
  </si>
  <si>
    <t>LQ5854</t>
  </si>
  <si>
    <t>LQ5808</t>
  </si>
  <si>
    <t>LQ6068</t>
  </si>
  <si>
    <t>LQ5809</t>
  </si>
  <si>
    <t>LQ5960</t>
  </si>
  <si>
    <t>LQ5855</t>
  </si>
  <si>
    <t>LQ6069</t>
  </si>
  <si>
    <t>LQ6023</t>
  </si>
  <si>
    <t>CR4906</t>
  </si>
  <si>
    <t>CR3958</t>
  </si>
  <si>
    <t>CR3776</t>
  </si>
  <si>
    <t>CR3777</t>
  </si>
  <si>
    <t>CR3778</t>
  </si>
  <si>
    <t>CR5309</t>
  </si>
  <si>
    <t>CR3780</t>
  </si>
  <si>
    <t>CR5310</t>
  </si>
  <si>
    <t>CR3540</t>
  </si>
  <si>
    <t>CR2591</t>
  </si>
  <si>
    <t>CR3541</t>
  </si>
  <si>
    <t>CR3782</t>
  </si>
  <si>
    <t>CR3542</t>
  </si>
  <si>
    <t>CR3959</t>
  </si>
  <si>
    <t>CR3960</t>
  </si>
  <si>
    <t>CR3961</t>
  </si>
  <si>
    <t>CR3962</t>
  </si>
  <si>
    <t>CR4106</t>
  </si>
  <si>
    <t>CR4655</t>
  </si>
  <si>
    <t>CR2594</t>
  </si>
  <si>
    <t>CR2596</t>
  </si>
  <si>
    <t>CR2597</t>
  </si>
  <si>
    <t>CR3781</t>
  </si>
  <si>
    <t>CR2599</t>
  </si>
  <si>
    <t>CR2965</t>
  </si>
  <si>
    <t>CR2600</t>
  </si>
  <si>
    <t>CR2601</t>
  </si>
  <si>
    <t>CR2602</t>
  </si>
  <si>
    <t>CR4107</t>
  </si>
  <si>
    <t>CR4108</t>
  </si>
  <si>
    <t>CR4112</t>
  </si>
  <si>
    <t>CR4110</t>
  </si>
  <si>
    <t>CR4109</t>
  </si>
  <si>
    <t>CR4111</t>
  </si>
  <si>
    <t>CR2604</t>
  </si>
  <si>
    <t>LB4150</t>
  </si>
  <si>
    <t>LK1605</t>
  </si>
  <si>
    <t>LK4749</t>
  </si>
  <si>
    <t>LB3349</t>
  </si>
  <si>
    <t>LB4146</t>
  </si>
  <si>
    <t>LB3566</t>
  </si>
  <si>
    <t>LK0207</t>
  </si>
  <si>
    <t>LK1606</t>
  </si>
  <si>
    <t>LK3375</t>
  </si>
  <si>
    <t>LK4687</t>
  </si>
  <si>
    <t>LK3377</t>
  </si>
  <si>
    <t>LK3378</t>
  </si>
  <si>
    <t>LK3379</t>
  </si>
  <si>
    <t>LK4688</t>
  </si>
  <si>
    <t>LK3381</t>
  </si>
  <si>
    <t>LK3382</t>
  </si>
  <si>
    <t>LK3383</t>
  </si>
  <si>
    <t>LK3384</t>
  </si>
  <si>
    <t>LK4483</t>
  </si>
  <si>
    <t>LK4750</t>
  </si>
  <si>
    <t>LK3385</t>
  </si>
  <si>
    <t>LK3386</t>
  </si>
  <si>
    <t>LK4848</t>
  </si>
  <si>
    <t>LK3387</t>
  </si>
  <si>
    <t>LK3388</t>
  </si>
  <si>
    <t>LK3392</t>
  </si>
  <si>
    <t>LK4485</t>
  </si>
  <si>
    <t>LK3393</t>
  </si>
  <si>
    <t>CE1094</t>
  </si>
  <si>
    <t>CE0601</t>
  </si>
  <si>
    <t>CE1095</t>
  </si>
  <si>
    <t>CE1096</t>
  </si>
  <si>
    <t>CE0602</t>
  </si>
  <si>
    <t>CE0603</t>
  </si>
  <si>
    <t>CE0604</t>
  </si>
  <si>
    <t>CE0605</t>
  </si>
  <si>
    <t>CE0606</t>
  </si>
  <si>
    <t>CE0607</t>
  </si>
  <si>
    <t>CE0608</t>
  </si>
  <si>
    <t>CE0609</t>
  </si>
  <si>
    <t>CE0610</t>
  </si>
  <si>
    <t>CE0611</t>
  </si>
  <si>
    <t>CE0612</t>
  </si>
  <si>
    <t>CE0613</t>
  </si>
  <si>
    <t>CR3895</t>
  </si>
  <si>
    <t>CR2428</t>
  </si>
  <si>
    <t>CR3545</t>
  </si>
  <si>
    <t>CR3963</t>
  </si>
  <si>
    <t>CR2966</t>
  </si>
  <si>
    <t>CR2434</t>
  </si>
  <si>
    <t>CR2435</t>
  </si>
  <si>
    <t>CR2436</t>
  </si>
  <si>
    <t>CR2437</t>
  </si>
  <si>
    <t>LB0741</t>
  </si>
  <si>
    <t>LS0069</t>
  </si>
  <si>
    <t>LS0068</t>
  </si>
  <si>
    <t>LK0495</t>
  </si>
  <si>
    <t>LK4422</t>
  </si>
  <si>
    <t>LS0071</t>
  </si>
  <si>
    <t>CR3546</t>
  </si>
  <si>
    <t>CR4975</t>
  </si>
  <si>
    <t>CR4976</t>
  </si>
  <si>
    <t>CR4977</t>
  </si>
  <si>
    <t>CR4978</t>
  </si>
  <si>
    <t>CR5415</t>
  </si>
  <si>
    <t>CR3899</t>
  </si>
  <si>
    <t>CR3547</t>
  </si>
  <si>
    <t>LK5792</t>
  </si>
  <si>
    <t>LK5793</t>
  </si>
  <si>
    <t>LK2873</t>
  </si>
  <si>
    <t>LK1512</t>
  </si>
  <si>
    <t>LK2153</t>
  </si>
  <si>
    <t>LK2874</t>
  </si>
  <si>
    <t>LK1863</t>
  </si>
  <si>
    <t>LK3394</t>
  </si>
  <si>
    <t>LK2875</t>
  </si>
  <si>
    <t>LK1513</t>
  </si>
  <si>
    <t>LK1514</t>
  </si>
  <si>
    <t>LK1515</t>
  </si>
  <si>
    <t>LK2876</t>
  </si>
  <si>
    <t>LK1516</t>
  </si>
  <si>
    <t>LK2877</t>
  </si>
  <si>
    <t>LK1517</t>
  </si>
  <si>
    <t>LK2878</t>
  </si>
  <si>
    <t>LK2879</t>
  </si>
  <si>
    <t>LK1518</t>
  </si>
  <si>
    <t>LK1519</t>
  </si>
  <si>
    <t>MC0432</t>
  </si>
  <si>
    <t>LK0416</t>
  </si>
  <si>
    <t>LL5000</t>
  </si>
  <si>
    <t>CR4138</t>
  </si>
  <si>
    <t>LB4200</t>
  </si>
  <si>
    <t>MC1439</t>
  </si>
  <si>
    <t>CR3201</t>
  </si>
  <si>
    <t>LL0137</t>
  </si>
  <si>
    <t>LQ3780</t>
  </si>
  <si>
    <t>LQ3213</t>
  </si>
  <si>
    <t>CR2646</t>
  </si>
  <si>
    <t>LQ3778</t>
  </si>
  <si>
    <t>CR3451</t>
  </si>
  <si>
    <t>CR3293</t>
  </si>
  <si>
    <t>CR3373</t>
  </si>
  <si>
    <t>LQ3214</t>
  </si>
  <si>
    <t>CR2352</t>
  </si>
  <si>
    <t>LQ3779</t>
  </si>
  <si>
    <t>LQ3215</t>
  </si>
  <si>
    <t>CR2865</t>
  </si>
  <si>
    <t>LK0991</t>
  </si>
  <si>
    <t>LK0503</t>
  </si>
  <si>
    <t>LB5634</t>
  </si>
  <si>
    <t>LK2784</t>
  </si>
  <si>
    <t>LK7059</t>
  </si>
  <si>
    <t>LL0139</t>
  </si>
  <si>
    <t>CR3890</t>
  </si>
  <si>
    <t>CR2353</t>
  </si>
  <si>
    <t>CR2968</t>
  </si>
  <si>
    <t>CR3716</t>
  </si>
  <si>
    <t>CR2351</t>
  </si>
  <si>
    <t>CR2354</t>
  </si>
  <si>
    <t>CR2355</t>
  </si>
  <si>
    <t>MB3400</t>
  </si>
  <si>
    <t>LL5001</t>
  </si>
  <si>
    <t>LK7060</t>
  </si>
  <si>
    <t>LK0504</t>
  </si>
  <si>
    <t>LK1864</t>
  </si>
  <si>
    <t>LK3614</t>
  </si>
  <si>
    <t>LB5635</t>
  </si>
  <si>
    <t>LQ3310</t>
  </si>
  <si>
    <t>LK3708</t>
  </si>
  <si>
    <t>LB4201</t>
  </si>
  <si>
    <t>MC1440</t>
  </si>
  <si>
    <t>CR2356</t>
  </si>
  <si>
    <t>LK5939</t>
  </si>
  <si>
    <t>LK0240</t>
  </si>
  <si>
    <t>LB5620</t>
  </si>
  <si>
    <t>LB5631</t>
  </si>
  <si>
    <t>LL0140</t>
  </si>
  <si>
    <t>LB5636</t>
  </si>
  <si>
    <t>LK0805</t>
  </si>
  <si>
    <t>CE0442</t>
  </si>
  <si>
    <t>CE0443</t>
  </si>
  <si>
    <t>CE0813</t>
  </si>
  <si>
    <t>CE1232</t>
  </si>
  <si>
    <t>CE1233</t>
  </si>
  <si>
    <t>CE0781</t>
  </si>
  <si>
    <t>LB5633</t>
  </si>
  <si>
    <t>LQ3900</t>
  </si>
  <si>
    <t>LQ3468</t>
  </si>
  <si>
    <t>LQ3469</t>
  </si>
  <si>
    <t>LQ3286</t>
  </si>
  <si>
    <t>LQ3691</t>
  </si>
  <si>
    <t>LQ3287</t>
  </si>
  <si>
    <t>LQ3288</t>
  </si>
  <si>
    <t>LQ3289</t>
  </si>
  <si>
    <t>LQ3931</t>
  </si>
  <si>
    <t>LQ3901</t>
  </si>
  <si>
    <t>LQ3692</t>
  </si>
  <si>
    <t>LL5003</t>
  </si>
  <si>
    <t>LB4202</t>
  </si>
  <si>
    <t>MC1441</t>
  </si>
  <si>
    <t>CR4139</t>
  </si>
  <si>
    <t>LS0119</t>
  </si>
  <si>
    <t>CR2969</t>
  </si>
  <si>
    <t>LK6212</t>
  </si>
  <si>
    <t>LK3268</t>
  </si>
  <si>
    <t>MC1690</t>
  </si>
  <si>
    <t>LK0596</t>
  </si>
  <si>
    <t>LK5576</t>
  </si>
  <si>
    <t>LK3269</t>
  </si>
  <si>
    <t>LK3270</t>
  </si>
  <si>
    <t>MC1255</t>
  </si>
  <si>
    <t>MC0444</t>
  </si>
  <si>
    <t>MC0445</t>
  </si>
  <si>
    <t>MC3742</t>
  </si>
  <si>
    <t>MC0439</t>
  </si>
  <si>
    <t>MC1254</t>
  </si>
  <si>
    <t>MC2486</t>
  </si>
  <si>
    <t>LK1257</t>
  </si>
  <si>
    <t>MC1688</t>
  </si>
  <si>
    <t>LH4980</t>
  </si>
  <si>
    <t>MC1627</t>
  </si>
  <si>
    <t>CR2970</t>
  </si>
  <si>
    <t>CR4067</t>
  </si>
  <si>
    <t>LK5021</t>
  </si>
  <si>
    <t>LK5022</t>
  </si>
  <si>
    <t>LK6517</t>
  </si>
  <si>
    <t>LK2888</t>
  </si>
  <si>
    <t>MC4220</t>
  </si>
  <si>
    <t>LK5480</t>
  </si>
  <si>
    <t>LH6003</t>
  </si>
  <si>
    <t>MC3183</t>
  </si>
  <si>
    <t>MC3295</t>
  </si>
  <si>
    <t>MC3188</t>
  </si>
  <si>
    <t>LH5100</t>
  </si>
  <si>
    <t>MC3294</t>
  </si>
  <si>
    <t>MC3296</t>
  </si>
  <si>
    <t>MC3418</t>
  </si>
  <si>
    <t>MC3297</t>
  </si>
  <si>
    <t>LF4120</t>
  </si>
  <si>
    <t>LF9104</t>
  </si>
  <si>
    <t>CN2326</t>
  </si>
  <si>
    <t>CN2332</t>
  </si>
  <si>
    <t>CN2177</t>
  </si>
  <si>
    <t>CN2273</t>
  </si>
  <si>
    <t>CN2218</t>
  </si>
  <si>
    <t>CN2203</t>
  </si>
  <si>
    <t>CN2219</t>
  </si>
  <si>
    <t>CN2283</t>
  </si>
  <si>
    <t>CN2284</t>
  </si>
  <si>
    <t>CN2282</t>
  </si>
  <si>
    <t>CN2285</t>
  </si>
  <si>
    <t>CN2296</t>
  </si>
  <si>
    <t>CN2280</t>
  </si>
  <si>
    <t>CN2279</t>
  </si>
  <si>
    <t>CN2278</t>
  </si>
  <si>
    <t>CN2281</t>
  </si>
  <si>
    <t>CN2297</t>
  </si>
  <si>
    <t>CN2287</t>
  </si>
  <si>
    <t>CN2286</t>
  </si>
  <si>
    <t>CN2289</t>
  </si>
  <si>
    <t>CN2288</t>
  </si>
  <si>
    <t>CN2293</t>
  </si>
  <si>
    <t>CN2420</t>
  </si>
  <si>
    <t>CN2294</t>
  </si>
  <si>
    <t>CN2418</t>
  </si>
  <si>
    <t>CN2292</t>
  </si>
  <si>
    <t>CN2291</t>
  </si>
  <si>
    <t>CN2290</t>
  </si>
  <si>
    <t>CN2419</t>
  </si>
  <si>
    <t>CN2195</t>
  </si>
  <si>
    <t>CN2220</t>
  </si>
  <si>
    <t>CN2229</t>
  </si>
  <si>
    <t>CN2204</t>
  </si>
  <si>
    <t>CN2396</t>
  </si>
  <si>
    <t>CN2185</t>
  </si>
  <si>
    <t>CN2193</t>
  </si>
  <si>
    <t>CN2205</t>
  </si>
  <si>
    <t>CN2201</t>
  </si>
  <si>
    <t>CN2206</t>
  </si>
  <si>
    <t>CN2199</t>
  </si>
  <si>
    <t>CN2152</t>
  </si>
  <si>
    <t>LG8037</t>
  </si>
  <si>
    <t>LF9106</t>
  </si>
  <si>
    <t>CN2191</t>
  </si>
  <si>
    <t>CN2153</t>
  </si>
  <si>
    <t>CN2398</t>
  </si>
  <si>
    <t>LG8038</t>
  </si>
  <si>
    <t>CN2197</t>
  </si>
  <si>
    <t>CN2154</t>
  </si>
  <si>
    <t>CN2274</t>
  </si>
  <si>
    <t>CN2155</t>
  </si>
  <si>
    <t>CN2156</t>
  </si>
  <si>
    <t>CN2221</t>
  </si>
  <si>
    <t>LG4105</t>
  </si>
  <si>
    <t>LK0212</t>
  </si>
  <si>
    <t>CN2183</t>
  </si>
  <si>
    <t>CN2194</t>
  </si>
  <si>
    <t>CN2295</t>
  </si>
  <si>
    <t>CN2157</t>
  </si>
  <si>
    <t>CN2207</t>
  </si>
  <si>
    <t>CN2158</t>
  </si>
  <si>
    <t>LG1002</t>
  </si>
  <si>
    <t>CN2159</t>
  </si>
  <si>
    <t>CN2161</t>
  </si>
  <si>
    <t>CN2179</t>
  </si>
  <si>
    <t>CN2162</t>
  </si>
  <si>
    <t>CN2163</t>
  </si>
  <si>
    <t>CN2189</t>
  </si>
  <si>
    <t>CN2334</t>
  </si>
  <si>
    <t>CN2164</t>
  </si>
  <si>
    <t>CN2165</t>
  </si>
  <si>
    <t>CN2182</t>
  </si>
  <si>
    <t>CN2226</t>
  </si>
  <si>
    <t>CN2208</t>
  </si>
  <si>
    <t>CN2209</t>
  </si>
  <si>
    <t>CN2166</t>
  </si>
  <si>
    <t>CN2176</t>
  </si>
  <si>
    <t>CN2210</t>
  </si>
  <si>
    <t>CN2167</t>
  </si>
  <si>
    <t>CN2190</t>
  </si>
  <si>
    <t>CN2188</t>
  </si>
  <si>
    <t>CN2212</t>
  </si>
  <si>
    <t>CN2327</t>
  </si>
  <si>
    <t>CN2231</t>
  </si>
  <si>
    <t>CN2222</t>
  </si>
  <si>
    <t>CN2202</t>
  </si>
  <si>
    <t>CN2227</t>
  </si>
  <si>
    <t>LG8041</t>
  </si>
  <si>
    <t>CN2298</t>
  </si>
  <si>
    <t>CN2168</t>
  </si>
  <si>
    <t>CN2169</t>
  </si>
  <si>
    <t>CN2192</t>
  </si>
  <si>
    <t>CN2213</t>
  </si>
  <si>
    <t>CN2214</t>
  </si>
  <si>
    <t>CN2299</t>
  </si>
  <si>
    <t>CN2180</t>
  </si>
  <si>
    <t>CN2170</t>
  </si>
  <si>
    <t>CN2181</t>
  </si>
  <si>
    <t>CN2215</t>
  </si>
  <si>
    <t>CN2186</t>
  </si>
  <si>
    <t>CN2401</t>
  </si>
  <si>
    <t>CN2223</t>
  </si>
  <si>
    <t>CN2171</t>
  </si>
  <si>
    <t>CN2172</t>
  </si>
  <si>
    <t>CN2228</t>
  </si>
  <si>
    <t>CN2216</t>
  </si>
  <si>
    <t>CN2196</t>
  </si>
  <si>
    <t>CN2187</t>
  </si>
  <si>
    <t>CN2230</t>
  </si>
  <si>
    <t>CN2328</t>
  </si>
  <si>
    <t>CN2160</t>
  </si>
  <si>
    <t>CN2173</t>
  </si>
  <si>
    <t>CN2174</t>
  </si>
  <si>
    <t>CN2217</t>
  </si>
  <si>
    <t>CN2232</t>
  </si>
  <si>
    <t>CN2175</t>
  </si>
  <si>
    <t>CN2200</t>
  </si>
  <si>
    <t>CN2184</t>
  </si>
  <si>
    <t>CN2224</t>
  </si>
  <si>
    <t>CN2198</t>
  </si>
  <si>
    <t>CN2178</t>
  </si>
  <si>
    <t>CN2225</t>
  </si>
  <si>
    <t>LL1950</t>
  </si>
  <si>
    <t>LL1951</t>
  </si>
  <si>
    <t>LB5782</t>
  </si>
  <si>
    <t>LL8309</t>
  </si>
  <si>
    <t>LL1953</t>
  </si>
  <si>
    <t>LL1952</t>
  </si>
  <si>
    <t>LL0022</t>
  </si>
  <si>
    <t>MC4007</t>
  </si>
  <si>
    <t>LL5013</t>
  </si>
  <si>
    <t>LL1954</t>
  </si>
  <si>
    <t>MC4218</t>
  </si>
  <si>
    <t>MC0886</t>
  </si>
  <si>
    <t>MQ0787</t>
  </si>
  <si>
    <t>MC4404</t>
  </si>
  <si>
    <t>MQ0295</t>
  </si>
  <si>
    <t>MQ0296</t>
  </si>
  <si>
    <t>LH8420</t>
  </si>
  <si>
    <t>MC0455</t>
  </si>
  <si>
    <t>MC2668</t>
  </si>
  <si>
    <t>LL2066</t>
  </si>
  <si>
    <t>LL2055</t>
  </si>
  <si>
    <t>LL0120</t>
  </si>
  <si>
    <t>LL2062</t>
  </si>
  <si>
    <t>LL2063</t>
  </si>
  <si>
    <t>LL2065</t>
  </si>
  <si>
    <t>LL8310</t>
  </si>
  <si>
    <t>LL8192</t>
  </si>
  <si>
    <t>LL8193</t>
  </si>
  <si>
    <t>CE0906</t>
  </si>
  <si>
    <t>CE1511</t>
  </si>
  <si>
    <t>CE1602</t>
  </si>
  <si>
    <t>CE1379</t>
  </si>
  <si>
    <t>CE0726</t>
  </si>
  <si>
    <t>CE0727</t>
  </si>
  <si>
    <t>CE1380</t>
  </si>
  <si>
    <t>CE1751</t>
  </si>
  <si>
    <t>CE1752</t>
  </si>
  <si>
    <t>CE1377</t>
  </si>
  <si>
    <t>CE1680</t>
  </si>
  <si>
    <t>CE1274</t>
  </si>
  <si>
    <t>CE1149</t>
  </si>
  <si>
    <t>CE0814</t>
  </si>
  <si>
    <t>CE1211</t>
  </si>
  <si>
    <t>CE1753</t>
  </si>
  <si>
    <t>CE1624</t>
  </si>
  <si>
    <t>CE0728</t>
  </si>
  <si>
    <t>CE1390</t>
  </si>
  <si>
    <t>CE1398</t>
  </si>
  <si>
    <t>CE1396</t>
  </si>
  <si>
    <t>CE1395</t>
  </si>
  <si>
    <t>CE1397</t>
  </si>
  <si>
    <t>CE1394</t>
  </si>
  <si>
    <t>CE0729</t>
  </si>
  <si>
    <t>CE0730</t>
  </si>
  <si>
    <t>CE0731</t>
  </si>
  <si>
    <t>CE0732</t>
  </si>
  <si>
    <t>CE0815</t>
  </si>
  <si>
    <t>CE1275</t>
  </si>
  <si>
    <t>CE1457</t>
  </si>
  <si>
    <t>CE1224</t>
  </si>
  <si>
    <t>CE1389</t>
  </si>
  <si>
    <t>CE1502</t>
  </si>
  <si>
    <t>CE0888</t>
  </si>
  <si>
    <t>CE0734</t>
  </si>
  <si>
    <t>CE1681</t>
  </si>
  <si>
    <t>CE1754</t>
  </si>
  <si>
    <t>CE1383</t>
  </si>
  <si>
    <t>CE1382</t>
  </si>
  <si>
    <t>CE1384</t>
  </si>
  <si>
    <t>CE0908</t>
  </si>
  <si>
    <t>CE1512</t>
  </si>
  <si>
    <t>CE0736</t>
  </si>
  <si>
    <t>CE0909</t>
  </si>
  <si>
    <t>CE0737</t>
  </si>
  <si>
    <t>CE1513</t>
  </si>
  <si>
    <t>CE1378</t>
  </si>
  <si>
    <t>CE0889</t>
  </si>
  <si>
    <t>CE1503</t>
  </si>
  <si>
    <t>CE1682</t>
  </si>
  <si>
    <t>CE1683</t>
  </si>
  <si>
    <t>CE1755</t>
  </si>
  <si>
    <t>CE1684</t>
  </si>
  <si>
    <t>CE1514</t>
  </si>
  <si>
    <t>CE1515</t>
  </si>
  <si>
    <t>CE1223</t>
  </si>
  <si>
    <t>CE1516</t>
  </si>
  <si>
    <t>CE1222</t>
  </si>
  <si>
    <t>CE1517</t>
  </si>
  <si>
    <t>CE1504</t>
  </si>
  <si>
    <t>CE1603</t>
  </si>
  <si>
    <t>CE0890</t>
  </si>
  <si>
    <t>CE1230</t>
  </si>
  <si>
    <t>CE0742</t>
  </si>
  <si>
    <t>CE1381</t>
  </si>
  <si>
    <t>CE0892</t>
  </si>
  <si>
    <t>CE1388</t>
  </si>
  <si>
    <t>CE1229</t>
  </si>
  <si>
    <t>CE0744</t>
  </si>
  <si>
    <t>CE1213</t>
  </si>
  <si>
    <t>CE1150</t>
  </si>
  <si>
    <t>CE1212</t>
  </si>
  <si>
    <t>CE0746</t>
  </si>
  <si>
    <t>CE1459</t>
  </si>
  <si>
    <t>CE1219</t>
  </si>
  <si>
    <t>CE0818</t>
  </si>
  <si>
    <t>CE1385</t>
  </si>
  <si>
    <t>CE0819</t>
  </si>
  <si>
    <t>CE0912</t>
  </si>
  <si>
    <t>CE1509</t>
  </si>
  <si>
    <t>CE1414</t>
  </si>
  <si>
    <t>CE1218</t>
  </si>
  <si>
    <t>CE1276</t>
  </si>
  <si>
    <t>CE0748</t>
  </si>
  <si>
    <t>CE1393</t>
  </si>
  <si>
    <t>CE1153</t>
  </si>
  <si>
    <t>CE1376</t>
  </si>
  <si>
    <t>CE0749</t>
  </si>
  <si>
    <t>CE0750</t>
  </si>
  <si>
    <t>CE0751</t>
  </si>
  <si>
    <t>CE0752</t>
  </si>
  <si>
    <t>CE1217</t>
  </si>
  <si>
    <t>CE1220</t>
  </si>
  <si>
    <t>CE0821</t>
  </si>
  <si>
    <t>CE0914</t>
  </si>
  <si>
    <t>CE1392</t>
  </si>
  <si>
    <t>CE1391</t>
  </si>
  <si>
    <t>CE1387</t>
  </si>
  <si>
    <t>CE1226</t>
  </si>
  <si>
    <t>CE1604</t>
  </si>
  <si>
    <t>CE0895</t>
  </si>
  <si>
    <t>CE0916</t>
  </si>
  <si>
    <t>CE0896</t>
  </si>
  <si>
    <t>CE1227</t>
  </si>
  <si>
    <t>CE1228</t>
  </si>
  <si>
    <t>CE1225</t>
  </si>
  <si>
    <t>CE1518</t>
  </si>
  <si>
    <t>CE0822</t>
  </si>
  <si>
    <t>CE1505</t>
  </si>
  <si>
    <t>CE1386</t>
  </si>
  <si>
    <t>CE1221</t>
  </si>
  <si>
    <t>CE1277</t>
  </si>
  <si>
    <t>CE1605</t>
  </si>
  <si>
    <t>CE0917</t>
  </si>
  <si>
    <t>LB4311</t>
  </si>
  <si>
    <t>CN5206</t>
  </si>
  <si>
    <t>MC0456</t>
  </si>
  <si>
    <t>CR2358</t>
  </si>
  <si>
    <t>MC0457</t>
  </si>
  <si>
    <t>CN5207</t>
  </si>
  <si>
    <t>CR4337</t>
  </si>
  <si>
    <t>MC1995</t>
  </si>
  <si>
    <t>CR4335</t>
  </si>
  <si>
    <t>MC1263</t>
  </si>
  <si>
    <t>CN5208</t>
  </si>
  <si>
    <t>MC0458</t>
  </si>
  <si>
    <t>LH8896</t>
  </si>
  <si>
    <t>CN5209</t>
  </si>
  <si>
    <t>CR4338</t>
  </si>
  <si>
    <t>MC3423</t>
  </si>
  <si>
    <t>CN5210</t>
  </si>
  <si>
    <t>LQ6123</t>
  </si>
  <si>
    <t>MQ5115</t>
  </si>
  <si>
    <t>LQ6124</t>
  </si>
  <si>
    <t>MC4219</t>
  </si>
  <si>
    <t>CN5211</t>
  </si>
  <si>
    <t>CN2374</t>
  </si>
  <si>
    <t>CN2375</t>
  </si>
  <si>
    <t>CR2359</t>
  </si>
  <si>
    <t>LH8897</t>
  </si>
  <si>
    <t>MQ0298</t>
  </si>
  <si>
    <t>CN5212</t>
  </si>
  <si>
    <t>MC0459</t>
  </si>
  <si>
    <t>CN5213</t>
  </si>
  <si>
    <t>MC2901</t>
  </si>
  <si>
    <t>CN5214</t>
  </si>
  <si>
    <t>MC1467</t>
  </si>
  <si>
    <t>MC0460</t>
  </si>
  <si>
    <t>CN5215</t>
  </si>
  <si>
    <t>MC0461</t>
  </si>
  <si>
    <t>LB4318</t>
  </si>
  <si>
    <t>CE1649</t>
  </si>
  <si>
    <t>CE0445</t>
  </si>
  <si>
    <t>CE0446</t>
  </si>
  <si>
    <t>CE1636</t>
  </si>
  <si>
    <t>CE0447</t>
  </si>
  <si>
    <t>CE1348</t>
  </si>
  <si>
    <t>CE0824</t>
  </si>
  <si>
    <t>CE0449</t>
  </si>
  <si>
    <t>CE0450</t>
  </si>
  <si>
    <t>CE0451</t>
  </si>
  <si>
    <t>CE0452</t>
  </si>
  <si>
    <t>CE0454</t>
  </si>
  <si>
    <t>CE1445</t>
  </si>
  <si>
    <t>CE1650</t>
  </si>
  <si>
    <t>CE1207</t>
  </si>
  <si>
    <t>CE0455</t>
  </si>
  <si>
    <t>CE0456</t>
  </si>
  <si>
    <t>CE0457</t>
  </si>
  <si>
    <t>CE1630</t>
  </si>
  <si>
    <t>CE1349</t>
  </si>
  <si>
    <t>CE1350</t>
  </si>
  <si>
    <t>CE1351</t>
  </si>
  <si>
    <t>CE1746</t>
  </si>
  <si>
    <t>CE1651</t>
  </si>
  <si>
    <t>CE1278</t>
  </si>
  <si>
    <t>CE1352</t>
  </si>
  <si>
    <t>CE1353</t>
  </si>
  <si>
    <t>CE1354</t>
  </si>
  <si>
    <t>CE1652</t>
  </si>
  <si>
    <t>CE1653</t>
  </si>
  <si>
    <t>CE1654</t>
  </si>
  <si>
    <t>CE1655</t>
  </si>
  <si>
    <t>LB4281</t>
  </si>
  <si>
    <t>LK2880</t>
  </si>
  <si>
    <t>CR2648</t>
  </si>
  <si>
    <t>CR2649</t>
  </si>
  <si>
    <t>CR2361</t>
  </si>
  <si>
    <t>LB4290</t>
  </si>
  <si>
    <t>CR2362</t>
  </si>
  <si>
    <t>LB4315</t>
  </si>
  <si>
    <t>CR2363</t>
  </si>
  <si>
    <t>LQ0849</t>
  </si>
  <si>
    <t>LQ3886</t>
  </si>
  <si>
    <t>LQ6161</t>
  </si>
  <si>
    <t>MB4200</t>
  </si>
  <si>
    <t>LS0072</t>
  </si>
  <si>
    <t>LB4287</t>
  </si>
  <si>
    <t>LB4286</t>
  </si>
  <si>
    <t>CR3891</t>
  </si>
  <si>
    <t>CR2971</t>
  </si>
  <si>
    <t>CR3120</t>
  </si>
  <si>
    <t>CR3971</t>
  </si>
  <si>
    <t>CR3869</t>
  </si>
  <si>
    <t>CR3871</t>
  </si>
  <si>
    <t>CR3721</t>
  </si>
  <si>
    <t>CR3722</t>
  </si>
  <si>
    <t>CR3872</t>
  </si>
  <si>
    <t>CR3870</t>
  </si>
  <si>
    <t>CR3873</t>
  </si>
  <si>
    <t>CR3121</t>
  </si>
  <si>
    <t>CR2972</t>
  </si>
  <si>
    <t>CR3122</t>
  </si>
  <si>
    <t>CR5193</t>
  </si>
  <si>
    <t>CR5070</t>
  </si>
  <si>
    <t>CR5040</t>
  </si>
  <si>
    <t>CR4962</t>
  </si>
  <si>
    <t>CR5194</t>
  </si>
  <si>
    <t>CR5039</t>
  </si>
  <si>
    <t>CR4964</t>
  </si>
  <si>
    <t>CR4965</t>
  </si>
  <si>
    <t>CR4966</t>
  </si>
  <si>
    <t>CR5031</t>
  </si>
  <si>
    <t>CE1279</t>
  </si>
  <si>
    <t>LB4319</t>
  </si>
  <si>
    <t>CE1355</t>
  </si>
  <si>
    <t>CE0871</t>
  </si>
  <si>
    <t>CE0932</t>
  </si>
  <si>
    <t>CE0872</t>
  </si>
  <si>
    <t>CE0873</t>
  </si>
  <si>
    <t>CE0874</t>
  </si>
  <si>
    <t>CR3384</t>
  </si>
  <si>
    <t>LB4289</t>
  </si>
  <si>
    <t>LK5649</t>
  </si>
  <si>
    <t>CR4140</t>
  </si>
  <si>
    <t>CR2369</t>
  </si>
  <si>
    <t>LB4320</t>
  </si>
  <si>
    <t>LK3258</t>
  </si>
  <si>
    <t>LB4321</t>
  </si>
  <si>
    <t>LB4283</t>
  </si>
  <si>
    <t>LB4322</t>
  </si>
  <si>
    <t>LB4317</t>
  </si>
  <si>
    <t>LK2599</t>
  </si>
  <si>
    <t>LB4288</t>
  </si>
  <si>
    <t>LQ3243</t>
  </si>
  <si>
    <t>MC2267</t>
  </si>
  <si>
    <t>CR2974</t>
  </si>
  <si>
    <t>LQ3887</t>
  </si>
  <si>
    <t>LQ3836</t>
  </si>
  <si>
    <t>LQ3837</t>
  </si>
  <si>
    <t>LQ3838</t>
  </si>
  <si>
    <t>LK5650</t>
  </si>
  <si>
    <t>LB4324</t>
  </si>
  <si>
    <t>CR2975</t>
  </si>
  <si>
    <t>LB4303</t>
  </si>
  <si>
    <t>LB4325</t>
  </si>
  <si>
    <t>LK0213</t>
  </si>
  <si>
    <t>LB4390</t>
  </si>
  <si>
    <t>LK5371</t>
  </si>
  <si>
    <t>LB8990</t>
  </si>
  <si>
    <t>LK3514</t>
  </si>
  <si>
    <t>MC0464</t>
  </si>
  <si>
    <t>LB8993</t>
  </si>
  <si>
    <t>MQ0553</t>
  </si>
  <si>
    <t>CN5227</t>
  </si>
  <si>
    <t>MQ0716</t>
  </si>
  <si>
    <t>MQ3166</t>
  </si>
  <si>
    <t>MQ3167</t>
  </si>
  <si>
    <t>CR4353</t>
  </si>
  <si>
    <t>MQ0832</t>
  </si>
  <si>
    <t>MQ0100</t>
  </si>
  <si>
    <t>MQ0099</t>
  </si>
  <si>
    <t>MQ3168</t>
  </si>
  <si>
    <t>MQ0833</t>
  </si>
  <si>
    <t>MQ0717</t>
  </si>
  <si>
    <t>MC4337</t>
  </si>
  <si>
    <t>CE0991</t>
  </si>
  <si>
    <t>MC4292</t>
  </si>
  <si>
    <t>LH0022</t>
  </si>
  <si>
    <t>MC4350</t>
  </si>
  <si>
    <t>LH0023</t>
  </si>
  <si>
    <t>MC4351</t>
  </si>
  <si>
    <t>LH0001</t>
  </si>
  <si>
    <t>MC4268</t>
  </si>
  <si>
    <t>LH8917</t>
  </si>
  <si>
    <t>MC4222</t>
  </si>
  <si>
    <t>MC4478</t>
  </si>
  <si>
    <t>MC4479</t>
  </si>
  <si>
    <t>MC4480</t>
  </si>
  <si>
    <t>CN5220</t>
  </si>
  <si>
    <t>MQ0299</t>
  </si>
  <si>
    <t>CN2377</t>
  </si>
  <si>
    <t>MC4293</t>
  </si>
  <si>
    <t>CR4347</t>
  </si>
  <si>
    <t>MQ0592</t>
  </si>
  <si>
    <t>MQ0593</t>
  </si>
  <si>
    <t>MQ0595</t>
  </si>
  <si>
    <t>MQ0594</t>
  </si>
  <si>
    <t>MC4525</t>
  </si>
  <si>
    <t>CN5225</t>
  </si>
  <si>
    <t>MC2285</t>
  </si>
  <si>
    <t>MC4481</t>
  </si>
  <si>
    <t>MC3040</t>
  </si>
  <si>
    <t>MC3748</t>
  </si>
  <si>
    <t>MC3298</t>
  </si>
  <si>
    <t>MC4047</t>
  </si>
  <si>
    <t>MC3424</t>
  </si>
  <si>
    <t>LC7305</t>
  </si>
  <si>
    <t>MC0468</t>
  </si>
  <si>
    <t>LC9617</t>
  </si>
  <si>
    <t>LC7311</t>
  </si>
  <si>
    <t>MC3746</t>
  </si>
  <si>
    <t>LC7301</t>
  </si>
  <si>
    <t>CN5236</t>
  </si>
  <si>
    <t>MC1468</t>
  </si>
  <si>
    <t>CR4362</t>
  </si>
  <si>
    <t>CN5237</t>
  </si>
  <si>
    <t>MC1658</t>
  </si>
  <si>
    <t>CR4364</t>
  </si>
  <si>
    <t>LC7312</t>
  </si>
  <si>
    <t>CN5221</t>
  </si>
  <si>
    <t>MC0465</t>
  </si>
  <si>
    <t>MC2493</t>
  </si>
  <si>
    <t>CR4351</t>
  </si>
  <si>
    <t>MC4443</t>
  </si>
  <si>
    <t>MQ0510</t>
  </si>
  <si>
    <t>CE0996</t>
  </si>
  <si>
    <t>MQ0511</t>
  </si>
  <si>
    <t>CE0997</t>
  </si>
  <si>
    <t>CE1356</t>
  </si>
  <si>
    <t>MQ6043</t>
  </si>
  <si>
    <t>CE1257</t>
  </si>
  <si>
    <t>CN2310</t>
  </si>
  <si>
    <t>CN2311</t>
  </si>
  <si>
    <t>CN5226</t>
  </si>
  <si>
    <t>CN2376</t>
  </si>
  <si>
    <t>CN5228</t>
  </si>
  <si>
    <t>CR4354</t>
  </si>
  <si>
    <t>CN5229</t>
  </si>
  <si>
    <t>CR4355</t>
  </si>
  <si>
    <t>CN5230</t>
  </si>
  <si>
    <t>CN5231</t>
  </si>
  <si>
    <t>CR4356</t>
  </si>
  <si>
    <t>CN5232</t>
  </si>
  <si>
    <t>CR4357</t>
  </si>
  <si>
    <t>CN5216</t>
  </si>
  <si>
    <t>CN5217</t>
  </si>
  <si>
    <t>CN5218</t>
  </si>
  <si>
    <t>CN5219</t>
  </si>
  <si>
    <t>CN2312</t>
  </si>
  <si>
    <t>LC7300</t>
  </si>
  <si>
    <t>MC4100</t>
  </si>
  <si>
    <t>MC3139</t>
  </si>
  <si>
    <t>LQ6024</t>
  </si>
  <si>
    <t>LC7306</t>
  </si>
  <si>
    <t>MC0792</t>
  </si>
  <si>
    <t>MQ0788</t>
  </si>
  <si>
    <t>LQ3935</t>
  </si>
  <si>
    <t>MQ6044</t>
  </si>
  <si>
    <t>MQ0834</t>
  </si>
  <si>
    <t>MQ3170</t>
  </si>
  <si>
    <t>MQ0514</t>
  </si>
  <si>
    <t>MQ0512</t>
  </si>
  <si>
    <t>MQ0513</t>
  </si>
  <si>
    <t>MQ0578</t>
  </si>
  <si>
    <t>MQ0579</t>
  </si>
  <si>
    <t>MQ0515</t>
  </si>
  <si>
    <t>MQ0516</t>
  </si>
  <si>
    <t>MQ6045</t>
  </si>
  <si>
    <t>MC4221</t>
  </si>
  <si>
    <t>MC3749</t>
  </si>
  <si>
    <t>CN5222</t>
  </si>
  <si>
    <t>LH5190</t>
  </si>
  <si>
    <t>MC0467</t>
  </si>
  <si>
    <t>CN5235</t>
  </si>
  <si>
    <t>MC2003</t>
  </si>
  <si>
    <t>CR4358</t>
  </si>
  <si>
    <t>MQ0517</t>
  </si>
  <si>
    <t>CN5238</t>
  </si>
  <si>
    <t>MC2001</t>
  </si>
  <si>
    <t>CN5223</t>
  </si>
  <si>
    <t>MQ0300</t>
  </si>
  <si>
    <t>CR4343</t>
  </si>
  <si>
    <t>MQ0644</t>
  </si>
  <si>
    <t>CN5239</t>
  </si>
  <si>
    <t>MC0955</t>
  </si>
  <si>
    <t>CR4363</t>
  </si>
  <si>
    <t>CN5233</t>
  </si>
  <si>
    <t>CN5234</t>
  </si>
  <si>
    <t>CR4360</t>
  </si>
  <si>
    <t>MC2747</t>
  </si>
  <si>
    <t>LH0006</t>
  </si>
  <si>
    <t>MQ0596</t>
  </si>
  <si>
    <t>MQ0597</t>
  </si>
  <si>
    <t>MC4385</t>
  </si>
  <si>
    <t>CE1000</t>
  </si>
  <si>
    <t>MQ0610</t>
  </si>
  <si>
    <t>CE1001</t>
  </si>
  <si>
    <t>MC4386</t>
  </si>
  <si>
    <t>CE1002</t>
  </si>
  <si>
    <t>MC2494</t>
  </si>
  <si>
    <t>LC7302</t>
  </si>
  <si>
    <t>MC3747</t>
  </si>
  <si>
    <t>CN5224</t>
  </si>
  <si>
    <t>CR4342</t>
  </si>
  <si>
    <t>MQ3172</t>
  </si>
  <si>
    <t>LH5179</t>
  </si>
  <si>
    <t>LC7316</t>
  </si>
  <si>
    <t>MC3196</t>
  </si>
  <si>
    <t>CE1723</t>
  </si>
  <si>
    <t>MQ0645</t>
  </si>
  <si>
    <t>MQ6046</t>
  </si>
  <si>
    <t>MQ6047</t>
  </si>
  <si>
    <t>CE1506</t>
  </si>
  <si>
    <t>MQ0646</t>
  </si>
  <si>
    <t>MQ0647</t>
  </si>
  <si>
    <t>LK0214</t>
  </si>
  <si>
    <t>LC7380</t>
  </si>
  <si>
    <t>LC7350</t>
  </si>
  <si>
    <t>MC0795</t>
  </si>
  <si>
    <t>LC7360</t>
  </si>
  <si>
    <t>MC4482</t>
  </si>
  <si>
    <t>LH8831</t>
  </si>
  <si>
    <t>MC4015</t>
  </si>
  <si>
    <t>LL5041</t>
  </si>
  <si>
    <t>LL2148</t>
  </si>
  <si>
    <t>LL2124</t>
  </si>
  <si>
    <t>LL2125</t>
  </si>
  <si>
    <t>LL2128</t>
  </si>
  <si>
    <t>KY2128</t>
  </si>
  <si>
    <t>LL2133</t>
  </si>
  <si>
    <t>LL2131</t>
  </si>
  <si>
    <t>LL8194</t>
  </si>
  <si>
    <t>LL2135</t>
  </si>
  <si>
    <t>LL2139</t>
  </si>
  <si>
    <t>LL2137</t>
  </si>
  <si>
    <t>LL2143</t>
  </si>
  <si>
    <t>LL2145</t>
  </si>
  <si>
    <t>LL2141</t>
  </si>
  <si>
    <t>LL2146</t>
  </si>
  <si>
    <t>LL2147</t>
  </si>
  <si>
    <t>LL2150</t>
  </si>
  <si>
    <t>LL2152</t>
  </si>
  <si>
    <t>LL2154</t>
  </si>
  <si>
    <t>LL2149</t>
  </si>
  <si>
    <t>LL0121</t>
  </si>
  <si>
    <t>LL2156</t>
  </si>
  <si>
    <t>LL2161</t>
  </si>
  <si>
    <t>LL2160</t>
  </si>
  <si>
    <t>LL4017</t>
  </si>
  <si>
    <t>LL2144</t>
  </si>
  <si>
    <t>LL2155</t>
  </si>
  <si>
    <t>LL2157</t>
  </si>
  <si>
    <t>KY2157</t>
  </si>
  <si>
    <t>LL2153</t>
  </si>
  <si>
    <t>LL2167</t>
  </si>
  <si>
    <t>LL2140</t>
  </si>
  <si>
    <t>LL2159</t>
  </si>
  <si>
    <t>LL2265</t>
  </si>
  <si>
    <t>LL4822</t>
  </si>
  <si>
    <t>LL2266</t>
  </si>
  <si>
    <t>LL8140</t>
  </si>
  <si>
    <t>MC3438</t>
  </si>
  <si>
    <t>MC3439</t>
  </si>
  <si>
    <t>MC4113</t>
  </si>
  <si>
    <t>MC3440</t>
  </si>
  <si>
    <t>MC4360</t>
  </si>
  <si>
    <t>MC4361</t>
  </si>
  <si>
    <t>MC3914</t>
  </si>
  <si>
    <t>MC3915</t>
  </si>
  <si>
    <t>LL2158</t>
  </si>
  <si>
    <t>LL2275</t>
  </si>
  <si>
    <t>LL2130</t>
  </si>
  <si>
    <t>LL5014</t>
  </si>
  <si>
    <t>LL2168</t>
  </si>
  <si>
    <t>MQ6048</t>
  </si>
  <si>
    <t>CR3935</t>
  </si>
  <si>
    <t>LH3120</t>
  </si>
  <si>
    <t>MC0471</t>
  </si>
  <si>
    <t>MQ0518</t>
  </si>
  <si>
    <t>MQ6049</t>
  </si>
  <si>
    <t>MQ0611</t>
  </si>
  <si>
    <t>LH3053</t>
  </si>
  <si>
    <t>MC1469</t>
  </si>
  <si>
    <t>MQ6050</t>
  </si>
  <si>
    <t>MC3043</t>
  </si>
  <si>
    <t>MQ6051</t>
  </si>
  <si>
    <t>CR3936</t>
  </si>
  <si>
    <t>MC1470</t>
  </si>
  <si>
    <t>MQ0519</t>
  </si>
  <si>
    <t>MQ0625</t>
  </si>
  <si>
    <t>MQ0598</t>
  </si>
  <si>
    <t>MQ0301</t>
  </si>
  <si>
    <t>MQ0789</t>
  </si>
  <si>
    <t>MQ0520</t>
  </si>
  <si>
    <t>MQ5152</t>
  </si>
  <si>
    <t>MQ5153</t>
  </si>
  <si>
    <t>MQ5116</t>
  </si>
  <si>
    <t>MQ6052</t>
  </si>
  <si>
    <t>MC4317</t>
  </si>
  <si>
    <t>MQ0790</t>
  </si>
  <si>
    <t>MQ0791</t>
  </si>
  <si>
    <t>MC0473</t>
  </si>
  <si>
    <t>MQ0718</t>
  </si>
  <si>
    <t>MQ0521</t>
  </si>
  <si>
    <t>CN5240</t>
  </si>
  <si>
    <t>CR4365</t>
  </si>
  <si>
    <t>CN5241</t>
  </si>
  <si>
    <t>CR4366</t>
  </si>
  <si>
    <t>CN5242</t>
  </si>
  <si>
    <t>CR4367</t>
  </si>
  <si>
    <t>CN5243</t>
  </si>
  <si>
    <t>CR4368</t>
  </si>
  <si>
    <t>CN5244</t>
  </si>
  <si>
    <t>CR4369</t>
  </si>
  <si>
    <t>CN5245</t>
  </si>
  <si>
    <t>MQ0792</t>
  </si>
  <si>
    <t>MC3752</t>
  </si>
  <si>
    <t>LH3130</t>
  </si>
  <si>
    <t>MC0475</t>
  </si>
  <si>
    <t>LH3133</t>
  </si>
  <si>
    <t>MC0476</t>
  </si>
  <si>
    <t>CN5252</t>
  </si>
  <si>
    <t>MC0477</t>
  </si>
  <si>
    <t>CR4765</t>
  </si>
  <si>
    <t>MQ0793</t>
  </si>
  <si>
    <t>CN5251</t>
  </si>
  <si>
    <t>CN5246</t>
  </si>
  <si>
    <t>CN5247</t>
  </si>
  <si>
    <t>CN2378</t>
  </si>
  <si>
    <t>CN5248</t>
  </si>
  <si>
    <t>CN5249</t>
  </si>
  <si>
    <t>CR4871</t>
  </si>
  <si>
    <t>CN2379</t>
  </si>
  <si>
    <t>CN5250</t>
  </si>
  <si>
    <t>CR3803</t>
  </si>
  <si>
    <t>MQ0302</t>
  </si>
  <si>
    <t>MQ0648</t>
  </si>
  <si>
    <t>CE1724</t>
  </si>
  <si>
    <t>MQ7166</t>
  </si>
  <si>
    <t>CE1004</t>
  </si>
  <si>
    <t>MQ0649</t>
  </si>
  <si>
    <t>CE1725</t>
  </si>
  <si>
    <t>MQ0719</t>
  </si>
  <si>
    <t>MQ7255</t>
  </si>
  <si>
    <t>CE1005</t>
  </si>
  <si>
    <t>MC4294</t>
  </si>
  <si>
    <t>MC4392</t>
  </si>
  <si>
    <t>MQ0303</t>
  </si>
  <si>
    <t>MC4071</t>
  </si>
  <si>
    <t>MQ0650</t>
  </si>
  <si>
    <t>MC4483</t>
  </si>
  <si>
    <t>MC4526</t>
  </si>
  <si>
    <t>MC4295</t>
  </si>
  <si>
    <t>MC4297</t>
  </si>
  <si>
    <t>MC4387</t>
  </si>
  <si>
    <t>MC3754</t>
  </si>
  <si>
    <t>MC4331</t>
  </si>
  <si>
    <t>MC3456</t>
  </si>
  <si>
    <t>MC0481</t>
  </si>
  <si>
    <t>MC0482</t>
  </si>
  <si>
    <t>LH5220</t>
  </si>
  <si>
    <t>MC0484</t>
  </si>
  <si>
    <t>LH5225</t>
  </si>
  <si>
    <t>MC0483</t>
  </si>
  <si>
    <t>MC1273</t>
  </si>
  <si>
    <t>MC4223</t>
  </si>
  <si>
    <t>MC0486</t>
  </si>
  <si>
    <t>MC0487</t>
  </si>
  <si>
    <t>MC0490</t>
  </si>
  <si>
    <t>LG2225</t>
  </si>
  <si>
    <t>MC4028</t>
  </si>
  <si>
    <t>MC3763</t>
  </si>
  <si>
    <t>MC3765</t>
  </si>
  <si>
    <t>LG4201</t>
  </si>
  <si>
    <t>MC3894</t>
  </si>
  <si>
    <t>MC3764</t>
  </si>
  <si>
    <t>LB8889</t>
  </si>
  <si>
    <t>LB8891</t>
  </si>
  <si>
    <t>LH7960</t>
  </si>
  <si>
    <t>LK6345</t>
  </si>
  <si>
    <t>MC0697</t>
  </si>
  <si>
    <t>LK0397</t>
  </si>
  <si>
    <t>LK4690</t>
  </si>
  <si>
    <t>LK6393</t>
  </si>
  <si>
    <t>LK0215</t>
  </si>
  <si>
    <t>MC3084</t>
  </si>
  <si>
    <t>LH5285</t>
  </si>
  <si>
    <t>MC0494</t>
  </si>
  <si>
    <t>LH5302</t>
  </si>
  <si>
    <t>MC0888</t>
  </si>
  <si>
    <t>MC1916</t>
  </si>
  <si>
    <t>LH8830</t>
  </si>
  <si>
    <t>MC0497</t>
  </si>
  <si>
    <t>LK5798</t>
  </si>
  <si>
    <t>LB4336</t>
  </si>
  <si>
    <t>LB0215</t>
  </si>
  <si>
    <t>LB0216</t>
  </si>
  <si>
    <t>LB4367</t>
  </si>
  <si>
    <t>LK7013</t>
  </si>
  <si>
    <t>LB2667</t>
  </si>
  <si>
    <t>LK5799</t>
  </si>
  <si>
    <t>CN5254</t>
  </si>
  <si>
    <t>MQ6054</t>
  </si>
  <si>
    <t>CN5253</t>
  </si>
  <si>
    <t>MC0499</t>
  </si>
  <si>
    <t>CN2313</t>
  </si>
  <si>
    <t>MC2012</t>
  </si>
  <si>
    <t>MC4388</t>
  </si>
  <si>
    <t>MC4444</t>
  </si>
  <si>
    <t>LK2715</t>
  </si>
  <si>
    <t>LQ5524</t>
  </si>
  <si>
    <t>CR2653</t>
  </si>
  <si>
    <t>CR3723</t>
  </si>
  <si>
    <t>CR3123</t>
  </si>
  <si>
    <t>CR3124</t>
  </si>
  <si>
    <t>CR3126</t>
  </si>
  <si>
    <t>CR3127</t>
  </si>
  <si>
    <t>CR3128</t>
  </si>
  <si>
    <t>LK5278</t>
  </si>
  <si>
    <t>LB4435</t>
  </si>
  <si>
    <t>LB4456</t>
  </si>
  <si>
    <t>LH5327</t>
  </si>
  <si>
    <t>MC0500</t>
  </si>
  <si>
    <t>LB4459</t>
  </si>
  <si>
    <t>MC1281</t>
  </si>
  <si>
    <t>LS0074</t>
  </si>
  <si>
    <t>LQ6294</t>
  </si>
  <si>
    <t>LQ6199</t>
  </si>
  <si>
    <t>LQ6200</t>
  </si>
  <si>
    <t>LQ3839</t>
  </si>
  <si>
    <t>LQ0078</t>
  </si>
  <si>
    <t>CR3385</t>
  </si>
  <si>
    <t>LQ0317</t>
  </si>
  <si>
    <t>CR2371</t>
  </si>
  <si>
    <t>LQ3840</t>
  </si>
  <si>
    <t>LQ0804</t>
  </si>
  <si>
    <t>CR2372</t>
  </si>
  <si>
    <t>LQ3841</t>
  </si>
  <si>
    <t>LQ3842</t>
  </si>
  <si>
    <t>LQ3917</t>
  </si>
  <si>
    <t>CR4073</t>
  </si>
  <si>
    <t>CR4967</t>
  </si>
  <si>
    <t>CR4968</t>
  </si>
  <si>
    <t>CR4969</t>
  </si>
  <si>
    <t>CR4970</t>
  </si>
  <si>
    <t>CR4971</t>
  </si>
  <si>
    <t>CR4972</t>
  </si>
  <si>
    <t>LQ3843</t>
  </si>
  <si>
    <t>LQ0752</t>
  </si>
  <si>
    <t>CR2374</t>
  </si>
  <si>
    <t>LQ0753</t>
  </si>
  <si>
    <t>CR2375</t>
  </si>
  <si>
    <t>LQ0142</t>
  </si>
  <si>
    <t>LQ0806</t>
  </si>
  <si>
    <t>CR3270</t>
  </si>
  <si>
    <t>LQ0287</t>
  </si>
  <si>
    <t>CR2976</t>
  </si>
  <si>
    <t>LQ0319</t>
  </si>
  <si>
    <t>CR2376</t>
  </si>
  <si>
    <t>LQ3844</t>
  </si>
  <si>
    <t>LQ3918</t>
  </si>
  <si>
    <t>MB4425</t>
  </si>
  <si>
    <t>LQ3871</t>
  </si>
  <si>
    <t>LB4473</t>
  </si>
  <si>
    <t>LB4474</t>
  </si>
  <si>
    <t>LB4478</t>
  </si>
  <si>
    <t>LK3398</t>
  </si>
  <si>
    <t>LB4475</t>
  </si>
  <si>
    <t>MC0501</t>
  </si>
  <si>
    <t>LB4441</t>
  </si>
  <si>
    <t>LB4487</t>
  </si>
  <si>
    <t>LB4488</t>
  </si>
  <si>
    <t>LB4442</t>
  </si>
  <si>
    <t>LB4443</t>
  </si>
  <si>
    <t>LB4444</t>
  </si>
  <si>
    <t>LB4481</t>
  </si>
  <si>
    <t>LB4489</t>
  </si>
  <si>
    <t>LB4445</t>
  </si>
  <si>
    <t>LQ3888</t>
  </si>
  <si>
    <t>CR5195</t>
  </si>
  <si>
    <t>LQ3889</t>
  </si>
  <si>
    <t>LQ3890</t>
  </si>
  <si>
    <t>CR5196</t>
  </si>
  <si>
    <t>LB4447</t>
  </si>
  <si>
    <t>LB4427</t>
  </si>
  <si>
    <t>LB4479</t>
  </si>
  <si>
    <t>LB4448</t>
  </si>
  <si>
    <t>LB4452</t>
  </si>
  <si>
    <t>LB4468</t>
  </si>
  <si>
    <t>LB4483</t>
  </si>
  <si>
    <t>LB4480</t>
  </si>
  <si>
    <t>LB4493</t>
  </si>
  <si>
    <t>LB4469</t>
  </si>
  <si>
    <t>LQ3845</t>
  </si>
  <si>
    <t>MC0502</t>
  </si>
  <si>
    <t>LK5279</t>
  </si>
  <si>
    <t>LQ0062</t>
  </si>
  <si>
    <t>LQ0682</t>
  </si>
  <si>
    <t>CR3304</t>
  </si>
  <si>
    <t>LQ3846</t>
  </si>
  <si>
    <t>LQ0594</t>
  </si>
  <si>
    <t>CR2654</t>
  </si>
  <si>
    <t>LQ0288</t>
  </si>
  <si>
    <t>CR4973</t>
  </si>
  <si>
    <t>CR3305</t>
  </si>
  <si>
    <t>LQ5645</t>
  </si>
  <si>
    <t>LQ0063</t>
  </si>
  <si>
    <t>MC4352</t>
  </si>
  <si>
    <t>MC4353</t>
  </si>
  <si>
    <t>MC4048</t>
  </si>
  <si>
    <t>MC4393</t>
  </si>
  <si>
    <t>MC4354</t>
  </si>
  <si>
    <t>MC3924</t>
  </si>
  <si>
    <t>CE0458</t>
  </si>
  <si>
    <t>CE1357</t>
  </si>
  <si>
    <t>CE1420</t>
  </si>
  <si>
    <t>CE1750</t>
  </si>
  <si>
    <t>CE1421</t>
  </si>
  <si>
    <t>CE0464</t>
  </si>
  <si>
    <t>CE0460</t>
  </si>
  <si>
    <t>CE0827</t>
  </si>
  <si>
    <t>CE1358</t>
  </si>
  <si>
    <t>CE0465</t>
  </si>
  <si>
    <t>CE1359</t>
  </si>
  <si>
    <t>CE0469</t>
  </si>
  <si>
    <t>CE1234</t>
  </si>
  <si>
    <t>CE0470</t>
  </si>
  <si>
    <t>CE1098</t>
  </si>
  <si>
    <t>CE0471</t>
  </si>
  <si>
    <t>CE0875</t>
  </si>
  <si>
    <t>CE0466</t>
  </si>
  <si>
    <t>CE0467</t>
  </si>
  <si>
    <t>CE0468</t>
  </si>
  <si>
    <t>CE1720</t>
  </si>
  <si>
    <t>LB4505</t>
  </si>
  <si>
    <t>LB4510</t>
  </si>
  <si>
    <t>MC3925</t>
  </si>
  <si>
    <t>LB4525</t>
  </si>
  <si>
    <t>LB4529</t>
  </si>
  <si>
    <t>MC4527</t>
  </si>
  <si>
    <t>LK1817</t>
  </si>
  <si>
    <t>LS0003</t>
  </si>
  <si>
    <t>LK5162</t>
  </si>
  <si>
    <t>LK5684</t>
  </si>
  <si>
    <t>LB0481</t>
  </si>
  <si>
    <t>LK3770</t>
  </si>
  <si>
    <t>LK3771</t>
  </si>
  <si>
    <t>LK3772</t>
  </si>
  <si>
    <t>LK3773</t>
  </si>
  <si>
    <t>LB0471</t>
  </si>
  <si>
    <t>LB0473</t>
  </si>
  <si>
    <t>LB0469</t>
  </si>
  <si>
    <t>LB0470</t>
  </si>
  <si>
    <t>LK4777</t>
  </si>
  <si>
    <t>LB0474</t>
  </si>
  <si>
    <t>LK4618</t>
  </si>
  <si>
    <t>LK4778</t>
  </si>
  <si>
    <t>LB0472</t>
  </si>
  <si>
    <t>LB0468</t>
  </si>
  <si>
    <t>LK6749</t>
  </si>
  <si>
    <t>LK6750</t>
  </si>
  <si>
    <t>LK6751</t>
  </si>
  <si>
    <t>LK6752</t>
  </si>
  <si>
    <t>LK5685</t>
  </si>
  <si>
    <t>LK5163</t>
  </si>
  <si>
    <t>LB0542</t>
  </si>
  <si>
    <t>LB0547</t>
  </si>
  <si>
    <t>LB0573</t>
  </si>
  <si>
    <t>LQ6284</t>
  </si>
  <si>
    <t>LQ6285</t>
  </si>
  <si>
    <t>LQ6286</t>
  </si>
  <si>
    <t>LQ6051</t>
  </si>
  <si>
    <t>LQ5818</t>
  </si>
  <si>
    <t>LQ6133</t>
  </si>
  <si>
    <t>LQ5905</t>
  </si>
  <si>
    <t>LQ5990</t>
  </si>
  <si>
    <t>LQ5803</t>
  </si>
  <si>
    <t>LQ6134</t>
  </si>
  <si>
    <t>LQ5820</t>
  </si>
  <si>
    <t>LB0590</t>
  </si>
  <si>
    <t>LK2049</t>
  </si>
  <si>
    <t>LK0072</t>
  </si>
  <si>
    <t>LK4620</t>
  </si>
  <si>
    <t>LK4262</t>
  </si>
  <si>
    <t>LK0073</t>
  </si>
  <si>
    <t>LB0489</t>
  </si>
  <si>
    <t>LK2738</t>
  </si>
  <si>
    <t>LB0490</t>
  </si>
  <si>
    <t>LB0594</t>
  </si>
  <si>
    <t>LB0595</t>
  </si>
  <si>
    <t>LB0597</t>
  </si>
  <si>
    <t>CR2378</t>
  </si>
  <si>
    <t>CR2379</t>
  </si>
  <si>
    <t>CR2380</t>
  </si>
  <si>
    <t>CR3686</t>
  </si>
  <si>
    <t>CR2381</t>
  </si>
  <si>
    <t>CR2382</t>
  </si>
  <si>
    <t>CR2383</t>
  </si>
  <si>
    <t>LH5381</t>
  </si>
  <si>
    <t>CR2978</t>
  </si>
  <si>
    <t>LK6083</t>
  </si>
  <si>
    <t>LK1275</t>
  </si>
  <si>
    <t>LC7400</t>
  </si>
  <si>
    <t>MC4397</t>
  </si>
  <si>
    <t>LH5416</t>
  </si>
  <si>
    <t>MC0890</t>
  </si>
  <si>
    <t>MC4101</t>
  </si>
  <si>
    <t>MC4102</t>
  </si>
  <si>
    <t>MC4103</t>
  </si>
  <si>
    <t>MC4104</t>
  </si>
  <si>
    <t>MC4105</t>
  </si>
  <si>
    <t>MC4106</t>
  </si>
  <si>
    <t>MC4107</t>
  </si>
  <si>
    <t>MC4108</t>
  </si>
  <si>
    <t>LH5417</t>
  </si>
  <si>
    <t>MC1286</t>
  </si>
  <si>
    <t>LH5418</t>
  </si>
  <si>
    <t>MC0891</t>
  </si>
  <si>
    <t>LH5419</t>
  </si>
  <si>
    <t>MC0892</t>
  </si>
  <si>
    <t>LH5420</t>
  </si>
  <si>
    <t>MC1287</t>
  </si>
  <si>
    <t>LH5421</t>
  </si>
  <si>
    <t>MC0893</t>
  </si>
  <si>
    <t>MC4298</t>
  </si>
  <si>
    <t>MC4299</t>
  </si>
  <si>
    <t>MC4300</t>
  </si>
  <si>
    <t>MC4301</t>
  </si>
  <si>
    <t>MC4302</t>
  </si>
  <si>
    <t>MC4303</t>
  </si>
  <si>
    <t>LH5477</t>
  </si>
  <si>
    <t>MC0505</t>
  </si>
  <si>
    <t>MC1471</t>
  </si>
  <si>
    <t>MC0506</t>
  </si>
  <si>
    <t>MC0509</t>
  </si>
  <si>
    <t>LH5445</t>
  </si>
  <si>
    <t>MC0510</t>
  </si>
  <si>
    <t>MC0513</t>
  </si>
  <si>
    <t>MQ0599</t>
  </si>
  <si>
    <t>MQ0626</t>
  </si>
  <si>
    <t>MQ0794</t>
  </si>
  <si>
    <t>MQ0600</t>
  </si>
  <si>
    <t>MQ0795</t>
  </si>
  <si>
    <t>MQ0796</t>
  </si>
  <si>
    <t>MQ0601</t>
  </si>
  <si>
    <t>MQ6055</t>
  </si>
  <si>
    <t>MQ0602</t>
  </si>
  <si>
    <t>MQ0603</t>
  </si>
  <si>
    <t>LH5450</t>
  </si>
  <si>
    <t>MC0514</t>
  </si>
  <si>
    <t>MC0515</t>
  </si>
  <si>
    <t>MC2669</t>
  </si>
  <si>
    <t>MC0519</t>
  </si>
  <si>
    <t>LH5487</t>
  </si>
  <si>
    <t>MC0517</t>
  </si>
  <si>
    <t>MC1289</t>
  </si>
  <si>
    <t>MC3895</t>
  </si>
  <si>
    <t>MC3768</t>
  </si>
  <si>
    <t>LH8845</t>
  </si>
  <si>
    <t>MC1290</t>
  </si>
  <si>
    <t>LQ3150</t>
  </si>
  <si>
    <t>MC0523</t>
  </si>
  <si>
    <t>LF4592</t>
  </si>
  <si>
    <t>MC0522</t>
  </si>
  <si>
    <t>MQ0720</t>
  </si>
  <si>
    <t>MC1472</t>
  </si>
  <si>
    <t>LK2600</t>
  </si>
  <si>
    <t>CN5256</t>
  </si>
  <si>
    <t>MC2617</t>
  </si>
  <si>
    <t>CE0472</t>
  </si>
  <si>
    <t>LH0002</t>
  </si>
  <si>
    <t>MC1569</t>
  </si>
  <si>
    <t>CR2385</t>
  </si>
  <si>
    <t>CN5255</t>
  </si>
  <si>
    <t>LS0075</t>
  </si>
  <si>
    <t>LQ3244</t>
  </si>
  <si>
    <t>CR2979</t>
  </si>
  <si>
    <t>MQ0721</t>
  </si>
  <si>
    <t>LQ0144</t>
  </si>
  <si>
    <t>LQ3919</t>
  </si>
  <si>
    <t>CR4143</t>
  </si>
  <si>
    <t>LK6213</t>
  </si>
  <si>
    <t>CR2384</t>
  </si>
  <si>
    <t>MC3128</t>
  </si>
  <si>
    <t>MC0526</t>
  </si>
  <si>
    <t>MC0528</t>
  </si>
  <si>
    <t>MC1293</t>
  </si>
  <si>
    <t>MC0529</t>
  </si>
  <si>
    <t>LH8920</t>
  </si>
  <si>
    <t>MC2862</t>
  </si>
  <si>
    <t>LQ3806</t>
  </si>
  <si>
    <t>MB4500</t>
  </si>
  <si>
    <t>LG4500</t>
  </si>
  <si>
    <t>CE1656</t>
  </si>
  <si>
    <t>CE1657</t>
  </si>
  <si>
    <t>LD0038</t>
  </si>
  <si>
    <t>LF4610</t>
  </si>
  <si>
    <t>LS0077</t>
  </si>
  <si>
    <t>LK5281</t>
  </si>
  <si>
    <t>LS0078</t>
  </si>
  <si>
    <t>LS0080</t>
  </si>
  <si>
    <t>LK6865</t>
  </si>
  <si>
    <t>LK5481</t>
  </si>
  <si>
    <t>LK5482</t>
  </si>
  <si>
    <t>LK7166</t>
  </si>
  <si>
    <t>LK5485</t>
  </si>
  <si>
    <t>LK5486</t>
  </si>
  <si>
    <t>LB4603</t>
  </si>
  <si>
    <t>LB4602</t>
  </si>
  <si>
    <t>LB4601</t>
  </si>
  <si>
    <t>LB4678</t>
  </si>
  <si>
    <t>LB4600</t>
  </si>
  <si>
    <t>LK5494</t>
  </si>
  <si>
    <t>LK6086</t>
  </si>
  <si>
    <t>LK5495</t>
  </si>
  <si>
    <t>LK5496</t>
  </si>
  <si>
    <t>LS0082</t>
  </si>
  <si>
    <t>LK6588</t>
  </si>
  <si>
    <t>LK6827</t>
  </si>
  <si>
    <t>LK6828</t>
  </si>
  <si>
    <t>LK6803</t>
  </si>
  <si>
    <t>LK6804</t>
  </si>
  <si>
    <t>LK6805</t>
  </si>
  <si>
    <t>LK6806</t>
  </si>
  <si>
    <t>LB4650</t>
  </si>
  <si>
    <t>LB4654</t>
  </si>
  <si>
    <t>LB4674</t>
  </si>
  <si>
    <t>LB4655</t>
  </si>
  <si>
    <t>LB4658</t>
  </si>
  <si>
    <t>LB4656</t>
  </si>
  <si>
    <t>LB4659</t>
  </si>
  <si>
    <t>LB4657</t>
  </si>
  <si>
    <t>LB4661</t>
  </si>
  <si>
    <t>LB4660</t>
  </si>
  <si>
    <t>LB4858</t>
  </si>
  <si>
    <t>LB4670</t>
  </si>
  <si>
    <t>LB5028</t>
  </si>
  <si>
    <t>LB5241</t>
  </si>
  <si>
    <t>LB5365</t>
  </si>
  <si>
    <t>LK6220</t>
  </si>
  <si>
    <t>LK6223</t>
  </si>
  <si>
    <t>LK6222</t>
  </si>
  <si>
    <t>LK6224</t>
  </si>
  <si>
    <t>LB4723</t>
  </si>
  <si>
    <t>LK7167</t>
  </si>
  <si>
    <t>LK5491</t>
  </si>
  <si>
    <t>LK5487</t>
  </si>
  <si>
    <t>LK5488</t>
  </si>
  <si>
    <t>LK5489</t>
  </si>
  <si>
    <t>LK7168</t>
  </si>
  <si>
    <t>LK5490</t>
  </si>
  <si>
    <t>LK5492</t>
  </si>
  <si>
    <t>LK5493</t>
  </si>
  <si>
    <t>LB5089</t>
  </si>
  <si>
    <t>LB5100</t>
  </si>
  <si>
    <t>LB4675</t>
  </si>
  <si>
    <t>LB4732</t>
  </si>
  <si>
    <t>LB4734</t>
  </si>
  <si>
    <t>LB4736</t>
  </si>
  <si>
    <t>LB4738</t>
  </si>
  <si>
    <t>LB4628</t>
  </si>
  <si>
    <t>LB4743</t>
  </si>
  <si>
    <t>LB4744</t>
  </si>
  <si>
    <t>LB4745</t>
  </si>
  <si>
    <t>LB4694</t>
  </si>
  <si>
    <t>LK0799</t>
  </si>
  <si>
    <t>LB4699</t>
  </si>
  <si>
    <t>LB4700</t>
  </si>
  <si>
    <t>LB4702</t>
  </si>
  <si>
    <t>LB4703</t>
  </si>
  <si>
    <t>LK1618</t>
  </si>
  <si>
    <t>LB4704</t>
  </si>
  <si>
    <t>LK0800</t>
  </si>
  <si>
    <t>LB4708</t>
  </si>
  <si>
    <t>LB4597</t>
  </si>
  <si>
    <t>LB4755</t>
  </si>
  <si>
    <t>LB4756</t>
  </si>
  <si>
    <t>LB4757</t>
  </si>
  <si>
    <t>LK6866</t>
  </si>
  <si>
    <t>LK6867</t>
  </si>
  <si>
    <t>LK6868</t>
  </si>
  <si>
    <t>LK6869</t>
  </si>
  <si>
    <t>LK6085</t>
  </si>
  <si>
    <t>LK6557</t>
  </si>
  <si>
    <t>LS0081</t>
  </si>
  <si>
    <t>LB4664</t>
  </si>
  <si>
    <t>LK2891</t>
  </si>
  <si>
    <t>LB4709</t>
  </si>
  <si>
    <t>MC4484</t>
  </si>
  <si>
    <t>MC4485</t>
  </si>
  <si>
    <t>LS0076</t>
  </si>
  <si>
    <t>LK6907</t>
  </si>
  <si>
    <t>LK6908</t>
  </si>
  <si>
    <t>LK6909</t>
  </si>
  <si>
    <t>LK6910</t>
  </si>
  <si>
    <t>LK6911</t>
  </si>
  <si>
    <t>LK6912</t>
  </si>
  <si>
    <t>LB4707</t>
  </si>
  <si>
    <t>LB4863</t>
  </si>
  <si>
    <t>LB4866</t>
  </si>
  <si>
    <t>LB4867</t>
  </si>
  <si>
    <t>LB4869</t>
  </si>
  <si>
    <t>LB4663</t>
  </si>
  <si>
    <t>LB4864</t>
  </si>
  <si>
    <t>LK5801</t>
  </si>
  <si>
    <t>LK5802</t>
  </si>
  <si>
    <t>LK5803</t>
  </si>
  <si>
    <t>LK5804</t>
  </si>
  <si>
    <t>LK5805</t>
  </si>
  <si>
    <t>LK5806</t>
  </si>
  <si>
    <t>LK5807</t>
  </si>
  <si>
    <t>LK5808</t>
  </si>
  <si>
    <t>LB4879</t>
  </si>
  <si>
    <t>LK6647</t>
  </si>
  <si>
    <t>LK0233</t>
  </si>
  <si>
    <t>LK0801</t>
  </si>
  <si>
    <t>LK0234</t>
  </si>
  <si>
    <t>LK0235</t>
  </si>
  <si>
    <t>LK0236</t>
  </si>
  <si>
    <t>LB4881</t>
  </si>
  <si>
    <t>LB4880</t>
  </si>
  <si>
    <t>LB4882</t>
  </si>
  <si>
    <t>LB4906</t>
  </si>
  <si>
    <t>LB4903</t>
  </si>
  <si>
    <t>LB4902</t>
  </si>
  <si>
    <t>LB4900</t>
  </si>
  <si>
    <t>LB4904</t>
  </si>
  <si>
    <t>LB4907</t>
  </si>
  <si>
    <t>LB4635</t>
  </si>
  <si>
    <t>LB4595</t>
  </si>
  <si>
    <t>LB4905</t>
  </si>
  <si>
    <t>LK6084</t>
  </si>
  <si>
    <t>LB4790</t>
  </si>
  <si>
    <t>LK2672</t>
  </si>
  <si>
    <t>LB5031</t>
  </si>
  <si>
    <t>LB4948</t>
  </si>
  <si>
    <t>LB4952</t>
  </si>
  <si>
    <t>LB4960</t>
  </si>
  <si>
    <t>LK6753</t>
  </si>
  <si>
    <t>LK6754</t>
  </si>
  <si>
    <t>LB4622</t>
  </si>
  <si>
    <t>LB4637</t>
  </si>
  <si>
    <t>LB4638</t>
  </si>
  <si>
    <t>LB4676</t>
  </si>
  <si>
    <t>LB4639</t>
  </si>
  <si>
    <t>LB4624</t>
  </si>
  <si>
    <t>LB4970</t>
  </si>
  <si>
    <t>LB4966</t>
  </si>
  <si>
    <t>LK6913</t>
  </si>
  <si>
    <t>LK6914</t>
  </si>
  <si>
    <t>LK6915</t>
  </si>
  <si>
    <t>LK6916</t>
  </si>
  <si>
    <t>LB4688</t>
  </si>
  <si>
    <t>LB4967</t>
  </si>
  <si>
    <t>LB4968</t>
  </si>
  <si>
    <t>LK1624</t>
  </si>
  <si>
    <t>LK1522</t>
  </si>
  <si>
    <t>LK0237</t>
  </si>
  <si>
    <t>LB5025</t>
  </si>
  <si>
    <t>LS0083</t>
  </si>
  <si>
    <t>LB5058</t>
  </si>
  <si>
    <t>LB5059</t>
  </si>
  <si>
    <t>LK5809</t>
  </si>
  <si>
    <t>LK5810</t>
  </si>
  <si>
    <t>LK5811</t>
  </si>
  <si>
    <t>LK5812</t>
  </si>
  <si>
    <t>LB4641</t>
  </si>
  <si>
    <t>LS0084</t>
  </si>
  <si>
    <t>LB4642</t>
  </si>
  <si>
    <t>LB4643</t>
  </si>
  <si>
    <t>LB4644</t>
  </si>
  <si>
    <t>LB5178</t>
  </si>
  <si>
    <t>LB4645</t>
  </si>
  <si>
    <t>LB4647</t>
  </si>
  <si>
    <t>LB5179</t>
  </si>
  <si>
    <t>LB4646</t>
  </si>
  <si>
    <t>LB5180</t>
  </si>
  <si>
    <t>LK1280</t>
  </si>
  <si>
    <t>LB5120</t>
  </si>
  <si>
    <t>LK6087</t>
  </si>
  <si>
    <t>LK6394</t>
  </si>
  <si>
    <t>LK7015</t>
  </si>
  <si>
    <t>LK7014</t>
  </si>
  <si>
    <t>LK6395</t>
  </si>
  <si>
    <t>LK6396</t>
  </si>
  <si>
    <t>LK6397</t>
  </si>
  <si>
    <t>LK6398</t>
  </si>
  <si>
    <t>LK6399</t>
  </si>
  <si>
    <t>LK6336</t>
  </si>
  <si>
    <t>LK6400</t>
  </si>
  <si>
    <t>LK6401</t>
  </si>
  <si>
    <t>LB4795</t>
  </si>
  <si>
    <t>LK3873</t>
  </si>
  <si>
    <t>LK4423</t>
  </si>
  <si>
    <t>LK4408</t>
  </si>
  <si>
    <t>LK3874</t>
  </si>
  <si>
    <t>LK4409</t>
  </si>
  <si>
    <t>LB5036</t>
  </si>
  <si>
    <t>LB5380</t>
  </si>
  <si>
    <t>LK3399</t>
  </si>
  <si>
    <t>LS0079</t>
  </si>
  <si>
    <t>LB5358</t>
  </si>
  <si>
    <t>LS0085</t>
  </si>
  <si>
    <t>LK7016</t>
  </si>
  <si>
    <t>LB5346</t>
  </si>
  <si>
    <t>LB5341</t>
  </si>
  <si>
    <t>LB5342</t>
  </si>
  <si>
    <t>LB4720</t>
  </si>
  <si>
    <t>LK7017</t>
  </si>
  <si>
    <t>LK3613</t>
  </si>
  <si>
    <t>LB5345</t>
  </si>
  <si>
    <t>LC7625</t>
  </si>
  <si>
    <t>LC7627</t>
  </si>
  <si>
    <t>LC3387</t>
  </si>
  <si>
    <t>MC0796</t>
  </si>
  <si>
    <t>LC9623</t>
  </si>
  <si>
    <t>MC4476</t>
  </si>
  <si>
    <t>CN5257</t>
  </si>
  <si>
    <t>MC1294</t>
  </si>
  <si>
    <t>LQ6070</t>
  </si>
  <si>
    <t>LQ3872</t>
  </si>
  <si>
    <t>LQ3279</t>
  </si>
  <si>
    <t>LK2608</t>
  </si>
  <si>
    <t>LB5416</t>
  </si>
  <si>
    <t>LB5417</t>
  </si>
  <si>
    <t>LK6088</t>
  </si>
  <si>
    <t>LK0802</t>
  </si>
  <si>
    <t>LB5415</t>
  </si>
  <si>
    <t>LB5418</t>
  </si>
  <si>
    <t>LK6210</t>
  </si>
  <si>
    <t>LL2290</t>
  </si>
  <si>
    <t>LL8195</t>
  </si>
  <si>
    <t>LL2291</t>
  </si>
  <si>
    <t>LL5015</t>
  </si>
  <si>
    <t>LL4852</t>
  </si>
  <si>
    <t>LL2293</t>
  </si>
  <si>
    <t>LL2295</t>
  </si>
  <si>
    <t>KY2295</t>
  </si>
  <si>
    <t>LL2297</t>
  </si>
  <si>
    <t>LL0057</t>
  </si>
  <si>
    <t>LL2611</t>
  </si>
  <si>
    <t>LL0159</t>
  </si>
  <si>
    <t>LL2301</t>
  </si>
  <si>
    <t>LL2302</t>
  </si>
  <si>
    <t>LL2300</t>
  </si>
  <si>
    <t>LL2617</t>
  </si>
  <si>
    <t>LL8023</t>
  </si>
  <si>
    <t>LL2320</t>
  </si>
  <si>
    <t>LL2319</t>
  </si>
  <si>
    <t>LL2298</t>
  </si>
  <si>
    <t>LL2616</t>
  </si>
  <si>
    <t>LL8198</t>
  </si>
  <si>
    <t>LL2321</t>
  </si>
  <si>
    <t>LL8199</t>
  </si>
  <si>
    <t>LL0148</t>
  </si>
  <si>
    <t>LL0058</t>
  </si>
  <si>
    <t>LL8201</t>
  </si>
  <si>
    <t>LL2332</t>
  </si>
  <si>
    <t>MC0531</t>
  </si>
  <si>
    <t>LB5420</t>
  </si>
  <si>
    <t>MC3225</t>
  </si>
  <si>
    <t>LF4710</t>
  </si>
  <si>
    <t>LK0238</t>
  </si>
  <si>
    <t>LB5516</t>
  </si>
  <si>
    <t>LK5813</t>
  </si>
  <si>
    <t>LQ6240</t>
  </si>
  <si>
    <t>LK2900</t>
  </si>
  <si>
    <t>LB5500</t>
  </si>
  <si>
    <t>LB5390</t>
  </si>
  <si>
    <t>CR4378</t>
  </si>
  <si>
    <t>LC5110</t>
  </si>
  <si>
    <t>MC4486</t>
  </si>
  <si>
    <t>MC4487</t>
  </si>
  <si>
    <t>MC4488</t>
  </si>
  <si>
    <t>LC8405</t>
  </si>
  <si>
    <t>LC8406</t>
  </si>
  <si>
    <t>MC0798</t>
  </si>
  <si>
    <t>LC8407</t>
  </si>
  <si>
    <t>MC4116</t>
  </si>
  <si>
    <t>LC8408</t>
  </si>
  <si>
    <t>MC4489</t>
  </si>
  <si>
    <t>LC8401</t>
  </si>
  <si>
    <t>MC4499</t>
  </si>
  <si>
    <t>LC8422</t>
  </si>
  <si>
    <t>LC8410</t>
  </si>
  <si>
    <t>MC4490</t>
  </si>
  <si>
    <t>LC8411</t>
  </si>
  <si>
    <t>MC4491</t>
  </si>
  <si>
    <t>MC4492</t>
  </si>
  <si>
    <t>LC8416</t>
  </si>
  <si>
    <t>MC2273</t>
  </si>
  <si>
    <t>CN5258</t>
  </si>
  <si>
    <t>LC8424</t>
  </si>
  <si>
    <t>LC8402</t>
  </si>
  <si>
    <t>LK6089</t>
  </si>
  <si>
    <t>LC8413</t>
  </si>
  <si>
    <t>LC9624</t>
  </si>
  <si>
    <t>MC4117</t>
  </si>
  <si>
    <t>LC3397</t>
  </si>
  <si>
    <t>MC4493</t>
  </si>
  <si>
    <t>LC8414</t>
  </si>
  <si>
    <t>MC4118</t>
  </si>
  <si>
    <t>LC8601</t>
  </si>
  <si>
    <t>LC8400</t>
  </si>
  <si>
    <t>MC0800</t>
  </si>
  <si>
    <t>CN5261</t>
  </si>
  <si>
    <t>MC0801</t>
  </si>
  <si>
    <t>CR4379</t>
  </si>
  <si>
    <t>LC3398</t>
  </si>
  <si>
    <t>LC9275</t>
  </si>
  <si>
    <t>MC0802</t>
  </si>
  <si>
    <t>CN5259</t>
  </si>
  <si>
    <t>CR4376</t>
  </si>
  <si>
    <t>MC4494</t>
  </si>
  <si>
    <t>MC4495</t>
  </si>
  <si>
    <t>MC4496</t>
  </si>
  <si>
    <t>LB5601</t>
  </si>
  <si>
    <t>MC1183</t>
  </si>
  <si>
    <t>MQ0225</t>
  </si>
  <si>
    <t>MC1918</t>
  </si>
  <si>
    <t>MC0532</t>
  </si>
  <si>
    <t>MQ6056</t>
  </si>
  <si>
    <t>MC1922</t>
  </si>
  <si>
    <t>MC0533</t>
  </si>
  <si>
    <t>MC0538</t>
  </si>
  <si>
    <t>MC0536</t>
  </si>
  <si>
    <t>MC0537</t>
  </si>
  <si>
    <t>MC1184</t>
  </si>
  <si>
    <t>MC1614</t>
  </si>
  <si>
    <t>LK3274</t>
  </si>
  <si>
    <t>LK3272</t>
  </si>
  <si>
    <t>LK3278</t>
  </si>
  <si>
    <t>LK3275</t>
  </si>
  <si>
    <t>LK3277</t>
  </si>
  <si>
    <t>LK3276</t>
  </si>
  <si>
    <t>LK3273</t>
  </si>
  <si>
    <t>LK6353</t>
  </si>
  <si>
    <t>LK6840</t>
  </si>
  <si>
    <t>LK5992</t>
  </si>
  <si>
    <t>MB9902</t>
  </si>
  <si>
    <t>LK5993</t>
  </si>
  <si>
    <t>MC4112</t>
  </si>
  <si>
    <t>LK6319</t>
  </si>
  <si>
    <t>MB9802</t>
  </si>
  <si>
    <t>MC3330</t>
  </si>
  <si>
    <t>MB9805</t>
  </si>
  <si>
    <t>MB9803</t>
  </si>
  <si>
    <t>MC3331</t>
  </si>
  <si>
    <t>MB9801</t>
  </si>
  <si>
    <t>MC3329</t>
  </si>
  <si>
    <t>MB9804</t>
  </si>
  <si>
    <t>LB1201</t>
  </si>
  <si>
    <t>MQ3173</t>
  </si>
  <si>
    <t>MQ3174</t>
  </si>
  <si>
    <t>MQ3175</t>
  </si>
  <si>
    <t>MQ3176</t>
  </si>
  <si>
    <t>LC5300</t>
  </si>
  <si>
    <t>MQ0722</t>
  </si>
  <si>
    <t>MQ0723</t>
  </si>
  <si>
    <t>MQ0724</t>
  </si>
  <si>
    <t>MC0539</t>
  </si>
  <si>
    <t>CN5269</t>
  </si>
  <si>
    <t>MQ3044</t>
  </si>
  <si>
    <t>CR4384</t>
  </si>
  <si>
    <t>MC0542</t>
  </si>
  <si>
    <t>MQ0307</t>
  </si>
  <si>
    <t>MC1295</t>
  </si>
  <si>
    <t>MQ0522</t>
  </si>
  <si>
    <t>MQ0523</t>
  </si>
  <si>
    <t>MQ0524</t>
  </si>
  <si>
    <t>MC0543</t>
  </si>
  <si>
    <t>MC1570</t>
  </si>
  <si>
    <t>MC0544</t>
  </si>
  <si>
    <t>LH5802</t>
  </si>
  <si>
    <t>MC1297</t>
  </si>
  <si>
    <t>CN5265</t>
  </si>
  <si>
    <t>CR4383</t>
  </si>
  <si>
    <t>MQ5141</t>
  </si>
  <si>
    <t>CN5267</t>
  </si>
  <si>
    <t>CN5266</t>
  </si>
  <si>
    <t>CR3804</t>
  </si>
  <si>
    <t>CN5268</t>
  </si>
  <si>
    <t>CR3806</t>
  </si>
  <si>
    <t>MC1659</t>
  </si>
  <si>
    <t>MC4466</t>
  </si>
  <si>
    <t>LF4815</t>
  </si>
  <si>
    <t>LF3491</t>
  </si>
  <si>
    <t>LF0033</t>
  </si>
  <si>
    <t>MC4154</t>
  </si>
  <si>
    <t>CR3200</t>
  </si>
  <si>
    <t>MC2319</t>
  </si>
  <si>
    <t>MC4155</t>
  </si>
  <si>
    <t>MC1926</t>
  </si>
  <si>
    <t>MC3227</t>
  </si>
  <si>
    <t>MC4440</t>
  </si>
  <si>
    <t>MC4441</t>
  </si>
  <si>
    <t>MC2542</t>
  </si>
  <si>
    <t>LK5694</t>
  </si>
  <si>
    <t>LK5696</t>
  </si>
  <si>
    <t>LK6838</t>
  </si>
  <si>
    <t>LK5697</t>
  </si>
  <si>
    <t>LK5698</t>
  </si>
  <si>
    <t>LL2685</t>
  </si>
  <si>
    <t>LL0001</t>
  </si>
  <si>
    <t>LL2688</t>
  </si>
  <si>
    <t>LL8277</t>
  </si>
  <si>
    <t>LL8203</t>
  </si>
  <si>
    <t>MC4405</t>
  </si>
  <si>
    <t>MC4406</t>
  </si>
  <si>
    <t>MC4407</t>
  </si>
  <si>
    <t>MC3769</t>
  </si>
  <si>
    <t>MC4026</t>
  </si>
  <si>
    <t>LH5855</t>
  </si>
  <si>
    <t>MC0547</t>
  </si>
  <si>
    <t>MC3197</t>
  </si>
  <si>
    <t>MC4318</t>
  </si>
  <si>
    <t>MC4319</t>
  </si>
  <si>
    <t>MC0548</t>
  </si>
  <si>
    <t>MC2844</t>
  </si>
  <si>
    <t>MC4225</t>
  </si>
  <si>
    <t>LH8832</t>
  </si>
  <si>
    <t>LB5674</t>
  </si>
  <si>
    <t>LK6589</t>
  </si>
  <si>
    <t>LK0020</t>
  </si>
  <si>
    <t>LB5671</t>
  </si>
  <si>
    <t>LK2673</t>
  </si>
  <si>
    <t>LK6012</t>
  </si>
  <si>
    <t>LK0241</t>
  </si>
  <si>
    <t>LB5673</t>
  </si>
  <si>
    <t>LL8269</t>
  </si>
  <si>
    <t>LC8485</t>
  </si>
  <si>
    <t>LB5680</t>
  </si>
  <si>
    <t>LK6967</t>
  </si>
  <si>
    <t>LB5676</t>
  </si>
  <si>
    <t>LC9580</t>
  </si>
  <si>
    <t>LB5670</t>
  </si>
  <si>
    <t>LF7600</t>
  </si>
  <si>
    <t>CR2388</t>
  </si>
  <si>
    <t>CR2389</t>
  </si>
  <si>
    <t>CR5061</t>
  </si>
  <si>
    <t>CR5206</t>
  </si>
  <si>
    <t>CR5207</t>
  </si>
  <si>
    <t>CR5208</t>
  </si>
  <si>
    <t>CR2390</t>
  </si>
  <si>
    <t>CR2391</t>
  </si>
  <si>
    <t>CR3995</t>
  </si>
  <si>
    <t>CR2392</t>
  </si>
  <si>
    <t>CR2869</t>
  </si>
  <si>
    <t>CR5209</t>
  </si>
  <si>
    <t>LK5659</t>
  </si>
  <si>
    <t>LK5660</t>
  </si>
  <si>
    <t>LK5661</t>
  </si>
  <si>
    <t>LK5820</t>
  </si>
  <si>
    <t>LQ3873</t>
  </si>
  <si>
    <t>CR4828</t>
  </si>
  <si>
    <t>LK2601</t>
  </si>
  <si>
    <t>CR4829</t>
  </si>
  <si>
    <t>CR4830</t>
  </si>
  <si>
    <t>LQ3758</t>
  </si>
  <si>
    <t>LQ3874</t>
  </si>
  <si>
    <t>LB5757</t>
  </si>
  <si>
    <t>MC1436</t>
  </si>
  <si>
    <t>LQ0850</t>
  </si>
  <si>
    <t>LK6834</t>
  </si>
  <si>
    <t>LK6755</t>
  </si>
  <si>
    <t>LQ6071</t>
  </si>
  <si>
    <t>LQ6201</t>
  </si>
  <si>
    <t>LQ6025</t>
  </si>
  <si>
    <t>LQ5527</t>
  </si>
  <si>
    <t>LQ0958</t>
  </si>
  <si>
    <t>LQ6252</t>
  </si>
  <si>
    <t>LQ5964</t>
  </si>
  <si>
    <t>LQ6026</t>
  </si>
  <si>
    <t>LQ5965</t>
  </si>
  <si>
    <t>LQ5966</t>
  </si>
  <si>
    <t>LQ6202</t>
  </si>
  <si>
    <t>LQ3473</t>
  </si>
  <si>
    <t>CR2984</t>
  </si>
  <si>
    <t>LQ3475</t>
  </si>
  <si>
    <t>CR3447</t>
  </si>
  <si>
    <t>LQ3476</t>
  </si>
  <si>
    <t>LQ3477</t>
  </si>
  <si>
    <t>LQ3478</t>
  </si>
  <si>
    <t>LQ3479</t>
  </si>
  <si>
    <t>CR3549</t>
  </si>
  <si>
    <t>LQ3807</t>
  </si>
  <si>
    <t>CR2980</t>
  </si>
  <si>
    <t>CR4831</t>
  </si>
  <si>
    <t>LK1968</t>
  </si>
  <si>
    <t>LK4855</t>
  </si>
  <si>
    <t>LK6807</t>
  </si>
  <si>
    <t>LK6808</t>
  </si>
  <si>
    <t>CR4832</t>
  </si>
  <si>
    <t>LK6092</t>
  </si>
  <si>
    <t>CR4833</t>
  </si>
  <si>
    <t>CR4834</t>
  </si>
  <si>
    <t>LB5756</t>
  </si>
  <si>
    <t>MQ5123</t>
  </si>
  <si>
    <t>MQ6057</t>
  </si>
  <si>
    <t>MC4226</t>
  </si>
  <si>
    <t>MC0549</t>
  </si>
  <si>
    <t>LC5420</t>
  </si>
  <si>
    <t>LC5615</t>
  </si>
  <si>
    <t>MC0780</t>
  </si>
  <si>
    <t>MQ0835</t>
  </si>
  <si>
    <t>MC1573</t>
  </si>
  <si>
    <t>CN5270</t>
  </si>
  <si>
    <t>MQ5128</t>
  </si>
  <si>
    <t>MC3158</t>
  </si>
  <si>
    <t>LH8847</t>
  </si>
  <si>
    <t>MQ0725</t>
  </si>
  <si>
    <t>MC2971</t>
  </si>
  <si>
    <t>MQ0554</t>
  </si>
  <si>
    <t>MQ0726</t>
  </si>
  <si>
    <t>MQ6058</t>
  </si>
  <si>
    <t>MC0550</t>
  </si>
  <si>
    <t>CN5271</t>
  </si>
  <si>
    <t>MC1303</t>
  </si>
  <si>
    <t>CR4387</t>
  </si>
  <si>
    <t>MQ0651</t>
  </si>
  <si>
    <t>MQ0652</t>
  </si>
  <si>
    <t>MC0896</t>
  </si>
  <si>
    <t>LK1292</t>
  </si>
  <si>
    <t>LB5700</t>
  </si>
  <si>
    <t>LB5749</t>
  </si>
  <si>
    <t>LK1628</t>
  </si>
  <si>
    <t>LK2499</t>
  </si>
  <si>
    <t>LK2676</t>
  </si>
  <si>
    <t>LK5822</t>
  </si>
  <si>
    <t>LB3746</t>
  </si>
  <si>
    <t>LB3742</t>
  </si>
  <si>
    <t>LK0243</t>
  </si>
  <si>
    <t>LB3743</t>
  </si>
  <si>
    <t>LB3744</t>
  </si>
  <si>
    <t>LB3747</t>
  </si>
  <si>
    <t>LB3745</t>
  </si>
  <si>
    <t>LK3887</t>
  </si>
  <si>
    <t>LK3889</t>
  </si>
  <si>
    <t>LK3890</t>
  </si>
  <si>
    <t>LK3891</t>
  </si>
  <si>
    <t>LK3894</t>
  </si>
  <si>
    <t>LK3895</t>
  </si>
  <si>
    <t>LB5729</t>
  </si>
  <si>
    <t>LB5768</t>
  </si>
  <si>
    <t>LB5765</t>
  </si>
  <si>
    <t>LK0051</t>
  </si>
  <si>
    <t>LY0262</t>
  </si>
  <si>
    <t>MC2022</t>
  </si>
  <si>
    <t>MQ0797</t>
  </si>
  <si>
    <t>MQ0308</t>
  </si>
  <si>
    <t>LH5967</t>
  </si>
  <si>
    <t>MC0554</t>
  </si>
  <si>
    <t>MC0555</t>
  </si>
  <si>
    <t>CN5272</t>
  </si>
  <si>
    <t>LH5969</t>
  </si>
  <si>
    <t>MC0552</t>
  </si>
  <si>
    <t>CR4388</t>
  </si>
  <si>
    <t>MC2023</t>
  </si>
  <si>
    <t>CN5273</t>
  </si>
  <si>
    <t>CR4389</t>
  </si>
  <si>
    <t>MC0553</t>
  </si>
  <si>
    <t>LL2706</t>
  </si>
  <si>
    <t>LL2702</t>
  </si>
  <si>
    <t>LL8329</t>
  </si>
  <si>
    <t>LL2701</t>
  </si>
  <si>
    <t>LL0040</t>
  </si>
  <si>
    <t>LL0041</t>
  </si>
  <si>
    <t>LL2700</t>
  </si>
  <si>
    <t>LL4837</t>
  </si>
  <si>
    <t>LL8204</t>
  </si>
  <si>
    <t>LL2861</t>
  </si>
  <si>
    <t>LL0160</t>
  </si>
  <si>
    <t>LL2827</t>
  </si>
  <si>
    <t>LL2833</t>
  </si>
  <si>
    <t>LL2830</t>
  </si>
  <si>
    <t>LL1702</t>
  </si>
  <si>
    <t>LL8312</t>
  </si>
  <si>
    <t>LL2785</t>
  </si>
  <si>
    <t>LL0161</t>
  </si>
  <si>
    <t>LL2779</t>
  </si>
  <si>
    <t>LL2829</t>
  </si>
  <si>
    <t>LL2832</t>
  </si>
  <si>
    <t>LL2835</t>
  </si>
  <si>
    <t>LL2840</t>
  </si>
  <si>
    <t>LL2860</t>
  </si>
  <si>
    <t>LL0162</t>
  </si>
  <si>
    <t>LH6010</t>
  </si>
  <si>
    <t>LK2110</t>
  </si>
  <si>
    <t>LG5000</t>
  </si>
  <si>
    <t>MC4340</t>
  </si>
  <si>
    <t>CR4396</t>
  </si>
  <si>
    <t>LC9625</t>
  </si>
  <si>
    <t>LC3399</t>
  </si>
  <si>
    <t>MC2222</t>
  </si>
  <si>
    <t>CR4395</t>
  </si>
  <si>
    <t>LC8503</t>
  </si>
  <si>
    <t>LC8100</t>
  </si>
  <si>
    <t>KP8100</t>
  </si>
  <si>
    <t>MC0807</t>
  </si>
  <si>
    <t>MQ0798</t>
  </si>
  <si>
    <t>LC8505</t>
  </si>
  <si>
    <t>CN5276</t>
  </si>
  <si>
    <t>MC0805</t>
  </si>
  <si>
    <t>CR4393</t>
  </si>
  <si>
    <t>CN5277</t>
  </si>
  <si>
    <t>MC2224</t>
  </si>
  <si>
    <t>CN5278</t>
  </si>
  <si>
    <t>MC0806</t>
  </si>
  <si>
    <t>CN5275</t>
  </si>
  <si>
    <t>MC2024</t>
  </si>
  <si>
    <t>CR4391</t>
  </si>
  <si>
    <t>LC9619</t>
  </si>
  <si>
    <t>LK5634</t>
  </si>
  <si>
    <t>LC8502</t>
  </si>
  <si>
    <t>MC0808</t>
  </si>
  <si>
    <t>CR4392</t>
  </si>
  <si>
    <t>MC4363</t>
  </si>
  <si>
    <t>MC4364</t>
  </si>
  <si>
    <t>MC4365</t>
  </si>
  <si>
    <t>MC4366</t>
  </si>
  <si>
    <t>LL0275</t>
  </si>
  <si>
    <t>LB5785</t>
  </si>
  <si>
    <t>LK5003</t>
  </si>
  <si>
    <t>LK6334</t>
  </si>
  <si>
    <t>LL1891</t>
  </si>
  <si>
    <t>LH6100</t>
  </si>
  <si>
    <t>MC1541</t>
  </si>
  <si>
    <t>LB5804</t>
  </si>
  <si>
    <t>LB5805</t>
  </si>
  <si>
    <t>LK6511</t>
  </si>
  <si>
    <t>LK4412</t>
  </si>
  <si>
    <t>LK0470</t>
  </si>
  <si>
    <t>LK0471</t>
  </si>
  <si>
    <t>LB0380</t>
  </si>
  <si>
    <t>LB0381</t>
  </si>
  <si>
    <t>LK7074</t>
  </si>
  <si>
    <t>LK7075</t>
  </si>
  <si>
    <t>LK6991</t>
  </si>
  <si>
    <t>LK6992</t>
  </si>
  <si>
    <t>LB0069</t>
  </si>
  <si>
    <t>LB5790</t>
  </si>
  <si>
    <t>LK4752</t>
  </si>
  <si>
    <t>LK7076</t>
  </si>
  <si>
    <t>LK7077</t>
  </si>
  <si>
    <t>LK3299</t>
  </si>
  <si>
    <t>LB5796</t>
  </si>
  <si>
    <t>LB5797</t>
  </si>
  <si>
    <t>LB5781</t>
  </si>
  <si>
    <t>LB5819</t>
  </si>
  <si>
    <t>LB5783</t>
  </si>
  <si>
    <t>LB5784</t>
  </si>
  <si>
    <t>LK7078</t>
  </si>
  <si>
    <t>LK6993</t>
  </si>
  <si>
    <t>LB5798</t>
  </si>
  <si>
    <t>LB5786</t>
  </si>
  <si>
    <t>LB5787</t>
  </si>
  <si>
    <t>LB5788</t>
  </si>
  <si>
    <t>LB2669</t>
  </si>
  <si>
    <t>LB2670</t>
  </si>
  <si>
    <t>LK0468</t>
  </si>
  <si>
    <t>LK0025</t>
  </si>
  <si>
    <t>LK4639</t>
  </si>
  <si>
    <t>LK4640</t>
  </si>
  <si>
    <t>LB5793</t>
  </si>
  <si>
    <t>LB5794</t>
  </si>
  <si>
    <t>LK5725</t>
  </si>
  <si>
    <t>LK4788</t>
  </si>
  <si>
    <t>LK4789</t>
  </si>
  <si>
    <t>LK4790</t>
  </si>
  <si>
    <t>LK0023</t>
  </si>
  <si>
    <t>LB2663</t>
  </si>
  <si>
    <t>LK1200</t>
  </si>
  <si>
    <t>LK1571</t>
  </si>
  <si>
    <t>LK1683</t>
  </si>
  <si>
    <t>MC2240</t>
  </si>
  <si>
    <t>LF1118</t>
  </si>
  <si>
    <t>LK0307</t>
  </si>
  <si>
    <t>LH8941</t>
  </si>
  <si>
    <t>LK6250</t>
  </si>
  <si>
    <t>LK4792</t>
  </si>
  <si>
    <t>LK4793</t>
  </si>
  <si>
    <t>LK4794</t>
  </si>
  <si>
    <t>LK6535</t>
  </si>
  <si>
    <t>LK4795</t>
  </si>
  <si>
    <t>LK4956</t>
  </si>
  <si>
    <t>LK3300</t>
  </si>
  <si>
    <t>LK3301</t>
  </si>
  <si>
    <t>LK3799</t>
  </si>
  <si>
    <t>LK3303</t>
  </si>
  <si>
    <t>LQ5609</t>
  </si>
  <si>
    <t>LQ3759</t>
  </si>
  <si>
    <t>LK6968</t>
  </si>
  <si>
    <t>MC3772</t>
  </si>
  <si>
    <t>CR2876</t>
  </si>
  <si>
    <t>CR4082</t>
  </si>
  <si>
    <t>CR2440</t>
  </si>
  <si>
    <t>CR4083</t>
  </si>
  <si>
    <t>CR5210</t>
  </si>
  <si>
    <t>CR2441</t>
  </si>
  <si>
    <t>CR5211</t>
  </si>
  <si>
    <t>CR5212</t>
  </si>
  <si>
    <t>CR2723</t>
  </si>
  <si>
    <t>CR2882</t>
  </si>
  <si>
    <t>CR3900</t>
  </si>
  <si>
    <t>CR5213</t>
  </si>
  <si>
    <t>CR5214</t>
  </si>
  <si>
    <t>CR5215</t>
  </si>
  <si>
    <t>CR5216</t>
  </si>
  <si>
    <t>CR5217</t>
  </si>
  <si>
    <t>CR2442</t>
  </si>
  <si>
    <t>CR2724</t>
  </si>
  <si>
    <t>CR2885</t>
  </si>
  <si>
    <t>CR2443</t>
  </si>
  <si>
    <t>CR2444</t>
  </si>
  <si>
    <t>LQ6001</t>
  </si>
  <si>
    <t>LQ6099</t>
  </si>
  <si>
    <t>LQ6000</t>
  </si>
  <si>
    <t>LQ5924</t>
  </si>
  <si>
    <t>LQ6100</t>
  </si>
  <si>
    <t>LQ6253</t>
  </si>
  <si>
    <t>LQ6101</t>
  </si>
  <si>
    <t>LQ5404</t>
  </si>
  <si>
    <t>LQ5074</t>
  </si>
  <si>
    <t>LQ5405</t>
  </si>
  <si>
    <t>LQ0431</t>
  </si>
  <si>
    <t>LQ6295</t>
  </si>
  <si>
    <t>LQ6241</t>
  </si>
  <si>
    <t>LQ6143</t>
  </si>
  <si>
    <t>LQ5836</t>
  </si>
  <si>
    <t>LQ5922</t>
  </si>
  <si>
    <t>LQ5837</t>
  </si>
  <si>
    <t>LQ6296</t>
  </si>
  <si>
    <t>LQ5923</t>
  </si>
  <si>
    <t>LQ6203</t>
  </si>
  <si>
    <t>LB5739</t>
  </si>
  <si>
    <t>LQ0973</t>
  </si>
  <si>
    <t>CR2447</t>
  </si>
  <si>
    <t>CR2448</t>
  </si>
  <si>
    <t>CE0475</t>
  </si>
  <si>
    <t>CE0476</t>
  </si>
  <si>
    <t>CE1447</t>
  </si>
  <si>
    <t>CE0477</t>
  </si>
  <si>
    <t>CE1236</t>
  </si>
  <si>
    <t>CE0478</t>
  </si>
  <si>
    <t>CE0485</t>
  </si>
  <si>
    <t>CE1360</t>
  </si>
  <si>
    <t>CE1492</t>
  </si>
  <si>
    <t>CE0480</t>
  </si>
  <si>
    <t>CE0481</t>
  </si>
  <si>
    <t>CE0482</t>
  </si>
  <si>
    <t>CE0483</t>
  </si>
  <si>
    <t>CE0484</t>
  </si>
  <si>
    <t>LK2575</t>
  </si>
  <si>
    <t>LK2576</t>
  </si>
  <si>
    <t>LG5410</t>
  </si>
  <si>
    <t>LK2577</t>
  </si>
  <si>
    <t>LG5411</t>
  </si>
  <si>
    <t>LQ3827</t>
  </si>
  <si>
    <t>CN2233</t>
  </si>
  <si>
    <t>LF0045</t>
  </si>
  <si>
    <t>CN5279</t>
  </si>
  <si>
    <t>CN5280</t>
  </si>
  <si>
    <t>MC4085</t>
  </si>
  <si>
    <t>CN5282</t>
  </si>
  <si>
    <t>CN5281</t>
  </si>
  <si>
    <t>LH6140</t>
  </si>
  <si>
    <t>MC0560</t>
  </si>
  <si>
    <t>CN2234</t>
  </si>
  <si>
    <t>CN2235</t>
  </si>
  <si>
    <t>CN2236</t>
  </si>
  <si>
    <t>MC1932</t>
  </si>
  <si>
    <t>MC2711</t>
  </si>
  <si>
    <t>MC3889</t>
  </si>
  <si>
    <t>LK6158</t>
  </si>
  <si>
    <t>LK6159</t>
  </si>
  <si>
    <t>LK6161</t>
  </si>
  <si>
    <t>LK6482</t>
  </si>
  <si>
    <t>LK6670</t>
  </si>
  <si>
    <t>LK6669</t>
  </si>
  <si>
    <t>LK6483</t>
  </si>
  <si>
    <t>LK6164</t>
  </si>
  <si>
    <t>LK6485</t>
  </si>
  <si>
    <t>LK6165</t>
  </si>
  <si>
    <t>LK6887</t>
  </si>
  <si>
    <t>LK6168</t>
  </si>
  <si>
    <t>LK6173</t>
  </si>
  <si>
    <t>LK5401</t>
  </si>
  <si>
    <t>LB1906</t>
  </si>
  <si>
    <t>LK6809</t>
  </si>
  <si>
    <t>LS0088</t>
  </si>
  <si>
    <t>LB9376</t>
  </si>
  <si>
    <t>LS0089</t>
  </si>
  <si>
    <t>LS0090</t>
  </si>
  <si>
    <t>LK2905</t>
  </si>
  <si>
    <t>LK1520</t>
  </si>
  <si>
    <t>LK6648</t>
  </si>
  <si>
    <t>LK7090</t>
  </si>
  <si>
    <t>LK7091</t>
  </si>
  <si>
    <t>LK7092</t>
  </si>
  <si>
    <t>LK7093</t>
  </si>
  <si>
    <t>LK7094</t>
  </si>
  <si>
    <t>CN5427</t>
  </si>
  <si>
    <t>CR4524</t>
  </si>
  <si>
    <t>CN5428</t>
  </si>
  <si>
    <t>CN5429</t>
  </si>
  <si>
    <t>CR4525</t>
  </si>
  <si>
    <t>LK5290</t>
  </si>
  <si>
    <t>LK7042</t>
  </si>
  <si>
    <t>LK5577</t>
  </si>
  <si>
    <t>LK6486</t>
  </si>
  <si>
    <t>LK5578</t>
  </si>
  <si>
    <t>LK5584</t>
  </si>
  <si>
    <t>LK5579</t>
  </si>
  <si>
    <t>LK5580</t>
  </si>
  <si>
    <t>LK5581</t>
  </si>
  <si>
    <t>LK6487</t>
  </si>
  <si>
    <t>LK5582</t>
  </si>
  <si>
    <t>LK5583</t>
  </si>
  <si>
    <t>LK5585</t>
  </si>
  <si>
    <t>LK5586</t>
  </si>
  <si>
    <t>LK6488</t>
  </si>
  <si>
    <t>LK7115</t>
  </si>
  <si>
    <t>LK5587</t>
  </si>
  <si>
    <t>LB5917</t>
  </si>
  <si>
    <t>LK4427</t>
  </si>
  <si>
    <t>LB1908</t>
  </si>
  <si>
    <t>LK0246</t>
  </si>
  <si>
    <t>LK4857</t>
  </si>
  <si>
    <t>LK4323</t>
  </si>
  <si>
    <t>LK3400</t>
  </si>
  <si>
    <t>LB1909</t>
  </si>
  <si>
    <t>LK2910</t>
  </si>
  <si>
    <t>LK4858</t>
  </si>
  <si>
    <t>LK1313</t>
  </si>
  <si>
    <t>LB1910</t>
  </si>
  <si>
    <t>LK4325</t>
  </si>
  <si>
    <t>LB1911</t>
  </si>
  <si>
    <t>LK3401</t>
  </si>
  <si>
    <t>LK4326</t>
  </si>
  <si>
    <t>LK3402</t>
  </si>
  <si>
    <t>LB1912</t>
  </si>
  <si>
    <t>LK4327</t>
  </si>
  <si>
    <t>LK3403</t>
  </si>
  <si>
    <t>LB1913</t>
  </si>
  <si>
    <t>CN5435</t>
  </si>
  <si>
    <t>MC2123</t>
  </si>
  <si>
    <t>CR4519</t>
  </si>
  <si>
    <t>NM0063</t>
  </si>
  <si>
    <t>NM0084</t>
  </si>
  <si>
    <t>NM0067</t>
  </si>
  <si>
    <t>NM0065</t>
  </si>
  <si>
    <t>NM0070</t>
  </si>
  <si>
    <t>NM0002</t>
  </si>
  <si>
    <t>NM0006</t>
  </si>
  <si>
    <t>NM0078</t>
  </si>
  <si>
    <t>NM0068</t>
  </si>
  <si>
    <t>NM0001</t>
  </si>
  <si>
    <t>NM0069</t>
  </si>
  <si>
    <t>NM0007</t>
  </si>
  <si>
    <t>NM0064</t>
  </si>
  <si>
    <t>NM0071</t>
  </si>
  <si>
    <t>NM0080</t>
  </si>
  <si>
    <t>MB6170</t>
  </si>
  <si>
    <t>NM0081</t>
  </si>
  <si>
    <t>NM0066</t>
  </si>
  <si>
    <t>NM0003</t>
  </si>
  <si>
    <t>NM0004</t>
  </si>
  <si>
    <t>NM0005</t>
  </si>
  <si>
    <t>LB5910</t>
  </si>
  <si>
    <t>LB5912</t>
  </si>
  <si>
    <t>LB5950</t>
  </si>
  <si>
    <t>LB5913</t>
  </si>
  <si>
    <t>LB6024</t>
  </si>
  <si>
    <t>LB6192</t>
  </si>
  <si>
    <t>LB6061</t>
  </si>
  <si>
    <t>LB6062</t>
  </si>
  <si>
    <t>LB6143</t>
  </si>
  <si>
    <t>LB5914</t>
  </si>
  <si>
    <t>LK2911</t>
  </si>
  <si>
    <t>LK2212</t>
  </si>
  <si>
    <t>LK2916</t>
  </si>
  <si>
    <t>LK0247</t>
  </si>
  <si>
    <t>LK6402</t>
  </si>
  <si>
    <t>LK2912</t>
  </si>
  <si>
    <t>LK2914</t>
  </si>
  <si>
    <t>LK0819</t>
  </si>
  <si>
    <t>LB1918</t>
  </si>
  <si>
    <t>LK4328</t>
  </si>
  <si>
    <t>LK0249</t>
  </si>
  <si>
    <t>LB7845</t>
  </si>
  <si>
    <t>LB7816</t>
  </si>
  <si>
    <t>LB7846</t>
  </si>
  <si>
    <t>LK4488</t>
  </si>
  <si>
    <t>LK2216</t>
  </si>
  <si>
    <t>LK2921</t>
  </si>
  <si>
    <t>LK1321</t>
  </si>
  <si>
    <t>LK2915</t>
  </si>
  <si>
    <t>LB7813</t>
  </si>
  <si>
    <t>LB1919</t>
  </si>
  <si>
    <t>LK5032</t>
  </si>
  <si>
    <t>LK4486</t>
  </si>
  <si>
    <t>LB5947</t>
  </si>
  <si>
    <t>LK2918</t>
  </si>
  <si>
    <t>LB5840</t>
  </si>
  <si>
    <t>LK0820</t>
  </si>
  <si>
    <t>LK1641</t>
  </si>
  <si>
    <t>LK1320</t>
  </si>
  <si>
    <t>LK2917</t>
  </si>
  <si>
    <t>LK1319</t>
  </si>
  <si>
    <t>LB7814</t>
  </si>
  <si>
    <t>LK3404</t>
  </si>
  <si>
    <t>LK5033</t>
  </si>
  <si>
    <t>LK3405</t>
  </si>
  <si>
    <t>LK0822</t>
  </si>
  <si>
    <t>LK0823</t>
  </si>
  <si>
    <t>LK0824</t>
  </si>
  <si>
    <t>LK0248</t>
  </si>
  <si>
    <t>LK7169</t>
  </si>
  <si>
    <t>LK6650</t>
  </si>
  <si>
    <t>LK5823</t>
  </si>
  <si>
    <t>LK2213</t>
  </si>
  <si>
    <t>LK0821</t>
  </si>
  <si>
    <t>LK0825</t>
  </si>
  <si>
    <t>LK2214</t>
  </si>
  <si>
    <t>LK0250</t>
  </si>
  <si>
    <t>LK4329</t>
  </si>
  <si>
    <t>LK2215</t>
  </si>
  <si>
    <t>LK0826</t>
  </si>
  <si>
    <t>LB7825</t>
  </si>
  <si>
    <t>LK2919</t>
  </si>
  <si>
    <t>LB6079</t>
  </si>
  <si>
    <t>LB5831</t>
  </si>
  <si>
    <t>LB7815</t>
  </si>
  <si>
    <t>LK3406</t>
  </si>
  <si>
    <t>LK6403</t>
  </si>
  <si>
    <t>LK6404</t>
  </si>
  <si>
    <t>LK6405</t>
  </si>
  <si>
    <t>LK6406</t>
  </si>
  <si>
    <t>LK6407</t>
  </si>
  <si>
    <t>LK6649</t>
  </si>
  <si>
    <t>LK6408</t>
  </si>
  <si>
    <t>LK6409</t>
  </si>
  <si>
    <t>LK6917</t>
  </si>
  <si>
    <t>LK6410</t>
  </si>
  <si>
    <t>LK6411</t>
  </si>
  <si>
    <t>LB7821</t>
  </si>
  <si>
    <t>LK6489</t>
  </si>
  <si>
    <t>LK6490</t>
  </si>
  <si>
    <t>LK6491</t>
  </si>
  <si>
    <t>LK6492</t>
  </si>
  <si>
    <t>LK6493</t>
  </si>
  <si>
    <t>LK6494</t>
  </si>
  <si>
    <t>LK6495</t>
  </si>
  <si>
    <t>LK6496</t>
  </si>
  <si>
    <t>LK6498</t>
  </si>
  <si>
    <t>LK6499</t>
  </si>
  <si>
    <t>LK6500</t>
  </si>
  <si>
    <t>LK6501</t>
  </si>
  <si>
    <t>LK6502</t>
  </si>
  <si>
    <t>LK6671</t>
  </si>
  <si>
    <t>LK6251</t>
  </si>
  <si>
    <t>LK5834</t>
  </si>
  <si>
    <t>LK6349</t>
  </si>
  <si>
    <t>LK4432</t>
  </si>
  <si>
    <t>LK3248</t>
  </si>
  <si>
    <t>CN5436</t>
  </si>
  <si>
    <t>MC2792</t>
  </si>
  <si>
    <t>CR4520</t>
  </si>
  <si>
    <t>LK3899</t>
  </si>
  <si>
    <t>LK5503</t>
  </si>
  <si>
    <t>LK6412</t>
  </si>
  <si>
    <t>LK1642</t>
  </si>
  <si>
    <t>LK3421</t>
  </si>
  <si>
    <t>LK6095</t>
  </si>
  <si>
    <t>LK6651</t>
  </si>
  <si>
    <t>LK6756</t>
  </si>
  <si>
    <t>LK6759</t>
  </si>
  <si>
    <t>LK6757</t>
  </si>
  <si>
    <t>LK6758</t>
  </si>
  <si>
    <t>LK1643</t>
  </si>
  <si>
    <t>LK4860</t>
  </si>
  <si>
    <t>LK4862</t>
  </si>
  <si>
    <t>LK1644</t>
  </si>
  <si>
    <t>LK3423</t>
  </si>
  <si>
    <t>LK7018</t>
  </si>
  <si>
    <t>LK6870</t>
  </si>
  <si>
    <t>LK5504</t>
  </si>
  <si>
    <t>LK6725</t>
  </si>
  <si>
    <t>LK5505</t>
  </si>
  <si>
    <t>LK5506</t>
  </si>
  <si>
    <t>LK5507</t>
  </si>
  <si>
    <t>LK7019</t>
  </si>
  <si>
    <t>LK7020</t>
  </si>
  <si>
    <t>LK6726</t>
  </si>
  <si>
    <t>LK7021</t>
  </si>
  <si>
    <t>LK6727</t>
  </si>
  <si>
    <t>LK6728</t>
  </si>
  <si>
    <t>LK6729</t>
  </si>
  <si>
    <t>LK6730</t>
  </si>
  <si>
    <t>LK7095</t>
  </si>
  <si>
    <t>LK6871</t>
  </si>
  <si>
    <t>LK6724</t>
  </si>
  <si>
    <t>LK6731</t>
  </si>
  <si>
    <t>LK6733</t>
  </si>
  <si>
    <t>LK6732</t>
  </si>
  <si>
    <t>LK6734</t>
  </si>
  <si>
    <t>LK6735</t>
  </si>
  <si>
    <t>LK1331</t>
  </si>
  <si>
    <t>CN2318</t>
  </si>
  <si>
    <t>MQ0458</t>
  </si>
  <si>
    <t>MQ3204</t>
  </si>
  <si>
    <t>MQ3205</t>
  </si>
  <si>
    <t>CN5430</t>
  </si>
  <si>
    <t>CR4516</t>
  </si>
  <si>
    <t>CN5432</t>
  </si>
  <si>
    <t>CR4518</t>
  </si>
  <si>
    <t>MQ3206</t>
  </si>
  <si>
    <t>CN5431</t>
  </si>
  <si>
    <t>CR4517</t>
  </si>
  <si>
    <t>MQ3207</t>
  </si>
  <si>
    <t>LH0047</t>
  </si>
  <si>
    <t>LB9370</t>
  </si>
  <si>
    <t>LB5961</t>
  </si>
  <si>
    <t>LB5899</t>
  </si>
  <si>
    <t>LK5826</t>
  </si>
  <si>
    <t>LK5827</t>
  </si>
  <si>
    <t>LK5828</t>
  </si>
  <si>
    <t>LK6096</t>
  </si>
  <si>
    <t>LK7022</t>
  </si>
  <si>
    <t>LK5832</t>
  </si>
  <si>
    <t>LK5833</t>
  </si>
  <si>
    <t>LK5835</t>
  </si>
  <si>
    <t>LK5836</t>
  </si>
  <si>
    <t>LK6825</t>
  </si>
  <si>
    <t>LK6826</t>
  </si>
  <si>
    <t>LK6097</t>
  </si>
  <si>
    <t>LK5840</t>
  </si>
  <si>
    <t>LK5842</t>
  </si>
  <si>
    <t>LK6415</t>
  </si>
  <si>
    <t>LK4391</t>
  </si>
  <si>
    <t>LB9372</t>
  </si>
  <si>
    <t>LB5983</t>
  </si>
  <si>
    <t>LK5291</t>
  </si>
  <si>
    <t>CN5433</t>
  </si>
  <si>
    <t>CR4522</t>
  </si>
  <si>
    <t>CN5434</t>
  </si>
  <si>
    <t>LB6002</t>
  </si>
  <si>
    <t>LK5592</t>
  </si>
  <si>
    <t>LK6337</t>
  </si>
  <si>
    <t>LK0283</t>
  </si>
  <si>
    <t>LK4695</t>
  </si>
  <si>
    <t>LK5860</t>
  </si>
  <si>
    <t>LK5593</t>
  </si>
  <si>
    <t>LK5594</t>
  </si>
  <si>
    <t>LK5039</t>
  </si>
  <si>
    <t>LK1657</t>
  </si>
  <si>
    <t>LK2937</t>
  </si>
  <si>
    <t>LK3432</t>
  </si>
  <si>
    <t>LK1333</t>
  </si>
  <si>
    <t>LK5509</t>
  </si>
  <si>
    <t>LK0285</t>
  </si>
  <si>
    <t>LK0286</t>
  </si>
  <si>
    <t>LK0853</t>
  </si>
  <si>
    <t>LK0287</t>
  </si>
  <si>
    <t>LK0854</t>
  </si>
  <si>
    <t>LK3433</t>
  </si>
  <si>
    <t>LK1658</t>
  </si>
  <si>
    <t>LK0289</t>
  </si>
  <si>
    <t>LB6005</t>
  </si>
  <si>
    <t>LB6004</t>
  </si>
  <si>
    <t>LB6008</t>
  </si>
  <si>
    <t>LK4161</t>
  </si>
  <si>
    <t>LK4157</t>
  </si>
  <si>
    <t>LK4156</t>
  </si>
  <si>
    <t>LK4158</t>
  </si>
  <si>
    <t>LK4410</t>
  </si>
  <si>
    <t>LK4149</t>
  </si>
  <si>
    <t>LK4493</t>
  </si>
  <si>
    <t>LK4159</t>
  </si>
  <si>
    <t>LK4160</t>
  </si>
  <si>
    <t>LK4155</t>
  </si>
  <si>
    <t>LK4154</t>
  </si>
  <si>
    <t>LK4331</t>
  </si>
  <si>
    <t>LK4151</t>
  </si>
  <si>
    <t>LK4162</t>
  </si>
  <si>
    <t>LK4494</t>
  </si>
  <si>
    <t>LK4495</t>
  </si>
  <si>
    <t>LK2716</t>
  </si>
  <si>
    <t>LK5862</t>
  </si>
  <si>
    <t>LK1971</t>
  </si>
  <si>
    <t>LK5041</t>
  </si>
  <si>
    <t>LK5510</t>
  </si>
  <si>
    <t>LK1884</t>
  </si>
  <si>
    <t>LK1972</t>
  </si>
  <si>
    <t>LK4332</t>
  </si>
  <si>
    <t>LK2718</t>
  </si>
  <si>
    <t>LK5044</t>
  </si>
  <si>
    <t>LK2717</t>
  </si>
  <si>
    <t>LK5045</t>
  </si>
  <si>
    <t>LK6098</t>
  </si>
  <si>
    <t>LK5046</t>
  </si>
  <si>
    <t>LK4497</t>
  </si>
  <si>
    <t>LK4498</t>
  </si>
  <si>
    <t>LK4499</t>
  </si>
  <si>
    <t>LK5511</t>
  </si>
  <si>
    <t>LK4873</t>
  </si>
  <si>
    <t>LK1885</t>
  </si>
  <si>
    <t>LK4411</t>
  </si>
  <si>
    <t>LK1886</t>
  </si>
  <si>
    <t>LK3437</t>
  </si>
  <si>
    <t>LK1887</t>
  </si>
  <si>
    <t>LK1973</t>
  </si>
  <si>
    <t>LK1888</t>
  </si>
  <si>
    <t>LK5051</t>
  </si>
  <si>
    <t>LK5052</t>
  </si>
  <si>
    <t>LK1889</t>
  </si>
  <si>
    <t>LK1890</t>
  </si>
  <si>
    <t>LK5864</t>
  </si>
  <si>
    <t>LQ3644</t>
  </si>
  <si>
    <t>LK3914</t>
  </si>
  <si>
    <t>LK3438</t>
  </si>
  <si>
    <t>LK1892</t>
  </si>
  <si>
    <t>LK3915</t>
  </si>
  <si>
    <t>LK3916</t>
  </si>
  <si>
    <t>LK2719</t>
  </si>
  <si>
    <t>LK4501</t>
  </si>
  <si>
    <t>LK4502</t>
  </si>
  <si>
    <t>LK4876</t>
  </si>
  <si>
    <t>LK3439</t>
  </si>
  <si>
    <t>LK5863</t>
  </si>
  <si>
    <t>LK1893</t>
  </si>
  <si>
    <t>LK4504</t>
  </si>
  <si>
    <t>LK4505</t>
  </si>
  <si>
    <t>LK4877</t>
  </si>
  <si>
    <t>LK4878</t>
  </si>
  <si>
    <t>LK1894</t>
  </si>
  <si>
    <t>LK1895</t>
  </si>
  <si>
    <t>LK1896</t>
  </si>
  <si>
    <t>LK6717</t>
  </si>
  <si>
    <t>LK1897</t>
  </si>
  <si>
    <t>LS0091</t>
  </si>
  <si>
    <t>LK1974</t>
  </si>
  <si>
    <t>LK0871</t>
  </si>
  <si>
    <t>LK4203</t>
  </si>
  <si>
    <t>LK3918</t>
  </si>
  <si>
    <t>LK3919</t>
  </si>
  <si>
    <t>LK3920</t>
  </si>
  <si>
    <t>LK3922</t>
  </si>
  <si>
    <t>LK3923</t>
  </si>
  <si>
    <t>LK3924</t>
  </si>
  <si>
    <t>LK1335</t>
  </si>
  <si>
    <t>LK3925</t>
  </si>
  <si>
    <t>LK3446</t>
  </si>
  <si>
    <t>LK3927</t>
  </si>
  <si>
    <t>LK3928</t>
  </si>
  <si>
    <t>LK3929</t>
  </si>
  <si>
    <t>LK3930</t>
  </si>
  <si>
    <t>LK3917</t>
  </si>
  <si>
    <t>LK3931</t>
  </si>
  <si>
    <t>LK3933</t>
  </si>
  <si>
    <t>LK3934</t>
  </si>
  <si>
    <t>LK3935</t>
  </si>
  <si>
    <t>LK3936</t>
  </si>
  <si>
    <t>LK3939</t>
  </si>
  <si>
    <t>LK3940</t>
  </si>
  <si>
    <t>LK3941</t>
  </si>
  <si>
    <t>LK6009</t>
  </si>
  <si>
    <t>LK3943</t>
  </si>
  <si>
    <t>LK3944</t>
  </si>
  <si>
    <t>LK1976</t>
  </si>
  <si>
    <t>MB5400</t>
  </si>
  <si>
    <t>MC2304</t>
  </si>
  <si>
    <t>LS0086</t>
  </si>
  <si>
    <t>LK6099</t>
  </si>
  <si>
    <t>LK3092</t>
  </si>
  <si>
    <t>LK4906</t>
  </si>
  <si>
    <t>LK1446</t>
  </si>
  <si>
    <t>LK1447</t>
  </si>
  <si>
    <t>LK6309</t>
  </si>
  <si>
    <t>LB9484</t>
  </si>
  <si>
    <t>LB9406</t>
  </si>
  <si>
    <t>LK4396</t>
  </si>
  <si>
    <t>LK0442</t>
  </si>
  <si>
    <t>LK2468</t>
  </si>
  <si>
    <t>LK4118</t>
  </si>
  <si>
    <t>LK2469</t>
  </si>
  <si>
    <t>LK0443</t>
  </si>
  <si>
    <t>LK3546</t>
  </si>
  <si>
    <t>LK1803</t>
  </si>
  <si>
    <t>LB9448</t>
  </si>
  <si>
    <t>LB9571</t>
  </si>
  <si>
    <t>LK2471</t>
  </si>
  <si>
    <t>LK4397</t>
  </si>
  <si>
    <t>LK4119</t>
  </si>
  <si>
    <t>LB9407</t>
  </si>
  <si>
    <t>LK3732</t>
  </si>
  <si>
    <t>LK4120</t>
  </si>
  <si>
    <t>LK4552</t>
  </si>
  <si>
    <t>LK5976</t>
  </si>
  <si>
    <t>LK3547</t>
  </si>
  <si>
    <t>LK1802</t>
  </si>
  <si>
    <t>LK4121</t>
  </si>
  <si>
    <t>LK4122</t>
  </si>
  <si>
    <t>LK3548</t>
  </si>
  <si>
    <t>LK1045</t>
  </si>
  <si>
    <t>LK6503</t>
  </si>
  <si>
    <t>LK7043</t>
  </si>
  <si>
    <t>LK0444</t>
  </si>
  <si>
    <t>LK4123</t>
  </si>
  <si>
    <t>LK4246</t>
  </si>
  <si>
    <t>LB9573</t>
  </si>
  <si>
    <t>LK1804</t>
  </si>
  <si>
    <t>LK5064</t>
  </si>
  <si>
    <t>LS0093</t>
  </si>
  <si>
    <t>LS0094</t>
  </si>
  <si>
    <t>LK6847</t>
  </si>
  <si>
    <t>LK6718</t>
  </si>
  <si>
    <t>LK6719</t>
  </si>
  <si>
    <t>LK6720</t>
  </si>
  <si>
    <t>LK6721</t>
  </si>
  <si>
    <t>LK6873</t>
  </si>
  <si>
    <t>LK6722</t>
  </si>
  <si>
    <t>LK6723</t>
  </si>
  <si>
    <t>MC1662</t>
  </si>
  <si>
    <t>LS0095</t>
  </si>
  <si>
    <t>LS0096</t>
  </si>
  <si>
    <t>LK5295</t>
  </si>
  <si>
    <t>LK5297</t>
  </si>
  <si>
    <t>LK7096</t>
  </si>
  <si>
    <t>LK0301</t>
  </si>
  <si>
    <t>LK3459</t>
  </si>
  <si>
    <t>LK3947</t>
  </si>
  <si>
    <t>LK1695</t>
  </si>
  <si>
    <t>LK0612</t>
  </si>
  <si>
    <t>LK0613</t>
  </si>
  <si>
    <t>LK0614</t>
  </si>
  <si>
    <t>LK0615</t>
  </si>
  <si>
    <t>LK5512</t>
  </si>
  <si>
    <t>LK5065</t>
  </si>
  <si>
    <t>LK5516</t>
  </si>
  <si>
    <t>LK5066</t>
  </si>
  <si>
    <t>LH6781</t>
  </si>
  <si>
    <t>MC0568</t>
  </si>
  <si>
    <t>MC0569</t>
  </si>
  <si>
    <t>MC0570</t>
  </si>
  <si>
    <t>LH6751</t>
  </si>
  <si>
    <t>MC1313</t>
  </si>
  <si>
    <t>MC0567</t>
  </si>
  <si>
    <t>LH6770</t>
  </si>
  <si>
    <t>LH6782</t>
  </si>
  <si>
    <t>MC3780</t>
  </si>
  <si>
    <t>MC0571</t>
  </si>
  <si>
    <t>MC0572</t>
  </si>
  <si>
    <t>MC0573</t>
  </si>
  <si>
    <t>LH6783</t>
  </si>
  <si>
    <t>MC1318</t>
  </si>
  <si>
    <t>MC4228</t>
  </si>
  <si>
    <t>MC4229</t>
  </si>
  <si>
    <t>LH8827</t>
  </si>
  <si>
    <t>MC3778</t>
  </si>
  <si>
    <t>MC4230</t>
  </si>
  <si>
    <t>LH6832</t>
  </si>
  <si>
    <t>MC3779</t>
  </si>
  <si>
    <t>MC3781</t>
  </si>
  <si>
    <t>LL2890</t>
  </si>
  <si>
    <t>LC8555</t>
  </si>
  <si>
    <t>KP8251</t>
  </si>
  <si>
    <t>MC0809</t>
  </si>
  <si>
    <t>LL2900</t>
  </si>
  <si>
    <t>LL2904</t>
  </si>
  <si>
    <t>MC2983</t>
  </si>
  <si>
    <t>LC8550</t>
  </si>
  <si>
    <t>MC4498</t>
  </si>
  <si>
    <t>LC8552</t>
  </si>
  <si>
    <t>LL2913</t>
  </si>
  <si>
    <t>KY2913</t>
  </si>
  <si>
    <t>LL2915</t>
  </si>
  <si>
    <t>LL2925</t>
  </si>
  <si>
    <t>LL2920</t>
  </si>
  <si>
    <t>KP8200</t>
  </si>
  <si>
    <t>LC8557</t>
  </si>
  <si>
    <t>MC0810</t>
  </si>
  <si>
    <t>LC8554</t>
  </si>
  <si>
    <t>LK1338</t>
  </si>
  <si>
    <t>MC2305</t>
  </si>
  <si>
    <t>MC2864</t>
  </si>
  <si>
    <t>LL2954</t>
  </si>
  <si>
    <t>LL8212</t>
  </si>
  <si>
    <t>LL8330</t>
  </si>
  <si>
    <t>LL0172</t>
  </si>
  <si>
    <t>LL5042</t>
  </si>
  <si>
    <t>LL2955</t>
  </si>
  <si>
    <t>LL2950</t>
  </si>
  <si>
    <t>LL8049</t>
  </si>
  <si>
    <t>LL8213</t>
  </si>
  <si>
    <t>MC0577</t>
  </si>
  <si>
    <t>MQ0140</t>
  </si>
  <si>
    <t>LK6242</t>
  </si>
  <si>
    <t>LH6151</t>
  </si>
  <si>
    <t>MQ3019</t>
  </si>
  <si>
    <t>LH6150</t>
  </si>
  <si>
    <t>LS0020</t>
  </si>
  <si>
    <t>MC4332</t>
  </si>
  <si>
    <t>MC0578</t>
  </si>
  <si>
    <t>LK4424</t>
  </si>
  <si>
    <t>LK4426</t>
  </si>
  <si>
    <t>MC2652</t>
  </si>
  <si>
    <t>MC0579</t>
  </si>
  <si>
    <t>LK6243</t>
  </si>
  <si>
    <t>MC2653</t>
  </si>
  <si>
    <t>LK0598</t>
  </si>
  <si>
    <t>MC1663</t>
  </si>
  <si>
    <t>MC1610</t>
  </si>
  <si>
    <t>MC0760</t>
  </si>
  <si>
    <t>MQ0141</t>
  </si>
  <si>
    <t>LK5518</t>
  </si>
  <si>
    <t>MC3782</t>
  </si>
  <si>
    <t>MC3425</t>
  </si>
  <si>
    <t>MC3859</t>
  </si>
  <si>
    <t>MQ6059</t>
  </si>
  <si>
    <t>MQ3177</t>
  </si>
  <si>
    <t>CR3937</t>
  </si>
  <si>
    <t>MQ6060</t>
  </si>
  <si>
    <t>CR3938</t>
  </si>
  <si>
    <t>MQ6061</t>
  </si>
  <si>
    <t>MQ0309</t>
  </si>
  <si>
    <t>MC2610</t>
  </si>
  <si>
    <t>MQ0799</t>
  </si>
  <si>
    <t>MC3783</t>
  </si>
  <si>
    <t>MQ0836</t>
  </si>
  <si>
    <t>MQ0837</t>
  </si>
  <si>
    <t>MQ0838</t>
  </si>
  <si>
    <t>MQ0839</t>
  </si>
  <si>
    <t>LH6377</t>
  </si>
  <si>
    <t>MC0581</t>
  </si>
  <si>
    <t>MQ0814</t>
  </si>
  <si>
    <t>LK6417</t>
  </si>
  <si>
    <t>LK6418</t>
  </si>
  <si>
    <t>CN5288</t>
  </si>
  <si>
    <t>CR3813</t>
  </si>
  <si>
    <t>CN5289</t>
  </si>
  <si>
    <t>CR3814</t>
  </si>
  <si>
    <t>CN2314</t>
  </si>
  <si>
    <t>CN5290</t>
  </si>
  <si>
    <t>CR3815</t>
  </si>
  <si>
    <t>CN5291</t>
  </si>
  <si>
    <t>CR3816</t>
  </si>
  <si>
    <t>CE0486</t>
  </si>
  <si>
    <t>CE0487</t>
  </si>
  <si>
    <t>CE0488</t>
  </si>
  <si>
    <t>CE0489</t>
  </si>
  <si>
    <t>CE0490</t>
  </si>
  <si>
    <t>CE0491</t>
  </si>
  <si>
    <t>MC0582</t>
  </si>
  <si>
    <t>CN5283</t>
  </si>
  <si>
    <t>CN5284</t>
  </si>
  <si>
    <t>CR3809</t>
  </si>
  <si>
    <t>CN5285</t>
  </si>
  <si>
    <t>CN2380</t>
  </si>
  <si>
    <t>CN2381</t>
  </si>
  <si>
    <t>CN5286</t>
  </si>
  <si>
    <t>CN2382</t>
  </si>
  <si>
    <t>CN2383</t>
  </si>
  <si>
    <t>CN5287</t>
  </si>
  <si>
    <t>MQ3180</t>
  </si>
  <si>
    <t>MQ0555</t>
  </si>
  <si>
    <t>MQ3181</t>
  </si>
  <si>
    <t>MC3575</t>
  </si>
  <si>
    <t>MQ3182</t>
  </si>
  <si>
    <t>MQ3183</t>
  </si>
  <si>
    <t>MQ3020</t>
  </si>
  <si>
    <t>MQ3184</t>
  </si>
  <si>
    <t>LH6365</t>
  </si>
  <si>
    <t>CN5292</t>
  </si>
  <si>
    <t>CR4401</t>
  </si>
  <si>
    <t>MQ0311</t>
  </si>
  <si>
    <t>LK6101</t>
  </si>
  <si>
    <t>LK6102</t>
  </si>
  <si>
    <t>LK6103</t>
  </si>
  <si>
    <t>LK6104</t>
  </si>
  <si>
    <t>LK6419</t>
  </si>
  <si>
    <t>LK6105</t>
  </si>
  <si>
    <t>LK7097</t>
  </si>
  <si>
    <t>LB7613</t>
  </si>
  <si>
    <t>LK1339</t>
  </si>
  <si>
    <t>LK1978</t>
  </si>
  <si>
    <t>LB7614</t>
  </si>
  <si>
    <t>LK2949</t>
  </si>
  <si>
    <t>LK6106</t>
  </si>
  <si>
    <t>LB7616</t>
  </si>
  <si>
    <t>LK1839</t>
  </si>
  <si>
    <t>CE1118</t>
  </si>
  <si>
    <t>CE0935</t>
  </si>
  <si>
    <t>CE1119</t>
  </si>
  <si>
    <t>CE0936</t>
  </si>
  <si>
    <t>CE0937</t>
  </si>
  <si>
    <t>LB7600</t>
  </si>
  <si>
    <t>MC1437</t>
  </si>
  <si>
    <t>LK6256</t>
  </si>
  <si>
    <t>LK6874</t>
  </si>
  <si>
    <t>LK7098</t>
  </si>
  <si>
    <t>LK7023</t>
  </si>
  <si>
    <t>LK6707</t>
  </si>
  <si>
    <t>LK6708</t>
  </si>
  <si>
    <t>LK6709</t>
  </si>
  <si>
    <t>LK6710</t>
  </si>
  <si>
    <t>LK6654</t>
  </si>
  <si>
    <t>LK6711</t>
  </si>
  <si>
    <t>LK6712</t>
  </si>
  <si>
    <t>LK6713</t>
  </si>
  <si>
    <t>LK6715</t>
  </si>
  <si>
    <t>LK1705</t>
  </si>
  <si>
    <t>LK2950</t>
  </si>
  <si>
    <t>LK3462</t>
  </si>
  <si>
    <t>LK1706</t>
  </si>
  <si>
    <t>LK1707</t>
  </si>
  <si>
    <t>LK5869</t>
  </si>
  <si>
    <t>LK2952</t>
  </si>
  <si>
    <t>LK3463</t>
  </si>
  <si>
    <t>LK1708</t>
  </si>
  <si>
    <t>LK1709</t>
  </si>
  <si>
    <t>LK6109</t>
  </si>
  <si>
    <t>LK2955</t>
  </si>
  <si>
    <t>LB7617</t>
  </si>
  <si>
    <t>LB7605</t>
  </si>
  <si>
    <t>LB7608</t>
  </si>
  <si>
    <t>LB7609</t>
  </si>
  <si>
    <t>LB7615</t>
  </si>
  <si>
    <t>LK6257</t>
  </si>
  <si>
    <t>LK6258</t>
  </si>
  <si>
    <t>LK6259</t>
  </si>
  <si>
    <t>LK6590</t>
  </si>
  <si>
    <t>LK6420</t>
  </si>
  <si>
    <t>LK6260</t>
  </si>
  <si>
    <t>LK6338</t>
  </si>
  <si>
    <t>LK6261</t>
  </si>
  <si>
    <t>LK6262</t>
  </si>
  <si>
    <t>CR3044</t>
  </si>
  <si>
    <t>CR3045</t>
  </si>
  <si>
    <t>CR3046</t>
  </si>
  <si>
    <t>CR3047</t>
  </si>
  <si>
    <t>CE1120</t>
  </si>
  <si>
    <t>CE1667</t>
  </si>
  <si>
    <t>CE1668</t>
  </si>
  <si>
    <t>CE1669</t>
  </si>
  <si>
    <t>CE1670</t>
  </si>
  <si>
    <t>CE0876</t>
  </si>
  <si>
    <t>CE1691</t>
  </si>
  <si>
    <t>CE1121</t>
  </si>
  <si>
    <t>CE0877</t>
  </si>
  <si>
    <t>CE1427</t>
  </si>
  <si>
    <t>CE1122</t>
  </si>
  <si>
    <t>CE0879</t>
  </si>
  <si>
    <t>MC3773</t>
  </si>
  <si>
    <t>MC2027</t>
  </si>
  <si>
    <t>CR4402</t>
  </si>
  <si>
    <t>CR4403</t>
  </si>
  <si>
    <t>CR4404</t>
  </si>
  <si>
    <t>CR4406</t>
  </si>
  <si>
    <t>CR4407</t>
  </si>
  <si>
    <t>CR4408</t>
  </si>
  <si>
    <t>CR4409</t>
  </si>
  <si>
    <t>CR4410</t>
  </si>
  <si>
    <t>CR4411</t>
  </si>
  <si>
    <t>CR4412</t>
  </si>
  <si>
    <t>MC0562</t>
  </si>
  <si>
    <t>MC0563</t>
  </si>
  <si>
    <t>MC1312</t>
  </si>
  <si>
    <t>MC0564</t>
  </si>
  <si>
    <t>CN2397</t>
  </si>
  <si>
    <t>CN2331</t>
  </si>
  <si>
    <t>CN2237</t>
  </si>
  <si>
    <t>LF5575</t>
  </si>
  <si>
    <t>CN2238</t>
  </si>
  <si>
    <t>LF9107</t>
  </si>
  <si>
    <t>LF0050</t>
  </si>
  <si>
    <t>CN2329</t>
  </si>
  <si>
    <t>CN2399</t>
  </si>
  <si>
    <t>LF0051</t>
  </si>
  <si>
    <t>LF9109</t>
  </si>
  <si>
    <t>LF9111</t>
  </si>
  <si>
    <t>LF0036</t>
  </si>
  <si>
    <t>LF9108</t>
  </si>
  <si>
    <t>LF0037</t>
  </si>
  <si>
    <t>LF9110</t>
  </si>
  <si>
    <t>LL3048</t>
  </si>
  <si>
    <t>LL5016</t>
  </si>
  <si>
    <t>LL3101</t>
  </si>
  <si>
    <t>LL0173</t>
  </si>
  <si>
    <t>LL8337</t>
  </si>
  <si>
    <t>LL3129</t>
  </si>
  <si>
    <t>LL0042</t>
  </si>
  <si>
    <t>LL3050</t>
  </si>
  <si>
    <t>KY3050</t>
  </si>
  <si>
    <t>LL3102</t>
  </si>
  <si>
    <t>LL0023</t>
  </si>
  <si>
    <t>LL4838</t>
  </si>
  <si>
    <t>LL3133</t>
  </si>
  <si>
    <t>LL0043</t>
  </si>
  <si>
    <t>LL3370</t>
  </si>
  <si>
    <t>LL3098</t>
  </si>
  <si>
    <t>LL8313</t>
  </si>
  <si>
    <t>LL8279</t>
  </si>
  <si>
    <t>LL3053</t>
  </si>
  <si>
    <t>LL3055</t>
  </si>
  <si>
    <t>KY3055</t>
  </si>
  <si>
    <t>LL3170</t>
  </si>
  <si>
    <t>LL0093</t>
  </si>
  <si>
    <t>LL3068</t>
  </si>
  <si>
    <t>LL3069</t>
  </si>
  <si>
    <t>LL3060</t>
  </si>
  <si>
    <t>LL3065</t>
  </si>
  <si>
    <t>LL3162</t>
  </si>
  <si>
    <t>LL3158</t>
  </si>
  <si>
    <t>LL3057</t>
  </si>
  <si>
    <t>LL8314</t>
  </si>
  <si>
    <t>KY3054</t>
  </si>
  <si>
    <t>LK4941</t>
  </si>
  <si>
    <t>LK1980</t>
  </si>
  <si>
    <t>LK6263</t>
  </si>
  <si>
    <t>LL3135</t>
  </si>
  <si>
    <t>LL5043</t>
  </si>
  <si>
    <t>LL0059</t>
  </si>
  <si>
    <t>LL8043</t>
  </si>
  <si>
    <t>LK3957</t>
  </si>
  <si>
    <t>LL3075</t>
  </si>
  <si>
    <t>KY3075</t>
  </si>
  <si>
    <t>LL3197</t>
  </si>
  <si>
    <t>LL8214</t>
  </si>
  <si>
    <t>LL5017</t>
  </si>
  <si>
    <t>LL3080</t>
  </si>
  <si>
    <t>LL0174</t>
  </si>
  <si>
    <t>LL0003</t>
  </si>
  <si>
    <t>LL3123</t>
  </si>
  <si>
    <t>LL3184</t>
  </si>
  <si>
    <t>LL8285</t>
  </si>
  <si>
    <t>LL3088</t>
  </si>
  <si>
    <t>LL3225</t>
  </si>
  <si>
    <t>KY3225</t>
  </si>
  <si>
    <t>LL3128</t>
  </si>
  <si>
    <t>LL3433</t>
  </si>
  <si>
    <t>LL3089</t>
  </si>
  <si>
    <t>LL8050</t>
  </si>
  <si>
    <t>LL0024</t>
  </si>
  <si>
    <t>LL3049</t>
  </si>
  <si>
    <t>LL3090</t>
  </si>
  <si>
    <t>LL3172</t>
  </si>
  <si>
    <t>LL4839</t>
  </si>
  <si>
    <t>LL8215</t>
  </si>
  <si>
    <t>LL4824</t>
  </si>
  <si>
    <t>LL8338</t>
  </si>
  <si>
    <t>LK0306</t>
  </si>
  <si>
    <t>LL3093</t>
  </si>
  <si>
    <t>LL4019</t>
  </si>
  <si>
    <t>LL3051</t>
  </si>
  <si>
    <t>LL4825</t>
  </si>
  <si>
    <t>LL8216</t>
  </si>
  <si>
    <t>LL8051</t>
  </si>
  <si>
    <t>LL8052</t>
  </si>
  <si>
    <t>LL8286</t>
  </si>
  <si>
    <t>LL3159</t>
  </si>
  <si>
    <t>LL0175</t>
  </si>
  <si>
    <t>LL3095</t>
  </si>
  <si>
    <t>LL0004</t>
  </si>
  <si>
    <t>LL0163</t>
  </si>
  <si>
    <t>LL0164</t>
  </si>
  <si>
    <t>LL8053</t>
  </si>
  <si>
    <t>LK5072</t>
  </si>
  <si>
    <t>LL3100</t>
  </si>
  <si>
    <t>LL3438</t>
  </si>
  <si>
    <t>LL4872</t>
  </si>
  <si>
    <t>LL0025</t>
  </si>
  <si>
    <t>LL5052</t>
  </si>
  <si>
    <t>LL0005</t>
  </si>
  <si>
    <t>LL3062</t>
  </si>
  <si>
    <t>LL3063</t>
  </si>
  <si>
    <t>LL8218</t>
  </si>
  <si>
    <t>LL3163</t>
  </si>
  <si>
    <t>LL0060</t>
  </si>
  <si>
    <t>LL3091</t>
  </si>
  <si>
    <t>LL8150</t>
  </si>
  <si>
    <t>LL3134</t>
  </si>
  <si>
    <t>LL8287</t>
  </si>
  <si>
    <t>LL3124</t>
  </si>
  <si>
    <t>LL0061</t>
  </si>
  <si>
    <t>LL8151</t>
  </si>
  <si>
    <t>LL8315</t>
  </si>
  <si>
    <t>LL3181</t>
  </si>
  <si>
    <t>LL3149</t>
  </si>
  <si>
    <t>LL0177</t>
  </si>
  <si>
    <t>LL0178</t>
  </si>
  <si>
    <t>LL0176</t>
  </si>
  <si>
    <t>LL3137</t>
  </si>
  <si>
    <t>LL3178</t>
  </si>
  <si>
    <t>LL3398</t>
  </si>
  <si>
    <t>LL3096</t>
  </si>
  <si>
    <t>LL3439</t>
  </si>
  <si>
    <t>LL0006</t>
  </si>
  <si>
    <t>LL3150</t>
  </si>
  <si>
    <t>LL8142</t>
  </si>
  <si>
    <t>LL3071</t>
  </si>
  <si>
    <t>LL3072</t>
  </si>
  <si>
    <t>LL3140</t>
  </si>
  <si>
    <t>LL3182</t>
  </si>
  <si>
    <t>LL3183</t>
  </si>
  <si>
    <t>LL3432</t>
  </si>
  <si>
    <t>LL3143</t>
  </si>
  <si>
    <t>LL3145</t>
  </si>
  <si>
    <t>LL0062</t>
  </si>
  <si>
    <t>LL3097</t>
  </si>
  <si>
    <t>LL8288</t>
  </si>
  <si>
    <t>LL3151</t>
  </si>
  <si>
    <t>LL8289</t>
  </si>
  <si>
    <t>LL3435</t>
  </si>
  <si>
    <t>LL3152</t>
  </si>
  <si>
    <t>LL3153</t>
  </si>
  <si>
    <t>LL0179</t>
  </si>
  <si>
    <t>LL0180</t>
  </si>
  <si>
    <t>LL0181</t>
  </si>
  <si>
    <t>LL0182</t>
  </si>
  <si>
    <t>LK6113</t>
  </si>
  <si>
    <t>LK6339</t>
  </si>
  <si>
    <t>LL3155</t>
  </si>
  <si>
    <t>LL8220</t>
  </si>
  <si>
    <t>LL8110</t>
  </si>
  <si>
    <t>LL3160</t>
  </si>
  <si>
    <t>KY3160</t>
  </si>
  <si>
    <t>LL3161</t>
  </si>
  <si>
    <t>LL8282</t>
  </si>
  <si>
    <t>LL3166</t>
  </si>
  <si>
    <t>LL3107</t>
  </si>
  <si>
    <t>LL3167</t>
  </si>
  <si>
    <t>LL3180</t>
  </si>
  <si>
    <t>LL3073</t>
  </si>
  <si>
    <t>LL3188</t>
  </si>
  <si>
    <t>LL0063</t>
  </si>
  <si>
    <t>LL3190</t>
  </si>
  <si>
    <t>KY3190</t>
  </si>
  <si>
    <t>LL5018</t>
  </si>
  <si>
    <t>LL8290</t>
  </si>
  <si>
    <t>LL8291</t>
  </si>
  <si>
    <t>LL5019</t>
  </si>
  <si>
    <t>LL3195</t>
  </si>
  <si>
    <t>LL0050</t>
  </si>
  <si>
    <t>LL3210</t>
  </si>
  <si>
    <t>LL3131</t>
  </si>
  <si>
    <t>LL0184</t>
  </si>
  <si>
    <t>LL0186</t>
  </si>
  <si>
    <t>LL0187</t>
  </si>
  <si>
    <t>LL3154</t>
  </si>
  <si>
    <t>LL3440</t>
  </si>
  <si>
    <t>LL5020</t>
  </si>
  <si>
    <t>LL3220</t>
  </si>
  <si>
    <t>LL0170</t>
  </si>
  <si>
    <t>LL0044</t>
  </si>
  <si>
    <t>LL3076</t>
  </si>
  <si>
    <t>LL0045</t>
  </si>
  <si>
    <t>LL8283</t>
  </si>
  <si>
    <t>LL8331</t>
  </si>
  <si>
    <t>LL8221</t>
  </si>
  <si>
    <t>LL8120</t>
  </si>
  <si>
    <t>LL3087</t>
  </si>
  <si>
    <t>LL3185</t>
  </si>
  <si>
    <t>LB5807</t>
  </si>
  <si>
    <t>LL3243</t>
  </si>
  <si>
    <t>LB0197</t>
  </si>
  <si>
    <t>LL3245</t>
  </si>
  <si>
    <t>LL8222</t>
  </si>
  <si>
    <t>LL3249</t>
  </si>
  <si>
    <t>LL8316</t>
  </si>
  <si>
    <t>LK6264</t>
  </si>
  <si>
    <t>LL0123</t>
  </si>
  <si>
    <t>LL0124</t>
  </si>
  <si>
    <t>LL4840</t>
  </si>
  <si>
    <t>LL8125</t>
  </si>
  <si>
    <t>LL3125</t>
  </si>
  <si>
    <t>LL3109</t>
  </si>
  <si>
    <t>LL8223</t>
  </si>
  <si>
    <t>LL4853</t>
  </si>
  <si>
    <t>LL3142</t>
  </si>
  <si>
    <t>LK5546</t>
  </si>
  <si>
    <t>LK7174</t>
  </si>
  <si>
    <t>LK6340</t>
  </si>
  <si>
    <t>LL4873</t>
  </si>
  <si>
    <t>LL0166</t>
  </si>
  <si>
    <t>LL8079</t>
  </si>
  <si>
    <t>LL3084</t>
  </si>
  <si>
    <t>LL8080</t>
  </si>
  <si>
    <t>LL3112</t>
  </si>
  <si>
    <t>LL3270</t>
  </si>
  <si>
    <t>LL0130</t>
  </si>
  <si>
    <t>LL0131</t>
  </si>
  <si>
    <t>LL8292</t>
  </si>
  <si>
    <t>LL8026</t>
  </si>
  <si>
    <t>LL3067</t>
  </si>
  <si>
    <t>LF0034</t>
  </si>
  <si>
    <t>LF0035</t>
  </si>
  <si>
    <t>LL3144</t>
  </si>
  <si>
    <t>LL0183</t>
  </si>
  <si>
    <t>LL1705</t>
  </si>
  <si>
    <t>LL1703</t>
  </si>
  <si>
    <t>LL1704</t>
  </si>
  <si>
    <t>LL3290</t>
  </si>
  <si>
    <t>LL8224</t>
  </si>
  <si>
    <t>LL8225</t>
  </si>
  <si>
    <t>LL0185</t>
  </si>
  <si>
    <t>LL8152</t>
  </si>
  <si>
    <t>LL0046</t>
  </si>
  <si>
    <t>LL5063</t>
  </si>
  <si>
    <t>LL3146</t>
  </si>
  <si>
    <t>LK3958</t>
  </si>
  <si>
    <t>LL5057</t>
  </si>
  <si>
    <t>LL4020</t>
  </si>
  <si>
    <t>LL8081</t>
  </si>
  <si>
    <t>LL5044</t>
  </si>
  <si>
    <t>LL3330</t>
  </si>
  <si>
    <t>LL0029</t>
  </si>
  <si>
    <t>LL4021</t>
  </si>
  <si>
    <t>LB5809</t>
  </si>
  <si>
    <t>LL0064</t>
  </si>
  <si>
    <t>LL4841</t>
  </si>
  <si>
    <t>LL2184</t>
  </si>
  <si>
    <t>LL8082</t>
  </si>
  <si>
    <t>LL0030</t>
  </si>
  <si>
    <t>LL3340</t>
  </si>
  <si>
    <t>LK2316</t>
  </si>
  <si>
    <t>LK6762</t>
  </si>
  <si>
    <t>LK2317</t>
  </si>
  <si>
    <t>LK2319</t>
  </si>
  <si>
    <t>LL8343</t>
  </si>
  <si>
    <t>LK3959</t>
  </si>
  <si>
    <t>LL3431</t>
  </si>
  <si>
    <t>LL8293</t>
  </si>
  <si>
    <t>LL8294</t>
  </si>
  <si>
    <t>LL3126</t>
  </si>
  <si>
    <t>LK6114</t>
  </si>
  <si>
    <t>LL3350</t>
  </si>
  <si>
    <t>LL3157</t>
  </si>
  <si>
    <t>LL0065</t>
  </si>
  <si>
    <t>LL0031</t>
  </si>
  <si>
    <t>LL3079</t>
  </si>
  <si>
    <t>LL8126</t>
  </si>
  <si>
    <t>LL8317</t>
  </si>
  <si>
    <t>LL3360</t>
  </si>
  <si>
    <t>LL3362</t>
  </si>
  <si>
    <t>LL3363</t>
  </si>
  <si>
    <t>LL3365</t>
  </si>
  <si>
    <t>LL3176</t>
  </si>
  <si>
    <t>LL0167</t>
  </si>
  <si>
    <t>LL3117</t>
  </si>
  <si>
    <t>LL3369</t>
  </si>
  <si>
    <t>LL3375</t>
  </si>
  <si>
    <t>KY3375</t>
  </si>
  <si>
    <t>LL3376</t>
  </si>
  <si>
    <t>LL3377</t>
  </si>
  <si>
    <t>LL0125</t>
  </si>
  <si>
    <t>LL4874</t>
  </si>
  <si>
    <t>LL3168</t>
  </si>
  <si>
    <t>LL0126</t>
  </si>
  <si>
    <t>LL8143</t>
  </si>
  <si>
    <t>LL8339</t>
  </si>
  <si>
    <t>LL3395</t>
  </si>
  <si>
    <t>LL8318</t>
  </si>
  <si>
    <t>LL3385</t>
  </si>
  <si>
    <t>LL4826</t>
  </si>
  <si>
    <t>LL3119</t>
  </si>
  <si>
    <t>LL3147</t>
  </si>
  <si>
    <t>LL3196</t>
  </si>
  <si>
    <t>LL5058</t>
  </si>
  <si>
    <t>LL8078</t>
  </si>
  <si>
    <t>LL3120</t>
  </si>
  <si>
    <t>LK6265</t>
  </si>
  <si>
    <t>LL5064</t>
  </si>
  <si>
    <t>LL8228</t>
  </si>
  <si>
    <t>LL3420</t>
  </si>
  <si>
    <t>LL3082</t>
  </si>
  <si>
    <t>LL8083</t>
  </si>
  <si>
    <t>LL3430</t>
  </si>
  <si>
    <t>LL8127</t>
  </si>
  <si>
    <t>LQ6003</t>
  </si>
  <si>
    <t>MC4500</t>
  </si>
  <si>
    <t>LB6152</t>
  </si>
  <si>
    <t>LD0040</t>
  </si>
  <si>
    <t>MC4086</t>
  </si>
  <si>
    <t>MC4424</t>
  </si>
  <si>
    <t>CN5293</t>
  </si>
  <si>
    <t>MQ3186</t>
  </si>
  <si>
    <t>CR4413</t>
  </si>
  <si>
    <t>CN2384</t>
  </si>
  <si>
    <t>CN5294</t>
  </si>
  <si>
    <t>MQ0104</t>
  </si>
  <si>
    <t>CR4414</t>
  </si>
  <si>
    <t>MQ0312</t>
  </si>
  <si>
    <t>CN5295</t>
  </si>
  <si>
    <t>MQ9010</t>
  </si>
  <si>
    <t>CR4416</t>
  </si>
  <si>
    <t>MC0586</t>
  </si>
  <si>
    <t>MQ0800</t>
  </si>
  <si>
    <t>LC9157</t>
  </si>
  <si>
    <t>CN5296</t>
  </si>
  <si>
    <t>MC0585</t>
  </si>
  <si>
    <t>CR4415</t>
  </si>
  <si>
    <t>MQ0840</t>
  </si>
  <si>
    <t>LK6356</t>
  </si>
  <si>
    <t>LC5805</t>
  </si>
  <si>
    <t>MC4470</t>
  </si>
  <si>
    <t>LQ6297</t>
  </si>
  <si>
    <t>LQ6072</t>
  </si>
  <si>
    <t>LQ0959</t>
  </si>
  <si>
    <t>LQ6204</t>
  </si>
  <si>
    <t>LQ0960</t>
  </si>
  <si>
    <t>LQ0961</t>
  </si>
  <si>
    <t>LQ6299</t>
  </si>
  <si>
    <t>LQ6102</t>
  </si>
  <si>
    <t>LQ6075</t>
  </si>
  <si>
    <t>MQ5155</t>
  </si>
  <si>
    <t>LK3960</t>
  </si>
  <si>
    <t>CR4002</t>
  </si>
  <si>
    <t>CR4990</t>
  </si>
  <si>
    <t>CR4005</t>
  </si>
  <si>
    <t>CR5218</t>
  </si>
  <si>
    <t>CR4003</t>
  </si>
  <si>
    <t>CR4004</t>
  </si>
  <si>
    <t>LQ0885</t>
  </si>
  <si>
    <t>LK6763</t>
  </si>
  <si>
    <t>LK6764</t>
  </si>
  <si>
    <t>LS0104</t>
  </si>
  <si>
    <t>LK1724</t>
  </si>
  <si>
    <t>LK1725</t>
  </si>
  <si>
    <t>LS0105</t>
  </si>
  <si>
    <t>MC3524</t>
  </si>
  <si>
    <t>LK1712</t>
  </si>
  <si>
    <t>LQ0979</t>
  </si>
  <si>
    <t>LS0106</t>
  </si>
  <si>
    <t>LK1726</t>
  </si>
  <si>
    <t>LK7142</t>
  </si>
  <si>
    <t>LQ6162</t>
  </si>
  <si>
    <t>LQ6076</t>
  </si>
  <si>
    <t>LQ6205</t>
  </si>
  <si>
    <t>LQ6242</t>
  </si>
  <si>
    <t>LQ6243</t>
  </si>
  <si>
    <t>LQ6103</t>
  </si>
  <si>
    <t>LQ6270</t>
  </si>
  <si>
    <t>LQ6163</t>
  </si>
  <si>
    <t>LQ6104</t>
  </si>
  <si>
    <t>LQ6206</t>
  </si>
  <si>
    <t>LQ6105</t>
  </si>
  <si>
    <t>LQ6300</t>
  </si>
  <si>
    <t>LQ6244</t>
  </si>
  <si>
    <t>LQ6164</t>
  </si>
  <si>
    <t>LQ6207</t>
  </si>
  <si>
    <t>LQ6245</t>
  </si>
  <si>
    <t>LQ6208</t>
  </si>
  <si>
    <t>LQ6107</t>
  </si>
  <si>
    <t>LB7631</t>
  </si>
  <si>
    <t>LB6190</t>
  </si>
  <si>
    <t>LB6248</t>
  </si>
  <si>
    <t>LB6260</t>
  </si>
  <si>
    <t>LB7632</t>
  </si>
  <si>
    <t>LB7634</t>
  </si>
  <si>
    <t>LB6263</t>
  </si>
  <si>
    <t>LK0313</t>
  </si>
  <si>
    <t>LB6267</t>
  </si>
  <si>
    <t>LB6268</t>
  </si>
  <si>
    <t>LB6269</t>
  </si>
  <si>
    <t>LB6265</t>
  </si>
  <si>
    <t>LK1345</t>
  </si>
  <si>
    <t>LB7635</t>
  </si>
  <si>
    <t>LB7637</t>
  </si>
  <si>
    <t>LB6270</t>
  </si>
  <si>
    <t>LB6271</t>
  </si>
  <si>
    <t>LB6207</t>
  </si>
  <si>
    <t>LB6583</t>
  </si>
  <si>
    <t>LB6209</t>
  </si>
  <si>
    <t>LB7247</t>
  </si>
  <si>
    <t>LB6211</t>
  </si>
  <si>
    <t>LQ6301</t>
  </si>
  <si>
    <t>LQ5967</t>
  </si>
  <si>
    <t>LQ5536</t>
  </si>
  <si>
    <t>LQ6108</t>
  </si>
  <si>
    <t>LQ6209</t>
  </si>
  <si>
    <t>LQ5868</t>
  </si>
  <si>
    <t>LQ6271</t>
  </si>
  <si>
    <t>LQ6210</t>
  </si>
  <si>
    <t>LQ6109</t>
  </si>
  <si>
    <t>LQ5968</t>
  </si>
  <si>
    <t>LQ6272</t>
  </si>
  <si>
    <t>LQ6110</t>
  </si>
  <si>
    <t>LQ6028</t>
  </si>
  <si>
    <t>LQ6111</t>
  </si>
  <si>
    <t>LK6810</t>
  </si>
  <si>
    <t>LK6811</t>
  </si>
  <si>
    <t>LQ6125</t>
  </si>
  <si>
    <t>LQ5969</t>
  </si>
  <si>
    <t>LQ5884</t>
  </si>
  <si>
    <t>LQ5545</t>
  </si>
  <si>
    <t>LQ0455</t>
  </si>
  <si>
    <t>LQ6273</t>
  </si>
  <si>
    <t>MB5620</t>
  </si>
  <si>
    <t>LB6340</t>
  </si>
  <si>
    <t>LB6347</t>
  </si>
  <si>
    <t>LK0318</t>
  </si>
  <si>
    <t>LB7641</t>
  </si>
  <si>
    <t>LB6349</t>
  </si>
  <si>
    <t>LB6219</t>
  </si>
  <si>
    <t>LB6343</t>
  </si>
  <si>
    <t>LB6687</t>
  </si>
  <si>
    <t>LB6688</t>
  </si>
  <si>
    <t>LB6359</t>
  </si>
  <si>
    <t>LB6302</t>
  </si>
  <si>
    <t>LB6345</t>
  </si>
  <si>
    <t>LB7560</t>
  </si>
  <si>
    <t>LK6518</t>
  </si>
  <si>
    <t>LQ3411</t>
  </si>
  <si>
    <t>CR3550</t>
  </si>
  <si>
    <t>LQ3412</t>
  </si>
  <si>
    <t>CR3551</t>
  </si>
  <si>
    <t>LQ3847</t>
  </si>
  <si>
    <t>LQ0919</t>
  </si>
  <si>
    <t>CR4039</t>
  </si>
  <si>
    <t>LQ3891</t>
  </si>
  <si>
    <t>LQ3848</t>
  </si>
  <si>
    <t>LQ3413</t>
  </si>
  <si>
    <t>CR3552</t>
  </si>
  <si>
    <t>LQ3760</t>
  </si>
  <si>
    <t>CR4844</t>
  </si>
  <si>
    <t>LQ3920</t>
  </si>
  <si>
    <t>LQ0921</t>
  </si>
  <si>
    <t>CR4046</t>
  </si>
  <si>
    <t>LQ0736</t>
  </si>
  <si>
    <t>LQ3849</t>
  </si>
  <si>
    <t>CR4991</t>
  </si>
  <si>
    <t>LQ0734</t>
  </si>
  <si>
    <t>CR2450</t>
  </si>
  <si>
    <t>LQ0809</t>
  </si>
  <si>
    <t>CR2449</t>
  </si>
  <si>
    <t>LQ3761</t>
  </si>
  <si>
    <t>CR4845</t>
  </si>
  <si>
    <t>LQ3414</t>
  </si>
  <si>
    <t>CR3553</t>
  </si>
  <si>
    <t>LQ3415</t>
  </si>
  <si>
    <t>CR3554</t>
  </si>
  <si>
    <t>LQ3850</t>
  </si>
  <si>
    <t>CR4992</t>
  </si>
  <si>
    <t>LQ3767</t>
  </si>
  <si>
    <t>CR4993</t>
  </si>
  <si>
    <t>LQ0922</t>
  </si>
  <si>
    <t>CR4047</t>
  </si>
  <si>
    <t>LQ3762</t>
  </si>
  <si>
    <t>CR4846</t>
  </si>
  <si>
    <t>LQ3609</t>
  </si>
  <si>
    <t>CR4044</t>
  </si>
  <si>
    <t>LQ3921</t>
  </si>
  <si>
    <t>LQ3763</t>
  </si>
  <si>
    <t>LQ3416</t>
  </si>
  <si>
    <t>LQ3851</t>
  </si>
  <si>
    <t>LQ0888</t>
  </si>
  <si>
    <t>LQ3764</t>
  </si>
  <si>
    <t>CR4847</t>
  </si>
  <si>
    <t>LQ3765</t>
  </si>
  <si>
    <t>CR4848</t>
  </si>
  <si>
    <t>LQ3922</t>
  </si>
  <si>
    <t>LQ3892</t>
  </si>
  <si>
    <t>LQ3893</t>
  </si>
  <si>
    <t>LQ0923</t>
  </si>
  <si>
    <t>CR5219</t>
  </si>
  <si>
    <t>LQ0914</t>
  </si>
  <si>
    <t>LQ3611</t>
  </si>
  <si>
    <t>LQ0737</t>
  </si>
  <si>
    <t>CR2737</t>
  </si>
  <si>
    <t>CR4045</t>
  </si>
  <si>
    <t>LQ3894</t>
  </si>
  <si>
    <t>CR5220</t>
  </si>
  <si>
    <t>LQ0811</t>
  </si>
  <si>
    <t>CR2452</t>
  </si>
  <si>
    <t>LQ3852</t>
  </si>
  <si>
    <t>CR4994</t>
  </si>
  <si>
    <t>LQ3853</t>
  </si>
  <si>
    <t>LQ0738</t>
  </si>
  <si>
    <t>LQ5890</t>
  </si>
  <si>
    <t>CR2454</t>
  </si>
  <si>
    <t>LQ0891</t>
  </si>
  <si>
    <t>CR2792</t>
  </si>
  <si>
    <t>LQ3854</t>
  </si>
  <si>
    <t>CR4995</t>
  </si>
  <si>
    <t>LQ0892</t>
  </si>
  <si>
    <t>CR2794</t>
  </si>
  <si>
    <t>CR4996</t>
  </si>
  <si>
    <t>LQ3766</t>
  </si>
  <si>
    <t>CR4849</t>
  </si>
  <si>
    <t>LQ3895</t>
  </si>
  <si>
    <t>CR5221</t>
  </si>
  <si>
    <t>LQ3856</t>
  </si>
  <si>
    <t>CR4997</t>
  </si>
  <si>
    <t>LQ0813</t>
  </si>
  <si>
    <t>CR2455</t>
  </si>
  <si>
    <t>LQ0924</t>
  </si>
  <si>
    <t>LQ0925</t>
  </si>
  <si>
    <t>LQ3896</t>
  </si>
  <si>
    <t>LQ0926</t>
  </si>
  <si>
    <t>LQ0731</t>
  </si>
  <si>
    <t>CR2456</t>
  </si>
  <si>
    <t>LQ3613</t>
  </si>
  <si>
    <t>LQ0927</t>
  </si>
  <si>
    <t>CR4050</t>
  </si>
  <si>
    <t>LQ0920</t>
  </si>
  <si>
    <t>LQ0814</t>
  </si>
  <si>
    <t>CR2458</t>
  </si>
  <si>
    <t>LQ0732</t>
  </si>
  <si>
    <t>CR2457</t>
  </si>
  <si>
    <t>LQ0928</t>
  </si>
  <si>
    <t>LQ0683</t>
  </si>
  <si>
    <t>LQ0929</t>
  </si>
  <si>
    <t>LQ0930</t>
  </si>
  <si>
    <t>CR4051</t>
  </si>
  <si>
    <t>LQ0733</t>
  </si>
  <si>
    <t>LQ3615</t>
  </si>
  <si>
    <t>LQ5892</t>
  </si>
  <si>
    <t>CR4998</t>
  </si>
  <si>
    <t>LQ0931</t>
  </si>
  <si>
    <t>CR4052</t>
  </si>
  <si>
    <t>CR4999</t>
  </si>
  <si>
    <t>LQ3418</t>
  </si>
  <si>
    <t>LB6362</t>
  </si>
  <si>
    <t>LB6354</t>
  </si>
  <si>
    <t>LB6352</t>
  </si>
  <si>
    <t>LB6355</t>
  </si>
  <si>
    <t>LB6356</t>
  </si>
  <si>
    <t>LB6353</t>
  </si>
  <si>
    <t>LB7260</t>
  </si>
  <si>
    <t>LB7462</t>
  </si>
  <si>
    <t>LK6812</t>
  </si>
  <si>
    <t>LK5520</t>
  </si>
  <si>
    <t>LK5073</t>
  </si>
  <si>
    <t>LK4428</t>
  </si>
  <si>
    <t>LK6115</t>
  </si>
  <si>
    <t>CE1493</t>
  </si>
  <si>
    <t>CE1143</t>
  </si>
  <si>
    <t>CE1286</t>
  </si>
  <si>
    <t>CE1144</t>
  </si>
  <si>
    <t>CE1125</t>
  </si>
  <si>
    <t>CE1146</t>
  </si>
  <si>
    <t>CE1126</t>
  </si>
  <si>
    <t>CE1127</t>
  </si>
  <si>
    <t>CE1614</t>
  </si>
  <si>
    <t>CE1198</t>
  </si>
  <si>
    <t>CE1147</t>
  </si>
  <si>
    <t>CE1128</t>
  </si>
  <si>
    <t>LQ0980</t>
  </si>
  <si>
    <t>LQ3924</t>
  </si>
  <si>
    <t>LB6382</t>
  </si>
  <si>
    <t>LK1713</t>
  </si>
  <si>
    <t>LB6261</t>
  </si>
  <si>
    <t>LK0314</t>
  </si>
  <si>
    <t>LK0315</t>
  </si>
  <si>
    <t>LB6262</t>
  </si>
  <si>
    <t>LK6655</t>
  </si>
  <si>
    <t>LB6384</t>
  </si>
  <si>
    <t>LB6385</t>
  </si>
  <si>
    <t>LK1715</t>
  </si>
  <si>
    <t>LB6386</t>
  </si>
  <si>
    <t>LQ3925</t>
  </si>
  <si>
    <t>LB6419</t>
  </si>
  <si>
    <t>LB6307</t>
  </si>
  <si>
    <t>LK1716</t>
  </si>
  <si>
    <t>LK4340</t>
  </si>
  <si>
    <t>LB6389</t>
  </si>
  <si>
    <t>LB6391</t>
  </si>
  <si>
    <t>LB7561</t>
  </si>
  <si>
    <t>LK0320</t>
  </si>
  <si>
    <t>LB6392</t>
  </si>
  <si>
    <t>LB6393</t>
  </si>
  <si>
    <t>LK2342</t>
  </si>
  <si>
    <t>LB6421</t>
  </si>
  <si>
    <t>LK3475</t>
  </si>
  <si>
    <t>LK1717</t>
  </si>
  <si>
    <t>LB6394</t>
  </si>
  <si>
    <t>LK3476</t>
  </si>
  <si>
    <t>LK1718</t>
  </si>
  <si>
    <t>LK0321</t>
  </si>
  <si>
    <t>LB6395</t>
  </si>
  <si>
    <t>LK0323</t>
  </si>
  <si>
    <t>CR4855</t>
  </si>
  <si>
    <t>CR4850</t>
  </si>
  <si>
    <t>CR4851</t>
  </si>
  <si>
    <t>CR4852</t>
  </si>
  <si>
    <t>CR5000</t>
  </si>
  <si>
    <t>CR4055</t>
  </si>
  <si>
    <t>CR5001</t>
  </si>
  <si>
    <t>CR4854</t>
  </si>
  <si>
    <t>CR4853</t>
  </si>
  <si>
    <t>CR5002</t>
  </si>
  <si>
    <t>CR5003</t>
  </si>
  <si>
    <t>LK5074</t>
  </si>
  <si>
    <t>LK6116</t>
  </si>
  <si>
    <t>LK5075</t>
  </si>
  <si>
    <t>LK5076</t>
  </si>
  <si>
    <t>LK5077</t>
  </si>
  <si>
    <t>LK5078</t>
  </si>
  <si>
    <t>LK5079</t>
  </si>
  <si>
    <t>LK6970</t>
  </si>
  <si>
    <t>LK6971</t>
  </si>
  <si>
    <t>LK7101</t>
  </si>
  <si>
    <t>LK6972</t>
  </si>
  <si>
    <t>LK6973</t>
  </si>
  <si>
    <t>LK6974</t>
  </si>
  <si>
    <t>LK6975</t>
  </si>
  <si>
    <t>LK7140</t>
  </si>
  <si>
    <t>LK6976</t>
  </si>
  <si>
    <t>LK7141</t>
  </si>
  <si>
    <t>LK2726</t>
  </si>
  <si>
    <t>NM0015</t>
  </si>
  <si>
    <t>LK1719</t>
  </si>
  <si>
    <t>MC2306</t>
  </si>
  <si>
    <t>NM0016</t>
  </si>
  <si>
    <t>LK4349</t>
  </si>
  <si>
    <t>NM0017</t>
  </si>
  <si>
    <t>LK2725</t>
  </si>
  <si>
    <t>NM0019</t>
  </si>
  <si>
    <t>LK1985</t>
  </si>
  <si>
    <t>NM0020</t>
  </si>
  <si>
    <t>LK4520</t>
  </si>
  <si>
    <t>LK4521</t>
  </si>
  <si>
    <t>NM0022</t>
  </si>
  <si>
    <t>LK6559</t>
  </si>
  <si>
    <t>LK4437</t>
  </si>
  <si>
    <t>NM0024</t>
  </si>
  <si>
    <t>LK4522</t>
  </si>
  <si>
    <t>LK1080</t>
  </si>
  <si>
    <t>MC1617</t>
  </si>
  <si>
    <t>NM0027</t>
  </si>
  <si>
    <t>LK5669</t>
  </si>
  <si>
    <t>NM0072</t>
  </si>
  <si>
    <t>LK4350</t>
  </si>
  <si>
    <t>NM0030</t>
  </si>
  <si>
    <t>LK4351</t>
  </si>
  <si>
    <t>NM0031</t>
  </si>
  <si>
    <t>LK1721</t>
  </si>
  <si>
    <t>MC2308</t>
  </si>
  <si>
    <t>NM0032</t>
  </si>
  <si>
    <t>LK6520</t>
  </si>
  <si>
    <t>LK6948</t>
  </si>
  <si>
    <t>LK1986</t>
  </si>
  <si>
    <t>NM0033</t>
  </si>
  <si>
    <t>LK1346</t>
  </si>
  <si>
    <t>MB0012</t>
  </si>
  <si>
    <t>LK5670</t>
  </si>
  <si>
    <t>LK4882</t>
  </si>
  <si>
    <t>NM0036</t>
  </si>
  <si>
    <t>LK4352</t>
  </si>
  <si>
    <t>LK1723</t>
  </si>
  <si>
    <t>NM0039</t>
  </si>
  <si>
    <t>LK5602</t>
  </si>
  <si>
    <t>LK5603</t>
  </si>
  <si>
    <t>LK5604</t>
  </si>
  <si>
    <t>NM0073</t>
  </si>
  <si>
    <t>LK4353</t>
  </si>
  <si>
    <t>NM0041</t>
  </si>
  <si>
    <t>LK1082</t>
  </si>
  <si>
    <t>MC1615</t>
  </si>
  <si>
    <t>NM0042</t>
  </si>
  <si>
    <t>LK5675</t>
  </si>
  <si>
    <t>NM0074</t>
  </si>
  <si>
    <t>LK5667</t>
  </si>
  <si>
    <t>LK6229</t>
  </si>
  <si>
    <t>LK5080</t>
  </si>
  <si>
    <t>LK5081</t>
  </si>
  <si>
    <t>LK5082</t>
  </si>
  <si>
    <t>LK5083</t>
  </si>
  <si>
    <t>LK5084</t>
  </si>
  <si>
    <t>LK5085</t>
  </si>
  <si>
    <t>LK7139</t>
  </si>
  <si>
    <t>LK5086</t>
  </si>
  <si>
    <t>LK6918</t>
  </si>
  <si>
    <t>LK6919</t>
  </si>
  <si>
    <t>LK6920</t>
  </si>
  <si>
    <t>LK6921</t>
  </si>
  <si>
    <t>LK6922</t>
  </si>
  <si>
    <t>LK6923</t>
  </si>
  <si>
    <t>LK6924</t>
  </si>
  <si>
    <t>LK6925</t>
  </si>
  <si>
    <t>LK6926</t>
  </si>
  <si>
    <t>LK6927</t>
  </si>
  <si>
    <t>LK6928</t>
  </si>
  <si>
    <t>LK6929</t>
  </si>
  <si>
    <t>LK6930</t>
  </si>
  <si>
    <t>LK6931</t>
  </si>
  <si>
    <t>CR5222</t>
  </si>
  <si>
    <t>CR5223</t>
  </si>
  <si>
    <t>CR5224</t>
  </si>
  <si>
    <t>LQ3897</t>
  </si>
  <si>
    <t>CR5225</t>
  </si>
  <si>
    <t>CR5226</t>
  </si>
  <si>
    <t>CR3332</t>
  </si>
  <si>
    <t>CR2891</t>
  </si>
  <si>
    <t>CR2892</t>
  </si>
  <si>
    <t>CR4068</t>
  </si>
  <si>
    <t>CR4069</t>
  </si>
  <si>
    <t>CR2901</t>
  </si>
  <si>
    <t>CR2903</t>
  </si>
  <si>
    <t>CR2904</t>
  </si>
  <si>
    <t>CR2905</t>
  </si>
  <si>
    <t>CR2473</t>
  </si>
  <si>
    <t>LK6932</t>
  </si>
  <si>
    <t>LK6933</t>
  </si>
  <si>
    <t>LK6934</t>
  </si>
  <si>
    <t>LK6935</t>
  </si>
  <si>
    <t>LK6936</t>
  </si>
  <si>
    <t>LK6937</t>
  </si>
  <si>
    <t>LK6938</t>
  </si>
  <si>
    <t>LK6939</t>
  </si>
  <si>
    <t>LK6940</t>
  </si>
  <si>
    <t>LK6941</t>
  </si>
  <si>
    <t>LB6236</t>
  </si>
  <si>
    <t>LB6309</t>
  </si>
  <si>
    <t>LB6460</t>
  </si>
  <si>
    <t>LK1347</t>
  </si>
  <si>
    <t>LB7566</t>
  </si>
  <si>
    <t>CE1671</t>
  </si>
  <si>
    <t>CE1672</t>
  </si>
  <si>
    <t>CE1673</t>
  </si>
  <si>
    <t>CE1615</t>
  </si>
  <si>
    <t>MB6150</t>
  </si>
  <si>
    <t>MC2310</t>
  </si>
  <si>
    <t>LS0102</t>
  </si>
  <si>
    <t>LQ0974</t>
  </si>
  <si>
    <t>LB6590</t>
  </si>
  <si>
    <t>LQ0962</t>
  </si>
  <si>
    <t>LK7175</t>
  </si>
  <si>
    <t>LK0555</t>
  </si>
  <si>
    <t>LK2354</t>
  </si>
  <si>
    <t>LK2704</t>
  </si>
  <si>
    <t>LK3659</t>
  </si>
  <si>
    <t>LK3660</t>
  </si>
  <si>
    <t>LK2985</t>
  </si>
  <si>
    <t>LK0566</t>
  </si>
  <si>
    <t>LQ0896</t>
  </si>
  <si>
    <t>CR3558</t>
  </si>
  <si>
    <t>CR5227</t>
  </si>
  <si>
    <t>CR5004</t>
  </si>
  <si>
    <t>LK7058</t>
  </si>
  <si>
    <t>CR2138</t>
  </si>
  <si>
    <t>LB6576</t>
  </si>
  <si>
    <t>LB7582</t>
  </si>
  <si>
    <t>LB6577</t>
  </si>
  <si>
    <t>LB6575</t>
  </si>
  <si>
    <t>LB6579</t>
  </si>
  <si>
    <t>LB6580</t>
  </si>
  <si>
    <t>LB6428</t>
  </si>
  <si>
    <t>LB6628</t>
  </si>
  <si>
    <t>LK2963</t>
  </si>
  <si>
    <t>LK1349</t>
  </si>
  <si>
    <t>LB6314</t>
  </si>
  <si>
    <t>LK2964</t>
  </si>
  <si>
    <t>LB6429</t>
  </si>
  <si>
    <t>LB6381</t>
  </si>
  <si>
    <t>LB6431</t>
  </si>
  <si>
    <t>LK1733</t>
  </si>
  <si>
    <t>LB6432</t>
  </si>
  <si>
    <t>LB6433</t>
  </si>
  <si>
    <t>LK1350</t>
  </si>
  <si>
    <t>LB6435</t>
  </si>
  <si>
    <t>CE1494</t>
  </si>
  <si>
    <t>CE1728</t>
  </si>
  <si>
    <t>CE1616</t>
  </si>
  <si>
    <t>LK2609</t>
  </si>
  <si>
    <t>LK2348</t>
  </si>
  <si>
    <t>LK6942</t>
  </si>
  <si>
    <t>LK6943</t>
  </si>
  <si>
    <t>LK2967</t>
  </si>
  <si>
    <t>LK2968</t>
  </si>
  <si>
    <t>LK6944</t>
  </si>
  <si>
    <t>LK6656</t>
  </si>
  <si>
    <t>LK6945</t>
  </si>
  <si>
    <t>LK5525</t>
  </si>
  <si>
    <t>LK2969</t>
  </si>
  <si>
    <t>LK3982</t>
  </si>
  <si>
    <t>LK2970</t>
  </si>
  <si>
    <t>LK3983</t>
  </si>
  <si>
    <t>LK6946</t>
  </si>
  <si>
    <t>LK2971</t>
  </si>
  <si>
    <t>LK6947</t>
  </si>
  <si>
    <t>LK1340</t>
  </si>
  <si>
    <t>LK6657</t>
  </si>
  <si>
    <t>LK2972</t>
  </si>
  <si>
    <t>LQ0459</t>
  </si>
  <si>
    <t>LQ5733</t>
  </si>
  <si>
    <t>LQ6165</t>
  </si>
  <si>
    <t>LQ6166</t>
  </si>
  <si>
    <t>LQ6147</t>
  </si>
  <si>
    <t>LQ5462</t>
  </si>
  <si>
    <t>LQ6144</t>
  </si>
  <si>
    <t>LQ6145</t>
  </si>
  <si>
    <t>LQ5736</t>
  </si>
  <si>
    <t>LQ5464</t>
  </si>
  <si>
    <t>CE0789</t>
  </si>
  <si>
    <t>LQ5737</t>
  </si>
  <si>
    <t>CE0790</t>
  </si>
  <si>
    <t>LQ5465</t>
  </si>
  <si>
    <t>LQ0464</t>
  </si>
  <si>
    <t>CE0791</t>
  </si>
  <si>
    <t>LK7024</t>
  </si>
  <si>
    <t>LK7025</t>
  </si>
  <si>
    <t>LK7026</t>
  </si>
  <si>
    <t>LB6758</t>
  </si>
  <si>
    <t>LB6757</t>
  </si>
  <si>
    <t>LB6755</t>
  </si>
  <si>
    <t>LK0896</t>
  </si>
  <si>
    <t>LK6969</t>
  </si>
  <si>
    <t>LK3480</t>
  </si>
  <si>
    <t>LB6776</t>
  </si>
  <si>
    <t>LB6591</t>
  </si>
  <si>
    <t>LB6781</t>
  </si>
  <si>
    <t>LK0333</t>
  </si>
  <si>
    <t>LB6592</t>
  </si>
  <si>
    <t>LB6323</t>
  </si>
  <si>
    <t>LB6324</t>
  </si>
  <si>
    <t>LB6777</t>
  </si>
  <si>
    <t>LB6325</t>
  </si>
  <si>
    <t>LK0334</t>
  </si>
  <si>
    <t>LB6761</t>
  </si>
  <si>
    <t>LB6775</t>
  </si>
  <si>
    <t>LK0897</t>
  </si>
  <si>
    <t>LB6631</t>
  </si>
  <si>
    <t>LK7027</t>
  </si>
  <si>
    <t>LB6763</t>
  </si>
  <si>
    <t>LK2974</t>
  </si>
  <si>
    <t>LB6765</t>
  </si>
  <si>
    <t>LB6762</t>
  </si>
  <si>
    <t>LK5879</t>
  </si>
  <si>
    <t>LB6764</t>
  </si>
  <si>
    <t>LB6759</t>
  </si>
  <si>
    <t>LB6766</t>
  </si>
  <si>
    <t>LK2723</t>
  </si>
  <si>
    <t>LK2724</t>
  </si>
  <si>
    <t>LB6768</t>
  </si>
  <si>
    <t>LK1983</t>
  </si>
  <si>
    <t>LK7028</t>
  </si>
  <si>
    <t>LB6756</t>
  </si>
  <si>
    <t>LK1984</t>
  </si>
  <si>
    <t>LK3481</t>
  </si>
  <si>
    <t>LB6770</t>
  </si>
  <si>
    <t>LB6769</t>
  </si>
  <si>
    <t>LB6774</t>
  </si>
  <si>
    <t>LB6773</t>
  </si>
  <si>
    <t>LB7466</t>
  </si>
  <si>
    <t>LB6771</t>
  </si>
  <si>
    <t>LK0898</t>
  </si>
  <si>
    <t>LB6772</t>
  </si>
  <si>
    <t>LB6593</t>
  </si>
  <si>
    <t>LK4342</t>
  </si>
  <si>
    <t>LK0911</t>
  </si>
  <si>
    <t>LK0608</t>
  </si>
  <si>
    <t>LK2976</t>
  </si>
  <si>
    <t>LK6519</t>
  </si>
  <si>
    <t>CR5005</t>
  </si>
  <si>
    <t>CR3559</t>
  </si>
  <si>
    <t>CR3560</t>
  </si>
  <si>
    <t>CR3561</t>
  </si>
  <si>
    <t>CR3562</t>
  </si>
  <si>
    <t>CR5006</t>
  </si>
  <si>
    <t>LQ0981</t>
  </si>
  <si>
    <t>CR2476</t>
  </si>
  <si>
    <t>CR3734</t>
  </si>
  <si>
    <t>CR2477</t>
  </si>
  <si>
    <t>CR3138</t>
  </si>
  <si>
    <t>CR5418</t>
  </si>
  <si>
    <t>CR2741</t>
  </si>
  <si>
    <t>CR3140</t>
  </si>
  <si>
    <t>CR2479</t>
  </si>
  <si>
    <t>CR2480</t>
  </si>
  <si>
    <t>LQ0818</t>
  </si>
  <si>
    <t>LK3995</t>
  </si>
  <si>
    <t>LK3996</t>
  </si>
  <si>
    <t>LK6875</t>
  </si>
  <si>
    <t>LK3997</t>
  </si>
  <si>
    <t>LK3998</t>
  </si>
  <si>
    <t>LK6118</t>
  </si>
  <si>
    <t>LK4344</t>
  </si>
  <si>
    <t>LK3999</t>
  </si>
  <si>
    <t>LK4517</t>
  </si>
  <si>
    <t>LK4518</t>
  </si>
  <si>
    <t>LK4345</t>
  </si>
  <si>
    <t>LK4000</t>
  </si>
  <si>
    <t>LB7010</t>
  </si>
  <si>
    <t>LB7011</t>
  </si>
  <si>
    <t>LB7013</t>
  </si>
  <si>
    <t>LS0108</t>
  </si>
  <si>
    <t>LK1727</t>
  </si>
  <si>
    <t>CR4865</t>
  </si>
  <si>
    <t>LB7069</t>
  </si>
  <si>
    <t>LK1351</t>
  </si>
  <si>
    <t>LB7659</t>
  </si>
  <si>
    <t>CR2140</t>
  </si>
  <si>
    <t>CR2482</t>
  </si>
  <si>
    <t>CR3772</t>
  </si>
  <si>
    <t>CR5007</t>
  </si>
  <si>
    <t>CR3903</t>
  </si>
  <si>
    <t>CR4856</t>
  </si>
  <si>
    <t>CR2484</t>
  </si>
  <si>
    <t>CR2987</t>
  </si>
  <si>
    <t>CR3142</t>
  </si>
  <si>
    <t>CR2742</t>
  </si>
  <si>
    <t>CR2488</t>
  </si>
  <si>
    <t>CR3906</t>
  </si>
  <si>
    <t>CR2743</t>
  </si>
  <si>
    <t>CR5042</t>
  </si>
  <si>
    <t>CR3143</t>
  </si>
  <si>
    <t>CR2744</t>
  </si>
  <si>
    <t>CR4773</t>
  </si>
  <si>
    <t>CR3905</t>
  </si>
  <si>
    <t>CR5383</t>
  </si>
  <si>
    <t>CR5394</t>
  </si>
  <si>
    <t>CR5416</t>
  </si>
  <si>
    <t>CR2489</t>
  </si>
  <si>
    <t>CR5073</t>
  </si>
  <si>
    <t>CR5008</t>
  </si>
  <si>
    <t>CR2491</t>
  </si>
  <si>
    <t>CR2492</t>
  </si>
  <si>
    <t>CR2493</t>
  </si>
  <si>
    <t>CR2494</t>
  </si>
  <si>
    <t>CR2496</t>
  </si>
  <si>
    <t>CR2988</t>
  </si>
  <si>
    <t>CR2497</t>
  </si>
  <si>
    <t>CR2498</t>
  </si>
  <si>
    <t>CR3699</t>
  </si>
  <si>
    <t>CR3904</t>
  </si>
  <si>
    <t>LK6716</t>
  </si>
  <si>
    <t>LK5100</t>
  </si>
  <si>
    <t>LK6119</t>
  </si>
  <si>
    <t>LK7029</t>
  </si>
  <si>
    <t>LK5101</t>
  </si>
  <si>
    <t>LK5102</t>
  </si>
  <si>
    <t>LK5103</t>
  </si>
  <si>
    <t>LK5881</t>
  </si>
  <si>
    <t>LK5104</t>
  </si>
  <si>
    <t>LK5105</t>
  </si>
  <si>
    <t>LK6120</t>
  </si>
  <si>
    <t>LK5106</t>
  </si>
  <si>
    <t>LK5107</t>
  </si>
  <si>
    <t>LK5108</t>
  </si>
  <si>
    <t>LK6121</t>
  </si>
  <si>
    <t>LK7030</t>
  </si>
  <si>
    <t>LK5109</t>
  </si>
  <si>
    <t>LK5110</t>
  </si>
  <si>
    <t>LK5111</t>
  </si>
  <si>
    <t>LK5112</t>
  </si>
  <si>
    <t>LK5113</t>
  </si>
  <si>
    <t>LK5114</t>
  </si>
  <si>
    <t>LK5882</t>
  </si>
  <si>
    <t>LK5115</t>
  </si>
  <si>
    <t>LB6436</t>
  </si>
  <si>
    <t>LK5307</t>
  </si>
  <si>
    <t>LK0063</t>
  </si>
  <si>
    <t>LQ5974</t>
  </si>
  <si>
    <t>LQ5886</t>
  </si>
  <si>
    <t>LQ6030</t>
  </si>
  <si>
    <t>LQ5975</t>
  </si>
  <si>
    <t>LQ6212</t>
  </si>
  <si>
    <t>LQ6031</t>
  </si>
  <si>
    <t>LQ6148</t>
  </si>
  <si>
    <t>LQ5541</t>
  </si>
  <si>
    <t>LQ5542</t>
  </si>
  <si>
    <t>LQ5543</t>
  </si>
  <si>
    <t>LQ5887</t>
  </si>
  <si>
    <t>LQ5978</t>
  </si>
  <si>
    <t>LQ5544</t>
  </si>
  <si>
    <t>LS0110</t>
  </si>
  <si>
    <t>LS0109</t>
  </si>
  <si>
    <t>LQ6246</t>
  </si>
  <si>
    <t>LQ6182</t>
  </si>
  <si>
    <t>LQ6211</t>
  </si>
  <si>
    <t>LQ6274</t>
  </si>
  <si>
    <t>LK1728</t>
  </si>
  <si>
    <t>LK5308</t>
  </si>
  <si>
    <t>LQ3768</t>
  </si>
  <si>
    <t>LS0111</t>
  </si>
  <si>
    <t>LK1729</t>
  </si>
  <si>
    <t>LS0112</t>
  </si>
  <si>
    <t>CE1617</t>
  </si>
  <si>
    <t>CE0500</t>
  </si>
  <si>
    <t>CE0501</t>
  </si>
  <si>
    <t>CE0502</t>
  </si>
  <si>
    <t>CE1674</t>
  </si>
  <si>
    <t>CE1238</t>
  </si>
  <si>
    <t>CE1129</t>
  </si>
  <si>
    <t>CE0499</t>
  </si>
  <si>
    <t>CE0505</t>
  </si>
  <si>
    <t>CE1618</t>
  </si>
  <si>
    <t>CE1729</t>
  </si>
  <si>
    <t>CE1675</t>
  </si>
  <si>
    <t>CE1239</t>
  </si>
  <si>
    <t>CE1199</t>
  </si>
  <si>
    <t>CE1676</t>
  </si>
  <si>
    <t>CE1361</t>
  </si>
  <si>
    <t>CE0938</t>
  </si>
  <si>
    <t>CE0940</t>
  </si>
  <si>
    <t>CE1200</t>
  </si>
  <si>
    <t>CE1677</t>
  </si>
  <si>
    <t>CE0900</t>
  </si>
  <si>
    <t>CE0880</t>
  </si>
  <si>
    <t>CE1287</t>
  </si>
  <si>
    <t>CE1241</t>
  </si>
  <si>
    <t>CE1678</t>
  </si>
  <si>
    <t>CE0881</t>
  </si>
  <si>
    <t>CE0882</t>
  </si>
  <si>
    <t>CE0883</t>
  </si>
  <si>
    <t>CE0828</t>
  </si>
  <si>
    <t>CE0506</t>
  </si>
  <si>
    <t>CE0508</t>
  </si>
  <si>
    <t>CE0884</t>
  </si>
  <si>
    <t>CE0885</t>
  </si>
  <si>
    <t>CE0509</t>
  </si>
  <si>
    <t>CE0510</t>
  </si>
  <si>
    <t>CE0511</t>
  </si>
  <si>
    <t>CE0899</t>
  </si>
  <si>
    <t>CE1288</t>
  </si>
  <si>
    <t>CE1130</t>
  </si>
  <si>
    <t>CE0516</t>
  </si>
  <si>
    <t>CE1131</t>
  </si>
  <si>
    <t>LQ6213</t>
  </si>
  <si>
    <t>CE1289</t>
  </si>
  <si>
    <t>CE1679</t>
  </si>
  <si>
    <t>LB6509</t>
  </si>
  <si>
    <t>LK6658</t>
  </si>
  <si>
    <t>CR5228</t>
  </si>
  <si>
    <t>CR5229</t>
  </si>
  <si>
    <t>CR5230</t>
  </si>
  <si>
    <t>CR5231</t>
  </si>
  <si>
    <t>CR5232</t>
  </si>
  <si>
    <t>CR5233</t>
  </si>
  <si>
    <t>CR5234</t>
  </si>
  <si>
    <t>CR5235</t>
  </si>
  <si>
    <t>LK4346</t>
  </si>
  <si>
    <t>LK5116</t>
  </si>
  <si>
    <t>LK4347</t>
  </si>
  <si>
    <t>LK4348</t>
  </si>
  <si>
    <t>LK5117</t>
  </si>
  <si>
    <t>LK5600</t>
  </si>
  <si>
    <t>LQ6214</t>
  </si>
  <si>
    <t>LK5318</t>
  </si>
  <si>
    <t>LB7493</t>
  </si>
  <si>
    <t>LK6424</t>
  </si>
  <si>
    <t>LK6425</t>
  </si>
  <si>
    <t>LK6426</t>
  </si>
  <si>
    <t>LK6427</t>
  </si>
  <si>
    <t>LK6428</t>
  </si>
  <si>
    <t>LK6429</t>
  </si>
  <si>
    <t>LK6430</t>
  </si>
  <si>
    <t>LK7100</t>
  </si>
  <si>
    <t>LK6431</t>
  </si>
  <si>
    <t>LK6432</t>
  </si>
  <si>
    <t>LK6433</t>
  </si>
  <si>
    <t>LK6437</t>
  </si>
  <si>
    <t>LK6434</t>
  </si>
  <si>
    <t>LK6436</t>
  </si>
  <si>
    <t>LK6122</t>
  </si>
  <si>
    <t>LK6438</t>
  </si>
  <si>
    <t>LK6439</t>
  </si>
  <si>
    <t>LK6876</t>
  </si>
  <si>
    <t>LK6440</t>
  </si>
  <si>
    <t>LK6441</t>
  </si>
  <si>
    <t>LK6442</t>
  </si>
  <si>
    <t>LK6443</t>
  </si>
  <si>
    <t>LK7099</t>
  </si>
  <si>
    <t>LK6444</t>
  </si>
  <si>
    <t>LK6445</t>
  </si>
  <si>
    <t>LK6126</t>
  </si>
  <si>
    <t>LB7501</t>
  </si>
  <si>
    <t>LB7673</t>
  </si>
  <si>
    <t>LB7489</t>
  </si>
  <si>
    <t>LB7488</t>
  </si>
  <si>
    <t>LB7492</t>
  </si>
  <si>
    <t>LB7494</t>
  </si>
  <si>
    <t>LB7495</t>
  </si>
  <si>
    <t>LB7497</t>
  </si>
  <si>
    <t>LQ3283</t>
  </si>
  <si>
    <t>LQ3180</t>
  </si>
  <si>
    <t>LK5605</t>
  </si>
  <si>
    <t>LQ3421</t>
  </si>
  <si>
    <t>LQ0965</t>
  </si>
  <si>
    <t>LQ3247</t>
  </si>
  <si>
    <t>LQ3181</t>
  </si>
  <si>
    <t>LQ3248</t>
  </si>
  <si>
    <t>LQ3617</t>
  </si>
  <si>
    <t>LQ3618</t>
  </si>
  <si>
    <t>LQ3619</t>
  </si>
  <si>
    <t>LQ3620</t>
  </si>
  <si>
    <t>LQ3621</t>
  </si>
  <si>
    <t>LQ3857</t>
  </si>
  <si>
    <t>LQ3858</t>
  </si>
  <si>
    <t>LK7143</t>
  </si>
  <si>
    <t>LQ3622</t>
  </si>
  <si>
    <t>LQ3859</t>
  </si>
  <si>
    <t>LQ3860</t>
  </si>
  <si>
    <t>LQ3182</t>
  </si>
  <si>
    <t>LQ3771</t>
  </si>
  <si>
    <t>LQ3772</t>
  </si>
  <si>
    <t>LK5607</t>
  </si>
  <si>
    <t>LQ0966</t>
  </si>
  <si>
    <t>LQ3183</t>
  </si>
  <si>
    <t>LQ3282</t>
  </si>
  <si>
    <t>CR3965</t>
  </si>
  <si>
    <t>CR2502</t>
  </si>
  <si>
    <t>CR2747</t>
  </si>
  <si>
    <t>CR5009</t>
  </si>
  <si>
    <t>CR3145</t>
  </si>
  <si>
    <t>CR3735</t>
  </si>
  <si>
    <t>CR3966</t>
  </si>
  <si>
    <t>CR4114</t>
  </si>
  <si>
    <t>CR2506</t>
  </si>
  <si>
    <t>CR3146</t>
  </si>
  <si>
    <t>CR3967</t>
  </si>
  <si>
    <t>CR3907</t>
  </si>
  <si>
    <t>CR2914</t>
  </si>
  <si>
    <t>CR2927</t>
  </si>
  <si>
    <t>CR3908</t>
  </si>
  <si>
    <t>CR2915</t>
  </si>
  <si>
    <t>CR4905</t>
  </si>
  <si>
    <t>CR2503</t>
  </si>
  <si>
    <t>CR3909</t>
  </si>
  <si>
    <t>CR2504</t>
  </si>
  <si>
    <t>CR2749</t>
  </si>
  <si>
    <t>CR4858</t>
  </si>
  <si>
    <t>CR4115</t>
  </si>
  <si>
    <t>CR2989</t>
  </si>
  <si>
    <t>CR3149</t>
  </si>
  <si>
    <t>CR3910</t>
  </si>
  <si>
    <t>CR5010</t>
  </si>
  <si>
    <t>CR2917</t>
  </si>
  <si>
    <t>CR4861</t>
  </si>
  <si>
    <t>CR4860</t>
  </si>
  <si>
    <t>CR4864</t>
  </si>
  <si>
    <t>CR4859</t>
  </si>
  <si>
    <t>CR4862</t>
  </si>
  <si>
    <t>CR3911</t>
  </si>
  <si>
    <t>CR4116</t>
  </si>
  <si>
    <t>CR4117</t>
  </si>
  <si>
    <t>CR2751</t>
  </si>
  <si>
    <t>CR2928</t>
  </si>
  <si>
    <t>CR2505</t>
  </si>
  <si>
    <t>CR2754</t>
  </si>
  <si>
    <t>CR2508</t>
  </si>
  <si>
    <t>CR2509</t>
  </si>
  <si>
    <t>CR2510</t>
  </si>
  <si>
    <t>CR3736</t>
  </si>
  <si>
    <t>CR3912</t>
  </si>
  <si>
    <t>CR2511</t>
  </si>
  <si>
    <t>CR2753</t>
  </si>
  <si>
    <t>CR2929</t>
  </si>
  <si>
    <t>CR2512</t>
  </si>
  <si>
    <t>CR2513</t>
  </si>
  <si>
    <t>CR2990</t>
  </si>
  <si>
    <t>CR3152</t>
  </si>
  <si>
    <t>CR2991</t>
  </si>
  <si>
    <t>CR2992</t>
  </si>
  <si>
    <t>CR5236</t>
  </si>
  <si>
    <t>CR5395</t>
  </si>
  <si>
    <t>CR3737</t>
  </si>
  <si>
    <t>CR5396</t>
  </si>
  <si>
    <t>CR2515</t>
  </si>
  <si>
    <t>CR4122</t>
  </si>
  <si>
    <t>CR2516</t>
  </si>
  <si>
    <t>CR2993</t>
  </si>
  <si>
    <t>CR2517</t>
  </si>
  <si>
    <t>CR2518</t>
  </si>
  <si>
    <t>CR3913</t>
  </si>
  <si>
    <t>LQ3769</t>
  </si>
  <si>
    <t>LQ0982</t>
  </si>
  <si>
    <t>LK5118</t>
  </si>
  <si>
    <t>LK5886</t>
  </si>
  <si>
    <t>LK5887</t>
  </si>
  <si>
    <t>LK5888</t>
  </si>
  <si>
    <t>LK5890</t>
  </si>
  <si>
    <t>LK5891</t>
  </si>
  <si>
    <t>LK5892</t>
  </si>
  <si>
    <t>LK6660</t>
  </si>
  <si>
    <t>LK5893</t>
  </si>
  <si>
    <t>LK5889</t>
  </si>
  <si>
    <t>LK5894</t>
  </si>
  <si>
    <t>LK5895</t>
  </si>
  <si>
    <t>LK5896</t>
  </si>
  <si>
    <t>LK5897</t>
  </si>
  <si>
    <t>LK6659</t>
  </si>
  <si>
    <t>LK5898</t>
  </si>
  <si>
    <t>LK5899</t>
  </si>
  <si>
    <t>LK5900</t>
  </si>
  <si>
    <t>LK5901</t>
  </si>
  <si>
    <t>LK5902</t>
  </si>
  <si>
    <t>LK5903</t>
  </si>
  <si>
    <t>LK5904</t>
  </si>
  <si>
    <t>LK5885</t>
  </si>
  <si>
    <t>LK5905</t>
  </si>
  <si>
    <t>LK5906</t>
  </si>
  <si>
    <t>LK5907</t>
  </si>
  <si>
    <t>LK5908</t>
  </si>
  <si>
    <t>LK5909</t>
  </si>
  <si>
    <t>LK5910</t>
  </si>
  <si>
    <t>LQ0983</t>
  </si>
  <si>
    <t>LB7540</t>
  </si>
  <si>
    <t>LB7541</t>
  </si>
  <si>
    <t>LB7542</t>
  </si>
  <si>
    <t>LB7545</t>
  </si>
  <si>
    <t>LB6438</t>
  </si>
  <si>
    <t>LB7547</t>
  </si>
  <si>
    <t>LB7550</t>
  </si>
  <si>
    <t>LB7552</t>
  </si>
  <si>
    <t>LB7554</t>
  </si>
  <si>
    <t>LB7677</t>
  </si>
  <si>
    <t>LK0338</t>
  </si>
  <si>
    <t>LB7558</t>
  </si>
  <si>
    <t>LB7565</t>
  </si>
  <si>
    <t>LQ0963</t>
  </si>
  <si>
    <t>LQ0964</t>
  </si>
  <si>
    <t>LQ3808</t>
  </si>
  <si>
    <t>LK0920</t>
  </si>
  <si>
    <t>NM0008</t>
  </si>
  <si>
    <t>LK6558</t>
  </si>
  <si>
    <t>LK0339</t>
  </si>
  <si>
    <t>NM0009</t>
  </si>
  <si>
    <t>MC3608</t>
  </si>
  <si>
    <t>LB6409</t>
  </si>
  <si>
    <t>NM0010</t>
  </si>
  <si>
    <t>LB6372</t>
  </si>
  <si>
    <t>MC0755</t>
  </si>
  <si>
    <t>NM0011</t>
  </si>
  <si>
    <t>LK4568</t>
  </si>
  <si>
    <t>NM0012</t>
  </si>
  <si>
    <t>MB6151</t>
  </si>
  <si>
    <t>LB7671</t>
  </si>
  <si>
    <t>MC0754</t>
  </si>
  <si>
    <t>NM0013</t>
  </si>
  <si>
    <t>LB6439</t>
  </si>
  <si>
    <t>LK4615</t>
  </si>
  <si>
    <t>LK4884</t>
  </si>
  <si>
    <t>LK5120</t>
  </si>
  <si>
    <t>LK4407</t>
  </si>
  <si>
    <t>LK3500</t>
  </si>
  <si>
    <t>LK3501</t>
  </si>
  <si>
    <t>LK5121</t>
  </si>
  <si>
    <t>LK3502</t>
  </si>
  <si>
    <t>LK6845</t>
  </si>
  <si>
    <t>LK4885</t>
  </si>
  <si>
    <t>LK3503</t>
  </si>
  <si>
    <t>LK4523</t>
  </si>
  <si>
    <t>LK4886</t>
  </si>
  <si>
    <t>LK6977</t>
  </si>
  <si>
    <t>LK5676</t>
  </si>
  <si>
    <t>LB6305</t>
  </si>
  <si>
    <t>LB6308</t>
  </si>
  <si>
    <t>LK0919</t>
  </si>
  <si>
    <t>LK5677</t>
  </si>
  <si>
    <t>LK0336</t>
  </si>
  <si>
    <t>NM0062</t>
  </si>
  <si>
    <t>LS0113</t>
  </si>
  <si>
    <t>LK1731</t>
  </si>
  <si>
    <t>LK5331</t>
  </si>
  <si>
    <t>LQ3740</t>
  </si>
  <si>
    <t>LF3492</t>
  </si>
  <si>
    <t>LF5710</t>
  </si>
  <si>
    <t>MB5732</t>
  </si>
  <si>
    <t>LK0340</t>
  </si>
  <si>
    <t>LB7750</t>
  </si>
  <si>
    <t>LB7866</t>
  </si>
  <si>
    <t>LK0610</t>
  </si>
  <si>
    <t>LK2361</t>
  </si>
  <si>
    <t>LK5913</t>
  </si>
  <si>
    <t>LB7754</t>
  </si>
  <si>
    <t>CN5340</t>
  </si>
  <si>
    <t>MQ5129</t>
  </si>
  <si>
    <t>MQ0801</t>
  </si>
  <si>
    <t>MC0592</t>
  </si>
  <si>
    <t>LH8076</t>
  </si>
  <si>
    <t>CN2385</t>
  </si>
  <si>
    <t>MC3401</t>
  </si>
  <si>
    <t>MC2619</t>
  </si>
  <si>
    <t>MC0593</t>
  </si>
  <si>
    <t>CN5341</t>
  </si>
  <si>
    <t>MC0605</t>
  </si>
  <si>
    <t>CR4436</t>
  </si>
  <si>
    <t>CE1010</t>
  </si>
  <si>
    <t>CN5298</t>
  </si>
  <si>
    <t>MC4355</t>
  </si>
  <si>
    <t>CR4418</t>
  </si>
  <si>
    <t>MQ0313</t>
  </si>
  <si>
    <t>MC1477</t>
  </si>
  <si>
    <t>LH8055</t>
  </si>
  <si>
    <t>MC3787</t>
  </si>
  <si>
    <t>CN5342</t>
  </si>
  <si>
    <t>MC0606</t>
  </si>
  <si>
    <t>CR4432</t>
  </si>
  <si>
    <t>MC0594</t>
  </si>
  <si>
    <t>CN5343</t>
  </si>
  <si>
    <t>MC2847</t>
  </si>
  <si>
    <t>CR4434</t>
  </si>
  <si>
    <t>MC4425</t>
  </si>
  <si>
    <t>CN2387</t>
  </si>
  <si>
    <t>CN5303</t>
  </si>
  <si>
    <t>CR3817</t>
  </si>
  <si>
    <t>CN2388</t>
  </si>
  <si>
    <t>CN5304</t>
  </si>
  <si>
    <t>CR4872</t>
  </si>
  <si>
    <t>CN5307</t>
  </si>
  <si>
    <t>CR3939</t>
  </si>
  <si>
    <t>CN5305</t>
  </si>
  <si>
    <t>CN5306</t>
  </si>
  <si>
    <t>CR3819</t>
  </si>
  <si>
    <t>CN5308</t>
  </si>
  <si>
    <t>CN5309</t>
  </si>
  <si>
    <t>CR3822</t>
  </si>
  <si>
    <t>CN5310</t>
  </si>
  <si>
    <t>LH6400</t>
  </si>
  <si>
    <t>MC0607</t>
  </si>
  <si>
    <t>CR4437</t>
  </si>
  <si>
    <t>CN5344</t>
  </si>
  <si>
    <t>MC2961</t>
  </si>
  <si>
    <t>CE1011</t>
  </si>
  <si>
    <t>LH6401</t>
  </si>
  <si>
    <t>MC0608</t>
  </si>
  <si>
    <t>CR4433</t>
  </si>
  <si>
    <t>CN5345</t>
  </si>
  <si>
    <t>MC0595</t>
  </si>
  <si>
    <t>MQ6062</t>
  </si>
  <si>
    <t>MQ6063</t>
  </si>
  <si>
    <t>MQ6064</t>
  </si>
  <si>
    <t>MQ6065</t>
  </si>
  <si>
    <t>MQ0321</t>
  </si>
  <si>
    <t>CN5311</t>
  </si>
  <si>
    <t>CR4420</t>
  </si>
  <si>
    <t>CN5312</t>
  </si>
  <si>
    <t>MQ0322</t>
  </si>
  <si>
    <t>CR3945</t>
  </si>
  <si>
    <t>CN5313</t>
  </si>
  <si>
    <t>MQ0434</t>
  </si>
  <si>
    <t>CR4421</t>
  </si>
  <si>
    <t>CN5314</t>
  </si>
  <si>
    <t>MQ0323</t>
  </si>
  <si>
    <t>CR3946</t>
  </si>
  <si>
    <t>CN5315</t>
  </si>
  <si>
    <t>MQ0324</t>
  </si>
  <si>
    <t>CN2315</t>
  </si>
  <si>
    <t>MC4415</t>
  </si>
  <si>
    <t>MQ0435</t>
  </si>
  <si>
    <t>CN5316</t>
  </si>
  <si>
    <t>MQ0325</t>
  </si>
  <si>
    <t>MQ0436</t>
  </si>
  <si>
    <t>CN5317</t>
  </si>
  <si>
    <t>CR4419</t>
  </si>
  <si>
    <t>CR4422</t>
  </si>
  <si>
    <t>CN5318</t>
  </si>
  <si>
    <t>CR3942</t>
  </si>
  <si>
    <t>CN5319</t>
  </si>
  <si>
    <t>CR3940</t>
  </si>
  <si>
    <t>CN5320</t>
  </si>
  <si>
    <t>CR3941</t>
  </si>
  <si>
    <t>CN2316</t>
  </si>
  <si>
    <t>CN5321</t>
  </si>
  <si>
    <t>CR3943</t>
  </si>
  <si>
    <t>CN5322</t>
  </si>
  <si>
    <t>CN5324</t>
  </si>
  <si>
    <t>MQ0326</t>
  </si>
  <si>
    <t>CR3944</t>
  </si>
  <si>
    <t>CN5323</t>
  </si>
  <si>
    <t>MQ0437</t>
  </si>
  <si>
    <t>CR3254</t>
  </si>
  <si>
    <t>CN5325</t>
  </si>
  <si>
    <t>MQ0327</t>
  </si>
  <si>
    <t>CR4426</t>
  </si>
  <si>
    <t>MQ0627</t>
  </si>
  <si>
    <t>CR4427</t>
  </si>
  <si>
    <t>CN2317</t>
  </si>
  <si>
    <t>MC4416</t>
  </si>
  <si>
    <t>CN5327</t>
  </si>
  <si>
    <t>MQ0328</t>
  </si>
  <si>
    <t>CR3947</t>
  </si>
  <si>
    <t>CN5326</t>
  </si>
  <si>
    <t>MQ0439</t>
  </si>
  <si>
    <t>CN5297</t>
  </si>
  <si>
    <t>MC2053</t>
  </si>
  <si>
    <t>CR4417</t>
  </si>
  <si>
    <t>MC0596</t>
  </si>
  <si>
    <t>MQ7453</t>
  </si>
  <si>
    <t>MQ0841</t>
  </si>
  <si>
    <t>MQ7186</t>
  </si>
  <si>
    <t>MQ0842</t>
  </si>
  <si>
    <t>MQ7454</t>
  </si>
  <si>
    <t>MQ7455</t>
  </si>
  <si>
    <t>MC1611</t>
  </si>
  <si>
    <t>MQ6066</t>
  </si>
  <si>
    <t>CE1703</t>
  </si>
  <si>
    <t>MQ0844</t>
  </si>
  <si>
    <t>MQ6067</t>
  </si>
  <si>
    <t>CE1704</t>
  </si>
  <si>
    <t>MQ0845</t>
  </si>
  <si>
    <t>MQ6068</t>
  </si>
  <si>
    <t>CE1705</t>
  </si>
  <si>
    <t>MQ6069</t>
  </si>
  <si>
    <t>CE1706</t>
  </si>
  <si>
    <t>MQ6070</t>
  </si>
  <si>
    <t>CE1707</t>
  </si>
  <si>
    <t>MQ0440</t>
  </si>
  <si>
    <t>MQ0441</t>
  </si>
  <si>
    <t>MQ0442</t>
  </si>
  <si>
    <t>MQ0727</t>
  </si>
  <si>
    <t>MQ0657</t>
  </si>
  <si>
    <t>MQ0443</t>
  </si>
  <si>
    <t>MC2047</t>
  </si>
  <si>
    <t>CR4429</t>
  </si>
  <si>
    <t>CN2386</t>
  </si>
  <si>
    <t>MC3306</t>
  </si>
  <si>
    <t>MC4053</t>
  </si>
  <si>
    <t>MC2050</t>
  </si>
  <si>
    <t>MC0900</t>
  </si>
  <si>
    <t>CE1007</t>
  </si>
  <si>
    <t>CE1008</t>
  </si>
  <si>
    <t>LK0349</t>
  </si>
  <si>
    <t>MQ0629</t>
  </si>
  <si>
    <t>LQ6275</t>
  </si>
  <si>
    <t>LQ6127</t>
  </si>
  <si>
    <t>LQ6129</t>
  </si>
  <si>
    <t>CR2523</t>
  </si>
  <si>
    <t>CR2519</t>
  </si>
  <si>
    <t>CR2520</t>
  </si>
  <si>
    <t>CR2522</t>
  </si>
  <si>
    <t>CR2521</t>
  </si>
  <si>
    <t>LH8115</t>
  </si>
  <si>
    <t>LK6446</t>
  </si>
  <si>
    <t>LK6272</t>
  </si>
  <si>
    <t>LK6273</t>
  </si>
  <si>
    <t>LK6274</t>
  </si>
  <si>
    <t>LK6275</t>
  </si>
  <si>
    <t>LK6276</t>
  </si>
  <si>
    <t>MC4054</t>
  </si>
  <si>
    <t>CE1014</t>
  </si>
  <si>
    <t>CN5346</t>
  </si>
  <si>
    <t>MC0609</t>
  </si>
  <si>
    <t>CR4438</t>
  </si>
  <si>
    <t>MC4055</t>
  </si>
  <si>
    <t>CN5347</t>
  </si>
  <si>
    <t>MC0610</t>
  </si>
  <si>
    <t>CE1015</t>
  </si>
  <si>
    <t>CR4431</t>
  </si>
  <si>
    <t>MC1332</t>
  </si>
  <si>
    <t>LH6404</t>
  </si>
  <si>
    <t>MQ0336</t>
  </si>
  <si>
    <t>CN5328</t>
  </si>
  <si>
    <t>CN5329</t>
  </si>
  <si>
    <t>CR3827</t>
  </si>
  <si>
    <t>CN5330</t>
  </si>
  <si>
    <t>CR3828</t>
  </si>
  <si>
    <t>CN5331</t>
  </si>
  <si>
    <t>CR3829</t>
  </si>
  <si>
    <t>CN5332</t>
  </si>
  <si>
    <t>CR3830</t>
  </si>
  <si>
    <t>CN5333</t>
  </si>
  <si>
    <t>CR3948</t>
  </si>
  <si>
    <t>CN5334</t>
  </si>
  <si>
    <t>CN5335</t>
  </si>
  <si>
    <t>CN5336</t>
  </si>
  <si>
    <t>CR3831</t>
  </si>
  <si>
    <t>CN5337</t>
  </si>
  <si>
    <t>CN5338</t>
  </si>
  <si>
    <t>LH8876</t>
  </si>
  <si>
    <t>CN5339</t>
  </si>
  <si>
    <t>CR3832</t>
  </si>
  <si>
    <t>MC0601</t>
  </si>
  <si>
    <t>MQ0728</t>
  </si>
  <si>
    <t>MQ0729</t>
  </si>
  <si>
    <t>MQ0653</t>
  </si>
  <si>
    <t>MQ0654</t>
  </si>
  <si>
    <t>MQ0655</t>
  </si>
  <si>
    <t>MQ0656</t>
  </si>
  <si>
    <t>CR3824</t>
  </si>
  <si>
    <t>CR3825</t>
  </si>
  <si>
    <t>MQ0843</t>
  </si>
  <si>
    <t>MQ0430</t>
  </si>
  <si>
    <t>CE1717</t>
  </si>
  <si>
    <t>MQ0431</t>
  </si>
  <si>
    <t>CE1715</t>
  </si>
  <si>
    <t>CE1018</t>
  </si>
  <si>
    <t>MQ0432</t>
  </si>
  <si>
    <t>CE1019</t>
  </si>
  <si>
    <t>MQ0433</t>
  </si>
  <si>
    <t>MQ0444</t>
  </si>
  <si>
    <t>CE1713</t>
  </si>
  <si>
    <t>MQ0445</t>
  </si>
  <si>
    <t>CE1714</t>
  </si>
  <si>
    <t>MQ0446</t>
  </si>
  <si>
    <t>CE1022</t>
  </si>
  <si>
    <t>CE1718</t>
  </si>
  <si>
    <t>MQ0447</t>
  </si>
  <si>
    <t>CE1716</t>
  </si>
  <si>
    <t>MQ0448</t>
  </si>
  <si>
    <t>CE1060</t>
  </si>
  <si>
    <t>MQ0449</t>
  </si>
  <si>
    <t>CE1719</t>
  </si>
  <si>
    <t>CE1023</t>
  </si>
  <si>
    <t>MQ0450</t>
  </si>
  <si>
    <t>CE1250</t>
  </si>
  <si>
    <t>MQ0339</t>
  </si>
  <si>
    <t>MC0611</t>
  </si>
  <si>
    <t>MC0615</t>
  </si>
  <si>
    <t>CN5299</t>
  </si>
  <si>
    <t>CR4874</t>
  </si>
  <si>
    <t>CN5300</t>
  </si>
  <si>
    <t>CR4873</t>
  </si>
  <si>
    <t>CN5301</t>
  </si>
  <si>
    <t>CR4876</t>
  </si>
  <si>
    <t>CN5302</t>
  </si>
  <si>
    <t>CR4875</t>
  </si>
  <si>
    <t>LH6543</t>
  </si>
  <si>
    <t>MC0616</t>
  </si>
  <si>
    <t>LL0009</t>
  </si>
  <si>
    <t>LL3860</t>
  </si>
  <si>
    <t>MQ0802</t>
  </si>
  <si>
    <t>MC0617</t>
  </si>
  <si>
    <t>MC3363</t>
  </si>
  <si>
    <t>LF5845</t>
  </si>
  <si>
    <t>LF9112</t>
  </si>
  <si>
    <t>LF5860</t>
  </si>
  <si>
    <t>LF9113</t>
  </si>
  <si>
    <t>LF5853</t>
  </si>
  <si>
    <t>CN2330</t>
  </si>
  <si>
    <t>CN2321</t>
  </si>
  <si>
    <t>LF0017</t>
  </si>
  <si>
    <t>LF0038</t>
  </si>
  <si>
    <t>LF0600</t>
  </si>
  <si>
    <t>MC1628</t>
  </si>
  <si>
    <t>MC4408</t>
  </si>
  <si>
    <t>MC1629</t>
  </si>
  <si>
    <t>MC3402</t>
  </si>
  <si>
    <t>MC3789</t>
  </si>
  <si>
    <t>MC2760</t>
  </si>
  <si>
    <t>MC1630</t>
  </si>
  <si>
    <t>LH6639</t>
  </si>
  <si>
    <t>MC4304</t>
  </si>
  <si>
    <t>MC4306</t>
  </si>
  <si>
    <t>MC4307</t>
  </si>
  <si>
    <t>LH8723</t>
  </si>
  <si>
    <t>MC0627</t>
  </si>
  <si>
    <t>MC4308</t>
  </si>
  <si>
    <t>MC4445</t>
  </si>
  <si>
    <t>MB5915</t>
  </si>
  <si>
    <t>LF5915</t>
  </si>
  <si>
    <t>CE1424</t>
  </si>
  <si>
    <t>LK6833</t>
  </si>
  <si>
    <t>LD0048</t>
  </si>
  <si>
    <t>LD0049</t>
  </si>
  <si>
    <t>LQ3757</t>
  </si>
  <si>
    <t>CR4066</t>
  </si>
  <si>
    <t>LB3200</t>
  </si>
  <si>
    <t>LK5796</t>
  </si>
  <si>
    <t>CR2995</t>
  </si>
  <si>
    <t>LF5918</t>
  </si>
  <si>
    <t>LF5923</t>
  </si>
  <si>
    <t>LH6660</t>
  </si>
  <si>
    <t>LF5916</t>
  </si>
  <si>
    <t>LK2579</t>
  </si>
  <si>
    <t>CR2524</t>
  </si>
  <si>
    <t>LK6765</t>
  </si>
  <si>
    <t>LK6766</t>
  </si>
  <si>
    <t>LK6767</t>
  </si>
  <si>
    <t>LK6768</t>
  </si>
  <si>
    <t>LQ6293</t>
  </si>
  <si>
    <t>LK2580</t>
  </si>
  <si>
    <t>LK5608</t>
  </si>
  <si>
    <t>MC2621</t>
  </si>
  <si>
    <t>CR2997</t>
  </si>
  <si>
    <t>LK0351</t>
  </si>
  <si>
    <t>LH6680</t>
  </si>
  <si>
    <t>MC0633</t>
  </si>
  <si>
    <t>MQ0803</t>
  </si>
  <si>
    <t>MC2536</t>
  </si>
  <si>
    <t>MC2179</t>
  </si>
  <si>
    <t>MC2764</t>
  </si>
  <si>
    <t>MQ0526</t>
  </si>
  <si>
    <t>MQ5117</t>
  </si>
  <si>
    <t>MC1335</t>
  </si>
  <si>
    <t>LQ0975</t>
  </si>
  <si>
    <t>LQ6167</t>
  </si>
  <si>
    <t>LQ6168</t>
  </si>
  <si>
    <t>LQ3623</t>
  </si>
  <si>
    <t>LQ3861</t>
  </si>
  <si>
    <t>LQ3624</t>
  </si>
  <si>
    <t>LQ3330</t>
  </si>
  <si>
    <t>CR2999</t>
  </si>
  <si>
    <t>LQ3331</t>
  </si>
  <si>
    <t>CR3191</t>
  </si>
  <si>
    <t>LQ3690</t>
  </si>
  <si>
    <t>LQ3332</t>
  </si>
  <si>
    <t>CR3192</t>
  </si>
  <si>
    <t>LQ3333</t>
  </si>
  <si>
    <t>CR3001</t>
  </si>
  <si>
    <t>LQ3334</t>
  </si>
  <si>
    <t>LQ3335</t>
  </si>
  <si>
    <t>CR3002</t>
  </si>
  <si>
    <t>LQ3336</t>
  </si>
  <si>
    <t>LQ3337</t>
  </si>
  <si>
    <t>CR3003</t>
  </si>
  <si>
    <t>LQ3626</t>
  </si>
  <si>
    <t>CR4037</t>
  </si>
  <si>
    <t>LQ3339</t>
  </si>
  <si>
    <t>LQ3627</t>
  </si>
  <si>
    <t>CR4038</t>
  </si>
  <si>
    <t>LQ3340</t>
  </si>
  <si>
    <t>LQ3341</t>
  </si>
  <si>
    <t>CR3004</t>
  </si>
  <si>
    <t>LQ3898</t>
  </si>
  <si>
    <t>CR2525</t>
  </si>
  <si>
    <t>CR2526</t>
  </si>
  <si>
    <t>CR4054</t>
  </si>
  <si>
    <t>CR2527</t>
  </si>
  <si>
    <t>CR5011</t>
  </si>
  <si>
    <t>CR4868</t>
  </si>
  <si>
    <t>CR2528</t>
  </si>
  <si>
    <t>CR4867</t>
  </si>
  <si>
    <t>CR3914</t>
  </si>
  <si>
    <t>CR3738</t>
  </si>
  <si>
    <t>CR3739</t>
  </si>
  <si>
    <t>CR3740</t>
  </si>
  <si>
    <t>CR3741</t>
  </si>
  <si>
    <t>CR5012</t>
  </si>
  <si>
    <t>CR2529</t>
  </si>
  <si>
    <t>LK5333</t>
  </si>
  <si>
    <t>LF9114</t>
  </si>
  <si>
    <t>MB6000</t>
  </si>
  <si>
    <t>LS0114</t>
  </si>
  <si>
    <t>LK4887</t>
  </si>
  <si>
    <t>LK4888</t>
  </si>
  <si>
    <t>LK4889</t>
  </si>
  <si>
    <t>LK4890</t>
  </si>
  <si>
    <t>LK4891</t>
  </si>
  <si>
    <t>LK4892</t>
  </si>
  <si>
    <t>LK4893</t>
  </si>
  <si>
    <t>LK4894</t>
  </si>
  <si>
    <t>LK5122</t>
  </si>
  <si>
    <t>LK4895</t>
  </si>
  <si>
    <t>LK5123</t>
  </si>
  <si>
    <t>LK5126</t>
  </si>
  <si>
    <t>LB7927</t>
  </si>
  <si>
    <t>LQ3926</t>
  </si>
  <si>
    <t>LQ6183</t>
  </si>
  <si>
    <t>LB7907</t>
  </si>
  <si>
    <t>CN2239</t>
  </si>
  <si>
    <t>LB7928</t>
  </si>
  <si>
    <t>LB7929</t>
  </si>
  <si>
    <t>LQ6170</t>
  </si>
  <si>
    <t>LQ6171</t>
  </si>
  <si>
    <t>LQ5872</t>
  </si>
  <si>
    <t>LQ5873</t>
  </si>
  <si>
    <t>LQ6215</t>
  </si>
  <si>
    <t>LQ6216</t>
  </si>
  <si>
    <t>LQ6276</t>
  </si>
  <si>
    <t>LQ6217</t>
  </si>
  <si>
    <t>LQ6277</t>
  </si>
  <si>
    <t>LQ6218</t>
  </si>
  <si>
    <t>LQ6278</t>
  </si>
  <si>
    <t>LQ6169</t>
  </si>
  <si>
    <t>LQ6113</t>
  </si>
  <si>
    <t>LQ6279</t>
  </si>
  <si>
    <t>LQ6114</t>
  </si>
  <si>
    <t>LQ6115</t>
  </si>
  <si>
    <t>LQ6280</t>
  </si>
  <si>
    <t>LQ6281</t>
  </si>
  <si>
    <t>LQ6116</t>
  </si>
  <si>
    <t>LQ6282</t>
  </si>
  <si>
    <t>LQ6117</t>
  </si>
  <si>
    <t>LQ6084</t>
  </si>
  <si>
    <t>LQ0470</t>
  </si>
  <si>
    <t>LQ0469</t>
  </si>
  <si>
    <t>LQ5741</t>
  </si>
  <si>
    <t>LQ5566</t>
  </si>
  <si>
    <t>LQ6118</t>
  </si>
  <si>
    <t>LQ5979</t>
  </si>
  <si>
    <t>LK4610</t>
  </si>
  <si>
    <t>LK4611</t>
  </si>
  <si>
    <t>MB2880</t>
  </si>
  <si>
    <t>LK2581</t>
  </si>
  <si>
    <t>LB7930</t>
  </si>
  <si>
    <t>LB7931</t>
  </si>
  <si>
    <t>LD0041</t>
  </si>
  <si>
    <t>LD0042</t>
  </si>
  <si>
    <t>LK6214</t>
  </si>
  <si>
    <t>LK5814</t>
  </si>
  <si>
    <t>LK3504</t>
  </si>
  <si>
    <t>LK2705</t>
  </si>
  <si>
    <t>LK2377</t>
  </si>
  <si>
    <t>LK5815</t>
  </si>
  <si>
    <t>LK5817</t>
  </si>
  <si>
    <t>LB7934</t>
  </si>
  <si>
    <t>LK5915</t>
  </si>
  <si>
    <t>LK7031</t>
  </si>
  <si>
    <t>LK7032</t>
  </si>
  <si>
    <t>LB7946</t>
  </si>
  <si>
    <t>LB7953</t>
  </si>
  <si>
    <t>LK7033</t>
  </si>
  <si>
    <t>LB7911</t>
  </si>
  <si>
    <t>LB7947</t>
  </si>
  <si>
    <t>LB7948</t>
  </si>
  <si>
    <t>LB7915</t>
  </si>
  <si>
    <t>LB7904</t>
  </si>
  <si>
    <t>LB7949</t>
  </si>
  <si>
    <t>LB7950</t>
  </si>
  <si>
    <t>LB7958</t>
  </si>
  <si>
    <t>LB7951</t>
  </si>
  <si>
    <t>LB7952</t>
  </si>
  <si>
    <t>LK0929</t>
  </si>
  <si>
    <t>LK0930</t>
  </si>
  <si>
    <t>LK0932</t>
  </si>
  <si>
    <t>LK0934</t>
  </si>
  <si>
    <t>LK1991</t>
  </si>
  <si>
    <t>LK4019</t>
  </si>
  <si>
    <t>CN2240</t>
  </si>
  <si>
    <t>LK4613</t>
  </si>
  <si>
    <t>LB7932</t>
  </si>
  <si>
    <t>LB7912</t>
  </si>
  <si>
    <t>LB7922</t>
  </si>
  <si>
    <t>MC0636</t>
  </si>
  <si>
    <t>LH6847</t>
  </si>
  <si>
    <t>LF7026</t>
  </si>
  <si>
    <t>MB7023</t>
  </si>
  <si>
    <t>LF6190</t>
  </si>
  <si>
    <t>LF7027</t>
  </si>
  <si>
    <t>LG8051</t>
  </si>
  <si>
    <t>LG8023</t>
  </si>
  <si>
    <t>LG8050</t>
  </si>
  <si>
    <t>LB7986</t>
  </si>
  <si>
    <t>LB7987</t>
  </si>
  <si>
    <t>LK0936</t>
  </si>
  <si>
    <t>LB7982</t>
  </si>
  <si>
    <t>LH6867</t>
  </si>
  <si>
    <t>LB8005</t>
  </si>
  <si>
    <t>LB8007</t>
  </si>
  <si>
    <t>LG8015</t>
  </si>
  <si>
    <t>LB7993</t>
  </si>
  <si>
    <t>LG8052</t>
  </si>
  <si>
    <t>LG8053</t>
  </si>
  <si>
    <t>LK2383</t>
  </si>
  <si>
    <t>LB8098</t>
  </si>
  <si>
    <t>LF0039</t>
  </si>
  <si>
    <t>LB8015</t>
  </si>
  <si>
    <t>LG5500</t>
  </si>
  <si>
    <t>LH0018</t>
  </si>
  <si>
    <t>LK6769</t>
  </si>
  <si>
    <t>LH6890</t>
  </si>
  <si>
    <t>LK4524</t>
  </si>
  <si>
    <t>LK1751</t>
  </si>
  <si>
    <t>LK2997</t>
  </si>
  <si>
    <t>LB9900</t>
  </si>
  <si>
    <t>LG8054</t>
  </si>
  <si>
    <t>LH6928</t>
  </si>
  <si>
    <t>LH8924</t>
  </si>
  <si>
    <t>LK6770</t>
  </si>
  <si>
    <t>LK3766</t>
  </si>
  <si>
    <t>LK7102</t>
  </si>
  <si>
    <t>MC0649</t>
  </si>
  <si>
    <t>MQ0804</t>
  </si>
  <si>
    <t>MQ0349</t>
  </si>
  <si>
    <t>MC3793</t>
  </si>
  <si>
    <t>LL3662</t>
  </si>
  <si>
    <t>LL3683</t>
  </si>
  <si>
    <t>LL3651</t>
  </si>
  <si>
    <t>LL3665</t>
  </si>
  <si>
    <t>LL0188</t>
  </si>
  <si>
    <t>LL8144</t>
  </si>
  <si>
    <t>LL8084</t>
  </si>
  <si>
    <t>LL4869</t>
  </si>
  <si>
    <t>LL3666</t>
  </si>
  <si>
    <t>LL3667</t>
  </si>
  <si>
    <t>LL3668</t>
  </si>
  <si>
    <t>LL8320</t>
  </si>
  <si>
    <t>LL0133</t>
  </si>
  <si>
    <t>LL3676</t>
  </si>
  <si>
    <t>LL3682</t>
  </si>
  <si>
    <t>LL3654</t>
  </si>
  <si>
    <t>LL3650</t>
  </si>
  <si>
    <t>LL3655</t>
  </si>
  <si>
    <t>LL8296</t>
  </si>
  <si>
    <t>LL8231</t>
  </si>
  <si>
    <t>LL3664</t>
  </si>
  <si>
    <t>LL3671</t>
  </si>
  <si>
    <t>LF6500</t>
  </si>
  <si>
    <t>LL8232</t>
  </si>
  <si>
    <t>LL0094</t>
  </si>
  <si>
    <t>LL0122</t>
  </si>
  <si>
    <t>LB9920</t>
  </si>
  <si>
    <t>LG5415</t>
  </si>
  <si>
    <t>LS0115</t>
  </si>
  <si>
    <t>LK4525</t>
  </si>
  <si>
    <t>LK7103</t>
  </si>
  <si>
    <t>LK6661</t>
  </si>
  <si>
    <t>LK6877</t>
  </si>
  <si>
    <t>LK5919</t>
  </si>
  <si>
    <t>LK5920</t>
  </si>
  <si>
    <t>LK6279</t>
  </si>
  <si>
    <t>LK4026</t>
  </si>
  <si>
    <t>LK2384</t>
  </si>
  <si>
    <t>LK4526</t>
  </si>
  <si>
    <t>LK5922</t>
  </si>
  <si>
    <t>LK7034</t>
  </si>
  <si>
    <t>LK3002</t>
  </si>
  <si>
    <t>LK6813</t>
  </si>
  <si>
    <t>LK5923</t>
  </si>
  <si>
    <t>MC3896</t>
  </si>
  <si>
    <t>LF6520</t>
  </si>
  <si>
    <t>LK1753</t>
  </si>
  <si>
    <t>LG0675</t>
  </si>
  <si>
    <t>LL8146</t>
  </si>
  <si>
    <t>MC3880</t>
  </si>
  <si>
    <t>MC0948</t>
  </si>
  <si>
    <t>LB1620</t>
  </si>
  <si>
    <t>LC8754</t>
  </si>
  <si>
    <t>MC1751</t>
  </si>
  <si>
    <t>CN5348</t>
  </si>
  <si>
    <t>LC8766</t>
  </si>
  <si>
    <t>MC1752</t>
  </si>
  <si>
    <t>LC3400</t>
  </si>
  <si>
    <t>LC8751</t>
  </si>
  <si>
    <t>LC8750</t>
  </si>
  <si>
    <t>KP8750</t>
  </si>
  <si>
    <t>MC0811</t>
  </si>
  <si>
    <t>LC8756</t>
  </si>
  <si>
    <t>MC4343</t>
  </si>
  <si>
    <t>CN5349</t>
  </si>
  <si>
    <t>LC8757</t>
  </si>
  <si>
    <t>MC1753</t>
  </si>
  <si>
    <t>MQ0142</t>
  </si>
  <si>
    <t>CR4440</t>
  </si>
  <si>
    <t>LC3401</t>
  </si>
  <si>
    <t>CN5350</t>
  </si>
  <si>
    <t>LC8753</t>
  </si>
  <si>
    <t>MC2130</t>
  </si>
  <si>
    <t>LC8760</t>
  </si>
  <si>
    <t>MQ0143</t>
  </si>
  <si>
    <t>MC3279</t>
  </si>
  <si>
    <t>LC8761</t>
  </si>
  <si>
    <t>MQ0144</t>
  </si>
  <si>
    <t>CN5351</t>
  </si>
  <si>
    <t>LC8763</t>
  </si>
  <si>
    <t>MC2228</t>
  </si>
  <si>
    <t>MC2923</t>
  </si>
  <si>
    <t>MC4501</t>
  </si>
  <si>
    <t>MC3663</t>
  </si>
  <si>
    <t>MC3667</t>
  </si>
  <si>
    <t>LK6949</t>
  </si>
  <si>
    <t>MQ7262</t>
  </si>
  <si>
    <t>LK0941</t>
  </si>
  <si>
    <t>MC2061</t>
  </si>
  <si>
    <t>LB8050</t>
  </si>
  <si>
    <t>LK2388</t>
  </si>
  <si>
    <t>MC0658</t>
  </si>
  <si>
    <t>LK0367</t>
  </si>
  <si>
    <t>MC3897</t>
  </si>
  <si>
    <t>LK4354</t>
  </si>
  <si>
    <t>MC3374</t>
  </si>
  <si>
    <t>LK6950</t>
  </si>
  <si>
    <t>MQ0730</t>
  </si>
  <si>
    <t>MQ0731</t>
  </si>
  <si>
    <t>MQ6071</t>
  </si>
  <si>
    <t>MQ6072</t>
  </si>
  <si>
    <t>MC3796</t>
  </si>
  <si>
    <t>LK4028</t>
  </si>
  <si>
    <t>MC2793</t>
  </si>
  <si>
    <t>MC4426</t>
  </si>
  <si>
    <t>LH7279</t>
  </si>
  <si>
    <t>LH7280</t>
  </si>
  <si>
    <t>MC0656</t>
  </si>
  <si>
    <t>MC4314</t>
  </si>
  <si>
    <t>LH0021</t>
  </si>
  <si>
    <t>LB8051</t>
  </si>
  <si>
    <t>MC0657</t>
  </si>
  <si>
    <t>LH7276</t>
  </si>
  <si>
    <t>MQ0815</t>
  </si>
  <si>
    <t>MQ3045</t>
  </si>
  <si>
    <t>MQ0350</t>
  </si>
  <si>
    <t>LK1754</t>
  </si>
  <si>
    <t>LK7176</t>
  </si>
  <si>
    <t>LK0944</t>
  </si>
  <si>
    <t>MC1704</t>
  </si>
  <si>
    <t>LQ3774</t>
  </si>
  <si>
    <t>MQ3217</t>
  </si>
  <si>
    <t>LQ3862</t>
  </si>
  <si>
    <t>MC4417</t>
  </si>
  <si>
    <t>LK0368</t>
  </si>
  <si>
    <t>LH7310</t>
  </si>
  <si>
    <t>LB8054</t>
  </si>
  <si>
    <t>MC3898</t>
  </si>
  <si>
    <t>LB8052</t>
  </si>
  <si>
    <t>MC1481</t>
  </si>
  <si>
    <t>LK0947</t>
  </si>
  <si>
    <t>LK2392</t>
  </si>
  <si>
    <t>LK0948</t>
  </si>
  <si>
    <t>MC0911</t>
  </si>
  <si>
    <t>MC4231</t>
  </si>
  <si>
    <t>CR3006</t>
  </si>
  <si>
    <t>MC1612</t>
  </si>
  <si>
    <t>MC2292</t>
  </si>
  <si>
    <t>MC2625</t>
  </si>
  <si>
    <t>LH8921</t>
  </si>
  <si>
    <t>LH8850</t>
  </si>
  <si>
    <t>LC9300</t>
  </si>
  <si>
    <t>MC4505</t>
  </si>
  <si>
    <t>MC2062</t>
  </si>
  <si>
    <t>LC9301</t>
  </si>
  <si>
    <t>MC4497</t>
  </si>
  <si>
    <t>LC0010</t>
  </si>
  <si>
    <t>LC8800</t>
  </si>
  <si>
    <t>MC4502</t>
  </si>
  <si>
    <t>MC0659</t>
  </si>
  <si>
    <t>MC3460</t>
  </si>
  <si>
    <t>MC0660</t>
  </si>
  <si>
    <t>LG6530</t>
  </si>
  <si>
    <t>CR4608</t>
  </si>
  <si>
    <t>CR4622</t>
  </si>
  <si>
    <t>CR4623</t>
  </si>
  <si>
    <t>CR4621</t>
  </si>
  <si>
    <t>CR4620</t>
  </si>
  <si>
    <t>CR4890</t>
  </si>
  <si>
    <t>CR4624</t>
  </si>
  <si>
    <t>CR4900</t>
  </si>
  <si>
    <t>CR5291</t>
  </si>
  <si>
    <t>CR5292</t>
  </si>
  <si>
    <t>CR4892</t>
  </si>
  <si>
    <t>CR4609</t>
  </si>
  <si>
    <t>CR5293</t>
  </si>
  <si>
    <t>CR4619</t>
  </si>
  <si>
    <t>CR5294</t>
  </si>
  <si>
    <t>CR4612</t>
  </si>
  <si>
    <t>CR4613</t>
  </si>
  <si>
    <t>CR5295</t>
  </si>
  <si>
    <t>CR4615</t>
  </si>
  <si>
    <t>CR5296</t>
  </si>
  <si>
    <t>CR5297</t>
  </si>
  <si>
    <t>CR5298</t>
  </si>
  <si>
    <t>CR4614</t>
  </si>
  <si>
    <t>CR5299</t>
  </si>
  <si>
    <t>CR4616</t>
  </si>
  <si>
    <t>CR4899</t>
  </si>
  <si>
    <t>CR4617</t>
  </si>
  <si>
    <t>CR4618</t>
  </si>
  <si>
    <t>CR4893</t>
  </si>
  <si>
    <t>CR5066</t>
  </si>
  <si>
    <t>CR4894</t>
  </si>
  <si>
    <t>CR4895</t>
  </si>
  <si>
    <t>CR4896</t>
  </si>
  <si>
    <t>CR4610</t>
  </si>
  <si>
    <t>CR4611</t>
  </si>
  <si>
    <t>CR5301</t>
  </si>
  <si>
    <t>CR5302</t>
  </si>
  <si>
    <t>CR5304</t>
  </si>
  <si>
    <t>CR5305</t>
  </si>
  <si>
    <t>CR4897</t>
  </si>
  <si>
    <t>CR4625</t>
  </si>
  <si>
    <t>CR4626</t>
  </si>
  <si>
    <t>CR4627</t>
  </si>
  <si>
    <t>CR4628</t>
  </si>
  <si>
    <t>CR4629</t>
  </si>
  <si>
    <t>CR4630</t>
  </si>
  <si>
    <t>CR4631</t>
  </si>
  <si>
    <t>CR4632</t>
  </si>
  <si>
    <t>CR4898</t>
  </si>
  <si>
    <t>LB8100</t>
  </si>
  <si>
    <t>LB8115</t>
  </si>
  <si>
    <t>LK3005</t>
  </si>
  <si>
    <t>MC3313</t>
  </si>
  <si>
    <t>MQ0580</t>
  </si>
  <si>
    <t>MC4325</t>
  </si>
  <si>
    <t>LQ3936</t>
  </si>
  <si>
    <t>LQ9012</t>
  </si>
  <si>
    <t>LQ3937</t>
  </si>
  <si>
    <t>MQ0658</t>
  </si>
  <si>
    <t>MQ0659</t>
  </si>
  <si>
    <t>MQ6073</t>
  </si>
  <si>
    <t>MC2068</t>
  </si>
  <si>
    <t>MC4119</t>
  </si>
  <si>
    <t>LC9151</t>
  </si>
  <si>
    <t>MC4120</t>
  </si>
  <si>
    <t>CN5368</t>
  </si>
  <si>
    <t>CR4451</t>
  </si>
  <si>
    <t>MC4503</t>
  </si>
  <si>
    <t>LK6448</t>
  </si>
  <si>
    <t>CR3007</t>
  </si>
  <si>
    <t>LK5924</t>
  </si>
  <si>
    <t>MC2063</t>
  </si>
  <si>
    <t>LK0950</t>
  </si>
  <si>
    <t>LB8185</t>
  </si>
  <si>
    <t>MQ7263</t>
  </si>
  <si>
    <t>MQ0451</t>
  </si>
  <si>
    <t>CN5358</t>
  </si>
  <si>
    <t>MC0661</t>
  </si>
  <si>
    <t>CN5359</t>
  </si>
  <si>
    <t>CR4442</t>
  </si>
  <si>
    <t>LH7401</t>
  </si>
  <si>
    <t>MC0662</t>
  </si>
  <si>
    <t>CR5013</t>
  </si>
  <si>
    <t>LB8172</t>
  </si>
  <si>
    <t>LB8175</t>
  </si>
  <si>
    <t>MQ0529</t>
  </si>
  <si>
    <t>MQ5144</t>
  </si>
  <si>
    <t>MQ0530</t>
  </si>
  <si>
    <t>LQ3482</t>
  </si>
  <si>
    <t>CN5360</t>
  </si>
  <si>
    <t>MC2558</t>
  </si>
  <si>
    <t>CR4445</t>
  </si>
  <si>
    <t>MQ0732</t>
  </si>
  <si>
    <t>CN5361</t>
  </si>
  <si>
    <t>MC4328</t>
  </si>
  <si>
    <t>MC4326</t>
  </si>
  <si>
    <t>LQ3863</t>
  </si>
  <si>
    <t>LQ3864</t>
  </si>
  <si>
    <t>LQ3865</t>
  </si>
  <si>
    <t>LQ3927</t>
  </si>
  <si>
    <t>LQ3928</t>
  </si>
  <si>
    <t>LQ3929</t>
  </si>
  <si>
    <t>MQ0733</t>
  </si>
  <si>
    <t>LQ3938</t>
  </si>
  <si>
    <t>MC3430</t>
  </si>
  <si>
    <t>MC3431</t>
  </si>
  <si>
    <t>LK5343</t>
  </si>
  <si>
    <t>LK5347</t>
  </si>
  <si>
    <t>LB8192</t>
  </si>
  <si>
    <t>LB8205</t>
  </si>
  <si>
    <t>CN5362</t>
  </si>
  <si>
    <t>MC0663</t>
  </si>
  <si>
    <t>CN5352</t>
  </si>
  <si>
    <t>MQ0351</t>
  </si>
  <si>
    <t>LK2501</t>
  </si>
  <si>
    <t>LK4896</t>
  </si>
  <si>
    <t>LK3507</t>
  </si>
  <si>
    <t>LK5350</t>
  </si>
  <si>
    <t>LQ3727</t>
  </si>
  <si>
    <t>LB8277</t>
  </si>
  <si>
    <t>LK7177</t>
  </si>
  <si>
    <t>MC4232</t>
  </si>
  <si>
    <t>CR4452</t>
  </si>
  <si>
    <t>LC9160</t>
  </si>
  <si>
    <t>LC9159</t>
  </si>
  <si>
    <t>LC9150</t>
  </si>
  <si>
    <t>KP9150</t>
  </si>
  <si>
    <t>MC1355</t>
  </si>
  <si>
    <t>MC3800</t>
  </si>
  <si>
    <t>MC3801</t>
  </si>
  <si>
    <t>LQ3775</t>
  </si>
  <si>
    <t>MC4329</t>
  </si>
  <si>
    <t>LC3402</t>
  </si>
  <si>
    <t>LK6342</t>
  </si>
  <si>
    <t>CR3033</t>
  </si>
  <si>
    <t>CR3009</t>
  </si>
  <si>
    <t>CR3563</t>
  </si>
  <si>
    <t>CR3010</t>
  </si>
  <si>
    <t>CR3257</t>
  </si>
  <si>
    <t>CR3012</t>
  </si>
  <si>
    <t>MC2329</t>
  </si>
  <si>
    <t>LQ5981</t>
  </si>
  <si>
    <t>MC4233</t>
  </si>
  <si>
    <t>CR3013</t>
  </si>
  <si>
    <t>LK1505</t>
  </si>
  <si>
    <t>LK1756</t>
  </si>
  <si>
    <t>LK1506</t>
  </si>
  <si>
    <t>LK1507</t>
  </si>
  <si>
    <t>LK7144</t>
  </si>
  <si>
    <t>CR5397</t>
  </si>
  <si>
    <t>CR3564</t>
  </si>
  <si>
    <t>CR5398</t>
  </si>
  <si>
    <t>CR3565</t>
  </si>
  <si>
    <t>CR3566</t>
  </si>
  <si>
    <t>LC9153</t>
  </si>
  <si>
    <t>MC0959</t>
  </si>
  <si>
    <t>CR4450</t>
  </si>
  <si>
    <t>MQ0734</t>
  </si>
  <si>
    <t>MQ0581</t>
  </si>
  <si>
    <t>LB8164</t>
  </si>
  <si>
    <t>LK6846</t>
  </si>
  <si>
    <t>LH0045</t>
  </si>
  <si>
    <t>LK2394</t>
  </si>
  <si>
    <t>LK6136</t>
  </si>
  <si>
    <t>CR3567</t>
  </si>
  <si>
    <t>MQ0355</t>
  </si>
  <si>
    <t>MQ3187</t>
  </si>
  <si>
    <t>MQ3188</t>
  </si>
  <si>
    <t>MQ3189</t>
  </si>
  <si>
    <t>MQ3190</t>
  </si>
  <si>
    <t>LB8189</t>
  </si>
  <si>
    <t>CN5363</t>
  </si>
  <si>
    <t>MC2622</t>
  </si>
  <si>
    <t>MQ0356</t>
  </si>
  <si>
    <t>MQ0357</t>
  </si>
  <si>
    <t>MQ0454</t>
  </si>
  <si>
    <t>CN5371</t>
  </si>
  <si>
    <t>MC0664</t>
  </si>
  <si>
    <t>CR4454</t>
  </si>
  <si>
    <t>LB8301</t>
  </si>
  <si>
    <t>MC2775</t>
  </si>
  <si>
    <t>MC3200</t>
  </si>
  <si>
    <t>LC9154</t>
  </si>
  <si>
    <t>LH7418</t>
  </si>
  <si>
    <t>MC1354</t>
  </si>
  <si>
    <t>CN5364</t>
  </si>
  <si>
    <t>CN5365</t>
  </si>
  <si>
    <t>MQ0660</t>
  </si>
  <si>
    <t>MQ3191</t>
  </si>
  <si>
    <t>MQ3192</t>
  </si>
  <si>
    <t>MQ3194</t>
  </si>
  <si>
    <t>MQ3195</t>
  </si>
  <si>
    <t>MQ3196</t>
  </si>
  <si>
    <t>MQ0661</t>
  </si>
  <si>
    <t>MQ3197</t>
  </si>
  <si>
    <t>MQ0452</t>
  </si>
  <si>
    <t>MQ3199</t>
  </si>
  <si>
    <t>MQ0453</t>
  </si>
  <si>
    <t>LK6662</t>
  </si>
  <si>
    <t>LK6663</t>
  </si>
  <si>
    <t>LK3011</t>
  </si>
  <si>
    <t>LK6664</t>
  </si>
  <si>
    <t>LK6665</t>
  </si>
  <si>
    <t>LK6666</t>
  </si>
  <si>
    <t>LB8181</t>
  </si>
  <si>
    <t>LB8182</t>
  </si>
  <si>
    <t>LQ3939</t>
  </si>
  <si>
    <t>LK4032</t>
  </si>
  <si>
    <t>LK4033</t>
  </si>
  <si>
    <t>LH0046</t>
  </si>
  <si>
    <t>LC9155</t>
  </si>
  <si>
    <t>MC0813</t>
  </si>
  <si>
    <t>LQ3940</t>
  </si>
  <si>
    <t>MQ0846</t>
  </si>
  <si>
    <t>LK6872</t>
  </si>
  <si>
    <t>LC9156</t>
  </si>
  <si>
    <t>MC0814</t>
  </si>
  <si>
    <t>CN5369</t>
  </si>
  <si>
    <t>LH7417</t>
  </si>
  <si>
    <t>LK3014</t>
  </si>
  <si>
    <t>LK3663</t>
  </si>
  <si>
    <t>LB8370</t>
  </si>
  <si>
    <t>LH7400</t>
  </si>
  <si>
    <t>LQ6085</t>
  </si>
  <si>
    <t>LQ5475</t>
  </si>
  <si>
    <t>LQ6219</t>
  </si>
  <si>
    <t>LQ6283</t>
  </si>
  <si>
    <t>LQ5980</t>
  </si>
  <si>
    <t>LQ6247</t>
  </si>
  <si>
    <t>LQ0471</t>
  </si>
  <si>
    <t>LQ5901</t>
  </si>
  <si>
    <t>LQ6220</t>
  </si>
  <si>
    <t>MQ5118</t>
  </si>
  <si>
    <t>MQ5039</t>
  </si>
  <si>
    <t>LB8226</t>
  </si>
  <si>
    <t>LB8256</t>
  </si>
  <si>
    <t>LB8200</t>
  </si>
  <si>
    <t>CR4443</t>
  </si>
  <si>
    <t>CN5353</t>
  </si>
  <si>
    <t>CN5354</t>
  </si>
  <si>
    <t>CR3834</t>
  </si>
  <si>
    <t>CN5355</t>
  </si>
  <si>
    <t>CN5356</t>
  </si>
  <si>
    <t>CR3837</t>
  </si>
  <si>
    <t>CN5357</t>
  </si>
  <si>
    <t>MC4320</t>
  </si>
  <si>
    <t>LS0116</t>
  </si>
  <si>
    <t>LQ6035</t>
  </si>
  <si>
    <t>MQ0362</t>
  </si>
  <si>
    <t>LQ3776</t>
  </si>
  <si>
    <t>LQ3484</t>
  </si>
  <si>
    <t>LQ3553</t>
  </si>
  <si>
    <t>LQ3554</t>
  </si>
  <si>
    <t>MQ5145</t>
  </si>
  <si>
    <t>MQ5146</t>
  </si>
  <si>
    <t>MQ3015</t>
  </si>
  <si>
    <t>LK6137</t>
  </si>
  <si>
    <t>MQ0816</t>
  </si>
  <si>
    <t>LB8165</t>
  </si>
  <si>
    <t>LK2405</t>
  </si>
  <si>
    <t>LB8167</t>
  </si>
  <si>
    <t>LB8156</t>
  </si>
  <si>
    <t>LB8168</t>
  </si>
  <si>
    <t>LB8169</t>
  </si>
  <si>
    <t>LB8173</t>
  </si>
  <si>
    <t>MC1352</t>
  </si>
  <si>
    <t>CR4447</t>
  </si>
  <si>
    <t>LC9630</t>
  </si>
  <si>
    <t>MC4327</t>
  </si>
  <si>
    <t>CN5366</t>
  </si>
  <si>
    <t>CN5367</t>
  </si>
  <si>
    <t>LB8390</t>
  </si>
  <si>
    <t>LB8395</t>
  </si>
  <si>
    <t>LK6010</t>
  </si>
  <si>
    <t>LK5925</t>
  </si>
  <si>
    <t>LK4942</t>
  </si>
  <si>
    <t>LK4757</t>
  </si>
  <si>
    <t>LK5671</t>
  </si>
  <si>
    <t>MQ0427</t>
  </si>
  <si>
    <t>MQ0531</t>
  </si>
  <si>
    <t>MQ0532</t>
  </si>
  <si>
    <t>MQ0604</t>
  </si>
  <si>
    <t>MQ0533</t>
  </si>
  <si>
    <t>LK5351</t>
  </si>
  <si>
    <t>LB8412</t>
  </si>
  <si>
    <t>MC4315</t>
  </si>
  <si>
    <t>LC9158</t>
  </si>
  <si>
    <t>MC0815</t>
  </si>
  <si>
    <t>CN5370</t>
  </si>
  <si>
    <t>CR4449</t>
  </si>
  <si>
    <t>MQ0359</t>
  </si>
  <si>
    <t>CE0527</t>
  </si>
  <si>
    <t>CR3917</t>
  </si>
  <si>
    <t>CR3915</t>
  </si>
  <si>
    <t>CR3916</t>
  </si>
  <si>
    <t>LB8228</t>
  </si>
  <si>
    <t>LB8229</t>
  </si>
  <si>
    <t>LB8227</t>
  </si>
  <si>
    <t>LB8233</t>
  </si>
  <si>
    <t>LB8264</t>
  </si>
  <si>
    <t>LB8260</t>
  </si>
  <si>
    <t>LB8369</t>
  </si>
  <si>
    <t>LB8261</t>
  </si>
  <si>
    <t>LK5926</t>
  </si>
  <si>
    <t>LB8269</t>
  </si>
  <si>
    <t>LB8263</t>
  </si>
  <si>
    <t>MQ0360</t>
  </si>
  <si>
    <t>CR3015</t>
  </si>
  <si>
    <t>LQ3941</t>
  </si>
  <si>
    <t>LF0041</t>
  </si>
  <si>
    <t>LF0042</t>
  </si>
  <si>
    <t>LF7011</t>
  </si>
  <si>
    <t>LF0040</t>
  </si>
  <si>
    <t>MC0668</t>
  </si>
  <si>
    <t>LC9180</t>
  </si>
  <si>
    <t>LC9182</t>
  </si>
  <si>
    <t>CN5372</t>
  </si>
  <si>
    <t>MC0669</t>
  </si>
  <si>
    <t>LK0374</t>
  </si>
  <si>
    <t>LB8480</t>
  </si>
  <si>
    <t>LK4458</t>
  </si>
  <si>
    <t>LQ3486</t>
  </si>
  <si>
    <t>LK6640</t>
  </si>
  <si>
    <t>LQ5769</t>
  </si>
  <si>
    <t>CR2534</t>
  </si>
  <si>
    <t>CR3048</t>
  </si>
  <si>
    <t>CR2535</t>
  </si>
  <si>
    <t>LQ0942</t>
  </si>
  <si>
    <t>LQ5874</t>
  </si>
  <si>
    <t>LQ0473</t>
  </si>
  <si>
    <t>LK5927</t>
  </si>
  <si>
    <t>MC0671</t>
  </si>
  <si>
    <t>LH7450</t>
  </si>
  <si>
    <t>LC3374</t>
  </si>
  <si>
    <t>MC4504</t>
  </si>
  <si>
    <t>MC0816</t>
  </si>
  <si>
    <t>MQ0735</t>
  </si>
  <si>
    <t>MQ6074</t>
  </si>
  <si>
    <t>CE1693</t>
  </si>
  <si>
    <t>MQ0847</t>
  </si>
  <si>
    <t>MQ6075</t>
  </si>
  <si>
    <t>MQ6076</t>
  </si>
  <si>
    <t>MQ3036</t>
  </si>
  <si>
    <t>CE1694</t>
  </si>
  <si>
    <t>MQ6077</t>
  </si>
  <si>
    <t>CE1695</t>
  </si>
  <si>
    <t>MC4446</t>
  </si>
  <si>
    <t>MQ0605</t>
  </si>
  <si>
    <t>MQ0606</t>
  </si>
  <si>
    <t>MC2184</t>
  </si>
  <si>
    <t>MC0672</t>
  </si>
  <si>
    <t>MC3927</t>
  </si>
  <si>
    <t>LH7480</t>
  </si>
  <si>
    <t>CN5373</t>
  </si>
  <si>
    <t>CR4456</t>
  </si>
  <si>
    <t>CN5374</t>
  </si>
  <si>
    <t>CR4457</t>
  </si>
  <si>
    <t>CE1037</t>
  </si>
  <si>
    <t>MQ3085</t>
  </si>
  <si>
    <t>MQ6078</t>
  </si>
  <si>
    <t>CE1721</t>
  </si>
  <si>
    <t>MQ6079</t>
  </si>
  <si>
    <t>MQ0534</t>
  </si>
  <si>
    <t>CE1722</t>
  </si>
  <si>
    <t>MQ3086</t>
  </si>
  <si>
    <t>MQ3087</t>
  </si>
  <si>
    <t>MC3432</t>
  </si>
  <si>
    <t>CN5377</t>
  </si>
  <si>
    <t>MC0673</t>
  </si>
  <si>
    <t>MC3461</t>
  </si>
  <si>
    <t>LH8929</t>
  </si>
  <si>
    <t>MC3433</t>
  </si>
  <si>
    <t>CN5375</t>
  </si>
  <si>
    <t>MQ3200</t>
  </si>
  <si>
    <t>MQ0364</t>
  </si>
  <si>
    <t>CN5376</t>
  </si>
  <si>
    <t>MQ3201</t>
  </si>
  <si>
    <t>CR4458</t>
  </si>
  <si>
    <t>LK0375</t>
  </si>
  <si>
    <t>MQ0607</t>
  </si>
  <si>
    <t>MQ0608</t>
  </si>
  <si>
    <t>MQ6080</t>
  </si>
  <si>
    <t>MQ0609</t>
  </si>
  <si>
    <t>MQ0736</t>
  </si>
  <si>
    <t>MC3803</t>
  </si>
  <si>
    <t>CN5378</t>
  </si>
  <si>
    <t>MC0676</t>
  </si>
  <si>
    <t>MC3403</t>
  </si>
  <si>
    <t>MC3435</t>
  </si>
  <si>
    <t>MQ0367</t>
  </si>
  <si>
    <t>LQ0474</t>
  </si>
  <si>
    <t>LQ6302</t>
  </si>
  <si>
    <t>LQ6303</t>
  </si>
  <si>
    <t>LQ5814</t>
  </si>
  <si>
    <t>CE0531</t>
  </si>
  <si>
    <t>CE1588</t>
  </si>
  <si>
    <t>CE0529</t>
  </si>
  <si>
    <t>CE1619</t>
  </si>
  <si>
    <t>CE0530</t>
  </si>
  <si>
    <t>CE1495</t>
  </si>
  <si>
    <t>CR2536</t>
  </si>
  <si>
    <t>LQ0174</t>
  </si>
  <si>
    <t>CR2538</t>
  </si>
  <si>
    <t>MB7021</t>
  </si>
  <si>
    <t>LG6650</t>
  </si>
  <si>
    <t>LQ6120</t>
  </si>
  <si>
    <t>LQ6078</t>
  </si>
  <si>
    <t>LQ0906</t>
  </si>
  <si>
    <t>CR3154</t>
  </si>
  <si>
    <t>CR5384</t>
  </si>
  <si>
    <t>CR5385</t>
  </si>
  <si>
    <t>CR3155</t>
  </si>
  <si>
    <t>CR3742</t>
  </si>
  <si>
    <t>CR5399</t>
  </si>
  <si>
    <t>CR4869</t>
  </si>
  <si>
    <t>CR3156</t>
  </si>
  <si>
    <t>CR5373</t>
  </si>
  <si>
    <t>LQ0824</t>
  </si>
  <si>
    <t>CR3570</t>
  </si>
  <si>
    <t>LQ0826</t>
  </si>
  <si>
    <t>CR3571</t>
  </si>
  <si>
    <t>LQ3423</t>
  </si>
  <si>
    <t>CR3572</t>
  </si>
  <si>
    <t>LQ3424</t>
  </si>
  <si>
    <t>LQ0827</t>
  </si>
  <si>
    <t>CR3573</t>
  </si>
  <si>
    <t>LQ0897</t>
  </si>
  <si>
    <t>CR2541</t>
  </si>
  <si>
    <t>CR5237</t>
  </si>
  <si>
    <t>CR3406</t>
  </si>
  <si>
    <t>CR3272</t>
  </si>
  <si>
    <t>LQ3425</t>
  </si>
  <si>
    <t>LK6771</t>
  </si>
  <si>
    <t>LQ3197</t>
  </si>
  <si>
    <t>CR2542</t>
  </si>
  <si>
    <t>LQ3198</t>
  </si>
  <si>
    <t>CE0798</t>
  </si>
  <si>
    <t>LQ3199</t>
  </si>
  <si>
    <t>CE0799</t>
  </si>
  <si>
    <t>LQ3899</t>
  </si>
  <si>
    <t>CR5238</t>
  </si>
  <si>
    <t>LQ0303</t>
  </si>
  <si>
    <t>CR3049</t>
  </si>
  <si>
    <t>LQ6119</t>
  </si>
  <si>
    <t>LQ6254</t>
  </si>
  <si>
    <t>LQ6121</t>
  </si>
  <si>
    <t>LQ5253</t>
  </si>
  <si>
    <t>LF1003</t>
  </si>
  <si>
    <t>LF1000</t>
  </si>
  <si>
    <t>LF1001</t>
  </si>
  <si>
    <t>LK5138</t>
  </si>
  <si>
    <t>LB8499</t>
  </si>
  <si>
    <t>MC3189</t>
  </si>
  <si>
    <t>MC1186</t>
  </si>
  <si>
    <t>CR4665</t>
  </si>
  <si>
    <t>CR4743</t>
  </si>
  <si>
    <t>MC2872</t>
  </si>
  <si>
    <t>CN2242</t>
  </si>
  <si>
    <t>MC1371</t>
  </si>
  <si>
    <t>CN2243</t>
  </si>
  <si>
    <t>MQ0848</t>
  </si>
  <si>
    <t>LH8932</t>
  </si>
  <si>
    <t>MC3928</t>
  </si>
  <si>
    <t>CN5389</t>
  </si>
  <si>
    <t>CR4471</t>
  </si>
  <si>
    <t>MQ0618</t>
  </si>
  <si>
    <t>MC4073</t>
  </si>
  <si>
    <t>CN2245</t>
  </si>
  <si>
    <t>CN5394</t>
  </si>
  <si>
    <t>MC2780</t>
  </si>
  <si>
    <t>CN5395</t>
  </si>
  <si>
    <t>MC0682</t>
  </si>
  <si>
    <t>CR4477</t>
  </si>
  <si>
    <t>CN2391</t>
  </si>
  <si>
    <t>MC3068</t>
  </si>
  <si>
    <t>CN5390</t>
  </si>
  <si>
    <t>MC2781</t>
  </si>
  <si>
    <t>CR4472</t>
  </si>
  <si>
    <t>MC0683</t>
  </si>
  <si>
    <t>LF0019</t>
  </si>
  <si>
    <t>MQ6081</t>
  </si>
  <si>
    <t>MC1367</t>
  </si>
  <si>
    <t>CN2244</t>
  </si>
  <si>
    <t>MC1373</t>
  </si>
  <si>
    <t>CN5387</t>
  </si>
  <si>
    <t>MC3578</t>
  </si>
  <si>
    <t>CR4469</t>
  </si>
  <si>
    <t>MQ3210</t>
  </si>
  <si>
    <t>MQ6082</t>
  </si>
  <si>
    <t>MC3877</t>
  </si>
  <si>
    <t>MQ0737</t>
  </si>
  <si>
    <t>LF0020</t>
  </si>
  <si>
    <t>MC3899</t>
  </si>
  <si>
    <t>LH8933</t>
  </si>
  <si>
    <t>MC2081</t>
  </si>
  <si>
    <t>CN5396</t>
  </si>
  <si>
    <t>CR4480</t>
  </si>
  <si>
    <t>MQ6083</t>
  </si>
  <si>
    <t>MQ0368</t>
  </si>
  <si>
    <t>MQ6084</t>
  </si>
  <si>
    <t>MQ6085</t>
  </si>
  <si>
    <t>CN5392</t>
  </si>
  <si>
    <t>LH7556</t>
  </si>
  <si>
    <t>MC0684</t>
  </si>
  <si>
    <t>MC1374</t>
  </si>
  <si>
    <t>CN5386</t>
  </si>
  <si>
    <t>MC3999</t>
  </si>
  <si>
    <t>LH7524</t>
  </si>
  <si>
    <t>MQ0805</t>
  </si>
  <si>
    <t>MQ0369</t>
  </si>
  <si>
    <t>MQ0738</t>
  </si>
  <si>
    <t>MC4235</t>
  </si>
  <si>
    <t>LF9115</t>
  </si>
  <si>
    <t>CN2322</t>
  </si>
  <si>
    <t>MC1369</t>
  </si>
  <si>
    <t>MC0680</t>
  </si>
  <si>
    <t>LH8934</t>
  </si>
  <si>
    <t>MC3375</t>
  </si>
  <si>
    <t>MC4242</t>
  </si>
  <si>
    <t>MC3808</t>
  </si>
  <si>
    <t>MC3436</t>
  </si>
  <si>
    <t>MC3806</t>
  </si>
  <si>
    <t>CN2246</t>
  </si>
  <si>
    <t>MQ9018</t>
  </si>
  <si>
    <t>MQ0739</t>
  </si>
  <si>
    <t>MC2572</t>
  </si>
  <si>
    <t>MC3376</t>
  </si>
  <si>
    <t>MC0915</t>
  </si>
  <si>
    <t>CR4478</t>
  </si>
  <si>
    <t>CR4473</t>
  </si>
  <si>
    <t>MC4237</t>
  </si>
  <si>
    <t>CN2272</t>
  </si>
  <si>
    <t>MQ0370</t>
  </si>
  <si>
    <t>MC1666</t>
  </si>
  <si>
    <t>MQ0806</t>
  </si>
  <si>
    <t>MQ0740</t>
  </si>
  <si>
    <t>CN2247</t>
  </si>
  <si>
    <t>MC1378</t>
  </si>
  <si>
    <t>MC3202</t>
  </si>
  <si>
    <t>MC3318</t>
  </si>
  <si>
    <t>MC4238</t>
  </si>
  <si>
    <t>MQ0371</t>
  </si>
  <si>
    <t>MQ0631</t>
  </si>
  <si>
    <t>MQ0373</t>
  </si>
  <si>
    <t>MQ0372</t>
  </si>
  <si>
    <t>MQ0741</t>
  </si>
  <si>
    <t>MQ0374</t>
  </si>
  <si>
    <t>LF0014</t>
  </si>
  <si>
    <t>MQ0556</t>
  </si>
  <si>
    <t>MC4239</t>
  </si>
  <si>
    <t>MC1370</t>
  </si>
  <si>
    <t>LH7647</t>
  </si>
  <si>
    <t>MQ0807</t>
  </si>
  <si>
    <t>MQ0742</t>
  </si>
  <si>
    <t>LH0010</t>
  </si>
  <si>
    <t>MC1483</t>
  </si>
  <si>
    <t>CN5391</t>
  </si>
  <si>
    <t>CR4474</t>
  </si>
  <si>
    <t>MC2782</t>
  </si>
  <si>
    <t>LQ3942</t>
  </si>
  <si>
    <t>LQ3943</t>
  </si>
  <si>
    <t>MC3203</t>
  </si>
  <si>
    <t>MC2574</t>
  </si>
  <si>
    <t>CE1253</t>
  </si>
  <si>
    <t>MQ0632</t>
  </si>
  <si>
    <t>MQ0633</t>
  </si>
  <si>
    <t>MQ0743</t>
  </si>
  <si>
    <t>MC2085</t>
  </si>
  <si>
    <t>MC4243</t>
  </si>
  <si>
    <t>CN5379</t>
  </si>
  <si>
    <t>CN5380</t>
  </si>
  <si>
    <t>MQ3041</t>
  </si>
  <si>
    <t>CN5381</t>
  </si>
  <si>
    <t>MQ3094</t>
  </si>
  <si>
    <t>MC4447</t>
  </si>
  <si>
    <t>CN5382</t>
  </si>
  <si>
    <t>MQ3042</t>
  </si>
  <si>
    <t>MC4244</t>
  </si>
  <si>
    <t>CN5383</t>
  </si>
  <si>
    <t>CR4461</t>
  </si>
  <si>
    <t>MQ0456</t>
  </si>
  <si>
    <t>CN5384</t>
  </si>
  <si>
    <t>CR4462</t>
  </si>
  <si>
    <t>CN5385</t>
  </si>
  <si>
    <t>MQ3095</t>
  </si>
  <si>
    <t>CN2389</t>
  </si>
  <si>
    <t>MQ0536</t>
  </si>
  <si>
    <t>CN2390</t>
  </si>
  <si>
    <t>MQ0535</t>
  </si>
  <si>
    <t>MC3807</t>
  </si>
  <si>
    <t>MQ6086</t>
  </si>
  <si>
    <t>MQ6087</t>
  </si>
  <si>
    <t>CN5393</t>
  </si>
  <si>
    <t>MC0685</t>
  </si>
  <si>
    <t>CR4476</t>
  </si>
  <si>
    <t>MC3250</t>
  </si>
  <si>
    <t>LH7526</t>
  </si>
  <si>
    <t>MC0681</t>
  </si>
  <si>
    <t>CN5388</t>
  </si>
  <si>
    <t>CR4470</t>
  </si>
  <si>
    <t>MC0679</t>
  </si>
  <si>
    <t>MC2086</t>
  </si>
  <si>
    <t>LH7528</t>
  </si>
  <si>
    <t>MQ0375</t>
  </si>
  <si>
    <t>MQ0808</t>
  </si>
  <si>
    <t>LQ3365</t>
  </si>
  <si>
    <t>MQ0809</t>
  </si>
  <si>
    <t>CN2248</t>
  </si>
  <si>
    <t>MC4029</t>
  </si>
  <si>
    <t>CN2249</t>
  </si>
  <si>
    <t>MC4247</t>
  </si>
  <si>
    <t>CN2250</t>
  </si>
  <si>
    <t>MC0687</t>
  </si>
  <si>
    <t>CN2251</t>
  </si>
  <si>
    <t>MC4088</t>
  </si>
  <si>
    <t>CN2252</t>
  </si>
  <si>
    <t>LH8853</t>
  </si>
  <si>
    <t>MC4251</t>
  </si>
  <si>
    <t>LH7737</t>
  </si>
  <si>
    <t>MC0686</t>
  </si>
  <si>
    <t>CE1699</t>
  </si>
  <si>
    <t>MC4389</t>
  </si>
  <si>
    <t>MC4033</t>
  </si>
  <si>
    <t>MC4034</t>
  </si>
  <si>
    <t>CN2260</t>
  </si>
  <si>
    <t>MC4252</t>
  </si>
  <si>
    <t>CN2253</t>
  </si>
  <si>
    <t>CN2254</t>
  </si>
  <si>
    <t>LH7796</t>
  </si>
  <si>
    <t>MC2213</t>
  </si>
  <si>
    <t>CN2255</t>
  </si>
  <si>
    <t>CN2256</t>
  </si>
  <si>
    <t>LH8854</t>
  </si>
  <si>
    <t>CN2261</t>
  </si>
  <si>
    <t>MC1381</t>
  </si>
  <si>
    <t>MC3404</t>
  </si>
  <si>
    <t>CN2262</t>
  </si>
  <si>
    <t>MC4037</t>
  </si>
  <si>
    <t>MC4038</t>
  </si>
  <si>
    <t>MC0919</t>
  </si>
  <si>
    <t>MC4254</t>
  </si>
  <si>
    <t>CN2263</t>
  </si>
  <si>
    <t>MC3405</t>
  </si>
  <si>
    <t>CN2257</t>
  </si>
  <si>
    <t>CN2258</t>
  </si>
  <si>
    <t>CN2259</t>
  </si>
  <si>
    <t>MQ7266</t>
  </si>
  <si>
    <t>LK5527</t>
  </si>
  <si>
    <t>LG8032</t>
  </si>
  <si>
    <t>LG1300</t>
  </si>
  <si>
    <t>CN2264</t>
  </si>
  <si>
    <t>LB2623</t>
  </si>
  <si>
    <t>LS0019</t>
  </si>
  <si>
    <t>LB2621</t>
  </si>
  <si>
    <t>LQ3809</t>
  </si>
  <si>
    <t>LB2631</t>
  </si>
  <si>
    <t>LK5457</t>
  </si>
  <si>
    <t>LB2627</t>
  </si>
  <si>
    <t>LB2633</t>
  </si>
  <si>
    <t>LQ3810</t>
  </si>
  <si>
    <t>LB8504</t>
  </si>
  <si>
    <t>CN2415</t>
  </si>
  <si>
    <t>LB1867</t>
  </si>
  <si>
    <t>LF7120</t>
  </si>
  <si>
    <t>CN2266</t>
  </si>
  <si>
    <t>CR5239</t>
  </si>
  <si>
    <t>CR5240</t>
  </si>
  <si>
    <t>CR5074</t>
  </si>
  <si>
    <t>CR5243</t>
  </si>
  <si>
    <t>CR5076</t>
  </si>
  <si>
    <t>CR5077</t>
  </si>
  <si>
    <t>CR5075</t>
  </si>
  <si>
    <t>CR5078</t>
  </si>
  <si>
    <t>CR5241</t>
  </si>
  <si>
    <t>CR5242</t>
  </si>
  <si>
    <t>CR5244</t>
  </si>
  <si>
    <t>LF3138</t>
  </si>
  <si>
    <t>CN2265</t>
  </si>
  <si>
    <t>LK6155</t>
  </si>
  <si>
    <t>LK0105</t>
  </si>
  <si>
    <t>LF8535</t>
  </si>
  <si>
    <t>CN2267</t>
  </si>
  <si>
    <t>LF0016</t>
  </si>
  <si>
    <t>LF0015</t>
  </si>
  <si>
    <t>LK5528</t>
  </si>
  <si>
    <t>CN2268</t>
  </si>
  <si>
    <t>LF0046</t>
  </si>
  <si>
    <t>LF0047</t>
  </si>
  <si>
    <t>LF0048</t>
  </si>
  <si>
    <t>LK5914</t>
  </si>
  <si>
    <t>LK2610</t>
  </si>
  <si>
    <t>CR2543</t>
  </si>
  <si>
    <t>LC0008</t>
  </si>
  <si>
    <t>LC9618</t>
  </si>
  <si>
    <t>MQ6088</t>
  </si>
  <si>
    <t>MQ6089</t>
  </si>
  <si>
    <t>MQ6090</t>
  </si>
  <si>
    <t>MC2784</t>
  </si>
  <si>
    <t>MC3810</t>
  </si>
  <si>
    <t>MC4018</t>
  </si>
  <si>
    <t>MQ0810</t>
  </si>
  <si>
    <t>LG6860</t>
  </si>
  <si>
    <t>MC2090</t>
  </si>
  <si>
    <t>MC4014</t>
  </si>
  <si>
    <t>MC4390</t>
  </si>
  <si>
    <t>LK6139</t>
  </si>
  <si>
    <t>CR2785</t>
  </si>
  <si>
    <t>LK5140</t>
  </si>
  <si>
    <t>LK6280</t>
  </si>
  <si>
    <t>LK6281</t>
  </si>
  <si>
    <t>LK6282</t>
  </si>
  <si>
    <t>LK6283</t>
  </si>
  <si>
    <t>LK6284</t>
  </si>
  <si>
    <t>LK6285</t>
  </si>
  <si>
    <t>LK7155</t>
  </si>
  <si>
    <t>LK5354</t>
  </si>
  <si>
    <t>LB8617</t>
  </si>
  <si>
    <t>LK5356</t>
  </si>
  <si>
    <t>LK5358</t>
  </si>
  <si>
    <t>LK5359</t>
  </si>
  <si>
    <t>LK5360</t>
  </si>
  <si>
    <t>LK5361</t>
  </si>
  <si>
    <t>LK5362</t>
  </si>
  <si>
    <t>LB8618</t>
  </si>
  <si>
    <t>LB8584</t>
  </si>
  <si>
    <t>LB8591</t>
  </si>
  <si>
    <t>LB8592</t>
  </si>
  <si>
    <t>LB8600</t>
  </si>
  <si>
    <t>LB8593</t>
  </si>
  <si>
    <t>LB8595</t>
  </si>
  <si>
    <t>LB8619</t>
  </si>
  <si>
    <t>LB8599</t>
  </si>
  <si>
    <t>LB8594</t>
  </si>
  <si>
    <t>LB8597</t>
  </si>
  <si>
    <t>LB8598</t>
  </si>
  <si>
    <t>LS0117</t>
  </si>
  <si>
    <t>LK0523</t>
  </si>
  <si>
    <t>LK0525</t>
  </si>
  <si>
    <t>LK0526</t>
  </si>
  <si>
    <t>LK1394</t>
  </si>
  <si>
    <t>LK0528</t>
  </si>
  <si>
    <t>LK0386</t>
  </si>
  <si>
    <t>LK0387</t>
  </si>
  <si>
    <t>LB8691</t>
  </si>
  <si>
    <t>LK5363</t>
  </si>
  <si>
    <t>LB8522</t>
  </si>
  <si>
    <t>LB8572</t>
  </si>
  <si>
    <t>LB8574</t>
  </si>
  <si>
    <t>LB8576</t>
  </si>
  <si>
    <t>LB8585</t>
  </si>
  <si>
    <t>LB8523</t>
  </si>
  <si>
    <t>LB8586</t>
  </si>
  <si>
    <t>LK1395</t>
  </si>
  <si>
    <t>LB8525</t>
  </si>
  <si>
    <t>LB8601</t>
  </si>
  <si>
    <t>LB8602</t>
  </si>
  <si>
    <t>CR2000</t>
  </si>
  <si>
    <t>LB8747</t>
  </si>
  <si>
    <t>LB8643</t>
  </si>
  <si>
    <t>LB8748</t>
  </si>
  <si>
    <t>LB8644</t>
  </si>
  <si>
    <t>LB8750</t>
  </si>
  <si>
    <t>LK0036</t>
  </si>
  <si>
    <t>LB8755</t>
  </si>
  <si>
    <t>LB8757</t>
  </si>
  <si>
    <t>LB8758</t>
  </si>
  <si>
    <t>LB8760</t>
  </si>
  <si>
    <t>LB8762</t>
  </si>
  <si>
    <t>CR2786</t>
  </si>
  <si>
    <t>LK6294</t>
  </si>
  <si>
    <t>LK4429</t>
  </si>
  <si>
    <t>LK4044</t>
  </si>
  <si>
    <t>LK1999</t>
  </si>
  <si>
    <t>LK6013</t>
  </si>
  <si>
    <t>LK6343</t>
  </si>
  <si>
    <t>LK4045</t>
  </si>
  <si>
    <t>LK6344</t>
  </si>
  <si>
    <t>LK2000</t>
  </si>
  <si>
    <t>LK2001</t>
  </si>
  <si>
    <t>LK2002</t>
  </si>
  <si>
    <t>LK6144</t>
  </si>
  <si>
    <t>LK2003</t>
  </si>
  <si>
    <t>LK2004</t>
  </si>
  <si>
    <t>LK2005</t>
  </si>
  <si>
    <t>LK2711</t>
  </si>
  <si>
    <t>LK4527</t>
  </si>
  <si>
    <t>LK6146</t>
  </si>
  <si>
    <t>LK2006</t>
  </si>
  <si>
    <t>LK4430</t>
  </si>
  <si>
    <t>LK5610</t>
  </si>
  <si>
    <t>LK2007</t>
  </si>
  <si>
    <t>LK2008</t>
  </si>
  <si>
    <t>LK6148</t>
  </si>
  <si>
    <t>LK6149</t>
  </si>
  <si>
    <t>LK6150</t>
  </si>
  <si>
    <t>LK6151</t>
  </si>
  <si>
    <t>LK6152</t>
  </si>
  <si>
    <t>LK6153</t>
  </si>
  <si>
    <t>LK6449</t>
  </si>
  <si>
    <t>LK6450</t>
  </si>
  <si>
    <t>LK6451</t>
  </si>
  <si>
    <t>LK6452</t>
  </si>
  <si>
    <t>LK6453</t>
  </si>
  <si>
    <t>LK6454</t>
  </si>
  <si>
    <t>LK6455</t>
  </si>
  <si>
    <t>LK6456</t>
  </si>
  <si>
    <t>LK6457</t>
  </si>
  <si>
    <t>LK6458</t>
  </si>
  <si>
    <t>LK0976</t>
  </si>
  <si>
    <t>LK0392</t>
  </si>
  <si>
    <t>LK0393</t>
  </si>
  <si>
    <t>LK0395</t>
  </si>
  <si>
    <t>LK0977</t>
  </si>
  <si>
    <t>LK0979</t>
  </si>
  <si>
    <t>LK0396</t>
  </si>
  <si>
    <t>LB8784</t>
  </si>
  <si>
    <t>LB8786</t>
  </si>
  <si>
    <t>LB8781</t>
  </si>
  <si>
    <t>LB8783</t>
  </si>
  <si>
    <t>LB8556</t>
  </si>
  <si>
    <t>LB8791</t>
  </si>
  <si>
    <t>LB8785</t>
  </si>
  <si>
    <t>LB8787</t>
  </si>
  <si>
    <t>LB8789</t>
  </si>
  <si>
    <t>LK3026</t>
  </si>
  <si>
    <t>LK3027</t>
  </si>
  <si>
    <t>LK3028</t>
  </si>
  <si>
    <t>LK6295</t>
  </si>
  <si>
    <t>LK6667</t>
  </si>
  <si>
    <t>LK3029</t>
  </si>
  <si>
    <t>LK3030</t>
  </si>
  <si>
    <t>LK3031</t>
  </si>
  <si>
    <t>LK6878</t>
  </si>
  <si>
    <t>LK6879</t>
  </si>
  <si>
    <t>LK6880</t>
  </si>
  <si>
    <t>LK6881</t>
  </si>
  <si>
    <t>LK6882</t>
  </si>
  <si>
    <t>LK7178</t>
  </si>
  <si>
    <t>LB8805</t>
  </si>
  <si>
    <t>LK6524</t>
  </si>
  <si>
    <t>LK4369</t>
  </si>
  <si>
    <t>LK6296</t>
  </si>
  <si>
    <t>LK1881</t>
  </si>
  <si>
    <t>MC4257</t>
  </si>
  <si>
    <t>MQ0849</t>
  </si>
  <si>
    <t>CN5397</t>
  </si>
  <si>
    <t>CR3841</t>
  </si>
  <si>
    <t>LG6931</t>
  </si>
  <si>
    <t>MC2339</t>
  </si>
  <si>
    <t>LK0599</t>
  </si>
  <si>
    <t>LL5045</t>
  </si>
  <si>
    <t>LL0066</t>
  </si>
  <si>
    <t>LL0033</t>
  </si>
  <si>
    <t>LL0134</t>
  </si>
  <si>
    <t>LL0007</t>
  </si>
  <si>
    <t>LL3700</t>
  </si>
  <si>
    <t>LL0067</t>
  </si>
  <si>
    <t>MC3890</t>
  </si>
  <si>
    <t>LL3775</t>
  </si>
  <si>
    <t>KY3775</t>
  </si>
  <si>
    <t>LL3750</t>
  </si>
  <si>
    <t>LL3751</t>
  </si>
  <si>
    <t>LL1706</t>
  </si>
  <si>
    <t>LL3824</t>
  </si>
  <si>
    <t>LL3779</t>
  </si>
  <si>
    <t>LL3820</t>
  </si>
  <si>
    <t>LL4076</t>
  </si>
  <si>
    <t>LL8154</t>
  </si>
  <si>
    <t>LL4843</t>
  </si>
  <si>
    <t>LC9602</t>
  </si>
  <si>
    <t>LL0035</t>
  </si>
  <si>
    <t>LL3780</t>
  </si>
  <si>
    <t>LL3783</t>
  </si>
  <si>
    <t>LL8155</t>
  </si>
  <si>
    <t>LL3829</t>
  </si>
  <si>
    <t>LL3830</t>
  </si>
  <si>
    <t>LL3784</t>
  </si>
  <si>
    <t>KY3785</t>
  </si>
  <si>
    <t>LL0068</t>
  </si>
  <si>
    <t>LL3827</t>
  </si>
  <si>
    <t>LL4875</t>
  </si>
  <si>
    <t>LL3790</t>
  </si>
  <si>
    <t>LL3789</t>
  </si>
  <si>
    <t>LL3792</t>
  </si>
  <si>
    <t>LL3834</t>
  </si>
  <si>
    <t>LL3835</t>
  </si>
  <si>
    <t>LL3799</t>
  </si>
  <si>
    <t>LL3818</t>
  </si>
  <si>
    <t>LL8055</t>
  </si>
  <si>
    <t>LL3760</t>
  </si>
  <si>
    <t>LL8087</t>
  </si>
  <si>
    <t>LL3802</t>
  </si>
  <si>
    <t>LL3807</t>
  </si>
  <si>
    <t>LL3822</t>
  </si>
  <si>
    <t>LL3776</t>
  </si>
  <si>
    <t>LL3796</t>
  </si>
  <si>
    <t>LL8236</t>
  </si>
  <si>
    <t>LL0189</t>
  </si>
  <si>
    <t>LL8237</t>
  </si>
  <si>
    <t>LL4854</t>
  </si>
  <si>
    <t>LL0069</t>
  </si>
  <si>
    <t>LL8028</t>
  </si>
  <si>
    <t>LL8332</t>
  </si>
  <si>
    <t>LL8128</t>
  </si>
  <si>
    <t>LL3797</t>
  </si>
  <si>
    <t>LL0008</t>
  </si>
  <si>
    <t>LL0169</t>
  </si>
  <si>
    <t>LL3803</t>
  </si>
  <si>
    <t>LL3808</t>
  </si>
  <si>
    <t>LL8240</t>
  </si>
  <si>
    <t>LL8057</t>
  </si>
  <si>
    <t>LL3788</t>
  </si>
  <si>
    <t>LL3806</t>
  </si>
  <si>
    <t>LL3798</t>
  </si>
  <si>
    <t>LL8238</t>
  </si>
  <si>
    <t>LL8340</t>
  </si>
  <si>
    <t>LL3773</t>
  </si>
  <si>
    <t>LL3809</t>
  </si>
  <si>
    <t>LL3778</t>
  </si>
  <si>
    <t>LL3757</t>
  </si>
  <si>
    <t>LL3759</t>
  </si>
  <si>
    <t>LL8344</t>
  </si>
  <si>
    <t>LL3804</t>
  </si>
  <si>
    <t>LL3811</t>
  </si>
  <si>
    <t>LL8241</t>
  </si>
  <si>
    <t>LL4077</t>
  </si>
  <si>
    <t>LL3816</t>
  </si>
  <si>
    <t>KY3781</t>
  </si>
  <si>
    <t>LL3785</t>
  </si>
  <si>
    <t>LL3815</t>
  </si>
  <si>
    <t>KY3815</t>
  </si>
  <si>
    <t>LL3817</t>
  </si>
  <si>
    <t>KY3817</t>
  </si>
  <si>
    <t>LL3800</t>
  </si>
  <si>
    <t>LL0135</t>
  </si>
  <si>
    <t>LL3813</t>
  </si>
  <si>
    <t>LL3828</t>
  </si>
  <si>
    <t>LH7905</t>
  </si>
  <si>
    <t>MC0694</t>
  </si>
  <si>
    <t>MC3075</t>
  </si>
  <si>
    <t>MC0695</t>
  </si>
  <si>
    <t>MC2584</t>
  </si>
  <si>
    <t>CN5399</t>
  </si>
  <si>
    <t>CR4482</t>
  </si>
  <si>
    <t>LC9320</t>
  </si>
  <si>
    <t>MQ0850</t>
  </si>
  <si>
    <t>CN5398</t>
  </si>
  <si>
    <t>MC0693</t>
  </si>
  <si>
    <t>CN5400</t>
  </si>
  <si>
    <t>MC2230</t>
  </si>
  <si>
    <t>MC4506</t>
  </si>
  <si>
    <t>MC2978</t>
  </si>
  <si>
    <t>LK1498</t>
  </si>
  <si>
    <t>MC1938</t>
  </si>
  <si>
    <t>LH6007</t>
  </si>
  <si>
    <t>LK0409</t>
  </si>
  <si>
    <t>LB8965</t>
  </si>
  <si>
    <t>LK5934</t>
  </si>
  <si>
    <t>LK0398</t>
  </si>
  <si>
    <t>LB8987</t>
  </si>
  <si>
    <t>LB8976</t>
  </si>
  <si>
    <t>LB8964</t>
  </si>
  <si>
    <t>LK0399</t>
  </si>
  <si>
    <t>LK0400</t>
  </si>
  <si>
    <t>LK3508</t>
  </si>
  <si>
    <t>LK2707</t>
  </si>
  <si>
    <t>LK3509</t>
  </si>
  <si>
    <t>LK3510</t>
  </si>
  <si>
    <t>LK3512</t>
  </si>
  <si>
    <t>LB8972</t>
  </si>
  <si>
    <t>LB8975</t>
  </si>
  <si>
    <t>LB8977</t>
  </si>
  <si>
    <t>LK6322</t>
  </si>
  <si>
    <t>LK0533</t>
  </si>
  <si>
    <t>LB8944</t>
  </si>
  <si>
    <t>LB8962</t>
  </si>
  <si>
    <t>LB8979</t>
  </si>
  <si>
    <t>LB8980</t>
  </si>
  <si>
    <t>LB8981</t>
  </si>
  <si>
    <t>LB8946</t>
  </si>
  <si>
    <t>LB8983</t>
  </si>
  <si>
    <t>LB8984</t>
  </si>
  <si>
    <t>LB8947</t>
  </si>
  <si>
    <t>MC0699</t>
  </si>
  <si>
    <t>MC3141</t>
  </si>
  <si>
    <t>LG2592</t>
  </si>
  <si>
    <t>LL4855</t>
  </si>
  <si>
    <t>LK5938</t>
  </si>
  <si>
    <t>LK6215</t>
  </si>
  <si>
    <t>LK2582</t>
  </si>
  <si>
    <t>LG7276</t>
  </si>
  <si>
    <t>LK0411</t>
  </si>
  <si>
    <t>LH8050</t>
  </si>
  <si>
    <t>CR3575</t>
  </si>
  <si>
    <t>LF9100</t>
  </si>
  <si>
    <t>LK6298</t>
  </si>
  <si>
    <t>MC3865</t>
  </si>
  <si>
    <t>LC9050</t>
  </si>
  <si>
    <t>MC3620</t>
  </si>
  <si>
    <t>MC4427</t>
  </si>
  <si>
    <t>MC4002</t>
  </si>
  <si>
    <t>MC4394</t>
  </si>
  <si>
    <t>MC3622</t>
  </si>
  <si>
    <t>MC3661</t>
  </si>
  <si>
    <t>MC4080</t>
  </si>
  <si>
    <t>MC3654</t>
  </si>
  <si>
    <t>MC4356</t>
  </si>
  <si>
    <t>MC4429</t>
  </si>
  <si>
    <t>MC3614</t>
  </si>
  <si>
    <t>MC3615</t>
  </si>
  <si>
    <t>MC4003</t>
  </si>
  <si>
    <t>MC3617</t>
  </si>
  <si>
    <t>MC4081</t>
  </si>
  <si>
    <t>MC4339</t>
  </si>
  <si>
    <t>MC3908</t>
  </si>
  <si>
    <t>MC4270</t>
  </si>
  <si>
    <t>MC2077</t>
  </si>
  <si>
    <t>MC4428</t>
  </si>
  <si>
    <t>MC3655</t>
  </si>
  <si>
    <t>MC4517</t>
  </si>
  <si>
    <t>MC4357</t>
  </si>
  <si>
    <t>MC3909</t>
  </si>
  <si>
    <t>MC4082</t>
  </si>
  <si>
    <t>MC3624</t>
  </si>
  <si>
    <t>MC4271</t>
  </si>
  <si>
    <t>MC3910</t>
  </si>
  <si>
    <t>MC3612</t>
  </si>
  <si>
    <t>MC3613</t>
  </si>
  <si>
    <t>MC4358</t>
  </si>
  <si>
    <t>MC3618</t>
  </si>
  <si>
    <t>MC4273</t>
  </si>
  <si>
    <t>MC4430</t>
  </si>
  <si>
    <t>MC4083</t>
  </si>
  <si>
    <t>MC4431</t>
  </si>
  <si>
    <t>MC4274</t>
  </si>
  <si>
    <t>MC4275</t>
  </si>
  <si>
    <t>MC3913</t>
  </si>
  <si>
    <t>MC4395</t>
  </si>
  <si>
    <t>MC4006</t>
  </si>
  <si>
    <t>MC3623</t>
  </si>
  <si>
    <t>MC3626</t>
  </si>
  <si>
    <t>MC3625</t>
  </si>
  <si>
    <t>LL1321</t>
  </si>
  <si>
    <t>MC4453</t>
  </si>
  <si>
    <t>LL5011</t>
  </si>
  <si>
    <t>LL8020</t>
  </si>
  <si>
    <t>LL1320</t>
  </si>
  <si>
    <t>LL8077</t>
  </si>
  <si>
    <t>LL1330</t>
  </si>
  <si>
    <t>LL1322</t>
  </si>
  <si>
    <t>LL1323</t>
  </si>
  <si>
    <t>LF7694</t>
  </si>
  <si>
    <t>KN0141</t>
  </si>
  <si>
    <t>KN0192</t>
  </si>
  <si>
    <t>KN0131</t>
  </si>
  <si>
    <t>ZC9224</t>
  </si>
  <si>
    <t>KN0151</t>
  </si>
  <si>
    <t>KN0161</t>
  </si>
  <si>
    <t>KN0181</t>
  </si>
  <si>
    <t>KO-KY</t>
  </si>
  <si>
    <t>KO5613</t>
  </si>
  <si>
    <t>KO5589</t>
  </si>
  <si>
    <t>KO5591</t>
  </si>
  <si>
    <t>KO5616</t>
  </si>
  <si>
    <t>KO5617</t>
  </si>
  <si>
    <t>KO5619</t>
  </si>
  <si>
    <t>KO5614</t>
  </si>
  <si>
    <t>KO5620</t>
  </si>
  <si>
    <t>KO5621</t>
  </si>
  <si>
    <t>KO5622</t>
  </si>
  <si>
    <t>KO5623</t>
  </si>
  <si>
    <t>KO5625</t>
  </si>
  <si>
    <t>KO5626</t>
  </si>
  <si>
    <t>KO5627</t>
  </si>
  <si>
    <t>KO5628</t>
  </si>
  <si>
    <t>KO5629</t>
  </si>
  <si>
    <t>LK3516</t>
  </si>
  <si>
    <t>MC3813</t>
  </si>
  <si>
    <t>MC1391</t>
  </si>
  <si>
    <t>LH7085</t>
  </si>
  <si>
    <t>MC0707</t>
  </si>
  <si>
    <t>MC0708</t>
  </si>
  <si>
    <t>LC9452</t>
  </si>
  <si>
    <t>MC0963</t>
  </si>
  <si>
    <t>LC9450</t>
  </si>
  <si>
    <t>LC9453</t>
  </si>
  <si>
    <t>LC9451</t>
  </si>
  <si>
    <t>MC2854</t>
  </si>
  <si>
    <t>MC0711</t>
  </si>
  <si>
    <t>LC6702</t>
  </si>
  <si>
    <t>LD0021</t>
  </si>
  <si>
    <t>LK0417</t>
  </si>
  <si>
    <t>LK4787</t>
  </si>
  <si>
    <t>LK5437</t>
  </si>
  <si>
    <t>LK6038</t>
  </si>
  <si>
    <t>LQ9031</t>
  </si>
  <si>
    <t>LQ9032</t>
  </si>
  <si>
    <t>LK6039</t>
  </si>
  <si>
    <t>LQ9033</t>
  </si>
  <si>
    <t>MB8000</t>
  </si>
  <si>
    <t>LB9100</t>
  </si>
  <si>
    <t>LK1199</t>
  </si>
  <si>
    <t>LD0022</t>
  </si>
  <si>
    <t>LK6510</t>
  </si>
  <si>
    <t>MC3105</t>
  </si>
  <si>
    <t>LD0023</t>
  </si>
  <si>
    <t>LB9101</t>
  </si>
  <si>
    <t>LK6773</t>
  </si>
  <si>
    <t>LK6040</t>
  </si>
  <si>
    <t>LQ3908</t>
  </si>
  <si>
    <t>LK4273</t>
  </si>
  <si>
    <t>LK3795</t>
  </si>
  <si>
    <t>LB9102</t>
  </si>
  <si>
    <t>LK0992</t>
  </si>
  <si>
    <t>LK0993</t>
  </si>
  <si>
    <t>LQ3683</t>
  </si>
  <si>
    <t>LQ3909</t>
  </si>
  <si>
    <t>LQ3744</t>
  </si>
  <si>
    <t>LQ3684</t>
  </si>
  <si>
    <t>LQ3685</t>
  </si>
  <si>
    <t>LQ3686</t>
  </si>
  <si>
    <t>LQ3687</t>
  </si>
  <si>
    <t>LQ3688</t>
  </si>
  <si>
    <t>LD0024</t>
  </si>
  <si>
    <t>MC2296</t>
  </si>
  <si>
    <t>MC1397</t>
  </si>
  <si>
    <t>MC2934</t>
  </si>
  <si>
    <t>MC4508</t>
  </si>
  <si>
    <t>LC9504</t>
  </si>
  <si>
    <t>MC2935</t>
  </si>
  <si>
    <t>LC3408</t>
  </si>
  <si>
    <t>MC0717</t>
  </si>
  <si>
    <t>MC2295</t>
  </si>
  <si>
    <t>LC9505</t>
  </si>
  <si>
    <t>LC9514</t>
  </si>
  <si>
    <t>MC1755</t>
  </si>
  <si>
    <t>CR4487</t>
  </si>
  <si>
    <t>LC9529</t>
  </si>
  <si>
    <t>MC4122</t>
  </si>
  <si>
    <t>CN5404</t>
  </si>
  <si>
    <t>CR4488</t>
  </si>
  <si>
    <t>LC9517</t>
  </si>
  <si>
    <t>CN5408</t>
  </si>
  <si>
    <t>MC1499</t>
  </si>
  <si>
    <t>LC3404</t>
  </si>
  <si>
    <t>MC3258</t>
  </si>
  <si>
    <t>MC3259</t>
  </si>
  <si>
    <t>LC9518</t>
  </si>
  <si>
    <t>LC9503</t>
  </si>
  <si>
    <t>MC2135</t>
  </si>
  <si>
    <t>LC9620</t>
  </si>
  <si>
    <t>KP9500</t>
  </si>
  <si>
    <t>MC3975</t>
  </si>
  <si>
    <t>LC9506</t>
  </si>
  <si>
    <t>CN5401</t>
  </si>
  <si>
    <t>MC2133</t>
  </si>
  <si>
    <t>MC4509</t>
  </si>
  <si>
    <t>LC9631</t>
  </si>
  <si>
    <t>CN5402</t>
  </si>
  <si>
    <t>MC2136</t>
  </si>
  <si>
    <t>LC9520</t>
  </si>
  <si>
    <t>LC9507</t>
  </si>
  <si>
    <t>CN5403</t>
  </si>
  <si>
    <t>MC0820</t>
  </si>
  <si>
    <t>LC9508</t>
  </si>
  <si>
    <t>MC4123</t>
  </si>
  <si>
    <t>LC9481</t>
  </si>
  <si>
    <t>LC3389</t>
  </si>
  <si>
    <t>MC2588</t>
  </si>
  <si>
    <t>LH8855</t>
  </si>
  <si>
    <t>LC9509</t>
  </si>
  <si>
    <t>MC1398</t>
  </si>
  <si>
    <t>MC2232</t>
  </si>
  <si>
    <t>CN5407</t>
  </si>
  <si>
    <t>MC2099</t>
  </si>
  <si>
    <t>MC4000</t>
  </si>
  <si>
    <t>CN5405</t>
  </si>
  <si>
    <t>CR4489</t>
  </si>
  <si>
    <t>MC4510</t>
  </si>
  <si>
    <t>LC9511</t>
  </si>
  <si>
    <t>LC9626</t>
  </si>
  <si>
    <t>MC1500</t>
  </si>
  <si>
    <t>CN2392</t>
  </si>
  <si>
    <t>MC2233</t>
  </si>
  <si>
    <t>LC9483</t>
  </si>
  <si>
    <t>LC3405</t>
  </si>
  <si>
    <t>MC4344</t>
  </si>
  <si>
    <t>LC9500</t>
  </si>
  <si>
    <t>MC0822</t>
  </si>
  <si>
    <t>LC9512</t>
  </si>
  <si>
    <t>LC9513</t>
  </si>
  <si>
    <t>CN5406</t>
  </si>
  <si>
    <t>MC0719</t>
  </si>
  <si>
    <t>LG7490</t>
  </si>
  <si>
    <t>LB9110</t>
  </si>
  <si>
    <t>LB9111</t>
  </si>
  <si>
    <t>LL4816</t>
  </si>
  <si>
    <t>LL3880</t>
  </si>
  <si>
    <t>LL3883</t>
  </si>
  <si>
    <t>LL4022</t>
  </si>
  <si>
    <t>LL3886</t>
  </si>
  <si>
    <t>LL0048</t>
  </si>
  <si>
    <t>LL3888</t>
  </si>
  <si>
    <t>LL0070</t>
  </si>
  <si>
    <t>LL3935</t>
  </si>
  <si>
    <t>LL3942</t>
  </si>
  <si>
    <t>KY3942</t>
  </si>
  <si>
    <t>LL3946</t>
  </si>
  <si>
    <t>KY3946</t>
  </si>
  <si>
    <t>LL4013</t>
  </si>
  <si>
    <t>LL4023</t>
  </si>
  <si>
    <t>LL0190</t>
  </si>
  <si>
    <t>LL3966</t>
  </si>
  <si>
    <t>LL3957</t>
  </si>
  <si>
    <t>KY3957</t>
  </si>
  <si>
    <t>LL5046</t>
  </si>
  <si>
    <t>LL3956</t>
  </si>
  <si>
    <t>LL3958</t>
  </si>
  <si>
    <t>LL3963</t>
  </si>
  <si>
    <t>LL5047</t>
  </si>
  <si>
    <t>LL3959</t>
  </si>
  <si>
    <t>LL8129</t>
  </si>
  <si>
    <t>LL5022</t>
  </si>
  <si>
    <t>LL5023</t>
  </si>
  <si>
    <t>LL4065</t>
  </si>
  <si>
    <t>LL8091</t>
  </si>
  <si>
    <t>LL8063</t>
  </si>
  <si>
    <t>LL4054</t>
  </si>
  <si>
    <t>LL5024</t>
  </si>
  <si>
    <t>LL5059</t>
  </si>
  <si>
    <t>LL8059</t>
  </si>
  <si>
    <t>LL3964</t>
  </si>
  <si>
    <t>LL4066</t>
  </si>
  <si>
    <t>LL3975</t>
  </si>
  <si>
    <t>LL3900</t>
  </si>
  <si>
    <t>LL0071</t>
  </si>
  <si>
    <t>LL8246</t>
  </si>
  <si>
    <t>LL0010</t>
  </si>
  <si>
    <t>LL4033</t>
  </si>
  <si>
    <t>LL8323</t>
  </si>
  <si>
    <t>LL0191</t>
  </si>
  <si>
    <t>LL5025</t>
  </si>
  <si>
    <t>LL3983</t>
  </si>
  <si>
    <t>KY3983</t>
  </si>
  <si>
    <t>LL3985</t>
  </si>
  <si>
    <t>LL3989</t>
  </si>
  <si>
    <t>KY3999</t>
  </si>
  <si>
    <t>LL4061</t>
  </si>
  <si>
    <t>LL3939</t>
  </si>
  <si>
    <t>LL4034</t>
  </si>
  <si>
    <t>LL4861</t>
  </si>
  <si>
    <t>LL3913</t>
  </si>
  <si>
    <t>LL4029</t>
  </si>
  <si>
    <t>LL8299</t>
  </si>
  <si>
    <t>LL8247</t>
  </si>
  <si>
    <t>LL3926</t>
  </si>
  <si>
    <t>LL3927</t>
  </si>
  <si>
    <t>LL0072</t>
  </si>
  <si>
    <t>LL4032</t>
  </si>
  <si>
    <t>KY4032</t>
  </si>
  <si>
    <t>LL5048</t>
  </si>
  <si>
    <t>LL0096</t>
  </si>
  <si>
    <t>LL4035</t>
  </si>
  <si>
    <t>LL0192</t>
  </si>
  <si>
    <t>LL0051</t>
  </si>
  <si>
    <t>LL8300</t>
  </si>
  <si>
    <t>LL8121</t>
  </si>
  <si>
    <t>LL8248</t>
  </si>
  <si>
    <t>LL4878</t>
  </si>
  <si>
    <t>LL8333</t>
  </si>
  <si>
    <t>LL8249</t>
  </si>
  <si>
    <t>LL4002</t>
  </si>
  <si>
    <t>LL8324</t>
  </si>
  <si>
    <t>LL4036</t>
  </si>
  <si>
    <t>LL8250</t>
  </si>
  <si>
    <t>LL4535</t>
  </si>
  <si>
    <t>LL4536</t>
  </si>
  <si>
    <t>KY4536</t>
  </si>
  <si>
    <t>LL4537</t>
  </si>
  <si>
    <t>LL3928</t>
  </si>
  <si>
    <t>LL4028</t>
  </si>
  <si>
    <t>LL0073</t>
  </si>
  <si>
    <t>LL8251</t>
  </si>
  <si>
    <t>LL4025</t>
  </si>
  <si>
    <t>LL0193</t>
  </si>
  <si>
    <t>LL0194</t>
  </si>
  <si>
    <t>LL4038</t>
  </si>
  <si>
    <t>LL0195</t>
  </si>
  <si>
    <t>LL0011</t>
  </si>
  <si>
    <t>LL3890</t>
  </si>
  <si>
    <t>LL3967</t>
  </si>
  <si>
    <t>LL4056</t>
  </si>
  <si>
    <t>LL8252</t>
  </si>
  <si>
    <t>LL4063</t>
  </si>
  <si>
    <t>KY4063</t>
  </si>
  <si>
    <t>LL5067</t>
  </si>
  <si>
    <t>LL3937</t>
  </si>
  <si>
    <t>LL0074</t>
  </si>
  <si>
    <t>LL0012</t>
  </si>
  <si>
    <t>LL4095</t>
  </si>
  <si>
    <t>LL8122</t>
  </si>
  <si>
    <t>LL0052</t>
  </si>
  <si>
    <t>LL4098</t>
  </si>
  <si>
    <t>LL8093</t>
  </si>
  <si>
    <t>LL0075</t>
  </si>
  <si>
    <t>LL8130</t>
  </si>
  <si>
    <t>LL3881</t>
  </si>
  <si>
    <t>LL4130</t>
  </si>
  <si>
    <t>LL4003</t>
  </si>
  <si>
    <t>LL8131</t>
  </si>
  <si>
    <t>LL4138</t>
  </si>
  <si>
    <t>LL0083</t>
  </si>
  <si>
    <t>LL4141</t>
  </si>
  <si>
    <t>LL5026</t>
  </si>
  <si>
    <t>LL5027</t>
  </si>
  <si>
    <t>LL4145</t>
  </si>
  <si>
    <t>LL4004</t>
  </si>
  <si>
    <t>LL4149</t>
  </si>
  <si>
    <t>LL3882</t>
  </si>
  <si>
    <t>LL3978</t>
  </si>
  <si>
    <t>LL3977</t>
  </si>
  <si>
    <t>LL4817</t>
  </si>
  <si>
    <t>LL3940</t>
  </si>
  <si>
    <t>LL3944</t>
  </si>
  <si>
    <t>MC2321</t>
  </si>
  <si>
    <t>LL4049</t>
  </si>
  <si>
    <t>LL3984</t>
  </si>
  <si>
    <t>LL8064</t>
  </si>
  <si>
    <t>LL3920</t>
  </si>
  <si>
    <t>LL3986</t>
  </si>
  <si>
    <t>LL8253</t>
  </si>
  <si>
    <t>LL5028</t>
  </si>
  <si>
    <t>LL8254</t>
  </si>
  <si>
    <t>LL4062</t>
  </si>
  <si>
    <t>LL4190</t>
  </si>
  <si>
    <t>LL3948</t>
  </si>
  <si>
    <t>LL5029</t>
  </si>
  <si>
    <t>LL4039</t>
  </si>
  <si>
    <t>LL3987</t>
  </si>
  <si>
    <t>LL8118</t>
  </si>
  <si>
    <t>LL4195</t>
  </si>
  <si>
    <t>LL3892</t>
  </si>
  <si>
    <t>LL4186</t>
  </si>
  <si>
    <t>LL0076</t>
  </si>
  <si>
    <t>LL0077</t>
  </si>
  <si>
    <t>LL0078</t>
  </si>
  <si>
    <t>LL8095</t>
  </si>
  <si>
    <t>LL1707</t>
  </si>
  <si>
    <t>LL8075</t>
  </si>
  <si>
    <t>LL8031</t>
  </si>
  <si>
    <t>LL0079</t>
  </si>
  <si>
    <t>LL3895</t>
  </si>
  <si>
    <t>LL4240</t>
  </si>
  <si>
    <t>KY4240</t>
  </si>
  <si>
    <t>LL3929</t>
  </si>
  <si>
    <t>LL4010</t>
  </si>
  <si>
    <t>LL4250</t>
  </si>
  <si>
    <t>LL3921</t>
  </si>
  <si>
    <t>LL4270</t>
  </si>
  <si>
    <t>LL4037</t>
  </si>
  <si>
    <t>LL4290</t>
  </si>
  <si>
    <t>LL5049</t>
  </si>
  <si>
    <t>LL0098</t>
  </si>
  <si>
    <t>LL0013</t>
  </si>
  <si>
    <t>LL4553</t>
  </si>
  <si>
    <t>LL0014</t>
  </si>
  <si>
    <t>LL0015</t>
  </si>
  <si>
    <t>LL8255</t>
  </si>
  <si>
    <t>LL0016</t>
  </si>
  <si>
    <t>LL4870</t>
  </si>
  <si>
    <t>LL0196</t>
  </si>
  <si>
    <t>LL3969</t>
  </si>
  <si>
    <t>LL4325</t>
  </si>
  <si>
    <t>LL4330</t>
  </si>
  <si>
    <t>LL4333</t>
  </si>
  <si>
    <t>LL0080</t>
  </si>
  <si>
    <t>LL8256</t>
  </si>
  <si>
    <t>LL0197</t>
  </si>
  <si>
    <t>LL4862</t>
  </si>
  <si>
    <t>LL4335</t>
  </si>
  <si>
    <t>LL8341</t>
  </si>
  <si>
    <t>LL4005</t>
  </si>
  <si>
    <t>LL8257</t>
  </si>
  <si>
    <t>LL4346</t>
  </si>
  <si>
    <t>LL3934</t>
  </si>
  <si>
    <t>LL4041</t>
  </si>
  <si>
    <t>LL3930</t>
  </si>
  <si>
    <t>KY4046</t>
  </si>
  <si>
    <t>LL8097</t>
  </si>
  <si>
    <t>LL8098</t>
  </si>
  <si>
    <t>LL4354</t>
  </si>
  <si>
    <t>LL8099</t>
  </si>
  <si>
    <t>LL8132</t>
  </si>
  <si>
    <t>LL8100</t>
  </si>
  <si>
    <t>LL4352</t>
  </si>
  <si>
    <t>LL0081</t>
  </si>
  <si>
    <t>LL4355</t>
  </si>
  <si>
    <t>LL3902</t>
  </si>
  <si>
    <t>LL0082</t>
  </si>
  <si>
    <t>LL4043</t>
  </si>
  <si>
    <t>LL8101</t>
  </si>
  <si>
    <t>LL8133</t>
  </si>
  <si>
    <t>LL3922</t>
  </si>
  <si>
    <t>LL4406</t>
  </si>
  <si>
    <t>LL0084</t>
  </si>
  <si>
    <t>LL0144</t>
  </si>
  <si>
    <t>LL4426</t>
  </si>
  <si>
    <t>LL4436</t>
  </si>
  <si>
    <t>KY4436</t>
  </si>
  <si>
    <t>MC2322</t>
  </si>
  <si>
    <t>LL8334</t>
  </si>
  <si>
    <t>LL4435</t>
  </si>
  <si>
    <t>LL8032</t>
  </si>
  <si>
    <t>LL0085</t>
  </si>
  <si>
    <t>LL4545</t>
  </si>
  <si>
    <t>LL4810</t>
  </si>
  <si>
    <t>LL4863</t>
  </si>
  <si>
    <t>LL8134</t>
  </si>
  <si>
    <t>LL4067</t>
  </si>
  <si>
    <t>LL4439</t>
  </si>
  <si>
    <t>LL5030</t>
  </si>
  <si>
    <t>LL4027</t>
  </si>
  <si>
    <t>LL5054</t>
  </si>
  <si>
    <t>LL4442</t>
  </si>
  <si>
    <t>LL4441</t>
  </si>
  <si>
    <t>LL4026</t>
  </si>
  <si>
    <t>LL4549</t>
  </si>
  <si>
    <t>LL4815</t>
  </si>
  <si>
    <t>LL3994</t>
  </si>
  <si>
    <t>LL4452</t>
  </si>
  <si>
    <t>LL8301</t>
  </si>
  <si>
    <t>LL5031</t>
  </si>
  <si>
    <t>LL1708</t>
  </si>
  <si>
    <t>LL3951</t>
  </si>
  <si>
    <t>LL5055</t>
  </si>
  <si>
    <t>LL4527</t>
  </si>
  <si>
    <t>LL8148</t>
  </si>
  <si>
    <t>LL4534</t>
  </si>
  <si>
    <t>LL8102</t>
  </si>
  <si>
    <t>LL8103</t>
  </si>
  <si>
    <t>LL0036</t>
  </si>
  <si>
    <t>LL0053</t>
  </si>
  <si>
    <t>LL0198</t>
  </si>
  <si>
    <t>LL3945</t>
  </si>
  <si>
    <t>LL8260</t>
  </si>
  <si>
    <t>LL4557</t>
  </si>
  <si>
    <t>KY4557</t>
  </si>
  <si>
    <t>LL4559</t>
  </si>
  <si>
    <t>LL4562</t>
  </si>
  <si>
    <t>LL0017</t>
  </si>
  <si>
    <t>LL4570</t>
  </si>
  <si>
    <t>KY4570</t>
  </si>
  <si>
    <t>LL0199</t>
  </si>
  <si>
    <t>LL4573</t>
  </si>
  <si>
    <t>LL4622</t>
  </si>
  <si>
    <t>LL3996</t>
  </si>
  <si>
    <t>LL8033</t>
  </si>
  <si>
    <t>LL8106</t>
  </si>
  <si>
    <t>LL3997</t>
  </si>
  <si>
    <t>LL4630</t>
  </si>
  <si>
    <t>LL0171</t>
  </si>
  <si>
    <t>LL4819</t>
  </si>
  <si>
    <t>LL0054</t>
  </si>
  <si>
    <t>LL8326</t>
  </si>
  <si>
    <t>LL4831</t>
  </si>
  <si>
    <t>LL8262</t>
  </si>
  <si>
    <t>LL4078</t>
  </si>
  <si>
    <t>LL0047</t>
  </si>
  <si>
    <t>LL8263</t>
  </si>
  <si>
    <t>LL5060</t>
  </si>
  <si>
    <t>LL3911</t>
  </si>
  <si>
    <t>LL3954</t>
  </si>
  <si>
    <t>LL3910</t>
  </si>
  <si>
    <t>LL8264</t>
  </si>
  <si>
    <t>LL4046</t>
  </si>
  <si>
    <t>LL4656</t>
  </si>
  <si>
    <t>LL8327</t>
  </si>
  <si>
    <t>LL5056</t>
  </si>
  <si>
    <t>LL3955</t>
  </si>
  <si>
    <t>LL3932</t>
  </si>
  <si>
    <t>LL4658</t>
  </si>
  <si>
    <t>LL4660</t>
  </si>
  <si>
    <t>LL8107</t>
  </si>
  <si>
    <t>LL4663</t>
  </si>
  <si>
    <t>LL4006</t>
  </si>
  <si>
    <t>LL4667</t>
  </si>
  <si>
    <t>KY4667</t>
  </si>
  <si>
    <t>LL4669</t>
  </si>
  <si>
    <t>LL4670</t>
  </si>
  <si>
    <t>LL8135</t>
  </si>
  <si>
    <t>LL4679</t>
  </si>
  <si>
    <t>KY4679</t>
  </si>
  <si>
    <t>LL4011</t>
  </si>
  <si>
    <t>LL4047</t>
  </si>
  <si>
    <t>LC9604</t>
  </si>
  <si>
    <t>LL4048</t>
  </si>
  <si>
    <t>LL4678</t>
  </si>
  <si>
    <t>LL4847</t>
  </si>
  <si>
    <t>LL4848</t>
  </si>
  <si>
    <t>LL4849</t>
  </si>
  <si>
    <t>LL4000</t>
  </si>
  <si>
    <t>LL0086</t>
  </si>
  <si>
    <t>LL0087</t>
  </si>
  <si>
    <t>LL0037</t>
  </si>
  <si>
    <t>LL3912</t>
  </si>
  <si>
    <t>LL0088</t>
  </si>
  <si>
    <t>LL4871</t>
  </si>
  <si>
    <t>LL0018</t>
  </si>
  <si>
    <t>LL8266</t>
  </si>
  <si>
    <t>LL4715</t>
  </si>
  <si>
    <t>MB1248</t>
  </si>
  <si>
    <t>LL4720</t>
  </si>
  <si>
    <t>LL8035</t>
  </si>
  <si>
    <t>LL8065</t>
  </si>
  <si>
    <t>LL4850</t>
  </si>
  <si>
    <t>LL4730</t>
  </si>
  <si>
    <t>LL4866</t>
  </si>
  <si>
    <t>LL4052</t>
  </si>
  <si>
    <t>LL4053</t>
  </si>
  <si>
    <t>LL5032</t>
  </si>
  <si>
    <t>LL5033</t>
  </si>
  <si>
    <t>LL5034</t>
  </si>
  <si>
    <t>LL8267</t>
  </si>
  <si>
    <t>LL0089</t>
  </si>
  <si>
    <t>LL4802</t>
  </si>
  <si>
    <t>LL0101</t>
  </si>
  <si>
    <t>LL0038</t>
  </si>
  <si>
    <t>LL8268</t>
  </si>
  <si>
    <t>LL5035</t>
  </si>
  <si>
    <t>LL3899</t>
  </si>
  <si>
    <t>LL0039</t>
  </si>
  <si>
    <t>LL5050</t>
  </si>
  <si>
    <t>LL3974</t>
  </si>
  <si>
    <t>LL4778</t>
  </si>
  <si>
    <t>LL8066</t>
  </si>
  <si>
    <t>LL4012</t>
  </si>
  <si>
    <t>LL4779</t>
  </si>
  <si>
    <t>LL3925</t>
  </si>
  <si>
    <t>LL8108</t>
  </si>
  <si>
    <t>LL4376</t>
  </si>
  <si>
    <t>LL5068</t>
  </si>
  <si>
    <t>LB9123</t>
  </si>
  <si>
    <t>LK0418</t>
  </si>
  <si>
    <t>LB9124</t>
  </si>
  <si>
    <t>LB9126</t>
  </si>
  <si>
    <t>LB9127</t>
  </si>
  <si>
    <t>LK0569</t>
  </si>
  <si>
    <t>LK7035</t>
  </si>
  <si>
    <t>LK7104</t>
  </si>
  <si>
    <t>LK7036</t>
  </si>
  <si>
    <t>LK7037</t>
  </si>
  <si>
    <t>LK7038</t>
  </si>
  <si>
    <t>LK7039</t>
  </si>
  <si>
    <t>LK7040</t>
  </si>
  <si>
    <t>LK7180</t>
  </si>
  <si>
    <t>LK7041</t>
  </si>
  <si>
    <t>LK5146</t>
  </si>
  <si>
    <t>LK4899</t>
  </si>
  <si>
    <t>LK4900</t>
  </si>
  <si>
    <t>LK4901</t>
  </si>
  <si>
    <t>LK4902</t>
  </si>
  <si>
    <t>LK4903</t>
  </si>
  <si>
    <t>LK4904</t>
  </si>
  <si>
    <t>LK4905</t>
  </si>
  <si>
    <t>LQ5107</t>
  </si>
  <si>
    <t>LQ5749</t>
  </si>
  <si>
    <t>LQ5423</t>
  </si>
  <si>
    <t>LQ5109</t>
  </si>
  <si>
    <t>LQ5277</t>
  </si>
  <si>
    <t>LQ5164</t>
  </si>
  <si>
    <t>LQ5425</t>
  </si>
  <si>
    <t>LK7063</t>
  </si>
  <si>
    <t>LS0120</t>
  </si>
  <si>
    <t>MB8500</t>
  </si>
  <si>
    <t>LK7061</t>
  </si>
  <si>
    <t>MQ6091</t>
  </si>
  <si>
    <t>MQ6092</t>
  </si>
  <si>
    <t>MQ6093</t>
  </si>
  <si>
    <t>MQ6094</t>
  </si>
  <si>
    <t>MC0923</t>
  </si>
  <si>
    <t>LF6533</t>
  </si>
  <si>
    <t>CR4633</t>
  </si>
  <si>
    <t>LK4897</t>
  </si>
  <si>
    <t>LF2951</t>
  </si>
  <si>
    <t>LB8850</t>
  </si>
  <si>
    <t>MB8415</t>
  </si>
  <si>
    <t>LF8415</t>
  </si>
  <si>
    <t>LH8415</t>
  </si>
  <si>
    <t>MC2108</t>
  </si>
  <si>
    <t>CR5252</t>
  </si>
  <si>
    <t>LF8031</t>
  </si>
  <si>
    <t>LF8536</t>
  </si>
  <si>
    <t>LF0049</t>
  </si>
  <si>
    <t>MC3815</t>
  </si>
  <si>
    <t>LH8416</t>
  </si>
  <si>
    <t>MC0725</t>
  </si>
  <si>
    <t>MB8035</t>
  </si>
  <si>
    <t>LF8035</t>
  </si>
  <si>
    <t>LG8013</t>
  </si>
  <si>
    <t>LG8000</t>
  </si>
  <si>
    <t>LG8010</t>
  </si>
  <si>
    <t>LG8005</t>
  </si>
  <si>
    <t>LG8003</t>
  </si>
  <si>
    <t>LG8011</t>
  </si>
  <si>
    <t>LG8001</t>
  </si>
  <si>
    <t>LG8006</t>
  </si>
  <si>
    <t>LG8004</t>
  </si>
  <si>
    <t>LG8012</t>
  </si>
  <si>
    <t>LG8002</t>
  </si>
  <si>
    <t>LG8009</t>
  </si>
  <si>
    <t>LK6346</t>
  </si>
  <si>
    <t>MC4511</t>
  </si>
  <si>
    <t>LH8856</t>
  </si>
  <si>
    <t>MC0926</t>
  </si>
  <si>
    <t>LB9225</t>
  </si>
  <si>
    <t>MC1485</t>
  </si>
  <si>
    <t>LH0202</t>
  </si>
  <si>
    <t>LK6300</t>
  </si>
  <si>
    <t>LK6668</t>
  </si>
  <si>
    <t>LK6303</t>
  </si>
  <si>
    <t>LK5378</t>
  </si>
  <si>
    <t>LK5380</t>
  </si>
  <si>
    <t>LK5379</t>
  </si>
  <si>
    <t>CR3157</t>
  </si>
  <si>
    <t>CR2919</t>
  </si>
  <si>
    <t>CR3158</t>
  </si>
  <si>
    <t>CR3159</t>
  </si>
  <si>
    <t>CR2760</t>
  </si>
  <si>
    <t>CR3918</t>
  </si>
  <si>
    <t>CR3160</t>
  </si>
  <si>
    <t>CR3021</t>
  </si>
  <si>
    <t>CR5019</t>
  </si>
  <si>
    <t>CR2758</t>
  </si>
  <si>
    <t>CR3743</t>
  </si>
  <si>
    <t>CR3161</t>
  </si>
  <si>
    <t>CR3162</t>
  </si>
  <si>
    <t>CR3022</t>
  </si>
  <si>
    <t>CR2759</t>
  </si>
  <si>
    <t>CR3164</t>
  </si>
  <si>
    <t>CR2571</t>
  </si>
  <si>
    <t>CR2572</t>
  </si>
  <si>
    <t>CR2573</t>
  </si>
  <si>
    <t>CR2574</t>
  </si>
  <si>
    <t>CR2761</t>
  </si>
  <si>
    <t>CR2921</t>
  </si>
  <si>
    <t>CR2762</t>
  </si>
  <si>
    <t>CR2575</t>
  </si>
  <si>
    <t>CR2763</t>
  </si>
  <si>
    <t>CR3165</t>
  </si>
  <si>
    <t>CR2923</t>
  </si>
  <si>
    <t>CR2764</t>
  </si>
  <si>
    <t>CR3744</t>
  </si>
  <si>
    <t>CR4057</t>
  </si>
  <si>
    <t>CR4058</t>
  </si>
  <si>
    <t>CR4059</t>
  </si>
  <si>
    <t>CR5247</t>
  </si>
  <si>
    <t>CR5248</t>
  </si>
  <si>
    <t>CR3745</t>
  </si>
  <si>
    <t>CR3746</t>
  </si>
  <si>
    <t>CR3747</t>
  </si>
  <si>
    <t>CR3748</t>
  </si>
  <si>
    <t>CR4877</t>
  </si>
  <si>
    <t>CR3749</t>
  </si>
  <si>
    <t>CR2577</t>
  </si>
  <si>
    <t>CR2576</t>
  </si>
  <si>
    <t>CR4060</t>
  </si>
  <si>
    <t>CR5020</t>
  </si>
  <si>
    <t>LQ0728</t>
  </si>
  <si>
    <t>CR3576</t>
  </si>
  <si>
    <t>CR4061</t>
  </si>
  <si>
    <t>CR4062</t>
  </si>
  <si>
    <t>CR4870</t>
  </si>
  <si>
    <t>CR3389</t>
  </si>
  <si>
    <t>CR3273</t>
  </si>
  <si>
    <t>LQ0829</t>
  </si>
  <si>
    <t>CR3392</t>
  </si>
  <si>
    <t>CR3407</t>
  </si>
  <si>
    <t>CR3275</t>
  </si>
  <si>
    <t>CR3276</t>
  </si>
  <si>
    <t>CR3577</t>
  </si>
  <si>
    <t>CR3393</t>
  </si>
  <si>
    <t>MB9150</t>
  </si>
  <si>
    <t>MC3819</t>
  </si>
  <si>
    <t>LS0121</t>
  </si>
  <si>
    <t>MQ0744</t>
  </si>
  <si>
    <t>CN5409</t>
  </si>
  <si>
    <t>MC0728</t>
  </si>
  <si>
    <t>CR4493</t>
  </si>
  <si>
    <t>LK1509</t>
  </si>
  <si>
    <t>LQ0908</t>
  </si>
  <si>
    <t>LQ3781</t>
  </si>
  <si>
    <t>CE0567</t>
  </si>
  <si>
    <t>LB9176</t>
  </si>
  <si>
    <t>CE0532</t>
  </si>
  <si>
    <t>CE0533</t>
  </si>
  <si>
    <t>CE0902</t>
  </si>
  <si>
    <t>CE0535</t>
  </si>
  <si>
    <t>CE0537</t>
  </si>
  <si>
    <t>CE1496</t>
  </si>
  <si>
    <t>CE0544</t>
  </si>
  <si>
    <t>CE1139</t>
  </si>
  <si>
    <t>CE1140</t>
  </si>
  <si>
    <t>CE1141</t>
  </si>
  <si>
    <t>CE1142</t>
  </si>
  <si>
    <t>CE1692</t>
  </si>
  <si>
    <t>CE1620</t>
  </si>
  <si>
    <t>CE1132</t>
  </si>
  <si>
    <t>CE1202</t>
  </si>
  <si>
    <t>CE0540</t>
  </si>
  <si>
    <t>CE0541</t>
  </si>
  <si>
    <t>CE0539</t>
  </si>
  <si>
    <t>CE1621</t>
  </si>
  <si>
    <t>CE0543</t>
  </si>
  <si>
    <t>CE1640</t>
  </si>
  <si>
    <t>CE0545</t>
  </si>
  <si>
    <t>CE1133</t>
  </si>
  <si>
    <t>CE0546</t>
  </si>
  <si>
    <t>CE1134</t>
  </si>
  <si>
    <t>CE0903</t>
  </si>
  <si>
    <t>CE1497</t>
  </si>
  <si>
    <t>CE0547</t>
  </si>
  <si>
    <t>CE0548</t>
  </si>
  <si>
    <t>CE0942</t>
  </si>
  <si>
    <t>CE0550</t>
  </si>
  <si>
    <t>CE1245</t>
  </si>
  <si>
    <t>CE0542</t>
  </si>
  <si>
    <t>CE1246</t>
  </si>
  <si>
    <t>CE1244</t>
  </si>
  <si>
    <t>CE1203</t>
  </si>
  <si>
    <t>CE0832</t>
  </si>
  <si>
    <t>CE0943</t>
  </si>
  <si>
    <t>CE1622</t>
  </si>
  <si>
    <t>CE0552</t>
  </si>
  <si>
    <t>CE0553</t>
  </si>
  <si>
    <t>CE0554</t>
  </si>
  <si>
    <t>CE1290</t>
  </si>
  <si>
    <t>CE0555</t>
  </si>
  <si>
    <t>CE1136</t>
  </si>
  <si>
    <t>CE1498</t>
  </si>
  <si>
    <t>CE1499</t>
  </si>
  <si>
    <t>CE0835</t>
  </si>
  <si>
    <t>CE1363</t>
  </si>
  <si>
    <t>CE0559</t>
  </si>
  <si>
    <t>CE1364</t>
  </si>
  <si>
    <t>CE0836</t>
  </si>
  <si>
    <t>CE0837</t>
  </si>
  <si>
    <t>CE0560</t>
  </si>
  <si>
    <t>CE1247</t>
  </si>
  <si>
    <t>CE1623</t>
  </si>
  <si>
    <t>CE1204</t>
  </si>
  <si>
    <t>CE1137</t>
  </si>
  <si>
    <t>CE1138</t>
  </si>
  <si>
    <t>CE1248</t>
  </si>
  <si>
    <t>CE1205</t>
  </si>
  <si>
    <t>CE0838</t>
  </si>
  <si>
    <t>CE0562</t>
  </si>
  <si>
    <t>CE0831</t>
  </si>
  <si>
    <t>LC9540</t>
  </si>
  <si>
    <t>MC0967</t>
  </si>
  <si>
    <t>CR3023</t>
  </si>
  <si>
    <t>CR3395</t>
  </si>
  <si>
    <t>CR3296</t>
  </si>
  <si>
    <t>CR3582</t>
  </si>
  <si>
    <t>CE0563</t>
  </si>
  <si>
    <t>CE0564</t>
  </si>
  <si>
    <t>CE0565</t>
  </si>
  <si>
    <t>CE0569</t>
  </si>
  <si>
    <t>CE0573</t>
  </si>
  <si>
    <t>LB9252</t>
  </si>
  <si>
    <t>LK1778</t>
  </si>
  <si>
    <t>LK3048</t>
  </si>
  <si>
    <t>LB9253</t>
  </si>
  <si>
    <t>LB9254</t>
  </si>
  <si>
    <t>LB9210</t>
  </si>
  <si>
    <t>LK6461</t>
  </si>
  <si>
    <t>LK6299</t>
  </si>
  <si>
    <t>LK6301</t>
  </si>
  <si>
    <t>LK6302</t>
  </si>
  <si>
    <t>LK6462</t>
  </si>
  <si>
    <t>LK0425</t>
  </si>
  <si>
    <t>LK1779</t>
  </si>
  <si>
    <t>LK1410</t>
  </si>
  <si>
    <t>LB9183</t>
  </si>
  <si>
    <t>LB9212</t>
  </si>
  <si>
    <t>LK4231</t>
  </si>
  <si>
    <t>LB9213</t>
  </si>
  <si>
    <t>LB9214</t>
  </si>
  <si>
    <t>LK1411</t>
  </si>
  <si>
    <t>LB9216</t>
  </si>
  <si>
    <t>LB9218</t>
  </si>
  <si>
    <t>LK7181</t>
  </si>
  <si>
    <t>LB9219</t>
  </si>
  <si>
    <t>LB9255</t>
  </si>
  <si>
    <t>LB9221</t>
  </si>
  <si>
    <t>LK0539</t>
  </si>
  <si>
    <t>LK6304</t>
  </si>
  <si>
    <t>LK6305</t>
  </si>
  <si>
    <t>LB9222</t>
  </si>
  <si>
    <t>LB9171</t>
  </si>
  <si>
    <t>LB9223</t>
  </si>
  <si>
    <t>LK7105</t>
  </si>
  <si>
    <t>LB9227</t>
  </si>
  <si>
    <t>LB9184</t>
  </si>
  <si>
    <t>LK3520</t>
  </si>
  <si>
    <t>LK6560</t>
  </si>
  <si>
    <t>LK3517</t>
  </si>
  <si>
    <t>LK3518</t>
  </si>
  <si>
    <t>LK3521</t>
  </si>
  <si>
    <t>LK5147</t>
  </si>
  <si>
    <t>LK3522</t>
  </si>
  <si>
    <t>LK3523</t>
  </si>
  <si>
    <t>LK3524</t>
  </si>
  <si>
    <t>LK3526</t>
  </si>
  <si>
    <t>LK5940</t>
  </si>
  <si>
    <t>LB9224</t>
  </si>
  <si>
    <t>LK3527</t>
  </si>
  <si>
    <t>LB9172</t>
  </si>
  <si>
    <t>CR3409</t>
  </si>
  <si>
    <t>LH8942</t>
  </si>
  <si>
    <t>LB9256</t>
  </si>
  <si>
    <t>LQ0773</t>
  </si>
  <si>
    <t>LK1413</t>
  </si>
  <si>
    <t>LB9226</t>
  </si>
  <si>
    <t>LB9262</t>
  </si>
  <si>
    <t>LB9263</t>
  </si>
  <si>
    <t>LK4372</t>
  </si>
  <si>
    <t>LK4056</t>
  </si>
  <si>
    <t>LK3235</t>
  </si>
  <si>
    <t>LK3236</t>
  </si>
  <si>
    <t>LK4057</t>
  </si>
  <si>
    <t>LK4059</t>
  </si>
  <si>
    <t>LK3237</t>
  </si>
  <si>
    <t>LK3239</t>
  </si>
  <si>
    <t>LK4060</t>
  </si>
  <si>
    <t>LK6156</t>
  </si>
  <si>
    <t>LK6951</t>
  </si>
  <si>
    <t>LK3241</t>
  </si>
  <si>
    <t>LQ6046</t>
  </si>
  <si>
    <t>LQ6034</t>
  </si>
  <si>
    <t>LK7064</t>
  </si>
  <si>
    <t>LQ0967</t>
  </si>
  <si>
    <t>LQ0968</t>
  </si>
  <si>
    <t>LQ0969</t>
  </si>
  <si>
    <t>LQ3811</t>
  </si>
  <si>
    <t>LQ3932</t>
  </si>
  <si>
    <t>CR4063</t>
  </si>
  <si>
    <t>CR4064</t>
  </si>
  <si>
    <t>CR3578</t>
  </si>
  <si>
    <t>LQ0774</t>
  </si>
  <si>
    <t>LB9265</t>
  </si>
  <si>
    <t>CR3025</t>
  </si>
  <si>
    <t>CR2580</t>
  </si>
  <si>
    <t>CR2581</t>
  </si>
  <si>
    <t>CR2582</t>
  </si>
  <si>
    <t>CR2583</t>
  </si>
  <si>
    <t>CR5408</t>
  </si>
  <si>
    <t>CR2765</t>
  </si>
  <si>
    <t>CR2766</t>
  </si>
  <si>
    <t>CR2769</t>
  </si>
  <si>
    <t>CR2584</t>
  </si>
  <si>
    <t>LK3049</t>
  </si>
  <si>
    <t>CN2393</t>
  </si>
  <si>
    <t>LH8604</t>
  </si>
  <si>
    <t>LH8930</t>
  </si>
  <si>
    <t>MC0928</t>
  </si>
  <si>
    <t>CN2394</t>
  </si>
  <si>
    <t>LH8857</t>
  </si>
  <si>
    <t>MQ0381</t>
  </si>
  <si>
    <t>MC4418</t>
  </si>
  <si>
    <t>CN5410</t>
  </si>
  <si>
    <t>CR4497</t>
  </si>
  <si>
    <t>CN5411</t>
  </si>
  <si>
    <t>CR4498</t>
  </si>
  <si>
    <t>CN5412</t>
  </si>
  <si>
    <t>CR4495</t>
  </si>
  <si>
    <t>MQ0382</t>
  </si>
  <si>
    <t>CN5413</t>
  </si>
  <si>
    <t>CR4499</t>
  </si>
  <si>
    <t>MC4419</t>
  </si>
  <si>
    <t>CN5414</t>
  </si>
  <si>
    <t>CR4496</t>
  </si>
  <si>
    <t>MQ0383</t>
  </si>
  <si>
    <t>CN5415</t>
  </si>
  <si>
    <t>CR4500</t>
  </si>
  <si>
    <t>MQ0384</t>
  </si>
  <si>
    <t>CN5416</t>
  </si>
  <si>
    <t>CR4501</t>
  </si>
  <si>
    <t>MC4420</t>
  </si>
  <si>
    <t>CN5417</t>
  </si>
  <si>
    <t>CR4502</t>
  </si>
  <si>
    <t>MQ0457</t>
  </si>
  <si>
    <t>MC1594</t>
  </si>
  <si>
    <t>LH8877</t>
  </si>
  <si>
    <t>MC1487</t>
  </si>
  <si>
    <t>CR4503</t>
  </si>
  <si>
    <t>CN5418</t>
  </si>
  <si>
    <t>CR4508</t>
  </si>
  <si>
    <t>MC0732</t>
  </si>
  <si>
    <t>MQ3202</t>
  </si>
  <si>
    <t>MQ3038</t>
  </si>
  <si>
    <t>CR4505</t>
  </si>
  <si>
    <t>MQ0557</t>
  </si>
  <si>
    <t>MQ3040</t>
  </si>
  <si>
    <t>MQ3090</t>
  </si>
  <si>
    <t>MQ3203</t>
  </si>
  <si>
    <t>MQ0745</t>
  </si>
  <si>
    <t>MQ0132</t>
  </si>
  <si>
    <t>CN5419</t>
  </si>
  <si>
    <t>CR4507</t>
  </si>
  <si>
    <t>LH8636</t>
  </si>
  <si>
    <t>MC0736</t>
  </si>
  <si>
    <t>MC1408</t>
  </si>
  <si>
    <t>MQ5119</t>
  </si>
  <si>
    <t>MQ5154</t>
  </si>
  <si>
    <t>MC0737</t>
  </si>
  <si>
    <t>CN5420</t>
  </si>
  <si>
    <t>MQ3007</t>
  </si>
  <si>
    <t>MQ0811</t>
  </si>
  <si>
    <t>MQ0812</t>
  </si>
  <si>
    <t>CN5421</t>
  </si>
  <si>
    <t>MC0739</t>
  </si>
  <si>
    <t>CR4494</t>
  </si>
  <si>
    <t>CR4504</t>
  </si>
  <si>
    <t>MQ0385</t>
  </si>
  <si>
    <t>MQ0537</t>
  </si>
  <si>
    <t>MQ0538</t>
  </si>
  <si>
    <t>MQ0539</t>
  </si>
  <si>
    <t>MQ6095</t>
  </si>
  <si>
    <t>MQ0540</t>
  </si>
  <si>
    <t>MQ0541</t>
  </si>
  <si>
    <t>MQ0542</t>
  </si>
  <si>
    <t>MC3900</t>
  </si>
  <si>
    <t>MQ0386</t>
  </si>
  <si>
    <t>LK6463</t>
  </si>
  <si>
    <t>LK7106</t>
  </si>
  <si>
    <t>LK6464</t>
  </si>
  <si>
    <t>LK6465</t>
  </si>
  <si>
    <t>LK6466</t>
  </si>
  <si>
    <t>LK6467</t>
  </si>
  <si>
    <t>LK6468</t>
  </si>
  <si>
    <t>LK6469</t>
  </si>
  <si>
    <t>LK6470</t>
  </si>
  <si>
    <t>LK6471</t>
  </si>
  <si>
    <t>LK6472</t>
  </si>
  <si>
    <t>LK6473</t>
  </si>
  <si>
    <t>LK4529</t>
  </si>
  <si>
    <t>LB9288</t>
  </si>
  <si>
    <t>LK1417</t>
  </si>
  <si>
    <t>LB9290</t>
  </si>
  <si>
    <t>LB9294</t>
  </si>
  <si>
    <t>LB9291</t>
  </si>
  <si>
    <t>LB9322</t>
  </si>
  <si>
    <t>LB9345</t>
  </si>
  <si>
    <t>LK3242</t>
  </si>
  <si>
    <t>LK3243</t>
  </si>
  <si>
    <t>LK5529</t>
  </si>
  <si>
    <t>LK6883</t>
  </si>
  <si>
    <t>LK4375</t>
  </si>
  <si>
    <t>LK6474</t>
  </si>
  <si>
    <t>LK4376</t>
  </si>
  <si>
    <t>LK4377</t>
  </si>
  <si>
    <t>LK4378</t>
  </si>
  <si>
    <t>LK4379</t>
  </si>
  <si>
    <t>LK4380</t>
  </si>
  <si>
    <t>LK4374</t>
  </si>
  <si>
    <t>LK6475</t>
  </si>
  <si>
    <t>LK5148</t>
  </si>
  <si>
    <t>LK6306</t>
  </si>
  <si>
    <t>LK6476</t>
  </si>
  <si>
    <t>LK7107</t>
  </si>
  <si>
    <t>LK7108</t>
  </si>
  <si>
    <t>LK3244</t>
  </si>
  <si>
    <t>LK3245</t>
  </si>
  <si>
    <t>LK3529</t>
  </si>
  <si>
    <t>LK4065</t>
  </si>
  <si>
    <t>LK4066</t>
  </si>
  <si>
    <t>LK5149</t>
  </si>
  <si>
    <t>LK3531</t>
  </si>
  <si>
    <t>LK5150</t>
  </si>
  <si>
    <t>LK3246</t>
  </si>
  <si>
    <t>LK3247</t>
  </si>
  <si>
    <t>LK6884</t>
  </si>
  <si>
    <t>LK6778</t>
  </si>
  <si>
    <t>LK6779</t>
  </si>
  <si>
    <t>LK6780</t>
  </si>
  <si>
    <t>LK6781</t>
  </si>
  <si>
    <t>LK6782</t>
  </si>
  <si>
    <t>LK6783</t>
  </si>
  <si>
    <t>LK6835</t>
  </si>
  <si>
    <t>LK6784</t>
  </si>
  <si>
    <t>LK6785</t>
  </si>
  <si>
    <t>LK6836</t>
  </si>
  <si>
    <t>LK7183</t>
  </si>
  <si>
    <t>LK6837</t>
  </si>
  <si>
    <t>MB9165</t>
  </si>
  <si>
    <t>MC2314</t>
  </si>
  <si>
    <t>LS0122</t>
  </si>
  <si>
    <t>LB9324</t>
  </si>
  <si>
    <t>LK4945</t>
  </si>
  <si>
    <t>LK4946</t>
  </si>
  <si>
    <t>LK5611</t>
  </si>
  <si>
    <t>LK1799</t>
  </si>
  <si>
    <t>LB9339</t>
  </si>
  <si>
    <t>CR3278</t>
  </si>
  <si>
    <t>LK3215</t>
  </si>
  <si>
    <t>CR3704</t>
  </si>
  <si>
    <t>LB9311</t>
  </si>
  <si>
    <t>CR2585</t>
  </si>
  <si>
    <t>MC0944</t>
  </si>
  <si>
    <t>CR2587</t>
  </si>
  <si>
    <t>LS0123</t>
  </si>
  <si>
    <t>LQ0913</t>
  </si>
  <si>
    <t>CR3027</t>
  </si>
  <si>
    <t>LB9320</t>
  </si>
  <si>
    <t>LK1007</t>
  </si>
  <si>
    <t>LB9334</t>
  </si>
  <si>
    <t>LB9316</t>
  </si>
  <si>
    <t>LB9268</t>
  </si>
  <si>
    <t>LK1428</t>
  </si>
  <si>
    <t>LK6348</t>
  </si>
  <si>
    <t>LK4069</t>
  </si>
  <si>
    <t>LK4070</t>
  </si>
  <si>
    <t>LK4071</t>
  </si>
  <si>
    <t>LK4072</t>
  </si>
  <si>
    <t>LK4073</t>
  </si>
  <si>
    <t>LK4075</t>
  </si>
  <si>
    <t>LK4067</t>
  </si>
  <si>
    <t>LK4718</t>
  </si>
  <si>
    <t>LK4076</t>
  </si>
  <si>
    <t>LK4068</t>
  </si>
  <si>
    <t>LK6216</t>
  </si>
  <si>
    <t>LK6217</t>
  </si>
  <si>
    <t>LK6830</t>
  </si>
  <si>
    <t>LK6354</t>
  </si>
  <si>
    <t>CN2395</t>
  </si>
  <si>
    <t>MC2855</t>
  </si>
  <si>
    <t>CN5422</t>
  </si>
  <si>
    <t>MC1409</t>
  </si>
  <si>
    <t>CR4510</t>
  </si>
  <si>
    <t>LH8673</t>
  </si>
  <si>
    <t>CN5423</t>
  </si>
  <si>
    <t>MC3932</t>
  </si>
  <si>
    <t>CR4511</t>
  </si>
  <si>
    <t>MC0742</t>
  </si>
  <si>
    <t>CN5424</t>
  </si>
  <si>
    <t>LQ0336</t>
  </si>
  <si>
    <t>MQ0387</t>
  </si>
  <si>
    <t>CN5425</t>
  </si>
  <si>
    <t>CE1057</t>
  </si>
  <si>
    <t>LH8671</t>
  </si>
  <si>
    <t>MC1411</t>
  </si>
  <si>
    <t>MC2192</t>
  </si>
  <si>
    <t>CN5426</t>
  </si>
  <si>
    <t>CR4514</t>
  </si>
  <si>
    <t>CE0575</t>
  </si>
  <si>
    <t>LK1785</t>
  </si>
  <si>
    <t>LB9274</t>
  </si>
  <si>
    <t>LK2011</t>
  </si>
  <si>
    <t>LB9306</t>
  </si>
  <si>
    <t>LK4080</t>
  </si>
  <si>
    <t>LK4382</t>
  </si>
  <si>
    <t>LK4082</t>
  </si>
  <si>
    <t>LK4083</t>
  </si>
  <si>
    <t>LK4085</t>
  </si>
  <si>
    <t>LK4086</t>
  </si>
  <si>
    <t>LK4087</t>
  </si>
  <si>
    <t>LK4088</t>
  </si>
  <si>
    <t>LK4089</t>
  </si>
  <si>
    <t>LK4090</t>
  </si>
  <si>
    <t>LK4091</t>
  </si>
  <si>
    <t>LK4541</t>
  </si>
  <si>
    <t>LK4542</t>
  </si>
  <si>
    <t>LK4092</t>
  </si>
  <si>
    <t>LK4093</t>
  </si>
  <si>
    <t>LK4094</t>
  </si>
  <si>
    <t>LK4096</t>
  </si>
  <si>
    <t>LK4097</t>
  </si>
  <si>
    <t>LK3536</t>
  </si>
  <si>
    <t>LK4099</t>
  </si>
  <si>
    <t>LB9355</t>
  </si>
  <si>
    <t>LQ3933</t>
  </si>
  <si>
    <t>LK7184</t>
  </si>
  <si>
    <t>LK7185</t>
  </si>
  <si>
    <t>LK7186</t>
  </si>
  <si>
    <t>LK7187</t>
  </si>
  <si>
    <t>LK7188</t>
  </si>
  <si>
    <t>LK7189</t>
  </si>
  <si>
    <t>LK7190</t>
  </si>
  <si>
    <t>LK7191</t>
  </si>
  <si>
    <t>LK7192</t>
  </si>
  <si>
    <t>LK7193</t>
  </si>
  <si>
    <t>LK1010</t>
  </si>
  <si>
    <t>LK1077</t>
  </si>
  <si>
    <t>LK1011</t>
  </si>
  <si>
    <t>LK4104</t>
  </si>
  <si>
    <t>LK4544</t>
  </si>
  <si>
    <t>LK5151</t>
  </si>
  <si>
    <t>LK1012</t>
  </si>
  <si>
    <t>LK4383</t>
  </si>
  <si>
    <t>LK3538</t>
  </si>
  <si>
    <t>LK4545</t>
  </si>
  <si>
    <t>LK3054</t>
  </si>
  <si>
    <t>LK5530</t>
  </si>
  <si>
    <t>LK1015</t>
  </si>
  <si>
    <t>LK1016</t>
  </si>
  <si>
    <t>LK6885</t>
  </si>
  <si>
    <t>LK6477</t>
  </si>
  <si>
    <t>LK6886</t>
  </si>
  <si>
    <t>LK7109</t>
  </si>
  <si>
    <t>LK6478</t>
  </si>
  <si>
    <t>LK6479</t>
  </si>
  <si>
    <t>LK6480</t>
  </si>
  <si>
    <t>LK4384</t>
  </si>
  <si>
    <t>LK1790</t>
  </si>
  <si>
    <t>LK4546</t>
  </si>
  <si>
    <t>LK1791</t>
  </si>
  <si>
    <t>LK4547</t>
  </si>
  <si>
    <t>LK4548</t>
  </si>
  <si>
    <t>LK7110</t>
  </si>
  <si>
    <t>LK4387</t>
  </si>
  <si>
    <t>LK4385</t>
  </si>
  <si>
    <t>LK1792</t>
  </si>
  <si>
    <t>LK1793</t>
  </si>
  <si>
    <t>LK4386</t>
  </si>
  <si>
    <t>LK1795</t>
  </si>
  <si>
    <t>LK1796</t>
  </si>
  <si>
    <t>LK3539</t>
  </si>
  <si>
    <t>LK6157</t>
  </si>
  <si>
    <t>LK4549</t>
  </si>
  <si>
    <t>LK5612</t>
  </si>
  <si>
    <t>LK1797</t>
  </si>
  <si>
    <t>LK5531</t>
  </si>
  <si>
    <t>LK3554</t>
  </si>
  <si>
    <t>LK4550</t>
  </si>
  <si>
    <t>LK5385</t>
  </si>
  <si>
    <t>LK5392</t>
  </si>
  <si>
    <t>LK5397</t>
  </si>
  <si>
    <t>LK5398</t>
  </si>
  <si>
    <t>LB9309</t>
  </si>
  <si>
    <t>LK5955</t>
  </si>
  <si>
    <t>LK5956</t>
  </si>
  <si>
    <t>LK5957</t>
  </si>
  <si>
    <t>LK6841</t>
  </si>
  <si>
    <t>LK5958</t>
  </si>
  <si>
    <t>LK5959</t>
  </si>
  <si>
    <t>LK5960</t>
  </si>
  <si>
    <t>LK5961</t>
  </si>
  <si>
    <t>LK1430</t>
  </si>
  <si>
    <t>LB9278</t>
  </si>
  <si>
    <t>LB9336</t>
  </si>
  <si>
    <t>LB9343</t>
  </si>
  <si>
    <t>LK7111</t>
  </si>
  <si>
    <t>LK6952</t>
  </si>
  <si>
    <t>LK6953</t>
  </si>
  <si>
    <t>LK6954</t>
  </si>
  <si>
    <t>LK6955</t>
  </si>
  <si>
    <t>LK6956</t>
  </si>
  <si>
    <t>LK7112</t>
  </si>
  <si>
    <t>LK7113</t>
  </si>
  <si>
    <t>LK6957</t>
  </si>
  <si>
    <t>LK6958</t>
  </si>
  <si>
    <t>LK7114</t>
  </si>
  <si>
    <t>LK6959</t>
  </si>
  <si>
    <t>LK6960</t>
  </si>
  <si>
    <t>LK6638</t>
  </si>
  <si>
    <t>LK6961</t>
  </si>
  <si>
    <t>LK4077</t>
  </si>
  <si>
    <t>LK4078</t>
  </si>
  <si>
    <t>LK4540</t>
  </si>
  <si>
    <t>LK4079</t>
  </si>
  <si>
    <t>LK4719</t>
  </si>
  <si>
    <t>LK7194</t>
  </si>
  <si>
    <t>LK7195</t>
  </si>
  <si>
    <t>LK7196</t>
  </si>
  <si>
    <t>LK7197</t>
  </si>
  <si>
    <t>LK7170</t>
  </si>
  <si>
    <t>LK7198</t>
  </si>
  <si>
    <t>LK7171</t>
  </si>
  <si>
    <t>LK7172</t>
  </si>
  <si>
    <t>LK5830</t>
  </si>
  <si>
    <t>LK5838</t>
  </si>
  <si>
    <t>LK7173</t>
  </si>
  <si>
    <t>LK0438</t>
  </si>
  <si>
    <t>LK1810</t>
  </si>
  <si>
    <t>LK1811</t>
  </si>
  <si>
    <t>LK0440</t>
  </si>
  <si>
    <t>LB9485</t>
  </si>
  <si>
    <t>LK5155</t>
  </si>
  <si>
    <t>LK5613</t>
  </si>
  <si>
    <t>LK6312</t>
  </si>
  <si>
    <t>LK1469</t>
  </si>
  <si>
    <t>LK5978</t>
  </si>
  <si>
    <t>LK5533</t>
  </si>
  <si>
    <t>LK6504</t>
  </si>
  <si>
    <t>LK6505</t>
  </si>
  <si>
    <t>LB9347</t>
  </si>
  <si>
    <t>LB9584</t>
  </si>
  <si>
    <t>LK4909</t>
  </si>
  <si>
    <t>LB9565</t>
  </si>
  <si>
    <t>LK3101</t>
  </si>
  <si>
    <t>LK1056</t>
  </si>
  <si>
    <t>LK1057</t>
  </si>
  <si>
    <t>LK5534</t>
  </si>
  <si>
    <t>LK6673</t>
  </si>
  <si>
    <t>MC1489</t>
  </si>
  <si>
    <t>LB9576</t>
  </si>
  <si>
    <t>LK6980</t>
  </si>
  <si>
    <t>LK6185</t>
  </si>
  <si>
    <t>LK4553</t>
  </si>
  <si>
    <t>LK4729</t>
  </si>
  <si>
    <t>LK5977</t>
  </si>
  <si>
    <t>LK4554</t>
  </si>
  <si>
    <t>LK6186</t>
  </si>
  <si>
    <t>LK4721</t>
  </si>
  <si>
    <t>LK4555</t>
  </si>
  <si>
    <t>LK6310</t>
  </si>
  <si>
    <t>LK4556</t>
  </si>
  <si>
    <t>LB9582</t>
  </si>
  <si>
    <t>LK6311</t>
  </si>
  <si>
    <t>LK4911</t>
  </si>
  <si>
    <t>LK4557</t>
  </si>
  <si>
    <t>LK5979</t>
  </si>
  <si>
    <t>LK5980</t>
  </si>
  <si>
    <t>LK5981</t>
  </si>
  <si>
    <t>LK5982</t>
  </si>
  <si>
    <t>LK5983</t>
  </si>
  <si>
    <t>LK6184</t>
  </si>
  <si>
    <t>LK5985</t>
  </si>
  <si>
    <t>LK5614</t>
  </si>
  <si>
    <t>LK4558</t>
  </si>
  <si>
    <t>LK5157</t>
  </si>
  <si>
    <t>LK4560</t>
  </si>
  <si>
    <t>LK5615</t>
  </si>
  <si>
    <t>LK6672</t>
  </si>
  <si>
    <t>LK4733</t>
  </si>
  <si>
    <t>LK4722</t>
  </si>
  <si>
    <t>LK5159</t>
  </si>
  <si>
    <t>LK4910</t>
  </si>
  <si>
    <t>LK5617</t>
  </si>
  <si>
    <t>LK4723</t>
  </si>
  <si>
    <t>LK4734</t>
  </si>
  <si>
    <t>LK4912</t>
  </si>
  <si>
    <t>LK6314</t>
  </si>
  <si>
    <t>LK7116</t>
  </si>
  <si>
    <t>LK6979</t>
  </si>
  <si>
    <t>LK4562</t>
  </si>
  <si>
    <t>LK6187</t>
  </si>
  <si>
    <t>LK6315</t>
  </si>
  <si>
    <t>LK4725</t>
  </si>
  <si>
    <t>LK4726</t>
  </si>
  <si>
    <t>LK5618</t>
  </si>
  <si>
    <t>LK4735</t>
  </si>
  <si>
    <t>LK4727</t>
  </si>
  <si>
    <t>LK4728</t>
  </si>
  <si>
    <t>LB9577</t>
  </si>
  <si>
    <t>LB9578</t>
  </si>
  <si>
    <t>LK5986</t>
  </si>
  <si>
    <t>MQ0136</t>
  </si>
  <si>
    <t>LK6188</t>
  </si>
  <si>
    <t>LK6189</t>
  </si>
  <si>
    <t>LK6190</t>
  </si>
  <si>
    <t>LK0535</t>
  </si>
  <si>
    <t>LK5299</t>
  </si>
  <si>
    <t>LB0505</t>
  </si>
  <si>
    <t>MB9200</t>
  </si>
  <si>
    <t>LS0124</t>
  </si>
  <si>
    <t>MC3820</t>
  </si>
  <si>
    <t>LB6139</t>
  </si>
  <si>
    <t>LB9391</t>
  </si>
  <si>
    <t>LS0098</t>
  </si>
  <si>
    <t>LS0099</t>
  </si>
  <si>
    <t>LB9392</t>
  </si>
  <si>
    <t>LS0100</t>
  </si>
  <si>
    <t>LS0101</t>
  </si>
  <si>
    <t>CN5437</t>
  </si>
  <si>
    <t>CR4526</t>
  </si>
  <si>
    <t>MC4259</t>
  </si>
  <si>
    <t>LL8010</t>
  </si>
  <si>
    <t>LL0055</t>
  </si>
  <si>
    <t>LL5051</t>
  </si>
  <si>
    <t>LL8067</t>
  </si>
  <si>
    <t>LL2615</t>
  </si>
  <si>
    <t>KY2615</t>
  </si>
  <si>
    <t>LL8068</t>
  </si>
  <si>
    <t>LL2600</t>
  </si>
  <si>
    <t>LL2625</t>
  </si>
  <si>
    <t>LL0102</t>
  </si>
  <si>
    <t>LL8335</t>
  </si>
  <si>
    <t>LL8036</t>
  </si>
  <si>
    <t>LL0146</t>
  </si>
  <si>
    <t>LL5065</t>
  </si>
  <si>
    <t>LL2641</t>
  </si>
  <si>
    <t>LL0900</t>
  </si>
  <si>
    <t>LL8044</t>
  </si>
  <si>
    <t>LL2640</t>
  </si>
  <si>
    <t>LL2647</t>
  </si>
  <si>
    <t>LL4877</t>
  </si>
  <si>
    <t>LL8069</t>
  </si>
  <si>
    <t>LL8002</t>
  </si>
  <si>
    <t>LK1060</t>
  </si>
  <si>
    <t>CR4907</t>
  </si>
  <si>
    <t>LC9190</t>
  </si>
  <si>
    <t>MQ0746</t>
  </si>
  <si>
    <t>MQ0747</t>
  </si>
  <si>
    <t>LF9105</t>
  </si>
  <si>
    <t>CR5262</t>
  </si>
  <si>
    <t>CR5263</t>
  </si>
  <si>
    <t>CR5082</t>
  </si>
  <si>
    <t>CR5084</t>
  </si>
  <si>
    <t>CR5097</t>
  </si>
  <si>
    <t>CR5265</t>
  </si>
  <si>
    <t>CR4772</t>
  </si>
  <si>
    <t>CR4634</t>
  </si>
  <si>
    <t>CR5079</t>
  </si>
  <si>
    <t>CR4657</t>
  </si>
  <si>
    <t>CR4658</t>
  </si>
  <si>
    <t>CR4659</t>
  </si>
  <si>
    <t>CR4660</t>
  </si>
  <si>
    <t>CR4636</t>
  </si>
  <si>
    <t>CR4664</t>
  </si>
  <si>
    <t>CR5083</t>
  </si>
  <si>
    <t>CR4666</t>
  </si>
  <si>
    <t>CR4637</t>
  </si>
  <si>
    <t>CR4638</t>
  </si>
  <si>
    <t>CR5085</t>
  </si>
  <si>
    <t>CR5086</t>
  </si>
  <si>
    <t>CR4667</t>
  </si>
  <si>
    <t>CR5087</t>
  </si>
  <si>
    <t>CR5088</t>
  </si>
  <si>
    <t>CR4669</t>
  </si>
  <si>
    <t>CR4671</t>
  </si>
  <si>
    <t>CR4672</t>
  </si>
  <si>
    <t>CR5089</t>
  </si>
  <si>
    <t>CR4673</t>
  </si>
  <si>
    <t>CR4674</t>
  </si>
  <si>
    <t>CR5090</t>
  </si>
  <si>
    <t>CR5091</t>
  </si>
  <si>
    <t>CR4675</t>
  </si>
  <si>
    <t>CR4676</t>
  </si>
  <si>
    <t>CR4677</t>
  </si>
  <si>
    <t>CR4678</t>
  </si>
  <si>
    <t>CR4639</t>
  </si>
  <si>
    <t>CR4640</t>
  </si>
  <si>
    <t>CR4679</t>
  </si>
  <si>
    <t>CR5094</t>
  </si>
  <si>
    <t>CR4681</t>
  </si>
  <si>
    <t>CR4682</t>
  </si>
  <si>
    <t>CR4683</t>
  </si>
  <si>
    <t>CR4684</t>
  </si>
  <si>
    <t>CR5096</t>
  </si>
  <si>
    <t>CR4685</t>
  </si>
  <si>
    <t>CR4686</t>
  </si>
  <si>
    <t>CR4687</t>
  </si>
  <si>
    <t>CR4688</t>
  </si>
  <si>
    <t>CR4769</t>
  </si>
  <si>
    <t>CR4690</t>
  </si>
  <si>
    <t>CR4691</t>
  </si>
  <si>
    <t>CR4901</t>
  </si>
  <si>
    <t>CR4692</t>
  </si>
  <si>
    <t>CR4693</t>
  </si>
  <si>
    <t>CR4641</t>
  </si>
  <si>
    <t>CR4695</t>
  </si>
  <si>
    <t>CR4696</t>
  </si>
  <si>
    <t>CR4697</t>
  </si>
  <si>
    <t>CR4698</t>
  </si>
  <si>
    <t>CR4699</t>
  </si>
  <si>
    <t>CR5049</t>
  </si>
  <si>
    <t>CR4642</t>
  </si>
  <si>
    <t>CR4700</t>
  </si>
  <si>
    <t>CR4702</t>
  </si>
  <si>
    <t>CR4703</t>
  </si>
  <si>
    <t>CR5125</t>
  </si>
  <si>
    <t>CR4705</t>
  </si>
  <si>
    <t>CR4643</t>
  </si>
  <si>
    <t>CR4707</t>
  </si>
  <si>
    <t>CR4708</t>
  </si>
  <si>
    <t>CR4709</t>
  </si>
  <si>
    <t>CR4711</t>
  </si>
  <si>
    <t>CR4713</t>
  </si>
  <si>
    <t>CR5100</t>
  </si>
  <si>
    <t>CR4714</t>
  </si>
  <si>
    <t>CR4715</t>
  </si>
  <si>
    <t>CR4716</t>
  </si>
  <si>
    <t>CR5101</t>
  </si>
  <si>
    <t>CR4644</t>
  </si>
  <si>
    <t>CR4645</t>
  </si>
  <si>
    <t>CR4646</t>
  </si>
  <si>
    <t>CR5102</t>
  </si>
  <si>
    <t>CR4718</t>
  </si>
  <si>
    <t>CR4719</t>
  </si>
  <si>
    <t>CR4647</t>
  </si>
  <si>
    <t>CR5043</t>
  </si>
  <si>
    <t>CR4720</t>
  </si>
  <si>
    <t>CR4721</t>
  </si>
  <si>
    <t>CR4902</t>
  </si>
  <si>
    <t>CR5044</t>
  </si>
  <si>
    <t>CR4723</t>
  </si>
  <si>
    <t>CR4724</t>
  </si>
  <si>
    <t>CR4725</t>
  </si>
  <si>
    <t>CR4726</t>
  </si>
  <si>
    <t>CR4903</t>
  </si>
  <si>
    <t>CR4648</t>
  </si>
  <si>
    <t>CR4649</t>
  </si>
  <si>
    <t>CR4727</t>
  </si>
  <si>
    <t>CR4728</t>
  </si>
  <si>
    <t>CR4729</t>
  </si>
  <si>
    <t>CR5103</t>
  </si>
  <si>
    <t>CR4879</t>
  </si>
  <si>
    <t>CR4731</t>
  </si>
  <si>
    <t>CR5107</t>
  </si>
  <si>
    <t>CR5060</t>
  </si>
  <si>
    <t>CR4732</t>
  </si>
  <si>
    <t>CR4733</t>
  </si>
  <si>
    <t>CR4650</t>
  </si>
  <si>
    <t>CR5045</t>
  </si>
  <si>
    <t>CR4735</t>
  </si>
  <si>
    <t>CR4737</t>
  </si>
  <si>
    <t>CR5112</t>
  </si>
  <si>
    <t>CR5048</t>
  </si>
  <si>
    <t>CR4740</t>
  </si>
  <si>
    <t>CR4741</t>
  </si>
  <si>
    <t>CR4742</t>
  </si>
  <si>
    <t>CR4744</t>
  </si>
  <si>
    <t>CR5113</t>
  </si>
  <si>
    <t>CR4745</t>
  </si>
  <si>
    <t>CR4746</t>
  </si>
  <si>
    <t>CR4747</t>
  </si>
  <si>
    <t>CR4651</t>
  </si>
  <si>
    <t>CR4748</t>
  </si>
  <si>
    <t>CR4749</t>
  </si>
  <si>
    <t>CR4750</t>
  </si>
  <si>
    <t>CR4751</t>
  </si>
  <si>
    <t>CR5115</t>
  </si>
  <si>
    <t>CR4753</t>
  </si>
  <si>
    <t>CR5116</t>
  </si>
  <si>
    <t>CR5124</t>
  </si>
  <si>
    <t>CR4755</t>
  </si>
  <si>
    <t>CR4756</t>
  </si>
  <si>
    <t>CR4757</t>
  </si>
  <si>
    <t>CR5117</t>
  </si>
  <si>
    <t>CR5123</t>
  </si>
  <si>
    <t>CR4652</t>
  </si>
  <si>
    <t>CR5118</t>
  </si>
  <si>
    <t>CR4759</t>
  </si>
  <si>
    <t>CR5119</t>
  </si>
  <si>
    <t>CR5284</t>
  </si>
  <si>
    <t>CR5106</t>
  </si>
  <si>
    <t>CR5110</t>
  </si>
  <si>
    <t>CR5111</t>
  </si>
  <si>
    <t>CR5266</t>
  </si>
  <si>
    <t>LF9103</t>
  </si>
  <si>
    <t>MC0930</t>
  </si>
  <si>
    <t>LK7199</t>
  </si>
  <si>
    <t>LB9540</t>
  </si>
  <si>
    <t>LB9544</t>
  </si>
  <si>
    <t>LB9545</t>
  </si>
  <si>
    <t>LK1819</t>
  </si>
  <si>
    <t>LB9537</t>
  </si>
  <si>
    <t>LB9547</t>
  </si>
  <si>
    <t>LB9548</t>
  </si>
  <si>
    <t>LK4398</t>
  </si>
  <si>
    <t>LK4399</t>
  </si>
  <si>
    <t>LB9422</t>
  </si>
  <si>
    <t>LK6528</t>
  </si>
  <si>
    <t>LK1061</t>
  </si>
  <si>
    <t>LB9481</t>
  </si>
  <si>
    <t>LK1062</t>
  </si>
  <si>
    <t>LB9437</t>
  </si>
  <si>
    <t>LK6507</t>
  </si>
  <si>
    <t>LK6196</t>
  </si>
  <si>
    <t>LK4438</t>
  </si>
  <si>
    <t>LK4563</t>
  </si>
  <si>
    <t>LK4439</t>
  </si>
  <si>
    <t>LK6317</t>
  </si>
  <si>
    <t>LK6318</t>
  </si>
  <si>
    <t>LK6508</t>
  </si>
  <si>
    <t>LK5988</t>
  </si>
  <si>
    <t>LK6509</t>
  </si>
  <si>
    <t>LK5989</t>
  </si>
  <si>
    <t>LB9459</t>
  </si>
  <si>
    <t>LB9464</t>
  </si>
  <si>
    <t>LB9463</t>
  </si>
  <si>
    <t>LB9462</t>
  </si>
  <si>
    <t>LB9482</t>
  </si>
  <si>
    <t>LB9466</t>
  </si>
  <si>
    <t>LB9465</t>
  </si>
  <si>
    <t>LB9467</t>
  </si>
  <si>
    <t>LB9460</t>
  </si>
  <si>
    <t>LB9552</t>
  </si>
  <si>
    <t>MC2315</t>
  </si>
  <si>
    <t>LS0125</t>
  </si>
  <si>
    <t>LK6981</t>
  </si>
  <si>
    <t>LK6831</t>
  </si>
  <si>
    <t>LB9556</t>
  </si>
  <si>
    <t>LK1821</t>
  </si>
  <si>
    <t>LK1841</t>
  </si>
  <si>
    <t>LK1822</t>
  </si>
  <si>
    <t>LK1900</t>
  </si>
  <si>
    <t>LK1823</t>
  </si>
  <si>
    <t>LK1824</t>
  </si>
  <si>
    <t>LK1825</t>
  </si>
  <si>
    <t>LK1826</t>
  </si>
  <si>
    <t>LK1827</t>
  </si>
  <si>
    <t>LB9532</t>
  </si>
  <si>
    <t>LK6737</t>
  </si>
  <si>
    <t>LK6738</t>
  </si>
  <si>
    <t>LK6739</t>
  </si>
  <si>
    <t>LK6740</t>
  </si>
  <si>
    <t>LK6741</t>
  </si>
  <si>
    <t>LK6742</t>
  </si>
  <si>
    <t>LK6743</t>
  </si>
  <si>
    <t>LK6736</t>
  </si>
  <si>
    <t>LK6316</t>
  </si>
  <si>
    <t>LK2497</t>
  </si>
  <si>
    <t>LK4737</t>
  </si>
  <si>
    <t>LK2496</t>
  </si>
  <si>
    <t>LK1831</t>
  </si>
  <si>
    <t>LB9538</t>
  </si>
  <si>
    <t>LK6674</t>
  </si>
  <si>
    <t>LK3110</t>
  </si>
  <si>
    <t>LK3111</t>
  </si>
  <si>
    <t>LK3112</t>
  </si>
  <si>
    <t>LK5426</t>
  </si>
  <si>
    <t>LK4250</t>
  </si>
  <si>
    <t>LK4251</t>
  </si>
  <si>
    <t>LK5427</t>
  </si>
  <si>
    <t>LK4249</t>
  </si>
  <si>
    <t>LK7044</t>
  </si>
  <si>
    <t>LK4400</t>
  </si>
  <si>
    <t>LK4252</t>
  </si>
  <si>
    <t>LK5536</t>
  </si>
  <si>
    <t>LK1832</t>
  </si>
  <si>
    <t>LK6506</t>
  </si>
  <si>
    <t>LK0536</t>
  </si>
  <si>
    <t>LB9539</t>
  </si>
  <si>
    <t>LK6218</t>
  </si>
  <si>
    <t>LK6982</t>
  </si>
  <si>
    <t>LK4738</t>
  </si>
  <si>
    <t>LB9432</t>
  </si>
  <si>
    <t>LK4404</t>
  </si>
  <si>
    <t>LB9630</t>
  </si>
  <si>
    <t>LK4564</t>
  </si>
  <si>
    <t>LK4565</t>
  </si>
  <si>
    <t>LK7065</t>
  </si>
  <si>
    <t>LK6351</t>
  </si>
  <si>
    <t>LB9585</t>
  </si>
  <si>
    <t>LB9664</t>
  </si>
  <si>
    <t>LB9665</t>
  </si>
  <si>
    <t>LB9933</t>
  </si>
  <si>
    <t>LB9666</t>
  </si>
  <si>
    <t>LB9471</t>
  </si>
  <si>
    <t>LB9668</t>
  </si>
  <si>
    <t>LB9670</t>
  </si>
  <si>
    <t>LB9523</t>
  </si>
  <si>
    <t>LB9427</t>
  </si>
  <si>
    <t>LB9672</t>
  </si>
  <si>
    <t>LB9428</t>
  </si>
  <si>
    <t>LB9660</t>
  </si>
  <si>
    <t>LK1473</t>
  </si>
  <si>
    <t>LK1474</t>
  </si>
  <si>
    <t>LK5415</t>
  </si>
  <si>
    <t>LB9675</t>
  </si>
  <si>
    <t>LK5417</t>
  </si>
  <si>
    <t>LB9684</t>
  </si>
  <si>
    <t>LK2498</t>
  </si>
  <si>
    <t>LK4566</t>
  </si>
  <si>
    <t>LK5537</t>
  </si>
  <si>
    <t>LK4144</t>
  </si>
  <si>
    <t>LK4405</t>
  </si>
  <si>
    <t>LK4145</t>
  </si>
  <si>
    <t>LK5619</t>
  </si>
  <si>
    <t>LK4567</t>
  </si>
  <si>
    <t>LK5990</t>
  </si>
  <si>
    <t>LK4146</t>
  </si>
  <si>
    <t>LK4406</t>
  </si>
  <si>
    <t>LK5538</t>
  </si>
  <si>
    <t>LK4147</t>
  </si>
  <si>
    <t>LK5620</t>
  </si>
  <si>
    <t>LK5623</t>
  </si>
  <si>
    <t>LK4148</t>
  </si>
  <si>
    <t>CR3031</t>
  </si>
  <si>
    <t>CR3032</t>
  </si>
  <si>
    <t>LK6561</t>
  </si>
  <si>
    <t>LK2730</t>
  </si>
  <si>
    <t>LK7117</t>
  </si>
  <si>
    <t>LK3114</t>
  </si>
  <si>
    <t>LK6562</t>
  </si>
  <si>
    <t>LK3115</t>
  </si>
  <si>
    <t>LK3116</t>
  </si>
  <si>
    <t>LK3117</t>
  </si>
  <si>
    <t>LK6531</t>
  </si>
  <si>
    <t>LK6532</t>
  </si>
  <si>
    <t>LK6533</t>
  </si>
  <si>
    <t>LK6534</t>
  </si>
  <si>
    <t>LK1069</t>
  </si>
  <si>
    <t>LK2500</t>
  </si>
  <si>
    <t>LK7118</t>
  </si>
  <si>
    <t>LK7119</t>
  </si>
  <si>
    <t>LK7120</t>
  </si>
  <si>
    <t>LK7200</t>
  </si>
  <si>
    <t>LK7121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</si>
</sst>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14" fontId="0" fillId="0" borderId="0" xfId="0" applyNumberFormat="1"/>
    <xf numFmtId="0" fontId="0" fillId="0" borderId="0" xfId="0" applyProtection="1">
      <protection locked="0"/>
    </xf>
    <xf numFmtId="0" fontId="1" fillId="0" borderId="0" xfId="0" applyFont="1"/>
    <xf numFmtId="0" fontId="1" fillId="0" borderId="0" xfId="0" applyFont="1" applyAlignment="1" applyProtection="1">
      <alignment horizontal="left"/>
      <protection locked="0"/>
    </xf>
    <xf numFmtId="0" fontId="1" fillId="0" borderId="0" xfId="0" applyFont="1" applyAlignment="1">
      <alignment horizontal="left"/>
    </xf>
    <xf numFmtId="0" fontId="0" fillId="0" borderId="0" xfId="0" applyAlignment="1" applyProtection="1">
      <alignment wrapText="1"/>
      <protection locked="0"/>
    </xf>
    <xf numFmtId="0" fontId="1" fillId="2" borderId="1" xfId="0" applyFont="1" applyFill="1" applyBorder="1" applyAlignment="1" applyProtection="1">
      <alignment wrapText="1"/>
      <protection locked="0"/>
    </xf>
    <xf numFmtId="0" fontId="0" fillId="0" borderId="1" xfId="0" applyBorder="1" applyAlignment="1" applyProtection="1">
      <alignment wrapText="1"/>
      <protection locked="0"/>
    </xf>
    <xf numFmtId="0" fontId="2" fillId="0" borderId="0" xfId="0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 applyAlignment="1">
      <alignment horizontal="left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122928</xdr:rowOff>
    </xdr:from>
    <xdr:to>
      <xdr:col>2</xdr:col>
      <xdr:colOff>169545</xdr:colOff>
      <xdr:row>4</xdr:row>
      <xdr:rowOff>17144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0C6583-B8C6-44E7-9D9F-C54272505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2928"/>
          <a:ext cx="2886075" cy="6124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0BCE9-0B45-4664-B0EE-94D62C66488A}">
  <dimension ref="A5:F13633"/>
  <sheetViews>
    <sheetView tabSelected="1" zoomScaleNormal="100" workbookViewId="0">
      <pane ySplit="20" topLeftCell="A21" activePane="bottomLeft" state="frozen"/>
      <selection pane="bottomLeft" activeCell="D21" sqref="D21"/>
    </sheetView>
  </sheetViews>
  <sheetFormatPr defaultRowHeight="14.4" x14ac:dyDescent="0.3"/>
  <cols>
    <col min="1" max="1" width="15.21875" style="2" bestFit="1" customWidth="1"/>
    <col min="2" max="2" width="24.109375" style="2" bestFit="1" customWidth="1"/>
    <col min="3" max="3" width="66.109375" style="2" customWidth="1"/>
    <col min="4" max="4" width="11.6640625" style="2" bestFit="1" customWidth="1"/>
    <col min="5" max="16384" width="8.88671875" style="2"/>
  </cols>
  <sheetData>
    <row r="5" spans="1:4" ht="46.8" customHeight="1" x14ac:dyDescent="0.35">
      <c r="A5" s="9" t="s">
        <v>53624</v>
      </c>
      <c r="B5" s="9"/>
      <c r="C5" s="9"/>
      <c r="D5" s="9"/>
    </row>
    <row r="6" spans="1:4" x14ac:dyDescent="0.3">
      <c r="A6" s="3" t="s">
        <v>53617</v>
      </c>
      <c r="B6" s="3"/>
      <c r="C6" s="3"/>
      <c r="D6" s="3"/>
    </row>
    <row r="7" spans="1:4" x14ac:dyDescent="0.3">
      <c r="A7" s="12" t="s">
        <v>53618</v>
      </c>
      <c r="B7" s="13"/>
      <c r="C7" s="13"/>
      <c r="D7" s="13"/>
    </row>
    <row r="8" spans="1:4" x14ac:dyDescent="0.3">
      <c r="A8" s="10" t="s">
        <v>53619</v>
      </c>
      <c r="B8" s="11"/>
      <c r="C8" s="11"/>
      <c r="D8" s="11"/>
    </row>
    <row r="9" spans="1:4" x14ac:dyDescent="0.3">
      <c r="A9" s="12" t="s">
        <v>53620</v>
      </c>
      <c r="B9" s="13"/>
      <c r="C9" s="13"/>
      <c r="D9" s="13"/>
    </row>
    <row r="10" spans="1:4" x14ac:dyDescent="0.3">
      <c r="A10" s="12"/>
      <c r="B10" s="13"/>
      <c r="C10" s="13"/>
      <c r="D10" s="13"/>
    </row>
    <row r="11" spans="1:4" x14ac:dyDescent="0.3">
      <c r="A11" s="12"/>
      <c r="B11" s="13"/>
      <c r="C11" s="13"/>
      <c r="D11" s="13"/>
    </row>
    <row r="12" spans="1:4" x14ac:dyDescent="0.3">
      <c r="A12" s="12" t="s">
        <v>53621</v>
      </c>
      <c r="B12" s="13"/>
      <c r="C12" s="13"/>
      <c r="D12" s="13"/>
    </row>
    <row r="13" spans="1:4" x14ac:dyDescent="0.3">
      <c r="A13" s="10" t="s">
        <v>53622</v>
      </c>
      <c r="B13" s="11"/>
      <c r="C13" s="11"/>
      <c r="D13" s="11"/>
    </row>
    <row r="14" spans="1:4" x14ac:dyDescent="0.3">
      <c r="A14" s="10"/>
      <c r="B14" s="11"/>
      <c r="C14" s="11"/>
      <c r="D14" s="11"/>
    </row>
    <row r="15" spans="1:4" x14ac:dyDescent="0.3">
      <c r="A15" s="10"/>
      <c r="B15" s="11"/>
      <c r="C15" s="11"/>
      <c r="D15" s="11"/>
    </row>
    <row r="16" spans="1:4" x14ac:dyDescent="0.3">
      <c r="A16" s="10" t="s">
        <v>53621</v>
      </c>
      <c r="B16" s="11"/>
      <c r="C16" s="11"/>
      <c r="D16" s="11"/>
    </row>
    <row r="17" spans="1:6" x14ac:dyDescent="0.3">
      <c r="A17" s="4"/>
      <c r="B17" s="5"/>
      <c r="C17" s="5"/>
      <c r="D17" s="5"/>
    </row>
    <row r="18" spans="1:6" x14ac:dyDescent="0.3">
      <c r="A18" s="4" t="s">
        <v>53623</v>
      </c>
      <c r="B18" s="5">
        <f>SUM(D21:D13633)</f>
        <v>0</v>
      </c>
      <c r="C18" s="5"/>
      <c r="D18" s="5"/>
    </row>
    <row r="20" spans="1:6" x14ac:dyDescent="0.3">
      <c r="A20" s="7" t="s">
        <v>0</v>
      </c>
      <c r="B20" s="7" t="s">
        <v>53616</v>
      </c>
      <c r="C20" s="7" t="s">
        <v>1</v>
      </c>
      <c r="D20" s="7" t="s">
        <v>2</v>
      </c>
      <c r="E20" s="6"/>
      <c r="F20" s="6"/>
    </row>
    <row r="21" spans="1:6" x14ac:dyDescent="0.3">
      <c r="A21" s="8" t="s">
        <v>3</v>
      </c>
      <c r="B21" s="8" t="s">
        <v>53625</v>
      </c>
      <c r="C21" s="8" t="s">
        <v>4</v>
      </c>
      <c r="D21" s="8"/>
      <c r="E21" s="6"/>
      <c r="F21" s="6"/>
    </row>
    <row r="22" spans="1:6" x14ac:dyDescent="0.3">
      <c r="A22" s="8" t="s">
        <v>5</v>
      </c>
      <c r="B22" s="8" t="s">
        <v>53626</v>
      </c>
      <c r="C22" s="8" t="s">
        <v>6</v>
      </c>
      <c r="D22" s="8"/>
      <c r="E22" s="6"/>
      <c r="F22" s="6"/>
    </row>
    <row r="23" spans="1:6" x14ac:dyDescent="0.3">
      <c r="A23" s="8" t="s">
        <v>7</v>
      </c>
      <c r="B23" s="8" t="s">
        <v>53627</v>
      </c>
      <c r="C23" s="8" t="s">
        <v>8</v>
      </c>
      <c r="D23" s="8"/>
      <c r="E23" s="6"/>
      <c r="F23" s="6"/>
    </row>
    <row r="24" spans="1:6" x14ac:dyDescent="0.3">
      <c r="A24" s="8" t="s">
        <v>9</v>
      </c>
      <c r="B24" s="8" t="s">
        <v>53628</v>
      </c>
      <c r="C24" s="8" t="s">
        <v>10</v>
      </c>
      <c r="D24" s="8"/>
      <c r="E24" s="6"/>
      <c r="F24" s="6"/>
    </row>
    <row r="25" spans="1:6" x14ac:dyDescent="0.3">
      <c r="A25" s="8" t="s">
        <v>11</v>
      </c>
      <c r="B25" s="8" t="s">
        <v>53629</v>
      </c>
      <c r="C25" s="8" t="s">
        <v>12</v>
      </c>
      <c r="D25" s="8"/>
      <c r="E25" s="6"/>
      <c r="F25" s="6"/>
    </row>
    <row r="26" spans="1:6" x14ac:dyDescent="0.3">
      <c r="A26" s="8" t="s">
        <v>13</v>
      </c>
      <c r="B26" s="8" t="s">
        <v>53630</v>
      </c>
      <c r="C26" s="8" t="s">
        <v>14</v>
      </c>
      <c r="D26" s="8"/>
      <c r="E26" s="6"/>
      <c r="F26" s="6"/>
    </row>
    <row r="27" spans="1:6" x14ac:dyDescent="0.3">
      <c r="A27" s="8" t="s">
        <v>15</v>
      </c>
      <c r="B27" s="8" t="s">
        <v>53631</v>
      </c>
      <c r="C27" s="8" t="s">
        <v>16</v>
      </c>
      <c r="D27" s="8"/>
      <c r="E27" s="6"/>
      <c r="F27" s="6"/>
    </row>
    <row r="28" spans="1:6" x14ac:dyDescent="0.3">
      <c r="A28" s="8" t="s">
        <v>17</v>
      </c>
      <c r="B28" s="8" t="s">
        <v>53632</v>
      </c>
      <c r="C28" s="8" t="s">
        <v>18</v>
      </c>
      <c r="D28" s="8"/>
      <c r="E28" s="6"/>
      <c r="F28" s="6"/>
    </row>
    <row r="29" spans="1:6" x14ac:dyDescent="0.3">
      <c r="A29" s="8" t="s">
        <v>19</v>
      </c>
      <c r="B29" s="8" t="s">
        <v>53633</v>
      </c>
      <c r="C29" s="8" t="s">
        <v>20</v>
      </c>
      <c r="D29" s="8"/>
      <c r="E29" s="6"/>
      <c r="F29" s="6"/>
    </row>
    <row r="30" spans="1:6" x14ac:dyDescent="0.3">
      <c r="A30" s="8" t="s">
        <v>21</v>
      </c>
      <c r="B30" s="8" t="s">
        <v>53634</v>
      </c>
      <c r="C30" s="8" t="s">
        <v>22</v>
      </c>
      <c r="D30" s="8"/>
      <c r="E30" s="6"/>
      <c r="F30" s="6"/>
    </row>
    <row r="31" spans="1:6" x14ac:dyDescent="0.3">
      <c r="A31" s="8" t="s">
        <v>23</v>
      </c>
      <c r="B31" s="8" t="s">
        <v>53635</v>
      </c>
      <c r="C31" s="8" t="s">
        <v>24</v>
      </c>
      <c r="D31" s="8"/>
      <c r="E31" s="6"/>
      <c r="F31" s="6"/>
    </row>
    <row r="32" spans="1:6" x14ac:dyDescent="0.3">
      <c r="A32" s="8" t="s">
        <v>25</v>
      </c>
      <c r="B32" s="8" t="s">
        <v>53636</v>
      </c>
      <c r="C32" s="8" t="s">
        <v>26</v>
      </c>
      <c r="D32" s="8"/>
      <c r="E32" s="6"/>
      <c r="F32" s="6"/>
    </row>
    <row r="33" spans="1:6" x14ac:dyDescent="0.3">
      <c r="A33" s="8" t="s">
        <v>27</v>
      </c>
      <c r="B33" s="8" t="s">
        <v>53637</v>
      </c>
      <c r="C33" s="8" t="s">
        <v>28</v>
      </c>
      <c r="D33" s="8"/>
      <c r="E33" s="6"/>
      <c r="F33" s="6"/>
    </row>
    <row r="34" spans="1:6" x14ac:dyDescent="0.3">
      <c r="A34" s="8" t="s">
        <v>29</v>
      </c>
      <c r="B34" s="8" t="s">
        <v>53638</v>
      </c>
      <c r="C34" s="8" t="s">
        <v>30</v>
      </c>
      <c r="D34" s="8"/>
      <c r="E34" s="6"/>
      <c r="F34" s="6"/>
    </row>
    <row r="35" spans="1:6" x14ac:dyDescent="0.3">
      <c r="A35" s="8" t="s">
        <v>31</v>
      </c>
      <c r="B35" s="8" t="s">
        <v>53639</v>
      </c>
      <c r="C35" s="8" t="s">
        <v>32</v>
      </c>
      <c r="D35" s="8"/>
      <c r="E35" s="6"/>
      <c r="F35" s="6"/>
    </row>
    <row r="36" spans="1:6" x14ac:dyDescent="0.3">
      <c r="A36" s="8" t="s">
        <v>33</v>
      </c>
      <c r="B36" s="8" t="s">
        <v>53640</v>
      </c>
      <c r="C36" s="8" t="s">
        <v>34</v>
      </c>
      <c r="D36" s="8"/>
      <c r="E36" s="6"/>
      <c r="F36" s="6"/>
    </row>
    <row r="37" spans="1:6" x14ac:dyDescent="0.3">
      <c r="A37" s="8" t="s">
        <v>35</v>
      </c>
      <c r="B37" s="8" t="s">
        <v>53641</v>
      </c>
      <c r="C37" s="8" t="s">
        <v>36</v>
      </c>
      <c r="D37" s="8"/>
      <c r="E37" s="6"/>
      <c r="F37" s="6"/>
    </row>
    <row r="38" spans="1:6" x14ac:dyDescent="0.3">
      <c r="A38" s="8" t="s">
        <v>37</v>
      </c>
      <c r="B38" s="8" t="s">
        <v>53642</v>
      </c>
      <c r="C38" s="8" t="s">
        <v>38</v>
      </c>
      <c r="D38" s="8"/>
      <c r="E38" s="6"/>
      <c r="F38" s="6"/>
    </row>
    <row r="39" spans="1:6" x14ac:dyDescent="0.3">
      <c r="A39" s="8" t="s">
        <v>39</v>
      </c>
      <c r="B39" s="8" t="s">
        <v>53643</v>
      </c>
      <c r="C39" s="8" t="s">
        <v>40</v>
      </c>
      <c r="D39" s="8"/>
      <c r="E39" s="6"/>
      <c r="F39" s="6"/>
    </row>
    <row r="40" spans="1:6" x14ac:dyDescent="0.3">
      <c r="A40" s="8" t="s">
        <v>41</v>
      </c>
      <c r="B40" s="8" t="s">
        <v>53644</v>
      </c>
      <c r="C40" s="8" t="s">
        <v>42</v>
      </c>
      <c r="D40" s="8"/>
      <c r="E40" s="6"/>
      <c r="F40" s="6"/>
    </row>
    <row r="41" spans="1:6" x14ac:dyDescent="0.3">
      <c r="A41" s="8" t="s">
        <v>43</v>
      </c>
      <c r="B41" s="8" t="s">
        <v>53645</v>
      </c>
      <c r="C41" s="8" t="s">
        <v>44</v>
      </c>
      <c r="D41" s="8"/>
      <c r="E41" s="6"/>
      <c r="F41" s="6"/>
    </row>
    <row r="42" spans="1:6" x14ac:dyDescent="0.3">
      <c r="A42" s="8" t="s">
        <v>45</v>
      </c>
      <c r="B42" s="8" t="s">
        <v>53646</v>
      </c>
      <c r="C42" s="8" t="s">
        <v>46</v>
      </c>
      <c r="D42" s="8"/>
      <c r="E42" s="6"/>
      <c r="F42" s="6"/>
    </row>
    <row r="43" spans="1:6" x14ac:dyDescent="0.3">
      <c r="A43" s="8" t="s">
        <v>47</v>
      </c>
      <c r="B43" s="8" t="s">
        <v>53647</v>
      </c>
      <c r="C43" s="8" t="s">
        <v>48</v>
      </c>
      <c r="D43" s="8"/>
      <c r="E43" s="6"/>
      <c r="F43" s="6"/>
    </row>
    <row r="44" spans="1:6" x14ac:dyDescent="0.3">
      <c r="A44" s="8" t="s">
        <v>49</v>
      </c>
      <c r="B44" s="8" t="s">
        <v>53648</v>
      </c>
      <c r="C44" s="8" t="s">
        <v>50</v>
      </c>
      <c r="D44" s="8"/>
      <c r="E44" s="6"/>
      <c r="F44" s="6"/>
    </row>
    <row r="45" spans="1:6" x14ac:dyDescent="0.3">
      <c r="A45" s="8" t="s">
        <v>51</v>
      </c>
      <c r="B45" s="8" t="s">
        <v>53649</v>
      </c>
      <c r="C45" s="8" t="s">
        <v>52</v>
      </c>
      <c r="D45" s="8"/>
      <c r="E45" s="6"/>
      <c r="F45" s="6"/>
    </row>
    <row r="46" spans="1:6" x14ac:dyDescent="0.3">
      <c r="A46" s="8" t="s">
        <v>53</v>
      </c>
      <c r="B46" s="8" t="s">
        <v>53650</v>
      </c>
      <c r="C46" s="8" t="s">
        <v>54</v>
      </c>
      <c r="D46" s="8"/>
      <c r="E46" s="6"/>
      <c r="F46" s="6"/>
    </row>
    <row r="47" spans="1:6" x14ac:dyDescent="0.3">
      <c r="A47" s="8" t="s">
        <v>55</v>
      </c>
      <c r="B47" s="8" t="s">
        <v>53651</v>
      </c>
      <c r="C47" s="8" t="s">
        <v>56</v>
      </c>
      <c r="D47" s="8"/>
      <c r="E47" s="6"/>
      <c r="F47" s="6"/>
    </row>
    <row r="48" spans="1:6" x14ac:dyDescent="0.3">
      <c r="A48" s="8" t="s">
        <v>57</v>
      </c>
      <c r="B48" s="8" t="s">
        <v>53652</v>
      </c>
      <c r="C48" s="8" t="s">
        <v>58</v>
      </c>
      <c r="D48" s="8"/>
      <c r="E48" s="6"/>
      <c r="F48" s="6"/>
    </row>
    <row r="49" spans="1:6" x14ac:dyDescent="0.3">
      <c r="A49" s="8" t="s">
        <v>59</v>
      </c>
      <c r="B49" s="8" t="s">
        <v>53653</v>
      </c>
      <c r="C49" s="8" t="s">
        <v>60</v>
      </c>
      <c r="D49" s="8"/>
      <c r="E49" s="6"/>
      <c r="F49" s="6"/>
    </row>
    <row r="50" spans="1:6" x14ac:dyDescent="0.3">
      <c r="A50" s="8" t="s">
        <v>61</v>
      </c>
      <c r="B50" s="8" t="s">
        <v>53654</v>
      </c>
      <c r="C50" s="8" t="s">
        <v>62</v>
      </c>
      <c r="D50" s="8"/>
      <c r="E50" s="6"/>
      <c r="F50" s="6"/>
    </row>
    <row r="51" spans="1:6" x14ac:dyDescent="0.3">
      <c r="A51" s="8" t="s">
        <v>63</v>
      </c>
      <c r="B51" s="8" t="s">
        <v>53655</v>
      </c>
      <c r="C51" s="8" t="s">
        <v>64</v>
      </c>
      <c r="D51" s="8"/>
      <c r="E51" s="6"/>
      <c r="F51" s="6"/>
    </row>
    <row r="52" spans="1:6" x14ac:dyDescent="0.3">
      <c r="A52" s="8" t="s">
        <v>65</v>
      </c>
      <c r="B52" s="8" t="s">
        <v>53656</v>
      </c>
      <c r="C52" s="8" t="s">
        <v>66</v>
      </c>
      <c r="D52" s="8"/>
      <c r="E52" s="6"/>
      <c r="F52" s="6"/>
    </row>
    <row r="53" spans="1:6" x14ac:dyDescent="0.3">
      <c r="A53" s="8" t="s">
        <v>67</v>
      </c>
      <c r="B53" s="8" t="s">
        <v>53657</v>
      </c>
      <c r="C53" s="8" t="s">
        <v>68</v>
      </c>
      <c r="D53" s="8"/>
      <c r="E53" s="6"/>
      <c r="F53" s="6"/>
    </row>
    <row r="54" spans="1:6" x14ac:dyDescent="0.3">
      <c r="A54" s="8" t="s">
        <v>69</v>
      </c>
      <c r="B54" s="8" t="s">
        <v>53658</v>
      </c>
      <c r="C54" s="8" t="s">
        <v>70</v>
      </c>
      <c r="D54" s="8"/>
      <c r="E54" s="6"/>
      <c r="F54" s="6"/>
    </row>
    <row r="55" spans="1:6" x14ac:dyDescent="0.3">
      <c r="A55" s="8" t="s">
        <v>71</v>
      </c>
      <c r="B55" s="8" t="s">
        <v>53659</v>
      </c>
      <c r="C55" s="8" t="s">
        <v>72</v>
      </c>
      <c r="D55" s="8"/>
      <c r="E55" s="6"/>
      <c r="F55" s="6"/>
    </row>
    <row r="56" spans="1:6" x14ac:dyDescent="0.3">
      <c r="A56" s="8" t="s">
        <v>73</v>
      </c>
      <c r="B56" s="8" t="s">
        <v>53660</v>
      </c>
      <c r="C56" s="8" t="s">
        <v>74</v>
      </c>
      <c r="D56" s="8"/>
      <c r="E56" s="6"/>
      <c r="F56" s="6"/>
    </row>
    <row r="57" spans="1:6" x14ac:dyDescent="0.3">
      <c r="A57" s="8" t="s">
        <v>75</v>
      </c>
      <c r="B57" s="8" t="s">
        <v>53661</v>
      </c>
      <c r="C57" s="8" t="s">
        <v>76</v>
      </c>
      <c r="D57" s="8"/>
      <c r="E57" s="6"/>
      <c r="F57" s="6"/>
    </row>
    <row r="58" spans="1:6" x14ac:dyDescent="0.3">
      <c r="A58" s="8" t="s">
        <v>77</v>
      </c>
      <c r="B58" s="8" t="s">
        <v>53662</v>
      </c>
      <c r="C58" s="8" t="s">
        <v>78</v>
      </c>
      <c r="D58" s="8"/>
      <c r="E58" s="6"/>
      <c r="F58" s="6"/>
    </row>
    <row r="59" spans="1:6" x14ac:dyDescent="0.3">
      <c r="A59" s="8" t="s">
        <v>79</v>
      </c>
      <c r="B59" s="8" t="s">
        <v>53663</v>
      </c>
      <c r="C59" s="8" t="s">
        <v>80</v>
      </c>
      <c r="D59" s="8"/>
      <c r="E59" s="6"/>
      <c r="F59" s="6"/>
    </row>
    <row r="60" spans="1:6" x14ac:dyDescent="0.3">
      <c r="A60" s="8" t="s">
        <v>81</v>
      </c>
      <c r="B60" s="8" t="s">
        <v>53664</v>
      </c>
      <c r="C60" s="8" t="s">
        <v>82</v>
      </c>
      <c r="D60" s="8"/>
      <c r="E60" s="6"/>
      <c r="F60" s="6"/>
    </row>
    <row r="61" spans="1:6" x14ac:dyDescent="0.3">
      <c r="A61" s="8" t="s">
        <v>83</v>
      </c>
      <c r="B61" s="8" t="s">
        <v>53665</v>
      </c>
      <c r="C61" s="8" t="s">
        <v>84</v>
      </c>
      <c r="D61" s="8"/>
      <c r="E61" s="6"/>
      <c r="F61" s="6"/>
    </row>
    <row r="62" spans="1:6" x14ac:dyDescent="0.3">
      <c r="A62" s="8" t="s">
        <v>85</v>
      </c>
      <c r="B62" s="8" t="s">
        <v>53666</v>
      </c>
      <c r="C62" s="8" t="s">
        <v>86</v>
      </c>
      <c r="D62" s="8"/>
      <c r="E62" s="6"/>
      <c r="F62" s="6"/>
    </row>
    <row r="63" spans="1:6" x14ac:dyDescent="0.3">
      <c r="A63" s="8" t="s">
        <v>87</v>
      </c>
      <c r="B63" s="8" t="s">
        <v>53667</v>
      </c>
      <c r="C63" s="8" t="s">
        <v>88</v>
      </c>
      <c r="D63" s="8"/>
      <c r="E63" s="6"/>
      <c r="F63" s="6"/>
    </row>
    <row r="64" spans="1:6" x14ac:dyDescent="0.3">
      <c r="A64" s="8" t="s">
        <v>89</v>
      </c>
      <c r="B64" s="8" t="s">
        <v>53668</v>
      </c>
      <c r="C64" s="8" t="s">
        <v>90</v>
      </c>
      <c r="D64" s="8"/>
      <c r="E64" s="6"/>
      <c r="F64" s="6"/>
    </row>
    <row r="65" spans="1:6" x14ac:dyDescent="0.3">
      <c r="A65" s="8" t="s">
        <v>91</v>
      </c>
      <c r="B65" s="8" t="s">
        <v>53669</v>
      </c>
      <c r="C65" s="8" t="s">
        <v>92</v>
      </c>
      <c r="D65" s="8"/>
      <c r="E65" s="6"/>
      <c r="F65" s="6"/>
    </row>
    <row r="66" spans="1:6" x14ac:dyDescent="0.3">
      <c r="A66" s="8" t="s">
        <v>93</v>
      </c>
      <c r="B66" s="8" t="s">
        <v>53670</v>
      </c>
      <c r="C66" s="8" t="s">
        <v>94</v>
      </c>
      <c r="D66" s="8"/>
      <c r="E66" s="6"/>
      <c r="F66" s="6"/>
    </row>
    <row r="67" spans="1:6" x14ac:dyDescent="0.3">
      <c r="A67" s="8" t="s">
        <v>95</v>
      </c>
      <c r="B67" s="8" t="s">
        <v>53671</v>
      </c>
      <c r="C67" s="8" t="s">
        <v>96</v>
      </c>
      <c r="D67" s="8"/>
      <c r="E67" s="6"/>
      <c r="F67" s="6"/>
    </row>
    <row r="68" spans="1:6" x14ac:dyDescent="0.3">
      <c r="A68" s="8" t="s">
        <v>97</v>
      </c>
      <c r="B68" s="8" t="s">
        <v>53672</v>
      </c>
      <c r="C68" s="8" t="s">
        <v>98</v>
      </c>
      <c r="D68" s="8"/>
      <c r="E68" s="6"/>
      <c r="F68" s="6"/>
    </row>
    <row r="69" spans="1:6" x14ac:dyDescent="0.3">
      <c r="A69" s="8" t="s">
        <v>99</v>
      </c>
      <c r="B69" s="8" t="s">
        <v>53673</v>
      </c>
      <c r="C69" s="8" t="s">
        <v>100</v>
      </c>
      <c r="D69" s="8"/>
      <c r="E69" s="6"/>
      <c r="F69" s="6"/>
    </row>
    <row r="70" spans="1:6" x14ac:dyDescent="0.3">
      <c r="A70" s="8" t="s">
        <v>101</v>
      </c>
      <c r="B70" s="8" t="s">
        <v>53674</v>
      </c>
      <c r="C70" s="8" t="s">
        <v>102</v>
      </c>
      <c r="D70" s="8"/>
      <c r="E70" s="6"/>
      <c r="F70" s="6"/>
    </row>
    <row r="71" spans="1:6" x14ac:dyDescent="0.3">
      <c r="A71" s="8" t="s">
        <v>103</v>
      </c>
      <c r="B71" s="8" t="s">
        <v>53675</v>
      </c>
      <c r="C71" s="8" t="s">
        <v>104</v>
      </c>
      <c r="D71" s="8"/>
      <c r="E71" s="6"/>
      <c r="F71" s="6"/>
    </row>
    <row r="72" spans="1:6" x14ac:dyDescent="0.3">
      <c r="A72" s="8" t="s">
        <v>105</v>
      </c>
      <c r="B72" s="8" t="s">
        <v>53676</v>
      </c>
      <c r="C72" s="8" t="s">
        <v>106</v>
      </c>
      <c r="D72" s="8"/>
      <c r="E72" s="6"/>
      <c r="F72" s="6"/>
    </row>
    <row r="73" spans="1:6" x14ac:dyDescent="0.3">
      <c r="A73" s="8" t="s">
        <v>107</v>
      </c>
      <c r="B73" s="8" t="s">
        <v>53677</v>
      </c>
      <c r="C73" s="8" t="s">
        <v>108</v>
      </c>
      <c r="D73" s="8"/>
      <c r="E73" s="6"/>
      <c r="F73" s="6"/>
    </row>
    <row r="74" spans="1:6" x14ac:dyDescent="0.3">
      <c r="A74" s="8" t="s">
        <v>109</v>
      </c>
      <c r="B74" s="8" t="s">
        <v>53678</v>
      </c>
      <c r="C74" s="8" t="s">
        <v>110</v>
      </c>
      <c r="D74" s="8"/>
      <c r="E74" s="6"/>
      <c r="F74" s="6"/>
    </row>
    <row r="75" spans="1:6" x14ac:dyDescent="0.3">
      <c r="A75" s="8" t="s">
        <v>111</v>
      </c>
      <c r="B75" s="8" t="s">
        <v>53679</v>
      </c>
      <c r="C75" s="8" t="s">
        <v>112</v>
      </c>
      <c r="D75" s="8"/>
      <c r="E75" s="6"/>
      <c r="F75" s="6"/>
    </row>
    <row r="76" spans="1:6" x14ac:dyDescent="0.3">
      <c r="A76" s="8" t="s">
        <v>113</v>
      </c>
      <c r="B76" s="8" t="s">
        <v>53680</v>
      </c>
      <c r="C76" s="8" t="s">
        <v>114</v>
      </c>
      <c r="D76" s="8"/>
      <c r="E76" s="6"/>
      <c r="F76" s="6"/>
    </row>
    <row r="77" spans="1:6" x14ac:dyDescent="0.3">
      <c r="A77" s="8" t="s">
        <v>115</v>
      </c>
      <c r="B77" s="8" t="s">
        <v>53681</v>
      </c>
      <c r="C77" s="8" t="s">
        <v>116</v>
      </c>
      <c r="D77" s="8"/>
      <c r="E77" s="6"/>
      <c r="F77" s="6"/>
    </row>
    <row r="78" spans="1:6" x14ac:dyDescent="0.3">
      <c r="A78" s="8" t="s">
        <v>117</v>
      </c>
      <c r="B78" s="8" t="s">
        <v>53682</v>
      </c>
      <c r="C78" s="8" t="s">
        <v>118</v>
      </c>
      <c r="D78" s="8"/>
      <c r="E78" s="6"/>
      <c r="F78" s="6"/>
    </row>
    <row r="79" spans="1:6" x14ac:dyDescent="0.3">
      <c r="A79" s="8" t="s">
        <v>119</v>
      </c>
      <c r="B79" s="8" t="s">
        <v>53683</v>
      </c>
      <c r="C79" s="8" t="s">
        <v>120</v>
      </c>
      <c r="D79" s="8"/>
      <c r="E79" s="6"/>
      <c r="F79" s="6"/>
    </row>
    <row r="80" spans="1:6" x14ac:dyDescent="0.3">
      <c r="A80" s="8" t="s">
        <v>121</v>
      </c>
      <c r="B80" s="8" t="s">
        <v>53684</v>
      </c>
      <c r="C80" s="8" t="s">
        <v>122</v>
      </c>
      <c r="D80" s="8"/>
      <c r="E80" s="6"/>
      <c r="F80" s="6"/>
    </row>
    <row r="81" spans="1:6" x14ac:dyDescent="0.3">
      <c r="A81" s="8" t="s">
        <v>123</v>
      </c>
      <c r="B81" s="8" t="s">
        <v>53685</v>
      </c>
      <c r="C81" s="8" t="s">
        <v>124</v>
      </c>
      <c r="D81" s="8"/>
      <c r="E81" s="6"/>
      <c r="F81" s="6"/>
    </row>
    <row r="82" spans="1:6" x14ac:dyDescent="0.3">
      <c r="A82" s="8" t="s">
        <v>125</v>
      </c>
      <c r="B82" s="8" t="s">
        <v>53686</v>
      </c>
      <c r="C82" s="8" t="s">
        <v>126</v>
      </c>
      <c r="D82" s="8"/>
      <c r="E82" s="6"/>
      <c r="F82" s="6"/>
    </row>
    <row r="83" spans="1:6" x14ac:dyDescent="0.3">
      <c r="A83" s="8" t="s">
        <v>127</v>
      </c>
      <c r="B83" s="8" t="s">
        <v>53687</v>
      </c>
      <c r="C83" s="8" t="s">
        <v>128</v>
      </c>
      <c r="D83" s="8"/>
      <c r="E83" s="6"/>
      <c r="F83" s="6"/>
    </row>
    <row r="84" spans="1:6" x14ac:dyDescent="0.3">
      <c r="A84" s="8" t="s">
        <v>129</v>
      </c>
      <c r="B84" s="8" t="s">
        <v>53688</v>
      </c>
      <c r="C84" s="8" t="s">
        <v>130</v>
      </c>
      <c r="D84" s="8"/>
      <c r="E84" s="6"/>
      <c r="F84" s="6"/>
    </row>
    <row r="85" spans="1:6" x14ac:dyDescent="0.3">
      <c r="A85" s="8" t="s">
        <v>131</v>
      </c>
      <c r="B85" s="8" t="s">
        <v>53689</v>
      </c>
      <c r="C85" s="8" t="s">
        <v>132</v>
      </c>
      <c r="D85" s="8"/>
      <c r="E85" s="6"/>
      <c r="F85" s="6"/>
    </row>
    <row r="86" spans="1:6" x14ac:dyDescent="0.3">
      <c r="A86" s="8" t="s">
        <v>133</v>
      </c>
      <c r="B86" s="8" t="s">
        <v>53690</v>
      </c>
      <c r="C86" s="8" t="s">
        <v>134</v>
      </c>
      <c r="D86" s="8"/>
      <c r="E86" s="6"/>
      <c r="F86" s="6"/>
    </row>
    <row r="87" spans="1:6" x14ac:dyDescent="0.3">
      <c r="A87" s="8" t="s">
        <v>135</v>
      </c>
      <c r="B87" s="8" t="s">
        <v>53691</v>
      </c>
      <c r="C87" s="8" t="s">
        <v>136</v>
      </c>
      <c r="D87" s="8"/>
      <c r="E87" s="6"/>
      <c r="F87" s="6"/>
    </row>
    <row r="88" spans="1:6" x14ac:dyDescent="0.3">
      <c r="A88" s="8" t="s">
        <v>137</v>
      </c>
      <c r="B88" s="8" t="s">
        <v>53692</v>
      </c>
      <c r="C88" s="8" t="s">
        <v>138</v>
      </c>
      <c r="D88" s="8"/>
      <c r="E88" s="6"/>
      <c r="F88" s="6"/>
    </row>
    <row r="89" spans="1:6" x14ac:dyDescent="0.3">
      <c r="A89" s="8" t="s">
        <v>139</v>
      </c>
      <c r="B89" s="8" t="s">
        <v>53693</v>
      </c>
      <c r="C89" s="8" t="s">
        <v>140</v>
      </c>
      <c r="D89" s="8"/>
      <c r="E89" s="6"/>
      <c r="F89" s="6"/>
    </row>
    <row r="90" spans="1:6" x14ac:dyDescent="0.3">
      <c r="A90" s="8" t="s">
        <v>141</v>
      </c>
      <c r="B90" s="8" t="s">
        <v>53694</v>
      </c>
      <c r="C90" s="8" t="s">
        <v>142</v>
      </c>
      <c r="D90" s="8"/>
      <c r="E90" s="6"/>
      <c r="F90" s="6"/>
    </row>
    <row r="91" spans="1:6" x14ac:dyDescent="0.3">
      <c r="A91" s="8" t="s">
        <v>143</v>
      </c>
      <c r="B91" s="8" t="s">
        <v>53695</v>
      </c>
      <c r="C91" s="8" t="s">
        <v>144</v>
      </c>
      <c r="D91" s="8"/>
      <c r="E91" s="6"/>
      <c r="F91" s="6"/>
    </row>
    <row r="92" spans="1:6" x14ac:dyDescent="0.3">
      <c r="A92" s="8" t="s">
        <v>145</v>
      </c>
      <c r="B92" s="8" t="s">
        <v>53696</v>
      </c>
      <c r="C92" s="8" t="s">
        <v>146</v>
      </c>
      <c r="D92" s="8"/>
      <c r="E92" s="6"/>
      <c r="F92" s="6"/>
    </row>
    <row r="93" spans="1:6" x14ac:dyDescent="0.3">
      <c r="A93" s="8" t="s">
        <v>147</v>
      </c>
      <c r="B93" s="8" t="s">
        <v>53697</v>
      </c>
      <c r="C93" s="8" t="s">
        <v>148</v>
      </c>
      <c r="D93" s="8"/>
      <c r="E93" s="6"/>
      <c r="F93" s="6"/>
    </row>
    <row r="94" spans="1:6" x14ac:dyDescent="0.3">
      <c r="A94" s="8" t="s">
        <v>149</v>
      </c>
      <c r="B94" s="8" t="s">
        <v>53698</v>
      </c>
      <c r="C94" s="8" t="s">
        <v>150</v>
      </c>
      <c r="D94" s="8"/>
      <c r="E94" s="6"/>
      <c r="F94" s="6"/>
    </row>
    <row r="95" spans="1:6" x14ac:dyDescent="0.3">
      <c r="A95" s="8" t="s">
        <v>151</v>
      </c>
      <c r="B95" s="8" t="s">
        <v>53699</v>
      </c>
      <c r="C95" s="8" t="s">
        <v>152</v>
      </c>
      <c r="D95" s="8"/>
      <c r="E95" s="6"/>
      <c r="F95" s="6"/>
    </row>
    <row r="96" spans="1:6" x14ac:dyDescent="0.3">
      <c r="A96" s="8" t="s">
        <v>153</v>
      </c>
      <c r="B96" s="8" t="s">
        <v>53700</v>
      </c>
      <c r="C96" s="8" t="s">
        <v>154</v>
      </c>
      <c r="D96" s="8"/>
      <c r="E96" s="6"/>
      <c r="F96" s="6"/>
    </row>
    <row r="97" spans="1:6" x14ac:dyDescent="0.3">
      <c r="A97" s="8" t="s">
        <v>155</v>
      </c>
      <c r="B97" s="8" t="s">
        <v>53701</v>
      </c>
      <c r="C97" s="8" t="s">
        <v>156</v>
      </c>
      <c r="D97" s="8"/>
      <c r="E97" s="6"/>
      <c r="F97" s="6"/>
    </row>
    <row r="98" spans="1:6" x14ac:dyDescent="0.3">
      <c r="A98" s="8" t="s">
        <v>157</v>
      </c>
      <c r="B98" s="8" t="s">
        <v>53702</v>
      </c>
      <c r="C98" s="8" t="s">
        <v>158</v>
      </c>
      <c r="D98" s="8"/>
      <c r="E98" s="6"/>
      <c r="F98" s="6"/>
    </row>
    <row r="99" spans="1:6" x14ac:dyDescent="0.3">
      <c r="A99" s="8" t="s">
        <v>159</v>
      </c>
      <c r="B99" s="8" t="s">
        <v>53703</v>
      </c>
      <c r="C99" s="8" t="s">
        <v>160</v>
      </c>
      <c r="D99" s="8"/>
      <c r="E99" s="6"/>
      <c r="F99" s="6"/>
    </row>
    <row r="100" spans="1:6" x14ac:dyDescent="0.3">
      <c r="A100" s="8" t="s">
        <v>161</v>
      </c>
      <c r="B100" s="8" t="s">
        <v>53704</v>
      </c>
      <c r="C100" s="8" t="s">
        <v>162</v>
      </c>
      <c r="D100" s="8"/>
      <c r="E100" s="6"/>
      <c r="F100" s="6"/>
    </row>
    <row r="101" spans="1:6" x14ac:dyDescent="0.3">
      <c r="A101" s="8" t="s">
        <v>163</v>
      </c>
      <c r="B101" s="8" t="s">
        <v>53705</v>
      </c>
      <c r="C101" s="8" t="s">
        <v>164</v>
      </c>
      <c r="D101" s="8"/>
      <c r="E101" s="6"/>
      <c r="F101" s="6"/>
    </row>
    <row r="102" spans="1:6" x14ac:dyDescent="0.3">
      <c r="A102" s="8" t="s">
        <v>165</v>
      </c>
      <c r="B102" s="8" t="s">
        <v>53706</v>
      </c>
      <c r="C102" s="8" t="s">
        <v>166</v>
      </c>
      <c r="D102" s="8"/>
      <c r="E102" s="6"/>
      <c r="F102" s="6"/>
    </row>
    <row r="103" spans="1:6" x14ac:dyDescent="0.3">
      <c r="A103" s="8" t="s">
        <v>167</v>
      </c>
      <c r="B103" s="8" t="s">
        <v>53707</v>
      </c>
      <c r="C103" s="8" t="s">
        <v>168</v>
      </c>
      <c r="D103" s="8"/>
      <c r="E103" s="6"/>
      <c r="F103" s="6"/>
    </row>
    <row r="104" spans="1:6" x14ac:dyDescent="0.3">
      <c r="A104" s="8" t="s">
        <v>169</v>
      </c>
      <c r="B104" s="8" t="s">
        <v>53708</v>
      </c>
      <c r="C104" s="8" t="s">
        <v>170</v>
      </c>
      <c r="D104" s="8"/>
      <c r="E104" s="6"/>
      <c r="F104" s="6"/>
    </row>
    <row r="105" spans="1:6" x14ac:dyDescent="0.3">
      <c r="A105" s="8" t="s">
        <v>171</v>
      </c>
      <c r="B105" s="8" t="s">
        <v>53709</v>
      </c>
      <c r="C105" s="8" t="s">
        <v>172</v>
      </c>
      <c r="D105" s="8"/>
      <c r="E105" s="6"/>
      <c r="F105" s="6"/>
    </row>
    <row r="106" spans="1:6" x14ac:dyDescent="0.3">
      <c r="A106" s="8" t="s">
        <v>173</v>
      </c>
      <c r="B106" s="8" t="s">
        <v>53710</v>
      </c>
      <c r="C106" s="8" t="s">
        <v>174</v>
      </c>
      <c r="D106" s="8"/>
      <c r="E106" s="6"/>
      <c r="F106" s="6"/>
    </row>
    <row r="107" spans="1:6" x14ac:dyDescent="0.3">
      <c r="A107" s="8" t="s">
        <v>175</v>
      </c>
      <c r="B107" s="8" t="s">
        <v>53711</v>
      </c>
      <c r="C107" s="8" t="s">
        <v>176</v>
      </c>
      <c r="D107" s="8"/>
      <c r="E107" s="6"/>
      <c r="F107" s="6"/>
    </row>
    <row r="108" spans="1:6" x14ac:dyDescent="0.3">
      <c r="A108" s="8" t="s">
        <v>177</v>
      </c>
      <c r="B108" s="8" t="s">
        <v>53712</v>
      </c>
      <c r="C108" s="8" t="s">
        <v>178</v>
      </c>
      <c r="D108" s="8"/>
      <c r="E108" s="6"/>
      <c r="F108" s="6"/>
    </row>
    <row r="109" spans="1:6" x14ac:dyDescent="0.3">
      <c r="A109" s="8" t="s">
        <v>179</v>
      </c>
      <c r="B109" s="8" t="s">
        <v>53713</v>
      </c>
      <c r="C109" s="8" t="s">
        <v>180</v>
      </c>
      <c r="D109" s="8"/>
      <c r="E109" s="6"/>
      <c r="F109" s="6"/>
    </row>
    <row r="110" spans="1:6" x14ac:dyDescent="0.3">
      <c r="A110" s="8" t="s">
        <v>181</v>
      </c>
      <c r="B110" s="8" t="s">
        <v>53714</v>
      </c>
      <c r="C110" s="8" t="s">
        <v>182</v>
      </c>
      <c r="D110" s="8"/>
      <c r="E110" s="6"/>
      <c r="F110" s="6"/>
    </row>
    <row r="111" spans="1:6" x14ac:dyDescent="0.3">
      <c r="A111" s="8" t="s">
        <v>183</v>
      </c>
      <c r="B111" s="8" t="s">
        <v>53715</v>
      </c>
      <c r="C111" s="8" t="s">
        <v>184</v>
      </c>
      <c r="D111" s="8"/>
      <c r="E111" s="6"/>
      <c r="F111" s="6"/>
    </row>
    <row r="112" spans="1:6" x14ac:dyDescent="0.3">
      <c r="A112" s="8" t="s">
        <v>185</v>
      </c>
      <c r="B112" s="8" t="s">
        <v>53716</v>
      </c>
      <c r="C112" s="8" t="s">
        <v>186</v>
      </c>
      <c r="D112" s="8"/>
      <c r="E112" s="6"/>
      <c r="F112" s="6"/>
    </row>
    <row r="113" spans="1:6" x14ac:dyDescent="0.3">
      <c r="A113" s="8" t="s">
        <v>187</v>
      </c>
      <c r="B113" s="8" t="s">
        <v>53717</v>
      </c>
      <c r="C113" s="8" t="s">
        <v>188</v>
      </c>
      <c r="D113" s="8"/>
      <c r="E113" s="6"/>
      <c r="F113" s="6"/>
    </row>
    <row r="114" spans="1:6" x14ac:dyDescent="0.3">
      <c r="A114" s="8" t="s">
        <v>189</v>
      </c>
      <c r="B114" s="8" t="s">
        <v>53718</v>
      </c>
      <c r="C114" s="8" t="s">
        <v>190</v>
      </c>
      <c r="D114" s="8"/>
      <c r="E114" s="6"/>
      <c r="F114" s="6"/>
    </row>
    <row r="115" spans="1:6" x14ac:dyDescent="0.3">
      <c r="A115" s="8" t="s">
        <v>191</v>
      </c>
      <c r="B115" s="8" t="s">
        <v>53719</v>
      </c>
      <c r="C115" s="8" t="s">
        <v>192</v>
      </c>
      <c r="D115" s="8"/>
      <c r="E115" s="6"/>
      <c r="F115" s="6"/>
    </row>
    <row r="116" spans="1:6" x14ac:dyDescent="0.3">
      <c r="A116" s="8" t="s">
        <v>193</v>
      </c>
      <c r="B116" s="8" t="s">
        <v>53720</v>
      </c>
      <c r="C116" s="8" t="s">
        <v>194</v>
      </c>
      <c r="D116" s="8"/>
      <c r="E116" s="6"/>
      <c r="F116" s="6"/>
    </row>
    <row r="117" spans="1:6" x14ac:dyDescent="0.3">
      <c r="A117" s="8" t="s">
        <v>195</v>
      </c>
      <c r="B117" s="8" t="s">
        <v>53721</v>
      </c>
      <c r="C117" s="8" t="s">
        <v>196</v>
      </c>
      <c r="D117" s="8"/>
      <c r="E117" s="6"/>
      <c r="F117" s="6"/>
    </row>
    <row r="118" spans="1:6" x14ac:dyDescent="0.3">
      <c r="A118" s="8" t="s">
        <v>197</v>
      </c>
      <c r="B118" s="8" t="s">
        <v>53722</v>
      </c>
      <c r="C118" s="8" t="s">
        <v>198</v>
      </c>
      <c r="D118" s="8"/>
      <c r="E118" s="6"/>
      <c r="F118" s="6"/>
    </row>
    <row r="119" spans="1:6" x14ac:dyDescent="0.3">
      <c r="A119" s="8" t="s">
        <v>199</v>
      </c>
      <c r="B119" s="8" t="s">
        <v>53723</v>
      </c>
      <c r="C119" s="8" t="s">
        <v>200</v>
      </c>
      <c r="D119" s="8"/>
      <c r="E119" s="6"/>
      <c r="F119" s="6"/>
    </row>
    <row r="120" spans="1:6" x14ac:dyDescent="0.3">
      <c r="A120" s="8" t="s">
        <v>201</v>
      </c>
      <c r="B120" s="8" t="s">
        <v>53724</v>
      </c>
      <c r="C120" s="8" t="s">
        <v>202</v>
      </c>
      <c r="D120" s="8"/>
      <c r="E120" s="6"/>
      <c r="F120" s="6"/>
    </row>
    <row r="121" spans="1:6" x14ac:dyDescent="0.3">
      <c r="A121" s="8" t="s">
        <v>203</v>
      </c>
      <c r="B121" s="8" t="s">
        <v>53725</v>
      </c>
      <c r="C121" s="8" t="s">
        <v>204</v>
      </c>
      <c r="D121" s="8"/>
      <c r="E121" s="6"/>
      <c r="F121" s="6"/>
    </row>
    <row r="122" spans="1:6" x14ac:dyDescent="0.3">
      <c r="A122" s="8" t="s">
        <v>205</v>
      </c>
      <c r="B122" s="8" t="s">
        <v>53726</v>
      </c>
      <c r="C122" s="8" t="s">
        <v>206</v>
      </c>
      <c r="D122" s="8"/>
      <c r="E122" s="6"/>
      <c r="F122" s="6"/>
    </row>
    <row r="123" spans="1:6" x14ac:dyDescent="0.3">
      <c r="A123" s="8" t="s">
        <v>207</v>
      </c>
      <c r="B123" s="8" t="s">
        <v>53727</v>
      </c>
      <c r="C123" s="8" t="s">
        <v>208</v>
      </c>
      <c r="D123" s="8"/>
      <c r="E123" s="6"/>
      <c r="F123" s="6"/>
    </row>
    <row r="124" spans="1:6" x14ac:dyDescent="0.3">
      <c r="A124" s="8" t="s">
        <v>209</v>
      </c>
      <c r="B124" s="8" t="s">
        <v>53728</v>
      </c>
      <c r="C124" s="8" t="s">
        <v>210</v>
      </c>
      <c r="D124" s="8"/>
      <c r="E124" s="6"/>
      <c r="F124" s="6"/>
    </row>
    <row r="125" spans="1:6" x14ac:dyDescent="0.3">
      <c r="A125" s="8" t="s">
        <v>211</v>
      </c>
      <c r="B125" s="8" t="s">
        <v>53729</v>
      </c>
      <c r="C125" s="8" t="s">
        <v>212</v>
      </c>
      <c r="D125" s="8"/>
      <c r="E125" s="6"/>
      <c r="F125" s="6"/>
    </row>
    <row r="126" spans="1:6" x14ac:dyDescent="0.3">
      <c r="A126" s="8" t="s">
        <v>213</v>
      </c>
      <c r="B126" s="8" t="s">
        <v>53730</v>
      </c>
      <c r="C126" s="8" t="s">
        <v>214</v>
      </c>
      <c r="D126" s="8"/>
      <c r="E126" s="6"/>
      <c r="F126" s="6"/>
    </row>
    <row r="127" spans="1:6" x14ac:dyDescent="0.3">
      <c r="A127" s="8" t="s">
        <v>215</v>
      </c>
      <c r="B127" s="8" t="s">
        <v>53731</v>
      </c>
      <c r="C127" s="8" t="s">
        <v>216</v>
      </c>
      <c r="D127" s="8"/>
      <c r="E127" s="6"/>
      <c r="F127" s="6"/>
    </row>
    <row r="128" spans="1:6" x14ac:dyDescent="0.3">
      <c r="A128" s="8" t="s">
        <v>217</v>
      </c>
      <c r="B128" s="8" t="s">
        <v>53732</v>
      </c>
      <c r="C128" s="8" t="s">
        <v>218</v>
      </c>
      <c r="D128" s="8"/>
      <c r="E128" s="6"/>
      <c r="F128" s="6"/>
    </row>
    <row r="129" spans="1:6" x14ac:dyDescent="0.3">
      <c r="A129" s="8" t="s">
        <v>219</v>
      </c>
      <c r="B129" s="8" t="s">
        <v>53733</v>
      </c>
      <c r="C129" s="8" t="s">
        <v>220</v>
      </c>
      <c r="D129" s="8"/>
      <c r="E129" s="6"/>
      <c r="F129" s="6"/>
    </row>
    <row r="130" spans="1:6" x14ac:dyDescent="0.3">
      <c r="A130" s="8" t="s">
        <v>221</v>
      </c>
      <c r="B130" s="8" t="s">
        <v>53734</v>
      </c>
      <c r="C130" s="8" t="s">
        <v>222</v>
      </c>
      <c r="D130" s="8"/>
      <c r="E130" s="6"/>
      <c r="F130" s="6"/>
    </row>
    <row r="131" spans="1:6" x14ac:dyDescent="0.3">
      <c r="A131" s="8" t="s">
        <v>223</v>
      </c>
      <c r="B131" s="8" t="s">
        <v>53735</v>
      </c>
      <c r="C131" s="8" t="s">
        <v>224</v>
      </c>
      <c r="D131" s="8"/>
      <c r="E131" s="6"/>
      <c r="F131" s="6"/>
    </row>
    <row r="132" spans="1:6" x14ac:dyDescent="0.3">
      <c r="A132" s="8" t="s">
        <v>225</v>
      </c>
      <c r="B132" s="8" t="s">
        <v>53736</v>
      </c>
      <c r="C132" s="8" t="s">
        <v>226</v>
      </c>
      <c r="D132" s="8"/>
      <c r="E132" s="6"/>
      <c r="F132" s="6"/>
    </row>
    <row r="133" spans="1:6" x14ac:dyDescent="0.3">
      <c r="A133" s="8" t="s">
        <v>227</v>
      </c>
      <c r="B133" s="8" t="s">
        <v>53737</v>
      </c>
      <c r="C133" s="8" t="s">
        <v>228</v>
      </c>
      <c r="D133" s="8"/>
      <c r="E133" s="6"/>
      <c r="F133" s="6"/>
    </row>
    <row r="134" spans="1:6" x14ac:dyDescent="0.3">
      <c r="A134" s="8" t="s">
        <v>229</v>
      </c>
      <c r="B134" s="8" t="s">
        <v>53738</v>
      </c>
      <c r="C134" s="8" t="s">
        <v>230</v>
      </c>
      <c r="D134" s="8"/>
      <c r="E134" s="6"/>
      <c r="F134" s="6"/>
    </row>
    <row r="135" spans="1:6" x14ac:dyDescent="0.3">
      <c r="A135" s="8" t="s">
        <v>231</v>
      </c>
      <c r="B135" s="8" t="s">
        <v>53739</v>
      </c>
      <c r="C135" s="8" t="s">
        <v>232</v>
      </c>
      <c r="D135" s="8"/>
      <c r="E135" s="6"/>
      <c r="F135" s="6"/>
    </row>
    <row r="136" spans="1:6" x14ac:dyDescent="0.3">
      <c r="A136" s="8" t="s">
        <v>233</v>
      </c>
      <c r="B136" s="8" t="s">
        <v>53740</v>
      </c>
      <c r="C136" s="8" t="s">
        <v>234</v>
      </c>
      <c r="D136" s="8"/>
      <c r="E136" s="6"/>
      <c r="F136" s="6"/>
    </row>
    <row r="137" spans="1:6" x14ac:dyDescent="0.3">
      <c r="A137" s="8" t="s">
        <v>235</v>
      </c>
      <c r="B137" s="8" t="s">
        <v>53741</v>
      </c>
      <c r="C137" s="8" t="s">
        <v>236</v>
      </c>
      <c r="D137" s="8"/>
      <c r="E137" s="6"/>
      <c r="F137" s="6"/>
    </row>
    <row r="138" spans="1:6" x14ac:dyDescent="0.3">
      <c r="A138" s="8" t="s">
        <v>237</v>
      </c>
      <c r="B138" s="8" t="s">
        <v>53742</v>
      </c>
      <c r="C138" s="8" t="s">
        <v>238</v>
      </c>
      <c r="D138" s="8"/>
      <c r="E138" s="6"/>
      <c r="F138" s="6"/>
    </row>
    <row r="139" spans="1:6" x14ac:dyDescent="0.3">
      <c r="A139" s="8" t="s">
        <v>239</v>
      </c>
      <c r="B139" s="8" t="s">
        <v>53743</v>
      </c>
      <c r="C139" s="8" t="s">
        <v>240</v>
      </c>
      <c r="D139" s="8"/>
      <c r="E139" s="6"/>
      <c r="F139" s="6"/>
    </row>
    <row r="140" spans="1:6" x14ac:dyDescent="0.3">
      <c r="A140" s="8" t="s">
        <v>241</v>
      </c>
      <c r="B140" s="8" t="s">
        <v>53744</v>
      </c>
      <c r="C140" s="8" t="s">
        <v>242</v>
      </c>
      <c r="D140" s="8"/>
      <c r="E140" s="6"/>
      <c r="F140" s="6"/>
    </row>
    <row r="141" spans="1:6" x14ac:dyDescent="0.3">
      <c r="A141" s="8" t="s">
        <v>243</v>
      </c>
      <c r="B141" s="8" t="s">
        <v>53745</v>
      </c>
      <c r="C141" s="8" t="s">
        <v>244</v>
      </c>
      <c r="D141" s="8"/>
      <c r="E141" s="6"/>
      <c r="F141" s="6"/>
    </row>
    <row r="142" spans="1:6" x14ac:dyDescent="0.3">
      <c r="A142" s="8" t="s">
        <v>245</v>
      </c>
      <c r="B142" s="8" t="s">
        <v>53746</v>
      </c>
      <c r="C142" s="8" t="s">
        <v>246</v>
      </c>
      <c r="D142" s="8"/>
      <c r="E142" s="6"/>
      <c r="F142" s="6"/>
    </row>
    <row r="143" spans="1:6" x14ac:dyDescent="0.3">
      <c r="A143" s="8" t="s">
        <v>247</v>
      </c>
      <c r="B143" s="8" t="s">
        <v>53747</v>
      </c>
      <c r="C143" s="8" t="s">
        <v>248</v>
      </c>
      <c r="D143" s="8"/>
      <c r="E143" s="6"/>
      <c r="F143" s="6"/>
    </row>
    <row r="144" spans="1:6" x14ac:dyDescent="0.3">
      <c r="A144" s="8" t="s">
        <v>249</v>
      </c>
      <c r="B144" s="8" t="s">
        <v>53748</v>
      </c>
      <c r="C144" s="8" t="s">
        <v>250</v>
      </c>
      <c r="D144" s="8"/>
      <c r="E144" s="6"/>
      <c r="F144" s="6"/>
    </row>
    <row r="145" spans="1:6" x14ac:dyDescent="0.3">
      <c r="A145" s="8" t="s">
        <v>251</v>
      </c>
      <c r="B145" s="8" t="s">
        <v>53749</v>
      </c>
      <c r="C145" s="8" t="s">
        <v>252</v>
      </c>
      <c r="D145" s="8"/>
      <c r="E145" s="6"/>
      <c r="F145" s="6"/>
    </row>
    <row r="146" spans="1:6" x14ac:dyDescent="0.3">
      <c r="A146" s="8" t="s">
        <v>253</v>
      </c>
      <c r="B146" s="8" t="s">
        <v>53750</v>
      </c>
      <c r="C146" s="8" t="s">
        <v>254</v>
      </c>
      <c r="D146" s="8"/>
      <c r="E146" s="6"/>
      <c r="F146" s="6"/>
    </row>
    <row r="147" spans="1:6" x14ac:dyDescent="0.3">
      <c r="A147" s="8" t="s">
        <v>255</v>
      </c>
      <c r="B147" s="8" t="s">
        <v>53751</v>
      </c>
      <c r="C147" s="8" t="s">
        <v>256</v>
      </c>
      <c r="D147" s="8"/>
      <c r="E147" s="6"/>
      <c r="F147" s="6"/>
    </row>
    <row r="148" spans="1:6" x14ac:dyDescent="0.3">
      <c r="A148" s="8" t="s">
        <v>257</v>
      </c>
      <c r="B148" s="8" t="s">
        <v>53752</v>
      </c>
      <c r="C148" s="8" t="s">
        <v>258</v>
      </c>
      <c r="D148" s="8"/>
      <c r="E148" s="6"/>
      <c r="F148" s="6"/>
    </row>
    <row r="149" spans="1:6" x14ac:dyDescent="0.3">
      <c r="A149" s="8" t="s">
        <v>259</v>
      </c>
      <c r="B149" s="8" t="s">
        <v>53753</v>
      </c>
      <c r="C149" s="8" t="s">
        <v>260</v>
      </c>
      <c r="D149" s="8"/>
      <c r="E149" s="6"/>
      <c r="F149" s="6"/>
    </row>
    <row r="150" spans="1:6" x14ac:dyDescent="0.3">
      <c r="A150" s="8" t="s">
        <v>261</v>
      </c>
      <c r="B150" s="8" t="s">
        <v>53754</v>
      </c>
      <c r="C150" s="8" t="s">
        <v>262</v>
      </c>
      <c r="D150" s="8"/>
      <c r="E150" s="6"/>
      <c r="F150" s="6"/>
    </row>
    <row r="151" spans="1:6" x14ac:dyDescent="0.3">
      <c r="A151" s="8" t="s">
        <v>263</v>
      </c>
      <c r="B151" s="8" t="s">
        <v>53755</v>
      </c>
      <c r="C151" s="8" t="s">
        <v>264</v>
      </c>
      <c r="D151" s="8"/>
      <c r="E151" s="6"/>
      <c r="F151" s="6"/>
    </row>
    <row r="152" spans="1:6" x14ac:dyDescent="0.3">
      <c r="A152" s="8" t="s">
        <v>265</v>
      </c>
      <c r="B152" s="8" t="s">
        <v>53756</v>
      </c>
      <c r="C152" s="8" t="s">
        <v>266</v>
      </c>
      <c r="D152" s="8"/>
      <c r="E152" s="6"/>
      <c r="F152" s="6"/>
    </row>
    <row r="153" spans="1:6" x14ac:dyDescent="0.3">
      <c r="A153" s="8" t="s">
        <v>267</v>
      </c>
      <c r="B153" s="8" t="s">
        <v>53757</v>
      </c>
      <c r="C153" s="8" t="s">
        <v>268</v>
      </c>
      <c r="D153" s="8"/>
      <c r="E153" s="6"/>
      <c r="F153" s="6"/>
    </row>
    <row r="154" spans="1:6" x14ac:dyDescent="0.3">
      <c r="A154" s="8" t="s">
        <v>269</v>
      </c>
      <c r="B154" s="8" t="s">
        <v>53758</v>
      </c>
      <c r="C154" s="8" t="s">
        <v>270</v>
      </c>
      <c r="D154" s="8"/>
      <c r="E154" s="6"/>
      <c r="F154" s="6"/>
    </row>
    <row r="155" spans="1:6" x14ac:dyDescent="0.3">
      <c r="A155" s="8" t="s">
        <v>271</v>
      </c>
      <c r="B155" s="8" t="s">
        <v>53759</v>
      </c>
      <c r="C155" s="8" t="s">
        <v>272</v>
      </c>
      <c r="D155" s="8"/>
      <c r="E155" s="6"/>
      <c r="F155" s="6"/>
    </row>
    <row r="156" spans="1:6" x14ac:dyDescent="0.3">
      <c r="A156" s="8" t="s">
        <v>273</v>
      </c>
      <c r="B156" s="8" t="s">
        <v>53760</v>
      </c>
      <c r="C156" s="8" t="s">
        <v>274</v>
      </c>
      <c r="D156" s="8"/>
      <c r="E156" s="6"/>
      <c r="F156" s="6"/>
    </row>
    <row r="157" spans="1:6" x14ac:dyDescent="0.3">
      <c r="A157" s="8" t="s">
        <v>275</v>
      </c>
      <c r="B157" s="8" t="s">
        <v>53761</v>
      </c>
      <c r="C157" s="8" t="s">
        <v>276</v>
      </c>
      <c r="D157" s="8"/>
      <c r="E157" s="6"/>
      <c r="F157" s="6"/>
    </row>
    <row r="158" spans="1:6" x14ac:dyDescent="0.3">
      <c r="A158" s="8" t="s">
        <v>277</v>
      </c>
      <c r="B158" s="8" t="s">
        <v>53762</v>
      </c>
      <c r="C158" s="8" t="s">
        <v>278</v>
      </c>
      <c r="D158" s="8"/>
      <c r="E158" s="6"/>
      <c r="F158" s="6"/>
    </row>
    <row r="159" spans="1:6" x14ac:dyDescent="0.3">
      <c r="A159" s="8" t="s">
        <v>279</v>
      </c>
      <c r="B159" s="8" t="s">
        <v>53763</v>
      </c>
      <c r="C159" s="8" t="s">
        <v>280</v>
      </c>
      <c r="D159" s="8"/>
      <c r="E159" s="6"/>
      <c r="F159" s="6"/>
    </row>
    <row r="160" spans="1:6" x14ac:dyDescent="0.3">
      <c r="A160" s="8" t="s">
        <v>281</v>
      </c>
      <c r="B160" s="8" t="s">
        <v>53764</v>
      </c>
      <c r="C160" s="8" t="s">
        <v>282</v>
      </c>
      <c r="D160" s="8"/>
      <c r="E160" s="6"/>
      <c r="F160" s="6"/>
    </row>
    <row r="161" spans="1:6" x14ac:dyDescent="0.3">
      <c r="A161" s="8" t="s">
        <v>283</v>
      </c>
      <c r="B161" s="8" t="s">
        <v>53765</v>
      </c>
      <c r="C161" s="8" t="s">
        <v>284</v>
      </c>
      <c r="D161" s="8"/>
      <c r="E161" s="6"/>
      <c r="F161" s="6"/>
    </row>
    <row r="162" spans="1:6" x14ac:dyDescent="0.3">
      <c r="A162" s="8" t="s">
        <v>285</v>
      </c>
      <c r="B162" s="8" t="s">
        <v>53766</v>
      </c>
      <c r="C162" s="8" t="s">
        <v>286</v>
      </c>
      <c r="D162" s="8"/>
      <c r="E162" s="6"/>
      <c r="F162" s="6"/>
    </row>
    <row r="163" spans="1:6" x14ac:dyDescent="0.3">
      <c r="A163" s="8" t="s">
        <v>287</v>
      </c>
      <c r="B163" s="8" t="s">
        <v>53767</v>
      </c>
      <c r="C163" s="8" t="s">
        <v>288</v>
      </c>
      <c r="D163" s="8"/>
      <c r="E163" s="6"/>
      <c r="F163" s="6"/>
    </row>
    <row r="164" spans="1:6" x14ac:dyDescent="0.3">
      <c r="A164" s="8" t="s">
        <v>289</v>
      </c>
      <c r="B164" s="8" t="s">
        <v>53768</v>
      </c>
      <c r="C164" s="8" t="s">
        <v>290</v>
      </c>
      <c r="D164" s="8"/>
      <c r="E164" s="6"/>
      <c r="F164" s="6"/>
    </row>
    <row r="165" spans="1:6" x14ac:dyDescent="0.3">
      <c r="A165" s="8" t="s">
        <v>291</v>
      </c>
      <c r="B165" s="8" t="s">
        <v>53769</v>
      </c>
      <c r="C165" s="8" t="s">
        <v>292</v>
      </c>
      <c r="D165" s="8"/>
      <c r="E165" s="6"/>
      <c r="F165" s="6"/>
    </row>
    <row r="166" spans="1:6" x14ac:dyDescent="0.3">
      <c r="A166" s="8" t="s">
        <v>293</v>
      </c>
      <c r="B166" s="8" t="s">
        <v>53770</v>
      </c>
      <c r="C166" s="8" t="s">
        <v>294</v>
      </c>
      <c r="D166" s="8"/>
      <c r="E166" s="6"/>
      <c r="F166" s="6"/>
    </row>
    <row r="167" spans="1:6" x14ac:dyDescent="0.3">
      <c r="A167" s="8" t="s">
        <v>295</v>
      </c>
      <c r="B167" s="8" t="s">
        <v>53771</v>
      </c>
      <c r="C167" s="8" t="s">
        <v>296</v>
      </c>
      <c r="D167" s="8"/>
      <c r="E167" s="6"/>
      <c r="F167" s="6"/>
    </row>
    <row r="168" spans="1:6" x14ac:dyDescent="0.3">
      <c r="A168" s="8" t="s">
        <v>297</v>
      </c>
      <c r="B168" s="8" t="s">
        <v>53772</v>
      </c>
      <c r="C168" s="8" t="s">
        <v>298</v>
      </c>
      <c r="D168" s="8"/>
      <c r="E168" s="6"/>
      <c r="F168" s="6"/>
    </row>
    <row r="169" spans="1:6" x14ac:dyDescent="0.3">
      <c r="A169" s="8" t="s">
        <v>299</v>
      </c>
      <c r="B169" s="8" t="s">
        <v>53773</v>
      </c>
      <c r="C169" s="8" t="s">
        <v>300</v>
      </c>
      <c r="D169" s="8"/>
      <c r="E169" s="6"/>
      <c r="F169" s="6"/>
    </row>
    <row r="170" spans="1:6" x14ac:dyDescent="0.3">
      <c r="A170" s="8" t="s">
        <v>301</v>
      </c>
      <c r="B170" s="8" t="s">
        <v>53774</v>
      </c>
      <c r="C170" s="8" t="s">
        <v>302</v>
      </c>
      <c r="D170" s="8"/>
      <c r="E170" s="6"/>
      <c r="F170" s="6"/>
    </row>
    <row r="171" spans="1:6" x14ac:dyDescent="0.3">
      <c r="A171" s="8" t="s">
        <v>303</v>
      </c>
      <c r="B171" s="8" t="s">
        <v>53775</v>
      </c>
      <c r="C171" s="8" t="s">
        <v>304</v>
      </c>
      <c r="D171" s="8"/>
      <c r="E171" s="6"/>
      <c r="F171" s="6"/>
    </row>
    <row r="172" spans="1:6" x14ac:dyDescent="0.3">
      <c r="A172" s="8" t="s">
        <v>305</v>
      </c>
      <c r="B172" s="8" t="s">
        <v>53776</v>
      </c>
      <c r="C172" s="8" t="s">
        <v>306</v>
      </c>
      <c r="D172" s="8"/>
      <c r="E172" s="6"/>
      <c r="F172" s="6"/>
    </row>
    <row r="173" spans="1:6" x14ac:dyDescent="0.3">
      <c r="A173" s="8" t="s">
        <v>307</v>
      </c>
      <c r="B173" s="8" t="s">
        <v>53777</v>
      </c>
      <c r="C173" s="8" t="s">
        <v>308</v>
      </c>
      <c r="D173" s="8"/>
      <c r="E173" s="6"/>
      <c r="F173" s="6"/>
    </row>
    <row r="174" spans="1:6" x14ac:dyDescent="0.3">
      <c r="A174" s="8" t="s">
        <v>309</v>
      </c>
      <c r="B174" s="8" t="s">
        <v>53778</v>
      </c>
      <c r="C174" s="8" t="s">
        <v>310</v>
      </c>
      <c r="D174" s="8"/>
      <c r="E174" s="6"/>
      <c r="F174" s="6"/>
    </row>
    <row r="175" spans="1:6" x14ac:dyDescent="0.3">
      <c r="A175" s="8" t="s">
        <v>311</v>
      </c>
      <c r="B175" s="8" t="s">
        <v>53779</v>
      </c>
      <c r="C175" s="8" t="s">
        <v>312</v>
      </c>
      <c r="D175" s="8"/>
      <c r="E175" s="6"/>
      <c r="F175" s="6"/>
    </row>
    <row r="176" spans="1:6" x14ac:dyDescent="0.3">
      <c r="A176" s="8" t="s">
        <v>313</v>
      </c>
      <c r="B176" s="8" t="s">
        <v>53780</v>
      </c>
      <c r="C176" s="8" t="s">
        <v>314</v>
      </c>
      <c r="D176" s="8"/>
      <c r="E176" s="6"/>
      <c r="F176" s="6"/>
    </row>
    <row r="177" spans="1:6" x14ac:dyDescent="0.3">
      <c r="A177" s="8" t="s">
        <v>315</v>
      </c>
      <c r="B177" s="8" t="s">
        <v>53781</v>
      </c>
      <c r="C177" s="8" t="s">
        <v>316</v>
      </c>
      <c r="D177" s="8"/>
      <c r="E177" s="6"/>
      <c r="F177" s="6"/>
    </row>
    <row r="178" spans="1:6" x14ac:dyDescent="0.3">
      <c r="A178" s="8" t="s">
        <v>317</v>
      </c>
      <c r="B178" s="8" t="s">
        <v>53782</v>
      </c>
      <c r="C178" s="8" t="s">
        <v>318</v>
      </c>
      <c r="D178" s="8"/>
      <c r="E178" s="6"/>
      <c r="F178" s="6"/>
    </row>
    <row r="179" spans="1:6" x14ac:dyDescent="0.3">
      <c r="A179" s="8" t="s">
        <v>319</v>
      </c>
      <c r="B179" s="8" t="s">
        <v>53783</v>
      </c>
      <c r="C179" s="8" t="s">
        <v>320</v>
      </c>
      <c r="D179" s="8"/>
      <c r="E179" s="6"/>
      <c r="F179" s="6"/>
    </row>
    <row r="180" spans="1:6" x14ac:dyDescent="0.3">
      <c r="A180" s="8" t="s">
        <v>321</v>
      </c>
      <c r="B180" s="8" t="s">
        <v>53784</v>
      </c>
      <c r="C180" s="8" t="s">
        <v>322</v>
      </c>
      <c r="D180" s="8"/>
      <c r="E180" s="6"/>
      <c r="F180" s="6"/>
    </row>
    <row r="181" spans="1:6" x14ac:dyDescent="0.3">
      <c r="A181" s="8" t="s">
        <v>323</v>
      </c>
      <c r="B181" s="8" t="s">
        <v>53785</v>
      </c>
      <c r="C181" s="8" t="s">
        <v>324</v>
      </c>
      <c r="D181" s="8"/>
      <c r="E181" s="6"/>
      <c r="F181" s="6"/>
    </row>
    <row r="182" spans="1:6" x14ac:dyDescent="0.3">
      <c r="A182" s="8" t="s">
        <v>325</v>
      </c>
      <c r="B182" s="8" t="s">
        <v>53786</v>
      </c>
      <c r="C182" s="8" t="s">
        <v>326</v>
      </c>
      <c r="D182" s="8"/>
      <c r="E182" s="6"/>
      <c r="F182" s="6"/>
    </row>
    <row r="183" spans="1:6" x14ac:dyDescent="0.3">
      <c r="A183" s="8" t="s">
        <v>327</v>
      </c>
      <c r="B183" s="8" t="s">
        <v>53787</v>
      </c>
      <c r="C183" s="8" t="s">
        <v>328</v>
      </c>
      <c r="D183" s="8"/>
      <c r="E183" s="6"/>
      <c r="F183" s="6"/>
    </row>
    <row r="184" spans="1:6" x14ac:dyDescent="0.3">
      <c r="A184" s="8" t="s">
        <v>329</v>
      </c>
      <c r="B184" s="8" t="s">
        <v>53788</v>
      </c>
      <c r="C184" s="8" t="s">
        <v>330</v>
      </c>
      <c r="D184" s="8"/>
      <c r="E184" s="6"/>
      <c r="F184" s="6"/>
    </row>
    <row r="185" spans="1:6" x14ac:dyDescent="0.3">
      <c r="A185" s="8" t="s">
        <v>331</v>
      </c>
      <c r="B185" s="8" t="s">
        <v>53789</v>
      </c>
      <c r="C185" s="8" t="s">
        <v>332</v>
      </c>
      <c r="D185" s="8"/>
      <c r="E185" s="6"/>
      <c r="F185" s="6"/>
    </row>
    <row r="186" spans="1:6" x14ac:dyDescent="0.3">
      <c r="A186" s="8" t="s">
        <v>333</v>
      </c>
      <c r="B186" s="8" t="s">
        <v>53790</v>
      </c>
      <c r="C186" s="8" t="s">
        <v>334</v>
      </c>
      <c r="D186" s="8"/>
      <c r="E186" s="6"/>
      <c r="F186" s="6"/>
    </row>
    <row r="187" spans="1:6" x14ac:dyDescent="0.3">
      <c r="A187" s="8" t="s">
        <v>335</v>
      </c>
      <c r="B187" s="8" t="s">
        <v>53791</v>
      </c>
      <c r="C187" s="8" t="s">
        <v>336</v>
      </c>
      <c r="D187" s="8"/>
      <c r="E187" s="6"/>
      <c r="F187" s="6"/>
    </row>
    <row r="188" spans="1:6" x14ac:dyDescent="0.3">
      <c r="A188" s="8" t="s">
        <v>337</v>
      </c>
      <c r="B188" s="8" t="s">
        <v>53792</v>
      </c>
      <c r="C188" s="8" t="s">
        <v>338</v>
      </c>
      <c r="D188" s="8"/>
      <c r="E188" s="6"/>
      <c r="F188" s="6"/>
    </row>
    <row r="189" spans="1:6" x14ac:dyDescent="0.3">
      <c r="A189" s="8" t="s">
        <v>339</v>
      </c>
      <c r="B189" s="8" t="s">
        <v>53793</v>
      </c>
      <c r="C189" s="8" t="s">
        <v>340</v>
      </c>
      <c r="D189" s="8"/>
      <c r="E189" s="6"/>
      <c r="F189" s="6"/>
    </row>
    <row r="190" spans="1:6" x14ac:dyDescent="0.3">
      <c r="A190" s="8" t="s">
        <v>341</v>
      </c>
      <c r="B190" s="8" t="s">
        <v>53794</v>
      </c>
      <c r="C190" s="8" t="s">
        <v>342</v>
      </c>
      <c r="D190" s="8"/>
      <c r="E190" s="6"/>
      <c r="F190" s="6"/>
    </row>
    <row r="191" spans="1:6" x14ac:dyDescent="0.3">
      <c r="A191" s="8" t="s">
        <v>343</v>
      </c>
      <c r="B191" s="8" t="s">
        <v>53795</v>
      </c>
      <c r="C191" s="8" t="s">
        <v>344</v>
      </c>
      <c r="D191" s="8"/>
      <c r="E191" s="6"/>
      <c r="F191" s="6"/>
    </row>
    <row r="192" spans="1:6" x14ac:dyDescent="0.3">
      <c r="A192" s="8" t="s">
        <v>345</v>
      </c>
      <c r="B192" s="8" t="s">
        <v>53796</v>
      </c>
      <c r="C192" s="8" t="s">
        <v>346</v>
      </c>
      <c r="D192" s="8"/>
      <c r="E192" s="6"/>
      <c r="F192" s="6"/>
    </row>
    <row r="193" spans="1:6" x14ac:dyDescent="0.3">
      <c r="A193" s="8" t="s">
        <v>347</v>
      </c>
      <c r="B193" s="8" t="s">
        <v>53797</v>
      </c>
      <c r="C193" s="8" t="s">
        <v>348</v>
      </c>
      <c r="D193" s="8"/>
      <c r="E193" s="6"/>
      <c r="F193" s="6"/>
    </row>
    <row r="194" spans="1:6" x14ac:dyDescent="0.3">
      <c r="A194" s="8" t="s">
        <v>349</v>
      </c>
      <c r="B194" s="8" t="s">
        <v>53798</v>
      </c>
      <c r="C194" s="8" t="s">
        <v>350</v>
      </c>
      <c r="D194" s="8"/>
      <c r="E194" s="6"/>
      <c r="F194" s="6"/>
    </row>
    <row r="195" spans="1:6" x14ac:dyDescent="0.3">
      <c r="A195" s="8" t="s">
        <v>351</v>
      </c>
      <c r="B195" s="8" t="s">
        <v>53799</v>
      </c>
      <c r="C195" s="8" t="s">
        <v>352</v>
      </c>
      <c r="D195" s="8"/>
      <c r="E195" s="6"/>
      <c r="F195" s="6"/>
    </row>
    <row r="196" spans="1:6" x14ac:dyDescent="0.3">
      <c r="A196" s="8" t="s">
        <v>353</v>
      </c>
      <c r="B196" s="8" t="s">
        <v>53800</v>
      </c>
      <c r="C196" s="8" t="s">
        <v>354</v>
      </c>
      <c r="D196" s="8"/>
      <c r="E196" s="6"/>
      <c r="F196" s="6"/>
    </row>
    <row r="197" spans="1:6" x14ac:dyDescent="0.3">
      <c r="A197" s="8" t="s">
        <v>355</v>
      </c>
      <c r="B197" s="8" t="s">
        <v>53801</v>
      </c>
      <c r="C197" s="8" t="s">
        <v>356</v>
      </c>
      <c r="D197" s="8"/>
      <c r="E197" s="6"/>
      <c r="F197" s="6"/>
    </row>
    <row r="198" spans="1:6" x14ac:dyDescent="0.3">
      <c r="A198" s="8" t="s">
        <v>357</v>
      </c>
      <c r="B198" s="8" t="s">
        <v>53802</v>
      </c>
      <c r="C198" s="8" t="s">
        <v>358</v>
      </c>
      <c r="D198" s="8"/>
      <c r="E198" s="6"/>
      <c r="F198" s="6"/>
    </row>
    <row r="199" spans="1:6" x14ac:dyDescent="0.3">
      <c r="A199" s="8" t="s">
        <v>359</v>
      </c>
      <c r="B199" s="8" t="s">
        <v>53803</v>
      </c>
      <c r="C199" s="8" t="s">
        <v>360</v>
      </c>
      <c r="D199" s="8"/>
      <c r="E199" s="6"/>
      <c r="F199" s="6"/>
    </row>
    <row r="200" spans="1:6" x14ac:dyDescent="0.3">
      <c r="A200" s="8" t="s">
        <v>361</v>
      </c>
      <c r="B200" s="8" t="s">
        <v>53804</v>
      </c>
      <c r="C200" s="8" t="s">
        <v>362</v>
      </c>
      <c r="D200" s="8"/>
      <c r="E200" s="6"/>
      <c r="F200" s="6"/>
    </row>
    <row r="201" spans="1:6" x14ac:dyDescent="0.3">
      <c r="A201" s="8" t="s">
        <v>363</v>
      </c>
      <c r="B201" s="8" t="s">
        <v>53805</v>
      </c>
      <c r="C201" s="8" t="s">
        <v>364</v>
      </c>
      <c r="D201" s="8"/>
      <c r="E201" s="6"/>
      <c r="F201" s="6"/>
    </row>
    <row r="202" spans="1:6" x14ac:dyDescent="0.3">
      <c r="A202" s="8" t="s">
        <v>365</v>
      </c>
      <c r="B202" s="8" t="s">
        <v>53806</v>
      </c>
      <c r="C202" s="8" t="s">
        <v>366</v>
      </c>
      <c r="D202" s="8"/>
      <c r="E202" s="6"/>
      <c r="F202" s="6"/>
    </row>
    <row r="203" spans="1:6" x14ac:dyDescent="0.3">
      <c r="A203" s="8" t="s">
        <v>367</v>
      </c>
      <c r="B203" s="8" t="s">
        <v>53807</v>
      </c>
      <c r="C203" s="8" t="s">
        <v>368</v>
      </c>
      <c r="D203" s="8"/>
      <c r="E203" s="6"/>
      <c r="F203" s="6"/>
    </row>
    <row r="204" spans="1:6" x14ac:dyDescent="0.3">
      <c r="A204" s="8" t="s">
        <v>369</v>
      </c>
      <c r="B204" s="8" t="s">
        <v>53808</v>
      </c>
      <c r="C204" s="8" t="s">
        <v>370</v>
      </c>
      <c r="D204" s="8"/>
      <c r="E204" s="6"/>
      <c r="F204" s="6"/>
    </row>
    <row r="205" spans="1:6" x14ac:dyDescent="0.3">
      <c r="A205" s="8" t="s">
        <v>371</v>
      </c>
      <c r="B205" s="8" t="s">
        <v>53809</v>
      </c>
      <c r="C205" s="8" t="s">
        <v>372</v>
      </c>
      <c r="D205" s="8"/>
      <c r="E205" s="6"/>
      <c r="F205" s="6"/>
    </row>
    <row r="206" spans="1:6" x14ac:dyDescent="0.3">
      <c r="A206" s="8" t="s">
        <v>373</v>
      </c>
      <c r="B206" s="8" t="s">
        <v>53810</v>
      </c>
      <c r="C206" s="8" t="s">
        <v>374</v>
      </c>
      <c r="D206" s="8"/>
      <c r="E206" s="6"/>
      <c r="F206" s="6"/>
    </row>
    <row r="207" spans="1:6" x14ac:dyDescent="0.3">
      <c r="A207" s="8" t="s">
        <v>375</v>
      </c>
      <c r="B207" s="8" t="s">
        <v>53811</v>
      </c>
      <c r="C207" s="8" t="s">
        <v>376</v>
      </c>
      <c r="D207" s="8"/>
      <c r="E207" s="6"/>
      <c r="F207" s="6"/>
    </row>
    <row r="208" spans="1:6" x14ac:dyDescent="0.3">
      <c r="A208" s="8" t="s">
        <v>377</v>
      </c>
      <c r="B208" s="8" t="s">
        <v>53812</v>
      </c>
      <c r="C208" s="8" t="s">
        <v>378</v>
      </c>
      <c r="D208" s="8"/>
      <c r="E208" s="6"/>
      <c r="F208" s="6"/>
    </row>
    <row r="209" spans="1:6" x14ac:dyDescent="0.3">
      <c r="A209" s="8" t="s">
        <v>379</v>
      </c>
      <c r="B209" s="8" t="s">
        <v>53813</v>
      </c>
      <c r="C209" s="8" t="s">
        <v>380</v>
      </c>
      <c r="D209" s="8"/>
      <c r="E209" s="6"/>
      <c r="F209" s="6"/>
    </row>
    <row r="210" spans="1:6" x14ac:dyDescent="0.3">
      <c r="A210" s="8" t="s">
        <v>381</v>
      </c>
      <c r="B210" s="8" t="s">
        <v>53814</v>
      </c>
      <c r="C210" s="8" t="s">
        <v>382</v>
      </c>
      <c r="D210" s="8"/>
      <c r="E210" s="6"/>
      <c r="F210" s="6"/>
    </row>
    <row r="211" spans="1:6" x14ac:dyDescent="0.3">
      <c r="A211" s="8" t="s">
        <v>383</v>
      </c>
      <c r="B211" s="8" t="s">
        <v>53815</v>
      </c>
      <c r="C211" s="8" t="s">
        <v>384</v>
      </c>
      <c r="D211" s="8"/>
      <c r="E211" s="6"/>
      <c r="F211" s="6"/>
    </row>
    <row r="212" spans="1:6" x14ac:dyDescent="0.3">
      <c r="A212" s="8" t="s">
        <v>385</v>
      </c>
      <c r="B212" s="8" t="s">
        <v>53816</v>
      </c>
      <c r="C212" s="8" t="s">
        <v>386</v>
      </c>
      <c r="D212" s="8"/>
      <c r="E212" s="6"/>
      <c r="F212" s="6"/>
    </row>
    <row r="213" spans="1:6" x14ac:dyDescent="0.3">
      <c r="A213" s="8" t="s">
        <v>387</v>
      </c>
      <c r="B213" s="8" t="s">
        <v>53817</v>
      </c>
      <c r="C213" s="8" t="s">
        <v>388</v>
      </c>
      <c r="D213" s="8"/>
      <c r="E213" s="6"/>
      <c r="F213" s="6"/>
    </row>
    <row r="214" spans="1:6" x14ac:dyDescent="0.3">
      <c r="A214" s="8" t="s">
        <v>389</v>
      </c>
      <c r="B214" s="8" t="s">
        <v>53818</v>
      </c>
      <c r="C214" s="8" t="s">
        <v>390</v>
      </c>
      <c r="D214" s="8"/>
      <c r="E214" s="6"/>
      <c r="F214" s="6"/>
    </row>
    <row r="215" spans="1:6" x14ac:dyDescent="0.3">
      <c r="A215" s="8" t="s">
        <v>391</v>
      </c>
      <c r="B215" s="8" t="s">
        <v>53819</v>
      </c>
      <c r="C215" s="8" t="s">
        <v>392</v>
      </c>
      <c r="D215" s="8"/>
      <c r="E215" s="6"/>
      <c r="F215" s="6"/>
    </row>
    <row r="216" spans="1:6" x14ac:dyDescent="0.3">
      <c r="A216" s="8" t="s">
        <v>393</v>
      </c>
      <c r="B216" s="8" t="s">
        <v>53820</v>
      </c>
      <c r="C216" s="8" t="s">
        <v>394</v>
      </c>
      <c r="D216" s="8"/>
      <c r="E216" s="6"/>
      <c r="F216" s="6"/>
    </row>
    <row r="217" spans="1:6" x14ac:dyDescent="0.3">
      <c r="A217" s="8" t="s">
        <v>395</v>
      </c>
      <c r="B217" s="8" t="s">
        <v>53821</v>
      </c>
      <c r="C217" s="8" t="s">
        <v>396</v>
      </c>
      <c r="D217" s="8"/>
      <c r="E217" s="6"/>
      <c r="F217" s="6"/>
    </row>
    <row r="218" spans="1:6" x14ac:dyDescent="0.3">
      <c r="A218" s="8" t="s">
        <v>397</v>
      </c>
      <c r="B218" s="8" t="s">
        <v>53822</v>
      </c>
      <c r="C218" s="8" t="s">
        <v>398</v>
      </c>
      <c r="D218" s="8"/>
      <c r="E218" s="6"/>
      <c r="F218" s="6"/>
    </row>
    <row r="219" spans="1:6" x14ac:dyDescent="0.3">
      <c r="A219" s="8" t="s">
        <v>399</v>
      </c>
      <c r="B219" s="8" t="s">
        <v>53823</v>
      </c>
      <c r="C219" s="8" t="s">
        <v>400</v>
      </c>
      <c r="D219" s="8"/>
      <c r="E219" s="6"/>
      <c r="F219" s="6"/>
    </row>
    <row r="220" spans="1:6" x14ac:dyDescent="0.3">
      <c r="A220" s="8" t="s">
        <v>401</v>
      </c>
      <c r="B220" s="8" t="s">
        <v>53824</v>
      </c>
      <c r="C220" s="8" t="s">
        <v>402</v>
      </c>
      <c r="D220" s="8"/>
      <c r="E220" s="6"/>
      <c r="F220" s="6"/>
    </row>
    <row r="221" spans="1:6" x14ac:dyDescent="0.3">
      <c r="A221" s="8" t="s">
        <v>403</v>
      </c>
      <c r="B221" s="8" t="s">
        <v>53825</v>
      </c>
      <c r="C221" s="8" t="s">
        <v>404</v>
      </c>
      <c r="D221" s="8"/>
      <c r="E221" s="6"/>
      <c r="F221" s="6"/>
    </row>
    <row r="222" spans="1:6" x14ac:dyDescent="0.3">
      <c r="A222" s="8" t="s">
        <v>405</v>
      </c>
      <c r="B222" s="8" t="s">
        <v>53826</v>
      </c>
      <c r="C222" s="8" t="s">
        <v>406</v>
      </c>
      <c r="D222" s="8"/>
      <c r="E222" s="6"/>
      <c r="F222" s="6"/>
    </row>
    <row r="223" spans="1:6" x14ac:dyDescent="0.3">
      <c r="A223" s="8" t="s">
        <v>407</v>
      </c>
      <c r="B223" s="8" t="s">
        <v>53827</v>
      </c>
      <c r="C223" s="8" t="s">
        <v>408</v>
      </c>
      <c r="D223" s="8"/>
      <c r="E223" s="6"/>
      <c r="F223" s="6"/>
    </row>
    <row r="224" spans="1:6" x14ac:dyDescent="0.3">
      <c r="A224" s="8" t="s">
        <v>409</v>
      </c>
      <c r="B224" s="8" t="s">
        <v>53828</v>
      </c>
      <c r="C224" s="8" t="s">
        <v>410</v>
      </c>
      <c r="D224" s="8"/>
      <c r="E224" s="6"/>
      <c r="F224" s="6"/>
    </row>
    <row r="225" spans="1:6" x14ac:dyDescent="0.3">
      <c r="A225" s="8" t="s">
        <v>411</v>
      </c>
      <c r="B225" s="8" t="s">
        <v>53829</v>
      </c>
      <c r="C225" s="8" t="s">
        <v>412</v>
      </c>
      <c r="D225" s="8"/>
      <c r="E225" s="6"/>
      <c r="F225" s="6"/>
    </row>
    <row r="226" spans="1:6" x14ac:dyDescent="0.3">
      <c r="A226" s="8" t="s">
        <v>413</v>
      </c>
      <c r="B226" s="8" t="s">
        <v>53830</v>
      </c>
      <c r="C226" s="8" t="s">
        <v>414</v>
      </c>
      <c r="D226" s="8"/>
      <c r="E226" s="6"/>
      <c r="F226" s="6"/>
    </row>
    <row r="227" spans="1:6" x14ac:dyDescent="0.3">
      <c r="A227" s="8" t="s">
        <v>415</v>
      </c>
      <c r="B227" s="8" t="s">
        <v>53831</v>
      </c>
      <c r="C227" s="8" t="s">
        <v>416</v>
      </c>
      <c r="D227" s="8"/>
      <c r="E227" s="6"/>
      <c r="F227" s="6"/>
    </row>
    <row r="228" spans="1:6" x14ac:dyDescent="0.3">
      <c r="A228" s="8" t="s">
        <v>417</v>
      </c>
      <c r="B228" s="8" t="s">
        <v>53832</v>
      </c>
      <c r="C228" s="8" t="s">
        <v>418</v>
      </c>
      <c r="D228" s="8"/>
      <c r="E228" s="6"/>
      <c r="F228" s="6"/>
    </row>
    <row r="229" spans="1:6" x14ac:dyDescent="0.3">
      <c r="A229" s="8" t="s">
        <v>419</v>
      </c>
      <c r="B229" s="8" t="s">
        <v>53833</v>
      </c>
      <c r="C229" s="8" t="s">
        <v>420</v>
      </c>
      <c r="D229" s="8"/>
      <c r="E229" s="6"/>
      <c r="F229" s="6"/>
    </row>
    <row r="230" spans="1:6" x14ac:dyDescent="0.3">
      <c r="A230" s="8" t="s">
        <v>421</v>
      </c>
      <c r="B230" s="8" t="s">
        <v>53834</v>
      </c>
      <c r="C230" s="8" t="s">
        <v>422</v>
      </c>
      <c r="D230" s="8"/>
      <c r="E230" s="6"/>
      <c r="F230" s="6"/>
    </row>
    <row r="231" spans="1:6" x14ac:dyDescent="0.3">
      <c r="A231" s="8" t="s">
        <v>423</v>
      </c>
      <c r="B231" s="8" t="s">
        <v>53835</v>
      </c>
      <c r="C231" s="8" t="s">
        <v>424</v>
      </c>
      <c r="D231" s="8"/>
      <c r="E231" s="6"/>
      <c r="F231" s="6"/>
    </row>
    <row r="232" spans="1:6" x14ac:dyDescent="0.3">
      <c r="A232" s="8" t="s">
        <v>425</v>
      </c>
      <c r="B232" s="8" t="s">
        <v>53836</v>
      </c>
      <c r="C232" s="8" t="s">
        <v>426</v>
      </c>
      <c r="D232" s="8"/>
      <c r="E232" s="6"/>
      <c r="F232" s="6"/>
    </row>
    <row r="233" spans="1:6" x14ac:dyDescent="0.3">
      <c r="A233" s="8" t="s">
        <v>427</v>
      </c>
      <c r="B233" s="8" t="s">
        <v>53837</v>
      </c>
      <c r="C233" s="8" t="s">
        <v>428</v>
      </c>
      <c r="D233" s="8"/>
      <c r="E233" s="6"/>
      <c r="F233" s="6"/>
    </row>
    <row r="234" spans="1:6" x14ac:dyDescent="0.3">
      <c r="A234" s="8" t="s">
        <v>429</v>
      </c>
      <c r="B234" s="8" t="s">
        <v>53838</v>
      </c>
      <c r="C234" s="8" t="s">
        <v>430</v>
      </c>
      <c r="D234" s="8"/>
      <c r="E234" s="6"/>
      <c r="F234" s="6"/>
    </row>
    <row r="235" spans="1:6" x14ac:dyDescent="0.3">
      <c r="A235" s="8" t="s">
        <v>431</v>
      </c>
      <c r="B235" s="8" t="s">
        <v>53839</v>
      </c>
      <c r="C235" s="8" t="s">
        <v>432</v>
      </c>
      <c r="D235" s="8"/>
      <c r="E235" s="6"/>
      <c r="F235" s="6"/>
    </row>
    <row r="236" spans="1:6" x14ac:dyDescent="0.3">
      <c r="A236" s="8" t="s">
        <v>433</v>
      </c>
      <c r="B236" s="8" t="s">
        <v>53840</v>
      </c>
      <c r="C236" s="8" t="s">
        <v>434</v>
      </c>
      <c r="D236" s="8"/>
      <c r="E236" s="6"/>
      <c r="F236" s="6"/>
    </row>
    <row r="237" spans="1:6" x14ac:dyDescent="0.3">
      <c r="A237" s="8" t="s">
        <v>435</v>
      </c>
      <c r="B237" s="8" t="s">
        <v>53841</v>
      </c>
      <c r="C237" s="8" t="s">
        <v>436</v>
      </c>
      <c r="D237" s="8"/>
      <c r="E237" s="6"/>
      <c r="F237" s="6"/>
    </row>
    <row r="238" spans="1:6" x14ac:dyDescent="0.3">
      <c r="A238" s="8" t="s">
        <v>437</v>
      </c>
      <c r="B238" s="8" t="s">
        <v>53842</v>
      </c>
      <c r="C238" s="8" t="s">
        <v>438</v>
      </c>
      <c r="D238" s="8"/>
      <c r="E238" s="6"/>
      <c r="F238" s="6"/>
    </row>
    <row r="239" spans="1:6" x14ac:dyDescent="0.3">
      <c r="A239" s="8" t="s">
        <v>439</v>
      </c>
      <c r="B239" s="8" t="s">
        <v>53843</v>
      </c>
      <c r="C239" s="8" t="s">
        <v>440</v>
      </c>
      <c r="D239" s="8"/>
      <c r="E239" s="6"/>
      <c r="F239" s="6"/>
    </row>
    <row r="240" spans="1:6" x14ac:dyDescent="0.3">
      <c r="A240" s="8" t="s">
        <v>441</v>
      </c>
      <c r="B240" s="8" t="s">
        <v>53844</v>
      </c>
      <c r="C240" s="8" t="s">
        <v>442</v>
      </c>
      <c r="D240" s="8"/>
      <c r="E240" s="6"/>
      <c r="F240" s="6"/>
    </row>
    <row r="241" spans="1:6" x14ac:dyDescent="0.3">
      <c r="A241" s="8" t="s">
        <v>443</v>
      </c>
      <c r="B241" s="8" t="s">
        <v>53845</v>
      </c>
      <c r="C241" s="8" t="s">
        <v>444</v>
      </c>
      <c r="D241" s="8"/>
      <c r="E241" s="6"/>
      <c r="F241" s="6"/>
    </row>
    <row r="242" spans="1:6" x14ac:dyDescent="0.3">
      <c r="A242" s="8" t="s">
        <v>445</v>
      </c>
      <c r="B242" s="8" t="s">
        <v>53846</v>
      </c>
      <c r="C242" s="8" t="s">
        <v>446</v>
      </c>
      <c r="D242" s="8"/>
      <c r="E242" s="6"/>
      <c r="F242" s="6"/>
    </row>
    <row r="243" spans="1:6" x14ac:dyDescent="0.3">
      <c r="A243" s="8" t="s">
        <v>447</v>
      </c>
      <c r="B243" s="8" t="s">
        <v>53847</v>
      </c>
      <c r="C243" s="8" t="s">
        <v>448</v>
      </c>
      <c r="D243" s="8"/>
      <c r="E243" s="6"/>
      <c r="F243" s="6"/>
    </row>
    <row r="244" spans="1:6" x14ac:dyDescent="0.3">
      <c r="A244" s="8" t="s">
        <v>449</v>
      </c>
      <c r="B244" s="8" t="s">
        <v>53848</v>
      </c>
      <c r="C244" s="8" t="s">
        <v>450</v>
      </c>
      <c r="D244" s="8"/>
      <c r="E244" s="6"/>
      <c r="F244" s="6"/>
    </row>
    <row r="245" spans="1:6" x14ac:dyDescent="0.3">
      <c r="A245" s="8" t="s">
        <v>451</v>
      </c>
      <c r="B245" s="8" t="s">
        <v>53849</v>
      </c>
      <c r="C245" s="8" t="s">
        <v>452</v>
      </c>
      <c r="D245" s="8"/>
      <c r="E245" s="6"/>
      <c r="F245" s="6"/>
    </row>
    <row r="246" spans="1:6" x14ac:dyDescent="0.3">
      <c r="A246" s="8" t="s">
        <v>453</v>
      </c>
      <c r="B246" s="8" t="s">
        <v>53850</v>
      </c>
      <c r="C246" s="8" t="s">
        <v>454</v>
      </c>
      <c r="D246" s="8"/>
      <c r="E246" s="6"/>
      <c r="F246" s="6"/>
    </row>
    <row r="247" spans="1:6" x14ac:dyDescent="0.3">
      <c r="A247" s="8" t="s">
        <v>455</v>
      </c>
      <c r="B247" s="8" t="s">
        <v>53851</v>
      </c>
      <c r="C247" s="8" t="s">
        <v>456</v>
      </c>
      <c r="D247" s="8"/>
      <c r="E247" s="6"/>
      <c r="F247" s="6"/>
    </row>
    <row r="248" spans="1:6" x14ac:dyDescent="0.3">
      <c r="A248" s="8" t="s">
        <v>457</v>
      </c>
      <c r="B248" s="8" t="s">
        <v>53852</v>
      </c>
      <c r="C248" s="8" t="s">
        <v>458</v>
      </c>
      <c r="D248" s="8"/>
      <c r="E248" s="6"/>
      <c r="F248" s="6"/>
    </row>
    <row r="249" spans="1:6" x14ac:dyDescent="0.3">
      <c r="A249" s="8" t="s">
        <v>459</v>
      </c>
      <c r="B249" s="8" t="s">
        <v>53853</v>
      </c>
      <c r="C249" s="8" t="s">
        <v>460</v>
      </c>
      <c r="D249" s="8"/>
      <c r="E249" s="6"/>
      <c r="F249" s="6"/>
    </row>
    <row r="250" spans="1:6" x14ac:dyDescent="0.3">
      <c r="A250" s="8" t="s">
        <v>461</v>
      </c>
      <c r="B250" s="8" t="s">
        <v>53854</v>
      </c>
      <c r="C250" s="8" t="s">
        <v>462</v>
      </c>
      <c r="D250" s="8"/>
      <c r="E250" s="6"/>
      <c r="F250" s="6"/>
    </row>
    <row r="251" spans="1:6" x14ac:dyDescent="0.3">
      <c r="A251" s="8" t="s">
        <v>463</v>
      </c>
      <c r="B251" s="8" t="s">
        <v>53855</v>
      </c>
      <c r="C251" s="8" t="s">
        <v>464</v>
      </c>
      <c r="D251" s="8"/>
      <c r="E251" s="6"/>
      <c r="F251" s="6"/>
    </row>
    <row r="252" spans="1:6" x14ac:dyDescent="0.3">
      <c r="A252" s="8" t="s">
        <v>465</v>
      </c>
      <c r="B252" s="8" t="s">
        <v>53856</v>
      </c>
      <c r="C252" s="8" t="s">
        <v>466</v>
      </c>
      <c r="D252" s="8"/>
      <c r="E252" s="6"/>
      <c r="F252" s="6"/>
    </row>
    <row r="253" spans="1:6" x14ac:dyDescent="0.3">
      <c r="A253" s="8" t="s">
        <v>467</v>
      </c>
      <c r="B253" s="8" t="s">
        <v>53857</v>
      </c>
      <c r="C253" s="8" t="s">
        <v>468</v>
      </c>
      <c r="D253" s="8"/>
      <c r="E253" s="6"/>
      <c r="F253" s="6"/>
    </row>
    <row r="254" spans="1:6" x14ac:dyDescent="0.3">
      <c r="A254" s="8" t="s">
        <v>469</v>
      </c>
      <c r="B254" s="8" t="s">
        <v>53858</v>
      </c>
      <c r="C254" s="8" t="s">
        <v>470</v>
      </c>
      <c r="D254" s="8"/>
      <c r="E254" s="6"/>
      <c r="F254" s="6"/>
    </row>
    <row r="255" spans="1:6" x14ac:dyDescent="0.3">
      <c r="A255" s="8" t="s">
        <v>471</v>
      </c>
      <c r="B255" s="8" t="s">
        <v>53859</v>
      </c>
      <c r="C255" s="8" t="s">
        <v>472</v>
      </c>
      <c r="D255" s="8"/>
      <c r="E255" s="6"/>
      <c r="F255" s="6"/>
    </row>
    <row r="256" spans="1:6" x14ac:dyDescent="0.3">
      <c r="A256" s="8" t="s">
        <v>473</v>
      </c>
      <c r="B256" s="8" t="s">
        <v>53860</v>
      </c>
      <c r="C256" s="8" t="s">
        <v>474</v>
      </c>
      <c r="D256" s="8"/>
      <c r="E256" s="6"/>
      <c r="F256" s="6"/>
    </row>
    <row r="257" spans="1:6" x14ac:dyDescent="0.3">
      <c r="A257" s="8" t="s">
        <v>475</v>
      </c>
      <c r="B257" s="8" t="s">
        <v>53861</v>
      </c>
      <c r="C257" s="8" t="s">
        <v>476</v>
      </c>
      <c r="D257" s="8"/>
      <c r="E257" s="6"/>
      <c r="F257" s="6"/>
    </row>
    <row r="258" spans="1:6" x14ac:dyDescent="0.3">
      <c r="A258" s="8" t="s">
        <v>477</v>
      </c>
      <c r="B258" s="8" t="s">
        <v>53862</v>
      </c>
      <c r="C258" s="8" t="s">
        <v>478</v>
      </c>
      <c r="D258" s="8"/>
      <c r="E258" s="6"/>
      <c r="F258" s="6"/>
    </row>
    <row r="259" spans="1:6" x14ac:dyDescent="0.3">
      <c r="A259" s="8" t="s">
        <v>479</v>
      </c>
      <c r="B259" s="8" t="s">
        <v>53863</v>
      </c>
      <c r="C259" s="8" t="s">
        <v>480</v>
      </c>
      <c r="D259" s="8"/>
      <c r="E259" s="6"/>
      <c r="F259" s="6"/>
    </row>
    <row r="260" spans="1:6" x14ac:dyDescent="0.3">
      <c r="A260" s="8" t="s">
        <v>481</v>
      </c>
      <c r="B260" s="8" t="s">
        <v>53864</v>
      </c>
      <c r="C260" s="8" t="s">
        <v>482</v>
      </c>
      <c r="D260" s="8"/>
      <c r="E260" s="6"/>
      <c r="F260" s="6"/>
    </row>
    <row r="261" spans="1:6" x14ac:dyDescent="0.3">
      <c r="A261" s="8" t="s">
        <v>483</v>
      </c>
      <c r="B261" s="8" t="s">
        <v>53865</v>
      </c>
      <c r="C261" s="8" t="s">
        <v>484</v>
      </c>
      <c r="D261" s="8"/>
      <c r="E261" s="6"/>
      <c r="F261" s="6"/>
    </row>
    <row r="262" spans="1:6" x14ac:dyDescent="0.3">
      <c r="A262" s="8" t="s">
        <v>485</v>
      </c>
      <c r="B262" s="8" t="s">
        <v>53866</v>
      </c>
      <c r="C262" s="8" t="s">
        <v>486</v>
      </c>
      <c r="D262" s="8"/>
      <c r="E262" s="6"/>
      <c r="F262" s="6"/>
    </row>
    <row r="263" spans="1:6" x14ac:dyDescent="0.3">
      <c r="A263" s="8" t="s">
        <v>487</v>
      </c>
      <c r="B263" s="8" t="s">
        <v>53867</v>
      </c>
      <c r="C263" s="8" t="s">
        <v>488</v>
      </c>
      <c r="D263" s="8"/>
      <c r="E263" s="6"/>
      <c r="F263" s="6"/>
    </row>
    <row r="264" spans="1:6" x14ac:dyDescent="0.3">
      <c r="A264" s="8" t="s">
        <v>489</v>
      </c>
      <c r="B264" s="8" t="s">
        <v>53868</v>
      </c>
      <c r="C264" s="8" t="s">
        <v>490</v>
      </c>
      <c r="D264" s="8"/>
      <c r="E264" s="6"/>
      <c r="F264" s="6"/>
    </row>
    <row r="265" spans="1:6" x14ac:dyDescent="0.3">
      <c r="A265" s="8" t="s">
        <v>491</v>
      </c>
      <c r="B265" s="8" t="s">
        <v>53869</v>
      </c>
      <c r="C265" s="8" t="s">
        <v>492</v>
      </c>
      <c r="D265" s="8"/>
      <c r="E265" s="6"/>
      <c r="F265" s="6"/>
    </row>
    <row r="266" spans="1:6" x14ac:dyDescent="0.3">
      <c r="A266" s="8" t="s">
        <v>493</v>
      </c>
      <c r="B266" s="8" t="s">
        <v>53870</v>
      </c>
      <c r="C266" s="8" t="s">
        <v>494</v>
      </c>
      <c r="D266" s="8"/>
      <c r="E266" s="6"/>
      <c r="F266" s="6"/>
    </row>
    <row r="267" spans="1:6" x14ac:dyDescent="0.3">
      <c r="A267" s="8" t="s">
        <v>495</v>
      </c>
      <c r="B267" s="8" t="s">
        <v>53871</v>
      </c>
      <c r="C267" s="8" t="s">
        <v>496</v>
      </c>
      <c r="D267" s="8"/>
      <c r="E267" s="6"/>
      <c r="F267" s="6"/>
    </row>
    <row r="268" spans="1:6" x14ac:dyDescent="0.3">
      <c r="A268" s="8" t="s">
        <v>497</v>
      </c>
      <c r="B268" s="8" t="s">
        <v>53872</v>
      </c>
      <c r="C268" s="8" t="s">
        <v>498</v>
      </c>
      <c r="D268" s="8"/>
      <c r="E268" s="6"/>
      <c r="F268" s="6"/>
    </row>
    <row r="269" spans="1:6" x14ac:dyDescent="0.3">
      <c r="A269" s="8" t="s">
        <v>499</v>
      </c>
      <c r="B269" s="8" t="s">
        <v>53873</v>
      </c>
      <c r="C269" s="8" t="s">
        <v>500</v>
      </c>
      <c r="D269" s="8"/>
      <c r="E269" s="6"/>
      <c r="F269" s="6"/>
    </row>
    <row r="270" spans="1:6" x14ac:dyDescent="0.3">
      <c r="A270" s="8" t="s">
        <v>501</v>
      </c>
      <c r="B270" s="8" t="s">
        <v>53874</v>
      </c>
      <c r="C270" s="8" t="s">
        <v>502</v>
      </c>
      <c r="D270" s="8"/>
      <c r="E270" s="6"/>
      <c r="F270" s="6"/>
    </row>
    <row r="271" spans="1:6" x14ac:dyDescent="0.3">
      <c r="A271" s="8" t="s">
        <v>503</v>
      </c>
      <c r="B271" s="8" t="s">
        <v>53875</v>
      </c>
      <c r="C271" s="8" t="s">
        <v>504</v>
      </c>
      <c r="D271" s="8"/>
      <c r="E271" s="6"/>
      <c r="F271" s="6"/>
    </row>
    <row r="272" spans="1:6" x14ac:dyDescent="0.3">
      <c r="A272" s="8" t="s">
        <v>505</v>
      </c>
      <c r="B272" s="8" t="s">
        <v>53876</v>
      </c>
      <c r="C272" s="8" t="s">
        <v>506</v>
      </c>
      <c r="D272" s="8"/>
      <c r="E272" s="6"/>
      <c r="F272" s="6"/>
    </row>
    <row r="273" spans="1:6" x14ac:dyDescent="0.3">
      <c r="A273" s="8" t="s">
        <v>507</v>
      </c>
      <c r="B273" s="8" t="s">
        <v>53877</v>
      </c>
      <c r="C273" s="8" t="s">
        <v>508</v>
      </c>
      <c r="D273" s="8"/>
      <c r="E273" s="6"/>
      <c r="F273" s="6"/>
    </row>
    <row r="274" spans="1:6" x14ac:dyDescent="0.3">
      <c r="A274" s="8" t="s">
        <v>509</v>
      </c>
      <c r="B274" s="8" t="s">
        <v>53878</v>
      </c>
      <c r="C274" s="8" t="s">
        <v>510</v>
      </c>
      <c r="D274" s="8"/>
      <c r="E274" s="6"/>
      <c r="F274" s="6"/>
    </row>
    <row r="275" spans="1:6" x14ac:dyDescent="0.3">
      <c r="A275" s="8" t="s">
        <v>511</v>
      </c>
      <c r="B275" s="8" t="s">
        <v>53879</v>
      </c>
      <c r="C275" s="8" t="s">
        <v>512</v>
      </c>
      <c r="D275" s="8"/>
      <c r="E275" s="6"/>
      <c r="F275" s="6"/>
    </row>
    <row r="276" spans="1:6" x14ac:dyDescent="0.3">
      <c r="A276" s="8" t="s">
        <v>513</v>
      </c>
      <c r="B276" s="8" t="s">
        <v>53880</v>
      </c>
      <c r="C276" s="8" t="s">
        <v>514</v>
      </c>
      <c r="D276" s="8"/>
      <c r="E276" s="6"/>
      <c r="F276" s="6"/>
    </row>
    <row r="277" spans="1:6" x14ac:dyDescent="0.3">
      <c r="A277" s="8" t="s">
        <v>515</v>
      </c>
      <c r="B277" s="8" t="s">
        <v>53881</v>
      </c>
      <c r="C277" s="8" t="s">
        <v>516</v>
      </c>
      <c r="D277" s="8"/>
      <c r="E277" s="6"/>
      <c r="F277" s="6"/>
    </row>
    <row r="278" spans="1:6" x14ac:dyDescent="0.3">
      <c r="A278" s="8" t="s">
        <v>517</v>
      </c>
      <c r="B278" s="8" t="s">
        <v>53882</v>
      </c>
      <c r="C278" s="8" t="s">
        <v>518</v>
      </c>
      <c r="D278" s="8"/>
      <c r="E278" s="6"/>
      <c r="F278" s="6"/>
    </row>
    <row r="279" spans="1:6" x14ac:dyDescent="0.3">
      <c r="A279" s="8" t="s">
        <v>519</v>
      </c>
      <c r="B279" s="8" t="s">
        <v>53883</v>
      </c>
      <c r="C279" s="8" t="s">
        <v>520</v>
      </c>
      <c r="D279" s="8"/>
      <c r="E279" s="6"/>
      <c r="F279" s="6"/>
    </row>
    <row r="280" spans="1:6" x14ac:dyDescent="0.3">
      <c r="A280" s="8" t="s">
        <v>521</v>
      </c>
      <c r="B280" s="8" t="s">
        <v>53884</v>
      </c>
      <c r="C280" s="8" t="s">
        <v>522</v>
      </c>
      <c r="D280" s="8"/>
      <c r="E280" s="6"/>
      <c r="F280" s="6"/>
    </row>
    <row r="281" spans="1:6" x14ac:dyDescent="0.3">
      <c r="A281" s="8" t="s">
        <v>523</v>
      </c>
      <c r="B281" s="8" t="s">
        <v>53885</v>
      </c>
      <c r="C281" s="8" t="s">
        <v>524</v>
      </c>
      <c r="D281" s="8"/>
      <c r="E281" s="6"/>
      <c r="F281" s="6"/>
    </row>
    <row r="282" spans="1:6" x14ac:dyDescent="0.3">
      <c r="A282" s="8" t="s">
        <v>525</v>
      </c>
      <c r="B282" s="8" t="s">
        <v>53886</v>
      </c>
      <c r="C282" s="8" t="s">
        <v>526</v>
      </c>
      <c r="D282" s="8"/>
      <c r="E282" s="6"/>
      <c r="F282" s="6"/>
    </row>
    <row r="283" spans="1:6" x14ac:dyDescent="0.3">
      <c r="A283" s="8" t="s">
        <v>527</v>
      </c>
      <c r="B283" s="8" t="s">
        <v>53887</v>
      </c>
      <c r="C283" s="8" t="s">
        <v>528</v>
      </c>
      <c r="D283" s="8"/>
      <c r="E283" s="6"/>
      <c r="F283" s="6"/>
    </row>
    <row r="284" spans="1:6" x14ac:dyDescent="0.3">
      <c r="A284" s="8" t="s">
        <v>529</v>
      </c>
      <c r="B284" s="8" t="s">
        <v>53888</v>
      </c>
      <c r="C284" s="8" t="s">
        <v>530</v>
      </c>
      <c r="D284" s="8"/>
      <c r="E284" s="6"/>
      <c r="F284" s="6"/>
    </row>
    <row r="285" spans="1:6" x14ac:dyDescent="0.3">
      <c r="A285" s="8" t="s">
        <v>531</v>
      </c>
      <c r="B285" s="8" t="s">
        <v>53889</v>
      </c>
      <c r="C285" s="8" t="s">
        <v>532</v>
      </c>
      <c r="D285" s="8"/>
      <c r="E285" s="6"/>
      <c r="F285" s="6"/>
    </row>
    <row r="286" spans="1:6" x14ac:dyDescent="0.3">
      <c r="A286" s="8" t="s">
        <v>533</v>
      </c>
      <c r="B286" s="8" t="s">
        <v>53890</v>
      </c>
      <c r="C286" s="8" t="s">
        <v>534</v>
      </c>
      <c r="D286" s="8"/>
      <c r="E286" s="6"/>
      <c r="F286" s="6"/>
    </row>
    <row r="287" spans="1:6" x14ac:dyDescent="0.3">
      <c r="A287" s="8" t="s">
        <v>535</v>
      </c>
      <c r="B287" s="8" t="s">
        <v>53891</v>
      </c>
      <c r="C287" s="8" t="s">
        <v>536</v>
      </c>
      <c r="D287" s="8"/>
      <c r="E287" s="6"/>
      <c r="F287" s="6"/>
    </row>
    <row r="288" spans="1:6" x14ac:dyDescent="0.3">
      <c r="A288" s="8" t="s">
        <v>537</v>
      </c>
      <c r="B288" s="8" t="s">
        <v>53892</v>
      </c>
      <c r="C288" s="8" t="s">
        <v>538</v>
      </c>
      <c r="D288" s="8"/>
      <c r="E288" s="6"/>
      <c r="F288" s="6"/>
    </row>
    <row r="289" spans="1:6" x14ac:dyDescent="0.3">
      <c r="A289" s="8" t="s">
        <v>539</v>
      </c>
      <c r="B289" s="8" t="s">
        <v>53893</v>
      </c>
      <c r="C289" s="8" t="s">
        <v>540</v>
      </c>
      <c r="D289" s="8"/>
      <c r="E289" s="6"/>
      <c r="F289" s="6"/>
    </row>
    <row r="290" spans="1:6" x14ac:dyDescent="0.3">
      <c r="A290" s="8" t="s">
        <v>541</v>
      </c>
      <c r="B290" s="8" t="s">
        <v>53894</v>
      </c>
      <c r="C290" s="8" t="s">
        <v>542</v>
      </c>
      <c r="D290" s="8"/>
      <c r="E290" s="6"/>
      <c r="F290" s="6"/>
    </row>
    <row r="291" spans="1:6" x14ac:dyDescent="0.3">
      <c r="A291" s="8" t="s">
        <v>543</v>
      </c>
      <c r="B291" s="8" t="s">
        <v>53895</v>
      </c>
      <c r="C291" s="8" t="s">
        <v>544</v>
      </c>
      <c r="D291" s="8"/>
      <c r="E291" s="6"/>
      <c r="F291" s="6"/>
    </row>
    <row r="292" spans="1:6" x14ac:dyDescent="0.3">
      <c r="A292" s="8" t="s">
        <v>545</v>
      </c>
      <c r="B292" s="8" t="s">
        <v>53896</v>
      </c>
      <c r="C292" s="8" t="s">
        <v>546</v>
      </c>
      <c r="D292" s="8"/>
      <c r="E292" s="6"/>
      <c r="F292" s="6"/>
    </row>
    <row r="293" spans="1:6" x14ac:dyDescent="0.3">
      <c r="A293" s="8" t="s">
        <v>547</v>
      </c>
      <c r="B293" s="8" t="s">
        <v>53897</v>
      </c>
      <c r="C293" s="8" t="s">
        <v>548</v>
      </c>
      <c r="D293" s="8"/>
      <c r="E293" s="6"/>
      <c r="F293" s="6"/>
    </row>
    <row r="294" spans="1:6" x14ac:dyDescent="0.3">
      <c r="A294" s="8" t="s">
        <v>549</v>
      </c>
      <c r="B294" s="8" t="s">
        <v>53898</v>
      </c>
      <c r="C294" s="8" t="s">
        <v>550</v>
      </c>
      <c r="D294" s="8"/>
      <c r="E294" s="6"/>
      <c r="F294" s="6"/>
    </row>
    <row r="295" spans="1:6" x14ac:dyDescent="0.3">
      <c r="A295" s="8" t="s">
        <v>551</v>
      </c>
      <c r="B295" s="8" t="s">
        <v>53899</v>
      </c>
      <c r="C295" s="8" t="s">
        <v>552</v>
      </c>
      <c r="D295" s="8"/>
      <c r="E295" s="6"/>
      <c r="F295" s="6"/>
    </row>
    <row r="296" spans="1:6" x14ac:dyDescent="0.3">
      <c r="A296" s="8" t="s">
        <v>553</v>
      </c>
      <c r="B296" s="8" t="s">
        <v>53900</v>
      </c>
      <c r="C296" s="8" t="s">
        <v>554</v>
      </c>
      <c r="D296" s="8"/>
      <c r="E296" s="6"/>
      <c r="F296" s="6"/>
    </row>
    <row r="297" spans="1:6" x14ac:dyDescent="0.3">
      <c r="A297" s="8" t="s">
        <v>555</v>
      </c>
      <c r="B297" s="8" t="s">
        <v>53901</v>
      </c>
      <c r="C297" s="8" t="s">
        <v>556</v>
      </c>
      <c r="D297" s="8"/>
      <c r="E297" s="6"/>
      <c r="F297" s="6"/>
    </row>
    <row r="298" spans="1:6" x14ac:dyDescent="0.3">
      <c r="A298" s="8" t="s">
        <v>557</v>
      </c>
      <c r="B298" s="8" t="s">
        <v>53902</v>
      </c>
      <c r="C298" s="8" t="s">
        <v>558</v>
      </c>
      <c r="D298" s="8"/>
      <c r="E298" s="6"/>
      <c r="F298" s="6"/>
    </row>
    <row r="299" spans="1:6" x14ac:dyDescent="0.3">
      <c r="A299" s="8" t="s">
        <v>559</v>
      </c>
      <c r="B299" s="8" t="s">
        <v>53903</v>
      </c>
      <c r="C299" s="8" t="s">
        <v>560</v>
      </c>
      <c r="D299" s="8"/>
      <c r="E299" s="6"/>
      <c r="F299" s="6"/>
    </row>
    <row r="300" spans="1:6" x14ac:dyDescent="0.3">
      <c r="A300" s="8" t="s">
        <v>561</v>
      </c>
      <c r="B300" s="8" t="s">
        <v>53904</v>
      </c>
      <c r="C300" s="8" t="s">
        <v>562</v>
      </c>
      <c r="D300" s="8"/>
      <c r="E300" s="6"/>
      <c r="F300" s="6"/>
    </row>
    <row r="301" spans="1:6" x14ac:dyDescent="0.3">
      <c r="A301" s="8" t="s">
        <v>563</v>
      </c>
      <c r="B301" s="8" t="s">
        <v>53905</v>
      </c>
      <c r="C301" s="8" t="s">
        <v>564</v>
      </c>
      <c r="D301" s="8"/>
      <c r="E301" s="6"/>
      <c r="F301" s="6"/>
    </row>
    <row r="302" spans="1:6" x14ac:dyDescent="0.3">
      <c r="A302" s="8" t="s">
        <v>565</v>
      </c>
      <c r="B302" s="8" t="s">
        <v>53906</v>
      </c>
      <c r="C302" s="8" t="s">
        <v>566</v>
      </c>
      <c r="D302" s="8"/>
      <c r="E302" s="6"/>
      <c r="F302" s="6"/>
    </row>
    <row r="303" spans="1:6" x14ac:dyDescent="0.3">
      <c r="A303" s="8" t="s">
        <v>567</v>
      </c>
      <c r="B303" s="8" t="s">
        <v>53907</v>
      </c>
      <c r="C303" s="8" t="s">
        <v>568</v>
      </c>
      <c r="D303" s="8"/>
      <c r="E303" s="6"/>
      <c r="F303" s="6"/>
    </row>
    <row r="304" spans="1:6" x14ac:dyDescent="0.3">
      <c r="A304" s="8" t="s">
        <v>569</v>
      </c>
      <c r="B304" s="8" t="s">
        <v>53908</v>
      </c>
      <c r="C304" s="8" t="s">
        <v>570</v>
      </c>
      <c r="D304" s="8"/>
      <c r="E304" s="6"/>
      <c r="F304" s="6"/>
    </row>
    <row r="305" spans="1:6" x14ac:dyDescent="0.3">
      <c r="A305" s="8" t="s">
        <v>571</v>
      </c>
      <c r="B305" s="8" t="s">
        <v>53909</v>
      </c>
      <c r="C305" s="8" t="s">
        <v>572</v>
      </c>
      <c r="D305" s="8"/>
      <c r="E305" s="6"/>
      <c r="F305" s="6"/>
    </row>
    <row r="306" spans="1:6" x14ac:dyDescent="0.3">
      <c r="A306" s="8" t="s">
        <v>573</v>
      </c>
      <c r="B306" s="8" t="s">
        <v>53910</v>
      </c>
      <c r="C306" s="8" t="s">
        <v>574</v>
      </c>
      <c r="D306" s="8"/>
      <c r="E306" s="6"/>
      <c r="F306" s="6"/>
    </row>
    <row r="307" spans="1:6" x14ac:dyDescent="0.3">
      <c r="A307" s="8" t="s">
        <v>575</v>
      </c>
      <c r="B307" s="8" t="s">
        <v>53911</v>
      </c>
      <c r="C307" s="8" t="s">
        <v>576</v>
      </c>
      <c r="D307" s="8"/>
      <c r="E307" s="6"/>
      <c r="F307" s="6"/>
    </row>
    <row r="308" spans="1:6" x14ac:dyDescent="0.3">
      <c r="A308" s="8" t="s">
        <v>577</v>
      </c>
      <c r="B308" s="8" t="s">
        <v>53912</v>
      </c>
      <c r="C308" s="8" t="s">
        <v>578</v>
      </c>
      <c r="D308" s="8"/>
      <c r="E308" s="6"/>
      <c r="F308" s="6"/>
    </row>
    <row r="309" spans="1:6" x14ac:dyDescent="0.3">
      <c r="A309" s="8" t="s">
        <v>579</v>
      </c>
      <c r="B309" s="8" t="s">
        <v>53913</v>
      </c>
      <c r="C309" s="8" t="s">
        <v>580</v>
      </c>
      <c r="D309" s="8"/>
      <c r="E309" s="6"/>
      <c r="F309" s="6"/>
    </row>
    <row r="310" spans="1:6" x14ac:dyDescent="0.3">
      <c r="A310" s="8" t="s">
        <v>581</v>
      </c>
      <c r="B310" s="8" t="s">
        <v>53914</v>
      </c>
      <c r="C310" s="8" t="s">
        <v>582</v>
      </c>
      <c r="D310" s="8"/>
      <c r="E310" s="6"/>
      <c r="F310" s="6"/>
    </row>
    <row r="311" spans="1:6" x14ac:dyDescent="0.3">
      <c r="A311" s="8" t="s">
        <v>583</v>
      </c>
      <c r="B311" s="8" t="s">
        <v>53915</v>
      </c>
      <c r="C311" s="8" t="s">
        <v>584</v>
      </c>
      <c r="D311" s="8"/>
      <c r="E311" s="6"/>
      <c r="F311" s="6"/>
    </row>
    <row r="312" spans="1:6" x14ac:dyDescent="0.3">
      <c r="A312" s="8" t="s">
        <v>585</v>
      </c>
      <c r="B312" s="8" t="s">
        <v>53916</v>
      </c>
      <c r="C312" s="8" t="s">
        <v>586</v>
      </c>
      <c r="D312" s="8"/>
      <c r="E312" s="6"/>
      <c r="F312" s="6"/>
    </row>
    <row r="313" spans="1:6" x14ac:dyDescent="0.3">
      <c r="A313" s="8" t="s">
        <v>587</v>
      </c>
      <c r="B313" s="8" t="s">
        <v>53917</v>
      </c>
      <c r="C313" s="8" t="s">
        <v>588</v>
      </c>
      <c r="D313" s="8"/>
      <c r="E313" s="6"/>
      <c r="F313" s="6"/>
    </row>
    <row r="314" spans="1:6" x14ac:dyDescent="0.3">
      <c r="A314" s="8" t="s">
        <v>589</v>
      </c>
      <c r="B314" s="8" t="s">
        <v>53918</v>
      </c>
      <c r="C314" s="8" t="s">
        <v>590</v>
      </c>
      <c r="D314" s="8"/>
      <c r="E314" s="6"/>
      <c r="F314" s="6"/>
    </row>
    <row r="315" spans="1:6" x14ac:dyDescent="0.3">
      <c r="A315" s="8" t="s">
        <v>591</v>
      </c>
      <c r="B315" s="8" t="s">
        <v>53919</v>
      </c>
      <c r="C315" s="8" t="s">
        <v>592</v>
      </c>
      <c r="D315" s="8"/>
      <c r="E315" s="6"/>
      <c r="F315" s="6"/>
    </row>
    <row r="316" spans="1:6" x14ac:dyDescent="0.3">
      <c r="A316" s="8" t="s">
        <v>593</v>
      </c>
      <c r="B316" s="8" t="s">
        <v>53920</v>
      </c>
      <c r="C316" s="8" t="s">
        <v>594</v>
      </c>
      <c r="D316" s="8"/>
      <c r="E316" s="6"/>
      <c r="F316" s="6"/>
    </row>
    <row r="317" spans="1:6" x14ac:dyDescent="0.3">
      <c r="A317" s="8" t="s">
        <v>595</v>
      </c>
      <c r="B317" s="8" t="s">
        <v>53921</v>
      </c>
      <c r="C317" s="8" t="s">
        <v>596</v>
      </c>
      <c r="D317" s="8"/>
      <c r="E317" s="6"/>
      <c r="F317" s="6"/>
    </row>
    <row r="318" spans="1:6" x14ac:dyDescent="0.3">
      <c r="A318" s="8" t="s">
        <v>597</v>
      </c>
      <c r="B318" s="8" t="s">
        <v>53922</v>
      </c>
      <c r="C318" s="8" t="s">
        <v>598</v>
      </c>
      <c r="D318" s="8"/>
      <c r="E318" s="6"/>
      <c r="F318" s="6"/>
    </row>
    <row r="319" spans="1:6" x14ac:dyDescent="0.3">
      <c r="A319" s="8" t="s">
        <v>599</v>
      </c>
      <c r="B319" s="8" t="s">
        <v>53923</v>
      </c>
      <c r="C319" s="8" t="s">
        <v>600</v>
      </c>
      <c r="D319" s="8"/>
      <c r="E319" s="6"/>
      <c r="F319" s="6"/>
    </row>
    <row r="320" spans="1:6" x14ac:dyDescent="0.3">
      <c r="A320" s="8" t="s">
        <v>601</v>
      </c>
      <c r="B320" s="8" t="s">
        <v>53924</v>
      </c>
      <c r="C320" s="8" t="s">
        <v>602</v>
      </c>
      <c r="D320" s="8"/>
      <c r="E320" s="6"/>
      <c r="F320" s="6"/>
    </row>
    <row r="321" spans="1:6" x14ac:dyDescent="0.3">
      <c r="A321" s="8" t="s">
        <v>603</v>
      </c>
      <c r="B321" s="8" t="s">
        <v>53925</v>
      </c>
      <c r="C321" s="8" t="s">
        <v>604</v>
      </c>
      <c r="D321" s="8"/>
      <c r="E321" s="6"/>
      <c r="F321" s="6"/>
    </row>
    <row r="322" spans="1:6" x14ac:dyDescent="0.3">
      <c r="A322" s="8" t="s">
        <v>605</v>
      </c>
      <c r="B322" s="8" t="s">
        <v>53926</v>
      </c>
      <c r="C322" s="8" t="s">
        <v>606</v>
      </c>
      <c r="D322" s="8"/>
      <c r="E322" s="6"/>
      <c r="F322" s="6"/>
    </row>
    <row r="323" spans="1:6" x14ac:dyDescent="0.3">
      <c r="A323" s="8" t="s">
        <v>607</v>
      </c>
      <c r="B323" s="8" t="s">
        <v>53927</v>
      </c>
      <c r="C323" s="8" t="s">
        <v>608</v>
      </c>
      <c r="D323" s="8"/>
      <c r="E323" s="6"/>
      <c r="F323" s="6"/>
    </row>
    <row r="324" spans="1:6" x14ac:dyDescent="0.3">
      <c r="A324" s="8" t="s">
        <v>609</v>
      </c>
      <c r="B324" s="8" t="s">
        <v>53928</v>
      </c>
      <c r="C324" s="8" t="s">
        <v>610</v>
      </c>
      <c r="D324" s="8"/>
      <c r="E324" s="6"/>
      <c r="F324" s="6"/>
    </row>
    <row r="325" spans="1:6" x14ac:dyDescent="0.3">
      <c r="A325" s="8" t="s">
        <v>611</v>
      </c>
      <c r="B325" s="8" t="s">
        <v>53929</v>
      </c>
      <c r="C325" s="8" t="s">
        <v>612</v>
      </c>
      <c r="D325" s="8"/>
      <c r="E325" s="6"/>
      <c r="F325" s="6"/>
    </row>
    <row r="326" spans="1:6" x14ac:dyDescent="0.3">
      <c r="A326" s="8" t="s">
        <v>613</v>
      </c>
      <c r="B326" s="8" t="s">
        <v>53930</v>
      </c>
      <c r="C326" s="8" t="s">
        <v>614</v>
      </c>
      <c r="D326" s="8"/>
      <c r="E326" s="6"/>
      <c r="F326" s="6"/>
    </row>
    <row r="327" spans="1:6" x14ac:dyDescent="0.3">
      <c r="A327" s="8" t="s">
        <v>615</v>
      </c>
      <c r="B327" s="8" t="s">
        <v>53931</v>
      </c>
      <c r="C327" s="8" t="s">
        <v>616</v>
      </c>
      <c r="D327" s="8"/>
      <c r="E327" s="6"/>
      <c r="F327" s="6"/>
    </row>
    <row r="328" spans="1:6" x14ac:dyDescent="0.3">
      <c r="A328" s="8" t="s">
        <v>617</v>
      </c>
      <c r="B328" s="8" t="s">
        <v>53932</v>
      </c>
      <c r="C328" s="8" t="s">
        <v>618</v>
      </c>
      <c r="D328" s="8"/>
      <c r="E328" s="6"/>
      <c r="F328" s="6"/>
    </row>
    <row r="329" spans="1:6" x14ac:dyDescent="0.3">
      <c r="A329" s="8" t="s">
        <v>619</v>
      </c>
      <c r="B329" s="8" t="s">
        <v>53933</v>
      </c>
      <c r="C329" s="8" t="s">
        <v>620</v>
      </c>
      <c r="D329" s="8"/>
      <c r="E329" s="6"/>
      <c r="F329" s="6"/>
    </row>
    <row r="330" spans="1:6" x14ac:dyDescent="0.3">
      <c r="A330" s="8" t="s">
        <v>621</v>
      </c>
      <c r="B330" s="8" t="s">
        <v>53934</v>
      </c>
      <c r="C330" s="8" t="s">
        <v>622</v>
      </c>
      <c r="D330" s="8"/>
      <c r="E330" s="6"/>
      <c r="F330" s="6"/>
    </row>
    <row r="331" spans="1:6" x14ac:dyDescent="0.3">
      <c r="A331" s="8" t="s">
        <v>623</v>
      </c>
      <c r="B331" s="8" t="s">
        <v>53935</v>
      </c>
      <c r="C331" s="8" t="s">
        <v>624</v>
      </c>
      <c r="D331" s="8"/>
      <c r="E331" s="6"/>
      <c r="F331" s="6"/>
    </row>
    <row r="332" spans="1:6" x14ac:dyDescent="0.3">
      <c r="A332" s="8" t="s">
        <v>625</v>
      </c>
      <c r="B332" s="8" t="s">
        <v>53936</v>
      </c>
      <c r="C332" s="8" t="s">
        <v>626</v>
      </c>
      <c r="D332" s="8"/>
      <c r="E332" s="6"/>
      <c r="F332" s="6"/>
    </row>
    <row r="333" spans="1:6" x14ac:dyDescent="0.3">
      <c r="A333" s="8" t="s">
        <v>627</v>
      </c>
      <c r="B333" s="8" t="s">
        <v>53937</v>
      </c>
      <c r="C333" s="8" t="s">
        <v>628</v>
      </c>
      <c r="D333" s="8"/>
      <c r="E333" s="6"/>
      <c r="F333" s="6"/>
    </row>
    <row r="334" spans="1:6" x14ac:dyDescent="0.3">
      <c r="A334" s="8" t="s">
        <v>629</v>
      </c>
      <c r="B334" s="8" t="s">
        <v>53938</v>
      </c>
      <c r="C334" s="8" t="s">
        <v>630</v>
      </c>
      <c r="D334" s="8"/>
      <c r="E334" s="6"/>
      <c r="F334" s="6"/>
    </row>
    <row r="335" spans="1:6" x14ac:dyDescent="0.3">
      <c r="A335" s="8" t="s">
        <v>631</v>
      </c>
      <c r="B335" s="8" t="s">
        <v>53939</v>
      </c>
      <c r="C335" s="8" t="s">
        <v>632</v>
      </c>
      <c r="D335" s="8"/>
      <c r="E335" s="6"/>
      <c r="F335" s="6"/>
    </row>
    <row r="336" spans="1:6" x14ac:dyDescent="0.3">
      <c r="A336" s="8" t="s">
        <v>633</v>
      </c>
      <c r="B336" s="8" t="s">
        <v>53940</v>
      </c>
      <c r="C336" s="8" t="s">
        <v>634</v>
      </c>
      <c r="D336" s="8"/>
      <c r="E336" s="6"/>
      <c r="F336" s="6"/>
    </row>
    <row r="337" spans="1:6" x14ac:dyDescent="0.3">
      <c r="A337" s="8" t="s">
        <v>635</v>
      </c>
      <c r="B337" s="8" t="s">
        <v>53941</v>
      </c>
      <c r="C337" s="8" t="s">
        <v>636</v>
      </c>
      <c r="D337" s="8"/>
      <c r="E337" s="6"/>
      <c r="F337" s="6"/>
    </row>
    <row r="338" spans="1:6" x14ac:dyDescent="0.3">
      <c r="A338" s="8" t="s">
        <v>637</v>
      </c>
      <c r="B338" s="8" t="s">
        <v>53942</v>
      </c>
      <c r="C338" s="8" t="s">
        <v>638</v>
      </c>
      <c r="D338" s="8"/>
      <c r="E338" s="6"/>
      <c r="F338" s="6"/>
    </row>
    <row r="339" spans="1:6" x14ac:dyDescent="0.3">
      <c r="A339" s="8" t="s">
        <v>639</v>
      </c>
      <c r="B339" s="8" t="s">
        <v>53943</v>
      </c>
      <c r="C339" s="8" t="s">
        <v>640</v>
      </c>
      <c r="D339" s="8"/>
      <c r="E339" s="6"/>
      <c r="F339" s="6"/>
    </row>
    <row r="340" spans="1:6" x14ac:dyDescent="0.3">
      <c r="A340" s="8" t="s">
        <v>641</v>
      </c>
      <c r="B340" s="8" t="s">
        <v>53944</v>
      </c>
      <c r="C340" s="8" t="s">
        <v>642</v>
      </c>
      <c r="D340" s="8"/>
      <c r="E340" s="6"/>
      <c r="F340" s="6"/>
    </row>
    <row r="341" spans="1:6" x14ac:dyDescent="0.3">
      <c r="A341" s="8" t="s">
        <v>643</v>
      </c>
      <c r="B341" s="8" t="s">
        <v>53945</v>
      </c>
      <c r="C341" s="8" t="s">
        <v>644</v>
      </c>
      <c r="D341" s="8"/>
      <c r="E341" s="6"/>
      <c r="F341" s="6"/>
    </row>
    <row r="342" spans="1:6" x14ac:dyDescent="0.3">
      <c r="A342" s="8" t="s">
        <v>645</v>
      </c>
      <c r="B342" s="8" t="s">
        <v>53946</v>
      </c>
      <c r="C342" s="8" t="s">
        <v>646</v>
      </c>
      <c r="D342" s="8"/>
      <c r="E342" s="6"/>
      <c r="F342" s="6"/>
    </row>
    <row r="343" spans="1:6" x14ac:dyDescent="0.3">
      <c r="A343" s="8" t="s">
        <v>647</v>
      </c>
      <c r="B343" s="8" t="s">
        <v>53947</v>
      </c>
      <c r="C343" s="8" t="s">
        <v>648</v>
      </c>
      <c r="D343" s="8"/>
      <c r="E343" s="6"/>
      <c r="F343" s="6"/>
    </row>
    <row r="344" spans="1:6" x14ac:dyDescent="0.3">
      <c r="A344" s="8" t="s">
        <v>649</v>
      </c>
      <c r="B344" s="8" t="s">
        <v>53948</v>
      </c>
      <c r="C344" s="8" t="s">
        <v>650</v>
      </c>
      <c r="D344" s="8"/>
      <c r="E344" s="6"/>
      <c r="F344" s="6"/>
    </row>
    <row r="345" spans="1:6" x14ac:dyDescent="0.3">
      <c r="A345" s="8" t="s">
        <v>651</v>
      </c>
      <c r="B345" s="8" t="s">
        <v>53949</v>
      </c>
      <c r="C345" s="8" t="s">
        <v>652</v>
      </c>
      <c r="D345" s="8"/>
      <c r="E345" s="6"/>
      <c r="F345" s="6"/>
    </row>
    <row r="346" spans="1:6" x14ac:dyDescent="0.3">
      <c r="A346" s="8" t="s">
        <v>653</v>
      </c>
      <c r="B346" s="8" t="s">
        <v>53950</v>
      </c>
      <c r="C346" s="8" t="s">
        <v>654</v>
      </c>
      <c r="D346" s="8"/>
      <c r="E346" s="6"/>
      <c r="F346" s="6"/>
    </row>
    <row r="347" spans="1:6" x14ac:dyDescent="0.3">
      <c r="A347" s="8" t="s">
        <v>655</v>
      </c>
      <c r="B347" s="8" t="s">
        <v>53951</v>
      </c>
      <c r="C347" s="8" t="s">
        <v>656</v>
      </c>
      <c r="D347" s="8"/>
      <c r="E347" s="6"/>
      <c r="F347" s="6"/>
    </row>
    <row r="348" spans="1:6" x14ac:dyDescent="0.3">
      <c r="A348" s="8" t="s">
        <v>657</v>
      </c>
      <c r="B348" s="8" t="s">
        <v>53952</v>
      </c>
      <c r="C348" s="8" t="s">
        <v>658</v>
      </c>
      <c r="D348" s="8"/>
      <c r="E348" s="6"/>
      <c r="F348" s="6"/>
    </row>
    <row r="349" spans="1:6" x14ac:dyDescent="0.3">
      <c r="A349" s="8" t="s">
        <v>659</v>
      </c>
      <c r="B349" s="8" t="s">
        <v>53953</v>
      </c>
      <c r="C349" s="8" t="s">
        <v>660</v>
      </c>
      <c r="D349" s="8"/>
      <c r="E349" s="6"/>
      <c r="F349" s="6"/>
    </row>
    <row r="350" spans="1:6" x14ac:dyDescent="0.3">
      <c r="A350" s="8" t="s">
        <v>661</v>
      </c>
      <c r="B350" s="8" t="s">
        <v>53954</v>
      </c>
      <c r="C350" s="8" t="s">
        <v>662</v>
      </c>
      <c r="D350" s="8"/>
      <c r="E350" s="6"/>
      <c r="F350" s="6"/>
    </row>
    <row r="351" spans="1:6" x14ac:dyDescent="0.3">
      <c r="A351" s="8" t="s">
        <v>663</v>
      </c>
      <c r="B351" s="8" t="s">
        <v>53955</v>
      </c>
      <c r="C351" s="8" t="s">
        <v>664</v>
      </c>
      <c r="D351" s="8"/>
      <c r="E351" s="6"/>
      <c r="F351" s="6"/>
    </row>
    <row r="352" spans="1:6" x14ac:dyDescent="0.3">
      <c r="A352" s="8" t="s">
        <v>665</v>
      </c>
      <c r="B352" s="8" t="s">
        <v>53956</v>
      </c>
      <c r="C352" s="8" t="s">
        <v>666</v>
      </c>
      <c r="D352" s="8"/>
      <c r="E352" s="6"/>
      <c r="F352" s="6"/>
    </row>
    <row r="353" spans="1:6" x14ac:dyDescent="0.3">
      <c r="A353" s="8" t="s">
        <v>667</v>
      </c>
      <c r="B353" s="8" t="s">
        <v>53957</v>
      </c>
      <c r="C353" s="8" t="s">
        <v>668</v>
      </c>
      <c r="D353" s="8"/>
      <c r="E353" s="6"/>
      <c r="F353" s="6"/>
    </row>
    <row r="354" spans="1:6" x14ac:dyDescent="0.3">
      <c r="A354" s="8" t="s">
        <v>669</v>
      </c>
      <c r="B354" s="8" t="s">
        <v>53958</v>
      </c>
      <c r="C354" s="8" t="s">
        <v>670</v>
      </c>
      <c r="D354" s="8"/>
      <c r="E354" s="6"/>
      <c r="F354" s="6"/>
    </row>
    <row r="355" spans="1:6" x14ac:dyDescent="0.3">
      <c r="A355" s="8" t="s">
        <v>671</v>
      </c>
      <c r="B355" s="8" t="s">
        <v>53959</v>
      </c>
      <c r="C355" s="8" t="s">
        <v>672</v>
      </c>
      <c r="D355" s="8"/>
      <c r="E355" s="6"/>
      <c r="F355" s="6"/>
    </row>
    <row r="356" spans="1:6" x14ac:dyDescent="0.3">
      <c r="A356" s="8" t="s">
        <v>673</v>
      </c>
      <c r="B356" s="8" t="s">
        <v>53960</v>
      </c>
      <c r="C356" s="8" t="s">
        <v>674</v>
      </c>
      <c r="D356" s="8"/>
      <c r="E356" s="6"/>
      <c r="F356" s="6"/>
    </row>
    <row r="357" spans="1:6" x14ac:dyDescent="0.3">
      <c r="A357" s="8" t="s">
        <v>675</v>
      </c>
      <c r="B357" s="8" t="s">
        <v>53961</v>
      </c>
      <c r="C357" s="8" t="s">
        <v>676</v>
      </c>
      <c r="D357" s="8"/>
      <c r="E357" s="6"/>
      <c r="F357" s="6"/>
    </row>
    <row r="358" spans="1:6" x14ac:dyDescent="0.3">
      <c r="A358" s="8" t="s">
        <v>677</v>
      </c>
      <c r="B358" s="8" t="s">
        <v>53962</v>
      </c>
      <c r="C358" s="8" t="s">
        <v>678</v>
      </c>
      <c r="D358" s="8"/>
      <c r="E358" s="6"/>
      <c r="F358" s="6"/>
    </row>
    <row r="359" spans="1:6" x14ac:dyDescent="0.3">
      <c r="A359" s="8" t="s">
        <v>679</v>
      </c>
      <c r="B359" s="8" t="s">
        <v>53963</v>
      </c>
      <c r="C359" s="8" t="s">
        <v>680</v>
      </c>
      <c r="D359" s="8"/>
      <c r="E359" s="6"/>
      <c r="F359" s="6"/>
    </row>
    <row r="360" spans="1:6" x14ac:dyDescent="0.3">
      <c r="A360" s="8" t="s">
        <v>681</v>
      </c>
      <c r="B360" s="8" t="s">
        <v>53964</v>
      </c>
      <c r="C360" s="8" t="s">
        <v>682</v>
      </c>
      <c r="D360" s="8"/>
      <c r="E360" s="6"/>
      <c r="F360" s="6"/>
    </row>
    <row r="361" spans="1:6" x14ac:dyDescent="0.3">
      <c r="A361" s="8" t="s">
        <v>683</v>
      </c>
      <c r="B361" s="8" t="s">
        <v>53965</v>
      </c>
      <c r="C361" s="8" t="s">
        <v>684</v>
      </c>
      <c r="D361" s="8"/>
      <c r="E361" s="6"/>
      <c r="F361" s="6"/>
    </row>
    <row r="362" spans="1:6" x14ac:dyDescent="0.3">
      <c r="A362" s="8" t="s">
        <v>685</v>
      </c>
      <c r="B362" s="8" t="s">
        <v>53966</v>
      </c>
      <c r="C362" s="8" t="s">
        <v>686</v>
      </c>
      <c r="D362" s="8"/>
      <c r="E362" s="6"/>
      <c r="F362" s="6"/>
    </row>
    <row r="363" spans="1:6" x14ac:dyDescent="0.3">
      <c r="A363" s="8" t="s">
        <v>687</v>
      </c>
      <c r="B363" s="8" t="s">
        <v>53967</v>
      </c>
      <c r="C363" s="8" t="s">
        <v>688</v>
      </c>
      <c r="D363" s="8"/>
      <c r="E363" s="6"/>
      <c r="F363" s="6"/>
    </row>
    <row r="364" spans="1:6" x14ac:dyDescent="0.3">
      <c r="A364" s="8" t="s">
        <v>689</v>
      </c>
      <c r="B364" s="8" t="s">
        <v>53968</v>
      </c>
      <c r="C364" s="8" t="s">
        <v>690</v>
      </c>
      <c r="D364" s="8"/>
      <c r="E364" s="6"/>
      <c r="F364" s="6"/>
    </row>
    <row r="365" spans="1:6" x14ac:dyDescent="0.3">
      <c r="A365" s="8" t="s">
        <v>691</v>
      </c>
      <c r="B365" s="8" t="s">
        <v>53969</v>
      </c>
      <c r="C365" s="8" t="s">
        <v>692</v>
      </c>
      <c r="D365" s="8"/>
      <c r="E365" s="6"/>
      <c r="F365" s="6"/>
    </row>
    <row r="366" spans="1:6" x14ac:dyDescent="0.3">
      <c r="A366" s="8" t="s">
        <v>693</v>
      </c>
      <c r="B366" s="8" t="s">
        <v>53970</v>
      </c>
      <c r="C366" s="8" t="s">
        <v>694</v>
      </c>
      <c r="D366" s="8"/>
      <c r="E366" s="6"/>
      <c r="F366" s="6"/>
    </row>
    <row r="367" spans="1:6" x14ac:dyDescent="0.3">
      <c r="A367" s="8" t="s">
        <v>695</v>
      </c>
      <c r="B367" s="8" t="s">
        <v>53971</v>
      </c>
      <c r="C367" s="8" t="s">
        <v>696</v>
      </c>
      <c r="D367" s="8"/>
      <c r="E367" s="6"/>
      <c r="F367" s="6"/>
    </row>
    <row r="368" spans="1:6" x14ac:dyDescent="0.3">
      <c r="A368" s="8" t="s">
        <v>697</v>
      </c>
      <c r="B368" s="8" t="s">
        <v>53972</v>
      </c>
      <c r="C368" s="8" t="s">
        <v>698</v>
      </c>
      <c r="D368" s="8"/>
      <c r="E368" s="6"/>
      <c r="F368" s="6"/>
    </row>
    <row r="369" spans="1:6" x14ac:dyDescent="0.3">
      <c r="A369" s="8" t="s">
        <v>699</v>
      </c>
      <c r="B369" s="8" t="s">
        <v>53973</v>
      </c>
      <c r="C369" s="8" t="s">
        <v>700</v>
      </c>
      <c r="D369" s="8"/>
      <c r="E369" s="6"/>
      <c r="F369" s="6"/>
    </row>
    <row r="370" spans="1:6" x14ac:dyDescent="0.3">
      <c r="A370" s="8" t="s">
        <v>701</v>
      </c>
      <c r="B370" s="8" t="s">
        <v>53974</v>
      </c>
      <c r="C370" s="8" t="s">
        <v>702</v>
      </c>
      <c r="D370" s="8"/>
      <c r="E370" s="6"/>
      <c r="F370" s="6"/>
    </row>
    <row r="371" spans="1:6" x14ac:dyDescent="0.3">
      <c r="A371" s="8" t="s">
        <v>703</v>
      </c>
      <c r="B371" s="8" t="s">
        <v>53975</v>
      </c>
      <c r="C371" s="8" t="s">
        <v>704</v>
      </c>
      <c r="D371" s="8"/>
      <c r="E371" s="6"/>
      <c r="F371" s="6"/>
    </row>
    <row r="372" spans="1:6" x14ac:dyDescent="0.3">
      <c r="A372" s="8" t="s">
        <v>705</v>
      </c>
      <c r="B372" s="8" t="s">
        <v>53976</v>
      </c>
      <c r="C372" s="8" t="s">
        <v>706</v>
      </c>
      <c r="D372" s="8"/>
      <c r="E372" s="6"/>
      <c r="F372" s="6"/>
    </row>
    <row r="373" spans="1:6" x14ac:dyDescent="0.3">
      <c r="A373" s="8" t="s">
        <v>707</v>
      </c>
      <c r="B373" s="8" t="s">
        <v>53977</v>
      </c>
      <c r="C373" s="8" t="s">
        <v>708</v>
      </c>
      <c r="D373" s="8"/>
      <c r="E373" s="6"/>
      <c r="F373" s="6"/>
    </row>
    <row r="374" spans="1:6" x14ac:dyDescent="0.3">
      <c r="A374" s="8" t="s">
        <v>709</v>
      </c>
      <c r="B374" s="8" t="s">
        <v>53978</v>
      </c>
      <c r="C374" s="8" t="s">
        <v>710</v>
      </c>
      <c r="D374" s="8"/>
      <c r="E374" s="6"/>
      <c r="F374" s="6"/>
    </row>
    <row r="375" spans="1:6" x14ac:dyDescent="0.3">
      <c r="A375" s="8" t="s">
        <v>711</v>
      </c>
      <c r="B375" s="8" t="s">
        <v>53979</v>
      </c>
      <c r="C375" s="8" t="s">
        <v>712</v>
      </c>
      <c r="D375" s="8"/>
      <c r="E375" s="6"/>
      <c r="F375" s="6"/>
    </row>
    <row r="376" spans="1:6" x14ac:dyDescent="0.3">
      <c r="A376" s="8" t="s">
        <v>713</v>
      </c>
      <c r="B376" s="8" t="s">
        <v>53980</v>
      </c>
      <c r="C376" s="8" t="s">
        <v>714</v>
      </c>
      <c r="D376" s="8"/>
      <c r="E376" s="6"/>
      <c r="F376" s="6"/>
    </row>
    <row r="377" spans="1:6" x14ac:dyDescent="0.3">
      <c r="A377" s="8" t="s">
        <v>715</v>
      </c>
      <c r="B377" s="8" t="s">
        <v>53981</v>
      </c>
      <c r="C377" s="8" t="s">
        <v>716</v>
      </c>
      <c r="D377" s="8"/>
      <c r="E377" s="6"/>
      <c r="F377" s="6"/>
    </row>
    <row r="378" spans="1:6" x14ac:dyDescent="0.3">
      <c r="A378" s="8" t="s">
        <v>717</v>
      </c>
      <c r="B378" s="8" t="s">
        <v>53982</v>
      </c>
      <c r="C378" s="8" t="s">
        <v>718</v>
      </c>
      <c r="D378" s="8"/>
      <c r="E378" s="6"/>
      <c r="F378" s="6"/>
    </row>
    <row r="379" spans="1:6" x14ac:dyDescent="0.3">
      <c r="A379" s="8" t="s">
        <v>719</v>
      </c>
      <c r="B379" s="8" t="s">
        <v>53983</v>
      </c>
      <c r="C379" s="8" t="s">
        <v>720</v>
      </c>
      <c r="D379" s="8"/>
      <c r="E379" s="6"/>
      <c r="F379" s="6"/>
    </row>
    <row r="380" spans="1:6" x14ac:dyDescent="0.3">
      <c r="A380" s="8" t="s">
        <v>721</v>
      </c>
      <c r="B380" s="8" t="s">
        <v>53984</v>
      </c>
      <c r="C380" s="8" t="s">
        <v>722</v>
      </c>
      <c r="D380" s="8"/>
      <c r="E380" s="6"/>
      <c r="F380" s="6"/>
    </row>
    <row r="381" spans="1:6" x14ac:dyDescent="0.3">
      <c r="A381" s="8" t="s">
        <v>723</v>
      </c>
      <c r="B381" s="8" t="s">
        <v>53985</v>
      </c>
      <c r="C381" s="8" t="s">
        <v>724</v>
      </c>
      <c r="D381" s="8"/>
      <c r="E381" s="6"/>
      <c r="F381" s="6"/>
    </row>
    <row r="382" spans="1:6" x14ac:dyDescent="0.3">
      <c r="A382" s="8" t="s">
        <v>725</v>
      </c>
      <c r="B382" s="8" t="s">
        <v>53986</v>
      </c>
      <c r="C382" s="8" t="s">
        <v>726</v>
      </c>
      <c r="D382" s="8"/>
      <c r="E382" s="6"/>
      <c r="F382" s="6"/>
    </row>
    <row r="383" spans="1:6" x14ac:dyDescent="0.3">
      <c r="A383" s="8" t="s">
        <v>727</v>
      </c>
      <c r="B383" s="8" t="s">
        <v>53987</v>
      </c>
      <c r="C383" s="8" t="s">
        <v>728</v>
      </c>
      <c r="D383" s="8"/>
      <c r="E383" s="6"/>
      <c r="F383" s="6"/>
    </row>
    <row r="384" spans="1:6" x14ac:dyDescent="0.3">
      <c r="A384" s="8" t="s">
        <v>729</v>
      </c>
      <c r="B384" s="8" t="s">
        <v>53988</v>
      </c>
      <c r="C384" s="8" t="s">
        <v>730</v>
      </c>
      <c r="D384" s="8"/>
      <c r="E384" s="6"/>
      <c r="F384" s="6"/>
    </row>
    <row r="385" spans="1:6" x14ac:dyDescent="0.3">
      <c r="A385" s="8" t="s">
        <v>731</v>
      </c>
      <c r="B385" s="8" t="s">
        <v>53989</v>
      </c>
      <c r="C385" s="8" t="s">
        <v>732</v>
      </c>
      <c r="D385" s="8"/>
      <c r="E385" s="6"/>
      <c r="F385" s="6"/>
    </row>
    <row r="386" spans="1:6" x14ac:dyDescent="0.3">
      <c r="A386" s="8" t="s">
        <v>733</v>
      </c>
      <c r="B386" s="8" t="s">
        <v>53990</v>
      </c>
      <c r="C386" s="8" t="s">
        <v>734</v>
      </c>
      <c r="D386" s="8"/>
      <c r="E386" s="6"/>
      <c r="F386" s="6"/>
    </row>
    <row r="387" spans="1:6" x14ac:dyDescent="0.3">
      <c r="A387" s="8" t="s">
        <v>735</v>
      </c>
      <c r="B387" s="8" t="s">
        <v>53991</v>
      </c>
      <c r="C387" s="8" t="s">
        <v>736</v>
      </c>
      <c r="D387" s="8"/>
      <c r="E387" s="6"/>
      <c r="F387" s="6"/>
    </row>
    <row r="388" spans="1:6" x14ac:dyDescent="0.3">
      <c r="A388" s="8" t="s">
        <v>737</v>
      </c>
      <c r="B388" s="8" t="s">
        <v>53992</v>
      </c>
      <c r="C388" s="8" t="s">
        <v>738</v>
      </c>
      <c r="D388" s="8"/>
      <c r="E388" s="6"/>
      <c r="F388" s="6"/>
    </row>
    <row r="389" spans="1:6" x14ac:dyDescent="0.3">
      <c r="A389" s="8" t="s">
        <v>739</v>
      </c>
      <c r="B389" s="8" t="s">
        <v>53993</v>
      </c>
      <c r="C389" s="8" t="s">
        <v>740</v>
      </c>
      <c r="D389" s="8"/>
      <c r="E389" s="6"/>
      <c r="F389" s="6"/>
    </row>
    <row r="390" spans="1:6" x14ac:dyDescent="0.3">
      <c r="A390" s="8" t="s">
        <v>741</v>
      </c>
      <c r="B390" s="8" t="s">
        <v>53994</v>
      </c>
      <c r="C390" s="8" t="s">
        <v>742</v>
      </c>
      <c r="D390" s="8"/>
      <c r="E390" s="6"/>
      <c r="F390" s="6"/>
    </row>
    <row r="391" spans="1:6" x14ac:dyDescent="0.3">
      <c r="A391" s="8" t="s">
        <v>743</v>
      </c>
      <c r="B391" s="8" t="s">
        <v>53995</v>
      </c>
      <c r="C391" s="8" t="s">
        <v>744</v>
      </c>
      <c r="D391" s="8"/>
      <c r="E391" s="6"/>
      <c r="F391" s="6"/>
    </row>
    <row r="392" spans="1:6" x14ac:dyDescent="0.3">
      <c r="A392" s="8" t="s">
        <v>745</v>
      </c>
      <c r="B392" s="8" t="s">
        <v>53996</v>
      </c>
      <c r="C392" s="8" t="s">
        <v>746</v>
      </c>
      <c r="D392" s="8"/>
      <c r="E392" s="6"/>
      <c r="F392" s="6"/>
    </row>
    <row r="393" spans="1:6" x14ac:dyDescent="0.3">
      <c r="A393" s="8" t="s">
        <v>747</v>
      </c>
      <c r="B393" s="8" t="s">
        <v>53997</v>
      </c>
      <c r="C393" s="8" t="s">
        <v>748</v>
      </c>
      <c r="D393" s="8"/>
      <c r="E393" s="6"/>
      <c r="F393" s="6"/>
    </row>
    <row r="394" spans="1:6" x14ac:dyDescent="0.3">
      <c r="A394" s="8" t="s">
        <v>749</v>
      </c>
      <c r="B394" s="8" t="s">
        <v>53998</v>
      </c>
      <c r="C394" s="8" t="s">
        <v>750</v>
      </c>
      <c r="D394" s="8"/>
      <c r="E394" s="6"/>
      <c r="F394" s="6"/>
    </row>
    <row r="395" spans="1:6" x14ac:dyDescent="0.3">
      <c r="A395" s="8" t="s">
        <v>751</v>
      </c>
      <c r="B395" s="8" t="s">
        <v>53999</v>
      </c>
      <c r="C395" s="8" t="s">
        <v>752</v>
      </c>
      <c r="D395" s="8"/>
      <c r="E395" s="6"/>
      <c r="F395" s="6"/>
    </row>
    <row r="396" spans="1:6" x14ac:dyDescent="0.3">
      <c r="A396" s="8" t="s">
        <v>753</v>
      </c>
      <c r="B396" s="8" t="s">
        <v>54000</v>
      </c>
      <c r="C396" s="8" t="s">
        <v>754</v>
      </c>
      <c r="D396" s="8"/>
      <c r="E396" s="6"/>
      <c r="F396" s="6"/>
    </row>
    <row r="397" spans="1:6" x14ac:dyDescent="0.3">
      <c r="A397" s="8" t="s">
        <v>755</v>
      </c>
      <c r="B397" s="8" t="s">
        <v>54001</v>
      </c>
      <c r="C397" s="8" t="s">
        <v>756</v>
      </c>
      <c r="D397" s="8"/>
      <c r="E397" s="6"/>
      <c r="F397" s="6"/>
    </row>
    <row r="398" spans="1:6" x14ac:dyDescent="0.3">
      <c r="A398" s="8" t="s">
        <v>757</v>
      </c>
      <c r="B398" s="8" t="s">
        <v>54002</v>
      </c>
      <c r="C398" s="8" t="s">
        <v>758</v>
      </c>
      <c r="D398" s="8"/>
      <c r="E398" s="6"/>
      <c r="F398" s="6"/>
    </row>
    <row r="399" spans="1:6" x14ac:dyDescent="0.3">
      <c r="A399" s="8" t="s">
        <v>759</v>
      </c>
      <c r="B399" s="8" t="s">
        <v>54003</v>
      </c>
      <c r="C399" s="8" t="s">
        <v>760</v>
      </c>
      <c r="D399" s="8"/>
      <c r="E399" s="6"/>
      <c r="F399" s="6"/>
    </row>
    <row r="400" spans="1:6" x14ac:dyDescent="0.3">
      <c r="A400" s="8" t="s">
        <v>761</v>
      </c>
      <c r="B400" s="8" t="s">
        <v>54004</v>
      </c>
      <c r="C400" s="8" t="s">
        <v>762</v>
      </c>
      <c r="D400" s="8"/>
      <c r="E400" s="6"/>
      <c r="F400" s="6"/>
    </row>
    <row r="401" spans="1:6" x14ac:dyDescent="0.3">
      <c r="A401" s="8" t="s">
        <v>763</v>
      </c>
      <c r="B401" s="8" t="s">
        <v>54005</v>
      </c>
      <c r="C401" s="8" t="s">
        <v>764</v>
      </c>
      <c r="D401" s="8"/>
      <c r="E401" s="6"/>
      <c r="F401" s="6"/>
    </row>
    <row r="402" spans="1:6" x14ac:dyDescent="0.3">
      <c r="A402" s="8" t="s">
        <v>765</v>
      </c>
      <c r="B402" s="8" t="s">
        <v>54006</v>
      </c>
      <c r="C402" s="8" t="s">
        <v>766</v>
      </c>
      <c r="D402" s="8"/>
      <c r="E402" s="6"/>
      <c r="F402" s="6"/>
    </row>
    <row r="403" spans="1:6" x14ac:dyDescent="0.3">
      <c r="A403" s="8" t="s">
        <v>767</v>
      </c>
      <c r="B403" s="8" t="s">
        <v>54007</v>
      </c>
      <c r="C403" s="8" t="s">
        <v>768</v>
      </c>
      <c r="D403" s="8"/>
      <c r="E403" s="6"/>
      <c r="F403" s="6"/>
    </row>
    <row r="404" spans="1:6" x14ac:dyDescent="0.3">
      <c r="A404" s="8" t="s">
        <v>769</v>
      </c>
      <c r="B404" s="8" t="s">
        <v>54008</v>
      </c>
      <c r="C404" s="8" t="s">
        <v>770</v>
      </c>
      <c r="D404" s="8"/>
      <c r="E404" s="6"/>
      <c r="F404" s="6"/>
    </row>
    <row r="405" spans="1:6" x14ac:dyDescent="0.3">
      <c r="A405" s="8" t="s">
        <v>771</v>
      </c>
      <c r="B405" s="8" t="s">
        <v>54009</v>
      </c>
      <c r="C405" s="8" t="s">
        <v>772</v>
      </c>
      <c r="D405" s="8"/>
      <c r="E405" s="6"/>
      <c r="F405" s="6"/>
    </row>
    <row r="406" spans="1:6" x14ac:dyDescent="0.3">
      <c r="A406" s="8" t="s">
        <v>773</v>
      </c>
      <c r="B406" s="8" t="s">
        <v>54010</v>
      </c>
      <c r="C406" s="8" t="s">
        <v>774</v>
      </c>
      <c r="D406" s="8"/>
      <c r="E406" s="6"/>
      <c r="F406" s="6"/>
    </row>
    <row r="407" spans="1:6" x14ac:dyDescent="0.3">
      <c r="A407" s="8" t="s">
        <v>775</v>
      </c>
      <c r="B407" s="8" t="s">
        <v>54011</v>
      </c>
      <c r="C407" s="8" t="s">
        <v>776</v>
      </c>
      <c r="D407" s="8"/>
      <c r="E407" s="6"/>
      <c r="F407" s="6"/>
    </row>
    <row r="408" spans="1:6" x14ac:dyDescent="0.3">
      <c r="A408" s="8" t="s">
        <v>777</v>
      </c>
      <c r="B408" s="8" t="s">
        <v>54012</v>
      </c>
      <c r="C408" s="8" t="s">
        <v>778</v>
      </c>
      <c r="D408" s="8"/>
      <c r="E408" s="6"/>
      <c r="F408" s="6"/>
    </row>
    <row r="409" spans="1:6" x14ac:dyDescent="0.3">
      <c r="A409" s="8" t="s">
        <v>779</v>
      </c>
      <c r="B409" s="8" t="s">
        <v>54013</v>
      </c>
      <c r="C409" s="8" t="s">
        <v>780</v>
      </c>
      <c r="D409" s="8"/>
      <c r="E409" s="6"/>
      <c r="F409" s="6"/>
    </row>
    <row r="410" spans="1:6" x14ac:dyDescent="0.3">
      <c r="A410" s="8" t="s">
        <v>781</v>
      </c>
      <c r="B410" s="8" t="s">
        <v>54014</v>
      </c>
      <c r="C410" s="8" t="s">
        <v>782</v>
      </c>
      <c r="D410" s="8"/>
      <c r="E410" s="6"/>
      <c r="F410" s="6"/>
    </row>
    <row r="411" spans="1:6" x14ac:dyDescent="0.3">
      <c r="A411" s="8" t="s">
        <v>783</v>
      </c>
      <c r="B411" s="8" t="s">
        <v>54015</v>
      </c>
      <c r="C411" s="8" t="s">
        <v>784</v>
      </c>
      <c r="D411" s="8"/>
      <c r="E411" s="6"/>
      <c r="F411" s="6"/>
    </row>
    <row r="412" spans="1:6" x14ac:dyDescent="0.3">
      <c r="A412" s="8" t="s">
        <v>785</v>
      </c>
      <c r="B412" s="8" t="s">
        <v>54016</v>
      </c>
      <c r="C412" s="8" t="s">
        <v>786</v>
      </c>
      <c r="D412" s="8"/>
      <c r="E412" s="6"/>
      <c r="F412" s="6"/>
    </row>
    <row r="413" spans="1:6" x14ac:dyDescent="0.3">
      <c r="A413" s="8" t="s">
        <v>787</v>
      </c>
      <c r="B413" s="8" t="s">
        <v>54017</v>
      </c>
      <c r="C413" s="8" t="s">
        <v>788</v>
      </c>
      <c r="D413" s="8"/>
      <c r="E413" s="6"/>
      <c r="F413" s="6"/>
    </row>
    <row r="414" spans="1:6" x14ac:dyDescent="0.3">
      <c r="A414" s="8" t="s">
        <v>789</v>
      </c>
      <c r="B414" s="8" t="s">
        <v>54018</v>
      </c>
      <c r="C414" s="8" t="s">
        <v>790</v>
      </c>
      <c r="D414" s="8"/>
      <c r="E414" s="6"/>
      <c r="F414" s="6"/>
    </row>
    <row r="415" spans="1:6" x14ac:dyDescent="0.3">
      <c r="A415" s="8" t="s">
        <v>791</v>
      </c>
      <c r="B415" s="8" t="s">
        <v>54019</v>
      </c>
      <c r="C415" s="8" t="s">
        <v>792</v>
      </c>
      <c r="D415" s="8"/>
      <c r="E415" s="6"/>
      <c r="F415" s="6"/>
    </row>
    <row r="416" spans="1:6" x14ac:dyDescent="0.3">
      <c r="A416" s="8" t="s">
        <v>793</v>
      </c>
      <c r="B416" s="8" t="s">
        <v>54020</v>
      </c>
      <c r="C416" s="8" t="s">
        <v>794</v>
      </c>
      <c r="D416" s="8"/>
      <c r="E416" s="6"/>
      <c r="F416" s="6"/>
    </row>
    <row r="417" spans="1:6" x14ac:dyDescent="0.3">
      <c r="A417" s="8" t="s">
        <v>795</v>
      </c>
      <c r="B417" s="8" t="s">
        <v>54021</v>
      </c>
      <c r="C417" s="8" t="s">
        <v>796</v>
      </c>
      <c r="D417" s="8"/>
      <c r="E417" s="6"/>
      <c r="F417" s="6"/>
    </row>
    <row r="418" spans="1:6" x14ac:dyDescent="0.3">
      <c r="A418" s="8" t="s">
        <v>797</v>
      </c>
      <c r="B418" s="8" t="s">
        <v>54022</v>
      </c>
      <c r="C418" s="8" t="s">
        <v>798</v>
      </c>
      <c r="D418" s="8"/>
      <c r="E418" s="6"/>
      <c r="F418" s="6"/>
    </row>
    <row r="419" spans="1:6" x14ac:dyDescent="0.3">
      <c r="A419" s="8" t="s">
        <v>799</v>
      </c>
      <c r="B419" s="8" t="s">
        <v>54023</v>
      </c>
      <c r="C419" s="8" t="s">
        <v>800</v>
      </c>
      <c r="D419" s="8"/>
      <c r="E419" s="6"/>
      <c r="F419" s="6"/>
    </row>
    <row r="420" spans="1:6" x14ac:dyDescent="0.3">
      <c r="A420" s="8" t="s">
        <v>801</v>
      </c>
      <c r="B420" s="8" t="s">
        <v>54024</v>
      </c>
      <c r="C420" s="8" t="s">
        <v>802</v>
      </c>
      <c r="D420" s="8"/>
      <c r="E420" s="6"/>
      <c r="F420" s="6"/>
    </row>
    <row r="421" spans="1:6" x14ac:dyDescent="0.3">
      <c r="A421" s="8" t="s">
        <v>803</v>
      </c>
      <c r="B421" s="8" t="s">
        <v>54025</v>
      </c>
      <c r="C421" s="8" t="s">
        <v>804</v>
      </c>
      <c r="D421" s="8"/>
      <c r="E421" s="6"/>
      <c r="F421" s="6"/>
    </row>
    <row r="422" spans="1:6" x14ac:dyDescent="0.3">
      <c r="A422" s="8" t="s">
        <v>805</v>
      </c>
      <c r="B422" s="8" t="s">
        <v>54026</v>
      </c>
      <c r="C422" s="8" t="s">
        <v>806</v>
      </c>
      <c r="D422" s="8"/>
      <c r="E422" s="6"/>
      <c r="F422" s="6"/>
    </row>
    <row r="423" spans="1:6" x14ac:dyDescent="0.3">
      <c r="A423" s="8" t="s">
        <v>807</v>
      </c>
      <c r="B423" s="8" t="s">
        <v>54027</v>
      </c>
      <c r="C423" s="8" t="s">
        <v>808</v>
      </c>
      <c r="D423" s="8"/>
      <c r="E423" s="6"/>
      <c r="F423" s="6"/>
    </row>
    <row r="424" spans="1:6" x14ac:dyDescent="0.3">
      <c r="A424" s="8" t="s">
        <v>809</v>
      </c>
      <c r="B424" s="8" t="s">
        <v>54028</v>
      </c>
      <c r="C424" s="8" t="s">
        <v>810</v>
      </c>
      <c r="D424" s="8"/>
      <c r="E424" s="6"/>
      <c r="F424" s="6"/>
    </row>
    <row r="425" spans="1:6" x14ac:dyDescent="0.3">
      <c r="A425" s="8" t="s">
        <v>811</v>
      </c>
      <c r="B425" s="8" t="s">
        <v>54029</v>
      </c>
      <c r="C425" s="8" t="s">
        <v>812</v>
      </c>
      <c r="D425" s="8"/>
      <c r="E425" s="6"/>
      <c r="F425" s="6"/>
    </row>
    <row r="426" spans="1:6" x14ac:dyDescent="0.3">
      <c r="A426" s="8" t="s">
        <v>813</v>
      </c>
      <c r="B426" s="8" t="s">
        <v>54030</v>
      </c>
      <c r="C426" s="8" t="s">
        <v>814</v>
      </c>
      <c r="D426" s="8"/>
      <c r="E426" s="6"/>
      <c r="F426" s="6"/>
    </row>
    <row r="427" spans="1:6" x14ac:dyDescent="0.3">
      <c r="A427" s="8" t="s">
        <v>815</v>
      </c>
      <c r="B427" s="8" t="s">
        <v>54031</v>
      </c>
      <c r="C427" s="8" t="s">
        <v>816</v>
      </c>
      <c r="D427" s="8"/>
      <c r="E427" s="6"/>
      <c r="F427" s="6"/>
    </row>
    <row r="428" spans="1:6" x14ac:dyDescent="0.3">
      <c r="A428" s="8" t="s">
        <v>817</v>
      </c>
      <c r="B428" s="8" t="s">
        <v>54032</v>
      </c>
      <c r="C428" s="8" t="s">
        <v>818</v>
      </c>
      <c r="D428" s="8"/>
      <c r="E428" s="6"/>
      <c r="F428" s="6"/>
    </row>
    <row r="429" spans="1:6" x14ac:dyDescent="0.3">
      <c r="A429" s="8" t="s">
        <v>819</v>
      </c>
      <c r="B429" s="8" t="s">
        <v>54033</v>
      </c>
      <c r="C429" s="8" t="s">
        <v>820</v>
      </c>
      <c r="D429" s="8"/>
      <c r="E429" s="6"/>
      <c r="F429" s="6"/>
    </row>
    <row r="430" spans="1:6" x14ac:dyDescent="0.3">
      <c r="A430" s="8" t="s">
        <v>821</v>
      </c>
      <c r="B430" s="8" t="s">
        <v>54034</v>
      </c>
      <c r="C430" s="8" t="s">
        <v>822</v>
      </c>
      <c r="D430" s="8"/>
      <c r="E430" s="6"/>
      <c r="F430" s="6"/>
    </row>
    <row r="431" spans="1:6" x14ac:dyDescent="0.3">
      <c r="A431" s="8" t="s">
        <v>823</v>
      </c>
      <c r="B431" s="8" t="s">
        <v>54035</v>
      </c>
      <c r="C431" s="8" t="s">
        <v>824</v>
      </c>
      <c r="D431" s="8"/>
      <c r="E431" s="6"/>
      <c r="F431" s="6"/>
    </row>
    <row r="432" spans="1:6" x14ac:dyDescent="0.3">
      <c r="A432" s="8" t="s">
        <v>825</v>
      </c>
      <c r="B432" s="8" t="s">
        <v>54036</v>
      </c>
      <c r="C432" s="8" t="s">
        <v>826</v>
      </c>
      <c r="D432" s="8"/>
      <c r="E432" s="6"/>
      <c r="F432" s="6"/>
    </row>
    <row r="433" spans="1:6" x14ac:dyDescent="0.3">
      <c r="A433" s="8" t="s">
        <v>827</v>
      </c>
      <c r="B433" s="8" t="s">
        <v>54037</v>
      </c>
      <c r="C433" s="8" t="s">
        <v>828</v>
      </c>
      <c r="D433" s="8"/>
      <c r="E433" s="6"/>
      <c r="F433" s="6"/>
    </row>
    <row r="434" spans="1:6" x14ac:dyDescent="0.3">
      <c r="A434" s="8" t="s">
        <v>829</v>
      </c>
      <c r="B434" s="8" t="s">
        <v>54038</v>
      </c>
      <c r="C434" s="8" t="s">
        <v>830</v>
      </c>
      <c r="D434" s="8"/>
      <c r="E434" s="6"/>
      <c r="F434" s="6"/>
    </row>
    <row r="435" spans="1:6" x14ac:dyDescent="0.3">
      <c r="A435" s="8" t="s">
        <v>831</v>
      </c>
      <c r="B435" s="8" t="s">
        <v>54039</v>
      </c>
      <c r="C435" s="8" t="s">
        <v>832</v>
      </c>
      <c r="D435" s="8"/>
      <c r="E435" s="6"/>
      <c r="F435" s="6"/>
    </row>
    <row r="436" spans="1:6" x14ac:dyDescent="0.3">
      <c r="A436" s="8" t="s">
        <v>833</v>
      </c>
      <c r="B436" s="8" t="s">
        <v>54040</v>
      </c>
      <c r="C436" s="8" t="s">
        <v>834</v>
      </c>
      <c r="D436" s="8"/>
      <c r="E436" s="6"/>
      <c r="F436" s="6"/>
    </row>
    <row r="437" spans="1:6" x14ac:dyDescent="0.3">
      <c r="A437" s="8" t="s">
        <v>835</v>
      </c>
      <c r="B437" s="8" t="s">
        <v>54041</v>
      </c>
      <c r="C437" s="8" t="s">
        <v>836</v>
      </c>
      <c r="D437" s="8"/>
      <c r="E437" s="6"/>
      <c r="F437" s="6"/>
    </row>
    <row r="438" spans="1:6" x14ac:dyDescent="0.3">
      <c r="A438" s="8" t="s">
        <v>837</v>
      </c>
      <c r="B438" s="8" t="s">
        <v>54042</v>
      </c>
      <c r="C438" s="8" t="s">
        <v>838</v>
      </c>
      <c r="D438" s="8"/>
      <c r="E438" s="6"/>
      <c r="F438" s="6"/>
    </row>
    <row r="439" spans="1:6" x14ac:dyDescent="0.3">
      <c r="A439" s="8" t="s">
        <v>839</v>
      </c>
      <c r="B439" s="8" t="s">
        <v>54043</v>
      </c>
      <c r="C439" s="8" t="s">
        <v>840</v>
      </c>
      <c r="D439" s="8"/>
      <c r="E439" s="6"/>
      <c r="F439" s="6"/>
    </row>
    <row r="440" spans="1:6" x14ac:dyDescent="0.3">
      <c r="A440" s="8" t="s">
        <v>841</v>
      </c>
      <c r="B440" s="8" t="s">
        <v>54044</v>
      </c>
      <c r="C440" s="8" t="s">
        <v>842</v>
      </c>
      <c r="D440" s="8"/>
      <c r="E440" s="6"/>
      <c r="F440" s="6"/>
    </row>
    <row r="441" spans="1:6" x14ac:dyDescent="0.3">
      <c r="A441" s="8" t="s">
        <v>843</v>
      </c>
      <c r="B441" s="8" t="s">
        <v>54045</v>
      </c>
      <c r="C441" s="8" t="s">
        <v>844</v>
      </c>
      <c r="D441" s="8"/>
      <c r="E441" s="6"/>
      <c r="F441" s="6"/>
    </row>
    <row r="442" spans="1:6" x14ac:dyDescent="0.3">
      <c r="A442" s="8" t="s">
        <v>845</v>
      </c>
      <c r="B442" s="8" t="s">
        <v>54046</v>
      </c>
      <c r="C442" s="8" t="s">
        <v>846</v>
      </c>
      <c r="D442" s="8"/>
      <c r="E442" s="6"/>
      <c r="F442" s="6"/>
    </row>
    <row r="443" spans="1:6" x14ac:dyDescent="0.3">
      <c r="A443" s="8" t="s">
        <v>847</v>
      </c>
      <c r="B443" s="8" t="s">
        <v>54047</v>
      </c>
      <c r="C443" s="8" t="s">
        <v>848</v>
      </c>
      <c r="D443" s="8"/>
      <c r="E443" s="6"/>
      <c r="F443" s="6"/>
    </row>
    <row r="444" spans="1:6" x14ac:dyDescent="0.3">
      <c r="A444" s="8" t="s">
        <v>849</v>
      </c>
      <c r="B444" s="8" t="s">
        <v>54048</v>
      </c>
      <c r="C444" s="8" t="s">
        <v>850</v>
      </c>
      <c r="D444" s="8"/>
      <c r="E444" s="6"/>
      <c r="F444" s="6"/>
    </row>
    <row r="445" spans="1:6" x14ac:dyDescent="0.3">
      <c r="A445" s="8" t="s">
        <v>851</v>
      </c>
      <c r="B445" s="8" t="s">
        <v>54049</v>
      </c>
      <c r="C445" s="8" t="s">
        <v>852</v>
      </c>
      <c r="D445" s="8"/>
      <c r="E445" s="6"/>
      <c r="F445" s="6"/>
    </row>
    <row r="446" spans="1:6" x14ac:dyDescent="0.3">
      <c r="A446" s="8" t="s">
        <v>853</v>
      </c>
      <c r="B446" s="8" t="s">
        <v>54050</v>
      </c>
      <c r="C446" s="8" t="s">
        <v>854</v>
      </c>
      <c r="D446" s="8"/>
      <c r="E446" s="6"/>
      <c r="F446" s="6"/>
    </row>
    <row r="447" spans="1:6" x14ac:dyDescent="0.3">
      <c r="A447" s="8" t="s">
        <v>855</v>
      </c>
      <c r="B447" s="8" t="s">
        <v>54051</v>
      </c>
      <c r="C447" s="8" t="s">
        <v>856</v>
      </c>
      <c r="D447" s="8"/>
      <c r="E447" s="6"/>
      <c r="F447" s="6"/>
    </row>
    <row r="448" spans="1:6" x14ac:dyDescent="0.3">
      <c r="A448" s="8" t="s">
        <v>857</v>
      </c>
      <c r="B448" s="8" t="s">
        <v>54052</v>
      </c>
      <c r="C448" s="8" t="s">
        <v>858</v>
      </c>
      <c r="D448" s="8"/>
      <c r="E448" s="6"/>
      <c r="F448" s="6"/>
    </row>
    <row r="449" spans="1:6" x14ac:dyDescent="0.3">
      <c r="A449" s="8" t="s">
        <v>859</v>
      </c>
      <c r="B449" s="8" t="s">
        <v>54053</v>
      </c>
      <c r="C449" s="8" t="s">
        <v>860</v>
      </c>
      <c r="D449" s="8"/>
      <c r="E449" s="6"/>
      <c r="F449" s="6"/>
    </row>
    <row r="450" spans="1:6" x14ac:dyDescent="0.3">
      <c r="A450" s="8" t="s">
        <v>861</v>
      </c>
      <c r="B450" s="8" t="s">
        <v>54054</v>
      </c>
      <c r="C450" s="8" t="s">
        <v>862</v>
      </c>
      <c r="D450" s="8"/>
      <c r="E450" s="6"/>
      <c r="F450" s="6"/>
    </row>
    <row r="451" spans="1:6" x14ac:dyDescent="0.3">
      <c r="A451" s="8" t="s">
        <v>863</v>
      </c>
      <c r="B451" s="8" t="s">
        <v>54055</v>
      </c>
      <c r="C451" s="8" t="s">
        <v>864</v>
      </c>
      <c r="D451" s="8"/>
      <c r="E451" s="6"/>
      <c r="F451" s="6"/>
    </row>
    <row r="452" spans="1:6" x14ac:dyDescent="0.3">
      <c r="A452" s="8" t="s">
        <v>865</v>
      </c>
      <c r="B452" s="8" t="s">
        <v>54056</v>
      </c>
      <c r="C452" s="8" t="s">
        <v>866</v>
      </c>
      <c r="D452" s="8"/>
      <c r="E452" s="6"/>
      <c r="F452" s="6"/>
    </row>
    <row r="453" spans="1:6" x14ac:dyDescent="0.3">
      <c r="A453" s="8" t="s">
        <v>867</v>
      </c>
      <c r="B453" s="8" t="s">
        <v>54057</v>
      </c>
      <c r="C453" s="8" t="s">
        <v>868</v>
      </c>
      <c r="D453" s="8"/>
      <c r="E453" s="6"/>
      <c r="F453" s="6"/>
    </row>
    <row r="454" spans="1:6" x14ac:dyDescent="0.3">
      <c r="A454" s="8" t="s">
        <v>869</v>
      </c>
      <c r="B454" s="8" t="s">
        <v>54058</v>
      </c>
      <c r="C454" s="8" t="s">
        <v>870</v>
      </c>
      <c r="D454" s="8"/>
      <c r="E454" s="6"/>
      <c r="F454" s="6"/>
    </row>
    <row r="455" spans="1:6" x14ac:dyDescent="0.3">
      <c r="A455" s="8" t="s">
        <v>871</v>
      </c>
      <c r="B455" s="8" t="s">
        <v>54059</v>
      </c>
      <c r="C455" s="8" t="s">
        <v>872</v>
      </c>
      <c r="D455" s="8"/>
      <c r="E455" s="6"/>
      <c r="F455" s="6"/>
    </row>
    <row r="456" spans="1:6" x14ac:dyDescent="0.3">
      <c r="A456" s="8" t="s">
        <v>873</v>
      </c>
      <c r="B456" s="8" t="s">
        <v>54060</v>
      </c>
      <c r="C456" s="8" t="s">
        <v>874</v>
      </c>
      <c r="D456" s="8"/>
      <c r="E456" s="6"/>
      <c r="F456" s="6"/>
    </row>
    <row r="457" spans="1:6" x14ac:dyDescent="0.3">
      <c r="A457" s="8" t="s">
        <v>875</v>
      </c>
      <c r="B457" s="8" t="s">
        <v>54061</v>
      </c>
      <c r="C457" s="8" t="s">
        <v>876</v>
      </c>
      <c r="D457" s="8"/>
      <c r="E457" s="6"/>
      <c r="F457" s="6"/>
    </row>
    <row r="458" spans="1:6" x14ac:dyDescent="0.3">
      <c r="A458" s="8" t="s">
        <v>877</v>
      </c>
      <c r="B458" s="8" t="s">
        <v>54062</v>
      </c>
      <c r="C458" s="8" t="s">
        <v>878</v>
      </c>
      <c r="D458" s="8"/>
      <c r="E458" s="6"/>
      <c r="F458" s="6"/>
    </row>
    <row r="459" spans="1:6" x14ac:dyDescent="0.3">
      <c r="A459" s="8" t="s">
        <v>879</v>
      </c>
      <c r="B459" s="8" t="s">
        <v>54063</v>
      </c>
      <c r="C459" s="8" t="s">
        <v>880</v>
      </c>
      <c r="D459" s="8"/>
      <c r="E459" s="6"/>
      <c r="F459" s="6"/>
    </row>
    <row r="460" spans="1:6" x14ac:dyDescent="0.3">
      <c r="A460" s="8" t="s">
        <v>881</v>
      </c>
      <c r="B460" s="8" t="s">
        <v>54064</v>
      </c>
      <c r="C460" s="8" t="s">
        <v>882</v>
      </c>
      <c r="D460" s="8"/>
      <c r="E460" s="6"/>
      <c r="F460" s="6"/>
    </row>
    <row r="461" spans="1:6" x14ac:dyDescent="0.3">
      <c r="A461" s="8" t="s">
        <v>883</v>
      </c>
      <c r="B461" s="8" t="s">
        <v>54065</v>
      </c>
      <c r="C461" s="8" t="s">
        <v>884</v>
      </c>
      <c r="D461" s="8"/>
      <c r="E461" s="6"/>
      <c r="F461" s="6"/>
    </row>
    <row r="462" spans="1:6" x14ac:dyDescent="0.3">
      <c r="A462" s="8" t="s">
        <v>885</v>
      </c>
      <c r="B462" s="8" t="s">
        <v>54066</v>
      </c>
      <c r="C462" s="8" t="s">
        <v>886</v>
      </c>
      <c r="D462" s="8"/>
      <c r="E462" s="6"/>
      <c r="F462" s="6"/>
    </row>
    <row r="463" spans="1:6" x14ac:dyDescent="0.3">
      <c r="A463" s="8" t="s">
        <v>887</v>
      </c>
      <c r="B463" s="8" t="s">
        <v>54067</v>
      </c>
      <c r="C463" s="8" t="s">
        <v>888</v>
      </c>
      <c r="D463" s="8"/>
      <c r="E463" s="6"/>
      <c r="F463" s="6"/>
    </row>
    <row r="464" spans="1:6" x14ac:dyDescent="0.3">
      <c r="A464" s="8" t="s">
        <v>889</v>
      </c>
      <c r="B464" s="8" t="s">
        <v>54068</v>
      </c>
      <c r="C464" s="8" t="s">
        <v>890</v>
      </c>
      <c r="D464" s="8"/>
      <c r="E464" s="6"/>
      <c r="F464" s="6"/>
    </row>
    <row r="465" spans="1:6" x14ac:dyDescent="0.3">
      <c r="A465" s="8" t="s">
        <v>891</v>
      </c>
      <c r="B465" s="8" t="s">
        <v>54069</v>
      </c>
      <c r="C465" s="8" t="s">
        <v>892</v>
      </c>
      <c r="D465" s="8"/>
      <c r="E465" s="6"/>
      <c r="F465" s="6"/>
    </row>
    <row r="466" spans="1:6" x14ac:dyDescent="0.3">
      <c r="A466" s="8" t="s">
        <v>893</v>
      </c>
      <c r="B466" s="8" t="s">
        <v>54070</v>
      </c>
      <c r="C466" s="8" t="s">
        <v>894</v>
      </c>
      <c r="D466" s="8"/>
      <c r="E466" s="6"/>
      <c r="F466" s="6"/>
    </row>
    <row r="467" spans="1:6" x14ac:dyDescent="0.3">
      <c r="A467" s="8" t="s">
        <v>895</v>
      </c>
      <c r="B467" s="8" t="s">
        <v>54071</v>
      </c>
      <c r="C467" s="8" t="s">
        <v>896</v>
      </c>
      <c r="D467" s="8"/>
      <c r="E467" s="6"/>
      <c r="F467" s="6"/>
    </row>
    <row r="468" spans="1:6" x14ac:dyDescent="0.3">
      <c r="A468" s="8" t="s">
        <v>897</v>
      </c>
      <c r="B468" s="8" t="s">
        <v>54072</v>
      </c>
      <c r="C468" s="8" t="s">
        <v>898</v>
      </c>
      <c r="D468" s="8"/>
      <c r="E468" s="6"/>
      <c r="F468" s="6"/>
    </row>
    <row r="469" spans="1:6" x14ac:dyDescent="0.3">
      <c r="A469" s="8" t="s">
        <v>899</v>
      </c>
      <c r="B469" s="8" t="s">
        <v>54073</v>
      </c>
      <c r="C469" s="8" t="s">
        <v>900</v>
      </c>
      <c r="D469" s="8"/>
      <c r="E469" s="6"/>
      <c r="F469" s="6"/>
    </row>
    <row r="470" spans="1:6" x14ac:dyDescent="0.3">
      <c r="A470" s="8" t="s">
        <v>901</v>
      </c>
      <c r="B470" s="8" t="s">
        <v>54074</v>
      </c>
      <c r="C470" s="8" t="s">
        <v>902</v>
      </c>
      <c r="D470" s="8"/>
      <c r="E470" s="6"/>
      <c r="F470" s="6"/>
    </row>
    <row r="471" spans="1:6" x14ac:dyDescent="0.3">
      <c r="A471" s="8" t="s">
        <v>903</v>
      </c>
      <c r="B471" s="8" t="s">
        <v>54075</v>
      </c>
      <c r="C471" s="8" t="s">
        <v>904</v>
      </c>
      <c r="D471" s="8"/>
      <c r="E471" s="6"/>
      <c r="F471" s="6"/>
    </row>
    <row r="472" spans="1:6" x14ac:dyDescent="0.3">
      <c r="A472" s="8" t="s">
        <v>905</v>
      </c>
      <c r="B472" s="8" t="s">
        <v>54076</v>
      </c>
      <c r="C472" s="8" t="s">
        <v>906</v>
      </c>
      <c r="D472" s="8"/>
      <c r="E472" s="6"/>
      <c r="F472" s="6"/>
    </row>
    <row r="473" spans="1:6" x14ac:dyDescent="0.3">
      <c r="A473" s="8" t="s">
        <v>907</v>
      </c>
      <c r="B473" s="8" t="s">
        <v>54077</v>
      </c>
      <c r="C473" s="8" t="s">
        <v>908</v>
      </c>
      <c r="D473" s="8"/>
      <c r="E473" s="6"/>
      <c r="F473" s="6"/>
    </row>
    <row r="474" spans="1:6" x14ac:dyDescent="0.3">
      <c r="A474" s="8" t="s">
        <v>909</v>
      </c>
      <c r="B474" s="8" t="s">
        <v>54078</v>
      </c>
      <c r="C474" s="8" t="s">
        <v>910</v>
      </c>
      <c r="D474" s="8"/>
      <c r="E474" s="6"/>
      <c r="F474" s="6"/>
    </row>
    <row r="475" spans="1:6" x14ac:dyDescent="0.3">
      <c r="A475" s="8" t="s">
        <v>911</v>
      </c>
      <c r="B475" s="8" t="s">
        <v>54079</v>
      </c>
      <c r="C475" s="8" t="s">
        <v>912</v>
      </c>
      <c r="D475" s="8"/>
      <c r="E475" s="6"/>
      <c r="F475" s="6"/>
    </row>
    <row r="476" spans="1:6" x14ac:dyDescent="0.3">
      <c r="A476" s="8" t="s">
        <v>913</v>
      </c>
      <c r="B476" s="8" t="s">
        <v>54080</v>
      </c>
      <c r="C476" s="8" t="s">
        <v>914</v>
      </c>
      <c r="D476" s="8"/>
      <c r="E476" s="6"/>
      <c r="F476" s="6"/>
    </row>
    <row r="477" spans="1:6" x14ac:dyDescent="0.3">
      <c r="A477" s="8" t="s">
        <v>915</v>
      </c>
      <c r="B477" s="8" t="s">
        <v>54081</v>
      </c>
      <c r="C477" s="8" t="s">
        <v>916</v>
      </c>
      <c r="D477" s="8"/>
      <c r="E477" s="6"/>
      <c r="F477" s="6"/>
    </row>
    <row r="478" spans="1:6" x14ac:dyDescent="0.3">
      <c r="A478" s="8" t="s">
        <v>917</v>
      </c>
      <c r="B478" s="8" t="s">
        <v>54082</v>
      </c>
      <c r="C478" s="8" t="s">
        <v>918</v>
      </c>
      <c r="D478" s="8"/>
      <c r="E478" s="6"/>
      <c r="F478" s="6"/>
    </row>
    <row r="479" spans="1:6" x14ac:dyDescent="0.3">
      <c r="A479" s="8" t="s">
        <v>919</v>
      </c>
      <c r="B479" s="8" t="s">
        <v>54083</v>
      </c>
      <c r="C479" s="8" t="s">
        <v>920</v>
      </c>
      <c r="D479" s="8"/>
      <c r="E479" s="6"/>
      <c r="F479" s="6"/>
    </row>
    <row r="480" spans="1:6" x14ac:dyDescent="0.3">
      <c r="A480" s="8" t="s">
        <v>921</v>
      </c>
      <c r="B480" s="8" t="s">
        <v>54084</v>
      </c>
      <c r="C480" s="8" t="s">
        <v>922</v>
      </c>
      <c r="D480" s="8"/>
      <c r="E480" s="6"/>
      <c r="F480" s="6"/>
    </row>
    <row r="481" spans="1:6" x14ac:dyDescent="0.3">
      <c r="A481" s="8" t="s">
        <v>923</v>
      </c>
      <c r="B481" s="8" t="s">
        <v>54085</v>
      </c>
      <c r="C481" s="8" t="s">
        <v>924</v>
      </c>
      <c r="D481" s="8"/>
      <c r="E481" s="6"/>
      <c r="F481" s="6"/>
    </row>
    <row r="482" spans="1:6" x14ac:dyDescent="0.3">
      <c r="A482" s="8" t="s">
        <v>925</v>
      </c>
      <c r="B482" s="8" t="s">
        <v>54086</v>
      </c>
      <c r="C482" s="8" t="s">
        <v>926</v>
      </c>
      <c r="D482" s="8"/>
      <c r="E482" s="6"/>
      <c r="F482" s="6"/>
    </row>
    <row r="483" spans="1:6" x14ac:dyDescent="0.3">
      <c r="A483" s="8" t="s">
        <v>927</v>
      </c>
      <c r="B483" s="8" t="s">
        <v>54087</v>
      </c>
      <c r="C483" s="8" t="s">
        <v>928</v>
      </c>
      <c r="D483" s="8"/>
      <c r="E483" s="6"/>
      <c r="F483" s="6"/>
    </row>
    <row r="484" spans="1:6" x14ac:dyDescent="0.3">
      <c r="A484" s="8" t="s">
        <v>929</v>
      </c>
      <c r="B484" s="8" t="s">
        <v>54088</v>
      </c>
      <c r="C484" s="8" t="s">
        <v>930</v>
      </c>
      <c r="D484" s="8"/>
      <c r="E484" s="6"/>
      <c r="F484" s="6"/>
    </row>
    <row r="485" spans="1:6" x14ac:dyDescent="0.3">
      <c r="A485" s="8" t="s">
        <v>931</v>
      </c>
      <c r="B485" s="8" t="s">
        <v>54089</v>
      </c>
      <c r="C485" s="8" t="s">
        <v>932</v>
      </c>
      <c r="D485" s="8"/>
      <c r="E485" s="6"/>
      <c r="F485" s="6"/>
    </row>
    <row r="486" spans="1:6" x14ac:dyDescent="0.3">
      <c r="A486" s="8" t="s">
        <v>933</v>
      </c>
      <c r="B486" s="8" t="s">
        <v>54090</v>
      </c>
      <c r="C486" s="8" t="s">
        <v>934</v>
      </c>
      <c r="D486" s="8"/>
      <c r="E486" s="6"/>
      <c r="F486" s="6"/>
    </row>
    <row r="487" spans="1:6" x14ac:dyDescent="0.3">
      <c r="A487" s="8" t="s">
        <v>935</v>
      </c>
      <c r="B487" s="8" t="s">
        <v>54091</v>
      </c>
      <c r="C487" s="8" t="s">
        <v>936</v>
      </c>
      <c r="D487" s="8"/>
      <c r="E487" s="6"/>
      <c r="F487" s="6"/>
    </row>
    <row r="488" spans="1:6" x14ac:dyDescent="0.3">
      <c r="A488" s="8" t="s">
        <v>937</v>
      </c>
      <c r="B488" s="8" t="s">
        <v>54092</v>
      </c>
      <c r="C488" s="8" t="s">
        <v>938</v>
      </c>
      <c r="D488" s="8"/>
      <c r="E488" s="6"/>
      <c r="F488" s="6"/>
    </row>
    <row r="489" spans="1:6" x14ac:dyDescent="0.3">
      <c r="A489" s="8" t="s">
        <v>939</v>
      </c>
      <c r="B489" s="8" t="s">
        <v>54093</v>
      </c>
      <c r="C489" s="8" t="s">
        <v>940</v>
      </c>
      <c r="D489" s="8"/>
      <c r="E489" s="6"/>
      <c r="F489" s="6"/>
    </row>
    <row r="490" spans="1:6" x14ac:dyDescent="0.3">
      <c r="A490" s="8" t="s">
        <v>941</v>
      </c>
      <c r="B490" s="8" t="s">
        <v>54094</v>
      </c>
      <c r="C490" s="8" t="s">
        <v>942</v>
      </c>
      <c r="D490" s="8"/>
      <c r="E490" s="6"/>
      <c r="F490" s="6"/>
    </row>
    <row r="491" spans="1:6" x14ac:dyDescent="0.3">
      <c r="A491" s="8" t="s">
        <v>943</v>
      </c>
      <c r="B491" s="8" t="s">
        <v>54095</v>
      </c>
      <c r="C491" s="8" t="s">
        <v>944</v>
      </c>
      <c r="D491" s="8"/>
      <c r="E491" s="6"/>
      <c r="F491" s="6"/>
    </row>
    <row r="492" spans="1:6" x14ac:dyDescent="0.3">
      <c r="A492" s="8" t="s">
        <v>945</v>
      </c>
      <c r="B492" s="8" t="s">
        <v>54096</v>
      </c>
      <c r="C492" s="8" t="s">
        <v>946</v>
      </c>
      <c r="D492" s="8"/>
      <c r="E492" s="6"/>
      <c r="F492" s="6"/>
    </row>
    <row r="493" spans="1:6" x14ac:dyDescent="0.3">
      <c r="A493" s="8" t="s">
        <v>947</v>
      </c>
      <c r="B493" s="8" t="s">
        <v>54097</v>
      </c>
      <c r="C493" s="8" t="s">
        <v>948</v>
      </c>
      <c r="D493" s="8"/>
      <c r="E493" s="6"/>
      <c r="F493" s="6"/>
    </row>
    <row r="494" spans="1:6" x14ac:dyDescent="0.3">
      <c r="A494" s="8" t="s">
        <v>949</v>
      </c>
      <c r="B494" s="8" t="s">
        <v>54098</v>
      </c>
      <c r="C494" s="8" t="s">
        <v>950</v>
      </c>
      <c r="D494" s="8"/>
      <c r="E494" s="6"/>
      <c r="F494" s="6"/>
    </row>
    <row r="495" spans="1:6" x14ac:dyDescent="0.3">
      <c r="A495" s="8" t="s">
        <v>951</v>
      </c>
      <c r="B495" s="8" t="s">
        <v>54099</v>
      </c>
      <c r="C495" s="8" t="s">
        <v>952</v>
      </c>
      <c r="D495" s="8"/>
      <c r="E495" s="6"/>
      <c r="F495" s="6"/>
    </row>
    <row r="496" spans="1:6" x14ac:dyDescent="0.3">
      <c r="A496" s="8" t="s">
        <v>953</v>
      </c>
      <c r="B496" s="8" t="s">
        <v>54100</v>
      </c>
      <c r="C496" s="8" t="s">
        <v>954</v>
      </c>
      <c r="D496" s="8"/>
      <c r="E496" s="6"/>
      <c r="F496" s="6"/>
    </row>
    <row r="497" spans="1:6" x14ac:dyDescent="0.3">
      <c r="A497" s="8" t="s">
        <v>955</v>
      </c>
      <c r="B497" s="8" t="s">
        <v>54101</v>
      </c>
      <c r="C497" s="8" t="s">
        <v>956</v>
      </c>
      <c r="D497" s="8"/>
      <c r="E497" s="6"/>
      <c r="F497" s="6"/>
    </row>
    <row r="498" spans="1:6" x14ac:dyDescent="0.3">
      <c r="A498" s="8" t="s">
        <v>957</v>
      </c>
      <c r="B498" s="8" t="s">
        <v>54102</v>
      </c>
      <c r="C498" s="8" t="s">
        <v>958</v>
      </c>
      <c r="D498" s="8"/>
      <c r="E498" s="6"/>
      <c r="F498" s="6"/>
    </row>
    <row r="499" spans="1:6" x14ac:dyDescent="0.3">
      <c r="A499" s="8" t="s">
        <v>959</v>
      </c>
      <c r="B499" s="8" t="s">
        <v>54103</v>
      </c>
      <c r="C499" s="8" t="s">
        <v>960</v>
      </c>
      <c r="D499" s="8"/>
      <c r="E499" s="6"/>
      <c r="F499" s="6"/>
    </row>
    <row r="500" spans="1:6" x14ac:dyDescent="0.3">
      <c r="A500" s="8" t="s">
        <v>961</v>
      </c>
      <c r="B500" s="8" t="s">
        <v>54104</v>
      </c>
      <c r="C500" s="8" t="s">
        <v>962</v>
      </c>
      <c r="D500" s="8"/>
      <c r="E500" s="6"/>
      <c r="F500" s="6"/>
    </row>
    <row r="501" spans="1:6" x14ac:dyDescent="0.3">
      <c r="A501" s="8" t="s">
        <v>963</v>
      </c>
      <c r="B501" s="8" t="s">
        <v>54105</v>
      </c>
      <c r="C501" s="8" t="s">
        <v>964</v>
      </c>
      <c r="D501" s="8"/>
      <c r="E501" s="6"/>
      <c r="F501" s="6"/>
    </row>
    <row r="502" spans="1:6" x14ac:dyDescent="0.3">
      <c r="A502" s="8" t="s">
        <v>965</v>
      </c>
      <c r="B502" s="8" t="s">
        <v>54106</v>
      </c>
      <c r="C502" s="8" t="s">
        <v>966</v>
      </c>
      <c r="D502" s="8"/>
      <c r="E502" s="6"/>
      <c r="F502" s="6"/>
    </row>
    <row r="503" spans="1:6" x14ac:dyDescent="0.3">
      <c r="A503" s="8" t="s">
        <v>967</v>
      </c>
      <c r="B503" s="8" t="s">
        <v>54107</v>
      </c>
      <c r="C503" s="8" t="s">
        <v>968</v>
      </c>
      <c r="D503" s="8"/>
      <c r="E503" s="6"/>
      <c r="F503" s="6"/>
    </row>
    <row r="504" spans="1:6" x14ac:dyDescent="0.3">
      <c r="A504" s="8" t="s">
        <v>969</v>
      </c>
      <c r="B504" s="8" t="s">
        <v>54108</v>
      </c>
      <c r="C504" s="8" t="s">
        <v>970</v>
      </c>
      <c r="D504" s="8"/>
      <c r="E504" s="6"/>
      <c r="F504" s="6"/>
    </row>
    <row r="505" spans="1:6" x14ac:dyDescent="0.3">
      <c r="A505" s="8" t="s">
        <v>971</v>
      </c>
      <c r="B505" s="8" t="s">
        <v>54109</v>
      </c>
      <c r="C505" s="8" t="s">
        <v>972</v>
      </c>
      <c r="D505" s="8"/>
      <c r="E505" s="6"/>
      <c r="F505" s="6"/>
    </row>
    <row r="506" spans="1:6" x14ac:dyDescent="0.3">
      <c r="A506" s="8" t="s">
        <v>973</v>
      </c>
      <c r="B506" s="8" t="s">
        <v>54110</v>
      </c>
      <c r="C506" s="8" t="s">
        <v>974</v>
      </c>
      <c r="D506" s="8"/>
      <c r="E506" s="6"/>
      <c r="F506" s="6"/>
    </row>
    <row r="507" spans="1:6" x14ac:dyDescent="0.3">
      <c r="A507" s="8" t="s">
        <v>975</v>
      </c>
      <c r="B507" s="8" t="s">
        <v>54111</v>
      </c>
      <c r="C507" s="8" t="s">
        <v>976</v>
      </c>
      <c r="D507" s="8"/>
      <c r="E507" s="6"/>
      <c r="F507" s="6"/>
    </row>
    <row r="508" spans="1:6" x14ac:dyDescent="0.3">
      <c r="A508" s="8" t="s">
        <v>977</v>
      </c>
      <c r="B508" s="8" t="s">
        <v>54112</v>
      </c>
      <c r="C508" s="8" t="s">
        <v>978</v>
      </c>
      <c r="D508" s="8"/>
      <c r="E508" s="6"/>
      <c r="F508" s="6"/>
    </row>
    <row r="509" spans="1:6" x14ac:dyDescent="0.3">
      <c r="A509" s="8" t="s">
        <v>979</v>
      </c>
      <c r="B509" s="8" t="s">
        <v>54113</v>
      </c>
      <c r="C509" s="8" t="s">
        <v>980</v>
      </c>
      <c r="D509" s="8"/>
      <c r="E509" s="6"/>
      <c r="F509" s="6"/>
    </row>
    <row r="510" spans="1:6" x14ac:dyDescent="0.3">
      <c r="A510" s="8" t="s">
        <v>981</v>
      </c>
      <c r="B510" s="8" t="s">
        <v>54114</v>
      </c>
      <c r="C510" s="8" t="s">
        <v>982</v>
      </c>
      <c r="D510" s="8"/>
      <c r="E510" s="6"/>
      <c r="F510" s="6"/>
    </row>
    <row r="511" spans="1:6" x14ac:dyDescent="0.3">
      <c r="A511" s="8" t="s">
        <v>983</v>
      </c>
      <c r="B511" s="8" t="s">
        <v>54115</v>
      </c>
      <c r="C511" s="8" t="s">
        <v>984</v>
      </c>
      <c r="D511" s="8"/>
      <c r="E511" s="6"/>
      <c r="F511" s="6"/>
    </row>
    <row r="512" spans="1:6" x14ac:dyDescent="0.3">
      <c r="A512" s="8" t="s">
        <v>985</v>
      </c>
      <c r="B512" s="8" t="s">
        <v>54116</v>
      </c>
      <c r="C512" s="8" t="s">
        <v>986</v>
      </c>
      <c r="D512" s="8"/>
      <c r="E512" s="6"/>
      <c r="F512" s="6"/>
    </row>
    <row r="513" spans="1:6" x14ac:dyDescent="0.3">
      <c r="A513" s="8" t="s">
        <v>987</v>
      </c>
      <c r="B513" s="8" t="s">
        <v>54117</v>
      </c>
      <c r="C513" s="8" t="s">
        <v>988</v>
      </c>
      <c r="D513" s="8"/>
      <c r="E513" s="6"/>
      <c r="F513" s="6"/>
    </row>
    <row r="514" spans="1:6" x14ac:dyDescent="0.3">
      <c r="A514" s="8" t="s">
        <v>989</v>
      </c>
      <c r="B514" s="8" t="s">
        <v>54118</v>
      </c>
      <c r="C514" s="8" t="s">
        <v>990</v>
      </c>
      <c r="D514" s="8"/>
      <c r="E514" s="6"/>
      <c r="F514" s="6"/>
    </row>
    <row r="515" spans="1:6" x14ac:dyDescent="0.3">
      <c r="A515" s="8" t="s">
        <v>991</v>
      </c>
      <c r="B515" s="8" t="s">
        <v>54119</v>
      </c>
      <c r="C515" s="8" t="s">
        <v>992</v>
      </c>
      <c r="D515" s="8"/>
      <c r="E515" s="6"/>
      <c r="F515" s="6"/>
    </row>
    <row r="516" spans="1:6" x14ac:dyDescent="0.3">
      <c r="A516" s="8" t="s">
        <v>993</v>
      </c>
      <c r="B516" s="8" t="s">
        <v>54120</v>
      </c>
      <c r="C516" s="8" t="s">
        <v>994</v>
      </c>
      <c r="D516" s="8"/>
      <c r="E516" s="6"/>
      <c r="F516" s="6"/>
    </row>
    <row r="517" spans="1:6" x14ac:dyDescent="0.3">
      <c r="A517" s="8" t="s">
        <v>995</v>
      </c>
      <c r="B517" s="8" t="s">
        <v>54121</v>
      </c>
      <c r="C517" s="8" t="s">
        <v>996</v>
      </c>
      <c r="D517" s="8"/>
      <c r="E517" s="6"/>
      <c r="F517" s="6"/>
    </row>
    <row r="518" spans="1:6" x14ac:dyDescent="0.3">
      <c r="A518" s="8" t="s">
        <v>997</v>
      </c>
      <c r="B518" s="8" t="s">
        <v>54122</v>
      </c>
      <c r="C518" s="8" t="s">
        <v>998</v>
      </c>
      <c r="D518" s="8"/>
      <c r="E518" s="6"/>
      <c r="F518" s="6"/>
    </row>
    <row r="519" spans="1:6" x14ac:dyDescent="0.3">
      <c r="A519" s="8" t="s">
        <v>999</v>
      </c>
      <c r="B519" s="8" t="s">
        <v>54123</v>
      </c>
      <c r="C519" s="8" t="s">
        <v>1000</v>
      </c>
      <c r="D519" s="8"/>
      <c r="E519" s="6"/>
      <c r="F519" s="6"/>
    </row>
    <row r="520" spans="1:6" x14ac:dyDescent="0.3">
      <c r="A520" s="8" t="s">
        <v>1001</v>
      </c>
      <c r="B520" s="8" t="s">
        <v>54124</v>
      </c>
      <c r="C520" s="8" t="s">
        <v>1002</v>
      </c>
      <c r="D520" s="8"/>
      <c r="E520" s="6"/>
      <c r="F520" s="6"/>
    </row>
    <row r="521" spans="1:6" x14ac:dyDescent="0.3">
      <c r="A521" s="8" t="s">
        <v>1003</v>
      </c>
      <c r="B521" s="8" t="s">
        <v>54125</v>
      </c>
      <c r="C521" s="8" t="s">
        <v>1004</v>
      </c>
      <c r="D521" s="8"/>
      <c r="E521" s="6"/>
      <c r="F521" s="6"/>
    </row>
    <row r="522" spans="1:6" x14ac:dyDescent="0.3">
      <c r="A522" s="8" t="s">
        <v>1005</v>
      </c>
      <c r="B522" s="8" t="s">
        <v>54126</v>
      </c>
      <c r="C522" s="8" t="s">
        <v>1006</v>
      </c>
      <c r="D522" s="8"/>
      <c r="E522" s="6"/>
      <c r="F522" s="6"/>
    </row>
    <row r="523" spans="1:6" x14ac:dyDescent="0.3">
      <c r="A523" s="8" t="s">
        <v>1007</v>
      </c>
      <c r="B523" s="8" t="s">
        <v>54127</v>
      </c>
      <c r="C523" s="8" t="s">
        <v>1008</v>
      </c>
      <c r="D523" s="8"/>
      <c r="E523" s="6"/>
      <c r="F523" s="6"/>
    </row>
    <row r="524" spans="1:6" x14ac:dyDescent="0.3">
      <c r="A524" s="8" t="s">
        <v>1009</v>
      </c>
      <c r="B524" s="8" t="s">
        <v>54128</v>
      </c>
      <c r="C524" s="8" t="s">
        <v>1010</v>
      </c>
      <c r="D524" s="8"/>
      <c r="E524" s="6"/>
      <c r="F524" s="6"/>
    </row>
    <row r="525" spans="1:6" x14ac:dyDescent="0.3">
      <c r="A525" s="8" t="s">
        <v>1011</v>
      </c>
      <c r="B525" s="8" t="s">
        <v>54129</v>
      </c>
      <c r="C525" s="8" t="s">
        <v>1012</v>
      </c>
      <c r="D525" s="8"/>
      <c r="E525" s="6"/>
      <c r="F525" s="6"/>
    </row>
    <row r="526" spans="1:6" x14ac:dyDescent="0.3">
      <c r="A526" s="8" t="s">
        <v>1013</v>
      </c>
      <c r="B526" s="8" t="s">
        <v>54130</v>
      </c>
      <c r="C526" s="8" t="s">
        <v>1014</v>
      </c>
      <c r="D526" s="8"/>
      <c r="E526" s="6"/>
      <c r="F526" s="6"/>
    </row>
    <row r="527" spans="1:6" x14ac:dyDescent="0.3">
      <c r="A527" s="8" t="s">
        <v>1015</v>
      </c>
      <c r="B527" s="8" t="s">
        <v>54131</v>
      </c>
      <c r="C527" s="8" t="s">
        <v>1016</v>
      </c>
      <c r="D527" s="8"/>
      <c r="E527" s="6"/>
      <c r="F527" s="6"/>
    </row>
    <row r="528" spans="1:6" x14ac:dyDescent="0.3">
      <c r="A528" s="8" t="s">
        <v>1017</v>
      </c>
      <c r="B528" s="8" t="s">
        <v>54132</v>
      </c>
      <c r="C528" s="8" t="s">
        <v>1018</v>
      </c>
      <c r="D528" s="8"/>
      <c r="E528" s="6"/>
      <c r="F528" s="6"/>
    </row>
    <row r="529" spans="1:6" x14ac:dyDescent="0.3">
      <c r="A529" s="8" t="s">
        <v>1019</v>
      </c>
      <c r="B529" s="8" t="s">
        <v>54133</v>
      </c>
      <c r="C529" s="8" t="s">
        <v>1020</v>
      </c>
      <c r="D529" s="8"/>
      <c r="E529" s="6"/>
      <c r="F529" s="6"/>
    </row>
    <row r="530" spans="1:6" x14ac:dyDescent="0.3">
      <c r="A530" s="8" t="s">
        <v>1021</v>
      </c>
      <c r="B530" s="8" t="s">
        <v>54134</v>
      </c>
      <c r="C530" s="8" t="s">
        <v>1022</v>
      </c>
      <c r="D530" s="8"/>
      <c r="E530" s="6"/>
      <c r="F530" s="6"/>
    </row>
    <row r="531" spans="1:6" x14ac:dyDescent="0.3">
      <c r="A531" s="8" t="s">
        <v>1023</v>
      </c>
      <c r="B531" s="8" t="s">
        <v>54135</v>
      </c>
      <c r="C531" s="8" t="s">
        <v>1024</v>
      </c>
      <c r="D531" s="8"/>
      <c r="E531" s="6"/>
      <c r="F531" s="6"/>
    </row>
    <row r="532" spans="1:6" x14ac:dyDescent="0.3">
      <c r="A532" s="8" t="s">
        <v>1025</v>
      </c>
      <c r="B532" s="8" t="s">
        <v>54136</v>
      </c>
      <c r="C532" s="8" t="s">
        <v>1026</v>
      </c>
      <c r="D532" s="8"/>
      <c r="E532" s="6"/>
      <c r="F532" s="6"/>
    </row>
    <row r="533" spans="1:6" x14ac:dyDescent="0.3">
      <c r="A533" s="8" t="s">
        <v>1027</v>
      </c>
      <c r="B533" s="8" t="s">
        <v>54137</v>
      </c>
      <c r="C533" s="8" t="s">
        <v>1028</v>
      </c>
      <c r="D533" s="8"/>
      <c r="E533" s="6"/>
      <c r="F533" s="6"/>
    </row>
    <row r="534" spans="1:6" x14ac:dyDescent="0.3">
      <c r="A534" s="8" t="s">
        <v>1029</v>
      </c>
      <c r="B534" s="8" t="s">
        <v>54138</v>
      </c>
      <c r="C534" s="8" t="s">
        <v>1030</v>
      </c>
      <c r="D534" s="8"/>
      <c r="E534" s="6"/>
      <c r="F534" s="6"/>
    </row>
    <row r="535" spans="1:6" x14ac:dyDescent="0.3">
      <c r="A535" s="8" t="s">
        <v>1031</v>
      </c>
      <c r="B535" s="8" t="s">
        <v>54139</v>
      </c>
      <c r="C535" s="8" t="s">
        <v>1032</v>
      </c>
      <c r="D535" s="8"/>
      <c r="E535" s="6"/>
      <c r="F535" s="6"/>
    </row>
    <row r="536" spans="1:6" x14ac:dyDescent="0.3">
      <c r="A536" s="8" t="s">
        <v>1033</v>
      </c>
      <c r="B536" s="8" t="s">
        <v>54140</v>
      </c>
      <c r="C536" s="8" t="s">
        <v>1034</v>
      </c>
      <c r="D536" s="8"/>
      <c r="E536" s="6"/>
      <c r="F536" s="6"/>
    </row>
    <row r="537" spans="1:6" x14ac:dyDescent="0.3">
      <c r="A537" s="8" t="s">
        <v>1035</v>
      </c>
      <c r="B537" s="8" t="s">
        <v>54141</v>
      </c>
      <c r="C537" s="8" t="s">
        <v>1036</v>
      </c>
      <c r="D537" s="8"/>
      <c r="E537" s="6"/>
      <c r="F537" s="6"/>
    </row>
    <row r="538" spans="1:6" x14ac:dyDescent="0.3">
      <c r="A538" s="8" t="s">
        <v>1037</v>
      </c>
      <c r="B538" s="8" t="s">
        <v>54142</v>
      </c>
      <c r="C538" s="8" t="s">
        <v>1038</v>
      </c>
      <c r="D538" s="8"/>
      <c r="E538" s="6"/>
      <c r="F538" s="6"/>
    </row>
    <row r="539" spans="1:6" x14ac:dyDescent="0.3">
      <c r="A539" s="8" t="s">
        <v>1039</v>
      </c>
      <c r="B539" s="8" t="s">
        <v>54143</v>
      </c>
      <c r="C539" s="8" t="s">
        <v>1040</v>
      </c>
      <c r="D539" s="8"/>
      <c r="E539" s="6"/>
      <c r="F539" s="6"/>
    </row>
    <row r="540" spans="1:6" x14ac:dyDescent="0.3">
      <c r="A540" s="8" t="s">
        <v>1041</v>
      </c>
      <c r="B540" s="8" t="s">
        <v>54144</v>
      </c>
      <c r="C540" s="8" t="s">
        <v>1042</v>
      </c>
      <c r="D540" s="8"/>
      <c r="E540" s="6"/>
      <c r="F540" s="6"/>
    </row>
    <row r="541" spans="1:6" x14ac:dyDescent="0.3">
      <c r="A541" s="8" t="s">
        <v>1043</v>
      </c>
      <c r="B541" s="8" t="s">
        <v>54145</v>
      </c>
      <c r="C541" s="8" t="s">
        <v>1044</v>
      </c>
      <c r="D541" s="8"/>
      <c r="E541" s="6"/>
      <c r="F541" s="6"/>
    </row>
    <row r="542" spans="1:6" x14ac:dyDescent="0.3">
      <c r="A542" s="8" t="s">
        <v>1045</v>
      </c>
      <c r="B542" s="8" t="s">
        <v>54146</v>
      </c>
      <c r="C542" s="8" t="s">
        <v>1046</v>
      </c>
      <c r="D542" s="8"/>
      <c r="E542" s="6"/>
      <c r="F542" s="6"/>
    </row>
    <row r="543" spans="1:6" x14ac:dyDescent="0.3">
      <c r="A543" s="8" t="s">
        <v>1047</v>
      </c>
      <c r="B543" s="8" t="s">
        <v>54147</v>
      </c>
      <c r="C543" s="8" t="s">
        <v>1048</v>
      </c>
      <c r="D543" s="8"/>
      <c r="E543" s="6"/>
      <c r="F543" s="6"/>
    </row>
    <row r="544" spans="1:6" x14ac:dyDescent="0.3">
      <c r="A544" s="8" t="s">
        <v>1049</v>
      </c>
      <c r="B544" s="8" t="s">
        <v>54148</v>
      </c>
      <c r="C544" s="8" t="s">
        <v>1050</v>
      </c>
      <c r="D544" s="8"/>
      <c r="E544" s="6"/>
      <c r="F544" s="6"/>
    </row>
    <row r="545" spans="1:6" x14ac:dyDescent="0.3">
      <c r="A545" s="8" t="s">
        <v>1051</v>
      </c>
      <c r="B545" s="8" t="s">
        <v>54149</v>
      </c>
      <c r="C545" s="8" t="s">
        <v>1052</v>
      </c>
      <c r="D545" s="8"/>
      <c r="E545" s="6"/>
      <c r="F545" s="6"/>
    </row>
    <row r="546" spans="1:6" x14ac:dyDescent="0.3">
      <c r="A546" s="8" t="s">
        <v>1053</v>
      </c>
      <c r="B546" s="8" t="s">
        <v>54150</v>
      </c>
      <c r="C546" s="8" t="s">
        <v>1054</v>
      </c>
      <c r="D546" s="8"/>
      <c r="E546" s="6"/>
      <c r="F546" s="6"/>
    </row>
    <row r="547" spans="1:6" x14ac:dyDescent="0.3">
      <c r="A547" s="8" t="s">
        <v>1055</v>
      </c>
      <c r="B547" s="8" t="s">
        <v>54151</v>
      </c>
      <c r="C547" s="8" t="s">
        <v>1056</v>
      </c>
      <c r="D547" s="8"/>
      <c r="E547" s="6"/>
      <c r="F547" s="6"/>
    </row>
    <row r="548" spans="1:6" x14ac:dyDescent="0.3">
      <c r="A548" s="8" t="s">
        <v>1057</v>
      </c>
      <c r="B548" s="8" t="s">
        <v>54152</v>
      </c>
      <c r="C548" s="8" t="s">
        <v>1058</v>
      </c>
      <c r="D548" s="8"/>
      <c r="E548" s="6"/>
      <c r="F548" s="6"/>
    </row>
    <row r="549" spans="1:6" x14ac:dyDescent="0.3">
      <c r="A549" s="8" t="s">
        <v>1059</v>
      </c>
      <c r="B549" s="8" t="s">
        <v>54153</v>
      </c>
      <c r="C549" s="8" t="s">
        <v>1060</v>
      </c>
      <c r="D549" s="8"/>
      <c r="E549" s="6"/>
      <c r="F549" s="6"/>
    </row>
    <row r="550" spans="1:6" x14ac:dyDescent="0.3">
      <c r="A550" s="8" t="s">
        <v>1061</v>
      </c>
      <c r="B550" s="8" t="s">
        <v>54154</v>
      </c>
      <c r="C550" s="8" t="s">
        <v>1062</v>
      </c>
      <c r="D550" s="8"/>
      <c r="E550" s="6"/>
      <c r="F550" s="6"/>
    </row>
    <row r="551" spans="1:6" x14ac:dyDescent="0.3">
      <c r="A551" s="8" t="s">
        <v>1063</v>
      </c>
      <c r="B551" s="8" t="s">
        <v>54155</v>
      </c>
      <c r="C551" s="8" t="s">
        <v>1064</v>
      </c>
      <c r="D551" s="8"/>
      <c r="E551" s="6"/>
      <c r="F551" s="6"/>
    </row>
    <row r="552" spans="1:6" x14ac:dyDescent="0.3">
      <c r="A552" s="8" t="s">
        <v>1065</v>
      </c>
      <c r="B552" s="8" t="s">
        <v>54156</v>
      </c>
      <c r="C552" s="8" t="s">
        <v>1066</v>
      </c>
      <c r="D552" s="8"/>
      <c r="E552" s="6"/>
      <c r="F552" s="6"/>
    </row>
    <row r="553" spans="1:6" x14ac:dyDescent="0.3">
      <c r="A553" s="8" t="s">
        <v>1067</v>
      </c>
      <c r="B553" s="8" t="s">
        <v>54157</v>
      </c>
      <c r="C553" s="8" t="s">
        <v>1068</v>
      </c>
      <c r="D553" s="8"/>
      <c r="E553" s="6"/>
      <c r="F553" s="6"/>
    </row>
    <row r="554" spans="1:6" x14ac:dyDescent="0.3">
      <c r="A554" s="8" t="s">
        <v>1069</v>
      </c>
      <c r="B554" s="8" t="s">
        <v>54158</v>
      </c>
      <c r="C554" s="8" t="s">
        <v>1070</v>
      </c>
      <c r="D554" s="8"/>
      <c r="E554" s="6"/>
      <c r="F554" s="6"/>
    </row>
    <row r="555" spans="1:6" x14ac:dyDescent="0.3">
      <c r="A555" s="8" t="s">
        <v>1071</v>
      </c>
      <c r="B555" s="8" t="s">
        <v>54159</v>
      </c>
      <c r="C555" s="8" t="s">
        <v>1072</v>
      </c>
      <c r="D555" s="8"/>
      <c r="E555" s="6"/>
      <c r="F555" s="6"/>
    </row>
    <row r="556" spans="1:6" x14ac:dyDescent="0.3">
      <c r="A556" s="8" t="s">
        <v>1073</v>
      </c>
      <c r="B556" s="8" t="s">
        <v>54160</v>
      </c>
      <c r="C556" s="8" t="s">
        <v>1074</v>
      </c>
      <c r="D556" s="8"/>
      <c r="E556" s="6"/>
      <c r="F556" s="6"/>
    </row>
    <row r="557" spans="1:6" x14ac:dyDescent="0.3">
      <c r="A557" s="8" t="s">
        <v>1075</v>
      </c>
      <c r="B557" s="8" t="s">
        <v>54161</v>
      </c>
      <c r="C557" s="8" t="s">
        <v>1076</v>
      </c>
      <c r="D557" s="8"/>
      <c r="E557" s="6"/>
      <c r="F557" s="6"/>
    </row>
    <row r="558" spans="1:6" x14ac:dyDescent="0.3">
      <c r="A558" s="8" t="s">
        <v>1077</v>
      </c>
      <c r="B558" s="8" t="s">
        <v>54162</v>
      </c>
      <c r="C558" s="8" t="s">
        <v>1078</v>
      </c>
      <c r="D558" s="8"/>
      <c r="E558" s="6"/>
      <c r="F558" s="6"/>
    </row>
    <row r="559" spans="1:6" x14ac:dyDescent="0.3">
      <c r="A559" s="8" t="s">
        <v>1079</v>
      </c>
      <c r="B559" s="8" t="s">
        <v>54163</v>
      </c>
      <c r="C559" s="8" t="s">
        <v>1080</v>
      </c>
      <c r="D559" s="8"/>
      <c r="E559" s="6"/>
      <c r="F559" s="6"/>
    </row>
    <row r="560" spans="1:6" x14ac:dyDescent="0.3">
      <c r="A560" s="8" t="s">
        <v>1081</v>
      </c>
      <c r="B560" s="8" t="s">
        <v>54164</v>
      </c>
      <c r="C560" s="8" t="s">
        <v>1082</v>
      </c>
      <c r="D560" s="8"/>
      <c r="E560" s="6"/>
      <c r="F560" s="6"/>
    </row>
    <row r="561" spans="1:6" x14ac:dyDescent="0.3">
      <c r="A561" s="8" t="s">
        <v>1083</v>
      </c>
      <c r="B561" s="8" t="s">
        <v>54165</v>
      </c>
      <c r="C561" s="8" t="s">
        <v>1084</v>
      </c>
      <c r="D561" s="8"/>
      <c r="E561" s="6"/>
      <c r="F561" s="6"/>
    </row>
    <row r="562" spans="1:6" x14ac:dyDescent="0.3">
      <c r="A562" s="8" t="s">
        <v>1085</v>
      </c>
      <c r="B562" s="8" t="s">
        <v>54166</v>
      </c>
      <c r="C562" s="8" t="s">
        <v>1086</v>
      </c>
      <c r="D562" s="8"/>
      <c r="E562" s="6"/>
      <c r="F562" s="6"/>
    </row>
    <row r="563" spans="1:6" x14ac:dyDescent="0.3">
      <c r="A563" s="8" t="s">
        <v>1087</v>
      </c>
      <c r="B563" s="8" t="s">
        <v>54167</v>
      </c>
      <c r="C563" s="8" t="s">
        <v>1088</v>
      </c>
      <c r="D563" s="8"/>
      <c r="E563" s="6"/>
      <c r="F563" s="6"/>
    </row>
    <row r="564" spans="1:6" x14ac:dyDescent="0.3">
      <c r="A564" s="8" t="s">
        <v>1089</v>
      </c>
      <c r="B564" s="8" t="s">
        <v>54168</v>
      </c>
      <c r="C564" s="8" t="s">
        <v>1090</v>
      </c>
      <c r="D564" s="8"/>
      <c r="E564" s="6"/>
      <c r="F564" s="6"/>
    </row>
    <row r="565" spans="1:6" x14ac:dyDescent="0.3">
      <c r="A565" s="8" t="s">
        <v>1091</v>
      </c>
      <c r="B565" s="8" t="s">
        <v>54169</v>
      </c>
      <c r="C565" s="8" t="s">
        <v>1092</v>
      </c>
      <c r="D565" s="8"/>
      <c r="E565" s="6"/>
      <c r="F565" s="6"/>
    </row>
    <row r="566" spans="1:6" x14ac:dyDescent="0.3">
      <c r="A566" s="8" t="s">
        <v>1093</v>
      </c>
      <c r="B566" s="8" t="s">
        <v>54170</v>
      </c>
      <c r="C566" s="8" t="s">
        <v>1094</v>
      </c>
      <c r="D566" s="8"/>
      <c r="E566" s="6"/>
      <c r="F566" s="6"/>
    </row>
    <row r="567" spans="1:6" x14ac:dyDescent="0.3">
      <c r="A567" s="8" t="s">
        <v>1095</v>
      </c>
      <c r="B567" s="8" t="s">
        <v>54171</v>
      </c>
      <c r="C567" s="8" t="s">
        <v>1096</v>
      </c>
      <c r="D567" s="8"/>
      <c r="E567" s="6"/>
      <c r="F567" s="6"/>
    </row>
    <row r="568" spans="1:6" x14ac:dyDescent="0.3">
      <c r="A568" s="8" t="s">
        <v>1097</v>
      </c>
      <c r="B568" s="8" t="s">
        <v>54172</v>
      </c>
      <c r="C568" s="8" t="s">
        <v>1098</v>
      </c>
      <c r="D568" s="8"/>
      <c r="E568" s="6"/>
      <c r="F568" s="6"/>
    </row>
    <row r="569" spans="1:6" x14ac:dyDescent="0.3">
      <c r="A569" s="8" t="s">
        <v>1099</v>
      </c>
      <c r="B569" s="8" t="s">
        <v>54173</v>
      </c>
      <c r="C569" s="8" t="s">
        <v>1100</v>
      </c>
      <c r="D569" s="8"/>
      <c r="E569" s="6"/>
      <c r="F569" s="6"/>
    </row>
    <row r="570" spans="1:6" x14ac:dyDescent="0.3">
      <c r="A570" s="8" t="s">
        <v>1101</v>
      </c>
      <c r="B570" s="8" t="s">
        <v>54174</v>
      </c>
      <c r="C570" s="8" t="s">
        <v>1102</v>
      </c>
      <c r="D570" s="8"/>
      <c r="E570" s="6"/>
      <c r="F570" s="6"/>
    </row>
    <row r="571" spans="1:6" x14ac:dyDescent="0.3">
      <c r="A571" s="8" t="s">
        <v>1103</v>
      </c>
      <c r="B571" s="8" t="s">
        <v>54175</v>
      </c>
      <c r="C571" s="8" t="s">
        <v>1104</v>
      </c>
      <c r="D571" s="8"/>
      <c r="E571" s="6"/>
      <c r="F571" s="6"/>
    </row>
    <row r="572" spans="1:6" x14ac:dyDescent="0.3">
      <c r="A572" s="8" t="s">
        <v>1105</v>
      </c>
      <c r="B572" s="8" t="s">
        <v>54176</v>
      </c>
      <c r="C572" s="8" t="s">
        <v>1106</v>
      </c>
      <c r="D572" s="8"/>
      <c r="E572" s="6"/>
      <c r="F572" s="6"/>
    </row>
    <row r="573" spans="1:6" x14ac:dyDescent="0.3">
      <c r="A573" s="8" t="s">
        <v>1107</v>
      </c>
      <c r="B573" s="8" t="s">
        <v>54177</v>
      </c>
      <c r="C573" s="8" t="s">
        <v>1108</v>
      </c>
      <c r="D573" s="8"/>
      <c r="E573" s="6"/>
      <c r="F573" s="6"/>
    </row>
    <row r="574" spans="1:6" x14ac:dyDescent="0.3">
      <c r="A574" s="8" t="s">
        <v>1109</v>
      </c>
      <c r="B574" s="8" t="s">
        <v>54178</v>
      </c>
      <c r="C574" s="8" t="s">
        <v>1110</v>
      </c>
      <c r="D574" s="8"/>
      <c r="E574" s="6"/>
      <c r="F574" s="6"/>
    </row>
    <row r="575" spans="1:6" x14ac:dyDescent="0.3">
      <c r="A575" s="8" t="s">
        <v>1111</v>
      </c>
      <c r="B575" s="8" t="s">
        <v>54179</v>
      </c>
      <c r="C575" s="8" t="s">
        <v>1112</v>
      </c>
      <c r="D575" s="8"/>
      <c r="E575" s="6"/>
      <c r="F575" s="6"/>
    </row>
    <row r="576" spans="1:6" x14ac:dyDescent="0.3">
      <c r="A576" s="8" t="s">
        <v>1113</v>
      </c>
      <c r="B576" s="8" t="s">
        <v>54180</v>
      </c>
      <c r="C576" s="8" t="s">
        <v>1114</v>
      </c>
      <c r="D576" s="8"/>
      <c r="E576" s="6"/>
      <c r="F576" s="6"/>
    </row>
    <row r="577" spans="1:6" x14ac:dyDescent="0.3">
      <c r="A577" s="8" t="s">
        <v>1115</v>
      </c>
      <c r="B577" s="8" t="s">
        <v>54181</v>
      </c>
      <c r="C577" s="8" t="s">
        <v>1116</v>
      </c>
      <c r="D577" s="8"/>
      <c r="E577" s="6"/>
      <c r="F577" s="6"/>
    </row>
    <row r="578" spans="1:6" x14ac:dyDescent="0.3">
      <c r="A578" s="8" t="s">
        <v>1117</v>
      </c>
      <c r="B578" s="8" t="s">
        <v>54182</v>
      </c>
      <c r="C578" s="8" t="s">
        <v>1118</v>
      </c>
      <c r="D578" s="8"/>
      <c r="E578" s="6"/>
      <c r="F578" s="6"/>
    </row>
    <row r="579" spans="1:6" x14ac:dyDescent="0.3">
      <c r="A579" s="8" t="s">
        <v>1119</v>
      </c>
      <c r="B579" s="8" t="s">
        <v>54183</v>
      </c>
      <c r="C579" s="8" t="s">
        <v>1120</v>
      </c>
      <c r="D579" s="8"/>
      <c r="E579" s="6"/>
      <c r="F579" s="6"/>
    </row>
    <row r="580" spans="1:6" x14ac:dyDescent="0.3">
      <c r="A580" s="8" t="s">
        <v>1121</v>
      </c>
      <c r="B580" s="8" t="s">
        <v>54184</v>
      </c>
      <c r="C580" s="8" t="s">
        <v>1122</v>
      </c>
      <c r="D580" s="8"/>
      <c r="E580" s="6"/>
      <c r="F580" s="6"/>
    </row>
    <row r="581" spans="1:6" x14ac:dyDescent="0.3">
      <c r="A581" s="8" t="s">
        <v>1123</v>
      </c>
      <c r="B581" s="8" t="s">
        <v>54185</v>
      </c>
      <c r="C581" s="8" t="s">
        <v>1124</v>
      </c>
      <c r="D581" s="8"/>
      <c r="E581" s="6"/>
      <c r="F581" s="6"/>
    </row>
    <row r="582" spans="1:6" x14ac:dyDescent="0.3">
      <c r="A582" s="8" t="s">
        <v>1125</v>
      </c>
      <c r="B582" s="8" t="s">
        <v>54186</v>
      </c>
      <c r="C582" s="8" t="s">
        <v>1126</v>
      </c>
      <c r="D582" s="8"/>
      <c r="E582" s="6"/>
      <c r="F582" s="6"/>
    </row>
    <row r="583" spans="1:6" x14ac:dyDescent="0.3">
      <c r="A583" s="8" t="s">
        <v>1127</v>
      </c>
      <c r="B583" s="8" t="s">
        <v>54187</v>
      </c>
      <c r="C583" s="8" t="s">
        <v>1128</v>
      </c>
      <c r="D583" s="8"/>
      <c r="E583" s="6"/>
      <c r="F583" s="6"/>
    </row>
    <row r="584" spans="1:6" x14ac:dyDescent="0.3">
      <c r="A584" s="8" t="s">
        <v>1129</v>
      </c>
      <c r="B584" s="8" t="s">
        <v>54188</v>
      </c>
      <c r="C584" s="8" t="s">
        <v>1130</v>
      </c>
      <c r="D584" s="8"/>
      <c r="E584" s="6"/>
      <c r="F584" s="6"/>
    </row>
    <row r="585" spans="1:6" x14ac:dyDescent="0.3">
      <c r="A585" s="8" t="s">
        <v>1131</v>
      </c>
      <c r="B585" s="8" t="s">
        <v>54189</v>
      </c>
      <c r="C585" s="8" t="s">
        <v>1132</v>
      </c>
      <c r="D585" s="8"/>
      <c r="E585" s="6"/>
      <c r="F585" s="6"/>
    </row>
    <row r="586" spans="1:6" x14ac:dyDescent="0.3">
      <c r="A586" s="8" t="s">
        <v>1133</v>
      </c>
      <c r="B586" s="8" t="s">
        <v>54190</v>
      </c>
      <c r="C586" s="8" t="s">
        <v>1134</v>
      </c>
      <c r="D586" s="8"/>
      <c r="E586" s="6"/>
      <c r="F586" s="6"/>
    </row>
    <row r="587" spans="1:6" x14ac:dyDescent="0.3">
      <c r="A587" s="8" t="s">
        <v>1135</v>
      </c>
      <c r="B587" s="8" t="s">
        <v>54191</v>
      </c>
      <c r="C587" s="8" t="s">
        <v>1136</v>
      </c>
      <c r="D587" s="8"/>
      <c r="E587" s="6"/>
      <c r="F587" s="6"/>
    </row>
    <row r="588" spans="1:6" x14ac:dyDescent="0.3">
      <c r="A588" s="8" t="s">
        <v>1137</v>
      </c>
      <c r="B588" s="8" t="s">
        <v>54192</v>
      </c>
      <c r="C588" s="8" t="s">
        <v>1138</v>
      </c>
      <c r="D588" s="8"/>
      <c r="E588" s="6"/>
      <c r="F588" s="6"/>
    </row>
    <row r="589" spans="1:6" x14ac:dyDescent="0.3">
      <c r="A589" s="8" t="s">
        <v>1139</v>
      </c>
      <c r="B589" s="8" t="s">
        <v>54193</v>
      </c>
      <c r="C589" s="8" t="s">
        <v>1140</v>
      </c>
      <c r="D589" s="8"/>
      <c r="E589" s="6"/>
      <c r="F589" s="6"/>
    </row>
    <row r="590" spans="1:6" x14ac:dyDescent="0.3">
      <c r="A590" s="8" t="s">
        <v>1141</v>
      </c>
      <c r="B590" s="8" t="s">
        <v>54194</v>
      </c>
      <c r="C590" s="8" t="s">
        <v>1142</v>
      </c>
      <c r="D590" s="8"/>
      <c r="E590" s="6"/>
      <c r="F590" s="6"/>
    </row>
    <row r="591" spans="1:6" x14ac:dyDescent="0.3">
      <c r="A591" s="8" t="s">
        <v>1143</v>
      </c>
      <c r="B591" s="8" t="s">
        <v>54195</v>
      </c>
      <c r="C591" s="8" t="s">
        <v>1144</v>
      </c>
      <c r="D591" s="8"/>
      <c r="E591" s="6"/>
      <c r="F591" s="6"/>
    </row>
    <row r="592" spans="1:6" x14ac:dyDescent="0.3">
      <c r="A592" s="8" t="s">
        <v>1145</v>
      </c>
      <c r="B592" s="8" t="s">
        <v>54196</v>
      </c>
      <c r="C592" s="8" t="s">
        <v>1146</v>
      </c>
      <c r="D592" s="8"/>
      <c r="E592" s="6"/>
      <c r="F592" s="6"/>
    </row>
    <row r="593" spans="1:6" x14ac:dyDescent="0.3">
      <c r="A593" s="8" t="s">
        <v>1147</v>
      </c>
      <c r="B593" s="8" t="s">
        <v>54197</v>
      </c>
      <c r="C593" s="8" t="s">
        <v>1148</v>
      </c>
      <c r="D593" s="8"/>
      <c r="E593" s="6"/>
      <c r="F593" s="6"/>
    </row>
    <row r="594" spans="1:6" x14ac:dyDescent="0.3">
      <c r="A594" s="8" t="s">
        <v>1149</v>
      </c>
      <c r="B594" s="8" t="s">
        <v>54198</v>
      </c>
      <c r="C594" s="8" t="s">
        <v>1150</v>
      </c>
      <c r="D594" s="8"/>
      <c r="E594" s="6"/>
      <c r="F594" s="6"/>
    </row>
    <row r="595" spans="1:6" x14ac:dyDescent="0.3">
      <c r="A595" s="8" t="s">
        <v>1151</v>
      </c>
      <c r="B595" s="8" t="s">
        <v>54199</v>
      </c>
      <c r="C595" s="8" t="s">
        <v>1152</v>
      </c>
      <c r="D595" s="8"/>
      <c r="E595" s="6"/>
      <c r="F595" s="6"/>
    </row>
    <row r="596" spans="1:6" x14ac:dyDescent="0.3">
      <c r="A596" s="8" t="s">
        <v>1153</v>
      </c>
      <c r="B596" s="8" t="s">
        <v>54200</v>
      </c>
      <c r="C596" s="8" t="s">
        <v>1154</v>
      </c>
      <c r="D596" s="8"/>
      <c r="E596" s="6"/>
      <c r="F596" s="6"/>
    </row>
    <row r="597" spans="1:6" x14ac:dyDescent="0.3">
      <c r="A597" s="8" t="s">
        <v>1155</v>
      </c>
      <c r="B597" s="8" t="s">
        <v>54201</v>
      </c>
      <c r="C597" s="8" t="s">
        <v>1156</v>
      </c>
      <c r="D597" s="8"/>
      <c r="E597" s="6"/>
      <c r="F597" s="6"/>
    </row>
    <row r="598" spans="1:6" x14ac:dyDescent="0.3">
      <c r="A598" s="8" t="s">
        <v>1157</v>
      </c>
      <c r="B598" s="8" t="s">
        <v>54202</v>
      </c>
      <c r="C598" s="8" t="s">
        <v>1158</v>
      </c>
      <c r="D598" s="8"/>
      <c r="E598" s="6"/>
      <c r="F598" s="6"/>
    </row>
    <row r="599" spans="1:6" x14ac:dyDescent="0.3">
      <c r="A599" s="8" t="s">
        <v>1159</v>
      </c>
      <c r="B599" s="8" t="s">
        <v>54203</v>
      </c>
      <c r="C599" s="8" t="s">
        <v>1160</v>
      </c>
      <c r="D599" s="8"/>
      <c r="E599" s="6"/>
      <c r="F599" s="6"/>
    </row>
    <row r="600" spans="1:6" x14ac:dyDescent="0.3">
      <c r="A600" s="8" t="s">
        <v>1161</v>
      </c>
      <c r="B600" s="8" t="s">
        <v>54204</v>
      </c>
      <c r="C600" s="8" t="s">
        <v>1162</v>
      </c>
      <c r="D600" s="8"/>
      <c r="E600" s="6"/>
      <c r="F600" s="6"/>
    </row>
    <row r="601" spans="1:6" x14ac:dyDescent="0.3">
      <c r="A601" s="8" t="s">
        <v>1163</v>
      </c>
      <c r="B601" s="8" t="s">
        <v>54205</v>
      </c>
      <c r="C601" s="8" t="s">
        <v>1164</v>
      </c>
      <c r="D601" s="8"/>
      <c r="E601" s="6"/>
      <c r="F601" s="6"/>
    </row>
    <row r="602" spans="1:6" x14ac:dyDescent="0.3">
      <c r="A602" s="8" t="s">
        <v>1165</v>
      </c>
      <c r="B602" s="8" t="s">
        <v>54206</v>
      </c>
      <c r="C602" s="8" t="s">
        <v>1166</v>
      </c>
      <c r="D602" s="8"/>
      <c r="E602" s="6"/>
      <c r="F602" s="6"/>
    </row>
    <row r="603" spans="1:6" x14ac:dyDescent="0.3">
      <c r="A603" s="8" t="s">
        <v>1167</v>
      </c>
      <c r="B603" s="8" t="s">
        <v>54207</v>
      </c>
      <c r="C603" s="8" t="s">
        <v>1168</v>
      </c>
      <c r="D603" s="8"/>
      <c r="E603" s="6"/>
      <c r="F603" s="6"/>
    </row>
    <row r="604" spans="1:6" x14ac:dyDescent="0.3">
      <c r="A604" s="8" t="s">
        <v>1169</v>
      </c>
      <c r="B604" s="8" t="s">
        <v>54208</v>
      </c>
      <c r="C604" s="8" t="s">
        <v>1170</v>
      </c>
      <c r="D604" s="8"/>
      <c r="E604" s="6"/>
      <c r="F604" s="6"/>
    </row>
    <row r="605" spans="1:6" x14ac:dyDescent="0.3">
      <c r="A605" s="8" t="s">
        <v>1171</v>
      </c>
      <c r="B605" s="8" t="s">
        <v>54209</v>
      </c>
      <c r="C605" s="8" t="s">
        <v>1172</v>
      </c>
      <c r="D605" s="8"/>
      <c r="E605" s="6"/>
      <c r="F605" s="6"/>
    </row>
    <row r="606" spans="1:6" x14ac:dyDescent="0.3">
      <c r="A606" s="8" t="s">
        <v>1173</v>
      </c>
      <c r="B606" s="8" t="s">
        <v>54210</v>
      </c>
      <c r="C606" s="8" t="s">
        <v>1174</v>
      </c>
      <c r="D606" s="8"/>
      <c r="E606" s="6"/>
      <c r="F606" s="6"/>
    </row>
    <row r="607" spans="1:6" x14ac:dyDescent="0.3">
      <c r="A607" s="8" t="s">
        <v>1175</v>
      </c>
      <c r="B607" s="8" t="s">
        <v>54211</v>
      </c>
      <c r="C607" s="8" t="s">
        <v>1176</v>
      </c>
      <c r="D607" s="8"/>
      <c r="E607" s="6"/>
      <c r="F607" s="6"/>
    </row>
    <row r="608" spans="1:6" x14ac:dyDescent="0.3">
      <c r="A608" s="8" t="s">
        <v>1177</v>
      </c>
      <c r="B608" s="8" t="s">
        <v>54212</v>
      </c>
      <c r="C608" s="8" t="s">
        <v>1178</v>
      </c>
      <c r="D608" s="8"/>
      <c r="E608" s="6"/>
      <c r="F608" s="6"/>
    </row>
    <row r="609" spans="1:6" x14ac:dyDescent="0.3">
      <c r="A609" s="8" t="s">
        <v>1179</v>
      </c>
      <c r="B609" s="8" t="s">
        <v>54213</v>
      </c>
      <c r="C609" s="8" t="s">
        <v>1180</v>
      </c>
      <c r="D609" s="8"/>
      <c r="E609" s="6"/>
      <c r="F609" s="6"/>
    </row>
    <row r="610" spans="1:6" x14ac:dyDescent="0.3">
      <c r="A610" s="8" t="s">
        <v>1181</v>
      </c>
      <c r="B610" s="8" t="s">
        <v>54214</v>
      </c>
      <c r="C610" s="8" t="s">
        <v>1182</v>
      </c>
      <c r="D610" s="8"/>
      <c r="E610" s="6"/>
      <c r="F610" s="6"/>
    </row>
    <row r="611" spans="1:6" x14ac:dyDescent="0.3">
      <c r="A611" s="8" t="s">
        <v>1183</v>
      </c>
      <c r="B611" s="8" t="s">
        <v>54215</v>
      </c>
      <c r="C611" s="8" t="s">
        <v>1184</v>
      </c>
      <c r="D611" s="8"/>
      <c r="E611" s="6"/>
      <c r="F611" s="6"/>
    </row>
    <row r="612" spans="1:6" x14ac:dyDescent="0.3">
      <c r="A612" s="8" t="s">
        <v>1185</v>
      </c>
      <c r="B612" s="8" t="s">
        <v>54216</v>
      </c>
      <c r="C612" s="8" t="s">
        <v>1186</v>
      </c>
      <c r="D612" s="8"/>
      <c r="E612" s="6"/>
      <c r="F612" s="6"/>
    </row>
    <row r="613" spans="1:6" x14ac:dyDescent="0.3">
      <c r="A613" s="8" t="s">
        <v>1187</v>
      </c>
      <c r="B613" s="8" t="s">
        <v>54217</v>
      </c>
      <c r="C613" s="8" t="s">
        <v>1188</v>
      </c>
      <c r="D613" s="8"/>
      <c r="E613" s="6"/>
      <c r="F613" s="6"/>
    </row>
    <row r="614" spans="1:6" x14ac:dyDescent="0.3">
      <c r="A614" s="8" t="s">
        <v>1189</v>
      </c>
      <c r="B614" s="8" t="s">
        <v>54218</v>
      </c>
      <c r="C614" s="8" t="s">
        <v>1190</v>
      </c>
      <c r="D614" s="8"/>
      <c r="E614" s="6"/>
      <c r="F614" s="6"/>
    </row>
    <row r="615" spans="1:6" x14ac:dyDescent="0.3">
      <c r="A615" s="8" t="s">
        <v>1191</v>
      </c>
      <c r="B615" s="8" t="s">
        <v>54219</v>
      </c>
      <c r="C615" s="8" t="s">
        <v>1192</v>
      </c>
      <c r="D615" s="8"/>
      <c r="E615" s="6"/>
      <c r="F615" s="6"/>
    </row>
    <row r="616" spans="1:6" x14ac:dyDescent="0.3">
      <c r="A616" s="8" t="s">
        <v>1193</v>
      </c>
      <c r="B616" s="8" t="s">
        <v>54220</v>
      </c>
      <c r="C616" s="8" t="s">
        <v>1194</v>
      </c>
      <c r="D616" s="8"/>
      <c r="E616" s="6"/>
      <c r="F616" s="6"/>
    </row>
    <row r="617" spans="1:6" x14ac:dyDescent="0.3">
      <c r="A617" s="8" t="s">
        <v>1195</v>
      </c>
      <c r="B617" s="8" t="s">
        <v>54221</v>
      </c>
      <c r="C617" s="8" t="s">
        <v>1196</v>
      </c>
      <c r="D617" s="8"/>
      <c r="E617" s="6"/>
      <c r="F617" s="6"/>
    </row>
    <row r="618" spans="1:6" x14ac:dyDescent="0.3">
      <c r="A618" s="8" t="s">
        <v>1197</v>
      </c>
      <c r="B618" s="8" t="s">
        <v>54222</v>
      </c>
      <c r="C618" s="8" t="s">
        <v>1198</v>
      </c>
      <c r="D618" s="8"/>
      <c r="E618" s="6"/>
      <c r="F618" s="6"/>
    </row>
    <row r="619" spans="1:6" x14ac:dyDescent="0.3">
      <c r="A619" s="8" t="s">
        <v>1199</v>
      </c>
      <c r="B619" s="8" t="s">
        <v>54223</v>
      </c>
      <c r="C619" s="8" t="s">
        <v>1200</v>
      </c>
      <c r="D619" s="8"/>
      <c r="E619" s="6"/>
      <c r="F619" s="6"/>
    </row>
    <row r="620" spans="1:6" x14ac:dyDescent="0.3">
      <c r="A620" s="8" t="s">
        <v>1201</v>
      </c>
      <c r="B620" s="8" t="s">
        <v>54224</v>
      </c>
      <c r="C620" s="8" t="s">
        <v>1202</v>
      </c>
      <c r="D620" s="8"/>
      <c r="E620" s="6"/>
      <c r="F620" s="6"/>
    </row>
    <row r="621" spans="1:6" x14ac:dyDescent="0.3">
      <c r="A621" s="8" t="s">
        <v>1203</v>
      </c>
      <c r="B621" s="8" t="s">
        <v>54225</v>
      </c>
      <c r="C621" s="8" t="s">
        <v>1204</v>
      </c>
      <c r="D621" s="8"/>
      <c r="E621" s="6"/>
      <c r="F621" s="6"/>
    </row>
    <row r="622" spans="1:6" x14ac:dyDescent="0.3">
      <c r="A622" s="8" t="s">
        <v>1205</v>
      </c>
      <c r="B622" s="8" t="s">
        <v>54226</v>
      </c>
      <c r="C622" s="8" t="s">
        <v>1206</v>
      </c>
      <c r="D622" s="8"/>
      <c r="E622" s="6"/>
      <c r="F622" s="6"/>
    </row>
    <row r="623" spans="1:6" x14ac:dyDescent="0.3">
      <c r="A623" s="8" t="s">
        <v>1207</v>
      </c>
      <c r="B623" s="8" t="s">
        <v>54227</v>
      </c>
      <c r="C623" s="8" t="s">
        <v>1208</v>
      </c>
      <c r="D623" s="8"/>
      <c r="E623" s="6"/>
      <c r="F623" s="6"/>
    </row>
    <row r="624" spans="1:6" x14ac:dyDescent="0.3">
      <c r="A624" s="8" t="s">
        <v>1209</v>
      </c>
      <c r="B624" s="8" t="s">
        <v>54228</v>
      </c>
      <c r="C624" s="8" t="s">
        <v>1210</v>
      </c>
      <c r="D624" s="8"/>
      <c r="E624" s="6"/>
      <c r="F624" s="6"/>
    </row>
    <row r="625" spans="1:6" x14ac:dyDescent="0.3">
      <c r="A625" s="8" t="s">
        <v>1211</v>
      </c>
      <c r="B625" s="8" t="s">
        <v>54229</v>
      </c>
      <c r="C625" s="8" t="s">
        <v>1212</v>
      </c>
      <c r="D625" s="8"/>
      <c r="E625" s="6"/>
      <c r="F625" s="6"/>
    </row>
    <row r="626" spans="1:6" x14ac:dyDescent="0.3">
      <c r="A626" s="8" t="s">
        <v>1213</v>
      </c>
      <c r="B626" s="8" t="s">
        <v>54230</v>
      </c>
      <c r="C626" s="8" t="s">
        <v>1214</v>
      </c>
      <c r="D626" s="8"/>
      <c r="E626" s="6"/>
      <c r="F626" s="6"/>
    </row>
    <row r="627" spans="1:6" x14ac:dyDescent="0.3">
      <c r="A627" s="8" t="s">
        <v>1215</v>
      </c>
      <c r="B627" s="8" t="s">
        <v>54231</v>
      </c>
      <c r="C627" s="8" t="s">
        <v>1216</v>
      </c>
      <c r="D627" s="8"/>
      <c r="E627" s="6"/>
      <c r="F627" s="6"/>
    </row>
    <row r="628" spans="1:6" x14ac:dyDescent="0.3">
      <c r="A628" s="8" t="s">
        <v>1217</v>
      </c>
      <c r="B628" s="8" t="s">
        <v>54232</v>
      </c>
      <c r="C628" s="8" t="s">
        <v>1218</v>
      </c>
      <c r="D628" s="8"/>
      <c r="E628" s="6"/>
      <c r="F628" s="6"/>
    </row>
    <row r="629" spans="1:6" x14ac:dyDescent="0.3">
      <c r="A629" s="8" t="s">
        <v>1219</v>
      </c>
      <c r="B629" s="8" t="s">
        <v>54233</v>
      </c>
      <c r="C629" s="8" t="s">
        <v>1220</v>
      </c>
      <c r="D629" s="8"/>
      <c r="E629" s="6"/>
      <c r="F629" s="6"/>
    </row>
    <row r="630" spans="1:6" x14ac:dyDescent="0.3">
      <c r="A630" s="8" t="s">
        <v>1221</v>
      </c>
      <c r="B630" s="8" t="s">
        <v>54234</v>
      </c>
      <c r="C630" s="8" t="s">
        <v>1222</v>
      </c>
      <c r="D630" s="8"/>
      <c r="E630" s="6"/>
      <c r="F630" s="6"/>
    </row>
    <row r="631" spans="1:6" x14ac:dyDescent="0.3">
      <c r="A631" s="8" t="s">
        <v>1223</v>
      </c>
      <c r="B631" s="8" t="s">
        <v>54235</v>
      </c>
      <c r="C631" s="8" t="s">
        <v>1224</v>
      </c>
      <c r="D631" s="8"/>
      <c r="E631" s="6"/>
      <c r="F631" s="6"/>
    </row>
    <row r="632" spans="1:6" x14ac:dyDescent="0.3">
      <c r="A632" s="8" t="s">
        <v>1225</v>
      </c>
      <c r="B632" s="8" t="s">
        <v>54236</v>
      </c>
      <c r="C632" s="8" t="s">
        <v>1226</v>
      </c>
      <c r="D632" s="8"/>
      <c r="E632" s="6"/>
      <c r="F632" s="6"/>
    </row>
    <row r="633" spans="1:6" x14ac:dyDescent="0.3">
      <c r="A633" s="8" t="s">
        <v>1227</v>
      </c>
      <c r="B633" s="8" t="s">
        <v>54237</v>
      </c>
      <c r="C633" s="8" t="s">
        <v>1228</v>
      </c>
      <c r="D633" s="8"/>
      <c r="E633" s="6"/>
      <c r="F633" s="6"/>
    </row>
    <row r="634" spans="1:6" x14ac:dyDescent="0.3">
      <c r="A634" s="8" t="s">
        <v>1229</v>
      </c>
      <c r="B634" s="8" t="s">
        <v>54238</v>
      </c>
      <c r="C634" s="8" t="s">
        <v>1230</v>
      </c>
      <c r="D634" s="8"/>
      <c r="E634" s="6"/>
      <c r="F634" s="6"/>
    </row>
    <row r="635" spans="1:6" x14ac:dyDescent="0.3">
      <c r="A635" s="8" t="s">
        <v>1231</v>
      </c>
      <c r="B635" s="8" t="s">
        <v>54239</v>
      </c>
      <c r="C635" s="8" t="s">
        <v>1232</v>
      </c>
      <c r="D635" s="8"/>
      <c r="E635" s="6"/>
      <c r="F635" s="6"/>
    </row>
    <row r="636" spans="1:6" x14ac:dyDescent="0.3">
      <c r="A636" s="8" t="s">
        <v>1233</v>
      </c>
      <c r="B636" s="8" t="s">
        <v>54240</v>
      </c>
      <c r="C636" s="8" t="s">
        <v>1234</v>
      </c>
      <c r="D636" s="8"/>
      <c r="E636" s="6"/>
      <c r="F636" s="6"/>
    </row>
    <row r="637" spans="1:6" x14ac:dyDescent="0.3">
      <c r="A637" s="8" t="s">
        <v>1235</v>
      </c>
      <c r="B637" s="8" t="s">
        <v>54241</v>
      </c>
      <c r="C637" s="8" t="s">
        <v>1236</v>
      </c>
      <c r="D637" s="8"/>
      <c r="E637" s="6"/>
      <c r="F637" s="6"/>
    </row>
    <row r="638" spans="1:6" x14ac:dyDescent="0.3">
      <c r="A638" s="8" t="s">
        <v>1237</v>
      </c>
      <c r="B638" s="8" t="s">
        <v>54242</v>
      </c>
      <c r="C638" s="8" t="s">
        <v>1238</v>
      </c>
      <c r="D638" s="8"/>
      <c r="E638" s="6"/>
      <c r="F638" s="6"/>
    </row>
    <row r="639" spans="1:6" x14ac:dyDescent="0.3">
      <c r="A639" s="8" t="s">
        <v>1239</v>
      </c>
      <c r="B639" s="8" t="s">
        <v>54243</v>
      </c>
      <c r="C639" s="8" t="s">
        <v>1240</v>
      </c>
      <c r="D639" s="8"/>
      <c r="E639" s="6"/>
      <c r="F639" s="6"/>
    </row>
    <row r="640" spans="1:6" x14ac:dyDescent="0.3">
      <c r="A640" s="8" t="s">
        <v>1241</v>
      </c>
      <c r="B640" s="8" t="s">
        <v>54244</v>
      </c>
      <c r="C640" s="8" t="s">
        <v>1242</v>
      </c>
      <c r="D640" s="8"/>
      <c r="E640" s="6"/>
      <c r="F640" s="6"/>
    </row>
    <row r="641" spans="1:6" x14ac:dyDescent="0.3">
      <c r="A641" s="8" t="s">
        <v>1243</v>
      </c>
      <c r="B641" s="8" t="s">
        <v>54245</v>
      </c>
      <c r="C641" s="8" t="s">
        <v>1244</v>
      </c>
      <c r="D641" s="8"/>
      <c r="E641" s="6"/>
      <c r="F641" s="6"/>
    </row>
    <row r="642" spans="1:6" x14ac:dyDescent="0.3">
      <c r="A642" s="8" t="s">
        <v>1245</v>
      </c>
      <c r="B642" s="8" t="s">
        <v>54246</v>
      </c>
      <c r="C642" s="8" t="s">
        <v>1246</v>
      </c>
      <c r="D642" s="8"/>
      <c r="E642" s="6"/>
      <c r="F642" s="6"/>
    </row>
    <row r="643" spans="1:6" x14ac:dyDescent="0.3">
      <c r="A643" s="8" t="s">
        <v>1247</v>
      </c>
      <c r="B643" s="8" t="s">
        <v>54247</v>
      </c>
      <c r="C643" s="8" t="s">
        <v>1248</v>
      </c>
      <c r="D643" s="8"/>
      <c r="E643" s="6"/>
      <c r="F643" s="6"/>
    </row>
    <row r="644" spans="1:6" x14ac:dyDescent="0.3">
      <c r="A644" s="8" t="s">
        <v>1249</v>
      </c>
      <c r="B644" s="8" t="s">
        <v>54248</v>
      </c>
      <c r="C644" s="8" t="s">
        <v>1250</v>
      </c>
      <c r="D644" s="8"/>
      <c r="E644" s="6"/>
      <c r="F644" s="6"/>
    </row>
    <row r="645" spans="1:6" x14ac:dyDescent="0.3">
      <c r="A645" s="8" t="s">
        <v>1251</v>
      </c>
      <c r="B645" s="8" t="s">
        <v>54249</v>
      </c>
      <c r="C645" s="8" t="s">
        <v>1252</v>
      </c>
      <c r="D645" s="8"/>
      <c r="E645" s="6"/>
      <c r="F645" s="6"/>
    </row>
    <row r="646" spans="1:6" x14ac:dyDescent="0.3">
      <c r="A646" s="8" t="s">
        <v>1253</v>
      </c>
      <c r="B646" s="8" t="s">
        <v>54250</v>
      </c>
      <c r="C646" s="8" t="s">
        <v>1254</v>
      </c>
      <c r="D646" s="8"/>
      <c r="E646" s="6"/>
      <c r="F646" s="6"/>
    </row>
    <row r="647" spans="1:6" x14ac:dyDescent="0.3">
      <c r="A647" s="8" t="s">
        <v>1255</v>
      </c>
      <c r="B647" s="8" t="s">
        <v>54251</v>
      </c>
      <c r="C647" s="8" t="s">
        <v>1256</v>
      </c>
      <c r="D647" s="8"/>
      <c r="E647" s="6"/>
      <c r="F647" s="6"/>
    </row>
    <row r="648" spans="1:6" x14ac:dyDescent="0.3">
      <c r="A648" s="8" t="s">
        <v>1257</v>
      </c>
      <c r="B648" s="8" t="s">
        <v>54252</v>
      </c>
      <c r="C648" s="8" t="s">
        <v>1258</v>
      </c>
      <c r="D648" s="8"/>
      <c r="E648" s="6"/>
      <c r="F648" s="6"/>
    </row>
    <row r="649" spans="1:6" x14ac:dyDescent="0.3">
      <c r="A649" s="8" t="s">
        <v>1259</v>
      </c>
      <c r="B649" s="8" t="s">
        <v>54253</v>
      </c>
      <c r="C649" s="8" t="s">
        <v>1260</v>
      </c>
      <c r="D649" s="8"/>
      <c r="E649" s="6"/>
      <c r="F649" s="6"/>
    </row>
    <row r="650" spans="1:6" x14ac:dyDescent="0.3">
      <c r="A650" s="8" t="s">
        <v>1261</v>
      </c>
      <c r="B650" s="8" t="s">
        <v>54254</v>
      </c>
      <c r="C650" s="8" t="s">
        <v>1262</v>
      </c>
      <c r="D650" s="8"/>
      <c r="E650" s="6"/>
      <c r="F650" s="6"/>
    </row>
    <row r="651" spans="1:6" x14ac:dyDescent="0.3">
      <c r="A651" s="8" t="s">
        <v>1263</v>
      </c>
      <c r="B651" s="8" t="s">
        <v>54255</v>
      </c>
      <c r="C651" s="8" t="s">
        <v>1264</v>
      </c>
      <c r="D651" s="8"/>
      <c r="E651" s="6"/>
      <c r="F651" s="6"/>
    </row>
    <row r="652" spans="1:6" x14ac:dyDescent="0.3">
      <c r="A652" s="8" t="s">
        <v>1265</v>
      </c>
      <c r="B652" s="8" t="s">
        <v>54256</v>
      </c>
      <c r="C652" s="8" t="s">
        <v>1266</v>
      </c>
      <c r="D652" s="8"/>
      <c r="E652" s="6"/>
      <c r="F652" s="6"/>
    </row>
    <row r="653" spans="1:6" x14ac:dyDescent="0.3">
      <c r="A653" s="8" t="s">
        <v>1267</v>
      </c>
      <c r="B653" s="8" t="s">
        <v>54257</v>
      </c>
      <c r="C653" s="8" t="s">
        <v>1268</v>
      </c>
      <c r="D653" s="8"/>
      <c r="E653" s="6"/>
      <c r="F653" s="6"/>
    </row>
    <row r="654" spans="1:6" x14ac:dyDescent="0.3">
      <c r="A654" s="8" t="s">
        <v>1269</v>
      </c>
      <c r="B654" s="8" t="s">
        <v>54258</v>
      </c>
      <c r="C654" s="8" t="s">
        <v>1270</v>
      </c>
      <c r="D654" s="8"/>
      <c r="E654" s="6"/>
      <c r="F654" s="6"/>
    </row>
    <row r="655" spans="1:6" x14ac:dyDescent="0.3">
      <c r="A655" s="8" t="s">
        <v>1271</v>
      </c>
      <c r="B655" s="8" t="s">
        <v>54259</v>
      </c>
      <c r="C655" s="8" t="s">
        <v>1272</v>
      </c>
      <c r="D655" s="8"/>
      <c r="E655" s="6"/>
      <c r="F655" s="6"/>
    </row>
    <row r="656" spans="1:6" x14ac:dyDescent="0.3">
      <c r="A656" s="8" t="s">
        <v>1273</v>
      </c>
      <c r="B656" s="8" t="s">
        <v>54260</v>
      </c>
      <c r="C656" s="8" t="s">
        <v>1274</v>
      </c>
      <c r="D656" s="8"/>
      <c r="E656" s="6"/>
      <c r="F656" s="6"/>
    </row>
    <row r="657" spans="1:6" x14ac:dyDescent="0.3">
      <c r="A657" s="8" t="s">
        <v>1275</v>
      </c>
      <c r="B657" s="8" t="s">
        <v>54261</v>
      </c>
      <c r="C657" s="8" t="s">
        <v>1276</v>
      </c>
      <c r="D657" s="8"/>
      <c r="E657" s="6"/>
      <c r="F657" s="6"/>
    </row>
    <row r="658" spans="1:6" x14ac:dyDescent="0.3">
      <c r="A658" s="8" t="s">
        <v>1277</v>
      </c>
      <c r="B658" s="8" t="s">
        <v>54262</v>
      </c>
      <c r="C658" s="8" t="s">
        <v>1278</v>
      </c>
      <c r="D658" s="8"/>
      <c r="E658" s="6"/>
      <c r="F658" s="6"/>
    </row>
    <row r="659" spans="1:6" x14ac:dyDescent="0.3">
      <c r="A659" s="8" t="s">
        <v>1279</v>
      </c>
      <c r="B659" s="8" t="s">
        <v>54263</v>
      </c>
      <c r="C659" s="8" t="s">
        <v>1280</v>
      </c>
      <c r="D659" s="8"/>
      <c r="E659" s="6"/>
      <c r="F659" s="6"/>
    </row>
    <row r="660" spans="1:6" x14ac:dyDescent="0.3">
      <c r="A660" s="8" t="s">
        <v>1281</v>
      </c>
      <c r="B660" s="8" t="s">
        <v>54264</v>
      </c>
      <c r="C660" s="8" t="s">
        <v>1282</v>
      </c>
      <c r="D660" s="8"/>
      <c r="E660" s="6"/>
      <c r="F660" s="6"/>
    </row>
    <row r="661" spans="1:6" x14ac:dyDescent="0.3">
      <c r="A661" s="8" t="s">
        <v>1283</v>
      </c>
      <c r="B661" s="8" t="s">
        <v>54265</v>
      </c>
      <c r="C661" s="8" t="s">
        <v>1284</v>
      </c>
      <c r="D661" s="8"/>
      <c r="E661" s="6"/>
      <c r="F661" s="6"/>
    </row>
    <row r="662" spans="1:6" x14ac:dyDescent="0.3">
      <c r="A662" s="8" t="s">
        <v>1285</v>
      </c>
      <c r="B662" s="8" t="s">
        <v>54266</v>
      </c>
      <c r="C662" s="8" t="s">
        <v>1286</v>
      </c>
      <c r="D662" s="8"/>
      <c r="E662" s="6"/>
      <c r="F662" s="6"/>
    </row>
    <row r="663" spans="1:6" x14ac:dyDescent="0.3">
      <c r="A663" s="8" t="s">
        <v>1287</v>
      </c>
      <c r="B663" s="8" t="s">
        <v>54267</v>
      </c>
      <c r="C663" s="8" t="s">
        <v>1288</v>
      </c>
      <c r="D663" s="8"/>
      <c r="E663" s="6"/>
      <c r="F663" s="6"/>
    </row>
    <row r="664" spans="1:6" x14ac:dyDescent="0.3">
      <c r="A664" s="8" t="s">
        <v>1289</v>
      </c>
      <c r="B664" s="8" t="s">
        <v>54268</v>
      </c>
      <c r="C664" s="8" t="s">
        <v>1290</v>
      </c>
      <c r="D664" s="8"/>
      <c r="E664" s="6"/>
      <c r="F664" s="6"/>
    </row>
    <row r="665" spans="1:6" x14ac:dyDescent="0.3">
      <c r="A665" s="8" t="s">
        <v>1291</v>
      </c>
      <c r="B665" s="8" t="s">
        <v>54269</v>
      </c>
      <c r="C665" s="8" t="s">
        <v>1292</v>
      </c>
      <c r="D665" s="8"/>
      <c r="E665" s="6"/>
      <c r="F665" s="6"/>
    </row>
    <row r="666" spans="1:6" x14ac:dyDescent="0.3">
      <c r="A666" s="8" t="s">
        <v>1293</v>
      </c>
      <c r="B666" s="8" t="s">
        <v>54270</v>
      </c>
      <c r="C666" s="8" t="s">
        <v>1294</v>
      </c>
      <c r="D666" s="8"/>
      <c r="E666" s="6"/>
      <c r="F666" s="6"/>
    </row>
    <row r="667" spans="1:6" x14ac:dyDescent="0.3">
      <c r="A667" s="8" t="s">
        <v>1295</v>
      </c>
      <c r="B667" s="8" t="s">
        <v>54271</v>
      </c>
      <c r="C667" s="8" t="s">
        <v>1296</v>
      </c>
      <c r="D667" s="8"/>
      <c r="E667" s="6"/>
      <c r="F667" s="6"/>
    </row>
    <row r="668" spans="1:6" x14ac:dyDescent="0.3">
      <c r="A668" s="8" t="s">
        <v>1297</v>
      </c>
      <c r="B668" s="8" t="s">
        <v>54272</v>
      </c>
      <c r="C668" s="8" t="s">
        <v>1298</v>
      </c>
      <c r="D668" s="8"/>
      <c r="E668" s="6"/>
      <c r="F668" s="6"/>
    </row>
    <row r="669" spans="1:6" x14ac:dyDescent="0.3">
      <c r="A669" s="8" t="s">
        <v>1299</v>
      </c>
      <c r="B669" s="8" t="s">
        <v>54273</v>
      </c>
      <c r="C669" s="8" t="s">
        <v>1300</v>
      </c>
      <c r="D669" s="8"/>
      <c r="E669" s="6"/>
      <c r="F669" s="6"/>
    </row>
    <row r="670" spans="1:6" x14ac:dyDescent="0.3">
      <c r="A670" s="8" t="s">
        <v>1301</v>
      </c>
      <c r="B670" s="8" t="s">
        <v>54274</v>
      </c>
      <c r="C670" s="8" t="s">
        <v>1302</v>
      </c>
      <c r="D670" s="8"/>
      <c r="E670" s="6"/>
      <c r="F670" s="6"/>
    </row>
    <row r="671" spans="1:6" x14ac:dyDescent="0.3">
      <c r="A671" s="8" t="s">
        <v>1303</v>
      </c>
      <c r="B671" s="8" t="s">
        <v>54275</v>
      </c>
      <c r="C671" s="8" t="s">
        <v>1304</v>
      </c>
      <c r="D671" s="8"/>
      <c r="E671" s="6"/>
      <c r="F671" s="6"/>
    </row>
    <row r="672" spans="1:6" x14ac:dyDescent="0.3">
      <c r="A672" s="8" t="s">
        <v>1305</v>
      </c>
      <c r="B672" s="8" t="s">
        <v>54276</v>
      </c>
      <c r="C672" s="8" t="s">
        <v>1306</v>
      </c>
      <c r="D672" s="8"/>
      <c r="E672" s="6"/>
      <c r="F672" s="6"/>
    </row>
    <row r="673" spans="1:6" x14ac:dyDescent="0.3">
      <c r="A673" s="8" t="s">
        <v>1307</v>
      </c>
      <c r="B673" s="8" t="s">
        <v>54277</v>
      </c>
      <c r="C673" s="8" t="s">
        <v>1308</v>
      </c>
      <c r="D673" s="8"/>
      <c r="E673" s="6"/>
      <c r="F673" s="6"/>
    </row>
    <row r="674" spans="1:6" x14ac:dyDescent="0.3">
      <c r="A674" s="8" t="s">
        <v>1309</v>
      </c>
      <c r="B674" s="8" t="s">
        <v>54278</v>
      </c>
      <c r="C674" s="8" t="s">
        <v>1310</v>
      </c>
      <c r="D674" s="8"/>
      <c r="E674" s="6"/>
      <c r="F674" s="6"/>
    </row>
    <row r="675" spans="1:6" x14ac:dyDescent="0.3">
      <c r="A675" s="8" t="s">
        <v>1311</v>
      </c>
      <c r="B675" s="8" t="s">
        <v>54279</v>
      </c>
      <c r="C675" s="8" t="s">
        <v>1312</v>
      </c>
      <c r="D675" s="8"/>
      <c r="E675" s="6"/>
      <c r="F675" s="6"/>
    </row>
    <row r="676" spans="1:6" x14ac:dyDescent="0.3">
      <c r="A676" s="8" t="s">
        <v>1313</v>
      </c>
      <c r="B676" s="8" t="s">
        <v>54280</v>
      </c>
      <c r="C676" s="8" t="s">
        <v>1314</v>
      </c>
      <c r="D676" s="8"/>
      <c r="E676" s="6"/>
      <c r="F676" s="6"/>
    </row>
    <row r="677" spans="1:6" x14ac:dyDescent="0.3">
      <c r="A677" s="8" t="s">
        <v>1315</v>
      </c>
      <c r="B677" s="8" t="s">
        <v>54281</v>
      </c>
      <c r="C677" s="8" t="s">
        <v>1316</v>
      </c>
      <c r="D677" s="8"/>
      <c r="E677" s="6"/>
      <c r="F677" s="6"/>
    </row>
    <row r="678" spans="1:6" x14ac:dyDescent="0.3">
      <c r="A678" s="8" t="s">
        <v>1317</v>
      </c>
      <c r="B678" s="8" t="s">
        <v>54282</v>
      </c>
      <c r="C678" s="8" t="s">
        <v>1318</v>
      </c>
      <c r="D678" s="8"/>
      <c r="E678" s="6"/>
      <c r="F678" s="6"/>
    </row>
    <row r="679" spans="1:6" x14ac:dyDescent="0.3">
      <c r="A679" s="8" t="s">
        <v>1319</v>
      </c>
      <c r="B679" s="8" t="s">
        <v>54283</v>
      </c>
      <c r="C679" s="8" t="s">
        <v>1320</v>
      </c>
      <c r="D679" s="8"/>
      <c r="E679" s="6"/>
      <c r="F679" s="6"/>
    </row>
    <row r="680" spans="1:6" x14ac:dyDescent="0.3">
      <c r="A680" s="8" t="s">
        <v>1321</v>
      </c>
      <c r="B680" s="8" t="s">
        <v>54284</v>
      </c>
      <c r="C680" s="8" t="s">
        <v>1322</v>
      </c>
      <c r="D680" s="8"/>
      <c r="E680" s="6"/>
      <c r="F680" s="6"/>
    </row>
    <row r="681" spans="1:6" x14ac:dyDescent="0.3">
      <c r="A681" s="8" t="s">
        <v>1323</v>
      </c>
      <c r="B681" s="8" t="s">
        <v>54285</v>
      </c>
      <c r="C681" s="8" t="s">
        <v>1324</v>
      </c>
      <c r="D681" s="8"/>
      <c r="E681" s="6"/>
      <c r="F681" s="6"/>
    </row>
    <row r="682" spans="1:6" x14ac:dyDescent="0.3">
      <c r="A682" s="8" t="s">
        <v>1325</v>
      </c>
      <c r="B682" s="8" t="s">
        <v>54286</v>
      </c>
      <c r="C682" s="8" t="s">
        <v>1326</v>
      </c>
      <c r="D682" s="8"/>
      <c r="E682" s="6"/>
      <c r="F682" s="6"/>
    </row>
    <row r="683" spans="1:6" x14ac:dyDescent="0.3">
      <c r="A683" s="8" t="s">
        <v>1327</v>
      </c>
      <c r="B683" s="8" t="s">
        <v>54287</v>
      </c>
      <c r="C683" s="8" t="s">
        <v>1328</v>
      </c>
      <c r="D683" s="8"/>
      <c r="E683" s="6"/>
      <c r="F683" s="6"/>
    </row>
    <row r="684" spans="1:6" x14ac:dyDescent="0.3">
      <c r="A684" s="8" t="s">
        <v>1329</v>
      </c>
      <c r="B684" s="8" t="s">
        <v>54288</v>
      </c>
      <c r="C684" s="8" t="s">
        <v>1330</v>
      </c>
      <c r="D684" s="8"/>
      <c r="E684" s="6"/>
      <c r="F684" s="6"/>
    </row>
    <row r="685" spans="1:6" x14ac:dyDescent="0.3">
      <c r="A685" s="8" t="s">
        <v>1331</v>
      </c>
      <c r="B685" s="8" t="s">
        <v>54289</v>
      </c>
      <c r="C685" s="8" t="s">
        <v>1332</v>
      </c>
      <c r="D685" s="8"/>
      <c r="E685" s="6"/>
      <c r="F685" s="6"/>
    </row>
    <row r="686" spans="1:6" x14ac:dyDescent="0.3">
      <c r="A686" s="8" t="s">
        <v>1333</v>
      </c>
      <c r="B686" s="8" t="s">
        <v>54290</v>
      </c>
      <c r="C686" s="8" t="s">
        <v>1334</v>
      </c>
      <c r="D686" s="8"/>
      <c r="E686" s="6"/>
      <c r="F686" s="6"/>
    </row>
    <row r="687" spans="1:6" x14ac:dyDescent="0.3">
      <c r="A687" s="8" t="s">
        <v>1335</v>
      </c>
      <c r="B687" s="8" t="s">
        <v>54291</v>
      </c>
      <c r="C687" s="8" t="s">
        <v>1336</v>
      </c>
      <c r="D687" s="8"/>
      <c r="E687" s="6"/>
      <c r="F687" s="6"/>
    </row>
    <row r="688" spans="1:6" x14ac:dyDescent="0.3">
      <c r="A688" s="8" t="s">
        <v>1337</v>
      </c>
      <c r="B688" s="8" t="s">
        <v>54292</v>
      </c>
      <c r="C688" s="8" t="s">
        <v>1338</v>
      </c>
      <c r="D688" s="8"/>
      <c r="E688" s="6"/>
      <c r="F688" s="6"/>
    </row>
    <row r="689" spans="1:6" x14ac:dyDescent="0.3">
      <c r="A689" s="8" t="s">
        <v>1339</v>
      </c>
      <c r="B689" s="8" t="s">
        <v>54293</v>
      </c>
      <c r="C689" s="8" t="s">
        <v>1340</v>
      </c>
      <c r="D689" s="8"/>
      <c r="E689" s="6"/>
      <c r="F689" s="6"/>
    </row>
    <row r="690" spans="1:6" x14ac:dyDescent="0.3">
      <c r="A690" s="8" t="s">
        <v>1341</v>
      </c>
      <c r="B690" s="8" t="s">
        <v>54294</v>
      </c>
      <c r="C690" s="8" t="s">
        <v>1342</v>
      </c>
      <c r="D690" s="8"/>
      <c r="E690" s="6"/>
      <c r="F690" s="6"/>
    </row>
    <row r="691" spans="1:6" x14ac:dyDescent="0.3">
      <c r="A691" s="8" t="s">
        <v>1343</v>
      </c>
      <c r="B691" s="8" t="s">
        <v>54295</v>
      </c>
      <c r="C691" s="8" t="s">
        <v>1344</v>
      </c>
      <c r="D691" s="8"/>
      <c r="E691" s="6"/>
      <c r="F691" s="6"/>
    </row>
    <row r="692" spans="1:6" x14ac:dyDescent="0.3">
      <c r="A692" s="8" t="s">
        <v>1345</v>
      </c>
      <c r="B692" s="8" t="s">
        <v>54296</v>
      </c>
      <c r="C692" s="8" t="s">
        <v>1346</v>
      </c>
      <c r="D692" s="8"/>
      <c r="E692" s="6"/>
      <c r="F692" s="6"/>
    </row>
    <row r="693" spans="1:6" x14ac:dyDescent="0.3">
      <c r="A693" s="8" t="s">
        <v>1347</v>
      </c>
      <c r="B693" s="8" t="s">
        <v>54297</v>
      </c>
      <c r="C693" s="8" t="s">
        <v>1348</v>
      </c>
      <c r="D693" s="8"/>
      <c r="E693" s="6"/>
      <c r="F693" s="6"/>
    </row>
    <row r="694" spans="1:6" x14ac:dyDescent="0.3">
      <c r="A694" s="8" t="s">
        <v>1349</v>
      </c>
      <c r="B694" s="8" t="s">
        <v>54298</v>
      </c>
      <c r="C694" s="8" t="s">
        <v>1350</v>
      </c>
      <c r="D694" s="8"/>
      <c r="E694" s="6"/>
      <c r="F694" s="6"/>
    </row>
    <row r="695" spans="1:6" x14ac:dyDescent="0.3">
      <c r="A695" s="8" t="s">
        <v>1351</v>
      </c>
      <c r="B695" s="8" t="s">
        <v>54299</v>
      </c>
      <c r="C695" s="8" t="s">
        <v>1352</v>
      </c>
      <c r="D695" s="8"/>
      <c r="E695" s="6"/>
      <c r="F695" s="6"/>
    </row>
    <row r="696" spans="1:6" x14ac:dyDescent="0.3">
      <c r="A696" s="8" t="s">
        <v>1353</v>
      </c>
      <c r="B696" s="8" t="s">
        <v>54300</v>
      </c>
      <c r="C696" s="8" t="s">
        <v>1354</v>
      </c>
      <c r="D696" s="8"/>
      <c r="E696" s="6"/>
      <c r="F696" s="6"/>
    </row>
    <row r="697" spans="1:6" x14ac:dyDescent="0.3">
      <c r="A697" s="8" t="s">
        <v>1355</v>
      </c>
      <c r="B697" s="8" t="s">
        <v>54301</v>
      </c>
      <c r="C697" s="8" t="s">
        <v>1356</v>
      </c>
      <c r="D697" s="8"/>
      <c r="E697" s="6"/>
      <c r="F697" s="6"/>
    </row>
    <row r="698" spans="1:6" x14ac:dyDescent="0.3">
      <c r="A698" s="8" t="s">
        <v>1357</v>
      </c>
      <c r="B698" s="8" t="s">
        <v>54302</v>
      </c>
      <c r="C698" s="8" t="s">
        <v>1358</v>
      </c>
      <c r="D698" s="8"/>
      <c r="E698" s="6"/>
      <c r="F698" s="6"/>
    </row>
    <row r="699" spans="1:6" x14ac:dyDescent="0.3">
      <c r="A699" s="8" t="s">
        <v>1359</v>
      </c>
      <c r="B699" s="8" t="s">
        <v>54303</v>
      </c>
      <c r="C699" s="8" t="s">
        <v>1360</v>
      </c>
      <c r="D699" s="8"/>
      <c r="E699" s="6"/>
      <c r="F699" s="6"/>
    </row>
    <row r="700" spans="1:6" x14ac:dyDescent="0.3">
      <c r="A700" s="8" t="s">
        <v>1361</v>
      </c>
      <c r="B700" s="8" t="s">
        <v>54304</v>
      </c>
      <c r="C700" s="8" t="s">
        <v>1362</v>
      </c>
      <c r="D700" s="8"/>
      <c r="E700" s="6"/>
      <c r="F700" s="6"/>
    </row>
    <row r="701" spans="1:6" x14ac:dyDescent="0.3">
      <c r="A701" s="8" t="s">
        <v>1363</v>
      </c>
      <c r="B701" s="8" t="s">
        <v>54305</v>
      </c>
      <c r="C701" s="8" t="s">
        <v>1364</v>
      </c>
      <c r="D701" s="8"/>
      <c r="E701" s="6"/>
      <c r="F701" s="6"/>
    </row>
    <row r="702" spans="1:6" x14ac:dyDescent="0.3">
      <c r="A702" s="8" t="s">
        <v>1365</v>
      </c>
      <c r="B702" s="8" t="s">
        <v>54306</v>
      </c>
      <c r="C702" s="8" t="s">
        <v>1366</v>
      </c>
      <c r="D702" s="8"/>
      <c r="E702" s="6"/>
      <c r="F702" s="6"/>
    </row>
    <row r="703" spans="1:6" x14ac:dyDescent="0.3">
      <c r="A703" s="8" t="s">
        <v>1367</v>
      </c>
      <c r="B703" s="8" t="s">
        <v>54307</v>
      </c>
      <c r="C703" s="8" t="s">
        <v>1368</v>
      </c>
      <c r="D703" s="8"/>
      <c r="E703" s="6"/>
      <c r="F703" s="6"/>
    </row>
    <row r="704" spans="1:6" x14ac:dyDescent="0.3">
      <c r="A704" s="8" t="s">
        <v>1369</v>
      </c>
      <c r="B704" s="8" t="s">
        <v>54308</v>
      </c>
      <c r="C704" s="8" t="s">
        <v>1370</v>
      </c>
      <c r="D704" s="8"/>
      <c r="E704" s="6"/>
      <c r="F704" s="6"/>
    </row>
    <row r="705" spans="1:6" x14ac:dyDescent="0.3">
      <c r="A705" s="8" t="s">
        <v>1371</v>
      </c>
      <c r="B705" s="8" t="s">
        <v>54309</v>
      </c>
      <c r="C705" s="8" t="s">
        <v>1372</v>
      </c>
      <c r="D705" s="8"/>
      <c r="E705" s="6"/>
      <c r="F705" s="6"/>
    </row>
    <row r="706" spans="1:6" x14ac:dyDescent="0.3">
      <c r="A706" s="8" t="s">
        <v>1373</v>
      </c>
      <c r="B706" s="8" t="s">
        <v>54310</v>
      </c>
      <c r="C706" s="8" t="s">
        <v>1374</v>
      </c>
      <c r="D706" s="8"/>
      <c r="E706" s="6"/>
      <c r="F706" s="6"/>
    </row>
    <row r="707" spans="1:6" x14ac:dyDescent="0.3">
      <c r="A707" s="8" t="s">
        <v>1375</v>
      </c>
      <c r="B707" s="8" t="s">
        <v>54311</v>
      </c>
      <c r="C707" s="8" t="s">
        <v>1376</v>
      </c>
      <c r="D707" s="8"/>
      <c r="E707" s="6"/>
      <c r="F707" s="6"/>
    </row>
    <row r="708" spans="1:6" x14ac:dyDescent="0.3">
      <c r="A708" s="8" t="s">
        <v>1377</v>
      </c>
      <c r="B708" s="8" t="s">
        <v>54312</v>
      </c>
      <c r="C708" s="8" t="s">
        <v>1378</v>
      </c>
      <c r="D708" s="8"/>
      <c r="E708" s="6"/>
      <c r="F708" s="6"/>
    </row>
    <row r="709" spans="1:6" x14ac:dyDescent="0.3">
      <c r="A709" s="8" t="s">
        <v>1379</v>
      </c>
      <c r="B709" s="8" t="s">
        <v>54313</v>
      </c>
      <c r="C709" s="8" t="s">
        <v>1380</v>
      </c>
      <c r="D709" s="8"/>
      <c r="E709" s="6"/>
      <c r="F709" s="6"/>
    </row>
    <row r="710" spans="1:6" x14ac:dyDescent="0.3">
      <c r="A710" s="8" t="s">
        <v>1381</v>
      </c>
      <c r="B710" s="8" t="s">
        <v>54314</v>
      </c>
      <c r="C710" s="8" t="s">
        <v>1382</v>
      </c>
      <c r="D710" s="8"/>
      <c r="E710" s="6"/>
      <c r="F710" s="6"/>
    </row>
    <row r="711" spans="1:6" x14ac:dyDescent="0.3">
      <c r="A711" s="8" t="s">
        <v>1383</v>
      </c>
      <c r="B711" s="8" t="s">
        <v>54315</v>
      </c>
      <c r="C711" s="8" t="s">
        <v>1384</v>
      </c>
      <c r="D711" s="8"/>
      <c r="E711" s="6"/>
      <c r="F711" s="6"/>
    </row>
    <row r="712" spans="1:6" x14ac:dyDescent="0.3">
      <c r="A712" s="8" t="s">
        <v>1385</v>
      </c>
      <c r="B712" s="8" t="s">
        <v>54316</v>
      </c>
      <c r="C712" s="8" t="s">
        <v>1386</v>
      </c>
      <c r="D712" s="8"/>
      <c r="E712" s="6"/>
      <c r="F712" s="6"/>
    </row>
    <row r="713" spans="1:6" x14ac:dyDescent="0.3">
      <c r="A713" s="8" t="s">
        <v>1387</v>
      </c>
      <c r="B713" s="8" t="s">
        <v>54317</v>
      </c>
      <c r="C713" s="8" t="s">
        <v>1388</v>
      </c>
      <c r="D713" s="8"/>
      <c r="E713" s="6"/>
      <c r="F713" s="6"/>
    </row>
    <row r="714" spans="1:6" x14ac:dyDescent="0.3">
      <c r="A714" s="8" t="s">
        <v>1389</v>
      </c>
      <c r="B714" s="8" t="s">
        <v>54318</v>
      </c>
      <c r="C714" s="8" t="s">
        <v>1390</v>
      </c>
      <c r="D714" s="8"/>
      <c r="E714" s="6"/>
      <c r="F714" s="6"/>
    </row>
    <row r="715" spans="1:6" x14ac:dyDescent="0.3">
      <c r="A715" s="8" t="s">
        <v>1391</v>
      </c>
      <c r="B715" s="8" t="s">
        <v>54319</v>
      </c>
      <c r="C715" s="8" t="s">
        <v>1392</v>
      </c>
      <c r="D715" s="8"/>
      <c r="E715" s="6"/>
      <c r="F715" s="6"/>
    </row>
    <row r="716" spans="1:6" x14ac:dyDescent="0.3">
      <c r="A716" s="8" t="s">
        <v>1393</v>
      </c>
      <c r="B716" s="8" t="s">
        <v>54320</v>
      </c>
      <c r="C716" s="8" t="s">
        <v>1394</v>
      </c>
      <c r="D716" s="8"/>
      <c r="E716" s="6"/>
      <c r="F716" s="6"/>
    </row>
    <row r="717" spans="1:6" x14ac:dyDescent="0.3">
      <c r="A717" s="8" t="s">
        <v>1395</v>
      </c>
      <c r="B717" s="8" t="s">
        <v>54321</v>
      </c>
      <c r="C717" s="8" t="s">
        <v>1396</v>
      </c>
      <c r="D717" s="8"/>
      <c r="E717" s="6"/>
      <c r="F717" s="6"/>
    </row>
    <row r="718" spans="1:6" x14ac:dyDescent="0.3">
      <c r="A718" s="8" t="s">
        <v>1397</v>
      </c>
      <c r="B718" s="8" t="s">
        <v>54322</v>
      </c>
      <c r="C718" s="8" t="s">
        <v>1398</v>
      </c>
      <c r="D718" s="8"/>
      <c r="E718" s="6"/>
      <c r="F718" s="6"/>
    </row>
    <row r="719" spans="1:6" x14ac:dyDescent="0.3">
      <c r="A719" s="8" t="s">
        <v>1399</v>
      </c>
      <c r="B719" s="8" t="s">
        <v>54323</v>
      </c>
      <c r="C719" s="8" t="s">
        <v>1400</v>
      </c>
      <c r="D719" s="8"/>
      <c r="E719" s="6"/>
      <c r="F719" s="6"/>
    </row>
    <row r="720" spans="1:6" x14ac:dyDescent="0.3">
      <c r="A720" s="8" t="s">
        <v>1401</v>
      </c>
      <c r="B720" s="8" t="s">
        <v>54324</v>
      </c>
      <c r="C720" s="8" t="s">
        <v>1402</v>
      </c>
      <c r="D720" s="8"/>
      <c r="E720" s="6"/>
      <c r="F720" s="6"/>
    </row>
    <row r="721" spans="1:6" x14ac:dyDescent="0.3">
      <c r="A721" s="8" t="s">
        <v>1403</v>
      </c>
      <c r="B721" s="8" t="s">
        <v>54325</v>
      </c>
      <c r="C721" s="8" t="s">
        <v>1404</v>
      </c>
      <c r="D721" s="8"/>
      <c r="E721" s="6"/>
      <c r="F721" s="6"/>
    </row>
    <row r="722" spans="1:6" x14ac:dyDescent="0.3">
      <c r="A722" s="8" t="s">
        <v>1405</v>
      </c>
      <c r="B722" s="8" t="s">
        <v>54326</v>
      </c>
      <c r="C722" s="8" t="s">
        <v>1406</v>
      </c>
      <c r="D722" s="8"/>
      <c r="E722" s="6"/>
      <c r="F722" s="6"/>
    </row>
    <row r="723" spans="1:6" x14ac:dyDescent="0.3">
      <c r="A723" s="8" t="s">
        <v>1407</v>
      </c>
      <c r="B723" s="8" t="s">
        <v>54327</v>
      </c>
      <c r="C723" s="8" t="s">
        <v>1408</v>
      </c>
      <c r="D723" s="8"/>
      <c r="E723" s="6"/>
      <c r="F723" s="6"/>
    </row>
    <row r="724" spans="1:6" x14ac:dyDescent="0.3">
      <c r="A724" s="8" t="s">
        <v>1409</v>
      </c>
      <c r="B724" s="8" t="s">
        <v>54328</v>
      </c>
      <c r="C724" s="8" t="s">
        <v>1410</v>
      </c>
      <c r="D724" s="8"/>
      <c r="E724" s="6"/>
      <c r="F724" s="6"/>
    </row>
    <row r="725" spans="1:6" x14ac:dyDescent="0.3">
      <c r="A725" s="8" t="s">
        <v>1411</v>
      </c>
      <c r="B725" s="8" t="s">
        <v>54329</v>
      </c>
      <c r="C725" s="8" t="s">
        <v>1412</v>
      </c>
      <c r="D725" s="8"/>
      <c r="E725" s="6"/>
      <c r="F725" s="6"/>
    </row>
    <row r="726" spans="1:6" x14ac:dyDescent="0.3">
      <c r="A726" s="8" t="s">
        <v>1413</v>
      </c>
      <c r="B726" s="8" t="s">
        <v>54330</v>
      </c>
      <c r="C726" s="8" t="s">
        <v>1414</v>
      </c>
      <c r="D726" s="8"/>
      <c r="E726" s="6"/>
      <c r="F726" s="6"/>
    </row>
    <row r="727" spans="1:6" x14ac:dyDescent="0.3">
      <c r="A727" s="8" t="s">
        <v>1415</v>
      </c>
      <c r="B727" s="8" t="s">
        <v>54331</v>
      </c>
      <c r="C727" s="8" t="s">
        <v>1416</v>
      </c>
      <c r="D727" s="8"/>
      <c r="E727" s="6"/>
      <c r="F727" s="6"/>
    </row>
    <row r="728" spans="1:6" x14ac:dyDescent="0.3">
      <c r="A728" s="8" t="s">
        <v>1417</v>
      </c>
      <c r="B728" s="8" t="s">
        <v>54332</v>
      </c>
      <c r="C728" s="8" t="s">
        <v>1418</v>
      </c>
      <c r="D728" s="8"/>
      <c r="E728" s="6"/>
      <c r="F728" s="6"/>
    </row>
    <row r="729" spans="1:6" x14ac:dyDescent="0.3">
      <c r="A729" s="8" t="s">
        <v>1419</v>
      </c>
      <c r="B729" s="8" t="s">
        <v>54333</v>
      </c>
      <c r="C729" s="8" t="s">
        <v>1420</v>
      </c>
      <c r="D729" s="8"/>
      <c r="E729" s="6"/>
      <c r="F729" s="6"/>
    </row>
    <row r="730" spans="1:6" x14ac:dyDescent="0.3">
      <c r="A730" s="8" t="s">
        <v>1421</v>
      </c>
      <c r="B730" s="8" t="s">
        <v>54334</v>
      </c>
      <c r="C730" s="8" t="s">
        <v>1422</v>
      </c>
      <c r="D730" s="8"/>
      <c r="E730" s="6"/>
      <c r="F730" s="6"/>
    </row>
    <row r="731" spans="1:6" x14ac:dyDescent="0.3">
      <c r="A731" s="8" t="s">
        <v>1423</v>
      </c>
      <c r="B731" s="8" t="s">
        <v>54335</v>
      </c>
      <c r="C731" s="8" t="s">
        <v>1424</v>
      </c>
      <c r="D731" s="8"/>
      <c r="E731" s="6"/>
      <c r="F731" s="6"/>
    </row>
    <row r="732" spans="1:6" x14ac:dyDescent="0.3">
      <c r="A732" s="8" t="s">
        <v>1425</v>
      </c>
      <c r="B732" s="8" t="s">
        <v>54336</v>
      </c>
      <c r="C732" s="8" t="s">
        <v>1426</v>
      </c>
      <c r="D732" s="8"/>
      <c r="E732" s="6"/>
      <c r="F732" s="6"/>
    </row>
    <row r="733" spans="1:6" x14ac:dyDescent="0.3">
      <c r="A733" s="8" t="s">
        <v>1427</v>
      </c>
      <c r="B733" s="8" t="s">
        <v>54337</v>
      </c>
      <c r="C733" s="8" t="s">
        <v>1428</v>
      </c>
      <c r="D733" s="8"/>
      <c r="E733" s="6"/>
      <c r="F733" s="6"/>
    </row>
    <row r="734" spans="1:6" x14ac:dyDescent="0.3">
      <c r="A734" s="8" t="s">
        <v>1429</v>
      </c>
      <c r="B734" s="8" t="s">
        <v>54338</v>
      </c>
      <c r="C734" s="8" t="s">
        <v>1430</v>
      </c>
      <c r="D734" s="8"/>
      <c r="E734" s="6"/>
      <c r="F734" s="6"/>
    </row>
    <row r="735" spans="1:6" x14ac:dyDescent="0.3">
      <c r="A735" s="8" t="s">
        <v>1431</v>
      </c>
      <c r="B735" s="8" t="s">
        <v>54339</v>
      </c>
      <c r="C735" s="8" t="s">
        <v>1432</v>
      </c>
      <c r="D735" s="8"/>
      <c r="E735" s="6"/>
      <c r="F735" s="6"/>
    </row>
    <row r="736" spans="1:6" x14ac:dyDescent="0.3">
      <c r="A736" s="8" t="s">
        <v>1433</v>
      </c>
      <c r="B736" s="8" t="s">
        <v>54340</v>
      </c>
      <c r="C736" s="8" t="s">
        <v>1434</v>
      </c>
      <c r="D736" s="8"/>
      <c r="E736" s="6"/>
      <c r="F736" s="6"/>
    </row>
    <row r="737" spans="1:6" x14ac:dyDescent="0.3">
      <c r="A737" s="8" t="s">
        <v>1435</v>
      </c>
      <c r="B737" s="8" t="s">
        <v>54341</v>
      </c>
      <c r="C737" s="8" t="s">
        <v>1436</v>
      </c>
      <c r="D737" s="8"/>
      <c r="E737" s="6"/>
      <c r="F737" s="6"/>
    </row>
    <row r="738" spans="1:6" x14ac:dyDescent="0.3">
      <c r="A738" s="8" t="s">
        <v>1437</v>
      </c>
      <c r="B738" s="8" t="s">
        <v>54342</v>
      </c>
      <c r="C738" s="8" t="s">
        <v>1438</v>
      </c>
      <c r="D738" s="8"/>
      <c r="E738" s="6"/>
      <c r="F738" s="6"/>
    </row>
    <row r="739" spans="1:6" x14ac:dyDescent="0.3">
      <c r="A739" s="8" t="s">
        <v>1439</v>
      </c>
      <c r="B739" s="8" t="s">
        <v>54343</v>
      </c>
      <c r="C739" s="8" t="s">
        <v>1440</v>
      </c>
      <c r="D739" s="8"/>
      <c r="E739" s="6"/>
      <c r="F739" s="6"/>
    </row>
    <row r="740" spans="1:6" x14ac:dyDescent="0.3">
      <c r="A740" s="8" t="s">
        <v>1441</v>
      </c>
      <c r="B740" s="8" t="s">
        <v>54344</v>
      </c>
      <c r="C740" s="8" t="s">
        <v>1442</v>
      </c>
      <c r="D740" s="8"/>
      <c r="E740" s="6"/>
      <c r="F740" s="6"/>
    </row>
    <row r="741" spans="1:6" x14ac:dyDescent="0.3">
      <c r="A741" s="8" t="s">
        <v>1443</v>
      </c>
      <c r="B741" s="8" t="s">
        <v>54345</v>
      </c>
      <c r="C741" s="8" t="s">
        <v>1444</v>
      </c>
      <c r="D741" s="8"/>
      <c r="E741" s="6"/>
      <c r="F741" s="6"/>
    </row>
    <row r="742" spans="1:6" x14ac:dyDescent="0.3">
      <c r="A742" s="8" t="s">
        <v>1445</v>
      </c>
      <c r="B742" s="8" t="s">
        <v>54346</v>
      </c>
      <c r="C742" s="8" t="s">
        <v>1446</v>
      </c>
      <c r="D742" s="8"/>
      <c r="E742" s="6"/>
      <c r="F742" s="6"/>
    </row>
    <row r="743" spans="1:6" x14ac:dyDescent="0.3">
      <c r="A743" s="8" t="s">
        <v>1447</v>
      </c>
      <c r="B743" s="8" t="s">
        <v>54347</v>
      </c>
      <c r="C743" s="8" t="s">
        <v>1448</v>
      </c>
      <c r="D743" s="8"/>
      <c r="E743" s="6"/>
      <c r="F743" s="6"/>
    </row>
    <row r="744" spans="1:6" x14ac:dyDescent="0.3">
      <c r="A744" s="8" t="s">
        <v>1449</v>
      </c>
      <c r="B744" s="8" t="s">
        <v>54348</v>
      </c>
      <c r="C744" s="8" t="s">
        <v>1450</v>
      </c>
      <c r="D744" s="8"/>
      <c r="E744" s="6"/>
      <c r="F744" s="6"/>
    </row>
    <row r="745" spans="1:6" x14ac:dyDescent="0.3">
      <c r="A745" s="8" t="s">
        <v>1451</v>
      </c>
      <c r="B745" s="8" t="s">
        <v>54349</v>
      </c>
      <c r="C745" s="8" t="s">
        <v>1452</v>
      </c>
      <c r="D745" s="8"/>
      <c r="E745" s="6"/>
      <c r="F745" s="6"/>
    </row>
    <row r="746" spans="1:6" x14ac:dyDescent="0.3">
      <c r="A746" s="8" t="s">
        <v>1453</v>
      </c>
      <c r="B746" s="8" t="s">
        <v>54350</v>
      </c>
      <c r="C746" s="8" t="s">
        <v>1454</v>
      </c>
      <c r="D746" s="8"/>
      <c r="E746" s="6"/>
      <c r="F746" s="6"/>
    </row>
    <row r="747" spans="1:6" x14ac:dyDescent="0.3">
      <c r="A747" s="8" t="s">
        <v>1455</v>
      </c>
      <c r="B747" s="8" t="s">
        <v>54351</v>
      </c>
      <c r="C747" s="8" t="s">
        <v>1456</v>
      </c>
      <c r="D747" s="8"/>
      <c r="E747" s="6"/>
      <c r="F747" s="6"/>
    </row>
    <row r="748" spans="1:6" x14ac:dyDescent="0.3">
      <c r="A748" s="8" t="s">
        <v>1457</v>
      </c>
      <c r="B748" s="8" t="s">
        <v>54352</v>
      </c>
      <c r="C748" s="8" t="s">
        <v>1458</v>
      </c>
      <c r="D748" s="8"/>
      <c r="E748" s="6"/>
      <c r="F748" s="6"/>
    </row>
    <row r="749" spans="1:6" x14ac:dyDescent="0.3">
      <c r="A749" s="8" t="s">
        <v>1459</v>
      </c>
      <c r="B749" s="8" t="s">
        <v>54353</v>
      </c>
      <c r="C749" s="8" t="s">
        <v>1460</v>
      </c>
      <c r="D749" s="8"/>
      <c r="E749" s="6"/>
      <c r="F749" s="6"/>
    </row>
    <row r="750" spans="1:6" x14ac:dyDescent="0.3">
      <c r="A750" s="8" t="s">
        <v>1461</v>
      </c>
      <c r="B750" s="8" t="s">
        <v>54354</v>
      </c>
      <c r="C750" s="8" t="s">
        <v>1462</v>
      </c>
      <c r="D750" s="8"/>
      <c r="E750" s="6"/>
      <c r="F750" s="6"/>
    </row>
    <row r="751" spans="1:6" x14ac:dyDescent="0.3">
      <c r="A751" s="8" t="s">
        <v>1463</v>
      </c>
      <c r="B751" s="8" t="s">
        <v>54355</v>
      </c>
      <c r="C751" s="8" t="s">
        <v>1464</v>
      </c>
      <c r="D751" s="8"/>
      <c r="E751" s="6"/>
      <c r="F751" s="6"/>
    </row>
    <row r="752" spans="1:6" x14ac:dyDescent="0.3">
      <c r="A752" s="8" t="s">
        <v>1465</v>
      </c>
      <c r="B752" s="8" t="s">
        <v>54356</v>
      </c>
      <c r="C752" s="8" t="s">
        <v>1466</v>
      </c>
      <c r="D752" s="8"/>
      <c r="E752" s="6"/>
      <c r="F752" s="6"/>
    </row>
    <row r="753" spans="1:6" x14ac:dyDescent="0.3">
      <c r="A753" s="8" t="s">
        <v>1467</v>
      </c>
      <c r="B753" s="8" t="s">
        <v>54357</v>
      </c>
      <c r="C753" s="8" t="s">
        <v>1468</v>
      </c>
      <c r="D753" s="8"/>
      <c r="E753" s="6"/>
      <c r="F753" s="6"/>
    </row>
    <row r="754" spans="1:6" x14ac:dyDescent="0.3">
      <c r="A754" s="8" t="s">
        <v>1469</v>
      </c>
      <c r="B754" s="8" t="s">
        <v>54358</v>
      </c>
      <c r="C754" s="8" t="s">
        <v>1470</v>
      </c>
      <c r="D754" s="8"/>
      <c r="E754" s="6"/>
      <c r="F754" s="6"/>
    </row>
    <row r="755" spans="1:6" x14ac:dyDescent="0.3">
      <c r="A755" s="8" t="s">
        <v>1471</v>
      </c>
      <c r="B755" s="8" t="s">
        <v>54359</v>
      </c>
      <c r="C755" s="8" t="s">
        <v>1472</v>
      </c>
      <c r="D755" s="8"/>
      <c r="E755" s="6"/>
      <c r="F755" s="6"/>
    </row>
    <row r="756" spans="1:6" x14ac:dyDescent="0.3">
      <c r="A756" s="8" t="s">
        <v>1473</v>
      </c>
      <c r="B756" s="8" t="s">
        <v>54360</v>
      </c>
      <c r="C756" s="8" t="s">
        <v>1474</v>
      </c>
      <c r="D756" s="8"/>
      <c r="E756" s="6"/>
      <c r="F756" s="6"/>
    </row>
    <row r="757" spans="1:6" x14ac:dyDescent="0.3">
      <c r="A757" s="8" t="s">
        <v>1475</v>
      </c>
      <c r="B757" s="8" t="s">
        <v>54361</v>
      </c>
      <c r="C757" s="8" t="s">
        <v>1476</v>
      </c>
      <c r="D757" s="8"/>
      <c r="E757" s="6"/>
      <c r="F757" s="6"/>
    </row>
    <row r="758" spans="1:6" x14ac:dyDescent="0.3">
      <c r="A758" s="8" t="s">
        <v>1477</v>
      </c>
      <c r="B758" s="8" t="s">
        <v>54362</v>
      </c>
      <c r="C758" s="8" t="s">
        <v>1478</v>
      </c>
      <c r="D758" s="8"/>
      <c r="E758" s="6"/>
      <c r="F758" s="6"/>
    </row>
    <row r="759" spans="1:6" x14ac:dyDescent="0.3">
      <c r="A759" s="8" t="s">
        <v>1479</v>
      </c>
      <c r="B759" s="8" t="s">
        <v>54363</v>
      </c>
      <c r="C759" s="8" t="s">
        <v>1480</v>
      </c>
      <c r="D759" s="8"/>
      <c r="E759" s="6"/>
      <c r="F759" s="6"/>
    </row>
    <row r="760" spans="1:6" x14ac:dyDescent="0.3">
      <c r="A760" s="8" t="s">
        <v>1481</v>
      </c>
      <c r="B760" s="8" t="s">
        <v>54364</v>
      </c>
      <c r="C760" s="8" t="s">
        <v>1482</v>
      </c>
      <c r="D760" s="8"/>
      <c r="E760" s="6"/>
      <c r="F760" s="6"/>
    </row>
    <row r="761" spans="1:6" x14ac:dyDescent="0.3">
      <c r="A761" s="8" t="s">
        <v>1483</v>
      </c>
      <c r="B761" s="8" t="s">
        <v>54365</v>
      </c>
      <c r="C761" s="8" t="s">
        <v>1484</v>
      </c>
      <c r="D761" s="8"/>
      <c r="E761" s="6"/>
      <c r="F761" s="6"/>
    </row>
    <row r="762" spans="1:6" x14ac:dyDescent="0.3">
      <c r="A762" s="8" t="s">
        <v>1485</v>
      </c>
      <c r="B762" s="8" t="s">
        <v>54366</v>
      </c>
      <c r="C762" s="8" t="s">
        <v>1486</v>
      </c>
      <c r="D762" s="8"/>
      <c r="E762" s="6"/>
      <c r="F762" s="6"/>
    </row>
    <row r="763" spans="1:6" x14ac:dyDescent="0.3">
      <c r="A763" s="8" t="s">
        <v>1487</v>
      </c>
      <c r="B763" s="8" t="s">
        <v>54367</v>
      </c>
      <c r="C763" s="8" t="s">
        <v>1488</v>
      </c>
      <c r="D763" s="8"/>
      <c r="E763" s="6"/>
      <c r="F763" s="6"/>
    </row>
    <row r="764" spans="1:6" x14ac:dyDescent="0.3">
      <c r="A764" s="8" t="s">
        <v>1489</v>
      </c>
      <c r="B764" s="8" t="s">
        <v>54368</v>
      </c>
      <c r="C764" s="8" t="s">
        <v>1490</v>
      </c>
      <c r="D764" s="8"/>
      <c r="E764" s="6"/>
      <c r="F764" s="6"/>
    </row>
    <row r="765" spans="1:6" x14ac:dyDescent="0.3">
      <c r="A765" s="8" t="s">
        <v>1491</v>
      </c>
      <c r="B765" s="8" t="s">
        <v>54369</v>
      </c>
      <c r="C765" s="8" t="s">
        <v>1492</v>
      </c>
      <c r="D765" s="8"/>
      <c r="E765" s="6"/>
      <c r="F765" s="6"/>
    </row>
    <row r="766" spans="1:6" x14ac:dyDescent="0.3">
      <c r="A766" s="8" t="s">
        <v>1493</v>
      </c>
      <c r="B766" s="8" t="s">
        <v>54370</v>
      </c>
      <c r="C766" s="8" t="s">
        <v>1494</v>
      </c>
      <c r="D766" s="8"/>
      <c r="E766" s="6"/>
      <c r="F766" s="6"/>
    </row>
    <row r="767" spans="1:6" x14ac:dyDescent="0.3">
      <c r="A767" s="8" t="s">
        <v>1495</v>
      </c>
      <c r="B767" s="8" t="s">
        <v>54371</v>
      </c>
      <c r="C767" s="8" t="s">
        <v>1496</v>
      </c>
      <c r="D767" s="8"/>
      <c r="E767" s="6"/>
      <c r="F767" s="6"/>
    </row>
    <row r="768" spans="1:6" x14ac:dyDescent="0.3">
      <c r="A768" s="8" t="s">
        <v>1497</v>
      </c>
      <c r="B768" s="8" t="s">
        <v>54372</v>
      </c>
      <c r="C768" s="8" t="s">
        <v>1498</v>
      </c>
      <c r="D768" s="8"/>
      <c r="E768" s="6"/>
      <c r="F768" s="6"/>
    </row>
    <row r="769" spans="1:6" x14ac:dyDescent="0.3">
      <c r="A769" s="8" t="s">
        <v>1499</v>
      </c>
      <c r="B769" s="8" t="s">
        <v>54373</v>
      </c>
      <c r="C769" s="8" t="s">
        <v>1500</v>
      </c>
      <c r="D769" s="8"/>
      <c r="E769" s="6"/>
      <c r="F769" s="6"/>
    </row>
    <row r="770" spans="1:6" x14ac:dyDescent="0.3">
      <c r="A770" s="8" t="s">
        <v>1501</v>
      </c>
      <c r="B770" s="8" t="s">
        <v>54374</v>
      </c>
      <c r="C770" s="8" t="s">
        <v>1502</v>
      </c>
      <c r="D770" s="8"/>
      <c r="E770" s="6"/>
      <c r="F770" s="6"/>
    </row>
    <row r="771" spans="1:6" x14ac:dyDescent="0.3">
      <c r="A771" s="8" t="s">
        <v>1503</v>
      </c>
      <c r="B771" s="8" t="s">
        <v>54375</v>
      </c>
      <c r="C771" s="8" t="s">
        <v>1504</v>
      </c>
      <c r="D771" s="8"/>
      <c r="E771" s="6"/>
      <c r="F771" s="6"/>
    </row>
    <row r="772" spans="1:6" x14ac:dyDescent="0.3">
      <c r="A772" s="8" t="s">
        <v>1505</v>
      </c>
      <c r="B772" s="8" t="s">
        <v>54376</v>
      </c>
      <c r="C772" s="8" t="s">
        <v>1506</v>
      </c>
      <c r="D772" s="8"/>
      <c r="E772" s="6"/>
      <c r="F772" s="6"/>
    </row>
    <row r="773" spans="1:6" x14ac:dyDescent="0.3">
      <c r="A773" s="8" t="s">
        <v>1507</v>
      </c>
      <c r="B773" s="8" t="s">
        <v>54377</v>
      </c>
      <c r="C773" s="8" t="s">
        <v>1508</v>
      </c>
      <c r="D773" s="8"/>
      <c r="E773" s="6"/>
      <c r="F773" s="6"/>
    </row>
    <row r="774" spans="1:6" x14ac:dyDescent="0.3">
      <c r="A774" s="8" t="s">
        <v>1509</v>
      </c>
      <c r="B774" s="8" t="s">
        <v>54378</v>
      </c>
      <c r="C774" s="8" t="s">
        <v>1510</v>
      </c>
      <c r="D774" s="8"/>
      <c r="E774" s="6"/>
      <c r="F774" s="6"/>
    </row>
    <row r="775" spans="1:6" x14ac:dyDescent="0.3">
      <c r="A775" s="8" t="s">
        <v>1511</v>
      </c>
      <c r="B775" s="8" t="s">
        <v>54379</v>
      </c>
      <c r="C775" s="8" t="s">
        <v>1512</v>
      </c>
      <c r="D775" s="8"/>
      <c r="E775" s="6"/>
      <c r="F775" s="6"/>
    </row>
    <row r="776" spans="1:6" x14ac:dyDescent="0.3">
      <c r="A776" s="8" t="s">
        <v>1513</v>
      </c>
      <c r="B776" s="8" t="s">
        <v>54380</v>
      </c>
      <c r="C776" s="8" t="s">
        <v>1514</v>
      </c>
      <c r="D776" s="8"/>
      <c r="E776" s="6"/>
      <c r="F776" s="6"/>
    </row>
    <row r="777" spans="1:6" x14ac:dyDescent="0.3">
      <c r="A777" s="8" t="s">
        <v>1515</v>
      </c>
      <c r="B777" s="8" t="s">
        <v>54381</v>
      </c>
      <c r="C777" s="8" t="s">
        <v>1516</v>
      </c>
      <c r="D777" s="8"/>
      <c r="E777" s="6"/>
      <c r="F777" s="6"/>
    </row>
    <row r="778" spans="1:6" x14ac:dyDescent="0.3">
      <c r="A778" s="8" t="s">
        <v>1517</v>
      </c>
      <c r="B778" s="8" t="s">
        <v>54382</v>
      </c>
      <c r="C778" s="8" t="s">
        <v>1518</v>
      </c>
      <c r="D778" s="8"/>
      <c r="E778" s="6"/>
      <c r="F778" s="6"/>
    </row>
    <row r="779" spans="1:6" x14ac:dyDescent="0.3">
      <c r="A779" s="8" t="s">
        <v>1519</v>
      </c>
      <c r="B779" s="8" t="s">
        <v>54383</v>
      </c>
      <c r="C779" s="8" t="s">
        <v>1520</v>
      </c>
      <c r="D779" s="8"/>
      <c r="E779" s="6"/>
      <c r="F779" s="6"/>
    </row>
    <row r="780" spans="1:6" x14ac:dyDescent="0.3">
      <c r="A780" s="8" t="s">
        <v>1521</v>
      </c>
      <c r="B780" s="8" t="s">
        <v>54384</v>
      </c>
      <c r="C780" s="8" t="s">
        <v>1522</v>
      </c>
      <c r="D780" s="8"/>
      <c r="E780" s="6"/>
      <c r="F780" s="6"/>
    </row>
    <row r="781" spans="1:6" x14ac:dyDescent="0.3">
      <c r="A781" s="8" t="s">
        <v>1523</v>
      </c>
      <c r="B781" s="8" t="s">
        <v>54385</v>
      </c>
      <c r="C781" s="8" t="s">
        <v>1524</v>
      </c>
      <c r="D781" s="8"/>
      <c r="E781" s="6"/>
      <c r="F781" s="6"/>
    </row>
    <row r="782" spans="1:6" x14ac:dyDescent="0.3">
      <c r="A782" s="8" t="s">
        <v>1525</v>
      </c>
      <c r="B782" s="8" t="s">
        <v>54386</v>
      </c>
      <c r="C782" s="8" t="s">
        <v>1526</v>
      </c>
      <c r="D782" s="8"/>
      <c r="E782" s="6"/>
      <c r="F782" s="6"/>
    </row>
    <row r="783" spans="1:6" x14ac:dyDescent="0.3">
      <c r="A783" s="8" t="s">
        <v>1527</v>
      </c>
      <c r="B783" s="8" t="s">
        <v>54387</v>
      </c>
      <c r="C783" s="8" t="s">
        <v>1528</v>
      </c>
      <c r="D783" s="8"/>
      <c r="E783" s="6"/>
      <c r="F783" s="6"/>
    </row>
    <row r="784" spans="1:6" x14ac:dyDescent="0.3">
      <c r="A784" s="8" t="s">
        <v>1529</v>
      </c>
      <c r="B784" s="8" t="s">
        <v>54388</v>
      </c>
      <c r="C784" s="8" t="s">
        <v>1530</v>
      </c>
      <c r="D784" s="8"/>
      <c r="E784" s="6"/>
      <c r="F784" s="6"/>
    </row>
    <row r="785" spans="1:6" x14ac:dyDescent="0.3">
      <c r="A785" s="8" t="s">
        <v>1531</v>
      </c>
      <c r="B785" s="8" t="s">
        <v>54389</v>
      </c>
      <c r="C785" s="8" t="s">
        <v>1532</v>
      </c>
      <c r="D785" s="8"/>
      <c r="E785" s="6"/>
      <c r="F785" s="6"/>
    </row>
    <row r="786" spans="1:6" x14ac:dyDescent="0.3">
      <c r="A786" s="8" t="s">
        <v>1533</v>
      </c>
      <c r="B786" s="8" t="s">
        <v>54390</v>
      </c>
      <c r="C786" s="8" t="s">
        <v>1534</v>
      </c>
      <c r="D786" s="8"/>
      <c r="E786" s="6"/>
      <c r="F786" s="6"/>
    </row>
    <row r="787" spans="1:6" x14ac:dyDescent="0.3">
      <c r="A787" s="8" t="s">
        <v>1535</v>
      </c>
      <c r="B787" s="8" t="s">
        <v>54391</v>
      </c>
      <c r="C787" s="8" t="s">
        <v>1536</v>
      </c>
      <c r="D787" s="8"/>
      <c r="E787" s="6"/>
      <c r="F787" s="6"/>
    </row>
    <row r="788" spans="1:6" x14ac:dyDescent="0.3">
      <c r="A788" s="8" t="s">
        <v>1537</v>
      </c>
      <c r="B788" s="8" t="s">
        <v>54392</v>
      </c>
      <c r="C788" s="8" t="s">
        <v>1538</v>
      </c>
      <c r="D788" s="8"/>
      <c r="E788" s="6"/>
      <c r="F788" s="6"/>
    </row>
    <row r="789" spans="1:6" x14ac:dyDescent="0.3">
      <c r="A789" s="8" t="s">
        <v>1539</v>
      </c>
      <c r="B789" s="8" t="s">
        <v>54393</v>
      </c>
      <c r="C789" s="8" t="s">
        <v>1540</v>
      </c>
      <c r="D789" s="8"/>
      <c r="E789" s="6"/>
      <c r="F789" s="6"/>
    </row>
    <row r="790" spans="1:6" x14ac:dyDescent="0.3">
      <c r="A790" s="8" t="s">
        <v>1541</v>
      </c>
      <c r="B790" s="8" t="s">
        <v>54394</v>
      </c>
      <c r="C790" s="8" t="s">
        <v>1542</v>
      </c>
      <c r="D790" s="8"/>
      <c r="E790" s="6"/>
      <c r="F790" s="6"/>
    </row>
    <row r="791" spans="1:6" x14ac:dyDescent="0.3">
      <c r="A791" s="8" t="s">
        <v>1543</v>
      </c>
      <c r="B791" s="8" t="s">
        <v>54395</v>
      </c>
      <c r="C791" s="8" t="s">
        <v>1544</v>
      </c>
      <c r="D791" s="8"/>
      <c r="E791" s="6"/>
      <c r="F791" s="6"/>
    </row>
    <row r="792" spans="1:6" x14ac:dyDescent="0.3">
      <c r="A792" s="8" t="s">
        <v>1545</v>
      </c>
      <c r="B792" s="8" t="s">
        <v>54396</v>
      </c>
      <c r="C792" s="8" t="s">
        <v>1546</v>
      </c>
      <c r="D792" s="8"/>
      <c r="E792" s="6"/>
      <c r="F792" s="6"/>
    </row>
    <row r="793" spans="1:6" x14ac:dyDescent="0.3">
      <c r="A793" s="8" t="s">
        <v>1547</v>
      </c>
      <c r="B793" s="8" t="s">
        <v>54397</v>
      </c>
      <c r="C793" s="8" t="s">
        <v>1548</v>
      </c>
      <c r="D793" s="8"/>
      <c r="E793" s="6"/>
      <c r="F793" s="6"/>
    </row>
    <row r="794" spans="1:6" x14ac:dyDescent="0.3">
      <c r="A794" s="8" t="s">
        <v>1549</v>
      </c>
      <c r="B794" s="8" t="s">
        <v>54398</v>
      </c>
      <c r="C794" s="8" t="s">
        <v>1550</v>
      </c>
      <c r="D794" s="8"/>
      <c r="E794" s="6"/>
      <c r="F794" s="6"/>
    </row>
    <row r="795" spans="1:6" x14ac:dyDescent="0.3">
      <c r="A795" s="8" t="s">
        <v>1551</v>
      </c>
      <c r="B795" s="8" t="s">
        <v>54399</v>
      </c>
      <c r="C795" s="8" t="s">
        <v>1552</v>
      </c>
      <c r="D795" s="8"/>
      <c r="E795" s="6"/>
      <c r="F795" s="6"/>
    </row>
    <row r="796" spans="1:6" x14ac:dyDescent="0.3">
      <c r="A796" s="8" t="s">
        <v>1553</v>
      </c>
      <c r="B796" s="8" t="s">
        <v>54400</v>
      </c>
      <c r="C796" s="8" t="s">
        <v>1554</v>
      </c>
      <c r="D796" s="8"/>
      <c r="E796" s="6"/>
      <c r="F796" s="6"/>
    </row>
    <row r="797" spans="1:6" x14ac:dyDescent="0.3">
      <c r="A797" s="8" t="s">
        <v>1555</v>
      </c>
      <c r="B797" s="8" t="s">
        <v>54401</v>
      </c>
      <c r="C797" s="8" t="s">
        <v>1556</v>
      </c>
      <c r="D797" s="8"/>
      <c r="E797" s="6"/>
      <c r="F797" s="6"/>
    </row>
    <row r="798" spans="1:6" x14ac:dyDescent="0.3">
      <c r="A798" s="8" t="s">
        <v>1557</v>
      </c>
      <c r="B798" s="8" t="s">
        <v>54402</v>
      </c>
      <c r="C798" s="8" t="s">
        <v>1558</v>
      </c>
      <c r="D798" s="8"/>
      <c r="E798" s="6"/>
      <c r="F798" s="6"/>
    </row>
    <row r="799" spans="1:6" x14ac:dyDescent="0.3">
      <c r="A799" s="8" t="s">
        <v>1559</v>
      </c>
      <c r="B799" s="8" t="s">
        <v>54403</v>
      </c>
      <c r="C799" s="8" t="s">
        <v>1560</v>
      </c>
      <c r="D799" s="8"/>
      <c r="E799" s="6"/>
      <c r="F799" s="6"/>
    </row>
    <row r="800" spans="1:6" x14ac:dyDescent="0.3">
      <c r="A800" s="8" t="s">
        <v>1561</v>
      </c>
      <c r="B800" s="8" t="s">
        <v>54404</v>
      </c>
      <c r="C800" s="8" t="s">
        <v>1562</v>
      </c>
      <c r="D800" s="8"/>
      <c r="E800" s="6"/>
      <c r="F800" s="6"/>
    </row>
    <row r="801" spans="1:6" x14ac:dyDescent="0.3">
      <c r="A801" s="8" t="s">
        <v>1563</v>
      </c>
      <c r="B801" s="8" t="s">
        <v>54405</v>
      </c>
      <c r="C801" s="8" t="s">
        <v>1564</v>
      </c>
      <c r="D801" s="8"/>
      <c r="E801" s="6"/>
      <c r="F801" s="6"/>
    </row>
    <row r="802" spans="1:6" x14ac:dyDescent="0.3">
      <c r="A802" s="8" t="s">
        <v>1565</v>
      </c>
      <c r="B802" s="8" t="s">
        <v>54406</v>
      </c>
      <c r="C802" s="8" t="s">
        <v>1566</v>
      </c>
      <c r="D802" s="8"/>
      <c r="E802" s="6"/>
      <c r="F802" s="6"/>
    </row>
    <row r="803" spans="1:6" x14ac:dyDescent="0.3">
      <c r="A803" s="8" t="s">
        <v>1567</v>
      </c>
      <c r="B803" s="8" t="s">
        <v>54407</v>
      </c>
      <c r="C803" s="8" t="s">
        <v>1568</v>
      </c>
      <c r="D803" s="8"/>
      <c r="E803" s="6"/>
      <c r="F803" s="6"/>
    </row>
    <row r="804" spans="1:6" x14ac:dyDescent="0.3">
      <c r="A804" s="8" t="s">
        <v>1569</v>
      </c>
      <c r="B804" s="8" t="s">
        <v>54408</v>
      </c>
      <c r="C804" s="8" t="s">
        <v>1570</v>
      </c>
      <c r="D804" s="8"/>
      <c r="E804" s="6"/>
      <c r="F804" s="6"/>
    </row>
    <row r="805" spans="1:6" x14ac:dyDescent="0.3">
      <c r="A805" s="8" t="s">
        <v>1571</v>
      </c>
      <c r="B805" s="8" t="s">
        <v>54409</v>
      </c>
      <c r="C805" s="8" t="s">
        <v>1572</v>
      </c>
      <c r="D805" s="8"/>
      <c r="E805" s="6"/>
      <c r="F805" s="6"/>
    </row>
    <row r="806" spans="1:6" x14ac:dyDescent="0.3">
      <c r="A806" s="8" t="s">
        <v>1573</v>
      </c>
      <c r="B806" s="8" t="s">
        <v>54410</v>
      </c>
      <c r="C806" s="8" t="s">
        <v>1574</v>
      </c>
      <c r="D806" s="8"/>
      <c r="E806" s="6"/>
      <c r="F806" s="6"/>
    </row>
    <row r="807" spans="1:6" x14ac:dyDescent="0.3">
      <c r="A807" s="8" t="s">
        <v>1575</v>
      </c>
      <c r="B807" s="8" t="s">
        <v>54411</v>
      </c>
      <c r="C807" s="8" t="s">
        <v>1576</v>
      </c>
      <c r="D807" s="8"/>
      <c r="E807" s="6"/>
      <c r="F807" s="6"/>
    </row>
    <row r="808" spans="1:6" x14ac:dyDescent="0.3">
      <c r="A808" s="8" t="s">
        <v>1577</v>
      </c>
      <c r="B808" s="8" t="s">
        <v>54412</v>
      </c>
      <c r="C808" s="8" t="s">
        <v>1578</v>
      </c>
      <c r="D808" s="8"/>
      <c r="E808" s="6"/>
      <c r="F808" s="6"/>
    </row>
    <row r="809" spans="1:6" x14ac:dyDescent="0.3">
      <c r="A809" s="8" t="s">
        <v>1579</v>
      </c>
      <c r="B809" s="8" t="s">
        <v>54413</v>
      </c>
      <c r="C809" s="8" t="s">
        <v>1580</v>
      </c>
      <c r="D809" s="8"/>
      <c r="E809" s="6"/>
      <c r="F809" s="6"/>
    </row>
    <row r="810" spans="1:6" x14ac:dyDescent="0.3">
      <c r="A810" s="8" t="s">
        <v>1581</v>
      </c>
      <c r="B810" s="8" t="s">
        <v>54414</v>
      </c>
      <c r="C810" s="8" t="s">
        <v>1582</v>
      </c>
      <c r="D810" s="8"/>
      <c r="E810" s="6"/>
      <c r="F810" s="6"/>
    </row>
    <row r="811" spans="1:6" x14ac:dyDescent="0.3">
      <c r="A811" s="8" t="s">
        <v>1583</v>
      </c>
      <c r="B811" s="8" t="s">
        <v>54415</v>
      </c>
      <c r="C811" s="8" t="s">
        <v>1584</v>
      </c>
      <c r="D811" s="8"/>
      <c r="E811" s="6"/>
      <c r="F811" s="6"/>
    </row>
    <row r="812" spans="1:6" x14ac:dyDescent="0.3">
      <c r="A812" s="8" t="s">
        <v>1585</v>
      </c>
      <c r="B812" s="8" t="s">
        <v>54416</v>
      </c>
      <c r="C812" s="8" t="s">
        <v>1586</v>
      </c>
      <c r="D812" s="8"/>
      <c r="E812" s="6"/>
      <c r="F812" s="6"/>
    </row>
    <row r="813" spans="1:6" x14ac:dyDescent="0.3">
      <c r="A813" s="8" t="s">
        <v>1587</v>
      </c>
      <c r="B813" s="8" t="s">
        <v>54417</v>
      </c>
      <c r="C813" s="8" t="s">
        <v>1588</v>
      </c>
      <c r="D813" s="8"/>
      <c r="E813" s="6"/>
      <c r="F813" s="6"/>
    </row>
    <row r="814" spans="1:6" x14ac:dyDescent="0.3">
      <c r="A814" s="8" t="s">
        <v>1589</v>
      </c>
      <c r="B814" s="8" t="s">
        <v>54418</v>
      </c>
      <c r="C814" s="8" t="s">
        <v>1590</v>
      </c>
      <c r="D814" s="8"/>
      <c r="E814" s="6"/>
      <c r="F814" s="6"/>
    </row>
    <row r="815" spans="1:6" x14ac:dyDescent="0.3">
      <c r="A815" s="8" t="s">
        <v>1591</v>
      </c>
      <c r="B815" s="8" t="s">
        <v>54419</v>
      </c>
      <c r="C815" s="8" t="s">
        <v>1592</v>
      </c>
      <c r="D815" s="8"/>
      <c r="E815" s="6"/>
      <c r="F815" s="6"/>
    </row>
    <row r="816" spans="1:6" x14ac:dyDescent="0.3">
      <c r="A816" s="8" t="s">
        <v>1593</v>
      </c>
      <c r="B816" s="8" t="s">
        <v>54420</v>
      </c>
      <c r="C816" s="8" t="s">
        <v>1594</v>
      </c>
      <c r="D816" s="8"/>
      <c r="E816" s="6"/>
      <c r="F816" s="6"/>
    </row>
    <row r="817" spans="1:6" x14ac:dyDescent="0.3">
      <c r="A817" s="8" t="s">
        <v>1595</v>
      </c>
      <c r="B817" s="8" t="s">
        <v>54421</v>
      </c>
      <c r="C817" s="8" t="s">
        <v>1596</v>
      </c>
      <c r="D817" s="8"/>
      <c r="E817" s="6"/>
      <c r="F817" s="6"/>
    </row>
    <row r="818" spans="1:6" x14ac:dyDescent="0.3">
      <c r="A818" s="8" t="s">
        <v>1597</v>
      </c>
      <c r="B818" s="8" t="s">
        <v>54422</v>
      </c>
      <c r="C818" s="8" t="s">
        <v>1598</v>
      </c>
      <c r="D818" s="8"/>
      <c r="E818" s="6"/>
      <c r="F818" s="6"/>
    </row>
    <row r="819" spans="1:6" x14ac:dyDescent="0.3">
      <c r="A819" s="8" t="s">
        <v>1599</v>
      </c>
      <c r="B819" s="8" t="s">
        <v>54423</v>
      </c>
      <c r="C819" s="8" t="s">
        <v>1600</v>
      </c>
      <c r="D819" s="8"/>
      <c r="E819" s="6"/>
      <c r="F819" s="6"/>
    </row>
    <row r="820" spans="1:6" x14ac:dyDescent="0.3">
      <c r="A820" s="8" t="s">
        <v>1601</v>
      </c>
      <c r="B820" s="8" t="s">
        <v>54424</v>
      </c>
      <c r="C820" s="8" t="s">
        <v>1602</v>
      </c>
      <c r="D820" s="8"/>
      <c r="E820" s="6"/>
      <c r="F820" s="6"/>
    </row>
    <row r="821" spans="1:6" x14ac:dyDescent="0.3">
      <c r="A821" s="8" t="s">
        <v>1603</v>
      </c>
      <c r="B821" s="8" t="s">
        <v>54425</v>
      </c>
      <c r="C821" s="8" t="s">
        <v>1604</v>
      </c>
      <c r="D821" s="8"/>
      <c r="E821" s="6"/>
      <c r="F821" s="6"/>
    </row>
    <row r="822" spans="1:6" x14ac:dyDescent="0.3">
      <c r="A822" s="8" t="s">
        <v>1605</v>
      </c>
      <c r="B822" s="8" t="s">
        <v>54426</v>
      </c>
      <c r="C822" s="8" t="s">
        <v>1606</v>
      </c>
      <c r="D822" s="8"/>
      <c r="E822" s="6"/>
      <c r="F822" s="6"/>
    </row>
    <row r="823" spans="1:6" x14ac:dyDescent="0.3">
      <c r="A823" s="8" t="s">
        <v>1607</v>
      </c>
      <c r="B823" s="8" t="s">
        <v>54427</v>
      </c>
      <c r="C823" s="8" t="s">
        <v>1608</v>
      </c>
      <c r="D823" s="8"/>
      <c r="E823" s="6"/>
      <c r="F823" s="6"/>
    </row>
    <row r="824" spans="1:6" x14ac:dyDescent="0.3">
      <c r="A824" s="8" t="s">
        <v>1609</v>
      </c>
      <c r="B824" s="8" t="s">
        <v>54428</v>
      </c>
      <c r="C824" s="8" t="s">
        <v>1610</v>
      </c>
      <c r="D824" s="8"/>
      <c r="E824" s="6"/>
      <c r="F824" s="6"/>
    </row>
    <row r="825" spans="1:6" x14ac:dyDescent="0.3">
      <c r="A825" s="8" t="s">
        <v>1611</v>
      </c>
      <c r="B825" s="8" t="s">
        <v>54429</v>
      </c>
      <c r="C825" s="8" t="s">
        <v>1612</v>
      </c>
      <c r="D825" s="8"/>
      <c r="E825" s="6"/>
      <c r="F825" s="6"/>
    </row>
    <row r="826" spans="1:6" x14ac:dyDescent="0.3">
      <c r="A826" s="8" t="s">
        <v>1613</v>
      </c>
      <c r="B826" s="8" t="s">
        <v>54430</v>
      </c>
      <c r="C826" s="8" t="s">
        <v>1614</v>
      </c>
      <c r="D826" s="8"/>
      <c r="E826" s="6"/>
      <c r="F826" s="6"/>
    </row>
    <row r="827" spans="1:6" x14ac:dyDescent="0.3">
      <c r="A827" s="8" t="s">
        <v>1615</v>
      </c>
      <c r="B827" s="8" t="s">
        <v>54431</v>
      </c>
      <c r="C827" s="8" t="s">
        <v>1616</v>
      </c>
      <c r="D827" s="8"/>
      <c r="E827" s="6"/>
      <c r="F827" s="6"/>
    </row>
    <row r="828" spans="1:6" x14ac:dyDescent="0.3">
      <c r="A828" s="8" t="s">
        <v>1617</v>
      </c>
      <c r="B828" s="8" t="s">
        <v>54432</v>
      </c>
      <c r="C828" s="8" t="s">
        <v>1618</v>
      </c>
      <c r="D828" s="8"/>
      <c r="E828" s="6"/>
      <c r="F828" s="6"/>
    </row>
    <row r="829" spans="1:6" x14ac:dyDescent="0.3">
      <c r="A829" s="8" t="s">
        <v>1619</v>
      </c>
      <c r="B829" s="8" t="s">
        <v>54433</v>
      </c>
      <c r="C829" s="8" t="s">
        <v>1620</v>
      </c>
      <c r="D829" s="8"/>
      <c r="E829" s="6"/>
      <c r="F829" s="6"/>
    </row>
    <row r="830" spans="1:6" x14ac:dyDescent="0.3">
      <c r="A830" s="8" t="s">
        <v>1621</v>
      </c>
      <c r="B830" s="8" t="s">
        <v>54434</v>
      </c>
      <c r="C830" s="8" t="s">
        <v>1622</v>
      </c>
      <c r="D830" s="8"/>
      <c r="E830" s="6"/>
      <c r="F830" s="6"/>
    </row>
    <row r="831" spans="1:6" x14ac:dyDescent="0.3">
      <c r="A831" s="8" t="s">
        <v>1623</v>
      </c>
      <c r="B831" s="8" t="s">
        <v>54435</v>
      </c>
      <c r="C831" s="8" t="s">
        <v>1624</v>
      </c>
      <c r="D831" s="8"/>
      <c r="E831" s="6"/>
      <c r="F831" s="6"/>
    </row>
    <row r="832" spans="1:6" x14ac:dyDescent="0.3">
      <c r="A832" s="8" t="s">
        <v>1625</v>
      </c>
      <c r="B832" s="8" t="s">
        <v>54436</v>
      </c>
      <c r="C832" s="8" t="s">
        <v>1626</v>
      </c>
      <c r="D832" s="8"/>
      <c r="E832" s="6"/>
      <c r="F832" s="6"/>
    </row>
    <row r="833" spans="1:6" x14ac:dyDescent="0.3">
      <c r="A833" s="8" t="s">
        <v>1627</v>
      </c>
      <c r="B833" s="8" t="s">
        <v>54437</v>
      </c>
      <c r="C833" s="8" t="s">
        <v>1628</v>
      </c>
      <c r="D833" s="8"/>
      <c r="E833" s="6"/>
      <c r="F833" s="6"/>
    </row>
    <row r="834" spans="1:6" x14ac:dyDescent="0.3">
      <c r="A834" s="8" t="s">
        <v>1629</v>
      </c>
      <c r="B834" s="8" t="s">
        <v>54438</v>
      </c>
      <c r="C834" s="8" t="s">
        <v>1630</v>
      </c>
      <c r="D834" s="8"/>
      <c r="E834" s="6"/>
      <c r="F834" s="6"/>
    </row>
    <row r="835" spans="1:6" x14ac:dyDescent="0.3">
      <c r="A835" s="8" t="s">
        <v>1631</v>
      </c>
      <c r="B835" s="8" t="s">
        <v>54439</v>
      </c>
      <c r="C835" s="8" t="s">
        <v>1632</v>
      </c>
      <c r="D835" s="8"/>
      <c r="E835" s="6"/>
      <c r="F835" s="6"/>
    </row>
    <row r="836" spans="1:6" x14ac:dyDescent="0.3">
      <c r="A836" s="8" t="s">
        <v>1633</v>
      </c>
      <c r="B836" s="8" t="s">
        <v>54440</v>
      </c>
      <c r="C836" s="8" t="s">
        <v>1634</v>
      </c>
      <c r="D836" s="8"/>
      <c r="E836" s="6"/>
      <c r="F836" s="6"/>
    </row>
    <row r="837" spans="1:6" x14ac:dyDescent="0.3">
      <c r="A837" s="8" t="s">
        <v>1635</v>
      </c>
      <c r="B837" s="8" t="s">
        <v>54441</v>
      </c>
      <c r="C837" s="8" t="s">
        <v>1636</v>
      </c>
      <c r="D837" s="8"/>
      <c r="E837" s="6"/>
      <c r="F837" s="6"/>
    </row>
    <row r="838" spans="1:6" x14ac:dyDescent="0.3">
      <c r="A838" s="8" t="s">
        <v>1637</v>
      </c>
      <c r="B838" s="8" t="s">
        <v>54442</v>
      </c>
      <c r="C838" s="8" t="s">
        <v>1638</v>
      </c>
      <c r="D838" s="8"/>
      <c r="E838" s="6"/>
      <c r="F838" s="6"/>
    </row>
    <row r="839" spans="1:6" x14ac:dyDescent="0.3">
      <c r="A839" s="8" t="s">
        <v>1639</v>
      </c>
      <c r="B839" s="8" t="s">
        <v>54443</v>
      </c>
      <c r="C839" s="8" t="s">
        <v>1640</v>
      </c>
      <c r="D839" s="8"/>
      <c r="E839" s="6"/>
      <c r="F839" s="6"/>
    </row>
    <row r="840" spans="1:6" x14ac:dyDescent="0.3">
      <c r="A840" s="8" t="s">
        <v>1641</v>
      </c>
      <c r="B840" s="8" t="s">
        <v>54444</v>
      </c>
      <c r="C840" s="8" t="s">
        <v>1642</v>
      </c>
      <c r="D840" s="8"/>
      <c r="E840" s="6"/>
      <c r="F840" s="6"/>
    </row>
    <row r="841" spans="1:6" x14ac:dyDescent="0.3">
      <c r="A841" s="8" t="s">
        <v>1643</v>
      </c>
      <c r="B841" s="8" t="s">
        <v>54445</v>
      </c>
      <c r="C841" s="8" t="s">
        <v>1644</v>
      </c>
      <c r="D841" s="8"/>
      <c r="E841" s="6"/>
      <c r="F841" s="6"/>
    </row>
    <row r="842" spans="1:6" x14ac:dyDescent="0.3">
      <c r="A842" s="8" t="s">
        <v>1645</v>
      </c>
      <c r="B842" s="8" t="s">
        <v>54446</v>
      </c>
      <c r="C842" s="8" t="s">
        <v>1646</v>
      </c>
      <c r="D842" s="8"/>
      <c r="E842" s="6"/>
      <c r="F842" s="6"/>
    </row>
    <row r="843" spans="1:6" x14ac:dyDescent="0.3">
      <c r="A843" s="8" t="s">
        <v>1647</v>
      </c>
      <c r="B843" s="8" t="s">
        <v>54447</v>
      </c>
      <c r="C843" s="8" t="s">
        <v>1648</v>
      </c>
      <c r="D843" s="8"/>
      <c r="E843" s="6"/>
      <c r="F843" s="6"/>
    </row>
    <row r="844" spans="1:6" x14ac:dyDescent="0.3">
      <c r="A844" s="8" t="s">
        <v>1649</v>
      </c>
      <c r="B844" s="8" t="s">
        <v>54448</v>
      </c>
      <c r="C844" s="8" t="s">
        <v>1650</v>
      </c>
      <c r="D844" s="8"/>
      <c r="E844" s="6"/>
      <c r="F844" s="6"/>
    </row>
    <row r="845" spans="1:6" x14ac:dyDescent="0.3">
      <c r="A845" s="8" t="s">
        <v>1651</v>
      </c>
      <c r="B845" s="8" t="s">
        <v>54449</v>
      </c>
      <c r="C845" s="8" t="s">
        <v>1652</v>
      </c>
      <c r="D845" s="8"/>
      <c r="E845" s="6"/>
      <c r="F845" s="6"/>
    </row>
    <row r="846" spans="1:6" x14ac:dyDescent="0.3">
      <c r="A846" s="8" t="s">
        <v>1653</v>
      </c>
      <c r="B846" s="8" t="s">
        <v>54450</v>
      </c>
      <c r="C846" s="8" t="s">
        <v>1654</v>
      </c>
      <c r="D846" s="8"/>
      <c r="E846" s="6"/>
      <c r="F846" s="6"/>
    </row>
    <row r="847" spans="1:6" x14ac:dyDescent="0.3">
      <c r="A847" s="8" t="s">
        <v>1655</v>
      </c>
      <c r="B847" s="8" t="s">
        <v>54451</v>
      </c>
      <c r="C847" s="8" t="s">
        <v>1656</v>
      </c>
      <c r="D847" s="8"/>
      <c r="E847" s="6"/>
      <c r="F847" s="6"/>
    </row>
    <row r="848" spans="1:6" x14ac:dyDescent="0.3">
      <c r="A848" s="8" t="s">
        <v>1657</v>
      </c>
      <c r="B848" s="8" t="s">
        <v>54452</v>
      </c>
      <c r="C848" s="8" t="s">
        <v>1658</v>
      </c>
      <c r="D848" s="8"/>
      <c r="E848" s="6"/>
      <c r="F848" s="6"/>
    </row>
    <row r="849" spans="1:6" x14ac:dyDescent="0.3">
      <c r="A849" s="8" t="s">
        <v>1659</v>
      </c>
      <c r="B849" s="8" t="s">
        <v>54453</v>
      </c>
      <c r="C849" s="8" t="s">
        <v>1660</v>
      </c>
      <c r="D849" s="8"/>
      <c r="E849" s="6"/>
      <c r="F849" s="6"/>
    </row>
    <row r="850" spans="1:6" x14ac:dyDescent="0.3">
      <c r="A850" s="8" t="s">
        <v>1661</v>
      </c>
      <c r="B850" s="8" t="s">
        <v>54454</v>
      </c>
      <c r="C850" s="8" t="s">
        <v>1662</v>
      </c>
      <c r="D850" s="8"/>
      <c r="E850" s="6"/>
      <c r="F850" s="6"/>
    </row>
    <row r="851" spans="1:6" x14ac:dyDescent="0.3">
      <c r="A851" s="8" t="s">
        <v>1663</v>
      </c>
      <c r="B851" s="8" t="s">
        <v>54455</v>
      </c>
      <c r="C851" s="8" t="s">
        <v>1664</v>
      </c>
      <c r="D851" s="8"/>
      <c r="E851" s="6"/>
      <c r="F851" s="6"/>
    </row>
    <row r="852" spans="1:6" x14ac:dyDescent="0.3">
      <c r="A852" s="8" t="s">
        <v>1665</v>
      </c>
      <c r="B852" s="8" t="s">
        <v>54456</v>
      </c>
      <c r="C852" s="8" t="s">
        <v>1666</v>
      </c>
      <c r="D852" s="8"/>
      <c r="E852" s="6"/>
      <c r="F852" s="6"/>
    </row>
    <row r="853" spans="1:6" x14ac:dyDescent="0.3">
      <c r="A853" s="8" t="s">
        <v>1667</v>
      </c>
      <c r="B853" s="8" t="s">
        <v>54457</v>
      </c>
      <c r="C853" s="8" t="s">
        <v>1668</v>
      </c>
      <c r="D853" s="8"/>
      <c r="E853" s="6"/>
      <c r="F853" s="6"/>
    </row>
    <row r="854" spans="1:6" x14ac:dyDescent="0.3">
      <c r="A854" s="8" t="s">
        <v>1669</v>
      </c>
      <c r="B854" s="8" t="s">
        <v>54458</v>
      </c>
      <c r="C854" s="8" t="s">
        <v>1670</v>
      </c>
      <c r="D854" s="8"/>
      <c r="E854" s="6"/>
      <c r="F854" s="6"/>
    </row>
    <row r="855" spans="1:6" x14ac:dyDescent="0.3">
      <c r="A855" s="8" t="s">
        <v>1671</v>
      </c>
      <c r="B855" s="8" t="s">
        <v>54459</v>
      </c>
      <c r="C855" s="8" t="s">
        <v>1672</v>
      </c>
      <c r="D855" s="8"/>
      <c r="E855" s="6"/>
      <c r="F855" s="6"/>
    </row>
    <row r="856" spans="1:6" x14ac:dyDescent="0.3">
      <c r="A856" s="8" t="s">
        <v>1673</v>
      </c>
      <c r="B856" s="8" t="s">
        <v>54460</v>
      </c>
      <c r="C856" s="8" t="s">
        <v>1674</v>
      </c>
      <c r="D856" s="8"/>
      <c r="E856" s="6"/>
      <c r="F856" s="6"/>
    </row>
    <row r="857" spans="1:6" x14ac:dyDescent="0.3">
      <c r="A857" s="8" t="s">
        <v>1675</v>
      </c>
      <c r="B857" s="8" t="s">
        <v>54461</v>
      </c>
      <c r="C857" s="8" t="s">
        <v>1676</v>
      </c>
      <c r="D857" s="8"/>
      <c r="E857" s="6"/>
      <c r="F857" s="6"/>
    </row>
    <row r="858" spans="1:6" x14ac:dyDescent="0.3">
      <c r="A858" s="8" t="s">
        <v>1677</v>
      </c>
      <c r="B858" s="8" t="s">
        <v>54462</v>
      </c>
      <c r="C858" s="8" t="s">
        <v>1678</v>
      </c>
      <c r="D858" s="8"/>
      <c r="E858" s="6"/>
      <c r="F858" s="6"/>
    </row>
    <row r="859" spans="1:6" x14ac:dyDescent="0.3">
      <c r="A859" s="8" t="s">
        <v>1679</v>
      </c>
      <c r="B859" s="8" t="s">
        <v>54463</v>
      </c>
      <c r="C859" s="8" t="s">
        <v>1680</v>
      </c>
      <c r="D859" s="8"/>
      <c r="E859" s="6"/>
      <c r="F859" s="6"/>
    </row>
    <row r="860" spans="1:6" x14ac:dyDescent="0.3">
      <c r="A860" s="8" t="s">
        <v>1681</v>
      </c>
      <c r="B860" s="8" t="s">
        <v>54464</v>
      </c>
      <c r="C860" s="8" t="s">
        <v>1682</v>
      </c>
      <c r="D860" s="8"/>
      <c r="E860" s="6"/>
      <c r="F860" s="6"/>
    </row>
    <row r="861" spans="1:6" x14ac:dyDescent="0.3">
      <c r="A861" s="8" t="s">
        <v>1683</v>
      </c>
      <c r="B861" s="8" t="s">
        <v>54465</v>
      </c>
      <c r="C861" s="8" t="s">
        <v>1684</v>
      </c>
      <c r="D861" s="8"/>
      <c r="E861" s="6"/>
      <c r="F861" s="6"/>
    </row>
    <row r="862" spans="1:6" x14ac:dyDescent="0.3">
      <c r="A862" s="8" t="s">
        <v>1685</v>
      </c>
      <c r="B862" s="8" t="s">
        <v>54466</v>
      </c>
      <c r="C862" s="8" t="s">
        <v>1686</v>
      </c>
      <c r="D862" s="8"/>
      <c r="E862" s="6"/>
      <c r="F862" s="6"/>
    </row>
    <row r="863" spans="1:6" x14ac:dyDescent="0.3">
      <c r="A863" s="8" t="s">
        <v>1687</v>
      </c>
      <c r="B863" s="8" t="s">
        <v>54467</v>
      </c>
      <c r="C863" s="8" t="s">
        <v>1688</v>
      </c>
      <c r="D863" s="8"/>
      <c r="E863" s="6"/>
      <c r="F863" s="6"/>
    </row>
    <row r="864" spans="1:6" x14ac:dyDescent="0.3">
      <c r="A864" s="8" t="s">
        <v>1689</v>
      </c>
      <c r="B864" s="8" t="s">
        <v>54468</v>
      </c>
      <c r="C864" s="8" t="s">
        <v>1690</v>
      </c>
      <c r="D864" s="8"/>
      <c r="E864" s="6"/>
      <c r="F864" s="6"/>
    </row>
    <row r="865" spans="1:6" x14ac:dyDescent="0.3">
      <c r="A865" s="8" t="s">
        <v>1691</v>
      </c>
      <c r="B865" s="8" t="s">
        <v>54469</v>
      </c>
      <c r="C865" s="8" t="s">
        <v>1692</v>
      </c>
      <c r="D865" s="8"/>
      <c r="E865" s="6"/>
      <c r="F865" s="6"/>
    </row>
    <row r="866" spans="1:6" x14ac:dyDescent="0.3">
      <c r="A866" s="8" t="s">
        <v>1693</v>
      </c>
      <c r="B866" s="8" t="s">
        <v>54470</v>
      </c>
      <c r="C866" s="8" t="s">
        <v>1694</v>
      </c>
      <c r="D866" s="8"/>
      <c r="E866" s="6"/>
      <c r="F866" s="6"/>
    </row>
    <row r="867" spans="1:6" x14ac:dyDescent="0.3">
      <c r="A867" s="8" t="s">
        <v>1695</v>
      </c>
      <c r="B867" s="8" t="s">
        <v>54471</v>
      </c>
      <c r="C867" s="8" t="s">
        <v>1696</v>
      </c>
      <c r="D867" s="8"/>
      <c r="E867" s="6"/>
      <c r="F867" s="6"/>
    </row>
    <row r="868" spans="1:6" x14ac:dyDescent="0.3">
      <c r="A868" s="8" t="s">
        <v>1697</v>
      </c>
      <c r="B868" s="8" t="s">
        <v>54472</v>
      </c>
      <c r="C868" s="8" t="s">
        <v>1698</v>
      </c>
      <c r="D868" s="8"/>
      <c r="E868" s="6"/>
      <c r="F868" s="6"/>
    </row>
    <row r="869" spans="1:6" x14ac:dyDescent="0.3">
      <c r="A869" s="8" t="s">
        <v>1699</v>
      </c>
      <c r="B869" s="8" t="s">
        <v>54473</v>
      </c>
      <c r="C869" s="8" t="s">
        <v>1700</v>
      </c>
      <c r="D869" s="8"/>
      <c r="E869" s="6"/>
      <c r="F869" s="6"/>
    </row>
    <row r="870" spans="1:6" x14ac:dyDescent="0.3">
      <c r="A870" s="8" t="s">
        <v>1701</v>
      </c>
      <c r="B870" s="8" t="s">
        <v>54474</v>
      </c>
      <c r="C870" s="8" t="s">
        <v>1702</v>
      </c>
      <c r="D870" s="8"/>
      <c r="E870" s="6"/>
      <c r="F870" s="6"/>
    </row>
    <row r="871" spans="1:6" x14ac:dyDescent="0.3">
      <c r="A871" s="8" t="s">
        <v>1703</v>
      </c>
      <c r="B871" s="8" t="s">
        <v>54475</v>
      </c>
      <c r="C871" s="8" t="s">
        <v>1704</v>
      </c>
      <c r="D871" s="8"/>
      <c r="E871" s="6"/>
      <c r="F871" s="6"/>
    </row>
    <row r="872" spans="1:6" x14ac:dyDescent="0.3">
      <c r="A872" s="8" t="s">
        <v>1705</v>
      </c>
      <c r="B872" s="8" t="s">
        <v>54476</v>
      </c>
      <c r="C872" s="8" t="s">
        <v>1706</v>
      </c>
      <c r="D872" s="8"/>
      <c r="E872" s="6"/>
      <c r="F872" s="6"/>
    </row>
    <row r="873" spans="1:6" x14ac:dyDescent="0.3">
      <c r="A873" s="8" t="s">
        <v>1707</v>
      </c>
      <c r="B873" s="8" t="s">
        <v>54477</v>
      </c>
      <c r="C873" s="8" t="s">
        <v>1708</v>
      </c>
      <c r="D873" s="8"/>
      <c r="E873" s="6"/>
      <c r="F873" s="6"/>
    </row>
    <row r="874" spans="1:6" x14ac:dyDescent="0.3">
      <c r="A874" s="8" t="s">
        <v>1709</v>
      </c>
      <c r="B874" s="8" t="s">
        <v>54478</v>
      </c>
      <c r="C874" s="8" t="s">
        <v>1710</v>
      </c>
      <c r="D874" s="8"/>
      <c r="E874" s="6"/>
      <c r="F874" s="6"/>
    </row>
    <row r="875" spans="1:6" x14ac:dyDescent="0.3">
      <c r="A875" s="8" t="s">
        <v>1711</v>
      </c>
      <c r="B875" s="8" t="s">
        <v>54479</v>
      </c>
      <c r="C875" s="8" t="s">
        <v>1712</v>
      </c>
      <c r="D875" s="8"/>
      <c r="E875" s="6"/>
      <c r="F875" s="6"/>
    </row>
    <row r="876" spans="1:6" x14ac:dyDescent="0.3">
      <c r="A876" s="8" t="s">
        <v>1713</v>
      </c>
      <c r="B876" s="8" t="s">
        <v>54480</v>
      </c>
      <c r="C876" s="8" t="s">
        <v>1714</v>
      </c>
      <c r="D876" s="8"/>
      <c r="E876" s="6"/>
      <c r="F876" s="6"/>
    </row>
    <row r="877" spans="1:6" x14ac:dyDescent="0.3">
      <c r="A877" s="8" t="s">
        <v>1715</v>
      </c>
      <c r="B877" s="8" t="s">
        <v>54481</v>
      </c>
      <c r="C877" s="8" t="s">
        <v>1716</v>
      </c>
      <c r="D877" s="8"/>
      <c r="E877" s="6"/>
      <c r="F877" s="6"/>
    </row>
    <row r="878" spans="1:6" x14ac:dyDescent="0.3">
      <c r="A878" s="8" t="s">
        <v>1717</v>
      </c>
      <c r="B878" s="8" t="s">
        <v>54482</v>
      </c>
      <c r="C878" s="8" t="s">
        <v>1718</v>
      </c>
      <c r="D878" s="8"/>
      <c r="E878" s="6"/>
      <c r="F878" s="6"/>
    </row>
    <row r="879" spans="1:6" x14ac:dyDescent="0.3">
      <c r="A879" s="8" t="s">
        <v>1719</v>
      </c>
      <c r="B879" s="8" t="s">
        <v>54483</v>
      </c>
      <c r="C879" s="8" t="s">
        <v>1720</v>
      </c>
      <c r="D879" s="8"/>
      <c r="E879" s="6"/>
      <c r="F879" s="6"/>
    </row>
    <row r="880" spans="1:6" x14ac:dyDescent="0.3">
      <c r="A880" s="8" t="s">
        <v>1721</v>
      </c>
      <c r="B880" s="8" t="s">
        <v>54484</v>
      </c>
      <c r="C880" s="8" t="s">
        <v>1722</v>
      </c>
      <c r="D880" s="8"/>
      <c r="E880" s="6"/>
      <c r="F880" s="6"/>
    </row>
    <row r="881" spans="1:6" x14ac:dyDescent="0.3">
      <c r="A881" s="8" t="s">
        <v>1723</v>
      </c>
      <c r="B881" s="8" t="s">
        <v>54485</v>
      </c>
      <c r="C881" s="8" t="s">
        <v>1724</v>
      </c>
      <c r="D881" s="8"/>
      <c r="E881" s="6"/>
      <c r="F881" s="6"/>
    </row>
    <row r="882" spans="1:6" x14ac:dyDescent="0.3">
      <c r="A882" s="8" t="s">
        <v>1725</v>
      </c>
      <c r="B882" s="8" t="s">
        <v>54486</v>
      </c>
      <c r="C882" s="8" t="s">
        <v>1726</v>
      </c>
      <c r="D882" s="8"/>
      <c r="E882" s="6"/>
      <c r="F882" s="6"/>
    </row>
    <row r="883" spans="1:6" x14ac:dyDescent="0.3">
      <c r="A883" s="8" t="s">
        <v>1727</v>
      </c>
      <c r="B883" s="8" t="s">
        <v>54487</v>
      </c>
      <c r="C883" s="8" t="s">
        <v>1728</v>
      </c>
      <c r="D883" s="8"/>
      <c r="E883" s="6"/>
      <c r="F883" s="6"/>
    </row>
    <row r="884" spans="1:6" x14ac:dyDescent="0.3">
      <c r="A884" s="8" t="s">
        <v>1729</v>
      </c>
      <c r="B884" s="8" t="s">
        <v>54488</v>
      </c>
      <c r="C884" s="8" t="s">
        <v>1730</v>
      </c>
      <c r="D884" s="8"/>
      <c r="E884" s="6"/>
      <c r="F884" s="6"/>
    </row>
    <row r="885" spans="1:6" x14ac:dyDescent="0.3">
      <c r="A885" s="8" t="s">
        <v>1731</v>
      </c>
      <c r="B885" s="8" t="s">
        <v>54489</v>
      </c>
      <c r="C885" s="8" t="s">
        <v>1732</v>
      </c>
      <c r="D885" s="8"/>
      <c r="E885" s="6"/>
      <c r="F885" s="6"/>
    </row>
    <row r="886" spans="1:6" x14ac:dyDescent="0.3">
      <c r="A886" s="8" t="s">
        <v>1733</v>
      </c>
      <c r="B886" s="8" t="s">
        <v>54490</v>
      </c>
      <c r="C886" s="8" t="s">
        <v>1734</v>
      </c>
      <c r="D886" s="8"/>
      <c r="E886" s="6"/>
      <c r="F886" s="6"/>
    </row>
    <row r="887" spans="1:6" x14ac:dyDescent="0.3">
      <c r="A887" s="8" t="s">
        <v>1735</v>
      </c>
      <c r="B887" s="8" t="s">
        <v>54491</v>
      </c>
      <c r="C887" s="8" t="s">
        <v>1736</v>
      </c>
      <c r="D887" s="8"/>
      <c r="E887" s="6"/>
      <c r="F887" s="6"/>
    </row>
    <row r="888" spans="1:6" x14ac:dyDescent="0.3">
      <c r="A888" s="8" t="s">
        <v>1737</v>
      </c>
      <c r="B888" s="8" t="s">
        <v>54492</v>
      </c>
      <c r="C888" s="8" t="s">
        <v>1738</v>
      </c>
      <c r="D888" s="8"/>
      <c r="E888" s="6"/>
      <c r="F888" s="6"/>
    </row>
    <row r="889" spans="1:6" x14ac:dyDescent="0.3">
      <c r="A889" s="8" t="s">
        <v>1739</v>
      </c>
      <c r="B889" s="8" t="s">
        <v>54493</v>
      </c>
      <c r="C889" s="8" t="s">
        <v>1740</v>
      </c>
      <c r="D889" s="8"/>
      <c r="E889" s="6"/>
      <c r="F889" s="6"/>
    </row>
    <row r="890" spans="1:6" x14ac:dyDescent="0.3">
      <c r="A890" s="8" t="s">
        <v>1741</v>
      </c>
      <c r="B890" s="8" t="s">
        <v>54494</v>
      </c>
      <c r="C890" s="8" t="s">
        <v>1742</v>
      </c>
      <c r="D890" s="8"/>
      <c r="E890" s="6"/>
      <c r="F890" s="6"/>
    </row>
    <row r="891" spans="1:6" x14ac:dyDescent="0.3">
      <c r="A891" s="8" t="s">
        <v>1743</v>
      </c>
      <c r="B891" s="8" t="s">
        <v>54495</v>
      </c>
      <c r="C891" s="8" t="s">
        <v>1744</v>
      </c>
      <c r="D891" s="8"/>
      <c r="E891" s="6"/>
      <c r="F891" s="6"/>
    </row>
    <row r="892" spans="1:6" x14ac:dyDescent="0.3">
      <c r="A892" s="8" t="s">
        <v>1745</v>
      </c>
      <c r="B892" s="8" t="s">
        <v>54496</v>
      </c>
      <c r="C892" s="8" t="s">
        <v>1746</v>
      </c>
      <c r="D892" s="8"/>
      <c r="E892" s="6"/>
      <c r="F892" s="6"/>
    </row>
    <row r="893" spans="1:6" x14ac:dyDescent="0.3">
      <c r="A893" s="8" t="s">
        <v>1747</v>
      </c>
      <c r="B893" s="8" t="s">
        <v>54497</v>
      </c>
      <c r="C893" s="8" t="s">
        <v>1748</v>
      </c>
      <c r="D893" s="8"/>
      <c r="E893" s="6"/>
      <c r="F893" s="6"/>
    </row>
    <row r="894" spans="1:6" x14ac:dyDescent="0.3">
      <c r="A894" s="8" t="s">
        <v>1749</v>
      </c>
      <c r="B894" s="8" t="s">
        <v>54498</v>
      </c>
      <c r="C894" s="8" t="s">
        <v>1750</v>
      </c>
      <c r="D894" s="8"/>
      <c r="E894" s="6"/>
      <c r="F894" s="6"/>
    </row>
    <row r="895" spans="1:6" x14ac:dyDescent="0.3">
      <c r="A895" s="8" t="s">
        <v>1751</v>
      </c>
      <c r="B895" s="8" t="s">
        <v>54499</v>
      </c>
      <c r="C895" s="8" t="s">
        <v>1752</v>
      </c>
      <c r="D895" s="8"/>
      <c r="E895" s="6"/>
      <c r="F895" s="6"/>
    </row>
    <row r="896" spans="1:6" x14ac:dyDescent="0.3">
      <c r="A896" s="8" t="s">
        <v>1753</v>
      </c>
      <c r="B896" s="8" t="s">
        <v>54500</v>
      </c>
      <c r="C896" s="8" t="s">
        <v>1754</v>
      </c>
      <c r="D896" s="8"/>
      <c r="E896" s="6"/>
      <c r="F896" s="6"/>
    </row>
    <row r="897" spans="1:6" x14ac:dyDescent="0.3">
      <c r="A897" s="8" t="s">
        <v>1755</v>
      </c>
      <c r="B897" s="8" t="s">
        <v>54501</v>
      </c>
      <c r="C897" s="8" t="s">
        <v>1756</v>
      </c>
      <c r="D897" s="8"/>
      <c r="E897" s="6"/>
      <c r="F897" s="6"/>
    </row>
    <row r="898" spans="1:6" x14ac:dyDescent="0.3">
      <c r="A898" s="8" t="s">
        <v>1757</v>
      </c>
      <c r="B898" s="8" t="s">
        <v>54502</v>
      </c>
      <c r="C898" s="8" t="s">
        <v>1758</v>
      </c>
      <c r="D898" s="8"/>
      <c r="E898" s="6"/>
      <c r="F898" s="6"/>
    </row>
    <row r="899" spans="1:6" x14ac:dyDescent="0.3">
      <c r="A899" s="8" t="s">
        <v>1759</v>
      </c>
      <c r="B899" s="8" t="s">
        <v>54503</v>
      </c>
      <c r="C899" s="8" t="s">
        <v>1760</v>
      </c>
      <c r="D899" s="8"/>
      <c r="E899" s="6"/>
      <c r="F899" s="6"/>
    </row>
    <row r="900" spans="1:6" x14ac:dyDescent="0.3">
      <c r="A900" s="8" t="s">
        <v>1761</v>
      </c>
      <c r="B900" s="8" t="s">
        <v>54504</v>
      </c>
      <c r="C900" s="8" t="s">
        <v>1762</v>
      </c>
      <c r="D900" s="8"/>
      <c r="E900" s="6"/>
      <c r="F900" s="6"/>
    </row>
    <row r="901" spans="1:6" x14ac:dyDescent="0.3">
      <c r="A901" s="8" t="s">
        <v>1763</v>
      </c>
      <c r="B901" s="8" t="s">
        <v>54505</v>
      </c>
      <c r="C901" s="8" t="s">
        <v>1764</v>
      </c>
      <c r="D901" s="8"/>
      <c r="E901" s="6"/>
      <c r="F901" s="6"/>
    </row>
    <row r="902" spans="1:6" x14ac:dyDescent="0.3">
      <c r="A902" s="8" t="s">
        <v>1765</v>
      </c>
      <c r="B902" s="8" t="s">
        <v>54506</v>
      </c>
      <c r="C902" s="8" t="s">
        <v>1766</v>
      </c>
      <c r="D902" s="8"/>
      <c r="E902" s="6"/>
      <c r="F902" s="6"/>
    </row>
    <row r="903" spans="1:6" x14ac:dyDescent="0.3">
      <c r="A903" s="8" t="s">
        <v>1767</v>
      </c>
      <c r="B903" s="8" t="s">
        <v>54507</v>
      </c>
      <c r="C903" s="8" t="s">
        <v>1768</v>
      </c>
      <c r="D903" s="8"/>
      <c r="E903" s="6"/>
      <c r="F903" s="6"/>
    </row>
    <row r="904" spans="1:6" x14ac:dyDescent="0.3">
      <c r="A904" s="8" t="s">
        <v>1769</v>
      </c>
      <c r="B904" s="8" t="s">
        <v>54508</v>
      </c>
      <c r="C904" s="8" t="s">
        <v>1770</v>
      </c>
      <c r="D904" s="8"/>
      <c r="E904" s="6"/>
      <c r="F904" s="6"/>
    </row>
    <row r="905" spans="1:6" x14ac:dyDescent="0.3">
      <c r="A905" s="8" t="s">
        <v>1771</v>
      </c>
      <c r="B905" s="8" t="s">
        <v>54509</v>
      </c>
      <c r="C905" s="8" t="s">
        <v>1772</v>
      </c>
      <c r="D905" s="8"/>
      <c r="E905" s="6"/>
      <c r="F905" s="6"/>
    </row>
    <row r="906" spans="1:6" x14ac:dyDescent="0.3">
      <c r="A906" s="8" t="s">
        <v>1773</v>
      </c>
      <c r="B906" s="8" t="s">
        <v>54510</v>
      </c>
      <c r="C906" s="8" t="s">
        <v>1774</v>
      </c>
      <c r="D906" s="8"/>
      <c r="E906" s="6"/>
      <c r="F906" s="6"/>
    </row>
    <row r="907" spans="1:6" x14ac:dyDescent="0.3">
      <c r="A907" s="8" t="s">
        <v>1775</v>
      </c>
      <c r="B907" s="8" t="s">
        <v>54511</v>
      </c>
      <c r="C907" s="8" t="s">
        <v>1776</v>
      </c>
      <c r="D907" s="8"/>
      <c r="E907" s="6"/>
      <c r="F907" s="6"/>
    </row>
    <row r="908" spans="1:6" x14ac:dyDescent="0.3">
      <c r="A908" s="8" t="s">
        <v>1777</v>
      </c>
      <c r="B908" s="8" t="s">
        <v>54512</v>
      </c>
      <c r="C908" s="8" t="s">
        <v>1778</v>
      </c>
      <c r="D908" s="8"/>
      <c r="E908" s="6"/>
      <c r="F908" s="6"/>
    </row>
    <row r="909" spans="1:6" x14ac:dyDescent="0.3">
      <c r="A909" s="8" t="s">
        <v>1779</v>
      </c>
      <c r="B909" s="8" t="s">
        <v>54513</v>
      </c>
      <c r="C909" s="8" t="s">
        <v>1780</v>
      </c>
      <c r="D909" s="8"/>
      <c r="E909" s="6"/>
      <c r="F909" s="6"/>
    </row>
    <row r="910" spans="1:6" x14ac:dyDescent="0.3">
      <c r="A910" s="8" t="s">
        <v>1781</v>
      </c>
      <c r="B910" s="8" t="s">
        <v>54514</v>
      </c>
      <c r="C910" s="8" t="s">
        <v>1782</v>
      </c>
      <c r="D910" s="8"/>
      <c r="E910" s="6"/>
      <c r="F910" s="6"/>
    </row>
    <row r="911" spans="1:6" x14ac:dyDescent="0.3">
      <c r="A911" s="8" t="s">
        <v>1783</v>
      </c>
      <c r="B911" s="8" t="s">
        <v>54515</v>
      </c>
      <c r="C911" s="8" t="s">
        <v>1784</v>
      </c>
      <c r="D911" s="8"/>
      <c r="E911" s="6"/>
      <c r="F911" s="6"/>
    </row>
    <row r="912" spans="1:6" x14ac:dyDescent="0.3">
      <c r="A912" s="8" t="s">
        <v>1785</v>
      </c>
      <c r="B912" s="8" t="s">
        <v>54516</v>
      </c>
      <c r="C912" s="8" t="s">
        <v>1786</v>
      </c>
      <c r="D912" s="8"/>
      <c r="E912" s="6"/>
      <c r="F912" s="6"/>
    </row>
    <row r="913" spans="1:6" x14ac:dyDescent="0.3">
      <c r="A913" s="8" t="s">
        <v>1787</v>
      </c>
      <c r="B913" s="8" t="s">
        <v>54517</v>
      </c>
      <c r="C913" s="8" t="s">
        <v>1788</v>
      </c>
      <c r="D913" s="8"/>
      <c r="E913" s="6"/>
      <c r="F913" s="6"/>
    </row>
    <row r="914" spans="1:6" x14ac:dyDescent="0.3">
      <c r="A914" s="8" t="s">
        <v>1789</v>
      </c>
      <c r="B914" s="8" t="s">
        <v>54518</v>
      </c>
      <c r="C914" s="8" t="s">
        <v>1790</v>
      </c>
      <c r="D914" s="8"/>
      <c r="E914" s="6"/>
      <c r="F914" s="6"/>
    </row>
    <row r="915" spans="1:6" x14ac:dyDescent="0.3">
      <c r="A915" s="8" t="s">
        <v>1791</v>
      </c>
      <c r="B915" s="8" t="s">
        <v>54519</v>
      </c>
      <c r="C915" s="8" t="s">
        <v>1792</v>
      </c>
      <c r="D915" s="8"/>
      <c r="E915" s="6"/>
      <c r="F915" s="6"/>
    </row>
    <row r="916" spans="1:6" x14ac:dyDescent="0.3">
      <c r="A916" s="8" t="s">
        <v>1793</v>
      </c>
      <c r="B916" s="8" t="s">
        <v>54520</v>
      </c>
      <c r="C916" s="8" t="s">
        <v>1794</v>
      </c>
      <c r="D916" s="8"/>
      <c r="E916" s="6"/>
      <c r="F916" s="6"/>
    </row>
    <row r="917" spans="1:6" x14ac:dyDescent="0.3">
      <c r="A917" s="8" t="s">
        <v>1795</v>
      </c>
      <c r="B917" s="8" t="s">
        <v>54521</v>
      </c>
      <c r="C917" s="8" t="s">
        <v>1796</v>
      </c>
      <c r="D917" s="8"/>
      <c r="E917" s="6"/>
      <c r="F917" s="6"/>
    </row>
    <row r="918" spans="1:6" x14ac:dyDescent="0.3">
      <c r="A918" s="8" t="s">
        <v>1797</v>
      </c>
      <c r="B918" s="8" t="s">
        <v>54522</v>
      </c>
      <c r="C918" s="8" t="s">
        <v>1798</v>
      </c>
      <c r="D918" s="8"/>
      <c r="E918" s="6"/>
      <c r="F918" s="6"/>
    </row>
    <row r="919" spans="1:6" x14ac:dyDescent="0.3">
      <c r="A919" s="8" t="s">
        <v>1799</v>
      </c>
      <c r="B919" s="8" t="s">
        <v>54523</v>
      </c>
      <c r="C919" s="8" t="s">
        <v>1800</v>
      </c>
      <c r="D919" s="8"/>
      <c r="E919" s="6"/>
      <c r="F919" s="6"/>
    </row>
    <row r="920" spans="1:6" x14ac:dyDescent="0.3">
      <c r="A920" s="8" t="s">
        <v>1801</v>
      </c>
      <c r="B920" s="8" t="s">
        <v>54524</v>
      </c>
      <c r="C920" s="8" t="s">
        <v>1802</v>
      </c>
      <c r="D920" s="8"/>
      <c r="E920" s="6"/>
      <c r="F920" s="6"/>
    </row>
    <row r="921" spans="1:6" x14ac:dyDescent="0.3">
      <c r="A921" s="8" t="s">
        <v>1803</v>
      </c>
      <c r="B921" s="8" t="s">
        <v>54525</v>
      </c>
      <c r="C921" s="8" t="s">
        <v>1804</v>
      </c>
      <c r="D921" s="8"/>
      <c r="E921" s="6"/>
      <c r="F921" s="6"/>
    </row>
    <row r="922" spans="1:6" x14ac:dyDescent="0.3">
      <c r="A922" s="8" t="s">
        <v>1805</v>
      </c>
      <c r="B922" s="8" t="s">
        <v>54526</v>
      </c>
      <c r="C922" s="8" t="s">
        <v>1806</v>
      </c>
      <c r="D922" s="8"/>
      <c r="E922" s="6"/>
      <c r="F922" s="6"/>
    </row>
    <row r="923" spans="1:6" x14ac:dyDescent="0.3">
      <c r="A923" s="8" t="s">
        <v>1807</v>
      </c>
      <c r="B923" s="8" t="s">
        <v>54527</v>
      </c>
      <c r="C923" s="8" t="s">
        <v>1808</v>
      </c>
      <c r="D923" s="8"/>
      <c r="E923" s="6"/>
      <c r="F923" s="6"/>
    </row>
    <row r="924" spans="1:6" x14ac:dyDescent="0.3">
      <c r="A924" s="8" t="s">
        <v>1809</v>
      </c>
      <c r="B924" s="8" t="s">
        <v>54528</v>
      </c>
      <c r="C924" s="8" t="s">
        <v>1810</v>
      </c>
      <c r="D924" s="8"/>
      <c r="E924" s="6"/>
      <c r="F924" s="6"/>
    </row>
    <row r="925" spans="1:6" x14ac:dyDescent="0.3">
      <c r="A925" s="8" t="s">
        <v>1811</v>
      </c>
      <c r="B925" s="8" t="s">
        <v>54529</v>
      </c>
      <c r="C925" s="8" t="s">
        <v>1812</v>
      </c>
      <c r="D925" s="8"/>
      <c r="E925" s="6"/>
      <c r="F925" s="6"/>
    </row>
    <row r="926" spans="1:6" x14ac:dyDescent="0.3">
      <c r="A926" s="8" t="s">
        <v>1813</v>
      </c>
      <c r="B926" s="8" t="s">
        <v>54530</v>
      </c>
      <c r="C926" s="8" t="s">
        <v>1814</v>
      </c>
      <c r="D926" s="8"/>
      <c r="E926" s="6"/>
      <c r="F926" s="6"/>
    </row>
    <row r="927" spans="1:6" x14ac:dyDescent="0.3">
      <c r="A927" s="8" t="s">
        <v>1815</v>
      </c>
      <c r="B927" s="8" t="s">
        <v>54531</v>
      </c>
      <c r="C927" s="8" t="s">
        <v>1816</v>
      </c>
      <c r="D927" s="8"/>
      <c r="E927" s="6"/>
      <c r="F927" s="6"/>
    </row>
    <row r="928" spans="1:6" x14ac:dyDescent="0.3">
      <c r="A928" s="8" t="s">
        <v>1817</v>
      </c>
      <c r="B928" s="8" t="s">
        <v>54532</v>
      </c>
      <c r="C928" s="8" t="s">
        <v>1818</v>
      </c>
      <c r="D928" s="8"/>
      <c r="E928" s="6"/>
      <c r="F928" s="6"/>
    </row>
    <row r="929" spans="1:6" x14ac:dyDescent="0.3">
      <c r="A929" s="8" t="s">
        <v>1819</v>
      </c>
      <c r="B929" s="8" t="s">
        <v>54533</v>
      </c>
      <c r="C929" s="8" t="s">
        <v>1820</v>
      </c>
      <c r="D929" s="8"/>
      <c r="E929" s="6"/>
      <c r="F929" s="6"/>
    </row>
    <row r="930" spans="1:6" x14ac:dyDescent="0.3">
      <c r="A930" s="8" t="s">
        <v>1821</v>
      </c>
      <c r="B930" s="8" t="s">
        <v>54534</v>
      </c>
      <c r="C930" s="8" t="s">
        <v>1822</v>
      </c>
      <c r="D930" s="8"/>
      <c r="E930" s="6"/>
      <c r="F930" s="6"/>
    </row>
    <row r="931" spans="1:6" x14ac:dyDescent="0.3">
      <c r="A931" s="8" t="s">
        <v>1823</v>
      </c>
      <c r="B931" s="8" t="s">
        <v>54535</v>
      </c>
      <c r="C931" s="8" t="s">
        <v>1824</v>
      </c>
      <c r="D931" s="8"/>
      <c r="E931" s="6"/>
      <c r="F931" s="6"/>
    </row>
    <row r="932" spans="1:6" x14ac:dyDescent="0.3">
      <c r="A932" s="8" t="s">
        <v>1825</v>
      </c>
      <c r="B932" s="8" t="s">
        <v>54536</v>
      </c>
      <c r="C932" s="8" t="s">
        <v>1826</v>
      </c>
      <c r="D932" s="8"/>
      <c r="E932" s="6"/>
      <c r="F932" s="6"/>
    </row>
    <row r="933" spans="1:6" x14ac:dyDescent="0.3">
      <c r="A933" s="8" t="s">
        <v>1827</v>
      </c>
      <c r="B933" s="8" t="s">
        <v>54537</v>
      </c>
      <c r="C933" s="8" t="s">
        <v>1828</v>
      </c>
      <c r="D933" s="8"/>
      <c r="E933" s="6"/>
      <c r="F933" s="6"/>
    </row>
    <row r="934" spans="1:6" x14ac:dyDescent="0.3">
      <c r="A934" s="8" t="s">
        <v>1829</v>
      </c>
      <c r="B934" s="8" t="s">
        <v>54538</v>
      </c>
      <c r="C934" s="8" t="s">
        <v>1830</v>
      </c>
      <c r="D934" s="8"/>
      <c r="E934" s="6"/>
      <c r="F934" s="6"/>
    </row>
    <row r="935" spans="1:6" x14ac:dyDescent="0.3">
      <c r="A935" s="8" t="s">
        <v>1831</v>
      </c>
      <c r="B935" s="8" t="s">
        <v>54539</v>
      </c>
      <c r="C935" s="8" t="s">
        <v>1832</v>
      </c>
      <c r="D935" s="8"/>
      <c r="E935" s="6"/>
      <c r="F935" s="6"/>
    </row>
    <row r="936" spans="1:6" x14ac:dyDescent="0.3">
      <c r="A936" s="8" t="s">
        <v>1833</v>
      </c>
      <c r="B936" s="8" t="s">
        <v>54540</v>
      </c>
      <c r="C936" s="8" t="s">
        <v>1834</v>
      </c>
      <c r="D936" s="8"/>
      <c r="E936" s="6"/>
      <c r="F936" s="6"/>
    </row>
    <row r="937" spans="1:6" x14ac:dyDescent="0.3">
      <c r="A937" s="8" t="s">
        <v>1835</v>
      </c>
      <c r="B937" s="8" t="s">
        <v>54541</v>
      </c>
      <c r="C937" s="8" t="s">
        <v>1836</v>
      </c>
      <c r="D937" s="8"/>
      <c r="E937" s="6"/>
      <c r="F937" s="6"/>
    </row>
    <row r="938" spans="1:6" x14ac:dyDescent="0.3">
      <c r="A938" s="8" t="s">
        <v>1837</v>
      </c>
      <c r="B938" s="8" t="s">
        <v>54542</v>
      </c>
      <c r="C938" s="8" t="s">
        <v>1838</v>
      </c>
      <c r="D938" s="8"/>
      <c r="E938" s="6"/>
      <c r="F938" s="6"/>
    </row>
    <row r="939" spans="1:6" x14ac:dyDescent="0.3">
      <c r="A939" s="8" t="s">
        <v>1839</v>
      </c>
      <c r="B939" s="8" t="s">
        <v>54543</v>
      </c>
      <c r="C939" s="8" t="s">
        <v>1840</v>
      </c>
      <c r="D939" s="8"/>
      <c r="E939" s="6"/>
      <c r="F939" s="6"/>
    </row>
    <row r="940" spans="1:6" x14ac:dyDescent="0.3">
      <c r="A940" s="8" t="s">
        <v>1841</v>
      </c>
      <c r="B940" s="8" t="s">
        <v>54544</v>
      </c>
      <c r="C940" s="8" t="s">
        <v>1842</v>
      </c>
      <c r="D940" s="8"/>
      <c r="E940" s="6"/>
      <c r="F940" s="6"/>
    </row>
    <row r="941" spans="1:6" x14ac:dyDescent="0.3">
      <c r="A941" s="8" t="s">
        <v>1843</v>
      </c>
      <c r="B941" s="8" t="s">
        <v>54545</v>
      </c>
      <c r="C941" s="8" t="s">
        <v>1844</v>
      </c>
      <c r="D941" s="8"/>
      <c r="E941" s="6"/>
      <c r="F941" s="6"/>
    </row>
    <row r="942" spans="1:6" x14ac:dyDescent="0.3">
      <c r="A942" s="8" t="s">
        <v>1845</v>
      </c>
      <c r="B942" s="8" t="s">
        <v>54546</v>
      </c>
      <c r="C942" s="8" t="s">
        <v>1846</v>
      </c>
      <c r="D942" s="8"/>
      <c r="E942" s="6"/>
      <c r="F942" s="6"/>
    </row>
    <row r="943" spans="1:6" x14ac:dyDescent="0.3">
      <c r="A943" s="8" t="s">
        <v>1847</v>
      </c>
      <c r="B943" s="8" t="s">
        <v>54547</v>
      </c>
      <c r="C943" s="8" t="s">
        <v>1848</v>
      </c>
      <c r="D943" s="8"/>
      <c r="E943" s="6"/>
      <c r="F943" s="6"/>
    </row>
    <row r="944" spans="1:6" x14ac:dyDescent="0.3">
      <c r="A944" s="8" t="s">
        <v>1849</v>
      </c>
      <c r="B944" s="8" t="s">
        <v>54548</v>
      </c>
      <c r="C944" s="8" t="s">
        <v>1850</v>
      </c>
      <c r="D944" s="8"/>
      <c r="E944" s="6"/>
      <c r="F944" s="6"/>
    </row>
    <row r="945" spans="1:6" x14ac:dyDescent="0.3">
      <c r="A945" s="8" t="s">
        <v>1851</v>
      </c>
      <c r="B945" s="8" t="s">
        <v>54549</v>
      </c>
      <c r="C945" s="8" t="s">
        <v>1852</v>
      </c>
      <c r="D945" s="8"/>
      <c r="E945" s="6"/>
      <c r="F945" s="6"/>
    </row>
    <row r="946" spans="1:6" x14ac:dyDescent="0.3">
      <c r="A946" s="8" t="s">
        <v>1853</v>
      </c>
      <c r="B946" s="8" t="s">
        <v>54550</v>
      </c>
      <c r="C946" s="8" t="s">
        <v>1854</v>
      </c>
      <c r="D946" s="8"/>
      <c r="E946" s="6"/>
      <c r="F946" s="6"/>
    </row>
    <row r="947" spans="1:6" x14ac:dyDescent="0.3">
      <c r="A947" s="8" t="s">
        <v>1855</v>
      </c>
      <c r="B947" s="8" t="s">
        <v>54551</v>
      </c>
      <c r="C947" s="8" t="s">
        <v>1856</v>
      </c>
      <c r="D947" s="8"/>
      <c r="E947" s="6"/>
      <c r="F947" s="6"/>
    </row>
    <row r="948" spans="1:6" x14ac:dyDescent="0.3">
      <c r="A948" s="8" t="s">
        <v>1857</v>
      </c>
      <c r="B948" s="8" t="s">
        <v>54552</v>
      </c>
      <c r="C948" s="8" t="s">
        <v>1858</v>
      </c>
      <c r="D948" s="8"/>
      <c r="E948" s="6"/>
      <c r="F948" s="6"/>
    </row>
    <row r="949" spans="1:6" x14ac:dyDescent="0.3">
      <c r="A949" s="8" t="s">
        <v>1859</v>
      </c>
      <c r="B949" s="8" t="s">
        <v>54553</v>
      </c>
      <c r="C949" s="8" t="s">
        <v>1860</v>
      </c>
      <c r="D949" s="8"/>
      <c r="E949" s="6"/>
      <c r="F949" s="6"/>
    </row>
    <row r="950" spans="1:6" x14ac:dyDescent="0.3">
      <c r="A950" s="8" t="s">
        <v>1861</v>
      </c>
      <c r="B950" s="8" t="s">
        <v>54554</v>
      </c>
      <c r="C950" s="8" t="s">
        <v>1862</v>
      </c>
      <c r="D950" s="8"/>
      <c r="E950" s="6"/>
      <c r="F950" s="6"/>
    </row>
    <row r="951" spans="1:6" x14ac:dyDescent="0.3">
      <c r="A951" s="8" t="s">
        <v>1863</v>
      </c>
      <c r="B951" s="8" t="s">
        <v>54555</v>
      </c>
      <c r="C951" s="8" t="s">
        <v>1864</v>
      </c>
      <c r="D951" s="8"/>
      <c r="E951" s="6"/>
      <c r="F951" s="6"/>
    </row>
    <row r="952" spans="1:6" x14ac:dyDescent="0.3">
      <c r="A952" s="8" t="s">
        <v>1865</v>
      </c>
      <c r="B952" s="8" t="s">
        <v>54556</v>
      </c>
      <c r="C952" s="8" t="s">
        <v>1866</v>
      </c>
      <c r="D952" s="8"/>
      <c r="E952" s="6"/>
      <c r="F952" s="6"/>
    </row>
    <row r="953" spans="1:6" x14ac:dyDescent="0.3">
      <c r="A953" s="8" t="s">
        <v>1867</v>
      </c>
      <c r="B953" s="8" t="s">
        <v>54557</v>
      </c>
      <c r="C953" s="8" t="s">
        <v>1868</v>
      </c>
      <c r="D953" s="8"/>
      <c r="E953" s="6"/>
      <c r="F953" s="6"/>
    </row>
    <row r="954" spans="1:6" x14ac:dyDescent="0.3">
      <c r="A954" s="8" t="s">
        <v>1869</v>
      </c>
      <c r="B954" s="8" t="s">
        <v>54558</v>
      </c>
      <c r="C954" s="8" t="s">
        <v>1870</v>
      </c>
      <c r="D954" s="8"/>
      <c r="E954" s="6"/>
      <c r="F954" s="6"/>
    </row>
    <row r="955" spans="1:6" x14ac:dyDescent="0.3">
      <c r="A955" s="8" t="s">
        <v>1871</v>
      </c>
      <c r="B955" s="8" t="s">
        <v>54559</v>
      </c>
      <c r="C955" s="8" t="s">
        <v>1872</v>
      </c>
      <c r="D955" s="8"/>
      <c r="E955" s="6"/>
      <c r="F955" s="6"/>
    </row>
    <row r="956" spans="1:6" x14ac:dyDescent="0.3">
      <c r="A956" s="8" t="s">
        <v>1873</v>
      </c>
      <c r="B956" s="8" t="s">
        <v>54560</v>
      </c>
      <c r="C956" s="8" t="s">
        <v>1874</v>
      </c>
      <c r="D956" s="8"/>
      <c r="E956" s="6"/>
      <c r="F956" s="6"/>
    </row>
    <row r="957" spans="1:6" x14ac:dyDescent="0.3">
      <c r="A957" s="8" t="s">
        <v>1875</v>
      </c>
      <c r="B957" s="8" t="s">
        <v>54561</v>
      </c>
      <c r="C957" s="8" t="s">
        <v>1876</v>
      </c>
      <c r="D957" s="8"/>
      <c r="E957" s="6"/>
      <c r="F957" s="6"/>
    </row>
    <row r="958" spans="1:6" x14ac:dyDescent="0.3">
      <c r="A958" s="8" t="s">
        <v>1877</v>
      </c>
      <c r="B958" s="8" t="s">
        <v>54562</v>
      </c>
      <c r="C958" s="8" t="s">
        <v>1878</v>
      </c>
      <c r="D958" s="8"/>
      <c r="E958" s="6"/>
      <c r="F958" s="6"/>
    </row>
    <row r="959" spans="1:6" x14ac:dyDescent="0.3">
      <c r="A959" s="8" t="s">
        <v>1879</v>
      </c>
      <c r="B959" s="8" t="s">
        <v>54563</v>
      </c>
      <c r="C959" s="8" t="s">
        <v>1880</v>
      </c>
      <c r="D959" s="8"/>
      <c r="E959" s="6"/>
      <c r="F959" s="6"/>
    </row>
    <row r="960" spans="1:6" x14ac:dyDescent="0.3">
      <c r="A960" s="8" t="s">
        <v>1881</v>
      </c>
      <c r="B960" s="8" t="s">
        <v>54564</v>
      </c>
      <c r="C960" s="8" t="s">
        <v>1882</v>
      </c>
      <c r="D960" s="8"/>
      <c r="E960" s="6"/>
      <c r="F960" s="6"/>
    </row>
    <row r="961" spans="1:6" x14ac:dyDescent="0.3">
      <c r="A961" s="8" t="s">
        <v>1883</v>
      </c>
      <c r="B961" s="8" t="s">
        <v>54565</v>
      </c>
      <c r="C961" s="8" t="s">
        <v>1884</v>
      </c>
      <c r="D961" s="8"/>
      <c r="E961" s="6"/>
      <c r="F961" s="6"/>
    </row>
    <row r="962" spans="1:6" x14ac:dyDescent="0.3">
      <c r="A962" s="8" t="s">
        <v>1885</v>
      </c>
      <c r="B962" s="8" t="s">
        <v>54566</v>
      </c>
      <c r="C962" s="8" t="s">
        <v>1886</v>
      </c>
      <c r="D962" s="8"/>
      <c r="E962" s="6"/>
      <c r="F962" s="6"/>
    </row>
    <row r="963" spans="1:6" x14ac:dyDescent="0.3">
      <c r="A963" s="8" t="s">
        <v>1887</v>
      </c>
      <c r="B963" s="8" t="s">
        <v>54567</v>
      </c>
      <c r="C963" s="8" t="s">
        <v>1888</v>
      </c>
      <c r="D963" s="8"/>
      <c r="E963" s="6"/>
      <c r="F963" s="6"/>
    </row>
    <row r="964" spans="1:6" x14ac:dyDescent="0.3">
      <c r="A964" s="8" t="s">
        <v>1889</v>
      </c>
      <c r="B964" s="8" t="s">
        <v>54568</v>
      </c>
      <c r="C964" s="8" t="s">
        <v>1890</v>
      </c>
      <c r="D964" s="8"/>
      <c r="E964" s="6"/>
      <c r="F964" s="6"/>
    </row>
    <row r="965" spans="1:6" x14ac:dyDescent="0.3">
      <c r="A965" s="8" t="s">
        <v>1891</v>
      </c>
      <c r="B965" s="8" t="s">
        <v>54569</v>
      </c>
      <c r="C965" s="8" t="s">
        <v>1892</v>
      </c>
      <c r="D965" s="8"/>
      <c r="E965" s="6"/>
      <c r="F965" s="6"/>
    </row>
    <row r="966" spans="1:6" x14ac:dyDescent="0.3">
      <c r="A966" s="8" t="s">
        <v>1893</v>
      </c>
      <c r="B966" s="8" t="s">
        <v>54570</v>
      </c>
      <c r="C966" s="8" t="s">
        <v>1894</v>
      </c>
      <c r="D966" s="8"/>
      <c r="E966" s="6"/>
      <c r="F966" s="6"/>
    </row>
    <row r="967" spans="1:6" x14ac:dyDescent="0.3">
      <c r="A967" s="8" t="s">
        <v>1895</v>
      </c>
      <c r="B967" s="8" t="s">
        <v>54571</v>
      </c>
      <c r="C967" s="8" t="s">
        <v>1896</v>
      </c>
      <c r="D967" s="8"/>
      <c r="E967" s="6"/>
      <c r="F967" s="6"/>
    </row>
    <row r="968" spans="1:6" x14ac:dyDescent="0.3">
      <c r="A968" s="8" t="s">
        <v>1897</v>
      </c>
      <c r="B968" s="8" t="s">
        <v>54572</v>
      </c>
      <c r="C968" s="8" t="s">
        <v>1898</v>
      </c>
      <c r="D968" s="8"/>
      <c r="E968" s="6"/>
      <c r="F968" s="6"/>
    </row>
    <row r="969" spans="1:6" x14ac:dyDescent="0.3">
      <c r="A969" s="8" t="s">
        <v>1899</v>
      </c>
      <c r="B969" s="8" t="s">
        <v>54573</v>
      </c>
      <c r="C969" s="8" t="s">
        <v>1900</v>
      </c>
      <c r="D969" s="8"/>
      <c r="E969" s="6"/>
      <c r="F969" s="6"/>
    </row>
    <row r="970" spans="1:6" x14ac:dyDescent="0.3">
      <c r="A970" s="8" t="s">
        <v>1901</v>
      </c>
      <c r="B970" s="8" t="s">
        <v>54574</v>
      </c>
      <c r="C970" s="8" t="s">
        <v>1902</v>
      </c>
      <c r="D970" s="8"/>
      <c r="E970" s="6"/>
      <c r="F970" s="6"/>
    </row>
    <row r="971" spans="1:6" x14ac:dyDescent="0.3">
      <c r="A971" s="8" t="s">
        <v>1903</v>
      </c>
      <c r="B971" s="8" t="s">
        <v>54575</v>
      </c>
      <c r="C971" s="8" t="s">
        <v>1904</v>
      </c>
      <c r="D971" s="8"/>
      <c r="E971" s="6"/>
      <c r="F971" s="6"/>
    </row>
    <row r="972" spans="1:6" x14ac:dyDescent="0.3">
      <c r="A972" s="8" t="s">
        <v>1905</v>
      </c>
      <c r="B972" s="8" t="s">
        <v>54576</v>
      </c>
      <c r="C972" s="8" t="s">
        <v>1906</v>
      </c>
      <c r="D972" s="8"/>
      <c r="E972" s="6"/>
      <c r="F972" s="6"/>
    </row>
    <row r="973" spans="1:6" x14ac:dyDescent="0.3">
      <c r="A973" s="8" t="s">
        <v>1907</v>
      </c>
      <c r="B973" s="8" t="s">
        <v>54577</v>
      </c>
      <c r="C973" s="8" t="s">
        <v>1908</v>
      </c>
      <c r="D973" s="8"/>
      <c r="E973" s="6"/>
      <c r="F973" s="6"/>
    </row>
    <row r="974" spans="1:6" x14ac:dyDescent="0.3">
      <c r="A974" s="8" t="s">
        <v>1909</v>
      </c>
      <c r="B974" s="8" t="s">
        <v>54578</v>
      </c>
      <c r="C974" s="8" t="s">
        <v>1910</v>
      </c>
      <c r="D974" s="8"/>
      <c r="E974" s="6"/>
      <c r="F974" s="6"/>
    </row>
    <row r="975" spans="1:6" x14ac:dyDescent="0.3">
      <c r="A975" s="8" t="s">
        <v>1911</v>
      </c>
      <c r="B975" s="8" t="s">
        <v>54579</v>
      </c>
      <c r="C975" s="8" t="s">
        <v>1912</v>
      </c>
      <c r="D975" s="8"/>
      <c r="E975" s="6"/>
      <c r="F975" s="6"/>
    </row>
    <row r="976" spans="1:6" x14ac:dyDescent="0.3">
      <c r="A976" s="8" t="s">
        <v>1913</v>
      </c>
      <c r="B976" s="8" t="s">
        <v>54580</v>
      </c>
      <c r="C976" s="8" t="s">
        <v>1914</v>
      </c>
      <c r="D976" s="8"/>
      <c r="E976" s="6"/>
      <c r="F976" s="6"/>
    </row>
    <row r="977" spans="1:6" x14ac:dyDescent="0.3">
      <c r="A977" s="8" t="s">
        <v>1915</v>
      </c>
      <c r="B977" s="8" t="s">
        <v>54581</v>
      </c>
      <c r="C977" s="8" t="s">
        <v>1916</v>
      </c>
      <c r="D977" s="8"/>
      <c r="E977" s="6"/>
      <c r="F977" s="6"/>
    </row>
    <row r="978" spans="1:6" x14ac:dyDescent="0.3">
      <c r="A978" s="8" t="s">
        <v>1917</v>
      </c>
      <c r="B978" s="8" t="s">
        <v>54582</v>
      </c>
      <c r="C978" s="8" t="s">
        <v>1918</v>
      </c>
      <c r="D978" s="8"/>
      <c r="E978" s="6"/>
      <c r="F978" s="6"/>
    </row>
    <row r="979" spans="1:6" x14ac:dyDescent="0.3">
      <c r="A979" s="8" t="s">
        <v>1919</v>
      </c>
      <c r="B979" s="8" t="s">
        <v>54583</v>
      </c>
      <c r="C979" s="8" t="s">
        <v>1920</v>
      </c>
      <c r="D979" s="8"/>
      <c r="E979" s="6"/>
      <c r="F979" s="6"/>
    </row>
    <row r="980" spans="1:6" x14ac:dyDescent="0.3">
      <c r="A980" s="8" t="s">
        <v>1921</v>
      </c>
      <c r="B980" s="8" t="s">
        <v>54584</v>
      </c>
      <c r="C980" s="8" t="s">
        <v>1922</v>
      </c>
      <c r="D980" s="8"/>
      <c r="E980" s="6"/>
      <c r="F980" s="6"/>
    </row>
    <row r="981" spans="1:6" x14ac:dyDescent="0.3">
      <c r="A981" s="8" t="s">
        <v>1923</v>
      </c>
      <c r="B981" s="8" t="s">
        <v>54585</v>
      </c>
      <c r="C981" s="8" t="s">
        <v>1924</v>
      </c>
      <c r="D981" s="8"/>
      <c r="E981" s="6"/>
      <c r="F981" s="6"/>
    </row>
    <row r="982" spans="1:6" x14ac:dyDescent="0.3">
      <c r="A982" s="8" t="s">
        <v>1925</v>
      </c>
      <c r="B982" s="8" t="s">
        <v>54586</v>
      </c>
      <c r="C982" s="8" t="s">
        <v>1926</v>
      </c>
      <c r="D982" s="8"/>
      <c r="E982" s="6"/>
      <c r="F982" s="6"/>
    </row>
    <row r="983" spans="1:6" x14ac:dyDescent="0.3">
      <c r="A983" s="8" t="s">
        <v>1927</v>
      </c>
      <c r="B983" s="8" t="s">
        <v>54587</v>
      </c>
      <c r="C983" s="8" t="s">
        <v>1928</v>
      </c>
      <c r="D983" s="8"/>
      <c r="E983" s="6"/>
      <c r="F983" s="6"/>
    </row>
    <row r="984" spans="1:6" x14ac:dyDescent="0.3">
      <c r="A984" s="8" t="s">
        <v>1929</v>
      </c>
      <c r="B984" s="8" t="s">
        <v>54588</v>
      </c>
      <c r="C984" s="8" t="s">
        <v>1930</v>
      </c>
      <c r="D984" s="8"/>
      <c r="E984" s="6"/>
      <c r="F984" s="6"/>
    </row>
    <row r="985" spans="1:6" x14ac:dyDescent="0.3">
      <c r="A985" s="8" t="s">
        <v>1931</v>
      </c>
      <c r="B985" s="8" t="s">
        <v>54589</v>
      </c>
      <c r="C985" s="8" t="s">
        <v>1932</v>
      </c>
      <c r="D985" s="8"/>
      <c r="E985" s="6"/>
      <c r="F985" s="6"/>
    </row>
    <row r="986" spans="1:6" x14ac:dyDescent="0.3">
      <c r="A986" s="8" t="s">
        <v>1933</v>
      </c>
      <c r="B986" s="8" t="s">
        <v>54590</v>
      </c>
      <c r="C986" s="8" t="s">
        <v>1934</v>
      </c>
      <c r="D986" s="8"/>
      <c r="E986" s="6"/>
      <c r="F986" s="6"/>
    </row>
    <row r="987" spans="1:6" x14ac:dyDescent="0.3">
      <c r="A987" s="8" t="s">
        <v>1935</v>
      </c>
      <c r="B987" s="8" t="s">
        <v>54591</v>
      </c>
      <c r="C987" s="8" t="s">
        <v>1936</v>
      </c>
      <c r="D987" s="8"/>
      <c r="E987" s="6"/>
      <c r="F987" s="6"/>
    </row>
    <row r="988" spans="1:6" x14ac:dyDescent="0.3">
      <c r="A988" s="8" t="s">
        <v>1937</v>
      </c>
      <c r="B988" s="8" t="s">
        <v>54592</v>
      </c>
      <c r="C988" s="8" t="s">
        <v>1938</v>
      </c>
      <c r="D988" s="8"/>
      <c r="E988" s="6"/>
      <c r="F988" s="6"/>
    </row>
    <row r="989" spans="1:6" x14ac:dyDescent="0.3">
      <c r="A989" s="8" t="s">
        <v>1939</v>
      </c>
      <c r="B989" s="8" t="s">
        <v>54593</v>
      </c>
      <c r="C989" s="8" t="s">
        <v>1940</v>
      </c>
      <c r="D989" s="8"/>
      <c r="E989" s="6"/>
      <c r="F989" s="6"/>
    </row>
    <row r="990" spans="1:6" x14ac:dyDescent="0.3">
      <c r="A990" s="8" t="s">
        <v>1941</v>
      </c>
      <c r="B990" s="8" t="s">
        <v>54594</v>
      </c>
      <c r="C990" s="8" t="s">
        <v>1942</v>
      </c>
      <c r="D990" s="8"/>
      <c r="E990" s="6"/>
      <c r="F990" s="6"/>
    </row>
    <row r="991" spans="1:6" x14ac:dyDescent="0.3">
      <c r="A991" s="8" t="s">
        <v>1943</v>
      </c>
      <c r="B991" s="8" t="s">
        <v>54595</v>
      </c>
      <c r="C991" s="8" t="s">
        <v>1944</v>
      </c>
      <c r="D991" s="8"/>
      <c r="E991" s="6"/>
      <c r="F991" s="6"/>
    </row>
    <row r="992" spans="1:6" x14ac:dyDescent="0.3">
      <c r="A992" s="8" t="s">
        <v>1945</v>
      </c>
      <c r="B992" s="8" t="s">
        <v>54596</v>
      </c>
      <c r="C992" s="8" t="s">
        <v>1946</v>
      </c>
      <c r="D992" s="8"/>
      <c r="E992" s="6"/>
      <c r="F992" s="6"/>
    </row>
    <row r="993" spans="1:6" x14ac:dyDescent="0.3">
      <c r="A993" s="8" t="s">
        <v>1947</v>
      </c>
      <c r="B993" s="8" t="s">
        <v>54597</v>
      </c>
      <c r="C993" s="8" t="s">
        <v>1948</v>
      </c>
      <c r="D993" s="8"/>
      <c r="E993" s="6"/>
      <c r="F993" s="6"/>
    </row>
    <row r="994" spans="1:6" x14ac:dyDescent="0.3">
      <c r="A994" s="8" t="s">
        <v>1949</v>
      </c>
      <c r="B994" s="8" t="s">
        <v>54598</v>
      </c>
      <c r="C994" s="8" t="s">
        <v>1950</v>
      </c>
      <c r="D994" s="8"/>
      <c r="E994" s="6"/>
      <c r="F994" s="6"/>
    </row>
    <row r="995" spans="1:6" x14ac:dyDescent="0.3">
      <c r="A995" s="8" t="s">
        <v>1951</v>
      </c>
      <c r="B995" s="8" t="s">
        <v>54599</v>
      </c>
      <c r="C995" s="8" t="s">
        <v>1952</v>
      </c>
      <c r="D995" s="8"/>
      <c r="E995" s="6"/>
      <c r="F995" s="6"/>
    </row>
    <row r="996" spans="1:6" x14ac:dyDescent="0.3">
      <c r="A996" s="8" t="s">
        <v>1953</v>
      </c>
      <c r="B996" s="8" t="s">
        <v>54600</v>
      </c>
      <c r="C996" s="8" t="s">
        <v>1954</v>
      </c>
      <c r="D996" s="8"/>
      <c r="E996" s="6"/>
      <c r="F996" s="6"/>
    </row>
    <row r="997" spans="1:6" x14ac:dyDescent="0.3">
      <c r="A997" s="8" t="s">
        <v>1955</v>
      </c>
      <c r="B997" s="8" t="s">
        <v>54601</v>
      </c>
      <c r="C997" s="8" t="s">
        <v>1956</v>
      </c>
      <c r="D997" s="8"/>
      <c r="E997" s="6"/>
      <c r="F997" s="6"/>
    </row>
    <row r="998" spans="1:6" x14ac:dyDescent="0.3">
      <c r="A998" s="8" t="s">
        <v>1957</v>
      </c>
      <c r="B998" s="8" t="s">
        <v>54602</v>
      </c>
      <c r="C998" s="8" t="s">
        <v>1958</v>
      </c>
      <c r="D998" s="8"/>
      <c r="E998" s="6"/>
      <c r="F998" s="6"/>
    </row>
    <row r="999" spans="1:6" x14ac:dyDescent="0.3">
      <c r="A999" s="8" t="s">
        <v>1959</v>
      </c>
      <c r="B999" s="8" t="s">
        <v>54603</v>
      </c>
      <c r="C999" s="8" t="s">
        <v>1960</v>
      </c>
      <c r="D999" s="8"/>
      <c r="E999" s="6"/>
      <c r="F999" s="6"/>
    </row>
    <row r="1000" spans="1:6" x14ac:dyDescent="0.3">
      <c r="A1000" s="8" t="s">
        <v>1961</v>
      </c>
      <c r="B1000" s="8" t="s">
        <v>54604</v>
      </c>
      <c r="C1000" s="8" t="s">
        <v>1962</v>
      </c>
      <c r="D1000" s="8"/>
      <c r="E1000" s="6"/>
      <c r="F1000" s="6"/>
    </row>
    <row r="1001" spans="1:6" x14ac:dyDescent="0.3">
      <c r="A1001" s="8" t="s">
        <v>1963</v>
      </c>
      <c r="B1001" s="8" t="s">
        <v>54605</v>
      </c>
      <c r="C1001" s="8" t="s">
        <v>1964</v>
      </c>
      <c r="D1001" s="8"/>
      <c r="E1001" s="6"/>
      <c r="F1001" s="6"/>
    </row>
    <row r="1002" spans="1:6" x14ac:dyDescent="0.3">
      <c r="A1002" s="8" t="s">
        <v>1965</v>
      </c>
      <c r="B1002" s="8" t="s">
        <v>54606</v>
      </c>
      <c r="C1002" s="8" t="s">
        <v>1966</v>
      </c>
      <c r="D1002" s="8"/>
      <c r="E1002" s="6"/>
      <c r="F1002" s="6"/>
    </row>
    <row r="1003" spans="1:6" x14ac:dyDescent="0.3">
      <c r="A1003" s="8" t="s">
        <v>1967</v>
      </c>
      <c r="B1003" s="8" t="s">
        <v>54607</v>
      </c>
      <c r="C1003" s="8" t="s">
        <v>1968</v>
      </c>
      <c r="D1003" s="8"/>
      <c r="E1003" s="6"/>
      <c r="F1003" s="6"/>
    </row>
    <row r="1004" spans="1:6" x14ac:dyDescent="0.3">
      <c r="A1004" s="8" t="s">
        <v>1969</v>
      </c>
      <c r="B1004" s="8" t="s">
        <v>54608</v>
      </c>
      <c r="C1004" s="8" t="s">
        <v>1970</v>
      </c>
      <c r="D1004" s="8"/>
      <c r="E1004" s="6"/>
      <c r="F1004" s="6"/>
    </row>
    <row r="1005" spans="1:6" x14ac:dyDescent="0.3">
      <c r="A1005" s="8" t="s">
        <v>1971</v>
      </c>
      <c r="B1005" s="8" t="s">
        <v>54609</v>
      </c>
      <c r="C1005" s="8" t="s">
        <v>1972</v>
      </c>
      <c r="D1005" s="8"/>
      <c r="E1005" s="6"/>
      <c r="F1005" s="6"/>
    </row>
    <row r="1006" spans="1:6" x14ac:dyDescent="0.3">
      <c r="A1006" s="8" t="s">
        <v>1973</v>
      </c>
      <c r="B1006" s="8" t="s">
        <v>54610</v>
      </c>
      <c r="C1006" s="8" t="s">
        <v>1974</v>
      </c>
      <c r="D1006" s="8"/>
      <c r="E1006" s="6"/>
      <c r="F1006" s="6"/>
    </row>
    <row r="1007" spans="1:6" x14ac:dyDescent="0.3">
      <c r="A1007" s="8" t="s">
        <v>1975</v>
      </c>
      <c r="B1007" s="8" t="s">
        <v>54611</v>
      </c>
      <c r="C1007" s="8" t="s">
        <v>1976</v>
      </c>
      <c r="D1007" s="8"/>
      <c r="E1007" s="6"/>
      <c r="F1007" s="6"/>
    </row>
    <row r="1008" spans="1:6" x14ac:dyDescent="0.3">
      <c r="A1008" s="8" t="s">
        <v>1977</v>
      </c>
      <c r="B1008" s="8" t="s">
        <v>54612</v>
      </c>
      <c r="C1008" s="8" t="s">
        <v>1978</v>
      </c>
      <c r="D1008" s="8"/>
      <c r="E1008" s="6"/>
      <c r="F1008" s="6"/>
    </row>
    <row r="1009" spans="1:6" x14ac:dyDescent="0.3">
      <c r="A1009" s="8" t="s">
        <v>1979</v>
      </c>
      <c r="B1009" s="8" t="s">
        <v>54613</v>
      </c>
      <c r="C1009" s="8" t="s">
        <v>1980</v>
      </c>
      <c r="D1009" s="8"/>
      <c r="E1009" s="6"/>
      <c r="F1009" s="6"/>
    </row>
    <row r="1010" spans="1:6" x14ac:dyDescent="0.3">
      <c r="A1010" s="8" t="s">
        <v>1981</v>
      </c>
      <c r="B1010" s="8" t="s">
        <v>54614</v>
      </c>
      <c r="C1010" s="8" t="s">
        <v>1982</v>
      </c>
      <c r="D1010" s="8"/>
      <c r="E1010" s="6"/>
      <c r="F1010" s="6"/>
    </row>
    <row r="1011" spans="1:6" x14ac:dyDescent="0.3">
      <c r="A1011" s="8" t="s">
        <v>1983</v>
      </c>
      <c r="B1011" s="8" t="s">
        <v>54615</v>
      </c>
      <c r="C1011" s="8" t="s">
        <v>1984</v>
      </c>
      <c r="D1011" s="8"/>
      <c r="E1011" s="6"/>
      <c r="F1011" s="6"/>
    </row>
    <row r="1012" spans="1:6" x14ac:dyDescent="0.3">
      <c r="A1012" s="8" t="s">
        <v>1985</v>
      </c>
      <c r="B1012" s="8" t="s">
        <v>54616</v>
      </c>
      <c r="C1012" s="8" t="s">
        <v>1986</v>
      </c>
      <c r="D1012" s="8"/>
      <c r="E1012" s="6"/>
      <c r="F1012" s="6"/>
    </row>
    <row r="1013" spans="1:6" x14ac:dyDescent="0.3">
      <c r="A1013" s="8" t="s">
        <v>1987</v>
      </c>
      <c r="B1013" s="8" t="s">
        <v>54617</v>
      </c>
      <c r="C1013" s="8" t="s">
        <v>1988</v>
      </c>
      <c r="D1013" s="8"/>
      <c r="E1013" s="6"/>
      <c r="F1013" s="6"/>
    </row>
    <row r="1014" spans="1:6" x14ac:dyDescent="0.3">
      <c r="A1014" s="8" t="s">
        <v>1989</v>
      </c>
      <c r="B1014" s="8" t="s">
        <v>54618</v>
      </c>
      <c r="C1014" s="8" t="s">
        <v>1990</v>
      </c>
      <c r="D1014" s="8"/>
      <c r="E1014" s="6"/>
      <c r="F1014" s="6"/>
    </row>
    <row r="1015" spans="1:6" x14ac:dyDescent="0.3">
      <c r="A1015" s="8" t="s">
        <v>1991</v>
      </c>
      <c r="B1015" s="8" t="s">
        <v>54619</v>
      </c>
      <c r="C1015" s="8" t="s">
        <v>1992</v>
      </c>
      <c r="D1015" s="8"/>
      <c r="E1015" s="6"/>
      <c r="F1015" s="6"/>
    </row>
    <row r="1016" spans="1:6" x14ac:dyDescent="0.3">
      <c r="A1016" s="8" t="s">
        <v>1993</v>
      </c>
      <c r="B1016" s="8" t="s">
        <v>54620</v>
      </c>
      <c r="C1016" s="8" t="s">
        <v>1994</v>
      </c>
      <c r="D1016" s="8"/>
      <c r="E1016" s="6"/>
      <c r="F1016" s="6"/>
    </row>
    <row r="1017" spans="1:6" x14ac:dyDescent="0.3">
      <c r="A1017" s="8" t="s">
        <v>1995</v>
      </c>
      <c r="B1017" s="8" t="s">
        <v>54621</v>
      </c>
      <c r="C1017" s="8" t="s">
        <v>1996</v>
      </c>
      <c r="D1017" s="8"/>
      <c r="E1017" s="6"/>
      <c r="F1017" s="6"/>
    </row>
    <row r="1018" spans="1:6" x14ac:dyDescent="0.3">
      <c r="A1018" s="8" t="s">
        <v>1997</v>
      </c>
      <c r="B1018" s="8" t="s">
        <v>54622</v>
      </c>
      <c r="C1018" s="8" t="s">
        <v>1998</v>
      </c>
      <c r="D1018" s="8"/>
      <c r="E1018" s="6"/>
      <c r="F1018" s="6"/>
    </row>
    <row r="1019" spans="1:6" x14ac:dyDescent="0.3">
      <c r="A1019" s="8" t="s">
        <v>1999</v>
      </c>
      <c r="B1019" s="8" t="s">
        <v>54623</v>
      </c>
      <c r="C1019" s="8" t="s">
        <v>2000</v>
      </c>
      <c r="D1019" s="8"/>
      <c r="E1019" s="6"/>
      <c r="F1019" s="6"/>
    </row>
    <row r="1020" spans="1:6" x14ac:dyDescent="0.3">
      <c r="A1020" s="8" t="s">
        <v>2001</v>
      </c>
      <c r="B1020" s="8" t="s">
        <v>54624</v>
      </c>
      <c r="C1020" s="8" t="s">
        <v>2002</v>
      </c>
      <c r="D1020" s="8"/>
      <c r="E1020" s="6"/>
      <c r="F1020" s="6"/>
    </row>
    <row r="1021" spans="1:6" x14ac:dyDescent="0.3">
      <c r="A1021" s="8" t="s">
        <v>2003</v>
      </c>
      <c r="B1021" s="8" t="s">
        <v>54625</v>
      </c>
      <c r="C1021" s="8" t="s">
        <v>2004</v>
      </c>
      <c r="D1021" s="8"/>
      <c r="E1021" s="6"/>
      <c r="F1021" s="6"/>
    </row>
    <row r="1022" spans="1:6" x14ac:dyDescent="0.3">
      <c r="A1022" s="8" t="s">
        <v>2005</v>
      </c>
      <c r="B1022" s="8" t="s">
        <v>54626</v>
      </c>
      <c r="C1022" s="8" t="s">
        <v>2006</v>
      </c>
      <c r="D1022" s="8"/>
      <c r="E1022" s="6"/>
      <c r="F1022" s="6"/>
    </row>
    <row r="1023" spans="1:6" x14ac:dyDescent="0.3">
      <c r="A1023" s="8" t="s">
        <v>2007</v>
      </c>
      <c r="B1023" s="8" t="s">
        <v>54627</v>
      </c>
      <c r="C1023" s="8" t="s">
        <v>2008</v>
      </c>
      <c r="D1023" s="8"/>
      <c r="E1023" s="6"/>
      <c r="F1023" s="6"/>
    </row>
    <row r="1024" spans="1:6" x14ac:dyDescent="0.3">
      <c r="A1024" s="8" t="s">
        <v>2009</v>
      </c>
      <c r="B1024" s="8" t="s">
        <v>54628</v>
      </c>
      <c r="C1024" s="8" t="s">
        <v>2010</v>
      </c>
      <c r="D1024" s="8"/>
      <c r="E1024" s="6"/>
      <c r="F1024" s="6"/>
    </row>
    <row r="1025" spans="1:6" x14ac:dyDescent="0.3">
      <c r="A1025" s="8" t="s">
        <v>2011</v>
      </c>
      <c r="B1025" s="8" t="s">
        <v>54629</v>
      </c>
      <c r="C1025" s="8" t="s">
        <v>2012</v>
      </c>
      <c r="D1025" s="8"/>
      <c r="E1025" s="6"/>
      <c r="F1025" s="6"/>
    </row>
    <row r="1026" spans="1:6" x14ac:dyDescent="0.3">
      <c r="A1026" s="8" t="s">
        <v>2013</v>
      </c>
      <c r="B1026" s="8" t="s">
        <v>54630</v>
      </c>
      <c r="C1026" s="8" t="s">
        <v>2014</v>
      </c>
      <c r="D1026" s="8"/>
      <c r="E1026" s="6"/>
      <c r="F1026" s="6"/>
    </row>
    <row r="1027" spans="1:6" x14ac:dyDescent="0.3">
      <c r="A1027" s="8" t="s">
        <v>2015</v>
      </c>
      <c r="B1027" s="8" t="s">
        <v>54631</v>
      </c>
      <c r="C1027" s="8" t="s">
        <v>2016</v>
      </c>
      <c r="D1027" s="8"/>
      <c r="E1027" s="6"/>
      <c r="F1027" s="6"/>
    </row>
    <row r="1028" spans="1:6" x14ac:dyDescent="0.3">
      <c r="A1028" s="8" t="s">
        <v>2017</v>
      </c>
      <c r="B1028" s="8" t="s">
        <v>54632</v>
      </c>
      <c r="C1028" s="8" t="s">
        <v>2018</v>
      </c>
      <c r="D1028" s="8"/>
      <c r="E1028" s="6"/>
      <c r="F1028" s="6"/>
    </row>
    <row r="1029" spans="1:6" x14ac:dyDescent="0.3">
      <c r="A1029" s="8" t="s">
        <v>2019</v>
      </c>
      <c r="B1029" s="8" t="s">
        <v>54633</v>
      </c>
      <c r="C1029" s="8" t="s">
        <v>2020</v>
      </c>
      <c r="D1029" s="8"/>
      <c r="E1029" s="6"/>
      <c r="F1029" s="6"/>
    </row>
    <row r="1030" spans="1:6" x14ac:dyDescent="0.3">
      <c r="A1030" s="8" t="s">
        <v>2021</v>
      </c>
      <c r="B1030" s="8" t="s">
        <v>54634</v>
      </c>
      <c r="C1030" s="8" t="s">
        <v>2022</v>
      </c>
      <c r="D1030" s="8"/>
      <c r="E1030" s="6"/>
      <c r="F1030" s="6"/>
    </row>
    <row r="1031" spans="1:6" x14ac:dyDescent="0.3">
      <c r="A1031" s="8" t="s">
        <v>2023</v>
      </c>
      <c r="B1031" s="8" t="s">
        <v>54635</v>
      </c>
      <c r="C1031" s="8" t="s">
        <v>2024</v>
      </c>
      <c r="D1031" s="8"/>
      <c r="E1031" s="6"/>
      <c r="F1031" s="6"/>
    </row>
    <row r="1032" spans="1:6" x14ac:dyDescent="0.3">
      <c r="A1032" s="8" t="s">
        <v>2025</v>
      </c>
      <c r="B1032" s="8" t="s">
        <v>54636</v>
      </c>
      <c r="C1032" s="8" t="s">
        <v>2026</v>
      </c>
      <c r="D1032" s="8"/>
      <c r="E1032" s="6"/>
      <c r="F1032" s="6"/>
    </row>
    <row r="1033" spans="1:6" x14ac:dyDescent="0.3">
      <c r="A1033" s="8" t="s">
        <v>2027</v>
      </c>
      <c r="B1033" s="8" t="s">
        <v>54637</v>
      </c>
      <c r="C1033" s="8" t="s">
        <v>2028</v>
      </c>
      <c r="D1033" s="8"/>
      <c r="E1033" s="6"/>
      <c r="F1033" s="6"/>
    </row>
    <row r="1034" spans="1:6" x14ac:dyDescent="0.3">
      <c r="A1034" s="8" t="s">
        <v>2029</v>
      </c>
      <c r="B1034" s="8" t="s">
        <v>54638</v>
      </c>
      <c r="C1034" s="8" t="s">
        <v>2030</v>
      </c>
      <c r="D1034" s="8"/>
      <c r="E1034" s="6"/>
      <c r="F1034" s="6"/>
    </row>
    <row r="1035" spans="1:6" x14ac:dyDescent="0.3">
      <c r="A1035" s="8" t="s">
        <v>2031</v>
      </c>
      <c r="B1035" s="8" t="s">
        <v>54639</v>
      </c>
      <c r="C1035" s="8" t="s">
        <v>2032</v>
      </c>
      <c r="D1035" s="8"/>
      <c r="E1035" s="6"/>
      <c r="F1035" s="6"/>
    </row>
    <row r="1036" spans="1:6" x14ac:dyDescent="0.3">
      <c r="A1036" s="8" t="s">
        <v>2033</v>
      </c>
      <c r="B1036" s="8" t="s">
        <v>54640</v>
      </c>
      <c r="C1036" s="8" t="s">
        <v>2034</v>
      </c>
      <c r="D1036" s="8"/>
      <c r="E1036" s="6"/>
      <c r="F1036" s="6"/>
    </row>
    <row r="1037" spans="1:6" x14ac:dyDescent="0.3">
      <c r="A1037" s="8" t="s">
        <v>2035</v>
      </c>
      <c r="B1037" s="8" t="s">
        <v>54641</v>
      </c>
      <c r="C1037" s="8" t="s">
        <v>2036</v>
      </c>
      <c r="D1037" s="8"/>
      <c r="E1037" s="6"/>
      <c r="F1037" s="6"/>
    </row>
    <row r="1038" spans="1:6" x14ac:dyDescent="0.3">
      <c r="A1038" s="8" t="s">
        <v>2037</v>
      </c>
      <c r="B1038" s="8" t="s">
        <v>54642</v>
      </c>
      <c r="C1038" s="8" t="s">
        <v>2038</v>
      </c>
      <c r="D1038" s="8"/>
      <c r="E1038" s="6"/>
      <c r="F1038" s="6"/>
    </row>
    <row r="1039" spans="1:6" x14ac:dyDescent="0.3">
      <c r="A1039" s="8" t="s">
        <v>2039</v>
      </c>
      <c r="B1039" s="8" t="s">
        <v>54643</v>
      </c>
      <c r="C1039" s="8" t="s">
        <v>2040</v>
      </c>
      <c r="D1039" s="8"/>
      <c r="E1039" s="6"/>
      <c r="F1039" s="6"/>
    </row>
    <row r="1040" spans="1:6" x14ac:dyDescent="0.3">
      <c r="A1040" s="8" t="s">
        <v>2041</v>
      </c>
      <c r="B1040" s="8" t="s">
        <v>54644</v>
      </c>
      <c r="C1040" s="8" t="s">
        <v>2042</v>
      </c>
      <c r="D1040" s="8"/>
      <c r="E1040" s="6"/>
      <c r="F1040" s="6"/>
    </row>
    <row r="1041" spans="1:6" x14ac:dyDescent="0.3">
      <c r="A1041" s="8" t="s">
        <v>2043</v>
      </c>
      <c r="B1041" s="8" t="s">
        <v>54645</v>
      </c>
      <c r="C1041" s="8" t="s">
        <v>2044</v>
      </c>
      <c r="D1041" s="8"/>
      <c r="E1041" s="6"/>
      <c r="F1041" s="6"/>
    </row>
    <row r="1042" spans="1:6" x14ac:dyDescent="0.3">
      <c r="A1042" s="8" t="s">
        <v>2045</v>
      </c>
      <c r="B1042" s="8" t="s">
        <v>54646</v>
      </c>
      <c r="C1042" s="8" t="s">
        <v>2046</v>
      </c>
      <c r="D1042" s="8"/>
      <c r="E1042" s="6"/>
      <c r="F1042" s="6"/>
    </row>
    <row r="1043" spans="1:6" x14ac:dyDescent="0.3">
      <c r="A1043" s="8" t="s">
        <v>2047</v>
      </c>
      <c r="B1043" s="8" t="s">
        <v>54647</v>
      </c>
      <c r="C1043" s="8" t="s">
        <v>2048</v>
      </c>
      <c r="D1043" s="8"/>
      <c r="E1043" s="6"/>
      <c r="F1043" s="6"/>
    </row>
    <row r="1044" spans="1:6" x14ac:dyDescent="0.3">
      <c r="A1044" s="8" t="s">
        <v>2049</v>
      </c>
      <c r="B1044" s="8" t="s">
        <v>54648</v>
      </c>
      <c r="C1044" s="8" t="s">
        <v>2050</v>
      </c>
      <c r="D1044" s="8"/>
      <c r="E1044" s="6"/>
      <c r="F1044" s="6"/>
    </row>
    <row r="1045" spans="1:6" x14ac:dyDescent="0.3">
      <c r="A1045" s="8" t="s">
        <v>2051</v>
      </c>
      <c r="B1045" s="8" t="s">
        <v>54649</v>
      </c>
      <c r="C1045" s="8" t="s">
        <v>2052</v>
      </c>
      <c r="D1045" s="8"/>
      <c r="E1045" s="6"/>
      <c r="F1045" s="6"/>
    </row>
    <row r="1046" spans="1:6" x14ac:dyDescent="0.3">
      <c r="A1046" s="8" t="s">
        <v>2053</v>
      </c>
      <c r="B1046" s="8" t="s">
        <v>54650</v>
      </c>
      <c r="C1046" s="8" t="s">
        <v>2054</v>
      </c>
      <c r="D1046" s="8"/>
      <c r="E1046" s="6"/>
      <c r="F1046" s="6"/>
    </row>
    <row r="1047" spans="1:6" x14ac:dyDescent="0.3">
      <c r="A1047" s="8" t="s">
        <v>2055</v>
      </c>
      <c r="B1047" s="8" t="s">
        <v>54651</v>
      </c>
      <c r="C1047" s="8" t="s">
        <v>2056</v>
      </c>
      <c r="D1047" s="8"/>
      <c r="E1047" s="6"/>
      <c r="F1047" s="6"/>
    </row>
    <row r="1048" spans="1:6" x14ac:dyDescent="0.3">
      <c r="A1048" s="8" t="s">
        <v>2057</v>
      </c>
      <c r="B1048" s="8" t="s">
        <v>54652</v>
      </c>
      <c r="C1048" s="8" t="s">
        <v>2058</v>
      </c>
      <c r="D1048" s="8"/>
      <c r="E1048" s="6"/>
      <c r="F1048" s="6"/>
    </row>
    <row r="1049" spans="1:6" x14ac:dyDescent="0.3">
      <c r="A1049" s="8" t="s">
        <v>2059</v>
      </c>
      <c r="B1049" s="8" t="s">
        <v>54653</v>
      </c>
      <c r="C1049" s="8" t="s">
        <v>2060</v>
      </c>
      <c r="D1049" s="8"/>
      <c r="E1049" s="6"/>
      <c r="F1049" s="6"/>
    </row>
    <row r="1050" spans="1:6" x14ac:dyDescent="0.3">
      <c r="A1050" s="8" t="s">
        <v>2061</v>
      </c>
      <c r="B1050" s="8" t="s">
        <v>54654</v>
      </c>
      <c r="C1050" s="8" t="s">
        <v>2062</v>
      </c>
      <c r="D1050" s="8"/>
      <c r="E1050" s="6"/>
      <c r="F1050" s="6"/>
    </row>
    <row r="1051" spans="1:6" x14ac:dyDescent="0.3">
      <c r="A1051" s="8" t="s">
        <v>2063</v>
      </c>
      <c r="B1051" s="8" t="s">
        <v>54655</v>
      </c>
      <c r="C1051" s="8" t="s">
        <v>2064</v>
      </c>
      <c r="D1051" s="8"/>
      <c r="E1051" s="6"/>
      <c r="F1051" s="6"/>
    </row>
    <row r="1052" spans="1:6" x14ac:dyDescent="0.3">
      <c r="A1052" s="8" t="s">
        <v>2065</v>
      </c>
      <c r="B1052" s="8" t="s">
        <v>54656</v>
      </c>
      <c r="C1052" s="8" t="s">
        <v>2066</v>
      </c>
      <c r="D1052" s="8"/>
      <c r="E1052" s="6"/>
      <c r="F1052" s="6"/>
    </row>
    <row r="1053" spans="1:6" x14ac:dyDescent="0.3">
      <c r="A1053" s="8" t="s">
        <v>2067</v>
      </c>
      <c r="B1053" s="8" t="s">
        <v>54657</v>
      </c>
      <c r="C1053" s="8" t="s">
        <v>2068</v>
      </c>
      <c r="D1053" s="8"/>
      <c r="E1053" s="6"/>
      <c r="F1053" s="6"/>
    </row>
    <row r="1054" spans="1:6" x14ac:dyDescent="0.3">
      <c r="A1054" s="8" t="s">
        <v>2069</v>
      </c>
      <c r="B1054" s="8" t="s">
        <v>54658</v>
      </c>
      <c r="C1054" s="8" t="s">
        <v>2070</v>
      </c>
      <c r="D1054" s="8"/>
      <c r="E1054" s="6"/>
      <c r="F1054" s="6"/>
    </row>
    <row r="1055" spans="1:6" x14ac:dyDescent="0.3">
      <c r="A1055" s="8" t="s">
        <v>2071</v>
      </c>
      <c r="B1055" s="8" t="s">
        <v>54659</v>
      </c>
      <c r="C1055" s="8" t="s">
        <v>2072</v>
      </c>
      <c r="D1055" s="8"/>
      <c r="E1055" s="6"/>
      <c r="F1055" s="6"/>
    </row>
    <row r="1056" spans="1:6" x14ac:dyDescent="0.3">
      <c r="A1056" s="8" t="s">
        <v>2073</v>
      </c>
      <c r="B1056" s="8" t="s">
        <v>54660</v>
      </c>
      <c r="C1056" s="8" t="s">
        <v>2074</v>
      </c>
      <c r="D1056" s="8"/>
      <c r="E1056" s="6"/>
      <c r="F1056" s="6"/>
    </row>
    <row r="1057" spans="1:6" x14ac:dyDescent="0.3">
      <c r="A1057" s="8" t="s">
        <v>2075</v>
      </c>
      <c r="B1057" s="8" t="s">
        <v>54661</v>
      </c>
      <c r="C1057" s="8" t="s">
        <v>2076</v>
      </c>
      <c r="D1057" s="8"/>
      <c r="E1057" s="6"/>
      <c r="F1057" s="6"/>
    </row>
    <row r="1058" spans="1:6" x14ac:dyDescent="0.3">
      <c r="A1058" s="8" t="s">
        <v>2077</v>
      </c>
      <c r="B1058" s="8" t="s">
        <v>54662</v>
      </c>
      <c r="C1058" s="8" t="s">
        <v>2078</v>
      </c>
      <c r="D1058" s="8"/>
      <c r="E1058" s="6"/>
      <c r="F1058" s="6"/>
    </row>
    <row r="1059" spans="1:6" x14ac:dyDescent="0.3">
      <c r="A1059" s="8" t="s">
        <v>2079</v>
      </c>
      <c r="B1059" s="8" t="s">
        <v>54663</v>
      </c>
      <c r="C1059" s="8" t="s">
        <v>2080</v>
      </c>
      <c r="D1059" s="8"/>
      <c r="E1059" s="6"/>
      <c r="F1059" s="6"/>
    </row>
    <row r="1060" spans="1:6" x14ac:dyDescent="0.3">
      <c r="A1060" s="8" t="s">
        <v>2081</v>
      </c>
      <c r="B1060" s="8" t="s">
        <v>54664</v>
      </c>
      <c r="C1060" s="8" t="s">
        <v>2082</v>
      </c>
      <c r="D1060" s="8"/>
      <c r="E1060" s="6"/>
      <c r="F1060" s="6"/>
    </row>
    <row r="1061" spans="1:6" x14ac:dyDescent="0.3">
      <c r="A1061" s="8" t="s">
        <v>2083</v>
      </c>
      <c r="B1061" s="8" t="s">
        <v>54665</v>
      </c>
      <c r="C1061" s="8" t="s">
        <v>2084</v>
      </c>
      <c r="D1061" s="8"/>
      <c r="E1061" s="6"/>
      <c r="F1061" s="6"/>
    </row>
    <row r="1062" spans="1:6" x14ac:dyDescent="0.3">
      <c r="A1062" s="8" t="s">
        <v>2085</v>
      </c>
      <c r="B1062" s="8" t="s">
        <v>54666</v>
      </c>
      <c r="C1062" s="8" t="s">
        <v>2086</v>
      </c>
      <c r="D1062" s="8"/>
      <c r="E1062" s="6"/>
      <c r="F1062" s="6"/>
    </row>
    <row r="1063" spans="1:6" x14ac:dyDescent="0.3">
      <c r="A1063" s="8" t="s">
        <v>2087</v>
      </c>
      <c r="B1063" s="8" t="s">
        <v>54667</v>
      </c>
      <c r="C1063" s="8" t="s">
        <v>2088</v>
      </c>
      <c r="D1063" s="8"/>
      <c r="E1063" s="6"/>
      <c r="F1063" s="6"/>
    </row>
    <row r="1064" spans="1:6" x14ac:dyDescent="0.3">
      <c r="A1064" s="8" t="s">
        <v>2089</v>
      </c>
      <c r="B1064" s="8" t="s">
        <v>54668</v>
      </c>
      <c r="C1064" s="8" t="s">
        <v>2090</v>
      </c>
      <c r="D1064" s="8"/>
      <c r="E1064" s="6"/>
      <c r="F1064" s="6"/>
    </row>
    <row r="1065" spans="1:6" x14ac:dyDescent="0.3">
      <c r="A1065" s="8" t="s">
        <v>2091</v>
      </c>
      <c r="B1065" s="8" t="s">
        <v>54669</v>
      </c>
      <c r="C1065" s="8" t="s">
        <v>2092</v>
      </c>
      <c r="D1065" s="8"/>
      <c r="E1065" s="6"/>
      <c r="F1065" s="6"/>
    </row>
    <row r="1066" spans="1:6" x14ac:dyDescent="0.3">
      <c r="A1066" s="8" t="s">
        <v>2093</v>
      </c>
      <c r="B1066" s="8" t="s">
        <v>54670</v>
      </c>
      <c r="C1066" s="8" t="s">
        <v>2094</v>
      </c>
      <c r="D1066" s="8"/>
      <c r="E1066" s="6"/>
      <c r="F1066" s="6"/>
    </row>
    <row r="1067" spans="1:6" x14ac:dyDescent="0.3">
      <c r="A1067" s="8" t="s">
        <v>2095</v>
      </c>
      <c r="B1067" s="8" t="s">
        <v>54671</v>
      </c>
      <c r="C1067" s="8" t="s">
        <v>2096</v>
      </c>
      <c r="D1067" s="8"/>
      <c r="E1067" s="6"/>
      <c r="F1067" s="6"/>
    </row>
    <row r="1068" spans="1:6" x14ac:dyDescent="0.3">
      <c r="A1068" s="8" t="s">
        <v>2097</v>
      </c>
      <c r="B1068" s="8" t="s">
        <v>54672</v>
      </c>
      <c r="C1068" s="8" t="s">
        <v>2098</v>
      </c>
      <c r="D1068" s="8"/>
      <c r="E1068" s="6"/>
      <c r="F1068" s="6"/>
    </row>
    <row r="1069" spans="1:6" x14ac:dyDescent="0.3">
      <c r="A1069" s="8" t="s">
        <v>2099</v>
      </c>
      <c r="B1069" s="8" t="s">
        <v>54673</v>
      </c>
      <c r="C1069" s="8" t="s">
        <v>2100</v>
      </c>
      <c r="D1069" s="8"/>
      <c r="E1069" s="6"/>
      <c r="F1069" s="6"/>
    </row>
    <row r="1070" spans="1:6" x14ac:dyDescent="0.3">
      <c r="A1070" s="8" t="s">
        <v>2101</v>
      </c>
      <c r="B1070" s="8" t="s">
        <v>54674</v>
      </c>
      <c r="C1070" s="8" t="s">
        <v>2102</v>
      </c>
      <c r="D1070" s="8"/>
      <c r="E1070" s="6"/>
      <c r="F1070" s="6"/>
    </row>
    <row r="1071" spans="1:6" x14ac:dyDescent="0.3">
      <c r="A1071" s="8" t="s">
        <v>2103</v>
      </c>
      <c r="B1071" s="8" t="s">
        <v>54675</v>
      </c>
      <c r="C1071" s="8" t="s">
        <v>2104</v>
      </c>
      <c r="D1071" s="8"/>
      <c r="E1071" s="6"/>
      <c r="F1071" s="6"/>
    </row>
    <row r="1072" spans="1:6" x14ac:dyDescent="0.3">
      <c r="A1072" s="8" t="s">
        <v>2105</v>
      </c>
      <c r="B1072" s="8" t="s">
        <v>54676</v>
      </c>
      <c r="C1072" s="8" t="s">
        <v>2106</v>
      </c>
      <c r="D1072" s="8"/>
      <c r="E1072" s="6"/>
      <c r="F1072" s="6"/>
    </row>
    <row r="1073" spans="1:6" x14ac:dyDescent="0.3">
      <c r="A1073" s="8" t="s">
        <v>2107</v>
      </c>
      <c r="B1073" s="8" t="s">
        <v>54677</v>
      </c>
      <c r="C1073" s="8" t="s">
        <v>2108</v>
      </c>
      <c r="D1073" s="8"/>
      <c r="E1073" s="6"/>
      <c r="F1073" s="6"/>
    </row>
    <row r="1074" spans="1:6" x14ac:dyDescent="0.3">
      <c r="A1074" s="8" t="s">
        <v>2109</v>
      </c>
      <c r="B1074" s="8" t="s">
        <v>54678</v>
      </c>
      <c r="C1074" s="8" t="s">
        <v>2110</v>
      </c>
      <c r="D1074" s="8"/>
      <c r="E1074" s="6"/>
      <c r="F1074" s="6"/>
    </row>
    <row r="1075" spans="1:6" x14ac:dyDescent="0.3">
      <c r="A1075" s="8" t="s">
        <v>2111</v>
      </c>
      <c r="B1075" s="8" t="s">
        <v>54679</v>
      </c>
      <c r="C1075" s="8" t="s">
        <v>2112</v>
      </c>
      <c r="D1075" s="8"/>
      <c r="E1075" s="6"/>
      <c r="F1075" s="6"/>
    </row>
    <row r="1076" spans="1:6" x14ac:dyDescent="0.3">
      <c r="A1076" s="8" t="s">
        <v>2113</v>
      </c>
      <c r="B1076" s="8" t="s">
        <v>54680</v>
      </c>
      <c r="C1076" s="8" t="s">
        <v>2114</v>
      </c>
      <c r="D1076" s="8"/>
      <c r="E1076" s="6"/>
      <c r="F1076" s="6"/>
    </row>
    <row r="1077" spans="1:6" x14ac:dyDescent="0.3">
      <c r="A1077" s="8" t="s">
        <v>2115</v>
      </c>
      <c r="B1077" s="8" t="s">
        <v>54681</v>
      </c>
      <c r="C1077" s="8" t="s">
        <v>2116</v>
      </c>
      <c r="D1077" s="8"/>
      <c r="E1077" s="6"/>
      <c r="F1077" s="6"/>
    </row>
    <row r="1078" spans="1:6" x14ac:dyDescent="0.3">
      <c r="A1078" s="8" t="s">
        <v>2117</v>
      </c>
      <c r="B1078" s="8" t="s">
        <v>54682</v>
      </c>
      <c r="C1078" s="8" t="s">
        <v>2118</v>
      </c>
      <c r="D1078" s="8"/>
      <c r="E1078" s="6"/>
      <c r="F1078" s="6"/>
    </row>
    <row r="1079" spans="1:6" x14ac:dyDescent="0.3">
      <c r="A1079" s="8" t="s">
        <v>2119</v>
      </c>
      <c r="B1079" s="8" t="s">
        <v>54683</v>
      </c>
      <c r="C1079" s="8" t="s">
        <v>2120</v>
      </c>
      <c r="D1079" s="8"/>
      <c r="E1079" s="6"/>
      <c r="F1079" s="6"/>
    </row>
    <row r="1080" spans="1:6" x14ac:dyDescent="0.3">
      <c r="A1080" s="8" t="s">
        <v>2121</v>
      </c>
      <c r="B1080" s="8" t="s">
        <v>54684</v>
      </c>
      <c r="C1080" s="8" t="s">
        <v>2122</v>
      </c>
      <c r="D1080" s="8"/>
      <c r="E1080" s="6"/>
      <c r="F1080" s="6"/>
    </row>
    <row r="1081" spans="1:6" x14ac:dyDescent="0.3">
      <c r="A1081" s="8" t="s">
        <v>2123</v>
      </c>
      <c r="B1081" s="8" t="s">
        <v>54685</v>
      </c>
      <c r="C1081" s="8" t="s">
        <v>2124</v>
      </c>
      <c r="D1081" s="8"/>
      <c r="E1081" s="6"/>
      <c r="F1081" s="6"/>
    </row>
    <row r="1082" spans="1:6" x14ac:dyDescent="0.3">
      <c r="A1082" s="8" t="s">
        <v>2125</v>
      </c>
      <c r="B1082" s="8" t="s">
        <v>54686</v>
      </c>
      <c r="C1082" s="8" t="s">
        <v>2126</v>
      </c>
      <c r="D1082" s="8"/>
      <c r="E1082" s="6"/>
      <c r="F1082" s="6"/>
    </row>
    <row r="1083" spans="1:6" x14ac:dyDescent="0.3">
      <c r="A1083" s="8" t="s">
        <v>2127</v>
      </c>
      <c r="B1083" s="8" t="s">
        <v>54687</v>
      </c>
      <c r="C1083" s="8" t="s">
        <v>2128</v>
      </c>
      <c r="D1083" s="8"/>
      <c r="E1083" s="6"/>
      <c r="F1083" s="6"/>
    </row>
    <row r="1084" spans="1:6" x14ac:dyDescent="0.3">
      <c r="A1084" s="8" t="s">
        <v>2129</v>
      </c>
      <c r="B1084" s="8" t="s">
        <v>54688</v>
      </c>
      <c r="C1084" s="8" t="s">
        <v>2130</v>
      </c>
      <c r="D1084" s="8"/>
      <c r="E1084" s="6"/>
      <c r="F1084" s="6"/>
    </row>
    <row r="1085" spans="1:6" x14ac:dyDescent="0.3">
      <c r="A1085" s="8" t="s">
        <v>2131</v>
      </c>
      <c r="B1085" s="8" t="s">
        <v>54689</v>
      </c>
      <c r="C1085" s="8" t="s">
        <v>2132</v>
      </c>
      <c r="D1085" s="8"/>
      <c r="E1085" s="6"/>
      <c r="F1085" s="6"/>
    </row>
    <row r="1086" spans="1:6" x14ac:dyDescent="0.3">
      <c r="A1086" s="8" t="s">
        <v>2133</v>
      </c>
      <c r="B1086" s="8" t="s">
        <v>54690</v>
      </c>
      <c r="C1086" s="8" t="s">
        <v>2134</v>
      </c>
      <c r="D1086" s="8"/>
      <c r="E1086" s="6"/>
      <c r="F1086" s="6"/>
    </row>
    <row r="1087" spans="1:6" x14ac:dyDescent="0.3">
      <c r="A1087" s="8" t="s">
        <v>2135</v>
      </c>
      <c r="B1087" s="8" t="s">
        <v>54691</v>
      </c>
      <c r="C1087" s="8" t="s">
        <v>2136</v>
      </c>
      <c r="D1087" s="8"/>
      <c r="E1087" s="6"/>
      <c r="F1087" s="6"/>
    </row>
    <row r="1088" spans="1:6" x14ac:dyDescent="0.3">
      <c r="A1088" s="8" t="s">
        <v>2137</v>
      </c>
      <c r="B1088" s="8" t="s">
        <v>54692</v>
      </c>
      <c r="C1088" s="8" t="s">
        <v>2138</v>
      </c>
      <c r="D1088" s="8"/>
      <c r="E1088" s="6"/>
      <c r="F1088" s="6"/>
    </row>
    <row r="1089" spans="1:6" x14ac:dyDescent="0.3">
      <c r="A1089" s="8" t="s">
        <v>2139</v>
      </c>
      <c r="B1089" s="8" t="s">
        <v>54693</v>
      </c>
      <c r="C1089" s="8" t="s">
        <v>2140</v>
      </c>
      <c r="D1089" s="8"/>
      <c r="E1089" s="6"/>
      <c r="F1089" s="6"/>
    </row>
    <row r="1090" spans="1:6" x14ac:dyDescent="0.3">
      <c r="A1090" s="8" t="s">
        <v>2141</v>
      </c>
      <c r="B1090" s="8" t="s">
        <v>54694</v>
      </c>
      <c r="C1090" s="8" t="s">
        <v>2142</v>
      </c>
      <c r="D1090" s="8"/>
      <c r="E1090" s="6"/>
      <c r="F1090" s="6"/>
    </row>
    <row r="1091" spans="1:6" x14ac:dyDescent="0.3">
      <c r="A1091" s="8" t="s">
        <v>2143</v>
      </c>
      <c r="B1091" s="8" t="s">
        <v>54695</v>
      </c>
      <c r="C1091" s="8" t="s">
        <v>2144</v>
      </c>
      <c r="D1091" s="8"/>
      <c r="E1091" s="6"/>
      <c r="F1091" s="6"/>
    </row>
    <row r="1092" spans="1:6" x14ac:dyDescent="0.3">
      <c r="A1092" s="8" t="s">
        <v>2145</v>
      </c>
      <c r="B1092" s="8" t="s">
        <v>54696</v>
      </c>
      <c r="C1092" s="8" t="s">
        <v>2146</v>
      </c>
      <c r="D1092" s="8"/>
      <c r="E1092" s="6"/>
      <c r="F1092" s="6"/>
    </row>
    <row r="1093" spans="1:6" x14ac:dyDescent="0.3">
      <c r="A1093" s="8" t="s">
        <v>2147</v>
      </c>
      <c r="B1093" s="8" t="s">
        <v>54697</v>
      </c>
      <c r="C1093" s="8" t="s">
        <v>2148</v>
      </c>
      <c r="D1093" s="8"/>
      <c r="E1093" s="6"/>
      <c r="F1093" s="6"/>
    </row>
    <row r="1094" spans="1:6" x14ac:dyDescent="0.3">
      <c r="A1094" s="8" t="s">
        <v>2149</v>
      </c>
      <c r="B1094" s="8" t="s">
        <v>54698</v>
      </c>
      <c r="C1094" s="8" t="s">
        <v>2150</v>
      </c>
      <c r="D1094" s="8"/>
      <c r="E1094" s="6"/>
      <c r="F1094" s="6"/>
    </row>
    <row r="1095" spans="1:6" x14ac:dyDescent="0.3">
      <c r="A1095" s="8" t="s">
        <v>2151</v>
      </c>
      <c r="B1095" s="8" t="s">
        <v>54699</v>
      </c>
      <c r="C1095" s="8" t="s">
        <v>2152</v>
      </c>
      <c r="D1095" s="8"/>
      <c r="E1095" s="6"/>
      <c r="F1095" s="6"/>
    </row>
    <row r="1096" spans="1:6" x14ac:dyDescent="0.3">
      <c r="A1096" s="8" t="s">
        <v>2153</v>
      </c>
      <c r="B1096" s="8" t="s">
        <v>54700</v>
      </c>
      <c r="C1096" s="8" t="s">
        <v>2154</v>
      </c>
      <c r="D1096" s="8"/>
      <c r="E1096" s="6"/>
      <c r="F1096" s="6"/>
    </row>
    <row r="1097" spans="1:6" x14ac:dyDescent="0.3">
      <c r="A1097" s="8" t="s">
        <v>2155</v>
      </c>
      <c r="B1097" s="8" t="s">
        <v>54701</v>
      </c>
      <c r="C1097" s="8" t="s">
        <v>2156</v>
      </c>
      <c r="D1097" s="8"/>
      <c r="E1097" s="6"/>
      <c r="F1097" s="6"/>
    </row>
    <row r="1098" spans="1:6" x14ac:dyDescent="0.3">
      <c r="A1098" s="8" t="s">
        <v>2157</v>
      </c>
      <c r="B1098" s="8" t="s">
        <v>54702</v>
      </c>
      <c r="C1098" s="8" t="s">
        <v>2158</v>
      </c>
      <c r="D1098" s="8"/>
      <c r="E1098" s="6"/>
      <c r="F1098" s="6"/>
    </row>
    <row r="1099" spans="1:6" x14ac:dyDescent="0.3">
      <c r="A1099" s="8" t="s">
        <v>2159</v>
      </c>
      <c r="B1099" s="8" t="s">
        <v>54703</v>
      </c>
      <c r="C1099" s="8" t="s">
        <v>2160</v>
      </c>
      <c r="D1099" s="8"/>
      <c r="E1099" s="6"/>
      <c r="F1099" s="6"/>
    </row>
    <row r="1100" spans="1:6" x14ac:dyDescent="0.3">
      <c r="A1100" s="8" t="s">
        <v>2161</v>
      </c>
      <c r="B1100" s="8" t="s">
        <v>54704</v>
      </c>
      <c r="C1100" s="8" t="s">
        <v>2162</v>
      </c>
      <c r="D1100" s="8"/>
      <c r="E1100" s="6"/>
      <c r="F1100" s="6"/>
    </row>
    <row r="1101" spans="1:6" x14ac:dyDescent="0.3">
      <c r="A1101" s="8" t="s">
        <v>2163</v>
      </c>
      <c r="B1101" s="8" t="s">
        <v>54705</v>
      </c>
      <c r="C1101" s="8" t="s">
        <v>2164</v>
      </c>
      <c r="D1101" s="8"/>
      <c r="E1101" s="6"/>
      <c r="F1101" s="6"/>
    </row>
    <row r="1102" spans="1:6" x14ac:dyDescent="0.3">
      <c r="A1102" s="8" t="s">
        <v>2165</v>
      </c>
      <c r="B1102" s="8" t="s">
        <v>54706</v>
      </c>
      <c r="C1102" s="8" t="s">
        <v>2166</v>
      </c>
      <c r="D1102" s="8"/>
      <c r="E1102" s="6"/>
      <c r="F1102" s="6"/>
    </row>
    <row r="1103" spans="1:6" x14ac:dyDescent="0.3">
      <c r="A1103" s="8" t="s">
        <v>2167</v>
      </c>
      <c r="B1103" s="8" t="s">
        <v>54707</v>
      </c>
      <c r="C1103" s="8" t="s">
        <v>2168</v>
      </c>
      <c r="D1103" s="8"/>
      <c r="E1103" s="6"/>
      <c r="F1103" s="6"/>
    </row>
    <row r="1104" spans="1:6" x14ac:dyDescent="0.3">
      <c r="A1104" s="8" t="s">
        <v>2169</v>
      </c>
      <c r="B1104" s="8" t="s">
        <v>54708</v>
      </c>
      <c r="C1104" s="8" t="s">
        <v>2170</v>
      </c>
      <c r="D1104" s="8"/>
      <c r="E1104" s="6"/>
      <c r="F1104" s="6"/>
    </row>
    <row r="1105" spans="1:6" x14ac:dyDescent="0.3">
      <c r="A1105" s="8" t="s">
        <v>2171</v>
      </c>
      <c r="B1105" s="8" t="s">
        <v>54709</v>
      </c>
      <c r="C1105" s="8" t="s">
        <v>2172</v>
      </c>
      <c r="D1105" s="8"/>
      <c r="E1105" s="6"/>
      <c r="F1105" s="6"/>
    </row>
    <row r="1106" spans="1:6" x14ac:dyDescent="0.3">
      <c r="A1106" s="8" t="s">
        <v>2173</v>
      </c>
      <c r="B1106" s="8" t="s">
        <v>54710</v>
      </c>
      <c r="C1106" s="8" t="s">
        <v>2174</v>
      </c>
      <c r="D1106" s="8"/>
      <c r="E1106" s="6"/>
      <c r="F1106" s="6"/>
    </row>
    <row r="1107" spans="1:6" x14ac:dyDescent="0.3">
      <c r="A1107" s="8" t="s">
        <v>2175</v>
      </c>
      <c r="B1107" s="8" t="s">
        <v>54711</v>
      </c>
      <c r="C1107" s="8" t="s">
        <v>2176</v>
      </c>
      <c r="D1107" s="8"/>
      <c r="E1107" s="6"/>
      <c r="F1107" s="6"/>
    </row>
    <row r="1108" spans="1:6" x14ac:dyDescent="0.3">
      <c r="A1108" s="8" t="s">
        <v>2177</v>
      </c>
      <c r="B1108" s="8" t="s">
        <v>54712</v>
      </c>
      <c r="C1108" s="8" t="s">
        <v>2178</v>
      </c>
      <c r="D1108" s="8"/>
      <c r="E1108" s="6"/>
      <c r="F1108" s="6"/>
    </row>
    <row r="1109" spans="1:6" x14ac:dyDescent="0.3">
      <c r="A1109" s="8" t="s">
        <v>2179</v>
      </c>
      <c r="B1109" s="8" t="s">
        <v>54713</v>
      </c>
      <c r="C1109" s="8" t="s">
        <v>2180</v>
      </c>
      <c r="D1109" s="8"/>
      <c r="E1109" s="6"/>
      <c r="F1109" s="6"/>
    </row>
    <row r="1110" spans="1:6" x14ac:dyDescent="0.3">
      <c r="A1110" s="8" t="s">
        <v>2181</v>
      </c>
      <c r="B1110" s="8" t="s">
        <v>54714</v>
      </c>
      <c r="C1110" s="8" t="s">
        <v>2182</v>
      </c>
      <c r="D1110" s="8"/>
      <c r="E1110" s="6"/>
      <c r="F1110" s="6"/>
    </row>
    <row r="1111" spans="1:6" x14ac:dyDescent="0.3">
      <c r="A1111" s="8" t="s">
        <v>2183</v>
      </c>
      <c r="B1111" s="8" t="s">
        <v>54715</v>
      </c>
      <c r="C1111" s="8" t="s">
        <v>2184</v>
      </c>
      <c r="D1111" s="8"/>
      <c r="E1111" s="6"/>
      <c r="F1111" s="6"/>
    </row>
    <row r="1112" spans="1:6" x14ac:dyDescent="0.3">
      <c r="A1112" s="8" t="s">
        <v>2185</v>
      </c>
      <c r="B1112" s="8" t="s">
        <v>54716</v>
      </c>
      <c r="C1112" s="8" t="s">
        <v>2186</v>
      </c>
      <c r="D1112" s="8"/>
      <c r="E1112" s="6"/>
      <c r="F1112" s="6"/>
    </row>
    <row r="1113" spans="1:6" x14ac:dyDescent="0.3">
      <c r="A1113" s="8" t="s">
        <v>2187</v>
      </c>
      <c r="B1113" s="8" t="s">
        <v>54717</v>
      </c>
      <c r="C1113" s="8" t="s">
        <v>2188</v>
      </c>
      <c r="D1113" s="8"/>
      <c r="E1113" s="6"/>
      <c r="F1113" s="6"/>
    </row>
    <row r="1114" spans="1:6" x14ac:dyDescent="0.3">
      <c r="A1114" s="8" t="s">
        <v>2189</v>
      </c>
      <c r="B1114" s="8" t="s">
        <v>54718</v>
      </c>
      <c r="C1114" s="8" t="s">
        <v>2190</v>
      </c>
      <c r="D1114" s="8"/>
      <c r="E1114" s="6"/>
      <c r="F1114" s="6"/>
    </row>
    <row r="1115" spans="1:6" x14ac:dyDescent="0.3">
      <c r="A1115" s="8" t="s">
        <v>2191</v>
      </c>
      <c r="B1115" s="8" t="s">
        <v>54719</v>
      </c>
      <c r="C1115" s="8" t="s">
        <v>2192</v>
      </c>
      <c r="D1115" s="8"/>
      <c r="E1115" s="6"/>
      <c r="F1115" s="6"/>
    </row>
    <row r="1116" spans="1:6" x14ac:dyDescent="0.3">
      <c r="A1116" s="8" t="s">
        <v>2193</v>
      </c>
      <c r="B1116" s="8" t="s">
        <v>54720</v>
      </c>
      <c r="C1116" s="8" t="s">
        <v>2194</v>
      </c>
      <c r="D1116" s="8"/>
      <c r="E1116" s="6"/>
      <c r="F1116" s="6"/>
    </row>
    <row r="1117" spans="1:6" x14ac:dyDescent="0.3">
      <c r="A1117" s="8" t="s">
        <v>2195</v>
      </c>
      <c r="B1117" s="8" t="s">
        <v>54721</v>
      </c>
      <c r="C1117" s="8" t="s">
        <v>2196</v>
      </c>
      <c r="D1117" s="8"/>
      <c r="E1117" s="6"/>
      <c r="F1117" s="6"/>
    </row>
    <row r="1118" spans="1:6" x14ac:dyDescent="0.3">
      <c r="A1118" s="8" t="s">
        <v>2197</v>
      </c>
      <c r="B1118" s="8" t="s">
        <v>54722</v>
      </c>
      <c r="C1118" s="8" t="s">
        <v>2198</v>
      </c>
      <c r="D1118" s="8"/>
      <c r="E1118" s="6"/>
      <c r="F1118" s="6"/>
    </row>
    <row r="1119" spans="1:6" x14ac:dyDescent="0.3">
      <c r="A1119" s="8" t="s">
        <v>2199</v>
      </c>
      <c r="B1119" s="8" t="s">
        <v>54723</v>
      </c>
      <c r="C1119" s="8" t="s">
        <v>2200</v>
      </c>
      <c r="D1119" s="8"/>
      <c r="E1119" s="6"/>
      <c r="F1119" s="6"/>
    </row>
    <row r="1120" spans="1:6" x14ac:dyDescent="0.3">
      <c r="A1120" s="8" t="s">
        <v>2201</v>
      </c>
      <c r="B1120" s="8" t="s">
        <v>54724</v>
      </c>
      <c r="C1120" s="8" t="s">
        <v>2202</v>
      </c>
      <c r="D1120" s="8"/>
      <c r="E1120" s="6"/>
      <c r="F1120" s="6"/>
    </row>
    <row r="1121" spans="1:6" x14ac:dyDescent="0.3">
      <c r="A1121" s="8" t="s">
        <v>2203</v>
      </c>
      <c r="B1121" s="8" t="s">
        <v>54725</v>
      </c>
      <c r="C1121" s="8" t="s">
        <v>2204</v>
      </c>
      <c r="D1121" s="8"/>
      <c r="E1121" s="6"/>
      <c r="F1121" s="6"/>
    </row>
    <row r="1122" spans="1:6" x14ac:dyDescent="0.3">
      <c r="A1122" s="8" t="s">
        <v>2205</v>
      </c>
      <c r="B1122" s="8" t="s">
        <v>54726</v>
      </c>
      <c r="C1122" s="8" t="s">
        <v>2206</v>
      </c>
      <c r="D1122" s="8"/>
      <c r="E1122" s="6"/>
      <c r="F1122" s="6"/>
    </row>
    <row r="1123" spans="1:6" x14ac:dyDescent="0.3">
      <c r="A1123" s="8" t="s">
        <v>2207</v>
      </c>
      <c r="B1123" s="8" t="s">
        <v>54727</v>
      </c>
      <c r="C1123" s="8" t="s">
        <v>2208</v>
      </c>
      <c r="D1123" s="8"/>
      <c r="E1123" s="6"/>
      <c r="F1123" s="6"/>
    </row>
    <row r="1124" spans="1:6" x14ac:dyDescent="0.3">
      <c r="A1124" s="8" t="s">
        <v>2209</v>
      </c>
      <c r="B1124" s="8" t="s">
        <v>54728</v>
      </c>
      <c r="C1124" s="8" t="s">
        <v>2210</v>
      </c>
      <c r="D1124" s="8"/>
      <c r="E1124" s="6"/>
      <c r="F1124" s="6"/>
    </row>
    <row r="1125" spans="1:6" x14ac:dyDescent="0.3">
      <c r="A1125" s="8" t="s">
        <v>2211</v>
      </c>
      <c r="B1125" s="8" t="s">
        <v>54729</v>
      </c>
      <c r="C1125" s="8" t="s">
        <v>2212</v>
      </c>
      <c r="D1125" s="8"/>
      <c r="E1125" s="6"/>
      <c r="F1125" s="6"/>
    </row>
    <row r="1126" spans="1:6" x14ac:dyDescent="0.3">
      <c r="A1126" s="8" t="s">
        <v>2213</v>
      </c>
      <c r="B1126" s="8" t="s">
        <v>54730</v>
      </c>
      <c r="C1126" s="8" t="s">
        <v>2214</v>
      </c>
      <c r="D1126" s="8"/>
      <c r="E1126" s="6"/>
      <c r="F1126" s="6"/>
    </row>
    <row r="1127" spans="1:6" x14ac:dyDescent="0.3">
      <c r="A1127" s="8" t="s">
        <v>2215</v>
      </c>
      <c r="B1127" s="8" t="s">
        <v>54731</v>
      </c>
      <c r="C1127" s="8" t="s">
        <v>2216</v>
      </c>
      <c r="D1127" s="8"/>
      <c r="E1127" s="6"/>
      <c r="F1127" s="6"/>
    </row>
    <row r="1128" spans="1:6" x14ac:dyDescent="0.3">
      <c r="A1128" s="8" t="s">
        <v>2217</v>
      </c>
      <c r="B1128" s="8" t="s">
        <v>54732</v>
      </c>
      <c r="C1128" s="8" t="s">
        <v>2218</v>
      </c>
      <c r="D1128" s="8"/>
      <c r="E1128" s="6"/>
      <c r="F1128" s="6"/>
    </row>
    <row r="1129" spans="1:6" x14ac:dyDescent="0.3">
      <c r="A1129" s="8" t="s">
        <v>2219</v>
      </c>
      <c r="B1129" s="8" t="s">
        <v>54733</v>
      </c>
      <c r="C1129" s="8" t="s">
        <v>2220</v>
      </c>
      <c r="D1129" s="8"/>
      <c r="E1129" s="6"/>
      <c r="F1129" s="6"/>
    </row>
    <row r="1130" spans="1:6" x14ac:dyDescent="0.3">
      <c r="A1130" s="8" t="s">
        <v>2221</v>
      </c>
      <c r="B1130" s="8" t="s">
        <v>54734</v>
      </c>
      <c r="C1130" s="8" t="s">
        <v>2222</v>
      </c>
      <c r="D1130" s="8"/>
      <c r="E1130" s="6"/>
      <c r="F1130" s="6"/>
    </row>
    <row r="1131" spans="1:6" x14ac:dyDescent="0.3">
      <c r="A1131" s="8" t="s">
        <v>2223</v>
      </c>
      <c r="B1131" s="8" t="s">
        <v>54735</v>
      </c>
      <c r="C1131" s="8" t="s">
        <v>2224</v>
      </c>
      <c r="D1131" s="8"/>
      <c r="E1131" s="6"/>
      <c r="F1131" s="6"/>
    </row>
    <row r="1132" spans="1:6" x14ac:dyDescent="0.3">
      <c r="A1132" s="8" t="s">
        <v>2225</v>
      </c>
      <c r="B1132" s="8" t="s">
        <v>54736</v>
      </c>
      <c r="C1132" s="8" t="s">
        <v>2226</v>
      </c>
      <c r="D1132" s="8"/>
      <c r="E1132" s="6"/>
      <c r="F1132" s="6"/>
    </row>
    <row r="1133" spans="1:6" x14ac:dyDescent="0.3">
      <c r="A1133" s="8" t="s">
        <v>2227</v>
      </c>
      <c r="B1133" s="8" t="s">
        <v>54737</v>
      </c>
      <c r="C1133" s="8" t="s">
        <v>2228</v>
      </c>
      <c r="D1133" s="8"/>
      <c r="E1133" s="6"/>
      <c r="F1133" s="6"/>
    </row>
    <row r="1134" spans="1:6" x14ac:dyDescent="0.3">
      <c r="A1134" s="8" t="s">
        <v>2229</v>
      </c>
      <c r="B1134" s="8" t="s">
        <v>54738</v>
      </c>
      <c r="C1134" s="8" t="s">
        <v>2230</v>
      </c>
      <c r="D1134" s="8"/>
      <c r="E1134" s="6"/>
      <c r="F1134" s="6"/>
    </row>
    <row r="1135" spans="1:6" x14ac:dyDescent="0.3">
      <c r="A1135" s="8" t="s">
        <v>2231</v>
      </c>
      <c r="B1135" s="8" t="s">
        <v>54739</v>
      </c>
      <c r="C1135" s="8" t="s">
        <v>2232</v>
      </c>
      <c r="D1135" s="8"/>
      <c r="E1135" s="6"/>
      <c r="F1135" s="6"/>
    </row>
    <row r="1136" spans="1:6" x14ac:dyDescent="0.3">
      <c r="A1136" s="8" t="s">
        <v>2233</v>
      </c>
      <c r="B1136" s="8" t="s">
        <v>54740</v>
      </c>
      <c r="C1136" s="8" t="s">
        <v>2234</v>
      </c>
      <c r="D1136" s="8"/>
      <c r="E1136" s="6"/>
      <c r="F1136" s="6"/>
    </row>
    <row r="1137" spans="1:6" x14ac:dyDescent="0.3">
      <c r="A1137" s="8" t="s">
        <v>2235</v>
      </c>
      <c r="B1137" s="8" t="s">
        <v>54741</v>
      </c>
      <c r="C1137" s="8" t="s">
        <v>2236</v>
      </c>
      <c r="D1137" s="8"/>
      <c r="E1137" s="6"/>
      <c r="F1137" s="6"/>
    </row>
    <row r="1138" spans="1:6" x14ac:dyDescent="0.3">
      <c r="A1138" s="8" t="s">
        <v>2237</v>
      </c>
      <c r="B1138" s="8" t="s">
        <v>54742</v>
      </c>
      <c r="C1138" s="8" t="s">
        <v>2238</v>
      </c>
      <c r="D1138" s="8"/>
      <c r="E1138" s="6"/>
      <c r="F1138" s="6"/>
    </row>
    <row r="1139" spans="1:6" x14ac:dyDescent="0.3">
      <c r="A1139" s="8" t="s">
        <v>2239</v>
      </c>
      <c r="B1139" s="8" t="s">
        <v>54743</v>
      </c>
      <c r="C1139" s="8" t="s">
        <v>2240</v>
      </c>
      <c r="D1139" s="8"/>
      <c r="E1139" s="6"/>
      <c r="F1139" s="6"/>
    </row>
    <row r="1140" spans="1:6" x14ac:dyDescent="0.3">
      <c r="A1140" s="8" t="s">
        <v>2241</v>
      </c>
      <c r="B1140" s="8" t="s">
        <v>54744</v>
      </c>
      <c r="C1140" s="8" t="s">
        <v>2242</v>
      </c>
      <c r="D1140" s="8"/>
      <c r="E1140" s="6"/>
      <c r="F1140" s="6"/>
    </row>
    <row r="1141" spans="1:6" x14ac:dyDescent="0.3">
      <c r="A1141" s="8" t="s">
        <v>2243</v>
      </c>
      <c r="B1141" s="8" t="s">
        <v>54745</v>
      </c>
      <c r="C1141" s="8" t="s">
        <v>2244</v>
      </c>
      <c r="D1141" s="8"/>
      <c r="E1141" s="6"/>
      <c r="F1141" s="6"/>
    </row>
    <row r="1142" spans="1:6" x14ac:dyDescent="0.3">
      <c r="A1142" s="8" t="s">
        <v>2245</v>
      </c>
      <c r="B1142" s="8" t="s">
        <v>54746</v>
      </c>
      <c r="C1142" s="8" t="s">
        <v>2246</v>
      </c>
      <c r="D1142" s="8"/>
      <c r="E1142" s="6"/>
      <c r="F1142" s="6"/>
    </row>
    <row r="1143" spans="1:6" x14ac:dyDescent="0.3">
      <c r="A1143" s="8" t="s">
        <v>2247</v>
      </c>
      <c r="B1143" s="8" t="s">
        <v>54747</v>
      </c>
      <c r="C1143" s="8" t="s">
        <v>2248</v>
      </c>
      <c r="D1143" s="8"/>
      <c r="E1143" s="6"/>
      <c r="F1143" s="6"/>
    </row>
    <row r="1144" spans="1:6" x14ac:dyDescent="0.3">
      <c r="A1144" s="8" t="s">
        <v>2249</v>
      </c>
      <c r="B1144" s="8" t="s">
        <v>54748</v>
      </c>
      <c r="C1144" s="8" t="s">
        <v>2250</v>
      </c>
      <c r="D1144" s="8"/>
      <c r="E1144" s="6"/>
      <c r="F1144" s="6"/>
    </row>
    <row r="1145" spans="1:6" x14ac:dyDescent="0.3">
      <c r="A1145" s="8" t="s">
        <v>2251</v>
      </c>
      <c r="B1145" s="8" t="s">
        <v>54749</v>
      </c>
      <c r="C1145" s="8" t="s">
        <v>2252</v>
      </c>
      <c r="D1145" s="8"/>
      <c r="E1145" s="6"/>
      <c r="F1145" s="6"/>
    </row>
    <row r="1146" spans="1:6" x14ac:dyDescent="0.3">
      <c r="A1146" s="8" t="s">
        <v>2253</v>
      </c>
      <c r="B1146" s="8" t="s">
        <v>54750</v>
      </c>
      <c r="C1146" s="8" t="s">
        <v>2254</v>
      </c>
      <c r="D1146" s="8"/>
      <c r="E1146" s="6"/>
      <c r="F1146" s="6"/>
    </row>
    <row r="1147" spans="1:6" x14ac:dyDescent="0.3">
      <c r="A1147" s="8" t="s">
        <v>2255</v>
      </c>
      <c r="B1147" s="8" t="s">
        <v>54751</v>
      </c>
      <c r="C1147" s="8" t="s">
        <v>2256</v>
      </c>
      <c r="D1147" s="8"/>
      <c r="E1147" s="6"/>
      <c r="F1147" s="6"/>
    </row>
    <row r="1148" spans="1:6" x14ac:dyDescent="0.3">
      <c r="A1148" s="8" t="s">
        <v>2257</v>
      </c>
      <c r="B1148" s="8" t="s">
        <v>54752</v>
      </c>
      <c r="C1148" s="8" t="s">
        <v>2258</v>
      </c>
      <c r="D1148" s="8"/>
      <c r="E1148" s="6"/>
      <c r="F1148" s="6"/>
    </row>
    <row r="1149" spans="1:6" x14ac:dyDescent="0.3">
      <c r="A1149" s="8" t="s">
        <v>2259</v>
      </c>
      <c r="B1149" s="8" t="s">
        <v>54753</v>
      </c>
      <c r="C1149" s="8" t="s">
        <v>2260</v>
      </c>
      <c r="D1149" s="8"/>
      <c r="E1149" s="6"/>
      <c r="F1149" s="6"/>
    </row>
    <row r="1150" spans="1:6" x14ac:dyDescent="0.3">
      <c r="A1150" s="8" t="s">
        <v>2261</v>
      </c>
      <c r="B1150" s="8" t="s">
        <v>54754</v>
      </c>
      <c r="C1150" s="8" t="s">
        <v>2262</v>
      </c>
      <c r="D1150" s="8"/>
      <c r="E1150" s="6"/>
      <c r="F1150" s="6"/>
    </row>
    <row r="1151" spans="1:6" x14ac:dyDescent="0.3">
      <c r="A1151" s="8" t="s">
        <v>2263</v>
      </c>
      <c r="B1151" s="8" t="s">
        <v>54755</v>
      </c>
      <c r="C1151" s="8" t="s">
        <v>2264</v>
      </c>
      <c r="D1151" s="8"/>
      <c r="E1151" s="6"/>
      <c r="F1151" s="6"/>
    </row>
    <row r="1152" spans="1:6" x14ac:dyDescent="0.3">
      <c r="A1152" s="8" t="s">
        <v>2265</v>
      </c>
      <c r="B1152" s="8" t="s">
        <v>54756</v>
      </c>
      <c r="C1152" s="8" t="s">
        <v>2266</v>
      </c>
      <c r="D1152" s="8"/>
      <c r="E1152" s="6"/>
      <c r="F1152" s="6"/>
    </row>
    <row r="1153" spans="1:6" x14ac:dyDescent="0.3">
      <c r="A1153" s="8" t="s">
        <v>2267</v>
      </c>
      <c r="B1153" s="8" t="s">
        <v>54757</v>
      </c>
      <c r="C1153" s="8" t="s">
        <v>2268</v>
      </c>
      <c r="D1153" s="8"/>
      <c r="E1153" s="6"/>
      <c r="F1153" s="6"/>
    </row>
    <row r="1154" spans="1:6" x14ac:dyDescent="0.3">
      <c r="A1154" s="8" t="s">
        <v>2269</v>
      </c>
      <c r="B1154" s="8" t="s">
        <v>54758</v>
      </c>
      <c r="C1154" s="8" t="s">
        <v>2270</v>
      </c>
      <c r="D1154" s="8"/>
      <c r="E1154" s="6"/>
      <c r="F1154" s="6"/>
    </row>
    <row r="1155" spans="1:6" x14ac:dyDescent="0.3">
      <c r="A1155" s="8" t="s">
        <v>2271</v>
      </c>
      <c r="B1155" s="8" t="s">
        <v>54759</v>
      </c>
      <c r="C1155" s="8" t="s">
        <v>2272</v>
      </c>
      <c r="D1155" s="8"/>
      <c r="E1155" s="6"/>
      <c r="F1155" s="6"/>
    </row>
    <row r="1156" spans="1:6" x14ac:dyDescent="0.3">
      <c r="A1156" s="8" t="s">
        <v>2273</v>
      </c>
      <c r="B1156" s="8" t="s">
        <v>54760</v>
      </c>
      <c r="C1156" s="8" t="s">
        <v>2274</v>
      </c>
      <c r="D1156" s="8"/>
      <c r="E1156" s="6"/>
      <c r="F1156" s="6"/>
    </row>
    <row r="1157" spans="1:6" x14ac:dyDescent="0.3">
      <c r="A1157" s="8" t="s">
        <v>2275</v>
      </c>
      <c r="B1157" s="8" t="s">
        <v>54761</v>
      </c>
      <c r="C1157" s="8" t="s">
        <v>2276</v>
      </c>
      <c r="D1157" s="8"/>
      <c r="E1157" s="6"/>
      <c r="F1157" s="6"/>
    </row>
    <row r="1158" spans="1:6" x14ac:dyDescent="0.3">
      <c r="A1158" s="8" t="s">
        <v>2277</v>
      </c>
      <c r="B1158" s="8" t="s">
        <v>54762</v>
      </c>
      <c r="C1158" s="8" t="s">
        <v>2278</v>
      </c>
      <c r="D1158" s="8"/>
      <c r="E1158" s="6"/>
      <c r="F1158" s="6"/>
    </row>
    <row r="1159" spans="1:6" x14ac:dyDescent="0.3">
      <c r="A1159" s="8" t="s">
        <v>2279</v>
      </c>
      <c r="B1159" s="8" t="s">
        <v>54763</v>
      </c>
      <c r="C1159" s="8" t="s">
        <v>2280</v>
      </c>
      <c r="D1159" s="8"/>
      <c r="E1159" s="6"/>
      <c r="F1159" s="6"/>
    </row>
    <row r="1160" spans="1:6" x14ac:dyDescent="0.3">
      <c r="A1160" s="8" t="s">
        <v>2281</v>
      </c>
      <c r="B1160" s="8" t="s">
        <v>54764</v>
      </c>
      <c r="C1160" s="8" t="s">
        <v>2282</v>
      </c>
      <c r="D1160" s="8"/>
      <c r="E1160" s="6"/>
      <c r="F1160" s="6"/>
    </row>
    <row r="1161" spans="1:6" x14ac:dyDescent="0.3">
      <c r="A1161" s="8" t="s">
        <v>2283</v>
      </c>
      <c r="B1161" s="8" t="s">
        <v>54765</v>
      </c>
      <c r="C1161" s="8" t="s">
        <v>2284</v>
      </c>
      <c r="D1161" s="8"/>
      <c r="E1161" s="6"/>
      <c r="F1161" s="6"/>
    </row>
    <row r="1162" spans="1:6" x14ac:dyDescent="0.3">
      <c r="A1162" s="8" t="s">
        <v>2285</v>
      </c>
      <c r="B1162" s="8" t="s">
        <v>54766</v>
      </c>
      <c r="C1162" s="8" t="s">
        <v>2286</v>
      </c>
      <c r="D1162" s="8"/>
      <c r="E1162" s="6"/>
      <c r="F1162" s="6"/>
    </row>
    <row r="1163" spans="1:6" x14ac:dyDescent="0.3">
      <c r="A1163" s="8" t="s">
        <v>2287</v>
      </c>
      <c r="B1163" s="8" t="s">
        <v>54767</v>
      </c>
      <c r="C1163" s="8" t="s">
        <v>2288</v>
      </c>
      <c r="D1163" s="8"/>
      <c r="E1163" s="6"/>
      <c r="F1163" s="6"/>
    </row>
    <row r="1164" spans="1:6" x14ac:dyDescent="0.3">
      <c r="A1164" s="8" t="s">
        <v>2289</v>
      </c>
      <c r="B1164" s="8" t="s">
        <v>54768</v>
      </c>
      <c r="C1164" s="8" t="s">
        <v>2290</v>
      </c>
      <c r="D1164" s="8"/>
      <c r="E1164" s="6"/>
      <c r="F1164" s="6"/>
    </row>
    <row r="1165" spans="1:6" x14ac:dyDescent="0.3">
      <c r="A1165" s="8" t="s">
        <v>2291</v>
      </c>
      <c r="B1165" s="8" t="s">
        <v>54769</v>
      </c>
      <c r="C1165" s="8" t="s">
        <v>2292</v>
      </c>
      <c r="D1165" s="8"/>
      <c r="E1165" s="6"/>
      <c r="F1165" s="6"/>
    </row>
    <row r="1166" spans="1:6" x14ac:dyDescent="0.3">
      <c r="A1166" s="8" t="s">
        <v>2293</v>
      </c>
      <c r="B1166" s="8" t="s">
        <v>54770</v>
      </c>
      <c r="C1166" s="8" t="s">
        <v>2294</v>
      </c>
      <c r="D1166" s="8"/>
      <c r="E1166" s="6"/>
      <c r="F1166" s="6"/>
    </row>
    <row r="1167" spans="1:6" x14ac:dyDescent="0.3">
      <c r="A1167" s="8" t="s">
        <v>2295</v>
      </c>
      <c r="B1167" s="8" t="s">
        <v>54771</v>
      </c>
      <c r="C1167" s="8" t="s">
        <v>2296</v>
      </c>
      <c r="D1167" s="8"/>
      <c r="E1167" s="6"/>
      <c r="F1167" s="6"/>
    </row>
    <row r="1168" spans="1:6" x14ac:dyDescent="0.3">
      <c r="A1168" s="8" t="s">
        <v>2297</v>
      </c>
      <c r="B1168" s="8" t="s">
        <v>54772</v>
      </c>
      <c r="C1168" s="8" t="s">
        <v>2298</v>
      </c>
      <c r="D1168" s="8"/>
      <c r="E1168" s="6"/>
      <c r="F1168" s="6"/>
    </row>
    <row r="1169" spans="1:6" x14ac:dyDescent="0.3">
      <c r="A1169" s="8" t="s">
        <v>2299</v>
      </c>
      <c r="B1169" s="8" t="s">
        <v>54773</v>
      </c>
      <c r="C1169" s="8" t="s">
        <v>2300</v>
      </c>
      <c r="D1169" s="8"/>
      <c r="E1169" s="6"/>
      <c r="F1169" s="6"/>
    </row>
    <row r="1170" spans="1:6" x14ac:dyDescent="0.3">
      <c r="A1170" s="8" t="s">
        <v>2301</v>
      </c>
      <c r="B1170" s="8" t="s">
        <v>54774</v>
      </c>
      <c r="C1170" s="8" t="s">
        <v>2302</v>
      </c>
      <c r="D1170" s="8"/>
      <c r="E1170" s="6"/>
      <c r="F1170" s="6"/>
    </row>
    <row r="1171" spans="1:6" x14ac:dyDescent="0.3">
      <c r="A1171" s="8" t="s">
        <v>2303</v>
      </c>
      <c r="B1171" s="8" t="s">
        <v>54775</v>
      </c>
      <c r="C1171" s="8" t="s">
        <v>2304</v>
      </c>
      <c r="D1171" s="8"/>
      <c r="E1171" s="6"/>
      <c r="F1171" s="6"/>
    </row>
    <row r="1172" spans="1:6" x14ac:dyDescent="0.3">
      <c r="A1172" s="8" t="s">
        <v>2305</v>
      </c>
      <c r="B1172" s="8" t="s">
        <v>54776</v>
      </c>
      <c r="C1172" s="8" t="s">
        <v>2306</v>
      </c>
      <c r="D1172" s="8"/>
      <c r="E1172" s="6"/>
      <c r="F1172" s="6"/>
    </row>
    <row r="1173" spans="1:6" x14ac:dyDescent="0.3">
      <c r="A1173" s="8" t="s">
        <v>2307</v>
      </c>
      <c r="B1173" s="8" t="s">
        <v>54777</v>
      </c>
      <c r="C1173" s="8" t="s">
        <v>2308</v>
      </c>
      <c r="D1173" s="8"/>
      <c r="E1173" s="6"/>
      <c r="F1173" s="6"/>
    </row>
    <row r="1174" spans="1:6" x14ac:dyDescent="0.3">
      <c r="A1174" s="8" t="s">
        <v>2309</v>
      </c>
      <c r="B1174" s="8" t="s">
        <v>54778</v>
      </c>
      <c r="C1174" s="8" t="s">
        <v>2310</v>
      </c>
      <c r="D1174" s="8"/>
      <c r="E1174" s="6"/>
      <c r="F1174" s="6"/>
    </row>
    <row r="1175" spans="1:6" x14ac:dyDescent="0.3">
      <c r="A1175" s="8" t="s">
        <v>2311</v>
      </c>
      <c r="B1175" s="8" t="s">
        <v>54779</v>
      </c>
      <c r="C1175" s="8" t="s">
        <v>2312</v>
      </c>
      <c r="D1175" s="8"/>
      <c r="E1175" s="6"/>
      <c r="F1175" s="6"/>
    </row>
    <row r="1176" spans="1:6" x14ac:dyDescent="0.3">
      <c r="A1176" s="8" t="s">
        <v>2313</v>
      </c>
      <c r="B1176" s="8" t="s">
        <v>54780</v>
      </c>
      <c r="C1176" s="8" t="s">
        <v>2314</v>
      </c>
      <c r="D1176" s="8"/>
      <c r="E1176" s="6"/>
      <c r="F1176" s="6"/>
    </row>
    <row r="1177" spans="1:6" x14ac:dyDescent="0.3">
      <c r="A1177" s="8" t="s">
        <v>2315</v>
      </c>
      <c r="B1177" s="8" t="s">
        <v>54781</v>
      </c>
      <c r="C1177" s="8" t="s">
        <v>2316</v>
      </c>
      <c r="D1177" s="8"/>
      <c r="E1177" s="6"/>
      <c r="F1177" s="6"/>
    </row>
    <row r="1178" spans="1:6" x14ac:dyDescent="0.3">
      <c r="A1178" s="8" t="s">
        <v>2317</v>
      </c>
      <c r="B1178" s="8" t="s">
        <v>54782</v>
      </c>
      <c r="C1178" s="8" t="s">
        <v>2318</v>
      </c>
      <c r="D1178" s="8"/>
      <c r="E1178" s="6"/>
      <c r="F1178" s="6"/>
    </row>
    <row r="1179" spans="1:6" x14ac:dyDescent="0.3">
      <c r="A1179" s="8" t="s">
        <v>2319</v>
      </c>
      <c r="B1179" s="8" t="s">
        <v>54783</v>
      </c>
      <c r="C1179" s="8" t="s">
        <v>2320</v>
      </c>
      <c r="D1179" s="8"/>
      <c r="E1179" s="6"/>
      <c r="F1179" s="6"/>
    </row>
    <row r="1180" spans="1:6" x14ac:dyDescent="0.3">
      <c r="A1180" s="8" t="s">
        <v>2321</v>
      </c>
      <c r="B1180" s="8" t="s">
        <v>54784</v>
      </c>
      <c r="C1180" s="8" t="s">
        <v>2322</v>
      </c>
      <c r="D1180" s="8"/>
      <c r="E1180" s="6"/>
      <c r="F1180" s="6"/>
    </row>
    <row r="1181" spans="1:6" x14ac:dyDescent="0.3">
      <c r="A1181" s="8" t="s">
        <v>2323</v>
      </c>
      <c r="B1181" s="8" t="s">
        <v>54785</v>
      </c>
      <c r="C1181" s="8" t="s">
        <v>2324</v>
      </c>
      <c r="D1181" s="8"/>
      <c r="E1181" s="6"/>
      <c r="F1181" s="6"/>
    </row>
    <row r="1182" spans="1:6" x14ac:dyDescent="0.3">
      <c r="A1182" s="8" t="s">
        <v>2325</v>
      </c>
      <c r="B1182" s="8" t="s">
        <v>54786</v>
      </c>
      <c r="C1182" s="8" t="s">
        <v>2326</v>
      </c>
      <c r="D1182" s="8"/>
      <c r="E1182" s="6"/>
      <c r="F1182" s="6"/>
    </row>
    <row r="1183" spans="1:6" x14ac:dyDescent="0.3">
      <c r="A1183" s="8" t="s">
        <v>2327</v>
      </c>
      <c r="B1183" s="8" t="s">
        <v>54787</v>
      </c>
      <c r="C1183" s="8" t="s">
        <v>2328</v>
      </c>
      <c r="D1183" s="8"/>
      <c r="E1183" s="6"/>
      <c r="F1183" s="6"/>
    </row>
    <row r="1184" spans="1:6" x14ac:dyDescent="0.3">
      <c r="A1184" s="8" t="s">
        <v>2329</v>
      </c>
      <c r="B1184" s="8" t="s">
        <v>54788</v>
      </c>
      <c r="C1184" s="8" t="s">
        <v>2330</v>
      </c>
      <c r="D1184" s="8"/>
      <c r="E1184" s="6"/>
      <c r="F1184" s="6"/>
    </row>
    <row r="1185" spans="1:6" x14ac:dyDescent="0.3">
      <c r="A1185" s="8" t="s">
        <v>2331</v>
      </c>
      <c r="B1185" s="8" t="s">
        <v>54789</v>
      </c>
      <c r="C1185" s="8" t="s">
        <v>2332</v>
      </c>
      <c r="D1185" s="8"/>
      <c r="E1185" s="6"/>
      <c r="F1185" s="6"/>
    </row>
    <row r="1186" spans="1:6" x14ac:dyDescent="0.3">
      <c r="A1186" s="8" t="s">
        <v>2333</v>
      </c>
      <c r="B1186" s="8" t="s">
        <v>54790</v>
      </c>
      <c r="C1186" s="8" t="s">
        <v>2334</v>
      </c>
      <c r="D1186" s="8"/>
      <c r="E1186" s="6"/>
      <c r="F1186" s="6"/>
    </row>
    <row r="1187" spans="1:6" x14ac:dyDescent="0.3">
      <c r="A1187" s="8" t="s">
        <v>2335</v>
      </c>
      <c r="B1187" s="8" t="s">
        <v>54791</v>
      </c>
      <c r="C1187" s="8" t="s">
        <v>2336</v>
      </c>
      <c r="D1187" s="8"/>
      <c r="E1187" s="6"/>
      <c r="F1187" s="6"/>
    </row>
    <row r="1188" spans="1:6" x14ac:dyDescent="0.3">
      <c r="A1188" s="8" t="s">
        <v>2337</v>
      </c>
      <c r="B1188" s="8" t="s">
        <v>54792</v>
      </c>
      <c r="C1188" s="8" t="s">
        <v>2338</v>
      </c>
      <c r="D1188" s="8"/>
      <c r="E1188" s="6"/>
      <c r="F1188" s="6"/>
    </row>
    <row r="1189" spans="1:6" x14ac:dyDescent="0.3">
      <c r="A1189" s="8" t="s">
        <v>2339</v>
      </c>
      <c r="B1189" s="8" t="s">
        <v>54793</v>
      </c>
      <c r="C1189" s="8" t="s">
        <v>2340</v>
      </c>
      <c r="D1189" s="8"/>
      <c r="E1189" s="6"/>
      <c r="F1189" s="6"/>
    </row>
    <row r="1190" spans="1:6" x14ac:dyDescent="0.3">
      <c r="A1190" s="8" t="s">
        <v>2341</v>
      </c>
      <c r="B1190" s="8" t="s">
        <v>54794</v>
      </c>
      <c r="C1190" s="8" t="s">
        <v>2342</v>
      </c>
      <c r="D1190" s="8"/>
      <c r="E1190" s="6"/>
      <c r="F1190" s="6"/>
    </row>
    <row r="1191" spans="1:6" x14ac:dyDescent="0.3">
      <c r="A1191" s="8" t="s">
        <v>2343</v>
      </c>
      <c r="B1191" s="8" t="s">
        <v>54795</v>
      </c>
      <c r="C1191" s="8" t="s">
        <v>2344</v>
      </c>
      <c r="D1191" s="8"/>
      <c r="E1191" s="6"/>
      <c r="F1191" s="6"/>
    </row>
    <row r="1192" spans="1:6" x14ac:dyDescent="0.3">
      <c r="A1192" s="8" t="s">
        <v>2345</v>
      </c>
      <c r="B1192" s="8" t="s">
        <v>54796</v>
      </c>
      <c r="C1192" s="8" t="s">
        <v>2346</v>
      </c>
      <c r="D1192" s="8"/>
      <c r="E1192" s="6"/>
      <c r="F1192" s="6"/>
    </row>
    <row r="1193" spans="1:6" x14ac:dyDescent="0.3">
      <c r="A1193" s="8" t="s">
        <v>2347</v>
      </c>
      <c r="B1193" s="8" t="s">
        <v>54797</v>
      </c>
      <c r="C1193" s="8" t="s">
        <v>2348</v>
      </c>
      <c r="D1193" s="8"/>
      <c r="E1193" s="6"/>
      <c r="F1193" s="6"/>
    </row>
    <row r="1194" spans="1:6" x14ac:dyDescent="0.3">
      <c r="A1194" s="8" t="s">
        <v>2349</v>
      </c>
      <c r="B1194" s="8" t="s">
        <v>54798</v>
      </c>
      <c r="C1194" s="8" t="s">
        <v>2350</v>
      </c>
      <c r="D1194" s="8"/>
      <c r="E1194" s="6"/>
      <c r="F1194" s="6"/>
    </row>
    <row r="1195" spans="1:6" x14ac:dyDescent="0.3">
      <c r="A1195" s="8" t="s">
        <v>2351</v>
      </c>
      <c r="B1195" s="8" t="s">
        <v>54799</v>
      </c>
      <c r="C1195" s="8" t="s">
        <v>2352</v>
      </c>
      <c r="D1195" s="8"/>
      <c r="E1195" s="6"/>
      <c r="F1195" s="6"/>
    </row>
    <row r="1196" spans="1:6" x14ac:dyDescent="0.3">
      <c r="A1196" s="8" t="s">
        <v>2353</v>
      </c>
      <c r="B1196" s="8" t="s">
        <v>54800</v>
      </c>
      <c r="C1196" s="8" t="s">
        <v>2354</v>
      </c>
      <c r="D1196" s="8"/>
      <c r="E1196" s="6"/>
      <c r="F1196" s="6"/>
    </row>
    <row r="1197" spans="1:6" x14ac:dyDescent="0.3">
      <c r="A1197" s="8" t="s">
        <v>2355</v>
      </c>
      <c r="B1197" s="8" t="s">
        <v>54801</v>
      </c>
      <c r="C1197" s="8" t="s">
        <v>2356</v>
      </c>
      <c r="D1197" s="8"/>
      <c r="E1197" s="6"/>
      <c r="F1197" s="6"/>
    </row>
    <row r="1198" spans="1:6" x14ac:dyDescent="0.3">
      <c r="A1198" s="8" t="s">
        <v>2357</v>
      </c>
      <c r="B1198" s="8" t="s">
        <v>54802</v>
      </c>
      <c r="C1198" s="8" t="s">
        <v>2358</v>
      </c>
      <c r="D1198" s="8"/>
      <c r="E1198" s="6"/>
      <c r="F1198" s="6"/>
    </row>
    <row r="1199" spans="1:6" x14ac:dyDescent="0.3">
      <c r="A1199" s="8" t="s">
        <v>2359</v>
      </c>
      <c r="B1199" s="8" t="s">
        <v>54803</v>
      </c>
      <c r="C1199" s="8" t="s">
        <v>2360</v>
      </c>
      <c r="D1199" s="8"/>
      <c r="E1199" s="6"/>
      <c r="F1199" s="6"/>
    </row>
    <row r="1200" spans="1:6" x14ac:dyDescent="0.3">
      <c r="A1200" s="8" t="s">
        <v>2361</v>
      </c>
      <c r="B1200" s="8" t="s">
        <v>54804</v>
      </c>
      <c r="C1200" s="8" t="s">
        <v>2362</v>
      </c>
      <c r="D1200" s="8"/>
      <c r="E1200" s="6"/>
      <c r="F1200" s="6"/>
    </row>
    <row r="1201" spans="1:6" x14ac:dyDescent="0.3">
      <c r="A1201" s="8" t="s">
        <v>2363</v>
      </c>
      <c r="B1201" s="8" t="s">
        <v>54805</v>
      </c>
      <c r="C1201" s="8" t="s">
        <v>2364</v>
      </c>
      <c r="D1201" s="8"/>
      <c r="E1201" s="6"/>
      <c r="F1201" s="6"/>
    </row>
    <row r="1202" spans="1:6" x14ac:dyDescent="0.3">
      <c r="A1202" s="8" t="s">
        <v>2365</v>
      </c>
      <c r="B1202" s="8" t="s">
        <v>54806</v>
      </c>
      <c r="C1202" s="8" t="s">
        <v>2366</v>
      </c>
      <c r="D1202" s="8"/>
      <c r="E1202" s="6"/>
      <c r="F1202" s="6"/>
    </row>
    <row r="1203" spans="1:6" x14ac:dyDescent="0.3">
      <c r="A1203" s="8" t="s">
        <v>2367</v>
      </c>
      <c r="B1203" s="8" t="s">
        <v>54807</v>
      </c>
      <c r="C1203" s="8" t="s">
        <v>2368</v>
      </c>
      <c r="D1203" s="8"/>
      <c r="E1203" s="6"/>
      <c r="F1203" s="6"/>
    </row>
    <row r="1204" spans="1:6" x14ac:dyDescent="0.3">
      <c r="A1204" s="8" t="s">
        <v>2369</v>
      </c>
      <c r="B1204" s="8" t="s">
        <v>54808</v>
      </c>
      <c r="C1204" s="8" t="s">
        <v>2370</v>
      </c>
      <c r="D1204" s="8"/>
      <c r="E1204" s="6"/>
      <c r="F1204" s="6"/>
    </row>
    <row r="1205" spans="1:6" x14ac:dyDescent="0.3">
      <c r="A1205" s="8" t="s">
        <v>2371</v>
      </c>
      <c r="B1205" s="8" t="s">
        <v>54809</v>
      </c>
      <c r="C1205" s="8" t="s">
        <v>2372</v>
      </c>
      <c r="D1205" s="8"/>
      <c r="E1205" s="6"/>
      <c r="F1205" s="6"/>
    </row>
    <row r="1206" spans="1:6" x14ac:dyDescent="0.3">
      <c r="A1206" s="8" t="s">
        <v>2373</v>
      </c>
      <c r="B1206" s="8" t="s">
        <v>54810</v>
      </c>
      <c r="C1206" s="8" t="s">
        <v>2374</v>
      </c>
      <c r="D1206" s="8"/>
      <c r="E1206" s="6"/>
      <c r="F1206" s="6"/>
    </row>
    <row r="1207" spans="1:6" x14ac:dyDescent="0.3">
      <c r="A1207" s="8" t="s">
        <v>2375</v>
      </c>
      <c r="B1207" s="8" t="s">
        <v>54811</v>
      </c>
      <c r="C1207" s="8" t="s">
        <v>2376</v>
      </c>
      <c r="D1207" s="8"/>
      <c r="E1207" s="6"/>
      <c r="F1207" s="6"/>
    </row>
    <row r="1208" spans="1:6" x14ac:dyDescent="0.3">
      <c r="A1208" s="8" t="s">
        <v>2377</v>
      </c>
      <c r="B1208" s="8" t="s">
        <v>54812</v>
      </c>
      <c r="C1208" s="8" t="s">
        <v>2378</v>
      </c>
      <c r="D1208" s="8"/>
      <c r="E1208" s="6"/>
      <c r="F1208" s="6"/>
    </row>
    <row r="1209" spans="1:6" x14ac:dyDescent="0.3">
      <c r="A1209" s="8" t="s">
        <v>2379</v>
      </c>
      <c r="B1209" s="8" t="s">
        <v>54813</v>
      </c>
      <c r="C1209" s="8" t="s">
        <v>2380</v>
      </c>
      <c r="D1209" s="8"/>
      <c r="E1209" s="6"/>
      <c r="F1209" s="6"/>
    </row>
    <row r="1210" spans="1:6" x14ac:dyDescent="0.3">
      <c r="A1210" s="8" t="s">
        <v>2381</v>
      </c>
      <c r="B1210" s="8" t="s">
        <v>54814</v>
      </c>
      <c r="C1210" s="8" t="s">
        <v>2382</v>
      </c>
      <c r="D1210" s="8"/>
      <c r="E1210" s="6"/>
      <c r="F1210" s="6"/>
    </row>
    <row r="1211" spans="1:6" x14ac:dyDescent="0.3">
      <c r="A1211" s="8" t="s">
        <v>2383</v>
      </c>
      <c r="B1211" s="8" t="s">
        <v>54815</v>
      </c>
      <c r="C1211" s="8" t="s">
        <v>2384</v>
      </c>
      <c r="D1211" s="8"/>
      <c r="E1211" s="6"/>
      <c r="F1211" s="6"/>
    </row>
    <row r="1212" spans="1:6" x14ac:dyDescent="0.3">
      <c r="A1212" s="8" t="s">
        <v>2385</v>
      </c>
      <c r="B1212" s="8" t="s">
        <v>54816</v>
      </c>
      <c r="C1212" s="8" t="s">
        <v>2386</v>
      </c>
      <c r="D1212" s="8"/>
      <c r="E1212" s="6"/>
      <c r="F1212" s="6"/>
    </row>
    <row r="1213" spans="1:6" x14ac:dyDescent="0.3">
      <c r="A1213" s="8" t="s">
        <v>2387</v>
      </c>
      <c r="B1213" s="8" t="s">
        <v>54817</v>
      </c>
      <c r="C1213" s="8" t="s">
        <v>2388</v>
      </c>
      <c r="D1213" s="8"/>
      <c r="E1213" s="6"/>
      <c r="F1213" s="6"/>
    </row>
    <row r="1214" spans="1:6" x14ac:dyDescent="0.3">
      <c r="A1214" s="8" t="s">
        <v>2389</v>
      </c>
      <c r="B1214" s="8" t="s">
        <v>54818</v>
      </c>
      <c r="C1214" s="8" t="s">
        <v>2390</v>
      </c>
      <c r="D1214" s="8"/>
      <c r="E1214" s="6"/>
      <c r="F1214" s="6"/>
    </row>
    <row r="1215" spans="1:6" x14ac:dyDescent="0.3">
      <c r="A1215" s="8" t="s">
        <v>2391</v>
      </c>
      <c r="B1215" s="8" t="s">
        <v>54819</v>
      </c>
      <c r="C1215" s="8" t="s">
        <v>2392</v>
      </c>
      <c r="D1215" s="8"/>
      <c r="E1215" s="6"/>
      <c r="F1215" s="6"/>
    </row>
    <row r="1216" spans="1:6" x14ac:dyDescent="0.3">
      <c r="A1216" s="8" t="s">
        <v>2393</v>
      </c>
      <c r="B1216" s="8" t="s">
        <v>54820</v>
      </c>
      <c r="C1216" s="8" t="s">
        <v>2394</v>
      </c>
      <c r="D1216" s="8"/>
      <c r="E1216" s="6"/>
      <c r="F1216" s="6"/>
    </row>
    <row r="1217" spans="1:6" x14ac:dyDescent="0.3">
      <c r="A1217" s="8" t="s">
        <v>2395</v>
      </c>
      <c r="B1217" s="8" t="s">
        <v>54821</v>
      </c>
      <c r="C1217" s="8" t="s">
        <v>2396</v>
      </c>
      <c r="D1217" s="8"/>
      <c r="E1217" s="6"/>
      <c r="F1217" s="6"/>
    </row>
    <row r="1218" spans="1:6" x14ac:dyDescent="0.3">
      <c r="A1218" s="8" t="s">
        <v>2397</v>
      </c>
      <c r="B1218" s="8" t="s">
        <v>54822</v>
      </c>
      <c r="C1218" s="8" t="s">
        <v>2398</v>
      </c>
      <c r="D1218" s="8"/>
      <c r="E1218" s="6"/>
      <c r="F1218" s="6"/>
    </row>
    <row r="1219" spans="1:6" x14ac:dyDescent="0.3">
      <c r="A1219" s="8" t="s">
        <v>2399</v>
      </c>
      <c r="B1219" s="8" t="s">
        <v>54823</v>
      </c>
      <c r="C1219" s="8" t="s">
        <v>2400</v>
      </c>
      <c r="D1219" s="8"/>
      <c r="E1219" s="6"/>
      <c r="F1219" s="6"/>
    </row>
    <row r="1220" spans="1:6" x14ac:dyDescent="0.3">
      <c r="A1220" s="8" t="s">
        <v>2401</v>
      </c>
      <c r="B1220" s="8" t="s">
        <v>54824</v>
      </c>
      <c r="C1220" s="8" t="s">
        <v>2402</v>
      </c>
      <c r="D1220" s="8"/>
      <c r="E1220" s="6"/>
      <c r="F1220" s="6"/>
    </row>
    <row r="1221" spans="1:6" x14ac:dyDescent="0.3">
      <c r="A1221" s="8" t="s">
        <v>2403</v>
      </c>
      <c r="B1221" s="8" t="s">
        <v>54825</v>
      </c>
      <c r="C1221" s="8" t="s">
        <v>2404</v>
      </c>
      <c r="D1221" s="8"/>
      <c r="E1221" s="6"/>
      <c r="F1221" s="6"/>
    </row>
    <row r="1222" spans="1:6" x14ac:dyDescent="0.3">
      <c r="A1222" s="8" t="s">
        <v>2405</v>
      </c>
      <c r="B1222" s="8" t="s">
        <v>54826</v>
      </c>
      <c r="C1222" s="8" t="s">
        <v>2406</v>
      </c>
      <c r="D1222" s="8"/>
      <c r="E1222" s="6"/>
      <c r="F1222" s="6"/>
    </row>
    <row r="1223" spans="1:6" x14ac:dyDescent="0.3">
      <c r="A1223" s="8" t="s">
        <v>2407</v>
      </c>
      <c r="B1223" s="8" t="s">
        <v>54827</v>
      </c>
      <c r="C1223" s="8" t="s">
        <v>2408</v>
      </c>
      <c r="D1223" s="8"/>
      <c r="E1223" s="6"/>
      <c r="F1223" s="6"/>
    </row>
    <row r="1224" spans="1:6" x14ac:dyDescent="0.3">
      <c r="A1224" s="8" t="s">
        <v>2409</v>
      </c>
      <c r="B1224" s="8" t="s">
        <v>54828</v>
      </c>
      <c r="C1224" s="8" t="s">
        <v>2410</v>
      </c>
      <c r="D1224" s="8"/>
      <c r="E1224" s="6"/>
      <c r="F1224" s="6"/>
    </row>
    <row r="1225" spans="1:6" x14ac:dyDescent="0.3">
      <c r="A1225" s="8" t="s">
        <v>2411</v>
      </c>
      <c r="B1225" s="8" t="s">
        <v>54829</v>
      </c>
      <c r="C1225" s="8" t="s">
        <v>2412</v>
      </c>
      <c r="D1225" s="8"/>
      <c r="E1225" s="6"/>
      <c r="F1225" s="6"/>
    </row>
    <row r="1226" spans="1:6" x14ac:dyDescent="0.3">
      <c r="A1226" s="8" t="s">
        <v>2413</v>
      </c>
      <c r="B1226" s="8" t="s">
        <v>54830</v>
      </c>
      <c r="C1226" s="8" t="s">
        <v>2414</v>
      </c>
      <c r="D1226" s="8"/>
      <c r="E1226" s="6"/>
      <c r="F1226" s="6"/>
    </row>
    <row r="1227" spans="1:6" x14ac:dyDescent="0.3">
      <c r="A1227" s="8" t="s">
        <v>2415</v>
      </c>
      <c r="B1227" s="8" t="s">
        <v>54831</v>
      </c>
      <c r="C1227" s="8" t="s">
        <v>2416</v>
      </c>
      <c r="D1227" s="8"/>
      <c r="E1227" s="6"/>
      <c r="F1227" s="6"/>
    </row>
    <row r="1228" spans="1:6" x14ac:dyDescent="0.3">
      <c r="A1228" s="8" t="s">
        <v>2417</v>
      </c>
      <c r="B1228" s="8" t="s">
        <v>54832</v>
      </c>
      <c r="C1228" s="8" t="s">
        <v>2418</v>
      </c>
      <c r="D1228" s="8"/>
      <c r="E1228" s="6"/>
      <c r="F1228" s="6"/>
    </row>
    <row r="1229" spans="1:6" x14ac:dyDescent="0.3">
      <c r="A1229" s="8" t="s">
        <v>2419</v>
      </c>
      <c r="B1229" s="8" t="s">
        <v>54833</v>
      </c>
      <c r="C1229" s="8" t="s">
        <v>2420</v>
      </c>
      <c r="D1229" s="8"/>
      <c r="E1229" s="6"/>
      <c r="F1229" s="6"/>
    </row>
    <row r="1230" spans="1:6" x14ac:dyDescent="0.3">
      <c r="A1230" s="8" t="s">
        <v>2421</v>
      </c>
      <c r="B1230" s="8" t="s">
        <v>54834</v>
      </c>
      <c r="C1230" s="8" t="s">
        <v>2422</v>
      </c>
      <c r="D1230" s="8"/>
      <c r="E1230" s="6"/>
      <c r="F1230" s="6"/>
    </row>
    <row r="1231" spans="1:6" x14ac:dyDescent="0.3">
      <c r="A1231" s="8" t="s">
        <v>2423</v>
      </c>
      <c r="B1231" s="8" t="s">
        <v>54835</v>
      </c>
      <c r="C1231" s="8" t="s">
        <v>2424</v>
      </c>
      <c r="D1231" s="8"/>
      <c r="E1231" s="6"/>
      <c r="F1231" s="6"/>
    </row>
    <row r="1232" spans="1:6" x14ac:dyDescent="0.3">
      <c r="A1232" s="8" t="s">
        <v>2425</v>
      </c>
      <c r="B1232" s="8" t="s">
        <v>54836</v>
      </c>
      <c r="C1232" s="8" t="s">
        <v>2426</v>
      </c>
      <c r="D1232" s="8"/>
      <c r="E1232" s="6"/>
      <c r="F1232" s="6"/>
    </row>
    <row r="1233" spans="1:6" x14ac:dyDescent="0.3">
      <c r="A1233" s="8" t="s">
        <v>2427</v>
      </c>
      <c r="B1233" s="8" t="s">
        <v>54837</v>
      </c>
      <c r="C1233" s="8" t="s">
        <v>2428</v>
      </c>
      <c r="D1233" s="8"/>
      <c r="E1233" s="6"/>
      <c r="F1233" s="6"/>
    </row>
    <row r="1234" spans="1:6" x14ac:dyDescent="0.3">
      <c r="A1234" s="8" t="s">
        <v>2429</v>
      </c>
      <c r="B1234" s="8" t="s">
        <v>54838</v>
      </c>
      <c r="C1234" s="8" t="s">
        <v>2430</v>
      </c>
      <c r="D1234" s="8"/>
      <c r="E1234" s="6"/>
      <c r="F1234" s="6"/>
    </row>
    <row r="1235" spans="1:6" x14ac:dyDescent="0.3">
      <c r="A1235" s="8" t="s">
        <v>2431</v>
      </c>
      <c r="B1235" s="8" t="s">
        <v>54839</v>
      </c>
      <c r="C1235" s="8" t="s">
        <v>2432</v>
      </c>
      <c r="D1235" s="8"/>
      <c r="E1235" s="6"/>
      <c r="F1235" s="6"/>
    </row>
    <row r="1236" spans="1:6" x14ac:dyDescent="0.3">
      <c r="A1236" s="8" t="s">
        <v>2433</v>
      </c>
      <c r="B1236" s="8" t="s">
        <v>54840</v>
      </c>
      <c r="C1236" s="8" t="s">
        <v>2434</v>
      </c>
      <c r="D1236" s="8"/>
      <c r="E1236" s="6"/>
      <c r="F1236" s="6"/>
    </row>
    <row r="1237" spans="1:6" x14ac:dyDescent="0.3">
      <c r="A1237" s="8" t="s">
        <v>2435</v>
      </c>
      <c r="B1237" s="8" t="s">
        <v>54841</v>
      </c>
      <c r="C1237" s="8" t="s">
        <v>2436</v>
      </c>
      <c r="D1237" s="8"/>
      <c r="E1237" s="6"/>
      <c r="F1237" s="6"/>
    </row>
    <row r="1238" spans="1:6" x14ac:dyDescent="0.3">
      <c r="A1238" s="8" t="s">
        <v>2437</v>
      </c>
      <c r="B1238" s="8" t="s">
        <v>54842</v>
      </c>
      <c r="C1238" s="8" t="s">
        <v>2438</v>
      </c>
      <c r="D1238" s="8"/>
      <c r="E1238" s="6"/>
      <c r="F1238" s="6"/>
    </row>
    <row r="1239" spans="1:6" x14ac:dyDescent="0.3">
      <c r="A1239" s="8" t="s">
        <v>2439</v>
      </c>
      <c r="B1239" s="8" t="s">
        <v>54843</v>
      </c>
      <c r="C1239" s="8" t="s">
        <v>2440</v>
      </c>
      <c r="D1239" s="8"/>
      <c r="E1239" s="6"/>
      <c r="F1239" s="6"/>
    </row>
    <row r="1240" spans="1:6" x14ac:dyDescent="0.3">
      <c r="A1240" s="8" t="s">
        <v>2441</v>
      </c>
      <c r="B1240" s="8" t="s">
        <v>54844</v>
      </c>
      <c r="C1240" s="8" t="s">
        <v>2442</v>
      </c>
      <c r="D1240" s="8"/>
      <c r="E1240" s="6"/>
      <c r="F1240" s="6"/>
    </row>
    <row r="1241" spans="1:6" x14ac:dyDescent="0.3">
      <c r="A1241" s="8" t="s">
        <v>2443</v>
      </c>
      <c r="B1241" s="8" t="s">
        <v>54845</v>
      </c>
      <c r="C1241" s="8" t="s">
        <v>2444</v>
      </c>
      <c r="D1241" s="8"/>
      <c r="E1241" s="6"/>
      <c r="F1241" s="6"/>
    </row>
    <row r="1242" spans="1:6" x14ac:dyDescent="0.3">
      <c r="A1242" s="8" t="s">
        <v>2445</v>
      </c>
      <c r="B1242" s="8" t="s">
        <v>54846</v>
      </c>
      <c r="C1242" s="8" t="s">
        <v>2446</v>
      </c>
      <c r="D1242" s="8"/>
      <c r="E1242" s="6"/>
      <c r="F1242" s="6"/>
    </row>
    <row r="1243" spans="1:6" x14ac:dyDescent="0.3">
      <c r="A1243" s="8" t="s">
        <v>2447</v>
      </c>
      <c r="B1243" s="8" t="s">
        <v>54847</v>
      </c>
      <c r="C1243" s="8" t="s">
        <v>2448</v>
      </c>
      <c r="D1243" s="8"/>
      <c r="E1243" s="6"/>
      <c r="F1243" s="6"/>
    </row>
    <row r="1244" spans="1:6" x14ac:dyDescent="0.3">
      <c r="A1244" s="8" t="s">
        <v>2449</v>
      </c>
      <c r="B1244" s="8" t="s">
        <v>54848</v>
      </c>
      <c r="C1244" s="8" t="s">
        <v>2450</v>
      </c>
      <c r="D1244" s="8"/>
      <c r="E1244" s="6"/>
      <c r="F1244" s="6"/>
    </row>
    <row r="1245" spans="1:6" x14ac:dyDescent="0.3">
      <c r="A1245" s="8" t="s">
        <v>2451</v>
      </c>
      <c r="B1245" s="8" t="s">
        <v>54849</v>
      </c>
      <c r="C1245" s="8" t="s">
        <v>2452</v>
      </c>
      <c r="D1245" s="8"/>
      <c r="E1245" s="6"/>
      <c r="F1245" s="6"/>
    </row>
    <row r="1246" spans="1:6" x14ac:dyDescent="0.3">
      <c r="A1246" s="8" t="s">
        <v>2453</v>
      </c>
      <c r="B1246" s="8" t="s">
        <v>54850</v>
      </c>
      <c r="C1246" s="8" t="s">
        <v>2454</v>
      </c>
      <c r="D1246" s="8"/>
      <c r="E1246" s="6"/>
      <c r="F1246" s="6"/>
    </row>
    <row r="1247" spans="1:6" x14ac:dyDescent="0.3">
      <c r="A1247" s="8" t="s">
        <v>2455</v>
      </c>
      <c r="B1247" s="8" t="s">
        <v>54851</v>
      </c>
      <c r="C1247" s="8" t="s">
        <v>2456</v>
      </c>
      <c r="D1247" s="8"/>
      <c r="E1247" s="6"/>
      <c r="F1247" s="6"/>
    </row>
    <row r="1248" spans="1:6" x14ac:dyDescent="0.3">
      <c r="A1248" s="8" t="s">
        <v>2457</v>
      </c>
      <c r="B1248" s="8" t="s">
        <v>54852</v>
      </c>
      <c r="C1248" s="8" t="s">
        <v>2458</v>
      </c>
      <c r="D1248" s="8"/>
      <c r="E1248" s="6"/>
      <c r="F1248" s="6"/>
    </row>
    <row r="1249" spans="1:6" x14ac:dyDescent="0.3">
      <c r="A1249" s="8" t="s">
        <v>2459</v>
      </c>
      <c r="B1249" s="8" t="s">
        <v>54853</v>
      </c>
      <c r="C1249" s="8" t="s">
        <v>2460</v>
      </c>
      <c r="D1249" s="8"/>
      <c r="E1249" s="6"/>
      <c r="F1249" s="6"/>
    </row>
    <row r="1250" spans="1:6" x14ac:dyDescent="0.3">
      <c r="A1250" s="8" t="s">
        <v>2461</v>
      </c>
      <c r="B1250" s="8" t="s">
        <v>54854</v>
      </c>
      <c r="C1250" s="8" t="s">
        <v>2462</v>
      </c>
      <c r="D1250" s="8"/>
      <c r="E1250" s="6"/>
      <c r="F1250" s="6"/>
    </row>
    <row r="1251" spans="1:6" x14ac:dyDescent="0.3">
      <c r="A1251" s="8" t="s">
        <v>2463</v>
      </c>
      <c r="B1251" s="8" t="s">
        <v>54855</v>
      </c>
      <c r="C1251" s="8" t="s">
        <v>2464</v>
      </c>
      <c r="D1251" s="8"/>
      <c r="E1251" s="6"/>
      <c r="F1251" s="6"/>
    </row>
    <row r="1252" spans="1:6" x14ac:dyDescent="0.3">
      <c r="A1252" s="8" t="s">
        <v>2465</v>
      </c>
      <c r="B1252" s="8" t="s">
        <v>54856</v>
      </c>
      <c r="C1252" s="8" t="s">
        <v>2466</v>
      </c>
      <c r="D1252" s="8"/>
      <c r="E1252" s="6"/>
      <c r="F1252" s="6"/>
    </row>
    <row r="1253" spans="1:6" x14ac:dyDescent="0.3">
      <c r="A1253" s="8" t="s">
        <v>2467</v>
      </c>
      <c r="B1253" s="8" t="s">
        <v>54857</v>
      </c>
      <c r="C1253" s="8" t="s">
        <v>2468</v>
      </c>
      <c r="D1253" s="8"/>
      <c r="E1253" s="6"/>
      <c r="F1253" s="6"/>
    </row>
    <row r="1254" spans="1:6" x14ac:dyDescent="0.3">
      <c r="A1254" s="8" t="s">
        <v>2469</v>
      </c>
      <c r="B1254" s="8" t="s">
        <v>54858</v>
      </c>
      <c r="C1254" s="8" t="s">
        <v>2470</v>
      </c>
      <c r="D1254" s="8"/>
      <c r="E1254" s="6"/>
      <c r="F1254" s="6"/>
    </row>
    <row r="1255" spans="1:6" x14ac:dyDescent="0.3">
      <c r="A1255" s="8" t="s">
        <v>2471</v>
      </c>
      <c r="B1255" s="8" t="s">
        <v>54859</v>
      </c>
      <c r="C1255" s="8" t="s">
        <v>2472</v>
      </c>
      <c r="D1255" s="8"/>
      <c r="E1255" s="6"/>
      <c r="F1255" s="6"/>
    </row>
    <row r="1256" spans="1:6" x14ac:dyDescent="0.3">
      <c r="A1256" s="8" t="s">
        <v>2473</v>
      </c>
      <c r="B1256" s="8" t="s">
        <v>54860</v>
      </c>
      <c r="C1256" s="8" t="s">
        <v>2474</v>
      </c>
      <c r="D1256" s="8"/>
      <c r="E1256" s="6"/>
      <c r="F1256" s="6"/>
    </row>
    <row r="1257" spans="1:6" x14ac:dyDescent="0.3">
      <c r="A1257" s="8" t="s">
        <v>2475</v>
      </c>
      <c r="B1257" s="8" t="s">
        <v>54861</v>
      </c>
      <c r="C1257" s="8" t="s">
        <v>2476</v>
      </c>
      <c r="D1257" s="8"/>
      <c r="E1257" s="6"/>
      <c r="F1257" s="6"/>
    </row>
    <row r="1258" spans="1:6" x14ac:dyDescent="0.3">
      <c r="A1258" s="8" t="s">
        <v>2477</v>
      </c>
      <c r="B1258" s="8" t="s">
        <v>54862</v>
      </c>
      <c r="C1258" s="8" t="s">
        <v>2478</v>
      </c>
      <c r="D1258" s="8"/>
      <c r="E1258" s="6"/>
      <c r="F1258" s="6"/>
    </row>
    <row r="1259" spans="1:6" x14ac:dyDescent="0.3">
      <c r="A1259" s="8" t="s">
        <v>2479</v>
      </c>
      <c r="B1259" s="8" t="s">
        <v>54863</v>
      </c>
      <c r="C1259" s="8" t="s">
        <v>2480</v>
      </c>
      <c r="D1259" s="8"/>
      <c r="E1259" s="6"/>
      <c r="F1259" s="6"/>
    </row>
    <row r="1260" spans="1:6" x14ac:dyDescent="0.3">
      <c r="A1260" s="8" t="s">
        <v>2481</v>
      </c>
      <c r="B1260" s="8" t="s">
        <v>54864</v>
      </c>
      <c r="C1260" s="8" t="s">
        <v>2482</v>
      </c>
      <c r="D1260" s="8"/>
      <c r="E1260" s="6"/>
      <c r="F1260" s="6"/>
    </row>
    <row r="1261" spans="1:6" x14ac:dyDescent="0.3">
      <c r="A1261" s="8" t="s">
        <v>2483</v>
      </c>
      <c r="B1261" s="8" t="s">
        <v>54865</v>
      </c>
      <c r="C1261" s="8" t="s">
        <v>2484</v>
      </c>
      <c r="D1261" s="8"/>
      <c r="E1261" s="6"/>
      <c r="F1261" s="6"/>
    </row>
    <row r="1262" spans="1:6" x14ac:dyDescent="0.3">
      <c r="A1262" s="8" t="s">
        <v>2485</v>
      </c>
      <c r="B1262" s="8" t="s">
        <v>54866</v>
      </c>
      <c r="C1262" s="8" t="s">
        <v>2486</v>
      </c>
      <c r="D1262" s="8"/>
      <c r="E1262" s="6"/>
      <c r="F1262" s="6"/>
    </row>
    <row r="1263" spans="1:6" x14ac:dyDescent="0.3">
      <c r="A1263" s="8" t="s">
        <v>2487</v>
      </c>
      <c r="B1263" s="8" t="s">
        <v>54867</v>
      </c>
      <c r="C1263" s="8" t="s">
        <v>2488</v>
      </c>
      <c r="D1263" s="8"/>
      <c r="E1263" s="6"/>
      <c r="F1263" s="6"/>
    </row>
    <row r="1264" spans="1:6" x14ac:dyDescent="0.3">
      <c r="A1264" s="8" t="s">
        <v>2489</v>
      </c>
      <c r="B1264" s="8" t="s">
        <v>54868</v>
      </c>
      <c r="C1264" s="8" t="s">
        <v>2490</v>
      </c>
      <c r="D1264" s="8"/>
      <c r="E1264" s="6"/>
      <c r="F1264" s="6"/>
    </row>
    <row r="1265" spans="1:6" x14ac:dyDescent="0.3">
      <c r="A1265" s="8" t="s">
        <v>2491</v>
      </c>
      <c r="B1265" s="8" t="s">
        <v>54869</v>
      </c>
      <c r="C1265" s="8" t="s">
        <v>2492</v>
      </c>
      <c r="D1265" s="8"/>
      <c r="E1265" s="6"/>
      <c r="F1265" s="6"/>
    </row>
    <row r="1266" spans="1:6" x14ac:dyDescent="0.3">
      <c r="A1266" s="8" t="s">
        <v>2493</v>
      </c>
      <c r="B1266" s="8" t="s">
        <v>54870</v>
      </c>
      <c r="C1266" s="8" t="s">
        <v>2494</v>
      </c>
      <c r="D1266" s="8"/>
      <c r="E1266" s="6"/>
      <c r="F1266" s="6"/>
    </row>
    <row r="1267" spans="1:6" x14ac:dyDescent="0.3">
      <c r="A1267" s="8" t="s">
        <v>2495</v>
      </c>
      <c r="B1267" s="8" t="s">
        <v>54871</v>
      </c>
      <c r="C1267" s="8" t="s">
        <v>2496</v>
      </c>
      <c r="D1267" s="8"/>
      <c r="E1267" s="6"/>
      <c r="F1267" s="6"/>
    </row>
    <row r="1268" spans="1:6" x14ac:dyDescent="0.3">
      <c r="A1268" s="8" t="s">
        <v>2497</v>
      </c>
      <c r="B1268" s="8" t="s">
        <v>54872</v>
      </c>
      <c r="C1268" s="8" t="s">
        <v>2498</v>
      </c>
      <c r="D1268" s="8"/>
      <c r="E1268" s="6"/>
      <c r="F1268" s="6"/>
    </row>
    <row r="1269" spans="1:6" x14ac:dyDescent="0.3">
      <c r="A1269" s="8" t="s">
        <v>2499</v>
      </c>
      <c r="B1269" s="8" t="s">
        <v>54873</v>
      </c>
      <c r="C1269" s="8" t="s">
        <v>2500</v>
      </c>
      <c r="D1269" s="8"/>
      <c r="E1269" s="6"/>
      <c r="F1269" s="6"/>
    </row>
    <row r="1270" spans="1:6" x14ac:dyDescent="0.3">
      <c r="A1270" s="8" t="s">
        <v>2501</v>
      </c>
      <c r="B1270" s="8" t="s">
        <v>54874</v>
      </c>
      <c r="C1270" s="8" t="s">
        <v>2502</v>
      </c>
      <c r="D1270" s="8"/>
      <c r="E1270" s="6"/>
      <c r="F1270" s="6"/>
    </row>
    <row r="1271" spans="1:6" x14ac:dyDescent="0.3">
      <c r="A1271" s="8" t="s">
        <v>2503</v>
      </c>
      <c r="B1271" s="8" t="s">
        <v>54875</v>
      </c>
      <c r="C1271" s="8" t="s">
        <v>2504</v>
      </c>
      <c r="D1271" s="8"/>
      <c r="E1271" s="6"/>
      <c r="F1271" s="6"/>
    </row>
    <row r="1272" spans="1:6" x14ac:dyDescent="0.3">
      <c r="A1272" s="8" t="s">
        <v>2505</v>
      </c>
      <c r="B1272" s="8" t="s">
        <v>54876</v>
      </c>
      <c r="C1272" s="8" t="s">
        <v>2506</v>
      </c>
      <c r="D1272" s="8"/>
      <c r="E1272" s="6"/>
      <c r="F1272" s="6"/>
    </row>
    <row r="1273" spans="1:6" x14ac:dyDescent="0.3">
      <c r="A1273" s="8" t="s">
        <v>2507</v>
      </c>
      <c r="B1273" s="8" t="s">
        <v>54877</v>
      </c>
      <c r="C1273" s="8" t="s">
        <v>2508</v>
      </c>
      <c r="D1273" s="8"/>
      <c r="E1273" s="6"/>
      <c r="F1273" s="6"/>
    </row>
    <row r="1274" spans="1:6" x14ac:dyDescent="0.3">
      <c r="A1274" s="8" t="s">
        <v>2509</v>
      </c>
      <c r="B1274" s="8" t="s">
        <v>54878</v>
      </c>
      <c r="C1274" s="8" t="s">
        <v>2510</v>
      </c>
      <c r="D1274" s="8"/>
      <c r="E1274" s="6"/>
      <c r="F1274" s="6"/>
    </row>
    <row r="1275" spans="1:6" x14ac:dyDescent="0.3">
      <c r="A1275" s="8" t="s">
        <v>2511</v>
      </c>
      <c r="B1275" s="8" t="s">
        <v>54879</v>
      </c>
      <c r="C1275" s="8" t="s">
        <v>2512</v>
      </c>
      <c r="D1275" s="8"/>
      <c r="E1275" s="6"/>
      <c r="F1275" s="6"/>
    </row>
    <row r="1276" spans="1:6" x14ac:dyDescent="0.3">
      <c r="A1276" s="8" t="s">
        <v>2513</v>
      </c>
      <c r="B1276" s="8" t="s">
        <v>54880</v>
      </c>
      <c r="C1276" s="8" t="s">
        <v>2514</v>
      </c>
      <c r="D1276" s="8"/>
      <c r="E1276" s="6"/>
      <c r="F1276" s="6"/>
    </row>
    <row r="1277" spans="1:6" x14ac:dyDescent="0.3">
      <c r="A1277" s="8" t="s">
        <v>2515</v>
      </c>
      <c r="B1277" s="8" t="s">
        <v>54881</v>
      </c>
      <c r="C1277" s="8" t="s">
        <v>2516</v>
      </c>
      <c r="D1277" s="8"/>
      <c r="E1277" s="6"/>
      <c r="F1277" s="6"/>
    </row>
    <row r="1278" spans="1:6" x14ac:dyDescent="0.3">
      <c r="A1278" s="8" t="s">
        <v>2517</v>
      </c>
      <c r="B1278" s="8" t="s">
        <v>54882</v>
      </c>
      <c r="C1278" s="8" t="s">
        <v>2518</v>
      </c>
      <c r="D1278" s="8"/>
      <c r="E1278" s="6"/>
      <c r="F1278" s="6"/>
    </row>
    <row r="1279" spans="1:6" x14ac:dyDescent="0.3">
      <c r="A1279" s="8" t="s">
        <v>2519</v>
      </c>
      <c r="B1279" s="8" t="s">
        <v>54883</v>
      </c>
      <c r="C1279" s="8" t="s">
        <v>2520</v>
      </c>
      <c r="D1279" s="8"/>
      <c r="E1279" s="6"/>
      <c r="F1279" s="6"/>
    </row>
    <row r="1280" spans="1:6" x14ac:dyDescent="0.3">
      <c r="A1280" s="8" t="s">
        <v>2521</v>
      </c>
      <c r="B1280" s="8" t="s">
        <v>54884</v>
      </c>
      <c r="C1280" s="8" t="s">
        <v>2522</v>
      </c>
      <c r="D1280" s="8"/>
      <c r="E1280" s="6"/>
      <c r="F1280" s="6"/>
    </row>
    <row r="1281" spans="1:6" x14ac:dyDescent="0.3">
      <c r="A1281" s="8" t="s">
        <v>2523</v>
      </c>
      <c r="B1281" s="8" t="s">
        <v>54885</v>
      </c>
      <c r="C1281" s="8" t="s">
        <v>2524</v>
      </c>
      <c r="D1281" s="8"/>
      <c r="E1281" s="6"/>
      <c r="F1281" s="6"/>
    </row>
    <row r="1282" spans="1:6" x14ac:dyDescent="0.3">
      <c r="A1282" s="8" t="s">
        <v>2525</v>
      </c>
      <c r="B1282" s="8" t="s">
        <v>54886</v>
      </c>
      <c r="C1282" s="8" t="s">
        <v>2526</v>
      </c>
      <c r="D1282" s="8"/>
      <c r="E1282" s="6"/>
      <c r="F1282" s="6"/>
    </row>
    <row r="1283" spans="1:6" x14ac:dyDescent="0.3">
      <c r="A1283" s="8" t="s">
        <v>2527</v>
      </c>
      <c r="B1283" s="8" t="s">
        <v>54887</v>
      </c>
      <c r="C1283" s="8" t="s">
        <v>2528</v>
      </c>
      <c r="D1283" s="8"/>
      <c r="E1283" s="6"/>
      <c r="F1283" s="6"/>
    </row>
    <row r="1284" spans="1:6" x14ac:dyDescent="0.3">
      <c r="A1284" s="8" t="s">
        <v>2529</v>
      </c>
      <c r="B1284" s="8" t="s">
        <v>54888</v>
      </c>
      <c r="C1284" s="8" t="s">
        <v>2530</v>
      </c>
      <c r="D1284" s="8"/>
      <c r="E1284" s="6"/>
      <c r="F1284" s="6"/>
    </row>
    <row r="1285" spans="1:6" x14ac:dyDescent="0.3">
      <c r="A1285" s="8" t="s">
        <v>2531</v>
      </c>
      <c r="B1285" s="8" t="s">
        <v>54889</v>
      </c>
      <c r="C1285" s="8" t="s">
        <v>2532</v>
      </c>
      <c r="D1285" s="8"/>
      <c r="E1285" s="6"/>
      <c r="F1285" s="6"/>
    </row>
    <row r="1286" spans="1:6" x14ac:dyDescent="0.3">
      <c r="A1286" s="8" t="s">
        <v>2533</v>
      </c>
      <c r="B1286" s="8" t="s">
        <v>54890</v>
      </c>
      <c r="C1286" s="8" t="s">
        <v>2534</v>
      </c>
      <c r="D1286" s="8"/>
      <c r="E1286" s="6"/>
      <c r="F1286" s="6"/>
    </row>
    <row r="1287" spans="1:6" x14ac:dyDescent="0.3">
      <c r="A1287" s="8" t="s">
        <v>2535</v>
      </c>
      <c r="B1287" s="8" t="s">
        <v>54891</v>
      </c>
      <c r="C1287" s="8" t="s">
        <v>2536</v>
      </c>
      <c r="D1287" s="8"/>
      <c r="E1287" s="6"/>
      <c r="F1287" s="6"/>
    </row>
    <row r="1288" spans="1:6" x14ac:dyDescent="0.3">
      <c r="A1288" s="8" t="s">
        <v>2537</v>
      </c>
      <c r="B1288" s="8" t="s">
        <v>54892</v>
      </c>
      <c r="C1288" s="8" t="s">
        <v>2538</v>
      </c>
      <c r="D1288" s="8"/>
      <c r="E1288" s="6"/>
      <c r="F1288" s="6"/>
    </row>
    <row r="1289" spans="1:6" x14ac:dyDescent="0.3">
      <c r="A1289" s="8" t="s">
        <v>2539</v>
      </c>
      <c r="B1289" s="8" t="s">
        <v>54893</v>
      </c>
      <c r="C1289" s="8" t="s">
        <v>2540</v>
      </c>
      <c r="D1289" s="8"/>
      <c r="E1289" s="6"/>
      <c r="F1289" s="6"/>
    </row>
    <row r="1290" spans="1:6" x14ac:dyDescent="0.3">
      <c r="A1290" s="8" t="s">
        <v>2541</v>
      </c>
      <c r="B1290" s="8" t="s">
        <v>54894</v>
      </c>
      <c r="C1290" s="8" t="s">
        <v>2542</v>
      </c>
      <c r="D1290" s="8"/>
      <c r="E1290" s="6"/>
      <c r="F1290" s="6"/>
    </row>
    <row r="1291" spans="1:6" x14ac:dyDescent="0.3">
      <c r="A1291" s="8" t="s">
        <v>2543</v>
      </c>
      <c r="B1291" s="8" t="s">
        <v>54895</v>
      </c>
      <c r="C1291" s="8" t="s">
        <v>2544</v>
      </c>
      <c r="D1291" s="8"/>
      <c r="E1291" s="6"/>
      <c r="F1291" s="6"/>
    </row>
    <row r="1292" spans="1:6" x14ac:dyDescent="0.3">
      <c r="A1292" s="8" t="s">
        <v>2545</v>
      </c>
      <c r="B1292" s="8" t="s">
        <v>54896</v>
      </c>
      <c r="C1292" s="8" t="s">
        <v>2546</v>
      </c>
      <c r="D1292" s="8"/>
      <c r="E1292" s="6"/>
      <c r="F1292" s="6"/>
    </row>
    <row r="1293" spans="1:6" x14ac:dyDescent="0.3">
      <c r="A1293" s="8" t="s">
        <v>2547</v>
      </c>
      <c r="B1293" s="8" t="s">
        <v>54897</v>
      </c>
      <c r="C1293" s="8" t="s">
        <v>2548</v>
      </c>
      <c r="D1293" s="8"/>
      <c r="E1293" s="6"/>
      <c r="F1293" s="6"/>
    </row>
    <row r="1294" spans="1:6" x14ac:dyDescent="0.3">
      <c r="A1294" s="8" t="s">
        <v>2549</v>
      </c>
      <c r="B1294" s="8" t="s">
        <v>54898</v>
      </c>
      <c r="C1294" s="8" t="s">
        <v>2550</v>
      </c>
      <c r="D1294" s="8"/>
      <c r="E1294" s="6"/>
      <c r="F1294" s="6"/>
    </row>
    <row r="1295" spans="1:6" x14ac:dyDescent="0.3">
      <c r="A1295" s="8" t="s">
        <v>2551</v>
      </c>
      <c r="B1295" s="8" t="s">
        <v>54899</v>
      </c>
      <c r="C1295" s="8" t="s">
        <v>2552</v>
      </c>
      <c r="D1295" s="8"/>
      <c r="E1295" s="6"/>
      <c r="F1295" s="6"/>
    </row>
    <row r="1296" spans="1:6" x14ac:dyDescent="0.3">
      <c r="A1296" s="8" t="s">
        <v>2553</v>
      </c>
      <c r="B1296" s="8" t="s">
        <v>54900</v>
      </c>
      <c r="C1296" s="8" t="s">
        <v>2554</v>
      </c>
      <c r="D1296" s="8"/>
      <c r="E1296" s="6"/>
      <c r="F1296" s="6"/>
    </row>
    <row r="1297" spans="1:6" x14ac:dyDescent="0.3">
      <c r="A1297" s="8" t="s">
        <v>2555</v>
      </c>
      <c r="B1297" s="8" t="s">
        <v>54901</v>
      </c>
      <c r="C1297" s="8" t="s">
        <v>2556</v>
      </c>
      <c r="D1297" s="8"/>
      <c r="E1297" s="6"/>
      <c r="F1297" s="6"/>
    </row>
    <row r="1298" spans="1:6" x14ac:dyDescent="0.3">
      <c r="A1298" s="8" t="s">
        <v>2557</v>
      </c>
      <c r="B1298" s="8" t="s">
        <v>54902</v>
      </c>
      <c r="C1298" s="8" t="s">
        <v>2558</v>
      </c>
      <c r="D1298" s="8"/>
      <c r="E1298" s="6"/>
      <c r="F1298" s="6"/>
    </row>
    <row r="1299" spans="1:6" x14ac:dyDescent="0.3">
      <c r="A1299" s="8" t="s">
        <v>2559</v>
      </c>
      <c r="B1299" s="8" t="s">
        <v>54903</v>
      </c>
      <c r="C1299" s="8" t="s">
        <v>2560</v>
      </c>
      <c r="D1299" s="8"/>
      <c r="E1299" s="6"/>
      <c r="F1299" s="6"/>
    </row>
    <row r="1300" spans="1:6" x14ac:dyDescent="0.3">
      <c r="A1300" s="8" t="s">
        <v>2561</v>
      </c>
      <c r="B1300" s="8" t="s">
        <v>54904</v>
      </c>
      <c r="C1300" s="8" t="s">
        <v>2562</v>
      </c>
      <c r="D1300" s="8"/>
      <c r="E1300" s="6"/>
      <c r="F1300" s="6"/>
    </row>
    <row r="1301" spans="1:6" x14ac:dyDescent="0.3">
      <c r="A1301" s="8" t="s">
        <v>2563</v>
      </c>
      <c r="B1301" s="8" t="s">
        <v>54905</v>
      </c>
      <c r="C1301" s="8" t="s">
        <v>2564</v>
      </c>
      <c r="D1301" s="8"/>
      <c r="E1301" s="6"/>
      <c r="F1301" s="6"/>
    </row>
    <row r="1302" spans="1:6" x14ac:dyDescent="0.3">
      <c r="A1302" s="8" t="s">
        <v>2565</v>
      </c>
      <c r="B1302" s="8" t="s">
        <v>54906</v>
      </c>
      <c r="C1302" s="8" t="s">
        <v>2566</v>
      </c>
      <c r="D1302" s="8"/>
      <c r="E1302" s="6"/>
      <c r="F1302" s="6"/>
    </row>
    <row r="1303" spans="1:6" x14ac:dyDescent="0.3">
      <c r="A1303" s="8" t="s">
        <v>2567</v>
      </c>
      <c r="B1303" s="8" t="s">
        <v>54907</v>
      </c>
      <c r="C1303" s="8" t="s">
        <v>2568</v>
      </c>
      <c r="D1303" s="8"/>
      <c r="E1303" s="6"/>
      <c r="F1303" s="6"/>
    </row>
    <row r="1304" spans="1:6" x14ac:dyDescent="0.3">
      <c r="A1304" s="8" t="s">
        <v>2569</v>
      </c>
      <c r="B1304" s="8" t="s">
        <v>54908</v>
      </c>
      <c r="C1304" s="8" t="s">
        <v>2570</v>
      </c>
      <c r="D1304" s="8"/>
      <c r="E1304" s="6"/>
      <c r="F1304" s="6"/>
    </row>
    <row r="1305" spans="1:6" x14ac:dyDescent="0.3">
      <c r="A1305" s="8" t="s">
        <v>2571</v>
      </c>
      <c r="B1305" s="8" t="s">
        <v>54909</v>
      </c>
      <c r="C1305" s="8" t="s">
        <v>2572</v>
      </c>
      <c r="D1305" s="8"/>
      <c r="E1305" s="6"/>
      <c r="F1305" s="6"/>
    </row>
    <row r="1306" spans="1:6" x14ac:dyDescent="0.3">
      <c r="A1306" s="8" t="s">
        <v>2573</v>
      </c>
      <c r="B1306" s="8" t="s">
        <v>54910</v>
      </c>
      <c r="C1306" s="8" t="s">
        <v>2574</v>
      </c>
      <c r="D1306" s="8"/>
      <c r="E1306" s="6"/>
      <c r="F1306" s="6"/>
    </row>
    <row r="1307" spans="1:6" x14ac:dyDescent="0.3">
      <c r="A1307" s="8" t="s">
        <v>2575</v>
      </c>
      <c r="B1307" s="8" t="s">
        <v>54911</v>
      </c>
      <c r="C1307" s="8" t="s">
        <v>2576</v>
      </c>
      <c r="D1307" s="8"/>
      <c r="E1307" s="6"/>
      <c r="F1307" s="6"/>
    </row>
    <row r="1308" spans="1:6" x14ac:dyDescent="0.3">
      <c r="A1308" s="8" t="s">
        <v>2577</v>
      </c>
      <c r="B1308" s="8" t="s">
        <v>54912</v>
      </c>
      <c r="C1308" s="8" t="s">
        <v>2578</v>
      </c>
      <c r="D1308" s="8"/>
      <c r="E1308" s="6"/>
      <c r="F1308" s="6"/>
    </row>
    <row r="1309" spans="1:6" x14ac:dyDescent="0.3">
      <c r="A1309" s="8" t="s">
        <v>2579</v>
      </c>
      <c r="B1309" s="8" t="s">
        <v>54913</v>
      </c>
      <c r="C1309" s="8" t="s">
        <v>2580</v>
      </c>
      <c r="D1309" s="8"/>
      <c r="E1309" s="6"/>
      <c r="F1309" s="6"/>
    </row>
    <row r="1310" spans="1:6" x14ac:dyDescent="0.3">
      <c r="A1310" s="8" t="s">
        <v>2581</v>
      </c>
      <c r="B1310" s="8" t="s">
        <v>54914</v>
      </c>
      <c r="C1310" s="8" t="s">
        <v>2582</v>
      </c>
      <c r="D1310" s="8"/>
      <c r="E1310" s="6"/>
      <c r="F1310" s="6"/>
    </row>
    <row r="1311" spans="1:6" x14ac:dyDescent="0.3">
      <c r="A1311" s="8" t="s">
        <v>2583</v>
      </c>
      <c r="B1311" s="8" t="s">
        <v>54915</v>
      </c>
      <c r="C1311" s="8" t="s">
        <v>2584</v>
      </c>
      <c r="D1311" s="8"/>
      <c r="E1311" s="6"/>
      <c r="F1311" s="6"/>
    </row>
    <row r="1312" spans="1:6" x14ac:dyDescent="0.3">
      <c r="A1312" s="8" t="s">
        <v>2585</v>
      </c>
      <c r="B1312" s="8" t="s">
        <v>54916</v>
      </c>
      <c r="C1312" s="8" t="s">
        <v>2586</v>
      </c>
      <c r="D1312" s="8"/>
      <c r="E1312" s="6"/>
      <c r="F1312" s="6"/>
    </row>
    <row r="1313" spans="1:6" x14ac:dyDescent="0.3">
      <c r="A1313" s="8" t="s">
        <v>2587</v>
      </c>
      <c r="B1313" s="8" t="s">
        <v>54917</v>
      </c>
      <c r="C1313" s="8" t="s">
        <v>2588</v>
      </c>
      <c r="D1313" s="8"/>
      <c r="E1313" s="6"/>
      <c r="F1313" s="6"/>
    </row>
    <row r="1314" spans="1:6" x14ac:dyDescent="0.3">
      <c r="A1314" s="8" t="s">
        <v>2589</v>
      </c>
      <c r="B1314" s="8" t="s">
        <v>54918</v>
      </c>
      <c r="C1314" s="8" t="s">
        <v>2590</v>
      </c>
      <c r="D1314" s="8"/>
      <c r="E1314" s="6"/>
      <c r="F1314" s="6"/>
    </row>
    <row r="1315" spans="1:6" x14ac:dyDescent="0.3">
      <c r="A1315" s="8" t="s">
        <v>2591</v>
      </c>
      <c r="B1315" s="8" t="s">
        <v>54919</v>
      </c>
      <c r="C1315" s="8" t="s">
        <v>2592</v>
      </c>
      <c r="D1315" s="8"/>
      <c r="E1315" s="6"/>
      <c r="F1315" s="6"/>
    </row>
    <row r="1316" spans="1:6" x14ac:dyDescent="0.3">
      <c r="A1316" s="8" t="s">
        <v>2593</v>
      </c>
      <c r="B1316" s="8" t="s">
        <v>54920</v>
      </c>
      <c r="C1316" s="8" t="s">
        <v>2594</v>
      </c>
      <c r="D1316" s="8"/>
      <c r="E1316" s="6"/>
      <c r="F1316" s="6"/>
    </row>
    <row r="1317" spans="1:6" x14ac:dyDescent="0.3">
      <c r="A1317" s="8" t="s">
        <v>2595</v>
      </c>
      <c r="B1317" s="8" t="s">
        <v>54921</v>
      </c>
      <c r="C1317" s="8" t="s">
        <v>2596</v>
      </c>
      <c r="D1317" s="8"/>
      <c r="E1317" s="6"/>
      <c r="F1317" s="6"/>
    </row>
    <row r="1318" spans="1:6" x14ac:dyDescent="0.3">
      <c r="A1318" s="8" t="s">
        <v>2597</v>
      </c>
      <c r="B1318" s="8" t="s">
        <v>54922</v>
      </c>
      <c r="C1318" s="8" t="s">
        <v>2598</v>
      </c>
      <c r="D1318" s="8"/>
      <c r="E1318" s="6"/>
      <c r="F1318" s="6"/>
    </row>
    <row r="1319" spans="1:6" x14ac:dyDescent="0.3">
      <c r="A1319" s="8" t="s">
        <v>2599</v>
      </c>
      <c r="B1319" s="8" t="s">
        <v>54923</v>
      </c>
      <c r="C1319" s="8" t="s">
        <v>2600</v>
      </c>
      <c r="D1319" s="8"/>
      <c r="E1319" s="6"/>
      <c r="F1319" s="6"/>
    </row>
    <row r="1320" spans="1:6" x14ac:dyDescent="0.3">
      <c r="A1320" s="8" t="s">
        <v>2601</v>
      </c>
      <c r="B1320" s="8" t="s">
        <v>54924</v>
      </c>
      <c r="C1320" s="8" t="s">
        <v>2602</v>
      </c>
      <c r="D1320" s="8"/>
      <c r="E1320" s="6"/>
      <c r="F1320" s="6"/>
    </row>
    <row r="1321" spans="1:6" x14ac:dyDescent="0.3">
      <c r="A1321" s="8" t="s">
        <v>2603</v>
      </c>
      <c r="B1321" s="8" t="s">
        <v>54925</v>
      </c>
      <c r="C1321" s="8" t="s">
        <v>2604</v>
      </c>
      <c r="D1321" s="8"/>
      <c r="E1321" s="6"/>
      <c r="F1321" s="6"/>
    </row>
    <row r="1322" spans="1:6" x14ac:dyDescent="0.3">
      <c r="A1322" s="8" t="s">
        <v>2605</v>
      </c>
      <c r="B1322" s="8" t="s">
        <v>54926</v>
      </c>
      <c r="C1322" s="8" t="s">
        <v>2606</v>
      </c>
      <c r="D1322" s="8"/>
      <c r="E1322" s="6"/>
      <c r="F1322" s="6"/>
    </row>
    <row r="1323" spans="1:6" x14ac:dyDescent="0.3">
      <c r="A1323" s="8" t="s">
        <v>2607</v>
      </c>
      <c r="B1323" s="8" t="s">
        <v>54927</v>
      </c>
      <c r="C1323" s="8" t="s">
        <v>2608</v>
      </c>
      <c r="D1323" s="8"/>
      <c r="E1323" s="6"/>
      <c r="F1323" s="6"/>
    </row>
    <row r="1324" spans="1:6" x14ac:dyDescent="0.3">
      <c r="A1324" s="8" t="s">
        <v>2609</v>
      </c>
      <c r="B1324" s="8" t="s">
        <v>54928</v>
      </c>
      <c r="C1324" s="8" t="s">
        <v>2610</v>
      </c>
      <c r="D1324" s="8"/>
      <c r="E1324" s="6"/>
      <c r="F1324" s="6"/>
    </row>
    <row r="1325" spans="1:6" x14ac:dyDescent="0.3">
      <c r="A1325" s="8" t="s">
        <v>2611</v>
      </c>
      <c r="B1325" s="8" t="s">
        <v>54929</v>
      </c>
      <c r="C1325" s="8" t="s">
        <v>2612</v>
      </c>
      <c r="D1325" s="8"/>
      <c r="E1325" s="6"/>
      <c r="F1325" s="6"/>
    </row>
    <row r="1326" spans="1:6" x14ac:dyDescent="0.3">
      <c r="A1326" s="8" t="s">
        <v>2613</v>
      </c>
      <c r="B1326" s="8" t="s">
        <v>54930</v>
      </c>
      <c r="C1326" s="8" t="s">
        <v>2614</v>
      </c>
      <c r="D1326" s="8"/>
      <c r="E1326" s="6"/>
      <c r="F1326" s="6"/>
    </row>
    <row r="1327" spans="1:6" x14ac:dyDescent="0.3">
      <c r="A1327" s="8" t="s">
        <v>2615</v>
      </c>
      <c r="B1327" s="8" t="s">
        <v>54931</v>
      </c>
      <c r="C1327" s="8" t="s">
        <v>2616</v>
      </c>
      <c r="D1327" s="8"/>
      <c r="E1327" s="6"/>
      <c r="F1327" s="6"/>
    </row>
    <row r="1328" spans="1:6" x14ac:dyDescent="0.3">
      <c r="A1328" s="8" t="s">
        <v>2617</v>
      </c>
      <c r="B1328" s="8" t="s">
        <v>54932</v>
      </c>
      <c r="C1328" s="8" t="s">
        <v>2618</v>
      </c>
      <c r="D1328" s="8"/>
      <c r="E1328" s="6"/>
      <c r="F1328" s="6"/>
    </row>
    <row r="1329" spans="1:6" x14ac:dyDescent="0.3">
      <c r="A1329" s="8" t="s">
        <v>2619</v>
      </c>
      <c r="B1329" s="8" t="s">
        <v>54933</v>
      </c>
      <c r="C1329" s="8" t="s">
        <v>2620</v>
      </c>
      <c r="D1329" s="8"/>
      <c r="E1329" s="6"/>
      <c r="F1329" s="6"/>
    </row>
    <row r="1330" spans="1:6" x14ac:dyDescent="0.3">
      <c r="A1330" s="8" t="s">
        <v>2621</v>
      </c>
      <c r="B1330" s="8" t="s">
        <v>54934</v>
      </c>
      <c r="C1330" s="8" t="s">
        <v>2622</v>
      </c>
      <c r="D1330" s="8"/>
      <c r="E1330" s="6"/>
      <c r="F1330" s="6"/>
    </row>
    <row r="1331" spans="1:6" x14ac:dyDescent="0.3">
      <c r="A1331" s="8" t="s">
        <v>2623</v>
      </c>
      <c r="B1331" s="8" t="s">
        <v>54935</v>
      </c>
      <c r="C1331" s="8" t="s">
        <v>2624</v>
      </c>
      <c r="D1331" s="8"/>
      <c r="E1331" s="6"/>
      <c r="F1331" s="6"/>
    </row>
    <row r="1332" spans="1:6" x14ac:dyDescent="0.3">
      <c r="A1332" s="8" t="s">
        <v>2625</v>
      </c>
      <c r="B1332" s="8" t="s">
        <v>54936</v>
      </c>
      <c r="C1332" s="8" t="s">
        <v>2626</v>
      </c>
      <c r="D1332" s="8"/>
      <c r="E1332" s="6"/>
      <c r="F1332" s="6"/>
    </row>
    <row r="1333" spans="1:6" x14ac:dyDescent="0.3">
      <c r="A1333" s="8" t="s">
        <v>2627</v>
      </c>
      <c r="B1333" s="8" t="s">
        <v>54937</v>
      </c>
      <c r="C1333" s="8" t="s">
        <v>2628</v>
      </c>
      <c r="D1333" s="8"/>
      <c r="E1333" s="6"/>
      <c r="F1333" s="6"/>
    </row>
    <row r="1334" spans="1:6" x14ac:dyDescent="0.3">
      <c r="A1334" s="8" t="s">
        <v>2629</v>
      </c>
      <c r="B1334" s="8" t="s">
        <v>54938</v>
      </c>
      <c r="C1334" s="8" t="s">
        <v>2630</v>
      </c>
      <c r="D1334" s="8"/>
      <c r="E1334" s="6"/>
      <c r="F1334" s="6"/>
    </row>
    <row r="1335" spans="1:6" x14ac:dyDescent="0.3">
      <c r="A1335" s="8" t="s">
        <v>2631</v>
      </c>
      <c r="B1335" s="8" t="s">
        <v>54939</v>
      </c>
      <c r="C1335" s="8" t="s">
        <v>2632</v>
      </c>
      <c r="D1335" s="8"/>
      <c r="E1335" s="6"/>
      <c r="F1335" s="6"/>
    </row>
    <row r="1336" spans="1:6" x14ac:dyDescent="0.3">
      <c r="A1336" s="8" t="s">
        <v>2633</v>
      </c>
      <c r="B1336" s="8" t="s">
        <v>54940</v>
      </c>
      <c r="C1336" s="8" t="s">
        <v>2634</v>
      </c>
      <c r="D1336" s="8"/>
      <c r="E1336" s="6"/>
      <c r="F1336" s="6"/>
    </row>
    <row r="1337" spans="1:6" x14ac:dyDescent="0.3">
      <c r="A1337" s="8" t="s">
        <v>2635</v>
      </c>
      <c r="B1337" s="8" t="s">
        <v>54941</v>
      </c>
      <c r="C1337" s="8" t="s">
        <v>2636</v>
      </c>
      <c r="D1337" s="8"/>
      <c r="E1337" s="6"/>
      <c r="F1337" s="6"/>
    </row>
    <row r="1338" spans="1:6" x14ac:dyDescent="0.3">
      <c r="A1338" s="8" t="s">
        <v>2637</v>
      </c>
      <c r="B1338" s="8" t="s">
        <v>54942</v>
      </c>
      <c r="C1338" s="8" t="s">
        <v>2638</v>
      </c>
      <c r="D1338" s="8"/>
      <c r="E1338" s="6"/>
      <c r="F1338" s="6"/>
    </row>
    <row r="1339" spans="1:6" x14ac:dyDescent="0.3">
      <c r="A1339" s="8" t="s">
        <v>2639</v>
      </c>
      <c r="B1339" s="8" t="s">
        <v>54943</v>
      </c>
      <c r="C1339" s="8" t="s">
        <v>2640</v>
      </c>
      <c r="D1339" s="8"/>
      <c r="E1339" s="6"/>
      <c r="F1339" s="6"/>
    </row>
    <row r="1340" spans="1:6" x14ac:dyDescent="0.3">
      <c r="A1340" s="8" t="s">
        <v>2641</v>
      </c>
      <c r="B1340" s="8" t="s">
        <v>54944</v>
      </c>
      <c r="C1340" s="8" t="s">
        <v>2642</v>
      </c>
      <c r="D1340" s="8"/>
      <c r="E1340" s="6"/>
      <c r="F1340" s="6"/>
    </row>
    <row r="1341" spans="1:6" x14ac:dyDescent="0.3">
      <c r="A1341" s="8" t="s">
        <v>2643</v>
      </c>
      <c r="B1341" s="8" t="s">
        <v>54945</v>
      </c>
      <c r="C1341" s="8" t="s">
        <v>2644</v>
      </c>
      <c r="D1341" s="8"/>
      <c r="E1341" s="6"/>
      <c r="F1341" s="6"/>
    </row>
    <row r="1342" spans="1:6" x14ac:dyDescent="0.3">
      <c r="A1342" s="8" t="s">
        <v>2645</v>
      </c>
      <c r="B1342" s="8" t="s">
        <v>54946</v>
      </c>
      <c r="C1342" s="8" t="s">
        <v>2646</v>
      </c>
      <c r="D1342" s="8"/>
      <c r="E1342" s="6"/>
      <c r="F1342" s="6"/>
    </row>
    <row r="1343" spans="1:6" x14ac:dyDescent="0.3">
      <c r="A1343" s="8" t="s">
        <v>2647</v>
      </c>
      <c r="B1343" s="8" t="s">
        <v>54947</v>
      </c>
      <c r="C1343" s="8" t="s">
        <v>2648</v>
      </c>
      <c r="D1343" s="8"/>
      <c r="E1343" s="6"/>
      <c r="F1343" s="6"/>
    </row>
    <row r="1344" spans="1:6" x14ac:dyDescent="0.3">
      <c r="A1344" s="8" t="s">
        <v>2649</v>
      </c>
      <c r="B1344" s="8" t="s">
        <v>54948</v>
      </c>
      <c r="C1344" s="8" t="s">
        <v>2650</v>
      </c>
      <c r="D1344" s="8"/>
      <c r="E1344" s="6"/>
      <c r="F1344" s="6"/>
    </row>
    <row r="1345" spans="1:6" x14ac:dyDescent="0.3">
      <c r="A1345" s="8" t="s">
        <v>2651</v>
      </c>
      <c r="B1345" s="8" t="s">
        <v>54949</v>
      </c>
      <c r="C1345" s="8" t="s">
        <v>2652</v>
      </c>
      <c r="D1345" s="8"/>
      <c r="E1345" s="6"/>
      <c r="F1345" s="6"/>
    </row>
    <row r="1346" spans="1:6" x14ac:dyDescent="0.3">
      <c r="A1346" s="8" t="s">
        <v>2653</v>
      </c>
      <c r="B1346" s="8" t="s">
        <v>54950</v>
      </c>
      <c r="C1346" s="8" t="s">
        <v>2654</v>
      </c>
      <c r="D1346" s="8"/>
      <c r="E1346" s="6"/>
      <c r="F1346" s="6"/>
    </row>
    <row r="1347" spans="1:6" x14ac:dyDescent="0.3">
      <c r="A1347" s="8" t="s">
        <v>2655</v>
      </c>
      <c r="B1347" s="8" t="s">
        <v>54951</v>
      </c>
      <c r="C1347" s="8" t="s">
        <v>2656</v>
      </c>
      <c r="D1347" s="8"/>
      <c r="E1347" s="6"/>
      <c r="F1347" s="6"/>
    </row>
    <row r="1348" spans="1:6" x14ac:dyDescent="0.3">
      <c r="A1348" s="8" t="s">
        <v>2657</v>
      </c>
      <c r="B1348" s="8" t="s">
        <v>54952</v>
      </c>
      <c r="C1348" s="8" t="s">
        <v>2658</v>
      </c>
      <c r="D1348" s="8"/>
      <c r="E1348" s="6"/>
      <c r="F1348" s="6"/>
    </row>
    <row r="1349" spans="1:6" x14ac:dyDescent="0.3">
      <c r="A1349" s="8" t="s">
        <v>2659</v>
      </c>
      <c r="B1349" s="8" t="s">
        <v>54953</v>
      </c>
      <c r="C1349" s="8" t="s">
        <v>2660</v>
      </c>
      <c r="D1349" s="8"/>
      <c r="E1349" s="6"/>
      <c r="F1349" s="6"/>
    </row>
    <row r="1350" spans="1:6" x14ac:dyDescent="0.3">
      <c r="A1350" s="8" t="s">
        <v>2661</v>
      </c>
      <c r="B1350" s="8" t="s">
        <v>54954</v>
      </c>
      <c r="C1350" s="8" t="s">
        <v>2662</v>
      </c>
      <c r="D1350" s="8"/>
      <c r="E1350" s="6"/>
      <c r="F1350" s="6"/>
    </row>
    <row r="1351" spans="1:6" x14ac:dyDescent="0.3">
      <c r="A1351" s="8" t="s">
        <v>2663</v>
      </c>
      <c r="B1351" s="8" t="s">
        <v>54955</v>
      </c>
      <c r="C1351" s="8" t="s">
        <v>2664</v>
      </c>
      <c r="D1351" s="8"/>
      <c r="E1351" s="6"/>
      <c r="F1351" s="6"/>
    </row>
    <row r="1352" spans="1:6" x14ac:dyDescent="0.3">
      <c r="A1352" s="8" t="s">
        <v>2665</v>
      </c>
      <c r="B1352" s="8" t="s">
        <v>54956</v>
      </c>
      <c r="C1352" s="8" t="s">
        <v>2666</v>
      </c>
      <c r="D1352" s="8"/>
      <c r="E1352" s="6"/>
      <c r="F1352" s="6"/>
    </row>
    <row r="1353" spans="1:6" x14ac:dyDescent="0.3">
      <c r="A1353" s="8" t="s">
        <v>2667</v>
      </c>
      <c r="B1353" s="8" t="s">
        <v>54957</v>
      </c>
      <c r="C1353" s="8" t="s">
        <v>2668</v>
      </c>
      <c r="D1353" s="8"/>
      <c r="E1353" s="6"/>
      <c r="F1353" s="6"/>
    </row>
    <row r="1354" spans="1:6" x14ac:dyDescent="0.3">
      <c r="A1354" s="8" t="s">
        <v>2669</v>
      </c>
      <c r="B1354" s="8" t="s">
        <v>54958</v>
      </c>
      <c r="C1354" s="8" t="s">
        <v>2670</v>
      </c>
      <c r="D1354" s="8"/>
      <c r="E1354" s="6"/>
      <c r="F1354" s="6"/>
    </row>
    <row r="1355" spans="1:6" x14ac:dyDescent="0.3">
      <c r="A1355" s="8" t="s">
        <v>2671</v>
      </c>
      <c r="B1355" s="8" t="s">
        <v>54959</v>
      </c>
      <c r="C1355" s="8" t="s">
        <v>2672</v>
      </c>
      <c r="D1355" s="8"/>
      <c r="E1355" s="6"/>
      <c r="F1355" s="6"/>
    </row>
    <row r="1356" spans="1:6" x14ac:dyDescent="0.3">
      <c r="A1356" s="8" t="s">
        <v>2673</v>
      </c>
      <c r="B1356" s="8" t="s">
        <v>54960</v>
      </c>
      <c r="C1356" s="8" t="s">
        <v>2674</v>
      </c>
      <c r="D1356" s="8"/>
      <c r="E1356" s="6"/>
      <c r="F1356" s="6"/>
    </row>
    <row r="1357" spans="1:6" x14ac:dyDescent="0.3">
      <c r="A1357" s="8" t="s">
        <v>2675</v>
      </c>
      <c r="B1357" s="8" t="s">
        <v>54961</v>
      </c>
      <c r="C1357" s="8" t="s">
        <v>2676</v>
      </c>
      <c r="D1357" s="8"/>
      <c r="E1357" s="6"/>
      <c r="F1357" s="6"/>
    </row>
    <row r="1358" spans="1:6" x14ac:dyDescent="0.3">
      <c r="A1358" s="8" t="s">
        <v>2677</v>
      </c>
      <c r="B1358" s="8" t="s">
        <v>54962</v>
      </c>
      <c r="C1358" s="8" t="s">
        <v>2678</v>
      </c>
      <c r="D1358" s="8"/>
      <c r="E1358" s="6"/>
      <c r="F1358" s="6"/>
    </row>
    <row r="1359" spans="1:6" x14ac:dyDescent="0.3">
      <c r="A1359" s="8" t="s">
        <v>2679</v>
      </c>
      <c r="B1359" s="8" t="s">
        <v>54963</v>
      </c>
      <c r="C1359" s="8" t="s">
        <v>2680</v>
      </c>
      <c r="D1359" s="8"/>
      <c r="E1359" s="6"/>
      <c r="F1359" s="6"/>
    </row>
    <row r="1360" spans="1:6" x14ac:dyDescent="0.3">
      <c r="A1360" s="8" t="s">
        <v>2681</v>
      </c>
      <c r="B1360" s="8" t="s">
        <v>54964</v>
      </c>
      <c r="C1360" s="8" t="s">
        <v>2682</v>
      </c>
      <c r="D1360" s="8"/>
      <c r="E1360" s="6"/>
      <c r="F1360" s="6"/>
    </row>
    <row r="1361" spans="1:6" x14ac:dyDescent="0.3">
      <c r="A1361" s="8" t="s">
        <v>2683</v>
      </c>
      <c r="B1361" s="8" t="s">
        <v>54965</v>
      </c>
      <c r="C1361" s="8" t="s">
        <v>2684</v>
      </c>
      <c r="D1361" s="8"/>
      <c r="E1361" s="6"/>
      <c r="F1361" s="6"/>
    </row>
    <row r="1362" spans="1:6" x14ac:dyDescent="0.3">
      <c r="A1362" s="8" t="s">
        <v>2685</v>
      </c>
      <c r="B1362" s="8" t="s">
        <v>54966</v>
      </c>
      <c r="C1362" s="8" t="s">
        <v>2686</v>
      </c>
      <c r="D1362" s="8"/>
      <c r="E1362" s="6"/>
      <c r="F1362" s="6"/>
    </row>
    <row r="1363" spans="1:6" x14ac:dyDescent="0.3">
      <c r="A1363" s="8" t="s">
        <v>2687</v>
      </c>
      <c r="B1363" s="8" t="s">
        <v>54967</v>
      </c>
      <c r="C1363" s="8" t="s">
        <v>2688</v>
      </c>
      <c r="D1363" s="8"/>
      <c r="E1363" s="6"/>
      <c r="F1363" s="6"/>
    </row>
    <row r="1364" spans="1:6" x14ac:dyDescent="0.3">
      <c r="A1364" s="8" t="s">
        <v>2689</v>
      </c>
      <c r="B1364" s="8" t="s">
        <v>54968</v>
      </c>
      <c r="C1364" s="8" t="s">
        <v>2690</v>
      </c>
      <c r="D1364" s="8"/>
      <c r="E1364" s="6"/>
      <c r="F1364" s="6"/>
    </row>
    <row r="1365" spans="1:6" x14ac:dyDescent="0.3">
      <c r="A1365" s="8" t="s">
        <v>2691</v>
      </c>
      <c r="B1365" s="8" t="s">
        <v>54969</v>
      </c>
      <c r="C1365" s="8" t="s">
        <v>2692</v>
      </c>
      <c r="D1365" s="8"/>
      <c r="E1365" s="6"/>
      <c r="F1365" s="6"/>
    </row>
    <row r="1366" spans="1:6" x14ac:dyDescent="0.3">
      <c r="A1366" s="8" t="s">
        <v>2693</v>
      </c>
      <c r="B1366" s="8" t="s">
        <v>54970</v>
      </c>
      <c r="C1366" s="8" t="s">
        <v>2694</v>
      </c>
      <c r="D1366" s="8"/>
      <c r="E1366" s="6"/>
      <c r="F1366" s="6"/>
    </row>
    <row r="1367" spans="1:6" x14ac:dyDescent="0.3">
      <c r="A1367" s="8" t="s">
        <v>2695</v>
      </c>
      <c r="B1367" s="8" t="s">
        <v>54971</v>
      </c>
      <c r="C1367" s="8" t="s">
        <v>2696</v>
      </c>
      <c r="D1367" s="8"/>
      <c r="E1367" s="6"/>
      <c r="F1367" s="6"/>
    </row>
    <row r="1368" spans="1:6" x14ac:dyDescent="0.3">
      <c r="A1368" s="8" t="s">
        <v>2697</v>
      </c>
      <c r="B1368" s="8" t="s">
        <v>54972</v>
      </c>
      <c r="C1368" s="8" t="s">
        <v>2698</v>
      </c>
      <c r="D1368" s="8"/>
      <c r="E1368" s="6"/>
      <c r="F1368" s="6"/>
    </row>
    <row r="1369" spans="1:6" x14ac:dyDescent="0.3">
      <c r="A1369" s="8" t="s">
        <v>2699</v>
      </c>
      <c r="B1369" s="8" t="s">
        <v>54973</v>
      </c>
      <c r="C1369" s="8" t="s">
        <v>2700</v>
      </c>
      <c r="D1369" s="8"/>
      <c r="E1369" s="6"/>
      <c r="F1369" s="6"/>
    </row>
    <row r="1370" spans="1:6" x14ac:dyDescent="0.3">
      <c r="A1370" s="8" t="s">
        <v>2701</v>
      </c>
      <c r="B1370" s="8" t="s">
        <v>54974</v>
      </c>
      <c r="C1370" s="8" t="s">
        <v>2702</v>
      </c>
      <c r="D1370" s="8"/>
      <c r="E1370" s="6"/>
      <c r="F1370" s="6"/>
    </row>
    <row r="1371" spans="1:6" x14ac:dyDescent="0.3">
      <c r="A1371" s="8" t="s">
        <v>2703</v>
      </c>
      <c r="B1371" s="8" t="s">
        <v>54975</v>
      </c>
      <c r="C1371" s="8" t="s">
        <v>2704</v>
      </c>
      <c r="D1371" s="8"/>
      <c r="E1371" s="6"/>
      <c r="F1371" s="6"/>
    </row>
    <row r="1372" spans="1:6" x14ac:dyDescent="0.3">
      <c r="A1372" s="8" t="s">
        <v>2705</v>
      </c>
      <c r="B1372" s="8" t="s">
        <v>54976</v>
      </c>
      <c r="C1372" s="8" t="s">
        <v>2706</v>
      </c>
      <c r="D1372" s="8"/>
      <c r="E1372" s="6"/>
      <c r="F1372" s="6"/>
    </row>
    <row r="1373" spans="1:6" x14ac:dyDescent="0.3">
      <c r="A1373" s="8" t="s">
        <v>2707</v>
      </c>
      <c r="B1373" s="8" t="s">
        <v>54977</v>
      </c>
      <c r="C1373" s="8" t="s">
        <v>2708</v>
      </c>
      <c r="D1373" s="8"/>
      <c r="E1373" s="6"/>
      <c r="F1373" s="6"/>
    </row>
    <row r="1374" spans="1:6" x14ac:dyDescent="0.3">
      <c r="A1374" s="8" t="s">
        <v>2709</v>
      </c>
      <c r="B1374" s="8" t="s">
        <v>54978</v>
      </c>
      <c r="C1374" s="8" t="s">
        <v>2710</v>
      </c>
      <c r="D1374" s="8"/>
      <c r="E1374" s="6"/>
      <c r="F1374" s="6"/>
    </row>
    <row r="1375" spans="1:6" x14ac:dyDescent="0.3">
      <c r="A1375" s="8" t="s">
        <v>2711</v>
      </c>
      <c r="B1375" s="8" t="s">
        <v>54979</v>
      </c>
      <c r="C1375" s="8" t="s">
        <v>2712</v>
      </c>
      <c r="D1375" s="8"/>
      <c r="E1375" s="6"/>
      <c r="F1375" s="6"/>
    </row>
    <row r="1376" spans="1:6" x14ac:dyDescent="0.3">
      <c r="A1376" s="8" t="s">
        <v>2713</v>
      </c>
      <c r="B1376" s="8" t="s">
        <v>54980</v>
      </c>
      <c r="C1376" s="8" t="s">
        <v>2714</v>
      </c>
      <c r="D1376" s="8"/>
      <c r="E1376" s="6"/>
      <c r="F1376" s="6"/>
    </row>
    <row r="1377" spans="1:6" x14ac:dyDescent="0.3">
      <c r="A1377" s="8" t="s">
        <v>2715</v>
      </c>
      <c r="B1377" s="8" t="s">
        <v>54981</v>
      </c>
      <c r="C1377" s="8" t="s">
        <v>2716</v>
      </c>
      <c r="D1377" s="8"/>
      <c r="E1377" s="6"/>
      <c r="F1377" s="6"/>
    </row>
    <row r="1378" spans="1:6" x14ac:dyDescent="0.3">
      <c r="A1378" s="8" t="s">
        <v>2717</v>
      </c>
      <c r="B1378" s="8" t="s">
        <v>54982</v>
      </c>
      <c r="C1378" s="8" t="s">
        <v>2718</v>
      </c>
      <c r="D1378" s="8"/>
      <c r="E1378" s="6"/>
      <c r="F1378" s="6"/>
    </row>
    <row r="1379" spans="1:6" x14ac:dyDescent="0.3">
      <c r="A1379" s="8" t="s">
        <v>2719</v>
      </c>
      <c r="B1379" s="8" t="s">
        <v>54983</v>
      </c>
      <c r="C1379" s="8" t="s">
        <v>2718</v>
      </c>
      <c r="D1379" s="8"/>
      <c r="E1379" s="6"/>
      <c r="F1379" s="6"/>
    </row>
    <row r="1380" spans="1:6" x14ac:dyDescent="0.3">
      <c r="A1380" s="8" t="s">
        <v>2720</v>
      </c>
      <c r="B1380" s="8" t="s">
        <v>54984</v>
      </c>
      <c r="C1380" s="8" t="s">
        <v>2721</v>
      </c>
      <c r="D1380" s="8"/>
      <c r="E1380" s="6"/>
      <c r="F1380" s="6"/>
    </row>
    <row r="1381" spans="1:6" x14ac:dyDescent="0.3">
      <c r="A1381" s="8" t="s">
        <v>2722</v>
      </c>
      <c r="B1381" s="8" t="s">
        <v>54985</v>
      </c>
      <c r="C1381" s="8" t="s">
        <v>2723</v>
      </c>
      <c r="D1381" s="8"/>
      <c r="E1381" s="6"/>
      <c r="F1381" s="6"/>
    </row>
    <row r="1382" spans="1:6" x14ac:dyDescent="0.3">
      <c r="A1382" s="8" t="s">
        <v>2724</v>
      </c>
      <c r="B1382" s="8" t="s">
        <v>54986</v>
      </c>
      <c r="C1382" s="8" t="s">
        <v>2725</v>
      </c>
      <c r="D1382" s="8"/>
      <c r="E1382" s="6"/>
      <c r="F1382" s="6"/>
    </row>
    <row r="1383" spans="1:6" x14ac:dyDescent="0.3">
      <c r="A1383" s="8" t="s">
        <v>2726</v>
      </c>
      <c r="B1383" s="8" t="s">
        <v>54987</v>
      </c>
      <c r="C1383" s="8" t="s">
        <v>2727</v>
      </c>
      <c r="D1383" s="8"/>
      <c r="E1383" s="6"/>
      <c r="F1383" s="6"/>
    </row>
    <row r="1384" spans="1:6" x14ac:dyDescent="0.3">
      <c r="A1384" s="8" t="s">
        <v>2728</v>
      </c>
      <c r="B1384" s="8" t="s">
        <v>54988</v>
      </c>
      <c r="C1384" s="8" t="s">
        <v>2729</v>
      </c>
      <c r="D1384" s="8"/>
      <c r="E1384" s="6"/>
      <c r="F1384" s="6"/>
    </row>
    <row r="1385" spans="1:6" x14ac:dyDescent="0.3">
      <c r="A1385" s="8" t="s">
        <v>2730</v>
      </c>
      <c r="B1385" s="8" t="s">
        <v>54989</v>
      </c>
      <c r="C1385" s="8" t="s">
        <v>2731</v>
      </c>
      <c r="D1385" s="8"/>
      <c r="E1385" s="6"/>
      <c r="F1385" s="6"/>
    </row>
    <row r="1386" spans="1:6" x14ac:dyDescent="0.3">
      <c r="A1386" s="8" t="s">
        <v>2732</v>
      </c>
      <c r="B1386" s="8" t="s">
        <v>54990</v>
      </c>
      <c r="C1386" s="8" t="s">
        <v>2733</v>
      </c>
      <c r="D1386" s="8"/>
      <c r="E1386" s="6"/>
      <c r="F1386" s="6"/>
    </row>
    <row r="1387" spans="1:6" x14ac:dyDescent="0.3">
      <c r="A1387" s="8" t="s">
        <v>2734</v>
      </c>
      <c r="B1387" s="8" t="s">
        <v>54991</v>
      </c>
      <c r="C1387" s="8" t="s">
        <v>2735</v>
      </c>
      <c r="D1387" s="8"/>
      <c r="E1387" s="6"/>
      <c r="F1387" s="6"/>
    </row>
    <row r="1388" spans="1:6" x14ac:dyDescent="0.3">
      <c r="A1388" s="8" t="s">
        <v>2736</v>
      </c>
      <c r="B1388" s="8" t="s">
        <v>54992</v>
      </c>
      <c r="C1388" s="8" t="s">
        <v>2737</v>
      </c>
      <c r="D1388" s="8"/>
      <c r="E1388" s="6"/>
      <c r="F1388" s="6"/>
    </row>
    <row r="1389" spans="1:6" x14ac:dyDescent="0.3">
      <c r="A1389" s="8" t="s">
        <v>2738</v>
      </c>
      <c r="B1389" s="8" t="s">
        <v>54993</v>
      </c>
      <c r="C1389" s="8" t="s">
        <v>2739</v>
      </c>
      <c r="D1389" s="8"/>
      <c r="E1389" s="6"/>
      <c r="F1389" s="6"/>
    </row>
    <row r="1390" spans="1:6" x14ac:dyDescent="0.3">
      <c r="A1390" s="8" t="s">
        <v>2740</v>
      </c>
      <c r="B1390" s="8" t="s">
        <v>54994</v>
      </c>
      <c r="C1390" s="8" t="s">
        <v>2741</v>
      </c>
      <c r="D1390" s="8"/>
      <c r="E1390" s="6"/>
      <c r="F1390" s="6"/>
    </row>
    <row r="1391" spans="1:6" x14ac:dyDescent="0.3">
      <c r="A1391" s="8" t="s">
        <v>2742</v>
      </c>
      <c r="B1391" s="8" t="s">
        <v>54995</v>
      </c>
      <c r="C1391" s="8" t="s">
        <v>2743</v>
      </c>
      <c r="D1391" s="8"/>
      <c r="E1391" s="6"/>
      <c r="F1391" s="6"/>
    </row>
    <row r="1392" spans="1:6" x14ac:dyDescent="0.3">
      <c r="A1392" s="8" t="s">
        <v>2744</v>
      </c>
      <c r="B1392" s="8" t="s">
        <v>54996</v>
      </c>
      <c r="C1392" s="8" t="s">
        <v>2745</v>
      </c>
      <c r="D1392" s="8"/>
      <c r="E1392" s="6"/>
      <c r="F1392" s="6"/>
    </row>
    <row r="1393" spans="1:6" x14ac:dyDescent="0.3">
      <c r="A1393" s="8" t="s">
        <v>2746</v>
      </c>
      <c r="B1393" s="8" t="s">
        <v>54997</v>
      </c>
      <c r="C1393" s="8" t="s">
        <v>2747</v>
      </c>
      <c r="D1393" s="8"/>
      <c r="E1393" s="6"/>
      <c r="F1393" s="6"/>
    </row>
    <row r="1394" spans="1:6" x14ac:dyDescent="0.3">
      <c r="A1394" s="8" t="s">
        <v>2748</v>
      </c>
      <c r="B1394" s="8" t="s">
        <v>54998</v>
      </c>
      <c r="C1394" s="8" t="s">
        <v>2749</v>
      </c>
      <c r="D1394" s="8"/>
      <c r="E1394" s="6"/>
      <c r="F1394" s="6"/>
    </row>
    <row r="1395" spans="1:6" x14ac:dyDescent="0.3">
      <c r="A1395" s="8" t="s">
        <v>2750</v>
      </c>
      <c r="B1395" s="8" t="s">
        <v>54999</v>
      </c>
      <c r="C1395" s="8" t="s">
        <v>2751</v>
      </c>
      <c r="D1395" s="8"/>
      <c r="E1395" s="6"/>
      <c r="F1395" s="6"/>
    </row>
    <row r="1396" spans="1:6" x14ac:dyDescent="0.3">
      <c r="A1396" s="8" t="s">
        <v>2752</v>
      </c>
      <c r="B1396" s="8" t="s">
        <v>55000</v>
      </c>
      <c r="C1396" s="8" t="s">
        <v>2753</v>
      </c>
      <c r="D1396" s="8"/>
      <c r="E1396" s="6"/>
      <c r="F1396" s="6"/>
    </row>
    <row r="1397" spans="1:6" x14ac:dyDescent="0.3">
      <c r="A1397" s="8" t="s">
        <v>2754</v>
      </c>
      <c r="B1397" s="8" t="s">
        <v>55001</v>
      </c>
      <c r="C1397" s="8" t="s">
        <v>2755</v>
      </c>
      <c r="D1397" s="8"/>
      <c r="E1397" s="6"/>
      <c r="F1397" s="6"/>
    </row>
    <row r="1398" spans="1:6" x14ac:dyDescent="0.3">
      <c r="A1398" s="8" t="s">
        <v>2756</v>
      </c>
      <c r="B1398" s="8" t="s">
        <v>55002</v>
      </c>
      <c r="C1398" s="8" t="s">
        <v>2757</v>
      </c>
      <c r="D1398" s="8"/>
      <c r="E1398" s="6"/>
      <c r="F1398" s="6"/>
    </row>
    <row r="1399" spans="1:6" x14ac:dyDescent="0.3">
      <c r="A1399" s="8" t="s">
        <v>2758</v>
      </c>
      <c r="B1399" s="8" t="s">
        <v>55003</v>
      </c>
      <c r="C1399" s="8" t="s">
        <v>2759</v>
      </c>
      <c r="D1399" s="8"/>
      <c r="E1399" s="6"/>
      <c r="F1399" s="6"/>
    </row>
    <row r="1400" spans="1:6" x14ac:dyDescent="0.3">
      <c r="A1400" s="8" t="s">
        <v>2760</v>
      </c>
      <c r="B1400" s="8" t="s">
        <v>55004</v>
      </c>
      <c r="C1400" s="8" t="s">
        <v>2761</v>
      </c>
      <c r="D1400" s="8"/>
      <c r="E1400" s="6"/>
      <c r="F1400" s="6"/>
    </row>
    <row r="1401" spans="1:6" x14ac:dyDescent="0.3">
      <c r="A1401" s="8" t="s">
        <v>2762</v>
      </c>
      <c r="B1401" s="8" t="s">
        <v>55005</v>
      </c>
      <c r="C1401" s="8" t="s">
        <v>2763</v>
      </c>
      <c r="D1401" s="8"/>
      <c r="E1401" s="6"/>
      <c r="F1401" s="6"/>
    </row>
    <row r="1402" spans="1:6" x14ac:dyDescent="0.3">
      <c r="A1402" s="8" t="s">
        <v>2764</v>
      </c>
      <c r="B1402" s="8" t="s">
        <v>55006</v>
      </c>
      <c r="C1402" s="8" t="s">
        <v>2765</v>
      </c>
      <c r="D1402" s="8"/>
      <c r="E1402" s="6"/>
      <c r="F1402" s="6"/>
    </row>
    <row r="1403" spans="1:6" x14ac:dyDescent="0.3">
      <c r="A1403" s="8" t="s">
        <v>2766</v>
      </c>
      <c r="B1403" s="8" t="s">
        <v>55007</v>
      </c>
      <c r="C1403" s="8" t="s">
        <v>2767</v>
      </c>
      <c r="D1403" s="8"/>
      <c r="E1403" s="6"/>
      <c r="F1403" s="6"/>
    </row>
    <row r="1404" spans="1:6" x14ac:dyDescent="0.3">
      <c r="A1404" s="8" t="s">
        <v>2768</v>
      </c>
      <c r="B1404" s="8" t="s">
        <v>55008</v>
      </c>
      <c r="C1404" s="8" t="s">
        <v>2769</v>
      </c>
      <c r="D1404" s="8"/>
      <c r="E1404" s="6"/>
      <c r="F1404" s="6"/>
    </row>
    <row r="1405" spans="1:6" x14ac:dyDescent="0.3">
      <c r="A1405" s="8" t="s">
        <v>2770</v>
      </c>
      <c r="B1405" s="8" t="s">
        <v>55009</v>
      </c>
      <c r="C1405" s="8" t="s">
        <v>2771</v>
      </c>
      <c r="D1405" s="8"/>
      <c r="E1405" s="6"/>
      <c r="F1405" s="6"/>
    </row>
    <row r="1406" spans="1:6" x14ac:dyDescent="0.3">
      <c r="A1406" s="8" t="s">
        <v>2772</v>
      </c>
      <c r="B1406" s="8" t="s">
        <v>55010</v>
      </c>
      <c r="C1406" s="8" t="s">
        <v>2773</v>
      </c>
      <c r="D1406" s="8"/>
      <c r="E1406" s="6"/>
      <c r="F1406" s="6"/>
    </row>
    <row r="1407" spans="1:6" x14ac:dyDescent="0.3">
      <c r="A1407" s="8" t="s">
        <v>2774</v>
      </c>
      <c r="B1407" s="8" t="s">
        <v>55011</v>
      </c>
      <c r="C1407" s="8" t="s">
        <v>2775</v>
      </c>
      <c r="D1407" s="8"/>
      <c r="E1407" s="6"/>
      <c r="F1407" s="6"/>
    </row>
    <row r="1408" spans="1:6" x14ac:dyDescent="0.3">
      <c r="A1408" s="8" t="s">
        <v>2776</v>
      </c>
      <c r="B1408" s="8" t="s">
        <v>55012</v>
      </c>
      <c r="C1408" s="8" t="s">
        <v>2777</v>
      </c>
      <c r="D1408" s="8"/>
      <c r="E1408" s="6"/>
      <c r="F1408" s="6"/>
    </row>
    <row r="1409" spans="1:6" x14ac:dyDescent="0.3">
      <c r="A1409" s="8" t="s">
        <v>2778</v>
      </c>
      <c r="B1409" s="8" t="s">
        <v>55013</v>
      </c>
      <c r="C1409" s="8" t="s">
        <v>2779</v>
      </c>
      <c r="D1409" s="8"/>
      <c r="E1409" s="6"/>
      <c r="F1409" s="6"/>
    </row>
    <row r="1410" spans="1:6" x14ac:dyDescent="0.3">
      <c r="A1410" s="8" t="s">
        <v>2780</v>
      </c>
      <c r="B1410" s="8" t="s">
        <v>55014</v>
      </c>
      <c r="C1410" s="8" t="s">
        <v>2781</v>
      </c>
      <c r="D1410" s="8"/>
      <c r="E1410" s="6"/>
      <c r="F1410" s="6"/>
    </row>
    <row r="1411" spans="1:6" x14ac:dyDescent="0.3">
      <c r="A1411" s="8" t="s">
        <v>2782</v>
      </c>
      <c r="B1411" s="8" t="s">
        <v>55015</v>
      </c>
      <c r="C1411" s="8" t="s">
        <v>2783</v>
      </c>
      <c r="D1411" s="8"/>
      <c r="E1411" s="6"/>
      <c r="F1411" s="6"/>
    </row>
    <row r="1412" spans="1:6" x14ac:dyDescent="0.3">
      <c r="A1412" s="8" t="s">
        <v>2784</v>
      </c>
      <c r="B1412" s="8" t="s">
        <v>55016</v>
      </c>
      <c r="C1412" s="8" t="s">
        <v>2785</v>
      </c>
      <c r="D1412" s="8"/>
      <c r="E1412" s="6"/>
      <c r="F1412" s="6"/>
    </row>
    <row r="1413" spans="1:6" x14ac:dyDescent="0.3">
      <c r="A1413" s="8" t="s">
        <v>2786</v>
      </c>
      <c r="B1413" s="8" t="s">
        <v>55017</v>
      </c>
      <c r="C1413" s="8" t="s">
        <v>2787</v>
      </c>
      <c r="D1413" s="8"/>
      <c r="E1413" s="6"/>
      <c r="F1413" s="6"/>
    </row>
    <row r="1414" spans="1:6" x14ac:dyDescent="0.3">
      <c r="A1414" s="8" t="s">
        <v>2788</v>
      </c>
      <c r="B1414" s="8" t="s">
        <v>55018</v>
      </c>
      <c r="C1414" s="8" t="s">
        <v>2789</v>
      </c>
      <c r="D1414" s="8"/>
      <c r="E1414" s="6"/>
      <c r="F1414" s="6"/>
    </row>
    <row r="1415" spans="1:6" x14ac:dyDescent="0.3">
      <c r="A1415" s="8" t="s">
        <v>2790</v>
      </c>
      <c r="B1415" s="8" t="s">
        <v>55019</v>
      </c>
      <c r="C1415" s="8" t="s">
        <v>2791</v>
      </c>
      <c r="D1415" s="8"/>
      <c r="E1415" s="6"/>
      <c r="F1415" s="6"/>
    </row>
    <row r="1416" spans="1:6" x14ac:dyDescent="0.3">
      <c r="A1416" s="8" t="s">
        <v>2792</v>
      </c>
      <c r="B1416" s="8" t="s">
        <v>55020</v>
      </c>
      <c r="C1416" s="8" t="s">
        <v>2793</v>
      </c>
      <c r="D1416" s="8"/>
      <c r="E1416" s="6"/>
      <c r="F1416" s="6"/>
    </row>
    <row r="1417" spans="1:6" x14ac:dyDescent="0.3">
      <c r="A1417" s="8" t="s">
        <v>2794</v>
      </c>
      <c r="B1417" s="8" t="s">
        <v>55021</v>
      </c>
      <c r="C1417" s="8" t="s">
        <v>2795</v>
      </c>
      <c r="D1417" s="8"/>
      <c r="E1417" s="6"/>
      <c r="F1417" s="6"/>
    </row>
    <row r="1418" spans="1:6" x14ac:dyDescent="0.3">
      <c r="A1418" s="8" t="s">
        <v>2796</v>
      </c>
      <c r="B1418" s="8" t="s">
        <v>55022</v>
      </c>
      <c r="C1418" s="8" t="s">
        <v>2797</v>
      </c>
      <c r="D1418" s="8"/>
      <c r="E1418" s="6"/>
      <c r="F1418" s="6"/>
    </row>
    <row r="1419" spans="1:6" x14ac:dyDescent="0.3">
      <c r="A1419" s="8" t="s">
        <v>2798</v>
      </c>
      <c r="B1419" s="8" t="s">
        <v>55023</v>
      </c>
      <c r="C1419" s="8" t="s">
        <v>2799</v>
      </c>
      <c r="D1419" s="8"/>
      <c r="E1419" s="6"/>
      <c r="F1419" s="6"/>
    </row>
    <row r="1420" spans="1:6" x14ac:dyDescent="0.3">
      <c r="A1420" s="8" t="s">
        <v>2800</v>
      </c>
      <c r="B1420" s="8" t="s">
        <v>55024</v>
      </c>
      <c r="C1420" s="8" t="s">
        <v>2801</v>
      </c>
      <c r="D1420" s="8"/>
      <c r="E1420" s="6"/>
      <c r="F1420" s="6"/>
    </row>
    <row r="1421" spans="1:6" x14ac:dyDescent="0.3">
      <c r="A1421" s="8" t="s">
        <v>2802</v>
      </c>
      <c r="B1421" s="8" t="s">
        <v>55025</v>
      </c>
      <c r="C1421" s="8" t="s">
        <v>2803</v>
      </c>
      <c r="D1421" s="8"/>
      <c r="E1421" s="6"/>
      <c r="F1421" s="6"/>
    </row>
    <row r="1422" spans="1:6" x14ac:dyDescent="0.3">
      <c r="A1422" s="8" t="s">
        <v>2804</v>
      </c>
      <c r="B1422" s="8" t="s">
        <v>55026</v>
      </c>
      <c r="C1422" s="8" t="s">
        <v>2805</v>
      </c>
      <c r="D1422" s="8"/>
      <c r="E1422" s="6"/>
      <c r="F1422" s="6"/>
    </row>
    <row r="1423" spans="1:6" x14ac:dyDescent="0.3">
      <c r="A1423" s="8" t="s">
        <v>2806</v>
      </c>
      <c r="B1423" s="8" t="s">
        <v>55027</v>
      </c>
      <c r="C1423" s="8" t="s">
        <v>2807</v>
      </c>
      <c r="D1423" s="8"/>
      <c r="E1423" s="6"/>
      <c r="F1423" s="6"/>
    </row>
    <row r="1424" spans="1:6" x14ac:dyDescent="0.3">
      <c r="A1424" s="8" t="s">
        <v>2808</v>
      </c>
      <c r="B1424" s="8" t="s">
        <v>55028</v>
      </c>
      <c r="C1424" s="8" t="s">
        <v>2809</v>
      </c>
      <c r="D1424" s="8"/>
      <c r="E1424" s="6"/>
      <c r="F1424" s="6"/>
    </row>
    <row r="1425" spans="1:6" x14ac:dyDescent="0.3">
      <c r="A1425" s="8" t="s">
        <v>2810</v>
      </c>
      <c r="B1425" s="8" t="s">
        <v>55029</v>
      </c>
      <c r="C1425" s="8" t="s">
        <v>2811</v>
      </c>
      <c r="D1425" s="8"/>
      <c r="E1425" s="6"/>
      <c r="F1425" s="6"/>
    </row>
    <row r="1426" spans="1:6" x14ac:dyDescent="0.3">
      <c r="A1426" s="8" t="s">
        <v>2812</v>
      </c>
      <c r="B1426" s="8" t="s">
        <v>55030</v>
      </c>
      <c r="C1426" s="8" t="s">
        <v>2813</v>
      </c>
      <c r="D1426" s="8"/>
      <c r="E1426" s="6"/>
      <c r="F1426" s="6"/>
    </row>
    <row r="1427" spans="1:6" x14ac:dyDescent="0.3">
      <c r="A1427" s="8" t="s">
        <v>2814</v>
      </c>
      <c r="B1427" s="8" t="s">
        <v>55031</v>
      </c>
      <c r="C1427" s="8" t="s">
        <v>2815</v>
      </c>
      <c r="D1427" s="8"/>
      <c r="E1427" s="6"/>
      <c r="F1427" s="6"/>
    </row>
    <row r="1428" spans="1:6" x14ac:dyDescent="0.3">
      <c r="A1428" s="8" t="s">
        <v>2816</v>
      </c>
      <c r="B1428" s="8" t="s">
        <v>55032</v>
      </c>
      <c r="C1428" s="8" t="s">
        <v>2817</v>
      </c>
      <c r="D1428" s="8"/>
      <c r="E1428" s="6"/>
      <c r="F1428" s="6"/>
    </row>
    <row r="1429" spans="1:6" x14ac:dyDescent="0.3">
      <c r="A1429" s="8" t="s">
        <v>2818</v>
      </c>
      <c r="B1429" s="8" t="s">
        <v>55033</v>
      </c>
      <c r="C1429" s="8" t="s">
        <v>2819</v>
      </c>
      <c r="D1429" s="8"/>
      <c r="E1429" s="6"/>
      <c r="F1429" s="6"/>
    </row>
    <row r="1430" spans="1:6" x14ac:dyDescent="0.3">
      <c r="A1430" s="8" t="s">
        <v>2820</v>
      </c>
      <c r="B1430" s="8" t="s">
        <v>55034</v>
      </c>
      <c r="C1430" s="8" t="s">
        <v>2821</v>
      </c>
      <c r="D1430" s="8"/>
      <c r="E1430" s="6"/>
      <c r="F1430" s="6"/>
    </row>
    <row r="1431" spans="1:6" x14ac:dyDescent="0.3">
      <c r="A1431" s="8" t="s">
        <v>2822</v>
      </c>
      <c r="B1431" s="8" t="s">
        <v>55035</v>
      </c>
      <c r="C1431" s="8" t="s">
        <v>2823</v>
      </c>
      <c r="D1431" s="8"/>
      <c r="E1431" s="6"/>
      <c r="F1431" s="6"/>
    </row>
    <row r="1432" spans="1:6" x14ac:dyDescent="0.3">
      <c r="A1432" s="8" t="s">
        <v>2824</v>
      </c>
      <c r="B1432" s="8" t="s">
        <v>55036</v>
      </c>
      <c r="C1432" s="8" t="s">
        <v>2825</v>
      </c>
      <c r="D1432" s="8"/>
      <c r="E1432" s="6"/>
      <c r="F1432" s="6"/>
    </row>
    <row r="1433" spans="1:6" x14ac:dyDescent="0.3">
      <c r="A1433" s="8" t="s">
        <v>2826</v>
      </c>
      <c r="B1433" s="8" t="s">
        <v>55037</v>
      </c>
      <c r="C1433" s="8" t="s">
        <v>2827</v>
      </c>
      <c r="D1433" s="8"/>
      <c r="E1433" s="6"/>
      <c r="F1433" s="6"/>
    </row>
    <row r="1434" spans="1:6" x14ac:dyDescent="0.3">
      <c r="A1434" s="8" t="s">
        <v>2828</v>
      </c>
      <c r="B1434" s="8" t="s">
        <v>55038</v>
      </c>
      <c r="C1434" s="8" t="s">
        <v>2829</v>
      </c>
      <c r="D1434" s="8"/>
      <c r="E1434" s="6"/>
      <c r="F1434" s="6"/>
    </row>
    <row r="1435" spans="1:6" x14ac:dyDescent="0.3">
      <c r="A1435" s="8" t="s">
        <v>2830</v>
      </c>
      <c r="B1435" s="8" t="s">
        <v>55039</v>
      </c>
      <c r="C1435" s="8" t="s">
        <v>2831</v>
      </c>
      <c r="D1435" s="8"/>
      <c r="E1435" s="6"/>
      <c r="F1435" s="6"/>
    </row>
    <row r="1436" spans="1:6" x14ac:dyDescent="0.3">
      <c r="A1436" s="8" t="s">
        <v>2832</v>
      </c>
      <c r="B1436" s="8" t="s">
        <v>55040</v>
      </c>
      <c r="C1436" s="8" t="s">
        <v>2833</v>
      </c>
      <c r="D1436" s="8"/>
      <c r="E1436" s="6"/>
      <c r="F1436" s="6"/>
    </row>
    <row r="1437" spans="1:6" x14ac:dyDescent="0.3">
      <c r="A1437" s="8" t="s">
        <v>2834</v>
      </c>
      <c r="B1437" s="8" t="s">
        <v>55041</v>
      </c>
      <c r="C1437" s="8" t="s">
        <v>2835</v>
      </c>
      <c r="D1437" s="8"/>
      <c r="E1437" s="6"/>
      <c r="F1437" s="6"/>
    </row>
    <row r="1438" spans="1:6" x14ac:dyDescent="0.3">
      <c r="A1438" s="8" t="s">
        <v>2836</v>
      </c>
      <c r="B1438" s="8" t="s">
        <v>55042</v>
      </c>
      <c r="C1438" s="8" t="s">
        <v>2837</v>
      </c>
      <c r="D1438" s="8"/>
      <c r="E1438" s="6"/>
      <c r="F1438" s="6"/>
    </row>
    <row r="1439" spans="1:6" x14ac:dyDescent="0.3">
      <c r="A1439" s="8" t="s">
        <v>2838</v>
      </c>
      <c r="B1439" s="8" t="s">
        <v>55043</v>
      </c>
      <c r="C1439" s="8" t="s">
        <v>2839</v>
      </c>
      <c r="D1439" s="8"/>
      <c r="E1439" s="6"/>
      <c r="F1439" s="6"/>
    </row>
    <row r="1440" spans="1:6" x14ac:dyDescent="0.3">
      <c r="A1440" s="8" t="s">
        <v>2840</v>
      </c>
      <c r="B1440" s="8" t="s">
        <v>55044</v>
      </c>
      <c r="C1440" s="8" t="s">
        <v>2841</v>
      </c>
      <c r="D1440" s="8"/>
      <c r="E1440" s="6"/>
      <c r="F1440" s="6"/>
    </row>
    <row r="1441" spans="1:6" x14ac:dyDescent="0.3">
      <c r="A1441" s="8" t="s">
        <v>2842</v>
      </c>
      <c r="B1441" s="8" t="s">
        <v>55045</v>
      </c>
      <c r="C1441" s="8" t="s">
        <v>2843</v>
      </c>
      <c r="D1441" s="8"/>
      <c r="E1441" s="6"/>
      <c r="F1441" s="6"/>
    </row>
    <row r="1442" spans="1:6" x14ac:dyDescent="0.3">
      <c r="A1442" s="8" t="s">
        <v>2844</v>
      </c>
      <c r="B1442" s="8" t="s">
        <v>55046</v>
      </c>
      <c r="C1442" s="8" t="s">
        <v>2845</v>
      </c>
      <c r="D1442" s="8"/>
      <c r="E1442" s="6"/>
      <c r="F1442" s="6"/>
    </row>
    <row r="1443" spans="1:6" x14ac:dyDescent="0.3">
      <c r="A1443" s="8" t="s">
        <v>2846</v>
      </c>
      <c r="B1443" s="8" t="s">
        <v>55047</v>
      </c>
      <c r="C1443" s="8" t="s">
        <v>2847</v>
      </c>
      <c r="D1443" s="8"/>
      <c r="E1443" s="6"/>
      <c r="F1443" s="6"/>
    </row>
    <row r="1444" spans="1:6" x14ac:dyDescent="0.3">
      <c r="A1444" s="8" t="s">
        <v>2848</v>
      </c>
      <c r="B1444" s="8" t="s">
        <v>55048</v>
      </c>
      <c r="C1444" s="8" t="s">
        <v>2849</v>
      </c>
      <c r="D1444" s="8"/>
      <c r="E1444" s="6"/>
      <c r="F1444" s="6"/>
    </row>
    <row r="1445" spans="1:6" x14ac:dyDescent="0.3">
      <c r="A1445" s="8" t="s">
        <v>2850</v>
      </c>
      <c r="B1445" s="8" t="s">
        <v>55049</v>
      </c>
      <c r="C1445" s="8" t="s">
        <v>2851</v>
      </c>
      <c r="D1445" s="8"/>
      <c r="E1445" s="6"/>
      <c r="F1445" s="6"/>
    </row>
    <row r="1446" spans="1:6" x14ac:dyDescent="0.3">
      <c r="A1446" s="8" t="s">
        <v>2852</v>
      </c>
      <c r="B1446" s="8" t="s">
        <v>55050</v>
      </c>
      <c r="C1446" s="8" t="s">
        <v>2853</v>
      </c>
      <c r="D1446" s="8"/>
      <c r="E1446" s="6"/>
      <c r="F1446" s="6"/>
    </row>
    <row r="1447" spans="1:6" x14ac:dyDescent="0.3">
      <c r="A1447" s="8" t="s">
        <v>2854</v>
      </c>
      <c r="B1447" s="8" t="s">
        <v>55051</v>
      </c>
      <c r="C1447" s="8" t="s">
        <v>2855</v>
      </c>
      <c r="D1447" s="8"/>
      <c r="E1447" s="6"/>
      <c r="F1447" s="6"/>
    </row>
    <row r="1448" spans="1:6" x14ac:dyDescent="0.3">
      <c r="A1448" s="8" t="s">
        <v>2856</v>
      </c>
      <c r="B1448" s="8" t="s">
        <v>55052</v>
      </c>
      <c r="C1448" s="8" t="s">
        <v>2857</v>
      </c>
      <c r="D1448" s="8"/>
      <c r="E1448" s="6"/>
      <c r="F1448" s="6"/>
    </row>
    <row r="1449" spans="1:6" x14ac:dyDescent="0.3">
      <c r="A1449" s="8" t="s">
        <v>2858</v>
      </c>
      <c r="B1449" s="8" t="s">
        <v>55053</v>
      </c>
      <c r="C1449" s="8" t="s">
        <v>2859</v>
      </c>
      <c r="D1449" s="8"/>
      <c r="E1449" s="6"/>
      <c r="F1449" s="6"/>
    </row>
    <row r="1450" spans="1:6" x14ac:dyDescent="0.3">
      <c r="A1450" s="8" t="s">
        <v>2860</v>
      </c>
      <c r="B1450" s="8" t="s">
        <v>55054</v>
      </c>
      <c r="C1450" s="8" t="s">
        <v>2861</v>
      </c>
      <c r="D1450" s="8"/>
      <c r="E1450" s="6"/>
      <c r="F1450" s="6"/>
    </row>
    <row r="1451" spans="1:6" x14ac:dyDescent="0.3">
      <c r="A1451" s="8" t="s">
        <v>2862</v>
      </c>
      <c r="B1451" s="8" t="s">
        <v>55055</v>
      </c>
      <c r="C1451" s="8" t="s">
        <v>2863</v>
      </c>
      <c r="D1451" s="8"/>
      <c r="E1451" s="6"/>
      <c r="F1451" s="6"/>
    </row>
    <row r="1452" spans="1:6" x14ac:dyDescent="0.3">
      <c r="A1452" s="8" t="s">
        <v>2864</v>
      </c>
      <c r="B1452" s="8" t="s">
        <v>55056</v>
      </c>
      <c r="C1452" s="8" t="s">
        <v>2865</v>
      </c>
      <c r="D1452" s="8"/>
      <c r="E1452" s="6"/>
      <c r="F1452" s="6"/>
    </row>
    <row r="1453" spans="1:6" x14ac:dyDescent="0.3">
      <c r="A1453" s="8" t="s">
        <v>2866</v>
      </c>
      <c r="B1453" s="8" t="s">
        <v>55057</v>
      </c>
      <c r="C1453" s="8" t="s">
        <v>2867</v>
      </c>
      <c r="D1453" s="8"/>
      <c r="E1453" s="6"/>
      <c r="F1453" s="6"/>
    </row>
    <row r="1454" spans="1:6" x14ac:dyDescent="0.3">
      <c r="A1454" s="8" t="s">
        <v>2868</v>
      </c>
      <c r="B1454" s="8" t="s">
        <v>55058</v>
      </c>
      <c r="C1454" s="8" t="s">
        <v>2869</v>
      </c>
      <c r="D1454" s="8"/>
      <c r="E1454" s="6"/>
      <c r="F1454" s="6"/>
    </row>
    <row r="1455" spans="1:6" x14ac:dyDescent="0.3">
      <c r="A1455" s="8" t="s">
        <v>2870</v>
      </c>
      <c r="B1455" s="8" t="s">
        <v>55059</v>
      </c>
      <c r="C1455" s="8" t="s">
        <v>2871</v>
      </c>
      <c r="D1455" s="8"/>
      <c r="E1455" s="6"/>
      <c r="F1455" s="6"/>
    </row>
    <row r="1456" spans="1:6" x14ac:dyDescent="0.3">
      <c r="A1456" s="8" t="s">
        <v>2872</v>
      </c>
      <c r="B1456" s="8" t="s">
        <v>55060</v>
      </c>
      <c r="C1456" s="8" t="s">
        <v>2873</v>
      </c>
      <c r="D1456" s="8"/>
      <c r="E1456" s="6"/>
      <c r="F1456" s="6"/>
    </row>
    <row r="1457" spans="1:6" x14ac:dyDescent="0.3">
      <c r="A1457" s="8" t="s">
        <v>2874</v>
      </c>
      <c r="B1457" s="8" t="s">
        <v>55061</v>
      </c>
      <c r="C1457" s="8" t="s">
        <v>2875</v>
      </c>
      <c r="D1457" s="8"/>
      <c r="E1457" s="6"/>
      <c r="F1457" s="6"/>
    </row>
    <row r="1458" spans="1:6" x14ac:dyDescent="0.3">
      <c r="A1458" s="8" t="s">
        <v>2876</v>
      </c>
      <c r="B1458" s="8" t="s">
        <v>55062</v>
      </c>
      <c r="C1458" s="8" t="s">
        <v>2877</v>
      </c>
      <c r="D1458" s="8"/>
      <c r="E1458" s="6"/>
      <c r="F1458" s="6"/>
    </row>
    <row r="1459" spans="1:6" x14ac:dyDescent="0.3">
      <c r="A1459" s="8" t="s">
        <v>2878</v>
      </c>
      <c r="B1459" s="8" t="s">
        <v>55063</v>
      </c>
      <c r="C1459" s="8" t="s">
        <v>2879</v>
      </c>
      <c r="D1459" s="8"/>
      <c r="E1459" s="6"/>
      <c r="F1459" s="6"/>
    </row>
    <row r="1460" spans="1:6" x14ac:dyDescent="0.3">
      <c r="A1460" s="8" t="s">
        <v>2880</v>
      </c>
      <c r="B1460" s="8" t="s">
        <v>55064</v>
      </c>
      <c r="C1460" s="8" t="s">
        <v>2881</v>
      </c>
      <c r="D1460" s="8"/>
      <c r="E1460" s="6"/>
      <c r="F1460" s="6"/>
    </row>
    <row r="1461" spans="1:6" x14ac:dyDescent="0.3">
      <c r="A1461" s="8" t="s">
        <v>2882</v>
      </c>
      <c r="B1461" s="8" t="s">
        <v>55065</v>
      </c>
      <c r="C1461" s="8" t="s">
        <v>2883</v>
      </c>
      <c r="D1461" s="8"/>
      <c r="E1461" s="6"/>
      <c r="F1461" s="6"/>
    </row>
    <row r="1462" spans="1:6" x14ac:dyDescent="0.3">
      <c r="A1462" s="8" t="s">
        <v>2884</v>
      </c>
      <c r="B1462" s="8" t="s">
        <v>55066</v>
      </c>
      <c r="C1462" s="8" t="s">
        <v>2885</v>
      </c>
      <c r="D1462" s="8"/>
      <c r="E1462" s="6"/>
      <c r="F1462" s="6"/>
    </row>
    <row r="1463" spans="1:6" x14ac:dyDescent="0.3">
      <c r="A1463" s="8" t="s">
        <v>2886</v>
      </c>
      <c r="B1463" s="8" t="s">
        <v>55067</v>
      </c>
      <c r="C1463" s="8" t="s">
        <v>2887</v>
      </c>
      <c r="D1463" s="8"/>
      <c r="E1463" s="6"/>
      <c r="F1463" s="6"/>
    </row>
    <row r="1464" spans="1:6" x14ac:dyDescent="0.3">
      <c r="A1464" s="8" t="s">
        <v>2888</v>
      </c>
      <c r="B1464" s="8" t="s">
        <v>55068</v>
      </c>
      <c r="C1464" s="8" t="s">
        <v>2889</v>
      </c>
      <c r="D1464" s="8"/>
      <c r="E1464" s="6"/>
      <c r="F1464" s="6"/>
    </row>
    <row r="1465" spans="1:6" x14ac:dyDescent="0.3">
      <c r="A1465" s="8" t="s">
        <v>2890</v>
      </c>
      <c r="B1465" s="8" t="s">
        <v>55069</v>
      </c>
      <c r="C1465" s="8" t="s">
        <v>2891</v>
      </c>
      <c r="D1465" s="8"/>
      <c r="E1465" s="6"/>
      <c r="F1465" s="6"/>
    </row>
    <row r="1466" spans="1:6" x14ac:dyDescent="0.3">
      <c r="A1466" s="8" t="s">
        <v>2892</v>
      </c>
      <c r="B1466" s="8" t="s">
        <v>55070</v>
      </c>
      <c r="C1466" s="8" t="s">
        <v>2893</v>
      </c>
      <c r="D1466" s="8"/>
      <c r="E1466" s="6"/>
      <c r="F1466" s="6"/>
    </row>
    <row r="1467" spans="1:6" x14ac:dyDescent="0.3">
      <c r="A1467" s="8" t="s">
        <v>2894</v>
      </c>
      <c r="B1467" s="8" t="s">
        <v>55071</v>
      </c>
      <c r="C1467" s="8" t="s">
        <v>2895</v>
      </c>
      <c r="D1467" s="8"/>
      <c r="E1467" s="6"/>
      <c r="F1467" s="6"/>
    </row>
    <row r="1468" spans="1:6" x14ac:dyDescent="0.3">
      <c r="A1468" s="8" t="s">
        <v>2896</v>
      </c>
      <c r="B1468" s="8" t="s">
        <v>55072</v>
      </c>
      <c r="C1468" s="8" t="s">
        <v>2897</v>
      </c>
      <c r="D1468" s="8"/>
      <c r="E1468" s="6"/>
      <c r="F1468" s="6"/>
    </row>
    <row r="1469" spans="1:6" x14ac:dyDescent="0.3">
      <c r="A1469" s="8" t="s">
        <v>2898</v>
      </c>
      <c r="B1469" s="8" t="s">
        <v>55073</v>
      </c>
      <c r="C1469" s="8" t="s">
        <v>2899</v>
      </c>
      <c r="D1469" s="8"/>
      <c r="E1469" s="6"/>
      <c r="F1469" s="6"/>
    </row>
    <row r="1470" spans="1:6" x14ac:dyDescent="0.3">
      <c r="A1470" s="8" t="s">
        <v>2900</v>
      </c>
      <c r="B1470" s="8" t="s">
        <v>55074</v>
      </c>
      <c r="C1470" s="8" t="s">
        <v>2901</v>
      </c>
      <c r="D1470" s="8"/>
      <c r="E1470" s="6"/>
      <c r="F1470" s="6"/>
    </row>
    <row r="1471" spans="1:6" x14ac:dyDescent="0.3">
      <c r="A1471" s="8" t="s">
        <v>2902</v>
      </c>
      <c r="B1471" s="8" t="s">
        <v>55075</v>
      </c>
      <c r="C1471" s="8" t="s">
        <v>2903</v>
      </c>
      <c r="D1471" s="8"/>
      <c r="E1471" s="6"/>
      <c r="F1471" s="6"/>
    </row>
    <row r="1472" spans="1:6" x14ac:dyDescent="0.3">
      <c r="A1472" s="8" t="s">
        <v>2904</v>
      </c>
      <c r="B1472" s="8" t="s">
        <v>55076</v>
      </c>
      <c r="C1472" s="8" t="s">
        <v>2905</v>
      </c>
      <c r="D1472" s="8"/>
      <c r="E1472" s="6"/>
      <c r="F1472" s="6"/>
    </row>
    <row r="1473" spans="1:6" x14ac:dyDescent="0.3">
      <c r="A1473" s="8" t="s">
        <v>2906</v>
      </c>
      <c r="B1473" s="8" t="s">
        <v>55077</v>
      </c>
      <c r="C1473" s="8" t="s">
        <v>2907</v>
      </c>
      <c r="D1473" s="8"/>
      <c r="E1473" s="6"/>
      <c r="F1473" s="6"/>
    </row>
    <row r="1474" spans="1:6" x14ac:dyDescent="0.3">
      <c r="A1474" s="8" t="s">
        <v>2908</v>
      </c>
      <c r="B1474" s="8" t="s">
        <v>55078</v>
      </c>
      <c r="C1474" s="8" t="s">
        <v>2909</v>
      </c>
      <c r="D1474" s="8"/>
      <c r="E1474" s="6"/>
      <c r="F1474" s="6"/>
    </row>
    <row r="1475" spans="1:6" x14ac:dyDescent="0.3">
      <c r="A1475" s="8" t="s">
        <v>2910</v>
      </c>
      <c r="B1475" s="8" t="s">
        <v>55079</v>
      </c>
      <c r="C1475" s="8" t="s">
        <v>2911</v>
      </c>
      <c r="D1475" s="8"/>
      <c r="E1475" s="6"/>
      <c r="F1475" s="6"/>
    </row>
    <row r="1476" spans="1:6" x14ac:dyDescent="0.3">
      <c r="A1476" s="8" t="s">
        <v>2912</v>
      </c>
      <c r="B1476" s="8" t="s">
        <v>55080</v>
      </c>
      <c r="C1476" s="8" t="s">
        <v>2913</v>
      </c>
      <c r="D1476" s="8"/>
      <c r="E1476" s="6"/>
      <c r="F1476" s="6"/>
    </row>
    <row r="1477" spans="1:6" x14ac:dyDescent="0.3">
      <c r="A1477" s="8" t="s">
        <v>2914</v>
      </c>
      <c r="B1477" s="8" t="s">
        <v>55081</v>
      </c>
      <c r="C1477" s="8" t="s">
        <v>2915</v>
      </c>
      <c r="D1477" s="8"/>
      <c r="E1477" s="6"/>
      <c r="F1477" s="6"/>
    </row>
    <row r="1478" spans="1:6" x14ac:dyDescent="0.3">
      <c r="A1478" s="8" t="s">
        <v>2916</v>
      </c>
      <c r="B1478" s="8" t="s">
        <v>55082</v>
      </c>
      <c r="C1478" s="8" t="s">
        <v>2917</v>
      </c>
      <c r="D1478" s="8"/>
      <c r="E1478" s="6"/>
      <c r="F1478" s="6"/>
    </row>
    <row r="1479" spans="1:6" x14ac:dyDescent="0.3">
      <c r="A1479" s="8" t="s">
        <v>2918</v>
      </c>
      <c r="B1479" s="8" t="s">
        <v>55083</v>
      </c>
      <c r="C1479" s="8" t="s">
        <v>2919</v>
      </c>
      <c r="D1479" s="8"/>
      <c r="E1479" s="6"/>
      <c r="F1479" s="6"/>
    </row>
    <row r="1480" spans="1:6" x14ac:dyDescent="0.3">
      <c r="A1480" s="8" t="s">
        <v>2920</v>
      </c>
      <c r="B1480" s="8" t="s">
        <v>55084</v>
      </c>
      <c r="C1480" s="8" t="s">
        <v>2921</v>
      </c>
      <c r="D1480" s="8"/>
      <c r="E1480" s="6"/>
      <c r="F1480" s="6"/>
    </row>
    <row r="1481" spans="1:6" x14ac:dyDescent="0.3">
      <c r="A1481" s="8" t="s">
        <v>2922</v>
      </c>
      <c r="B1481" s="8" t="s">
        <v>55085</v>
      </c>
      <c r="C1481" s="8" t="s">
        <v>2923</v>
      </c>
      <c r="D1481" s="8"/>
      <c r="E1481" s="6"/>
      <c r="F1481" s="6"/>
    </row>
    <row r="1482" spans="1:6" x14ac:dyDescent="0.3">
      <c r="A1482" s="8" t="s">
        <v>2924</v>
      </c>
      <c r="B1482" s="8" t="s">
        <v>55086</v>
      </c>
      <c r="C1482" s="8" t="s">
        <v>2925</v>
      </c>
      <c r="D1482" s="8"/>
      <c r="E1482" s="6"/>
      <c r="F1482" s="6"/>
    </row>
    <row r="1483" spans="1:6" x14ac:dyDescent="0.3">
      <c r="A1483" s="8" t="s">
        <v>2926</v>
      </c>
      <c r="B1483" s="8" t="s">
        <v>55087</v>
      </c>
      <c r="C1483" s="8" t="s">
        <v>2927</v>
      </c>
      <c r="D1483" s="8"/>
      <c r="E1483" s="6"/>
      <c r="F1483" s="6"/>
    </row>
    <row r="1484" spans="1:6" x14ac:dyDescent="0.3">
      <c r="A1484" s="8" t="s">
        <v>2928</v>
      </c>
      <c r="B1484" s="8" t="s">
        <v>55088</v>
      </c>
      <c r="C1484" s="8" t="s">
        <v>2929</v>
      </c>
      <c r="D1484" s="8"/>
      <c r="E1484" s="6"/>
      <c r="F1484" s="6"/>
    </row>
    <row r="1485" spans="1:6" x14ac:dyDescent="0.3">
      <c r="A1485" s="8" t="s">
        <v>2930</v>
      </c>
      <c r="B1485" s="8" t="s">
        <v>55089</v>
      </c>
      <c r="C1485" s="8" t="s">
        <v>2931</v>
      </c>
      <c r="D1485" s="8"/>
      <c r="E1485" s="6"/>
      <c r="F1485" s="6"/>
    </row>
    <row r="1486" spans="1:6" x14ac:dyDescent="0.3">
      <c r="A1486" s="8" t="s">
        <v>2932</v>
      </c>
      <c r="B1486" s="8" t="s">
        <v>55090</v>
      </c>
      <c r="C1486" s="8" t="s">
        <v>2933</v>
      </c>
      <c r="D1486" s="8"/>
      <c r="E1486" s="6"/>
      <c r="F1486" s="6"/>
    </row>
    <row r="1487" spans="1:6" x14ac:dyDescent="0.3">
      <c r="A1487" s="8" t="s">
        <v>2934</v>
      </c>
      <c r="B1487" s="8" t="s">
        <v>55091</v>
      </c>
      <c r="C1487" s="8" t="s">
        <v>2935</v>
      </c>
      <c r="D1487" s="8"/>
      <c r="E1487" s="6"/>
      <c r="F1487" s="6"/>
    </row>
    <row r="1488" spans="1:6" x14ac:dyDescent="0.3">
      <c r="A1488" s="8" t="s">
        <v>2936</v>
      </c>
      <c r="B1488" s="8" t="s">
        <v>55092</v>
      </c>
      <c r="C1488" s="8" t="s">
        <v>2937</v>
      </c>
      <c r="D1488" s="8"/>
      <c r="E1488" s="6"/>
      <c r="F1488" s="6"/>
    </row>
    <row r="1489" spans="1:6" x14ac:dyDescent="0.3">
      <c r="A1489" s="8" t="s">
        <v>2938</v>
      </c>
      <c r="B1489" s="8" t="s">
        <v>55093</v>
      </c>
      <c r="C1489" s="8" t="s">
        <v>2939</v>
      </c>
      <c r="D1489" s="8"/>
      <c r="E1489" s="6"/>
      <c r="F1489" s="6"/>
    </row>
    <row r="1490" spans="1:6" x14ac:dyDescent="0.3">
      <c r="A1490" s="8" t="s">
        <v>2940</v>
      </c>
      <c r="B1490" s="8" t="s">
        <v>55094</v>
      </c>
      <c r="C1490" s="8" t="s">
        <v>2941</v>
      </c>
      <c r="D1490" s="8"/>
      <c r="E1490" s="6"/>
      <c r="F1490" s="6"/>
    </row>
    <row r="1491" spans="1:6" x14ac:dyDescent="0.3">
      <c r="A1491" s="8" t="s">
        <v>2942</v>
      </c>
      <c r="B1491" s="8" t="s">
        <v>55095</v>
      </c>
      <c r="C1491" s="8" t="s">
        <v>2943</v>
      </c>
      <c r="D1491" s="8"/>
      <c r="E1491" s="6"/>
      <c r="F1491" s="6"/>
    </row>
    <row r="1492" spans="1:6" x14ac:dyDescent="0.3">
      <c r="A1492" s="8" t="s">
        <v>2944</v>
      </c>
      <c r="B1492" s="8" t="s">
        <v>55096</v>
      </c>
      <c r="C1492" s="8" t="s">
        <v>2945</v>
      </c>
      <c r="D1492" s="8"/>
      <c r="E1492" s="6"/>
      <c r="F1492" s="6"/>
    </row>
    <row r="1493" spans="1:6" x14ac:dyDescent="0.3">
      <c r="A1493" s="8" t="s">
        <v>2946</v>
      </c>
      <c r="B1493" s="8" t="s">
        <v>55097</v>
      </c>
      <c r="C1493" s="8" t="s">
        <v>2947</v>
      </c>
      <c r="D1493" s="8"/>
      <c r="E1493" s="6"/>
      <c r="F1493" s="6"/>
    </row>
    <row r="1494" spans="1:6" x14ac:dyDescent="0.3">
      <c r="A1494" s="8" t="s">
        <v>2948</v>
      </c>
      <c r="B1494" s="8" t="s">
        <v>55098</v>
      </c>
      <c r="C1494" s="8" t="s">
        <v>2949</v>
      </c>
      <c r="D1494" s="8"/>
      <c r="E1494" s="6"/>
      <c r="F1494" s="6"/>
    </row>
    <row r="1495" spans="1:6" x14ac:dyDescent="0.3">
      <c r="A1495" s="8" t="s">
        <v>2950</v>
      </c>
      <c r="B1495" s="8" t="s">
        <v>55099</v>
      </c>
      <c r="C1495" s="8" t="s">
        <v>2951</v>
      </c>
      <c r="D1495" s="8"/>
      <c r="E1495" s="6"/>
      <c r="F1495" s="6"/>
    </row>
    <row r="1496" spans="1:6" x14ac:dyDescent="0.3">
      <c r="A1496" s="8" t="s">
        <v>2952</v>
      </c>
      <c r="B1496" s="8" t="s">
        <v>55100</v>
      </c>
      <c r="C1496" s="8" t="s">
        <v>2953</v>
      </c>
      <c r="D1496" s="8"/>
      <c r="E1496" s="6"/>
      <c r="F1496" s="6"/>
    </row>
    <row r="1497" spans="1:6" x14ac:dyDescent="0.3">
      <c r="A1497" s="8" t="s">
        <v>2954</v>
      </c>
      <c r="B1497" s="8" t="s">
        <v>55101</v>
      </c>
      <c r="C1497" s="8" t="s">
        <v>2955</v>
      </c>
      <c r="D1497" s="8"/>
      <c r="E1497" s="6"/>
      <c r="F1497" s="6"/>
    </row>
    <row r="1498" spans="1:6" x14ac:dyDescent="0.3">
      <c r="A1498" s="8" t="s">
        <v>2956</v>
      </c>
      <c r="B1498" s="8" t="s">
        <v>55102</v>
      </c>
      <c r="C1498" s="8" t="s">
        <v>2957</v>
      </c>
      <c r="D1498" s="8"/>
      <c r="E1498" s="6"/>
      <c r="F1498" s="6"/>
    </row>
    <row r="1499" spans="1:6" x14ac:dyDescent="0.3">
      <c r="A1499" s="8" t="s">
        <v>2958</v>
      </c>
      <c r="B1499" s="8" t="s">
        <v>55103</v>
      </c>
      <c r="C1499" s="8" t="s">
        <v>2959</v>
      </c>
      <c r="D1499" s="8"/>
      <c r="E1499" s="6"/>
      <c r="F1499" s="6"/>
    </row>
    <row r="1500" spans="1:6" x14ac:dyDescent="0.3">
      <c r="A1500" s="8" t="s">
        <v>2960</v>
      </c>
      <c r="B1500" s="8" t="s">
        <v>55104</v>
      </c>
      <c r="C1500" s="8" t="s">
        <v>2961</v>
      </c>
      <c r="D1500" s="8"/>
      <c r="E1500" s="6"/>
      <c r="F1500" s="6"/>
    </row>
    <row r="1501" spans="1:6" x14ac:dyDescent="0.3">
      <c r="A1501" s="8" t="s">
        <v>2962</v>
      </c>
      <c r="B1501" s="8" t="s">
        <v>55105</v>
      </c>
      <c r="C1501" s="8" t="s">
        <v>2963</v>
      </c>
      <c r="D1501" s="8"/>
      <c r="E1501" s="6"/>
      <c r="F1501" s="6"/>
    </row>
    <row r="1502" spans="1:6" x14ac:dyDescent="0.3">
      <c r="A1502" s="8" t="s">
        <v>2964</v>
      </c>
      <c r="B1502" s="8" t="s">
        <v>55106</v>
      </c>
      <c r="C1502" s="8" t="s">
        <v>2965</v>
      </c>
      <c r="D1502" s="8"/>
      <c r="E1502" s="6"/>
      <c r="F1502" s="6"/>
    </row>
    <row r="1503" spans="1:6" x14ac:dyDescent="0.3">
      <c r="A1503" s="8" t="s">
        <v>2966</v>
      </c>
      <c r="B1503" s="8" t="s">
        <v>55107</v>
      </c>
      <c r="C1503" s="8" t="s">
        <v>2967</v>
      </c>
      <c r="D1503" s="8"/>
      <c r="E1503" s="6"/>
      <c r="F1503" s="6"/>
    </row>
    <row r="1504" spans="1:6" x14ac:dyDescent="0.3">
      <c r="A1504" s="8" t="s">
        <v>2968</v>
      </c>
      <c r="B1504" s="8" t="s">
        <v>55108</v>
      </c>
      <c r="C1504" s="8" t="s">
        <v>2969</v>
      </c>
      <c r="D1504" s="8"/>
      <c r="E1504" s="6"/>
      <c r="F1504" s="6"/>
    </row>
    <row r="1505" spans="1:6" x14ac:dyDescent="0.3">
      <c r="A1505" s="8" t="s">
        <v>2970</v>
      </c>
      <c r="B1505" s="8" t="s">
        <v>55109</v>
      </c>
      <c r="C1505" s="8" t="s">
        <v>2971</v>
      </c>
      <c r="D1505" s="8"/>
      <c r="E1505" s="6"/>
      <c r="F1505" s="6"/>
    </row>
    <row r="1506" spans="1:6" x14ac:dyDescent="0.3">
      <c r="A1506" s="8" t="s">
        <v>2972</v>
      </c>
      <c r="B1506" s="8" t="s">
        <v>55110</v>
      </c>
      <c r="C1506" s="8" t="s">
        <v>2973</v>
      </c>
      <c r="D1506" s="8"/>
      <c r="E1506" s="6"/>
      <c r="F1506" s="6"/>
    </row>
    <row r="1507" spans="1:6" x14ac:dyDescent="0.3">
      <c r="A1507" s="8" t="s">
        <v>2974</v>
      </c>
      <c r="B1507" s="8" t="s">
        <v>55111</v>
      </c>
      <c r="C1507" s="8" t="s">
        <v>2975</v>
      </c>
      <c r="D1507" s="8"/>
      <c r="E1507" s="6"/>
      <c r="F1507" s="6"/>
    </row>
    <row r="1508" spans="1:6" x14ac:dyDescent="0.3">
      <c r="A1508" s="8" t="s">
        <v>2976</v>
      </c>
      <c r="B1508" s="8" t="s">
        <v>55112</v>
      </c>
      <c r="C1508" s="8" t="s">
        <v>2977</v>
      </c>
      <c r="D1508" s="8"/>
      <c r="E1508" s="6"/>
      <c r="F1508" s="6"/>
    </row>
    <row r="1509" spans="1:6" x14ac:dyDescent="0.3">
      <c r="A1509" s="8" t="s">
        <v>2978</v>
      </c>
      <c r="B1509" s="8" t="s">
        <v>55113</v>
      </c>
      <c r="C1509" s="8" t="s">
        <v>2979</v>
      </c>
      <c r="D1509" s="8"/>
      <c r="E1509" s="6"/>
      <c r="F1509" s="6"/>
    </row>
    <row r="1510" spans="1:6" x14ac:dyDescent="0.3">
      <c r="A1510" s="8" t="s">
        <v>2980</v>
      </c>
      <c r="B1510" s="8" t="s">
        <v>55114</v>
      </c>
      <c r="C1510" s="8" t="s">
        <v>2981</v>
      </c>
      <c r="D1510" s="8"/>
      <c r="E1510" s="6"/>
      <c r="F1510" s="6"/>
    </row>
    <row r="1511" spans="1:6" x14ac:dyDescent="0.3">
      <c r="A1511" s="8" t="s">
        <v>2982</v>
      </c>
      <c r="B1511" s="8" t="s">
        <v>55115</v>
      </c>
      <c r="C1511" s="8" t="s">
        <v>2983</v>
      </c>
      <c r="D1511" s="8"/>
      <c r="E1511" s="6"/>
      <c r="F1511" s="6"/>
    </row>
    <row r="1512" spans="1:6" x14ac:dyDescent="0.3">
      <c r="A1512" s="8" t="s">
        <v>2984</v>
      </c>
      <c r="B1512" s="8" t="s">
        <v>55116</v>
      </c>
      <c r="C1512" s="8" t="s">
        <v>2985</v>
      </c>
      <c r="D1512" s="8"/>
      <c r="E1512" s="6"/>
      <c r="F1512" s="6"/>
    </row>
    <row r="1513" spans="1:6" x14ac:dyDescent="0.3">
      <c r="A1513" s="8" t="s">
        <v>2986</v>
      </c>
      <c r="B1513" s="8" t="s">
        <v>55117</v>
      </c>
      <c r="C1513" s="8" t="s">
        <v>2987</v>
      </c>
      <c r="D1513" s="8"/>
      <c r="E1513" s="6"/>
      <c r="F1513" s="6"/>
    </row>
    <row r="1514" spans="1:6" x14ac:dyDescent="0.3">
      <c r="A1514" s="8" t="s">
        <v>2988</v>
      </c>
      <c r="B1514" s="8" t="s">
        <v>55118</v>
      </c>
      <c r="C1514" s="8" t="s">
        <v>2989</v>
      </c>
      <c r="D1514" s="8"/>
      <c r="E1514" s="6"/>
      <c r="F1514" s="6"/>
    </row>
    <row r="1515" spans="1:6" x14ac:dyDescent="0.3">
      <c r="A1515" s="8" t="s">
        <v>2990</v>
      </c>
      <c r="B1515" s="8" t="s">
        <v>55119</v>
      </c>
      <c r="C1515" s="8" t="s">
        <v>2991</v>
      </c>
      <c r="D1515" s="8"/>
      <c r="E1515" s="6"/>
      <c r="F1515" s="6"/>
    </row>
    <row r="1516" spans="1:6" x14ac:dyDescent="0.3">
      <c r="A1516" s="8" t="s">
        <v>2992</v>
      </c>
      <c r="B1516" s="8" t="s">
        <v>55120</v>
      </c>
      <c r="C1516" s="8" t="s">
        <v>2993</v>
      </c>
      <c r="D1516" s="8"/>
      <c r="E1516" s="6"/>
      <c r="F1516" s="6"/>
    </row>
    <row r="1517" spans="1:6" x14ac:dyDescent="0.3">
      <c r="A1517" s="8" t="s">
        <v>2994</v>
      </c>
      <c r="B1517" s="8" t="s">
        <v>55121</v>
      </c>
      <c r="C1517" s="8" t="s">
        <v>2995</v>
      </c>
      <c r="D1517" s="8"/>
      <c r="E1517" s="6"/>
      <c r="F1517" s="6"/>
    </row>
    <row r="1518" spans="1:6" x14ac:dyDescent="0.3">
      <c r="A1518" s="8" t="s">
        <v>2996</v>
      </c>
      <c r="B1518" s="8" t="s">
        <v>55122</v>
      </c>
      <c r="C1518" s="8" t="s">
        <v>2997</v>
      </c>
      <c r="D1518" s="8"/>
      <c r="E1518" s="6"/>
      <c r="F1518" s="6"/>
    </row>
    <row r="1519" spans="1:6" x14ac:dyDescent="0.3">
      <c r="A1519" s="8" t="s">
        <v>2998</v>
      </c>
      <c r="B1519" s="8" t="s">
        <v>55123</v>
      </c>
      <c r="C1519" s="8" t="s">
        <v>2999</v>
      </c>
      <c r="D1519" s="8"/>
      <c r="E1519" s="6"/>
      <c r="F1519" s="6"/>
    </row>
    <row r="1520" spans="1:6" x14ac:dyDescent="0.3">
      <c r="A1520" s="8" t="s">
        <v>3000</v>
      </c>
      <c r="B1520" s="8" t="s">
        <v>55124</v>
      </c>
      <c r="C1520" s="8" t="s">
        <v>3001</v>
      </c>
      <c r="D1520" s="8"/>
      <c r="E1520" s="6"/>
      <c r="F1520" s="6"/>
    </row>
    <row r="1521" spans="1:6" x14ac:dyDescent="0.3">
      <c r="A1521" s="8" t="s">
        <v>3002</v>
      </c>
      <c r="B1521" s="8" t="s">
        <v>55125</v>
      </c>
      <c r="C1521" s="8" t="s">
        <v>3003</v>
      </c>
      <c r="D1521" s="8"/>
      <c r="E1521" s="6"/>
      <c r="F1521" s="6"/>
    </row>
    <row r="1522" spans="1:6" x14ac:dyDescent="0.3">
      <c r="A1522" s="8" t="s">
        <v>3004</v>
      </c>
      <c r="B1522" s="8" t="s">
        <v>55126</v>
      </c>
      <c r="C1522" s="8" t="s">
        <v>3005</v>
      </c>
      <c r="D1522" s="8"/>
      <c r="E1522" s="6"/>
      <c r="F1522" s="6"/>
    </row>
    <row r="1523" spans="1:6" x14ac:dyDescent="0.3">
      <c r="A1523" s="8" t="s">
        <v>3006</v>
      </c>
      <c r="B1523" s="8" t="s">
        <v>55127</v>
      </c>
      <c r="C1523" s="8" t="s">
        <v>3007</v>
      </c>
      <c r="D1523" s="8"/>
      <c r="E1523" s="6"/>
      <c r="F1523" s="6"/>
    </row>
    <row r="1524" spans="1:6" x14ac:dyDescent="0.3">
      <c r="A1524" s="8" t="s">
        <v>3008</v>
      </c>
      <c r="B1524" s="8" t="s">
        <v>55128</v>
      </c>
      <c r="C1524" s="8" t="s">
        <v>3009</v>
      </c>
      <c r="D1524" s="8"/>
      <c r="E1524" s="6"/>
      <c r="F1524" s="6"/>
    </row>
    <row r="1525" spans="1:6" x14ac:dyDescent="0.3">
      <c r="A1525" s="8" t="s">
        <v>3010</v>
      </c>
      <c r="B1525" s="8" t="s">
        <v>55129</v>
      </c>
      <c r="C1525" s="8" t="s">
        <v>3011</v>
      </c>
      <c r="D1525" s="8"/>
      <c r="E1525" s="6"/>
      <c r="F1525" s="6"/>
    </row>
    <row r="1526" spans="1:6" x14ac:dyDescent="0.3">
      <c r="A1526" s="8" t="s">
        <v>3012</v>
      </c>
      <c r="B1526" s="8" t="s">
        <v>55130</v>
      </c>
      <c r="C1526" s="8" t="s">
        <v>3013</v>
      </c>
      <c r="D1526" s="8"/>
      <c r="E1526" s="6"/>
      <c r="F1526" s="6"/>
    </row>
    <row r="1527" spans="1:6" x14ac:dyDescent="0.3">
      <c r="A1527" s="8" t="s">
        <v>3014</v>
      </c>
      <c r="B1527" s="8" t="s">
        <v>55131</v>
      </c>
      <c r="C1527" s="8" t="s">
        <v>3015</v>
      </c>
      <c r="D1527" s="8"/>
      <c r="E1527" s="6"/>
      <c r="F1527" s="6"/>
    </row>
    <row r="1528" spans="1:6" x14ac:dyDescent="0.3">
      <c r="A1528" s="8" t="s">
        <v>3016</v>
      </c>
      <c r="B1528" s="8" t="s">
        <v>55132</v>
      </c>
      <c r="C1528" s="8" t="s">
        <v>3017</v>
      </c>
      <c r="D1528" s="8"/>
      <c r="E1528" s="6"/>
      <c r="F1528" s="6"/>
    </row>
    <row r="1529" spans="1:6" x14ac:dyDescent="0.3">
      <c r="A1529" s="8" t="s">
        <v>3018</v>
      </c>
      <c r="B1529" s="8" t="s">
        <v>55133</v>
      </c>
      <c r="C1529" s="8" t="s">
        <v>3019</v>
      </c>
      <c r="D1529" s="8"/>
      <c r="E1529" s="6"/>
      <c r="F1529" s="6"/>
    </row>
    <row r="1530" spans="1:6" x14ac:dyDescent="0.3">
      <c r="A1530" s="8" t="s">
        <v>3020</v>
      </c>
      <c r="B1530" s="8" t="s">
        <v>55134</v>
      </c>
      <c r="C1530" s="8" t="s">
        <v>3021</v>
      </c>
      <c r="D1530" s="8"/>
      <c r="E1530" s="6"/>
      <c r="F1530" s="6"/>
    </row>
    <row r="1531" spans="1:6" x14ac:dyDescent="0.3">
      <c r="A1531" s="8" t="s">
        <v>3022</v>
      </c>
      <c r="B1531" s="8" t="s">
        <v>55135</v>
      </c>
      <c r="C1531" s="8" t="s">
        <v>3023</v>
      </c>
      <c r="D1531" s="8"/>
      <c r="E1531" s="6"/>
      <c r="F1531" s="6"/>
    </row>
    <row r="1532" spans="1:6" x14ac:dyDescent="0.3">
      <c r="A1532" s="8" t="s">
        <v>3024</v>
      </c>
      <c r="B1532" s="8" t="s">
        <v>55136</v>
      </c>
      <c r="C1532" s="8" t="s">
        <v>3025</v>
      </c>
      <c r="D1532" s="8"/>
      <c r="E1532" s="6"/>
      <c r="F1532" s="6"/>
    </row>
    <row r="1533" spans="1:6" x14ac:dyDescent="0.3">
      <c r="A1533" s="8" t="s">
        <v>3026</v>
      </c>
      <c r="B1533" s="8" t="s">
        <v>55137</v>
      </c>
      <c r="C1533" s="8" t="s">
        <v>3027</v>
      </c>
      <c r="D1533" s="8"/>
      <c r="E1533" s="6"/>
      <c r="F1533" s="6"/>
    </row>
    <row r="1534" spans="1:6" x14ac:dyDescent="0.3">
      <c r="A1534" s="8" t="s">
        <v>3028</v>
      </c>
      <c r="B1534" s="8" t="s">
        <v>55138</v>
      </c>
      <c r="C1534" s="8" t="s">
        <v>3029</v>
      </c>
      <c r="D1534" s="8"/>
      <c r="E1534" s="6"/>
      <c r="F1534" s="6"/>
    </row>
    <row r="1535" spans="1:6" x14ac:dyDescent="0.3">
      <c r="A1535" s="8" t="s">
        <v>3030</v>
      </c>
      <c r="B1535" s="8" t="s">
        <v>55139</v>
      </c>
      <c r="C1535" s="8" t="s">
        <v>3031</v>
      </c>
      <c r="D1535" s="8"/>
      <c r="E1535" s="6"/>
      <c r="F1535" s="6"/>
    </row>
    <row r="1536" spans="1:6" x14ac:dyDescent="0.3">
      <c r="A1536" s="8" t="s">
        <v>3032</v>
      </c>
      <c r="B1536" s="8" t="s">
        <v>55140</v>
      </c>
      <c r="C1536" s="8" t="s">
        <v>3033</v>
      </c>
      <c r="D1536" s="8"/>
      <c r="E1536" s="6"/>
      <c r="F1536" s="6"/>
    </row>
    <row r="1537" spans="1:6" x14ac:dyDescent="0.3">
      <c r="A1537" s="8" t="s">
        <v>3034</v>
      </c>
      <c r="B1537" s="8" t="s">
        <v>55141</v>
      </c>
      <c r="C1537" s="8" t="s">
        <v>3035</v>
      </c>
      <c r="D1537" s="8"/>
      <c r="E1537" s="6"/>
      <c r="F1537" s="6"/>
    </row>
    <row r="1538" spans="1:6" x14ac:dyDescent="0.3">
      <c r="A1538" s="8" t="s">
        <v>3036</v>
      </c>
      <c r="B1538" s="8" t="s">
        <v>55142</v>
      </c>
      <c r="C1538" s="8" t="s">
        <v>3037</v>
      </c>
      <c r="D1538" s="8"/>
      <c r="E1538" s="6"/>
      <c r="F1538" s="6"/>
    </row>
    <row r="1539" spans="1:6" x14ac:dyDescent="0.3">
      <c r="A1539" s="8" t="s">
        <v>3038</v>
      </c>
      <c r="B1539" s="8" t="s">
        <v>55143</v>
      </c>
      <c r="C1539" s="8" t="s">
        <v>3039</v>
      </c>
      <c r="D1539" s="8"/>
      <c r="E1539" s="6"/>
      <c r="F1539" s="6"/>
    </row>
    <row r="1540" spans="1:6" x14ac:dyDescent="0.3">
      <c r="A1540" s="8" t="s">
        <v>3040</v>
      </c>
      <c r="B1540" s="8" t="s">
        <v>55144</v>
      </c>
      <c r="C1540" s="8" t="s">
        <v>3041</v>
      </c>
      <c r="D1540" s="8"/>
      <c r="E1540" s="6"/>
      <c r="F1540" s="6"/>
    </row>
    <row r="1541" spans="1:6" x14ac:dyDescent="0.3">
      <c r="A1541" s="8" t="s">
        <v>3042</v>
      </c>
      <c r="B1541" s="8" t="s">
        <v>55145</v>
      </c>
      <c r="C1541" s="8" t="s">
        <v>3043</v>
      </c>
      <c r="D1541" s="8"/>
      <c r="E1541" s="6"/>
      <c r="F1541" s="6"/>
    </row>
    <row r="1542" spans="1:6" x14ac:dyDescent="0.3">
      <c r="A1542" s="8" t="s">
        <v>3044</v>
      </c>
      <c r="B1542" s="8" t="s">
        <v>55146</v>
      </c>
      <c r="C1542" s="8" t="s">
        <v>3045</v>
      </c>
      <c r="D1542" s="8"/>
      <c r="E1542" s="6"/>
      <c r="F1542" s="6"/>
    </row>
    <row r="1543" spans="1:6" x14ac:dyDescent="0.3">
      <c r="A1543" s="8" t="s">
        <v>3046</v>
      </c>
      <c r="B1543" s="8" t="s">
        <v>55147</v>
      </c>
      <c r="C1543" s="8" t="s">
        <v>3047</v>
      </c>
      <c r="D1543" s="8"/>
      <c r="E1543" s="6"/>
      <c r="F1543" s="6"/>
    </row>
    <row r="1544" spans="1:6" x14ac:dyDescent="0.3">
      <c r="A1544" s="8" t="s">
        <v>3048</v>
      </c>
      <c r="B1544" s="8" t="s">
        <v>55148</v>
      </c>
      <c r="C1544" s="8" t="s">
        <v>3049</v>
      </c>
      <c r="D1544" s="8"/>
      <c r="E1544" s="6"/>
      <c r="F1544" s="6"/>
    </row>
    <row r="1545" spans="1:6" x14ac:dyDescent="0.3">
      <c r="A1545" s="8" t="s">
        <v>3050</v>
      </c>
      <c r="B1545" s="8" t="s">
        <v>55149</v>
      </c>
      <c r="C1545" s="8" t="s">
        <v>3051</v>
      </c>
      <c r="D1545" s="8"/>
      <c r="E1545" s="6"/>
      <c r="F1545" s="6"/>
    </row>
    <row r="1546" spans="1:6" x14ac:dyDescent="0.3">
      <c r="A1546" s="8" t="s">
        <v>3052</v>
      </c>
      <c r="B1546" s="8" t="s">
        <v>55150</v>
      </c>
      <c r="C1546" s="8" t="s">
        <v>3053</v>
      </c>
      <c r="D1546" s="8"/>
      <c r="E1546" s="6"/>
      <c r="F1546" s="6"/>
    </row>
    <row r="1547" spans="1:6" x14ac:dyDescent="0.3">
      <c r="A1547" s="8" t="s">
        <v>3054</v>
      </c>
      <c r="B1547" s="8" t="s">
        <v>55151</v>
      </c>
      <c r="C1547" s="8" t="s">
        <v>3055</v>
      </c>
      <c r="D1547" s="8"/>
      <c r="E1547" s="6"/>
      <c r="F1547" s="6"/>
    </row>
    <row r="1548" spans="1:6" x14ac:dyDescent="0.3">
      <c r="A1548" s="8" t="s">
        <v>3056</v>
      </c>
      <c r="B1548" s="8" t="s">
        <v>55152</v>
      </c>
      <c r="C1548" s="8" t="s">
        <v>3057</v>
      </c>
      <c r="D1548" s="8"/>
      <c r="E1548" s="6"/>
      <c r="F1548" s="6"/>
    </row>
    <row r="1549" spans="1:6" x14ac:dyDescent="0.3">
      <c r="A1549" s="8" t="s">
        <v>3058</v>
      </c>
      <c r="B1549" s="8" t="s">
        <v>55153</v>
      </c>
      <c r="C1549" s="8" t="s">
        <v>3059</v>
      </c>
      <c r="D1549" s="8"/>
      <c r="E1549" s="6"/>
      <c r="F1549" s="6"/>
    </row>
    <row r="1550" spans="1:6" x14ac:dyDescent="0.3">
      <c r="A1550" s="8" t="s">
        <v>3060</v>
      </c>
      <c r="B1550" s="8" t="s">
        <v>55154</v>
      </c>
      <c r="C1550" s="8" t="s">
        <v>3061</v>
      </c>
      <c r="D1550" s="8"/>
      <c r="E1550" s="6"/>
      <c r="F1550" s="6"/>
    </row>
    <row r="1551" spans="1:6" x14ac:dyDescent="0.3">
      <c r="A1551" s="8" t="s">
        <v>3062</v>
      </c>
      <c r="B1551" s="8" t="s">
        <v>55155</v>
      </c>
      <c r="C1551" s="8" t="s">
        <v>3063</v>
      </c>
      <c r="D1551" s="8"/>
      <c r="E1551" s="6"/>
      <c r="F1551" s="6"/>
    </row>
    <row r="1552" spans="1:6" x14ac:dyDescent="0.3">
      <c r="A1552" s="8" t="s">
        <v>3064</v>
      </c>
      <c r="B1552" s="8" t="s">
        <v>55156</v>
      </c>
      <c r="C1552" s="8" t="s">
        <v>3065</v>
      </c>
      <c r="D1552" s="8"/>
      <c r="E1552" s="6"/>
      <c r="F1552" s="6"/>
    </row>
    <row r="1553" spans="1:6" x14ac:dyDescent="0.3">
      <c r="A1553" s="8" t="s">
        <v>3066</v>
      </c>
      <c r="B1553" s="8" t="s">
        <v>55157</v>
      </c>
      <c r="C1553" s="8" t="s">
        <v>3067</v>
      </c>
      <c r="D1553" s="8"/>
      <c r="E1553" s="6"/>
      <c r="F1553" s="6"/>
    </row>
    <row r="1554" spans="1:6" x14ac:dyDescent="0.3">
      <c r="A1554" s="8" t="s">
        <v>3068</v>
      </c>
      <c r="B1554" s="8" t="s">
        <v>55158</v>
      </c>
      <c r="C1554" s="8" t="s">
        <v>3069</v>
      </c>
      <c r="D1554" s="8"/>
      <c r="E1554" s="6"/>
      <c r="F1554" s="6"/>
    </row>
    <row r="1555" spans="1:6" x14ac:dyDescent="0.3">
      <c r="A1555" s="8" t="s">
        <v>3070</v>
      </c>
      <c r="B1555" s="8" t="s">
        <v>55159</v>
      </c>
      <c r="C1555" s="8" t="s">
        <v>3071</v>
      </c>
      <c r="D1555" s="8"/>
      <c r="E1555" s="6"/>
      <c r="F1555" s="6"/>
    </row>
    <row r="1556" spans="1:6" x14ac:dyDescent="0.3">
      <c r="A1556" s="8" t="s">
        <v>3072</v>
      </c>
      <c r="B1556" s="8" t="s">
        <v>55160</v>
      </c>
      <c r="C1556" s="8" t="s">
        <v>3073</v>
      </c>
      <c r="D1556" s="8"/>
      <c r="E1556" s="6"/>
      <c r="F1556" s="6"/>
    </row>
    <row r="1557" spans="1:6" x14ac:dyDescent="0.3">
      <c r="A1557" s="8" t="s">
        <v>3074</v>
      </c>
      <c r="B1557" s="8" t="s">
        <v>55161</v>
      </c>
      <c r="C1557" s="8" t="s">
        <v>3075</v>
      </c>
      <c r="D1557" s="8"/>
      <c r="E1557" s="6"/>
      <c r="F1557" s="6"/>
    </row>
    <row r="1558" spans="1:6" x14ac:dyDescent="0.3">
      <c r="A1558" s="8" t="s">
        <v>3076</v>
      </c>
      <c r="B1558" s="8" t="s">
        <v>55162</v>
      </c>
      <c r="C1558" s="8" t="s">
        <v>3077</v>
      </c>
      <c r="D1558" s="8"/>
      <c r="E1558" s="6"/>
      <c r="F1558" s="6"/>
    </row>
    <row r="1559" spans="1:6" x14ac:dyDescent="0.3">
      <c r="A1559" s="8" t="s">
        <v>3078</v>
      </c>
      <c r="B1559" s="8" t="s">
        <v>55163</v>
      </c>
      <c r="C1559" s="8" t="s">
        <v>3079</v>
      </c>
      <c r="D1559" s="8"/>
      <c r="E1559" s="6"/>
      <c r="F1559" s="6"/>
    </row>
    <row r="1560" spans="1:6" x14ac:dyDescent="0.3">
      <c r="A1560" s="8" t="s">
        <v>3080</v>
      </c>
      <c r="B1560" s="8" t="s">
        <v>55164</v>
      </c>
      <c r="C1560" s="8" t="s">
        <v>3081</v>
      </c>
      <c r="D1560" s="8"/>
      <c r="E1560" s="6"/>
      <c r="F1560" s="6"/>
    </row>
    <row r="1561" spans="1:6" x14ac:dyDescent="0.3">
      <c r="A1561" s="8" t="s">
        <v>3082</v>
      </c>
      <c r="B1561" s="8" t="s">
        <v>55165</v>
      </c>
      <c r="C1561" s="8" t="s">
        <v>3083</v>
      </c>
      <c r="D1561" s="8"/>
      <c r="E1561" s="6"/>
      <c r="F1561" s="6"/>
    </row>
    <row r="1562" spans="1:6" x14ac:dyDescent="0.3">
      <c r="A1562" s="8" t="s">
        <v>3084</v>
      </c>
      <c r="B1562" s="8" t="s">
        <v>55166</v>
      </c>
      <c r="C1562" s="8" t="s">
        <v>3085</v>
      </c>
      <c r="D1562" s="8"/>
      <c r="E1562" s="6"/>
      <c r="F1562" s="6"/>
    </row>
    <row r="1563" spans="1:6" x14ac:dyDescent="0.3">
      <c r="A1563" s="8" t="s">
        <v>3086</v>
      </c>
      <c r="B1563" s="8" t="s">
        <v>55167</v>
      </c>
      <c r="C1563" s="8" t="s">
        <v>3087</v>
      </c>
      <c r="D1563" s="8"/>
      <c r="E1563" s="6"/>
      <c r="F1563" s="6"/>
    </row>
    <row r="1564" spans="1:6" x14ac:dyDescent="0.3">
      <c r="A1564" s="8" t="s">
        <v>3088</v>
      </c>
      <c r="B1564" s="8" t="s">
        <v>55168</v>
      </c>
      <c r="C1564" s="8" t="s">
        <v>3089</v>
      </c>
      <c r="D1564" s="8"/>
      <c r="E1564" s="6"/>
      <c r="F1564" s="6"/>
    </row>
    <row r="1565" spans="1:6" x14ac:dyDescent="0.3">
      <c r="A1565" s="8" t="s">
        <v>3090</v>
      </c>
      <c r="B1565" s="8" t="s">
        <v>55169</v>
      </c>
      <c r="C1565" s="8" t="s">
        <v>3091</v>
      </c>
      <c r="D1565" s="8"/>
      <c r="E1565" s="6"/>
      <c r="F1565" s="6"/>
    </row>
    <row r="1566" spans="1:6" x14ac:dyDescent="0.3">
      <c r="A1566" s="8" t="s">
        <v>3092</v>
      </c>
      <c r="B1566" s="8" t="s">
        <v>55170</v>
      </c>
      <c r="C1566" s="8" t="s">
        <v>3093</v>
      </c>
      <c r="D1566" s="8"/>
      <c r="E1566" s="6"/>
      <c r="F1566" s="6"/>
    </row>
    <row r="1567" spans="1:6" x14ac:dyDescent="0.3">
      <c r="A1567" s="8" t="s">
        <v>3094</v>
      </c>
      <c r="B1567" s="8" t="s">
        <v>55171</v>
      </c>
      <c r="C1567" s="8" t="s">
        <v>3095</v>
      </c>
      <c r="D1567" s="8"/>
      <c r="E1567" s="6"/>
      <c r="F1567" s="6"/>
    </row>
    <row r="1568" spans="1:6" x14ac:dyDescent="0.3">
      <c r="A1568" s="8" t="s">
        <v>3096</v>
      </c>
      <c r="B1568" s="8" t="s">
        <v>55172</v>
      </c>
      <c r="C1568" s="8" t="s">
        <v>3097</v>
      </c>
      <c r="D1568" s="8"/>
      <c r="E1568" s="6"/>
      <c r="F1568" s="6"/>
    </row>
    <row r="1569" spans="1:6" x14ac:dyDescent="0.3">
      <c r="A1569" s="8" t="s">
        <v>3098</v>
      </c>
      <c r="B1569" s="8" t="s">
        <v>55173</v>
      </c>
      <c r="C1569" s="8" t="s">
        <v>3099</v>
      </c>
      <c r="D1569" s="8"/>
      <c r="E1569" s="6"/>
      <c r="F1569" s="6"/>
    </row>
    <row r="1570" spans="1:6" x14ac:dyDescent="0.3">
      <c r="A1570" s="8" t="s">
        <v>3100</v>
      </c>
      <c r="B1570" s="8" t="s">
        <v>55174</v>
      </c>
      <c r="C1570" s="8" t="s">
        <v>3101</v>
      </c>
      <c r="D1570" s="8"/>
      <c r="E1570" s="6"/>
      <c r="F1570" s="6"/>
    </row>
    <row r="1571" spans="1:6" x14ac:dyDescent="0.3">
      <c r="A1571" s="8" t="s">
        <v>3102</v>
      </c>
      <c r="B1571" s="8" t="s">
        <v>55175</v>
      </c>
      <c r="C1571" s="8" t="s">
        <v>3103</v>
      </c>
      <c r="D1571" s="8"/>
      <c r="E1571" s="6"/>
      <c r="F1571" s="6"/>
    </row>
    <row r="1572" spans="1:6" x14ac:dyDescent="0.3">
      <c r="A1572" s="8" t="s">
        <v>3104</v>
      </c>
      <c r="B1572" s="8" t="s">
        <v>55176</v>
      </c>
      <c r="C1572" s="8" t="s">
        <v>3105</v>
      </c>
      <c r="D1572" s="8"/>
      <c r="E1572" s="6"/>
      <c r="F1572" s="6"/>
    </row>
    <row r="1573" spans="1:6" x14ac:dyDescent="0.3">
      <c r="A1573" s="8" t="s">
        <v>3106</v>
      </c>
      <c r="B1573" s="8" t="s">
        <v>55177</v>
      </c>
      <c r="C1573" s="8" t="s">
        <v>3107</v>
      </c>
      <c r="D1573" s="8"/>
      <c r="E1573" s="6"/>
      <c r="F1573" s="6"/>
    </row>
    <row r="1574" spans="1:6" x14ac:dyDescent="0.3">
      <c r="A1574" s="8" t="s">
        <v>3108</v>
      </c>
      <c r="B1574" s="8" t="s">
        <v>55178</v>
      </c>
      <c r="C1574" s="8" t="s">
        <v>3109</v>
      </c>
      <c r="D1574" s="8"/>
      <c r="E1574" s="6"/>
      <c r="F1574" s="6"/>
    </row>
    <row r="1575" spans="1:6" x14ac:dyDescent="0.3">
      <c r="A1575" s="8" t="s">
        <v>3110</v>
      </c>
      <c r="B1575" s="8" t="s">
        <v>55179</v>
      </c>
      <c r="C1575" s="8" t="s">
        <v>3111</v>
      </c>
      <c r="D1575" s="8"/>
      <c r="E1575" s="6"/>
      <c r="F1575" s="6"/>
    </row>
    <row r="1576" spans="1:6" x14ac:dyDescent="0.3">
      <c r="A1576" s="8" t="s">
        <v>3112</v>
      </c>
      <c r="B1576" s="8" t="s">
        <v>55180</v>
      </c>
      <c r="C1576" s="8" t="s">
        <v>3113</v>
      </c>
      <c r="D1576" s="8"/>
      <c r="E1576" s="6"/>
      <c r="F1576" s="6"/>
    </row>
    <row r="1577" spans="1:6" x14ac:dyDescent="0.3">
      <c r="A1577" s="8" t="s">
        <v>3114</v>
      </c>
      <c r="B1577" s="8" t="s">
        <v>55181</v>
      </c>
      <c r="C1577" s="8" t="s">
        <v>3115</v>
      </c>
      <c r="D1577" s="8"/>
      <c r="E1577" s="6"/>
      <c r="F1577" s="6"/>
    </row>
    <row r="1578" spans="1:6" x14ac:dyDescent="0.3">
      <c r="A1578" s="8" t="s">
        <v>3116</v>
      </c>
      <c r="B1578" s="8" t="s">
        <v>55182</v>
      </c>
      <c r="C1578" s="8" t="s">
        <v>3117</v>
      </c>
      <c r="D1578" s="8"/>
      <c r="E1578" s="6"/>
      <c r="F1578" s="6"/>
    </row>
    <row r="1579" spans="1:6" x14ac:dyDescent="0.3">
      <c r="A1579" s="8" t="s">
        <v>3118</v>
      </c>
      <c r="B1579" s="8" t="s">
        <v>55183</v>
      </c>
      <c r="C1579" s="8" t="s">
        <v>3119</v>
      </c>
      <c r="D1579" s="8"/>
      <c r="E1579" s="6"/>
      <c r="F1579" s="6"/>
    </row>
    <row r="1580" spans="1:6" x14ac:dyDescent="0.3">
      <c r="A1580" s="8" t="s">
        <v>3120</v>
      </c>
      <c r="B1580" s="8" t="s">
        <v>55184</v>
      </c>
      <c r="C1580" s="8" t="s">
        <v>3121</v>
      </c>
      <c r="D1580" s="8"/>
      <c r="E1580" s="6"/>
      <c r="F1580" s="6"/>
    </row>
    <row r="1581" spans="1:6" x14ac:dyDescent="0.3">
      <c r="A1581" s="8" t="s">
        <v>3122</v>
      </c>
      <c r="B1581" s="8" t="s">
        <v>55185</v>
      </c>
      <c r="C1581" s="8" t="s">
        <v>3123</v>
      </c>
      <c r="D1581" s="8"/>
      <c r="E1581" s="6"/>
      <c r="F1581" s="6"/>
    </row>
    <row r="1582" spans="1:6" x14ac:dyDescent="0.3">
      <c r="A1582" s="8" t="s">
        <v>3124</v>
      </c>
      <c r="B1582" s="8" t="s">
        <v>55186</v>
      </c>
      <c r="C1582" s="8" t="s">
        <v>3125</v>
      </c>
      <c r="D1582" s="8"/>
      <c r="E1582" s="6"/>
      <c r="F1582" s="6"/>
    </row>
    <row r="1583" spans="1:6" x14ac:dyDescent="0.3">
      <c r="A1583" s="8" t="s">
        <v>3126</v>
      </c>
      <c r="B1583" s="8" t="s">
        <v>55187</v>
      </c>
      <c r="C1583" s="8" t="s">
        <v>3127</v>
      </c>
      <c r="D1583" s="8"/>
      <c r="E1583" s="6"/>
      <c r="F1583" s="6"/>
    </row>
    <row r="1584" spans="1:6" x14ac:dyDescent="0.3">
      <c r="A1584" s="8" t="s">
        <v>3128</v>
      </c>
      <c r="B1584" s="8" t="s">
        <v>55188</v>
      </c>
      <c r="C1584" s="8" t="s">
        <v>3129</v>
      </c>
      <c r="D1584" s="8"/>
      <c r="E1584" s="6"/>
      <c r="F1584" s="6"/>
    </row>
    <row r="1585" spans="1:6" x14ac:dyDescent="0.3">
      <c r="A1585" s="8" t="s">
        <v>3130</v>
      </c>
      <c r="B1585" s="8" t="s">
        <v>55189</v>
      </c>
      <c r="C1585" s="8" t="s">
        <v>3131</v>
      </c>
      <c r="D1585" s="8"/>
      <c r="E1585" s="6"/>
      <c r="F1585" s="6"/>
    </row>
    <row r="1586" spans="1:6" x14ac:dyDescent="0.3">
      <c r="A1586" s="8" t="s">
        <v>3132</v>
      </c>
      <c r="B1586" s="8" t="s">
        <v>55190</v>
      </c>
      <c r="C1586" s="8" t="s">
        <v>3133</v>
      </c>
      <c r="D1586" s="8"/>
      <c r="E1586" s="6"/>
      <c r="F1586" s="6"/>
    </row>
    <row r="1587" spans="1:6" x14ac:dyDescent="0.3">
      <c r="A1587" s="8" t="s">
        <v>3134</v>
      </c>
      <c r="B1587" s="8" t="s">
        <v>55191</v>
      </c>
      <c r="C1587" s="8" t="s">
        <v>3135</v>
      </c>
      <c r="D1587" s="8"/>
      <c r="E1587" s="6"/>
      <c r="F1587" s="6"/>
    </row>
    <row r="1588" spans="1:6" x14ac:dyDescent="0.3">
      <c r="A1588" s="8" t="s">
        <v>3136</v>
      </c>
      <c r="B1588" s="8" t="s">
        <v>55192</v>
      </c>
      <c r="C1588" s="8" t="s">
        <v>3137</v>
      </c>
      <c r="D1588" s="8"/>
      <c r="E1588" s="6"/>
      <c r="F1588" s="6"/>
    </row>
    <row r="1589" spans="1:6" x14ac:dyDescent="0.3">
      <c r="A1589" s="8" t="s">
        <v>3138</v>
      </c>
      <c r="B1589" s="8" t="s">
        <v>55193</v>
      </c>
      <c r="C1589" s="8" t="s">
        <v>3139</v>
      </c>
      <c r="D1589" s="8"/>
      <c r="E1589" s="6"/>
      <c r="F1589" s="6"/>
    </row>
    <row r="1590" spans="1:6" x14ac:dyDescent="0.3">
      <c r="A1590" s="8" t="s">
        <v>3140</v>
      </c>
      <c r="B1590" s="8" t="s">
        <v>55194</v>
      </c>
      <c r="C1590" s="8" t="s">
        <v>3141</v>
      </c>
      <c r="D1590" s="8"/>
      <c r="E1590" s="6"/>
      <c r="F1590" s="6"/>
    </row>
    <row r="1591" spans="1:6" x14ac:dyDescent="0.3">
      <c r="A1591" s="8" t="s">
        <v>3142</v>
      </c>
      <c r="B1591" s="8" t="s">
        <v>55195</v>
      </c>
      <c r="C1591" s="8" t="s">
        <v>3143</v>
      </c>
      <c r="D1591" s="8"/>
      <c r="E1591" s="6"/>
      <c r="F1591" s="6"/>
    </row>
    <row r="1592" spans="1:6" x14ac:dyDescent="0.3">
      <c r="A1592" s="8" t="s">
        <v>3144</v>
      </c>
      <c r="B1592" s="8" t="s">
        <v>55196</v>
      </c>
      <c r="C1592" s="8" t="s">
        <v>3145</v>
      </c>
      <c r="D1592" s="8"/>
      <c r="E1592" s="6"/>
      <c r="F1592" s="6"/>
    </row>
    <row r="1593" spans="1:6" x14ac:dyDescent="0.3">
      <c r="A1593" s="8" t="s">
        <v>3146</v>
      </c>
      <c r="B1593" s="8" t="s">
        <v>55197</v>
      </c>
      <c r="C1593" s="8" t="s">
        <v>3147</v>
      </c>
      <c r="D1593" s="8"/>
      <c r="E1593" s="6"/>
      <c r="F1593" s="6"/>
    </row>
    <row r="1594" spans="1:6" x14ac:dyDescent="0.3">
      <c r="A1594" s="8" t="s">
        <v>3148</v>
      </c>
      <c r="B1594" s="8" t="s">
        <v>55198</v>
      </c>
      <c r="C1594" s="8" t="s">
        <v>3149</v>
      </c>
      <c r="D1594" s="8"/>
      <c r="E1594" s="6"/>
      <c r="F1594" s="6"/>
    </row>
    <row r="1595" spans="1:6" x14ac:dyDescent="0.3">
      <c r="A1595" s="8" t="s">
        <v>3150</v>
      </c>
      <c r="B1595" s="8" t="s">
        <v>55199</v>
      </c>
      <c r="C1595" s="8" t="s">
        <v>3151</v>
      </c>
      <c r="D1595" s="8"/>
      <c r="E1595" s="6"/>
      <c r="F1595" s="6"/>
    </row>
    <row r="1596" spans="1:6" x14ac:dyDescent="0.3">
      <c r="A1596" s="8" t="s">
        <v>3152</v>
      </c>
      <c r="B1596" s="8" t="s">
        <v>55200</v>
      </c>
      <c r="C1596" s="8" t="s">
        <v>3153</v>
      </c>
      <c r="D1596" s="8"/>
      <c r="E1596" s="6"/>
      <c r="F1596" s="6"/>
    </row>
    <row r="1597" spans="1:6" x14ac:dyDescent="0.3">
      <c r="A1597" s="8" t="s">
        <v>3154</v>
      </c>
      <c r="B1597" s="8" t="s">
        <v>55201</v>
      </c>
      <c r="C1597" s="8" t="s">
        <v>3155</v>
      </c>
      <c r="D1597" s="8"/>
      <c r="E1597" s="6"/>
      <c r="F1597" s="6"/>
    </row>
    <row r="1598" spans="1:6" x14ac:dyDescent="0.3">
      <c r="A1598" s="8" t="s">
        <v>3156</v>
      </c>
      <c r="B1598" s="8" t="s">
        <v>55202</v>
      </c>
      <c r="C1598" s="8" t="s">
        <v>3157</v>
      </c>
      <c r="D1598" s="8"/>
      <c r="E1598" s="6"/>
      <c r="F1598" s="6"/>
    </row>
    <row r="1599" spans="1:6" x14ac:dyDescent="0.3">
      <c r="A1599" s="8" t="s">
        <v>3158</v>
      </c>
      <c r="B1599" s="8" t="s">
        <v>55203</v>
      </c>
      <c r="C1599" s="8" t="s">
        <v>3159</v>
      </c>
      <c r="D1599" s="8"/>
      <c r="E1599" s="6"/>
      <c r="F1599" s="6"/>
    </row>
    <row r="1600" spans="1:6" x14ac:dyDescent="0.3">
      <c r="A1600" s="8" t="s">
        <v>3160</v>
      </c>
      <c r="B1600" s="8" t="s">
        <v>55204</v>
      </c>
      <c r="C1600" s="8" t="s">
        <v>3161</v>
      </c>
      <c r="D1600" s="8"/>
      <c r="E1600" s="6"/>
      <c r="F1600" s="6"/>
    </row>
    <row r="1601" spans="1:6" x14ac:dyDescent="0.3">
      <c r="A1601" s="8" t="s">
        <v>3162</v>
      </c>
      <c r="B1601" s="8" t="s">
        <v>55205</v>
      </c>
      <c r="C1601" s="8" t="s">
        <v>3163</v>
      </c>
      <c r="D1601" s="8"/>
      <c r="E1601" s="6"/>
      <c r="F1601" s="6"/>
    </row>
    <row r="1602" spans="1:6" x14ac:dyDescent="0.3">
      <c r="A1602" s="8" t="s">
        <v>3164</v>
      </c>
      <c r="B1602" s="8" t="s">
        <v>55206</v>
      </c>
      <c r="C1602" s="8" t="s">
        <v>3165</v>
      </c>
      <c r="D1602" s="8"/>
      <c r="E1602" s="6"/>
      <c r="F1602" s="6"/>
    </row>
    <row r="1603" spans="1:6" x14ac:dyDescent="0.3">
      <c r="A1603" s="8" t="s">
        <v>3166</v>
      </c>
      <c r="B1603" s="8" t="s">
        <v>55207</v>
      </c>
      <c r="C1603" s="8" t="s">
        <v>3167</v>
      </c>
      <c r="D1603" s="8"/>
      <c r="E1603" s="6"/>
      <c r="F1603" s="6"/>
    </row>
    <row r="1604" spans="1:6" x14ac:dyDescent="0.3">
      <c r="A1604" s="8" t="s">
        <v>3168</v>
      </c>
      <c r="B1604" s="8" t="s">
        <v>55208</v>
      </c>
      <c r="C1604" s="8" t="s">
        <v>3169</v>
      </c>
      <c r="D1604" s="8"/>
      <c r="E1604" s="6"/>
      <c r="F1604" s="6"/>
    </row>
    <row r="1605" spans="1:6" x14ac:dyDescent="0.3">
      <c r="A1605" s="8" t="s">
        <v>3170</v>
      </c>
      <c r="B1605" s="8" t="s">
        <v>55209</v>
      </c>
      <c r="C1605" s="8" t="s">
        <v>3171</v>
      </c>
      <c r="D1605" s="8"/>
      <c r="E1605" s="6"/>
      <c r="F1605" s="6"/>
    </row>
    <row r="1606" spans="1:6" x14ac:dyDescent="0.3">
      <c r="A1606" s="8" t="s">
        <v>3172</v>
      </c>
      <c r="B1606" s="8" t="s">
        <v>55210</v>
      </c>
      <c r="C1606" s="8" t="s">
        <v>3173</v>
      </c>
      <c r="D1606" s="8"/>
      <c r="E1606" s="6"/>
      <c r="F1606" s="6"/>
    </row>
    <row r="1607" spans="1:6" x14ac:dyDescent="0.3">
      <c r="A1607" s="8" t="s">
        <v>3174</v>
      </c>
      <c r="B1607" s="8" t="s">
        <v>55211</v>
      </c>
      <c r="C1607" s="8" t="s">
        <v>3175</v>
      </c>
      <c r="D1607" s="8"/>
      <c r="E1607" s="6"/>
      <c r="F1607" s="6"/>
    </row>
    <row r="1608" spans="1:6" x14ac:dyDescent="0.3">
      <c r="A1608" s="8" t="s">
        <v>3176</v>
      </c>
      <c r="B1608" s="8" t="s">
        <v>55212</v>
      </c>
      <c r="C1608" s="8" t="s">
        <v>3177</v>
      </c>
      <c r="D1608" s="8"/>
      <c r="E1608" s="6"/>
      <c r="F1608" s="6"/>
    </row>
    <row r="1609" spans="1:6" x14ac:dyDescent="0.3">
      <c r="A1609" s="8" t="s">
        <v>3178</v>
      </c>
      <c r="B1609" s="8" t="s">
        <v>55213</v>
      </c>
      <c r="C1609" s="8" t="s">
        <v>3179</v>
      </c>
      <c r="D1609" s="8"/>
      <c r="E1609" s="6"/>
      <c r="F1609" s="6"/>
    </row>
    <row r="1610" spans="1:6" x14ac:dyDescent="0.3">
      <c r="A1610" s="8" t="s">
        <v>3180</v>
      </c>
      <c r="B1610" s="8" t="s">
        <v>55214</v>
      </c>
      <c r="C1610" s="8" t="s">
        <v>3181</v>
      </c>
      <c r="D1610" s="8"/>
      <c r="E1610" s="6"/>
      <c r="F1610" s="6"/>
    </row>
    <row r="1611" spans="1:6" x14ac:dyDescent="0.3">
      <c r="A1611" s="8" t="s">
        <v>3182</v>
      </c>
      <c r="B1611" s="8" t="s">
        <v>55215</v>
      </c>
      <c r="C1611" s="8" t="s">
        <v>3183</v>
      </c>
      <c r="D1611" s="8"/>
      <c r="E1611" s="6"/>
      <c r="F1611" s="6"/>
    </row>
    <row r="1612" spans="1:6" x14ac:dyDescent="0.3">
      <c r="A1612" s="8" t="s">
        <v>3184</v>
      </c>
      <c r="B1612" s="8" t="s">
        <v>55216</v>
      </c>
      <c r="C1612" s="8" t="s">
        <v>3185</v>
      </c>
      <c r="D1612" s="8"/>
      <c r="E1612" s="6"/>
      <c r="F1612" s="6"/>
    </row>
    <row r="1613" spans="1:6" x14ac:dyDescent="0.3">
      <c r="A1613" s="8" t="s">
        <v>3186</v>
      </c>
      <c r="B1613" s="8" t="s">
        <v>55217</v>
      </c>
      <c r="C1613" s="8" t="s">
        <v>3187</v>
      </c>
      <c r="D1613" s="8"/>
      <c r="E1613" s="6"/>
      <c r="F1613" s="6"/>
    </row>
    <row r="1614" spans="1:6" x14ac:dyDescent="0.3">
      <c r="A1614" s="8" t="s">
        <v>3188</v>
      </c>
      <c r="B1614" s="8" t="s">
        <v>55218</v>
      </c>
      <c r="C1614" s="8" t="s">
        <v>3189</v>
      </c>
      <c r="D1614" s="8"/>
      <c r="E1614" s="6"/>
      <c r="F1614" s="6"/>
    </row>
    <row r="1615" spans="1:6" x14ac:dyDescent="0.3">
      <c r="A1615" s="8" t="s">
        <v>3190</v>
      </c>
      <c r="B1615" s="8" t="s">
        <v>55219</v>
      </c>
      <c r="C1615" s="8" t="s">
        <v>3191</v>
      </c>
      <c r="D1615" s="8"/>
      <c r="E1615" s="6"/>
      <c r="F1615" s="6"/>
    </row>
    <row r="1616" spans="1:6" x14ac:dyDescent="0.3">
      <c r="A1616" s="8" t="s">
        <v>3192</v>
      </c>
      <c r="B1616" s="8" t="s">
        <v>55220</v>
      </c>
      <c r="C1616" s="8" t="s">
        <v>3193</v>
      </c>
      <c r="D1616" s="8"/>
      <c r="E1616" s="6"/>
      <c r="F1616" s="6"/>
    </row>
    <row r="1617" spans="1:6" x14ac:dyDescent="0.3">
      <c r="A1617" s="8" t="s">
        <v>3194</v>
      </c>
      <c r="B1617" s="8" t="s">
        <v>55221</v>
      </c>
      <c r="C1617" s="8" t="s">
        <v>3195</v>
      </c>
      <c r="D1617" s="8"/>
      <c r="E1617" s="6"/>
      <c r="F1617" s="6"/>
    </row>
    <row r="1618" spans="1:6" x14ac:dyDescent="0.3">
      <c r="A1618" s="8" t="s">
        <v>3196</v>
      </c>
      <c r="B1618" s="8" t="s">
        <v>55222</v>
      </c>
      <c r="C1618" s="8" t="s">
        <v>3197</v>
      </c>
      <c r="D1618" s="8"/>
      <c r="E1618" s="6"/>
      <c r="F1618" s="6"/>
    </row>
    <row r="1619" spans="1:6" x14ac:dyDescent="0.3">
      <c r="A1619" s="8" t="s">
        <v>3198</v>
      </c>
      <c r="B1619" s="8" t="s">
        <v>55223</v>
      </c>
      <c r="C1619" s="8" t="s">
        <v>3199</v>
      </c>
      <c r="D1619" s="8"/>
      <c r="E1619" s="6"/>
      <c r="F1619" s="6"/>
    </row>
    <row r="1620" spans="1:6" x14ac:dyDescent="0.3">
      <c r="A1620" s="8" t="s">
        <v>3200</v>
      </c>
      <c r="B1620" s="8" t="s">
        <v>55224</v>
      </c>
      <c r="C1620" s="8" t="s">
        <v>3201</v>
      </c>
      <c r="D1620" s="8"/>
      <c r="E1620" s="6"/>
      <c r="F1620" s="6"/>
    </row>
    <row r="1621" spans="1:6" x14ac:dyDescent="0.3">
      <c r="A1621" s="8" t="s">
        <v>3202</v>
      </c>
      <c r="B1621" s="8" t="s">
        <v>55225</v>
      </c>
      <c r="C1621" s="8" t="s">
        <v>3203</v>
      </c>
      <c r="D1621" s="8"/>
      <c r="E1621" s="6"/>
      <c r="F1621" s="6"/>
    </row>
    <row r="1622" spans="1:6" x14ac:dyDescent="0.3">
      <c r="A1622" s="8" t="s">
        <v>3204</v>
      </c>
      <c r="B1622" s="8" t="s">
        <v>55226</v>
      </c>
      <c r="C1622" s="8" t="s">
        <v>3205</v>
      </c>
      <c r="D1622" s="8"/>
      <c r="E1622" s="6"/>
      <c r="F1622" s="6"/>
    </row>
    <row r="1623" spans="1:6" x14ac:dyDescent="0.3">
      <c r="A1623" s="8" t="s">
        <v>3206</v>
      </c>
      <c r="B1623" s="8" t="s">
        <v>55227</v>
      </c>
      <c r="C1623" s="8" t="s">
        <v>3207</v>
      </c>
      <c r="D1623" s="8"/>
      <c r="E1623" s="6"/>
      <c r="F1623" s="6"/>
    </row>
    <row r="1624" spans="1:6" x14ac:dyDescent="0.3">
      <c r="A1624" s="8" t="s">
        <v>3208</v>
      </c>
      <c r="B1624" s="8" t="s">
        <v>55228</v>
      </c>
      <c r="C1624" s="8" t="s">
        <v>3209</v>
      </c>
      <c r="D1624" s="8"/>
      <c r="E1624" s="6"/>
      <c r="F1624" s="6"/>
    </row>
    <row r="1625" spans="1:6" x14ac:dyDescent="0.3">
      <c r="A1625" s="8" t="s">
        <v>3210</v>
      </c>
      <c r="B1625" s="8" t="s">
        <v>55229</v>
      </c>
      <c r="C1625" s="8" t="s">
        <v>3211</v>
      </c>
      <c r="D1625" s="8"/>
      <c r="E1625" s="6"/>
      <c r="F1625" s="6"/>
    </row>
    <row r="1626" spans="1:6" x14ac:dyDescent="0.3">
      <c r="A1626" s="8" t="s">
        <v>3212</v>
      </c>
      <c r="B1626" s="8" t="s">
        <v>55230</v>
      </c>
      <c r="C1626" s="8" t="s">
        <v>3213</v>
      </c>
      <c r="D1626" s="8"/>
      <c r="E1626" s="6"/>
      <c r="F1626" s="6"/>
    </row>
    <row r="1627" spans="1:6" x14ac:dyDescent="0.3">
      <c r="A1627" s="8" t="s">
        <v>3214</v>
      </c>
      <c r="B1627" s="8" t="s">
        <v>55231</v>
      </c>
      <c r="C1627" s="8" t="s">
        <v>3215</v>
      </c>
      <c r="D1627" s="8"/>
      <c r="E1627" s="6"/>
      <c r="F1627" s="6"/>
    </row>
    <row r="1628" spans="1:6" x14ac:dyDescent="0.3">
      <c r="A1628" s="8" t="s">
        <v>3216</v>
      </c>
      <c r="B1628" s="8" t="s">
        <v>55232</v>
      </c>
      <c r="C1628" s="8" t="s">
        <v>3217</v>
      </c>
      <c r="D1628" s="8"/>
      <c r="E1628" s="6"/>
      <c r="F1628" s="6"/>
    </row>
    <row r="1629" spans="1:6" x14ac:dyDescent="0.3">
      <c r="A1629" s="8" t="s">
        <v>3218</v>
      </c>
      <c r="B1629" s="8" t="s">
        <v>55233</v>
      </c>
      <c r="C1629" s="8" t="s">
        <v>3219</v>
      </c>
      <c r="D1629" s="8"/>
      <c r="E1629" s="6"/>
      <c r="F1629" s="6"/>
    </row>
    <row r="1630" spans="1:6" x14ac:dyDescent="0.3">
      <c r="A1630" s="8" t="s">
        <v>3220</v>
      </c>
      <c r="B1630" s="8" t="s">
        <v>55234</v>
      </c>
      <c r="C1630" s="8" t="s">
        <v>3221</v>
      </c>
      <c r="D1630" s="8"/>
      <c r="E1630" s="6"/>
      <c r="F1630" s="6"/>
    </row>
    <row r="1631" spans="1:6" x14ac:dyDescent="0.3">
      <c r="A1631" s="8" t="s">
        <v>3222</v>
      </c>
      <c r="B1631" s="8" t="s">
        <v>55235</v>
      </c>
      <c r="C1631" s="8" t="s">
        <v>3223</v>
      </c>
      <c r="D1631" s="8"/>
      <c r="E1631" s="6"/>
      <c r="F1631" s="6"/>
    </row>
    <row r="1632" spans="1:6" x14ac:dyDescent="0.3">
      <c r="A1632" s="8" t="s">
        <v>3224</v>
      </c>
      <c r="B1632" s="8" t="s">
        <v>55236</v>
      </c>
      <c r="C1632" s="8" t="s">
        <v>3225</v>
      </c>
      <c r="D1632" s="8"/>
      <c r="E1632" s="6"/>
      <c r="F1632" s="6"/>
    </row>
    <row r="1633" spans="1:6" x14ac:dyDescent="0.3">
      <c r="A1633" s="8" t="s">
        <v>3226</v>
      </c>
      <c r="B1633" s="8" t="s">
        <v>55237</v>
      </c>
      <c r="C1633" s="8" t="s">
        <v>3227</v>
      </c>
      <c r="D1633" s="8"/>
      <c r="E1633" s="6"/>
      <c r="F1633" s="6"/>
    </row>
    <row r="1634" spans="1:6" x14ac:dyDescent="0.3">
      <c r="A1634" s="8" t="s">
        <v>3228</v>
      </c>
      <c r="B1634" s="8" t="s">
        <v>55238</v>
      </c>
      <c r="C1634" s="8" t="s">
        <v>3229</v>
      </c>
      <c r="D1634" s="8"/>
      <c r="E1634" s="6"/>
      <c r="F1634" s="6"/>
    </row>
    <row r="1635" spans="1:6" x14ac:dyDescent="0.3">
      <c r="A1635" s="8" t="s">
        <v>3230</v>
      </c>
      <c r="B1635" s="8" t="s">
        <v>55239</v>
      </c>
      <c r="C1635" s="8" t="s">
        <v>3231</v>
      </c>
      <c r="D1635" s="8"/>
      <c r="E1635" s="6"/>
      <c r="F1635" s="6"/>
    </row>
    <row r="1636" spans="1:6" x14ac:dyDescent="0.3">
      <c r="A1636" s="8" t="s">
        <v>3232</v>
      </c>
      <c r="B1636" s="8" t="s">
        <v>55240</v>
      </c>
      <c r="C1636" s="8" t="s">
        <v>3233</v>
      </c>
      <c r="D1636" s="8"/>
      <c r="E1636" s="6"/>
      <c r="F1636" s="6"/>
    </row>
    <row r="1637" spans="1:6" x14ac:dyDescent="0.3">
      <c r="A1637" s="8" t="s">
        <v>3234</v>
      </c>
      <c r="B1637" s="8" t="s">
        <v>55241</v>
      </c>
      <c r="C1637" s="8" t="s">
        <v>3235</v>
      </c>
      <c r="D1637" s="8"/>
      <c r="E1637" s="6"/>
      <c r="F1637" s="6"/>
    </row>
    <row r="1638" spans="1:6" x14ac:dyDescent="0.3">
      <c r="A1638" s="8" t="s">
        <v>3236</v>
      </c>
      <c r="B1638" s="8" t="s">
        <v>55242</v>
      </c>
      <c r="C1638" s="8" t="s">
        <v>3237</v>
      </c>
      <c r="D1638" s="8"/>
      <c r="E1638" s="6"/>
      <c r="F1638" s="6"/>
    </row>
    <row r="1639" spans="1:6" x14ac:dyDescent="0.3">
      <c r="A1639" s="8" t="s">
        <v>3238</v>
      </c>
      <c r="B1639" s="8" t="s">
        <v>55243</v>
      </c>
      <c r="C1639" s="8" t="s">
        <v>3239</v>
      </c>
      <c r="D1639" s="8"/>
      <c r="E1639" s="6"/>
      <c r="F1639" s="6"/>
    </row>
    <row r="1640" spans="1:6" x14ac:dyDescent="0.3">
      <c r="A1640" s="8" t="s">
        <v>3240</v>
      </c>
      <c r="B1640" s="8" t="s">
        <v>55244</v>
      </c>
      <c r="C1640" s="8" t="s">
        <v>3241</v>
      </c>
      <c r="D1640" s="8"/>
      <c r="E1640" s="6"/>
      <c r="F1640" s="6"/>
    </row>
    <row r="1641" spans="1:6" x14ac:dyDescent="0.3">
      <c r="A1641" s="8" t="s">
        <v>3242</v>
      </c>
      <c r="B1641" s="8" t="s">
        <v>55245</v>
      </c>
      <c r="C1641" s="8" t="s">
        <v>3243</v>
      </c>
      <c r="D1641" s="8"/>
      <c r="E1641" s="6"/>
      <c r="F1641" s="6"/>
    </row>
    <row r="1642" spans="1:6" x14ac:dyDescent="0.3">
      <c r="A1642" s="8" t="s">
        <v>3244</v>
      </c>
      <c r="B1642" s="8" t="s">
        <v>55246</v>
      </c>
      <c r="C1642" s="8" t="s">
        <v>3245</v>
      </c>
      <c r="D1642" s="8"/>
      <c r="E1642" s="6"/>
      <c r="F1642" s="6"/>
    </row>
    <row r="1643" spans="1:6" x14ac:dyDescent="0.3">
      <c r="A1643" s="8" t="s">
        <v>3246</v>
      </c>
      <c r="B1643" s="8" t="s">
        <v>55247</v>
      </c>
      <c r="C1643" s="8" t="s">
        <v>3247</v>
      </c>
      <c r="D1643" s="8"/>
      <c r="E1643" s="6"/>
      <c r="F1643" s="6"/>
    </row>
    <row r="1644" spans="1:6" x14ac:dyDescent="0.3">
      <c r="A1644" s="8" t="s">
        <v>3248</v>
      </c>
      <c r="B1644" s="8" t="s">
        <v>55248</v>
      </c>
      <c r="C1644" s="8" t="s">
        <v>3249</v>
      </c>
      <c r="D1644" s="8"/>
      <c r="E1644" s="6"/>
      <c r="F1644" s="6"/>
    </row>
    <row r="1645" spans="1:6" x14ac:dyDescent="0.3">
      <c r="A1645" s="8" t="s">
        <v>3250</v>
      </c>
      <c r="B1645" s="8" t="s">
        <v>55249</v>
      </c>
      <c r="C1645" s="8" t="s">
        <v>3251</v>
      </c>
      <c r="D1645" s="8"/>
      <c r="E1645" s="6"/>
      <c r="F1645" s="6"/>
    </row>
    <row r="1646" spans="1:6" x14ac:dyDescent="0.3">
      <c r="A1646" s="8" t="s">
        <v>3252</v>
      </c>
      <c r="B1646" s="8" t="s">
        <v>55250</v>
      </c>
      <c r="C1646" s="8" t="s">
        <v>3253</v>
      </c>
      <c r="D1646" s="8"/>
      <c r="E1646" s="6"/>
      <c r="F1646" s="6"/>
    </row>
    <row r="1647" spans="1:6" x14ac:dyDescent="0.3">
      <c r="A1647" s="8" t="s">
        <v>3254</v>
      </c>
      <c r="B1647" s="8" t="s">
        <v>55251</v>
      </c>
      <c r="C1647" s="8" t="s">
        <v>3255</v>
      </c>
      <c r="D1647" s="8"/>
      <c r="E1647" s="6"/>
      <c r="F1647" s="6"/>
    </row>
    <row r="1648" spans="1:6" x14ac:dyDescent="0.3">
      <c r="A1648" s="8" t="s">
        <v>3256</v>
      </c>
      <c r="B1648" s="8" t="s">
        <v>55252</v>
      </c>
      <c r="C1648" s="8" t="s">
        <v>3257</v>
      </c>
      <c r="D1648" s="8"/>
      <c r="E1648" s="6"/>
      <c r="F1648" s="6"/>
    </row>
    <row r="1649" spans="1:6" x14ac:dyDescent="0.3">
      <c r="A1649" s="8" t="s">
        <v>3258</v>
      </c>
      <c r="B1649" s="8" t="s">
        <v>55253</v>
      </c>
      <c r="C1649" s="8" t="s">
        <v>3259</v>
      </c>
      <c r="D1649" s="8"/>
      <c r="E1649" s="6"/>
      <c r="F1649" s="6"/>
    </row>
    <row r="1650" spans="1:6" x14ac:dyDescent="0.3">
      <c r="A1650" s="8" t="s">
        <v>3260</v>
      </c>
      <c r="B1650" s="8" t="s">
        <v>55254</v>
      </c>
      <c r="C1650" s="8" t="s">
        <v>3261</v>
      </c>
      <c r="D1650" s="8"/>
      <c r="E1650" s="6"/>
      <c r="F1650" s="6"/>
    </row>
    <row r="1651" spans="1:6" x14ac:dyDescent="0.3">
      <c r="A1651" s="8" t="s">
        <v>3262</v>
      </c>
      <c r="B1651" s="8" t="s">
        <v>55255</v>
      </c>
      <c r="C1651" s="8" t="s">
        <v>3263</v>
      </c>
      <c r="D1651" s="8"/>
      <c r="E1651" s="6"/>
      <c r="F1651" s="6"/>
    </row>
    <row r="1652" spans="1:6" x14ac:dyDescent="0.3">
      <c r="A1652" s="8" t="s">
        <v>3264</v>
      </c>
      <c r="B1652" s="8" t="s">
        <v>55256</v>
      </c>
      <c r="C1652" s="8" t="s">
        <v>3265</v>
      </c>
      <c r="D1652" s="8"/>
      <c r="E1652" s="6"/>
      <c r="F1652" s="6"/>
    </row>
    <row r="1653" spans="1:6" x14ac:dyDescent="0.3">
      <c r="A1653" s="8" t="s">
        <v>3266</v>
      </c>
      <c r="B1653" s="8" t="s">
        <v>55257</v>
      </c>
      <c r="C1653" s="8" t="s">
        <v>3267</v>
      </c>
      <c r="D1653" s="8"/>
      <c r="E1653" s="6"/>
      <c r="F1653" s="6"/>
    </row>
    <row r="1654" spans="1:6" x14ac:dyDescent="0.3">
      <c r="A1654" s="8" t="s">
        <v>3268</v>
      </c>
      <c r="B1654" s="8" t="s">
        <v>55258</v>
      </c>
      <c r="C1654" s="8" t="s">
        <v>3269</v>
      </c>
      <c r="D1654" s="8"/>
      <c r="E1654" s="6"/>
      <c r="F1654" s="6"/>
    </row>
    <row r="1655" spans="1:6" x14ac:dyDescent="0.3">
      <c r="A1655" s="8" t="s">
        <v>3270</v>
      </c>
      <c r="B1655" s="8" t="s">
        <v>55259</v>
      </c>
      <c r="C1655" s="8" t="s">
        <v>3271</v>
      </c>
      <c r="D1655" s="8"/>
      <c r="E1655" s="6"/>
      <c r="F1655" s="6"/>
    </row>
    <row r="1656" spans="1:6" x14ac:dyDescent="0.3">
      <c r="A1656" s="8" t="s">
        <v>3272</v>
      </c>
      <c r="B1656" s="8" t="s">
        <v>55260</v>
      </c>
      <c r="C1656" s="8" t="s">
        <v>3273</v>
      </c>
      <c r="D1656" s="8"/>
      <c r="E1656" s="6"/>
      <c r="F1656" s="6"/>
    </row>
    <row r="1657" spans="1:6" x14ac:dyDescent="0.3">
      <c r="A1657" s="8" t="s">
        <v>3274</v>
      </c>
      <c r="B1657" s="8" t="s">
        <v>55261</v>
      </c>
      <c r="C1657" s="8" t="s">
        <v>3275</v>
      </c>
      <c r="D1657" s="8"/>
      <c r="E1657" s="6"/>
      <c r="F1657" s="6"/>
    </row>
    <row r="1658" spans="1:6" x14ac:dyDescent="0.3">
      <c r="A1658" s="8" t="s">
        <v>3276</v>
      </c>
      <c r="B1658" s="8" t="s">
        <v>55262</v>
      </c>
      <c r="C1658" s="8" t="s">
        <v>3277</v>
      </c>
      <c r="D1658" s="8"/>
      <c r="E1658" s="6"/>
      <c r="F1658" s="6"/>
    </row>
    <row r="1659" spans="1:6" x14ac:dyDescent="0.3">
      <c r="A1659" s="8" t="s">
        <v>3278</v>
      </c>
      <c r="B1659" s="8" t="s">
        <v>55263</v>
      </c>
      <c r="C1659" s="8" t="s">
        <v>3279</v>
      </c>
      <c r="D1659" s="8"/>
      <c r="E1659" s="6"/>
      <c r="F1659" s="6"/>
    </row>
    <row r="1660" spans="1:6" x14ac:dyDescent="0.3">
      <c r="A1660" s="8" t="s">
        <v>3280</v>
      </c>
      <c r="B1660" s="8" t="s">
        <v>55264</v>
      </c>
      <c r="C1660" s="8" t="s">
        <v>3281</v>
      </c>
      <c r="D1660" s="8"/>
      <c r="E1660" s="6"/>
      <c r="F1660" s="6"/>
    </row>
    <row r="1661" spans="1:6" x14ac:dyDescent="0.3">
      <c r="A1661" s="8" t="s">
        <v>3282</v>
      </c>
      <c r="B1661" s="8" t="s">
        <v>55265</v>
      </c>
      <c r="C1661" s="8" t="s">
        <v>3283</v>
      </c>
      <c r="D1661" s="8"/>
      <c r="E1661" s="6"/>
      <c r="F1661" s="6"/>
    </row>
    <row r="1662" spans="1:6" x14ac:dyDescent="0.3">
      <c r="A1662" s="8" t="s">
        <v>3284</v>
      </c>
      <c r="B1662" s="8" t="s">
        <v>55266</v>
      </c>
      <c r="C1662" s="8" t="s">
        <v>3285</v>
      </c>
      <c r="D1662" s="8"/>
      <c r="E1662" s="6"/>
      <c r="F1662" s="6"/>
    </row>
    <row r="1663" spans="1:6" x14ac:dyDescent="0.3">
      <c r="A1663" s="8" t="s">
        <v>3286</v>
      </c>
      <c r="B1663" s="8" t="s">
        <v>55267</v>
      </c>
      <c r="C1663" s="8" t="s">
        <v>3287</v>
      </c>
      <c r="D1663" s="8"/>
      <c r="E1663" s="6"/>
      <c r="F1663" s="6"/>
    </row>
    <row r="1664" spans="1:6" x14ac:dyDescent="0.3">
      <c r="A1664" s="8" t="s">
        <v>3288</v>
      </c>
      <c r="B1664" s="8" t="s">
        <v>55268</v>
      </c>
      <c r="C1664" s="8" t="s">
        <v>3289</v>
      </c>
      <c r="D1664" s="8"/>
      <c r="E1664" s="6"/>
      <c r="F1664" s="6"/>
    </row>
    <row r="1665" spans="1:6" x14ac:dyDescent="0.3">
      <c r="A1665" s="8" t="s">
        <v>3290</v>
      </c>
      <c r="B1665" s="8" t="s">
        <v>55269</v>
      </c>
      <c r="C1665" s="8" t="s">
        <v>3291</v>
      </c>
      <c r="D1665" s="8"/>
      <c r="E1665" s="6"/>
      <c r="F1665" s="6"/>
    </row>
    <row r="1666" spans="1:6" x14ac:dyDescent="0.3">
      <c r="A1666" s="8" t="s">
        <v>3292</v>
      </c>
      <c r="B1666" s="8" t="s">
        <v>55270</v>
      </c>
      <c r="C1666" s="8" t="s">
        <v>3293</v>
      </c>
      <c r="D1666" s="8"/>
      <c r="E1666" s="6"/>
      <c r="F1666" s="6"/>
    </row>
    <row r="1667" spans="1:6" x14ac:dyDescent="0.3">
      <c r="A1667" s="8" t="s">
        <v>3294</v>
      </c>
      <c r="B1667" s="8" t="s">
        <v>55271</v>
      </c>
      <c r="C1667" s="8" t="s">
        <v>3295</v>
      </c>
      <c r="D1667" s="8"/>
      <c r="E1667" s="6"/>
      <c r="F1667" s="6"/>
    </row>
    <row r="1668" spans="1:6" x14ac:dyDescent="0.3">
      <c r="A1668" s="8" t="s">
        <v>3296</v>
      </c>
      <c r="B1668" s="8" t="s">
        <v>55272</v>
      </c>
      <c r="C1668" s="8" t="s">
        <v>3297</v>
      </c>
      <c r="D1668" s="8"/>
      <c r="E1668" s="6"/>
      <c r="F1668" s="6"/>
    </row>
    <row r="1669" spans="1:6" x14ac:dyDescent="0.3">
      <c r="A1669" s="8" t="s">
        <v>3298</v>
      </c>
      <c r="B1669" s="8" t="s">
        <v>55273</v>
      </c>
      <c r="C1669" s="8" t="s">
        <v>3299</v>
      </c>
      <c r="D1669" s="8"/>
      <c r="E1669" s="6"/>
      <c r="F1669" s="6"/>
    </row>
    <row r="1670" spans="1:6" x14ac:dyDescent="0.3">
      <c r="A1670" s="8" t="s">
        <v>3300</v>
      </c>
      <c r="B1670" s="8" t="s">
        <v>55274</v>
      </c>
      <c r="C1670" s="8" t="s">
        <v>3301</v>
      </c>
      <c r="D1670" s="8"/>
      <c r="E1670" s="6"/>
      <c r="F1670" s="6"/>
    </row>
    <row r="1671" spans="1:6" x14ac:dyDescent="0.3">
      <c r="A1671" s="8" t="s">
        <v>3302</v>
      </c>
      <c r="B1671" s="8" t="s">
        <v>55275</v>
      </c>
      <c r="C1671" s="8" t="s">
        <v>3303</v>
      </c>
      <c r="D1671" s="8"/>
      <c r="E1671" s="6"/>
      <c r="F1671" s="6"/>
    </row>
    <row r="1672" spans="1:6" x14ac:dyDescent="0.3">
      <c r="A1672" s="8" t="s">
        <v>3304</v>
      </c>
      <c r="B1672" s="8" t="s">
        <v>55276</v>
      </c>
      <c r="C1672" s="8" t="s">
        <v>3305</v>
      </c>
      <c r="D1672" s="8"/>
      <c r="E1672" s="6"/>
      <c r="F1672" s="6"/>
    </row>
    <row r="1673" spans="1:6" x14ac:dyDescent="0.3">
      <c r="A1673" s="8" t="s">
        <v>3306</v>
      </c>
      <c r="B1673" s="8" t="s">
        <v>55277</v>
      </c>
      <c r="C1673" s="8" t="s">
        <v>3307</v>
      </c>
      <c r="D1673" s="8"/>
      <c r="E1673" s="6"/>
      <c r="F1673" s="6"/>
    </row>
    <row r="1674" spans="1:6" x14ac:dyDescent="0.3">
      <c r="A1674" s="8" t="s">
        <v>3308</v>
      </c>
      <c r="B1674" s="8" t="s">
        <v>55278</v>
      </c>
      <c r="C1674" s="8" t="s">
        <v>3309</v>
      </c>
      <c r="D1674" s="8"/>
      <c r="E1674" s="6"/>
      <c r="F1674" s="6"/>
    </row>
    <row r="1675" spans="1:6" x14ac:dyDescent="0.3">
      <c r="A1675" s="8" t="s">
        <v>3310</v>
      </c>
      <c r="B1675" s="8" t="s">
        <v>55279</v>
      </c>
      <c r="C1675" s="8" t="s">
        <v>3311</v>
      </c>
      <c r="D1675" s="8"/>
      <c r="E1675" s="6"/>
      <c r="F1675" s="6"/>
    </row>
    <row r="1676" spans="1:6" x14ac:dyDescent="0.3">
      <c r="A1676" s="8" t="s">
        <v>3312</v>
      </c>
      <c r="B1676" s="8" t="s">
        <v>55280</v>
      </c>
      <c r="C1676" s="8" t="s">
        <v>3313</v>
      </c>
      <c r="D1676" s="8"/>
      <c r="E1676" s="6"/>
      <c r="F1676" s="6"/>
    </row>
    <row r="1677" spans="1:6" x14ac:dyDescent="0.3">
      <c r="A1677" s="8" t="s">
        <v>3314</v>
      </c>
      <c r="B1677" s="8" t="s">
        <v>55281</v>
      </c>
      <c r="C1677" s="8" t="s">
        <v>3315</v>
      </c>
      <c r="D1677" s="8"/>
      <c r="E1677" s="6"/>
      <c r="F1677" s="6"/>
    </row>
    <row r="1678" spans="1:6" x14ac:dyDescent="0.3">
      <c r="A1678" s="8" t="s">
        <v>3316</v>
      </c>
      <c r="B1678" s="8" t="s">
        <v>55282</v>
      </c>
      <c r="C1678" s="8" t="s">
        <v>3317</v>
      </c>
      <c r="D1678" s="8"/>
      <c r="E1678" s="6"/>
      <c r="F1678" s="6"/>
    </row>
    <row r="1679" spans="1:6" x14ac:dyDescent="0.3">
      <c r="A1679" s="8" t="s">
        <v>3318</v>
      </c>
      <c r="B1679" s="8" t="s">
        <v>55283</v>
      </c>
      <c r="C1679" s="8" t="s">
        <v>3319</v>
      </c>
      <c r="D1679" s="8"/>
      <c r="E1679" s="6"/>
      <c r="F1679" s="6"/>
    </row>
    <row r="1680" spans="1:6" x14ac:dyDescent="0.3">
      <c r="A1680" s="8" t="s">
        <v>3320</v>
      </c>
      <c r="B1680" s="8" t="s">
        <v>55284</v>
      </c>
      <c r="C1680" s="8" t="s">
        <v>3321</v>
      </c>
      <c r="D1680" s="8"/>
      <c r="E1680" s="6"/>
      <c r="F1680" s="6"/>
    </row>
    <row r="1681" spans="1:6" x14ac:dyDescent="0.3">
      <c r="A1681" s="8" t="s">
        <v>3322</v>
      </c>
      <c r="B1681" s="8" t="s">
        <v>55285</v>
      </c>
      <c r="C1681" s="8" t="s">
        <v>3323</v>
      </c>
      <c r="D1681" s="8"/>
      <c r="E1681" s="6"/>
      <c r="F1681" s="6"/>
    </row>
    <row r="1682" spans="1:6" x14ac:dyDescent="0.3">
      <c r="A1682" s="8" t="s">
        <v>3324</v>
      </c>
      <c r="B1682" s="8" t="s">
        <v>55286</v>
      </c>
      <c r="C1682" s="8" t="s">
        <v>3325</v>
      </c>
      <c r="D1682" s="8"/>
      <c r="E1682" s="6"/>
      <c r="F1682" s="6"/>
    </row>
    <row r="1683" spans="1:6" x14ac:dyDescent="0.3">
      <c r="A1683" s="8" t="s">
        <v>3326</v>
      </c>
      <c r="B1683" s="8" t="s">
        <v>55287</v>
      </c>
      <c r="C1683" s="8" t="s">
        <v>3327</v>
      </c>
      <c r="D1683" s="8"/>
      <c r="E1683" s="6"/>
      <c r="F1683" s="6"/>
    </row>
    <row r="1684" spans="1:6" x14ac:dyDescent="0.3">
      <c r="A1684" s="8" t="s">
        <v>3328</v>
      </c>
      <c r="B1684" s="8" t="s">
        <v>55288</v>
      </c>
      <c r="C1684" s="8" t="s">
        <v>3329</v>
      </c>
      <c r="D1684" s="8"/>
      <c r="E1684" s="6"/>
      <c r="F1684" s="6"/>
    </row>
    <row r="1685" spans="1:6" x14ac:dyDescent="0.3">
      <c r="A1685" s="8" t="s">
        <v>3330</v>
      </c>
      <c r="B1685" s="8" t="s">
        <v>55289</v>
      </c>
      <c r="C1685" s="8" t="s">
        <v>3331</v>
      </c>
      <c r="D1685" s="8"/>
      <c r="E1685" s="6"/>
      <c r="F1685" s="6"/>
    </row>
    <row r="1686" spans="1:6" x14ac:dyDescent="0.3">
      <c r="A1686" s="8" t="s">
        <v>3332</v>
      </c>
      <c r="B1686" s="8" t="s">
        <v>55290</v>
      </c>
      <c r="C1686" s="8" t="s">
        <v>3333</v>
      </c>
      <c r="D1686" s="8"/>
      <c r="E1686" s="6"/>
      <c r="F1686" s="6"/>
    </row>
    <row r="1687" spans="1:6" x14ac:dyDescent="0.3">
      <c r="A1687" s="8" t="s">
        <v>3334</v>
      </c>
      <c r="B1687" s="8" t="s">
        <v>55291</v>
      </c>
      <c r="C1687" s="8" t="s">
        <v>3335</v>
      </c>
      <c r="D1687" s="8"/>
      <c r="E1687" s="6"/>
      <c r="F1687" s="6"/>
    </row>
    <row r="1688" spans="1:6" x14ac:dyDescent="0.3">
      <c r="A1688" s="8" t="s">
        <v>3336</v>
      </c>
      <c r="B1688" s="8" t="s">
        <v>55292</v>
      </c>
      <c r="C1688" s="8" t="s">
        <v>3337</v>
      </c>
      <c r="D1688" s="8"/>
      <c r="E1688" s="6"/>
      <c r="F1688" s="6"/>
    </row>
    <row r="1689" spans="1:6" x14ac:dyDescent="0.3">
      <c r="A1689" s="8" t="s">
        <v>3338</v>
      </c>
      <c r="B1689" s="8" t="s">
        <v>55293</v>
      </c>
      <c r="C1689" s="8" t="s">
        <v>3339</v>
      </c>
      <c r="D1689" s="8"/>
      <c r="E1689" s="6"/>
      <c r="F1689" s="6"/>
    </row>
    <row r="1690" spans="1:6" x14ac:dyDescent="0.3">
      <c r="A1690" s="8" t="s">
        <v>3340</v>
      </c>
      <c r="B1690" s="8" t="s">
        <v>55294</v>
      </c>
      <c r="C1690" s="8" t="s">
        <v>3341</v>
      </c>
      <c r="D1690" s="8"/>
      <c r="E1690" s="6"/>
      <c r="F1690" s="6"/>
    </row>
    <row r="1691" spans="1:6" x14ac:dyDescent="0.3">
      <c r="A1691" s="8" t="s">
        <v>3342</v>
      </c>
      <c r="B1691" s="8" t="s">
        <v>55295</v>
      </c>
      <c r="C1691" s="8" t="s">
        <v>3343</v>
      </c>
      <c r="D1691" s="8"/>
      <c r="E1691" s="6"/>
      <c r="F1691" s="6"/>
    </row>
    <row r="1692" spans="1:6" x14ac:dyDescent="0.3">
      <c r="A1692" s="8" t="s">
        <v>3344</v>
      </c>
      <c r="B1692" s="8" t="s">
        <v>55296</v>
      </c>
      <c r="C1692" s="8" t="s">
        <v>3345</v>
      </c>
      <c r="D1692" s="8"/>
      <c r="E1692" s="6"/>
      <c r="F1692" s="6"/>
    </row>
    <row r="1693" spans="1:6" x14ac:dyDescent="0.3">
      <c r="A1693" s="8" t="s">
        <v>3346</v>
      </c>
      <c r="B1693" s="8" t="s">
        <v>55297</v>
      </c>
      <c r="C1693" s="8" t="s">
        <v>3347</v>
      </c>
      <c r="D1693" s="8"/>
      <c r="E1693" s="6"/>
      <c r="F1693" s="6"/>
    </row>
    <row r="1694" spans="1:6" x14ac:dyDescent="0.3">
      <c r="A1694" s="8" t="s">
        <v>3348</v>
      </c>
      <c r="B1694" s="8" t="s">
        <v>55298</v>
      </c>
      <c r="C1694" s="8" t="s">
        <v>3349</v>
      </c>
      <c r="D1694" s="8"/>
      <c r="E1694" s="6"/>
      <c r="F1694" s="6"/>
    </row>
    <row r="1695" spans="1:6" x14ac:dyDescent="0.3">
      <c r="A1695" s="8" t="s">
        <v>3350</v>
      </c>
      <c r="B1695" s="8" t="s">
        <v>55299</v>
      </c>
      <c r="C1695" s="8" t="s">
        <v>3351</v>
      </c>
      <c r="D1695" s="8"/>
      <c r="E1695" s="6"/>
      <c r="F1695" s="6"/>
    </row>
    <row r="1696" spans="1:6" x14ac:dyDescent="0.3">
      <c r="A1696" s="8" t="s">
        <v>3352</v>
      </c>
      <c r="B1696" s="8" t="s">
        <v>55300</v>
      </c>
      <c r="C1696" s="8" t="s">
        <v>3353</v>
      </c>
      <c r="D1696" s="8"/>
      <c r="E1696" s="6"/>
      <c r="F1696" s="6"/>
    </row>
    <row r="1697" spans="1:6" x14ac:dyDescent="0.3">
      <c r="A1697" s="8" t="s">
        <v>3354</v>
      </c>
      <c r="B1697" s="8" t="s">
        <v>55301</v>
      </c>
      <c r="C1697" s="8" t="s">
        <v>3355</v>
      </c>
      <c r="D1697" s="8"/>
      <c r="E1697" s="6"/>
      <c r="F1697" s="6"/>
    </row>
    <row r="1698" spans="1:6" x14ac:dyDescent="0.3">
      <c r="A1698" s="8" t="s">
        <v>3356</v>
      </c>
      <c r="B1698" s="8" t="s">
        <v>55302</v>
      </c>
      <c r="C1698" s="8" t="s">
        <v>3357</v>
      </c>
      <c r="D1698" s="8"/>
      <c r="E1698" s="6"/>
      <c r="F1698" s="6"/>
    </row>
    <row r="1699" spans="1:6" ht="28.8" x14ac:dyDescent="0.3">
      <c r="A1699" s="8" t="s">
        <v>3358</v>
      </c>
      <c r="B1699" s="8" t="s">
        <v>55303</v>
      </c>
      <c r="C1699" s="8" t="s">
        <v>3359</v>
      </c>
      <c r="D1699" s="8"/>
      <c r="E1699" s="6"/>
      <c r="F1699" s="6"/>
    </row>
    <row r="1700" spans="1:6" x14ac:dyDescent="0.3">
      <c r="A1700" s="8" t="s">
        <v>3360</v>
      </c>
      <c r="B1700" s="8" t="s">
        <v>55304</v>
      </c>
      <c r="C1700" s="8" t="s">
        <v>3361</v>
      </c>
      <c r="D1700" s="8"/>
      <c r="E1700" s="6"/>
      <c r="F1700" s="6"/>
    </row>
    <row r="1701" spans="1:6" x14ac:dyDescent="0.3">
      <c r="A1701" s="8" t="s">
        <v>3362</v>
      </c>
      <c r="B1701" s="8" t="s">
        <v>55305</v>
      </c>
      <c r="C1701" s="8" t="s">
        <v>3363</v>
      </c>
      <c r="D1701" s="8"/>
      <c r="E1701" s="6"/>
      <c r="F1701" s="6"/>
    </row>
    <row r="1702" spans="1:6" x14ac:dyDescent="0.3">
      <c r="A1702" s="8" t="s">
        <v>3364</v>
      </c>
      <c r="B1702" s="8" t="s">
        <v>55306</v>
      </c>
      <c r="C1702" s="8" t="s">
        <v>3365</v>
      </c>
      <c r="D1702" s="8"/>
      <c r="E1702" s="6"/>
      <c r="F1702" s="6"/>
    </row>
    <row r="1703" spans="1:6" x14ac:dyDescent="0.3">
      <c r="A1703" s="8" t="s">
        <v>3366</v>
      </c>
      <c r="B1703" s="8" t="s">
        <v>55307</v>
      </c>
      <c r="C1703" s="8" t="s">
        <v>3367</v>
      </c>
      <c r="D1703" s="8"/>
      <c r="E1703" s="6"/>
      <c r="F1703" s="6"/>
    </row>
    <row r="1704" spans="1:6" x14ac:dyDescent="0.3">
      <c r="A1704" s="8" t="s">
        <v>3368</v>
      </c>
      <c r="B1704" s="8" t="s">
        <v>55308</v>
      </c>
      <c r="C1704" s="8" t="s">
        <v>3369</v>
      </c>
      <c r="D1704" s="8"/>
      <c r="E1704" s="6"/>
      <c r="F1704" s="6"/>
    </row>
    <row r="1705" spans="1:6" x14ac:dyDescent="0.3">
      <c r="A1705" s="8" t="s">
        <v>3370</v>
      </c>
      <c r="B1705" s="8" t="s">
        <v>55309</v>
      </c>
      <c r="C1705" s="8" t="s">
        <v>3371</v>
      </c>
      <c r="D1705" s="8"/>
      <c r="E1705" s="6"/>
      <c r="F1705" s="6"/>
    </row>
    <row r="1706" spans="1:6" x14ac:dyDescent="0.3">
      <c r="A1706" s="8" t="s">
        <v>3372</v>
      </c>
      <c r="B1706" s="8" t="s">
        <v>55310</v>
      </c>
      <c r="C1706" s="8" t="s">
        <v>3373</v>
      </c>
      <c r="D1706" s="8"/>
      <c r="E1706" s="6"/>
      <c r="F1706" s="6"/>
    </row>
    <row r="1707" spans="1:6" x14ac:dyDescent="0.3">
      <c r="A1707" s="8" t="s">
        <v>3374</v>
      </c>
      <c r="B1707" s="8" t="s">
        <v>55311</v>
      </c>
      <c r="C1707" s="8" t="s">
        <v>3375</v>
      </c>
      <c r="D1707" s="8"/>
      <c r="E1707" s="6"/>
      <c r="F1707" s="6"/>
    </row>
    <row r="1708" spans="1:6" x14ac:dyDescent="0.3">
      <c r="A1708" s="8" t="s">
        <v>3376</v>
      </c>
      <c r="B1708" s="8" t="s">
        <v>55312</v>
      </c>
      <c r="C1708" s="8" t="s">
        <v>3377</v>
      </c>
      <c r="D1708" s="8"/>
      <c r="E1708" s="6"/>
      <c r="F1708" s="6"/>
    </row>
    <row r="1709" spans="1:6" x14ac:dyDescent="0.3">
      <c r="A1709" s="8" t="s">
        <v>3378</v>
      </c>
      <c r="B1709" s="8" t="s">
        <v>55313</v>
      </c>
      <c r="C1709" s="8" t="s">
        <v>3379</v>
      </c>
      <c r="D1709" s="8"/>
      <c r="E1709" s="6"/>
      <c r="F1709" s="6"/>
    </row>
    <row r="1710" spans="1:6" x14ac:dyDescent="0.3">
      <c r="A1710" s="8" t="s">
        <v>3380</v>
      </c>
      <c r="B1710" s="8" t="s">
        <v>55314</v>
      </c>
      <c r="C1710" s="8" t="s">
        <v>3381</v>
      </c>
      <c r="D1710" s="8"/>
      <c r="E1710" s="6"/>
      <c r="F1710" s="6"/>
    </row>
    <row r="1711" spans="1:6" x14ac:dyDescent="0.3">
      <c r="A1711" s="8" t="s">
        <v>3382</v>
      </c>
      <c r="B1711" s="8" t="s">
        <v>55315</v>
      </c>
      <c r="C1711" s="8" t="s">
        <v>3383</v>
      </c>
      <c r="D1711" s="8"/>
      <c r="E1711" s="6"/>
      <c r="F1711" s="6"/>
    </row>
    <row r="1712" spans="1:6" x14ac:dyDescent="0.3">
      <c r="A1712" s="8" t="s">
        <v>3384</v>
      </c>
      <c r="B1712" s="8" t="s">
        <v>55316</v>
      </c>
      <c r="C1712" s="8" t="s">
        <v>3385</v>
      </c>
      <c r="D1712" s="8"/>
      <c r="E1712" s="6"/>
      <c r="F1712" s="6"/>
    </row>
    <row r="1713" spans="1:6" x14ac:dyDescent="0.3">
      <c r="A1713" s="8" t="s">
        <v>3386</v>
      </c>
      <c r="B1713" s="8" t="s">
        <v>55317</v>
      </c>
      <c r="C1713" s="8" t="s">
        <v>3387</v>
      </c>
      <c r="D1713" s="8"/>
      <c r="E1713" s="6"/>
      <c r="F1713" s="6"/>
    </row>
    <row r="1714" spans="1:6" x14ac:dyDescent="0.3">
      <c r="A1714" s="8" t="s">
        <v>3388</v>
      </c>
      <c r="B1714" s="8" t="s">
        <v>55318</v>
      </c>
      <c r="C1714" s="8" t="s">
        <v>3389</v>
      </c>
      <c r="D1714" s="8"/>
      <c r="E1714" s="6"/>
      <c r="F1714" s="6"/>
    </row>
    <row r="1715" spans="1:6" x14ac:dyDescent="0.3">
      <c r="A1715" s="8" t="s">
        <v>3390</v>
      </c>
      <c r="B1715" s="8" t="s">
        <v>55319</v>
      </c>
      <c r="C1715" s="8" t="s">
        <v>3391</v>
      </c>
      <c r="D1715" s="8"/>
      <c r="E1715" s="6"/>
      <c r="F1715" s="6"/>
    </row>
    <row r="1716" spans="1:6" x14ac:dyDescent="0.3">
      <c r="A1716" s="8" t="s">
        <v>3392</v>
      </c>
      <c r="B1716" s="8" t="s">
        <v>55320</v>
      </c>
      <c r="C1716" s="8" t="s">
        <v>3393</v>
      </c>
      <c r="D1716" s="8"/>
      <c r="E1716" s="6"/>
      <c r="F1716" s="6"/>
    </row>
    <row r="1717" spans="1:6" x14ac:dyDescent="0.3">
      <c r="A1717" s="8" t="s">
        <v>3394</v>
      </c>
      <c r="B1717" s="8" t="s">
        <v>55321</v>
      </c>
      <c r="C1717" s="8" t="s">
        <v>3395</v>
      </c>
      <c r="D1717" s="8"/>
      <c r="E1717" s="6"/>
      <c r="F1717" s="6"/>
    </row>
    <row r="1718" spans="1:6" x14ac:dyDescent="0.3">
      <c r="A1718" s="8" t="s">
        <v>3396</v>
      </c>
      <c r="B1718" s="8" t="s">
        <v>55322</v>
      </c>
      <c r="C1718" s="8" t="s">
        <v>3397</v>
      </c>
      <c r="D1718" s="8"/>
      <c r="E1718" s="6"/>
      <c r="F1718" s="6"/>
    </row>
    <row r="1719" spans="1:6" x14ac:dyDescent="0.3">
      <c r="A1719" s="8" t="s">
        <v>3398</v>
      </c>
      <c r="B1719" s="8" t="s">
        <v>55323</v>
      </c>
      <c r="C1719" s="8" t="s">
        <v>3399</v>
      </c>
      <c r="D1719" s="8"/>
      <c r="E1719" s="6"/>
      <c r="F1719" s="6"/>
    </row>
    <row r="1720" spans="1:6" x14ac:dyDescent="0.3">
      <c r="A1720" s="8" t="s">
        <v>3400</v>
      </c>
      <c r="B1720" s="8" t="s">
        <v>55324</v>
      </c>
      <c r="C1720" s="8" t="s">
        <v>3401</v>
      </c>
      <c r="D1720" s="8"/>
      <c r="E1720" s="6"/>
      <c r="F1720" s="6"/>
    </row>
    <row r="1721" spans="1:6" x14ac:dyDescent="0.3">
      <c r="A1721" s="8" t="s">
        <v>3402</v>
      </c>
      <c r="B1721" s="8" t="s">
        <v>55325</v>
      </c>
      <c r="C1721" s="8" t="s">
        <v>3403</v>
      </c>
      <c r="D1721" s="8"/>
      <c r="E1721" s="6"/>
      <c r="F1721" s="6"/>
    </row>
    <row r="1722" spans="1:6" x14ac:dyDescent="0.3">
      <c r="A1722" s="8" t="s">
        <v>3404</v>
      </c>
      <c r="B1722" s="8" t="s">
        <v>55326</v>
      </c>
      <c r="C1722" s="8" t="s">
        <v>3405</v>
      </c>
      <c r="D1722" s="8"/>
      <c r="E1722" s="6"/>
      <c r="F1722" s="6"/>
    </row>
    <row r="1723" spans="1:6" x14ac:dyDescent="0.3">
      <c r="A1723" s="8" t="s">
        <v>3406</v>
      </c>
      <c r="B1723" s="8" t="s">
        <v>55327</v>
      </c>
      <c r="C1723" s="8" t="s">
        <v>3407</v>
      </c>
      <c r="D1723" s="8"/>
      <c r="E1723" s="6"/>
      <c r="F1723" s="6"/>
    </row>
    <row r="1724" spans="1:6" x14ac:dyDescent="0.3">
      <c r="A1724" s="8" t="s">
        <v>3408</v>
      </c>
      <c r="B1724" s="8" t="s">
        <v>55328</v>
      </c>
      <c r="C1724" s="8" t="s">
        <v>3409</v>
      </c>
      <c r="D1724" s="8"/>
      <c r="E1724" s="6"/>
      <c r="F1724" s="6"/>
    </row>
    <row r="1725" spans="1:6" x14ac:dyDescent="0.3">
      <c r="A1725" s="8" t="s">
        <v>3410</v>
      </c>
      <c r="B1725" s="8" t="s">
        <v>55329</v>
      </c>
      <c r="C1725" s="8" t="s">
        <v>3411</v>
      </c>
      <c r="D1725" s="8"/>
      <c r="E1725" s="6"/>
      <c r="F1725" s="6"/>
    </row>
    <row r="1726" spans="1:6" x14ac:dyDescent="0.3">
      <c r="A1726" s="8" t="s">
        <v>3412</v>
      </c>
      <c r="B1726" s="8" t="s">
        <v>55330</v>
      </c>
      <c r="C1726" s="8" t="s">
        <v>3413</v>
      </c>
      <c r="D1726" s="8"/>
      <c r="E1726" s="6"/>
      <c r="F1726" s="6"/>
    </row>
    <row r="1727" spans="1:6" x14ac:dyDescent="0.3">
      <c r="A1727" s="8" t="s">
        <v>3414</v>
      </c>
      <c r="B1727" s="8" t="s">
        <v>55331</v>
      </c>
      <c r="C1727" s="8" t="s">
        <v>3415</v>
      </c>
      <c r="D1727" s="8"/>
      <c r="E1727" s="6"/>
      <c r="F1727" s="6"/>
    </row>
    <row r="1728" spans="1:6" x14ac:dyDescent="0.3">
      <c r="A1728" s="8" t="s">
        <v>3416</v>
      </c>
      <c r="B1728" s="8" t="s">
        <v>55332</v>
      </c>
      <c r="C1728" s="8" t="s">
        <v>3417</v>
      </c>
      <c r="D1728" s="8"/>
      <c r="E1728" s="6"/>
      <c r="F1728" s="6"/>
    </row>
    <row r="1729" spans="1:6" x14ac:dyDescent="0.3">
      <c r="A1729" s="8" t="s">
        <v>3418</v>
      </c>
      <c r="B1729" s="8" t="s">
        <v>55333</v>
      </c>
      <c r="C1729" s="8" t="s">
        <v>3419</v>
      </c>
      <c r="D1729" s="8"/>
      <c r="E1729" s="6"/>
      <c r="F1729" s="6"/>
    </row>
    <row r="1730" spans="1:6" x14ac:dyDescent="0.3">
      <c r="A1730" s="8" t="s">
        <v>3420</v>
      </c>
      <c r="B1730" s="8" t="s">
        <v>55334</v>
      </c>
      <c r="C1730" s="8" t="s">
        <v>3421</v>
      </c>
      <c r="D1730" s="8"/>
      <c r="E1730" s="6"/>
      <c r="F1730" s="6"/>
    </row>
    <row r="1731" spans="1:6" x14ac:dyDescent="0.3">
      <c r="A1731" s="8" t="s">
        <v>3422</v>
      </c>
      <c r="B1731" s="8" t="s">
        <v>55335</v>
      </c>
      <c r="C1731" s="8" t="s">
        <v>3423</v>
      </c>
      <c r="D1731" s="8"/>
      <c r="E1731" s="6"/>
      <c r="F1731" s="6"/>
    </row>
    <row r="1732" spans="1:6" x14ac:dyDescent="0.3">
      <c r="A1732" s="8" t="s">
        <v>3424</v>
      </c>
      <c r="B1732" s="8" t="s">
        <v>55336</v>
      </c>
      <c r="C1732" s="8" t="s">
        <v>3425</v>
      </c>
      <c r="D1732" s="8"/>
      <c r="E1732" s="6"/>
      <c r="F1732" s="6"/>
    </row>
    <row r="1733" spans="1:6" x14ac:dyDescent="0.3">
      <c r="A1733" s="8" t="s">
        <v>3426</v>
      </c>
      <c r="B1733" s="8" t="s">
        <v>55337</v>
      </c>
      <c r="C1733" s="8" t="s">
        <v>3427</v>
      </c>
      <c r="D1733" s="8"/>
      <c r="E1733" s="6"/>
      <c r="F1733" s="6"/>
    </row>
    <row r="1734" spans="1:6" x14ac:dyDescent="0.3">
      <c r="A1734" s="8" t="s">
        <v>3428</v>
      </c>
      <c r="B1734" s="8" t="s">
        <v>55338</v>
      </c>
      <c r="C1734" s="8" t="s">
        <v>3429</v>
      </c>
      <c r="D1734" s="8"/>
      <c r="E1734" s="6"/>
      <c r="F1734" s="6"/>
    </row>
    <row r="1735" spans="1:6" x14ac:dyDescent="0.3">
      <c r="A1735" s="8" t="s">
        <v>3430</v>
      </c>
      <c r="B1735" s="8" t="s">
        <v>55339</v>
      </c>
      <c r="C1735" s="8" t="s">
        <v>3431</v>
      </c>
      <c r="D1735" s="8"/>
      <c r="E1735" s="6"/>
      <c r="F1735" s="6"/>
    </row>
    <row r="1736" spans="1:6" x14ac:dyDescent="0.3">
      <c r="A1736" s="8" t="s">
        <v>3432</v>
      </c>
      <c r="B1736" s="8" t="s">
        <v>55340</v>
      </c>
      <c r="C1736" s="8" t="s">
        <v>3433</v>
      </c>
      <c r="D1736" s="8"/>
      <c r="E1736" s="6"/>
      <c r="F1736" s="6"/>
    </row>
    <row r="1737" spans="1:6" x14ac:dyDescent="0.3">
      <c r="A1737" s="8" t="s">
        <v>3434</v>
      </c>
      <c r="B1737" s="8" t="s">
        <v>55341</v>
      </c>
      <c r="C1737" s="8" t="s">
        <v>3435</v>
      </c>
      <c r="D1737" s="8"/>
      <c r="E1737" s="6"/>
      <c r="F1737" s="6"/>
    </row>
    <row r="1738" spans="1:6" x14ac:dyDescent="0.3">
      <c r="A1738" s="8" t="s">
        <v>3436</v>
      </c>
      <c r="B1738" s="8" t="s">
        <v>55342</v>
      </c>
      <c r="C1738" s="8" t="s">
        <v>3437</v>
      </c>
      <c r="D1738" s="8"/>
      <c r="E1738" s="6"/>
      <c r="F1738" s="6"/>
    </row>
    <row r="1739" spans="1:6" x14ac:dyDescent="0.3">
      <c r="A1739" s="8" t="s">
        <v>3438</v>
      </c>
      <c r="B1739" s="8" t="s">
        <v>55343</v>
      </c>
      <c r="C1739" s="8" t="s">
        <v>3439</v>
      </c>
      <c r="D1739" s="8"/>
      <c r="E1739" s="6"/>
      <c r="F1739" s="6"/>
    </row>
    <row r="1740" spans="1:6" x14ac:dyDescent="0.3">
      <c r="A1740" s="8" t="s">
        <v>3440</v>
      </c>
      <c r="B1740" s="8" t="s">
        <v>55344</v>
      </c>
      <c r="C1740" s="8" t="s">
        <v>3441</v>
      </c>
      <c r="D1740" s="8"/>
      <c r="E1740" s="6"/>
      <c r="F1740" s="6"/>
    </row>
    <row r="1741" spans="1:6" x14ac:dyDescent="0.3">
      <c r="A1741" s="8" t="s">
        <v>3442</v>
      </c>
      <c r="B1741" s="8" t="s">
        <v>55345</v>
      </c>
      <c r="C1741" s="8" t="s">
        <v>3443</v>
      </c>
      <c r="D1741" s="8"/>
      <c r="E1741" s="6"/>
      <c r="F1741" s="6"/>
    </row>
    <row r="1742" spans="1:6" x14ac:dyDescent="0.3">
      <c r="A1742" s="8" t="s">
        <v>3444</v>
      </c>
      <c r="B1742" s="8" t="s">
        <v>55346</v>
      </c>
      <c r="C1742" s="8" t="s">
        <v>3445</v>
      </c>
      <c r="D1742" s="8"/>
      <c r="E1742" s="6"/>
      <c r="F1742" s="6"/>
    </row>
    <row r="1743" spans="1:6" x14ac:dyDescent="0.3">
      <c r="A1743" s="8" t="s">
        <v>3446</v>
      </c>
      <c r="B1743" s="8" t="s">
        <v>55347</v>
      </c>
      <c r="C1743" s="8" t="s">
        <v>3447</v>
      </c>
      <c r="D1743" s="8"/>
      <c r="E1743" s="6"/>
      <c r="F1743" s="6"/>
    </row>
    <row r="1744" spans="1:6" x14ac:dyDescent="0.3">
      <c r="A1744" s="8" t="s">
        <v>3448</v>
      </c>
      <c r="B1744" s="8" t="s">
        <v>55348</v>
      </c>
      <c r="C1744" s="8" t="s">
        <v>3449</v>
      </c>
      <c r="D1744" s="8"/>
      <c r="E1744" s="6"/>
      <c r="F1744" s="6"/>
    </row>
    <row r="1745" spans="1:6" x14ac:dyDescent="0.3">
      <c r="A1745" s="8" t="s">
        <v>3450</v>
      </c>
      <c r="B1745" s="8" t="s">
        <v>55349</v>
      </c>
      <c r="C1745" s="8" t="s">
        <v>3451</v>
      </c>
      <c r="D1745" s="8"/>
      <c r="E1745" s="6"/>
      <c r="F1745" s="6"/>
    </row>
    <row r="1746" spans="1:6" x14ac:dyDescent="0.3">
      <c r="A1746" s="8" t="s">
        <v>3452</v>
      </c>
      <c r="B1746" s="8" t="s">
        <v>55350</v>
      </c>
      <c r="C1746" s="8" t="s">
        <v>3453</v>
      </c>
      <c r="D1746" s="8"/>
      <c r="E1746" s="6"/>
      <c r="F1746" s="6"/>
    </row>
    <row r="1747" spans="1:6" x14ac:dyDescent="0.3">
      <c r="A1747" s="8" t="s">
        <v>3454</v>
      </c>
      <c r="B1747" s="8" t="s">
        <v>55351</v>
      </c>
      <c r="C1747" s="8" t="s">
        <v>3455</v>
      </c>
      <c r="D1747" s="8"/>
      <c r="E1747" s="6"/>
      <c r="F1747" s="6"/>
    </row>
    <row r="1748" spans="1:6" x14ac:dyDescent="0.3">
      <c r="A1748" s="8" t="s">
        <v>3456</v>
      </c>
      <c r="B1748" s="8" t="s">
        <v>55352</v>
      </c>
      <c r="C1748" s="8" t="s">
        <v>3457</v>
      </c>
      <c r="D1748" s="8"/>
      <c r="E1748" s="6"/>
      <c r="F1748" s="6"/>
    </row>
    <row r="1749" spans="1:6" x14ac:dyDescent="0.3">
      <c r="A1749" s="8" t="s">
        <v>3458</v>
      </c>
      <c r="B1749" s="8" t="s">
        <v>55353</v>
      </c>
      <c r="C1749" s="8" t="s">
        <v>3459</v>
      </c>
      <c r="D1749" s="8"/>
      <c r="E1749" s="6"/>
      <c r="F1749" s="6"/>
    </row>
    <row r="1750" spans="1:6" x14ac:dyDescent="0.3">
      <c r="A1750" s="8" t="s">
        <v>3460</v>
      </c>
      <c r="B1750" s="8" t="s">
        <v>55354</v>
      </c>
      <c r="C1750" s="8" t="s">
        <v>3461</v>
      </c>
      <c r="D1750" s="8"/>
      <c r="E1750" s="6"/>
      <c r="F1750" s="6"/>
    </row>
    <row r="1751" spans="1:6" x14ac:dyDescent="0.3">
      <c r="A1751" s="8" t="s">
        <v>3462</v>
      </c>
      <c r="B1751" s="8" t="s">
        <v>55355</v>
      </c>
      <c r="C1751" s="8" t="s">
        <v>3463</v>
      </c>
      <c r="D1751" s="8"/>
      <c r="E1751" s="6"/>
      <c r="F1751" s="6"/>
    </row>
    <row r="1752" spans="1:6" x14ac:dyDescent="0.3">
      <c r="A1752" s="8" t="s">
        <v>3464</v>
      </c>
      <c r="B1752" s="8" t="s">
        <v>55356</v>
      </c>
      <c r="C1752" s="8" t="s">
        <v>3465</v>
      </c>
      <c r="D1752" s="8"/>
      <c r="E1752" s="6"/>
      <c r="F1752" s="6"/>
    </row>
    <row r="1753" spans="1:6" x14ac:dyDescent="0.3">
      <c r="A1753" s="8" t="s">
        <v>3466</v>
      </c>
      <c r="B1753" s="8" t="s">
        <v>55357</v>
      </c>
      <c r="C1753" s="8" t="s">
        <v>3467</v>
      </c>
      <c r="D1753" s="8"/>
      <c r="E1753" s="6"/>
      <c r="F1753" s="6"/>
    </row>
    <row r="1754" spans="1:6" x14ac:dyDescent="0.3">
      <c r="A1754" s="8" t="s">
        <v>3468</v>
      </c>
      <c r="B1754" s="8" t="s">
        <v>55358</v>
      </c>
      <c r="C1754" s="8" t="s">
        <v>3469</v>
      </c>
      <c r="D1754" s="8"/>
      <c r="E1754" s="6"/>
      <c r="F1754" s="6"/>
    </row>
    <row r="1755" spans="1:6" x14ac:dyDescent="0.3">
      <c r="A1755" s="8" t="s">
        <v>3470</v>
      </c>
      <c r="B1755" s="8" t="s">
        <v>55359</v>
      </c>
      <c r="C1755" s="8" t="s">
        <v>3471</v>
      </c>
      <c r="D1755" s="8"/>
      <c r="E1755" s="6"/>
      <c r="F1755" s="6"/>
    </row>
    <row r="1756" spans="1:6" x14ac:dyDescent="0.3">
      <c r="A1756" s="8" t="s">
        <v>3472</v>
      </c>
      <c r="B1756" s="8" t="s">
        <v>55360</v>
      </c>
      <c r="C1756" s="8" t="s">
        <v>3473</v>
      </c>
      <c r="D1756" s="8"/>
      <c r="E1756" s="6"/>
      <c r="F1756" s="6"/>
    </row>
    <row r="1757" spans="1:6" x14ac:dyDescent="0.3">
      <c r="A1757" s="8" t="s">
        <v>3474</v>
      </c>
      <c r="B1757" s="8" t="s">
        <v>55361</v>
      </c>
      <c r="C1757" s="8" t="s">
        <v>3475</v>
      </c>
      <c r="D1757" s="8"/>
      <c r="E1757" s="6"/>
      <c r="F1757" s="6"/>
    </row>
    <row r="1758" spans="1:6" x14ac:dyDescent="0.3">
      <c r="A1758" s="8" t="s">
        <v>3476</v>
      </c>
      <c r="B1758" s="8" t="s">
        <v>55362</v>
      </c>
      <c r="C1758" s="8" t="s">
        <v>3477</v>
      </c>
      <c r="D1758" s="8"/>
      <c r="E1758" s="6"/>
      <c r="F1758" s="6"/>
    </row>
    <row r="1759" spans="1:6" x14ac:dyDescent="0.3">
      <c r="A1759" s="8" t="s">
        <v>3478</v>
      </c>
      <c r="B1759" s="8" t="s">
        <v>55363</v>
      </c>
      <c r="C1759" s="8" t="s">
        <v>3479</v>
      </c>
      <c r="D1759" s="8"/>
      <c r="E1759" s="6"/>
      <c r="F1759" s="6"/>
    </row>
    <row r="1760" spans="1:6" x14ac:dyDescent="0.3">
      <c r="A1760" s="8" t="s">
        <v>3480</v>
      </c>
      <c r="B1760" s="8" t="s">
        <v>55364</v>
      </c>
      <c r="C1760" s="8" t="s">
        <v>3481</v>
      </c>
      <c r="D1760" s="8"/>
      <c r="E1760" s="6"/>
      <c r="F1760" s="6"/>
    </row>
    <row r="1761" spans="1:6" x14ac:dyDescent="0.3">
      <c r="A1761" s="8" t="s">
        <v>3482</v>
      </c>
      <c r="B1761" s="8" t="s">
        <v>55365</v>
      </c>
      <c r="C1761" s="8" t="s">
        <v>3483</v>
      </c>
      <c r="D1761" s="8"/>
      <c r="E1761" s="6"/>
      <c r="F1761" s="6"/>
    </row>
    <row r="1762" spans="1:6" x14ac:dyDescent="0.3">
      <c r="A1762" s="8" t="s">
        <v>3484</v>
      </c>
      <c r="B1762" s="8" t="s">
        <v>55366</v>
      </c>
      <c r="C1762" s="8" t="s">
        <v>3485</v>
      </c>
      <c r="D1762" s="8"/>
      <c r="E1762" s="6"/>
      <c r="F1762" s="6"/>
    </row>
    <row r="1763" spans="1:6" x14ac:dyDescent="0.3">
      <c r="A1763" s="8" t="s">
        <v>3486</v>
      </c>
      <c r="B1763" s="8" t="s">
        <v>55367</v>
      </c>
      <c r="C1763" s="8" t="s">
        <v>3487</v>
      </c>
      <c r="D1763" s="8"/>
      <c r="E1763" s="6"/>
      <c r="F1763" s="6"/>
    </row>
    <row r="1764" spans="1:6" x14ac:dyDescent="0.3">
      <c r="A1764" s="8" t="s">
        <v>3488</v>
      </c>
      <c r="B1764" s="8" t="s">
        <v>55368</v>
      </c>
      <c r="C1764" s="8" t="s">
        <v>3489</v>
      </c>
      <c r="D1764" s="8"/>
      <c r="E1764" s="6"/>
      <c r="F1764" s="6"/>
    </row>
    <row r="1765" spans="1:6" x14ac:dyDescent="0.3">
      <c r="A1765" s="8" t="s">
        <v>3490</v>
      </c>
      <c r="B1765" s="8" t="s">
        <v>55369</v>
      </c>
      <c r="C1765" s="8" t="s">
        <v>3491</v>
      </c>
      <c r="D1765" s="8"/>
      <c r="E1765" s="6"/>
      <c r="F1765" s="6"/>
    </row>
    <row r="1766" spans="1:6" x14ac:dyDescent="0.3">
      <c r="A1766" s="8" t="s">
        <v>3492</v>
      </c>
      <c r="B1766" s="8" t="s">
        <v>55370</v>
      </c>
      <c r="C1766" s="8" t="s">
        <v>3493</v>
      </c>
      <c r="D1766" s="8"/>
      <c r="E1766" s="6"/>
      <c r="F1766" s="6"/>
    </row>
    <row r="1767" spans="1:6" x14ac:dyDescent="0.3">
      <c r="A1767" s="8" t="s">
        <v>3494</v>
      </c>
      <c r="B1767" s="8" t="s">
        <v>55371</v>
      </c>
      <c r="C1767" s="8" t="s">
        <v>3495</v>
      </c>
      <c r="D1767" s="8"/>
      <c r="E1767" s="6"/>
      <c r="F1767" s="6"/>
    </row>
    <row r="1768" spans="1:6" x14ac:dyDescent="0.3">
      <c r="A1768" s="8" t="s">
        <v>3496</v>
      </c>
      <c r="B1768" s="8" t="s">
        <v>55372</v>
      </c>
      <c r="C1768" s="8" t="s">
        <v>3497</v>
      </c>
      <c r="D1768" s="8"/>
      <c r="E1768" s="6"/>
      <c r="F1768" s="6"/>
    </row>
    <row r="1769" spans="1:6" x14ac:dyDescent="0.3">
      <c r="A1769" s="8" t="s">
        <v>3498</v>
      </c>
      <c r="B1769" s="8" t="s">
        <v>55373</v>
      </c>
      <c r="C1769" s="8" t="s">
        <v>3499</v>
      </c>
      <c r="D1769" s="8"/>
      <c r="E1769" s="6"/>
      <c r="F1769" s="6"/>
    </row>
    <row r="1770" spans="1:6" x14ac:dyDescent="0.3">
      <c r="A1770" s="8" t="s">
        <v>3500</v>
      </c>
      <c r="B1770" s="8" t="s">
        <v>55374</v>
      </c>
      <c r="C1770" s="8" t="s">
        <v>3501</v>
      </c>
      <c r="D1770" s="8"/>
      <c r="E1770" s="6"/>
      <c r="F1770" s="6"/>
    </row>
    <row r="1771" spans="1:6" x14ac:dyDescent="0.3">
      <c r="A1771" s="8" t="s">
        <v>3502</v>
      </c>
      <c r="B1771" s="8" t="s">
        <v>55375</v>
      </c>
      <c r="C1771" s="8" t="s">
        <v>3503</v>
      </c>
      <c r="D1771" s="8"/>
      <c r="E1771" s="6"/>
      <c r="F1771" s="6"/>
    </row>
    <row r="1772" spans="1:6" x14ac:dyDescent="0.3">
      <c r="A1772" s="8" t="s">
        <v>3504</v>
      </c>
      <c r="B1772" s="8" t="s">
        <v>55376</v>
      </c>
      <c r="C1772" s="8" t="s">
        <v>3505</v>
      </c>
      <c r="D1772" s="8"/>
      <c r="E1772" s="6"/>
      <c r="F1772" s="6"/>
    </row>
    <row r="1773" spans="1:6" x14ac:dyDescent="0.3">
      <c r="A1773" s="8" t="s">
        <v>3506</v>
      </c>
      <c r="B1773" s="8" t="s">
        <v>55377</v>
      </c>
      <c r="C1773" s="8" t="s">
        <v>3507</v>
      </c>
      <c r="D1773" s="8"/>
      <c r="E1773" s="6"/>
      <c r="F1773" s="6"/>
    </row>
    <row r="1774" spans="1:6" x14ac:dyDescent="0.3">
      <c r="A1774" s="8" t="s">
        <v>3508</v>
      </c>
      <c r="B1774" s="8" t="s">
        <v>55378</v>
      </c>
      <c r="C1774" s="8" t="s">
        <v>3509</v>
      </c>
      <c r="D1774" s="8"/>
      <c r="E1774" s="6"/>
      <c r="F1774" s="6"/>
    </row>
    <row r="1775" spans="1:6" x14ac:dyDescent="0.3">
      <c r="A1775" s="8" t="s">
        <v>3510</v>
      </c>
      <c r="B1775" s="8" t="s">
        <v>55379</v>
      </c>
      <c r="C1775" s="8" t="s">
        <v>3511</v>
      </c>
      <c r="D1775" s="8"/>
      <c r="E1775" s="6"/>
      <c r="F1775" s="6"/>
    </row>
    <row r="1776" spans="1:6" x14ac:dyDescent="0.3">
      <c r="A1776" s="8" t="s">
        <v>3512</v>
      </c>
      <c r="B1776" s="8" t="s">
        <v>55380</v>
      </c>
      <c r="C1776" s="8" t="s">
        <v>3513</v>
      </c>
      <c r="D1776" s="8"/>
      <c r="E1776" s="6"/>
      <c r="F1776" s="6"/>
    </row>
    <row r="1777" spans="1:6" x14ac:dyDescent="0.3">
      <c r="A1777" s="8" t="s">
        <v>3514</v>
      </c>
      <c r="B1777" s="8" t="s">
        <v>55381</v>
      </c>
      <c r="C1777" s="8" t="s">
        <v>3515</v>
      </c>
      <c r="D1777" s="8"/>
      <c r="E1777" s="6"/>
      <c r="F1777" s="6"/>
    </row>
    <row r="1778" spans="1:6" x14ac:dyDescent="0.3">
      <c r="A1778" s="8" t="s">
        <v>3516</v>
      </c>
      <c r="B1778" s="8" t="s">
        <v>55382</v>
      </c>
      <c r="C1778" s="8" t="s">
        <v>3517</v>
      </c>
      <c r="D1778" s="8"/>
      <c r="E1778" s="6"/>
      <c r="F1778" s="6"/>
    </row>
    <row r="1779" spans="1:6" x14ac:dyDescent="0.3">
      <c r="A1779" s="8" t="s">
        <v>3518</v>
      </c>
      <c r="B1779" s="8" t="s">
        <v>55383</v>
      </c>
      <c r="C1779" s="8" t="s">
        <v>3519</v>
      </c>
      <c r="D1779" s="8"/>
      <c r="E1779" s="6"/>
      <c r="F1779" s="6"/>
    </row>
    <row r="1780" spans="1:6" x14ac:dyDescent="0.3">
      <c r="A1780" s="8" t="s">
        <v>3520</v>
      </c>
      <c r="B1780" s="8" t="s">
        <v>55384</v>
      </c>
      <c r="C1780" s="8" t="s">
        <v>3521</v>
      </c>
      <c r="D1780" s="8"/>
      <c r="E1780" s="6"/>
      <c r="F1780" s="6"/>
    </row>
    <row r="1781" spans="1:6" x14ac:dyDescent="0.3">
      <c r="A1781" s="8" t="s">
        <v>3522</v>
      </c>
      <c r="B1781" s="8" t="s">
        <v>55385</v>
      </c>
      <c r="C1781" s="8" t="s">
        <v>3523</v>
      </c>
      <c r="D1781" s="8"/>
      <c r="E1781" s="6"/>
      <c r="F1781" s="6"/>
    </row>
    <row r="1782" spans="1:6" x14ac:dyDescent="0.3">
      <c r="A1782" s="8" t="s">
        <v>3524</v>
      </c>
      <c r="B1782" s="8" t="s">
        <v>55386</v>
      </c>
      <c r="C1782" s="8" t="s">
        <v>3525</v>
      </c>
      <c r="D1782" s="8"/>
      <c r="E1782" s="6"/>
      <c r="F1782" s="6"/>
    </row>
    <row r="1783" spans="1:6" x14ac:dyDescent="0.3">
      <c r="A1783" s="8" t="s">
        <v>3526</v>
      </c>
      <c r="B1783" s="8" t="s">
        <v>55387</v>
      </c>
      <c r="C1783" s="8" t="s">
        <v>3527</v>
      </c>
      <c r="D1783" s="8"/>
      <c r="E1783" s="6"/>
      <c r="F1783" s="6"/>
    </row>
    <row r="1784" spans="1:6" x14ac:dyDescent="0.3">
      <c r="A1784" s="8" t="s">
        <v>3528</v>
      </c>
      <c r="B1784" s="8" t="s">
        <v>55388</v>
      </c>
      <c r="C1784" s="8" t="s">
        <v>3529</v>
      </c>
      <c r="D1784" s="8"/>
      <c r="E1784" s="6"/>
      <c r="F1784" s="6"/>
    </row>
    <row r="1785" spans="1:6" x14ac:dyDescent="0.3">
      <c r="A1785" s="8" t="s">
        <v>3530</v>
      </c>
      <c r="B1785" s="8" t="s">
        <v>55389</v>
      </c>
      <c r="C1785" s="8" t="s">
        <v>3531</v>
      </c>
      <c r="D1785" s="8"/>
      <c r="E1785" s="6"/>
      <c r="F1785" s="6"/>
    </row>
    <row r="1786" spans="1:6" x14ac:dyDescent="0.3">
      <c r="A1786" s="8" t="s">
        <v>3532</v>
      </c>
      <c r="B1786" s="8" t="s">
        <v>55390</v>
      </c>
      <c r="C1786" s="8" t="s">
        <v>3533</v>
      </c>
      <c r="D1786" s="8"/>
      <c r="E1786" s="6"/>
      <c r="F1786" s="6"/>
    </row>
    <row r="1787" spans="1:6" x14ac:dyDescent="0.3">
      <c r="A1787" s="8" t="s">
        <v>3534</v>
      </c>
      <c r="B1787" s="8" t="s">
        <v>55391</v>
      </c>
      <c r="C1787" s="8" t="s">
        <v>3535</v>
      </c>
      <c r="D1787" s="8"/>
      <c r="E1787" s="6"/>
      <c r="F1787" s="6"/>
    </row>
    <row r="1788" spans="1:6" x14ac:dyDescent="0.3">
      <c r="A1788" s="8" t="s">
        <v>3536</v>
      </c>
      <c r="B1788" s="8" t="s">
        <v>55392</v>
      </c>
      <c r="C1788" s="8" t="s">
        <v>3537</v>
      </c>
      <c r="D1788" s="8"/>
      <c r="E1788" s="6"/>
      <c r="F1788" s="6"/>
    </row>
    <row r="1789" spans="1:6" x14ac:dyDescent="0.3">
      <c r="A1789" s="8" t="s">
        <v>3538</v>
      </c>
      <c r="B1789" s="8" t="s">
        <v>55393</v>
      </c>
      <c r="C1789" s="8" t="s">
        <v>3539</v>
      </c>
      <c r="D1789" s="8"/>
      <c r="E1789" s="6"/>
      <c r="F1789" s="6"/>
    </row>
    <row r="1790" spans="1:6" x14ac:dyDescent="0.3">
      <c r="A1790" s="8" t="s">
        <v>3540</v>
      </c>
      <c r="B1790" s="8" t="s">
        <v>55394</v>
      </c>
      <c r="C1790" s="8" t="s">
        <v>3541</v>
      </c>
      <c r="D1790" s="8"/>
      <c r="E1790" s="6"/>
      <c r="F1790" s="6"/>
    </row>
    <row r="1791" spans="1:6" x14ac:dyDescent="0.3">
      <c r="A1791" s="8" t="s">
        <v>3542</v>
      </c>
      <c r="B1791" s="8" t="s">
        <v>55395</v>
      </c>
      <c r="C1791" s="8" t="s">
        <v>3543</v>
      </c>
      <c r="D1791" s="8"/>
      <c r="E1791" s="6"/>
      <c r="F1791" s="6"/>
    </row>
    <row r="1792" spans="1:6" x14ac:dyDescent="0.3">
      <c r="A1792" s="8" t="s">
        <v>3544</v>
      </c>
      <c r="B1792" s="8" t="s">
        <v>55396</v>
      </c>
      <c r="C1792" s="8" t="s">
        <v>3545</v>
      </c>
      <c r="D1792" s="8"/>
      <c r="E1792" s="6"/>
      <c r="F1792" s="6"/>
    </row>
    <row r="1793" spans="1:6" x14ac:dyDescent="0.3">
      <c r="A1793" s="8" t="s">
        <v>3546</v>
      </c>
      <c r="B1793" s="8" t="s">
        <v>55397</v>
      </c>
      <c r="C1793" s="8" t="s">
        <v>3547</v>
      </c>
      <c r="D1793" s="8"/>
      <c r="E1793" s="6"/>
      <c r="F1793" s="6"/>
    </row>
    <row r="1794" spans="1:6" x14ac:dyDescent="0.3">
      <c r="A1794" s="8" t="s">
        <v>3548</v>
      </c>
      <c r="B1794" s="8" t="s">
        <v>55398</v>
      </c>
      <c r="C1794" s="8" t="s">
        <v>3549</v>
      </c>
      <c r="D1794" s="8"/>
      <c r="E1794" s="6"/>
      <c r="F1794" s="6"/>
    </row>
    <row r="1795" spans="1:6" x14ac:dyDescent="0.3">
      <c r="A1795" s="8" t="s">
        <v>3550</v>
      </c>
      <c r="B1795" s="8" t="s">
        <v>55399</v>
      </c>
      <c r="C1795" s="8" t="s">
        <v>3551</v>
      </c>
      <c r="D1795" s="8"/>
      <c r="E1795" s="6"/>
      <c r="F1795" s="6"/>
    </row>
    <row r="1796" spans="1:6" x14ac:dyDescent="0.3">
      <c r="A1796" s="8" t="s">
        <v>3552</v>
      </c>
      <c r="B1796" s="8" t="s">
        <v>55400</v>
      </c>
      <c r="C1796" s="8" t="s">
        <v>3553</v>
      </c>
      <c r="D1796" s="8"/>
      <c r="E1796" s="6"/>
      <c r="F1796" s="6"/>
    </row>
    <row r="1797" spans="1:6" x14ac:dyDescent="0.3">
      <c r="A1797" s="8" t="s">
        <v>3554</v>
      </c>
      <c r="B1797" s="8" t="s">
        <v>55401</v>
      </c>
      <c r="C1797" s="8" t="s">
        <v>3555</v>
      </c>
      <c r="D1797" s="8"/>
      <c r="E1797" s="6"/>
      <c r="F1797" s="6"/>
    </row>
    <row r="1798" spans="1:6" x14ac:dyDescent="0.3">
      <c r="A1798" s="8" t="s">
        <v>3556</v>
      </c>
      <c r="B1798" s="8" t="s">
        <v>55402</v>
      </c>
      <c r="C1798" s="8" t="s">
        <v>3557</v>
      </c>
      <c r="D1798" s="8"/>
      <c r="E1798" s="6"/>
      <c r="F1798" s="6"/>
    </row>
    <row r="1799" spans="1:6" x14ac:dyDescent="0.3">
      <c r="A1799" s="8" t="s">
        <v>3558</v>
      </c>
      <c r="B1799" s="8" t="s">
        <v>55403</v>
      </c>
      <c r="C1799" s="8" t="s">
        <v>3559</v>
      </c>
      <c r="D1799" s="8"/>
      <c r="E1799" s="6"/>
      <c r="F1799" s="6"/>
    </row>
    <row r="1800" spans="1:6" x14ac:dyDescent="0.3">
      <c r="A1800" s="8" t="s">
        <v>3560</v>
      </c>
      <c r="B1800" s="8" t="s">
        <v>55404</v>
      </c>
      <c r="C1800" s="8" t="s">
        <v>3561</v>
      </c>
      <c r="D1800" s="8"/>
      <c r="E1800" s="6"/>
      <c r="F1800" s="6"/>
    </row>
    <row r="1801" spans="1:6" x14ac:dyDescent="0.3">
      <c r="A1801" s="8" t="s">
        <v>3562</v>
      </c>
      <c r="B1801" s="8" t="s">
        <v>55405</v>
      </c>
      <c r="C1801" s="8" t="s">
        <v>3563</v>
      </c>
      <c r="D1801" s="8"/>
      <c r="E1801" s="6"/>
      <c r="F1801" s="6"/>
    </row>
    <row r="1802" spans="1:6" x14ac:dyDescent="0.3">
      <c r="A1802" s="8" t="s">
        <v>3564</v>
      </c>
      <c r="B1802" s="8" t="s">
        <v>55406</v>
      </c>
      <c r="C1802" s="8" t="s">
        <v>3565</v>
      </c>
      <c r="D1802" s="8"/>
      <c r="E1802" s="6"/>
      <c r="F1802" s="6"/>
    </row>
    <row r="1803" spans="1:6" x14ac:dyDescent="0.3">
      <c r="A1803" s="8" t="s">
        <v>3566</v>
      </c>
      <c r="B1803" s="8" t="s">
        <v>55407</v>
      </c>
      <c r="C1803" s="8" t="s">
        <v>3567</v>
      </c>
      <c r="D1803" s="8"/>
      <c r="E1803" s="6"/>
      <c r="F1803" s="6"/>
    </row>
    <row r="1804" spans="1:6" x14ac:dyDescent="0.3">
      <c r="A1804" s="8" t="s">
        <v>3568</v>
      </c>
      <c r="B1804" s="8" t="s">
        <v>55408</v>
      </c>
      <c r="C1804" s="8" t="s">
        <v>3569</v>
      </c>
      <c r="D1804" s="8"/>
      <c r="E1804" s="6"/>
      <c r="F1804" s="6"/>
    </row>
    <row r="1805" spans="1:6" x14ac:dyDescent="0.3">
      <c r="A1805" s="8" t="s">
        <v>3570</v>
      </c>
      <c r="B1805" s="8" t="s">
        <v>55409</v>
      </c>
      <c r="C1805" s="8" t="s">
        <v>3571</v>
      </c>
      <c r="D1805" s="8"/>
      <c r="E1805" s="6"/>
      <c r="F1805" s="6"/>
    </row>
    <row r="1806" spans="1:6" x14ac:dyDescent="0.3">
      <c r="A1806" s="8" t="s">
        <v>3572</v>
      </c>
      <c r="B1806" s="8" t="s">
        <v>55410</v>
      </c>
      <c r="C1806" s="8" t="s">
        <v>3573</v>
      </c>
      <c r="D1806" s="8"/>
      <c r="E1806" s="6"/>
      <c r="F1806" s="6"/>
    </row>
    <row r="1807" spans="1:6" x14ac:dyDescent="0.3">
      <c r="A1807" s="8" t="s">
        <v>3574</v>
      </c>
      <c r="B1807" s="8" t="s">
        <v>55411</v>
      </c>
      <c r="C1807" s="8" t="s">
        <v>3575</v>
      </c>
      <c r="D1807" s="8"/>
      <c r="E1807" s="6"/>
      <c r="F1807" s="6"/>
    </row>
    <row r="1808" spans="1:6" x14ac:dyDescent="0.3">
      <c r="A1808" s="8" t="s">
        <v>3576</v>
      </c>
      <c r="B1808" s="8" t="s">
        <v>55412</v>
      </c>
      <c r="C1808" s="8" t="s">
        <v>3577</v>
      </c>
      <c r="D1808" s="8"/>
      <c r="E1808" s="6"/>
      <c r="F1808" s="6"/>
    </row>
    <row r="1809" spans="1:6" x14ac:dyDescent="0.3">
      <c r="A1809" s="8" t="s">
        <v>3578</v>
      </c>
      <c r="B1809" s="8" t="s">
        <v>55413</v>
      </c>
      <c r="C1809" s="8" t="s">
        <v>3579</v>
      </c>
      <c r="D1809" s="8"/>
      <c r="E1809" s="6"/>
      <c r="F1809" s="6"/>
    </row>
    <row r="1810" spans="1:6" x14ac:dyDescent="0.3">
      <c r="A1810" s="8" t="s">
        <v>3580</v>
      </c>
      <c r="B1810" s="8" t="s">
        <v>55414</v>
      </c>
      <c r="C1810" s="8" t="s">
        <v>3581</v>
      </c>
      <c r="D1810" s="8"/>
      <c r="E1810" s="6"/>
      <c r="F1810" s="6"/>
    </row>
    <row r="1811" spans="1:6" x14ac:dyDescent="0.3">
      <c r="A1811" s="8" t="s">
        <v>3582</v>
      </c>
      <c r="B1811" s="8" t="s">
        <v>55415</v>
      </c>
      <c r="C1811" s="8" t="s">
        <v>3583</v>
      </c>
      <c r="D1811" s="8"/>
      <c r="E1811" s="6"/>
      <c r="F1811" s="6"/>
    </row>
    <row r="1812" spans="1:6" x14ac:dyDescent="0.3">
      <c r="A1812" s="8" t="s">
        <v>3584</v>
      </c>
      <c r="B1812" s="8" t="s">
        <v>55416</v>
      </c>
      <c r="C1812" s="8" t="s">
        <v>3585</v>
      </c>
      <c r="D1812" s="8"/>
      <c r="E1812" s="6"/>
      <c r="F1812" s="6"/>
    </row>
    <row r="1813" spans="1:6" x14ac:dyDescent="0.3">
      <c r="A1813" s="8" t="s">
        <v>3586</v>
      </c>
      <c r="B1813" s="8" t="s">
        <v>55417</v>
      </c>
      <c r="C1813" s="8" t="s">
        <v>3587</v>
      </c>
      <c r="D1813" s="8"/>
      <c r="E1813" s="6"/>
      <c r="F1813" s="6"/>
    </row>
    <row r="1814" spans="1:6" x14ac:dyDescent="0.3">
      <c r="A1814" s="8" t="s">
        <v>3588</v>
      </c>
      <c r="B1814" s="8" t="s">
        <v>55418</v>
      </c>
      <c r="C1814" s="8" t="s">
        <v>3589</v>
      </c>
      <c r="D1814" s="8"/>
      <c r="E1814" s="6"/>
      <c r="F1814" s="6"/>
    </row>
    <row r="1815" spans="1:6" x14ac:dyDescent="0.3">
      <c r="A1815" s="8" t="s">
        <v>3590</v>
      </c>
      <c r="B1815" s="8" t="s">
        <v>55419</v>
      </c>
      <c r="C1815" s="8" t="s">
        <v>3591</v>
      </c>
      <c r="D1815" s="8"/>
      <c r="E1815" s="6"/>
      <c r="F1815" s="6"/>
    </row>
    <row r="1816" spans="1:6" x14ac:dyDescent="0.3">
      <c r="A1816" s="8" t="s">
        <v>3592</v>
      </c>
      <c r="B1816" s="8" t="s">
        <v>55420</v>
      </c>
      <c r="C1816" s="8" t="s">
        <v>3593</v>
      </c>
      <c r="D1816" s="8"/>
      <c r="E1816" s="6"/>
      <c r="F1816" s="6"/>
    </row>
    <row r="1817" spans="1:6" x14ac:dyDescent="0.3">
      <c r="A1817" s="8" t="s">
        <v>3594</v>
      </c>
      <c r="B1817" s="8" t="s">
        <v>55421</v>
      </c>
      <c r="C1817" s="8" t="s">
        <v>3595</v>
      </c>
      <c r="D1817" s="8"/>
      <c r="E1817" s="6"/>
      <c r="F1817" s="6"/>
    </row>
    <row r="1818" spans="1:6" x14ac:dyDescent="0.3">
      <c r="A1818" s="8" t="s">
        <v>3596</v>
      </c>
      <c r="B1818" s="8" t="s">
        <v>55422</v>
      </c>
      <c r="C1818" s="8" t="s">
        <v>3597</v>
      </c>
      <c r="D1818" s="8"/>
      <c r="E1818" s="6"/>
      <c r="F1818" s="6"/>
    </row>
    <row r="1819" spans="1:6" x14ac:dyDescent="0.3">
      <c r="A1819" s="8" t="s">
        <v>3598</v>
      </c>
      <c r="B1819" s="8" t="s">
        <v>55423</v>
      </c>
      <c r="C1819" s="8" t="s">
        <v>3599</v>
      </c>
      <c r="D1819" s="8"/>
      <c r="E1819" s="6"/>
      <c r="F1819" s="6"/>
    </row>
    <row r="1820" spans="1:6" x14ac:dyDescent="0.3">
      <c r="A1820" s="8" t="s">
        <v>3600</v>
      </c>
      <c r="B1820" s="8" t="s">
        <v>55424</v>
      </c>
      <c r="C1820" s="8" t="s">
        <v>3601</v>
      </c>
      <c r="D1820" s="8"/>
      <c r="E1820" s="6"/>
      <c r="F1820" s="6"/>
    </row>
    <row r="1821" spans="1:6" x14ac:dyDescent="0.3">
      <c r="A1821" s="8" t="s">
        <v>3602</v>
      </c>
      <c r="B1821" s="8" t="s">
        <v>55425</v>
      </c>
      <c r="C1821" s="8" t="s">
        <v>3603</v>
      </c>
      <c r="D1821" s="8"/>
      <c r="E1821" s="6"/>
      <c r="F1821" s="6"/>
    </row>
    <row r="1822" spans="1:6" x14ac:dyDescent="0.3">
      <c r="A1822" s="8" t="s">
        <v>3604</v>
      </c>
      <c r="B1822" s="8" t="s">
        <v>55426</v>
      </c>
      <c r="C1822" s="8" t="s">
        <v>3605</v>
      </c>
      <c r="D1822" s="8"/>
      <c r="E1822" s="6"/>
      <c r="F1822" s="6"/>
    </row>
    <row r="1823" spans="1:6" x14ac:dyDescent="0.3">
      <c r="A1823" s="8" t="s">
        <v>3606</v>
      </c>
      <c r="B1823" s="8" t="s">
        <v>55427</v>
      </c>
      <c r="C1823" s="8" t="s">
        <v>3607</v>
      </c>
      <c r="D1823" s="8"/>
      <c r="E1823" s="6"/>
      <c r="F1823" s="6"/>
    </row>
    <row r="1824" spans="1:6" x14ac:dyDescent="0.3">
      <c r="A1824" s="8" t="s">
        <v>3608</v>
      </c>
      <c r="B1824" s="8" t="s">
        <v>55428</v>
      </c>
      <c r="C1824" s="8" t="s">
        <v>3609</v>
      </c>
      <c r="D1824" s="8"/>
      <c r="E1824" s="6"/>
      <c r="F1824" s="6"/>
    </row>
    <row r="1825" spans="1:6" x14ac:dyDescent="0.3">
      <c r="A1825" s="8" t="s">
        <v>3610</v>
      </c>
      <c r="B1825" s="8" t="s">
        <v>55429</v>
      </c>
      <c r="C1825" s="8" t="s">
        <v>3611</v>
      </c>
      <c r="D1825" s="8"/>
      <c r="E1825" s="6"/>
      <c r="F1825" s="6"/>
    </row>
    <row r="1826" spans="1:6" x14ac:dyDescent="0.3">
      <c r="A1826" s="8" t="s">
        <v>3612</v>
      </c>
      <c r="B1826" s="8" t="s">
        <v>55430</v>
      </c>
      <c r="C1826" s="8" t="s">
        <v>3613</v>
      </c>
      <c r="D1826" s="8"/>
      <c r="E1826" s="6"/>
      <c r="F1826" s="6"/>
    </row>
    <row r="1827" spans="1:6" x14ac:dyDescent="0.3">
      <c r="A1827" s="8" t="s">
        <v>3614</v>
      </c>
      <c r="B1827" s="8" t="s">
        <v>55431</v>
      </c>
      <c r="C1827" s="8" t="s">
        <v>3615</v>
      </c>
      <c r="D1827" s="8"/>
      <c r="E1827" s="6"/>
      <c r="F1827" s="6"/>
    </row>
    <row r="1828" spans="1:6" x14ac:dyDescent="0.3">
      <c r="A1828" s="8" t="s">
        <v>3616</v>
      </c>
      <c r="B1828" s="8" t="s">
        <v>55432</v>
      </c>
      <c r="C1828" s="8" t="s">
        <v>3617</v>
      </c>
      <c r="D1828" s="8"/>
      <c r="E1828" s="6"/>
      <c r="F1828" s="6"/>
    </row>
    <row r="1829" spans="1:6" x14ac:dyDescent="0.3">
      <c r="A1829" s="8" t="s">
        <v>3618</v>
      </c>
      <c r="B1829" s="8" t="s">
        <v>55433</v>
      </c>
      <c r="C1829" s="8" t="s">
        <v>3619</v>
      </c>
      <c r="D1829" s="8"/>
      <c r="E1829" s="6"/>
      <c r="F1829" s="6"/>
    </row>
    <row r="1830" spans="1:6" x14ac:dyDescent="0.3">
      <c r="A1830" s="8" t="s">
        <v>3620</v>
      </c>
      <c r="B1830" s="8" t="s">
        <v>55434</v>
      </c>
      <c r="C1830" s="8" t="s">
        <v>3621</v>
      </c>
      <c r="D1830" s="8"/>
      <c r="E1830" s="6"/>
      <c r="F1830" s="6"/>
    </row>
    <row r="1831" spans="1:6" x14ac:dyDescent="0.3">
      <c r="A1831" s="8" t="s">
        <v>3622</v>
      </c>
      <c r="B1831" s="8" t="s">
        <v>55435</v>
      </c>
      <c r="C1831" s="8" t="s">
        <v>3623</v>
      </c>
      <c r="D1831" s="8"/>
      <c r="E1831" s="6"/>
      <c r="F1831" s="6"/>
    </row>
    <row r="1832" spans="1:6" x14ac:dyDescent="0.3">
      <c r="A1832" s="8" t="s">
        <v>3624</v>
      </c>
      <c r="B1832" s="8" t="s">
        <v>55436</v>
      </c>
      <c r="C1832" s="8" t="s">
        <v>3625</v>
      </c>
      <c r="D1832" s="8"/>
      <c r="E1832" s="6"/>
      <c r="F1832" s="6"/>
    </row>
    <row r="1833" spans="1:6" x14ac:dyDescent="0.3">
      <c r="A1833" s="8" t="s">
        <v>3626</v>
      </c>
      <c r="B1833" s="8" t="s">
        <v>55437</v>
      </c>
      <c r="C1833" s="8" t="s">
        <v>3627</v>
      </c>
      <c r="D1833" s="8"/>
      <c r="E1833" s="6"/>
      <c r="F1833" s="6"/>
    </row>
    <row r="1834" spans="1:6" x14ac:dyDescent="0.3">
      <c r="A1834" s="8" t="s">
        <v>3628</v>
      </c>
      <c r="B1834" s="8" t="s">
        <v>55438</v>
      </c>
      <c r="C1834" s="8" t="s">
        <v>3629</v>
      </c>
      <c r="D1834" s="8"/>
      <c r="E1834" s="6"/>
      <c r="F1834" s="6"/>
    </row>
    <row r="1835" spans="1:6" x14ac:dyDescent="0.3">
      <c r="A1835" s="8" t="s">
        <v>3630</v>
      </c>
      <c r="B1835" s="8" t="s">
        <v>55439</v>
      </c>
      <c r="C1835" s="8" t="s">
        <v>3631</v>
      </c>
      <c r="D1835" s="8"/>
      <c r="E1835" s="6"/>
      <c r="F1835" s="6"/>
    </row>
    <row r="1836" spans="1:6" x14ac:dyDescent="0.3">
      <c r="A1836" s="8" t="s">
        <v>3632</v>
      </c>
      <c r="B1836" s="8" t="s">
        <v>55440</v>
      </c>
      <c r="C1836" s="8" t="s">
        <v>3633</v>
      </c>
      <c r="D1836" s="8"/>
      <c r="E1836" s="6"/>
      <c r="F1836" s="6"/>
    </row>
    <row r="1837" spans="1:6" x14ac:dyDescent="0.3">
      <c r="A1837" s="8" t="s">
        <v>3634</v>
      </c>
      <c r="B1837" s="8" t="s">
        <v>55441</v>
      </c>
      <c r="C1837" s="8" t="s">
        <v>3635</v>
      </c>
      <c r="D1837" s="8"/>
      <c r="E1837" s="6"/>
      <c r="F1837" s="6"/>
    </row>
    <row r="1838" spans="1:6" x14ac:dyDescent="0.3">
      <c r="A1838" s="8" t="s">
        <v>3636</v>
      </c>
      <c r="B1838" s="8" t="s">
        <v>55442</v>
      </c>
      <c r="C1838" s="8" t="s">
        <v>3637</v>
      </c>
      <c r="D1838" s="8"/>
      <c r="E1838" s="6"/>
      <c r="F1838" s="6"/>
    </row>
    <row r="1839" spans="1:6" x14ac:dyDescent="0.3">
      <c r="A1839" s="8" t="s">
        <v>3638</v>
      </c>
      <c r="B1839" s="8" t="s">
        <v>55443</v>
      </c>
      <c r="C1839" s="8" t="s">
        <v>3639</v>
      </c>
      <c r="D1839" s="8"/>
      <c r="E1839" s="6"/>
      <c r="F1839" s="6"/>
    </row>
    <row r="1840" spans="1:6" x14ac:dyDescent="0.3">
      <c r="A1840" s="8" t="s">
        <v>3640</v>
      </c>
      <c r="B1840" s="8" t="s">
        <v>55444</v>
      </c>
      <c r="C1840" s="8" t="s">
        <v>3641</v>
      </c>
      <c r="D1840" s="8"/>
      <c r="E1840" s="6"/>
      <c r="F1840" s="6"/>
    </row>
    <row r="1841" spans="1:6" x14ac:dyDescent="0.3">
      <c r="A1841" s="8" t="s">
        <v>3642</v>
      </c>
      <c r="B1841" s="8" t="s">
        <v>55445</v>
      </c>
      <c r="C1841" s="8" t="s">
        <v>3643</v>
      </c>
      <c r="D1841" s="8"/>
      <c r="E1841" s="6"/>
      <c r="F1841" s="6"/>
    </row>
    <row r="1842" spans="1:6" x14ac:dyDescent="0.3">
      <c r="A1842" s="8" t="s">
        <v>3644</v>
      </c>
      <c r="B1842" s="8" t="s">
        <v>55446</v>
      </c>
      <c r="C1842" s="8" t="s">
        <v>3645</v>
      </c>
      <c r="D1842" s="8"/>
      <c r="E1842" s="6"/>
      <c r="F1842" s="6"/>
    </row>
    <row r="1843" spans="1:6" x14ac:dyDescent="0.3">
      <c r="A1843" s="8" t="s">
        <v>3646</v>
      </c>
      <c r="B1843" s="8" t="s">
        <v>55447</v>
      </c>
      <c r="C1843" s="8" t="s">
        <v>3647</v>
      </c>
      <c r="D1843" s="8"/>
      <c r="E1843" s="6"/>
      <c r="F1843" s="6"/>
    </row>
    <row r="1844" spans="1:6" x14ac:dyDescent="0.3">
      <c r="A1844" s="8" t="s">
        <v>3648</v>
      </c>
      <c r="B1844" s="8" t="s">
        <v>55448</v>
      </c>
      <c r="C1844" s="8" t="s">
        <v>3649</v>
      </c>
      <c r="D1844" s="8"/>
      <c r="E1844" s="6"/>
      <c r="F1844" s="6"/>
    </row>
    <row r="1845" spans="1:6" x14ac:dyDescent="0.3">
      <c r="A1845" s="8" t="s">
        <v>3650</v>
      </c>
      <c r="B1845" s="8" t="s">
        <v>55449</v>
      </c>
      <c r="C1845" s="8" t="s">
        <v>3651</v>
      </c>
      <c r="D1845" s="8"/>
      <c r="E1845" s="6"/>
      <c r="F1845" s="6"/>
    </row>
    <row r="1846" spans="1:6" x14ac:dyDescent="0.3">
      <c r="A1846" s="8" t="s">
        <v>3652</v>
      </c>
      <c r="B1846" s="8" t="s">
        <v>55450</v>
      </c>
      <c r="C1846" s="8" t="s">
        <v>3653</v>
      </c>
      <c r="D1846" s="8"/>
      <c r="E1846" s="6"/>
      <c r="F1846" s="6"/>
    </row>
    <row r="1847" spans="1:6" x14ac:dyDescent="0.3">
      <c r="A1847" s="8" t="s">
        <v>3654</v>
      </c>
      <c r="B1847" s="8" t="s">
        <v>55451</v>
      </c>
      <c r="C1847" s="8" t="s">
        <v>3655</v>
      </c>
      <c r="D1847" s="8"/>
      <c r="E1847" s="6"/>
      <c r="F1847" s="6"/>
    </row>
    <row r="1848" spans="1:6" x14ac:dyDescent="0.3">
      <c r="A1848" s="8" t="s">
        <v>3656</v>
      </c>
      <c r="B1848" s="8" t="s">
        <v>55452</v>
      </c>
      <c r="C1848" s="8" t="s">
        <v>3657</v>
      </c>
      <c r="D1848" s="8"/>
      <c r="E1848" s="6"/>
      <c r="F1848" s="6"/>
    </row>
    <row r="1849" spans="1:6" x14ac:dyDescent="0.3">
      <c r="A1849" s="8" t="s">
        <v>3658</v>
      </c>
      <c r="B1849" s="8" t="s">
        <v>55453</v>
      </c>
      <c r="C1849" s="8" t="s">
        <v>3659</v>
      </c>
      <c r="D1849" s="8"/>
      <c r="E1849" s="6"/>
      <c r="F1849" s="6"/>
    </row>
    <row r="1850" spans="1:6" x14ac:dyDescent="0.3">
      <c r="A1850" s="8" t="s">
        <v>3660</v>
      </c>
      <c r="B1850" s="8" t="s">
        <v>55454</v>
      </c>
      <c r="C1850" s="8" t="s">
        <v>3661</v>
      </c>
      <c r="D1850" s="8"/>
      <c r="E1850" s="6"/>
      <c r="F1850" s="6"/>
    </row>
    <row r="1851" spans="1:6" x14ac:dyDescent="0.3">
      <c r="A1851" s="8" t="s">
        <v>3662</v>
      </c>
      <c r="B1851" s="8" t="s">
        <v>55455</v>
      </c>
      <c r="C1851" s="8" t="s">
        <v>3663</v>
      </c>
      <c r="D1851" s="8"/>
      <c r="E1851" s="6"/>
      <c r="F1851" s="6"/>
    </row>
    <row r="1852" spans="1:6" x14ac:dyDescent="0.3">
      <c r="A1852" s="8" t="s">
        <v>3664</v>
      </c>
      <c r="B1852" s="8" t="s">
        <v>55456</v>
      </c>
      <c r="C1852" s="8" t="s">
        <v>3665</v>
      </c>
      <c r="D1852" s="8"/>
      <c r="E1852" s="6"/>
      <c r="F1852" s="6"/>
    </row>
    <row r="1853" spans="1:6" x14ac:dyDescent="0.3">
      <c r="A1853" s="8" t="s">
        <v>3666</v>
      </c>
      <c r="B1853" s="8" t="s">
        <v>55457</v>
      </c>
      <c r="C1853" s="8" t="s">
        <v>3667</v>
      </c>
      <c r="D1853" s="8"/>
      <c r="E1853" s="6"/>
      <c r="F1853" s="6"/>
    </row>
    <row r="1854" spans="1:6" x14ac:dyDescent="0.3">
      <c r="A1854" s="8" t="s">
        <v>3668</v>
      </c>
      <c r="B1854" s="8" t="s">
        <v>55458</v>
      </c>
      <c r="C1854" s="8" t="s">
        <v>3669</v>
      </c>
      <c r="D1854" s="8"/>
      <c r="E1854" s="6"/>
      <c r="F1854" s="6"/>
    </row>
    <row r="1855" spans="1:6" x14ac:dyDescent="0.3">
      <c r="A1855" s="8" t="s">
        <v>3670</v>
      </c>
      <c r="B1855" s="8" t="s">
        <v>55459</v>
      </c>
      <c r="C1855" s="8" t="s">
        <v>3671</v>
      </c>
      <c r="D1855" s="8"/>
      <c r="E1855" s="6"/>
      <c r="F1855" s="6"/>
    </row>
    <row r="1856" spans="1:6" x14ac:dyDescent="0.3">
      <c r="A1856" s="8" t="s">
        <v>3672</v>
      </c>
      <c r="B1856" s="8" t="s">
        <v>55460</v>
      </c>
      <c r="C1856" s="8" t="s">
        <v>3673</v>
      </c>
      <c r="D1856" s="8"/>
      <c r="E1856" s="6"/>
      <c r="F1856" s="6"/>
    </row>
    <row r="1857" spans="1:6" x14ac:dyDescent="0.3">
      <c r="A1857" s="8" t="s">
        <v>3674</v>
      </c>
      <c r="B1857" s="8" t="s">
        <v>55461</v>
      </c>
      <c r="C1857" s="8" t="s">
        <v>3675</v>
      </c>
      <c r="D1857" s="8"/>
      <c r="E1857" s="6"/>
      <c r="F1857" s="6"/>
    </row>
    <row r="1858" spans="1:6" x14ac:dyDescent="0.3">
      <c r="A1858" s="8" t="s">
        <v>3676</v>
      </c>
      <c r="B1858" s="8" t="s">
        <v>55462</v>
      </c>
      <c r="C1858" s="8" t="s">
        <v>3677</v>
      </c>
      <c r="D1858" s="8"/>
      <c r="E1858" s="6"/>
      <c r="F1858" s="6"/>
    </row>
    <row r="1859" spans="1:6" x14ac:dyDescent="0.3">
      <c r="A1859" s="8" t="s">
        <v>3678</v>
      </c>
      <c r="B1859" s="8" t="s">
        <v>55463</v>
      </c>
      <c r="C1859" s="8" t="s">
        <v>3679</v>
      </c>
      <c r="D1859" s="8"/>
      <c r="E1859" s="6"/>
      <c r="F1859" s="6"/>
    </row>
    <row r="1860" spans="1:6" x14ac:dyDescent="0.3">
      <c r="A1860" s="8" t="s">
        <v>3680</v>
      </c>
      <c r="B1860" s="8" t="s">
        <v>55464</v>
      </c>
      <c r="C1860" s="8" t="s">
        <v>3681</v>
      </c>
      <c r="D1860" s="8"/>
      <c r="E1860" s="6"/>
      <c r="F1860" s="6"/>
    </row>
    <row r="1861" spans="1:6" x14ac:dyDescent="0.3">
      <c r="A1861" s="8" t="s">
        <v>3682</v>
      </c>
      <c r="B1861" s="8" t="s">
        <v>55465</v>
      </c>
      <c r="C1861" s="8" t="s">
        <v>3683</v>
      </c>
      <c r="D1861" s="8"/>
      <c r="E1861" s="6"/>
      <c r="F1861" s="6"/>
    </row>
    <row r="1862" spans="1:6" x14ac:dyDescent="0.3">
      <c r="A1862" s="8" t="s">
        <v>3684</v>
      </c>
      <c r="B1862" s="8" t="s">
        <v>55466</v>
      </c>
      <c r="C1862" s="8" t="s">
        <v>3685</v>
      </c>
      <c r="D1862" s="8"/>
      <c r="E1862" s="6"/>
      <c r="F1862" s="6"/>
    </row>
    <row r="1863" spans="1:6" x14ac:dyDescent="0.3">
      <c r="A1863" s="8" t="s">
        <v>3686</v>
      </c>
      <c r="B1863" s="8" t="s">
        <v>55467</v>
      </c>
      <c r="C1863" s="8" t="s">
        <v>3687</v>
      </c>
      <c r="D1863" s="8"/>
      <c r="E1863" s="6"/>
      <c r="F1863" s="6"/>
    </row>
    <row r="1864" spans="1:6" x14ac:dyDescent="0.3">
      <c r="A1864" s="8" t="s">
        <v>3688</v>
      </c>
      <c r="B1864" s="8" t="s">
        <v>55468</v>
      </c>
      <c r="C1864" s="8" t="s">
        <v>3689</v>
      </c>
      <c r="D1864" s="8"/>
      <c r="E1864" s="6"/>
      <c r="F1864" s="6"/>
    </row>
    <row r="1865" spans="1:6" x14ac:dyDescent="0.3">
      <c r="A1865" s="8" t="s">
        <v>3690</v>
      </c>
      <c r="B1865" s="8" t="s">
        <v>55469</v>
      </c>
      <c r="C1865" s="8" t="s">
        <v>3691</v>
      </c>
      <c r="D1865" s="8"/>
      <c r="E1865" s="6"/>
      <c r="F1865" s="6"/>
    </row>
    <row r="1866" spans="1:6" x14ac:dyDescent="0.3">
      <c r="A1866" s="8" t="s">
        <v>3692</v>
      </c>
      <c r="B1866" s="8" t="s">
        <v>55470</v>
      </c>
      <c r="C1866" s="8" t="s">
        <v>3693</v>
      </c>
      <c r="D1866" s="8"/>
      <c r="E1866" s="6"/>
      <c r="F1866" s="6"/>
    </row>
    <row r="1867" spans="1:6" x14ac:dyDescent="0.3">
      <c r="A1867" s="8" t="s">
        <v>3694</v>
      </c>
      <c r="B1867" s="8" t="s">
        <v>55471</v>
      </c>
      <c r="C1867" s="8" t="s">
        <v>3695</v>
      </c>
      <c r="D1867" s="8"/>
      <c r="E1867" s="6"/>
      <c r="F1867" s="6"/>
    </row>
    <row r="1868" spans="1:6" x14ac:dyDescent="0.3">
      <c r="A1868" s="8" t="s">
        <v>3696</v>
      </c>
      <c r="B1868" s="8" t="s">
        <v>55472</v>
      </c>
      <c r="C1868" s="8" t="s">
        <v>3697</v>
      </c>
      <c r="D1868" s="8"/>
      <c r="E1868" s="6"/>
      <c r="F1868" s="6"/>
    </row>
    <row r="1869" spans="1:6" x14ac:dyDescent="0.3">
      <c r="A1869" s="8" t="s">
        <v>3698</v>
      </c>
      <c r="B1869" s="8" t="s">
        <v>55473</v>
      </c>
      <c r="C1869" s="8" t="s">
        <v>3699</v>
      </c>
      <c r="D1869" s="8"/>
      <c r="E1869" s="6"/>
      <c r="F1869" s="6"/>
    </row>
    <row r="1870" spans="1:6" x14ac:dyDescent="0.3">
      <c r="A1870" s="8" t="s">
        <v>3700</v>
      </c>
      <c r="B1870" s="8" t="s">
        <v>55474</v>
      </c>
      <c r="C1870" s="8" t="s">
        <v>3701</v>
      </c>
      <c r="D1870" s="8"/>
      <c r="E1870" s="6"/>
      <c r="F1870" s="6"/>
    </row>
    <row r="1871" spans="1:6" x14ac:dyDescent="0.3">
      <c r="A1871" s="8" t="s">
        <v>3702</v>
      </c>
      <c r="B1871" s="8" t="s">
        <v>55475</v>
      </c>
      <c r="C1871" s="8" t="s">
        <v>3703</v>
      </c>
      <c r="D1871" s="8"/>
      <c r="E1871" s="6"/>
      <c r="F1871" s="6"/>
    </row>
    <row r="1872" spans="1:6" x14ac:dyDescent="0.3">
      <c r="A1872" s="8" t="s">
        <v>3704</v>
      </c>
      <c r="B1872" s="8" t="s">
        <v>55476</v>
      </c>
      <c r="C1872" s="8" t="s">
        <v>3705</v>
      </c>
      <c r="D1872" s="8"/>
      <c r="E1872" s="6"/>
      <c r="F1872" s="6"/>
    </row>
    <row r="1873" spans="1:6" x14ac:dyDescent="0.3">
      <c r="A1873" s="8" t="s">
        <v>3706</v>
      </c>
      <c r="B1873" s="8" t="s">
        <v>55477</v>
      </c>
      <c r="C1873" s="8" t="s">
        <v>3707</v>
      </c>
      <c r="D1873" s="8"/>
      <c r="E1873" s="6"/>
      <c r="F1873" s="6"/>
    </row>
    <row r="1874" spans="1:6" x14ac:dyDescent="0.3">
      <c r="A1874" s="8" t="s">
        <v>3708</v>
      </c>
      <c r="B1874" s="8" t="s">
        <v>55478</v>
      </c>
      <c r="C1874" s="8" t="s">
        <v>3709</v>
      </c>
      <c r="D1874" s="8"/>
      <c r="E1874" s="6"/>
      <c r="F1874" s="6"/>
    </row>
    <row r="1875" spans="1:6" x14ac:dyDescent="0.3">
      <c r="A1875" s="8" t="s">
        <v>3710</v>
      </c>
      <c r="B1875" s="8" t="s">
        <v>55479</v>
      </c>
      <c r="C1875" s="8" t="s">
        <v>3711</v>
      </c>
      <c r="D1875" s="8"/>
      <c r="E1875" s="6"/>
      <c r="F1875" s="6"/>
    </row>
    <row r="1876" spans="1:6" x14ac:dyDescent="0.3">
      <c r="A1876" s="8" t="s">
        <v>3712</v>
      </c>
      <c r="B1876" s="8" t="s">
        <v>55480</v>
      </c>
      <c r="C1876" s="8" t="s">
        <v>3713</v>
      </c>
      <c r="D1876" s="8"/>
      <c r="E1876" s="6"/>
      <c r="F1876" s="6"/>
    </row>
    <row r="1877" spans="1:6" x14ac:dyDescent="0.3">
      <c r="A1877" s="8" t="s">
        <v>3714</v>
      </c>
      <c r="B1877" s="8" t="s">
        <v>55481</v>
      </c>
      <c r="C1877" s="8" t="s">
        <v>3715</v>
      </c>
      <c r="D1877" s="8"/>
      <c r="E1877" s="6"/>
      <c r="F1877" s="6"/>
    </row>
    <row r="1878" spans="1:6" x14ac:dyDescent="0.3">
      <c r="A1878" s="8" t="s">
        <v>3716</v>
      </c>
      <c r="B1878" s="8" t="s">
        <v>55482</v>
      </c>
      <c r="C1878" s="8" t="s">
        <v>3717</v>
      </c>
      <c r="D1878" s="8"/>
      <c r="E1878" s="6"/>
      <c r="F1878" s="6"/>
    </row>
    <row r="1879" spans="1:6" x14ac:dyDescent="0.3">
      <c r="A1879" s="8" t="s">
        <v>3718</v>
      </c>
      <c r="B1879" s="8" t="s">
        <v>55483</v>
      </c>
      <c r="C1879" s="8" t="s">
        <v>3719</v>
      </c>
      <c r="D1879" s="8"/>
      <c r="E1879" s="6"/>
      <c r="F1879" s="6"/>
    </row>
    <row r="1880" spans="1:6" x14ac:dyDescent="0.3">
      <c r="A1880" s="8" t="s">
        <v>3720</v>
      </c>
      <c r="B1880" s="8" t="s">
        <v>55484</v>
      </c>
      <c r="C1880" s="8" t="s">
        <v>3721</v>
      </c>
      <c r="D1880" s="8"/>
      <c r="E1880" s="6"/>
      <c r="F1880" s="6"/>
    </row>
    <row r="1881" spans="1:6" x14ac:dyDescent="0.3">
      <c r="A1881" s="8" t="s">
        <v>3722</v>
      </c>
      <c r="B1881" s="8" t="s">
        <v>55485</v>
      </c>
      <c r="C1881" s="8" t="s">
        <v>3723</v>
      </c>
      <c r="D1881" s="8"/>
      <c r="E1881" s="6"/>
      <c r="F1881" s="6"/>
    </row>
    <row r="1882" spans="1:6" x14ac:dyDescent="0.3">
      <c r="A1882" s="8" t="s">
        <v>3724</v>
      </c>
      <c r="B1882" s="8" t="s">
        <v>55486</v>
      </c>
      <c r="C1882" s="8" t="s">
        <v>3725</v>
      </c>
      <c r="D1882" s="8"/>
      <c r="E1882" s="6"/>
      <c r="F1882" s="6"/>
    </row>
    <row r="1883" spans="1:6" x14ac:dyDescent="0.3">
      <c r="A1883" s="8" t="s">
        <v>3726</v>
      </c>
      <c r="B1883" s="8" t="s">
        <v>55487</v>
      </c>
      <c r="C1883" s="8" t="s">
        <v>3727</v>
      </c>
      <c r="D1883" s="8"/>
      <c r="E1883" s="6"/>
      <c r="F1883" s="6"/>
    </row>
    <row r="1884" spans="1:6" x14ac:dyDescent="0.3">
      <c r="A1884" s="8" t="s">
        <v>3728</v>
      </c>
      <c r="B1884" s="8" t="s">
        <v>55488</v>
      </c>
      <c r="C1884" s="8" t="s">
        <v>3729</v>
      </c>
      <c r="D1884" s="8"/>
      <c r="E1884" s="6"/>
      <c r="F1884" s="6"/>
    </row>
    <row r="1885" spans="1:6" x14ac:dyDescent="0.3">
      <c r="A1885" s="8" t="s">
        <v>3730</v>
      </c>
      <c r="B1885" s="8" t="s">
        <v>55489</v>
      </c>
      <c r="C1885" s="8" t="s">
        <v>3731</v>
      </c>
      <c r="D1885" s="8"/>
      <c r="E1885" s="6"/>
      <c r="F1885" s="6"/>
    </row>
    <row r="1886" spans="1:6" x14ac:dyDescent="0.3">
      <c r="A1886" s="8" t="s">
        <v>3732</v>
      </c>
      <c r="B1886" s="8" t="s">
        <v>55490</v>
      </c>
      <c r="C1886" s="8" t="s">
        <v>3733</v>
      </c>
      <c r="D1886" s="8"/>
      <c r="E1886" s="6"/>
      <c r="F1886" s="6"/>
    </row>
    <row r="1887" spans="1:6" x14ac:dyDescent="0.3">
      <c r="A1887" s="8" t="s">
        <v>3734</v>
      </c>
      <c r="B1887" s="8" t="s">
        <v>55491</v>
      </c>
      <c r="C1887" s="8" t="s">
        <v>3735</v>
      </c>
      <c r="D1887" s="8"/>
      <c r="E1887" s="6"/>
      <c r="F1887" s="6"/>
    </row>
    <row r="1888" spans="1:6" x14ac:dyDescent="0.3">
      <c r="A1888" s="8" t="s">
        <v>3736</v>
      </c>
      <c r="B1888" s="8" t="s">
        <v>55492</v>
      </c>
      <c r="C1888" s="8" t="s">
        <v>3737</v>
      </c>
      <c r="D1888" s="8"/>
      <c r="E1888" s="6"/>
      <c r="F1888" s="6"/>
    </row>
    <row r="1889" spans="1:6" x14ac:dyDescent="0.3">
      <c r="A1889" s="8" t="s">
        <v>3738</v>
      </c>
      <c r="B1889" s="8" t="s">
        <v>55493</v>
      </c>
      <c r="C1889" s="8" t="s">
        <v>3739</v>
      </c>
      <c r="D1889" s="8"/>
      <c r="E1889" s="6"/>
      <c r="F1889" s="6"/>
    </row>
    <row r="1890" spans="1:6" x14ac:dyDescent="0.3">
      <c r="A1890" s="8" t="s">
        <v>3740</v>
      </c>
      <c r="B1890" s="8" t="s">
        <v>55494</v>
      </c>
      <c r="C1890" s="8" t="s">
        <v>3741</v>
      </c>
      <c r="D1890" s="8"/>
      <c r="E1890" s="6"/>
      <c r="F1890" s="6"/>
    </row>
    <row r="1891" spans="1:6" x14ac:dyDescent="0.3">
      <c r="A1891" s="8" t="s">
        <v>3742</v>
      </c>
      <c r="B1891" s="8" t="s">
        <v>55495</v>
      </c>
      <c r="C1891" s="8" t="s">
        <v>3743</v>
      </c>
      <c r="D1891" s="8"/>
      <c r="E1891" s="6"/>
      <c r="F1891" s="6"/>
    </row>
    <row r="1892" spans="1:6" x14ac:dyDescent="0.3">
      <c r="A1892" s="8" t="s">
        <v>3744</v>
      </c>
      <c r="B1892" s="8" t="s">
        <v>55496</v>
      </c>
      <c r="C1892" s="8" t="s">
        <v>3745</v>
      </c>
      <c r="D1892" s="8"/>
      <c r="E1892" s="6"/>
      <c r="F1892" s="6"/>
    </row>
    <row r="1893" spans="1:6" x14ac:dyDescent="0.3">
      <c r="A1893" s="8" t="s">
        <v>3746</v>
      </c>
      <c r="B1893" s="8" t="s">
        <v>55497</v>
      </c>
      <c r="C1893" s="8" t="s">
        <v>3747</v>
      </c>
      <c r="D1893" s="8"/>
      <c r="E1893" s="6"/>
      <c r="F1893" s="6"/>
    </row>
    <row r="1894" spans="1:6" x14ac:dyDescent="0.3">
      <c r="A1894" s="8" t="s">
        <v>3748</v>
      </c>
      <c r="B1894" s="8" t="s">
        <v>55498</v>
      </c>
      <c r="C1894" s="8" t="s">
        <v>3749</v>
      </c>
      <c r="D1894" s="8"/>
      <c r="E1894" s="6"/>
      <c r="F1894" s="6"/>
    </row>
    <row r="1895" spans="1:6" x14ac:dyDescent="0.3">
      <c r="A1895" s="8" t="s">
        <v>3750</v>
      </c>
      <c r="B1895" s="8" t="s">
        <v>55499</v>
      </c>
      <c r="C1895" s="8" t="s">
        <v>3751</v>
      </c>
      <c r="D1895" s="8"/>
      <c r="E1895" s="6"/>
      <c r="F1895" s="6"/>
    </row>
    <row r="1896" spans="1:6" x14ac:dyDescent="0.3">
      <c r="A1896" s="8" t="s">
        <v>3752</v>
      </c>
      <c r="B1896" s="8" t="s">
        <v>55500</v>
      </c>
      <c r="C1896" s="8" t="s">
        <v>3753</v>
      </c>
      <c r="D1896" s="8"/>
      <c r="E1896" s="6"/>
      <c r="F1896" s="6"/>
    </row>
    <row r="1897" spans="1:6" x14ac:dyDescent="0.3">
      <c r="A1897" s="8" t="s">
        <v>3754</v>
      </c>
      <c r="B1897" s="8" t="s">
        <v>55501</v>
      </c>
      <c r="C1897" s="8" t="s">
        <v>3755</v>
      </c>
      <c r="D1897" s="8"/>
      <c r="E1897" s="6"/>
      <c r="F1897" s="6"/>
    </row>
    <row r="1898" spans="1:6" x14ac:dyDescent="0.3">
      <c r="A1898" s="8" t="s">
        <v>3756</v>
      </c>
      <c r="B1898" s="8" t="s">
        <v>55502</v>
      </c>
      <c r="C1898" s="8" t="s">
        <v>3757</v>
      </c>
      <c r="D1898" s="8"/>
      <c r="E1898" s="6"/>
      <c r="F1898" s="6"/>
    </row>
    <row r="1899" spans="1:6" x14ac:dyDescent="0.3">
      <c r="A1899" s="8" t="s">
        <v>3758</v>
      </c>
      <c r="B1899" s="8" t="s">
        <v>55503</v>
      </c>
      <c r="C1899" s="8" t="s">
        <v>3759</v>
      </c>
      <c r="D1899" s="8"/>
      <c r="E1899" s="6"/>
      <c r="F1899" s="6"/>
    </row>
    <row r="1900" spans="1:6" x14ac:dyDescent="0.3">
      <c r="A1900" s="8" t="s">
        <v>3760</v>
      </c>
      <c r="B1900" s="8" t="s">
        <v>55504</v>
      </c>
      <c r="C1900" s="8" t="s">
        <v>3761</v>
      </c>
      <c r="D1900" s="8"/>
      <c r="E1900" s="6"/>
      <c r="F1900" s="6"/>
    </row>
    <row r="1901" spans="1:6" x14ac:dyDescent="0.3">
      <c r="A1901" s="8" t="s">
        <v>3762</v>
      </c>
      <c r="B1901" s="8" t="s">
        <v>55505</v>
      </c>
      <c r="C1901" s="8" t="s">
        <v>3763</v>
      </c>
      <c r="D1901" s="8"/>
      <c r="E1901" s="6"/>
      <c r="F1901" s="6"/>
    </row>
    <row r="1902" spans="1:6" x14ac:dyDescent="0.3">
      <c r="A1902" s="8" t="s">
        <v>3764</v>
      </c>
      <c r="B1902" s="8" t="s">
        <v>55506</v>
      </c>
      <c r="C1902" s="8" t="s">
        <v>3765</v>
      </c>
      <c r="D1902" s="8"/>
      <c r="E1902" s="6"/>
      <c r="F1902" s="6"/>
    </row>
    <row r="1903" spans="1:6" x14ac:dyDescent="0.3">
      <c r="A1903" s="8" t="s">
        <v>3766</v>
      </c>
      <c r="B1903" s="8" t="s">
        <v>55507</v>
      </c>
      <c r="C1903" s="8" t="s">
        <v>3767</v>
      </c>
      <c r="D1903" s="8"/>
      <c r="E1903" s="6"/>
      <c r="F1903" s="6"/>
    </row>
    <row r="1904" spans="1:6" x14ac:dyDescent="0.3">
      <c r="A1904" s="8" t="s">
        <v>3768</v>
      </c>
      <c r="B1904" s="8" t="s">
        <v>55508</v>
      </c>
      <c r="C1904" s="8" t="s">
        <v>3769</v>
      </c>
      <c r="D1904" s="8"/>
      <c r="E1904" s="6"/>
      <c r="F1904" s="6"/>
    </row>
    <row r="1905" spans="1:6" x14ac:dyDescent="0.3">
      <c r="A1905" s="8" t="s">
        <v>3770</v>
      </c>
      <c r="B1905" s="8" t="s">
        <v>55509</v>
      </c>
      <c r="C1905" s="8" t="s">
        <v>3771</v>
      </c>
      <c r="D1905" s="8"/>
      <c r="E1905" s="6"/>
      <c r="F1905" s="6"/>
    </row>
    <row r="1906" spans="1:6" x14ac:dyDescent="0.3">
      <c r="A1906" s="8" t="s">
        <v>3772</v>
      </c>
      <c r="B1906" s="8" t="s">
        <v>55510</v>
      </c>
      <c r="C1906" s="8" t="s">
        <v>3773</v>
      </c>
      <c r="D1906" s="8"/>
      <c r="E1906" s="6"/>
      <c r="F1906" s="6"/>
    </row>
    <row r="1907" spans="1:6" x14ac:dyDescent="0.3">
      <c r="A1907" s="8" t="s">
        <v>3774</v>
      </c>
      <c r="B1907" s="8" t="s">
        <v>55511</v>
      </c>
      <c r="C1907" s="8" t="s">
        <v>3775</v>
      </c>
      <c r="D1907" s="8"/>
      <c r="E1907" s="6"/>
      <c r="F1907" s="6"/>
    </row>
    <row r="1908" spans="1:6" x14ac:dyDescent="0.3">
      <c r="A1908" s="8" t="s">
        <v>3776</v>
      </c>
      <c r="B1908" s="8" t="s">
        <v>55512</v>
      </c>
      <c r="C1908" s="8" t="s">
        <v>3777</v>
      </c>
      <c r="D1908" s="8"/>
      <c r="E1908" s="6"/>
      <c r="F1908" s="6"/>
    </row>
    <row r="1909" spans="1:6" x14ac:dyDescent="0.3">
      <c r="A1909" s="8" t="s">
        <v>3778</v>
      </c>
      <c r="B1909" s="8" t="s">
        <v>55513</v>
      </c>
      <c r="C1909" s="8" t="s">
        <v>3779</v>
      </c>
      <c r="D1909" s="8"/>
      <c r="E1909" s="6"/>
      <c r="F1909" s="6"/>
    </row>
    <row r="1910" spans="1:6" x14ac:dyDescent="0.3">
      <c r="A1910" s="8" t="s">
        <v>3780</v>
      </c>
      <c r="B1910" s="8" t="s">
        <v>55514</v>
      </c>
      <c r="C1910" s="8" t="s">
        <v>3781</v>
      </c>
      <c r="D1910" s="8"/>
      <c r="E1910" s="6"/>
      <c r="F1910" s="6"/>
    </row>
    <row r="1911" spans="1:6" x14ac:dyDescent="0.3">
      <c r="A1911" s="8" t="s">
        <v>3782</v>
      </c>
      <c r="B1911" s="8" t="s">
        <v>55515</v>
      </c>
      <c r="C1911" s="8" t="s">
        <v>3783</v>
      </c>
      <c r="D1911" s="8"/>
      <c r="E1911" s="6"/>
      <c r="F1911" s="6"/>
    </row>
    <row r="1912" spans="1:6" x14ac:dyDescent="0.3">
      <c r="A1912" s="8" t="s">
        <v>3784</v>
      </c>
      <c r="B1912" s="8" t="s">
        <v>55516</v>
      </c>
      <c r="C1912" s="8" t="s">
        <v>3785</v>
      </c>
      <c r="D1912" s="8"/>
      <c r="E1912" s="6"/>
      <c r="F1912" s="6"/>
    </row>
    <row r="1913" spans="1:6" x14ac:dyDescent="0.3">
      <c r="A1913" s="8" t="s">
        <v>3786</v>
      </c>
      <c r="B1913" s="8" t="s">
        <v>55517</v>
      </c>
      <c r="C1913" s="8" t="s">
        <v>3787</v>
      </c>
      <c r="D1913" s="8"/>
      <c r="E1913" s="6"/>
      <c r="F1913" s="6"/>
    </row>
    <row r="1914" spans="1:6" x14ac:dyDescent="0.3">
      <c r="A1914" s="8" t="s">
        <v>3788</v>
      </c>
      <c r="B1914" s="8" t="s">
        <v>55518</v>
      </c>
      <c r="C1914" s="8" t="s">
        <v>3789</v>
      </c>
      <c r="D1914" s="8"/>
      <c r="E1914" s="6"/>
      <c r="F1914" s="6"/>
    </row>
    <row r="1915" spans="1:6" x14ac:dyDescent="0.3">
      <c r="A1915" s="8" t="s">
        <v>3790</v>
      </c>
      <c r="B1915" s="8" t="s">
        <v>55519</v>
      </c>
      <c r="C1915" s="8" t="s">
        <v>3791</v>
      </c>
      <c r="D1915" s="8"/>
      <c r="E1915" s="6"/>
      <c r="F1915" s="6"/>
    </row>
    <row r="1916" spans="1:6" x14ac:dyDescent="0.3">
      <c r="A1916" s="8" t="s">
        <v>3792</v>
      </c>
      <c r="B1916" s="8" t="s">
        <v>55520</v>
      </c>
      <c r="C1916" s="8" t="s">
        <v>3793</v>
      </c>
      <c r="D1916" s="8"/>
      <c r="E1916" s="6"/>
      <c r="F1916" s="6"/>
    </row>
    <row r="1917" spans="1:6" x14ac:dyDescent="0.3">
      <c r="A1917" s="8" t="s">
        <v>3794</v>
      </c>
      <c r="B1917" s="8" t="s">
        <v>55521</v>
      </c>
      <c r="C1917" s="8" t="s">
        <v>3795</v>
      </c>
      <c r="D1917" s="8"/>
      <c r="E1917" s="6"/>
      <c r="F1917" s="6"/>
    </row>
    <row r="1918" spans="1:6" x14ac:dyDescent="0.3">
      <c r="A1918" s="8" t="s">
        <v>3796</v>
      </c>
      <c r="B1918" s="8" t="s">
        <v>55522</v>
      </c>
      <c r="C1918" s="8" t="s">
        <v>3797</v>
      </c>
      <c r="D1918" s="8"/>
      <c r="E1918" s="6"/>
      <c r="F1918" s="6"/>
    </row>
    <row r="1919" spans="1:6" x14ac:dyDescent="0.3">
      <c r="A1919" s="8" t="s">
        <v>3798</v>
      </c>
      <c r="B1919" s="8" t="s">
        <v>55523</v>
      </c>
      <c r="C1919" s="8" t="s">
        <v>3799</v>
      </c>
      <c r="D1919" s="8"/>
      <c r="E1919" s="6"/>
      <c r="F1919" s="6"/>
    </row>
    <row r="1920" spans="1:6" x14ac:dyDescent="0.3">
      <c r="A1920" s="8" t="s">
        <v>3800</v>
      </c>
      <c r="B1920" s="8" t="s">
        <v>55524</v>
      </c>
      <c r="C1920" s="8" t="s">
        <v>3801</v>
      </c>
      <c r="D1920" s="8"/>
      <c r="E1920" s="6"/>
      <c r="F1920" s="6"/>
    </row>
    <row r="1921" spans="1:6" x14ac:dyDescent="0.3">
      <c r="A1921" s="8" t="s">
        <v>3802</v>
      </c>
      <c r="B1921" s="8" t="s">
        <v>55525</v>
      </c>
      <c r="C1921" s="8" t="s">
        <v>3803</v>
      </c>
      <c r="D1921" s="8"/>
      <c r="E1921" s="6"/>
      <c r="F1921" s="6"/>
    </row>
    <row r="1922" spans="1:6" x14ac:dyDescent="0.3">
      <c r="A1922" s="8" t="s">
        <v>3804</v>
      </c>
      <c r="B1922" s="8" t="s">
        <v>55526</v>
      </c>
      <c r="C1922" s="8" t="s">
        <v>3805</v>
      </c>
      <c r="D1922" s="8"/>
      <c r="E1922" s="6"/>
      <c r="F1922" s="6"/>
    </row>
    <row r="1923" spans="1:6" x14ac:dyDescent="0.3">
      <c r="A1923" s="8" t="s">
        <v>3806</v>
      </c>
      <c r="B1923" s="8" t="s">
        <v>55527</v>
      </c>
      <c r="C1923" s="8" t="s">
        <v>3807</v>
      </c>
      <c r="D1923" s="8"/>
      <c r="E1923" s="6"/>
      <c r="F1923" s="6"/>
    </row>
    <row r="1924" spans="1:6" x14ac:dyDescent="0.3">
      <c r="A1924" s="8" t="s">
        <v>3808</v>
      </c>
      <c r="B1924" s="8" t="s">
        <v>55528</v>
      </c>
      <c r="C1924" s="8" t="s">
        <v>3809</v>
      </c>
      <c r="D1924" s="8"/>
      <c r="E1924" s="6"/>
      <c r="F1924" s="6"/>
    </row>
    <row r="1925" spans="1:6" x14ac:dyDescent="0.3">
      <c r="A1925" s="8" t="s">
        <v>3810</v>
      </c>
      <c r="B1925" s="8" t="s">
        <v>55529</v>
      </c>
      <c r="C1925" s="8" t="s">
        <v>3811</v>
      </c>
      <c r="D1925" s="8"/>
      <c r="E1925" s="6"/>
      <c r="F1925" s="6"/>
    </row>
    <row r="1926" spans="1:6" x14ac:dyDescent="0.3">
      <c r="A1926" s="8" t="s">
        <v>3812</v>
      </c>
      <c r="B1926" s="8" t="s">
        <v>55530</v>
      </c>
      <c r="C1926" s="8" t="s">
        <v>3813</v>
      </c>
      <c r="D1926" s="8"/>
      <c r="E1926" s="6"/>
      <c r="F1926" s="6"/>
    </row>
    <row r="1927" spans="1:6" x14ac:dyDescent="0.3">
      <c r="A1927" s="8" t="s">
        <v>3814</v>
      </c>
      <c r="B1927" s="8" t="s">
        <v>55531</v>
      </c>
      <c r="C1927" s="8" t="s">
        <v>3815</v>
      </c>
      <c r="D1927" s="8"/>
      <c r="E1927" s="6"/>
      <c r="F1927" s="6"/>
    </row>
    <row r="1928" spans="1:6" x14ac:dyDescent="0.3">
      <c r="A1928" s="8" t="s">
        <v>3816</v>
      </c>
      <c r="B1928" s="8" t="s">
        <v>55532</v>
      </c>
      <c r="C1928" s="8" t="s">
        <v>3817</v>
      </c>
      <c r="D1928" s="8"/>
      <c r="E1928" s="6"/>
      <c r="F1928" s="6"/>
    </row>
    <row r="1929" spans="1:6" x14ac:dyDescent="0.3">
      <c r="A1929" s="8" t="s">
        <v>3818</v>
      </c>
      <c r="B1929" s="8" t="s">
        <v>55533</v>
      </c>
      <c r="C1929" s="8" t="s">
        <v>3819</v>
      </c>
      <c r="D1929" s="8"/>
      <c r="E1929" s="6"/>
      <c r="F1929" s="6"/>
    </row>
    <row r="1930" spans="1:6" x14ac:dyDescent="0.3">
      <c r="A1930" s="8" t="s">
        <v>3820</v>
      </c>
      <c r="B1930" s="8" t="s">
        <v>55534</v>
      </c>
      <c r="C1930" s="8" t="s">
        <v>3821</v>
      </c>
      <c r="D1930" s="8"/>
      <c r="E1930" s="6"/>
      <c r="F1930" s="6"/>
    </row>
    <row r="1931" spans="1:6" x14ac:dyDescent="0.3">
      <c r="A1931" s="8" t="s">
        <v>3822</v>
      </c>
      <c r="B1931" s="8" t="s">
        <v>55535</v>
      </c>
      <c r="C1931" s="8" t="s">
        <v>3823</v>
      </c>
      <c r="D1931" s="8"/>
      <c r="E1931" s="6"/>
      <c r="F1931" s="6"/>
    </row>
    <row r="1932" spans="1:6" x14ac:dyDescent="0.3">
      <c r="A1932" s="8" t="s">
        <v>3824</v>
      </c>
      <c r="B1932" s="8" t="s">
        <v>55536</v>
      </c>
      <c r="C1932" s="8" t="s">
        <v>3825</v>
      </c>
      <c r="D1932" s="8"/>
      <c r="E1932" s="6"/>
      <c r="F1932" s="6"/>
    </row>
    <row r="1933" spans="1:6" x14ac:dyDescent="0.3">
      <c r="A1933" s="8" t="s">
        <v>3826</v>
      </c>
      <c r="B1933" s="8" t="s">
        <v>55537</v>
      </c>
      <c r="C1933" s="8" t="s">
        <v>3827</v>
      </c>
      <c r="D1933" s="8"/>
      <c r="E1933" s="6"/>
      <c r="F1933" s="6"/>
    </row>
    <row r="1934" spans="1:6" x14ac:dyDescent="0.3">
      <c r="A1934" s="8" t="s">
        <v>3828</v>
      </c>
      <c r="B1934" s="8" t="s">
        <v>55538</v>
      </c>
      <c r="C1934" s="8" t="s">
        <v>3829</v>
      </c>
      <c r="D1934" s="8"/>
      <c r="E1934" s="6"/>
      <c r="F1934" s="6"/>
    </row>
    <row r="1935" spans="1:6" x14ac:dyDescent="0.3">
      <c r="A1935" s="8" t="s">
        <v>3830</v>
      </c>
      <c r="B1935" s="8" t="s">
        <v>55539</v>
      </c>
      <c r="C1935" s="8" t="s">
        <v>3831</v>
      </c>
      <c r="D1935" s="8"/>
      <c r="E1935" s="6"/>
      <c r="F1935" s="6"/>
    </row>
    <row r="1936" spans="1:6" x14ac:dyDescent="0.3">
      <c r="A1936" s="8" t="s">
        <v>3832</v>
      </c>
      <c r="B1936" s="8" t="s">
        <v>55540</v>
      </c>
      <c r="C1936" s="8" t="s">
        <v>3833</v>
      </c>
      <c r="D1936" s="8"/>
      <c r="E1936" s="6"/>
      <c r="F1936" s="6"/>
    </row>
    <row r="1937" spans="1:6" x14ac:dyDescent="0.3">
      <c r="A1937" s="8" t="s">
        <v>3834</v>
      </c>
      <c r="B1937" s="8" t="s">
        <v>55541</v>
      </c>
      <c r="C1937" s="8" t="s">
        <v>3835</v>
      </c>
      <c r="D1937" s="8"/>
      <c r="E1937" s="6"/>
      <c r="F1937" s="6"/>
    </row>
    <row r="1938" spans="1:6" x14ac:dyDescent="0.3">
      <c r="A1938" s="8" t="s">
        <v>3836</v>
      </c>
      <c r="B1938" s="8" t="s">
        <v>55542</v>
      </c>
      <c r="C1938" s="8" t="s">
        <v>3837</v>
      </c>
      <c r="D1938" s="8"/>
      <c r="E1938" s="6"/>
      <c r="F1938" s="6"/>
    </row>
    <row r="1939" spans="1:6" x14ac:dyDescent="0.3">
      <c r="A1939" s="8" t="s">
        <v>3838</v>
      </c>
      <c r="B1939" s="8" t="s">
        <v>55543</v>
      </c>
      <c r="C1939" s="8" t="s">
        <v>3839</v>
      </c>
      <c r="D1939" s="8"/>
      <c r="E1939" s="6"/>
      <c r="F1939" s="6"/>
    </row>
    <row r="1940" spans="1:6" x14ac:dyDescent="0.3">
      <c r="A1940" s="8" t="s">
        <v>3840</v>
      </c>
      <c r="B1940" s="8" t="s">
        <v>55544</v>
      </c>
      <c r="C1940" s="8" t="s">
        <v>3841</v>
      </c>
      <c r="D1940" s="8"/>
      <c r="E1940" s="6"/>
      <c r="F1940" s="6"/>
    </row>
    <row r="1941" spans="1:6" x14ac:dyDescent="0.3">
      <c r="A1941" s="8" t="s">
        <v>3842</v>
      </c>
      <c r="B1941" s="8" t="s">
        <v>55545</v>
      </c>
      <c r="C1941" s="8" t="s">
        <v>3843</v>
      </c>
      <c r="D1941" s="8"/>
      <c r="E1941" s="6"/>
      <c r="F1941" s="6"/>
    </row>
    <row r="1942" spans="1:6" x14ac:dyDescent="0.3">
      <c r="A1942" s="8" t="s">
        <v>3844</v>
      </c>
      <c r="B1942" s="8" t="s">
        <v>55546</v>
      </c>
      <c r="C1942" s="8" t="s">
        <v>3845</v>
      </c>
      <c r="D1942" s="8"/>
      <c r="E1942" s="6"/>
      <c r="F1942" s="6"/>
    </row>
    <row r="1943" spans="1:6" x14ac:dyDescent="0.3">
      <c r="A1943" s="8" t="s">
        <v>3846</v>
      </c>
      <c r="B1943" s="8" t="s">
        <v>55547</v>
      </c>
      <c r="C1943" s="8" t="s">
        <v>3847</v>
      </c>
      <c r="D1943" s="8"/>
      <c r="E1943" s="6"/>
      <c r="F1943" s="6"/>
    </row>
    <row r="1944" spans="1:6" x14ac:dyDescent="0.3">
      <c r="A1944" s="8" t="s">
        <v>3848</v>
      </c>
      <c r="B1944" s="8" t="s">
        <v>55548</v>
      </c>
      <c r="C1944" s="8" t="s">
        <v>3849</v>
      </c>
      <c r="D1944" s="8"/>
      <c r="E1944" s="6"/>
      <c r="F1944" s="6"/>
    </row>
    <row r="1945" spans="1:6" x14ac:dyDescent="0.3">
      <c r="A1945" s="8" t="s">
        <v>3850</v>
      </c>
      <c r="B1945" s="8" t="s">
        <v>55549</v>
      </c>
      <c r="C1945" s="8" t="s">
        <v>3851</v>
      </c>
      <c r="D1945" s="8"/>
      <c r="E1945" s="6"/>
      <c r="F1945" s="6"/>
    </row>
    <row r="1946" spans="1:6" x14ac:dyDescent="0.3">
      <c r="A1946" s="8" t="s">
        <v>3852</v>
      </c>
      <c r="B1946" s="8" t="s">
        <v>55550</v>
      </c>
      <c r="C1946" s="8" t="s">
        <v>3853</v>
      </c>
      <c r="D1946" s="8"/>
      <c r="E1946" s="6"/>
      <c r="F1946" s="6"/>
    </row>
    <row r="1947" spans="1:6" x14ac:dyDescent="0.3">
      <c r="A1947" s="8" t="s">
        <v>3854</v>
      </c>
      <c r="B1947" s="8" t="s">
        <v>55551</v>
      </c>
      <c r="C1947" s="8" t="s">
        <v>3855</v>
      </c>
      <c r="D1947" s="8"/>
      <c r="E1947" s="6"/>
      <c r="F1947" s="6"/>
    </row>
    <row r="1948" spans="1:6" x14ac:dyDescent="0.3">
      <c r="A1948" s="8" t="s">
        <v>3856</v>
      </c>
      <c r="B1948" s="8" t="s">
        <v>55552</v>
      </c>
      <c r="C1948" s="8" t="s">
        <v>3857</v>
      </c>
      <c r="D1948" s="8"/>
      <c r="E1948" s="6"/>
      <c r="F1948" s="6"/>
    </row>
    <row r="1949" spans="1:6" x14ac:dyDescent="0.3">
      <c r="A1949" s="8" t="s">
        <v>3858</v>
      </c>
      <c r="B1949" s="8" t="s">
        <v>55553</v>
      </c>
      <c r="C1949" s="8" t="s">
        <v>3859</v>
      </c>
      <c r="D1949" s="8"/>
      <c r="E1949" s="6"/>
      <c r="F1949" s="6"/>
    </row>
    <row r="1950" spans="1:6" x14ac:dyDescent="0.3">
      <c r="A1950" s="8" t="s">
        <v>3860</v>
      </c>
      <c r="B1950" s="8" t="s">
        <v>55554</v>
      </c>
      <c r="C1950" s="8" t="s">
        <v>3861</v>
      </c>
      <c r="D1950" s="8"/>
      <c r="E1950" s="6"/>
      <c r="F1950" s="6"/>
    </row>
    <row r="1951" spans="1:6" x14ac:dyDescent="0.3">
      <c r="A1951" s="8" t="s">
        <v>3862</v>
      </c>
      <c r="B1951" s="8" t="s">
        <v>55555</v>
      </c>
      <c r="C1951" s="8" t="s">
        <v>3863</v>
      </c>
      <c r="D1951" s="8"/>
      <c r="E1951" s="6"/>
      <c r="F1951" s="6"/>
    </row>
    <row r="1952" spans="1:6" x14ac:dyDescent="0.3">
      <c r="A1952" s="8" t="s">
        <v>3864</v>
      </c>
      <c r="B1952" s="8" t="s">
        <v>55556</v>
      </c>
      <c r="C1952" s="8" t="s">
        <v>3865</v>
      </c>
      <c r="D1952" s="8"/>
      <c r="E1952" s="6"/>
      <c r="F1952" s="6"/>
    </row>
    <row r="1953" spans="1:6" x14ac:dyDescent="0.3">
      <c r="A1953" s="8" t="s">
        <v>3866</v>
      </c>
      <c r="B1953" s="8" t="s">
        <v>55557</v>
      </c>
      <c r="C1953" s="8" t="s">
        <v>3867</v>
      </c>
      <c r="D1953" s="8"/>
      <c r="E1953" s="6"/>
      <c r="F1953" s="6"/>
    </row>
    <row r="1954" spans="1:6" x14ac:dyDescent="0.3">
      <c r="A1954" s="8" t="s">
        <v>3868</v>
      </c>
      <c r="B1954" s="8" t="s">
        <v>55558</v>
      </c>
      <c r="C1954" s="8" t="s">
        <v>3869</v>
      </c>
      <c r="D1954" s="8"/>
      <c r="E1954" s="6"/>
      <c r="F1954" s="6"/>
    </row>
    <row r="1955" spans="1:6" x14ac:dyDescent="0.3">
      <c r="A1955" s="8" t="s">
        <v>3870</v>
      </c>
      <c r="B1955" s="8" t="s">
        <v>55559</v>
      </c>
      <c r="C1955" s="8" t="s">
        <v>3871</v>
      </c>
      <c r="D1955" s="8"/>
      <c r="E1955" s="6"/>
      <c r="F1955" s="6"/>
    </row>
    <row r="1956" spans="1:6" x14ac:dyDescent="0.3">
      <c r="A1956" s="8" t="s">
        <v>3872</v>
      </c>
      <c r="B1956" s="8" t="s">
        <v>55560</v>
      </c>
      <c r="C1956" s="8" t="s">
        <v>3873</v>
      </c>
      <c r="D1956" s="8"/>
      <c r="E1956" s="6"/>
      <c r="F1956" s="6"/>
    </row>
    <row r="1957" spans="1:6" x14ac:dyDescent="0.3">
      <c r="A1957" s="8" t="s">
        <v>3874</v>
      </c>
      <c r="B1957" s="8" t="s">
        <v>55561</v>
      </c>
      <c r="C1957" s="8" t="s">
        <v>3875</v>
      </c>
      <c r="D1957" s="8"/>
      <c r="E1957" s="6"/>
      <c r="F1957" s="6"/>
    </row>
    <row r="1958" spans="1:6" x14ac:dyDescent="0.3">
      <c r="A1958" s="8" t="s">
        <v>3876</v>
      </c>
      <c r="B1958" s="8" t="s">
        <v>55562</v>
      </c>
      <c r="C1958" s="8" t="s">
        <v>3877</v>
      </c>
      <c r="D1958" s="8"/>
      <c r="E1958" s="6"/>
      <c r="F1958" s="6"/>
    </row>
    <row r="1959" spans="1:6" x14ac:dyDescent="0.3">
      <c r="A1959" s="8" t="s">
        <v>3878</v>
      </c>
      <c r="B1959" s="8" t="s">
        <v>55563</v>
      </c>
      <c r="C1959" s="8" t="s">
        <v>3879</v>
      </c>
      <c r="D1959" s="8"/>
      <c r="E1959" s="6"/>
      <c r="F1959" s="6"/>
    </row>
    <row r="1960" spans="1:6" x14ac:dyDescent="0.3">
      <c r="A1960" s="8" t="s">
        <v>3880</v>
      </c>
      <c r="B1960" s="8" t="s">
        <v>55564</v>
      </c>
      <c r="C1960" s="8" t="s">
        <v>3881</v>
      </c>
      <c r="D1960" s="8"/>
      <c r="E1960" s="6"/>
      <c r="F1960" s="6"/>
    </row>
    <row r="1961" spans="1:6" x14ac:dyDescent="0.3">
      <c r="A1961" s="8" t="s">
        <v>3882</v>
      </c>
      <c r="B1961" s="8" t="s">
        <v>55565</v>
      </c>
      <c r="C1961" s="8" t="s">
        <v>3883</v>
      </c>
      <c r="D1961" s="8"/>
      <c r="E1961" s="6"/>
      <c r="F1961" s="6"/>
    </row>
    <row r="1962" spans="1:6" x14ac:dyDescent="0.3">
      <c r="A1962" s="8" t="s">
        <v>3884</v>
      </c>
      <c r="B1962" s="8" t="s">
        <v>55566</v>
      </c>
      <c r="C1962" s="8" t="s">
        <v>3885</v>
      </c>
      <c r="D1962" s="8"/>
      <c r="E1962" s="6"/>
      <c r="F1962" s="6"/>
    </row>
    <row r="1963" spans="1:6" x14ac:dyDescent="0.3">
      <c r="A1963" s="8" t="s">
        <v>3886</v>
      </c>
      <c r="B1963" s="8" t="s">
        <v>55567</v>
      </c>
      <c r="C1963" s="8" t="s">
        <v>3887</v>
      </c>
      <c r="D1963" s="8"/>
      <c r="E1963" s="6"/>
      <c r="F1963" s="6"/>
    </row>
    <row r="1964" spans="1:6" x14ac:dyDescent="0.3">
      <c r="A1964" s="8" t="s">
        <v>3888</v>
      </c>
      <c r="B1964" s="8" t="s">
        <v>55568</v>
      </c>
      <c r="C1964" s="8" t="s">
        <v>3889</v>
      </c>
      <c r="D1964" s="8"/>
      <c r="E1964" s="6"/>
      <c r="F1964" s="6"/>
    </row>
    <row r="1965" spans="1:6" x14ac:dyDescent="0.3">
      <c r="A1965" s="8" t="s">
        <v>3890</v>
      </c>
      <c r="B1965" s="8" t="s">
        <v>55569</v>
      </c>
      <c r="C1965" s="8" t="s">
        <v>3891</v>
      </c>
      <c r="D1965" s="8"/>
      <c r="E1965" s="6"/>
      <c r="F1965" s="6"/>
    </row>
    <row r="1966" spans="1:6" x14ac:dyDescent="0.3">
      <c r="A1966" s="8" t="s">
        <v>3892</v>
      </c>
      <c r="B1966" s="8" t="s">
        <v>55570</v>
      </c>
      <c r="C1966" s="8" t="s">
        <v>3893</v>
      </c>
      <c r="D1966" s="8"/>
      <c r="E1966" s="6"/>
      <c r="F1966" s="6"/>
    </row>
    <row r="1967" spans="1:6" x14ac:dyDescent="0.3">
      <c r="A1967" s="8" t="s">
        <v>3894</v>
      </c>
      <c r="B1967" s="8" t="s">
        <v>55571</v>
      </c>
      <c r="C1967" s="8" t="s">
        <v>3895</v>
      </c>
      <c r="D1967" s="8"/>
      <c r="E1967" s="6"/>
      <c r="F1967" s="6"/>
    </row>
    <row r="1968" spans="1:6" x14ac:dyDescent="0.3">
      <c r="A1968" s="8" t="s">
        <v>3896</v>
      </c>
      <c r="B1968" s="8" t="s">
        <v>55572</v>
      </c>
      <c r="C1968" s="8" t="s">
        <v>3897</v>
      </c>
      <c r="D1968" s="8"/>
      <c r="E1968" s="6"/>
      <c r="F1968" s="6"/>
    </row>
    <row r="1969" spans="1:6" x14ac:dyDescent="0.3">
      <c r="A1969" s="8" t="s">
        <v>3898</v>
      </c>
      <c r="B1969" s="8" t="s">
        <v>55573</v>
      </c>
      <c r="C1969" s="8" t="s">
        <v>3899</v>
      </c>
      <c r="D1969" s="8"/>
      <c r="E1969" s="6"/>
      <c r="F1969" s="6"/>
    </row>
    <row r="1970" spans="1:6" x14ac:dyDescent="0.3">
      <c r="A1970" s="8" t="s">
        <v>3900</v>
      </c>
      <c r="B1970" s="8" t="s">
        <v>55574</v>
      </c>
      <c r="C1970" s="8" t="s">
        <v>3901</v>
      </c>
      <c r="D1970" s="8"/>
      <c r="E1970" s="6"/>
      <c r="F1970" s="6"/>
    </row>
    <row r="1971" spans="1:6" x14ac:dyDescent="0.3">
      <c r="A1971" s="8" t="s">
        <v>3902</v>
      </c>
      <c r="B1971" s="8" t="s">
        <v>55575</v>
      </c>
      <c r="C1971" s="8" t="s">
        <v>3903</v>
      </c>
      <c r="D1971" s="8"/>
      <c r="E1971" s="6"/>
      <c r="F1971" s="6"/>
    </row>
    <row r="1972" spans="1:6" x14ac:dyDescent="0.3">
      <c r="A1972" s="8" t="s">
        <v>3904</v>
      </c>
      <c r="B1972" s="8" t="s">
        <v>55576</v>
      </c>
      <c r="C1972" s="8" t="s">
        <v>3905</v>
      </c>
      <c r="D1972" s="8"/>
      <c r="E1972" s="6"/>
      <c r="F1972" s="6"/>
    </row>
    <row r="1973" spans="1:6" x14ac:dyDescent="0.3">
      <c r="A1973" s="8" t="s">
        <v>3906</v>
      </c>
      <c r="B1973" s="8" t="s">
        <v>55577</v>
      </c>
      <c r="C1973" s="8" t="s">
        <v>3907</v>
      </c>
      <c r="D1973" s="8"/>
      <c r="E1973" s="6"/>
      <c r="F1973" s="6"/>
    </row>
    <row r="1974" spans="1:6" x14ac:dyDescent="0.3">
      <c r="A1974" s="8" t="s">
        <v>3908</v>
      </c>
      <c r="B1974" s="8" t="s">
        <v>55578</v>
      </c>
      <c r="C1974" s="8" t="s">
        <v>3909</v>
      </c>
      <c r="D1974" s="8"/>
      <c r="E1974" s="6"/>
      <c r="F1974" s="6"/>
    </row>
    <row r="1975" spans="1:6" x14ac:dyDescent="0.3">
      <c r="A1975" s="8" t="s">
        <v>3910</v>
      </c>
      <c r="B1975" s="8" t="s">
        <v>55579</v>
      </c>
      <c r="C1975" s="8" t="s">
        <v>3911</v>
      </c>
      <c r="D1975" s="8"/>
      <c r="E1975" s="6"/>
      <c r="F1975" s="6"/>
    </row>
    <row r="1976" spans="1:6" x14ac:dyDescent="0.3">
      <c r="A1976" s="8" t="s">
        <v>3912</v>
      </c>
      <c r="B1976" s="8" t="s">
        <v>55580</v>
      </c>
      <c r="C1976" s="8" t="s">
        <v>3913</v>
      </c>
      <c r="D1976" s="8"/>
      <c r="E1976" s="6"/>
      <c r="F1976" s="6"/>
    </row>
    <row r="1977" spans="1:6" x14ac:dyDescent="0.3">
      <c r="A1977" s="8" t="s">
        <v>3914</v>
      </c>
      <c r="B1977" s="8" t="s">
        <v>55581</v>
      </c>
      <c r="C1977" s="8" t="s">
        <v>3915</v>
      </c>
      <c r="D1977" s="8"/>
      <c r="E1977" s="6"/>
      <c r="F1977" s="6"/>
    </row>
    <row r="1978" spans="1:6" x14ac:dyDescent="0.3">
      <c r="A1978" s="8" t="s">
        <v>3916</v>
      </c>
      <c r="B1978" s="8" t="s">
        <v>55582</v>
      </c>
      <c r="C1978" s="8" t="s">
        <v>3917</v>
      </c>
      <c r="D1978" s="8"/>
      <c r="E1978" s="6"/>
      <c r="F1978" s="6"/>
    </row>
    <row r="1979" spans="1:6" x14ac:dyDescent="0.3">
      <c r="A1979" s="8" t="s">
        <v>3918</v>
      </c>
      <c r="B1979" s="8" t="s">
        <v>55583</v>
      </c>
      <c r="C1979" s="8" t="s">
        <v>3919</v>
      </c>
      <c r="D1979" s="8"/>
      <c r="E1979" s="6"/>
      <c r="F1979" s="6"/>
    </row>
    <row r="1980" spans="1:6" x14ac:dyDescent="0.3">
      <c r="A1980" s="8" t="s">
        <v>3920</v>
      </c>
      <c r="B1980" s="8" t="s">
        <v>55584</v>
      </c>
      <c r="C1980" s="8" t="s">
        <v>3921</v>
      </c>
      <c r="D1980" s="8"/>
      <c r="E1980" s="6"/>
      <c r="F1980" s="6"/>
    </row>
    <row r="1981" spans="1:6" x14ac:dyDescent="0.3">
      <c r="A1981" s="8" t="s">
        <v>3922</v>
      </c>
      <c r="B1981" s="8" t="s">
        <v>55585</v>
      </c>
      <c r="C1981" s="8" t="s">
        <v>3923</v>
      </c>
      <c r="D1981" s="8"/>
      <c r="E1981" s="6"/>
      <c r="F1981" s="6"/>
    </row>
    <row r="1982" spans="1:6" x14ac:dyDescent="0.3">
      <c r="A1982" s="8" t="s">
        <v>3924</v>
      </c>
      <c r="B1982" s="8" t="s">
        <v>55586</v>
      </c>
      <c r="C1982" s="8" t="s">
        <v>3925</v>
      </c>
      <c r="D1982" s="8"/>
      <c r="E1982" s="6"/>
      <c r="F1982" s="6"/>
    </row>
    <row r="1983" spans="1:6" x14ac:dyDescent="0.3">
      <c r="A1983" s="8" t="s">
        <v>3926</v>
      </c>
      <c r="B1983" s="8" t="s">
        <v>55587</v>
      </c>
      <c r="C1983" s="8" t="s">
        <v>3927</v>
      </c>
      <c r="D1983" s="8"/>
      <c r="E1983" s="6"/>
      <c r="F1983" s="6"/>
    </row>
    <row r="1984" spans="1:6" x14ac:dyDescent="0.3">
      <c r="A1984" s="8" t="s">
        <v>3928</v>
      </c>
      <c r="B1984" s="8" t="s">
        <v>55588</v>
      </c>
      <c r="C1984" s="8" t="s">
        <v>3929</v>
      </c>
      <c r="D1984" s="8"/>
      <c r="E1984" s="6"/>
      <c r="F1984" s="6"/>
    </row>
    <row r="1985" spans="1:6" x14ac:dyDescent="0.3">
      <c r="A1985" s="8" t="s">
        <v>3930</v>
      </c>
      <c r="B1985" s="8" t="s">
        <v>55589</v>
      </c>
      <c r="C1985" s="8" t="s">
        <v>3931</v>
      </c>
      <c r="D1985" s="8"/>
      <c r="E1985" s="6"/>
      <c r="F1985" s="6"/>
    </row>
    <row r="1986" spans="1:6" x14ac:dyDescent="0.3">
      <c r="A1986" s="8" t="s">
        <v>3932</v>
      </c>
      <c r="B1986" s="8" t="s">
        <v>55590</v>
      </c>
      <c r="C1986" s="8" t="s">
        <v>3933</v>
      </c>
      <c r="D1986" s="8"/>
      <c r="E1986" s="6"/>
      <c r="F1986" s="6"/>
    </row>
    <row r="1987" spans="1:6" x14ac:dyDescent="0.3">
      <c r="A1987" s="8" t="s">
        <v>3934</v>
      </c>
      <c r="B1987" s="8" t="s">
        <v>55591</v>
      </c>
      <c r="C1987" s="8" t="s">
        <v>3935</v>
      </c>
      <c r="D1987" s="8"/>
      <c r="E1987" s="6"/>
      <c r="F1987" s="6"/>
    </row>
    <row r="1988" spans="1:6" x14ac:dyDescent="0.3">
      <c r="A1988" s="8" t="s">
        <v>3936</v>
      </c>
      <c r="B1988" s="8" t="s">
        <v>55592</v>
      </c>
      <c r="C1988" s="8" t="s">
        <v>3937</v>
      </c>
      <c r="D1988" s="8"/>
      <c r="E1988" s="6"/>
      <c r="F1988" s="6"/>
    </row>
    <row r="1989" spans="1:6" x14ac:dyDescent="0.3">
      <c r="A1989" s="8" t="s">
        <v>3938</v>
      </c>
      <c r="B1989" s="8" t="s">
        <v>55593</v>
      </c>
      <c r="C1989" s="8" t="s">
        <v>3939</v>
      </c>
      <c r="D1989" s="8"/>
      <c r="E1989" s="6"/>
      <c r="F1989" s="6"/>
    </row>
    <row r="1990" spans="1:6" x14ac:dyDescent="0.3">
      <c r="A1990" s="8" t="s">
        <v>3940</v>
      </c>
      <c r="B1990" s="8" t="s">
        <v>55594</v>
      </c>
      <c r="C1990" s="8" t="s">
        <v>3941</v>
      </c>
      <c r="D1990" s="8"/>
      <c r="E1990" s="6"/>
      <c r="F1990" s="6"/>
    </row>
    <row r="1991" spans="1:6" x14ac:dyDescent="0.3">
      <c r="A1991" s="8" t="s">
        <v>3942</v>
      </c>
      <c r="B1991" s="8" t="s">
        <v>55595</v>
      </c>
      <c r="C1991" s="8" t="s">
        <v>3943</v>
      </c>
      <c r="D1991" s="8"/>
      <c r="E1991" s="6"/>
      <c r="F1991" s="6"/>
    </row>
    <row r="1992" spans="1:6" x14ac:dyDescent="0.3">
      <c r="A1992" s="8" t="s">
        <v>3944</v>
      </c>
      <c r="B1992" s="8" t="s">
        <v>55596</v>
      </c>
      <c r="C1992" s="8" t="s">
        <v>3945</v>
      </c>
      <c r="D1992" s="8"/>
      <c r="E1992" s="6"/>
      <c r="F1992" s="6"/>
    </row>
    <row r="1993" spans="1:6" x14ac:dyDescent="0.3">
      <c r="A1993" s="8" t="s">
        <v>3946</v>
      </c>
      <c r="B1993" s="8" t="s">
        <v>55597</v>
      </c>
      <c r="C1993" s="8" t="s">
        <v>3947</v>
      </c>
      <c r="D1993" s="8"/>
      <c r="E1993" s="6"/>
      <c r="F1993" s="6"/>
    </row>
    <row r="1994" spans="1:6" x14ac:dyDescent="0.3">
      <c r="A1994" s="8" t="s">
        <v>3948</v>
      </c>
      <c r="B1994" s="8" t="s">
        <v>55598</v>
      </c>
      <c r="C1994" s="8" t="s">
        <v>3949</v>
      </c>
      <c r="D1994" s="8"/>
      <c r="E1994" s="6"/>
      <c r="F1994" s="6"/>
    </row>
    <row r="1995" spans="1:6" x14ac:dyDescent="0.3">
      <c r="A1995" s="8" t="s">
        <v>3950</v>
      </c>
      <c r="B1995" s="8" t="s">
        <v>55599</v>
      </c>
      <c r="C1995" s="8" t="s">
        <v>3951</v>
      </c>
      <c r="D1995" s="8"/>
      <c r="E1995" s="6"/>
      <c r="F1995" s="6"/>
    </row>
    <row r="1996" spans="1:6" x14ac:dyDescent="0.3">
      <c r="A1996" s="8" t="s">
        <v>3952</v>
      </c>
      <c r="B1996" s="8" t="s">
        <v>55600</v>
      </c>
      <c r="C1996" s="8" t="s">
        <v>3953</v>
      </c>
      <c r="D1996" s="8"/>
      <c r="E1996" s="6"/>
      <c r="F1996" s="6"/>
    </row>
    <row r="1997" spans="1:6" x14ac:dyDescent="0.3">
      <c r="A1997" s="8" t="s">
        <v>3954</v>
      </c>
      <c r="B1997" s="8" t="s">
        <v>55601</v>
      </c>
      <c r="C1997" s="8" t="s">
        <v>3955</v>
      </c>
      <c r="D1997" s="8"/>
      <c r="E1997" s="6"/>
      <c r="F1997" s="6"/>
    </row>
    <row r="1998" spans="1:6" x14ac:dyDescent="0.3">
      <c r="A1998" s="8" t="s">
        <v>3956</v>
      </c>
      <c r="B1998" s="8" t="s">
        <v>55602</v>
      </c>
      <c r="C1998" s="8" t="s">
        <v>3957</v>
      </c>
      <c r="D1998" s="8"/>
      <c r="E1998" s="6"/>
      <c r="F1998" s="6"/>
    </row>
    <row r="1999" spans="1:6" x14ac:dyDescent="0.3">
      <c r="A1999" s="8" t="s">
        <v>3958</v>
      </c>
      <c r="B1999" s="8" t="s">
        <v>55603</v>
      </c>
      <c r="C1999" s="8" t="s">
        <v>3959</v>
      </c>
      <c r="D1999" s="8"/>
      <c r="E1999" s="6"/>
      <c r="F1999" s="6"/>
    </row>
    <row r="2000" spans="1:6" x14ac:dyDescent="0.3">
      <c r="A2000" s="8" t="s">
        <v>3960</v>
      </c>
      <c r="B2000" s="8" t="s">
        <v>55604</v>
      </c>
      <c r="C2000" s="8" t="s">
        <v>3961</v>
      </c>
      <c r="D2000" s="8"/>
      <c r="E2000" s="6"/>
      <c r="F2000" s="6"/>
    </row>
    <row r="2001" spans="1:6" x14ac:dyDescent="0.3">
      <c r="A2001" s="8" t="s">
        <v>3962</v>
      </c>
      <c r="B2001" s="8" t="s">
        <v>55605</v>
      </c>
      <c r="C2001" s="8" t="s">
        <v>3963</v>
      </c>
      <c r="D2001" s="8"/>
      <c r="E2001" s="6"/>
      <c r="F2001" s="6"/>
    </row>
    <row r="2002" spans="1:6" x14ac:dyDescent="0.3">
      <c r="A2002" s="8" t="s">
        <v>3964</v>
      </c>
      <c r="B2002" s="8" t="s">
        <v>55606</v>
      </c>
      <c r="C2002" s="8" t="s">
        <v>3965</v>
      </c>
      <c r="D2002" s="8"/>
      <c r="E2002" s="6"/>
      <c r="F2002" s="6"/>
    </row>
    <row r="2003" spans="1:6" x14ac:dyDescent="0.3">
      <c r="A2003" s="8" t="s">
        <v>3966</v>
      </c>
      <c r="B2003" s="8" t="s">
        <v>55607</v>
      </c>
      <c r="C2003" s="8" t="s">
        <v>3967</v>
      </c>
      <c r="D2003" s="8"/>
      <c r="E2003" s="6"/>
      <c r="F2003" s="6"/>
    </row>
    <row r="2004" spans="1:6" x14ac:dyDescent="0.3">
      <c r="A2004" s="8" t="s">
        <v>3968</v>
      </c>
      <c r="B2004" s="8" t="s">
        <v>55608</v>
      </c>
      <c r="C2004" s="8" t="s">
        <v>3969</v>
      </c>
      <c r="D2004" s="8"/>
      <c r="E2004" s="6"/>
      <c r="F2004" s="6"/>
    </row>
    <row r="2005" spans="1:6" x14ac:dyDescent="0.3">
      <c r="A2005" s="8" t="s">
        <v>3970</v>
      </c>
      <c r="B2005" s="8" t="s">
        <v>55609</v>
      </c>
      <c r="C2005" s="8" t="s">
        <v>3971</v>
      </c>
      <c r="D2005" s="8"/>
      <c r="E2005" s="6"/>
      <c r="F2005" s="6"/>
    </row>
    <row r="2006" spans="1:6" x14ac:dyDescent="0.3">
      <c r="A2006" s="8" t="s">
        <v>3972</v>
      </c>
      <c r="B2006" s="8" t="s">
        <v>55610</v>
      </c>
      <c r="C2006" s="8" t="s">
        <v>3973</v>
      </c>
      <c r="D2006" s="8"/>
      <c r="E2006" s="6"/>
      <c r="F2006" s="6"/>
    </row>
    <row r="2007" spans="1:6" x14ac:dyDescent="0.3">
      <c r="A2007" s="8" t="s">
        <v>3974</v>
      </c>
      <c r="B2007" s="8" t="s">
        <v>55611</v>
      </c>
      <c r="C2007" s="8" t="s">
        <v>3975</v>
      </c>
      <c r="D2007" s="8"/>
      <c r="E2007" s="6"/>
      <c r="F2007" s="6"/>
    </row>
    <row r="2008" spans="1:6" x14ac:dyDescent="0.3">
      <c r="A2008" s="8" t="s">
        <v>3976</v>
      </c>
      <c r="B2008" s="8" t="s">
        <v>55612</v>
      </c>
      <c r="C2008" s="8" t="s">
        <v>3977</v>
      </c>
      <c r="D2008" s="8"/>
      <c r="E2008" s="6"/>
      <c r="F2008" s="6"/>
    </row>
    <row r="2009" spans="1:6" x14ac:dyDescent="0.3">
      <c r="A2009" s="8" t="s">
        <v>3978</v>
      </c>
      <c r="B2009" s="8" t="s">
        <v>55613</v>
      </c>
      <c r="C2009" s="8" t="s">
        <v>3979</v>
      </c>
      <c r="D2009" s="8"/>
      <c r="E2009" s="6"/>
      <c r="F2009" s="6"/>
    </row>
    <row r="2010" spans="1:6" x14ac:dyDescent="0.3">
      <c r="A2010" s="8" t="s">
        <v>3980</v>
      </c>
      <c r="B2010" s="8" t="s">
        <v>55614</v>
      </c>
      <c r="C2010" s="8" t="s">
        <v>3981</v>
      </c>
      <c r="D2010" s="8"/>
      <c r="E2010" s="6"/>
      <c r="F2010" s="6"/>
    </row>
    <row r="2011" spans="1:6" x14ac:dyDescent="0.3">
      <c r="A2011" s="8" t="s">
        <v>3982</v>
      </c>
      <c r="B2011" s="8" t="s">
        <v>55615</v>
      </c>
      <c r="C2011" s="8" t="s">
        <v>3983</v>
      </c>
      <c r="D2011" s="8"/>
      <c r="E2011" s="6"/>
      <c r="F2011" s="6"/>
    </row>
    <row r="2012" spans="1:6" x14ac:dyDescent="0.3">
      <c r="A2012" s="8" t="s">
        <v>3984</v>
      </c>
      <c r="B2012" s="8" t="s">
        <v>55616</v>
      </c>
      <c r="C2012" s="8" t="s">
        <v>3985</v>
      </c>
      <c r="D2012" s="8"/>
      <c r="E2012" s="6"/>
      <c r="F2012" s="6"/>
    </row>
    <row r="2013" spans="1:6" x14ac:dyDescent="0.3">
      <c r="A2013" s="8" t="s">
        <v>3986</v>
      </c>
      <c r="B2013" s="8" t="s">
        <v>55617</v>
      </c>
      <c r="C2013" s="8" t="s">
        <v>3987</v>
      </c>
      <c r="D2013" s="8"/>
      <c r="E2013" s="6"/>
      <c r="F2013" s="6"/>
    </row>
    <row r="2014" spans="1:6" x14ac:dyDescent="0.3">
      <c r="A2014" s="8" t="s">
        <v>3988</v>
      </c>
      <c r="B2014" s="8" t="s">
        <v>55618</v>
      </c>
      <c r="C2014" s="8" t="s">
        <v>3989</v>
      </c>
      <c r="D2014" s="8"/>
      <c r="E2014" s="6"/>
      <c r="F2014" s="6"/>
    </row>
    <row r="2015" spans="1:6" x14ac:dyDescent="0.3">
      <c r="A2015" s="8" t="s">
        <v>3990</v>
      </c>
      <c r="B2015" s="8" t="s">
        <v>55619</v>
      </c>
      <c r="C2015" s="8" t="s">
        <v>3991</v>
      </c>
      <c r="D2015" s="8"/>
      <c r="E2015" s="6"/>
      <c r="F2015" s="6"/>
    </row>
    <row r="2016" spans="1:6" x14ac:dyDescent="0.3">
      <c r="A2016" s="8" t="s">
        <v>3992</v>
      </c>
      <c r="B2016" s="8" t="s">
        <v>55620</v>
      </c>
      <c r="C2016" s="8" t="s">
        <v>3993</v>
      </c>
      <c r="D2016" s="8"/>
      <c r="E2016" s="6"/>
      <c r="F2016" s="6"/>
    </row>
    <row r="2017" spans="1:6" x14ac:dyDescent="0.3">
      <c r="A2017" s="8" t="s">
        <v>3994</v>
      </c>
      <c r="B2017" s="8" t="s">
        <v>55621</v>
      </c>
      <c r="C2017" s="8" t="s">
        <v>3995</v>
      </c>
      <c r="D2017" s="8"/>
      <c r="E2017" s="6"/>
      <c r="F2017" s="6"/>
    </row>
    <row r="2018" spans="1:6" x14ac:dyDescent="0.3">
      <c r="A2018" s="8" t="s">
        <v>3996</v>
      </c>
      <c r="B2018" s="8" t="s">
        <v>55622</v>
      </c>
      <c r="C2018" s="8" t="s">
        <v>3997</v>
      </c>
      <c r="D2018" s="8"/>
      <c r="E2018" s="6"/>
      <c r="F2018" s="6"/>
    </row>
    <row r="2019" spans="1:6" x14ac:dyDescent="0.3">
      <c r="A2019" s="8" t="s">
        <v>3998</v>
      </c>
      <c r="B2019" s="8" t="s">
        <v>55623</v>
      </c>
      <c r="C2019" s="8" t="s">
        <v>3999</v>
      </c>
      <c r="D2019" s="8"/>
      <c r="E2019" s="6"/>
      <c r="F2019" s="6"/>
    </row>
    <row r="2020" spans="1:6" x14ac:dyDescent="0.3">
      <c r="A2020" s="8" t="s">
        <v>4000</v>
      </c>
      <c r="B2020" s="8" t="s">
        <v>55624</v>
      </c>
      <c r="C2020" s="8" t="s">
        <v>4001</v>
      </c>
      <c r="D2020" s="8"/>
      <c r="E2020" s="6"/>
      <c r="F2020" s="6"/>
    </row>
    <row r="2021" spans="1:6" x14ac:dyDescent="0.3">
      <c r="A2021" s="8" t="s">
        <v>4002</v>
      </c>
      <c r="B2021" s="8" t="s">
        <v>55625</v>
      </c>
      <c r="C2021" s="8" t="s">
        <v>4003</v>
      </c>
      <c r="D2021" s="8"/>
      <c r="E2021" s="6"/>
      <c r="F2021" s="6"/>
    </row>
    <row r="2022" spans="1:6" x14ac:dyDescent="0.3">
      <c r="A2022" s="8" t="s">
        <v>4004</v>
      </c>
      <c r="B2022" s="8" t="s">
        <v>55626</v>
      </c>
      <c r="C2022" s="8" t="s">
        <v>4005</v>
      </c>
      <c r="D2022" s="8"/>
      <c r="E2022" s="6"/>
      <c r="F2022" s="6"/>
    </row>
    <row r="2023" spans="1:6" x14ac:dyDescent="0.3">
      <c r="A2023" s="8" t="s">
        <v>4006</v>
      </c>
      <c r="B2023" s="8" t="s">
        <v>55627</v>
      </c>
      <c r="C2023" s="8" t="s">
        <v>4007</v>
      </c>
      <c r="D2023" s="8"/>
      <c r="E2023" s="6"/>
      <c r="F2023" s="6"/>
    </row>
    <row r="2024" spans="1:6" x14ac:dyDescent="0.3">
      <c r="A2024" s="8" t="s">
        <v>4008</v>
      </c>
      <c r="B2024" s="8" t="s">
        <v>55628</v>
      </c>
      <c r="C2024" s="8" t="s">
        <v>4009</v>
      </c>
      <c r="D2024" s="8"/>
      <c r="E2024" s="6"/>
      <c r="F2024" s="6"/>
    </row>
    <row r="2025" spans="1:6" x14ac:dyDescent="0.3">
      <c r="A2025" s="8" t="s">
        <v>4010</v>
      </c>
      <c r="B2025" s="8" t="s">
        <v>55629</v>
      </c>
      <c r="C2025" s="8" t="s">
        <v>4011</v>
      </c>
      <c r="D2025" s="8"/>
      <c r="E2025" s="6"/>
      <c r="F2025" s="6"/>
    </row>
    <row r="2026" spans="1:6" x14ac:dyDescent="0.3">
      <c r="A2026" s="8" t="s">
        <v>4012</v>
      </c>
      <c r="B2026" s="8" t="s">
        <v>55630</v>
      </c>
      <c r="C2026" s="8" t="s">
        <v>4013</v>
      </c>
      <c r="D2026" s="8"/>
      <c r="E2026" s="6"/>
      <c r="F2026" s="6"/>
    </row>
    <row r="2027" spans="1:6" x14ac:dyDescent="0.3">
      <c r="A2027" s="8" t="s">
        <v>4014</v>
      </c>
      <c r="B2027" s="8" t="s">
        <v>55631</v>
      </c>
      <c r="C2027" s="8" t="s">
        <v>4015</v>
      </c>
      <c r="D2027" s="8"/>
      <c r="E2027" s="6"/>
      <c r="F2027" s="6"/>
    </row>
    <row r="2028" spans="1:6" x14ac:dyDescent="0.3">
      <c r="A2028" s="8" t="s">
        <v>4016</v>
      </c>
      <c r="B2028" s="8" t="s">
        <v>55632</v>
      </c>
      <c r="C2028" s="8" t="s">
        <v>4017</v>
      </c>
      <c r="D2028" s="8"/>
      <c r="E2028" s="6"/>
      <c r="F2028" s="6"/>
    </row>
    <row r="2029" spans="1:6" x14ac:dyDescent="0.3">
      <c r="A2029" s="8" t="s">
        <v>4018</v>
      </c>
      <c r="B2029" s="8" t="s">
        <v>55633</v>
      </c>
      <c r="C2029" s="8" t="s">
        <v>4019</v>
      </c>
      <c r="D2029" s="8"/>
      <c r="E2029" s="6"/>
      <c r="F2029" s="6"/>
    </row>
    <row r="2030" spans="1:6" x14ac:dyDescent="0.3">
      <c r="A2030" s="8" t="s">
        <v>4020</v>
      </c>
      <c r="B2030" s="8" t="s">
        <v>55634</v>
      </c>
      <c r="C2030" s="8" t="s">
        <v>4021</v>
      </c>
      <c r="D2030" s="8"/>
      <c r="E2030" s="6"/>
      <c r="F2030" s="6"/>
    </row>
    <row r="2031" spans="1:6" x14ac:dyDescent="0.3">
      <c r="A2031" s="8" t="s">
        <v>4022</v>
      </c>
      <c r="B2031" s="8" t="s">
        <v>55635</v>
      </c>
      <c r="C2031" s="8" t="s">
        <v>4023</v>
      </c>
      <c r="D2031" s="8"/>
      <c r="E2031" s="6"/>
      <c r="F2031" s="6"/>
    </row>
    <row r="2032" spans="1:6" x14ac:dyDescent="0.3">
      <c r="A2032" s="8" t="s">
        <v>4024</v>
      </c>
      <c r="B2032" s="8" t="s">
        <v>55636</v>
      </c>
      <c r="C2032" s="8" t="s">
        <v>4025</v>
      </c>
      <c r="D2032" s="8"/>
      <c r="E2032" s="6"/>
      <c r="F2032" s="6"/>
    </row>
    <row r="2033" spans="1:6" x14ac:dyDescent="0.3">
      <c r="A2033" s="8" t="s">
        <v>4026</v>
      </c>
      <c r="B2033" s="8" t="s">
        <v>55637</v>
      </c>
      <c r="C2033" s="8" t="s">
        <v>4027</v>
      </c>
      <c r="D2033" s="8"/>
      <c r="E2033" s="6"/>
      <c r="F2033" s="6"/>
    </row>
    <row r="2034" spans="1:6" x14ac:dyDescent="0.3">
      <c r="A2034" s="8" t="s">
        <v>4028</v>
      </c>
      <c r="B2034" s="8" t="s">
        <v>55638</v>
      </c>
      <c r="C2034" s="8" t="s">
        <v>4029</v>
      </c>
      <c r="D2034" s="8"/>
      <c r="E2034" s="6"/>
      <c r="F2034" s="6"/>
    </row>
    <row r="2035" spans="1:6" x14ac:dyDescent="0.3">
      <c r="A2035" s="8" t="s">
        <v>4030</v>
      </c>
      <c r="B2035" s="8" t="s">
        <v>55639</v>
      </c>
      <c r="C2035" s="8" t="s">
        <v>4031</v>
      </c>
      <c r="D2035" s="8"/>
      <c r="E2035" s="6"/>
      <c r="F2035" s="6"/>
    </row>
    <row r="2036" spans="1:6" x14ac:dyDescent="0.3">
      <c r="A2036" s="8" t="s">
        <v>4032</v>
      </c>
      <c r="B2036" s="8" t="s">
        <v>55640</v>
      </c>
      <c r="C2036" s="8" t="s">
        <v>4033</v>
      </c>
      <c r="D2036" s="8"/>
      <c r="E2036" s="6"/>
      <c r="F2036" s="6"/>
    </row>
    <row r="2037" spans="1:6" x14ac:dyDescent="0.3">
      <c r="A2037" s="8" t="s">
        <v>4034</v>
      </c>
      <c r="B2037" s="8" t="s">
        <v>55641</v>
      </c>
      <c r="C2037" s="8" t="s">
        <v>4035</v>
      </c>
      <c r="D2037" s="8"/>
      <c r="E2037" s="6"/>
      <c r="F2037" s="6"/>
    </row>
    <row r="2038" spans="1:6" x14ac:dyDescent="0.3">
      <c r="A2038" s="8" t="s">
        <v>4036</v>
      </c>
      <c r="B2038" s="8" t="s">
        <v>55642</v>
      </c>
      <c r="C2038" s="8" t="s">
        <v>4037</v>
      </c>
      <c r="D2038" s="8"/>
      <c r="E2038" s="6"/>
      <c r="F2038" s="6"/>
    </row>
    <row r="2039" spans="1:6" x14ac:dyDescent="0.3">
      <c r="A2039" s="8" t="s">
        <v>4038</v>
      </c>
      <c r="B2039" s="8" t="s">
        <v>55643</v>
      </c>
      <c r="C2039" s="8" t="s">
        <v>4039</v>
      </c>
      <c r="D2039" s="8"/>
      <c r="E2039" s="6"/>
      <c r="F2039" s="6"/>
    </row>
    <row r="2040" spans="1:6" x14ac:dyDescent="0.3">
      <c r="A2040" s="8" t="s">
        <v>4040</v>
      </c>
      <c r="B2040" s="8" t="s">
        <v>55644</v>
      </c>
      <c r="C2040" s="8" t="s">
        <v>4041</v>
      </c>
      <c r="D2040" s="8"/>
      <c r="E2040" s="6"/>
      <c r="F2040" s="6"/>
    </row>
    <row r="2041" spans="1:6" x14ac:dyDescent="0.3">
      <c r="A2041" s="8" t="s">
        <v>4042</v>
      </c>
      <c r="B2041" s="8" t="s">
        <v>55645</v>
      </c>
      <c r="C2041" s="8" t="s">
        <v>4043</v>
      </c>
      <c r="D2041" s="8"/>
      <c r="E2041" s="6"/>
      <c r="F2041" s="6"/>
    </row>
    <row r="2042" spans="1:6" x14ac:dyDescent="0.3">
      <c r="A2042" s="8" t="s">
        <v>4044</v>
      </c>
      <c r="B2042" s="8" t="s">
        <v>55646</v>
      </c>
      <c r="C2042" s="8" t="s">
        <v>4045</v>
      </c>
      <c r="D2042" s="8"/>
      <c r="E2042" s="6"/>
      <c r="F2042" s="6"/>
    </row>
    <row r="2043" spans="1:6" x14ac:dyDescent="0.3">
      <c r="A2043" s="8" t="s">
        <v>4046</v>
      </c>
      <c r="B2043" s="8" t="s">
        <v>55647</v>
      </c>
      <c r="C2043" s="8" t="s">
        <v>4047</v>
      </c>
      <c r="D2043" s="8"/>
      <c r="E2043" s="6"/>
      <c r="F2043" s="6"/>
    </row>
    <row r="2044" spans="1:6" x14ac:dyDescent="0.3">
      <c r="A2044" s="8" t="s">
        <v>4048</v>
      </c>
      <c r="B2044" s="8" t="s">
        <v>55648</v>
      </c>
      <c r="C2044" s="8" t="s">
        <v>4049</v>
      </c>
      <c r="D2044" s="8"/>
      <c r="E2044" s="6"/>
      <c r="F2044" s="6"/>
    </row>
    <row r="2045" spans="1:6" x14ac:dyDescent="0.3">
      <c r="A2045" s="8" t="s">
        <v>4050</v>
      </c>
      <c r="B2045" s="8" t="s">
        <v>55649</v>
      </c>
      <c r="C2045" s="8" t="s">
        <v>4051</v>
      </c>
      <c r="D2045" s="8"/>
      <c r="E2045" s="6"/>
      <c r="F2045" s="6"/>
    </row>
    <row r="2046" spans="1:6" x14ac:dyDescent="0.3">
      <c r="A2046" s="8" t="s">
        <v>4052</v>
      </c>
      <c r="B2046" s="8" t="s">
        <v>55650</v>
      </c>
      <c r="C2046" s="8" t="s">
        <v>4053</v>
      </c>
      <c r="D2046" s="8"/>
      <c r="E2046" s="6"/>
      <c r="F2046" s="6"/>
    </row>
    <row r="2047" spans="1:6" x14ac:dyDescent="0.3">
      <c r="A2047" s="8" t="s">
        <v>4054</v>
      </c>
      <c r="B2047" s="8" t="s">
        <v>55651</v>
      </c>
      <c r="C2047" s="8" t="s">
        <v>4055</v>
      </c>
      <c r="D2047" s="8"/>
      <c r="E2047" s="6"/>
      <c r="F2047" s="6"/>
    </row>
    <row r="2048" spans="1:6" x14ac:dyDescent="0.3">
      <c r="A2048" s="8" t="s">
        <v>4056</v>
      </c>
      <c r="B2048" s="8" t="s">
        <v>55652</v>
      </c>
      <c r="C2048" s="8" t="s">
        <v>4057</v>
      </c>
      <c r="D2048" s="8"/>
      <c r="E2048" s="6"/>
      <c r="F2048" s="6"/>
    </row>
    <row r="2049" spans="1:6" x14ac:dyDescent="0.3">
      <c r="A2049" s="8" t="s">
        <v>4058</v>
      </c>
      <c r="B2049" s="8" t="s">
        <v>55653</v>
      </c>
      <c r="C2049" s="8" t="s">
        <v>4059</v>
      </c>
      <c r="D2049" s="8"/>
      <c r="E2049" s="6"/>
      <c r="F2049" s="6"/>
    </row>
    <row r="2050" spans="1:6" x14ac:dyDescent="0.3">
      <c r="A2050" s="8" t="s">
        <v>4060</v>
      </c>
      <c r="B2050" s="8" t="s">
        <v>55654</v>
      </c>
      <c r="C2050" s="8" t="s">
        <v>4061</v>
      </c>
      <c r="D2050" s="8"/>
      <c r="E2050" s="6"/>
      <c r="F2050" s="6"/>
    </row>
    <row r="2051" spans="1:6" x14ac:dyDescent="0.3">
      <c r="A2051" s="8" t="s">
        <v>4062</v>
      </c>
      <c r="B2051" s="8" t="s">
        <v>55655</v>
      </c>
      <c r="C2051" s="8" t="s">
        <v>4063</v>
      </c>
      <c r="D2051" s="8"/>
      <c r="E2051" s="6"/>
      <c r="F2051" s="6"/>
    </row>
    <row r="2052" spans="1:6" x14ac:dyDescent="0.3">
      <c r="A2052" s="8" t="s">
        <v>4064</v>
      </c>
      <c r="B2052" s="8" t="s">
        <v>55656</v>
      </c>
      <c r="C2052" s="8" t="s">
        <v>4065</v>
      </c>
      <c r="D2052" s="8"/>
      <c r="E2052" s="6"/>
      <c r="F2052" s="6"/>
    </row>
    <row r="2053" spans="1:6" x14ac:dyDescent="0.3">
      <c r="A2053" s="8" t="s">
        <v>4066</v>
      </c>
      <c r="B2053" s="8" t="s">
        <v>55657</v>
      </c>
      <c r="C2053" s="8" t="s">
        <v>4067</v>
      </c>
      <c r="D2053" s="8"/>
      <c r="E2053" s="6"/>
      <c r="F2053" s="6"/>
    </row>
    <row r="2054" spans="1:6" x14ac:dyDescent="0.3">
      <c r="A2054" s="8" t="s">
        <v>4068</v>
      </c>
      <c r="B2054" s="8" t="s">
        <v>55658</v>
      </c>
      <c r="C2054" s="8" t="s">
        <v>4069</v>
      </c>
      <c r="D2054" s="8"/>
      <c r="E2054" s="6"/>
      <c r="F2054" s="6"/>
    </row>
    <row r="2055" spans="1:6" x14ac:dyDescent="0.3">
      <c r="A2055" s="8" t="s">
        <v>4070</v>
      </c>
      <c r="B2055" s="8" t="s">
        <v>55659</v>
      </c>
      <c r="C2055" s="8" t="s">
        <v>4071</v>
      </c>
      <c r="D2055" s="8"/>
      <c r="E2055" s="6"/>
      <c r="F2055" s="6"/>
    </row>
    <row r="2056" spans="1:6" x14ac:dyDescent="0.3">
      <c r="A2056" s="8" t="s">
        <v>4072</v>
      </c>
      <c r="B2056" s="8" t="s">
        <v>55660</v>
      </c>
      <c r="C2056" s="8" t="s">
        <v>4073</v>
      </c>
      <c r="D2056" s="8"/>
      <c r="E2056" s="6"/>
      <c r="F2056" s="6"/>
    </row>
    <row r="2057" spans="1:6" x14ac:dyDescent="0.3">
      <c r="A2057" s="8" t="s">
        <v>4074</v>
      </c>
      <c r="B2057" s="8" t="s">
        <v>55661</v>
      </c>
      <c r="C2057" s="8" t="s">
        <v>4075</v>
      </c>
      <c r="D2057" s="8"/>
      <c r="E2057" s="6"/>
      <c r="F2057" s="6"/>
    </row>
    <row r="2058" spans="1:6" x14ac:dyDescent="0.3">
      <c r="A2058" s="8" t="s">
        <v>4076</v>
      </c>
      <c r="B2058" s="8" t="s">
        <v>55662</v>
      </c>
      <c r="C2058" s="8" t="s">
        <v>4077</v>
      </c>
      <c r="D2058" s="8"/>
      <c r="E2058" s="6"/>
      <c r="F2058" s="6"/>
    </row>
    <row r="2059" spans="1:6" x14ac:dyDescent="0.3">
      <c r="A2059" s="8" t="s">
        <v>4078</v>
      </c>
      <c r="B2059" s="8" t="s">
        <v>55663</v>
      </c>
      <c r="C2059" s="8" t="s">
        <v>4079</v>
      </c>
      <c r="D2059" s="8"/>
      <c r="E2059" s="6"/>
      <c r="F2059" s="6"/>
    </row>
    <row r="2060" spans="1:6" x14ac:dyDescent="0.3">
      <c r="A2060" s="8" t="s">
        <v>4080</v>
      </c>
      <c r="B2060" s="8" t="s">
        <v>55664</v>
      </c>
      <c r="C2060" s="8" t="s">
        <v>4081</v>
      </c>
      <c r="D2060" s="8"/>
      <c r="E2060" s="6"/>
      <c r="F2060" s="6"/>
    </row>
    <row r="2061" spans="1:6" x14ac:dyDescent="0.3">
      <c r="A2061" s="8" t="s">
        <v>4082</v>
      </c>
      <c r="B2061" s="8" t="s">
        <v>55665</v>
      </c>
      <c r="C2061" s="8" t="s">
        <v>4083</v>
      </c>
      <c r="D2061" s="8"/>
      <c r="E2061" s="6"/>
      <c r="F2061" s="6"/>
    </row>
    <row r="2062" spans="1:6" x14ac:dyDescent="0.3">
      <c r="A2062" s="8" t="s">
        <v>4084</v>
      </c>
      <c r="B2062" s="8" t="s">
        <v>55666</v>
      </c>
      <c r="C2062" s="8" t="s">
        <v>4085</v>
      </c>
      <c r="D2062" s="8"/>
      <c r="E2062" s="6"/>
      <c r="F2062" s="6"/>
    </row>
    <row r="2063" spans="1:6" x14ac:dyDescent="0.3">
      <c r="A2063" s="8" t="s">
        <v>4086</v>
      </c>
      <c r="B2063" s="8" t="s">
        <v>55667</v>
      </c>
      <c r="C2063" s="8" t="s">
        <v>4087</v>
      </c>
      <c r="D2063" s="8"/>
      <c r="E2063" s="6"/>
      <c r="F2063" s="6"/>
    </row>
    <row r="2064" spans="1:6" x14ac:dyDescent="0.3">
      <c r="A2064" s="8" t="s">
        <v>4088</v>
      </c>
      <c r="B2064" s="8" t="s">
        <v>55668</v>
      </c>
      <c r="C2064" s="8" t="s">
        <v>4089</v>
      </c>
      <c r="D2064" s="8"/>
      <c r="E2064" s="6"/>
      <c r="F2064" s="6"/>
    </row>
    <row r="2065" spans="1:6" x14ac:dyDescent="0.3">
      <c r="A2065" s="8" t="s">
        <v>4090</v>
      </c>
      <c r="B2065" s="8" t="s">
        <v>55669</v>
      </c>
      <c r="C2065" s="8" t="s">
        <v>4091</v>
      </c>
      <c r="D2065" s="8"/>
      <c r="E2065" s="6"/>
      <c r="F2065" s="6"/>
    </row>
    <row r="2066" spans="1:6" x14ac:dyDescent="0.3">
      <c r="A2066" s="8" t="s">
        <v>4092</v>
      </c>
      <c r="B2066" s="8" t="s">
        <v>55670</v>
      </c>
      <c r="C2066" s="8" t="s">
        <v>4093</v>
      </c>
      <c r="D2066" s="8"/>
      <c r="E2066" s="6"/>
      <c r="F2066" s="6"/>
    </row>
    <row r="2067" spans="1:6" x14ac:dyDescent="0.3">
      <c r="A2067" s="8" t="s">
        <v>4094</v>
      </c>
      <c r="B2067" s="8" t="s">
        <v>55671</v>
      </c>
      <c r="C2067" s="8" t="s">
        <v>4095</v>
      </c>
      <c r="D2067" s="8"/>
      <c r="E2067" s="6"/>
      <c r="F2067" s="6"/>
    </row>
    <row r="2068" spans="1:6" x14ac:dyDescent="0.3">
      <c r="A2068" s="8" t="s">
        <v>4096</v>
      </c>
      <c r="B2068" s="8" t="s">
        <v>55672</v>
      </c>
      <c r="C2068" s="8" t="s">
        <v>4097</v>
      </c>
      <c r="D2068" s="8"/>
      <c r="E2068" s="6"/>
      <c r="F2068" s="6"/>
    </row>
    <row r="2069" spans="1:6" x14ac:dyDescent="0.3">
      <c r="A2069" s="8" t="s">
        <v>4098</v>
      </c>
      <c r="B2069" s="8" t="s">
        <v>55673</v>
      </c>
      <c r="C2069" s="8" t="s">
        <v>4099</v>
      </c>
      <c r="D2069" s="8"/>
      <c r="E2069" s="6"/>
      <c r="F2069" s="6"/>
    </row>
    <row r="2070" spans="1:6" x14ac:dyDescent="0.3">
      <c r="A2070" s="8" t="s">
        <v>4100</v>
      </c>
      <c r="B2070" s="8" t="s">
        <v>55674</v>
      </c>
      <c r="C2070" s="8" t="s">
        <v>4101</v>
      </c>
      <c r="D2070" s="8"/>
      <c r="E2070" s="6"/>
      <c r="F2070" s="6"/>
    </row>
    <row r="2071" spans="1:6" x14ac:dyDescent="0.3">
      <c r="A2071" s="8" t="s">
        <v>4102</v>
      </c>
      <c r="B2071" s="8" t="s">
        <v>55675</v>
      </c>
      <c r="C2071" s="8" t="s">
        <v>4103</v>
      </c>
      <c r="D2071" s="8"/>
      <c r="E2071" s="6"/>
      <c r="F2071" s="6"/>
    </row>
    <row r="2072" spans="1:6" x14ac:dyDescent="0.3">
      <c r="A2072" s="8" t="s">
        <v>4104</v>
      </c>
      <c r="B2072" s="8" t="s">
        <v>55676</v>
      </c>
      <c r="C2072" s="8" t="s">
        <v>4105</v>
      </c>
      <c r="D2072" s="8"/>
      <c r="E2072" s="6"/>
      <c r="F2072" s="6"/>
    </row>
    <row r="2073" spans="1:6" x14ac:dyDescent="0.3">
      <c r="A2073" s="8" t="s">
        <v>4106</v>
      </c>
      <c r="B2073" s="8" t="s">
        <v>55677</v>
      </c>
      <c r="C2073" s="8" t="s">
        <v>4107</v>
      </c>
      <c r="D2073" s="8"/>
      <c r="E2073" s="6"/>
      <c r="F2073" s="6"/>
    </row>
    <row r="2074" spans="1:6" x14ac:dyDescent="0.3">
      <c r="A2074" s="8" t="s">
        <v>4108</v>
      </c>
      <c r="B2074" s="8" t="s">
        <v>55678</v>
      </c>
      <c r="C2074" s="8" t="s">
        <v>4109</v>
      </c>
      <c r="D2074" s="8"/>
      <c r="E2074" s="6"/>
      <c r="F2074" s="6"/>
    </row>
    <row r="2075" spans="1:6" x14ac:dyDescent="0.3">
      <c r="A2075" s="8" t="s">
        <v>4110</v>
      </c>
      <c r="B2075" s="8" t="s">
        <v>55679</v>
      </c>
      <c r="C2075" s="8" t="s">
        <v>4111</v>
      </c>
      <c r="D2075" s="8"/>
      <c r="E2075" s="6"/>
      <c r="F2075" s="6"/>
    </row>
    <row r="2076" spans="1:6" x14ac:dyDescent="0.3">
      <c r="A2076" s="8" t="s">
        <v>4112</v>
      </c>
      <c r="B2076" s="8" t="s">
        <v>55680</v>
      </c>
      <c r="C2076" s="8" t="s">
        <v>4113</v>
      </c>
      <c r="D2076" s="8"/>
      <c r="E2076" s="6"/>
      <c r="F2076" s="6"/>
    </row>
    <row r="2077" spans="1:6" x14ac:dyDescent="0.3">
      <c r="A2077" s="8" t="s">
        <v>4114</v>
      </c>
      <c r="B2077" s="8" t="s">
        <v>55681</v>
      </c>
      <c r="C2077" s="8" t="s">
        <v>4115</v>
      </c>
      <c r="D2077" s="8"/>
      <c r="E2077" s="6"/>
      <c r="F2077" s="6"/>
    </row>
    <row r="2078" spans="1:6" x14ac:dyDescent="0.3">
      <c r="A2078" s="8" t="s">
        <v>4116</v>
      </c>
      <c r="B2078" s="8" t="s">
        <v>55682</v>
      </c>
      <c r="C2078" s="8" t="s">
        <v>4117</v>
      </c>
      <c r="D2078" s="8"/>
      <c r="E2078" s="6"/>
      <c r="F2078" s="6"/>
    </row>
    <row r="2079" spans="1:6" x14ac:dyDescent="0.3">
      <c r="A2079" s="8" t="s">
        <v>4118</v>
      </c>
      <c r="B2079" s="8" t="s">
        <v>55683</v>
      </c>
      <c r="C2079" s="8" t="s">
        <v>4119</v>
      </c>
      <c r="D2079" s="8"/>
      <c r="E2079" s="6"/>
      <c r="F2079" s="6"/>
    </row>
    <row r="2080" spans="1:6" x14ac:dyDescent="0.3">
      <c r="A2080" s="8" t="s">
        <v>4120</v>
      </c>
      <c r="B2080" s="8" t="s">
        <v>55684</v>
      </c>
      <c r="C2080" s="8" t="s">
        <v>4121</v>
      </c>
      <c r="D2080" s="8"/>
      <c r="E2080" s="6"/>
      <c r="F2080" s="6"/>
    </row>
    <row r="2081" spans="1:6" x14ac:dyDescent="0.3">
      <c r="A2081" s="8" t="s">
        <v>4122</v>
      </c>
      <c r="B2081" s="8" t="s">
        <v>55685</v>
      </c>
      <c r="C2081" s="8" t="s">
        <v>4123</v>
      </c>
      <c r="D2081" s="8"/>
      <c r="E2081" s="6"/>
      <c r="F2081" s="6"/>
    </row>
    <row r="2082" spans="1:6" x14ac:dyDescent="0.3">
      <c r="A2082" s="8" t="s">
        <v>4124</v>
      </c>
      <c r="B2082" s="8" t="s">
        <v>55686</v>
      </c>
      <c r="C2082" s="8" t="s">
        <v>4125</v>
      </c>
      <c r="D2082" s="8"/>
      <c r="E2082" s="6"/>
      <c r="F2082" s="6"/>
    </row>
    <row r="2083" spans="1:6" x14ac:dyDescent="0.3">
      <c r="A2083" s="8" t="s">
        <v>4126</v>
      </c>
      <c r="B2083" s="8" t="s">
        <v>55687</v>
      </c>
      <c r="C2083" s="8" t="s">
        <v>4127</v>
      </c>
      <c r="D2083" s="8"/>
      <c r="E2083" s="6"/>
      <c r="F2083" s="6"/>
    </row>
    <row r="2084" spans="1:6" x14ac:dyDescent="0.3">
      <c r="A2084" s="8" t="s">
        <v>4128</v>
      </c>
      <c r="B2084" s="8" t="s">
        <v>55688</v>
      </c>
      <c r="C2084" s="8" t="s">
        <v>4129</v>
      </c>
      <c r="D2084" s="8"/>
      <c r="E2084" s="6"/>
      <c r="F2084" s="6"/>
    </row>
    <row r="2085" spans="1:6" x14ac:dyDescent="0.3">
      <c r="A2085" s="8" t="s">
        <v>4130</v>
      </c>
      <c r="B2085" s="8" t="s">
        <v>55689</v>
      </c>
      <c r="C2085" s="8" t="s">
        <v>4131</v>
      </c>
      <c r="D2085" s="8"/>
      <c r="E2085" s="6"/>
      <c r="F2085" s="6"/>
    </row>
    <row r="2086" spans="1:6" x14ac:dyDescent="0.3">
      <c r="A2086" s="8" t="s">
        <v>4132</v>
      </c>
      <c r="B2086" s="8" t="s">
        <v>55690</v>
      </c>
      <c r="C2086" s="8" t="s">
        <v>4133</v>
      </c>
      <c r="D2086" s="8"/>
      <c r="E2086" s="6"/>
      <c r="F2086" s="6"/>
    </row>
    <row r="2087" spans="1:6" x14ac:dyDescent="0.3">
      <c r="A2087" s="8" t="s">
        <v>4134</v>
      </c>
      <c r="B2087" s="8" t="s">
        <v>55691</v>
      </c>
      <c r="C2087" s="8" t="s">
        <v>4135</v>
      </c>
      <c r="D2087" s="8"/>
      <c r="E2087" s="6"/>
      <c r="F2087" s="6"/>
    </row>
    <row r="2088" spans="1:6" x14ac:dyDescent="0.3">
      <c r="A2088" s="8" t="s">
        <v>4136</v>
      </c>
      <c r="B2088" s="8" t="s">
        <v>55692</v>
      </c>
      <c r="C2088" s="8" t="s">
        <v>4137</v>
      </c>
      <c r="D2088" s="8"/>
      <c r="E2088" s="6"/>
      <c r="F2088" s="6"/>
    </row>
    <row r="2089" spans="1:6" x14ac:dyDescent="0.3">
      <c r="A2089" s="8" t="s">
        <v>4138</v>
      </c>
      <c r="B2089" s="8" t="s">
        <v>55693</v>
      </c>
      <c r="C2089" s="8" t="s">
        <v>4139</v>
      </c>
      <c r="D2089" s="8"/>
      <c r="E2089" s="6"/>
      <c r="F2089" s="6"/>
    </row>
    <row r="2090" spans="1:6" x14ac:dyDescent="0.3">
      <c r="A2090" s="8" t="s">
        <v>4140</v>
      </c>
      <c r="B2090" s="8" t="s">
        <v>55694</v>
      </c>
      <c r="C2090" s="8" t="s">
        <v>4141</v>
      </c>
      <c r="D2090" s="8"/>
      <c r="E2090" s="6"/>
      <c r="F2090" s="6"/>
    </row>
    <row r="2091" spans="1:6" x14ac:dyDescent="0.3">
      <c r="A2091" s="8" t="s">
        <v>4142</v>
      </c>
      <c r="B2091" s="8" t="s">
        <v>55695</v>
      </c>
      <c r="C2091" s="8" t="s">
        <v>4143</v>
      </c>
      <c r="D2091" s="8"/>
      <c r="E2091" s="6"/>
      <c r="F2091" s="6"/>
    </row>
    <row r="2092" spans="1:6" x14ac:dyDescent="0.3">
      <c r="A2092" s="8" t="s">
        <v>4144</v>
      </c>
      <c r="B2092" s="8" t="s">
        <v>55696</v>
      </c>
      <c r="C2092" s="8" t="s">
        <v>4145</v>
      </c>
      <c r="D2092" s="8"/>
      <c r="E2092" s="6"/>
      <c r="F2092" s="6"/>
    </row>
    <row r="2093" spans="1:6" x14ac:dyDescent="0.3">
      <c r="A2093" s="8" t="s">
        <v>4146</v>
      </c>
      <c r="B2093" s="8" t="s">
        <v>55697</v>
      </c>
      <c r="C2093" s="8" t="s">
        <v>4147</v>
      </c>
      <c r="D2093" s="8"/>
      <c r="E2093" s="6"/>
      <c r="F2093" s="6"/>
    </row>
    <row r="2094" spans="1:6" x14ac:dyDescent="0.3">
      <c r="A2094" s="8" t="s">
        <v>4148</v>
      </c>
      <c r="B2094" s="8" t="s">
        <v>55698</v>
      </c>
      <c r="C2094" s="8" t="s">
        <v>4149</v>
      </c>
      <c r="D2094" s="8"/>
      <c r="E2094" s="6"/>
      <c r="F2094" s="6"/>
    </row>
    <row r="2095" spans="1:6" x14ac:dyDescent="0.3">
      <c r="A2095" s="8" t="s">
        <v>4150</v>
      </c>
      <c r="B2095" s="8" t="s">
        <v>55699</v>
      </c>
      <c r="C2095" s="8" t="s">
        <v>4151</v>
      </c>
      <c r="D2095" s="8"/>
      <c r="E2095" s="6"/>
      <c r="F2095" s="6"/>
    </row>
    <row r="2096" spans="1:6" x14ac:dyDescent="0.3">
      <c r="A2096" s="8" t="s">
        <v>4152</v>
      </c>
      <c r="B2096" s="8" t="s">
        <v>55700</v>
      </c>
      <c r="C2096" s="8" t="s">
        <v>4153</v>
      </c>
      <c r="D2096" s="8"/>
      <c r="E2096" s="6"/>
      <c r="F2096" s="6"/>
    </row>
    <row r="2097" spans="1:6" x14ac:dyDescent="0.3">
      <c r="A2097" s="8" t="s">
        <v>4154</v>
      </c>
      <c r="B2097" s="8" t="s">
        <v>55701</v>
      </c>
      <c r="C2097" s="8" t="s">
        <v>4155</v>
      </c>
      <c r="D2097" s="8"/>
      <c r="E2097" s="6"/>
      <c r="F2097" s="6"/>
    </row>
    <row r="2098" spans="1:6" x14ac:dyDescent="0.3">
      <c r="A2098" s="8" t="s">
        <v>4156</v>
      </c>
      <c r="B2098" s="8" t="s">
        <v>55702</v>
      </c>
      <c r="C2098" s="8" t="s">
        <v>4157</v>
      </c>
      <c r="D2098" s="8"/>
      <c r="E2098" s="6"/>
      <c r="F2098" s="6"/>
    </row>
    <row r="2099" spans="1:6" x14ac:dyDescent="0.3">
      <c r="A2099" s="8" t="s">
        <v>4158</v>
      </c>
      <c r="B2099" s="8" t="s">
        <v>55703</v>
      </c>
      <c r="C2099" s="8" t="s">
        <v>4159</v>
      </c>
      <c r="D2099" s="8"/>
      <c r="E2099" s="6"/>
      <c r="F2099" s="6"/>
    </row>
    <row r="2100" spans="1:6" x14ac:dyDescent="0.3">
      <c r="A2100" s="8" t="s">
        <v>4160</v>
      </c>
      <c r="B2100" s="8" t="s">
        <v>55704</v>
      </c>
      <c r="C2100" s="8" t="s">
        <v>4161</v>
      </c>
      <c r="D2100" s="8"/>
      <c r="E2100" s="6"/>
      <c r="F2100" s="6"/>
    </row>
    <row r="2101" spans="1:6" x14ac:dyDescent="0.3">
      <c r="A2101" s="8" t="s">
        <v>4162</v>
      </c>
      <c r="B2101" s="8" t="s">
        <v>55705</v>
      </c>
      <c r="C2101" s="8" t="s">
        <v>4163</v>
      </c>
      <c r="D2101" s="8"/>
      <c r="E2101" s="6"/>
      <c r="F2101" s="6"/>
    </row>
    <row r="2102" spans="1:6" x14ac:dyDescent="0.3">
      <c r="A2102" s="8" t="s">
        <v>4164</v>
      </c>
      <c r="B2102" s="8" t="s">
        <v>55706</v>
      </c>
      <c r="C2102" s="8" t="s">
        <v>4165</v>
      </c>
      <c r="D2102" s="8"/>
      <c r="E2102" s="6"/>
      <c r="F2102" s="6"/>
    </row>
    <row r="2103" spans="1:6" x14ac:dyDescent="0.3">
      <c r="A2103" s="8" t="s">
        <v>4166</v>
      </c>
      <c r="B2103" s="8" t="s">
        <v>55707</v>
      </c>
      <c r="C2103" s="8" t="s">
        <v>4167</v>
      </c>
      <c r="D2103" s="8"/>
      <c r="E2103" s="6"/>
      <c r="F2103" s="6"/>
    </row>
    <row r="2104" spans="1:6" x14ac:dyDescent="0.3">
      <c r="A2104" s="8" t="s">
        <v>4168</v>
      </c>
      <c r="B2104" s="8" t="s">
        <v>55708</v>
      </c>
      <c r="C2104" s="8" t="s">
        <v>4169</v>
      </c>
      <c r="D2104" s="8"/>
      <c r="E2104" s="6"/>
      <c r="F2104" s="6"/>
    </row>
    <row r="2105" spans="1:6" x14ac:dyDescent="0.3">
      <c r="A2105" s="8" t="s">
        <v>4170</v>
      </c>
      <c r="B2105" s="8" t="s">
        <v>55709</v>
      </c>
      <c r="C2105" s="8" t="s">
        <v>4171</v>
      </c>
      <c r="D2105" s="8"/>
      <c r="E2105" s="6"/>
      <c r="F2105" s="6"/>
    </row>
    <row r="2106" spans="1:6" x14ac:dyDescent="0.3">
      <c r="A2106" s="8" t="s">
        <v>4172</v>
      </c>
      <c r="B2106" s="8" t="s">
        <v>55710</v>
      </c>
      <c r="C2106" s="8" t="s">
        <v>4173</v>
      </c>
      <c r="D2106" s="8"/>
      <c r="E2106" s="6"/>
      <c r="F2106" s="6"/>
    </row>
    <row r="2107" spans="1:6" x14ac:dyDescent="0.3">
      <c r="A2107" s="8" t="s">
        <v>4174</v>
      </c>
      <c r="B2107" s="8" t="s">
        <v>55711</v>
      </c>
      <c r="C2107" s="8" t="s">
        <v>4175</v>
      </c>
      <c r="D2107" s="8"/>
      <c r="E2107" s="6"/>
      <c r="F2107" s="6"/>
    </row>
    <row r="2108" spans="1:6" x14ac:dyDescent="0.3">
      <c r="A2108" s="8" t="s">
        <v>4176</v>
      </c>
      <c r="B2108" s="8" t="s">
        <v>55712</v>
      </c>
      <c r="C2108" s="8" t="s">
        <v>4177</v>
      </c>
      <c r="D2108" s="8"/>
      <c r="E2108" s="6"/>
      <c r="F2108" s="6"/>
    </row>
    <row r="2109" spans="1:6" x14ac:dyDescent="0.3">
      <c r="A2109" s="8" t="s">
        <v>4178</v>
      </c>
      <c r="B2109" s="8" t="s">
        <v>55713</v>
      </c>
      <c r="C2109" s="8" t="s">
        <v>4179</v>
      </c>
      <c r="D2109" s="8"/>
      <c r="E2109" s="6"/>
      <c r="F2109" s="6"/>
    </row>
    <row r="2110" spans="1:6" x14ac:dyDescent="0.3">
      <c r="A2110" s="8" t="s">
        <v>4180</v>
      </c>
      <c r="B2110" s="8" t="s">
        <v>55714</v>
      </c>
      <c r="C2110" s="8" t="s">
        <v>4181</v>
      </c>
      <c r="D2110" s="8"/>
      <c r="E2110" s="6"/>
      <c r="F2110" s="6"/>
    </row>
    <row r="2111" spans="1:6" x14ac:dyDescent="0.3">
      <c r="A2111" s="8" t="s">
        <v>4182</v>
      </c>
      <c r="B2111" s="8" t="s">
        <v>55715</v>
      </c>
      <c r="C2111" s="8" t="s">
        <v>4183</v>
      </c>
      <c r="D2111" s="8"/>
      <c r="E2111" s="6"/>
      <c r="F2111" s="6"/>
    </row>
    <row r="2112" spans="1:6" x14ac:dyDescent="0.3">
      <c r="A2112" s="8" t="s">
        <v>4184</v>
      </c>
      <c r="B2112" s="8" t="s">
        <v>55716</v>
      </c>
      <c r="C2112" s="8" t="s">
        <v>4185</v>
      </c>
      <c r="D2112" s="8"/>
      <c r="E2112" s="6"/>
      <c r="F2112" s="6"/>
    </row>
    <row r="2113" spans="1:6" x14ac:dyDescent="0.3">
      <c r="A2113" s="8" t="s">
        <v>4186</v>
      </c>
      <c r="B2113" s="8" t="s">
        <v>55717</v>
      </c>
      <c r="C2113" s="8" t="s">
        <v>4187</v>
      </c>
      <c r="D2113" s="8"/>
      <c r="E2113" s="6"/>
      <c r="F2113" s="6"/>
    </row>
    <row r="2114" spans="1:6" x14ac:dyDescent="0.3">
      <c r="A2114" s="8" t="s">
        <v>4188</v>
      </c>
      <c r="B2114" s="8" t="s">
        <v>55718</v>
      </c>
      <c r="C2114" s="8" t="s">
        <v>4189</v>
      </c>
      <c r="D2114" s="8"/>
      <c r="E2114" s="6"/>
      <c r="F2114" s="6"/>
    </row>
    <row r="2115" spans="1:6" x14ac:dyDescent="0.3">
      <c r="A2115" s="8" t="s">
        <v>4190</v>
      </c>
      <c r="B2115" s="8" t="s">
        <v>55719</v>
      </c>
      <c r="C2115" s="8" t="s">
        <v>4191</v>
      </c>
      <c r="D2115" s="8"/>
      <c r="E2115" s="6"/>
      <c r="F2115" s="6"/>
    </row>
    <row r="2116" spans="1:6" x14ac:dyDescent="0.3">
      <c r="A2116" s="8" t="s">
        <v>4192</v>
      </c>
      <c r="B2116" s="8" t="s">
        <v>55720</v>
      </c>
      <c r="C2116" s="8" t="s">
        <v>4193</v>
      </c>
      <c r="D2116" s="8"/>
      <c r="E2116" s="6"/>
      <c r="F2116" s="6"/>
    </row>
    <row r="2117" spans="1:6" x14ac:dyDescent="0.3">
      <c r="A2117" s="8" t="s">
        <v>4194</v>
      </c>
      <c r="B2117" s="8" t="s">
        <v>55721</v>
      </c>
      <c r="C2117" s="8" t="s">
        <v>4195</v>
      </c>
      <c r="D2117" s="8"/>
      <c r="E2117" s="6"/>
      <c r="F2117" s="6"/>
    </row>
    <row r="2118" spans="1:6" x14ac:dyDescent="0.3">
      <c r="A2118" s="8" t="s">
        <v>4196</v>
      </c>
      <c r="B2118" s="8" t="s">
        <v>55722</v>
      </c>
      <c r="C2118" s="8" t="s">
        <v>4197</v>
      </c>
      <c r="D2118" s="8"/>
      <c r="E2118" s="6"/>
      <c r="F2118" s="6"/>
    </row>
    <row r="2119" spans="1:6" x14ac:dyDescent="0.3">
      <c r="A2119" s="8" t="s">
        <v>4198</v>
      </c>
      <c r="B2119" s="8" t="s">
        <v>55723</v>
      </c>
      <c r="C2119" s="8" t="s">
        <v>4199</v>
      </c>
      <c r="D2119" s="8"/>
      <c r="E2119" s="6"/>
      <c r="F2119" s="6"/>
    </row>
    <row r="2120" spans="1:6" x14ac:dyDescent="0.3">
      <c r="A2120" s="8" t="s">
        <v>4200</v>
      </c>
      <c r="B2120" s="8" t="s">
        <v>55724</v>
      </c>
      <c r="C2120" s="8" t="s">
        <v>4201</v>
      </c>
      <c r="D2120" s="8"/>
      <c r="E2120" s="6"/>
      <c r="F2120" s="6"/>
    </row>
    <row r="2121" spans="1:6" x14ac:dyDescent="0.3">
      <c r="A2121" s="8" t="s">
        <v>4202</v>
      </c>
      <c r="B2121" s="8" t="s">
        <v>55725</v>
      </c>
      <c r="C2121" s="8" t="s">
        <v>4203</v>
      </c>
      <c r="D2121" s="8"/>
      <c r="E2121" s="6"/>
      <c r="F2121" s="6"/>
    </row>
    <row r="2122" spans="1:6" x14ac:dyDescent="0.3">
      <c r="A2122" s="8" t="s">
        <v>4204</v>
      </c>
      <c r="B2122" s="8" t="s">
        <v>55726</v>
      </c>
      <c r="C2122" s="8" t="s">
        <v>4205</v>
      </c>
      <c r="D2122" s="8"/>
      <c r="E2122" s="6"/>
      <c r="F2122" s="6"/>
    </row>
    <row r="2123" spans="1:6" x14ac:dyDescent="0.3">
      <c r="A2123" s="8" t="s">
        <v>4206</v>
      </c>
      <c r="B2123" s="8" t="s">
        <v>55727</v>
      </c>
      <c r="C2123" s="8" t="s">
        <v>4207</v>
      </c>
      <c r="D2123" s="8"/>
      <c r="E2123" s="6"/>
      <c r="F2123" s="6"/>
    </row>
    <row r="2124" spans="1:6" x14ac:dyDescent="0.3">
      <c r="A2124" s="8" t="s">
        <v>4208</v>
      </c>
      <c r="B2124" s="8" t="s">
        <v>55728</v>
      </c>
      <c r="C2124" s="8" t="s">
        <v>4209</v>
      </c>
      <c r="D2124" s="8"/>
      <c r="E2124" s="6"/>
      <c r="F2124" s="6"/>
    </row>
    <row r="2125" spans="1:6" x14ac:dyDescent="0.3">
      <c r="A2125" s="8" t="s">
        <v>4210</v>
      </c>
      <c r="B2125" s="8" t="s">
        <v>55729</v>
      </c>
      <c r="C2125" s="8" t="s">
        <v>4211</v>
      </c>
      <c r="D2125" s="8"/>
      <c r="E2125" s="6"/>
      <c r="F2125" s="6"/>
    </row>
    <row r="2126" spans="1:6" x14ac:dyDescent="0.3">
      <c r="A2126" s="8" t="s">
        <v>4212</v>
      </c>
      <c r="B2126" s="8" t="s">
        <v>55730</v>
      </c>
      <c r="C2126" s="8" t="s">
        <v>4213</v>
      </c>
      <c r="D2126" s="8"/>
      <c r="E2126" s="6"/>
      <c r="F2126" s="6"/>
    </row>
    <row r="2127" spans="1:6" x14ac:dyDescent="0.3">
      <c r="A2127" s="8" t="s">
        <v>4214</v>
      </c>
      <c r="B2127" s="8" t="s">
        <v>55731</v>
      </c>
      <c r="C2127" s="8" t="s">
        <v>4215</v>
      </c>
      <c r="D2127" s="8"/>
      <c r="E2127" s="6"/>
      <c r="F2127" s="6"/>
    </row>
    <row r="2128" spans="1:6" x14ac:dyDescent="0.3">
      <c r="A2128" s="8" t="s">
        <v>4216</v>
      </c>
      <c r="B2128" s="8" t="s">
        <v>55732</v>
      </c>
      <c r="C2128" s="8" t="s">
        <v>4217</v>
      </c>
      <c r="D2128" s="8"/>
      <c r="E2128" s="6"/>
      <c r="F2128" s="6"/>
    </row>
    <row r="2129" spans="1:6" x14ac:dyDescent="0.3">
      <c r="A2129" s="8" t="s">
        <v>4218</v>
      </c>
      <c r="B2129" s="8" t="s">
        <v>55733</v>
      </c>
      <c r="C2129" s="8" t="s">
        <v>4219</v>
      </c>
      <c r="D2129" s="8"/>
      <c r="E2129" s="6"/>
      <c r="F2129" s="6"/>
    </row>
    <row r="2130" spans="1:6" x14ac:dyDescent="0.3">
      <c r="A2130" s="8" t="s">
        <v>4220</v>
      </c>
      <c r="B2130" s="8" t="s">
        <v>55734</v>
      </c>
      <c r="C2130" s="8" t="s">
        <v>4221</v>
      </c>
      <c r="D2130" s="8"/>
      <c r="E2130" s="6"/>
      <c r="F2130" s="6"/>
    </row>
    <row r="2131" spans="1:6" x14ac:dyDescent="0.3">
      <c r="A2131" s="8" t="s">
        <v>4222</v>
      </c>
      <c r="B2131" s="8" t="s">
        <v>55735</v>
      </c>
      <c r="C2131" s="8" t="s">
        <v>4223</v>
      </c>
      <c r="D2131" s="8"/>
      <c r="E2131" s="6"/>
      <c r="F2131" s="6"/>
    </row>
    <row r="2132" spans="1:6" x14ac:dyDescent="0.3">
      <c r="A2132" s="8" t="s">
        <v>4224</v>
      </c>
      <c r="B2132" s="8" t="s">
        <v>55736</v>
      </c>
      <c r="C2132" s="8" t="s">
        <v>4225</v>
      </c>
      <c r="D2132" s="8"/>
      <c r="E2132" s="6"/>
      <c r="F2132" s="6"/>
    </row>
    <row r="2133" spans="1:6" x14ac:dyDescent="0.3">
      <c r="A2133" s="8" t="s">
        <v>4226</v>
      </c>
      <c r="B2133" s="8" t="s">
        <v>55737</v>
      </c>
      <c r="C2133" s="8" t="s">
        <v>4227</v>
      </c>
      <c r="D2133" s="8"/>
      <c r="E2133" s="6"/>
      <c r="F2133" s="6"/>
    </row>
    <row r="2134" spans="1:6" x14ac:dyDescent="0.3">
      <c r="A2134" s="8" t="s">
        <v>4228</v>
      </c>
      <c r="B2134" s="8" t="s">
        <v>55738</v>
      </c>
      <c r="C2134" s="8" t="s">
        <v>4229</v>
      </c>
      <c r="D2134" s="8"/>
      <c r="E2134" s="6"/>
      <c r="F2134" s="6"/>
    </row>
    <row r="2135" spans="1:6" x14ac:dyDescent="0.3">
      <c r="A2135" s="8" t="s">
        <v>4230</v>
      </c>
      <c r="B2135" s="8" t="s">
        <v>55739</v>
      </c>
      <c r="C2135" s="8" t="s">
        <v>4231</v>
      </c>
      <c r="D2135" s="8"/>
      <c r="E2135" s="6"/>
      <c r="F2135" s="6"/>
    </row>
    <row r="2136" spans="1:6" x14ac:dyDescent="0.3">
      <c r="A2136" s="8" t="s">
        <v>4232</v>
      </c>
      <c r="B2136" s="8" t="s">
        <v>55740</v>
      </c>
      <c r="C2136" s="8" t="s">
        <v>4233</v>
      </c>
      <c r="D2136" s="8"/>
      <c r="E2136" s="6"/>
      <c r="F2136" s="6"/>
    </row>
    <row r="2137" spans="1:6" x14ac:dyDescent="0.3">
      <c r="A2137" s="8" t="s">
        <v>4234</v>
      </c>
      <c r="B2137" s="8" t="s">
        <v>55741</v>
      </c>
      <c r="C2137" s="8" t="s">
        <v>4235</v>
      </c>
      <c r="D2137" s="8"/>
      <c r="E2137" s="6"/>
      <c r="F2137" s="6"/>
    </row>
    <row r="2138" spans="1:6" x14ac:dyDescent="0.3">
      <c r="A2138" s="8" t="s">
        <v>4236</v>
      </c>
      <c r="B2138" s="8" t="s">
        <v>55742</v>
      </c>
      <c r="C2138" s="8" t="s">
        <v>4237</v>
      </c>
      <c r="D2138" s="8"/>
      <c r="E2138" s="6"/>
      <c r="F2138" s="6"/>
    </row>
    <row r="2139" spans="1:6" x14ac:dyDescent="0.3">
      <c r="A2139" s="8" t="s">
        <v>4238</v>
      </c>
      <c r="B2139" s="8" t="s">
        <v>55743</v>
      </c>
      <c r="C2139" s="8" t="s">
        <v>4239</v>
      </c>
      <c r="D2139" s="8"/>
      <c r="E2139" s="6"/>
      <c r="F2139" s="6"/>
    </row>
    <row r="2140" spans="1:6" x14ac:dyDescent="0.3">
      <c r="A2140" s="8" t="s">
        <v>4240</v>
      </c>
      <c r="B2140" s="8" t="s">
        <v>55744</v>
      </c>
      <c r="C2140" s="8" t="s">
        <v>4241</v>
      </c>
      <c r="D2140" s="8"/>
      <c r="E2140" s="6"/>
      <c r="F2140" s="6"/>
    </row>
    <row r="2141" spans="1:6" x14ac:dyDescent="0.3">
      <c r="A2141" s="8" t="s">
        <v>4242</v>
      </c>
      <c r="B2141" s="8" t="s">
        <v>55745</v>
      </c>
      <c r="C2141" s="8" t="s">
        <v>4243</v>
      </c>
      <c r="D2141" s="8"/>
      <c r="E2141" s="6"/>
      <c r="F2141" s="6"/>
    </row>
    <row r="2142" spans="1:6" x14ac:dyDescent="0.3">
      <c r="A2142" s="8" t="s">
        <v>4244</v>
      </c>
      <c r="B2142" s="8" t="s">
        <v>55746</v>
      </c>
      <c r="C2142" s="8" t="s">
        <v>4245</v>
      </c>
      <c r="D2142" s="8"/>
      <c r="E2142" s="6"/>
      <c r="F2142" s="6"/>
    </row>
    <row r="2143" spans="1:6" x14ac:dyDescent="0.3">
      <c r="A2143" s="8" t="s">
        <v>4246</v>
      </c>
      <c r="B2143" s="8" t="s">
        <v>55747</v>
      </c>
      <c r="C2143" s="8" t="s">
        <v>4247</v>
      </c>
      <c r="D2143" s="8"/>
      <c r="E2143" s="6"/>
      <c r="F2143" s="6"/>
    </row>
    <row r="2144" spans="1:6" x14ac:dyDescent="0.3">
      <c r="A2144" s="8" t="s">
        <v>4248</v>
      </c>
      <c r="B2144" s="8" t="s">
        <v>55748</v>
      </c>
      <c r="C2144" s="8" t="s">
        <v>4249</v>
      </c>
      <c r="D2144" s="8"/>
      <c r="E2144" s="6"/>
      <c r="F2144" s="6"/>
    </row>
    <row r="2145" spans="1:6" x14ac:dyDescent="0.3">
      <c r="A2145" s="8" t="s">
        <v>4250</v>
      </c>
      <c r="B2145" s="8" t="s">
        <v>55749</v>
      </c>
      <c r="C2145" s="8" t="s">
        <v>4251</v>
      </c>
      <c r="D2145" s="8"/>
      <c r="E2145" s="6"/>
      <c r="F2145" s="6"/>
    </row>
    <row r="2146" spans="1:6" x14ac:dyDescent="0.3">
      <c r="A2146" s="8" t="s">
        <v>4252</v>
      </c>
      <c r="B2146" s="8" t="s">
        <v>55750</v>
      </c>
      <c r="C2146" s="8" t="s">
        <v>4253</v>
      </c>
      <c r="D2146" s="8"/>
      <c r="E2146" s="6"/>
      <c r="F2146" s="6"/>
    </row>
    <row r="2147" spans="1:6" x14ac:dyDescent="0.3">
      <c r="A2147" s="8" t="s">
        <v>4254</v>
      </c>
      <c r="B2147" s="8" t="s">
        <v>55751</v>
      </c>
      <c r="C2147" s="8" t="s">
        <v>4255</v>
      </c>
      <c r="D2147" s="8"/>
      <c r="E2147" s="6"/>
      <c r="F2147" s="6"/>
    </row>
    <row r="2148" spans="1:6" x14ac:dyDescent="0.3">
      <c r="A2148" s="8" t="s">
        <v>4256</v>
      </c>
      <c r="B2148" s="8" t="s">
        <v>55752</v>
      </c>
      <c r="C2148" s="8" t="s">
        <v>4257</v>
      </c>
      <c r="D2148" s="8"/>
      <c r="E2148" s="6"/>
      <c r="F2148" s="6"/>
    </row>
    <row r="2149" spans="1:6" x14ac:dyDescent="0.3">
      <c r="A2149" s="8" t="s">
        <v>4258</v>
      </c>
      <c r="B2149" s="8" t="s">
        <v>55753</v>
      </c>
      <c r="C2149" s="8" t="s">
        <v>4259</v>
      </c>
      <c r="D2149" s="8"/>
      <c r="E2149" s="6"/>
      <c r="F2149" s="6"/>
    </row>
    <row r="2150" spans="1:6" x14ac:dyDescent="0.3">
      <c r="A2150" s="8" t="s">
        <v>4260</v>
      </c>
      <c r="B2150" s="8" t="s">
        <v>55754</v>
      </c>
      <c r="C2150" s="8" t="s">
        <v>4261</v>
      </c>
      <c r="D2150" s="8"/>
      <c r="E2150" s="6"/>
      <c r="F2150" s="6"/>
    </row>
    <row r="2151" spans="1:6" x14ac:dyDescent="0.3">
      <c r="A2151" s="8" t="s">
        <v>4262</v>
      </c>
      <c r="B2151" s="8" t="s">
        <v>55755</v>
      </c>
      <c r="C2151" s="8" t="s">
        <v>4263</v>
      </c>
      <c r="D2151" s="8"/>
      <c r="E2151" s="6"/>
      <c r="F2151" s="6"/>
    </row>
    <row r="2152" spans="1:6" x14ac:dyDescent="0.3">
      <c r="A2152" s="8" t="s">
        <v>4264</v>
      </c>
      <c r="B2152" s="8" t="s">
        <v>55756</v>
      </c>
      <c r="C2152" s="8" t="s">
        <v>4265</v>
      </c>
      <c r="D2152" s="8"/>
      <c r="E2152" s="6"/>
      <c r="F2152" s="6"/>
    </row>
    <row r="2153" spans="1:6" x14ac:dyDescent="0.3">
      <c r="A2153" s="8" t="s">
        <v>4266</v>
      </c>
      <c r="B2153" s="8" t="s">
        <v>55757</v>
      </c>
      <c r="C2153" s="8" t="s">
        <v>4267</v>
      </c>
      <c r="D2153" s="8"/>
      <c r="E2153" s="6"/>
      <c r="F2153" s="6"/>
    </row>
    <row r="2154" spans="1:6" x14ac:dyDescent="0.3">
      <c r="A2154" s="8" t="s">
        <v>4268</v>
      </c>
      <c r="B2154" s="8" t="s">
        <v>55758</v>
      </c>
      <c r="C2154" s="8" t="s">
        <v>4269</v>
      </c>
      <c r="D2154" s="8"/>
      <c r="E2154" s="6"/>
      <c r="F2154" s="6"/>
    </row>
    <row r="2155" spans="1:6" x14ac:dyDescent="0.3">
      <c r="A2155" s="8" t="s">
        <v>4270</v>
      </c>
      <c r="B2155" s="8" t="s">
        <v>55759</v>
      </c>
      <c r="C2155" s="8" t="s">
        <v>4271</v>
      </c>
      <c r="D2155" s="8"/>
      <c r="E2155" s="6"/>
      <c r="F2155" s="6"/>
    </row>
    <row r="2156" spans="1:6" x14ac:dyDescent="0.3">
      <c r="A2156" s="8" t="s">
        <v>4272</v>
      </c>
      <c r="B2156" s="8" t="s">
        <v>55760</v>
      </c>
      <c r="C2156" s="8" t="s">
        <v>4273</v>
      </c>
      <c r="D2156" s="8"/>
      <c r="E2156" s="6"/>
      <c r="F2156" s="6"/>
    </row>
    <row r="2157" spans="1:6" x14ac:dyDescent="0.3">
      <c r="A2157" s="8" t="s">
        <v>4274</v>
      </c>
      <c r="B2157" s="8" t="s">
        <v>55761</v>
      </c>
      <c r="C2157" s="8" t="s">
        <v>4275</v>
      </c>
      <c r="D2157" s="8"/>
      <c r="E2157" s="6"/>
      <c r="F2157" s="6"/>
    </row>
    <row r="2158" spans="1:6" x14ac:dyDescent="0.3">
      <c r="A2158" s="8" t="s">
        <v>4276</v>
      </c>
      <c r="B2158" s="8" t="s">
        <v>55762</v>
      </c>
      <c r="C2158" s="8" t="s">
        <v>4277</v>
      </c>
      <c r="D2158" s="8"/>
      <c r="E2158" s="6"/>
      <c r="F2158" s="6"/>
    </row>
    <row r="2159" spans="1:6" x14ac:dyDescent="0.3">
      <c r="A2159" s="8" t="s">
        <v>4278</v>
      </c>
      <c r="B2159" s="8" t="s">
        <v>55763</v>
      </c>
      <c r="C2159" s="8" t="s">
        <v>4279</v>
      </c>
      <c r="D2159" s="8"/>
      <c r="E2159" s="6"/>
      <c r="F2159" s="6"/>
    </row>
    <row r="2160" spans="1:6" x14ac:dyDescent="0.3">
      <c r="A2160" s="8" t="s">
        <v>4280</v>
      </c>
      <c r="B2160" s="8" t="s">
        <v>55764</v>
      </c>
      <c r="C2160" s="8" t="s">
        <v>4281</v>
      </c>
      <c r="D2160" s="8"/>
      <c r="E2160" s="6"/>
      <c r="F2160" s="6"/>
    </row>
    <row r="2161" spans="1:6" x14ac:dyDescent="0.3">
      <c r="A2161" s="8" t="s">
        <v>4282</v>
      </c>
      <c r="B2161" s="8" t="s">
        <v>55765</v>
      </c>
      <c r="C2161" s="8" t="s">
        <v>4283</v>
      </c>
      <c r="D2161" s="8"/>
      <c r="E2161" s="6"/>
      <c r="F2161" s="6"/>
    </row>
    <row r="2162" spans="1:6" x14ac:dyDescent="0.3">
      <c r="A2162" s="8" t="s">
        <v>4284</v>
      </c>
      <c r="B2162" s="8" t="s">
        <v>55766</v>
      </c>
      <c r="C2162" s="8" t="s">
        <v>4285</v>
      </c>
      <c r="D2162" s="8"/>
      <c r="E2162" s="6"/>
      <c r="F2162" s="6"/>
    </row>
    <row r="2163" spans="1:6" x14ac:dyDescent="0.3">
      <c r="A2163" s="8" t="s">
        <v>4286</v>
      </c>
      <c r="B2163" s="8" t="s">
        <v>55767</v>
      </c>
      <c r="C2163" s="8" t="s">
        <v>4287</v>
      </c>
      <c r="D2163" s="8"/>
      <c r="E2163" s="6"/>
      <c r="F2163" s="6"/>
    </row>
    <row r="2164" spans="1:6" x14ac:dyDescent="0.3">
      <c r="A2164" s="8" t="s">
        <v>4288</v>
      </c>
      <c r="B2164" s="8" t="s">
        <v>55768</v>
      </c>
      <c r="C2164" s="8" t="s">
        <v>4289</v>
      </c>
      <c r="D2164" s="8"/>
      <c r="E2164" s="6"/>
      <c r="F2164" s="6"/>
    </row>
    <row r="2165" spans="1:6" x14ac:dyDescent="0.3">
      <c r="A2165" s="8" t="s">
        <v>4290</v>
      </c>
      <c r="B2165" s="8" t="s">
        <v>55769</v>
      </c>
      <c r="C2165" s="8" t="s">
        <v>4291</v>
      </c>
      <c r="D2165" s="8"/>
      <c r="E2165" s="6"/>
      <c r="F2165" s="6"/>
    </row>
    <row r="2166" spans="1:6" x14ac:dyDescent="0.3">
      <c r="A2166" s="8" t="s">
        <v>4292</v>
      </c>
      <c r="B2166" s="8" t="s">
        <v>55770</v>
      </c>
      <c r="C2166" s="8" t="s">
        <v>4293</v>
      </c>
      <c r="D2166" s="8"/>
      <c r="E2166" s="6"/>
      <c r="F2166" s="6"/>
    </row>
    <row r="2167" spans="1:6" x14ac:dyDescent="0.3">
      <c r="A2167" s="8" t="s">
        <v>4294</v>
      </c>
      <c r="B2167" s="8" t="s">
        <v>55771</v>
      </c>
      <c r="C2167" s="8" t="s">
        <v>4295</v>
      </c>
      <c r="D2167" s="8"/>
      <c r="E2167" s="6"/>
      <c r="F2167" s="6"/>
    </row>
    <row r="2168" spans="1:6" x14ac:dyDescent="0.3">
      <c r="A2168" s="8" t="s">
        <v>4296</v>
      </c>
      <c r="B2168" s="8" t="s">
        <v>55772</v>
      </c>
      <c r="C2168" s="8" t="s">
        <v>4297</v>
      </c>
      <c r="D2168" s="8"/>
      <c r="E2168" s="6"/>
      <c r="F2168" s="6"/>
    </row>
    <row r="2169" spans="1:6" x14ac:dyDescent="0.3">
      <c r="A2169" s="8" t="s">
        <v>4298</v>
      </c>
      <c r="B2169" s="8" t="s">
        <v>55773</v>
      </c>
      <c r="C2169" s="8" t="s">
        <v>4299</v>
      </c>
      <c r="D2169" s="8"/>
      <c r="E2169" s="6"/>
      <c r="F2169" s="6"/>
    </row>
    <row r="2170" spans="1:6" x14ac:dyDescent="0.3">
      <c r="A2170" s="8" t="s">
        <v>4300</v>
      </c>
      <c r="B2170" s="8" t="s">
        <v>55774</v>
      </c>
      <c r="C2170" s="8" t="s">
        <v>4301</v>
      </c>
      <c r="D2170" s="8"/>
      <c r="E2170" s="6"/>
      <c r="F2170" s="6"/>
    </row>
    <row r="2171" spans="1:6" x14ac:dyDescent="0.3">
      <c r="A2171" s="8" t="s">
        <v>4302</v>
      </c>
      <c r="B2171" s="8" t="s">
        <v>55775</v>
      </c>
      <c r="C2171" s="8" t="s">
        <v>4303</v>
      </c>
      <c r="D2171" s="8"/>
      <c r="E2171" s="6"/>
      <c r="F2171" s="6"/>
    </row>
    <row r="2172" spans="1:6" x14ac:dyDescent="0.3">
      <c r="A2172" s="8" t="s">
        <v>4304</v>
      </c>
      <c r="B2172" s="8" t="s">
        <v>55776</v>
      </c>
      <c r="C2172" s="8" t="s">
        <v>4305</v>
      </c>
      <c r="D2172" s="8"/>
      <c r="E2172" s="6"/>
      <c r="F2172" s="6"/>
    </row>
    <row r="2173" spans="1:6" x14ac:dyDescent="0.3">
      <c r="A2173" s="8" t="s">
        <v>4306</v>
      </c>
      <c r="B2173" s="8" t="s">
        <v>55777</v>
      </c>
      <c r="C2173" s="8" t="s">
        <v>4307</v>
      </c>
      <c r="D2173" s="8"/>
      <c r="E2173" s="6"/>
      <c r="F2173" s="6"/>
    </row>
    <row r="2174" spans="1:6" x14ac:dyDescent="0.3">
      <c r="A2174" s="8" t="s">
        <v>4308</v>
      </c>
      <c r="B2174" s="8" t="s">
        <v>55778</v>
      </c>
      <c r="C2174" s="8" t="s">
        <v>4309</v>
      </c>
      <c r="D2174" s="8"/>
      <c r="E2174" s="6"/>
      <c r="F2174" s="6"/>
    </row>
    <row r="2175" spans="1:6" x14ac:dyDescent="0.3">
      <c r="A2175" s="8" t="s">
        <v>4310</v>
      </c>
      <c r="B2175" s="8" t="s">
        <v>55779</v>
      </c>
      <c r="C2175" s="8" t="s">
        <v>4311</v>
      </c>
      <c r="D2175" s="8"/>
      <c r="E2175" s="6"/>
      <c r="F2175" s="6"/>
    </row>
    <row r="2176" spans="1:6" x14ac:dyDescent="0.3">
      <c r="A2176" s="8" t="s">
        <v>4312</v>
      </c>
      <c r="B2176" s="8" t="s">
        <v>55780</v>
      </c>
      <c r="C2176" s="8" t="s">
        <v>4313</v>
      </c>
      <c r="D2176" s="8"/>
      <c r="E2176" s="6"/>
      <c r="F2176" s="6"/>
    </row>
    <row r="2177" spans="1:6" x14ac:dyDescent="0.3">
      <c r="A2177" s="8" t="s">
        <v>4314</v>
      </c>
      <c r="B2177" s="8" t="s">
        <v>55781</v>
      </c>
      <c r="C2177" s="8" t="s">
        <v>4315</v>
      </c>
      <c r="D2177" s="8"/>
      <c r="E2177" s="6"/>
      <c r="F2177" s="6"/>
    </row>
    <row r="2178" spans="1:6" x14ac:dyDescent="0.3">
      <c r="A2178" s="8" t="s">
        <v>4316</v>
      </c>
      <c r="B2178" s="8" t="s">
        <v>55782</v>
      </c>
      <c r="C2178" s="8" t="s">
        <v>4317</v>
      </c>
      <c r="D2178" s="8"/>
      <c r="E2178" s="6"/>
      <c r="F2178" s="6"/>
    </row>
    <row r="2179" spans="1:6" x14ac:dyDescent="0.3">
      <c r="A2179" s="8" t="s">
        <v>4318</v>
      </c>
      <c r="B2179" s="8" t="s">
        <v>55783</v>
      </c>
      <c r="C2179" s="8" t="s">
        <v>4319</v>
      </c>
      <c r="D2179" s="8"/>
      <c r="E2179" s="6"/>
      <c r="F2179" s="6"/>
    </row>
    <row r="2180" spans="1:6" x14ac:dyDescent="0.3">
      <c r="A2180" s="8" t="s">
        <v>4320</v>
      </c>
      <c r="B2180" s="8" t="s">
        <v>55784</v>
      </c>
      <c r="C2180" s="8" t="s">
        <v>4321</v>
      </c>
      <c r="D2180" s="8"/>
      <c r="E2180" s="6"/>
      <c r="F2180" s="6"/>
    </row>
    <row r="2181" spans="1:6" x14ac:dyDescent="0.3">
      <c r="A2181" s="8" t="s">
        <v>4322</v>
      </c>
      <c r="B2181" s="8" t="s">
        <v>55785</v>
      </c>
      <c r="C2181" s="8" t="s">
        <v>4323</v>
      </c>
      <c r="D2181" s="8"/>
      <c r="E2181" s="6"/>
      <c r="F2181" s="6"/>
    </row>
    <row r="2182" spans="1:6" x14ac:dyDescent="0.3">
      <c r="A2182" s="8" t="s">
        <v>4324</v>
      </c>
      <c r="B2182" s="8" t="s">
        <v>55786</v>
      </c>
      <c r="C2182" s="8" t="s">
        <v>4325</v>
      </c>
      <c r="D2182" s="8"/>
      <c r="E2182" s="6"/>
      <c r="F2182" s="6"/>
    </row>
    <row r="2183" spans="1:6" x14ac:dyDescent="0.3">
      <c r="A2183" s="8" t="s">
        <v>4326</v>
      </c>
      <c r="B2183" s="8" t="s">
        <v>55787</v>
      </c>
      <c r="C2183" s="8" t="s">
        <v>4327</v>
      </c>
      <c r="D2183" s="8"/>
      <c r="E2183" s="6"/>
      <c r="F2183" s="6"/>
    </row>
    <row r="2184" spans="1:6" x14ac:dyDescent="0.3">
      <c r="A2184" s="8" t="s">
        <v>4328</v>
      </c>
      <c r="B2184" s="8" t="s">
        <v>55788</v>
      </c>
      <c r="C2184" s="8" t="s">
        <v>4329</v>
      </c>
      <c r="D2184" s="8"/>
      <c r="E2184" s="6"/>
      <c r="F2184" s="6"/>
    </row>
    <row r="2185" spans="1:6" x14ac:dyDescent="0.3">
      <c r="A2185" s="8" t="s">
        <v>4330</v>
      </c>
      <c r="B2185" s="8" t="s">
        <v>55789</v>
      </c>
      <c r="C2185" s="8" t="s">
        <v>4331</v>
      </c>
      <c r="D2185" s="8"/>
      <c r="E2185" s="6"/>
      <c r="F2185" s="6"/>
    </row>
    <row r="2186" spans="1:6" x14ac:dyDescent="0.3">
      <c r="A2186" s="8" t="s">
        <v>4332</v>
      </c>
      <c r="B2186" s="8" t="s">
        <v>55790</v>
      </c>
      <c r="C2186" s="8" t="s">
        <v>4333</v>
      </c>
      <c r="D2186" s="8"/>
      <c r="E2186" s="6"/>
      <c r="F2186" s="6"/>
    </row>
    <row r="2187" spans="1:6" x14ac:dyDescent="0.3">
      <c r="A2187" s="8" t="s">
        <v>4334</v>
      </c>
      <c r="B2187" s="8" t="s">
        <v>55791</v>
      </c>
      <c r="C2187" s="8" t="s">
        <v>4335</v>
      </c>
      <c r="D2187" s="8"/>
      <c r="E2187" s="6"/>
      <c r="F2187" s="6"/>
    </row>
    <row r="2188" spans="1:6" x14ac:dyDescent="0.3">
      <c r="A2188" s="8" t="s">
        <v>4336</v>
      </c>
      <c r="B2188" s="8" t="s">
        <v>55792</v>
      </c>
      <c r="C2188" s="8" t="s">
        <v>4337</v>
      </c>
      <c r="D2188" s="8"/>
      <c r="E2188" s="6"/>
      <c r="F2188" s="6"/>
    </row>
    <row r="2189" spans="1:6" x14ac:dyDescent="0.3">
      <c r="A2189" s="8" t="s">
        <v>4338</v>
      </c>
      <c r="B2189" s="8" t="s">
        <v>55793</v>
      </c>
      <c r="C2189" s="8" t="s">
        <v>4339</v>
      </c>
      <c r="D2189" s="8"/>
      <c r="E2189" s="6"/>
      <c r="F2189" s="6"/>
    </row>
    <row r="2190" spans="1:6" x14ac:dyDescent="0.3">
      <c r="A2190" s="8" t="s">
        <v>4340</v>
      </c>
      <c r="B2190" s="8" t="s">
        <v>55794</v>
      </c>
      <c r="C2190" s="8" t="s">
        <v>4341</v>
      </c>
      <c r="D2190" s="8"/>
      <c r="E2190" s="6"/>
      <c r="F2190" s="6"/>
    </row>
    <row r="2191" spans="1:6" x14ac:dyDescent="0.3">
      <c r="A2191" s="8" t="s">
        <v>4342</v>
      </c>
      <c r="B2191" s="8" t="s">
        <v>55795</v>
      </c>
      <c r="C2191" s="8" t="s">
        <v>4343</v>
      </c>
      <c r="D2191" s="8"/>
      <c r="E2191" s="6"/>
      <c r="F2191" s="6"/>
    </row>
    <row r="2192" spans="1:6" x14ac:dyDescent="0.3">
      <c r="A2192" s="8" t="s">
        <v>4344</v>
      </c>
      <c r="B2192" s="8" t="s">
        <v>55796</v>
      </c>
      <c r="C2192" s="8" t="s">
        <v>4345</v>
      </c>
      <c r="D2192" s="8"/>
      <c r="E2192" s="6"/>
      <c r="F2192" s="6"/>
    </row>
    <row r="2193" spans="1:6" x14ac:dyDescent="0.3">
      <c r="A2193" s="8" t="s">
        <v>4346</v>
      </c>
      <c r="B2193" s="8" t="s">
        <v>55797</v>
      </c>
      <c r="C2193" s="8" t="s">
        <v>4347</v>
      </c>
      <c r="D2193" s="8"/>
      <c r="E2193" s="6"/>
      <c r="F2193" s="6"/>
    </row>
    <row r="2194" spans="1:6" x14ac:dyDescent="0.3">
      <c r="A2194" s="8" t="s">
        <v>4348</v>
      </c>
      <c r="B2194" s="8" t="s">
        <v>55798</v>
      </c>
      <c r="C2194" s="8" t="s">
        <v>4349</v>
      </c>
      <c r="D2194" s="8"/>
      <c r="E2194" s="6"/>
      <c r="F2194" s="6"/>
    </row>
    <row r="2195" spans="1:6" x14ac:dyDescent="0.3">
      <c r="A2195" s="8" t="s">
        <v>4350</v>
      </c>
      <c r="B2195" s="8" t="s">
        <v>55799</v>
      </c>
      <c r="C2195" s="8" t="s">
        <v>4351</v>
      </c>
      <c r="D2195" s="8"/>
      <c r="E2195" s="6"/>
      <c r="F2195" s="6"/>
    </row>
    <row r="2196" spans="1:6" x14ac:dyDescent="0.3">
      <c r="A2196" s="8" t="s">
        <v>4352</v>
      </c>
      <c r="B2196" s="8" t="s">
        <v>55800</v>
      </c>
      <c r="C2196" s="8" t="s">
        <v>4353</v>
      </c>
      <c r="D2196" s="8"/>
      <c r="E2196" s="6"/>
      <c r="F2196" s="6"/>
    </row>
    <row r="2197" spans="1:6" x14ac:dyDescent="0.3">
      <c r="A2197" s="8" t="s">
        <v>4354</v>
      </c>
      <c r="B2197" s="8" t="s">
        <v>55801</v>
      </c>
      <c r="C2197" s="8" t="s">
        <v>4355</v>
      </c>
      <c r="D2197" s="8"/>
      <c r="E2197" s="6"/>
      <c r="F2197" s="6"/>
    </row>
    <row r="2198" spans="1:6" x14ac:dyDescent="0.3">
      <c r="A2198" s="8" t="s">
        <v>4356</v>
      </c>
      <c r="B2198" s="8" t="s">
        <v>55802</v>
      </c>
      <c r="C2198" s="8" t="s">
        <v>4357</v>
      </c>
      <c r="D2198" s="8"/>
      <c r="E2198" s="6"/>
      <c r="F2198" s="6"/>
    </row>
    <row r="2199" spans="1:6" x14ac:dyDescent="0.3">
      <c r="A2199" s="8" t="s">
        <v>4358</v>
      </c>
      <c r="B2199" s="8" t="s">
        <v>55803</v>
      </c>
      <c r="C2199" s="8" t="s">
        <v>4359</v>
      </c>
      <c r="D2199" s="8"/>
      <c r="E2199" s="6"/>
      <c r="F2199" s="6"/>
    </row>
    <row r="2200" spans="1:6" x14ac:dyDescent="0.3">
      <c r="A2200" s="8" t="s">
        <v>4360</v>
      </c>
      <c r="B2200" s="8" t="s">
        <v>55804</v>
      </c>
      <c r="C2200" s="8" t="s">
        <v>4361</v>
      </c>
      <c r="D2200" s="8"/>
      <c r="E2200" s="6"/>
      <c r="F2200" s="6"/>
    </row>
    <row r="2201" spans="1:6" x14ac:dyDescent="0.3">
      <c r="A2201" s="8" t="s">
        <v>4362</v>
      </c>
      <c r="B2201" s="8" t="s">
        <v>55805</v>
      </c>
      <c r="C2201" s="8" t="s">
        <v>4363</v>
      </c>
      <c r="D2201" s="8"/>
      <c r="E2201" s="6"/>
      <c r="F2201" s="6"/>
    </row>
    <row r="2202" spans="1:6" x14ac:dyDescent="0.3">
      <c r="A2202" s="8" t="s">
        <v>4364</v>
      </c>
      <c r="B2202" s="8" t="s">
        <v>55806</v>
      </c>
      <c r="C2202" s="8" t="s">
        <v>4365</v>
      </c>
      <c r="D2202" s="8"/>
      <c r="E2202" s="6"/>
      <c r="F2202" s="6"/>
    </row>
    <row r="2203" spans="1:6" x14ac:dyDescent="0.3">
      <c r="A2203" s="8" t="s">
        <v>4366</v>
      </c>
      <c r="B2203" s="8" t="s">
        <v>55807</v>
      </c>
      <c r="C2203" s="8" t="s">
        <v>4367</v>
      </c>
      <c r="D2203" s="8"/>
      <c r="E2203" s="6"/>
      <c r="F2203" s="6"/>
    </row>
    <row r="2204" spans="1:6" x14ac:dyDescent="0.3">
      <c r="A2204" s="8" t="s">
        <v>4368</v>
      </c>
      <c r="B2204" s="8" t="s">
        <v>55808</v>
      </c>
      <c r="C2204" s="8" t="s">
        <v>4369</v>
      </c>
      <c r="D2204" s="8"/>
      <c r="E2204" s="6"/>
      <c r="F2204" s="6"/>
    </row>
    <row r="2205" spans="1:6" x14ac:dyDescent="0.3">
      <c r="A2205" s="8" t="s">
        <v>4370</v>
      </c>
      <c r="B2205" s="8" t="s">
        <v>55809</v>
      </c>
      <c r="C2205" s="8" t="s">
        <v>4371</v>
      </c>
      <c r="D2205" s="8"/>
      <c r="E2205" s="6"/>
      <c r="F2205" s="6"/>
    </row>
    <row r="2206" spans="1:6" x14ac:dyDescent="0.3">
      <c r="A2206" s="8" t="s">
        <v>4372</v>
      </c>
      <c r="B2206" s="8" t="s">
        <v>55810</v>
      </c>
      <c r="C2206" s="8" t="s">
        <v>4373</v>
      </c>
      <c r="D2206" s="8"/>
      <c r="E2206" s="6"/>
      <c r="F2206" s="6"/>
    </row>
    <row r="2207" spans="1:6" x14ac:dyDescent="0.3">
      <c r="A2207" s="8" t="s">
        <v>4374</v>
      </c>
      <c r="B2207" s="8" t="s">
        <v>55811</v>
      </c>
      <c r="C2207" s="8" t="s">
        <v>4375</v>
      </c>
      <c r="D2207" s="8"/>
      <c r="E2207" s="6"/>
      <c r="F2207" s="6"/>
    </row>
    <row r="2208" spans="1:6" x14ac:dyDescent="0.3">
      <c r="A2208" s="8" t="s">
        <v>4376</v>
      </c>
      <c r="B2208" s="8" t="s">
        <v>55812</v>
      </c>
      <c r="C2208" s="8" t="s">
        <v>4377</v>
      </c>
      <c r="D2208" s="8"/>
      <c r="E2208" s="6"/>
      <c r="F2208" s="6"/>
    </row>
    <row r="2209" spans="1:6" x14ac:dyDescent="0.3">
      <c r="A2209" s="8" t="s">
        <v>4378</v>
      </c>
      <c r="B2209" s="8" t="s">
        <v>55813</v>
      </c>
      <c r="C2209" s="8" t="s">
        <v>4379</v>
      </c>
      <c r="D2209" s="8"/>
      <c r="E2209" s="6"/>
      <c r="F2209" s="6"/>
    </row>
    <row r="2210" spans="1:6" x14ac:dyDescent="0.3">
      <c r="A2210" s="8" t="s">
        <v>4380</v>
      </c>
      <c r="B2210" s="8" t="s">
        <v>55814</v>
      </c>
      <c r="C2210" s="8" t="s">
        <v>4381</v>
      </c>
      <c r="D2210" s="8"/>
      <c r="E2210" s="6"/>
      <c r="F2210" s="6"/>
    </row>
    <row r="2211" spans="1:6" x14ac:dyDescent="0.3">
      <c r="A2211" s="8" t="s">
        <v>4382</v>
      </c>
      <c r="B2211" s="8" t="s">
        <v>55815</v>
      </c>
      <c r="C2211" s="8" t="s">
        <v>4383</v>
      </c>
      <c r="D2211" s="8"/>
      <c r="E2211" s="6"/>
      <c r="F2211" s="6"/>
    </row>
    <row r="2212" spans="1:6" x14ac:dyDescent="0.3">
      <c r="A2212" s="8" t="s">
        <v>4384</v>
      </c>
      <c r="B2212" s="8" t="s">
        <v>55816</v>
      </c>
      <c r="C2212" s="8" t="s">
        <v>4385</v>
      </c>
      <c r="D2212" s="8"/>
      <c r="E2212" s="6"/>
      <c r="F2212" s="6"/>
    </row>
    <row r="2213" spans="1:6" x14ac:dyDescent="0.3">
      <c r="A2213" s="8" t="s">
        <v>4386</v>
      </c>
      <c r="B2213" s="8" t="s">
        <v>55817</v>
      </c>
      <c r="C2213" s="8" t="s">
        <v>4387</v>
      </c>
      <c r="D2213" s="8"/>
      <c r="E2213" s="6"/>
      <c r="F2213" s="6"/>
    </row>
    <row r="2214" spans="1:6" x14ac:dyDescent="0.3">
      <c r="A2214" s="8" t="s">
        <v>4388</v>
      </c>
      <c r="B2214" s="8" t="s">
        <v>55818</v>
      </c>
      <c r="C2214" s="8" t="s">
        <v>4389</v>
      </c>
      <c r="D2214" s="8"/>
      <c r="E2214" s="6"/>
      <c r="F2214" s="6"/>
    </row>
    <row r="2215" spans="1:6" x14ac:dyDescent="0.3">
      <c r="A2215" s="8" t="s">
        <v>4390</v>
      </c>
      <c r="B2215" s="8" t="s">
        <v>55819</v>
      </c>
      <c r="C2215" s="8" t="s">
        <v>4391</v>
      </c>
      <c r="D2215" s="8"/>
      <c r="E2215" s="6"/>
      <c r="F2215" s="6"/>
    </row>
    <row r="2216" spans="1:6" x14ac:dyDescent="0.3">
      <c r="A2216" s="8" t="s">
        <v>4392</v>
      </c>
      <c r="B2216" s="8" t="s">
        <v>55820</v>
      </c>
      <c r="C2216" s="8" t="s">
        <v>4393</v>
      </c>
      <c r="D2216" s="8"/>
      <c r="E2216" s="6"/>
      <c r="F2216" s="6"/>
    </row>
    <row r="2217" spans="1:6" x14ac:dyDescent="0.3">
      <c r="A2217" s="8" t="s">
        <v>4394</v>
      </c>
      <c r="B2217" s="8" t="s">
        <v>55821</v>
      </c>
      <c r="C2217" s="8" t="s">
        <v>4395</v>
      </c>
      <c r="D2217" s="8"/>
      <c r="E2217" s="6"/>
      <c r="F2217" s="6"/>
    </row>
    <row r="2218" spans="1:6" x14ac:dyDescent="0.3">
      <c r="A2218" s="8" t="s">
        <v>4396</v>
      </c>
      <c r="B2218" s="8" t="s">
        <v>55822</v>
      </c>
      <c r="C2218" s="8" t="s">
        <v>4397</v>
      </c>
      <c r="D2218" s="8"/>
      <c r="E2218" s="6"/>
      <c r="F2218" s="6"/>
    </row>
    <row r="2219" spans="1:6" x14ac:dyDescent="0.3">
      <c r="A2219" s="8" t="s">
        <v>4398</v>
      </c>
      <c r="B2219" s="8" t="s">
        <v>55823</v>
      </c>
      <c r="C2219" s="8" t="s">
        <v>4399</v>
      </c>
      <c r="D2219" s="8"/>
      <c r="E2219" s="6"/>
      <c r="F2219" s="6"/>
    </row>
    <row r="2220" spans="1:6" x14ac:dyDescent="0.3">
      <c r="A2220" s="8" t="s">
        <v>4400</v>
      </c>
      <c r="B2220" s="8" t="s">
        <v>55824</v>
      </c>
      <c r="C2220" s="8" t="s">
        <v>4401</v>
      </c>
      <c r="D2220" s="8"/>
      <c r="E2220" s="6"/>
      <c r="F2220" s="6"/>
    </row>
    <row r="2221" spans="1:6" x14ac:dyDescent="0.3">
      <c r="A2221" s="8" t="s">
        <v>4402</v>
      </c>
      <c r="B2221" s="8" t="s">
        <v>55825</v>
      </c>
      <c r="C2221" s="8" t="s">
        <v>4403</v>
      </c>
      <c r="D2221" s="8"/>
      <c r="E2221" s="6"/>
      <c r="F2221" s="6"/>
    </row>
    <row r="2222" spans="1:6" x14ac:dyDescent="0.3">
      <c r="A2222" s="8" t="s">
        <v>4404</v>
      </c>
      <c r="B2222" s="8" t="s">
        <v>55826</v>
      </c>
      <c r="C2222" s="8" t="s">
        <v>4405</v>
      </c>
      <c r="D2222" s="8"/>
      <c r="E2222" s="6"/>
      <c r="F2222" s="6"/>
    </row>
    <row r="2223" spans="1:6" x14ac:dyDescent="0.3">
      <c r="A2223" s="8" t="s">
        <v>4406</v>
      </c>
      <c r="B2223" s="8" t="s">
        <v>55827</v>
      </c>
      <c r="C2223" s="8" t="s">
        <v>4407</v>
      </c>
      <c r="D2223" s="8"/>
      <c r="E2223" s="6"/>
      <c r="F2223" s="6"/>
    </row>
    <row r="2224" spans="1:6" x14ac:dyDescent="0.3">
      <c r="A2224" s="8" t="s">
        <v>4408</v>
      </c>
      <c r="B2224" s="8" t="s">
        <v>55828</v>
      </c>
      <c r="C2224" s="8" t="s">
        <v>4409</v>
      </c>
      <c r="D2224" s="8"/>
      <c r="E2224" s="6"/>
      <c r="F2224" s="6"/>
    </row>
    <row r="2225" spans="1:6" x14ac:dyDescent="0.3">
      <c r="A2225" s="8" t="s">
        <v>4410</v>
      </c>
      <c r="B2225" s="8" t="s">
        <v>55829</v>
      </c>
      <c r="C2225" s="8" t="s">
        <v>4411</v>
      </c>
      <c r="D2225" s="8"/>
      <c r="E2225" s="6"/>
      <c r="F2225" s="6"/>
    </row>
    <row r="2226" spans="1:6" x14ac:dyDescent="0.3">
      <c r="A2226" s="8" t="s">
        <v>4412</v>
      </c>
      <c r="B2226" s="8" t="s">
        <v>55830</v>
      </c>
      <c r="C2226" s="8" t="s">
        <v>4413</v>
      </c>
      <c r="D2226" s="8"/>
      <c r="E2226" s="6"/>
      <c r="F2226" s="6"/>
    </row>
    <row r="2227" spans="1:6" x14ac:dyDescent="0.3">
      <c r="A2227" s="8" t="s">
        <v>4414</v>
      </c>
      <c r="B2227" s="8" t="s">
        <v>55831</v>
      </c>
      <c r="C2227" s="8" t="s">
        <v>4415</v>
      </c>
      <c r="D2227" s="8"/>
      <c r="E2227" s="6"/>
      <c r="F2227" s="6"/>
    </row>
    <row r="2228" spans="1:6" x14ac:dyDescent="0.3">
      <c r="A2228" s="8" t="s">
        <v>4416</v>
      </c>
      <c r="B2228" s="8" t="s">
        <v>55832</v>
      </c>
      <c r="C2228" s="8" t="s">
        <v>4417</v>
      </c>
      <c r="D2228" s="8"/>
      <c r="E2228" s="6"/>
      <c r="F2228" s="6"/>
    </row>
    <row r="2229" spans="1:6" x14ac:dyDescent="0.3">
      <c r="A2229" s="8" t="s">
        <v>4418</v>
      </c>
      <c r="B2229" s="8" t="s">
        <v>55833</v>
      </c>
      <c r="C2229" s="8" t="s">
        <v>4419</v>
      </c>
      <c r="D2229" s="8"/>
      <c r="E2229" s="6"/>
      <c r="F2229" s="6"/>
    </row>
    <row r="2230" spans="1:6" x14ac:dyDescent="0.3">
      <c r="A2230" s="8" t="s">
        <v>4420</v>
      </c>
      <c r="B2230" s="8" t="s">
        <v>55834</v>
      </c>
      <c r="C2230" s="8" t="s">
        <v>4421</v>
      </c>
      <c r="D2230" s="8"/>
      <c r="E2230" s="6"/>
      <c r="F2230" s="6"/>
    </row>
    <row r="2231" spans="1:6" x14ac:dyDescent="0.3">
      <c r="A2231" s="8" t="s">
        <v>4422</v>
      </c>
      <c r="B2231" s="8" t="s">
        <v>55835</v>
      </c>
      <c r="C2231" s="8" t="s">
        <v>4423</v>
      </c>
      <c r="D2231" s="8"/>
      <c r="E2231" s="6"/>
      <c r="F2231" s="6"/>
    </row>
    <row r="2232" spans="1:6" x14ac:dyDescent="0.3">
      <c r="A2232" s="8" t="s">
        <v>4424</v>
      </c>
      <c r="B2232" s="8" t="s">
        <v>55836</v>
      </c>
      <c r="C2232" s="8" t="s">
        <v>4425</v>
      </c>
      <c r="D2232" s="8"/>
      <c r="E2232" s="6"/>
      <c r="F2232" s="6"/>
    </row>
    <row r="2233" spans="1:6" x14ac:dyDescent="0.3">
      <c r="A2233" s="8" t="s">
        <v>4426</v>
      </c>
      <c r="B2233" s="8" t="s">
        <v>55837</v>
      </c>
      <c r="C2233" s="8" t="s">
        <v>4427</v>
      </c>
      <c r="D2233" s="8"/>
      <c r="E2233" s="6"/>
      <c r="F2233" s="6"/>
    </row>
    <row r="2234" spans="1:6" x14ac:dyDescent="0.3">
      <c r="A2234" s="8" t="s">
        <v>4428</v>
      </c>
      <c r="B2234" s="8" t="s">
        <v>55838</v>
      </c>
      <c r="C2234" s="8" t="s">
        <v>4429</v>
      </c>
      <c r="D2234" s="8"/>
      <c r="E2234" s="6"/>
      <c r="F2234" s="6"/>
    </row>
    <row r="2235" spans="1:6" x14ac:dyDescent="0.3">
      <c r="A2235" s="8" t="s">
        <v>4430</v>
      </c>
      <c r="B2235" s="8" t="s">
        <v>55839</v>
      </c>
      <c r="C2235" s="8" t="s">
        <v>4431</v>
      </c>
      <c r="D2235" s="8"/>
      <c r="E2235" s="6"/>
      <c r="F2235" s="6"/>
    </row>
    <row r="2236" spans="1:6" x14ac:dyDescent="0.3">
      <c r="A2236" s="8" t="s">
        <v>4432</v>
      </c>
      <c r="B2236" s="8" t="s">
        <v>55840</v>
      </c>
      <c r="C2236" s="8" t="s">
        <v>4433</v>
      </c>
      <c r="D2236" s="8"/>
      <c r="E2236" s="6"/>
      <c r="F2236" s="6"/>
    </row>
    <row r="2237" spans="1:6" x14ac:dyDescent="0.3">
      <c r="A2237" s="8" t="s">
        <v>4434</v>
      </c>
      <c r="B2237" s="8" t="s">
        <v>55841</v>
      </c>
      <c r="C2237" s="8" t="s">
        <v>4435</v>
      </c>
      <c r="D2237" s="8"/>
      <c r="E2237" s="6"/>
      <c r="F2237" s="6"/>
    </row>
    <row r="2238" spans="1:6" x14ac:dyDescent="0.3">
      <c r="A2238" s="8" t="s">
        <v>4436</v>
      </c>
      <c r="B2238" s="8" t="s">
        <v>55842</v>
      </c>
      <c r="C2238" s="8" t="s">
        <v>4437</v>
      </c>
      <c r="D2238" s="8"/>
      <c r="E2238" s="6"/>
      <c r="F2238" s="6"/>
    </row>
    <row r="2239" spans="1:6" x14ac:dyDescent="0.3">
      <c r="A2239" s="8" t="s">
        <v>4438</v>
      </c>
      <c r="B2239" s="8" t="s">
        <v>55843</v>
      </c>
      <c r="C2239" s="8" t="s">
        <v>4439</v>
      </c>
      <c r="D2239" s="8"/>
      <c r="E2239" s="6"/>
      <c r="F2239" s="6"/>
    </row>
    <row r="2240" spans="1:6" x14ac:dyDescent="0.3">
      <c r="A2240" s="8" t="s">
        <v>4440</v>
      </c>
      <c r="B2240" s="8" t="s">
        <v>55844</v>
      </c>
      <c r="C2240" s="8" t="s">
        <v>4441</v>
      </c>
      <c r="D2240" s="8"/>
      <c r="E2240" s="6"/>
      <c r="F2240" s="6"/>
    </row>
    <row r="2241" spans="1:6" x14ac:dyDescent="0.3">
      <c r="A2241" s="8" t="s">
        <v>4442</v>
      </c>
      <c r="B2241" s="8" t="s">
        <v>55845</v>
      </c>
      <c r="C2241" s="8" t="s">
        <v>4443</v>
      </c>
      <c r="D2241" s="8"/>
      <c r="E2241" s="6"/>
      <c r="F2241" s="6"/>
    </row>
    <row r="2242" spans="1:6" x14ac:dyDescent="0.3">
      <c r="A2242" s="8" t="s">
        <v>4444</v>
      </c>
      <c r="B2242" s="8" t="s">
        <v>55846</v>
      </c>
      <c r="C2242" s="8" t="s">
        <v>4445</v>
      </c>
      <c r="D2242" s="8"/>
      <c r="E2242" s="6"/>
      <c r="F2242" s="6"/>
    </row>
    <row r="2243" spans="1:6" x14ac:dyDescent="0.3">
      <c r="A2243" s="8" t="s">
        <v>4446</v>
      </c>
      <c r="B2243" s="8" t="s">
        <v>55847</v>
      </c>
      <c r="C2243" s="8" t="s">
        <v>4447</v>
      </c>
      <c r="D2243" s="8"/>
      <c r="E2243" s="6"/>
      <c r="F2243" s="6"/>
    </row>
    <row r="2244" spans="1:6" x14ac:dyDescent="0.3">
      <c r="A2244" s="8" t="s">
        <v>4448</v>
      </c>
      <c r="B2244" s="8" t="s">
        <v>55848</v>
      </c>
      <c r="C2244" s="8" t="s">
        <v>4449</v>
      </c>
      <c r="D2244" s="8"/>
      <c r="E2244" s="6"/>
      <c r="F2244" s="6"/>
    </row>
    <row r="2245" spans="1:6" x14ac:dyDescent="0.3">
      <c r="A2245" s="8" t="s">
        <v>4450</v>
      </c>
      <c r="B2245" s="8" t="s">
        <v>55849</v>
      </c>
      <c r="C2245" s="8" t="s">
        <v>4451</v>
      </c>
      <c r="D2245" s="8"/>
      <c r="E2245" s="6"/>
      <c r="F2245" s="6"/>
    </row>
    <row r="2246" spans="1:6" x14ac:dyDescent="0.3">
      <c r="A2246" s="8" t="s">
        <v>4452</v>
      </c>
      <c r="B2246" s="8" t="s">
        <v>55850</v>
      </c>
      <c r="C2246" s="8" t="s">
        <v>4453</v>
      </c>
      <c r="D2246" s="8"/>
      <c r="E2246" s="6"/>
      <c r="F2246" s="6"/>
    </row>
    <row r="2247" spans="1:6" x14ac:dyDescent="0.3">
      <c r="A2247" s="8" t="s">
        <v>4454</v>
      </c>
      <c r="B2247" s="8" t="s">
        <v>55851</v>
      </c>
      <c r="C2247" s="8" t="s">
        <v>4455</v>
      </c>
      <c r="D2247" s="8"/>
      <c r="E2247" s="6"/>
      <c r="F2247" s="6"/>
    </row>
    <row r="2248" spans="1:6" x14ac:dyDescent="0.3">
      <c r="A2248" s="8" t="s">
        <v>4456</v>
      </c>
      <c r="B2248" s="8" t="s">
        <v>55852</v>
      </c>
      <c r="C2248" s="8" t="s">
        <v>4457</v>
      </c>
      <c r="D2248" s="8"/>
      <c r="E2248" s="6"/>
      <c r="F2248" s="6"/>
    </row>
    <row r="2249" spans="1:6" x14ac:dyDescent="0.3">
      <c r="A2249" s="8" t="s">
        <v>4458</v>
      </c>
      <c r="B2249" s="8" t="s">
        <v>55853</v>
      </c>
      <c r="C2249" s="8" t="s">
        <v>4459</v>
      </c>
      <c r="D2249" s="8"/>
      <c r="E2249" s="6"/>
      <c r="F2249" s="6"/>
    </row>
    <row r="2250" spans="1:6" x14ac:dyDescent="0.3">
      <c r="A2250" s="8" t="s">
        <v>4460</v>
      </c>
      <c r="B2250" s="8" t="s">
        <v>55854</v>
      </c>
      <c r="C2250" s="8" t="s">
        <v>4461</v>
      </c>
      <c r="D2250" s="8"/>
      <c r="E2250" s="6"/>
      <c r="F2250" s="6"/>
    </row>
    <row r="2251" spans="1:6" x14ac:dyDescent="0.3">
      <c r="A2251" s="8" t="s">
        <v>4462</v>
      </c>
      <c r="B2251" s="8" t="s">
        <v>55855</v>
      </c>
      <c r="C2251" s="8" t="s">
        <v>4463</v>
      </c>
      <c r="D2251" s="8"/>
      <c r="E2251" s="6"/>
      <c r="F2251" s="6"/>
    </row>
    <row r="2252" spans="1:6" x14ac:dyDescent="0.3">
      <c r="A2252" s="8" t="s">
        <v>4464</v>
      </c>
      <c r="B2252" s="8" t="s">
        <v>55856</v>
      </c>
      <c r="C2252" s="8" t="s">
        <v>4465</v>
      </c>
      <c r="D2252" s="8"/>
      <c r="E2252" s="6"/>
      <c r="F2252" s="6"/>
    </row>
    <row r="2253" spans="1:6" x14ac:dyDescent="0.3">
      <c r="A2253" s="8" t="s">
        <v>4466</v>
      </c>
      <c r="B2253" s="8" t="s">
        <v>55857</v>
      </c>
      <c r="C2253" s="8" t="s">
        <v>4467</v>
      </c>
      <c r="D2253" s="8"/>
      <c r="E2253" s="6"/>
      <c r="F2253" s="6"/>
    </row>
    <row r="2254" spans="1:6" x14ac:dyDescent="0.3">
      <c r="A2254" s="8" t="s">
        <v>4468</v>
      </c>
      <c r="B2254" s="8" t="s">
        <v>55858</v>
      </c>
      <c r="C2254" s="8" t="s">
        <v>4469</v>
      </c>
      <c r="D2254" s="8"/>
      <c r="E2254" s="6"/>
      <c r="F2254" s="6"/>
    </row>
    <row r="2255" spans="1:6" x14ac:dyDescent="0.3">
      <c r="A2255" s="8" t="s">
        <v>4470</v>
      </c>
      <c r="B2255" s="8" t="s">
        <v>55859</v>
      </c>
      <c r="C2255" s="8" t="s">
        <v>4471</v>
      </c>
      <c r="D2255" s="8"/>
      <c r="E2255" s="6"/>
      <c r="F2255" s="6"/>
    </row>
    <row r="2256" spans="1:6" x14ac:dyDescent="0.3">
      <c r="A2256" s="8" t="s">
        <v>4472</v>
      </c>
      <c r="B2256" s="8" t="s">
        <v>55860</v>
      </c>
      <c r="C2256" s="8" t="s">
        <v>4473</v>
      </c>
      <c r="D2256" s="8"/>
      <c r="E2256" s="6"/>
      <c r="F2256" s="6"/>
    </row>
    <row r="2257" spans="1:6" x14ac:dyDescent="0.3">
      <c r="A2257" s="8" t="s">
        <v>4474</v>
      </c>
      <c r="B2257" s="8" t="s">
        <v>55861</v>
      </c>
      <c r="C2257" s="8" t="s">
        <v>4475</v>
      </c>
      <c r="D2257" s="8"/>
      <c r="E2257" s="6"/>
      <c r="F2257" s="6"/>
    </row>
    <row r="2258" spans="1:6" x14ac:dyDescent="0.3">
      <c r="A2258" s="8" t="s">
        <v>4476</v>
      </c>
      <c r="B2258" s="8" t="s">
        <v>55862</v>
      </c>
      <c r="C2258" s="8" t="s">
        <v>4477</v>
      </c>
      <c r="D2258" s="8"/>
      <c r="E2258" s="6"/>
      <c r="F2258" s="6"/>
    </row>
    <row r="2259" spans="1:6" x14ac:dyDescent="0.3">
      <c r="A2259" s="8" t="s">
        <v>4478</v>
      </c>
      <c r="B2259" s="8" t="s">
        <v>55863</v>
      </c>
      <c r="C2259" s="8" t="s">
        <v>4479</v>
      </c>
      <c r="D2259" s="8"/>
      <c r="E2259" s="6"/>
      <c r="F2259" s="6"/>
    </row>
    <row r="2260" spans="1:6" x14ac:dyDescent="0.3">
      <c r="A2260" s="8" t="s">
        <v>4480</v>
      </c>
      <c r="B2260" s="8" t="s">
        <v>55864</v>
      </c>
      <c r="C2260" s="8" t="s">
        <v>4481</v>
      </c>
      <c r="D2260" s="8"/>
      <c r="E2260" s="6"/>
      <c r="F2260" s="6"/>
    </row>
    <row r="2261" spans="1:6" x14ac:dyDescent="0.3">
      <c r="A2261" s="8" t="s">
        <v>4482</v>
      </c>
      <c r="B2261" s="8" t="s">
        <v>55865</v>
      </c>
      <c r="C2261" s="8" t="s">
        <v>4483</v>
      </c>
      <c r="D2261" s="8"/>
      <c r="E2261" s="6"/>
      <c r="F2261" s="6"/>
    </row>
    <row r="2262" spans="1:6" x14ac:dyDescent="0.3">
      <c r="A2262" s="8" t="s">
        <v>4484</v>
      </c>
      <c r="B2262" s="8" t="s">
        <v>55866</v>
      </c>
      <c r="C2262" s="8" t="s">
        <v>4485</v>
      </c>
      <c r="D2262" s="8"/>
      <c r="E2262" s="6"/>
      <c r="F2262" s="6"/>
    </row>
    <row r="2263" spans="1:6" x14ac:dyDescent="0.3">
      <c r="A2263" s="8" t="s">
        <v>4486</v>
      </c>
      <c r="B2263" s="8" t="s">
        <v>55867</v>
      </c>
      <c r="C2263" s="8" t="s">
        <v>4487</v>
      </c>
      <c r="D2263" s="8"/>
      <c r="E2263" s="6"/>
      <c r="F2263" s="6"/>
    </row>
    <row r="2264" spans="1:6" x14ac:dyDescent="0.3">
      <c r="A2264" s="8" t="s">
        <v>4488</v>
      </c>
      <c r="B2264" s="8" t="s">
        <v>55868</v>
      </c>
      <c r="C2264" s="8" t="s">
        <v>4489</v>
      </c>
      <c r="D2264" s="8"/>
      <c r="E2264" s="6"/>
      <c r="F2264" s="6"/>
    </row>
    <row r="2265" spans="1:6" x14ac:dyDescent="0.3">
      <c r="A2265" s="8" t="s">
        <v>4490</v>
      </c>
      <c r="B2265" s="8" t="s">
        <v>55869</v>
      </c>
      <c r="C2265" s="8" t="s">
        <v>4491</v>
      </c>
      <c r="D2265" s="8"/>
      <c r="E2265" s="6"/>
      <c r="F2265" s="6"/>
    </row>
    <row r="2266" spans="1:6" x14ac:dyDescent="0.3">
      <c r="A2266" s="8" t="s">
        <v>4492</v>
      </c>
      <c r="B2266" s="8" t="s">
        <v>55870</v>
      </c>
      <c r="C2266" s="8" t="s">
        <v>4493</v>
      </c>
      <c r="D2266" s="8"/>
      <c r="E2266" s="6"/>
      <c r="F2266" s="6"/>
    </row>
    <row r="2267" spans="1:6" x14ac:dyDescent="0.3">
      <c r="A2267" s="8" t="s">
        <v>4494</v>
      </c>
      <c r="B2267" s="8" t="s">
        <v>55871</v>
      </c>
      <c r="C2267" s="8" t="s">
        <v>4495</v>
      </c>
      <c r="D2267" s="8"/>
      <c r="E2267" s="6"/>
      <c r="F2267" s="6"/>
    </row>
    <row r="2268" spans="1:6" x14ac:dyDescent="0.3">
      <c r="A2268" s="8" t="s">
        <v>4496</v>
      </c>
      <c r="B2268" s="8" t="s">
        <v>55872</v>
      </c>
      <c r="C2268" s="8" t="s">
        <v>4497</v>
      </c>
      <c r="D2268" s="8"/>
      <c r="E2268" s="6"/>
      <c r="F2268" s="6"/>
    </row>
    <row r="2269" spans="1:6" x14ac:dyDescent="0.3">
      <c r="A2269" s="8" t="s">
        <v>4498</v>
      </c>
      <c r="B2269" s="8" t="s">
        <v>55873</v>
      </c>
      <c r="C2269" s="8" t="s">
        <v>4499</v>
      </c>
      <c r="D2269" s="8"/>
      <c r="E2269" s="6"/>
      <c r="F2269" s="6"/>
    </row>
    <row r="2270" spans="1:6" x14ac:dyDescent="0.3">
      <c r="A2270" s="8" t="s">
        <v>4500</v>
      </c>
      <c r="B2270" s="8" t="s">
        <v>55874</v>
      </c>
      <c r="C2270" s="8" t="s">
        <v>4501</v>
      </c>
      <c r="D2270" s="8"/>
      <c r="E2270" s="6"/>
      <c r="F2270" s="6"/>
    </row>
    <row r="2271" spans="1:6" x14ac:dyDescent="0.3">
      <c r="A2271" s="8" t="s">
        <v>4502</v>
      </c>
      <c r="B2271" s="8" t="s">
        <v>55875</v>
      </c>
      <c r="C2271" s="8" t="s">
        <v>4503</v>
      </c>
      <c r="D2271" s="8"/>
      <c r="E2271" s="6"/>
      <c r="F2271" s="6"/>
    </row>
    <row r="2272" spans="1:6" x14ac:dyDescent="0.3">
      <c r="A2272" s="8" t="s">
        <v>4504</v>
      </c>
      <c r="B2272" s="8" t="s">
        <v>55876</v>
      </c>
      <c r="C2272" s="8" t="s">
        <v>4505</v>
      </c>
      <c r="D2272" s="8"/>
      <c r="E2272" s="6"/>
      <c r="F2272" s="6"/>
    </row>
    <row r="2273" spans="1:6" x14ac:dyDescent="0.3">
      <c r="A2273" s="8" t="s">
        <v>4506</v>
      </c>
      <c r="B2273" s="8" t="s">
        <v>55877</v>
      </c>
      <c r="C2273" s="8" t="s">
        <v>4507</v>
      </c>
      <c r="D2273" s="8"/>
      <c r="E2273" s="6"/>
      <c r="F2273" s="6"/>
    </row>
    <row r="2274" spans="1:6" x14ac:dyDescent="0.3">
      <c r="A2274" s="8" t="s">
        <v>4508</v>
      </c>
      <c r="B2274" s="8" t="s">
        <v>55878</v>
      </c>
      <c r="C2274" s="8" t="s">
        <v>4509</v>
      </c>
      <c r="D2274" s="8"/>
      <c r="E2274" s="6"/>
      <c r="F2274" s="6"/>
    </row>
    <row r="2275" spans="1:6" x14ac:dyDescent="0.3">
      <c r="A2275" s="8" t="s">
        <v>4510</v>
      </c>
      <c r="B2275" s="8" t="s">
        <v>55879</v>
      </c>
      <c r="C2275" s="8" t="s">
        <v>4511</v>
      </c>
      <c r="D2275" s="8"/>
      <c r="E2275" s="6"/>
      <c r="F2275" s="6"/>
    </row>
    <row r="2276" spans="1:6" x14ac:dyDescent="0.3">
      <c r="A2276" s="8" t="s">
        <v>4512</v>
      </c>
      <c r="B2276" s="8" t="s">
        <v>55880</v>
      </c>
      <c r="C2276" s="8" t="s">
        <v>4513</v>
      </c>
      <c r="D2276" s="8"/>
      <c r="E2276" s="6"/>
      <c r="F2276" s="6"/>
    </row>
    <row r="2277" spans="1:6" x14ac:dyDescent="0.3">
      <c r="A2277" s="8" t="s">
        <v>4514</v>
      </c>
      <c r="B2277" s="8" t="s">
        <v>55881</v>
      </c>
      <c r="C2277" s="8" t="s">
        <v>4515</v>
      </c>
      <c r="D2277" s="8"/>
      <c r="E2277" s="6"/>
      <c r="F2277" s="6"/>
    </row>
    <row r="2278" spans="1:6" x14ac:dyDescent="0.3">
      <c r="A2278" s="8" t="s">
        <v>4516</v>
      </c>
      <c r="B2278" s="8" t="s">
        <v>55882</v>
      </c>
      <c r="C2278" s="8" t="s">
        <v>4517</v>
      </c>
      <c r="D2278" s="8"/>
      <c r="E2278" s="6"/>
      <c r="F2278" s="6"/>
    </row>
    <row r="2279" spans="1:6" x14ac:dyDescent="0.3">
      <c r="A2279" s="8" t="s">
        <v>4518</v>
      </c>
      <c r="B2279" s="8" t="s">
        <v>55883</v>
      </c>
      <c r="C2279" s="8" t="s">
        <v>4519</v>
      </c>
      <c r="D2279" s="8"/>
      <c r="E2279" s="6"/>
      <c r="F2279" s="6"/>
    </row>
    <row r="2280" spans="1:6" x14ac:dyDescent="0.3">
      <c r="A2280" s="8" t="s">
        <v>4520</v>
      </c>
      <c r="B2280" s="8" t="s">
        <v>55884</v>
      </c>
      <c r="C2280" s="8" t="s">
        <v>4521</v>
      </c>
      <c r="D2280" s="8"/>
      <c r="E2280" s="6"/>
      <c r="F2280" s="6"/>
    </row>
    <row r="2281" spans="1:6" x14ac:dyDescent="0.3">
      <c r="A2281" s="8" t="s">
        <v>4522</v>
      </c>
      <c r="B2281" s="8" t="s">
        <v>55885</v>
      </c>
      <c r="C2281" s="8" t="s">
        <v>4523</v>
      </c>
      <c r="D2281" s="8"/>
      <c r="E2281" s="6"/>
      <c r="F2281" s="6"/>
    </row>
    <row r="2282" spans="1:6" x14ac:dyDescent="0.3">
      <c r="A2282" s="8" t="s">
        <v>4524</v>
      </c>
      <c r="B2282" s="8" t="s">
        <v>55886</v>
      </c>
      <c r="C2282" s="8" t="s">
        <v>4525</v>
      </c>
      <c r="D2282" s="8"/>
      <c r="E2282" s="6"/>
      <c r="F2282" s="6"/>
    </row>
    <row r="2283" spans="1:6" x14ac:dyDescent="0.3">
      <c r="A2283" s="8" t="s">
        <v>4526</v>
      </c>
      <c r="B2283" s="8" t="s">
        <v>55887</v>
      </c>
      <c r="C2283" s="8" t="s">
        <v>4527</v>
      </c>
      <c r="D2283" s="8"/>
      <c r="E2283" s="6"/>
      <c r="F2283" s="6"/>
    </row>
    <row r="2284" spans="1:6" x14ac:dyDescent="0.3">
      <c r="A2284" s="8" t="s">
        <v>4528</v>
      </c>
      <c r="B2284" s="8" t="s">
        <v>55888</v>
      </c>
      <c r="C2284" s="8" t="s">
        <v>4529</v>
      </c>
      <c r="D2284" s="8"/>
      <c r="E2284" s="6"/>
      <c r="F2284" s="6"/>
    </row>
    <row r="2285" spans="1:6" x14ac:dyDescent="0.3">
      <c r="A2285" s="8" t="s">
        <v>4530</v>
      </c>
      <c r="B2285" s="8" t="s">
        <v>55889</v>
      </c>
      <c r="C2285" s="8" t="s">
        <v>4531</v>
      </c>
      <c r="D2285" s="8"/>
      <c r="E2285" s="6"/>
      <c r="F2285" s="6"/>
    </row>
    <row r="2286" spans="1:6" x14ac:dyDescent="0.3">
      <c r="A2286" s="8" t="s">
        <v>4532</v>
      </c>
      <c r="B2286" s="8" t="s">
        <v>55890</v>
      </c>
      <c r="C2286" s="8" t="s">
        <v>4533</v>
      </c>
      <c r="D2286" s="8"/>
      <c r="E2286" s="6"/>
      <c r="F2286" s="6"/>
    </row>
    <row r="2287" spans="1:6" x14ac:dyDescent="0.3">
      <c r="A2287" s="8" t="s">
        <v>4534</v>
      </c>
      <c r="B2287" s="8" t="s">
        <v>55891</v>
      </c>
      <c r="C2287" s="8" t="s">
        <v>4535</v>
      </c>
      <c r="D2287" s="8"/>
      <c r="E2287" s="6"/>
      <c r="F2287" s="6"/>
    </row>
    <row r="2288" spans="1:6" x14ac:dyDescent="0.3">
      <c r="A2288" s="8" t="s">
        <v>4536</v>
      </c>
      <c r="B2288" s="8" t="s">
        <v>55892</v>
      </c>
      <c r="C2288" s="8" t="s">
        <v>4537</v>
      </c>
      <c r="D2288" s="8"/>
      <c r="E2288" s="6"/>
      <c r="F2288" s="6"/>
    </row>
    <row r="2289" spans="1:6" x14ac:dyDescent="0.3">
      <c r="A2289" s="8" t="s">
        <v>4538</v>
      </c>
      <c r="B2289" s="8" t="s">
        <v>55893</v>
      </c>
      <c r="C2289" s="8" t="s">
        <v>4539</v>
      </c>
      <c r="D2289" s="8"/>
      <c r="E2289" s="6"/>
      <c r="F2289" s="6"/>
    </row>
    <row r="2290" spans="1:6" x14ac:dyDescent="0.3">
      <c r="A2290" s="8" t="s">
        <v>4540</v>
      </c>
      <c r="B2290" s="8" t="s">
        <v>55894</v>
      </c>
      <c r="C2290" s="8" t="s">
        <v>4541</v>
      </c>
      <c r="D2290" s="8"/>
      <c r="E2290" s="6"/>
      <c r="F2290" s="6"/>
    </row>
    <row r="2291" spans="1:6" x14ac:dyDescent="0.3">
      <c r="A2291" s="8" t="s">
        <v>4542</v>
      </c>
      <c r="B2291" s="8" t="s">
        <v>55895</v>
      </c>
      <c r="C2291" s="8" t="s">
        <v>4543</v>
      </c>
      <c r="D2291" s="8"/>
      <c r="E2291" s="6"/>
      <c r="F2291" s="6"/>
    </row>
    <row r="2292" spans="1:6" x14ac:dyDescent="0.3">
      <c r="A2292" s="8" t="s">
        <v>4544</v>
      </c>
      <c r="B2292" s="8" t="s">
        <v>55896</v>
      </c>
      <c r="C2292" s="8" t="s">
        <v>4545</v>
      </c>
      <c r="D2292" s="8"/>
      <c r="E2292" s="6"/>
      <c r="F2292" s="6"/>
    </row>
    <row r="2293" spans="1:6" x14ac:dyDescent="0.3">
      <c r="A2293" s="8" t="s">
        <v>4546</v>
      </c>
      <c r="B2293" s="8" t="s">
        <v>55897</v>
      </c>
      <c r="C2293" s="8" t="s">
        <v>4547</v>
      </c>
      <c r="D2293" s="8"/>
      <c r="E2293" s="6"/>
      <c r="F2293" s="6"/>
    </row>
    <row r="2294" spans="1:6" x14ac:dyDescent="0.3">
      <c r="A2294" s="8" t="s">
        <v>4548</v>
      </c>
      <c r="B2294" s="8" t="s">
        <v>55898</v>
      </c>
      <c r="C2294" s="8" t="s">
        <v>4549</v>
      </c>
      <c r="D2294" s="8"/>
      <c r="E2294" s="6"/>
      <c r="F2294" s="6"/>
    </row>
    <row r="2295" spans="1:6" x14ac:dyDescent="0.3">
      <c r="A2295" s="8" t="s">
        <v>4550</v>
      </c>
      <c r="B2295" s="8" t="s">
        <v>55899</v>
      </c>
      <c r="C2295" s="8" t="s">
        <v>4551</v>
      </c>
      <c r="D2295" s="8"/>
      <c r="E2295" s="6"/>
      <c r="F2295" s="6"/>
    </row>
    <row r="2296" spans="1:6" x14ac:dyDescent="0.3">
      <c r="A2296" s="8" t="s">
        <v>4552</v>
      </c>
      <c r="B2296" s="8" t="s">
        <v>55900</v>
      </c>
      <c r="C2296" s="8" t="s">
        <v>4553</v>
      </c>
      <c r="D2296" s="8"/>
      <c r="E2296" s="6"/>
      <c r="F2296" s="6"/>
    </row>
    <row r="2297" spans="1:6" x14ac:dyDescent="0.3">
      <c r="A2297" s="8" t="s">
        <v>4554</v>
      </c>
      <c r="B2297" s="8" t="s">
        <v>55901</v>
      </c>
      <c r="C2297" s="8" t="s">
        <v>4555</v>
      </c>
      <c r="D2297" s="8"/>
      <c r="E2297" s="6"/>
      <c r="F2297" s="6"/>
    </row>
    <row r="2298" spans="1:6" x14ac:dyDescent="0.3">
      <c r="A2298" s="8" t="s">
        <v>4556</v>
      </c>
      <c r="B2298" s="8" t="s">
        <v>55902</v>
      </c>
      <c r="C2298" s="8" t="s">
        <v>4557</v>
      </c>
      <c r="D2298" s="8"/>
      <c r="E2298" s="6"/>
      <c r="F2298" s="6"/>
    </row>
    <row r="2299" spans="1:6" x14ac:dyDescent="0.3">
      <c r="A2299" s="8" t="s">
        <v>4558</v>
      </c>
      <c r="B2299" s="8" t="s">
        <v>55903</v>
      </c>
      <c r="C2299" s="8" t="s">
        <v>4559</v>
      </c>
      <c r="D2299" s="8"/>
      <c r="E2299" s="6"/>
      <c r="F2299" s="6"/>
    </row>
    <row r="2300" spans="1:6" x14ac:dyDescent="0.3">
      <c r="A2300" s="8" t="s">
        <v>4560</v>
      </c>
      <c r="B2300" s="8" t="s">
        <v>55904</v>
      </c>
      <c r="C2300" s="8" t="s">
        <v>4561</v>
      </c>
      <c r="D2300" s="8"/>
      <c r="E2300" s="6"/>
      <c r="F2300" s="6"/>
    </row>
    <row r="2301" spans="1:6" x14ac:dyDescent="0.3">
      <c r="A2301" s="8" t="s">
        <v>4562</v>
      </c>
      <c r="B2301" s="8" t="s">
        <v>55905</v>
      </c>
      <c r="C2301" s="8" t="s">
        <v>4563</v>
      </c>
      <c r="D2301" s="8"/>
      <c r="E2301" s="6"/>
      <c r="F2301" s="6"/>
    </row>
    <row r="2302" spans="1:6" x14ac:dyDescent="0.3">
      <c r="A2302" s="8" t="s">
        <v>4564</v>
      </c>
      <c r="B2302" s="8" t="s">
        <v>55906</v>
      </c>
      <c r="C2302" s="8" t="s">
        <v>4565</v>
      </c>
      <c r="D2302" s="8"/>
      <c r="E2302" s="6"/>
      <c r="F2302" s="6"/>
    </row>
    <row r="2303" spans="1:6" x14ac:dyDescent="0.3">
      <c r="A2303" s="8" t="s">
        <v>4566</v>
      </c>
      <c r="B2303" s="8" t="s">
        <v>55907</v>
      </c>
      <c r="C2303" s="8" t="s">
        <v>4567</v>
      </c>
      <c r="D2303" s="8"/>
      <c r="E2303" s="6"/>
      <c r="F2303" s="6"/>
    </row>
    <row r="2304" spans="1:6" x14ac:dyDescent="0.3">
      <c r="A2304" s="8" t="s">
        <v>4568</v>
      </c>
      <c r="B2304" s="8" t="s">
        <v>55908</v>
      </c>
      <c r="C2304" s="8" t="s">
        <v>4569</v>
      </c>
      <c r="D2304" s="8"/>
      <c r="E2304" s="6"/>
      <c r="F2304" s="6"/>
    </row>
    <row r="2305" spans="1:6" x14ac:dyDescent="0.3">
      <c r="A2305" s="8" t="s">
        <v>4570</v>
      </c>
      <c r="B2305" s="8" t="s">
        <v>55909</v>
      </c>
      <c r="C2305" s="8" t="s">
        <v>4571</v>
      </c>
      <c r="D2305" s="8"/>
      <c r="E2305" s="6"/>
      <c r="F2305" s="6"/>
    </row>
    <row r="2306" spans="1:6" x14ac:dyDescent="0.3">
      <c r="A2306" s="8" t="s">
        <v>4572</v>
      </c>
      <c r="B2306" s="8" t="s">
        <v>55910</v>
      </c>
      <c r="C2306" s="8" t="s">
        <v>4573</v>
      </c>
      <c r="D2306" s="8"/>
      <c r="E2306" s="6"/>
      <c r="F2306" s="6"/>
    </row>
    <row r="2307" spans="1:6" x14ac:dyDescent="0.3">
      <c r="A2307" s="8" t="s">
        <v>4574</v>
      </c>
      <c r="B2307" s="8" t="s">
        <v>55911</v>
      </c>
      <c r="C2307" s="8" t="s">
        <v>4575</v>
      </c>
      <c r="D2307" s="8"/>
      <c r="E2307" s="6"/>
      <c r="F2307" s="6"/>
    </row>
    <row r="2308" spans="1:6" x14ac:dyDescent="0.3">
      <c r="A2308" s="8" t="s">
        <v>4576</v>
      </c>
      <c r="B2308" s="8" t="s">
        <v>55912</v>
      </c>
      <c r="C2308" s="8" t="s">
        <v>4577</v>
      </c>
      <c r="D2308" s="8"/>
      <c r="E2308" s="6"/>
      <c r="F2308" s="6"/>
    </row>
    <row r="2309" spans="1:6" x14ac:dyDescent="0.3">
      <c r="A2309" s="8" t="s">
        <v>4578</v>
      </c>
      <c r="B2309" s="8" t="s">
        <v>55913</v>
      </c>
      <c r="C2309" s="8" t="s">
        <v>4579</v>
      </c>
      <c r="D2309" s="8"/>
      <c r="E2309" s="6"/>
      <c r="F2309" s="6"/>
    </row>
    <row r="2310" spans="1:6" x14ac:dyDescent="0.3">
      <c r="A2310" s="8" t="s">
        <v>4580</v>
      </c>
      <c r="B2310" s="8" t="s">
        <v>55914</v>
      </c>
      <c r="C2310" s="8" t="s">
        <v>4581</v>
      </c>
      <c r="D2310" s="8"/>
      <c r="E2310" s="6"/>
      <c r="F2310" s="6"/>
    </row>
    <row r="2311" spans="1:6" x14ac:dyDescent="0.3">
      <c r="A2311" s="8" t="s">
        <v>4582</v>
      </c>
      <c r="B2311" s="8" t="s">
        <v>55915</v>
      </c>
      <c r="C2311" s="8" t="s">
        <v>4583</v>
      </c>
      <c r="D2311" s="8"/>
      <c r="E2311" s="6"/>
      <c r="F2311" s="6"/>
    </row>
    <row r="2312" spans="1:6" x14ac:dyDescent="0.3">
      <c r="A2312" s="8" t="s">
        <v>4584</v>
      </c>
      <c r="B2312" s="8" t="s">
        <v>55916</v>
      </c>
      <c r="C2312" s="8" t="s">
        <v>4585</v>
      </c>
      <c r="D2312" s="8"/>
      <c r="E2312" s="6"/>
      <c r="F2312" s="6"/>
    </row>
    <row r="2313" spans="1:6" x14ac:dyDescent="0.3">
      <c r="A2313" s="8" t="s">
        <v>4586</v>
      </c>
      <c r="B2313" s="8" t="s">
        <v>55917</v>
      </c>
      <c r="C2313" s="8" t="s">
        <v>4587</v>
      </c>
      <c r="D2313" s="8"/>
      <c r="E2313" s="6"/>
      <c r="F2313" s="6"/>
    </row>
    <row r="2314" spans="1:6" x14ac:dyDescent="0.3">
      <c r="A2314" s="8" t="s">
        <v>4588</v>
      </c>
      <c r="B2314" s="8" t="s">
        <v>55918</v>
      </c>
      <c r="C2314" s="8" t="s">
        <v>4589</v>
      </c>
      <c r="D2314" s="8"/>
      <c r="E2314" s="6"/>
      <c r="F2314" s="6"/>
    </row>
    <row r="2315" spans="1:6" x14ac:dyDescent="0.3">
      <c r="A2315" s="8" t="s">
        <v>4590</v>
      </c>
      <c r="B2315" s="8" t="s">
        <v>55919</v>
      </c>
      <c r="C2315" s="8" t="s">
        <v>4591</v>
      </c>
      <c r="D2315" s="8"/>
      <c r="E2315" s="6"/>
      <c r="F2315" s="6"/>
    </row>
    <row r="2316" spans="1:6" x14ac:dyDescent="0.3">
      <c r="A2316" s="8" t="s">
        <v>4592</v>
      </c>
      <c r="B2316" s="8" t="s">
        <v>55920</v>
      </c>
      <c r="C2316" s="8" t="s">
        <v>4593</v>
      </c>
      <c r="D2316" s="8"/>
      <c r="E2316" s="6"/>
      <c r="F2316" s="6"/>
    </row>
    <row r="2317" spans="1:6" x14ac:dyDescent="0.3">
      <c r="A2317" s="8" t="s">
        <v>4594</v>
      </c>
      <c r="B2317" s="8" t="s">
        <v>55921</v>
      </c>
      <c r="C2317" s="8" t="s">
        <v>4595</v>
      </c>
      <c r="D2317" s="8"/>
      <c r="E2317" s="6"/>
      <c r="F2317" s="6"/>
    </row>
    <row r="2318" spans="1:6" x14ac:dyDescent="0.3">
      <c r="A2318" s="8" t="s">
        <v>4596</v>
      </c>
      <c r="B2318" s="8" t="s">
        <v>55922</v>
      </c>
      <c r="C2318" s="8" t="s">
        <v>4597</v>
      </c>
      <c r="D2318" s="8"/>
      <c r="E2318" s="6"/>
      <c r="F2318" s="6"/>
    </row>
    <row r="2319" spans="1:6" x14ac:dyDescent="0.3">
      <c r="A2319" s="8" t="s">
        <v>4598</v>
      </c>
      <c r="B2319" s="8" t="s">
        <v>55923</v>
      </c>
      <c r="C2319" s="8" t="s">
        <v>4599</v>
      </c>
      <c r="D2319" s="8"/>
      <c r="E2319" s="6"/>
      <c r="F2319" s="6"/>
    </row>
    <row r="2320" spans="1:6" x14ac:dyDescent="0.3">
      <c r="A2320" s="8" t="s">
        <v>4600</v>
      </c>
      <c r="B2320" s="8" t="s">
        <v>55924</v>
      </c>
      <c r="C2320" s="8" t="s">
        <v>4601</v>
      </c>
      <c r="D2320" s="8"/>
      <c r="E2320" s="6"/>
      <c r="F2320" s="6"/>
    </row>
    <row r="2321" spans="1:6" x14ac:dyDescent="0.3">
      <c r="A2321" s="8" t="s">
        <v>4602</v>
      </c>
      <c r="B2321" s="8" t="s">
        <v>55925</v>
      </c>
      <c r="C2321" s="8" t="s">
        <v>4603</v>
      </c>
      <c r="D2321" s="8"/>
      <c r="E2321" s="6"/>
      <c r="F2321" s="6"/>
    </row>
    <row r="2322" spans="1:6" x14ac:dyDescent="0.3">
      <c r="A2322" s="8" t="s">
        <v>4604</v>
      </c>
      <c r="B2322" s="8" t="s">
        <v>55926</v>
      </c>
      <c r="C2322" s="8" t="s">
        <v>4605</v>
      </c>
      <c r="D2322" s="8"/>
      <c r="E2322" s="6"/>
      <c r="F2322" s="6"/>
    </row>
    <row r="2323" spans="1:6" x14ac:dyDescent="0.3">
      <c r="A2323" s="8" t="s">
        <v>4606</v>
      </c>
      <c r="B2323" s="8" t="s">
        <v>55927</v>
      </c>
      <c r="C2323" s="8" t="s">
        <v>4607</v>
      </c>
      <c r="D2323" s="8"/>
      <c r="E2323" s="6"/>
      <c r="F2323" s="6"/>
    </row>
    <row r="2324" spans="1:6" x14ac:dyDescent="0.3">
      <c r="A2324" s="8" t="s">
        <v>4608</v>
      </c>
      <c r="B2324" s="8" t="s">
        <v>55928</v>
      </c>
      <c r="C2324" s="8" t="s">
        <v>4609</v>
      </c>
      <c r="D2324" s="8"/>
      <c r="E2324" s="6"/>
      <c r="F2324" s="6"/>
    </row>
    <row r="2325" spans="1:6" x14ac:dyDescent="0.3">
      <c r="A2325" s="8" t="s">
        <v>4610</v>
      </c>
      <c r="B2325" s="8" t="s">
        <v>55929</v>
      </c>
      <c r="C2325" s="8" t="s">
        <v>4611</v>
      </c>
      <c r="D2325" s="8"/>
      <c r="E2325" s="6"/>
      <c r="F2325" s="6"/>
    </row>
    <row r="2326" spans="1:6" x14ac:dyDescent="0.3">
      <c r="A2326" s="8" t="s">
        <v>4612</v>
      </c>
      <c r="B2326" s="8" t="s">
        <v>55930</v>
      </c>
      <c r="C2326" s="8" t="s">
        <v>4613</v>
      </c>
      <c r="D2326" s="8"/>
      <c r="E2326" s="6"/>
      <c r="F2326" s="6"/>
    </row>
    <row r="2327" spans="1:6" x14ac:dyDescent="0.3">
      <c r="A2327" s="8" t="s">
        <v>4614</v>
      </c>
      <c r="B2327" s="8" t="s">
        <v>55931</v>
      </c>
      <c r="C2327" s="8" t="s">
        <v>4615</v>
      </c>
      <c r="D2327" s="8"/>
      <c r="E2327" s="6"/>
      <c r="F2327" s="6"/>
    </row>
    <row r="2328" spans="1:6" x14ac:dyDescent="0.3">
      <c r="A2328" s="8" t="s">
        <v>4616</v>
      </c>
      <c r="B2328" s="8" t="s">
        <v>55932</v>
      </c>
      <c r="C2328" s="8" t="s">
        <v>4617</v>
      </c>
      <c r="D2328" s="8"/>
      <c r="E2328" s="6"/>
      <c r="F2328" s="6"/>
    </row>
    <row r="2329" spans="1:6" x14ac:dyDescent="0.3">
      <c r="A2329" s="8" t="s">
        <v>4618</v>
      </c>
      <c r="B2329" s="8" t="s">
        <v>55933</v>
      </c>
      <c r="C2329" s="8" t="s">
        <v>4619</v>
      </c>
      <c r="D2329" s="8"/>
      <c r="E2329" s="6"/>
      <c r="F2329" s="6"/>
    </row>
    <row r="2330" spans="1:6" x14ac:dyDescent="0.3">
      <c r="A2330" s="8" t="s">
        <v>4620</v>
      </c>
      <c r="B2330" s="8" t="s">
        <v>55934</v>
      </c>
      <c r="C2330" s="8" t="s">
        <v>4621</v>
      </c>
      <c r="D2330" s="8"/>
      <c r="E2330" s="6"/>
      <c r="F2330" s="6"/>
    </row>
    <row r="2331" spans="1:6" x14ac:dyDescent="0.3">
      <c r="A2331" s="8" t="s">
        <v>4622</v>
      </c>
      <c r="B2331" s="8" t="s">
        <v>55935</v>
      </c>
      <c r="C2331" s="8" t="s">
        <v>4623</v>
      </c>
      <c r="D2331" s="8"/>
      <c r="E2331" s="6"/>
      <c r="F2331" s="6"/>
    </row>
    <row r="2332" spans="1:6" x14ac:dyDescent="0.3">
      <c r="A2332" s="8" t="s">
        <v>4624</v>
      </c>
      <c r="B2332" s="8" t="s">
        <v>55936</v>
      </c>
      <c r="C2332" s="8" t="s">
        <v>4625</v>
      </c>
      <c r="D2332" s="8"/>
      <c r="E2332" s="6"/>
      <c r="F2332" s="6"/>
    </row>
    <row r="2333" spans="1:6" x14ac:dyDescent="0.3">
      <c r="A2333" s="8" t="s">
        <v>4626</v>
      </c>
      <c r="B2333" s="8" t="s">
        <v>55937</v>
      </c>
      <c r="C2333" s="8" t="s">
        <v>4627</v>
      </c>
      <c r="D2333" s="8"/>
      <c r="E2333" s="6"/>
      <c r="F2333" s="6"/>
    </row>
    <row r="2334" spans="1:6" x14ac:dyDescent="0.3">
      <c r="A2334" s="8" t="s">
        <v>4628</v>
      </c>
      <c r="B2334" s="8" t="s">
        <v>55938</v>
      </c>
      <c r="C2334" s="8" t="s">
        <v>4629</v>
      </c>
      <c r="D2334" s="8"/>
      <c r="E2334" s="6"/>
      <c r="F2334" s="6"/>
    </row>
    <row r="2335" spans="1:6" x14ac:dyDescent="0.3">
      <c r="A2335" s="8" t="s">
        <v>4630</v>
      </c>
      <c r="B2335" s="8" t="s">
        <v>55939</v>
      </c>
      <c r="C2335" s="8" t="s">
        <v>4631</v>
      </c>
      <c r="D2335" s="8"/>
      <c r="E2335" s="6"/>
      <c r="F2335" s="6"/>
    </row>
    <row r="2336" spans="1:6" x14ac:dyDescent="0.3">
      <c r="A2336" s="8" t="s">
        <v>4632</v>
      </c>
      <c r="B2336" s="8" t="s">
        <v>55940</v>
      </c>
      <c r="C2336" s="8" t="s">
        <v>4633</v>
      </c>
      <c r="D2336" s="8"/>
      <c r="E2336" s="6"/>
      <c r="F2336" s="6"/>
    </row>
    <row r="2337" spans="1:6" x14ac:dyDescent="0.3">
      <c r="A2337" s="8" t="s">
        <v>4634</v>
      </c>
      <c r="B2337" s="8" t="s">
        <v>55941</v>
      </c>
      <c r="C2337" s="8" t="s">
        <v>4635</v>
      </c>
      <c r="D2337" s="8"/>
      <c r="E2337" s="6"/>
      <c r="F2337" s="6"/>
    </row>
    <row r="2338" spans="1:6" x14ac:dyDescent="0.3">
      <c r="A2338" s="8" t="s">
        <v>4636</v>
      </c>
      <c r="B2338" s="8" t="s">
        <v>55942</v>
      </c>
      <c r="C2338" s="8" t="s">
        <v>4637</v>
      </c>
      <c r="D2338" s="8"/>
      <c r="E2338" s="6"/>
      <c r="F2338" s="6"/>
    </row>
    <row r="2339" spans="1:6" x14ac:dyDescent="0.3">
      <c r="A2339" s="8" t="s">
        <v>4638</v>
      </c>
      <c r="B2339" s="8" t="s">
        <v>55943</v>
      </c>
      <c r="C2339" s="8" t="s">
        <v>4639</v>
      </c>
      <c r="D2339" s="8"/>
      <c r="E2339" s="6"/>
      <c r="F2339" s="6"/>
    </row>
    <row r="2340" spans="1:6" x14ac:dyDescent="0.3">
      <c r="A2340" s="8" t="s">
        <v>4640</v>
      </c>
      <c r="B2340" s="8" t="s">
        <v>55944</v>
      </c>
      <c r="C2340" s="8" t="s">
        <v>4641</v>
      </c>
      <c r="D2340" s="8"/>
      <c r="E2340" s="6"/>
      <c r="F2340" s="6"/>
    </row>
    <row r="2341" spans="1:6" x14ac:dyDescent="0.3">
      <c r="A2341" s="8" t="s">
        <v>4642</v>
      </c>
      <c r="B2341" s="8" t="s">
        <v>55945</v>
      </c>
      <c r="C2341" s="8" t="s">
        <v>4643</v>
      </c>
      <c r="D2341" s="8"/>
      <c r="E2341" s="6"/>
      <c r="F2341" s="6"/>
    </row>
    <row r="2342" spans="1:6" x14ac:dyDescent="0.3">
      <c r="A2342" s="8" t="s">
        <v>4644</v>
      </c>
      <c r="B2342" s="8" t="s">
        <v>55946</v>
      </c>
      <c r="C2342" s="8" t="s">
        <v>4645</v>
      </c>
      <c r="D2342" s="8"/>
      <c r="E2342" s="6"/>
      <c r="F2342" s="6"/>
    </row>
    <row r="2343" spans="1:6" x14ac:dyDescent="0.3">
      <c r="A2343" s="8" t="s">
        <v>4646</v>
      </c>
      <c r="B2343" s="8" t="s">
        <v>55947</v>
      </c>
      <c r="C2343" s="8" t="s">
        <v>4647</v>
      </c>
      <c r="D2343" s="8"/>
      <c r="E2343" s="6"/>
      <c r="F2343" s="6"/>
    </row>
    <row r="2344" spans="1:6" x14ac:dyDescent="0.3">
      <c r="A2344" s="8" t="s">
        <v>4648</v>
      </c>
      <c r="B2344" s="8" t="s">
        <v>55948</v>
      </c>
      <c r="C2344" s="8" t="s">
        <v>4649</v>
      </c>
      <c r="D2344" s="8"/>
      <c r="E2344" s="6"/>
      <c r="F2344" s="6"/>
    </row>
    <row r="2345" spans="1:6" x14ac:dyDescent="0.3">
      <c r="A2345" s="8" t="s">
        <v>4650</v>
      </c>
      <c r="B2345" s="8" t="s">
        <v>55949</v>
      </c>
      <c r="C2345" s="8" t="s">
        <v>4651</v>
      </c>
      <c r="D2345" s="8"/>
      <c r="E2345" s="6"/>
      <c r="F2345" s="6"/>
    </row>
    <row r="2346" spans="1:6" x14ac:dyDescent="0.3">
      <c r="A2346" s="8" t="s">
        <v>4652</v>
      </c>
      <c r="B2346" s="8" t="s">
        <v>55950</v>
      </c>
      <c r="C2346" s="8" t="s">
        <v>4653</v>
      </c>
      <c r="D2346" s="8"/>
      <c r="E2346" s="6"/>
      <c r="F2346" s="6"/>
    </row>
    <row r="2347" spans="1:6" x14ac:dyDescent="0.3">
      <c r="A2347" s="8" t="s">
        <v>4654</v>
      </c>
      <c r="B2347" s="8" t="s">
        <v>55951</v>
      </c>
      <c r="C2347" s="8" t="s">
        <v>4655</v>
      </c>
      <c r="D2347" s="8"/>
      <c r="E2347" s="6"/>
      <c r="F2347" s="6"/>
    </row>
    <row r="2348" spans="1:6" x14ac:dyDescent="0.3">
      <c r="A2348" s="8" t="s">
        <v>4656</v>
      </c>
      <c r="B2348" s="8" t="s">
        <v>55952</v>
      </c>
      <c r="C2348" s="8" t="s">
        <v>4657</v>
      </c>
      <c r="D2348" s="8"/>
      <c r="E2348" s="6"/>
      <c r="F2348" s="6"/>
    </row>
    <row r="2349" spans="1:6" x14ac:dyDescent="0.3">
      <c r="A2349" s="8" t="s">
        <v>4658</v>
      </c>
      <c r="B2349" s="8" t="s">
        <v>55953</v>
      </c>
      <c r="C2349" s="8" t="s">
        <v>4659</v>
      </c>
      <c r="D2349" s="8"/>
      <c r="E2349" s="6"/>
      <c r="F2349" s="6"/>
    </row>
    <row r="2350" spans="1:6" x14ac:dyDescent="0.3">
      <c r="A2350" s="8" t="s">
        <v>4660</v>
      </c>
      <c r="B2350" s="8" t="s">
        <v>55954</v>
      </c>
      <c r="C2350" s="8" t="s">
        <v>4661</v>
      </c>
      <c r="D2350" s="8"/>
      <c r="E2350" s="6"/>
      <c r="F2350" s="6"/>
    </row>
    <row r="2351" spans="1:6" x14ac:dyDescent="0.3">
      <c r="A2351" s="8" t="s">
        <v>4662</v>
      </c>
      <c r="B2351" s="8" t="s">
        <v>55955</v>
      </c>
      <c r="C2351" s="8" t="s">
        <v>4663</v>
      </c>
      <c r="D2351" s="8"/>
      <c r="E2351" s="6"/>
      <c r="F2351" s="6"/>
    </row>
    <row r="2352" spans="1:6" x14ac:dyDescent="0.3">
      <c r="A2352" s="8" t="s">
        <v>4664</v>
      </c>
      <c r="B2352" s="8" t="s">
        <v>55956</v>
      </c>
      <c r="C2352" s="8" t="s">
        <v>4665</v>
      </c>
      <c r="D2352" s="8"/>
      <c r="E2352" s="6"/>
      <c r="F2352" s="6"/>
    </row>
    <row r="2353" spans="1:6" x14ac:dyDescent="0.3">
      <c r="A2353" s="8" t="s">
        <v>4666</v>
      </c>
      <c r="B2353" s="8" t="s">
        <v>55957</v>
      </c>
      <c r="C2353" s="8" t="s">
        <v>4667</v>
      </c>
      <c r="D2353" s="8"/>
      <c r="E2353" s="6"/>
      <c r="F2353" s="6"/>
    </row>
    <row r="2354" spans="1:6" x14ac:dyDescent="0.3">
      <c r="A2354" s="8" t="s">
        <v>4668</v>
      </c>
      <c r="B2354" s="8" t="s">
        <v>55958</v>
      </c>
      <c r="C2354" s="8" t="s">
        <v>4669</v>
      </c>
      <c r="D2354" s="8"/>
      <c r="E2354" s="6"/>
      <c r="F2354" s="6"/>
    </row>
    <row r="2355" spans="1:6" x14ac:dyDescent="0.3">
      <c r="A2355" s="8" t="s">
        <v>4670</v>
      </c>
      <c r="B2355" s="8" t="s">
        <v>55959</v>
      </c>
      <c r="C2355" s="8" t="s">
        <v>4671</v>
      </c>
      <c r="D2355" s="8"/>
      <c r="E2355" s="6"/>
      <c r="F2355" s="6"/>
    </row>
    <row r="2356" spans="1:6" x14ac:dyDescent="0.3">
      <c r="A2356" s="8" t="s">
        <v>4672</v>
      </c>
      <c r="B2356" s="8" t="s">
        <v>55960</v>
      </c>
      <c r="C2356" s="8" t="s">
        <v>4673</v>
      </c>
      <c r="D2356" s="8"/>
      <c r="E2356" s="6"/>
      <c r="F2356" s="6"/>
    </row>
    <row r="2357" spans="1:6" x14ac:dyDescent="0.3">
      <c r="A2357" s="8" t="s">
        <v>4674</v>
      </c>
      <c r="B2357" s="8" t="s">
        <v>55961</v>
      </c>
      <c r="C2357" s="8" t="s">
        <v>4675</v>
      </c>
      <c r="D2357" s="8"/>
      <c r="E2357" s="6"/>
      <c r="F2357" s="6"/>
    </row>
    <row r="2358" spans="1:6" x14ac:dyDescent="0.3">
      <c r="A2358" s="8" t="s">
        <v>4676</v>
      </c>
      <c r="B2358" s="8" t="s">
        <v>55962</v>
      </c>
      <c r="C2358" s="8" t="s">
        <v>4677</v>
      </c>
      <c r="D2358" s="8"/>
      <c r="E2358" s="6"/>
      <c r="F2358" s="6"/>
    </row>
    <row r="2359" spans="1:6" x14ac:dyDescent="0.3">
      <c r="A2359" s="8" t="s">
        <v>4678</v>
      </c>
      <c r="B2359" s="8" t="s">
        <v>55963</v>
      </c>
      <c r="C2359" s="8" t="s">
        <v>4679</v>
      </c>
      <c r="D2359" s="8"/>
      <c r="E2359" s="6"/>
      <c r="F2359" s="6"/>
    </row>
    <row r="2360" spans="1:6" x14ac:dyDescent="0.3">
      <c r="A2360" s="8" t="s">
        <v>4680</v>
      </c>
      <c r="B2360" s="8" t="s">
        <v>55964</v>
      </c>
      <c r="C2360" s="8" t="s">
        <v>4681</v>
      </c>
      <c r="D2360" s="8"/>
      <c r="E2360" s="6"/>
      <c r="F2360" s="6"/>
    </row>
    <row r="2361" spans="1:6" x14ac:dyDescent="0.3">
      <c r="A2361" s="8" t="s">
        <v>4682</v>
      </c>
      <c r="B2361" s="8" t="s">
        <v>55965</v>
      </c>
      <c r="C2361" s="8" t="s">
        <v>4683</v>
      </c>
      <c r="D2361" s="8"/>
      <c r="E2361" s="6"/>
      <c r="F2361" s="6"/>
    </row>
    <row r="2362" spans="1:6" x14ac:dyDescent="0.3">
      <c r="A2362" s="8" t="s">
        <v>4684</v>
      </c>
      <c r="B2362" s="8" t="s">
        <v>55966</v>
      </c>
      <c r="C2362" s="8" t="s">
        <v>4685</v>
      </c>
      <c r="D2362" s="8"/>
      <c r="E2362" s="6"/>
      <c r="F2362" s="6"/>
    </row>
    <row r="2363" spans="1:6" x14ac:dyDescent="0.3">
      <c r="A2363" s="8" t="s">
        <v>4686</v>
      </c>
      <c r="B2363" s="8" t="s">
        <v>55967</v>
      </c>
      <c r="C2363" s="8" t="s">
        <v>4687</v>
      </c>
      <c r="D2363" s="8"/>
      <c r="E2363" s="6"/>
      <c r="F2363" s="6"/>
    </row>
    <row r="2364" spans="1:6" x14ac:dyDescent="0.3">
      <c r="A2364" s="8" t="s">
        <v>4688</v>
      </c>
      <c r="B2364" s="8" t="s">
        <v>55968</v>
      </c>
      <c r="C2364" s="8" t="s">
        <v>4689</v>
      </c>
      <c r="D2364" s="8"/>
      <c r="E2364" s="6"/>
      <c r="F2364" s="6"/>
    </row>
    <row r="2365" spans="1:6" x14ac:dyDescent="0.3">
      <c r="A2365" s="8" t="s">
        <v>4690</v>
      </c>
      <c r="B2365" s="8" t="s">
        <v>55969</v>
      </c>
      <c r="C2365" s="8" t="s">
        <v>4691</v>
      </c>
      <c r="D2365" s="8"/>
      <c r="E2365" s="6"/>
      <c r="F2365" s="6"/>
    </row>
    <row r="2366" spans="1:6" x14ac:dyDescent="0.3">
      <c r="A2366" s="8" t="s">
        <v>4692</v>
      </c>
      <c r="B2366" s="8" t="s">
        <v>55970</v>
      </c>
      <c r="C2366" s="8" t="s">
        <v>4693</v>
      </c>
      <c r="D2366" s="8"/>
      <c r="E2366" s="6"/>
      <c r="F2366" s="6"/>
    </row>
    <row r="2367" spans="1:6" x14ac:dyDescent="0.3">
      <c r="A2367" s="8" t="s">
        <v>4694</v>
      </c>
      <c r="B2367" s="8" t="s">
        <v>55971</v>
      </c>
      <c r="C2367" s="8" t="s">
        <v>4695</v>
      </c>
      <c r="D2367" s="8"/>
      <c r="E2367" s="6"/>
      <c r="F2367" s="6"/>
    </row>
    <row r="2368" spans="1:6" x14ac:dyDescent="0.3">
      <c r="A2368" s="8" t="s">
        <v>4696</v>
      </c>
      <c r="B2368" s="8" t="s">
        <v>55972</v>
      </c>
      <c r="C2368" s="8" t="s">
        <v>4697</v>
      </c>
      <c r="D2368" s="8"/>
      <c r="E2368" s="6"/>
      <c r="F2368" s="6"/>
    </row>
    <row r="2369" spans="1:6" x14ac:dyDescent="0.3">
      <c r="A2369" s="8" t="s">
        <v>4698</v>
      </c>
      <c r="B2369" s="8" t="s">
        <v>55973</v>
      </c>
      <c r="C2369" s="8" t="s">
        <v>4699</v>
      </c>
      <c r="D2369" s="8"/>
      <c r="E2369" s="6"/>
      <c r="F2369" s="6"/>
    </row>
    <row r="2370" spans="1:6" x14ac:dyDescent="0.3">
      <c r="A2370" s="8" t="s">
        <v>4700</v>
      </c>
      <c r="B2370" s="8" t="s">
        <v>55974</v>
      </c>
      <c r="C2370" s="8" t="s">
        <v>4701</v>
      </c>
      <c r="D2370" s="8"/>
      <c r="E2370" s="6"/>
      <c r="F2370" s="6"/>
    </row>
    <row r="2371" spans="1:6" x14ac:dyDescent="0.3">
      <c r="A2371" s="8" t="s">
        <v>4702</v>
      </c>
      <c r="B2371" s="8" t="s">
        <v>55975</v>
      </c>
      <c r="C2371" s="8" t="s">
        <v>4703</v>
      </c>
      <c r="D2371" s="8"/>
      <c r="E2371" s="6"/>
      <c r="F2371" s="6"/>
    </row>
    <row r="2372" spans="1:6" x14ac:dyDescent="0.3">
      <c r="A2372" s="8" t="s">
        <v>4704</v>
      </c>
      <c r="B2372" s="8" t="s">
        <v>55976</v>
      </c>
      <c r="C2372" s="8" t="s">
        <v>4705</v>
      </c>
      <c r="D2372" s="8"/>
      <c r="E2372" s="6"/>
      <c r="F2372" s="6"/>
    </row>
    <row r="2373" spans="1:6" x14ac:dyDescent="0.3">
      <c r="A2373" s="8" t="s">
        <v>4706</v>
      </c>
      <c r="B2373" s="8" t="s">
        <v>55977</v>
      </c>
      <c r="C2373" s="8" t="s">
        <v>4707</v>
      </c>
      <c r="D2373" s="8"/>
      <c r="E2373" s="6"/>
      <c r="F2373" s="6"/>
    </row>
    <row r="2374" spans="1:6" x14ac:dyDescent="0.3">
      <c r="A2374" s="8" t="s">
        <v>4708</v>
      </c>
      <c r="B2374" s="8" t="s">
        <v>55978</v>
      </c>
      <c r="C2374" s="8" t="s">
        <v>4709</v>
      </c>
      <c r="D2374" s="8"/>
      <c r="E2374" s="6"/>
      <c r="F2374" s="6"/>
    </row>
    <row r="2375" spans="1:6" x14ac:dyDescent="0.3">
      <c r="A2375" s="8" t="s">
        <v>4710</v>
      </c>
      <c r="B2375" s="8" t="s">
        <v>55979</v>
      </c>
      <c r="C2375" s="8" t="s">
        <v>4711</v>
      </c>
      <c r="D2375" s="8"/>
      <c r="E2375" s="6"/>
      <c r="F2375" s="6"/>
    </row>
    <row r="2376" spans="1:6" x14ac:dyDescent="0.3">
      <c r="A2376" s="8" t="s">
        <v>4712</v>
      </c>
      <c r="B2376" s="8" t="s">
        <v>55980</v>
      </c>
      <c r="C2376" s="8" t="s">
        <v>4713</v>
      </c>
      <c r="D2376" s="8"/>
      <c r="E2376" s="6"/>
      <c r="F2376" s="6"/>
    </row>
    <row r="2377" spans="1:6" x14ac:dyDescent="0.3">
      <c r="A2377" s="8" t="s">
        <v>4714</v>
      </c>
      <c r="B2377" s="8" t="s">
        <v>55981</v>
      </c>
      <c r="C2377" s="8" t="s">
        <v>4715</v>
      </c>
      <c r="D2377" s="8"/>
      <c r="E2377" s="6"/>
      <c r="F2377" s="6"/>
    </row>
    <row r="2378" spans="1:6" x14ac:dyDescent="0.3">
      <c r="A2378" s="8" t="s">
        <v>4716</v>
      </c>
      <c r="B2378" s="8" t="s">
        <v>55982</v>
      </c>
      <c r="C2378" s="8" t="s">
        <v>4717</v>
      </c>
      <c r="D2378" s="8"/>
      <c r="E2378" s="6"/>
      <c r="F2378" s="6"/>
    </row>
    <row r="2379" spans="1:6" x14ac:dyDescent="0.3">
      <c r="A2379" s="8" t="s">
        <v>4718</v>
      </c>
      <c r="B2379" s="8" t="s">
        <v>55983</v>
      </c>
      <c r="C2379" s="8" t="s">
        <v>4719</v>
      </c>
      <c r="D2379" s="8"/>
      <c r="E2379" s="6"/>
      <c r="F2379" s="6"/>
    </row>
    <row r="2380" spans="1:6" x14ac:dyDescent="0.3">
      <c r="A2380" s="8" t="s">
        <v>4720</v>
      </c>
      <c r="B2380" s="8" t="s">
        <v>55984</v>
      </c>
      <c r="C2380" s="8" t="s">
        <v>4721</v>
      </c>
      <c r="D2380" s="8"/>
      <c r="E2380" s="6"/>
      <c r="F2380" s="6"/>
    </row>
    <row r="2381" spans="1:6" x14ac:dyDescent="0.3">
      <c r="A2381" s="8" t="s">
        <v>4722</v>
      </c>
      <c r="B2381" s="8" t="s">
        <v>55985</v>
      </c>
      <c r="C2381" s="8" t="s">
        <v>4723</v>
      </c>
      <c r="D2381" s="8"/>
      <c r="E2381" s="6"/>
      <c r="F2381" s="6"/>
    </row>
    <row r="2382" spans="1:6" x14ac:dyDescent="0.3">
      <c r="A2382" s="8" t="s">
        <v>4724</v>
      </c>
      <c r="B2382" s="8" t="s">
        <v>55986</v>
      </c>
      <c r="C2382" s="8" t="s">
        <v>4725</v>
      </c>
      <c r="D2382" s="8"/>
      <c r="E2382" s="6"/>
      <c r="F2382" s="6"/>
    </row>
    <row r="2383" spans="1:6" x14ac:dyDescent="0.3">
      <c r="A2383" s="8" t="s">
        <v>4726</v>
      </c>
      <c r="B2383" s="8" t="s">
        <v>55987</v>
      </c>
      <c r="C2383" s="8" t="s">
        <v>4727</v>
      </c>
      <c r="D2383" s="8"/>
      <c r="E2383" s="6"/>
      <c r="F2383" s="6"/>
    </row>
    <row r="2384" spans="1:6" x14ac:dyDescent="0.3">
      <c r="A2384" s="8" t="s">
        <v>4728</v>
      </c>
      <c r="B2384" s="8" t="s">
        <v>55988</v>
      </c>
      <c r="C2384" s="8" t="s">
        <v>4729</v>
      </c>
      <c r="D2384" s="8"/>
      <c r="E2384" s="6"/>
      <c r="F2384" s="6"/>
    </row>
    <row r="2385" spans="1:6" x14ac:dyDescent="0.3">
      <c r="A2385" s="8" t="s">
        <v>4730</v>
      </c>
      <c r="B2385" s="8" t="s">
        <v>55989</v>
      </c>
      <c r="C2385" s="8" t="s">
        <v>4731</v>
      </c>
      <c r="D2385" s="8"/>
      <c r="E2385" s="6"/>
      <c r="F2385" s="6"/>
    </row>
    <row r="2386" spans="1:6" x14ac:dyDescent="0.3">
      <c r="A2386" s="8" t="s">
        <v>4732</v>
      </c>
      <c r="B2386" s="8" t="s">
        <v>55990</v>
      </c>
      <c r="C2386" s="8" t="s">
        <v>4733</v>
      </c>
      <c r="D2386" s="8"/>
      <c r="E2386" s="6"/>
      <c r="F2386" s="6"/>
    </row>
    <row r="2387" spans="1:6" x14ac:dyDescent="0.3">
      <c r="A2387" s="8" t="s">
        <v>4734</v>
      </c>
      <c r="B2387" s="8" t="s">
        <v>55991</v>
      </c>
      <c r="C2387" s="8" t="s">
        <v>4735</v>
      </c>
      <c r="D2387" s="8"/>
      <c r="E2387" s="6"/>
      <c r="F2387" s="6"/>
    </row>
    <row r="2388" spans="1:6" x14ac:dyDescent="0.3">
      <c r="A2388" s="8" t="s">
        <v>4736</v>
      </c>
      <c r="B2388" s="8" t="s">
        <v>55992</v>
      </c>
      <c r="C2388" s="8" t="s">
        <v>4737</v>
      </c>
      <c r="D2388" s="8"/>
      <c r="E2388" s="6"/>
      <c r="F2388" s="6"/>
    </row>
    <row r="2389" spans="1:6" x14ac:dyDescent="0.3">
      <c r="A2389" s="8" t="s">
        <v>4738</v>
      </c>
      <c r="B2389" s="8" t="s">
        <v>55993</v>
      </c>
      <c r="C2389" s="8" t="s">
        <v>4739</v>
      </c>
      <c r="D2389" s="8"/>
      <c r="E2389" s="6"/>
      <c r="F2389" s="6"/>
    </row>
    <row r="2390" spans="1:6" x14ac:dyDescent="0.3">
      <c r="A2390" s="8" t="s">
        <v>4740</v>
      </c>
      <c r="B2390" s="8" t="s">
        <v>55994</v>
      </c>
      <c r="C2390" s="8" t="s">
        <v>4741</v>
      </c>
      <c r="D2390" s="8"/>
      <c r="E2390" s="6"/>
      <c r="F2390" s="6"/>
    </row>
    <row r="2391" spans="1:6" x14ac:dyDescent="0.3">
      <c r="A2391" s="8" t="s">
        <v>4742</v>
      </c>
      <c r="B2391" s="8" t="s">
        <v>55995</v>
      </c>
      <c r="C2391" s="8" t="s">
        <v>4743</v>
      </c>
      <c r="D2391" s="8"/>
      <c r="E2391" s="6"/>
      <c r="F2391" s="6"/>
    </row>
    <row r="2392" spans="1:6" x14ac:dyDescent="0.3">
      <c r="A2392" s="8" t="s">
        <v>4744</v>
      </c>
      <c r="B2392" s="8" t="s">
        <v>55996</v>
      </c>
      <c r="C2392" s="8" t="s">
        <v>4745</v>
      </c>
      <c r="D2392" s="8"/>
      <c r="E2392" s="6"/>
      <c r="F2392" s="6"/>
    </row>
    <row r="2393" spans="1:6" x14ac:dyDescent="0.3">
      <c r="A2393" s="8" t="s">
        <v>4746</v>
      </c>
      <c r="B2393" s="8" t="s">
        <v>55997</v>
      </c>
      <c r="C2393" s="8" t="s">
        <v>4747</v>
      </c>
      <c r="D2393" s="8"/>
      <c r="E2393" s="6"/>
      <c r="F2393" s="6"/>
    </row>
    <row r="2394" spans="1:6" x14ac:dyDescent="0.3">
      <c r="A2394" s="8" t="s">
        <v>4748</v>
      </c>
      <c r="B2394" s="8" t="s">
        <v>55998</v>
      </c>
      <c r="C2394" s="8" t="s">
        <v>4749</v>
      </c>
      <c r="D2394" s="8"/>
      <c r="E2394" s="6"/>
      <c r="F2394" s="6"/>
    </row>
    <row r="2395" spans="1:6" x14ac:dyDescent="0.3">
      <c r="A2395" s="8" t="s">
        <v>4750</v>
      </c>
      <c r="B2395" s="8" t="s">
        <v>55999</v>
      </c>
      <c r="C2395" s="8" t="s">
        <v>4751</v>
      </c>
      <c r="D2395" s="8"/>
      <c r="E2395" s="6"/>
      <c r="F2395" s="6"/>
    </row>
    <row r="2396" spans="1:6" x14ac:dyDescent="0.3">
      <c r="A2396" s="8" t="s">
        <v>4752</v>
      </c>
      <c r="B2396" s="8" t="s">
        <v>56000</v>
      </c>
      <c r="C2396" s="8" t="s">
        <v>4753</v>
      </c>
      <c r="D2396" s="8"/>
      <c r="E2396" s="6"/>
      <c r="F2396" s="6"/>
    </row>
    <row r="2397" spans="1:6" x14ac:dyDescent="0.3">
      <c r="A2397" s="8" t="s">
        <v>4754</v>
      </c>
      <c r="B2397" s="8" t="s">
        <v>56001</v>
      </c>
      <c r="C2397" s="8" t="s">
        <v>4755</v>
      </c>
      <c r="D2397" s="8"/>
      <c r="E2397" s="6"/>
      <c r="F2397" s="6"/>
    </row>
    <row r="2398" spans="1:6" x14ac:dyDescent="0.3">
      <c r="A2398" s="8" t="s">
        <v>4756</v>
      </c>
      <c r="B2398" s="8" t="s">
        <v>56002</v>
      </c>
      <c r="C2398" s="8" t="s">
        <v>4757</v>
      </c>
      <c r="D2398" s="8"/>
      <c r="E2398" s="6"/>
      <c r="F2398" s="6"/>
    </row>
    <row r="2399" spans="1:6" x14ac:dyDescent="0.3">
      <c r="A2399" s="8" t="s">
        <v>4758</v>
      </c>
      <c r="B2399" s="8" t="s">
        <v>56003</v>
      </c>
      <c r="C2399" s="8" t="s">
        <v>4759</v>
      </c>
      <c r="D2399" s="8"/>
      <c r="E2399" s="6"/>
      <c r="F2399" s="6"/>
    </row>
    <row r="2400" spans="1:6" x14ac:dyDescent="0.3">
      <c r="A2400" s="8" t="s">
        <v>4760</v>
      </c>
      <c r="B2400" s="8" t="s">
        <v>56004</v>
      </c>
      <c r="C2400" s="8" t="s">
        <v>4761</v>
      </c>
      <c r="D2400" s="8"/>
      <c r="E2400" s="6"/>
      <c r="F2400" s="6"/>
    </row>
    <row r="2401" spans="1:6" x14ac:dyDescent="0.3">
      <c r="A2401" s="8" t="s">
        <v>4762</v>
      </c>
      <c r="B2401" s="8" t="s">
        <v>56005</v>
      </c>
      <c r="C2401" s="8" t="s">
        <v>4763</v>
      </c>
      <c r="D2401" s="8"/>
      <c r="E2401" s="6"/>
      <c r="F2401" s="6"/>
    </row>
    <row r="2402" spans="1:6" x14ac:dyDescent="0.3">
      <c r="A2402" s="8" t="s">
        <v>4764</v>
      </c>
      <c r="B2402" s="8" t="s">
        <v>56006</v>
      </c>
      <c r="C2402" s="8" t="s">
        <v>4765</v>
      </c>
      <c r="D2402" s="8"/>
      <c r="E2402" s="6"/>
      <c r="F2402" s="6"/>
    </row>
    <row r="2403" spans="1:6" x14ac:dyDescent="0.3">
      <c r="A2403" s="8" t="s">
        <v>4766</v>
      </c>
      <c r="B2403" s="8" t="s">
        <v>56007</v>
      </c>
      <c r="C2403" s="8" t="s">
        <v>4767</v>
      </c>
      <c r="D2403" s="8"/>
      <c r="E2403" s="6"/>
      <c r="F2403" s="6"/>
    </row>
    <row r="2404" spans="1:6" x14ac:dyDescent="0.3">
      <c r="A2404" s="8" t="s">
        <v>4768</v>
      </c>
      <c r="B2404" s="8" t="s">
        <v>56008</v>
      </c>
      <c r="C2404" s="8" t="s">
        <v>4769</v>
      </c>
      <c r="D2404" s="8"/>
      <c r="E2404" s="6"/>
      <c r="F2404" s="6"/>
    </row>
    <row r="2405" spans="1:6" x14ac:dyDescent="0.3">
      <c r="A2405" s="8" t="s">
        <v>4770</v>
      </c>
      <c r="B2405" s="8" t="s">
        <v>56009</v>
      </c>
      <c r="C2405" s="8" t="s">
        <v>4771</v>
      </c>
      <c r="D2405" s="8"/>
      <c r="E2405" s="6"/>
      <c r="F2405" s="6"/>
    </row>
    <row r="2406" spans="1:6" x14ac:dyDescent="0.3">
      <c r="A2406" s="8" t="s">
        <v>4772</v>
      </c>
      <c r="B2406" s="8" t="s">
        <v>56010</v>
      </c>
      <c r="C2406" s="8" t="s">
        <v>4773</v>
      </c>
      <c r="D2406" s="8"/>
      <c r="E2406" s="6"/>
      <c r="F2406" s="6"/>
    </row>
    <row r="2407" spans="1:6" x14ac:dyDescent="0.3">
      <c r="A2407" s="8" t="s">
        <v>4774</v>
      </c>
      <c r="B2407" s="8" t="s">
        <v>56011</v>
      </c>
      <c r="C2407" s="8" t="s">
        <v>4775</v>
      </c>
      <c r="D2407" s="8"/>
      <c r="E2407" s="6"/>
      <c r="F2407" s="6"/>
    </row>
    <row r="2408" spans="1:6" x14ac:dyDescent="0.3">
      <c r="A2408" s="8" t="s">
        <v>4776</v>
      </c>
      <c r="B2408" s="8" t="s">
        <v>56012</v>
      </c>
      <c r="C2408" s="8" t="s">
        <v>4777</v>
      </c>
      <c r="D2408" s="8"/>
      <c r="E2408" s="6"/>
      <c r="F2408" s="6"/>
    </row>
    <row r="2409" spans="1:6" x14ac:dyDescent="0.3">
      <c r="A2409" s="8" t="s">
        <v>4778</v>
      </c>
      <c r="B2409" s="8" t="s">
        <v>56013</v>
      </c>
      <c r="C2409" s="8" t="s">
        <v>4779</v>
      </c>
      <c r="D2409" s="8"/>
      <c r="E2409" s="6"/>
      <c r="F2409" s="6"/>
    </row>
    <row r="2410" spans="1:6" x14ac:dyDescent="0.3">
      <c r="A2410" s="8" t="s">
        <v>4780</v>
      </c>
      <c r="B2410" s="8" t="s">
        <v>56014</v>
      </c>
      <c r="C2410" s="8" t="s">
        <v>4781</v>
      </c>
      <c r="D2410" s="8"/>
      <c r="E2410" s="6"/>
      <c r="F2410" s="6"/>
    </row>
    <row r="2411" spans="1:6" x14ac:dyDescent="0.3">
      <c r="A2411" s="8" t="s">
        <v>4782</v>
      </c>
      <c r="B2411" s="8" t="s">
        <v>56015</v>
      </c>
      <c r="C2411" s="8" t="s">
        <v>4783</v>
      </c>
      <c r="D2411" s="8"/>
      <c r="E2411" s="6"/>
      <c r="F2411" s="6"/>
    </row>
    <row r="2412" spans="1:6" x14ac:dyDescent="0.3">
      <c r="A2412" s="8" t="s">
        <v>4784</v>
      </c>
      <c r="B2412" s="8" t="s">
        <v>56016</v>
      </c>
      <c r="C2412" s="8" t="s">
        <v>4785</v>
      </c>
      <c r="D2412" s="8"/>
      <c r="E2412" s="6"/>
      <c r="F2412" s="6"/>
    </row>
    <row r="2413" spans="1:6" x14ac:dyDescent="0.3">
      <c r="A2413" s="8" t="s">
        <v>4786</v>
      </c>
      <c r="B2413" s="8" t="s">
        <v>56017</v>
      </c>
      <c r="C2413" s="8" t="s">
        <v>4787</v>
      </c>
      <c r="D2413" s="8"/>
      <c r="E2413" s="6"/>
      <c r="F2413" s="6"/>
    </row>
    <row r="2414" spans="1:6" x14ac:dyDescent="0.3">
      <c r="A2414" s="8" t="s">
        <v>4788</v>
      </c>
      <c r="B2414" s="8" t="s">
        <v>56018</v>
      </c>
      <c r="C2414" s="8" t="s">
        <v>4789</v>
      </c>
      <c r="D2414" s="8"/>
      <c r="E2414" s="6"/>
      <c r="F2414" s="6"/>
    </row>
    <row r="2415" spans="1:6" x14ac:dyDescent="0.3">
      <c r="A2415" s="8" t="s">
        <v>4790</v>
      </c>
      <c r="B2415" s="8" t="s">
        <v>56019</v>
      </c>
      <c r="C2415" s="8" t="s">
        <v>4791</v>
      </c>
      <c r="D2415" s="8"/>
      <c r="E2415" s="6"/>
      <c r="F2415" s="6"/>
    </row>
    <row r="2416" spans="1:6" x14ac:dyDescent="0.3">
      <c r="A2416" s="8" t="s">
        <v>4792</v>
      </c>
      <c r="B2416" s="8" t="s">
        <v>56020</v>
      </c>
      <c r="C2416" s="8" t="s">
        <v>4793</v>
      </c>
      <c r="D2416" s="8"/>
      <c r="E2416" s="6"/>
      <c r="F2416" s="6"/>
    </row>
    <row r="2417" spans="1:6" x14ac:dyDescent="0.3">
      <c r="A2417" s="8" t="s">
        <v>4794</v>
      </c>
      <c r="B2417" s="8" t="s">
        <v>56021</v>
      </c>
      <c r="C2417" s="8" t="s">
        <v>4795</v>
      </c>
      <c r="D2417" s="8"/>
      <c r="E2417" s="6"/>
      <c r="F2417" s="6"/>
    </row>
    <row r="2418" spans="1:6" x14ac:dyDescent="0.3">
      <c r="A2418" s="8" t="s">
        <v>4796</v>
      </c>
      <c r="B2418" s="8" t="s">
        <v>56022</v>
      </c>
      <c r="C2418" s="8" t="s">
        <v>4797</v>
      </c>
      <c r="D2418" s="8"/>
      <c r="E2418" s="6"/>
      <c r="F2418" s="6"/>
    </row>
    <row r="2419" spans="1:6" x14ac:dyDescent="0.3">
      <c r="A2419" s="8" t="s">
        <v>4798</v>
      </c>
      <c r="B2419" s="8" t="s">
        <v>56023</v>
      </c>
      <c r="C2419" s="8" t="s">
        <v>4799</v>
      </c>
      <c r="D2419" s="8"/>
      <c r="E2419" s="6"/>
      <c r="F2419" s="6"/>
    </row>
    <row r="2420" spans="1:6" x14ac:dyDescent="0.3">
      <c r="A2420" s="8" t="s">
        <v>4800</v>
      </c>
      <c r="B2420" s="8" t="s">
        <v>56024</v>
      </c>
      <c r="C2420" s="8" t="s">
        <v>4801</v>
      </c>
      <c r="D2420" s="8"/>
      <c r="E2420" s="6"/>
      <c r="F2420" s="6"/>
    </row>
    <row r="2421" spans="1:6" x14ac:dyDescent="0.3">
      <c r="A2421" s="8" t="s">
        <v>4802</v>
      </c>
      <c r="B2421" s="8" t="s">
        <v>56025</v>
      </c>
      <c r="C2421" s="8" t="s">
        <v>4803</v>
      </c>
      <c r="D2421" s="8"/>
      <c r="E2421" s="6"/>
      <c r="F2421" s="6"/>
    </row>
    <row r="2422" spans="1:6" x14ac:dyDescent="0.3">
      <c r="A2422" s="8" t="s">
        <v>4804</v>
      </c>
      <c r="B2422" s="8" t="s">
        <v>56026</v>
      </c>
      <c r="C2422" s="8" t="s">
        <v>4805</v>
      </c>
      <c r="D2422" s="8"/>
      <c r="E2422" s="6"/>
      <c r="F2422" s="6"/>
    </row>
    <row r="2423" spans="1:6" x14ac:dyDescent="0.3">
      <c r="A2423" s="8" t="s">
        <v>4806</v>
      </c>
      <c r="B2423" s="8" t="s">
        <v>56027</v>
      </c>
      <c r="C2423" s="8" t="s">
        <v>4807</v>
      </c>
      <c r="D2423" s="8"/>
      <c r="E2423" s="6"/>
      <c r="F2423" s="6"/>
    </row>
    <row r="2424" spans="1:6" x14ac:dyDescent="0.3">
      <c r="A2424" s="8" t="s">
        <v>4808</v>
      </c>
      <c r="B2424" s="8" t="s">
        <v>56028</v>
      </c>
      <c r="C2424" s="8" t="s">
        <v>4809</v>
      </c>
      <c r="D2424" s="8"/>
      <c r="E2424" s="6"/>
      <c r="F2424" s="6"/>
    </row>
    <row r="2425" spans="1:6" x14ac:dyDescent="0.3">
      <c r="A2425" s="8" t="s">
        <v>4810</v>
      </c>
      <c r="B2425" s="8" t="s">
        <v>56029</v>
      </c>
      <c r="C2425" s="8" t="s">
        <v>4811</v>
      </c>
      <c r="D2425" s="8"/>
      <c r="E2425" s="6"/>
      <c r="F2425" s="6"/>
    </row>
    <row r="2426" spans="1:6" x14ac:dyDescent="0.3">
      <c r="A2426" s="8" t="s">
        <v>4812</v>
      </c>
      <c r="B2426" s="8" t="s">
        <v>56030</v>
      </c>
      <c r="C2426" s="8" t="s">
        <v>4813</v>
      </c>
      <c r="D2426" s="8"/>
      <c r="E2426" s="6"/>
      <c r="F2426" s="6"/>
    </row>
    <row r="2427" spans="1:6" x14ac:dyDescent="0.3">
      <c r="A2427" s="8" t="s">
        <v>4814</v>
      </c>
      <c r="B2427" s="8" t="s">
        <v>56031</v>
      </c>
      <c r="C2427" s="8" t="s">
        <v>4815</v>
      </c>
      <c r="D2427" s="8"/>
      <c r="E2427" s="6"/>
      <c r="F2427" s="6"/>
    </row>
    <row r="2428" spans="1:6" x14ac:dyDescent="0.3">
      <c r="A2428" s="8" t="s">
        <v>4816</v>
      </c>
      <c r="B2428" s="8" t="s">
        <v>56032</v>
      </c>
      <c r="C2428" s="8" t="s">
        <v>4817</v>
      </c>
      <c r="D2428" s="8"/>
      <c r="E2428" s="6"/>
      <c r="F2428" s="6"/>
    </row>
    <row r="2429" spans="1:6" x14ac:dyDescent="0.3">
      <c r="A2429" s="8" t="s">
        <v>4818</v>
      </c>
      <c r="B2429" s="8" t="s">
        <v>56033</v>
      </c>
      <c r="C2429" s="8" t="s">
        <v>4819</v>
      </c>
      <c r="D2429" s="8"/>
      <c r="E2429" s="6"/>
      <c r="F2429" s="6"/>
    </row>
    <row r="2430" spans="1:6" x14ac:dyDescent="0.3">
      <c r="A2430" s="8" t="s">
        <v>4820</v>
      </c>
      <c r="B2430" s="8" t="s">
        <v>56034</v>
      </c>
      <c r="C2430" s="8" t="s">
        <v>4821</v>
      </c>
      <c r="D2430" s="8"/>
      <c r="E2430" s="6"/>
      <c r="F2430" s="6"/>
    </row>
    <row r="2431" spans="1:6" x14ac:dyDescent="0.3">
      <c r="A2431" s="8" t="s">
        <v>4822</v>
      </c>
      <c r="B2431" s="8" t="s">
        <v>56035</v>
      </c>
      <c r="C2431" s="8" t="s">
        <v>4823</v>
      </c>
      <c r="D2431" s="8"/>
      <c r="E2431" s="6"/>
      <c r="F2431" s="6"/>
    </row>
    <row r="2432" spans="1:6" x14ac:dyDescent="0.3">
      <c r="A2432" s="8" t="s">
        <v>4824</v>
      </c>
      <c r="B2432" s="8" t="s">
        <v>56036</v>
      </c>
      <c r="C2432" s="8" t="s">
        <v>4825</v>
      </c>
      <c r="D2432" s="8"/>
      <c r="E2432" s="6"/>
      <c r="F2432" s="6"/>
    </row>
    <row r="2433" spans="1:6" x14ac:dyDescent="0.3">
      <c r="A2433" s="8" t="s">
        <v>4826</v>
      </c>
      <c r="B2433" s="8" t="s">
        <v>56037</v>
      </c>
      <c r="C2433" s="8" t="s">
        <v>4827</v>
      </c>
      <c r="D2433" s="8"/>
      <c r="E2433" s="6"/>
      <c r="F2433" s="6"/>
    </row>
    <row r="2434" spans="1:6" x14ac:dyDescent="0.3">
      <c r="A2434" s="8" t="s">
        <v>4828</v>
      </c>
      <c r="B2434" s="8" t="s">
        <v>56038</v>
      </c>
      <c r="C2434" s="8" t="s">
        <v>4829</v>
      </c>
      <c r="D2434" s="8"/>
      <c r="E2434" s="6"/>
      <c r="F2434" s="6"/>
    </row>
    <row r="2435" spans="1:6" x14ac:dyDescent="0.3">
      <c r="A2435" s="8" t="s">
        <v>4830</v>
      </c>
      <c r="B2435" s="8" t="s">
        <v>56039</v>
      </c>
      <c r="C2435" s="8" t="s">
        <v>4831</v>
      </c>
      <c r="D2435" s="8"/>
      <c r="E2435" s="6"/>
      <c r="F2435" s="6"/>
    </row>
    <row r="2436" spans="1:6" x14ac:dyDescent="0.3">
      <c r="A2436" s="8" t="s">
        <v>4832</v>
      </c>
      <c r="B2436" s="8" t="s">
        <v>56040</v>
      </c>
      <c r="C2436" s="8" t="s">
        <v>4833</v>
      </c>
      <c r="D2436" s="8"/>
      <c r="E2436" s="6"/>
      <c r="F2436" s="6"/>
    </row>
    <row r="2437" spans="1:6" x14ac:dyDescent="0.3">
      <c r="A2437" s="8" t="s">
        <v>4834</v>
      </c>
      <c r="B2437" s="8" t="s">
        <v>56041</v>
      </c>
      <c r="C2437" s="8" t="s">
        <v>4835</v>
      </c>
      <c r="D2437" s="8"/>
      <c r="E2437" s="6"/>
      <c r="F2437" s="6"/>
    </row>
    <row r="2438" spans="1:6" x14ac:dyDescent="0.3">
      <c r="A2438" s="8" t="s">
        <v>4836</v>
      </c>
      <c r="B2438" s="8" t="s">
        <v>56042</v>
      </c>
      <c r="C2438" s="8" t="s">
        <v>4837</v>
      </c>
      <c r="D2438" s="8"/>
      <c r="E2438" s="6"/>
      <c r="F2438" s="6"/>
    </row>
    <row r="2439" spans="1:6" x14ac:dyDescent="0.3">
      <c r="A2439" s="8" t="s">
        <v>4838</v>
      </c>
      <c r="B2439" s="8" t="s">
        <v>56043</v>
      </c>
      <c r="C2439" s="8" t="s">
        <v>4839</v>
      </c>
      <c r="D2439" s="8"/>
      <c r="E2439" s="6"/>
      <c r="F2439" s="6"/>
    </row>
    <row r="2440" spans="1:6" x14ac:dyDescent="0.3">
      <c r="A2440" s="8" t="s">
        <v>4840</v>
      </c>
      <c r="B2440" s="8" t="s">
        <v>56044</v>
      </c>
      <c r="C2440" s="8" t="s">
        <v>4841</v>
      </c>
      <c r="D2440" s="8"/>
      <c r="E2440" s="6"/>
      <c r="F2440" s="6"/>
    </row>
    <row r="2441" spans="1:6" x14ac:dyDescent="0.3">
      <c r="A2441" s="8" t="s">
        <v>4842</v>
      </c>
      <c r="B2441" s="8" t="s">
        <v>56045</v>
      </c>
      <c r="C2441" s="8" t="s">
        <v>4843</v>
      </c>
      <c r="D2441" s="8"/>
      <c r="E2441" s="6"/>
      <c r="F2441" s="6"/>
    </row>
    <row r="2442" spans="1:6" x14ac:dyDescent="0.3">
      <c r="A2442" s="8" t="s">
        <v>4844</v>
      </c>
      <c r="B2442" s="8" t="s">
        <v>56046</v>
      </c>
      <c r="C2442" s="8" t="s">
        <v>4845</v>
      </c>
      <c r="D2442" s="8"/>
      <c r="E2442" s="6"/>
      <c r="F2442" s="6"/>
    </row>
    <row r="2443" spans="1:6" x14ac:dyDescent="0.3">
      <c r="A2443" s="8" t="s">
        <v>4846</v>
      </c>
      <c r="B2443" s="8" t="s">
        <v>56047</v>
      </c>
      <c r="C2443" s="8" t="s">
        <v>4847</v>
      </c>
      <c r="D2443" s="8"/>
      <c r="E2443" s="6"/>
      <c r="F2443" s="6"/>
    </row>
    <row r="2444" spans="1:6" x14ac:dyDescent="0.3">
      <c r="A2444" s="8" t="s">
        <v>4848</v>
      </c>
      <c r="B2444" s="8" t="s">
        <v>56048</v>
      </c>
      <c r="C2444" s="8" t="s">
        <v>4849</v>
      </c>
      <c r="D2444" s="8"/>
      <c r="E2444" s="6"/>
      <c r="F2444" s="6"/>
    </row>
    <row r="2445" spans="1:6" x14ac:dyDescent="0.3">
      <c r="A2445" s="8" t="s">
        <v>4850</v>
      </c>
      <c r="B2445" s="8" t="s">
        <v>56049</v>
      </c>
      <c r="C2445" s="8" t="s">
        <v>4851</v>
      </c>
      <c r="D2445" s="8"/>
      <c r="E2445" s="6"/>
      <c r="F2445" s="6"/>
    </row>
    <row r="2446" spans="1:6" x14ac:dyDescent="0.3">
      <c r="A2446" s="8" t="s">
        <v>4852</v>
      </c>
      <c r="B2446" s="8" t="s">
        <v>56050</v>
      </c>
      <c r="C2446" s="8" t="s">
        <v>4853</v>
      </c>
      <c r="D2446" s="8"/>
      <c r="E2446" s="6"/>
      <c r="F2446" s="6"/>
    </row>
    <row r="2447" spans="1:6" x14ac:dyDescent="0.3">
      <c r="A2447" s="8" t="s">
        <v>4854</v>
      </c>
      <c r="B2447" s="8" t="s">
        <v>56051</v>
      </c>
      <c r="C2447" s="8" t="s">
        <v>4855</v>
      </c>
      <c r="D2447" s="8"/>
      <c r="E2447" s="6"/>
      <c r="F2447" s="6"/>
    </row>
    <row r="2448" spans="1:6" x14ac:dyDescent="0.3">
      <c r="A2448" s="8" t="s">
        <v>4856</v>
      </c>
      <c r="B2448" s="8" t="s">
        <v>56052</v>
      </c>
      <c r="C2448" s="8" t="s">
        <v>4857</v>
      </c>
      <c r="D2448" s="8"/>
      <c r="E2448" s="6"/>
      <c r="F2448" s="6"/>
    </row>
    <row r="2449" spans="1:6" x14ac:dyDescent="0.3">
      <c r="A2449" s="8" t="s">
        <v>4858</v>
      </c>
      <c r="B2449" s="8" t="s">
        <v>56053</v>
      </c>
      <c r="C2449" s="8" t="s">
        <v>4859</v>
      </c>
      <c r="D2449" s="8"/>
      <c r="E2449" s="6"/>
      <c r="F2449" s="6"/>
    </row>
    <row r="2450" spans="1:6" x14ac:dyDescent="0.3">
      <c r="A2450" s="8" t="s">
        <v>4860</v>
      </c>
      <c r="B2450" s="8" t="s">
        <v>56054</v>
      </c>
      <c r="C2450" s="8" t="s">
        <v>4861</v>
      </c>
      <c r="D2450" s="8"/>
      <c r="E2450" s="6"/>
      <c r="F2450" s="6"/>
    </row>
    <row r="2451" spans="1:6" x14ac:dyDescent="0.3">
      <c r="A2451" s="8" t="s">
        <v>4862</v>
      </c>
      <c r="B2451" s="8" t="s">
        <v>56055</v>
      </c>
      <c r="C2451" s="8" t="s">
        <v>4863</v>
      </c>
      <c r="D2451" s="8"/>
      <c r="E2451" s="6"/>
      <c r="F2451" s="6"/>
    </row>
    <row r="2452" spans="1:6" x14ac:dyDescent="0.3">
      <c r="A2452" s="8" t="s">
        <v>4864</v>
      </c>
      <c r="B2452" s="8" t="s">
        <v>56056</v>
      </c>
      <c r="C2452" s="8" t="s">
        <v>4865</v>
      </c>
      <c r="D2452" s="8"/>
      <c r="E2452" s="6"/>
      <c r="F2452" s="6"/>
    </row>
    <row r="2453" spans="1:6" x14ac:dyDescent="0.3">
      <c r="A2453" s="8" t="s">
        <v>4866</v>
      </c>
      <c r="B2453" s="8" t="s">
        <v>56057</v>
      </c>
      <c r="C2453" s="8" t="s">
        <v>4867</v>
      </c>
      <c r="D2453" s="8"/>
      <c r="E2453" s="6"/>
      <c r="F2453" s="6"/>
    </row>
    <row r="2454" spans="1:6" x14ac:dyDescent="0.3">
      <c r="A2454" s="8" t="s">
        <v>4868</v>
      </c>
      <c r="B2454" s="8" t="s">
        <v>56058</v>
      </c>
      <c r="C2454" s="8" t="s">
        <v>4869</v>
      </c>
      <c r="D2454" s="8"/>
      <c r="E2454" s="6"/>
      <c r="F2454" s="6"/>
    </row>
    <row r="2455" spans="1:6" x14ac:dyDescent="0.3">
      <c r="A2455" s="8" t="s">
        <v>4870</v>
      </c>
      <c r="B2455" s="8" t="s">
        <v>56059</v>
      </c>
      <c r="C2455" s="8" t="s">
        <v>4871</v>
      </c>
      <c r="D2455" s="8"/>
      <c r="E2455" s="6"/>
      <c r="F2455" s="6"/>
    </row>
    <row r="2456" spans="1:6" x14ac:dyDescent="0.3">
      <c r="A2456" s="8" t="s">
        <v>4872</v>
      </c>
      <c r="B2456" s="8" t="s">
        <v>56060</v>
      </c>
      <c r="C2456" s="8" t="s">
        <v>4873</v>
      </c>
      <c r="D2456" s="8"/>
      <c r="E2456" s="6"/>
      <c r="F2456" s="6"/>
    </row>
    <row r="2457" spans="1:6" x14ac:dyDescent="0.3">
      <c r="A2457" s="8" t="s">
        <v>4874</v>
      </c>
      <c r="B2457" s="8" t="s">
        <v>56061</v>
      </c>
      <c r="C2457" s="8" t="s">
        <v>4875</v>
      </c>
      <c r="D2457" s="8"/>
      <c r="E2457" s="6"/>
      <c r="F2457" s="6"/>
    </row>
    <row r="2458" spans="1:6" x14ac:dyDescent="0.3">
      <c r="A2458" s="8" t="s">
        <v>4876</v>
      </c>
      <c r="B2458" s="8" t="s">
        <v>56062</v>
      </c>
      <c r="C2458" s="8" t="s">
        <v>4877</v>
      </c>
      <c r="D2458" s="8"/>
      <c r="E2458" s="6"/>
      <c r="F2458" s="6"/>
    </row>
    <row r="2459" spans="1:6" x14ac:dyDescent="0.3">
      <c r="A2459" s="8" t="s">
        <v>4878</v>
      </c>
      <c r="B2459" s="8" t="s">
        <v>56063</v>
      </c>
      <c r="C2459" s="8" t="s">
        <v>4879</v>
      </c>
      <c r="D2459" s="8"/>
      <c r="E2459" s="6"/>
      <c r="F2459" s="6"/>
    </row>
    <row r="2460" spans="1:6" x14ac:dyDescent="0.3">
      <c r="A2460" s="8" t="s">
        <v>4880</v>
      </c>
      <c r="B2460" s="8" t="s">
        <v>56064</v>
      </c>
      <c r="C2460" s="8" t="s">
        <v>4881</v>
      </c>
      <c r="D2460" s="8"/>
      <c r="E2460" s="6"/>
      <c r="F2460" s="6"/>
    </row>
    <row r="2461" spans="1:6" x14ac:dyDescent="0.3">
      <c r="A2461" s="8" t="s">
        <v>4882</v>
      </c>
      <c r="B2461" s="8" t="s">
        <v>56065</v>
      </c>
      <c r="C2461" s="8" t="s">
        <v>4883</v>
      </c>
      <c r="D2461" s="8"/>
      <c r="E2461" s="6"/>
      <c r="F2461" s="6"/>
    </row>
    <row r="2462" spans="1:6" x14ac:dyDescent="0.3">
      <c r="A2462" s="8" t="s">
        <v>4884</v>
      </c>
      <c r="B2462" s="8" t="s">
        <v>56066</v>
      </c>
      <c r="C2462" s="8" t="s">
        <v>4885</v>
      </c>
      <c r="D2462" s="8"/>
      <c r="E2462" s="6"/>
      <c r="F2462" s="6"/>
    </row>
    <row r="2463" spans="1:6" x14ac:dyDescent="0.3">
      <c r="A2463" s="8" t="s">
        <v>4886</v>
      </c>
      <c r="B2463" s="8" t="s">
        <v>56067</v>
      </c>
      <c r="C2463" s="8" t="s">
        <v>4887</v>
      </c>
      <c r="D2463" s="8"/>
      <c r="E2463" s="6"/>
      <c r="F2463" s="6"/>
    </row>
    <row r="2464" spans="1:6" x14ac:dyDescent="0.3">
      <c r="A2464" s="8" t="s">
        <v>4888</v>
      </c>
      <c r="B2464" s="8" t="s">
        <v>56068</v>
      </c>
      <c r="C2464" s="8" t="s">
        <v>4889</v>
      </c>
      <c r="D2464" s="8"/>
      <c r="E2464" s="6"/>
      <c r="F2464" s="6"/>
    </row>
    <row r="2465" spans="1:6" x14ac:dyDescent="0.3">
      <c r="A2465" s="8" t="s">
        <v>4890</v>
      </c>
      <c r="B2465" s="8" t="s">
        <v>56069</v>
      </c>
      <c r="C2465" s="8" t="s">
        <v>4891</v>
      </c>
      <c r="D2465" s="8"/>
      <c r="E2465" s="6"/>
      <c r="F2465" s="6"/>
    </row>
    <row r="2466" spans="1:6" x14ac:dyDescent="0.3">
      <c r="A2466" s="8" t="s">
        <v>4892</v>
      </c>
      <c r="B2466" s="8" t="s">
        <v>56070</v>
      </c>
      <c r="C2466" s="8" t="s">
        <v>4893</v>
      </c>
      <c r="D2466" s="8"/>
      <c r="E2466" s="6"/>
      <c r="F2466" s="6"/>
    </row>
    <row r="2467" spans="1:6" x14ac:dyDescent="0.3">
      <c r="A2467" s="8" t="s">
        <v>4894</v>
      </c>
      <c r="B2467" s="8" t="s">
        <v>56071</v>
      </c>
      <c r="C2467" s="8" t="s">
        <v>4895</v>
      </c>
      <c r="D2467" s="8"/>
      <c r="E2467" s="6"/>
      <c r="F2467" s="6"/>
    </row>
    <row r="2468" spans="1:6" x14ac:dyDescent="0.3">
      <c r="A2468" s="8" t="s">
        <v>4896</v>
      </c>
      <c r="B2468" s="8" t="s">
        <v>56072</v>
      </c>
      <c r="C2468" s="8" t="s">
        <v>4897</v>
      </c>
      <c r="D2468" s="8"/>
      <c r="E2468" s="6"/>
      <c r="F2468" s="6"/>
    </row>
    <row r="2469" spans="1:6" x14ac:dyDescent="0.3">
      <c r="A2469" s="8" t="s">
        <v>4898</v>
      </c>
      <c r="B2469" s="8" t="s">
        <v>56073</v>
      </c>
      <c r="C2469" s="8" t="s">
        <v>4899</v>
      </c>
      <c r="D2469" s="8"/>
      <c r="E2469" s="6"/>
      <c r="F2469" s="6"/>
    </row>
    <row r="2470" spans="1:6" x14ac:dyDescent="0.3">
      <c r="A2470" s="8" t="s">
        <v>4900</v>
      </c>
      <c r="B2470" s="8" t="s">
        <v>56074</v>
      </c>
      <c r="C2470" s="8" t="s">
        <v>4901</v>
      </c>
      <c r="D2470" s="8"/>
      <c r="E2470" s="6"/>
      <c r="F2470" s="6"/>
    </row>
    <row r="2471" spans="1:6" x14ac:dyDescent="0.3">
      <c r="A2471" s="8" t="s">
        <v>4902</v>
      </c>
      <c r="B2471" s="8" t="s">
        <v>56075</v>
      </c>
      <c r="C2471" s="8" t="s">
        <v>4903</v>
      </c>
      <c r="D2471" s="8"/>
      <c r="E2471" s="6"/>
      <c r="F2471" s="6"/>
    </row>
    <row r="2472" spans="1:6" x14ac:dyDescent="0.3">
      <c r="A2472" s="8" t="s">
        <v>4904</v>
      </c>
      <c r="B2472" s="8" t="s">
        <v>56076</v>
      </c>
      <c r="C2472" s="8" t="s">
        <v>4905</v>
      </c>
      <c r="D2472" s="8"/>
      <c r="E2472" s="6"/>
      <c r="F2472" s="6"/>
    </row>
    <row r="2473" spans="1:6" x14ac:dyDescent="0.3">
      <c r="A2473" s="8" t="s">
        <v>4906</v>
      </c>
      <c r="B2473" s="8" t="s">
        <v>56077</v>
      </c>
      <c r="C2473" s="8" t="s">
        <v>4907</v>
      </c>
      <c r="D2473" s="8"/>
      <c r="E2473" s="6"/>
      <c r="F2473" s="6"/>
    </row>
    <row r="2474" spans="1:6" x14ac:dyDescent="0.3">
      <c r="A2474" s="8" t="s">
        <v>4908</v>
      </c>
      <c r="B2474" s="8" t="s">
        <v>56078</v>
      </c>
      <c r="C2474" s="8" t="s">
        <v>4909</v>
      </c>
      <c r="D2474" s="8"/>
      <c r="E2474" s="6"/>
      <c r="F2474" s="6"/>
    </row>
    <row r="2475" spans="1:6" x14ac:dyDescent="0.3">
      <c r="A2475" s="8" t="s">
        <v>4910</v>
      </c>
      <c r="B2475" s="8" t="s">
        <v>56079</v>
      </c>
      <c r="C2475" s="8" t="s">
        <v>4911</v>
      </c>
      <c r="D2475" s="8"/>
      <c r="E2475" s="6"/>
      <c r="F2475" s="6"/>
    </row>
    <row r="2476" spans="1:6" x14ac:dyDescent="0.3">
      <c r="A2476" s="8" t="s">
        <v>4912</v>
      </c>
      <c r="B2476" s="8" t="s">
        <v>56080</v>
      </c>
      <c r="C2476" s="8" t="s">
        <v>4913</v>
      </c>
      <c r="D2476" s="8"/>
      <c r="E2476" s="6"/>
      <c r="F2476" s="6"/>
    </row>
    <row r="2477" spans="1:6" x14ac:dyDescent="0.3">
      <c r="A2477" s="8" t="s">
        <v>4914</v>
      </c>
      <c r="B2477" s="8" t="s">
        <v>56081</v>
      </c>
      <c r="C2477" s="8" t="s">
        <v>4915</v>
      </c>
      <c r="D2477" s="8"/>
      <c r="E2477" s="6"/>
      <c r="F2477" s="6"/>
    </row>
    <row r="2478" spans="1:6" x14ac:dyDescent="0.3">
      <c r="A2478" s="8" t="s">
        <v>4916</v>
      </c>
      <c r="B2478" s="8" t="s">
        <v>56082</v>
      </c>
      <c r="C2478" s="8" t="s">
        <v>4917</v>
      </c>
      <c r="D2478" s="8"/>
      <c r="E2478" s="6"/>
      <c r="F2478" s="6"/>
    </row>
    <row r="2479" spans="1:6" x14ac:dyDescent="0.3">
      <c r="A2479" s="8" t="s">
        <v>4918</v>
      </c>
      <c r="B2479" s="8" t="s">
        <v>56083</v>
      </c>
      <c r="C2479" s="8" t="s">
        <v>4919</v>
      </c>
      <c r="D2479" s="8"/>
      <c r="E2479" s="6"/>
      <c r="F2479" s="6"/>
    </row>
    <row r="2480" spans="1:6" x14ac:dyDescent="0.3">
      <c r="A2480" s="8" t="s">
        <v>4920</v>
      </c>
      <c r="B2480" s="8" t="s">
        <v>56084</v>
      </c>
      <c r="C2480" s="8" t="s">
        <v>4921</v>
      </c>
      <c r="D2480" s="8"/>
      <c r="E2480" s="6"/>
      <c r="F2480" s="6"/>
    </row>
    <row r="2481" spans="1:6" x14ac:dyDescent="0.3">
      <c r="A2481" s="8" t="s">
        <v>4922</v>
      </c>
      <c r="B2481" s="8" t="s">
        <v>56085</v>
      </c>
      <c r="C2481" s="8" t="s">
        <v>4923</v>
      </c>
      <c r="D2481" s="8"/>
      <c r="E2481" s="6"/>
      <c r="F2481" s="6"/>
    </row>
    <row r="2482" spans="1:6" x14ac:dyDescent="0.3">
      <c r="A2482" s="8" t="s">
        <v>4924</v>
      </c>
      <c r="B2482" s="8" t="s">
        <v>56086</v>
      </c>
      <c r="C2482" s="8" t="s">
        <v>4925</v>
      </c>
      <c r="D2482" s="8"/>
      <c r="E2482" s="6"/>
      <c r="F2482" s="6"/>
    </row>
    <row r="2483" spans="1:6" x14ac:dyDescent="0.3">
      <c r="A2483" s="8" t="s">
        <v>4926</v>
      </c>
      <c r="B2483" s="8" t="s">
        <v>56087</v>
      </c>
      <c r="C2483" s="8" t="s">
        <v>4927</v>
      </c>
      <c r="D2483" s="8"/>
      <c r="E2483" s="6"/>
      <c r="F2483" s="6"/>
    </row>
    <row r="2484" spans="1:6" x14ac:dyDescent="0.3">
      <c r="A2484" s="8" t="s">
        <v>4928</v>
      </c>
      <c r="B2484" s="8" t="s">
        <v>56088</v>
      </c>
      <c r="C2484" s="8" t="s">
        <v>4929</v>
      </c>
      <c r="D2484" s="8"/>
      <c r="E2484" s="6"/>
      <c r="F2484" s="6"/>
    </row>
    <row r="2485" spans="1:6" x14ac:dyDescent="0.3">
      <c r="A2485" s="8" t="s">
        <v>4930</v>
      </c>
      <c r="B2485" s="8" t="s">
        <v>56089</v>
      </c>
      <c r="C2485" s="8" t="s">
        <v>4931</v>
      </c>
      <c r="D2485" s="8"/>
      <c r="E2485" s="6"/>
      <c r="F2485" s="6"/>
    </row>
    <row r="2486" spans="1:6" x14ac:dyDescent="0.3">
      <c r="A2486" s="8" t="s">
        <v>4932</v>
      </c>
      <c r="B2486" s="8" t="s">
        <v>56090</v>
      </c>
      <c r="C2486" s="8" t="s">
        <v>4933</v>
      </c>
      <c r="D2486" s="8"/>
      <c r="E2486" s="6"/>
      <c r="F2486" s="6"/>
    </row>
    <row r="2487" spans="1:6" x14ac:dyDescent="0.3">
      <c r="A2487" s="8" t="s">
        <v>4934</v>
      </c>
      <c r="B2487" s="8" t="s">
        <v>56091</v>
      </c>
      <c r="C2487" s="8" t="s">
        <v>4935</v>
      </c>
      <c r="D2487" s="8"/>
      <c r="E2487" s="6"/>
      <c r="F2487" s="6"/>
    </row>
    <row r="2488" spans="1:6" x14ac:dyDescent="0.3">
      <c r="A2488" s="8" t="s">
        <v>4936</v>
      </c>
      <c r="B2488" s="8" t="s">
        <v>56092</v>
      </c>
      <c r="C2488" s="8" t="s">
        <v>4937</v>
      </c>
      <c r="D2488" s="8"/>
      <c r="E2488" s="6"/>
      <c r="F2488" s="6"/>
    </row>
    <row r="2489" spans="1:6" x14ac:dyDescent="0.3">
      <c r="A2489" s="8" t="s">
        <v>4938</v>
      </c>
      <c r="B2489" s="8" t="s">
        <v>56093</v>
      </c>
      <c r="C2489" s="8" t="s">
        <v>4939</v>
      </c>
      <c r="D2489" s="8"/>
      <c r="E2489" s="6"/>
      <c r="F2489" s="6"/>
    </row>
    <row r="2490" spans="1:6" x14ac:dyDescent="0.3">
      <c r="A2490" s="8" t="s">
        <v>4940</v>
      </c>
      <c r="B2490" s="8" t="s">
        <v>56094</v>
      </c>
      <c r="C2490" s="8" t="s">
        <v>4941</v>
      </c>
      <c r="D2490" s="8"/>
      <c r="E2490" s="6"/>
      <c r="F2490" s="6"/>
    </row>
    <row r="2491" spans="1:6" x14ac:dyDescent="0.3">
      <c r="A2491" s="8" t="s">
        <v>4942</v>
      </c>
      <c r="B2491" s="8" t="s">
        <v>56095</v>
      </c>
      <c r="C2491" s="8" t="s">
        <v>4943</v>
      </c>
      <c r="D2491" s="8"/>
      <c r="E2491" s="6"/>
      <c r="F2491" s="6"/>
    </row>
    <row r="2492" spans="1:6" x14ac:dyDescent="0.3">
      <c r="A2492" s="8" t="s">
        <v>4944</v>
      </c>
      <c r="B2492" s="8" t="s">
        <v>56096</v>
      </c>
      <c r="C2492" s="8" t="s">
        <v>4945</v>
      </c>
      <c r="D2492" s="8"/>
      <c r="E2492" s="6"/>
      <c r="F2492" s="6"/>
    </row>
    <row r="2493" spans="1:6" x14ac:dyDescent="0.3">
      <c r="A2493" s="8" t="s">
        <v>4946</v>
      </c>
      <c r="B2493" s="8" t="s">
        <v>56097</v>
      </c>
      <c r="C2493" s="8" t="s">
        <v>4947</v>
      </c>
      <c r="D2493" s="8"/>
      <c r="E2493" s="6"/>
      <c r="F2493" s="6"/>
    </row>
    <row r="2494" spans="1:6" x14ac:dyDescent="0.3">
      <c r="A2494" s="8" t="s">
        <v>4948</v>
      </c>
      <c r="B2494" s="8" t="s">
        <v>56098</v>
      </c>
      <c r="C2494" s="8" t="s">
        <v>4949</v>
      </c>
      <c r="D2494" s="8"/>
      <c r="E2494" s="6"/>
      <c r="F2494" s="6"/>
    </row>
    <row r="2495" spans="1:6" x14ac:dyDescent="0.3">
      <c r="A2495" s="8" t="s">
        <v>4950</v>
      </c>
      <c r="B2495" s="8" t="s">
        <v>56099</v>
      </c>
      <c r="C2495" s="8" t="s">
        <v>4951</v>
      </c>
      <c r="D2495" s="8"/>
      <c r="E2495" s="6"/>
      <c r="F2495" s="6"/>
    </row>
    <row r="2496" spans="1:6" x14ac:dyDescent="0.3">
      <c r="A2496" s="8" t="s">
        <v>4952</v>
      </c>
      <c r="B2496" s="8" t="s">
        <v>56100</v>
      </c>
      <c r="C2496" s="8" t="s">
        <v>4953</v>
      </c>
      <c r="D2496" s="8"/>
      <c r="E2496" s="6"/>
      <c r="F2496" s="6"/>
    </row>
    <row r="2497" spans="1:6" x14ac:dyDescent="0.3">
      <c r="A2497" s="8" t="s">
        <v>4954</v>
      </c>
      <c r="B2497" s="8" t="s">
        <v>56101</v>
      </c>
      <c r="C2497" s="8" t="s">
        <v>4955</v>
      </c>
      <c r="D2497" s="8"/>
      <c r="E2497" s="6"/>
      <c r="F2497" s="6"/>
    </row>
    <row r="2498" spans="1:6" x14ac:dyDescent="0.3">
      <c r="A2498" s="8" t="s">
        <v>4956</v>
      </c>
      <c r="B2498" s="8" t="s">
        <v>56102</v>
      </c>
      <c r="C2498" s="8" t="s">
        <v>4957</v>
      </c>
      <c r="D2498" s="8"/>
      <c r="E2498" s="6"/>
      <c r="F2498" s="6"/>
    </row>
    <row r="2499" spans="1:6" x14ac:dyDescent="0.3">
      <c r="A2499" s="8" t="s">
        <v>4958</v>
      </c>
      <c r="B2499" s="8" t="s">
        <v>56103</v>
      </c>
      <c r="C2499" s="8" t="s">
        <v>4959</v>
      </c>
      <c r="D2499" s="8"/>
      <c r="E2499" s="6"/>
      <c r="F2499" s="6"/>
    </row>
    <row r="2500" spans="1:6" x14ac:dyDescent="0.3">
      <c r="A2500" s="8" t="s">
        <v>4960</v>
      </c>
      <c r="B2500" s="8" t="s">
        <v>56104</v>
      </c>
      <c r="C2500" s="8" t="s">
        <v>4961</v>
      </c>
      <c r="D2500" s="8"/>
      <c r="E2500" s="6"/>
      <c r="F2500" s="6"/>
    </row>
    <row r="2501" spans="1:6" x14ac:dyDescent="0.3">
      <c r="A2501" s="8" t="s">
        <v>4962</v>
      </c>
      <c r="B2501" s="8" t="s">
        <v>56105</v>
      </c>
      <c r="C2501" s="8" t="s">
        <v>4963</v>
      </c>
      <c r="D2501" s="8"/>
      <c r="E2501" s="6"/>
      <c r="F2501" s="6"/>
    </row>
    <row r="2502" spans="1:6" x14ac:dyDescent="0.3">
      <c r="A2502" s="8" t="s">
        <v>4964</v>
      </c>
      <c r="B2502" s="8" t="s">
        <v>56106</v>
      </c>
      <c r="C2502" s="8" t="s">
        <v>4965</v>
      </c>
      <c r="D2502" s="8"/>
      <c r="E2502" s="6"/>
      <c r="F2502" s="6"/>
    </row>
    <row r="2503" spans="1:6" x14ac:dyDescent="0.3">
      <c r="A2503" s="8" t="s">
        <v>4966</v>
      </c>
      <c r="B2503" s="8" t="s">
        <v>56107</v>
      </c>
      <c r="C2503" s="8" t="s">
        <v>4967</v>
      </c>
      <c r="D2503" s="8"/>
      <c r="E2503" s="6"/>
      <c r="F2503" s="6"/>
    </row>
    <row r="2504" spans="1:6" x14ac:dyDescent="0.3">
      <c r="A2504" s="8" t="s">
        <v>4968</v>
      </c>
      <c r="B2504" s="8" t="s">
        <v>56108</v>
      </c>
      <c r="C2504" s="8" t="s">
        <v>4969</v>
      </c>
      <c r="D2504" s="8"/>
      <c r="E2504" s="6"/>
      <c r="F2504" s="6"/>
    </row>
    <row r="2505" spans="1:6" x14ac:dyDescent="0.3">
      <c r="A2505" s="8" t="s">
        <v>4970</v>
      </c>
      <c r="B2505" s="8" t="s">
        <v>56109</v>
      </c>
      <c r="C2505" s="8" t="s">
        <v>4971</v>
      </c>
      <c r="D2505" s="8"/>
      <c r="E2505" s="6"/>
      <c r="F2505" s="6"/>
    </row>
    <row r="2506" spans="1:6" x14ac:dyDescent="0.3">
      <c r="A2506" s="8" t="s">
        <v>4972</v>
      </c>
      <c r="B2506" s="8" t="s">
        <v>56110</v>
      </c>
      <c r="C2506" s="8" t="s">
        <v>4973</v>
      </c>
      <c r="D2506" s="8"/>
      <c r="E2506" s="6"/>
      <c r="F2506" s="6"/>
    </row>
    <row r="2507" spans="1:6" x14ac:dyDescent="0.3">
      <c r="A2507" s="8" t="s">
        <v>4974</v>
      </c>
      <c r="B2507" s="8" t="s">
        <v>56111</v>
      </c>
      <c r="C2507" s="8" t="s">
        <v>4975</v>
      </c>
      <c r="D2507" s="8"/>
      <c r="E2507" s="6"/>
      <c r="F2507" s="6"/>
    </row>
    <row r="2508" spans="1:6" x14ac:dyDescent="0.3">
      <c r="A2508" s="8" t="s">
        <v>4976</v>
      </c>
      <c r="B2508" s="8" t="s">
        <v>56112</v>
      </c>
      <c r="C2508" s="8" t="s">
        <v>4977</v>
      </c>
      <c r="D2508" s="8"/>
      <c r="E2508" s="6"/>
      <c r="F2508" s="6"/>
    </row>
    <row r="2509" spans="1:6" x14ac:dyDescent="0.3">
      <c r="A2509" s="8" t="s">
        <v>4978</v>
      </c>
      <c r="B2509" s="8" t="s">
        <v>56113</v>
      </c>
      <c r="C2509" s="8" t="s">
        <v>4979</v>
      </c>
      <c r="D2509" s="8"/>
      <c r="E2509" s="6"/>
      <c r="F2509" s="6"/>
    </row>
    <row r="2510" spans="1:6" x14ac:dyDescent="0.3">
      <c r="A2510" s="8" t="s">
        <v>4980</v>
      </c>
      <c r="B2510" s="8" t="s">
        <v>56114</v>
      </c>
      <c r="C2510" s="8" t="s">
        <v>4981</v>
      </c>
      <c r="D2510" s="8"/>
      <c r="E2510" s="6"/>
      <c r="F2510" s="6"/>
    </row>
    <row r="2511" spans="1:6" x14ac:dyDescent="0.3">
      <c r="A2511" s="8" t="s">
        <v>4982</v>
      </c>
      <c r="B2511" s="8" t="s">
        <v>56115</v>
      </c>
      <c r="C2511" s="8" t="s">
        <v>4983</v>
      </c>
      <c r="D2511" s="8"/>
      <c r="E2511" s="6"/>
      <c r="F2511" s="6"/>
    </row>
    <row r="2512" spans="1:6" x14ac:dyDescent="0.3">
      <c r="A2512" s="8" t="s">
        <v>4984</v>
      </c>
      <c r="B2512" s="8" t="s">
        <v>56116</v>
      </c>
      <c r="C2512" s="8" t="s">
        <v>4985</v>
      </c>
      <c r="D2512" s="8"/>
      <c r="E2512" s="6"/>
      <c r="F2512" s="6"/>
    </row>
    <row r="2513" spans="1:6" x14ac:dyDescent="0.3">
      <c r="A2513" s="8" t="s">
        <v>4986</v>
      </c>
      <c r="B2513" s="8" t="s">
        <v>56117</v>
      </c>
      <c r="C2513" s="8" t="s">
        <v>4987</v>
      </c>
      <c r="D2513" s="8"/>
      <c r="E2513" s="6"/>
      <c r="F2513" s="6"/>
    </row>
    <row r="2514" spans="1:6" x14ac:dyDescent="0.3">
      <c r="A2514" s="8" t="s">
        <v>4988</v>
      </c>
      <c r="B2514" s="8" t="s">
        <v>56118</v>
      </c>
      <c r="C2514" s="8" t="s">
        <v>4989</v>
      </c>
      <c r="D2514" s="8"/>
      <c r="E2514" s="6"/>
      <c r="F2514" s="6"/>
    </row>
    <row r="2515" spans="1:6" x14ac:dyDescent="0.3">
      <c r="A2515" s="8" t="s">
        <v>4990</v>
      </c>
      <c r="B2515" s="8" t="s">
        <v>56119</v>
      </c>
      <c r="C2515" s="8" t="s">
        <v>4991</v>
      </c>
      <c r="D2515" s="8"/>
      <c r="E2515" s="6"/>
      <c r="F2515" s="6"/>
    </row>
    <row r="2516" spans="1:6" x14ac:dyDescent="0.3">
      <c r="A2516" s="8" t="s">
        <v>4992</v>
      </c>
      <c r="B2516" s="8" t="s">
        <v>56120</v>
      </c>
      <c r="C2516" s="8" t="s">
        <v>4993</v>
      </c>
      <c r="D2516" s="8"/>
      <c r="E2516" s="6"/>
      <c r="F2516" s="6"/>
    </row>
    <row r="2517" spans="1:6" x14ac:dyDescent="0.3">
      <c r="A2517" s="8" t="s">
        <v>4994</v>
      </c>
      <c r="B2517" s="8" t="s">
        <v>56121</v>
      </c>
      <c r="C2517" s="8" t="s">
        <v>4995</v>
      </c>
      <c r="D2517" s="8"/>
      <c r="E2517" s="6"/>
      <c r="F2517" s="6"/>
    </row>
    <row r="2518" spans="1:6" x14ac:dyDescent="0.3">
      <c r="A2518" s="8" t="s">
        <v>4996</v>
      </c>
      <c r="B2518" s="8" t="s">
        <v>56122</v>
      </c>
      <c r="C2518" s="8" t="s">
        <v>4997</v>
      </c>
      <c r="D2518" s="8"/>
      <c r="E2518" s="6"/>
      <c r="F2518" s="6"/>
    </row>
    <row r="2519" spans="1:6" x14ac:dyDescent="0.3">
      <c r="A2519" s="8" t="s">
        <v>4998</v>
      </c>
      <c r="B2519" s="8" t="s">
        <v>56123</v>
      </c>
      <c r="C2519" s="8" t="s">
        <v>4999</v>
      </c>
      <c r="D2519" s="8"/>
      <c r="E2519" s="6"/>
      <c r="F2519" s="6"/>
    </row>
    <row r="2520" spans="1:6" x14ac:dyDescent="0.3">
      <c r="A2520" s="8" t="s">
        <v>5000</v>
      </c>
      <c r="B2520" s="8" t="s">
        <v>56124</v>
      </c>
      <c r="C2520" s="8" t="s">
        <v>5001</v>
      </c>
      <c r="D2520" s="8"/>
      <c r="E2520" s="6"/>
      <c r="F2520" s="6"/>
    </row>
    <row r="2521" spans="1:6" x14ac:dyDescent="0.3">
      <c r="A2521" s="8" t="s">
        <v>5002</v>
      </c>
      <c r="B2521" s="8" t="s">
        <v>56125</v>
      </c>
      <c r="C2521" s="8" t="s">
        <v>5003</v>
      </c>
      <c r="D2521" s="8"/>
      <c r="E2521" s="6"/>
      <c r="F2521" s="6"/>
    </row>
    <row r="2522" spans="1:6" x14ac:dyDescent="0.3">
      <c r="A2522" s="8" t="s">
        <v>5004</v>
      </c>
      <c r="B2522" s="8" t="s">
        <v>56126</v>
      </c>
      <c r="C2522" s="8" t="s">
        <v>5005</v>
      </c>
      <c r="D2522" s="8"/>
      <c r="E2522" s="6"/>
      <c r="F2522" s="6"/>
    </row>
    <row r="2523" spans="1:6" x14ac:dyDescent="0.3">
      <c r="A2523" s="8" t="s">
        <v>5006</v>
      </c>
      <c r="B2523" s="8" t="s">
        <v>56127</v>
      </c>
      <c r="C2523" s="8" t="s">
        <v>5007</v>
      </c>
      <c r="D2523" s="8"/>
      <c r="E2523" s="6"/>
      <c r="F2523" s="6"/>
    </row>
    <row r="2524" spans="1:6" x14ac:dyDescent="0.3">
      <c r="A2524" s="8" t="s">
        <v>5008</v>
      </c>
      <c r="B2524" s="8" t="s">
        <v>56128</v>
      </c>
      <c r="C2524" s="8" t="s">
        <v>5009</v>
      </c>
      <c r="D2524" s="8"/>
      <c r="E2524" s="6"/>
      <c r="F2524" s="6"/>
    </row>
    <row r="2525" spans="1:6" x14ac:dyDescent="0.3">
      <c r="A2525" s="8" t="s">
        <v>5010</v>
      </c>
      <c r="B2525" s="8" t="s">
        <v>56129</v>
      </c>
      <c r="C2525" s="8" t="s">
        <v>5011</v>
      </c>
      <c r="D2525" s="8"/>
      <c r="E2525" s="6"/>
      <c r="F2525" s="6"/>
    </row>
    <row r="2526" spans="1:6" x14ac:dyDescent="0.3">
      <c r="A2526" s="8" t="s">
        <v>5012</v>
      </c>
      <c r="B2526" s="8" t="s">
        <v>56130</v>
      </c>
      <c r="C2526" s="8" t="s">
        <v>5013</v>
      </c>
      <c r="D2526" s="8"/>
      <c r="E2526" s="6"/>
      <c r="F2526" s="6"/>
    </row>
    <row r="2527" spans="1:6" x14ac:dyDescent="0.3">
      <c r="A2527" s="8" t="s">
        <v>5014</v>
      </c>
      <c r="B2527" s="8" t="s">
        <v>56131</v>
      </c>
      <c r="C2527" s="8" t="s">
        <v>5015</v>
      </c>
      <c r="D2527" s="8"/>
      <c r="E2527" s="6"/>
      <c r="F2527" s="6"/>
    </row>
    <row r="2528" spans="1:6" x14ac:dyDescent="0.3">
      <c r="A2528" s="8" t="s">
        <v>5016</v>
      </c>
      <c r="B2528" s="8" t="s">
        <v>56132</v>
      </c>
      <c r="C2528" s="8" t="s">
        <v>5017</v>
      </c>
      <c r="D2528" s="8"/>
      <c r="E2528" s="6"/>
      <c r="F2528" s="6"/>
    </row>
    <row r="2529" spans="1:6" x14ac:dyDescent="0.3">
      <c r="A2529" s="8" t="s">
        <v>5018</v>
      </c>
      <c r="B2529" s="8" t="s">
        <v>56133</v>
      </c>
      <c r="C2529" s="8" t="s">
        <v>5019</v>
      </c>
      <c r="D2529" s="8"/>
      <c r="E2529" s="6"/>
      <c r="F2529" s="6"/>
    </row>
    <row r="2530" spans="1:6" x14ac:dyDescent="0.3">
      <c r="A2530" s="8" t="s">
        <v>5020</v>
      </c>
      <c r="B2530" s="8" t="s">
        <v>56134</v>
      </c>
      <c r="C2530" s="8" t="s">
        <v>5021</v>
      </c>
      <c r="D2530" s="8"/>
      <c r="E2530" s="6"/>
      <c r="F2530" s="6"/>
    </row>
    <row r="2531" spans="1:6" x14ac:dyDescent="0.3">
      <c r="A2531" s="8" t="s">
        <v>5022</v>
      </c>
      <c r="B2531" s="8" t="s">
        <v>56135</v>
      </c>
      <c r="C2531" s="8" t="s">
        <v>5023</v>
      </c>
      <c r="D2531" s="8"/>
      <c r="E2531" s="6"/>
      <c r="F2531" s="6"/>
    </row>
    <row r="2532" spans="1:6" x14ac:dyDescent="0.3">
      <c r="A2532" s="8" t="s">
        <v>5024</v>
      </c>
      <c r="B2532" s="8" t="s">
        <v>56136</v>
      </c>
      <c r="C2532" s="8" t="s">
        <v>5025</v>
      </c>
      <c r="D2532" s="8"/>
      <c r="E2532" s="6"/>
      <c r="F2532" s="6"/>
    </row>
    <row r="2533" spans="1:6" x14ac:dyDescent="0.3">
      <c r="A2533" s="8" t="s">
        <v>5026</v>
      </c>
      <c r="B2533" s="8" t="s">
        <v>56137</v>
      </c>
      <c r="C2533" s="8" t="s">
        <v>5027</v>
      </c>
      <c r="D2533" s="8"/>
      <c r="E2533" s="6"/>
      <c r="F2533" s="6"/>
    </row>
    <row r="2534" spans="1:6" x14ac:dyDescent="0.3">
      <c r="A2534" s="8" t="s">
        <v>5028</v>
      </c>
      <c r="B2534" s="8" t="s">
        <v>56138</v>
      </c>
      <c r="C2534" s="8" t="s">
        <v>5029</v>
      </c>
      <c r="D2534" s="8"/>
      <c r="E2534" s="6"/>
      <c r="F2534" s="6"/>
    </row>
    <row r="2535" spans="1:6" x14ac:dyDescent="0.3">
      <c r="A2535" s="8" t="s">
        <v>5030</v>
      </c>
      <c r="B2535" s="8" t="s">
        <v>56139</v>
      </c>
      <c r="C2535" s="8" t="s">
        <v>5031</v>
      </c>
      <c r="D2535" s="8"/>
      <c r="E2535" s="6"/>
      <c r="F2535" s="6"/>
    </row>
    <row r="2536" spans="1:6" x14ac:dyDescent="0.3">
      <c r="A2536" s="8" t="s">
        <v>5032</v>
      </c>
      <c r="B2536" s="8" t="s">
        <v>56140</v>
      </c>
      <c r="C2536" s="8" t="s">
        <v>5033</v>
      </c>
      <c r="D2536" s="8"/>
      <c r="E2536" s="6"/>
      <c r="F2536" s="6"/>
    </row>
    <row r="2537" spans="1:6" x14ac:dyDescent="0.3">
      <c r="A2537" s="8" t="s">
        <v>5034</v>
      </c>
      <c r="B2537" s="8" t="s">
        <v>56141</v>
      </c>
      <c r="C2537" s="8" t="s">
        <v>5035</v>
      </c>
      <c r="D2537" s="8"/>
      <c r="E2537" s="6"/>
      <c r="F2537" s="6"/>
    </row>
    <row r="2538" spans="1:6" x14ac:dyDescent="0.3">
      <c r="A2538" s="8" t="s">
        <v>5036</v>
      </c>
      <c r="B2538" s="8" t="s">
        <v>56142</v>
      </c>
      <c r="C2538" s="8" t="s">
        <v>5037</v>
      </c>
      <c r="D2538" s="8"/>
      <c r="E2538" s="6"/>
      <c r="F2538" s="6"/>
    </row>
    <row r="2539" spans="1:6" x14ac:dyDescent="0.3">
      <c r="A2539" s="8" t="s">
        <v>5038</v>
      </c>
      <c r="B2539" s="8" t="s">
        <v>56143</v>
      </c>
      <c r="C2539" s="8" t="s">
        <v>5039</v>
      </c>
      <c r="D2539" s="8"/>
      <c r="E2539" s="6"/>
      <c r="F2539" s="6"/>
    </row>
    <row r="2540" spans="1:6" x14ac:dyDescent="0.3">
      <c r="A2540" s="8" t="s">
        <v>5040</v>
      </c>
      <c r="B2540" s="8" t="s">
        <v>56144</v>
      </c>
      <c r="C2540" s="8" t="s">
        <v>5041</v>
      </c>
      <c r="D2540" s="8"/>
      <c r="E2540" s="6"/>
      <c r="F2540" s="6"/>
    </row>
    <row r="2541" spans="1:6" x14ac:dyDescent="0.3">
      <c r="A2541" s="8" t="s">
        <v>5042</v>
      </c>
      <c r="B2541" s="8" t="s">
        <v>56145</v>
      </c>
      <c r="C2541" s="8" t="s">
        <v>5043</v>
      </c>
      <c r="D2541" s="8"/>
      <c r="E2541" s="6"/>
      <c r="F2541" s="6"/>
    </row>
    <row r="2542" spans="1:6" x14ac:dyDescent="0.3">
      <c r="A2542" s="8" t="s">
        <v>5044</v>
      </c>
      <c r="B2542" s="8" t="s">
        <v>56146</v>
      </c>
      <c r="C2542" s="8" t="s">
        <v>5045</v>
      </c>
      <c r="D2542" s="8"/>
      <c r="E2542" s="6"/>
      <c r="F2542" s="6"/>
    </row>
    <row r="2543" spans="1:6" x14ac:dyDescent="0.3">
      <c r="A2543" s="8" t="s">
        <v>5046</v>
      </c>
      <c r="B2543" s="8" t="s">
        <v>56147</v>
      </c>
      <c r="C2543" s="8" t="s">
        <v>5047</v>
      </c>
      <c r="D2543" s="8"/>
      <c r="E2543" s="6"/>
      <c r="F2543" s="6"/>
    </row>
    <row r="2544" spans="1:6" x14ac:dyDescent="0.3">
      <c r="A2544" s="8" t="s">
        <v>5048</v>
      </c>
      <c r="B2544" s="8" t="s">
        <v>56148</v>
      </c>
      <c r="C2544" s="8" t="s">
        <v>5049</v>
      </c>
      <c r="D2544" s="8"/>
      <c r="E2544" s="6"/>
      <c r="F2544" s="6"/>
    </row>
    <row r="2545" spans="1:6" x14ac:dyDescent="0.3">
      <c r="A2545" s="8" t="s">
        <v>5050</v>
      </c>
      <c r="B2545" s="8" t="s">
        <v>56149</v>
      </c>
      <c r="C2545" s="8" t="s">
        <v>5051</v>
      </c>
      <c r="D2545" s="8"/>
      <c r="E2545" s="6"/>
      <c r="F2545" s="6"/>
    </row>
    <row r="2546" spans="1:6" x14ac:dyDescent="0.3">
      <c r="A2546" s="8" t="s">
        <v>5052</v>
      </c>
      <c r="B2546" s="8" t="s">
        <v>56150</v>
      </c>
      <c r="C2546" s="8" t="s">
        <v>5053</v>
      </c>
      <c r="D2546" s="8"/>
      <c r="E2546" s="6"/>
      <c r="F2546" s="6"/>
    </row>
    <row r="2547" spans="1:6" x14ac:dyDescent="0.3">
      <c r="A2547" s="8" t="s">
        <v>5054</v>
      </c>
      <c r="B2547" s="8" t="s">
        <v>56151</v>
      </c>
      <c r="C2547" s="8" t="s">
        <v>5055</v>
      </c>
      <c r="D2547" s="8"/>
      <c r="E2547" s="6"/>
      <c r="F2547" s="6"/>
    </row>
    <row r="2548" spans="1:6" x14ac:dyDescent="0.3">
      <c r="A2548" s="8" t="s">
        <v>5056</v>
      </c>
      <c r="B2548" s="8" t="s">
        <v>56152</v>
      </c>
      <c r="C2548" s="8" t="s">
        <v>5057</v>
      </c>
      <c r="D2548" s="8"/>
      <c r="E2548" s="6"/>
      <c r="F2548" s="6"/>
    </row>
    <row r="2549" spans="1:6" x14ac:dyDescent="0.3">
      <c r="A2549" s="8" t="s">
        <v>5058</v>
      </c>
      <c r="B2549" s="8" t="s">
        <v>56153</v>
      </c>
      <c r="C2549" s="8" t="s">
        <v>5059</v>
      </c>
      <c r="D2549" s="8"/>
      <c r="E2549" s="6"/>
      <c r="F2549" s="6"/>
    </row>
    <row r="2550" spans="1:6" x14ac:dyDescent="0.3">
      <c r="A2550" s="8" t="s">
        <v>5060</v>
      </c>
      <c r="B2550" s="8" t="s">
        <v>56154</v>
      </c>
      <c r="C2550" s="8" t="s">
        <v>5061</v>
      </c>
      <c r="D2550" s="8"/>
      <c r="E2550" s="6"/>
      <c r="F2550" s="6"/>
    </row>
    <row r="2551" spans="1:6" x14ac:dyDescent="0.3">
      <c r="A2551" s="8" t="s">
        <v>5062</v>
      </c>
      <c r="B2551" s="8" t="s">
        <v>56155</v>
      </c>
      <c r="C2551" s="8" t="s">
        <v>5063</v>
      </c>
      <c r="D2551" s="8"/>
      <c r="E2551" s="6"/>
      <c r="F2551" s="6"/>
    </row>
    <row r="2552" spans="1:6" x14ac:dyDescent="0.3">
      <c r="A2552" s="8" t="s">
        <v>5064</v>
      </c>
      <c r="B2552" s="8" t="s">
        <v>56156</v>
      </c>
      <c r="C2552" s="8" t="s">
        <v>5065</v>
      </c>
      <c r="D2552" s="8"/>
      <c r="E2552" s="6"/>
      <c r="F2552" s="6"/>
    </row>
    <row r="2553" spans="1:6" x14ac:dyDescent="0.3">
      <c r="A2553" s="8" t="s">
        <v>5066</v>
      </c>
      <c r="B2553" s="8" t="s">
        <v>56157</v>
      </c>
      <c r="C2553" s="8" t="s">
        <v>5067</v>
      </c>
      <c r="D2553" s="8"/>
      <c r="E2553" s="6"/>
      <c r="F2553" s="6"/>
    </row>
    <row r="2554" spans="1:6" x14ac:dyDescent="0.3">
      <c r="A2554" s="8" t="s">
        <v>5068</v>
      </c>
      <c r="B2554" s="8" t="s">
        <v>56158</v>
      </c>
      <c r="C2554" s="8" t="s">
        <v>5069</v>
      </c>
      <c r="D2554" s="8"/>
      <c r="E2554" s="6"/>
      <c r="F2554" s="6"/>
    </row>
    <row r="2555" spans="1:6" x14ac:dyDescent="0.3">
      <c r="A2555" s="8" t="s">
        <v>5070</v>
      </c>
      <c r="B2555" s="8" t="s">
        <v>56159</v>
      </c>
      <c r="C2555" s="8" t="s">
        <v>5071</v>
      </c>
      <c r="D2555" s="8"/>
      <c r="E2555" s="6"/>
      <c r="F2555" s="6"/>
    </row>
    <row r="2556" spans="1:6" x14ac:dyDescent="0.3">
      <c r="A2556" s="8" t="s">
        <v>5072</v>
      </c>
      <c r="B2556" s="8" t="s">
        <v>56160</v>
      </c>
      <c r="C2556" s="8" t="s">
        <v>5073</v>
      </c>
      <c r="D2556" s="8"/>
      <c r="E2556" s="6"/>
      <c r="F2556" s="6"/>
    </row>
    <row r="2557" spans="1:6" x14ac:dyDescent="0.3">
      <c r="A2557" s="8" t="s">
        <v>5074</v>
      </c>
      <c r="B2557" s="8" t="s">
        <v>56161</v>
      </c>
      <c r="C2557" s="8" t="s">
        <v>5075</v>
      </c>
      <c r="D2557" s="8"/>
      <c r="E2557" s="6"/>
      <c r="F2557" s="6"/>
    </row>
    <row r="2558" spans="1:6" x14ac:dyDescent="0.3">
      <c r="A2558" s="8" t="s">
        <v>5076</v>
      </c>
      <c r="B2558" s="8" t="s">
        <v>56162</v>
      </c>
      <c r="C2558" s="8" t="s">
        <v>5077</v>
      </c>
      <c r="D2558" s="8"/>
      <c r="E2558" s="6"/>
      <c r="F2558" s="6"/>
    </row>
    <row r="2559" spans="1:6" x14ac:dyDescent="0.3">
      <c r="A2559" s="8" t="s">
        <v>5078</v>
      </c>
      <c r="B2559" s="8" t="s">
        <v>56163</v>
      </c>
      <c r="C2559" s="8" t="s">
        <v>5079</v>
      </c>
      <c r="D2559" s="8"/>
      <c r="E2559" s="6"/>
      <c r="F2559" s="6"/>
    </row>
    <row r="2560" spans="1:6" x14ac:dyDescent="0.3">
      <c r="A2560" s="8" t="s">
        <v>5080</v>
      </c>
      <c r="B2560" s="8" t="s">
        <v>56164</v>
      </c>
      <c r="C2560" s="8" t="s">
        <v>5081</v>
      </c>
      <c r="D2560" s="8"/>
      <c r="E2560" s="6"/>
      <c r="F2560" s="6"/>
    </row>
    <row r="2561" spans="1:6" x14ac:dyDescent="0.3">
      <c r="A2561" s="8" t="s">
        <v>5082</v>
      </c>
      <c r="B2561" s="8" t="s">
        <v>56165</v>
      </c>
      <c r="C2561" s="8" t="s">
        <v>5083</v>
      </c>
      <c r="D2561" s="8"/>
      <c r="E2561" s="6"/>
      <c r="F2561" s="6"/>
    </row>
    <row r="2562" spans="1:6" x14ac:dyDescent="0.3">
      <c r="A2562" s="8" t="s">
        <v>5084</v>
      </c>
      <c r="B2562" s="8" t="s">
        <v>56166</v>
      </c>
      <c r="C2562" s="8" t="s">
        <v>5085</v>
      </c>
      <c r="D2562" s="8"/>
      <c r="E2562" s="6"/>
      <c r="F2562" s="6"/>
    </row>
    <row r="2563" spans="1:6" x14ac:dyDescent="0.3">
      <c r="A2563" s="8" t="s">
        <v>5086</v>
      </c>
      <c r="B2563" s="8" t="s">
        <v>56167</v>
      </c>
      <c r="C2563" s="8" t="s">
        <v>5087</v>
      </c>
      <c r="D2563" s="8"/>
      <c r="E2563" s="6"/>
      <c r="F2563" s="6"/>
    </row>
    <row r="2564" spans="1:6" x14ac:dyDescent="0.3">
      <c r="A2564" s="8" t="s">
        <v>5088</v>
      </c>
      <c r="B2564" s="8" t="s">
        <v>56168</v>
      </c>
      <c r="C2564" s="8" t="s">
        <v>5089</v>
      </c>
      <c r="D2564" s="8"/>
      <c r="E2564" s="6"/>
      <c r="F2564" s="6"/>
    </row>
    <row r="2565" spans="1:6" x14ac:dyDescent="0.3">
      <c r="A2565" s="8" t="s">
        <v>5090</v>
      </c>
      <c r="B2565" s="8" t="s">
        <v>56169</v>
      </c>
      <c r="C2565" s="8" t="s">
        <v>5091</v>
      </c>
      <c r="D2565" s="8"/>
      <c r="E2565" s="6"/>
      <c r="F2565" s="6"/>
    </row>
    <row r="2566" spans="1:6" x14ac:dyDescent="0.3">
      <c r="A2566" s="8" t="s">
        <v>5092</v>
      </c>
      <c r="B2566" s="8" t="s">
        <v>56170</v>
      </c>
      <c r="C2566" s="8" t="s">
        <v>5093</v>
      </c>
      <c r="D2566" s="8"/>
      <c r="E2566" s="6"/>
      <c r="F2566" s="6"/>
    </row>
    <row r="2567" spans="1:6" x14ac:dyDescent="0.3">
      <c r="A2567" s="8" t="s">
        <v>5094</v>
      </c>
      <c r="B2567" s="8" t="s">
        <v>56171</v>
      </c>
      <c r="C2567" s="8" t="s">
        <v>5095</v>
      </c>
      <c r="D2567" s="8"/>
      <c r="E2567" s="6"/>
      <c r="F2567" s="6"/>
    </row>
    <row r="2568" spans="1:6" x14ac:dyDescent="0.3">
      <c r="A2568" s="8" t="s">
        <v>5096</v>
      </c>
      <c r="B2568" s="8" t="s">
        <v>56172</v>
      </c>
      <c r="C2568" s="8" t="s">
        <v>5097</v>
      </c>
      <c r="D2568" s="8"/>
      <c r="E2568" s="6"/>
      <c r="F2568" s="6"/>
    </row>
    <row r="2569" spans="1:6" x14ac:dyDescent="0.3">
      <c r="A2569" s="8" t="s">
        <v>5098</v>
      </c>
      <c r="B2569" s="8" t="s">
        <v>56173</v>
      </c>
      <c r="C2569" s="8" t="s">
        <v>5099</v>
      </c>
      <c r="D2569" s="8"/>
      <c r="E2569" s="6"/>
      <c r="F2569" s="6"/>
    </row>
    <row r="2570" spans="1:6" x14ac:dyDescent="0.3">
      <c r="A2570" s="8" t="s">
        <v>5100</v>
      </c>
      <c r="B2570" s="8" t="s">
        <v>56174</v>
      </c>
      <c r="C2570" s="8" t="s">
        <v>5101</v>
      </c>
      <c r="D2570" s="8"/>
      <c r="E2570" s="6"/>
      <c r="F2570" s="6"/>
    </row>
    <row r="2571" spans="1:6" x14ac:dyDescent="0.3">
      <c r="A2571" s="8" t="s">
        <v>5102</v>
      </c>
      <c r="B2571" s="8" t="s">
        <v>56175</v>
      </c>
      <c r="C2571" s="8" t="s">
        <v>5103</v>
      </c>
      <c r="D2571" s="8"/>
      <c r="E2571" s="6"/>
      <c r="F2571" s="6"/>
    </row>
    <row r="2572" spans="1:6" x14ac:dyDescent="0.3">
      <c r="A2572" s="8" t="s">
        <v>5104</v>
      </c>
      <c r="B2572" s="8" t="s">
        <v>56176</v>
      </c>
      <c r="C2572" s="8" t="s">
        <v>5105</v>
      </c>
      <c r="D2572" s="8"/>
      <c r="E2572" s="6"/>
      <c r="F2572" s="6"/>
    </row>
    <row r="2573" spans="1:6" x14ac:dyDescent="0.3">
      <c r="A2573" s="8" t="s">
        <v>5106</v>
      </c>
      <c r="B2573" s="8" t="s">
        <v>56177</v>
      </c>
      <c r="C2573" s="8" t="s">
        <v>5107</v>
      </c>
      <c r="D2573" s="8"/>
      <c r="E2573" s="6"/>
      <c r="F2573" s="6"/>
    </row>
    <row r="2574" spans="1:6" x14ac:dyDescent="0.3">
      <c r="A2574" s="8" t="s">
        <v>5108</v>
      </c>
      <c r="B2574" s="8" t="s">
        <v>56178</v>
      </c>
      <c r="C2574" s="8" t="s">
        <v>5109</v>
      </c>
      <c r="D2574" s="8"/>
      <c r="E2574" s="6"/>
      <c r="F2574" s="6"/>
    </row>
    <row r="2575" spans="1:6" x14ac:dyDescent="0.3">
      <c r="A2575" s="8" t="s">
        <v>5110</v>
      </c>
      <c r="B2575" s="8" t="s">
        <v>56179</v>
      </c>
      <c r="C2575" s="8" t="s">
        <v>5111</v>
      </c>
      <c r="D2575" s="8"/>
      <c r="E2575" s="6"/>
      <c r="F2575" s="6"/>
    </row>
    <row r="2576" spans="1:6" x14ac:dyDescent="0.3">
      <c r="A2576" s="8" t="s">
        <v>5112</v>
      </c>
      <c r="B2576" s="8" t="s">
        <v>56180</v>
      </c>
      <c r="C2576" s="8" t="s">
        <v>5113</v>
      </c>
      <c r="D2576" s="8"/>
      <c r="E2576" s="6"/>
      <c r="F2576" s="6"/>
    </row>
    <row r="2577" spans="1:6" x14ac:dyDescent="0.3">
      <c r="A2577" s="8" t="s">
        <v>5114</v>
      </c>
      <c r="B2577" s="8" t="s">
        <v>56181</v>
      </c>
      <c r="C2577" s="8" t="s">
        <v>5115</v>
      </c>
      <c r="D2577" s="8"/>
      <c r="E2577" s="6"/>
      <c r="F2577" s="6"/>
    </row>
    <row r="2578" spans="1:6" x14ac:dyDescent="0.3">
      <c r="A2578" s="8" t="s">
        <v>5116</v>
      </c>
      <c r="B2578" s="8" t="s">
        <v>56182</v>
      </c>
      <c r="C2578" s="8" t="s">
        <v>5117</v>
      </c>
      <c r="D2578" s="8"/>
      <c r="E2578" s="6"/>
      <c r="F2578" s="6"/>
    </row>
    <row r="2579" spans="1:6" x14ac:dyDescent="0.3">
      <c r="A2579" s="8" t="s">
        <v>5118</v>
      </c>
      <c r="B2579" s="8" t="s">
        <v>56183</v>
      </c>
      <c r="C2579" s="8" t="s">
        <v>5119</v>
      </c>
      <c r="D2579" s="8"/>
      <c r="E2579" s="6"/>
      <c r="F2579" s="6"/>
    </row>
    <row r="2580" spans="1:6" x14ac:dyDescent="0.3">
      <c r="A2580" s="8" t="s">
        <v>5120</v>
      </c>
      <c r="B2580" s="8" t="s">
        <v>56184</v>
      </c>
      <c r="C2580" s="8" t="s">
        <v>5121</v>
      </c>
      <c r="D2580" s="8"/>
      <c r="E2580" s="6"/>
      <c r="F2580" s="6"/>
    </row>
    <row r="2581" spans="1:6" x14ac:dyDescent="0.3">
      <c r="A2581" s="8" t="s">
        <v>5122</v>
      </c>
      <c r="B2581" s="8" t="s">
        <v>56185</v>
      </c>
      <c r="C2581" s="8" t="s">
        <v>5123</v>
      </c>
      <c r="D2581" s="8"/>
      <c r="E2581" s="6"/>
      <c r="F2581" s="6"/>
    </row>
    <row r="2582" spans="1:6" x14ac:dyDescent="0.3">
      <c r="A2582" s="8" t="s">
        <v>5124</v>
      </c>
      <c r="B2582" s="8" t="s">
        <v>56186</v>
      </c>
      <c r="C2582" s="8" t="s">
        <v>5125</v>
      </c>
      <c r="D2582" s="8"/>
      <c r="E2582" s="6"/>
      <c r="F2582" s="6"/>
    </row>
    <row r="2583" spans="1:6" x14ac:dyDescent="0.3">
      <c r="A2583" s="8" t="s">
        <v>5126</v>
      </c>
      <c r="B2583" s="8" t="s">
        <v>56187</v>
      </c>
      <c r="C2583" s="8" t="s">
        <v>5127</v>
      </c>
      <c r="D2583" s="8"/>
      <c r="E2583" s="6"/>
      <c r="F2583" s="6"/>
    </row>
    <row r="2584" spans="1:6" x14ac:dyDescent="0.3">
      <c r="A2584" s="8" t="s">
        <v>5128</v>
      </c>
      <c r="B2584" s="8" t="s">
        <v>56188</v>
      </c>
      <c r="C2584" s="8" t="s">
        <v>5129</v>
      </c>
      <c r="D2584" s="8"/>
      <c r="E2584" s="6"/>
      <c r="F2584" s="6"/>
    </row>
    <row r="2585" spans="1:6" x14ac:dyDescent="0.3">
      <c r="A2585" s="8" t="s">
        <v>5130</v>
      </c>
      <c r="B2585" s="8" t="s">
        <v>56189</v>
      </c>
      <c r="C2585" s="8" t="s">
        <v>5131</v>
      </c>
      <c r="D2585" s="8"/>
      <c r="E2585" s="6"/>
      <c r="F2585" s="6"/>
    </row>
    <row r="2586" spans="1:6" x14ac:dyDescent="0.3">
      <c r="A2586" s="8" t="s">
        <v>5132</v>
      </c>
      <c r="B2586" s="8" t="s">
        <v>56190</v>
      </c>
      <c r="C2586" s="8" t="s">
        <v>5133</v>
      </c>
      <c r="D2586" s="8"/>
      <c r="E2586" s="6"/>
      <c r="F2586" s="6"/>
    </row>
    <row r="2587" spans="1:6" x14ac:dyDescent="0.3">
      <c r="A2587" s="8" t="s">
        <v>5134</v>
      </c>
      <c r="B2587" s="8" t="s">
        <v>56191</v>
      </c>
      <c r="C2587" s="8" t="s">
        <v>5135</v>
      </c>
      <c r="D2587" s="8"/>
      <c r="E2587" s="6"/>
      <c r="F2587" s="6"/>
    </row>
    <row r="2588" spans="1:6" x14ac:dyDescent="0.3">
      <c r="A2588" s="8" t="s">
        <v>5136</v>
      </c>
      <c r="B2588" s="8" t="s">
        <v>56192</v>
      </c>
      <c r="C2588" s="8" t="s">
        <v>5137</v>
      </c>
      <c r="D2588" s="8"/>
      <c r="E2588" s="6"/>
      <c r="F2588" s="6"/>
    </row>
    <row r="2589" spans="1:6" x14ac:dyDescent="0.3">
      <c r="A2589" s="8" t="s">
        <v>5138</v>
      </c>
      <c r="B2589" s="8" t="s">
        <v>56193</v>
      </c>
      <c r="C2589" s="8" t="s">
        <v>5139</v>
      </c>
      <c r="D2589" s="8"/>
      <c r="E2589" s="6"/>
      <c r="F2589" s="6"/>
    </row>
    <row r="2590" spans="1:6" x14ac:dyDescent="0.3">
      <c r="A2590" s="8" t="s">
        <v>5140</v>
      </c>
      <c r="B2590" s="8" t="s">
        <v>56194</v>
      </c>
      <c r="C2590" s="8" t="s">
        <v>5141</v>
      </c>
      <c r="D2590" s="8"/>
      <c r="E2590" s="6"/>
      <c r="F2590" s="6"/>
    </row>
    <row r="2591" spans="1:6" x14ac:dyDescent="0.3">
      <c r="A2591" s="8" t="s">
        <v>5142</v>
      </c>
      <c r="B2591" s="8" t="s">
        <v>56195</v>
      </c>
      <c r="C2591" s="8" t="s">
        <v>5143</v>
      </c>
      <c r="D2591" s="8"/>
      <c r="E2591" s="6"/>
      <c r="F2591" s="6"/>
    </row>
    <row r="2592" spans="1:6" x14ac:dyDescent="0.3">
      <c r="A2592" s="8" t="s">
        <v>5144</v>
      </c>
      <c r="B2592" s="8" t="s">
        <v>56196</v>
      </c>
      <c r="C2592" s="8" t="s">
        <v>5145</v>
      </c>
      <c r="D2592" s="8"/>
      <c r="E2592" s="6"/>
      <c r="F2592" s="6"/>
    </row>
    <row r="2593" spans="1:6" x14ac:dyDescent="0.3">
      <c r="A2593" s="8" t="s">
        <v>5146</v>
      </c>
      <c r="B2593" s="8" t="s">
        <v>56197</v>
      </c>
      <c r="C2593" s="8" t="s">
        <v>5147</v>
      </c>
      <c r="D2593" s="8"/>
      <c r="E2593" s="6"/>
      <c r="F2593" s="6"/>
    </row>
    <row r="2594" spans="1:6" x14ac:dyDescent="0.3">
      <c r="A2594" s="8" t="s">
        <v>5148</v>
      </c>
      <c r="B2594" s="8" t="s">
        <v>56198</v>
      </c>
      <c r="C2594" s="8" t="s">
        <v>5149</v>
      </c>
      <c r="D2594" s="8"/>
      <c r="E2594" s="6"/>
      <c r="F2594" s="6"/>
    </row>
    <row r="2595" spans="1:6" x14ac:dyDescent="0.3">
      <c r="A2595" s="8" t="s">
        <v>5150</v>
      </c>
      <c r="B2595" s="8" t="s">
        <v>56199</v>
      </c>
      <c r="C2595" s="8" t="s">
        <v>5151</v>
      </c>
      <c r="D2595" s="8"/>
      <c r="E2595" s="6"/>
      <c r="F2595" s="6"/>
    </row>
    <row r="2596" spans="1:6" x14ac:dyDescent="0.3">
      <c r="A2596" s="8" t="s">
        <v>5152</v>
      </c>
      <c r="B2596" s="8" t="s">
        <v>56200</v>
      </c>
      <c r="C2596" s="8" t="s">
        <v>5153</v>
      </c>
      <c r="D2596" s="8"/>
      <c r="E2596" s="6"/>
      <c r="F2596" s="6"/>
    </row>
    <row r="2597" spans="1:6" x14ac:dyDescent="0.3">
      <c r="A2597" s="8" t="s">
        <v>5154</v>
      </c>
      <c r="B2597" s="8" t="s">
        <v>56201</v>
      </c>
      <c r="C2597" s="8" t="s">
        <v>5155</v>
      </c>
      <c r="D2597" s="8"/>
      <c r="E2597" s="6"/>
      <c r="F2597" s="6"/>
    </row>
    <row r="2598" spans="1:6" x14ac:dyDescent="0.3">
      <c r="A2598" s="8" t="s">
        <v>5156</v>
      </c>
      <c r="B2598" s="8" t="s">
        <v>56202</v>
      </c>
      <c r="C2598" s="8" t="s">
        <v>5157</v>
      </c>
      <c r="D2598" s="8"/>
      <c r="E2598" s="6"/>
      <c r="F2598" s="6"/>
    </row>
    <row r="2599" spans="1:6" x14ac:dyDescent="0.3">
      <c r="A2599" s="8" t="s">
        <v>5158</v>
      </c>
      <c r="B2599" s="8" t="s">
        <v>56203</v>
      </c>
      <c r="C2599" s="8" t="s">
        <v>5159</v>
      </c>
      <c r="D2599" s="8"/>
      <c r="E2599" s="6"/>
      <c r="F2599" s="6"/>
    </row>
    <row r="2600" spans="1:6" x14ac:dyDescent="0.3">
      <c r="A2600" s="8" t="s">
        <v>5160</v>
      </c>
      <c r="B2600" s="8" t="s">
        <v>56204</v>
      </c>
      <c r="C2600" s="8" t="s">
        <v>5161</v>
      </c>
      <c r="D2600" s="8"/>
      <c r="E2600" s="6"/>
      <c r="F2600" s="6"/>
    </row>
    <row r="2601" spans="1:6" x14ac:dyDescent="0.3">
      <c r="A2601" s="8" t="s">
        <v>5162</v>
      </c>
      <c r="B2601" s="8" t="s">
        <v>56205</v>
      </c>
      <c r="C2601" s="8" t="s">
        <v>5163</v>
      </c>
      <c r="D2601" s="8"/>
      <c r="E2601" s="6"/>
      <c r="F2601" s="6"/>
    </row>
    <row r="2602" spans="1:6" x14ac:dyDescent="0.3">
      <c r="A2602" s="8" t="s">
        <v>5164</v>
      </c>
      <c r="B2602" s="8" t="s">
        <v>56206</v>
      </c>
      <c r="C2602" s="8" t="s">
        <v>5165</v>
      </c>
      <c r="D2602" s="8"/>
      <c r="E2602" s="6"/>
      <c r="F2602" s="6"/>
    </row>
    <row r="2603" spans="1:6" x14ac:dyDescent="0.3">
      <c r="A2603" s="8" t="s">
        <v>5166</v>
      </c>
      <c r="B2603" s="8" t="s">
        <v>56207</v>
      </c>
      <c r="C2603" s="8" t="s">
        <v>5167</v>
      </c>
      <c r="D2603" s="8"/>
      <c r="E2603" s="6"/>
      <c r="F2603" s="6"/>
    </row>
    <row r="2604" spans="1:6" x14ac:dyDescent="0.3">
      <c r="A2604" s="8" t="s">
        <v>5168</v>
      </c>
      <c r="B2604" s="8" t="s">
        <v>56208</v>
      </c>
      <c r="C2604" s="8" t="s">
        <v>5169</v>
      </c>
      <c r="D2604" s="8"/>
      <c r="E2604" s="6"/>
      <c r="F2604" s="6"/>
    </row>
    <row r="2605" spans="1:6" x14ac:dyDescent="0.3">
      <c r="A2605" s="8" t="s">
        <v>5170</v>
      </c>
      <c r="B2605" s="8" t="s">
        <v>56209</v>
      </c>
      <c r="C2605" s="8" t="s">
        <v>5171</v>
      </c>
      <c r="D2605" s="8"/>
      <c r="E2605" s="6"/>
      <c r="F2605" s="6"/>
    </row>
    <row r="2606" spans="1:6" x14ac:dyDescent="0.3">
      <c r="A2606" s="8" t="s">
        <v>5172</v>
      </c>
      <c r="B2606" s="8" t="s">
        <v>56210</v>
      </c>
      <c r="C2606" s="8" t="s">
        <v>5173</v>
      </c>
      <c r="D2606" s="8"/>
      <c r="E2606" s="6"/>
      <c r="F2606" s="6"/>
    </row>
    <row r="2607" spans="1:6" x14ac:dyDescent="0.3">
      <c r="A2607" s="8" t="s">
        <v>5174</v>
      </c>
      <c r="B2607" s="8" t="s">
        <v>56211</v>
      </c>
      <c r="C2607" s="8" t="s">
        <v>5175</v>
      </c>
      <c r="D2607" s="8"/>
      <c r="E2607" s="6"/>
      <c r="F2607" s="6"/>
    </row>
    <row r="2608" spans="1:6" x14ac:dyDescent="0.3">
      <c r="A2608" s="8" t="s">
        <v>5176</v>
      </c>
      <c r="B2608" s="8" t="s">
        <v>56212</v>
      </c>
      <c r="C2608" s="8" t="s">
        <v>5177</v>
      </c>
      <c r="D2608" s="8"/>
      <c r="E2608" s="6"/>
      <c r="F2608" s="6"/>
    </row>
    <row r="2609" spans="1:6" x14ac:dyDescent="0.3">
      <c r="A2609" s="8" t="s">
        <v>5178</v>
      </c>
      <c r="B2609" s="8" t="s">
        <v>56213</v>
      </c>
      <c r="C2609" s="8" t="s">
        <v>5179</v>
      </c>
      <c r="D2609" s="8"/>
      <c r="E2609" s="6"/>
      <c r="F2609" s="6"/>
    </row>
    <row r="2610" spans="1:6" x14ac:dyDescent="0.3">
      <c r="A2610" s="8" t="s">
        <v>5180</v>
      </c>
      <c r="B2610" s="8" t="s">
        <v>56214</v>
      </c>
      <c r="C2610" s="8" t="s">
        <v>5181</v>
      </c>
      <c r="D2610" s="8"/>
      <c r="E2610" s="6"/>
      <c r="F2610" s="6"/>
    </row>
    <row r="2611" spans="1:6" x14ac:dyDescent="0.3">
      <c r="A2611" s="8" t="s">
        <v>5182</v>
      </c>
      <c r="B2611" s="8" t="s">
        <v>56215</v>
      </c>
      <c r="C2611" s="8" t="s">
        <v>5183</v>
      </c>
      <c r="D2611" s="8"/>
      <c r="E2611" s="6"/>
      <c r="F2611" s="6"/>
    </row>
    <row r="2612" spans="1:6" x14ac:dyDescent="0.3">
      <c r="A2612" s="8" t="s">
        <v>5184</v>
      </c>
      <c r="B2612" s="8" t="s">
        <v>56216</v>
      </c>
      <c r="C2612" s="8" t="s">
        <v>5185</v>
      </c>
      <c r="D2612" s="8"/>
      <c r="E2612" s="6"/>
      <c r="F2612" s="6"/>
    </row>
    <row r="2613" spans="1:6" x14ac:dyDescent="0.3">
      <c r="A2613" s="8" t="s">
        <v>5186</v>
      </c>
      <c r="B2613" s="8" t="s">
        <v>56217</v>
      </c>
      <c r="C2613" s="8" t="s">
        <v>5187</v>
      </c>
      <c r="D2613" s="8"/>
      <c r="E2613" s="6"/>
      <c r="F2613" s="6"/>
    </row>
    <row r="2614" spans="1:6" x14ac:dyDescent="0.3">
      <c r="A2614" s="8" t="s">
        <v>5188</v>
      </c>
      <c r="B2614" s="8" t="s">
        <v>56218</v>
      </c>
      <c r="C2614" s="8" t="s">
        <v>5189</v>
      </c>
      <c r="D2614" s="8"/>
      <c r="E2614" s="6"/>
      <c r="F2614" s="6"/>
    </row>
    <row r="2615" spans="1:6" x14ac:dyDescent="0.3">
      <c r="A2615" s="8" t="s">
        <v>5190</v>
      </c>
      <c r="B2615" s="8" t="s">
        <v>56219</v>
      </c>
      <c r="C2615" s="8" t="s">
        <v>5191</v>
      </c>
      <c r="D2615" s="8"/>
      <c r="E2615" s="6"/>
      <c r="F2615" s="6"/>
    </row>
    <row r="2616" spans="1:6" x14ac:dyDescent="0.3">
      <c r="A2616" s="8" t="s">
        <v>5192</v>
      </c>
      <c r="B2616" s="8" t="s">
        <v>56220</v>
      </c>
      <c r="C2616" s="8" t="s">
        <v>5193</v>
      </c>
      <c r="D2616" s="8"/>
      <c r="E2616" s="6"/>
      <c r="F2616" s="6"/>
    </row>
    <row r="2617" spans="1:6" x14ac:dyDescent="0.3">
      <c r="A2617" s="8" t="s">
        <v>5194</v>
      </c>
      <c r="B2617" s="8" t="s">
        <v>56221</v>
      </c>
      <c r="C2617" s="8" t="s">
        <v>5195</v>
      </c>
      <c r="D2617" s="8"/>
      <c r="E2617" s="6"/>
      <c r="F2617" s="6"/>
    </row>
    <row r="2618" spans="1:6" x14ac:dyDescent="0.3">
      <c r="A2618" s="8" t="s">
        <v>5196</v>
      </c>
      <c r="B2618" s="8" t="s">
        <v>56222</v>
      </c>
      <c r="C2618" s="8" t="s">
        <v>5197</v>
      </c>
      <c r="D2618" s="8"/>
      <c r="E2618" s="6"/>
      <c r="F2618" s="6"/>
    </row>
    <row r="2619" spans="1:6" x14ac:dyDescent="0.3">
      <c r="A2619" s="8" t="s">
        <v>5198</v>
      </c>
      <c r="B2619" s="8" t="s">
        <v>56223</v>
      </c>
      <c r="C2619" s="8" t="s">
        <v>5199</v>
      </c>
      <c r="D2619" s="8"/>
      <c r="E2619" s="6"/>
      <c r="F2619" s="6"/>
    </row>
    <row r="2620" spans="1:6" x14ac:dyDescent="0.3">
      <c r="A2620" s="8" t="s">
        <v>5200</v>
      </c>
      <c r="B2620" s="8" t="s">
        <v>56224</v>
      </c>
      <c r="C2620" s="8" t="s">
        <v>5201</v>
      </c>
      <c r="D2620" s="8"/>
      <c r="E2620" s="6"/>
      <c r="F2620" s="6"/>
    </row>
    <row r="2621" spans="1:6" x14ac:dyDescent="0.3">
      <c r="A2621" s="8" t="s">
        <v>5202</v>
      </c>
      <c r="B2621" s="8" t="s">
        <v>56225</v>
      </c>
      <c r="C2621" s="8" t="s">
        <v>5203</v>
      </c>
      <c r="D2621" s="8"/>
      <c r="E2621" s="6"/>
      <c r="F2621" s="6"/>
    </row>
    <row r="2622" spans="1:6" x14ac:dyDescent="0.3">
      <c r="A2622" s="8" t="s">
        <v>5204</v>
      </c>
      <c r="B2622" s="8" t="s">
        <v>56226</v>
      </c>
      <c r="C2622" s="8" t="s">
        <v>5205</v>
      </c>
      <c r="D2622" s="8"/>
      <c r="E2622" s="6"/>
      <c r="F2622" s="6"/>
    </row>
    <row r="2623" spans="1:6" x14ac:dyDescent="0.3">
      <c r="A2623" s="8" t="s">
        <v>5206</v>
      </c>
      <c r="B2623" s="8" t="s">
        <v>56227</v>
      </c>
      <c r="C2623" s="8" t="s">
        <v>5207</v>
      </c>
      <c r="D2623" s="8"/>
      <c r="E2623" s="6"/>
      <c r="F2623" s="6"/>
    </row>
    <row r="2624" spans="1:6" x14ac:dyDescent="0.3">
      <c r="A2624" s="8" t="s">
        <v>5208</v>
      </c>
      <c r="B2624" s="8" t="s">
        <v>56228</v>
      </c>
      <c r="C2624" s="8" t="s">
        <v>5209</v>
      </c>
      <c r="D2624" s="8"/>
      <c r="E2624" s="6"/>
      <c r="F2624" s="6"/>
    </row>
    <row r="2625" spans="1:6" x14ac:dyDescent="0.3">
      <c r="A2625" s="8" t="s">
        <v>5210</v>
      </c>
      <c r="B2625" s="8" t="s">
        <v>56229</v>
      </c>
      <c r="C2625" s="8" t="s">
        <v>5211</v>
      </c>
      <c r="D2625" s="8"/>
      <c r="E2625" s="6"/>
      <c r="F2625" s="6"/>
    </row>
    <row r="2626" spans="1:6" x14ac:dyDescent="0.3">
      <c r="A2626" s="8" t="s">
        <v>5212</v>
      </c>
      <c r="B2626" s="8" t="s">
        <v>56230</v>
      </c>
      <c r="C2626" s="8" t="s">
        <v>5213</v>
      </c>
      <c r="D2626" s="8"/>
      <c r="E2626" s="6"/>
      <c r="F2626" s="6"/>
    </row>
    <row r="2627" spans="1:6" x14ac:dyDescent="0.3">
      <c r="A2627" s="8" t="s">
        <v>5214</v>
      </c>
      <c r="B2627" s="8" t="s">
        <v>56231</v>
      </c>
      <c r="C2627" s="8" t="s">
        <v>5215</v>
      </c>
      <c r="D2627" s="8"/>
      <c r="E2627" s="6"/>
      <c r="F2627" s="6"/>
    </row>
    <row r="2628" spans="1:6" x14ac:dyDescent="0.3">
      <c r="A2628" s="8" t="s">
        <v>5216</v>
      </c>
      <c r="B2628" s="8" t="s">
        <v>56232</v>
      </c>
      <c r="C2628" s="8" t="s">
        <v>5217</v>
      </c>
      <c r="D2628" s="8"/>
      <c r="E2628" s="6"/>
      <c r="F2628" s="6"/>
    </row>
    <row r="2629" spans="1:6" x14ac:dyDescent="0.3">
      <c r="A2629" s="8" t="s">
        <v>5218</v>
      </c>
      <c r="B2629" s="8" t="s">
        <v>56233</v>
      </c>
      <c r="C2629" s="8" t="s">
        <v>5219</v>
      </c>
      <c r="D2629" s="8"/>
      <c r="E2629" s="6"/>
      <c r="F2629" s="6"/>
    </row>
    <row r="2630" spans="1:6" x14ac:dyDescent="0.3">
      <c r="A2630" s="8" t="s">
        <v>5220</v>
      </c>
      <c r="B2630" s="8" t="s">
        <v>56234</v>
      </c>
      <c r="C2630" s="8" t="s">
        <v>5221</v>
      </c>
      <c r="D2630" s="8"/>
      <c r="E2630" s="6"/>
      <c r="F2630" s="6"/>
    </row>
    <row r="2631" spans="1:6" x14ac:dyDescent="0.3">
      <c r="A2631" s="8" t="s">
        <v>5222</v>
      </c>
      <c r="B2631" s="8" t="s">
        <v>56235</v>
      </c>
      <c r="C2631" s="8" t="s">
        <v>5223</v>
      </c>
      <c r="D2631" s="8"/>
      <c r="E2631" s="6"/>
      <c r="F2631" s="6"/>
    </row>
    <row r="2632" spans="1:6" x14ac:dyDescent="0.3">
      <c r="A2632" s="8" t="s">
        <v>5224</v>
      </c>
      <c r="B2632" s="8" t="s">
        <v>56236</v>
      </c>
      <c r="C2632" s="8" t="s">
        <v>5225</v>
      </c>
      <c r="D2632" s="8"/>
      <c r="E2632" s="6"/>
      <c r="F2632" s="6"/>
    </row>
    <row r="2633" spans="1:6" x14ac:dyDescent="0.3">
      <c r="A2633" s="8" t="s">
        <v>5226</v>
      </c>
      <c r="B2633" s="8" t="s">
        <v>56237</v>
      </c>
      <c r="C2633" s="8" t="s">
        <v>5227</v>
      </c>
      <c r="D2633" s="8"/>
      <c r="E2633" s="6"/>
      <c r="F2633" s="6"/>
    </row>
    <row r="2634" spans="1:6" x14ac:dyDescent="0.3">
      <c r="A2634" s="8" t="s">
        <v>5228</v>
      </c>
      <c r="B2634" s="8" t="s">
        <v>56238</v>
      </c>
      <c r="C2634" s="8" t="s">
        <v>5229</v>
      </c>
      <c r="D2634" s="8"/>
      <c r="E2634" s="6"/>
      <c r="F2634" s="6"/>
    </row>
    <row r="2635" spans="1:6" x14ac:dyDescent="0.3">
      <c r="A2635" s="8" t="s">
        <v>5230</v>
      </c>
      <c r="B2635" s="8" t="s">
        <v>56239</v>
      </c>
      <c r="C2635" s="8" t="s">
        <v>5231</v>
      </c>
      <c r="D2635" s="8"/>
      <c r="E2635" s="6"/>
      <c r="F2635" s="6"/>
    </row>
    <row r="2636" spans="1:6" x14ac:dyDescent="0.3">
      <c r="A2636" s="8" t="s">
        <v>5232</v>
      </c>
      <c r="B2636" s="8" t="s">
        <v>56240</v>
      </c>
      <c r="C2636" s="8" t="s">
        <v>5233</v>
      </c>
      <c r="D2636" s="8"/>
      <c r="E2636" s="6"/>
      <c r="F2636" s="6"/>
    </row>
    <row r="2637" spans="1:6" x14ac:dyDescent="0.3">
      <c r="A2637" s="8" t="s">
        <v>5234</v>
      </c>
      <c r="B2637" s="8" t="s">
        <v>56241</v>
      </c>
      <c r="C2637" s="8" t="s">
        <v>5235</v>
      </c>
      <c r="D2637" s="8"/>
      <c r="E2637" s="6"/>
      <c r="F2637" s="6"/>
    </row>
    <row r="2638" spans="1:6" x14ac:dyDescent="0.3">
      <c r="A2638" s="8" t="s">
        <v>5236</v>
      </c>
      <c r="B2638" s="8" t="s">
        <v>56242</v>
      </c>
      <c r="C2638" s="8" t="s">
        <v>5237</v>
      </c>
      <c r="D2638" s="8"/>
      <c r="E2638" s="6"/>
      <c r="F2638" s="6"/>
    </row>
    <row r="2639" spans="1:6" x14ac:dyDescent="0.3">
      <c r="A2639" s="8" t="s">
        <v>5238</v>
      </c>
      <c r="B2639" s="8" t="s">
        <v>56243</v>
      </c>
      <c r="C2639" s="8" t="s">
        <v>5239</v>
      </c>
      <c r="D2639" s="8"/>
      <c r="E2639" s="6"/>
      <c r="F2639" s="6"/>
    </row>
    <row r="2640" spans="1:6" x14ac:dyDescent="0.3">
      <c r="A2640" s="8" t="s">
        <v>5240</v>
      </c>
      <c r="B2640" s="8" t="s">
        <v>56244</v>
      </c>
      <c r="C2640" s="8" t="s">
        <v>5241</v>
      </c>
      <c r="D2640" s="8"/>
      <c r="E2640" s="6"/>
      <c r="F2640" s="6"/>
    </row>
    <row r="2641" spans="1:6" x14ac:dyDescent="0.3">
      <c r="A2641" s="8" t="s">
        <v>5242</v>
      </c>
      <c r="B2641" s="8" t="s">
        <v>56245</v>
      </c>
      <c r="C2641" s="8" t="s">
        <v>5243</v>
      </c>
      <c r="D2641" s="8"/>
      <c r="E2641" s="6"/>
      <c r="F2641" s="6"/>
    </row>
    <row r="2642" spans="1:6" x14ac:dyDescent="0.3">
      <c r="A2642" s="8" t="s">
        <v>5244</v>
      </c>
      <c r="B2642" s="8" t="s">
        <v>56246</v>
      </c>
      <c r="C2642" s="8" t="s">
        <v>5245</v>
      </c>
      <c r="D2642" s="8"/>
      <c r="E2642" s="6"/>
      <c r="F2642" s="6"/>
    </row>
    <row r="2643" spans="1:6" x14ac:dyDescent="0.3">
      <c r="A2643" s="8" t="s">
        <v>5246</v>
      </c>
      <c r="B2643" s="8" t="s">
        <v>56247</v>
      </c>
      <c r="C2643" s="8" t="s">
        <v>5247</v>
      </c>
      <c r="D2643" s="8"/>
      <c r="E2643" s="6"/>
      <c r="F2643" s="6"/>
    </row>
    <row r="2644" spans="1:6" x14ac:dyDescent="0.3">
      <c r="A2644" s="8" t="s">
        <v>5248</v>
      </c>
      <c r="B2644" s="8" t="s">
        <v>56248</v>
      </c>
      <c r="C2644" s="8" t="s">
        <v>5249</v>
      </c>
      <c r="D2644" s="8"/>
      <c r="E2644" s="6"/>
      <c r="F2644" s="6"/>
    </row>
    <row r="2645" spans="1:6" x14ac:dyDescent="0.3">
      <c r="A2645" s="8" t="s">
        <v>5250</v>
      </c>
      <c r="B2645" s="8" t="s">
        <v>56249</v>
      </c>
      <c r="C2645" s="8" t="s">
        <v>5251</v>
      </c>
      <c r="D2645" s="8"/>
      <c r="E2645" s="6"/>
      <c r="F2645" s="6"/>
    </row>
    <row r="2646" spans="1:6" x14ac:dyDescent="0.3">
      <c r="A2646" s="8" t="s">
        <v>5252</v>
      </c>
      <c r="B2646" s="8" t="s">
        <v>56250</v>
      </c>
      <c r="C2646" s="8" t="s">
        <v>5253</v>
      </c>
      <c r="D2646" s="8"/>
      <c r="E2646" s="6"/>
      <c r="F2646" s="6"/>
    </row>
    <row r="2647" spans="1:6" x14ac:dyDescent="0.3">
      <c r="A2647" s="8" t="s">
        <v>5254</v>
      </c>
      <c r="B2647" s="8" t="s">
        <v>56251</v>
      </c>
      <c r="C2647" s="8" t="s">
        <v>5255</v>
      </c>
      <c r="D2647" s="8"/>
      <c r="E2647" s="6"/>
      <c r="F2647" s="6"/>
    </row>
    <row r="2648" spans="1:6" x14ac:dyDescent="0.3">
      <c r="A2648" s="8" t="s">
        <v>5256</v>
      </c>
      <c r="B2648" s="8" t="s">
        <v>56252</v>
      </c>
      <c r="C2648" s="8" t="s">
        <v>5257</v>
      </c>
      <c r="D2648" s="8"/>
      <c r="E2648" s="6"/>
      <c r="F2648" s="6"/>
    </row>
    <row r="2649" spans="1:6" x14ac:dyDescent="0.3">
      <c r="A2649" s="8" t="s">
        <v>5258</v>
      </c>
      <c r="B2649" s="8" t="s">
        <v>56253</v>
      </c>
      <c r="C2649" s="8" t="s">
        <v>5259</v>
      </c>
      <c r="D2649" s="8"/>
      <c r="E2649" s="6"/>
      <c r="F2649" s="6"/>
    </row>
    <row r="2650" spans="1:6" x14ac:dyDescent="0.3">
      <c r="A2650" s="8" t="s">
        <v>5260</v>
      </c>
      <c r="B2650" s="8" t="s">
        <v>56254</v>
      </c>
      <c r="C2650" s="8" t="s">
        <v>5261</v>
      </c>
      <c r="D2650" s="8"/>
      <c r="E2650" s="6"/>
      <c r="F2650" s="6"/>
    </row>
    <row r="2651" spans="1:6" x14ac:dyDescent="0.3">
      <c r="A2651" s="8" t="s">
        <v>5262</v>
      </c>
      <c r="B2651" s="8" t="s">
        <v>56255</v>
      </c>
      <c r="C2651" s="8" t="s">
        <v>5263</v>
      </c>
      <c r="D2651" s="8"/>
      <c r="E2651" s="6"/>
      <c r="F2651" s="6"/>
    </row>
    <row r="2652" spans="1:6" x14ac:dyDescent="0.3">
      <c r="A2652" s="8" t="s">
        <v>5264</v>
      </c>
      <c r="B2652" s="8" t="s">
        <v>56256</v>
      </c>
      <c r="C2652" s="8" t="s">
        <v>5265</v>
      </c>
      <c r="D2652" s="8"/>
      <c r="E2652" s="6"/>
      <c r="F2652" s="6"/>
    </row>
    <row r="2653" spans="1:6" x14ac:dyDescent="0.3">
      <c r="A2653" s="8" t="s">
        <v>5266</v>
      </c>
      <c r="B2653" s="8" t="s">
        <v>56257</v>
      </c>
      <c r="C2653" s="8" t="s">
        <v>5267</v>
      </c>
      <c r="D2653" s="8"/>
      <c r="E2653" s="6"/>
      <c r="F2653" s="6"/>
    </row>
    <row r="2654" spans="1:6" x14ac:dyDescent="0.3">
      <c r="A2654" s="8" t="s">
        <v>5268</v>
      </c>
      <c r="B2654" s="8" t="s">
        <v>56258</v>
      </c>
      <c r="C2654" s="8" t="s">
        <v>5269</v>
      </c>
      <c r="D2654" s="8"/>
      <c r="E2654" s="6"/>
      <c r="F2654" s="6"/>
    </row>
    <row r="2655" spans="1:6" x14ac:dyDescent="0.3">
      <c r="A2655" s="8" t="s">
        <v>5270</v>
      </c>
      <c r="B2655" s="8" t="s">
        <v>56259</v>
      </c>
      <c r="C2655" s="8" t="s">
        <v>5271</v>
      </c>
      <c r="D2655" s="8"/>
      <c r="E2655" s="6"/>
      <c r="F2655" s="6"/>
    </row>
    <row r="2656" spans="1:6" x14ac:dyDescent="0.3">
      <c r="A2656" s="8" t="s">
        <v>5272</v>
      </c>
      <c r="B2656" s="8" t="s">
        <v>56260</v>
      </c>
      <c r="C2656" s="8" t="s">
        <v>5273</v>
      </c>
      <c r="D2656" s="8"/>
      <c r="E2656" s="6"/>
      <c r="F2656" s="6"/>
    </row>
    <row r="2657" spans="1:6" x14ac:dyDescent="0.3">
      <c r="A2657" s="8" t="s">
        <v>5274</v>
      </c>
      <c r="B2657" s="8" t="s">
        <v>56261</v>
      </c>
      <c r="C2657" s="8" t="s">
        <v>5275</v>
      </c>
      <c r="D2657" s="8"/>
      <c r="E2657" s="6"/>
      <c r="F2657" s="6"/>
    </row>
    <row r="2658" spans="1:6" x14ac:dyDescent="0.3">
      <c r="A2658" s="8" t="s">
        <v>5276</v>
      </c>
      <c r="B2658" s="8" t="s">
        <v>56262</v>
      </c>
      <c r="C2658" s="8" t="s">
        <v>5277</v>
      </c>
      <c r="D2658" s="8"/>
      <c r="E2658" s="6"/>
      <c r="F2658" s="6"/>
    </row>
    <row r="2659" spans="1:6" x14ac:dyDescent="0.3">
      <c r="A2659" s="8" t="s">
        <v>5278</v>
      </c>
      <c r="B2659" s="8" t="s">
        <v>56263</v>
      </c>
      <c r="C2659" s="8" t="s">
        <v>5279</v>
      </c>
      <c r="D2659" s="8"/>
      <c r="E2659" s="6"/>
      <c r="F2659" s="6"/>
    </row>
    <row r="2660" spans="1:6" x14ac:dyDescent="0.3">
      <c r="A2660" s="8" t="s">
        <v>5280</v>
      </c>
      <c r="B2660" s="8" t="s">
        <v>56264</v>
      </c>
      <c r="C2660" s="8" t="s">
        <v>5281</v>
      </c>
      <c r="D2660" s="8"/>
      <c r="E2660" s="6"/>
      <c r="F2660" s="6"/>
    </row>
    <row r="2661" spans="1:6" x14ac:dyDescent="0.3">
      <c r="A2661" s="8" t="s">
        <v>5282</v>
      </c>
      <c r="B2661" s="8" t="s">
        <v>56265</v>
      </c>
      <c r="C2661" s="8" t="s">
        <v>5283</v>
      </c>
      <c r="D2661" s="8"/>
      <c r="E2661" s="6"/>
      <c r="F2661" s="6"/>
    </row>
    <row r="2662" spans="1:6" x14ac:dyDescent="0.3">
      <c r="A2662" s="8" t="s">
        <v>5284</v>
      </c>
      <c r="B2662" s="8" t="s">
        <v>56266</v>
      </c>
      <c r="C2662" s="8" t="s">
        <v>5285</v>
      </c>
      <c r="D2662" s="8"/>
      <c r="E2662" s="6"/>
      <c r="F2662" s="6"/>
    </row>
    <row r="2663" spans="1:6" x14ac:dyDescent="0.3">
      <c r="A2663" s="8" t="s">
        <v>5286</v>
      </c>
      <c r="B2663" s="8" t="s">
        <v>56267</v>
      </c>
      <c r="C2663" s="8" t="s">
        <v>5287</v>
      </c>
      <c r="D2663" s="8"/>
      <c r="E2663" s="6"/>
      <c r="F2663" s="6"/>
    </row>
    <row r="2664" spans="1:6" x14ac:dyDescent="0.3">
      <c r="A2664" s="8" t="s">
        <v>5288</v>
      </c>
      <c r="B2664" s="8" t="s">
        <v>56268</v>
      </c>
      <c r="C2664" s="8" t="s">
        <v>5289</v>
      </c>
      <c r="D2664" s="8"/>
      <c r="E2664" s="6"/>
      <c r="F2664" s="6"/>
    </row>
    <row r="2665" spans="1:6" x14ac:dyDescent="0.3">
      <c r="A2665" s="8" t="s">
        <v>5290</v>
      </c>
      <c r="B2665" s="8" t="s">
        <v>56269</v>
      </c>
      <c r="C2665" s="8" t="s">
        <v>5291</v>
      </c>
      <c r="D2665" s="8"/>
      <c r="E2665" s="6"/>
      <c r="F2665" s="6"/>
    </row>
    <row r="2666" spans="1:6" x14ac:dyDescent="0.3">
      <c r="A2666" s="8" t="s">
        <v>5292</v>
      </c>
      <c r="B2666" s="8" t="s">
        <v>56270</v>
      </c>
      <c r="C2666" s="8" t="s">
        <v>5293</v>
      </c>
      <c r="D2666" s="8"/>
      <c r="E2666" s="6"/>
      <c r="F2666" s="6"/>
    </row>
    <row r="2667" spans="1:6" x14ac:dyDescent="0.3">
      <c r="A2667" s="8" t="s">
        <v>5294</v>
      </c>
      <c r="B2667" s="8" t="s">
        <v>56271</v>
      </c>
      <c r="C2667" s="8" t="s">
        <v>5295</v>
      </c>
      <c r="D2667" s="8"/>
      <c r="E2667" s="6"/>
      <c r="F2667" s="6"/>
    </row>
    <row r="2668" spans="1:6" x14ac:dyDescent="0.3">
      <c r="A2668" s="8" t="s">
        <v>5296</v>
      </c>
      <c r="B2668" s="8" t="s">
        <v>56272</v>
      </c>
      <c r="C2668" s="8" t="s">
        <v>5297</v>
      </c>
      <c r="D2668" s="8"/>
      <c r="E2668" s="6"/>
      <c r="F2668" s="6"/>
    </row>
    <row r="2669" spans="1:6" x14ac:dyDescent="0.3">
      <c r="A2669" s="8" t="s">
        <v>5298</v>
      </c>
      <c r="B2669" s="8" t="s">
        <v>56273</v>
      </c>
      <c r="C2669" s="8" t="s">
        <v>5299</v>
      </c>
      <c r="D2669" s="8"/>
      <c r="E2669" s="6"/>
      <c r="F2669" s="6"/>
    </row>
    <row r="2670" spans="1:6" x14ac:dyDescent="0.3">
      <c r="A2670" s="8" t="s">
        <v>5300</v>
      </c>
      <c r="B2670" s="8" t="s">
        <v>56274</v>
      </c>
      <c r="C2670" s="8" t="s">
        <v>5301</v>
      </c>
      <c r="D2670" s="8"/>
      <c r="E2670" s="6"/>
      <c r="F2670" s="6"/>
    </row>
    <row r="2671" spans="1:6" x14ac:dyDescent="0.3">
      <c r="A2671" s="8" t="s">
        <v>5302</v>
      </c>
      <c r="B2671" s="8" t="s">
        <v>56275</v>
      </c>
      <c r="C2671" s="8" t="s">
        <v>5303</v>
      </c>
      <c r="D2671" s="8"/>
      <c r="E2671" s="6"/>
      <c r="F2671" s="6"/>
    </row>
    <row r="2672" spans="1:6" x14ac:dyDescent="0.3">
      <c r="A2672" s="8" t="s">
        <v>5304</v>
      </c>
      <c r="B2672" s="8" t="s">
        <v>56276</v>
      </c>
      <c r="C2672" s="8" t="s">
        <v>5305</v>
      </c>
      <c r="D2672" s="8"/>
      <c r="E2672" s="6"/>
      <c r="F2672" s="6"/>
    </row>
    <row r="2673" spans="1:6" x14ac:dyDescent="0.3">
      <c r="A2673" s="8" t="s">
        <v>5306</v>
      </c>
      <c r="B2673" s="8" t="s">
        <v>56277</v>
      </c>
      <c r="C2673" s="8" t="s">
        <v>5307</v>
      </c>
      <c r="D2673" s="8"/>
      <c r="E2673" s="6"/>
      <c r="F2673" s="6"/>
    </row>
    <row r="2674" spans="1:6" x14ac:dyDescent="0.3">
      <c r="A2674" s="8" t="s">
        <v>5308</v>
      </c>
      <c r="B2674" s="8" t="s">
        <v>56278</v>
      </c>
      <c r="C2674" s="8" t="s">
        <v>5309</v>
      </c>
      <c r="D2674" s="8"/>
      <c r="E2674" s="6"/>
      <c r="F2674" s="6"/>
    </row>
    <row r="2675" spans="1:6" x14ac:dyDescent="0.3">
      <c r="A2675" s="8" t="s">
        <v>5310</v>
      </c>
      <c r="B2675" s="8" t="s">
        <v>56279</v>
      </c>
      <c r="C2675" s="8" t="s">
        <v>5311</v>
      </c>
      <c r="D2675" s="8"/>
      <c r="E2675" s="6"/>
      <c r="F2675" s="6"/>
    </row>
    <row r="2676" spans="1:6" x14ac:dyDescent="0.3">
      <c r="A2676" s="8" t="s">
        <v>5312</v>
      </c>
      <c r="B2676" s="8" t="s">
        <v>56280</v>
      </c>
      <c r="C2676" s="8" t="s">
        <v>5313</v>
      </c>
      <c r="D2676" s="8"/>
      <c r="E2676" s="6"/>
      <c r="F2676" s="6"/>
    </row>
    <row r="2677" spans="1:6" x14ac:dyDescent="0.3">
      <c r="A2677" s="8" t="s">
        <v>5314</v>
      </c>
      <c r="B2677" s="8" t="s">
        <v>56281</v>
      </c>
      <c r="C2677" s="8" t="s">
        <v>5315</v>
      </c>
      <c r="D2677" s="8"/>
      <c r="E2677" s="6"/>
      <c r="F2677" s="6"/>
    </row>
    <row r="2678" spans="1:6" x14ac:dyDescent="0.3">
      <c r="A2678" s="8" t="s">
        <v>5316</v>
      </c>
      <c r="B2678" s="8" t="s">
        <v>56282</v>
      </c>
      <c r="C2678" s="8" t="s">
        <v>5317</v>
      </c>
      <c r="D2678" s="8"/>
      <c r="E2678" s="6"/>
      <c r="F2678" s="6"/>
    </row>
    <row r="2679" spans="1:6" x14ac:dyDescent="0.3">
      <c r="A2679" s="8" t="s">
        <v>5318</v>
      </c>
      <c r="B2679" s="8" t="s">
        <v>56283</v>
      </c>
      <c r="C2679" s="8" t="s">
        <v>5319</v>
      </c>
      <c r="D2679" s="8"/>
      <c r="E2679" s="6"/>
      <c r="F2679" s="6"/>
    </row>
    <row r="2680" spans="1:6" x14ac:dyDescent="0.3">
      <c r="A2680" s="8" t="s">
        <v>5320</v>
      </c>
      <c r="B2680" s="8" t="s">
        <v>56284</v>
      </c>
      <c r="C2680" s="8" t="s">
        <v>5321</v>
      </c>
      <c r="D2680" s="8"/>
      <c r="E2680" s="6"/>
      <c r="F2680" s="6"/>
    </row>
    <row r="2681" spans="1:6" x14ac:dyDescent="0.3">
      <c r="A2681" s="8" t="s">
        <v>5322</v>
      </c>
      <c r="B2681" s="8" t="s">
        <v>56285</v>
      </c>
      <c r="C2681" s="8" t="s">
        <v>5323</v>
      </c>
      <c r="D2681" s="8"/>
      <c r="E2681" s="6"/>
      <c r="F2681" s="6"/>
    </row>
    <row r="2682" spans="1:6" x14ac:dyDescent="0.3">
      <c r="A2682" s="8" t="s">
        <v>5324</v>
      </c>
      <c r="B2682" s="8" t="s">
        <v>56286</v>
      </c>
      <c r="C2682" s="8" t="s">
        <v>5325</v>
      </c>
      <c r="D2682" s="8"/>
      <c r="E2682" s="6"/>
      <c r="F2682" s="6"/>
    </row>
    <row r="2683" spans="1:6" x14ac:dyDescent="0.3">
      <c r="A2683" s="8" t="s">
        <v>5326</v>
      </c>
      <c r="B2683" s="8" t="s">
        <v>56287</v>
      </c>
      <c r="C2683" s="8" t="s">
        <v>5327</v>
      </c>
      <c r="D2683" s="8"/>
      <c r="E2683" s="6"/>
      <c r="F2683" s="6"/>
    </row>
    <row r="2684" spans="1:6" x14ac:dyDescent="0.3">
      <c r="A2684" s="8" t="s">
        <v>5328</v>
      </c>
      <c r="B2684" s="8" t="s">
        <v>56288</v>
      </c>
      <c r="C2684" s="8" t="s">
        <v>5329</v>
      </c>
      <c r="D2684" s="8"/>
      <c r="E2684" s="6"/>
      <c r="F2684" s="6"/>
    </row>
    <row r="2685" spans="1:6" x14ac:dyDescent="0.3">
      <c r="A2685" s="8" t="s">
        <v>5330</v>
      </c>
      <c r="B2685" s="8" t="s">
        <v>56289</v>
      </c>
      <c r="C2685" s="8" t="s">
        <v>5331</v>
      </c>
      <c r="D2685" s="8"/>
      <c r="E2685" s="6"/>
      <c r="F2685" s="6"/>
    </row>
    <row r="2686" spans="1:6" x14ac:dyDescent="0.3">
      <c r="A2686" s="8" t="s">
        <v>5332</v>
      </c>
      <c r="B2686" s="8" t="s">
        <v>56290</v>
      </c>
      <c r="C2686" s="8" t="s">
        <v>5333</v>
      </c>
      <c r="D2686" s="8"/>
      <c r="E2686" s="6"/>
      <c r="F2686" s="6"/>
    </row>
    <row r="2687" spans="1:6" x14ac:dyDescent="0.3">
      <c r="A2687" s="8" t="s">
        <v>5334</v>
      </c>
      <c r="B2687" s="8" t="s">
        <v>56291</v>
      </c>
      <c r="C2687" s="8" t="s">
        <v>5335</v>
      </c>
      <c r="D2687" s="8"/>
      <c r="E2687" s="6"/>
      <c r="F2687" s="6"/>
    </row>
    <row r="2688" spans="1:6" x14ac:dyDescent="0.3">
      <c r="A2688" s="8" t="s">
        <v>5336</v>
      </c>
      <c r="B2688" s="8" t="s">
        <v>56292</v>
      </c>
      <c r="C2688" s="8" t="s">
        <v>5337</v>
      </c>
      <c r="D2688" s="8"/>
      <c r="E2688" s="6"/>
      <c r="F2688" s="6"/>
    </row>
    <row r="2689" spans="1:6" x14ac:dyDescent="0.3">
      <c r="A2689" s="8" t="s">
        <v>5338</v>
      </c>
      <c r="B2689" s="8" t="s">
        <v>56293</v>
      </c>
      <c r="C2689" s="8" t="s">
        <v>5339</v>
      </c>
      <c r="D2689" s="8"/>
      <c r="E2689" s="6"/>
      <c r="F2689" s="6"/>
    </row>
    <row r="2690" spans="1:6" x14ac:dyDescent="0.3">
      <c r="A2690" s="8" t="s">
        <v>5340</v>
      </c>
      <c r="B2690" s="8" t="s">
        <v>56294</v>
      </c>
      <c r="C2690" s="8" t="s">
        <v>5341</v>
      </c>
      <c r="D2690" s="8"/>
      <c r="E2690" s="6"/>
      <c r="F2690" s="6"/>
    </row>
    <row r="2691" spans="1:6" x14ac:dyDescent="0.3">
      <c r="A2691" s="8" t="s">
        <v>5342</v>
      </c>
      <c r="B2691" s="8" t="s">
        <v>56295</v>
      </c>
      <c r="C2691" s="8" t="s">
        <v>5343</v>
      </c>
      <c r="D2691" s="8"/>
      <c r="E2691" s="6"/>
      <c r="F2691" s="6"/>
    </row>
    <row r="2692" spans="1:6" x14ac:dyDescent="0.3">
      <c r="A2692" s="8" t="s">
        <v>5344</v>
      </c>
      <c r="B2692" s="8" t="s">
        <v>56296</v>
      </c>
      <c r="C2692" s="8" t="s">
        <v>5345</v>
      </c>
      <c r="D2692" s="8"/>
      <c r="E2692" s="6"/>
      <c r="F2692" s="6"/>
    </row>
    <row r="2693" spans="1:6" x14ac:dyDescent="0.3">
      <c r="A2693" s="8" t="s">
        <v>5346</v>
      </c>
      <c r="B2693" s="8" t="s">
        <v>56297</v>
      </c>
      <c r="C2693" s="8" t="s">
        <v>5347</v>
      </c>
      <c r="D2693" s="8"/>
      <c r="E2693" s="6"/>
      <c r="F2693" s="6"/>
    </row>
    <row r="2694" spans="1:6" x14ac:dyDescent="0.3">
      <c r="A2694" s="8" t="s">
        <v>5348</v>
      </c>
      <c r="B2694" s="8" t="s">
        <v>56298</v>
      </c>
      <c r="C2694" s="8" t="s">
        <v>5349</v>
      </c>
      <c r="D2694" s="8"/>
      <c r="E2694" s="6"/>
      <c r="F2694" s="6"/>
    </row>
    <row r="2695" spans="1:6" x14ac:dyDescent="0.3">
      <c r="A2695" s="8" t="s">
        <v>5350</v>
      </c>
      <c r="B2695" s="8" t="s">
        <v>56299</v>
      </c>
      <c r="C2695" s="8" t="s">
        <v>5351</v>
      </c>
      <c r="D2695" s="8"/>
      <c r="E2695" s="6"/>
      <c r="F2695" s="6"/>
    </row>
    <row r="2696" spans="1:6" x14ac:dyDescent="0.3">
      <c r="A2696" s="8" t="s">
        <v>5352</v>
      </c>
      <c r="B2696" s="8" t="s">
        <v>56300</v>
      </c>
      <c r="C2696" s="8" t="s">
        <v>5353</v>
      </c>
      <c r="D2696" s="8"/>
      <c r="E2696" s="6"/>
      <c r="F2696" s="6"/>
    </row>
    <row r="2697" spans="1:6" x14ac:dyDescent="0.3">
      <c r="A2697" s="8" t="s">
        <v>5354</v>
      </c>
      <c r="B2697" s="8" t="s">
        <v>56301</v>
      </c>
      <c r="C2697" s="8" t="s">
        <v>5355</v>
      </c>
      <c r="D2697" s="8"/>
      <c r="E2697" s="6"/>
      <c r="F2697" s="6"/>
    </row>
    <row r="2698" spans="1:6" x14ac:dyDescent="0.3">
      <c r="A2698" s="8" t="s">
        <v>5356</v>
      </c>
      <c r="B2698" s="8" t="s">
        <v>56302</v>
      </c>
      <c r="C2698" s="8" t="s">
        <v>5357</v>
      </c>
      <c r="D2698" s="8"/>
      <c r="E2698" s="6"/>
      <c r="F2698" s="6"/>
    </row>
    <row r="2699" spans="1:6" x14ac:dyDescent="0.3">
      <c r="A2699" s="8" t="s">
        <v>5358</v>
      </c>
      <c r="B2699" s="8" t="s">
        <v>56303</v>
      </c>
      <c r="C2699" s="8" t="s">
        <v>5359</v>
      </c>
      <c r="D2699" s="8"/>
      <c r="E2699" s="6"/>
      <c r="F2699" s="6"/>
    </row>
    <row r="2700" spans="1:6" x14ac:dyDescent="0.3">
      <c r="A2700" s="8" t="s">
        <v>5360</v>
      </c>
      <c r="B2700" s="8" t="s">
        <v>56304</v>
      </c>
      <c r="C2700" s="8" t="s">
        <v>5361</v>
      </c>
      <c r="D2700" s="8"/>
      <c r="E2700" s="6"/>
      <c r="F2700" s="6"/>
    </row>
    <row r="2701" spans="1:6" x14ac:dyDescent="0.3">
      <c r="A2701" s="8" t="s">
        <v>5362</v>
      </c>
      <c r="B2701" s="8" t="s">
        <v>56305</v>
      </c>
      <c r="C2701" s="8" t="s">
        <v>5363</v>
      </c>
      <c r="D2701" s="8"/>
      <c r="E2701" s="6"/>
      <c r="F2701" s="6"/>
    </row>
    <row r="2702" spans="1:6" x14ac:dyDescent="0.3">
      <c r="A2702" s="8" t="s">
        <v>5364</v>
      </c>
      <c r="B2702" s="8" t="s">
        <v>56306</v>
      </c>
      <c r="C2702" s="8" t="s">
        <v>5365</v>
      </c>
      <c r="D2702" s="8"/>
      <c r="E2702" s="6"/>
      <c r="F2702" s="6"/>
    </row>
    <row r="2703" spans="1:6" x14ac:dyDescent="0.3">
      <c r="A2703" s="8" t="s">
        <v>5366</v>
      </c>
      <c r="B2703" s="8" t="s">
        <v>56307</v>
      </c>
      <c r="C2703" s="8" t="s">
        <v>5367</v>
      </c>
      <c r="D2703" s="8"/>
      <c r="E2703" s="6"/>
      <c r="F2703" s="6"/>
    </row>
    <row r="2704" spans="1:6" x14ac:dyDescent="0.3">
      <c r="A2704" s="8" t="s">
        <v>5368</v>
      </c>
      <c r="B2704" s="8" t="s">
        <v>56308</v>
      </c>
      <c r="C2704" s="8" t="s">
        <v>5369</v>
      </c>
      <c r="D2704" s="8"/>
      <c r="E2704" s="6"/>
      <c r="F2704" s="6"/>
    </row>
    <row r="2705" spans="1:6" x14ac:dyDescent="0.3">
      <c r="A2705" s="8" t="s">
        <v>5370</v>
      </c>
      <c r="B2705" s="8" t="s">
        <v>56309</v>
      </c>
      <c r="C2705" s="8" t="s">
        <v>5371</v>
      </c>
      <c r="D2705" s="8"/>
      <c r="E2705" s="6"/>
      <c r="F2705" s="6"/>
    </row>
    <row r="2706" spans="1:6" x14ac:dyDescent="0.3">
      <c r="A2706" s="8" t="s">
        <v>5372</v>
      </c>
      <c r="B2706" s="8" t="s">
        <v>56310</v>
      </c>
      <c r="C2706" s="8" t="s">
        <v>5373</v>
      </c>
      <c r="D2706" s="8"/>
      <c r="E2706" s="6"/>
      <c r="F2706" s="6"/>
    </row>
    <row r="2707" spans="1:6" x14ac:dyDescent="0.3">
      <c r="A2707" s="8" t="s">
        <v>5374</v>
      </c>
      <c r="B2707" s="8" t="s">
        <v>56311</v>
      </c>
      <c r="C2707" s="8" t="s">
        <v>5375</v>
      </c>
      <c r="D2707" s="8"/>
      <c r="E2707" s="6"/>
      <c r="F2707" s="6"/>
    </row>
    <row r="2708" spans="1:6" x14ac:dyDescent="0.3">
      <c r="A2708" s="8" t="s">
        <v>5376</v>
      </c>
      <c r="B2708" s="8" t="s">
        <v>56312</v>
      </c>
      <c r="C2708" s="8" t="s">
        <v>5377</v>
      </c>
      <c r="D2708" s="8"/>
      <c r="E2708" s="6"/>
      <c r="F2708" s="6"/>
    </row>
    <row r="2709" spans="1:6" x14ac:dyDescent="0.3">
      <c r="A2709" s="8" t="s">
        <v>5378</v>
      </c>
      <c r="B2709" s="8" t="s">
        <v>56313</v>
      </c>
      <c r="C2709" s="8" t="s">
        <v>5379</v>
      </c>
      <c r="D2709" s="8"/>
      <c r="E2709" s="6"/>
      <c r="F2709" s="6"/>
    </row>
    <row r="2710" spans="1:6" x14ac:dyDescent="0.3">
      <c r="A2710" s="8" t="s">
        <v>5380</v>
      </c>
      <c r="B2710" s="8" t="s">
        <v>56314</v>
      </c>
      <c r="C2710" s="8" t="s">
        <v>5381</v>
      </c>
      <c r="D2710" s="8"/>
      <c r="E2710" s="6"/>
      <c r="F2710" s="6"/>
    </row>
    <row r="2711" spans="1:6" x14ac:dyDescent="0.3">
      <c r="A2711" s="8" t="s">
        <v>5382</v>
      </c>
      <c r="B2711" s="8" t="s">
        <v>56315</v>
      </c>
      <c r="C2711" s="8" t="s">
        <v>5383</v>
      </c>
      <c r="D2711" s="8"/>
      <c r="E2711" s="6"/>
      <c r="F2711" s="6"/>
    </row>
    <row r="2712" spans="1:6" x14ac:dyDescent="0.3">
      <c r="A2712" s="8" t="s">
        <v>5384</v>
      </c>
      <c r="B2712" s="8" t="s">
        <v>56316</v>
      </c>
      <c r="C2712" s="8" t="s">
        <v>5385</v>
      </c>
      <c r="D2712" s="8"/>
      <c r="E2712" s="6"/>
      <c r="F2712" s="6"/>
    </row>
    <row r="2713" spans="1:6" x14ac:dyDescent="0.3">
      <c r="A2713" s="8" t="s">
        <v>5386</v>
      </c>
      <c r="B2713" s="8" t="s">
        <v>56317</v>
      </c>
      <c r="C2713" s="8" t="s">
        <v>5387</v>
      </c>
      <c r="D2713" s="8"/>
      <c r="E2713" s="6"/>
      <c r="F2713" s="6"/>
    </row>
    <row r="2714" spans="1:6" x14ac:dyDescent="0.3">
      <c r="A2714" s="8" t="s">
        <v>5388</v>
      </c>
      <c r="B2714" s="8" t="s">
        <v>56318</v>
      </c>
      <c r="C2714" s="8" t="s">
        <v>5389</v>
      </c>
      <c r="D2714" s="8"/>
      <c r="E2714" s="6"/>
      <c r="F2714" s="6"/>
    </row>
    <row r="2715" spans="1:6" x14ac:dyDescent="0.3">
      <c r="A2715" s="8" t="s">
        <v>5390</v>
      </c>
      <c r="B2715" s="8" t="s">
        <v>56319</v>
      </c>
      <c r="C2715" s="8" t="s">
        <v>5391</v>
      </c>
      <c r="D2715" s="8"/>
      <c r="E2715" s="6"/>
      <c r="F2715" s="6"/>
    </row>
    <row r="2716" spans="1:6" x14ac:dyDescent="0.3">
      <c r="A2716" s="8" t="s">
        <v>5392</v>
      </c>
      <c r="B2716" s="8" t="s">
        <v>56320</v>
      </c>
      <c r="C2716" s="8" t="s">
        <v>5393</v>
      </c>
      <c r="D2716" s="8"/>
      <c r="E2716" s="6"/>
      <c r="F2716" s="6"/>
    </row>
    <row r="2717" spans="1:6" x14ac:dyDescent="0.3">
      <c r="A2717" s="8" t="s">
        <v>5394</v>
      </c>
      <c r="B2717" s="8" t="s">
        <v>56321</v>
      </c>
      <c r="C2717" s="8" t="s">
        <v>5395</v>
      </c>
      <c r="D2717" s="8"/>
      <c r="E2717" s="6"/>
      <c r="F2717" s="6"/>
    </row>
    <row r="2718" spans="1:6" x14ac:dyDescent="0.3">
      <c r="A2718" s="8" t="s">
        <v>5396</v>
      </c>
      <c r="B2718" s="8" t="s">
        <v>56322</v>
      </c>
      <c r="C2718" s="8" t="s">
        <v>5397</v>
      </c>
      <c r="D2718" s="8"/>
      <c r="E2718" s="6"/>
      <c r="F2718" s="6"/>
    </row>
    <row r="2719" spans="1:6" x14ac:dyDescent="0.3">
      <c r="A2719" s="8" t="s">
        <v>5398</v>
      </c>
      <c r="B2719" s="8" t="s">
        <v>56323</v>
      </c>
      <c r="C2719" s="8" t="s">
        <v>5399</v>
      </c>
      <c r="D2719" s="8"/>
      <c r="E2719" s="6"/>
      <c r="F2719" s="6"/>
    </row>
    <row r="2720" spans="1:6" x14ac:dyDescent="0.3">
      <c r="A2720" s="8" t="s">
        <v>5400</v>
      </c>
      <c r="B2720" s="8" t="s">
        <v>56324</v>
      </c>
      <c r="C2720" s="8" t="s">
        <v>5401</v>
      </c>
      <c r="D2720" s="8"/>
      <c r="E2720" s="6"/>
      <c r="F2720" s="6"/>
    </row>
    <row r="2721" spans="1:6" x14ac:dyDescent="0.3">
      <c r="A2721" s="8" t="s">
        <v>5402</v>
      </c>
      <c r="B2721" s="8" t="s">
        <v>56325</v>
      </c>
      <c r="C2721" s="8" t="s">
        <v>5403</v>
      </c>
      <c r="D2721" s="8"/>
      <c r="E2721" s="6"/>
      <c r="F2721" s="6"/>
    </row>
    <row r="2722" spans="1:6" x14ac:dyDescent="0.3">
      <c r="A2722" s="8" t="s">
        <v>5404</v>
      </c>
      <c r="B2722" s="8" t="s">
        <v>56326</v>
      </c>
      <c r="C2722" s="8" t="s">
        <v>5405</v>
      </c>
      <c r="D2722" s="8"/>
      <c r="E2722" s="6"/>
      <c r="F2722" s="6"/>
    </row>
    <row r="2723" spans="1:6" x14ac:dyDescent="0.3">
      <c r="A2723" s="8" t="s">
        <v>5406</v>
      </c>
      <c r="B2723" s="8" t="s">
        <v>56327</v>
      </c>
      <c r="C2723" s="8" t="s">
        <v>5407</v>
      </c>
      <c r="D2723" s="8"/>
      <c r="E2723" s="6"/>
      <c r="F2723" s="6"/>
    </row>
    <row r="2724" spans="1:6" x14ac:dyDescent="0.3">
      <c r="A2724" s="8" t="s">
        <v>5408</v>
      </c>
      <c r="B2724" s="8" t="s">
        <v>56328</v>
      </c>
      <c r="C2724" s="8" t="s">
        <v>5409</v>
      </c>
      <c r="D2724" s="8"/>
      <c r="E2724" s="6"/>
      <c r="F2724" s="6"/>
    </row>
    <row r="2725" spans="1:6" x14ac:dyDescent="0.3">
      <c r="A2725" s="8" t="s">
        <v>5410</v>
      </c>
      <c r="B2725" s="8" t="s">
        <v>56329</v>
      </c>
      <c r="C2725" s="8" t="s">
        <v>5411</v>
      </c>
      <c r="D2725" s="8"/>
      <c r="E2725" s="6"/>
      <c r="F2725" s="6"/>
    </row>
    <row r="2726" spans="1:6" x14ac:dyDescent="0.3">
      <c r="A2726" s="8" t="s">
        <v>5412</v>
      </c>
      <c r="B2726" s="8" t="s">
        <v>56330</v>
      </c>
      <c r="C2726" s="8" t="s">
        <v>5413</v>
      </c>
      <c r="D2726" s="8"/>
      <c r="E2726" s="6"/>
      <c r="F2726" s="6"/>
    </row>
    <row r="2727" spans="1:6" ht="28.8" x14ac:dyDescent="0.3">
      <c r="A2727" s="8" t="s">
        <v>5414</v>
      </c>
      <c r="B2727" s="8" t="s">
        <v>56331</v>
      </c>
      <c r="C2727" s="8" t="s">
        <v>5415</v>
      </c>
      <c r="D2727" s="8"/>
      <c r="E2727" s="6"/>
      <c r="F2727" s="6"/>
    </row>
    <row r="2728" spans="1:6" x14ac:dyDescent="0.3">
      <c r="A2728" s="8" t="s">
        <v>5416</v>
      </c>
      <c r="B2728" s="8" t="s">
        <v>56332</v>
      </c>
      <c r="C2728" s="8" t="s">
        <v>5417</v>
      </c>
      <c r="D2728" s="8"/>
      <c r="E2728" s="6"/>
      <c r="F2728" s="6"/>
    </row>
    <row r="2729" spans="1:6" x14ac:dyDescent="0.3">
      <c r="A2729" s="8" t="s">
        <v>5418</v>
      </c>
      <c r="B2729" s="8" t="s">
        <v>56333</v>
      </c>
      <c r="C2729" s="8" t="s">
        <v>5419</v>
      </c>
      <c r="D2729" s="8"/>
      <c r="E2729" s="6"/>
      <c r="F2729" s="6"/>
    </row>
    <row r="2730" spans="1:6" x14ac:dyDescent="0.3">
      <c r="A2730" s="8" t="s">
        <v>5420</v>
      </c>
      <c r="B2730" s="8" t="s">
        <v>56334</v>
      </c>
      <c r="C2730" s="8" t="s">
        <v>5421</v>
      </c>
      <c r="D2730" s="8"/>
      <c r="E2730" s="6"/>
      <c r="F2730" s="6"/>
    </row>
    <row r="2731" spans="1:6" x14ac:dyDescent="0.3">
      <c r="A2731" s="8" t="s">
        <v>5422</v>
      </c>
      <c r="B2731" s="8" t="s">
        <v>56335</v>
      </c>
      <c r="C2731" s="8" t="s">
        <v>5423</v>
      </c>
      <c r="D2731" s="8"/>
      <c r="E2731" s="6"/>
      <c r="F2731" s="6"/>
    </row>
    <row r="2732" spans="1:6" x14ac:dyDescent="0.3">
      <c r="A2732" s="8" t="s">
        <v>5424</v>
      </c>
      <c r="B2732" s="8" t="s">
        <v>56336</v>
      </c>
      <c r="C2732" s="8" t="s">
        <v>5425</v>
      </c>
      <c r="D2732" s="8"/>
      <c r="E2732" s="6"/>
      <c r="F2732" s="6"/>
    </row>
    <row r="2733" spans="1:6" x14ac:dyDescent="0.3">
      <c r="A2733" s="8" t="s">
        <v>5426</v>
      </c>
      <c r="B2733" s="8" t="s">
        <v>56337</v>
      </c>
      <c r="C2733" s="8" t="s">
        <v>5427</v>
      </c>
      <c r="D2733" s="8"/>
      <c r="E2733" s="6"/>
      <c r="F2733" s="6"/>
    </row>
    <row r="2734" spans="1:6" x14ac:dyDescent="0.3">
      <c r="A2734" s="8" t="s">
        <v>5428</v>
      </c>
      <c r="B2734" s="8" t="s">
        <v>56338</v>
      </c>
      <c r="C2734" s="8" t="s">
        <v>5429</v>
      </c>
      <c r="D2734" s="8"/>
      <c r="E2734" s="6"/>
      <c r="F2734" s="6"/>
    </row>
    <row r="2735" spans="1:6" x14ac:dyDescent="0.3">
      <c r="A2735" s="8" t="s">
        <v>5430</v>
      </c>
      <c r="B2735" s="8" t="s">
        <v>56339</v>
      </c>
      <c r="C2735" s="8" t="s">
        <v>5431</v>
      </c>
      <c r="D2735" s="8"/>
      <c r="E2735" s="6"/>
      <c r="F2735" s="6"/>
    </row>
    <row r="2736" spans="1:6" x14ac:dyDescent="0.3">
      <c r="A2736" s="8" t="s">
        <v>5432</v>
      </c>
      <c r="B2736" s="8" t="s">
        <v>56340</v>
      </c>
      <c r="C2736" s="8" t="s">
        <v>5433</v>
      </c>
      <c r="D2736" s="8"/>
      <c r="E2736" s="6"/>
      <c r="F2736" s="6"/>
    </row>
    <row r="2737" spans="1:6" x14ac:dyDescent="0.3">
      <c r="A2737" s="8" t="s">
        <v>5434</v>
      </c>
      <c r="B2737" s="8" t="s">
        <v>56341</v>
      </c>
      <c r="C2737" s="8" t="s">
        <v>5435</v>
      </c>
      <c r="D2737" s="8"/>
      <c r="E2737" s="6"/>
      <c r="F2737" s="6"/>
    </row>
    <row r="2738" spans="1:6" x14ac:dyDescent="0.3">
      <c r="A2738" s="8" t="s">
        <v>5436</v>
      </c>
      <c r="B2738" s="8" t="s">
        <v>56342</v>
      </c>
      <c r="C2738" s="8" t="s">
        <v>5437</v>
      </c>
      <c r="D2738" s="8"/>
      <c r="E2738" s="6"/>
      <c r="F2738" s="6"/>
    </row>
    <row r="2739" spans="1:6" x14ac:dyDescent="0.3">
      <c r="A2739" s="8" t="s">
        <v>5438</v>
      </c>
      <c r="B2739" s="8" t="s">
        <v>56343</v>
      </c>
      <c r="C2739" s="8" t="s">
        <v>5439</v>
      </c>
      <c r="D2739" s="8"/>
      <c r="E2739" s="6"/>
      <c r="F2739" s="6"/>
    </row>
    <row r="2740" spans="1:6" x14ac:dyDescent="0.3">
      <c r="A2740" s="8" t="s">
        <v>5440</v>
      </c>
      <c r="B2740" s="8" t="s">
        <v>56344</v>
      </c>
      <c r="C2740" s="8" t="s">
        <v>5441</v>
      </c>
      <c r="D2740" s="8"/>
      <c r="E2740" s="6"/>
      <c r="F2740" s="6"/>
    </row>
    <row r="2741" spans="1:6" x14ac:dyDescent="0.3">
      <c r="A2741" s="8" t="s">
        <v>5442</v>
      </c>
      <c r="B2741" s="8" t="s">
        <v>56345</v>
      </c>
      <c r="C2741" s="8" t="s">
        <v>5443</v>
      </c>
      <c r="D2741" s="8"/>
      <c r="E2741" s="6"/>
      <c r="F2741" s="6"/>
    </row>
    <row r="2742" spans="1:6" x14ac:dyDescent="0.3">
      <c r="A2742" s="8" t="s">
        <v>5444</v>
      </c>
      <c r="B2742" s="8" t="s">
        <v>56346</v>
      </c>
      <c r="C2742" s="8" t="s">
        <v>5445</v>
      </c>
      <c r="D2742" s="8"/>
      <c r="E2742" s="6"/>
      <c r="F2742" s="6"/>
    </row>
    <row r="2743" spans="1:6" x14ac:dyDescent="0.3">
      <c r="A2743" s="8" t="s">
        <v>5446</v>
      </c>
      <c r="B2743" s="8" t="s">
        <v>56347</v>
      </c>
      <c r="C2743" s="8" t="s">
        <v>5447</v>
      </c>
      <c r="D2743" s="8"/>
      <c r="E2743" s="6"/>
      <c r="F2743" s="6"/>
    </row>
    <row r="2744" spans="1:6" x14ac:dyDescent="0.3">
      <c r="A2744" s="8" t="s">
        <v>5448</v>
      </c>
      <c r="B2744" s="8" t="s">
        <v>56348</v>
      </c>
      <c r="C2744" s="8" t="s">
        <v>5449</v>
      </c>
      <c r="D2744" s="8"/>
      <c r="E2744" s="6"/>
      <c r="F2744" s="6"/>
    </row>
    <row r="2745" spans="1:6" x14ac:dyDescent="0.3">
      <c r="A2745" s="8" t="s">
        <v>5450</v>
      </c>
      <c r="B2745" s="8" t="s">
        <v>56349</v>
      </c>
      <c r="C2745" s="8" t="s">
        <v>5451</v>
      </c>
      <c r="D2745" s="8"/>
      <c r="E2745" s="6"/>
      <c r="F2745" s="6"/>
    </row>
    <row r="2746" spans="1:6" x14ac:dyDescent="0.3">
      <c r="A2746" s="8" t="s">
        <v>5452</v>
      </c>
      <c r="B2746" s="8" t="s">
        <v>56350</v>
      </c>
      <c r="C2746" s="8" t="s">
        <v>5453</v>
      </c>
      <c r="D2746" s="8"/>
      <c r="E2746" s="6"/>
      <c r="F2746" s="6"/>
    </row>
    <row r="2747" spans="1:6" x14ac:dyDescent="0.3">
      <c r="A2747" s="8" t="s">
        <v>5454</v>
      </c>
      <c r="B2747" s="8" t="s">
        <v>56351</v>
      </c>
      <c r="C2747" s="8" t="s">
        <v>5455</v>
      </c>
      <c r="D2747" s="8"/>
      <c r="E2747" s="6"/>
      <c r="F2747" s="6"/>
    </row>
    <row r="2748" spans="1:6" x14ac:dyDescent="0.3">
      <c r="A2748" s="8" t="s">
        <v>5456</v>
      </c>
      <c r="B2748" s="8" t="s">
        <v>56352</v>
      </c>
      <c r="C2748" s="8" t="s">
        <v>5457</v>
      </c>
      <c r="D2748" s="8"/>
      <c r="E2748" s="6"/>
      <c r="F2748" s="6"/>
    </row>
    <row r="2749" spans="1:6" x14ac:dyDescent="0.3">
      <c r="A2749" s="8" t="s">
        <v>5458</v>
      </c>
      <c r="B2749" s="8" t="s">
        <v>56353</v>
      </c>
      <c r="C2749" s="8" t="s">
        <v>5459</v>
      </c>
      <c r="D2749" s="8"/>
      <c r="E2749" s="6"/>
      <c r="F2749" s="6"/>
    </row>
    <row r="2750" spans="1:6" x14ac:dyDescent="0.3">
      <c r="A2750" s="8" t="s">
        <v>5460</v>
      </c>
      <c r="B2750" s="8" t="s">
        <v>56354</v>
      </c>
      <c r="C2750" s="8" t="s">
        <v>5461</v>
      </c>
      <c r="D2750" s="8"/>
      <c r="E2750" s="6"/>
      <c r="F2750" s="6"/>
    </row>
    <row r="2751" spans="1:6" x14ac:dyDescent="0.3">
      <c r="A2751" s="8" t="s">
        <v>5462</v>
      </c>
      <c r="B2751" s="8" t="s">
        <v>56355</v>
      </c>
      <c r="C2751" s="8" t="s">
        <v>5463</v>
      </c>
      <c r="D2751" s="8"/>
      <c r="E2751" s="6"/>
      <c r="F2751" s="6"/>
    </row>
    <row r="2752" spans="1:6" x14ac:dyDescent="0.3">
      <c r="A2752" s="8" t="s">
        <v>5464</v>
      </c>
      <c r="B2752" s="8" t="s">
        <v>56356</v>
      </c>
      <c r="C2752" s="8" t="s">
        <v>5465</v>
      </c>
      <c r="D2752" s="8"/>
      <c r="E2752" s="6"/>
      <c r="F2752" s="6"/>
    </row>
    <row r="2753" spans="1:6" x14ac:dyDescent="0.3">
      <c r="A2753" s="8" t="s">
        <v>5466</v>
      </c>
      <c r="B2753" s="8" t="s">
        <v>56357</v>
      </c>
      <c r="C2753" s="8" t="s">
        <v>5467</v>
      </c>
      <c r="D2753" s="8"/>
      <c r="E2753" s="6"/>
      <c r="F2753" s="6"/>
    </row>
    <row r="2754" spans="1:6" x14ac:dyDescent="0.3">
      <c r="A2754" s="8" t="s">
        <v>5468</v>
      </c>
      <c r="B2754" s="8" t="s">
        <v>56358</v>
      </c>
      <c r="C2754" s="8" t="s">
        <v>5469</v>
      </c>
      <c r="D2754" s="8"/>
      <c r="E2754" s="6"/>
      <c r="F2754" s="6"/>
    </row>
    <row r="2755" spans="1:6" x14ac:dyDescent="0.3">
      <c r="A2755" s="8" t="s">
        <v>5470</v>
      </c>
      <c r="B2755" s="8" t="s">
        <v>56359</v>
      </c>
      <c r="C2755" s="8" t="s">
        <v>5471</v>
      </c>
      <c r="D2755" s="8"/>
      <c r="E2755" s="6"/>
      <c r="F2755" s="6"/>
    </row>
    <row r="2756" spans="1:6" x14ac:dyDescent="0.3">
      <c r="A2756" s="8" t="s">
        <v>5472</v>
      </c>
      <c r="B2756" s="8" t="s">
        <v>56360</v>
      </c>
      <c r="C2756" s="8" t="s">
        <v>5473</v>
      </c>
      <c r="D2756" s="8"/>
      <c r="E2756" s="6"/>
      <c r="F2756" s="6"/>
    </row>
    <row r="2757" spans="1:6" x14ac:dyDescent="0.3">
      <c r="A2757" s="8" t="s">
        <v>5474</v>
      </c>
      <c r="B2757" s="8" t="s">
        <v>56361</v>
      </c>
      <c r="C2757" s="8" t="s">
        <v>5475</v>
      </c>
      <c r="D2757" s="8"/>
      <c r="E2757" s="6"/>
      <c r="F2757" s="6"/>
    </row>
    <row r="2758" spans="1:6" x14ac:dyDescent="0.3">
      <c r="A2758" s="8" t="s">
        <v>5476</v>
      </c>
      <c r="B2758" s="8" t="s">
        <v>56362</v>
      </c>
      <c r="C2758" s="8" t="s">
        <v>5477</v>
      </c>
      <c r="D2758" s="8"/>
      <c r="E2758" s="6"/>
      <c r="F2758" s="6"/>
    </row>
    <row r="2759" spans="1:6" x14ac:dyDescent="0.3">
      <c r="A2759" s="8" t="s">
        <v>5478</v>
      </c>
      <c r="B2759" s="8" t="s">
        <v>56363</v>
      </c>
      <c r="C2759" s="8" t="s">
        <v>5479</v>
      </c>
      <c r="D2759" s="8"/>
      <c r="E2759" s="6"/>
      <c r="F2759" s="6"/>
    </row>
    <row r="2760" spans="1:6" x14ac:dyDescent="0.3">
      <c r="A2760" s="8" t="s">
        <v>5480</v>
      </c>
      <c r="B2760" s="8" t="s">
        <v>56364</v>
      </c>
      <c r="C2760" s="8" t="s">
        <v>5481</v>
      </c>
      <c r="D2760" s="8"/>
      <c r="E2760" s="6"/>
      <c r="F2760" s="6"/>
    </row>
    <row r="2761" spans="1:6" x14ac:dyDescent="0.3">
      <c r="A2761" s="8" t="s">
        <v>5482</v>
      </c>
      <c r="B2761" s="8" t="s">
        <v>56365</v>
      </c>
      <c r="C2761" s="8" t="s">
        <v>5483</v>
      </c>
      <c r="D2761" s="8"/>
      <c r="E2761" s="6"/>
      <c r="F2761" s="6"/>
    </row>
    <row r="2762" spans="1:6" x14ac:dyDescent="0.3">
      <c r="A2762" s="8" t="s">
        <v>5484</v>
      </c>
      <c r="B2762" s="8" t="s">
        <v>56366</v>
      </c>
      <c r="C2762" s="8" t="s">
        <v>5485</v>
      </c>
      <c r="D2762" s="8"/>
      <c r="E2762" s="6"/>
      <c r="F2762" s="6"/>
    </row>
    <row r="2763" spans="1:6" x14ac:dyDescent="0.3">
      <c r="A2763" s="8" t="s">
        <v>5486</v>
      </c>
      <c r="B2763" s="8" t="s">
        <v>56367</v>
      </c>
      <c r="C2763" s="8" t="s">
        <v>5487</v>
      </c>
      <c r="D2763" s="8"/>
      <c r="E2763" s="6"/>
      <c r="F2763" s="6"/>
    </row>
    <row r="2764" spans="1:6" x14ac:dyDescent="0.3">
      <c r="A2764" s="8" t="s">
        <v>5488</v>
      </c>
      <c r="B2764" s="8" t="s">
        <v>56368</v>
      </c>
      <c r="C2764" s="8" t="s">
        <v>5489</v>
      </c>
      <c r="D2764" s="8"/>
      <c r="E2764" s="6"/>
      <c r="F2764" s="6"/>
    </row>
    <row r="2765" spans="1:6" x14ac:dyDescent="0.3">
      <c r="A2765" s="8" t="s">
        <v>5490</v>
      </c>
      <c r="B2765" s="8" t="s">
        <v>56369</v>
      </c>
      <c r="C2765" s="8" t="s">
        <v>5491</v>
      </c>
      <c r="D2765" s="8"/>
      <c r="E2765" s="6"/>
      <c r="F2765" s="6"/>
    </row>
    <row r="2766" spans="1:6" x14ac:dyDescent="0.3">
      <c r="A2766" s="8" t="s">
        <v>5492</v>
      </c>
      <c r="B2766" s="8" t="s">
        <v>56370</v>
      </c>
      <c r="C2766" s="8" t="s">
        <v>5493</v>
      </c>
      <c r="D2766" s="8"/>
      <c r="E2766" s="6"/>
      <c r="F2766" s="6"/>
    </row>
    <row r="2767" spans="1:6" x14ac:dyDescent="0.3">
      <c r="A2767" s="8" t="s">
        <v>5494</v>
      </c>
      <c r="B2767" s="8" t="s">
        <v>56371</v>
      </c>
      <c r="C2767" s="8" t="s">
        <v>5495</v>
      </c>
      <c r="D2767" s="8"/>
      <c r="E2767" s="6"/>
      <c r="F2767" s="6"/>
    </row>
    <row r="2768" spans="1:6" x14ac:dyDescent="0.3">
      <c r="A2768" s="8" t="s">
        <v>5496</v>
      </c>
      <c r="B2768" s="8" t="s">
        <v>56372</v>
      </c>
      <c r="C2768" s="8" t="s">
        <v>5497</v>
      </c>
      <c r="D2768" s="8"/>
      <c r="E2768" s="6"/>
      <c r="F2768" s="6"/>
    </row>
    <row r="2769" spans="1:6" x14ac:dyDescent="0.3">
      <c r="A2769" s="8" t="s">
        <v>5498</v>
      </c>
      <c r="B2769" s="8" t="s">
        <v>56373</v>
      </c>
      <c r="C2769" s="8" t="s">
        <v>5499</v>
      </c>
      <c r="D2769" s="8"/>
      <c r="E2769" s="6"/>
      <c r="F2769" s="6"/>
    </row>
    <row r="2770" spans="1:6" x14ac:dyDescent="0.3">
      <c r="A2770" s="8" t="s">
        <v>5500</v>
      </c>
      <c r="B2770" s="8" t="s">
        <v>56374</v>
      </c>
      <c r="C2770" s="8" t="s">
        <v>5501</v>
      </c>
      <c r="D2770" s="8"/>
      <c r="E2770" s="6"/>
      <c r="F2770" s="6"/>
    </row>
    <row r="2771" spans="1:6" x14ac:dyDescent="0.3">
      <c r="A2771" s="8" t="s">
        <v>5502</v>
      </c>
      <c r="B2771" s="8" t="s">
        <v>56375</v>
      </c>
      <c r="C2771" s="8" t="s">
        <v>5503</v>
      </c>
      <c r="D2771" s="8"/>
      <c r="E2771" s="6"/>
      <c r="F2771" s="6"/>
    </row>
    <row r="2772" spans="1:6" x14ac:dyDescent="0.3">
      <c r="A2772" s="8" t="s">
        <v>5504</v>
      </c>
      <c r="B2772" s="8" t="s">
        <v>56376</v>
      </c>
      <c r="C2772" s="8" t="s">
        <v>5505</v>
      </c>
      <c r="D2772" s="8"/>
      <c r="E2772" s="6"/>
      <c r="F2772" s="6"/>
    </row>
    <row r="2773" spans="1:6" x14ac:dyDescent="0.3">
      <c r="A2773" s="8" t="s">
        <v>5506</v>
      </c>
      <c r="B2773" s="8" t="s">
        <v>56377</v>
      </c>
      <c r="C2773" s="8" t="s">
        <v>5507</v>
      </c>
      <c r="D2773" s="8"/>
      <c r="E2773" s="6"/>
      <c r="F2773" s="6"/>
    </row>
    <row r="2774" spans="1:6" x14ac:dyDescent="0.3">
      <c r="A2774" s="8" t="s">
        <v>5508</v>
      </c>
      <c r="B2774" s="8" t="s">
        <v>56378</v>
      </c>
      <c r="C2774" s="8" t="s">
        <v>5509</v>
      </c>
      <c r="D2774" s="8"/>
      <c r="E2774" s="6"/>
      <c r="F2774" s="6"/>
    </row>
    <row r="2775" spans="1:6" x14ac:dyDescent="0.3">
      <c r="A2775" s="8" t="s">
        <v>5510</v>
      </c>
      <c r="B2775" s="8" t="s">
        <v>56379</v>
      </c>
      <c r="C2775" s="8" t="s">
        <v>5511</v>
      </c>
      <c r="D2775" s="8"/>
      <c r="E2775" s="6"/>
      <c r="F2775" s="6"/>
    </row>
    <row r="2776" spans="1:6" x14ac:dyDescent="0.3">
      <c r="A2776" s="8" t="s">
        <v>5512</v>
      </c>
      <c r="B2776" s="8" t="s">
        <v>56380</v>
      </c>
      <c r="C2776" s="8" t="s">
        <v>5513</v>
      </c>
      <c r="D2776" s="8"/>
      <c r="E2776" s="6"/>
      <c r="F2776" s="6"/>
    </row>
    <row r="2777" spans="1:6" x14ac:dyDescent="0.3">
      <c r="A2777" s="8" t="s">
        <v>5514</v>
      </c>
      <c r="B2777" s="8" t="s">
        <v>56381</v>
      </c>
      <c r="C2777" s="8" t="s">
        <v>5515</v>
      </c>
      <c r="D2777" s="8"/>
      <c r="E2777" s="6"/>
      <c r="F2777" s="6"/>
    </row>
    <row r="2778" spans="1:6" x14ac:dyDescent="0.3">
      <c r="A2778" s="8" t="s">
        <v>5516</v>
      </c>
      <c r="B2778" s="8" t="s">
        <v>56382</v>
      </c>
      <c r="C2778" s="8" t="s">
        <v>5517</v>
      </c>
      <c r="D2778" s="8"/>
      <c r="E2778" s="6"/>
      <c r="F2778" s="6"/>
    </row>
    <row r="2779" spans="1:6" x14ac:dyDescent="0.3">
      <c r="A2779" s="8" t="s">
        <v>5518</v>
      </c>
      <c r="B2779" s="8" t="s">
        <v>56383</v>
      </c>
      <c r="C2779" s="8" t="s">
        <v>5519</v>
      </c>
      <c r="D2779" s="8"/>
      <c r="E2779" s="6"/>
      <c r="F2779" s="6"/>
    </row>
    <row r="2780" spans="1:6" x14ac:dyDescent="0.3">
      <c r="A2780" s="8" t="s">
        <v>5520</v>
      </c>
      <c r="B2780" s="8" t="s">
        <v>56384</v>
      </c>
      <c r="C2780" s="8" t="s">
        <v>5521</v>
      </c>
      <c r="D2780" s="8"/>
      <c r="E2780" s="6"/>
      <c r="F2780" s="6"/>
    </row>
    <row r="2781" spans="1:6" x14ac:dyDescent="0.3">
      <c r="A2781" s="8" t="s">
        <v>5522</v>
      </c>
      <c r="B2781" s="8" t="s">
        <v>56385</v>
      </c>
      <c r="C2781" s="8" t="s">
        <v>5523</v>
      </c>
      <c r="D2781" s="8"/>
      <c r="E2781" s="6"/>
      <c r="F2781" s="6"/>
    </row>
    <row r="2782" spans="1:6" x14ac:dyDescent="0.3">
      <c r="A2782" s="8" t="s">
        <v>5524</v>
      </c>
      <c r="B2782" s="8" t="s">
        <v>56386</v>
      </c>
      <c r="C2782" s="8" t="s">
        <v>5525</v>
      </c>
      <c r="D2782" s="8"/>
      <c r="E2782" s="6"/>
      <c r="F2782" s="6"/>
    </row>
    <row r="2783" spans="1:6" x14ac:dyDescent="0.3">
      <c r="A2783" s="8" t="s">
        <v>5526</v>
      </c>
      <c r="B2783" s="8" t="s">
        <v>56387</v>
      </c>
      <c r="C2783" s="8" t="s">
        <v>5527</v>
      </c>
      <c r="D2783" s="8"/>
      <c r="E2783" s="6"/>
      <c r="F2783" s="6"/>
    </row>
    <row r="2784" spans="1:6" x14ac:dyDescent="0.3">
      <c r="A2784" s="8" t="s">
        <v>5528</v>
      </c>
      <c r="B2784" s="8" t="s">
        <v>56388</v>
      </c>
      <c r="C2784" s="8" t="s">
        <v>5529</v>
      </c>
      <c r="D2784" s="8"/>
      <c r="E2784" s="6"/>
      <c r="F2784" s="6"/>
    </row>
    <row r="2785" spans="1:6" x14ac:dyDescent="0.3">
      <c r="A2785" s="8" t="s">
        <v>5530</v>
      </c>
      <c r="B2785" s="8" t="s">
        <v>56389</v>
      </c>
      <c r="C2785" s="8" t="s">
        <v>5531</v>
      </c>
      <c r="D2785" s="8"/>
      <c r="E2785" s="6"/>
      <c r="F2785" s="6"/>
    </row>
    <row r="2786" spans="1:6" x14ac:dyDescent="0.3">
      <c r="A2786" s="8" t="s">
        <v>5532</v>
      </c>
      <c r="B2786" s="8" t="s">
        <v>56390</v>
      </c>
      <c r="C2786" s="8" t="s">
        <v>5533</v>
      </c>
      <c r="D2786" s="8"/>
      <c r="E2786" s="6"/>
      <c r="F2786" s="6"/>
    </row>
    <row r="2787" spans="1:6" x14ac:dyDescent="0.3">
      <c r="A2787" s="8" t="s">
        <v>5534</v>
      </c>
      <c r="B2787" s="8" t="s">
        <v>56391</v>
      </c>
      <c r="C2787" s="8" t="s">
        <v>5535</v>
      </c>
      <c r="D2787" s="8"/>
      <c r="E2787" s="6"/>
      <c r="F2787" s="6"/>
    </row>
    <row r="2788" spans="1:6" x14ac:dyDescent="0.3">
      <c r="A2788" s="8" t="s">
        <v>5536</v>
      </c>
      <c r="B2788" s="8" t="s">
        <v>56392</v>
      </c>
      <c r="C2788" s="8" t="s">
        <v>5537</v>
      </c>
      <c r="D2788" s="8"/>
      <c r="E2788" s="6"/>
      <c r="F2788" s="6"/>
    </row>
    <row r="2789" spans="1:6" x14ac:dyDescent="0.3">
      <c r="A2789" s="8" t="s">
        <v>5538</v>
      </c>
      <c r="B2789" s="8" t="s">
        <v>56393</v>
      </c>
      <c r="C2789" s="8" t="s">
        <v>5539</v>
      </c>
      <c r="D2789" s="8"/>
      <c r="E2789" s="6"/>
      <c r="F2789" s="6"/>
    </row>
    <row r="2790" spans="1:6" x14ac:dyDescent="0.3">
      <c r="A2790" s="8" t="s">
        <v>5540</v>
      </c>
      <c r="B2790" s="8" t="s">
        <v>56394</v>
      </c>
      <c r="C2790" s="8" t="s">
        <v>5541</v>
      </c>
      <c r="D2790" s="8"/>
      <c r="E2790" s="6"/>
      <c r="F2790" s="6"/>
    </row>
    <row r="2791" spans="1:6" x14ac:dyDescent="0.3">
      <c r="A2791" s="8" t="s">
        <v>5542</v>
      </c>
      <c r="B2791" s="8" t="s">
        <v>56395</v>
      </c>
      <c r="C2791" s="8" t="s">
        <v>5543</v>
      </c>
      <c r="D2791" s="8"/>
      <c r="E2791" s="6"/>
      <c r="F2791" s="6"/>
    </row>
    <row r="2792" spans="1:6" x14ac:dyDescent="0.3">
      <c r="A2792" s="8" t="s">
        <v>5544</v>
      </c>
      <c r="B2792" s="8" t="s">
        <v>56396</v>
      </c>
      <c r="C2792" s="8" t="s">
        <v>5545</v>
      </c>
      <c r="D2792" s="8"/>
      <c r="E2792" s="6"/>
      <c r="F2792" s="6"/>
    </row>
    <row r="2793" spans="1:6" x14ac:dyDescent="0.3">
      <c r="A2793" s="8" t="s">
        <v>5546</v>
      </c>
      <c r="B2793" s="8" t="s">
        <v>56397</v>
      </c>
      <c r="C2793" s="8" t="s">
        <v>5547</v>
      </c>
      <c r="D2793" s="8"/>
      <c r="E2793" s="6"/>
      <c r="F2793" s="6"/>
    </row>
    <row r="2794" spans="1:6" x14ac:dyDescent="0.3">
      <c r="A2794" s="8" t="s">
        <v>5548</v>
      </c>
      <c r="B2794" s="8" t="s">
        <v>56398</v>
      </c>
      <c r="C2794" s="8" t="s">
        <v>5549</v>
      </c>
      <c r="D2794" s="8"/>
      <c r="E2794" s="6"/>
      <c r="F2794" s="6"/>
    </row>
    <row r="2795" spans="1:6" x14ac:dyDescent="0.3">
      <c r="A2795" s="8" t="s">
        <v>5550</v>
      </c>
      <c r="B2795" s="8" t="s">
        <v>56399</v>
      </c>
      <c r="C2795" s="8" t="s">
        <v>5551</v>
      </c>
      <c r="D2795" s="8"/>
      <c r="E2795" s="6"/>
      <c r="F2795" s="6"/>
    </row>
    <row r="2796" spans="1:6" x14ac:dyDescent="0.3">
      <c r="A2796" s="8" t="s">
        <v>5552</v>
      </c>
      <c r="B2796" s="8" t="s">
        <v>56400</v>
      </c>
      <c r="C2796" s="8" t="s">
        <v>5553</v>
      </c>
      <c r="D2796" s="8"/>
      <c r="E2796" s="6"/>
      <c r="F2796" s="6"/>
    </row>
    <row r="2797" spans="1:6" x14ac:dyDescent="0.3">
      <c r="A2797" s="8" t="s">
        <v>5554</v>
      </c>
      <c r="B2797" s="8" t="s">
        <v>56401</v>
      </c>
      <c r="C2797" s="8" t="s">
        <v>5555</v>
      </c>
      <c r="D2797" s="8"/>
      <c r="E2797" s="6"/>
      <c r="F2797" s="6"/>
    </row>
    <row r="2798" spans="1:6" x14ac:dyDescent="0.3">
      <c r="A2798" s="8" t="s">
        <v>5556</v>
      </c>
      <c r="B2798" s="8" t="s">
        <v>56402</v>
      </c>
      <c r="C2798" s="8" t="s">
        <v>5557</v>
      </c>
      <c r="D2798" s="8"/>
      <c r="E2798" s="6"/>
      <c r="F2798" s="6"/>
    </row>
    <row r="2799" spans="1:6" x14ac:dyDescent="0.3">
      <c r="A2799" s="8" t="s">
        <v>5558</v>
      </c>
      <c r="B2799" s="8" t="s">
        <v>56403</v>
      </c>
      <c r="C2799" s="8" t="s">
        <v>5559</v>
      </c>
      <c r="D2799" s="8"/>
      <c r="E2799" s="6"/>
      <c r="F2799" s="6"/>
    </row>
    <row r="2800" spans="1:6" x14ac:dyDescent="0.3">
      <c r="A2800" s="8" t="s">
        <v>5560</v>
      </c>
      <c r="B2800" s="8" t="s">
        <v>56404</v>
      </c>
      <c r="C2800" s="8" t="s">
        <v>5561</v>
      </c>
      <c r="D2800" s="8"/>
      <c r="E2800" s="6"/>
      <c r="F2800" s="6"/>
    </row>
    <row r="2801" spans="1:6" x14ac:dyDescent="0.3">
      <c r="A2801" s="8" t="s">
        <v>5562</v>
      </c>
      <c r="B2801" s="8" t="s">
        <v>56405</v>
      </c>
      <c r="C2801" s="8" t="s">
        <v>5563</v>
      </c>
      <c r="D2801" s="8"/>
      <c r="E2801" s="6"/>
      <c r="F2801" s="6"/>
    </row>
    <row r="2802" spans="1:6" x14ac:dyDescent="0.3">
      <c r="A2802" s="8" t="s">
        <v>5564</v>
      </c>
      <c r="B2802" s="8" t="s">
        <v>56406</v>
      </c>
      <c r="C2802" s="8" t="s">
        <v>5565</v>
      </c>
      <c r="D2802" s="8"/>
      <c r="E2802" s="6"/>
      <c r="F2802" s="6"/>
    </row>
    <row r="2803" spans="1:6" x14ac:dyDescent="0.3">
      <c r="A2803" s="8" t="s">
        <v>5566</v>
      </c>
      <c r="B2803" s="8" t="s">
        <v>56407</v>
      </c>
      <c r="C2803" s="8" t="s">
        <v>5567</v>
      </c>
      <c r="D2803" s="8"/>
      <c r="E2803" s="6"/>
      <c r="F2803" s="6"/>
    </row>
    <row r="2804" spans="1:6" x14ac:dyDescent="0.3">
      <c r="A2804" s="8" t="s">
        <v>5568</v>
      </c>
      <c r="B2804" s="8" t="s">
        <v>56408</v>
      </c>
      <c r="C2804" s="8" t="s">
        <v>5569</v>
      </c>
      <c r="D2804" s="8"/>
      <c r="E2804" s="6"/>
      <c r="F2804" s="6"/>
    </row>
    <row r="2805" spans="1:6" x14ac:dyDescent="0.3">
      <c r="A2805" s="8" t="s">
        <v>5570</v>
      </c>
      <c r="B2805" s="8" t="s">
        <v>56409</v>
      </c>
      <c r="C2805" s="8" t="s">
        <v>5571</v>
      </c>
      <c r="D2805" s="8"/>
      <c r="E2805" s="6"/>
      <c r="F2805" s="6"/>
    </row>
    <row r="2806" spans="1:6" x14ac:dyDescent="0.3">
      <c r="A2806" s="8" t="s">
        <v>5572</v>
      </c>
      <c r="B2806" s="8" t="s">
        <v>56410</v>
      </c>
      <c r="C2806" s="8" t="s">
        <v>5573</v>
      </c>
      <c r="D2806" s="8"/>
      <c r="E2806" s="6"/>
      <c r="F2806" s="6"/>
    </row>
    <row r="2807" spans="1:6" x14ac:dyDescent="0.3">
      <c r="A2807" s="8" t="s">
        <v>5574</v>
      </c>
      <c r="B2807" s="8" t="s">
        <v>56411</v>
      </c>
      <c r="C2807" s="8" t="s">
        <v>5575</v>
      </c>
      <c r="D2807" s="8"/>
      <c r="E2807" s="6"/>
      <c r="F2807" s="6"/>
    </row>
    <row r="2808" spans="1:6" x14ac:dyDescent="0.3">
      <c r="A2808" s="8" t="s">
        <v>5576</v>
      </c>
      <c r="B2808" s="8" t="s">
        <v>56412</v>
      </c>
      <c r="C2808" s="8" t="s">
        <v>5577</v>
      </c>
      <c r="D2808" s="8"/>
      <c r="E2808" s="6"/>
      <c r="F2808" s="6"/>
    </row>
    <row r="2809" spans="1:6" x14ac:dyDescent="0.3">
      <c r="A2809" s="8" t="s">
        <v>5578</v>
      </c>
      <c r="B2809" s="8" t="s">
        <v>56413</v>
      </c>
      <c r="C2809" s="8" t="s">
        <v>5579</v>
      </c>
      <c r="D2809" s="8"/>
      <c r="E2809" s="6"/>
      <c r="F2809" s="6"/>
    </row>
    <row r="2810" spans="1:6" x14ac:dyDescent="0.3">
      <c r="A2810" s="8" t="s">
        <v>5580</v>
      </c>
      <c r="B2810" s="8" t="s">
        <v>56414</v>
      </c>
      <c r="C2810" s="8" t="s">
        <v>5581</v>
      </c>
      <c r="D2810" s="8"/>
      <c r="E2810" s="6"/>
      <c r="F2810" s="6"/>
    </row>
    <row r="2811" spans="1:6" x14ac:dyDescent="0.3">
      <c r="A2811" s="8" t="s">
        <v>5582</v>
      </c>
      <c r="B2811" s="8" t="s">
        <v>56415</v>
      </c>
      <c r="C2811" s="8" t="s">
        <v>5583</v>
      </c>
      <c r="D2811" s="8"/>
      <c r="E2811" s="6"/>
      <c r="F2811" s="6"/>
    </row>
    <row r="2812" spans="1:6" x14ac:dyDescent="0.3">
      <c r="A2812" s="8" t="s">
        <v>5584</v>
      </c>
      <c r="B2812" s="8" t="s">
        <v>56416</v>
      </c>
      <c r="C2812" s="8" t="s">
        <v>5585</v>
      </c>
      <c r="D2812" s="8"/>
      <c r="E2812" s="6"/>
      <c r="F2812" s="6"/>
    </row>
    <row r="2813" spans="1:6" x14ac:dyDescent="0.3">
      <c r="A2813" s="8" t="s">
        <v>5586</v>
      </c>
      <c r="B2813" s="8" t="s">
        <v>56417</v>
      </c>
      <c r="C2813" s="8" t="s">
        <v>5587</v>
      </c>
      <c r="D2813" s="8"/>
      <c r="E2813" s="6"/>
      <c r="F2813" s="6"/>
    </row>
    <row r="2814" spans="1:6" x14ac:dyDescent="0.3">
      <c r="A2814" s="8" t="s">
        <v>5588</v>
      </c>
      <c r="B2814" s="8" t="s">
        <v>56418</v>
      </c>
      <c r="C2814" s="8" t="s">
        <v>5589</v>
      </c>
      <c r="D2814" s="8"/>
      <c r="E2814" s="6"/>
      <c r="F2814" s="6"/>
    </row>
    <row r="2815" spans="1:6" x14ac:dyDescent="0.3">
      <c r="A2815" s="8" t="s">
        <v>5590</v>
      </c>
      <c r="B2815" s="8" t="s">
        <v>56419</v>
      </c>
      <c r="C2815" s="8" t="s">
        <v>5591</v>
      </c>
      <c r="D2815" s="8"/>
      <c r="E2815" s="6"/>
      <c r="F2815" s="6"/>
    </row>
    <row r="2816" spans="1:6" x14ac:dyDescent="0.3">
      <c r="A2816" s="8" t="s">
        <v>5592</v>
      </c>
      <c r="B2816" s="8" t="s">
        <v>56420</v>
      </c>
      <c r="C2816" s="8" t="s">
        <v>5593</v>
      </c>
      <c r="D2816" s="8"/>
      <c r="E2816" s="6"/>
      <c r="F2816" s="6"/>
    </row>
    <row r="2817" spans="1:6" x14ac:dyDescent="0.3">
      <c r="A2817" s="8" t="s">
        <v>5594</v>
      </c>
      <c r="B2817" s="8" t="s">
        <v>56421</v>
      </c>
      <c r="C2817" s="8" t="s">
        <v>5595</v>
      </c>
      <c r="D2817" s="8"/>
      <c r="E2817" s="6"/>
      <c r="F2817" s="6"/>
    </row>
    <row r="2818" spans="1:6" x14ac:dyDescent="0.3">
      <c r="A2818" s="8" t="s">
        <v>5596</v>
      </c>
      <c r="B2818" s="8" t="s">
        <v>56422</v>
      </c>
      <c r="C2818" s="8" t="s">
        <v>5597</v>
      </c>
      <c r="D2818" s="8"/>
      <c r="E2818" s="6"/>
      <c r="F2818" s="6"/>
    </row>
    <row r="2819" spans="1:6" x14ac:dyDescent="0.3">
      <c r="A2819" s="8" t="s">
        <v>5598</v>
      </c>
      <c r="B2819" s="8" t="s">
        <v>56423</v>
      </c>
      <c r="C2819" s="8" t="s">
        <v>5599</v>
      </c>
      <c r="D2819" s="8"/>
      <c r="E2819" s="6"/>
      <c r="F2819" s="6"/>
    </row>
    <row r="2820" spans="1:6" x14ac:dyDescent="0.3">
      <c r="A2820" s="8" t="s">
        <v>5600</v>
      </c>
      <c r="B2820" s="8" t="s">
        <v>56424</v>
      </c>
      <c r="C2820" s="8" t="s">
        <v>5601</v>
      </c>
      <c r="D2820" s="8"/>
      <c r="E2820" s="6"/>
      <c r="F2820" s="6"/>
    </row>
    <row r="2821" spans="1:6" x14ac:dyDescent="0.3">
      <c r="A2821" s="8" t="s">
        <v>5602</v>
      </c>
      <c r="B2821" s="8" t="s">
        <v>56425</v>
      </c>
      <c r="C2821" s="8" t="s">
        <v>5603</v>
      </c>
      <c r="D2821" s="8"/>
      <c r="E2821" s="6"/>
      <c r="F2821" s="6"/>
    </row>
    <row r="2822" spans="1:6" x14ac:dyDescent="0.3">
      <c r="A2822" s="8" t="s">
        <v>5604</v>
      </c>
      <c r="B2822" s="8" t="s">
        <v>56426</v>
      </c>
      <c r="C2822" s="8" t="s">
        <v>5605</v>
      </c>
      <c r="D2822" s="8"/>
      <c r="E2822" s="6"/>
      <c r="F2822" s="6"/>
    </row>
    <row r="2823" spans="1:6" x14ac:dyDescent="0.3">
      <c r="A2823" s="8" t="s">
        <v>5606</v>
      </c>
      <c r="B2823" s="8" t="s">
        <v>56427</v>
      </c>
      <c r="C2823" s="8" t="s">
        <v>5607</v>
      </c>
      <c r="D2823" s="8"/>
      <c r="E2823" s="6"/>
      <c r="F2823" s="6"/>
    </row>
    <row r="2824" spans="1:6" x14ac:dyDescent="0.3">
      <c r="A2824" s="8" t="s">
        <v>5608</v>
      </c>
      <c r="B2824" s="8" t="s">
        <v>56428</v>
      </c>
      <c r="C2824" s="8" t="s">
        <v>5609</v>
      </c>
      <c r="D2824" s="8"/>
      <c r="E2824" s="6"/>
      <c r="F2824" s="6"/>
    </row>
    <row r="2825" spans="1:6" x14ac:dyDescent="0.3">
      <c r="A2825" s="8" t="s">
        <v>5610</v>
      </c>
      <c r="B2825" s="8" t="s">
        <v>56429</v>
      </c>
      <c r="C2825" s="8" t="s">
        <v>5611</v>
      </c>
      <c r="D2825" s="8"/>
      <c r="E2825" s="6"/>
      <c r="F2825" s="6"/>
    </row>
    <row r="2826" spans="1:6" x14ac:dyDescent="0.3">
      <c r="A2826" s="8" t="s">
        <v>5612</v>
      </c>
      <c r="B2826" s="8" t="s">
        <v>56430</v>
      </c>
      <c r="C2826" s="8" t="s">
        <v>5613</v>
      </c>
      <c r="D2826" s="8"/>
      <c r="E2826" s="6"/>
      <c r="F2826" s="6"/>
    </row>
    <row r="2827" spans="1:6" x14ac:dyDescent="0.3">
      <c r="A2827" s="8" t="s">
        <v>5614</v>
      </c>
      <c r="B2827" s="8" t="s">
        <v>56431</v>
      </c>
      <c r="C2827" s="8" t="s">
        <v>5615</v>
      </c>
      <c r="D2827" s="8"/>
      <c r="E2827" s="6"/>
      <c r="F2827" s="6"/>
    </row>
    <row r="2828" spans="1:6" x14ac:dyDescent="0.3">
      <c r="A2828" s="8" t="s">
        <v>5616</v>
      </c>
      <c r="B2828" s="8" t="s">
        <v>56432</v>
      </c>
      <c r="C2828" s="8" t="s">
        <v>5617</v>
      </c>
      <c r="D2828" s="8"/>
      <c r="E2828" s="6"/>
      <c r="F2828" s="6"/>
    </row>
    <row r="2829" spans="1:6" x14ac:dyDescent="0.3">
      <c r="A2829" s="8" t="s">
        <v>5618</v>
      </c>
      <c r="B2829" s="8" t="s">
        <v>56433</v>
      </c>
      <c r="C2829" s="8" t="s">
        <v>5619</v>
      </c>
      <c r="D2829" s="8"/>
      <c r="E2829" s="6"/>
      <c r="F2829" s="6"/>
    </row>
    <row r="2830" spans="1:6" x14ac:dyDescent="0.3">
      <c r="A2830" s="8" t="s">
        <v>5620</v>
      </c>
      <c r="B2830" s="8" t="s">
        <v>56434</v>
      </c>
      <c r="C2830" s="8" t="s">
        <v>5621</v>
      </c>
      <c r="D2830" s="8"/>
      <c r="E2830" s="6"/>
      <c r="F2830" s="6"/>
    </row>
    <row r="2831" spans="1:6" x14ac:dyDescent="0.3">
      <c r="A2831" s="8" t="s">
        <v>5622</v>
      </c>
      <c r="B2831" s="8" t="s">
        <v>56435</v>
      </c>
      <c r="C2831" s="8" t="s">
        <v>5623</v>
      </c>
      <c r="D2831" s="8"/>
      <c r="E2831" s="6"/>
      <c r="F2831" s="6"/>
    </row>
    <row r="2832" spans="1:6" x14ac:dyDescent="0.3">
      <c r="A2832" s="8" t="s">
        <v>5624</v>
      </c>
      <c r="B2832" s="8" t="s">
        <v>56436</v>
      </c>
      <c r="C2832" s="8" t="s">
        <v>5625</v>
      </c>
      <c r="D2832" s="8"/>
      <c r="E2832" s="6"/>
      <c r="F2832" s="6"/>
    </row>
    <row r="2833" spans="1:6" x14ac:dyDescent="0.3">
      <c r="A2833" s="8" t="s">
        <v>5626</v>
      </c>
      <c r="B2833" s="8" t="s">
        <v>56437</v>
      </c>
      <c r="C2833" s="8" t="s">
        <v>5627</v>
      </c>
      <c r="D2833" s="8"/>
      <c r="E2833" s="6"/>
      <c r="F2833" s="6"/>
    </row>
    <row r="2834" spans="1:6" x14ac:dyDescent="0.3">
      <c r="A2834" s="8" t="s">
        <v>5628</v>
      </c>
      <c r="B2834" s="8" t="s">
        <v>56438</v>
      </c>
      <c r="C2834" s="8" t="s">
        <v>5629</v>
      </c>
      <c r="D2834" s="8"/>
      <c r="E2834" s="6"/>
      <c r="F2834" s="6"/>
    </row>
    <row r="2835" spans="1:6" x14ac:dyDescent="0.3">
      <c r="A2835" s="8" t="s">
        <v>5630</v>
      </c>
      <c r="B2835" s="8" t="s">
        <v>56439</v>
      </c>
      <c r="C2835" s="8" t="s">
        <v>5631</v>
      </c>
      <c r="D2835" s="8"/>
      <c r="E2835" s="6"/>
      <c r="F2835" s="6"/>
    </row>
    <row r="2836" spans="1:6" x14ac:dyDescent="0.3">
      <c r="A2836" s="8" t="s">
        <v>5632</v>
      </c>
      <c r="B2836" s="8" t="s">
        <v>56440</v>
      </c>
      <c r="C2836" s="8" t="s">
        <v>5633</v>
      </c>
      <c r="D2836" s="8"/>
      <c r="E2836" s="6"/>
      <c r="F2836" s="6"/>
    </row>
    <row r="2837" spans="1:6" x14ac:dyDescent="0.3">
      <c r="A2837" s="8" t="s">
        <v>5634</v>
      </c>
      <c r="B2837" s="8" t="s">
        <v>56441</v>
      </c>
      <c r="C2837" s="8" t="s">
        <v>5635</v>
      </c>
      <c r="D2837" s="8"/>
      <c r="E2837" s="6"/>
      <c r="F2837" s="6"/>
    </row>
    <row r="2838" spans="1:6" ht="28.8" x14ac:dyDescent="0.3">
      <c r="A2838" s="8" t="s">
        <v>5636</v>
      </c>
      <c r="B2838" s="8" t="s">
        <v>56442</v>
      </c>
      <c r="C2838" s="8" t="s">
        <v>5637</v>
      </c>
      <c r="D2838" s="8"/>
      <c r="E2838" s="6"/>
      <c r="F2838" s="6"/>
    </row>
    <row r="2839" spans="1:6" ht="28.8" x14ac:dyDescent="0.3">
      <c r="A2839" s="8" t="s">
        <v>5638</v>
      </c>
      <c r="B2839" s="8" t="s">
        <v>56443</v>
      </c>
      <c r="C2839" s="8" t="s">
        <v>5639</v>
      </c>
      <c r="D2839" s="8"/>
      <c r="E2839" s="6"/>
      <c r="F2839" s="6"/>
    </row>
    <row r="2840" spans="1:6" ht="28.8" x14ac:dyDescent="0.3">
      <c r="A2840" s="8" t="s">
        <v>5640</v>
      </c>
      <c r="B2840" s="8" t="s">
        <v>56444</v>
      </c>
      <c r="C2840" s="8" t="s">
        <v>5641</v>
      </c>
      <c r="D2840" s="8"/>
      <c r="E2840" s="6"/>
      <c r="F2840" s="6"/>
    </row>
    <row r="2841" spans="1:6" x14ac:dyDescent="0.3">
      <c r="A2841" s="8" t="s">
        <v>5642</v>
      </c>
      <c r="B2841" s="8" t="s">
        <v>56445</v>
      </c>
      <c r="C2841" s="8" t="s">
        <v>5643</v>
      </c>
      <c r="D2841" s="8"/>
      <c r="E2841" s="6"/>
      <c r="F2841" s="6"/>
    </row>
    <row r="2842" spans="1:6" ht="28.8" x14ac:dyDescent="0.3">
      <c r="A2842" s="8" t="s">
        <v>5644</v>
      </c>
      <c r="B2842" s="8" t="s">
        <v>56446</v>
      </c>
      <c r="C2842" s="8" t="s">
        <v>5645</v>
      </c>
      <c r="D2842" s="8"/>
      <c r="E2842" s="6"/>
      <c r="F2842" s="6"/>
    </row>
    <row r="2843" spans="1:6" ht="28.8" x14ac:dyDescent="0.3">
      <c r="A2843" s="8" t="s">
        <v>5646</v>
      </c>
      <c r="B2843" s="8" t="s">
        <v>56447</v>
      </c>
      <c r="C2843" s="8" t="s">
        <v>5647</v>
      </c>
      <c r="D2843" s="8"/>
      <c r="E2843" s="6"/>
      <c r="F2843" s="6"/>
    </row>
    <row r="2844" spans="1:6" x14ac:dyDescent="0.3">
      <c r="A2844" s="8" t="s">
        <v>5648</v>
      </c>
      <c r="B2844" s="8" t="s">
        <v>56448</v>
      </c>
      <c r="C2844" s="8" t="s">
        <v>5649</v>
      </c>
      <c r="D2844" s="8"/>
      <c r="E2844" s="6"/>
      <c r="F2844" s="6"/>
    </row>
    <row r="2845" spans="1:6" ht="28.8" x14ac:dyDescent="0.3">
      <c r="A2845" s="8" t="s">
        <v>5650</v>
      </c>
      <c r="B2845" s="8" t="s">
        <v>56449</v>
      </c>
      <c r="C2845" s="8" t="s">
        <v>5651</v>
      </c>
      <c r="D2845" s="8"/>
      <c r="E2845" s="6"/>
      <c r="F2845" s="6"/>
    </row>
    <row r="2846" spans="1:6" x14ac:dyDescent="0.3">
      <c r="A2846" s="8" t="s">
        <v>5652</v>
      </c>
      <c r="B2846" s="8" t="s">
        <v>56450</v>
      </c>
      <c r="C2846" s="8" t="s">
        <v>5653</v>
      </c>
      <c r="D2846" s="8"/>
      <c r="E2846" s="6"/>
      <c r="F2846" s="6"/>
    </row>
    <row r="2847" spans="1:6" ht="28.8" x14ac:dyDescent="0.3">
      <c r="A2847" s="8" t="s">
        <v>5654</v>
      </c>
      <c r="B2847" s="8" t="s">
        <v>56451</v>
      </c>
      <c r="C2847" s="8" t="s">
        <v>5655</v>
      </c>
      <c r="D2847" s="8"/>
      <c r="E2847" s="6"/>
      <c r="F2847" s="6"/>
    </row>
    <row r="2848" spans="1:6" ht="28.8" x14ac:dyDescent="0.3">
      <c r="A2848" s="8" t="s">
        <v>5656</v>
      </c>
      <c r="B2848" s="8" t="s">
        <v>56452</v>
      </c>
      <c r="C2848" s="8" t="s">
        <v>5657</v>
      </c>
      <c r="D2848" s="8"/>
      <c r="E2848" s="6"/>
      <c r="F2848" s="6"/>
    </row>
    <row r="2849" spans="1:6" ht="28.8" x14ac:dyDescent="0.3">
      <c r="A2849" s="8" t="s">
        <v>5658</v>
      </c>
      <c r="B2849" s="8" t="s">
        <v>56453</v>
      </c>
      <c r="C2849" s="8" t="s">
        <v>5659</v>
      </c>
      <c r="D2849" s="8"/>
      <c r="E2849" s="6"/>
      <c r="F2849" s="6"/>
    </row>
    <row r="2850" spans="1:6" ht="28.8" x14ac:dyDescent="0.3">
      <c r="A2850" s="8" t="s">
        <v>5660</v>
      </c>
      <c r="B2850" s="8" t="s">
        <v>56454</v>
      </c>
      <c r="C2850" s="8" t="s">
        <v>5661</v>
      </c>
      <c r="D2850" s="8"/>
      <c r="E2850" s="6"/>
      <c r="F2850" s="6"/>
    </row>
    <row r="2851" spans="1:6" ht="28.8" x14ac:dyDescent="0.3">
      <c r="A2851" s="8" t="s">
        <v>5662</v>
      </c>
      <c r="B2851" s="8" t="s">
        <v>56455</v>
      </c>
      <c r="C2851" s="8" t="s">
        <v>5663</v>
      </c>
      <c r="D2851" s="8"/>
      <c r="E2851" s="6"/>
      <c r="F2851" s="6"/>
    </row>
    <row r="2852" spans="1:6" x14ac:dyDescent="0.3">
      <c r="A2852" s="8" t="s">
        <v>5664</v>
      </c>
      <c r="B2852" s="8" t="s">
        <v>56456</v>
      </c>
      <c r="C2852" s="8" t="s">
        <v>5665</v>
      </c>
      <c r="D2852" s="8"/>
      <c r="E2852" s="6"/>
      <c r="F2852" s="6"/>
    </row>
    <row r="2853" spans="1:6" x14ac:dyDescent="0.3">
      <c r="A2853" s="8" t="s">
        <v>5666</v>
      </c>
      <c r="B2853" s="8" t="s">
        <v>56457</v>
      </c>
      <c r="C2853" s="8" t="s">
        <v>5667</v>
      </c>
      <c r="D2853" s="8"/>
      <c r="E2853" s="6"/>
      <c r="F2853" s="6"/>
    </row>
    <row r="2854" spans="1:6" ht="28.8" x14ac:dyDescent="0.3">
      <c r="A2854" s="8" t="s">
        <v>5668</v>
      </c>
      <c r="B2854" s="8" t="s">
        <v>56458</v>
      </c>
      <c r="C2854" s="8" t="s">
        <v>5669</v>
      </c>
      <c r="D2854" s="8"/>
      <c r="E2854" s="6"/>
      <c r="F2854" s="6"/>
    </row>
    <row r="2855" spans="1:6" ht="28.8" x14ac:dyDescent="0.3">
      <c r="A2855" s="8" t="s">
        <v>5670</v>
      </c>
      <c r="B2855" s="8" t="s">
        <v>56459</v>
      </c>
      <c r="C2855" s="8" t="s">
        <v>5671</v>
      </c>
      <c r="D2855" s="8"/>
      <c r="E2855" s="6"/>
      <c r="F2855" s="6"/>
    </row>
    <row r="2856" spans="1:6" x14ac:dyDescent="0.3">
      <c r="A2856" s="8" t="s">
        <v>5672</v>
      </c>
      <c r="B2856" s="8" t="s">
        <v>56460</v>
      </c>
      <c r="C2856" s="8" t="s">
        <v>5673</v>
      </c>
      <c r="D2856" s="8"/>
      <c r="E2856" s="6"/>
      <c r="F2856" s="6"/>
    </row>
    <row r="2857" spans="1:6" x14ac:dyDescent="0.3">
      <c r="A2857" s="8" t="s">
        <v>5674</v>
      </c>
      <c r="B2857" s="8" t="s">
        <v>56461</v>
      </c>
      <c r="C2857" s="8" t="s">
        <v>5675</v>
      </c>
      <c r="D2857" s="8"/>
      <c r="E2857" s="6"/>
      <c r="F2857" s="6"/>
    </row>
    <row r="2858" spans="1:6" x14ac:dyDescent="0.3">
      <c r="A2858" s="8" t="s">
        <v>5676</v>
      </c>
      <c r="B2858" s="8" t="s">
        <v>56462</v>
      </c>
      <c r="C2858" s="8" t="s">
        <v>5677</v>
      </c>
      <c r="D2858" s="8"/>
      <c r="E2858" s="6"/>
      <c r="F2858" s="6"/>
    </row>
    <row r="2859" spans="1:6" x14ac:dyDescent="0.3">
      <c r="A2859" s="8" t="s">
        <v>5678</v>
      </c>
      <c r="B2859" s="8" t="s">
        <v>56463</v>
      </c>
      <c r="C2859" s="8" t="s">
        <v>5679</v>
      </c>
      <c r="D2859" s="8"/>
      <c r="E2859" s="6"/>
      <c r="F2859" s="6"/>
    </row>
    <row r="2860" spans="1:6" x14ac:dyDescent="0.3">
      <c r="A2860" s="8" t="s">
        <v>5680</v>
      </c>
      <c r="B2860" s="8" t="s">
        <v>56464</v>
      </c>
      <c r="C2860" s="8" t="s">
        <v>5681</v>
      </c>
      <c r="D2860" s="8"/>
      <c r="E2860" s="6"/>
      <c r="F2860" s="6"/>
    </row>
    <row r="2861" spans="1:6" x14ac:dyDescent="0.3">
      <c r="A2861" s="8" t="s">
        <v>5682</v>
      </c>
      <c r="B2861" s="8" t="s">
        <v>56465</v>
      </c>
      <c r="C2861" s="8" t="s">
        <v>5683</v>
      </c>
      <c r="D2861" s="8"/>
      <c r="E2861" s="6"/>
      <c r="F2861" s="6"/>
    </row>
    <row r="2862" spans="1:6" x14ac:dyDescent="0.3">
      <c r="A2862" s="8" t="s">
        <v>5684</v>
      </c>
      <c r="B2862" s="8" t="s">
        <v>56466</v>
      </c>
      <c r="C2862" s="8" t="s">
        <v>5685</v>
      </c>
      <c r="D2862" s="8"/>
      <c r="E2862" s="6"/>
      <c r="F2862" s="6"/>
    </row>
    <row r="2863" spans="1:6" x14ac:dyDescent="0.3">
      <c r="A2863" s="8" t="s">
        <v>5686</v>
      </c>
      <c r="B2863" s="8" t="s">
        <v>56467</v>
      </c>
      <c r="C2863" s="8" t="s">
        <v>5687</v>
      </c>
      <c r="D2863" s="8"/>
      <c r="E2863" s="6"/>
      <c r="F2863" s="6"/>
    </row>
    <row r="2864" spans="1:6" x14ac:dyDescent="0.3">
      <c r="A2864" s="8" t="s">
        <v>5688</v>
      </c>
      <c r="B2864" s="8" t="s">
        <v>56468</v>
      </c>
      <c r="C2864" s="8" t="s">
        <v>5689</v>
      </c>
      <c r="D2864" s="8"/>
      <c r="E2864" s="6"/>
      <c r="F2864" s="6"/>
    </row>
    <row r="2865" spans="1:6" x14ac:dyDescent="0.3">
      <c r="A2865" s="8" t="s">
        <v>5690</v>
      </c>
      <c r="B2865" s="8" t="s">
        <v>56469</v>
      </c>
      <c r="C2865" s="8" t="s">
        <v>5691</v>
      </c>
      <c r="D2865" s="8"/>
      <c r="E2865" s="6"/>
      <c r="F2865" s="6"/>
    </row>
    <row r="2866" spans="1:6" x14ac:dyDescent="0.3">
      <c r="A2866" s="8" t="s">
        <v>5692</v>
      </c>
      <c r="B2866" s="8" t="s">
        <v>56470</v>
      </c>
      <c r="C2866" s="8" t="s">
        <v>5693</v>
      </c>
      <c r="D2866" s="8"/>
      <c r="E2866" s="6"/>
      <c r="F2866" s="6"/>
    </row>
    <row r="2867" spans="1:6" ht="28.8" x14ac:dyDescent="0.3">
      <c r="A2867" s="8" t="s">
        <v>5694</v>
      </c>
      <c r="B2867" s="8" t="s">
        <v>56471</v>
      </c>
      <c r="C2867" s="8" t="s">
        <v>5695</v>
      </c>
      <c r="D2867" s="8"/>
      <c r="E2867" s="6"/>
      <c r="F2867" s="6"/>
    </row>
    <row r="2868" spans="1:6" x14ac:dyDescent="0.3">
      <c r="A2868" s="8" t="s">
        <v>5696</v>
      </c>
      <c r="B2868" s="8" t="s">
        <v>56472</v>
      </c>
      <c r="C2868" s="8" t="s">
        <v>5697</v>
      </c>
      <c r="D2868" s="8"/>
      <c r="E2868" s="6"/>
      <c r="F2868" s="6"/>
    </row>
    <row r="2869" spans="1:6" x14ac:dyDescent="0.3">
      <c r="A2869" s="8" t="s">
        <v>5698</v>
      </c>
      <c r="B2869" s="8" t="s">
        <v>56473</v>
      </c>
      <c r="C2869" s="8" t="s">
        <v>5699</v>
      </c>
      <c r="D2869" s="8"/>
      <c r="E2869" s="6"/>
      <c r="F2869" s="6"/>
    </row>
    <row r="2870" spans="1:6" x14ac:dyDescent="0.3">
      <c r="A2870" s="8" t="s">
        <v>5700</v>
      </c>
      <c r="B2870" s="8" t="s">
        <v>56474</v>
      </c>
      <c r="C2870" s="8" t="s">
        <v>5701</v>
      </c>
      <c r="D2870" s="8"/>
      <c r="E2870" s="6"/>
      <c r="F2870" s="6"/>
    </row>
    <row r="2871" spans="1:6" x14ac:dyDescent="0.3">
      <c r="A2871" s="8" t="s">
        <v>5702</v>
      </c>
      <c r="B2871" s="8" t="s">
        <v>56475</v>
      </c>
      <c r="C2871" s="8" t="s">
        <v>5703</v>
      </c>
      <c r="D2871" s="8"/>
      <c r="E2871" s="6"/>
      <c r="F2871" s="6"/>
    </row>
    <row r="2872" spans="1:6" x14ac:dyDescent="0.3">
      <c r="A2872" s="8" t="s">
        <v>5704</v>
      </c>
      <c r="B2872" s="8" t="s">
        <v>56476</v>
      </c>
      <c r="C2872" s="8" t="s">
        <v>5705</v>
      </c>
      <c r="D2872" s="8"/>
      <c r="E2872" s="6"/>
      <c r="F2872" s="6"/>
    </row>
    <row r="2873" spans="1:6" ht="28.8" x14ac:dyDescent="0.3">
      <c r="A2873" s="8" t="s">
        <v>5706</v>
      </c>
      <c r="B2873" s="8" t="s">
        <v>56477</v>
      </c>
      <c r="C2873" s="8" t="s">
        <v>5707</v>
      </c>
      <c r="D2873" s="8"/>
      <c r="E2873" s="6"/>
      <c r="F2873" s="6"/>
    </row>
    <row r="2874" spans="1:6" ht="28.8" x14ac:dyDescent="0.3">
      <c r="A2874" s="8" t="s">
        <v>5708</v>
      </c>
      <c r="B2874" s="8" t="s">
        <v>56478</v>
      </c>
      <c r="C2874" s="8" t="s">
        <v>5709</v>
      </c>
      <c r="D2874" s="8"/>
      <c r="E2874" s="6"/>
      <c r="F2874" s="6"/>
    </row>
    <row r="2875" spans="1:6" x14ac:dyDescent="0.3">
      <c r="A2875" s="8" t="s">
        <v>5710</v>
      </c>
      <c r="B2875" s="8" t="s">
        <v>56479</v>
      </c>
      <c r="C2875" s="8" t="s">
        <v>5711</v>
      </c>
      <c r="D2875" s="8"/>
      <c r="E2875" s="6"/>
      <c r="F2875" s="6"/>
    </row>
    <row r="2876" spans="1:6" x14ac:dyDescent="0.3">
      <c r="A2876" s="8" t="s">
        <v>5712</v>
      </c>
      <c r="B2876" s="8" t="s">
        <v>56480</v>
      </c>
      <c r="C2876" s="8" t="s">
        <v>5713</v>
      </c>
      <c r="D2876" s="8"/>
      <c r="E2876" s="6"/>
      <c r="F2876" s="6"/>
    </row>
    <row r="2877" spans="1:6" x14ac:dyDescent="0.3">
      <c r="A2877" s="8" t="s">
        <v>5714</v>
      </c>
      <c r="B2877" s="8" t="s">
        <v>56481</v>
      </c>
      <c r="C2877" s="8" t="s">
        <v>5715</v>
      </c>
      <c r="D2877" s="8"/>
      <c r="E2877" s="6"/>
      <c r="F2877" s="6"/>
    </row>
    <row r="2878" spans="1:6" ht="28.8" x14ac:dyDescent="0.3">
      <c r="A2878" s="8" t="s">
        <v>5716</v>
      </c>
      <c r="B2878" s="8" t="s">
        <v>56482</v>
      </c>
      <c r="C2878" s="8" t="s">
        <v>5717</v>
      </c>
      <c r="D2878" s="8"/>
      <c r="E2878" s="6"/>
      <c r="F2878" s="6"/>
    </row>
    <row r="2879" spans="1:6" ht="28.8" x14ac:dyDescent="0.3">
      <c r="A2879" s="8" t="s">
        <v>5718</v>
      </c>
      <c r="B2879" s="8" t="s">
        <v>56483</v>
      </c>
      <c r="C2879" s="8" t="s">
        <v>5719</v>
      </c>
      <c r="D2879" s="8"/>
      <c r="E2879" s="6"/>
      <c r="F2879" s="6"/>
    </row>
    <row r="2880" spans="1:6" ht="28.8" x14ac:dyDescent="0.3">
      <c r="A2880" s="8" t="s">
        <v>5720</v>
      </c>
      <c r="B2880" s="8" t="s">
        <v>56484</v>
      </c>
      <c r="C2880" s="8" t="s">
        <v>5721</v>
      </c>
      <c r="D2880" s="8"/>
      <c r="E2880" s="6"/>
      <c r="F2880" s="6"/>
    </row>
    <row r="2881" spans="1:6" x14ac:dyDescent="0.3">
      <c r="A2881" s="8" t="s">
        <v>5722</v>
      </c>
      <c r="B2881" s="8" t="s">
        <v>56485</v>
      </c>
      <c r="C2881" s="8" t="s">
        <v>5723</v>
      </c>
      <c r="D2881" s="8"/>
      <c r="E2881" s="6"/>
      <c r="F2881" s="6"/>
    </row>
    <row r="2882" spans="1:6" x14ac:dyDescent="0.3">
      <c r="A2882" s="8" t="s">
        <v>5724</v>
      </c>
      <c r="B2882" s="8" t="s">
        <v>56486</v>
      </c>
      <c r="C2882" s="8" t="s">
        <v>5725</v>
      </c>
      <c r="D2882" s="8"/>
      <c r="E2882" s="6"/>
      <c r="F2882" s="6"/>
    </row>
    <row r="2883" spans="1:6" ht="28.8" x14ac:dyDescent="0.3">
      <c r="A2883" s="8" t="s">
        <v>5726</v>
      </c>
      <c r="B2883" s="8" t="s">
        <v>56487</v>
      </c>
      <c r="C2883" s="8" t="s">
        <v>5727</v>
      </c>
      <c r="D2883" s="8"/>
      <c r="E2883" s="6"/>
      <c r="F2883" s="6"/>
    </row>
    <row r="2884" spans="1:6" x14ac:dyDescent="0.3">
      <c r="A2884" s="8" t="s">
        <v>5728</v>
      </c>
      <c r="B2884" s="8" t="s">
        <v>56488</v>
      </c>
      <c r="C2884" s="8" t="s">
        <v>5729</v>
      </c>
      <c r="D2884" s="8"/>
      <c r="E2884" s="6"/>
      <c r="F2884" s="6"/>
    </row>
    <row r="2885" spans="1:6" x14ac:dyDescent="0.3">
      <c r="A2885" s="8" t="s">
        <v>5730</v>
      </c>
      <c r="B2885" s="8" t="s">
        <v>56489</v>
      </c>
      <c r="C2885" s="8" t="s">
        <v>5731</v>
      </c>
      <c r="D2885" s="8"/>
      <c r="E2885" s="6"/>
      <c r="F2885" s="6"/>
    </row>
    <row r="2886" spans="1:6" x14ac:dyDescent="0.3">
      <c r="A2886" s="8" t="s">
        <v>5732</v>
      </c>
      <c r="B2886" s="8" t="s">
        <v>56490</v>
      </c>
      <c r="C2886" s="8" t="s">
        <v>5733</v>
      </c>
      <c r="D2886" s="8"/>
      <c r="E2886" s="6"/>
      <c r="F2886" s="6"/>
    </row>
    <row r="2887" spans="1:6" x14ac:dyDescent="0.3">
      <c r="A2887" s="8" t="s">
        <v>5734</v>
      </c>
      <c r="B2887" s="8" t="s">
        <v>56491</v>
      </c>
      <c r="C2887" s="8" t="s">
        <v>5735</v>
      </c>
      <c r="D2887" s="8"/>
      <c r="E2887" s="6"/>
      <c r="F2887" s="6"/>
    </row>
    <row r="2888" spans="1:6" x14ac:dyDescent="0.3">
      <c r="A2888" s="8" t="s">
        <v>5736</v>
      </c>
      <c r="B2888" s="8" t="s">
        <v>56492</v>
      </c>
      <c r="C2888" s="8" t="s">
        <v>5737</v>
      </c>
      <c r="D2888" s="8"/>
      <c r="E2888" s="6"/>
      <c r="F2888" s="6"/>
    </row>
    <row r="2889" spans="1:6" x14ac:dyDescent="0.3">
      <c r="A2889" s="8" t="s">
        <v>5738</v>
      </c>
      <c r="B2889" s="8" t="s">
        <v>56493</v>
      </c>
      <c r="C2889" s="8" t="s">
        <v>5739</v>
      </c>
      <c r="D2889" s="8"/>
      <c r="E2889" s="6"/>
      <c r="F2889" s="6"/>
    </row>
    <row r="2890" spans="1:6" ht="28.8" x14ac:dyDescent="0.3">
      <c r="A2890" s="8" t="s">
        <v>5740</v>
      </c>
      <c r="B2890" s="8" t="s">
        <v>56494</v>
      </c>
      <c r="C2890" s="8" t="s">
        <v>5741</v>
      </c>
      <c r="D2890" s="8"/>
      <c r="E2890" s="6"/>
      <c r="F2890" s="6"/>
    </row>
    <row r="2891" spans="1:6" x14ac:dyDescent="0.3">
      <c r="A2891" s="8" t="s">
        <v>5742</v>
      </c>
      <c r="B2891" s="8" t="s">
        <v>56495</v>
      </c>
      <c r="C2891" s="8" t="s">
        <v>5743</v>
      </c>
      <c r="D2891" s="8"/>
      <c r="E2891" s="6"/>
      <c r="F2891" s="6"/>
    </row>
    <row r="2892" spans="1:6" x14ac:dyDescent="0.3">
      <c r="A2892" s="8" t="s">
        <v>5744</v>
      </c>
      <c r="B2892" s="8" t="s">
        <v>56496</v>
      </c>
      <c r="C2892" s="8" t="s">
        <v>5745</v>
      </c>
      <c r="D2892" s="8"/>
      <c r="E2892" s="6"/>
      <c r="F2892" s="6"/>
    </row>
    <row r="2893" spans="1:6" x14ac:dyDescent="0.3">
      <c r="A2893" s="8" t="s">
        <v>5746</v>
      </c>
      <c r="B2893" s="8" t="s">
        <v>56497</v>
      </c>
      <c r="C2893" s="8" t="s">
        <v>5747</v>
      </c>
      <c r="D2893" s="8"/>
      <c r="E2893" s="6"/>
      <c r="F2893" s="6"/>
    </row>
    <row r="2894" spans="1:6" x14ac:dyDescent="0.3">
      <c r="A2894" s="8" t="s">
        <v>5748</v>
      </c>
      <c r="B2894" s="8" t="s">
        <v>56498</v>
      </c>
      <c r="C2894" s="8" t="s">
        <v>5749</v>
      </c>
      <c r="D2894" s="8"/>
      <c r="E2894" s="6"/>
      <c r="F2894" s="6"/>
    </row>
    <row r="2895" spans="1:6" x14ac:dyDescent="0.3">
      <c r="A2895" s="8" t="s">
        <v>5750</v>
      </c>
      <c r="B2895" s="8" t="s">
        <v>56499</v>
      </c>
      <c r="C2895" s="8" t="s">
        <v>5751</v>
      </c>
      <c r="D2895" s="8"/>
      <c r="E2895" s="6"/>
      <c r="F2895" s="6"/>
    </row>
    <row r="2896" spans="1:6" x14ac:dyDescent="0.3">
      <c r="A2896" s="8" t="s">
        <v>5752</v>
      </c>
      <c r="B2896" s="8" t="s">
        <v>56500</v>
      </c>
      <c r="C2896" s="8" t="s">
        <v>5753</v>
      </c>
      <c r="D2896" s="8"/>
      <c r="E2896" s="6"/>
      <c r="F2896" s="6"/>
    </row>
    <row r="2897" spans="1:6" x14ac:dyDescent="0.3">
      <c r="A2897" s="8" t="s">
        <v>5754</v>
      </c>
      <c r="B2897" s="8" t="s">
        <v>56501</v>
      </c>
      <c r="C2897" s="8" t="s">
        <v>5755</v>
      </c>
      <c r="D2897" s="8"/>
      <c r="E2897" s="6"/>
      <c r="F2897" s="6"/>
    </row>
    <row r="2898" spans="1:6" x14ac:dyDescent="0.3">
      <c r="A2898" s="8" t="s">
        <v>5756</v>
      </c>
      <c r="B2898" s="8" t="s">
        <v>56502</v>
      </c>
      <c r="C2898" s="8" t="s">
        <v>5757</v>
      </c>
      <c r="D2898" s="8"/>
      <c r="E2898" s="6"/>
      <c r="F2898" s="6"/>
    </row>
    <row r="2899" spans="1:6" x14ac:dyDescent="0.3">
      <c r="A2899" s="8" t="s">
        <v>5758</v>
      </c>
      <c r="B2899" s="8" t="s">
        <v>56503</v>
      </c>
      <c r="C2899" s="8" t="s">
        <v>5759</v>
      </c>
      <c r="D2899" s="8"/>
      <c r="E2899" s="6"/>
      <c r="F2899" s="6"/>
    </row>
    <row r="2900" spans="1:6" x14ac:dyDescent="0.3">
      <c r="A2900" s="8" t="s">
        <v>5760</v>
      </c>
      <c r="B2900" s="8" t="s">
        <v>56504</v>
      </c>
      <c r="C2900" s="8" t="s">
        <v>5761</v>
      </c>
      <c r="D2900" s="8"/>
      <c r="E2900" s="6"/>
      <c r="F2900" s="6"/>
    </row>
    <row r="2901" spans="1:6" x14ac:dyDescent="0.3">
      <c r="A2901" s="8" t="s">
        <v>5762</v>
      </c>
      <c r="B2901" s="8" t="s">
        <v>56505</v>
      </c>
      <c r="C2901" s="8" t="s">
        <v>5763</v>
      </c>
      <c r="D2901" s="8"/>
      <c r="E2901" s="6"/>
      <c r="F2901" s="6"/>
    </row>
    <row r="2902" spans="1:6" x14ac:dyDescent="0.3">
      <c r="A2902" s="8" t="s">
        <v>5764</v>
      </c>
      <c r="B2902" s="8" t="s">
        <v>56506</v>
      </c>
      <c r="C2902" s="8" t="s">
        <v>5765</v>
      </c>
      <c r="D2902" s="8"/>
      <c r="E2902" s="6"/>
      <c r="F2902" s="6"/>
    </row>
    <row r="2903" spans="1:6" x14ac:dyDescent="0.3">
      <c r="A2903" s="8" t="s">
        <v>5766</v>
      </c>
      <c r="B2903" s="8" t="s">
        <v>56507</v>
      </c>
      <c r="C2903" s="8" t="s">
        <v>5767</v>
      </c>
      <c r="D2903" s="8"/>
      <c r="E2903" s="6"/>
      <c r="F2903" s="6"/>
    </row>
    <row r="2904" spans="1:6" x14ac:dyDescent="0.3">
      <c r="A2904" s="8" t="s">
        <v>5768</v>
      </c>
      <c r="B2904" s="8" t="s">
        <v>56508</v>
      </c>
      <c r="C2904" s="8" t="s">
        <v>5769</v>
      </c>
      <c r="D2904" s="8"/>
      <c r="E2904" s="6"/>
      <c r="F2904" s="6"/>
    </row>
    <row r="2905" spans="1:6" x14ac:dyDescent="0.3">
      <c r="A2905" s="8" t="s">
        <v>5770</v>
      </c>
      <c r="B2905" s="8" t="s">
        <v>56509</v>
      </c>
      <c r="C2905" s="8" t="s">
        <v>5771</v>
      </c>
      <c r="D2905" s="8"/>
      <c r="E2905" s="6"/>
      <c r="F2905" s="6"/>
    </row>
    <row r="2906" spans="1:6" x14ac:dyDescent="0.3">
      <c r="A2906" s="8" t="s">
        <v>5772</v>
      </c>
      <c r="B2906" s="8" t="s">
        <v>56510</v>
      </c>
      <c r="C2906" s="8" t="s">
        <v>5773</v>
      </c>
      <c r="D2906" s="8"/>
      <c r="E2906" s="6"/>
      <c r="F2906" s="6"/>
    </row>
    <row r="2907" spans="1:6" x14ac:dyDescent="0.3">
      <c r="A2907" s="8" t="s">
        <v>5774</v>
      </c>
      <c r="B2907" s="8" t="s">
        <v>56511</v>
      </c>
      <c r="C2907" s="8" t="s">
        <v>5775</v>
      </c>
      <c r="D2907" s="8"/>
      <c r="E2907" s="6"/>
      <c r="F2907" s="6"/>
    </row>
    <row r="2908" spans="1:6" x14ac:dyDescent="0.3">
      <c r="A2908" s="8" t="s">
        <v>5776</v>
      </c>
      <c r="B2908" s="8" t="s">
        <v>56512</v>
      </c>
      <c r="C2908" s="8" t="s">
        <v>5777</v>
      </c>
      <c r="D2908" s="8"/>
      <c r="E2908" s="6"/>
      <c r="F2908" s="6"/>
    </row>
    <row r="2909" spans="1:6" x14ac:dyDescent="0.3">
      <c r="A2909" s="8" t="s">
        <v>5778</v>
      </c>
      <c r="B2909" s="8" t="s">
        <v>56513</v>
      </c>
      <c r="C2909" s="8" t="s">
        <v>5779</v>
      </c>
      <c r="D2909" s="8"/>
      <c r="E2909" s="6"/>
      <c r="F2909" s="6"/>
    </row>
    <row r="2910" spans="1:6" x14ac:dyDescent="0.3">
      <c r="A2910" s="8" t="s">
        <v>5780</v>
      </c>
      <c r="B2910" s="8" t="s">
        <v>56514</v>
      </c>
      <c r="C2910" s="8" t="s">
        <v>5781</v>
      </c>
      <c r="D2910" s="8"/>
      <c r="E2910" s="6"/>
      <c r="F2910" s="6"/>
    </row>
    <row r="2911" spans="1:6" x14ac:dyDescent="0.3">
      <c r="A2911" s="8" t="s">
        <v>5782</v>
      </c>
      <c r="B2911" s="8" t="s">
        <v>56515</v>
      </c>
      <c r="C2911" s="8" t="s">
        <v>5783</v>
      </c>
      <c r="D2911" s="8"/>
      <c r="E2911" s="6"/>
      <c r="F2911" s="6"/>
    </row>
    <row r="2912" spans="1:6" x14ac:dyDescent="0.3">
      <c r="A2912" s="8" t="s">
        <v>5784</v>
      </c>
      <c r="B2912" s="8" t="s">
        <v>56516</v>
      </c>
      <c r="C2912" s="8" t="s">
        <v>5785</v>
      </c>
      <c r="D2912" s="8"/>
      <c r="E2912" s="6"/>
      <c r="F2912" s="6"/>
    </row>
    <row r="2913" spans="1:6" x14ac:dyDescent="0.3">
      <c r="A2913" s="8" t="s">
        <v>5786</v>
      </c>
      <c r="B2913" s="8" t="s">
        <v>56517</v>
      </c>
      <c r="C2913" s="8" t="s">
        <v>5787</v>
      </c>
      <c r="D2913" s="8"/>
      <c r="E2913" s="6"/>
      <c r="F2913" s="6"/>
    </row>
    <row r="2914" spans="1:6" x14ac:dyDescent="0.3">
      <c r="A2914" s="8" t="s">
        <v>5788</v>
      </c>
      <c r="B2914" s="8" t="s">
        <v>56518</v>
      </c>
      <c r="C2914" s="8" t="s">
        <v>5789</v>
      </c>
      <c r="D2914" s="8"/>
      <c r="E2914" s="6"/>
      <c r="F2914" s="6"/>
    </row>
    <row r="2915" spans="1:6" ht="28.8" x14ac:dyDescent="0.3">
      <c r="A2915" s="8" t="s">
        <v>5790</v>
      </c>
      <c r="B2915" s="8" t="s">
        <v>56519</v>
      </c>
      <c r="C2915" s="8" t="s">
        <v>5791</v>
      </c>
      <c r="D2915" s="8"/>
      <c r="E2915" s="6"/>
      <c r="F2915" s="6"/>
    </row>
    <row r="2916" spans="1:6" x14ac:dyDescent="0.3">
      <c r="A2916" s="8" t="s">
        <v>5792</v>
      </c>
      <c r="B2916" s="8" t="s">
        <v>56520</v>
      </c>
      <c r="C2916" s="8" t="s">
        <v>5793</v>
      </c>
      <c r="D2916" s="8"/>
      <c r="E2916" s="6"/>
      <c r="F2916" s="6"/>
    </row>
    <row r="2917" spans="1:6" x14ac:dyDescent="0.3">
      <c r="A2917" s="8" t="s">
        <v>5794</v>
      </c>
      <c r="B2917" s="8" t="s">
        <v>56521</v>
      </c>
      <c r="C2917" s="8" t="s">
        <v>5795</v>
      </c>
      <c r="D2917" s="8"/>
      <c r="E2917" s="6"/>
      <c r="F2917" s="6"/>
    </row>
    <row r="2918" spans="1:6" x14ac:dyDescent="0.3">
      <c r="A2918" s="8" t="s">
        <v>5796</v>
      </c>
      <c r="B2918" s="8" t="s">
        <v>56522</v>
      </c>
      <c r="C2918" s="8" t="s">
        <v>5797</v>
      </c>
      <c r="D2918" s="8"/>
      <c r="E2918" s="6"/>
      <c r="F2918" s="6"/>
    </row>
    <row r="2919" spans="1:6" x14ac:dyDescent="0.3">
      <c r="A2919" s="8" t="s">
        <v>5798</v>
      </c>
      <c r="B2919" s="8" t="s">
        <v>56523</v>
      </c>
      <c r="C2919" s="8" t="s">
        <v>5799</v>
      </c>
      <c r="D2919" s="8"/>
      <c r="E2919" s="6"/>
      <c r="F2919" s="6"/>
    </row>
    <row r="2920" spans="1:6" x14ac:dyDescent="0.3">
      <c r="A2920" s="8" t="s">
        <v>5800</v>
      </c>
      <c r="B2920" s="8" t="s">
        <v>56524</v>
      </c>
      <c r="C2920" s="8" t="s">
        <v>5801</v>
      </c>
      <c r="D2920" s="8"/>
      <c r="E2920" s="6"/>
      <c r="F2920" s="6"/>
    </row>
    <row r="2921" spans="1:6" x14ac:dyDescent="0.3">
      <c r="A2921" s="8" t="s">
        <v>5802</v>
      </c>
      <c r="B2921" s="8" t="s">
        <v>56525</v>
      </c>
      <c r="C2921" s="8" t="s">
        <v>5803</v>
      </c>
      <c r="D2921" s="8"/>
      <c r="E2921" s="6"/>
      <c r="F2921" s="6"/>
    </row>
    <row r="2922" spans="1:6" x14ac:dyDescent="0.3">
      <c r="A2922" s="8" t="s">
        <v>5804</v>
      </c>
      <c r="B2922" s="8" t="s">
        <v>56526</v>
      </c>
      <c r="C2922" s="8" t="s">
        <v>5805</v>
      </c>
      <c r="D2922" s="8"/>
      <c r="E2922" s="6"/>
      <c r="F2922" s="6"/>
    </row>
    <row r="2923" spans="1:6" x14ac:dyDescent="0.3">
      <c r="A2923" s="8" t="s">
        <v>5806</v>
      </c>
      <c r="B2923" s="8" t="s">
        <v>56527</v>
      </c>
      <c r="C2923" s="8" t="s">
        <v>5807</v>
      </c>
      <c r="D2923" s="8"/>
      <c r="E2923" s="6"/>
      <c r="F2923" s="6"/>
    </row>
    <row r="2924" spans="1:6" x14ac:dyDescent="0.3">
      <c r="A2924" s="8" t="s">
        <v>5808</v>
      </c>
      <c r="B2924" s="8" t="s">
        <v>56528</v>
      </c>
      <c r="C2924" s="8" t="s">
        <v>5809</v>
      </c>
      <c r="D2924" s="8"/>
      <c r="E2924" s="6"/>
      <c r="F2924" s="6"/>
    </row>
    <row r="2925" spans="1:6" x14ac:dyDescent="0.3">
      <c r="A2925" s="8" t="s">
        <v>5810</v>
      </c>
      <c r="B2925" s="8" t="s">
        <v>56529</v>
      </c>
      <c r="C2925" s="8" t="s">
        <v>5811</v>
      </c>
      <c r="D2925" s="8"/>
      <c r="E2925" s="6"/>
      <c r="F2925" s="6"/>
    </row>
    <row r="2926" spans="1:6" x14ac:dyDescent="0.3">
      <c r="A2926" s="8" t="s">
        <v>5812</v>
      </c>
      <c r="B2926" s="8" t="s">
        <v>56530</v>
      </c>
      <c r="C2926" s="8" t="s">
        <v>5813</v>
      </c>
      <c r="D2926" s="8"/>
      <c r="E2926" s="6"/>
      <c r="F2926" s="6"/>
    </row>
    <row r="2927" spans="1:6" x14ac:dyDescent="0.3">
      <c r="A2927" s="8" t="s">
        <v>5814</v>
      </c>
      <c r="B2927" s="8" t="s">
        <v>56531</v>
      </c>
      <c r="C2927" s="8" t="s">
        <v>5815</v>
      </c>
      <c r="D2927" s="8"/>
      <c r="E2927" s="6"/>
      <c r="F2927" s="6"/>
    </row>
    <row r="2928" spans="1:6" x14ac:dyDescent="0.3">
      <c r="A2928" s="8" t="s">
        <v>5816</v>
      </c>
      <c r="B2928" s="8" t="s">
        <v>56532</v>
      </c>
      <c r="C2928" s="8" t="s">
        <v>5817</v>
      </c>
      <c r="D2928" s="8"/>
      <c r="E2928" s="6"/>
      <c r="F2928" s="6"/>
    </row>
    <row r="2929" spans="1:6" x14ac:dyDescent="0.3">
      <c r="A2929" s="8" t="s">
        <v>5818</v>
      </c>
      <c r="B2929" s="8" t="s">
        <v>56533</v>
      </c>
      <c r="C2929" s="8" t="s">
        <v>5819</v>
      </c>
      <c r="D2929" s="8"/>
      <c r="E2929" s="6"/>
      <c r="F2929" s="6"/>
    </row>
    <row r="2930" spans="1:6" x14ac:dyDescent="0.3">
      <c r="A2930" s="8" t="s">
        <v>5820</v>
      </c>
      <c r="B2930" s="8" t="s">
        <v>56534</v>
      </c>
      <c r="C2930" s="8" t="s">
        <v>5821</v>
      </c>
      <c r="D2930" s="8"/>
      <c r="E2930" s="6"/>
      <c r="F2930" s="6"/>
    </row>
    <row r="2931" spans="1:6" x14ac:dyDescent="0.3">
      <c r="A2931" s="8" t="s">
        <v>5822</v>
      </c>
      <c r="B2931" s="8" t="s">
        <v>56535</v>
      </c>
      <c r="C2931" s="8" t="s">
        <v>5823</v>
      </c>
      <c r="D2931" s="8"/>
      <c r="E2931" s="6"/>
      <c r="F2931" s="6"/>
    </row>
    <row r="2932" spans="1:6" x14ac:dyDescent="0.3">
      <c r="A2932" s="8" t="s">
        <v>5824</v>
      </c>
      <c r="B2932" s="8" t="s">
        <v>56536</v>
      </c>
      <c r="C2932" s="8" t="s">
        <v>5825</v>
      </c>
      <c r="D2932" s="8"/>
      <c r="E2932" s="6"/>
      <c r="F2932" s="6"/>
    </row>
    <row r="2933" spans="1:6" x14ac:dyDescent="0.3">
      <c r="A2933" s="8" t="s">
        <v>5826</v>
      </c>
      <c r="B2933" s="8" t="s">
        <v>56537</v>
      </c>
      <c r="C2933" s="8" t="s">
        <v>5827</v>
      </c>
      <c r="D2933" s="8"/>
      <c r="E2933" s="6"/>
      <c r="F2933" s="6"/>
    </row>
    <row r="2934" spans="1:6" x14ac:dyDescent="0.3">
      <c r="A2934" s="8" t="s">
        <v>5828</v>
      </c>
      <c r="B2934" s="8" t="s">
        <v>56538</v>
      </c>
      <c r="C2934" s="8" t="s">
        <v>5829</v>
      </c>
      <c r="D2934" s="8"/>
      <c r="E2934" s="6"/>
      <c r="F2934" s="6"/>
    </row>
    <row r="2935" spans="1:6" x14ac:dyDescent="0.3">
      <c r="A2935" s="8" t="s">
        <v>5830</v>
      </c>
      <c r="B2935" s="8" t="s">
        <v>56539</v>
      </c>
      <c r="C2935" s="8" t="s">
        <v>5831</v>
      </c>
      <c r="D2935" s="8"/>
      <c r="E2935" s="6"/>
      <c r="F2935" s="6"/>
    </row>
    <row r="2936" spans="1:6" x14ac:dyDescent="0.3">
      <c r="A2936" s="8" t="s">
        <v>5832</v>
      </c>
      <c r="B2936" s="8" t="s">
        <v>56540</v>
      </c>
      <c r="C2936" s="8" t="s">
        <v>5833</v>
      </c>
      <c r="D2936" s="8"/>
      <c r="E2936" s="6"/>
      <c r="F2936" s="6"/>
    </row>
    <row r="2937" spans="1:6" x14ac:dyDescent="0.3">
      <c r="A2937" s="8" t="s">
        <v>5834</v>
      </c>
      <c r="B2937" s="8" t="s">
        <v>56541</v>
      </c>
      <c r="C2937" s="8" t="s">
        <v>5835</v>
      </c>
      <c r="D2937" s="8"/>
      <c r="E2937" s="6"/>
      <c r="F2937" s="6"/>
    </row>
    <row r="2938" spans="1:6" x14ac:dyDescent="0.3">
      <c r="A2938" s="8" t="s">
        <v>5836</v>
      </c>
      <c r="B2938" s="8" t="s">
        <v>56542</v>
      </c>
      <c r="C2938" s="8" t="s">
        <v>5837</v>
      </c>
      <c r="D2938" s="8"/>
      <c r="E2938" s="6"/>
      <c r="F2938" s="6"/>
    </row>
    <row r="2939" spans="1:6" x14ac:dyDescent="0.3">
      <c r="A2939" s="8" t="s">
        <v>5838</v>
      </c>
      <c r="B2939" s="8" t="s">
        <v>56543</v>
      </c>
      <c r="C2939" s="8" t="s">
        <v>5839</v>
      </c>
      <c r="D2939" s="8"/>
      <c r="E2939" s="6"/>
      <c r="F2939" s="6"/>
    </row>
    <row r="2940" spans="1:6" x14ac:dyDescent="0.3">
      <c r="A2940" s="8" t="s">
        <v>5840</v>
      </c>
      <c r="B2940" s="8" t="s">
        <v>56544</v>
      </c>
      <c r="C2940" s="8" t="s">
        <v>5841</v>
      </c>
      <c r="D2940" s="8"/>
      <c r="E2940" s="6"/>
      <c r="F2940" s="6"/>
    </row>
    <row r="2941" spans="1:6" x14ac:dyDescent="0.3">
      <c r="A2941" s="8" t="s">
        <v>5842</v>
      </c>
      <c r="B2941" s="8" t="s">
        <v>56545</v>
      </c>
      <c r="C2941" s="8" t="s">
        <v>5843</v>
      </c>
      <c r="D2941" s="8"/>
      <c r="E2941" s="6"/>
      <c r="F2941" s="6"/>
    </row>
    <row r="2942" spans="1:6" x14ac:dyDescent="0.3">
      <c r="A2942" s="8" t="s">
        <v>5844</v>
      </c>
      <c r="B2942" s="8" t="s">
        <v>56546</v>
      </c>
      <c r="C2942" s="8" t="s">
        <v>5845</v>
      </c>
      <c r="D2942" s="8"/>
      <c r="E2942" s="6"/>
      <c r="F2942" s="6"/>
    </row>
    <row r="2943" spans="1:6" x14ac:dyDescent="0.3">
      <c r="A2943" s="8" t="s">
        <v>5846</v>
      </c>
      <c r="B2943" s="8" t="s">
        <v>56547</v>
      </c>
      <c r="C2943" s="8" t="s">
        <v>5847</v>
      </c>
      <c r="D2943" s="8"/>
      <c r="E2943" s="6"/>
      <c r="F2943" s="6"/>
    </row>
    <row r="2944" spans="1:6" x14ac:dyDescent="0.3">
      <c r="A2944" s="8" t="s">
        <v>5848</v>
      </c>
      <c r="B2944" s="8" t="s">
        <v>56548</v>
      </c>
      <c r="C2944" s="8" t="s">
        <v>5849</v>
      </c>
      <c r="D2944" s="8"/>
      <c r="E2944" s="6"/>
      <c r="F2944" s="6"/>
    </row>
    <row r="2945" spans="1:6" x14ac:dyDescent="0.3">
      <c r="A2945" s="8" t="s">
        <v>5850</v>
      </c>
      <c r="B2945" s="8" t="s">
        <v>56549</v>
      </c>
      <c r="C2945" s="8" t="s">
        <v>5851</v>
      </c>
      <c r="D2945" s="8"/>
      <c r="E2945" s="6"/>
      <c r="F2945" s="6"/>
    </row>
    <row r="2946" spans="1:6" x14ac:dyDescent="0.3">
      <c r="A2946" s="8" t="s">
        <v>5852</v>
      </c>
      <c r="B2946" s="8" t="s">
        <v>56550</v>
      </c>
      <c r="C2946" s="8" t="s">
        <v>5853</v>
      </c>
      <c r="D2946" s="8"/>
      <c r="E2946" s="6"/>
      <c r="F2946" s="6"/>
    </row>
    <row r="2947" spans="1:6" x14ac:dyDescent="0.3">
      <c r="A2947" s="8" t="s">
        <v>5854</v>
      </c>
      <c r="B2947" s="8" t="s">
        <v>56551</v>
      </c>
      <c r="C2947" s="8" t="s">
        <v>5855</v>
      </c>
      <c r="D2947" s="8"/>
      <c r="E2947" s="6"/>
      <c r="F2947" s="6"/>
    </row>
    <row r="2948" spans="1:6" x14ac:dyDescent="0.3">
      <c r="A2948" s="8" t="s">
        <v>5856</v>
      </c>
      <c r="B2948" s="8" t="s">
        <v>56552</v>
      </c>
      <c r="C2948" s="8" t="s">
        <v>5857</v>
      </c>
      <c r="D2948" s="8"/>
      <c r="E2948" s="6"/>
      <c r="F2948" s="6"/>
    </row>
    <row r="2949" spans="1:6" x14ac:dyDescent="0.3">
      <c r="A2949" s="8" t="s">
        <v>5858</v>
      </c>
      <c r="B2949" s="8" t="s">
        <v>56553</v>
      </c>
      <c r="C2949" s="8" t="s">
        <v>5859</v>
      </c>
      <c r="D2949" s="8"/>
      <c r="E2949" s="6"/>
      <c r="F2949" s="6"/>
    </row>
    <row r="2950" spans="1:6" x14ac:dyDescent="0.3">
      <c r="A2950" s="8" t="s">
        <v>5860</v>
      </c>
      <c r="B2950" s="8" t="s">
        <v>56554</v>
      </c>
      <c r="C2950" s="8" t="s">
        <v>5861</v>
      </c>
      <c r="D2950" s="8"/>
      <c r="E2950" s="6"/>
      <c r="F2950" s="6"/>
    </row>
    <row r="2951" spans="1:6" x14ac:dyDescent="0.3">
      <c r="A2951" s="8" t="s">
        <v>5862</v>
      </c>
      <c r="B2951" s="8" t="s">
        <v>56555</v>
      </c>
      <c r="C2951" s="8" t="s">
        <v>5863</v>
      </c>
      <c r="D2951" s="8"/>
      <c r="E2951" s="6"/>
      <c r="F2951" s="6"/>
    </row>
    <row r="2952" spans="1:6" x14ac:dyDescent="0.3">
      <c r="A2952" s="8" t="s">
        <v>5864</v>
      </c>
      <c r="B2952" s="8" t="s">
        <v>56556</v>
      </c>
      <c r="C2952" s="8" t="s">
        <v>5865</v>
      </c>
      <c r="D2952" s="8"/>
      <c r="E2952" s="6"/>
      <c r="F2952" s="6"/>
    </row>
    <row r="2953" spans="1:6" x14ac:dyDescent="0.3">
      <c r="A2953" s="8" t="s">
        <v>5866</v>
      </c>
      <c r="B2953" s="8" t="s">
        <v>56557</v>
      </c>
      <c r="C2953" s="8" t="s">
        <v>5867</v>
      </c>
      <c r="D2953" s="8"/>
      <c r="E2953" s="6"/>
      <c r="F2953" s="6"/>
    </row>
    <row r="2954" spans="1:6" x14ac:dyDescent="0.3">
      <c r="A2954" s="8" t="s">
        <v>5868</v>
      </c>
      <c r="B2954" s="8" t="s">
        <v>56558</v>
      </c>
      <c r="C2954" s="8" t="s">
        <v>5869</v>
      </c>
      <c r="D2954" s="8"/>
      <c r="E2954" s="6"/>
      <c r="F2954" s="6"/>
    </row>
    <row r="2955" spans="1:6" x14ac:dyDescent="0.3">
      <c r="A2955" s="8" t="s">
        <v>5870</v>
      </c>
      <c r="B2955" s="8" t="s">
        <v>56559</v>
      </c>
      <c r="C2955" s="8" t="s">
        <v>5871</v>
      </c>
      <c r="D2955" s="8"/>
      <c r="E2955" s="6"/>
      <c r="F2955" s="6"/>
    </row>
    <row r="2956" spans="1:6" x14ac:dyDescent="0.3">
      <c r="A2956" s="8" t="s">
        <v>5872</v>
      </c>
      <c r="B2956" s="8" t="s">
        <v>56560</v>
      </c>
      <c r="C2956" s="8" t="s">
        <v>5873</v>
      </c>
      <c r="D2956" s="8"/>
      <c r="E2956" s="6"/>
      <c r="F2956" s="6"/>
    </row>
    <row r="2957" spans="1:6" x14ac:dyDescent="0.3">
      <c r="A2957" s="8" t="s">
        <v>5874</v>
      </c>
      <c r="B2957" s="8" t="s">
        <v>56561</v>
      </c>
      <c r="C2957" s="8" t="s">
        <v>5875</v>
      </c>
      <c r="D2957" s="8"/>
      <c r="E2957" s="6"/>
      <c r="F2957" s="6"/>
    </row>
    <row r="2958" spans="1:6" x14ac:dyDescent="0.3">
      <c r="A2958" s="8" t="s">
        <v>5876</v>
      </c>
      <c r="B2958" s="8" t="s">
        <v>56562</v>
      </c>
      <c r="C2958" s="8" t="s">
        <v>5877</v>
      </c>
      <c r="D2958" s="8"/>
      <c r="E2958" s="6"/>
      <c r="F2958" s="6"/>
    </row>
    <row r="2959" spans="1:6" x14ac:dyDescent="0.3">
      <c r="A2959" s="8" t="s">
        <v>5878</v>
      </c>
      <c r="B2959" s="8" t="s">
        <v>56563</v>
      </c>
      <c r="C2959" s="8" t="s">
        <v>5879</v>
      </c>
      <c r="D2959" s="8"/>
      <c r="E2959" s="6"/>
      <c r="F2959" s="6"/>
    </row>
    <row r="2960" spans="1:6" x14ac:dyDescent="0.3">
      <c r="A2960" s="8" t="s">
        <v>5880</v>
      </c>
      <c r="B2960" s="8" t="s">
        <v>56564</v>
      </c>
      <c r="C2960" s="8" t="s">
        <v>5881</v>
      </c>
      <c r="D2960" s="8"/>
      <c r="E2960" s="6"/>
      <c r="F2960" s="6"/>
    </row>
    <row r="2961" spans="1:6" x14ac:dyDescent="0.3">
      <c r="A2961" s="8" t="s">
        <v>5882</v>
      </c>
      <c r="B2961" s="8" t="s">
        <v>56565</v>
      </c>
      <c r="C2961" s="8" t="s">
        <v>5883</v>
      </c>
      <c r="D2961" s="8"/>
      <c r="E2961" s="6"/>
      <c r="F2961" s="6"/>
    </row>
    <row r="2962" spans="1:6" ht="28.8" x14ac:dyDescent="0.3">
      <c r="A2962" s="8" t="s">
        <v>5884</v>
      </c>
      <c r="B2962" s="8" t="s">
        <v>56566</v>
      </c>
      <c r="C2962" s="8" t="s">
        <v>5885</v>
      </c>
      <c r="D2962" s="8"/>
      <c r="E2962" s="6"/>
      <c r="F2962" s="6"/>
    </row>
    <row r="2963" spans="1:6" ht="28.8" x14ac:dyDescent="0.3">
      <c r="A2963" s="8" t="s">
        <v>5886</v>
      </c>
      <c r="B2963" s="8" t="s">
        <v>56567</v>
      </c>
      <c r="C2963" s="8" t="s">
        <v>5887</v>
      </c>
      <c r="D2963" s="8"/>
      <c r="E2963" s="6"/>
      <c r="F2963" s="6"/>
    </row>
    <row r="2964" spans="1:6" x14ac:dyDescent="0.3">
      <c r="A2964" s="8" t="s">
        <v>5888</v>
      </c>
      <c r="B2964" s="8" t="s">
        <v>56568</v>
      </c>
      <c r="C2964" s="8" t="s">
        <v>5889</v>
      </c>
      <c r="D2964" s="8"/>
      <c r="E2964" s="6"/>
      <c r="F2964" s="6"/>
    </row>
    <row r="2965" spans="1:6" x14ac:dyDescent="0.3">
      <c r="A2965" s="8" t="s">
        <v>5890</v>
      </c>
      <c r="B2965" s="8" t="s">
        <v>56569</v>
      </c>
      <c r="C2965" s="8" t="s">
        <v>5891</v>
      </c>
      <c r="D2965" s="8"/>
      <c r="E2965" s="6"/>
      <c r="F2965" s="6"/>
    </row>
    <row r="2966" spans="1:6" ht="28.8" x14ac:dyDescent="0.3">
      <c r="A2966" s="8" t="s">
        <v>5892</v>
      </c>
      <c r="B2966" s="8" t="s">
        <v>56570</v>
      </c>
      <c r="C2966" s="8" t="s">
        <v>5893</v>
      </c>
      <c r="D2966" s="8"/>
      <c r="E2966" s="6"/>
      <c r="F2966" s="6"/>
    </row>
    <row r="2967" spans="1:6" ht="28.8" x14ac:dyDescent="0.3">
      <c r="A2967" s="8" t="s">
        <v>5894</v>
      </c>
      <c r="B2967" s="8" t="s">
        <v>56571</v>
      </c>
      <c r="C2967" s="8" t="s">
        <v>5895</v>
      </c>
      <c r="D2967" s="8"/>
      <c r="E2967" s="6"/>
      <c r="F2967" s="6"/>
    </row>
    <row r="2968" spans="1:6" x14ac:dyDescent="0.3">
      <c r="A2968" s="8" t="s">
        <v>5896</v>
      </c>
      <c r="B2968" s="8" t="s">
        <v>56572</v>
      </c>
      <c r="C2968" s="8" t="s">
        <v>5897</v>
      </c>
      <c r="D2968" s="8"/>
      <c r="E2968" s="6"/>
      <c r="F2968" s="6"/>
    </row>
    <row r="2969" spans="1:6" ht="28.8" x14ac:dyDescent="0.3">
      <c r="A2969" s="8" t="s">
        <v>5898</v>
      </c>
      <c r="B2969" s="8" t="s">
        <v>56573</v>
      </c>
      <c r="C2969" s="8" t="s">
        <v>5899</v>
      </c>
      <c r="D2969" s="8"/>
      <c r="E2969" s="6"/>
      <c r="F2969" s="6"/>
    </row>
    <row r="2970" spans="1:6" x14ac:dyDescent="0.3">
      <c r="A2970" s="8" t="s">
        <v>5900</v>
      </c>
      <c r="B2970" s="8" t="s">
        <v>56574</v>
      </c>
      <c r="C2970" s="8" t="s">
        <v>5901</v>
      </c>
      <c r="D2970" s="8"/>
      <c r="E2970" s="6"/>
      <c r="F2970" s="6"/>
    </row>
    <row r="2971" spans="1:6" x14ac:dyDescent="0.3">
      <c r="A2971" s="8" t="s">
        <v>5902</v>
      </c>
      <c r="B2971" s="8" t="s">
        <v>56575</v>
      </c>
      <c r="C2971" s="8" t="s">
        <v>5903</v>
      </c>
      <c r="D2971" s="8"/>
      <c r="E2971" s="6"/>
      <c r="F2971" s="6"/>
    </row>
    <row r="2972" spans="1:6" x14ac:dyDescent="0.3">
      <c r="A2972" s="8" t="s">
        <v>5904</v>
      </c>
      <c r="B2972" s="8" t="s">
        <v>56576</v>
      </c>
      <c r="C2972" s="8" t="s">
        <v>5905</v>
      </c>
      <c r="D2972" s="8"/>
      <c r="E2972" s="6"/>
      <c r="F2972" s="6"/>
    </row>
    <row r="2973" spans="1:6" x14ac:dyDescent="0.3">
      <c r="A2973" s="8" t="s">
        <v>5906</v>
      </c>
      <c r="B2973" s="8" t="s">
        <v>56577</v>
      </c>
      <c r="C2973" s="8" t="s">
        <v>5907</v>
      </c>
      <c r="D2973" s="8"/>
      <c r="E2973" s="6"/>
      <c r="F2973" s="6"/>
    </row>
    <row r="2974" spans="1:6" x14ac:dyDescent="0.3">
      <c r="A2974" s="8" t="s">
        <v>5908</v>
      </c>
      <c r="B2974" s="8" t="s">
        <v>56578</v>
      </c>
      <c r="C2974" s="8" t="s">
        <v>5909</v>
      </c>
      <c r="D2974" s="8"/>
      <c r="E2974" s="6"/>
      <c r="F2974" s="6"/>
    </row>
    <row r="2975" spans="1:6" x14ac:dyDescent="0.3">
      <c r="A2975" s="8" t="s">
        <v>5910</v>
      </c>
      <c r="B2975" s="8" t="s">
        <v>56579</v>
      </c>
      <c r="C2975" s="8" t="s">
        <v>5911</v>
      </c>
      <c r="D2975" s="8"/>
      <c r="E2975" s="6"/>
      <c r="F2975" s="6"/>
    </row>
    <row r="2976" spans="1:6" x14ac:dyDescent="0.3">
      <c r="A2976" s="8" t="s">
        <v>5912</v>
      </c>
      <c r="B2976" s="8" t="s">
        <v>56580</v>
      </c>
      <c r="C2976" s="8" t="s">
        <v>5913</v>
      </c>
      <c r="D2976" s="8"/>
      <c r="E2976" s="6"/>
      <c r="F2976" s="6"/>
    </row>
    <row r="2977" spans="1:6" x14ac:dyDescent="0.3">
      <c r="A2977" s="8" t="s">
        <v>5914</v>
      </c>
      <c r="B2977" s="8" t="s">
        <v>56581</v>
      </c>
      <c r="C2977" s="8" t="s">
        <v>5915</v>
      </c>
      <c r="D2977" s="8"/>
      <c r="E2977" s="6"/>
      <c r="F2977" s="6"/>
    </row>
    <row r="2978" spans="1:6" x14ac:dyDescent="0.3">
      <c r="A2978" s="8" t="s">
        <v>5916</v>
      </c>
      <c r="B2978" s="8" t="s">
        <v>56582</v>
      </c>
      <c r="C2978" s="8" t="s">
        <v>5917</v>
      </c>
      <c r="D2978" s="8"/>
      <c r="E2978" s="6"/>
      <c r="F2978" s="6"/>
    </row>
    <row r="2979" spans="1:6" x14ac:dyDescent="0.3">
      <c r="A2979" s="8" t="s">
        <v>5918</v>
      </c>
      <c r="B2979" s="8" t="s">
        <v>56583</v>
      </c>
      <c r="C2979" s="8" t="s">
        <v>5919</v>
      </c>
      <c r="D2979" s="8"/>
      <c r="E2979" s="6"/>
      <c r="F2979" s="6"/>
    </row>
    <row r="2980" spans="1:6" x14ac:dyDescent="0.3">
      <c r="A2980" s="8" t="s">
        <v>5920</v>
      </c>
      <c r="B2980" s="8" t="s">
        <v>56584</v>
      </c>
      <c r="C2980" s="8" t="s">
        <v>5921</v>
      </c>
      <c r="D2980" s="8"/>
      <c r="E2980" s="6"/>
      <c r="F2980" s="6"/>
    </row>
    <row r="2981" spans="1:6" x14ac:dyDescent="0.3">
      <c r="A2981" s="8" t="s">
        <v>5922</v>
      </c>
      <c r="B2981" s="8" t="s">
        <v>56585</v>
      </c>
      <c r="C2981" s="8" t="s">
        <v>5923</v>
      </c>
      <c r="D2981" s="8"/>
      <c r="E2981" s="6"/>
      <c r="F2981" s="6"/>
    </row>
    <row r="2982" spans="1:6" x14ac:dyDescent="0.3">
      <c r="A2982" s="8" t="s">
        <v>5924</v>
      </c>
      <c r="B2982" s="8" t="s">
        <v>56586</v>
      </c>
      <c r="C2982" s="8" t="s">
        <v>5925</v>
      </c>
      <c r="D2982" s="8"/>
      <c r="E2982" s="6"/>
      <c r="F2982" s="6"/>
    </row>
    <row r="2983" spans="1:6" x14ac:dyDescent="0.3">
      <c r="A2983" s="8" t="s">
        <v>5926</v>
      </c>
      <c r="B2983" s="8" t="s">
        <v>56587</v>
      </c>
      <c r="C2983" s="8" t="s">
        <v>5927</v>
      </c>
      <c r="D2983" s="8"/>
      <c r="E2983" s="6"/>
      <c r="F2983" s="6"/>
    </row>
    <row r="2984" spans="1:6" x14ac:dyDescent="0.3">
      <c r="A2984" s="8" t="s">
        <v>5928</v>
      </c>
      <c r="B2984" s="8" t="s">
        <v>56588</v>
      </c>
      <c r="C2984" s="8" t="s">
        <v>5929</v>
      </c>
      <c r="D2984" s="8"/>
      <c r="E2984" s="6"/>
      <c r="F2984" s="6"/>
    </row>
    <row r="2985" spans="1:6" x14ac:dyDescent="0.3">
      <c r="A2985" s="8" t="s">
        <v>5930</v>
      </c>
      <c r="B2985" s="8" t="s">
        <v>56589</v>
      </c>
      <c r="C2985" s="8" t="s">
        <v>5931</v>
      </c>
      <c r="D2985" s="8"/>
      <c r="E2985" s="6"/>
      <c r="F2985" s="6"/>
    </row>
    <row r="2986" spans="1:6" ht="28.8" x14ac:dyDescent="0.3">
      <c r="A2986" s="8" t="s">
        <v>5932</v>
      </c>
      <c r="B2986" s="8" t="s">
        <v>56590</v>
      </c>
      <c r="C2986" s="8" t="s">
        <v>5933</v>
      </c>
      <c r="D2986" s="8"/>
      <c r="E2986" s="6"/>
      <c r="F2986" s="6"/>
    </row>
    <row r="2987" spans="1:6" x14ac:dyDescent="0.3">
      <c r="A2987" s="8" t="s">
        <v>5934</v>
      </c>
      <c r="B2987" s="8" t="s">
        <v>56591</v>
      </c>
      <c r="C2987" s="8" t="s">
        <v>5935</v>
      </c>
      <c r="D2987" s="8"/>
      <c r="E2987" s="6"/>
      <c r="F2987" s="6"/>
    </row>
    <row r="2988" spans="1:6" x14ac:dyDescent="0.3">
      <c r="A2988" s="8" t="s">
        <v>5936</v>
      </c>
      <c r="B2988" s="8" t="s">
        <v>56592</v>
      </c>
      <c r="C2988" s="8" t="s">
        <v>5937</v>
      </c>
      <c r="D2988" s="8"/>
      <c r="E2988" s="6"/>
      <c r="F2988" s="6"/>
    </row>
    <row r="2989" spans="1:6" x14ac:dyDescent="0.3">
      <c r="A2989" s="8" t="s">
        <v>5938</v>
      </c>
      <c r="B2989" s="8" t="s">
        <v>56593</v>
      </c>
      <c r="C2989" s="8" t="s">
        <v>5939</v>
      </c>
      <c r="D2989" s="8"/>
      <c r="E2989" s="6"/>
      <c r="F2989" s="6"/>
    </row>
    <row r="2990" spans="1:6" x14ac:dyDescent="0.3">
      <c r="A2990" s="8" t="s">
        <v>5940</v>
      </c>
      <c r="B2990" s="8" t="s">
        <v>56594</v>
      </c>
      <c r="C2990" s="8" t="s">
        <v>5941</v>
      </c>
      <c r="D2990" s="8"/>
      <c r="E2990" s="6"/>
      <c r="F2990" s="6"/>
    </row>
    <row r="2991" spans="1:6" x14ac:dyDescent="0.3">
      <c r="A2991" s="8" t="s">
        <v>5942</v>
      </c>
      <c r="B2991" s="8" t="s">
        <v>56595</v>
      </c>
      <c r="C2991" s="8" t="s">
        <v>5943</v>
      </c>
      <c r="D2991" s="8"/>
      <c r="E2991" s="6"/>
      <c r="F2991" s="6"/>
    </row>
    <row r="2992" spans="1:6" x14ac:dyDescent="0.3">
      <c r="A2992" s="8" t="s">
        <v>5944</v>
      </c>
      <c r="B2992" s="8" t="s">
        <v>56596</v>
      </c>
      <c r="C2992" s="8" t="s">
        <v>5945</v>
      </c>
      <c r="D2992" s="8"/>
      <c r="E2992" s="6"/>
      <c r="F2992" s="6"/>
    </row>
    <row r="2993" spans="1:6" x14ac:dyDescent="0.3">
      <c r="A2993" s="8" t="s">
        <v>5946</v>
      </c>
      <c r="B2993" s="8" t="s">
        <v>56597</v>
      </c>
      <c r="C2993" s="8" t="s">
        <v>5947</v>
      </c>
      <c r="D2993" s="8"/>
      <c r="E2993" s="6"/>
      <c r="F2993" s="6"/>
    </row>
    <row r="2994" spans="1:6" x14ac:dyDescent="0.3">
      <c r="A2994" s="8" t="s">
        <v>5948</v>
      </c>
      <c r="B2994" s="8" t="s">
        <v>56598</v>
      </c>
      <c r="C2994" s="8" t="s">
        <v>5949</v>
      </c>
      <c r="D2994" s="8"/>
      <c r="E2994" s="6"/>
      <c r="F2994" s="6"/>
    </row>
    <row r="2995" spans="1:6" x14ac:dyDescent="0.3">
      <c r="A2995" s="8" t="s">
        <v>5950</v>
      </c>
      <c r="B2995" s="8" t="s">
        <v>56599</v>
      </c>
      <c r="C2995" s="8" t="s">
        <v>5951</v>
      </c>
      <c r="D2995" s="8"/>
      <c r="E2995" s="6"/>
      <c r="F2995" s="6"/>
    </row>
    <row r="2996" spans="1:6" x14ac:dyDescent="0.3">
      <c r="A2996" s="8" t="s">
        <v>5952</v>
      </c>
      <c r="B2996" s="8" t="s">
        <v>56600</v>
      </c>
      <c r="C2996" s="8" t="s">
        <v>5953</v>
      </c>
      <c r="D2996" s="8"/>
      <c r="E2996" s="6"/>
      <c r="F2996" s="6"/>
    </row>
    <row r="2997" spans="1:6" x14ac:dyDescent="0.3">
      <c r="A2997" s="8" t="s">
        <v>5954</v>
      </c>
      <c r="B2997" s="8" t="s">
        <v>56601</v>
      </c>
      <c r="C2997" s="8" t="s">
        <v>5955</v>
      </c>
      <c r="D2997" s="8"/>
      <c r="E2997" s="6"/>
      <c r="F2997" s="6"/>
    </row>
    <row r="2998" spans="1:6" x14ac:dyDescent="0.3">
      <c r="A2998" s="8" t="s">
        <v>5956</v>
      </c>
      <c r="B2998" s="8" t="s">
        <v>56602</v>
      </c>
      <c r="C2998" s="8" t="s">
        <v>5957</v>
      </c>
      <c r="D2998" s="8"/>
      <c r="E2998" s="6"/>
      <c r="F2998" s="6"/>
    </row>
    <row r="2999" spans="1:6" x14ac:dyDescent="0.3">
      <c r="A2999" s="8" t="s">
        <v>5958</v>
      </c>
      <c r="B2999" s="8" t="s">
        <v>56603</v>
      </c>
      <c r="C2999" s="8" t="s">
        <v>5959</v>
      </c>
      <c r="D2999" s="8"/>
      <c r="E2999" s="6"/>
      <c r="F2999" s="6"/>
    </row>
    <row r="3000" spans="1:6" x14ac:dyDescent="0.3">
      <c r="A3000" s="8" t="s">
        <v>5960</v>
      </c>
      <c r="B3000" s="8" t="s">
        <v>56604</v>
      </c>
      <c r="C3000" s="8" t="s">
        <v>5961</v>
      </c>
      <c r="D3000" s="8"/>
      <c r="E3000" s="6"/>
      <c r="F3000" s="6"/>
    </row>
    <row r="3001" spans="1:6" x14ac:dyDescent="0.3">
      <c r="A3001" s="8" t="s">
        <v>5962</v>
      </c>
      <c r="B3001" s="8" t="s">
        <v>56605</v>
      </c>
      <c r="C3001" s="8" t="s">
        <v>5963</v>
      </c>
      <c r="D3001" s="8"/>
      <c r="E3001" s="6"/>
      <c r="F3001" s="6"/>
    </row>
    <row r="3002" spans="1:6" x14ac:dyDescent="0.3">
      <c r="A3002" s="8" t="s">
        <v>5964</v>
      </c>
      <c r="B3002" s="8" t="s">
        <v>56606</v>
      </c>
      <c r="C3002" s="8" t="s">
        <v>5965</v>
      </c>
      <c r="D3002" s="8"/>
      <c r="E3002" s="6"/>
      <c r="F3002" s="6"/>
    </row>
    <row r="3003" spans="1:6" x14ac:dyDescent="0.3">
      <c r="A3003" s="8" t="s">
        <v>5966</v>
      </c>
      <c r="B3003" s="8" t="s">
        <v>56607</v>
      </c>
      <c r="C3003" s="8" t="s">
        <v>5967</v>
      </c>
      <c r="D3003" s="8"/>
      <c r="E3003" s="6"/>
      <c r="F3003" s="6"/>
    </row>
    <row r="3004" spans="1:6" x14ac:dyDescent="0.3">
      <c r="A3004" s="8" t="s">
        <v>5968</v>
      </c>
      <c r="B3004" s="8" t="s">
        <v>56608</v>
      </c>
      <c r="C3004" s="8" t="s">
        <v>5969</v>
      </c>
      <c r="D3004" s="8"/>
      <c r="E3004" s="6"/>
      <c r="F3004" s="6"/>
    </row>
    <row r="3005" spans="1:6" x14ac:dyDescent="0.3">
      <c r="A3005" s="8" t="s">
        <v>5970</v>
      </c>
      <c r="B3005" s="8" t="s">
        <v>56609</v>
      </c>
      <c r="C3005" s="8" t="s">
        <v>5971</v>
      </c>
      <c r="D3005" s="8"/>
      <c r="E3005" s="6"/>
      <c r="F3005" s="6"/>
    </row>
    <row r="3006" spans="1:6" x14ac:dyDescent="0.3">
      <c r="A3006" s="8" t="s">
        <v>5972</v>
      </c>
      <c r="B3006" s="8" t="s">
        <v>56610</v>
      </c>
      <c r="C3006" s="8" t="s">
        <v>5973</v>
      </c>
      <c r="D3006" s="8"/>
      <c r="E3006" s="6"/>
      <c r="F3006" s="6"/>
    </row>
    <row r="3007" spans="1:6" x14ac:dyDescent="0.3">
      <c r="A3007" s="8" t="s">
        <v>5974</v>
      </c>
      <c r="B3007" s="8" t="s">
        <v>56611</v>
      </c>
      <c r="C3007" s="8" t="s">
        <v>5975</v>
      </c>
      <c r="D3007" s="8"/>
      <c r="E3007" s="6"/>
      <c r="F3007" s="6"/>
    </row>
    <row r="3008" spans="1:6" x14ac:dyDescent="0.3">
      <c r="A3008" s="8" t="s">
        <v>5976</v>
      </c>
      <c r="B3008" s="8" t="s">
        <v>56612</v>
      </c>
      <c r="C3008" s="8" t="s">
        <v>5977</v>
      </c>
      <c r="D3008" s="8"/>
      <c r="E3008" s="6"/>
      <c r="F3008" s="6"/>
    </row>
    <row r="3009" spans="1:6" x14ac:dyDescent="0.3">
      <c r="A3009" s="8" t="s">
        <v>5978</v>
      </c>
      <c r="B3009" s="8" t="s">
        <v>56613</v>
      </c>
      <c r="C3009" s="8" t="s">
        <v>5979</v>
      </c>
      <c r="D3009" s="8"/>
      <c r="E3009" s="6"/>
      <c r="F3009" s="6"/>
    </row>
    <row r="3010" spans="1:6" x14ac:dyDescent="0.3">
      <c r="A3010" s="8" t="s">
        <v>5980</v>
      </c>
      <c r="B3010" s="8" t="s">
        <v>56614</v>
      </c>
      <c r="C3010" s="8" t="s">
        <v>5981</v>
      </c>
      <c r="D3010" s="8"/>
      <c r="E3010" s="6"/>
      <c r="F3010" s="6"/>
    </row>
    <row r="3011" spans="1:6" x14ac:dyDescent="0.3">
      <c r="A3011" s="8" t="s">
        <v>5982</v>
      </c>
      <c r="B3011" s="8" t="s">
        <v>56615</v>
      </c>
      <c r="C3011" s="8" t="s">
        <v>5983</v>
      </c>
      <c r="D3011" s="8"/>
      <c r="E3011" s="6"/>
      <c r="F3011" s="6"/>
    </row>
    <row r="3012" spans="1:6" x14ac:dyDescent="0.3">
      <c r="A3012" s="8" t="s">
        <v>5984</v>
      </c>
      <c r="B3012" s="8" t="s">
        <v>56616</v>
      </c>
      <c r="C3012" s="8" t="s">
        <v>5985</v>
      </c>
      <c r="D3012" s="8"/>
      <c r="E3012" s="6"/>
      <c r="F3012" s="6"/>
    </row>
    <row r="3013" spans="1:6" x14ac:dyDescent="0.3">
      <c r="A3013" s="8" t="s">
        <v>5986</v>
      </c>
      <c r="B3013" s="8" t="s">
        <v>56617</v>
      </c>
      <c r="C3013" s="8" t="s">
        <v>5987</v>
      </c>
      <c r="D3013" s="8"/>
      <c r="E3013" s="6"/>
      <c r="F3013" s="6"/>
    </row>
    <row r="3014" spans="1:6" x14ac:dyDescent="0.3">
      <c r="A3014" s="8" t="s">
        <v>5988</v>
      </c>
      <c r="B3014" s="8" t="s">
        <v>56618</v>
      </c>
      <c r="C3014" s="8" t="s">
        <v>5989</v>
      </c>
      <c r="D3014" s="8"/>
      <c r="E3014" s="6"/>
      <c r="F3014" s="6"/>
    </row>
    <row r="3015" spans="1:6" x14ac:dyDescent="0.3">
      <c r="A3015" s="8" t="s">
        <v>5990</v>
      </c>
      <c r="B3015" s="8" t="s">
        <v>56619</v>
      </c>
      <c r="C3015" s="8" t="s">
        <v>5991</v>
      </c>
      <c r="D3015" s="8"/>
      <c r="E3015" s="6"/>
      <c r="F3015" s="6"/>
    </row>
    <row r="3016" spans="1:6" x14ac:dyDescent="0.3">
      <c r="A3016" s="8" t="s">
        <v>5992</v>
      </c>
      <c r="B3016" s="8" t="s">
        <v>56620</v>
      </c>
      <c r="C3016" s="8" t="s">
        <v>5993</v>
      </c>
      <c r="D3016" s="8"/>
      <c r="E3016" s="6"/>
      <c r="F3016" s="6"/>
    </row>
    <row r="3017" spans="1:6" x14ac:dyDescent="0.3">
      <c r="A3017" s="8" t="s">
        <v>5994</v>
      </c>
      <c r="B3017" s="8" t="s">
        <v>56621</v>
      </c>
      <c r="C3017" s="8" t="s">
        <v>5995</v>
      </c>
      <c r="D3017" s="8"/>
      <c r="E3017" s="6"/>
      <c r="F3017" s="6"/>
    </row>
    <row r="3018" spans="1:6" x14ac:dyDescent="0.3">
      <c r="A3018" s="8" t="s">
        <v>5996</v>
      </c>
      <c r="B3018" s="8" t="s">
        <v>56622</v>
      </c>
      <c r="C3018" s="8" t="s">
        <v>5997</v>
      </c>
      <c r="D3018" s="8"/>
      <c r="E3018" s="6"/>
      <c r="F3018" s="6"/>
    </row>
    <row r="3019" spans="1:6" x14ac:dyDescent="0.3">
      <c r="A3019" s="8" t="s">
        <v>5998</v>
      </c>
      <c r="B3019" s="8" t="s">
        <v>56623</v>
      </c>
      <c r="C3019" s="8" t="s">
        <v>5999</v>
      </c>
      <c r="D3019" s="8"/>
      <c r="E3019" s="6"/>
      <c r="F3019" s="6"/>
    </row>
    <row r="3020" spans="1:6" x14ac:dyDescent="0.3">
      <c r="A3020" s="8" t="s">
        <v>6000</v>
      </c>
      <c r="B3020" s="8" t="s">
        <v>56624</v>
      </c>
      <c r="C3020" s="8" t="s">
        <v>6001</v>
      </c>
      <c r="D3020" s="8"/>
      <c r="E3020" s="6"/>
      <c r="F3020" s="6"/>
    </row>
    <row r="3021" spans="1:6" x14ac:dyDescent="0.3">
      <c r="A3021" s="8" t="s">
        <v>6002</v>
      </c>
      <c r="B3021" s="8" t="s">
        <v>56625</v>
      </c>
      <c r="C3021" s="8" t="s">
        <v>6003</v>
      </c>
      <c r="D3021" s="8"/>
      <c r="E3021" s="6"/>
      <c r="F3021" s="6"/>
    </row>
    <row r="3022" spans="1:6" x14ac:dyDescent="0.3">
      <c r="A3022" s="8" t="s">
        <v>6004</v>
      </c>
      <c r="B3022" s="8" t="s">
        <v>56626</v>
      </c>
      <c r="C3022" s="8" t="s">
        <v>6005</v>
      </c>
      <c r="D3022" s="8"/>
      <c r="E3022" s="6"/>
      <c r="F3022" s="6"/>
    </row>
    <row r="3023" spans="1:6" x14ac:dyDescent="0.3">
      <c r="A3023" s="8" t="s">
        <v>6006</v>
      </c>
      <c r="B3023" s="8" t="s">
        <v>56627</v>
      </c>
      <c r="C3023" s="8" t="s">
        <v>6007</v>
      </c>
      <c r="D3023" s="8"/>
      <c r="E3023" s="6"/>
      <c r="F3023" s="6"/>
    </row>
    <row r="3024" spans="1:6" x14ac:dyDescent="0.3">
      <c r="A3024" s="8" t="s">
        <v>6008</v>
      </c>
      <c r="B3024" s="8" t="s">
        <v>56628</v>
      </c>
      <c r="C3024" s="8" t="s">
        <v>6009</v>
      </c>
      <c r="D3024" s="8"/>
      <c r="E3024" s="6"/>
      <c r="F3024" s="6"/>
    </row>
    <row r="3025" spans="1:6" x14ac:dyDescent="0.3">
      <c r="A3025" s="8" t="s">
        <v>6010</v>
      </c>
      <c r="B3025" s="8" t="s">
        <v>56629</v>
      </c>
      <c r="C3025" s="8" t="s">
        <v>6011</v>
      </c>
      <c r="D3025" s="8"/>
      <c r="E3025" s="6"/>
      <c r="F3025" s="6"/>
    </row>
    <row r="3026" spans="1:6" x14ac:dyDescent="0.3">
      <c r="A3026" s="8" t="s">
        <v>6012</v>
      </c>
      <c r="B3026" s="8" t="s">
        <v>56630</v>
      </c>
      <c r="C3026" s="8" t="s">
        <v>6013</v>
      </c>
      <c r="D3026" s="8"/>
      <c r="E3026" s="6"/>
      <c r="F3026" s="6"/>
    </row>
    <row r="3027" spans="1:6" x14ac:dyDescent="0.3">
      <c r="A3027" s="8" t="s">
        <v>6014</v>
      </c>
      <c r="B3027" s="8" t="s">
        <v>56631</v>
      </c>
      <c r="C3027" s="8" t="s">
        <v>6015</v>
      </c>
      <c r="D3027" s="8"/>
      <c r="E3027" s="6"/>
      <c r="F3027" s="6"/>
    </row>
    <row r="3028" spans="1:6" x14ac:dyDescent="0.3">
      <c r="A3028" s="8" t="s">
        <v>6016</v>
      </c>
      <c r="B3028" s="8" t="s">
        <v>56632</v>
      </c>
      <c r="C3028" s="8" t="s">
        <v>6017</v>
      </c>
      <c r="D3028" s="8"/>
      <c r="E3028" s="6"/>
      <c r="F3028" s="6"/>
    </row>
    <row r="3029" spans="1:6" x14ac:dyDescent="0.3">
      <c r="A3029" s="8" t="s">
        <v>6018</v>
      </c>
      <c r="B3029" s="8" t="s">
        <v>56633</v>
      </c>
      <c r="C3029" s="8" t="s">
        <v>6019</v>
      </c>
      <c r="D3029" s="8"/>
      <c r="E3029" s="6"/>
      <c r="F3029" s="6"/>
    </row>
    <row r="3030" spans="1:6" x14ac:dyDescent="0.3">
      <c r="A3030" s="8" t="s">
        <v>6020</v>
      </c>
      <c r="B3030" s="8" t="s">
        <v>56634</v>
      </c>
      <c r="C3030" s="8" t="s">
        <v>6021</v>
      </c>
      <c r="D3030" s="8"/>
      <c r="E3030" s="6"/>
      <c r="F3030" s="6"/>
    </row>
    <row r="3031" spans="1:6" x14ac:dyDescent="0.3">
      <c r="A3031" s="8" t="s">
        <v>6022</v>
      </c>
      <c r="B3031" s="8" t="s">
        <v>56635</v>
      </c>
      <c r="C3031" s="8" t="s">
        <v>6023</v>
      </c>
      <c r="D3031" s="8"/>
      <c r="E3031" s="6"/>
      <c r="F3031" s="6"/>
    </row>
    <row r="3032" spans="1:6" x14ac:dyDescent="0.3">
      <c r="A3032" s="8" t="s">
        <v>6024</v>
      </c>
      <c r="B3032" s="8" t="s">
        <v>56636</v>
      </c>
      <c r="C3032" s="8" t="s">
        <v>6025</v>
      </c>
      <c r="D3032" s="8"/>
      <c r="E3032" s="6"/>
      <c r="F3032" s="6"/>
    </row>
    <row r="3033" spans="1:6" x14ac:dyDescent="0.3">
      <c r="A3033" s="8" t="s">
        <v>6026</v>
      </c>
      <c r="B3033" s="8" t="s">
        <v>56637</v>
      </c>
      <c r="C3033" s="8" t="s">
        <v>6027</v>
      </c>
      <c r="D3033" s="8"/>
      <c r="E3033" s="6"/>
      <c r="F3033" s="6"/>
    </row>
    <row r="3034" spans="1:6" x14ac:dyDescent="0.3">
      <c r="A3034" s="8" t="s">
        <v>6028</v>
      </c>
      <c r="B3034" s="8" t="s">
        <v>56638</v>
      </c>
      <c r="C3034" s="8" t="s">
        <v>6029</v>
      </c>
      <c r="D3034" s="8"/>
      <c r="E3034" s="6"/>
      <c r="F3034" s="6"/>
    </row>
    <row r="3035" spans="1:6" x14ac:dyDescent="0.3">
      <c r="A3035" s="8" t="s">
        <v>6030</v>
      </c>
      <c r="B3035" s="8" t="s">
        <v>56639</v>
      </c>
      <c r="C3035" s="8" t="s">
        <v>6031</v>
      </c>
      <c r="D3035" s="8"/>
      <c r="E3035" s="6"/>
      <c r="F3035" s="6"/>
    </row>
    <row r="3036" spans="1:6" x14ac:dyDescent="0.3">
      <c r="A3036" s="8" t="s">
        <v>6032</v>
      </c>
      <c r="B3036" s="8" t="s">
        <v>56640</v>
      </c>
      <c r="C3036" s="8" t="s">
        <v>6033</v>
      </c>
      <c r="D3036" s="8"/>
      <c r="E3036" s="6"/>
      <c r="F3036" s="6"/>
    </row>
    <row r="3037" spans="1:6" ht="28.8" x14ac:dyDescent="0.3">
      <c r="A3037" s="8" t="s">
        <v>6034</v>
      </c>
      <c r="B3037" s="8" t="s">
        <v>56641</v>
      </c>
      <c r="C3037" s="8" t="s">
        <v>6035</v>
      </c>
      <c r="D3037" s="8"/>
      <c r="E3037" s="6"/>
      <c r="F3037" s="6"/>
    </row>
    <row r="3038" spans="1:6" x14ac:dyDescent="0.3">
      <c r="A3038" s="8" t="s">
        <v>6036</v>
      </c>
      <c r="B3038" s="8" t="s">
        <v>56642</v>
      </c>
      <c r="C3038" s="8" t="s">
        <v>6037</v>
      </c>
      <c r="D3038" s="8"/>
      <c r="E3038" s="6"/>
      <c r="F3038" s="6"/>
    </row>
    <row r="3039" spans="1:6" x14ac:dyDescent="0.3">
      <c r="A3039" s="8" t="s">
        <v>6038</v>
      </c>
      <c r="B3039" s="8" t="s">
        <v>56643</v>
      </c>
      <c r="C3039" s="8" t="s">
        <v>6039</v>
      </c>
      <c r="D3039" s="8"/>
      <c r="E3039" s="6"/>
      <c r="F3039" s="6"/>
    </row>
    <row r="3040" spans="1:6" x14ac:dyDescent="0.3">
      <c r="A3040" s="8" t="s">
        <v>6040</v>
      </c>
      <c r="B3040" s="8" t="s">
        <v>56644</v>
      </c>
      <c r="C3040" s="8" t="s">
        <v>6041</v>
      </c>
      <c r="D3040" s="8"/>
      <c r="E3040" s="6"/>
      <c r="F3040" s="6"/>
    </row>
    <row r="3041" spans="1:6" x14ac:dyDescent="0.3">
      <c r="A3041" s="8" t="s">
        <v>6042</v>
      </c>
      <c r="B3041" s="8" t="s">
        <v>56645</v>
      </c>
      <c r="C3041" s="8" t="s">
        <v>6043</v>
      </c>
      <c r="D3041" s="8"/>
      <c r="E3041" s="6"/>
      <c r="F3041" s="6"/>
    </row>
    <row r="3042" spans="1:6" x14ac:dyDescent="0.3">
      <c r="A3042" s="8" t="s">
        <v>6044</v>
      </c>
      <c r="B3042" s="8" t="s">
        <v>56646</v>
      </c>
      <c r="C3042" s="8" t="s">
        <v>6045</v>
      </c>
      <c r="D3042" s="8"/>
      <c r="E3042" s="6"/>
      <c r="F3042" s="6"/>
    </row>
    <row r="3043" spans="1:6" x14ac:dyDescent="0.3">
      <c r="A3043" s="8" t="s">
        <v>6046</v>
      </c>
      <c r="B3043" s="8" t="s">
        <v>56647</v>
      </c>
      <c r="C3043" s="8" t="s">
        <v>6047</v>
      </c>
      <c r="D3043" s="8"/>
      <c r="E3043" s="6"/>
      <c r="F3043" s="6"/>
    </row>
    <row r="3044" spans="1:6" x14ac:dyDescent="0.3">
      <c r="A3044" s="8" t="s">
        <v>6048</v>
      </c>
      <c r="B3044" s="8" t="s">
        <v>56648</v>
      </c>
      <c r="C3044" s="8" t="s">
        <v>6049</v>
      </c>
      <c r="D3044" s="8"/>
      <c r="E3044" s="6"/>
      <c r="F3044" s="6"/>
    </row>
    <row r="3045" spans="1:6" x14ac:dyDescent="0.3">
      <c r="A3045" s="8" t="s">
        <v>6050</v>
      </c>
      <c r="B3045" s="8" t="s">
        <v>56649</v>
      </c>
      <c r="C3045" s="8" t="s">
        <v>6051</v>
      </c>
      <c r="D3045" s="8"/>
      <c r="E3045" s="6"/>
      <c r="F3045" s="6"/>
    </row>
    <row r="3046" spans="1:6" x14ac:dyDescent="0.3">
      <c r="A3046" s="8" t="s">
        <v>6052</v>
      </c>
      <c r="B3046" s="8" t="s">
        <v>56650</v>
      </c>
      <c r="C3046" s="8" t="s">
        <v>6053</v>
      </c>
      <c r="D3046" s="8"/>
      <c r="E3046" s="6"/>
      <c r="F3046" s="6"/>
    </row>
    <row r="3047" spans="1:6" x14ac:dyDescent="0.3">
      <c r="A3047" s="8" t="s">
        <v>6054</v>
      </c>
      <c r="B3047" s="8" t="s">
        <v>56651</v>
      </c>
      <c r="C3047" s="8" t="s">
        <v>6055</v>
      </c>
      <c r="D3047" s="8"/>
      <c r="E3047" s="6"/>
      <c r="F3047" s="6"/>
    </row>
    <row r="3048" spans="1:6" x14ac:dyDescent="0.3">
      <c r="A3048" s="8" t="s">
        <v>6056</v>
      </c>
      <c r="B3048" s="8" t="s">
        <v>56652</v>
      </c>
      <c r="C3048" s="8" t="s">
        <v>6057</v>
      </c>
      <c r="D3048" s="8"/>
      <c r="E3048" s="6"/>
      <c r="F3048" s="6"/>
    </row>
    <row r="3049" spans="1:6" x14ac:dyDescent="0.3">
      <c r="A3049" s="8" t="s">
        <v>6058</v>
      </c>
      <c r="B3049" s="8" t="s">
        <v>56653</v>
      </c>
      <c r="C3049" s="8" t="s">
        <v>6059</v>
      </c>
      <c r="D3049" s="8"/>
      <c r="E3049" s="6"/>
      <c r="F3049" s="6"/>
    </row>
    <row r="3050" spans="1:6" x14ac:dyDescent="0.3">
      <c r="A3050" s="8" t="s">
        <v>6060</v>
      </c>
      <c r="B3050" s="8" t="s">
        <v>56654</v>
      </c>
      <c r="C3050" s="8" t="s">
        <v>6061</v>
      </c>
      <c r="D3050" s="8"/>
      <c r="E3050" s="6"/>
      <c r="F3050" s="6"/>
    </row>
    <row r="3051" spans="1:6" x14ac:dyDescent="0.3">
      <c r="A3051" s="8" t="s">
        <v>6062</v>
      </c>
      <c r="B3051" s="8" t="s">
        <v>56655</v>
      </c>
      <c r="C3051" s="8" t="s">
        <v>6063</v>
      </c>
      <c r="D3051" s="8"/>
      <c r="E3051" s="6"/>
      <c r="F3051" s="6"/>
    </row>
    <row r="3052" spans="1:6" x14ac:dyDescent="0.3">
      <c r="A3052" s="8" t="s">
        <v>6064</v>
      </c>
      <c r="B3052" s="8" t="s">
        <v>56656</v>
      </c>
      <c r="C3052" s="8" t="s">
        <v>6065</v>
      </c>
      <c r="D3052" s="8"/>
      <c r="E3052" s="6"/>
      <c r="F3052" s="6"/>
    </row>
    <row r="3053" spans="1:6" x14ac:dyDescent="0.3">
      <c r="A3053" s="8" t="s">
        <v>6066</v>
      </c>
      <c r="B3053" s="8" t="s">
        <v>56657</v>
      </c>
      <c r="C3053" s="8" t="s">
        <v>6067</v>
      </c>
      <c r="D3053" s="8"/>
      <c r="E3053" s="6"/>
      <c r="F3053" s="6"/>
    </row>
    <row r="3054" spans="1:6" x14ac:dyDescent="0.3">
      <c r="A3054" s="8" t="s">
        <v>6068</v>
      </c>
      <c r="B3054" s="8" t="s">
        <v>56658</v>
      </c>
      <c r="C3054" s="8" t="s">
        <v>6069</v>
      </c>
      <c r="D3054" s="8"/>
      <c r="E3054" s="6"/>
      <c r="F3054" s="6"/>
    </row>
    <row r="3055" spans="1:6" x14ac:dyDescent="0.3">
      <c r="A3055" s="8" t="s">
        <v>6070</v>
      </c>
      <c r="B3055" s="8" t="s">
        <v>56659</v>
      </c>
      <c r="C3055" s="8" t="s">
        <v>6071</v>
      </c>
      <c r="D3055" s="8"/>
      <c r="E3055" s="6"/>
      <c r="F3055" s="6"/>
    </row>
    <row r="3056" spans="1:6" x14ac:dyDescent="0.3">
      <c r="A3056" s="8" t="s">
        <v>6072</v>
      </c>
      <c r="B3056" s="8" t="s">
        <v>56660</v>
      </c>
      <c r="C3056" s="8" t="s">
        <v>6073</v>
      </c>
      <c r="D3056" s="8"/>
      <c r="E3056" s="6"/>
      <c r="F3056" s="6"/>
    </row>
    <row r="3057" spans="1:6" x14ac:dyDescent="0.3">
      <c r="A3057" s="8" t="s">
        <v>6074</v>
      </c>
      <c r="B3057" s="8" t="s">
        <v>56661</v>
      </c>
      <c r="C3057" s="8" t="s">
        <v>6075</v>
      </c>
      <c r="D3057" s="8"/>
      <c r="E3057" s="6"/>
      <c r="F3057" s="6"/>
    </row>
    <row r="3058" spans="1:6" x14ac:dyDescent="0.3">
      <c r="A3058" s="8" t="s">
        <v>6076</v>
      </c>
      <c r="B3058" s="8" t="s">
        <v>56662</v>
      </c>
      <c r="C3058" s="8" t="s">
        <v>6077</v>
      </c>
      <c r="D3058" s="8"/>
      <c r="E3058" s="6"/>
      <c r="F3058" s="6"/>
    </row>
    <row r="3059" spans="1:6" x14ac:dyDescent="0.3">
      <c r="A3059" s="8" t="s">
        <v>6078</v>
      </c>
      <c r="B3059" s="8" t="s">
        <v>56663</v>
      </c>
      <c r="C3059" s="8" t="s">
        <v>6079</v>
      </c>
      <c r="D3059" s="8"/>
      <c r="E3059" s="6"/>
      <c r="F3059" s="6"/>
    </row>
    <row r="3060" spans="1:6" x14ac:dyDescent="0.3">
      <c r="A3060" s="8" t="s">
        <v>6080</v>
      </c>
      <c r="B3060" s="8" t="s">
        <v>56664</v>
      </c>
      <c r="C3060" s="8" t="s">
        <v>6081</v>
      </c>
      <c r="D3060" s="8"/>
      <c r="E3060" s="6"/>
      <c r="F3060" s="6"/>
    </row>
    <row r="3061" spans="1:6" x14ac:dyDescent="0.3">
      <c r="A3061" s="8" t="s">
        <v>6082</v>
      </c>
      <c r="B3061" s="8" t="s">
        <v>56665</v>
      </c>
      <c r="C3061" s="8" t="s">
        <v>6083</v>
      </c>
      <c r="D3061" s="8"/>
      <c r="E3061" s="6"/>
      <c r="F3061" s="6"/>
    </row>
    <row r="3062" spans="1:6" x14ac:dyDescent="0.3">
      <c r="A3062" s="8" t="s">
        <v>6084</v>
      </c>
      <c r="B3062" s="8" t="s">
        <v>56666</v>
      </c>
      <c r="C3062" s="8" t="s">
        <v>6085</v>
      </c>
      <c r="D3062" s="8"/>
      <c r="E3062" s="6"/>
      <c r="F3062" s="6"/>
    </row>
    <row r="3063" spans="1:6" x14ac:dyDescent="0.3">
      <c r="A3063" s="8" t="s">
        <v>6086</v>
      </c>
      <c r="B3063" s="8" t="s">
        <v>56667</v>
      </c>
      <c r="C3063" s="8" t="s">
        <v>6087</v>
      </c>
      <c r="D3063" s="8"/>
      <c r="E3063" s="6"/>
      <c r="F3063" s="6"/>
    </row>
    <row r="3064" spans="1:6" x14ac:dyDescent="0.3">
      <c r="A3064" s="8" t="s">
        <v>6088</v>
      </c>
      <c r="B3064" s="8" t="s">
        <v>56668</v>
      </c>
      <c r="C3064" s="8" t="s">
        <v>6089</v>
      </c>
      <c r="D3064" s="8"/>
      <c r="E3064" s="6"/>
      <c r="F3064" s="6"/>
    </row>
    <row r="3065" spans="1:6" x14ac:dyDescent="0.3">
      <c r="A3065" s="8" t="s">
        <v>6090</v>
      </c>
      <c r="B3065" s="8" t="s">
        <v>56669</v>
      </c>
      <c r="C3065" s="8" t="s">
        <v>6091</v>
      </c>
      <c r="D3065" s="8"/>
      <c r="E3065" s="6"/>
      <c r="F3065" s="6"/>
    </row>
    <row r="3066" spans="1:6" x14ac:dyDescent="0.3">
      <c r="A3066" s="8" t="s">
        <v>6092</v>
      </c>
      <c r="B3066" s="8" t="s">
        <v>56670</v>
      </c>
      <c r="C3066" s="8" t="s">
        <v>6093</v>
      </c>
      <c r="D3066" s="8"/>
      <c r="E3066" s="6"/>
      <c r="F3066" s="6"/>
    </row>
    <row r="3067" spans="1:6" x14ac:dyDescent="0.3">
      <c r="A3067" s="8" t="s">
        <v>6094</v>
      </c>
      <c r="B3067" s="8" t="s">
        <v>56671</v>
      </c>
      <c r="C3067" s="8" t="s">
        <v>6095</v>
      </c>
      <c r="D3067" s="8"/>
      <c r="E3067" s="6"/>
      <c r="F3067" s="6"/>
    </row>
    <row r="3068" spans="1:6" x14ac:dyDescent="0.3">
      <c r="A3068" s="8" t="s">
        <v>6096</v>
      </c>
      <c r="B3068" s="8" t="s">
        <v>56672</v>
      </c>
      <c r="C3068" s="8" t="s">
        <v>6097</v>
      </c>
      <c r="D3068" s="8"/>
      <c r="E3068" s="6"/>
      <c r="F3068" s="6"/>
    </row>
    <row r="3069" spans="1:6" ht="28.8" x14ac:dyDescent="0.3">
      <c r="A3069" s="8" t="s">
        <v>6098</v>
      </c>
      <c r="B3069" s="8" t="s">
        <v>56673</v>
      </c>
      <c r="C3069" s="8" t="s">
        <v>6099</v>
      </c>
      <c r="D3069" s="8"/>
      <c r="E3069" s="6"/>
      <c r="F3069" s="6"/>
    </row>
    <row r="3070" spans="1:6" x14ac:dyDescent="0.3">
      <c r="A3070" s="8" t="s">
        <v>6100</v>
      </c>
      <c r="B3070" s="8" t="s">
        <v>56674</v>
      </c>
      <c r="C3070" s="8" t="s">
        <v>6101</v>
      </c>
      <c r="D3070" s="8"/>
      <c r="E3070" s="6"/>
      <c r="F3070" s="6"/>
    </row>
    <row r="3071" spans="1:6" x14ac:dyDescent="0.3">
      <c r="A3071" s="8" t="s">
        <v>6102</v>
      </c>
      <c r="B3071" s="8" t="s">
        <v>56675</v>
      </c>
      <c r="C3071" s="8" t="s">
        <v>6103</v>
      </c>
      <c r="D3071" s="8"/>
      <c r="E3071" s="6"/>
      <c r="F3071" s="6"/>
    </row>
    <row r="3072" spans="1:6" x14ac:dyDescent="0.3">
      <c r="A3072" s="8" t="s">
        <v>6104</v>
      </c>
      <c r="B3072" s="8" t="s">
        <v>56676</v>
      </c>
      <c r="C3072" s="8" t="s">
        <v>6105</v>
      </c>
      <c r="D3072" s="8"/>
      <c r="E3072" s="6"/>
      <c r="F3072" s="6"/>
    </row>
    <row r="3073" spans="1:6" x14ac:dyDescent="0.3">
      <c r="A3073" s="8" t="s">
        <v>6106</v>
      </c>
      <c r="B3073" s="8" t="s">
        <v>56677</v>
      </c>
      <c r="C3073" s="8" t="s">
        <v>6107</v>
      </c>
      <c r="D3073" s="8"/>
      <c r="E3073" s="6"/>
      <c r="F3073" s="6"/>
    </row>
    <row r="3074" spans="1:6" x14ac:dyDescent="0.3">
      <c r="A3074" s="8" t="s">
        <v>6108</v>
      </c>
      <c r="B3074" s="8" t="s">
        <v>56678</v>
      </c>
      <c r="C3074" s="8" t="s">
        <v>6109</v>
      </c>
      <c r="D3074" s="8"/>
      <c r="E3074" s="6"/>
      <c r="F3074" s="6"/>
    </row>
    <row r="3075" spans="1:6" x14ac:dyDescent="0.3">
      <c r="A3075" s="8" t="s">
        <v>6110</v>
      </c>
      <c r="B3075" s="8" t="s">
        <v>56679</v>
      </c>
      <c r="C3075" s="8" t="s">
        <v>6111</v>
      </c>
      <c r="D3075" s="8"/>
      <c r="E3075" s="6"/>
      <c r="F3075" s="6"/>
    </row>
    <row r="3076" spans="1:6" x14ac:dyDescent="0.3">
      <c r="A3076" s="8" t="s">
        <v>6112</v>
      </c>
      <c r="B3076" s="8" t="s">
        <v>56680</v>
      </c>
      <c r="C3076" s="8" t="s">
        <v>6113</v>
      </c>
      <c r="D3076" s="8"/>
      <c r="E3076" s="6"/>
      <c r="F3076" s="6"/>
    </row>
    <row r="3077" spans="1:6" x14ac:dyDescent="0.3">
      <c r="A3077" s="8" t="s">
        <v>6114</v>
      </c>
      <c r="B3077" s="8" t="s">
        <v>56681</v>
      </c>
      <c r="C3077" s="8" t="s">
        <v>6115</v>
      </c>
      <c r="D3077" s="8"/>
      <c r="E3077" s="6"/>
      <c r="F3077" s="6"/>
    </row>
    <row r="3078" spans="1:6" x14ac:dyDescent="0.3">
      <c r="A3078" s="8" t="s">
        <v>6116</v>
      </c>
      <c r="B3078" s="8" t="s">
        <v>56682</v>
      </c>
      <c r="C3078" s="8" t="s">
        <v>6117</v>
      </c>
      <c r="D3078" s="8"/>
      <c r="E3078" s="6"/>
      <c r="F3078" s="6"/>
    </row>
    <row r="3079" spans="1:6" x14ac:dyDescent="0.3">
      <c r="A3079" s="8" t="s">
        <v>6118</v>
      </c>
      <c r="B3079" s="8" t="s">
        <v>56683</v>
      </c>
      <c r="C3079" s="8" t="s">
        <v>6119</v>
      </c>
      <c r="D3079" s="8"/>
      <c r="E3079" s="6"/>
      <c r="F3079" s="6"/>
    </row>
    <row r="3080" spans="1:6" x14ac:dyDescent="0.3">
      <c r="A3080" s="8" t="s">
        <v>6120</v>
      </c>
      <c r="B3080" s="8" t="s">
        <v>56684</v>
      </c>
      <c r="C3080" s="8" t="s">
        <v>6121</v>
      </c>
      <c r="D3080" s="8"/>
      <c r="E3080" s="6"/>
      <c r="F3080" s="6"/>
    </row>
    <row r="3081" spans="1:6" x14ac:dyDescent="0.3">
      <c r="A3081" s="8" t="s">
        <v>6122</v>
      </c>
      <c r="B3081" s="8" t="s">
        <v>56685</v>
      </c>
      <c r="C3081" s="8" t="s">
        <v>6123</v>
      </c>
      <c r="D3081" s="8"/>
      <c r="E3081" s="6"/>
      <c r="F3081" s="6"/>
    </row>
    <row r="3082" spans="1:6" x14ac:dyDescent="0.3">
      <c r="A3082" s="8" t="s">
        <v>6124</v>
      </c>
      <c r="B3082" s="8" t="s">
        <v>56686</v>
      </c>
      <c r="C3082" s="8" t="s">
        <v>6125</v>
      </c>
      <c r="D3082" s="8"/>
      <c r="E3082" s="6"/>
      <c r="F3082" s="6"/>
    </row>
    <row r="3083" spans="1:6" ht="28.8" x14ac:dyDescent="0.3">
      <c r="A3083" s="8" t="s">
        <v>6126</v>
      </c>
      <c r="B3083" s="8" t="s">
        <v>56687</v>
      </c>
      <c r="C3083" s="8" t="s">
        <v>6127</v>
      </c>
      <c r="D3083" s="8"/>
      <c r="E3083" s="6"/>
      <c r="F3083" s="6"/>
    </row>
    <row r="3084" spans="1:6" x14ac:dyDescent="0.3">
      <c r="A3084" s="8" t="s">
        <v>6128</v>
      </c>
      <c r="B3084" s="8" t="s">
        <v>56688</v>
      </c>
      <c r="C3084" s="8" t="s">
        <v>6129</v>
      </c>
      <c r="D3084" s="8"/>
      <c r="E3084" s="6"/>
      <c r="F3084" s="6"/>
    </row>
    <row r="3085" spans="1:6" x14ac:dyDescent="0.3">
      <c r="A3085" s="8" t="s">
        <v>6130</v>
      </c>
      <c r="B3085" s="8" t="s">
        <v>56689</v>
      </c>
      <c r="C3085" s="8" t="s">
        <v>6131</v>
      </c>
      <c r="D3085" s="8"/>
      <c r="E3085" s="6"/>
      <c r="F3085" s="6"/>
    </row>
    <row r="3086" spans="1:6" x14ac:dyDescent="0.3">
      <c r="A3086" s="8" t="s">
        <v>6132</v>
      </c>
      <c r="B3086" s="8" t="s">
        <v>56690</v>
      </c>
      <c r="C3086" s="8" t="s">
        <v>6133</v>
      </c>
      <c r="D3086" s="8"/>
      <c r="E3086" s="6"/>
      <c r="F3086" s="6"/>
    </row>
    <row r="3087" spans="1:6" x14ac:dyDescent="0.3">
      <c r="A3087" s="8" t="s">
        <v>6134</v>
      </c>
      <c r="B3087" s="8" t="s">
        <v>56691</v>
      </c>
      <c r="C3087" s="8" t="s">
        <v>6135</v>
      </c>
      <c r="D3087" s="8"/>
      <c r="E3087" s="6"/>
      <c r="F3087" s="6"/>
    </row>
    <row r="3088" spans="1:6" x14ac:dyDescent="0.3">
      <c r="A3088" s="8" t="s">
        <v>6136</v>
      </c>
      <c r="B3088" s="8" t="s">
        <v>56692</v>
      </c>
      <c r="C3088" s="8" t="s">
        <v>6137</v>
      </c>
      <c r="D3088" s="8"/>
      <c r="E3088" s="6"/>
      <c r="F3088" s="6"/>
    </row>
    <row r="3089" spans="1:6" x14ac:dyDescent="0.3">
      <c r="A3089" s="8" t="s">
        <v>6138</v>
      </c>
      <c r="B3089" s="8" t="s">
        <v>56693</v>
      </c>
      <c r="C3089" s="8" t="s">
        <v>6139</v>
      </c>
      <c r="D3089" s="8"/>
      <c r="E3089" s="6"/>
      <c r="F3089" s="6"/>
    </row>
    <row r="3090" spans="1:6" x14ac:dyDescent="0.3">
      <c r="A3090" s="8" t="s">
        <v>6140</v>
      </c>
      <c r="B3090" s="8" t="s">
        <v>56694</v>
      </c>
      <c r="C3090" s="8" t="s">
        <v>6141</v>
      </c>
      <c r="D3090" s="8"/>
      <c r="E3090" s="6"/>
      <c r="F3090" s="6"/>
    </row>
    <row r="3091" spans="1:6" x14ac:dyDescent="0.3">
      <c r="A3091" s="8" t="s">
        <v>6142</v>
      </c>
      <c r="B3091" s="8" t="s">
        <v>56695</v>
      </c>
      <c r="C3091" s="8" t="s">
        <v>6143</v>
      </c>
      <c r="D3091" s="8"/>
      <c r="E3091" s="6"/>
      <c r="F3091" s="6"/>
    </row>
    <row r="3092" spans="1:6" x14ac:dyDescent="0.3">
      <c r="A3092" s="8" t="s">
        <v>6144</v>
      </c>
      <c r="B3092" s="8" t="s">
        <v>56696</v>
      </c>
      <c r="C3092" s="8" t="s">
        <v>6145</v>
      </c>
      <c r="D3092" s="8"/>
      <c r="E3092" s="6"/>
      <c r="F3092" s="6"/>
    </row>
    <row r="3093" spans="1:6" x14ac:dyDescent="0.3">
      <c r="A3093" s="8" t="s">
        <v>6146</v>
      </c>
      <c r="B3093" s="8" t="s">
        <v>56697</v>
      </c>
      <c r="C3093" s="8" t="s">
        <v>6147</v>
      </c>
      <c r="D3093" s="8"/>
      <c r="E3093" s="6"/>
      <c r="F3093" s="6"/>
    </row>
    <row r="3094" spans="1:6" x14ac:dyDescent="0.3">
      <c r="A3094" s="8" t="s">
        <v>6148</v>
      </c>
      <c r="B3094" s="8" t="s">
        <v>56698</v>
      </c>
      <c r="C3094" s="8" t="s">
        <v>6149</v>
      </c>
      <c r="D3094" s="8"/>
      <c r="E3094" s="6"/>
      <c r="F3094" s="6"/>
    </row>
    <row r="3095" spans="1:6" x14ac:dyDescent="0.3">
      <c r="A3095" s="8" t="s">
        <v>6150</v>
      </c>
      <c r="B3095" s="8" t="s">
        <v>56699</v>
      </c>
      <c r="C3095" s="8" t="s">
        <v>6151</v>
      </c>
      <c r="D3095" s="8"/>
      <c r="E3095" s="6"/>
      <c r="F3095" s="6"/>
    </row>
    <row r="3096" spans="1:6" x14ac:dyDescent="0.3">
      <c r="A3096" s="8" t="s">
        <v>6152</v>
      </c>
      <c r="B3096" s="8" t="s">
        <v>56700</v>
      </c>
      <c r="C3096" s="8" t="s">
        <v>6153</v>
      </c>
      <c r="D3096" s="8"/>
      <c r="E3096" s="6"/>
      <c r="F3096" s="6"/>
    </row>
    <row r="3097" spans="1:6" x14ac:dyDescent="0.3">
      <c r="A3097" s="8" t="s">
        <v>6154</v>
      </c>
      <c r="B3097" s="8" t="s">
        <v>56701</v>
      </c>
      <c r="C3097" s="8" t="s">
        <v>6155</v>
      </c>
      <c r="D3097" s="8"/>
      <c r="E3097" s="6"/>
      <c r="F3097" s="6"/>
    </row>
    <row r="3098" spans="1:6" x14ac:dyDescent="0.3">
      <c r="A3098" s="8" t="s">
        <v>6156</v>
      </c>
      <c r="B3098" s="8" t="s">
        <v>56702</v>
      </c>
      <c r="C3098" s="8" t="s">
        <v>6157</v>
      </c>
      <c r="D3098" s="8"/>
      <c r="E3098" s="6"/>
      <c r="F3098" s="6"/>
    </row>
    <row r="3099" spans="1:6" x14ac:dyDescent="0.3">
      <c r="A3099" s="8" t="s">
        <v>6158</v>
      </c>
      <c r="B3099" s="8" t="s">
        <v>56703</v>
      </c>
      <c r="C3099" s="8" t="s">
        <v>6159</v>
      </c>
      <c r="D3099" s="8"/>
      <c r="E3099" s="6"/>
      <c r="F3099" s="6"/>
    </row>
    <row r="3100" spans="1:6" x14ac:dyDescent="0.3">
      <c r="A3100" s="8" t="s">
        <v>6160</v>
      </c>
      <c r="B3100" s="8" t="s">
        <v>56704</v>
      </c>
      <c r="C3100" s="8" t="s">
        <v>6161</v>
      </c>
      <c r="D3100" s="8"/>
      <c r="E3100" s="6"/>
      <c r="F3100" s="6"/>
    </row>
    <row r="3101" spans="1:6" x14ac:dyDescent="0.3">
      <c r="A3101" s="8" t="s">
        <v>6162</v>
      </c>
      <c r="B3101" s="8" t="s">
        <v>56705</v>
      </c>
      <c r="C3101" s="8" t="s">
        <v>6163</v>
      </c>
      <c r="D3101" s="8"/>
      <c r="E3101" s="6"/>
      <c r="F3101" s="6"/>
    </row>
    <row r="3102" spans="1:6" x14ac:dyDescent="0.3">
      <c r="A3102" s="8" t="s">
        <v>6164</v>
      </c>
      <c r="B3102" s="8" t="s">
        <v>56706</v>
      </c>
      <c r="C3102" s="8" t="s">
        <v>6165</v>
      </c>
      <c r="D3102" s="8"/>
      <c r="E3102" s="6"/>
      <c r="F3102" s="6"/>
    </row>
    <row r="3103" spans="1:6" x14ac:dyDescent="0.3">
      <c r="A3103" s="8" t="s">
        <v>6166</v>
      </c>
      <c r="B3103" s="8" t="s">
        <v>56707</v>
      </c>
      <c r="C3103" s="8" t="s">
        <v>6167</v>
      </c>
      <c r="D3103" s="8"/>
      <c r="E3103" s="6"/>
      <c r="F3103" s="6"/>
    </row>
    <row r="3104" spans="1:6" x14ac:dyDescent="0.3">
      <c r="A3104" s="8" t="s">
        <v>6168</v>
      </c>
      <c r="B3104" s="8" t="s">
        <v>56708</v>
      </c>
      <c r="C3104" s="8" t="s">
        <v>6169</v>
      </c>
      <c r="D3104" s="8"/>
      <c r="E3104" s="6"/>
      <c r="F3104" s="6"/>
    </row>
    <row r="3105" spans="1:6" x14ac:dyDescent="0.3">
      <c r="A3105" s="8" t="s">
        <v>6170</v>
      </c>
      <c r="B3105" s="8" t="s">
        <v>56709</v>
      </c>
      <c r="C3105" s="8" t="s">
        <v>6171</v>
      </c>
      <c r="D3105" s="8"/>
      <c r="E3105" s="6"/>
      <c r="F3105" s="6"/>
    </row>
    <row r="3106" spans="1:6" x14ac:dyDescent="0.3">
      <c r="A3106" s="8" t="s">
        <v>6172</v>
      </c>
      <c r="B3106" s="8" t="s">
        <v>56710</v>
      </c>
      <c r="C3106" s="8" t="s">
        <v>6173</v>
      </c>
      <c r="D3106" s="8"/>
      <c r="E3106" s="6"/>
      <c r="F3106" s="6"/>
    </row>
    <row r="3107" spans="1:6" x14ac:dyDescent="0.3">
      <c r="A3107" s="8" t="s">
        <v>6174</v>
      </c>
      <c r="B3107" s="8" t="s">
        <v>56711</v>
      </c>
      <c r="C3107" s="8" t="s">
        <v>6175</v>
      </c>
      <c r="D3107" s="8"/>
      <c r="E3107" s="6"/>
      <c r="F3107" s="6"/>
    </row>
    <row r="3108" spans="1:6" x14ac:dyDescent="0.3">
      <c r="A3108" s="8" t="s">
        <v>6176</v>
      </c>
      <c r="B3108" s="8" t="s">
        <v>56712</v>
      </c>
      <c r="C3108" s="8" t="s">
        <v>6177</v>
      </c>
      <c r="D3108" s="8"/>
      <c r="E3108" s="6"/>
      <c r="F3108" s="6"/>
    </row>
    <row r="3109" spans="1:6" x14ac:dyDescent="0.3">
      <c r="A3109" s="8" t="s">
        <v>6178</v>
      </c>
      <c r="B3109" s="8" t="s">
        <v>56713</v>
      </c>
      <c r="C3109" s="8" t="s">
        <v>6179</v>
      </c>
      <c r="D3109" s="8"/>
      <c r="E3109" s="6"/>
      <c r="F3109" s="6"/>
    </row>
    <row r="3110" spans="1:6" x14ac:dyDescent="0.3">
      <c r="A3110" s="8" t="s">
        <v>6180</v>
      </c>
      <c r="B3110" s="8" t="s">
        <v>56714</v>
      </c>
      <c r="C3110" s="8" t="s">
        <v>6181</v>
      </c>
      <c r="D3110" s="8"/>
      <c r="E3110" s="6"/>
      <c r="F3110" s="6"/>
    </row>
    <row r="3111" spans="1:6" x14ac:dyDescent="0.3">
      <c r="A3111" s="8" t="s">
        <v>6182</v>
      </c>
      <c r="B3111" s="8" t="s">
        <v>56715</v>
      </c>
      <c r="C3111" s="8" t="s">
        <v>6183</v>
      </c>
      <c r="D3111" s="8"/>
      <c r="E3111" s="6"/>
      <c r="F3111" s="6"/>
    </row>
    <row r="3112" spans="1:6" x14ac:dyDescent="0.3">
      <c r="A3112" s="8" t="s">
        <v>6184</v>
      </c>
      <c r="B3112" s="8" t="s">
        <v>56716</v>
      </c>
      <c r="C3112" s="8" t="s">
        <v>6185</v>
      </c>
      <c r="D3112" s="8"/>
      <c r="E3112" s="6"/>
      <c r="F3112" s="6"/>
    </row>
    <row r="3113" spans="1:6" x14ac:dyDescent="0.3">
      <c r="A3113" s="8" t="s">
        <v>6186</v>
      </c>
      <c r="B3113" s="8" t="s">
        <v>56717</v>
      </c>
      <c r="C3113" s="8" t="s">
        <v>6187</v>
      </c>
      <c r="D3113" s="8"/>
      <c r="E3113" s="6"/>
      <c r="F3113" s="6"/>
    </row>
    <row r="3114" spans="1:6" x14ac:dyDescent="0.3">
      <c r="A3114" s="8" t="s">
        <v>6188</v>
      </c>
      <c r="B3114" s="8" t="s">
        <v>56718</v>
      </c>
      <c r="C3114" s="8" t="s">
        <v>6189</v>
      </c>
      <c r="D3114" s="8"/>
      <c r="E3114" s="6"/>
      <c r="F3114" s="6"/>
    </row>
    <row r="3115" spans="1:6" x14ac:dyDescent="0.3">
      <c r="A3115" s="8" t="s">
        <v>6190</v>
      </c>
      <c r="B3115" s="8" t="s">
        <v>56719</v>
      </c>
      <c r="C3115" s="8" t="s">
        <v>6191</v>
      </c>
      <c r="D3115" s="8"/>
      <c r="E3115" s="6"/>
      <c r="F3115" s="6"/>
    </row>
    <row r="3116" spans="1:6" x14ac:dyDescent="0.3">
      <c r="A3116" s="8" t="s">
        <v>6192</v>
      </c>
      <c r="B3116" s="8" t="s">
        <v>56720</v>
      </c>
      <c r="C3116" s="8" t="s">
        <v>6193</v>
      </c>
      <c r="D3116" s="8"/>
      <c r="E3116" s="6"/>
      <c r="F3116" s="6"/>
    </row>
    <row r="3117" spans="1:6" x14ac:dyDescent="0.3">
      <c r="A3117" s="8" t="s">
        <v>6194</v>
      </c>
      <c r="B3117" s="8" t="s">
        <v>56721</v>
      </c>
      <c r="C3117" s="8" t="s">
        <v>6195</v>
      </c>
      <c r="D3117" s="8"/>
      <c r="E3117" s="6"/>
      <c r="F3117" s="6"/>
    </row>
    <row r="3118" spans="1:6" x14ac:dyDescent="0.3">
      <c r="A3118" s="8" t="s">
        <v>6196</v>
      </c>
      <c r="B3118" s="8" t="s">
        <v>56722</v>
      </c>
      <c r="C3118" s="8" t="s">
        <v>6197</v>
      </c>
      <c r="D3118" s="8"/>
      <c r="E3118" s="6"/>
      <c r="F3118" s="6"/>
    </row>
    <row r="3119" spans="1:6" ht="28.8" x14ac:dyDescent="0.3">
      <c r="A3119" s="8" t="s">
        <v>6198</v>
      </c>
      <c r="B3119" s="8" t="s">
        <v>56723</v>
      </c>
      <c r="C3119" s="8" t="s">
        <v>6199</v>
      </c>
      <c r="D3119" s="8"/>
      <c r="E3119" s="6"/>
      <c r="F3119" s="6"/>
    </row>
    <row r="3120" spans="1:6" ht="28.8" x14ac:dyDescent="0.3">
      <c r="A3120" s="8" t="s">
        <v>6200</v>
      </c>
      <c r="B3120" s="8" t="s">
        <v>56724</v>
      </c>
      <c r="C3120" s="8" t="s">
        <v>6201</v>
      </c>
      <c r="D3120" s="8"/>
      <c r="E3120" s="6"/>
      <c r="F3120" s="6"/>
    </row>
    <row r="3121" spans="1:6" x14ac:dyDescent="0.3">
      <c r="A3121" s="8" t="s">
        <v>6202</v>
      </c>
      <c r="B3121" s="8" t="s">
        <v>56725</v>
      </c>
      <c r="C3121" s="8" t="s">
        <v>6203</v>
      </c>
      <c r="D3121" s="8"/>
      <c r="E3121" s="6"/>
      <c r="F3121" s="6"/>
    </row>
    <row r="3122" spans="1:6" ht="28.8" x14ac:dyDescent="0.3">
      <c r="A3122" s="8" t="s">
        <v>6204</v>
      </c>
      <c r="B3122" s="8" t="s">
        <v>56726</v>
      </c>
      <c r="C3122" s="8" t="s">
        <v>6205</v>
      </c>
      <c r="D3122" s="8"/>
      <c r="E3122" s="6"/>
      <c r="F3122" s="6"/>
    </row>
    <row r="3123" spans="1:6" ht="28.8" x14ac:dyDescent="0.3">
      <c r="A3123" s="8" t="s">
        <v>6206</v>
      </c>
      <c r="B3123" s="8" t="s">
        <v>56727</v>
      </c>
      <c r="C3123" s="8" t="s">
        <v>6207</v>
      </c>
      <c r="D3123" s="8"/>
      <c r="E3123" s="6"/>
      <c r="F3123" s="6"/>
    </row>
    <row r="3124" spans="1:6" x14ac:dyDescent="0.3">
      <c r="A3124" s="8" t="s">
        <v>6208</v>
      </c>
      <c r="B3124" s="8" t="s">
        <v>56728</v>
      </c>
      <c r="C3124" s="8" t="s">
        <v>6209</v>
      </c>
      <c r="D3124" s="8"/>
      <c r="E3124" s="6"/>
      <c r="F3124" s="6"/>
    </row>
    <row r="3125" spans="1:6" x14ac:dyDescent="0.3">
      <c r="A3125" s="8" t="s">
        <v>6210</v>
      </c>
      <c r="B3125" s="8" t="s">
        <v>56729</v>
      </c>
      <c r="C3125" s="8" t="s">
        <v>6211</v>
      </c>
      <c r="D3125" s="8"/>
      <c r="E3125" s="6"/>
      <c r="F3125" s="6"/>
    </row>
    <row r="3126" spans="1:6" ht="28.8" x14ac:dyDescent="0.3">
      <c r="A3126" s="8" t="s">
        <v>6212</v>
      </c>
      <c r="B3126" s="8" t="s">
        <v>56730</v>
      </c>
      <c r="C3126" s="8" t="s">
        <v>6213</v>
      </c>
      <c r="D3126" s="8"/>
      <c r="E3126" s="6"/>
      <c r="F3126" s="6"/>
    </row>
    <row r="3127" spans="1:6" x14ac:dyDescent="0.3">
      <c r="A3127" s="8" t="s">
        <v>6214</v>
      </c>
      <c r="B3127" s="8" t="s">
        <v>56731</v>
      </c>
      <c r="C3127" s="8" t="s">
        <v>6215</v>
      </c>
      <c r="D3127" s="8"/>
      <c r="E3127" s="6"/>
      <c r="F3127" s="6"/>
    </row>
    <row r="3128" spans="1:6" x14ac:dyDescent="0.3">
      <c r="A3128" s="8" t="s">
        <v>6216</v>
      </c>
      <c r="B3128" s="8" t="s">
        <v>56732</v>
      </c>
      <c r="C3128" s="8" t="s">
        <v>6217</v>
      </c>
      <c r="D3128" s="8"/>
      <c r="E3128" s="6"/>
      <c r="F3128" s="6"/>
    </row>
    <row r="3129" spans="1:6" ht="28.8" x14ac:dyDescent="0.3">
      <c r="A3129" s="8" t="s">
        <v>6218</v>
      </c>
      <c r="B3129" s="8" t="s">
        <v>56733</v>
      </c>
      <c r="C3129" s="8" t="s">
        <v>6219</v>
      </c>
      <c r="D3129" s="8"/>
      <c r="E3129" s="6"/>
      <c r="F3129" s="6"/>
    </row>
    <row r="3130" spans="1:6" x14ac:dyDescent="0.3">
      <c r="A3130" s="8" t="s">
        <v>6220</v>
      </c>
      <c r="B3130" s="8" t="s">
        <v>56734</v>
      </c>
      <c r="C3130" s="8" t="s">
        <v>6221</v>
      </c>
      <c r="D3130" s="8"/>
      <c r="E3130" s="6"/>
      <c r="F3130" s="6"/>
    </row>
    <row r="3131" spans="1:6" x14ac:dyDescent="0.3">
      <c r="A3131" s="8" t="s">
        <v>6222</v>
      </c>
      <c r="B3131" s="8" t="s">
        <v>56735</v>
      </c>
      <c r="C3131" s="8" t="s">
        <v>6223</v>
      </c>
      <c r="D3131" s="8"/>
      <c r="E3131" s="6"/>
      <c r="F3131" s="6"/>
    </row>
    <row r="3132" spans="1:6" x14ac:dyDescent="0.3">
      <c r="A3132" s="8" t="s">
        <v>6224</v>
      </c>
      <c r="B3132" s="8" t="s">
        <v>56736</v>
      </c>
      <c r="C3132" s="8" t="s">
        <v>6225</v>
      </c>
      <c r="D3132" s="8"/>
      <c r="E3132" s="6"/>
      <c r="F3132" s="6"/>
    </row>
    <row r="3133" spans="1:6" x14ac:dyDescent="0.3">
      <c r="A3133" s="8" t="s">
        <v>6226</v>
      </c>
      <c r="B3133" s="8" t="s">
        <v>56737</v>
      </c>
      <c r="C3133" s="8" t="s">
        <v>6227</v>
      </c>
      <c r="D3133" s="8"/>
      <c r="E3133" s="6"/>
      <c r="F3133" s="6"/>
    </row>
    <row r="3134" spans="1:6" x14ac:dyDescent="0.3">
      <c r="A3134" s="8" t="s">
        <v>6228</v>
      </c>
      <c r="B3134" s="8" t="s">
        <v>56738</v>
      </c>
      <c r="C3134" s="8" t="s">
        <v>6229</v>
      </c>
      <c r="D3134" s="8"/>
      <c r="E3134" s="6"/>
      <c r="F3134" s="6"/>
    </row>
    <row r="3135" spans="1:6" x14ac:dyDescent="0.3">
      <c r="A3135" s="8" t="s">
        <v>6230</v>
      </c>
      <c r="B3135" s="8" t="s">
        <v>56739</v>
      </c>
      <c r="C3135" s="8" t="s">
        <v>6231</v>
      </c>
      <c r="D3135" s="8"/>
      <c r="E3135" s="6"/>
      <c r="F3135" s="6"/>
    </row>
    <row r="3136" spans="1:6" x14ac:dyDescent="0.3">
      <c r="A3136" s="8" t="s">
        <v>6232</v>
      </c>
      <c r="B3136" s="8" t="s">
        <v>56740</v>
      </c>
      <c r="C3136" s="8" t="s">
        <v>6233</v>
      </c>
      <c r="D3136" s="8"/>
      <c r="E3136" s="6"/>
      <c r="F3136" s="6"/>
    </row>
    <row r="3137" spans="1:6" x14ac:dyDescent="0.3">
      <c r="A3137" s="8" t="s">
        <v>6234</v>
      </c>
      <c r="B3137" s="8" t="s">
        <v>56741</v>
      </c>
      <c r="C3137" s="8" t="s">
        <v>6235</v>
      </c>
      <c r="D3137" s="8"/>
      <c r="E3137" s="6"/>
      <c r="F3137" s="6"/>
    </row>
    <row r="3138" spans="1:6" x14ac:dyDescent="0.3">
      <c r="A3138" s="8" t="s">
        <v>6236</v>
      </c>
      <c r="B3138" s="8" t="s">
        <v>56742</v>
      </c>
      <c r="C3138" s="8" t="s">
        <v>6237</v>
      </c>
      <c r="D3138" s="8"/>
      <c r="E3138" s="6"/>
      <c r="F3138" s="6"/>
    </row>
    <row r="3139" spans="1:6" x14ac:dyDescent="0.3">
      <c r="A3139" s="8" t="s">
        <v>6238</v>
      </c>
      <c r="B3139" s="8" t="s">
        <v>56743</v>
      </c>
      <c r="C3139" s="8" t="s">
        <v>6239</v>
      </c>
      <c r="D3139" s="8"/>
      <c r="E3139" s="6"/>
      <c r="F3139" s="6"/>
    </row>
    <row r="3140" spans="1:6" x14ac:dyDescent="0.3">
      <c r="A3140" s="8" t="s">
        <v>6240</v>
      </c>
      <c r="B3140" s="8" t="s">
        <v>56744</v>
      </c>
      <c r="C3140" s="8" t="s">
        <v>6241</v>
      </c>
      <c r="D3140" s="8"/>
      <c r="E3140" s="6"/>
      <c r="F3140" s="6"/>
    </row>
    <row r="3141" spans="1:6" x14ac:dyDescent="0.3">
      <c r="A3141" s="8" t="s">
        <v>6242</v>
      </c>
      <c r="B3141" s="8" t="s">
        <v>56745</v>
      </c>
      <c r="C3141" s="8" t="s">
        <v>6243</v>
      </c>
      <c r="D3141" s="8"/>
      <c r="E3141" s="6"/>
      <c r="F3141" s="6"/>
    </row>
    <row r="3142" spans="1:6" x14ac:dyDescent="0.3">
      <c r="A3142" s="8" t="s">
        <v>6244</v>
      </c>
      <c r="B3142" s="8" t="s">
        <v>56746</v>
      </c>
      <c r="C3142" s="8" t="s">
        <v>6245</v>
      </c>
      <c r="D3142" s="8"/>
      <c r="E3142" s="6"/>
      <c r="F3142" s="6"/>
    </row>
    <row r="3143" spans="1:6" x14ac:dyDescent="0.3">
      <c r="A3143" s="8" t="s">
        <v>6246</v>
      </c>
      <c r="B3143" s="8" t="s">
        <v>56747</v>
      </c>
      <c r="C3143" s="8" t="s">
        <v>6247</v>
      </c>
      <c r="D3143" s="8"/>
      <c r="E3143" s="6"/>
      <c r="F3143" s="6"/>
    </row>
    <row r="3144" spans="1:6" x14ac:dyDescent="0.3">
      <c r="A3144" s="8" t="s">
        <v>6248</v>
      </c>
      <c r="B3144" s="8" t="s">
        <v>56748</v>
      </c>
      <c r="C3144" s="8" t="s">
        <v>6249</v>
      </c>
      <c r="D3144" s="8"/>
      <c r="E3144" s="6"/>
      <c r="F3144" s="6"/>
    </row>
    <row r="3145" spans="1:6" x14ac:dyDescent="0.3">
      <c r="A3145" s="8" t="s">
        <v>6250</v>
      </c>
      <c r="B3145" s="8" t="s">
        <v>56749</v>
      </c>
      <c r="C3145" s="8" t="s">
        <v>6251</v>
      </c>
      <c r="D3145" s="8"/>
      <c r="E3145" s="6"/>
      <c r="F3145" s="6"/>
    </row>
    <row r="3146" spans="1:6" x14ac:dyDescent="0.3">
      <c r="A3146" s="8" t="s">
        <v>6252</v>
      </c>
      <c r="B3146" s="8" t="s">
        <v>56750</v>
      </c>
      <c r="C3146" s="8" t="s">
        <v>6253</v>
      </c>
      <c r="D3146" s="8"/>
      <c r="E3146" s="6"/>
      <c r="F3146" s="6"/>
    </row>
    <row r="3147" spans="1:6" x14ac:dyDescent="0.3">
      <c r="A3147" s="8" t="s">
        <v>6254</v>
      </c>
      <c r="B3147" s="8" t="s">
        <v>56751</v>
      </c>
      <c r="C3147" s="8" t="s">
        <v>6255</v>
      </c>
      <c r="D3147" s="8"/>
      <c r="E3147" s="6"/>
      <c r="F3147" s="6"/>
    </row>
    <row r="3148" spans="1:6" x14ac:dyDescent="0.3">
      <c r="A3148" s="8" t="s">
        <v>6256</v>
      </c>
      <c r="B3148" s="8" t="s">
        <v>56752</v>
      </c>
      <c r="C3148" s="8" t="s">
        <v>6257</v>
      </c>
      <c r="D3148" s="8"/>
      <c r="E3148" s="6"/>
      <c r="F3148" s="6"/>
    </row>
    <row r="3149" spans="1:6" x14ac:dyDescent="0.3">
      <c r="A3149" s="8" t="s">
        <v>6258</v>
      </c>
      <c r="B3149" s="8" t="s">
        <v>56753</v>
      </c>
      <c r="C3149" s="8" t="s">
        <v>6259</v>
      </c>
      <c r="D3149" s="8"/>
      <c r="E3149" s="6"/>
      <c r="F3149" s="6"/>
    </row>
    <row r="3150" spans="1:6" x14ac:dyDescent="0.3">
      <c r="A3150" s="8" t="s">
        <v>6260</v>
      </c>
      <c r="B3150" s="8" t="s">
        <v>56754</v>
      </c>
      <c r="C3150" s="8" t="s">
        <v>6261</v>
      </c>
      <c r="D3150" s="8"/>
      <c r="E3150" s="6"/>
      <c r="F3150" s="6"/>
    </row>
    <row r="3151" spans="1:6" x14ac:dyDescent="0.3">
      <c r="A3151" s="8" t="s">
        <v>6262</v>
      </c>
      <c r="B3151" s="8" t="s">
        <v>56755</v>
      </c>
      <c r="C3151" s="8" t="s">
        <v>6263</v>
      </c>
      <c r="D3151" s="8"/>
      <c r="E3151" s="6"/>
      <c r="F3151" s="6"/>
    </row>
    <row r="3152" spans="1:6" x14ac:dyDescent="0.3">
      <c r="A3152" s="8" t="s">
        <v>6264</v>
      </c>
      <c r="B3152" s="8" t="s">
        <v>56756</v>
      </c>
      <c r="C3152" s="8" t="s">
        <v>6265</v>
      </c>
      <c r="D3152" s="8"/>
      <c r="E3152" s="6"/>
      <c r="F3152" s="6"/>
    </row>
    <row r="3153" spans="1:6" x14ac:dyDescent="0.3">
      <c r="A3153" s="8" t="s">
        <v>6266</v>
      </c>
      <c r="B3153" s="8" t="s">
        <v>56757</v>
      </c>
      <c r="C3153" s="8" t="s">
        <v>6267</v>
      </c>
      <c r="D3153" s="8"/>
      <c r="E3153" s="6"/>
      <c r="F3153" s="6"/>
    </row>
    <row r="3154" spans="1:6" x14ac:dyDescent="0.3">
      <c r="A3154" s="8" t="s">
        <v>6268</v>
      </c>
      <c r="B3154" s="8" t="s">
        <v>56758</v>
      </c>
      <c r="C3154" s="8" t="s">
        <v>6269</v>
      </c>
      <c r="D3154" s="8"/>
      <c r="E3154" s="6"/>
      <c r="F3154" s="6"/>
    </row>
    <row r="3155" spans="1:6" x14ac:dyDescent="0.3">
      <c r="A3155" s="8" t="s">
        <v>6270</v>
      </c>
      <c r="B3155" s="8" t="s">
        <v>56759</v>
      </c>
      <c r="C3155" s="8" t="s">
        <v>6271</v>
      </c>
      <c r="D3155" s="8"/>
      <c r="E3155" s="6"/>
      <c r="F3155" s="6"/>
    </row>
    <row r="3156" spans="1:6" x14ac:dyDescent="0.3">
      <c r="A3156" s="8" t="s">
        <v>6272</v>
      </c>
      <c r="B3156" s="8" t="s">
        <v>56760</v>
      </c>
      <c r="C3156" s="8" t="s">
        <v>6273</v>
      </c>
      <c r="D3156" s="8"/>
      <c r="E3156" s="6"/>
      <c r="F3156" s="6"/>
    </row>
    <row r="3157" spans="1:6" x14ac:dyDescent="0.3">
      <c r="A3157" s="8" t="s">
        <v>6274</v>
      </c>
      <c r="B3157" s="8" t="s">
        <v>56761</v>
      </c>
      <c r="C3157" s="8" t="s">
        <v>6275</v>
      </c>
      <c r="D3157" s="8"/>
      <c r="E3157" s="6"/>
      <c r="F3157" s="6"/>
    </row>
    <row r="3158" spans="1:6" x14ac:dyDescent="0.3">
      <c r="A3158" s="8" t="s">
        <v>6276</v>
      </c>
      <c r="B3158" s="8" t="s">
        <v>56762</v>
      </c>
      <c r="C3158" s="8" t="s">
        <v>6277</v>
      </c>
      <c r="D3158" s="8"/>
      <c r="E3158" s="6"/>
      <c r="F3158" s="6"/>
    </row>
    <row r="3159" spans="1:6" x14ac:dyDescent="0.3">
      <c r="A3159" s="8" t="s">
        <v>6278</v>
      </c>
      <c r="B3159" s="8" t="s">
        <v>56763</v>
      </c>
      <c r="C3159" s="8" t="s">
        <v>6279</v>
      </c>
      <c r="D3159" s="8"/>
      <c r="E3159" s="6"/>
      <c r="F3159" s="6"/>
    </row>
    <row r="3160" spans="1:6" x14ac:dyDescent="0.3">
      <c r="A3160" s="8" t="s">
        <v>6280</v>
      </c>
      <c r="B3160" s="8" t="s">
        <v>56764</v>
      </c>
      <c r="C3160" s="8" t="s">
        <v>6281</v>
      </c>
      <c r="D3160" s="8"/>
      <c r="E3160" s="6"/>
      <c r="F3160" s="6"/>
    </row>
    <row r="3161" spans="1:6" x14ac:dyDescent="0.3">
      <c r="A3161" s="8" t="s">
        <v>6282</v>
      </c>
      <c r="B3161" s="8" t="s">
        <v>56765</v>
      </c>
      <c r="C3161" s="8" t="s">
        <v>6283</v>
      </c>
      <c r="D3161" s="8"/>
      <c r="E3161" s="6"/>
      <c r="F3161" s="6"/>
    </row>
    <row r="3162" spans="1:6" x14ac:dyDescent="0.3">
      <c r="A3162" s="8" t="s">
        <v>6284</v>
      </c>
      <c r="B3162" s="8" t="s">
        <v>56766</v>
      </c>
      <c r="C3162" s="8" t="s">
        <v>6285</v>
      </c>
      <c r="D3162" s="8"/>
      <c r="E3162" s="6"/>
      <c r="F3162" s="6"/>
    </row>
    <row r="3163" spans="1:6" x14ac:dyDescent="0.3">
      <c r="A3163" s="8" t="s">
        <v>6286</v>
      </c>
      <c r="B3163" s="8" t="s">
        <v>56767</v>
      </c>
      <c r="C3163" s="8" t="s">
        <v>6287</v>
      </c>
      <c r="D3163" s="8"/>
      <c r="E3163" s="6"/>
      <c r="F3163" s="6"/>
    </row>
    <row r="3164" spans="1:6" x14ac:dyDescent="0.3">
      <c r="A3164" s="8" t="s">
        <v>6288</v>
      </c>
      <c r="B3164" s="8" t="s">
        <v>56768</v>
      </c>
      <c r="C3164" s="8" t="s">
        <v>6289</v>
      </c>
      <c r="D3164" s="8"/>
      <c r="E3164" s="6"/>
      <c r="F3164" s="6"/>
    </row>
    <row r="3165" spans="1:6" x14ac:dyDescent="0.3">
      <c r="A3165" s="8" t="s">
        <v>6290</v>
      </c>
      <c r="B3165" s="8" t="s">
        <v>56769</v>
      </c>
      <c r="C3165" s="8" t="s">
        <v>6291</v>
      </c>
      <c r="D3165" s="8"/>
      <c r="E3165" s="6"/>
      <c r="F3165" s="6"/>
    </row>
    <row r="3166" spans="1:6" x14ac:dyDescent="0.3">
      <c r="A3166" s="8" t="s">
        <v>6292</v>
      </c>
      <c r="B3166" s="8" t="s">
        <v>56770</v>
      </c>
      <c r="C3166" s="8" t="s">
        <v>6293</v>
      </c>
      <c r="D3166" s="8"/>
      <c r="E3166" s="6"/>
      <c r="F3166" s="6"/>
    </row>
    <row r="3167" spans="1:6" x14ac:dyDescent="0.3">
      <c r="A3167" s="8" t="s">
        <v>6294</v>
      </c>
      <c r="B3167" s="8" t="s">
        <v>56771</v>
      </c>
      <c r="C3167" s="8" t="s">
        <v>6295</v>
      </c>
      <c r="D3167" s="8"/>
      <c r="E3167" s="6"/>
      <c r="F3167" s="6"/>
    </row>
    <row r="3168" spans="1:6" x14ac:dyDescent="0.3">
      <c r="A3168" s="8" t="s">
        <v>6296</v>
      </c>
      <c r="B3168" s="8" t="s">
        <v>56772</v>
      </c>
      <c r="C3168" s="8" t="s">
        <v>6297</v>
      </c>
      <c r="D3168" s="8"/>
      <c r="E3168" s="6"/>
      <c r="F3168" s="6"/>
    </row>
    <row r="3169" spans="1:6" x14ac:dyDescent="0.3">
      <c r="A3169" s="8" t="s">
        <v>6298</v>
      </c>
      <c r="B3169" s="8" t="s">
        <v>56773</v>
      </c>
      <c r="C3169" s="8" t="s">
        <v>6299</v>
      </c>
      <c r="D3169" s="8"/>
      <c r="E3169" s="6"/>
      <c r="F3169" s="6"/>
    </row>
    <row r="3170" spans="1:6" x14ac:dyDescent="0.3">
      <c r="A3170" s="8" t="s">
        <v>6300</v>
      </c>
      <c r="B3170" s="8" t="s">
        <v>56774</v>
      </c>
      <c r="C3170" s="8" t="s">
        <v>6301</v>
      </c>
      <c r="D3170" s="8"/>
      <c r="E3170" s="6"/>
      <c r="F3170" s="6"/>
    </row>
    <row r="3171" spans="1:6" x14ac:dyDescent="0.3">
      <c r="A3171" s="8" t="s">
        <v>6302</v>
      </c>
      <c r="B3171" s="8" t="s">
        <v>56775</v>
      </c>
      <c r="C3171" s="8" t="s">
        <v>6303</v>
      </c>
      <c r="D3171" s="8"/>
      <c r="E3171" s="6"/>
      <c r="F3171" s="6"/>
    </row>
    <row r="3172" spans="1:6" x14ac:dyDescent="0.3">
      <c r="A3172" s="8" t="s">
        <v>6304</v>
      </c>
      <c r="B3172" s="8" t="s">
        <v>56776</v>
      </c>
      <c r="C3172" s="8" t="s">
        <v>6305</v>
      </c>
      <c r="D3172" s="8"/>
      <c r="E3172" s="6"/>
      <c r="F3172" s="6"/>
    </row>
    <row r="3173" spans="1:6" x14ac:dyDescent="0.3">
      <c r="A3173" s="8" t="s">
        <v>6306</v>
      </c>
      <c r="B3173" s="8" t="s">
        <v>56777</v>
      </c>
      <c r="C3173" s="8" t="s">
        <v>6307</v>
      </c>
      <c r="D3173" s="8"/>
      <c r="E3173" s="6"/>
      <c r="F3173" s="6"/>
    </row>
    <row r="3174" spans="1:6" x14ac:dyDescent="0.3">
      <c r="A3174" s="8" t="s">
        <v>6308</v>
      </c>
      <c r="B3174" s="8" t="s">
        <v>56778</v>
      </c>
      <c r="C3174" s="8" t="s">
        <v>6309</v>
      </c>
      <c r="D3174" s="8"/>
      <c r="E3174" s="6"/>
      <c r="F3174" s="6"/>
    </row>
    <row r="3175" spans="1:6" x14ac:dyDescent="0.3">
      <c r="A3175" s="8" t="s">
        <v>6310</v>
      </c>
      <c r="B3175" s="8" t="s">
        <v>56779</v>
      </c>
      <c r="C3175" s="8" t="s">
        <v>6311</v>
      </c>
      <c r="D3175" s="8"/>
      <c r="E3175" s="6"/>
      <c r="F3175" s="6"/>
    </row>
    <row r="3176" spans="1:6" x14ac:dyDescent="0.3">
      <c r="A3176" s="8" t="s">
        <v>6312</v>
      </c>
      <c r="B3176" s="8" t="s">
        <v>56780</v>
      </c>
      <c r="C3176" s="8" t="s">
        <v>6313</v>
      </c>
      <c r="D3176" s="8"/>
      <c r="E3176" s="6"/>
      <c r="F3176" s="6"/>
    </row>
    <row r="3177" spans="1:6" x14ac:dyDescent="0.3">
      <c r="A3177" s="8" t="s">
        <v>6314</v>
      </c>
      <c r="B3177" s="8" t="s">
        <v>56781</v>
      </c>
      <c r="C3177" s="8" t="s">
        <v>6315</v>
      </c>
      <c r="D3177" s="8"/>
      <c r="E3177" s="6"/>
      <c r="F3177" s="6"/>
    </row>
    <row r="3178" spans="1:6" x14ac:dyDescent="0.3">
      <c r="A3178" s="8" t="s">
        <v>6316</v>
      </c>
      <c r="B3178" s="8" t="s">
        <v>56782</v>
      </c>
      <c r="C3178" s="8" t="s">
        <v>6317</v>
      </c>
      <c r="D3178" s="8"/>
      <c r="E3178" s="6"/>
      <c r="F3178" s="6"/>
    </row>
    <row r="3179" spans="1:6" x14ac:dyDescent="0.3">
      <c r="A3179" s="8" t="s">
        <v>6318</v>
      </c>
      <c r="B3179" s="8" t="s">
        <v>56783</v>
      </c>
      <c r="C3179" s="8" t="s">
        <v>6319</v>
      </c>
      <c r="D3179" s="8"/>
      <c r="E3179" s="6"/>
      <c r="F3179" s="6"/>
    </row>
    <row r="3180" spans="1:6" x14ac:dyDescent="0.3">
      <c r="A3180" s="8" t="s">
        <v>6320</v>
      </c>
      <c r="B3180" s="8" t="s">
        <v>56784</v>
      </c>
      <c r="C3180" s="8" t="s">
        <v>6321</v>
      </c>
      <c r="D3180" s="8"/>
      <c r="E3180" s="6"/>
      <c r="F3180" s="6"/>
    </row>
    <row r="3181" spans="1:6" x14ac:dyDescent="0.3">
      <c r="A3181" s="8" t="s">
        <v>6322</v>
      </c>
      <c r="B3181" s="8" t="s">
        <v>56785</v>
      </c>
      <c r="C3181" s="8" t="s">
        <v>6323</v>
      </c>
      <c r="D3181" s="8"/>
      <c r="E3181" s="6"/>
      <c r="F3181" s="6"/>
    </row>
    <row r="3182" spans="1:6" x14ac:dyDescent="0.3">
      <c r="A3182" s="8" t="s">
        <v>6324</v>
      </c>
      <c r="B3182" s="8" t="s">
        <v>56786</v>
      </c>
      <c r="C3182" s="8" t="s">
        <v>6325</v>
      </c>
      <c r="D3182" s="8"/>
      <c r="E3182" s="6"/>
      <c r="F3182" s="6"/>
    </row>
    <row r="3183" spans="1:6" x14ac:dyDescent="0.3">
      <c r="A3183" s="8" t="s">
        <v>6326</v>
      </c>
      <c r="B3183" s="8" t="s">
        <v>56787</v>
      </c>
      <c r="C3183" s="8" t="s">
        <v>6327</v>
      </c>
      <c r="D3183" s="8"/>
      <c r="E3183" s="6"/>
      <c r="F3183" s="6"/>
    </row>
    <row r="3184" spans="1:6" x14ac:dyDescent="0.3">
      <c r="A3184" s="8" t="s">
        <v>6328</v>
      </c>
      <c r="B3184" s="8" t="s">
        <v>56788</v>
      </c>
      <c r="C3184" s="8" t="s">
        <v>6329</v>
      </c>
      <c r="D3184" s="8"/>
      <c r="E3184" s="6"/>
      <c r="F3184" s="6"/>
    </row>
    <row r="3185" spans="1:6" x14ac:dyDescent="0.3">
      <c r="A3185" s="8" t="s">
        <v>6330</v>
      </c>
      <c r="B3185" s="8" t="s">
        <v>56789</v>
      </c>
      <c r="C3185" s="8" t="s">
        <v>6331</v>
      </c>
      <c r="D3185" s="8"/>
      <c r="E3185" s="6"/>
      <c r="F3185" s="6"/>
    </row>
    <row r="3186" spans="1:6" x14ac:dyDescent="0.3">
      <c r="A3186" s="8" t="s">
        <v>6332</v>
      </c>
      <c r="B3186" s="8" t="s">
        <v>56790</v>
      </c>
      <c r="C3186" s="8" t="s">
        <v>6333</v>
      </c>
      <c r="D3186" s="8"/>
      <c r="E3186" s="6"/>
      <c r="F3186" s="6"/>
    </row>
    <row r="3187" spans="1:6" x14ac:dyDescent="0.3">
      <c r="A3187" s="8" t="s">
        <v>6334</v>
      </c>
      <c r="B3187" s="8" t="s">
        <v>56791</v>
      </c>
      <c r="C3187" s="8" t="s">
        <v>6335</v>
      </c>
      <c r="D3187" s="8"/>
      <c r="E3187" s="6"/>
      <c r="F3187" s="6"/>
    </row>
    <row r="3188" spans="1:6" x14ac:dyDescent="0.3">
      <c r="A3188" s="8" t="s">
        <v>6336</v>
      </c>
      <c r="B3188" s="8" t="s">
        <v>56792</v>
      </c>
      <c r="C3188" s="8" t="s">
        <v>6337</v>
      </c>
      <c r="D3188" s="8"/>
      <c r="E3188" s="6"/>
      <c r="F3188" s="6"/>
    </row>
    <row r="3189" spans="1:6" x14ac:dyDescent="0.3">
      <c r="A3189" s="8" t="s">
        <v>6338</v>
      </c>
      <c r="B3189" s="8" t="s">
        <v>56793</v>
      </c>
      <c r="C3189" s="8" t="s">
        <v>6339</v>
      </c>
      <c r="D3189" s="8"/>
      <c r="E3189" s="6"/>
      <c r="F3189" s="6"/>
    </row>
    <row r="3190" spans="1:6" x14ac:dyDescent="0.3">
      <c r="A3190" s="8" t="s">
        <v>6340</v>
      </c>
      <c r="B3190" s="8" t="s">
        <v>56794</v>
      </c>
      <c r="C3190" s="8" t="s">
        <v>6341</v>
      </c>
      <c r="D3190" s="8"/>
      <c r="E3190" s="6"/>
      <c r="F3190" s="6"/>
    </row>
    <row r="3191" spans="1:6" x14ac:dyDescent="0.3">
      <c r="A3191" s="8" t="s">
        <v>6342</v>
      </c>
      <c r="B3191" s="8" t="s">
        <v>56795</v>
      </c>
      <c r="C3191" s="8" t="s">
        <v>6343</v>
      </c>
      <c r="D3191" s="8"/>
      <c r="E3191" s="6"/>
      <c r="F3191" s="6"/>
    </row>
    <row r="3192" spans="1:6" x14ac:dyDescent="0.3">
      <c r="A3192" s="8" t="s">
        <v>6344</v>
      </c>
      <c r="B3192" s="8" t="s">
        <v>56796</v>
      </c>
      <c r="C3192" s="8" t="s">
        <v>6345</v>
      </c>
      <c r="D3192" s="8"/>
      <c r="E3192" s="6"/>
      <c r="F3192" s="6"/>
    </row>
    <row r="3193" spans="1:6" x14ac:dyDescent="0.3">
      <c r="A3193" s="8" t="s">
        <v>6346</v>
      </c>
      <c r="B3193" s="8" t="s">
        <v>56797</v>
      </c>
      <c r="C3193" s="8" t="s">
        <v>6347</v>
      </c>
      <c r="D3193" s="8"/>
      <c r="E3193" s="6"/>
      <c r="F3193" s="6"/>
    </row>
    <row r="3194" spans="1:6" x14ac:dyDescent="0.3">
      <c r="A3194" s="8" t="s">
        <v>6348</v>
      </c>
      <c r="B3194" s="8" t="s">
        <v>56798</v>
      </c>
      <c r="C3194" s="8" t="s">
        <v>6349</v>
      </c>
      <c r="D3194" s="8"/>
      <c r="E3194" s="6"/>
      <c r="F3194" s="6"/>
    </row>
    <row r="3195" spans="1:6" x14ac:dyDescent="0.3">
      <c r="A3195" s="8" t="s">
        <v>6350</v>
      </c>
      <c r="B3195" s="8" t="s">
        <v>56799</v>
      </c>
      <c r="C3195" s="8" t="s">
        <v>6351</v>
      </c>
      <c r="D3195" s="8"/>
      <c r="E3195" s="6"/>
      <c r="F3195" s="6"/>
    </row>
    <row r="3196" spans="1:6" x14ac:dyDescent="0.3">
      <c r="A3196" s="8" t="s">
        <v>6352</v>
      </c>
      <c r="B3196" s="8" t="s">
        <v>56800</v>
      </c>
      <c r="C3196" s="8" t="s">
        <v>6353</v>
      </c>
      <c r="D3196" s="8"/>
      <c r="E3196" s="6"/>
      <c r="F3196" s="6"/>
    </row>
    <row r="3197" spans="1:6" x14ac:dyDescent="0.3">
      <c r="A3197" s="8" t="s">
        <v>6354</v>
      </c>
      <c r="B3197" s="8" t="s">
        <v>56801</v>
      </c>
      <c r="C3197" s="8" t="s">
        <v>6355</v>
      </c>
      <c r="D3197" s="8"/>
      <c r="E3197" s="6"/>
      <c r="F3197" s="6"/>
    </row>
    <row r="3198" spans="1:6" x14ac:dyDescent="0.3">
      <c r="A3198" s="8" t="s">
        <v>6356</v>
      </c>
      <c r="B3198" s="8" t="s">
        <v>56802</v>
      </c>
      <c r="C3198" s="8" t="s">
        <v>6357</v>
      </c>
      <c r="D3198" s="8"/>
      <c r="E3198" s="6"/>
      <c r="F3198" s="6"/>
    </row>
    <row r="3199" spans="1:6" x14ac:dyDescent="0.3">
      <c r="A3199" s="8" t="s">
        <v>6358</v>
      </c>
      <c r="B3199" s="8" t="s">
        <v>56803</v>
      </c>
      <c r="C3199" s="8" t="s">
        <v>6359</v>
      </c>
      <c r="D3199" s="8"/>
      <c r="E3199" s="6"/>
      <c r="F3199" s="6"/>
    </row>
    <row r="3200" spans="1:6" x14ac:dyDescent="0.3">
      <c r="A3200" s="8" t="s">
        <v>6360</v>
      </c>
      <c r="B3200" s="8" t="s">
        <v>56804</v>
      </c>
      <c r="C3200" s="8" t="s">
        <v>6361</v>
      </c>
      <c r="D3200" s="8"/>
      <c r="E3200" s="6"/>
      <c r="F3200" s="6"/>
    </row>
    <row r="3201" spans="1:6" x14ac:dyDescent="0.3">
      <c r="A3201" s="8" t="s">
        <v>6362</v>
      </c>
      <c r="B3201" s="8" t="s">
        <v>56805</v>
      </c>
      <c r="C3201" s="8" t="s">
        <v>6363</v>
      </c>
      <c r="D3201" s="8"/>
      <c r="E3201" s="6"/>
      <c r="F3201" s="6"/>
    </row>
    <row r="3202" spans="1:6" x14ac:dyDescent="0.3">
      <c r="A3202" s="8" t="s">
        <v>6364</v>
      </c>
      <c r="B3202" s="8" t="s">
        <v>56806</v>
      </c>
      <c r="C3202" s="8" t="s">
        <v>6365</v>
      </c>
      <c r="D3202" s="8"/>
      <c r="E3202" s="6"/>
      <c r="F3202" s="6"/>
    </row>
    <row r="3203" spans="1:6" x14ac:dyDescent="0.3">
      <c r="A3203" s="8" t="s">
        <v>6366</v>
      </c>
      <c r="B3203" s="8" t="s">
        <v>56807</v>
      </c>
      <c r="C3203" s="8" t="s">
        <v>6367</v>
      </c>
      <c r="D3203" s="8"/>
      <c r="E3203" s="6"/>
      <c r="F3203" s="6"/>
    </row>
    <row r="3204" spans="1:6" x14ac:dyDescent="0.3">
      <c r="A3204" s="8" t="s">
        <v>6368</v>
      </c>
      <c r="B3204" s="8" t="s">
        <v>56808</v>
      </c>
      <c r="C3204" s="8" t="s">
        <v>6369</v>
      </c>
      <c r="D3204" s="8"/>
      <c r="E3204" s="6"/>
      <c r="F3204" s="6"/>
    </row>
    <row r="3205" spans="1:6" x14ac:dyDescent="0.3">
      <c r="A3205" s="8" t="s">
        <v>6370</v>
      </c>
      <c r="B3205" s="8" t="s">
        <v>56809</v>
      </c>
      <c r="C3205" s="8" t="s">
        <v>6371</v>
      </c>
      <c r="D3205" s="8"/>
      <c r="E3205" s="6"/>
      <c r="F3205" s="6"/>
    </row>
    <row r="3206" spans="1:6" x14ac:dyDescent="0.3">
      <c r="A3206" s="8" t="s">
        <v>6372</v>
      </c>
      <c r="B3206" s="8" t="s">
        <v>56810</v>
      </c>
      <c r="C3206" s="8" t="s">
        <v>6373</v>
      </c>
      <c r="D3206" s="8"/>
      <c r="E3206" s="6"/>
      <c r="F3206" s="6"/>
    </row>
    <row r="3207" spans="1:6" x14ac:dyDescent="0.3">
      <c r="A3207" s="8" t="s">
        <v>6374</v>
      </c>
      <c r="B3207" s="8" t="s">
        <v>56811</v>
      </c>
      <c r="C3207" s="8" t="s">
        <v>6375</v>
      </c>
      <c r="D3207" s="8"/>
      <c r="E3207" s="6"/>
      <c r="F3207" s="6"/>
    </row>
    <row r="3208" spans="1:6" x14ac:dyDescent="0.3">
      <c r="A3208" s="8" t="s">
        <v>6376</v>
      </c>
      <c r="B3208" s="8" t="s">
        <v>56812</v>
      </c>
      <c r="C3208" s="8" t="s">
        <v>6377</v>
      </c>
      <c r="D3208" s="8"/>
      <c r="E3208" s="6"/>
      <c r="F3208" s="6"/>
    </row>
    <row r="3209" spans="1:6" x14ac:dyDescent="0.3">
      <c r="A3209" s="8" t="s">
        <v>6378</v>
      </c>
      <c r="B3209" s="8" t="s">
        <v>56813</v>
      </c>
      <c r="C3209" s="8" t="s">
        <v>6379</v>
      </c>
      <c r="D3209" s="8"/>
      <c r="E3209" s="6"/>
      <c r="F3209" s="6"/>
    </row>
    <row r="3210" spans="1:6" x14ac:dyDescent="0.3">
      <c r="A3210" s="8" t="s">
        <v>6380</v>
      </c>
      <c r="B3210" s="8" t="s">
        <v>56814</v>
      </c>
      <c r="C3210" s="8" t="s">
        <v>6381</v>
      </c>
      <c r="D3210" s="8"/>
      <c r="E3210" s="6"/>
      <c r="F3210" s="6"/>
    </row>
    <row r="3211" spans="1:6" x14ac:dyDescent="0.3">
      <c r="A3211" s="8" t="s">
        <v>6382</v>
      </c>
      <c r="B3211" s="8" t="s">
        <v>56815</v>
      </c>
      <c r="C3211" s="8" t="s">
        <v>6383</v>
      </c>
      <c r="D3211" s="8"/>
      <c r="E3211" s="6"/>
      <c r="F3211" s="6"/>
    </row>
    <row r="3212" spans="1:6" x14ac:dyDescent="0.3">
      <c r="A3212" s="8" t="s">
        <v>6384</v>
      </c>
      <c r="B3212" s="8" t="s">
        <v>56816</v>
      </c>
      <c r="C3212" s="8" t="s">
        <v>6385</v>
      </c>
      <c r="D3212" s="8"/>
      <c r="E3212" s="6"/>
      <c r="F3212" s="6"/>
    </row>
    <row r="3213" spans="1:6" x14ac:dyDescent="0.3">
      <c r="A3213" s="8" t="s">
        <v>6386</v>
      </c>
      <c r="B3213" s="8" t="s">
        <v>56817</v>
      </c>
      <c r="C3213" s="8" t="s">
        <v>6387</v>
      </c>
      <c r="D3213" s="8"/>
      <c r="E3213" s="6"/>
      <c r="F3213" s="6"/>
    </row>
    <row r="3214" spans="1:6" x14ac:dyDescent="0.3">
      <c r="A3214" s="8" t="s">
        <v>6388</v>
      </c>
      <c r="B3214" s="8" t="s">
        <v>56818</v>
      </c>
      <c r="C3214" s="8" t="s">
        <v>6389</v>
      </c>
      <c r="D3214" s="8"/>
      <c r="E3214" s="6"/>
      <c r="F3214" s="6"/>
    </row>
    <row r="3215" spans="1:6" x14ac:dyDescent="0.3">
      <c r="A3215" s="8" t="s">
        <v>6390</v>
      </c>
      <c r="B3215" s="8" t="s">
        <v>56819</v>
      </c>
      <c r="C3215" s="8" t="s">
        <v>6391</v>
      </c>
      <c r="D3215" s="8"/>
      <c r="E3215" s="6"/>
      <c r="F3215" s="6"/>
    </row>
    <row r="3216" spans="1:6" x14ac:dyDescent="0.3">
      <c r="A3216" s="8" t="s">
        <v>6392</v>
      </c>
      <c r="B3216" s="8" t="s">
        <v>56820</v>
      </c>
      <c r="C3216" s="8" t="s">
        <v>6393</v>
      </c>
      <c r="D3216" s="8"/>
      <c r="E3216" s="6"/>
      <c r="F3216" s="6"/>
    </row>
    <row r="3217" spans="1:6" x14ac:dyDescent="0.3">
      <c r="A3217" s="8" t="s">
        <v>6394</v>
      </c>
      <c r="B3217" s="8" t="s">
        <v>56821</v>
      </c>
      <c r="C3217" s="8" t="s">
        <v>6395</v>
      </c>
      <c r="D3217" s="8"/>
      <c r="E3217" s="6"/>
      <c r="F3217" s="6"/>
    </row>
    <row r="3218" spans="1:6" x14ac:dyDescent="0.3">
      <c r="A3218" s="8" t="s">
        <v>6396</v>
      </c>
      <c r="B3218" s="8" t="s">
        <v>56822</v>
      </c>
      <c r="C3218" s="8" t="s">
        <v>6397</v>
      </c>
      <c r="D3218" s="8"/>
      <c r="E3218" s="6"/>
      <c r="F3218" s="6"/>
    </row>
    <row r="3219" spans="1:6" x14ac:dyDescent="0.3">
      <c r="A3219" s="8" t="s">
        <v>6398</v>
      </c>
      <c r="B3219" s="8" t="s">
        <v>56823</v>
      </c>
      <c r="C3219" s="8" t="s">
        <v>6399</v>
      </c>
      <c r="D3219" s="8"/>
      <c r="E3219" s="6"/>
      <c r="F3219" s="6"/>
    </row>
    <row r="3220" spans="1:6" x14ac:dyDescent="0.3">
      <c r="A3220" s="8" t="s">
        <v>6400</v>
      </c>
      <c r="B3220" s="8" t="s">
        <v>56824</v>
      </c>
      <c r="C3220" s="8" t="s">
        <v>6401</v>
      </c>
      <c r="D3220" s="8"/>
      <c r="E3220" s="6"/>
      <c r="F3220" s="6"/>
    </row>
    <row r="3221" spans="1:6" x14ac:dyDescent="0.3">
      <c r="A3221" s="8" t="s">
        <v>6402</v>
      </c>
      <c r="B3221" s="8" t="s">
        <v>56825</v>
      </c>
      <c r="C3221" s="8" t="s">
        <v>6403</v>
      </c>
      <c r="D3221" s="8"/>
      <c r="E3221" s="6"/>
      <c r="F3221" s="6"/>
    </row>
    <row r="3222" spans="1:6" x14ac:dyDescent="0.3">
      <c r="A3222" s="8" t="s">
        <v>6404</v>
      </c>
      <c r="B3222" s="8" t="s">
        <v>56826</v>
      </c>
      <c r="C3222" s="8" t="s">
        <v>6405</v>
      </c>
      <c r="D3222" s="8"/>
      <c r="E3222" s="6"/>
      <c r="F3222" s="6"/>
    </row>
    <row r="3223" spans="1:6" x14ac:dyDescent="0.3">
      <c r="A3223" s="8" t="s">
        <v>6406</v>
      </c>
      <c r="B3223" s="8" t="s">
        <v>56827</v>
      </c>
      <c r="C3223" s="8" t="s">
        <v>6407</v>
      </c>
      <c r="D3223" s="8"/>
      <c r="E3223" s="6"/>
      <c r="F3223" s="6"/>
    </row>
    <row r="3224" spans="1:6" x14ac:dyDescent="0.3">
      <c r="A3224" s="8" t="s">
        <v>6408</v>
      </c>
      <c r="B3224" s="8" t="s">
        <v>56828</v>
      </c>
      <c r="C3224" s="8" t="s">
        <v>6409</v>
      </c>
      <c r="D3224" s="8"/>
      <c r="E3224" s="6"/>
      <c r="F3224" s="6"/>
    </row>
    <row r="3225" spans="1:6" x14ac:dyDescent="0.3">
      <c r="A3225" s="8" t="s">
        <v>6410</v>
      </c>
      <c r="B3225" s="8" t="s">
        <v>56829</v>
      </c>
      <c r="C3225" s="8" t="s">
        <v>6411</v>
      </c>
      <c r="D3225" s="8"/>
      <c r="E3225" s="6"/>
      <c r="F3225" s="6"/>
    </row>
    <row r="3226" spans="1:6" x14ac:dyDescent="0.3">
      <c r="A3226" s="8" t="s">
        <v>6412</v>
      </c>
      <c r="B3226" s="8" t="s">
        <v>56830</v>
      </c>
      <c r="C3226" s="8" t="s">
        <v>6413</v>
      </c>
      <c r="D3226" s="8"/>
      <c r="E3226" s="6"/>
      <c r="F3226" s="6"/>
    </row>
    <row r="3227" spans="1:6" x14ac:dyDescent="0.3">
      <c r="A3227" s="8" t="s">
        <v>6414</v>
      </c>
      <c r="B3227" s="8" t="s">
        <v>56831</v>
      </c>
      <c r="C3227" s="8" t="s">
        <v>6415</v>
      </c>
      <c r="D3227" s="8"/>
      <c r="E3227" s="6"/>
      <c r="F3227" s="6"/>
    </row>
    <row r="3228" spans="1:6" x14ac:dyDescent="0.3">
      <c r="A3228" s="8" t="s">
        <v>6416</v>
      </c>
      <c r="B3228" s="8" t="s">
        <v>56832</v>
      </c>
      <c r="C3228" s="8" t="s">
        <v>6417</v>
      </c>
      <c r="D3228" s="8"/>
      <c r="E3228" s="6"/>
      <c r="F3228" s="6"/>
    </row>
    <row r="3229" spans="1:6" x14ac:dyDescent="0.3">
      <c r="A3229" s="8" t="s">
        <v>6418</v>
      </c>
      <c r="B3229" s="8" t="s">
        <v>56833</v>
      </c>
      <c r="C3229" s="8" t="s">
        <v>6419</v>
      </c>
      <c r="D3229" s="8"/>
      <c r="E3229" s="6"/>
      <c r="F3229" s="6"/>
    </row>
    <row r="3230" spans="1:6" x14ac:dyDescent="0.3">
      <c r="A3230" s="8" t="s">
        <v>6420</v>
      </c>
      <c r="B3230" s="8" t="s">
        <v>56834</v>
      </c>
      <c r="C3230" s="8" t="s">
        <v>6421</v>
      </c>
      <c r="D3230" s="8"/>
      <c r="E3230" s="6"/>
      <c r="F3230" s="6"/>
    </row>
    <row r="3231" spans="1:6" x14ac:dyDescent="0.3">
      <c r="A3231" s="8" t="s">
        <v>6422</v>
      </c>
      <c r="B3231" s="8" t="s">
        <v>56835</v>
      </c>
      <c r="C3231" s="8" t="s">
        <v>6423</v>
      </c>
      <c r="D3231" s="8"/>
      <c r="E3231" s="6"/>
      <c r="F3231" s="6"/>
    </row>
    <row r="3232" spans="1:6" x14ac:dyDescent="0.3">
      <c r="A3232" s="8" t="s">
        <v>6424</v>
      </c>
      <c r="B3232" s="8" t="s">
        <v>56836</v>
      </c>
      <c r="C3232" s="8" t="s">
        <v>6425</v>
      </c>
      <c r="D3232" s="8"/>
      <c r="E3232" s="6"/>
      <c r="F3232" s="6"/>
    </row>
    <row r="3233" spans="1:6" x14ac:dyDescent="0.3">
      <c r="A3233" s="8" t="s">
        <v>6426</v>
      </c>
      <c r="B3233" s="8" t="s">
        <v>56837</v>
      </c>
      <c r="C3233" s="8" t="s">
        <v>6427</v>
      </c>
      <c r="D3233" s="8"/>
      <c r="E3233" s="6"/>
      <c r="F3233" s="6"/>
    </row>
    <row r="3234" spans="1:6" x14ac:dyDescent="0.3">
      <c r="A3234" s="8" t="s">
        <v>6428</v>
      </c>
      <c r="B3234" s="8" t="s">
        <v>56838</v>
      </c>
      <c r="C3234" s="8" t="s">
        <v>6429</v>
      </c>
      <c r="D3234" s="8"/>
      <c r="E3234" s="6"/>
      <c r="F3234" s="6"/>
    </row>
    <row r="3235" spans="1:6" x14ac:dyDescent="0.3">
      <c r="A3235" s="8" t="s">
        <v>6430</v>
      </c>
      <c r="B3235" s="8" t="s">
        <v>56839</v>
      </c>
      <c r="C3235" s="8" t="s">
        <v>6431</v>
      </c>
      <c r="D3235" s="8"/>
      <c r="E3235" s="6"/>
      <c r="F3235" s="6"/>
    </row>
    <row r="3236" spans="1:6" x14ac:dyDescent="0.3">
      <c r="A3236" s="8" t="s">
        <v>6432</v>
      </c>
      <c r="B3236" s="8" t="s">
        <v>56840</v>
      </c>
      <c r="C3236" s="8" t="s">
        <v>6433</v>
      </c>
      <c r="D3236" s="8"/>
      <c r="E3236" s="6"/>
      <c r="F3236" s="6"/>
    </row>
    <row r="3237" spans="1:6" x14ac:dyDescent="0.3">
      <c r="A3237" s="8" t="s">
        <v>6434</v>
      </c>
      <c r="B3237" s="8" t="s">
        <v>56841</v>
      </c>
      <c r="C3237" s="8" t="s">
        <v>6435</v>
      </c>
      <c r="D3237" s="8"/>
      <c r="E3237" s="6"/>
      <c r="F3237" s="6"/>
    </row>
    <row r="3238" spans="1:6" x14ac:dyDescent="0.3">
      <c r="A3238" s="8" t="s">
        <v>6436</v>
      </c>
      <c r="B3238" s="8" t="s">
        <v>56842</v>
      </c>
      <c r="C3238" s="8" t="s">
        <v>6437</v>
      </c>
      <c r="D3238" s="8"/>
      <c r="E3238" s="6"/>
      <c r="F3238" s="6"/>
    </row>
    <row r="3239" spans="1:6" x14ac:dyDescent="0.3">
      <c r="A3239" s="8" t="s">
        <v>6438</v>
      </c>
      <c r="B3239" s="8" t="s">
        <v>56843</v>
      </c>
      <c r="C3239" s="8" t="s">
        <v>6439</v>
      </c>
      <c r="D3239" s="8"/>
      <c r="E3239" s="6"/>
      <c r="F3239" s="6"/>
    </row>
    <row r="3240" spans="1:6" x14ac:dyDescent="0.3">
      <c r="A3240" s="8" t="s">
        <v>6440</v>
      </c>
      <c r="B3240" s="8" t="s">
        <v>56844</v>
      </c>
      <c r="C3240" s="8" t="s">
        <v>6441</v>
      </c>
      <c r="D3240" s="8"/>
      <c r="E3240" s="6"/>
      <c r="F3240" s="6"/>
    </row>
    <row r="3241" spans="1:6" x14ac:dyDescent="0.3">
      <c r="A3241" s="8" t="s">
        <v>6442</v>
      </c>
      <c r="B3241" s="8" t="s">
        <v>56845</v>
      </c>
      <c r="C3241" s="8" t="s">
        <v>6443</v>
      </c>
      <c r="D3241" s="8"/>
      <c r="E3241" s="6"/>
      <c r="F3241" s="6"/>
    </row>
    <row r="3242" spans="1:6" x14ac:dyDescent="0.3">
      <c r="A3242" s="8" t="s">
        <v>6444</v>
      </c>
      <c r="B3242" s="8" t="s">
        <v>56846</v>
      </c>
      <c r="C3242" s="8" t="s">
        <v>6445</v>
      </c>
      <c r="D3242" s="8"/>
      <c r="E3242" s="6"/>
      <c r="F3242" s="6"/>
    </row>
    <row r="3243" spans="1:6" x14ac:dyDescent="0.3">
      <c r="A3243" s="8" t="s">
        <v>6446</v>
      </c>
      <c r="B3243" s="8" t="s">
        <v>56847</v>
      </c>
      <c r="C3243" s="8" t="s">
        <v>6447</v>
      </c>
      <c r="D3243" s="8"/>
      <c r="E3243" s="6"/>
      <c r="F3243" s="6"/>
    </row>
    <row r="3244" spans="1:6" x14ac:dyDescent="0.3">
      <c r="A3244" s="8" t="s">
        <v>6448</v>
      </c>
      <c r="B3244" s="8" t="s">
        <v>56848</v>
      </c>
      <c r="C3244" s="8" t="s">
        <v>6449</v>
      </c>
      <c r="D3244" s="8"/>
      <c r="E3244" s="6"/>
      <c r="F3244" s="6"/>
    </row>
    <row r="3245" spans="1:6" x14ac:dyDescent="0.3">
      <c r="A3245" s="8" t="s">
        <v>6450</v>
      </c>
      <c r="B3245" s="8" t="s">
        <v>56849</v>
      </c>
      <c r="C3245" s="8" t="s">
        <v>6451</v>
      </c>
      <c r="D3245" s="8"/>
      <c r="E3245" s="6"/>
      <c r="F3245" s="6"/>
    </row>
    <row r="3246" spans="1:6" x14ac:dyDescent="0.3">
      <c r="A3246" s="8" t="s">
        <v>6452</v>
      </c>
      <c r="B3246" s="8" t="s">
        <v>56850</v>
      </c>
      <c r="C3246" s="8" t="s">
        <v>6453</v>
      </c>
      <c r="D3246" s="8"/>
      <c r="E3246" s="6"/>
      <c r="F3246" s="6"/>
    </row>
    <row r="3247" spans="1:6" x14ac:dyDescent="0.3">
      <c r="A3247" s="8" t="s">
        <v>6454</v>
      </c>
      <c r="B3247" s="8" t="s">
        <v>56851</v>
      </c>
      <c r="C3247" s="8" t="s">
        <v>6455</v>
      </c>
      <c r="D3247" s="8"/>
      <c r="E3247" s="6"/>
      <c r="F3247" s="6"/>
    </row>
    <row r="3248" spans="1:6" x14ac:dyDescent="0.3">
      <c r="A3248" s="8" t="s">
        <v>6456</v>
      </c>
      <c r="B3248" s="8" t="s">
        <v>56852</v>
      </c>
      <c r="C3248" s="8" t="s">
        <v>6457</v>
      </c>
      <c r="D3248" s="8"/>
      <c r="E3248" s="6"/>
      <c r="F3248" s="6"/>
    </row>
    <row r="3249" spans="1:6" x14ac:dyDescent="0.3">
      <c r="A3249" s="8" t="s">
        <v>6458</v>
      </c>
      <c r="B3249" s="8" t="s">
        <v>56853</v>
      </c>
      <c r="C3249" s="8" t="s">
        <v>6459</v>
      </c>
      <c r="D3249" s="8"/>
      <c r="E3249" s="6"/>
      <c r="F3249" s="6"/>
    </row>
    <row r="3250" spans="1:6" x14ac:dyDescent="0.3">
      <c r="A3250" s="8" t="s">
        <v>6460</v>
      </c>
      <c r="B3250" s="8" t="s">
        <v>56854</v>
      </c>
      <c r="C3250" s="8" t="s">
        <v>6461</v>
      </c>
      <c r="D3250" s="8"/>
      <c r="E3250" s="6"/>
      <c r="F3250" s="6"/>
    </row>
    <row r="3251" spans="1:6" x14ac:dyDescent="0.3">
      <c r="A3251" s="8" t="s">
        <v>6462</v>
      </c>
      <c r="B3251" s="8" t="s">
        <v>56855</v>
      </c>
      <c r="C3251" s="8" t="s">
        <v>6463</v>
      </c>
      <c r="D3251" s="8"/>
      <c r="E3251" s="6"/>
      <c r="F3251" s="6"/>
    </row>
    <row r="3252" spans="1:6" x14ac:dyDescent="0.3">
      <c r="A3252" s="8" t="s">
        <v>6464</v>
      </c>
      <c r="B3252" s="8" t="s">
        <v>56856</v>
      </c>
      <c r="C3252" s="8" t="s">
        <v>6465</v>
      </c>
      <c r="D3252" s="8"/>
      <c r="E3252" s="6"/>
      <c r="F3252" s="6"/>
    </row>
    <row r="3253" spans="1:6" x14ac:dyDescent="0.3">
      <c r="A3253" s="8" t="s">
        <v>6466</v>
      </c>
      <c r="B3253" s="8" t="s">
        <v>56857</v>
      </c>
      <c r="C3253" s="8" t="s">
        <v>6467</v>
      </c>
      <c r="D3253" s="8"/>
      <c r="E3253" s="6"/>
      <c r="F3253" s="6"/>
    </row>
    <row r="3254" spans="1:6" x14ac:dyDescent="0.3">
      <c r="A3254" s="8" t="s">
        <v>6468</v>
      </c>
      <c r="B3254" s="8" t="s">
        <v>56858</v>
      </c>
      <c r="C3254" s="8" t="s">
        <v>6469</v>
      </c>
      <c r="D3254" s="8"/>
      <c r="E3254" s="6"/>
      <c r="F3254" s="6"/>
    </row>
    <row r="3255" spans="1:6" x14ac:dyDescent="0.3">
      <c r="A3255" s="8" t="s">
        <v>6470</v>
      </c>
      <c r="B3255" s="8" t="s">
        <v>56859</v>
      </c>
      <c r="C3255" s="8" t="s">
        <v>6471</v>
      </c>
      <c r="D3255" s="8"/>
      <c r="E3255" s="6"/>
      <c r="F3255" s="6"/>
    </row>
    <row r="3256" spans="1:6" x14ac:dyDescent="0.3">
      <c r="A3256" s="8" t="s">
        <v>6472</v>
      </c>
      <c r="B3256" s="8" t="s">
        <v>56860</v>
      </c>
      <c r="C3256" s="8" t="s">
        <v>6473</v>
      </c>
      <c r="D3256" s="8"/>
      <c r="E3256" s="6"/>
      <c r="F3256" s="6"/>
    </row>
    <row r="3257" spans="1:6" x14ac:dyDescent="0.3">
      <c r="A3257" s="8" t="s">
        <v>6474</v>
      </c>
      <c r="B3257" s="8" t="s">
        <v>56861</v>
      </c>
      <c r="C3257" s="8" t="s">
        <v>6475</v>
      </c>
      <c r="D3257" s="8"/>
      <c r="E3257" s="6"/>
      <c r="F3257" s="6"/>
    </row>
    <row r="3258" spans="1:6" x14ac:dyDescent="0.3">
      <c r="A3258" s="8" t="s">
        <v>6476</v>
      </c>
      <c r="B3258" s="8" t="s">
        <v>56862</v>
      </c>
      <c r="C3258" s="8" t="s">
        <v>6477</v>
      </c>
      <c r="D3258" s="8"/>
      <c r="E3258" s="6"/>
      <c r="F3258" s="6"/>
    </row>
    <row r="3259" spans="1:6" x14ac:dyDescent="0.3">
      <c r="A3259" s="8" t="s">
        <v>6478</v>
      </c>
      <c r="B3259" s="8" t="s">
        <v>56863</v>
      </c>
      <c r="C3259" s="8" t="s">
        <v>6479</v>
      </c>
      <c r="D3259" s="8"/>
      <c r="E3259" s="6"/>
      <c r="F3259" s="6"/>
    </row>
    <row r="3260" spans="1:6" x14ac:dyDescent="0.3">
      <c r="A3260" s="8" t="s">
        <v>6480</v>
      </c>
      <c r="B3260" s="8" t="s">
        <v>56864</v>
      </c>
      <c r="C3260" s="8" t="s">
        <v>6481</v>
      </c>
      <c r="D3260" s="8"/>
      <c r="E3260" s="6"/>
      <c r="F3260" s="6"/>
    </row>
    <row r="3261" spans="1:6" x14ac:dyDescent="0.3">
      <c r="A3261" s="8" t="s">
        <v>6482</v>
      </c>
      <c r="B3261" s="8" t="s">
        <v>56865</v>
      </c>
      <c r="C3261" s="8" t="s">
        <v>6483</v>
      </c>
      <c r="D3261" s="8"/>
      <c r="E3261" s="6"/>
      <c r="F3261" s="6"/>
    </row>
    <row r="3262" spans="1:6" x14ac:dyDescent="0.3">
      <c r="A3262" s="8" t="s">
        <v>6484</v>
      </c>
      <c r="B3262" s="8" t="s">
        <v>56866</v>
      </c>
      <c r="C3262" s="8" t="s">
        <v>6485</v>
      </c>
      <c r="D3262" s="8"/>
      <c r="E3262" s="6"/>
      <c r="F3262" s="6"/>
    </row>
    <row r="3263" spans="1:6" x14ac:dyDescent="0.3">
      <c r="A3263" s="8" t="s">
        <v>6486</v>
      </c>
      <c r="B3263" s="8" t="s">
        <v>56867</v>
      </c>
      <c r="C3263" s="8" t="s">
        <v>6487</v>
      </c>
      <c r="D3263" s="8"/>
      <c r="E3263" s="6"/>
      <c r="F3263" s="6"/>
    </row>
    <row r="3264" spans="1:6" x14ac:dyDescent="0.3">
      <c r="A3264" s="8" t="s">
        <v>6488</v>
      </c>
      <c r="B3264" s="8" t="s">
        <v>56868</v>
      </c>
      <c r="C3264" s="8" t="s">
        <v>6489</v>
      </c>
      <c r="D3264" s="8"/>
      <c r="E3264" s="6"/>
      <c r="F3264" s="6"/>
    </row>
    <row r="3265" spans="1:6" x14ac:dyDescent="0.3">
      <c r="A3265" s="8" t="s">
        <v>6490</v>
      </c>
      <c r="B3265" s="8" t="s">
        <v>56869</v>
      </c>
      <c r="C3265" s="8" t="s">
        <v>6491</v>
      </c>
      <c r="D3265" s="8"/>
      <c r="E3265" s="6"/>
      <c r="F3265" s="6"/>
    </row>
    <row r="3266" spans="1:6" x14ac:dyDescent="0.3">
      <c r="A3266" s="8" t="s">
        <v>6492</v>
      </c>
      <c r="B3266" s="8" t="s">
        <v>56870</v>
      </c>
      <c r="C3266" s="8" t="s">
        <v>6493</v>
      </c>
      <c r="D3266" s="8"/>
      <c r="E3266" s="6"/>
      <c r="F3266" s="6"/>
    </row>
    <row r="3267" spans="1:6" x14ac:dyDescent="0.3">
      <c r="A3267" s="8" t="s">
        <v>6494</v>
      </c>
      <c r="B3267" s="8" t="s">
        <v>56871</v>
      </c>
      <c r="C3267" s="8" t="s">
        <v>6495</v>
      </c>
      <c r="D3267" s="8"/>
      <c r="E3267" s="6"/>
      <c r="F3267" s="6"/>
    </row>
    <row r="3268" spans="1:6" x14ac:dyDescent="0.3">
      <c r="A3268" s="8" t="s">
        <v>6496</v>
      </c>
      <c r="B3268" s="8" t="s">
        <v>56872</v>
      </c>
      <c r="C3268" s="8" t="s">
        <v>6497</v>
      </c>
      <c r="D3268" s="8"/>
      <c r="E3268" s="6"/>
      <c r="F3268" s="6"/>
    </row>
    <row r="3269" spans="1:6" x14ac:dyDescent="0.3">
      <c r="A3269" s="8" t="s">
        <v>6498</v>
      </c>
      <c r="B3269" s="8" t="s">
        <v>56873</v>
      </c>
      <c r="C3269" s="8" t="s">
        <v>6499</v>
      </c>
      <c r="D3269" s="8"/>
      <c r="E3269" s="6"/>
      <c r="F3269" s="6"/>
    </row>
    <row r="3270" spans="1:6" x14ac:dyDescent="0.3">
      <c r="A3270" s="8" t="s">
        <v>6500</v>
      </c>
      <c r="B3270" s="8" t="s">
        <v>56874</v>
      </c>
      <c r="C3270" s="8" t="s">
        <v>6501</v>
      </c>
      <c r="D3270" s="8"/>
      <c r="E3270" s="6"/>
      <c r="F3270" s="6"/>
    </row>
    <row r="3271" spans="1:6" x14ac:dyDescent="0.3">
      <c r="A3271" s="8" t="s">
        <v>6502</v>
      </c>
      <c r="B3271" s="8" t="s">
        <v>56875</v>
      </c>
      <c r="C3271" s="8" t="s">
        <v>6503</v>
      </c>
      <c r="D3271" s="8"/>
      <c r="E3271" s="6"/>
      <c r="F3271" s="6"/>
    </row>
    <row r="3272" spans="1:6" x14ac:dyDescent="0.3">
      <c r="A3272" s="8" t="s">
        <v>6504</v>
      </c>
      <c r="B3272" s="8" t="s">
        <v>56876</v>
      </c>
      <c r="C3272" s="8" t="s">
        <v>6505</v>
      </c>
      <c r="D3272" s="8"/>
      <c r="E3272" s="6"/>
      <c r="F3272" s="6"/>
    </row>
    <row r="3273" spans="1:6" x14ac:dyDescent="0.3">
      <c r="A3273" s="8" t="s">
        <v>6506</v>
      </c>
      <c r="B3273" s="8" t="s">
        <v>56877</v>
      </c>
      <c r="C3273" s="8" t="s">
        <v>6507</v>
      </c>
      <c r="D3273" s="8"/>
      <c r="E3273" s="6"/>
      <c r="F3273" s="6"/>
    </row>
    <row r="3274" spans="1:6" x14ac:dyDescent="0.3">
      <c r="A3274" s="8" t="s">
        <v>6508</v>
      </c>
      <c r="B3274" s="8" t="s">
        <v>56878</v>
      </c>
      <c r="C3274" s="8" t="s">
        <v>6509</v>
      </c>
      <c r="D3274" s="8"/>
      <c r="E3274" s="6"/>
      <c r="F3274" s="6"/>
    </row>
    <row r="3275" spans="1:6" x14ac:dyDescent="0.3">
      <c r="A3275" s="8" t="s">
        <v>6510</v>
      </c>
      <c r="B3275" s="8" t="s">
        <v>56879</v>
      </c>
      <c r="C3275" s="8" t="s">
        <v>6511</v>
      </c>
      <c r="D3275" s="8"/>
      <c r="E3275" s="6"/>
      <c r="F3275" s="6"/>
    </row>
    <row r="3276" spans="1:6" x14ac:dyDescent="0.3">
      <c r="A3276" s="8" t="s">
        <v>6512</v>
      </c>
      <c r="B3276" s="8" t="s">
        <v>56880</v>
      </c>
      <c r="C3276" s="8" t="s">
        <v>6513</v>
      </c>
      <c r="D3276" s="8"/>
      <c r="E3276" s="6"/>
      <c r="F3276" s="6"/>
    </row>
    <row r="3277" spans="1:6" x14ac:dyDescent="0.3">
      <c r="A3277" s="8" t="s">
        <v>6514</v>
      </c>
      <c r="B3277" s="8" t="s">
        <v>56881</v>
      </c>
      <c r="C3277" s="8" t="s">
        <v>6515</v>
      </c>
      <c r="D3277" s="8"/>
      <c r="E3277" s="6"/>
      <c r="F3277" s="6"/>
    </row>
    <row r="3278" spans="1:6" x14ac:dyDescent="0.3">
      <c r="A3278" s="8" t="s">
        <v>6516</v>
      </c>
      <c r="B3278" s="8" t="s">
        <v>56882</v>
      </c>
      <c r="C3278" s="8" t="s">
        <v>6517</v>
      </c>
      <c r="D3278" s="8"/>
      <c r="E3278" s="6"/>
      <c r="F3278" s="6"/>
    </row>
    <row r="3279" spans="1:6" x14ac:dyDescent="0.3">
      <c r="A3279" s="8" t="s">
        <v>6518</v>
      </c>
      <c r="B3279" s="8" t="s">
        <v>56883</v>
      </c>
      <c r="C3279" s="8" t="s">
        <v>6519</v>
      </c>
      <c r="D3279" s="8"/>
      <c r="E3279" s="6"/>
      <c r="F3279" s="6"/>
    </row>
    <row r="3280" spans="1:6" x14ac:dyDescent="0.3">
      <c r="A3280" s="8" t="s">
        <v>6520</v>
      </c>
      <c r="B3280" s="8" t="s">
        <v>56884</v>
      </c>
      <c r="C3280" s="8" t="s">
        <v>6521</v>
      </c>
      <c r="D3280" s="8"/>
      <c r="E3280" s="6"/>
      <c r="F3280" s="6"/>
    </row>
    <row r="3281" spans="1:6" x14ac:dyDescent="0.3">
      <c r="A3281" s="8" t="s">
        <v>6522</v>
      </c>
      <c r="B3281" s="8" t="s">
        <v>56885</v>
      </c>
      <c r="C3281" s="8" t="s">
        <v>6523</v>
      </c>
      <c r="D3281" s="8"/>
      <c r="E3281" s="6"/>
      <c r="F3281" s="6"/>
    </row>
    <row r="3282" spans="1:6" x14ac:dyDescent="0.3">
      <c r="A3282" s="8" t="s">
        <v>6524</v>
      </c>
      <c r="B3282" s="8" t="s">
        <v>56886</v>
      </c>
      <c r="C3282" s="8" t="s">
        <v>6525</v>
      </c>
      <c r="D3282" s="8"/>
      <c r="E3282" s="6"/>
      <c r="F3282" s="6"/>
    </row>
    <row r="3283" spans="1:6" x14ac:dyDescent="0.3">
      <c r="A3283" s="8" t="s">
        <v>6526</v>
      </c>
      <c r="B3283" s="8" t="s">
        <v>56887</v>
      </c>
      <c r="C3283" s="8" t="s">
        <v>6527</v>
      </c>
      <c r="D3283" s="8"/>
      <c r="E3283" s="6"/>
      <c r="F3283" s="6"/>
    </row>
    <row r="3284" spans="1:6" x14ac:dyDescent="0.3">
      <c r="A3284" s="8" t="s">
        <v>6528</v>
      </c>
      <c r="B3284" s="8" t="s">
        <v>56888</v>
      </c>
      <c r="C3284" s="8" t="s">
        <v>6529</v>
      </c>
      <c r="D3284" s="8"/>
      <c r="E3284" s="6"/>
      <c r="F3284" s="6"/>
    </row>
    <row r="3285" spans="1:6" x14ac:dyDescent="0.3">
      <c r="A3285" s="8" t="s">
        <v>6530</v>
      </c>
      <c r="B3285" s="8" t="s">
        <v>56889</v>
      </c>
      <c r="C3285" s="8" t="s">
        <v>6531</v>
      </c>
      <c r="D3285" s="8"/>
      <c r="E3285" s="6"/>
      <c r="F3285" s="6"/>
    </row>
    <row r="3286" spans="1:6" x14ac:dyDescent="0.3">
      <c r="A3286" s="8" t="s">
        <v>6532</v>
      </c>
      <c r="B3286" s="8" t="s">
        <v>56890</v>
      </c>
      <c r="C3286" s="8" t="s">
        <v>6533</v>
      </c>
      <c r="D3286" s="8"/>
      <c r="E3286" s="6"/>
      <c r="F3286" s="6"/>
    </row>
    <row r="3287" spans="1:6" x14ac:dyDescent="0.3">
      <c r="A3287" s="8" t="s">
        <v>6534</v>
      </c>
      <c r="B3287" s="8" t="s">
        <v>56891</v>
      </c>
      <c r="C3287" s="8" t="s">
        <v>6535</v>
      </c>
      <c r="D3287" s="8"/>
      <c r="E3287" s="6"/>
      <c r="F3287" s="6"/>
    </row>
    <row r="3288" spans="1:6" x14ac:dyDescent="0.3">
      <c r="A3288" s="8" t="s">
        <v>6536</v>
      </c>
      <c r="B3288" s="8" t="s">
        <v>56892</v>
      </c>
      <c r="C3288" s="8" t="s">
        <v>6537</v>
      </c>
      <c r="D3288" s="8"/>
      <c r="E3288" s="6"/>
      <c r="F3288" s="6"/>
    </row>
    <row r="3289" spans="1:6" x14ac:dyDescent="0.3">
      <c r="A3289" s="8" t="s">
        <v>6538</v>
      </c>
      <c r="B3289" s="8" t="s">
        <v>56893</v>
      </c>
      <c r="C3289" s="8" t="s">
        <v>6539</v>
      </c>
      <c r="D3289" s="8"/>
      <c r="E3289" s="6"/>
      <c r="F3289" s="6"/>
    </row>
    <row r="3290" spans="1:6" x14ac:dyDescent="0.3">
      <c r="A3290" s="8" t="s">
        <v>6540</v>
      </c>
      <c r="B3290" s="8" t="s">
        <v>56894</v>
      </c>
      <c r="C3290" s="8" t="s">
        <v>6541</v>
      </c>
      <c r="D3290" s="8"/>
      <c r="E3290" s="6"/>
      <c r="F3290" s="6"/>
    </row>
    <row r="3291" spans="1:6" x14ac:dyDescent="0.3">
      <c r="A3291" s="8" t="s">
        <v>6542</v>
      </c>
      <c r="B3291" s="8" t="s">
        <v>56895</v>
      </c>
      <c r="C3291" s="8" t="s">
        <v>6543</v>
      </c>
      <c r="D3291" s="8"/>
      <c r="E3291" s="6"/>
      <c r="F3291" s="6"/>
    </row>
    <row r="3292" spans="1:6" x14ac:dyDescent="0.3">
      <c r="A3292" s="8" t="s">
        <v>6544</v>
      </c>
      <c r="B3292" s="8" t="s">
        <v>56896</v>
      </c>
      <c r="C3292" s="8" t="s">
        <v>6545</v>
      </c>
      <c r="D3292" s="8"/>
      <c r="E3292" s="6"/>
      <c r="F3292" s="6"/>
    </row>
    <row r="3293" spans="1:6" x14ac:dyDescent="0.3">
      <c r="A3293" s="8" t="s">
        <v>6546</v>
      </c>
      <c r="B3293" s="8" t="s">
        <v>56897</v>
      </c>
      <c r="C3293" s="8" t="s">
        <v>6547</v>
      </c>
      <c r="D3293" s="8"/>
      <c r="E3293" s="6"/>
      <c r="F3293" s="6"/>
    </row>
    <row r="3294" spans="1:6" x14ac:dyDescent="0.3">
      <c r="A3294" s="8" t="s">
        <v>6548</v>
      </c>
      <c r="B3294" s="8" t="s">
        <v>56898</v>
      </c>
      <c r="C3294" s="8" t="s">
        <v>6549</v>
      </c>
      <c r="D3294" s="8"/>
      <c r="E3294" s="6"/>
      <c r="F3294" s="6"/>
    </row>
    <row r="3295" spans="1:6" x14ac:dyDescent="0.3">
      <c r="A3295" s="8" t="s">
        <v>6550</v>
      </c>
      <c r="B3295" s="8" t="s">
        <v>56899</v>
      </c>
      <c r="C3295" s="8" t="s">
        <v>6551</v>
      </c>
      <c r="D3295" s="8"/>
      <c r="E3295" s="6"/>
      <c r="F3295" s="6"/>
    </row>
    <row r="3296" spans="1:6" x14ac:dyDescent="0.3">
      <c r="A3296" s="8" t="s">
        <v>6552</v>
      </c>
      <c r="B3296" s="8" t="s">
        <v>56900</v>
      </c>
      <c r="C3296" s="8" t="s">
        <v>6553</v>
      </c>
      <c r="D3296" s="8"/>
      <c r="E3296" s="6"/>
      <c r="F3296" s="6"/>
    </row>
    <row r="3297" spans="1:6" x14ac:dyDescent="0.3">
      <c r="A3297" s="8" t="s">
        <v>6554</v>
      </c>
      <c r="B3297" s="8" t="s">
        <v>56901</v>
      </c>
      <c r="C3297" s="8" t="s">
        <v>6555</v>
      </c>
      <c r="D3297" s="8"/>
      <c r="E3297" s="6"/>
      <c r="F3297" s="6"/>
    </row>
    <row r="3298" spans="1:6" x14ac:dyDescent="0.3">
      <c r="A3298" s="8" t="s">
        <v>6556</v>
      </c>
      <c r="B3298" s="8" t="s">
        <v>56902</v>
      </c>
      <c r="C3298" s="8" t="s">
        <v>6557</v>
      </c>
      <c r="D3298" s="8"/>
      <c r="E3298" s="6"/>
      <c r="F3298" s="6"/>
    </row>
    <row r="3299" spans="1:6" x14ac:dyDescent="0.3">
      <c r="A3299" s="8" t="s">
        <v>6558</v>
      </c>
      <c r="B3299" s="8" t="s">
        <v>56903</v>
      </c>
      <c r="C3299" s="8" t="s">
        <v>6559</v>
      </c>
      <c r="D3299" s="8"/>
      <c r="E3299" s="6"/>
      <c r="F3299" s="6"/>
    </row>
    <row r="3300" spans="1:6" x14ac:dyDescent="0.3">
      <c r="A3300" s="8" t="s">
        <v>6560</v>
      </c>
      <c r="B3300" s="8" t="s">
        <v>56904</v>
      </c>
      <c r="C3300" s="8" t="s">
        <v>6561</v>
      </c>
      <c r="D3300" s="8"/>
      <c r="E3300" s="6"/>
      <c r="F3300" s="6"/>
    </row>
    <row r="3301" spans="1:6" x14ac:dyDescent="0.3">
      <c r="A3301" s="8" t="s">
        <v>6562</v>
      </c>
      <c r="B3301" s="8" t="s">
        <v>56905</v>
      </c>
      <c r="C3301" s="8" t="s">
        <v>6563</v>
      </c>
      <c r="D3301" s="8"/>
      <c r="E3301" s="6"/>
      <c r="F3301" s="6"/>
    </row>
    <row r="3302" spans="1:6" x14ac:dyDescent="0.3">
      <c r="A3302" s="8" t="s">
        <v>6564</v>
      </c>
      <c r="B3302" s="8" t="s">
        <v>56906</v>
      </c>
      <c r="C3302" s="8" t="s">
        <v>6565</v>
      </c>
      <c r="D3302" s="8"/>
      <c r="E3302" s="6"/>
      <c r="F3302" s="6"/>
    </row>
    <row r="3303" spans="1:6" x14ac:dyDescent="0.3">
      <c r="A3303" s="8" t="s">
        <v>6566</v>
      </c>
      <c r="B3303" s="8" t="s">
        <v>56907</v>
      </c>
      <c r="C3303" s="8" t="s">
        <v>6567</v>
      </c>
      <c r="D3303" s="8"/>
      <c r="E3303" s="6"/>
      <c r="F3303" s="6"/>
    </row>
    <row r="3304" spans="1:6" x14ac:dyDescent="0.3">
      <c r="A3304" s="8" t="s">
        <v>6568</v>
      </c>
      <c r="B3304" s="8" t="s">
        <v>56908</v>
      </c>
      <c r="C3304" s="8" t="s">
        <v>6569</v>
      </c>
      <c r="D3304" s="8"/>
      <c r="E3304" s="6"/>
      <c r="F3304" s="6"/>
    </row>
    <row r="3305" spans="1:6" x14ac:dyDescent="0.3">
      <c r="A3305" s="8" t="s">
        <v>6570</v>
      </c>
      <c r="B3305" s="8" t="s">
        <v>56909</v>
      </c>
      <c r="C3305" s="8" t="s">
        <v>6571</v>
      </c>
      <c r="D3305" s="8"/>
      <c r="E3305" s="6"/>
      <c r="F3305" s="6"/>
    </row>
    <row r="3306" spans="1:6" x14ac:dyDescent="0.3">
      <c r="A3306" s="8" t="s">
        <v>6572</v>
      </c>
      <c r="B3306" s="8" t="s">
        <v>56910</v>
      </c>
      <c r="C3306" s="8" t="s">
        <v>6573</v>
      </c>
      <c r="D3306" s="8"/>
      <c r="E3306" s="6"/>
      <c r="F3306" s="6"/>
    </row>
    <row r="3307" spans="1:6" x14ac:dyDescent="0.3">
      <c r="A3307" s="8" t="s">
        <v>6574</v>
      </c>
      <c r="B3307" s="8" t="s">
        <v>56911</v>
      </c>
      <c r="C3307" s="8" t="s">
        <v>6575</v>
      </c>
      <c r="D3307" s="8"/>
      <c r="E3307" s="6"/>
      <c r="F3307" s="6"/>
    </row>
    <row r="3308" spans="1:6" x14ac:dyDescent="0.3">
      <c r="A3308" s="8" t="s">
        <v>6576</v>
      </c>
      <c r="B3308" s="8" t="s">
        <v>56912</v>
      </c>
      <c r="C3308" s="8" t="s">
        <v>6577</v>
      </c>
      <c r="D3308" s="8"/>
      <c r="E3308" s="6"/>
      <c r="F3308" s="6"/>
    </row>
    <row r="3309" spans="1:6" x14ac:dyDescent="0.3">
      <c r="A3309" s="8" t="s">
        <v>6578</v>
      </c>
      <c r="B3309" s="8" t="s">
        <v>56913</v>
      </c>
      <c r="C3309" s="8" t="s">
        <v>6579</v>
      </c>
      <c r="D3309" s="8"/>
      <c r="E3309" s="6"/>
      <c r="F3309" s="6"/>
    </row>
    <row r="3310" spans="1:6" x14ac:dyDescent="0.3">
      <c r="A3310" s="8" t="s">
        <v>6580</v>
      </c>
      <c r="B3310" s="8" t="s">
        <v>56914</v>
      </c>
      <c r="C3310" s="8" t="s">
        <v>6581</v>
      </c>
      <c r="D3310" s="8"/>
      <c r="E3310" s="6"/>
      <c r="F3310" s="6"/>
    </row>
    <row r="3311" spans="1:6" x14ac:dyDescent="0.3">
      <c r="A3311" s="8" t="s">
        <v>6582</v>
      </c>
      <c r="B3311" s="8" t="s">
        <v>56915</v>
      </c>
      <c r="C3311" s="8" t="s">
        <v>6583</v>
      </c>
      <c r="D3311" s="8"/>
      <c r="E3311" s="6"/>
      <c r="F3311" s="6"/>
    </row>
    <row r="3312" spans="1:6" x14ac:dyDescent="0.3">
      <c r="A3312" s="8" t="s">
        <v>6584</v>
      </c>
      <c r="B3312" s="8" t="s">
        <v>56916</v>
      </c>
      <c r="C3312" s="8" t="s">
        <v>6585</v>
      </c>
      <c r="D3312" s="8"/>
      <c r="E3312" s="6"/>
      <c r="F3312" s="6"/>
    </row>
    <row r="3313" spans="1:6" x14ac:dyDescent="0.3">
      <c r="A3313" s="8" t="s">
        <v>6586</v>
      </c>
      <c r="B3313" s="8" t="s">
        <v>56917</v>
      </c>
      <c r="C3313" s="8" t="s">
        <v>6587</v>
      </c>
      <c r="D3313" s="8"/>
      <c r="E3313" s="6"/>
      <c r="F3313" s="6"/>
    </row>
    <row r="3314" spans="1:6" x14ac:dyDescent="0.3">
      <c r="A3314" s="8" t="s">
        <v>6588</v>
      </c>
      <c r="B3314" s="8" t="s">
        <v>56918</v>
      </c>
      <c r="C3314" s="8" t="s">
        <v>6589</v>
      </c>
      <c r="D3314" s="8"/>
      <c r="E3314" s="6"/>
      <c r="F3314" s="6"/>
    </row>
    <row r="3315" spans="1:6" x14ac:dyDescent="0.3">
      <c r="A3315" s="8" t="s">
        <v>6590</v>
      </c>
      <c r="B3315" s="8" t="s">
        <v>56919</v>
      </c>
      <c r="C3315" s="8" t="s">
        <v>6591</v>
      </c>
      <c r="D3315" s="8"/>
      <c r="E3315" s="6"/>
      <c r="F3315" s="6"/>
    </row>
    <row r="3316" spans="1:6" x14ac:dyDescent="0.3">
      <c r="A3316" s="8" t="s">
        <v>6592</v>
      </c>
      <c r="B3316" s="8" t="s">
        <v>56920</v>
      </c>
      <c r="C3316" s="8" t="s">
        <v>6593</v>
      </c>
      <c r="D3316" s="8"/>
      <c r="E3316" s="6"/>
      <c r="F3316" s="6"/>
    </row>
    <row r="3317" spans="1:6" x14ac:dyDescent="0.3">
      <c r="A3317" s="8" t="s">
        <v>6594</v>
      </c>
      <c r="B3317" s="8" t="s">
        <v>56921</v>
      </c>
      <c r="C3317" s="8" t="s">
        <v>6595</v>
      </c>
      <c r="D3317" s="8"/>
      <c r="E3317" s="6"/>
      <c r="F3317" s="6"/>
    </row>
    <row r="3318" spans="1:6" x14ac:dyDescent="0.3">
      <c r="A3318" s="8" t="s">
        <v>6596</v>
      </c>
      <c r="B3318" s="8" t="s">
        <v>56922</v>
      </c>
      <c r="C3318" s="8" t="s">
        <v>6597</v>
      </c>
      <c r="D3318" s="8"/>
      <c r="E3318" s="6"/>
      <c r="F3318" s="6"/>
    </row>
    <row r="3319" spans="1:6" x14ac:dyDescent="0.3">
      <c r="A3319" s="8" t="s">
        <v>6598</v>
      </c>
      <c r="B3319" s="8" t="s">
        <v>56923</v>
      </c>
      <c r="C3319" s="8" t="s">
        <v>6599</v>
      </c>
      <c r="D3319" s="8"/>
      <c r="E3319" s="6"/>
      <c r="F3319" s="6"/>
    </row>
    <row r="3320" spans="1:6" x14ac:dyDescent="0.3">
      <c r="A3320" s="8" t="s">
        <v>6600</v>
      </c>
      <c r="B3320" s="8" t="s">
        <v>56924</v>
      </c>
      <c r="C3320" s="8" t="s">
        <v>6601</v>
      </c>
      <c r="D3320" s="8"/>
      <c r="E3320" s="6"/>
      <c r="F3320" s="6"/>
    </row>
    <row r="3321" spans="1:6" x14ac:dyDescent="0.3">
      <c r="A3321" s="8" t="s">
        <v>6602</v>
      </c>
      <c r="B3321" s="8" t="s">
        <v>56925</v>
      </c>
      <c r="C3321" s="8" t="s">
        <v>6603</v>
      </c>
      <c r="D3321" s="8"/>
      <c r="E3321" s="6"/>
      <c r="F3321" s="6"/>
    </row>
    <row r="3322" spans="1:6" x14ac:dyDescent="0.3">
      <c r="A3322" s="8" t="s">
        <v>6604</v>
      </c>
      <c r="B3322" s="8" t="s">
        <v>56926</v>
      </c>
      <c r="C3322" s="8" t="s">
        <v>6605</v>
      </c>
      <c r="D3322" s="8"/>
      <c r="E3322" s="6"/>
      <c r="F3322" s="6"/>
    </row>
    <row r="3323" spans="1:6" x14ac:dyDescent="0.3">
      <c r="A3323" s="8" t="s">
        <v>6606</v>
      </c>
      <c r="B3323" s="8" t="s">
        <v>56927</v>
      </c>
      <c r="C3323" s="8" t="s">
        <v>6607</v>
      </c>
      <c r="D3323" s="8"/>
      <c r="E3323" s="6"/>
      <c r="F3323" s="6"/>
    </row>
    <row r="3324" spans="1:6" x14ac:dyDescent="0.3">
      <c r="A3324" s="8" t="s">
        <v>6608</v>
      </c>
      <c r="B3324" s="8" t="s">
        <v>56928</v>
      </c>
      <c r="C3324" s="8" t="s">
        <v>6609</v>
      </c>
      <c r="D3324" s="8"/>
      <c r="E3324" s="6"/>
      <c r="F3324" s="6"/>
    </row>
    <row r="3325" spans="1:6" x14ac:dyDescent="0.3">
      <c r="A3325" s="8" t="s">
        <v>6610</v>
      </c>
      <c r="B3325" s="8" t="s">
        <v>56929</v>
      </c>
      <c r="C3325" s="8" t="s">
        <v>6611</v>
      </c>
      <c r="D3325" s="8"/>
      <c r="E3325" s="6"/>
      <c r="F3325" s="6"/>
    </row>
    <row r="3326" spans="1:6" x14ac:dyDescent="0.3">
      <c r="A3326" s="8" t="s">
        <v>6612</v>
      </c>
      <c r="B3326" s="8" t="s">
        <v>56930</v>
      </c>
      <c r="C3326" s="8" t="s">
        <v>6613</v>
      </c>
      <c r="D3326" s="8"/>
      <c r="E3326" s="6"/>
      <c r="F3326" s="6"/>
    </row>
    <row r="3327" spans="1:6" x14ac:dyDescent="0.3">
      <c r="A3327" s="8" t="s">
        <v>6614</v>
      </c>
      <c r="B3327" s="8" t="s">
        <v>56931</v>
      </c>
      <c r="C3327" s="8" t="s">
        <v>6615</v>
      </c>
      <c r="D3327" s="8"/>
      <c r="E3327" s="6"/>
      <c r="F3327" s="6"/>
    </row>
    <row r="3328" spans="1:6" x14ac:dyDescent="0.3">
      <c r="A3328" s="8" t="s">
        <v>6616</v>
      </c>
      <c r="B3328" s="8" t="s">
        <v>56932</v>
      </c>
      <c r="C3328" s="8" t="s">
        <v>6617</v>
      </c>
      <c r="D3328" s="8"/>
      <c r="E3328" s="6"/>
      <c r="F3328" s="6"/>
    </row>
    <row r="3329" spans="1:6" x14ac:dyDescent="0.3">
      <c r="A3329" s="8" t="s">
        <v>6618</v>
      </c>
      <c r="B3329" s="8" t="s">
        <v>56933</v>
      </c>
      <c r="C3329" s="8" t="s">
        <v>6619</v>
      </c>
      <c r="D3329" s="8"/>
      <c r="E3329" s="6"/>
      <c r="F3329" s="6"/>
    </row>
    <row r="3330" spans="1:6" x14ac:dyDescent="0.3">
      <c r="A3330" s="8" t="s">
        <v>6620</v>
      </c>
      <c r="B3330" s="8" t="s">
        <v>56934</v>
      </c>
      <c r="C3330" s="8" t="s">
        <v>6621</v>
      </c>
      <c r="D3330" s="8"/>
      <c r="E3330" s="6"/>
      <c r="F3330" s="6"/>
    </row>
    <row r="3331" spans="1:6" x14ac:dyDescent="0.3">
      <c r="A3331" s="8" t="s">
        <v>6622</v>
      </c>
      <c r="B3331" s="8" t="s">
        <v>56935</v>
      </c>
      <c r="C3331" s="8" t="s">
        <v>6623</v>
      </c>
      <c r="D3331" s="8"/>
      <c r="E3331" s="6"/>
      <c r="F3331" s="6"/>
    </row>
    <row r="3332" spans="1:6" x14ac:dyDescent="0.3">
      <c r="A3332" s="8" t="s">
        <v>6624</v>
      </c>
      <c r="B3332" s="8" t="s">
        <v>56936</v>
      </c>
      <c r="C3332" s="8" t="s">
        <v>6625</v>
      </c>
      <c r="D3332" s="8"/>
      <c r="E3332" s="6"/>
      <c r="F3332" s="6"/>
    </row>
    <row r="3333" spans="1:6" x14ac:dyDescent="0.3">
      <c r="A3333" s="8" t="s">
        <v>6626</v>
      </c>
      <c r="B3333" s="8" t="s">
        <v>56937</v>
      </c>
      <c r="C3333" s="8" t="s">
        <v>6627</v>
      </c>
      <c r="D3333" s="8"/>
      <c r="E3333" s="6"/>
      <c r="F3333" s="6"/>
    </row>
    <row r="3334" spans="1:6" x14ac:dyDescent="0.3">
      <c r="A3334" s="8" t="s">
        <v>6628</v>
      </c>
      <c r="B3334" s="8" t="s">
        <v>56938</v>
      </c>
      <c r="C3334" s="8" t="s">
        <v>6629</v>
      </c>
      <c r="D3334" s="8"/>
      <c r="E3334" s="6"/>
      <c r="F3334" s="6"/>
    </row>
    <row r="3335" spans="1:6" x14ac:dyDescent="0.3">
      <c r="A3335" s="8" t="s">
        <v>6630</v>
      </c>
      <c r="B3335" s="8" t="s">
        <v>56939</v>
      </c>
      <c r="C3335" s="8" t="s">
        <v>6631</v>
      </c>
      <c r="D3335" s="8"/>
      <c r="E3335" s="6"/>
      <c r="F3335" s="6"/>
    </row>
    <row r="3336" spans="1:6" x14ac:dyDescent="0.3">
      <c r="A3336" s="8" t="s">
        <v>6632</v>
      </c>
      <c r="B3336" s="8" t="s">
        <v>56940</v>
      </c>
      <c r="C3336" s="8" t="s">
        <v>6633</v>
      </c>
      <c r="D3336" s="8"/>
      <c r="E3336" s="6"/>
      <c r="F3336" s="6"/>
    </row>
    <row r="3337" spans="1:6" x14ac:dyDescent="0.3">
      <c r="A3337" s="8" t="s">
        <v>6634</v>
      </c>
      <c r="B3337" s="8" t="s">
        <v>56941</v>
      </c>
      <c r="C3337" s="8" t="s">
        <v>6635</v>
      </c>
      <c r="D3337" s="8"/>
      <c r="E3337" s="6"/>
      <c r="F3337" s="6"/>
    </row>
    <row r="3338" spans="1:6" x14ac:dyDescent="0.3">
      <c r="A3338" s="8" t="s">
        <v>6636</v>
      </c>
      <c r="B3338" s="8" t="s">
        <v>56942</v>
      </c>
      <c r="C3338" s="8" t="s">
        <v>6637</v>
      </c>
      <c r="D3338" s="8"/>
      <c r="E3338" s="6"/>
      <c r="F3338" s="6"/>
    </row>
    <row r="3339" spans="1:6" x14ac:dyDescent="0.3">
      <c r="A3339" s="8" t="s">
        <v>6638</v>
      </c>
      <c r="B3339" s="8" t="s">
        <v>56943</v>
      </c>
      <c r="C3339" s="8" t="s">
        <v>6639</v>
      </c>
      <c r="D3339" s="8"/>
      <c r="E3339" s="6"/>
      <c r="F3339" s="6"/>
    </row>
    <row r="3340" spans="1:6" x14ac:dyDescent="0.3">
      <c r="A3340" s="8" t="s">
        <v>6640</v>
      </c>
      <c r="B3340" s="8" t="s">
        <v>56944</v>
      </c>
      <c r="C3340" s="8" t="s">
        <v>6641</v>
      </c>
      <c r="D3340" s="8"/>
      <c r="E3340" s="6"/>
      <c r="F3340" s="6"/>
    </row>
    <row r="3341" spans="1:6" x14ac:dyDescent="0.3">
      <c r="A3341" s="8" t="s">
        <v>6642</v>
      </c>
      <c r="B3341" s="8" t="s">
        <v>56945</v>
      </c>
      <c r="C3341" s="8" t="s">
        <v>6643</v>
      </c>
      <c r="D3341" s="8"/>
      <c r="E3341" s="6"/>
      <c r="F3341" s="6"/>
    </row>
    <row r="3342" spans="1:6" x14ac:dyDescent="0.3">
      <c r="A3342" s="8" t="s">
        <v>6644</v>
      </c>
      <c r="B3342" s="8" t="s">
        <v>56946</v>
      </c>
      <c r="C3342" s="8" t="s">
        <v>6645</v>
      </c>
      <c r="D3342" s="8"/>
      <c r="E3342" s="6"/>
      <c r="F3342" s="6"/>
    </row>
    <row r="3343" spans="1:6" x14ac:dyDescent="0.3">
      <c r="A3343" s="8" t="s">
        <v>6646</v>
      </c>
      <c r="B3343" s="8" t="s">
        <v>56947</v>
      </c>
      <c r="C3343" s="8" t="s">
        <v>6647</v>
      </c>
      <c r="D3343" s="8"/>
      <c r="E3343" s="6"/>
      <c r="F3343" s="6"/>
    </row>
    <row r="3344" spans="1:6" x14ac:dyDescent="0.3">
      <c r="A3344" s="8" t="s">
        <v>6648</v>
      </c>
      <c r="B3344" s="8" t="s">
        <v>56948</v>
      </c>
      <c r="C3344" s="8" t="s">
        <v>6649</v>
      </c>
      <c r="D3344" s="8"/>
      <c r="E3344" s="6"/>
      <c r="F3344" s="6"/>
    </row>
    <row r="3345" spans="1:6" x14ac:dyDescent="0.3">
      <c r="A3345" s="8" t="s">
        <v>6650</v>
      </c>
      <c r="B3345" s="8" t="s">
        <v>56949</v>
      </c>
      <c r="C3345" s="8" t="s">
        <v>6651</v>
      </c>
      <c r="D3345" s="8"/>
      <c r="E3345" s="6"/>
      <c r="F3345" s="6"/>
    </row>
    <row r="3346" spans="1:6" x14ac:dyDescent="0.3">
      <c r="A3346" s="8" t="s">
        <v>6652</v>
      </c>
      <c r="B3346" s="8" t="s">
        <v>56950</v>
      </c>
      <c r="C3346" s="8" t="s">
        <v>6653</v>
      </c>
      <c r="D3346" s="8"/>
      <c r="E3346" s="6"/>
      <c r="F3346" s="6"/>
    </row>
    <row r="3347" spans="1:6" x14ac:dyDescent="0.3">
      <c r="A3347" s="8" t="s">
        <v>6654</v>
      </c>
      <c r="B3347" s="8" t="s">
        <v>56951</v>
      </c>
      <c r="C3347" s="8" t="s">
        <v>6655</v>
      </c>
      <c r="D3347" s="8"/>
      <c r="E3347" s="6"/>
      <c r="F3347" s="6"/>
    </row>
    <row r="3348" spans="1:6" x14ac:dyDescent="0.3">
      <c r="A3348" s="8" t="s">
        <v>6656</v>
      </c>
      <c r="B3348" s="8" t="s">
        <v>56952</v>
      </c>
      <c r="C3348" s="8" t="s">
        <v>6657</v>
      </c>
      <c r="D3348" s="8"/>
      <c r="E3348" s="6"/>
      <c r="F3348" s="6"/>
    </row>
    <row r="3349" spans="1:6" x14ac:dyDescent="0.3">
      <c r="A3349" s="8" t="s">
        <v>6658</v>
      </c>
      <c r="B3349" s="8" t="s">
        <v>56953</v>
      </c>
      <c r="C3349" s="8" t="s">
        <v>6659</v>
      </c>
      <c r="D3349" s="8"/>
      <c r="E3349" s="6"/>
      <c r="F3349" s="6"/>
    </row>
    <row r="3350" spans="1:6" x14ac:dyDescent="0.3">
      <c r="A3350" s="8" t="s">
        <v>6660</v>
      </c>
      <c r="B3350" s="8" t="s">
        <v>56954</v>
      </c>
      <c r="C3350" s="8" t="s">
        <v>6661</v>
      </c>
      <c r="D3350" s="8"/>
      <c r="E3350" s="6"/>
      <c r="F3350" s="6"/>
    </row>
    <row r="3351" spans="1:6" x14ac:dyDescent="0.3">
      <c r="A3351" s="8" t="s">
        <v>6662</v>
      </c>
      <c r="B3351" s="8" t="s">
        <v>56955</v>
      </c>
      <c r="C3351" s="8" t="s">
        <v>6663</v>
      </c>
      <c r="D3351" s="8"/>
      <c r="E3351" s="6"/>
      <c r="F3351" s="6"/>
    </row>
    <row r="3352" spans="1:6" x14ac:dyDescent="0.3">
      <c r="A3352" s="8" t="s">
        <v>6664</v>
      </c>
      <c r="B3352" s="8" t="s">
        <v>56956</v>
      </c>
      <c r="C3352" s="8" t="s">
        <v>6665</v>
      </c>
      <c r="D3352" s="8"/>
      <c r="E3352" s="6"/>
      <c r="F3352" s="6"/>
    </row>
    <row r="3353" spans="1:6" x14ac:dyDescent="0.3">
      <c r="A3353" s="8" t="s">
        <v>6666</v>
      </c>
      <c r="B3353" s="8" t="s">
        <v>56957</v>
      </c>
      <c r="C3353" s="8" t="s">
        <v>6667</v>
      </c>
      <c r="D3353" s="8"/>
      <c r="E3353" s="6"/>
      <c r="F3353" s="6"/>
    </row>
    <row r="3354" spans="1:6" x14ac:dyDescent="0.3">
      <c r="A3354" s="8" t="s">
        <v>6668</v>
      </c>
      <c r="B3354" s="8" t="s">
        <v>56958</v>
      </c>
      <c r="C3354" s="8" t="s">
        <v>6669</v>
      </c>
      <c r="D3354" s="8"/>
      <c r="E3354" s="6"/>
      <c r="F3354" s="6"/>
    </row>
    <row r="3355" spans="1:6" x14ac:dyDescent="0.3">
      <c r="A3355" s="8" t="s">
        <v>6670</v>
      </c>
      <c r="B3355" s="8" t="s">
        <v>56959</v>
      </c>
      <c r="C3355" s="8" t="s">
        <v>6671</v>
      </c>
      <c r="D3355" s="8"/>
      <c r="E3355" s="6"/>
      <c r="F3355" s="6"/>
    </row>
    <row r="3356" spans="1:6" x14ac:dyDescent="0.3">
      <c r="A3356" s="8" t="s">
        <v>6672</v>
      </c>
      <c r="B3356" s="8" t="s">
        <v>56960</v>
      </c>
      <c r="C3356" s="8" t="s">
        <v>6673</v>
      </c>
      <c r="D3356" s="8"/>
      <c r="E3356" s="6"/>
      <c r="F3356" s="6"/>
    </row>
    <row r="3357" spans="1:6" x14ac:dyDescent="0.3">
      <c r="A3357" s="8" t="s">
        <v>6674</v>
      </c>
      <c r="B3357" s="8" t="s">
        <v>56961</v>
      </c>
      <c r="C3357" s="8" t="s">
        <v>6675</v>
      </c>
      <c r="D3357" s="8"/>
      <c r="E3357" s="6"/>
      <c r="F3357" s="6"/>
    </row>
    <row r="3358" spans="1:6" x14ac:dyDescent="0.3">
      <c r="A3358" s="8" t="s">
        <v>6676</v>
      </c>
      <c r="B3358" s="8" t="s">
        <v>56962</v>
      </c>
      <c r="C3358" s="8" t="s">
        <v>6677</v>
      </c>
      <c r="D3358" s="8"/>
      <c r="E3358" s="6"/>
      <c r="F3358" s="6"/>
    </row>
    <row r="3359" spans="1:6" x14ac:dyDescent="0.3">
      <c r="A3359" s="8" t="s">
        <v>6678</v>
      </c>
      <c r="B3359" s="8" t="s">
        <v>56963</v>
      </c>
      <c r="C3359" s="8" t="s">
        <v>6679</v>
      </c>
      <c r="D3359" s="8"/>
      <c r="E3359" s="6"/>
      <c r="F3359" s="6"/>
    </row>
    <row r="3360" spans="1:6" x14ac:dyDescent="0.3">
      <c r="A3360" s="8" t="s">
        <v>6680</v>
      </c>
      <c r="B3360" s="8" t="s">
        <v>56964</v>
      </c>
      <c r="C3360" s="8" t="s">
        <v>6681</v>
      </c>
      <c r="D3360" s="8"/>
      <c r="E3360" s="6"/>
      <c r="F3360" s="6"/>
    </row>
    <row r="3361" spans="1:6" x14ac:dyDescent="0.3">
      <c r="A3361" s="8" t="s">
        <v>6682</v>
      </c>
      <c r="B3361" s="8" t="s">
        <v>56965</v>
      </c>
      <c r="C3361" s="8" t="s">
        <v>6683</v>
      </c>
      <c r="D3361" s="8"/>
      <c r="E3361" s="6"/>
      <c r="F3361" s="6"/>
    </row>
    <row r="3362" spans="1:6" x14ac:dyDescent="0.3">
      <c r="A3362" s="8" t="s">
        <v>6684</v>
      </c>
      <c r="B3362" s="8" t="s">
        <v>56966</v>
      </c>
      <c r="C3362" s="8" t="s">
        <v>6685</v>
      </c>
      <c r="D3362" s="8"/>
      <c r="E3362" s="6"/>
      <c r="F3362" s="6"/>
    </row>
    <row r="3363" spans="1:6" x14ac:dyDescent="0.3">
      <c r="A3363" s="8" t="s">
        <v>6686</v>
      </c>
      <c r="B3363" s="8" t="s">
        <v>56967</v>
      </c>
      <c r="C3363" s="8" t="s">
        <v>6687</v>
      </c>
      <c r="D3363" s="8"/>
      <c r="E3363" s="6"/>
      <c r="F3363" s="6"/>
    </row>
    <row r="3364" spans="1:6" x14ac:dyDescent="0.3">
      <c r="A3364" s="8" t="s">
        <v>6688</v>
      </c>
      <c r="B3364" s="8" t="s">
        <v>56968</v>
      </c>
      <c r="C3364" s="8" t="s">
        <v>6689</v>
      </c>
      <c r="D3364" s="8"/>
      <c r="E3364" s="6"/>
      <c r="F3364" s="6"/>
    </row>
    <row r="3365" spans="1:6" x14ac:dyDescent="0.3">
      <c r="A3365" s="8" t="s">
        <v>6690</v>
      </c>
      <c r="B3365" s="8" t="s">
        <v>56969</v>
      </c>
      <c r="C3365" s="8" t="s">
        <v>6691</v>
      </c>
      <c r="D3365" s="8"/>
      <c r="E3365" s="6"/>
      <c r="F3365" s="6"/>
    </row>
    <row r="3366" spans="1:6" x14ac:dyDescent="0.3">
      <c r="A3366" s="8" t="s">
        <v>6692</v>
      </c>
      <c r="B3366" s="8" t="s">
        <v>56970</v>
      </c>
      <c r="C3366" s="8" t="s">
        <v>6693</v>
      </c>
      <c r="D3366" s="8"/>
      <c r="E3366" s="6"/>
      <c r="F3366" s="6"/>
    </row>
    <row r="3367" spans="1:6" x14ac:dyDescent="0.3">
      <c r="A3367" s="8" t="s">
        <v>6694</v>
      </c>
      <c r="B3367" s="8" t="s">
        <v>56971</v>
      </c>
      <c r="C3367" s="8" t="s">
        <v>6695</v>
      </c>
      <c r="D3367" s="8"/>
      <c r="E3367" s="6"/>
      <c r="F3367" s="6"/>
    </row>
    <row r="3368" spans="1:6" x14ac:dyDescent="0.3">
      <c r="A3368" s="8" t="s">
        <v>6696</v>
      </c>
      <c r="B3368" s="8" t="s">
        <v>56972</v>
      </c>
      <c r="C3368" s="8" t="s">
        <v>6697</v>
      </c>
      <c r="D3368" s="8"/>
      <c r="E3368" s="6"/>
      <c r="F3368" s="6"/>
    </row>
    <row r="3369" spans="1:6" x14ac:dyDescent="0.3">
      <c r="A3369" s="8" t="s">
        <v>6698</v>
      </c>
      <c r="B3369" s="8" t="s">
        <v>56973</v>
      </c>
      <c r="C3369" s="8" t="s">
        <v>6699</v>
      </c>
      <c r="D3369" s="8"/>
      <c r="E3369" s="6"/>
      <c r="F3369" s="6"/>
    </row>
    <row r="3370" spans="1:6" x14ac:dyDescent="0.3">
      <c r="A3370" s="8" t="s">
        <v>6700</v>
      </c>
      <c r="B3370" s="8" t="s">
        <v>56974</v>
      </c>
      <c r="C3370" s="8" t="s">
        <v>6701</v>
      </c>
      <c r="D3370" s="8"/>
      <c r="E3370" s="6"/>
      <c r="F3370" s="6"/>
    </row>
    <row r="3371" spans="1:6" x14ac:dyDescent="0.3">
      <c r="A3371" s="8" t="s">
        <v>6702</v>
      </c>
      <c r="B3371" s="8" t="s">
        <v>56975</v>
      </c>
      <c r="C3371" s="8" t="s">
        <v>6703</v>
      </c>
      <c r="D3371" s="8"/>
      <c r="E3371" s="6"/>
      <c r="F3371" s="6"/>
    </row>
    <row r="3372" spans="1:6" x14ac:dyDescent="0.3">
      <c r="A3372" s="8" t="s">
        <v>6704</v>
      </c>
      <c r="B3372" s="8" t="s">
        <v>56976</v>
      </c>
      <c r="C3372" s="8" t="s">
        <v>6705</v>
      </c>
      <c r="D3372" s="8"/>
      <c r="E3372" s="6"/>
      <c r="F3372" s="6"/>
    </row>
    <row r="3373" spans="1:6" x14ac:dyDescent="0.3">
      <c r="A3373" s="8" t="s">
        <v>6706</v>
      </c>
      <c r="B3373" s="8" t="s">
        <v>56977</v>
      </c>
      <c r="C3373" s="8" t="s">
        <v>6707</v>
      </c>
      <c r="D3373" s="8"/>
      <c r="E3373" s="6"/>
      <c r="F3373" s="6"/>
    </row>
    <row r="3374" spans="1:6" x14ac:dyDescent="0.3">
      <c r="A3374" s="8" t="s">
        <v>6708</v>
      </c>
      <c r="B3374" s="8" t="s">
        <v>56978</v>
      </c>
      <c r="C3374" s="8" t="s">
        <v>6709</v>
      </c>
      <c r="D3374" s="8"/>
      <c r="E3374" s="6"/>
      <c r="F3374" s="6"/>
    </row>
    <row r="3375" spans="1:6" x14ac:dyDescent="0.3">
      <c r="A3375" s="8" t="s">
        <v>6710</v>
      </c>
      <c r="B3375" s="8" t="s">
        <v>56979</v>
      </c>
      <c r="C3375" s="8" t="s">
        <v>6711</v>
      </c>
      <c r="D3375" s="8"/>
      <c r="E3375" s="6"/>
      <c r="F3375" s="6"/>
    </row>
    <row r="3376" spans="1:6" x14ac:dyDescent="0.3">
      <c r="A3376" s="8" t="s">
        <v>6712</v>
      </c>
      <c r="B3376" s="8" t="s">
        <v>56980</v>
      </c>
      <c r="C3376" s="8" t="s">
        <v>6713</v>
      </c>
      <c r="D3376" s="8"/>
      <c r="E3376" s="6"/>
      <c r="F3376" s="6"/>
    </row>
    <row r="3377" spans="1:6" x14ac:dyDescent="0.3">
      <c r="A3377" s="8" t="s">
        <v>6714</v>
      </c>
      <c r="B3377" s="8" t="s">
        <v>56981</v>
      </c>
      <c r="C3377" s="8" t="s">
        <v>6715</v>
      </c>
      <c r="D3377" s="8"/>
      <c r="E3377" s="6"/>
      <c r="F3377" s="6"/>
    </row>
    <row r="3378" spans="1:6" x14ac:dyDescent="0.3">
      <c r="A3378" s="8" t="s">
        <v>6716</v>
      </c>
      <c r="B3378" s="8" t="s">
        <v>56982</v>
      </c>
      <c r="C3378" s="8" t="s">
        <v>6717</v>
      </c>
      <c r="D3378" s="8"/>
      <c r="E3378" s="6"/>
      <c r="F3378" s="6"/>
    </row>
    <row r="3379" spans="1:6" x14ac:dyDescent="0.3">
      <c r="A3379" s="8" t="s">
        <v>6718</v>
      </c>
      <c r="B3379" s="8" t="s">
        <v>56983</v>
      </c>
      <c r="C3379" s="8" t="s">
        <v>6719</v>
      </c>
      <c r="D3379" s="8"/>
      <c r="E3379" s="6"/>
      <c r="F3379" s="6"/>
    </row>
    <row r="3380" spans="1:6" x14ac:dyDescent="0.3">
      <c r="A3380" s="8" t="s">
        <v>6720</v>
      </c>
      <c r="B3380" s="8" t="s">
        <v>56984</v>
      </c>
      <c r="C3380" s="8" t="s">
        <v>6721</v>
      </c>
      <c r="D3380" s="8"/>
      <c r="E3380" s="6"/>
      <c r="F3380" s="6"/>
    </row>
    <row r="3381" spans="1:6" x14ac:dyDescent="0.3">
      <c r="A3381" s="8" t="s">
        <v>6722</v>
      </c>
      <c r="B3381" s="8" t="s">
        <v>56985</v>
      </c>
      <c r="C3381" s="8" t="s">
        <v>6723</v>
      </c>
      <c r="D3381" s="8"/>
      <c r="E3381" s="6"/>
      <c r="F3381" s="6"/>
    </row>
    <row r="3382" spans="1:6" x14ac:dyDescent="0.3">
      <c r="A3382" s="8" t="s">
        <v>6724</v>
      </c>
      <c r="B3382" s="8" t="s">
        <v>56986</v>
      </c>
      <c r="C3382" s="8" t="s">
        <v>6725</v>
      </c>
      <c r="D3382" s="8"/>
      <c r="E3382" s="6"/>
      <c r="F3382" s="6"/>
    </row>
    <row r="3383" spans="1:6" x14ac:dyDescent="0.3">
      <c r="A3383" s="8" t="s">
        <v>6726</v>
      </c>
      <c r="B3383" s="8" t="s">
        <v>56987</v>
      </c>
      <c r="C3383" s="8" t="s">
        <v>6727</v>
      </c>
      <c r="D3383" s="8"/>
      <c r="E3383" s="6"/>
      <c r="F3383" s="6"/>
    </row>
    <row r="3384" spans="1:6" x14ac:dyDescent="0.3">
      <c r="A3384" s="8" t="s">
        <v>6728</v>
      </c>
      <c r="B3384" s="8" t="s">
        <v>56988</v>
      </c>
      <c r="C3384" s="8" t="s">
        <v>6729</v>
      </c>
      <c r="D3384" s="8"/>
      <c r="E3384" s="6"/>
      <c r="F3384" s="6"/>
    </row>
    <row r="3385" spans="1:6" x14ac:dyDescent="0.3">
      <c r="A3385" s="8" t="s">
        <v>6730</v>
      </c>
      <c r="B3385" s="8" t="s">
        <v>56989</v>
      </c>
      <c r="C3385" s="8" t="s">
        <v>6731</v>
      </c>
      <c r="D3385" s="8"/>
      <c r="E3385" s="6"/>
      <c r="F3385" s="6"/>
    </row>
    <row r="3386" spans="1:6" x14ac:dyDescent="0.3">
      <c r="A3386" s="8" t="s">
        <v>6732</v>
      </c>
      <c r="B3386" s="8" t="s">
        <v>56990</v>
      </c>
      <c r="C3386" s="8" t="s">
        <v>6733</v>
      </c>
      <c r="D3386" s="8"/>
      <c r="E3386" s="6"/>
      <c r="F3386" s="6"/>
    </row>
    <row r="3387" spans="1:6" x14ac:dyDescent="0.3">
      <c r="A3387" s="8" t="s">
        <v>6734</v>
      </c>
      <c r="B3387" s="8" t="s">
        <v>56991</v>
      </c>
      <c r="C3387" s="8" t="s">
        <v>6735</v>
      </c>
      <c r="D3387" s="8"/>
      <c r="E3387" s="6"/>
      <c r="F3387" s="6"/>
    </row>
    <row r="3388" spans="1:6" x14ac:dyDescent="0.3">
      <c r="A3388" s="8" t="s">
        <v>6736</v>
      </c>
      <c r="B3388" s="8" t="s">
        <v>56992</v>
      </c>
      <c r="C3388" s="8" t="s">
        <v>6737</v>
      </c>
      <c r="D3388" s="8"/>
      <c r="E3388" s="6"/>
      <c r="F3388" s="6"/>
    </row>
    <row r="3389" spans="1:6" x14ac:dyDescent="0.3">
      <c r="A3389" s="8" t="s">
        <v>6738</v>
      </c>
      <c r="B3389" s="8" t="s">
        <v>56993</v>
      </c>
      <c r="C3389" s="8" t="s">
        <v>6739</v>
      </c>
      <c r="D3389" s="8"/>
      <c r="E3389" s="6"/>
      <c r="F3389" s="6"/>
    </row>
    <row r="3390" spans="1:6" x14ac:dyDescent="0.3">
      <c r="A3390" s="8" t="s">
        <v>6740</v>
      </c>
      <c r="B3390" s="8" t="s">
        <v>56994</v>
      </c>
      <c r="C3390" s="8" t="s">
        <v>6741</v>
      </c>
      <c r="D3390" s="8"/>
      <c r="E3390" s="6"/>
      <c r="F3390" s="6"/>
    </row>
    <row r="3391" spans="1:6" x14ac:dyDescent="0.3">
      <c r="A3391" s="8" t="s">
        <v>6742</v>
      </c>
      <c r="B3391" s="8" t="s">
        <v>56995</v>
      </c>
      <c r="C3391" s="8" t="s">
        <v>6743</v>
      </c>
      <c r="D3391" s="8"/>
      <c r="E3391" s="6"/>
      <c r="F3391" s="6"/>
    </row>
    <row r="3392" spans="1:6" x14ac:dyDescent="0.3">
      <c r="A3392" s="8" t="s">
        <v>6744</v>
      </c>
      <c r="B3392" s="8" t="s">
        <v>56996</v>
      </c>
      <c r="C3392" s="8" t="s">
        <v>6745</v>
      </c>
      <c r="D3392" s="8"/>
      <c r="E3392" s="6"/>
      <c r="F3392" s="6"/>
    </row>
    <row r="3393" spans="1:6" x14ac:dyDescent="0.3">
      <c r="A3393" s="8" t="s">
        <v>6746</v>
      </c>
      <c r="B3393" s="8" t="s">
        <v>56997</v>
      </c>
      <c r="C3393" s="8" t="s">
        <v>6747</v>
      </c>
      <c r="D3393" s="8"/>
      <c r="E3393" s="6"/>
      <c r="F3393" s="6"/>
    </row>
    <row r="3394" spans="1:6" x14ac:dyDescent="0.3">
      <c r="A3394" s="8" t="s">
        <v>6748</v>
      </c>
      <c r="B3394" s="8" t="s">
        <v>56998</v>
      </c>
      <c r="C3394" s="8" t="s">
        <v>6749</v>
      </c>
      <c r="D3394" s="8"/>
      <c r="E3394" s="6"/>
      <c r="F3394" s="6"/>
    </row>
    <row r="3395" spans="1:6" x14ac:dyDescent="0.3">
      <c r="A3395" s="8" t="s">
        <v>6750</v>
      </c>
      <c r="B3395" s="8" t="s">
        <v>56999</v>
      </c>
      <c r="C3395" s="8" t="s">
        <v>6751</v>
      </c>
      <c r="D3395" s="8"/>
      <c r="E3395" s="6"/>
      <c r="F3395" s="6"/>
    </row>
    <row r="3396" spans="1:6" x14ac:dyDescent="0.3">
      <c r="A3396" s="8" t="s">
        <v>6752</v>
      </c>
      <c r="B3396" s="8" t="s">
        <v>57000</v>
      </c>
      <c r="C3396" s="8" t="s">
        <v>6753</v>
      </c>
      <c r="D3396" s="8"/>
      <c r="E3396" s="6"/>
      <c r="F3396" s="6"/>
    </row>
    <row r="3397" spans="1:6" x14ac:dyDescent="0.3">
      <c r="A3397" s="8" t="s">
        <v>6754</v>
      </c>
      <c r="B3397" s="8" t="s">
        <v>57001</v>
      </c>
      <c r="C3397" s="8" t="s">
        <v>6755</v>
      </c>
      <c r="D3397" s="8"/>
      <c r="E3397" s="6"/>
      <c r="F3397" s="6"/>
    </row>
    <row r="3398" spans="1:6" x14ac:dyDescent="0.3">
      <c r="A3398" s="8" t="s">
        <v>6756</v>
      </c>
      <c r="B3398" s="8" t="s">
        <v>57002</v>
      </c>
      <c r="C3398" s="8" t="s">
        <v>6757</v>
      </c>
      <c r="D3398" s="8"/>
      <c r="E3398" s="6"/>
      <c r="F3398" s="6"/>
    </row>
    <row r="3399" spans="1:6" x14ac:dyDescent="0.3">
      <c r="A3399" s="8" t="s">
        <v>6758</v>
      </c>
      <c r="B3399" s="8" t="s">
        <v>57003</v>
      </c>
      <c r="C3399" s="8" t="s">
        <v>6759</v>
      </c>
      <c r="D3399" s="8"/>
      <c r="E3399" s="6"/>
      <c r="F3399" s="6"/>
    </row>
    <row r="3400" spans="1:6" x14ac:dyDescent="0.3">
      <c r="A3400" s="8" t="s">
        <v>6760</v>
      </c>
      <c r="B3400" s="8" t="s">
        <v>57004</v>
      </c>
      <c r="C3400" s="8" t="s">
        <v>6761</v>
      </c>
      <c r="D3400" s="8"/>
      <c r="E3400" s="6"/>
      <c r="F3400" s="6"/>
    </row>
    <row r="3401" spans="1:6" x14ac:dyDescent="0.3">
      <c r="A3401" s="8" t="s">
        <v>6762</v>
      </c>
      <c r="B3401" s="8" t="s">
        <v>57005</v>
      </c>
      <c r="C3401" s="8" t="s">
        <v>6763</v>
      </c>
      <c r="D3401" s="8"/>
      <c r="E3401" s="6"/>
      <c r="F3401" s="6"/>
    </row>
    <row r="3402" spans="1:6" x14ac:dyDescent="0.3">
      <c r="A3402" s="8" t="s">
        <v>6764</v>
      </c>
      <c r="B3402" s="8" t="s">
        <v>57006</v>
      </c>
      <c r="C3402" s="8" t="s">
        <v>6765</v>
      </c>
      <c r="D3402" s="8"/>
      <c r="E3402" s="6"/>
      <c r="F3402" s="6"/>
    </row>
    <row r="3403" spans="1:6" x14ac:dyDescent="0.3">
      <c r="A3403" s="8" t="s">
        <v>6766</v>
      </c>
      <c r="B3403" s="8" t="s">
        <v>57007</v>
      </c>
      <c r="C3403" s="8" t="s">
        <v>6767</v>
      </c>
      <c r="D3403" s="8"/>
      <c r="E3403" s="6"/>
      <c r="F3403" s="6"/>
    </row>
    <row r="3404" spans="1:6" x14ac:dyDescent="0.3">
      <c r="A3404" s="8" t="s">
        <v>6768</v>
      </c>
      <c r="B3404" s="8" t="s">
        <v>57008</v>
      </c>
      <c r="C3404" s="8" t="s">
        <v>6769</v>
      </c>
      <c r="D3404" s="8"/>
      <c r="E3404" s="6"/>
      <c r="F3404" s="6"/>
    </row>
    <row r="3405" spans="1:6" x14ac:dyDescent="0.3">
      <c r="A3405" s="8" t="s">
        <v>6770</v>
      </c>
      <c r="B3405" s="8" t="s">
        <v>57009</v>
      </c>
      <c r="C3405" s="8" t="s">
        <v>6771</v>
      </c>
      <c r="D3405" s="8"/>
      <c r="E3405" s="6"/>
      <c r="F3405" s="6"/>
    </row>
    <row r="3406" spans="1:6" x14ac:dyDescent="0.3">
      <c r="A3406" s="8" t="s">
        <v>6772</v>
      </c>
      <c r="B3406" s="8" t="s">
        <v>57010</v>
      </c>
      <c r="C3406" s="8" t="s">
        <v>6773</v>
      </c>
      <c r="D3406" s="8"/>
      <c r="E3406" s="6"/>
      <c r="F3406" s="6"/>
    </row>
    <row r="3407" spans="1:6" x14ac:dyDescent="0.3">
      <c r="A3407" s="8" t="s">
        <v>6774</v>
      </c>
      <c r="B3407" s="8" t="s">
        <v>57011</v>
      </c>
      <c r="C3407" s="8" t="s">
        <v>6775</v>
      </c>
      <c r="D3407" s="8"/>
      <c r="E3407" s="6"/>
      <c r="F3407" s="6"/>
    </row>
    <row r="3408" spans="1:6" x14ac:dyDescent="0.3">
      <c r="A3408" s="8" t="s">
        <v>6776</v>
      </c>
      <c r="B3408" s="8" t="s">
        <v>57012</v>
      </c>
      <c r="C3408" s="8" t="s">
        <v>6777</v>
      </c>
      <c r="D3408" s="8"/>
      <c r="E3408" s="6"/>
      <c r="F3408" s="6"/>
    </row>
    <row r="3409" spans="1:6" x14ac:dyDescent="0.3">
      <c r="A3409" s="8" t="s">
        <v>6778</v>
      </c>
      <c r="B3409" s="8" t="s">
        <v>57013</v>
      </c>
      <c r="C3409" s="8" t="s">
        <v>6779</v>
      </c>
      <c r="D3409" s="8"/>
      <c r="E3409" s="6"/>
      <c r="F3409" s="6"/>
    </row>
    <row r="3410" spans="1:6" x14ac:dyDescent="0.3">
      <c r="A3410" s="8" t="s">
        <v>6780</v>
      </c>
      <c r="B3410" s="8" t="s">
        <v>57014</v>
      </c>
      <c r="C3410" s="8" t="s">
        <v>6781</v>
      </c>
      <c r="D3410" s="8"/>
      <c r="E3410" s="6"/>
      <c r="F3410" s="6"/>
    </row>
    <row r="3411" spans="1:6" x14ac:dyDescent="0.3">
      <c r="A3411" s="8" t="s">
        <v>6782</v>
      </c>
      <c r="B3411" s="8" t="s">
        <v>57015</v>
      </c>
      <c r="C3411" s="8" t="s">
        <v>6783</v>
      </c>
      <c r="D3411" s="8"/>
      <c r="E3411" s="6"/>
      <c r="F3411" s="6"/>
    </row>
    <row r="3412" spans="1:6" x14ac:dyDescent="0.3">
      <c r="A3412" s="8" t="s">
        <v>6784</v>
      </c>
      <c r="B3412" s="8" t="s">
        <v>57016</v>
      </c>
      <c r="C3412" s="8" t="s">
        <v>6785</v>
      </c>
      <c r="D3412" s="8"/>
      <c r="E3412" s="6"/>
      <c r="F3412" s="6"/>
    </row>
    <row r="3413" spans="1:6" x14ac:dyDescent="0.3">
      <c r="A3413" s="8" t="s">
        <v>6786</v>
      </c>
      <c r="B3413" s="8" t="s">
        <v>57017</v>
      </c>
      <c r="C3413" s="8" t="s">
        <v>6787</v>
      </c>
      <c r="D3413" s="8"/>
      <c r="E3413" s="6"/>
      <c r="F3413" s="6"/>
    </row>
    <row r="3414" spans="1:6" x14ac:dyDescent="0.3">
      <c r="A3414" s="8" t="s">
        <v>6788</v>
      </c>
      <c r="B3414" s="8" t="s">
        <v>57018</v>
      </c>
      <c r="C3414" s="8" t="s">
        <v>6789</v>
      </c>
      <c r="D3414" s="8"/>
      <c r="E3414" s="6"/>
      <c r="F3414" s="6"/>
    </row>
    <row r="3415" spans="1:6" x14ac:dyDescent="0.3">
      <c r="A3415" s="8" t="s">
        <v>6790</v>
      </c>
      <c r="B3415" s="8" t="s">
        <v>57019</v>
      </c>
      <c r="C3415" s="8" t="s">
        <v>6791</v>
      </c>
      <c r="D3415" s="8"/>
      <c r="E3415" s="6"/>
      <c r="F3415" s="6"/>
    </row>
    <row r="3416" spans="1:6" x14ac:dyDescent="0.3">
      <c r="A3416" s="8" t="s">
        <v>6792</v>
      </c>
      <c r="B3416" s="8" t="s">
        <v>57020</v>
      </c>
      <c r="C3416" s="8" t="s">
        <v>6793</v>
      </c>
      <c r="D3416" s="8"/>
      <c r="E3416" s="6"/>
      <c r="F3416" s="6"/>
    </row>
    <row r="3417" spans="1:6" x14ac:dyDescent="0.3">
      <c r="A3417" s="8" t="s">
        <v>6794</v>
      </c>
      <c r="B3417" s="8" t="s">
        <v>57021</v>
      </c>
      <c r="C3417" s="8" t="s">
        <v>6795</v>
      </c>
      <c r="D3417" s="8"/>
      <c r="E3417" s="6"/>
      <c r="F3417" s="6"/>
    </row>
    <row r="3418" spans="1:6" x14ac:dyDescent="0.3">
      <c r="A3418" s="8" t="s">
        <v>6796</v>
      </c>
      <c r="B3418" s="8" t="s">
        <v>57022</v>
      </c>
      <c r="C3418" s="8" t="s">
        <v>6797</v>
      </c>
      <c r="D3418" s="8"/>
      <c r="E3418" s="6"/>
      <c r="F3418" s="6"/>
    </row>
    <row r="3419" spans="1:6" x14ac:dyDescent="0.3">
      <c r="A3419" s="8" t="s">
        <v>6798</v>
      </c>
      <c r="B3419" s="8" t="s">
        <v>57023</v>
      </c>
      <c r="C3419" s="8" t="s">
        <v>6799</v>
      </c>
      <c r="D3419" s="8"/>
      <c r="E3419" s="6"/>
      <c r="F3419" s="6"/>
    </row>
    <row r="3420" spans="1:6" x14ac:dyDescent="0.3">
      <c r="A3420" s="8" t="s">
        <v>6800</v>
      </c>
      <c r="B3420" s="8" t="s">
        <v>57024</v>
      </c>
      <c r="C3420" s="8" t="s">
        <v>6801</v>
      </c>
      <c r="D3420" s="8"/>
      <c r="E3420" s="6"/>
      <c r="F3420" s="6"/>
    </row>
    <row r="3421" spans="1:6" x14ac:dyDescent="0.3">
      <c r="A3421" s="8" t="s">
        <v>6802</v>
      </c>
      <c r="B3421" s="8" t="s">
        <v>57025</v>
      </c>
      <c r="C3421" s="8" t="s">
        <v>6803</v>
      </c>
      <c r="D3421" s="8"/>
      <c r="E3421" s="6"/>
      <c r="F3421" s="6"/>
    </row>
    <row r="3422" spans="1:6" x14ac:dyDescent="0.3">
      <c r="A3422" s="8" t="s">
        <v>6804</v>
      </c>
      <c r="B3422" s="8" t="s">
        <v>57026</v>
      </c>
      <c r="C3422" s="8" t="s">
        <v>6805</v>
      </c>
      <c r="D3422" s="8"/>
      <c r="E3422" s="6"/>
      <c r="F3422" s="6"/>
    </row>
    <row r="3423" spans="1:6" x14ac:dyDescent="0.3">
      <c r="A3423" s="8" t="s">
        <v>6806</v>
      </c>
      <c r="B3423" s="8" t="s">
        <v>57027</v>
      </c>
      <c r="C3423" s="8" t="s">
        <v>6807</v>
      </c>
      <c r="D3423" s="8"/>
      <c r="E3423" s="6"/>
      <c r="F3423" s="6"/>
    </row>
    <row r="3424" spans="1:6" x14ac:dyDescent="0.3">
      <c r="A3424" s="8" t="s">
        <v>6808</v>
      </c>
      <c r="B3424" s="8" t="s">
        <v>57028</v>
      </c>
      <c r="C3424" s="8" t="s">
        <v>6809</v>
      </c>
      <c r="D3424" s="8"/>
      <c r="E3424" s="6"/>
      <c r="F3424" s="6"/>
    </row>
    <row r="3425" spans="1:6" x14ac:dyDescent="0.3">
      <c r="A3425" s="8" t="s">
        <v>6810</v>
      </c>
      <c r="B3425" s="8" t="s">
        <v>57029</v>
      </c>
      <c r="C3425" s="8" t="s">
        <v>6811</v>
      </c>
      <c r="D3425" s="8"/>
      <c r="E3425" s="6"/>
      <c r="F3425" s="6"/>
    </row>
    <row r="3426" spans="1:6" x14ac:dyDescent="0.3">
      <c r="A3426" s="8" t="s">
        <v>6812</v>
      </c>
      <c r="B3426" s="8" t="s">
        <v>57030</v>
      </c>
      <c r="C3426" s="8" t="s">
        <v>6813</v>
      </c>
      <c r="D3426" s="8"/>
      <c r="E3426" s="6"/>
      <c r="F3426" s="6"/>
    </row>
    <row r="3427" spans="1:6" x14ac:dyDescent="0.3">
      <c r="A3427" s="8" t="s">
        <v>6814</v>
      </c>
      <c r="B3427" s="8" t="s">
        <v>57031</v>
      </c>
      <c r="C3427" s="8" t="s">
        <v>6815</v>
      </c>
      <c r="D3427" s="8"/>
      <c r="E3427" s="6"/>
      <c r="F3427" s="6"/>
    </row>
    <row r="3428" spans="1:6" x14ac:dyDescent="0.3">
      <c r="A3428" s="8" t="s">
        <v>6816</v>
      </c>
      <c r="B3428" s="8" t="s">
        <v>57032</v>
      </c>
      <c r="C3428" s="8" t="s">
        <v>6817</v>
      </c>
      <c r="D3428" s="8"/>
      <c r="E3428" s="6"/>
      <c r="F3428" s="6"/>
    </row>
    <row r="3429" spans="1:6" x14ac:dyDescent="0.3">
      <c r="A3429" s="8" t="s">
        <v>6818</v>
      </c>
      <c r="B3429" s="8" t="s">
        <v>57033</v>
      </c>
      <c r="C3429" s="8" t="s">
        <v>6819</v>
      </c>
      <c r="D3429" s="8"/>
      <c r="E3429" s="6"/>
      <c r="F3429" s="6"/>
    </row>
    <row r="3430" spans="1:6" x14ac:dyDescent="0.3">
      <c r="A3430" s="8" t="s">
        <v>6820</v>
      </c>
      <c r="B3430" s="8" t="s">
        <v>57034</v>
      </c>
      <c r="C3430" s="8" t="s">
        <v>6821</v>
      </c>
      <c r="D3430" s="8"/>
      <c r="E3430" s="6"/>
      <c r="F3430" s="6"/>
    </row>
    <row r="3431" spans="1:6" x14ac:dyDescent="0.3">
      <c r="A3431" s="8" t="s">
        <v>6822</v>
      </c>
      <c r="B3431" s="8" t="s">
        <v>57035</v>
      </c>
      <c r="C3431" s="8" t="s">
        <v>6823</v>
      </c>
      <c r="D3431" s="8"/>
      <c r="E3431" s="6"/>
      <c r="F3431" s="6"/>
    </row>
    <row r="3432" spans="1:6" x14ac:dyDescent="0.3">
      <c r="A3432" s="8" t="s">
        <v>6824</v>
      </c>
      <c r="B3432" s="8" t="s">
        <v>57036</v>
      </c>
      <c r="C3432" s="8" t="s">
        <v>6825</v>
      </c>
      <c r="D3432" s="8"/>
      <c r="E3432" s="6"/>
      <c r="F3432" s="6"/>
    </row>
    <row r="3433" spans="1:6" x14ac:dyDescent="0.3">
      <c r="A3433" s="8" t="s">
        <v>6826</v>
      </c>
      <c r="B3433" s="8" t="s">
        <v>57037</v>
      </c>
      <c r="C3433" s="8" t="s">
        <v>6827</v>
      </c>
      <c r="D3433" s="8"/>
      <c r="E3433" s="6"/>
      <c r="F3433" s="6"/>
    </row>
    <row r="3434" spans="1:6" x14ac:dyDescent="0.3">
      <c r="A3434" s="8" t="s">
        <v>6828</v>
      </c>
      <c r="B3434" s="8" t="s">
        <v>57038</v>
      </c>
      <c r="C3434" s="8" t="s">
        <v>6829</v>
      </c>
      <c r="D3434" s="8"/>
      <c r="E3434" s="6"/>
      <c r="F3434" s="6"/>
    </row>
    <row r="3435" spans="1:6" x14ac:dyDescent="0.3">
      <c r="A3435" s="8" t="s">
        <v>6830</v>
      </c>
      <c r="B3435" s="8" t="s">
        <v>57039</v>
      </c>
      <c r="C3435" s="8" t="s">
        <v>6831</v>
      </c>
      <c r="D3435" s="8"/>
      <c r="E3435" s="6"/>
      <c r="F3435" s="6"/>
    </row>
    <row r="3436" spans="1:6" x14ac:dyDescent="0.3">
      <c r="A3436" s="8" t="s">
        <v>6832</v>
      </c>
      <c r="B3436" s="8" t="s">
        <v>57040</v>
      </c>
      <c r="C3436" s="8" t="s">
        <v>6833</v>
      </c>
      <c r="D3436" s="8"/>
      <c r="E3436" s="6"/>
      <c r="F3436" s="6"/>
    </row>
    <row r="3437" spans="1:6" x14ac:dyDescent="0.3">
      <c r="A3437" s="8" t="s">
        <v>6834</v>
      </c>
      <c r="B3437" s="8" t="s">
        <v>57041</v>
      </c>
      <c r="C3437" s="8" t="s">
        <v>6835</v>
      </c>
      <c r="D3437" s="8"/>
      <c r="E3437" s="6"/>
      <c r="F3437" s="6"/>
    </row>
    <row r="3438" spans="1:6" x14ac:dyDescent="0.3">
      <c r="A3438" s="8" t="s">
        <v>6836</v>
      </c>
      <c r="B3438" s="8" t="s">
        <v>57042</v>
      </c>
      <c r="C3438" s="8" t="s">
        <v>6837</v>
      </c>
      <c r="D3438" s="8"/>
      <c r="E3438" s="6"/>
      <c r="F3438" s="6"/>
    </row>
    <row r="3439" spans="1:6" x14ac:dyDescent="0.3">
      <c r="A3439" s="8" t="s">
        <v>6838</v>
      </c>
      <c r="B3439" s="8" t="s">
        <v>57043</v>
      </c>
      <c r="C3439" s="8" t="s">
        <v>6839</v>
      </c>
      <c r="D3439" s="8"/>
      <c r="E3439" s="6"/>
      <c r="F3439" s="6"/>
    </row>
    <row r="3440" spans="1:6" x14ac:dyDescent="0.3">
      <c r="A3440" s="8" t="s">
        <v>6840</v>
      </c>
      <c r="B3440" s="8" t="s">
        <v>57044</v>
      </c>
      <c r="C3440" s="8" t="s">
        <v>6841</v>
      </c>
      <c r="D3440" s="8"/>
      <c r="E3440" s="6"/>
      <c r="F3440" s="6"/>
    </row>
    <row r="3441" spans="1:6" x14ac:dyDescent="0.3">
      <c r="A3441" s="8" t="s">
        <v>6842</v>
      </c>
      <c r="B3441" s="8" t="s">
        <v>57045</v>
      </c>
      <c r="C3441" s="8" t="s">
        <v>6843</v>
      </c>
      <c r="D3441" s="8"/>
      <c r="E3441" s="6"/>
      <c r="F3441" s="6"/>
    </row>
    <row r="3442" spans="1:6" x14ac:dyDescent="0.3">
      <c r="A3442" s="8" t="s">
        <v>6844</v>
      </c>
      <c r="B3442" s="8" t="s">
        <v>57046</v>
      </c>
      <c r="C3442" s="8" t="s">
        <v>6845</v>
      </c>
      <c r="D3442" s="8"/>
      <c r="E3442" s="6"/>
      <c r="F3442" s="6"/>
    </row>
    <row r="3443" spans="1:6" x14ac:dyDescent="0.3">
      <c r="A3443" s="8" t="s">
        <v>6846</v>
      </c>
      <c r="B3443" s="8" t="s">
        <v>57047</v>
      </c>
      <c r="C3443" s="8" t="s">
        <v>6847</v>
      </c>
      <c r="D3443" s="8"/>
      <c r="E3443" s="6"/>
      <c r="F3443" s="6"/>
    </row>
    <row r="3444" spans="1:6" x14ac:dyDescent="0.3">
      <c r="A3444" s="8" t="s">
        <v>6848</v>
      </c>
      <c r="B3444" s="8" t="s">
        <v>57048</v>
      </c>
      <c r="C3444" s="8" t="s">
        <v>6849</v>
      </c>
      <c r="D3444" s="8"/>
      <c r="E3444" s="6"/>
      <c r="F3444" s="6"/>
    </row>
    <row r="3445" spans="1:6" x14ac:dyDescent="0.3">
      <c r="A3445" s="8" t="s">
        <v>6850</v>
      </c>
      <c r="B3445" s="8" t="s">
        <v>57049</v>
      </c>
      <c r="C3445" s="8" t="s">
        <v>6851</v>
      </c>
      <c r="D3445" s="8"/>
      <c r="E3445" s="6"/>
      <c r="F3445" s="6"/>
    </row>
    <row r="3446" spans="1:6" x14ac:dyDescent="0.3">
      <c r="A3446" s="8" t="s">
        <v>6852</v>
      </c>
      <c r="B3446" s="8" t="s">
        <v>57050</v>
      </c>
      <c r="C3446" s="8" t="s">
        <v>6853</v>
      </c>
      <c r="D3446" s="8"/>
      <c r="E3446" s="6"/>
      <c r="F3446" s="6"/>
    </row>
    <row r="3447" spans="1:6" x14ac:dyDescent="0.3">
      <c r="A3447" s="8" t="s">
        <v>6854</v>
      </c>
      <c r="B3447" s="8" t="s">
        <v>57051</v>
      </c>
      <c r="C3447" s="8" t="s">
        <v>6855</v>
      </c>
      <c r="D3447" s="8"/>
      <c r="E3447" s="6"/>
      <c r="F3447" s="6"/>
    </row>
    <row r="3448" spans="1:6" x14ac:dyDescent="0.3">
      <c r="A3448" s="8" t="s">
        <v>6856</v>
      </c>
      <c r="B3448" s="8" t="s">
        <v>57052</v>
      </c>
      <c r="C3448" s="8" t="s">
        <v>6857</v>
      </c>
      <c r="D3448" s="8"/>
      <c r="E3448" s="6"/>
      <c r="F3448" s="6"/>
    </row>
    <row r="3449" spans="1:6" x14ac:dyDescent="0.3">
      <c r="A3449" s="8" t="s">
        <v>6858</v>
      </c>
      <c r="B3449" s="8" t="s">
        <v>57053</v>
      </c>
      <c r="C3449" s="8" t="s">
        <v>6859</v>
      </c>
      <c r="D3449" s="8"/>
      <c r="E3449" s="6"/>
      <c r="F3449" s="6"/>
    </row>
    <row r="3450" spans="1:6" x14ac:dyDescent="0.3">
      <c r="A3450" s="8" t="s">
        <v>6860</v>
      </c>
      <c r="B3450" s="8" t="s">
        <v>57054</v>
      </c>
      <c r="C3450" s="8" t="s">
        <v>6861</v>
      </c>
      <c r="D3450" s="8"/>
      <c r="E3450" s="6"/>
      <c r="F3450" s="6"/>
    </row>
    <row r="3451" spans="1:6" x14ac:dyDescent="0.3">
      <c r="A3451" s="8" t="s">
        <v>6862</v>
      </c>
      <c r="B3451" s="8" t="s">
        <v>57055</v>
      </c>
      <c r="C3451" s="8" t="s">
        <v>6863</v>
      </c>
      <c r="D3451" s="8"/>
      <c r="E3451" s="6"/>
      <c r="F3451" s="6"/>
    </row>
    <row r="3452" spans="1:6" x14ac:dyDescent="0.3">
      <c r="A3452" s="8" t="s">
        <v>6864</v>
      </c>
      <c r="B3452" s="8" t="s">
        <v>57056</v>
      </c>
      <c r="C3452" s="8" t="s">
        <v>6865</v>
      </c>
      <c r="D3452" s="8"/>
      <c r="E3452" s="6"/>
      <c r="F3452" s="6"/>
    </row>
    <row r="3453" spans="1:6" x14ac:dyDescent="0.3">
      <c r="A3453" s="8" t="s">
        <v>6866</v>
      </c>
      <c r="B3453" s="8" t="s">
        <v>57057</v>
      </c>
      <c r="C3453" s="8" t="s">
        <v>6867</v>
      </c>
      <c r="D3453" s="8"/>
      <c r="E3453" s="6"/>
      <c r="F3453" s="6"/>
    </row>
    <row r="3454" spans="1:6" x14ac:dyDescent="0.3">
      <c r="A3454" s="8" t="s">
        <v>6868</v>
      </c>
      <c r="B3454" s="8" t="s">
        <v>57058</v>
      </c>
      <c r="C3454" s="8" t="s">
        <v>6869</v>
      </c>
      <c r="D3454" s="8"/>
      <c r="E3454" s="6"/>
      <c r="F3454" s="6"/>
    </row>
    <row r="3455" spans="1:6" x14ac:dyDescent="0.3">
      <c r="A3455" s="8" t="s">
        <v>6870</v>
      </c>
      <c r="B3455" s="8" t="s">
        <v>57059</v>
      </c>
      <c r="C3455" s="8" t="s">
        <v>6871</v>
      </c>
      <c r="D3455" s="8"/>
      <c r="E3455" s="6"/>
      <c r="F3455" s="6"/>
    </row>
    <row r="3456" spans="1:6" x14ac:dyDescent="0.3">
      <c r="A3456" s="8" t="s">
        <v>6872</v>
      </c>
      <c r="B3456" s="8" t="s">
        <v>57060</v>
      </c>
      <c r="C3456" s="8" t="s">
        <v>6873</v>
      </c>
      <c r="D3456" s="8"/>
      <c r="E3456" s="6"/>
      <c r="F3456" s="6"/>
    </row>
    <row r="3457" spans="1:6" x14ac:dyDescent="0.3">
      <c r="A3457" s="8" t="s">
        <v>6874</v>
      </c>
      <c r="B3457" s="8" t="s">
        <v>57061</v>
      </c>
      <c r="C3457" s="8" t="s">
        <v>6875</v>
      </c>
      <c r="D3457" s="8"/>
      <c r="E3457" s="6"/>
      <c r="F3457" s="6"/>
    </row>
    <row r="3458" spans="1:6" x14ac:dyDescent="0.3">
      <c r="A3458" s="8" t="s">
        <v>6876</v>
      </c>
      <c r="B3458" s="8" t="s">
        <v>57062</v>
      </c>
      <c r="C3458" s="8" t="s">
        <v>6877</v>
      </c>
      <c r="D3458" s="8"/>
      <c r="E3458" s="6"/>
      <c r="F3458" s="6"/>
    </row>
    <row r="3459" spans="1:6" x14ac:dyDescent="0.3">
      <c r="A3459" s="8" t="s">
        <v>6878</v>
      </c>
      <c r="B3459" s="8" t="s">
        <v>57063</v>
      </c>
      <c r="C3459" s="8" t="s">
        <v>6879</v>
      </c>
      <c r="D3459" s="8"/>
      <c r="E3459" s="6"/>
      <c r="F3459" s="6"/>
    </row>
    <row r="3460" spans="1:6" x14ac:dyDescent="0.3">
      <c r="A3460" s="8" t="s">
        <v>6880</v>
      </c>
      <c r="B3460" s="8" t="s">
        <v>57064</v>
      </c>
      <c r="C3460" s="8" t="s">
        <v>6881</v>
      </c>
      <c r="D3460" s="8"/>
      <c r="E3460" s="6"/>
      <c r="F3460" s="6"/>
    </row>
    <row r="3461" spans="1:6" x14ac:dyDescent="0.3">
      <c r="A3461" s="8" t="s">
        <v>6882</v>
      </c>
      <c r="B3461" s="8" t="s">
        <v>57065</v>
      </c>
      <c r="C3461" s="8" t="s">
        <v>6883</v>
      </c>
      <c r="D3461" s="8"/>
      <c r="E3461" s="6"/>
      <c r="F3461" s="6"/>
    </row>
    <row r="3462" spans="1:6" x14ac:dyDescent="0.3">
      <c r="A3462" s="8" t="s">
        <v>6884</v>
      </c>
      <c r="B3462" s="8" t="s">
        <v>57066</v>
      </c>
      <c r="C3462" s="8" t="s">
        <v>6885</v>
      </c>
      <c r="D3462" s="8"/>
      <c r="E3462" s="6"/>
      <c r="F3462" s="6"/>
    </row>
    <row r="3463" spans="1:6" x14ac:dyDescent="0.3">
      <c r="A3463" s="8" t="s">
        <v>6886</v>
      </c>
      <c r="B3463" s="8" t="s">
        <v>57067</v>
      </c>
      <c r="C3463" s="8" t="s">
        <v>6887</v>
      </c>
      <c r="D3463" s="8"/>
      <c r="E3463" s="6"/>
      <c r="F3463" s="6"/>
    </row>
    <row r="3464" spans="1:6" x14ac:dyDescent="0.3">
      <c r="A3464" s="8" t="s">
        <v>6888</v>
      </c>
      <c r="B3464" s="8" t="s">
        <v>57068</v>
      </c>
      <c r="C3464" s="8" t="s">
        <v>6889</v>
      </c>
      <c r="D3464" s="8"/>
      <c r="E3464" s="6"/>
      <c r="F3464" s="6"/>
    </row>
    <row r="3465" spans="1:6" x14ac:dyDescent="0.3">
      <c r="A3465" s="8" t="s">
        <v>6890</v>
      </c>
      <c r="B3465" s="8" t="s">
        <v>57069</v>
      </c>
      <c r="C3465" s="8" t="s">
        <v>6891</v>
      </c>
      <c r="D3465" s="8"/>
      <c r="E3465" s="6"/>
      <c r="F3465" s="6"/>
    </row>
    <row r="3466" spans="1:6" x14ac:dyDescent="0.3">
      <c r="A3466" s="8" t="s">
        <v>6892</v>
      </c>
      <c r="B3466" s="8" t="s">
        <v>57070</v>
      </c>
      <c r="C3466" s="8" t="s">
        <v>6893</v>
      </c>
      <c r="D3466" s="8"/>
      <c r="E3466" s="6"/>
      <c r="F3466" s="6"/>
    </row>
    <row r="3467" spans="1:6" x14ac:dyDescent="0.3">
      <c r="A3467" s="8" t="s">
        <v>6894</v>
      </c>
      <c r="B3467" s="8" t="s">
        <v>57071</v>
      </c>
      <c r="C3467" s="8" t="s">
        <v>6895</v>
      </c>
      <c r="D3467" s="8"/>
      <c r="E3467" s="6"/>
      <c r="F3467" s="6"/>
    </row>
    <row r="3468" spans="1:6" x14ac:dyDescent="0.3">
      <c r="A3468" s="8" t="s">
        <v>6896</v>
      </c>
      <c r="B3468" s="8" t="s">
        <v>57072</v>
      </c>
      <c r="C3468" s="8" t="s">
        <v>6897</v>
      </c>
      <c r="D3468" s="8"/>
      <c r="E3468" s="6"/>
      <c r="F3468" s="6"/>
    </row>
    <row r="3469" spans="1:6" x14ac:dyDescent="0.3">
      <c r="A3469" s="8" t="s">
        <v>6898</v>
      </c>
      <c r="B3469" s="8" t="s">
        <v>57073</v>
      </c>
      <c r="C3469" s="8" t="s">
        <v>6899</v>
      </c>
      <c r="D3469" s="8"/>
      <c r="E3469" s="6"/>
      <c r="F3469" s="6"/>
    </row>
    <row r="3470" spans="1:6" x14ac:dyDescent="0.3">
      <c r="A3470" s="8" t="s">
        <v>6900</v>
      </c>
      <c r="B3470" s="8" t="s">
        <v>57074</v>
      </c>
      <c r="C3470" s="8" t="s">
        <v>6901</v>
      </c>
      <c r="D3470" s="8"/>
      <c r="E3470" s="6"/>
      <c r="F3470" s="6"/>
    </row>
    <row r="3471" spans="1:6" x14ac:dyDescent="0.3">
      <c r="A3471" s="8" t="s">
        <v>6902</v>
      </c>
      <c r="B3471" s="8" t="s">
        <v>57075</v>
      </c>
      <c r="C3471" s="8" t="s">
        <v>6903</v>
      </c>
      <c r="D3471" s="8"/>
      <c r="E3471" s="6"/>
      <c r="F3471" s="6"/>
    </row>
    <row r="3472" spans="1:6" x14ac:dyDescent="0.3">
      <c r="A3472" s="8" t="s">
        <v>6904</v>
      </c>
      <c r="B3472" s="8" t="s">
        <v>57076</v>
      </c>
      <c r="C3472" s="8" t="s">
        <v>6905</v>
      </c>
      <c r="D3472" s="8"/>
      <c r="E3472" s="6"/>
      <c r="F3472" s="6"/>
    </row>
    <row r="3473" spans="1:6" x14ac:dyDescent="0.3">
      <c r="A3473" s="8" t="s">
        <v>6906</v>
      </c>
      <c r="B3473" s="8" t="s">
        <v>57077</v>
      </c>
      <c r="C3473" s="8" t="s">
        <v>6907</v>
      </c>
      <c r="D3473" s="8"/>
      <c r="E3473" s="6"/>
      <c r="F3473" s="6"/>
    </row>
    <row r="3474" spans="1:6" x14ac:dyDescent="0.3">
      <c r="A3474" s="8" t="s">
        <v>6908</v>
      </c>
      <c r="B3474" s="8" t="s">
        <v>57078</v>
      </c>
      <c r="C3474" s="8" t="s">
        <v>6909</v>
      </c>
      <c r="D3474" s="8"/>
      <c r="E3474" s="6"/>
      <c r="F3474" s="6"/>
    </row>
    <row r="3475" spans="1:6" x14ac:dyDescent="0.3">
      <c r="A3475" s="8" t="s">
        <v>6910</v>
      </c>
      <c r="B3475" s="8" t="s">
        <v>57079</v>
      </c>
      <c r="C3475" s="8" t="s">
        <v>6911</v>
      </c>
      <c r="D3475" s="8"/>
      <c r="E3475" s="6"/>
      <c r="F3475" s="6"/>
    </row>
    <row r="3476" spans="1:6" x14ac:dyDescent="0.3">
      <c r="A3476" s="8" t="s">
        <v>6912</v>
      </c>
      <c r="B3476" s="8" t="s">
        <v>57080</v>
      </c>
      <c r="C3476" s="8" t="s">
        <v>6913</v>
      </c>
      <c r="D3476" s="8"/>
      <c r="E3476" s="6"/>
      <c r="F3476" s="6"/>
    </row>
    <row r="3477" spans="1:6" x14ac:dyDescent="0.3">
      <c r="A3477" s="8" t="s">
        <v>6914</v>
      </c>
      <c r="B3477" s="8" t="s">
        <v>57081</v>
      </c>
      <c r="C3477" s="8" t="s">
        <v>6915</v>
      </c>
      <c r="D3477" s="8"/>
      <c r="E3477" s="6"/>
      <c r="F3477" s="6"/>
    </row>
    <row r="3478" spans="1:6" x14ac:dyDescent="0.3">
      <c r="A3478" s="8" t="s">
        <v>6916</v>
      </c>
      <c r="B3478" s="8" t="s">
        <v>57082</v>
      </c>
      <c r="C3478" s="8" t="s">
        <v>6917</v>
      </c>
      <c r="D3478" s="8"/>
      <c r="E3478" s="6"/>
      <c r="F3478" s="6"/>
    </row>
    <row r="3479" spans="1:6" x14ac:dyDescent="0.3">
      <c r="A3479" s="8" t="s">
        <v>6918</v>
      </c>
      <c r="B3479" s="8" t="s">
        <v>57083</v>
      </c>
      <c r="C3479" s="8" t="s">
        <v>6919</v>
      </c>
      <c r="D3479" s="8"/>
      <c r="E3479" s="6"/>
      <c r="F3479" s="6"/>
    </row>
    <row r="3480" spans="1:6" x14ac:dyDescent="0.3">
      <c r="A3480" s="8" t="s">
        <v>6920</v>
      </c>
      <c r="B3480" s="8" t="s">
        <v>57084</v>
      </c>
      <c r="C3480" s="8" t="s">
        <v>6921</v>
      </c>
      <c r="D3480" s="8"/>
      <c r="E3480" s="6"/>
      <c r="F3480" s="6"/>
    </row>
    <row r="3481" spans="1:6" x14ac:dyDescent="0.3">
      <c r="A3481" s="8" t="s">
        <v>6922</v>
      </c>
      <c r="B3481" s="8" t="s">
        <v>57085</v>
      </c>
      <c r="C3481" s="8" t="s">
        <v>6923</v>
      </c>
      <c r="D3481" s="8"/>
      <c r="E3481" s="6"/>
      <c r="F3481" s="6"/>
    </row>
    <row r="3482" spans="1:6" x14ac:dyDescent="0.3">
      <c r="A3482" s="8" t="s">
        <v>6924</v>
      </c>
      <c r="B3482" s="8" t="s">
        <v>57086</v>
      </c>
      <c r="C3482" s="8" t="s">
        <v>6925</v>
      </c>
      <c r="D3482" s="8"/>
      <c r="E3482" s="6"/>
      <c r="F3482" s="6"/>
    </row>
    <row r="3483" spans="1:6" x14ac:dyDescent="0.3">
      <c r="A3483" s="8" t="s">
        <v>6926</v>
      </c>
      <c r="B3483" s="8" t="s">
        <v>57087</v>
      </c>
      <c r="C3483" s="8" t="s">
        <v>6927</v>
      </c>
      <c r="D3483" s="8"/>
      <c r="E3483" s="6"/>
      <c r="F3483" s="6"/>
    </row>
    <row r="3484" spans="1:6" x14ac:dyDescent="0.3">
      <c r="A3484" s="8" t="s">
        <v>6928</v>
      </c>
      <c r="B3484" s="8" t="s">
        <v>57088</v>
      </c>
      <c r="C3484" s="8" t="s">
        <v>6929</v>
      </c>
      <c r="D3484" s="8"/>
      <c r="E3484" s="6"/>
      <c r="F3484" s="6"/>
    </row>
    <row r="3485" spans="1:6" x14ac:dyDescent="0.3">
      <c r="A3485" s="8" t="s">
        <v>6930</v>
      </c>
      <c r="B3485" s="8" t="s">
        <v>57089</v>
      </c>
      <c r="C3485" s="8" t="s">
        <v>6931</v>
      </c>
      <c r="D3485" s="8"/>
      <c r="E3485" s="6"/>
      <c r="F3485" s="6"/>
    </row>
    <row r="3486" spans="1:6" x14ac:dyDescent="0.3">
      <c r="A3486" s="8" t="s">
        <v>6932</v>
      </c>
      <c r="B3486" s="8" t="s">
        <v>57090</v>
      </c>
      <c r="C3486" s="8" t="s">
        <v>6933</v>
      </c>
      <c r="D3486" s="8"/>
      <c r="E3486" s="6"/>
      <c r="F3486" s="6"/>
    </row>
    <row r="3487" spans="1:6" x14ac:dyDescent="0.3">
      <c r="A3487" s="8" t="s">
        <v>6934</v>
      </c>
      <c r="B3487" s="8" t="s">
        <v>57091</v>
      </c>
      <c r="C3487" s="8" t="s">
        <v>6935</v>
      </c>
      <c r="D3487" s="8"/>
      <c r="E3487" s="6"/>
      <c r="F3487" s="6"/>
    </row>
    <row r="3488" spans="1:6" x14ac:dyDescent="0.3">
      <c r="A3488" s="8" t="s">
        <v>6936</v>
      </c>
      <c r="B3488" s="8" t="s">
        <v>57092</v>
      </c>
      <c r="C3488" s="8" t="s">
        <v>6937</v>
      </c>
      <c r="D3488" s="8"/>
      <c r="E3488" s="6"/>
      <c r="F3488" s="6"/>
    </row>
    <row r="3489" spans="1:6" x14ac:dyDescent="0.3">
      <c r="A3489" s="8" t="s">
        <v>6938</v>
      </c>
      <c r="B3489" s="8" t="s">
        <v>57093</v>
      </c>
      <c r="C3489" s="8" t="s">
        <v>6939</v>
      </c>
      <c r="D3489" s="8"/>
      <c r="E3489" s="6"/>
      <c r="F3489" s="6"/>
    </row>
    <row r="3490" spans="1:6" x14ac:dyDescent="0.3">
      <c r="A3490" s="8" t="s">
        <v>6940</v>
      </c>
      <c r="B3490" s="8" t="s">
        <v>57094</v>
      </c>
      <c r="C3490" s="8" t="s">
        <v>6941</v>
      </c>
      <c r="D3490" s="8"/>
      <c r="E3490" s="6"/>
      <c r="F3490" s="6"/>
    </row>
    <row r="3491" spans="1:6" x14ac:dyDescent="0.3">
      <c r="A3491" s="8" t="s">
        <v>6942</v>
      </c>
      <c r="B3491" s="8" t="s">
        <v>57095</v>
      </c>
      <c r="C3491" s="8" t="s">
        <v>6943</v>
      </c>
      <c r="D3491" s="8"/>
      <c r="E3491" s="6"/>
      <c r="F3491" s="6"/>
    </row>
    <row r="3492" spans="1:6" x14ac:dyDescent="0.3">
      <c r="A3492" s="8" t="s">
        <v>6944</v>
      </c>
      <c r="B3492" s="8" t="s">
        <v>57096</v>
      </c>
      <c r="C3492" s="8" t="s">
        <v>6945</v>
      </c>
      <c r="D3492" s="8"/>
      <c r="E3492" s="6"/>
      <c r="F3492" s="6"/>
    </row>
    <row r="3493" spans="1:6" x14ac:dyDescent="0.3">
      <c r="A3493" s="8" t="s">
        <v>6946</v>
      </c>
      <c r="B3493" s="8" t="s">
        <v>57097</v>
      </c>
      <c r="C3493" s="8" t="s">
        <v>6947</v>
      </c>
      <c r="D3493" s="8"/>
      <c r="E3493" s="6"/>
      <c r="F3493" s="6"/>
    </row>
    <row r="3494" spans="1:6" x14ac:dyDescent="0.3">
      <c r="A3494" s="8" t="s">
        <v>6948</v>
      </c>
      <c r="B3494" s="8" t="s">
        <v>57098</v>
      </c>
      <c r="C3494" s="8" t="s">
        <v>6949</v>
      </c>
      <c r="D3494" s="8"/>
      <c r="E3494" s="6"/>
      <c r="F3494" s="6"/>
    </row>
    <row r="3495" spans="1:6" x14ac:dyDescent="0.3">
      <c r="A3495" s="8" t="s">
        <v>6950</v>
      </c>
      <c r="B3495" s="8" t="s">
        <v>57099</v>
      </c>
      <c r="C3495" s="8" t="s">
        <v>6951</v>
      </c>
      <c r="D3495" s="8"/>
      <c r="E3495" s="6"/>
      <c r="F3495" s="6"/>
    </row>
    <row r="3496" spans="1:6" x14ac:dyDescent="0.3">
      <c r="A3496" s="8" t="s">
        <v>6952</v>
      </c>
      <c r="B3496" s="8" t="s">
        <v>57100</v>
      </c>
      <c r="C3496" s="8" t="s">
        <v>6953</v>
      </c>
      <c r="D3496" s="8"/>
      <c r="E3496" s="6"/>
      <c r="F3496" s="6"/>
    </row>
    <row r="3497" spans="1:6" x14ac:dyDescent="0.3">
      <c r="A3497" s="8" t="s">
        <v>6954</v>
      </c>
      <c r="B3497" s="8" t="s">
        <v>57101</v>
      </c>
      <c r="C3497" s="8" t="s">
        <v>6955</v>
      </c>
      <c r="D3497" s="8"/>
      <c r="E3497" s="6"/>
      <c r="F3497" s="6"/>
    </row>
    <row r="3498" spans="1:6" x14ac:dyDescent="0.3">
      <c r="A3498" s="8" t="s">
        <v>6956</v>
      </c>
      <c r="B3498" s="8" t="s">
        <v>57102</v>
      </c>
      <c r="C3498" s="8" t="s">
        <v>6957</v>
      </c>
      <c r="D3498" s="8"/>
      <c r="E3498" s="6"/>
      <c r="F3498" s="6"/>
    </row>
    <row r="3499" spans="1:6" x14ac:dyDescent="0.3">
      <c r="A3499" s="8" t="s">
        <v>6958</v>
      </c>
      <c r="B3499" s="8" t="s">
        <v>57103</v>
      </c>
      <c r="C3499" s="8" t="s">
        <v>6959</v>
      </c>
      <c r="D3499" s="8"/>
      <c r="E3499" s="6"/>
      <c r="F3499" s="6"/>
    </row>
    <row r="3500" spans="1:6" x14ac:dyDescent="0.3">
      <c r="A3500" s="8" t="s">
        <v>6960</v>
      </c>
      <c r="B3500" s="8" t="s">
        <v>57104</v>
      </c>
      <c r="C3500" s="8" t="s">
        <v>6961</v>
      </c>
      <c r="D3500" s="8"/>
      <c r="E3500" s="6"/>
      <c r="F3500" s="6"/>
    </row>
    <row r="3501" spans="1:6" x14ac:dyDescent="0.3">
      <c r="A3501" s="8" t="s">
        <v>6962</v>
      </c>
      <c r="B3501" s="8" t="s">
        <v>57105</v>
      </c>
      <c r="C3501" s="8" t="s">
        <v>6963</v>
      </c>
      <c r="D3501" s="8"/>
      <c r="E3501" s="6"/>
      <c r="F3501" s="6"/>
    </row>
    <row r="3502" spans="1:6" x14ac:dyDescent="0.3">
      <c r="A3502" s="8" t="s">
        <v>6964</v>
      </c>
      <c r="B3502" s="8" t="s">
        <v>57106</v>
      </c>
      <c r="C3502" s="8" t="s">
        <v>6965</v>
      </c>
      <c r="D3502" s="8"/>
      <c r="E3502" s="6"/>
      <c r="F3502" s="6"/>
    </row>
    <row r="3503" spans="1:6" x14ac:dyDescent="0.3">
      <c r="A3503" s="8" t="s">
        <v>6966</v>
      </c>
      <c r="B3503" s="8" t="s">
        <v>57107</v>
      </c>
      <c r="C3503" s="8" t="s">
        <v>6967</v>
      </c>
      <c r="D3503" s="8"/>
      <c r="E3503" s="6"/>
      <c r="F3503" s="6"/>
    </row>
    <row r="3504" spans="1:6" x14ac:dyDescent="0.3">
      <c r="A3504" s="8" t="s">
        <v>6968</v>
      </c>
      <c r="B3504" s="8" t="s">
        <v>57108</v>
      </c>
      <c r="C3504" s="8" t="s">
        <v>6969</v>
      </c>
      <c r="D3504" s="8"/>
      <c r="E3504" s="6"/>
      <c r="F3504" s="6"/>
    </row>
    <row r="3505" spans="1:6" x14ac:dyDescent="0.3">
      <c r="A3505" s="8" t="s">
        <v>6970</v>
      </c>
      <c r="B3505" s="8" t="s">
        <v>57109</v>
      </c>
      <c r="C3505" s="8" t="s">
        <v>6971</v>
      </c>
      <c r="D3505" s="8"/>
      <c r="E3505" s="6"/>
      <c r="F3505" s="6"/>
    </row>
    <row r="3506" spans="1:6" x14ac:dyDescent="0.3">
      <c r="A3506" s="8" t="s">
        <v>6972</v>
      </c>
      <c r="B3506" s="8" t="s">
        <v>57110</v>
      </c>
      <c r="C3506" s="8" t="s">
        <v>6973</v>
      </c>
      <c r="D3506" s="8"/>
      <c r="E3506" s="6"/>
      <c r="F3506" s="6"/>
    </row>
    <row r="3507" spans="1:6" x14ac:dyDescent="0.3">
      <c r="A3507" s="8" t="s">
        <v>6974</v>
      </c>
      <c r="B3507" s="8" t="s">
        <v>57111</v>
      </c>
      <c r="C3507" s="8" t="s">
        <v>6975</v>
      </c>
      <c r="D3507" s="8"/>
      <c r="E3507" s="6"/>
      <c r="F3507" s="6"/>
    </row>
    <row r="3508" spans="1:6" x14ac:dyDescent="0.3">
      <c r="A3508" s="8" t="s">
        <v>6976</v>
      </c>
      <c r="B3508" s="8" t="s">
        <v>57112</v>
      </c>
      <c r="C3508" s="8" t="s">
        <v>6977</v>
      </c>
      <c r="D3508" s="8"/>
      <c r="E3508" s="6"/>
      <c r="F3508" s="6"/>
    </row>
    <row r="3509" spans="1:6" x14ac:dyDescent="0.3">
      <c r="A3509" s="8" t="s">
        <v>6978</v>
      </c>
      <c r="B3509" s="8" t="s">
        <v>57113</v>
      </c>
      <c r="C3509" s="8" t="s">
        <v>6979</v>
      </c>
      <c r="D3509" s="8"/>
      <c r="E3509" s="6"/>
      <c r="F3509" s="6"/>
    </row>
    <row r="3510" spans="1:6" x14ac:dyDescent="0.3">
      <c r="A3510" s="8" t="s">
        <v>6980</v>
      </c>
      <c r="B3510" s="8" t="s">
        <v>57114</v>
      </c>
      <c r="C3510" s="8" t="s">
        <v>6981</v>
      </c>
      <c r="D3510" s="8"/>
      <c r="E3510" s="6"/>
      <c r="F3510" s="6"/>
    </row>
    <row r="3511" spans="1:6" x14ac:dyDescent="0.3">
      <c r="A3511" s="8" t="s">
        <v>6982</v>
      </c>
      <c r="B3511" s="8" t="s">
        <v>57115</v>
      </c>
      <c r="C3511" s="8" t="s">
        <v>6983</v>
      </c>
      <c r="D3511" s="8"/>
      <c r="E3511" s="6"/>
      <c r="F3511" s="6"/>
    </row>
    <row r="3512" spans="1:6" x14ac:dyDescent="0.3">
      <c r="A3512" s="8" t="s">
        <v>6984</v>
      </c>
      <c r="B3512" s="8" t="s">
        <v>57116</v>
      </c>
      <c r="C3512" s="8" t="s">
        <v>6985</v>
      </c>
      <c r="D3512" s="8"/>
      <c r="E3512" s="6"/>
      <c r="F3512" s="6"/>
    </row>
    <row r="3513" spans="1:6" x14ac:dyDescent="0.3">
      <c r="A3513" s="8" t="s">
        <v>6986</v>
      </c>
      <c r="B3513" s="8" t="s">
        <v>57117</v>
      </c>
      <c r="C3513" s="8" t="s">
        <v>6987</v>
      </c>
      <c r="D3513" s="8"/>
      <c r="E3513" s="6"/>
      <c r="F3513" s="6"/>
    </row>
    <row r="3514" spans="1:6" x14ac:dyDescent="0.3">
      <c r="A3514" s="8" t="s">
        <v>6988</v>
      </c>
      <c r="B3514" s="8" t="s">
        <v>57118</v>
      </c>
      <c r="C3514" s="8" t="s">
        <v>6989</v>
      </c>
      <c r="D3514" s="8"/>
      <c r="E3514" s="6"/>
      <c r="F3514" s="6"/>
    </row>
    <row r="3515" spans="1:6" x14ac:dyDescent="0.3">
      <c r="A3515" s="8" t="s">
        <v>6990</v>
      </c>
      <c r="B3515" s="8" t="s">
        <v>57119</v>
      </c>
      <c r="C3515" s="8" t="s">
        <v>6991</v>
      </c>
      <c r="D3515" s="8"/>
      <c r="E3515" s="6"/>
      <c r="F3515" s="6"/>
    </row>
    <row r="3516" spans="1:6" x14ac:dyDescent="0.3">
      <c r="A3516" s="8" t="s">
        <v>6992</v>
      </c>
      <c r="B3516" s="8" t="s">
        <v>57120</v>
      </c>
      <c r="C3516" s="8" t="s">
        <v>6993</v>
      </c>
      <c r="D3516" s="8"/>
      <c r="E3516" s="6"/>
      <c r="F3516" s="6"/>
    </row>
    <row r="3517" spans="1:6" x14ac:dyDescent="0.3">
      <c r="A3517" s="8" t="s">
        <v>6994</v>
      </c>
      <c r="B3517" s="8" t="s">
        <v>57121</v>
      </c>
      <c r="C3517" s="8" t="s">
        <v>6995</v>
      </c>
      <c r="D3517" s="8"/>
      <c r="E3517" s="6"/>
      <c r="F3517" s="6"/>
    </row>
    <row r="3518" spans="1:6" x14ac:dyDescent="0.3">
      <c r="A3518" s="8" t="s">
        <v>6996</v>
      </c>
      <c r="B3518" s="8" t="s">
        <v>57122</v>
      </c>
      <c r="C3518" s="8" t="s">
        <v>6997</v>
      </c>
      <c r="D3518" s="8"/>
      <c r="E3518" s="6"/>
      <c r="F3518" s="6"/>
    </row>
    <row r="3519" spans="1:6" x14ac:dyDescent="0.3">
      <c r="A3519" s="8" t="s">
        <v>6998</v>
      </c>
      <c r="B3519" s="8" t="s">
        <v>57123</v>
      </c>
      <c r="C3519" s="8" t="s">
        <v>6999</v>
      </c>
      <c r="D3519" s="8"/>
      <c r="E3519" s="6"/>
      <c r="F3519" s="6"/>
    </row>
    <row r="3520" spans="1:6" x14ac:dyDescent="0.3">
      <c r="A3520" s="8" t="s">
        <v>7000</v>
      </c>
      <c r="B3520" s="8" t="s">
        <v>57124</v>
      </c>
      <c r="C3520" s="8" t="s">
        <v>7001</v>
      </c>
      <c r="D3520" s="8"/>
      <c r="E3520" s="6"/>
      <c r="F3520" s="6"/>
    </row>
    <row r="3521" spans="1:6" x14ac:dyDescent="0.3">
      <c r="A3521" s="8" t="s">
        <v>7002</v>
      </c>
      <c r="B3521" s="8" t="s">
        <v>57125</v>
      </c>
      <c r="C3521" s="8" t="s">
        <v>7003</v>
      </c>
      <c r="D3521" s="8"/>
      <c r="E3521" s="6"/>
      <c r="F3521" s="6"/>
    </row>
    <row r="3522" spans="1:6" x14ac:dyDescent="0.3">
      <c r="A3522" s="8" t="s">
        <v>7004</v>
      </c>
      <c r="B3522" s="8" t="s">
        <v>57126</v>
      </c>
      <c r="C3522" s="8" t="s">
        <v>7005</v>
      </c>
      <c r="D3522" s="8"/>
      <c r="E3522" s="6"/>
      <c r="F3522" s="6"/>
    </row>
    <row r="3523" spans="1:6" x14ac:dyDescent="0.3">
      <c r="A3523" s="8" t="s">
        <v>7006</v>
      </c>
      <c r="B3523" s="8" t="s">
        <v>57127</v>
      </c>
      <c r="C3523" s="8" t="s">
        <v>7007</v>
      </c>
      <c r="D3523" s="8"/>
      <c r="E3523" s="6"/>
      <c r="F3523" s="6"/>
    </row>
    <row r="3524" spans="1:6" x14ac:dyDescent="0.3">
      <c r="A3524" s="8" t="s">
        <v>7008</v>
      </c>
      <c r="B3524" s="8" t="s">
        <v>57128</v>
      </c>
      <c r="C3524" s="8" t="s">
        <v>7009</v>
      </c>
      <c r="D3524" s="8"/>
      <c r="E3524" s="6"/>
      <c r="F3524" s="6"/>
    </row>
    <row r="3525" spans="1:6" x14ac:dyDescent="0.3">
      <c r="A3525" s="8" t="s">
        <v>7010</v>
      </c>
      <c r="B3525" s="8" t="s">
        <v>57129</v>
      </c>
      <c r="C3525" s="8" t="s">
        <v>7011</v>
      </c>
      <c r="D3525" s="8"/>
      <c r="E3525" s="6"/>
      <c r="F3525" s="6"/>
    </row>
    <row r="3526" spans="1:6" x14ac:dyDescent="0.3">
      <c r="A3526" s="8" t="s">
        <v>7012</v>
      </c>
      <c r="B3526" s="8" t="s">
        <v>57130</v>
      </c>
      <c r="C3526" s="8" t="s">
        <v>7013</v>
      </c>
      <c r="D3526" s="8"/>
      <c r="E3526" s="6"/>
      <c r="F3526" s="6"/>
    </row>
    <row r="3527" spans="1:6" x14ac:dyDescent="0.3">
      <c r="A3527" s="8" t="s">
        <v>7014</v>
      </c>
      <c r="B3527" s="8" t="s">
        <v>57131</v>
      </c>
      <c r="C3527" s="8" t="s">
        <v>7015</v>
      </c>
      <c r="D3527" s="8"/>
      <c r="E3527" s="6"/>
      <c r="F3527" s="6"/>
    </row>
    <row r="3528" spans="1:6" x14ac:dyDescent="0.3">
      <c r="A3528" s="8" t="s">
        <v>7016</v>
      </c>
      <c r="B3528" s="8" t="s">
        <v>57132</v>
      </c>
      <c r="C3528" s="8" t="s">
        <v>7017</v>
      </c>
      <c r="D3528" s="8"/>
      <c r="E3528" s="6"/>
      <c r="F3528" s="6"/>
    </row>
    <row r="3529" spans="1:6" x14ac:dyDescent="0.3">
      <c r="A3529" s="8" t="s">
        <v>7018</v>
      </c>
      <c r="B3529" s="8" t="s">
        <v>57133</v>
      </c>
      <c r="C3529" s="8" t="s">
        <v>7019</v>
      </c>
      <c r="D3529" s="8"/>
      <c r="E3529" s="6"/>
      <c r="F3529" s="6"/>
    </row>
    <row r="3530" spans="1:6" x14ac:dyDescent="0.3">
      <c r="A3530" s="8" t="s">
        <v>7020</v>
      </c>
      <c r="B3530" s="8" t="s">
        <v>57134</v>
      </c>
      <c r="C3530" s="8" t="s">
        <v>7021</v>
      </c>
      <c r="D3530" s="8"/>
      <c r="E3530" s="6"/>
      <c r="F3530" s="6"/>
    </row>
    <row r="3531" spans="1:6" x14ac:dyDescent="0.3">
      <c r="A3531" s="8" t="s">
        <v>7022</v>
      </c>
      <c r="B3531" s="8" t="s">
        <v>57135</v>
      </c>
      <c r="C3531" s="8" t="s">
        <v>7023</v>
      </c>
      <c r="D3531" s="8"/>
      <c r="E3531" s="6"/>
      <c r="F3531" s="6"/>
    </row>
    <row r="3532" spans="1:6" x14ac:dyDescent="0.3">
      <c r="A3532" s="8" t="s">
        <v>7024</v>
      </c>
      <c r="B3532" s="8" t="s">
        <v>57136</v>
      </c>
      <c r="C3532" s="8" t="s">
        <v>7025</v>
      </c>
      <c r="D3532" s="8"/>
      <c r="E3532" s="6"/>
      <c r="F3532" s="6"/>
    </row>
    <row r="3533" spans="1:6" x14ac:dyDescent="0.3">
      <c r="A3533" s="8" t="s">
        <v>7026</v>
      </c>
      <c r="B3533" s="8" t="s">
        <v>57137</v>
      </c>
      <c r="C3533" s="8" t="s">
        <v>7027</v>
      </c>
      <c r="D3533" s="8"/>
      <c r="E3533" s="6"/>
      <c r="F3533" s="6"/>
    </row>
    <row r="3534" spans="1:6" x14ac:dyDescent="0.3">
      <c r="A3534" s="8" t="s">
        <v>7028</v>
      </c>
      <c r="B3534" s="8" t="s">
        <v>57138</v>
      </c>
      <c r="C3534" s="8" t="s">
        <v>7029</v>
      </c>
      <c r="D3534" s="8"/>
      <c r="E3534" s="6"/>
      <c r="F3534" s="6"/>
    </row>
    <row r="3535" spans="1:6" x14ac:dyDescent="0.3">
      <c r="A3535" s="8" t="s">
        <v>7030</v>
      </c>
      <c r="B3535" s="8" t="s">
        <v>57139</v>
      </c>
      <c r="C3535" s="8" t="s">
        <v>7031</v>
      </c>
      <c r="D3535" s="8"/>
      <c r="E3535" s="6"/>
      <c r="F3535" s="6"/>
    </row>
    <row r="3536" spans="1:6" x14ac:dyDescent="0.3">
      <c r="A3536" s="8" t="s">
        <v>7032</v>
      </c>
      <c r="B3536" s="8" t="s">
        <v>57140</v>
      </c>
      <c r="C3536" s="8" t="s">
        <v>7033</v>
      </c>
      <c r="D3536" s="8"/>
      <c r="E3536" s="6"/>
      <c r="F3536" s="6"/>
    </row>
    <row r="3537" spans="1:6" x14ac:dyDescent="0.3">
      <c r="A3537" s="8" t="s">
        <v>7034</v>
      </c>
      <c r="B3537" s="8" t="s">
        <v>57141</v>
      </c>
      <c r="C3537" s="8" t="s">
        <v>7035</v>
      </c>
      <c r="D3537" s="8"/>
      <c r="E3537" s="6"/>
      <c r="F3537" s="6"/>
    </row>
    <row r="3538" spans="1:6" x14ac:dyDescent="0.3">
      <c r="A3538" s="8" t="s">
        <v>7036</v>
      </c>
      <c r="B3538" s="8" t="s">
        <v>57142</v>
      </c>
      <c r="C3538" s="8" t="s">
        <v>7037</v>
      </c>
      <c r="D3538" s="8"/>
      <c r="E3538" s="6"/>
      <c r="F3538" s="6"/>
    </row>
    <row r="3539" spans="1:6" x14ac:dyDescent="0.3">
      <c r="A3539" s="8" t="s">
        <v>7038</v>
      </c>
      <c r="B3539" s="8" t="s">
        <v>57143</v>
      </c>
      <c r="C3539" s="8" t="s">
        <v>7039</v>
      </c>
      <c r="D3539" s="8"/>
      <c r="E3539" s="6"/>
      <c r="F3539" s="6"/>
    </row>
    <row r="3540" spans="1:6" x14ac:dyDescent="0.3">
      <c r="A3540" s="8" t="s">
        <v>7040</v>
      </c>
      <c r="B3540" s="8" t="s">
        <v>57144</v>
      </c>
      <c r="C3540" s="8" t="s">
        <v>7041</v>
      </c>
      <c r="D3540" s="8"/>
      <c r="E3540" s="6"/>
      <c r="F3540" s="6"/>
    </row>
    <row r="3541" spans="1:6" x14ac:dyDescent="0.3">
      <c r="A3541" s="8" t="s">
        <v>7042</v>
      </c>
      <c r="B3541" s="8" t="s">
        <v>57145</v>
      </c>
      <c r="C3541" s="8" t="s">
        <v>7043</v>
      </c>
      <c r="D3541" s="8"/>
      <c r="E3541" s="6"/>
      <c r="F3541" s="6"/>
    </row>
    <row r="3542" spans="1:6" x14ac:dyDescent="0.3">
      <c r="A3542" s="8" t="s">
        <v>7044</v>
      </c>
      <c r="B3542" s="8" t="s">
        <v>57146</v>
      </c>
      <c r="C3542" s="8" t="s">
        <v>7045</v>
      </c>
      <c r="D3542" s="8"/>
      <c r="E3542" s="6"/>
      <c r="F3542" s="6"/>
    </row>
    <row r="3543" spans="1:6" x14ac:dyDescent="0.3">
      <c r="A3543" s="8" t="s">
        <v>7046</v>
      </c>
      <c r="B3543" s="8" t="s">
        <v>57147</v>
      </c>
      <c r="C3543" s="8" t="s">
        <v>7047</v>
      </c>
      <c r="D3543" s="8"/>
      <c r="E3543" s="6"/>
      <c r="F3543" s="6"/>
    </row>
    <row r="3544" spans="1:6" x14ac:dyDescent="0.3">
      <c r="A3544" s="8" t="s">
        <v>7048</v>
      </c>
      <c r="B3544" s="8" t="s">
        <v>57148</v>
      </c>
      <c r="C3544" s="8" t="s">
        <v>7049</v>
      </c>
      <c r="D3544" s="8"/>
      <c r="E3544" s="6"/>
      <c r="F3544" s="6"/>
    </row>
    <row r="3545" spans="1:6" x14ac:dyDescent="0.3">
      <c r="A3545" s="8" t="s">
        <v>7050</v>
      </c>
      <c r="B3545" s="8" t="s">
        <v>57149</v>
      </c>
      <c r="C3545" s="8" t="s">
        <v>7051</v>
      </c>
      <c r="D3545" s="8"/>
      <c r="E3545" s="6"/>
      <c r="F3545" s="6"/>
    </row>
    <row r="3546" spans="1:6" x14ac:dyDescent="0.3">
      <c r="A3546" s="8" t="s">
        <v>7052</v>
      </c>
      <c r="B3546" s="8" t="s">
        <v>57150</v>
      </c>
      <c r="C3546" s="8" t="s">
        <v>7053</v>
      </c>
      <c r="D3546" s="8"/>
      <c r="E3546" s="6"/>
      <c r="F3546" s="6"/>
    </row>
    <row r="3547" spans="1:6" x14ac:dyDescent="0.3">
      <c r="A3547" s="8" t="s">
        <v>7054</v>
      </c>
      <c r="B3547" s="8" t="s">
        <v>57151</v>
      </c>
      <c r="C3547" s="8" t="s">
        <v>7055</v>
      </c>
      <c r="D3547" s="8"/>
      <c r="E3547" s="6"/>
      <c r="F3547" s="6"/>
    </row>
    <row r="3548" spans="1:6" x14ac:dyDescent="0.3">
      <c r="A3548" s="8" t="s">
        <v>7056</v>
      </c>
      <c r="B3548" s="8" t="s">
        <v>57152</v>
      </c>
      <c r="C3548" s="8" t="s">
        <v>7057</v>
      </c>
      <c r="D3548" s="8"/>
      <c r="E3548" s="6"/>
      <c r="F3548" s="6"/>
    </row>
    <row r="3549" spans="1:6" x14ac:dyDescent="0.3">
      <c r="A3549" s="8" t="s">
        <v>7058</v>
      </c>
      <c r="B3549" s="8" t="s">
        <v>57153</v>
      </c>
      <c r="C3549" s="8" t="s">
        <v>7059</v>
      </c>
      <c r="D3549" s="8"/>
      <c r="E3549" s="6"/>
      <c r="F3549" s="6"/>
    </row>
    <row r="3550" spans="1:6" x14ac:dyDescent="0.3">
      <c r="A3550" s="8" t="s">
        <v>7060</v>
      </c>
      <c r="B3550" s="8" t="s">
        <v>57154</v>
      </c>
      <c r="C3550" s="8" t="s">
        <v>7061</v>
      </c>
      <c r="D3550" s="8"/>
      <c r="E3550" s="6"/>
      <c r="F3550" s="6"/>
    </row>
    <row r="3551" spans="1:6" x14ac:dyDescent="0.3">
      <c r="A3551" s="8" t="s">
        <v>7062</v>
      </c>
      <c r="B3551" s="8" t="s">
        <v>57155</v>
      </c>
      <c r="C3551" s="8" t="s">
        <v>7063</v>
      </c>
      <c r="D3551" s="8"/>
      <c r="E3551" s="6"/>
      <c r="F3551" s="6"/>
    </row>
    <row r="3552" spans="1:6" x14ac:dyDescent="0.3">
      <c r="A3552" s="8" t="s">
        <v>7064</v>
      </c>
      <c r="B3552" s="8" t="s">
        <v>57156</v>
      </c>
      <c r="C3552" s="8" t="s">
        <v>7065</v>
      </c>
      <c r="D3552" s="8"/>
      <c r="E3552" s="6"/>
      <c r="F3552" s="6"/>
    </row>
    <row r="3553" spans="1:6" x14ac:dyDescent="0.3">
      <c r="A3553" s="8" t="s">
        <v>7066</v>
      </c>
      <c r="B3553" s="8" t="s">
        <v>57157</v>
      </c>
      <c r="C3553" s="8" t="s">
        <v>7067</v>
      </c>
      <c r="D3553" s="8"/>
      <c r="E3553" s="6"/>
      <c r="F3553" s="6"/>
    </row>
    <row r="3554" spans="1:6" x14ac:dyDescent="0.3">
      <c r="A3554" s="8" t="s">
        <v>7068</v>
      </c>
      <c r="B3554" s="8" t="s">
        <v>57158</v>
      </c>
      <c r="C3554" s="8" t="s">
        <v>7069</v>
      </c>
      <c r="D3554" s="8"/>
      <c r="E3554" s="6"/>
      <c r="F3554" s="6"/>
    </row>
    <row r="3555" spans="1:6" x14ac:dyDescent="0.3">
      <c r="A3555" s="8" t="s">
        <v>7070</v>
      </c>
      <c r="B3555" s="8" t="s">
        <v>57159</v>
      </c>
      <c r="C3555" s="8" t="s">
        <v>7071</v>
      </c>
      <c r="D3555" s="8"/>
      <c r="E3555" s="6"/>
      <c r="F3555" s="6"/>
    </row>
    <row r="3556" spans="1:6" x14ac:dyDescent="0.3">
      <c r="A3556" s="8" t="s">
        <v>7072</v>
      </c>
      <c r="B3556" s="8" t="s">
        <v>57160</v>
      </c>
      <c r="C3556" s="8" t="s">
        <v>7073</v>
      </c>
      <c r="D3556" s="8"/>
      <c r="E3556" s="6"/>
      <c r="F3556" s="6"/>
    </row>
    <row r="3557" spans="1:6" x14ac:dyDescent="0.3">
      <c r="A3557" s="8" t="s">
        <v>7074</v>
      </c>
      <c r="B3557" s="8" t="s">
        <v>57161</v>
      </c>
      <c r="C3557" s="8" t="s">
        <v>7075</v>
      </c>
      <c r="D3557" s="8"/>
      <c r="E3557" s="6"/>
      <c r="F3557" s="6"/>
    </row>
    <row r="3558" spans="1:6" x14ac:dyDescent="0.3">
      <c r="A3558" s="8" t="s">
        <v>7076</v>
      </c>
      <c r="B3558" s="8" t="s">
        <v>57162</v>
      </c>
      <c r="C3558" s="8" t="s">
        <v>7077</v>
      </c>
      <c r="D3558" s="8"/>
      <c r="E3558" s="6"/>
      <c r="F3558" s="6"/>
    </row>
    <row r="3559" spans="1:6" x14ac:dyDescent="0.3">
      <c r="A3559" s="8" t="s">
        <v>7078</v>
      </c>
      <c r="B3559" s="8" t="s">
        <v>57163</v>
      </c>
      <c r="C3559" s="8" t="s">
        <v>7079</v>
      </c>
      <c r="D3559" s="8"/>
      <c r="E3559" s="6"/>
      <c r="F3559" s="6"/>
    </row>
    <row r="3560" spans="1:6" x14ac:dyDescent="0.3">
      <c r="A3560" s="8" t="s">
        <v>7080</v>
      </c>
      <c r="B3560" s="8" t="s">
        <v>57164</v>
      </c>
      <c r="C3560" s="8" t="s">
        <v>7081</v>
      </c>
      <c r="D3560" s="8"/>
      <c r="E3560" s="6"/>
      <c r="F3560" s="6"/>
    </row>
    <row r="3561" spans="1:6" x14ac:dyDescent="0.3">
      <c r="A3561" s="8" t="s">
        <v>7082</v>
      </c>
      <c r="B3561" s="8" t="s">
        <v>57165</v>
      </c>
      <c r="C3561" s="8" t="s">
        <v>7083</v>
      </c>
      <c r="D3561" s="8"/>
      <c r="E3561" s="6"/>
      <c r="F3561" s="6"/>
    </row>
    <row r="3562" spans="1:6" x14ac:dyDescent="0.3">
      <c r="A3562" s="8" t="s">
        <v>7084</v>
      </c>
      <c r="B3562" s="8" t="s">
        <v>57166</v>
      </c>
      <c r="C3562" s="8" t="s">
        <v>7085</v>
      </c>
      <c r="D3562" s="8"/>
      <c r="E3562" s="6"/>
      <c r="F3562" s="6"/>
    </row>
    <row r="3563" spans="1:6" x14ac:dyDescent="0.3">
      <c r="A3563" s="8" t="s">
        <v>7086</v>
      </c>
      <c r="B3563" s="8" t="s">
        <v>57167</v>
      </c>
      <c r="C3563" s="8" t="s">
        <v>7087</v>
      </c>
      <c r="D3563" s="8"/>
      <c r="E3563" s="6"/>
      <c r="F3563" s="6"/>
    </row>
    <row r="3564" spans="1:6" x14ac:dyDescent="0.3">
      <c r="A3564" s="8" t="s">
        <v>7088</v>
      </c>
      <c r="B3564" s="8" t="s">
        <v>57168</v>
      </c>
      <c r="C3564" s="8" t="s">
        <v>7089</v>
      </c>
      <c r="D3564" s="8"/>
      <c r="E3564" s="6"/>
      <c r="F3564" s="6"/>
    </row>
    <row r="3565" spans="1:6" x14ac:dyDescent="0.3">
      <c r="A3565" s="8" t="s">
        <v>7090</v>
      </c>
      <c r="B3565" s="8" t="s">
        <v>57169</v>
      </c>
      <c r="C3565" s="8" t="s">
        <v>7091</v>
      </c>
      <c r="D3565" s="8"/>
      <c r="E3565" s="6"/>
      <c r="F3565" s="6"/>
    </row>
    <row r="3566" spans="1:6" x14ac:dyDescent="0.3">
      <c r="A3566" s="8" t="s">
        <v>7092</v>
      </c>
      <c r="B3566" s="8" t="s">
        <v>57170</v>
      </c>
      <c r="C3566" s="8" t="s">
        <v>7093</v>
      </c>
      <c r="D3566" s="8"/>
      <c r="E3566" s="6"/>
      <c r="F3566" s="6"/>
    </row>
    <row r="3567" spans="1:6" x14ac:dyDescent="0.3">
      <c r="A3567" s="8" t="s">
        <v>7094</v>
      </c>
      <c r="B3567" s="8" t="s">
        <v>57171</v>
      </c>
      <c r="C3567" s="8" t="s">
        <v>7095</v>
      </c>
      <c r="D3567" s="8"/>
      <c r="E3567" s="6"/>
      <c r="F3567" s="6"/>
    </row>
    <row r="3568" spans="1:6" x14ac:dyDescent="0.3">
      <c r="A3568" s="8" t="s">
        <v>7096</v>
      </c>
      <c r="B3568" s="8" t="s">
        <v>57172</v>
      </c>
      <c r="C3568" s="8" t="s">
        <v>7097</v>
      </c>
      <c r="D3568" s="8"/>
      <c r="E3568" s="6"/>
      <c r="F3568" s="6"/>
    </row>
    <row r="3569" spans="1:6" x14ac:dyDescent="0.3">
      <c r="A3569" s="8" t="s">
        <v>7098</v>
      </c>
      <c r="B3569" s="8" t="s">
        <v>57173</v>
      </c>
      <c r="C3569" s="8" t="s">
        <v>7099</v>
      </c>
      <c r="D3569" s="8"/>
      <c r="E3569" s="6"/>
      <c r="F3569" s="6"/>
    </row>
    <row r="3570" spans="1:6" x14ac:dyDescent="0.3">
      <c r="A3570" s="8" t="s">
        <v>7100</v>
      </c>
      <c r="B3570" s="8" t="s">
        <v>57174</v>
      </c>
      <c r="C3570" s="8" t="s">
        <v>7101</v>
      </c>
      <c r="D3570" s="8"/>
      <c r="E3570" s="6"/>
      <c r="F3570" s="6"/>
    </row>
    <row r="3571" spans="1:6" x14ac:dyDescent="0.3">
      <c r="A3571" s="8" t="s">
        <v>7102</v>
      </c>
      <c r="B3571" s="8" t="s">
        <v>57175</v>
      </c>
      <c r="C3571" s="8" t="s">
        <v>7103</v>
      </c>
      <c r="D3571" s="8"/>
      <c r="E3571" s="6"/>
      <c r="F3571" s="6"/>
    </row>
    <row r="3572" spans="1:6" x14ac:dyDescent="0.3">
      <c r="A3572" s="8" t="s">
        <v>7104</v>
      </c>
      <c r="B3572" s="8" t="s">
        <v>57176</v>
      </c>
      <c r="C3572" s="8" t="s">
        <v>7105</v>
      </c>
      <c r="D3572" s="8"/>
      <c r="E3572" s="6"/>
      <c r="F3572" s="6"/>
    </row>
    <row r="3573" spans="1:6" x14ac:dyDescent="0.3">
      <c r="A3573" s="8" t="s">
        <v>7106</v>
      </c>
      <c r="B3573" s="8" t="s">
        <v>57177</v>
      </c>
      <c r="C3573" s="8" t="s">
        <v>7107</v>
      </c>
      <c r="D3573" s="8"/>
      <c r="E3573" s="6"/>
      <c r="F3573" s="6"/>
    </row>
    <row r="3574" spans="1:6" x14ac:dyDescent="0.3">
      <c r="A3574" s="8" t="s">
        <v>7108</v>
      </c>
      <c r="B3574" s="8" t="s">
        <v>57178</v>
      </c>
      <c r="C3574" s="8" t="s">
        <v>7109</v>
      </c>
      <c r="D3574" s="8"/>
      <c r="E3574" s="6"/>
      <c r="F3574" s="6"/>
    </row>
    <row r="3575" spans="1:6" x14ac:dyDescent="0.3">
      <c r="A3575" s="8" t="s">
        <v>7110</v>
      </c>
      <c r="B3575" s="8" t="s">
        <v>57179</v>
      </c>
      <c r="C3575" s="8" t="s">
        <v>7111</v>
      </c>
      <c r="D3575" s="8"/>
      <c r="E3575" s="6"/>
      <c r="F3575" s="6"/>
    </row>
    <row r="3576" spans="1:6" x14ac:dyDescent="0.3">
      <c r="A3576" s="8" t="s">
        <v>7112</v>
      </c>
      <c r="B3576" s="8" t="s">
        <v>57180</v>
      </c>
      <c r="C3576" s="8" t="s">
        <v>7113</v>
      </c>
      <c r="D3576" s="8"/>
      <c r="E3576" s="6"/>
      <c r="F3576" s="6"/>
    </row>
    <row r="3577" spans="1:6" x14ac:dyDescent="0.3">
      <c r="A3577" s="8" t="s">
        <v>7114</v>
      </c>
      <c r="B3577" s="8" t="s">
        <v>57181</v>
      </c>
      <c r="C3577" s="8" t="s">
        <v>7115</v>
      </c>
      <c r="D3577" s="8"/>
      <c r="E3577" s="6"/>
      <c r="F3577" s="6"/>
    </row>
    <row r="3578" spans="1:6" x14ac:dyDescent="0.3">
      <c r="A3578" s="8" t="s">
        <v>7116</v>
      </c>
      <c r="B3578" s="8" t="s">
        <v>57182</v>
      </c>
      <c r="C3578" s="8" t="s">
        <v>7117</v>
      </c>
      <c r="D3578" s="8"/>
      <c r="E3578" s="6"/>
      <c r="F3578" s="6"/>
    </row>
    <row r="3579" spans="1:6" x14ac:dyDescent="0.3">
      <c r="A3579" s="8" t="s">
        <v>7118</v>
      </c>
      <c r="B3579" s="8" t="s">
        <v>57183</v>
      </c>
      <c r="C3579" s="8" t="s">
        <v>7119</v>
      </c>
      <c r="D3579" s="8"/>
      <c r="E3579" s="6"/>
      <c r="F3579" s="6"/>
    </row>
    <row r="3580" spans="1:6" x14ac:dyDescent="0.3">
      <c r="A3580" s="8" t="s">
        <v>7120</v>
      </c>
      <c r="B3580" s="8" t="s">
        <v>57184</v>
      </c>
      <c r="C3580" s="8" t="s">
        <v>7121</v>
      </c>
      <c r="D3580" s="8"/>
      <c r="E3580" s="6"/>
      <c r="F3580" s="6"/>
    </row>
    <row r="3581" spans="1:6" x14ac:dyDescent="0.3">
      <c r="A3581" s="8" t="s">
        <v>7122</v>
      </c>
      <c r="B3581" s="8" t="s">
        <v>57185</v>
      </c>
      <c r="C3581" s="8" t="s">
        <v>7123</v>
      </c>
      <c r="D3581" s="8"/>
      <c r="E3581" s="6"/>
      <c r="F3581" s="6"/>
    </row>
    <row r="3582" spans="1:6" x14ac:dyDescent="0.3">
      <c r="A3582" s="8" t="s">
        <v>7124</v>
      </c>
      <c r="B3582" s="8" t="s">
        <v>57186</v>
      </c>
      <c r="C3582" s="8" t="s">
        <v>7125</v>
      </c>
      <c r="D3582" s="8"/>
      <c r="E3582" s="6"/>
      <c r="F3582" s="6"/>
    </row>
    <row r="3583" spans="1:6" x14ac:dyDescent="0.3">
      <c r="A3583" s="8" t="s">
        <v>7126</v>
      </c>
      <c r="B3583" s="8" t="s">
        <v>57187</v>
      </c>
      <c r="C3583" s="8" t="s">
        <v>7127</v>
      </c>
      <c r="D3583" s="8"/>
      <c r="E3583" s="6"/>
      <c r="F3583" s="6"/>
    </row>
    <row r="3584" spans="1:6" x14ac:dyDescent="0.3">
      <c r="A3584" s="8" t="s">
        <v>7128</v>
      </c>
      <c r="B3584" s="8" t="s">
        <v>57188</v>
      </c>
      <c r="C3584" s="8" t="s">
        <v>7129</v>
      </c>
      <c r="D3584" s="8"/>
      <c r="E3584" s="6"/>
      <c r="F3584" s="6"/>
    </row>
    <row r="3585" spans="1:6" x14ac:dyDescent="0.3">
      <c r="A3585" s="8" t="s">
        <v>7130</v>
      </c>
      <c r="B3585" s="8" t="s">
        <v>57189</v>
      </c>
      <c r="C3585" s="8" t="s">
        <v>7131</v>
      </c>
      <c r="D3585" s="8"/>
      <c r="E3585" s="6"/>
      <c r="F3585" s="6"/>
    </row>
    <row r="3586" spans="1:6" x14ac:dyDescent="0.3">
      <c r="A3586" s="8" t="s">
        <v>7132</v>
      </c>
      <c r="B3586" s="8" t="s">
        <v>57190</v>
      </c>
      <c r="C3586" s="8" t="s">
        <v>7133</v>
      </c>
      <c r="D3586" s="8"/>
      <c r="E3586" s="6"/>
      <c r="F3586" s="6"/>
    </row>
    <row r="3587" spans="1:6" x14ac:dyDescent="0.3">
      <c r="A3587" s="8" t="s">
        <v>7134</v>
      </c>
      <c r="B3587" s="8" t="s">
        <v>57191</v>
      </c>
      <c r="C3587" s="8" t="s">
        <v>7135</v>
      </c>
      <c r="D3587" s="8"/>
      <c r="E3587" s="6"/>
      <c r="F3587" s="6"/>
    </row>
    <row r="3588" spans="1:6" x14ac:dyDescent="0.3">
      <c r="A3588" s="8" t="s">
        <v>7136</v>
      </c>
      <c r="B3588" s="8" t="s">
        <v>57192</v>
      </c>
      <c r="C3588" s="8" t="s">
        <v>7137</v>
      </c>
      <c r="D3588" s="8"/>
      <c r="E3588" s="6"/>
      <c r="F3588" s="6"/>
    </row>
    <row r="3589" spans="1:6" x14ac:dyDescent="0.3">
      <c r="A3589" s="8" t="s">
        <v>7138</v>
      </c>
      <c r="B3589" s="8" t="s">
        <v>57193</v>
      </c>
      <c r="C3589" s="8" t="s">
        <v>7139</v>
      </c>
      <c r="D3589" s="8"/>
      <c r="E3589" s="6"/>
      <c r="F3589" s="6"/>
    </row>
    <row r="3590" spans="1:6" x14ac:dyDescent="0.3">
      <c r="A3590" s="8" t="s">
        <v>7140</v>
      </c>
      <c r="B3590" s="8" t="s">
        <v>57194</v>
      </c>
      <c r="C3590" s="8" t="s">
        <v>7141</v>
      </c>
      <c r="D3590" s="8"/>
      <c r="E3590" s="6"/>
      <c r="F3590" s="6"/>
    </row>
    <row r="3591" spans="1:6" x14ac:dyDescent="0.3">
      <c r="A3591" s="8" t="s">
        <v>7142</v>
      </c>
      <c r="B3591" s="8" t="s">
        <v>57195</v>
      </c>
      <c r="C3591" s="8" t="s">
        <v>7143</v>
      </c>
      <c r="D3591" s="8"/>
      <c r="E3591" s="6"/>
      <c r="F3591" s="6"/>
    </row>
    <row r="3592" spans="1:6" x14ac:dyDescent="0.3">
      <c r="A3592" s="8" t="s">
        <v>7144</v>
      </c>
      <c r="B3592" s="8" t="s">
        <v>57196</v>
      </c>
      <c r="C3592" s="8" t="s">
        <v>7145</v>
      </c>
      <c r="D3592" s="8"/>
      <c r="E3592" s="6"/>
      <c r="F3592" s="6"/>
    </row>
    <row r="3593" spans="1:6" x14ac:dyDescent="0.3">
      <c r="A3593" s="8" t="s">
        <v>7146</v>
      </c>
      <c r="B3593" s="8" t="s">
        <v>57197</v>
      </c>
      <c r="C3593" s="8" t="s">
        <v>7147</v>
      </c>
      <c r="D3593" s="8"/>
      <c r="E3593" s="6"/>
      <c r="F3593" s="6"/>
    </row>
    <row r="3594" spans="1:6" x14ac:dyDescent="0.3">
      <c r="A3594" s="8" t="s">
        <v>7148</v>
      </c>
      <c r="B3594" s="8" t="s">
        <v>57198</v>
      </c>
      <c r="C3594" s="8" t="s">
        <v>7149</v>
      </c>
      <c r="D3594" s="8"/>
      <c r="E3594" s="6"/>
      <c r="F3594" s="6"/>
    </row>
    <row r="3595" spans="1:6" x14ac:dyDescent="0.3">
      <c r="A3595" s="8" t="s">
        <v>7150</v>
      </c>
      <c r="B3595" s="8" t="s">
        <v>57199</v>
      </c>
      <c r="C3595" s="8" t="s">
        <v>7151</v>
      </c>
      <c r="D3595" s="8"/>
      <c r="E3595" s="6"/>
      <c r="F3595" s="6"/>
    </row>
    <row r="3596" spans="1:6" x14ac:dyDescent="0.3">
      <c r="A3596" s="8" t="s">
        <v>7152</v>
      </c>
      <c r="B3596" s="8" t="s">
        <v>57200</v>
      </c>
      <c r="C3596" s="8" t="s">
        <v>7153</v>
      </c>
      <c r="D3596" s="8"/>
      <c r="E3596" s="6"/>
      <c r="F3596" s="6"/>
    </row>
    <row r="3597" spans="1:6" x14ac:dyDescent="0.3">
      <c r="A3597" s="8" t="s">
        <v>7154</v>
      </c>
      <c r="B3597" s="8" t="s">
        <v>57201</v>
      </c>
      <c r="C3597" s="8" t="s">
        <v>7155</v>
      </c>
      <c r="D3597" s="8"/>
      <c r="E3597" s="6"/>
      <c r="F3597" s="6"/>
    </row>
    <row r="3598" spans="1:6" x14ac:dyDescent="0.3">
      <c r="A3598" s="8" t="s">
        <v>7156</v>
      </c>
      <c r="B3598" s="8" t="s">
        <v>57202</v>
      </c>
      <c r="C3598" s="8" t="s">
        <v>7157</v>
      </c>
      <c r="D3598" s="8"/>
      <c r="E3598" s="6"/>
      <c r="F3598" s="6"/>
    </row>
    <row r="3599" spans="1:6" x14ac:dyDescent="0.3">
      <c r="A3599" s="8" t="s">
        <v>7158</v>
      </c>
      <c r="B3599" s="8" t="s">
        <v>57203</v>
      </c>
      <c r="C3599" s="8" t="s">
        <v>7159</v>
      </c>
      <c r="D3599" s="8"/>
      <c r="E3599" s="6"/>
      <c r="F3599" s="6"/>
    </row>
    <row r="3600" spans="1:6" ht="28.8" x14ac:dyDescent="0.3">
      <c r="A3600" s="8" t="s">
        <v>7160</v>
      </c>
      <c r="B3600" s="8" t="s">
        <v>57204</v>
      </c>
      <c r="C3600" s="8" t="s">
        <v>7161</v>
      </c>
      <c r="D3600" s="8"/>
      <c r="E3600" s="6"/>
      <c r="F3600" s="6"/>
    </row>
    <row r="3601" spans="1:6" x14ac:dyDescent="0.3">
      <c r="A3601" s="8" t="s">
        <v>7162</v>
      </c>
      <c r="B3601" s="8" t="s">
        <v>57205</v>
      </c>
      <c r="C3601" s="8" t="s">
        <v>7163</v>
      </c>
      <c r="D3601" s="8"/>
      <c r="E3601" s="6"/>
      <c r="F3601" s="6"/>
    </row>
    <row r="3602" spans="1:6" x14ac:dyDescent="0.3">
      <c r="A3602" s="8" t="s">
        <v>7164</v>
      </c>
      <c r="B3602" s="8" t="s">
        <v>57206</v>
      </c>
      <c r="C3602" s="8" t="s">
        <v>7165</v>
      </c>
      <c r="D3602" s="8"/>
      <c r="E3602" s="6"/>
      <c r="F3602" s="6"/>
    </row>
    <row r="3603" spans="1:6" ht="28.8" x14ac:dyDescent="0.3">
      <c r="A3603" s="8" t="s">
        <v>7166</v>
      </c>
      <c r="B3603" s="8" t="s">
        <v>57207</v>
      </c>
      <c r="C3603" s="8" t="s">
        <v>7167</v>
      </c>
      <c r="D3603" s="8"/>
      <c r="E3603" s="6"/>
      <c r="F3603" s="6"/>
    </row>
    <row r="3604" spans="1:6" x14ac:dyDescent="0.3">
      <c r="A3604" s="8" t="s">
        <v>7168</v>
      </c>
      <c r="B3604" s="8" t="s">
        <v>57208</v>
      </c>
      <c r="C3604" s="8" t="s">
        <v>7169</v>
      </c>
      <c r="D3604" s="8"/>
      <c r="E3604" s="6"/>
      <c r="F3604" s="6"/>
    </row>
    <row r="3605" spans="1:6" x14ac:dyDescent="0.3">
      <c r="A3605" s="8" t="s">
        <v>7170</v>
      </c>
      <c r="B3605" s="8" t="s">
        <v>57209</v>
      </c>
      <c r="C3605" s="8" t="s">
        <v>7171</v>
      </c>
      <c r="D3605" s="8"/>
      <c r="E3605" s="6"/>
      <c r="F3605" s="6"/>
    </row>
    <row r="3606" spans="1:6" x14ac:dyDescent="0.3">
      <c r="A3606" s="8" t="s">
        <v>7172</v>
      </c>
      <c r="B3606" s="8" t="s">
        <v>57210</v>
      </c>
      <c r="C3606" s="8" t="s">
        <v>7173</v>
      </c>
      <c r="D3606" s="8"/>
      <c r="E3606" s="6"/>
      <c r="F3606" s="6"/>
    </row>
    <row r="3607" spans="1:6" x14ac:dyDescent="0.3">
      <c r="A3607" s="8" t="s">
        <v>7174</v>
      </c>
      <c r="B3607" s="8" t="s">
        <v>57211</v>
      </c>
      <c r="C3607" s="8" t="s">
        <v>7175</v>
      </c>
      <c r="D3607" s="8"/>
      <c r="E3607" s="6"/>
      <c r="F3607" s="6"/>
    </row>
    <row r="3608" spans="1:6" x14ac:dyDescent="0.3">
      <c r="A3608" s="8" t="s">
        <v>7176</v>
      </c>
      <c r="B3608" s="8" t="s">
        <v>57212</v>
      </c>
      <c r="C3608" s="8" t="s">
        <v>7177</v>
      </c>
      <c r="D3608" s="8"/>
      <c r="E3608" s="6"/>
      <c r="F3608" s="6"/>
    </row>
    <row r="3609" spans="1:6" x14ac:dyDescent="0.3">
      <c r="A3609" s="8" t="s">
        <v>7178</v>
      </c>
      <c r="B3609" s="8" t="s">
        <v>57213</v>
      </c>
      <c r="C3609" s="8" t="s">
        <v>7179</v>
      </c>
      <c r="D3609" s="8"/>
      <c r="E3609" s="6"/>
      <c r="F3609" s="6"/>
    </row>
    <row r="3610" spans="1:6" x14ac:dyDescent="0.3">
      <c r="A3610" s="8" t="s">
        <v>7180</v>
      </c>
      <c r="B3610" s="8" t="s">
        <v>57214</v>
      </c>
      <c r="C3610" s="8" t="s">
        <v>7181</v>
      </c>
      <c r="D3610" s="8"/>
      <c r="E3610" s="6"/>
      <c r="F3610" s="6"/>
    </row>
    <row r="3611" spans="1:6" x14ac:dyDescent="0.3">
      <c r="A3611" s="8" t="s">
        <v>7182</v>
      </c>
      <c r="B3611" s="8" t="s">
        <v>57215</v>
      </c>
      <c r="C3611" s="8" t="s">
        <v>7183</v>
      </c>
      <c r="D3611" s="8"/>
      <c r="E3611" s="6"/>
      <c r="F3611" s="6"/>
    </row>
    <row r="3612" spans="1:6" x14ac:dyDescent="0.3">
      <c r="A3612" s="8" t="s">
        <v>7184</v>
      </c>
      <c r="B3612" s="8" t="s">
        <v>57216</v>
      </c>
      <c r="C3612" s="8" t="s">
        <v>7185</v>
      </c>
      <c r="D3612" s="8"/>
      <c r="E3612" s="6"/>
      <c r="F3612" s="6"/>
    </row>
    <row r="3613" spans="1:6" x14ac:dyDescent="0.3">
      <c r="A3613" s="8" t="s">
        <v>7186</v>
      </c>
      <c r="B3613" s="8" t="s">
        <v>57217</v>
      </c>
      <c r="C3613" s="8" t="s">
        <v>7187</v>
      </c>
      <c r="D3613" s="8"/>
      <c r="E3613" s="6"/>
      <c r="F3613" s="6"/>
    </row>
    <row r="3614" spans="1:6" x14ac:dyDescent="0.3">
      <c r="A3614" s="8" t="s">
        <v>7188</v>
      </c>
      <c r="B3614" s="8" t="s">
        <v>57218</v>
      </c>
      <c r="C3614" s="8" t="s">
        <v>7189</v>
      </c>
      <c r="D3614" s="8"/>
      <c r="E3614" s="6"/>
      <c r="F3614" s="6"/>
    </row>
    <row r="3615" spans="1:6" x14ac:dyDescent="0.3">
      <c r="A3615" s="8" t="s">
        <v>7190</v>
      </c>
      <c r="B3615" s="8" t="s">
        <v>57219</v>
      </c>
      <c r="C3615" s="8" t="s">
        <v>7191</v>
      </c>
      <c r="D3615" s="8"/>
      <c r="E3615" s="6"/>
      <c r="F3615" s="6"/>
    </row>
    <row r="3616" spans="1:6" x14ac:dyDescent="0.3">
      <c r="A3616" s="8" t="s">
        <v>7192</v>
      </c>
      <c r="B3616" s="8" t="s">
        <v>57220</v>
      </c>
      <c r="C3616" s="8" t="s">
        <v>7193</v>
      </c>
      <c r="D3616" s="8"/>
      <c r="E3616" s="6"/>
      <c r="F3616" s="6"/>
    </row>
    <row r="3617" spans="1:6" x14ac:dyDescent="0.3">
      <c r="A3617" s="8" t="s">
        <v>7194</v>
      </c>
      <c r="B3617" s="8" t="s">
        <v>57221</v>
      </c>
      <c r="C3617" s="8" t="s">
        <v>7195</v>
      </c>
      <c r="D3617" s="8"/>
      <c r="E3617" s="6"/>
      <c r="F3617" s="6"/>
    </row>
    <row r="3618" spans="1:6" x14ac:dyDescent="0.3">
      <c r="A3618" s="8" t="s">
        <v>7196</v>
      </c>
      <c r="B3618" s="8" t="s">
        <v>57222</v>
      </c>
      <c r="C3618" s="8" t="s">
        <v>7197</v>
      </c>
      <c r="D3618" s="8"/>
      <c r="E3618" s="6"/>
      <c r="F3618" s="6"/>
    </row>
    <row r="3619" spans="1:6" x14ac:dyDescent="0.3">
      <c r="A3619" s="8" t="s">
        <v>7198</v>
      </c>
      <c r="B3619" s="8" t="s">
        <v>57223</v>
      </c>
      <c r="C3619" s="8" t="s">
        <v>7199</v>
      </c>
      <c r="D3619" s="8"/>
      <c r="E3619" s="6"/>
      <c r="F3619" s="6"/>
    </row>
    <row r="3620" spans="1:6" x14ac:dyDescent="0.3">
      <c r="A3620" s="8" t="s">
        <v>7200</v>
      </c>
      <c r="B3620" s="8" t="s">
        <v>57224</v>
      </c>
      <c r="C3620" s="8" t="s">
        <v>7201</v>
      </c>
      <c r="D3620" s="8"/>
      <c r="E3620" s="6"/>
      <c r="F3620" s="6"/>
    </row>
    <row r="3621" spans="1:6" x14ac:dyDescent="0.3">
      <c r="A3621" s="8" t="s">
        <v>7202</v>
      </c>
      <c r="B3621" s="8" t="s">
        <v>57225</v>
      </c>
      <c r="C3621" s="8" t="s">
        <v>7203</v>
      </c>
      <c r="D3621" s="8"/>
      <c r="E3621" s="6"/>
      <c r="F3621" s="6"/>
    </row>
    <row r="3622" spans="1:6" x14ac:dyDescent="0.3">
      <c r="A3622" s="8" t="s">
        <v>7204</v>
      </c>
      <c r="B3622" s="8" t="s">
        <v>57226</v>
      </c>
      <c r="C3622" s="8" t="s">
        <v>7205</v>
      </c>
      <c r="D3622" s="8"/>
      <c r="E3622" s="6"/>
      <c r="F3622" s="6"/>
    </row>
    <row r="3623" spans="1:6" x14ac:dyDescent="0.3">
      <c r="A3623" s="8" t="s">
        <v>7206</v>
      </c>
      <c r="B3623" s="8" t="s">
        <v>57227</v>
      </c>
      <c r="C3623" s="8" t="s">
        <v>7207</v>
      </c>
      <c r="D3623" s="8"/>
      <c r="E3623" s="6"/>
      <c r="F3623" s="6"/>
    </row>
    <row r="3624" spans="1:6" x14ac:dyDescent="0.3">
      <c r="A3624" s="8" t="s">
        <v>7208</v>
      </c>
      <c r="B3624" s="8" t="s">
        <v>57228</v>
      </c>
      <c r="C3624" s="8" t="s">
        <v>7209</v>
      </c>
      <c r="D3624" s="8"/>
      <c r="E3624" s="6"/>
      <c r="F3624" s="6"/>
    </row>
    <row r="3625" spans="1:6" x14ac:dyDescent="0.3">
      <c r="A3625" s="8" t="s">
        <v>7210</v>
      </c>
      <c r="B3625" s="8" t="s">
        <v>57229</v>
      </c>
      <c r="C3625" s="8" t="s">
        <v>7211</v>
      </c>
      <c r="D3625" s="8"/>
      <c r="E3625" s="6"/>
      <c r="F3625" s="6"/>
    </row>
    <row r="3626" spans="1:6" x14ac:dyDescent="0.3">
      <c r="A3626" s="8" t="s">
        <v>7212</v>
      </c>
      <c r="B3626" s="8" t="s">
        <v>57230</v>
      </c>
      <c r="C3626" s="8" t="s">
        <v>7213</v>
      </c>
      <c r="D3626" s="8"/>
      <c r="E3626" s="6"/>
      <c r="F3626" s="6"/>
    </row>
    <row r="3627" spans="1:6" x14ac:dyDescent="0.3">
      <c r="A3627" s="8" t="s">
        <v>7214</v>
      </c>
      <c r="B3627" s="8" t="s">
        <v>57231</v>
      </c>
      <c r="C3627" s="8" t="s">
        <v>7215</v>
      </c>
      <c r="D3627" s="8"/>
      <c r="E3627" s="6"/>
      <c r="F3627" s="6"/>
    </row>
    <row r="3628" spans="1:6" x14ac:dyDescent="0.3">
      <c r="A3628" s="8" t="s">
        <v>7216</v>
      </c>
      <c r="B3628" s="8" t="s">
        <v>57232</v>
      </c>
      <c r="C3628" s="8" t="s">
        <v>7217</v>
      </c>
      <c r="D3628" s="8"/>
      <c r="E3628" s="6"/>
      <c r="F3628" s="6"/>
    </row>
    <row r="3629" spans="1:6" x14ac:dyDescent="0.3">
      <c r="A3629" s="8" t="s">
        <v>7218</v>
      </c>
      <c r="B3629" s="8" t="s">
        <v>57233</v>
      </c>
      <c r="C3629" s="8" t="s">
        <v>7219</v>
      </c>
      <c r="D3629" s="8"/>
      <c r="E3629" s="6"/>
      <c r="F3629" s="6"/>
    </row>
    <row r="3630" spans="1:6" x14ac:dyDescent="0.3">
      <c r="A3630" s="8" t="s">
        <v>7220</v>
      </c>
      <c r="B3630" s="8" t="s">
        <v>57234</v>
      </c>
      <c r="C3630" s="8" t="s">
        <v>7221</v>
      </c>
      <c r="D3630" s="8"/>
      <c r="E3630" s="6"/>
      <c r="F3630" s="6"/>
    </row>
    <row r="3631" spans="1:6" x14ac:dyDescent="0.3">
      <c r="A3631" s="8" t="s">
        <v>7222</v>
      </c>
      <c r="B3631" s="8" t="s">
        <v>57235</v>
      </c>
      <c r="C3631" s="8" t="s">
        <v>7223</v>
      </c>
      <c r="D3631" s="8"/>
      <c r="E3631" s="6"/>
      <c r="F3631" s="6"/>
    </row>
    <row r="3632" spans="1:6" ht="28.8" x14ac:dyDescent="0.3">
      <c r="A3632" s="8" t="s">
        <v>7224</v>
      </c>
      <c r="B3632" s="8" t="s">
        <v>57236</v>
      </c>
      <c r="C3632" s="8" t="s">
        <v>7225</v>
      </c>
      <c r="D3632" s="8"/>
      <c r="E3632" s="6"/>
      <c r="F3632" s="6"/>
    </row>
    <row r="3633" spans="1:6" x14ac:dyDescent="0.3">
      <c r="A3633" s="8" t="s">
        <v>7226</v>
      </c>
      <c r="B3633" s="8" t="s">
        <v>57237</v>
      </c>
      <c r="C3633" s="8" t="s">
        <v>7227</v>
      </c>
      <c r="D3633" s="8"/>
      <c r="E3633" s="6"/>
      <c r="F3633" s="6"/>
    </row>
    <row r="3634" spans="1:6" x14ac:dyDescent="0.3">
      <c r="A3634" s="8" t="s">
        <v>7228</v>
      </c>
      <c r="B3634" s="8" t="s">
        <v>57238</v>
      </c>
      <c r="C3634" s="8" t="s">
        <v>7229</v>
      </c>
      <c r="D3634" s="8"/>
      <c r="E3634" s="6"/>
      <c r="F3634" s="6"/>
    </row>
    <row r="3635" spans="1:6" x14ac:dyDescent="0.3">
      <c r="A3635" s="8" t="s">
        <v>7230</v>
      </c>
      <c r="B3635" s="8" t="s">
        <v>57239</v>
      </c>
      <c r="C3635" s="8" t="s">
        <v>7231</v>
      </c>
      <c r="D3635" s="8"/>
      <c r="E3635" s="6"/>
      <c r="F3635" s="6"/>
    </row>
    <row r="3636" spans="1:6" x14ac:dyDescent="0.3">
      <c r="A3636" s="8" t="s">
        <v>7232</v>
      </c>
      <c r="B3636" s="8" t="s">
        <v>57240</v>
      </c>
      <c r="C3636" s="8" t="s">
        <v>7233</v>
      </c>
      <c r="D3636" s="8"/>
      <c r="E3636" s="6"/>
      <c r="F3636" s="6"/>
    </row>
    <row r="3637" spans="1:6" x14ac:dyDescent="0.3">
      <c r="A3637" s="8" t="s">
        <v>7234</v>
      </c>
      <c r="B3637" s="8" t="s">
        <v>57241</v>
      </c>
      <c r="C3637" s="8" t="s">
        <v>7235</v>
      </c>
      <c r="D3637" s="8"/>
      <c r="E3637" s="6"/>
      <c r="F3637" s="6"/>
    </row>
    <row r="3638" spans="1:6" x14ac:dyDescent="0.3">
      <c r="A3638" s="8" t="s">
        <v>7236</v>
      </c>
      <c r="B3638" s="8" t="s">
        <v>57242</v>
      </c>
      <c r="C3638" s="8" t="s">
        <v>7237</v>
      </c>
      <c r="D3638" s="8"/>
      <c r="E3638" s="6"/>
      <c r="F3638" s="6"/>
    </row>
    <row r="3639" spans="1:6" x14ac:dyDescent="0.3">
      <c r="A3639" s="8" t="s">
        <v>7238</v>
      </c>
      <c r="B3639" s="8" t="s">
        <v>57243</v>
      </c>
      <c r="C3639" s="8" t="s">
        <v>7239</v>
      </c>
      <c r="D3639" s="8"/>
      <c r="E3639" s="6"/>
      <c r="F3639" s="6"/>
    </row>
    <row r="3640" spans="1:6" x14ac:dyDescent="0.3">
      <c r="A3640" s="8" t="s">
        <v>7240</v>
      </c>
      <c r="B3640" s="8" t="s">
        <v>57244</v>
      </c>
      <c r="C3640" s="8" t="s">
        <v>7241</v>
      </c>
      <c r="D3640" s="8"/>
      <c r="E3640" s="6"/>
      <c r="F3640" s="6"/>
    </row>
    <row r="3641" spans="1:6" x14ac:dyDescent="0.3">
      <c r="A3641" s="8" t="s">
        <v>7242</v>
      </c>
      <c r="B3641" s="8" t="s">
        <v>57245</v>
      </c>
      <c r="C3641" s="8" t="s">
        <v>7243</v>
      </c>
      <c r="D3641" s="8"/>
      <c r="E3641" s="6"/>
      <c r="F3641" s="6"/>
    </row>
    <row r="3642" spans="1:6" x14ac:dyDescent="0.3">
      <c r="A3642" s="8" t="s">
        <v>7244</v>
      </c>
      <c r="B3642" s="8" t="s">
        <v>57246</v>
      </c>
      <c r="C3642" s="8" t="s">
        <v>7245</v>
      </c>
      <c r="D3642" s="8"/>
      <c r="E3642" s="6"/>
      <c r="F3642" s="6"/>
    </row>
    <row r="3643" spans="1:6" x14ac:dyDescent="0.3">
      <c r="A3643" s="8" t="s">
        <v>7246</v>
      </c>
      <c r="B3643" s="8" t="s">
        <v>57247</v>
      </c>
      <c r="C3643" s="8" t="s">
        <v>7247</v>
      </c>
      <c r="D3643" s="8"/>
      <c r="E3643" s="6"/>
      <c r="F3643" s="6"/>
    </row>
    <row r="3644" spans="1:6" x14ac:dyDescent="0.3">
      <c r="A3644" s="8" t="s">
        <v>7248</v>
      </c>
      <c r="B3644" s="8" t="s">
        <v>57248</v>
      </c>
      <c r="C3644" s="8" t="s">
        <v>7249</v>
      </c>
      <c r="D3644" s="8"/>
      <c r="E3644" s="6"/>
      <c r="F3644" s="6"/>
    </row>
    <row r="3645" spans="1:6" x14ac:dyDescent="0.3">
      <c r="A3645" s="8" t="s">
        <v>7250</v>
      </c>
      <c r="B3645" s="8" t="s">
        <v>57249</v>
      </c>
      <c r="C3645" s="8" t="s">
        <v>7251</v>
      </c>
      <c r="D3645" s="8"/>
      <c r="E3645" s="6"/>
      <c r="F3645" s="6"/>
    </row>
    <row r="3646" spans="1:6" x14ac:dyDescent="0.3">
      <c r="A3646" s="8" t="s">
        <v>7252</v>
      </c>
      <c r="B3646" s="8" t="s">
        <v>57250</v>
      </c>
      <c r="C3646" s="8" t="s">
        <v>7253</v>
      </c>
      <c r="D3646" s="8"/>
      <c r="E3646" s="6"/>
      <c r="F3646" s="6"/>
    </row>
    <row r="3647" spans="1:6" x14ac:dyDescent="0.3">
      <c r="A3647" s="8" t="s">
        <v>7254</v>
      </c>
      <c r="B3647" s="8" t="s">
        <v>57251</v>
      </c>
      <c r="C3647" s="8" t="s">
        <v>7255</v>
      </c>
      <c r="D3647" s="8"/>
      <c r="E3647" s="6"/>
      <c r="F3647" s="6"/>
    </row>
    <row r="3648" spans="1:6" x14ac:dyDescent="0.3">
      <c r="A3648" s="8" t="s">
        <v>7256</v>
      </c>
      <c r="B3648" s="8" t="s">
        <v>57252</v>
      </c>
      <c r="C3648" s="8" t="s">
        <v>7257</v>
      </c>
      <c r="D3648" s="8"/>
      <c r="E3648" s="6"/>
      <c r="F3648" s="6"/>
    </row>
    <row r="3649" spans="1:6" x14ac:dyDescent="0.3">
      <c r="A3649" s="8" t="s">
        <v>7258</v>
      </c>
      <c r="B3649" s="8" t="s">
        <v>57253</v>
      </c>
      <c r="C3649" s="8" t="s">
        <v>7259</v>
      </c>
      <c r="D3649" s="8"/>
      <c r="E3649" s="6"/>
      <c r="F3649" s="6"/>
    </row>
    <row r="3650" spans="1:6" x14ac:dyDescent="0.3">
      <c r="A3650" s="8" t="s">
        <v>7260</v>
      </c>
      <c r="B3650" s="8" t="s">
        <v>57254</v>
      </c>
      <c r="C3650" s="8" t="s">
        <v>7261</v>
      </c>
      <c r="D3650" s="8"/>
      <c r="E3650" s="6"/>
      <c r="F3650" s="6"/>
    </row>
    <row r="3651" spans="1:6" ht="28.8" x14ac:dyDescent="0.3">
      <c r="A3651" s="8" t="s">
        <v>7262</v>
      </c>
      <c r="B3651" s="8" t="s">
        <v>57255</v>
      </c>
      <c r="C3651" s="8" t="s">
        <v>7263</v>
      </c>
      <c r="D3651" s="8"/>
      <c r="E3651" s="6"/>
      <c r="F3651" s="6"/>
    </row>
    <row r="3652" spans="1:6" ht="28.8" x14ac:dyDescent="0.3">
      <c r="A3652" s="8" t="s">
        <v>7264</v>
      </c>
      <c r="B3652" s="8" t="s">
        <v>57256</v>
      </c>
      <c r="C3652" s="8" t="s">
        <v>7265</v>
      </c>
      <c r="D3652" s="8"/>
      <c r="E3652" s="6"/>
      <c r="F3652" s="6"/>
    </row>
    <row r="3653" spans="1:6" x14ac:dyDescent="0.3">
      <c r="A3653" s="8" t="s">
        <v>7266</v>
      </c>
      <c r="B3653" s="8" t="s">
        <v>57257</v>
      </c>
      <c r="C3653" s="8" t="s">
        <v>7267</v>
      </c>
      <c r="D3653" s="8"/>
      <c r="E3653" s="6"/>
      <c r="F3653" s="6"/>
    </row>
    <row r="3654" spans="1:6" x14ac:dyDescent="0.3">
      <c r="A3654" s="8" t="s">
        <v>7268</v>
      </c>
      <c r="B3654" s="8" t="s">
        <v>57258</v>
      </c>
      <c r="C3654" s="8" t="s">
        <v>7269</v>
      </c>
      <c r="D3654" s="8"/>
      <c r="E3654" s="6"/>
      <c r="F3654" s="6"/>
    </row>
    <row r="3655" spans="1:6" x14ac:dyDescent="0.3">
      <c r="A3655" s="8" t="s">
        <v>7270</v>
      </c>
      <c r="B3655" s="8" t="s">
        <v>57259</v>
      </c>
      <c r="C3655" s="8" t="s">
        <v>7271</v>
      </c>
      <c r="D3655" s="8"/>
      <c r="E3655" s="6"/>
      <c r="F3655" s="6"/>
    </row>
    <row r="3656" spans="1:6" x14ac:dyDescent="0.3">
      <c r="A3656" s="8" t="s">
        <v>7272</v>
      </c>
      <c r="B3656" s="8" t="s">
        <v>57260</v>
      </c>
      <c r="C3656" s="8" t="s">
        <v>7273</v>
      </c>
      <c r="D3656" s="8"/>
      <c r="E3656" s="6"/>
      <c r="F3656" s="6"/>
    </row>
    <row r="3657" spans="1:6" x14ac:dyDescent="0.3">
      <c r="A3657" s="8" t="s">
        <v>7274</v>
      </c>
      <c r="B3657" s="8" t="s">
        <v>57261</v>
      </c>
      <c r="C3657" s="8" t="s">
        <v>7275</v>
      </c>
      <c r="D3657" s="8"/>
      <c r="E3657" s="6"/>
      <c r="F3657" s="6"/>
    </row>
    <row r="3658" spans="1:6" x14ac:dyDescent="0.3">
      <c r="A3658" s="8" t="s">
        <v>7276</v>
      </c>
      <c r="B3658" s="8" t="s">
        <v>57262</v>
      </c>
      <c r="C3658" s="8" t="s">
        <v>7277</v>
      </c>
      <c r="D3658" s="8"/>
      <c r="E3658" s="6"/>
      <c r="F3658" s="6"/>
    </row>
    <row r="3659" spans="1:6" x14ac:dyDescent="0.3">
      <c r="A3659" s="8" t="s">
        <v>7278</v>
      </c>
      <c r="B3659" s="8" t="s">
        <v>57263</v>
      </c>
      <c r="C3659" s="8" t="s">
        <v>7279</v>
      </c>
      <c r="D3659" s="8"/>
      <c r="E3659" s="6"/>
      <c r="F3659" s="6"/>
    </row>
    <row r="3660" spans="1:6" x14ac:dyDescent="0.3">
      <c r="A3660" s="8" t="s">
        <v>7280</v>
      </c>
      <c r="B3660" s="8" t="s">
        <v>57264</v>
      </c>
      <c r="C3660" s="8" t="s">
        <v>7281</v>
      </c>
      <c r="D3660" s="8"/>
      <c r="E3660" s="6"/>
      <c r="F3660" s="6"/>
    </row>
    <row r="3661" spans="1:6" x14ac:dyDescent="0.3">
      <c r="A3661" s="8" t="s">
        <v>7282</v>
      </c>
      <c r="B3661" s="8" t="s">
        <v>57265</v>
      </c>
      <c r="C3661" s="8" t="s">
        <v>7283</v>
      </c>
      <c r="D3661" s="8"/>
      <c r="E3661" s="6"/>
      <c r="F3661" s="6"/>
    </row>
    <row r="3662" spans="1:6" x14ac:dyDescent="0.3">
      <c r="A3662" s="8" t="s">
        <v>7284</v>
      </c>
      <c r="B3662" s="8" t="s">
        <v>57266</v>
      </c>
      <c r="C3662" s="8" t="s">
        <v>7285</v>
      </c>
      <c r="D3662" s="8"/>
      <c r="E3662" s="6"/>
      <c r="F3662" s="6"/>
    </row>
    <row r="3663" spans="1:6" x14ac:dyDescent="0.3">
      <c r="A3663" s="8" t="s">
        <v>7286</v>
      </c>
      <c r="B3663" s="8" t="s">
        <v>57267</v>
      </c>
      <c r="C3663" s="8" t="s">
        <v>7287</v>
      </c>
      <c r="D3663" s="8"/>
      <c r="E3663" s="6"/>
      <c r="F3663" s="6"/>
    </row>
    <row r="3664" spans="1:6" x14ac:dyDescent="0.3">
      <c r="A3664" s="8" t="s">
        <v>7288</v>
      </c>
      <c r="B3664" s="8" t="s">
        <v>57268</v>
      </c>
      <c r="C3664" s="8" t="s">
        <v>7289</v>
      </c>
      <c r="D3664" s="8"/>
      <c r="E3664" s="6"/>
      <c r="F3664" s="6"/>
    </row>
    <row r="3665" spans="1:6" x14ac:dyDescent="0.3">
      <c r="A3665" s="8" t="s">
        <v>7290</v>
      </c>
      <c r="B3665" s="8" t="s">
        <v>57269</v>
      </c>
      <c r="C3665" s="8" t="s">
        <v>7291</v>
      </c>
      <c r="D3665" s="8"/>
      <c r="E3665" s="6"/>
      <c r="F3665" s="6"/>
    </row>
    <row r="3666" spans="1:6" x14ac:dyDescent="0.3">
      <c r="A3666" s="8" t="s">
        <v>7292</v>
      </c>
      <c r="B3666" s="8" t="s">
        <v>57270</v>
      </c>
      <c r="C3666" s="8" t="s">
        <v>7293</v>
      </c>
      <c r="D3666" s="8"/>
      <c r="E3666" s="6"/>
      <c r="F3666" s="6"/>
    </row>
    <row r="3667" spans="1:6" x14ac:dyDescent="0.3">
      <c r="A3667" s="8" t="s">
        <v>7294</v>
      </c>
      <c r="B3667" s="8" t="s">
        <v>57271</v>
      </c>
      <c r="C3667" s="8" t="s">
        <v>7295</v>
      </c>
      <c r="D3667" s="8"/>
      <c r="E3667" s="6"/>
      <c r="F3667" s="6"/>
    </row>
    <row r="3668" spans="1:6" x14ac:dyDescent="0.3">
      <c r="A3668" s="8" t="s">
        <v>7296</v>
      </c>
      <c r="B3668" s="8" t="s">
        <v>57272</v>
      </c>
      <c r="C3668" s="8" t="s">
        <v>7297</v>
      </c>
      <c r="D3668" s="8"/>
      <c r="E3668" s="6"/>
      <c r="F3668" s="6"/>
    </row>
    <row r="3669" spans="1:6" x14ac:dyDescent="0.3">
      <c r="A3669" s="8" t="s">
        <v>7298</v>
      </c>
      <c r="B3669" s="8" t="s">
        <v>57273</v>
      </c>
      <c r="C3669" s="8" t="s">
        <v>7299</v>
      </c>
      <c r="D3669" s="8"/>
      <c r="E3669" s="6"/>
      <c r="F3669" s="6"/>
    </row>
    <row r="3670" spans="1:6" x14ac:dyDescent="0.3">
      <c r="A3670" s="8" t="s">
        <v>7300</v>
      </c>
      <c r="B3670" s="8" t="s">
        <v>57274</v>
      </c>
      <c r="C3670" s="8" t="s">
        <v>7301</v>
      </c>
      <c r="D3670" s="8"/>
      <c r="E3670" s="6"/>
      <c r="F3670" s="6"/>
    </row>
    <row r="3671" spans="1:6" x14ac:dyDescent="0.3">
      <c r="A3671" s="8" t="s">
        <v>7302</v>
      </c>
      <c r="B3671" s="8" t="s">
        <v>57275</v>
      </c>
      <c r="C3671" s="8" t="s">
        <v>7303</v>
      </c>
      <c r="D3671" s="8"/>
      <c r="E3671" s="6"/>
      <c r="F3671" s="6"/>
    </row>
    <row r="3672" spans="1:6" x14ac:dyDescent="0.3">
      <c r="A3672" s="8" t="s">
        <v>7304</v>
      </c>
      <c r="B3672" s="8" t="s">
        <v>57276</v>
      </c>
      <c r="C3672" s="8" t="s">
        <v>7305</v>
      </c>
      <c r="D3672" s="8"/>
      <c r="E3672" s="6"/>
      <c r="F3672" s="6"/>
    </row>
    <row r="3673" spans="1:6" x14ac:dyDescent="0.3">
      <c r="A3673" s="8" t="s">
        <v>7306</v>
      </c>
      <c r="B3673" s="8" t="s">
        <v>57277</v>
      </c>
      <c r="C3673" s="8" t="s">
        <v>7307</v>
      </c>
      <c r="D3673" s="8"/>
      <c r="E3673" s="6"/>
      <c r="F3673" s="6"/>
    </row>
    <row r="3674" spans="1:6" x14ac:dyDescent="0.3">
      <c r="A3674" s="8" t="s">
        <v>7308</v>
      </c>
      <c r="B3674" s="8" t="s">
        <v>57278</v>
      </c>
      <c r="C3674" s="8" t="s">
        <v>7309</v>
      </c>
      <c r="D3674" s="8"/>
      <c r="E3674" s="6"/>
      <c r="F3674" s="6"/>
    </row>
    <row r="3675" spans="1:6" x14ac:dyDescent="0.3">
      <c r="A3675" s="8" t="s">
        <v>7310</v>
      </c>
      <c r="B3675" s="8" t="s">
        <v>57279</v>
      </c>
      <c r="C3675" s="8" t="s">
        <v>7311</v>
      </c>
      <c r="D3675" s="8"/>
      <c r="E3675" s="6"/>
      <c r="F3675" s="6"/>
    </row>
    <row r="3676" spans="1:6" x14ac:dyDescent="0.3">
      <c r="A3676" s="8" t="s">
        <v>7312</v>
      </c>
      <c r="B3676" s="8" t="s">
        <v>57280</v>
      </c>
      <c r="C3676" s="8" t="s">
        <v>7313</v>
      </c>
      <c r="D3676" s="8"/>
      <c r="E3676" s="6"/>
      <c r="F3676" s="6"/>
    </row>
    <row r="3677" spans="1:6" x14ac:dyDescent="0.3">
      <c r="A3677" s="8" t="s">
        <v>7314</v>
      </c>
      <c r="B3677" s="8" t="s">
        <v>57281</v>
      </c>
      <c r="C3677" s="8" t="s">
        <v>7315</v>
      </c>
      <c r="D3677" s="8"/>
      <c r="E3677" s="6"/>
      <c r="F3677" s="6"/>
    </row>
    <row r="3678" spans="1:6" x14ac:dyDescent="0.3">
      <c r="A3678" s="8" t="s">
        <v>7316</v>
      </c>
      <c r="B3678" s="8" t="s">
        <v>57282</v>
      </c>
      <c r="C3678" s="8" t="s">
        <v>7317</v>
      </c>
      <c r="D3678" s="8"/>
      <c r="E3678" s="6"/>
      <c r="F3678" s="6"/>
    </row>
    <row r="3679" spans="1:6" x14ac:dyDescent="0.3">
      <c r="A3679" s="8" t="s">
        <v>7318</v>
      </c>
      <c r="B3679" s="8" t="s">
        <v>57283</v>
      </c>
      <c r="C3679" s="8" t="s">
        <v>7319</v>
      </c>
      <c r="D3679" s="8"/>
      <c r="E3679" s="6"/>
      <c r="F3679" s="6"/>
    </row>
    <row r="3680" spans="1:6" x14ac:dyDescent="0.3">
      <c r="A3680" s="8" t="s">
        <v>7320</v>
      </c>
      <c r="B3680" s="8" t="s">
        <v>57284</v>
      </c>
      <c r="C3680" s="8" t="s">
        <v>7321</v>
      </c>
      <c r="D3680" s="8"/>
      <c r="E3680" s="6"/>
      <c r="F3680" s="6"/>
    </row>
    <row r="3681" spans="1:6" x14ac:dyDescent="0.3">
      <c r="A3681" s="8" t="s">
        <v>7322</v>
      </c>
      <c r="B3681" s="8" t="s">
        <v>57285</v>
      </c>
      <c r="C3681" s="8" t="s">
        <v>7323</v>
      </c>
      <c r="D3681" s="8"/>
      <c r="E3681" s="6"/>
      <c r="F3681" s="6"/>
    </row>
    <row r="3682" spans="1:6" x14ac:dyDescent="0.3">
      <c r="A3682" s="8" t="s">
        <v>7324</v>
      </c>
      <c r="B3682" s="8" t="s">
        <v>57286</v>
      </c>
      <c r="C3682" s="8" t="s">
        <v>7325</v>
      </c>
      <c r="D3682" s="8"/>
      <c r="E3682" s="6"/>
      <c r="F3682" s="6"/>
    </row>
    <row r="3683" spans="1:6" x14ac:dyDescent="0.3">
      <c r="A3683" s="8" t="s">
        <v>7326</v>
      </c>
      <c r="B3683" s="8" t="s">
        <v>57287</v>
      </c>
      <c r="C3683" s="8" t="s">
        <v>7327</v>
      </c>
      <c r="D3683" s="8"/>
      <c r="E3683" s="6"/>
      <c r="F3683" s="6"/>
    </row>
    <row r="3684" spans="1:6" x14ac:dyDescent="0.3">
      <c r="A3684" s="8" t="s">
        <v>7328</v>
      </c>
      <c r="B3684" s="8" t="s">
        <v>57288</v>
      </c>
      <c r="C3684" s="8" t="s">
        <v>7329</v>
      </c>
      <c r="D3684" s="8"/>
      <c r="E3684" s="6"/>
      <c r="F3684" s="6"/>
    </row>
    <row r="3685" spans="1:6" x14ac:dyDescent="0.3">
      <c r="A3685" s="8" t="s">
        <v>7330</v>
      </c>
      <c r="B3685" s="8" t="s">
        <v>57289</v>
      </c>
      <c r="C3685" s="8" t="s">
        <v>7331</v>
      </c>
      <c r="D3685" s="8"/>
      <c r="E3685" s="6"/>
      <c r="F3685" s="6"/>
    </row>
    <row r="3686" spans="1:6" x14ac:dyDescent="0.3">
      <c r="A3686" s="8" t="s">
        <v>7332</v>
      </c>
      <c r="B3686" s="8" t="s">
        <v>57290</v>
      </c>
      <c r="C3686" s="8" t="s">
        <v>7333</v>
      </c>
      <c r="D3686" s="8"/>
      <c r="E3686" s="6"/>
      <c r="F3686" s="6"/>
    </row>
    <row r="3687" spans="1:6" x14ac:dyDescent="0.3">
      <c r="A3687" s="8" t="s">
        <v>7334</v>
      </c>
      <c r="B3687" s="8" t="s">
        <v>57291</v>
      </c>
      <c r="C3687" s="8" t="s">
        <v>7335</v>
      </c>
      <c r="D3687" s="8"/>
      <c r="E3687" s="6"/>
      <c r="F3687" s="6"/>
    </row>
    <row r="3688" spans="1:6" x14ac:dyDescent="0.3">
      <c r="A3688" s="8" t="s">
        <v>7336</v>
      </c>
      <c r="B3688" s="8" t="s">
        <v>57292</v>
      </c>
      <c r="C3688" s="8" t="s">
        <v>7337</v>
      </c>
      <c r="D3688" s="8"/>
      <c r="E3688" s="6"/>
      <c r="F3688" s="6"/>
    </row>
    <row r="3689" spans="1:6" x14ac:dyDescent="0.3">
      <c r="A3689" s="8" t="s">
        <v>7338</v>
      </c>
      <c r="B3689" s="8" t="s">
        <v>57293</v>
      </c>
      <c r="C3689" s="8" t="s">
        <v>7339</v>
      </c>
      <c r="D3689" s="8"/>
      <c r="E3689" s="6"/>
      <c r="F3689" s="6"/>
    </row>
    <row r="3690" spans="1:6" x14ac:dyDescent="0.3">
      <c r="A3690" s="8" t="s">
        <v>7340</v>
      </c>
      <c r="B3690" s="8" t="s">
        <v>57294</v>
      </c>
      <c r="C3690" s="8" t="s">
        <v>7341</v>
      </c>
      <c r="D3690" s="8"/>
      <c r="E3690" s="6"/>
      <c r="F3690" s="6"/>
    </row>
    <row r="3691" spans="1:6" x14ac:dyDescent="0.3">
      <c r="A3691" s="8" t="s">
        <v>7342</v>
      </c>
      <c r="B3691" s="8" t="s">
        <v>57295</v>
      </c>
      <c r="C3691" s="8" t="s">
        <v>7343</v>
      </c>
      <c r="D3691" s="8"/>
      <c r="E3691" s="6"/>
      <c r="F3691" s="6"/>
    </row>
    <row r="3692" spans="1:6" x14ac:dyDescent="0.3">
      <c r="A3692" s="8" t="s">
        <v>7344</v>
      </c>
      <c r="B3692" s="8" t="s">
        <v>57296</v>
      </c>
      <c r="C3692" s="8" t="s">
        <v>7345</v>
      </c>
      <c r="D3692" s="8"/>
      <c r="E3692" s="6"/>
      <c r="F3692" s="6"/>
    </row>
    <row r="3693" spans="1:6" x14ac:dyDescent="0.3">
      <c r="A3693" s="8" t="s">
        <v>7346</v>
      </c>
      <c r="B3693" s="8" t="s">
        <v>57297</v>
      </c>
      <c r="C3693" s="8" t="s">
        <v>7347</v>
      </c>
      <c r="D3693" s="8"/>
      <c r="E3693" s="6"/>
      <c r="F3693" s="6"/>
    </row>
    <row r="3694" spans="1:6" x14ac:dyDescent="0.3">
      <c r="A3694" s="8" t="s">
        <v>7348</v>
      </c>
      <c r="B3694" s="8" t="s">
        <v>57298</v>
      </c>
      <c r="C3694" s="8" t="s">
        <v>7349</v>
      </c>
      <c r="D3694" s="8"/>
      <c r="E3694" s="6"/>
      <c r="F3694" s="6"/>
    </row>
    <row r="3695" spans="1:6" x14ac:dyDescent="0.3">
      <c r="A3695" s="8" t="s">
        <v>7350</v>
      </c>
      <c r="B3695" s="8" t="s">
        <v>57299</v>
      </c>
      <c r="C3695" s="8" t="s">
        <v>7351</v>
      </c>
      <c r="D3695" s="8"/>
      <c r="E3695" s="6"/>
      <c r="F3695" s="6"/>
    </row>
    <row r="3696" spans="1:6" x14ac:dyDescent="0.3">
      <c r="A3696" s="8" t="s">
        <v>7352</v>
      </c>
      <c r="B3696" s="8" t="s">
        <v>57300</v>
      </c>
      <c r="C3696" s="8" t="s">
        <v>7353</v>
      </c>
      <c r="D3696" s="8"/>
      <c r="E3696" s="6"/>
      <c r="F3696" s="6"/>
    </row>
    <row r="3697" spans="1:6" x14ac:dyDescent="0.3">
      <c r="A3697" s="8" t="s">
        <v>7354</v>
      </c>
      <c r="B3697" s="8" t="s">
        <v>57301</v>
      </c>
      <c r="C3697" s="8" t="s">
        <v>7355</v>
      </c>
      <c r="D3697" s="8"/>
      <c r="E3697" s="6"/>
      <c r="F3697" s="6"/>
    </row>
    <row r="3698" spans="1:6" x14ac:dyDescent="0.3">
      <c r="A3698" s="8" t="s">
        <v>7356</v>
      </c>
      <c r="B3698" s="8" t="s">
        <v>57302</v>
      </c>
      <c r="C3698" s="8" t="s">
        <v>7357</v>
      </c>
      <c r="D3698" s="8"/>
      <c r="E3698" s="6"/>
      <c r="F3698" s="6"/>
    </row>
    <row r="3699" spans="1:6" x14ac:dyDescent="0.3">
      <c r="A3699" s="8" t="s">
        <v>7358</v>
      </c>
      <c r="B3699" s="8" t="s">
        <v>57303</v>
      </c>
      <c r="C3699" s="8" t="s">
        <v>7359</v>
      </c>
      <c r="D3699" s="8"/>
      <c r="E3699" s="6"/>
      <c r="F3699" s="6"/>
    </row>
    <row r="3700" spans="1:6" x14ac:dyDescent="0.3">
      <c r="A3700" s="8" t="s">
        <v>7360</v>
      </c>
      <c r="B3700" s="8" t="s">
        <v>57304</v>
      </c>
      <c r="C3700" s="8" t="s">
        <v>7361</v>
      </c>
      <c r="D3700" s="8"/>
      <c r="E3700" s="6"/>
      <c r="F3700" s="6"/>
    </row>
    <row r="3701" spans="1:6" x14ac:dyDescent="0.3">
      <c r="A3701" s="8" t="s">
        <v>7362</v>
      </c>
      <c r="B3701" s="8" t="s">
        <v>57305</v>
      </c>
      <c r="C3701" s="8" t="s">
        <v>7363</v>
      </c>
      <c r="D3701" s="8"/>
      <c r="E3701" s="6"/>
      <c r="F3701" s="6"/>
    </row>
    <row r="3702" spans="1:6" x14ac:dyDescent="0.3">
      <c r="A3702" s="8" t="s">
        <v>7364</v>
      </c>
      <c r="B3702" s="8" t="s">
        <v>57306</v>
      </c>
      <c r="C3702" s="8" t="s">
        <v>7365</v>
      </c>
      <c r="D3702" s="8"/>
      <c r="E3702" s="6"/>
      <c r="F3702" s="6"/>
    </row>
    <row r="3703" spans="1:6" x14ac:dyDescent="0.3">
      <c r="A3703" s="8" t="s">
        <v>7366</v>
      </c>
      <c r="B3703" s="8" t="s">
        <v>57307</v>
      </c>
      <c r="C3703" s="8" t="s">
        <v>7367</v>
      </c>
      <c r="D3703" s="8"/>
      <c r="E3703" s="6"/>
      <c r="F3703" s="6"/>
    </row>
    <row r="3704" spans="1:6" x14ac:dyDescent="0.3">
      <c r="A3704" s="8" t="s">
        <v>7368</v>
      </c>
      <c r="B3704" s="8" t="s">
        <v>57308</v>
      </c>
      <c r="C3704" s="8" t="s">
        <v>7369</v>
      </c>
      <c r="D3704" s="8"/>
      <c r="E3704" s="6"/>
      <c r="F3704" s="6"/>
    </row>
    <row r="3705" spans="1:6" x14ac:dyDescent="0.3">
      <c r="A3705" s="8" t="s">
        <v>7370</v>
      </c>
      <c r="B3705" s="8" t="s">
        <v>57309</v>
      </c>
      <c r="C3705" s="8" t="s">
        <v>7371</v>
      </c>
      <c r="D3705" s="8"/>
      <c r="E3705" s="6"/>
      <c r="F3705" s="6"/>
    </row>
    <row r="3706" spans="1:6" x14ac:dyDescent="0.3">
      <c r="A3706" s="8" t="s">
        <v>7372</v>
      </c>
      <c r="B3706" s="8" t="s">
        <v>57310</v>
      </c>
      <c r="C3706" s="8" t="s">
        <v>7373</v>
      </c>
      <c r="D3706" s="8"/>
      <c r="E3706" s="6"/>
      <c r="F3706" s="6"/>
    </row>
    <row r="3707" spans="1:6" x14ac:dyDescent="0.3">
      <c r="A3707" s="8" t="s">
        <v>7374</v>
      </c>
      <c r="B3707" s="8" t="s">
        <v>57311</v>
      </c>
      <c r="C3707" s="8" t="s">
        <v>7375</v>
      </c>
      <c r="D3707" s="8"/>
      <c r="E3707" s="6"/>
      <c r="F3707" s="6"/>
    </row>
    <row r="3708" spans="1:6" x14ac:dyDescent="0.3">
      <c r="A3708" s="8" t="s">
        <v>7376</v>
      </c>
      <c r="B3708" s="8" t="s">
        <v>57312</v>
      </c>
      <c r="C3708" s="8" t="s">
        <v>7377</v>
      </c>
      <c r="D3708" s="8"/>
      <c r="E3708" s="6"/>
      <c r="F3708" s="6"/>
    </row>
    <row r="3709" spans="1:6" x14ac:dyDescent="0.3">
      <c r="A3709" s="8" t="s">
        <v>7378</v>
      </c>
      <c r="B3709" s="8" t="s">
        <v>57313</v>
      </c>
      <c r="C3709" s="8" t="s">
        <v>7379</v>
      </c>
      <c r="D3709" s="8"/>
      <c r="E3709" s="6"/>
      <c r="F3709" s="6"/>
    </row>
    <row r="3710" spans="1:6" x14ac:dyDescent="0.3">
      <c r="A3710" s="8" t="s">
        <v>7380</v>
      </c>
      <c r="B3710" s="8" t="s">
        <v>57314</v>
      </c>
      <c r="C3710" s="8" t="s">
        <v>7381</v>
      </c>
      <c r="D3710" s="8"/>
      <c r="E3710" s="6"/>
      <c r="F3710" s="6"/>
    </row>
    <row r="3711" spans="1:6" x14ac:dyDescent="0.3">
      <c r="A3711" s="8" t="s">
        <v>7382</v>
      </c>
      <c r="B3711" s="8" t="s">
        <v>57315</v>
      </c>
      <c r="C3711" s="8" t="s">
        <v>7383</v>
      </c>
      <c r="D3711" s="8"/>
      <c r="E3711" s="6"/>
      <c r="F3711" s="6"/>
    </row>
    <row r="3712" spans="1:6" x14ac:dyDescent="0.3">
      <c r="A3712" s="8" t="s">
        <v>7384</v>
      </c>
      <c r="B3712" s="8" t="s">
        <v>57316</v>
      </c>
      <c r="C3712" s="8" t="s">
        <v>7385</v>
      </c>
      <c r="D3712" s="8"/>
      <c r="E3712" s="6"/>
      <c r="F3712" s="6"/>
    </row>
    <row r="3713" spans="1:6" x14ac:dyDescent="0.3">
      <c r="A3713" s="8" t="s">
        <v>7386</v>
      </c>
      <c r="B3713" s="8" t="s">
        <v>57317</v>
      </c>
      <c r="C3713" s="8" t="s">
        <v>7387</v>
      </c>
      <c r="D3713" s="8"/>
      <c r="E3713" s="6"/>
      <c r="F3713" s="6"/>
    </row>
    <row r="3714" spans="1:6" x14ac:dyDescent="0.3">
      <c r="A3714" s="8" t="s">
        <v>7388</v>
      </c>
      <c r="B3714" s="8" t="s">
        <v>57318</v>
      </c>
      <c r="C3714" s="8" t="s">
        <v>7389</v>
      </c>
      <c r="D3714" s="8"/>
      <c r="E3714" s="6"/>
      <c r="F3714" s="6"/>
    </row>
    <row r="3715" spans="1:6" x14ac:dyDescent="0.3">
      <c r="A3715" s="8" t="s">
        <v>7390</v>
      </c>
      <c r="B3715" s="8" t="s">
        <v>57319</v>
      </c>
      <c r="C3715" s="8" t="s">
        <v>7391</v>
      </c>
      <c r="D3715" s="8"/>
      <c r="E3715" s="6"/>
      <c r="F3715" s="6"/>
    </row>
    <row r="3716" spans="1:6" x14ac:dyDescent="0.3">
      <c r="A3716" s="8" t="s">
        <v>7392</v>
      </c>
      <c r="B3716" s="8" t="s">
        <v>57320</v>
      </c>
      <c r="C3716" s="8" t="s">
        <v>7393</v>
      </c>
      <c r="D3716" s="8"/>
      <c r="E3716" s="6"/>
      <c r="F3716" s="6"/>
    </row>
    <row r="3717" spans="1:6" x14ac:dyDescent="0.3">
      <c r="A3717" s="8" t="s">
        <v>7394</v>
      </c>
      <c r="B3717" s="8" t="s">
        <v>57321</v>
      </c>
      <c r="C3717" s="8" t="s">
        <v>7395</v>
      </c>
      <c r="D3717" s="8"/>
      <c r="E3717" s="6"/>
      <c r="F3717" s="6"/>
    </row>
    <row r="3718" spans="1:6" x14ac:dyDescent="0.3">
      <c r="A3718" s="8" t="s">
        <v>7396</v>
      </c>
      <c r="B3718" s="8" t="s">
        <v>57322</v>
      </c>
      <c r="C3718" s="8" t="s">
        <v>7397</v>
      </c>
      <c r="D3718" s="8"/>
      <c r="E3718" s="6"/>
      <c r="F3718" s="6"/>
    </row>
    <row r="3719" spans="1:6" x14ac:dyDescent="0.3">
      <c r="A3719" s="8" t="s">
        <v>7398</v>
      </c>
      <c r="B3719" s="8" t="s">
        <v>57323</v>
      </c>
      <c r="C3719" s="8" t="s">
        <v>7399</v>
      </c>
      <c r="D3719" s="8"/>
      <c r="E3719" s="6"/>
      <c r="F3719" s="6"/>
    </row>
    <row r="3720" spans="1:6" x14ac:dyDescent="0.3">
      <c r="A3720" s="8" t="s">
        <v>7400</v>
      </c>
      <c r="B3720" s="8" t="s">
        <v>57324</v>
      </c>
      <c r="C3720" s="8" t="s">
        <v>7401</v>
      </c>
      <c r="D3720" s="8"/>
      <c r="E3720" s="6"/>
      <c r="F3720" s="6"/>
    </row>
    <row r="3721" spans="1:6" x14ac:dyDescent="0.3">
      <c r="A3721" s="8" t="s">
        <v>7402</v>
      </c>
      <c r="B3721" s="8" t="s">
        <v>57325</v>
      </c>
      <c r="C3721" s="8" t="s">
        <v>7403</v>
      </c>
      <c r="D3721" s="8"/>
      <c r="E3721" s="6"/>
      <c r="F3721" s="6"/>
    </row>
    <row r="3722" spans="1:6" x14ac:dyDescent="0.3">
      <c r="A3722" s="8" t="s">
        <v>7404</v>
      </c>
      <c r="B3722" s="8" t="s">
        <v>57326</v>
      </c>
      <c r="C3722" s="8" t="s">
        <v>7405</v>
      </c>
      <c r="D3722" s="8"/>
      <c r="E3722" s="6"/>
      <c r="F3722" s="6"/>
    </row>
    <row r="3723" spans="1:6" x14ac:dyDescent="0.3">
      <c r="A3723" s="8" t="s">
        <v>7406</v>
      </c>
      <c r="B3723" s="8" t="s">
        <v>57327</v>
      </c>
      <c r="C3723" s="8" t="s">
        <v>7407</v>
      </c>
      <c r="D3723" s="8"/>
      <c r="E3723" s="6"/>
      <c r="F3723" s="6"/>
    </row>
    <row r="3724" spans="1:6" x14ac:dyDescent="0.3">
      <c r="A3724" s="8" t="s">
        <v>7408</v>
      </c>
      <c r="B3724" s="8" t="s">
        <v>57328</v>
      </c>
      <c r="C3724" s="8" t="s">
        <v>7409</v>
      </c>
      <c r="D3724" s="8"/>
      <c r="E3724" s="6"/>
      <c r="F3724" s="6"/>
    </row>
    <row r="3725" spans="1:6" x14ac:dyDescent="0.3">
      <c r="A3725" s="8" t="s">
        <v>7410</v>
      </c>
      <c r="B3725" s="8" t="s">
        <v>57329</v>
      </c>
      <c r="C3725" s="8" t="s">
        <v>7411</v>
      </c>
      <c r="D3725" s="8"/>
      <c r="E3725" s="6"/>
      <c r="F3725" s="6"/>
    </row>
    <row r="3726" spans="1:6" x14ac:dyDescent="0.3">
      <c r="A3726" s="8" t="s">
        <v>7412</v>
      </c>
      <c r="B3726" s="8" t="s">
        <v>57330</v>
      </c>
      <c r="C3726" s="8" t="s">
        <v>7413</v>
      </c>
      <c r="D3726" s="8"/>
      <c r="E3726" s="6"/>
      <c r="F3726" s="6"/>
    </row>
    <row r="3727" spans="1:6" x14ac:dyDescent="0.3">
      <c r="A3727" s="8" t="s">
        <v>7414</v>
      </c>
      <c r="B3727" s="8" t="s">
        <v>57331</v>
      </c>
      <c r="C3727" s="8" t="s">
        <v>7415</v>
      </c>
      <c r="D3727" s="8"/>
      <c r="E3727" s="6"/>
      <c r="F3727" s="6"/>
    </row>
    <row r="3728" spans="1:6" x14ac:dyDescent="0.3">
      <c r="A3728" s="8" t="s">
        <v>7416</v>
      </c>
      <c r="B3728" s="8" t="s">
        <v>57332</v>
      </c>
      <c r="C3728" s="8" t="s">
        <v>7417</v>
      </c>
      <c r="D3728" s="8"/>
      <c r="E3728" s="6"/>
      <c r="F3728" s="6"/>
    </row>
    <row r="3729" spans="1:6" x14ac:dyDescent="0.3">
      <c r="A3729" s="8" t="s">
        <v>7418</v>
      </c>
      <c r="B3729" s="8" t="s">
        <v>57333</v>
      </c>
      <c r="C3729" s="8" t="s">
        <v>7419</v>
      </c>
      <c r="D3729" s="8"/>
      <c r="E3729" s="6"/>
      <c r="F3729" s="6"/>
    </row>
    <row r="3730" spans="1:6" x14ac:dyDescent="0.3">
      <c r="A3730" s="8" t="s">
        <v>7420</v>
      </c>
      <c r="B3730" s="8" t="s">
        <v>57334</v>
      </c>
      <c r="C3730" s="8" t="s">
        <v>7421</v>
      </c>
      <c r="D3730" s="8"/>
      <c r="E3730" s="6"/>
      <c r="F3730" s="6"/>
    </row>
    <row r="3731" spans="1:6" x14ac:dyDescent="0.3">
      <c r="A3731" s="8" t="s">
        <v>7422</v>
      </c>
      <c r="B3731" s="8" t="s">
        <v>57335</v>
      </c>
      <c r="C3731" s="8" t="s">
        <v>7423</v>
      </c>
      <c r="D3731" s="8"/>
      <c r="E3731" s="6"/>
      <c r="F3731" s="6"/>
    </row>
    <row r="3732" spans="1:6" x14ac:dyDescent="0.3">
      <c r="A3732" s="8" t="s">
        <v>7424</v>
      </c>
      <c r="B3732" s="8" t="s">
        <v>57336</v>
      </c>
      <c r="C3732" s="8" t="s">
        <v>7425</v>
      </c>
      <c r="D3732" s="8"/>
      <c r="E3732" s="6"/>
      <c r="F3732" s="6"/>
    </row>
    <row r="3733" spans="1:6" x14ac:dyDescent="0.3">
      <c r="A3733" s="8" t="s">
        <v>7426</v>
      </c>
      <c r="B3733" s="8" t="s">
        <v>57337</v>
      </c>
      <c r="C3733" s="8" t="s">
        <v>7427</v>
      </c>
      <c r="D3733" s="8"/>
      <c r="E3733" s="6"/>
      <c r="F3733" s="6"/>
    </row>
    <row r="3734" spans="1:6" x14ac:dyDescent="0.3">
      <c r="A3734" s="8" t="s">
        <v>7428</v>
      </c>
      <c r="B3734" s="8" t="s">
        <v>57338</v>
      </c>
      <c r="C3734" s="8" t="s">
        <v>7429</v>
      </c>
      <c r="D3734" s="8"/>
      <c r="E3734" s="6"/>
      <c r="F3734" s="6"/>
    </row>
    <row r="3735" spans="1:6" x14ac:dyDescent="0.3">
      <c r="A3735" s="8" t="s">
        <v>7430</v>
      </c>
      <c r="B3735" s="8" t="s">
        <v>57339</v>
      </c>
      <c r="C3735" s="8" t="s">
        <v>7431</v>
      </c>
      <c r="D3735" s="8"/>
      <c r="E3735" s="6"/>
      <c r="F3735" s="6"/>
    </row>
    <row r="3736" spans="1:6" x14ac:dyDescent="0.3">
      <c r="A3736" s="8" t="s">
        <v>7432</v>
      </c>
      <c r="B3736" s="8" t="s">
        <v>57340</v>
      </c>
      <c r="C3736" s="8" t="s">
        <v>7433</v>
      </c>
      <c r="D3736" s="8"/>
      <c r="E3736" s="6"/>
      <c r="F3736" s="6"/>
    </row>
    <row r="3737" spans="1:6" x14ac:dyDescent="0.3">
      <c r="A3737" s="8" t="s">
        <v>7434</v>
      </c>
      <c r="B3737" s="8" t="s">
        <v>57341</v>
      </c>
      <c r="C3737" s="8" t="s">
        <v>7435</v>
      </c>
      <c r="D3737" s="8"/>
      <c r="E3737" s="6"/>
      <c r="F3737" s="6"/>
    </row>
    <row r="3738" spans="1:6" x14ac:dyDescent="0.3">
      <c r="A3738" s="8" t="s">
        <v>7436</v>
      </c>
      <c r="B3738" s="8" t="s">
        <v>57342</v>
      </c>
      <c r="C3738" s="8" t="s">
        <v>7437</v>
      </c>
      <c r="D3738" s="8"/>
      <c r="E3738" s="6"/>
      <c r="F3738" s="6"/>
    </row>
    <row r="3739" spans="1:6" x14ac:dyDescent="0.3">
      <c r="A3739" s="8" t="s">
        <v>7438</v>
      </c>
      <c r="B3739" s="8" t="s">
        <v>57343</v>
      </c>
      <c r="C3739" s="8" t="s">
        <v>7439</v>
      </c>
      <c r="D3739" s="8"/>
      <c r="E3739" s="6"/>
      <c r="F3739" s="6"/>
    </row>
    <row r="3740" spans="1:6" x14ac:dyDescent="0.3">
      <c r="A3740" s="8" t="s">
        <v>7440</v>
      </c>
      <c r="B3740" s="8" t="s">
        <v>57344</v>
      </c>
      <c r="C3740" s="8" t="s">
        <v>7441</v>
      </c>
      <c r="D3740" s="8"/>
      <c r="E3740" s="6"/>
      <c r="F3740" s="6"/>
    </row>
    <row r="3741" spans="1:6" x14ac:dyDescent="0.3">
      <c r="A3741" s="8" t="s">
        <v>7442</v>
      </c>
      <c r="B3741" s="8" t="s">
        <v>57345</v>
      </c>
      <c r="C3741" s="8" t="s">
        <v>7443</v>
      </c>
      <c r="D3741" s="8"/>
      <c r="E3741" s="6"/>
      <c r="F3741" s="6"/>
    </row>
    <row r="3742" spans="1:6" x14ac:dyDescent="0.3">
      <c r="A3742" s="8" t="s">
        <v>7444</v>
      </c>
      <c r="B3742" s="8" t="s">
        <v>57346</v>
      </c>
      <c r="C3742" s="8" t="s">
        <v>7445</v>
      </c>
      <c r="D3742" s="8"/>
      <c r="E3742" s="6"/>
      <c r="F3742" s="6"/>
    </row>
    <row r="3743" spans="1:6" x14ac:dyDescent="0.3">
      <c r="A3743" s="8" t="s">
        <v>7446</v>
      </c>
      <c r="B3743" s="8" t="s">
        <v>57347</v>
      </c>
      <c r="C3743" s="8" t="s">
        <v>7447</v>
      </c>
      <c r="D3743" s="8"/>
      <c r="E3743" s="6"/>
      <c r="F3743" s="6"/>
    </row>
    <row r="3744" spans="1:6" x14ac:dyDescent="0.3">
      <c r="A3744" s="8" t="s">
        <v>7448</v>
      </c>
      <c r="B3744" s="8" t="s">
        <v>57348</v>
      </c>
      <c r="C3744" s="8" t="s">
        <v>7449</v>
      </c>
      <c r="D3744" s="8"/>
      <c r="E3744" s="6"/>
      <c r="F3744" s="6"/>
    </row>
    <row r="3745" spans="1:6" x14ac:dyDescent="0.3">
      <c r="A3745" s="8" t="s">
        <v>7450</v>
      </c>
      <c r="B3745" s="8" t="s">
        <v>57349</v>
      </c>
      <c r="C3745" s="8" t="s">
        <v>7451</v>
      </c>
      <c r="D3745" s="8"/>
      <c r="E3745" s="6"/>
      <c r="F3745" s="6"/>
    </row>
    <row r="3746" spans="1:6" x14ac:dyDescent="0.3">
      <c r="A3746" s="8" t="s">
        <v>7452</v>
      </c>
      <c r="B3746" s="8" t="s">
        <v>57350</v>
      </c>
      <c r="C3746" s="8" t="s">
        <v>7453</v>
      </c>
      <c r="D3746" s="8"/>
      <c r="E3746" s="6"/>
      <c r="F3746" s="6"/>
    </row>
    <row r="3747" spans="1:6" x14ac:dyDescent="0.3">
      <c r="A3747" s="8" t="s">
        <v>7454</v>
      </c>
      <c r="B3747" s="8" t="s">
        <v>57351</v>
      </c>
      <c r="C3747" s="8" t="s">
        <v>7455</v>
      </c>
      <c r="D3747" s="8"/>
      <c r="E3747" s="6"/>
      <c r="F3747" s="6"/>
    </row>
    <row r="3748" spans="1:6" x14ac:dyDescent="0.3">
      <c r="A3748" s="8" t="s">
        <v>7456</v>
      </c>
      <c r="B3748" s="8" t="s">
        <v>57352</v>
      </c>
      <c r="C3748" s="8" t="s">
        <v>7457</v>
      </c>
      <c r="D3748" s="8"/>
      <c r="E3748" s="6"/>
      <c r="F3748" s="6"/>
    </row>
    <row r="3749" spans="1:6" x14ac:dyDescent="0.3">
      <c r="A3749" s="8" t="s">
        <v>7458</v>
      </c>
      <c r="B3749" s="8" t="s">
        <v>57353</v>
      </c>
      <c r="C3749" s="8" t="s">
        <v>7459</v>
      </c>
      <c r="D3749" s="8"/>
      <c r="E3749" s="6"/>
      <c r="F3749" s="6"/>
    </row>
    <row r="3750" spans="1:6" x14ac:dyDescent="0.3">
      <c r="A3750" s="8" t="s">
        <v>7460</v>
      </c>
      <c r="B3750" s="8" t="s">
        <v>57354</v>
      </c>
      <c r="C3750" s="8" t="s">
        <v>7461</v>
      </c>
      <c r="D3750" s="8"/>
      <c r="E3750" s="6"/>
      <c r="F3750" s="6"/>
    </row>
    <row r="3751" spans="1:6" x14ac:dyDescent="0.3">
      <c r="A3751" s="8" t="s">
        <v>7462</v>
      </c>
      <c r="B3751" s="8" t="s">
        <v>57355</v>
      </c>
      <c r="C3751" s="8" t="s">
        <v>7463</v>
      </c>
      <c r="D3751" s="8"/>
      <c r="E3751" s="6"/>
      <c r="F3751" s="6"/>
    </row>
    <row r="3752" spans="1:6" x14ac:dyDescent="0.3">
      <c r="A3752" s="8" t="s">
        <v>7464</v>
      </c>
      <c r="B3752" s="8" t="s">
        <v>57356</v>
      </c>
      <c r="C3752" s="8" t="s">
        <v>7465</v>
      </c>
      <c r="D3752" s="8"/>
      <c r="E3752" s="6"/>
      <c r="F3752" s="6"/>
    </row>
    <row r="3753" spans="1:6" x14ac:dyDescent="0.3">
      <c r="A3753" s="8" t="s">
        <v>7466</v>
      </c>
      <c r="B3753" s="8" t="s">
        <v>57357</v>
      </c>
      <c r="C3753" s="8" t="s">
        <v>7467</v>
      </c>
      <c r="D3753" s="8"/>
      <c r="E3753" s="6"/>
      <c r="F3753" s="6"/>
    </row>
    <row r="3754" spans="1:6" x14ac:dyDescent="0.3">
      <c r="A3754" s="8" t="s">
        <v>7468</v>
      </c>
      <c r="B3754" s="8" t="s">
        <v>57358</v>
      </c>
      <c r="C3754" s="8" t="s">
        <v>7469</v>
      </c>
      <c r="D3754" s="8"/>
      <c r="E3754" s="6"/>
      <c r="F3754" s="6"/>
    </row>
    <row r="3755" spans="1:6" x14ac:dyDescent="0.3">
      <c r="A3755" s="8" t="s">
        <v>7470</v>
      </c>
      <c r="B3755" s="8" t="s">
        <v>57359</v>
      </c>
      <c r="C3755" s="8" t="s">
        <v>7471</v>
      </c>
      <c r="D3755" s="8"/>
      <c r="E3755" s="6"/>
      <c r="F3755" s="6"/>
    </row>
    <row r="3756" spans="1:6" x14ac:dyDescent="0.3">
      <c r="A3756" s="8" t="s">
        <v>7472</v>
      </c>
      <c r="B3756" s="8" t="s">
        <v>57360</v>
      </c>
      <c r="C3756" s="8" t="s">
        <v>7473</v>
      </c>
      <c r="D3756" s="8"/>
      <c r="E3756" s="6"/>
      <c r="F3756" s="6"/>
    </row>
    <row r="3757" spans="1:6" x14ac:dyDescent="0.3">
      <c r="A3757" s="8" t="s">
        <v>7474</v>
      </c>
      <c r="B3757" s="8" t="s">
        <v>57361</v>
      </c>
      <c r="C3757" s="8" t="s">
        <v>7475</v>
      </c>
      <c r="D3757" s="8"/>
      <c r="E3757" s="6"/>
      <c r="F3757" s="6"/>
    </row>
    <row r="3758" spans="1:6" x14ac:dyDescent="0.3">
      <c r="A3758" s="8" t="s">
        <v>7476</v>
      </c>
      <c r="B3758" s="8" t="s">
        <v>57362</v>
      </c>
      <c r="C3758" s="8" t="s">
        <v>7477</v>
      </c>
      <c r="D3758" s="8"/>
      <c r="E3758" s="6"/>
      <c r="F3758" s="6"/>
    </row>
    <row r="3759" spans="1:6" x14ac:dyDescent="0.3">
      <c r="A3759" s="8" t="s">
        <v>7478</v>
      </c>
      <c r="B3759" s="8" t="s">
        <v>57363</v>
      </c>
      <c r="C3759" s="8" t="s">
        <v>7479</v>
      </c>
      <c r="D3759" s="8"/>
      <c r="E3759" s="6"/>
      <c r="F3759" s="6"/>
    </row>
    <row r="3760" spans="1:6" x14ac:dyDescent="0.3">
      <c r="A3760" s="8" t="s">
        <v>7480</v>
      </c>
      <c r="B3760" s="8" t="s">
        <v>57364</v>
      </c>
      <c r="C3760" s="8" t="s">
        <v>7481</v>
      </c>
      <c r="D3760" s="8"/>
      <c r="E3760" s="6"/>
      <c r="F3760" s="6"/>
    </row>
    <row r="3761" spans="1:6" x14ac:dyDescent="0.3">
      <c r="A3761" s="8" t="s">
        <v>7482</v>
      </c>
      <c r="B3761" s="8" t="s">
        <v>57365</v>
      </c>
      <c r="C3761" s="8" t="s">
        <v>7483</v>
      </c>
      <c r="D3761" s="8"/>
      <c r="E3761" s="6"/>
      <c r="F3761" s="6"/>
    </row>
    <row r="3762" spans="1:6" x14ac:dyDescent="0.3">
      <c r="A3762" s="8" t="s">
        <v>7484</v>
      </c>
      <c r="B3762" s="8" t="s">
        <v>57366</v>
      </c>
      <c r="C3762" s="8" t="s">
        <v>7485</v>
      </c>
      <c r="D3762" s="8"/>
      <c r="E3762" s="6"/>
      <c r="F3762" s="6"/>
    </row>
    <row r="3763" spans="1:6" x14ac:dyDescent="0.3">
      <c r="A3763" s="8" t="s">
        <v>7486</v>
      </c>
      <c r="B3763" s="8" t="s">
        <v>57367</v>
      </c>
      <c r="C3763" s="8" t="s">
        <v>7487</v>
      </c>
      <c r="D3763" s="8"/>
      <c r="E3763" s="6"/>
      <c r="F3763" s="6"/>
    </row>
    <row r="3764" spans="1:6" x14ac:dyDescent="0.3">
      <c r="A3764" s="8" t="s">
        <v>7488</v>
      </c>
      <c r="B3764" s="8" t="s">
        <v>57368</v>
      </c>
      <c r="C3764" s="8" t="s">
        <v>7489</v>
      </c>
      <c r="D3764" s="8"/>
      <c r="E3764" s="6"/>
      <c r="F3764" s="6"/>
    </row>
    <row r="3765" spans="1:6" x14ac:dyDescent="0.3">
      <c r="A3765" s="8" t="s">
        <v>7490</v>
      </c>
      <c r="B3765" s="8" t="s">
        <v>57369</v>
      </c>
      <c r="C3765" s="8" t="s">
        <v>7491</v>
      </c>
      <c r="D3765" s="8"/>
      <c r="E3765" s="6"/>
      <c r="F3765" s="6"/>
    </row>
    <row r="3766" spans="1:6" x14ac:dyDescent="0.3">
      <c r="A3766" s="8" t="s">
        <v>7492</v>
      </c>
      <c r="B3766" s="8" t="s">
        <v>57370</v>
      </c>
      <c r="C3766" s="8" t="s">
        <v>7493</v>
      </c>
      <c r="D3766" s="8"/>
      <c r="E3766" s="6"/>
      <c r="F3766" s="6"/>
    </row>
    <row r="3767" spans="1:6" x14ac:dyDescent="0.3">
      <c r="A3767" s="8" t="s">
        <v>7494</v>
      </c>
      <c r="B3767" s="8" t="s">
        <v>57371</v>
      </c>
      <c r="C3767" s="8" t="s">
        <v>7495</v>
      </c>
      <c r="D3767" s="8"/>
      <c r="E3767" s="6"/>
      <c r="F3767" s="6"/>
    </row>
    <row r="3768" spans="1:6" x14ac:dyDescent="0.3">
      <c r="A3768" s="8" t="s">
        <v>7496</v>
      </c>
      <c r="B3768" s="8" t="s">
        <v>57372</v>
      </c>
      <c r="C3768" s="8" t="s">
        <v>7497</v>
      </c>
      <c r="D3768" s="8"/>
      <c r="E3768" s="6"/>
      <c r="F3768" s="6"/>
    </row>
    <row r="3769" spans="1:6" x14ac:dyDescent="0.3">
      <c r="A3769" s="8" t="s">
        <v>7498</v>
      </c>
      <c r="B3769" s="8" t="s">
        <v>57373</v>
      </c>
      <c r="C3769" s="8" t="s">
        <v>7499</v>
      </c>
      <c r="D3769" s="8"/>
      <c r="E3769" s="6"/>
      <c r="F3769" s="6"/>
    </row>
    <row r="3770" spans="1:6" x14ac:dyDescent="0.3">
      <c r="A3770" s="8" t="s">
        <v>7500</v>
      </c>
      <c r="B3770" s="8" t="s">
        <v>57374</v>
      </c>
      <c r="C3770" s="8" t="s">
        <v>7501</v>
      </c>
      <c r="D3770" s="8"/>
      <c r="E3770" s="6"/>
      <c r="F3770" s="6"/>
    </row>
    <row r="3771" spans="1:6" x14ac:dyDescent="0.3">
      <c r="A3771" s="8" t="s">
        <v>7502</v>
      </c>
      <c r="B3771" s="8" t="s">
        <v>57375</v>
      </c>
      <c r="C3771" s="8" t="s">
        <v>7503</v>
      </c>
      <c r="D3771" s="8"/>
      <c r="E3771" s="6"/>
      <c r="F3771" s="6"/>
    </row>
    <row r="3772" spans="1:6" x14ac:dyDescent="0.3">
      <c r="A3772" s="8" t="s">
        <v>7504</v>
      </c>
      <c r="B3772" s="8" t="s">
        <v>57376</v>
      </c>
      <c r="C3772" s="8" t="s">
        <v>7505</v>
      </c>
      <c r="D3772" s="8"/>
      <c r="E3772" s="6"/>
      <c r="F3772" s="6"/>
    </row>
    <row r="3773" spans="1:6" x14ac:dyDescent="0.3">
      <c r="A3773" s="8" t="s">
        <v>7506</v>
      </c>
      <c r="B3773" s="8" t="s">
        <v>57377</v>
      </c>
      <c r="C3773" s="8" t="s">
        <v>7507</v>
      </c>
      <c r="D3773" s="8"/>
      <c r="E3773" s="6"/>
      <c r="F3773" s="6"/>
    </row>
    <row r="3774" spans="1:6" x14ac:dyDescent="0.3">
      <c r="A3774" s="8" t="s">
        <v>7508</v>
      </c>
      <c r="B3774" s="8" t="s">
        <v>57378</v>
      </c>
      <c r="C3774" s="8" t="s">
        <v>7509</v>
      </c>
      <c r="D3774" s="8"/>
      <c r="E3774" s="6"/>
      <c r="F3774" s="6"/>
    </row>
    <row r="3775" spans="1:6" x14ac:dyDescent="0.3">
      <c r="A3775" s="8" t="s">
        <v>7510</v>
      </c>
      <c r="B3775" s="8" t="s">
        <v>57379</v>
      </c>
      <c r="C3775" s="8" t="s">
        <v>7511</v>
      </c>
      <c r="D3775" s="8"/>
      <c r="E3775" s="6"/>
      <c r="F3775" s="6"/>
    </row>
    <row r="3776" spans="1:6" x14ac:dyDescent="0.3">
      <c r="A3776" s="8" t="s">
        <v>7512</v>
      </c>
      <c r="B3776" s="8" t="s">
        <v>57380</v>
      </c>
      <c r="C3776" s="8" t="s">
        <v>7513</v>
      </c>
      <c r="D3776" s="8"/>
      <c r="E3776" s="6"/>
      <c r="F3776" s="6"/>
    </row>
    <row r="3777" spans="1:6" x14ac:dyDescent="0.3">
      <c r="A3777" s="8" t="s">
        <v>7514</v>
      </c>
      <c r="B3777" s="8" t="s">
        <v>57381</v>
      </c>
      <c r="C3777" s="8" t="s">
        <v>7515</v>
      </c>
      <c r="D3777" s="8"/>
      <c r="E3777" s="6"/>
      <c r="F3777" s="6"/>
    </row>
    <row r="3778" spans="1:6" x14ac:dyDescent="0.3">
      <c r="A3778" s="8" t="s">
        <v>7516</v>
      </c>
      <c r="B3778" s="8" t="s">
        <v>57382</v>
      </c>
      <c r="C3778" s="8" t="s">
        <v>7517</v>
      </c>
      <c r="D3778" s="8"/>
      <c r="E3778" s="6"/>
      <c r="F3778" s="6"/>
    </row>
    <row r="3779" spans="1:6" x14ac:dyDescent="0.3">
      <c r="A3779" s="8" t="s">
        <v>7518</v>
      </c>
      <c r="B3779" s="8" t="s">
        <v>57383</v>
      </c>
      <c r="C3779" s="8" t="s">
        <v>7519</v>
      </c>
      <c r="D3779" s="8"/>
      <c r="E3779" s="6"/>
      <c r="F3779" s="6"/>
    </row>
    <row r="3780" spans="1:6" x14ac:dyDescent="0.3">
      <c r="A3780" s="8" t="s">
        <v>7520</v>
      </c>
      <c r="B3780" s="8" t="s">
        <v>57384</v>
      </c>
      <c r="C3780" s="8" t="s">
        <v>7521</v>
      </c>
      <c r="D3780" s="8"/>
      <c r="E3780" s="6"/>
      <c r="F3780" s="6"/>
    </row>
    <row r="3781" spans="1:6" x14ac:dyDescent="0.3">
      <c r="A3781" s="8" t="s">
        <v>7522</v>
      </c>
      <c r="B3781" s="8" t="s">
        <v>57385</v>
      </c>
      <c r="C3781" s="8" t="s">
        <v>7523</v>
      </c>
      <c r="D3781" s="8"/>
      <c r="E3781" s="6"/>
      <c r="F3781" s="6"/>
    </row>
    <row r="3782" spans="1:6" x14ac:dyDescent="0.3">
      <c r="A3782" s="8" t="s">
        <v>7524</v>
      </c>
      <c r="B3782" s="8" t="s">
        <v>57386</v>
      </c>
      <c r="C3782" s="8" t="s">
        <v>7525</v>
      </c>
      <c r="D3782" s="8"/>
      <c r="E3782" s="6"/>
      <c r="F3782" s="6"/>
    </row>
    <row r="3783" spans="1:6" x14ac:dyDescent="0.3">
      <c r="A3783" s="8" t="s">
        <v>7526</v>
      </c>
      <c r="B3783" s="8" t="s">
        <v>57387</v>
      </c>
      <c r="C3783" s="8" t="s">
        <v>7527</v>
      </c>
      <c r="D3783" s="8"/>
      <c r="E3783" s="6"/>
      <c r="F3783" s="6"/>
    </row>
    <row r="3784" spans="1:6" x14ac:dyDescent="0.3">
      <c r="A3784" s="8" t="s">
        <v>7528</v>
      </c>
      <c r="B3784" s="8" t="s">
        <v>57388</v>
      </c>
      <c r="C3784" s="8" t="s">
        <v>7529</v>
      </c>
      <c r="D3784" s="8"/>
      <c r="E3784" s="6"/>
      <c r="F3784" s="6"/>
    </row>
    <row r="3785" spans="1:6" x14ac:dyDescent="0.3">
      <c r="A3785" s="8" t="s">
        <v>7530</v>
      </c>
      <c r="B3785" s="8" t="s">
        <v>57389</v>
      </c>
      <c r="C3785" s="8" t="s">
        <v>7531</v>
      </c>
      <c r="D3785" s="8"/>
      <c r="E3785" s="6"/>
      <c r="F3785" s="6"/>
    </row>
    <row r="3786" spans="1:6" x14ac:dyDescent="0.3">
      <c r="A3786" s="8" t="s">
        <v>7532</v>
      </c>
      <c r="B3786" s="8" t="s">
        <v>57390</v>
      </c>
      <c r="C3786" s="8" t="s">
        <v>7533</v>
      </c>
      <c r="D3786" s="8"/>
      <c r="E3786" s="6"/>
      <c r="F3786" s="6"/>
    </row>
    <row r="3787" spans="1:6" x14ac:dyDescent="0.3">
      <c r="A3787" s="8" t="s">
        <v>7534</v>
      </c>
      <c r="B3787" s="8" t="s">
        <v>57391</v>
      </c>
      <c r="C3787" s="8" t="s">
        <v>7535</v>
      </c>
      <c r="D3787" s="8"/>
      <c r="E3787" s="6"/>
      <c r="F3787" s="6"/>
    </row>
    <row r="3788" spans="1:6" x14ac:dyDescent="0.3">
      <c r="A3788" s="8" t="s">
        <v>7536</v>
      </c>
      <c r="B3788" s="8" t="s">
        <v>57392</v>
      </c>
      <c r="C3788" s="8" t="s">
        <v>7537</v>
      </c>
      <c r="D3788" s="8"/>
      <c r="E3788" s="6"/>
      <c r="F3788" s="6"/>
    </row>
    <row r="3789" spans="1:6" x14ac:dyDescent="0.3">
      <c r="A3789" s="8" t="s">
        <v>7538</v>
      </c>
      <c r="B3789" s="8" t="s">
        <v>57393</v>
      </c>
      <c r="C3789" s="8" t="s">
        <v>7539</v>
      </c>
      <c r="D3789" s="8"/>
      <c r="E3789" s="6"/>
      <c r="F3789" s="6"/>
    </row>
    <row r="3790" spans="1:6" x14ac:dyDescent="0.3">
      <c r="A3790" s="8" t="s">
        <v>7540</v>
      </c>
      <c r="B3790" s="8" t="s">
        <v>57394</v>
      </c>
      <c r="C3790" s="8" t="s">
        <v>7541</v>
      </c>
      <c r="D3790" s="8"/>
      <c r="E3790" s="6"/>
      <c r="F3790" s="6"/>
    </row>
    <row r="3791" spans="1:6" x14ac:dyDescent="0.3">
      <c r="A3791" s="8" t="s">
        <v>7542</v>
      </c>
      <c r="B3791" s="8" t="s">
        <v>57395</v>
      </c>
      <c r="C3791" s="8" t="s">
        <v>7543</v>
      </c>
      <c r="D3791" s="8"/>
      <c r="E3791" s="6"/>
      <c r="F3791" s="6"/>
    </row>
    <row r="3792" spans="1:6" x14ac:dyDescent="0.3">
      <c r="A3792" s="8" t="s">
        <v>7544</v>
      </c>
      <c r="B3792" s="8" t="s">
        <v>57396</v>
      </c>
      <c r="C3792" s="8" t="s">
        <v>7545</v>
      </c>
      <c r="D3792" s="8"/>
      <c r="E3792" s="6"/>
      <c r="F3792" s="6"/>
    </row>
    <row r="3793" spans="1:6" x14ac:dyDescent="0.3">
      <c r="A3793" s="8" t="s">
        <v>7546</v>
      </c>
      <c r="B3793" s="8" t="s">
        <v>57397</v>
      </c>
      <c r="C3793" s="8" t="s">
        <v>7547</v>
      </c>
      <c r="D3793" s="8"/>
      <c r="E3793" s="6"/>
      <c r="F3793" s="6"/>
    </row>
    <row r="3794" spans="1:6" x14ac:dyDescent="0.3">
      <c r="A3794" s="8" t="s">
        <v>7548</v>
      </c>
      <c r="B3794" s="8" t="s">
        <v>57398</v>
      </c>
      <c r="C3794" s="8" t="s">
        <v>7549</v>
      </c>
      <c r="D3794" s="8"/>
      <c r="E3794" s="6"/>
      <c r="F3794" s="6"/>
    </row>
    <row r="3795" spans="1:6" x14ac:dyDescent="0.3">
      <c r="A3795" s="8" t="s">
        <v>7550</v>
      </c>
      <c r="B3795" s="8" t="s">
        <v>57399</v>
      </c>
      <c r="C3795" s="8" t="s">
        <v>7551</v>
      </c>
      <c r="D3795" s="8"/>
      <c r="E3795" s="6"/>
      <c r="F3795" s="6"/>
    </row>
    <row r="3796" spans="1:6" x14ac:dyDescent="0.3">
      <c r="A3796" s="8" t="s">
        <v>7552</v>
      </c>
      <c r="B3796" s="8" t="s">
        <v>57400</v>
      </c>
      <c r="C3796" s="8" t="s">
        <v>7553</v>
      </c>
      <c r="D3796" s="8"/>
      <c r="E3796" s="6"/>
      <c r="F3796" s="6"/>
    </row>
    <row r="3797" spans="1:6" x14ac:dyDescent="0.3">
      <c r="A3797" s="8" t="s">
        <v>7554</v>
      </c>
      <c r="B3797" s="8" t="s">
        <v>57401</v>
      </c>
      <c r="C3797" s="8" t="s">
        <v>7555</v>
      </c>
      <c r="D3797" s="8"/>
      <c r="E3797" s="6"/>
      <c r="F3797" s="6"/>
    </row>
    <row r="3798" spans="1:6" x14ac:dyDescent="0.3">
      <c r="A3798" s="8" t="s">
        <v>7556</v>
      </c>
      <c r="B3798" s="8" t="s">
        <v>57402</v>
      </c>
      <c r="C3798" s="8" t="s">
        <v>7557</v>
      </c>
      <c r="D3798" s="8"/>
      <c r="E3798" s="6"/>
      <c r="F3798" s="6"/>
    </row>
    <row r="3799" spans="1:6" x14ac:dyDescent="0.3">
      <c r="A3799" s="8" t="s">
        <v>7558</v>
      </c>
      <c r="B3799" s="8" t="s">
        <v>57403</v>
      </c>
      <c r="C3799" s="8" t="s">
        <v>7559</v>
      </c>
      <c r="D3799" s="8"/>
      <c r="E3799" s="6"/>
      <c r="F3799" s="6"/>
    </row>
    <row r="3800" spans="1:6" x14ac:dyDescent="0.3">
      <c r="A3800" s="8" t="s">
        <v>7560</v>
      </c>
      <c r="B3800" s="8" t="s">
        <v>57404</v>
      </c>
      <c r="C3800" s="8" t="s">
        <v>7561</v>
      </c>
      <c r="D3800" s="8"/>
      <c r="E3800" s="6"/>
      <c r="F3800" s="6"/>
    </row>
    <row r="3801" spans="1:6" x14ac:dyDescent="0.3">
      <c r="A3801" s="8" t="s">
        <v>7562</v>
      </c>
      <c r="B3801" s="8" t="s">
        <v>57405</v>
      </c>
      <c r="C3801" s="8" t="s">
        <v>7563</v>
      </c>
      <c r="D3801" s="8"/>
      <c r="E3801" s="6"/>
      <c r="F3801" s="6"/>
    </row>
    <row r="3802" spans="1:6" x14ac:dyDescent="0.3">
      <c r="A3802" s="8" t="s">
        <v>7564</v>
      </c>
      <c r="B3802" s="8" t="s">
        <v>57406</v>
      </c>
      <c r="C3802" s="8" t="s">
        <v>7565</v>
      </c>
      <c r="D3802" s="8"/>
      <c r="E3802" s="6"/>
      <c r="F3802" s="6"/>
    </row>
    <row r="3803" spans="1:6" x14ac:dyDescent="0.3">
      <c r="A3803" s="8" t="s">
        <v>7566</v>
      </c>
      <c r="B3803" s="8" t="s">
        <v>57407</v>
      </c>
      <c r="C3803" s="8" t="s">
        <v>7567</v>
      </c>
      <c r="D3803" s="8"/>
      <c r="E3803" s="6"/>
      <c r="F3803" s="6"/>
    </row>
    <row r="3804" spans="1:6" x14ac:dyDescent="0.3">
      <c r="A3804" s="8" t="s">
        <v>7568</v>
      </c>
      <c r="B3804" s="8" t="s">
        <v>57408</v>
      </c>
      <c r="C3804" s="8" t="s">
        <v>7569</v>
      </c>
      <c r="D3804" s="8"/>
      <c r="E3804" s="6"/>
      <c r="F3804" s="6"/>
    </row>
    <row r="3805" spans="1:6" x14ac:dyDescent="0.3">
      <c r="A3805" s="8" t="s">
        <v>7570</v>
      </c>
      <c r="B3805" s="8" t="s">
        <v>57409</v>
      </c>
      <c r="C3805" s="8" t="s">
        <v>7571</v>
      </c>
      <c r="D3805" s="8"/>
      <c r="E3805" s="6"/>
      <c r="F3805" s="6"/>
    </row>
    <row r="3806" spans="1:6" x14ac:dyDescent="0.3">
      <c r="A3806" s="8" t="s">
        <v>7572</v>
      </c>
      <c r="B3806" s="8" t="s">
        <v>57410</v>
      </c>
      <c r="C3806" s="8" t="s">
        <v>7573</v>
      </c>
      <c r="D3806" s="8"/>
      <c r="E3806" s="6"/>
      <c r="F3806" s="6"/>
    </row>
    <row r="3807" spans="1:6" x14ac:dyDescent="0.3">
      <c r="A3807" s="8" t="s">
        <v>7574</v>
      </c>
      <c r="B3807" s="8" t="s">
        <v>57411</v>
      </c>
      <c r="C3807" s="8" t="s">
        <v>7575</v>
      </c>
      <c r="D3807" s="8"/>
      <c r="E3807" s="6"/>
      <c r="F3807" s="6"/>
    </row>
    <row r="3808" spans="1:6" x14ac:dyDescent="0.3">
      <c r="A3808" s="8" t="s">
        <v>7576</v>
      </c>
      <c r="B3808" s="8" t="s">
        <v>57412</v>
      </c>
      <c r="C3808" s="8" t="s">
        <v>7577</v>
      </c>
      <c r="D3808" s="8"/>
      <c r="E3808" s="6"/>
      <c r="F3808" s="6"/>
    </row>
    <row r="3809" spans="1:6" x14ac:dyDescent="0.3">
      <c r="A3809" s="8" t="s">
        <v>7578</v>
      </c>
      <c r="B3809" s="8" t="s">
        <v>57413</v>
      </c>
      <c r="C3809" s="8" t="s">
        <v>7579</v>
      </c>
      <c r="D3809" s="8"/>
      <c r="E3809" s="6"/>
      <c r="F3809" s="6"/>
    </row>
    <row r="3810" spans="1:6" x14ac:dyDescent="0.3">
      <c r="A3810" s="8" t="s">
        <v>7580</v>
      </c>
      <c r="B3810" s="8" t="s">
        <v>57414</v>
      </c>
      <c r="C3810" s="8" t="s">
        <v>7581</v>
      </c>
      <c r="D3810" s="8"/>
      <c r="E3810" s="6"/>
      <c r="F3810" s="6"/>
    </row>
    <row r="3811" spans="1:6" x14ac:dyDescent="0.3">
      <c r="A3811" s="8" t="s">
        <v>7582</v>
      </c>
      <c r="B3811" s="8" t="s">
        <v>57415</v>
      </c>
      <c r="C3811" s="8" t="s">
        <v>7583</v>
      </c>
      <c r="D3811" s="8"/>
      <c r="E3811" s="6"/>
      <c r="F3811" s="6"/>
    </row>
    <row r="3812" spans="1:6" x14ac:dyDescent="0.3">
      <c r="A3812" s="8" t="s">
        <v>7584</v>
      </c>
      <c r="B3812" s="8" t="s">
        <v>57416</v>
      </c>
      <c r="C3812" s="8" t="s">
        <v>7585</v>
      </c>
      <c r="D3812" s="8"/>
      <c r="E3812" s="6"/>
      <c r="F3812" s="6"/>
    </row>
    <row r="3813" spans="1:6" x14ac:dyDescent="0.3">
      <c r="A3813" s="8" t="s">
        <v>7586</v>
      </c>
      <c r="B3813" s="8" t="s">
        <v>57417</v>
      </c>
      <c r="C3813" s="8" t="s">
        <v>7587</v>
      </c>
      <c r="D3813" s="8"/>
      <c r="E3813" s="6"/>
      <c r="F3813" s="6"/>
    </row>
    <row r="3814" spans="1:6" x14ac:dyDescent="0.3">
      <c r="A3814" s="8" t="s">
        <v>7588</v>
      </c>
      <c r="B3814" s="8" t="s">
        <v>57418</v>
      </c>
      <c r="C3814" s="8" t="s">
        <v>7589</v>
      </c>
      <c r="D3814" s="8"/>
      <c r="E3814" s="6"/>
      <c r="F3814" s="6"/>
    </row>
    <row r="3815" spans="1:6" x14ac:dyDescent="0.3">
      <c r="A3815" s="8" t="s">
        <v>7590</v>
      </c>
      <c r="B3815" s="8" t="s">
        <v>57419</v>
      </c>
      <c r="C3815" s="8" t="s">
        <v>7591</v>
      </c>
      <c r="D3815" s="8"/>
      <c r="E3815" s="6"/>
      <c r="F3815" s="6"/>
    </row>
    <row r="3816" spans="1:6" x14ac:dyDescent="0.3">
      <c r="A3816" s="8" t="s">
        <v>7592</v>
      </c>
      <c r="B3816" s="8" t="s">
        <v>57420</v>
      </c>
      <c r="C3816" s="8" t="s">
        <v>7593</v>
      </c>
      <c r="D3816" s="8"/>
      <c r="E3816" s="6"/>
      <c r="F3816" s="6"/>
    </row>
    <row r="3817" spans="1:6" x14ac:dyDescent="0.3">
      <c r="A3817" s="8" t="s">
        <v>7594</v>
      </c>
      <c r="B3817" s="8" t="s">
        <v>57421</v>
      </c>
      <c r="C3817" s="8" t="s">
        <v>7595</v>
      </c>
      <c r="D3817" s="8"/>
      <c r="E3817" s="6"/>
      <c r="F3817" s="6"/>
    </row>
    <row r="3818" spans="1:6" x14ac:dyDescent="0.3">
      <c r="A3818" s="8" t="s">
        <v>7596</v>
      </c>
      <c r="B3818" s="8" t="s">
        <v>57422</v>
      </c>
      <c r="C3818" s="8" t="s">
        <v>7597</v>
      </c>
      <c r="D3818" s="8"/>
      <c r="E3818" s="6"/>
      <c r="F3818" s="6"/>
    </row>
    <row r="3819" spans="1:6" x14ac:dyDescent="0.3">
      <c r="A3819" s="8" t="s">
        <v>7598</v>
      </c>
      <c r="B3819" s="8" t="s">
        <v>57423</v>
      </c>
      <c r="C3819" s="8" t="s">
        <v>7599</v>
      </c>
      <c r="D3819" s="8"/>
      <c r="E3819" s="6"/>
      <c r="F3819" s="6"/>
    </row>
    <row r="3820" spans="1:6" x14ac:dyDescent="0.3">
      <c r="A3820" s="8" t="s">
        <v>7600</v>
      </c>
      <c r="B3820" s="8" t="s">
        <v>57424</v>
      </c>
      <c r="C3820" s="8" t="s">
        <v>7601</v>
      </c>
      <c r="D3820" s="8"/>
      <c r="E3820" s="6"/>
      <c r="F3820" s="6"/>
    </row>
    <row r="3821" spans="1:6" x14ac:dyDescent="0.3">
      <c r="A3821" s="8" t="s">
        <v>7602</v>
      </c>
      <c r="B3821" s="8" t="s">
        <v>57425</v>
      </c>
      <c r="C3821" s="8" t="s">
        <v>7603</v>
      </c>
      <c r="D3821" s="8"/>
      <c r="E3821" s="6"/>
      <c r="F3821" s="6"/>
    </row>
    <row r="3822" spans="1:6" x14ac:dyDescent="0.3">
      <c r="A3822" s="8" t="s">
        <v>7604</v>
      </c>
      <c r="B3822" s="8" t="s">
        <v>57426</v>
      </c>
      <c r="C3822" s="8" t="s">
        <v>7605</v>
      </c>
      <c r="D3822" s="8"/>
      <c r="E3822" s="6"/>
      <c r="F3822" s="6"/>
    </row>
    <row r="3823" spans="1:6" x14ac:dyDescent="0.3">
      <c r="A3823" s="8" t="s">
        <v>7606</v>
      </c>
      <c r="B3823" s="8" t="s">
        <v>57427</v>
      </c>
      <c r="C3823" s="8" t="s">
        <v>7607</v>
      </c>
      <c r="D3823" s="8"/>
      <c r="E3823" s="6"/>
      <c r="F3823" s="6"/>
    </row>
    <row r="3824" spans="1:6" x14ac:dyDescent="0.3">
      <c r="A3824" s="8" t="s">
        <v>7608</v>
      </c>
      <c r="B3824" s="8" t="s">
        <v>57428</v>
      </c>
      <c r="C3824" s="8" t="s">
        <v>7609</v>
      </c>
      <c r="D3824" s="8"/>
      <c r="E3824" s="6"/>
      <c r="F3824" s="6"/>
    </row>
    <row r="3825" spans="1:6" x14ac:dyDescent="0.3">
      <c r="A3825" s="8" t="s">
        <v>7610</v>
      </c>
      <c r="B3825" s="8" t="s">
        <v>57429</v>
      </c>
      <c r="C3825" s="8" t="s">
        <v>7611</v>
      </c>
      <c r="D3825" s="8"/>
      <c r="E3825" s="6"/>
      <c r="F3825" s="6"/>
    </row>
    <row r="3826" spans="1:6" x14ac:dyDescent="0.3">
      <c r="A3826" s="8" t="s">
        <v>7612</v>
      </c>
      <c r="B3826" s="8" t="s">
        <v>57430</v>
      </c>
      <c r="C3826" s="8" t="s">
        <v>7613</v>
      </c>
      <c r="D3826" s="8"/>
      <c r="E3826" s="6"/>
      <c r="F3826" s="6"/>
    </row>
    <row r="3827" spans="1:6" x14ac:dyDescent="0.3">
      <c r="A3827" s="8" t="s">
        <v>7614</v>
      </c>
      <c r="B3827" s="8" t="s">
        <v>57431</v>
      </c>
      <c r="C3827" s="8" t="s">
        <v>7615</v>
      </c>
      <c r="D3827" s="8"/>
      <c r="E3827" s="6"/>
      <c r="F3827" s="6"/>
    </row>
    <row r="3828" spans="1:6" x14ac:dyDescent="0.3">
      <c r="A3828" s="8" t="s">
        <v>7616</v>
      </c>
      <c r="B3828" s="8" t="s">
        <v>57432</v>
      </c>
      <c r="C3828" s="8" t="s">
        <v>7617</v>
      </c>
      <c r="D3828" s="8"/>
      <c r="E3828" s="6"/>
      <c r="F3828" s="6"/>
    </row>
    <row r="3829" spans="1:6" x14ac:dyDescent="0.3">
      <c r="A3829" s="8" t="s">
        <v>7618</v>
      </c>
      <c r="B3829" s="8" t="s">
        <v>57433</v>
      </c>
      <c r="C3829" s="8" t="s">
        <v>7619</v>
      </c>
      <c r="D3829" s="8"/>
      <c r="E3829" s="6"/>
      <c r="F3829" s="6"/>
    </row>
    <row r="3830" spans="1:6" x14ac:dyDescent="0.3">
      <c r="A3830" s="8" t="s">
        <v>7620</v>
      </c>
      <c r="B3830" s="8" t="s">
        <v>57434</v>
      </c>
      <c r="C3830" s="8" t="s">
        <v>7621</v>
      </c>
      <c r="D3830" s="8"/>
      <c r="E3830" s="6"/>
      <c r="F3830" s="6"/>
    </row>
    <row r="3831" spans="1:6" x14ac:dyDescent="0.3">
      <c r="A3831" s="8" t="s">
        <v>7622</v>
      </c>
      <c r="B3831" s="8" t="s">
        <v>57435</v>
      </c>
      <c r="C3831" s="8" t="s">
        <v>7623</v>
      </c>
      <c r="D3831" s="8"/>
      <c r="E3831" s="6"/>
      <c r="F3831" s="6"/>
    </row>
    <row r="3832" spans="1:6" x14ac:dyDescent="0.3">
      <c r="A3832" s="8" t="s">
        <v>7624</v>
      </c>
      <c r="B3832" s="8" t="s">
        <v>57436</v>
      </c>
      <c r="C3832" s="8" t="s">
        <v>7625</v>
      </c>
      <c r="D3832" s="8"/>
      <c r="E3832" s="6"/>
      <c r="F3832" s="6"/>
    </row>
    <row r="3833" spans="1:6" x14ac:dyDescent="0.3">
      <c r="A3833" s="8" t="s">
        <v>7626</v>
      </c>
      <c r="B3833" s="8" t="s">
        <v>57437</v>
      </c>
      <c r="C3833" s="8" t="s">
        <v>7627</v>
      </c>
      <c r="D3833" s="8"/>
      <c r="E3833" s="6"/>
      <c r="F3833" s="6"/>
    </row>
    <row r="3834" spans="1:6" x14ac:dyDescent="0.3">
      <c r="A3834" s="8" t="s">
        <v>7628</v>
      </c>
      <c r="B3834" s="8" t="s">
        <v>57438</v>
      </c>
      <c r="C3834" s="8" t="s">
        <v>7629</v>
      </c>
      <c r="D3834" s="8"/>
      <c r="E3834" s="6"/>
      <c r="F3834" s="6"/>
    </row>
    <row r="3835" spans="1:6" x14ac:dyDescent="0.3">
      <c r="A3835" s="8" t="s">
        <v>7630</v>
      </c>
      <c r="B3835" s="8" t="s">
        <v>57439</v>
      </c>
      <c r="C3835" s="8" t="s">
        <v>7631</v>
      </c>
      <c r="D3835" s="8"/>
      <c r="E3835" s="6"/>
      <c r="F3835" s="6"/>
    </row>
    <row r="3836" spans="1:6" x14ac:dyDescent="0.3">
      <c r="A3836" s="8" t="s">
        <v>7632</v>
      </c>
      <c r="B3836" s="8" t="s">
        <v>57440</v>
      </c>
      <c r="C3836" s="8" t="s">
        <v>7633</v>
      </c>
      <c r="D3836" s="8"/>
      <c r="E3836" s="6"/>
      <c r="F3836" s="6"/>
    </row>
    <row r="3837" spans="1:6" x14ac:dyDescent="0.3">
      <c r="A3837" s="8" t="s">
        <v>7634</v>
      </c>
      <c r="B3837" s="8" t="s">
        <v>57441</v>
      </c>
      <c r="C3837" s="8" t="s">
        <v>7635</v>
      </c>
      <c r="D3837" s="8"/>
      <c r="E3837" s="6"/>
      <c r="F3837" s="6"/>
    </row>
    <row r="3838" spans="1:6" x14ac:dyDescent="0.3">
      <c r="A3838" s="8" t="s">
        <v>7636</v>
      </c>
      <c r="B3838" s="8" t="s">
        <v>57442</v>
      </c>
      <c r="C3838" s="8" t="s">
        <v>7637</v>
      </c>
      <c r="D3838" s="8"/>
      <c r="E3838" s="6"/>
      <c r="F3838" s="6"/>
    </row>
    <row r="3839" spans="1:6" x14ac:dyDescent="0.3">
      <c r="A3839" s="8" t="s">
        <v>7638</v>
      </c>
      <c r="B3839" s="8" t="s">
        <v>57443</v>
      </c>
      <c r="C3839" s="8" t="s">
        <v>7639</v>
      </c>
      <c r="D3839" s="8"/>
      <c r="E3839" s="6"/>
      <c r="F3839" s="6"/>
    </row>
    <row r="3840" spans="1:6" x14ac:dyDescent="0.3">
      <c r="A3840" s="8" t="s">
        <v>7640</v>
      </c>
      <c r="B3840" s="8" t="s">
        <v>57444</v>
      </c>
      <c r="C3840" s="8" t="s">
        <v>7641</v>
      </c>
      <c r="D3840" s="8"/>
      <c r="E3840" s="6"/>
      <c r="F3840" s="6"/>
    </row>
    <row r="3841" spans="1:6" x14ac:dyDescent="0.3">
      <c r="A3841" s="8" t="s">
        <v>7642</v>
      </c>
      <c r="B3841" s="8" t="s">
        <v>57445</v>
      </c>
      <c r="C3841" s="8" t="s">
        <v>7643</v>
      </c>
      <c r="D3841" s="8"/>
      <c r="E3841" s="6"/>
      <c r="F3841" s="6"/>
    </row>
    <row r="3842" spans="1:6" x14ac:dyDescent="0.3">
      <c r="A3842" s="8" t="s">
        <v>7644</v>
      </c>
      <c r="B3842" s="8" t="s">
        <v>57446</v>
      </c>
      <c r="C3842" s="8" t="s">
        <v>7645</v>
      </c>
      <c r="D3842" s="8"/>
      <c r="E3842" s="6"/>
      <c r="F3842" s="6"/>
    </row>
    <row r="3843" spans="1:6" x14ac:dyDescent="0.3">
      <c r="A3843" s="8" t="s">
        <v>7646</v>
      </c>
      <c r="B3843" s="8" t="s">
        <v>57447</v>
      </c>
      <c r="C3843" s="8" t="s">
        <v>7647</v>
      </c>
      <c r="D3843" s="8"/>
      <c r="E3843" s="6"/>
      <c r="F3843" s="6"/>
    </row>
    <row r="3844" spans="1:6" x14ac:dyDescent="0.3">
      <c r="A3844" s="8" t="s">
        <v>7648</v>
      </c>
      <c r="B3844" s="8" t="s">
        <v>57448</v>
      </c>
      <c r="C3844" s="8" t="s">
        <v>7649</v>
      </c>
      <c r="D3844" s="8"/>
      <c r="E3844" s="6"/>
      <c r="F3844" s="6"/>
    </row>
    <row r="3845" spans="1:6" x14ac:dyDescent="0.3">
      <c r="A3845" s="8" t="s">
        <v>7650</v>
      </c>
      <c r="B3845" s="8" t="s">
        <v>57449</v>
      </c>
      <c r="C3845" s="8" t="s">
        <v>7651</v>
      </c>
      <c r="D3845" s="8"/>
      <c r="E3845" s="6"/>
      <c r="F3845" s="6"/>
    </row>
    <row r="3846" spans="1:6" x14ac:dyDescent="0.3">
      <c r="A3846" s="8" t="s">
        <v>7652</v>
      </c>
      <c r="B3846" s="8" t="s">
        <v>57450</v>
      </c>
      <c r="C3846" s="8" t="s">
        <v>7653</v>
      </c>
      <c r="D3846" s="8"/>
      <c r="E3846" s="6"/>
      <c r="F3846" s="6"/>
    </row>
    <row r="3847" spans="1:6" x14ac:dyDescent="0.3">
      <c r="A3847" s="8" t="s">
        <v>7654</v>
      </c>
      <c r="B3847" s="8" t="s">
        <v>57451</v>
      </c>
      <c r="C3847" s="8" t="s">
        <v>7655</v>
      </c>
      <c r="D3847" s="8"/>
      <c r="E3847" s="6"/>
      <c r="F3847" s="6"/>
    </row>
    <row r="3848" spans="1:6" x14ac:dyDescent="0.3">
      <c r="A3848" s="8" t="s">
        <v>7656</v>
      </c>
      <c r="B3848" s="8" t="s">
        <v>57452</v>
      </c>
      <c r="C3848" s="8" t="s">
        <v>7657</v>
      </c>
      <c r="D3848" s="8"/>
      <c r="E3848" s="6"/>
      <c r="F3848" s="6"/>
    </row>
    <row r="3849" spans="1:6" x14ac:dyDescent="0.3">
      <c r="A3849" s="8" t="s">
        <v>7658</v>
      </c>
      <c r="B3849" s="8" t="s">
        <v>57453</v>
      </c>
      <c r="C3849" s="8" t="s">
        <v>7659</v>
      </c>
      <c r="D3849" s="8"/>
      <c r="E3849" s="6"/>
      <c r="F3849" s="6"/>
    </row>
    <row r="3850" spans="1:6" x14ac:dyDescent="0.3">
      <c r="A3850" s="8" t="s">
        <v>7660</v>
      </c>
      <c r="B3850" s="8" t="s">
        <v>57454</v>
      </c>
      <c r="C3850" s="8" t="s">
        <v>7661</v>
      </c>
      <c r="D3850" s="8"/>
      <c r="E3850" s="6"/>
      <c r="F3850" s="6"/>
    </row>
    <row r="3851" spans="1:6" x14ac:dyDescent="0.3">
      <c r="A3851" s="8" t="s">
        <v>7662</v>
      </c>
      <c r="B3851" s="8" t="s">
        <v>57455</v>
      </c>
      <c r="C3851" s="8" t="s">
        <v>7663</v>
      </c>
      <c r="D3851" s="8"/>
      <c r="E3851" s="6"/>
      <c r="F3851" s="6"/>
    </row>
    <row r="3852" spans="1:6" x14ac:dyDescent="0.3">
      <c r="A3852" s="8" t="s">
        <v>7664</v>
      </c>
      <c r="B3852" s="8" t="s">
        <v>57456</v>
      </c>
      <c r="C3852" s="8" t="s">
        <v>7665</v>
      </c>
      <c r="D3852" s="8"/>
      <c r="E3852" s="6"/>
      <c r="F3852" s="6"/>
    </row>
    <row r="3853" spans="1:6" x14ac:dyDescent="0.3">
      <c r="A3853" s="8" t="s">
        <v>7666</v>
      </c>
      <c r="B3853" s="8" t="s">
        <v>57457</v>
      </c>
      <c r="C3853" s="8" t="s">
        <v>7667</v>
      </c>
      <c r="D3853" s="8"/>
      <c r="E3853" s="6"/>
      <c r="F3853" s="6"/>
    </row>
    <row r="3854" spans="1:6" x14ac:dyDescent="0.3">
      <c r="A3854" s="8" t="s">
        <v>7668</v>
      </c>
      <c r="B3854" s="8" t="s">
        <v>57458</v>
      </c>
      <c r="C3854" s="8" t="s">
        <v>7669</v>
      </c>
      <c r="D3854" s="8"/>
      <c r="E3854" s="6"/>
      <c r="F3854" s="6"/>
    </row>
    <row r="3855" spans="1:6" x14ac:dyDescent="0.3">
      <c r="A3855" s="8" t="s">
        <v>7670</v>
      </c>
      <c r="B3855" s="8" t="s">
        <v>57459</v>
      </c>
      <c r="C3855" s="8" t="s">
        <v>7671</v>
      </c>
      <c r="D3855" s="8"/>
      <c r="E3855" s="6"/>
      <c r="F3855" s="6"/>
    </row>
    <row r="3856" spans="1:6" x14ac:dyDescent="0.3">
      <c r="A3856" s="8" t="s">
        <v>7672</v>
      </c>
      <c r="B3856" s="8" t="s">
        <v>57460</v>
      </c>
      <c r="C3856" s="8" t="s">
        <v>7673</v>
      </c>
      <c r="D3856" s="8"/>
      <c r="E3856" s="6"/>
      <c r="F3856" s="6"/>
    </row>
    <row r="3857" spans="1:6" x14ac:dyDescent="0.3">
      <c r="A3857" s="8" t="s">
        <v>7674</v>
      </c>
      <c r="B3857" s="8" t="s">
        <v>57461</v>
      </c>
      <c r="C3857" s="8" t="s">
        <v>7675</v>
      </c>
      <c r="D3857" s="8"/>
      <c r="E3857" s="6"/>
      <c r="F3857" s="6"/>
    </row>
    <row r="3858" spans="1:6" x14ac:dyDescent="0.3">
      <c r="A3858" s="8" t="s">
        <v>7676</v>
      </c>
      <c r="B3858" s="8" t="s">
        <v>57462</v>
      </c>
      <c r="C3858" s="8" t="s">
        <v>7677</v>
      </c>
      <c r="D3858" s="8"/>
      <c r="E3858" s="6"/>
      <c r="F3858" s="6"/>
    </row>
    <row r="3859" spans="1:6" x14ac:dyDescent="0.3">
      <c r="A3859" s="8" t="s">
        <v>7678</v>
      </c>
      <c r="B3859" s="8" t="s">
        <v>57463</v>
      </c>
      <c r="C3859" s="8" t="s">
        <v>7679</v>
      </c>
      <c r="D3859" s="8"/>
      <c r="E3859" s="6"/>
      <c r="F3859" s="6"/>
    </row>
    <row r="3860" spans="1:6" x14ac:dyDescent="0.3">
      <c r="A3860" s="8" t="s">
        <v>7680</v>
      </c>
      <c r="B3860" s="8" t="s">
        <v>57464</v>
      </c>
      <c r="C3860" s="8" t="s">
        <v>7681</v>
      </c>
      <c r="D3860" s="8"/>
      <c r="E3860" s="6"/>
      <c r="F3860" s="6"/>
    </row>
    <row r="3861" spans="1:6" x14ac:dyDescent="0.3">
      <c r="A3861" s="8" t="s">
        <v>7682</v>
      </c>
      <c r="B3861" s="8" t="s">
        <v>57465</v>
      </c>
      <c r="C3861" s="8" t="s">
        <v>7683</v>
      </c>
      <c r="D3861" s="8"/>
      <c r="E3861" s="6"/>
      <c r="F3861" s="6"/>
    </row>
    <row r="3862" spans="1:6" x14ac:dyDescent="0.3">
      <c r="A3862" s="8" t="s">
        <v>7684</v>
      </c>
      <c r="B3862" s="8" t="s">
        <v>57466</v>
      </c>
      <c r="C3862" s="8" t="s">
        <v>7685</v>
      </c>
      <c r="D3862" s="8"/>
      <c r="E3862" s="6"/>
      <c r="F3862" s="6"/>
    </row>
    <row r="3863" spans="1:6" x14ac:dyDescent="0.3">
      <c r="A3863" s="8" t="s">
        <v>7686</v>
      </c>
      <c r="B3863" s="8" t="s">
        <v>57467</v>
      </c>
      <c r="C3863" s="8" t="s">
        <v>7687</v>
      </c>
      <c r="D3863" s="8"/>
      <c r="E3863" s="6"/>
      <c r="F3863" s="6"/>
    </row>
    <row r="3864" spans="1:6" x14ac:dyDescent="0.3">
      <c r="A3864" s="8" t="s">
        <v>7688</v>
      </c>
      <c r="B3864" s="8" t="s">
        <v>57468</v>
      </c>
      <c r="C3864" s="8" t="s">
        <v>7689</v>
      </c>
      <c r="D3864" s="8"/>
      <c r="E3864" s="6"/>
      <c r="F3864" s="6"/>
    </row>
    <row r="3865" spans="1:6" x14ac:dyDescent="0.3">
      <c r="A3865" s="8" t="s">
        <v>7690</v>
      </c>
      <c r="B3865" s="8" t="s">
        <v>57469</v>
      </c>
      <c r="C3865" s="8" t="s">
        <v>7691</v>
      </c>
      <c r="D3865" s="8"/>
      <c r="E3865" s="6"/>
      <c r="F3865" s="6"/>
    </row>
    <row r="3866" spans="1:6" x14ac:dyDescent="0.3">
      <c r="A3866" s="8" t="s">
        <v>7692</v>
      </c>
      <c r="B3866" s="8" t="s">
        <v>57470</v>
      </c>
      <c r="C3866" s="8" t="s">
        <v>7693</v>
      </c>
      <c r="D3866" s="8"/>
      <c r="E3866" s="6"/>
      <c r="F3866" s="6"/>
    </row>
    <row r="3867" spans="1:6" x14ac:dyDescent="0.3">
      <c r="A3867" s="8" t="s">
        <v>7694</v>
      </c>
      <c r="B3867" s="8" t="s">
        <v>57471</v>
      </c>
      <c r="C3867" s="8" t="s">
        <v>7695</v>
      </c>
      <c r="D3867" s="8"/>
      <c r="E3867" s="6"/>
      <c r="F3867" s="6"/>
    </row>
    <row r="3868" spans="1:6" x14ac:dyDescent="0.3">
      <c r="A3868" s="8" t="s">
        <v>7696</v>
      </c>
      <c r="B3868" s="8" t="s">
        <v>57472</v>
      </c>
      <c r="C3868" s="8" t="s">
        <v>7697</v>
      </c>
      <c r="D3868" s="8"/>
      <c r="E3868" s="6"/>
      <c r="F3868" s="6"/>
    </row>
    <row r="3869" spans="1:6" x14ac:dyDescent="0.3">
      <c r="A3869" s="8" t="s">
        <v>7698</v>
      </c>
      <c r="B3869" s="8" t="s">
        <v>57473</v>
      </c>
      <c r="C3869" s="8" t="s">
        <v>7699</v>
      </c>
      <c r="D3869" s="8"/>
      <c r="E3869" s="6"/>
      <c r="F3869" s="6"/>
    </row>
    <row r="3870" spans="1:6" x14ac:dyDescent="0.3">
      <c r="A3870" s="8" t="s">
        <v>7700</v>
      </c>
      <c r="B3870" s="8" t="s">
        <v>57474</v>
      </c>
      <c r="C3870" s="8" t="s">
        <v>7701</v>
      </c>
      <c r="D3870" s="8"/>
      <c r="E3870" s="6"/>
      <c r="F3870" s="6"/>
    </row>
    <row r="3871" spans="1:6" x14ac:dyDescent="0.3">
      <c r="A3871" s="8" t="s">
        <v>7702</v>
      </c>
      <c r="B3871" s="8" t="s">
        <v>57475</v>
      </c>
      <c r="C3871" s="8" t="s">
        <v>7703</v>
      </c>
      <c r="D3871" s="8"/>
      <c r="E3871" s="6"/>
      <c r="F3871" s="6"/>
    </row>
    <row r="3872" spans="1:6" x14ac:dyDescent="0.3">
      <c r="A3872" s="8" t="s">
        <v>7704</v>
      </c>
      <c r="B3872" s="8" t="s">
        <v>57476</v>
      </c>
      <c r="C3872" s="8" t="s">
        <v>7705</v>
      </c>
      <c r="D3872" s="8"/>
      <c r="E3872" s="6"/>
      <c r="F3872" s="6"/>
    </row>
    <row r="3873" spans="1:6" x14ac:dyDescent="0.3">
      <c r="A3873" s="8" t="s">
        <v>7706</v>
      </c>
      <c r="B3873" s="8" t="s">
        <v>57477</v>
      </c>
      <c r="C3873" s="8" t="s">
        <v>7707</v>
      </c>
      <c r="D3873" s="8"/>
      <c r="E3873" s="6"/>
      <c r="F3873" s="6"/>
    </row>
    <row r="3874" spans="1:6" x14ac:dyDescent="0.3">
      <c r="A3874" s="8" t="s">
        <v>7708</v>
      </c>
      <c r="B3874" s="8" t="s">
        <v>57478</v>
      </c>
      <c r="C3874" s="8" t="s">
        <v>7709</v>
      </c>
      <c r="D3874" s="8"/>
      <c r="E3874" s="6"/>
      <c r="F3874" s="6"/>
    </row>
    <row r="3875" spans="1:6" x14ac:dyDescent="0.3">
      <c r="A3875" s="8" t="s">
        <v>7710</v>
      </c>
      <c r="B3875" s="8" t="s">
        <v>57479</v>
      </c>
      <c r="C3875" s="8" t="s">
        <v>7711</v>
      </c>
      <c r="D3875" s="8"/>
      <c r="E3875" s="6"/>
      <c r="F3875" s="6"/>
    </row>
    <row r="3876" spans="1:6" x14ac:dyDescent="0.3">
      <c r="A3876" s="8" t="s">
        <v>7712</v>
      </c>
      <c r="B3876" s="8" t="s">
        <v>57480</v>
      </c>
      <c r="C3876" s="8" t="s">
        <v>7713</v>
      </c>
      <c r="D3876" s="8"/>
      <c r="E3876" s="6"/>
      <c r="F3876" s="6"/>
    </row>
    <row r="3877" spans="1:6" x14ac:dyDescent="0.3">
      <c r="A3877" s="8" t="s">
        <v>7714</v>
      </c>
      <c r="B3877" s="8" t="s">
        <v>57481</v>
      </c>
      <c r="C3877" s="8" t="s">
        <v>7715</v>
      </c>
      <c r="D3877" s="8"/>
      <c r="E3877" s="6"/>
      <c r="F3877" s="6"/>
    </row>
    <row r="3878" spans="1:6" x14ac:dyDescent="0.3">
      <c r="A3878" s="8" t="s">
        <v>7716</v>
      </c>
      <c r="B3878" s="8" t="s">
        <v>57482</v>
      </c>
      <c r="C3878" s="8" t="s">
        <v>7717</v>
      </c>
      <c r="D3878" s="8"/>
      <c r="E3878" s="6"/>
      <c r="F3878" s="6"/>
    </row>
    <row r="3879" spans="1:6" x14ac:dyDescent="0.3">
      <c r="A3879" s="8" t="s">
        <v>7718</v>
      </c>
      <c r="B3879" s="8" t="s">
        <v>57483</v>
      </c>
      <c r="C3879" s="8" t="s">
        <v>7719</v>
      </c>
      <c r="D3879" s="8"/>
      <c r="E3879" s="6"/>
      <c r="F3879" s="6"/>
    </row>
    <row r="3880" spans="1:6" x14ac:dyDescent="0.3">
      <c r="A3880" s="8" t="s">
        <v>7720</v>
      </c>
      <c r="B3880" s="8" t="s">
        <v>57484</v>
      </c>
      <c r="C3880" s="8" t="s">
        <v>7721</v>
      </c>
      <c r="D3880" s="8"/>
      <c r="E3880" s="6"/>
      <c r="F3880" s="6"/>
    </row>
    <row r="3881" spans="1:6" x14ac:dyDescent="0.3">
      <c r="A3881" s="8" t="s">
        <v>7722</v>
      </c>
      <c r="B3881" s="8" t="s">
        <v>57485</v>
      </c>
      <c r="C3881" s="8" t="s">
        <v>7723</v>
      </c>
      <c r="D3881" s="8"/>
      <c r="E3881" s="6"/>
      <c r="F3881" s="6"/>
    </row>
    <row r="3882" spans="1:6" x14ac:dyDescent="0.3">
      <c r="A3882" s="8" t="s">
        <v>7724</v>
      </c>
      <c r="B3882" s="8" t="s">
        <v>57486</v>
      </c>
      <c r="C3882" s="8" t="s">
        <v>7725</v>
      </c>
      <c r="D3882" s="8"/>
      <c r="E3882" s="6"/>
      <c r="F3882" s="6"/>
    </row>
    <row r="3883" spans="1:6" x14ac:dyDescent="0.3">
      <c r="A3883" s="8" t="s">
        <v>7726</v>
      </c>
      <c r="B3883" s="8" t="s">
        <v>57487</v>
      </c>
      <c r="C3883" s="8" t="s">
        <v>7727</v>
      </c>
      <c r="D3883" s="8"/>
      <c r="E3883" s="6"/>
      <c r="F3883" s="6"/>
    </row>
    <row r="3884" spans="1:6" x14ac:dyDescent="0.3">
      <c r="A3884" s="8" t="s">
        <v>7728</v>
      </c>
      <c r="B3884" s="8" t="s">
        <v>57488</v>
      </c>
      <c r="C3884" s="8" t="s">
        <v>7729</v>
      </c>
      <c r="D3884" s="8"/>
      <c r="E3884" s="6"/>
      <c r="F3884" s="6"/>
    </row>
    <row r="3885" spans="1:6" x14ac:dyDescent="0.3">
      <c r="A3885" s="8" t="s">
        <v>7730</v>
      </c>
      <c r="B3885" s="8" t="s">
        <v>57489</v>
      </c>
      <c r="C3885" s="8" t="s">
        <v>7731</v>
      </c>
      <c r="D3885" s="8"/>
      <c r="E3885" s="6"/>
      <c r="F3885" s="6"/>
    </row>
    <row r="3886" spans="1:6" x14ac:dyDescent="0.3">
      <c r="A3886" s="8" t="s">
        <v>7732</v>
      </c>
      <c r="B3886" s="8" t="s">
        <v>57490</v>
      </c>
      <c r="C3886" s="8" t="s">
        <v>7733</v>
      </c>
      <c r="D3886" s="8"/>
      <c r="E3886" s="6"/>
      <c r="F3886" s="6"/>
    </row>
    <row r="3887" spans="1:6" x14ac:dyDescent="0.3">
      <c r="A3887" s="8" t="s">
        <v>7734</v>
      </c>
      <c r="B3887" s="8" t="s">
        <v>57491</v>
      </c>
      <c r="C3887" s="8" t="s">
        <v>7735</v>
      </c>
      <c r="D3887" s="8"/>
      <c r="E3887" s="6"/>
      <c r="F3887" s="6"/>
    </row>
    <row r="3888" spans="1:6" x14ac:dyDescent="0.3">
      <c r="A3888" s="8" t="s">
        <v>7736</v>
      </c>
      <c r="B3888" s="8" t="s">
        <v>57492</v>
      </c>
      <c r="C3888" s="8" t="s">
        <v>7737</v>
      </c>
      <c r="D3888" s="8"/>
      <c r="E3888" s="6"/>
      <c r="F3888" s="6"/>
    </row>
    <row r="3889" spans="1:6" x14ac:dyDescent="0.3">
      <c r="A3889" s="8" t="s">
        <v>7738</v>
      </c>
      <c r="B3889" s="8" t="s">
        <v>57493</v>
      </c>
      <c r="C3889" s="8" t="s">
        <v>7739</v>
      </c>
      <c r="D3889" s="8"/>
      <c r="E3889" s="6"/>
      <c r="F3889" s="6"/>
    </row>
    <row r="3890" spans="1:6" x14ac:dyDescent="0.3">
      <c r="A3890" s="8" t="s">
        <v>7740</v>
      </c>
      <c r="B3890" s="8" t="s">
        <v>57494</v>
      </c>
      <c r="C3890" s="8" t="s">
        <v>7741</v>
      </c>
      <c r="D3890" s="8"/>
      <c r="E3890" s="6"/>
      <c r="F3890" s="6"/>
    </row>
    <row r="3891" spans="1:6" x14ac:dyDescent="0.3">
      <c r="A3891" s="8" t="s">
        <v>7742</v>
      </c>
      <c r="B3891" s="8" t="s">
        <v>57495</v>
      </c>
      <c r="C3891" s="8" t="s">
        <v>7743</v>
      </c>
      <c r="D3891" s="8"/>
      <c r="E3891" s="6"/>
      <c r="F3891" s="6"/>
    </row>
    <row r="3892" spans="1:6" x14ac:dyDescent="0.3">
      <c r="A3892" s="8" t="s">
        <v>7744</v>
      </c>
      <c r="B3892" s="8" t="s">
        <v>57496</v>
      </c>
      <c r="C3892" s="8" t="s">
        <v>7745</v>
      </c>
      <c r="D3892" s="8"/>
      <c r="E3892" s="6"/>
      <c r="F3892" s="6"/>
    </row>
    <row r="3893" spans="1:6" x14ac:dyDescent="0.3">
      <c r="A3893" s="8" t="s">
        <v>7746</v>
      </c>
      <c r="B3893" s="8" t="s">
        <v>57497</v>
      </c>
      <c r="C3893" s="8" t="s">
        <v>7747</v>
      </c>
      <c r="D3893" s="8"/>
      <c r="E3893" s="6"/>
      <c r="F3893" s="6"/>
    </row>
    <row r="3894" spans="1:6" x14ac:dyDescent="0.3">
      <c r="A3894" s="8" t="s">
        <v>7748</v>
      </c>
      <c r="B3894" s="8" t="s">
        <v>57498</v>
      </c>
      <c r="C3894" s="8" t="s">
        <v>7749</v>
      </c>
      <c r="D3894" s="8"/>
      <c r="E3894" s="6"/>
      <c r="F3894" s="6"/>
    </row>
    <row r="3895" spans="1:6" x14ac:dyDescent="0.3">
      <c r="A3895" s="8" t="s">
        <v>7750</v>
      </c>
      <c r="B3895" s="8" t="s">
        <v>57499</v>
      </c>
      <c r="C3895" s="8" t="s">
        <v>7751</v>
      </c>
      <c r="D3895" s="8"/>
      <c r="E3895" s="6"/>
      <c r="F3895" s="6"/>
    </row>
    <row r="3896" spans="1:6" x14ac:dyDescent="0.3">
      <c r="A3896" s="8" t="s">
        <v>7752</v>
      </c>
      <c r="B3896" s="8" t="s">
        <v>57500</v>
      </c>
      <c r="C3896" s="8" t="s">
        <v>7753</v>
      </c>
      <c r="D3896" s="8"/>
      <c r="E3896" s="6"/>
      <c r="F3896" s="6"/>
    </row>
    <row r="3897" spans="1:6" x14ac:dyDescent="0.3">
      <c r="A3897" s="8" t="s">
        <v>7754</v>
      </c>
      <c r="B3897" s="8" t="s">
        <v>57501</v>
      </c>
      <c r="C3897" s="8" t="s">
        <v>7755</v>
      </c>
      <c r="D3897" s="8"/>
      <c r="E3897" s="6"/>
      <c r="F3897" s="6"/>
    </row>
    <row r="3898" spans="1:6" x14ac:dyDescent="0.3">
      <c r="A3898" s="8" t="s">
        <v>7756</v>
      </c>
      <c r="B3898" s="8" t="s">
        <v>57502</v>
      </c>
      <c r="C3898" s="8" t="s">
        <v>7757</v>
      </c>
      <c r="D3898" s="8"/>
      <c r="E3898" s="6"/>
      <c r="F3898" s="6"/>
    </row>
    <row r="3899" spans="1:6" x14ac:dyDescent="0.3">
      <c r="A3899" s="8" t="s">
        <v>7758</v>
      </c>
      <c r="B3899" s="8" t="s">
        <v>57503</v>
      </c>
      <c r="C3899" s="8" t="s">
        <v>7759</v>
      </c>
      <c r="D3899" s="8"/>
      <c r="E3899" s="6"/>
      <c r="F3899" s="6"/>
    </row>
    <row r="3900" spans="1:6" x14ac:dyDescent="0.3">
      <c r="A3900" s="8" t="s">
        <v>7760</v>
      </c>
      <c r="B3900" s="8" t="s">
        <v>57504</v>
      </c>
      <c r="C3900" s="8" t="s">
        <v>7761</v>
      </c>
      <c r="D3900" s="8"/>
      <c r="E3900" s="6"/>
      <c r="F3900" s="6"/>
    </row>
    <row r="3901" spans="1:6" x14ac:dyDescent="0.3">
      <c r="A3901" s="8" t="s">
        <v>7762</v>
      </c>
      <c r="B3901" s="8" t="s">
        <v>57505</v>
      </c>
      <c r="C3901" s="8" t="s">
        <v>7763</v>
      </c>
      <c r="D3901" s="8"/>
      <c r="E3901" s="6"/>
      <c r="F3901" s="6"/>
    </row>
    <row r="3902" spans="1:6" x14ac:dyDescent="0.3">
      <c r="A3902" s="8" t="s">
        <v>7764</v>
      </c>
      <c r="B3902" s="8" t="s">
        <v>57506</v>
      </c>
      <c r="C3902" s="8" t="s">
        <v>7765</v>
      </c>
      <c r="D3902" s="8"/>
      <c r="E3902" s="6"/>
      <c r="F3902" s="6"/>
    </row>
    <row r="3903" spans="1:6" x14ac:dyDescent="0.3">
      <c r="A3903" s="8" t="s">
        <v>7766</v>
      </c>
      <c r="B3903" s="8" t="s">
        <v>57507</v>
      </c>
      <c r="C3903" s="8" t="s">
        <v>7767</v>
      </c>
      <c r="D3903" s="8"/>
      <c r="E3903" s="6"/>
      <c r="F3903" s="6"/>
    </row>
    <row r="3904" spans="1:6" x14ac:dyDescent="0.3">
      <c r="A3904" s="8" t="s">
        <v>7768</v>
      </c>
      <c r="B3904" s="8" t="s">
        <v>57508</v>
      </c>
      <c r="C3904" s="8" t="s">
        <v>7769</v>
      </c>
      <c r="D3904" s="8"/>
      <c r="E3904" s="6"/>
      <c r="F3904" s="6"/>
    </row>
    <row r="3905" spans="1:6" x14ac:dyDescent="0.3">
      <c r="A3905" s="8" t="s">
        <v>7770</v>
      </c>
      <c r="B3905" s="8" t="s">
        <v>57509</v>
      </c>
      <c r="C3905" s="8" t="s">
        <v>7771</v>
      </c>
      <c r="D3905" s="8"/>
      <c r="E3905" s="6"/>
      <c r="F3905" s="6"/>
    </row>
    <row r="3906" spans="1:6" x14ac:dyDescent="0.3">
      <c r="A3906" s="8" t="s">
        <v>7772</v>
      </c>
      <c r="B3906" s="8" t="s">
        <v>57510</v>
      </c>
      <c r="C3906" s="8" t="s">
        <v>7773</v>
      </c>
      <c r="D3906" s="8"/>
      <c r="E3906" s="6"/>
      <c r="F3906" s="6"/>
    </row>
    <row r="3907" spans="1:6" x14ac:dyDescent="0.3">
      <c r="A3907" s="8" t="s">
        <v>7774</v>
      </c>
      <c r="B3907" s="8" t="s">
        <v>57511</v>
      </c>
      <c r="C3907" s="8" t="s">
        <v>7775</v>
      </c>
      <c r="D3907" s="8"/>
      <c r="E3907" s="6"/>
      <c r="F3907" s="6"/>
    </row>
    <row r="3908" spans="1:6" x14ac:dyDescent="0.3">
      <c r="A3908" s="8" t="s">
        <v>7776</v>
      </c>
      <c r="B3908" s="8" t="s">
        <v>57512</v>
      </c>
      <c r="C3908" s="8" t="s">
        <v>7777</v>
      </c>
      <c r="D3908" s="8"/>
      <c r="E3908" s="6"/>
      <c r="F3908" s="6"/>
    </row>
    <row r="3909" spans="1:6" x14ac:dyDescent="0.3">
      <c r="A3909" s="8" t="s">
        <v>7778</v>
      </c>
      <c r="B3909" s="8" t="s">
        <v>57513</v>
      </c>
      <c r="C3909" s="8" t="s">
        <v>7779</v>
      </c>
      <c r="D3909" s="8"/>
      <c r="E3909" s="6"/>
      <c r="F3909" s="6"/>
    </row>
    <row r="3910" spans="1:6" x14ac:dyDescent="0.3">
      <c r="A3910" s="8" t="s">
        <v>7780</v>
      </c>
      <c r="B3910" s="8" t="s">
        <v>57514</v>
      </c>
      <c r="C3910" s="8" t="s">
        <v>7781</v>
      </c>
      <c r="D3910" s="8"/>
      <c r="E3910" s="6"/>
      <c r="F3910" s="6"/>
    </row>
    <row r="3911" spans="1:6" x14ac:dyDescent="0.3">
      <c r="A3911" s="8" t="s">
        <v>7782</v>
      </c>
      <c r="B3911" s="8" t="s">
        <v>57515</v>
      </c>
      <c r="C3911" s="8" t="s">
        <v>7783</v>
      </c>
      <c r="D3911" s="8"/>
      <c r="E3911" s="6"/>
      <c r="F3911" s="6"/>
    </row>
    <row r="3912" spans="1:6" x14ac:dyDescent="0.3">
      <c r="A3912" s="8" t="s">
        <v>7784</v>
      </c>
      <c r="B3912" s="8" t="s">
        <v>57516</v>
      </c>
      <c r="C3912" s="8" t="s">
        <v>7785</v>
      </c>
      <c r="D3912" s="8"/>
      <c r="E3912" s="6"/>
      <c r="F3912" s="6"/>
    </row>
    <row r="3913" spans="1:6" x14ac:dyDescent="0.3">
      <c r="A3913" s="8" t="s">
        <v>7786</v>
      </c>
      <c r="B3913" s="8" t="s">
        <v>57517</v>
      </c>
      <c r="C3913" s="8" t="s">
        <v>7787</v>
      </c>
      <c r="D3913" s="8"/>
      <c r="E3913" s="6"/>
      <c r="F3913" s="6"/>
    </row>
    <row r="3914" spans="1:6" x14ac:dyDescent="0.3">
      <c r="A3914" s="8" t="s">
        <v>7788</v>
      </c>
      <c r="B3914" s="8" t="s">
        <v>57518</v>
      </c>
      <c r="C3914" s="8" t="s">
        <v>7789</v>
      </c>
      <c r="D3914" s="8"/>
      <c r="E3914" s="6"/>
      <c r="F3914" s="6"/>
    </row>
    <row r="3915" spans="1:6" x14ac:dyDescent="0.3">
      <c r="A3915" s="8" t="s">
        <v>7790</v>
      </c>
      <c r="B3915" s="8" t="s">
        <v>57519</v>
      </c>
      <c r="C3915" s="8" t="s">
        <v>7791</v>
      </c>
      <c r="D3915" s="8"/>
      <c r="E3915" s="6"/>
      <c r="F3915" s="6"/>
    </row>
    <row r="3916" spans="1:6" x14ac:dyDescent="0.3">
      <c r="A3916" s="8" t="s">
        <v>7792</v>
      </c>
      <c r="B3916" s="8" t="s">
        <v>57520</v>
      </c>
      <c r="C3916" s="8" t="s">
        <v>7793</v>
      </c>
      <c r="D3916" s="8"/>
      <c r="E3916" s="6"/>
      <c r="F3916" s="6"/>
    </row>
    <row r="3917" spans="1:6" x14ac:dyDescent="0.3">
      <c r="A3917" s="8" t="s">
        <v>7794</v>
      </c>
      <c r="B3917" s="8" t="s">
        <v>57521</v>
      </c>
      <c r="C3917" s="8" t="s">
        <v>7795</v>
      </c>
      <c r="D3917" s="8"/>
      <c r="E3917" s="6"/>
      <c r="F3917" s="6"/>
    </row>
    <row r="3918" spans="1:6" x14ac:dyDescent="0.3">
      <c r="A3918" s="8" t="s">
        <v>7796</v>
      </c>
      <c r="B3918" s="8" t="s">
        <v>57522</v>
      </c>
      <c r="C3918" s="8" t="s">
        <v>7797</v>
      </c>
      <c r="D3918" s="8"/>
      <c r="E3918" s="6"/>
      <c r="F3918" s="6"/>
    </row>
    <row r="3919" spans="1:6" x14ac:dyDescent="0.3">
      <c r="A3919" s="8" t="s">
        <v>7798</v>
      </c>
      <c r="B3919" s="8" t="s">
        <v>57523</v>
      </c>
      <c r="C3919" s="8" t="s">
        <v>7799</v>
      </c>
      <c r="D3919" s="8"/>
      <c r="E3919" s="6"/>
      <c r="F3919" s="6"/>
    </row>
    <row r="3920" spans="1:6" x14ac:dyDescent="0.3">
      <c r="A3920" s="8" t="s">
        <v>7800</v>
      </c>
      <c r="B3920" s="8" t="s">
        <v>57524</v>
      </c>
      <c r="C3920" s="8" t="s">
        <v>7801</v>
      </c>
      <c r="D3920" s="8"/>
      <c r="E3920" s="6"/>
      <c r="F3920" s="6"/>
    </row>
    <row r="3921" spans="1:6" x14ac:dyDescent="0.3">
      <c r="A3921" s="8" t="s">
        <v>7802</v>
      </c>
      <c r="B3921" s="8" t="s">
        <v>57525</v>
      </c>
      <c r="C3921" s="8" t="s">
        <v>7803</v>
      </c>
      <c r="D3921" s="8"/>
      <c r="E3921" s="6"/>
      <c r="F3921" s="6"/>
    </row>
    <row r="3922" spans="1:6" x14ac:dyDescent="0.3">
      <c r="A3922" s="8" t="s">
        <v>7804</v>
      </c>
      <c r="B3922" s="8" t="s">
        <v>57526</v>
      </c>
      <c r="C3922" s="8" t="s">
        <v>7805</v>
      </c>
      <c r="D3922" s="8"/>
      <c r="E3922" s="6"/>
      <c r="F3922" s="6"/>
    </row>
    <row r="3923" spans="1:6" x14ac:dyDescent="0.3">
      <c r="A3923" s="8" t="s">
        <v>7806</v>
      </c>
      <c r="B3923" s="8" t="s">
        <v>57527</v>
      </c>
      <c r="C3923" s="8" t="s">
        <v>7807</v>
      </c>
      <c r="D3923" s="8"/>
      <c r="E3923" s="6"/>
      <c r="F3923" s="6"/>
    </row>
    <row r="3924" spans="1:6" x14ac:dyDescent="0.3">
      <c r="A3924" s="8" t="s">
        <v>7808</v>
      </c>
      <c r="B3924" s="8" t="s">
        <v>57528</v>
      </c>
      <c r="C3924" s="8" t="s">
        <v>7809</v>
      </c>
      <c r="D3924" s="8"/>
      <c r="E3924" s="6"/>
      <c r="F3924" s="6"/>
    </row>
    <row r="3925" spans="1:6" x14ac:dyDescent="0.3">
      <c r="A3925" s="8" t="s">
        <v>7810</v>
      </c>
      <c r="B3925" s="8" t="s">
        <v>57529</v>
      </c>
      <c r="C3925" s="8" t="s">
        <v>7811</v>
      </c>
      <c r="D3925" s="8"/>
      <c r="E3925" s="6"/>
      <c r="F3925" s="6"/>
    </row>
    <row r="3926" spans="1:6" x14ac:dyDescent="0.3">
      <c r="A3926" s="8" t="s">
        <v>7812</v>
      </c>
      <c r="B3926" s="8" t="s">
        <v>57530</v>
      </c>
      <c r="C3926" s="8" t="s">
        <v>7813</v>
      </c>
      <c r="D3926" s="8"/>
      <c r="E3926" s="6"/>
      <c r="F3926" s="6"/>
    </row>
    <row r="3927" spans="1:6" x14ac:dyDescent="0.3">
      <c r="A3927" s="8" t="s">
        <v>7814</v>
      </c>
      <c r="B3927" s="8" t="s">
        <v>57531</v>
      </c>
      <c r="C3927" s="8" t="s">
        <v>7815</v>
      </c>
      <c r="D3927" s="8"/>
      <c r="E3927" s="6"/>
      <c r="F3927" s="6"/>
    </row>
    <row r="3928" spans="1:6" x14ac:dyDescent="0.3">
      <c r="A3928" s="8" t="s">
        <v>7816</v>
      </c>
      <c r="B3928" s="8" t="s">
        <v>57532</v>
      </c>
      <c r="C3928" s="8" t="s">
        <v>7817</v>
      </c>
      <c r="D3928" s="8"/>
      <c r="E3928" s="6"/>
      <c r="F3928" s="6"/>
    </row>
    <row r="3929" spans="1:6" x14ac:dyDescent="0.3">
      <c r="A3929" s="8" t="s">
        <v>7818</v>
      </c>
      <c r="B3929" s="8" t="s">
        <v>57533</v>
      </c>
      <c r="C3929" s="8" t="s">
        <v>7819</v>
      </c>
      <c r="D3929" s="8"/>
      <c r="E3929" s="6"/>
      <c r="F3929" s="6"/>
    </row>
    <row r="3930" spans="1:6" x14ac:dyDescent="0.3">
      <c r="A3930" s="8" t="s">
        <v>7820</v>
      </c>
      <c r="B3930" s="8" t="s">
        <v>57534</v>
      </c>
      <c r="C3930" s="8" t="s">
        <v>7821</v>
      </c>
      <c r="D3930" s="8"/>
      <c r="E3930" s="6"/>
      <c r="F3930" s="6"/>
    </row>
    <row r="3931" spans="1:6" x14ac:dyDescent="0.3">
      <c r="A3931" s="8" t="s">
        <v>7822</v>
      </c>
      <c r="B3931" s="8" t="s">
        <v>57535</v>
      </c>
      <c r="C3931" s="8" t="s">
        <v>7823</v>
      </c>
      <c r="D3931" s="8"/>
      <c r="E3931" s="6"/>
      <c r="F3931" s="6"/>
    </row>
    <row r="3932" spans="1:6" x14ac:dyDescent="0.3">
      <c r="A3932" s="8" t="s">
        <v>7824</v>
      </c>
      <c r="B3932" s="8" t="s">
        <v>57536</v>
      </c>
      <c r="C3932" s="8" t="s">
        <v>7825</v>
      </c>
      <c r="D3932" s="8"/>
      <c r="E3932" s="6"/>
      <c r="F3932" s="6"/>
    </row>
    <row r="3933" spans="1:6" x14ac:dyDescent="0.3">
      <c r="A3933" s="8" t="s">
        <v>7826</v>
      </c>
      <c r="B3933" s="8" t="s">
        <v>57537</v>
      </c>
      <c r="C3933" s="8" t="s">
        <v>7827</v>
      </c>
      <c r="D3933" s="8"/>
      <c r="E3933" s="6"/>
      <c r="F3933" s="6"/>
    </row>
    <row r="3934" spans="1:6" x14ac:dyDescent="0.3">
      <c r="A3934" s="8" t="s">
        <v>7828</v>
      </c>
      <c r="B3934" s="8" t="s">
        <v>57538</v>
      </c>
      <c r="C3934" s="8" t="s">
        <v>7829</v>
      </c>
      <c r="D3934" s="8"/>
      <c r="E3934" s="6"/>
      <c r="F3934" s="6"/>
    </row>
    <row r="3935" spans="1:6" x14ac:dyDescent="0.3">
      <c r="A3935" s="8" t="s">
        <v>7830</v>
      </c>
      <c r="B3935" s="8" t="s">
        <v>57539</v>
      </c>
      <c r="C3935" s="8" t="s">
        <v>7831</v>
      </c>
      <c r="D3935" s="8"/>
      <c r="E3935" s="6"/>
      <c r="F3935" s="6"/>
    </row>
    <row r="3936" spans="1:6" x14ac:dyDescent="0.3">
      <c r="A3936" s="8" t="s">
        <v>7832</v>
      </c>
      <c r="B3936" s="8" t="s">
        <v>57540</v>
      </c>
      <c r="C3936" s="8" t="s">
        <v>7833</v>
      </c>
      <c r="D3936" s="8"/>
      <c r="E3936" s="6"/>
      <c r="F3936" s="6"/>
    </row>
    <row r="3937" spans="1:6" x14ac:dyDescent="0.3">
      <c r="A3937" s="8" t="s">
        <v>7834</v>
      </c>
      <c r="B3937" s="8" t="s">
        <v>57541</v>
      </c>
      <c r="C3937" s="8" t="s">
        <v>7835</v>
      </c>
      <c r="D3937" s="8"/>
      <c r="E3937" s="6"/>
      <c r="F3937" s="6"/>
    </row>
    <row r="3938" spans="1:6" x14ac:dyDescent="0.3">
      <c r="A3938" s="8" t="s">
        <v>7836</v>
      </c>
      <c r="B3938" s="8" t="s">
        <v>57542</v>
      </c>
      <c r="C3938" s="8" t="s">
        <v>7837</v>
      </c>
      <c r="D3938" s="8"/>
      <c r="E3938" s="6"/>
      <c r="F3938" s="6"/>
    </row>
    <row r="3939" spans="1:6" x14ac:dyDescent="0.3">
      <c r="A3939" s="8" t="s">
        <v>7838</v>
      </c>
      <c r="B3939" s="8" t="s">
        <v>57543</v>
      </c>
      <c r="C3939" s="8" t="s">
        <v>7839</v>
      </c>
      <c r="D3939" s="8"/>
      <c r="E3939" s="6"/>
      <c r="F3939" s="6"/>
    </row>
    <row r="3940" spans="1:6" x14ac:dyDescent="0.3">
      <c r="A3940" s="8" t="s">
        <v>7840</v>
      </c>
      <c r="B3940" s="8" t="s">
        <v>57544</v>
      </c>
      <c r="C3940" s="8" t="s">
        <v>7841</v>
      </c>
      <c r="D3940" s="8"/>
      <c r="E3940" s="6"/>
      <c r="F3940" s="6"/>
    </row>
    <row r="3941" spans="1:6" x14ac:dyDescent="0.3">
      <c r="A3941" s="8" t="s">
        <v>7842</v>
      </c>
      <c r="B3941" s="8" t="s">
        <v>57545</v>
      </c>
      <c r="C3941" s="8" t="s">
        <v>7843</v>
      </c>
      <c r="D3941" s="8"/>
      <c r="E3941" s="6"/>
      <c r="F3941" s="6"/>
    </row>
    <row r="3942" spans="1:6" x14ac:dyDescent="0.3">
      <c r="A3942" s="8" t="s">
        <v>7844</v>
      </c>
      <c r="B3942" s="8" t="s">
        <v>57546</v>
      </c>
      <c r="C3942" s="8" t="s">
        <v>7845</v>
      </c>
      <c r="D3942" s="8"/>
      <c r="E3942" s="6"/>
      <c r="F3942" s="6"/>
    </row>
    <row r="3943" spans="1:6" x14ac:dyDescent="0.3">
      <c r="A3943" s="8" t="s">
        <v>7846</v>
      </c>
      <c r="B3943" s="8" t="s">
        <v>57547</v>
      </c>
      <c r="C3943" s="8" t="s">
        <v>7847</v>
      </c>
      <c r="D3943" s="8"/>
      <c r="E3943" s="6"/>
      <c r="F3943" s="6"/>
    </row>
    <row r="3944" spans="1:6" x14ac:dyDescent="0.3">
      <c r="A3944" s="8" t="s">
        <v>7848</v>
      </c>
      <c r="B3944" s="8" t="s">
        <v>57548</v>
      </c>
      <c r="C3944" s="8" t="s">
        <v>7849</v>
      </c>
      <c r="D3944" s="8"/>
      <c r="E3944" s="6"/>
      <c r="F3944" s="6"/>
    </row>
    <row r="3945" spans="1:6" x14ac:dyDescent="0.3">
      <c r="A3945" s="8" t="s">
        <v>7850</v>
      </c>
      <c r="B3945" s="8" t="s">
        <v>57549</v>
      </c>
      <c r="C3945" s="8" t="s">
        <v>7851</v>
      </c>
      <c r="D3945" s="8"/>
      <c r="E3945" s="6"/>
      <c r="F3945" s="6"/>
    </row>
    <row r="3946" spans="1:6" x14ac:dyDescent="0.3">
      <c r="A3946" s="8" t="s">
        <v>7852</v>
      </c>
      <c r="B3946" s="8" t="s">
        <v>57550</v>
      </c>
      <c r="C3946" s="8" t="s">
        <v>7853</v>
      </c>
      <c r="D3946" s="8"/>
      <c r="E3946" s="6"/>
      <c r="F3946" s="6"/>
    </row>
    <row r="3947" spans="1:6" x14ac:dyDescent="0.3">
      <c r="A3947" s="8" t="s">
        <v>7854</v>
      </c>
      <c r="B3947" s="8" t="s">
        <v>57551</v>
      </c>
      <c r="C3947" s="8" t="s">
        <v>7855</v>
      </c>
      <c r="D3947" s="8"/>
      <c r="E3947" s="6"/>
      <c r="F3947" s="6"/>
    </row>
    <row r="3948" spans="1:6" x14ac:dyDescent="0.3">
      <c r="A3948" s="8" t="s">
        <v>7856</v>
      </c>
      <c r="B3948" s="8" t="s">
        <v>57552</v>
      </c>
      <c r="C3948" s="8" t="s">
        <v>7857</v>
      </c>
      <c r="D3948" s="8"/>
      <c r="E3948" s="6"/>
      <c r="F3948" s="6"/>
    </row>
    <row r="3949" spans="1:6" x14ac:dyDescent="0.3">
      <c r="A3949" s="8" t="s">
        <v>7858</v>
      </c>
      <c r="B3949" s="8" t="s">
        <v>57553</v>
      </c>
      <c r="C3949" s="8" t="s">
        <v>7859</v>
      </c>
      <c r="D3949" s="8"/>
      <c r="E3949" s="6"/>
      <c r="F3949" s="6"/>
    </row>
    <row r="3950" spans="1:6" x14ac:dyDescent="0.3">
      <c r="A3950" s="8" t="s">
        <v>7860</v>
      </c>
      <c r="B3950" s="8" t="s">
        <v>57554</v>
      </c>
      <c r="C3950" s="8" t="s">
        <v>7861</v>
      </c>
      <c r="D3950" s="8"/>
      <c r="E3950" s="6"/>
      <c r="F3950" s="6"/>
    </row>
    <row r="3951" spans="1:6" x14ac:dyDescent="0.3">
      <c r="A3951" s="8" t="s">
        <v>7862</v>
      </c>
      <c r="B3951" s="8" t="s">
        <v>57555</v>
      </c>
      <c r="C3951" s="8" t="s">
        <v>7863</v>
      </c>
      <c r="D3951" s="8"/>
      <c r="E3951" s="6"/>
      <c r="F3951" s="6"/>
    </row>
    <row r="3952" spans="1:6" x14ac:dyDescent="0.3">
      <c r="A3952" s="8" t="s">
        <v>7864</v>
      </c>
      <c r="B3952" s="8" t="s">
        <v>57556</v>
      </c>
      <c r="C3952" s="8" t="s">
        <v>7865</v>
      </c>
      <c r="D3952" s="8"/>
      <c r="E3952" s="6"/>
      <c r="F3952" s="6"/>
    </row>
    <row r="3953" spans="1:6" x14ac:dyDescent="0.3">
      <c r="A3953" s="8" t="s">
        <v>7866</v>
      </c>
      <c r="B3953" s="8" t="s">
        <v>57557</v>
      </c>
      <c r="C3953" s="8" t="s">
        <v>7867</v>
      </c>
      <c r="D3953" s="8"/>
      <c r="E3953" s="6"/>
      <c r="F3953" s="6"/>
    </row>
    <row r="3954" spans="1:6" x14ac:dyDescent="0.3">
      <c r="A3954" s="8" t="s">
        <v>7868</v>
      </c>
      <c r="B3954" s="8" t="s">
        <v>57558</v>
      </c>
      <c r="C3954" s="8" t="s">
        <v>7869</v>
      </c>
      <c r="D3954" s="8"/>
      <c r="E3954" s="6"/>
      <c r="F3954" s="6"/>
    </row>
    <row r="3955" spans="1:6" x14ac:dyDescent="0.3">
      <c r="A3955" s="8" t="s">
        <v>7870</v>
      </c>
      <c r="B3955" s="8" t="s">
        <v>57559</v>
      </c>
      <c r="C3955" s="8" t="s">
        <v>7871</v>
      </c>
      <c r="D3955" s="8"/>
      <c r="E3955" s="6"/>
      <c r="F3955" s="6"/>
    </row>
    <row r="3956" spans="1:6" x14ac:dyDescent="0.3">
      <c r="A3956" s="8" t="s">
        <v>7872</v>
      </c>
      <c r="B3956" s="8" t="s">
        <v>57560</v>
      </c>
      <c r="C3956" s="8" t="s">
        <v>7873</v>
      </c>
      <c r="D3956" s="8"/>
      <c r="E3956" s="6"/>
      <c r="F3956" s="6"/>
    </row>
    <row r="3957" spans="1:6" x14ac:dyDescent="0.3">
      <c r="A3957" s="8" t="s">
        <v>7874</v>
      </c>
      <c r="B3957" s="8" t="s">
        <v>57561</v>
      </c>
      <c r="C3957" s="8" t="s">
        <v>7875</v>
      </c>
      <c r="D3957" s="8"/>
      <c r="E3957" s="6"/>
      <c r="F3957" s="6"/>
    </row>
    <row r="3958" spans="1:6" x14ac:dyDescent="0.3">
      <c r="A3958" s="8" t="s">
        <v>7876</v>
      </c>
      <c r="B3958" s="8" t="s">
        <v>57562</v>
      </c>
      <c r="C3958" s="8" t="s">
        <v>7877</v>
      </c>
      <c r="D3958" s="8"/>
      <c r="E3958" s="6"/>
      <c r="F3958" s="6"/>
    </row>
    <row r="3959" spans="1:6" x14ac:dyDescent="0.3">
      <c r="A3959" s="8" t="s">
        <v>7878</v>
      </c>
      <c r="B3959" s="8" t="s">
        <v>57563</v>
      </c>
      <c r="C3959" s="8" t="s">
        <v>7879</v>
      </c>
      <c r="D3959" s="8"/>
      <c r="E3959" s="6"/>
      <c r="F3959" s="6"/>
    </row>
    <row r="3960" spans="1:6" x14ac:dyDescent="0.3">
      <c r="A3960" s="8" t="s">
        <v>7880</v>
      </c>
      <c r="B3960" s="8" t="s">
        <v>57564</v>
      </c>
      <c r="C3960" s="8" t="s">
        <v>7881</v>
      </c>
      <c r="D3960" s="8"/>
      <c r="E3960" s="6"/>
      <c r="F3960" s="6"/>
    </row>
    <row r="3961" spans="1:6" x14ac:dyDescent="0.3">
      <c r="A3961" s="8" t="s">
        <v>7882</v>
      </c>
      <c r="B3961" s="8" t="s">
        <v>57565</v>
      </c>
      <c r="C3961" s="8" t="s">
        <v>7883</v>
      </c>
      <c r="D3961" s="8"/>
      <c r="E3961" s="6"/>
      <c r="F3961" s="6"/>
    </row>
    <row r="3962" spans="1:6" x14ac:dyDescent="0.3">
      <c r="A3962" s="8" t="s">
        <v>7884</v>
      </c>
      <c r="B3962" s="8" t="s">
        <v>57566</v>
      </c>
      <c r="C3962" s="8" t="s">
        <v>7885</v>
      </c>
      <c r="D3962" s="8"/>
      <c r="E3962" s="6"/>
      <c r="F3962" s="6"/>
    </row>
    <row r="3963" spans="1:6" x14ac:dyDescent="0.3">
      <c r="A3963" s="8" t="s">
        <v>7886</v>
      </c>
      <c r="B3963" s="8" t="s">
        <v>57567</v>
      </c>
      <c r="C3963" s="8" t="s">
        <v>7887</v>
      </c>
      <c r="D3963" s="8"/>
      <c r="E3963" s="6"/>
      <c r="F3963" s="6"/>
    </row>
    <row r="3964" spans="1:6" x14ac:dyDescent="0.3">
      <c r="A3964" s="8" t="s">
        <v>7888</v>
      </c>
      <c r="B3964" s="8" t="s">
        <v>57568</v>
      </c>
      <c r="C3964" s="8" t="s">
        <v>7889</v>
      </c>
      <c r="D3964" s="8"/>
      <c r="E3964" s="6"/>
      <c r="F3964" s="6"/>
    </row>
    <row r="3965" spans="1:6" x14ac:dyDescent="0.3">
      <c r="A3965" s="8" t="s">
        <v>7890</v>
      </c>
      <c r="B3965" s="8" t="s">
        <v>57569</v>
      </c>
      <c r="C3965" s="8" t="s">
        <v>7891</v>
      </c>
      <c r="D3965" s="8"/>
      <c r="E3965" s="6"/>
      <c r="F3965" s="6"/>
    </row>
    <row r="3966" spans="1:6" x14ac:dyDescent="0.3">
      <c r="A3966" s="8" t="s">
        <v>7892</v>
      </c>
      <c r="B3966" s="8" t="s">
        <v>57570</v>
      </c>
      <c r="C3966" s="8" t="s">
        <v>7893</v>
      </c>
      <c r="D3966" s="8"/>
      <c r="E3966" s="6"/>
      <c r="F3966" s="6"/>
    </row>
    <row r="3967" spans="1:6" x14ac:dyDescent="0.3">
      <c r="A3967" s="8" t="s">
        <v>7894</v>
      </c>
      <c r="B3967" s="8" t="s">
        <v>57571</v>
      </c>
      <c r="C3967" s="8" t="s">
        <v>7895</v>
      </c>
      <c r="D3967" s="8"/>
      <c r="E3967" s="6"/>
      <c r="F3967" s="6"/>
    </row>
    <row r="3968" spans="1:6" x14ac:dyDescent="0.3">
      <c r="A3968" s="8" t="s">
        <v>7896</v>
      </c>
      <c r="B3968" s="8" t="s">
        <v>57572</v>
      </c>
      <c r="C3968" s="8" t="s">
        <v>7897</v>
      </c>
      <c r="D3968" s="8"/>
      <c r="E3968" s="6"/>
      <c r="F3968" s="6"/>
    </row>
    <row r="3969" spans="1:6" x14ac:dyDescent="0.3">
      <c r="A3969" s="8" t="s">
        <v>7898</v>
      </c>
      <c r="B3969" s="8" t="s">
        <v>57573</v>
      </c>
      <c r="C3969" s="8" t="s">
        <v>7899</v>
      </c>
      <c r="D3969" s="8"/>
      <c r="E3969" s="6"/>
      <c r="F3969" s="6"/>
    </row>
    <row r="3970" spans="1:6" x14ac:dyDescent="0.3">
      <c r="A3970" s="8" t="s">
        <v>7900</v>
      </c>
      <c r="B3970" s="8" t="s">
        <v>57574</v>
      </c>
      <c r="C3970" s="8" t="s">
        <v>7901</v>
      </c>
      <c r="D3970" s="8"/>
      <c r="E3970" s="6"/>
      <c r="F3970" s="6"/>
    </row>
    <row r="3971" spans="1:6" x14ac:dyDescent="0.3">
      <c r="A3971" s="8" t="s">
        <v>7902</v>
      </c>
      <c r="B3971" s="8" t="s">
        <v>57575</v>
      </c>
      <c r="C3971" s="8" t="s">
        <v>7903</v>
      </c>
      <c r="D3971" s="8"/>
      <c r="E3971" s="6"/>
      <c r="F3971" s="6"/>
    </row>
    <row r="3972" spans="1:6" x14ac:dyDescent="0.3">
      <c r="A3972" s="8" t="s">
        <v>7904</v>
      </c>
      <c r="B3972" s="8" t="s">
        <v>57576</v>
      </c>
      <c r="C3972" s="8" t="s">
        <v>7905</v>
      </c>
      <c r="D3972" s="8"/>
      <c r="E3972" s="6"/>
      <c r="F3972" s="6"/>
    </row>
    <row r="3973" spans="1:6" x14ac:dyDescent="0.3">
      <c r="A3973" s="8" t="s">
        <v>7906</v>
      </c>
      <c r="B3973" s="8" t="s">
        <v>57577</v>
      </c>
      <c r="C3973" s="8" t="s">
        <v>7907</v>
      </c>
      <c r="D3973" s="8"/>
      <c r="E3973" s="6"/>
      <c r="F3973" s="6"/>
    </row>
    <row r="3974" spans="1:6" x14ac:dyDescent="0.3">
      <c r="A3974" s="8" t="s">
        <v>7908</v>
      </c>
      <c r="B3974" s="8" t="s">
        <v>57578</v>
      </c>
      <c r="C3974" s="8" t="s">
        <v>7909</v>
      </c>
      <c r="D3974" s="8"/>
      <c r="E3974" s="6"/>
      <c r="F3974" s="6"/>
    </row>
    <row r="3975" spans="1:6" x14ac:dyDescent="0.3">
      <c r="A3975" s="8" t="s">
        <v>7910</v>
      </c>
      <c r="B3975" s="8" t="s">
        <v>57579</v>
      </c>
      <c r="C3975" s="8" t="s">
        <v>7911</v>
      </c>
      <c r="D3975" s="8"/>
      <c r="E3975" s="6"/>
      <c r="F3975" s="6"/>
    </row>
    <row r="3976" spans="1:6" x14ac:dyDescent="0.3">
      <c r="A3976" s="8" t="s">
        <v>7912</v>
      </c>
      <c r="B3976" s="8" t="s">
        <v>57580</v>
      </c>
      <c r="C3976" s="8" t="s">
        <v>7913</v>
      </c>
      <c r="D3976" s="8"/>
      <c r="E3976" s="6"/>
      <c r="F3976" s="6"/>
    </row>
    <row r="3977" spans="1:6" x14ac:dyDescent="0.3">
      <c r="A3977" s="8" t="s">
        <v>7914</v>
      </c>
      <c r="B3977" s="8" t="s">
        <v>57581</v>
      </c>
      <c r="C3977" s="8" t="s">
        <v>7915</v>
      </c>
      <c r="D3977" s="8"/>
      <c r="E3977" s="6"/>
      <c r="F3977" s="6"/>
    </row>
    <row r="3978" spans="1:6" x14ac:dyDescent="0.3">
      <c r="A3978" s="8" t="s">
        <v>7916</v>
      </c>
      <c r="B3978" s="8" t="s">
        <v>57582</v>
      </c>
      <c r="C3978" s="8" t="s">
        <v>7917</v>
      </c>
      <c r="D3978" s="8"/>
      <c r="E3978" s="6"/>
      <c r="F3978" s="6"/>
    </row>
    <row r="3979" spans="1:6" x14ac:dyDescent="0.3">
      <c r="A3979" s="8" t="s">
        <v>7918</v>
      </c>
      <c r="B3979" s="8" t="s">
        <v>57583</v>
      </c>
      <c r="C3979" s="8" t="s">
        <v>7919</v>
      </c>
      <c r="D3979" s="8"/>
      <c r="E3979" s="6"/>
      <c r="F3979" s="6"/>
    </row>
    <row r="3980" spans="1:6" x14ac:dyDescent="0.3">
      <c r="A3980" s="8" t="s">
        <v>7920</v>
      </c>
      <c r="B3980" s="8" t="s">
        <v>57584</v>
      </c>
      <c r="C3980" s="8" t="s">
        <v>7921</v>
      </c>
      <c r="D3980" s="8"/>
      <c r="E3980" s="6"/>
      <c r="F3980" s="6"/>
    </row>
    <row r="3981" spans="1:6" x14ac:dyDescent="0.3">
      <c r="A3981" s="8" t="s">
        <v>7922</v>
      </c>
      <c r="B3981" s="8" t="s">
        <v>57585</v>
      </c>
      <c r="C3981" s="8" t="s">
        <v>7923</v>
      </c>
      <c r="D3981" s="8"/>
      <c r="E3981" s="6"/>
      <c r="F3981" s="6"/>
    </row>
    <row r="3982" spans="1:6" x14ac:dyDescent="0.3">
      <c r="A3982" s="8" t="s">
        <v>7924</v>
      </c>
      <c r="B3982" s="8" t="s">
        <v>57586</v>
      </c>
      <c r="C3982" s="8" t="s">
        <v>7925</v>
      </c>
      <c r="D3982" s="8"/>
      <c r="E3982" s="6"/>
      <c r="F3982" s="6"/>
    </row>
    <row r="3983" spans="1:6" x14ac:dyDescent="0.3">
      <c r="A3983" s="8" t="s">
        <v>7926</v>
      </c>
      <c r="B3983" s="8" t="s">
        <v>57587</v>
      </c>
      <c r="C3983" s="8" t="s">
        <v>7927</v>
      </c>
      <c r="D3983" s="8"/>
      <c r="E3983" s="6"/>
      <c r="F3983" s="6"/>
    </row>
    <row r="3984" spans="1:6" x14ac:dyDescent="0.3">
      <c r="A3984" s="8" t="s">
        <v>7928</v>
      </c>
      <c r="B3984" s="8" t="s">
        <v>57588</v>
      </c>
      <c r="C3984" s="8" t="s">
        <v>7929</v>
      </c>
      <c r="D3984" s="8"/>
      <c r="E3984" s="6"/>
      <c r="F3984" s="6"/>
    </row>
    <row r="3985" spans="1:6" x14ac:dyDescent="0.3">
      <c r="A3985" s="8" t="s">
        <v>7930</v>
      </c>
      <c r="B3985" s="8" t="s">
        <v>57589</v>
      </c>
      <c r="C3985" s="8" t="s">
        <v>7931</v>
      </c>
      <c r="D3985" s="8"/>
      <c r="E3985" s="6"/>
      <c r="F3985" s="6"/>
    </row>
    <row r="3986" spans="1:6" x14ac:dyDescent="0.3">
      <c r="A3986" s="8" t="s">
        <v>7932</v>
      </c>
      <c r="B3986" s="8" t="s">
        <v>57590</v>
      </c>
      <c r="C3986" s="8" t="s">
        <v>7933</v>
      </c>
      <c r="D3986" s="8"/>
      <c r="E3986" s="6"/>
      <c r="F3986" s="6"/>
    </row>
    <row r="3987" spans="1:6" x14ac:dyDescent="0.3">
      <c r="A3987" s="8" t="s">
        <v>7934</v>
      </c>
      <c r="B3987" s="8" t="s">
        <v>57591</v>
      </c>
      <c r="C3987" s="8" t="s">
        <v>7935</v>
      </c>
      <c r="D3987" s="8"/>
      <c r="E3987" s="6"/>
      <c r="F3987" s="6"/>
    </row>
    <row r="3988" spans="1:6" x14ac:dyDescent="0.3">
      <c r="A3988" s="8" t="s">
        <v>7936</v>
      </c>
      <c r="B3988" s="8" t="s">
        <v>57592</v>
      </c>
      <c r="C3988" s="8" t="s">
        <v>7937</v>
      </c>
      <c r="D3988" s="8"/>
      <c r="E3988" s="6"/>
      <c r="F3988" s="6"/>
    </row>
    <row r="3989" spans="1:6" x14ac:dyDescent="0.3">
      <c r="A3989" s="8" t="s">
        <v>7938</v>
      </c>
      <c r="B3989" s="8" t="s">
        <v>57593</v>
      </c>
      <c r="C3989" s="8" t="s">
        <v>7939</v>
      </c>
      <c r="D3989" s="8"/>
      <c r="E3989" s="6"/>
      <c r="F3989" s="6"/>
    </row>
    <row r="3990" spans="1:6" x14ac:dyDescent="0.3">
      <c r="A3990" s="8" t="s">
        <v>7940</v>
      </c>
      <c r="B3990" s="8" t="s">
        <v>57594</v>
      </c>
      <c r="C3990" s="8" t="s">
        <v>7941</v>
      </c>
      <c r="D3990" s="8"/>
      <c r="E3990" s="6"/>
      <c r="F3990" s="6"/>
    </row>
    <row r="3991" spans="1:6" x14ac:dyDescent="0.3">
      <c r="A3991" s="8" t="s">
        <v>7942</v>
      </c>
      <c r="B3991" s="8" t="s">
        <v>57595</v>
      </c>
      <c r="C3991" s="8" t="s">
        <v>7943</v>
      </c>
      <c r="D3991" s="8"/>
      <c r="E3991" s="6"/>
      <c r="F3991" s="6"/>
    </row>
    <row r="3992" spans="1:6" x14ac:dyDescent="0.3">
      <c r="A3992" s="8" t="s">
        <v>7944</v>
      </c>
      <c r="B3992" s="8" t="s">
        <v>57596</v>
      </c>
      <c r="C3992" s="8" t="s">
        <v>7945</v>
      </c>
      <c r="D3992" s="8"/>
      <c r="E3992" s="6"/>
      <c r="F3992" s="6"/>
    </row>
    <row r="3993" spans="1:6" x14ac:dyDescent="0.3">
      <c r="A3993" s="8" t="s">
        <v>7946</v>
      </c>
      <c r="B3993" s="8" t="s">
        <v>57597</v>
      </c>
      <c r="C3993" s="8" t="s">
        <v>7947</v>
      </c>
      <c r="D3993" s="8"/>
      <c r="E3993" s="6"/>
      <c r="F3993" s="6"/>
    </row>
    <row r="3994" spans="1:6" x14ac:dyDescent="0.3">
      <c r="A3994" s="8" t="s">
        <v>7948</v>
      </c>
      <c r="B3994" s="8" t="s">
        <v>57598</v>
      </c>
      <c r="C3994" s="8" t="s">
        <v>7949</v>
      </c>
      <c r="D3994" s="8"/>
      <c r="E3994" s="6"/>
      <c r="F3994" s="6"/>
    </row>
    <row r="3995" spans="1:6" x14ac:dyDescent="0.3">
      <c r="A3995" s="8" t="s">
        <v>7950</v>
      </c>
      <c r="B3995" s="8" t="s">
        <v>57599</v>
      </c>
      <c r="C3995" s="8" t="s">
        <v>7951</v>
      </c>
      <c r="D3995" s="8"/>
      <c r="E3995" s="6"/>
      <c r="F3995" s="6"/>
    </row>
    <row r="3996" spans="1:6" x14ac:dyDescent="0.3">
      <c r="A3996" s="8" t="s">
        <v>7952</v>
      </c>
      <c r="B3996" s="8" t="s">
        <v>57600</v>
      </c>
      <c r="C3996" s="8" t="s">
        <v>7953</v>
      </c>
      <c r="D3996" s="8"/>
      <c r="E3996" s="6"/>
      <c r="F3996" s="6"/>
    </row>
    <row r="3997" spans="1:6" x14ac:dyDescent="0.3">
      <c r="A3997" s="8" t="s">
        <v>7954</v>
      </c>
      <c r="B3997" s="8" t="s">
        <v>57601</v>
      </c>
      <c r="C3997" s="8" t="s">
        <v>7955</v>
      </c>
      <c r="D3997" s="8"/>
      <c r="E3997" s="6"/>
      <c r="F3997" s="6"/>
    </row>
    <row r="3998" spans="1:6" x14ac:dyDescent="0.3">
      <c r="A3998" s="8" t="s">
        <v>7956</v>
      </c>
      <c r="B3998" s="8" t="s">
        <v>57602</v>
      </c>
      <c r="C3998" s="8" t="s">
        <v>7957</v>
      </c>
      <c r="D3998" s="8"/>
      <c r="E3998" s="6"/>
      <c r="F3998" s="6"/>
    </row>
    <row r="3999" spans="1:6" x14ac:dyDescent="0.3">
      <c r="A3999" s="8" t="s">
        <v>7958</v>
      </c>
      <c r="B3999" s="8" t="s">
        <v>57603</v>
      </c>
      <c r="C3999" s="8" t="s">
        <v>7959</v>
      </c>
      <c r="D3999" s="8"/>
      <c r="E3999" s="6"/>
      <c r="F3999" s="6"/>
    </row>
    <row r="4000" spans="1:6" x14ac:dyDescent="0.3">
      <c r="A4000" s="8" t="s">
        <v>7960</v>
      </c>
      <c r="B4000" s="8" t="s">
        <v>57604</v>
      </c>
      <c r="C4000" s="8" t="s">
        <v>7961</v>
      </c>
      <c r="D4000" s="8"/>
      <c r="E4000" s="6"/>
      <c r="F4000" s="6"/>
    </row>
    <row r="4001" spans="1:6" x14ac:dyDescent="0.3">
      <c r="A4001" s="8" t="s">
        <v>7962</v>
      </c>
      <c r="B4001" s="8" t="s">
        <v>57605</v>
      </c>
      <c r="C4001" s="8" t="s">
        <v>7963</v>
      </c>
      <c r="D4001" s="8"/>
      <c r="E4001" s="6"/>
      <c r="F4001" s="6"/>
    </row>
    <row r="4002" spans="1:6" x14ac:dyDescent="0.3">
      <c r="A4002" s="8" t="s">
        <v>7964</v>
      </c>
      <c r="B4002" s="8" t="s">
        <v>57606</v>
      </c>
      <c r="C4002" s="8" t="s">
        <v>7965</v>
      </c>
      <c r="D4002" s="8"/>
      <c r="E4002" s="6"/>
      <c r="F4002" s="6"/>
    </row>
    <row r="4003" spans="1:6" x14ac:dyDescent="0.3">
      <c r="A4003" s="8" t="s">
        <v>7966</v>
      </c>
      <c r="B4003" s="8" t="s">
        <v>57607</v>
      </c>
      <c r="C4003" s="8" t="s">
        <v>7967</v>
      </c>
      <c r="D4003" s="8"/>
      <c r="E4003" s="6"/>
      <c r="F4003" s="6"/>
    </row>
    <row r="4004" spans="1:6" x14ac:dyDescent="0.3">
      <c r="A4004" s="8" t="s">
        <v>7968</v>
      </c>
      <c r="B4004" s="8" t="s">
        <v>57608</v>
      </c>
      <c r="C4004" s="8" t="s">
        <v>7969</v>
      </c>
      <c r="D4004" s="8"/>
      <c r="E4004" s="6"/>
      <c r="F4004" s="6"/>
    </row>
    <row r="4005" spans="1:6" x14ac:dyDescent="0.3">
      <c r="A4005" s="8" t="s">
        <v>7970</v>
      </c>
      <c r="B4005" s="8" t="s">
        <v>57609</v>
      </c>
      <c r="C4005" s="8" t="s">
        <v>7971</v>
      </c>
      <c r="D4005" s="8"/>
      <c r="E4005" s="6"/>
      <c r="F4005" s="6"/>
    </row>
    <row r="4006" spans="1:6" x14ac:dyDescent="0.3">
      <c r="A4006" s="8" t="s">
        <v>7972</v>
      </c>
      <c r="B4006" s="8" t="s">
        <v>57610</v>
      </c>
      <c r="C4006" s="8" t="s">
        <v>7973</v>
      </c>
      <c r="D4006" s="8"/>
      <c r="E4006" s="6"/>
      <c r="F4006" s="6"/>
    </row>
    <row r="4007" spans="1:6" x14ac:dyDescent="0.3">
      <c r="A4007" s="8" t="s">
        <v>7974</v>
      </c>
      <c r="B4007" s="8" t="s">
        <v>57611</v>
      </c>
      <c r="C4007" s="8" t="s">
        <v>7975</v>
      </c>
      <c r="D4007" s="8"/>
      <c r="E4007" s="6"/>
      <c r="F4007" s="6"/>
    </row>
    <row r="4008" spans="1:6" x14ac:dyDescent="0.3">
      <c r="A4008" s="8" t="s">
        <v>7976</v>
      </c>
      <c r="B4008" s="8" t="s">
        <v>57612</v>
      </c>
      <c r="C4008" s="8" t="s">
        <v>7977</v>
      </c>
      <c r="D4008" s="8"/>
      <c r="E4008" s="6"/>
      <c r="F4008" s="6"/>
    </row>
    <row r="4009" spans="1:6" x14ac:dyDescent="0.3">
      <c r="A4009" s="8" t="s">
        <v>7978</v>
      </c>
      <c r="B4009" s="8" t="s">
        <v>57613</v>
      </c>
      <c r="C4009" s="8" t="s">
        <v>7979</v>
      </c>
      <c r="D4009" s="8"/>
      <c r="E4009" s="6"/>
      <c r="F4009" s="6"/>
    </row>
    <row r="4010" spans="1:6" x14ac:dyDescent="0.3">
      <c r="A4010" s="8" t="s">
        <v>7980</v>
      </c>
      <c r="B4010" s="8" t="s">
        <v>57614</v>
      </c>
      <c r="C4010" s="8" t="s">
        <v>7981</v>
      </c>
      <c r="D4010" s="8"/>
      <c r="E4010" s="6"/>
      <c r="F4010" s="6"/>
    </row>
    <row r="4011" spans="1:6" x14ac:dyDescent="0.3">
      <c r="A4011" s="8" t="s">
        <v>7982</v>
      </c>
      <c r="B4011" s="8" t="s">
        <v>57615</v>
      </c>
      <c r="C4011" s="8" t="s">
        <v>7983</v>
      </c>
      <c r="D4011" s="8"/>
      <c r="E4011" s="6"/>
      <c r="F4011" s="6"/>
    </row>
    <row r="4012" spans="1:6" x14ac:dyDescent="0.3">
      <c r="A4012" s="8" t="s">
        <v>7984</v>
      </c>
      <c r="B4012" s="8" t="s">
        <v>57616</v>
      </c>
      <c r="C4012" s="8" t="s">
        <v>7985</v>
      </c>
      <c r="D4012" s="8"/>
      <c r="E4012" s="6"/>
      <c r="F4012" s="6"/>
    </row>
    <row r="4013" spans="1:6" x14ac:dyDescent="0.3">
      <c r="A4013" s="8" t="s">
        <v>7986</v>
      </c>
      <c r="B4013" s="8" t="s">
        <v>57617</v>
      </c>
      <c r="C4013" s="8" t="s">
        <v>7987</v>
      </c>
      <c r="D4013" s="8"/>
      <c r="E4013" s="6"/>
      <c r="F4013" s="6"/>
    </row>
    <row r="4014" spans="1:6" x14ac:dyDescent="0.3">
      <c r="A4014" s="8" t="s">
        <v>7988</v>
      </c>
      <c r="B4014" s="8" t="s">
        <v>57618</v>
      </c>
      <c r="C4014" s="8" t="s">
        <v>7989</v>
      </c>
      <c r="D4014" s="8"/>
      <c r="E4014" s="6"/>
      <c r="F4014" s="6"/>
    </row>
    <row r="4015" spans="1:6" x14ac:dyDescent="0.3">
      <c r="A4015" s="8" t="s">
        <v>7990</v>
      </c>
      <c r="B4015" s="8" t="s">
        <v>57619</v>
      </c>
      <c r="C4015" s="8" t="s">
        <v>7991</v>
      </c>
      <c r="D4015" s="8"/>
      <c r="E4015" s="6"/>
      <c r="F4015" s="6"/>
    </row>
    <row r="4016" spans="1:6" x14ac:dyDescent="0.3">
      <c r="A4016" s="8" t="s">
        <v>7992</v>
      </c>
      <c r="B4016" s="8" t="s">
        <v>57620</v>
      </c>
      <c r="C4016" s="8" t="s">
        <v>7993</v>
      </c>
      <c r="D4016" s="8"/>
      <c r="E4016" s="6"/>
      <c r="F4016" s="6"/>
    </row>
    <row r="4017" spans="1:6" x14ac:dyDescent="0.3">
      <c r="A4017" s="8" t="s">
        <v>7994</v>
      </c>
      <c r="B4017" s="8" t="s">
        <v>57621</v>
      </c>
      <c r="C4017" s="8" t="s">
        <v>7995</v>
      </c>
      <c r="D4017" s="8"/>
      <c r="E4017" s="6"/>
      <c r="F4017" s="6"/>
    </row>
    <row r="4018" spans="1:6" x14ac:dyDescent="0.3">
      <c r="A4018" s="8" t="s">
        <v>7996</v>
      </c>
      <c r="B4018" s="8" t="s">
        <v>57622</v>
      </c>
      <c r="C4018" s="8" t="s">
        <v>7997</v>
      </c>
      <c r="D4018" s="8"/>
      <c r="E4018" s="6"/>
      <c r="F4018" s="6"/>
    </row>
    <row r="4019" spans="1:6" x14ac:dyDescent="0.3">
      <c r="A4019" s="8" t="s">
        <v>7998</v>
      </c>
      <c r="B4019" s="8" t="s">
        <v>57623</v>
      </c>
      <c r="C4019" s="8" t="s">
        <v>7999</v>
      </c>
      <c r="D4019" s="8"/>
      <c r="E4019" s="6"/>
      <c r="F4019" s="6"/>
    </row>
    <row r="4020" spans="1:6" x14ac:dyDescent="0.3">
      <c r="A4020" s="8" t="s">
        <v>8000</v>
      </c>
      <c r="B4020" s="8" t="s">
        <v>57624</v>
      </c>
      <c r="C4020" s="8" t="s">
        <v>8001</v>
      </c>
      <c r="D4020" s="8"/>
      <c r="E4020" s="6"/>
      <c r="F4020" s="6"/>
    </row>
    <row r="4021" spans="1:6" x14ac:dyDescent="0.3">
      <c r="A4021" s="8" t="s">
        <v>8002</v>
      </c>
      <c r="B4021" s="8" t="s">
        <v>57625</v>
      </c>
      <c r="C4021" s="8" t="s">
        <v>8003</v>
      </c>
      <c r="D4021" s="8"/>
      <c r="E4021" s="6"/>
      <c r="F4021" s="6"/>
    </row>
    <row r="4022" spans="1:6" x14ac:dyDescent="0.3">
      <c r="A4022" s="8" t="s">
        <v>8004</v>
      </c>
      <c r="B4022" s="8" t="s">
        <v>57626</v>
      </c>
      <c r="C4022" s="8" t="s">
        <v>8005</v>
      </c>
      <c r="D4022" s="8"/>
      <c r="E4022" s="6"/>
      <c r="F4022" s="6"/>
    </row>
    <row r="4023" spans="1:6" x14ac:dyDescent="0.3">
      <c r="A4023" s="8" t="s">
        <v>8006</v>
      </c>
      <c r="B4023" s="8" t="s">
        <v>57627</v>
      </c>
      <c r="C4023" s="8" t="s">
        <v>8007</v>
      </c>
      <c r="D4023" s="8"/>
      <c r="E4023" s="6"/>
      <c r="F4023" s="6"/>
    </row>
    <row r="4024" spans="1:6" x14ac:dyDescent="0.3">
      <c r="A4024" s="8" t="s">
        <v>8008</v>
      </c>
      <c r="B4024" s="8" t="s">
        <v>57628</v>
      </c>
      <c r="C4024" s="8" t="s">
        <v>8009</v>
      </c>
      <c r="D4024" s="8"/>
      <c r="E4024" s="6"/>
      <c r="F4024" s="6"/>
    </row>
    <row r="4025" spans="1:6" x14ac:dyDescent="0.3">
      <c r="A4025" s="8" t="s">
        <v>8010</v>
      </c>
      <c r="B4025" s="8" t="s">
        <v>57629</v>
      </c>
      <c r="C4025" s="8" t="s">
        <v>8011</v>
      </c>
      <c r="D4025" s="8"/>
      <c r="E4025" s="6"/>
      <c r="F4025" s="6"/>
    </row>
    <row r="4026" spans="1:6" x14ac:dyDescent="0.3">
      <c r="A4026" s="8" t="s">
        <v>8012</v>
      </c>
      <c r="B4026" s="8" t="s">
        <v>57630</v>
      </c>
      <c r="C4026" s="8" t="s">
        <v>8013</v>
      </c>
      <c r="D4026" s="8"/>
      <c r="E4026" s="6"/>
      <c r="F4026" s="6"/>
    </row>
    <row r="4027" spans="1:6" x14ac:dyDescent="0.3">
      <c r="A4027" s="8" t="s">
        <v>8014</v>
      </c>
      <c r="B4027" s="8" t="s">
        <v>57631</v>
      </c>
      <c r="C4027" s="8" t="s">
        <v>8015</v>
      </c>
      <c r="D4027" s="8"/>
      <c r="E4027" s="6"/>
      <c r="F4027" s="6"/>
    </row>
    <row r="4028" spans="1:6" x14ac:dyDescent="0.3">
      <c r="A4028" s="8" t="s">
        <v>8016</v>
      </c>
      <c r="B4028" s="8" t="s">
        <v>57632</v>
      </c>
      <c r="C4028" s="8" t="s">
        <v>8017</v>
      </c>
      <c r="D4028" s="8"/>
      <c r="E4028" s="6"/>
      <c r="F4028" s="6"/>
    </row>
    <row r="4029" spans="1:6" ht="28.8" x14ac:dyDescent="0.3">
      <c r="A4029" s="8" t="s">
        <v>8018</v>
      </c>
      <c r="B4029" s="8" t="s">
        <v>57633</v>
      </c>
      <c r="C4029" s="8" t="s">
        <v>8019</v>
      </c>
      <c r="D4029" s="8"/>
      <c r="E4029" s="6"/>
      <c r="F4029" s="6"/>
    </row>
    <row r="4030" spans="1:6" x14ac:dyDescent="0.3">
      <c r="A4030" s="8" t="s">
        <v>8020</v>
      </c>
      <c r="B4030" s="8" t="s">
        <v>57634</v>
      </c>
      <c r="C4030" s="8" t="s">
        <v>8021</v>
      </c>
      <c r="D4030" s="8"/>
      <c r="E4030" s="6"/>
      <c r="F4030" s="6"/>
    </row>
    <row r="4031" spans="1:6" x14ac:dyDescent="0.3">
      <c r="A4031" s="8" t="s">
        <v>8022</v>
      </c>
      <c r="B4031" s="8" t="s">
        <v>57635</v>
      </c>
      <c r="C4031" s="8" t="s">
        <v>8023</v>
      </c>
      <c r="D4031" s="8"/>
      <c r="E4031" s="6"/>
      <c r="F4031" s="6"/>
    </row>
    <row r="4032" spans="1:6" x14ac:dyDescent="0.3">
      <c r="A4032" s="8" t="s">
        <v>8024</v>
      </c>
      <c r="B4032" s="8" t="s">
        <v>57636</v>
      </c>
      <c r="C4032" s="8" t="s">
        <v>8025</v>
      </c>
      <c r="D4032" s="8"/>
      <c r="E4032" s="6"/>
      <c r="F4032" s="6"/>
    </row>
    <row r="4033" spans="1:6" x14ac:dyDescent="0.3">
      <c r="A4033" s="8" t="s">
        <v>8026</v>
      </c>
      <c r="B4033" s="8" t="s">
        <v>57637</v>
      </c>
      <c r="C4033" s="8" t="s">
        <v>8027</v>
      </c>
      <c r="D4033" s="8"/>
      <c r="E4033" s="6"/>
      <c r="F4033" s="6"/>
    </row>
    <row r="4034" spans="1:6" x14ac:dyDescent="0.3">
      <c r="A4034" s="8" t="s">
        <v>8028</v>
      </c>
      <c r="B4034" s="8" t="s">
        <v>57638</v>
      </c>
      <c r="C4034" s="8" t="s">
        <v>8029</v>
      </c>
      <c r="D4034" s="8"/>
      <c r="E4034" s="6"/>
      <c r="F4034" s="6"/>
    </row>
    <row r="4035" spans="1:6" x14ac:dyDescent="0.3">
      <c r="A4035" s="8" t="s">
        <v>8030</v>
      </c>
      <c r="B4035" s="8" t="s">
        <v>57639</v>
      </c>
      <c r="C4035" s="8" t="s">
        <v>8031</v>
      </c>
      <c r="D4035" s="8"/>
      <c r="E4035" s="6"/>
      <c r="F4035" s="6"/>
    </row>
    <row r="4036" spans="1:6" x14ac:dyDescent="0.3">
      <c r="A4036" s="8" t="s">
        <v>8032</v>
      </c>
      <c r="B4036" s="8" t="s">
        <v>57640</v>
      </c>
      <c r="C4036" s="8" t="s">
        <v>8033</v>
      </c>
      <c r="D4036" s="8"/>
      <c r="E4036" s="6"/>
      <c r="F4036" s="6"/>
    </row>
    <row r="4037" spans="1:6" x14ac:dyDescent="0.3">
      <c r="A4037" s="8" t="s">
        <v>8034</v>
      </c>
      <c r="B4037" s="8" t="s">
        <v>57641</v>
      </c>
      <c r="C4037" s="8" t="s">
        <v>8035</v>
      </c>
      <c r="D4037" s="8"/>
      <c r="E4037" s="6"/>
      <c r="F4037" s="6"/>
    </row>
    <row r="4038" spans="1:6" x14ac:dyDescent="0.3">
      <c r="A4038" s="8" t="s">
        <v>8036</v>
      </c>
      <c r="B4038" s="8" t="s">
        <v>57642</v>
      </c>
      <c r="C4038" s="8" t="s">
        <v>8037</v>
      </c>
      <c r="D4038" s="8"/>
      <c r="E4038" s="6"/>
      <c r="F4038" s="6"/>
    </row>
    <row r="4039" spans="1:6" x14ac:dyDescent="0.3">
      <c r="A4039" s="8" t="s">
        <v>8038</v>
      </c>
      <c r="B4039" s="8" t="s">
        <v>57643</v>
      </c>
      <c r="C4039" s="8" t="s">
        <v>8039</v>
      </c>
      <c r="D4039" s="8"/>
      <c r="E4039" s="6"/>
      <c r="F4039" s="6"/>
    </row>
    <row r="4040" spans="1:6" x14ac:dyDescent="0.3">
      <c r="A4040" s="8" t="s">
        <v>8040</v>
      </c>
      <c r="B4040" s="8" t="s">
        <v>57644</v>
      </c>
      <c r="C4040" s="8" t="s">
        <v>8041</v>
      </c>
      <c r="D4040" s="8"/>
      <c r="E4040" s="6"/>
      <c r="F4040" s="6"/>
    </row>
    <row r="4041" spans="1:6" x14ac:dyDescent="0.3">
      <c r="A4041" s="8" t="s">
        <v>8042</v>
      </c>
      <c r="B4041" s="8" t="s">
        <v>57645</v>
      </c>
      <c r="C4041" s="8" t="s">
        <v>8043</v>
      </c>
      <c r="D4041" s="8"/>
      <c r="E4041" s="6"/>
      <c r="F4041" s="6"/>
    </row>
    <row r="4042" spans="1:6" x14ac:dyDescent="0.3">
      <c r="A4042" s="8" t="s">
        <v>8044</v>
      </c>
      <c r="B4042" s="8" t="s">
        <v>57646</v>
      </c>
      <c r="C4042" s="8" t="s">
        <v>8045</v>
      </c>
      <c r="D4042" s="8"/>
      <c r="E4042" s="6"/>
      <c r="F4042" s="6"/>
    </row>
    <row r="4043" spans="1:6" x14ac:dyDescent="0.3">
      <c r="A4043" s="8" t="s">
        <v>8046</v>
      </c>
      <c r="B4043" s="8" t="s">
        <v>57647</v>
      </c>
      <c r="C4043" s="8" t="s">
        <v>8047</v>
      </c>
      <c r="D4043" s="8"/>
      <c r="E4043" s="6"/>
      <c r="F4043" s="6"/>
    </row>
    <row r="4044" spans="1:6" x14ac:dyDescent="0.3">
      <c r="A4044" s="8" t="s">
        <v>8048</v>
      </c>
      <c r="B4044" s="8" t="s">
        <v>57648</v>
      </c>
      <c r="C4044" s="8" t="s">
        <v>8049</v>
      </c>
      <c r="D4044" s="8"/>
      <c r="E4044" s="6"/>
      <c r="F4044" s="6"/>
    </row>
    <row r="4045" spans="1:6" x14ac:dyDescent="0.3">
      <c r="A4045" s="8" t="s">
        <v>8050</v>
      </c>
      <c r="B4045" s="8" t="s">
        <v>57649</v>
      </c>
      <c r="C4045" s="8" t="s">
        <v>8051</v>
      </c>
      <c r="D4045" s="8"/>
      <c r="E4045" s="6"/>
      <c r="F4045" s="6"/>
    </row>
    <row r="4046" spans="1:6" x14ac:dyDescent="0.3">
      <c r="A4046" s="8" t="s">
        <v>8052</v>
      </c>
      <c r="B4046" s="8" t="s">
        <v>57650</v>
      </c>
      <c r="C4046" s="8" t="s">
        <v>8053</v>
      </c>
      <c r="D4046" s="8"/>
      <c r="E4046" s="6"/>
      <c r="F4046" s="6"/>
    </row>
    <row r="4047" spans="1:6" x14ac:dyDescent="0.3">
      <c r="A4047" s="8" t="s">
        <v>8054</v>
      </c>
      <c r="B4047" s="8" t="s">
        <v>57651</v>
      </c>
      <c r="C4047" s="8" t="s">
        <v>8055</v>
      </c>
      <c r="D4047" s="8"/>
      <c r="E4047" s="6"/>
      <c r="F4047" s="6"/>
    </row>
    <row r="4048" spans="1:6" x14ac:dyDescent="0.3">
      <c r="A4048" s="8" t="s">
        <v>8056</v>
      </c>
      <c r="B4048" s="8" t="s">
        <v>57652</v>
      </c>
      <c r="C4048" s="8" t="s">
        <v>8057</v>
      </c>
      <c r="D4048" s="8"/>
      <c r="E4048" s="6"/>
      <c r="F4048" s="6"/>
    </row>
    <row r="4049" spans="1:6" x14ac:dyDescent="0.3">
      <c r="A4049" s="8" t="s">
        <v>8058</v>
      </c>
      <c r="B4049" s="8" t="s">
        <v>57653</v>
      </c>
      <c r="C4049" s="8" t="s">
        <v>8059</v>
      </c>
      <c r="D4049" s="8"/>
      <c r="E4049" s="6"/>
      <c r="F4049" s="6"/>
    </row>
    <row r="4050" spans="1:6" x14ac:dyDescent="0.3">
      <c r="A4050" s="8" t="s">
        <v>8060</v>
      </c>
      <c r="B4050" s="8" t="s">
        <v>57654</v>
      </c>
      <c r="C4050" s="8" t="s">
        <v>8061</v>
      </c>
      <c r="D4050" s="8"/>
      <c r="E4050" s="6"/>
      <c r="F4050" s="6"/>
    </row>
    <row r="4051" spans="1:6" x14ac:dyDescent="0.3">
      <c r="A4051" s="8" t="s">
        <v>8062</v>
      </c>
      <c r="B4051" s="8" t="s">
        <v>57655</v>
      </c>
      <c r="C4051" s="8" t="s">
        <v>8063</v>
      </c>
      <c r="D4051" s="8"/>
      <c r="E4051" s="6"/>
      <c r="F4051" s="6"/>
    </row>
    <row r="4052" spans="1:6" x14ac:dyDescent="0.3">
      <c r="A4052" s="8" t="s">
        <v>8064</v>
      </c>
      <c r="B4052" s="8" t="s">
        <v>57656</v>
      </c>
      <c r="C4052" s="8" t="s">
        <v>8065</v>
      </c>
      <c r="D4052" s="8"/>
      <c r="E4052" s="6"/>
      <c r="F4052" s="6"/>
    </row>
    <row r="4053" spans="1:6" x14ac:dyDescent="0.3">
      <c r="A4053" s="8" t="s">
        <v>8066</v>
      </c>
      <c r="B4053" s="8" t="s">
        <v>57657</v>
      </c>
      <c r="C4053" s="8" t="s">
        <v>8067</v>
      </c>
      <c r="D4053" s="8"/>
      <c r="E4053" s="6"/>
      <c r="F4053" s="6"/>
    </row>
    <row r="4054" spans="1:6" x14ac:dyDescent="0.3">
      <c r="A4054" s="8" t="s">
        <v>8068</v>
      </c>
      <c r="B4054" s="8" t="s">
        <v>57658</v>
      </c>
      <c r="C4054" s="8" t="s">
        <v>8069</v>
      </c>
      <c r="D4054" s="8"/>
      <c r="E4054" s="6"/>
      <c r="F4054" s="6"/>
    </row>
    <row r="4055" spans="1:6" x14ac:dyDescent="0.3">
      <c r="A4055" s="8" t="s">
        <v>8070</v>
      </c>
      <c r="B4055" s="8" t="s">
        <v>57659</v>
      </c>
      <c r="C4055" s="8" t="s">
        <v>8071</v>
      </c>
      <c r="D4055" s="8"/>
      <c r="E4055" s="6"/>
      <c r="F4055" s="6"/>
    </row>
    <row r="4056" spans="1:6" x14ac:dyDescent="0.3">
      <c r="A4056" s="8" t="s">
        <v>8072</v>
      </c>
      <c r="B4056" s="8" t="s">
        <v>57660</v>
      </c>
      <c r="C4056" s="8" t="s">
        <v>8073</v>
      </c>
      <c r="D4056" s="8"/>
      <c r="E4056" s="6"/>
      <c r="F4056" s="6"/>
    </row>
    <row r="4057" spans="1:6" x14ac:dyDescent="0.3">
      <c r="A4057" s="8" t="s">
        <v>8074</v>
      </c>
      <c r="B4057" s="8" t="s">
        <v>57661</v>
      </c>
      <c r="C4057" s="8" t="s">
        <v>8075</v>
      </c>
      <c r="D4057" s="8"/>
      <c r="E4057" s="6"/>
      <c r="F4057" s="6"/>
    </row>
    <row r="4058" spans="1:6" x14ac:dyDescent="0.3">
      <c r="A4058" s="8" t="s">
        <v>8076</v>
      </c>
      <c r="B4058" s="8" t="s">
        <v>57662</v>
      </c>
      <c r="C4058" s="8" t="s">
        <v>8077</v>
      </c>
      <c r="D4058" s="8"/>
      <c r="E4058" s="6"/>
      <c r="F4058" s="6"/>
    </row>
    <row r="4059" spans="1:6" x14ac:dyDescent="0.3">
      <c r="A4059" s="8" t="s">
        <v>8078</v>
      </c>
      <c r="B4059" s="8" t="s">
        <v>57663</v>
      </c>
      <c r="C4059" s="8" t="s">
        <v>8079</v>
      </c>
      <c r="D4059" s="8"/>
      <c r="E4059" s="6"/>
      <c r="F4059" s="6"/>
    </row>
    <row r="4060" spans="1:6" x14ac:dyDescent="0.3">
      <c r="A4060" s="8" t="s">
        <v>8080</v>
      </c>
      <c r="B4060" s="8" t="s">
        <v>57664</v>
      </c>
      <c r="C4060" s="8" t="s">
        <v>8081</v>
      </c>
      <c r="D4060" s="8"/>
      <c r="E4060" s="6"/>
      <c r="F4060" s="6"/>
    </row>
    <row r="4061" spans="1:6" x14ac:dyDescent="0.3">
      <c r="A4061" s="8" t="s">
        <v>8082</v>
      </c>
      <c r="B4061" s="8" t="s">
        <v>57665</v>
      </c>
      <c r="C4061" s="8" t="s">
        <v>8083</v>
      </c>
      <c r="D4061" s="8"/>
      <c r="E4061" s="6"/>
      <c r="F4061" s="6"/>
    </row>
    <row r="4062" spans="1:6" x14ac:dyDescent="0.3">
      <c r="A4062" s="8" t="s">
        <v>8084</v>
      </c>
      <c r="B4062" s="8" t="s">
        <v>57666</v>
      </c>
      <c r="C4062" s="8" t="s">
        <v>8085</v>
      </c>
      <c r="D4062" s="8"/>
      <c r="E4062" s="6"/>
      <c r="F4062" s="6"/>
    </row>
    <row r="4063" spans="1:6" x14ac:dyDescent="0.3">
      <c r="A4063" s="8" t="s">
        <v>8086</v>
      </c>
      <c r="B4063" s="8" t="s">
        <v>57667</v>
      </c>
      <c r="C4063" s="8" t="s">
        <v>8087</v>
      </c>
      <c r="D4063" s="8"/>
      <c r="E4063" s="6"/>
      <c r="F4063" s="6"/>
    </row>
    <row r="4064" spans="1:6" x14ac:dyDescent="0.3">
      <c r="A4064" s="8" t="s">
        <v>8088</v>
      </c>
      <c r="B4064" s="8" t="s">
        <v>57668</v>
      </c>
      <c r="C4064" s="8" t="s">
        <v>8089</v>
      </c>
      <c r="D4064" s="8"/>
      <c r="E4064" s="6"/>
      <c r="F4064" s="6"/>
    </row>
    <row r="4065" spans="1:6" x14ac:dyDescent="0.3">
      <c r="A4065" s="8" t="s">
        <v>8090</v>
      </c>
      <c r="B4065" s="8" t="s">
        <v>57669</v>
      </c>
      <c r="C4065" s="8" t="s">
        <v>8091</v>
      </c>
      <c r="D4065" s="8"/>
      <c r="E4065" s="6"/>
      <c r="F4065" s="6"/>
    </row>
    <row r="4066" spans="1:6" x14ac:dyDescent="0.3">
      <c r="A4066" s="8" t="s">
        <v>8092</v>
      </c>
      <c r="B4066" s="8" t="s">
        <v>57670</v>
      </c>
      <c r="C4066" s="8" t="s">
        <v>8093</v>
      </c>
      <c r="D4066" s="8"/>
      <c r="E4066" s="6"/>
      <c r="F4066" s="6"/>
    </row>
    <row r="4067" spans="1:6" x14ac:dyDescent="0.3">
      <c r="A4067" s="8" t="s">
        <v>8094</v>
      </c>
      <c r="B4067" s="8" t="s">
        <v>57671</v>
      </c>
      <c r="C4067" s="8" t="s">
        <v>8095</v>
      </c>
      <c r="D4067" s="8"/>
      <c r="E4067" s="6"/>
      <c r="F4067" s="6"/>
    </row>
    <row r="4068" spans="1:6" x14ac:dyDescent="0.3">
      <c r="A4068" s="8" t="s">
        <v>8096</v>
      </c>
      <c r="B4068" s="8" t="s">
        <v>57672</v>
      </c>
      <c r="C4068" s="8" t="s">
        <v>8097</v>
      </c>
      <c r="D4068" s="8"/>
      <c r="E4068" s="6"/>
      <c r="F4068" s="6"/>
    </row>
    <row r="4069" spans="1:6" x14ac:dyDescent="0.3">
      <c r="A4069" s="8" t="s">
        <v>8098</v>
      </c>
      <c r="B4069" s="8" t="s">
        <v>57673</v>
      </c>
      <c r="C4069" s="8" t="s">
        <v>8099</v>
      </c>
      <c r="D4069" s="8"/>
      <c r="E4069" s="6"/>
      <c r="F4069" s="6"/>
    </row>
    <row r="4070" spans="1:6" x14ac:dyDescent="0.3">
      <c r="A4070" s="8" t="s">
        <v>8100</v>
      </c>
      <c r="B4070" s="8" t="s">
        <v>57674</v>
      </c>
      <c r="C4070" s="8" t="s">
        <v>8101</v>
      </c>
      <c r="D4070" s="8"/>
      <c r="E4070" s="6"/>
      <c r="F4070" s="6"/>
    </row>
    <row r="4071" spans="1:6" x14ac:dyDescent="0.3">
      <c r="A4071" s="8" t="s">
        <v>8102</v>
      </c>
      <c r="B4071" s="8" t="s">
        <v>57675</v>
      </c>
      <c r="C4071" s="8" t="s">
        <v>8103</v>
      </c>
      <c r="D4071" s="8"/>
      <c r="E4071" s="6"/>
      <c r="F4071" s="6"/>
    </row>
    <row r="4072" spans="1:6" x14ac:dyDescent="0.3">
      <c r="A4072" s="8" t="s">
        <v>8104</v>
      </c>
      <c r="B4072" s="8" t="s">
        <v>57676</v>
      </c>
      <c r="C4072" s="8" t="s">
        <v>8105</v>
      </c>
      <c r="D4072" s="8"/>
      <c r="E4072" s="6"/>
      <c r="F4072" s="6"/>
    </row>
    <row r="4073" spans="1:6" x14ac:dyDescent="0.3">
      <c r="A4073" s="8" t="s">
        <v>8106</v>
      </c>
      <c r="B4073" s="8" t="s">
        <v>57677</v>
      </c>
      <c r="C4073" s="8" t="s">
        <v>8107</v>
      </c>
      <c r="D4073" s="8"/>
      <c r="E4073" s="6"/>
      <c r="F4073" s="6"/>
    </row>
    <row r="4074" spans="1:6" x14ac:dyDescent="0.3">
      <c r="A4074" s="8" t="s">
        <v>8108</v>
      </c>
      <c r="B4074" s="8" t="s">
        <v>57678</v>
      </c>
      <c r="C4074" s="8" t="s">
        <v>8109</v>
      </c>
      <c r="D4074" s="8"/>
      <c r="E4074" s="6"/>
      <c r="F4074" s="6"/>
    </row>
    <row r="4075" spans="1:6" x14ac:dyDescent="0.3">
      <c r="A4075" s="8" t="s">
        <v>8110</v>
      </c>
      <c r="B4075" s="8" t="s">
        <v>57679</v>
      </c>
      <c r="C4075" s="8" t="s">
        <v>8111</v>
      </c>
      <c r="D4075" s="8"/>
      <c r="E4075" s="6"/>
      <c r="F4075" s="6"/>
    </row>
    <row r="4076" spans="1:6" x14ac:dyDescent="0.3">
      <c r="A4076" s="8" t="s">
        <v>8112</v>
      </c>
      <c r="B4076" s="8" t="s">
        <v>57680</v>
      </c>
      <c r="C4076" s="8" t="s">
        <v>8113</v>
      </c>
      <c r="D4076" s="8"/>
      <c r="E4076" s="6"/>
      <c r="F4076" s="6"/>
    </row>
    <row r="4077" spans="1:6" x14ac:dyDescent="0.3">
      <c r="A4077" s="8" t="s">
        <v>8114</v>
      </c>
      <c r="B4077" s="8" t="s">
        <v>57681</v>
      </c>
      <c r="C4077" s="8" t="s">
        <v>8115</v>
      </c>
      <c r="D4077" s="8"/>
      <c r="E4077" s="6"/>
      <c r="F4077" s="6"/>
    </row>
    <row r="4078" spans="1:6" x14ac:dyDescent="0.3">
      <c r="A4078" s="8" t="s">
        <v>8116</v>
      </c>
      <c r="B4078" s="8" t="s">
        <v>57682</v>
      </c>
      <c r="C4078" s="8" t="s">
        <v>8117</v>
      </c>
      <c r="D4078" s="8"/>
      <c r="E4078" s="6"/>
      <c r="F4078" s="6"/>
    </row>
    <row r="4079" spans="1:6" x14ac:dyDescent="0.3">
      <c r="A4079" s="8" t="s">
        <v>8118</v>
      </c>
      <c r="B4079" s="8" t="s">
        <v>57683</v>
      </c>
      <c r="C4079" s="8" t="s">
        <v>8119</v>
      </c>
      <c r="D4079" s="8"/>
      <c r="E4079" s="6"/>
      <c r="F4079" s="6"/>
    </row>
    <row r="4080" spans="1:6" x14ac:dyDescent="0.3">
      <c r="A4080" s="8" t="s">
        <v>8120</v>
      </c>
      <c r="B4080" s="8" t="s">
        <v>57684</v>
      </c>
      <c r="C4080" s="8" t="s">
        <v>8121</v>
      </c>
      <c r="D4080" s="8"/>
      <c r="E4080" s="6"/>
      <c r="F4080" s="6"/>
    </row>
    <row r="4081" spans="1:6" x14ac:dyDescent="0.3">
      <c r="A4081" s="8" t="s">
        <v>8122</v>
      </c>
      <c r="B4081" s="8" t="s">
        <v>57685</v>
      </c>
      <c r="C4081" s="8" t="s">
        <v>8123</v>
      </c>
      <c r="D4081" s="8"/>
      <c r="E4081" s="6"/>
      <c r="F4081" s="6"/>
    </row>
    <row r="4082" spans="1:6" x14ac:dyDescent="0.3">
      <c r="A4082" s="8" t="s">
        <v>8124</v>
      </c>
      <c r="B4082" s="8" t="s">
        <v>57686</v>
      </c>
      <c r="C4082" s="8" t="s">
        <v>8125</v>
      </c>
      <c r="D4082" s="8"/>
      <c r="E4082" s="6"/>
      <c r="F4082" s="6"/>
    </row>
    <row r="4083" spans="1:6" x14ac:dyDescent="0.3">
      <c r="A4083" s="8" t="s">
        <v>8126</v>
      </c>
      <c r="B4083" s="8" t="s">
        <v>57687</v>
      </c>
      <c r="C4083" s="8" t="s">
        <v>8127</v>
      </c>
      <c r="D4083" s="8"/>
      <c r="E4083" s="6"/>
      <c r="F4083" s="6"/>
    </row>
    <row r="4084" spans="1:6" x14ac:dyDescent="0.3">
      <c r="A4084" s="8" t="s">
        <v>8128</v>
      </c>
      <c r="B4084" s="8" t="s">
        <v>57688</v>
      </c>
      <c r="C4084" s="8" t="s">
        <v>8129</v>
      </c>
      <c r="D4084" s="8"/>
      <c r="E4084" s="6"/>
      <c r="F4084" s="6"/>
    </row>
    <row r="4085" spans="1:6" x14ac:dyDescent="0.3">
      <c r="A4085" s="8" t="s">
        <v>8130</v>
      </c>
      <c r="B4085" s="8" t="s">
        <v>57689</v>
      </c>
      <c r="C4085" s="8" t="s">
        <v>8131</v>
      </c>
      <c r="D4085" s="8"/>
      <c r="E4085" s="6"/>
      <c r="F4085" s="6"/>
    </row>
    <row r="4086" spans="1:6" x14ac:dyDescent="0.3">
      <c r="A4086" s="8" t="s">
        <v>8132</v>
      </c>
      <c r="B4086" s="8" t="s">
        <v>57690</v>
      </c>
      <c r="C4086" s="8" t="s">
        <v>8133</v>
      </c>
      <c r="D4086" s="8"/>
      <c r="E4086" s="6"/>
      <c r="F4086" s="6"/>
    </row>
    <row r="4087" spans="1:6" x14ac:dyDescent="0.3">
      <c r="A4087" s="8" t="s">
        <v>8134</v>
      </c>
      <c r="B4087" s="8" t="s">
        <v>57691</v>
      </c>
      <c r="C4087" s="8" t="s">
        <v>8135</v>
      </c>
      <c r="D4087" s="8"/>
      <c r="E4087" s="6"/>
      <c r="F4087" s="6"/>
    </row>
    <row r="4088" spans="1:6" x14ac:dyDescent="0.3">
      <c r="A4088" s="8" t="s">
        <v>8136</v>
      </c>
      <c r="B4088" s="8" t="s">
        <v>57692</v>
      </c>
      <c r="C4088" s="8" t="s">
        <v>8137</v>
      </c>
      <c r="D4088" s="8"/>
      <c r="E4088" s="6"/>
      <c r="F4088" s="6"/>
    </row>
    <row r="4089" spans="1:6" x14ac:dyDescent="0.3">
      <c r="A4089" s="8" t="s">
        <v>8138</v>
      </c>
      <c r="B4089" s="8" t="s">
        <v>57693</v>
      </c>
      <c r="C4089" s="8" t="s">
        <v>8139</v>
      </c>
      <c r="D4089" s="8"/>
      <c r="E4089" s="6"/>
      <c r="F4089" s="6"/>
    </row>
    <row r="4090" spans="1:6" x14ac:dyDescent="0.3">
      <c r="A4090" s="8" t="s">
        <v>8140</v>
      </c>
      <c r="B4090" s="8" t="s">
        <v>57694</v>
      </c>
      <c r="C4090" s="8" t="s">
        <v>8141</v>
      </c>
      <c r="D4090" s="8"/>
      <c r="E4090" s="6"/>
      <c r="F4090" s="6"/>
    </row>
    <row r="4091" spans="1:6" x14ac:dyDescent="0.3">
      <c r="A4091" s="8" t="s">
        <v>8142</v>
      </c>
      <c r="B4091" s="8" t="s">
        <v>57695</v>
      </c>
      <c r="C4091" s="8" t="s">
        <v>8143</v>
      </c>
      <c r="D4091" s="8"/>
      <c r="E4091" s="6"/>
      <c r="F4091" s="6"/>
    </row>
    <row r="4092" spans="1:6" x14ac:dyDescent="0.3">
      <c r="A4092" s="8" t="s">
        <v>8144</v>
      </c>
      <c r="B4092" s="8" t="s">
        <v>57696</v>
      </c>
      <c r="C4092" s="8" t="s">
        <v>8145</v>
      </c>
      <c r="D4092" s="8"/>
      <c r="E4092" s="6"/>
      <c r="F4092" s="6"/>
    </row>
    <row r="4093" spans="1:6" x14ac:dyDescent="0.3">
      <c r="A4093" s="8" t="s">
        <v>8146</v>
      </c>
      <c r="B4093" s="8" t="s">
        <v>57697</v>
      </c>
      <c r="C4093" s="8" t="s">
        <v>8147</v>
      </c>
      <c r="D4093" s="8"/>
      <c r="E4093" s="6"/>
      <c r="F4093" s="6"/>
    </row>
    <row r="4094" spans="1:6" x14ac:dyDescent="0.3">
      <c r="A4094" s="8" t="s">
        <v>8148</v>
      </c>
      <c r="B4094" s="8" t="s">
        <v>57698</v>
      </c>
      <c r="C4094" s="8" t="s">
        <v>8149</v>
      </c>
      <c r="D4094" s="8"/>
      <c r="E4094" s="6"/>
      <c r="F4094" s="6"/>
    </row>
    <row r="4095" spans="1:6" x14ac:dyDescent="0.3">
      <c r="A4095" s="8" t="s">
        <v>8150</v>
      </c>
      <c r="B4095" s="8" t="s">
        <v>57699</v>
      </c>
      <c r="C4095" s="8" t="s">
        <v>8151</v>
      </c>
      <c r="D4095" s="8"/>
      <c r="E4095" s="6"/>
      <c r="F4095" s="6"/>
    </row>
    <row r="4096" spans="1:6" x14ac:dyDescent="0.3">
      <c r="A4096" s="8" t="s">
        <v>8152</v>
      </c>
      <c r="B4096" s="8" t="s">
        <v>57700</v>
      </c>
      <c r="C4096" s="8" t="s">
        <v>8153</v>
      </c>
      <c r="D4096" s="8"/>
      <c r="E4096" s="6"/>
      <c r="F4096" s="6"/>
    </row>
    <row r="4097" spans="1:6" x14ac:dyDescent="0.3">
      <c r="A4097" s="8" t="s">
        <v>8154</v>
      </c>
      <c r="B4097" s="8" t="s">
        <v>57701</v>
      </c>
      <c r="C4097" s="8" t="s">
        <v>8155</v>
      </c>
      <c r="D4097" s="8"/>
      <c r="E4097" s="6"/>
      <c r="F4097" s="6"/>
    </row>
    <row r="4098" spans="1:6" x14ac:dyDescent="0.3">
      <c r="A4098" s="8" t="s">
        <v>8156</v>
      </c>
      <c r="B4098" s="8" t="s">
        <v>57702</v>
      </c>
      <c r="C4098" s="8" t="s">
        <v>8157</v>
      </c>
      <c r="D4098" s="8"/>
      <c r="E4098" s="6"/>
      <c r="F4098" s="6"/>
    </row>
    <row r="4099" spans="1:6" x14ac:dyDescent="0.3">
      <c r="A4099" s="8" t="s">
        <v>8158</v>
      </c>
      <c r="B4099" s="8" t="s">
        <v>57703</v>
      </c>
      <c r="C4099" s="8" t="s">
        <v>8159</v>
      </c>
      <c r="D4099" s="8"/>
      <c r="E4099" s="6"/>
      <c r="F4099" s="6"/>
    </row>
    <row r="4100" spans="1:6" x14ac:dyDescent="0.3">
      <c r="A4100" s="8" t="s">
        <v>8160</v>
      </c>
      <c r="B4100" s="8" t="s">
        <v>57704</v>
      </c>
      <c r="C4100" s="8" t="s">
        <v>8161</v>
      </c>
      <c r="D4100" s="8"/>
      <c r="E4100" s="6"/>
      <c r="F4100" s="6"/>
    </row>
    <row r="4101" spans="1:6" x14ac:dyDescent="0.3">
      <c r="A4101" s="8" t="s">
        <v>8162</v>
      </c>
      <c r="B4101" s="8" t="s">
        <v>57705</v>
      </c>
      <c r="C4101" s="8" t="s">
        <v>8163</v>
      </c>
      <c r="D4101" s="8"/>
      <c r="E4101" s="6"/>
      <c r="F4101" s="6"/>
    </row>
    <row r="4102" spans="1:6" x14ac:dyDescent="0.3">
      <c r="A4102" s="8" t="s">
        <v>8164</v>
      </c>
      <c r="B4102" s="8" t="s">
        <v>57706</v>
      </c>
      <c r="C4102" s="8" t="s">
        <v>8165</v>
      </c>
      <c r="D4102" s="8"/>
      <c r="E4102" s="6"/>
      <c r="F4102" s="6"/>
    </row>
    <row r="4103" spans="1:6" x14ac:dyDescent="0.3">
      <c r="A4103" s="8" t="s">
        <v>8166</v>
      </c>
      <c r="B4103" s="8" t="s">
        <v>57707</v>
      </c>
      <c r="C4103" s="8" t="s">
        <v>8167</v>
      </c>
      <c r="D4103" s="8"/>
      <c r="E4103" s="6"/>
      <c r="F4103" s="6"/>
    </row>
    <row r="4104" spans="1:6" x14ac:dyDescent="0.3">
      <c r="A4104" s="8" t="s">
        <v>8168</v>
      </c>
      <c r="B4104" s="8" t="s">
        <v>57708</v>
      </c>
      <c r="C4104" s="8" t="s">
        <v>8169</v>
      </c>
      <c r="D4104" s="8"/>
      <c r="E4104" s="6"/>
      <c r="F4104" s="6"/>
    </row>
    <row r="4105" spans="1:6" x14ac:dyDescent="0.3">
      <c r="A4105" s="8" t="s">
        <v>8170</v>
      </c>
      <c r="B4105" s="8" t="s">
        <v>57709</v>
      </c>
      <c r="C4105" s="8" t="s">
        <v>8171</v>
      </c>
      <c r="D4105" s="8"/>
      <c r="E4105" s="6"/>
      <c r="F4105" s="6"/>
    </row>
    <row r="4106" spans="1:6" x14ac:dyDescent="0.3">
      <c r="A4106" s="8" t="s">
        <v>8172</v>
      </c>
      <c r="B4106" s="8" t="s">
        <v>57710</v>
      </c>
      <c r="C4106" s="8" t="s">
        <v>8173</v>
      </c>
      <c r="D4106" s="8"/>
      <c r="E4106" s="6"/>
      <c r="F4106" s="6"/>
    </row>
    <row r="4107" spans="1:6" x14ac:dyDescent="0.3">
      <c r="A4107" s="8" t="s">
        <v>8174</v>
      </c>
      <c r="B4107" s="8" t="s">
        <v>57711</v>
      </c>
      <c r="C4107" s="8" t="s">
        <v>8175</v>
      </c>
      <c r="D4107" s="8"/>
      <c r="E4107" s="6"/>
      <c r="F4107" s="6"/>
    </row>
    <row r="4108" spans="1:6" x14ac:dyDescent="0.3">
      <c r="A4108" s="8" t="s">
        <v>8176</v>
      </c>
      <c r="B4108" s="8" t="s">
        <v>57712</v>
      </c>
      <c r="C4108" s="8" t="s">
        <v>8177</v>
      </c>
      <c r="D4108" s="8"/>
      <c r="E4108" s="6"/>
      <c r="F4108" s="6"/>
    </row>
    <row r="4109" spans="1:6" x14ac:dyDescent="0.3">
      <c r="A4109" s="8" t="s">
        <v>8178</v>
      </c>
      <c r="B4109" s="8" t="s">
        <v>57713</v>
      </c>
      <c r="C4109" s="8" t="s">
        <v>8179</v>
      </c>
      <c r="D4109" s="8"/>
      <c r="E4109" s="6"/>
      <c r="F4109" s="6"/>
    </row>
    <row r="4110" spans="1:6" x14ac:dyDescent="0.3">
      <c r="A4110" s="8" t="s">
        <v>8180</v>
      </c>
      <c r="B4110" s="8" t="s">
        <v>57714</v>
      </c>
      <c r="C4110" s="8" t="s">
        <v>8181</v>
      </c>
      <c r="D4110" s="8"/>
      <c r="E4110" s="6"/>
      <c r="F4110" s="6"/>
    </row>
    <row r="4111" spans="1:6" x14ac:dyDescent="0.3">
      <c r="A4111" s="8" t="s">
        <v>8182</v>
      </c>
      <c r="B4111" s="8" t="s">
        <v>57715</v>
      </c>
      <c r="C4111" s="8" t="s">
        <v>8183</v>
      </c>
      <c r="D4111" s="8"/>
      <c r="E4111" s="6"/>
      <c r="F4111" s="6"/>
    </row>
    <row r="4112" spans="1:6" x14ac:dyDescent="0.3">
      <c r="A4112" s="8" t="s">
        <v>8184</v>
      </c>
      <c r="B4112" s="8" t="s">
        <v>57716</v>
      </c>
      <c r="C4112" s="8" t="s">
        <v>8185</v>
      </c>
      <c r="D4112" s="8"/>
      <c r="E4112" s="6"/>
      <c r="F4112" s="6"/>
    </row>
    <row r="4113" spans="1:6" x14ac:dyDescent="0.3">
      <c r="A4113" s="8" t="s">
        <v>8186</v>
      </c>
      <c r="B4113" s="8" t="s">
        <v>57717</v>
      </c>
      <c r="C4113" s="8" t="s">
        <v>8187</v>
      </c>
      <c r="D4113" s="8"/>
      <c r="E4113" s="6"/>
      <c r="F4113" s="6"/>
    </row>
    <row r="4114" spans="1:6" x14ac:dyDescent="0.3">
      <c r="A4114" s="8" t="s">
        <v>8188</v>
      </c>
      <c r="B4114" s="8" t="s">
        <v>57718</v>
      </c>
      <c r="C4114" s="8" t="s">
        <v>8189</v>
      </c>
      <c r="D4114" s="8"/>
      <c r="E4114" s="6"/>
      <c r="F4114" s="6"/>
    </row>
    <row r="4115" spans="1:6" x14ac:dyDescent="0.3">
      <c r="A4115" s="8" t="s">
        <v>8190</v>
      </c>
      <c r="B4115" s="8" t="s">
        <v>57719</v>
      </c>
      <c r="C4115" s="8" t="s">
        <v>8191</v>
      </c>
      <c r="D4115" s="8"/>
      <c r="E4115" s="6"/>
      <c r="F4115" s="6"/>
    </row>
    <row r="4116" spans="1:6" x14ac:dyDescent="0.3">
      <c r="A4116" s="8" t="s">
        <v>8192</v>
      </c>
      <c r="B4116" s="8" t="s">
        <v>57720</v>
      </c>
      <c r="C4116" s="8" t="s">
        <v>8193</v>
      </c>
      <c r="D4116" s="8"/>
      <c r="E4116" s="6"/>
      <c r="F4116" s="6"/>
    </row>
    <row r="4117" spans="1:6" x14ac:dyDescent="0.3">
      <c r="A4117" s="8" t="s">
        <v>8194</v>
      </c>
      <c r="B4117" s="8" t="s">
        <v>57721</v>
      </c>
      <c r="C4117" s="8" t="s">
        <v>8195</v>
      </c>
      <c r="D4117" s="8"/>
      <c r="E4117" s="6"/>
      <c r="F4117" s="6"/>
    </row>
    <row r="4118" spans="1:6" x14ac:dyDescent="0.3">
      <c r="A4118" s="8" t="s">
        <v>8196</v>
      </c>
      <c r="B4118" s="8" t="s">
        <v>57722</v>
      </c>
      <c r="C4118" s="8" t="s">
        <v>8197</v>
      </c>
      <c r="D4118" s="8"/>
      <c r="E4118" s="6"/>
      <c r="F4118" s="6"/>
    </row>
    <row r="4119" spans="1:6" x14ac:dyDescent="0.3">
      <c r="A4119" s="8" t="s">
        <v>8198</v>
      </c>
      <c r="B4119" s="8" t="s">
        <v>57723</v>
      </c>
      <c r="C4119" s="8" t="s">
        <v>8199</v>
      </c>
      <c r="D4119" s="8"/>
      <c r="E4119" s="6"/>
      <c r="F4119" s="6"/>
    </row>
    <row r="4120" spans="1:6" x14ac:dyDescent="0.3">
      <c r="A4120" s="8" t="s">
        <v>8200</v>
      </c>
      <c r="B4120" s="8" t="s">
        <v>57724</v>
      </c>
      <c r="C4120" s="8" t="s">
        <v>8201</v>
      </c>
      <c r="D4120" s="8"/>
      <c r="E4120" s="6"/>
      <c r="F4120" s="6"/>
    </row>
    <row r="4121" spans="1:6" x14ac:dyDescent="0.3">
      <c r="A4121" s="8" t="s">
        <v>8202</v>
      </c>
      <c r="B4121" s="8" t="s">
        <v>57725</v>
      </c>
      <c r="C4121" s="8" t="s">
        <v>8203</v>
      </c>
      <c r="D4121" s="8"/>
      <c r="E4121" s="6"/>
      <c r="F4121" s="6"/>
    </row>
    <row r="4122" spans="1:6" x14ac:dyDescent="0.3">
      <c r="A4122" s="8" t="s">
        <v>8204</v>
      </c>
      <c r="B4122" s="8" t="s">
        <v>57726</v>
      </c>
      <c r="C4122" s="8" t="s">
        <v>8205</v>
      </c>
      <c r="D4122" s="8"/>
      <c r="E4122" s="6"/>
      <c r="F4122" s="6"/>
    </row>
    <row r="4123" spans="1:6" x14ac:dyDescent="0.3">
      <c r="A4123" s="8" t="s">
        <v>8206</v>
      </c>
      <c r="B4123" s="8" t="s">
        <v>57727</v>
      </c>
      <c r="C4123" s="8" t="s">
        <v>8207</v>
      </c>
      <c r="D4123" s="8"/>
      <c r="E4123" s="6"/>
      <c r="F4123" s="6"/>
    </row>
    <row r="4124" spans="1:6" x14ac:dyDescent="0.3">
      <c r="A4124" s="8" t="s">
        <v>8208</v>
      </c>
      <c r="B4124" s="8" t="s">
        <v>57728</v>
      </c>
      <c r="C4124" s="8" t="s">
        <v>8209</v>
      </c>
      <c r="D4124" s="8"/>
      <c r="E4124" s="6"/>
      <c r="F4124" s="6"/>
    </row>
    <row r="4125" spans="1:6" x14ac:dyDescent="0.3">
      <c r="A4125" s="8" t="s">
        <v>8210</v>
      </c>
      <c r="B4125" s="8" t="s">
        <v>57729</v>
      </c>
      <c r="C4125" s="8" t="s">
        <v>8211</v>
      </c>
      <c r="D4125" s="8"/>
      <c r="E4125" s="6"/>
      <c r="F4125" s="6"/>
    </row>
    <row r="4126" spans="1:6" x14ac:dyDescent="0.3">
      <c r="A4126" s="8" t="s">
        <v>8212</v>
      </c>
      <c r="B4126" s="8" t="s">
        <v>57730</v>
      </c>
      <c r="C4126" s="8" t="s">
        <v>8213</v>
      </c>
      <c r="D4126" s="8"/>
      <c r="E4126" s="6"/>
      <c r="F4126" s="6"/>
    </row>
    <row r="4127" spans="1:6" x14ac:dyDescent="0.3">
      <c r="A4127" s="8" t="s">
        <v>8214</v>
      </c>
      <c r="B4127" s="8" t="s">
        <v>57731</v>
      </c>
      <c r="C4127" s="8" t="s">
        <v>8215</v>
      </c>
      <c r="D4127" s="8"/>
      <c r="E4127" s="6"/>
      <c r="F4127" s="6"/>
    </row>
    <row r="4128" spans="1:6" x14ac:dyDescent="0.3">
      <c r="A4128" s="8" t="s">
        <v>8216</v>
      </c>
      <c r="B4128" s="8" t="s">
        <v>57732</v>
      </c>
      <c r="C4128" s="8" t="s">
        <v>8217</v>
      </c>
      <c r="D4128" s="8"/>
      <c r="E4128" s="6"/>
      <c r="F4128" s="6"/>
    </row>
    <row r="4129" spans="1:6" x14ac:dyDescent="0.3">
      <c r="A4129" s="8" t="s">
        <v>8218</v>
      </c>
      <c r="B4129" s="8" t="s">
        <v>57733</v>
      </c>
      <c r="C4129" s="8" t="s">
        <v>8219</v>
      </c>
      <c r="D4129" s="8"/>
      <c r="E4129" s="6"/>
      <c r="F4129" s="6"/>
    </row>
    <row r="4130" spans="1:6" x14ac:dyDescent="0.3">
      <c r="A4130" s="8" t="s">
        <v>8220</v>
      </c>
      <c r="B4130" s="8" t="s">
        <v>57734</v>
      </c>
      <c r="C4130" s="8" t="s">
        <v>8221</v>
      </c>
      <c r="D4130" s="8"/>
      <c r="E4130" s="6"/>
      <c r="F4130" s="6"/>
    </row>
    <row r="4131" spans="1:6" x14ac:dyDescent="0.3">
      <c r="A4131" s="8" t="s">
        <v>8222</v>
      </c>
      <c r="B4131" s="8" t="s">
        <v>57735</v>
      </c>
      <c r="C4131" s="8" t="s">
        <v>8223</v>
      </c>
      <c r="D4131" s="8"/>
      <c r="E4131" s="6"/>
      <c r="F4131" s="6"/>
    </row>
    <row r="4132" spans="1:6" x14ac:dyDescent="0.3">
      <c r="A4132" s="8" t="s">
        <v>8224</v>
      </c>
      <c r="B4132" s="8" t="s">
        <v>57736</v>
      </c>
      <c r="C4132" s="8" t="s">
        <v>8225</v>
      </c>
      <c r="D4132" s="8"/>
      <c r="E4132" s="6"/>
      <c r="F4132" s="6"/>
    </row>
    <row r="4133" spans="1:6" x14ac:dyDescent="0.3">
      <c r="A4133" s="8" t="s">
        <v>8226</v>
      </c>
      <c r="B4133" s="8" t="s">
        <v>57737</v>
      </c>
      <c r="C4133" s="8" t="s">
        <v>8227</v>
      </c>
      <c r="D4133" s="8"/>
      <c r="E4133" s="6"/>
      <c r="F4133" s="6"/>
    </row>
    <row r="4134" spans="1:6" x14ac:dyDescent="0.3">
      <c r="A4134" s="8" t="s">
        <v>8228</v>
      </c>
      <c r="B4134" s="8" t="s">
        <v>57738</v>
      </c>
      <c r="C4134" s="8" t="s">
        <v>8229</v>
      </c>
      <c r="D4134" s="8"/>
      <c r="E4134" s="6"/>
      <c r="F4134" s="6"/>
    </row>
    <row r="4135" spans="1:6" x14ac:dyDescent="0.3">
      <c r="A4135" s="8" t="s">
        <v>8230</v>
      </c>
      <c r="B4135" s="8" t="s">
        <v>57739</v>
      </c>
      <c r="C4135" s="8" t="s">
        <v>8231</v>
      </c>
      <c r="D4135" s="8"/>
      <c r="E4135" s="6"/>
      <c r="F4135" s="6"/>
    </row>
    <row r="4136" spans="1:6" x14ac:dyDescent="0.3">
      <c r="A4136" s="8" t="s">
        <v>8232</v>
      </c>
      <c r="B4136" s="8" t="s">
        <v>57740</v>
      </c>
      <c r="C4136" s="8" t="s">
        <v>8233</v>
      </c>
      <c r="D4136" s="8"/>
      <c r="E4136" s="6"/>
      <c r="F4136" s="6"/>
    </row>
    <row r="4137" spans="1:6" x14ac:dyDescent="0.3">
      <c r="A4137" s="8" t="s">
        <v>8234</v>
      </c>
      <c r="B4137" s="8" t="s">
        <v>57741</v>
      </c>
      <c r="C4137" s="8" t="s">
        <v>8235</v>
      </c>
      <c r="D4137" s="8"/>
      <c r="E4137" s="6"/>
      <c r="F4137" s="6"/>
    </row>
    <row r="4138" spans="1:6" x14ac:dyDescent="0.3">
      <c r="A4138" s="8" t="s">
        <v>8236</v>
      </c>
      <c r="B4138" s="8" t="s">
        <v>57742</v>
      </c>
      <c r="C4138" s="8" t="s">
        <v>8237</v>
      </c>
      <c r="D4138" s="8"/>
      <c r="E4138" s="6"/>
      <c r="F4138" s="6"/>
    </row>
    <row r="4139" spans="1:6" x14ac:dyDescent="0.3">
      <c r="A4139" s="8" t="s">
        <v>8238</v>
      </c>
      <c r="B4139" s="8" t="s">
        <v>57743</v>
      </c>
      <c r="C4139" s="8" t="s">
        <v>8239</v>
      </c>
      <c r="D4139" s="8"/>
      <c r="E4139" s="6"/>
      <c r="F4139" s="6"/>
    </row>
    <row r="4140" spans="1:6" x14ac:dyDescent="0.3">
      <c r="A4140" s="8" t="s">
        <v>8240</v>
      </c>
      <c r="B4140" s="8" t="s">
        <v>57744</v>
      </c>
      <c r="C4140" s="8" t="s">
        <v>8241</v>
      </c>
      <c r="D4140" s="8"/>
      <c r="E4140" s="6"/>
      <c r="F4140" s="6"/>
    </row>
    <row r="4141" spans="1:6" x14ac:dyDescent="0.3">
      <c r="A4141" s="8" t="s">
        <v>8242</v>
      </c>
      <c r="B4141" s="8" t="s">
        <v>57745</v>
      </c>
      <c r="C4141" s="8" t="s">
        <v>8243</v>
      </c>
      <c r="D4141" s="8"/>
      <c r="E4141" s="6"/>
      <c r="F4141" s="6"/>
    </row>
    <row r="4142" spans="1:6" x14ac:dyDescent="0.3">
      <c r="A4142" s="8" t="s">
        <v>8244</v>
      </c>
      <c r="B4142" s="8" t="s">
        <v>57746</v>
      </c>
      <c r="C4142" s="8" t="s">
        <v>8245</v>
      </c>
      <c r="D4142" s="8"/>
      <c r="E4142" s="6"/>
      <c r="F4142" s="6"/>
    </row>
    <row r="4143" spans="1:6" x14ac:dyDescent="0.3">
      <c r="A4143" s="8" t="s">
        <v>8246</v>
      </c>
      <c r="B4143" s="8" t="s">
        <v>57747</v>
      </c>
      <c r="C4143" s="8" t="s">
        <v>8247</v>
      </c>
      <c r="D4143" s="8"/>
      <c r="E4143" s="6"/>
      <c r="F4143" s="6"/>
    </row>
    <row r="4144" spans="1:6" x14ac:dyDescent="0.3">
      <c r="A4144" s="8" t="s">
        <v>8248</v>
      </c>
      <c r="B4144" s="8" t="s">
        <v>57748</v>
      </c>
      <c r="C4144" s="8" t="s">
        <v>8249</v>
      </c>
      <c r="D4144" s="8"/>
      <c r="E4144" s="6"/>
      <c r="F4144" s="6"/>
    </row>
    <row r="4145" spans="1:6" x14ac:dyDescent="0.3">
      <c r="A4145" s="8" t="s">
        <v>8250</v>
      </c>
      <c r="B4145" s="8" t="s">
        <v>57749</v>
      </c>
      <c r="C4145" s="8" t="s">
        <v>8251</v>
      </c>
      <c r="D4145" s="8"/>
      <c r="E4145" s="6"/>
      <c r="F4145" s="6"/>
    </row>
    <row r="4146" spans="1:6" x14ac:dyDescent="0.3">
      <c r="A4146" s="8" t="s">
        <v>8252</v>
      </c>
      <c r="B4146" s="8" t="s">
        <v>57750</v>
      </c>
      <c r="C4146" s="8" t="s">
        <v>8253</v>
      </c>
      <c r="D4146" s="8"/>
      <c r="E4146" s="6"/>
      <c r="F4146" s="6"/>
    </row>
    <row r="4147" spans="1:6" x14ac:dyDescent="0.3">
      <c r="A4147" s="8" t="s">
        <v>8254</v>
      </c>
      <c r="B4147" s="8" t="s">
        <v>57751</v>
      </c>
      <c r="C4147" s="8" t="s">
        <v>8255</v>
      </c>
      <c r="D4147" s="8"/>
      <c r="E4147" s="6"/>
      <c r="F4147" s="6"/>
    </row>
    <row r="4148" spans="1:6" x14ac:dyDescent="0.3">
      <c r="A4148" s="8" t="s">
        <v>8256</v>
      </c>
      <c r="B4148" s="8" t="s">
        <v>57752</v>
      </c>
      <c r="C4148" s="8" t="s">
        <v>8257</v>
      </c>
      <c r="D4148" s="8"/>
      <c r="E4148" s="6"/>
      <c r="F4148" s="6"/>
    </row>
    <row r="4149" spans="1:6" x14ac:dyDescent="0.3">
      <c r="A4149" s="8" t="s">
        <v>8258</v>
      </c>
      <c r="B4149" s="8" t="s">
        <v>57753</v>
      </c>
      <c r="C4149" s="8" t="s">
        <v>8259</v>
      </c>
      <c r="D4149" s="8"/>
      <c r="E4149" s="6"/>
      <c r="F4149" s="6"/>
    </row>
    <row r="4150" spans="1:6" ht="28.8" x14ac:dyDescent="0.3">
      <c r="A4150" s="8" t="s">
        <v>8260</v>
      </c>
      <c r="B4150" s="8" t="s">
        <v>57754</v>
      </c>
      <c r="C4150" s="8" t="s">
        <v>8261</v>
      </c>
      <c r="D4150" s="8"/>
      <c r="E4150" s="6"/>
      <c r="F4150" s="6"/>
    </row>
    <row r="4151" spans="1:6" x14ac:dyDescent="0.3">
      <c r="A4151" s="8" t="s">
        <v>8262</v>
      </c>
      <c r="B4151" s="8" t="s">
        <v>57755</v>
      </c>
      <c r="C4151" s="8" t="s">
        <v>8263</v>
      </c>
      <c r="D4151" s="8"/>
      <c r="E4151" s="6"/>
      <c r="F4151" s="6"/>
    </row>
    <row r="4152" spans="1:6" x14ac:dyDescent="0.3">
      <c r="A4152" s="8" t="s">
        <v>8264</v>
      </c>
      <c r="B4152" s="8" t="s">
        <v>57756</v>
      </c>
      <c r="C4152" s="8" t="s">
        <v>8265</v>
      </c>
      <c r="D4152" s="8"/>
      <c r="E4152" s="6"/>
      <c r="F4152" s="6"/>
    </row>
    <row r="4153" spans="1:6" x14ac:dyDescent="0.3">
      <c r="A4153" s="8" t="s">
        <v>8266</v>
      </c>
      <c r="B4153" s="8" t="s">
        <v>57757</v>
      </c>
      <c r="C4153" s="8" t="s">
        <v>8267</v>
      </c>
      <c r="D4153" s="8"/>
      <c r="E4153" s="6"/>
      <c r="F4153" s="6"/>
    </row>
    <row r="4154" spans="1:6" x14ac:dyDescent="0.3">
      <c r="A4154" s="8" t="s">
        <v>8268</v>
      </c>
      <c r="B4154" s="8" t="s">
        <v>57758</v>
      </c>
      <c r="C4154" s="8" t="s">
        <v>8269</v>
      </c>
      <c r="D4154" s="8"/>
      <c r="E4154" s="6"/>
      <c r="F4154" s="6"/>
    </row>
    <row r="4155" spans="1:6" x14ac:dyDescent="0.3">
      <c r="A4155" s="8" t="s">
        <v>8270</v>
      </c>
      <c r="B4155" s="8" t="s">
        <v>57759</v>
      </c>
      <c r="C4155" s="8" t="s">
        <v>8271</v>
      </c>
      <c r="D4155" s="8"/>
      <c r="E4155" s="6"/>
      <c r="F4155" s="6"/>
    </row>
    <row r="4156" spans="1:6" x14ac:dyDescent="0.3">
      <c r="A4156" s="8" t="s">
        <v>8272</v>
      </c>
      <c r="B4156" s="8" t="s">
        <v>57760</v>
      </c>
      <c r="C4156" s="8" t="s">
        <v>8273</v>
      </c>
      <c r="D4156" s="8"/>
      <c r="E4156" s="6"/>
      <c r="F4156" s="6"/>
    </row>
    <row r="4157" spans="1:6" x14ac:dyDescent="0.3">
      <c r="A4157" s="8" t="s">
        <v>8274</v>
      </c>
      <c r="B4157" s="8" t="s">
        <v>57761</v>
      </c>
      <c r="C4157" s="8" t="s">
        <v>8275</v>
      </c>
      <c r="D4157" s="8"/>
      <c r="E4157" s="6"/>
      <c r="F4157" s="6"/>
    </row>
    <row r="4158" spans="1:6" x14ac:dyDescent="0.3">
      <c r="A4158" s="8" t="s">
        <v>8276</v>
      </c>
      <c r="B4158" s="8" t="s">
        <v>57762</v>
      </c>
      <c r="C4158" s="8" t="s">
        <v>8277</v>
      </c>
      <c r="D4158" s="8"/>
      <c r="E4158" s="6"/>
      <c r="F4158" s="6"/>
    </row>
    <row r="4159" spans="1:6" x14ac:dyDescent="0.3">
      <c r="A4159" s="8" t="s">
        <v>8278</v>
      </c>
      <c r="B4159" s="8" t="s">
        <v>57763</v>
      </c>
      <c r="C4159" s="8" t="s">
        <v>8279</v>
      </c>
      <c r="D4159" s="8"/>
      <c r="E4159" s="6"/>
      <c r="F4159" s="6"/>
    </row>
    <row r="4160" spans="1:6" x14ac:dyDescent="0.3">
      <c r="A4160" s="8" t="s">
        <v>8280</v>
      </c>
      <c r="B4160" s="8" t="s">
        <v>57764</v>
      </c>
      <c r="C4160" s="8" t="s">
        <v>8281</v>
      </c>
      <c r="D4160" s="8"/>
      <c r="E4160" s="6"/>
      <c r="F4160" s="6"/>
    </row>
    <row r="4161" spans="1:6" x14ac:dyDescent="0.3">
      <c r="A4161" s="8" t="s">
        <v>8282</v>
      </c>
      <c r="B4161" s="8" t="s">
        <v>57765</v>
      </c>
      <c r="C4161" s="8" t="s">
        <v>8283</v>
      </c>
      <c r="D4161" s="8"/>
      <c r="E4161" s="6"/>
      <c r="F4161" s="6"/>
    </row>
    <row r="4162" spans="1:6" x14ac:dyDescent="0.3">
      <c r="A4162" s="8" t="s">
        <v>8284</v>
      </c>
      <c r="B4162" s="8" t="s">
        <v>57766</v>
      </c>
      <c r="C4162" s="8" t="s">
        <v>8285</v>
      </c>
      <c r="D4162" s="8"/>
      <c r="E4162" s="6"/>
      <c r="F4162" s="6"/>
    </row>
    <row r="4163" spans="1:6" x14ac:dyDescent="0.3">
      <c r="A4163" s="8" t="s">
        <v>8286</v>
      </c>
      <c r="B4163" s="8" t="s">
        <v>57767</v>
      </c>
      <c r="C4163" s="8" t="s">
        <v>8287</v>
      </c>
      <c r="D4163" s="8"/>
      <c r="E4163" s="6"/>
      <c r="F4163" s="6"/>
    </row>
    <row r="4164" spans="1:6" x14ac:dyDescent="0.3">
      <c r="A4164" s="8" t="s">
        <v>8288</v>
      </c>
      <c r="B4164" s="8" t="s">
        <v>57768</v>
      </c>
      <c r="C4164" s="8" t="s">
        <v>8289</v>
      </c>
      <c r="D4164" s="8"/>
      <c r="E4164" s="6"/>
      <c r="F4164" s="6"/>
    </row>
    <row r="4165" spans="1:6" x14ac:dyDescent="0.3">
      <c r="A4165" s="8" t="s">
        <v>8290</v>
      </c>
      <c r="B4165" s="8" t="s">
        <v>57769</v>
      </c>
      <c r="C4165" s="8" t="s">
        <v>8291</v>
      </c>
      <c r="D4165" s="8"/>
      <c r="E4165" s="6"/>
      <c r="F4165" s="6"/>
    </row>
    <row r="4166" spans="1:6" x14ac:dyDescent="0.3">
      <c r="A4166" s="8" t="s">
        <v>8292</v>
      </c>
      <c r="B4166" s="8" t="s">
        <v>57770</v>
      </c>
      <c r="C4166" s="8" t="s">
        <v>8293</v>
      </c>
      <c r="D4166" s="8"/>
      <c r="E4166" s="6"/>
      <c r="F4166" s="6"/>
    </row>
    <row r="4167" spans="1:6" x14ac:dyDescent="0.3">
      <c r="A4167" s="8" t="s">
        <v>8294</v>
      </c>
      <c r="B4167" s="8" t="s">
        <v>57771</v>
      </c>
      <c r="C4167" s="8" t="s">
        <v>8295</v>
      </c>
      <c r="D4167" s="8"/>
      <c r="E4167" s="6"/>
      <c r="F4167" s="6"/>
    </row>
    <row r="4168" spans="1:6" x14ac:dyDescent="0.3">
      <c r="A4168" s="8" t="s">
        <v>8296</v>
      </c>
      <c r="B4168" s="8" t="s">
        <v>57772</v>
      </c>
      <c r="C4168" s="8" t="s">
        <v>8297</v>
      </c>
      <c r="D4168" s="8"/>
      <c r="E4168" s="6"/>
      <c r="F4168" s="6"/>
    </row>
    <row r="4169" spans="1:6" x14ac:dyDescent="0.3">
      <c r="A4169" s="8" t="s">
        <v>8298</v>
      </c>
      <c r="B4169" s="8" t="s">
        <v>57773</v>
      </c>
      <c r="C4169" s="8" t="s">
        <v>8299</v>
      </c>
      <c r="D4169" s="8"/>
      <c r="E4169" s="6"/>
      <c r="F4169" s="6"/>
    </row>
    <row r="4170" spans="1:6" x14ac:dyDescent="0.3">
      <c r="A4170" s="8" t="s">
        <v>8300</v>
      </c>
      <c r="B4170" s="8" t="s">
        <v>57774</v>
      </c>
      <c r="C4170" s="8" t="s">
        <v>8301</v>
      </c>
      <c r="D4170" s="8"/>
      <c r="E4170" s="6"/>
      <c r="F4170" s="6"/>
    </row>
    <row r="4171" spans="1:6" x14ac:dyDescent="0.3">
      <c r="A4171" s="8" t="s">
        <v>8302</v>
      </c>
      <c r="B4171" s="8" t="s">
        <v>57775</v>
      </c>
      <c r="C4171" s="8" t="s">
        <v>8303</v>
      </c>
      <c r="D4171" s="8"/>
      <c r="E4171" s="6"/>
      <c r="F4171" s="6"/>
    </row>
    <row r="4172" spans="1:6" x14ac:dyDescent="0.3">
      <c r="A4172" s="8" t="s">
        <v>8304</v>
      </c>
      <c r="B4172" s="8" t="s">
        <v>57776</v>
      </c>
      <c r="C4172" s="8" t="s">
        <v>8305</v>
      </c>
      <c r="D4172" s="8"/>
      <c r="E4172" s="6"/>
      <c r="F4172" s="6"/>
    </row>
    <row r="4173" spans="1:6" x14ac:dyDescent="0.3">
      <c r="A4173" s="8" t="s">
        <v>8306</v>
      </c>
      <c r="B4173" s="8" t="s">
        <v>57777</v>
      </c>
      <c r="C4173" s="8" t="s">
        <v>8307</v>
      </c>
      <c r="D4173" s="8"/>
      <c r="E4173" s="6"/>
      <c r="F4173" s="6"/>
    </row>
    <row r="4174" spans="1:6" x14ac:dyDescent="0.3">
      <c r="A4174" s="8" t="s">
        <v>8308</v>
      </c>
      <c r="B4174" s="8" t="s">
        <v>57778</v>
      </c>
      <c r="C4174" s="8" t="s">
        <v>8309</v>
      </c>
      <c r="D4174" s="8"/>
      <c r="E4174" s="6"/>
      <c r="F4174" s="6"/>
    </row>
    <row r="4175" spans="1:6" x14ac:dyDescent="0.3">
      <c r="A4175" s="8" t="s">
        <v>8310</v>
      </c>
      <c r="B4175" s="8" t="s">
        <v>57779</v>
      </c>
      <c r="C4175" s="8" t="s">
        <v>8311</v>
      </c>
      <c r="D4175" s="8"/>
      <c r="E4175" s="6"/>
      <c r="F4175" s="6"/>
    </row>
    <row r="4176" spans="1:6" x14ac:dyDescent="0.3">
      <c r="A4176" s="8" t="s">
        <v>8312</v>
      </c>
      <c r="B4176" s="8" t="s">
        <v>57780</v>
      </c>
      <c r="C4176" s="8" t="s">
        <v>8313</v>
      </c>
      <c r="D4176" s="8"/>
      <c r="E4176" s="6"/>
      <c r="F4176" s="6"/>
    </row>
    <row r="4177" spans="1:6" x14ac:dyDescent="0.3">
      <c r="A4177" s="8" t="s">
        <v>8314</v>
      </c>
      <c r="B4177" s="8" t="s">
        <v>57781</v>
      </c>
      <c r="C4177" s="8" t="s">
        <v>8315</v>
      </c>
      <c r="D4177" s="8"/>
      <c r="E4177" s="6"/>
      <c r="F4177" s="6"/>
    </row>
    <row r="4178" spans="1:6" x14ac:dyDescent="0.3">
      <c r="A4178" s="8" t="s">
        <v>8316</v>
      </c>
      <c r="B4178" s="8" t="s">
        <v>57782</v>
      </c>
      <c r="C4178" s="8" t="s">
        <v>8317</v>
      </c>
      <c r="D4178" s="8"/>
      <c r="E4178" s="6"/>
      <c r="F4178" s="6"/>
    </row>
    <row r="4179" spans="1:6" x14ac:dyDescent="0.3">
      <c r="A4179" s="8" t="s">
        <v>8318</v>
      </c>
      <c r="B4179" s="8" t="s">
        <v>57783</v>
      </c>
      <c r="C4179" s="8" t="s">
        <v>8319</v>
      </c>
      <c r="D4179" s="8"/>
      <c r="E4179" s="6"/>
      <c r="F4179" s="6"/>
    </row>
    <row r="4180" spans="1:6" x14ac:dyDescent="0.3">
      <c r="A4180" s="8" t="s">
        <v>8320</v>
      </c>
      <c r="B4180" s="8" t="s">
        <v>57784</v>
      </c>
      <c r="C4180" s="8" t="s">
        <v>8321</v>
      </c>
      <c r="D4180" s="8"/>
      <c r="E4180" s="6"/>
      <c r="F4180" s="6"/>
    </row>
    <row r="4181" spans="1:6" x14ac:dyDescent="0.3">
      <c r="A4181" s="8" t="s">
        <v>8322</v>
      </c>
      <c r="B4181" s="8" t="s">
        <v>57785</v>
      </c>
      <c r="C4181" s="8" t="s">
        <v>8323</v>
      </c>
      <c r="D4181" s="8"/>
      <c r="E4181" s="6"/>
      <c r="F4181" s="6"/>
    </row>
    <row r="4182" spans="1:6" x14ac:dyDescent="0.3">
      <c r="A4182" s="8" t="s">
        <v>8324</v>
      </c>
      <c r="B4182" s="8" t="s">
        <v>57786</v>
      </c>
      <c r="C4182" s="8" t="s">
        <v>8325</v>
      </c>
      <c r="D4182" s="8"/>
      <c r="E4182" s="6"/>
      <c r="F4182" s="6"/>
    </row>
    <row r="4183" spans="1:6" x14ac:dyDescent="0.3">
      <c r="A4183" s="8" t="s">
        <v>8326</v>
      </c>
      <c r="B4183" s="8" t="s">
        <v>57787</v>
      </c>
      <c r="C4183" s="8" t="s">
        <v>8327</v>
      </c>
      <c r="D4183" s="8"/>
      <c r="E4183" s="6"/>
      <c r="F4183" s="6"/>
    </row>
    <row r="4184" spans="1:6" x14ac:dyDescent="0.3">
      <c r="A4184" s="8" t="s">
        <v>8328</v>
      </c>
      <c r="B4184" s="8" t="s">
        <v>57788</v>
      </c>
      <c r="C4184" s="8" t="s">
        <v>8329</v>
      </c>
      <c r="D4184" s="8"/>
      <c r="E4184" s="6"/>
      <c r="F4184" s="6"/>
    </row>
    <row r="4185" spans="1:6" x14ac:dyDescent="0.3">
      <c r="A4185" s="8" t="s">
        <v>8330</v>
      </c>
      <c r="B4185" s="8" t="s">
        <v>57789</v>
      </c>
      <c r="C4185" s="8" t="s">
        <v>8331</v>
      </c>
      <c r="D4185" s="8"/>
      <c r="E4185" s="6"/>
      <c r="F4185" s="6"/>
    </row>
    <row r="4186" spans="1:6" x14ac:dyDescent="0.3">
      <c r="A4186" s="8" t="s">
        <v>8332</v>
      </c>
      <c r="B4186" s="8" t="s">
        <v>57790</v>
      </c>
      <c r="C4186" s="8" t="s">
        <v>8333</v>
      </c>
      <c r="D4186" s="8"/>
      <c r="E4186" s="6"/>
      <c r="F4186" s="6"/>
    </row>
    <row r="4187" spans="1:6" x14ac:dyDescent="0.3">
      <c r="A4187" s="8" t="s">
        <v>8334</v>
      </c>
      <c r="B4187" s="8" t="s">
        <v>57791</v>
      </c>
      <c r="C4187" s="8" t="s">
        <v>8335</v>
      </c>
      <c r="D4187" s="8"/>
      <c r="E4187" s="6"/>
      <c r="F4187" s="6"/>
    </row>
    <row r="4188" spans="1:6" x14ac:dyDescent="0.3">
      <c r="A4188" s="8" t="s">
        <v>8336</v>
      </c>
      <c r="B4188" s="8" t="s">
        <v>57792</v>
      </c>
      <c r="C4188" s="8" t="s">
        <v>8337</v>
      </c>
      <c r="D4188" s="8"/>
      <c r="E4188" s="6"/>
      <c r="F4188" s="6"/>
    </row>
    <row r="4189" spans="1:6" x14ac:dyDescent="0.3">
      <c r="A4189" s="8" t="s">
        <v>8338</v>
      </c>
      <c r="B4189" s="8" t="s">
        <v>57793</v>
      </c>
      <c r="C4189" s="8" t="s">
        <v>8339</v>
      </c>
      <c r="D4189" s="8"/>
      <c r="E4189" s="6"/>
      <c r="F4189" s="6"/>
    </row>
    <row r="4190" spans="1:6" x14ac:dyDescent="0.3">
      <c r="A4190" s="8" t="s">
        <v>8340</v>
      </c>
      <c r="B4190" s="8" t="s">
        <v>57794</v>
      </c>
      <c r="C4190" s="8" t="s">
        <v>8341</v>
      </c>
      <c r="D4190" s="8"/>
      <c r="E4190" s="6"/>
      <c r="F4190" s="6"/>
    </row>
    <row r="4191" spans="1:6" x14ac:dyDescent="0.3">
      <c r="A4191" s="8" t="s">
        <v>8342</v>
      </c>
      <c r="B4191" s="8" t="s">
        <v>57795</v>
      </c>
      <c r="C4191" s="8" t="s">
        <v>8343</v>
      </c>
      <c r="D4191" s="8"/>
      <c r="E4191" s="6"/>
      <c r="F4191" s="6"/>
    </row>
    <row r="4192" spans="1:6" x14ac:dyDescent="0.3">
      <c r="A4192" s="8" t="s">
        <v>8344</v>
      </c>
      <c r="B4192" s="8" t="s">
        <v>57796</v>
      </c>
      <c r="C4192" s="8" t="s">
        <v>8345</v>
      </c>
      <c r="D4192" s="8"/>
      <c r="E4192" s="6"/>
      <c r="F4192" s="6"/>
    </row>
    <row r="4193" spans="1:6" x14ac:dyDescent="0.3">
      <c r="A4193" s="8" t="s">
        <v>8346</v>
      </c>
      <c r="B4193" s="8" t="s">
        <v>57797</v>
      </c>
      <c r="C4193" s="8" t="s">
        <v>8347</v>
      </c>
      <c r="D4193" s="8"/>
      <c r="E4193" s="6"/>
      <c r="F4193" s="6"/>
    </row>
    <row r="4194" spans="1:6" x14ac:dyDescent="0.3">
      <c r="A4194" s="8" t="s">
        <v>8348</v>
      </c>
      <c r="B4194" s="8" t="s">
        <v>57798</v>
      </c>
      <c r="C4194" s="8" t="s">
        <v>8349</v>
      </c>
      <c r="D4194" s="8"/>
      <c r="E4194" s="6"/>
      <c r="F4194" s="6"/>
    </row>
    <row r="4195" spans="1:6" x14ac:dyDescent="0.3">
      <c r="A4195" s="8" t="s">
        <v>8350</v>
      </c>
      <c r="B4195" s="8" t="s">
        <v>57799</v>
      </c>
      <c r="C4195" s="8" t="s">
        <v>8351</v>
      </c>
      <c r="D4195" s="8"/>
      <c r="E4195" s="6"/>
      <c r="F4195" s="6"/>
    </row>
    <row r="4196" spans="1:6" x14ac:dyDescent="0.3">
      <c r="A4196" s="8" t="s">
        <v>8352</v>
      </c>
      <c r="B4196" s="8" t="s">
        <v>57800</v>
      </c>
      <c r="C4196" s="8" t="s">
        <v>8353</v>
      </c>
      <c r="D4196" s="8"/>
      <c r="E4196" s="6"/>
      <c r="F4196" s="6"/>
    </row>
    <row r="4197" spans="1:6" x14ac:dyDescent="0.3">
      <c r="A4197" s="8" t="s">
        <v>8354</v>
      </c>
      <c r="B4197" s="8" t="s">
        <v>57801</v>
      </c>
      <c r="C4197" s="8" t="s">
        <v>8355</v>
      </c>
      <c r="D4197" s="8"/>
      <c r="E4197" s="6"/>
      <c r="F4197" s="6"/>
    </row>
    <row r="4198" spans="1:6" x14ac:dyDescent="0.3">
      <c r="A4198" s="8" t="s">
        <v>8356</v>
      </c>
      <c r="B4198" s="8" t="s">
        <v>57802</v>
      </c>
      <c r="C4198" s="8" t="s">
        <v>8357</v>
      </c>
      <c r="D4198" s="8"/>
      <c r="E4198" s="6"/>
      <c r="F4198" s="6"/>
    </row>
    <row r="4199" spans="1:6" x14ac:dyDescent="0.3">
      <c r="A4199" s="8" t="s">
        <v>8358</v>
      </c>
      <c r="B4199" s="8" t="s">
        <v>57803</v>
      </c>
      <c r="C4199" s="8" t="s">
        <v>8359</v>
      </c>
      <c r="D4199" s="8"/>
      <c r="E4199" s="6"/>
      <c r="F4199" s="6"/>
    </row>
    <row r="4200" spans="1:6" x14ac:dyDescent="0.3">
      <c r="A4200" s="8" t="s">
        <v>8360</v>
      </c>
      <c r="B4200" s="8" t="s">
        <v>57804</v>
      </c>
      <c r="C4200" s="8" t="s">
        <v>8361</v>
      </c>
      <c r="D4200" s="8"/>
      <c r="E4200" s="6"/>
      <c r="F4200" s="6"/>
    </row>
    <row r="4201" spans="1:6" x14ac:dyDescent="0.3">
      <c r="A4201" s="8" t="s">
        <v>8362</v>
      </c>
      <c r="B4201" s="8" t="s">
        <v>57805</v>
      </c>
      <c r="C4201" s="8" t="s">
        <v>8363</v>
      </c>
      <c r="D4201" s="8"/>
      <c r="E4201" s="6"/>
      <c r="F4201" s="6"/>
    </row>
    <row r="4202" spans="1:6" x14ac:dyDescent="0.3">
      <c r="A4202" s="8" t="s">
        <v>8364</v>
      </c>
      <c r="B4202" s="8" t="s">
        <v>57806</v>
      </c>
      <c r="C4202" s="8" t="s">
        <v>8365</v>
      </c>
      <c r="D4202" s="8"/>
      <c r="E4202" s="6"/>
      <c r="F4202" s="6"/>
    </row>
    <row r="4203" spans="1:6" x14ac:dyDescent="0.3">
      <c r="A4203" s="8" t="s">
        <v>8366</v>
      </c>
      <c r="B4203" s="8" t="s">
        <v>57807</v>
      </c>
      <c r="C4203" s="8" t="s">
        <v>8367</v>
      </c>
      <c r="D4203" s="8"/>
      <c r="E4203" s="6"/>
      <c r="F4203" s="6"/>
    </row>
    <row r="4204" spans="1:6" x14ac:dyDescent="0.3">
      <c r="A4204" s="8" t="s">
        <v>8368</v>
      </c>
      <c r="B4204" s="8" t="s">
        <v>57808</v>
      </c>
      <c r="C4204" s="8" t="s">
        <v>8369</v>
      </c>
      <c r="D4204" s="8"/>
      <c r="E4204" s="6"/>
      <c r="F4204" s="6"/>
    </row>
    <row r="4205" spans="1:6" x14ac:dyDescent="0.3">
      <c r="A4205" s="8" t="s">
        <v>8370</v>
      </c>
      <c r="B4205" s="8" t="s">
        <v>57809</v>
      </c>
      <c r="C4205" s="8" t="s">
        <v>8371</v>
      </c>
      <c r="D4205" s="8"/>
      <c r="E4205" s="6"/>
      <c r="F4205" s="6"/>
    </row>
    <row r="4206" spans="1:6" x14ac:dyDescent="0.3">
      <c r="A4206" s="8" t="s">
        <v>8372</v>
      </c>
      <c r="B4206" s="8" t="s">
        <v>57810</v>
      </c>
      <c r="C4206" s="8" t="s">
        <v>8373</v>
      </c>
      <c r="D4206" s="8"/>
      <c r="E4206" s="6"/>
      <c r="F4206" s="6"/>
    </row>
    <row r="4207" spans="1:6" x14ac:dyDescent="0.3">
      <c r="A4207" s="8" t="s">
        <v>8374</v>
      </c>
      <c r="B4207" s="8" t="s">
        <v>57811</v>
      </c>
      <c r="C4207" s="8" t="s">
        <v>8375</v>
      </c>
      <c r="D4207" s="8"/>
      <c r="E4207" s="6"/>
      <c r="F4207" s="6"/>
    </row>
    <row r="4208" spans="1:6" x14ac:dyDescent="0.3">
      <c r="A4208" s="8" t="s">
        <v>8376</v>
      </c>
      <c r="B4208" s="8" t="s">
        <v>57812</v>
      </c>
      <c r="C4208" s="8" t="s">
        <v>8377</v>
      </c>
      <c r="D4208" s="8"/>
      <c r="E4208" s="6"/>
      <c r="F4208" s="6"/>
    </row>
    <row r="4209" spans="1:6" x14ac:dyDescent="0.3">
      <c r="A4209" s="8" t="s">
        <v>8378</v>
      </c>
      <c r="B4209" s="8" t="s">
        <v>57813</v>
      </c>
      <c r="C4209" s="8" t="s">
        <v>8379</v>
      </c>
      <c r="D4209" s="8"/>
      <c r="E4209" s="6"/>
      <c r="F4209" s="6"/>
    </row>
    <row r="4210" spans="1:6" x14ac:dyDescent="0.3">
      <c r="A4210" s="8" t="s">
        <v>8380</v>
      </c>
      <c r="B4210" s="8" t="s">
        <v>57814</v>
      </c>
      <c r="C4210" s="8" t="s">
        <v>8381</v>
      </c>
      <c r="D4210" s="8"/>
      <c r="E4210" s="6"/>
      <c r="F4210" s="6"/>
    </row>
    <row r="4211" spans="1:6" x14ac:dyDescent="0.3">
      <c r="A4211" s="8" t="s">
        <v>8382</v>
      </c>
      <c r="B4211" s="8" t="s">
        <v>57815</v>
      </c>
      <c r="C4211" s="8" t="s">
        <v>8383</v>
      </c>
      <c r="D4211" s="8"/>
      <c r="E4211" s="6"/>
      <c r="F4211" s="6"/>
    </row>
    <row r="4212" spans="1:6" x14ac:dyDescent="0.3">
      <c r="A4212" s="8" t="s">
        <v>8384</v>
      </c>
      <c r="B4212" s="8" t="s">
        <v>57816</v>
      </c>
      <c r="C4212" s="8" t="s">
        <v>8385</v>
      </c>
      <c r="D4212" s="8"/>
      <c r="E4212" s="6"/>
      <c r="F4212" s="6"/>
    </row>
    <row r="4213" spans="1:6" x14ac:dyDescent="0.3">
      <c r="A4213" s="8" t="s">
        <v>8386</v>
      </c>
      <c r="B4213" s="8" t="s">
        <v>57817</v>
      </c>
      <c r="C4213" s="8" t="s">
        <v>8387</v>
      </c>
      <c r="D4213" s="8"/>
      <c r="E4213" s="6"/>
      <c r="F4213" s="6"/>
    </row>
    <row r="4214" spans="1:6" x14ac:dyDescent="0.3">
      <c r="A4214" s="8" t="s">
        <v>8388</v>
      </c>
      <c r="B4214" s="8" t="s">
        <v>57818</v>
      </c>
      <c r="C4214" s="8" t="s">
        <v>8389</v>
      </c>
      <c r="D4214" s="8"/>
      <c r="E4214" s="6"/>
      <c r="F4214" s="6"/>
    </row>
    <row r="4215" spans="1:6" x14ac:dyDescent="0.3">
      <c r="A4215" s="8" t="s">
        <v>8390</v>
      </c>
      <c r="B4215" s="8" t="s">
        <v>57819</v>
      </c>
      <c r="C4215" s="8" t="s">
        <v>8391</v>
      </c>
      <c r="D4215" s="8"/>
      <c r="E4215" s="6"/>
      <c r="F4215" s="6"/>
    </row>
    <row r="4216" spans="1:6" x14ac:dyDescent="0.3">
      <c r="A4216" s="8" t="s">
        <v>8392</v>
      </c>
      <c r="B4216" s="8" t="s">
        <v>57820</v>
      </c>
      <c r="C4216" s="8" t="s">
        <v>8393</v>
      </c>
      <c r="D4216" s="8"/>
      <c r="E4216" s="6"/>
      <c r="F4216" s="6"/>
    </row>
    <row r="4217" spans="1:6" x14ac:dyDescent="0.3">
      <c r="A4217" s="8" t="s">
        <v>8394</v>
      </c>
      <c r="B4217" s="8" t="s">
        <v>57821</v>
      </c>
      <c r="C4217" s="8" t="s">
        <v>8395</v>
      </c>
      <c r="D4217" s="8"/>
      <c r="E4217" s="6"/>
      <c r="F4217" s="6"/>
    </row>
    <row r="4218" spans="1:6" x14ac:dyDescent="0.3">
      <c r="A4218" s="8" t="s">
        <v>8396</v>
      </c>
      <c r="B4218" s="8" t="s">
        <v>57822</v>
      </c>
      <c r="C4218" s="8" t="s">
        <v>8397</v>
      </c>
      <c r="D4218" s="8"/>
      <c r="E4218" s="6"/>
      <c r="F4218" s="6"/>
    </row>
    <row r="4219" spans="1:6" x14ac:dyDescent="0.3">
      <c r="A4219" s="8" t="s">
        <v>8398</v>
      </c>
      <c r="B4219" s="8" t="s">
        <v>57823</v>
      </c>
      <c r="C4219" s="8" t="s">
        <v>8399</v>
      </c>
      <c r="D4219" s="8"/>
      <c r="E4219" s="6"/>
      <c r="F4219" s="6"/>
    </row>
    <row r="4220" spans="1:6" x14ac:dyDescent="0.3">
      <c r="A4220" s="8" t="s">
        <v>8400</v>
      </c>
      <c r="B4220" s="8" t="s">
        <v>57824</v>
      </c>
      <c r="C4220" s="8" t="s">
        <v>8401</v>
      </c>
      <c r="D4220" s="8"/>
      <c r="E4220" s="6"/>
      <c r="F4220" s="6"/>
    </row>
    <row r="4221" spans="1:6" x14ac:dyDescent="0.3">
      <c r="A4221" s="8" t="s">
        <v>8402</v>
      </c>
      <c r="B4221" s="8" t="s">
        <v>57825</v>
      </c>
      <c r="C4221" s="8" t="s">
        <v>8403</v>
      </c>
      <c r="D4221" s="8"/>
      <c r="E4221" s="6"/>
      <c r="F4221" s="6"/>
    </row>
    <row r="4222" spans="1:6" x14ac:dyDescent="0.3">
      <c r="A4222" s="8" t="s">
        <v>8404</v>
      </c>
      <c r="B4222" s="8" t="s">
        <v>57826</v>
      </c>
      <c r="C4222" s="8" t="s">
        <v>8405</v>
      </c>
      <c r="D4222" s="8"/>
      <c r="E4222" s="6"/>
      <c r="F4222" s="6"/>
    </row>
    <row r="4223" spans="1:6" x14ac:dyDescent="0.3">
      <c r="A4223" s="8" t="s">
        <v>8406</v>
      </c>
      <c r="B4223" s="8" t="s">
        <v>57827</v>
      </c>
      <c r="C4223" s="8" t="s">
        <v>8407</v>
      </c>
      <c r="D4223" s="8"/>
      <c r="E4223" s="6"/>
      <c r="F4223" s="6"/>
    </row>
    <row r="4224" spans="1:6" x14ac:dyDescent="0.3">
      <c r="A4224" s="8" t="s">
        <v>8408</v>
      </c>
      <c r="B4224" s="8" t="s">
        <v>57828</v>
      </c>
      <c r="C4224" s="8" t="s">
        <v>8409</v>
      </c>
      <c r="D4224" s="8"/>
      <c r="E4224" s="6"/>
      <c r="F4224" s="6"/>
    </row>
    <row r="4225" spans="1:6" x14ac:dyDescent="0.3">
      <c r="A4225" s="8" t="s">
        <v>8410</v>
      </c>
      <c r="B4225" s="8" t="s">
        <v>57829</v>
      </c>
      <c r="C4225" s="8" t="s">
        <v>8411</v>
      </c>
      <c r="D4225" s="8"/>
      <c r="E4225" s="6"/>
      <c r="F4225" s="6"/>
    </row>
    <row r="4226" spans="1:6" x14ac:dyDescent="0.3">
      <c r="A4226" s="8" t="s">
        <v>8412</v>
      </c>
      <c r="B4226" s="8" t="s">
        <v>57830</v>
      </c>
      <c r="C4226" s="8" t="s">
        <v>8413</v>
      </c>
      <c r="D4226" s="8"/>
      <c r="E4226" s="6"/>
      <c r="F4226" s="6"/>
    </row>
    <row r="4227" spans="1:6" x14ac:dyDescent="0.3">
      <c r="A4227" s="8" t="s">
        <v>8414</v>
      </c>
      <c r="B4227" s="8" t="s">
        <v>57831</v>
      </c>
      <c r="C4227" s="8" t="s">
        <v>8415</v>
      </c>
      <c r="D4227" s="8"/>
      <c r="E4227" s="6"/>
      <c r="F4227" s="6"/>
    </row>
    <row r="4228" spans="1:6" x14ac:dyDescent="0.3">
      <c r="A4228" s="8" t="s">
        <v>8416</v>
      </c>
      <c r="B4228" s="8" t="s">
        <v>57832</v>
      </c>
      <c r="C4228" s="8" t="s">
        <v>8417</v>
      </c>
      <c r="D4228" s="8"/>
      <c r="E4228" s="6"/>
      <c r="F4228" s="6"/>
    </row>
    <row r="4229" spans="1:6" x14ac:dyDescent="0.3">
      <c r="A4229" s="8" t="s">
        <v>8418</v>
      </c>
      <c r="B4229" s="8" t="s">
        <v>57833</v>
      </c>
      <c r="C4229" s="8" t="s">
        <v>8419</v>
      </c>
      <c r="D4229" s="8"/>
      <c r="E4229" s="6"/>
      <c r="F4229" s="6"/>
    </row>
    <row r="4230" spans="1:6" x14ac:dyDescent="0.3">
      <c r="A4230" s="8" t="s">
        <v>8420</v>
      </c>
      <c r="B4230" s="8" t="s">
        <v>57834</v>
      </c>
      <c r="C4230" s="8" t="s">
        <v>8421</v>
      </c>
      <c r="D4230" s="8"/>
      <c r="E4230" s="6"/>
      <c r="F4230" s="6"/>
    </row>
    <row r="4231" spans="1:6" x14ac:dyDescent="0.3">
      <c r="A4231" s="8" t="s">
        <v>8422</v>
      </c>
      <c r="B4231" s="8" t="s">
        <v>57835</v>
      </c>
      <c r="C4231" s="8" t="s">
        <v>8423</v>
      </c>
      <c r="D4231" s="8"/>
      <c r="E4231" s="6"/>
      <c r="F4231" s="6"/>
    </row>
    <row r="4232" spans="1:6" x14ac:dyDescent="0.3">
      <c r="A4232" s="8" t="s">
        <v>8424</v>
      </c>
      <c r="B4232" s="8" t="s">
        <v>57836</v>
      </c>
      <c r="C4232" s="8" t="s">
        <v>8425</v>
      </c>
      <c r="D4232" s="8"/>
      <c r="E4232" s="6"/>
      <c r="F4232" s="6"/>
    </row>
    <row r="4233" spans="1:6" x14ac:dyDescent="0.3">
      <c r="A4233" s="8" t="s">
        <v>8426</v>
      </c>
      <c r="B4233" s="8" t="s">
        <v>57837</v>
      </c>
      <c r="C4233" s="8" t="s">
        <v>8427</v>
      </c>
      <c r="D4233" s="8"/>
      <c r="E4233" s="6"/>
      <c r="F4233" s="6"/>
    </row>
    <row r="4234" spans="1:6" x14ac:dyDescent="0.3">
      <c r="A4234" s="8" t="s">
        <v>8428</v>
      </c>
      <c r="B4234" s="8" t="s">
        <v>57838</v>
      </c>
      <c r="C4234" s="8" t="s">
        <v>8429</v>
      </c>
      <c r="D4234" s="8"/>
      <c r="E4234" s="6"/>
      <c r="F4234" s="6"/>
    </row>
    <row r="4235" spans="1:6" x14ac:dyDescent="0.3">
      <c r="A4235" s="8" t="s">
        <v>8430</v>
      </c>
      <c r="B4235" s="8" t="s">
        <v>57839</v>
      </c>
      <c r="C4235" s="8" t="s">
        <v>8431</v>
      </c>
      <c r="D4235" s="8"/>
      <c r="E4235" s="6"/>
      <c r="F4235" s="6"/>
    </row>
    <row r="4236" spans="1:6" x14ac:dyDescent="0.3">
      <c r="A4236" s="8" t="s">
        <v>8432</v>
      </c>
      <c r="B4236" s="8" t="s">
        <v>57840</v>
      </c>
      <c r="C4236" s="8" t="s">
        <v>8433</v>
      </c>
      <c r="D4236" s="8"/>
      <c r="E4236" s="6"/>
      <c r="F4236" s="6"/>
    </row>
    <row r="4237" spans="1:6" x14ac:dyDescent="0.3">
      <c r="A4237" s="8" t="s">
        <v>8434</v>
      </c>
      <c r="B4237" s="8" t="s">
        <v>57841</v>
      </c>
      <c r="C4237" s="8" t="s">
        <v>8435</v>
      </c>
      <c r="D4237" s="8"/>
      <c r="E4237" s="6"/>
      <c r="F4237" s="6"/>
    </row>
    <row r="4238" spans="1:6" x14ac:dyDescent="0.3">
      <c r="A4238" s="8" t="s">
        <v>8436</v>
      </c>
      <c r="B4238" s="8" t="s">
        <v>57842</v>
      </c>
      <c r="C4238" s="8" t="s">
        <v>8437</v>
      </c>
      <c r="D4238" s="8"/>
      <c r="E4238" s="6"/>
      <c r="F4238" s="6"/>
    </row>
    <row r="4239" spans="1:6" x14ac:dyDescent="0.3">
      <c r="A4239" s="8" t="s">
        <v>8438</v>
      </c>
      <c r="B4239" s="8" t="s">
        <v>57843</v>
      </c>
      <c r="C4239" s="8" t="s">
        <v>8439</v>
      </c>
      <c r="D4239" s="8"/>
      <c r="E4239" s="6"/>
      <c r="F4239" s="6"/>
    </row>
    <row r="4240" spans="1:6" x14ac:dyDescent="0.3">
      <c r="A4240" s="8" t="s">
        <v>8440</v>
      </c>
      <c r="B4240" s="8" t="s">
        <v>57844</v>
      </c>
      <c r="C4240" s="8" t="s">
        <v>8441</v>
      </c>
      <c r="D4240" s="8"/>
      <c r="E4240" s="6"/>
      <c r="F4240" s="6"/>
    </row>
    <row r="4241" spans="1:6" x14ac:dyDescent="0.3">
      <c r="A4241" s="8" t="s">
        <v>8442</v>
      </c>
      <c r="B4241" s="8" t="s">
        <v>57845</v>
      </c>
      <c r="C4241" s="8" t="s">
        <v>8443</v>
      </c>
      <c r="D4241" s="8"/>
      <c r="E4241" s="6"/>
      <c r="F4241" s="6"/>
    </row>
    <row r="4242" spans="1:6" x14ac:dyDescent="0.3">
      <c r="A4242" s="8" t="s">
        <v>8444</v>
      </c>
      <c r="B4242" s="8" t="s">
        <v>57846</v>
      </c>
      <c r="C4242" s="8" t="s">
        <v>8445</v>
      </c>
      <c r="D4242" s="8"/>
      <c r="E4242" s="6"/>
      <c r="F4242" s="6"/>
    </row>
    <row r="4243" spans="1:6" x14ac:dyDescent="0.3">
      <c r="A4243" s="8" t="s">
        <v>8446</v>
      </c>
      <c r="B4243" s="8" t="s">
        <v>57847</v>
      </c>
      <c r="C4243" s="8" t="s">
        <v>8447</v>
      </c>
      <c r="D4243" s="8"/>
      <c r="E4243" s="6"/>
      <c r="F4243" s="6"/>
    </row>
    <row r="4244" spans="1:6" x14ac:dyDescent="0.3">
      <c r="A4244" s="8" t="s">
        <v>8448</v>
      </c>
      <c r="B4244" s="8" t="s">
        <v>57848</v>
      </c>
      <c r="C4244" s="8" t="s">
        <v>8449</v>
      </c>
      <c r="D4244" s="8"/>
      <c r="E4244" s="6"/>
      <c r="F4244" s="6"/>
    </row>
    <row r="4245" spans="1:6" x14ac:dyDescent="0.3">
      <c r="A4245" s="8" t="s">
        <v>8450</v>
      </c>
      <c r="B4245" s="8" t="s">
        <v>57849</v>
      </c>
      <c r="C4245" s="8" t="s">
        <v>8451</v>
      </c>
      <c r="D4245" s="8"/>
      <c r="E4245" s="6"/>
      <c r="F4245" s="6"/>
    </row>
    <row r="4246" spans="1:6" x14ac:dyDescent="0.3">
      <c r="A4246" s="8" t="s">
        <v>8452</v>
      </c>
      <c r="B4246" s="8" t="s">
        <v>57850</v>
      </c>
      <c r="C4246" s="8" t="s">
        <v>8453</v>
      </c>
      <c r="D4246" s="8"/>
      <c r="E4246" s="6"/>
      <c r="F4246" s="6"/>
    </row>
    <row r="4247" spans="1:6" x14ac:dyDescent="0.3">
      <c r="A4247" s="8" t="s">
        <v>8454</v>
      </c>
      <c r="B4247" s="8" t="s">
        <v>57851</v>
      </c>
      <c r="C4247" s="8" t="s">
        <v>8455</v>
      </c>
      <c r="D4247" s="8"/>
      <c r="E4247" s="6"/>
      <c r="F4247" s="6"/>
    </row>
    <row r="4248" spans="1:6" x14ac:dyDescent="0.3">
      <c r="A4248" s="8" t="s">
        <v>8456</v>
      </c>
      <c r="B4248" s="8" t="s">
        <v>57852</v>
      </c>
      <c r="C4248" s="8" t="s">
        <v>8457</v>
      </c>
      <c r="D4248" s="8"/>
      <c r="E4248" s="6"/>
      <c r="F4248" s="6"/>
    </row>
    <row r="4249" spans="1:6" x14ac:dyDescent="0.3">
      <c r="A4249" s="8" t="s">
        <v>8458</v>
      </c>
      <c r="B4249" s="8" t="s">
        <v>57853</v>
      </c>
      <c r="C4249" s="8" t="s">
        <v>8459</v>
      </c>
      <c r="D4249" s="8"/>
      <c r="E4249" s="6"/>
      <c r="F4249" s="6"/>
    </row>
    <row r="4250" spans="1:6" x14ac:dyDescent="0.3">
      <c r="A4250" s="8" t="s">
        <v>8460</v>
      </c>
      <c r="B4250" s="8" t="s">
        <v>57854</v>
      </c>
      <c r="C4250" s="8" t="s">
        <v>8461</v>
      </c>
      <c r="D4250" s="8"/>
      <c r="E4250" s="6"/>
      <c r="F4250" s="6"/>
    </row>
    <row r="4251" spans="1:6" x14ac:dyDescent="0.3">
      <c r="A4251" s="8" t="s">
        <v>8462</v>
      </c>
      <c r="B4251" s="8" t="s">
        <v>57855</v>
      </c>
      <c r="C4251" s="8" t="s">
        <v>8463</v>
      </c>
      <c r="D4251" s="8"/>
      <c r="E4251" s="6"/>
      <c r="F4251" s="6"/>
    </row>
    <row r="4252" spans="1:6" x14ac:dyDescent="0.3">
      <c r="A4252" s="8" t="s">
        <v>8464</v>
      </c>
      <c r="B4252" s="8" t="s">
        <v>57856</v>
      </c>
      <c r="C4252" s="8" t="s">
        <v>8465</v>
      </c>
      <c r="D4252" s="8"/>
      <c r="E4252" s="6"/>
      <c r="F4252" s="6"/>
    </row>
    <row r="4253" spans="1:6" x14ac:dyDescent="0.3">
      <c r="A4253" s="8" t="s">
        <v>8466</v>
      </c>
      <c r="B4253" s="8" t="s">
        <v>57857</v>
      </c>
      <c r="C4253" s="8" t="s">
        <v>8467</v>
      </c>
      <c r="D4253" s="8"/>
      <c r="E4253" s="6"/>
      <c r="F4253" s="6"/>
    </row>
    <row r="4254" spans="1:6" x14ac:dyDescent="0.3">
      <c r="A4254" s="8" t="s">
        <v>8468</v>
      </c>
      <c r="B4254" s="8" t="s">
        <v>57858</v>
      </c>
      <c r="C4254" s="8" t="s">
        <v>8469</v>
      </c>
      <c r="D4254" s="8"/>
      <c r="E4254" s="6"/>
      <c r="F4254" s="6"/>
    </row>
    <row r="4255" spans="1:6" x14ac:dyDescent="0.3">
      <c r="A4255" s="8" t="s">
        <v>8470</v>
      </c>
      <c r="B4255" s="8" t="s">
        <v>57859</v>
      </c>
      <c r="C4255" s="8" t="s">
        <v>8471</v>
      </c>
      <c r="D4255" s="8"/>
      <c r="E4255" s="6"/>
      <c r="F4255" s="6"/>
    </row>
    <row r="4256" spans="1:6" x14ac:dyDescent="0.3">
      <c r="A4256" s="8" t="s">
        <v>8472</v>
      </c>
      <c r="B4256" s="8" t="s">
        <v>57860</v>
      </c>
      <c r="C4256" s="8" t="s">
        <v>8473</v>
      </c>
      <c r="D4256" s="8"/>
      <c r="E4256" s="6"/>
      <c r="F4256" s="6"/>
    </row>
    <row r="4257" spans="1:6" x14ac:dyDescent="0.3">
      <c r="A4257" s="8" t="s">
        <v>8474</v>
      </c>
      <c r="B4257" s="8" t="s">
        <v>57861</v>
      </c>
      <c r="C4257" s="8" t="s">
        <v>8475</v>
      </c>
      <c r="D4257" s="8"/>
      <c r="E4257" s="6"/>
      <c r="F4257" s="6"/>
    </row>
    <row r="4258" spans="1:6" x14ac:dyDescent="0.3">
      <c r="A4258" s="8" t="s">
        <v>8476</v>
      </c>
      <c r="B4258" s="8" t="s">
        <v>57862</v>
      </c>
      <c r="C4258" s="8" t="s">
        <v>8477</v>
      </c>
      <c r="D4258" s="8"/>
      <c r="E4258" s="6"/>
      <c r="F4258" s="6"/>
    </row>
    <row r="4259" spans="1:6" x14ac:dyDescent="0.3">
      <c r="A4259" s="8" t="s">
        <v>8478</v>
      </c>
      <c r="B4259" s="8" t="s">
        <v>57863</v>
      </c>
      <c r="C4259" s="8" t="s">
        <v>8479</v>
      </c>
      <c r="D4259" s="8"/>
      <c r="E4259" s="6"/>
      <c r="F4259" s="6"/>
    </row>
    <row r="4260" spans="1:6" x14ac:dyDescent="0.3">
      <c r="A4260" s="8" t="s">
        <v>8480</v>
      </c>
      <c r="B4260" s="8" t="s">
        <v>57864</v>
      </c>
      <c r="C4260" s="8" t="s">
        <v>8481</v>
      </c>
      <c r="D4260" s="8"/>
      <c r="E4260" s="6"/>
      <c r="F4260" s="6"/>
    </row>
    <row r="4261" spans="1:6" x14ac:dyDescent="0.3">
      <c r="A4261" s="8" t="s">
        <v>8482</v>
      </c>
      <c r="B4261" s="8" t="s">
        <v>57865</v>
      </c>
      <c r="C4261" s="8" t="s">
        <v>8483</v>
      </c>
      <c r="D4261" s="8"/>
      <c r="E4261" s="6"/>
      <c r="F4261" s="6"/>
    </row>
    <row r="4262" spans="1:6" x14ac:dyDescent="0.3">
      <c r="A4262" s="8" t="s">
        <v>8484</v>
      </c>
      <c r="B4262" s="8" t="s">
        <v>57866</v>
      </c>
      <c r="C4262" s="8" t="s">
        <v>8485</v>
      </c>
      <c r="D4262" s="8"/>
      <c r="E4262" s="6"/>
      <c r="F4262" s="6"/>
    </row>
    <row r="4263" spans="1:6" x14ac:dyDescent="0.3">
      <c r="A4263" s="8" t="s">
        <v>8486</v>
      </c>
      <c r="B4263" s="8" t="s">
        <v>57867</v>
      </c>
      <c r="C4263" s="8" t="s">
        <v>8487</v>
      </c>
      <c r="D4263" s="8"/>
      <c r="E4263" s="6"/>
      <c r="F4263" s="6"/>
    </row>
    <row r="4264" spans="1:6" x14ac:dyDescent="0.3">
      <c r="A4264" s="8" t="s">
        <v>8488</v>
      </c>
      <c r="B4264" s="8" t="s">
        <v>57868</v>
      </c>
      <c r="C4264" s="8" t="s">
        <v>8489</v>
      </c>
      <c r="D4264" s="8"/>
      <c r="E4264" s="6"/>
      <c r="F4264" s="6"/>
    </row>
    <row r="4265" spans="1:6" x14ac:dyDescent="0.3">
      <c r="A4265" s="8" t="s">
        <v>8490</v>
      </c>
      <c r="B4265" s="8" t="s">
        <v>57869</v>
      </c>
      <c r="C4265" s="8" t="s">
        <v>8491</v>
      </c>
      <c r="D4265" s="8"/>
      <c r="E4265" s="6"/>
      <c r="F4265" s="6"/>
    </row>
    <row r="4266" spans="1:6" x14ac:dyDescent="0.3">
      <c r="A4266" s="8" t="s">
        <v>8492</v>
      </c>
      <c r="B4266" s="8" t="s">
        <v>57870</v>
      </c>
      <c r="C4266" s="8" t="s">
        <v>8493</v>
      </c>
      <c r="D4266" s="8"/>
      <c r="E4266" s="6"/>
      <c r="F4266" s="6"/>
    </row>
    <row r="4267" spans="1:6" x14ac:dyDescent="0.3">
      <c r="A4267" s="8" t="s">
        <v>8494</v>
      </c>
      <c r="B4267" s="8" t="s">
        <v>57871</v>
      </c>
      <c r="C4267" s="8" t="s">
        <v>8495</v>
      </c>
      <c r="D4267" s="8"/>
      <c r="E4267" s="6"/>
      <c r="F4267" s="6"/>
    </row>
    <row r="4268" spans="1:6" x14ac:dyDescent="0.3">
      <c r="A4268" s="8" t="s">
        <v>8496</v>
      </c>
      <c r="B4268" s="8" t="s">
        <v>57872</v>
      </c>
      <c r="C4268" s="8" t="s">
        <v>8497</v>
      </c>
      <c r="D4268" s="8"/>
      <c r="E4268" s="6"/>
      <c r="F4268" s="6"/>
    </row>
    <row r="4269" spans="1:6" x14ac:dyDescent="0.3">
      <c r="A4269" s="8" t="s">
        <v>8498</v>
      </c>
      <c r="B4269" s="8" t="s">
        <v>57873</v>
      </c>
      <c r="C4269" s="8" t="s">
        <v>8499</v>
      </c>
      <c r="D4269" s="8"/>
      <c r="E4269" s="6"/>
      <c r="F4269" s="6"/>
    </row>
    <row r="4270" spans="1:6" x14ac:dyDescent="0.3">
      <c r="A4270" s="8" t="s">
        <v>8500</v>
      </c>
      <c r="B4270" s="8" t="s">
        <v>57874</v>
      </c>
      <c r="C4270" s="8" t="s">
        <v>8501</v>
      </c>
      <c r="D4270" s="8"/>
      <c r="E4270" s="6"/>
      <c r="F4270" s="6"/>
    </row>
    <row r="4271" spans="1:6" x14ac:dyDescent="0.3">
      <c r="A4271" s="8" t="s">
        <v>8502</v>
      </c>
      <c r="B4271" s="8" t="s">
        <v>57875</v>
      </c>
      <c r="C4271" s="8" t="s">
        <v>8503</v>
      </c>
      <c r="D4271" s="8"/>
      <c r="E4271" s="6"/>
      <c r="F4271" s="6"/>
    </row>
    <row r="4272" spans="1:6" x14ac:dyDescent="0.3">
      <c r="A4272" s="8" t="s">
        <v>8504</v>
      </c>
      <c r="B4272" s="8" t="s">
        <v>57876</v>
      </c>
      <c r="C4272" s="8" t="s">
        <v>8505</v>
      </c>
      <c r="D4272" s="8"/>
      <c r="E4272" s="6"/>
      <c r="F4272" s="6"/>
    </row>
    <row r="4273" spans="1:6" x14ac:dyDescent="0.3">
      <c r="A4273" s="8" t="s">
        <v>8506</v>
      </c>
      <c r="B4273" s="8" t="s">
        <v>57877</v>
      </c>
      <c r="C4273" s="8" t="s">
        <v>8507</v>
      </c>
      <c r="D4273" s="8"/>
      <c r="E4273" s="6"/>
      <c r="F4273" s="6"/>
    </row>
    <row r="4274" spans="1:6" x14ac:dyDescent="0.3">
      <c r="A4274" s="8" t="s">
        <v>8508</v>
      </c>
      <c r="B4274" s="8" t="s">
        <v>57878</v>
      </c>
      <c r="C4274" s="8" t="s">
        <v>8509</v>
      </c>
      <c r="D4274" s="8"/>
      <c r="E4274" s="6"/>
      <c r="F4274" s="6"/>
    </row>
    <row r="4275" spans="1:6" x14ac:dyDescent="0.3">
      <c r="A4275" s="8" t="s">
        <v>8510</v>
      </c>
      <c r="B4275" s="8" t="s">
        <v>57879</v>
      </c>
      <c r="C4275" s="8" t="s">
        <v>8511</v>
      </c>
      <c r="D4275" s="8"/>
      <c r="E4275" s="6"/>
      <c r="F4275" s="6"/>
    </row>
    <row r="4276" spans="1:6" x14ac:dyDescent="0.3">
      <c r="A4276" s="8" t="s">
        <v>8512</v>
      </c>
      <c r="B4276" s="8" t="s">
        <v>57880</v>
      </c>
      <c r="C4276" s="8" t="s">
        <v>8513</v>
      </c>
      <c r="D4276" s="8"/>
      <c r="E4276" s="6"/>
      <c r="F4276" s="6"/>
    </row>
    <row r="4277" spans="1:6" x14ac:dyDescent="0.3">
      <c r="A4277" s="8" t="s">
        <v>8514</v>
      </c>
      <c r="B4277" s="8" t="s">
        <v>57881</v>
      </c>
      <c r="C4277" s="8" t="s">
        <v>8515</v>
      </c>
      <c r="D4277" s="8"/>
      <c r="E4277" s="6"/>
      <c r="F4277" s="6"/>
    </row>
    <row r="4278" spans="1:6" x14ac:dyDescent="0.3">
      <c r="A4278" s="8" t="s">
        <v>8516</v>
      </c>
      <c r="B4278" s="8" t="s">
        <v>57882</v>
      </c>
      <c r="C4278" s="8" t="s">
        <v>8517</v>
      </c>
      <c r="D4278" s="8"/>
      <c r="E4278" s="6"/>
      <c r="F4278" s="6"/>
    </row>
    <row r="4279" spans="1:6" x14ac:dyDescent="0.3">
      <c r="A4279" s="8" t="s">
        <v>8518</v>
      </c>
      <c r="B4279" s="8" t="s">
        <v>57883</v>
      </c>
      <c r="C4279" s="8" t="s">
        <v>8519</v>
      </c>
      <c r="D4279" s="8"/>
      <c r="E4279" s="6"/>
      <c r="F4279" s="6"/>
    </row>
    <row r="4280" spans="1:6" x14ac:dyDescent="0.3">
      <c r="A4280" s="8" t="s">
        <v>8520</v>
      </c>
      <c r="B4280" s="8" t="s">
        <v>57884</v>
      </c>
      <c r="C4280" s="8" t="s">
        <v>8521</v>
      </c>
      <c r="D4280" s="8"/>
      <c r="E4280" s="6"/>
      <c r="F4280" s="6"/>
    </row>
    <row r="4281" spans="1:6" x14ac:dyDescent="0.3">
      <c r="A4281" s="8" t="s">
        <v>8522</v>
      </c>
      <c r="B4281" s="8" t="s">
        <v>57885</v>
      </c>
      <c r="C4281" s="8" t="s">
        <v>8523</v>
      </c>
      <c r="D4281" s="8"/>
      <c r="E4281" s="6"/>
      <c r="F4281" s="6"/>
    </row>
    <row r="4282" spans="1:6" x14ac:dyDescent="0.3">
      <c r="A4282" s="8" t="s">
        <v>8524</v>
      </c>
      <c r="B4282" s="8" t="s">
        <v>57886</v>
      </c>
      <c r="C4282" s="8" t="s">
        <v>8525</v>
      </c>
      <c r="D4282" s="8"/>
      <c r="E4282" s="6"/>
      <c r="F4282" s="6"/>
    </row>
    <row r="4283" spans="1:6" x14ac:dyDescent="0.3">
      <c r="A4283" s="8" t="s">
        <v>8526</v>
      </c>
      <c r="B4283" s="8" t="s">
        <v>57887</v>
      </c>
      <c r="C4283" s="8" t="s">
        <v>8527</v>
      </c>
      <c r="D4283" s="8"/>
      <c r="E4283" s="6"/>
      <c r="F4283" s="6"/>
    </row>
    <row r="4284" spans="1:6" x14ac:dyDescent="0.3">
      <c r="A4284" s="8" t="s">
        <v>8528</v>
      </c>
      <c r="B4284" s="8" t="s">
        <v>57888</v>
      </c>
      <c r="C4284" s="8" t="s">
        <v>8529</v>
      </c>
      <c r="D4284" s="8"/>
      <c r="E4284" s="6"/>
      <c r="F4284" s="6"/>
    </row>
    <row r="4285" spans="1:6" x14ac:dyDescent="0.3">
      <c r="A4285" s="8" t="s">
        <v>8530</v>
      </c>
      <c r="B4285" s="8" t="s">
        <v>57889</v>
      </c>
      <c r="C4285" s="8" t="s">
        <v>8531</v>
      </c>
      <c r="D4285" s="8"/>
      <c r="E4285" s="6"/>
      <c r="F4285" s="6"/>
    </row>
    <row r="4286" spans="1:6" x14ac:dyDescent="0.3">
      <c r="A4286" s="8" t="s">
        <v>8532</v>
      </c>
      <c r="B4286" s="8" t="s">
        <v>57890</v>
      </c>
      <c r="C4286" s="8" t="s">
        <v>8533</v>
      </c>
      <c r="D4286" s="8"/>
      <c r="E4286" s="6"/>
      <c r="F4286" s="6"/>
    </row>
    <row r="4287" spans="1:6" x14ac:dyDescent="0.3">
      <c r="A4287" s="8" t="s">
        <v>8534</v>
      </c>
      <c r="B4287" s="8" t="s">
        <v>57891</v>
      </c>
      <c r="C4287" s="8" t="s">
        <v>8535</v>
      </c>
      <c r="D4287" s="8"/>
      <c r="E4287" s="6"/>
      <c r="F4287" s="6"/>
    </row>
    <row r="4288" spans="1:6" x14ac:dyDescent="0.3">
      <c r="A4288" s="8" t="s">
        <v>8536</v>
      </c>
      <c r="B4288" s="8" t="s">
        <v>57892</v>
      </c>
      <c r="C4288" s="8" t="s">
        <v>8537</v>
      </c>
      <c r="D4288" s="8"/>
      <c r="E4288" s="6"/>
      <c r="F4288" s="6"/>
    </row>
    <row r="4289" spans="1:6" x14ac:dyDescent="0.3">
      <c r="A4289" s="8" t="s">
        <v>8538</v>
      </c>
      <c r="B4289" s="8" t="s">
        <v>57893</v>
      </c>
      <c r="C4289" s="8" t="s">
        <v>8539</v>
      </c>
      <c r="D4289" s="8"/>
      <c r="E4289" s="6"/>
      <c r="F4289" s="6"/>
    </row>
    <row r="4290" spans="1:6" x14ac:dyDescent="0.3">
      <c r="A4290" s="8" t="s">
        <v>8540</v>
      </c>
      <c r="B4290" s="8" t="s">
        <v>57894</v>
      </c>
      <c r="C4290" s="8" t="s">
        <v>8541</v>
      </c>
      <c r="D4290" s="8"/>
      <c r="E4290" s="6"/>
      <c r="F4290" s="6"/>
    </row>
    <row r="4291" spans="1:6" x14ac:dyDescent="0.3">
      <c r="A4291" s="8" t="s">
        <v>8542</v>
      </c>
      <c r="B4291" s="8" t="s">
        <v>57895</v>
      </c>
      <c r="C4291" s="8" t="s">
        <v>8543</v>
      </c>
      <c r="D4291" s="8"/>
      <c r="E4291" s="6"/>
      <c r="F4291" s="6"/>
    </row>
    <row r="4292" spans="1:6" x14ac:dyDescent="0.3">
      <c r="A4292" s="8" t="s">
        <v>8544</v>
      </c>
      <c r="B4292" s="8" t="s">
        <v>57896</v>
      </c>
      <c r="C4292" s="8" t="s">
        <v>8545</v>
      </c>
      <c r="D4292" s="8"/>
      <c r="E4292" s="6"/>
      <c r="F4292" s="6"/>
    </row>
    <row r="4293" spans="1:6" x14ac:dyDescent="0.3">
      <c r="A4293" s="8" t="s">
        <v>8546</v>
      </c>
      <c r="B4293" s="8" t="s">
        <v>57897</v>
      </c>
      <c r="C4293" s="8" t="s">
        <v>8547</v>
      </c>
      <c r="D4293" s="8"/>
      <c r="E4293" s="6"/>
      <c r="F4293" s="6"/>
    </row>
    <row r="4294" spans="1:6" x14ac:dyDescent="0.3">
      <c r="A4294" s="8" t="s">
        <v>8548</v>
      </c>
      <c r="B4294" s="8" t="s">
        <v>57898</v>
      </c>
      <c r="C4294" s="8" t="s">
        <v>8549</v>
      </c>
      <c r="D4294" s="8"/>
      <c r="E4294" s="6"/>
      <c r="F4294" s="6"/>
    </row>
    <row r="4295" spans="1:6" x14ac:dyDescent="0.3">
      <c r="A4295" s="8" t="s">
        <v>8550</v>
      </c>
      <c r="B4295" s="8" t="s">
        <v>57899</v>
      </c>
      <c r="C4295" s="8" t="s">
        <v>8551</v>
      </c>
      <c r="D4295" s="8"/>
      <c r="E4295" s="6"/>
      <c r="F4295" s="6"/>
    </row>
    <row r="4296" spans="1:6" x14ac:dyDescent="0.3">
      <c r="A4296" s="8" t="s">
        <v>8552</v>
      </c>
      <c r="B4296" s="8" t="s">
        <v>57900</v>
      </c>
      <c r="C4296" s="8" t="s">
        <v>8553</v>
      </c>
      <c r="D4296" s="8"/>
      <c r="E4296" s="6"/>
      <c r="F4296" s="6"/>
    </row>
    <row r="4297" spans="1:6" x14ac:dyDescent="0.3">
      <c r="A4297" s="8" t="s">
        <v>8554</v>
      </c>
      <c r="B4297" s="8" t="s">
        <v>57901</v>
      </c>
      <c r="C4297" s="8" t="s">
        <v>8555</v>
      </c>
      <c r="D4297" s="8"/>
      <c r="E4297" s="6"/>
      <c r="F4297" s="6"/>
    </row>
    <row r="4298" spans="1:6" x14ac:dyDescent="0.3">
      <c r="A4298" s="8" t="s">
        <v>8556</v>
      </c>
      <c r="B4298" s="8" t="s">
        <v>57902</v>
      </c>
      <c r="C4298" s="8" t="s">
        <v>8557</v>
      </c>
      <c r="D4298" s="8"/>
      <c r="E4298" s="6"/>
      <c r="F4298" s="6"/>
    </row>
    <row r="4299" spans="1:6" x14ac:dyDescent="0.3">
      <c r="A4299" s="8" t="s">
        <v>8558</v>
      </c>
      <c r="B4299" s="8" t="s">
        <v>57902</v>
      </c>
      <c r="C4299" s="8" t="s">
        <v>8559</v>
      </c>
      <c r="D4299" s="8"/>
      <c r="E4299" s="6"/>
      <c r="F4299" s="6"/>
    </row>
    <row r="4300" spans="1:6" x14ac:dyDescent="0.3">
      <c r="A4300" s="8" t="s">
        <v>8560</v>
      </c>
      <c r="B4300" s="8" t="s">
        <v>57903</v>
      </c>
      <c r="C4300" s="8" t="s">
        <v>8561</v>
      </c>
      <c r="D4300" s="8"/>
      <c r="E4300" s="6"/>
      <c r="F4300" s="6"/>
    </row>
    <row r="4301" spans="1:6" x14ac:dyDescent="0.3">
      <c r="A4301" s="8" t="s">
        <v>8562</v>
      </c>
      <c r="B4301" s="8" t="s">
        <v>57904</v>
      </c>
      <c r="C4301" s="8" t="s">
        <v>8563</v>
      </c>
      <c r="D4301" s="8"/>
      <c r="E4301" s="6"/>
      <c r="F4301" s="6"/>
    </row>
    <row r="4302" spans="1:6" x14ac:dyDescent="0.3">
      <c r="A4302" s="8" t="s">
        <v>8564</v>
      </c>
      <c r="B4302" s="8" t="s">
        <v>57905</v>
      </c>
      <c r="C4302" s="8" t="s">
        <v>8565</v>
      </c>
      <c r="D4302" s="8"/>
      <c r="E4302" s="6"/>
      <c r="F4302" s="6"/>
    </row>
    <row r="4303" spans="1:6" x14ac:dyDescent="0.3">
      <c r="A4303" s="8" t="s">
        <v>8566</v>
      </c>
      <c r="B4303" s="8" t="s">
        <v>57906</v>
      </c>
      <c r="C4303" s="8" t="s">
        <v>8567</v>
      </c>
      <c r="D4303" s="8"/>
      <c r="E4303" s="6"/>
      <c r="F4303" s="6"/>
    </row>
    <row r="4304" spans="1:6" x14ac:dyDescent="0.3">
      <c r="A4304" s="8" t="s">
        <v>8568</v>
      </c>
      <c r="B4304" s="8" t="s">
        <v>57907</v>
      </c>
      <c r="C4304" s="8" t="s">
        <v>8569</v>
      </c>
      <c r="D4304" s="8"/>
      <c r="E4304" s="6"/>
      <c r="F4304" s="6"/>
    </row>
    <row r="4305" spans="1:6" x14ac:dyDescent="0.3">
      <c r="A4305" s="8" t="s">
        <v>8570</v>
      </c>
      <c r="B4305" s="8" t="s">
        <v>57908</v>
      </c>
      <c r="C4305" s="8" t="s">
        <v>8571</v>
      </c>
      <c r="D4305" s="8"/>
      <c r="E4305" s="6"/>
      <c r="F4305" s="6"/>
    </row>
    <row r="4306" spans="1:6" x14ac:dyDescent="0.3">
      <c r="A4306" s="8" t="s">
        <v>8572</v>
      </c>
      <c r="B4306" s="8" t="s">
        <v>57909</v>
      </c>
      <c r="C4306" s="8" t="s">
        <v>8573</v>
      </c>
      <c r="D4306" s="8"/>
      <c r="E4306" s="6"/>
      <c r="F4306" s="6"/>
    </row>
    <row r="4307" spans="1:6" x14ac:dyDescent="0.3">
      <c r="A4307" s="8" t="s">
        <v>8574</v>
      </c>
      <c r="B4307" s="8" t="s">
        <v>57910</v>
      </c>
      <c r="C4307" s="8" t="s">
        <v>8575</v>
      </c>
      <c r="D4307" s="8"/>
      <c r="E4307" s="6"/>
      <c r="F4307" s="6"/>
    </row>
    <row r="4308" spans="1:6" x14ac:dyDescent="0.3">
      <c r="A4308" s="8" t="s">
        <v>8576</v>
      </c>
      <c r="B4308" s="8" t="s">
        <v>57911</v>
      </c>
      <c r="C4308" s="8" t="s">
        <v>8577</v>
      </c>
      <c r="D4308" s="8"/>
      <c r="E4308" s="6"/>
      <c r="F4308" s="6"/>
    </row>
    <row r="4309" spans="1:6" x14ac:dyDescent="0.3">
      <c r="A4309" s="8" t="s">
        <v>8578</v>
      </c>
      <c r="B4309" s="8" t="s">
        <v>57912</v>
      </c>
      <c r="C4309" s="8" t="s">
        <v>8579</v>
      </c>
      <c r="D4309" s="8"/>
      <c r="E4309" s="6"/>
      <c r="F4309" s="6"/>
    </row>
    <row r="4310" spans="1:6" x14ac:dyDescent="0.3">
      <c r="A4310" s="8" t="s">
        <v>8580</v>
      </c>
      <c r="B4310" s="8" t="s">
        <v>57913</v>
      </c>
      <c r="C4310" s="8" t="s">
        <v>8581</v>
      </c>
      <c r="D4310" s="8"/>
      <c r="E4310" s="6"/>
      <c r="F4310" s="6"/>
    </row>
    <row r="4311" spans="1:6" x14ac:dyDescent="0.3">
      <c r="A4311" s="8" t="s">
        <v>8582</v>
      </c>
      <c r="B4311" s="8" t="s">
        <v>57914</v>
      </c>
      <c r="C4311" s="8" t="s">
        <v>8583</v>
      </c>
      <c r="D4311" s="8"/>
      <c r="E4311" s="6"/>
      <c r="F4311" s="6"/>
    </row>
    <row r="4312" spans="1:6" x14ac:dyDescent="0.3">
      <c r="A4312" s="8" t="s">
        <v>8584</v>
      </c>
      <c r="B4312" s="8" t="s">
        <v>57915</v>
      </c>
      <c r="C4312" s="8" t="s">
        <v>8585</v>
      </c>
      <c r="D4312" s="8"/>
      <c r="E4312" s="6"/>
      <c r="F4312" s="6"/>
    </row>
    <row r="4313" spans="1:6" x14ac:dyDescent="0.3">
      <c r="A4313" s="8" t="s">
        <v>8586</v>
      </c>
      <c r="B4313" s="8" t="s">
        <v>57916</v>
      </c>
      <c r="C4313" s="8" t="s">
        <v>8587</v>
      </c>
      <c r="D4313" s="8"/>
      <c r="E4313" s="6"/>
      <c r="F4313" s="6"/>
    </row>
    <row r="4314" spans="1:6" x14ac:dyDescent="0.3">
      <c r="A4314" s="8" t="s">
        <v>8588</v>
      </c>
      <c r="B4314" s="8" t="s">
        <v>57917</v>
      </c>
      <c r="C4314" s="8" t="s">
        <v>8589</v>
      </c>
      <c r="D4314" s="8"/>
      <c r="E4314" s="6"/>
      <c r="F4314" s="6"/>
    </row>
    <row r="4315" spans="1:6" x14ac:dyDescent="0.3">
      <c r="A4315" s="8" t="s">
        <v>8590</v>
      </c>
      <c r="B4315" s="8" t="s">
        <v>57918</v>
      </c>
      <c r="C4315" s="8" t="s">
        <v>8591</v>
      </c>
      <c r="D4315" s="8"/>
      <c r="E4315" s="6"/>
      <c r="F4315" s="6"/>
    </row>
    <row r="4316" spans="1:6" x14ac:dyDescent="0.3">
      <c r="A4316" s="8" t="s">
        <v>8592</v>
      </c>
      <c r="B4316" s="8" t="s">
        <v>57919</v>
      </c>
      <c r="C4316" s="8" t="s">
        <v>8593</v>
      </c>
      <c r="D4316" s="8"/>
      <c r="E4316" s="6"/>
      <c r="F4316" s="6"/>
    </row>
    <row r="4317" spans="1:6" x14ac:dyDescent="0.3">
      <c r="A4317" s="8" t="s">
        <v>8594</v>
      </c>
      <c r="B4317" s="8" t="s">
        <v>57920</v>
      </c>
      <c r="C4317" s="8" t="s">
        <v>8595</v>
      </c>
      <c r="D4317" s="8"/>
      <c r="E4317" s="6"/>
      <c r="F4317" s="6"/>
    </row>
    <row r="4318" spans="1:6" x14ac:dyDescent="0.3">
      <c r="A4318" s="8" t="s">
        <v>8596</v>
      </c>
      <c r="B4318" s="8" t="s">
        <v>57921</v>
      </c>
      <c r="C4318" s="8" t="s">
        <v>8597</v>
      </c>
      <c r="D4318" s="8"/>
      <c r="E4318" s="6"/>
      <c r="F4318" s="6"/>
    </row>
    <row r="4319" spans="1:6" x14ac:dyDescent="0.3">
      <c r="A4319" s="8" t="s">
        <v>8598</v>
      </c>
      <c r="B4319" s="8" t="s">
        <v>57922</v>
      </c>
      <c r="C4319" s="8" t="s">
        <v>8599</v>
      </c>
      <c r="D4319" s="8"/>
      <c r="E4319" s="6"/>
      <c r="F4319" s="6"/>
    </row>
    <row r="4320" spans="1:6" x14ac:dyDescent="0.3">
      <c r="A4320" s="8" t="s">
        <v>8600</v>
      </c>
      <c r="B4320" s="8" t="s">
        <v>57923</v>
      </c>
      <c r="C4320" s="8" t="s">
        <v>8601</v>
      </c>
      <c r="D4320" s="8"/>
      <c r="E4320" s="6"/>
      <c r="F4320" s="6"/>
    </row>
    <row r="4321" spans="1:6" x14ac:dyDescent="0.3">
      <c r="A4321" s="8" t="s">
        <v>8602</v>
      </c>
      <c r="B4321" s="8" t="s">
        <v>57924</v>
      </c>
      <c r="C4321" s="8" t="s">
        <v>8603</v>
      </c>
      <c r="D4321" s="8"/>
      <c r="E4321" s="6"/>
      <c r="F4321" s="6"/>
    </row>
    <row r="4322" spans="1:6" x14ac:dyDescent="0.3">
      <c r="A4322" s="8" t="s">
        <v>8604</v>
      </c>
      <c r="B4322" s="8" t="s">
        <v>57925</v>
      </c>
      <c r="C4322" s="8" t="s">
        <v>8605</v>
      </c>
      <c r="D4322" s="8"/>
      <c r="E4322" s="6"/>
      <c r="F4322" s="6"/>
    </row>
    <row r="4323" spans="1:6" x14ac:dyDescent="0.3">
      <c r="A4323" s="8" t="s">
        <v>8606</v>
      </c>
      <c r="B4323" s="8" t="s">
        <v>57926</v>
      </c>
      <c r="C4323" s="8" t="s">
        <v>8607</v>
      </c>
      <c r="D4323" s="8"/>
      <c r="E4323" s="6"/>
      <c r="F4323" s="6"/>
    </row>
    <row r="4324" spans="1:6" x14ac:dyDescent="0.3">
      <c r="A4324" s="8" t="s">
        <v>8608</v>
      </c>
      <c r="B4324" s="8" t="s">
        <v>57927</v>
      </c>
      <c r="C4324" s="8" t="s">
        <v>8609</v>
      </c>
      <c r="D4324" s="8"/>
      <c r="E4324" s="6"/>
      <c r="F4324" s="6"/>
    </row>
    <row r="4325" spans="1:6" x14ac:dyDescent="0.3">
      <c r="A4325" s="8" t="s">
        <v>8610</v>
      </c>
      <c r="B4325" s="8" t="s">
        <v>57928</v>
      </c>
      <c r="C4325" s="8" t="s">
        <v>8611</v>
      </c>
      <c r="D4325" s="8"/>
      <c r="E4325" s="6"/>
      <c r="F4325" s="6"/>
    </row>
    <row r="4326" spans="1:6" x14ac:dyDescent="0.3">
      <c r="A4326" s="8" t="s">
        <v>8612</v>
      </c>
      <c r="B4326" s="8" t="s">
        <v>57929</v>
      </c>
      <c r="C4326" s="8" t="s">
        <v>8613</v>
      </c>
      <c r="D4326" s="8"/>
      <c r="E4326" s="6"/>
      <c r="F4326" s="6"/>
    </row>
    <row r="4327" spans="1:6" x14ac:dyDescent="0.3">
      <c r="A4327" s="8" t="s">
        <v>8614</v>
      </c>
      <c r="B4327" s="8" t="s">
        <v>57930</v>
      </c>
      <c r="C4327" s="8" t="s">
        <v>8615</v>
      </c>
      <c r="D4327" s="8"/>
      <c r="E4327" s="6"/>
      <c r="F4327" s="6"/>
    </row>
    <row r="4328" spans="1:6" x14ac:dyDescent="0.3">
      <c r="A4328" s="8" t="s">
        <v>8616</v>
      </c>
      <c r="B4328" s="8" t="s">
        <v>57931</v>
      </c>
      <c r="C4328" s="8" t="s">
        <v>8617</v>
      </c>
      <c r="D4328" s="8"/>
      <c r="E4328" s="6"/>
      <c r="F4328" s="6"/>
    </row>
    <row r="4329" spans="1:6" x14ac:dyDescent="0.3">
      <c r="A4329" s="8" t="s">
        <v>8618</v>
      </c>
      <c r="B4329" s="8" t="s">
        <v>57932</v>
      </c>
      <c r="C4329" s="8" t="s">
        <v>8619</v>
      </c>
      <c r="D4329" s="8"/>
      <c r="E4329" s="6"/>
      <c r="F4329" s="6"/>
    </row>
    <row r="4330" spans="1:6" x14ac:dyDescent="0.3">
      <c r="A4330" s="8" t="s">
        <v>8620</v>
      </c>
      <c r="B4330" s="8" t="s">
        <v>57933</v>
      </c>
      <c r="C4330" s="8" t="s">
        <v>8621</v>
      </c>
      <c r="D4330" s="8"/>
      <c r="E4330" s="6"/>
      <c r="F4330" s="6"/>
    </row>
    <row r="4331" spans="1:6" x14ac:dyDescent="0.3">
      <c r="A4331" s="8" t="s">
        <v>8622</v>
      </c>
      <c r="B4331" s="8" t="s">
        <v>57934</v>
      </c>
      <c r="C4331" s="8" t="s">
        <v>8623</v>
      </c>
      <c r="D4331" s="8"/>
      <c r="E4331" s="6"/>
      <c r="F4331" s="6"/>
    </row>
    <row r="4332" spans="1:6" x14ac:dyDescent="0.3">
      <c r="A4332" s="8" t="s">
        <v>8624</v>
      </c>
      <c r="B4332" s="8" t="s">
        <v>57935</v>
      </c>
      <c r="C4332" s="8" t="s">
        <v>8625</v>
      </c>
      <c r="D4332" s="8"/>
      <c r="E4332" s="6"/>
      <c r="F4332" s="6"/>
    </row>
    <row r="4333" spans="1:6" x14ac:dyDescent="0.3">
      <c r="A4333" s="8" t="s">
        <v>8626</v>
      </c>
      <c r="B4333" s="8" t="s">
        <v>57936</v>
      </c>
      <c r="C4333" s="8" t="s">
        <v>8627</v>
      </c>
      <c r="D4333" s="8"/>
      <c r="E4333" s="6"/>
      <c r="F4333" s="6"/>
    </row>
    <row r="4334" spans="1:6" x14ac:dyDescent="0.3">
      <c r="A4334" s="8" t="s">
        <v>8628</v>
      </c>
      <c r="B4334" s="8" t="s">
        <v>57937</v>
      </c>
      <c r="C4334" s="8" t="s">
        <v>8629</v>
      </c>
      <c r="D4334" s="8"/>
      <c r="E4334" s="6"/>
      <c r="F4334" s="6"/>
    </row>
    <row r="4335" spans="1:6" x14ac:dyDescent="0.3">
      <c r="A4335" s="8" t="s">
        <v>8630</v>
      </c>
      <c r="B4335" s="8" t="s">
        <v>57938</v>
      </c>
      <c r="C4335" s="8" t="s">
        <v>8631</v>
      </c>
      <c r="D4335" s="8"/>
      <c r="E4335" s="6"/>
      <c r="F4335" s="6"/>
    </row>
    <row r="4336" spans="1:6" x14ac:dyDescent="0.3">
      <c r="A4336" s="8" t="s">
        <v>8632</v>
      </c>
      <c r="B4336" s="8" t="s">
        <v>57939</v>
      </c>
      <c r="C4336" s="8" t="s">
        <v>8633</v>
      </c>
      <c r="D4336" s="8"/>
      <c r="E4336" s="6"/>
      <c r="F4336" s="6"/>
    </row>
    <row r="4337" spans="1:6" x14ac:dyDescent="0.3">
      <c r="A4337" s="8" t="s">
        <v>8634</v>
      </c>
      <c r="B4337" s="8" t="s">
        <v>57940</v>
      </c>
      <c r="C4337" s="8" t="s">
        <v>8635</v>
      </c>
      <c r="D4337" s="8"/>
      <c r="E4337" s="6"/>
      <c r="F4337" s="6"/>
    </row>
    <row r="4338" spans="1:6" x14ac:dyDescent="0.3">
      <c r="A4338" s="8" t="s">
        <v>8636</v>
      </c>
      <c r="B4338" s="8" t="s">
        <v>57941</v>
      </c>
      <c r="C4338" s="8" t="s">
        <v>8637</v>
      </c>
      <c r="D4338" s="8"/>
      <c r="E4338" s="6"/>
      <c r="F4338" s="6"/>
    </row>
    <row r="4339" spans="1:6" x14ac:dyDescent="0.3">
      <c r="A4339" s="8" t="s">
        <v>8638</v>
      </c>
      <c r="B4339" s="8" t="s">
        <v>57942</v>
      </c>
      <c r="C4339" s="8" t="s">
        <v>8639</v>
      </c>
      <c r="D4339" s="8"/>
      <c r="E4339" s="6"/>
      <c r="F4339" s="6"/>
    </row>
    <row r="4340" spans="1:6" x14ac:dyDescent="0.3">
      <c r="A4340" s="8" t="s">
        <v>8640</v>
      </c>
      <c r="B4340" s="8" t="s">
        <v>57943</v>
      </c>
      <c r="C4340" s="8" t="s">
        <v>8641</v>
      </c>
      <c r="D4340" s="8"/>
      <c r="E4340" s="6"/>
      <c r="F4340" s="6"/>
    </row>
    <row r="4341" spans="1:6" x14ac:dyDescent="0.3">
      <c r="A4341" s="8" t="s">
        <v>8642</v>
      </c>
      <c r="B4341" s="8" t="s">
        <v>57944</v>
      </c>
      <c r="C4341" s="8" t="s">
        <v>8643</v>
      </c>
      <c r="D4341" s="8"/>
      <c r="E4341" s="6"/>
      <c r="F4341" s="6"/>
    </row>
    <row r="4342" spans="1:6" x14ac:dyDescent="0.3">
      <c r="A4342" s="8" t="s">
        <v>8644</v>
      </c>
      <c r="B4342" s="8" t="s">
        <v>57945</v>
      </c>
      <c r="C4342" s="8" t="s">
        <v>8645</v>
      </c>
      <c r="D4342" s="8"/>
      <c r="E4342" s="6"/>
      <c r="F4342" s="6"/>
    </row>
    <row r="4343" spans="1:6" x14ac:dyDescent="0.3">
      <c r="A4343" s="8" t="s">
        <v>8646</v>
      </c>
      <c r="B4343" s="8" t="s">
        <v>57946</v>
      </c>
      <c r="C4343" s="8" t="s">
        <v>8647</v>
      </c>
      <c r="D4343" s="8"/>
      <c r="E4343" s="6"/>
      <c r="F4343" s="6"/>
    </row>
    <row r="4344" spans="1:6" x14ac:dyDescent="0.3">
      <c r="A4344" s="8" t="s">
        <v>8648</v>
      </c>
      <c r="B4344" s="8" t="s">
        <v>57947</v>
      </c>
      <c r="C4344" s="8" t="s">
        <v>8649</v>
      </c>
      <c r="D4344" s="8"/>
      <c r="E4344" s="6"/>
      <c r="F4344" s="6"/>
    </row>
    <row r="4345" spans="1:6" x14ac:dyDescent="0.3">
      <c r="A4345" s="8" t="s">
        <v>8650</v>
      </c>
      <c r="B4345" s="8" t="s">
        <v>57948</v>
      </c>
      <c r="C4345" s="8" t="s">
        <v>8651</v>
      </c>
      <c r="D4345" s="8"/>
      <c r="E4345" s="6"/>
      <c r="F4345" s="6"/>
    </row>
    <row r="4346" spans="1:6" x14ac:dyDescent="0.3">
      <c r="A4346" s="8" t="s">
        <v>8652</v>
      </c>
      <c r="B4346" s="8" t="s">
        <v>57949</v>
      </c>
      <c r="C4346" s="8" t="s">
        <v>8653</v>
      </c>
      <c r="D4346" s="8"/>
      <c r="E4346" s="6"/>
      <c r="F4346" s="6"/>
    </row>
    <row r="4347" spans="1:6" x14ac:dyDescent="0.3">
      <c r="A4347" s="8" t="s">
        <v>8654</v>
      </c>
      <c r="B4347" s="8" t="s">
        <v>57950</v>
      </c>
      <c r="C4347" s="8" t="s">
        <v>8655</v>
      </c>
      <c r="D4347" s="8"/>
      <c r="E4347" s="6"/>
      <c r="F4347" s="6"/>
    </row>
    <row r="4348" spans="1:6" x14ac:dyDescent="0.3">
      <c r="A4348" s="8" t="s">
        <v>8656</v>
      </c>
      <c r="B4348" s="8" t="s">
        <v>57951</v>
      </c>
      <c r="C4348" s="8" t="s">
        <v>8657</v>
      </c>
      <c r="D4348" s="8"/>
      <c r="E4348" s="6"/>
      <c r="F4348" s="6"/>
    </row>
    <row r="4349" spans="1:6" x14ac:dyDescent="0.3">
      <c r="A4349" s="8" t="s">
        <v>8658</v>
      </c>
      <c r="B4349" s="8" t="s">
        <v>57952</v>
      </c>
      <c r="C4349" s="8" t="s">
        <v>8659</v>
      </c>
      <c r="D4349" s="8"/>
      <c r="E4349" s="6"/>
      <c r="F4349" s="6"/>
    </row>
    <row r="4350" spans="1:6" x14ac:dyDescent="0.3">
      <c r="A4350" s="8" t="s">
        <v>8660</v>
      </c>
      <c r="B4350" s="8" t="s">
        <v>57953</v>
      </c>
      <c r="C4350" s="8" t="s">
        <v>8661</v>
      </c>
      <c r="D4350" s="8"/>
      <c r="E4350" s="6"/>
      <c r="F4350" s="6"/>
    </row>
    <row r="4351" spans="1:6" x14ac:dyDescent="0.3">
      <c r="A4351" s="8" t="s">
        <v>8662</v>
      </c>
      <c r="B4351" s="8" t="s">
        <v>57954</v>
      </c>
      <c r="C4351" s="8" t="s">
        <v>8663</v>
      </c>
      <c r="D4351" s="8"/>
      <c r="E4351" s="6"/>
      <c r="F4351" s="6"/>
    </row>
    <row r="4352" spans="1:6" x14ac:dyDescent="0.3">
      <c r="A4352" s="8" t="s">
        <v>8664</v>
      </c>
      <c r="B4352" s="8" t="s">
        <v>57955</v>
      </c>
      <c r="C4352" s="8" t="s">
        <v>8665</v>
      </c>
      <c r="D4352" s="8"/>
      <c r="E4352" s="6"/>
      <c r="F4352" s="6"/>
    </row>
    <row r="4353" spans="1:6" x14ac:dyDescent="0.3">
      <c r="A4353" s="8" t="s">
        <v>8666</v>
      </c>
      <c r="B4353" s="8" t="s">
        <v>57956</v>
      </c>
      <c r="C4353" s="8" t="s">
        <v>8667</v>
      </c>
      <c r="D4353" s="8"/>
      <c r="E4353" s="6"/>
      <c r="F4353" s="6"/>
    </row>
    <row r="4354" spans="1:6" x14ac:dyDescent="0.3">
      <c r="A4354" s="8" t="s">
        <v>8668</v>
      </c>
      <c r="B4354" s="8" t="s">
        <v>57957</v>
      </c>
      <c r="C4354" s="8" t="s">
        <v>8669</v>
      </c>
      <c r="D4354" s="8"/>
      <c r="E4354" s="6"/>
      <c r="F4354" s="6"/>
    </row>
    <row r="4355" spans="1:6" x14ac:dyDescent="0.3">
      <c r="A4355" s="8" t="s">
        <v>8670</v>
      </c>
      <c r="B4355" s="8" t="s">
        <v>57958</v>
      </c>
      <c r="C4355" s="8" t="s">
        <v>8671</v>
      </c>
      <c r="D4355" s="8"/>
      <c r="E4355" s="6"/>
      <c r="F4355" s="6"/>
    </row>
    <row r="4356" spans="1:6" x14ac:dyDescent="0.3">
      <c r="A4356" s="8" t="s">
        <v>8672</v>
      </c>
      <c r="B4356" s="8" t="s">
        <v>57959</v>
      </c>
      <c r="C4356" s="8" t="s">
        <v>8673</v>
      </c>
      <c r="D4356" s="8"/>
      <c r="E4356" s="6"/>
      <c r="F4356" s="6"/>
    </row>
    <row r="4357" spans="1:6" x14ac:dyDescent="0.3">
      <c r="A4357" s="8" t="s">
        <v>8674</v>
      </c>
      <c r="B4357" s="8" t="s">
        <v>57960</v>
      </c>
      <c r="C4357" s="8" t="s">
        <v>8675</v>
      </c>
      <c r="D4357" s="8"/>
      <c r="E4357" s="6"/>
      <c r="F4357" s="6"/>
    </row>
    <row r="4358" spans="1:6" x14ac:dyDescent="0.3">
      <c r="A4358" s="8" t="s">
        <v>8676</v>
      </c>
      <c r="B4358" s="8" t="s">
        <v>57961</v>
      </c>
      <c r="C4358" s="8" t="s">
        <v>8677</v>
      </c>
      <c r="D4358" s="8"/>
      <c r="E4358" s="6"/>
      <c r="F4358" s="6"/>
    </row>
    <row r="4359" spans="1:6" x14ac:dyDescent="0.3">
      <c r="A4359" s="8" t="s">
        <v>8678</v>
      </c>
      <c r="B4359" s="8" t="s">
        <v>57962</v>
      </c>
      <c r="C4359" s="8" t="s">
        <v>8679</v>
      </c>
      <c r="D4359" s="8"/>
      <c r="E4359" s="6"/>
      <c r="F4359" s="6"/>
    </row>
    <row r="4360" spans="1:6" x14ac:dyDescent="0.3">
      <c r="A4360" s="8" t="s">
        <v>8680</v>
      </c>
      <c r="B4360" s="8" t="s">
        <v>57963</v>
      </c>
      <c r="C4360" s="8" t="s">
        <v>8681</v>
      </c>
      <c r="D4360" s="8"/>
      <c r="E4360" s="6"/>
      <c r="F4360" s="6"/>
    </row>
    <row r="4361" spans="1:6" x14ac:dyDescent="0.3">
      <c r="A4361" s="8" t="s">
        <v>8682</v>
      </c>
      <c r="B4361" s="8" t="s">
        <v>57964</v>
      </c>
      <c r="C4361" s="8" t="s">
        <v>8683</v>
      </c>
      <c r="D4361" s="8"/>
      <c r="E4361" s="6"/>
      <c r="F4361" s="6"/>
    </row>
    <row r="4362" spans="1:6" x14ac:dyDescent="0.3">
      <c r="A4362" s="8" t="s">
        <v>8684</v>
      </c>
      <c r="B4362" s="8" t="s">
        <v>57965</v>
      </c>
      <c r="C4362" s="8" t="s">
        <v>8685</v>
      </c>
      <c r="D4362" s="8"/>
      <c r="E4362" s="6"/>
      <c r="F4362" s="6"/>
    </row>
    <row r="4363" spans="1:6" x14ac:dyDescent="0.3">
      <c r="A4363" s="8" t="s">
        <v>8686</v>
      </c>
      <c r="B4363" s="8" t="s">
        <v>57966</v>
      </c>
      <c r="C4363" s="8" t="s">
        <v>8687</v>
      </c>
      <c r="D4363" s="8"/>
      <c r="E4363" s="6"/>
      <c r="F4363" s="6"/>
    </row>
    <row r="4364" spans="1:6" x14ac:dyDescent="0.3">
      <c r="A4364" s="8" t="s">
        <v>8688</v>
      </c>
      <c r="B4364" s="8" t="s">
        <v>57967</v>
      </c>
      <c r="C4364" s="8" t="s">
        <v>8689</v>
      </c>
      <c r="D4364" s="8"/>
      <c r="E4364" s="6"/>
      <c r="F4364" s="6"/>
    </row>
    <row r="4365" spans="1:6" x14ac:dyDescent="0.3">
      <c r="A4365" s="8" t="s">
        <v>8690</v>
      </c>
      <c r="B4365" s="8" t="s">
        <v>57968</v>
      </c>
      <c r="C4365" s="8" t="s">
        <v>8691</v>
      </c>
      <c r="D4365" s="8"/>
      <c r="E4365" s="6"/>
      <c r="F4365" s="6"/>
    </row>
    <row r="4366" spans="1:6" x14ac:dyDescent="0.3">
      <c r="A4366" s="8" t="s">
        <v>8692</v>
      </c>
      <c r="B4366" s="8" t="s">
        <v>57969</v>
      </c>
      <c r="C4366" s="8" t="s">
        <v>8693</v>
      </c>
      <c r="D4366" s="8"/>
      <c r="E4366" s="6"/>
      <c r="F4366" s="6"/>
    </row>
    <row r="4367" spans="1:6" x14ac:dyDescent="0.3">
      <c r="A4367" s="8" t="s">
        <v>8694</v>
      </c>
      <c r="B4367" s="8" t="s">
        <v>57970</v>
      </c>
      <c r="C4367" s="8" t="s">
        <v>8695</v>
      </c>
      <c r="D4367" s="8"/>
      <c r="E4367" s="6"/>
      <c r="F4367" s="6"/>
    </row>
    <row r="4368" spans="1:6" x14ac:dyDescent="0.3">
      <c r="A4368" s="8" t="s">
        <v>8696</v>
      </c>
      <c r="B4368" s="8" t="s">
        <v>57971</v>
      </c>
      <c r="C4368" s="8" t="s">
        <v>8697</v>
      </c>
      <c r="D4368" s="8"/>
      <c r="E4368" s="6"/>
      <c r="F4368" s="6"/>
    </row>
    <row r="4369" spans="1:6" x14ac:dyDescent="0.3">
      <c r="A4369" s="8" t="s">
        <v>8698</v>
      </c>
      <c r="B4369" s="8" t="s">
        <v>57972</v>
      </c>
      <c r="C4369" s="8" t="s">
        <v>8699</v>
      </c>
      <c r="D4369" s="8"/>
      <c r="E4369" s="6"/>
      <c r="F4369" s="6"/>
    </row>
    <row r="4370" spans="1:6" x14ac:dyDescent="0.3">
      <c r="A4370" s="8" t="s">
        <v>8700</v>
      </c>
      <c r="B4370" s="8" t="s">
        <v>57973</v>
      </c>
      <c r="C4370" s="8" t="s">
        <v>8701</v>
      </c>
      <c r="D4370" s="8"/>
      <c r="E4370" s="6"/>
      <c r="F4370" s="6"/>
    </row>
    <row r="4371" spans="1:6" x14ac:dyDescent="0.3">
      <c r="A4371" s="8" t="s">
        <v>8702</v>
      </c>
      <c r="B4371" s="8" t="s">
        <v>57974</v>
      </c>
      <c r="C4371" s="8" t="s">
        <v>8703</v>
      </c>
      <c r="D4371" s="8"/>
      <c r="E4371" s="6"/>
      <c r="F4371" s="6"/>
    </row>
    <row r="4372" spans="1:6" x14ac:dyDescent="0.3">
      <c r="A4372" s="8" t="s">
        <v>8704</v>
      </c>
      <c r="B4372" s="8" t="s">
        <v>57975</v>
      </c>
      <c r="C4372" s="8" t="s">
        <v>8705</v>
      </c>
      <c r="D4372" s="8"/>
      <c r="E4372" s="6"/>
      <c r="F4372" s="6"/>
    </row>
    <row r="4373" spans="1:6" x14ac:dyDescent="0.3">
      <c r="A4373" s="8" t="s">
        <v>8706</v>
      </c>
      <c r="B4373" s="8" t="s">
        <v>57976</v>
      </c>
      <c r="C4373" s="8" t="s">
        <v>8707</v>
      </c>
      <c r="D4373" s="8"/>
      <c r="E4373" s="6"/>
      <c r="F4373" s="6"/>
    </row>
    <row r="4374" spans="1:6" x14ac:dyDescent="0.3">
      <c r="A4374" s="8" t="s">
        <v>8708</v>
      </c>
      <c r="B4374" s="8" t="s">
        <v>57977</v>
      </c>
      <c r="C4374" s="8" t="s">
        <v>8709</v>
      </c>
      <c r="D4374" s="8"/>
      <c r="E4374" s="6"/>
      <c r="F4374" s="6"/>
    </row>
    <row r="4375" spans="1:6" x14ac:dyDescent="0.3">
      <c r="A4375" s="8" t="s">
        <v>8710</v>
      </c>
      <c r="B4375" s="8" t="s">
        <v>57978</v>
      </c>
      <c r="C4375" s="8" t="s">
        <v>8711</v>
      </c>
      <c r="D4375" s="8"/>
      <c r="E4375" s="6"/>
      <c r="F4375" s="6"/>
    </row>
    <row r="4376" spans="1:6" x14ac:dyDescent="0.3">
      <c r="A4376" s="8" t="s">
        <v>8712</v>
      </c>
      <c r="B4376" s="8" t="s">
        <v>57979</v>
      </c>
      <c r="C4376" s="8" t="s">
        <v>8713</v>
      </c>
      <c r="D4376" s="8"/>
      <c r="E4376" s="6"/>
      <c r="F4376" s="6"/>
    </row>
    <row r="4377" spans="1:6" x14ac:dyDescent="0.3">
      <c r="A4377" s="8" t="s">
        <v>8714</v>
      </c>
      <c r="B4377" s="8" t="s">
        <v>57980</v>
      </c>
      <c r="C4377" s="8" t="s">
        <v>8715</v>
      </c>
      <c r="D4377" s="8"/>
      <c r="E4377" s="6"/>
      <c r="F4377" s="6"/>
    </row>
    <row r="4378" spans="1:6" x14ac:dyDescent="0.3">
      <c r="A4378" s="8" t="s">
        <v>8716</v>
      </c>
      <c r="B4378" s="8" t="s">
        <v>57981</v>
      </c>
      <c r="C4378" s="8" t="s">
        <v>8717</v>
      </c>
      <c r="D4378" s="8"/>
      <c r="E4378" s="6"/>
      <c r="F4378" s="6"/>
    </row>
    <row r="4379" spans="1:6" x14ac:dyDescent="0.3">
      <c r="A4379" s="8" t="s">
        <v>8718</v>
      </c>
      <c r="B4379" s="8" t="s">
        <v>57982</v>
      </c>
      <c r="C4379" s="8" t="s">
        <v>8719</v>
      </c>
      <c r="D4379" s="8"/>
      <c r="E4379" s="6"/>
      <c r="F4379" s="6"/>
    </row>
    <row r="4380" spans="1:6" x14ac:dyDescent="0.3">
      <c r="A4380" s="8" t="s">
        <v>8720</v>
      </c>
      <c r="B4380" s="8" t="s">
        <v>57983</v>
      </c>
      <c r="C4380" s="8" t="s">
        <v>8721</v>
      </c>
      <c r="D4380" s="8"/>
      <c r="E4380" s="6"/>
      <c r="F4380" s="6"/>
    </row>
    <row r="4381" spans="1:6" x14ac:dyDescent="0.3">
      <c r="A4381" s="8" t="s">
        <v>8722</v>
      </c>
      <c r="B4381" s="8" t="s">
        <v>57984</v>
      </c>
      <c r="C4381" s="8" t="s">
        <v>8723</v>
      </c>
      <c r="D4381" s="8"/>
      <c r="E4381" s="6"/>
      <c r="F4381" s="6"/>
    </row>
    <row r="4382" spans="1:6" x14ac:dyDescent="0.3">
      <c r="A4382" s="8" t="s">
        <v>8724</v>
      </c>
      <c r="B4382" s="8" t="s">
        <v>57985</v>
      </c>
      <c r="C4382" s="8" t="s">
        <v>8725</v>
      </c>
      <c r="D4382" s="8"/>
      <c r="E4382" s="6"/>
      <c r="F4382" s="6"/>
    </row>
    <row r="4383" spans="1:6" x14ac:dyDescent="0.3">
      <c r="A4383" s="8" t="s">
        <v>8726</v>
      </c>
      <c r="B4383" s="8" t="s">
        <v>57986</v>
      </c>
      <c r="C4383" s="8" t="s">
        <v>8727</v>
      </c>
      <c r="D4383" s="8"/>
      <c r="E4383" s="6"/>
      <c r="F4383" s="6"/>
    </row>
    <row r="4384" spans="1:6" x14ac:dyDescent="0.3">
      <c r="A4384" s="8" t="s">
        <v>8728</v>
      </c>
      <c r="B4384" s="8" t="s">
        <v>57987</v>
      </c>
      <c r="C4384" s="8" t="s">
        <v>8729</v>
      </c>
      <c r="D4384" s="8"/>
      <c r="E4384" s="6"/>
      <c r="F4384" s="6"/>
    </row>
    <row r="4385" spans="1:6" x14ac:dyDescent="0.3">
      <c r="A4385" s="8" t="s">
        <v>8730</v>
      </c>
      <c r="B4385" s="8" t="s">
        <v>57988</v>
      </c>
      <c r="C4385" s="8" t="s">
        <v>8731</v>
      </c>
      <c r="D4385" s="8"/>
      <c r="E4385" s="6"/>
      <c r="F4385" s="6"/>
    </row>
    <row r="4386" spans="1:6" x14ac:dyDescent="0.3">
      <c r="A4386" s="8" t="s">
        <v>8732</v>
      </c>
      <c r="B4386" s="8" t="s">
        <v>57989</v>
      </c>
      <c r="C4386" s="8" t="s">
        <v>8733</v>
      </c>
      <c r="D4386" s="8"/>
      <c r="E4386" s="6"/>
      <c r="F4386" s="6"/>
    </row>
    <row r="4387" spans="1:6" x14ac:dyDescent="0.3">
      <c r="A4387" s="8" t="s">
        <v>8734</v>
      </c>
      <c r="B4387" s="8" t="s">
        <v>57990</v>
      </c>
      <c r="C4387" s="8" t="s">
        <v>8735</v>
      </c>
      <c r="D4387" s="8"/>
      <c r="E4387" s="6"/>
      <c r="F4387" s="6"/>
    </row>
    <row r="4388" spans="1:6" x14ac:dyDescent="0.3">
      <c r="A4388" s="8" t="s">
        <v>8736</v>
      </c>
      <c r="B4388" s="8" t="s">
        <v>57991</v>
      </c>
      <c r="C4388" s="8" t="s">
        <v>8737</v>
      </c>
      <c r="D4388" s="8"/>
      <c r="E4388" s="6"/>
      <c r="F4388" s="6"/>
    </row>
    <row r="4389" spans="1:6" x14ac:dyDescent="0.3">
      <c r="A4389" s="8" t="s">
        <v>8738</v>
      </c>
      <c r="B4389" s="8" t="s">
        <v>57992</v>
      </c>
      <c r="C4389" s="8" t="s">
        <v>8739</v>
      </c>
      <c r="D4389" s="8"/>
      <c r="E4389" s="6"/>
      <c r="F4389" s="6"/>
    </row>
    <row r="4390" spans="1:6" x14ac:dyDescent="0.3">
      <c r="A4390" s="8" t="s">
        <v>8740</v>
      </c>
      <c r="B4390" s="8" t="s">
        <v>57993</v>
      </c>
      <c r="C4390" s="8" t="s">
        <v>8741</v>
      </c>
      <c r="D4390" s="8"/>
      <c r="E4390" s="6"/>
      <c r="F4390" s="6"/>
    </row>
    <row r="4391" spans="1:6" x14ac:dyDescent="0.3">
      <c r="A4391" s="8" t="s">
        <v>8742</v>
      </c>
      <c r="B4391" s="8" t="s">
        <v>57994</v>
      </c>
      <c r="C4391" s="8" t="s">
        <v>8743</v>
      </c>
      <c r="D4391" s="8"/>
      <c r="E4391" s="6"/>
      <c r="F4391" s="6"/>
    </row>
    <row r="4392" spans="1:6" x14ac:dyDescent="0.3">
      <c r="A4392" s="8" t="s">
        <v>8744</v>
      </c>
      <c r="B4392" s="8" t="s">
        <v>57995</v>
      </c>
      <c r="C4392" s="8" t="s">
        <v>8745</v>
      </c>
      <c r="D4392" s="8"/>
      <c r="E4392" s="6"/>
      <c r="F4392" s="6"/>
    </row>
    <row r="4393" spans="1:6" x14ac:dyDescent="0.3">
      <c r="A4393" s="8" t="s">
        <v>8746</v>
      </c>
      <c r="B4393" s="8" t="s">
        <v>57996</v>
      </c>
      <c r="C4393" s="8" t="s">
        <v>8747</v>
      </c>
      <c r="D4393" s="8"/>
      <c r="E4393" s="6"/>
      <c r="F4393" s="6"/>
    </row>
    <row r="4394" spans="1:6" x14ac:dyDescent="0.3">
      <c r="A4394" s="8" t="s">
        <v>8748</v>
      </c>
      <c r="B4394" s="8" t="s">
        <v>57997</v>
      </c>
      <c r="C4394" s="8" t="s">
        <v>8749</v>
      </c>
      <c r="D4394" s="8"/>
      <c r="E4394" s="6"/>
      <c r="F4394" s="6"/>
    </row>
    <row r="4395" spans="1:6" x14ac:dyDescent="0.3">
      <c r="A4395" s="8" t="s">
        <v>8750</v>
      </c>
      <c r="B4395" s="8" t="s">
        <v>57998</v>
      </c>
      <c r="C4395" s="8" t="s">
        <v>8751</v>
      </c>
      <c r="D4395" s="8"/>
      <c r="E4395" s="6"/>
      <c r="F4395" s="6"/>
    </row>
    <row r="4396" spans="1:6" x14ac:dyDescent="0.3">
      <c r="A4396" s="8" t="s">
        <v>8752</v>
      </c>
      <c r="B4396" s="8" t="s">
        <v>57999</v>
      </c>
      <c r="C4396" s="8" t="s">
        <v>8753</v>
      </c>
      <c r="D4396" s="8"/>
      <c r="E4396" s="6"/>
      <c r="F4396" s="6"/>
    </row>
    <row r="4397" spans="1:6" x14ac:dyDescent="0.3">
      <c r="A4397" s="8" t="s">
        <v>8754</v>
      </c>
      <c r="B4397" s="8" t="s">
        <v>58000</v>
      </c>
      <c r="C4397" s="8" t="s">
        <v>8755</v>
      </c>
      <c r="D4397" s="8"/>
      <c r="E4397" s="6"/>
      <c r="F4397" s="6"/>
    </row>
    <row r="4398" spans="1:6" x14ac:dyDescent="0.3">
      <c r="A4398" s="8" t="s">
        <v>8756</v>
      </c>
      <c r="B4398" s="8" t="s">
        <v>58001</v>
      </c>
      <c r="C4398" s="8" t="s">
        <v>8757</v>
      </c>
      <c r="D4398" s="8"/>
      <c r="E4398" s="6"/>
      <c r="F4398" s="6"/>
    </row>
    <row r="4399" spans="1:6" x14ac:dyDescent="0.3">
      <c r="A4399" s="8" t="s">
        <v>8758</v>
      </c>
      <c r="B4399" s="8" t="s">
        <v>58002</v>
      </c>
      <c r="C4399" s="8" t="s">
        <v>8759</v>
      </c>
      <c r="D4399" s="8"/>
      <c r="E4399" s="6"/>
      <c r="F4399" s="6"/>
    </row>
    <row r="4400" spans="1:6" x14ac:dyDescent="0.3">
      <c r="A4400" s="8" t="s">
        <v>8760</v>
      </c>
      <c r="B4400" s="8" t="s">
        <v>58003</v>
      </c>
      <c r="C4400" s="8" t="s">
        <v>8761</v>
      </c>
      <c r="D4400" s="8"/>
      <c r="E4400" s="6"/>
      <c r="F4400" s="6"/>
    </row>
    <row r="4401" spans="1:6" x14ac:dyDescent="0.3">
      <c r="A4401" s="8" t="s">
        <v>8762</v>
      </c>
      <c r="B4401" s="8" t="s">
        <v>58004</v>
      </c>
      <c r="C4401" s="8" t="s">
        <v>8763</v>
      </c>
      <c r="D4401" s="8"/>
      <c r="E4401" s="6"/>
      <c r="F4401" s="6"/>
    </row>
    <row r="4402" spans="1:6" x14ac:dyDescent="0.3">
      <c r="A4402" s="8" t="s">
        <v>8764</v>
      </c>
      <c r="B4402" s="8" t="s">
        <v>58005</v>
      </c>
      <c r="C4402" s="8" t="s">
        <v>8765</v>
      </c>
      <c r="D4402" s="8"/>
      <c r="E4402" s="6"/>
      <c r="F4402" s="6"/>
    </row>
    <row r="4403" spans="1:6" x14ac:dyDescent="0.3">
      <c r="A4403" s="8" t="s">
        <v>8766</v>
      </c>
      <c r="B4403" s="8" t="s">
        <v>58006</v>
      </c>
      <c r="C4403" s="8" t="s">
        <v>8767</v>
      </c>
      <c r="D4403" s="8"/>
      <c r="E4403" s="6"/>
      <c r="F4403" s="6"/>
    </row>
    <row r="4404" spans="1:6" x14ac:dyDescent="0.3">
      <c r="A4404" s="8" t="s">
        <v>8768</v>
      </c>
      <c r="B4404" s="8" t="s">
        <v>58007</v>
      </c>
      <c r="C4404" s="8" t="s">
        <v>8769</v>
      </c>
      <c r="D4404" s="8"/>
      <c r="E4404" s="6"/>
      <c r="F4404" s="6"/>
    </row>
    <row r="4405" spans="1:6" x14ac:dyDescent="0.3">
      <c r="A4405" s="8" t="s">
        <v>8770</v>
      </c>
      <c r="B4405" s="8" t="s">
        <v>58008</v>
      </c>
      <c r="C4405" s="8" t="s">
        <v>8771</v>
      </c>
      <c r="D4405" s="8"/>
      <c r="E4405" s="6"/>
      <c r="F4405" s="6"/>
    </row>
    <row r="4406" spans="1:6" x14ac:dyDescent="0.3">
      <c r="A4406" s="8" t="s">
        <v>8772</v>
      </c>
      <c r="B4406" s="8" t="s">
        <v>58009</v>
      </c>
      <c r="C4406" s="8" t="s">
        <v>8773</v>
      </c>
      <c r="D4406" s="8"/>
      <c r="E4406" s="6"/>
      <c r="F4406" s="6"/>
    </row>
    <row r="4407" spans="1:6" x14ac:dyDescent="0.3">
      <c r="A4407" s="8" t="s">
        <v>8774</v>
      </c>
      <c r="B4407" s="8" t="s">
        <v>58010</v>
      </c>
      <c r="C4407" s="8" t="s">
        <v>8775</v>
      </c>
      <c r="D4407" s="8"/>
      <c r="E4407" s="6"/>
      <c r="F4407" s="6"/>
    </row>
    <row r="4408" spans="1:6" x14ac:dyDescent="0.3">
      <c r="A4408" s="8" t="s">
        <v>8776</v>
      </c>
      <c r="B4408" s="8" t="s">
        <v>58011</v>
      </c>
      <c r="C4408" s="8" t="s">
        <v>8777</v>
      </c>
      <c r="D4408" s="8"/>
      <c r="E4408" s="6"/>
      <c r="F4408" s="6"/>
    </row>
    <row r="4409" spans="1:6" x14ac:dyDescent="0.3">
      <c r="A4409" s="8" t="s">
        <v>8778</v>
      </c>
      <c r="B4409" s="8" t="s">
        <v>58012</v>
      </c>
      <c r="C4409" s="8" t="s">
        <v>8779</v>
      </c>
      <c r="D4409" s="8"/>
      <c r="E4409" s="6"/>
      <c r="F4409" s="6"/>
    </row>
    <row r="4410" spans="1:6" x14ac:dyDescent="0.3">
      <c r="A4410" s="8" t="s">
        <v>8780</v>
      </c>
      <c r="B4410" s="8" t="s">
        <v>58013</v>
      </c>
      <c r="C4410" s="8" t="s">
        <v>8781</v>
      </c>
      <c r="D4410" s="8"/>
      <c r="E4410" s="6"/>
      <c r="F4410" s="6"/>
    </row>
    <row r="4411" spans="1:6" x14ac:dyDescent="0.3">
      <c r="A4411" s="8" t="s">
        <v>8782</v>
      </c>
      <c r="B4411" s="8" t="s">
        <v>58014</v>
      </c>
      <c r="C4411" s="8" t="s">
        <v>8783</v>
      </c>
      <c r="D4411" s="8"/>
      <c r="E4411" s="6"/>
      <c r="F4411" s="6"/>
    </row>
    <row r="4412" spans="1:6" x14ac:dyDescent="0.3">
      <c r="A4412" s="8" t="s">
        <v>8784</v>
      </c>
      <c r="B4412" s="8" t="s">
        <v>58015</v>
      </c>
      <c r="C4412" s="8" t="s">
        <v>8785</v>
      </c>
      <c r="D4412" s="8"/>
      <c r="E4412" s="6"/>
      <c r="F4412" s="6"/>
    </row>
    <row r="4413" spans="1:6" x14ac:dyDescent="0.3">
      <c r="A4413" s="8" t="s">
        <v>8786</v>
      </c>
      <c r="B4413" s="8" t="s">
        <v>58016</v>
      </c>
      <c r="C4413" s="8" t="s">
        <v>8787</v>
      </c>
      <c r="D4413" s="8"/>
      <c r="E4413" s="6"/>
      <c r="F4413" s="6"/>
    </row>
    <row r="4414" spans="1:6" x14ac:dyDescent="0.3">
      <c r="A4414" s="8" t="s">
        <v>8788</v>
      </c>
      <c r="B4414" s="8" t="s">
        <v>58017</v>
      </c>
      <c r="C4414" s="8" t="s">
        <v>8789</v>
      </c>
      <c r="D4414" s="8"/>
      <c r="E4414" s="6"/>
      <c r="F4414" s="6"/>
    </row>
    <row r="4415" spans="1:6" x14ac:dyDescent="0.3">
      <c r="A4415" s="8" t="s">
        <v>8790</v>
      </c>
      <c r="B4415" s="8" t="s">
        <v>58018</v>
      </c>
      <c r="C4415" s="8" t="s">
        <v>8791</v>
      </c>
      <c r="D4415" s="8"/>
      <c r="E4415" s="6"/>
      <c r="F4415" s="6"/>
    </row>
    <row r="4416" spans="1:6" x14ac:dyDescent="0.3">
      <c r="A4416" s="8" t="s">
        <v>8792</v>
      </c>
      <c r="B4416" s="8" t="s">
        <v>58019</v>
      </c>
      <c r="C4416" s="8" t="s">
        <v>8793</v>
      </c>
      <c r="D4416" s="8"/>
      <c r="E4416" s="6"/>
      <c r="F4416" s="6"/>
    </row>
    <row r="4417" spans="1:6" x14ac:dyDescent="0.3">
      <c r="A4417" s="8" t="s">
        <v>8794</v>
      </c>
      <c r="B4417" s="8" t="s">
        <v>58020</v>
      </c>
      <c r="C4417" s="8" t="s">
        <v>8795</v>
      </c>
      <c r="D4417" s="8"/>
      <c r="E4417" s="6"/>
      <c r="F4417" s="6"/>
    </row>
    <row r="4418" spans="1:6" x14ac:dyDescent="0.3">
      <c r="A4418" s="8" t="s">
        <v>8796</v>
      </c>
      <c r="B4418" s="8" t="s">
        <v>58021</v>
      </c>
      <c r="C4418" s="8" t="s">
        <v>8797</v>
      </c>
      <c r="D4418" s="8"/>
      <c r="E4418" s="6"/>
      <c r="F4418" s="6"/>
    </row>
    <row r="4419" spans="1:6" x14ac:dyDescent="0.3">
      <c r="A4419" s="8" t="s">
        <v>8798</v>
      </c>
      <c r="B4419" s="8" t="s">
        <v>58022</v>
      </c>
      <c r="C4419" s="8" t="s">
        <v>8799</v>
      </c>
      <c r="D4419" s="8"/>
      <c r="E4419" s="6"/>
      <c r="F4419" s="6"/>
    </row>
    <row r="4420" spans="1:6" x14ac:dyDescent="0.3">
      <c r="A4420" s="8" t="s">
        <v>8800</v>
      </c>
      <c r="B4420" s="8" t="s">
        <v>58023</v>
      </c>
      <c r="C4420" s="8" t="s">
        <v>8801</v>
      </c>
      <c r="D4420" s="8"/>
      <c r="E4420" s="6"/>
      <c r="F4420" s="6"/>
    </row>
    <row r="4421" spans="1:6" x14ac:dyDescent="0.3">
      <c r="A4421" s="8" t="s">
        <v>8802</v>
      </c>
      <c r="B4421" s="8" t="s">
        <v>58024</v>
      </c>
      <c r="C4421" s="8" t="s">
        <v>8803</v>
      </c>
      <c r="D4421" s="8"/>
      <c r="E4421" s="6"/>
      <c r="F4421" s="6"/>
    </row>
    <row r="4422" spans="1:6" x14ac:dyDescent="0.3">
      <c r="A4422" s="8" t="s">
        <v>8804</v>
      </c>
      <c r="B4422" s="8" t="s">
        <v>58025</v>
      </c>
      <c r="C4422" s="8" t="s">
        <v>8805</v>
      </c>
      <c r="D4422" s="8"/>
      <c r="E4422" s="6"/>
      <c r="F4422" s="6"/>
    </row>
    <row r="4423" spans="1:6" x14ac:dyDescent="0.3">
      <c r="A4423" s="8" t="s">
        <v>8806</v>
      </c>
      <c r="B4423" s="8" t="s">
        <v>58026</v>
      </c>
      <c r="C4423" s="8" t="s">
        <v>8807</v>
      </c>
      <c r="D4423" s="8"/>
      <c r="E4423" s="6"/>
      <c r="F4423" s="6"/>
    </row>
    <row r="4424" spans="1:6" x14ac:dyDescent="0.3">
      <c r="A4424" s="8" t="s">
        <v>8808</v>
      </c>
      <c r="B4424" s="8" t="s">
        <v>58027</v>
      </c>
      <c r="C4424" s="8" t="s">
        <v>8809</v>
      </c>
      <c r="D4424" s="8"/>
      <c r="E4424" s="6"/>
      <c r="F4424" s="6"/>
    </row>
    <row r="4425" spans="1:6" x14ac:dyDescent="0.3">
      <c r="A4425" s="8" t="s">
        <v>8810</v>
      </c>
      <c r="B4425" s="8" t="s">
        <v>58028</v>
      </c>
      <c r="C4425" s="8" t="s">
        <v>8811</v>
      </c>
      <c r="D4425" s="8"/>
      <c r="E4425" s="6"/>
      <c r="F4425" s="6"/>
    </row>
    <row r="4426" spans="1:6" x14ac:dyDescent="0.3">
      <c r="A4426" s="8" t="s">
        <v>8812</v>
      </c>
      <c r="B4426" s="8" t="s">
        <v>58029</v>
      </c>
      <c r="C4426" s="8" t="s">
        <v>8813</v>
      </c>
      <c r="D4426" s="8"/>
      <c r="E4426" s="6"/>
      <c r="F4426" s="6"/>
    </row>
    <row r="4427" spans="1:6" x14ac:dyDescent="0.3">
      <c r="A4427" s="8" t="s">
        <v>8814</v>
      </c>
      <c r="B4427" s="8" t="s">
        <v>58030</v>
      </c>
      <c r="C4427" s="8" t="s">
        <v>8815</v>
      </c>
      <c r="D4427" s="8"/>
      <c r="E4427" s="6"/>
      <c r="F4427" s="6"/>
    </row>
    <row r="4428" spans="1:6" x14ac:dyDescent="0.3">
      <c r="A4428" s="8" t="s">
        <v>8816</v>
      </c>
      <c r="B4428" s="8" t="s">
        <v>58031</v>
      </c>
      <c r="C4428" s="8" t="s">
        <v>8817</v>
      </c>
      <c r="D4428" s="8"/>
      <c r="E4428" s="6"/>
      <c r="F4428" s="6"/>
    </row>
    <row r="4429" spans="1:6" x14ac:dyDescent="0.3">
      <c r="A4429" s="8" t="s">
        <v>8818</v>
      </c>
      <c r="B4429" s="8" t="s">
        <v>58032</v>
      </c>
      <c r="C4429" s="8" t="s">
        <v>8819</v>
      </c>
      <c r="D4429" s="8"/>
      <c r="E4429" s="6"/>
      <c r="F4429" s="6"/>
    </row>
    <row r="4430" spans="1:6" x14ac:dyDescent="0.3">
      <c r="A4430" s="8" t="s">
        <v>8820</v>
      </c>
      <c r="B4430" s="8" t="s">
        <v>58033</v>
      </c>
      <c r="C4430" s="8" t="s">
        <v>8821</v>
      </c>
      <c r="D4430" s="8"/>
      <c r="E4430" s="6"/>
      <c r="F4430" s="6"/>
    </row>
    <row r="4431" spans="1:6" x14ac:dyDescent="0.3">
      <c r="A4431" s="8" t="s">
        <v>8822</v>
      </c>
      <c r="B4431" s="8" t="s">
        <v>58034</v>
      </c>
      <c r="C4431" s="8" t="s">
        <v>8823</v>
      </c>
      <c r="D4431" s="8"/>
      <c r="E4431" s="6"/>
      <c r="F4431" s="6"/>
    </row>
    <row r="4432" spans="1:6" x14ac:dyDescent="0.3">
      <c r="A4432" s="8" t="s">
        <v>8824</v>
      </c>
      <c r="B4432" s="8" t="s">
        <v>58035</v>
      </c>
      <c r="C4432" s="8" t="s">
        <v>8825</v>
      </c>
      <c r="D4432" s="8"/>
      <c r="E4432" s="6"/>
      <c r="F4432" s="6"/>
    </row>
    <row r="4433" spans="1:6" x14ac:dyDescent="0.3">
      <c r="A4433" s="8" t="s">
        <v>8826</v>
      </c>
      <c r="B4433" s="8" t="s">
        <v>58036</v>
      </c>
      <c r="C4433" s="8" t="s">
        <v>8827</v>
      </c>
      <c r="D4433" s="8"/>
      <c r="E4433" s="6"/>
      <c r="F4433" s="6"/>
    </row>
    <row r="4434" spans="1:6" x14ac:dyDescent="0.3">
      <c r="A4434" s="8" t="s">
        <v>8828</v>
      </c>
      <c r="B4434" s="8" t="s">
        <v>58037</v>
      </c>
      <c r="C4434" s="8" t="s">
        <v>8829</v>
      </c>
      <c r="D4434" s="8"/>
      <c r="E4434" s="6"/>
      <c r="F4434" s="6"/>
    </row>
    <row r="4435" spans="1:6" x14ac:dyDescent="0.3">
      <c r="A4435" s="8" t="s">
        <v>8830</v>
      </c>
      <c r="B4435" s="8" t="s">
        <v>58038</v>
      </c>
      <c r="C4435" s="8" t="s">
        <v>8831</v>
      </c>
      <c r="D4435" s="8"/>
      <c r="E4435" s="6"/>
      <c r="F4435" s="6"/>
    </row>
    <row r="4436" spans="1:6" x14ac:dyDescent="0.3">
      <c r="A4436" s="8" t="s">
        <v>8832</v>
      </c>
      <c r="B4436" s="8" t="s">
        <v>58039</v>
      </c>
      <c r="C4436" s="8" t="s">
        <v>8833</v>
      </c>
      <c r="D4436" s="8"/>
      <c r="E4436" s="6"/>
      <c r="F4436" s="6"/>
    </row>
    <row r="4437" spans="1:6" x14ac:dyDescent="0.3">
      <c r="A4437" s="8" t="s">
        <v>8834</v>
      </c>
      <c r="B4437" s="8" t="s">
        <v>58040</v>
      </c>
      <c r="C4437" s="8" t="s">
        <v>8835</v>
      </c>
      <c r="D4437" s="8"/>
      <c r="E4437" s="6"/>
      <c r="F4437" s="6"/>
    </row>
    <row r="4438" spans="1:6" x14ac:dyDescent="0.3">
      <c r="A4438" s="8" t="s">
        <v>8836</v>
      </c>
      <c r="B4438" s="8" t="s">
        <v>58041</v>
      </c>
      <c r="C4438" s="8" t="s">
        <v>8837</v>
      </c>
      <c r="D4438" s="8"/>
      <c r="E4438" s="6"/>
      <c r="F4438" s="6"/>
    </row>
    <row r="4439" spans="1:6" x14ac:dyDescent="0.3">
      <c r="A4439" s="8" t="s">
        <v>8838</v>
      </c>
      <c r="B4439" s="8" t="s">
        <v>58042</v>
      </c>
      <c r="C4439" s="8" t="s">
        <v>8839</v>
      </c>
      <c r="D4439" s="8"/>
      <c r="E4439" s="6"/>
      <c r="F4439" s="6"/>
    </row>
    <row r="4440" spans="1:6" x14ac:dyDescent="0.3">
      <c r="A4440" s="8" t="s">
        <v>8840</v>
      </c>
      <c r="B4440" s="8" t="s">
        <v>58043</v>
      </c>
      <c r="C4440" s="8" t="s">
        <v>8841</v>
      </c>
      <c r="D4440" s="8"/>
      <c r="E4440" s="6"/>
      <c r="F4440" s="6"/>
    </row>
    <row r="4441" spans="1:6" x14ac:dyDescent="0.3">
      <c r="A4441" s="8" t="s">
        <v>8842</v>
      </c>
      <c r="B4441" s="8" t="s">
        <v>58044</v>
      </c>
      <c r="C4441" s="8" t="s">
        <v>8843</v>
      </c>
      <c r="D4441" s="8"/>
      <c r="E4441" s="6"/>
      <c r="F4441" s="6"/>
    </row>
    <row r="4442" spans="1:6" x14ac:dyDescent="0.3">
      <c r="A4442" s="8" t="s">
        <v>8844</v>
      </c>
      <c r="B4442" s="8" t="s">
        <v>58045</v>
      </c>
      <c r="C4442" s="8" t="s">
        <v>8845</v>
      </c>
      <c r="D4442" s="8"/>
      <c r="E4442" s="6"/>
      <c r="F4442" s="6"/>
    </row>
    <row r="4443" spans="1:6" x14ac:dyDescent="0.3">
      <c r="A4443" s="8" t="s">
        <v>8846</v>
      </c>
      <c r="B4443" s="8" t="s">
        <v>58046</v>
      </c>
      <c r="C4443" s="8" t="s">
        <v>8847</v>
      </c>
      <c r="D4443" s="8"/>
      <c r="E4443" s="6"/>
      <c r="F4443" s="6"/>
    </row>
    <row r="4444" spans="1:6" x14ac:dyDescent="0.3">
      <c r="A4444" s="8" t="s">
        <v>8848</v>
      </c>
      <c r="B4444" s="8" t="s">
        <v>58047</v>
      </c>
      <c r="C4444" s="8" t="s">
        <v>8849</v>
      </c>
      <c r="D4444" s="8"/>
      <c r="E4444" s="6"/>
      <c r="F4444" s="6"/>
    </row>
    <row r="4445" spans="1:6" x14ac:dyDescent="0.3">
      <c r="A4445" s="8" t="s">
        <v>8850</v>
      </c>
      <c r="B4445" s="8" t="s">
        <v>58048</v>
      </c>
      <c r="C4445" s="8" t="s">
        <v>8851</v>
      </c>
      <c r="D4445" s="8"/>
      <c r="E4445" s="6"/>
      <c r="F4445" s="6"/>
    </row>
    <row r="4446" spans="1:6" x14ac:dyDescent="0.3">
      <c r="A4446" s="8" t="s">
        <v>8852</v>
      </c>
      <c r="B4446" s="8" t="s">
        <v>58049</v>
      </c>
      <c r="C4446" s="8" t="s">
        <v>8853</v>
      </c>
      <c r="D4446" s="8"/>
      <c r="E4446" s="6"/>
      <c r="F4446" s="6"/>
    </row>
    <row r="4447" spans="1:6" x14ac:dyDescent="0.3">
      <c r="A4447" s="8" t="s">
        <v>8854</v>
      </c>
      <c r="B4447" s="8" t="s">
        <v>58050</v>
      </c>
      <c r="C4447" s="8" t="s">
        <v>8855</v>
      </c>
      <c r="D4447" s="8"/>
      <c r="E4447" s="6"/>
      <c r="F4447" s="6"/>
    </row>
    <row r="4448" spans="1:6" x14ac:dyDescent="0.3">
      <c r="A4448" s="8" t="s">
        <v>8856</v>
      </c>
      <c r="B4448" s="8" t="s">
        <v>58051</v>
      </c>
      <c r="C4448" s="8" t="s">
        <v>8857</v>
      </c>
      <c r="D4448" s="8"/>
      <c r="E4448" s="6"/>
      <c r="F4448" s="6"/>
    </row>
    <row r="4449" spans="1:6" x14ac:dyDescent="0.3">
      <c r="A4449" s="8" t="s">
        <v>8858</v>
      </c>
      <c r="B4449" s="8" t="s">
        <v>58052</v>
      </c>
      <c r="C4449" s="8" t="s">
        <v>8859</v>
      </c>
      <c r="D4449" s="8"/>
      <c r="E4449" s="6"/>
      <c r="F4449" s="6"/>
    </row>
    <row r="4450" spans="1:6" x14ac:dyDescent="0.3">
      <c r="A4450" s="8" t="s">
        <v>8860</v>
      </c>
      <c r="B4450" s="8" t="s">
        <v>58053</v>
      </c>
      <c r="C4450" s="8" t="s">
        <v>8861</v>
      </c>
      <c r="D4450" s="8"/>
      <c r="E4450" s="6"/>
      <c r="F4450" s="6"/>
    </row>
    <row r="4451" spans="1:6" x14ac:dyDescent="0.3">
      <c r="A4451" s="8" t="s">
        <v>8862</v>
      </c>
      <c r="B4451" s="8" t="s">
        <v>58054</v>
      </c>
      <c r="C4451" s="8" t="s">
        <v>8863</v>
      </c>
      <c r="D4451" s="8"/>
      <c r="E4451" s="6"/>
      <c r="F4451" s="6"/>
    </row>
    <row r="4452" spans="1:6" x14ac:dyDescent="0.3">
      <c r="A4452" s="8" t="s">
        <v>8864</v>
      </c>
      <c r="B4452" s="8" t="s">
        <v>58055</v>
      </c>
      <c r="C4452" s="8" t="s">
        <v>8865</v>
      </c>
      <c r="D4452" s="8"/>
      <c r="E4452" s="6"/>
      <c r="F4452" s="6"/>
    </row>
    <row r="4453" spans="1:6" x14ac:dyDescent="0.3">
      <c r="A4453" s="8" t="s">
        <v>8866</v>
      </c>
      <c r="B4453" s="8" t="s">
        <v>58056</v>
      </c>
      <c r="C4453" s="8" t="s">
        <v>8867</v>
      </c>
      <c r="D4453" s="8"/>
      <c r="E4453" s="6"/>
      <c r="F4453" s="6"/>
    </row>
    <row r="4454" spans="1:6" x14ac:dyDescent="0.3">
      <c r="A4454" s="8" t="s">
        <v>8868</v>
      </c>
      <c r="B4454" s="8" t="s">
        <v>58057</v>
      </c>
      <c r="C4454" s="8" t="s">
        <v>8869</v>
      </c>
      <c r="D4454" s="8"/>
      <c r="E4454" s="6"/>
      <c r="F4454" s="6"/>
    </row>
    <row r="4455" spans="1:6" x14ac:dyDescent="0.3">
      <c r="A4455" s="8" t="s">
        <v>8870</v>
      </c>
      <c r="B4455" s="8" t="s">
        <v>58058</v>
      </c>
      <c r="C4455" s="8" t="s">
        <v>8871</v>
      </c>
      <c r="D4455" s="8"/>
      <c r="E4455" s="6"/>
      <c r="F4455" s="6"/>
    </row>
    <row r="4456" spans="1:6" x14ac:dyDescent="0.3">
      <c r="A4456" s="8" t="s">
        <v>8872</v>
      </c>
      <c r="B4456" s="8" t="s">
        <v>58059</v>
      </c>
      <c r="C4456" s="8" t="s">
        <v>8873</v>
      </c>
      <c r="D4456" s="8"/>
      <c r="E4456" s="6"/>
      <c r="F4456" s="6"/>
    </row>
    <row r="4457" spans="1:6" x14ac:dyDescent="0.3">
      <c r="A4457" s="8" t="s">
        <v>8874</v>
      </c>
      <c r="B4457" s="8" t="s">
        <v>58060</v>
      </c>
      <c r="C4457" s="8" t="s">
        <v>8875</v>
      </c>
      <c r="D4457" s="8"/>
      <c r="E4457" s="6"/>
      <c r="F4457" s="6"/>
    </row>
    <row r="4458" spans="1:6" x14ac:dyDescent="0.3">
      <c r="A4458" s="8" t="s">
        <v>8876</v>
      </c>
      <c r="B4458" s="8" t="s">
        <v>58061</v>
      </c>
      <c r="C4458" s="8" t="s">
        <v>8877</v>
      </c>
      <c r="D4458" s="8"/>
      <c r="E4458" s="6"/>
      <c r="F4458" s="6"/>
    </row>
    <row r="4459" spans="1:6" x14ac:dyDescent="0.3">
      <c r="A4459" s="8" t="s">
        <v>8878</v>
      </c>
      <c r="B4459" s="8" t="s">
        <v>58062</v>
      </c>
      <c r="C4459" s="8" t="s">
        <v>8879</v>
      </c>
      <c r="D4459" s="8"/>
      <c r="E4459" s="6"/>
      <c r="F4459" s="6"/>
    </row>
    <row r="4460" spans="1:6" x14ac:dyDescent="0.3">
      <c r="A4460" s="8" t="s">
        <v>8880</v>
      </c>
      <c r="B4460" s="8" t="s">
        <v>58063</v>
      </c>
      <c r="C4460" s="8" t="s">
        <v>8881</v>
      </c>
      <c r="D4460" s="8"/>
      <c r="E4460" s="6"/>
      <c r="F4460" s="6"/>
    </row>
    <row r="4461" spans="1:6" x14ac:dyDescent="0.3">
      <c r="A4461" s="8" t="s">
        <v>8882</v>
      </c>
      <c r="B4461" s="8" t="s">
        <v>58064</v>
      </c>
      <c r="C4461" s="8" t="s">
        <v>8883</v>
      </c>
      <c r="D4461" s="8"/>
      <c r="E4461" s="6"/>
      <c r="F4461" s="6"/>
    </row>
    <row r="4462" spans="1:6" x14ac:dyDescent="0.3">
      <c r="A4462" s="8" t="s">
        <v>8884</v>
      </c>
      <c r="B4462" s="8" t="s">
        <v>58065</v>
      </c>
      <c r="C4462" s="8" t="s">
        <v>8885</v>
      </c>
      <c r="D4462" s="8"/>
      <c r="E4462" s="6"/>
      <c r="F4462" s="6"/>
    </row>
    <row r="4463" spans="1:6" x14ac:dyDescent="0.3">
      <c r="A4463" s="8" t="s">
        <v>8886</v>
      </c>
      <c r="B4463" s="8" t="s">
        <v>58066</v>
      </c>
      <c r="C4463" s="8" t="s">
        <v>8887</v>
      </c>
      <c r="D4463" s="8"/>
      <c r="E4463" s="6"/>
      <c r="F4463" s="6"/>
    </row>
    <row r="4464" spans="1:6" x14ac:dyDescent="0.3">
      <c r="A4464" s="8" t="s">
        <v>8888</v>
      </c>
      <c r="B4464" s="8" t="s">
        <v>58067</v>
      </c>
      <c r="C4464" s="8" t="s">
        <v>8889</v>
      </c>
      <c r="D4464" s="8"/>
      <c r="E4464" s="6"/>
      <c r="F4464" s="6"/>
    </row>
    <row r="4465" spans="1:6" x14ac:dyDescent="0.3">
      <c r="A4465" s="8" t="s">
        <v>8890</v>
      </c>
      <c r="B4465" s="8" t="s">
        <v>58068</v>
      </c>
      <c r="C4465" s="8" t="s">
        <v>8891</v>
      </c>
      <c r="D4465" s="8"/>
      <c r="E4465" s="6"/>
      <c r="F4465" s="6"/>
    </row>
    <row r="4466" spans="1:6" x14ac:dyDescent="0.3">
      <c r="A4466" s="8" t="s">
        <v>8892</v>
      </c>
      <c r="B4466" s="8" t="s">
        <v>58069</v>
      </c>
      <c r="C4466" s="8" t="s">
        <v>8893</v>
      </c>
      <c r="D4466" s="8"/>
      <c r="E4466" s="6"/>
      <c r="F4466" s="6"/>
    </row>
    <row r="4467" spans="1:6" x14ac:dyDescent="0.3">
      <c r="A4467" s="8" t="s">
        <v>8894</v>
      </c>
      <c r="B4467" s="8" t="s">
        <v>58070</v>
      </c>
      <c r="C4467" s="8" t="s">
        <v>8895</v>
      </c>
      <c r="D4467" s="8"/>
      <c r="E4467" s="6"/>
      <c r="F4467" s="6"/>
    </row>
    <row r="4468" spans="1:6" x14ac:dyDescent="0.3">
      <c r="A4468" s="8" t="s">
        <v>8896</v>
      </c>
      <c r="B4468" s="8" t="s">
        <v>58071</v>
      </c>
      <c r="C4468" s="8" t="s">
        <v>8897</v>
      </c>
      <c r="D4468" s="8"/>
      <c r="E4468" s="6"/>
      <c r="F4468" s="6"/>
    </row>
    <row r="4469" spans="1:6" x14ac:dyDescent="0.3">
      <c r="A4469" s="8" t="s">
        <v>8898</v>
      </c>
      <c r="B4469" s="8" t="s">
        <v>58072</v>
      </c>
      <c r="C4469" s="8" t="s">
        <v>8899</v>
      </c>
      <c r="D4469" s="8"/>
      <c r="E4469" s="6"/>
      <c r="F4469" s="6"/>
    </row>
    <row r="4470" spans="1:6" x14ac:dyDescent="0.3">
      <c r="A4470" s="8" t="s">
        <v>8900</v>
      </c>
      <c r="B4470" s="8" t="s">
        <v>58073</v>
      </c>
      <c r="C4470" s="8" t="s">
        <v>8901</v>
      </c>
      <c r="D4470" s="8"/>
      <c r="E4470" s="6"/>
      <c r="F4470" s="6"/>
    </row>
    <row r="4471" spans="1:6" x14ac:dyDescent="0.3">
      <c r="A4471" s="8" t="s">
        <v>8902</v>
      </c>
      <c r="B4471" s="8" t="s">
        <v>58074</v>
      </c>
      <c r="C4471" s="8" t="s">
        <v>8903</v>
      </c>
      <c r="D4471" s="8"/>
      <c r="E4471" s="6"/>
      <c r="F4471" s="6"/>
    </row>
    <row r="4472" spans="1:6" x14ac:dyDescent="0.3">
      <c r="A4472" s="8" t="s">
        <v>8904</v>
      </c>
      <c r="B4472" s="8" t="s">
        <v>58075</v>
      </c>
      <c r="C4472" s="8" t="s">
        <v>8905</v>
      </c>
      <c r="D4472" s="8"/>
      <c r="E4472" s="6"/>
      <c r="F4472" s="6"/>
    </row>
    <row r="4473" spans="1:6" x14ac:dyDescent="0.3">
      <c r="A4473" s="8" t="s">
        <v>8906</v>
      </c>
      <c r="B4473" s="8" t="s">
        <v>58076</v>
      </c>
      <c r="C4473" s="8" t="s">
        <v>8907</v>
      </c>
      <c r="D4473" s="8"/>
      <c r="E4473" s="6"/>
      <c r="F4473" s="6"/>
    </row>
    <row r="4474" spans="1:6" x14ac:dyDescent="0.3">
      <c r="A4474" s="8" t="s">
        <v>8908</v>
      </c>
      <c r="B4474" s="8" t="s">
        <v>58077</v>
      </c>
      <c r="C4474" s="8" t="s">
        <v>8909</v>
      </c>
      <c r="D4474" s="8"/>
      <c r="E4474" s="6"/>
      <c r="F4474" s="6"/>
    </row>
    <row r="4475" spans="1:6" x14ac:dyDescent="0.3">
      <c r="A4475" s="8" t="s">
        <v>8910</v>
      </c>
      <c r="B4475" s="8" t="s">
        <v>58078</v>
      </c>
      <c r="C4475" s="8" t="s">
        <v>8911</v>
      </c>
      <c r="D4475" s="8"/>
      <c r="E4475" s="6"/>
      <c r="F4475" s="6"/>
    </row>
    <row r="4476" spans="1:6" x14ac:dyDescent="0.3">
      <c r="A4476" s="8" t="s">
        <v>8912</v>
      </c>
      <c r="B4476" s="8" t="s">
        <v>58079</v>
      </c>
      <c r="C4476" s="8" t="s">
        <v>8913</v>
      </c>
      <c r="D4476" s="8"/>
      <c r="E4476" s="6"/>
      <c r="F4476" s="6"/>
    </row>
    <row r="4477" spans="1:6" x14ac:dyDescent="0.3">
      <c r="A4477" s="8" t="s">
        <v>8914</v>
      </c>
      <c r="B4477" s="8" t="s">
        <v>58080</v>
      </c>
      <c r="C4477" s="8" t="s">
        <v>8915</v>
      </c>
      <c r="D4477" s="8"/>
      <c r="E4477" s="6"/>
      <c r="F4477" s="6"/>
    </row>
    <row r="4478" spans="1:6" x14ac:dyDescent="0.3">
      <c r="A4478" s="8" t="s">
        <v>8916</v>
      </c>
      <c r="B4478" s="8" t="s">
        <v>58081</v>
      </c>
      <c r="C4478" s="8" t="s">
        <v>8917</v>
      </c>
      <c r="D4478" s="8"/>
      <c r="E4478" s="6"/>
      <c r="F4478" s="6"/>
    </row>
    <row r="4479" spans="1:6" x14ac:dyDescent="0.3">
      <c r="A4479" s="8" t="s">
        <v>8918</v>
      </c>
      <c r="B4479" s="8" t="s">
        <v>58082</v>
      </c>
      <c r="C4479" s="8" t="s">
        <v>8919</v>
      </c>
      <c r="D4479" s="8"/>
      <c r="E4479" s="6"/>
      <c r="F4479" s="6"/>
    </row>
    <row r="4480" spans="1:6" x14ac:dyDescent="0.3">
      <c r="A4480" s="8" t="s">
        <v>8920</v>
      </c>
      <c r="B4480" s="8" t="s">
        <v>58083</v>
      </c>
      <c r="C4480" s="8" t="s">
        <v>8921</v>
      </c>
      <c r="D4480" s="8"/>
      <c r="E4480" s="6"/>
      <c r="F4480" s="6"/>
    </row>
    <row r="4481" spans="1:6" x14ac:dyDescent="0.3">
      <c r="A4481" s="8" t="s">
        <v>8922</v>
      </c>
      <c r="B4481" s="8" t="s">
        <v>58084</v>
      </c>
      <c r="C4481" s="8" t="s">
        <v>8923</v>
      </c>
      <c r="D4481" s="8"/>
      <c r="E4481" s="6"/>
      <c r="F4481" s="6"/>
    </row>
    <row r="4482" spans="1:6" x14ac:dyDescent="0.3">
      <c r="A4482" s="8" t="s">
        <v>8924</v>
      </c>
      <c r="B4482" s="8" t="s">
        <v>58085</v>
      </c>
      <c r="C4482" s="8" t="s">
        <v>8925</v>
      </c>
      <c r="D4482" s="8"/>
      <c r="E4482" s="6"/>
      <c r="F4482" s="6"/>
    </row>
    <row r="4483" spans="1:6" x14ac:dyDescent="0.3">
      <c r="A4483" s="8" t="s">
        <v>8926</v>
      </c>
      <c r="B4483" s="8" t="s">
        <v>58086</v>
      </c>
      <c r="C4483" s="8" t="s">
        <v>8927</v>
      </c>
      <c r="D4483" s="8"/>
      <c r="E4483" s="6"/>
      <c r="F4483" s="6"/>
    </row>
    <row r="4484" spans="1:6" x14ac:dyDescent="0.3">
      <c r="A4484" s="8" t="s">
        <v>8928</v>
      </c>
      <c r="B4484" s="8" t="s">
        <v>58087</v>
      </c>
      <c r="C4484" s="8" t="s">
        <v>8929</v>
      </c>
      <c r="D4484" s="8"/>
      <c r="E4484" s="6"/>
      <c r="F4484" s="6"/>
    </row>
    <row r="4485" spans="1:6" x14ac:dyDescent="0.3">
      <c r="A4485" s="8" t="s">
        <v>8930</v>
      </c>
      <c r="B4485" s="8" t="s">
        <v>58088</v>
      </c>
      <c r="C4485" s="8" t="s">
        <v>8931</v>
      </c>
      <c r="D4485" s="8"/>
      <c r="E4485" s="6"/>
      <c r="F4485" s="6"/>
    </row>
    <row r="4486" spans="1:6" x14ac:dyDescent="0.3">
      <c r="A4486" s="8" t="s">
        <v>8932</v>
      </c>
      <c r="B4486" s="8" t="s">
        <v>58089</v>
      </c>
      <c r="C4486" s="8" t="s">
        <v>8933</v>
      </c>
      <c r="D4486" s="8"/>
      <c r="E4486" s="6"/>
      <c r="F4486" s="6"/>
    </row>
    <row r="4487" spans="1:6" x14ac:dyDescent="0.3">
      <c r="A4487" s="8" t="s">
        <v>8934</v>
      </c>
      <c r="B4487" s="8" t="s">
        <v>58090</v>
      </c>
      <c r="C4487" s="8" t="s">
        <v>8935</v>
      </c>
      <c r="D4487" s="8"/>
      <c r="E4487" s="6"/>
      <c r="F4487" s="6"/>
    </row>
    <row r="4488" spans="1:6" x14ac:dyDescent="0.3">
      <c r="A4488" s="8" t="s">
        <v>8936</v>
      </c>
      <c r="B4488" s="8" t="s">
        <v>58091</v>
      </c>
      <c r="C4488" s="8" t="s">
        <v>8937</v>
      </c>
      <c r="D4488" s="8"/>
      <c r="E4488" s="6"/>
      <c r="F4488" s="6"/>
    </row>
    <row r="4489" spans="1:6" x14ac:dyDescent="0.3">
      <c r="A4489" s="8" t="s">
        <v>8938</v>
      </c>
      <c r="B4489" s="8" t="s">
        <v>58092</v>
      </c>
      <c r="C4489" s="8" t="s">
        <v>8939</v>
      </c>
      <c r="D4489" s="8"/>
      <c r="E4489" s="6"/>
      <c r="F4489" s="6"/>
    </row>
    <row r="4490" spans="1:6" x14ac:dyDescent="0.3">
      <c r="A4490" s="8" t="s">
        <v>8940</v>
      </c>
      <c r="B4490" s="8" t="s">
        <v>58093</v>
      </c>
      <c r="C4490" s="8" t="s">
        <v>8941</v>
      </c>
      <c r="D4490" s="8"/>
      <c r="E4490" s="6"/>
      <c r="F4490" s="6"/>
    </row>
    <row r="4491" spans="1:6" x14ac:dyDescent="0.3">
      <c r="A4491" s="8" t="s">
        <v>8942</v>
      </c>
      <c r="B4491" s="8" t="s">
        <v>58094</v>
      </c>
      <c r="C4491" s="8" t="s">
        <v>8943</v>
      </c>
      <c r="D4491" s="8"/>
      <c r="E4491" s="6"/>
      <c r="F4491" s="6"/>
    </row>
    <row r="4492" spans="1:6" x14ac:dyDescent="0.3">
      <c r="A4492" s="8" t="s">
        <v>8944</v>
      </c>
      <c r="B4492" s="8" t="s">
        <v>58095</v>
      </c>
      <c r="C4492" s="8" t="s">
        <v>8945</v>
      </c>
      <c r="D4492" s="8"/>
      <c r="E4492" s="6"/>
      <c r="F4492" s="6"/>
    </row>
    <row r="4493" spans="1:6" x14ac:dyDescent="0.3">
      <c r="A4493" s="8" t="s">
        <v>8946</v>
      </c>
      <c r="B4493" s="8" t="s">
        <v>58096</v>
      </c>
      <c r="C4493" s="8" t="s">
        <v>8947</v>
      </c>
      <c r="D4493" s="8"/>
      <c r="E4493" s="6"/>
      <c r="F4493" s="6"/>
    </row>
    <row r="4494" spans="1:6" x14ac:dyDescent="0.3">
      <c r="A4494" s="8" t="s">
        <v>8948</v>
      </c>
      <c r="B4494" s="8" t="s">
        <v>58097</v>
      </c>
      <c r="C4494" s="8" t="s">
        <v>8949</v>
      </c>
      <c r="D4494" s="8"/>
      <c r="E4494" s="6"/>
      <c r="F4494" s="6"/>
    </row>
    <row r="4495" spans="1:6" x14ac:dyDescent="0.3">
      <c r="A4495" s="8" t="s">
        <v>8950</v>
      </c>
      <c r="B4495" s="8" t="s">
        <v>58098</v>
      </c>
      <c r="C4495" s="8" t="s">
        <v>8951</v>
      </c>
      <c r="D4495" s="8"/>
      <c r="E4495" s="6"/>
      <c r="F4495" s="6"/>
    </row>
    <row r="4496" spans="1:6" x14ac:dyDescent="0.3">
      <c r="A4496" s="8" t="s">
        <v>8952</v>
      </c>
      <c r="B4496" s="8" t="s">
        <v>58099</v>
      </c>
      <c r="C4496" s="8" t="s">
        <v>8953</v>
      </c>
      <c r="D4496" s="8"/>
      <c r="E4496" s="6"/>
      <c r="F4496" s="6"/>
    </row>
    <row r="4497" spans="1:6" x14ac:dyDescent="0.3">
      <c r="A4497" s="8" t="s">
        <v>8954</v>
      </c>
      <c r="B4497" s="8" t="s">
        <v>58100</v>
      </c>
      <c r="C4497" s="8" t="s">
        <v>8955</v>
      </c>
      <c r="D4497" s="8"/>
      <c r="E4497" s="6"/>
      <c r="F4497" s="6"/>
    </row>
    <row r="4498" spans="1:6" x14ac:dyDescent="0.3">
      <c r="A4498" s="8" t="s">
        <v>8956</v>
      </c>
      <c r="B4498" s="8" t="s">
        <v>58101</v>
      </c>
      <c r="C4498" s="8" t="s">
        <v>8957</v>
      </c>
      <c r="D4498" s="8"/>
      <c r="E4498" s="6"/>
      <c r="F4498" s="6"/>
    </row>
    <row r="4499" spans="1:6" x14ac:dyDescent="0.3">
      <c r="A4499" s="8" t="s">
        <v>8958</v>
      </c>
      <c r="B4499" s="8" t="s">
        <v>58102</v>
      </c>
      <c r="C4499" s="8" t="s">
        <v>8959</v>
      </c>
      <c r="D4499" s="8"/>
      <c r="E4499" s="6"/>
      <c r="F4499" s="6"/>
    </row>
    <row r="4500" spans="1:6" x14ac:dyDescent="0.3">
      <c r="A4500" s="8" t="s">
        <v>8960</v>
      </c>
      <c r="B4500" s="8" t="s">
        <v>58103</v>
      </c>
      <c r="C4500" s="8" t="s">
        <v>8961</v>
      </c>
      <c r="D4500" s="8"/>
      <c r="E4500" s="6"/>
      <c r="F4500" s="6"/>
    </row>
    <row r="4501" spans="1:6" x14ac:dyDescent="0.3">
      <c r="A4501" s="8" t="s">
        <v>8962</v>
      </c>
      <c r="B4501" s="8" t="s">
        <v>58104</v>
      </c>
      <c r="C4501" s="8" t="s">
        <v>8963</v>
      </c>
      <c r="D4501" s="8"/>
      <c r="E4501" s="6"/>
      <c r="F4501" s="6"/>
    </row>
    <row r="4502" spans="1:6" x14ac:dyDescent="0.3">
      <c r="A4502" s="8" t="s">
        <v>8964</v>
      </c>
      <c r="B4502" s="8" t="s">
        <v>58105</v>
      </c>
      <c r="C4502" s="8" t="s">
        <v>8965</v>
      </c>
      <c r="D4502" s="8"/>
      <c r="E4502" s="6"/>
      <c r="F4502" s="6"/>
    </row>
    <row r="4503" spans="1:6" x14ac:dyDescent="0.3">
      <c r="A4503" s="8" t="s">
        <v>8966</v>
      </c>
      <c r="B4503" s="8" t="s">
        <v>58106</v>
      </c>
      <c r="C4503" s="8" t="s">
        <v>8967</v>
      </c>
      <c r="D4503" s="8"/>
      <c r="E4503" s="6"/>
      <c r="F4503" s="6"/>
    </row>
    <row r="4504" spans="1:6" x14ac:dyDescent="0.3">
      <c r="A4504" s="8" t="s">
        <v>8968</v>
      </c>
      <c r="B4504" s="8" t="s">
        <v>58107</v>
      </c>
      <c r="C4504" s="8" t="s">
        <v>8969</v>
      </c>
      <c r="D4504" s="8"/>
      <c r="E4504" s="6"/>
      <c r="F4504" s="6"/>
    </row>
    <row r="4505" spans="1:6" x14ac:dyDescent="0.3">
      <c r="A4505" s="8" t="s">
        <v>8970</v>
      </c>
      <c r="B4505" s="8" t="s">
        <v>58108</v>
      </c>
      <c r="C4505" s="8" t="s">
        <v>8971</v>
      </c>
      <c r="D4505" s="8"/>
      <c r="E4505" s="6"/>
      <c r="F4505" s="6"/>
    </row>
    <row r="4506" spans="1:6" x14ac:dyDescent="0.3">
      <c r="A4506" s="8" t="s">
        <v>8972</v>
      </c>
      <c r="B4506" s="8" t="s">
        <v>58109</v>
      </c>
      <c r="C4506" s="8" t="s">
        <v>8973</v>
      </c>
      <c r="D4506" s="8"/>
      <c r="E4506" s="6"/>
      <c r="F4506" s="6"/>
    </row>
    <row r="4507" spans="1:6" x14ac:dyDescent="0.3">
      <c r="A4507" s="8" t="s">
        <v>8974</v>
      </c>
      <c r="B4507" s="8" t="s">
        <v>58110</v>
      </c>
      <c r="C4507" s="8" t="s">
        <v>8975</v>
      </c>
      <c r="D4507" s="8"/>
      <c r="E4507" s="6"/>
      <c r="F4507" s="6"/>
    </row>
    <row r="4508" spans="1:6" x14ac:dyDescent="0.3">
      <c r="A4508" s="8" t="s">
        <v>8976</v>
      </c>
      <c r="B4508" s="8" t="s">
        <v>58111</v>
      </c>
      <c r="C4508" s="8" t="s">
        <v>8977</v>
      </c>
      <c r="D4508" s="8"/>
      <c r="E4508" s="6"/>
      <c r="F4508" s="6"/>
    </row>
    <row r="4509" spans="1:6" x14ac:dyDescent="0.3">
      <c r="A4509" s="8" t="s">
        <v>8978</v>
      </c>
      <c r="B4509" s="8" t="s">
        <v>58112</v>
      </c>
      <c r="C4509" s="8" t="s">
        <v>8979</v>
      </c>
      <c r="D4509" s="8"/>
      <c r="E4509" s="6"/>
      <c r="F4509" s="6"/>
    </row>
    <row r="4510" spans="1:6" x14ac:dyDescent="0.3">
      <c r="A4510" s="8" t="s">
        <v>8980</v>
      </c>
      <c r="B4510" s="8" t="s">
        <v>58113</v>
      </c>
      <c r="C4510" s="8" t="s">
        <v>8981</v>
      </c>
      <c r="D4510" s="8"/>
      <c r="E4510" s="6"/>
      <c r="F4510" s="6"/>
    </row>
    <row r="4511" spans="1:6" x14ac:dyDescent="0.3">
      <c r="A4511" s="8" t="s">
        <v>8982</v>
      </c>
      <c r="B4511" s="8" t="s">
        <v>58114</v>
      </c>
      <c r="C4511" s="8" t="s">
        <v>8983</v>
      </c>
      <c r="D4511" s="8"/>
      <c r="E4511" s="6"/>
      <c r="F4511" s="6"/>
    </row>
    <row r="4512" spans="1:6" x14ac:dyDescent="0.3">
      <c r="A4512" s="8" t="s">
        <v>8984</v>
      </c>
      <c r="B4512" s="8" t="s">
        <v>58115</v>
      </c>
      <c r="C4512" s="8" t="s">
        <v>8985</v>
      </c>
      <c r="D4512" s="8"/>
      <c r="E4512" s="6"/>
      <c r="F4512" s="6"/>
    </row>
    <row r="4513" spans="1:6" x14ac:dyDescent="0.3">
      <c r="A4513" s="8" t="s">
        <v>8986</v>
      </c>
      <c r="B4513" s="8" t="s">
        <v>58116</v>
      </c>
      <c r="C4513" s="8" t="s">
        <v>8987</v>
      </c>
      <c r="D4513" s="8"/>
      <c r="E4513" s="6"/>
      <c r="F4513" s="6"/>
    </row>
    <row r="4514" spans="1:6" x14ac:dyDescent="0.3">
      <c r="A4514" s="8" t="s">
        <v>8988</v>
      </c>
      <c r="B4514" s="8" t="s">
        <v>58117</v>
      </c>
      <c r="C4514" s="8" t="s">
        <v>8989</v>
      </c>
      <c r="D4514" s="8"/>
      <c r="E4514" s="6"/>
      <c r="F4514" s="6"/>
    </row>
    <row r="4515" spans="1:6" x14ac:dyDescent="0.3">
      <c r="A4515" s="8" t="s">
        <v>8990</v>
      </c>
      <c r="B4515" s="8" t="s">
        <v>58118</v>
      </c>
      <c r="C4515" s="8" t="s">
        <v>8991</v>
      </c>
      <c r="D4515" s="8"/>
      <c r="E4515" s="6"/>
      <c r="F4515" s="6"/>
    </row>
    <row r="4516" spans="1:6" x14ac:dyDescent="0.3">
      <c r="A4516" s="8" t="s">
        <v>8992</v>
      </c>
      <c r="B4516" s="8" t="s">
        <v>58119</v>
      </c>
      <c r="C4516" s="8" t="s">
        <v>8993</v>
      </c>
      <c r="D4516" s="8"/>
      <c r="E4516" s="6"/>
      <c r="F4516" s="6"/>
    </row>
    <row r="4517" spans="1:6" x14ac:dyDescent="0.3">
      <c r="A4517" s="8" t="s">
        <v>8994</v>
      </c>
      <c r="B4517" s="8" t="s">
        <v>58120</v>
      </c>
      <c r="C4517" s="8" t="s">
        <v>8995</v>
      </c>
      <c r="D4517" s="8"/>
      <c r="E4517" s="6"/>
      <c r="F4517" s="6"/>
    </row>
    <row r="4518" spans="1:6" x14ac:dyDescent="0.3">
      <c r="A4518" s="8" t="s">
        <v>8996</v>
      </c>
      <c r="B4518" s="8" t="s">
        <v>58121</v>
      </c>
      <c r="C4518" s="8" t="s">
        <v>8997</v>
      </c>
      <c r="D4518" s="8"/>
      <c r="E4518" s="6"/>
      <c r="F4518" s="6"/>
    </row>
    <row r="4519" spans="1:6" x14ac:dyDescent="0.3">
      <c r="A4519" s="8" t="s">
        <v>8998</v>
      </c>
      <c r="B4519" s="8" t="s">
        <v>58122</v>
      </c>
      <c r="C4519" s="8" t="s">
        <v>8999</v>
      </c>
      <c r="D4519" s="8"/>
      <c r="E4519" s="6"/>
      <c r="F4519" s="6"/>
    </row>
    <row r="4520" spans="1:6" x14ac:dyDescent="0.3">
      <c r="A4520" s="8" t="s">
        <v>9000</v>
      </c>
      <c r="B4520" s="8" t="s">
        <v>58123</v>
      </c>
      <c r="C4520" s="8" t="s">
        <v>9001</v>
      </c>
      <c r="D4520" s="8"/>
      <c r="E4520" s="6"/>
      <c r="F4520" s="6"/>
    </row>
    <row r="4521" spans="1:6" x14ac:dyDescent="0.3">
      <c r="A4521" s="8" t="s">
        <v>9002</v>
      </c>
      <c r="B4521" s="8" t="s">
        <v>58124</v>
      </c>
      <c r="C4521" s="8" t="s">
        <v>9003</v>
      </c>
      <c r="D4521" s="8"/>
      <c r="E4521" s="6"/>
      <c r="F4521" s="6"/>
    </row>
    <row r="4522" spans="1:6" x14ac:dyDescent="0.3">
      <c r="A4522" s="8" t="s">
        <v>9004</v>
      </c>
      <c r="B4522" s="8" t="s">
        <v>58125</v>
      </c>
      <c r="C4522" s="8" t="s">
        <v>9005</v>
      </c>
      <c r="D4522" s="8"/>
      <c r="E4522" s="6"/>
      <c r="F4522" s="6"/>
    </row>
    <row r="4523" spans="1:6" x14ac:dyDescent="0.3">
      <c r="A4523" s="8" t="s">
        <v>9006</v>
      </c>
      <c r="B4523" s="8" t="s">
        <v>58126</v>
      </c>
      <c r="C4523" s="8" t="s">
        <v>9007</v>
      </c>
      <c r="D4523" s="8"/>
      <c r="E4523" s="6"/>
      <c r="F4523" s="6"/>
    </row>
    <row r="4524" spans="1:6" x14ac:dyDescent="0.3">
      <c r="A4524" s="8" t="s">
        <v>9008</v>
      </c>
      <c r="B4524" s="8" t="s">
        <v>58127</v>
      </c>
      <c r="C4524" s="8" t="s">
        <v>9009</v>
      </c>
      <c r="D4524" s="8"/>
      <c r="E4524" s="6"/>
      <c r="F4524" s="6"/>
    </row>
    <row r="4525" spans="1:6" x14ac:dyDescent="0.3">
      <c r="A4525" s="8" t="s">
        <v>9010</v>
      </c>
      <c r="B4525" s="8" t="s">
        <v>58128</v>
      </c>
      <c r="C4525" s="8" t="s">
        <v>9011</v>
      </c>
      <c r="D4525" s="8"/>
      <c r="E4525" s="6"/>
      <c r="F4525" s="6"/>
    </row>
    <row r="4526" spans="1:6" x14ac:dyDescent="0.3">
      <c r="A4526" s="8" t="s">
        <v>9012</v>
      </c>
      <c r="B4526" s="8" t="s">
        <v>58129</v>
      </c>
      <c r="C4526" s="8" t="s">
        <v>9013</v>
      </c>
      <c r="D4526" s="8"/>
      <c r="E4526" s="6"/>
      <c r="F4526" s="6"/>
    </row>
    <row r="4527" spans="1:6" x14ac:dyDescent="0.3">
      <c r="A4527" s="8" t="s">
        <v>9014</v>
      </c>
      <c r="B4527" s="8" t="s">
        <v>58130</v>
      </c>
      <c r="C4527" s="8" t="s">
        <v>9015</v>
      </c>
      <c r="D4527" s="8"/>
      <c r="E4527" s="6"/>
      <c r="F4527" s="6"/>
    </row>
    <row r="4528" spans="1:6" x14ac:dyDescent="0.3">
      <c r="A4528" s="8" t="s">
        <v>9016</v>
      </c>
      <c r="B4528" s="8" t="s">
        <v>58131</v>
      </c>
      <c r="C4528" s="8" t="s">
        <v>9017</v>
      </c>
      <c r="D4528" s="8"/>
      <c r="E4528" s="6"/>
      <c r="F4528" s="6"/>
    </row>
    <row r="4529" spans="1:6" x14ac:dyDescent="0.3">
      <c r="A4529" s="8" t="s">
        <v>9018</v>
      </c>
      <c r="B4529" s="8" t="s">
        <v>58132</v>
      </c>
      <c r="C4529" s="8" t="s">
        <v>9019</v>
      </c>
      <c r="D4529" s="8"/>
      <c r="E4529" s="6"/>
      <c r="F4529" s="6"/>
    </row>
    <row r="4530" spans="1:6" x14ac:dyDescent="0.3">
      <c r="A4530" s="8" t="s">
        <v>9020</v>
      </c>
      <c r="B4530" s="8" t="s">
        <v>58133</v>
      </c>
      <c r="C4530" s="8" t="s">
        <v>9021</v>
      </c>
      <c r="D4530" s="8"/>
      <c r="E4530" s="6"/>
      <c r="F4530" s="6"/>
    </row>
    <row r="4531" spans="1:6" x14ac:dyDescent="0.3">
      <c r="A4531" s="8" t="s">
        <v>9022</v>
      </c>
      <c r="B4531" s="8" t="s">
        <v>58134</v>
      </c>
      <c r="C4531" s="8" t="s">
        <v>9023</v>
      </c>
      <c r="D4531" s="8"/>
      <c r="E4531" s="6"/>
      <c r="F4531" s="6"/>
    </row>
    <row r="4532" spans="1:6" x14ac:dyDescent="0.3">
      <c r="A4532" s="8" t="s">
        <v>9024</v>
      </c>
      <c r="B4532" s="8" t="s">
        <v>58135</v>
      </c>
      <c r="C4532" s="8" t="s">
        <v>9025</v>
      </c>
      <c r="D4532" s="8"/>
      <c r="E4532" s="6"/>
      <c r="F4532" s="6"/>
    </row>
    <row r="4533" spans="1:6" x14ac:dyDescent="0.3">
      <c r="A4533" s="8" t="s">
        <v>9026</v>
      </c>
      <c r="B4533" s="8" t="s">
        <v>58136</v>
      </c>
      <c r="C4533" s="8" t="s">
        <v>9027</v>
      </c>
      <c r="D4533" s="8"/>
      <c r="E4533" s="6"/>
      <c r="F4533" s="6"/>
    </row>
    <row r="4534" spans="1:6" x14ac:dyDescent="0.3">
      <c r="A4534" s="8" t="s">
        <v>9028</v>
      </c>
      <c r="B4534" s="8" t="s">
        <v>58137</v>
      </c>
      <c r="C4534" s="8" t="s">
        <v>9029</v>
      </c>
      <c r="D4534" s="8"/>
      <c r="E4534" s="6"/>
      <c r="F4534" s="6"/>
    </row>
    <row r="4535" spans="1:6" x14ac:dyDescent="0.3">
      <c r="A4535" s="8" t="s">
        <v>9030</v>
      </c>
      <c r="B4535" s="8" t="s">
        <v>58138</v>
      </c>
      <c r="C4535" s="8" t="s">
        <v>9031</v>
      </c>
      <c r="D4535" s="8"/>
      <c r="E4535" s="6"/>
      <c r="F4535" s="6"/>
    </row>
    <row r="4536" spans="1:6" x14ac:dyDescent="0.3">
      <c r="A4536" s="8" t="s">
        <v>9032</v>
      </c>
      <c r="B4536" s="8" t="s">
        <v>58139</v>
      </c>
      <c r="C4536" s="8" t="s">
        <v>9033</v>
      </c>
      <c r="D4536" s="8"/>
      <c r="E4536" s="6"/>
      <c r="F4536" s="6"/>
    </row>
    <row r="4537" spans="1:6" x14ac:dyDescent="0.3">
      <c r="A4537" s="8" t="s">
        <v>9034</v>
      </c>
      <c r="B4537" s="8" t="s">
        <v>58140</v>
      </c>
      <c r="C4537" s="8" t="s">
        <v>9035</v>
      </c>
      <c r="D4537" s="8"/>
      <c r="E4537" s="6"/>
      <c r="F4537" s="6"/>
    </row>
    <row r="4538" spans="1:6" x14ac:dyDescent="0.3">
      <c r="A4538" s="8" t="s">
        <v>9036</v>
      </c>
      <c r="B4538" s="8" t="s">
        <v>58141</v>
      </c>
      <c r="C4538" s="8" t="s">
        <v>9037</v>
      </c>
      <c r="D4538" s="8"/>
      <c r="E4538" s="6"/>
      <c r="F4538" s="6"/>
    </row>
    <row r="4539" spans="1:6" x14ac:dyDescent="0.3">
      <c r="A4539" s="8" t="s">
        <v>9038</v>
      </c>
      <c r="B4539" s="8" t="s">
        <v>58142</v>
      </c>
      <c r="C4539" s="8" t="s">
        <v>9039</v>
      </c>
      <c r="D4539" s="8"/>
      <c r="E4539" s="6"/>
      <c r="F4539" s="6"/>
    </row>
    <row r="4540" spans="1:6" x14ac:dyDescent="0.3">
      <c r="A4540" s="8" t="s">
        <v>9040</v>
      </c>
      <c r="B4540" s="8" t="s">
        <v>58143</v>
      </c>
      <c r="C4540" s="8" t="s">
        <v>9041</v>
      </c>
      <c r="D4540" s="8"/>
      <c r="E4540" s="6"/>
      <c r="F4540" s="6"/>
    </row>
    <row r="4541" spans="1:6" x14ac:dyDescent="0.3">
      <c r="A4541" s="8" t="s">
        <v>9042</v>
      </c>
      <c r="B4541" s="8" t="s">
        <v>58144</v>
      </c>
      <c r="C4541" s="8" t="s">
        <v>9043</v>
      </c>
      <c r="D4541" s="8"/>
      <c r="E4541" s="6"/>
      <c r="F4541" s="6"/>
    </row>
    <row r="4542" spans="1:6" x14ac:dyDescent="0.3">
      <c r="A4542" s="8" t="s">
        <v>9044</v>
      </c>
      <c r="B4542" s="8" t="s">
        <v>58145</v>
      </c>
      <c r="C4542" s="8" t="s">
        <v>9045</v>
      </c>
      <c r="D4542" s="8"/>
      <c r="E4542" s="6"/>
      <c r="F4542" s="6"/>
    </row>
    <row r="4543" spans="1:6" x14ac:dyDescent="0.3">
      <c r="A4543" s="8" t="s">
        <v>9046</v>
      </c>
      <c r="B4543" s="8" t="s">
        <v>58146</v>
      </c>
      <c r="C4543" s="8" t="s">
        <v>9047</v>
      </c>
      <c r="D4543" s="8"/>
      <c r="E4543" s="6"/>
      <c r="F4543" s="6"/>
    </row>
    <row r="4544" spans="1:6" x14ac:dyDescent="0.3">
      <c r="A4544" s="8" t="s">
        <v>9048</v>
      </c>
      <c r="B4544" s="8" t="s">
        <v>58147</v>
      </c>
      <c r="C4544" s="8" t="s">
        <v>9049</v>
      </c>
      <c r="D4544" s="8"/>
      <c r="E4544" s="6"/>
      <c r="F4544" s="6"/>
    </row>
    <row r="4545" spans="1:6" x14ac:dyDescent="0.3">
      <c r="A4545" s="8" t="s">
        <v>9050</v>
      </c>
      <c r="B4545" s="8" t="s">
        <v>58148</v>
      </c>
      <c r="C4545" s="8" t="s">
        <v>9051</v>
      </c>
      <c r="D4545" s="8"/>
      <c r="E4545" s="6"/>
      <c r="F4545" s="6"/>
    </row>
    <row r="4546" spans="1:6" x14ac:dyDescent="0.3">
      <c r="A4546" s="8" t="s">
        <v>9052</v>
      </c>
      <c r="B4546" s="8" t="s">
        <v>58149</v>
      </c>
      <c r="C4546" s="8" t="s">
        <v>9053</v>
      </c>
      <c r="D4546" s="8"/>
      <c r="E4546" s="6"/>
      <c r="F4546" s="6"/>
    </row>
    <row r="4547" spans="1:6" x14ac:dyDescent="0.3">
      <c r="A4547" s="8" t="s">
        <v>9054</v>
      </c>
      <c r="B4547" s="8" t="s">
        <v>58150</v>
      </c>
      <c r="C4547" s="8" t="s">
        <v>9055</v>
      </c>
      <c r="D4547" s="8"/>
      <c r="E4547" s="6"/>
      <c r="F4547" s="6"/>
    </row>
    <row r="4548" spans="1:6" x14ac:dyDescent="0.3">
      <c r="A4548" s="8" t="s">
        <v>9056</v>
      </c>
      <c r="B4548" s="8" t="s">
        <v>58151</v>
      </c>
      <c r="C4548" s="8" t="s">
        <v>9057</v>
      </c>
      <c r="D4548" s="8"/>
      <c r="E4548" s="6"/>
      <c r="F4548" s="6"/>
    </row>
    <row r="4549" spans="1:6" x14ac:dyDescent="0.3">
      <c r="A4549" s="8" t="s">
        <v>9058</v>
      </c>
      <c r="B4549" s="8" t="s">
        <v>58152</v>
      </c>
      <c r="C4549" s="8" t="s">
        <v>9059</v>
      </c>
      <c r="D4549" s="8"/>
      <c r="E4549" s="6"/>
      <c r="F4549" s="6"/>
    </row>
    <row r="4550" spans="1:6" x14ac:dyDescent="0.3">
      <c r="A4550" s="8" t="s">
        <v>9060</v>
      </c>
      <c r="B4550" s="8" t="s">
        <v>58153</v>
      </c>
      <c r="C4550" s="8" t="s">
        <v>9061</v>
      </c>
      <c r="D4550" s="8"/>
      <c r="E4550" s="6"/>
      <c r="F4550" s="6"/>
    </row>
    <row r="4551" spans="1:6" x14ac:dyDescent="0.3">
      <c r="A4551" s="8" t="s">
        <v>9062</v>
      </c>
      <c r="B4551" s="8" t="s">
        <v>58154</v>
      </c>
      <c r="C4551" s="8" t="s">
        <v>9063</v>
      </c>
      <c r="D4551" s="8"/>
      <c r="E4551" s="6"/>
      <c r="F4551" s="6"/>
    </row>
    <row r="4552" spans="1:6" x14ac:dyDescent="0.3">
      <c r="A4552" s="8" t="s">
        <v>9064</v>
      </c>
      <c r="B4552" s="8" t="s">
        <v>58155</v>
      </c>
      <c r="C4552" s="8" t="s">
        <v>9065</v>
      </c>
      <c r="D4552" s="8"/>
      <c r="E4552" s="6"/>
      <c r="F4552" s="6"/>
    </row>
    <row r="4553" spans="1:6" x14ac:dyDescent="0.3">
      <c r="A4553" s="8" t="s">
        <v>9066</v>
      </c>
      <c r="B4553" s="8" t="s">
        <v>58156</v>
      </c>
      <c r="C4553" s="8" t="s">
        <v>9067</v>
      </c>
      <c r="D4553" s="8"/>
      <c r="E4553" s="6"/>
      <c r="F4553" s="6"/>
    </row>
    <row r="4554" spans="1:6" x14ac:dyDescent="0.3">
      <c r="A4554" s="8" t="s">
        <v>9068</v>
      </c>
      <c r="B4554" s="8" t="s">
        <v>58157</v>
      </c>
      <c r="C4554" s="8" t="s">
        <v>9069</v>
      </c>
      <c r="D4554" s="8"/>
      <c r="E4554" s="6"/>
      <c r="F4554" s="6"/>
    </row>
    <row r="4555" spans="1:6" x14ac:dyDescent="0.3">
      <c r="A4555" s="8" t="s">
        <v>9070</v>
      </c>
      <c r="B4555" s="8" t="s">
        <v>58158</v>
      </c>
      <c r="C4555" s="8" t="s">
        <v>9071</v>
      </c>
      <c r="D4555" s="8"/>
      <c r="E4555" s="6"/>
      <c r="F4555" s="6"/>
    </row>
    <row r="4556" spans="1:6" x14ac:dyDescent="0.3">
      <c r="A4556" s="8" t="s">
        <v>9072</v>
      </c>
      <c r="B4556" s="8" t="s">
        <v>58159</v>
      </c>
      <c r="C4556" s="8" t="s">
        <v>9073</v>
      </c>
      <c r="D4556" s="8"/>
      <c r="E4556" s="6"/>
      <c r="F4556" s="6"/>
    </row>
    <row r="4557" spans="1:6" x14ac:dyDescent="0.3">
      <c r="A4557" s="8" t="s">
        <v>9074</v>
      </c>
      <c r="B4557" s="8" t="s">
        <v>58160</v>
      </c>
      <c r="C4557" s="8" t="s">
        <v>9075</v>
      </c>
      <c r="D4557" s="8"/>
      <c r="E4557" s="6"/>
      <c r="F4557" s="6"/>
    </row>
    <row r="4558" spans="1:6" x14ac:dyDescent="0.3">
      <c r="A4558" s="8" t="s">
        <v>9076</v>
      </c>
      <c r="B4558" s="8" t="s">
        <v>58161</v>
      </c>
      <c r="C4558" s="8" t="s">
        <v>9077</v>
      </c>
      <c r="D4558" s="8"/>
      <c r="E4558" s="6"/>
      <c r="F4558" s="6"/>
    </row>
    <row r="4559" spans="1:6" x14ac:dyDescent="0.3">
      <c r="A4559" s="8" t="s">
        <v>9078</v>
      </c>
      <c r="B4559" s="8" t="s">
        <v>58162</v>
      </c>
      <c r="C4559" s="8" t="s">
        <v>9079</v>
      </c>
      <c r="D4559" s="8"/>
      <c r="E4559" s="6"/>
      <c r="F4559" s="6"/>
    </row>
    <row r="4560" spans="1:6" x14ac:dyDescent="0.3">
      <c r="A4560" s="8" t="s">
        <v>9080</v>
      </c>
      <c r="B4560" s="8" t="s">
        <v>58163</v>
      </c>
      <c r="C4560" s="8" t="s">
        <v>9081</v>
      </c>
      <c r="D4560" s="8"/>
      <c r="E4560" s="6"/>
      <c r="F4560" s="6"/>
    </row>
    <row r="4561" spans="1:6" x14ac:dyDescent="0.3">
      <c r="A4561" s="8" t="s">
        <v>9082</v>
      </c>
      <c r="B4561" s="8" t="s">
        <v>58164</v>
      </c>
      <c r="C4561" s="8" t="s">
        <v>9083</v>
      </c>
      <c r="D4561" s="8"/>
      <c r="E4561" s="6"/>
      <c r="F4561" s="6"/>
    </row>
    <row r="4562" spans="1:6" x14ac:dyDescent="0.3">
      <c r="A4562" s="8" t="s">
        <v>9084</v>
      </c>
      <c r="B4562" s="8" t="s">
        <v>58165</v>
      </c>
      <c r="C4562" s="8" t="s">
        <v>9085</v>
      </c>
      <c r="D4562" s="8"/>
      <c r="E4562" s="6"/>
      <c r="F4562" s="6"/>
    </row>
    <row r="4563" spans="1:6" x14ac:dyDescent="0.3">
      <c r="A4563" s="8" t="s">
        <v>9086</v>
      </c>
      <c r="B4563" s="8" t="s">
        <v>58166</v>
      </c>
      <c r="C4563" s="8" t="s">
        <v>9087</v>
      </c>
      <c r="D4563" s="8"/>
      <c r="E4563" s="6"/>
      <c r="F4563" s="6"/>
    </row>
    <row r="4564" spans="1:6" x14ac:dyDescent="0.3">
      <c r="A4564" s="8" t="s">
        <v>9088</v>
      </c>
      <c r="B4564" s="8" t="s">
        <v>58167</v>
      </c>
      <c r="C4564" s="8" t="s">
        <v>9089</v>
      </c>
      <c r="D4564" s="8"/>
      <c r="E4564" s="6"/>
      <c r="F4564" s="6"/>
    </row>
    <row r="4565" spans="1:6" x14ac:dyDescent="0.3">
      <c r="A4565" s="8" t="s">
        <v>9090</v>
      </c>
      <c r="B4565" s="8" t="s">
        <v>58168</v>
      </c>
      <c r="C4565" s="8" t="s">
        <v>9091</v>
      </c>
      <c r="D4565" s="8"/>
      <c r="E4565" s="6"/>
      <c r="F4565" s="6"/>
    </row>
    <row r="4566" spans="1:6" x14ac:dyDescent="0.3">
      <c r="A4566" s="8" t="s">
        <v>9092</v>
      </c>
      <c r="B4566" s="8" t="s">
        <v>58169</v>
      </c>
      <c r="C4566" s="8" t="s">
        <v>9093</v>
      </c>
      <c r="D4566" s="8"/>
      <c r="E4566" s="6"/>
      <c r="F4566" s="6"/>
    </row>
    <row r="4567" spans="1:6" x14ac:dyDescent="0.3">
      <c r="A4567" s="8" t="s">
        <v>9094</v>
      </c>
      <c r="B4567" s="8" t="s">
        <v>58170</v>
      </c>
      <c r="C4567" s="8" t="s">
        <v>9095</v>
      </c>
      <c r="D4567" s="8"/>
      <c r="E4567" s="6"/>
      <c r="F4567" s="6"/>
    </row>
    <row r="4568" spans="1:6" x14ac:dyDescent="0.3">
      <c r="A4568" s="8" t="s">
        <v>9096</v>
      </c>
      <c r="B4568" s="8" t="s">
        <v>58171</v>
      </c>
      <c r="C4568" s="8" t="s">
        <v>9097</v>
      </c>
      <c r="D4568" s="8"/>
      <c r="E4568" s="6"/>
      <c r="F4568" s="6"/>
    </row>
    <row r="4569" spans="1:6" x14ac:dyDescent="0.3">
      <c r="A4569" s="8" t="s">
        <v>9098</v>
      </c>
      <c r="B4569" s="8" t="s">
        <v>58172</v>
      </c>
      <c r="C4569" s="8" t="s">
        <v>9099</v>
      </c>
      <c r="D4569" s="8"/>
      <c r="E4569" s="6"/>
      <c r="F4569" s="6"/>
    </row>
    <row r="4570" spans="1:6" x14ac:dyDescent="0.3">
      <c r="A4570" s="8" t="s">
        <v>9100</v>
      </c>
      <c r="B4570" s="8" t="s">
        <v>58173</v>
      </c>
      <c r="C4570" s="8" t="s">
        <v>9101</v>
      </c>
      <c r="D4570" s="8"/>
      <c r="E4570" s="6"/>
      <c r="F4570" s="6"/>
    </row>
    <row r="4571" spans="1:6" x14ac:dyDescent="0.3">
      <c r="A4571" s="8" t="s">
        <v>9102</v>
      </c>
      <c r="B4571" s="8" t="s">
        <v>58174</v>
      </c>
      <c r="C4571" s="8" t="s">
        <v>9103</v>
      </c>
      <c r="D4571" s="8"/>
      <c r="E4571" s="6"/>
      <c r="F4571" s="6"/>
    </row>
    <row r="4572" spans="1:6" x14ac:dyDescent="0.3">
      <c r="A4572" s="8" t="s">
        <v>9104</v>
      </c>
      <c r="B4572" s="8" t="s">
        <v>58175</v>
      </c>
      <c r="C4572" s="8" t="s">
        <v>9105</v>
      </c>
      <c r="D4572" s="8"/>
      <c r="E4572" s="6"/>
      <c r="F4572" s="6"/>
    </row>
    <row r="4573" spans="1:6" x14ac:dyDescent="0.3">
      <c r="A4573" s="8" t="s">
        <v>9106</v>
      </c>
      <c r="B4573" s="8" t="s">
        <v>58176</v>
      </c>
      <c r="C4573" s="8" t="s">
        <v>9107</v>
      </c>
      <c r="D4573" s="8"/>
      <c r="E4573" s="6"/>
      <c r="F4573" s="6"/>
    </row>
    <row r="4574" spans="1:6" x14ac:dyDescent="0.3">
      <c r="A4574" s="8" t="s">
        <v>9108</v>
      </c>
      <c r="B4574" s="8" t="s">
        <v>58177</v>
      </c>
      <c r="C4574" s="8" t="s">
        <v>9109</v>
      </c>
      <c r="D4574" s="8"/>
      <c r="E4574" s="6"/>
      <c r="F4574" s="6"/>
    </row>
    <row r="4575" spans="1:6" x14ac:dyDescent="0.3">
      <c r="A4575" s="8" t="s">
        <v>9110</v>
      </c>
      <c r="B4575" s="8" t="s">
        <v>58178</v>
      </c>
      <c r="C4575" s="8" t="s">
        <v>9111</v>
      </c>
      <c r="D4575" s="8"/>
      <c r="E4575" s="6"/>
      <c r="F4575" s="6"/>
    </row>
    <row r="4576" spans="1:6" x14ac:dyDescent="0.3">
      <c r="A4576" s="8" t="s">
        <v>9112</v>
      </c>
      <c r="B4576" s="8" t="s">
        <v>58179</v>
      </c>
      <c r="C4576" s="8" t="s">
        <v>9113</v>
      </c>
      <c r="D4576" s="8"/>
      <c r="E4576" s="6"/>
      <c r="F4576" s="6"/>
    </row>
    <row r="4577" spans="1:6" x14ac:dyDescent="0.3">
      <c r="A4577" s="8" t="s">
        <v>9114</v>
      </c>
      <c r="B4577" s="8" t="s">
        <v>58180</v>
      </c>
      <c r="C4577" s="8" t="s">
        <v>9115</v>
      </c>
      <c r="D4577" s="8"/>
      <c r="E4577" s="6"/>
      <c r="F4577" s="6"/>
    </row>
    <row r="4578" spans="1:6" x14ac:dyDescent="0.3">
      <c r="A4578" s="8" t="s">
        <v>9116</v>
      </c>
      <c r="B4578" s="8" t="s">
        <v>58181</v>
      </c>
      <c r="C4578" s="8" t="s">
        <v>9117</v>
      </c>
      <c r="D4578" s="8"/>
      <c r="E4578" s="6"/>
      <c r="F4578" s="6"/>
    </row>
    <row r="4579" spans="1:6" x14ac:dyDescent="0.3">
      <c r="A4579" s="8" t="s">
        <v>9118</v>
      </c>
      <c r="B4579" s="8" t="s">
        <v>58182</v>
      </c>
      <c r="C4579" s="8" t="s">
        <v>9119</v>
      </c>
      <c r="D4579" s="8"/>
      <c r="E4579" s="6"/>
      <c r="F4579" s="6"/>
    </row>
    <row r="4580" spans="1:6" x14ac:dyDescent="0.3">
      <c r="A4580" s="8" t="s">
        <v>9120</v>
      </c>
      <c r="B4580" s="8" t="s">
        <v>58183</v>
      </c>
      <c r="C4580" s="8" t="s">
        <v>9121</v>
      </c>
      <c r="D4580" s="8"/>
      <c r="E4580" s="6"/>
      <c r="F4580" s="6"/>
    </row>
    <row r="4581" spans="1:6" x14ac:dyDescent="0.3">
      <c r="A4581" s="8" t="s">
        <v>9122</v>
      </c>
      <c r="B4581" s="8" t="s">
        <v>58184</v>
      </c>
      <c r="C4581" s="8" t="s">
        <v>9123</v>
      </c>
      <c r="D4581" s="8"/>
      <c r="E4581" s="6"/>
      <c r="F4581" s="6"/>
    </row>
    <row r="4582" spans="1:6" x14ac:dyDescent="0.3">
      <c r="A4582" s="8" t="s">
        <v>9124</v>
      </c>
      <c r="B4582" s="8" t="s">
        <v>58185</v>
      </c>
      <c r="C4582" s="8" t="s">
        <v>9125</v>
      </c>
      <c r="D4582" s="8"/>
      <c r="E4582" s="6"/>
      <c r="F4582" s="6"/>
    </row>
    <row r="4583" spans="1:6" x14ac:dyDescent="0.3">
      <c r="A4583" s="8" t="s">
        <v>9126</v>
      </c>
      <c r="B4583" s="8" t="s">
        <v>58186</v>
      </c>
      <c r="C4583" s="8" t="s">
        <v>9127</v>
      </c>
      <c r="D4583" s="8"/>
      <c r="E4583" s="6"/>
      <c r="F4583" s="6"/>
    </row>
    <row r="4584" spans="1:6" x14ac:dyDescent="0.3">
      <c r="A4584" s="8" t="s">
        <v>9128</v>
      </c>
      <c r="B4584" s="8" t="s">
        <v>58187</v>
      </c>
      <c r="C4584" s="8" t="s">
        <v>9129</v>
      </c>
      <c r="D4584" s="8"/>
      <c r="E4584" s="6"/>
      <c r="F4584" s="6"/>
    </row>
    <row r="4585" spans="1:6" x14ac:dyDescent="0.3">
      <c r="A4585" s="8" t="s">
        <v>9130</v>
      </c>
      <c r="B4585" s="8" t="s">
        <v>58188</v>
      </c>
      <c r="C4585" s="8" t="s">
        <v>9131</v>
      </c>
      <c r="D4585" s="8"/>
      <c r="E4585" s="6"/>
      <c r="F4585" s="6"/>
    </row>
    <row r="4586" spans="1:6" x14ac:dyDescent="0.3">
      <c r="A4586" s="8" t="s">
        <v>9132</v>
      </c>
      <c r="B4586" s="8" t="s">
        <v>58189</v>
      </c>
      <c r="C4586" s="8" t="s">
        <v>9133</v>
      </c>
      <c r="D4586" s="8"/>
      <c r="E4586" s="6"/>
      <c r="F4586" s="6"/>
    </row>
    <row r="4587" spans="1:6" x14ac:dyDescent="0.3">
      <c r="A4587" s="8" t="s">
        <v>9134</v>
      </c>
      <c r="B4587" s="8" t="s">
        <v>58190</v>
      </c>
      <c r="C4587" s="8" t="s">
        <v>9135</v>
      </c>
      <c r="D4587" s="8"/>
      <c r="E4587" s="6"/>
      <c r="F4587" s="6"/>
    </row>
    <row r="4588" spans="1:6" x14ac:dyDescent="0.3">
      <c r="A4588" s="8" t="s">
        <v>9136</v>
      </c>
      <c r="B4588" s="8" t="s">
        <v>58191</v>
      </c>
      <c r="C4588" s="8" t="s">
        <v>9137</v>
      </c>
      <c r="D4588" s="8"/>
      <c r="E4588" s="6"/>
      <c r="F4588" s="6"/>
    </row>
    <row r="4589" spans="1:6" x14ac:dyDescent="0.3">
      <c r="A4589" s="8" t="s">
        <v>9138</v>
      </c>
      <c r="B4589" s="8" t="s">
        <v>58192</v>
      </c>
      <c r="C4589" s="8" t="s">
        <v>9139</v>
      </c>
      <c r="D4589" s="8"/>
      <c r="E4589" s="6"/>
      <c r="F4589" s="6"/>
    </row>
    <row r="4590" spans="1:6" x14ac:dyDescent="0.3">
      <c r="A4590" s="8" t="s">
        <v>9140</v>
      </c>
      <c r="B4590" s="8" t="s">
        <v>58193</v>
      </c>
      <c r="C4590" s="8" t="s">
        <v>9141</v>
      </c>
      <c r="D4590" s="8"/>
      <c r="E4590" s="6"/>
      <c r="F4590" s="6"/>
    </row>
    <row r="4591" spans="1:6" x14ac:dyDescent="0.3">
      <c r="A4591" s="8" t="s">
        <v>9142</v>
      </c>
      <c r="B4591" s="8" t="s">
        <v>58194</v>
      </c>
      <c r="C4591" s="8" t="s">
        <v>9143</v>
      </c>
      <c r="D4591" s="8"/>
      <c r="E4591" s="6"/>
      <c r="F4591" s="6"/>
    </row>
    <row r="4592" spans="1:6" x14ac:dyDescent="0.3">
      <c r="A4592" s="8" t="s">
        <v>9144</v>
      </c>
      <c r="B4592" s="8" t="s">
        <v>58195</v>
      </c>
      <c r="C4592" s="8" t="s">
        <v>9145</v>
      </c>
      <c r="D4592" s="8"/>
      <c r="E4592" s="6"/>
      <c r="F4592" s="6"/>
    </row>
    <row r="4593" spans="1:6" x14ac:dyDescent="0.3">
      <c r="A4593" s="8" t="s">
        <v>9146</v>
      </c>
      <c r="B4593" s="8" t="s">
        <v>58196</v>
      </c>
      <c r="C4593" s="8" t="s">
        <v>9147</v>
      </c>
      <c r="D4593" s="8"/>
      <c r="E4593" s="6"/>
      <c r="F4593" s="6"/>
    </row>
    <row r="4594" spans="1:6" x14ac:dyDescent="0.3">
      <c r="A4594" s="8" t="s">
        <v>9148</v>
      </c>
      <c r="B4594" s="8" t="s">
        <v>58197</v>
      </c>
      <c r="C4594" s="8" t="s">
        <v>9149</v>
      </c>
      <c r="D4594" s="8"/>
      <c r="E4594" s="6"/>
      <c r="F4594" s="6"/>
    </row>
    <row r="4595" spans="1:6" x14ac:dyDescent="0.3">
      <c r="A4595" s="8" t="s">
        <v>9150</v>
      </c>
      <c r="B4595" s="8" t="s">
        <v>58198</v>
      </c>
      <c r="C4595" s="8" t="s">
        <v>9151</v>
      </c>
      <c r="D4595" s="8"/>
      <c r="E4595" s="6"/>
      <c r="F4595" s="6"/>
    </row>
    <row r="4596" spans="1:6" x14ac:dyDescent="0.3">
      <c r="A4596" s="8" t="s">
        <v>9152</v>
      </c>
      <c r="B4596" s="8" t="s">
        <v>58199</v>
      </c>
      <c r="C4596" s="8" t="s">
        <v>9153</v>
      </c>
      <c r="D4596" s="8"/>
      <c r="E4596" s="6"/>
      <c r="F4596" s="6"/>
    </row>
    <row r="4597" spans="1:6" x14ac:dyDescent="0.3">
      <c r="A4597" s="8" t="s">
        <v>9154</v>
      </c>
      <c r="B4597" s="8" t="s">
        <v>58200</v>
      </c>
      <c r="C4597" s="8" t="s">
        <v>9155</v>
      </c>
      <c r="D4597" s="8"/>
      <c r="E4597" s="6"/>
      <c r="F4597" s="6"/>
    </row>
    <row r="4598" spans="1:6" x14ac:dyDescent="0.3">
      <c r="A4598" s="8" t="s">
        <v>9156</v>
      </c>
      <c r="B4598" s="8" t="s">
        <v>58201</v>
      </c>
      <c r="C4598" s="8" t="s">
        <v>9157</v>
      </c>
      <c r="D4598" s="8"/>
      <c r="E4598" s="6"/>
      <c r="F4598" s="6"/>
    </row>
    <row r="4599" spans="1:6" x14ac:dyDescent="0.3">
      <c r="A4599" s="8" t="s">
        <v>9158</v>
      </c>
      <c r="B4599" s="8" t="s">
        <v>58202</v>
      </c>
      <c r="C4599" s="8" t="s">
        <v>9159</v>
      </c>
      <c r="D4599" s="8"/>
      <c r="E4599" s="6"/>
      <c r="F4599" s="6"/>
    </row>
    <row r="4600" spans="1:6" x14ac:dyDescent="0.3">
      <c r="A4600" s="8" t="s">
        <v>9160</v>
      </c>
      <c r="B4600" s="8" t="s">
        <v>58203</v>
      </c>
      <c r="C4600" s="8" t="s">
        <v>9161</v>
      </c>
      <c r="D4600" s="8"/>
      <c r="E4600" s="6"/>
      <c r="F4600" s="6"/>
    </row>
    <row r="4601" spans="1:6" x14ac:dyDescent="0.3">
      <c r="A4601" s="8" t="s">
        <v>9162</v>
      </c>
      <c r="B4601" s="8" t="s">
        <v>58204</v>
      </c>
      <c r="C4601" s="8" t="s">
        <v>9163</v>
      </c>
      <c r="D4601" s="8"/>
      <c r="E4601" s="6"/>
      <c r="F4601" s="6"/>
    </row>
    <row r="4602" spans="1:6" x14ac:dyDescent="0.3">
      <c r="A4602" s="8" t="s">
        <v>9164</v>
      </c>
      <c r="B4602" s="8" t="s">
        <v>58205</v>
      </c>
      <c r="C4602" s="8" t="s">
        <v>9165</v>
      </c>
      <c r="D4602" s="8"/>
      <c r="E4602" s="6"/>
      <c r="F4602" s="6"/>
    </row>
    <row r="4603" spans="1:6" x14ac:dyDescent="0.3">
      <c r="A4603" s="8" t="s">
        <v>9166</v>
      </c>
      <c r="B4603" s="8" t="s">
        <v>58206</v>
      </c>
      <c r="C4603" s="8" t="s">
        <v>9167</v>
      </c>
      <c r="D4603" s="8"/>
      <c r="E4603" s="6"/>
      <c r="F4603" s="6"/>
    </row>
    <row r="4604" spans="1:6" x14ac:dyDescent="0.3">
      <c r="A4604" s="8" t="s">
        <v>9168</v>
      </c>
      <c r="B4604" s="8" t="s">
        <v>58207</v>
      </c>
      <c r="C4604" s="8" t="s">
        <v>9169</v>
      </c>
      <c r="D4604" s="8"/>
      <c r="E4604" s="6"/>
      <c r="F4604" s="6"/>
    </row>
    <row r="4605" spans="1:6" x14ac:dyDescent="0.3">
      <c r="A4605" s="8" t="s">
        <v>9170</v>
      </c>
      <c r="B4605" s="8" t="s">
        <v>58208</v>
      </c>
      <c r="C4605" s="8" t="s">
        <v>9171</v>
      </c>
      <c r="D4605" s="8"/>
      <c r="E4605" s="6"/>
      <c r="F4605" s="6"/>
    </row>
    <row r="4606" spans="1:6" x14ac:dyDescent="0.3">
      <c r="A4606" s="8" t="s">
        <v>9172</v>
      </c>
      <c r="B4606" s="8" t="s">
        <v>58209</v>
      </c>
      <c r="C4606" s="8" t="s">
        <v>9173</v>
      </c>
      <c r="D4606" s="8"/>
      <c r="E4606" s="6"/>
      <c r="F4606" s="6"/>
    </row>
    <row r="4607" spans="1:6" x14ac:dyDescent="0.3">
      <c r="A4607" s="8" t="s">
        <v>9174</v>
      </c>
      <c r="B4607" s="8" t="s">
        <v>58210</v>
      </c>
      <c r="C4607" s="8" t="s">
        <v>9175</v>
      </c>
      <c r="D4607" s="8"/>
      <c r="E4607" s="6"/>
      <c r="F4607" s="6"/>
    </row>
    <row r="4608" spans="1:6" x14ac:dyDescent="0.3">
      <c r="A4608" s="8" t="s">
        <v>9176</v>
      </c>
      <c r="B4608" s="8" t="s">
        <v>58211</v>
      </c>
      <c r="C4608" s="8" t="s">
        <v>9177</v>
      </c>
      <c r="D4608" s="8"/>
      <c r="E4608" s="6"/>
      <c r="F4608" s="6"/>
    </row>
    <row r="4609" spans="1:6" x14ac:dyDescent="0.3">
      <c r="A4609" s="8" t="s">
        <v>9178</v>
      </c>
      <c r="B4609" s="8" t="s">
        <v>58212</v>
      </c>
      <c r="C4609" s="8" t="s">
        <v>9179</v>
      </c>
      <c r="D4609" s="8"/>
      <c r="E4609" s="6"/>
      <c r="F4609" s="6"/>
    </row>
    <row r="4610" spans="1:6" x14ac:dyDescent="0.3">
      <c r="A4610" s="8" t="s">
        <v>9180</v>
      </c>
      <c r="B4610" s="8" t="s">
        <v>58213</v>
      </c>
      <c r="C4610" s="8" t="s">
        <v>9181</v>
      </c>
      <c r="D4610" s="8"/>
      <c r="E4610" s="6"/>
      <c r="F4610" s="6"/>
    </row>
    <row r="4611" spans="1:6" x14ac:dyDescent="0.3">
      <c r="A4611" s="8" t="s">
        <v>9182</v>
      </c>
      <c r="B4611" s="8" t="s">
        <v>58214</v>
      </c>
      <c r="C4611" s="8" t="s">
        <v>9183</v>
      </c>
      <c r="D4611" s="8"/>
      <c r="E4611" s="6"/>
      <c r="F4611" s="6"/>
    </row>
    <row r="4612" spans="1:6" x14ac:dyDescent="0.3">
      <c r="A4612" s="8" t="s">
        <v>9184</v>
      </c>
      <c r="B4612" s="8" t="s">
        <v>58215</v>
      </c>
      <c r="C4612" s="8" t="s">
        <v>9185</v>
      </c>
      <c r="D4612" s="8"/>
      <c r="E4612" s="6"/>
      <c r="F4612" s="6"/>
    </row>
    <row r="4613" spans="1:6" x14ac:dyDescent="0.3">
      <c r="A4613" s="8" t="s">
        <v>9186</v>
      </c>
      <c r="B4613" s="8" t="s">
        <v>58216</v>
      </c>
      <c r="C4613" s="8" t="s">
        <v>9187</v>
      </c>
      <c r="D4613" s="8"/>
      <c r="E4613" s="6"/>
      <c r="F4613" s="6"/>
    </row>
    <row r="4614" spans="1:6" x14ac:dyDescent="0.3">
      <c r="A4614" s="8" t="s">
        <v>9188</v>
      </c>
      <c r="B4614" s="8" t="s">
        <v>58217</v>
      </c>
      <c r="C4614" s="8" t="s">
        <v>9189</v>
      </c>
      <c r="D4614" s="8"/>
      <c r="E4614" s="6"/>
      <c r="F4614" s="6"/>
    </row>
    <row r="4615" spans="1:6" x14ac:dyDescent="0.3">
      <c r="A4615" s="8" t="s">
        <v>9190</v>
      </c>
      <c r="B4615" s="8" t="s">
        <v>58218</v>
      </c>
      <c r="C4615" s="8" t="s">
        <v>9191</v>
      </c>
      <c r="D4615" s="8"/>
      <c r="E4615" s="6"/>
      <c r="F4615" s="6"/>
    </row>
    <row r="4616" spans="1:6" x14ac:dyDescent="0.3">
      <c r="A4616" s="8" t="s">
        <v>9192</v>
      </c>
      <c r="B4616" s="8" t="s">
        <v>58219</v>
      </c>
      <c r="C4616" s="8" t="s">
        <v>9193</v>
      </c>
      <c r="D4616" s="8"/>
      <c r="E4616" s="6"/>
      <c r="F4616" s="6"/>
    </row>
    <row r="4617" spans="1:6" x14ac:dyDescent="0.3">
      <c r="A4617" s="8" t="s">
        <v>9194</v>
      </c>
      <c r="B4617" s="8" t="s">
        <v>58220</v>
      </c>
      <c r="C4617" s="8" t="s">
        <v>9195</v>
      </c>
      <c r="D4617" s="8"/>
      <c r="E4617" s="6"/>
      <c r="F4617" s="6"/>
    </row>
    <row r="4618" spans="1:6" x14ac:dyDescent="0.3">
      <c r="A4618" s="8" t="s">
        <v>9196</v>
      </c>
      <c r="B4618" s="8" t="s">
        <v>58221</v>
      </c>
      <c r="C4618" s="8" t="s">
        <v>9197</v>
      </c>
      <c r="D4618" s="8"/>
      <c r="E4618" s="6"/>
      <c r="F4618" s="6"/>
    </row>
    <row r="4619" spans="1:6" x14ac:dyDescent="0.3">
      <c r="A4619" s="8" t="s">
        <v>9198</v>
      </c>
      <c r="B4619" s="8" t="s">
        <v>58222</v>
      </c>
      <c r="C4619" s="8" t="s">
        <v>9199</v>
      </c>
      <c r="D4619" s="8"/>
      <c r="E4619" s="6"/>
      <c r="F4619" s="6"/>
    </row>
    <row r="4620" spans="1:6" x14ac:dyDescent="0.3">
      <c r="A4620" s="8" t="s">
        <v>9200</v>
      </c>
      <c r="B4620" s="8" t="s">
        <v>58223</v>
      </c>
      <c r="C4620" s="8" t="s">
        <v>9201</v>
      </c>
      <c r="D4620" s="8"/>
      <c r="E4620" s="6"/>
      <c r="F4620" s="6"/>
    </row>
    <row r="4621" spans="1:6" x14ac:dyDescent="0.3">
      <c r="A4621" s="8" t="s">
        <v>9202</v>
      </c>
      <c r="B4621" s="8" t="s">
        <v>58224</v>
      </c>
      <c r="C4621" s="8" t="s">
        <v>9203</v>
      </c>
      <c r="D4621" s="8"/>
      <c r="E4621" s="6"/>
      <c r="F4621" s="6"/>
    </row>
    <row r="4622" spans="1:6" x14ac:dyDescent="0.3">
      <c r="A4622" s="8" t="s">
        <v>9204</v>
      </c>
      <c r="B4622" s="8" t="s">
        <v>58225</v>
      </c>
      <c r="C4622" s="8" t="s">
        <v>9205</v>
      </c>
      <c r="D4622" s="8"/>
      <c r="E4622" s="6"/>
      <c r="F4622" s="6"/>
    </row>
    <row r="4623" spans="1:6" x14ac:dyDescent="0.3">
      <c r="A4623" s="8" t="s">
        <v>9206</v>
      </c>
      <c r="B4623" s="8" t="s">
        <v>58226</v>
      </c>
      <c r="C4623" s="8" t="s">
        <v>9207</v>
      </c>
      <c r="D4623" s="8"/>
      <c r="E4623" s="6"/>
      <c r="F4623" s="6"/>
    </row>
    <row r="4624" spans="1:6" x14ac:dyDescent="0.3">
      <c r="A4624" s="8" t="s">
        <v>9208</v>
      </c>
      <c r="B4624" s="8" t="s">
        <v>58227</v>
      </c>
      <c r="C4624" s="8" t="s">
        <v>9209</v>
      </c>
      <c r="D4624" s="8"/>
      <c r="E4624" s="6"/>
      <c r="F4624" s="6"/>
    </row>
    <row r="4625" spans="1:6" x14ac:dyDescent="0.3">
      <c r="A4625" s="8" t="s">
        <v>9210</v>
      </c>
      <c r="B4625" s="8" t="s">
        <v>58228</v>
      </c>
      <c r="C4625" s="8" t="s">
        <v>9211</v>
      </c>
      <c r="D4625" s="8"/>
      <c r="E4625" s="6"/>
      <c r="F4625" s="6"/>
    </row>
    <row r="4626" spans="1:6" x14ac:dyDescent="0.3">
      <c r="A4626" s="8" t="s">
        <v>9212</v>
      </c>
      <c r="B4626" s="8" t="s">
        <v>58229</v>
      </c>
      <c r="C4626" s="8" t="s">
        <v>9213</v>
      </c>
      <c r="D4626" s="8"/>
      <c r="E4626" s="6"/>
      <c r="F4626" s="6"/>
    </row>
    <row r="4627" spans="1:6" x14ac:dyDescent="0.3">
      <c r="A4627" s="8" t="s">
        <v>9214</v>
      </c>
      <c r="B4627" s="8" t="s">
        <v>58230</v>
      </c>
      <c r="C4627" s="8" t="s">
        <v>9215</v>
      </c>
      <c r="D4627" s="8"/>
      <c r="E4627" s="6"/>
      <c r="F4627" s="6"/>
    </row>
    <row r="4628" spans="1:6" x14ac:dyDescent="0.3">
      <c r="A4628" s="8" t="s">
        <v>9216</v>
      </c>
      <c r="B4628" s="8" t="s">
        <v>58231</v>
      </c>
      <c r="C4628" s="8" t="s">
        <v>9217</v>
      </c>
      <c r="D4628" s="8"/>
      <c r="E4628" s="6"/>
      <c r="F4628" s="6"/>
    </row>
    <row r="4629" spans="1:6" x14ac:dyDescent="0.3">
      <c r="A4629" s="8" t="s">
        <v>9218</v>
      </c>
      <c r="B4629" s="8" t="s">
        <v>58232</v>
      </c>
      <c r="C4629" s="8" t="s">
        <v>9219</v>
      </c>
      <c r="D4629" s="8"/>
      <c r="E4629" s="6"/>
      <c r="F4629" s="6"/>
    </row>
    <row r="4630" spans="1:6" x14ac:dyDescent="0.3">
      <c r="A4630" s="8" t="s">
        <v>9220</v>
      </c>
      <c r="B4630" s="8" t="s">
        <v>58233</v>
      </c>
      <c r="C4630" s="8" t="s">
        <v>9221</v>
      </c>
      <c r="D4630" s="8"/>
      <c r="E4630" s="6"/>
      <c r="F4630" s="6"/>
    </row>
    <row r="4631" spans="1:6" x14ac:dyDescent="0.3">
      <c r="A4631" s="8" t="s">
        <v>9222</v>
      </c>
      <c r="B4631" s="8" t="s">
        <v>58234</v>
      </c>
      <c r="C4631" s="8" t="s">
        <v>9223</v>
      </c>
      <c r="D4631" s="8"/>
      <c r="E4631" s="6"/>
      <c r="F4631" s="6"/>
    </row>
    <row r="4632" spans="1:6" x14ac:dyDescent="0.3">
      <c r="A4632" s="8" t="s">
        <v>9224</v>
      </c>
      <c r="B4632" s="8" t="s">
        <v>58235</v>
      </c>
      <c r="C4632" s="8" t="s">
        <v>9225</v>
      </c>
      <c r="D4632" s="8"/>
      <c r="E4632" s="6"/>
      <c r="F4632" s="6"/>
    </row>
    <row r="4633" spans="1:6" x14ac:dyDescent="0.3">
      <c r="A4633" s="8" t="s">
        <v>9226</v>
      </c>
      <c r="B4633" s="8" t="s">
        <v>58236</v>
      </c>
      <c r="C4633" s="8" t="s">
        <v>9227</v>
      </c>
      <c r="D4633" s="8"/>
      <c r="E4633" s="6"/>
      <c r="F4633" s="6"/>
    </row>
    <row r="4634" spans="1:6" x14ac:dyDescent="0.3">
      <c r="A4634" s="8" t="s">
        <v>9228</v>
      </c>
      <c r="B4634" s="8" t="s">
        <v>58237</v>
      </c>
      <c r="C4634" s="8" t="s">
        <v>9229</v>
      </c>
      <c r="D4634" s="8"/>
      <c r="E4634" s="6"/>
      <c r="F4634" s="6"/>
    </row>
    <row r="4635" spans="1:6" x14ac:dyDescent="0.3">
      <c r="A4635" s="8" t="s">
        <v>9230</v>
      </c>
      <c r="B4635" s="8" t="s">
        <v>58238</v>
      </c>
      <c r="C4635" s="8" t="s">
        <v>9231</v>
      </c>
      <c r="D4635" s="8"/>
      <c r="E4635" s="6"/>
      <c r="F4635" s="6"/>
    </row>
    <row r="4636" spans="1:6" x14ac:dyDescent="0.3">
      <c r="A4636" s="8" t="s">
        <v>9232</v>
      </c>
      <c r="B4636" s="8" t="s">
        <v>58239</v>
      </c>
      <c r="C4636" s="8" t="s">
        <v>9233</v>
      </c>
      <c r="D4636" s="8"/>
      <c r="E4636" s="6"/>
      <c r="F4636" s="6"/>
    </row>
    <row r="4637" spans="1:6" x14ac:dyDescent="0.3">
      <c r="A4637" s="8" t="s">
        <v>9234</v>
      </c>
      <c r="B4637" s="8" t="s">
        <v>58240</v>
      </c>
      <c r="C4637" s="8" t="s">
        <v>9235</v>
      </c>
      <c r="D4637" s="8"/>
      <c r="E4637" s="6"/>
      <c r="F4637" s="6"/>
    </row>
    <row r="4638" spans="1:6" x14ac:dyDescent="0.3">
      <c r="A4638" s="8" t="s">
        <v>9236</v>
      </c>
      <c r="B4638" s="8" t="s">
        <v>58241</v>
      </c>
      <c r="C4638" s="8" t="s">
        <v>9237</v>
      </c>
      <c r="D4638" s="8"/>
      <c r="E4638" s="6"/>
      <c r="F4638" s="6"/>
    </row>
    <row r="4639" spans="1:6" x14ac:dyDescent="0.3">
      <c r="A4639" s="8" t="s">
        <v>9238</v>
      </c>
      <c r="B4639" s="8" t="s">
        <v>58242</v>
      </c>
      <c r="C4639" s="8" t="s">
        <v>9239</v>
      </c>
      <c r="D4639" s="8"/>
      <c r="E4639" s="6"/>
      <c r="F4639" s="6"/>
    </row>
    <row r="4640" spans="1:6" x14ac:dyDescent="0.3">
      <c r="A4640" s="8" t="s">
        <v>9240</v>
      </c>
      <c r="B4640" s="8" t="s">
        <v>58243</v>
      </c>
      <c r="C4640" s="8" t="s">
        <v>9241</v>
      </c>
      <c r="D4640" s="8"/>
      <c r="E4640" s="6"/>
      <c r="F4640" s="6"/>
    </row>
    <row r="4641" spans="1:6" x14ac:dyDescent="0.3">
      <c r="A4641" s="8" t="s">
        <v>9242</v>
      </c>
      <c r="B4641" s="8" t="s">
        <v>58244</v>
      </c>
      <c r="C4641" s="8" t="s">
        <v>9243</v>
      </c>
      <c r="D4641" s="8"/>
      <c r="E4641" s="6"/>
      <c r="F4641" s="6"/>
    </row>
    <row r="4642" spans="1:6" x14ac:dyDescent="0.3">
      <c r="A4642" s="8" t="s">
        <v>9244</v>
      </c>
      <c r="B4642" s="8" t="s">
        <v>58245</v>
      </c>
      <c r="C4642" s="8" t="s">
        <v>9245</v>
      </c>
      <c r="D4642" s="8"/>
      <c r="E4642" s="6"/>
      <c r="F4642" s="6"/>
    </row>
    <row r="4643" spans="1:6" x14ac:dyDescent="0.3">
      <c r="A4643" s="8" t="s">
        <v>9246</v>
      </c>
      <c r="B4643" s="8" t="s">
        <v>58246</v>
      </c>
      <c r="C4643" s="8" t="s">
        <v>9247</v>
      </c>
      <c r="D4643" s="8"/>
      <c r="E4643" s="6"/>
      <c r="F4643" s="6"/>
    </row>
    <row r="4644" spans="1:6" x14ac:dyDescent="0.3">
      <c r="A4644" s="8" t="s">
        <v>9248</v>
      </c>
      <c r="B4644" s="8" t="s">
        <v>58247</v>
      </c>
      <c r="C4644" s="8" t="s">
        <v>9249</v>
      </c>
      <c r="D4644" s="8"/>
      <c r="E4644" s="6"/>
      <c r="F4644" s="6"/>
    </row>
    <row r="4645" spans="1:6" x14ac:dyDescent="0.3">
      <c r="A4645" s="8" t="s">
        <v>9250</v>
      </c>
      <c r="B4645" s="8" t="s">
        <v>58248</v>
      </c>
      <c r="C4645" s="8" t="s">
        <v>9251</v>
      </c>
      <c r="D4645" s="8"/>
      <c r="E4645" s="6"/>
      <c r="F4645" s="6"/>
    </row>
    <row r="4646" spans="1:6" x14ac:dyDescent="0.3">
      <c r="A4646" s="8" t="s">
        <v>9252</v>
      </c>
      <c r="B4646" s="8" t="s">
        <v>58249</v>
      </c>
      <c r="C4646" s="8" t="s">
        <v>9253</v>
      </c>
      <c r="D4646" s="8"/>
      <c r="E4646" s="6"/>
      <c r="F4646" s="6"/>
    </row>
    <row r="4647" spans="1:6" x14ac:dyDescent="0.3">
      <c r="A4647" s="8" t="s">
        <v>9254</v>
      </c>
      <c r="B4647" s="8" t="s">
        <v>58250</v>
      </c>
      <c r="C4647" s="8" t="s">
        <v>9255</v>
      </c>
      <c r="D4647" s="8"/>
      <c r="E4647" s="6"/>
      <c r="F4647" s="6"/>
    </row>
    <row r="4648" spans="1:6" x14ac:dyDescent="0.3">
      <c r="A4648" s="8" t="s">
        <v>9256</v>
      </c>
      <c r="B4648" s="8" t="s">
        <v>58251</v>
      </c>
      <c r="C4648" s="8" t="s">
        <v>9257</v>
      </c>
      <c r="D4648" s="8"/>
      <c r="E4648" s="6"/>
      <c r="F4648" s="6"/>
    </row>
    <row r="4649" spans="1:6" x14ac:dyDescent="0.3">
      <c r="A4649" s="8" t="s">
        <v>9258</v>
      </c>
      <c r="B4649" s="8" t="s">
        <v>58252</v>
      </c>
      <c r="C4649" s="8" t="s">
        <v>9259</v>
      </c>
      <c r="D4649" s="8"/>
      <c r="E4649" s="6"/>
      <c r="F4649" s="6"/>
    </row>
    <row r="4650" spans="1:6" x14ac:dyDescent="0.3">
      <c r="A4650" s="8" t="s">
        <v>9260</v>
      </c>
      <c r="B4650" s="8" t="s">
        <v>58253</v>
      </c>
      <c r="C4650" s="8" t="s">
        <v>9261</v>
      </c>
      <c r="D4650" s="8"/>
      <c r="E4650" s="6"/>
      <c r="F4650" s="6"/>
    </row>
    <row r="4651" spans="1:6" x14ac:dyDescent="0.3">
      <c r="A4651" s="8" t="s">
        <v>9262</v>
      </c>
      <c r="B4651" s="8" t="s">
        <v>58254</v>
      </c>
      <c r="C4651" s="8" t="s">
        <v>9263</v>
      </c>
      <c r="D4651" s="8"/>
      <c r="E4651" s="6"/>
      <c r="F4651" s="6"/>
    </row>
    <row r="4652" spans="1:6" x14ac:dyDescent="0.3">
      <c r="A4652" s="8" t="s">
        <v>9264</v>
      </c>
      <c r="B4652" s="8" t="s">
        <v>58255</v>
      </c>
      <c r="C4652" s="8" t="s">
        <v>9265</v>
      </c>
      <c r="D4652" s="8"/>
      <c r="E4652" s="6"/>
      <c r="F4652" s="6"/>
    </row>
    <row r="4653" spans="1:6" x14ac:dyDescent="0.3">
      <c r="A4653" s="8" t="s">
        <v>9266</v>
      </c>
      <c r="B4653" s="8" t="s">
        <v>58256</v>
      </c>
      <c r="C4653" s="8" t="s">
        <v>9267</v>
      </c>
      <c r="D4653" s="8"/>
      <c r="E4653" s="6"/>
      <c r="F4653" s="6"/>
    </row>
    <row r="4654" spans="1:6" x14ac:dyDescent="0.3">
      <c r="A4654" s="8" t="s">
        <v>9268</v>
      </c>
      <c r="B4654" s="8" t="s">
        <v>58257</v>
      </c>
      <c r="C4654" s="8" t="s">
        <v>9269</v>
      </c>
      <c r="D4654" s="8"/>
      <c r="E4654" s="6"/>
      <c r="F4654" s="6"/>
    </row>
    <row r="4655" spans="1:6" x14ac:dyDescent="0.3">
      <c r="A4655" s="8" t="s">
        <v>9270</v>
      </c>
      <c r="B4655" s="8" t="s">
        <v>58258</v>
      </c>
      <c r="C4655" s="8" t="s">
        <v>9271</v>
      </c>
      <c r="D4655" s="8"/>
      <c r="E4655" s="6"/>
      <c r="F4655" s="6"/>
    </row>
    <row r="4656" spans="1:6" x14ac:dyDescent="0.3">
      <c r="A4656" s="8" t="s">
        <v>9272</v>
      </c>
      <c r="B4656" s="8" t="s">
        <v>58259</v>
      </c>
      <c r="C4656" s="8" t="s">
        <v>9273</v>
      </c>
      <c r="D4656" s="8"/>
      <c r="E4656" s="6"/>
      <c r="F4656" s="6"/>
    </row>
    <row r="4657" spans="1:6" x14ac:dyDescent="0.3">
      <c r="A4657" s="8" t="s">
        <v>9274</v>
      </c>
      <c r="B4657" s="8" t="s">
        <v>58260</v>
      </c>
      <c r="C4657" s="8" t="s">
        <v>9275</v>
      </c>
      <c r="D4657" s="8"/>
      <c r="E4657" s="6"/>
      <c r="F4657" s="6"/>
    </row>
    <row r="4658" spans="1:6" x14ac:dyDescent="0.3">
      <c r="A4658" s="8" t="s">
        <v>9276</v>
      </c>
      <c r="B4658" s="8" t="s">
        <v>58261</v>
      </c>
      <c r="C4658" s="8" t="s">
        <v>9277</v>
      </c>
      <c r="D4658" s="8"/>
      <c r="E4658" s="6"/>
      <c r="F4658" s="6"/>
    </row>
    <row r="4659" spans="1:6" x14ac:dyDescent="0.3">
      <c r="A4659" s="8" t="s">
        <v>9278</v>
      </c>
      <c r="B4659" s="8" t="s">
        <v>58262</v>
      </c>
      <c r="C4659" s="8" t="s">
        <v>9279</v>
      </c>
      <c r="D4659" s="8"/>
      <c r="E4659" s="6"/>
      <c r="F4659" s="6"/>
    </row>
    <row r="4660" spans="1:6" x14ac:dyDescent="0.3">
      <c r="A4660" s="8" t="s">
        <v>9280</v>
      </c>
      <c r="B4660" s="8" t="s">
        <v>58263</v>
      </c>
      <c r="C4660" s="8" t="s">
        <v>9281</v>
      </c>
      <c r="D4660" s="8"/>
      <c r="E4660" s="6"/>
      <c r="F4660" s="6"/>
    </row>
    <row r="4661" spans="1:6" x14ac:dyDescent="0.3">
      <c r="A4661" s="8" t="s">
        <v>9282</v>
      </c>
      <c r="B4661" s="8" t="s">
        <v>58264</v>
      </c>
      <c r="C4661" s="8" t="s">
        <v>9283</v>
      </c>
      <c r="D4661" s="8"/>
      <c r="E4661" s="6"/>
      <c r="F4661" s="6"/>
    </row>
    <row r="4662" spans="1:6" x14ac:dyDescent="0.3">
      <c r="A4662" s="8" t="s">
        <v>9284</v>
      </c>
      <c r="B4662" s="8" t="s">
        <v>58265</v>
      </c>
      <c r="C4662" s="8" t="s">
        <v>9285</v>
      </c>
      <c r="D4662" s="8"/>
      <c r="E4662" s="6"/>
      <c r="F4662" s="6"/>
    </row>
    <row r="4663" spans="1:6" x14ac:dyDescent="0.3">
      <c r="A4663" s="8" t="s">
        <v>9286</v>
      </c>
      <c r="B4663" s="8" t="s">
        <v>58266</v>
      </c>
      <c r="C4663" s="8" t="s">
        <v>9287</v>
      </c>
      <c r="D4663" s="8"/>
      <c r="E4663" s="6"/>
      <c r="F4663" s="6"/>
    </row>
    <row r="4664" spans="1:6" x14ac:dyDescent="0.3">
      <c r="A4664" s="8" t="s">
        <v>9288</v>
      </c>
      <c r="B4664" s="8" t="s">
        <v>58267</v>
      </c>
      <c r="C4664" s="8" t="s">
        <v>9289</v>
      </c>
      <c r="D4664" s="8"/>
      <c r="E4664" s="6"/>
      <c r="F4664" s="6"/>
    </row>
    <row r="4665" spans="1:6" x14ac:dyDescent="0.3">
      <c r="A4665" s="8" t="s">
        <v>9290</v>
      </c>
      <c r="B4665" s="8" t="s">
        <v>58268</v>
      </c>
      <c r="C4665" s="8" t="s">
        <v>9291</v>
      </c>
      <c r="D4665" s="8"/>
      <c r="E4665" s="6"/>
      <c r="F4665" s="6"/>
    </row>
    <row r="4666" spans="1:6" x14ac:dyDescent="0.3">
      <c r="A4666" s="8" t="s">
        <v>9292</v>
      </c>
      <c r="B4666" s="8" t="s">
        <v>58269</v>
      </c>
      <c r="C4666" s="8" t="s">
        <v>9293</v>
      </c>
      <c r="D4666" s="8"/>
      <c r="E4666" s="6"/>
      <c r="F4666" s="6"/>
    </row>
    <row r="4667" spans="1:6" x14ac:dyDescent="0.3">
      <c r="A4667" s="8" t="s">
        <v>9294</v>
      </c>
      <c r="B4667" s="8" t="s">
        <v>58270</v>
      </c>
      <c r="C4667" s="8" t="s">
        <v>9295</v>
      </c>
      <c r="D4667" s="8"/>
      <c r="E4667" s="6"/>
      <c r="F4667" s="6"/>
    </row>
    <row r="4668" spans="1:6" x14ac:dyDescent="0.3">
      <c r="A4668" s="8" t="s">
        <v>9296</v>
      </c>
      <c r="B4668" s="8" t="s">
        <v>58271</v>
      </c>
      <c r="C4668" s="8" t="s">
        <v>9297</v>
      </c>
      <c r="D4668" s="8"/>
      <c r="E4668" s="6"/>
      <c r="F4668" s="6"/>
    </row>
    <row r="4669" spans="1:6" x14ac:dyDescent="0.3">
      <c r="A4669" s="8" t="s">
        <v>9298</v>
      </c>
      <c r="B4669" s="8" t="s">
        <v>58272</v>
      </c>
      <c r="C4669" s="8" t="s">
        <v>9299</v>
      </c>
      <c r="D4669" s="8"/>
      <c r="E4669" s="6"/>
      <c r="F4669" s="6"/>
    </row>
    <row r="4670" spans="1:6" x14ac:dyDescent="0.3">
      <c r="A4670" s="8" t="s">
        <v>9300</v>
      </c>
      <c r="B4670" s="8" t="s">
        <v>58273</v>
      </c>
      <c r="C4670" s="8" t="s">
        <v>9301</v>
      </c>
      <c r="D4670" s="8"/>
      <c r="E4670" s="6"/>
      <c r="F4670" s="6"/>
    </row>
    <row r="4671" spans="1:6" x14ac:dyDescent="0.3">
      <c r="A4671" s="8" t="s">
        <v>9302</v>
      </c>
      <c r="B4671" s="8" t="s">
        <v>58274</v>
      </c>
      <c r="C4671" s="8" t="s">
        <v>9303</v>
      </c>
      <c r="D4671" s="8"/>
      <c r="E4671" s="6"/>
      <c r="F4671" s="6"/>
    </row>
    <row r="4672" spans="1:6" x14ac:dyDescent="0.3">
      <c r="A4672" s="8" t="s">
        <v>9304</v>
      </c>
      <c r="B4672" s="8" t="s">
        <v>58275</v>
      </c>
      <c r="C4672" s="8" t="s">
        <v>9305</v>
      </c>
      <c r="D4672" s="8"/>
      <c r="E4672" s="6"/>
      <c r="F4672" s="6"/>
    </row>
    <row r="4673" spans="1:6" x14ac:dyDescent="0.3">
      <c r="A4673" s="8" t="s">
        <v>9306</v>
      </c>
      <c r="B4673" s="8" t="s">
        <v>58276</v>
      </c>
      <c r="C4673" s="8" t="s">
        <v>9307</v>
      </c>
      <c r="D4673" s="8"/>
      <c r="E4673" s="6"/>
      <c r="F4673" s="6"/>
    </row>
    <row r="4674" spans="1:6" x14ac:dyDescent="0.3">
      <c r="A4674" s="8" t="s">
        <v>9308</v>
      </c>
      <c r="B4674" s="8" t="s">
        <v>58277</v>
      </c>
      <c r="C4674" s="8" t="s">
        <v>9309</v>
      </c>
      <c r="D4674" s="8"/>
      <c r="E4674" s="6"/>
      <c r="F4674" s="6"/>
    </row>
    <row r="4675" spans="1:6" x14ac:dyDescent="0.3">
      <c r="A4675" s="8" t="s">
        <v>9310</v>
      </c>
      <c r="B4675" s="8" t="s">
        <v>58278</v>
      </c>
      <c r="C4675" s="8" t="s">
        <v>9311</v>
      </c>
      <c r="D4675" s="8"/>
      <c r="E4675" s="6"/>
      <c r="F4675" s="6"/>
    </row>
    <row r="4676" spans="1:6" x14ac:dyDescent="0.3">
      <c r="A4676" s="8" t="s">
        <v>9312</v>
      </c>
      <c r="B4676" s="8" t="s">
        <v>58279</v>
      </c>
      <c r="C4676" s="8" t="s">
        <v>9313</v>
      </c>
      <c r="D4676" s="8"/>
      <c r="E4676" s="6"/>
      <c r="F4676" s="6"/>
    </row>
    <row r="4677" spans="1:6" x14ac:dyDescent="0.3">
      <c r="A4677" s="8" t="s">
        <v>9314</v>
      </c>
      <c r="B4677" s="8" t="s">
        <v>58280</v>
      </c>
      <c r="C4677" s="8" t="s">
        <v>9315</v>
      </c>
      <c r="D4677" s="8"/>
      <c r="E4677" s="6"/>
      <c r="F4677" s="6"/>
    </row>
    <row r="4678" spans="1:6" x14ac:dyDescent="0.3">
      <c r="A4678" s="8" t="s">
        <v>9316</v>
      </c>
      <c r="B4678" s="8" t="s">
        <v>58281</v>
      </c>
      <c r="C4678" s="8" t="s">
        <v>9317</v>
      </c>
      <c r="D4678" s="8"/>
      <c r="E4678" s="6"/>
      <c r="F4678" s="6"/>
    </row>
    <row r="4679" spans="1:6" x14ac:dyDescent="0.3">
      <c r="A4679" s="8" t="s">
        <v>9318</v>
      </c>
      <c r="B4679" s="8" t="s">
        <v>58282</v>
      </c>
      <c r="C4679" s="8" t="s">
        <v>9319</v>
      </c>
      <c r="D4679" s="8"/>
      <c r="E4679" s="6"/>
      <c r="F4679" s="6"/>
    </row>
    <row r="4680" spans="1:6" x14ac:dyDescent="0.3">
      <c r="A4680" s="8" t="s">
        <v>9320</v>
      </c>
      <c r="B4680" s="8" t="s">
        <v>58283</v>
      </c>
      <c r="C4680" s="8" t="s">
        <v>9321</v>
      </c>
      <c r="D4680" s="8"/>
      <c r="E4680" s="6"/>
      <c r="F4680" s="6"/>
    </row>
    <row r="4681" spans="1:6" x14ac:dyDescent="0.3">
      <c r="A4681" s="8" t="s">
        <v>9322</v>
      </c>
      <c r="B4681" s="8" t="s">
        <v>58284</v>
      </c>
      <c r="C4681" s="8" t="s">
        <v>9323</v>
      </c>
      <c r="D4681" s="8"/>
      <c r="E4681" s="6"/>
      <c r="F4681" s="6"/>
    </row>
    <row r="4682" spans="1:6" x14ac:dyDescent="0.3">
      <c r="A4682" s="8" t="s">
        <v>9324</v>
      </c>
      <c r="B4682" s="8" t="s">
        <v>58285</v>
      </c>
      <c r="C4682" s="8" t="s">
        <v>9325</v>
      </c>
      <c r="D4682" s="8"/>
      <c r="E4682" s="6"/>
      <c r="F4682" s="6"/>
    </row>
    <row r="4683" spans="1:6" x14ac:dyDescent="0.3">
      <c r="A4683" s="8" t="s">
        <v>9326</v>
      </c>
      <c r="B4683" s="8" t="s">
        <v>58286</v>
      </c>
      <c r="C4683" s="8" t="s">
        <v>9327</v>
      </c>
      <c r="D4683" s="8"/>
      <c r="E4683" s="6"/>
      <c r="F4683" s="6"/>
    </row>
    <row r="4684" spans="1:6" x14ac:dyDescent="0.3">
      <c r="A4684" s="8" t="s">
        <v>9328</v>
      </c>
      <c r="B4684" s="8" t="s">
        <v>58287</v>
      </c>
      <c r="C4684" s="8" t="s">
        <v>9329</v>
      </c>
      <c r="D4684" s="8"/>
      <c r="E4684" s="6"/>
      <c r="F4684" s="6"/>
    </row>
    <row r="4685" spans="1:6" x14ac:dyDescent="0.3">
      <c r="A4685" s="8" t="s">
        <v>9330</v>
      </c>
      <c r="B4685" s="8" t="s">
        <v>58288</v>
      </c>
      <c r="C4685" s="8" t="s">
        <v>9331</v>
      </c>
      <c r="D4685" s="8"/>
      <c r="E4685" s="6"/>
      <c r="F4685" s="6"/>
    </row>
    <row r="4686" spans="1:6" x14ac:dyDescent="0.3">
      <c r="A4686" s="8" t="s">
        <v>9332</v>
      </c>
      <c r="B4686" s="8" t="s">
        <v>58289</v>
      </c>
      <c r="C4686" s="8" t="s">
        <v>9333</v>
      </c>
      <c r="D4686" s="8"/>
      <c r="E4686" s="6"/>
      <c r="F4686" s="6"/>
    </row>
    <row r="4687" spans="1:6" x14ac:dyDescent="0.3">
      <c r="A4687" s="8" t="s">
        <v>9334</v>
      </c>
      <c r="B4687" s="8" t="s">
        <v>58290</v>
      </c>
      <c r="C4687" s="8" t="s">
        <v>9335</v>
      </c>
      <c r="D4687" s="8"/>
      <c r="E4687" s="6"/>
      <c r="F4687" s="6"/>
    </row>
    <row r="4688" spans="1:6" x14ac:dyDescent="0.3">
      <c r="A4688" s="8" t="s">
        <v>9336</v>
      </c>
      <c r="B4688" s="8" t="s">
        <v>58291</v>
      </c>
      <c r="C4688" s="8" t="s">
        <v>9337</v>
      </c>
      <c r="D4688" s="8"/>
      <c r="E4688" s="6"/>
      <c r="F4688" s="6"/>
    </row>
    <row r="4689" spans="1:6" x14ac:dyDescent="0.3">
      <c r="A4689" s="8" t="s">
        <v>9338</v>
      </c>
      <c r="B4689" s="8" t="s">
        <v>58292</v>
      </c>
      <c r="C4689" s="8" t="s">
        <v>9339</v>
      </c>
      <c r="D4689" s="8"/>
      <c r="E4689" s="6"/>
      <c r="F4689" s="6"/>
    </row>
    <row r="4690" spans="1:6" x14ac:dyDescent="0.3">
      <c r="A4690" s="8" t="s">
        <v>9340</v>
      </c>
      <c r="B4690" s="8" t="s">
        <v>58293</v>
      </c>
      <c r="C4690" s="8" t="s">
        <v>9341</v>
      </c>
      <c r="D4690" s="8"/>
      <c r="E4690" s="6"/>
      <c r="F4690" s="6"/>
    </row>
    <row r="4691" spans="1:6" x14ac:dyDescent="0.3">
      <c r="A4691" s="8" t="s">
        <v>9342</v>
      </c>
      <c r="B4691" s="8" t="s">
        <v>58294</v>
      </c>
      <c r="C4691" s="8" t="s">
        <v>9343</v>
      </c>
      <c r="D4691" s="8"/>
      <c r="E4691" s="6"/>
      <c r="F4691" s="6"/>
    </row>
    <row r="4692" spans="1:6" x14ac:dyDescent="0.3">
      <c r="A4692" s="8" t="s">
        <v>9344</v>
      </c>
      <c r="B4692" s="8" t="s">
        <v>58295</v>
      </c>
      <c r="C4692" s="8" t="s">
        <v>9345</v>
      </c>
      <c r="D4692" s="8"/>
      <c r="E4692" s="6"/>
      <c r="F4692" s="6"/>
    </row>
    <row r="4693" spans="1:6" x14ac:dyDescent="0.3">
      <c r="A4693" s="8" t="s">
        <v>9346</v>
      </c>
      <c r="B4693" s="8" t="s">
        <v>58296</v>
      </c>
      <c r="C4693" s="8" t="s">
        <v>9347</v>
      </c>
      <c r="D4693" s="8"/>
      <c r="E4693" s="6"/>
      <c r="F4693" s="6"/>
    </row>
    <row r="4694" spans="1:6" x14ac:dyDescent="0.3">
      <c r="A4694" s="8" t="s">
        <v>9348</v>
      </c>
      <c r="B4694" s="8" t="s">
        <v>58297</v>
      </c>
      <c r="C4694" s="8" t="s">
        <v>9349</v>
      </c>
      <c r="D4694" s="8"/>
      <c r="E4694" s="6"/>
      <c r="F4694" s="6"/>
    </row>
    <row r="4695" spans="1:6" x14ac:dyDescent="0.3">
      <c r="A4695" s="8" t="s">
        <v>9350</v>
      </c>
      <c r="B4695" s="8" t="s">
        <v>58298</v>
      </c>
      <c r="C4695" s="8" t="s">
        <v>9351</v>
      </c>
      <c r="D4695" s="8"/>
      <c r="E4695" s="6"/>
      <c r="F4695" s="6"/>
    </row>
    <row r="4696" spans="1:6" x14ac:dyDescent="0.3">
      <c r="A4696" s="8" t="s">
        <v>9352</v>
      </c>
      <c r="B4696" s="8" t="s">
        <v>58299</v>
      </c>
      <c r="C4696" s="8" t="s">
        <v>9353</v>
      </c>
      <c r="D4696" s="8"/>
      <c r="E4696" s="6"/>
      <c r="F4696" s="6"/>
    </row>
    <row r="4697" spans="1:6" x14ac:dyDescent="0.3">
      <c r="A4697" s="8" t="s">
        <v>9354</v>
      </c>
      <c r="B4697" s="8" t="s">
        <v>58300</v>
      </c>
      <c r="C4697" s="8" t="s">
        <v>9355</v>
      </c>
      <c r="D4697" s="8"/>
      <c r="E4697" s="6"/>
      <c r="F4697" s="6"/>
    </row>
    <row r="4698" spans="1:6" x14ac:dyDescent="0.3">
      <c r="A4698" s="8" t="s">
        <v>9356</v>
      </c>
      <c r="B4698" s="8" t="s">
        <v>58301</v>
      </c>
      <c r="C4698" s="8" t="s">
        <v>9357</v>
      </c>
      <c r="D4698" s="8"/>
      <c r="E4698" s="6"/>
      <c r="F4698" s="6"/>
    </row>
    <row r="4699" spans="1:6" x14ac:dyDescent="0.3">
      <c r="A4699" s="8" t="s">
        <v>9358</v>
      </c>
      <c r="B4699" s="8" t="s">
        <v>58302</v>
      </c>
      <c r="C4699" s="8" t="s">
        <v>9359</v>
      </c>
      <c r="D4699" s="8"/>
      <c r="E4699" s="6"/>
      <c r="F4699" s="6"/>
    </row>
    <row r="4700" spans="1:6" x14ac:dyDescent="0.3">
      <c r="A4700" s="8" t="s">
        <v>9360</v>
      </c>
      <c r="B4700" s="8" t="s">
        <v>58303</v>
      </c>
      <c r="C4700" s="8" t="s">
        <v>9361</v>
      </c>
      <c r="D4700" s="8"/>
      <c r="E4700" s="6"/>
      <c r="F4700" s="6"/>
    </row>
    <row r="4701" spans="1:6" x14ac:dyDescent="0.3">
      <c r="A4701" s="8" t="s">
        <v>9362</v>
      </c>
      <c r="B4701" s="8" t="s">
        <v>58304</v>
      </c>
      <c r="C4701" s="8" t="s">
        <v>9363</v>
      </c>
      <c r="D4701" s="8"/>
      <c r="E4701" s="6"/>
      <c r="F4701" s="6"/>
    </row>
    <row r="4702" spans="1:6" x14ac:dyDescent="0.3">
      <c r="A4702" s="8" t="s">
        <v>9364</v>
      </c>
      <c r="B4702" s="8" t="s">
        <v>58305</v>
      </c>
      <c r="C4702" s="8" t="s">
        <v>9365</v>
      </c>
      <c r="D4702" s="8"/>
      <c r="E4702" s="6"/>
      <c r="F4702" s="6"/>
    </row>
    <row r="4703" spans="1:6" x14ac:dyDescent="0.3">
      <c r="A4703" s="8" t="s">
        <v>9366</v>
      </c>
      <c r="B4703" s="8" t="s">
        <v>58306</v>
      </c>
      <c r="C4703" s="8" t="s">
        <v>9367</v>
      </c>
      <c r="D4703" s="8"/>
      <c r="E4703" s="6"/>
      <c r="F4703" s="6"/>
    </row>
    <row r="4704" spans="1:6" x14ac:dyDescent="0.3">
      <c r="A4704" s="8" t="s">
        <v>9368</v>
      </c>
      <c r="B4704" s="8" t="s">
        <v>58307</v>
      </c>
      <c r="C4704" s="8" t="s">
        <v>9369</v>
      </c>
      <c r="D4704" s="8"/>
      <c r="E4704" s="6"/>
      <c r="F4704" s="6"/>
    </row>
    <row r="4705" spans="1:6" x14ac:dyDescent="0.3">
      <c r="A4705" s="8" t="s">
        <v>9370</v>
      </c>
      <c r="B4705" s="8" t="s">
        <v>58308</v>
      </c>
      <c r="C4705" s="8" t="s">
        <v>9371</v>
      </c>
      <c r="D4705" s="8"/>
      <c r="E4705" s="6"/>
      <c r="F4705" s="6"/>
    </row>
    <row r="4706" spans="1:6" x14ac:dyDescent="0.3">
      <c r="A4706" s="8" t="s">
        <v>9372</v>
      </c>
      <c r="B4706" s="8" t="s">
        <v>58309</v>
      </c>
      <c r="C4706" s="8" t="s">
        <v>9373</v>
      </c>
      <c r="D4706" s="8"/>
      <c r="E4706" s="6"/>
      <c r="F4706" s="6"/>
    </row>
    <row r="4707" spans="1:6" x14ac:dyDescent="0.3">
      <c r="A4707" s="8" t="s">
        <v>9374</v>
      </c>
      <c r="B4707" s="8" t="s">
        <v>58310</v>
      </c>
      <c r="C4707" s="8" t="s">
        <v>9375</v>
      </c>
      <c r="D4707" s="8"/>
      <c r="E4707" s="6"/>
      <c r="F4707" s="6"/>
    </row>
    <row r="4708" spans="1:6" x14ac:dyDescent="0.3">
      <c r="A4708" s="8" t="s">
        <v>9376</v>
      </c>
      <c r="B4708" s="8" t="s">
        <v>58311</v>
      </c>
      <c r="C4708" s="8" t="s">
        <v>9377</v>
      </c>
      <c r="D4708" s="8"/>
      <c r="E4708" s="6"/>
      <c r="F4708" s="6"/>
    </row>
    <row r="4709" spans="1:6" x14ac:dyDescent="0.3">
      <c r="A4709" s="8" t="s">
        <v>9378</v>
      </c>
      <c r="B4709" s="8" t="s">
        <v>58312</v>
      </c>
      <c r="C4709" s="8" t="s">
        <v>9379</v>
      </c>
      <c r="D4709" s="8"/>
      <c r="E4709" s="6"/>
      <c r="F4709" s="6"/>
    </row>
    <row r="4710" spans="1:6" x14ac:dyDescent="0.3">
      <c r="A4710" s="8" t="s">
        <v>9380</v>
      </c>
      <c r="B4710" s="8" t="s">
        <v>58313</v>
      </c>
      <c r="C4710" s="8" t="s">
        <v>9381</v>
      </c>
      <c r="D4710" s="8"/>
      <c r="E4710" s="6"/>
      <c r="F4710" s="6"/>
    </row>
    <row r="4711" spans="1:6" x14ac:dyDescent="0.3">
      <c r="A4711" s="8" t="s">
        <v>9382</v>
      </c>
      <c r="B4711" s="8" t="s">
        <v>58314</v>
      </c>
      <c r="C4711" s="8" t="s">
        <v>9383</v>
      </c>
      <c r="D4711" s="8"/>
      <c r="E4711" s="6"/>
      <c r="F4711" s="6"/>
    </row>
    <row r="4712" spans="1:6" x14ac:dyDescent="0.3">
      <c r="A4712" s="8" t="s">
        <v>9384</v>
      </c>
      <c r="B4712" s="8" t="s">
        <v>58315</v>
      </c>
      <c r="C4712" s="8" t="s">
        <v>9385</v>
      </c>
      <c r="D4712" s="8"/>
      <c r="E4712" s="6"/>
      <c r="F4712" s="6"/>
    </row>
    <row r="4713" spans="1:6" x14ac:dyDescent="0.3">
      <c r="A4713" s="8" t="s">
        <v>9386</v>
      </c>
      <c r="B4713" s="8" t="s">
        <v>58316</v>
      </c>
      <c r="C4713" s="8" t="s">
        <v>9387</v>
      </c>
      <c r="D4713" s="8"/>
      <c r="E4713" s="6"/>
      <c r="F4713" s="6"/>
    </row>
    <row r="4714" spans="1:6" x14ac:dyDescent="0.3">
      <c r="A4714" s="8" t="s">
        <v>9388</v>
      </c>
      <c r="B4714" s="8" t="s">
        <v>58317</v>
      </c>
      <c r="C4714" s="8" t="s">
        <v>9389</v>
      </c>
      <c r="D4714" s="8"/>
      <c r="E4714" s="6"/>
      <c r="F4714" s="6"/>
    </row>
    <row r="4715" spans="1:6" x14ac:dyDescent="0.3">
      <c r="A4715" s="8" t="s">
        <v>9390</v>
      </c>
      <c r="B4715" s="8" t="s">
        <v>58318</v>
      </c>
      <c r="C4715" s="8" t="s">
        <v>9391</v>
      </c>
      <c r="D4715" s="8"/>
      <c r="E4715" s="6"/>
      <c r="F4715" s="6"/>
    </row>
    <row r="4716" spans="1:6" x14ac:dyDescent="0.3">
      <c r="A4716" s="8" t="s">
        <v>9392</v>
      </c>
      <c r="B4716" s="8" t="s">
        <v>58319</v>
      </c>
      <c r="C4716" s="8" t="s">
        <v>9393</v>
      </c>
      <c r="D4716" s="8"/>
      <c r="E4716" s="6"/>
      <c r="F4716" s="6"/>
    </row>
    <row r="4717" spans="1:6" x14ac:dyDescent="0.3">
      <c r="A4717" s="8" t="s">
        <v>9394</v>
      </c>
      <c r="B4717" s="8" t="s">
        <v>58320</v>
      </c>
      <c r="C4717" s="8" t="s">
        <v>9395</v>
      </c>
      <c r="D4717" s="8"/>
      <c r="E4717" s="6"/>
      <c r="F4717" s="6"/>
    </row>
    <row r="4718" spans="1:6" x14ac:dyDescent="0.3">
      <c r="A4718" s="8" t="s">
        <v>9396</v>
      </c>
      <c r="B4718" s="8" t="s">
        <v>58321</v>
      </c>
      <c r="C4718" s="8" t="s">
        <v>9397</v>
      </c>
      <c r="D4718" s="8"/>
      <c r="E4718" s="6"/>
      <c r="F4718" s="6"/>
    </row>
    <row r="4719" spans="1:6" x14ac:dyDescent="0.3">
      <c r="A4719" s="8" t="s">
        <v>9398</v>
      </c>
      <c r="B4719" s="8" t="s">
        <v>58322</v>
      </c>
      <c r="C4719" s="8" t="s">
        <v>9399</v>
      </c>
      <c r="D4719" s="8"/>
      <c r="E4719" s="6"/>
      <c r="F4719" s="6"/>
    </row>
    <row r="4720" spans="1:6" x14ac:dyDescent="0.3">
      <c r="A4720" s="8" t="s">
        <v>9400</v>
      </c>
      <c r="B4720" s="8" t="s">
        <v>58323</v>
      </c>
      <c r="C4720" s="8" t="s">
        <v>9401</v>
      </c>
      <c r="D4720" s="8"/>
      <c r="E4720" s="6"/>
      <c r="F4720" s="6"/>
    </row>
    <row r="4721" spans="1:6" x14ac:dyDescent="0.3">
      <c r="A4721" s="8" t="s">
        <v>9402</v>
      </c>
      <c r="B4721" s="8" t="s">
        <v>58324</v>
      </c>
      <c r="C4721" s="8" t="s">
        <v>9403</v>
      </c>
      <c r="D4721" s="8"/>
      <c r="E4721" s="6"/>
      <c r="F4721" s="6"/>
    </row>
    <row r="4722" spans="1:6" x14ac:dyDescent="0.3">
      <c r="A4722" s="8" t="s">
        <v>9404</v>
      </c>
      <c r="B4722" s="8" t="s">
        <v>58325</v>
      </c>
      <c r="C4722" s="8" t="s">
        <v>9405</v>
      </c>
      <c r="D4722" s="8"/>
      <c r="E4722" s="6"/>
      <c r="F4722" s="6"/>
    </row>
    <row r="4723" spans="1:6" x14ac:dyDescent="0.3">
      <c r="A4723" s="8" t="s">
        <v>9406</v>
      </c>
      <c r="B4723" s="8" t="s">
        <v>58326</v>
      </c>
      <c r="C4723" s="8" t="s">
        <v>9407</v>
      </c>
      <c r="D4723" s="8"/>
      <c r="E4723" s="6"/>
      <c r="F4723" s="6"/>
    </row>
    <row r="4724" spans="1:6" x14ac:dyDescent="0.3">
      <c r="A4724" s="8" t="s">
        <v>9408</v>
      </c>
      <c r="B4724" s="8" t="s">
        <v>58327</v>
      </c>
      <c r="C4724" s="8" t="s">
        <v>9409</v>
      </c>
      <c r="D4724" s="8"/>
      <c r="E4724" s="6"/>
      <c r="F4724" s="6"/>
    </row>
    <row r="4725" spans="1:6" x14ac:dyDescent="0.3">
      <c r="A4725" s="8" t="s">
        <v>9410</v>
      </c>
      <c r="B4725" s="8" t="s">
        <v>58328</v>
      </c>
      <c r="C4725" s="8" t="s">
        <v>9411</v>
      </c>
      <c r="D4725" s="8"/>
      <c r="E4725" s="6"/>
      <c r="F4725" s="6"/>
    </row>
    <row r="4726" spans="1:6" x14ac:dyDescent="0.3">
      <c r="A4726" s="8" t="s">
        <v>9412</v>
      </c>
      <c r="B4726" s="8" t="s">
        <v>58329</v>
      </c>
      <c r="C4726" s="8" t="s">
        <v>9413</v>
      </c>
      <c r="D4726" s="8"/>
      <c r="E4726" s="6"/>
      <c r="F4726" s="6"/>
    </row>
    <row r="4727" spans="1:6" x14ac:dyDescent="0.3">
      <c r="A4727" s="8" t="s">
        <v>9414</v>
      </c>
      <c r="B4727" s="8" t="s">
        <v>58330</v>
      </c>
      <c r="C4727" s="8" t="s">
        <v>9415</v>
      </c>
      <c r="D4727" s="8"/>
      <c r="E4727" s="6"/>
      <c r="F4727" s="6"/>
    </row>
    <row r="4728" spans="1:6" x14ac:dyDescent="0.3">
      <c r="A4728" s="8" t="s">
        <v>9416</v>
      </c>
      <c r="B4728" s="8" t="s">
        <v>58331</v>
      </c>
      <c r="C4728" s="8" t="s">
        <v>9417</v>
      </c>
      <c r="D4728" s="8"/>
      <c r="E4728" s="6"/>
      <c r="F4728" s="6"/>
    </row>
    <row r="4729" spans="1:6" x14ac:dyDescent="0.3">
      <c r="A4729" s="8" t="s">
        <v>9418</v>
      </c>
      <c r="B4729" s="8" t="s">
        <v>58332</v>
      </c>
      <c r="C4729" s="8" t="s">
        <v>9419</v>
      </c>
      <c r="D4729" s="8"/>
      <c r="E4729" s="6"/>
      <c r="F4729" s="6"/>
    </row>
    <row r="4730" spans="1:6" x14ac:dyDescent="0.3">
      <c r="A4730" s="8" t="s">
        <v>9420</v>
      </c>
      <c r="B4730" s="8" t="s">
        <v>58333</v>
      </c>
      <c r="C4730" s="8" t="s">
        <v>9421</v>
      </c>
      <c r="D4730" s="8"/>
      <c r="E4730" s="6"/>
      <c r="F4730" s="6"/>
    </row>
    <row r="4731" spans="1:6" x14ac:dyDescent="0.3">
      <c r="A4731" s="8" t="s">
        <v>9422</v>
      </c>
      <c r="B4731" s="8" t="s">
        <v>58334</v>
      </c>
      <c r="C4731" s="8" t="s">
        <v>9423</v>
      </c>
      <c r="D4731" s="8"/>
      <c r="E4731" s="6"/>
      <c r="F4731" s="6"/>
    </row>
    <row r="4732" spans="1:6" x14ac:dyDescent="0.3">
      <c r="A4732" s="8" t="s">
        <v>9424</v>
      </c>
      <c r="B4732" s="8" t="s">
        <v>58335</v>
      </c>
      <c r="C4732" s="8" t="s">
        <v>9425</v>
      </c>
      <c r="D4732" s="8"/>
      <c r="E4732" s="6"/>
      <c r="F4732" s="6"/>
    </row>
    <row r="4733" spans="1:6" x14ac:dyDescent="0.3">
      <c r="A4733" s="8" t="s">
        <v>9426</v>
      </c>
      <c r="B4733" s="8" t="s">
        <v>58336</v>
      </c>
      <c r="C4733" s="8" t="s">
        <v>9427</v>
      </c>
      <c r="D4733" s="8"/>
      <c r="E4733" s="6"/>
      <c r="F4733" s="6"/>
    </row>
    <row r="4734" spans="1:6" x14ac:dyDescent="0.3">
      <c r="A4734" s="8" t="s">
        <v>9428</v>
      </c>
      <c r="B4734" s="8" t="s">
        <v>58337</v>
      </c>
      <c r="C4734" s="8" t="s">
        <v>9429</v>
      </c>
      <c r="D4734" s="8"/>
      <c r="E4734" s="6"/>
      <c r="F4734" s="6"/>
    </row>
    <row r="4735" spans="1:6" x14ac:dyDescent="0.3">
      <c r="A4735" s="8" t="s">
        <v>9430</v>
      </c>
      <c r="B4735" s="8" t="s">
        <v>58338</v>
      </c>
      <c r="C4735" s="8" t="s">
        <v>9431</v>
      </c>
      <c r="D4735" s="8"/>
      <c r="E4735" s="6"/>
      <c r="F4735" s="6"/>
    </row>
    <row r="4736" spans="1:6" x14ac:dyDescent="0.3">
      <c r="A4736" s="8" t="s">
        <v>9432</v>
      </c>
      <c r="B4736" s="8" t="s">
        <v>58339</v>
      </c>
      <c r="C4736" s="8" t="s">
        <v>9433</v>
      </c>
      <c r="D4736" s="8"/>
      <c r="E4736" s="6"/>
      <c r="F4736" s="6"/>
    </row>
    <row r="4737" spans="1:6" x14ac:dyDescent="0.3">
      <c r="A4737" s="8" t="s">
        <v>9434</v>
      </c>
      <c r="B4737" s="8" t="s">
        <v>58340</v>
      </c>
      <c r="C4737" s="8" t="s">
        <v>9435</v>
      </c>
      <c r="D4737" s="8"/>
      <c r="E4737" s="6"/>
      <c r="F4737" s="6"/>
    </row>
    <row r="4738" spans="1:6" x14ac:dyDescent="0.3">
      <c r="A4738" s="8" t="s">
        <v>9436</v>
      </c>
      <c r="B4738" s="8" t="s">
        <v>58341</v>
      </c>
      <c r="C4738" s="8" t="s">
        <v>9437</v>
      </c>
      <c r="D4738" s="8"/>
      <c r="E4738" s="6"/>
      <c r="F4738" s="6"/>
    </row>
    <row r="4739" spans="1:6" x14ac:dyDescent="0.3">
      <c r="A4739" s="8" t="s">
        <v>9438</v>
      </c>
      <c r="B4739" s="8" t="s">
        <v>58342</v>
      </c>
      <c r="C4739" s="8" t="s">
        <v>9439</v>
      </c>
      <c r="D4739" s="8"/>
      <c r="E4739" s="6"/>
      <c r="F4739" s="6"/>
    </row>
    <row r="4740" spans="1:6" x14ac:dyDescent="0.3">
      <c r="A4740" s="8" t="s">
        <v>9440</v>
      </c>
      <c r="B4740" s="8" t="s">
        <v>58343</v>
      </c>
      <c r="C4740" s="8" t="s">
        <v>9441</v>
      </c>
      <c r="D4740" s="8"/>
      <c r="E4740" s="6"/>
      <c r="F4740" s="6"/>
    </row>
    <row r="4741" spans="1:6" x14ac:dyDescent="0.3">
      <c r="A4741" s="8" t="s">
        <v>9442</v>
      </c>
      <c r="B4741" s="8" t="s">
        <v>58344</v>
      </c>
      <c r="C4741" s="8" t="s">
        <v>9443</v>
      </c>
      <c r="D4741" s="8"/>
      <c r="E4741" s="6"/>
      <c r="F4741" s="6"/>
    </row>
    <row r="4742" spans="1:6" x14ac:dyDescent="0.3">
      <c r="A4742" s="8" t="s">
        <v>9444</v>
      </c>
      <c r="B4742" s="8" t="s">
        <v>58345</v>
      </c>
      <c r="C4742" s="8" t="s">
        <v>9445</v>
      </c>
      <c r="D4742" s="8"/>
      <c r="E4742" s="6"/>
      <c r="F4742" s="6"/>
    </row>
    <row r="4743" spans="1:6" x14ac:dyDescent="0.3">
      <c r="A4743" s="8" t="s">
        <v>9446</v>
      </c>
      <c r="B4743" s="8" t="s">
        <v>58346</v>
      </c>
      <c r="C4743" s="8" t="s">
        <v>9447</v>
      </c>
      <c r="D4743" s="8"/>
      <c r="E4743" s="6"/>
      <c r="F4743" s="6"/>
    </row>
    <row r="4744" spans="1:6" x14ac:dyDescent="0.3">
      <c r="A4744" s="8" t="s">
        <v>9448</v>
      </c>
      <c r="B4744" s="8" t="s">
        <v>58347</v>
      </c>
      <c r="C4744" s="8" t="s">
        <v>9449</v>
      </c>
      <c r="D4744" s="8"/>
      <c r="E4744" s="6"/>
      <c r="F4744" s="6"/>
    </row>
    <row r="4745" spans="1:6" x14ac:dyDescent="0.3">
      <c r="A4745" s="8" t="s">
        <v>9450</v>
      </c>
      <c r="B4745" s="8" t="s">
        <v>58348</v>
      </c>
      <c r="C4745" s="8" t="s">
        <v>9451</v>
      </c>
      <c r="D4745" s="8"/>
      <c r="E4745" s="6"/>
      <c r="F4745" s="6"/>
    </row>
    <row r="4746" spans="1:6" x14ac:dyDescent="0.3">
      <c r="A4746" s="8" t="s">
        <v>9452</v>
      </c>
      <c r="B4746" s="8" t="s">
        <v>58349</v>
      </c>
      <c r="C4746" s="8" t="s">
        <v>9453</v>
      </c>
      <c r="D4746" s="8"/>
      <c r="E4746" s="6"/>
      <c r="F4746" s="6"/>
    </row>
    <row r="4747" spans="1:6" x14ac:dyDescent="0.3">
      <c r="A4747" s="8" t="s">
        <v>9454</v>
      </c>
      <c r="B4747" s="8" t="s">
        <v>58350</v>
      </c>
      <c r="C4747" s="8" t="s">
        <v>9455</v>
      </c>
      <c r="D4747" s="8"/>
      <c r="E4747" s="6"/>
      <c r="F4747" s="6"/>
    </row>
    <row r="4748" spans="1:6" x14ac:dyDescent="0.3">
      <c r="A4748" s="8" t="s">
        <v>9456</v>
      </c>
      <c r="B4748" s="8" t="s">
        <v>58351</v>
      </c>
      <c r="C4748" s="8" t="s">
        <v>9457</v>
      </c>
      <c r="D4748" s="8"/>
      <c r="E4748" s="6"/>
      <c r="F4748" s="6"/>
    </row>
    <row r="4749" spans="1:6" x14ac:dyDescent="0.3">
      <c r="A4749" s="8" t="s">
        <v>9458</v>
      </c>
      <c r="B4749" s="8" t="s">
        <v>58352</v>
      </c>
      <c r="C4749" s="8" t="s">
        <v>9459</v>
      </c>
      <c r="D4749" s="8"/>
      <c r="E4749" s="6"/>
      <c r="F4749" s="6"/>
    </row>
    <row r="4750" spans="1:6" x14ac:dyDescent="0.3">
      <c r="A4750" s="8" t="s">
        <v>9460</v>
      </c>
      <c r="B4750" s="8" t="s">
        <v>58353</v>
      </c>
      <c r="C4750" s="8" t="s">
        <v>9461</v>
      </c>
      <c r="D4750" s="8"/>
      <c r="E4750" s="6"/>
      <c r="F4750" s="6"/>
    </row>
    <row r="4751" spans="1:6" x14ac:dyDescent="0.3">
      <c r="A4751" s="8" t="s">
        <v>9462</v>
      </c>
      <c r="B4751" s="8" t="s">
        <v>58354</v>
      </c>
      <c r="C4751" s="8" t="s">
        <v>9463</v>
      </c>
      <c r="D4751" s="8"/>
      <c r="E4751" s="6"/>
      <c r="F4751" s="6"/>
    </row>
    <row r="4752" spans="1:6" x14ac:dyDescent="0.3">
      <c r="A4752" s="8" t="s">
        <v>9464</v>
      </c>
      <c r="B4752" s="8" t="s">
        <v>58355</v>
      </c>
      <c r="C4752" s="8" t="s">
        <v>9465</v>
      </c>
      <c r="D4752" s="8"/>
      <c r="E4752" s="6"/>
      <c r="F4752" s="6"/>
    </row>
    <row r="4753" spans="1:6" x14ac:dyDescent="0.3">
      <c r="A4753" s="8" t="s">
        <v>9466</v>
      </c>
      <c r="B4753" s="8" t="s">
        <v>58356</v>
      </c>
      <c r="C4753" s="8" t="s">
        <v>9467</v>
      </c>
      <c r="D4753" s="8"/>
      <c r="E4753" s="6"/>
      <c r="F4753" s="6"/>
    </row>
    <row r="4754" spans="1:6" x14ac:dyDescent="0.3">
      <c r="A4754" s="8" t="s">
        <v>9468</v>
      </c>
      <c r="B4754" s="8" t="s">
        <v>58357</v>
      </c>
      <c r="C4754" s="8" t="s">
        <v>9469</v>
      </c>
      <c r="D4754" s="8"/>
      <c r="E4754" s="6"/>
      <c r="F4754" s="6"/>
    </row>
    <row r="4755" spans="1:6" x14ac:dyDescent="0.3">
      <c r="A4755" s="8" t="s">
        <v>9470</v>
      </c>
      <c r="B4755" s="8" t="s">
        <v>58358</v>
      </c>
      <c r="C4755" s="8" t="s">
        <v>9471</v>
      </c>
      <c r="D4755" s="8"/>
      <c r="E4755" s="6"/>
      <c r="F4755" s="6"/>
    </row>
    <row r="4756" spans="1:6" x14ac:dyDescent="0.3">
      <c r="A4756" s="8" t="s">
        <v>9472</v>
      </c>
      <c r="B4756" s="8" t="s">
        <v>58359</v>
      </c>
      <c r="C4756" s="8" t="s">
        <v>9473</v>
      </c>
      <c r="D4756" s="8"/>
      <c r="E4756" s="6"/>
      <c r="F4756" s="6"/>
    </row>
    <row r="4757" spans="1:6" x14ac:dyDescent="0.3">
      <c r="A4757" s="8" t="s">
        <v>9474</v>
      </c>
      <c r="B4757" s="8" t="s">
        <v>58360</v>
      </c>
      <c r="C4757" s="8" t="s">
        <v>9475</v>
      </c>
      <c r="D4757" s="8"/>
      <c r="E4757" s="6"/>
      <c r="F4757" s="6"/>
    </row>
    <row r="4758" spans="1:6" x14ac:dyDescent="0.3">
      <c r="A4758" s="8" t="s">
        <v>9476</v>
      </c>
      <c r="B4758" s="8" t="s">
        <v>58361</v>
      </c>
      <c r="C4758" s="8" t="s">
        <v>9477</v>
      </c>
      <c r="D4758" s="8"/>
      <c r="E4758" s="6"/>
      <c r="F4758" s="6"/>
    </row>
    <row r="4759" spans="1:6" x14ac:dyDescent="0.3">
      <c r="A4759" s="8" t="s">
        <v>9478</v>
      </c>
      <c r="B4759" s="8" t="s">
        <v>58362</v>
      </c>
      <c r="C4759" s="8" t="s">
        <v>9479</v>
      </c>
      <c r="D4759" s="8"/>
      <c r="E4759" s="6"/>
      <c r="F4759" s="6"/>
    </row>
    <row r="4760" spans="1:6" x14ac:dyDescent="0.3">
      <c r="A4760" s="8" t="s">
        <v>9480</v>
      </c>
      <c r="B4760" s="8" t="s">
        <v>58363</v>
      </c>
      <c r="C4760" s="8" t="s">
        <v>9481</v>
      </c>
      <c r="D4760" s="8"/>
      <c r="E4760" s="6"/>
      <c r="F4760" s="6"/>
    </row>
    <row r="4761" spans="1:6" x14ac:dyDescent="0.3">
      <c r="A4761" s="8" t="s">
        <v>9482</v>
      </c>
      <c r="B4761" s="8" t="s">
        <v>58364</v>
      </c>
      <c r="C4761" s="8" t="s">
        <v>9483</v>
      </c>
      <c r="D4761" s="8"/>
      <c r="E4761" s="6"/>
      <c r="F4761" s="6"/>
    </row>
    <row r="4762" spans="1:6" x14ac:dyDescent="0.3">
      <c r="A4762" s="8" t="s">
        <v>9484</v>
      </c>
      <c r="B4762" s="8" t="s">
        <v>58365</v>
      </c>
      <c r="C4762" s="8" t="s">
        <v>9485</v>
      </c>
      <c r="D4762" s="8"/>
      <c r="E4762" s="6"/>
      <c r="F4762" s="6"/>
    </row>
    <row r="4763" spans="1:6" x14ac:dyDescent="0.3">
      <c r="A4763" s="8" t="s">
        <v>9486</v>
      </c>
      <c r="B4763" s="8" t="s">
        <v>58366</v>
      </c>
      <c r="C4763" s="8" t="s">
        <v>9487</v>
      </c>
      <c r="D4763" s="8"/>
      <c r="E4763" s="6"/>
      <c r="F4763" s="6"/>
    </row>
    <row r="4764" spans="1:6" x14ac:dyDescent="0.3">
      <c r="A4764" s="8" t="s">
        <v>9488</v>
      </c>
      <c r="B4764" s="8" t="s">
        <v>58367</v>
      </c>
      <c r="C4764" s="8" t="s">
        <v>9489</v>
      </c>
      <c r="D4764" s="8"/>
      <c r="E4764" s="6"/>
      <c r="F4764" s="6"/>
    </row>
    <row r="4765" spans="1:6" x14ac:dyDescent="0.3">
      <c r="A4765" s="8" t="s">
        <v>9490</v>
      </c>
      <c r="B4765" s="8" t="s">
        <v>58368</v>
      </c>
      <c r="C4765" s="8" t="s">
        <v>9491</v>
      </c>
      <c r="D4765" s="8"/>
      <c r="E4765" s="6"/>
      <c r="F4765" s="6"/>
    </row>
    <row r="4766" spans="1:6" x14ac:dyDescent="0.3">
      <c r="A4766" s="8" t="s">
        <v>9492</v>
      </c>
      <c r="B4766" s="8" t="s">
        <v>58369</v>
      </c>
      <c r="C4766" s="8" t="s">
        <v>9493</v>
      </c>
      <c r="D4766" s="8"/>
      <c r="E4766" s="6"/>
      <c r="F4766" s="6"/>
    </row>
    <row r="4767" spans="1:6" x14ac:dyDescent="0.3">
      <c r="A4767" s="8" t="s">
        <v>9494</v>
      </c>
      <c r="B4767" s="8" t="s">
        <v>58370</v>
      </c>
      <c r="C4767" s="8" t="s">
        <v>9495</v>
      </c>
      <c r="D4767" s="8"/>
      <c r="E4767" s="6"/>
      <c r="F4767" s="6"/>
    </row>
    <row r="4768" spans="1:6" x14ac:dyDescent="0.3">
      <c r="A4768" s="8" t="s">
        <v>9496</v>
      </c>
      <c r="B4768" s="8" t="s">
        <v>58371</v>
      </c>
      <c r="C4768" s="8" t="s">
        <v>9497</v>
      </c>
      <c r="D4768" s="8"/>
      <c r="E4768" s="6"/>
      <c r="F4768" s="6"/>
    </row>
    <row r="4769" spans="1:6" x14ac:dyDescent="0.3">
      <c r="A4769" s="8" t="s">
        <v>9498</v>
      </c>
      <c r="B4769" s="8" t="s">
        <v>58372</v>
      </c>
      <c r="C4769" s="8" t="s">
        <v>9499</v>
      </c>
      <c r="D4769" s="8"/>
      <c r="E4769" s="6"/>
      <c r="F4769" s="6"/>
    </row>
    <row r="4770" spans="1:6" x14ac:dyDescent="0.3">
      <c r="A4770" s="8" t="s">
        <v>9500</v>
      </c>
      <c r="B4770" s="8" t="s">
        <v>58373</v>
      </c>
      <c r="C4770" s="8" t="s">
        <v>9501</v>
      </c>
      <c r="D4770" s="8"/>
      <c r="E4770" s="6"/>
      <c r="F4770" s="6"/>
    </row>
    <row r="4771" spans="1:6" x14ac:dyDescent="0.3">
      <c r="A4771" s="8" t="s">
        <v>9502</v>
      </c>
      <c r="B4771" s="8" t="s">
        <v>58374</v>
      </c>
      <c r="C4771" s="8" t="s">
        <v>9503</v>
      </c>
      <c r="D4771" s="8"/>
      <c r="E4771" s="6"/>
      <c r="F4771" s="6"/>
    </row>
    <row r="4772" spans="1:6" x14ac:dyDescent="0.3">
      <c r="A4772" s="8" t="s">
        <v>9504</v>
      </c>
      <c r="B4772" s="8" t="s">
        <v>58375</v>
      </c>
      <c r="C4772" s="8" t="s">
        <v>9505</v>
      </c>
      <c r="D4772" s="8"/>
      <c r="E4772" s="6"/>
      <c r="F4772" s="6"/>
    </row>
    <row r="4773" spans="1:6" x14ac:dyDescent="0.3">
      <c r="A4773" s="8" t="s">
        <v>9506</v>
      </c>
      <c r="B4773" s="8" t="s">
        <v>58376</v>
      </c>
      <c r="C4773" s="8" t="s">
        <v>9507</v>
      </c>
      <c r="D4773" s="8"/>
      <c r="E4773" s="6"/>
      <c r="F4773" s="6"/>
    </row>
    <row r="4774" spans="1:6" x14ac:dyDescent="0.3">
      <c r="A4774" s="8" t="s">
        <v>9508</v>
      </c>
      <c r="B4774" s="8" t="s">
        <v>58377</v>
      </c>
      <c r="C4774" s="8" t="s">
        <v>9509</v>
      </c>
      <c r="D4774" s="8"/>
      <c r="E4774" s="6"/>
      <c r="F4774" s="6"/>
    </row>
    <row r="4775" spans="1:6" x14ac:dyDescent="0.3">
      <c r="A4775" s="8" t="s">
        <v>9510</v>
      </c>
      <c r="B4775" s="8" t="s">
        <v>58378</v>
      </c>
      <c r="C4775" s="8" t="s">
        <v>9511</v>
      </c>
      <c r="D4775" s="8"/>
      <c r="E4775" s="6"/>
      <c r="F4775" s="6"/>
    </row>
    <row r="4776" spans="1:6" x14ac:dyDescent="0.3">
      <c r="A4776" s="8" t="s">
        <v>9512</v>
      </c>
      <c r="B4776" s="8" t="s">
        <v>58379</v>
      </c>
      <c r="C4776" s="8" t="s">
        <v>9513</v>
      </c>
      <c r="D4776" s="8"/>
      <c r="E4776" s="6"/>
      <c r="F4776" s="6"/>
    </row>
    <row r="4777" spans="1:6" x14ac:dyDescent="0.3">
      <c r="A4777" s="8" t="s">
        <v>9514</v>
      </c>
      <c r="B4777" s="8" t="s">
        <v>58380</v>
      </c>
      <c r="C4777" s="8" t="s">
        <v>9515</v>
      </c>
      <c r="D4777" s="8"/>
      <c r="E4777" s="6"/>
      <c r="F4777" s="6"/>
    </row>
    <row r="4778" spans="1:6" x14ac:dyDescent="0.3">
      <c r="A4778" s="8" t="s">
        <v>9516</v>
      </c>
      <c r="B4778" s="8" t="s">
        <v>58381</v>
      </c>
      <c r="C4778" s="8" t="s">
        <v>9517</v>
      </c>
      <c r="D4778" s="8"/>
      <c r="E4778" s="6"/>
      <c r="F4778" s="6"/>
    </row>
    <row r="4779" spans="1:6" x14ac:dyDescent="0.3">
      <c r="A4779" s="8" t="s">
        <v>9518</v>
      </c>
      <c r="B4779" s="8" t="s">
        <v>58382</v>
      </c>
      <c r="C4779" s="8" t="s">
        <v>9519</v>
      </c>
      <c r="D4779" s="8"/>
      <c r="E4779" s="6"/>
      <c r="F4779" s="6"/>
    </row>
    <row r="4780" spans="1:6" x14ac:dyDescent="0.3">
      <c r="A4780" s="8" t="s">
        <v>9520</v>
      </c>
      <c r="B4780" s="8" t="s">
        <v>58383</v>
      </c>
      <c r="C4780" s="8" t="s">
        <v>9521</v>
      </c>
      <c r="D4780" s="8"/>
      <c r="E4780" s="6"/>
      <c r="F4780" s="6"/>
    </row>
    <row r="4781" spans="1:6" x14ac:dyDescent="0.3">
      <c r="A4781" s="8" t="s">
        <v>9522</v>
      </c>
      <c r="B4781" s="8" t="s">
        <v>58384</v>
      </c>
      <c r="C4781" s="8" t="s">
        <v>9523</v>
      </c>
      <c r="D4781" s="8"/>
      <c r="E4781" s="6"/>
      <c r="F4781" s="6"/>
    </row>
    <row r="4782" spans="1:6" x14ac:dyDescent="0.3">
      <c r="A4782" s="8" t="s">
        <v>9524</v>
      </c>
      <c r="B4782" s="8" t="s">
        <v>58385</v>
      </c>
      <c r="C4782" s="8" t="s">
        <v>9525</v>
      </c>
      <c r="D4782" s="8"/>
      <c r="E4782" s="6"/>
      <c r="F4782" s="6"/>
    </row>
    <row r="4783" spans="1:6" x14ac:dyDescent="0.3">
      <c r="A4783" s="8" t="s">
        <v>9526</v>
      </c>
      <c r="B4783" s="8" t="s">
        <v>58386</v>
      </c>
      <c r="C4783" s="8" t="s">
        <v>9527</v>
      </c>
      <c r="D4783" s="8"/>
      <c r="E4783" s="6"/>
      <c r="F4783" s="6"/>
    </row>
    <row r="4784" spans="1:6" x14ac:dyDescent="0.3">
      <c r="A4784" s="8" t="s">
        <v>9528</v>
      </c>
      <c r="B4784" s="8" t="s">
        <v>58387</v>
      </c>
      <c r="C4784" s="8" t="s">
        <v>9529</v>
      </c>
      <c r="D4784" s="8"/>
      <c r="E4784" s="6"/>
      <c r="F4784" s="6"/>
    </row>
    <row r="4785" spans="1:6" x14ac:dyDescent="0.3">
      <c r="A4785" s="8" t="s">
        <v>9530</v>
      </c>
      <c r="B4785" s="8" t="s">
        <v>58388</v>
      </c>
      <c r="C4785" s="8" t="s">
        <v>9531</v>
      </c>
      <c r="D4785" s="8"/>
      <c r="E4785" s="6"/>
      <c r="F4785" s="6"/>
    </row>
    <row r="4786" spans="1:6" x14ac:dyDescent="0.3">
      <c r="A4786" s="8" t="s">
        <v>9532</v>
      </c>
      <c r="B4786" s="8" t="s">
        <v>58389</v>
      </c>
      <c r="C4786" s="8" t="s">
        <v>9533</v>
      </c>
      <c r="D4786" s="8"/>
      <c r="E4786" s="6"/>
      <c r="F4786" s="6"/>
    </row>
    <row r="4787" spans="1:6" x14ac:dyDescent="0.3">
      <c r="A4787" s="8" t="s">
        <v>9534</v>
      </c>
      <c r="B4787" s="8" t="s">
        <v>58390</v>
      </c>
      <c r="C4787" s="8" t="s">
        <v>9535</v>
      </c>
      <c r="D4787" s="8"/>
      <c r="E4787" s="6"/>
      <c r="F4787" s="6"/>
    </row>
    <row r="4788" spans="1:6" x14ac:dyDescent="0.3">
      <c r="A4788" s="8" t="s">
        <v>9536</v>
      </c>
      <c r="B4788" s="8" t="s">
        <v>58391</v>
      </c>
      <c r="C4788" s="8" t="s">
        <v>9537</v>
      </c>
      <c r="D4788" s="8"/>
      <c r="E4788" s="6"/>
      <c r="F4788" s="6"/>
    </row>
    <row r="4789" spans="1:6" x14ac:dyDescent="0.3">
      <c r="A4789" s="8" t="s">
        <v>9538</v>
      </c>
      <c r="B4789" s="8" t="s">
        <v>58392</v>
      </c>
      <c r="C4789" s="8" t="s">
        <v>9539</v>
      </c>
      <c r="D4789" s="8"/>
      <c r="E4789" s="6"/>
      <c r="F4789" s="6"/>
    </row>
    <row r="4790" spans="1:6" x14ac:dyDescent="0.3">
      <c r="A4790" s="8" t="s">
        <v>9540</v>
      </c>
      <c r="B4790" s="8" t="s">
        <v>58393</v>
      </c>
      <c r="C4790" s="8" t="s">
        <v>9541</v>
      </c>
      <c r="D4790" s="8"/>
      <c r="E4790" s="6"/>
      <c r="F4790" s="6"/>
    </row>
    <row r="4791" spans="1:6" x14ac:dyDescent="0.3">
      <c r="A4791" s="8" t="s">
        <v>9542</v>
      </c>
      <c r="B4791" s="8" t="s">
        <v>58394</v>
      </c>
      <c r="C4791" s="8" t="s">
        <v>9543</v>
      </c>
      <c r="D4791" s="8"/>
      <c r="E4791" s="6"/>
      <c r="F4791" s="6"/>
    </row>
    <row r="4792" spans="1:6" x14ac:dyDescent="0.3">
      <c r="A4792" s="8" t="s">
        <v>9544</v>
      </c>
      <c r="B4792" s="8" t="s">
        <v>58395</v>
      </c>
      <c r="C4792" s="8" t="s">
        <v>9545</v>
      </c>
      <c r="D4792" s="8"/>
      <c r="E4792" s="6"/>
      <c r="F4792" s="6"/>
    </row>
    <row r="4793" spans="1:6" x14ac:dyDescent="0.3">
      <c r="A4793" s="8" t="s">
        <v>9546</v>
      </c>
      <c r="B4793" s="8" t="s">
        <v>58396</v>
      </c>
      <c r="C4793" s="8" t="s">
        <v>9547</v>
      </c>
      <c r="D4793" s="8"/>
      <c r="E4793" s="6"/>
      <c r="F4793" s="6"/>
    </row>
    <row r="4794" spans="1:6" x14ac:dyDescent="0.3">
      <c r="A4794" s="8" t="s">
        <v>9548</v>
      </c>
      <c r="B4794" s="8" t="s">
        <v>58397</v>
      </c>
      <c r="C4794" s="8" t="s">
        <v>9549</v>
      </c>
      <c r="D4794" s="8"/>
      <c r="E4794" s="6"/>
      <c r="F4794" s="6"/>
    </row>
    <row r="4795" spans="1:6" x14ac:dyDescent="0.3">
      <c r="A4795" s="8" t="s">
        <v>9550</v>
      </c>
      <c r="B4795" s="8" t="s">
        <v>58398</v>
      </c>
      <c r="C4795" s="8" t="s">
        <v>9551</v>
      </c>
      <c r="D4795" s="8"/>
      <c r="E4795" s="6"/>
      <c r="F4795" s="6"/>
    </row>
    <row r="4796" spans="1:6" x14ac:dyDescent="0.3">
      <c r="A4796" s="8" t="s">
        <v>9552</v>
      </c>
      <c r="B4796" s="8" t="s">
        <v>58399</v>
      </c>
      <c r="C4796" s="8" t="s">
        <v>9553</v>
      </c>
      <c r="D4796" s="8"/>
      <c r="E4796" s="6"/>
      <c r="F4796" s="6"/>
    </row>
    <row r="4797" spans="1:6" x14ac:dyDescent="0.3">
      <c r="A4797" s="8" t="s">
        <v>9554</v>
      </c>
      <c r="B4797" s="8" t="s">
        <v>58400</v>
      </c>
      <c r="C4797" s="8" t="s">
        <v>9555</v>
      </c>
      <c r="D4797" s="8"/>
      <c r="E4797" s="6"/>
      <c r="F4797" s="6"/>
    </row>
    <row r="4798" spans="1:6" x14ac:dyDescent="0.3">
      <c r="A4798" s="8" t="s">
        <v>9556</v>
      </c>
      <c r="B4798" s="8" t="s">
        <v>58401</v>
      </c>
      <c r="C4798" s="8" t="s">
        <v>9557</v>
      </c>
      <c r="D4798" s="8"/>
      <c r="E4798" s="6"/>
      <c r="F4798" s="6"/>
    </row>
    <row r="4799" spans="1:6" x14ac:dyDescent="0.3">
      <c r="A4799" s="8" t="s">
        <v>9558</v>
      </c>
      <c r="B4799" s="8" t="s">
        <v>58402</v>
      </c>
      <c r="C4799" s="8" t="s">
        <v>9559</v>
      </c>
      <c r="D4799" s="8"/>
      <c r="E4799" s="6"/>
      <c r="F4799" s="6"/>
    </row>
    <row r="4800" spans="1:6" x14ac:dyDescent="0.3">
      <c r="A4800" s="8" t="s">
        <v>9560</v>
      </c>
      <c r="B4800" s="8" t="s">
        <v>58403</v>
      </c>
      <c r="C4800" s="8" t="s">
        <v>9561</v>
      </c>
      <c r="D4800" s="8"/>
      <c r="E4800" s="6"/>
      <c r="F4800" s="6"/>
    </row>
    <row r="4801" spans="1:6" x14ac:dyDescent="0.3">
      <c r="A4801" s="8" t="s">
        <v>9562</v>
      </c>
      <c r="B4801" s="8" t="s">
        <v>58404</v>
      </c>
      <c r="C4801" s="8" t="s">
        <v>9563</v>
      </c>
      <c r="D4801" s="8"/>
      <c r="E4801" s="6"/>
      <c r="F4801" s="6"/>
    </row>
    <row r="4802" spans="1:6" x14ac:dyDescent="0.3">
      <c r="A4802" s="8" t="s">
        <v>9564</v>
      </c>
      <c r="B4802" s="8" t="s">
        <v>58405</v>
      </c>
      <c r="C4802" s="8" t="s">
        <v>9565</v>
      </c>
      <c r="D4802" s="8"/>
      <c r="E4802" s="6"/>
      <c r="F4802" s="6"/>
    </row>
    <row r="4803" spans="1:6" x14ac:dyDescent="0.3">
      <c r="A4803" s="8" t="s">
        <v>9566</v>
      </c>
      <c r="B4803" s="8" t="s">
        <v>58406</v>
      </c>
      <c r="C4803" s="8" t="s">
        <v>9567</v>
      </c>
      <c r="D4803" s="8"/>
      <c r="E4803" s="6"/>
      <c r="F4803" s="6"/>
    </row>
    <row r="4804" spans="1:6" x14ac:dyDescent="0.3">
      <c r="A4804" s="8" t="s">
        <v>9568</v>
      </c>
      <c r="B4804" s="8" t="s">
        <v>58407</v>
      </c>
      <c r="C4804" s="8" t="s">
        <v>9569</v>
      </c>
      <c r="D4804" s="8"/>
      <c r="E4804" s="6"/>
      <c r="F4804" s="6"/>
    </row>
    <row r="4805" spans="1:6" x14ac:dyDescent="0.3">
      <c r="A4805" s="8" t="s">
        <v>9570</v>
      </c>
      <c r="B4805" s="8" t="s">
        <v>58408</v>
      </c>
      <c r="C4805" s="8" t="s">
        <v>9571</v>
      </c>
      <c r="D4805" s="8"/>
      <c r="E4805" s="6"/>
      <c r="F4805" s="6"/>
    </row>
    <row r="4806" spans="1:6" x14ac:dyDescent="0.3">
      <c r="A4806" s="8" t="s">
        <v>9572</v>
      </c>
      <c r="B4806" s="8" t="s">
        <v>58409</v>
      </c>
      <c r="C4806" s="8" t="s">
        <v>9573</v>
      </c>
      <c r="D4806" s="8"/>
      <c r="E4806" s="6"/>
      <c r="F4806" s="6"/>
    </row>
    <row r="4807" spans="1:6" x14ac:dyDescent="0.3">
      <c r="A4807" s="8" t="s">
        <v>9574</v>
      </c>
      <c r="B4807" s="8" t="s">
        <v>58410</v>
      </c>
      <c r="C4807" s="8" t="s">
        <v>9575</v>
      </c>
      <c r="D4807" s="8"/>
      <c r="E4807" s="6"/>
      <c r="F4807" s="6"/>
    </row>
    <row r="4808" spans="1:6" x14ac:dyDescent="0.3">
      <c r="A4808" s="8" t="s">
        <v>9576</v>
      </c>
      <c r="B4808" s="8" t="s">
        <v>58411</v>
      </c>
      <c r="C4808" s="8" t="s">
        <v>9577</v>
      </c>
      <c r="D4808" s="8"/>
      <c r="E4808" s="6"/>
      <c r="F4808" s="6"/>
    </row>
    <row r="4809" spans="1:6" x14ac:dyDescent="0.3">
      <c r="A4809" s="8" t="s">
        <v>9578</v>
      </c>
      <c r="B4809" s="8" t="s">
        <v>58412</v>
      </c>
      <c r="C4809" s="8" t="s">
        <v>9579</v>
      </c>
      <c r="D4809" s="8"/>
      <c r="E4809" s="6"/>
      <c r="F4809" s="6"/>
    </row>
    <row r="4810" spans="1:6" x14ac:dyDescent="0.3">
      <c r="A4810" s="8" t="s">
        <v>9580</v>
      </c>
      <c r="B4810" s="8" t="s">
        <v>58413</v>
      </c>
      <c r="C4810" s="8" t="s">
        <v>9581</v>
      </c>
      <c r="D4810" s="8"/>
      <c r="E4810" s="6"/>
      <c r="F4810" s="6"/>
    </row>
    <row r="4811" spans="1:6" x14ac:dyDescent="0.3">
      <c r="A4811" s="8" t="s">
        <v>9582</v>
      </c>
      <c r="B4811" s="8" t="s">
        <v>58414</v>
      </c>
      <c r="C4811" s="8" t="s">
        <v>9583</v>
      </c>
      <c r="D4811" s="8"/>
      <c r="E4811" s="6"/>
      <c r="F4811" s="6"/>
    </row>
    <row r="4812" spans="1:6" x14ac:dyDescent="0.3">
      <c r="A4812" s="8" t="s">
        <v>9584</v>
      </c>
      <c r="B4812" s="8" t="s">
        <v>58415</v>
      </c>
      <c r="C4812" s="8" t="s">
        <v>9585</v>
      </c>
      <c r="D4812" s="8"/>
      <c r="E4812" s="6"/>
      <c r="F4812" s="6"/>
    </row>
    <row r="4813" spans="1:6" x14ac:dyDescent="0.3">
      <c r="A4813" s="8" t="s">
        <v>9586</v>
      </c>
      <c r="B4813" s="8" t="s">
        <v>58416</v>
      </c>
      <c r="C4813" s="8" t="s">
        <v>9587</v>
      </c>
      <c r="D4813" s="8"/>
      <c r="E4813" s="6"/>
      <c r="F4813" s="6"/>
    </row>
    <row r="4814" spans="1:6" x14ac:dyDescent="0.3">
      <c r="A4814" s="8" t="s">
        <v>9588</v>
      </c>
      <c r="B4814" s="8" t="s">
        <v>58417</v>
      </c>
      <c r="C4814" s="8" t="s">
        <v>9589</v>
      </c>
      <c r="D4814" s="8"/>
      <c r="E4814" s="6"/>
      <c r="F4814" s="6"/>
    </row>
    <row r="4815" spans="1:6" x14ac:dyDescent="0.3">
      <c r="A4815" s="8" t="s">
        <v>9590</v>
      </c>
      <c r="B4815" s="8" t="s">
        <v>58418</v>
      </c>
      <c r="C4815" s="8" t="s">
        <v>9591</v>
      </c>
      <c r="D4815" s="8"/>
      <c r="E4815" s="6"/>
      <c r="F4815" s="6"/>
    </row>
    <row r="4816" spans="1:6" x14ac:dyDescent="0.3">
      <c r="A4816" s="8" t="s">
        <v>9592</v>
      </c>
      <c r="B4816" s="8" t="s">
        <v>58419</v>
      </c>
      <c r="C4816" s="8" t="s">
        <v>9593</v>
      </c>
      <c r="D4816" s="8"/>
      <c r="E4816" s="6"/>
      <c r="F4816" s="6"/>
    </row>
    <row r="4817" spans="1:6" x14ac:dyDescent="0.3">
      <c r="A4817" s="8" t="s">
        <v>9594</v>
      </c>
      <c r="B4817" s="8" t="s">
        <v>58420</v>
      </c>
      <c r="C4817" s="8" t="s">
        <v>9595</v>
      </c>
      <c r="D4817" s="8"/>
      <c r="E4817" s="6"/>
      <c r="F4817" s="6"/>
    </row>
    <row r="4818" spans="1:6" x14ac:dyDescent="0.3">
      <c r="A4818" s="8" t="s">
        <v>9596</v>
      </c>
      <c r="B4818" s="8" t="s">
        <v>58421</v>
      </c>
      <c r="C4818" s="8" t="s">
        <v>9597</v>
      </c>
      <c r="D4818" s="8"/>
      <c r="E4818" s="6"/>
      <c r="F4818" s="6"/>
    </row>
    <row r="4819" spans="1:6" x14ac:dyDescent="0.3">
      <c r="A4819" s="8" t="s">
        <v>9598</v>
      </c>
      <c r="B4819" s="8" t="s">
        <v>58422</v>
      </c>
      <c r="C4819" s="8" t="s">
        <v>9599</v>
      </c>
      <c r="D4819" s="8"/>
      <c r="E4819" s="6"/>
      <c r="F4819" s="6"/>
    </row>
    <row r="4820" spans="1:6" x14ac:dyDescent="0.3">
      <c r="A4820" s="8" t="s">
        <v>9600</v>
      </c>
      <c r="B4820" s="8" t="s">
        <v>58423</v>
      </c>
      <c r="C4820" s="8" t="s">
        <v>9601</v>
      </c>
      <c r="D4820" s="8"/>
      <c r="E4820" s="6"/>
      <c r="F4820" s="6"/>
    </row>
    <row r="4821" spans="1:6" x14ac:dyDescent="0.3">
      <c r="A4821" s="8" t="s">
        <v>9602</v>
      </c>
      <c r="B4821" s="8" t="s">
        <v>58424</v>
      </c>
      <c r="C4821" s="8" t="s">
        <v>9603</v>
      </c>
      <c r="D4821" s="8"/>
      <c r="E4821" s="6"/>
      <c r="F4821" s="6"/>
    </row>
    <row r="4822" spans="1:6" x14ac:dyDescent="0.3">
      <c r="A4822" s="8" t="s">
        <v>9604</v>
      </c>
      <c r="B4822" s="8" t="s">
        <v>58425</v>
      </c>
      <c r="C4822" s="8" t="s">
        <v>9605</v>
      </c>
      <c r="D4822" s="8"/>
      <c r="E4822" s="6"/>
      <c r="F4822" s="6"/>
    </row>
    <row r="4823" spans="1:6" x14ac:dyDescent="0.3">
      <c r="A4823" s="8" t="s">
        <v>9606</v>
      </c>
      <c r="B4823" s="8" t="s">
        <v>58426</v>
      </c>
      <c r="C4823" s="8" t="s">
        <v>9607</v>
      </c>
      <c r="D4823" s="8"/>
      <c r="E4823" s="6"/>
      <c r="F4823" s="6"/>
    </row>
    <row r="4824" spans="1:6" x14ac:dyDescent="0.3">
      <c r="A4824" s="8" t="s">
        <v>9608</v>
      </c>
      <c r="B4824" s="8" t="s">
        <v>58427</v>
      </c>
      <c r="C4824" s="8" t="s">
        <v>9609</v>
      </c>
      <c r="D4824" s="8"/>
      <c r="E4824" s="6"/>
      <c r="F4824" s="6"/>
    </row>
    <row r="4825" spans="1:6" x14ac:dyDescent="0.3">
      <c r="A4825" s="8" t="s">
        <v>9610</v>
      </c>
      <c r="B4825" s="8" t="s">
        <v>58428</v>
      </c>
      <c r="C4825" s="8" t="s">
        <v>9611</v>
      </c>
      <c r="D4825" s="8"/>
      <c r="E4825" s="6"/>
      <c r="F4825" s="6"/>
    </row>
    <row r="4826" spans="1:6" x14ac:dyDescent="0.3">
      <c r="A4826" s="8" t="s">
        <v>9612</v>
      </c>
      <c r="B4826" s="8" t="s">
        <v>58429</v>
      </c>
      <c r="C4826" s="8" t="s">
        <v>9613</v>
      </c>
      <c r="D4826" s="8"/>
      <c r="E4826" s="6"/>
      <c r="F4826" s="6"/>
    </row>
    <row r="4827" spans="1:6" x14ac:dyDescent="0.3">
      <c r="A4827" s="8" t="s">
        <v>9614</v>
      </c>
      <c r="B4827" s="8" t="s">
        <v>58430</v>
      </c>
      <c r="C4827" s="8" t="s">
        <v>9615</v>
      </c>
      <c r="D4827" s="8"/>
      <c r="E4827" s="6"/>
      <c r="F4827" s="6"/>
    </row>
    <row r="4828" spans="1:6" x14ac:dyDescent="0.3">
      <c r="A4828" s="8" t="s">
        <v>9616</v>
      </c>
      <c r="B4828" s="8" t="s">
        <v>58431</v>
      </c>
      <c r="C4828" s="8" t="s">
        <v>9617</v>
      </c>
      <c r="D4828" s="8"/>
      <c r="E4828" s="6"/>
      <c r="F4828" s="6"/>
    </row>
    <row r="4829" spans="1:6" x14ac:dyDescent="0.3">
      <c r="A4829" s="8" t="s">
        <v>9618</v>
      </c>
      <c r="B4829" s="8" t="s">
        <v>58432</v>
      </c>
      <c r="C4829" s="8" t="s">
        <v>9619</v>
      </c>
      <c r="D4829" s="8"/>
      <c r="E4829" s="6"/>
      <c r="F4829" s="6"/>
    </row>
    <row r="4830" spans="1:6" x14ac:dyDescent="0.3">
      <c r="A4830" s="8" t="s">
        <v>9620</v>
      </c>
      <c r="B4830" s="8" t="s">
        <v>58433</v>
      </c>
      <c r="C4830" s="8" t="s">
        <v>9621</v>
      </c>
      <c r="D4830" s="8"/>
      <c r="E4830" s="6"/>
      <c r="F4830" s="6"/>
    </row>
    <row r="4831" spans="1:6" x14ac:dyDescent="0.3">
      <c r="A4831" s="8" t="s">
        <v>9622</v>
      </c>
      <c r="B4831" s="8" t="s">
        <v>58434</v>
      </c>
      <c r="C4831" s="8" t="s">
        <v>9623</v>
      </c>
      <c r="D4831" s="8"/>
      <c r="E4831" s="6"/>
      <c r="F4831" s="6"/>
    </row>
    <row r="4832" spans="1:6" x14ac:dyDescent="0.3">
      <c r="A4832" s="8" t="s">
        <v>9624</v>
      </c>
      <c r="B4832" s="8" t="s">
        <v>58435</v>
      </c>
      <c r="C4832" s="8" t="s">
        <v>9625</v>
      </c>
      <c r="D4832" s="8"/>
      <c r="E4832" s="6"/>
      <c r="F4832" s="6"/>
    </row>
    <row r="4833" spans="1:6" x14ac:dyDescent="0.3">
      <c r="A4833" s="8" t="s">
        <v>9626</v>
      </c>
      <c r="B4833" s="8" t="s">
        <v>58436</v>
      </c>
      <c r="C4833" s="8" t="s">
        <v>9627</v>
      </c>
      <c r="D4833" s="8"/>
      <c r="E4833" s="6"/>
      <c r="F4833" s="6"/>
    </row>
    <row r="4834" spans="1:6" x14ac:dyDescent="0.3">
      <c r="A4834" s="8" t="s">
        <v>9628</v>
      </c>
      <c r="B4834" s="8" t="s">
        <v>58437</v>
      </c>
      <c r="C4834" s="8" t="s">
        <v>9629</v>
      </c>
      <c r="D4834" s="8"/>
      <c r="E4834" s="6"/>
      <c r="F4834" s="6"/>
    </row>
    <row r="4835" spans="1:6" x14ac:dyDescent="0.3">
      <c r="A4835" s="8" t="s">
        <v>9630</v>
      </c>
      <c r="B4835" s="8" t="s">
        <v>58438</v>
      </c>
      <c r="C4835" s="8" t="s">
        <v>9631</v>
      </c>
      <c r="D4835" s="8"/>
      <c r="E4835" s="6"/>
      <c r="F4835" s="6"/>
    </row>
    <row r="4836" spans="1:6" x14ac:dyDescent="0.3">
      <c r="A4836" s="8" t="s">
        <v>9632</v>
      </c>
      <c r="B4836" s="8" t="s">
        <v>58439</v>
      </c>
      <c r="C4836" s="8" t="s">
        <v>9633</v>
      </c>
      <c r="D4836" s="8"/>
      <c r="E4836" s="6"/>
      <c r="F4836" s="6"/>
    </row>
    <row r="4837" spans="1:6" x14ac:dyDescent="0.3">
      <c r="A4837" s="8" t="s">
        <v>9634</v>
      </c>
      <c r="B4837" s="8" t="s">
        <v>58440</v>
      </c>
      <c r="C4837" s="8" t="s">
        <v>9635</v>
      </c>
      <c r="D4837" s="8"/>
      <c r="E4837" s="6"/>
      <c r="F4837" s="6"/>
    </row>
    <row r="4838" spans="1:6" x14ac:dyDescent="0.3">
      <c r="A4838" s="8" t="s">
        <v>9636</v>
      </c>
      <c r="B4838" s="8" t="s">
        <v>58441</v>
      </c>
      <c r="C4838" s="8" t="s">
        <v>9637</v>
      </c>
      <c r="D4838" s="8"/>
      <c r="E4838" s="6"/>
      <c r="F4838" s="6"/>
    </row>
    <row r="4839" spans="1:6" x14ac:dyDescent="0.3">
      <c r="A4839" s="8" t="s">
        <v>9638</v>
      </c>
      <c r="B4839" s="8" t="s">
        <v>58442</v>
      </c>
      <c r="C4839" s="8" t="s">
        <v>9639</v>
      </c>
      <c r="D4839" s="8"/>
      <c r="E4839" s="6"/>
      <c r="F4839" s="6"/>
    </row>
    <row r="4840" spans="1:6" x14ac:dyDescent="0.3">
      <c r="A4840" s="8" t="s">
        <v>9640</v>
      </c>
      <c r="B4840" s="8" t="s">
        <v>58443</v>
      </c>
      <c r="C4840" s="8" t="s">
        <v>9641</v>
      </c>
      <c r="D4840" s="8"/>
      <c r="E4840" s="6"/>
      <c r="F4840" s="6"/>
    </row>
    <row r="4841" spans="1:6" x14ac:dyDescent="0.3">
      <c r="A4841" s="8" t="s">
        <v>9642</v>
      </c>
      <c r="B4841" s="8" t="s">
        <v>58444</v>
      </c>
      <c r="C4841" s="8" t="s">
        <v>9643</v>
      </c>
      <c r="D4841" s="8"/>
      <c r="E4841" s="6"/>
      <c r="F4841" s="6"/>
    </row>
    <row r="4842" spans="1:6" x14ac:dyDescent="0.3">
      <c r="A4842" s="8" t="s">
        <v>9644</v>
      </c>
      <c r="B4842" s="8" t="s">
        <v>58445</v>
      </c>
      <c r="C4842" s="8" t="s">
        <v>9645</v>
      </c>
      <c r="D4842" s="8"/>
      <c r="E4842" s="6"/>
      <c r="F4842" s="6"/>
    </row>
    <row r="4843" spans="1:6" x14ac:dyDescent="0.3">
      <c r="A4843" s="8" t="s">
        <v>9646</v>
      </c>
      <c r="B4843" s="8" t="s">
        <v>58446</v>
      </c>
      <c r="C4843" s="8" t="s">
        <v>9647</v>
      </c>
      <c r="D4843" s="8"/>
      <c r="E4843" s="6"/>
      <c r="F4843" s="6"/>
    </row>
    <row r="4844" spans="1:6" x14ac:dyDescent="0.3">
      <c r="A4844" s="8" t="s">
        <v>9648</v>
      </c>
      <c r="B4844" s="8" t="s">
        <v>58447</v>
      </c>
      <c r="C4844" s="8" t="s">
        <v>9649</v>
      </c>
      <c r="D4844" s="8"/>
      <c r="E4844" s="6"/>
      <c r="F4844" s="6"/>
    </row>
    <row r="4845" spans="1:6" x14ac:dyDescent="0.3">
      <c r="A4845" s="8" t="s">
        <v>9650</v>
      </c>
      <c r="B4845" s="8" t="s">
        <v>58448</v>
      </c>
      <c r="C4845" s="8" t="s">
        <v>9651</v>
      </c>
      <c r="D4845" s="8"/>
      <c r="E4845" s="6"/>
      <c r="F4845" s="6"/>
    </row>
    <row r="4846" spans="1:6" x14ac:dyDescent="0.3">
      <c r="A4846" s="8" t="s">
        <v>9652</v>
      </c>
      <c r="B4846" s="8" t="s">
        <v>58449</v>
      </c>
      <c r="C4846" s="8" t="s">
        <v>9653</v>
      </c>
      <c r="D4846" s="8"/>
      <c r="E4846" s="6"/>
      <c r="F4846" s="6"/>
    </row>
    <row r="4847" spans="1:6" x14ac:dyDescent="0.3">
      <c r="A4847" s="8" t="s">
        <v>9654</v>
      </c>
      <c r="B4847" s="8" t="s">
        <v>58450</v>
      </c>
      <c r="C4847" s="8" t="s">
        <v>9655</v>
      </c>
      <c r="D4847" s="8"/>
      <c r="E4847" s="6"/>
      <c r="F4847" s="6"/>
    </row>
    <row r="4848" spans="1:6" x14ac:dyDescent="0.3">
      <c r="A4848" s="8" t="s">
        <v>9656</v>
      </c>
      <c r="B4848" s="8" t="s">
        <v>58451</v>
      </c>
      <c r="C4848" s="8" t="s">
        <v>9657</v>
      </c>
      <c r="D4848" s="8"/>
      <c r="E4848" s="6"/>
      <c r="F4848" s="6"/>
    </row>
    <row r="4849" spans="1:6" x14ac:dyDescent="0.3">
      <c r="A4849" s="8" t="s">
        <v>9658</v>
      </c>
      <c r="B4849" s="8" t="s">
        <v>58452</v>
      </c>
      <c r="C4849" s="8" t="s">
        <v>9659</v>
      </c>
      <c r="D4849" s="8"/>
      <c r="E4849" s="6"/>
      <c r="F4849" s="6"/>
    </row>
    <row r="4850" spans="1:6" x14ac:dyDescent="0.3">
      <c r="A4850" s="8" t="s">
        <v>9660</v>
      </c>
      <c r="B4850" s="8" t="s">
        <v>58453</v>
      </c>
      <c r="C4850" s="8" t="s">
        <v>9661</v>
      </c>
      <c r="D4850" s="8"/>
      <c r="E4850" s="6"/>
      <c r="F4850" s="6"/>
    </row>
    <row r="4851" spans="1:6" x14ac:dyDescent="0.3">
      <c r="A4851" s="8" t="s">
        <v>9662</v>
      </c>
      <c r="B4851" s="8" t="s">
        <v>58454</v>
      </c>
      <c r="C4851" s="8" t="s">
        <v>9663</v>
      </c>
      <c r="D4851" s="8"/>
      <c r="E4851" s="6"/>
      <c r="F4851" s="6"/>
    </row>
    <row r="4852" spans="1:6" x14ac:dyDescent="0.3">
      <c r="A4852" s="8" t="s">
        <v>9664</v>
      </c>
      <c r="B4852" s="8" t="s">
        <v>58455</v>
      </c>
      <c r="C4852" s="8" t="s">
        <v>9665</v>
      </c>
      <c r="D4852" s="8"/>
      <c r="E4852" s="6"/>
      <c r="F4852" s="6"/>
    </row>
    <row r="4853" spans="1:6" x14ac:dyDescent="0.3">
      <c r="A4853" s="8" t="s">
        <v>9666</v>
      </c>
      <c r="B4853" s="8" t="s">
        <v>58456</v>
      </c>
      <c r="C4853" s="8" t="s">
        <v>9667</v>
      </c>
      <c r="D4853" s="8"/>
      <c r="E4853" s="6"/>
      <c r="F4853" s="6"/>
    </row>
    <row r="4854" spans="1:6" x14ac:dyDescent="0.3">
      <c r="A4854" s="8" t="s">
        <v>9668</v>
      </c>
      <c r="B4854" s="8" t="s">
        <v>58457</v>
      </c>
      <c r="C4854" s="8" t="s">
        <v>9669</v>
      </c>
      <c r="D4854" s="8"/>
      <c r="E4854" s="6"/>
      <c r="F4854" s="6"/>
    </row>
    <row r="4855" spans="1:6" x14ac:dyDescent="0.3">
      <c r="A4855" s="8" t="s">
        <v>9670</v>
      </c>
      <c r="B4855" s="8" t="s">
        <v>58458</v>
      </c>
      <c r="C4855" s="8" t="s">
        <v>9671</v>
      </c>
      <c r="D4855" s="8"/>
      <c r="E4855" s="6"/>
      <c r="F4855" s="6"/>
    </row>
    <row r="4856" spans="1:6" x14ac:dyDescent="0.3">
      <c r="A4856" s="8" t="s">
        <v>9672</v>
      </c>
      <c r="B4856" s="8" t="s">
        <v>58459</v>
      </c>
      <c r="C4856" s="8" t="s">
        <v>9673</v>
      </c>
      <c r="D4856" s="8"/>
      <c r="E4856" s="6"/>
      <c r="F4856" s="6"/>
    </row>
    <row r="4857" spans="1:6" x14ac:dyDescent="0.3">
      <c r="A4857" s="8" t="s">
        <v>9674</v>
      </c>
      <c r="B4857" s="8" t="s">
        <v>58460</v>
      </c>
      <c r="C4857" s="8" t="s">
        <v>9675</v>
      </c>
      <c r="D4857" s="8"/>
      <c r="E4857" s="6"/>
      <c r="F4857" s="6"/>
    </row>
    <row r="4858" spans="1:6" x14ac:dyDescent="0.3">
      <c r="A4858" s="8" t="s">
        <v>9676</v>
      </c>
      <c r="B4858" s="8" t="s">
        <v>58461</v>
      </c>
      <c r="C4858" s="8" t="s">
        <v>9677</v>
      </c>
      <c r="D4858" s="8"/>
      <c r="E4858" s="6"/>
      <c r="F4858" s="6"/>
    </row>
    <row r="4859" spans="1:6" x14ac:dyDescent="0.3">
      <c r="A4859" s="8" t="s">
        <v>9678</v>
      </c>
      <c r="B4859" s="8" t="s">
        <v>58462</v>
      </c>
      <c r="C4859" s="8" t="s">
        <v>9679</v>
      </c>
      <c r="D4859" s="8"/>
      <c r="E4859" s="6"/>
      <c r="F4859" s="6"/>
    </row>
    <row r="4860" spans="1:6" x14ac:dyDescent="0.3">
      <c r="A4860" s="8" t="s">
        <v>9680</v>
      </c>
      <c r="B4860" s="8" t="s">
        <v>58463</v>
      </c>
      <c r="C4860" s="8" t="s">
        <v>9681</v>
      </c>
      <c r="D4860" s="8"/>
      <c r="E4860" s="6"/>
      <c r="F4860" s="6"/>
    </row>
    <row r="4861" spans="1:6" x14ac:dyDescent="0.3">
      <c r="A4861" s="8" t="s">
        <v>9682</v>
      </c>
      <c r="B4861" s="8" t="s">
        <v>58464</v>
      </c>
      <c r="C4861" s="8" t="s">
        <v>9683</v>
      </c>
      <c r="D4861" s="8"/>
      <c r="E4861" s="6"/>
      <c r="F4861" s="6"/>
    </row>
    <row r="4862" spans="1:6" x14ac:dyDescent="0.3">
      <c r="A4862" s="8" t="s">
        <v>9684</v>
      </c>
      <c r="B4862" s="8" t="s">
        <v>58465</v>
      </c>
      <c r="C4862" s="8" t="s">
        <v>9685</v>
      </c>
      <c r="D4862" s="8"/>
      <c r="E4862" s="6"/>
      <c r="F4862" s="6"/>
    </row>
    <row r="4863" spans="1:6" x14ac:dyDescent="0.3">
      <c r="A4863" s="8" t="s">
        <v>9686</v>
      </c>
      <c r="B4863" s="8" t="s">
        <v>58466</v>
      </c>
      <c r="C4863" s="8" t="s">
        <v>9687</v>
      </c>
      <c r="D4863" s="8"/>
      <c r="E4863" s="6"/>
      <c r="F4863" s="6"/>
    </row>
    <row r="4864" spans="1:6" x14ac:dyDescent="0.3">
      <c r="A4864" s="8" t="s">
        <v>9688</v>
      </c>
      <c r="B4864" s="8" t="s">
        <v>58467</v>
      </c>
      <c r="C4864" s="8" t="s">
        <v>9689</v>
      </c>
      <c r="D4864" s="8"/>
      <c r="E4864" s="6"/>
      <c r="F4864" s="6"/>
    </row>
    <row r="4865" spans="1:6" x14ac:dyDescent="0.3">
      <c r="A4865" s="8" t="s">
        <v>9690</v>
      </c>
      <c r="B4865" s="8" t="s">
        <v>58468</v>
      </c>
      <c r="C4865" s="8" t="s">
        <v>9691</v>
      </c>
      <c r="D4865" s="8"/>
      <c r="E4865" s="6"/>
      <c r="F4865" s="6"/>
    </row>
    <row r="4866" spans="1:6" x14ac:dyDescent="0.3">
      <c r="A4866" s="8" t="s">
        <v>9692</v>
      </c>
      <c r="B4866" s="8" t="s">
        <v>58469</v>
      </c>
      <c r="C4866" s="8" t="s">
        <v>9693</v>
      </c>
      <c r="D4866" s="8"/>
      <c r="E4866" s="6"/>
      <c r="F4866" s="6"/>
    </row>
    <row r="4867" spans="1:6" x14ac:dyDescent="0.3">
      <c r="A4867" s="8" t="s">
        <v>9694</v>
      </c>
      <c r="B4867" s="8" t="s">
        <v>58470</v>
      </c>
      <c r="C4867" s="8" t="s">
        <v>9695</v>
      </c>
      <c r="D4867" s="8"/>
      <c r="E4867" s="6"/>
      <c r="F4867" s="6"/>
    </row>
    <row r="4868" spans="1:6" x14ac:dyDescent="0.3">
      <c r="A4868" s="8" t="s">
        <v>9696</v>
      </c>
      <c r="B4868" s="8" t="s">
        <v>58471</v>
      </c>
      <c r="C4868" s="8" t="s">
        <v>9697</v>
      </c>
      <c r="D4868" s="8"/>
      <c r="E4868" s="6"/>
      <c r="F4868" s="6"/>
    </row>
    <row r="4869" spans="1:6" x14ac:dyDescent="0.3">
      <c r="A4869" s="8" t="s">
        <v>9698</v>
      </c>
      <c r="B4869" s="8" t="s">
        <v>58472</v>
      </c>
      <c r="C4869" s="8" t="s">
        <v>9699</v>
      </c>
      <c r="D4869" s="8"/>
      <c r="E4869" s="6"/>
      <c r="F4869" s="6"/>
    </row>
    <row r="4870" spans="1:6" x14ac:dyDescent="0.3">
      <c r="A4870" s="8" t="s">
        <v>9700</v>
      </c>
      <c r="B4870" s="8" t="s">
        <v>58473</v>
      </c>
      <c r="C4870" s="8" t="s">
        <v>9701</v>
      </c>
      <c r="D4870" s="8"/>
      <c r="E4870" s="6"/>
      <c r="F4870" s="6"/>
    </row>
    <row r="4871" spans="1:6" x14ac:dyDescent="0.3">
      <c r="A4871" s="8" t="s">
        <v>9702</v>
      </c>
      <c r="B4871" s="8" t="s">
        <v>58474</v>
      </c>
      <c r="C4871" s="8" t="s">
        <v>9703</v>
      </c>
      <c r="D4871" s="8"/>
      <c r="E4871" s="6"/>
      <c r="F4871" s="6"/>
    </row>
    <row r="4872" spans="1:6" x14ac:dyDescent="0.3">
      <c r="A4872" s="8" t="s">
        <v>9704</v>
      </c>
      <c r="B4872" s="8" t="s">
        <v>58475</v>
      </c>
      <c r="C4872" s="8" t="s">
        <v>9705</v>
      </c>
      <c r="D4872" s="8"/>
      <c r="E4872" s="6"/>
      <c r="F4872" s="6"/>
    </row>
    <row r="4873" spans="1:6" x14ac:dyDescent="0.3">
      <c r="A4873" s="8" t="s">
        <v>9706</v>
      </c>
      <c r="B4873" s="8" t="s">
        <v>58476</v>
      </c>
      <c r="C4873" s="8" t="s">
        <v>9707</v>
      </c>
      <c r="D4873" s="8"/>
      <c r="E4873" s="6"/>
      <c r="F4873" s="6"/>
    </row>
    <row r="4874" spans="1:6" x14ac:dyDescent="0.3">
      <c r="A4874" s="8" t="s">
        <v>9708</v>
      </c>
      <c r="B4874" s="8" t="s">
        <v>58477</v>
      </c>
      <c r="C4874" s="8" t="s">
        <v>9709</v>
      </c>
      <c r="D4874" s="8"/>
      <c r="E4874" s="6"/>
      <c r="F4874" s="6"/>
    </row>
    <row r="4875" spans="1:6" x14ac:dyDescent="0.3">
      <c r="A4875" s="8" t="s">
        <v>9710</v>
      </c>
      <c r="B4875" s="8" t="s">
        <v>58478</v>
      </c>
      <c r="C4875" s="8" t="s">
        <v>9711</v>
      </c>
      <c r="D4875" s="8"/>
      <c r="E4875" s="6"/>
      <c r="F4875" s="6"/>
    </row>
    <row r="4876" spans="1:6" x14ac:dyDescent="0.3">
      <c r="A4876" s="8" t="s">
        <v>9712</v>
      </c>
      <c r="B4876" s="8" t="s">
        <v>58479</v>
      </c>
      <c r="C4876" s="8" t="s">
        <v>9713</v>
      </c>
      <c r="D4876" s="8"/>
      <c r="E4876" s="6"/>
      <c r="F4876" s="6"/>
    </row>
    <row r="4877" spans="1:6" x14ac:dyDescent="0.3">
      <c r="A4877" s="8" t="s">
        <v>9714</v>
      </c>
      <c r="B4877" s="8" t="s">
        <v>58480</v>
      </c>
      <c r="C4877" s="8" t="s">
        <v>9715</v>
      </c>
      <c r="D4877" s="8"/>
      <c r="E4877" s="6"/>
      <c r="F4877" s="6"/>
    </row>
    <row r="4878" spans="1:6" x14ac:dyDescent="0.3">
      <c r="A4878" s="8" t="s">
        <v>9716</v>
      </c>
      <c r="B4878" s="8" t="s">
        <v>58481</v>
      </c>
      <c r="C4878" s="8" t="s">
        <v>9717</v>
      </c>
      <c r="D4878" s="8"/>
      <c r="E4878" s="6"/>
      <c r="F4878" s="6"/>
    </row>
    <row r="4879" spans="1:6" x14ac:dyDescent="0.3">
      <c r="A4879" s="8" t="s">
        <v>9718</v>
      </c>
      <c r="B4879" s="8" t="s">
        <v>58482</v>
      </c>
      <c r="C4879" s="8" t="s">
        <v>9719</v>
      </c>
      <c r="D4879" s="8"/>
      <c r="E4879" s="6"/>
      <c r="F4879" s="6"/>
    </row>
    <row r="4880" spans="1:6" x14ac:dyDescent="0.3">
      <c r="A4880" s="8" t="s">
        <v>9720</v>
      </c>
      <c r="B4880" s="8" t="s">
        <v>58483</v>
      </c>
      <c r="C4880" s="8" t="s">
        <v>9721</v>
      </c>
      <c r="D4880" s="8"/>
      <c r="E4880" s="6"/>
      <c r="F4880" s="6"/>
    </row>
    <row r="4881" spans="1:6" x14ac:dyDescent="0.3">
      <c r="A4881" s="8" t="s">
        <v>9722</v>
      </c>
      <c r="B4881" s="8" t="s">
        <v>58484</v>
      </c>
      <c r="C4881" s="8" t="s">
        <v>9723</v>
      </c>
      <c r="D4881" s="8"/>
      <c r="E4881" s="6"/>
      <c r="F4881" s="6"/>
    </row>
    <row r="4882" spans="1:6" x14ac:dyDescent="0.3">
      <c r="A4882" s="8" t="s">
        <v>9724</v>
      </c>
      <c r="B4882" s="8" t="s">
        <v>58485</v>
      </c>
      <c r="C4882" s="8" t="s">
        <v>9725</v>
      </c>
      <c r="D4882" s="8"/>
      <c r="E4882" s="6"/>
      <c r="F4882" s="6"/>
    </row>
    <row r="4883" spans="1:6" x14ac:dyDescent="0.3">
      <c r="A4883" s="8" t="s">
        <v>9726</v>
      </c>
      <c r="B4883" s="8" t="s">
        <v>58486</v>
      </c>
      <c r="C4883" s="8" t="s">
        <v>9727</v>
      </c>
      <c r="D4883" s="8"/>
      <c r="E4883" s="6"/>
      <c r="F4883" s="6"/>
    </row>
    <row r="4884" spans="1:6" x14ac:dyDescent="0.3">
      <c r="A4884" s="8" t="s">
        <v>9728</v>
      </c>
      <c r="B4884" s="8" t="s">
        <v>58487</v>
      </c>
      <c r="C4884" s="8" t="s">
        <v>9729</v>
      </c>
      <c r="D4884" s="8"/>
      <c r="E4884" s="6"/>
      <c r="F4884" s="6"/>
    </row>
    <row r="4885" spans="1:6" x14ac:dyDescent="0.3">
      <c r="A4885" s="8" t="s">
        <v>9730</v>
      </c>
      <c r="B4885" s="8" t="s">
        <v>58488</v>
      </c>
      <c r="C4885" s="8" t="s">
        <v>9731</v>
      </c>
      <c r="D4885" s="8"/>
      <c r="E4885" s="6"/>
      <c r="F4885" s="6"/>
    </row>
    <row r="4886" spans="1:6" x14ac:dyDescent="0.3">
      <c r="A4886" s="8" t="s">
        <v>9732</v>
      </c>
      <c r="B4886" s="8" t="s">
        <v>58489</v>
      </c>
      <c r="C4886" s="8" t="s">
        <v>9733</v>
      </c>
      <c r="D4886" s="8"/>
      <c r="E4886" s="6"/>
      <c r="F4886" s="6"/>
    </row>
    <row r="4887" spans="1:6" x14ac:dyDescent="0.3">
      <c r="A4887" s="8" t="s">
        <v>9734</v>
      </c>
      <c r="B4887" s="8" t="s">
        <v>58490</v>
      </c>
      <c r="C4887" s="8" t="s">
        <v>9735</v>
      </c>
      <c r="D4887" s="8"/>
      <c r="E4887" s="6"/>
      <c r="F4887" s="6"/>
    </row>
    <row r="4888" spans="1:6" x14ac:dyDescent="0.3">
      <c r="A4888" s="8" t="s">
        <v>9736</v>
      </c>
      <c r="B4888" s="8" t="s">
        <v>58491</v>
      </c>
      <c r="C4888" s="8" t="s">
        <v>9737</v>
      </c>
      <c r="D4888" s="8"/>
      <c r="E4888" s="6"/>
      <c r="F4888" s="6"/>
    </row>
    <row r="4889" spans="1:6" x14ac:dyDescent="0.3">
      <c r="A4889" s="8" t="s">
        <v>9738</v>
      </c>
      <c r="B4889" s="8" t="s">
        <v>58492</v>
      </c>
      <c r="C4889" s="8" t="s">
        <v>9739</v>
      </c>
      <c r="D4889" s="8"/>
      <c r="E4889" s="6"/>
      <c r="F4889" s="6"/>
    </row>
    <row r="4890" spans="1:6" x14ac:dyDescent="0.3">
      <c r="A4890" s="8" t="s">
        <v>9740</v>
      </c>
      <c r="B4890" s="8" t="s">
        <v>58493</v>
      </c>
      <c r="C4890" s="8" t="s">
        <v>9741</v>
      </c>
      <c r="D4890" s="8"/>
      <c r="E4890" s="6"/>
      <c r="F4890" s="6"/>
    </row>
    <row r="4891" spans="1:6" x14ac:dyDescent="0.3">
      <c r="A4891" s="8" t="s">
        <v>9742</v>
      </c>
      <c r="B4891" s="8" t="s">
        <v>58494</v>
      </c>
      <c r="C4891" s="8" t="s">
        <v>9743</v>
      </c>
      <c r="D4891" s="8"/>
      <c r="E4891" s="6"/>
      <c r="F4891" s="6"/>
    </row>
    <row r="4892" spans="1:6" x14ac:dyDescent="0.3">
      <c r="A4892" s="8" t="s">
        <v>9744</v>
      </c>
      <c r="B4892" s="8" t="s">
        <v>58495</v>
      </c>
      <c r="C4892" s="8" t="s">
        <v>9745</v>
      </c>
      <c r="D4892" s="8"/>
      <c r="E4892" s="6"/>
      <c r="F4892" s="6"/>
    </row>
    <row r="4893" spans="1:6" x14ac:dyDescent="0.3">
      <c r="A4893" s="8" t="s">
        <v>9746</v>
      </c>
      <c r="B4893" s="8" t="s">
        <v>58496</v>
      </c>
      <c r="C4893" s="8" t="s">
        <v>9747</v>
      </c>
      <c r="D4893" s="8"/>
      <c r="E4893" s="6"/>
      <c r="F4893" s="6"/>
    </row>
    <row r="4894" spans="1:6" x14ac:dyDescent="0.3">
      <c r="A4894" s="8" t="s">
        <v>9748</v>
      </c>
      <c r="B4894" s="8" t="s">
        <v>58497</v>
      </c>
      <c r="C4894" s="8" t="s">
        <v>9749</v>
      </c>
      <c r="D4894" s="8"/>
      <c r="E4894" s="6"/>
      <c r="F4894" s="6"/>
    </row>
    <row r="4895" spans="1:6" x14ac:dyDescent="0.3">
      <c r="A4895" s="8" t="s">
        <v>9750</v>
      </c>
      <c r="B4895" s="8" t="s">
        <v>58498</v>
      </c>
      <c r="C4895" s="8" t="s">
        <v>9751</v>
      </c>
      <c r="D4895" s="8"/>
      <c r="E4895" s="6"/>
      <c r="F4895" s="6"/>
    </row>
    <row r="4896" spans="1:6" x14ac:dyDescent="0.3">
      <c r="A4896" s="8" t="s">
        <v>9752</v>
      </c>
      <c r="B4896" s="8" t="s">
        <v>58499</v>
      </c>
      <c r="C4896" s="8" t="s">
        <v>9753</v>
      </c>
      <c r="D4896" s="8"/>
      <c r="E4896" s="6"/>
      <c r="F4896" s="6"/>
    </row>
    <row r="4897" spans="1:6" x14ac:dyDescent="0.3">
      <c r="A4897" s="8" t="s">
        <v>9754</v>
      </c>
      <c r="B4897" s="8" t="s">
        <v>58500</v>
      </c>
      <c r="C4897" s="8" t="s">
        <v>9755</v>
      </c>
      <c r="D4897" s="8"/>
      <c r="E4897" s="6"/>
      <c r="F4897" s="6"/>
    </row>
    <row r="4898" spans="1:6" x14ac:dyDescent="0.3">
      <c r="A4898" s="8" t="s">
        <v>9756</v>
      </c>
      <c r="B4898" s="8" t="s">
        <v>58501</v>
      </c>
      <c r="C4898" s="8" t="s">
        <v>9757</v>
      </c>
      <c r="D4898" s="8"/>
      <c r="E4898" s="6"/>
      <c r="F4898" s="6"/>
    </row>
    <row r="4899" spans="1:6" x14ac:dyDescent="0.3">
      <c r="A4899" s="8" t="s">
        <v>9758</v>
      </c>
      <c r="B4899" s="8" t="s">
        <v>58502</v>
      </c>
      <c r="C4899" s="8" t="s">
        <v>9759</v>
      </c>
      <c r="D4899" s="8"/>
      <c r="E4899" s="6"/>
      <c r="F4899" s="6"/>
    </row>
    <row r="4900" spans="1:6" x14ac:dyDescent="0.3">
      <c r="A4900" s="8" t="s">
        <v>9760</v>
      </c>
      <c r="B4900" s="8" t="s">
        <v>58503</v>
      </c>
      <c r="C4900" s="8" t="s">
        <v>9761</v>
      </c>
      <c r="D4900" s="8"/>
      <c r="E4900" s="6"/>
      <c r="F4900" s="6"/>
    </row>
    <row r="4901" spans="1:6" x14ac:dyDescent="0.3">
      <c r="A4901" s="8" t="s">
        <v>9762</v>
      </c>
      <c r="B4901" s="8" t="s">
        <v>58504</v>
      </c>
      <c r="C4901" s="8" t="s">
        <v>9763</v>
      </c>
      <c r="D4901" s="8"/>
      <c r="E4901" s="6"/>
      <c r="F4901" s="6"/>
    </row>
    <row r="4902" spans="1:6" x14ac:dyDescent="0.3">
      <c r="A4902" s="8" t="s">
        <v>9764</v>
      </c>
      <c r="B4902" s="8" t="s">
        <v>58505</v>
      </c>
      <c r="C4902" s="8" t="s">
        <v>9765</v>
      </c>
      <c r="D4902" s="8"/>
      <c r="E4902" s="6"/>
      <c r="F4902" s="6"/>
    </row>
    <row r="4903" spans="1:6" x14ac:dyDescent="0.3">
      <c r="A4903" s="8" t="s">
        <v>9766</v>
      </c>
      <c r="B4903" s="8" t="s">
        <v>58506</v>
      </c>
      <c r="C4903" s="8" t="s">
        <v>9767</v>
      </c>
      <c r="D4903" s="8"/>
      <c r="E4903" s="6"/>
      <c r="F4903" s="6"/>
    </row>
    <row r="4904" spans="1:6" x14ac:dyDescent="0.3">
      <c r="A4904" s="8" t="s">
        <v>9768</v>
      </c>
      <c r="B4904" s="8" t="s">
        <v>58507</v>
      </c>
      <c r="C4904" s="8" t="s">
        <v>9769</v>
      </c>
      <c r="D4904" s="8"/>
      <c r="E4904" s="6"/>
      <c r="F4904" s="6"/>
    </row>
    <row r="4905" spans="1:6" x14ac:dyDescent="0.3">
      <c r="A4905" s="8" t="s">
        <v>9770</v>
      </c>
      <c r="B4905" s="8" t="s">
        <v>58508</v>
      </c>
      <c r="C4905" s="8" t="s">
        <v>9771</v>
      </c>
      <c r="D4905" s="8"/>
      <c r="E4905" s="6"/>
      <c r="F4905" s="6"/>
    </row>
    <row r="4906" spans="1:6" x14ac:dyDescent="0.3">
      <c r="A4906" s="8" t="s">
        <v>9772</v>
      </c>
      <c r="B4906" s="8" t="s">
        <v>58509</v>
      </c>
      <c r="C4906" s="8" t="s">
        <v>9773</v>
      </c>
      <c r="D4906" s="8"/>
      <c r="E4906" s="6"/>
      <c r="F4906" s="6"/>
    </row>
    <row r="4907" spans="1:6" x14ac:dyDescent="0.3">
      <c r="A4907" s="8" t="s">
        <v>9774</v>
      </c>
      <c r="B4907" s="8" t="s">
        <v>58510</v>
      </c>
      <c r="C4907" s="8" t="s">
        <v>9775</v>
      </c>
      <c r="D4907" s="8"/>
      <c r="E4907" s="6"/>
      <c r="F4907" s="6"/>
    </row>
    <row r="4908" spans="1:6" x14ac:dyDescent="0.3">
      <c r="A4908" s="8" t="s">
        <v>9776</v>
      </c>
      <c r="B4908" s="8" t="s">
        <v>58511</v>
      </c>
      <c r="C4908" s="8" t="s">
        <v>9777</v>
      </c>
      <c r="D4908" s="8"/>
      <c r="E4908" s="6"/>
      <c r="F4908" s="6"/>
    </row>
    <row r="4909" spans="1:6" x14ac:dyDescent="0.3">
      <c r="A4909" s="8" t="s">
        <v>9778</v>
      </c>
      <c r="B4909" s="8" t="s">
        <v>58512</v>
      </c>
      <c r="C4909" s="8" t="s">
        <v>9779</v>
      </c>
      <c r="D4909" s="8"/>
      <c r="E4909" s="6"/>
      <c r="F4909" s="6"/>
    </row>
    <row r="4910" spans="1:6" x14ac:dyDescent="0.3">
      <c r="A4910" s="8" t="s">
        <v>9780</v>
      </c>
      <c r="B4910" s="8" t="s">
        <v>58513</v>
      </c>
      <c r="C4910" s="8" t="s">
        <v>9781</v>
      </c>
      <c r="D4910" s="8"/>
      <c r="E4910" s="6"/>
      <c r="F4910" s="6"/>
    </row>
    <row r="4911" spans="1:6" x14ac:dyDescent="0.3">
      <c r="A4911" s="8" t="s">
        <v>9782</v>
      </c>
      <c r="B4911" s="8" t="s">
        <v>58514</v>
      </c>
      <c r="C4911" s="8" t="s">
        <v>9783</v>
      </c>
      <c r="D4911" s="8"/>
      <c r="E4911" s="6"/>
      <c r="F4911" s="6"/>
    </row>
    <row r="4912" spans="1:6" x14ac:dyDescent="0.3">
      <c r="A4912" s="8" t="s">
        <v>9784</v>
      </c>
      <c r="B4912" s="8" t="s">
        <v>58515</v>
      </c>
      <c r="C4912" s="8" t="s">
        <v>9785</v>
      </c>
      <c r="D4912" s="8"/>
      <c r="E4912" s="6"/>
      <c r="F4912" s="6"/>
    </row>
    <row r="4913" spans="1:6" x14ac:dyDescent="0.3">
      <c r="A4913" s="8" t="s">
        <v>9786</v>
      </c>
      <c r="B4913" s="8" t="s">
        <v>58516</v>
      </c>
      <c r="C4913" s="8" t="s">
        <v>9787</v>
      </c>
      <c r="D4913" s="8"/>
      <c r="E4913" s="6"/>
      <c r="F4913" s="6"/>
    </row>
    <row r="4914" spans="1:6" x14ac:dyDescent="0.3">
      <c r="A4914" s="8" t="s">
        <v>9788</v>
      </c>
      <c r="B4914" s="8" t="s">
        <v>58517</v>
      </c>
      <c r="C4914" s="8" t="s">
        <v>9789</v>
      </c>
      <c r="D4914" s="8"/>
      <c r="E4914" s="6"/>
      <c r="F4914" s="6"/>
    </row>
    <row r="4915" spans="1:6" x14ac:dyDescent="0.3">
      <c r="A4915" s="8" t="s">
        <v>9790</v>
      </c>
      <c r="B4915" s="8" t="s">
        <v>58518</v>
      </c>
      <c r="C4915" s="8" t="s">
        <v>9791</v>
      </c>
      <c r="D4915" s="8"/>
      <c r="E4915" s="6"/>
      <c r="F4915" s="6"/>
    </row>
    <row r="4916" spans="1:6" x14ac:dyDescent="0.3">
      <c r="A4916" s="8" t="s">
        <v>9792</v>
      </c>
      <c r="B4916" s="8" t="s">
        <v>58519</v>
      </c>
      <c r="C4916" s="8" t="s">
        <v>9793</v>
      </c>
      <c r="D4916" s="8"/>
      <c r="E4916" s="6"/>
      <c r="F4916" s="6"/>
    </row>
    <row r="4917" spans="1:6" x14ac:dyDescent="0.3">
      <c r="A4917" s="8" t="s">
        <v>9794</v>
      </c>
      <c r="B4917" s="8" t="s">
        <v>58520</v>
      </c>
      <c r="C4917" s="8" t="s">
        <v>9795</v>
      </c>
      <c r="D4917" s="8"/>
      <c r="E4917" s="6"/>
      <c r="F4917" s="6"/>
    </row>
    <row r="4918" spans="1:6" x14ac:dyDescent="0.3">
      <c r="A4918" s="8" t="s">
        <v>9796</v>
      </c>
      <c r="B4918" s="8" t="s">
        <v>58521</v>
      </c>
      <c r="C4918" s="8" t="s">
        <v>9797</v>
      </c>
      <c r="D4918" s="8"/>
      <c r="E4918" s="6"/>
      <c r="F4918" s="6"/>
    </row>
    <row r="4919" spans="1:6" x14ac:dyDescent="0.3">
      <c r="A4919" s="8" t="s">
        <v>9798</v>
      </c>
      <c r="B4919" s="8" t="s">
        <v>58522</v>
      </c>
      <c r="C4919" s="8" t="s">
        <v>9799</v>
      </c>
      <c r="D4919" s="8"/>
      <c r="E4919" s="6"/>
      <c r="F4919" s="6"/>
    </row>
    <row r="4920" spans="1:6" x14ac:dyDescent="0.3">
      <c r="A4920" s="8" t="s">
        <v>9800</v>
      </c>
      <c r="B4920" s="8" t="s">
        <v>58523</v>
      </c>
      <c r="C4920" s="8" t="s">
        <v>9801</v>
      </c>
      <c r="D4920" s="8"/>
      <c r="E4920" s="6"/>
      <c r="F4920" s="6"/>
    </row>
    <row r="4921" spans="1:6" x14ac:dyDescent="0.3">
      <c r="A4921" s="8" t="s">
        <v>9802</v>
      </c>
      <c r="B4921" s="8" t="s">
        <v>58524</v>
      </c>
      <c r="C4921" s="8" t="s">
        <v>9803</v>
      </c>
      <c r="D4921" s="8"/>
      <c r="E4921" s="6"/>
      <c r="F4921" s="6"/>
    </row>
    <row r="4922" spans="1:6" x14ac:dyDescent="0.3">
      <c r="A4922" s="8" t="s">
        <v>9804</v>
      </c>
      <c r="B4922" s="8" t="s">
        <v>58525</v>
      </c>
      <c r="C4922" s="8" t="s">
        <v>9805</v>
      </c>
      <c r="D4922" s="8"/>
      <c r="E4922" s="6"/>
      <c r="F4922" s="6"/>
    </row>
    <row r="4923" spans="1:6" x14ac:dyDescent="0.3">
      <c r="A4923" s="8" t="s">
        <v>9806</v>
      </c>
      <c r="B4923" s="8" t="s">
        <v>58526</v>
      </c>
      <c r="C4923" s="8" t="s">
        <v>9807</v>
      </c>
      <c r="D4923" s="8"/>
      <c r="E4923" s="6"/>
      <c r="F4923" s="6"/>
    </row>
    <row r="4924" spans="1:6" x14ac:dyDescent="0.3">
      <c r="A4924" s="8" t="s">
        <v>9808</v>
      </c>
      <c r="B4924" s="8" t="s">
        <v>58527</v>
      </c>
      <c r="C4924" s="8" t="s">
        <v>9809</v>
      </c>
      <c r="D4924" s="8"/>
      <c r="E4924" s="6"/>
      <c r="F4924" s="6"/>
    </row>
    <row r="4925" spans="1:6" x14ac:dyDescent="0.3">
      <c r="A4925" s="8" t="s">
        <v>9810</v>
      </c>
      <c r="B4925" s="8" t="s">
        <v>58528</v>
      </c>
      <c r="C4925" s="8" t="s">
        <v>9811</v>
      </c>
      <c r="D4925" s="8"/>
      <c r="E4925" s="6"/>
      <c r="F4925" s="6"/>
    </row>
    <row r="4926" spans="1:6" x14ac:dyDescent="0.3">
      <c r="A4926" s="8" t="s">
        <v>9812</v>
      </c>
      <c r="B4926" s="8" t="s">
        <v>58529</v>
      </c>
      <c r="C4926" s="8" t="s">
        <v>9813</v>
      </c>
      <c r="D4926" s="8"/>
      <c r="E4926" s="6"/>
      <c r="F4926" s="6"/>
    </row>
    <row r="4927" spans="1:6" x14ac:dyDescent="0.3">
      <c r="A4927" s="8" t="s">
        <v>9814</v>
      </c>
      <c r="B4927" s="8" t="s">
        <v>58530</v>
      </c>
      <c r="C4927" s="8" t="s">
        <v>9815</v>
      </c>
      <c r="D4927" s="8"/>
      <c r="E4927" s="6"/>
      <c r="F4927" s="6"/>
    </row>
    <row r="4928" spans="1:6" x14ac:dyDescent="0.3">
      <c r="A4928" s="8" t="s">
        <v>9816</v>
      </c>
      <c r="B4928" s="8" t="s">
        <v>58531</v>
      </c>
      <c r="C4928" s="8" t="s">
        <v>9817</v>
      </c>
      <c r="D4928" s="8"/>
      <c r="E4928" s="6"/>
      <c r="F4928" s="6"/>
    </row>
    <row r="4929" spans="1:6" x14ac:dyDescent="0.3">
      <c r="A4929" s="8" t="s">
        <v>9818</v>
      </c>
      <c r="B4929" s="8" t="s">
        <v>58532</v>
      </c>
      <c r="C4929" s="8" t="s">
        <v>9819</v>
      </c>
      <c r="D4929" s="8"/>
      <c r="E4929" s="6"/>
      <c r="F4929" s="6"/>
    </row>
    <row r="4930" spans="1:6" x14ac:dyDescent="0.3">
      <c r="A4930" s="8" t="s">
        <v>9820</v>
      </c>
      <c r="B4930" s="8" t="s">
        <v>58533</v>
      </c>
      <c r="C4930" s="8" t="s">
        <v>9821</v>
      </c>
      <c r="D4930" s="8"/>
      <c r="E4930" s="6"/>
      <c r="F4930" s="6"/>
    </row>
    <row r="4931" spans="1:6" x14ac:dyDescent="0.3">
      <c r="A4931" s="8" t="s">
        <v>9822</v>
      </c>
      <c r="B4931" s="8" t="s">
        <v>58534</v>
      </c>
      <c r="C4931" s="8" t="s">
        <v>9823</v>
      </c>
      <c r="D4931" s="8"/>
      <c r="E4931" s="6"/>
      <c r="F4931" s="6"/>
    </row>
    <row r="4932" spans="1:6" x14ac:dyDescent="0.3">
      <c r="A4932" s="8" t="s">
        <v>9824</v>
      </c>
      <c r="B4932" s="8" t="s">
        <v>58535</v>
      </c>
      <c r="C4932" s="8" t="s">
        <v>9825</v>
      </c>
      <c r="D4932" s="8"/>
      <c r="E4932" s="6"/>
      <c r="F4932" s="6"/>
    </row>
    <row r="4933" spans="1:6" ht="28.8" x14ac:dyDescent="0.3">
      <c r="A4933" s="8" t="s">
        <v>9826</v>
      </c>
      <c r="B4933" s="8" t="s">
        <v>58536</v>
      </c>
      <c r="C4933" s="8" t="s">
        <v>9827</v>
      </c>
      <c r="D4933" s="8"/>
      <c r="E4933" s="6"/>
      <c r="F4933" s="6"/>
    </row>
    <row r="4934" spans="1:6" x14ac:dyDescent="0.3">
      <c r="A4934" s="8" t="s">
        <v>9828</v>
      </c>
      <c r="B4934" s="8" t="s">
        <v>58537</v>
      </c>
      <c r="C4934" s="8" t="s">
        <v>9829</v>
      </c>
      <c r="D4934" s="8"/>
      <c r="E4934" s="6"/>
      <c r="F4934" s="6"/>
    </row>
    <row r="4935" spans="1:6" x14ac:dyDescent="0.3">
      <c r="A4935" s="8" t="s">
        <v>9830</v>
      </c>
      <c r="B4935" s="8" t="s">
        <v>58538</v>
      </c>
      <c r="C4935" s="8" t="s">
        <v>9831</v>
      </c>
      <c r="D4935" s="8"/>
      <c r="E4935" s="6"/>
      <c r="F4935" s="6"/>
    </row>
    <row r="4936" spans="1:6" x14ac:dyDescent="0.3">
      <c r="A4936" s="8" t="s">
        <v>9832</v>
      </c>
      <c r="B4936" s="8" t="s">
        <v>58539</v>
      </c>
      <c r="C4936" s="8" t="s">
        <v>9833</v>
      </c>
      <c r="D4936" s="8"/>
      <c r="E4936" s="6"/>
      <c r="F4936" s="6"/>
    </row>
    <row r="4937" spans="1:6" x14ac:dyDescent="0.3">
      <c r="A4937" s="8" t="s">
        <v>9834</v>
      </c>
      <c r="B4937" s="8" t="s">
        <v>58540</v>
      </c>
      <c r="C4937" s="8" t="s">
        <v>9835</v>
      </c>
      <c r="D4937" s="8"/>
      <c r="E4937" s="6"/>
      <c r="F4937" s="6"/>
    </row>
    <row r="4938" spans="1:6" x14ac:dyDescent="0.3">
      <c r="A4938" s="8" t="s">
        <v>9836</v>
      </c>
      <c r="B4938" s="8" t="s">
        <v>58541</v>
      </c>
      <c r="C4938" s="8" t="s">
        <v>9837</v>
      </c>
      <c r="D4938" s="8"/>
      <c r="E4938" s="6"/>
      <c r="F4938" s="6"/>
    </row>
    <row r="4939" spans="1:6" x14ac:dyDescent="0.3">
      <c r="A4939" s="8" t="s">
        <v>9838</v>
      </c>
      <c r="B4939" s="8" t="s">
        <v>58542</v>
      </c>
      <c r="C4939" s="8" t="s">
        <v>9839</v>
      </c>
      <c r="D4939" s="8"/>
      <c r="E4939" s="6"/>
      <c r="F4939" s="6"/>
    </row>
    <row r="4940" spans="1:6" x14ac:dyDescent="0.3">
      <c r="A4940" s="8" t="s">
        <v>9840</v>
      </c>
      <c r="B4940" s="8" t="s">
        <v>58543</v>
      </c>
      <c r="C4940" s="8" t="s">
        <v>9841</v>
      </c>
      <c r="D4940" s="8"/>
      <c r="E4940" s="6"/>
      <c r="F4940" s="6"/>
    </row>
    <row r="4941" spans="1:6" x14ac:dyDescent="0.3">
      <c r="A4941" s="8" t="s">
        <v>9842</v>
      </c>
      <c r="B4941" s="8" t="s">
        <v>58544</v>
      </c>
      <c r="C4941" s="8" t="s">
        <v>9843</v>
      </c>
      <c r="D4941" s="8"/>
      <c r="E4941" s="6"/>
      <c r="F4941" s="6"/>
    </row>
    <row r="4942" spans="1:6" x14ac:dyDescent="0.3">
      <c r="A4942" s="8" t="s">
        <v>9844</v>
      </c>
      <c r="B4942" s="8" t="s">
        <v>58545</v>
      </c>
      <c r="C4942" s="8" t="s">
        <v>9845</v>
      </c>
      <c r="D4942" s="8"/>
      <c r="E4942" s="6"/>
      <c r="F4942" s="6"/>
    </row>
    <row r="4943" spans="1:6" x14ac:dyDescent="0.3">
      <c r="A4943" s="8" t="s">
        <v>9846</v>
      </c>
      <c r="B4943" s="8" t="s">
        <v>58546</v>
      </c>
      <c r="C4943" s="8" t="s">
        <v>9847</v>
      </c>
      <c r="D4943" s="8"/>
      <c r="E4943" s="6"/>
      <c r="F4943" s="6"/>
    </row>
    <row r="4944" spans="1:6" x14ac:dyDescent="0.3">
      <c r="A4944" s="8" t="s">
        <v>9848</v>
      </c>
      <c r="B4944" s="8" t="s">
        <v>58547</v>
      </c>
      <c r="C4944" s="8" t="s">
        <v>9849</v>
      </c>
      <c r="D4944" s="8"/>
      <c r="E4944" s="6"/>
      <c r="F4944" s="6"/>
    </row>
    <row r="4945" spans="1:6" x14ac:dyDescent="0.3">
      <c r="A4945" s="8" t="s">
        <v>9850</v>
      </c>
      <c r="B4945" s="8" t="s">
        <v>58548</v>
      </c>
      <c r="C4945" s="8" t="s">
        <v>9851</v>
      </c>
      <c r="D4945" s="8"/>
      <c r="E4945" s="6"/>
      <c r="F4945" s="6"/>
    </row>
    <row r="4946" spans="1:6" x14ac:dyDescent="0.3">
      <c r="A4946" s="8" t="s">
        <v>9852</v>
      </c>
      <c r="B4946" s="8" t="s">
        <v>58549</v>
      </c>
      <c r="C4946" s="8" t="s">
        <v>9853</v>
      </c>
      <c r="D4946" s="8"/>
      <c r="E4946" s="6"/>
      <c r="F4946" s="6"/>
    </row>
    <row r="4947" spans="1:6" x14ac:dyDescent="0.3">
      <c r="A4947" s="8" t="s">
        <v>9854</v>
      </c>
      <c r="B4947" s="8" t="s">
        <v>58550</v>
      </c>
      <c r="C4947" s="8" t="s">
        <v>9855</v>
      </c>
      <c r="D4947" s="8"/>
      <c r="E4947" s="6"/>
      <c r="F4947" s="6"/>
    </row>
    <row r="4948" spans="1:6" x14ac:dyDescent="0.3">
      <c r="A4948" s="8" t="s">
        <v>9856</v>
      </c>
      <c r="B4948" s="8" t="s">
        <v>58551</v>
      </c>
      <c r="C4948" s="8" t="s">
        <v>9857</v>
      </c>
      <c r="D4948" s="8"/>
      <c r="E4948" s="6"/>
      <c r="F4948" s="6"/>
    </row>
    <row r="4949" spans="1:6" ht="28.8" x14ac:dyDescent="0.3">
      <c r="A4949" s="8" t="s">
        <v>9858</v>
      </c>
      <c r="B4949" s="8" t="s">
        <v>58552</v>
      </c>
      <c r="C4949" s="8" t="s">
        <v>9859</v>
      </c>
      <c r="D4949" s="8"/>
      <c r="E4949" s="6"/>
      <c r="F4949" s="6"/>
    </row>
    <row r="4950" spans="1:6" x14ac:dyDescent="0.3">
      <c r="A4950" s="8" t="s">
        <v>9860</v>
      </c>
      <c r="B4950" s="8" t="s">
        <v>58553</v>
      </c>
      <c r="C4950" s="8" t="s">
        <v>9861</v>
      </c>
      <c r="D4950" s="8"/>
      <c r="E4950" s="6"/>
      <c r="F4950" s="6"/>
    </row>
    <row r="4951" spans="1:6" x14ac:dyDescent="0.3">
      <c r="A4951" s="8" t="s">
        <v>9862</v>
      </c>
      <c r="B4951" s="8" t="s">
        <v>58554</v>
      </c>
      <c r="C4951" s="8" t="s">
        <v>9863</v>
      </c>
      <c r="D4951" s="8"/>
      <c r="E4951" s="6"/>
      <c r="F4951" s="6"/>
    </row>
    <row r="4952" spans="1:6" x14ac:dyDescent="0.3">
      <c r="A4952" s="8" t="s">
        <v>9864</v>
      </c>
      <c r="B4952" s="8" t="s">
        <v>58555</v>
      </c>
      <c r="C4952" s="8" t="s">
        <v>9865</v>
      </c>
      <c r="D4952" s="8"/>
      <c r="E4952" s="6"/>
      <c r="F4952" s="6"/>
    </row>
    <row r="4953" spans="1:6" x14ac:dyDescent="0.3">
      <c r="A4953" s="8" t="s">
        <v>9866</v>
      </c>
      <c r="B4953" s="8" t="s">
        <v>58556</v>
      </c>
      <c r="C4953" s="8" t="s">
        <v>9867</v>
      </c>
      <c r="D4953" s="8"/>
      <c r="E4953" s="6"/>
      <c r="F4953" s="6"/>
    </row>
    <row r="4954" spans="1:6" x14ac:dyDescent="0.3">
      <c r="A4954" s="8" t="s">
        <v>9868</v>
      </c>
      <c r="B4954" s="8" t="s">
        <v>58557</v>
      </c>
      <c r="C4954" s="8" t="s">
        <v>9869</v>
      </c>
      <c r="D4954" s="8"/>
      <c r="E4954" s="6"/>
      <c r="F4954" s="6"/>
    </row>
    <row r="4955" spans="1:6" x14ac:dyDescent="0.3">
      <c r="A4955" s="8" t="s">
        <v>9870</v>
      </c>
      <c r="B4955" s="8" t="s">
        <v>58558</v>
      </c>
      <c r="C4955" s="8" t="s">
        <v>9871</v>
      </c>
      <c r="D4955" s="8"/>
      <c r="E4955" s="6"/>
      <c r="F4955" s="6"/>
    </row>
    <row r="4956" spans="1:6" x14ac:dyDescent="0.3">
      <c r="A4956" s="8" t="s">
        <v>9872</v>
      </c>
      <c r="B4956" s="8" t="s">
        <v>58559</v>
      </c>
      <c r="C4956" s="8" t="s">
        <v>9873</v>
      </c>
      <c r="D4956" s="8"/>
      <c r="E4956" s="6"/>
      <c r="F4956" s="6"/>
    </row>
    <row r="4957" spans="1:6" x14ac:dyDescent="0.3">
      <c r="A4957" s="8" t="s">
        <v>9874</v>
      </c>
      <c r="B4957" s="8" t="s">
        <v>58560</v>
      </c>
      <c r="C4957" s="8" t="s">
        <v>9875</v>
      </c>
      <c r="D4957" s="8"/>
      <c r="E4957" s="6"/>
      <c r="F4957" s="6"/>
    </row>
    <row r="4958" spans="1:6" x14ac:dyDescent="0.3">
      <c r="A4958" s="8" t="s">
        <v>9876</v>
      </c>
      <c r="B4958" s="8" t="s">
        <v>58561</v>
      </c>
      <c r="C4958" s="8" t="s">
        <v>9877</v>
      </c>
      <c r="D4958" s="8"/>
      <c r="E4958" s="6"/>
      <c r="F4958" s="6"/>
    </row>
    <row r="4959" spans="1:6" x14ac:dyDescent="0.3">
      <c r="A4959" s="8" t="s">
        <v>9878</v>
      </c>
      <c r="B4959" s="8" t="s">
        <v>58562</v>
      </c>
      <c r="C4959" s="8" t="s">
        <v>9879</v>
      </c>
      <c r="D4959" s="8"/>
      <c r="E4959" s="6"/>
      <c r="F4959" s="6"/>
    </row>
    <row r="4960" spans="1:6" x14ac:dyDescent="0.3">
      <c r="A4960" s="8" t="s">
        <v>9880</v>
      </c>
      <c r="B4960" s="8" t="s">
        <v>58563</v>
      </c>
      <c r="C4960" s="8" t="s">
        <v>9881</v>
      </c>
      <c r="D4960" s="8"/>
      <c r="E4960" s="6"/>
      <c r="F4960" s="6"/>
    </row>
    <row r="4961" spans="1:6" x14ac:dyDescent="0.3">
      <c r="A4961" s="8" t="s">
        <v>9882</v>
      </c>
      <c r="B4961" s="8" t="s">
        <v>58564</v>
      </c>
      <c r="C4961" s="8" t="s">
        <v>9883</v>
      </c>
      <c r="D4961" s="8"/>
      <c r="E4961" s="6"/>
      <c r="F4961" s="6"/>
    </row>
    <row r="4962" spans="1:6" x14ac:dyDescent="0.3">
      <c r="A4962" s="8" t="s">
        <v>9884</v>
      </c>
      <c r="B4962" s="8" t="s">
        <v>58565</v>
      </c>
      <c r="C4962" s="8" t="s">
        <v>9885</v>
      </c>
      <c r="D4962" s="8"/>
      <c r="E4962" s="6"/>
      <c r="F4962" s="6"/>
    </row>
    <row r="4963" spans="1:6" x14ac:dyDescent="0.3">
      <c r="A4963" s="8" t="s">
        <v>9886</v>
      </c>
      <c r="B4963" s="8" t="s">
        <v>58566</v>
      </c>
      <c r="C4963" s="8" t="s">
        <v>9887</v>
      </c>
      <c r="D4963" s="8"/>
      <c r="E4963" s="6"/>
      <c r="F4963" s="6"/>
    </row>
    <row r="4964" spans="1:6" x14ac:dyDescent="0.3">
      <c r="A4964" s="8" t="s">
        <v>9888</v>
      </c>
      <c r="B4964" s="8" t="s">
        <v>58567</v>
      </c>
      <c r="C4964" s="8" t="s">
        <v>9889</v>
      </c>
      <c r="D4964" s="8"/>
      <c r="E4964" s="6"/>
      <c r="F4964" s="6"/>
    </row>
    <row r="4965" spans="1:6" x14ac:dyDescent="0.3">
      <c r="A4965" s="8" t="s">
        <v>9890</v>
      </c>
      <c r="B4965" s="8" t="s">
        <v>58568</v>
      </c>
      <c r="C4965" s="8" t="s">
        <v>9891</v>
      </c>
      <c r="D4965" s="8"/>
      <c r="E4965" s="6"/>
      <c r="F4965" s="6"/>
    </row>
    <row r="4966" spans="1:6" x14ac:dyDescent="0.3">
      <c r="A4966" s="8" t="s">
        <v>9892</v>
      </c>
      <c r="B4966" s="8" t="s">
        <v>58569</v>
      </c>
      <c r="C4966" s="8" t="s">
        <v>9893</v>
      </c>
      <c r="D4966" s="8"/>
      <c r="E4966" s="6"/>
      <c r="F4966" s="6"/>
    </row>
    <row r="4967" spans="1:6" x14ac:dyDescent="0.3">
      <c r="A4967" s="8" t="s">
        <v>9894</v>
      </c>
      <c r="B4967" s="8" t="s">
        <v>58570</v>
      </c>
      <c r="C4967" s="8" t="s">
        <v>9895</v>
      </c>
      <c r="D4967" s="8"/>
      <c r="E4967" s="6"/>
      <c r="F4967" s="6"/>
    </row>
    <row r="4968" spans="1:6" x14ac:dyDescent="0.3">
      <c r="A4968" s="8" t="s">
        <v>9896</v>
      </c>
      <c r="B4968" s="8" t="s">
        <v>58571</v>
      </c>
      <c r="C4968" s="8" t="s">
        <v>9897</v>
      </c>
      <c r="D4968" s="8"/>
      <c r="E4968" s="6"/>
      <c r="F4968" s="6"/>
    </row>
    <row r="4969" spans="1:6" x14ac:dyDescent="0.3">
      <c r="A4969" s="8" t="s">
        <v>9898</v>
      </c>
      <c r="B4969" s="8" t="s">
        <v>58572</v>
      </c>
      <c r="C4969" s="8" t="s">
        <v>9899</v>
      </c>
      <c r="D4969" s="8"/>
      <c r="E4969" s="6"/>
      <c r="F4969" s="6"/>
    </row>
    <row r="4970" spans="1:6" x14ac:dyDescent="0.3">
      <c r="A4970" s="8" t="s">
        <v>9900</v>
      </c>
      <c r="B4970" s="8" t="s">
        <v>58573</v>
      </c>
      <c r="C4970" s="8" t="s">
        <v>9901</v>
      </c>
      <c r="D4970" s="8"/>
      <c r="E4970" s="6"/>
      <c r="F4970" s="6"/>
    </row>
    <row r="4971" spans="1:6" x14ac:dyDescent="0.3">
      <c r="A4971" s="8" t="s">
        <v>9902</v>
      </c>
      <c r="B4971" s="8" t="s">
        <v>58574</v>
      </c>
      <c r="C4971" s="8" t="s">
        <v>9903</v>
      </c>
      <c r="D4971" s="8"/>
      <c r="E4971" s="6"/>
      <c r="F4971" s="6"/>
    </row>
    <row r="4972" spans="1:6" x14ac:dyDescent="0.3">
      <c r="A4972" s="8" t="s">
        <v>9904</v>
      </c>
      <c r="B4972" s="8" t="s">
        <v>58575</v>
      </c>
      <c r="C4972" s="8" t="s">
        <v>9905</v>
      </c>
      <c r="D4972" s="8"/>
      <c r="E4972" s="6"/>
      <c r="F4972" s="6"/>
    </row>
    <row r="4973" spans="1:6" x14ac:dyDescent="0.3">
      <c r="A4973" s="8" t="s">
        <v>9906</v>
      </c>
      <c r="B4973" s="8" t="s">
        <v>58576</v>
      </c>
      <c r="C4973" s="8" t="s">
        <v>9907</v>
      </c>
      <c r="D4973" s="8"/>
      <c r="E4973" s="6"/>
      <c r="F4973" s="6"/>
    </row>
    <row r="4974" spans="1:6" x14ac:dyDescent="0.3">
      <c r="A4974" s="8" t="s">
        <v>9908</v>
      </c>
      <c r="B4974" s="8" t="s">
        <v>58577</v>
      </c>
      <c r="C4974" s="8" t="s">
        <v>9909</v>
      </c>
      <c r="D4974" s="8"/>
      <c r="E4974" s="6"/>
      <c r="F4974" s="6"/>
    </row>
    <row r="4975" spans="1:6" x14ac:dyDescent="0.3">
      <c r="A4975" s="8" t="s">
        <v>9910</v>
      </c>
      <c r="B4975" s="8" t="s">
        <v>58578</v>
      </c>
      <c r="C4975" s="8" t="s">
        <v>9911</v>
      </c>
      <c r="D4975" s="8"/>
      <c r="E4975" s="6"/>
      <c r="F4975" s="6"/>
    </row>
    <row r="4976" spans="1:6" x14ac:dyDescent="0.3">
      <c r="A4976" s="8" t="s">
        <v>9912</v>
      </c>
      <c r="B4976" s="8" t="s">
        <v>58579</v>
      </c>
      <c r="C4976" s="8" t="s">
        <v>9913</v>
      </c>
      <c r="D4976" s="8"/>
      <c r="E4976" s="6"/>
      <c r="F4976" s="6"/>
    </row>
    <row r="4977" spans="1:6" x14ac:dyDescent="0.3">
      <c r="A4977" s="8" t="s">
        <v>9914</v>
      </c>
      <c r="B4977" s="8" t="s">
        <v>58580</v>
      </c>
      <c r="C4977" s="8" t="s">
        <v>9915</v>
      </c>
      <c r="D4977" s="8"/>
      <c r="E4977" s="6"/>
      <c r="F4977" s="6"/>
    </row>
    <row r="4978" spans="1:6" x14ac:dyDescent="0.3">
      <c r="A4978" s="8" t="s">
        <v>9916</v>
      </c>
      <c r="B4978" s="8" t="s">
        <v>58581</v>
      </c>
      <c r="C4978" s="8" t="s">
        <v>9917</v>
      </c>
      <c r="D4978" s="8"/>
      <c r="E4978" s="6"/>
      <c r="F4978" s="6"/>
    </row>
    <row r="4979" spans="1:6" x14ac:dyDescent="0.3">
      <c r="A4979" s="8" t="s">
        <v>9918</v>
      </c>
      <c r="B4979" s="8" t="s">
        <v>58582</v>
      </c>
      <c r="C4979" s="8" t="s">
        <v>9919</v>
      </c>
      <c r="D4979" s="8"/>
      <c r="E4979" s="6"/>
      <c r="F4979" s="6"/>
    </row>
    <row r="4980" spans="1:6" x14ac:dyDescent="0.3">
      <c r="A4980" s="8" t="s">
        <v>9920</v>
      </c>
      <c r="B4980" s="8" t="s">
        <v>58583</v>
      </c>
      <c r="C4980" s="8" t="s">
        <v>9921</v>
      </c>
      <c r="D4980" s="8"/>
      <c r="E4980" s="6"/>
      <c r="F4980" s="6"/>
    </row>
    <row r="4981" spans="1:6" x14ac:dyDescent="0.3">
      <c r="A4981" s="8" t="s">
        <v>9922</v>
      </c>
      <c r="B4981" s="8" t="s">
        <v>58584</v>
      </c>
      <c r="C4981" s="8" t="s">
        <v>9923</v>
      </c>
      <c r="D4981" s="8"/>
      <c r="E4981" s="6"/>
      <c r="F4981" s="6"/>
    </row>
    <row r="4982" spans="1:6" x14ac:dyDescent="0.3">
      <c r="A4982" s="8" t="s">
        <v>9924</v>
      </c>
      <c r="B4982" s="8" t="s">
        <v>58585</v>
      </c>
      <c r="C4982" s="8" t="s">
        <v>9925</v>
      </c>
      <c r="D4982" s="8"/>
      <c r="E4982" s="6"/>
      <c r="F4982" s="6"/>
    </row>
    <row r="4983" spans="1:6" x14ac:dyDescent="0.3">
      <c r="A4983" s="8" t="s">
        <v>9926</v>
      </c>
      <c r="B4983" s="8" t="s">
        <v>58586</v>
      </c>
      <c r="C4983" s="8" t="s">
        <v>9927</v>
      </c>
      <c r="D4983" s="8"/>
      <c r="E4983" s="6"/>
      <c r="F4983" s="6"/>
    </row>
    <row r="4984" spans="1:6" x14ac:dyDescent="0.3">
      <c r="A4984" s="8" t="s">
        <v>9928</v>
      </c>
      <c r="B4984" s="8" t="s">
        <v>58587</v>
      </c>
      <c r="C4984" s="8" t="s">
        <v>9929</v>
      </c>
      <c r="D4984" s="8"/>
      <c r="E4984" s="6"/>
      <c r="F4984" s="6"/>
    </row>
    <row r="4985" spans="1:6" x14ac:dyDescent="0.3">
      <c r="A4985" s="8" t="s">
        <v>9930</v>
      </c>
      <c r="B4985" s="8" t="s">
        <v>58588</v>
      </c>
      <c r="C4985" s="8" t="s">
        <v>9931</v>
      </c>
      <c r="D4985" s="8"/>
      <c r="E4985" s="6"/>
      <c r="F4985" s="6"/>
    </row>
    <row r="4986" spans="1:6" x14ac:dyDescent="0.3">
      <c r="A4986" s="8" t="s">
        <v>9932</v>
      </c>
      <c r="B4986" s="8" t="s">
        <v>58589</v>
      </c>
      <c r="C4986" s="8" t="s">
        <v>9933</v>
      </c>
      <c r="D4986" s="8"/>
      <c r="E4986" s="6"/>
      <c r="F4986" s="6"/>
    </row>
    <row r="4987" spans="1:6" x14ac:dyDescent="0.3">
      <c r="A4987" s="8" t="s">
        <v>9934</v>
      </c>
      <c r="B4987" s="8" t="s">
        <v>58590</v>
      </c>
      <c r="C4987" s="8" t="s">
        <v>9935</v>
      </c>
      <c r="D4987" s="8"/>
      <c r="E4987" s="6"/>
      <c r="F4987" s="6"/>
    </row>
    <row r="4988" spans="1:6" x14ac:dyDescent="0.3">
      <c r="A4988" s="8" t="s">
        <v>9936</v>
      </c>
      <c r="B4988" s="8" t="s">
        <v>58591</v>
      </c>
      <c r="C4988" s="8" t="s">
        <v>9937</v>
      </c>
      <c r="D4988" s="8"/>
      <c r="E4988" s="6"/>
      <c r="F4988" s="6"/>
    </row>
    <row r="4989" spans="1:6" x14ac:dyDescent="0.3">
      <c r="A4989" s="8" t="s">
        <v>9938</v>
      </c>
      <c r="B4989" s="8" t="s">
        <v>58592</v>
      </c>
      <c r="C4989" s="8" t="s">
        <v>9939</v>
      </c>
      <c r="D4989" s="8"/>
      <c r="E4989" s="6"/>
      <c r="F4989" s="6"/>
    </row>
    <row r="4990" spans="1:6" x14ac:dyDescent="0.3">
      <c r="A4990" s="8" t="s">
        <v>9940</v>
      </c>
      <c r="B4990" s="8" t="s">
        <v>58593</v>
      </c>
      <c r="C4990" s="8" t="s">
        <v>9941</v>
      </c>
      <c r="D4990" s="8"/>
      <c r="E4990" s="6"/>
      <c r="F4990" s="6"/>
    </row>
    <row r="4991" spans="1:6" x14ac:dyDescent="0.3">
      <c r="A4991" s="8" t="s">
        <v>9942</v>
      </c>
      <c r="B4991" s="8" t="s">
        <v>58594</v>
      </c>
      <c r="C4991" s="8" t="s">
        <v>9943</v>
      </c>
      <c r="D4991" s="8"/>
      <c r="E4991" s="6"/>
      <c r="F4991" s="6"/>
    </row>
    <row r="4992" spans="1:6" x14ac:dyDescent="0.3">
      <c r="A4992" s="8" t="s">
        <v>9944</v>
      </c>
      <c r="B4992" s="8" t="s">
        <v>58595</v>
      </c>
      <c r="C4992" s="8" t="s">
        <v>9945</v>
      </c>
      <c r="D4992" s="8"/>
      <c r="E4992" s="6"/>
      <c r="F4992" s="6"/>
    </row>
    <row r="4993" spans="1:6" x14ac:dyDescent="0.3">
      <c r="A4993" s="8" t="s">
        <v>9946</v>
      </c>
      <c r="B4993" s="8" t="s">
        <v>58596</v>
      </c>
      <c r="C4993" s="8" t="s">
        <v>9947</v>
      </c>
      <c r="D4993" s="8"/>
      <c r="E4993" s="6"/>
      <c r="F4993" s="6"/>
    </row>
    <row r="4994" spans="1:6" x14ac:dyDescent="0.3">
      <c r="A4994" s="8" t="s">
        <v>9948</v>
      </c>
      <c r="B4994" s="8" t="s">
        <v>58597</v>
      </c>
      <c r="C4994" s="8" t="s">
        <v>9949</v>
      </c>
      <c r="D4994" s="8"/>
      <c r="E4994" s="6"/>
      <c r="F4994" s="6"/>
    </row>
    <row r="4995" spans="1:6" x14ac:dyDescent="0.3">
      <c r="A4995" s="8" t="s">
        <v>9950</v>
      </c>
      <c r="B4995" s="8" t="s">
        <v>58598</v>
      </c>
      <c r="C4995" s="8" t="s">
        <v>9951</v>
      </c>
      <c r="D4995" s="8"/>
      <c r="E4995" s="6"/>
      <c r="F4995" s="6"/>
    </row>
    <row r="4996" spans="1:6" x14ac:dyDescent="0.3">
      <c r="A4996" s="8" t="s">
        <v>9952</v>
      </c>
      <c r="B4996" s="8" t="s">
        <v>58599</v>
      </c>
      <c r="C4996" s="8" t="s">
        <v>9953</v>
      </c>
      <c r="D4996" s="8"/>
      <c r="E4996" s="6"/>
      <c r="F4996" s="6"/>
    </row>
    <row r="4997" spans="1:6" x14ac:dyDescent="0.3">
      <c r="A4997" s="8" t="s">
        <v>9954</v>
      </c>
      <c r="B4997" s="8" t="s">
        <v>58600</v>
      </c>
      <c r="C4997" s="8" t="s">
        <v>9955</v>
      </c>
      <c r="D4997" s="8"/>
      <c r="E4997" s="6"/>
      <c r="F4997" s="6"/>
    </row>
    <row r="4998" spans="1:6" x14ac:dyDescent="0.3">
      <c r="A4998" s="8" t="s">
        <v>9956</v>
      </c>
      <c r="B4998" s="8" t="s">
        <v>58601</v>
      </c>
      <c r="C4998" s="8" t="s">
        <v>9957</v>
      </c>
      <c r="D4998" s="8"/>
      <c r="E4998" s="6"/>
      <c r="F4998" s="6"/>
    </row>
    <row r="4999" spans="1:6" x14ac:dyDescent="0.3">
      <c r="A4999" s="8" t="s">
        <v>9958</v>
      </c>
      <c r="B4999" s="8" t="s">
        <v>58602</v>
      </c>
      <c r="C4999" s="8" t="s">
        <v>9959</v>
      </c>
      <c r="D4999" s="8"/>
      <c r="E4999" s="6"/>
      <c r="F4999" s="6"/>
    </row>
    <row r="5000" spans="1:6" x14ac:dyDescent="0.3">
      <c r="A5000" s="8" t="s">
        <v>9960</v>
      </c>
      <c r="B5000" s="8" t="s">
        <v>58603</v>
      </c>
      <c r="C5000" s="8" t="s">
        <v>9961</v>
      </c>
      <c r="D5000" s="8"/>
      <c r="E5000" s="6"/>
      <c r="F5000" s="6"/>
    </row>
    <row r="5001" spans="1:6" x14ac:dyDescent="0.3">
      <c r="A5001" s="8" t="s">
        <v>9962</v>
      </c>
      <c r="B5001" s="8" t="s">
        <v>58604</v>
      </c>
      <c r="C5001" s="8" t="s">
        <v>9963</v>
      </c>
      <c r="D5001" s="8"/>
      <c r="E5001" s="6"/>
      <c r="F5001" s="6"/>
    </row>
    <row r="5002" spans="1:6" x14ac:dyDescent="0.3">
      <c r="A5002" s="8" t="s">
        <v>9964</v>
      </c>
      <c r="B5002" s="8" t="s">
        <v>58605</v>
      </c>
      <c r="C5002" s="8" t="s">
        <v>9965</v>
      </c>
      <c r="D5002" s="8"/>
      <c r="E5002" s="6"/>
      <c r="F5002" s="6"/>
    </row>
    <row r="5003" spans="1:6" x14ac:dyDescent="0.3">
      <c r="A5003" s="8" t="s">
        <v>9966</v>
      </c>
      <c r="B5003" s="8" t="s">
        <v>58606</v>
      </c>
      <c r="C5003" s="8" t="s">
        <v>9967</v>
      </c>
      <c r="D5003" s="8"/>
      <c r="E5003" s="6"/>
      <c r="F5003" s="6"/>
    </row>
    <row r="5004" spans="1:6" x14ac:dyDescent="0.3">
      <c r="A5004" s="8" t="s">
        <v>9968</v>
      </c>
      <c r="B5004" s="8" t="s">
        <v>58607</v>
      </c>
      <c r="C5004" s="8" t="s">
        <v>9969</v>
      </c>
      <c r="D5004" s="8"/>
      <c r="E5004" s="6"/>
      <c r="F5004" s="6"/>
    </row>
    <row r="5005" spans="1:6" x14ac:dyDescent="0.3">
      <c r="A5005" s="8" t="s">
        <v>9970</v>
      </c>
      <c r="B5005" s="8" t="s">
        <v>58608</v>
      </c>
      <c r="C5005" s="8" t="s">
        <v>9971</v>
      </c>
      <c r="D5005" s="8"/>
      <c r="E5005" s="6"/>
      <c r="F5005" s="6"/>
    </row>
    <row r="5006" spans="1:6" x14ac:dyDescent="0.3">
      <c r="A5006" s="8" t="s">
        <v>9972</v>
      </c>
      <c r="B5006" s="8" t="s">
        <v>58609</v>
      </c>
      <c r="C5006" s="8" t="s">
        <v>9973</v>
      </c>
      <c r="D5006" s="8"/>
      <c r="E5006" s="6"/>
      <c r="F5006" s="6"/>
    </row>
    <row r="5007" spans="1:6" x14ac:dyDescent="0.3">
      <c r="A5007" s="8" t="s">
        <v>9974</v>
      </c>
      <c r="B5007" s="8" t="s">
        <v>58610</v>
      </c>
      <c r="C5007" s="8" t="s">
        <v>9975</v>
      </c>
      <c r="D5007" s="8"/>
      <c r="E5007" s="6"/>
      <c r="F5007" s="6"/>
    </row>
    <row r="5008" spans="1:6" x14ac:dyDescent="0.3">
      <c r="A5008" s="8" t="s">
        <v>9976</v>
      </c>
      <c r="B5008" s="8" t="s">
        <v>58611</v>
      </c>
      <c r="C5008" s="8" t="s">
        <v>9977</v>
      </c>
      <c r="D5008" s="8"/>
      <c r="E5008" s="6"/>
      <c r="F5008" s="6"/>
    </row>
    <row r="5009" spans="1:6" x14ac:dyDescent="0.3">
      <c r="A5009" s="8" t="s">
        <v>9978</v>
      </c>
      <c r="B5009" s="8" t="s">
        <v>58612</v>
      </c>
      <c r="C5009" s="8" t="s">
        <v>9979</v>
      </c>
      <c r="D5009" s="8"/>
      <c r="E5009" s="6"/>
      <c r="F5009" s="6"/>
    </row>
    <row r="5010" spans="1:6" x14ac:dyDescent="0.3">
      <c r="A5010" s="8" t="s">
        <v>9980</v>
      </c>
      <c r="B5010" s="8" t="s">
        <v>58613</v>
      </c>
      <c r="C5010" s="8" t="s">
        <v>9981</v>
      </c>
      <c r="D5010" s="8"/>
      <c r="E5010" s="6"/>
      <c r="F5010" s="6"/>
    </row>
    <row r="5011" spans="1:6" x14ac:dyDescent="0.3">
      <c r="A5011" s="8" t="s">
        <v>9982</v>
      </c>
      <c r="B5011" s="8" t="s">
        <v>58614</v>
      </c>
      <c r="C5011" s="8" t="s">
        <v>9983</v>
      </c>
      <c r="D5011" s="8"/>
      <c r="E5011" s="6"/>
      <c r="F5011" s="6"/>
    </row>
    <row r="5012" spans="1:6" x14ac:dyDescent="0.3">
      <c r="A5012" s="8" t="s">
        <v>9984</v>
      </c>
      <c r="B5012" s="8" t="s">
        <v>58615</v>
      </c>
      <c r="C5012" s="8" t="s">
        <v>9985</v>
      </c>
      <c r="D5012" s="8"/>
      <c r="E5012" s="6"/>
      <c r="F5012" s="6"/>
    </row>
    <row r="5013" spans="1:6" x14ac:dyDescent="0.3">
      <c r="A5013" s="8" t="s">
        <v>9986</v>
      </c>
      <c r="B5013" s="8" t="s">
        <v>58616</v>
      </c>
      <c r="C5013" s="8" t="s">
        <v>9987</v>
      </c>
      <c r="D5013" s="8"/>
      <c r="E5013" s="6"/>
      <c r="F5013" s="6"/>
    </row>
    <row r="5014" spans="1:6" x14ac:dyDescent="0.3">
      <c r="A5014" s="8" t="s">
        <v>9988</v>
      </c>
      <c r="B5014" s="8" t="s">
        <v>58617</v>
      </c>
      <c r="C5014" s="8" t="s">
        <v>9989</v>
      </c>
      <c r="D5014" s="8"/>
      <c r="E5014" s="6"/>
      <c r="F5014" s="6"/>
    </row>
    <row r="5015" spans="1:6" x14ac:dyDescent="0.3">
      <c r="A5015" s="8" t="s">
        <v>9990</v>
      </c>
      <c r="B5015" s="8" t="s">
        <v>58618</v>
      </c>
      <c r="C5015" s="8" t="s">
        <v>9991</v>
      </c>
      <c r="D5015" s="8"/>
      <c r="E5015" s="6"/>
      <c r="F5015" s="6"/>
    </row>
    <row r="5016" spans="1:6" x14ac:dyDescent="0.3">
      <c r="A5016" s="8" t="s">
        <v>9992</v>
      </c>
      <c r="B5016" s="8" t="s">
        <v>58619</v>
      </c>
      <c r="C5016" s="8" t="s">
        <v>9993</v>
      </c>
      <c r="D5016" s="8"/>
      <c r="E5016" s="6"/>
      <c r="F5016" s="6"/>
    </row>
    <row r="5017" spans="1:6" x14ac:dyDescent="0.3">
      <c r="A5017" s="8" t="s">
        <v>9994</v>
      </c>
      <c r="B5017" s="8" t="s">
        <v>58620</v>
      </c>
      <c r="C5017" s="8" t="s">
        <v>9995</v>
      </c>
      <c r="D5017" s="8"/>
      <c r="E5017" s="6"/>
      <c r="F5017" s="6"/>
    </row>
    <row r="5018" spans="1:6" x14ac:dyDescent="0.3">
      <c r="A5018" s="8" t="s">
        <v>9996</v>
      </c>
      <c r="B5018" s="8" t="s">
        <v>58621</v>
      </c>
      <c r="C5018" s="8" t="s">
        <v>9997</v>
      </c>
      <c r="D5018" s="8"/>
      <c r="E5018" s="6"/>
      <c r="F5018" s="6"/>
    </row>
    <row r="5019" spans="1:6" x14ac:dyDescent="0.3">
      <c r="A5019" s="8" t="s">
        <v>9998</v>
      </c>
      <c r="B5019" s="8" t="s">
        <v>58622</v>
      </c>
      <c r="C5019" s="8" t="s">
        <v>9999</v>
      </c>
      <c r="D5019" s="8"/>
      <c r="E5019" s="6"/>
      <c r="F5019" s="6"/>
    </row>
    <row r="5020" spans="1:6" x14ac:dyDescent="0.3">
      <c r="A5020" s="8" t="s">
        <v>10000</v>
      </c>
      <c r="B5020" s="8" t="s">
        <v>58623</v>
      </c>
      <c r="C5020" s="8" t="s">
        <v>10001</v>
      </c>
      <c r="D5020" s="8"/>
      <c r="E5020" s="6"/>
      <c r="F5020" s="6"/>
    </row>
    <row r="5021" spans="1:6" x14ac:dyDescent="0.3">
      <c r="A5021" s="8" t="s">
        <v>10002</v>
      </c>
      <c r="B5021" s="8" t="s">
        <v>58624</v>
      </c>
      <c r="C5021" s="8" t="s">
        <v>10003</v>
      </c>
      <c r="D5021" s="8"/>
      <c r="E5021" s="6"/>
      <c r="F5021" s="6"/>
    </row>
    <row r="5022" spans="1:6" x14ac:dyDescent="0.3">
      <c r="A5022" s="8" t="s">
        <v>10004</v>
      </c>
      <c r="B5022" s="8" t="s">
        <v>58625</v>
      </c>
      <c r="C5022" s="8" t="s">
        <v>10005</v>
      </c>
      <c r="D5022" s="8"/>
      <c r="E5022" s="6"/>
      <c r="F5022" s="6"/>
    </row>
    <row r="5023" spans="1:6" x14ac:dyDescent="0.3">
      <c r="A5023" s="8" t="s">
        <v>10006</v>
      </c>
      <c r="B5023" s="8" t="s">
        <v>58626</v>
      </c>
      <c r="C5023" s="8" t="s">
        <v>10007</v>
      </c>
      <c r="D5023" s="8"/>
      <c r="E5023" s="6"/>
      <c r="F5023" s="6"/>
    </row>
    <row r="5024" spans="1:6" x14ac:dyDescent="0.3">
      <c r="A5024" s="8" t="s">
        <v>10008</v>
      </c>
      <c r="B5024" s="8" t="s">
        <v>58627</v>
      </c>
      <c r="C5024" s="8" t="s">
        <v>10009</v>
      </c>
      <c r="D5024" s="8"/>
      <c r="E5024" s="6"/>
      <c r="F5024" s="6"/>
    </row>
    <row r="5025" spans="1:6" x14ac:dyDescent="0.3">
      <c r="A5025" s="8" t="s">
        <v>10010</v>
      </c>
      <c r="B5025" s="8" t="s">
        <v>58628</v>
      </c>
      <c r="C5025" s="8" t="s">
        <v>10011</v>
      </c>
      <c r="D5025" s="8"/>
      <c r="E5025" s="6"/>
      <c r="F5025" s="6"/>
    </row>
    <row r="5026" spans="1:6" x14ac:dyDescent="0.3">
      <c r="A5026" s="8" t="s">
        <v>10012</v>
      </c>
      <c r="B5026" s="8" t="s">
        <v>58629</v>
      </c>
      <c r="C5026" s="8" t="s">
        <v>10013</v>
      </c>
      <c r="D5026" s="8"/>
      <c r="E5026" s="6"/>
      <c r="F5026" s="6"/>
    </row>
    <row r="5027" spans="1:6" x14ac:dyDescent="0.3">
      <c r="A5027" s="8" t="s">
        <v>10014</v>
      </c>
      <c r="B5027" s="8" t="s">
        <v>58630</v>
      </c>
      <c r="C5027" s="8" t="s">
        <v>10015</v>
      </c>
      <c r="D5027" s="8"/>
      <c r="E5027" s="6"/>
      <c r="F5027" s="6"/>
    </row>
    <row r="5028" spans="1:6" x14ac:dyDescent="0.3">
      <c r="A5028" s="8" t="s">
        <v>10016</v>
      </c>
      <c r="B5028" s="8" t="s">
        <v>58631</v>
      </c>
      <c r="C5028" s="8" t="s">
        <v>10017</v>
      </c>
      <c r="D5028" s="8"/>
      <c r="E5028" s="6"/>
      <c r="F5028" s="6"/>
    </row>
    <row r="5029" spans="1:6" x14ac:dyDescent="0.3">
      <c r="A5029" s="8" t="s">
        <v>10018</v>
      </c>
      <c r="B5029" s="8" t="s">
        <v>58632</v>
      </c>
      <c r="C5029" s="8" t="s">
        <v>10019</v>
      </c>
      <c r="D5029" s="8"/>
      <c r="E5029" s="6"/>
      <c r="F5029" s="6"/>
    </row>
    <row r="5030" spans="1:6" x14ac:dyDescent="0.3">
      <c r="A5030" s="8" t="s">
        <v>10020</v>
      </c>
      <c r="B5030" s="8" t="s">
        <v>58633</v>
      </c>
      <c r="C5030" s="8" t="s">
        <v>10021</v>
      </c>
      <c r="D5030" s="8"/>
      <c r="E5030" s="6"/>
      <c r="F5030" s="6"/>
    </row>
    <row r="5031" spans="1:6" x14ac:dyDescent="0.3">
      <c r="A5031" s="8" t="s">
        <v>10022</v>
      </c>
      <c r="B5031" s="8" t="s">
        <v>58634</v>
      </c>
      <c r="C5031" s="8" t="s">
        <v>10023</v>
      </c>
      <c r="D5031" s="8"/>
      <c r="E5031" s="6"/>
      <c r="F5031" s="6"/>
    </row>
    <row r="5032" spans="1:6" x14ac:dyDescent="0.3">
      <c r="A5032" s="8" t="s">
        <v>10024</v>
      </c>
      <c r="B5032" s="8" t="s">
        <v>58635</v>
      </c>
      <c r="C5032" s="8" t="s">
        <v>10025</v>
      </c>
      <c r="D5032" s="8"/>
      <c r="E5032" s="6"/>
      <c r="F5032" s="6"/>
    </row>
    <row r="5033" spans="1:6" x14ac:dyDescent="0.3">
      <c r="A5033" s="8" t="s">
        <v>10026</v>
      </c>
      <c r="B5033" s="8" t="s">
        <v>58636</v>
      </c>
      <c r="C5033" s="8" t="s">
        <v>10027</v>
      </c>
      <c r="D5033" s="8"/>
      <c r="E5033" s="6"/>
      <c r="F5033" s="6"/>
    </row>
    <row r="5034" spans="1:6" x14ac:dyDescent="0.3">
      <c r="A5034" s="8" t="s">
        <v>10028</v>
      </c>
      <c r="B5034" s="8" t="s">
        <v>58637</v>
      </c>
      <c r="C5034" s="8" t="s">
        <v>10029</v>
      </c>
      <c r="D5034" s="8"/>
      <c r="E5034" s="6"/>
      <c r="F5034" s="6"/>
    </row>
    <row r="5035" spans="1:6" x14ac:dyDescent="0.3">
      <c r="A5035" s="8" t="s">
        <v>10030</v>
      </c>
      <c r="B5035" s="8" t="s">
        <v>58638</v>
      </c>
      <c r="C5035" s="8" t="s">
        <v>10031</v>
      </c>
      <c r="D5035" s="8"/>
      <c r="E5035" s="6"/>
      <c r="F5035" s="6"/>
    </row>
    <row r="5036" spans="1:6" x14ac:dyDescent="0.3">
      <c r="A5036" s="8" t="s">
        <v>10032</v>
      </c>
      <c r="B5036" s="8" t="s">
        <v>58639</v>
      </c>
      <c r="C5036" s="8" t="s">
        <v>10033</v>
      </c>
      <c r="D5036" s="8"/>
      <c r="E5036" s="6"/>
      <c r="F5036" s="6"/>
    </row>
    <row r="5037" spans="1:6" x14ac:dyDescent="0.3">
      <c r="A5037" s="8" t="s">
        <v>10034</v>
      </c>
      <c r="B5037" s="8" t="s">
        <v>58640</v>
      </c>
      <c r="C5037" s="8" t="s">
        <v>10035</v>
      </c>
      <c r="D5037" s="8"/>
      <c r="E5037" s="6"/>
      <c r="F5037" s="6"/>
    </row>
    <row r="5038" spans="1:6" x14ac:dyDescent="0.3">
      <c r="A5038" s="8" t="s">
        <v>10036</v>
      </c>
      <c r="B5038" s="8" t="s">
        <v>58641</v>
      </c>
      <c r="C5038" s="8" t="s">
        <v>10037</v>
      </c>
      <c r="D5038" s="8"/>
      <c r="E5038" s="6"/>
      <c r="F5038" s="6"/>
    </row>
    <row r="5039" spans="1:6" x14ac:dyDescent="0.3">
      <c r="A5039" s="8" t="s">
        <v>10038</v>
      </c>
      <c r="B5039" s="8" t="s">
        <v>58642</v>
      </c>
      <c r="C5039" s="8" t="s">
        <v>10039</v>
      </c>
      <c r="D5039" s="8"/>
      <c r="E5039" s="6"/>
      <c r="F5039" s="6"/>
    </row>
    <row r="5040" spans="1:6" x14ac:dyDescent="0.3">
      <c r="A5040" s="8" t="s">
        <v>10040</v>
      </c>
      <c r="B5040" s="8" t="s">
        <v>58643</v>
      </c>
      <c r="C5040" s="8" t="s">
        <v>10041</v>
      </c>
      <c r="D5040" s="8"/>
      <c r="E5040" s="6"/>
      <c r="F5040" s="6"/>
    </row>
    <row r="5041" spans="1:6" x14ac:dyDescent="0.3">
      <c r="A5041" s="8" t="s">
        <v>10042</v>
      </c>
      <c r="B5041" s="8" t="s">
        <v>58644</v>
      </c>
      <c r="C5041" s="8" t="s">
        <v>10043</v>
      </c>
      <c r="D5041" s="8"/>
      <c r="E5041" s="6"/>
      <c r="F5041" s="6"/>
    </row>
    <row r="5042" spans="1:6" x14ac:dyDescent="0.3">
      <c r="A5042" s="8" t="s">
        <v>10044</v>
      </c>
      <c r="B5042" s="8" t="s">
        <v>58645</v>
      </c>
      <c r="C5042" s="8" t="s">
        <v>10045</v>
      </c>
      <c r="D5042" s="8"/>
      <c r="E5042" s="6"/>
      <c r="F5042" s="6"/>
    </row>
    <row r="5043" spans="1:6" x14ac:dyDescent="0.3">
      <c r="A5043" s="8" t="s">
        <v>10046</v>
      </c>
      <c r="B5043" s="8" t="s">
        <v>58646</v>
      </c>
      <c r="C5043" s="8" t="s">
        <v>10047</v>
      </c>
      <c r="D5043" s="8"/>
      <c r="E5043" s="6"/>
      <c r="F5043" s="6"/>
    </row>
    <row r="5044" spans="1:6" x14ac:dyDescent="0.3">
      <c r="A5044" s="8" t="s">
        <v>10048</v>
      </c>
      <c r="B5044" s="8" t="s">
        <v>58647</v>
      </c>
      <c r="C5044" s="8" t="s">
        <v>10049</v>
      </c>
      <c r="D5044" s="8"/>
      <c r="E5044" s="6"/>
      <c r="F5044" s="6"/>
    </row>
    <row r="5045" spans="1:6" ht="28.8" x14ac:dyDescent="0.3">
      <c r="A5045" s="8" t="s">
        <v>10050</v>
      </c>
      <c r="B5045" s="8" t="s">
        <v>58648</v>
      </c>
      <c r="C5045" s="8" t="s">
        <v>10051</v>
      </c>
      <c r="D5045" s="8"/>
      <c r="E5045" s="6"/>
      <c r="F5045" s="6"/>
    </row>
    <row r="5046" spans="1:6" x14ac:dyDescent="0.3">
      <c r="A5046" s="8" t="s">
        <v>10052</v>
      </c>
      <c r="B5046" s="8" t="s">
        <v>58649</v>
      </c>
      <c r="C5046" s="8" t="s">
        <v>10053</v>
      </c>
      <c r="D5046" s="8"/>
      <c r="E5046" s="6"/>
      <c r="F5046" s="6"/>
    </row>
    <row r="5047" spans="1:6" x14ac:dyDescent="0.3">
      <c r="A5047" s="8" t="s">
        <v>10054</v>
      </c>
      <c r="B5047" s="8" t="s">
        <v>58650</v>
      </c>
      <c r="C5047" s="8" t="s">
        <v>10055</v>
      </c>
      <c r="D5047" s="8"/>
      <c r="E5047" s="6"/>
      <c r="F5047" s="6"/>
    </row>
    <row r="5048" spans="1:6" x14ac:dyDescent="0.3">
      <c r="A5048" s="8" t="s">
        <v>10056</v>
      </c>
      <c r="B5048" s="8" t="s">
        <v>58651</v>
      </c>
      <c r="C5048" s="8" t="s">
        <v>10057</v>
      </c>
      <c r="D5048" s="8"/>
      <c r="E5048" s="6"/>
      <c r="F5048" s="6"/>
    </row>
    <row r="5049" spans="1:6" x14ac:dyDescent="0.3">
      <c r="A5049" s="8" t="s">
        <v>10058</v>
      </c>
      <c r="B5049" s="8" t="s">
        <v>58652</v>
      </c>
      <c r="C5049" s="8" t="s">
        <v>10059</v>
      </c>
      <c r="D5049" s="8"/>
      <c r="E5049" s="6"/>
      <c r="F5049" s="6"/>
    </row>
    <row r="5050" spans="1:6" x14ac:dyDescent="0.3">
      <c r="A5050" s="8" t="s">
        <v>10060</v>
      </c>
      <c r="B5050" s="8" t="s">
        <v>58653</v>
      </c>
      <c r="C5050" s="8" t="s">
        <v>10061</v>
      </c>
      <c r="D5050" s="8"/>
      <c r="E5050" s="6"/>
      <c r="F5050" s="6"/>
    </row>
    <row r="5051" spans="1:6" x14ac:dyDescent="0.3">
      <c r="A5051" s="8" t="s">
        <v>10062</v>
      </c>
      <c r="B5051" s="8" t="s">
        <v>58654</v>
      </c>
      <c r="C5051" s="8" t="s">
        <v>10063</v>
      </c>
      <c r="D5051" s="8"/>
      <c r="E5051" s="6"/>
      <c r="F5051" s="6"/>
    </row>
    <row r="5052" spans="1:6" x14ac:dyDescent="0.3">
      <c r="A5052" s="8" t="s">
        <v>10064</v>
      </c>
      <c r="B5052" s="8" t="s">
        <v>58655</v>
      </c>
      <c r="C5052" s="8" t="s">
        <v>10065</v>
      </c>
      <c r="D5052" s="8"/>
      <c r="E5052" s="6"/>
      <c r="F5052" s="6"/>
    </row>
    <row r="5053" spans="1:6" x14ac:dyDescent="0.3">
      <c r="A5053" s="8" t="s">
        <v>10066</v>
      </c>
      <c r="B5053" s="8" t="s">
        <v>58656</v>
      </c>
      <c r="C5053" s="8" t="s">
        <v>10067</v>
      </c>
      <c r="D5053" s="8"/>
      <c r="E5053" s="6"/>
      <c r="F5053" s="6"/>
    </row>
    <row r="5054" spans="1:6" x14ac:dyDescent="0.3">
      <c r="A5054" s="8" t="s">
        <v>10068</v>
      </c>
      <c r="B5054" s="8" t="s">
        <v>58657</v>
      </c>
      <c r="C5054" s="8" t="s">
        <v>10069</v>
      </c>
      <c r="D5054" s="8"/>
      <c r="E5054" s="6"/>
      <c r="F5054" s="6"/>
    </row>
    <row r="5055" spans="1:6" x14ac:dyDescent="0.3">
      <c r="A5055" s="8" t="s">
        <v>10070</v>
      </c>
      <c r="B5055" s="8" t="s">
        <v>58658</v>
      </c>
      <c r="C5055" s="8" t="s">
        <v>10071</v>
      </c>
      <c r="D5055" s="8"/>
      <c r="E5055" s="6"/>
      <c r="F5055" s="6"/>
    </row>
    <row r="5056" spans="1:6" x14ac:dyDescent="0.3">
      <c r="A5056" s="8" t="s">
        <v>10072</v>
      </c>
      <c r="B5056" s="8" t="s">
        <v>58659</v>
      </c>
      <c r="C5056" s="8" t="s">
        <v>10073</v>
      </c>
      <c r="D5056" s="8"/>
      <c r="E5056" s="6"/>
      <c r="F5056" s="6"/>
    </row>
    <row r="5057" spans="1:6" x14ac:dyDescent="0.3">
      <c r="A5057" s="8" t="s">
        <v>10074</v>
      </c>
      <c r="B5057" s="8" t="s">
        <v>58660</v>
      </c>
      <c r="C5057" s="8" t="s">
        <v>10075</v>
      </c>
      <c r="D5057" s="8"/>
      <c r="E5057" s="6"/>
      <c r="F5057" s="6"/>
    </row>
    <row r="5058" spans="1:6" x14ac:dyDescent="0.3">
      <c r="A5058" s="8" t="s">
        <v>10076</v>
      </c>
      <c r="B5058" s="8" t="s">
        <v>58661</v>
      </c>
      <c r="C5058" s="8" t="s">
        <v>10077</v>
      </c>
      <c r="D5058" s="8"/>
      <c r="E5058" s="6"/>
      <c r="F5058" s="6"/>
    </row>
    <row r="5059" spans="1:6" x14ac:dyDescent="0.3">
      <c r="A5059" s="8" t="s">
        <v>10078</v>
      </c>
      <c r="B5059" s="8" t="s">
        <v>58662</v>
      </c>
      <c r="C5059" s="8" t="s">
        <v>10079</v>
      </c>
      <c r="D5059" s="8"/>
      <c r="E5059" s="6"/>
      <c r="F5059" s="6"/>
    </row>
    <row r="5060" spans="1:6" x14ac:dyDescent="0.3">
      <c r="A5060" s="8" t="s">
        <v>10080</v>
      </c>
      <c r="B5060" s="8" t="s">
        <v>58663</v>
      </c>
      <c r="C5060" s="8" t="s">
        <v>10081</v>
      </c>
      <c r="D5060" s="8"/>
      <c r="E5060" s="6"/>
      <c r="F5060" s="6"/>
    </row>
    <row r="5061" spans="1:6" x14ac:dyDescent="0.3">
      <c r="A5061" s="8" t="s">
        <v>10082</v>
      </c>
      <c r="B5061" s="8" t="s">
        <v>58664</v>
      </c>
      <c r="C5061" s="8" t="s">
        <v>10083</v>
      </c>
      <c r="D5061" s="8"/>
      <c r="E5061" s="6"/>
      <c r="F5061" s="6"/>
    </row>
    <row r="5062" spans="1:6" x14ac:dyDescent="0.3">
      <c r="A5062" s="8" t="s">
        <v>10084</v>
      </c>
      <c r="B5062" s="8" t="s">
        <v>58665</v>
      </c>
      <c r="C5062" s="8" t="s">
        <v>10085</v>
      </c>
      <c r="D5062" s="8"/>
      <c r="E5062" s="6"/>
      <c r="F5062" s="6"/>
    </row>
    <row r="5063" spans="1:6" x14ac:dyDescent="0.3">
      <c r="A5063" s="8" t="s">
        <v>10086</v>
      </c>
      <c r="B5063" s="8" t="s">
        <v>58666</v>
      </c>
      <c r="C5063" s="8" t="s">
        <v>10087</v>
      </c>
      <c r="D5063" s="8"/>
      <c r="E5063" s="6"/>
      <c r="F5063" s="6"/>
    </row>
    <row r="5064" spans="1:6" x14ac:dyDescent="0.3">
      <c r="A5064" s="8" t="s">
        <v>10088</v>
      </c>
      <c r="B5064" s="8" t="s">
        <v>58667</v>
      </c>
      <c r="C5064" s="8" t="s">
        <v>10089</v>
      </c>
      <c r="D5064" s="8"/>
      <c r="E5064" s="6"/>
      <c r="F5064" s="6"/>
    </row>
    <row r="5065" spans="1:6" x14ac:dyDescent="0.3">
      <c r="A5065" s="8" t="s">
        <v>10090</v>
      </c>
      <c r="B5065" s="8" t="s">
        <v>58668</v>
      </c>
      <c r="C5065" s="8" t="s">
        <v>10091</v>
      </c>
      <c r="D5065" s="8"/>
      <c r="E5065" s="6"/>
      <c r="F5065" s="6"/>
    </row>
    <row r="5066" spans="1:6" x14ac:dyDescent="0.3">
      <c r="A5066" s="8" t="s">
        <v>10092</v>
      </c>
      <c r="B5066" s="8" t="s">
        <v>58669</v>
      </c>
      <c r="C5066" s="8" t="s">
        <v>10093</v>
      </c>
      <c r="D5066" s="8"/>
      <c r="E5066" s="6"/>
      <c r="F5066" s="6"/>
    </row>
    <row r="5067" spans="1:6" x14ac:dyDescent="0.3">
      <c r="A5067" s="8" t="s">
        <v>10094</v>
      </c>
      <c r="B5067" s="8" t="s">
        <v>58670</v>
      </c>
      <c r="C5067" s="8" t="s">
        <v>10095</v>
      </c>
      <c r="D5067" s="8"/>
      <c r="E5067" s="6"/>
      <c r="F5067" s="6"/>
    </row>
    <row r="5068" spans="1:6" x14ac:dyDescent="0.3">
      <c r="A5068" s="8" t="s">
        <v>10096</v>
      </c>
      <c r="B5068" s="8" t="s">
        <v>58671</v>
      </c>
      <c r="C5068" s="8" t="s">
        <v>10097</v>
      </c>
      <c r="D5068" s="8"/>
      <c r="E5068" s="6"/>
      <c r="F5068" s="6"/>
    </row>
    <row r="5069" spans="1:6" x14ac:dyDescent="0.3">
      <c r="A5069" s="8" t="s">
        <v>10098</v>
      </c>
      <c r="B5069" s="8" t="s">
        <v>58672</v>
      </c>
      <c r="C5069" s="8" t="s">
        <v>10099</v>
      </c>
      <c r="D5069" s="8"/>
      <c r="E5069" s="6"/>
      <c r="F5069" s="6"/>
    </row>
    <row r="5070" spans="1:6" x14ac:dyDescent="0.3">
      <c r="A5070" s="8" t="s">
        <v>10100</v>
      </c>
      <c r="B5070" s="8" t="s">
        <v>58673</v>
      </c>
      <c r="C5070" s="8" t="s">
        <v>10101</v>
      </c>
      <c r="D5070" s="8"/>
      <c r="E5070" s="6"/>
      <c r="F5070" s="6"/>
    </row>
    <row r="5071" spans="1:6" x14ac:dyDescent="0.3">
      <c r="A5071" s="8" t="s">
        <v>10102</v>
      </c>
      <c r="B5071" s="8" t="s">
        <v>58674</v>
      </c>
      <c r="C5071" s="8" t="s">
        <v>10103</v>
      </c>
      <c r="D5071" s="8"/>
      <c r="E5071" s="6"/>
      <c r="F5071" s="6"/>
    </row>
    <row r="5072" spans="1:6" x14ac:dyDescent="0.3">
      <c r="A5072" s="8" t="s">
        <v>10104</v>
      </c>
      <c r="B5072" s="8" t="s">
        <v>58675</v>
      </c>
      <c r="C5072" s="8" t="s">
        <v>10105</v>
      </c>
      <c r="D5072" s="8"/>
      <c r="E5072" s="6"/>
      <c r="F5072" s="6"/>
    </row>
    <row r="5073" spans="1:6" x14ac:dyDescent="0.3">
      <c r="A5073" s="8" t="s">
        <v>10106</v>
      </c>
      <c r="B5073" s="8" t="s">
        <v>58676</v>
      </c>
      <c r="C5073" s="8" t="s">
        <v>10107</v>
      </c>
      <c r="D5073" s="8"/>
      <c r="E5073" s="6"/>
      <c r="F5073" s="6"/>
    </row>
    <row r="5074" spans="1:6" x14ac:dyDescent="0.3">
      <c r="A5074" s="8" t="s">
        <v>10108</v>
      </c>
      <c r="B5074" s="8" t="s">
        <v>58677</v>
      </c>
      <c r="C5074" s="8" t="s">
        <v>10109</v>
      </c>
      <c r="D5074" s="8"/>
      <c r="E5074" s="6"/>
      <c r="F5074" s="6"/>
    </row>
    <row r="5075" spans="1:6" x14ac:dyDescent="0.3">
      <c r="A5075" s="8" t="s">
        <v>10110</v>
      </c>
      <c r="B5075" s="8" t="s">
        <v>58678</v>
      </c>
      <c r="C5075" s="8" t="s">
        <v>10111</v>
      </c>
      <c r="D5075" s="8"/>
      <c r="E5075" s="6"/>
      <c r="F5075" s="6"/>
    </row>
    <row r="5076" spans="1:6" x14ac:dyDescent="0.3">
      <c r="A5076" s="8" t="s">
        <v>10112</v>
      </c>
      <c r="B5076" s="8" t="s">
        <v>58679</v>
      </c>
      <c r="C5076" s="8" t="s">
        <v>10113</v>
      </c>
      <c r="D5076" s="8"/>
      <c r="E5076" s="6"/>
      <c r="F5076" s="6"/>
    </row>
    <row r="5077" spans="1:6" x14ac:dyDescent="0.3">
      <c r="A5077" s="8" t="s">
        <v>10114</v>
      </c>
      <c r="B5077" s="8" t="s">
        <v>58680</v>
      </c>
      <c r="C5077" s="8" t="s">
        <v>10115</v>
      </c>
      <c r="D5077" s="8"/>
      <c r="E5077" s="6"/>
      <c r="F5077" s="6"/>
    </row>
    <row r="5078" spans="1:6" x14ac:dyDescent="0.3">
      <c r="A5078" s="8" t="s">
        <v>10116</v>
      </c>
      <c r="B5078" s="8" t="s">
        <v>58681</v>
      </c>
      <c r="C5078" s="8" t="s">
        <v>10117</v>
      </c>
      <c r="D5078" s="8"/>
      <c r="E5078" s="6"/>
      <c r="F5078" s="6"/>
    </row>
    <row r="5079" spans="1:6" x14ac:dyDescent="0.3">
      <c r="A5079" s="8" t="s">
        <v>10118</v>
      </c>
      <c r="B5079" s="8" t="s">
        <v>58682</v>
      </c>
      <c r="C5079" s="8" t="s">
        <v>10119</v>
      </c>
      <c r="D5079" s="8"/>
      <c r="E5079" s="6"/>
      <c r="F5079" s="6"/>
    </row>
    <row r="5080" spans="1:6" x14ac:dyDescent="0.3">
      <c r="A5080" s="8" t="s">
        <v>10120</v>
      </c>
      <c r="B5080" s="8" t="s">
        <v>58683</v>
      </c>
      <c r="C5080" s="8" t="s">
        <v>10121</v>
      </c>
      <c r="D5080" s="8"/>
      <c r="E5080" s="6"/>
      <c r="F5080" s="6"/>
    </row>
    <row r="5081" spans="1:6" x14ac:dyDescent="0.3">
      <c r="A5081" s="8" t="s">
        <v>10122</v>
      </c>
      <c r="B5081" s="8" t="s">
        <v>58684</v>
      </c>
      <c r="C5081" s="8" t="s">
        <v>10123</v>
      </c>
      <c r="D5081" s="8"/>
      <c r="E5081" s="6"/>
      <c r="F5081" s="6"/>
    </row>
    <row r="5082" spans="1:6" x14ac:dyDescent="0.3">
      <c r="A5082" s="8" t="s">
        <v>10124</v>
      </c>
      <c r="B5082" s="8" t="s">
        <v>58685</v>
      </c>
      <c r="C5082" s="8" t="s">
        <v>10125</v>
      </c>
      <c r="D5082" s="8"/>
      <c r="E5082" s="6"/>
      <c r="F5082" s="6"/>
    </row>
    <row r="5083" spans="1:6" x14ac:dyDescent="0.3">
      <c r="A5083" s="8" t="s">
        <v>10126</v>
      </c>
      <c r="B5083" s="8" t="s">
        <v>58686</v>
      </c>
      <c r="C5083" s="8" t="s">
        <v>10127</v>
      </c>
      <c r="D5083" s="8"/>
      <c r="E5083" s="6"/>
      <c r="F5083" s="6"/>
    </row>
    <row r="5084" spans="1:6" x14ac:dyDescent="0.3">
      <c r="A5084" s="8" t="s">
        <v>10128</v>
      </c>
      <c r="B5084" s="8" t="s">
        <v>58687</v>
      </c>
      <c r="C5084" s="8" t="s">
        <v>10129</v>
      </c>
      <c r="D5084" s="8"/>
      <c r="E5084" s="6"/>
      <c r="F5084" s="6"/>
    </row>
    <row r="5085" spans="1:6" x14ac:dyDescent="0.3">
      <c r="A5085" s="8" t="s">
        <v>10130</v>
      </c>
      <c r="B5085" s="8" t="s">
        <v>58688</v>
      </c>
      <c r="C5085" s="8" t="s">
        <v>10131</v>
      </c>
      <c r="D5085" s="8"/>
      <c r="E5085" s="6"/>
      <c r="F5085" s="6"/>
    </row>
    <row r="5086" spans="1:6" x14ac:dyDescent="0.3">
      <c r="A5086" s="8" t="s">
        <v>10132</v>
      </c>
      <c r="B5086" s="8" t="s">
        <v>58689</v>
      </c>
      <c r="C5086" s="8" t="s">
        <v>10133</v>
      </c>
      <c r="D5086" s="8"/>
      <c r="E5086" s="6"/>
      <c r="F5086" s="6"/>
    </row>
    <row r="5087" spans="1:6" x14ac:dyDescent="0.3">
      <c r="A5087" s="8" t="s">
        <v>10134</v>
      </c>
      <c r="B5087" s="8" t="s">
        <v>58690</v>
      </c>
      <c r="C5087" s="8" t="s">
        <v>10135</v>
      </c>
      <c r="D5087" s="8"/>
      <c r="E5087" s="6"/>
      <c r="F5087" s="6"/>
    </row>
    <row r="5088" spans="1:6" x14ac:dyDescent="0.3">
      <c r="A5088" s="8" t="s">
        <v>10136</v>
      </c>
      <c r="B5088" s="8" t="s">
        <v>58691</v>
      </c>
      <c r="C5088" s="8" t="s">
        <v>10137</v>
      </c>
      <c r="D5088" s="8"/>
      <c r="E5088" s="6"/>
      <c r="F5088" s="6"/>
    </row>
    <row r="5089" spans="1:6" x14ac:dyDescent="0.3">
      <c r="A5089" s="8" t="s">
        <v>10138</v>
      </c>
      <c r="B5089" s="8" t="s">
        <v>58692</v>
      </c>
      <c r="C5089" s="8" t="s">
        <v>10139</v>
      </c>
      <c r="D5089" s="8"/>
      <c r="E5089" s="6"/>
      <c r="F5089" s="6"/>
    </row>
    <row r="5090" spans="1:6" x14ac:dyDescent="0.3">
      <c r="A5090" s="8" t="s">
        <v>10140</v>
      </c>
      <c r="B5090" s="8" t="s">
        <v>58693</v>
      </c>
      <c r="C5090" s="8" t="s">
        <v>10141</v>
      </c>
      <c r="D5090" s="8"/>
      <c r="E5090" s="6"/>
      <c r="F5090" s="6"/>
    </row>
    <row r="5091" spans="1:6" x14ac:dyDescent="0.3">
      <c r="A5091" s="8" t="s">
        <v>10142</v>
      </c>
      <c r="B5091" s="8" t="s">
        <v>58694</v>
      </c>
      <c r="C5091" s="8" t="s">
        <v>10143</v>
      </c>
      <c r="D5091" s="8"/>
      <c r="E5091" s="6"/>
      <c r="F5091" s="6"/>
    </row>
    <row r="5092" spans="1:6" x14ac:dyDescent="0.3">
      <c r="A5092" s="8" t="s">
        <v>10144</v>
      </c>
      <c r="B5092" s="8" t="s">
        <v>58695</v>
      </c>
      <c r="C5092" s="8" t="s">
        <v>10145</v>
      </c>
      <c r="D5092" s="8"/>
      <c r="E5092" s="6"/>
      <c r="F5092" s="6"/>
    </row>
    <row r="5093" spans="1:6" x14ac:dyDescent="0.3">
      <c r="A5093" s="8" t="s">
        <v>10146</v>
      </c>
      <c r="B5093" s="8" t="s">
        <v>58696</v>
      </c>
      <c r="C5093" s="8" t="s">
        <v>10147</v>
      </c>
      <c r="D5093" s="8"/>
      <c r="E5093" s="6"/>
      <c r="F5093" s="6"/>
    </row>
    <row r="5094" spans="1:6" x14ac:dyDescent="0.3">
      <c r="A5094" s="8" t="s">
        <v>10148</v>
      </c>
      <c r="B5094" s="8" t="s">
        <v>58697</v>
      </c>
      <c r="C5094" s="8" t="s">
        <v>10149</v>
      </c>
      <c r="D5094" s="8"/>
      <c r="E5094" s="6"/>
      <c r="F5094" s="6"/>
    </row>
    <row r="5095" spans="1:6" x14ac:dyDescent="0.3">
      <c r="A5095" s="8" t="s">
        <v>10150</v>
      </c>
      <c r="B5095" s="8" t="s">
        <v>58698</v>
      </c>
      <c r="C5095" s="8" t="s">
        <v>10151</v>
      </c>
      <c r="D5095" s="8"/>
      <c r="E5095" s="6"/>
      <c r="F5095" s="6"/>
    </row>
    <row r="5096" spans="1:6" x14ac:dyDescent="0.3">
      <c r="A5096" s="8" t="s">
        <v>10152</v>
      </c>
      <c r="B5096" s="8" t="s">
        <v>58699</v>
      </c>
      <c r="C5096" s="8" t="s">
        <v>10153</v>
      </c>
      <c r="D5096" s="8"/>
      <c r="E5096" s="6"/>
      <c r="F5096" s="6"/>
    </row>
    <row r="5097" spans="1:6" x14ac:dyDescent="0.3">
      <c r="A5097" s="8" t="s">
        <v>10154</v>
      </c>
      <c r="B5097" s="8" t="s">
        <v>58700</v>
      </c>
      <c r="C5097" s="8" t="s">
        <v>10155</v>
      </c>
      <c r="D5097" s="8"/>
      <c r="E5097" s="6"/>
      <c r="F5097" s="6"/>
    </row>
    <row r="5098" spans="1:6" x14ac:dyDescent="0.3">
      <c r="A5098" s="8" t="s">
        <v>10156</v>
      </c>
      <c r="B5098" s="8" t="s">
        <v>58701</v>
      </c>
      <c r="C5098" s="8" t="s">
        <v>10157</v>
      </c>
      <c r="D5098" s="8"/>
      <c r="E5098" s="6"/>
      <c r="F5098" s="6"/>
    </row>
    <row r="5099" spans="1:6" x14ac:dyDescent="0.3">
      <c r="A5099" s="8" t="s">
        <v>10158</v>
      </c>
      <c r="B5099" s="8" t="s">
        <v>58702</v>
      </c>
      <c r="C5099" s="8" t="s">
        <v>10159</v>
      </c>
      <c r="D5099" s="8"/>
      <c r="E5099" s="6"/>
      <c r="F5099" s="6"/>
    </row>
    <row r="5100" spans="1:6" x14ac:dyDescent="0.3">
      <c r="A5100" s="8" t="s">
        <v>10160</v>
      </c>
      <c r="B5100" s="8" t="s">
        <v>58703</v>
      </c>
      <c r="C5100" s="8" t="s">
        <v>10161</v>
      </c>
      <c r="D5100" s="8"/>
      <c r="E5100" s="6"/>
      <c r="F5100" s="6"/>
    </row>
    <row r="5101" spans="1:6" x14ac:dyDescent="0.3">
      <c r="A5101" s="8" t="s">
        <v>10162</v>
      </c>
      <c r="B5101" s="8" t="s">
        <v>58704</v>
      </c>
      <c r="C5101" s="8" t="s">
        <v>10163</v>
      </c>
      <c r="D5101" s="8"/>
      <c r="E5101" s="6"/>
      <c r="F5101" s="6"/>
    </row>
    <row r="5102" spans="1:6" x14ac:dyDescent="0.3">
      <c r="A5102" s="8" t="s">
        <v>10164</v>
      </c>
      <c r="B5102" s="8" t="s">
        <v>58705</v>
      </c>
      <c r="C5102" s="8" t="s">
        <v>10165</v>
      </c>
      <c r="D5102" s="8"/>
      <c r="E5102" s="6"/>
      <c r="F5102" s="6"/>
    </row>
    <row r="5103" spans="1:6" x14ac:dyDescent="0.3">
      <c r="A5103" s="8" t="s">
        <v>10166</v>
      </c>
      <c r="B5103" s="8" t="s">
        <v>58706</v>
      </c>
      <c r="C5103" s="8" t="s">
        <v>10167</v>
      </c>
      <c r="D5103" s="8"/>
      <c r="E5103" s="6"/>
      <c r="F5103" s="6"/>
    </row>
    <row r="5104" spans="1:6" x14ac:dyDescent="0.3">
      <c r="A5104" s="8" t="s">
        <v>10168</v>
      </c>
      <c r="B5104" s="8" t="s">
        <v>58707</v>
      </c>
      <c r="C5104" s="8" t="s">
        <v>10169</v>
      </c>
      <c r="D5104" s="8"/>
      <c r="E5104" s="6"/>
      <c r="F5104" s="6"/>
    </row>
    <row r="5105" spans="1:6" x14ac:dyDescent="0.3">
      <c r="A5105" s="8" t="s">
        <v>10170</v>
      </c>
      <c r="B5105" s="8" t="s">
        <v>58708</v>
      </c>
      <c r="C5105" s="8" t="s">
        <v>10171</v>
      </c>
      <c r="D5105" s="8"/>
      <c r="E5105" s="6"/>
      <c r="F5105" s="6"/>
    </row>
    <row r="5106" spans="1:6" x14ac:dyDescent="0.3">
      <c r="A5106" s="8" t="s">
        <v>10172</v>
      </c>
      <c r="B5106" s="8" t="s">
        <v>58709</v>
      </c>
      <c r="C5106" s="8" t="s">
        <v>10173</v>
      </c>
      <c r="D5106" s="8"/>
      <c r="E5106" s="6"/>
      <c r="F5106" s="6"/>
    </row>
    <row r="5107" spans="1:6" x14ac:dyDescent="0.3">
      <c r="A5107" s="8" t="s">
        <v>10174</v>
      </c>
      <c r="B5107" s="8" t="s">
        <v>58710</v>
      </c>
      <c r="C5107" s="8" t="s">
        <v>10175</v>
      </c>
      <c r="D5107" s="8"/>
      <c r="E5107" s="6"/>
      <c r="F5107" s="6"/>
    </row>
    <row r="5108" spans="1:6" x14ac:dyDescent="0.3">
      <c r="A5108" s="8" t="s">
        <v>10176</v>
      </c>
      <c r="B5108" s="8" t="s">
        <v>58711</v>
      </c>
      <c r="C5108" s="8" t="s">
        <v>10177</v>
      </c>
      <c r="D5108" s="8"/>
      <c r="E5108" s="6"/>
      <c r="F5108" s="6"/>
    </row>
    <row r="5109" spans="1:6" x14ac:dyDescent="0.3">
      <c r="A5109" s="8" t="s">
        <v>10178</v>
      </c>
      <c r="B5109" s="8" t="s">
        <v>58712</v>
      </c>
      <c r="C5109" s="8" t="s">
        <v>10179</v>
      </c>
      <c r="D5109" s="8"/>
      <c r="E5109" s="6"/>
      <c r="F5109" s="6"/>
    </row>
    <row r="5110" spans="1:6" x14ac:dyDescent="0.3">
      <c r="A5110" s="8" t="s">
        <v>10180</v>
      </c>
      <c r="B5110" s="8" t="s">
        <v>58713</v>
      </c>
      <c r="C5110" s="8" t="s">
        <v>10181</v>
      </c>
      <c r="D5110" s="8"/>
      <c r="E5110" s="6"/>
      <c r="F5110" s="6"/>
    </row>
    <row r="5111" spans="1:6" x14ac:dyDescent="0.3">
      <c r="A5111" s="8" t="s">
        <v>10182</v>
      </c>
      <c r="B5111" s="8" t="s">
        <v>58714</v>
      </c>
      <c r="C5111" s="8" t="s">
        <v>10183</v>
      </c>
      <c r="D5111" s="8"/>
      <c r="E5111" s="6"/>
      <c r="F5111" s="6"/>
    </row>
    <row r="5112" spans="1:6" x14ac:dyDescent="0.3">
      <c r="A5112" s="8" t="s">
        <v>10184</v>
      </c>
      <c r="B5112" s="8" t="s">
        <v>58715</v>
      </c>
      <c r="C5112" s="8" t="s">
        <v>10185</v>
      </c>
      <c r="D5112" s="8"/>
      <c r="E5112" s="6"/>
      <c r="F5112" s="6"/>
    </row>
    <row r="5113" spans="1:6" x14ac:dyDescent="0.3">
      <c r="A5113" s="8" t="s">
        <v>10186</v>
      </c>
      <c r="B5113" s="8" t="s">
        <v>58716</v>
      </c>
      <c r="C5113" s="8" t="s">
        <v>10187</v>
      </c>
      <c r="D5113" s="8"/>
      <c r="E5113" s="6"/>
      <c r="F5113" s="6"/>
    </row>
    <row r="5114" spans="1:6" x14ac:dyDescent="0.3">
      <c r="A5114" s="8" t="s">
        <v>10188</v>
      </c>
      <c r="B5114" s="8" t="s">
        <v>58717</v>
      </c>
      <c r="C5114" s="8" t="s">
        <v>10189</v>
      </c>
      <c r="D5114" s="8"/>
      <c r="E5114" s="6"/>
      <c r="F5114" s="6"/>
    </row>
    <row r="5115" spans="1:6" x14ac:dyDescent="0.3">
      <c r="A5115" s="8" t="s">
        <v>10190</v>
      </c>
      <c r="B5115" s="8" t="s">
        <v>58718</v>
      </c>
      <c r="C5115" s="8" t="s">
        <v>10191</v>
      </c>
      <c r="D5115" s="8"/>
      <c r="E5115" s="6"/>
      <c r="F5115" s="6"/>
    </row>
    <row r="5116" spans="1:6" x14ac:dyDescent="0.3">
      <c r="A5116" s="8" t="s">
        <v>10192</v>
      </c>
      <c r="B5116" s="8" t="s">
        <v>58719</v>
      </c>
      <c r="C5116" s="8" t="s">
        <v>10193</v>
      </c>
      <c r="D5116" s="8"/>
      <c r="E5116" s="6"/>
      <c r="F5116" s="6"/>
    </row>
    <row r="5117" spans="1:6" x14ac:dyDescent="0.3">
      <c r="A5117" s="8" t="s">
        <v>10194</v>
      </c>
      <c r="B5117" s="8" t="s">
        <v>58720</v>
      </c>
      <c r="C5117" s="8" t="s">
        <v>10195</v>
      </c>
      <c r="D5117" s="8"/>
      <c r="E5117" s="6"/>
      <c r="F5117" s="6"/>
    </row>
    <row r="5118" spans="1:6" x14ac:dyDescent="0.3">
      <c r="A5118" s="8" t="s">
        <v>10196</v>
      </c>
      <c r="B5118" s="8" t="s">
        <v>58721</v>
      </c>
      <c r="C5118" s="8" t="s">
        <v>10197</v>
      </c>
      <c r="D5118" s="8"/>
      <c r="E5118" s="6"/>
      <c r="F5118" s="6"/>
    </row>
    <row r="5119" spans="1:6" x14ac:dyDescent="0.3">
      <c r="A5119" s="8" t="s">
        <v>10198</v>
      </c>
      <c r="B5119" s="8" t="s">
        <v>58722</v>
      </c>
      <c r="C5119" s="8" t="s">
        <v>10199</v>
      </c>
      <c r="D5119" s="8"/>
      <c r="E5119" s="6"/>
      <c r="F5119" s="6"/>
    </row>
    <row r="5120" spans="1:6" x14ac:dyDescent="0.3">
      <c r="A5120" s="8" t="s">
        <v>10200</v>
      </c>
      <c r="B5120" s="8" t="s">
        <v>58723</v>
      </c>
      <c r="C5120" s="8" t="s">
        <v>10201</v>
      </c>
      <c r="D5120" s="8"/>
      <c r="E5120" s="6"/>
      <c r="F5120" s="6"/>
    </row>
    <row r="5121" spans="1:6" x14ac:dyDescent="0.3">
      <c r="A5121" s="8" t="s">
        <v>10202</v>
      </c>
      <c r="B5121" s="8" t="s">
        <v>58724</v>
      </c>
      <c r="C5121" s="8" t="s">
        <v>10203</v>
      </c>
      <c r="D5121" s="8"/>
      <c r="E5121" s="6"/>
      <c r="F5121" s="6"/>
    </row>
    <row r="5122" spans="1:6" x14ac:dyDescent="0.3">
      <c r="A5122" s="8" t="s">
        <v>10204</v>
      </c>
      <c r="B5122" s="8" t="s">
        <v>58725</v>
      </c>
      <c r="C5122" s="8" t="s">
        <v>10205</v>
      </c>
      <c r="D5122" s="8"/>
      <c r="E5122" s="6"/>
      <c r="F5122" s="6"/>
    </row>
    <row r="5123" spans="1:6" x14ac:dyDescent="0.3">
      <c r="A5123" s="8" t="s">
        <v>10206</v>
      </c>
      <c r="B5123" s="8" t="s">
        <v>58726</v>
      </c>
      <c r="C5123" s="8" t="s">
        <v>10207</v>
      </c>
      <c r="D5123" s="8"/>
      <c r="E5123" s="6"/>
      <c r="F5123" s="6"/>
    </row>
    <row r="5124" spans="1:6" x14ac:dyDescent="0.3">
      <c r="A5124" s="8" t="s">
        <v>10208</v>
      </c>
      <c r="B5124" s="8" t="s">
        <v>58727</v>
      </c>
      <c r="C5124" s="8" t="s">
        <v>10209</v>
      </c>
      <c r="D5124" s="8"/>
      <c r="E5124" s="6"/>
      <c r="F5124" s="6"/>
    </row>
    <row r="5125" spans="1:6" x14ac:dyDescent="0.3">
      <c r="A5125" s="8" t="s">
        <v>10210</v>
      </c>
      <c r="B5125" s="8" t="s">
        <v>58728</v>
      </c>
      <c r="C5125" s="8" t="s">
        <v>10211</v>
      </c>
      <c r="D5125" s="8"/>
      <c r="E5125" s="6"/>
      <c r="F5125" s="6"/>
    </row>
    <row r="5126" spans="1:6" x14ac:dyDescent="0.3">
      <c r="A5126" s="8" t="s">
        <v>10212</v>
      </c>
      <c r="B5126" s="8" t="s">
        <v>58729</v>
      </c>
      <c r="C5126" s="8" t="s">
        <v>10213</v>
      </c>
      <c r="D5126" s="8"/>
      <c r="E5126" s="6"/>
      <c r="F5126" s="6"/>
    </row>
    <row r="5127" spans="1:6" x14ac:dyDescent="0.3">
      <c r="A5127" s="8" t="s">
        <v>10214</v>
      </c>
      <c r="B5127" s="8" t="s">
        <v>58730</v>
      </c>
      <c r="C5127" s="8" t="s">
        <v>10215</v>
      </c>
      <c r="D5127" s="8"/>
      <c r="E5127" s="6"/>
      <c r="F5127" s="6"/>
    </row>
    <row r="5128" spans="1:6" x14ac:dyDescent="0.3">
      <c r="A5128" s="8" t="s">
        <v>10216</v>
      </c>
      <c r="B5128" s="8" t="s">
        <v>58731</v>
      </c>
      <c r="C5128" s="8" t="s">
        <v>10217</v>
      </c>
      <c r="D5128" s="8"/>
      <c r="E5128" s="6"/>
      <c r="F5128" s="6"/>
    </row>
    <row r="5129" spans="1:6" x14ac:dyDescent="0.3">
      <c r="A5129" s="8" t="s">
        <v>10218</v>
      </c>
      <c r="B5129" s="8" t="s">
        <v>58732</v>
      </c>
      <c r="C5129" s="8" t="s">
        <v>10219</v>
      </c>
      <c r="D5129" s="8"/>
      <c r="E5129" s="6"/>
      <c r="F5129" s="6"/>
    </row>
    <row r="5130" spans="1:6" x14ac:dyDescent="0.3">
      <c r="A5130" s="8" t="s">
        <v>10220</v>
      </c>
      <c r="B5130" s="8" t="s">
        <v>58733</v>
      </c>
      <c r="C5130" s="8" t="s">
        <v>10221</v>
      </c>
      <c r="D5130" s="8"/>
      <c r="E5130" s="6"/>
      <c r="F5130" s="6"/>
    </row>
    <row r="5131" spans="1:6" x14ac:dyDescent="0.3">
      <c r="A5131" s="8" t="s">
        <v>10222</v>
      </c>
      <c r="B5131" s="8" t="s">
        <v>58734</v>
      </c>
      <c r="C5131" s="8" t="s">
        <v>10223</v>
      </c>
      <c r="D5131" s="8"/>
      <c r="E5131" s="6"/>
      <c r="F5131" s="6"/>
    </row>
    <row r="5132" spans="1:6" x14ac:dyDescent="0.3">
      <c r="A5132" s="8" t="s">
        <v>10224</v>
      </c>
      <c r="B5132" s="8" t="s">
        <v>58735</v>
      </c>
      <c r="C5132" s="8" t="s">
        <v>10225</v>
      </c>
      <c r="D5132" s="8"/>
      <c r="E5132" s="6"/>
      <c r="F5132" s="6"/>
    </row>
    <row r="5133" spans="1:6" x14ac:dyDescent="0.3">
      <c r="A5133" s="8" t="s">
        <v>10226</v>
      </c>
      <c r="B5133" s="8" t="s">
        <v>58736</v>
      </c>
      <c r="C5133" s="8" t="s">
        <v>10227</v>
      </c>
      <c r="D5133" s="8"/>
      <c r="E5133" s="6"/>
      <c r="F5133" s="6"/>
    </row>
    <row r="5134" spans="1:6" x14ac:dyDescent="0.3">
      <c r="A5134" s="8" t="s">
        <v>10228</v>
      </c>
      <c r="B5134" s="8" t="s">
        <v>58737</v>
      </c>
      <c r="C5134" s="8" t="s">
        <v>10229</v>
      </c>
      <c r="D5134" s="8"/>
      <c r="E5134" s="6"/>
      <c r="F5134" s="6"/>
    </row>
    <row r="5135" spans="1:6" x14ac:dyDescent="0.3">
      <c r="A5135" s="8" t="s">
        <v>10230</v>
      </c>
      <c r="B5135" s="8" t="s">
        <v>58738</v>
      </c>
      <c r="C5135" s="8" t="s">
        <v>10231</v>
      </c>
      <c r="D5135" s="8"/>
      <c r="E5135" s="6"/>
      <c r="F5135" s="6"/>
    </row>
    <row r="5136" spans="1:6" x14ac:dyDescent="0.3">
      <c r="A5136" s="8" t="s">
        <v>10232</v>
      </c>
      <c r="B5136" s="8" t="s">
        <v>58739</v>
      </c>
      <c r="C5136" s="8" t="s">
        <v>10233</v>
      </c>
      <c r="D5136" s="8"/>
      <c r="E5136" s="6"/>
      <c r="F5136" s="6"/>
    </row>
    <row r="5137" spans="1:6" x14ac:dyDescent="0.3">
      <c r="A5137" s="8" t="s">
        <v>10234</v>
      </c>
      <c r="B5137" s="8" t="s">
        <v>58740</v>
      </c>
      <c r="C5137" s="8" t="s">
        <v>10235</v>
      </c>
      <c r="D5137" s="8"/>
      <c r="E5137" s="6"/>
      <c r="F5137" s="6"/>
    </row>
    <row r="5138" spans="1:6" x14ac:dyDescent="0.3">
      <c r="A5138" s="8" t="s">
        <v>10236</v>
      </c>
      <c r="B5138" s="8" t="s">
        <v>58741</v>
      </c>
      <c r="C5138" s="8" t="s">
        <v>10237</v>
      </c>
      <c r="D5138" s="8"/>
      <c r="E5138" s="6"/>
      <c r="F5138" s="6"/>
    </row>
    <row r="5139" spans="1:6" x14ac:dyDescent="0.3">
      <c r="A5139" s="8" t="s">
        <v>10238</v>
      </c>
      <c r="B5139" s="8" t="s">
        <v>58742</v>
      </c>
      <c r="C5139" s="8" t="s">
        <v>10239</v>
      </c>
      <c r="D5139" s="8"/>
      <c r="E5139" s="6"/>
      <c r="F5139" s="6"/>
    </row>
    <row r="5140" spans="1:6" x14ac:dyDescent="0.3">
      <c r="A5140" s="8" t="s">
        <v>10240</v>
      </c>
      <c r="B5140" s="8" t="s">
        <v>58743</v>
      </c>
      <c r="C5140" s="8" t="s">
        <v>10241</v>
      </c>
      <c r="D5140" s="8"/>
      <c r="E5140" s="6"/>
      <c r="F5140" s="6"/>
    </row>
    <row r="5141" spans="1:6" x14ac:dyDescent="0.3">
      <c r="A5141" s="8" t="s">
        <v>10242</v>
      </c>
      <c r="B5141" s="8" t="s">
        <v>58744</v>
      </c>
      <c r="C5141" s="8" t="s">
        <v>10243</v>
      </c>
      <c r="D5141" s="8"/>
      <c r="E5141" s="6"/>
      <c r="F5141" s="6"/>
    </row>
    <row r="5142" spans="1:6" x14ac:dyDescent="0.3">
      <c r="A5142" s="8" t="s">
        <v>10244</v>
      </c>
      <c r="B5142" s="8" t="s">
        <v>58745</v>
      </c>
      <c r="C5142" s="8" t="s">
        <v>10245</v>
      </c>
      <c r="D5142" s="8"/>
      <c r="E5142" s="6"/>
      <c r="F5142" s="6"/>
    </row>
    <row r="5143" spans="1:6" x14ac:dyDescent="0.3">
      <c r="A5143" s="8" t="s">
        <v>10246</v>
      </c>
      <c r="B5143" s="8" t="s">
        <v>58746</v>
      </c>
      <c r="C5143" s="8" t="s">
        <v>10247</v>
      </c>
      <c r="D5143" s="8"/>
      <c r="E5143" s="6"/>
      <c r="F5143" s="6"/>
    </row>
    <row r="5144" spans="1:6" x14ac:dyDescent="0.3">
      <c r="A5144" s="8" t="s">
        <v>10248</v>
      </c>
      <c r="B5144" s="8" t="s">
        <v>58747</v>
      </c>
      <c r="C5144" s="8" t="s">
        <v>10249</v>
      </c>
      <c r="D5144" s="8"/>
      <c r="E5144" s="6"/>
      <c r="F5144" s="6"/>
    </row>
    <row r="5145" spans="1:6" x14ac:dyDescent="0.3">
      <c r="A5145" s="8" t="s">
        <v>10250</v>
      </c>
      <c r="B5145" s="8" t="s">
        <v>58748</v>
      </c>
      <c r="C5145" s="8" t="s">
        <v>10251</v>
      </c>
      <c r="D5145" s="8"/>
      <c r="E5145" s="6"/>
      <c r="F5145" s="6"/>
    </row>
    <row r="5146" spans="1:6" x14ac:dyDescent="0.3">
      <c r="A5146" s="8" t="s">
        <v>10252</v>
      </c>
      <c r="B5146" s="8" t="s">
        <v>58749</v>
      </c>
      <c r="C5146" s="8" t="s">
        <v>10253</v>
      </c>
      <c r="D5146" s="8"/>
      <c r="E5146" s="6"/>
      <c r="F5146" s="6"/>
    </row>
    <row r="5147" spans="1:6" x14ac:dyDescent="0.3">
      <c r="A5147" s="8" t="s">
        <v>10254</v>
      </c>
      <c r="B5147" s="8" t="s">
        <v>58750</v>
      </c>
      <c r="C5147" s="8" t="s">
        <v>10255</v>
      </c>
      <c r="D5147" s="8"/>
      <c r="E5147" s="6"/>
      <c r="F5147" s="6"/>
    </row>
    <row r="5148" spans="1:6" x14ac:dyDescent="0.3">
      <c r="A5148" s="8" t="s">
        <v>10256</v>
      </c>
      <c r="B5148" s="8" t="s">
        <v>58751</v>
      </c>
      <c r="C5148" s="8" t="s">
        <v>10257</v>
      </c>
      <c r="D5148" s="8"/>
      <c r="E5148" s="6"/>
      <c r="F5148" s="6"/>
    </row>
    <row r="5149" spans="1:6" x14ac:dyDescent="0.3">
      <c r="A5149" s="8" t="s">
        <v>10258</v>
      </c>
      <c r="B5149" s="8" t="s">
        <v>58752</v>
      </c>
      <c r="C5149" s="8" t="s">
        <v>10259</v>
      </c>
      <c r="D5149" s="8"/>
      <c r="E5149" s="6"/>
      <c r="F5149" s="6"/>
    </row>
    <row r="5150" spans="1:6" x14ac:dyDescent="0.3">
      <c r="A5150" s="8" t="s">
        <v>10260</v>
      </c>
      <c r="B5150" s="8" t="s">
        <v>58753</v>
      </c>
      <c r="C5150" s="8" t="s">
        <v>10261</v>
      </c>
      <c r="D5150" s="8"/>
      <c r="E5150" s="6"/>
      <c r="F5150" s="6"/>
    </row>
    <row r="5151" spans="1:6" x14ac:dyDescent="0.3">
      <c r="A5151" s="8" t="s">
        <v>10262</v>
      </c>
      <c r="B5151" s="8" t="s">
        <v>58754</v>
      </c>
      <c r="C5151" s="8" t="s">
        <v>10263</v>
      </c>
      <c r="D5151" s="8"/>
      <c r="E5151" s="6"/>
      <c r="F5151" s="6"/>
    </row>
    <row r="5152" spans="1:6" x14ac:dyDescent="0.3">
      <c r="A5152" s="8" t="s">
        <v>10264</v>
      </c>
      <c r="B5152" s="8" t="s">
        <v>58755</v>
      </c>
      <c r="C5152" s="8" t="s">
        <v>10265</v>
      </c>
      <c r="D5152" s="8"/>
      <c r="E5152" s="6"/>
      <c r="F5152" s="6"/>
    </row>
    <row r="5153" spans="1:6" x14ac:dyDescent="0.3">
      <c r="A5153" s="8" t="s">
        <v>10266</v>
      </c>
      <c r="B5153" s="8" t="s">
        <v>58756</v>
      </c>
      <c r="C5153" s="8" t="s">
        <v>10267</v>
      </c>
      <c r="D5153" s="8"/>
      <c r="E5153" s="6"/>
      <c r="F5153" s="6"/>
    </row>
    <row r="5154" spans="1:6" x14ac:dyDescent="0.3">
      <c r="A5154" s="8" t="s">
        <v>10268</v>
      </c>
      <c r="B5154" s="8" t="s">
        <v>58757</v>
      </c>
      <c r="C5154" s="8" t="s">
        <v>10269</v>
      </c>
      <c r="D5154" s="8"/>
      <c r="E5154" s="6"/>
      <c r="F5154" s="6"/>
    </row>
    <row r="5155" spans="1:6" x14ac:dyDescent="0.3">
      <c r="A5155" s="8" t="s">
        <v>10270</v>
      </c>
      <c r="B5155" s="8" t="s">
        <v>58758</v>
      </c>
      <c r="C5155" s="8" t="s">
        <v>10271</v>
      </c>
      <c r="D5155" s="8"/>
      <c r="E5155" s="6"/>
      <c r="F5155" s="6"/>
    </row>
    <row r="5156" spans="1:6" x14ac:dyDescent="0.3">
      <c r="A5156" s="8" t="s">
        <v>10272</v>
      </c>
      <c r="B5156" s="8" t="s">
        <v>58759</v>
      </c>
      <c r="C5156" s="8" t="s">
        <v>10273</v>
      </c>
      <c r="D5156" s="8"/>
      <c r="E5156" s="6"/>
      <c r="F5156" s="6"/>
    </row>
    <row r="5157" spans="1:6" x14ac:dyDescent="0.3">
      <c r="A5157" s="8" t="s">
        <v>10274</v>
      </c>
      <c r="B5157" s="8" t="s">
        <v>58760</v>
      </c>
      <c r="C5157" s="8" t="s">
        <v>10275</v>
      </c>
      <c r="D5157" s="8"/>
      <c r="E5157" s="6"/>
      <c r="F5157" s="6"/>
    </row>
    <row r="5158" spans="1:6" x14ac:dyDescent="0.3">
      <c r="A5158" s="8" t="s">
        <v>10276</v>
      </c>
      <c r="B5158" s="8" t="s">
        <v>58761</v>
      </c>
      <c r="C5158" s="8" t="s">
        <v>10277</v>
      </c>
      <c r="D5158" s="8"/>
      <c r="E5158" s="6"/>
      <c r="F5158" s="6"/>
    </row>
    <row r="5159" spans="1:6" x14ac:dyDescent="0.3">
      <c r="A5159" s="8" t="s">
        <v>10278</v>
      </c>
      <c r="B5159" s="8" t="s">
        <v>58762</v>
      </c>
      <c r="C5159" s="8" t="s">
        <v>10279</v>
      </c>
      <c r="D5159" s="8"/>
      <c r="E5159" s="6"/>
      <c r="F5159" s="6"/>
    </row>
    <row r="5160" spans="1:6" x14ac:dyDescent="0.3">
      <c r="A5160" s="8" t="s">
        <v>10280</v>
      </c>
      <c r="B5160" s="8" t="s">
        <v>58763</v>
      </c>
      <c r="C5160" s="8" t="s">
        <v>10281</v>
      </c>
      <c r="D5160" s="8"/>
      <c r="E5160" s="6"/>
      <c r="F5160" s="6"/>
    </row>
    <row r="5161" spans="1:6" x14ac:dyDescent="0.3">
      <c r="A5161" s="8" t="s">
        <v>10282</v>
      </c>
      <c r="B5161" s="8" t="s">
        <v>58764</v>
      </c>
      <c r="C5161" s="8" t="s">
        <v>10283</v>
      </c>
      <c r="D5161" s="8"/>
      <c r="E5161" s="6"/>
      <c r="F5161" s="6"/>
    </row>
    <row r="5162" spans="1:6" x14ac:dyDescent="0.3">
      <c r="A5162" s="8" t="s">
        <v>10284</v>
      </c>
      <c r="B5162" s="8" t="s">
        <v>58765</v>
      </c>
      <c r="C5162" s="8" t="s">
        <v>10285</v>
      </c>
      <c r="D5162" s="8"/>
      <c r="E5162" s="6"/>
      <c r="F5162" s="6"/>
    </row>
    <row r="5163" spans="1:6" x14ac:dyDescent="0.3">
      <c r="A5163" s="8" t="s">
        <v>10286</v>
      </c>
      <c r="B5163" s="8" t="s">
        <v>58766</v>
      </c>
      <c r="C5163" s="8" t="s">
        <v>10287</v>
      </c>
      <c r="D5163" s="8"/>
      <c r="E5163" s="6"/>
      <c r="F5163" s="6"/>
    </row>
    <row r="5164" spans="1:6" x14ac:dyDescent="0.3">
      <c r="A5164" s="8" t="s">
        <v>10288</v>
      </c>
      <c r="B5164" s="8" t="s">
        <v>58767</v>
      </c>
      <c r="C5164" s="8" t="s">
        <v>10289</v>
      </c>
      <c r="D5164" s="8"/>
      <c r="E5164" s="6"/>
      <c r="F5164" s="6"/>
    </row>
    <row r="5165" spans="1:6" x14ac:dyDescent="0.3">
      <c r="A5165" s="8" t="s">
        <v>10290</v>
      </c>
      <c r="B5165" s="8" t="s">
        <v>58768</v>
      </c>
      <c r="C5165" s="8" t="s">
        <v>10291</v>
      </c>
      <c r="D5165" s="8"/>
      <c r="E5165" s="6"/>
      <c r="F5165" s="6"/>
    </row>
    <row r="5166" spans="1:6" x14ac:dyDescent="0.3">
      <c r="A5166" s="8" t="s">
        <v>10292</v>
      </c>
      <c r="B5166" s="8" t="s">
        <v>58769</v>
      </c>
      <c r="C5166" s="8" t="s">
        <v>10293</v>
      </c>
      <c r="D5166" s="8"/>
      <c r="E5166" s="6"/>
      <c r="F5166" s="6"/>
    </row>
    <row r="5167" spans="1:6" x14ac:dyDescent="0.3">
      <c r="A5167" s="8" t="s">
        <v>10294</v>
      </c>
      <c r="B5167" s="8" t="s">
        <v>58770</v>
      </c>
      <c r="C5167" s="8" t="s">
        <v>10295</v>
      </c>
      <c r="D5167" s="8"/>
      <c r="E5167" s="6"/>
      <c r="F5167" s="6"/>
    </row>
    <row r="5168" spans="1:6" x14ac:dyDescent="0.3">
      <c r="A5168" s="8" t="s">
        <v>10296</v>
      </c>
      <c r="B5168" s="8" t="s">
        <v>58771</v>
      </c>
      <c r="C5168" s="8" t="s">
        <v>10297</v>
      </c>
      <c r="D5168" s="8"/>
      <c r="E5168" s="6"/>
      <c r="F5168" s="6"/>
    </row>
    <row r="5169" spans="1:6" x14ac:dyDescent="0.3">
      <c r="A5169" s="8" t="s">
        <v>10298</v>
      </c>
      <c r="B5169" s="8" t="s">
        <v>58772</v>
      </c>
      <c r="C5169" s="8" t="s">
        <v>10299</v>
      </c>
      <c r="D5169" s="8"/>
      <c r="E5169" s="6"/>
      <c r="F5169" s="6"/>
    </row>
    <row r="5170" spans="1:6" x14ac:dyDescent="0.3">
      <c r="A5170" s="8" t="s">
        <v>10300</v>
      </c>
      <c r="B5170" s="8" t="s">
        <v>58773</v>
      </c>
      <c r="C5170" s="8" t="s">
        <v>10301</v>
      </c>
      <c r="D5170" s="8"/>
      <c r="E5170" s="6"/>
      <c r="F5170" s="6"/>
    </row>
    <row r="5171" spans="1:6" x14ac:dyDescent="0.3">
      <c r="A5171" s="8" t="s">
        <v>10302</v>
      </c>
      <c r="B5171" s="8" t="s">
        <v>58774</v>
      </c>
      <c r="C5171" s="8" t="s">
        <v>10303</v>
      </c>
      <c r="D5171" s="8"/>
      <c r="E5171" s="6"/>
      <c r="F5171" s="6"/>
    </row>
    <row r="5172" spans="1:6" x14ac:dyDescent="0.3">
      <c r="A5172" s="8" t="s">
        <v>10304</v>
      </c>
      <c r="B5172" s="8" t="s">
        <v>58775</v>
      </c>
      <c r="C5172" s="8" t="s">
        <v>10305</v>
      </c>
      <c r="D5172" s="8"/>
      <c r="E5172" s="6"/>
      <c r="F5172" s="6"/>
    </row>
    <row r="5173" spans="1:6" x14ac:dyDescent="0.3">
      <c r="A5173" s="8" t="s">
        <v>10306</v>
      </c>
      <c r="B5173" s="8" t="s">
        <v>58776</v>
      </c>
      <c r="C5173" s="8" t="s">
        <v>10307</v>
      </c>
      <c r="D5173" s="8"/>
      <c r="E5173" s="6"/>
      <c r="F5173" s="6"/>
    </row>
    <row r="5174" spans="1:6" x14ac:dyDescent="0.3">
      <c r="A5174" s="8" t="s">
        <v>10308</v>
      </c>
      <c r="B5174" s="8" t="s">
        <v>58777</v>
      </c>
      <c r="C5174" s="8" t="s">
        <v>10309</v>
      </c>
      <c r="D5174" s="8"/>
      <c r="E5174" s="6"/>
      <c r="F5174" s="6"/>
    </row>
    <row r="5175" spans="1:6" x14ac:dyDescent="0.3">
      <c r="A5175" s="8" t="s">
        <v>10310</v>
      </c>
      <c r="B5175" s="8" t="s">
        <v>58778</v>
      </c>
      <c r="C5175" s="8" t="s">
        <v>10311</v>
      </c>
      <c r="D5175" s="8"/>
      <c r="E5175" s="6"/>
      <c r="F5175" s="6"/>
    </row>
    <row r="5176" spans="1:6" x14ac:dyDescent="0.3">
      <c r="A5176" s="8" t="s">
        <v>10312</v>
      </c>
      <c r="B5176" s="8" t="s">
        <v>58779</v>
      </c>
      <c r="C5176" s="8" t="s">
        <v>10313</v>
      </c>
      <c r="D5176" s="8"/>
      <c r="E5176" s="6"/>
      <c r="F5176" s="6"/>
    </row>
    <row r="5177" spans="1:6" x14ac:dyDescent="0.3">
      <c r="A5177" s="8" t="s">
        <v>10314</v>
      </c>
      <c r="B5177" s="8" t="s">
        <v>58780</v>
      </c>
      <c r="C5177" s="8" t="s">
        <v>10315</v>
      </c>
      <c r="D5177" s="8"/>
      <c r="E5177" s="6"/>
      <c r="F5177" s="6"/>
    </row>
    <row r="5178" spans="1:6" x14ac:dyDescent="0.3">
      <c r="A5178" s="8" t="s">
        <v>10316</v>
      </c>
      <c r="B5178" s="8" t="s">
        <v>58781</v>
      </c>
      <c r="C5178" s="8" t="s">
        <v>10317</v>
      </c>
      <c r="D5178" s="8"/>
      <c r="E5178" s="6"/>
      <c r="F5178" s="6"/>
    </row>
    <row r="5179" spans="1:6" x14ac:dyDescent="0.3">
      <c r="A5179" s="8" t="s">
        <v>10318</v>
      </c>
      <c r="B5179" s="8" t="s">
        <v>58782</v>
      </c>
      <c r="C5179" s="8" t="s">
        <v>10319</v>
      </c>
      <c r="D5179" s="8"/>
      <c r="E5179" s="6"/>
      <c r="F5179" s="6"/>
    </row>
    <row r="5180" spans="1:6" x14ac:dyDescent="0.3">
      <c r="A5180" s="8" t="s">
        <v>10320</v>
      </c>
      <c r="B5180" s="8" t="s">
        <v>58783</v>
      </c>
      <c r="C5180" s="8" t="s">
        <v>10321</v>
      </c>
      <c r="D5180" s="8"/>
      <c r="E5180" s="6"/>
      <c r="F5180" s="6"/>
    </row>
    <row r="5181" spans="1:6" x14ac:dyDescent="0.3">
      <c r="A5181" s="8" t="s">
        <v>10322</v>
      </c>
      <c r="B5181" s="8" t="s">
        <v>58784</v>
      </c>
      <c r="C5181" s="8" t="s">
        <v>10323</v>
      </c>
      <c r="D5181" s="8"/>
      <c r="E5181" s="6"/>
      <c r="F5181" s="6"/>
    </row>
    <row r="5182" spans="1:6" x14ac:dyDescent="0.3">
      <c r="A5182" s="8" t="s">
        <v>10324</v>
      </c>
      <c r="B5182" s="8" t="s">
        <v>58785</v>
      </c>
      <c r="C5182" s="8" t="s">
        <v>10325</v>
      </c>
      <c r="D5182" s="8"/>
      <c r="E5182" s="6"/>
      <c r="F5182" s="6"/>
    </row>
    <row r="5183" spans="1:6" x14ac:dyDescent="0.3">
      <c r="A5183" s="8" t="s">
        <v>10326</v>
      </c>
      <c r="B5183" s="8" t="s">
        <v>58786</v>
      </c>
      <c r="C5183" s="8" t="s">
        <v>10327</v>
      </c>
      <c r="D5183" s="8"/>
      <c r="E5183" s="6"/>
      <c r="F5183" s="6"/>
    </row>
    <row r="5184" spans="1:6" x14ac:dyDescent="0.3">
      <c r="A5184" s="8" t="s">
        <v>10328</v>
      </c>
      <c r="B5184" s="8" t="s">
        <v>58787</v>
      </c>
      <c r="C5184" s="8" t="s">
        <v>10329</v>
      </c>
      <c r="D5184" s="8"/>
      <c r="E5184" s="6"/>
      <c r="F5184" s="6"/>
    </row>
    <row r="5185" spans="1:6" x14ac:dyDescent="0.3">
      <c r="A5185" s="8" t="s">
        <v>10330</v>
      </c>
      <c r="B5185" s="8" t="s">
        <v>58788</v>
      </c>
      <c r="C5185" s="8" t="s">
        <v>10331</v>
      </c>
      <c r="D5185" s="8"/>
      <c r="E5185" s="6"/>
      <c r="F5185" s="6"/>
    </row>
    <row r="5186" spans="1:6" x14ac:dyDescent="0.3">
      <c r="A5186" s="8" t="s">
        <v>10332</v>
      </c>
      <c r="B5186" s="8" t="s">
        <v>58789</v>
      </c>
      <c r="C5186" s="8" t="s">
        <v>10333</v>
      </c>
      <c r="D5186" s="8"/>
      <c r="E5186" s="6"/>
      <c r="F5186" s="6"/>
    </row>
    <row r="5187" spans="1:6" x14ac:dyDescent="0.3">
      <c r="A5187" s="8" t="s">
        <v>10334</v>
      </c>
      <c r="B5187" s="8" t="s">
        <v>58790</v>
      </c>
      <c r="C5187" s="8" t="s">
        <v>10335</v>
      </c>
      <c r="D5187" s="8"/>
      <c r="E5187" s="6"/>
      <c r="F5187" s="6"/>
    </row>
    <row r="5188" spans="1:6" x14ac:dyDescent="0.3">
      <c r="A5188" s="8" t="s">
        <v>10336</v>
      </c>
      <c r="B5188" s="8" t="s">
        <v>58791</v>
      </c>
      <c r="C5188" s="8" t="s">
        <v>10337</v>
      </c>
      <c r="D5188" s="8"/>
      <c r="E5188" s="6"/>
      <c r="F5188" s="6"/>
    </row>
    <row r="5189" spans="1:6" x14ac:dyDescent="0.3">
      <c r="A5189" s="8" t="s">
        <v>10338</v>
      </c>
      <c r="B5189" s="8" t="s">
        <v>58792</v>
      </c>
      <c r="C5189" s="8" t="s">
        <v>10339</v>
      </c>
      <c r="D5189" s="8"/>
      <c r="E5189" s="6"/>
      <c r="F5189" s="6"/>
    </row>
    <row r="5190" spans="1:6" x14ac:dyDescent="0.3">
      <c r="A5190" s="8" t="s">
        <v>10340</v>
      </c>
      <c r="B5190" s="8" t="s">
        <v>58793</v>
      </c>
      <c r="C5190" s="8" t="s">
        <v>10341</v>
      </c>
      <c r="D5190" s="8"/>
      <c r="E5190" s="6"/>
      <c r="F5190" s="6"/>
    </row>
    <row r="5191" spans="1:6" x14ac:dyDescent="0.3">
      <c r="A5191" s="8" t="s">
        <v>10342</v>
      </c>
      <c r="B5191" s="8" t="s">
        <v>58794</v>
      </c>
      <c r="C5191" s="8" t="s">
        <v>10343</v>
      </c>
      <c r="D5191" s="8"/>
      <c r="E5191" s="6"/>
      <c r="F5191" s="6"/>
    </row>
    <row r="5192" spans="1:6" x14ac:dyDescent="0.3">
      <c r="A5192" s="8" t="s">
        <v>10344</v>
      </c>
      <c r="B5192" s="8" t="s">
        <v>58795</v>
      </c>
      <c r="C5192" s="8" t="s">
        <v>10345</v>
      </c>
      <c r="D5192" s="8"/>
      <c r="E5192" s="6"/>
      <c r="F5192" s="6"/>
    </row>
    <row r="5193" spans="1:6" x14ac:dyDescent="0.3">
      <c r="A5193" s="8" t="s">
        <v>10346</v>
      </c>
      <c r="B5193" s="8" t="s">
        <v>58796</v>
      </c>
      <c r="C5193" s="8" t="s">
        <v>10347</v>
      </c>
      <c r="D5193" s="8"/>
      <c r="E5193" s="6"/>
      <c r="F5193" s="6"/>
    </row>
    <row r="5194" spans="1:6" x14ac:dyDescent="0.3">
      <c r="A5194" s="8" t="s">
        <v>10348</v>
      </c>
      <c r="B5194" s="8" t="s">
        <v>58797</v>
      </c>
      <c r="C5194" s="8" t="s">
        <v>10349</v>
      </c>
      <c r="D5194" s="8"/>
      <c r="E5194" s="6"/>
      <c r="F5194" s="6"/>
    </row>
    <row r="5195" spans="1:6" x14ac:dyDescent="0.3">
      <c r="A5195" s="8" t="s">
        <v>10350</v>
      </c>
      <c r="B5195" s="8" t="s">
        <v>58798</v>
      </c>
      <c r="C5195" s="8" t="s">
        <v>10351</v>
      </c>
      <c r="D5195" s="8"/>
      <c r="E5195" s="6"/>
      <c r="F5195" s="6"/>
    </row>
    <row r="5196" spans="1:6" x14ac:dyDescent="0.3">
      <c r="A5196" s="8" t="s">
        <v>10352</v>
      </c>
      <c r="B5196" s="8" t="s">
        <v>58799</v>
      </c>
      <c r="C5196" s="8" t="s">
        <v>10353</v>
      </c>
      <c r="D5196" s="8"/>
      <c r="E5196" s="6"/>
      <c r="F5196" s="6"/>
    </row>
    <row r="5197" spans="1:6" x14ac:dyDescent="0.3">
      <c r="A5197" s="8" t="s">
        <v>10354</v>
      </c>
      <c r="B5197" s="8" t="s">
        <v>58800</v>
      </c>
      <c r="C5197" s="8" t="s">
        <v>10355</v>
      </c>
      <c r="D5197" s="8"/>
      <c r="E5197" s="6"/>
      <c r="F5197" s="6"/>
    </row>
    <row r="5198" spans="1:6" x14ac:dyDescent="0.3">
      <c r="A5198" s="8" t="s">
        <v>10356</v>
      </c>
      <c r="B5198" s="8" t="s">
        <v>58801</v>
      </c>
      <c r="C5198" s="8" t="s">
        <v>10357</v>
      </c>
      <c r="D5198" s="8"/>
      <c r="E5198" s="6"/>
      <c r="F5198" s="6"/>
    </row>
    <row r="5199" spans="1:6" x14ac:dyDescent="0.3">
      <c r="A5199" s="8" t="s">
        <v>10358</v>
      </c>
      <c r="B5199" s="8" t="s">
        <v>58802</v>
      </c>
      <c r="C5199" s="8" t="s">
        <v>10359</v>
      </c>
      <c r="D5199" s="8"/>
      <c r="E5199" s="6"/>
      <c r="F5199" s="6"/>
    </row>
    <row r="5200" spans="1:6" x14ac:dyDescent="0.3">
      <c r="A5200" s="8" t="s">
        <v>10360</v>
      </c>
      <c r="B5200" s="8" t="s">
        <v>58803</v>
      </c>
      <c r="C5200" s="8" t="s">
        <v>10361</v>
      </c>
      <c r="D5200" s="8"/>
      <c r="E5200" s="6"/>
      <c r="F5200" s="6"/>
    </row>
    <row r="5201" spans="1:6" x14ac:dyDescent="0.3">
      <c r="A5201" s="8" t="s">
        <v>10362</v>
      </c>
      <c r="B5201" s="8" t="s">
        <v>58804</v>
      </c>
      <c r="C5201" s="8" t="s">
        <v>10363</v>
      </c>
      <c r="D5201" s="8"/>
      <c r="E5201" s="6"/>
      <c r="F5201" s="6"/>
    </row>
    <row r="5202" spans="1:6" x14ac:dyDescent="0.3">
      <c r="A5202" s="8" t="s">
        <v>10364</v>
      </c>
      <c r="B5202" s="8" t="s">
        <v>58805</v>
      </c>
      <c r="C5202" s="8" t="s">
        <v>10365</v>
      </c>
      <c r="D5202" s="8"/>
      <c r="E5202" s="6"/>
      <c r="F5202" s="6"/>
    </row>
    <row r="5203" spans="1:6" x14ac:dyDescent="0.3">
      <c r="A5203" s="8" t="s">
        <v>10366</v>
      </c>
      <c r="B5203" s="8" t="s">
        <v>58806</v>
      </c>
      <c r="C5203" s="8" t="s">
        <v>10367</v>
      </c>
      <c r="D5203" s="8"/>
      <c r="E5203" s="6"/>
      <c r="F5203" s="6"/>
    </row>
    <row r="5204" spans="1:6" x14ac:dyDescent="0.3">
      <c r="A5204" s="8" t="s">
        <v>10368</v>
      </c>
      <c r="B5204" s="8" t="s">
        <v>58807</v>
      </c>
      <c r="C5204" s="8" t="s">
        <v>10369</v>
      </c>
      <c r="D5204" s="8"/>
      <c r="E5204" s="6"/>
      <c r="F5204" s="6"/>
    </row>
    <row r="5205" spans="1:6" x14ac:dyDescent="0.3">
      <c r="A5205" s="8" t="s">
        <v>10370</v>
      </c>
      <c r="B5205" s="8" t="s">
        <v>58808</v>
      </c>
      <c r="C5205" s="8" t="s">
        <v>10371</v>
      </c>
      <c r="D5205" s="8"/>
      <c r="E5205" s="6"/>
      <c r="F5205" s="6"/>
    </row>
    <row r="5206" spans="1:6" x14ac:dyDescent="0.3">
      <c r="A5206" s="8" t="s">
        <v>10372</v>
      </c>
      <c r="B5206" s="8" t="s">
        <v>58809</v>
      </c>
      <c r="C5206" s="8" t="s">
        <v>10373</v>
      </c>
      <c r="D5206" s="8"/>
      <c r="E5206" s="6"/>
      <c r="F5206" s="6"/>
    </row>
    <row r="5207" spans="1:6" x14ac:dyDescent="0.3">
      <c r="A5207" s="8" t="s">
        <v>10374</v>
      </c>
      <c r="B5207" s="8" t="s">
        <v>58810</v>
      </c>
      <c r="C5207" s="8" t="s">
        <v>10375</v>
      </c>
      <c r="D5207" s="8"/>
      <c r="E5207" s="6"/>
      <c r="F5207" s="6"/>
    </row>
    <row r="5208" spans="1:6" x14ac:dyDescent="0.3">
      <c r="A5208" s="8" t="s">
        <v>10376</v>
      </c>
      <c r="B5208" s="8" t="s">
        <v>58811</v>
      </c>
      <c r="C5208" s="8" t="s">
        <v>10377</v>
      </c>
      <c r="D5208" s="8"/>
      <c r="E5208" s="6"/>
      <c r="F5208" s="6"/>
    </row>
    <row r="5209" spans="1:6" x14ac:dyDescent="0.3">
      <c r="A5209" s="8" t="s">
        <v>10378</v>
      </c>
      <c r="B5209" s="8" t="s">
        <v>58812</v>
      </c>
      <c r="C5209" s="8" t="s">
        <v>10379</v>
      </c>
      <c r="D5209" s="8"/>
      <c r="E5209" s="6"/>
      <c r="F5209" s="6"/>
    </row>
    <row r="5210" spans="1:6" x14ac:dyDescent="0.3">
      <c r="A5210" s="8" t="s">
        <v>10380</v>
      </c>
      <c r="B5210" s="8" t="s">
        <v>58813</v>
      </c>
      <c r="C5210" s="8" t="s">
        <v>10381</v>
      </c>
      <c r="D5210" s="8"/>
      <c r="E5210" s="6"/>
      <c r="F5210" s="6"/>
    </row>
    <row r="5211" spans="1:6" x14ac:dyDescent="0.3">
      <c r="A5211" s="8" t="s">
        <v>10382</v>
      </c>
      <c r="B5211" s="8" t="s">
        <v>58814</v>
      </c>
      <c r="C5211" s="8" t="s">
        <v>10383</v>
      </c>
      <c r="D5211" s="8"/>
      <c r="E5211" s="6"/>
      <c r="F5211" s="6"/>
    </row>
    <row r="5212" spans="1:6" x14ac:dyDescent="0.3">
      <c r="A5212" s="8" t="s">
        <v>10384</v>
      </c>
      <c r="B5212" s="8" t="s">
        <v>58815</v>
      </c>
      <c r="C5212" s="8" t="s">
        <v>10385</v>
      </c>
      <c r="D5212" s="8"/>
      <c r="E5212" s="6"/>
      <c r="F5212" s="6"/>
    </row>
    <row r="5213" spans="1:6" x14ac:dyDescent="0.3">
      <c r="A5213" s="8" t="s">
        <v>10386</v>
      </c>
      <c r="B5213" s="8" t="s">
        <v>58816</v>
      </c>
      <c r="C5213" s="8" t="s">
        <v>10387</v>
      </c>
      <c r="D5213" s="8"/>
      <c r="E5213" s="6"/>
      <c r="F5213" s="6"/>
    </row>
    <row r="5214" spans="1:6" x14ac:dyDescent="0.3">
      <c r="A5214" s="8" t="s">
        <v>10388</v>
      </c>
      <c r="B5214" s="8" t="s">
        <v>58817</v>
      </c>
      <c r="C5214" s="8" t="s">
        <v>10389</v>
      </c>
      <c r="D5214" s="8"/>
      <c r="E5214" s="6"/>
      <c r="F5214" s="6"/>
    </row>
    <row r="5215" spans="1:6" x14ac:dyDescent="0.3">
      <c r="A5215" s="8" t="s">
        <v>10390</v>
      </c>
      <c r="B5215" s="8" t="s">
        <v>58818</v>
      </c>
      <c r="C5215" s="8" t="s">
        <v>10391</v>
      </c>
      <c r="D5215" s="8"/>
      <c r="E5215" s="6"/>
      <c r="F5215" s="6"/>
    </row>
    <row r="5216" spans="1:6" x14ac:dyDescent="0.3">
      <c r="A5216" s="8" t="s">
        <v>10392</v>
      </c>
      <c r="B5216" s="8" t="s">
        <v>58819</v>
      </c>
      <c r="C5216" s="8" t="s">
        <v>10393</v>
      </c>
      <c r="D5216" s="8"/>
      <c r="E5216" s="6"/>
      <c r="F5216" s="6"/>
    </row>
    <row r="5217" spans="1:6" x14ac:dyDescent="0.3">
      <c r="A5217" s="8" t="s">
        <v>10394</v>
      </c>
      <c r="B5217" s="8" t="s">
        <v>58820</v>
      </c>
      <c r="C5217" s="8" t="s">
        <v>10395</v>
      </c>
      <c r="D5217" s="8"/>
      <c r="E5217" s="6"/>
      <c r="F5217" s="6"/>
    </row>
    <row r="5218" spans="1:6" x14ac:dyDescent="0.3">
      <c r="A5218" s="8" t="s">
        <v>10396</v>
      </c>
      <c r="B5218" s="8" t="s">
        <v>58821</v>
      </c>
      <c r="C5218" s="8" t="s">
        <v>10397</v>
      </c>
      <c r="D5218" s="8"/>
      <c r="E5218" s="6"/>
      <c r="F5218" s="6"/>
    </row>
    <row r="5219" spans="1:6" x14ac:dyDescent="0.3">
      <c r="A5219" s="8" t="s">
        <v>10398</v>
      </c>
      <c r="B5219" s="8" t="s">
        <v>58822</v>
      </c>
      <c r="C5219" s="8" t="s">
        <v>10399</v>
      </c>
      <c r="D5219" s="8"/>
      <c r="E5219" s="6"/>
      <c r="F5219" s="6"/>
    </row>
    <row r="5220" spans="1:6" x14ac:dyDescent="0.3">
      <c r="A5220" s="8" t="s">
        <v>10400</v>
      </c>
      <c r="B5220" s="8" t="s">
        <v>58823</v>
      </c>
      <c r="C5220" s="8" t="s">
        <v>10401</v>
      </c>
      <c r="D5220" s="8"/>
      <c r="E5220" s="6"/>
      <c r="F5220" s="6"/>
    </row>
    <row r="5221" spans="1:6" x14ac:dyDescent="0.3">
      <c r="A5221" s="8" t="s">
        <v>10402</v>
      </c>
      <c r="B5221" s="8" t="s">
        <v>58824</v>
      </c>
      <c r="C5221" s="8" t="s">
        <v>10403</v>
      </c>
      <c r="D5221" s="8"/>
      <c r="E5221" s="6"/>
      <c r="F5221" s="6"/>
    </row>
    <row r="5222" spans="1:6" x14ac:dyDescent="0.3">
      <c r="A5222" s="8" t="s">
        <v>10404</v>
      </c>
      <c r="B5222" s="8" t="s">
        <v>58825</v>
      </c>
      <c r="C5222" s="8" t="s">
        <v>10405</v>
      </c>
      <c r="D5222" s="8"/>
      <c r="E5222" s="6"/>
      <c r="F5222" s="6"/>
    </row>
    <row r="5223" spans="1:6" x14ac:dyDescent="0.3">
      <c r="A5223" s="8" t="s">
        <v>10406</v>
      </c>
      <c r="B5223" s="8" t="s">
        <v>58826</v>
      </c>
      <c r="C5223" s="8" t="s">
        <v>10407</v>
      </c>
      <c r="D5223" s="8"/>
      <c r="E5223" s="6"/>
      <c r="F5223" s="6"/>
    </row>
    <row r="5224" spans="1:6" x14ac:dyDescent="0.3">
      <c r="A5224" s="8" t="s">
        <v>10408</v>
      </c>
      <c r="B5224" s="8" t="s">
        <v>58827</v>
      </c>
      <c r="C5224" s="8" t="s">
        <v>10409</v>
      </c>
      <c r="D5224" s="8"/>
      <c r="E5224" s="6"/>
      <c r="F5224" s="6"/>
    </row>
    <row r="5225" spans="1:6" x14ac:dyDescent="0.3">
      <c r="A5225" s="8" t="s">
        <v>10410</v>
      </c>
      <c r="B5225" s="8" t="s">
        <v>58828</v>
      </c>
      <c r="C5225" s="8" t="s">
        <v>10411</v>
      </c>
      <c r="D5225" s="8"/>
      <c r="E5225" s="6"/>
      <c r="F5225" s="6"/>
    </row>
    <row r="5226" spans="1:6" x14ac:dyDescent="0.3">
      <c r="A5226" s="8" t="s">
        <v>10412</v>
      </c>
      <c r="B5226" s="8" t="s">
        <v>58829</v>
      </c>
      <c r="C5226" s="8" t="s">
        <v>10413</v>
      </c>
      <c r="D5226" s="8"/>
      <c r="E5226" s="6"/>
      <c r="F5226" s="6"/>
    </row>
    <row r="5227" spans="1:6" x14ac:dyDescent="0.3">
      <c r="A5227" s="8" t="s">
        <v>10414</v>
      </c>
      <c r="B5227" s="8" t="s">
        <v>58830</v>
      </c>
      <c r="C5227" s="8" t="s">
        <v>10415</v>
      </c>
      <c r="D5227" s="8"/>
      <c r="E5227" s="6"/>
      <c r="F5227" s="6"/>
    </row>
    <row r="5228" spans="1:6" x14ac:dyDescent="0.3">
      <c r="A5228" s="8" t="s">
        <v>10416</v>
      </c>
      <c r="B5228" s="8" t="s">
        <v>58831</v>
      </c>
      <c r="C5228" s="8" t="s">
        <v>10417</v>
      </c>
      <c r="D5228" s="8"/>
      <c r="E5228" s="6"/>
      <c r="F5228" s="6"/>
    </row>
    <row r="5229" spans="1:6" x14ac:dyDescent="0.3">
      <c r="A5229" s="8" t="s">
        <v>10418</v>
      </c>
      <c r="B5229" s="8" t="s">
        <v>58832</v>
      </c>
      <c r="C5229" s="8" t="s">
        <v>10419</v>
      </c>
      <c r="D5229" s="8"/>
      <c r="E5229" s="6"/>
      <c r="F5229" s="6"/>
    </row>
    <row r="5230" spans="1:6" x14ac:dyDescent="0.3">
      <c r="A5230" s="8" t="s">
        <v>10420</v>
      </c>
      <c r="B5230" s="8" t="s">
        <v>58833</v>
      </c>
      <c r="C5230" s="8" t="s">
        <v>10421</v>
      </c>
      <c r="D5230" s="8"/>
      <c r="E5230" s="6"/>
      <c r="F5230" s="6"/>
    </row>
    <row r="5231" spans="1:6" x14ac:dyDescent="0.3">
      <c r="A5231" s="8" t="s">
        <v>10422</v>
      </c>
      <c r="B5231" s="8" t="s">
        <v>58834</v>
      </c>
      <c r="C5231" s="8" t="s">
        <v>10423</v>
      </c>
      <c r="D5231" s="8"/>
      <c r="E5231" s="6"/>
      <c r="F5231" s="6"/>
    </row>
    <row r="5232" spans="1:6" x14ac:dyDescent="0.3">
      <c r="A5232" s="8" t="s">
        <v>10424</v>
      </c>
      <c r="B5232" s="8" t="s">
        <v>58835</v>
      </c>
      <c r="C5232" s="8" t="s">
        <v>10425</v>
      </c>
      <c r="D5232" s="8"/>
      <c r="E5232" s="6"/>
      <c r="F5232" s="6"/>
    </row>
    <row r="5233" spans="1:6" x14ac:dyDescent="0.3">
      <c r="A5233" s="8" t="s">
        <v>10426</v>
      </c>
      <c r="B5233" s="8" t="s">
        <v>58836</v>
      </c>
      <c r="C5233" s="8" t="s">
        <v>10427</v>
      </c>
      <c r="D5233" s="8"/>
      <c r="E5233" s="6"/>
      <c r="F5233" s="6"/>
    </row>
    <row r="5234" spans="1:6" x14ac:dyDescent="0.3">
      <c r="A5234" s="8" t="s">
        <v>10428</v>
      </c>
      <c r="B5234" s="8" t="s">
        <v>58837</v>
      </c>
      <c r="C5234" s="8" t="s">
        <v>10429</v>
      </c>
      <c r="D5234" s="8"/>
      <c r="E5234" s="6"/>
      <c r="F5234" s="6"/>
    </row>
    <row r="5235" spans="1:6" x14ac:dyDescent="0.3">
      <c r="A5235" s="8" t="s">
        <v>10430</v>
      </c>
      <c r="B5235" s="8" t="s">
        <v>58838</v>
      </c>
      <c r="C5235" s="8" t="s">
        <v>10431</v>
      </c>
      <c r="D5235" s="8"/>
      <c r="E5235" s="6"/>
      <c r="F5235" s="6"/>
    </row>
    <row r="5236" spans="1:6" x14ac:dyDescent="0.3">
      <c r="A5236" s="8" t="s">
        <v>10432</v>
      </c>
      <c r="B5236" s="8" t="s">
        <v>58839</v>
      </c>
      <c r="C5236" s="8" t="s">
        <v>10433</v>
      </c>
      <c r="D5236" s="8"/>
      <c r="E5236" s="6"/>
      <c r="F5236" s="6"/>
    </row>
    <row r="5237" spans="1:6" x14ac:dyDescent="0.3">
      <c r="A5237" s="8" t="s">
        <v>10434</v>
      </c>
      <c r="B5237" s="8" t="s">
        <v>58840</v>
      </c>
      <c r="C5237" s="8" t="s">
        <v>10435</v>
      </c>
      <c r="D5237" s="8"/>
      <c r="E5237" s="6"/>
      <c r="F5237" s="6"/>
    </row>
    <row r="5238" spans="1:6" x14ac:dyDescent="0.3">
      <c r="A5238" s="8" t="s">
        <v>10436</v>
      </c>
      <c r="B5238" s="8" t="s">
        <v>58841</v>
      </c>
      <c r="C5238" s="8" t="s">
        <v>10437</v>
      </c>
      <c r="D5238" s="8"/>
      <c r="E5238" s="6"/>
      <c r="F5238" s="6"/>
    </row>
    <row r="5239" spans="1:6" x14ac:dyDescent="0.3">
      <c r="A5239" s="8" t="s">
        <v>10438</v>
      </c>
      <c r="B5239" s="8" t="s">
        <v>58842</v>
      </c>
      <c r="C5239" s="8" t="s">
        <v>10439</v>
      </c>
      <c r="D5239" s="8"/>
      <c r="E5239" s="6"/>
      <c r="F5239" s="6"/>
    </row>
    <row r="5240" spans="1:6" x14ac:dyDescent="0.3">
      <c r="A5240" s="8" t="s">
        <v>10440</v>
      </c>
      <c r="B5240" s="8" t="s">
        <v>58843</v>
      </c>
      <c r="C5240" s="8" t="s">
        <v>10441</v>
      </c>
      <c r="D5240" s="8"/>
      <c r="E5240" s="6"/>
      <c r="F5240" s="6"/>
    </row>
    <row r="5241" spans="1:6" x14ac:dyDescent="0.3">
      <c r="A5241" s="8" t="s">
        <v>10442</v>
      </c>
      <c r="B5241" s="8" t="s">
        <v>58844</v>
      </c>
      <c r="C5241" s="8" t="s">
        <v>10443</v>
      </c>
      <c r="D5241" s="8"/>
      <c r="E5241" s="6"/>
      <c r="F5241" s="6"/>
    </row>
    <row r="5242" spans="1:6" x14ac:dyDescent="0.3">
      <c r="A5242" s="8" t="s">
        <v>10444</v>
      </c>
      <c r="B5242" s="8" t="s">
        <v>58845</v>
      </c>
      <c r="C5242" s="8" t="s">
        <v>10445</v>
      </c>
      <c r="D5242" s="8"/>
      <c r="E5242" s="6"/>
      <c r="F5242" s="6"/>
    </row>
    <row r="5243" spans="1:6" x14ac:dyDescent="0.3">
      <c r="A5243" s="8" t="s">
        <v>10446</v>
      </c>
      <c r="B5243" s="8" t="s">
        <v>58846</v>
      </c>
      <c r="C5243" s="8" t="s">
        <v>10447</v>
      </c>
      <c r="D5243" s="8"/>
      <c r="E5243" s="6"/>
      <c r="F5243" s="6"/>
    </row>
    <row r="5244" spans="1:6" x14ac:dyDescent="0.3">
      <c r="A5244" s="8" t="s">
        <v>10448</v>
      </c>
      <c r="B5244" s="8" t="s">
        <v>58847</v>
      </c>
      <c r="C5244" s="8" t="s">
        <v>10449</v>
      </c>
      <c r="D5244" s="8"/>
      <c r="E5244" s="6"/>
      <c r="F5244" s="6"/>
    </row>
    <row r="5245" spans="1:6" x14ac:dyDescent="0.3">
      <c r="A5245" s="8" t="s">
        <v>10450</v>
      </c>
      <c r="B5245" s="8" t="s">
        <v>58848</v>
      </c>
      <c r="C5245" s="8" t="s">
        <v>10451</v>
      </c>
      <c r="D5245" s="8"/>
      <c r="E5245" s="6"/>
      <c r="F5245" s="6"/>
    </row>
    <row r="5246" spans="1:6" x14ac:dyDescent="0.3">
      <c r="A5246" s="8" t="s">
        <v>10452</v>
      </c>
      <c r="B5246" s="8" t="s">
        <v>58849</v>
      </c>
      <c r="C5246" s="8" t="s">
        <v>10453</v>
      </c>
      <c r="D5246" s="8"/>
      <c r="E5246" s="6"/>
      <c r="F5246" s="6"/>
    </row>
    <row r="5247" spans="1:6" x14ac:dyDescent="0.3">
      <c r="A5247" s="8" t="s">
        <v>10454</v>
      </c>
      <c r="B5247" s="8" t="s">
        <v>58850</v>
      </c>
      <c r="C5247" s="8" t="s">
        <v>10455</v>
      </c>
      <c r="D5247" s="8"/>
      <c r="E5247" s="6"/>
      <c r="F5247" s="6"/>
    </row>
    <row r="5248" spans="1:6" x14ac:dyDescent="0.3">
      <c r="A5248" s="8" t="s">
        <v>10456</v>
      </c>
      <c r="B5248" s="8" t="s">
        <v>58851</v>
      </c>
      <c r="C5248" s="8" t="s">
        <v>10457</v>
      </c>
      <c r="D5248" s="8"/>
      <c r="E5248" s="6"/>
      <c r="F5248" s="6"/>
    </row>
    <row r="5249" spans="1:6" x14ac:dyDescent="0.3">
      <c r="A5249" s="8" t="s">
        <v>10458</v>
      </c>
      <c r="B5249" s="8" t="s">
        <v>58852</v>
      </c>
      <c r="C5249" s="8" t="s">
        <v>10459</v>
      </c>
      <c r="D5249" s="8"/>
      <c r="E5249" s="6"/>
      <c r="F5249" s="6"/>
    </row>
    <row r="5250" spans="1:6" x14ac:dyDescent="0.3">
      <c r="A5250" s="8" t="s">
        <v>10460</v>
      </c>
      <c r="B5250" s="8" t="s">
        <v>58853</v>
      </c>
      <c r="C5250" s="8" t="s">
        <v>10461</v>
      </c>
      <c r="D5250" s="8"/>
      <c r="E5250" s="6"/>
      <c r="F5250" s="6"/>
    </row>
    <row r="5251" spans="1:6" x14ac:dyDescent="0.3">
      <c r="A5251" s="8" t="s">
        <v>10462</v>
      </c>
      <c r="B5251" s="8" t="s">
        <v>58854</v>
      </c>
      <c r="C5251" s="8" t="s">
        <v>10463</v>
      </c>
      <c r="D5251" s="8"/>
      <c r="E5251" s="6"/>
      <c r="F5251" s="6"/>
    </row>
    <row r="5252" spans="1:6" x14ac:dyDescent="0.3">
      <c r="A5252" s="8" t="s">
        <v>10464</v>
      </c>
      <c r="B5252" s="8" t="s">
        <v>58855</v>
      </c>
      <c r="C5252" s="8" t="s">
        <v>10465</v>
      </c>
      <c r="D5252" s="8"/>
      <c r="E5252" s="6"/>
      <c r="F5252" s="6"/>
    </row>
    <row r="5253" spans="1:6" x14ac:dyDescent="0.3">
      <c r="A5253" s="8" t="s">
        <v>10466</v>
      </c>
      <c r="B5253" s="8" t="s">
        <v>58856</v>
      </c>
      <c r="C5253" s="8" t="s">
        <v>10467</v>
      </c>
      <c r="D5253" s="8"/>
      <c r="E5253" s="6"/>
      <c r="F5253" s="6"/>
    </row>
    <row r="5254" spans="1:6" x14ac:dyDescent="0.3">
      <c r="A5254" s="8" t="s">
        <v>10468</v>
      </c>
      <c r="B5254" s="8" t="s">
        <v>58857</v>
      </c>
      <c r="C5254" s="8" t="s">
        <v>10469</v>
      </c>
      <c r="D5254" s="8"/>
      <c r="E5254" s="6"/>
      <c r="F5254" s="6"/>
    </row>
    <row r="5255" spans="1:6" x14ac:dyDescent="0.3">
      <c r="A5255" s="8" t="s">
        <v>10470</v>
      </c>
      <c r="B5255" s="8" t="s">
        <v>58858</v>
      </c>
      <c r="C5255" s="8" t="s">
        <v>10471</v>
      </c>
      <c r="D5255" s="8"/>
      <c r="E5255" s="6"/>
      <c r="F5255" s="6"/>
    </row>
    <row r="5256" spans="1:6" x14ac:dyDescent="0.3">
      <c r="A5256" s="8" t="s">
        <v>10472</v>
      </c>
      <c r="B5256" s="8" t="s">
        <v>58859</v>
      </c>
      <c r="C5256" s="8" t="s">
        <v>10473</v>
      </c>
      <c r="D5256" s="8"/>
      <c r="E5256" s="6"/>
      <c r="F5256" s="6"/>
    </row>
    <row r="5257" spans="1:6" x14ac:dyDescent="0.3">
      <c r="A5257" s="8" t="s">
        <v>10474</v>
      </c>
      <c r="B5257" s="8" t="s">
        <v>58860</v>
      </c>
      <c r="C5257" s="8" t="s">
        <v>10475</v>
      </c>
      <c r="D5257" s="8"/>
      <c r="E5257" s="6"/>
      <c r="F5257" s="6"/>
    </row>
    <row r="5258" spans="1:6" x14ac:dyDescent="0.3">
      <c r="A5258" s="8" t="s">
        <v>10476</v>
      </c>
      <c r="B5258" s="8" t="s">
        <v>58861</v>
      </c>
      <c r="C5258" s="8" t="s">
        <v>10477</v>
      </c>
      <c r="D5258" s="8"/>
      <c r="E5258" s="6"/>
      <c r="F5258" s="6"/>
    </row>
    <row r="5259" spans="1:6" x14ac:dyDescent="0.3">
      <c r="A5259" s="8" t="s">
        <v>10478</v>
      </c>
      <c r="B5259" s="8" t="s">
        <v>58862</v>
      </c>
      <c r="C5259" s="8" t="s">
        <v>10479</v>
      </c>
      <c r="D5259" s="8"/>
      <c r="E5259" s="6"/>
      <c r="F5259" s="6"/>
    </row>
    <row r="5260" spans="1:6" x14ac:dyDescent="0.3">
      <c r="A5260" s="8" t="s">
        <v>10480</v>
      </c>
      <c r="B5260" s="8" t="s">
        <v>58863</v>
      </c>
      <c r="C5260" s="8" t="s">
        <v>10481</v>
      </c>
      <c r="D5260" s="8"/>
      <c r="E5260" s="6"/>
      <c r="F5260" s="6"/>
    </row>
    <row r="5261" spans="1:6" x14ac:dyDescent="0.3">
      <c r="A5261" s="8" t="s">
        <v>10482</v>
      </c>
      <c r="B5261" s="8" t="s">
        <v>58864</v>
      </c>
      <c r="C5261" s="8" t="s">
        <v>10483</v>
      </c>
      <c r="D5261" s="8"/>
      <c r="E5261" s="6"/>
      <c r="F5261" s="6"/>
    </row>
    <row r="5262" spans="1:6" x14ac:dyDescent="0.3">
      <c r="A5262" s="8" t="s">
        <v>10484</v>
      </c>
      <c r="B5262" s="8" t="s">
        <v>58865</v>
      </c>
      <c r="C5262" s="8" t="s">
        <v>10485</v>
      </c>
      <c r="D5262" s="8"/>
      <c r="E5262" s="6"/>
      <c r="F5262" s="6"/>
    </row>
    <row r="5263" spans="1:6" x14ac:dyDescent="0.3">
      <c r="A5263" s="8" t="s">
        <v>10486</v>
      </c>
      <c r="B5263" s="8" t="s">
        <v>58866</v>
      </c>
      <c r="C5263" s="8" t="s">
        <v>10487</v>
      </c>
      <c r="D5263" s="8"/>
      <c r="E5263" s="6"/>
      <c r="F5263" s="6"/>
    </row>
    <row r="5264" spans="1:6" x14ac:dyDescent="0.3">
      <c r="A5264" s="8" t="s">
        <v>10488</v>
      </c>
      <c r="B5264" s="8" t="s">
        <v>58867</v>
      </c>
      <c r="C5264" s="8" t="s">
        <v>10489</v>
      </c>
      <c r="D5264" s="8"/>
      <c r="E5264" s="6"/>
      <c r="F5264" s="6"/>
    </row>
    <row r="5265" spans="1:6" x14ac:dyDescent="0.3">
      <c r="A5265" s="8" t="s">
        <v>10490</v>
      </c>
      <c r="B5265" s="8" t="s">
        <v>58868</v>
      </c>
      <c r="C5265" s="8" t="s">
        <v>10491</v>
      </c>
      <c r="D5265" s="8"/>
      <c r="E5265" s="6"/>
      <c r="F5265" s="6"/>
    </row>
    <row r="5266" spans="1:6" x14ac:dyDescent="0.3">
      <c r="A5266" s="8" t="s">
        <v>10492</v>
      </c>
      <c r="B5266" s="8" t="s">
        <v>58869</v>
      </c>
      <c r="C5266" s="8" t="s">
        <v>10493</v>
      </c>
      <c r="D5266" s="8"/>
      <c r="E5266" s="6"/>
      <c r="F5266" s="6"/>
    </row>
    <row r="5267" spans="1:6" x14ac:dyDescent="0.3">
      <c r="A5267" s="8" t="s">
        <v>10494</v>
      </c>
      <c r="B5267" s="8" t="s">
        <v>58870</v>
      </c>
      <c r="C5267" s="8" t="s">
        <v>10495</v>
      </c>
      <c r="D5267" s="8"/>
      <c r="E5267" s="6"/>
      <c r="F5267" s="6"/>
    </row>
    <row r="5268" spans="1:6" x14ac:dyDescent="0.3">
      <c r="A5268" s="8" t="s">
        <v>10496</v>
      </c>
      <c r="B5268" s="8" t="s">
        <v>58871</v>
      </c>
      <c r="C5268" s="8" t="s">
        <v>10497</v>
      </c>
      <c r="D5268" s="8"/>
      <c r="E5268" s="6"/>
      <c r="F5268" s="6"/>
    </row>
    <row r="5269" spans="1:6" x14ac:dyDescent="0.3">
      <c r="A5269" s="8" t="s">
        <v>10498</v>
      </c>
      <c r="B5269" s="8" t="s">
        <v>58872</v>
      </c>
      <c r="C5269" s="8" t="s">
        <v>10499</v>
      </c>
      <c r="D5269" s="8"/>
      <c r="E5269" s="6"/>
      <c r="F5269" s="6"/>
    </row>
    <row r="5270" spans="1:6" x14ac:dyDescent="0.3">
      <c r="A5270" s="8" t="s">
        <v>10500</v>
      </c>
      <c r="B5270" s="8" t="s">
        <v>58873</v>
      </c>
      <c r="C5270" s="8" t="s">
        <v>10501</v>
      </c>
      <c r="D5270" s="8"/>
      <c r="E5270" s="6"/>
      <c r="F5270" s="6"/>
    </row>
    <row r="5271" spans="1:6" x14ac:dyDescent="0.3">
      <c r="A5271" s="8" t="s">
        <v>10502</v>
      </c>
      <c r="B5271" s="8" t="s">
        <v>58874</v>
      </c>
      <c r="C5271" s="8" t="s">
        <v>10503</v>
      </c>
      <c r="D5271" s="8"/>
      <c r="E5271" s="6"/>
      <c r="F5271" s="6"/>
    </row>
    <row r="5272" spans="1:6" x14ac:dyDescent="0.3">
      <c r="A5272" s="8" t="s">
        <v>10504</v>
      </c>
      <c r="B5272" s="8" t="s">
        <v>58875</v>
      </c>
      <c r="C5272" s="8" t="s">
        <v>10505</v>
      </c>
      <c r="D5272" s="8"/>
      <c r="E5272" s="6"/>
      <c r="F5272" s="6"/>
    </row>
    <row r="5273" spans="1:6" x14ac:dyDescent="0.3">
      <c r="A5273" s="8" t="s">
        <v>10506</v>
      </c>
      <c r="B5273" s="8" t="s">
        <v>58876</v>
      </c>
      <c r="C5273" s="8" t="s">
        <v>10507</v>
      </c>
      <c r="D5273" s="8"/>
      <c r="E5273" s="6"/>
      <c r="F5273" s="6"/>
    </row>
    <row r="5274" spans="1:6" x14ac:dyDescent="0.3">
      <c r="A5274" s="8" t="s">
        <v>10508</v>
      </c>
      <c r="B5274" s="8" t="s">
        <v>58877</v>
      </c>
      <c r="C5274" s="8" t="s">
        <v>10509</v>
      </c>
      <c r="D5274" s="8"/>
      <c r="E5274" s="6"/>
      <c r="F5274" s="6"/>
    </row>
    <row r="5275" spans="1:6" x14ac:dyDescent="0.3">
      <c r="A5275" s="8" t="s">
        <v>10510</v>
      </c>
      <c r="B5275" s="8" t="s">
        <v>58878</v>
      </c>
      <c r="C5275" s="8" t="s">
        <v>10511</v>
      </c>
      <c r="D5275" s="8"/>
      <c r="E5275" s="6"/>
      <c r="F5275" s="6"/>
    </row>
    <row r="5276" spans="1:6" x14ac:dyDescent="0.3">
      <c r="A5276" s="8" t="s">
        <v>10512</v>
      </c>
      <c r="B5276" s="8" t="s">
        <v>58879</v>
      </c>
      <c r="C5276" s="8" t="s">
        <v>10513</v>
      </c>
      <c r="D5276" s="8"/>
      <c r="E5276" s="6"/>
      <c r="F5276" s="6"/>
    </row>
    <row r="5277" spans="1:6" x14ac:dyDescent="0.3">
      <c r="A5277" s="8" t="s">
        <v>10514</v>
      </c>
      <c r="B5277" s="8" t="s">
        <v>58880</v>
      </c>
      <c r="C5277" s="8" t="s">
        <v>10515</v>
      </c>
      <c r="D5277" s="8"/>
      <c r="E5277" s="6"/>
      <c r="F5277" s="6"/>
    </row>
    <row r="5278" spans="1:6" x14ac:dyDescent="0.3">
      <c r="A5278" s="8" t="s">
        <v>10516</v>
      </c>
      <c r="B5278" s="8" t="s">
        <v>58881</v>
      </c>
      <c r="C5278" s="8" t="s">
        <v>10517</v>
      </c>
      <c r="D5278" s="8"/>
      <c r="E5278" s="6"/>
      <c r="F5278" s="6"/>
    </row>
    <row r="5279" spans="1:6" x14ac:dyDescent="0.3">
      <c r="A5279" s="8" t="s">
        <v>10518</v>
      </c>
      <c r="B5279" s="8" t="s">
        <v>58882</v>
      </c>
      <c r="C5279" s="8" t="s">
        <v>10519</v>
      </c>
      <c r="D5279" s="8"/>
      <c r="E5279" s="6"/>
      <c r="F5279" s="6"/>
    </row>
    <row r="5280" spans="1:6" x14ac:dyDescent="0.3">
      <c r="A5280" s="8" t="s">
        <v>10520</v>
      </c>
      <c r="B5280" s="8" t="s">
        <v>58883</v>
      </c>
      <c r="C5280" s="8" t="s">
        <v>10521</v>
      </c>
      <c r="D5280" s="8"/>
      <c r="E5280" s="6"/>
      <c r="F5280" s="6"/>
    </row>
    <row r="5281" spans="1:6" x14ac:dyDescent="0.3">
      <c r="A5281" s="8" t="s">
        <v>10522</v>
      </c>
      <c r="B5281" s="8" t="s">
        <v>58884</v>
      </c>
      <c r="C5281" s="8" t="s">
        <v>10523</v>
      </c>
      <c r="D5281" s="8"/>
      <c r="E5281" s="6"/>
      <c r="F5281" s="6"/>
    </row>
    <row r="5282" spans="1:6" x14ac:dyDescent="0.3">
      <c r="A5282" s="8" t="s">
        <v>10524</v>
      </c>
      <c r="B5282" s="8" t="s">
        <v>58885</v>
      </c>
      <c r="C5282" s="8" t="s">
        <v>10525</v>
      </c>
      <c r="D5282" s="8"/>
      <c r="E5282" s="6"/>
      <c r="F5282" s="6"/>
    </row>
    <row r="5283" spans="1:6" x14ac:dyDescent="0.3">
      <c r="A5283" s="8" t="s">
        <v>10526</v>
      </c>
      <c r="B5283" s="8" t="s">
        <v>58886</v>
      </c>
      <c r="C5283" s="8" t="s">
        <v>10527</v>
      </c>
      <c r="D5283" s="8"/>
      <c r="E5283" s="6"/>
      <c r="F5283" s="6"/>
    </row>
    <row r="5284" spans="1:6" x14ac:dyDescent="0.3">
      <c r="A5284" s="8" t="s">
        <v>10528</v>
      </c>
      <c r="B5284" s="8" t="s">
        <v>58887</v>
      </c>
      <c r="C5284" s="8" t="s">
        <v>10529</v>
      </c>
      <c r="D5284" s="8"/>
      <c r="E5284" s="6"/>
      <c r="F5284" s="6"/>
    </row>
    <row r="5285" spans="1:6" x14ac:dyDescent="0.3">
      <c r="A5285" s="8" t="s">
        <v>10530</v>
      </c>
      <c r="B5285" s="8" t="s">
        <v>58888</v>
      </c>
      <c r="C5285" s="8" t="s">
        <v>10531</v>
      </c>
      <c r="D5285" s="8"/>
      <c r="E5285" s="6"/>
      <c r="F5285" s="6"/>
    </row>
    <row r="5286" spans="1:6" x14ac:dyDescent="0.3">
      <c r="A5286" s="8" t="s">
        <v>10532</v>
      </c>
      <c r="B5286" s="8" t="s">
        <v>58889</v>
      </c>
      <c r="C5286" s="8" t="s">
        <v>10533</v>
      </c>
      <c r="D5286" s="8"/>
      <c r="E5286" s="6"/>
      <c r="F5286" s="6"/>
    </row>
    <row r="5287" spans="1:6" x14ac:dyDescent="0.3">
      <c r="A5287" s="8" t="s">
        <v>10534</v>
      </c>
      <c r="B5287" s="8" t="s">
        <v>58890</v>
      </c>
      <c r="C5287" s="8" t="s">
        <v>10535</v>
      </c>
      <c r="D5287" s="8"/>
      <c r="E5287" s="6"/>
      <c r="F5287" s="6"/>
    </row>
    <row r="5288" spans="1:6" x14ac:dyDescent="0.3">
      <c r="A5288" s="8" t="s">
        <v>10536</v>
      </c>
      <c r="B5288" s="8" t="s">
        <v>58891</v>
      </c>
      <c r="C5288" s="8" t="s">
        <v>10537</v>
      </c>
      <c r="D5288" s="8"/>
      <c r="E5288" s="6"/>
      <c r="F5288" s="6"/>
    </row>
    <row r="5289" spans="1:6" x14ac:dyDescent="0.3">
      <c r="A5289" s="8" t="s">
        <v>10538</v>
      </c>
      <c r="B5289" s="8" t="s">
        <v>58892</v>
      </c>
      <c r="C5289" s="8" t="s">
        <v>10539</v>
      </c>
      <c r="D5289" s="8"/>
      <c r="E5289" s="6"/>
      <c r="F5289" s="6"/>
    </row>
    <row r="5290" spans="1:6" x14ac:dyDescent="0.3">
      <c r="A5290" s="8" t="s">
        <v>10540</v>
      </c>
      <c r="B5290" s="8" t="s">
        <v>58893</v>
      </c>
      <c r="C5290" s="8" t="s">
        <v>10541</v>
      </c>
      <c r="D5290" s="8"/>
      <c r="E5290" s="6"/>
      <c r="F5290" s="6"/>
    </row>
    <row r="5291" spans="1:6" x14ac:dyDescent="0.3">
      <c r="A5291" s="8" t="s">
        <v>10542</v>
      </c>
      <c r="B5291" s="8" t="s">
        <v>58894</v>
      </c>
      <c r="C5291" s="8" t="s">
        <v>10543</v>
      </c>
      <c r="D5291" s="8"/>
      <c r="E5291" s="6"/>
      <c r="F5291" s="6"/>
    </row>
    <row r="5292" spans="1:6" x14ac:dyDescent="0.3">
      <c r="A5292" s="8" t="s">
        <v>10544</v>
      </c>
      <c r="B5292" s="8" t="s">
        <v>58895</v>
      </c>
      <c r="C5292" s="8" t="s">
        <v>10545</v>
      </c>
      <c r="D5292" s="8"/>
      <c r="E5292" s="6"/>
      <c r="F5292" s="6"/>
    </row>
    <row r="5293" spans="1:6" x14ac:dyDescent="0.3">
      <c r="A5293" s="8" t="s">
        <v>10546</v>
      </c>
      <c r="B5293" s="8" t="s">
        <v>58896</v>
      </c>
      <c r="C5293" s="8" t="s">
        <v>10547</v>
      </c>
      <c r="D5293" s="8"/>
      <c r="E5293" s="6"/>
      <c r="F5293" s="6"/>
    </row>
    <row r="5294" spans="1:6" x14ac:dyDescent="0.3">
      <c r="A5294" s="8" t="s">
        <v>10548</v>
      </c>
      <c r="B5294" s="8" t="s">
        <v>58897</v>
      </c>
      <c r="C5294" s="8" t="s">
        <v>10549</v>
      </c>
      <c r="D5294" s="8"/>
      <c r="E5294" s="6"/>
      <c r="F5294" s="6"/>
    </row>
    <row r="5295" spans="1:6" x14ac:dyDescent="0.3">
      <c r="A5295" s="8" t="s">
        <v>10550</v>
      </c>
      <c r="B5295" s="8" t="s">
        <v>58898</v>
      </c>
      <c r="C5295" s="8" t="s">
        <v>10551</v>
      </c>
      <c r="D5295" s="8"/>
      <c r="E5295" s="6"/>
      <c r="F5295" s="6"/>
    </row>
    <row r="5296" spans="1:6" x14ac:dyDescent="0.3">
      <c r="A5296" s="8" t="s">
        <v>10552</v>
      </c>
      <c r="B5296" s="8" t="s">
        <v>58899</v>
      </c>
      <c r="C5296" s="8" t="s">
        <v>10553</v>
      </c>
      <c r="D5296" s="8"/>
      <c r="E5296" s="6"/>
      <c r="F5296" s="6"/>
    </row>
    <row r="5297" spans="1:6" x14ac:dyDescent="0.3">
      <c r="A5297" s="8" t="s">
        <v>10554</v>
      </c>
      <c r="B5297" s="8" t="s">
        <v>58900</v>
      </c>
      <c r="C5297" s="8" t="s">
        <v>10555</v>
      </c>
      <c r="D5297" s="8"/>
      <c r="E5297" s="6"/>
      <c r="F5297" s="6"/>
    </row>
    <row r="5298" spans="1:6" x14ac:dyDescent="0.3">
      <c r="A5298" s="8" t="s">
        <v>10556</v>
      </c>
      <c r="B5298" s="8" t="s">
        <v>58901</v>
      </c>
      <c r="C5298" s="8" t="s">
        <v>10557</v>
      </c>
      <c r="D5298" s="8"/>
      <c r="E5298" s="6"/>
      <c r="F5298" s="6"/>
    </row>
    <row r="5299" spans="1:6" x14ac:dyDescent="0.3">
      <c r="A5299" s="8" t="s">
        <v>10558</v>
      </c>
      <c r="B5299" s="8" t="s">
        <v>58902</v>
      </c>
      <c r="C5299" s="8" t="s">
        <v>10559</v>
      </c>
      <c r="D5299" s="8"/>
      <c r="E5299" s="6"/>
      <c r="F5299" s="6"/>
    </row>
    <row r="5300" spans="1:6" x14ac:dyDescent="0.3">
      <c r="A5300" s="8" t="s">
        <v>10560</v>
      </c>
      <c r="B5300" s="8" t="s">
        <v>58903</v>
      </c>
      <c r="C5300" s="8" t="s">
        <v>10561</v>
      </c>
      <c r="D5300" s="8"/>
      <c r="E5300" s="6"/>
      <c r="F5300" s="6"/>
    </row>
    <row r="5301" spans="1:6" x14ac:dyDescent="0.3">
      <c r="A5301" s="8" t="s">
        <v>10562</v>
      </c>
      <c r="B5301" s="8" t="s">
        <v>58904</v>
      </c>
      <c r="C5301" s="8" t="s">
        <v>10563</v>
      </c>
      <c r="D5301" s="8"/>
      <c r="E5301" s="6"/>
      <c r="F5301" s="6"/>
    </row>
    <row r="5302" spans="1:6" x14ac:dyDescent="0.3">
      <c r="A5302" s="8" t="s">
        <v>10564</v>
      </c>
      <c r="B5302" s="8" t="s">
        <v>58905</v>
      </c>
      <c r="C5302" s="8" t="s">
        <v>10565</v>
      </c>
      <c r="D5302" s="8"/>
      <c r="E5302" s="6"/>
      <c r="F5302" s="6"/>
    </row>
    <row r="5303" spans="1:6" x14ac:dyDescent="0.3">
      <c r="A5303" s="8" t="s">
        <v>10566</v>
      </c>
      <c r="B5303" s="8" t="s">
        <v>58906</v>
      </c>
      <c r="C5303" s="8" t="s">
        <v>10567</v>
      </c>
      <c r="D5303" s="8"/>
      <c r="E5303" s="6"/>
      <c r="F5303" s="6"/>
    </row>
    <row r="5304" spans="1:6" x14ac:dyDescent="0.3">
      <c r="A5304" s="8" t="s">
        <v>10568</v>
      </c>
      <c r="B5304" s="8" t="s">
        <v>58907</v>
      </c>
      <c r="C5304" s="8" t="s">
        <v>10569</v>
      </c>
      <c r="D5304" s="8"/>
      <c r="E5304" s="6"/>
      <c r="F5304" s="6"/>
    </row>
    <row r="5305" spans="1:6" x14ac:dyDescent="0.3">
      <c r="A5305" s="8" t="s">
        <v>10570</v>
      </c>
      <c r="B5305" s="8" t="s">
        <v>58908</v>
      </c>
      <c r="C5305" s="8" t="s">
        <v>10571</v>
      </c>
      <c r="D5305" s="8"/>
      <c r="E5305" s="6"/>
      <c r="F5305" s="6"/>
    </row>
    <row r="5306" spans="1:6" x14ac:dyDescent="0.3">
      <c r="A5306" s="8" t="s">
        <v>10572</v>
      </c>
      <c r="B5306" s="8" t="s">
        <v>58909</v>
      </c>
      <c r="C5306" s="8" t="s">
        <v>10573</v>
      </c>
      <c r="D5306" s="8"/>
      <c r="E5306" s="6"/>
      <c r="F5306" s="6"/>
    </row>
    <row r="5307" spans="1:6" x14ac:dyDescent="0.3">
      <c r="A5307" s="8" t="s">
        <v>10574</v>
      </c>
      <c r="B5307" s="8" t="s">
        <v>58910</v>
      </c>
      <c r="C5307" s="8" t="s">
        <v>10575</v>
      </c>
      <c r="D5307" s="8"/>
      <c r="E5307" s="6"/>
      <c r="F5307" s="6"/>
    </row>
    <row r="5308" spans="1:6" x14ac:dyDescent="0.3">
      <c r="A5308" s="8" t="s">
        <v>10576</v>
      </c>
      <c r="B5308" s="8" t="s">
        <v>58911</v>
      </c>
      <c r="C5308" s="8" t="s">
        <v>10577</v>
      </c>
      <c r="D5308" s="8"/>
      <c r="E5308" s="6"/>
      <c r="F5308" s="6"/>
    </row>
    <row r="5309" spans="1:6" x14ac:dyDescent="0.3">
      <c r="A5309" s="8" t="s">
        <v>10578</v>
      </c>
      <c r="B5309" s="8" t="s">
        <v>58912</v>
      </c>
      <c r="C5309" s="8" t="s">
        <v>10579</v>
      </c>
      <c r="D5309" s="8"/>
      <c r="E5309" s="6"/>
      <c r="F5309" s="6"/>
    </row>
    <row r="5310" spans="1:6" x14ac:dyDescent="0.3">
      <c r="A5310" s="8" t="s">
        <v>10580</v>
      </c>
      <c r="B5310" s="8" t="s">
        <v>58913</v>
      </c>
      <c r="C5310" s="8" t="s">
        <v>10581</v>
      </c>
      <c r="D5310" s="8"/>
      <c r="E5310" s="6"/>
      <c r="F5310" s="6"/>
    </row>
    <row r="5311" spans="1:6" x14ac:dyDescent="0.3">
      <c r="A5311" s="8" t="s">
        <v>10582</v>
      </c>
      <c r="B5311" s="8" t="s">
        <v>58914</v>
      </c>
      <c r="C5311" s="8" t="s">
        <v>10583</v>
      </c>
      <c r="D5311" s="8"/>
      <c r="E5311" s="6"/>
      <c r="F5311" s="6"/>
    </row>
    <row r="5312" spans="1:6" x14ac:dyDescent="0.3">
      <c r="A5312" s="8" t="s">
        <v>10584</v>
      </c>
      <c r="B5312" s="8" t="s">
        <v>58915</v>
      </c>
      <c r="C5312" s="8" t="s">
        <v>10585</v>
      </c>
      <c r="D5312" s="8"/>
      <c r="E5312" s="6"/>
      <c r="F5312" s="6"/>
    </row>
    <row r="5313" spans="1:6" x14ac:dyDescent="0.3">
      <c r="A5313" s="8" t="s">
        <v>10586</v>
      </c>
      <c r="B5313" s="8" t="s">
        <v>58916</v>
      </c>
      <c r="C5313" s="8" t="s">
        <v>10587</v>
      </c>
      <c r="D5313" s="8"/>
      <c r="E5313" s="6"/>
      <c r="F5313" s="6"/>
    </row>
    <row r="5314" spans="1:6" x14ac:dyDescent="0.3">
      <c r="A5314" s="8" t="s">
        <v>10588</v>
      </c>
      <c r="B5314" s="8" t="s">
        <v>58917</v>
      </c>
      <c r="C5314" s="8" t="s">
        <v>10589</v>
      </c>
      <c r="D5314" s="8"/>
      <c r="E5314" s="6"/>
      <c r="F5314" s="6"/>
    </row>
    <row r="5315" spans="1:6" x14ac:dyDescent="0.3">
      <c r="A5315" s="8" t="s">
        <v>10590</v>
      </c>
      <c r="B5315" s="8" t="s">
        <v>58918</v>
      </c>
      <c r="C5315" s="8" t="s">
        <v>10591</v>
      </c>
      <c r="D5315" s="8"/>
      <c r="E5315" s="6"/>
      <c r="F5315" s="6"/>
    </row>
    <row r="5316" spans="1:6" x14ac:dyDescent="0.3">
      <c r="A5316" s="8" t="s">
        <v>10592</v>
      </c>
      <c r="B5316" s="8" t="s">
        <v>58919</v>
      </c>
      <c r="C5316" s="8" t="s">
        <v>10593</v>
      </c>
      <c r="D5316" s="8"/>
      <c r="E5316" s="6"/>
      <c r="F5316" s="6"/>
    </row>
    <row r="5317" spans="1:6" x14ac:dyDescent="0.3">
      <c r="A5317" s="8" t="s">
        <v>10594</v>
      </c>
      <c r="B5317" s="8" t="s">
        <v>58920</v>
      </c>
      <c r="C5317" s="8" t="s">
        <v>10595</v>
      </c>
      <c r="D5317" s="8"/>
      <c r="E5317" s="6"/>
      <c r="F5317" s="6"/>
    </row>
    <row r="5318" spans="1:6" x14ac:dyDescent="0.3">
      <c r="A5318" s="8" t="s">
        <v>10596</v>
      </c>
      <c r="B5318" s="8" t="s">
        <v>58921</v>
      </c>
      <c r="C5318" s="8" t="s">
        <v>10597</v>
      </c>
      <c r="D5318" s="8"/>
      <c r="E5318" s="6"/>
      <c r="F5318" s="6"/>
    </row>
    <row r="5319" spans="1:6" x14ac:dyDescent="0.3">
      <c r="A5319" s="8" t="s">
        <v>10598</v>
      </c>
      <c r="B5319" s="8" t="s">
        <v>58922</v>
      </c>
      <c r="C5319" s="8" t="s">
        <v>10599</v>
      </c>
      <c r="D5319" s="8"/>
      <c r="E5319" s="6"/>
      <c r="F5319" s="6"/>
    </row>
    <row r="5320" spans="1:6" x14ac:dyDescent="0.3">
      <c r="A5320" s="8" t="s">
        <v>10600</v>
      </c>
      <c r="B5320" s="8" t="s">
        <v>58923</v>
      </c>
      <c r="C5320" s="8" t="s">
        <v>10601</v>
      </c>
      <c r="D5320" s="8"/>
      <c r="E5320" s="6"/>
      <c r="F5320" s="6"/>
    </row>
    <row r="5321" spans="1:6" x14ac:dyDescent="0.3">
      <c r="A5321" s="8" t="s">
        <v>10602</v>
      </c>
      <c r="B5321" s="8" t="s">
        <v>58924</v>
      </c>
      <c r="C5321" s="8" t="s">
        <v>10603</v>
      </c>
      <c r="D5321" s="8"/>
      <c r="E5321" s="6"/>
      <c r="F5321" s="6"/>
    </row>
    <row r="5322" spans="1:6" x14ac:dyDescent="0.3">
      <c r="A5322" s="8" t="s">
        <v>10604</v>
      </c>
      <c r="B5322" s="8" t="s">
        <v>58925</v>
      </c>
      <c r="C5322" s="8" t="s">
        <v>10605</v>
      </c>
      <c r="D5322" s="8"/>
      <c r="E5322" s="6"/>
      <c r="F5322" s="6"/>
    </row>
    <row r="5323" spans="1:6" x14ac:dyDescent="0.3">
      <c r="A5323" s="8" t="s">
        <v>10606</v>
      </c>
      <c r="B5323" s="8" t="s">
        <v>58926</v>
      </c>
      <c r="C5323" s="8" t="s">
        <v>10607</v>
      </c>
      <c r="D5323" s="8"/>
      <c r="E5323" s="6"/>
      <c r="F5323" s="6"/>
    </row>
    <row r="5324" spans="1:6" x14ac:dyDescent="0.3">
      <c r="A5324" s="8" t="s">
        <v>10608</v>
      </c>
      <c r="B5324" s="8" t="s">
        <v>58927</v>
      </c>
      <c r="C5324" s="8" t="s">
        <v>10609</v>
      </c>
      <c r="D5324" s="8"/>
      <c r="E5324" s="6"/>
      <c r="F5324" s="6"/>
    </row>
    <row r="5325" spans="1:6" x14ac:dyDescent="0.3">
      <c r="A5325" s="8" t="s">
        <v>10610</v>
      </c>
      <c r="B5325" s="8" t="s">
        <v>58928</v>
      </c>
      <c r="C5325" s="8" t="s">
        <v>10611</v>
      </c>
      <c r="D5325" s="8"/>
      <c r="E5325" s="6"/>
      <c r="F5325" s="6"/>
    </row>
    <row r="5326" spans="1:6" x14ac:dyDescent="0.3">
      <c r="A5326" s="8" t="s">
        <v>10612</v>
      </c>
      <c r="B5326" s="8" t="s">
        <v>58929</v>
      </c>
      <c r="C5326" s="8" t="s">
        <v>10613</v>
      </c>
      <c r="D5326" s="8"/>
      <c r="E5326" s="6"/>
      <c r="F5326" s="6"/>
    </row>
    <row r="5327" spans="1:6" ht="28.8" x14ac:dyDescent="0.3">
      <c r="A5327" s="8" t="s">
        <v>10614</v>
      </c>
      <c r="B5327" s="8" t="s">
        <v>58930</v>
      </c>
      <c r="C5327" s="8" t="s">
        <v>10615</v>
      </c>
      <c r="D5327" s="8"/>
      <c r="E5327" s="6"/>
      <c r="F5327" s="6"/>
    </row>
    <row r="5328" spans="1:6" x14ac:dyDescent="0.3">
      <c r="A5328" s="8" t="s">
        <v>10616</v>
      </c>
      <c r="B5328" s="8" t="s">
        <v>58931</v>
      </c>
      <c r="C5328" s="8" t="s">
        <v>10617</v>
      </c>
      <c r="D5328" s="8"/>
      <c r="E5328" s="6"/>
      <c r="F5328" s="6"/>
    </row>
    <row r="5329" spans="1:6" x14ac:dyDescent="0.3">
      <c r="A5329" s="8" t="s">
        <v>10618</v>
      </c>
      <c r="B5329" s="8" t="s">
        <v>58932</v>
      </c>
      <c r="C5329" s="8" t="s">
        <v>10619</v>
      </c>
      <c r="D5329" s="8"/>
      <c r="E5329" s="6"/>
      <c r="F5329" s="6"/>
    </row>
    <row r="5330" spans="1:6" x14ac:dyDescent="0.3">
      <c r="A5330" s="8" t="s">
        <v>10620</v>
      </c>
      <c r="B5330" s="8" t="s">
        <v>58933</v>
      </c>
      <c r="C5330" s="8" t="s">
        <v>10621</v>
      </c>
      <c r="D5330" s="8"/>
      <c r="E5330" s="6"/>
      <c r="F5330" s="6"/>
    </row>
    <row r="5331" spans="1:6" x14ac:dyDescent="0.3">
      <c r="A5331" s="8" t="s">
        <v>10622</v>
      </c>
      <c r="B5331" s="8" t="s">
        <v>58934</v>
      </c>
      <c r="C5331" s="8" t="s">
        <v>10623</v>
      </c>
      <c r="D5331" s="8"/>
      <c r="E5331" s="6"/>
      <c r="F5331" s="6"/>
    </row>
    <row r="5332" spans="1:6" x14ac:dyDescent="0.3">
      <c r="A5332" s="8" t="s">
        <v>10624</v>
      </c>
      <c r="B5332" s="8" t="s">
        <v>58935</v>
      </c>
      <c r="C5332" s="8" t="s">
        <v>10625</v>
      </c>
      <c r="D5332" s="8"/>
      <c r="E5332" s="6"/>
      <c r="F5332" s="6"/>
    </row>
    <row r="5333" spans="1:6" x14ac:dyDescent="0.3">
      <c r="A5333" s="8" t="s">
        <v>10626</v>
      </c>
      <c r="B5333" s="8" t="s">
        <v>58936</v>
      </c>
      <c r="C5333" s="8" t="s">
        <v>10627</v>
      </c>
      <c r="D5333" s="8"/>
      <c r="E5333" s="6"/>
      <c r="F5333" s="6"/>
    </row>
    <row r="5334" spans="1:6" x14ac:dyDescent="0.3">
      <c r="A5334" s="8" t="s">
        <v>10628</v>
      </c>
      <c r="B5334" s="8" t="s">
        <v>58937</v>
      </c>
      <c r="C5334" s="8" t="s">
        <v>10629</v>
      </c>
      <c r="D5334" s="8"/>
      <c r="E5334" s="6"/>
      <c r="F5334" s="6"/>
    </row>
    <row r="5335" spans="1:6" x14ac:dyDescent="0.3">
      <c r="A5335" s="8" t="s">
        <v>10630</v>
      </c>
      <c r="B5335" s="8" t="s">
        <v>58938</v>
      </c>
      <c r="C5335" s="8" t="s">
        <v>10631</v>
      </c>
      <c r="D5335" s="8"/>
      <c r="E5335" s="6"/>
      <c r="F5335" s="6"/>
    </row>
    <row r="5336" spans="1:6" x14ac:dyDescent="0.3">
      <c r="A5336" s="8" t="s">
        <v>10632</v>
      </c>
      <c r="B5336" s="8" t="s">
        <v>58939</v>
      </c>
      <c r="C5336" s="8" t="s">
        <v>10633</v>
      </c>
      <c r="D5336" s="8"/>
      <c r="E5336" s="6"/>
      <c r="F5336" s="6"/>
    </row>
    <row r="5337" spans="1:6" x14ac:dyDescent="0.3">
      <c r="A5337" s="8" t="s">
        <v>10634</v>
      </c>
      <c r="B5337" s="8" t="s">
        <v>58940</v>
      </c>
      <c r="C5337" s="8" t="s">
        <v>10635</v>
      </c>
      <c r="D5337" s="8"/>
      <c r="E5337" s="6"/>
      <c r="F5337" s="6"/>
    </row>
    <row r="5338" spans="1:6" x14ac:dyDescent="0.3">
      <c r="A5338" s="8" t="s">
        <v>10636</v>
      </c>
      <c r="B5338" s="8" t="s">
        <v>58941</v>
      </c>
      <c r="C5338" s="8" t="s">
        <v>10637</v>
      </c>
      <c r="D5338" s="8"/>
      <c r="E5338" s="6"/>
      <c r="F5338" s="6"/>
    </row>
    <row r="5339" spans="1:6" x14ac:dyDescent="0.3">
      <c r="A5339" s="8" t="s">
        <v>10638</v>
      </c>
      <c r="B5339" s="8" t="s">
        <v>58942</v>
      </c>
      <c r="C5339" s="8" t="s">
        <v>10639</v>
      </c>
      <c r="D5339" s="8"/>
      <c r="E5339" s="6"/>
      <c r="F5339" s="6"/>
    </row>
    <row r="5340" spans="1:6" x14ac:dyDescent="0.3">
      <c r="A5340" s="8" t="s">
        <v>10640</v>
      </c>
      <c r="B5340" s="8" t="s">
        <v>58943</v>
      </c>
      <c r="C5340" s="8" t="s">
        <v>10641</v>
      </c>
      <c r="D5340" s="8"/>
      <c r="E5340" s="6"/>
      <c r="F5340" s="6"/>
    </row>
    <row r="5341" spans="1:6" x14ac:dyDescent="0.3">
      <c r="A5341" s="8" t="s">
        <v>10642</v>
      </c>
      <c r="B5341" s="8" t="s">
        <v>58944</v>
      </c>
      <c r="C5341" s="8" t="s">
        <v>10643</v>
      </c>
      <c r="D5341" s="8"/>
      <c r="E5341" s="6"/>
      <c r="F5341" s="6"/>
    </row>
    <row r="5342" spans="1:6" x14ac:dyDescent="0.3">
      <c r="A5342" s="8" t="s">
        <v>10644</v>
      </c>
      <c r="B5342" s="8" t="s">
        <v>58945</v>
      </c>
      <c r="C5342" s="8" t="s">
        <v>10645</v>
      </c>
      <c r="D5342" s="8"/>
      <c r="E5342" s="6"/>
      <c r="F5342" s="6"/>
    </row>
    <row r="5343" spans="1:6" x14ac:dyDescent="0.3">
      <c r="A5343" s="8" t="s">
        <v>10646</v>
      </c>
      <c r="B5343" s="8" t="s">
        <v>58946</v>
      </c>
      <c r="C5343" s="8" t="s">
        <v>10647</v>
      </c>
      <c r="D5343" s="8"/>
      <c r="E5343" s="6"/>
      <c r="F5343" s="6"/>
    </row>
    <row r="5344" spans="1:6" x14ac:dyDescent="0.3">
      <c r="A5344" s="8" t="s">
        <v>10648</v>
      </c>
      <c r="B5344" s="8" t="s">
        <v>58947</v>
      </c>
      <c r="C5344" s="8" t="s">
        <v>10649</v>
      </c>
      <c r="D5344" s="8"/>
      <c r="E5344" s="6"/>
      <c r="F5344" s="6"/>
    </row>
    <row r="5345" spans="1:6" x14ac:dyDescent="0.3">
      <c r="A5345" s="8" t="s">
        <v>10650</v>
      </c>
      <c r="B5345" s="8" t="s">
        <v>58948</v>
      </c>
      <c r="C5345" s="8" t="s">
        <v>10651</v>
      </c>
      <c r="D5345" s="8"/>
      <c r="E5345" s="6"/>
      <c r="F5345" s="6"/>
    </row>
    <row r="5346" spans="1:6" x14ac:dyDescent="0.3">
      <c r="A5346" s="8" t="s">
        <v>10652</v>
      </c>
      <c r="B5346" s="8" t="s">
        <v>58949</v>
      </c>
      <c r="C5346" s="8" t="s">
        <v>10653</v>
      </c>
      <c r="D5346" s="8"/>
      <c r="E5346" s="6"/>
      <c r="F5346" s="6"/>
    </row>
    <row r="5347" spans="1:6" x14ac:dyDescent="0.3">
      <c r="A5347" s="8" t="s">
        <v>10654</v>
      </c>
      <c r="B5347" s="8" t="s">
        <v>58950</v>
      </c>
      <c r="C5347" s="8" t="s">
        <v>10655</v>
      </c>
      <c r="D5347" s="8"/>
      <c r="E5347" s="6"/>
      <c r="F5347" s="6"/>
    </row>
    <row r="5348" spans="1:6" x14ac:dyDescent="0.3">
      <c r="A5348" s="8" t="s">
        <v>10656</v>
      </c>
      <c r="B5348" s="8" t="s">
        <v>58951</v>
      </c>
      <c r="C5348" s="8" t="s">
        <v>10657</v>
      </c>
      <c r="D5348" s="8"/>
      <c r="E5348" s="6"/>
      <c r="F5348" s="6"/>
    </row>
    <row r="5349" spans="1:6" x14ac:dyDescent="0.3">
      <c r="A5349" s="8" t="s">
        <v>10658</v>
      </c>
      <c r="B5349" s="8" t="s">
        <v>58952</v>
      </c>
      <c r="C5349" s="8" t="s">
        <v>10659</v>
      </c>
      <c r="D5349" s="8"/>
      <c r="E5349" s="6"/>
      <c r="F5349" s="6"/>
    </row>
    <row r="5350" spans="1:6" x14ac:dyDescent="0.3">
      <c r="A5350" s="8" t="s">
        <v>10660</v>
      </c>
      <c r="B5350" s="8" t="s">
        <v>58953</v>
      </c>
      <c r="C5350" s="8" t="s">
        <v>10661</v>
      </c>
      <c r="D5350" s="8"/>
      <c r="E5350" s="6"/>
      <c r="F5350" s="6"/>
    </row>
    <row r="5351" spans="1:6" x14ac:dyDescent="0.3">
      <c r="A5351" s="8" t="s">
        <v>10662</v>
      </c>
      <c r="B5351" s="8" t="s">
        <v>58954</v>
      </c>
      <c r="C5351" s="8" t="s">
        <v>10663</v>
      </c>
      <c r="D5351" s="8"/>
      <c r="E5351" s="6"/>
      <c r="F5351" s="6"/>
    </row>
    <row r="5352" spans="1:6" x14ac:dyDescent="0.3">
      <c r="A5352" s="8" t="s">
        <v>10664</v>
      </c>
      <c r="B5352" s="8" t="s">
        <v>58955</v>
      </c>
      <c r="C5352" s="8" t="s">
        <v>10665</v>
      </c>
      <c r="D5352" s="8"/>
      <c r="E5352" s="6"/>
      <c r="F5352" s="6"/>
    </row>
    <row r="5353" spans="1:6" x14ac:dyDescent="0.3">
      <c r="A5353" s="8" t="s">
        <v>10666</v>
      </c>
      <c r="B5353" s="8" t="s">
        <v>58956</v>
      </c>
      <c r="C5353" s="8" t="s">
        <v>10667</v>
      </c>
      <c r="D5353" s="8"/>
      <c r="E5353" s="6"/>
      <c r="F5353" s="6"/>
    </row>
    <row r="5354" spans="1:6" x14ac:dyDescent="0.3">
      <c r="A5354" s="8" t="s">
        <v>10668</v>
      </c>
      <c r="B5354" s="8" t="s">
        <v>58957</v>
      </c>
      <c r="C5354" s="8" t="s">
        <v>10669</v>
      </c>
      <c r="D5354" s="8"/>
      <c r="E5354" s="6"/>
      <c r="F5354" s="6"/>
    </row>
    <row r="5355" spans="1:6" x14ac:dyDescent="0.3">
      <c r="A5355" s="8" t="s">
        <v>10670</v>
      </c>
      <c r="B5355" s="8" t="s">
        <v>58958</v>
      </c>
      <c r="C5355" s="8" t="s">
        <v>10671</v>
      </c>
      <c r="D5355" s="8"/>
      <c r="E5355" s="6"/>
      <c r="F5355" s="6"/>
    </row>
    <row r="5356" spans="1:6" x14ac:dyDescent="0.3">
      <c r="A5356" s="8" t="s">
        <v>10672</v>
      </c>
      <c r="B5356" s="8" t="s">
        <v>58959</v>
      </c>
      <c r="C5356" s="8" t="s">
        <v>10673</v>
      </c>
      <c r="D5356" s="8"/>
      <c r="E5356" s="6"/>
      <c r="F5356" s="6"/>
    </row>
    <row r="5357" spans="1:6" x14ac:dyDescent="0.3">
      <c r="A5357" s="8" t="s">
        <v>10674</v>
      </c>
      <c r="B5357" s="8" t="s">
        <v>58960</v>
      </c>
      <c r="C5357" s="8" t="s">
        <v>10675</v>
      </c>
      <c r="D5357" s="8"/>
      <c r="E5357" s="6"/>
      <c r="F5357" s="6"/>
    </row>
    <row r="5358" spans="1:6" x14ac:dyDescent="0.3">
      <c r="A5358" s="8" t="s">
        <v>10676</v>
      </c>
      <c r="B5358" s="8" t="s">
        <v>58961</v>
      </c>
      <c r="C5358" s="8" t="s">
        <v>10677</v>
      </c>
      <c r="D5358" s="8"/>
      <c r="E5358" s="6"/>
      <c r="F5358" s="6"/>
    </row>
    <row r="5359" spans="1:6" x14ac:dyDescent="0.3">
      <c r="A5359" s="8" t="s">
        <v>10678</v>
      </c>
      <c r="B5359" s="8" t="s">
        <v>58962</v>
      </c>
      <c r="C5359" s="8" t="s">
        <v>10679</v>
      </c>
      <c r="D5359" s="8"/>
      <c r="E5359" s="6"/>
      <c r="F5359" s="6"/>
    </row>
    <row r="5360" spans="1:6" x14ac:dyDescent="0.3">
      <c r="A5360" s="8" t="s">
        <v>10680</v>
      </c>
      <c r="B5360" s="8" t="s">
        <v>58963</v>
      </c>
      <c r="C5360" s="8" t="s">
        <v>10681</v>
      </c>
      <c r="D5360" s="8"/>
      <c r="E5360" s="6"/>
      <c r="F5360" s="6"/>
    </row>
    <row r="5361" spans="1:6" x14ac:dyDescent="0.3">
      <c r="A5361" s="8" t="s">
        <v>10682</v>
      </c>
      <c r="B5361" s="8" t="s">
        <v>58964</v>
      </c>
      <c r="C5361" s="8" t="s">
        <v>10683</v>
      </c>
      <c r="D5361" s="8"/>
      <c r="E5361" s="6"/>
      <c r="F5361" s="6"/>
    </row>
    <row r="5362" spans="1:6" x14ac:dyDescent="0.3">
      <c r="A5362" s="8" t="s">
        <v>10684</v>
      </c>
      <c r="B5362" s="8" t="s">
        <v>58965</v>
      </c>
      <c r="C5362" s="8" t="s">
        <v>10685</v>
      </c>
      <c r="D5362" s="8"/>
      <c r="E5362" s="6"/>
      <c r="F5362" s="6"/>
    </row>
    <row r="5363" spans="1:6" x14ac:dyDescent="0.3">
      <c r="A5363" s="8" t="s">
        <v>10686</v>
      </c>
      <c r="B5363" s="8" t="s">
        <v>58966</v>
      </c>
      <c r="C5363" s="8" t="s">
        <v>10687</v>
      </c>
      <c r="D5363" s="8"/>
      <c r="E5363" s="6"/>
      <c r="F5363" s="6"/>
    </row>
    <row r="5364" spans="1:6" x14ac:dyDescent="0.3">
      <c r="A5364" s="8" t="s">
        <v>10688</v>
      </c>
      <c r="B5364" s="8" t="s">
        <v>58967</v>
      </c>
      <c r="C5364" s="8" t="s">
        <v>10689</v>
      </c>
      <c r="D5364" s="8"/>
      <c r="E5364" s="6"/>
      <c r="F5364" s="6"/>
    </row>
    <row r="5365" spans="1:6" x14ac:dyDescent="0.3">
      <c r="A5365" s="8" t="s">
        <v>10690</v>
      </c>
      <c r="B5365" s="8" t="s">
        <v>58968</v>
      </c>
      <c r="C5365" s="8" t="s">
        <v>10691</v>
      </c>
      <c r="D5365" s="8"/>
      <c r="E5365" s="6"/>
      <c r="F5365" s="6"/>
    </row>
    <row r="5366" spans="1:6" x14ac:dyDescent="0.3">
      <c r="A5366" s="8" t="s">
        <v>10692</v>
      </c>
      <c r="B5366" s="8" t="s">
        <v>58969</v>
      </c>
      <c r="C5366" s="8" t="s">
        <v>10693</v>
      </c>
      <c r="D5366" s="8"/>
      <c r="E5366" s="6"/>
      <c r="F5366" s="6"/>
    </row>
    <row r="5367" spans="1:6" x14ac:dyDescent="0.3">
      <c r="A5367" s="8" t="s">
        <v>10694</v>
      </c>
      <c r="B5367" s="8" t="s">
        <v>58970</v>
      </c>
      <c r="C5367" s="8" t="s">
        <v>10695</v>
      </c>
      <c r="D5367" s="8"/>
      <c r="E5367" s="6"/>
      <c r="F5367" s="6"/>
    </row>
    <row r="5368" spans="1:6" x14ac:dyDescent="0.3">
      <c r="A5368" s="8" t="s">
        <v>10696</v>
      </c>
      <c r="B5368" s="8" t="s">
        <v>58971</v>
      </c>
      <c r="C5368" s="8" t="s">
        <v>10697</v>
      </c>
      <c r="D5368" s="8"/>
      <c r="E5368" s="6"/>
      <c r="F5368" s="6"/>
    </row>
    <row r="5369" spans="1:6" x14ac:dyDescent="0.3">
      <c r="A5369" s="8" t="s">
        <v>10698</v>
      </c>
      <c r="B5369" s="8" t="s">
        <v>58972</v>
      </c>
      <c r="C5369" s="8" t="s">
        <v>10699</v>
      </c>
      <c r="D5369" s="8"/>
      <c r="E5369" s="6"/>
      <c r="F5369" s="6"/>
    </row>
    <row r="5370" spans="1:6" x14ac:dyDescent="0.3">
      <c r="A5370" s="8" t="s">
        <v>10700</v>
      </c>
      <c r="B5370" s="8" t="s">
        <v>58973</v>
      </c>
      <c r="C5370" s="8" t="s">
        <v>10701</v>
      </c>
      <c r="D5370" s="8"/>
      <c r="E5370" s="6"/>
      <c r="F5370" s="6"/>
    </row>
    <row r="5371" spans="1:6" x14ac:dyDescent="0.3">
      <c r="A5371" s="8" t="s">
        <v>10702</v>
      </c>
      <c r="B5371" s="8" t="s">
        <v>58974</v>
      </c>
      <c r="C5371" s="8" t="s">
        <v>10703</v>
      </c>
      <c r="D5371" s="8"/>
      <c r="E5371" s="6"/>
      <c r="F5371" s="6"/>
    </row>
    <row r="5372" spans="1:6" x14ac:dyDescent="0.3">
      <c r="A5372" s="8" t="s">
        <v>10704</v>
      </c>
      <c r="B5372" s="8" t="s">
        <v>58975</v>
      </c>
      <c r="C5372" s="8" t="s">
        <v>10705</v>
      </c>
      <c r="D5372" s="8"/>
      <c r="E5372" s="6"/>
      <c r="F5372" s="6"/>
    </row>
    <row r="5373" spans="1:6" x14ac:dyDescent="0.3">
      <c r="A5373" s="8" t="s">
        <v>10706</v>
      </c>
      <c r="B5373" s="8" t="s">
        <v>58976</v>
      </c>
      <c r="C5373" s="8" t="s">
        <v>10707</v>
      </c>
      <c r="D5373" s="8"/>
      <c r="E5373" s="6"/>
      <c r="F5373" s="6"/>
    </row>
    <row r="5374" spans="1:6" x14ac:dyDescent="0.3">
      <c r="A5374" s="8" t="s">
        <v>10708</v>
      </c>
      <c r="B5374" s="8" t="s">
        <v>58977</v>
      </c>
      <c r="C5374" s="8" t="s">
        <v>10709</v>
      </c>
      <c r="D5374" s="8"/>
      <c r="E5374" s="6"/>
      <c r="F5374" s="6"/>
    </row>
    <row r="5375" spans="1:6" x14ac:dyDescent="0.3">
      <c r="A5375" s="8" t="s">
        <v>10710</v>
      </c>
      <c r="B5375" s="8" t="s">
        <v>58978</v>
      </c>
      <c r="C5375" s="8" t="s">
        <v>10711</v>
      </c>
      <c r="D5375" s="8"/>
      <c r="E5375" s="6"/>
      <c r="F5375" s="6"/>
    </row>
    <row r="5376" spans="1:6" x14ac:dyDescent="0.3">
      <c r="A5376" s="8" t="s">
        <v>10712</v>
      </c>
      <c r="B5376" s="8" t="s">
        <v>58979</v>
      </c>
      <c r="C5376" s="8" t="s">
        <v>10713</v>
      </c>
      <c r="D5376" s="8"/>
      <c r="E5376" s="6"/>
      <c r="F5376" s="6"/>
    </row>
    <row r="5377" spans="1:6" x14ac:dyDescent="0.3">
      <c r="A5377" s="8" t="s">
        <v>10714</v>
      </c>
      <c r="B5377" s="8" t="s">
        <v>58980</v>
      </c>
      <c r="C5377" s="8" t="s">
        <v>10715</v>
      </c>
      <c r="D5377" s="8"/>
      <c r="E5377" s="6"/>
      <c r="F5377" s="6"/>
    </row>
    <row r="5378" spans="1:6" x14ac:dyDescent="0.3">
      <c r="A5378" s="8" t="s">
        <v>10716</v>
      </c>
      <c r="B5378" s="8" t="s">
        <v>58981</v>
      </c>
      <c r="C5378" s="8" t="s">
        <v>10717</v>
      </c>
      <c r="D5378" s="8"/>
      <c r="E5378" s="6"/>
      <c r="F5378" s="6"/>
    </row>
    <row r="5379" spans="1:6" x14ac:dyDescent="0.3">
      <c r="A5379" s="8" t="s">
        <v>10718</v>
      </c>
      <c r="B5379" s="8" t="s">
        <v>58982</v>
      </c>
      <c r="C5379" s="8" t="s">
        <v>10719</v>
      </c>
      <c r="D5379" s="8"/>
      <c r="E5379" s="6"/>
      <c r="F5379" s="6"/>
    </row>
    <row r="5380" spans="1:6" x14ac:dyDescent="0.3">
      <c r="A5380" s="8" t="s">
        <v>10720</v>
      </c>
      <c r="B5380" s="8" t="s">
        <v>58983</v>
      </c>
      <c r="C5380" s="8" t="s">
        <v>10721</v>
      </c>
      <c r="D5380" s="8"/>
      <c r="E5380" s="6"/>
      <c r="F5380" s="6"/>
    </row>
    <row r="5381" spans="1:6" x14ac:dyDescent="0.3">
      <c r="A5381" s="8" t="s">
        <v>10722</v>
      </c>
      <c r="B5381" s="8" t="s">
        <v>58984</v>
      </c>
      <c r="C5381" s="8" t="s">
        <v>10723</v>
      </c>
      <c r="D5381" s="8"/>
      <c r="E5381" s="6"/>
      <c r="F5381" s="6"/>
    </row>
    <row r="5382" spans="1:6" x14ac:dyDescent="0.3">
      <c r="A5382" s="8" t="s">
        <v>10724</v>
      </c>
      <c r="B5382" s="8" t="s">
        <v>58985</v>
      </c>
      <c r="C5382" s="8" t="s">
        <v>10725</v>
      </c>
      <c r="D5382" s="8"/>
      <c r="E5382" s="6"/>
      <c r="F5382" s="6"/>
    </row>
    <row r="5383" spans="1:6" x14ac:dyDescent="0.3">
      <c r="A5383" s="8" t="s">
        <v>10726</v>
      </c>
      <c r="B5383" s="8" t="s">
        <v>58986</v>
      </c>
      <c r="C5383" s="8" t="s">
        <v>10727</v>
      </c>
      <c r="D5383" s="8"/>
      <c r="E5383" s="6"/>
      <c r="F5383" s="6"/>
    </row>
    <row r="5384" spans="1:6" x14ac:dyDescent="0.3">
      <c r="A5384" s="8" t="s">
        <v>10728</v>
      </c>
      <c r="B5384" s="8" t="s">
        <v>58987</v>
      </c>
      <c r="C5384" s="8" t="s">
        <v>10729</v>
      </c>
      <c r="D5384" s="8"/>
      <c r="E5384" s="6"/>
      <c r="F5384" s="6"/>
    </row>
    <row r="5385" spans="1:6" x14ac:dyDescent="0.3">
      <c r="A5385" s="8" t="s">
        <v>10730</v>
      </c>
      <c r="B5385" s="8" t="s">
        <v>58988</v>
      </c>
      <c r="C5385" s="8" t="s">
        <v>10731</v>
      </c>
      <c r="D5385" s="8"/>
      <c r="E5385" s="6"/>
      <c r="F5385" s="6"/>
    </row>
    <row r="5386" spans="1:6" x14ac:dyDescent="0.3">
      <c r="A5386" s="8" t="s">
        <v>10732</v>
      </c>
      <c r="B5386" s="8" t="s">
        <v>58989</v>
      </c>
      <c r="C5386" s="8" t="s">
        <v>10733</v>
      </c>
      <c r="D5386" s="8"/>
      <c r="E5386" s="6"/>
      <c r="F5386" s="6"/>
    </row>
    <row r="5387" spans="1:6" x14ac:dyDescent="0.3">
      <c r="A5387" s="8" t="s">
        <v>10734</v>
      </c>
      <c r="B5387" s="8" t="s">
        <v>58990</v>
      </c>
      <c r="C5387" s="8" t="s">
        <v>10735</v>
      </c>
      <c r="D5387" s="8"/>
      <c r="E5387" s="6"/>
      <c r="F5387" s="6"/>
    </row>
    <row r="5388" spans="1:6" x14ac:dyDescent="0.3">
      <c r="A5388" s="8" t="s">
        <v>10736</v>
      </c>
      <c r="B5388" s="8" t="s">
        <v>58991</v>
      </c>
      <c r="C5388" s="8" t="s">
        <v>10737</v>
      </c>
      <c r="D5388" s="8"/>
      <c r="E5388" s="6"/>
      <c r="F5388" s="6"/>
    </row>
    <row r="5389" spans="1:6" x14ac:dyDescent="0.3">
      <c r="A5389" s="8" t="s">
        <v>10738</v>
      </c>
      <c r="B5389" s="8" t="s">
        <v>58992</v>
      </c>
      <c r="C5389" s="8" t="s">
        <v>10739</v>
      </c>
      <c r="D5389" s="8"/>
      <c r="E5389" s="6"/>
      <c r="F5389" s="6"/>
    </row>
    <row r="5390" spans="1:6" x14ac:dyDescent="0.3">
      <c r="A5390" s="8" t="s">
        <v>10740</v>
      </c>
      <c r="B5390" s="8" t="s">
        <v>58993</v>
      </c>
      <c r="C5390" s="8" t="s">
        <v>10741</v>
      </c>
      <c r="D5390" s="8"/>
      <c r="E5390" s="6"/>
      <c r="F5390" s="6"/>
    </row>
    <row r="5391" spans="1:6" x14ac:dyDescent="0.3">
      <c r="A5391" s="8" t="s">
        <v>10742</v>
      </c>
      <c r="B5391" s="8" t="s">
        <v>58994</v>
      </c>
      <c r="C5391" s="8" t="s">
        <v>10743</v>
      </c>
      <c r="D5391" s="8"/>
      <c r="E5391" s="6"/>
      <c r="F5391" s="6"/>
    </row>
    <row r="5392" spans="1:6" x14ac:dyDescent="0.3">
      <c r="A5392" s="8" t="s">
        <v>10744</v>
      </c>
      <c r="B5392" s="8" t="s">
        <v>58995</v>
      </c>
      <c r="C5392" s="8" t="s">
        <v>10745</v>
      </c>
      <c r="D5392" s="8"/>
      <c r="E5392" s="6"/>
      <c r="F5392" s="6"/>
    </row>
    <row r="5393" spans="1:6" x14ac:dyDescent="0.3">
      <c r="A5393" s="8" t="s">
        <v>10746</v>
      </c>
      <c r="B5393" s="8" t="s">
        <v>58996</v>
      </c>
      <c r="C5393" s="8" t="s">
        <v>10747</v>
      </c>
      <c r="D5393" s="8"/>
      <c r="E5393" s="6"/>
      <c r="F5393" s="6"/>
    </row>
    <row r="5394" spans="1:6" x14ac:dyDescent="0.3">
      <c r="A5394" s="8" t="s">
        <v>10748</v>
      </c>
      <c r="B5394" s="8" t="s">
        <v>58997</v>
      </c>
      <c r="C5394" s="8" t="s">
        <v>10749</v>
      </c>
      <c r="D5394" s="8"/>
      <c r="E5394" s="6"/>
      <c r="F5394" s="6"/>
    </row>
    <row r="5395" spans="1:6" x14ac:dyDescent="0.3">
      <c r="A5395" s="8" t="s">
        <v>10750</v>
      </c>
      <c r="B5395" s="8" t="s">
        <v>58998</v>
      </c>
      <c r="C5395" s="8" t="s">
        <v>10751</v>
      </c>
      <c r="D5395" s="8"/>
      <c r="E5395" s="6"/>
      <c r="F5395" s="6"/>
    </row>
    <row r="5396" spans="1:6" x14ac:dyDescent="0.3">
      <c r="A5396" s="8" t="s">
        <v>10752</v>
      </c>
      <c r="B5396" s="8" t="s">
        <v>58999</v>
      </c>
      <c r="C5396" s="8" t="s">
        <v>10753</v>
      </c>
      <c r="D5396" s="8"/>
      <c r="E5396" s="6"/>
      <c r="F5396" s="6"/>
    </row>
    <row r="5397" spans="1:6" x14ac:dyDescent="0.3">
      <c r="A5397" s="8" t="s">
        <v>10754</v>
      </c>
      <c r="B5397" s="8" t="s">
        <v>59000</v>
      </c>
      <c r="C5397" s="8" t="s">
        <v>10755</v>
      </c>
      <c r="D5397" s="8"/>
      <c r="E5397" s="6"/>
      <c r="F5397" s="6"/>
    </row>
    <row r="5398" spans="1:6" x14ac:dyDescent="0.3">
      <c r="A5398" s="8" t="s">
        <v>10756</v>
      </c>
      <c r="B5398" s="8" t="s">
        <v>59001</v>
      </c>
      <c r="C5398" s="8" t="s">
        <v>10757</v>
      </c>
      <c r="D5398" s="8"/>
      <c r="E5398" s="6"/>
      <c r="F5398" s="6"/>
    </row>
    <row r="5399" spans="1:6" x14ac:dyDescent="0.3">
      <c r="A5399" s="8" t="s">
        <v>10758</v>
      </c>
      <c r="B5399" s="8" t="s">
        <v>59002</v>
      </c>
      <c r="C5399" s="8" t="s">
        <v>10759</v>
      </c>
      <c r="D5399" s="8"/>
      <c r="E5399" s="6"/>
      <c r="F5399" s="6"/>
    </row>
    <row r="5400" spans="1:6" x14ac:dyDescent="0.3">
      <c r="A5400" s="8" t="s">
        <v>10760</v>
      </c>
      <c r="B5400" s="8" t="s">
        <v>59003</v>
      </c>
      <c r="C5400" s="8" t="s">
        <v>10761</v>
      </c>
      <c r="D5400" s="8"/>
      <c r="E5400" s="6"/>
      <c r="F5400" s="6"/>
    </row>
    <row r="5401" spans="1:6" x14ac:dyDescent="0.3">
      <c r="A5401" s="8" t="s">
        <v>10762</v>
      </c>
      <c r="B5401" s="8" t="s">
        <v>59004</v>
      </c>
      <c r="C5401" s="8" t="s">
        <v>10763</v>
      </c>
      <c r="D5401" s="8"/>
      <c r="E5401" s="6"/>
      <c r="F5401" s="6"/>
    </row>
    <row r="5402" spans="1:6" x14ac:dyDescent="0.3">
      <c r="A5402" s="8" t="s">
        <v>10764</v>
      </c>
      <c r="B5402" s="8" t="s">
        <v>59005</v>
      </c>
      <c r="C5402" s="8" t="s">
        <v>10765</v>
      </c>
      <c r="D5402" s="8"/>
      <c r="E5402" s="6"/>
      <c r="F5402" s="6"/>
    </row>
    <row r="5403" spans="1:6" x14ac:dyDescent="0.3">
      <c r="A5403" s="8" t="s">
        <v>10766</v>
      </c>
      <c r="B5403" s="8" t="s">
        <v>59006</v>
      </c>
      <c r="C5403" s="8" t="s">
        <v>10767</v>
      </c>
      <c r="D5403" s="8"/>
      <c r="E5403" s="6"/>
      <c r="F5403" s="6"/>
    </row>
    <row r="5404" spans="1:6" x14ac:dyDescent="0.3">
      <c r="A5404" s="8" t="s">
        <v>10768</v>
      </c>
      <c r="B5404" s="8" t="s">
        <v>59007</v>
      </c>
      <c r="C5404" s="8" t="s">
        <v>10769</v>
      </c>
      <c r="D5404" s="8"/>
      <c r="E5404" s="6"/>
      <c r="F5404" s="6"/>
    </row>
    <row r="5405" spans="1:6" x14ac:dyDescent="0.3">
      <c r="A5405" s="8" t="s">
        <v>10770</v>
      </c>
      <c r="B5405" s="8" t="s">
        <v>59008</v>
      </c>
      <c r="C5405" s="8" t="s">
        <v>10771</v>
      </c>
      <c r="D5405" s="8"/>
      <c r="E5405" s="6"/>
      <c r="F5405" s="6"/>
    </row>
    <row r="5406" spans="1:6" x14ac:dyDescent="0.3">
      <c r="A5406" s="8" t="s">
        <v>10772</v>
      </c>
      <c r="B5406" s="8" t="s">
        <v>59009</v>
      </c>
      <c r="C5406" s="8" t="s">
        <v>10773</v>
      </c>
      <c r="D5406" s="8"/>
      <c r="E5406" s="6"/>
      <c r="F5406" s="6"/>
    </row>
    <row r="5407" spans="1:6" x14ac:dyDescent="0.3">
      <c r="A5407" s="8" t="s">
        <v>10774</v>
      </c>
      <c r="B5407" s="8" t="s">
        <v>59010</v>
      </c>
      <c r="C5407" s="8" t="s">
        <v>10775</v>
      </c>
      <c r="D5407" s="8"/>
      <c r="E5407" s="6"/>
      <c r="F5407" s="6"/>
    </row>
    <row r="5408" spans="1:6" x14ac:dyDescent="0.3">
      <c r="A5408" s="8" t="s">
        <v>10776</v>
      </c>
      <c r="B5408" s="8" t="s">
        <v>59011</v>
      </c>
      <c r="C5408" s="8" t="s">
        <v>10777</v>
      </c>
      <c r="D5408" s="8"/>
      <c r="E5408" s="6"/>
      <c r="F5408" s="6"/>
    </row>
    <row r="5409" spans="1:6" x14ac:dyDescent="0.3">
      <c r="A5409" s="8" t="s">
        <v>10778</v>
      </c>
      <c r="B5409" s="8" t="s">
        <v>59012</v>
      </c>
      <c r="C5409" s="8" t="s">
        <v>10779</v>
      </c>
      <c r="D5409" s="8"/>
      <c r="E5409" s="6"/>
      <c r="F5409" s="6"/>
    </row>
    <row r="5410" spans="1:6" x14ac:dyDescent="0.3">
      <c r="A5410" s="8" t="s">
        <v>10780</v>
      </c>
      <c r="B5410" s="8" t="s">
        <v>59013</v>
      </c>
      <c r="C5410" s="8" t="s">
        <v>10781</v>
      </c>
      <c r="D5410" s="8"/>
      <c r="E5410" s="6"/>
      <c r="F5410" s="6"/>
    </row>
    <row r="5411" spans="1:6" x14ac:dyDescent="0.3">
      <c r="A5411" s="8" t="s">
        <v>10782</v>
      </c>
      <c r="B5411" s="8" t="s">
        <v>59014</v>
      </c>
      <c r="C5411" s="8" t="s">
        <v>10783</v>
      </c>
      <c r="D5411" s="8"/>
      <c r="E5411" s="6"/>
      <c r="F5411" s="6"/>
    </row>
    <row r="5412" spans="1:6" x14ac:dyDescent="0.3">
      <c r="A5412" s="8" t="s">
        <v>10784</v>
      </c>
      <c r="B5412" s="8" t="s">
        <v>59015</v>
      </c>
      <c r="C5412" s="8" t="s">
        <v>10785</v>
      </c>
      <c r="D5412" s="8"/>
      <c r="E5412" s="6"/>
      <c r="F5412" s="6"/>
    </row>
    <row r="5413" spans="1:6" x14ac:dyDescent="0.3">
      <c r="A5413" s="8" t="s">
        <v>10786</v>
      </c>
      <c r="B5413" s="8" t="s">
        <v>59016</v>
      </c>
      <c r="C5413" s="8" t="s">
        <v>10787</v>
      </c>
      <c r="D5413" s="8"/>
      <c r="E5413" s="6"/>
      <c r="F5413" s="6"/>
    </row>
    <row r="5414" spans="1:6" x14ac:dyDescent="0.3">
      <c r="A5414" s="8" t="s">
        <v>10788</v>
      </c>
      <c r="B5414" s="8" t="s">
        <v>59017</v>
      </c>
      <c r="C5414" s="8" t="s">
        <v>10789</v>
      </c>
      <c r="D5414" s="8"/>
      <c r="E5414" s="6"/>
      <c r="F5414" s="6"/>
    </row>
    <row r="5415" spans="1:6" x14ac:dyDescent="0.3">
      <c r="A5415" s="8" t="s">
        <v>10790</v>
      </c>
      <c r="B5415" s="8" t="s">
        <v>59018</v>
      </c>
      <c r="C5415" s="8" t="s">
        <v>10791</v>
      </c>
      <c r="D5415" s="8"/>
      <c r="E5415" s="6"/>
      <c r="F5415" s="6"/>
    </row>
    <row r="5416" spans="1:6" x14ac:dyDescent="0.3">
      <c r="A5416" s="8" t="s">
        <v>10792</v>
      </c>
      <c r="B5416" s="8" t="s">
        <v>59019</v>
      </c>
      <c r="C5416" s="8" t="s">
        <v>10793</v>
      </c>
      <c r="D5416" s="8"/>
      <c r="E5416" s="6"/>
      <c r="F5416" s="6"/>
    </row>
    <row r="5417" spans="1:6" x14ac:dyDescent="0.3">
      <c r="A5417" s="8" t="s">
        <v>10794</v>
      </c>
      <c r="B5417" s="8" t="s">
        <v>59020</v>
      </c>
      <c r="C5417" s="8" t="s">
        <v>10795</v>
      </c>
      <c r="D5417" s="8"/>
      <c r="E5417" s="6"/>
      <c r="F5417" s="6"/>
    </row>
    <row r="5418" spans="1:6" x14ac:dyDescent="0.3">
      <c r="A5418" s="8" t="s">
        <v>10796</v>
      </c>
      <c r="B5418" s="8" t="s">
        <v>59021</v>
      </c>
      <c r="C5418" s="8" t="s">
        <v>10797</v>
      </c>
      <c r="D5418" s="8"/>
      <c r="E5418" s="6"/>
      <c r="F5418" s="6"/>
    </row>
    <row r="5419" spans="1:6" x14ac:dyDescent="0.3">
      <c r="A5419" s="8" t="s">
        <v>10798</v>
      </c>
      <c r="B5419" s="8" t="s">
        <v>59022</v>
      </c>
      <c r="C5419" s="8" t="s">
        <v>10799</v>
      </c>
      <c r="D5419" s="8"/>
      <c r="E5419" s="6"/>
      <c r="F5419" s="6"/>
    </row>
    <row r="5420" spans="1:6" x14ac:dyDescent="0.3">
      <c r="A5420" s="8" t="s">
        <v>10800</v>
      </c>
      <c r="B5420" s="8" t="s">
        <v>59023</v>
      </c>
      <c r="C5420" s="8" t="s">
        <v>10801</v>
      </c>
      <c r="D5420" s="8"/>
      <c r="E5420" s="6"/>
      <c r="F5420" s="6"/>
    </row>
    <row r="5421" spans="1:6" x14ac:dyDescent="0.3">
      <c r="A5421" s="8" t="s">
        <v>10802</v>
      </c>
      <c r="B5421" s="8" t="s">
        <v>59024</v>
      </c>
      <c r="C5421" s="8" t="s">
        <v>10803</v>
      </c>
      <c r="D5421" s="8"/>
      <c r="E5421" s="6"/>
      <c r="F5421" s="6"/>
    </row>
    <row r="5422" spans="1:6" x14ac:dyDescent="0.3">
      <c r="A5422" s="8" t="s">
        <v>10804</v>
      </c>
      <c r="B5422" s="8" t="s">
        <v>59025</v>
      </c>
      <c r="C5422" s="8" t="s">
        <v>10805</v>
      </c>
      <c r="D5422" s="8"/>
      <c r="E5422" s="6"/>
      <c r="F5422" s="6"/>
    </row>
    <row r="5423" spans="1:6" x14ac:dyDescent="0.3">
      <c r="A5423" s="8" t="s">
        <v>10806</v>
      </c>
      <c r="B5423" s="8" t="s">
        <v>59026</v>
      </c>
      <c r="C5423" s="8" t="s">
        <v>10807</v>
      </c>
      <c r="D5423" s="8"/>
      <c r="E5423" s="6"/>
      <c r="F5423" s="6"/>
    </row>
    <row r="5424" spans="1:6" x14ac:dyDescent="0.3">
      <c r="A5424" s="8" t="s">
        <v>10808</v>
      </c>
      <c r="B5424" s="8" t="s">
        <v>59027</v>
      </c>
      <c r="C5424" s="8" t="s">
        <v>10809</v>
      </c>
      <c r="D5424" s="8"/>
      <c r="E5424" s="6"/>
      <c r="F5424" s="6"/>
    </row>
    <row r="5425" spans="1:6" x14ac:dyDescent="0.3">
      <c r="A5425" s="8" t="s">
        <v>10810</v>
      </c>
      <c r="B5425" s="8" t="s">
        <v>59028</v>
      </c>
      <c r="C5425" s="8" t="s">
        <v>10811</v>
      </c>
      <c r="D5425" s="8"/>
      <c r="E5425" s="6"/>
      <c r="F5425" s="6"/>
    </row>
    <row r="5426" spans="1:6" x14ac:dyDescent="0.3">
      <c r="A5426" s="8" t="s">
        <v>10812</v>
      </c>
      <c r="B5426" s="8" t="s">
        <v>59029</v>
      </c>
      <c r="C5426" s="8" t="s">
        <v>10813</v>
      </c>
      <c r="D5426" s="8"/>
      <c r="E5426" s="6"/>
      <c r="F5426" s="6"/>
    </row>
    <row r="5427" spans="1:6" x14ac:dyDescent="0.3">
      <c r="A5427" s="8" t="s">
        <v>10814</v>
      </c>
      <c r="B5427" s="8" t="s">
        <v>59030</v>
      </c>
      <c r="C5427" s="8" t="s">
        <v>10815</v>
      </c>
      <c r="D5427" s="8"/>
      <c r="E5427" s="6"/>
      <c r="F5427" s="6"/>
    </row>
    <row r="5428" spans="1:6" x14ac:dyDescent="0.3">
      <c r="A5428" s="8" t="s">
        <v>10816</v>
      </c>
      <c r="B5428" s="8" t="s">
        <v>59031</v>
      </c>
      <c r="C5428" s="8" t="s">
        <v>10817</v>
      </c>
      <c r="D5428" s="8"/>
      <c r="E5428" s="6"/>
      <c r="F5428" s="6"/>
    </row>
    <row r="5429" spans="1:6" x14ac:dyDescent="0.3">
      <c r="A5429" s="8" t="s">
        <v>10818</v>
      </c>
      <c r="B5429" s="8" t="s">
        <v>59032</v>
      </c>
      <c r="C5429" s="8" t="s">
        <v>10819</v>
      </c>
      <c r="D5429" s="8"/>
      <c r="E5429" s="6"/>
      <c r="F5429" s="6"/>
    </row>
    <row r="5430" spans="1:6" x14ac:dyDescent="0.3">
      <c r="A5430" s="8" t="s">
        <v>10820</v>
      </c>
      <c r="B5430" s="8" t="s">
        <v>59033</v>
      </c>
      <c r="C5430" s="8" t="s">
        <v>10821</v>
      </c>
      <c r="D5430" s="8"/>
      <c r="E5430" s="6"/>
      <c r="F5430" s="6"/>
    </row>
    <row r="5431" spans="1:6" x14ac:dyDescent="0.3">
      <c r="A5431" s="8" t="s">
        <v>10822</v>
      </c>
      <c r="B5431" s="8" t="s">
        <v>59034</v>
      </c>
      <c r="C5431" s="8" t="s">
        <v>10823</v>
      </c>
      <c r="D5431" s="8"/>
      <c r="E5431" s="6"/>
      <c r="F5431" s="6"/>
    </row>
    <row r="5432" spans="1:6" x14ac:dyDescent="0.3">
      <c r="A5432" s="8" t="s">
        <v>10824</v>
      </c>
      <c r="B5432" s="8" t="s">
        <v>59035</v>
      </c>
      <c r="C5432" s="8" t="s">
        <v>10825</v>
      </c>
      <c r="D5432" s="8"/>
      <c r="E5432" s="6"/>
      <c r="F5432" s="6"/>
    </row>
    <row r="5433" spans="1:6" x14ac:dyDescent="0.3">
      <c r="A5433" s="8" t="s">
        <v>10826</v>
      </c>
      <c r="B5433" s="8" t="s">
        <v>59036</v>
      </c>
      <c r="C5433" s="8" t="s">
        <v>10827</v>
      </c>
      <c r="D5433" s="8"/>
      <c r="E5433" s="6"/>
      <c r="F5433" s="6"/>
    </row>
    <row r="5434" spans="1:6" x14ac:dyDescent="0.3">
      <c r="A5434" s="8" t="s">
        <v>10828</v>
      </c>
      <c r="B5434" s="8" t="s">
        <v>59037</v>
      </c>
      <c r="C5434" s="8" t="s">
        <v>10829</v>
      </c>
      <c r="D5434" s="8"/>
      <c r="E5434" s="6"/>
      <c r="F5434" s="6"/>
    </row>
    <row r="5435" spans="1:6" x14ac:dyDescent="0.3">
      <c r="A5435" s="8" t="s">
        <v>10830</v>
      </c>
      <c r="B5435" s="8" t="s">
        <v>59038</v>
      </c>
      <c r="C5435" s="8" t="s">
        <v>10831</v>
      </c>
      <c r="D5435" s="8"/>
      <c r="E5435" s="6"/>
      <c r="F5435" s="6"/>
    </row>
    <row r="5436" spans="1:6" x14ac:dyDescent="0.3">
      <c r="A5436" s="8" t="s">
        <v>10832</v>
      </c>
      <c r="B5436" s="8" t="s">
        <v>59039</v>
      </c>
      <c r="C5436" s="8" t="s">
        <v>10833</v>
      </c>
      <c r="D5436" s="8"/>
      <c r="E5436" s="6"/>
      <c r="F5436" s="6"/>
    </row>
    <row r="5437" spans="1:6" x14ac:dyDescent="0.3">
      <c r="A5437" s="8" t="s">
        <v>10834</v>
      </c>
      <c r="B5437" s="8" t="s">
        <v>59040</v>
      </c>
      <c r="C5437" s="8" t="s">
        <v>10835</v>
      </c>
      <c r="D5437" s="8"/>
      <c r="E5437" s="6"/>
      <c r="F5437" s="6"/>
    </row>
    <row r="5438" spans="1:6" x14ac:dyDescent="0.3">
      <c r="A5438" s="8" t="s">
        <v>10836</v>
      </c>
      <c r="B5438" s="8" t="s">
        <v>59041</v>
      </c>
      <c r="C5438" s="8" t="s">
        <v>10837</v>
      </c>
      <c r="D5438" s="8"/>
      <c r="E5438" s="6"/>
      <c r="F5438" s="6"/>
    </row>
    <row r="5439" spans="1:6" x14ac:dyDescent="0.3">
      <c r="A5439" s="8" t="s">
        <v>10838</v>
      </c>
      <c r="B5439" s="8" t="s">
        <v>59042</v>
      </c>
      <c r="C5439" s="8" t="s">
        <v>10839</v>
      </c>
      <c r="D5439" s="8"/>
      <c r="E5439" s="6"/>
      <c r="F5439" s="6"/>
    </row>
    <row r="5440" spans="1:6" x14ac:dyDescent="0.3">
      <c r="A5440" s="8" t="s">
        <v>10840</v>
      </c>
      <c r="B5440" s="8" t="s">
        <v>59043</v>
      </c>
      <c r="C5440" s="8" t="s">
        <v>10841</v>
      </c>
      <c r="D5440" s="8"/>
      <c r="E5440" s="6"/>
      <c r="F5440" s="6"/>
    </row>
    <row r="5441" spans="1:6" x14ac:dyDescent="0.3">
      <c r="A5441" s="8" t="s">
        <v>10842</v>
      </c>
      <c r="B5441" s="8" t="s">
        <v>59044</v>
      </c>
      <c r="C5441" s="8" t="s">
        <v>10843</v>
      </c>
      <c r="D5441" s="8"/>
      <c r="E5441" s="6"/>
      <c r="F5441" s="6"/>
    </row>
    <row r="5442" spans="1:6" x14ac:dyDescent="0.3">
      <c r="A5442" s="8" t="s">
        <v>10844</v>
      </c>
      <c r="B5442" s="8" t="s">
        <v>59045</v>
      </c>
      <c r="C5442" s="8" t="s">
        <v>10845</v>
      </c>
      <c r="D5442" s="8"/>
      <c r="E5442" s="6"/>
      <c r="F5442" s="6"/>
    </row>
    <row r="5443" spans="1:6" x14ac:dyDescent="0.3">
      <c r="A5443" s="8" t="s">
        <v>10846</v>
      </c>
      <c r="B5443" s="8" t="s">
        <v>59046</v>
      </c>
      <c r="C5443" s="8" t="s">
        <v>10847</v>
      </c>
      <c r="D5443" s="8"/>
      <c r="E5443" s="6"/>
      <c r="F5443" s="6"/>
    </row>
    <row r="5444" spans="1:6" x14ac:dyDescent="0.3">
      <c r="A5444" s="8" t="s">
        <v>10848</v>
      </c>
      <c r="B5444" s="8" t="s">
        <v>59047</v>
      </c>
      <c r="C5444" s="8" t="s">
        <v>10849</v>
      </c>
      <c r="D5444" s="8"/>
      <c r="E5444" s="6"/>
      <c r="F5444" s="6"/>
    </row>
    <row r="5445" spans="1:6" x14ac:dyDescent="0.3">
      <c r="A5445" s="8" t="s">
        <v>10850</v>
      </c>
      <c r="B5445" s="8" t="s">
        <v>59048</v>
      </c>
      <c r="C5445" s="8" t="s">
        <v>10851</v>
      </c>
      <c r="D5445" s="8"/>
      <c r="E5445" s="6"/>
      <c r="F5445" s="6"/>
    </row>
    <row r="5446" spans="1:6" x14ac:dyDescent="0.3">
      <c r="A5446" s="8" t="s">
        <v>10852</v>
      </c>
      <c r="B5446" s="8" t="s">
        <v>59049</v>
      </c>
      <c r="C5446" s="8" t="s">
        <v>10853</v>
      </c>
      <c r="D5446" s="8"/>
      <c r="E5446" s="6"/>
      <c r="F5446" s="6"/>
    </row>
    <row r="5447" spans="1:6" x14ac:dyDescent="0.3">
      <c r="A5447" s="8" t="s">
        <v>10854</v>
      </c>
      <c r="B5447" s="8" t="s">
        <v>59050</v>
      </c>
      <c r="C5447" s="8" t="s">
        <v>10855</v>
      </c>
      <c r="D5447" s="8"/>
      <c r="E5447" s="6"/>
      <c r="F5447" s="6"/>
    </row>
    <row r="5448" spans="1:6" x14ac:dyDescent="0.3">
      <c r="A5448" s="8" t="s">
        <v>10856</v>
      </c>
      <c r="B5448" s="8" t="s">
        <v>59051</v>
      </c>
      <c r="C5448" s="8" t="s">
        <v>10857</v>
      </c>
      <c r="D5448" s="8"/>
      <c r="E5448" s="6"/>
      <c r="F5448" s="6"/>
    </row>
    <row r="5449" spans="1:6" x14ac:dyDescent="0.3">
      <c r="A5449" s="8" t="s">
        <v>10858</v>
      </c>
      <c r="B5449" s="8" t="s">
        <v>59052</v>
      </c>
      <c r="C5449" s="8" t="s">
        <v>10859</v>
      </c>
      <c r="D5449" s="8"/>
      <c r="E5449" s="6"/>
      <c r="F5449" s="6"/>
    </row>
    <row r="5450" spans="1:6" x14ac:dyDescent="0.3">
      <c r="A5450" s="8" t="s">
        <v>10860</v>
      </c>
      <c r="B5450" s="8" t="s">
        <v>59053</v>
      </c>
      <c r="C5450" s="8" t="s">
        <v>10861</v>
      </c>
      <c r="D5450" s="8"/>
      <c r="E5450" s="6"/>
      <c r="F5450" s="6"/>
    </row>
    <row r="5451" spans="1:6" x14ac:dyDescent="0.3">
      <c r="A5451" s="8" t="s">
        <v>10862</v>
      </c>
      <c r="B5451" s="8" t="s">
        <v>59054</v>
      </c>
      <c r="C5451" s="8" t="s">
        <v>10863</v>
      </c>
      <c r="D5451" s="8"/>
      <c r="E5451" s="6"/>
      <c r="F5451" s="6"/>
    </row>
    <row r="5452" spans="1:6" x14ac:dyDescent="0.3">
      <c r="A5452" s="8" t="s">
        <v>10864</v>
      </c>
      <c r="B5452" s="8" t="s">
        <v>59055</v>
      </c>
      <c r="C5452" s="8" t="s">
        <v>10865</v>
      </c>
      <c r="D5452" s="8"/>
      <c r="E5452" s="6"/>
      <c r="F5452" s="6"/>
    </row>
    <row r="5453" spans="1:6" x14ac:dyDescent="0.3">
      <c r="A5453" s="8" t="s">
        <v>10866</v>
      </c>
      <c r="B5453" s="8" t="s">
        <v>59056</v>
      </c>
      <c r="C5453" s="8" t="s">
        <v>10867</v>
      </c>
      <c r="D5453" s="8"/>
      <c r="E5453" s="6"/>
      <c r="F5453" s="6"/>
    </row>
    <row r="5454" spans="1:6" x14ac:dyDescent="0.3">
      <c r="A5454" s="8" t="s">
        <v>10868</v>
      </c>
      <c r="B5454" s="8" t="s">
        <v>59057</v>
      </c>
      <c r="C5454" s="8" t="s">
        <v>10869</v>
      </c>
      <c r="D5454" s="8"/>
      <c r="E5454" s="6"/>
      <c r="F5454" s="6"/>
    </row>
    <row r="5455" spans="1:6" x14ac:dyDescent="0.3">
      <c r="A5455" s="8" t="s">
        <v>10870</v>
      </c>
      <c r="B5455" s="8" t="s">
        <v>59058</v>
      </c>
      <c r="C5455" s="8" t="s">
        <v>10871</v>
      </c>
      <c r="D5455" s="8"/>
      <c r="E5455" s="6"/>
      <c r="F5455" s="6"/>
    </row>
    <row r="5456" spans="1:6" x14ac:dyDescent="0.3">
      <c r="A5456" s="8" t="s">
        <v>10872</v>
      </c>
      <c r="B5456" s="8" t="s">
        <v>59059</v>
      </c>
      <c r="C5456" s="8" t="s">
        <v>10873</v>
      </c>
      <c r="D5456" s="8"/>
      <c r="E5456" s="6"/>
      <c r="F5456" s="6"/>
    </row>
    <row r="5457" spans="1:6" x14ac:dyDescent="0.3">
      <c r="A5457" s="8" t="s">
        <v>10874</v>
      </c>
      <c r="B5457" s="8" t="s">
        <v>59060</v>
      </c>
      <c r="C5457" s="8" t="s">
        <v>10875</v>
      </c>
      <c r="D5457" s="8"/>
      <c r="E5457" s="6"/>
      <c r="F5457" s="6"/>
    </row>
    <row r="5458" spans="1:6" x14ac:dyDescent="0.3">
      <c r="A5458" s="8" t="s">
        <v>10876</v>
      </c>
      <c r="B5458" s="8" t="s">
        <v>59061</v>
      </c>
      <c r="C5458" s="8" t="s">
        <v>10877</v>
      </c>
      <c r="D5458" s="8"/>
      <c r="E5458" s="6"/>
      <c r="F5458" s="6"/>
    </row>
    <row r="5459" spans="1:6" x14ac:dyDescent="0.3">
      <c r="A5459" s="8" t="s">
        <v>10878</v>
      </c>
      <c r="B5459" s="8" t="s">
        <v>59062</v>
      </c>
      <c r="C5459" s="8" t="s">
        <v>10879</v>
      </c>
      <c r="D5459" s="8"/>
      <c r="E5459" s="6"/>
      <c r="F5459" s="6"/>
    </row>
    <row r="5460" spans="1:6" x14ac:dyDescent="0.3">
      <c r="A5460" s="8" t="s">
        <v>10880</v>
      </c>
      <c r="B5460" s="8" t="s">
        <v>59063</v>
      </c>
      <c r="C5460" s="8" t="s">
        <v>10881</v>
      </c>
      <c r="D5460" s="8"/>
      <c r="E5460" s="6"/>
      <c r="F5460" s="6"/>
    </row>
    <row r="5461" spans="1:6" x14ac:dyDescent="0.3">
      <c r="A5461" s="8" t="s">
        <v>10882</v>
      </c>
      <c r="B5461" s="8" t="s">
        <v>59064</v>
      </c>
      <c r="C5461" s="8" t="s">
        <v>10883</v>
      </c>
      <c r="D5461" s="8"/>
      <c r="E5461" s="6"/>
      <c r="F5461" s="6"/>
    </row>
    <row r="5462" spans="1:6" x14ac:dyDescent="0.3">
      <c r="A5462" s="8" t="s">
        <v>10884</v>
      </c>
      <c r="B5462" s="8" t="s">
        <v>59065</v>
      </c>
      <c r="C5462" s="8" t="s">
        <v>10885</v>
      </c>
      <c r="D5462" s="8"/>
      <c r="E5462" s="6"/>
      <c r="F5462" s="6"/>
    </row>
    <row r="5463" spans="1:6" x14ac:dyDescent="0.3">
      <c r="A5463" s="8" t="s">
        <v>10886</v>
      </c>
      <c r="B5463" s="8" t="s">
        <v>59066</v>
      </c>
      <c r="C5463" s="8" t="s">
        <v>10887</v>
      </c>
      <c r="D5463" s="8"/>
      <c r="E5463" s="6"/>
      <c r="F5463" s="6"/>
    </row>
    <row r="5464" spans="1:6" x14ac:dyDescent="0.3">
      <c r="A5464" s="8" t="s">
        <v>10888</v>
      </c>
      <c r="B5464" s="8" t="s">
        <v>59067</v>
      </c>
      <c r="C5464" s="8" t="s">
        <v>10889</v>
      </c>
      <c r="D5464" s="8"/>
      <c r="E5464" s="6"/>
      <c r="F5464" s="6"/>
    </row>
    <row r="5465" spans="1:6" x14ac:dyDescent="0.3">
      <c r="A5465" s="8" t="s">
        <v>10890</v>
      </c>
      <c r="B5465" s="8" t="s">
        <v>59068</v>
      </c>
      <c r="C5465" s="8" t="s">
        <v>10891</v>
      </c>
      <c r="D5465" s="8"/>
      <c r="E5465" s="6"/>
      <c r="F5465" s="6"/>
    </row>
    <row r="5466" spans="1:6" x14ac:dyDescent="0.3">
      <c r="A5466" s="8" t="s">
        <v>10892</v>
      </c>
      <c r="B5466" s="8" t="s">
        <v>59069</v>
      </c>
      <c r="C5466" s="8" t="s">
        <v>10893</v>
      </c>
      <c r="D5466" s="8"/>
      <c r="E5466" s="6"/>
      <c r="F5466" s="6"/>
    </row>
    <row r="5467" spans="1:6" x14ac:dyDescent="0.3">
      <c r="A5467" s="8" t="s">
        <v>10894</v>
      </c>
      <c r="B5467" s="8" t="s">
        <v>59070</v>
      </c>
      <c r="C5467" s="8" t="s">
        <v>10895</v>
      </c>
      <c r="D5467" s="8"/>
      <c r="E5467" s="6"/>
      <c r="F5467" s="6"/>
    </row>
    <row r="5468" spans="1:6" x14ac:dyDescent="0.3">
      <c r="A5468" s="8" t="s">
        <v>10896</v>
      </c>
      <c r="B5468" s="8" t="s">
        <v>59071</v>
      </c>
      <c r="C5468" s="8" t="s">
        <v>10897</v>
      </c>
      <c r="D5468" s="8"/>
      <c r="E5468" s="6"/>
      <c r="F5468" s="6"/>
    </row>
    <row r="5469" spans="1:6" x14ac:dyDescent="0.3">
      <c r="A5469" s="8" t="s">
        <v>10898</v>
      </c>
      <c r="B5469" s="8" t="s">
        <v>59072</v>
      </c>
      <c r="C5469" s="8" t="s">
        <v>10899</v>
      </c>
      <c r="D5469" s="8"/>
      <c r="E5469" s="6"/>
      <c r="F5469" s="6"/>
    </row>
    <row r="5470" spans="1:6" x14ac:dyDescent="0.3">
      <c r="A5470" s="8" t="s">
        <v>10900</v>
      </c>
      <c r="B5470" s="8" t="s">
        <v>59073</v>
      </c>
      <c r="C5470" s="8" t="s">
        <v>10901</v>
      </c>
      <c r="D5470" s="8"/>
      <c r="E5470" s="6"/>
      <c r="F5470" s="6"/>
    </row>
    <row r="5471" spans="1:6" x14ac:dyDescent="0.3">
      <c r="A5471" s="8" t="s">
        <v>10902</v>
      </c>
      <c r="B5471" s="8" t="s">
        <v>59074</v>
      </c>
      <c r="C5471" s="8" t="s">
        <v>10903</v>
      </c>
      <c r="D5471" s="8"/>
      <c r="E5471" s="6"/>
      <c r="F5471" s="6"/>
    </row>
    <row r="5472" spans="1:6" x14ac:dyDescent="0.3">
      <c r="A5472" s="8" t="s">
        <v>10904</v>
      </c>
      <c r="B5472" s="8" t="s">
        <v>59075</v>
      </c>
      <c r="C5472" s="8" t="s">
        <v>10905</v>
      </c>
      <c r="D5472" s="8"/>
      <c r="E5472" s="6"/>
      <c r="F5472" s="6"/>
    </row>
    <row r="5473" spans="1:6" x14ac:dyDescent="0.3">
      <c r="A5473" s="8" t="s">
        <v>10906</v>
      </c>
      <c r="B5473" s="8" t="s">
        <v>59076</v>
      </c>
      <c r="C5473" s="8" t="s">
        <v>10907</v>
      </c>
      <c r="D5473" s="8"/>
      <c r="E5473" s="6"/>
      <c r="F5473" s="6"/>
    </row>
    <row r="5474" spans="1:6" x14ac:dyDescent="0.3">
      <c r="A5474" s="8" t="s">
        <v>10908</v>
      </c>
      <c r="B5474" s="8" t="s">
        <v>59077</v>
      </c>
      <c r="C5474" s="8" t="s">
        <v>10909</v>
      </c>
      <c r="D5474" s="8"/>
      <c r="E5474" s="6"/>
      <c r="F5474" s="6"/>
    </row>
    <row r="5475" spans="1:6" x14ac:dyDescent="0.3">
      <c r="A5475" s="8" t="s">
        <v>10910</v>
      </c>
      <c r="B5475" s="8" t="s">
        <v>59078</v>
      </c>
      <c r="C5475" s="8" t="s">
        <v>10911</v>
      </c>
      <c r="D5475" s="8"/>
      <c r="E5475" s="6"/>
      <c r="F5475" s="6"/>
    </row>
    <row r="5476" spans="1:6" x14ac:dyDescent="0.3">
      <c r="A5476" s="8" t="s">
        <v>10912</v>
      </c>
      <c r="B5476" s="8" t="s">
        <v>59079</v>
      </c>
      <c r="C5476" s="8" t="s">
        <v>10913</v>
      </c>
      <c r="D5476" s="8"/>
      <c r="E5476" s="6"/>
      <c r="F5476" s="6"/>
    </row>
    <row r="5477" spans="1:6" x14ac:dyDescent="0.3">
      <c r="A5477" s="8" t="s">
        <v>10914</v>
      </c>
      <c r="B5477" s="8" t="s">
        <v>59080</v>
      </c>
      <c r="C5477" s="8" t="s">
        <v>10915</v>
      </c>
      <c r="D5477" s="8"/>
      <c r="E5477" s="6"/>
      <c r="F5477" s="6"/>
    </row>
    <row r="5478" spans="1:6" x14ac:dyDescent="0.3">
      <c r="A5478" s="8" t="s">
        <v>10916</v>
      </c>
      <c r="B5478" s="8" t="s">
        <v>59081</v>
      </c>
      <c r="C5478" s="8" t="s">
        <v>10917</v>
      </c>
      <c r="D5478" s="8"/>
      <c r="E5478" s="6"/>
      <c r="F5478" s="6"/>
    </row>
    <row r="5479" spans="1:6" x14ac:dyDescent="0.3">
      <c r="A5479" s="8" t="s">
        <v>10918</v>
      </c>
      <c r="B5479" s="8" t="s">
        <v>59082</v>
      </c>
      <c r="C5479" s="8" t="s">
        <v>10919</v>
      </c>
      <c r="D5479" s="8"/>
      <c r="E5479" s="6"/>
      <c r="F5479" s="6"/>
    </row>
    <row r="5480" spans="1:6" x14ac:dyDescent="0.3">
      <c r="A5480" s="8" t="s">
        <v>10920</v>
      </c>
      <c r="B5480" s="8" t="s">
        <v>59083</v>
      </c>
      <c r="C5480" s="8" t="s">
        <v>10921</v>
      </c>
      <c r="D5480" s="8"/>
      <c r="E5480" s="6"/>
      <c r="F5480" s="6"/>
    </row>
    <row r="5481" spans="1:6" x14ac:dyDescent="0.3">
      <c r="A5481" s="8" t="s">
        <v>10922</v>
      </c>
      <c r="B5481" s="8" t="s">
        <v>59084</v>
      </c>
      <c r="C5481" s="8" t="s">
        <v>10923</v>
      </c>
      <c r="D5481" s="8"/>
      <c r="E5481" s="6"/>
      <c r="F5481" s="6"/>
    </row>
    <row r="5482" spans="1:6" x14ac:dyDescent="0.3">
      <c r="A5482" s="8" t="s">
        <v>10924</v>
      </c>
      <c r="B5482" s="8" t="s">
        <v>59085</v>
      </c>
      <c r="C5482" s="8" t="s">
        <v>10925</v>
      </c>
      <c r="D5482" s="8"/>
      <c r="E5482" s="6"/>
      <c r="F5482" s="6"/>
    </row>
    <row r="5483" spans="1:6" x14ac:dyDescent="0.3">
      <c r="A5483" s="8" t="s">
        <v>10926</v>
      </c>
      <c r="B5483" s="8" t="s">
        <v>59086</v>
      </c>
      <c r="C5483" s="8" t="s">
        <v>10927</v>
      </c>
      <c r="D5483" s="8"/>
      <c r="E5483" s="6"/>
      <c r="F5483" s="6"/>
    </row>
    <row r="5484" spans="1:6" x14ac:dyDescent="0.3">
      <c r="A5484" s="8" t="s">
        <v>10928</v>
      </c>
      <c r="B5484" s="8" t="s">
        <v>59087</v>
      </c>
      <c r="C5484" s="8" t="s">
        <v>10929</v>
      </c>
      <c r="D5484" s="8"/>
      <c r="E5484" s="6"/>
      <c r="F5484" s="6"/>
    </row>
    <row r="5485" spans="1:6" x14ac:dyDescent="0.3">
      <c r="A5485" s="8" t="s">
        <v>10930</v>
      </c>
      <c r="B5485" s="8" t="s">
        <v>59088</v>
      </c>
      <c r="C5485" s="8" t="s">
        <v>10931</v>
      </c>
      <c r="D5485" s="8"/>
      <c r="E5485" s="6"/>
      <c r="F5485" s="6"/>
    </row>
    <row r="5486" spans="1:6" x14ac:dyDescent="0.3">
      <c r="A5486" s="8" t="s">
        <v>10932</v>
      </c>
      <c r="B5486" s="8" t="s">
        <v>59089</v>
      </c>
      <c r="C5486" s="8" t="s">
        <v>10933</v>
      </c>
      <c r="D5486" s="8"/>
      <c r="E5486" s="6"/>
      <c r="F5486" s="6"/>
    </row>
    <row r="5487" spans="1:6" x14ac:dyDescent="0.3">
      <c r="A5487" s="8" t="s">
        <v>10934</v>
      </c>
      <c r="B5487" s="8" t="s">
        <v>59090</v>
      </c>
      <c r="C5487" s="8" t="s">
        <v>10935</v>
      </c>
      <c r="D5487" s="8"/>
      <c r="E5487" s="6"/>
      <c r="F5487" s="6"/>
    </row>
    <row r="5488" spans="1:6" x14ac:dyDescent="0.3">
      <c r="A5488" s="8" t="s">
        <v>10936</v>
      </c>
      <c r="B5488" s="8" t="s">
        <v>59091</v>
      </c>
      <c r="C5488" s="8" t="s">
        <v>10937</v>
      </c>
      <c r="D5488" s="8"/>
      <c r="E5488" s="6"/>
      <c r="F5488" s="6"/>
    </row>
    <row r="5489" spans="1:6" x14ac:dyDescent="0.3">
      <c r="A5489" s="8" t="s">
        <v>10938</v>
      </c>
      <c r="B5489" s="8" t="s">
        <v>59092</v>
      </c>
      <c r="C5489" s="8" t="s">
        <v>10939</v>
      </c>
      <c r="D5489" s="8"/>
      <c r="E5489" s="6"/>
      <c r="F5489" s="6"/>
    </row>
    <row r="5490" spans="1:6" x14ac:dyDescent="0.3">
      <c r="A5490" s="8" t="s">
        <v>10940</v>
      </c>
      <c r="B5490" s="8" t="s">
        <v>59093</v>
      </c>
      <c r="C5490" s="8" t="s">
        <v>10941</v>
      </c>
      <c r="D5490" s="8"/>
      <c r="E5490" s="6"/>
      <c r="F5490" s="6"/>
    </row>
    <row r="5491" spans="1:6" x14ac:dyDescent="0.3">
      <c r="A5491" s="8" t="s">
        <v>10942</v>
      </c>
      <c r="B5491" s="8" t="s">
        <v>59094</v>
      </c>
      <c r="C5491" s="8" t="s">
        <v>10943</v>
      </c>
      <c r="D5491" s="8"/>
      <c r="E5491" s="6"/>
      <c r="F5491" s="6"/>
    </row>
    <row r="5492" spans="1:6" x14ac:dyDescent="0.3">
      <c r="A5492" s="8" t="s">
        <v>10944</v>
      </c>
      <c r="B5492" s="8" t="s">
        <v>59095</v>
      </c>
      <c r="C5492" s="8" t="s">
        <v>10945</v>
      </c>
      <c r="D5492" s="8"/>
      <c r="E5492" s="6"/>
      <c r="F5492" s="6"/>
    </row>
    <row r="5493" spans="1:6" x14ac:dyDescent="0.3">
      <c r="A5493" s="8" t="s">
        <v>10946</v>
      </c>
      <c r="B5493" s="8" t="s">
        <v>59096</v>
      </c>
      <c r="C5493" s="8" t="s">
        <v>10947</v>
      </c>
      <c r="D5493" s="8"/>
      <c r="E5493" s="6"/>
      <c r="F5493" s="6"/>
    </row>
    <row r="5494" spans="1:6" x14ac:dyDescent="0.3">
      <c r="A5494" s="8" t="s">
        <v>10948</v>
      </c>
      <c r="B5494" s="8" t="s">
        <v>59097</v>
      </c>
      <c r="C5494" s="8" t="s">
        <v>10949</v>
      </c>
      <c r="D5494" s="8"/>
      <c r="E5494" s="6"/>
      <c r="F5494" s="6"/>
    </row>
    <row r="5495" spans="1:6" x14ac:dyDescent="0.3">
      <c r="A5495" s="8" t="s">
        <v>10950</v>
      </c>
      <c r="B5495" s="8" t="s">
        <v>59098</v>
      </c>
      <c r="C5495" s="8" t="s">
        <v>10951</v>
      </c>
      <c r="D5495" s="8"/>
      <c r="E5495" s="6"/>
      <c r="F5495" s="6"/>
    </row>
    <row r="5496" spans="1:6" x14ac:dyDescent="0.3">
      <c r="A5496" s="8" t="s">
        <v>10952</v>
      </c>
      <c r="B5496" s="8" t="s">
        <v>59099</v>
      </c>
      <c r="C5496" s="8" t="s">
        <v>10953</v>
      </c>
      <c r="D5496" s="8"/>
      <c r="E5496" s="6"/>
      <c r="F5496" s="6"/>
    </row>
    <row r="5497" spans="1:6" x14ac:dyDescent="0.3">
      <c r="A5497" s="8" t="s">
        <v>10954</v>
      </c>
      <c r="B5497" s="8" t="s">
        <v>59100</v>
      </c>
      <c r="C5497" s="8" t="s">
        <v>10955</v>
      </c>
      <c r="D5497" s="8"/>
      <c r="E5497" s="6"/>
      <c r="F5497" s="6"/>
    </row>
    <row r="5498" spans="1:6" x14ac:dyDescent="0.3">
      <c r="A5498" s="8" t="s">
        <v>10956</v>
      </c>
      <c r="B5498" s="8" t="s">
        <v>59101</v>
      </c>
      <c r="C5498" s="8" t="s">
        <v>10957</v>
      </c>
      <c r="D5498" s="8"/>
      <c r="E5498" s="6"/>
      <c r="F5498" s="6"/>
    </row>
    <row r="5499" spans="1:6" x14ac:dyDescent="0.3">
      <c r="A5499" s="8" t="s">
        <v>10958</v>
      </c>
      <c r="B5499" s="8" t="s">
        <v>59102</v>
      </c>
      <c r="C5499" s="8" t="s">
        <v>10959</v>
      </c>
      <c r="D5499" s="8"/>
      <c r="E5499" s="6"/>
      <c r="F5499" s="6"/>
    </row>
    <row r="5500" spans="1:6" x14ac:dyDescent="0.3">
      <c r="A5500" s="8" t="s">
        <v>10960</v>
      </c>
      <c r="B5500" s="8" t="s">
        <v>59103</v>
      </c>
      <c r="C5500" s="8" t="s">
        <v>10961</v>
      </c>
      <c r="D5500" s="8"/>
      <c r="E5500" s="6"/>
      <c r="F5500" s="6"/>
    </row>
    <row r="5501" spans="1:6" x14ac:dyDescent="0.3">
      <c r="A5501" s="8" t="s">
        <v>10962</v>
      </c>
      <c r="B5501" s="8" t="s">
        <v>59104</v>
      </c>
      <c r="C5501" s="8" t="s">
        <v>10963</v>
      </c>
      <c r="D5501" s="8"/>
      <c r="E5501" s="6"/>
      <c r="F5501" s="6"/>
    </row>
    <row r="5502" spans="1:6" x14ac:dyDescent="0.3">
      <c r="A5502" s="8" t="s">
        <v>10964</v>
      </c>
      <c r="B5502" s="8" t="s">
        <v>59105</v>
      </c>
      <c r="C5502" s="8" t="s">
        <v>10965</v>
      </c>
      <c r="D5502" s="8"/>
      <c r="E5502" s="6"/>
      <c r="F5502" s="6"/>
    </row>
    <row r="5503" spans="1:6" x14ac:dyDescent="0.3">
      <c r="A5503" s="8" t="s">
        <v>10966</v>
      </c>
      <c r="B5503" s="8" t="s">
        <v>59106</v>
      </c>
      <c r="C5503" s="8" t="s">
        <v>10967</v>
      </c>
      <c r="D5503" s="8"/>
      <c r="E5503" s="6"/>
      <c r="F5503" s="6"/>
    </row>
    <row r="5504" spans="1:6" x14ac:dyDescent="0.3">
      <c r="A5504" s="8" t="s">
        <v>10968</v>
      </c>
      <c r="B5504" s="8" t="s">
        <v>59107</v>
      </c>
      <c r="C5504" s="8" t="s">
        <v>10969</v>
      </c>
      <c r="D5504" s="8"/>
      <c r="E5504" s="6"/>
      <c r="F5504" s="6"/>
    </row>
    <row r="5505" spans="1:6" x14ac:dyDescent="0.3">
      <c r="A5505" s="8" t="s">
        <v>10970</v>
      </c>
      <c r="B5505" s="8" t="s">
        <v>59108</v>
      </c>
      <c r="C5505" s="8" t="s">
        <v>10971</v>
      </c>
      <c r="D5505" s="8"/>
      <c r="E5505" s="6"/>
      <c r="F5505" s="6"/>
    </row>
    <row r="5506" spans="1:6" x14ac:dyDescent="0.3">
      <c r="A5506" s="8" t="s">
        <v>10972</v>
      </c>
      <c r="B5506" s="8" t="s">
        <v>59109</v>
      </c>
      <c r="C5506" s="8" t="s">
        <v>10973</v>
      </c>
      <c r="D5506" s="8"/>
      <c r="E5506" s="6"/>
      <c r="F5506" s="6"/>
    </row>
    <row r="5507" spans="1:6" x14ac:dyDescent="0.3">
      <c r="A5507" s="8" t="s">
        <v>10974</v>
      </c>
      <c r="B5507" s="8" t="s">
        <v>59110</v>
      </c>
      <c r="C5507" s="8" t="s">
        <v>10975</v>
      </c>
      <c r="D5507" s="8"/>
      <c r="E5507" s="6"/>
      <c r="F5507" s="6"/>
    </row>
    <row r="5508" spans="1:6" x14ac:dyDescent="0.3">
      <c r="A5508" s="8" t="s">
        <v>10976</v>
      </c>
      <c r="B5508" s="8" t="s">
        <v>59111</v>
      </c>
      <c r="C5508" s="8" t="s">
        <v>10977</v>
      </c>
      <c r="D5508" s="8"/>
      <c r="E5508" s="6"/>
      <c r="F5508" s="6"/>
    </row>
    <row r="5509" spans="1:6" x14ac:dyDescent="0.3">
      <c r="A5509" s="8" t="s">
        <v>10978</v>
      </c>
      <c r="B5509" s="8" t="s">
        <v>59112</v>
      </c>
      <c r="C5509" s="8" t="s">
        <v>10979</v>
      </c>
      <c r="D5509" s="8"/>
      <c r="E5509" s="6"/>
      <c r="F5509" s="6"/>
    </row>
    <row r="5510" spans="1:6" x14ac:dyDescent="0.3">
      <c r="A5510" s="8" t="s">
        <v>10980</v>
      </c>
      <c r="B5510" s="8" t="s">
        <v>59113</v>
      </c>
      <c r="C5510" s="8" t="s">
        <v>10981</v>
      </c>
      <c r="D5510" s="8"/>
      <c r="E5510" s="6"/>
      <c r="F5510" s="6"/>
    </row>
    <row r="5511" spans="1:6" x14ac:dyDescent="0.3">
      <c r="A5511" s="8" t="s">
        <v>10982</v>
      </c>
      <c r="B5511" s="8" t="s">
        <v>59114</v>
      </c>
      <c r="C5511" s="8" t="s">
        <v>10983</v>
      </c>
      <c r="D5511" s="8"/>
      <c r="E5511" s="6"/>
      <c r="F5511" s="6"/>
    </row>
    <row r="5512" spans="1:6" x14ac:dyDescent="0.3">
      <c r="A5512" s="8" t="s">
        <v>10984</v>
      </c>
      <c r="B5512" s="8" t="s">
        <v>59115</v>
      </c>
      <c r="C5512" s="8" t="s">
        <v>10985</v>
      </c>
      <c r="D5512" s="8"/>
      <c r="E5512" s="6"/>
      <c r="F5512" s="6"/>
    </row>
    <row r="5513" spans="1:6" x14ac:dyDescent="0.3">
      <c r="A5513" s="8" t="s">
        <v>10986</v>
      </c>
      <c r="B5513" s="8" t="s">
        <v>59116</v>
      </c>
      <c r="C5513" s="8" t="s">
        <v>10987</v>
      </c>
      <c r="D5513" s="8"/>
      <c r="E5513" s="6"/>
      <c r="F5513" s="6"/>
    </row>
    <row r="5514" spans="1:6" x14ac:dyDescent="0.3">
      <c r="A5514" s="8" t="s">
        <v>10988</v>
      </c>
      <c r="B5514" s="8" t="s">
        <v>59117</v>
      </c>
      <c r="C5514" s="8" t="s">
        <v>10989</v>
      </c>
      <c r="D5514" s="8"/>
      <c r="E5514" s="6"/>
      <c r="F5514" s="6"/>
    </row>
    <row r="5515" spans="1:6" x14ac:dyDescent="0.3">
      <c r="A5515" s="8" t="s">
        <v>10990</v>
      </c>
      <c r="B5515" s="8" t="s">
        <v>59118</v>
      </c>
      <c r="C5515" s="8" t="s">
        <v>10991</v>
      </c>
      <c r="D5515" s="8"/>
      <c r="E5515" s="6"/>
      <c r="F5515" s="6"/>
    </row>
    <row r="5516" spans="1:6" x14ac:dyDescent="0.3">
      <c r="A5516" s="8" t="s">
        <v>10992</v>
      </c>
      <c r="B5516" s="8" t="s">
        <v>59119</v>
      </c>
      <c r="C5516" s="8" t="s">
        <v>10993</v>
      </c>
      <c r="D5516" s="8"/>
      <c r="E5516" s="6"/>
      <c r="F5516" s="6"/>
    </row>
    <row r="5517" spans="1:6" x14ac:dyDescent="0.3">
      <c r="A5517" s="8" t="s">
        <v>10994</v>
      </c>
      <c r="B5517" s="8" t="s">
        <v>59120</v>
      </c>
      <c r="C5517" s="8" t="s">
        <v>10995</v>
      </c>
      <c r="D5517" s="8"/>
      <c r="E5517" s="6"/>
      <c r="F5517" s="6"/>
    </row>
    <row r="5518" spans="1:6" x14ac:dyDescent="0.3">
      <c r="A5518" s="8" t="s">
        <v>10996</v>
      </c>
      <c r="B5518" s="8" t="s">
        <v>59121</v>
      </c>
      <c r="C5518" s="8" t="s">
        <v>10997</v>
      </c>
      <c r="D5518" s="8"/>
      <c r="E5518" s="6"/>
      <c r="F5518" s="6"/>
    </row>
    <row r="5519" spans="1:6" x14ac:dyDescent="0.3">
      <c r="A5519" s="8" t="s">
        <v>10998</v>
      </c>
      <c r="B5519" s="8" t="s">
        <v>59122</v>
      </c>
      <c r="C5519" s="8" t="s">
        <v>10999</v>
      </c>
      <c r="D5519" s="8"/>
      <c r="E5519" s="6"/>
      <c r="F5519" s="6"/>
    </row>
    <row r="5520" spans="1:6" x14ac:dyDescent="0.3">
      <c r="A5520" s="8" t="s">
        <v>11000</v>
      </c>
      <c r="B5520" s="8" t="s">
        <v>59123</v>
      </c>
      <c r="C5520" s="8" t="s">
        <v>11001</v>
      </c>
      <c r="D5520" s="8"/>
      <c r="E5520" s="6"/>
      <c r="F5520" s="6"/>
    </row>
    <row r="5521" spans="1:6" x14ac:dyDescent="0.3">
      <c r="A5521" s="8" t="s">
        <v>11002</v>
      </c>
      <c r="B5521" s="8" t="s">
        <v>59124</v>
      </c>
      <c r="C5521" s="8" t="s">
        <v>11003</v>
      </c>
      <c r="D5521" s="8"/>
      <c r="E5521" s="6"/>
      <c r="F5521" s="6"/>
    </row>
    <row r="5522" spans="1:6" x14ac:dyDescent="0.3">
      <c r="A5522" s="8" t="s">
        <v>11004</v>
      </c>
      <c r="B5522" s="8" t="s">
        <v>59125</v>
      </c>
      <c r="C5522" s="8" t="s">
        <v>11005</v>
      </c>
      <c r="D5522" s="8"/>
      <c r="E5522" s="6"/>
      <c r="F5522" s="6"/>
    </row>
    <row r="5523" spans="1:6" x14ac:dyDescent="0.3">
      <c r="A5523" s="8" t="s">
        <v>11006</v>
      </c>
      <c r="B5523" s="8" t="s">
        <v>59126</v>
      </c>
      <c r="C5523" s="8" t="s">
        <v>11007</v>
      </c>
      <c r="D5523" s="8"/>
      <c r="E5523" s="6"/>
      <c r="F5523" s="6"/>
    </row>
    <row r="5524" spans="1:6" x14ac:dyDescent="0.3">
      <c r="A5524" s="8" t="s">
        <v>11008</v>
      </c>
      <c r="B5524" s="8" t="s">
        <v>59127</v>
      </c>
      <c r="C5524" s="8" t="s">
        <v>11009</v>
      </c>
      <c r="D5524" s="8"/>
      <c r="E5524" s="6"/>
      <c r="F5524" s="6"/>
    </row>
    <row r="5525" spans="1:6" x14ac:dyDescent="0.3">
      <c r="A5525" s="8" t="s">
        <v>11010</v>
      </c>
      <c r="B5525" s="8" t="s">
        <v>59128</v>
      </c>
      <c r="C5525" s="8" t="s">
        <v>11011</v>
      </c>
      <c r="D5525" s="8"/>
      <c r="E5525" s="6"/>
      <c r="F5525" s="6"/>
    </row>
    <row r="5526" spans="1:6" x14ac:dyDescent="0.3">
      <c r="A5526" s="8" t="s">
        <v>11012</v>
      </c>
      <c r="B5526" s="8" t="s">
        <v>59129</v>
      </c>
      <c r="C5526" s="8" t="s">
        <v>11013</v>
      </c>
      <c r="D5526" s="8"/>
      <c r="E5526" s="6"/>
      <c r="F5526" s="6"/>
    </row>
    <row r="5527" spans="1:6" x14ac:dyDescent="0.3">
      <c r="A5527" s="8" t="s">
        <v>11014</v>
      </c>
      <c r="B5527" s="8" t="s">
        <v>59130</v>
      </c>
      <c r="C5527" s="8" t="s">
        <v>11015</v>
      </c>
      <c r="D5527" s="8"/>
      <c r="E5527" s="6"/>
      <c r="F5527" s="6"/>
    </row>
    <row r="5528" spans="1:6" x14ac:dyDescent="0.3">
      <c r="A5528" s="8" t="s">
        <v>11016</v>
      </c>
      <c r="B5528" s="8" t="s">
        <v>59131</v>
      </c>
      <c r="C5528" s="8" t="s">
        <v>11017</v>
      </c>
      <c r="D5528" s="8"/>
      <c r="E5528" s="6"/>
      <c r="F5528" s="6"/>
    </row>
    <row r="5529" spans="1:6" x14ac:dyDescent="0.3">
      <c r="A5529" s="8" t="s">
        <v>11018</v>
      </c>
      <c r="B5529" s="8" t="s">
        <v>59132</v>
      </c>
      <c r="C5529" s="8" t="s">
        <v>11019</v>
      </c>
      <c r="D5529" s="8"/>
      <c r="E5529" s="6"/>
      <c r="F5529" s="6"/>
    </row>
    <row r="5530" spans="1:6" x14ac:dyDescent="0.3">
      <c r="A5530" s="8" t="s">
        <v>11020</v>
      </c>
      <c r="B5530" s="8" t="s">
        <v>59133</v>
      </c>
      <c r="C5530" s="8" t="s">
        <v>11021</v>
      </c>
      <c r="D5530" s="8"/>
      <c r="E5530" s="6"/>
      <c r="F5530" s="6"/>
    </row>
    <row r="5531" spans="1:6" x14ac:dyDescent="0.3">
      <c r="A5531" s="8" t="s">
        <v>11022</v>
      </c>
      <c r="B5531" s="8" t="s">
        <v>59134</v>
      </c>
      <c r="C5531" s="8" t="s">
        <v>11023</v>
      </c>
      <c r="D5531" s="8"/>
      <c r="E5531" s="6"/>
      <c r="F5531" s="6"/>
    </row>
    <row r="5532" spans="1:6" x14ac:dyDescent="0.3">
      <c r="A5532" s="8" t="s">
        <v>11024</v>
      </c>
      <c r="B5532" s="8" t="s">
        <v>59135</v>
      </c>
      <c r="C5532" s="8" t="s">
        <v>11025</v>
      </c>
      <c r="D5532" s="8"/>
      <c r="E5532" s="6"/>
      <c r="F5532" s="6"/>
    </row>
    <row r="5533" spans="1:6" x14ac:dyDescent="0.3">
      <c r="A5533" s="8" t="s">
        <v>11026</v>
      </c>
      <c r="B5533" s="8" t="s">
        <v>59136</v>
      </c>
      <c r="C5533" s="8" t="s">
        <v>11027</v>
      </c>
      <c r="D5533" s="8"/>
      <c r="E5533" s="6"/>
      <c r="F5533" s="6"/>
    </row>
    <row r="5534" spans="1:6" x14ac:dyDescent="0.3">
      <c r="A5534" s="8" t="s">
        <v>11028</v>
      </c>
      <c r="B5534" s="8" t="s">
        <v>59137</v>
      </c>
      <c r="C5534" s="8" t="s">
        <v>11029</v>
      </c>
      <c r="D5534" s="8"/>
      <c r="E5534" s="6"/>
      <c r="F5534" s="6"/>
    </row>
    <row r="5535" spans="1:6" x14ac:dyDescent="0.3">
      <c r="A5535" s="8" t="s">
        <v>11030</v>
      </c>
      <c r="B5535" s="8" t="s">
        <v>59138</v>
      </c>
      <c r="C5535" s="8" t="s">
        <v>11031</v>
      </c>
      <c r="D5535" s="8"/>
      <c r="E5535" s="6"/>
      <c r="F5535" s="6"/>
    </row>
    <row r="5536" spans="1:6" x14ac:dyDescent="0.3">
      <c r="A5536" s="8" t="s">
        <v>11032</v>
      </c>
      <c r="B5536" s="8" t="s">
        <v>59139</v>
      </c>
      <c r="C5536" s="8" t="s">
        <v>11033</v>
      </c>
      <c r="D5536" s="8"/>
      <c r="E5536" s="6"/>
      <c r="F5536" s="6"/>
    </row>
    <row r="5537" spans="1:6" x14ac:dyDescent="0.3">
      <c r="A5537" s="8" t="s">
        <v>11034</v>
      </c>
      <c r="B5537" s="8" t="s">
        <v>59140</v>
      </c>
      <c r="C5537" s="8" t="s">
        <v>11035</v>
      </c>
      <c r="D5537" s="8"/>
      <c r="E5537" s="6"/>
      <c r="F5537" s="6"/>
    </row>
    <row r="5538" spans="1:6" x14ac:dyDescent="0.3">
      <c r="A5538" s="8" t="s">
        <v>11036</v>
      </c>
      <c r="B5538" s="8" t="s">
        <v>59141</v>
      </c>
      <c r="C5538" s="8" t="s">
        <v>11037</v>
      </c>
      <c r="D5538" s="8"/>
      <c r="E5538" s="6"/>
      <c r="F5538" s="6"/>
    </row>
    <row r="5539" spans="1:6" x14ac:dyDescent="0.3">
      <c r="A5539" s="8" t="s">
        <v>11038</v>
      </c>
      <c r="B5539" s="8" t="s">
        <v>59142</v>
      </c>
      <c r="C5539" s="8" t="s">
        <v>11039</v>
      </c>
      <c r="D5539" s="8"/>
      <c r="E5539" s="6"/>
      <c r="F5539" s="6"/>
    </row>
    <row r="5540" spans="1:6" x14ac:dyDescent="0.3">
      <c r="A5540" s="8" t="s">
        <v>11040</v>
      </c>
      <c r="B5540" s="8" t="s">
        <v>59143</v>
      </c>
      <c r="C5540" s="8" t="s">
        <v>11041</v>
      </c>
      <c r="D5540" s="8"/>
      <c r="E5540" s="6"/>
      <c r="F5540" s="6"/>
    </row>
    <row r="5541" spans="1:6" x14ac:dyDescent="0.3">
      <c r="A5541" s="8" t="s">
        <v>11042</v>
      </c>
      <c r="B5541" s="8" t="s">
        <v>59144</v>
      </c>
      <c r="C5541" s="8" t="s">
        <v>11043</v>
      </c>
      <c r="D5541" s="8"/>
      <c r="E5541" s="6"/>
      <c r="F5541" s="6"/>
    </row>
    <row r="5542" spans="1:6" x14ac:dyDescent="0.3">
      <c r="A5542" s="8" t="s">
        <v>11044</v>
      </c>
      <c r="B5542" s="8" t="s">
        <v>59145</v>
      </c>
      <c r="C5542" s="8" t="s">
        <v>11045</v>
      </c>
      <c r="D5542" s="8"/>
      <c r="E5542" s="6"/>
      <c r="F5542" s="6"/>
    </row>
    <row r="5543" spans="1:6" x14ac:dyDescent="0.3">
      <c r="A5543" s="8" t="s">
        <v>11046</v>
      </c>
      <c r="B5543" s="8" t="s">
        <v>59146</v>
      </c>
      <c r="C5543" s="8" t="s">
        <v>11047</v>
      </c>
      <c r="D5543" s="8"/>
      <c r="E5543" s="6"/>
      <c r="F5543" s="6"/>
    </row>
    <row r="5544" spans="1:6" x14ac:dyDescent="0.3">
      <c r="A5544" s="8" t="s">
        <v>11048</v>
      </c>
      <c r="B5544" s="8" t="s">
        <v>59147</v>
      </c>
      <c r="C5544" s="8" t="s">
        <v>11049</v>
      </c>
      <c r="D5544" s="8"/>
      <c r="E5544" s="6"/>
      <c r="F5544" s="6"/>
    </row>
    <row r="5545" spans="1:6" x14ac:dyDescent="0.3">
      <c r="A5545" s="8" t="s">
        <v>11050</v>
      </c>
      <c r="B5545" s="8" t="s">
        <v>59148</v>
      </c>
      <c r="C5545" s="8" t="s">
        <v>11051</v>
      </c>
      <c r="D5545" s="8"/>
      <c r="E5545" s="6"/>
      <c r="F5545" s="6"/>
    </row>
    <row r="5546" spans="1:6" x14ac:dyDescent="0.3">
      <c r="A5546" s="8" t="s">
        <v>11052</v>
      </c>
      <c r="B5546" s="8" t="s">
        <v>59149</v>
      </c>
      <c r="C5546" s="8" t="s">
        <v>11053</v>
      </c>
      <c r="D5546" s="8"/>
      <c r="E5546" s="6"/>
      <c r="F5546" s="6"/>
    </row>
    <row r="5547" spans="1:6" x14ac:dyDescent="0.3">
      <c r="A5547" s="8" t="s">
        <v>11054</v>
      </c>
      <c r="B5547" s="8" t="s">
        <v>59150</v>
      </c>
      <c r="C5547" s="8" t="s">
        <v>11055</v>
      </c>
      <c r="D5547" s="8"/>
      <c r="E5547" s="6"/>
      <c r="F5547" s="6"/>
    </row>
    <row r="5548" spans="1:6" x14ac:dyDescent="0.3">
      <c r="A5548" s="8" t="s">
        <v>11056</v>
      </c>
      <c r="B5548" s="8" t="s">
        <v>59151</v>
      </c>
      <c r="C5548" s="8" t="s">
        <v>11057</v>
      </c>
      <c r="D5548" s="8"/>
      <c r="E5548" s="6"/>
      <c r="F5548" s="6"/>
    </row>
    <row r="5549" spans="1:6" x14ac:dyDescent="0.3">
      <c r="A5549" s="8" t="s">
        <v>11058</v>
      </c>
      <c r="B5549" s="8" t="s">
        <v>59152</v>
      </c>
      <c r="C5549" s="8" t="s">
        <v>11059</v>
      </c>
      <c r="D5549" s="8"/>
      <c r="E5549" s="6"/>
      <c r="F5549" s="6"/>
    </row>
    <row r="5550" spans="1:6" x14ac:dyDescent="0.3">
      <c r="A5550" s="8" t="s">
        <v>11060</v>
      </c>
      <c r="B5550" s="8" t="s">
        <v>59153</v>
      </c>
      <c r="C5550" s="8" t="s">
        <v>11061</v>
      </c>
      <c r="D5550" s="8"/>
      <c r="E5550" s="6"/>
      <c r="F5550" s="6"/>
    </row>
    <row r="5551" spans="1:6" x14ac:dyDescent="0.3">
      <c r="A5551" s="8" t="s">
        <v>11062</v>
      </c>
      <c r="B5551" s="8" t="s">
        <v>59154</v>
      </c>
      <c r="C5551" s="8" t="s">
        <v>11063</v>
      </c>
      <c r="D5551" s="8"/>
      <c r="E5551" s="6"/>
      <c r="F5551" s="6"/>
    </row>
    <row r="5552" spans="1:6" x14ac:dyDescent="0.3">
      <c r="A5552" s="8" t="s">
        <v>11064</v>
      </c>
      <c r="B5552" s="8" t="s">
        <v>59155</v>
      </c>
      <c r="C5552" s="8" t="s">
        <v>11065</v>
      </c>
      <c r="D5552" s="8"/>
      <c r="E5552" s="6"/>
      <c r="F5552" s="6"/>
    </row>
    <row r="5553" spans="1:6" x14ac:dyDescent="0.3">
      <c r="A5553" s="8" t="s">
        <v>11066</v>
      </c>
      <c r="B5553" s="8" t="s">
        <v>59156</v>
      </c>
      <c r="C5553" s="8" t="s">
        <v>11067</v>
      </c>
      <c r="D5553" s="8"/>
      <c r="E5553" s="6"/>
      <c r="F5553" s="6"/>
    </row>
    <row r="5554" spans="1:6" x14ac:dyDescent="0.3">
      <c r="A5554" s="8" t="s">
        <v>11068</v>
      </c>
      <c r="B5554" s="8" t="s">
        <v>59157</v>
      </c>
      <c r="C5554" s="8" t="s">
        <v>11069</v>
      </c>
      <c r="D5554" s="8"/>
      <c r="E5554" s="6"/>
      <c r="F5554" s="6"/>
    </row>
    <row r="5555" spans="1:6" x14ac:dyDescent="0.3">
      <c r="A5555" s="8" t="s">
        <v>11070</v>
      </c>
      <c r="B5555" s="8" t="s">
        <v>59158</v>
      </c>
      <c r="C5555" s="8" t="s">
        <v>11071</v>
      </c>
      <c r="D5555" s="8"/>
      <c r="E5555" s="6"/>
      <c r="F5555" s="6"/>
    </row>
    <row r="5556" spans="1:6" x14ac:dyDescent="0.3">
      <c r="A5556" s="8" t="s">
        <v>11072</v>
      </c>
      <c r="B5556" s="8" t="s">
        <v>59159</v>
      </c>
      <c r="C5556" s="8" t="s">
        <v>11073</v>
      </c>
      <c r="D5556" s="8"/>
      <c r="E5556" s="6"/>
      <c r="F5556" s="6"/>
    </row>
    <row r="5557" spans="1:6" x14ac:dyDescent="0.3">
      <c r="A5557" s="8" t="s">
        <v>11074</v>
      </c>
      <c r="B5557" s="8" t="s">
        <v>59160</v>
      </c>
      <c r="C5557" s="8" t="s">
        <v>11075</v>
      </c>
      <c r="D5557" s="8"/>
      <c r="E5557" s="6"/>
      <c r="F5557" s="6"/>
    </row>
    <row r="5558" spans="1:6" x14ac:dyDescent="0.3">
      <c r="A5558" s="8" t="s">
        <v>11076</v>
      </c>
      <c r="B5558" s="8" t="s">
        <v>59161</v>
      </c>
      <c r="C5558" s="8" t="s">
        <v>11077</v>
      </c>
      <c r="D5558" s="8"/>
      <c r="E5558" s="6"/>
      <c r="F5558" s="6"/>
    </row>
    <row r="5559" spans="1:6" x14ac:dyDescent="0.3">
      <c r="A5559" s="8" t="s">
        <v>11078</v>
      </c>
      <c r="B5559" s="8" t="s">
        <v>59162</v>
      </c>
      <c r="C5559" s="8" t="s">
        <v>11079</v>
      </c>
      <c r="D5559" s="8"/>
      <c r="E5559" s="6"/>
      <c r="F5559" s="6"/>
    </row>
    <row r="5560" spans="1:6" x14ac:dyDescent="0.3">
      <c r="A5560" s="8" t="s">
        <v>11080</v>
      </c>
      <c r="B5560" s="8" t="s">
        <v>59163</v>
      </c>
      <c r="C5560" s="8" t="s">
        <v>11081</v>
      </c>
      <c r="D5560" s="8"/>
      <c r="E5560" s="6"/>
      <c r="F5560" s="6"/>
    </row>
    <row r="5561" spans="1:6" x14ac:dyDescent="0.3">
      <c r="A5561" s="8" t="s">
        <v>11082</v>
      </c>
      <c r="B5561" s="8" t="s">
        <v>59164</v>
      </c>
      <c r="C5561" s="8" t="s">
        <v>11083</v>
      </c>
      <c r="D5561" s="8"/>
      <c r="E5561" s="6"/>
      <c r="F5561" s="6"/>
    </row>
    <row r="5562" spans="1:6" x14ac:dyDescent="0.3">
      <c r="A5562" s="8" t="s">
        <v>11084</v>
      </c>
      <c r="B5562" s="8" t="s">
        <v>59165</v>
      </c>
      <c r="C5562" s="8" t="s">
        <v>11085</v>
      </c>
      <c r="D5562" s="8"/>
      <c r="E5562" s="6"/>
      <c r="F5562" s="6"/>
    </row>
    <row r="5563" spans="1:6" x14ac:dyDescent="0.3">
      <c r="A5563" s="8" t="s">
        <v>11086</v>
      </c>
      <c r="B5563" s="8" t="s">
        <v>59166</v>
      </c>
      <c r="C5563" s="8" t="s">
        <v>11087</v>
      </c>
      <c r="D5563" s="8"/>
      <c r="E5563" s="6"/>
      <c r="F5563" s="6"/>
    </row>
    <row r="5564" spans="1:6" x14ac:dyDescent="0.3">
      <c r="A5564" s="8" t="s">
        <v>11088</v>
      </c>
      <c r="B5564" s="8" t="s">
        <v>59167</v>
      </c>
      <c r="C5564" s="8" t="s">
        <v>11089</v>
      </c>
      <c r="D5564" s="8"/>
      <c r="E5564" s="6"/>
      <c r="F5564" s="6"/>
    </row>
    <row r="5565" spans="1:6" x14ac:dyDescent="0.3">
      <c r="A5565" s="8" t="s">
        <v>11090</v>
      </c>
      <c r="B5565" s="8" t="s">
        <v>59168</v>
      </c>
      <c r="C5565" s="8" t="s">
        <v>11091</v>
      </c>
      <c r="D5565" s="8"/>
      <c r="E5565" s="6"/>
      <c r="F5565" s="6"/>
    </row>
    <row r="5566" spans="1:6" x14ac:dyDescent="0.3">
      <c r="A5566" s="8" t="s">
        <v>11092</v>
      </c>
      <c r="B5566" s="8" t="s">
        <v>59169</v>
      </c>
      <c r="C5566" s="8" t="s">
        <v>11093</v>
      </c>
      <c r="D5566" s="8"/>
      <c r="E5566" s="6"/>
      <c r="F5566" s="6"/>
    </row>
    <row r="5567" spans="1:6" x14ac:dyDescent="0.3">
      <c r="A5567" s="8" t="s">
        <v>11094</v>
      </c>
      <c r="B5567" s="8" t="s">
        <v>59170</v>
      </c>
      <c r="C5567" s="8" t="s">
        <v>11095</v>
      </c>
      <c r="D5567" s="8"/>
      <c r="E5567" s="6"/>
      <c r="F5567" s="6"/>
    </row>
    <row r="5568" spans="1:6" x14ac:dyDescent="0.3">
      <c r="A5568" s="8" t="s">
        <v>11096</v>
      </c>
      <c r="B5568" s="8" t="s">
        <v>59171</v>
      </c>
      <c r="C5568" s="8" t="s">
        <v>11097</v>
      </c>
      <c r="D5568" s="8"/>
      <c r="E5568" s="6"/>
      <c r="F5568" s="6"/>
    </row>
    <row r="5569" spans="1:6" x14ac:dyDescent="0.3">
      <c r="A5569" s="8" t="s">
        <v>11098</v>
      </c>
      <c r="B5569" s="8" t="s">
        <v>59172</v>
      </c>
      <c r="C5569" s="8" t="s">
        <v>11099</v>
      </c>
      <c r="D5569" s="8"/>
      <c r="E5569" s="6"/>
      <c r="F5569" s="6"/>
    </row>
    <row r="5570" spans="1:6" x14ac:dyDescent="0.3">
      <c r="A5570" s="8" t="s">
        <v>11100</v>
      </c>
      <c r="B5570" s="8" t="s">
        <v>59173</v>
      </c>
      <c r="C5570" s="8" t="s">
        <v>11101</v>
      </c>
      <c r="D5570" s="8"/>
      <c r="E5570" s="6"/>
      <c r="F5570" s="6"/>
    </row>
    <row r="5571" spans="1:6" x14ac:dyDescent="0.3">
      <c r="A5571" s="8" t="s">
        <v>11102</v>
      </c>
      <c r="B5571" s="8" t="s">
        <v>59174</v>
      </c>
      <c r="C5571" s="8" t="s">
        <v>11103</v>
      </c>
      <c r="D5571" s="8"/>
      <c r="E5571" s="6"/>
      <c r="F5571" s="6"/>
    </row>
    <row r="5572" spans="1:6" x14ac:dyDescent="0.3">
      <c r="A5572" s="8" t="s">
        <v>11104</v>
      </c>
      <c r="B5572" s="8" t="s">
        <v>59175</v>
      </c>
      <c r="C5572" s="8" t="s">
        <v>11105</v>
      </c>
      <c r="D5572" s="8"/>
      <c r="E5572" s="6"/>
      <c r="F5572" s="6"/>
    </row>
    <row r="5573" spans="1:6" x14ac:dyDescent="0.3">
      <c r="A5573" s="8" t="s">
        <v>11106</v>
      </c>
      <c r="B5573" s="8" t="s">
        <v>59176</v>
      </c>
      <c r="C5573" s="8" t="s">
        <v>11107</v>
      </c>
      <c r="D5573" s="8"/>
      <c r="E5573" s="6"/>
      <c r="F5573" s="6"/>
    </row>
    <row r="5574" spans="1:6" x14ac:dyDescent="0.3">
      <c r="A5574" s="8" t="s">
        <v>11108</v>
      </c>
      <c r="B5574" s="8" t="s">
        <v>59177</v>
      </c>
      <c r="C5574" s="8" t="s">
        <v>11109</v>
      </c>
      <c r="D5574" s="8"/>
      <c r="E5574" s="6"/>
      <c r="F5574" s="6"/>
    </row>
    <row r="5575" spans="1:6" x14ac:dyDescent="0.3">
      <c r="A5575" s="8" t="s">
        <v>11110</v>
      </c>
      <c r="B5575" s="8" t="s">
        <v>59178</v>
      </c>
      <c r="C5575" s="8" t="s">
        <v>11111</v>
      </c>
      <c r="D5575" s="8"/>
      <c r="E5575" s="6"/>
      <c r="F5575" s="6"/>
    </row>
    <row r="5576" spans="1:6" x14ac:dyDescent="0.3">
      <c r="A5576" s="8" t="s">
        <v>11112</v>
      </c>
      <c r="B5576" s="8" t="s">
        <v>59179</v>
      </c>
      <c r="C5576" s="8" t="s">
        <v>11113</v>
      </c>
      <c r="D5576" s="8"/>
      <c r="E5576" s="6"/>
      <c r="F5576" s="6"/>
    </row>
    <row r="5577" spans="1:6" x14ac:dyDescent="0.3">
      <c r="A5577" s="8" t="s">
        <v>11114</v>
      </c>
      <c r="B5577" s="8" t="s">
        <v>59180</v>
      </c>
      <c r="C5577" s="8" t="s">
        <v>11115</v>
      </c>
      <c r="D5577" s="8"/>
      <c r="E5577" s="6"/>
      <c r="F5577" s="6"/>
    </row>
    <row r="5578" spans="1:6" x14ac:dyDescent="0.3">
      <c r="A5578" s="8" t="s">
        <v>11116</v>
      </c>
      <c r="B5578" s="8" t="s">
        <v>59181</v>
      </c>
      <c r="C5578" s="8" t="s">
        <v>11117</v>
      </c>
      <c r="D5578" s="8"/>
      <c r="E5578" s="6"/>
      <c r="F5578" s="6"/>
    </row>
    <row r="5579" spans="1:6" x14ac:dyDescent="0.3">
      <c r="A5579" s="8" t="s">
        <v>11118</v>
      </c>
      <c r="B5579" s="8" t="s">
        <v>59182</v>
      </c>
      <c r="C5579" s="8" t="s">
        <v>11119</v>
      </c>
      <c r="D5579" s="8"/>
      <c r="E5579" s="6"/>
      <c r="F5579" s="6"/>
    </row>
    <row r="5580" spans="1:6" x14ac:dyDescent="0.3">
      <c r="A5580" s="8" t="s">
        <v>11120</v>
      </c>
      <c r="B5580" s="8" t="s">
        <v>59183</v>
      </c>
      <c r="C5580" s="8" t="s">
        <v>11121</v>
      </c>
      <c r="D5580" s="8"/>
      <c r="E5580" s="6"/>
      <c r="F5580" s="6"/>
    </row>
    <row r="5581" spans="1:6" x14ac:dyDescent="0.3">
      <c r="A5581" s="8" t="s">
        <v>11122</v>
      </c>
      <c r="B5581" s="8" t="s">
        <v>59184</v>
      </c>
      <c r="C5581" s="8" t="s">
        <v>11123</v>
      </c>
      <c r="D5581" s="8"/>
      <c r="E5581" s="6"/>
      <c r="F5581" s="6"/>
    </row>
    <row r="5582" spans="1:6" x14ac:dyDescent="0.3">
      <c r="A5582" s="8" t="s">
        <v>11124</v>
      </c>
      <c r="B5582" s="8" t="s">
        <v>59185</v>
      </c>
      <c r="C5582" s="8" t="s">
        <v>11125</v>
      </c>
      <c r="D5582" s="8"/>
      <c r="E5582" s="6"/>
      <c r="F5582" s="6"/>
    </row>
    <row r="5583" spans="1:6" x14ac:dyDescent="0.3">
      <c r="A5583" s="8" t="s">
        <v>11126</v>
      </c>
      <c r="B5583" s="8" t="s">
        <v>59186</v>
      </c>
      <c r="C5583" s="8" t="s">
        <v>11127</v>
      </c>
      <c r="D5583" s="8"/>
      <c r="E5583" s="6"/>
      <c r="F5583" s="6"/>
    </row>
    <row r="5584" spans="1:6" x14ac:dyDescent="0.3">
      <c r="A5584" s="8" t="s">
        <v>11128</v>
      </c>
      <c r="B5584" s="8" t="s">
        <v>59187</v>
      </c>
      <c r="C5584" s="8" t="s">
        <v>11129</v>
      </c>
      <c r="D5584" s="8"/>
      <c r="E5584" s="6"/>
      <c r="F5584" s="6"/>
    </row>
    <row r="5585" spans="1:6" x14ac:dyDescent="0.3">
      <c r="A5585" s="8" t="s">
        <v>11130</v>
      </c>
      <c r="B5585" s="8" t="s">
        <v>59188</v>
      </c>
      <c r="C5585" s="8" t="s">
        <v>11131</v>
      </c>
      <c r="D5585" s="8"/>
      <c r="E5585" s="6"/>
      <c r="F5585" s="6"/>
    </row>
    <row r="5586" spans="1:6" x14ac:dyDescent="0.3">
      <c r="A5586" s="8" t="s">
        <v>11132</v>
      </c>
      <c r="B5586" s="8" t="s">
        <v>59189</v>
      </c>
      <c r="C5586" s="8" t="s">
        <v>11133</v>
      </c>
      <c r="D5586" s="8"/>
      <c r="E5586" s="6"/>
      <c r="F5586" s="6"/>
    </row>
    <row r="5587" spans="1:6" x14ac:dyDescent="0.3">
      <c r="A5587" s="8" t="s">
        <v>11134</v>
      </c>
      <c r="B5587" s="8" t="s">
        <v>59190</v>
      </c>
      <c r="C5587" s="8" t="s">
        <v>11135</v>
      </c>
      <c r="D5587" s="8"/>
      <c r="E5587" s="6"/>
      <c r="F5587" s="6"/>
    </row>
    <row r="5588" spans="1:6" x14ac:dyDescent="0.3">
      <c r="A5588" s="8" t="s">
        <v>11136</v>
      </c>
      <c r="B5588" s="8" t="s">
        <v>59191</v>
      </c>
      <c r="C5588" s="8" t="s">
        <v>11137</v>
      </c>
      <c r="D5588" s="8"/>
      <c r="E5588" s="6"/>
      <c r="F5588" s="6"/>
    </row>
    <row r="5589" spans="1:6" x14ac:dyDescent="0.3">
      <c r="A5589" s="8" t="s">
        <v>11138</v>
      </c>
      <c r="B5589" s="8" t="s">
        <v>59192</v>
      </c>
      <c r="C5589" s="8" t="s">
        <v>11139</v>
      </c>
      <c r="D5589" s="8"/>
      <c r="E5589" s="6"/>
      <c r="F5589" s="6"/>
    </row>
    <row r="5590" spans="1:6" x14ac:dyDescent="0.3">
      <c r="A5590" s="8" t="s">
        <v>11140</v>
      </c>
      <c r="B5590" s="8" t="s">
        <v>59193</v>
      </c>
      <c r="C5590" s="8" t="s">
        <v>11141</v>
      </c>
      <c r="D5590" s="8"/>
      <c r="E5590" s="6"/>
      <c r="F5590" s="6"/>
    </row>
    <row r="5591" spans="1:6" x14ac:dyDescent="0.3">
      <c r="A5591" s="8" t="s">
        <v>11142</v>
      </c>
      <c r="B5591" s="8" t="s">
        <v>59194</v>
      </c>
      <c r="C5591" s="8" t="s">
        <v>11143</v>
      </c>
      <c r="D5591" s="8"/>
      <c r="E5591" s="6"/>
      <c r="F5591" s="6"/>
    </row>
    <row r="5592" spans="1:6" x14ac:dyDescent="0.3">
      <c r="A5592" s="8" t="s">
        <v>11144</v>
      </c>
      <c r="B5592" s="8" t="s">
        <v>59195</v>
      </c>
      <c r="C5592" s="8" t="s">
        <v>11145</v>
      </c>
      <c r="D5592" s="8"/>
      <c r="E5592" s="6"/>
      <c r="F5592" s="6"/>
    </row>
    <row r="5593" spans="1:6" x14ac:dyDescent="0.3">
      <c r="A5593" s="8" t="s">
        <v>11146</v>
      </c>
      <c r="B5593" s="8" t="s">
        <v>59196</v>
      </c>
      <c r="C5593" s="8" t="s">
        <v>11147</v>
      </c>
      <c r="D5593" s="8"/>
      <c r="E5593" s="6"/>
      <c r="F5593" s="6"/>
    </row>
    <row r="5594" spans="1:6" x14ac:dyDescent="0.3">
      <c r="A5594" s="8" t="s">
        <v>11148</v>
      </c>
      <c r="B5594" s="8" t="s">
        <v>59197</v>
      </c>
      <c r="C5594" s="8" t="s">
        <v>11149</v>
      </c>
      <c r="D5594" s="8"/>
      <c r="E5594" s="6"/>
      <c r="F5594" s="6"/>
    </row>
    <row r="5595" spans="1:6" x14ac:dyDescent="0.3">
      <c r="A5595" s="8" t="s">
        <v>11150</v>
      </c>
      <c r="B5595" s="8" t="s">
        <v>59198</v>
      </c>
      <c r="C5595" s="8" t="s">
        <v>11151</v>
      </c>
      <c r="D5595" s="8"/>
      <c r="E5595" s="6"/>
      <c r="F5595" s="6"/>
    </row>
    <row r="5596" spans="1:6" x14ac:dyDescent="0.3">
      <c r="A5596" s="8" t="s">
        <v>11152</v>
      </c>
      <c r="B5596" s="8" t="s">
        <v>59199</v>
      </c>
      <c r="C5596" s="8" t="s">
        <v>11153</v>
      </c>
      <c r="D5596" s="8"/>
      <c r="E5596" s="6"/>
      <c r="F5596" s="6"/>
    </row>
    <row r="5597" spans="1:6" x14ac:dyDescent="0.3">
      <c r="A5597" s="8" t="s">
        <v>11154</v>
      </c>
      <c r="B5597" s="8" t="s">
        <v>59200</v>
      </c>
      <c r="C5597" s="8" t="s">
        <v>11155</v>
      </c>
      <c r="D5597" s="8"/>
      <c r="E5597" s="6"/>
      <c r="F5597" s="6"/>
    </row>
    <row r="5598" spans="1:6" x14ac:dyDescent="0.3">
      <c r="A5598" s="8" t="s">
        <v>11156</v>
      </c>
      <c r="B5598" s="8" t="s">
        <v>59201</v>
      </c>
      <c r="C5598" s="8" t="s">
        <v>11157</v>
      </c>
      <c r="D5598" s="8"/>
      <c r="E5598" s="6"/>
      <c r="F5598" s="6"/>
    </row>
    <row r="5599" spans="1:6" x14ac:dyDescent="0.3">
      <c r="A5599" s="8" t="s">
        <v>11158</v>
      </c>
      <c r="B5599" s="8" t="s">
        <v>59202</v>
      </c>
      <c r="C5599" s="8" t="s">
        <v>11159</v>
      </c>
      <c r="D5599" s="8"/>
      <c r="E5599" s="6"/>
      <c r="F5599" s="6"/>
    </row>
    <row r="5600" spans="1:6" x14ac:dyDescent="0.3">
      <c r="A5600" s="8" t="s">
        <v>11160</v>
      </c>
      <c r="B5600" s="8" t="s">
        <v>59203</v>
      </c>
      <c r="C5600" s="8" t="s">
        <v>11161</v>
      </c>
      <c r="D5600" s="8"/>
      <c r="E5600" s="6"/>
      <c r="F5600" s="6"/>
    </row>
    <row r="5601" spans="1:6" x14ac:dyDescent="0.3">
      <c r="A5601" s="8" t="s">
        <v>11162</v>
      </c>
      <c r="B5601" s="8" t="s">
        <v>59204</v>
      </c>
      <c r="C5601" s="8" t="s">
        <v>11163</v>
      </c>
      <c r="D5601" s="8"/>
      <c r="E5601" s="6"/>
      <c r="F5601" s="6"/>
    </row>
    <row r="5602" spans="1:6" x14ac:dyDescent="0.3">
      <c r="A5602" s="8" t="s">
        <v>11164</v>
      </c>
      <c r="B5602" s="8" t="s">
        <v>59205</v>
      </c>
      <c r="C5602" s="8" t="s">
        <v>11165</v>
      </c>
      <c r="D5602" s="8"/>
      <c r="E5602" s="6"/>
      <c r="F5602" s="6"/>
    </row>
    <row r="5603" spans="1:6" x14ac:dyDescent="0.3">
      <c r="A5603" s="8" t="s">
        <v>11166</v>
      </c>
      <c r="B5603" s="8" t="s">
        <v>59206</v>
      </c>
      <c r="C5603" s="8" t="s">
        <v>11167</v>
      </c>
      <c r="D5603" s="8"/>
      <c r="E5603" s="6"/>
      <c r="F5603" s="6"/>
    </row>
    <row r="5604" spans="1:6" x14ac:dyDescent="0.3">
      <c r="A5604" s="8" t="s">
        <v>11168</v>
      </c>
      <c r="B5604" s="8" t="s">
        <v>59207</v>
      </c>
      <c r="C5604" s="8" t="s">
        <v>11169</v>
      </c>
      <c r="D5604" s="8"/>
      <c r="E5604" s="6"/>
      <c r="F5604" s="6"/>
    </row>
    <row r="5605" spans="1:6" x14ac:dyDescent="0.3">
      <c r="A5605" s="8" t="s">
        <v>11170</v>
      </c>
      <c r="B5605" s="8" t="s">
        <v>59208</v>
      </c>
      <c r="C5605" s="8" t="s">
        <v>11171</v>
      </c>
      <c r="D5605" s="8"/>
      <c r="E5605" s="6"/>
      <c r="F5605" s="6"/>
    </row>
    <row r="5606" spans="1:6" x14ac:dyDescent="0.3">
      <c r="A5606" s="8" t="s">
        <v>11172</v>
      </c>
      <c r="B5606" s="8" t="s">
        <v>59209</v>
      </c>
      <c r="C5606" s="8" t="s">
        <v>11173</v>
      </c>
      <c r="D5606" s="8"/>
      <c r="E5606" s="6"/>
      <c r="F5606" s="6"/>
    </row>
    <row r="5607" spans="1:6" x14ac:dyDescent="0.3">
      <c r="A5607" s="8" t="s">
        <v>11174</v>
      </c>
      <c r="B5607" s="8" t="s">
        <v>59210</v>
      </c>
      <c r="C5607" s="8" t="s">
        <v>11175</v>
      </c>
      <c r="D5607" s="8"/>
      <c r="E5607" s="6"/>
      <c r="F5607" s="6"/>
    </row>
    <row r="5608" spans="1:6" x14ac:dyDescent="0.3">
      <c r="A5608" s="8" t="s">
        <v>11176</v>
      </c>
      <c r="B5608" s="8" t="s">
        <v>59211</v>
      </c>
      <c r="C5608" s="8" t="s">
        <v>11177</v>
      </c>
      <c r="D5608" s="8"/>
      <c r="E5608" s="6"/>
      <c r="F5608" s="6"/>
    </row>
    <row r="5609" spans="1:6" x14ac:dyDescent="0.3">
      <c r="A5609" s="8" t="s">
        <v>11178</v>
      </c>
      <c r="B5609" s="8" t="s">
        <v>59212</v>
      </c>
      <c r="C5609" s="8" t="s">
        <v>11179</v>
      </c>
      <c r="D5609" s="8"/>
      <c r="E5609" s="6"/>
      <c r="F5609" s="6"/>
    </row>
    <row r="5610" spans="1:6" x14ac:dyDescent="0.3">
      <c r="A5610" s="8" t="s">
        <v>11180</v>
      </c>
      <c r="B5610" s="8" t="s">
        <v>59213</v>
      </c>
      <c r="C5610" s="8" t="s">
        <v>11181</v>
      </c>
      <c r="D5610" s="8"/>
      <c r="E5610" s="6"/>
      <c r="F5610" s="6"/>
    </row>
    <row r="5611" spans="1:6" x14ac:dyDescent="0.3">
      <c r="A5611" s="8" t="s">
        <v>11182</v>
      </c>
      <c r="B5611" s="8" t="s">
        <v>59214</v>
      </c>
      <c r="C5611" s="8" t="s">
        <v>11183</v>
      </c>
      <c r="D5611" s="8"/>
      <c r="E5611" s="6"/>
      <c r="F5611" s="6"/>
    </row>
    <row r="5612" spans="1:6" x14ac:dyDescent="0.3">
      <c r="A5612" s="8" t="s">
        <v>11184</v>
      </c>
      <c r="B5612" s="8" t="s">
        <v>59215</v>
      </c>
      <c r="C5612" s="8" t="s">
        <v>11185</v>
      </c>
      <c r="D5612" s="8"/>
      <c r="E5612" s="6"/>
      <c r="F5612" s="6"/>
    </row>
    <row r="5613" spans="1:6" x14ac:dyDescent="0.3">
      <c r="A5613" s="8" t="s">
        <v>11186</v>
      </c>
      <c r="B5613" s="8" t="s">
        <v>59216</v>
      </c>
      <c r="C5613" s="8" t="s">
        <v>11187</v>
      </c>
      <c r="D5613" s="8"/>
      <c r="E5613" s="6"/>
      <c r="F5613" s="6"/>
    </row>
    <row r="5614" spans="1:6" x14ac:dyDescent="0.3">
      <c r="A5614" s="8" t="s">
        <v>11188</v>
      </c>
      <c r="B5614" s="8" t="s">
        <v>59217</v>
      </c>
      <c r="C5614" s="8" t="s">
        <v>11189</v>
      </c>
      <c r="D5614" s="8"/>
      <c r="E5614" s="6"/>
      <c r="F5614" s="6"/>
    </row>
    <row r="5615" spans="1:6" x14ac:dyDescent="0.3">
      <c r="A5615" s="8" t="s">
        <v>11190</v>
      </c>
      <c r="B5615" s="8" t="s">
        <v>59218</v>
      </c>
      <c r="C5615" s="8" t="s">
        <v>11191</v>
      </c>
      <c r="D5615" s="8"/>
      <c r="E5615" s="6"/>
      <c r="F5615" s="6"/>
    </row>
    <row r="5616" spans="1:6" x14ac:dyDescent="0.3">
      <c r="A5616" s="8" t="s">
        <v>11192</v>
      </c>
      <c r="B5616" s="8" t="s">
        <v>59219</v>
      </c>
      <c r="C5616" s="8" t="s">
        <v>11193</v>
      </c>
      <c r="D5616" s="8"/>
      <c r="E5616" s="6"/>
      <c r="F5616" s="6"/>
    </row>
    <row r="5617" spans="1:6" x14ac:dyDescent="0.3">
      <c r="A5617" s="8" t="s">
        <v>11194</v>
      </c>
      <c r="B5617" s="8" t="s">
        <v>59220</v>
      </c>
      <c r="C5617" s="8" t="s">
        <v>11195</v>
      </c>
      <c r="D5617" s="8"/>
      <c r="E5617" s="6"/>
      <c r="F5617" s="6"/>
    </row>
    <row r="5618" spans="1:6" x14ac:dyDescent="0.3">
      <c r="A5618" s="8" t="s">
        <v>11196</v>
      </c>
      <c r="B5618" s="8" t="s">
        <v>59221</v>
      </c>
      <c r="C5618" s="8" t="s">
        <v>11197</v>
      </c>
      <c r="D5618" s="8"/>
      <c r="E5618" s="6"/>
      <c r="F5618" s="6"/>
    </row>
    <row r="5619" spans="1:6" x14ac:dyDescent="0.3">
      <c r="A5619" s="8" t="s">
        <v>11198</v>
      </c>
      <c r="B5619" s="8" t="s">
        <v>59222</v>
      </c>
      <c r="C5619" s="8" t="s">
        <v>11199</v>
      </c>
      <c r="D5619" s="8"/>
      <c r="E5619" s="6"/>
      <c r="F5619" s="6"/>
    </row>
    <row r="5620" spans="1:6" x14ac:dyDescent="0.3">
      <c r="A5620" s="8" t="s">
        <v>11200</v>
      </c>
      <c r="B5620" s="8" t="s">
        <v>59223</v>
      </c>
      <c r="C5620" s="8" t="s">
        <v>11201</v>
      </c>
      <c r="D5620" s="8"/>
      <c r="E5620" s="6"/>
      <c r="F5620" s="6"/>
    </row>
    <row r="5621" spans="1:6" x14ac:dyDescent="0.3">
      <c r="A5621" s="8" t="s">
        <v>11202</v>
      </c>
      <c r="B5621" s="8" t="s">
        <v>59224</v>
      </c>
      <c r="C5621" s="8" t="s">
        <v>11203</v>
      </c>
      <c r="D5621" s="8"/>
      <c r="E5621" s="6"/>
      <c r="F5621" s="6"/>
    </row>
    <row r="5622" spans="1:6" x14ac:dyDescent="0.3">
      <c r="A5622" s="8" t="s">
        <v>11204</v>
      </c>
      <c r="B5622" s="8" t="s">
        <v>59225</v>
      </c>
      <c r="C5622" s="8" t="s">
        <v>11205</v>
      </c>
      <c r="D5622" s="8"/>
      <c r="E5622" s="6"/>
      <c r="F5622" s="6"/>
    </row>
    <row r="5623" spans="1:6" ht="28.8" x14ac:dyDescent="0.3">
      <c r="A5623" s="8" t="s">
        <v>11206</v>
      </c>
      <c r="B5623" s="8" t="s">
        <v>59226</v>
      </c>
      <c r="C5623" s="8" t="s">
        <v>11207</v>
      </c>
      <c r="D5623" s="8"/>
      <c r="E5623" s="6"/>
      <c r="F5623" s="6"/>
    </row>
    <row r="5624" spans="1:6" x14ac:dyDescent="0.3">
      <c r="A5624" s="8" t="s">
        <v>11208</v>
      </c>
      <c r="B5624" s="8" t="s">
        <v>59227</v>
      </c>
      <c r="C5624" s="8" t="s">
        <v>11209</v>
      </c>
      <c r="D5624" s="8"/>
      <c r="E5624" s="6"/>
      <c r="F5624" s="6"/>
    </row>
    <row r="5625" spans="1:6" ht="28.8" x14ac:dyDescent="0.3">
      <c r="A5625" s="8" t="s">
        <v>11210</v>
      </c>
      <c r="B5625" s="8" t="s">
        <v>59228</v>
      </c>
      <c r="C5625" s="8" t="s">
        <v>11211</v>
      </c>
      <c r="D5625" s="8"/>
      <c r="E5625" s="6"/>
      <c r="F5625" s="6"/>
    </row>
    <row r="5626" spans="1:6" x14ac:dyDescent="0.3">
      <c r="A5626" s="8" t="s">
        <v>11212</v>
      </c>
      <c r="B5626" s="8" t="s">
        <v>59229</v>
      </c>
      <c r="C5626" s="8" t="s">
        <v>11213</v>
      </c>
      <c r="D5626" s="8"/>
      <c r="E5626" s="6"/>
      <c r="F5626" s="6"/>
    </row>
    <row r="5627" spans="1:6" ht="28.8" x14ac:dyDescent="0.3">
      <c r="A5627" s="8" t="s">
        <v>11214</v>
      </c>
      <c r="B5627" s="8" t="s">
        <v>59230</v>
      </c>
      <c r="C5627" s="8" t="s">
        <v>11215</v>
      </c>
      <c r="D5627" s="8"/>
      <c r="E5627" s="6"/>
      <c r="F5627" s="6"/>
    </row>
    <row r="5628" spans="1:6" x14ac:dyDescent="0.3">
      <c r="A5628" s="8" t="s">
        <v>11216</v>
      </c>
      <c r="B5628" s="8" t="s">
        <v>59231</v>
      </c>
      <c r="C5628" s="8" t="s">
        <v>11217</v>
      </c>
      <c r="D5628" s="8"/>
      <c r="E5628" s="6"/>
      <c r="F5628" s="6"/>
    </row>
    <row r="5629" spans="1:6" ht="28.8" x14ac:dyDescent="0.3">
      <c r="A5629" s="8" t="s">
        <v>11218</v>
      </c>
      <c r="B5629" s="8" t="s">
        <v>59232</v>
      </c>
      <c r="C5629" s="8" t="s">
        <v>11219</v>
      </c>
      <c r="D5629" s="8"/>
      <c r="E5629" s="6"/>
      <c r="F5629" s="6"/>
    </row>
    <row r="5630" spans="1:6" x14ac:dyDescent="0.3">
      <c r="A5630" s="8" t="s">
        <v>11220</v>
      </c>
      <c r="B5630" s="8" t="s">
        <v>59233</v>
      </c>
      <c r="C5630" s="8" t="s">
        <v>11221</v>
      </c>
      <c r="D5630" s="8"/>
      <c r="E5630" s="6"/>
      <c r="F5630" s="6"/>
    </row>
    <row r="5631" spans="1:6" x14ac:dyDescent="0.3">
      <c r="A5631" s="8" t="s">
        <v>11222</v>
      </c>
      <c r="B5631" s="8" t="s">
        <v>59234</v>
      </c>
      <c r="C5631" s="8" t="s">
        <v>11223</v>
      </c>
      <c r="D5631" s="8"/>
      <c r="E5631" s="6"/>
      <c r="F5631" s="6"/>
    </row>
    <row r="5632" spans="1:6" x14ac:dyDescent="0.3">
      <c r="A5632" s="8" t="s">
        <v>11224</v>
      </c>
      <c r="B5632" s="8" t="s">
        <v>59235</v>
      </c>
      <c r="C5632" s="8" t="s">
        <v>11225</v>
      </c>
      <c r="D5632" s="8"/>
      <c r="E5632" s="6"/>
      <c r="F5632" s="6"/>
    </row>
    <row r="5633" spans="1:6" x14ac:dyDescent="0.3">
      <c r="A5633" s="8" t="s">
        <v>11226</v>
      </c>
      <c r="B5633" s="8" t="s">
        <v>59236</v>
      </c>
      <c r="C5633" s="8" t="s">
        <v>11227</v>
      </c>
      <c r="D5633" s="8"/>
      <c r="E5633" s="6"/>
      <c r="F5633" s="6"/>
    </row>
    <row r="5634" spans="1:6" x14ac:dyDescent="0.3">
      <c r="A5634" s="8" t="s">
        <v>11228</v>
      </c>
      <c r="B5634" s="8" t="s">
        <v>59237</v>
      </c>
      <c r="C5634" s="8" t="s">
        <v>11229</v>
      </c>
      <c r="D5634" s="8"/>
      <c r="E5634" s="6"/>
      <c r="F5634" s="6"/>
    </row>
    <row r="5635" spans="1:6" x14ac:dyDescent="0.3">
      <c r="A5635" s="8" t="s">
        <v>11230</v>
      </c>
      <c r="B5635" s="8" t="s">
        <v>59238</v>
      </c>
      <c r="C5635" s="8" t="s">
        <v>11231</v>
      </c>
      <c r="D5635" s="8"/>
      <c r="E5635" s="6"/>
      <c r="F5635" s="6"/>
    </row>
    <row r="5636" spans="1:6" x14ac:dyDescent="0.3">
      <c r="A5636" s="8" t="s">
        <v>11232</v>
      </c>
      <c r="B5636" s="8" t="s">
        <v>59239</v>
      </c>
      <c r="C5636" s="8" t="s">
        <v>11233</v>
      </c>
      <c r="D5636" s="8"/>
      <c r="E5636" s="6"/>
      <c r="F5636" s="6"/>
    </row>
    <row r="5637" spans="1:6" x14ac:dyDescent="0.3">
      <c r="A5637" s="8" t="s">
        <v>11234</v>
      </c>
      <c r="B5637" s="8" t="s">
        <v>59240</v>
      </c>
      <c r="C5637" s="8" t="s">
        <v>11235</v>
      </c>
      <c r="D5637" s="8"/>
      <c r="E5637" s="6"/>
      <c r="F5637" s="6"/>
    </row>
    <row r="5638" spans="1:6" x14ac:dyDescent="0.3">
      <c r="A5638" s="8" t="s">
        <v>11236</v>
      </c>
      <c r="B5638" s="8" t="s">
        <v>59241</v>
      </c>
      <c r="C5638" s="8" t="s">
        <v>11237</v>
      </c>
      <c r="D5638" s="8"/>
      <c r="E5638" s="6"/>
      <c r="F5638" s="6"/>
    </row>
    <row r="5639" spans="1:6" x14ac:dyDescent="0.3">
      <c r="A5639" s="8" t="s">
        <v>11238</v>
      </c>
      <c r="B5639" s="8" t="s">
        <v>59242</v>
      </c>
      <c r="C5639" s="8" t="s">
        <v>11239</v>
      </c>
      <c r="D5639" s="8"/>
      <c r="E5639" s="6"/>
      <c r="F5639" s="6"/>
    </row>
    <row r="5640" spans="1:6" x14ac:dyDescent="0.3">
      <c r="A5640" s="8" t="s">
        <v>11240</v>
      </c>
      <c r="B5640" s="8" t="s">
        <v>59243</v>
      </c>
      <c r="C5640" s="8" t="s">
        <v>11241</v>
      </c>
      <c r="D5640" s="8"/>
      <c r="E5640" s="6"/>
      <c r="F5640" s="6"/>
    </row>
    <row r="5641" spans="1:6" x14ac:dyDescent="0.3">
      <c r="A5641" s="8" t="s">
        <v>11242</v>
      </c>
      <c r="B5641" s="8" t="s">
        <v>59244</v>
      </c>
      <c r="C5641" s="8" t="s">
        <v>11243</v>
      </c>
      <c r="D5641" s="8"/>
      <c r="E5641" s="6"/>
      <c r="F5641" s="6"/>
    </row>
    <row r="5642" spans="1:6" x14ac:dyDescent="0.3">
      <c r="A5642" s="8" t="s">
        <v>11244</v>
      </c>
      <c r="B5642" s="8" t="s">
        <v>59245</v>
      </c>
      <c r="C5642" s="8" t="s">
        <v>11245</v>
      </c>
      <c r="D5642" s="8"/>
      <c r="E5642" s="6"/>
      <c r="F5642" s="6"/>
    </row>
    <row r="5643" spans="1:6" x14ac:dyDescent="0.3">
      <c r="A5643" s="8" t="s">
        <v>11246</v>
      </c>
      <c r="B5643" s="8" t="s">
        <v>59246</v>
      </c>
      <c r="C5643" s="8" t="s">
        <v>11247</v>
      </c>
      <c r="D5643" s="8"/>
      <c r="E5643" s="6"/>
      <c r="F5643" s="6"/>
    </row>
    <row r="5644" spans="1:6" x14ac:dyDescent="0.3">
      <c r="A5644" s="8" t="s">
        <v>11248</v>
      </c>
      <c r="B5644" s="8" t="s">
        <v>59247</v>
      </c>
      <c r="C5644" s="8" t="s">
        <v>11249</v>
      </c>
      <c r="D5644" s="8"/>
      <c r="E5644" s="6"/>
      <c r="F5644" s="6"/>
    </row>
    <row r="5645" spans="1:6" x14ac:dyDescent="0.3">
      <c r="A5645" s="8" t="s">
        <v>11250</v>
      </c>
      <c r="B5645" s="8" t="s">
        <v>59248</v>
      </c>
      <c r="C5645" s="8" t="s">
        <v>11251</v>
      </c>
      <c r="D5645" s="8"/>
      <c r="E5645" s="6"/>
      <c r="F5645" s="6"/>
    </row>
    <row r="5646" spans="1:6" x14ac:dyDescent="0.3">
      <c r="A5646" s="8" t="s">
        <v>11252</v>
      </c>
      <c r="B5646" s="8" t="s">
        <v>59249</v>
      </c>
      <c r="C5646" s="8" t="s">
        <v>11253</v>
      </c>
      <c r="D5646" s="8"/>
      <c r="E5646" s="6"/>
      <c r="F5646" s="6"/>
    </row>
    <row r="5647" spans="1:6" x14ac:dyDescent="0.3">
      <c r="A5647" s="8" t="s">
        <v>11254</v>
      </c>
      <c r="B5647" s="8" t="s">
        <v>59250</v>
      </c>
      <c r="C5647" s="8" t="s">
        <v>11255</v>
      </c>
      <c r="D5647" s="8"/>
      <c r="E5647" s="6"/>
      <c r="F5647" s="6"/>
    </row>
    <row r="5648" spans="1:6" x14ac:dyDescent="0.3">
      <c r="A5648" s="8" t="s">
        <v>11256</v>
      </c>
      <c r="B5648" s="8" t="s">
        <v>59251</v>
      </c>
      <c r="C5648" s="8" t="s">
        <v>11257</v>
      </c>
      <c r="D5648" s="8"/>
      <c r="E5648" s="6"/>
      <c r="F5648" s="6"/>
    </row>
    <row r="5649" spans="1:6" x14ac:dyDescent="0.3">
      <c r="A5649" s="8" t="s">
        <v>11258</v>
      </c>
      <c r="B5649" s="8" t="s">
        <v>59252</v>
      </c>
      <c r="C5649" s="8" t="s">
        <v>11259</v>
      </c>
      <c r="D5649" s="8"/>
      <c r="E5649" s="6"/>
      <c r="F5649" s="6"/>
    </row>
    <row r="5650" spans="1:6" x14ac:dyDescent="0.3">
      <c r="A5650" s="8" t="s">
        <v>11260</v>
      </c>
      <c r="B5650" s="8" t="s">
        <v>59253</v>
      </c>
      <c r="C5650" s="8" t="s">
        <v>11261</v>
      </c>
      <c r="D5650" s="8"/>
      <c r="E5650" s="6"/>
      <c r="F5650" s="6"/>
    </row>
    <row r="5651" spans="1:6" x14ac:dyDescent="0.3">
      <c r="A5651" s="8" t="s">
        <v>11262</v>
      </c>
      <c r="B5651" s="8" t="s">
        <v>59254</v>
      </c>
      <c r="C5651" s="8" t="s">
        <v>11263</v>
      </c>
      <c r="D5651" s="8"/>
      <c r="E5651" s="6"/>
      <c r="F5651" s="6"/>
    </row>
    <row r="5652" spans="1:6" x14ac:dyDescent="0.3">
      <c r="A5652" s="8" t="s">
        <v>11264</v>
      </c>
      <c r="B5652" s="8" t="s">
        <v>59255</v>
      </c>
      <c r="C5652" s="8" t="s">
        <v>11265</v>
      </c>
      <c r="D5652" s="8"/>
      <c r="E5652" s="6"/>
      <c r="F5652" s="6"/>
    </row>
    <row r="5653" spans="1:6" x14ac:dyDescent="0.3">
      <c r="A5653" s="8" t="s">
        <v>11266</v>
      </c>
      <c r="B5653" s="8" t="s">
        <v>59256</v>
      </c>
      <c r="C5653" s="8" t="s">
        <v>11267</v>
      </c>
      <c r="D5653" s="8"/>
      <c r="E5653" s="6"/>
      <c r="F5653" s="6"/>
    </row>
    <row r="5654" spans="1:6" x14ac:dyDescent="0.3">
      <c r="A5654" s="8" t="s">
        <v>11268</v>
      </c>
      <c r="B5654" s="8" t="s">
        <v>59257</v>
      </c>
      <c r="C5654" s="8" t="s">
        <v>11269</v>
      </c>
      <c r="D5654" s="8"/>
      <c r="E5654" s="6"/>
      <c r="F5654" s="6"/>
    </row>
    <row r="5655" spans="1:6" x14ac:dyDescent="0.3">
      <c r="A5655" s="8" t="s">
        <v>11270</v>
      </c>
      <c r="B5655" s="8" t="s">
        <v>59258</v>
      </c>
      <c r="C5655" s="8" t="s">
        <v>11271</v>
      </c>
      <c r="D5655" s="8"/>
      <c r="E5655" s="6"/>
      <c r="F5655" s="6"/>
    </row>
    <row r="5656" spans="1:6" x14ac:dyDescent="0.3">
      <c r="A5656" s="8" t="s">
        <v>11272</v>
      </c>
      <c r="B5656" s="8" t="s">
        <v>59259</v>
      </c>
      <c r="C5656" s="8" t="s">
        <v>11273</v>
      </c>
      <c r="D5656" s="8"/>
      <c r="E5656" s="6"/>
      <c r="F5656" s="6"/>
    </row>
    <row r="5657" spans="1:6" x14ac:dyDescent="0.3">
      <c r="A5657" s="8" t="s">
        <v>11274</v>
      </c>
      <c r="B5657" s="8" t="s">
        <v>59260</v>
      </c>
      <c r="C5657" s="8" t="s">
        <v>11275</v>
      </c>
      <c r="D5657" s="8"/>
      <c r="E5657" s="6"/>
      <c r="F5657" s="6"/>
    </row>
    <row r="5658" spans="1:6" x14ac:dyDescent="0.3">
      <c r="A5658" s="8" t="s">
        <v>11276</v>
      </c>
      <c r="B5658" s="8" t="s">
        <v>59261</v>
      </c>
      <c r="C5658" s="8" t="s">
        <v>11277</v>
      </c>
      <c r="D5658" s="8"/>
      <c r="E5658" s="6"/>
      <c r="F5658" s="6"/>
    </row>
    <row r="5659" spans="1:6" x14ac:dyDescent="0.3">
      <c r="A5659" s="8" t="s">
        <v>11278</v>
      </c>
      <c r="B5659" s="8" t="s">
        <v>59262</v>
      </c>
      <c r="C5659" s="8" t="s">
        <v>11279</v>
      </c>
      <c r="D5659" s="8"/>
      <c r="E5659" s="6"/>
      <c r="F5659" s="6"/>
    </row>
    <row r="5660" spans="1:6" x14ac:dyDescent="0.3">
      <c r="A5660" s="8" t="s">
        <v>11280</v>
      </c>
      <c r="B5660" s="8" t="s">
        <v>59263</v>
      </c>
      <c r="C5660" s="8" t="s">
        <v>11281</v>
      </c>
      <c r="D5660" s="8"/>
      <c r="E5660" s="6"/>
      <c r="F5660" s="6"/>
    </row>
    <row r="5661" spans="1:6" x14ac:dyDescent="0.3">
      <c r="A5661" s="8" t="s">
        <v>11282</v>
      </c>
      <c r="B5661" s="8" t="s">
        <v>59264</v>
      </c>
      <c r="C5661" s="8" t="s">
        <v>11283</v>
      </c>
      <c r="D5661" s="8"/>
      <c r="E5661" s="6"/>
      <c r="F5661" s="6"/>
    </row>
    <row r="5662" spans="1:6" x14ac:dyDescent="0.3">
      <c r="A5662" s="8" t="s">
        <v>11284</v>
      </c>
      <c r="B5662" s="8" t="s">
        <v>59265</v>
      </c>
      <c r="C5662" s="8" t="s">
        <v>11285</v>
      </c>
      <c r="D5662" s="8"/>
      <c r="E5662" s="6"/>
      <c r="F5662" s="6"/>
    </row>
    <row r="5663" spans="1:6" x14ac:dyDescent="0.3">
      <c r="A5663" s="8" t="s">
        <v>11286</v>
      </c>
      <c r="B5663" s="8" t="s">
        <v>59266</v>
      </c>
      <c r="C5663" s="8" t="s">
        <v>11287</v>
      </c>
      <c r="D5663" s="8"/>
      <c r="E5663" s="6"/>
      <c r="F5663" s="6"/>
    </row>
    <row r="5664" spans="1:6" x14ac:dyDescent="0.3">
      <c r="A5664" s="8" t="s">
        <v>11288</v>
      </c>
      <c r="B5664" s="8" t="s">
        <v>59267</v>
      </c>
      <c r="C5664" s="8" t="s">
        <v>11289</v>
      </c>
      <c r="D5664" s="8"/>
      <c r="E5664" s="6"/>
      <c r="F5664" s="6"/>
    </row>
    <row r="5665" spans="1:6" x14ac:dyDescent="0.3">
      <c r="A5665" s="8" t="s">
        <v>11290</v>
      </c>
      <c r="B5665" s="8" t="s">
        <v>59268</v>
      </c>
      <c r="C5665" s="8" t="s">
        <v>11291</v>
      </c>
      <c r="D5665" s="8"/>
      <c r="E5665" s="6"/>
      <c r="F5665" s="6"/>
    </row>
    <row r="5666" spans="1:6" x14ac:dyDescent="0.3">
      <c r="A5666" s="8" t="s">
        <v>11292</v>
      </c>
      <c r="B5666" s="8" t="s">
        <v>59269</v>
      </c>
      <c r="C5666" s="8" t="s">
        <v>11293</v>
      </c>
      <c r="D5666" s="8"/>
      <c r="E5666" s="6"/>
      <c r="F5666" s="6"/>
    </row>
    <row r="5667" spans="1:6" x14ac:dyDescent="0.3">
      <c r="A5667" s="8" t="s">
        <v>11294</v>
      </c>
      <c r="B5667" s="8" t="s">
        <v>59270</v>
      </c>
      <c r="C5667" s="8" t="s">
        <v>11295</v>
      </c>
      <c r="D5667" s="8"/>
      <c r="E5667" s="6"/>
      <c r="F5667" s="6"/>
    </row>
    <row r="5668" spans="1:6" x14ac:dyDescent="0.3">
      <c r="A5668" s="8" t="s">
        <v>11296</v>
      </c>
      <c r="B5668" s="8" t="s">
        <v>59271</v>
      </c>
      <c r="C5668" s="8" t="s">
        <v>11297</v>
      </c>
      <c r="D5668" s="8"/>
      <c r="E5668" s="6"/>
      <c r="F5668" s="6"/>
    </row>
    <row r="5669" spans="1:6" x14ac:dyDescent="0.3">
      <c r="A5669" s="8" t="s">
        <v>11298</v>
      </c>
      <c r="B5669" s="8" t="s">
        <v>59272</v>
      </c>
      <c r="C5669" s="8" t="s">
        <v>11299</v>
      </c>
      <c r="D5669" s="8"/>
      <c r="E5669" s="6"/>
      <c r="F5669" s="6"/>
    </row>
    <row r="5670" spans="1:6" x14ac:dyDescent="0.3">
      <c r="A5670" s="8" t="s">
        <v>11300</v>
      </c>
      <c r="B5670" s="8" t="s">
        <v>59273</v>
      </c>
      <c r="C5670" s="8" t="s">
        <v>11301</v>
      </c>
      <c r="D5670" s="8"/>
      <c r="E5670" s="6"/>
      <c r="F5670" s="6"/>
    </row>
    <row r="5671" spans="1:6" x14ac:dyDescent="0.3">
      <c r="A5671" s="8" t="s">
        <v>11302</v>
      </c>
      <c r="B5671" s="8" t="s">
        <v>59274</v>
      </c>
      <c r="C5671" s="8" t="s">
        <v>11303</v>
      </c>
      <c r="D5671" s="8"/>
      <c r="E5671" s="6"/>
      <c r="F5671" s="6"/>
    </row>
    <row r="5672" spans="1:6" x14ac:dyDescent="0.3">
      <c r="A5672" s="8" t="s">
        <v>11304</v>
      </c>
      <c r="B5672" s="8" t="s">
        <v>59275</v>
      </c>
      <c r="C5672" s="8" t="s">
        <v>11305</v>
      </c>
      <c r="D5672" s="8"/>
      <c r="E5672" s="6"/>
      <c r="F5672" s="6"/>
    </row>
    <row r="5673" spans="1:6" x14ac:dyDescent="0.3">
      <c r="A5673" s="8" t="s">
        <v>11306</v>
      </c>
      <c r="B5673" s="8" t="s">
        <v>59276</v>
      </c>
      <c r="C5673" s="8" t="s">
        <v>11307</v>
      </c>
      <c r="D5673" s="8"/>
      <c r="E5673" s="6"/>
      <c r="F5673" s="6"/>
    </row>
    <row r="5674" spans="1:6" x14ac:dyDescent="0.3">
      <c r="A5674" s="8" t="s">
        <v>11308</v>
      </c>
      <c r="B5674" s="8" t="s">
        <v>59277</v>
      </c>
      <c r="C5674" s="8" t="s">
        <v>11309</v>
      </c>
      <c r="D5674" s="8"/>
      <c r="E5674" s="6"/>
      <c r="F5674" s="6"/>
    </row>
    <row r="5675" spans="1:6" x14ac:dyDescent="0.3">
      <c r="A5675" s="8" t="s">
        <v>11310</v>
      </c>
      <c r="B5675" s="8" t="s">
        <v>59278</v>
      </c>
      <c r="C5675" s="8" t="s">
        <v>11311</v>
      </c>
      <c r="D5675" s="8"/>
      <c r="E5675" s="6"/>
      <c r="F5675" s="6"/>
    </row>
    <row r="5676" spans="1:6" x14ac:dyDescent="0.3">
      <c r="A5676" s="8" t="s">
        <v>11312</v>
      </c>
      <c r="B5676" s="8" t="s">
        <v>59279</v>
      </c>
      <c r="C5676" s="8" t="s">
        <v>11313</v>
      </c>
      <c r="D5676" s="8"/>
      <c r="E5676" s="6"/>
      <c r="F5676" s="6"/>
    </row>
    <row r="5677" spans="1:6" x14ac:dyDescent="0.3">
      <c r="A5677" s="8" t="s">
        <v>11314</v>
      </c>
      <c r="B5677" s="8" t="s">
        <v>59280</v>
      </c>
      <c r="C5677" s="8" t="s">
        <v>11315</v>
      </c>
      <c r="D5677" s="8"/>
      <c r="E5677" s="6"/>
      <c r="F5677" s="6"/>
    </row>
    <row r="5678" spans="1:6" x14ac:dyDescent="0.3">
      <c r="A5678" s="8" t="s">
        <v>11316</v>
      </c>
      <c r="B5678" s="8" t="s">
        <v>59281</v>
      </c>
      <c r="C5678" s="8" t="s">
        <v>11317</v>
      </c>
      <c r="D5678" s="8"/>
      <c r="E5678" s="6"/>
      <c r="F5678" s="6"/>
    </row>
    <row r="5679" spans="1:6" x14ac:dyDescent="0.3">
      <c r="A5679" s="8" t="s">
        <v>11318</v>
      </c>
      <c r="B5679" s="8" t="s">
        <v>59282</v>
      </c>
      <c r="C5679" s="8" t="s">
        <v>11319</v>
      </c>
      <c r="D5679" s="8"/>
      <c r="E5679" s="6"/>
      <c r="F5679" s="6"/>
    </row>
    <row r="5680" spans="1:6" x14ac:dyDescent="0.3">
      <c r="A5680" s="8" t="s">
        <v>11320</v>
      </c>
      <c r="B5680" s="8" t="s">
        <v>59283</v>
      </c>
      <c r="C5680" s="8" t="s">
        <v>11321</v>
      </c>
      <c r="D5680" s="8"/>
      <c r="E5680" s="6"/>
      <c r="F5680" s="6"/>
    </row>
    <row r="5681" spans="1:6" x14ac:dyDescent="0.3">
      <c r="A5681" s="8" t="s">
        <v>11322</v>
      </c>
      <c r="B5681" s="8" t="s">
        <v>59284</v>
      </c>
      <c r="C5681" s="8" t="s">
        <v>11323</v>
      </c>
      <c r="D5681" s="8"/>
      <c r="E5681" s="6"/>
      <c r="F5681" s="6"/>
    </row>
    <row r="5682" spans="1:6" x14ac:dyDescent="0.3">
      <c r="A5682" s="8" t="s">
        <v>11324</v>
      </c>
      <c r="B5682" s="8" t="s">
        <v>59285</v>
      </c>
      <c r="C5682" s="8" t="s">
        <v>11325</v>
      </c>
      <c r="D5682" s="8"/>
      <c r="E5682" s="6"/>
      <c r="F5682" s="6"/>
    </row>
    <row r="5683" spans="1:6" x14ac:dyDescent="0.3">
      <c r="A5683" s="8" t="s">
        <v>11326</v>
      </c>
      <c r="B5683" s="8" t="s">
        <v>59286</v>
      </c>
      <c r="C5683" s="8" t="s">
        <v>11327</v>
      </c>
      <c r="D5683" s="8"/>
      <c r="E5683" s="6"/>
      <c r="F5683" s="6"/>
    </row>
    <row r="5684" spans="1:6" x14ac:dyDescent="0.3">
      <c r="A5684" s="8" t="s">
        <v>11328</v>
      </c>
      <c r="B5684" s="8" t="s">
        <v>59287</v>
      </c>
      <c r="C5684" s="8" t="s">
        <v>11329</v>
      </c>
      <c r="D5684" s="8"/>
      <c r="E5684" s="6"/>
      <c r="F5684" s="6"/>
    </row>
    <row r="5685" spans="1:6" x14ac:dyDescent="0.3">
      <c r="A5685" s="8" t="s">
        <v>11330</v>
      </c>
      <c r="B5685" s="8" t="s">
        <v>59288</v>
      </c>
      <c r="C5685" s="8" t="s">
        <v>11331</v>
      </c>
      <c r="D5685" s="8"/>
      <c r="E5685" s="6"/>
      <c r="F5685" s="6"/>
    </row>
    <row r="5686" spans="1:6" x14ac:dyDescent="0.3">
      <c r="A5686" s="8" t="s">
        <v>11332</v>
      </c>
      <c r="B5686" s="8" t="s">
        <v>59289</v>
      </c>
      <c r="C5686" s="8" t="s">
        <v>11333</v>
      </c>
      <c r="D5686" s="8"/>
      <c r="E5686" s="6"/>
      <c r="F5686" s="6"/>
    </row>
    <row r="5687" spans="1:6" x14ac:dyDescent="0.3">
      <c r="A5687" s="8" t="s">
        <v>11334</v>
      </c>
      <c r="B5687" s="8" t="s">
        <v>59290</v>
      </c>
      <c r="C5687" s="8" t="s">
        <v>11335</v>
      </c>
      <c r="D5687" s="8"/>
      <c r="E5687" s="6"/>
      <c r="F5687" s="6"/>
    </row>
    <row r="5688" spans="1:6" x14ac:dyDescent="0.3">
      <c r="A5688" s="8" t="s">
        <v>11336</v>
      </c>
      <c r="B5688" s="8" t="s">
        <v>59291</v>
      </c>
      <c r="C5688" s="8" t="s">
        <v>11337</v>
      </c>
      <c r="D5688" s="8"/>
      <c r="E5688" s="6"/>
      <c r="F5688" s="6"/>
    </row>
    <row r="5689" spans="1:6" x14ac:dyDescent="0.3">
      <c r="A5689" s="8" t="s">
        <v>11338</v>
      </c>
      <c r="B5689" s="8" t="s">
        <v>59292</v>
      </c>
      <c r="C5689" s="8" t="s">
        <v>11339</v>
      </c>
      <c r="D5689" s="8"/>
      <c r="E5689" s="6"/>
      <c r="F5689" s="6"/>
    </row>
    <row r="5690" spans="1:6" x14ac:dyDescent="0.3">
      <c r="A5690" s="8" t="s">
        <v>11340</v>
      </c>
      <c r="B5690" s="8" t="s">
        <v>59293</v>
      </c>
      <c r="C5690" s="8" t="s">
        <v>11341</v>
      </c>
      <c r="D5690" s="8"/>
      <c r="E5690" s="6"/>
      <c r="F5690" s="6"/>
    </row>
    <row r="5691" spans="1:6" x14ac:dyDescent="0.3">
      <c r="A5691" s="8" t="s">
        <v>11342</v>
      </c>
      <c r="B5691" s="8" t="s">
        <v>59294</v>
      </c>
      <c r="C5691" s="8" t="s">
        <v>11343</v>
      </c>
      <c r="D5691" s="8"/>
      <c r="E5691" s="6"/>
      <c r="F5691" s="6"/>
    </row>
    <row r="5692" spans="1:6" x14ac:dyDescent="0.3">
      <c r="A5692" s="8" t="s">
        <v>11344</v>
      </c>
      <c r="B5692" s="8" t="s">
        <v>59295</v>
      </c>
      <c r="C5692" s="8" t="s">
        <v>11345</v>
      </c>
      <c r="D5692" s="8"/>
      <c r="E5692" s="6"/>
      <c r="F5692" s="6"/>
    </row>
    <row r="5693" spans="1:6" x14ac:dyDescent="0.3">
      <c r="A5693" s="8" t="s">
        <v>11346</v>
      </c>
      <c r="B5693" s="8" t="s">
        <v>59296</v>
      </c>
      <c r="C5693" s="8" t="s">
        <v>11347</v>
      </c>
      <c r="D5693" s="8"/>
      <c r="E5693" s="6"/>
      <c r="F5693" s="6"/>
    </row>
    <row r="5694" spans="1:6" x14ac:dyDescent="0.3">
      <c r="A5694" s="8" t="s">
        <v>11348</v>
      </c>
      <c r="B5694" s="8" t="s">
        <v>59297</v>
      </c>
      <c r="C5694" s="8" t="s">
        <v>11349</v>
      </c>
      <c r="D5694" s="8"/>
      <c r="E5694" s="6"/>
      <c r="F5694" s="6"/>
    </row>
    <row r="5695" spans="1:6" x14ac:dyDescent="0.3">
      <c r="A5695" s="8" t="s">
        <v>11350</v>
      </c>
      <c r="B5695" s="8" t="s">
        <v>59298</v>
      </c>
      <c r="C5695" s="8" t="s">
        <v>11351</v>
      </c>
      <c r="D5695" s="8"/>
      <c r="E5695" s="6"/>
      <c r="F5695" s="6"/>
    </row>
    <row r="5696" spans="1:6" x14ac:dyDescent="0.3">
      <c r="A5696" s="8" t="s">
        <v>11352</v>
      </c>
      <c r="B5696" s="8" t="s">
        <v>59299</v>
      </c>
      <c r="C5696" s="8" t="s">
        <v>11353</v>
      </c>
      <c r="D5696" s="8"/>
      <c r="E5696" s="6"/>
      <c r="F5696" s="6"/>
    </row>
    <row r="5697" spans="1:6" x14ac:dyDescent="0.3">
      <c r="A5697" s="8" t="s">
        <v>11354</v>
      </c>
      <c r="B5697" s="8" t="s">
        <v>59300</v>
      </c>
      <c r="C5697" s="8" t="s">
        <v>11355</v>
      </c>
      <c r="D5697" s="8"/>
      <c r="E5697" s="6"/>
      <c r="F5697" s="6"/>
    </row>
    <row r="5698" spans="1:6" x14ac:dyDescent="0.3">
      <c r="A5698" s="8" t="s">
        <v>11356</v>
      </c>
      <c r="B5698" s="8" t="s">
        <v>59301</v>
      </c>
      <c r="C5698" s="8" t="s">
        <v>11357</v>
      </c>
      <c r="D5698" s="8"/>
      <c r="E5698" s="6"/>
      <c r="F5698" s="6"/>
    </row>
    <row r="5699" spans="1:6" x14ac:dyDescent="0.3">
      <c r="A5699" s="8" t="s">
        <v>11358</v>
      </c>
      <c r="B5699" s="8" t="s">
        <v>59302</v>
      </c>
      <c r="C5699" s="8" t="s">
        <v>11359</v>
      </c>
      <c r="D5699" s="8"/>
      <c r="E5699" s="6"/>
      <c r="F5699" s="6"/>
    </row>
    <row r="5700" spans="1:6" x14ac:dyDescent="0.3">
      <c r="A5700" s="8" t="s">
        <v>11360</v>
      </c>
      <c r="B5700" s="8" t="s">
        <v>59303</v>
      </c>
      <c r="C5700" s="8" t="s">
        <v>11361</v>
      </c>
      <c r="D5700" s="8"/>
      <c r="E5700" s="6"/>
      <c r="F5700" s="6"/>
    </row>
    <row r="5701" spans="1:6" x14ac:dyDescent="0.3">
      <c r="A5701" s="8" t="s">
        <v>11362</v>
      </c>
      <c r="B5701" s="8" t="s">
        <v>59304</v>
      </c>
      <c r="C5701" s="8" t="s">
        <v>11363</v>
      </c>
      <c r="D5701" s="8"/>
      <c r="E5701" s="6"/>
      <c r="F5701" s="6"/>
    </row>
    <row r="5702" spans="1:6" x14ac:dyDescent="0.3">
      <c r="A5702" s="8" t="s">
        <v>11364</v>
      </c>
      <c r="B5702" s="8" t="s">
        <v>59305</v>
      </c>
      <c r="C5702" s="8" t="s">
        <v>11365</v>
      </c>
      <c r="D5702" s="8"/>
      <c r="E5702" s="6"/>
      <c r="F5702" s="6"/>
    </row>
    <row r="5703" spans="1:6" x14ac:dyDescent="0.3">
      <c r="A5703" s="8" t="s">
        <v>11366</v>
      </c>
      <c r="B5703" s="8" t="s">
        <v>59306</v>
      </c>
      <c r="C5703" s="8" t="s">
        <v>11367</v>
      </c>
      <c r="D5703" s="8"/>
      <c r="E5703" s="6"/>
      <c r="F5703" s="6"/>
    </row>
    <row r="5704" spans="1:6" x14ac:dyDescent="0.3">
      <c r="A5704" s="8" t="s">
        <v>11368</v>
      </c>
      <c r="B5704" s="8" t="s">
        <v>59307</v>
      </c>
      <c r="C5704" s="8" t="s">
        <v>11369</v>
      </c>
      <c r="D5704" s="8"/>
      <c r="E5704" s="6"/>
      <c r="F5704" s="6"/>
    </row>
    <row r="5705" spans="1:6" x14ac:dyDescent="0.3">
      <c r="A5705" s="8" t="s">
        <v>11370</v>
      </c>
      <c r="B5705" s="8" t="s">
        <v>59308</v>
      </c>
      <c r="C5705" s="8" t="s">
        <v>11371</v>
      </c>
      <c r="D5705" s="8"/>
      <c r="E5705" s="6"/>
      <c r="F5705" s="6"/>
    </row>
    <row r="5706" spans="1:6" x14ac:dyDescent="0.3">
      <c r="A5706" s="8" t="s">
        <v>11372</v>
      </c>
      <c r="B5706" s="8" t="s">
        <v>59309</v>
      </c>
      <c r="C5706" s="8" t="s">
        <v>11373</v>
      </c>
      <c r="D5706" s="8"/>
      <c r="E5706" s="6"/>
      <c r="F5706" s="6"/>
    </row>
    <row r="5707" spans="1:6" x14ac:dyDescent="0.3">
      <c r="A5707" s="8" t="s">
        <v>11374</v>
      </c>
      <c r="B5707" s="8" t="s">
        <v>59310</v>
      </c>
      <c r="C5707" s="8" t="s">
        <v>11375</v>
      </c>
      <c r="D5707" s="8"/>
      <c r="E5707" s="6"/>
      <c r="F5707" s="6"/>
    </row>
    <row r="5708" spans="1:6" x14ac:dyDescent="0.3">
      <c r="A5708" s="8" t="s">
        <v>11376</v>
      </c>
      <c r="B5708" s="8" t="s">
        <v>59311</v>
      </c>
      <c r="C5708" s="8" t="s">
        <v>11377</v>
      </c>
      <c r="D5708" s="8"/>
      <c r="E5708" s="6"/>
      <c r="F5708" s="6"/>
    </row>
    <row r="5709" spans="1:6" x14ac:dyDescent="0.3">
      <c r="A5709" s="8" t="s">
        <v>11378</v>
      </c>
      <c r="B5709" s="8" t="s">
        <v>59312</v>
      </c>
      <c r="C5709" s="8" t="s">
        <v>11379</v>
      </c>
      <c r="D5709" s="8"/>
      <c r="E5709" s="6"/>
      <c r="F5709" s="6"/>
    </row>
    <row r="5710" spans="1:6" x14ac:dyDescent="0.3">
      <c r="A5710" s="8" t="s">
        <v>11380</v>
      </c>
      <c r="B5710" s="8" t="s">
        <v>59313</v>
      </c>
      <c r="C5710" s="8" t="s">
        <v>11381</v>
      </c>
      <c r="D5710" s="8"/>
      <c r="E5710" s="6"/>
      <c r="F5710" s="6"/>
    </row>
    <row r="5711" spans="1:6" x14ac:dyDescent="0.3">
      <c r="A5711" s="8" t="s">
        <v>11382</v>
      </c>
      <c r="B5711" s="8" t="s">
        <v>59314</v>
      </c>
      <c r="C5711" s="8" t="s">
        <v>11383</v>
      </c>
      <c r="D5711" s="8"/>
      <c r="E5711" s="6"/>
      <c r="F5711" s="6"/>
    </row>
    <row r="5712" spans="1:6" x14ac:dyDescent="0.3">
      <c r="A5712" s="8" t="s">
        <v>11384</v>
      </c>
      <c r="B5712" s="8" t="s">
        <v>59315</v>
      </c>
      <c r="C5712" s="8" t="s">
        <v>11385</v>
      </c>
      <c r="D5712" s="8"/>
      <c r="E5712" s="6"/>
      <c r="F5712" s="6"/>
    </row>
    <row r="5713" spans="1:6" x14ac:dyDescent="0.3">
      <c r="A5713" s="8" t="s">
        <v>11386</v>
      </c>
      <c r="B5713" s="8" t="s">
        <v>59316</v>
      </c>
      <c r="C5713" s="8" t="s">
        <v>11387</v>
      </c>
      <c r="D5713" s="8"/>
      <c r="E5713" s="6"/>
      <c r="F5713" s="6"/>
    </row>
    <row r="5714" spans="1:6" x14ac:dyDescent="0.3">
      <c r="A5714" s="8" t="s">
        <v>11388</v>
      </c>
      <c r="B5714" s="8" t="s">
        <v>59317</v>
      </c>
      <c r="C5714" s="8" t="s">
        <v>11389</v>
      </c>
      <c r="D5714" s="8"/>
      <c r="E5714" s="6"/>
      <c r="F5714" s="6"/>
    </row>
    <row r="5715" spans="1:6" x14ac:dyDescent="0.3">
      <c r="A5715" s="8" t="s">
        <v>11390</v>
      </c>
      <c r="B5715" s="8" t="s">
        <v>59318</v>
      </c>
      <c r="C5715" s="8" t="s">
        <v>11391</v>
      </c>
      <c r="D5715" s="8"/>
      <c r="E5715" s="6"/>
      <c r="F5715" s="6"/>
    </row>
    <row r="5716" spans="1:6" x14ac:dyDescent="0.3">
      <c r="A5716" s="8" t="s">
        <v>11392</v>
      </c>
      <c r="B5716" s="8" t="s">
        <v>59319</v>
      </c>
      <c r="C5716" s="8" t="s">
        <v>11393</v>
      </c>
      <c r="D5716" s="8"/>
      <c r="E5716" s="6"/>
      <c r="F5716" s="6"/>
    </row>
    <row r="5717" spans="1:6" x14ac:dyDescent="0.3">
      <c r="A5717" s="8" t="s">
        <v>11394</v>
      </c>
      <c r="B5717" s="8" t="s">
        <v>59320</v>
      </c>
      <c r="C5717" s="8" t="s">
        <v>11395</v>
      </c>
      <c r="D5717" s="8"/>
      <c r="E5717" s="6"/>
      <c r="F5717" s="6"/>
    </row>
    <row r="5718" spans="1:6" x14ac:dyDescent="0.3">
      <c r="A5718" s="8" t="s">
        <v>11396</v>
      </c>
      <c r="B5718" s="8" t="s">
        <v>59321</v>
      </c>
      <c r="C5718" s="8" t="s">
        <v>11397</v>
      </c>
      <c r="D5718" s="8"/>
      <c r="E5718" s="6"/>
      <c r="F5718" s="6"/>
    </row>
    <row r="5719" spans="1:6" x14ac:dyDescent="0.3">
      <c r="A5719" s="8" t="s">
        <v>11398</v>
      </c>
      <c r="B5719" s="8" t="s">
        <v>59322</v>
      </c>
      <c r="C5719" s="8" t="s">
        <v>11399</v>
      </c>
      <c r="D5719" s="8"/>
      <c r="E5719" s="6"/>
      <c r="F5719" s="6"/>
    </row>
    <row r="5720" spans="1:6" x14ac:dyDescent="0.3">
      <c r="A5720" s="8" t="s">
        <v>11400</v>
      </c>
      <c r="B5720" s="8" t="s">
        <v>59323</v>
      </c>
      <c r="C5720" s="8" t="s">
        <v>11401</v>
      </c>
      <c r="D5720" s="8"/>
      <c r="E5720" s="6"/>
      <c r="F5720" s="6"/>
    </row>
    <row r="5721" spans="1:6" x14ac:dyDescent="0.3">
      <c r="A5721" s="8" t="s">
        <v>11402</v>
      </c>
      <c r="B5721" s="8" t="s">
        <v>59324</v>
      </c>
      <c r="C5721" s="8" t="s">
        <v>11403</v>
      </c>
      <c r="D5721" s="8"/>
      <c r="E5721" s="6"/>
      <c r="F5721" s="6"/>
    </row>
    <row r="5722" spans="1:6" x14ac:dyDescent="0.3">
      <c r="A5722" s="8" t="s">
        <v>11404</v>
      </c>
      <c r="B5722" s="8" t="s">
        <v>59325</v>
      </c>
      <c r="C5722" s="8" t="s">
        <v>11405</v>
      </c>
      <c r="D5722" s="8"/>
      <c r="E5722" s="6"/>
      <c r="F5722" s="6"/>
    </row>
    <row r="5723" spans="1:6" x14ac:dyDescent="0.3">
      <c r="A5723" s="8" t="s">
        <v>11406</v>
      </c>
      <c r="B5723" s="8" t="s">
        <v>59326</v>
      </c>
      <c r="C5723" s="8" t="s">
        <v>11407</v>
      </c>
      <c r="D5723" s="8"/>
      <c r="E5723" s="6"/>
      <c r="F5723" s="6"/>
    </row>
    <row r="5724" spans="1:6" x14ac:dyDescent="0.3">
      <c r="A5724" s="8" t="s">
        <v>11408</v>
      </c>
      <c r="B5724" s="8" t="s">
        <v>59327</v>
      </c>
      <c r="C5724" s="8" t="s">
        <v>11409</v>
      </c>
      <c r="D5724" s="8"/>
      <c r="E5724" s="6"/>
      <c r="F5724" s="6"/>
    </row>
    <row r="5725" spans="1:6" x14ac:dyDescent="0.3">
      <c r="A5725" s="8" t="s">
        <v>11410</v>
      </c>
      <c r="B5725" s="8" t="s">
        <v>59328</v>
      </c>
      <c r="C5725" s="8" t="s">
        <v>11411</v>
      </c>
      <c r="D5725" s="8"/>
      <c r="E5725" s="6"/>
      <c r="F5725" s="6"/>
    </row>
    <row r="5726" spans="1:6" x14ac:dyDescent="0.3">
      <c r="A5726" s="8" t="s">
        <v>11412</v>
      </c>
      <c r="B5726" s="8" t="s">
        <v>59329</v>
      </c>
      <c r="C5726" s="8" t="s">
        <v>11413</v>
      </c>
      <c r="D5726" s="8"/>
      <c r="E5726" s="6"/>
      <c r="F5726" s="6"/>
    </row>
    <row r="5727" spans="1:6" x14ac:dyDescent="0.3">
      <c r="A5727" s="8" t="s">
        <v>11414</v>
      </c>
      <c r="B5727" s="8" t="s">
        <v>59330</v>
      </c>
      <c r="C5727" s="8" t="s">
        <v>11415</v>
      </c>
      <c r="D5727" s="8"/>
      <c r="E5727" s="6"/>
      <c r="F5727" s="6"/>
    </row>
    <row r="5728" spans="1:6" x14ac:dyDescent="0.3">
      <c r="A5728" s="8" t="s">
        <v>11416</v>
      </c>
      <c r="B5728" s="8" t="s">
        <v>59331</v>
      </c>
      <c r="C5728" s="8" t="s">
        <v>11417</v>
      </c>
      <c r="D5728" s="8"/>
      <c r="E5728" s="6"/>
      <c r="F5728" s="6"/>
    </row>
    <row r="5729" spans="1:6" x14ac:dyDescent="0.3">
      <c r="A5729" s="8" t="s">
        <v>11418</v>
      </c>
      <c r="B5729" s="8" t="s">
        <v>59332</v>
      </c>
      <c r="C5729" s="8" t="s">
        <v>11419</v>
      </c>
      <c r="D5729" s="8"/>
      <c r="E5729" s="6"/>
      <c r="F5729" s="6"/>
    </row>
    <row r="5730" spans="1:6" x14ac:dyDescent="0.3">
      <c r="A5730" s="8" t="s">
        <v>11420</v>
      </c>
      <c r="B5730" s="8" t="s">
        <v>59333</v>
      </c>
      <c r="C5730" s="8" t="s">
        <v>11421</v>
      </c>
      <c r="D5730" s="8"/>
      <c r="E5730" s="6"/>
      <c r="F5730" s="6"/>
    </row>
    <row r="5731" spans="1:6" x14ac:dyDescent="0.3">
      <c r="A5731" s="8" t="s">
        <v>11422</v>
      </c>
      <c r="B5731" s="8" t="s">
        <v>59334</v>
      </c>
      <c r="C5731" s="8" t="s">
        <v>11423</v>
      </c>
      <c r="D5731" s="8"/>
      <c r="E5731" s="6"/>
      <c r="F5731" s="6"/>
    </row>
    <row r="5732" spans="1:6" x14ac:dyDescent="0.3">
      <c r="A5732" s="8" t="s">
        <v>11424</v>
      </c>
      <c r="B5732" s="8" t="s">
        <v>59335</v>
      </c>
      <c r="C5732" s="8" t="s">
        <v>11425</v>
      </c>
      <c r="D5732" s="8"/>
      <c r="E5732" s="6"/>
      <c r="F5732" s="6"/>
    </row>
    <row r="5733" spans="1:6" x14ac:dyDescent="0.3">
      <c r="A5733" s="8" t="s">
        <v>11426</v>
      </c>
      <c r="B5733" s="8" t="s">
        <v>59336</v>
      </c>
      <c r="C5733" s="8" t="s">
        <v>11427</v>
      </c>
      <c r="D5733" s="8"/>
      <c r="E5733" s="6"/>
      <c r="F5733" s="6"/>
    </row>
    <row r="5734" spans="1:6" x14ac:dyDescent="0.3">
      <c r="A5734" s="8" t="s">
        <v>11428</v>
      </c>
      <c r="B5734" s="8" t="s">
        <v>59337</v>
      </c>
      <c r="C5734" s="8" t="s">
        <v>11429</v>
      </c>
      <c r="D5734" s="8"/>
      <c r="E5734" s="6"/>
      <c r="F5734" s="6"/>
    </row>
    <row r="5735" spans="1:6" x14ac:dyDescent="0.3">
      <c r="A5735" s="8" t="s">
        <v>11430</v>
      </c>
      <c r="B5735" s="8" t="s">
        <v>59338</v>
      </c>
      <c r="C5735" s="8" t="s">
        <v>11431</v>
      </c>
      <c r="D5735" s="8"/>
      <c r="E5735" s="6"/>
      <c r="F5735" s="6"/>
    </row>
    <row r="5736" spans="1:6" x14ac:dyDescent="0.3">
      <c r="A5736" s="8" t="s">
        <v>11432</v>
      </c>
      <c r="B5736" s="8" t="s">
        <v>59339</v>
      </c>
      <c r="C5736" s="8" t="s">
        <v>11433</v>
      </c>
      <c r="D5736" s="8"/>
      <c r="E5736" s="6"/>
      <c r="F5736" s="6"/>
    </row>
    <row r="5737" spans="1:6" x14ac:dyDescent="0.3">
      <c r="A5737" s="8" t="s">
        <v>11434</v>
      </c>
      <c r="B5737" s="8" t="s">
        <v>59340</v>
      </c>
      <c r="C5737" s="8" t="s">
        <v>11435</v>
      </c>
      <c r="D5737" s="8"/>
      <c r="E5737" s="6"/>
      <c r="F5737" s="6"/>
    </row>
    <row r="5738" spans="1:6" x14ac:dyDescent="0.3">
      <c r="A5738" s="8" t="s">
        <v>11436</v>
      </c>
      <c r="B5738" s="8" t="s">
        <v>59341</v>
      </c>
      <c r="C5738" s="8" t="s">
        <v>11437</v>
      </c>
      <c r="D5738" s="8"/>
      <c r="E5738" s="6"/>
      <c r="F5738" s="6"/>
    </row>
    <row r="5739" spans="1:6" x14ac:dyDescent="0.3">
      <c r="A5739" s="8" t="s">
        <v>11438</v>
      </c>
      <c r="B5739" s="8" t="s">
        <v>59342</v>
      </c>
      <c r="C5739" s="8" t="s">
        <v>11439</v>
      </c>
      <c r="D5739" s="8"/>
      <c r="E5739" s="6"/>
      <c r="F5739" s="6"/>
    </row>
    <row r="5740" spans="1:6" x14ac:dyDescent="0.3">
      <c r="A5740" s="8" t="s">
        <v>11440</v>
      </c>
      <c r="B5740" s="8" t="s">
        <v>59343</v>
      </c>
      <c r="C5740" s="8" t="s">
        <v>11441</v>
      </c>
      <c r="D5740" s="8"/>
      <c r="E5740" s="6"/>
      <c r="F5740" s="6"/>
    </row>
    <row r="5741" spans="1:6" x14ac:dyDescent="0.3">
      <c r="A5741" s="8" t="s">
        <v>11442</v>
      </c>
      <c r="B5741" s="8" t="s">
        <v>59344</v>
      </c>
      <c r="C5741" s="8" t="s">
        <v>11443</v>
      </c>
      <c r="D5741" s="8"/>
      <c r="E5741" s="6"/>
      <c r="F5741" s="6"/>
    </row>
    <row r="5742" spans="1:6" x14ac:dyDescent="0.3">
      <c r="A5742" s="8" t="s">
        <v>11444</v>
      </c>
      <c r="B5742" s="8" t="s">
        <v>59345</v>
      </c>
      <c r="C5742" s="8" t="s">
        <v>11445</v>
      </c>
      <c r="D5742" s="8"/>
      <c r="E5742" s="6"/>
      <c r="F5742" s="6"/>
    </row>
    <row r="5743" spans="1:6" x14ac:dyDescent="0.3">
      <c r="A5743" s="8" t="s">
        <v>11446</v>
      </c>
      <c r="B5743" s="8" t="s">
        <v>59346</v>
      </c>
      <c r="C5743" s="8" t="s">
        <v>11447</v>
      </c>
      <c r="D5743" s="8"/>
      <c r="E5743" s="6"/>
      <c r="F5743" s="6"/>
    </row>
    <row r="5744" spans="1:6" x14ac:dyDescent="0.3">
      <c r="A5744" s="8" t="s">
        <v>11448</v>
      </c>
      <c r="B5744" s="8" t="s">
        <v>59347</v>
      </c>
      <c r="C5744" s="8" t="s">
        <v>11449</v>
      </c>
      <c r="D5744" s="8"/>
      <c r="E5744" s="6"/>
      <c r="F5744" s="6"/>
    </row>
    <row r="5745" spans="1:6" x14ac:dyDescent="0.3">
      <c r="A5745" s="8" t="s">
        <v>11450</v>
      </c>
      <c r="B5745" s="8" t="s">
        <v>59348</v>
      </c>
      <c r="C5745" s="8" t="s">
        <v>11451</v>
      </c>
      <c r="D5745" s="8"/>
      <c r="E5745" s="6"/>
      <c r="F5745" s="6"/>
    </row>
    <row r="5746" spans="1:6" x14ac:dyDescent="0.3">
      <c r="A5746" s="8" t="s">
        <v>11452</v>
      </c>
      <c r="B5746" s="8" t="s">
        <v>59349</v>
      </c>
      <c r="C5746" s="8" t="s">
        <v>11453</v>
      </c>
      <c r="D5746" s="8"/>
      <c r="E5746" s="6"/>
      <c r="F5746" s="6"/>
    </row>
    <row r="5747" spans="1:6" x14ac:dyDescent="0.3">
      <c r="A5747" s="8" t="s">
        <v>11454</v>
      </c>
      <c r="B5747" s="8" t="s">
        <v>59350</v>
      </c>
      <c r="C5747" s="8" t="s">
        <v>11455</v>
      </c>
      <c r="D5747" s="8"/>
      <c r="E5747" s="6"/>
      <c r="F5747" s="6"/>
    </row>
    <row r="5748" spans="1:6" x14ac:dyDescent="0.3">
      <c r="A5748" s="8" t="s">
        <v>11456</v>
      </c>
      <c r="B5748" s="8" t="s">
        <v>59351</v>
      </c>
      <c r="C5748" s="8" t="s">
        <v>11457</v>
      </c>
      <c r="D5748" s="8"/>
      <c r="E5748" s="6"/>
      <c r="F5748" s="6"/>
    </row>
    <row r="5749" spans="1:6" x14ac:dyDescent="0.3">
      <c r="A5749" s="8" t="s">
        <v>11458</v>
      </c>
      <c r="B5749" s="8" t="s">
        <v>59352</v>
      </c>
      <c r="C5749" s="8" t="s">
        <v>11459</v>
      </c>
      <c r="D5749" s="8"/>
      <c r="E5749" s="6"/>
      <c r="F5749" s="6"/>
    </row>
    <row r="5750" spans="1:6" x14ac:dyDescent="0.3">
      <c r="A5750" s="8" t="s">
        <v>11460</v>
      </c>
      <c r="B5750" s="8" t="s">
        <v>59353</v>
      </c>
      <c r="C5750" s="8" t="s">
        <v>11461</v>
      </c>
      <c r="D5750" s="8"/>
      <c r="E5750" s="6"/>
      <c r="F5750" s="6"/>
    </row>
    <row r="5751" spans="1:6" x14ac:dyDescent="0.3">
      <c r="A5751" s="8" t="s">
        <v>11462</v>
      </c>
      <c r="B5751" s="8" t="s">
        <v>59354</v>
      </c>
      <c r="C5751" s="8" t="s">
        <v>11463</v>
      </c>
      <c r="D5751" s="8"/>
      <c r="E5751" s="6"/>
      <c r="F5751" s="6"/>
    </row>
    <row r="5752" spans="1:6" x14ac:dyDescent="0.3">
      <c r="A5752" s="8" t="s">
        <v>11464</v>
      </c>
      <c r="B5752" s="8" t="s">
        <v>59355</v>
      </c>
      <c r="C5752" s="8" t="s">
        <v>11465</v>
      </c>
      <c r="D5752" s="8"/>
      <c r="E5752" s="6"/>
      <c r="F5752" s="6"/>
    </row>
    <row r="5753" spans="1:6" x14ac:dyDescent="0.3">
      <c r="A5753" s="8" t="s">
        <v>11466</v>
      </c>
      <c r="B5753" s="8" t="s">
        <v>59356</v>
      </c>
      <c r="C5753" s="8" t="s">
        <v>11467</v>
      </c>
      <c r="D5753" s="8"/>
      <c r="E5753" s="6"/>
      <c r="F5753" s="6"/>
    </row>
    <row r="5754" spans="1:6" x14ac:dyDescent="0.3">
      <c r="A5754" s="8" t="s">
        <v>11468</v>
      </c>
      <c r="B5754" s="8" t="s">
        <v>59357</v>
      </c>
      <c r="C5754" s="8" t="s">
        <v>11469</v>
      </c>
      <c r="D5754" s="8"/>
      <c r="E5754" s="6"/>
      <c r="F5754" s="6"/>
    </row>
    <row r="5755" spans="1:6" x14ac:dyDescent="0.3">
      <c r="A5755" s="8" t="s">
        <v>11470</v>
      </c>
      <c r="B5755" s="8" t="s">
        <v>59358</v>
      </c>
      <c r="C5755" s="8" t="s">
        <v>11471</v>
      </c>
      <c r="D5755" s="8"/>
      <c r="E5755" s="6"/>
      <c r="F5755" s="6"/>
    </row>
    <row r="5756" spans="1:6" x14ac:dyDescent="0.3">
      <c r="A5756" s="8" t="s">
        <v>11472</v>
      </c>
      <c r="B5756" s="8" t="s">
        <v>59359</v>
      </c>
      <c r="C5756" s="8" t="s">
        <v>11473</v>
      </c>
      <c r="D5756" s="8"/>
      <c r="E5756" s="6"/>
      <c r="F5756" s="6"/>
    </row>
    <row r="5757" spans="1:6" x14ac:dyDescent="0.3">
      <c r="A5757" s="8" t="s">
        <v>11474</v>
      </c>
      <c r="B5757" s="8" t="s">
        <v>59360</v>
      </c>
      <c r="C5757" s="8" t="s">
        <v>11475</v>
      </c>
      <c r="D5757" s="8"/>
      <c r="E5757" s="6"/>
      <c r="F5757" s="6"/>
    </row>
    <row r="5758" spans="1:6" x14ac:dyDescent="0.3">
      <c r="A5758" s="8" t="s">
        <v>11476</v>
      </c>
      <c r="B5758" s="8" t="s">
        <v>59361</v>
      </c>
      <c r="C5758" s="8" t="s">
        <v>11477</v>
      </c>
      <c r="D5758" s="8"/>
      <c r="E5758" s="6"/>
      <c r="F5758" s="6"/>
    </row>
    <row r="5759" spans="1:6" x14ac:dyDescent="0.3">
      <c r="A5759" s="8" t="s">
        <v>11478</v>
      </c>
      <c r="B5759" s="8" t="s">
        <v>59362</v>
      </c>
      <c r="C5759" s="8" t="s">
        <v>11479</v>
      </c>
      <c r="D5759" s="8"/>
      <c r="E5759" s="6"/>
      <c r="F5759" s="6"/>
    </row>
    <row r="5760" spans="1:6" x14ac:dyDescent="0.3">
      <c r="A5760" s="8" t="s">
        <v>11480</v>
      </c>
      <c r="B5760" s="8" t="s">
        <v>59363</v>
      </c>
      <c r="C5760" s="8" t="s">
        <v>11481</v>
      </c>
      <c r="D5760" s="8"/>
      <c r="E5760" s="6"/>
      <c r="F5760" s="6"/>
    </row>
    <row r="5761" spans="1:6" x14ac:dyDescent="0.3">
      <c r="A5761" s="8" t="s">
        <v>11482</v>
      </c>
      <c r="B5761" s="8" t="s">
        <v>59364</v>
      </c>
      <c r="C5761" s="8" t="s">
        <v>11483</v>
      </c>
      <c r="D5761" s="8"/>
      <c r="E5761" s="6"/>
      <c r="F5761" s="6"/>
    </row>
    <row r="5762" spans="1:6" x14ac:dyDescent="0.3">
      <c r="A5762" s="8" t="s">
        <v>11484</v>
      </c>
      <c r="B5762" s="8" t="s">
        <v>59365</v>
      </c>
      <c r="C5762" s="8" t="s">
        <v>11485</v>
      </c>
      <c r="D5762" s="8"/>
      <c r="E5762" s="6"/>
      <c r="F5762" s="6"/>
    </row>
    <row r="5763" spans="1:6" x14ac:dyDescent="0.3">
      <c r="A5763" s="8" t="s">
        <v>11486</v>
      </c>
      <c r="B5763" s="8" t="s">
        <v>59366</v>
      </c>
      <c r="C5763" s="8" t="s">
        <v>11487</v>
      </c>
      <c r="D5763" s="8"/>
      <c r="E5763" s="6"/>
      <c r="F5763" s="6"/>
    </row>
    <row r="5764" spans="1:6" x14ac:dyDescent="0.3">
      <c r="A5764" s="8" t="s">
        <v>11488</v>
      </c>
      <c r="B5764" s="8" t="s">
        <v>59367</v>
      </c>
      <c r="C5764" s="8" t="s">
        <v>11489</v>
      </c>
      <c r="D5764" s="8"/>
      <c r="E5764" s="6"/>
      <c r="F5764" s="6"/>
    </row>
    <row r="5765" spans="1:6" x14ac:dyDescent="0.3">
      <c r="A5765" s="8" t="s">
        <v>11490</v>
      </c>
      <c r="B5765" s="8" t="s">
        <v>59368</v>
      </c>
      <c r="C5765" s="8" t="s">
        <v>11491</v>
      </c>
      <c r="D5765" s="8"/>
      <c r="E5765" s="6"/>
      <c r="F5765" s="6"/>
    </row>
    <row r="5766" spans="1:6" x14ac:dyDescent="0.3">
      <c r="A5766" s="8" t="s">
        <v>11492</v>
      </c>
      <c r="B5766" s="8" t="s">
        <v>59369</v>
      </c>
      <c r="C5766" s="8" t="s">
        <v>11493</v>
      </c>
      <c r="D5766" s="8"/>
      <c r="E5766" s="6"/>
      <c r="F5766" s="6"/>
    </row>
    <row r="5767" spans="1:6" x14ac:dyDescent="0.3">
      <c r="A5767" s="8" t="s">
        <v>11494</v>
      </c>
      <c r="B5767" s="8" t="s">
        <v>59370</v>
      </c>
      <c r="C5767" s="8" t="s">
        <v>11495</v>
      </c>
      <c r="D5767" s="8"/>
      <c r="E5767" s="6"/>
      <c r="F5767" s="6"/>
    </row>
    <row r="5768" spans="1:6" x14ac:dyDescent="0.3">
      <c r="A5768" s="8" t="s">
        <v>11496</v>
      </c>
      <c r="B5768" s="8" t="s">
        <v>59371</v>
      </c>
      <c r="C5768" s="8" t="s">
        <v>11495</v>
      </c>
      <c r="D5768" s="8"/>
      <c r="E5768" s="6"/>
      <c r="F5768" s="6"/>
    </row>
    <row r="5769" spans="1:6" x14ac:dyDescent="0.3">
      <c r="A5769" s="8" t="s">
        <v>11497</v>
      </c>
      <c r="B5769" s="8" t="s">
        <v>59372</v>
      </c>
      <c r="C5769" s="8" t="s">
        <v>11498</v>
      </c>
      <c r="D5769" s="8"/>
      <c r="E5769" s="6"/>
      <c r="F5769" s="6"/>
    </row>
    <row r="5770" spans="1:6" x14ac:dyDescent="0.3">
      <c r="A5770" s="8" t="s">
        <v>11499</v>
      </c>
      <c r="B5770" s="8" t="s">
        <v>59373</v>
      </c>
      <c r="C5770" s="8" t="s">
        <v>11500</v>
      </c>
      <c r="D5770" s="8"/>
      <c r="E5770" s="6"/>
      <c r="F5770" s="6"/>
    </row>
    <row r="5771" spans="1:6" x14ac:dyDescent="0.3">
      <c r="A5771" s="8" t="s">
        <v>11501</v>
      </c>
      <c r="B5771" s="8" t="s">
        <v>59374</v>
      </c>
      <c r="C5771" s="8" t="s">
        <v>11502</v>
      </c>
      <c r="D5771" s="8"/>
      <c r="E5771" s="6"/>
      <c r="F5771" s="6"/>
    </row>
    <row r="5772" spans="1:6" x14ac:dyDescent="0.3">
      <c r="A5772" s="8" t="s">
        <v>11503</v>
      </c>
      <c r="B5772" s="8" t="s">
        <v>59375</v>
      </c>
      <c r="C5772" s="8" t="s">
        <v>11504</v>
      </c>
      <c r="D5772" s="8"/>
      <c r="E5772" s="6"/>
      <c r="F5772" s="6"/>
    </row>
    <row r="5773" spans="1:6" x14ac:dyDescent="0.3">
      <c r="A5773" s="8" t="s">
        <v>11505</v>
      </c>
      <c r="B5773" s="8" t="s">
        <v>59376</v>
      </c>
      <c r="C5773" s="8" t="s">
        <v>11506</v>
      </c>
      <c r="D5773" s="8"/>
      <c r="E5773" s="6"/>
      <c r="F5773" s="6"/>
    </row>
    <row r="5774" spans="1:6" x14ac:dyDescent="0.3">
      <c r="A5774" s="8" t="s">
        <v>11507</v>
      </c>
      <c r="B5774" s="8" t="s">
        <v>59377</v>
      </c>
      <c r="C5774" s="8" t="s">
        <v>11508</v>
      </c>
      <c r="D5774" s="8"/>
      <c r="E5774" s="6"/>
      <c r="F5774" s="6"/>
    </row>
    <row r="5775" spans="1:6" x14ac:dyDescent="0.3">
      <c r="A5775" s="8" t="s">
        <v>11509</v>
      </c>
      <c r="B5775" s="8" t="s">
        <v>59378</v>
      </c>
      <c r="C5775" s="8" t="s">
        <v>11510</v>
      </c>
      <c r="D5775" s="8"/>
      <c r="E5775" s="6"/>
      <c r="F5775" s="6"/>
    </row>
    <row r="5776" spans="1:6" x14ac:dyDescent="0.3">
      <c r="A5776" s="8" t="s">
        <v>11511</v>
      </c>
      <c r="B5776" s="8" t="s">
        <v>59379</v>
      </c>
      <c r="C5776" s="8" t="s">
        <v>11512</v>
      </c>
      <c r="D5776" s="8"/>
      <c r="E5776" s="6"/>
      <c r="F5776" s="6"/>
    </row>
    <row r="5777" spans="1:6" x14ac:dyDescent="0.3">
      <c r="A5777" s="8" t="s">
        <v>11513</v>
      </c>
      <c r="B5777" s="8" t="s">
        <v>59380</v>
      </c>
      <c r="C5777" s="8" t="s">
        <v>11514</v>
      </c>
      <c r="D5777" s="8"/>
      <c r="E5777" s="6"/>
      <c r="F5777" s="6"/>
    </row>
    <row r="5778" spans="1:6" x14ac:dyDescent="0.3">
      <c r="A5778" s="8" t="s">
        <v>11515</v>
      </c>
      <c r="B5778" s="8" t="s">
        <v>59381</v>
      </c>
      <c r="C5778" s="8" t="s">
        <v>11516</v>
      </c>
      <c r="D5778" s="8"/>
      <c r="E5778" s="6"/>
      <c r="F5778" s="6"/>
    </row>
    <row r="5779" spans="1:6" x14ac:dyDescent="0.3">
      <c r="A5779" s="8" t="s">
        <v>11517</v>
      </c>
      <c r="B5779" s="8" t="s">
        <v>59382</v>
      </c>
      <c r="C5779" s="8" t="s">
        <v>11518</v>
      </c>
      <c r="D5779" s="8"/>
      <c r="E5779" s="6"/>
      <c r="F5779" s="6"/>
    </row>
    <row r="5780" spans="1:6" x14ac:dyDescent="0.3">
      <c r="A5780" s="8" t="s">
        <v>11519</v>
      </c>
      <c r="B5780" s="8" t="s">
        <v>59383</v>
      </c>
      <c r="C5780" s="8" t="s">
        <v>11520</v>
      </c>
      <c r="D5780" s="8"/>
      <c r="E5780" s="6"/>
      <c r="F5780" s="6"/>
    </row>
    <row r="5781" spans="1:6" x14ac:dyDescent="0.3">
      <c r="A5781" s="8" t="s">
        <v>11521</v>
      </c>
      <c r="B5781" s="8" t="s">
        <v>59384</v>
      </c>
      <c r="C5781" s="8" t="s">
        <v>11522</v>
      </c>
      <c r="D5781" s="8"/>
      <c r="E5781" s="6"/>
      <c r="F5781" s="6"/>
    </row>
    <row r="5782" spans="1:6" x14ac:dyDescent="0.3">
      <c r="A5782" s="8" t="s">
        <v>11523</v>
      </c>
      <c r="B5782" s="8" t="s">
        <v>59385</v>
      </c>
      <c r="C5782" s="8" t="s">
        <v>11524</v>
      </c>
      <c r="D5782" s="8"/>
      <c r="E5782" s="6"/>
      <c r="F5782" s="6"/>
    </row>
    <row r="5783" spans="1:6" x14ac:dyDescent="0.3">
      <c r="A5783" s="8" t="s">
        <v>11525</v>
      </c>
      <c r="B5783" s="8" t="s">
        <v>59386</v>
      </c>
      <c r="C5783" s="8" t="s">
        <v>11526</v>
      </c>
      <c r="D5783" s="8"/>
      <c r="E5783" s="6"/>
      <c r="F5783" s="6"/>
    </row>
    <row r="5784" spans="1:6" x14ac:dyDescent="0.3">
      <c r="A5784" s="8" t="s">
        <v>11527</v>
      </c>
      <c r="B5784" s="8" t="s">
        <v>59387</v>
      </c>
      <c r="C5784" s="8" t="s">
        <v>11528</v>
      </c>
      <c r="D5784" s="8"/>
      <c r="E5784" s="6"/>
      <c r="F5784" s="6"/>
    </row>
    <row r="5785" spans="1:6" x14ac:dyDescent="0.3">
      <c r="A5785" s="8" t="s">
        <v>11529</v>
      </c>
      <c r="B5785" s="8" t="s">
        <v>59388</v>
      </c>
      <c r="C5785" s="8" t="s">
        <v>11530</v>
      </c>
      <c r="D5785" s="8"/>
      <c r="E5785" s="6"/>
      <c r="F5785" s="6"/>
    </row>
    <row r="5786" spans="1:6" x14ac:dyDescent="0.3">
      <c r="A5786" s="8" t="s">
        <v>11531</v>
      </c>
      <c r="B5786" s="8" t="s">
        <v>59389</v>
      </c>
      <c r="C5786" s="8" t="s">
        <v>11532</v>
      </c>
      <c r="D5786" s="8"/>
      <c r="E5786" s="6"/>
      <c r="F5786" s="6"/>
    </row>
    <row r="5787" spans="1:6" x14ac:dyDescent="0.3">
      <c r="A5787" s="8" t="s">
        <v>11533</v>
      </c>
      <c r="B5787" s="8" t="s">
        <v>59390</v>
      </c>
      <c r="C5787" s="8" t="s">
        <v>11534</v>
      </c>
      <c r="D5787" s="8"/>
      <c r="E5787" s="6"/>
      <c r="F5787" s="6"/>
    </row>
    <row r="5788" spans="1:6" x14ac:dyDescent="0.3">
      <c r="A5788" s="8" t="s">
        <v>11535</v>
      </c>
      <c r="B5788" s="8" t="s">
        <v>59391</v>
      </c>
      <c r="C5788" s="8" t="s">
        <v>11536</v>
      </c>
      <c r="D5788" s="8"/>
      <c r="E5788" s="6"/>
      <c r="F5788" s="6"/>
    </row>
    <row r="5789" spans="1:6" x14ac:dyDescent="0.3">
      <c r="A5789" s="8" t="s">
        <v>11537</v>
      </c>
      <c r="B5789" s="8" t="s">
        <v>59392</v>
      </c>
      <c r="C5789" s="8" t="s">
        <v>11538</v>
      </c>
      <c r="D5789" s="8"/>
      <c r="E5789" s="6"/>
      <c r="F5789" s="6"/>
    </row>
    <row r="5790" spans="1:6" x14ac:dyDescent="0.3">
      <c r="A5790" s="8" t="s">
        <v>11539</v>
      </c>
      <c r="B5790" s="8" t="s">
        <v>59393</v>
      </c>
      <c r="C5790" s="8" t="s">
        <v>11540</v>
      </c>
      <c r="D5790" s="8"/>
      <c r="E5790" s="6"/>
      <c r="F5790" s="6"/>
    </row>
    <row r="5791" spans="1:6" x14ac:dyDescent="0.3">
      <c r="A5791" s="8" t="s">
        <v>11541</v>
      </c>
      <c r="B5791" s="8" t="s">
        <v>59394</v>
      </c>
      <c r="C5791" s="8" t="s">
        <v>11542</v>
      </c>
      <c r="D5791" s="8"/>
      <c r="E5791" s="6"/>
      <c r="F5791" s="6"/>
    </row>
    <row r="5792" spans="1:6" x14ac:dyDescent="0.3">
      <c r="A5792" s="8" t="s">
        <v>11543</v>
      </c>
      <c r="B5792" s="8" t="s">
        <v>59395</v>
      </c>
      <c r="C5792" s="8" t="s">
        <v>11544</v>
      </c>
      <c r="D5792" s="8"/>
      <c r="E5792" s="6"/>
      <c r="F5792" s="6"/>
    </row>
    <row r="5793" spans="1:6" x14ac:dyDescent="0.3">
      <c r="A5793" s="8" t="s">
        <v>11545</v>
      </c>
      <c r="B5793" s="8" t="s">
        <v>59396</v>
      </c>
      <c r="C5793" s="8" t="s">
        <v>11546</v>
      </c>
      <c r="D5793" s="8"/>
      <c r="E5793" s="6"/>
      <c r="F5793" s="6"/>
    </row>
    <row r="5794" spans="1:6" x14ac:dyDescent="0.3">
      <c r="A5794" s="8" t="s">
        <v>11547</v>
      </c>
      <c r="B5794" s="8" t="s">
        <v>59397</v>
      </c>
      <c r="C5794" s="8" t="s">
        <v>11548</v>
      </c>
      <c r="D5794" s="8"/>
      <c r="E5794" s="6"/>
      <c r="F5794" s="6"/>
    </row>
    <row r="5795" spans="1:6" x14ac:dyDescent="0.3">
      <c r="A5795" s="8" t="s">
        <v>11549</v>
      </c>
      <c r="B5795" s="8" t="s">
        <v>59398</v>
      </c>
      <c r="C5795" s="8" t="s">
        <v>11550</v>
      </c>
      <c r="D5795" s="8"/>
      <c r="E5795" s="6"/>
      <c r="F5795" s="6"/>
    </row>
    <row r="5796" spans="1:6" x14ac:dyDescent="0.3">
      <c r="A5796" s="8" t="s">
        <v>11551</v>
      </c>
      <c r="B5796" s="8" t="s">
        <v>59399</v>
      </c>
      <c r="C5796" s="8" t="s">
        <v>11552</v>
      </c>
      <c r="D5796" s="8"/>
      <c r="E5796" s="6"/>
      <c r="F5796" s="6"/>
    </row>
    <row r="5797" spans="1:6" x14ac:dyDescent="0.3">
      <c r="A5797" s="8" t="s">
        <v>11553</v>
      </c>
      <c r="B5797" s="8" t="s">
        <v>59400</v>
      </c>
      <c r="C5797" s="8" t="s">
        <v>11554</v>
      </c>
      <c r="D5797" s="8"/>
      <c r="E5797" s="6"/>
      <c r="F5797" s="6"/>
    </row>
    <row r="5798" spans="1:6" x14ac:dyDescent="0.3">
      <c r="A5798" s="8" t="s">
        <v>11555</v>
      </c>
      <c r="B5798" s="8" t="s">
        <v>59401</v>
      </c>
      <c r="C5798" s="8" t="s">
        <v>11556</v>
      </c>
      <c r="D5798" s="8"/>
      <c r="E5798" s="6"/>
      <c r="F5798" s="6"/>
    </row>
    <row r="5799" spans="1:6" x14ac:dyDescent="0.3">
      <c r="A5799" s="8" t="s">
        <v>11557</v>
      </c>
      <c r="B5799" s="8" t="s">
        <v>59402</v>
      </c>
      <c r="C5799" s="8" t="s">
        <v>11558</v>
      </c>
      <c r="D5799" s="8"/>
      <c r="E5799" s="6"/>
      <c r="F5799" s="6"/>
    </row>
    <row r="5800" spans="1:6" x14ac:dyDescent="0.3">
      <c r="A5800" s="8" t="s">
        <v>11559</v>
      </c>
      <c r="B5800" s="8" t="s">
        <v>59403</v>
      </c>
      <c r="C5800" s="8" t="s">
        <v>11560</v>
      </c>
      <c r="D5800" s="8"/>
      <c r="E5800" s="6"/>
      <c r="F5800" s="6"/>
    </row>
    <row r="5801" spans="1:6" x14ac:dyDescent="0.3">
      <c r="A5801" s="8" t="s">
        <v>11561</v>
      </c>
      <c r="B5801" s="8" t="s">
        <v>59404</v>
      </c>
      <c r="C5801" s="8" t="s">
        <v>11562</v>
      </c>
      <c r="D5801" s="8"/>
      <c r="E5801" s="6"/>
      <c r="F5801" s="6"/>
    </row>
    <row r="5802" spans="1:6" x14ac:dyDescent="0.3">
      <c r="A5802" s="8" t="s">
        <v>11563</v>
      </c>
      <c r="B5802" s="8" t="s">
        <v>59405</v>
      </c>
      <c r="C5802" s="8" t="s">
        <v>11564</v>
      </c>
      <c r="D5802" s="8"/>
      <c r="E5802" s="6"/>
      <c r="F5802" s="6"/>
    </row>
    <row r="5803" spans="1:6" x14ac:dyDescent="0.3">
      <c r="A5803" s="8" t="s">
        <v>11565</v>
      </c>
      <c r="B5803" s="8" t="s">
        <v>59406</v>
      </c>
      <c r="C5803" s="8" t="s">
        <v>11566</v>
      </c>
      <c r="D5803" s="8"/>
      <c r="E5803" s="6"/>
      <c r="F5803" s="6"/>
    </row>
    <row r="5804" spans="1:6" x14ac:dyDescent="0.3">
      <c r="A5804" s="8" t="s">
        <v>11567</v>
      </c>
      <c r="B5804" s="8" t="s">
        <v>59407</v>
      </c>
      <c r="C5804" s="8" t="s">
        <v>11568</v>
      </c>
      <c r="D5804" s="8"/>
      <c r="E5804" s="6"/>
      <c r="F5804" s="6"/>
    </row>
    <row r="5805" spans="1:6" x14ac:dyDescent="0.3">
      <c r="A5805" s="8" t="s">
        <v>11569</v>
      </c>
      <c r="B5805" s="8" t="s">
        <v>59408</v>
      </c>
      <c r="C5805" s="8" t="s">
        <v>11570</v>
      </c>
      <c r="D5805" s="8"/>
      <c r="E5805" s="6"/>
      <c r="F5805" s="6"/>
    </row>
    <row r="5806" spans="1:6" x14ac:dyDescent="0.3">
      <c r="A5806" s="8" t="s">
        <v>11571</v>
      </c>
      <c r="B5806" s="8" t="s">
        <v>59409</v>
      </c>
      <c r="C5806" s="8" t="s">
        <v>11572</v>
      </c>
      <c r="D5806" s="8"/>
      <c r="E5806" s="6"/>
      <c r="F5806" s="6"/>
    </row>
    <row r="5807" spans="1:6" x14ac:dyDescent="0.3">
      <c r="A5807" s="8" t="s">
        <v>11573</v>
      </c>
      <c r="B5807" s="8" t="s">
        <v>59410</v>
      </c>
      <c r="C5807" s="8" t="s">
        <v>11574</v>
      </c>
      <c r="D5807" s="8"/>
      <c r="E5807" s="6"/>
      <c r="F5807" s="6"/>
    </row>
    <row r="5808" spans="1:6" x14ac:dyDescent="0.3">
      <c r="A5808" s="8" t="s">
        <v>11575</v>
      </c>
      <c r="B5808" s="8" t="s">
        <v>59411</v>
      </c>
      <c r="C5808" s="8" t="s">
        <v>11576</v>
      </c>
      <c r="D5808" s="8"/>
      <c r="E5808" s="6"/>
      <c r="F5808" s="6"/>
    </row>
    <row r="5809" spans="1:6" x14ac:dyDescent="0.3">
      <c r="A5809" s="8" t="s">
        <v>11577</v>
      </c>
      <c r="B5809" s="8" t="s">
        <v>59412</v>
      </c>
      <c r="C5809" s="8" t="s">
        <v>11578</v>
      </c>
      <c r="D5809" s="8"/>
      <c r="E5809" s="6"/>
      <c r="F5809" s="6"/>
    </row>
    <row r="5810" spans="1:6" x14ac:dyDescent="0.3">
      <c r="A5810" s="8" t="s">
        <v>11579</v>
      </c>
      <c r="B5810" s="8" t="s">
        <v>59413</v>
      </c>
      <c r="C5810" s="8" t="s">
        <v>11580</v>
      </c>
      <c r="D5810" s="8"/>
      <c r="E5810" s="6"/>
      <c r="F5810" s="6"/>
    </row>
    <row r="5811" spans="1:6" x14ac:dyDescent="0.3">
      <c r="A5811" s="8" t="s">
        <v>11581</v>
      </c>
      <c r="B5811" s="8" t="s">
        <v>59414</v>
      </c>
      <c r="C5811" s="8" t="s">
        <v>11582</v>
      </c>
      <c r="D5811" s="8"/>
      <c r="E5811" s="6"/>
      <c r="F5811" s="6"/>
    </row>
    <row r="5812" spans="1:6" x14ac:dyDescent="0.3">
      <c r="A5812" s="8" t="s">
        <v>11583</v>
      </c>
      <c r="B5812" s="8" t="s">
        <v>59415</v>
      </c>
      <c r="C5812" s="8" t="s">
        <v>11584</v>
      </c>
      <c r="D5812" s="8"/>
      <c r="E5812" s="6"/>
      <c r="F5812" s="6"/>
    </row>
    <row r="5813" spans="1:6" x14ac:dyDescent="0.3">
      <c r="A5813" s="8" t="s">
        <v>11585</v>
      </c>
      <c r="B5813" s="8" t="s">
        <v>59416</v>
      </c>
      <c r="C5813" s="8" t="s">
        <v>11586</v>
      </c>
      <c r="D5813" s="8"/>
      <c r="E5813" s="6"/>
      <c r="F5813" s="6"/>
    </row>
    <row r="5814" spans="1:6" x14ac:dyDescent="0.3">
      <c r="A5814" s="8" t="s">
        <v>11587</v>
      </c>
      <c r="B5814" s="8" t="s">
        <v>59417</v>
      </c>
      <c r="C5814" s="8" t="s">
        <v>11588</v>
      </c>
      <c r="D5814" s="8"/>
      <c r="E5814" s="6"/>
      <c r="F5814" s="6"/>
    </row>
    <row r="5815" spans="1:6" x14ac:dyDescent="0.3">
      <c r="A5815" s="8" t="s">
        <v>11589</v>
      </c>
      <c r="B5815" s="8" t="s">
        <v>59418</v>
      </c>
      <c r="C5815" s="8" t="s">
        <v>11590</v>
      </c>
      <c r="D5815" s="8"/>
      <c r="E5815" s="6"/>
      <c r="F5815" s="6"/>
    </row>
    <row r="5816" spans="1:6" x14ac:dyDescent="0.3">
      <c r="A5816" s="8" t="s">
        <v>11591</v>
      </c>
      <c r="B5816" s="8" t="s">
        <v>59419</v>
      </c>
      <c r="C5816" s="8" t="s">
        <v>11592</v>
      </c>
      <c r="D5816" s="8"/>
      <c r="E5816" s="6"/>
      <c r="F5816" s="6"/>
    </row>
    <row r="5817" spans="1:6" x14ac:dyDescent="0.3">
      <c r="A5817" s="8" t="s">
        <v>11593</v>
      </c>
      <c r="B5817" s="8" t="s">
        <v>59420</v>
      </c>
      <c r="C5817" s="8" t="s">
        <v>11594</v>
      </c>
      <c r="D5817" s="8"/>
      <c r="E5817" s="6"/>
      <c r="F5817" s="6"/>
    </row>
    <row r="5818" spans="1:6" x14ac:dyDescent="0.3">
      <c r="A5818" s="8" t="s">
        <v>11595</v>
      </c>
      <c r="B5818" s="8" t="s">
        <v>59421</v>
      </c>
      <c r="C5818" s="8" t="s">
        <v>11596</v>
      </c>
      <c r="D5818" s="8"/>
      <c r="E5818" s="6"/>
      <c r="F5818" s="6"/>
    </row>
    <row r="5819" spans="1:6" x14ac:dyDescent="0.3">
      <c r="A5819" s="8" t="s">
        <v>11597</v>
      </c>
      <c r="B5819" s="8" t="s">
        <v>59422</v>
      </c>
      <c r="C5819" s="8" t="s">
        <v>11598</v>
      </c>
      <c r="D5819" s="8"/>
      <c r="E5819" s="6"/>
      <c r="F5819" s="6"/>
    </row>
    <row r="5820" spans="1:6" x14ac:dyDescent="0.3">
      <c r="A5820" s="8" t="s">
        <v>11599</v>
      </c>
      <c r="B5820" s="8" t="s">
        <v>59423</v>
      </c>
      <c r="C5820" s="8" t="s">
        <v>11600</v>
      </c>
      <c r="D5820" s="8"/>
      <c r="E5820" s="6"/>
      <c r="F5820" s="6"/>
    </row>
    <row r="5821" spans="1:6" x14ac:dyDescent="0.3">
      <c r="A5821" s="8" t="s">
        <v>11601</v>
      </c>
      <c r="B5821" s="8" t="s">
        <v>59424</v>
      </c>
      <c r="C5821" s="8" t="s">
        <v>11602</v>
      </c>
      <c r="D5821" s="8"/>
      <c r="E5821" s="6"/>
      <c r="F5821" s="6"/>
    </row>
    <row r="5822" spans="1:6" x14ac:dyDescent="0.3">
      <c r="A5822" s="8" t="s">
        <v>11603</v>
      </c>
      <c r="B5822" s="8" t="s">
        <v>59425</v>
      </c>
      <c r="C5822" s="8" t="s">
        <v>11604</v>
      </c>
      <c r="D5822" s="8"/>
      <c r="E5822" s="6"/>
      <c r="F5822" s="6"/>
    </row>
    <row r="5823" spans="1:6" x14ac:dyDescent="0.3">
      <c r="A5823" s="8" t="s">
        <v>11605</v>
      </c>
      <c r="B5823" s="8" t="s">
        <v>59426</v>
      </c>
      <c r="C5823" s="8" t="s">
        <v>11606</v>
      </c>
      <c r="D5823" s="8"/>
      <c r="E5823" s="6"/>
      <c r="F5823" s="6"/>
    </row>
    <row r="5824" spans="1:6" x14ac:dyDescent="0.3">
      <c r="A5824" s="8" t="s">
        <v>11607</v>
      </c>
      <c r="B5824" s="8" t="s">
        <v>59427</v>
      </c>
      <c r="C5824" s="8" t="s">
        <v>11608</v>
      </c>
      <c r="D5824" s="8"/>
      <c r="E5824" s="6"/>
      <c r="F5824" s="6"/>
    </row>
    <row r="5825" spans="1:6" x14ac:dyDescent="0.3">
      <c r="A5825" s="8" t="s">
        <v>11609</v>
      </c>
      <c r="B5825" s="8" t="s">
        <v>59428</v>
      </c>
      <c r="C5825" s="8" t="s">
        <v>11610</v>
      </c>
      <c r="D5825" s="8"/>
      <c r="E5825" s="6"/>
      <c r="F5825" s="6"/>
    </row>
    <row r="5826" spans="1:6" x14ac:dyDescent="0.3">
      <c r="A5826" s="8" t="s">
        <v>11611</v>
      </c>
      <c r="B5826" s="8" t="s">
        <v>59429</v>
      </c>
      <c r="C5826" s="8" t="s">
        <v>11612</v>
      </c>
      <c r="D5826" s="8"/>
      <c r="E5826" s="6"/>
      <c r="F5826" s="6"/>
    </row>
    <row r="5827" spans="1:6" x14ac:dyDescent="0.3">
      <c r="A5827" s="8" t="s">
        <v>11613</v>
      </c>
      <c r="B5827" s="8" t="s">
        <v>59430</v>
      </c>
      <c r="C5827" s="8" t="s">
        <v>11614</v>
      </c>
      <c r="D5827" s="8"/>
      <c r="E5827" s="6"/>
      <c r="F5827" s="6"/>
    </row>
    <row r="5828" spans="1:6" x14ac:dyDescent="0.3">
      <c r="A5828" s="8" t="s">
        <v>11615</v>
      </c>
      <c r="B5828" s="8" t="s">
        <v>59431</v>
      </c>
      <c r="C5828" s="8" t="s">
        <v>11616</v>
      </c>
      <c r="D5828" s="8"/>
      <c r="E5828" s="6"/>
      <c r="F5828" s="6"/>
    </row>
    <row r="5829" spans="1:6" x14ac:dyDescent="0.3">
      <c r="A5829" s="8" t="s">
        <v>11617</v>
      </c>
      <c r="B5829" s="8" t="s">
        <v>59432</v>
      </c>
      <c r="C5829" s="8" t="s">
        <v>11618</v>
      </c>
      <c r="D5829" s="8"/>
      <c r="E5829" s="6"/>
      <c r="F5829" s="6"/>
    </row>
    <row r="5830" spans="1:6" x14ac:dyDescent="0.3">
      <c r="A5830" s="8" t="s">
        <v>11619</v>
      </c>
      <c r="B5830" s="8" t="s">
        <v>59433</v>
      </c>
      <c r="C5830" s="8" t="s">
        <v>11620</v>
      </c>
      <c r="D5830" s="8"/>
      <c r="E5830" s="6"/>
      <c r="F5830" s="6"/>
    </row>
    <row r="5831" spans="1:6" x14ac:dyDescent="0.3">
      <c r="A5831" s="8" t="s">
        <v>11621</v>
      </c>
      <c r="B5831" s="8" t="s">
        <v>59434</v>
      </c>
      <c r="C5831" s="8" t="s">
        <v>11622</v>
      </c>
      <c r="D5831" s="8"/>
      <c r="E5831" s="6"/>
      <c r="F5831" s="6"/>
    </row>
    <row r="5832" spans="1:6" x14ac:dyDescent="0.3">
      <c r="A5832" s="8" t="s">
        <v>11623</v>
      </c>
      <c r="B5832" s="8" t="s">
        <v>59435</v>
      </c>
      <c r="C5832" s="8" t="s">
        <v>11624</v>
      </c>
      <c r="D5832" s="8"/>
      <c r="E5832" s="6"/>
      <c r="F5832" s="6"/>
    </row>
    <row r="5833" spans="1:6" x14ac:dyDescent="0.3">
      <c r="A5833" s="8" t="s">
        <v>11625</v>
      </c>
      <c r="B5833" s="8" t="s">
        <v>59436</v>
      </c>
      <c r="C5833" s="8" t="s">
        <v>11626</v>
      </c>
      <c r="D5833" s="8"/>
      <c r="E5833" s="6"/>
      <c r="F5833" s="6"/>
    </row>
    <row r="5834" spans="1:6" x14ac:dyDescent="0.3">
      <c r="A5834" s="8" t="s">
        <v>11627</v>
      </c>
      <c r="B5834" s="8" t="s">
        <v>59437</v>
      </c>
      <c r="C5834" s="8" t="s">
        <v>11628</v>
      </c>
      <c r="D5834" s="8"/>
      <c r="E5834" s="6"/>
      <c r="F5834" s="6"/>
    </row>
    <row r="5835" spans="1:6" x14ac:dyDescent="0.3">
      <c r="A5835" s="8" t="s">
        <v>11629</v>
      </c>
      <c r="B5835" s="8" t="s">
        <v>59438</v>
      </c>
      <c r="C5835" s="8" t="s">
        <v>11630</v>
      </c>
      <c r="D5835" s="8"/>
      <c r="E5835" s="6"/>
      <c r="F5835" s="6"/>
    </row>
    <row r="5836" spans="1:6" x14ac:dyDescent="0.3">
      <c r="A5836" s="8" t="s">
        <v>11631</v>
      </c>
      <c r="B5836" s="8" t="s">
        <v>59439</v>
      </c>
      <c r="C5836" s="8" t="s">
        <v>11632</v>
      </c>
      <c r="D5836" s="8"/>
      <c r="E5836" s="6"/>
      <c r="F5836" s="6"/>
    </row>
    <row r="5837" spans="1:6" x14ac:dyDescent="0.3">
      <c r="A5837" s="8" t="s">
        <v>11633</v>
      </c>
      <c r="B5837" s="8" t="s">
        <v>59440</v>
      </c>
      <c r="C5837" s="8" t="s">
        <v>11634</v>
      </c>
      <c r="D5837" s="8"/>
      <c r="E5837" s="6"/>
      <c r="F5837" s="6"/>
    </row>
    <row r="5838" spans="1:6" x14ac:dyDescent="0.3">
      <c r="A5838" s="8" t="s">
        <v>11635</v>
      </c>
      <c r="B5838" s="8" t="s">
        <v>59441</v>
      </c>
      <c r="C5838" s="8" t="s">
        <v>11636</v>
      </c>
      <c r="D5838" s="8"/>
      <c r="E5838" s="6"/>
      <c r="F5838" s="6"/>
    </row>
    <row r="5839" spans="1:6" x14ac:dyDescent="0.3">
      <c r="A5839" s="8" t="s">
        <v>11637</v>
      </c>
      <c r="B5839" s="8" t="s">
        <v>59442</v>
      </c>
      <c r="C5839" s="8" t="s">
        <v>11638</v>
      </c>
      <c r="D5839" s="8"/>
      <c r="E5839" s="6"/>
      <c r="F5839" s="6"/>
    </row>
    <row r="5840" spans="1:6" x14ac:dyDescent="0.3">
      <c r="A5840" s="8" t="s">
        <v>11639</v>
      </c>
      <c r="B5840" s="8" t="s">
        <v>59443</v>
      </c>
      <c r="C5840" s="8" t="s">
        <v>11640</v>
      </c>
      <c r="D5840" s="8"/>
      <c r="E5840" s="6"/>
      <c r="F5840" s="6"/>
    </row>
    <row r="5841" spans="1:6" x14ac:dyDescent="0.3">
      <c r="A5841" s="8" t="s">
        <v>11641</v>
      </c>
      <c r="B5841" s="8" t="s">
        <v>59444</v>
      </c>
      <c r="C5841" s="8" t="s">
        <v>11642</v>
      </c>
      <c r="D5841" s="8"/>
      <c r="E5841" s="6"/>
      <c r="F5841" s="6"/>
    </row>
    <row r="5842" spans="1:6" x14ac:dyDescent="0.3">
      <c r="A5842" s="8" t="s">
        <v>11643</v>
      </c>
      <c r="B5842" s="8" t="s">
        <v>59445</v>
      </c>
      <c r="C5842" s="8" t="s">
        <v>11644</v>
      </c>
      <c r="D5842" s="8"/>
      <c r="E5842" s="6"/>
      <c r="F5842" s="6"/>
    </row>
    <row r="5843" spans="1:6" x14ac:dyDescent="0.3">
      <c r="A5843" s="8" t="s">
        <v>11645</v>
      </c>
      <c r="B5843" s="8" t="s">
        <v>59446</v>
      </c>
      <c r="C5843" s="8" t="s">
        <v>11646</v>
      </c>
      <c r="D5843" s="8"/>
      <c r="E5843" s="6"/>
      <c r="F5843" s="6"/>
    </row>
    <row r="5844" spans="1:6" x14ac:dyDescent="0.3">
      <c r="A5844" s="8" t="s">
        <v>11647</v>
      </c>
      <c r="B5844" s="8" t="s">
        <v>59447</v>
      </c>
      <c r="C5844" s="8" t="s">
        <v>11648</v>
      </c>
      <c r="D5844" s="8"/>
      <c r="E5844" s="6"/>
      <c r="F5844" s="6"/>
    </row>
    <row r="5845" spans="1:6" x14ac:dyDescent="0.3">
      <c r="A5845" s="8" t="s">
        <v>11649</v>
      </c>
      <c r="B5845" s="8" t="s">
        <v>59448</v>
      </c>
      <c r="C5845" s="8" t="s">
        <v>11650</v>
      </c>
      <c r="D5845" s="8"/>
      <c r="E5845" s="6"/>
      <c r="F5845" s="6"/>
    </row>
    <row r="5846" spans="1:6" x14ac:dyDescent="0.3">
      <c r="A5846" s="8" t="s">
        <v>11651</v>
      </c>
      <c r="B5846" s="8" t="s">
        <v>59449</v>
      </c>
      <c r="C5846" s="8" t="s">
        <v>11652</v>
      </c>
      <c r="D5846" s="8"/>
      <c r="E5846" s="6"/>
      <c r="F5846" s="6"/>
    </row>
    <row r="5847" spans="1:6" x14ac:dyDescent="0.3">
      <c r="A5847" s="8" t="s">
        <v>11653</v>
      </c>
      <c r="B5847" s="8" t="s">
        <v>59450</v>
      </c>
      <c r="C5847" s="8" t="s">
        <v>11654</v>
      </c>
      <c r="D5847" s="8"/>
      <c r="E5847" s="6"/>
      <c r="F5847" s="6"/>
    </row>
    <row r="5848" spans="1:6" x14ac:dyDescent="0.3">
      <c r="A5848" s="8" t="s">
        <v>11655</v>
      </c>
      <c r="B5848" s="8" t="s">
        <v>59451</v>
      </c>
      <c r="C5848" s="8" t="s">
        <v>11656</v>
      </c>
      <c r="D5848" s="8"/>
      <c r="E5848" s="6"/>
      <c r="F5848" s="6"/>
    </row>
    <row r="5849" spans="1:6" x14ac:dyDescent="0.3">
      <c r="A5849" s="8" t="s">
        <v>11657</v>
      </c>
      <c r="B5849" s="8" t="s">
        <v>59452</v>
      </c>
      <c r="C5849" s="8" t="s">
        <v>11658</v>
      </c>
      <c r="D5849" s="8"/>
      <c r="E5849" s="6"/>
      <c r="F5849" s="6"/>
    </row>
    <row r="5850" spans="1:6" x14ac:dyDescent="0.3">
      <c r="A5850" s="8" t="s">
        <v>11659</v>
      </c>
      <c r="B5850" s="8" t="s">
        <v>59453</v>
      </c>
      <c r="C5850" s="8" t="s">
        <v>11660</v>
      </c>
      <c r="D5850" s="8"/>
      <c r="E5850" s="6"/>
      <c r="F5850" s="6"/>
    </row>
    <row r="5851" spans="1:6" x14ac:dyDescent="0.3">
      <c r="A5851" s="8" t="s">
        <v>11661</v>
      </c>
      <c r="B5851" s="8" t="s">
        <v>59454</v>
      </c>
      <c r="C5851" s="8" t="s">
        <v>11662</v>
      </c>
      <c r="D5851" s="8"/>
      <c r="E5851" s="6"/>
      <c r="F5851" s="6"/>
    </row>
    <row r="5852" spans="1:6" x14ac:dyDescent="0.3">
      <c r="A5852" s="8" t="s">
        <v>11663</v>
      </c>
      <c r="B5852" s="8" t="s">
        <v>59455</v>
      </c>
      <c r="C5852" s="8" t="s">
        <v>11664</v>
      </c>
      <c r="D5852" s="8"/>
      <c r="E5852" s="6"/>
      <c r="F5852" s="6"/>
    </row>
    <row r="5853" spans="1:6" x14ac:dyDescent="0.3">
      <c r="A5853" s="8" t="s">
        <v>11665</v>
      </c>
      <c r="B5853" s="8" t="s">
        <v>59456</v>
      </c>
      <c r="C5853" s="8" t="s">
        <v>11666</v>
      </c>
      <c r="D5853" s="8"/>
      <c r="E5853" s="6"/>
      <c r="F5853" s="6"/>
    </row>
    <row r="5854" spans="1:6" x14ac:dyDescent="0.3">
      <c r="A5854" s="8" t="s">
        <v>11667</v>
      </c>
      <c r="B5854" s="8" t="s">
        <v>59457</v>
      </c>
      <c r="C5854" s="8" t="s">
        <v>11668</v>
      </c>
      <c r="D5854" s="8"/>
      <c r="E5854" s="6"/>
      <c r="F5854" s="6"/>
    </row>
    <row r="5855" spans="1:6" x14ac:dyDescent="0.3">
      <c r="A5855" s="8" t="s">
        <v>11669</v>
      </c>
      <c r="B5855" s="8" t="s">
        <v>59458</v>
      </c>
      <c r="C5855" s="8" t="s">
        <v>11670</v>
      </c>
      <c r="D5855" s="8"/>
      <c r="E5855" s="6"/>
      <c r="F5855" s="6"/>
    </row>
    <row r="5856" spans="1:6" x14ac:dyDescent="0.3">
      <c r="A5856" s="8" t="s">
        <v>11671</v>
      </c>
      <c r="B5856" s="8" t="s">
        <v>59459</v>
      </c>
      <c r="C5856" s="8" t="s">
        <v>11672</v>
      </c>
      <c r="D5856" s="8"/>
      <c r="E5856" s="6"/>
      <c r="F5856" s="6"/>
    </row>
    <row r="5857" spans="1:6" x14ac:dyDescent="0.3">
      <c r="A5857" s="8" t="s">
        <v>11673</v>
      </c>
      <c r="B5857" s="8" t="s">
        <v>59460</v>
      </c>
      <c r="C5857" s="8" t="s">
        <v>11674</v>
      </c>
      <c r="D5857" s="8"/>
      <c r="E5857" s="6"/>
      <c r="F5857" s="6"/>
    </row>
    <row r="5858" spans="1:6" x14ac:dyDescent="0.3">
      <c r="A5858" s="8" t="s">
        <v>11675</v>
      </c>
      <c r="B5858" s="8" t="s">
        <v>59461</v>
      </c>
      <c r="C5858" s="8" t="s">
        <v>11676</v>
      </c>
      <c r="D5858" s="8"/>
      <c r="E5858" s="6"/>
      <c r="F5858" s="6"/>
    </row>
    <row r="5859" spans="1:6" x14ac:dyDescent="0.3">
      <c r="A5859" s="8" t="s">
        <v>11677</v>
      </c>
      <c r="B5859" s="8" t="s">
        <v>59462</v>
      </c>
      <c r="C5859" s="8" t="s">
        <v>11678</v>
      </c>
      <c r="D5859" s="8"/>
      <c r="E5859" s="6"/>
      <c r="F5859" s="6"/>
    </row>
    <row r="5860" spans="1:6" x14ac:dyDescent="0.3">
      <c r="A5860" s="8" t="s">
        <v>11679</v>
      </c>
      <c r="B5860" s="8" t="s">
        <v>59463</v>
      </c>
      <c r="C5860" s="8" t="s">
        <v>11680</v>
      </c>
      <c r="D5860" s="8"/>
      <c r="E5860" s="6"/>
      <c r="F5860" s="6"/>
    </row>
    <row r="5861" spans="1:6" x14ac:dyDescent="0.3">
      <c r="A5861" s="8" t="s">
        <v>11681</v>
      </c>
      <c r="B5861" s="8" t="s">
        <v>59464</v>
      </c>
      <c r="C5861" s="8" t="s">
        <v>11682</v>
      </c>
      <c r="D5861" s="8"/>
      <c r="E5861" s="6"/>
      <c r="F5861" s="6"/>
    </row>
    <row r="5862" spans="1:6" x14ac:dyDescent="0.3">
      <c r="A5862" s="8" t="s">
        <v>11683</v>
      </c>
      <c r="B5862" s="8" t="s">
        <v>59465</v>
      </c>
      <c r="C5862" s="8" t="s">
        <v>11684</v>
      </c>
      <c r="D5862" s="8"/>
      <c r="E5862" s="6"/>
      <c r="F5862" s="6"/>
    </row>
    <row r="5863" spans="1:6" x14ac:dyDescent="0.3">
      <c r="A5863" s="8" t="s">
        <v>11685</v>
      </c>
      <c r="B5863" s="8" t="s">
        <v>59466</v>
      </c>
      <c r="C5863" s="8" t="s">
        <v>11686</v>
      </c>
      <c r="D5863" s="8"/>
      <c r="E5863" s="6"/>
      <c r="F5863" s="6"/>
    </row>
    <row r="5864" spans="1:6" x14ac:dyDescent="0.3">
      <c r="A5864" s="8" t="s">
        <v>11687</v>
      </c>
      <c r="B5864" s="8" t="s">
        <v>59467</v>
      </c>
      <c r="C5864" s="8" t="s">
        <v>11688</v>
      </c>
      <c r="D5864" s="8"/>
      <c r="E5864" s="6"/>
      <c r="F5864" s="6"/>
    </row>
    <row r="5865" spans="1:6" x14ac:dyDescent="0.3">
      <c r="A5865" s="8" t="s">
        <v>11689</v>
      </c>
      <c r="B5865" s="8" t="s">
        <v>59468</v>
      </c>
      <c r="C5865" s="8" t="s">
        <v>11690</v>
      </c>
      <c r="D5865" s="8"/>
      <c r="E5865" s="6"/>
      <c r="F5865" s="6"/>
    </row>
    <row r="5866" spans="1:6" x14ac:dyDescent="0.3">
      <c r="A5866" s="8" t="s">
        <v>11691</v>
      </c>
      <c r="B5866" s="8" t="s">
        <v>59469</v>
      </c>
      <c r="C5866" s="8" t="s">
        <v>11692</v>
      </c>
      <c r="D5866" s="8"/>
      <c r="E5866" s="6"/>
      <c r="F5866" s="6"/>
    </row>
    <row r="5867" spans="1:6" x14ac:dyDescent="0.3">
      <c r="A5867" s="8" t="s">
        <v>11693</v>
      </c>
      <c r="B5867" s="8" t="s">
        <v>59470</v>
      </c>
      <c r="C5867" s="8" t="s">
        <v>11694</v>
      </c>
      <c r="D5867" s="8"/>
      <c r="E5867" s="6"/>
      <c r="F5867" s="6"/>
    </row>
    <row r="5868" spans="1:6" x14ac:dyDescent="0.3">
      <c r="A5868" s="8" t="s">
        <v>11695</v>
      </c>
      <c r="B5868" s="8" t="s">
        <v>59471</v>
      </c>
      <c r="C5868" s="8" t="s">
        <v>11696</v>
      </c>
      <c r="D5868" s="8"/>
      <c r="E5868" s="6"/>
      <c r="F5868" s="6"/>
    </row>
    <row r="5869" spans="1:6" x14ac:dyDescent="0.3">
      <c r="A5869" s="8" t="s">
        <v>11697</v>
      </c>
      <c r="B5869" s="8" t="s">
        <v>59472</v>
      </c>
      <c r="C5869" s="8" t="s">
        <v>11698</v>
      </c>
      <c r="D5869" s="8"/>
      <c r="E5869" s="6"/>
      <c r="F5869" s="6"/>
    </row>
    <row r="5870" spans="1:6" x14ac:dyDescent="0.3">
      <c r="A5870" s="8" t="s">
        <v>11699</v>
      </c>
      <c r="B5870" s="8" t="s">
        <v>59473</v>
      </c>
      <c r="C5870" s="8" t="s">
        <v>11700</v>
      </c>
      <c r="D5870" s="8"/>
      <c r="E5870" s="6"/>
      <c r="F5870" s="6"/>
    </row>
    <row r="5871" spans="1:6" x14ac:dyDescent="0.3">
      <c r="A5871" s="8" t="s">
        <v>11701</v>
      </c>
      <c r="B5871" s="8" t="s">
        <v>59474</v>
      </c>
      <c r="C5871" s="8" t="s">
        <v>11702</v>
      </c>
      <c r="D5871" s="8"/>
      <c r="E5871" s="6"/>
      <c r="F5871" s="6"/>
    </row>
    <row r="5872" spans="1:6" x14ac:dyDescent="0.3">
      <c r="A5872" s="8" t="s">
        <v>11703</v>
      </c>
      <c r="B5872" s="8" t="s">
        <v>59475</v>
      </c>
      <c r="C5872" s="8" t="s">
        <v>11704</v>
      </c>
      <c r="D5872" s="8"/>
      <c r="E5872" s="6"/>
      <c r="F5872" s="6"/>
    </row>
    <row r="5873" spans="1:6" x14ac:dyDescent="0.3">
      <c r="A5873" s="8" t="s">
        <v>11705</v>
      </c>
      <c r="B5873" s="8" t="s">
        <v>59476</v>
      </c>
      <c r="C5873" s="8" t="s">
        <v>11706</v>
      </c>
      <c r="D5873" s="8"/>
      <c r="E5873" s="6"/>
      <c r="F5873" s="6"/>
    </row>
    <row r="5874" spans="1:6" x14ac:dyDescent="0.3">
      <c r="A5874" s="8" t="s">
        <v>11707</v>
      </c>
      <c r="B5874" s="8" t="s">
        <v>59477</v>
      </c>
      <c r="C5874" s="8" t="s">
        <v>11708</v>
      </c>
      <c r="D5874" s="8"/>
      <c r="E5874" s="6"/>
      <c r="F5874" s="6"/>
    </row>
    <row r="5875" spans="1:6" x14ac:dyDescent="0.3">
      <c r="A5875" s="8" t="s">
        <v>11709</v>
      </c>
      <c r="B5875" s="8" t="s">
        <v>59478</v>
      </c>
      <c r="C5875" s="8" t="s">
        <v>11710</v>
      </c>
      <c r="D5875" s="8"/>
      <c r="E5875" s="6"/>
      <c r="F5875" s="6"/>
    </row>
    <row r="5876" spans="1:6" x14ac:dyDescent="0.3">
      <c r="A5876" s="8" t="s">
        <v>11711</v>
      </c>
      <c r="B5876" s="8" t="s">
        <v>59479</v>
      </c>
      <c r="C5876" s="8" t="s">
        <v>11712</v>
      </c>
      <c r="D5876" s="8"/>
      <c r="E5876" s="6"/>
      <c r="F5876" s="6"/>
    </row>
    <row r="5877" spans="1:6" x14ac:dyDescent="0.3">
      <c r="A5877" s="8" t="s">
        <v>11713</v>
      </c>
      <c r="B5877" s="8" t="s">
        <v>59480</v>
      </c>
      <c r="C5877" s="8" t="s">
        <v>11714</v>
      </c>
      <c r="D5877" s="8"/>
      <c r="E5877" s="6"/>
      <c r="F5877" s="6"/>
    </row>
    <row r="5878" spans="1:6" x14ac:dyDescent="0.3">
      <c r="A5878" s="8" t="s">
        <v>11715</v>
      </c>
      <c r="B5878" s="8" t="s">
        <v>59481</v>
      </c>
      <c r="C5878" s="8" t="s">
        <v>11716</v>
      </c>
      <c r="D5878" s="8"/>
      <c r="E5878" s="6"/>
      <c r="F5878" s="6"/>
    </row>
    <row r="5879" spans="1:6" x14ac:dyDescent="0.3">
      <c r="A5879" s="8" t="s">
        <v>11717</v>
      </c>
      <c r="B5879" s="8" t="s">
        <v>59482</v>
      </c>
      <c r="C5879" s="8" t="s">
        <v>11718</v>
      </c>
      <c r="D5879" s="8"/>
      <c r="E5879" s="6"/>
      <c r="F5879" s="6"/>
    </row>
    <row r="5880" spans="1:6" x14ac:dyDescent="0.3">
      <c r="A5880" s="8" t="s">
        <v>11719</v>
      </c>
      <c r="B5880" s="8" t="s">
        <v>59483</v>
      </c>
      <c r="C5880" s="8" t="s">
        <v>11720</v>
      </c>
      <c r="D5880" s="8"/>
      <c r="E5880" s="6"/>
      <c r="F5880" s="6"/>
    </row>
    <row r="5881" spans="1:6" x14ac:dyDescent="0.3">
      <c r="A5881" s="8" t="s">
        <v>11721</v>
      </c>
      <c r="B5881" s="8" t="s">
        <v>59484</v>
      </c>
      <c r="C5881" s="8" t="s">
        <v>11722</v>
      </c>
      <c r="D5881" s="8"/>
      <c r="E5881" s="6"/>
      <c r="F5881" s="6"/>
    </row>
    <row r="5882" spans="1:6" x14ac:dyDescent="0.3">
      <c r="A5882" s="8" t="s">
        <v>11723</v>
      </c>
      <c r="B5882" s="8" t="s">
        <v>59485</v>
      </c>
      <c r="C5882" s="8" t="s">
        <v>11724</v>
      </c>
      <c r="D5882" s="8"/>
      <c r="E5882" s="6"/>
      <c r="F5882" s="6"/>
    </row>
    <row r="5883" spans="1:6" x14ac:dyDescent="0.3">
      <c r="A5883" s="8" t="s">
        <v>11725</v>
      </c>
      <c r="B5883" s="8" t="s">
        <v>59486</v>
      </c>
      <c r="C5883" s="8" t="s">
        <v>11726</v>
      </c>
      <c r="D5883" s="8"/>
      <c r="E5883" s="6"/>
      <c r="F5883" s="6"/>
    </row>
    <row r="5884" spans="1:6" x14ac:dyDescent="0.3">
      <c r="A5884" s="8" t="s">
        <v>11727</v>
      </c>
      <c r="B5884" s="8" t="s">
        <v>59487</v>
      </c>
      <c r="C5884" s="8" t="s">
        <v>11728</v>
      </c>
      <c r="D5884" s="8"/>
      <c r="E5884" s="6"/>
      <c r="F5884" s="6"/>
    </row>
    <row r="5885" spans="1:6" x14ac:dyDescent="0.3">
      <c r="A5885" s="8" t="s">
        <v>11729</v>
      </c>
      <c r="B5885" s="8" t="s">
        <v>59488</v>
      </c>
      <c r="C5885" s="8" t="s">
        <v>11730</v>
      </c>
      <c r="D5885" s="8"/>
      <c r="E5885" s="6"/>
      <c r="F5885" s="6"/>
    </row>
    <row r="5886" spans="1:6" x14ac:dyDescent="0.3">
      <c r="A5886" s="8" t="s">
        <v>11731</v>
      </c>
      <c r="B5886" s="8" t="s">
        <v>59489</v>
      </c>
      <c r="C5886" s="8" t="s">
        <v>11732</v>
      </c>
      <c r="D5886" s="8"/>
      <c r="E5886" s="6"/>
      <c r="F5886" s="6"/>
    </row>
    <row r="5887" spans="1:6" x14ac:dyDescent="0.3">
      <c r="A5887" s="8" t="s">
        <v>11733</v>
      </c>
      <c r="B5887" s="8" t="s">
        <v>59490</v>
      </c>
      <c r="C5887" s="8" t="s">
        <v>11734</v>
      </c>
      <c r="D5887" s="8"/>
      <c r="E5887" s="6"/>
      <c r="F5887" s="6"/>
    </row>
    <row r="5888" spans="1:6" x14ac:dyDescent="0.3">
      <c r="A5888" s="8" t="s">
        <v>11735</v>
      </c>
      <c r="B5888" s="8" t="s">
        <v>59491</v>
      </c>
      <c r="C5888" s="8" t="s">
        <v>11736</v>
      </c>
      <c r="D5888" s="8"/>
      <c r="E5888" s="6"/>
      <c r="F5888" s="6"/>
    </row>
    <row r="5889" spans="1:6" x14ac:dyDescent="0.3">
      <c r="A5889" s="8" t="s">
        <v>11737</v>
      </c>
      <c r="B5889" s="8" t="s">
        <v>59492</v>
      </c>
      <c r="C5889" s="8" t="s">
        <v>11738</v>
      </c>
      <c r="D5889" s="8"/>
      <c r="E5889" s="6"/>
      <c r="F5889" s="6"/>
    </row>
    <row r="5890" spans="1:6" x14ac:dyDescent="0.3">
      <c r="A5890" s="8" t="s">
        <v>11739</v>
      </c>
      <c r="B5890" s="8" t="s">
        <v>59493</v>
      </c>
      <c r="C5890" s="8" t="s">
        <v>11740</v>
      </c>
      <c r="D5890" s="8"/>
      <c r="E5890" s="6"/>
      <c r="F5890" s="6"/>
    </row>
    <row r="5891" spans="1:6" x14ac:dyDescent="0.3">
      <c r="A5891" s="8" t="s">
        <v>11741</v>
      </c>
      <c r="B5891" s="8" t="s">
        <v>59494</v>
      </c>
      <c r="C5891" s="8" t="s">
        <v>11742</v>
      </c>
      <c r="D5891" s="8"/>
      <c r="E5891" s="6"/>
      <c r="F5891" s="6"/>
    </row>
    <row r="5892" spans="1:6" x14ac:dyDescent="0.3">
      <c r="A5892" s="8" t="s">
        <v>11743</v>
      </c>
      <c r="B5892" s="8" t="s">
        <v>59495</v>
      </c>
      <c r="C5892" s="8" t="s">
        <v>11744</v>
      </c>
      <c r="D5892" s="8"/>
      <c r="E5892" s="6"/>
      <c r="F5892" s="6"/>
    </row>
    <row r="5893" spans="1:6" x14ac:dyDescent="0.3">
      <c r="A5893" s="8" t="s">
        <v>11745</v>
      </c>
      <c r="B5893" s="8" t="s">
        <v>59496</v>
      </c>
      <c r="C5893" s="8" t="s">
        <v>11746</v>
      </c>
      <c r="D5893" s="8"/>
      <c r="E5893" s="6"/>
      <c r="F5893" s="6"/>
    </row>
    <row r="5894" spans="1:6" x14ac:dyDescent="0.3">
      <c r="A5894" s="8" t="s">
        <v>11747</v>
      </c>
      <c r="B5894" s="8" t="s">
        <v>59497</v>
      </c>
      <c r="C5894" s="8" t="s">
        <v>11748</v>
      </c>
      <c r="D5894" s="8"/>
      <c r="E5894" s="6"/>
      <c r="F5894" s="6"/>
    </row>
    <row r="5895" spans="1:6" x14ac:dyDescent="0.3">
      <c r="A5895" s="8" t="s">
        <v>11749</v>
      </c>
      <c r="B5895" s="8" t="s">
        <v>59498</v>
      </c>
      <c r="C5895" s="8" t="s">
        <v>11750</v>
      </c>
      <c r="D5895" s="8"/>
      <c r="E5895" s="6"/>
      <c r="F5895" s="6"/>
    </row>
    <row r="5896" spans="1:6" x14ac:dyDescent="0.3">
      <c r="A5896" s="8" t="s">
        <v>11751</v>
      </c>
      <c r="B5896" s="8" t="s">
        <v>59499</v>
      </c>
      <c r="C5896" s="8" t="s">
        <v>11752</v>
      </c>
      <c r="D5896" s="8"/>
      <c r="E5896" s="6"/>
      <c r="F5896" s="6"/>
    </row>
    <row r="5897" spans="1:6" x14ac:dyDescent="0.3">
      <c r="A5897" s="8" t="s">
        <v>11753</v>
      </c>
      <c r="B5897" s="8" t="s">
        <v>59500</v>
      </c>
      <c r="C5897" s="8" t="s">
        <v>11754</v>
      </c>
      <c r="D5897" s="8"/>
      <c r="E5897" s="6"/>
      <c r="F5897" s="6"/>
    </row>
    <row r="5898" spans="1:6" x14ac:dyDescent="0.3">
      <c r="A5898" s="8" t="s">
        <v>11755</v>
      </c>
      <c r="B5898" s="8" t="s">
        <v>59501</v>
      </c>
      <c r="C5898" s="8" t="s">
        <v>11756</v>
      </c>
      <c r="D5898" s="8"/>
      <c r="E5898" s="6"/>
      <c r="F5898" s="6"/>
    </row>
    <row r="5899" spans="1:6" x14ac:dyDescent="0.3">
      <c r="A5899" s="8" t="s">
        <v>11757</v>
      </c>
      <c r="B5899" s="8" t="s">
        <v>59502</v>
      </c>
      <c r="C5899" s="8" t="s">
        <v>11758</v>
      </c>
      <c r="D5899" s="8"/>
      <c r="E5899" s="6"/>
      <c r="F5899" s="6"/>
    </row>
    <row r="5900" spans="1:6" x14ac:dyDescent="0.3">
      <c r="A5900" s="8" t="s">
        <v>11759</v>
      </c>
      <c r="B5900" s="8" t="s">
        <v>59503</v>
      </c>
      <c r="C5900" s="8" t="s">
        <v>11760</v>
      </c>
      <c r="D5900" s="8"/>
      <c r="E5900" s="6"/>
      <c r="F5900" s="6"/>
    </row>
    <row r="5901" spans="1:6" x14ac:dyDescent="0.3">
      <c r="A5901" s="8" t="s">
        <v>11761</v>
      </c>
      <c r="B5901" s="8" t="s">
        <v>59504</v>
      </c>
      <c r="C5901" s="8" t="s">
        <v>11762</v>
      </c>
      <c r="D5901" s="8"/>
      <c r="E5901" s="6"/>
      <c r="F5901" s="6"/>
    </row>
    <row r="5902" spans="1:6" x14ac:dyDescent="0.3">
      <c r="A5902" s="8" t="s">
        <v>11763</v>
      </c>
      <c r="B5902" s="8" t="s">
        <v>59505</v>
      </c>
      <c r="C5902" s="8" t="s">
        <v>11764</v>
      </c>
      <c r="D5902" s="8"/>
      <c r="E5902" s="6"/>
      <c r="F5902" s="6"/>
    </row>
    <row r="5903" spans="1:6" x14ac:dyDescent="0.3">
      <c r="A5903" s="8" t="s">
        <v>11765</v>
      </c>
      <c r="B5903" s="8" t="s">
        <v>59506</v>
      </c>
      <c r="C5903" s="8" t="s">
        <v>11766</v>
      </c>
      <c r="D5903" s="8"/>
      <c r="E5903" s="6"/>
      <c r="F5903" s="6"/>
    </row>
    <row r="5904" spans="1:6" x14ac:dyDescent="0.3">
      <c r="A5904" s="8" t="s">
        <v>11767</v>
      </c>
      <c r="B5904" s="8" t="s">
        <v>59507</v>
      </c>
      <c r="C5904" s="8" t="s">
        <v>11768</v>
      </c>
      <c r="D5904" s="8"/>
      <c r="E5904" s="6"/>
      <c r="F5904" s="6"/>
    </row>
    <row r="5905" spans="1:6" x14ac:dyDescent="0.3">
      <c r="A5905" s="8" t="s">
        <v>11769</v>
      </c>
      <c r="B5905" s="8" t="s">
        <v>59508</v>
      </c>
      <c r="C5905" s="8" t="s">
        <v>11770</v>
      </c>
      <c r="D5905" s="8"/>
      <c r="E5905" s="6"/>
      <c r="F5905" s="6"/>
    </row>
    <row r="5906" spans="1:6" x14ac:dyDescent="0.3">
      <c r="A5906" s="8" t="s">
        <v>11771</v>
      </c>
      <c r="B5906" s="8" t="s">
        <v>59509</v>
      </c>
      <c r="C5906" s="8" t="s">
        <v>11772</v>
      </c>
      <c r="D5906" s="8"/>
      <c r="E5906" s="6"/>
      <c r="F5906" s="6"/>
    </row>
    <row r="5907" spans="1:6" x14ac:dyDescent="0.3">
      <c r="A5907" s="8" t="s">
        <v>11773</v>
      </c>
      <c r="B5907" s="8" t="s">
        <v>59510</v>
      </c>
      <c r="C5907" s="8" t="s">
        <v>11774</v>
      </c>
      <c r="D5907" s="8"/>
      <c r="E5907" s="6"/>
      <c r="F5907" s="6"/>
    </row>
    <row r="5908" spans="1:6" x14ac:dyDescent="0.3">
      <c r="A5908" s="8" t="s">
        <v>11775</v>
      </c>
      <c r="B5908" s="8" t="s">
        <v>59511</v>
      </c>
      <c r="C5908" s="8" t="s">
        <v>11776</v>
      </c>
      <c r="D5908" s="8"/>
      <c r="E5908" s="6"/>
      <c r="F5908" s="6"/>
    </row>
    <row r="5909" spans="1:6" x14ac:dyDescent="0.3">
      <c r="A5909" s="8" t="s">
        <v>11777</v>
      </c>
      <c r="B5909" s="8" t="s">
        <v>59512</v>
      </c>
      <c r="C5909" s="8" t="s">
        <v>11778</v>
      </c>
      <c r="D5909" s="8"/>
      <c r="E5909" s="6"/>
      <c r="F5909" s="6"/>
    </row>
    <row r="5910" spans="1:6" x14ac:dyDescent="0.3">
      <c r="A5910" s="8" t="s">
        <v>11779</v>
      </c>
      <c r="B5910" s="8" t="s">
        <v>59513</v>
      </c>
      <c r="C5910" s="8" t="s">
        <v>11780</v>
      </c>
      <c r="D5910" s="8"/>
      <c r="E5910" s="6"/>
      <c r="F5910" s="6"/>
    </row>
    <row r="5911" spans="1:6" x14ac:dyDescent="0.3">
      <c r="A5911" s="8" t="s">
        <v>11781</v>
      </c>
      <c r="B5911" s="8" t="s">
        <v>59514</v>
      </c>
      <c r="C5911" s="8" t="s">
        <v>11782</v>
      </c>
      <c r="D5911" s="8"/>
      <c r="E5911" s="6"/>
      <c r="F5911" s="6"/>
    </row>
    <row r="5912" spans="1:6" x14ac:dyDescent="0.3">
      <c r="A5912" s="8" t="s">
        <v>11783</v>
      </c>
      <c r="B5912" s="8" t="s">
        <v>59515</v>
      </c>
      <c r="C5912" s="8" t="s">
        <v>11784</v>
      </c>
      <c r="D5912" s="8"/>
      <c r="E5912" s="6"/>
      <c r="F5912" s="6"/>
    </row>
    <row r="5913" spans="1:6" x14ac:dyDescent="0.3">
      <c r="A5913" s="8" t="s">
        <v>11785</v>
      </c>
      <c r="B5913" s="8" t="s">
        <v>59516</v>
      </c>
      <c r="C5913" s="8" t="s">
        <v>11786</v>
      </c>
      <c r="D5913" s="8"/>
      <c r="E5913" s="6"/>
      <c r="F5913" s="6"/>
    </row>
    <row r="5914" spans="1:6" x14ac:dyDescent="0.3">
      <c r="A5914" s="8" t="s">
        <v>11787</v>
      </c>
      <c r="B5914" s="8" t="s">
        <v>59517</v>
      </c>
      <c r="C5914" s="8" t="s">
        <v>11788</v>
      </c>
      <c r="D5914" s="8"/>
      <c r="E5914" s="6"/>
      <c r="F5914" s="6"/>
    </row>
    <row r="5915" spans="1:6" x14ac:dyDescent="0.3">
      <c r="A5915" s="8" t="s">
        <v>11789</v>
      </c>
      <c r="B5915" s="8" t="s">
        <v>59518</v>
      </c>
      <c r="C5915" s="8" t="s">
        <v>11790</v>
      </c>
      <c r="D5915" s="8"/>
      <c r="E5915" s="6"/>
      <c r="F5915" s="6"/>
    </row>
    <row r="5916" spans="1:6" x14ac:dyDescent="0.3">
      <c r="A5916" s="8" t="s">
        <v>11791</v>
      </c>
      <c r="B5916" s="8" t="s">
        <v>59519</v>
      </c>
      <c r="C5916" s="8" t="s">
        <v>11792</v>
      </c>
      <c r="D5916" s="8"/>
      <c r="E5916" s="6"/>
      <c r="F5916" s="6"/>
    </row>
    <row r="5917" spans="1:6" x14ac:dyDescent="0.3">
      <c r="A5917" s="8" t="s">
        <v>11793</v>
      </c>
      <c r="B5917" s="8" t="s">
        <v>59520</v>
      </c>
      <c r="C5917" s="8" t="s">
        <v>11794</v>
      </c>
      <c r="D5917" s="8"/>
      <c r="E5917" s="6"/>
      <c r="F5917" s="6"/>
    </row>
    <row r="5918" spans="1:6" x14ac:dyDescent="0.3">
      <c r="A5918" s="8" t="s">
        <v>11795</v>
      </c>
      <c r="B5918" s="8" t="s">
        <v>59521</v>
      </c>
      <c r="C5918" s="8" t="s">
        <v>11796</v>
      </c>
      <c r="D5918" s="8"/>
      <c r="E5918" s="6"/>
      <c r="F5918" s="6"/>
    </row>
    <row r="5919" spans="1:6" x14ac:dyDescent="0.3">
      <c r="A5919" s="8" t="s">
        <v>11797</v>
      </c>
      <c r="B5919" s="8" t="s">
        <v>59522</v>
      </c>
      <c r="C5919" s="8" t="s">
        <v>11798</v>
      </c>
      <c r="D5919" s="8"/>
      <c r="E5919" s="6"/>
      <c r="F5919" s="6"/>
    </row>
    <row r="5920" spans="1:6" x14ac:dyDescent="0.3">
      <c r="A5920" s="8" t="s">
        <v>11799</v>
      </c>
      <c r="B5920" s="8" t="s">
        <v>59523</v>
      </c>
      <c r="C5920" s="8" t="s">
        <v>11800</v>
      </c>
      <c r="D5920" s="8"/>
      <c r="E5920" s="6"/>
      <c r="F5920" s="6"/>
    </row>
    <row r="5921" spans="1:6" x14ac:dyDescent="0.3">
      <c r="A5921" s="8" t="s">
        <v>11801</v>
      </c>
      <c r="B5921" s="8" t="s">
        <v>59524</v>
      </c>
      <c r="C5921" s="8" t="s">
        <v>11802</v>
      </c>
      <c r="D5921" s="8"/>
      <c r="E5921" s="6"/>
      <c r="F5921" s="6"/>
    </row>
    <row r="5922" spans="1:6" x14ac:dyDescent="0.3">
      <c r="A5922" s="8" t="s">
        <v>11803</v>
      </c>
      <c r="B5922" s="8" t="s">
        <v>59525</v>
      </c>
      <c r="C5922" s="8" t="s">
        <v>11804</v>
      </c>
      <c r="D5922" s="8"/>
      <c r="E5922" s="6"/>
      <c r="F5922" s="6"/>
    </row>
    <row r="5923" spans="1:6" x14ac:dyDescent="0.3">
      <c r="A5923" s="8" t="s">
        <v>11805</v>
      </c>
      <c r="B5923" s="8" t="s">
        <v>59526</v>
      </c>
      <c r="C5923" s="8" t="s">
        <v>11806</v>
      </c>
      <c r="D5923" s="8"/>
      <c r="E5923" s="6"/>
      <c r="F5923" s="6"/>
    </row>
    <row r="5924" spans="1:6" x14ac:dyDescent="0.3">
      <c r="A5924" s="8" t="s">
        <v>11807</v>
      </c>
      <c r="B5924" s="8" t="s">
        <v>59527</v>
      </c>
      <c r="C5924" s="8" t="s">
        <v>11808</v>
      </c>
      <c r="D5924" s="8"/>
      <c r="E5924" s="6"/>
      <c r="F5924" s="6"/>
    </row>
    <row r="5925" spans="1:6" x14ac:dyDescent="0.3">
      <c r="A5925" s="8" t="s">
        <v>11809</v>
      </c>
      <c r="B5925" s="8" t="s">
        <v>59528</v>
      </c>
      <c r="C5925" s="8" t="s">
        <v>11810</v>
      </c>
      <c r="D5925" s="8"/>
      <c r="E5925" s="6"/>
      <c r="F5925" s="6"/>
    </row>
    <row r="5926" spans="1:6" x14ac:dyDescent="0.3">
      <c r="A5926" s="8" t="s">
        <v>11811</v>
      </c>
      <c r="B5926" s="8" t="s">
        <v>59529</v>
      </c>
      <c r="C5926" s="8" t="s">
        <v>11812</v>
      </c>
      <c r="D5926" s="8"/>
      <c r="E5926" s="6"/>
      <c r="F5926" s="6"/>
    </row>
    <row r="5927" spans="1:6" x14ac:dyDescent="0.3">
      <c r="A5927" s="8" t="s">
        <v>11813</v>
      </c>
      <c r="B5927" s="8" t="s">
        <v>59530</v>
      </c>
      <c r="C5927" s="8" t="s">
        <v>11814</v>
      </c>
      <c r="D5927" s="8"/>
      <c r="E5927" s="6"/>
      <c r="F5927" s="6"/>
    </row>
    <row r="5928" spans="1:6" x14ac:dyDescent="0.3">
      <c r="A5928" s="8" t="s">
        <v>11815</v>
      </c>
      <c r="B5928" s="8" t="s">
        <v>59531</v>
      </c>
      <c r="C5928" s="8" t="s">
        <v>11816</v>
      </c>
      <c r="D5928" s="8"/>
      <c r="E5928" s="6"/>
      <c r="F5928" s="6"/>
    </row>
    <row r="5929" spans="1:6" x14ac:dyDescent="0.3">
      <c r="A5929" s="8" t="s">
        <v>11817</v>
      </c>
      <c r="B5929" s="8" t="s">
        <v>59532</v>
      </c>
      <c r="C5929" s="8" t="s">
        <v>11818</v>
      </c>
      <c r="D5929" s="8"/>
      <c r="E5929" s="6"/>
      <c r="F5929" s="6"/>
    </row>
    <row r="5930" spans="1:6" x14ac:dyDescent="0.3">
      <c r="A5930" s="8" t="s">
        <v>11819</v>
      </c>
      <c r="B5930" s="8" t="s">
        <v>59533</v>
      </c>
      <c r="C5930" s="8" t="s">
        <v>11820</v>
      </c>
      <c r="D5930" s="8"/>
      <c r="E5930" s="6"/>
      <c r="F5930" s="6"/>
    </row>
    <row r="5931" spans="1:6" x14ac:dyDescent="0.3">
      <c r="A5931" s="8" t="s">
        <v>11821</v>
      </c>
      <c r="B5931" s="8" t="s">
        <v>59534</v>
      </c>
      <c r="C5931" s="8" t="s">
        <v>11822</v>
      </c>
      <c r="D5931" s="8"/>
      <c r="E5931" s="6"/>
      <c r="F5931" s="6"/>
    </row>
    <row r="5932" spans="1:6" x14ac:dyDescent="0.3">
      <c r="A5932" s="8" t="s">
        <v>11823</v>
      </c>
      <c r="B5932" s="8" t="s">
        <v>59535</v>
      </c>
      <c r="C5932" s="8" t="s">
        <v>11824</v>
      </c>
      <c r="D5932" s="8"/>
      <c r="E5932" s="6"/>
      <c r="F5932" s="6"/>
    </row>
    <row r="5933" spans="1:6" x14ac:dyDescent="0.3">
      <c r="A5933" s="8" t="s">
        <v>11825</v>
      </c>
      <c r="B5933" s="8" t="s">
        <v>59536</v>
      </c>
      <c r="C5933" s="8" t="s">
        <v>11826</v>
      </c>
      <c r="D5933" s="8"/>
      <c r="E5933" s="6"/>
      <c r="F5933" s="6"/>
    </row>
    <row r="5934" spans="1:6" x14ac:dyDescent="0.3">
      <c r="A5934" s="8" t="s">
        <v>11827</v>
      </c>
      <c r="B5934" s="8" t="s">
        <v>59537</v>
      </c>
      <c r="C5934" s="8" t="s">
        <v>11828</v>
      </c>
      <c r="D5934" s="8"/>
      <c r="E5934" s="6"/>
      <c r="F5934" s="6"/>
    </row>
    <row r="5935" spans="1:6" x14ac:dyDescent="0.3">
      <c r="A5935" s="8" t="s">
        <v>11829</v>
      </c>
      <c r="B5935" s="8" t="s">
        <v>59538</v>
      </c>
      <c r="C5935" s="8" t="s">
        <v>11830</v>
      </c>
      <c r="D5935" s="8"/>
      <c r="E5935" s="6"/>
      <c r="F5935" s="6"/>
    </row>
    <row r="5936" spans="1:6" x14ac:dyDescent="0.3">
      <c r="A5936" s="8" t="s">
        <v>11831</v>
      </c>
      <c r="B5936" s="8" t="s">
        <v>59539</v>
      </c>
      <c r="C5936" s="8" t="s">
        <v>11832</v>
      </c>
      <c r="D5936" s="8"/>
      <c r="E5936" s="6"/>
      <c r="F5936" s="6"/>
    </row>
    <row r="5937" spans="1:6" x14ac:dyDescent="0.3">
      <c r="A5937" s="8" t="s">
        <v>11833</v>
      </c>
      <c r="B5937" s="8" t="s">
        <v>59540</v>
      </c>
      <c r="C5937" s="8" t="s">
        <v>11834</v>
      </c>
      <c r="D5937" s="8"/>
      <c r="E5937" s="6"/>
      <c r="F5937" s="6"/>
    </row>
    <row r="5938" spans="1:6" x14ac:dyDescent="0.3">
      <c r="A5938" s="8" t="s">
        <v>11835</v>
      </c>
      <c r="B5938" s="8" t="s">
        <v>59541</v>
      </c>
      <c r="C5938" s="8" t="s">
        <v>11836</v>
      </c>
      <c r="D5938" s="8"/>
      <c r="E5938" s="6"/>
      <c r="F5938" s="6"/>
    </row>
    <row r="5939" spans="1:6" x14ac:dyDescent="0.3">
      <c r="A5939" s="8" t="s">
        <v>11837</v>
      </c>
      <c r="B5939" s="8" t="s">
        <v>59542</v>
      </c>
      <c r="C5939" s="8" t="s">
        <v>11838</v>
      </c>
      <c r="D5939" s="8"/>
      <c r="E5939" s="6"/>
      <c r="F5939" s="6"/>
    </row>
    <row r="5940" spans="1:6" x14ac:dyDescent="0.3">
      <c r="A5940" s="8" t="s">
        <v>11839</v>
      </c>
      <c r="B5940" s="8" t="s">
        <v>59543</v>
      </c>
      <c r="C5940" s="8" t="s">
        <v>11840</v>
      </c>
      <c r="D5940" s="8"/>
      <c r="E5940" s="6"/>
      <c r="F5940" s="6"/>
    </row>
    <row r="5941" spans="1:6" x14ac:dyDescent="0.3">
      <c r="A5941" s="8" t="s">
        <v>11841</v>
      </c>
      <c r="B5941" s="8" t="s">
        <v>59544</v>
      </c>
      <c r="C5941" s="8" t="s">
        <v>11842</v>
      </c>
      <c r="D5941" s="8"/>
      <c r="E5941" s="6"/>
      <c r="F5941" s="6"/>
    </row>
    <row r="5942" spans="1:6" x14ac:dyDescent="0.3">
      <c r="A5942" s="8" t="s">
        <v>11843</v>
      </c>
      <c r="B5942" s="8" t="s">
        <v>59545</v>
      </c>
      <c r="C5942" s="8" t="s">
        <v>11844</v>
      </c>
      <c r="D5942" s="8"/>
      <c r="E5942" s="6"/>
      <c r="F5942" s="6"/>
    </row>
    <row r="5943" spans="1:6" x14ac:dyDescent="0.3">
      <c r="A5943" s="8" t="s">
        <v>11845</v>
      </c>
      <c r="B5943" s="8" t="s">
        <v>59546</v>
      </c>
      <c r="C5943" s="8" t="s">
        <v>11846</v>
      </c>
      <c r="D5943" s="8"/>
      <c r="E5943" s="6"/>
      <c r="F5943" s="6"/>
    </row>
    <row r="5944" spans="1:6" x14ac:dyDescent="0.3">
      <c r="A5944" s="8" t="s">
        <v>11847</v>
      </c>
      <c r="B5944" s="8" t="s">
        <v>59547</v>
      </c>
      <c r="C5944" s="8" t="s">
        <v>11848</v>
      </c>
      <c r="D5944" s="8"/>
      <c r="E5944" s="6"/>
      <c r="F5944" s="6"/>
    </row>
    <row r="5945" spans="1:6" x14ac:dyDescent="0.3">
      <c r="A5945" s="8" t="s">
        <v>11849</v>
      </c>
      <c r="B5945" s="8" t="s">
        <v>59548</v>
      </c>
      <c r="C5945" s="8" t="s">
        <v>11850</v>
      </c>
      <c r="D5945" s="8"/>
      <c r="E5945" s="6"/>
      <c r="F5945" s="6"/>
    </row>
    <row r="5946" spans="1:6" x14ac:dyDescent="0.3">
      <c r="A5946" s="8" t="s">
        <v>11851</v>
      </c>
      <c r="B5946" s="8" t="s">
        <v>59549</v>
      </c>
      <c r="C5946" s="8" t="s">
        <v>11852</v>
      </c>
      <c r="D5946" s="8"/>
      <c r="E5946" s="6"/>
      <c r="F5946" s="6"/>
    </row>
    <row r="5947" spans="1:6" x14ac:dyDescent="0.3">
      <c r="A5947" s="8" t="s">
        <v>11853</v>
      </c>
      <c r="B5947" s="8" t="s">
        <v>59550</v>
      </c>
      <c r="C5947" s="8" t="s">
        <v>11854</v>
      </c>
      <c r="D5947" s="8"/>
      <c r="E5947" s="6"/>
      <c r="F5947" s="6"/>
    </row>
    <row r="5948" spans="1:6" x14ac:dyDescent="0.3">
      <c r="A5948" s="8" t="s">
        <v>11855</v>
      </c>
      <c r="B5948" s="8" t="s">
        <v>59551</v>
      </c>
      <c r="C5948" s="8" t="s">
        <v>11856</v>
      </c>
      <c r="D5948" s="8"/>
      <c r="E5948" s="6"/>
      <c r="F5948" s="6"/>
    </row>
    <row r="5949" spans="1:6" x14ac:dyDescent="0.3">
      <c r="A5949" s="8" t="s">
        <v>11857</v>
      </c>
      <c r="B5949" s="8" t="s">
        <v>59552</v>
      </c>
      <c r="C5949" s="8" t="s">
        <v>11858</v>
      </c>
      <c r="D5949" s="8"/>
      <c r="E5949" s="6"/>
      <c r="F5949" s="6"/>
    </row>
    <row r="5950" spans="1:6" x14ac:dyDescent="0.3">
      <c r="A5950" s="8" t="s">
        <v>11859</v>
      </c>
      <c r="B5950" s="8" t="s">
        <v>59553</v>
      </c>
      <c r="C5950" s="8" t="s">
        <v>11860</v>
      </c>
      <c r="D5950" s="8"/>
      <c r="E5950" s="6"/>
      <c r="F5950" s="6"/>
    </row>
    <row r="5951" spans="1:6" x14ac:dyDescent="0.3">
      <c r="A5951" s="8" t="s">
        <v>11861</v>
      </c>
      <c r="B5951" s="8" t="s">
        <v>59554</v>
      </c>
      <c r="C5951" s="8" t="s">
        <v>11862</v>
      </c>
      <c r="D5951" s="8"/>
      <c r="E5951" s="6"/>
      <c r="F5951" s="6"/>
    </row>
    <row r="5952" spans="1:6" x14ac:dyDescent="0.3">
      <c r="A5952" s="8" t="s">
        <v>11863</v>
      </c>
      <c r="B5952" s="8" t="s">
        <v>59555</v>
      </c>
      <c r="C5952" s="8" t="s">
        <v>11864</v>
      </c>
      <c r="D5952" s="8"/>
      <c r="E5952" s="6"/>
      <c r="F5952" s="6"/>
    </row>
    <row r="5953" spans="1:6" x14ac:dyDescent="0.3">
      <c r="A5953" s="8" t="s">
        <v>11865</v>
      </c>
      <c r="B5953" s="8" t="s">
        <v>59556</v>
      </c>
      <c r="C5953" s="8" t="s">
        <v>11866</v>
      </c>
      <c r="D5953" s="8"/>
      <c r="E5953" s="6"/>
      <c r="F5953" s="6"/>
    </row>
    <row r="5954" spans="1:6" x14ac:dyDescent="0.3">
      <c r="A5954" s="8" t="s">
        <v>11867</v>
      </c>
      <c r="B5954" s="8" t="s">
        <v>59557</v>
      </c>
      <c r="C5954" s="8" t="s">
        <v>11868</v>
      </c>
      <c r="D5954" s="8"/>
      <c r="E5954" s="6"/>
      <c r="F5954" s="6"/>
    </row>
    <row r="5955" spans="1:6" x14ac:dyDescent="0.3">
      <c r="A5955" s="8" t="s">
        <v>11869</v>
      </c>
      <c r="B5955" s="8" t="s">
        <v>59558</v>
      </c>
      <c r="C5955" s="8" t="s">
        <v>11870</v>
      </c>
      <c r="D5955" s="8"/>
      <c r="E5955" s="6"/>
      <c r="F5955" s="6"/>
    </row>
    <row r="5956" spans="1:6" x14ac:dyDescent="0.3">
      <c r="A5956" s="8" t="s">
        <v>11871</v>
      </c>
      <c r="B5956" s="8" t="s">
        <v>59559</v>
      </c>
      <c r="C5956" s="8" t="s">
        <v>11872</v>
      </c>
      <c r="D5956" s="8"/>
      <c r="E5956" s="6"/>
      <c r="F5956" s="6"/>
    </row>
    <row r="5957" spans="1:6" x14ac:dyDescent="0.3">
      <c r="A5957" s="8" t="s">
        <v>11873</v>
      </c>
      <c r="B5957" s="8" t="s">
        <v>59560</v>
      </c>
      <c r="C5957" s="8" t="s">
        <v>11874</v>
      </c>
      <c r="D5957" s="8"/>
      <c r="E5957" s="6"/>
      <c r="F5957" s="6"/>
    </row>
    <row r="5958" spans="1:6" x14ac:dyDescent="0.3">
      <c r="A5958" s="8" t="s">
        <v>11875</v>
      </c>
      <c r="B5958" s="8" t="s">
        <v>59561</v>
      </c>
      <c r="C5958" s="8" t="s">
        <v>11876</v>
      </c>
      <c r="D5958" s="8"/>
      <c r="E5958" s="6"/>
      <c r="F5958" s="6"/>
    </row>
    <row r="5959" spans="1:6" x14ac:dyDescent="0.3">
      <c r="A5959" s="8" t="s">
        <v>11877</v>
      </c>
      <c r="B5959" s="8" t="s">
        <v>59562</v>
      </c>
      <c r="C5959" s="8" t="s">
        <v>11878</v>
      </c>
      <c r="D5959" s="8"/>
      <c r="E5959" s="6"/>
      <c r="F5959" s="6"/>
    </row>
    <row r="5960" spans="1:6" x14ac:dyDescent="0.3">
      <c r="A5960" s="8" t="s">
        <v>11879</v>
      </c>
      <c r="B5960" s="8" t="s">
        <v>59563</v>
      </c>
      <c r="C5960" s="8" t="s">
        <v>11880</v>
      </c>
      <c r="D5960" s="8"/>
      <c r="E5960" s="6"/>
      <c r="F5960" s="6"/>
    </row>
    <row r="5961" spans="1:6" x14ac:dyDescent="0.3">
      <c r="A5961" s="8" t="s">
        <v>11881</v>
      </c>
      <c r="B5961" s="8" t="s">
        <v>59564</v>
      </c>
      <c r="C5961" s="8" t="s">
        <v>11882</v>
      </c>
      <c r="D5961" s="8"/>
      <c r="E5961" s="6"/>
      <c r="F5961" s="6"/>
    </row>
    <row r="5962" spans="1:6" x14ac:dyDescent="0.3">
      <c r="A5962" s="8" t="s">
        <v>11883</v>
      </c>
      <c r="B5962" s="8" t="s">
        <v>59565</v>
      </c>
      <c r="C5962" s="8" t="s">
        <v>11884</v>
      </c>
      <c r="D5962" s="8"/>
      <c r="E5962" s="6"/>
      <c r="F5962" s="6"/>
    </row>
    <row r="5963" spans="1:6" x14ac:dyDescent="0.3">
      <c r="A5963" s="8" t="s">
        <v>11885</v>
      </c>
      <c r="B5963" s="8" t="s">
        <v>59566</v>
      </c>
      <c r="C5963" s="8" t="s">
        <v>11886</v>
      </c>
      <c r="D5963" s="8"/>
      <c r="E5963" s="6"/>
      <c r="F5963" s="6"/>
    </row>
    <row r="5964" spans="1:6" x14ac:dyDescent="0.3">
      <c r="A5964" s="8" t="s">
        <v>11887</v>
      </c>
      <c r="B5964" s="8" t="s">
        <v>59567</v>
      </c>
      <c r="C5964" s="8" t="s">
        <v>11888</v>
      </c>
      <c r="D5964" s="8"/>
      <c r="E5964" s="6"/>
      <c r="F5964" s="6"/>
    </row>
    <row r="5965" spans="1:6" x14ac:dyDescent="0.3">
      <c r="A5965" s="8" t="s">
        <v>11889</v>
      </c>
      <c r="B5965" s="8" t="s">
        <v>59568</v>
      </c>
      <c r="C5965" s="8" t="s">
        <v>11890</v>
      </c>
      <c r="D5965" s="8"/>
      <c r="E5965" s="6"/>
      <c r="F5965" s="6"/>
    </row>
    <row r="5966" spans="1:6" x14ac:dyDescent="0.3">
      <c r="A5966" s="8" t="s">
        <v>11891</v>
      </c>
      <c r="B5966" s="8" t="s">
        <v>59569</v>
      </c>
      <c r="C5966" s="8" t="s">
        <v>11892</v>
      </c>
      <c r="D5966" s="8"/>
      <c r="E5966" s="6"/>
      <c r="F5966" s="6"/>
    </row>
    <row r="5967" spans="1:6" x14ac:dyDescent="0.3">
      <c r="A5967" s="8" t="s">
        <v>11893</v>
      </c>
      <c r="B5967" s="8" t="s">
        <v>59570</v>
      </c>
      <c r="C5967" s="8" t="s">
        <v>11894</v>
      </c>
      <c r="D5967" s="8"/>
      <c r="E5967" s="6"/>
      <c r="F5967" s="6"/>
    </row>
    <row r="5968" spans="1:6" x14ac:dyDescent="0.3">
      <c r="A5968" s="8" t="s">
        <v>11895</v>
      </c>
      <c r="B5968" s="8" t="s">
        <v>59571</v>
      </c>
      <c r="C5968" s="8" t="s">
        <v>11896</v>
      </c>
      <c r="D5968" s="8"/>
      <c r="E5968" s="6"/>
      <c r="F5968" s="6"/>
    </row>
    <row r="5969" spans="1:6" x14ac:dyDescent="0.3">
      <c r="A5969" s="8" t="s">
        <v>11897</v>
      </c>
      <c r="B5969" s="8" t="s">
        <v>59572</v>
      </c>
      <c r="C5969" s="8" t="s">
        <v>11898</v>
      </c>
      <c r="D5969" s="8"/>
      <c r="E5969" s="6"/>
      <c r="F5969" s="6"/>
    </row>
    <row r="5970" spans="1:6" x14ac:dyDescent="0.3">
      <c r="A5970" s="8" t="s">
        <v>11899</v>
      </c>
      <c r="B5970" s="8" t="s">
        <v>59573</v>
      </c>
      <c r="C5970" s="8" t="s">
        <v>11900</v>
      </c>
      <c r="D5970" s="8"/>
      <c r="E5970" s="6"/>
      <c r="F5970" s="6"/>
    </row>
    <row r="5971" spans="1:6" x14ac:dyDescent="0.3">
      <c r="A5971" s="8" t="s">
        <v>11901</v>
      </c>
      <c r="B5971" s="8" t="s">
        <v>59574</v>
      </c>
      <c r="C5971" s="8" t="s">
        <v>11902</v>
      </c>
      <c r="D5971" s="8"/>
      <c r="E5971" s="6"/>
      <c r="F5971" s="6"/>
    </row>
    <row r="5972" spans="1:6" x14ac:dyDescent="0.3">
      <c r="A5972" s="8" t="s">
        <v>11903</v>
      </c>
      <c r="B5972" s="8" t="s">
        <v>59575</v>
      </c>
      <c r="C5972" s="8" t="s">
        <v>11904</v>
      </c>
      <c r="D5972" s="8"/>
      <c r="E5972" s="6"/>
      <c r="F5972" s="6"/>
    </row>
    <row r="5973" spans="1:6" x14ac:dyDescent="0.3">
      <c r="A5973" s="8" t="s">
        <v>11905</v>
      </c>
      <c r="B5973" s="8" t="s">
        <v>59576</v>
      </c>
      <c r="C5973" s="8" t="s">
        <v>11906</v>
      </c>
      <c r="D5973" s="8"/>
      <c r="E5973" s="6"/>
      <c r="F5973" s="6"/>
    </row>
    <row r="5974" spans="1:6" x14ac:dyDescent="0.3">
      <c r="A5974" s="8" t="s">
        <v>11907</v>
      </c>
      <c r="B5974" s="8" t="s">
        <v>59577</v>
      </c>
      <c r="C5974" s="8" t="s">
        <v>11908</v>
      </c>
      <c r="D5974" s="8"/>
      <c r="E5974" s="6"/>
      <c r="F5974" s="6"/>
    </row>
    <row r="5975" spans="1:6" x14ac:dyDescent="0.3">
      <c r="A5975" s="8" t="s">
        <v>11909</v>
      </c>
      <c r="B5975" s="8" t="s">
        <v>59578</v>
      </c>
      <c r="C5975" s="8" t="s">
        <v>11910</v>
      </c>
      <c r="D5975" s="8"/>
      <c r="E5975" s="6"/>
      <c r="F5975" s="6"/>
    </row>
    <row r="5976" spans="1:6" x14ac:dyDescent="0.3">
      <c r="A5976" s="8" t="s">
        <v>11911</v>
      </c>
      <c r="B5976" s="8" t="s">
        <v>59579</v>
      </c>
      <c r="C5976" s="8" t="s">
        <v>11912</v>
      </c>
      <c r="D5976" s="8"/>
      <c r="E5976" s="6"/>
      <c r="F5976" s="6"/>
    </row>
    <row r="5977" spans="1:6" x14ac:dyDescent="0.3">
      <c r="A5977" s="8" t="s">
        <v>11913</v>
      </c>
      <c r="B5977" s="8" t="s">
        <v>59580</v>
      </c>
      <c r="C5977" s="8" t="s">
        <v>11914</v>
      </c>
      <c r="D5977" s="8"/>
      <c r="E5977" s="6"/>
      <c r="F5977" s="6"/>
    </row>
    <row r="5978" spans="1:6" x14ac:dyDescent="0.3">
      <c r="A5978" s="8" t="s">
        <v>11915</v>
      </c>
      <c r="B5978" s="8" t="s">
        <v>59581</v>
      </c>
      <c r="C5978" s="8" t="s">
        <v>11916</v>
      </c>
      <c r="D5978" s="8"/>
      <c r="E5978" s="6"/>
      <c r="F5978" s="6"/>
    </row>
    <row r="5979" spans="1:6" x14ac:dyDescent="0.3">
      <c r="A5979" s="8" t="s">
        <v>11917</v>
      </c>
      <c r="B5979" s="8" t="s">
        <v>59582</v>
      </c>
      <c r="C5979" s="8" t="s">
        <v>11918</v>
      </c>
      <c r="D5979" s="8"/>
      <c r="E5979" s="6"/>
      <c r="F5979" s="6"/>
    </row>
    <row r="5980" spans="1:6" x14ac:dyDescent="0.3">
      <c r="A5980" s="8" t="s">
        <v>11919</v>
      </c>
      <c r="B5980" s="8" t="s">
        <v>59583</v>
      </c>
      <c r="C5980" s="8" t="s">
        <v>11920</v>
      </c>
      <c r="D5980" s="8"/>
      <c r="E5980" s="6"/>
      <c r="F5980" s="6"/>
    </row>
    <row r="5981" spans="1:6" x14ac:dyDescent="0.3">
      <c r="A5981" s="8" t="s">
        <v>11921</v>
      </c>
      <c r="B5981" s="8" t="s">
        <v>59584</v>
      </c>
      <c r="C5981" s="8" t="s">
        <v>11922</v>
      </c>
      <c r="D5981" s="8"/>
      <c r="E5981" s="6"/>
      <c r="F5981" s="6"/>
    </row>
    <row r="5982" spans="1:6" x14ac:dyDescent="0.3">
      <c r="A5982" s="8" t="s">
        <v>11923</v>
      </c>
      <c r="B5982" s="8" t="s">
        <v>59585</v>
      </c>
      <c r="C5982" s="8" t="s">
        <v>11924</v>
      </c>
      <c r="D5982" s="8"/>
      <c r="E5982" s="6"/>
      <c r="F5982" s="6"/>
    </row>
    <row r="5983" spans="1:6" x14ac:dyDescent="0.3">
      <c r="A5983" s="8" t="s">
        <v>11925</v>
      </c>
      <c r="B5983" s="8" t="s">
        <v>59586</v>
      </c>
      <c r="C5983" s="8" t="s">
        <v>11926</v>
      </c>
      <c r="D5983" s="8"/>
      <c r="E5983" s="6"/>
      <c r="F5983" s="6"/>
    </row>
    <row r="5984" spans="1:6" x14ac:dyDescent="0.3">
      <c r="A5984" s="8" t="s">
        <v>11927</v>
      </c>
      <c r="B5984" s="8" t="s">
        <v>59587</v>
      </c>
      <c r="C5984" s="8" t="s">
        <v>11928</v>
      </c>
      <c r="D5984" s="8"/>
      <c r="E5984" s="6"/>
      <c r="F5984" s="6"/>
    </row>
    <row r="5985" spans="1:6" x14ac:dyDescent="0.3">
      <c r="A5985" s="8" t="s">
        <v>11929</v>
      </c>
      <c r="B5985" s="8" t="s">
        <v>59588</v>
      </c>
      <c r="C5985" s="8" t="s">
        <v>11930</v>
      </c>
      <c r="D5985" s="8"/>
      <c r="E5985" s="6"/>
      <c r="F5985" s="6"/>
    </row>
    <row r="5986" spans="1:6" x14ac:dyDescent="0.3">
      <c r="A5986" s="8" t="s">
        <v>11931</v>
      </c>
      <c r="B5986" s="8" t="s">
        <v>59589</v>
      </c>
      <c r="C5986" s="8" t="s">
        <v>11932</v>
      </c>
      <c r="D5986" s="8"/>
      <c r="E5986" s="6"/>
      <c r="F5986" s="6"/>
    </row>
    <row r="5987" spans="1:6" x14ac:dyDescent="0.3">
      <c r="A5987" s="8" t="s">
        <v>11933</v>
      </c>
      <c r="B5987" s="8" t="s">
        <v>59590</v>
      </c>
      <c r="C5987" s="8" t="s">
        <v>11934</v>
      </c>
      <c r="D5987" s="8"/>
      <c r="E5987" s="6"/>
      <c r="F5987" s="6"/>
    </row>
    <row r="5988" spans="1:6" x14ac:dyDescent="0.3">
      <c r="A5988" s="8" t="s">
        <v>11935</v>
      </c>
      <c r="B5988" s="8" t="s">
        <v>59591</v>
      </c>
      <c r="C5988" s="8" t="s">
        <v>11936</v>
      </c>
      <c r="D5988" s="8"/>
      <c r="E5988" s="6"/>
      <c r="F5988" s="6"/>
    </row>
    <row r="5989" spans="1:6" x14ac:dyDescent="0.3">
      <c r="A5989" s="8" t="s">
        <v>11937</v>
      </c>
      <c r="B5989" s="8" t="s">
        <v>59592</v>
      </c>
      <c r="C5989" s="8" t="s">
        <v>11938</v>
      </c>
      <c r="D5989" s="8"/>
      <c r="E5989" s="6"/>
      <c r="F5989" s="6"/>
    </row>
    <row r="5990" spans="1:6" x14ac:dyDescent="0.3">
      <c r="A5990" s="8" t="s">
        <v>11939</v>
      </c>
      <c r="B5990" s="8" t="s">
        <v>59593</v>
      </c>
      <c r="C5990" s="8" t="s">
        <v>11940</v>
      </c>
      <c r="D5990" s="8"/>
      <c r="E5990" s="6"/>
      <c r="F5990" s="6"/>
    </row>
    <row r="5991" spans="1:6" x14ac:dyDescent="0.3">
      <c r="A5991" s="8" t="s">
        <v>11941</v>
      </c>
      <c r="B5991" s="8" t="s">
        <v>59594</v>
      </c>
      <c r="C5991" s="8" t="s">
        <v>11942</v>
      </c>
      <c r="D5991" s="8"/>
      <c r="E5991" s="6"/>
      <c r="F5991" s="6"/>
    </row>
    <row r="5992" spans="1:6" x14ac:dyDescent="0.3">
      <c r="A5992" s="8" t="s">
        <v>11943</v>
      </c>
      <c r="B5992" s="8" t="s">
        <v>59595</v>
      </c>
      <c r="C5992" s="8" t="s">
        <v>11944</v>
      </c>
      <c r="D5992" s="8"/>
      <c r="E5992" s="6"/>
      <c r="F5992" s="6"/>
    </row>
    <row r="5993" spans="1:6" x14ac:dyDescent="0.3">
      <c r="A5993" s="8" t="s">
        <v>11945</v>
      </c>
      <c r="B5993" s="8" t="s">
        <v>59596</v>
      </c>
      <c r="C5993" s="8" t="s">
        <v>11946</v>
      </c>
      <c r="D5993" s="8"/>
      <c r="E5993" s="6"/>
      <c r="F5993" s="6"/>
    </row>
    <row r="5994" spans="1:6" x14ac:dyDescent="0.3">
      <c r="A5994" s="8" t="s">
        <v>11947</v>
      </c>
      <c r="B5994" s="8" t="s">
        <v>59597</v>
      </c>
      <c r="C5994" s="8" t="s">
        <v>11948</v>
      </c>
      <c r="D5994" s="8"/>
      <c r="E5994" s="6"/>
      <c r="F5994" s="6"/>
    </row>
    <row r="5995" spans="1:6" x14ac:dyDescent="0.3">
      <c r="A5995" s="8" t="s">
        <v>11949</v>
      </c>
      <c r="B5995" s="8" t="s">
        <v>59598</v>
      </c>
      <c r="C5995" s="8" t="s">
        <v>11950</v>
      </c>
      <c r="D5995" s="8"/>
      <c r="E5995" s="6"/>
      <c r="F5995" s="6"/>
    </row>
    <row r="5996" spans="1:6" x14ac:dyDescent="0.3">
      <c r="A5996" s="8" t="s">
        <v>11951</v>
      </c>
      <c r="B5996" s="8" t="s">
        <v>59599</v>
      </c>
      <c r="C5996" s="8" t="s">
        <v>11952</v>
      </c>
      <c r="D5996" s="8"/>
      <c r="E5996" s="6"/>
      <c r="F5996" s="6"/>
    </row>
    <row r="5997" spans="1:6" x14ac:dyDescent="0.3">
      <c r="A5997" s="8" t="s">
        <v>11953</v>
      </c>
      <c r="B5997" s="8" t="s">
        <v>59600</v>
      </c>
      <c r="C5997" s="8" t="s">
        <v>11954</v>
      </c>
      <c r="D5997" s="8"/>
      <c r="E5997" s="6"/>
      <c r="F5997" s="6"/>
    </row>
    <row r="5998" spans="1:6" x14ac:dyDescent="0.3">
      <c r="A5998" s="8" t="s">
        <v>11955</v>
      </c>
      <c r="B5998" s="8" t="s">
        <v>59601</v>
      </c>
      <c r="C5998" s="8" t="s">
        <v>11956</v>
      </c>
      <c r="D5998" s="8"/>
      <c r="E5998" s="6"/>
      <c r="F5998" s="6"/>
    </row>
    <row r="5999" spans="1:6" x14ac:dyDescent="0.3">
      <c r="A5999" s="8" t="s">
        <v>11957</v>
      </c>
      <c r="B5999" s="8" t="s">
        <v>59602</v>
      </c>
      <c r="C5999" s="8" t="s">
        <v>11958</v>
      </c>
      <c r="D5999" s="8"/>
      <c r="E5999" s="6"/>
      <c r="F5999" s="6"/>
    </row>
    <row r="6000" spans="1:6" x14ac:dyDescent="0.3">
      <c r="A6000" s="8" t="s">
        <v>11959</v>
      </c>
      <c r="B6000" s="8" t="s">
        <v>59603</v>
      </c>
      <c r="C6000" s="8" t="s">
        <v>11960</v>
      </c>
      <c r="D6000" s="8"/>
      <c r="E6000" s="6"/>
      <c r="F6000" s="6"/>
    </row>
    <row r="6001" spans="1:6" x14ac:dyDescent="0.3">
      <c r="A6001" s="8" t="s">
        <v>11961</v>
      </c>
      <c r="B6001" s="8" t="s">
        <v>59604</v>
      </c>
      <c r="C6001" s="8" t="s">
        <v>11962</v>
      </c>
      <c r="D6001" s="8"/>
      <c r="E6001" s="6"/>
      <c r="F6001" s="6"/>
    </row>
    <row r="6002" spans="1:6" x14ac:dyDescent="0.3">
      <c r="A6002" s="8" t="s">
        <v>11963</v>
      </c>
      <c r="B6002" s="8" t="s">
        <v>59605</v>
      </c>
      <c r="C6002" s="8" t="s">
        <v>11964</v>
      </c>
      <c r="D6002" s="8"/>
      <c r="E6002" s="6"/>
      <c r="F6002" s="6"/>
    </row>
    <row r="6003" spans="1:6" x14ac:dyDescent="0.3">
      <c r="A6003" s="8" t="s">
        <v>11965</v>
      </c>
      <c r="B6003" s="8" t="s">
        <v>59606</v>
      </c>
      <c r="C6003" s="8" t="s">
        <v>11966</v>
      </c>
      <c r="D6003" s="8"/>
      <c r="E6003" s="6"/>
      <c r="F6003" s="6"/>
    </row>
    <row r="6004" spans="1:6" x14ac:dyDescent="0.3">
      <c r="A6004" s="8" t="s">
        <v>11967</v>
      </c>
      <c r="B6004" s="8" t="s">
        <v>59607</v>
      </c>
      <c r="C6004" s="8" t="s">
        <v>11968</v>
      </c>
      <c r="D6004" s="8"/>
      <c r="E6004" s="6"/>
      <c r="F6004" s="6"/>
    </row>
    <row r="6005" spans="1:6" x14ac:dyDescent="0.3">
      <c r="A6005" s="8" t="s">
        <v>11969</v>
      </c>
      <c r="B6005" s="8" t="s">
        <v>59608</v>
      </c>
      <c r="C6005" s="8" t="s">
        <v>11970</v>
      </c>
      <c r="D6005" s="8"/>
      <c r="E6005" s="6"/>
      <c r="F6005" s="6"/>
    </row>
    <row r="6006" spans="1:6" x14ac:dyDescent="0.3">
      <c r="A6006" s="8" t="s">
        <v>11971</v>
      </c>
      <c r="B6006" s="8" t="s">
        <v>59609</v>
      </c>
      <c r="C6006" s="8" t="s">
        <v>11972</v>
      </c>
      <c r="D6006" s="8"/>
      <c r="E6006" s="6"/>
      <c r="F6006" s="6"/>
    </row>
    <row r="6007" spans="1:6" x14ac:dyDescent="0.3">
      <c r="A6007" s="8" t="s">
        <v>11973</v>
      </c>
      <c r="B6007" s="8" t="s">
        <v>59610</v>
      </c>
      <c r="C6007" s="8" t="s">
        <v>11974</v>
      </c>
      <c r="D6007" s="8"/>
      <c r="E6007" s="6"/>
      <c r="F6007" s="6"/>
    </row>
    <row r="6008" spans="1:6" x14ac:dyDescent="0.3">
      <c r="A6008" s="8" t="s">
        <v>11975</v>
      </c>
      <c r="B6008" s="8" t="s">
        <v>59611</v>
      </c>
      <c r="C6008" s="8" t="s">
        <v>11976</v>
      </c>
      <c r="D6008" s="8"/>
      <c r="E6008" s="6"/>
      <c r="F6008" s="6"/>
    </row>
    <row r="6009" spans="1:6" x14ac:dyDescent="0.3">
      <c r="A6009" s="8" t="s">
        <v>11977</v>
      </c>
      <c r="B6009" s="8" t="s">
        <v>59612</v>
      </c>
      <c r="C6009" s="8" t="s">
        <v>11978</v>
      </c>
      <c r="D6009" s="8"/>
      <c r="E6009" s="6"/>
      <c r="F6009" s="6"/>
    </row>
    <row r="6010" spans="1:6" x14ac:dyDescent="0.3">
      <c r="A6010" s="8" t="s">
        <v>11979</v>
      </c>
      <c r="B6010" s="8" t="s">
        <v>59613</v>
      </c>
      <c r="C6010" s="8" t="s">
        <v>11980</v>
      </c>
      <c r="D6010" s="8"/>
      <c r="E6010" s="6"/>
      <c r="F6010" s="6"/>
    </row>
    <row r="6011" spans="1:6" x14ac:dyDescent="0.3">
      <c r="A6011" s="8" t="s">
        <v>11981</v>
      </c>
      <c r="B6011" s="8" t="s">
        <v>59614</v>
      </c>
      <c r="C6011" s="8" t="s">
        <v>11982</v>
      </c>
      <c r="D6011" s="8"/>
      <c r="E6011" s="6"/>
      <c r="F6011" s="6"/>
    </row>
    <row r="6012" spans="1:6" x14ac:dyDescent="0.3">
      <c r="A6012" s="8" t="s">
        <v>11983</v>
      </c>
      <c r="B6012" s="8" t="s">
        <v>59615</v>
      </c>
      <c r="C6012" s="8" t="s">
        <v>11984</v>
      </c>
      <c r="D6012" s="8"/>
      <c r="E6012" s="6"/>
      <c r="F6012" s="6"/>
    </row>
    <row r="6013" spans="1:6" x14ac:dyDescent="0.3">
      <c r="A6013" s="8" t="s">
        <v>11985</v>
      </c>
      <c r="B6013" s="8" t="s">
        <v>59616</v>
      </c>
      <c r="C6013" s="8" t="s">
        <v>11986</v>
      </c>
      <c r="D6013" s="8"/>
      <c r="E6013" s="6"/>
      <c r="F6013" s="6"/>
    </row>
    <row r="6014" spans="1:6" x14ac:dyDescent="0.3">
      <c r="A6014" s="8" t="s">
        <v>11987</v>
      </c>
      <c r="B6014" s="8" t="s">
        <v>59617</v>
      </c>
      <c r="C6014" s="8" t="s">
        <v>11988</v>
      </c>
      <c r="D6014" s="8"/>
      <c r="E6014" s="6"/>
      <c r="F6014" s="6"/>
    </row>
    <row r="6015" spans="1:6" x14ac:dyDescent="0.3">
      <c r="A6015" s="8" t="s">
        <v>11989</v>
      </c>
      <c r="B6015" s="8" t="s">
        <v>59618</v>
      </c>
      <c r="C6015" s="8" t="s">
        <v>11990</v>
      </c>
      <c r="D6015" s="8"/>
      <c r="E6015" s="6"/>
      <c r="F6015" s="6"/>
    </row>
    <row r="6016" spans="1:6" x14ac:dyDescent="0.3">
      <c r="A6016" s="8" t="s">
        <v>11991</v>
      </c>
      <c r="B6016" s="8" t="s">
        <v>59619</v>
      </c>
      <c r="C6016" s="8" t="s">
        <v>11992</v>
      </c>
      <c r="D6016" s="8"/>
      <c r="E6016" s="6"/>
      <c r="F6016" s="6"/>
    </row>
    <row r="6017" spans="1:6" x14ac:dyDescent="0.3">
      <c r="A6017" s="8" t="s">
        <v>11993</v>
      </c>
      <c r="B6017" s="8" t="s">
        <v>59620</v>
      </c>
      <c r="C6017" s="8" t="s">
        <v>11994</v>
      </c>
      <c r="D6017" s="8"/>
      <c r="E6017" s="6"/>
      <c r="F6017" s="6"/>
    </row>
    <row r="6018" spans="1:6" x14ac:dyDescent="0.3">
      <c r="A6018" s="8" t="s">
        <v>11995</v>
      </c>
      <c r="B6018" s="8" t="s">
        <v>59621</v>
      </c>
      <c r="C6018" s="8" t="s">
        <v>11996</v>
      </c>
      <c r="D6018" s="8"/>
      <c r="E6018" s="6"/>
      <c r="F6018" s="6"/>
    </row>
    <row r="6019" spans="1:6" x14ac:dyDescent="0.3">
      <c r="A6019" s="8" t="s">
        <v>11997</v>
      </c>
      <c r="B6019" s="8" t="s">
        <v>59622</v>
      </c>
      <c r="C6019" s="8" t="s">
        <v>11998</v>
      </c>
      <c r="D6019" s="8"/>
      <c r="E6019" s="6"/>
      <c r="F6019" s="6"/>
    </row>
    <row r="6020" spans="1:6" x14ac:dyDescent="0.3">
      <c r="A6020" s="8" t="s">
        <v>11999</v>
      </c>
      <c r="B6020" s="8" t="s">
        <v>59623</v>
      </c>
      <c r="C6020" s="8" t="s">
        <v>12000</v>
      </c>
      <c r="D6020" s="8"/>
      <c r="E6020" s="6"/>
      <c r="F6020" s="6"/>
    </row>
    <row r="6021" spans="1:6" x14ac:dyDescent="0.3">
      <c r="A6021" s="8" t="s">
        <v>12001</v>
      </c>
      <c r="B6021" s="8" t="s">
        <v>59624</v>
      </c>
      <c r="C6021" s="8" t="s">
        <v>12002</v>
      </c>
      <c r="D6021" s="8"/>
      <c r="E6021" s="6"/>
      <c r="F6021" s="6"/>
    </row>
    <row r="6022" spans="1:6" x14ac:dyDescent="0.3">
      <c r="A6022" s="8" t="s">
        <v>12003</v>
      </c>
      <c r="B6022" s="8" t="s">
        <v>59625</v>
      </c>
      <c r="C6022" s="8" t="s">
        <v>12004</v>
      </c>
      <c r="D6022" s="8"/>
      <c r="E6022" s="6"/>
      <c r="F6022" s="6"/>
    </row>
    <row r="6023" spans="1:6" x14ac:dyDescent="0.3">
      <c r="A6023" s="8" t="s">
        <v>12005</v>
      </c>
      <c r="B6023" s="8" t="s">
        <v>59626</v>
      </c>
      <c r="C6023" s="8" t="s">
        <v>12006</v>
      </c>
      <c r="D6023" s="8"/>
      <c r="E6023" s="6"/>
      <c r="F6023" s="6"/>
    </row>
    <row r="6024" spans="1:6" x14ac:dyDescent="0.3">
      <c r="A6024" s="8" t="s">
        <v>12007</v>
      </c>
      <c r="B6024" s="8" t="s">
        <v>59627</v>
      </c>
      <c r="C6024" s="8" t="s">
        <v>12008</v>
      </c>
      <c r="D6024" s="8"/>
      <c r="E6024" s="6"/>
      <c r="F6024" s="6"/>
    </row>
    <row r="6025" spans="1:6" x14ac:dyDescent="0.3">
      <c r="A6025" s="8" t="s">
        <v>12009</v>
      </c>
      <c r="B6025" s="8" t="s">
        <v>59628</v>
      </c>
      <c r="C6025" s="8" t="s">
        <v>12010</v>
      </c>
      <c r="D6025" s="8"/>
      <c r="E6025" s="6"/>
      <c r="F6025" s="6"/>
    </row>
    <row r="6026" spans="1:6" x14ac:dyDescent="0.3">
      <c r="A6026" s="8" t="s">
        <v>12011</v>
      </c>
      <c r="B6026" s="8" t="s">
        <v>59629</v>
      </c>
      <c r="C6026" s="8" t="s">
        <v>12012</v>
      </c>
      <c r="D6026" s="8"/>
      <c r="E6026" s="6"/>
      <c r="F6026" s="6"/>
    </row>
    <row r="6027" spans="1:6" x14ac:dyDescent="0.3">
      <c r="A6027" s="8" t="s">
        <v>12013</v>
      </c>
      <c r="B6027" s="8" t="s">
        <v>59630</v>
      </c>
      <c r="C6027" s="8" t="s">
        <v>12014</v>
      </c>
      <c r="D6027" s="8"/>
      <c r="E6027" s="6"/>
      <c r="F6027" s="6"/>
    </row>
    <row r="6028" spans="1:6" x14ac:dyDescent="0.3">
      <c r="A6028" s="8" t="s">
        <v>12015</v>
      </c>
      <c r="B6028" s="8" t="s">
        <v>59631</v>
      </c>
      <c r="C6028" s="8" t="s">
        <v>12016</v>
      </c>
      <c r="D6028" s="8"/>
      <c r="E6028" s="6"/>
      <c r="F6028" s="6"/>
    </row>
    <row r="6029" spans="1:6" x14ac:dyDescent="0.3">
      <c r="A6029" s="8" t="s">
        <v>12017</v>
      </c>
      <c r="B6029" s="8" t="s">
        <v>59632</v>
      </c>
      <c r="C6029" s="8" t="s">
        <v>12018</v>
      </c>
      <c r="D6029" s="8"/>
      <c r="E6029" s="6"/>
      <c r="F6029" s="6"/>
    </row>
    <row r="6030" spans="1:6" x14ac:dyDescent="0.3">
      <c r="A6030" s="8" t="s">
        <v>12019</v>
      </c>
      <c r="B6030" s="8" t="s">
        <v>59633</v>
      </c>
      <c r="C6030" s="8" t="s">
        <v>12020</v>
      </c>
      <c r="D6030" s="8"/>
      <c r="E6030" s="6"/>
      <c r="F6030" s="6"/>
    </row>
    <row r="6031" spans="1:6" x14ac:dyDescent="0.3">
      <c r="A6031" s="8" t="s">
        <v>12021</v>
      </c>
      <c r="B6031" s="8" t="s">
        <v>59634</v>
      </c>
      <c r="C6031" s="8" t="s">
        <v>12022</v>
      </c>
      <c r="D6031" s="8"/>
      <c r="E6031" s="6"/>
      <c r="F6031" s="6"/>
    </row>
    <row r="6032" spans="1:6" x14ac:dyDescent="0.3">
      <c r="A6032" s="8" t="s">
        <v>12023</v>
      </c>
      <c r="B6032" s="8" t="s">
        <v>59635</v>
      </c>
      <c r="C6032" s="8" t="s">
        <v>12024</v>
      </c>
      <c r="D6032" s="8"/>
      <c r="E6032" s="6"/>
      <c r="F6032" s="6"/>
    </row>
    <row r="6033" spans="1:6" x14ac:dyDescent="0.3">
      <c r="A6033" s="8" t="s">
        <v>12025</v>
      </c>
      <c r="B6033" s="8" t="s">
        <v>59636</v>
      </c>
      <c r="C6033" s="8" t="s">
        <v>12026</v>
      </c>
      <c r="D6033" s="8"/>
      <c r="E6033" s="6"/>
      <c r="F6033" s="6"/>
    </row>
    <row r="6034" spans="1:6" x14ac:dyDescent="0.3">
      <c r="A6034" s="8" t="s">
        <v>12027</v>
      </c>
      <c r="B6034" s="8" t="s">
        <v>59637</v>
      </c>
      <c r="C6034" s="8" t="s">
        <v>12028</v>
      </c>
      <c r="D6034" s="8"/>
      <c r="E6034" s="6"/>
      <c r="F6034" s="6"/>
    </row>
    <row r="6035" spans="1:6" x14ac:dyDescent="0.3">
      <c r="A6035" s="8" t="s">
        <v>12029</v>
      </c>
      <c r="B6035" s="8" t="s">
        <v>59638</v>
      </c>
      <c r="C6035" s="8" t="s">
        <v>12030</v>
      </c>
      <c r="D6035" s="8"/>
      <c r="E6035" s="6"/>
      <c r="F6035" s="6"/>
    </row>
    <row r="6036" spans="1:6" x14ac:dyDescent="0.3">
      <c r="A6036" s="8" t="s">
        <v>12031</v>
      </c>
      <c r="B6036" s="8" t="s">
        <v>59639</v>
      </c>
      <c r="C6036" s="8" t="s">
        <v>12032</v>
      </c>
      <c r="D6036" s="8"/>
      <c r="E6036" s="6"/>
      <c r="F6036" s="6"/>
    </row>
    <row r="6037" spans="1:6" x14ac:dyDescent="0.3">
      <c r="A6037" s="8" t="s">
        <v>12033</v>
      </c>
      <c r="B6037" s="8" t="s">
        <v>59640</v>
      </c>
      <c r="C6037" s="8" t="s">
        <v>12034</v>
      </c>
      <c r="D6037" s="8"/>
      <c r="E6037" s="6"/>
      <c r="F6037" s="6"/>
    </row>
    <row r="6038" spans="1:6" x14ac:dyDescent="0.3">
      <c r="A6038" s="8" t="s">
        <v>12035</v>
      </c>
      <c r="B6038" s="8" t="s">
        <v>59641</v>
      </c>
      <c r="C6038" s="8" t="s">
        <v>12036</v>
      </c>
      <c r="D6038" s="8"/>
      <c r="E6038" s="6"/>
      <c r="F6038" s="6"/>
    </row>
    <row r="6039" spans="1:6" x14ac:dyDescent="0.3">
      <c r="A6039" s="8" t="s">
        <v>12037</v>
      </c>
      <c r="B6039" s="8" t="s">
        <v>59642</v>
      </c>
      <c r="C6039" s="8" t="s">
        <v>12038</v>
      </c>
      <c r="D6039" s="8"/>
      <c r="E6039" s="6"/>
      <c r="F6039" s="6"/>
    </row>
    <row r="6040" spans="1:6" x14ac:dyDescent="0.3">
      <c r="A6040" s="8" t="s">
        <v>12039</v>
      </c>
      <c r="B6040" s="8" t="s">
        <v>59643</v>
      </c>
      <c r="C6040" s="8" t="s">
        <v>12040</v>
      </c>
      <c r="D6040" s="8"/>
      <c r="E6040" s="6"/>
      <c r="F6040" s="6"/>
    </row>
    <row r="6041" spans="1:6" x14ac:dyDescent="0.3">
      <c r="A6041" s="8" t="s">
        <v>12041</v>
      </c>
      <c r="B6041" s="8" t="s">
        <v>59644</v>
      </c>
      <c r="C6041" s="8" t="s">
        <v>12042</v>
      </c>
      <c r="D6041" s="8"/>
      <c r="E6041" s="6"/>
      <c r="F6041" s="6"/>
    </row>
    <row r="6042" spans="1:6" x14ac:dyDescent="0.3">
      <c r="A6042" s="8" t="s">
        <v>12043</v>
      </c>
      <c r="B6042" s="8" t="s">
        <v>59645</v>
      </c>
      <c r="C6042" s="8" t="s">
        <v>12044</v>
      </c>
      <c r="D6042" s="8"/>
      <c r="E6042" s="6"/>
      <c r="F6042" s="6"/>
    </row>
    <row r="6043" spans="1:6" x14ac:dyDescent="0.3">
      <c r="A6043" s="8" t="s">
        <v>12045</v>
      </c>
      <c r="B6043" s="8" t="s">
        <v>59646</v>
      </c>
      <c r="C6043" s="8" t="s">
        <v>12046</v>
      </c>
      <c r="D6043" s="8"/>
      <c r="E6043" s="6"/>
      <c r="F6043" s="6"/>
    </row>
    <row r="6044" spans="1:6" x14ac:dyDescent="0.3">
      <c r="A6044" s="8" t="s">
        <v>12047</v>
      </c>
      <c r="B6044" s="8" t="s">
        <v>59647</v>
      </c>
      <c r="C6044" s="8" t="s">
        <v>12048</v>
      </c>
      <c r="D6044" s="8"/>
      <c r="E6044" s="6"/>
      <c r="F6044" s="6"/>
    </row>
    <row r="6045" spans="1:6" x14ac:dyDescent="0.3">
      <c r="A6045" s="8" t="s">
        <v>12049</v>
      </c>
      <c r="B6045" s="8" t="s">
        <v>59648</v>
      </c>
      <c r="C6045" s="8" t="s">
        <v>12050</v>
      </c>
      <c r="D6045" s="8"/>
      <c r="E6045" s="6"/>
      <c r="F6045" s="6"/>
    </row>
    <row r="6046" spans="1:6" x14ac:dyDescent="0.3">
      <c r="A6046" s="8" t="s">
        <v>12051</v>
      </c>
      <c r="B6046" s="8" t="s">
        <v>59649</v>
      </c>
      <c r="C6046" s="8" t="s">
        <v>12052</v>
      </c>
      <c r="D6046" s="8"/>
      <c r="E6046" s="6"/>
      <c r="F6046" s="6"/>
    </row>
    <row r="6047" spans="1:6" x14ac:dyDescent="0.3">
      <c r="A6047" s="8" t="s">
        <v>12053</v>
      </c>
      <c r="B6047" s="8" t="s">
        <v>59650</v>
      </c>
      <c r="C6047" s="8" t="s">
        <v>12054</v>
      </c>
      <c r="D6047" s="8"/>
      <c r="E6047" s="6"/>
      <c r="F6047" s="6"/>
    </row>
    <row r="6048" spans="1:6" x14ac:dyDescent="0.3">
      <c r="A6048" s="8" t="s">
        <v>12055</v>
      </c>
      <c r="B6048" s="8" t="s">
        <v>59651</v>
      </c>
      <c r="C6048" s="8" t="s">
        <v>12056</v>
      </c>
      <c r="D6048" s="8"/>
      <c r="E6048" s="6"/>
      <c r="F6048" s="6"/>
    </row>
    <row r="6049" spans="1:6" x14ac:dyDescent="0.3">
      <c r="A6049" s="8" t="s">
        <v>12057</v>
      </c>
      <c r="B6049" s="8" t="s">
        <v>59652</v>
      </c>
      <c r="C6049" s="8" t="s">
        <v>12058</v>
      </c>
      <c r="D6049" s="8"/>
      <c r="E6049" s="6"/>
      <c r="F6049" s="6"/>
    </row>
    <row r="6050" spans="1:6" x14ac:dyDescent="0.3">
      <c r="A6050" s="8" t="s">
        <v>12059</v>
      </c>
      <c r="B6050" s="8" t="s">
        <v>59653</v>
      </c>
      <c r="C6050" s="8" t="s">
        <v>12060</v>
      </c>
      <c r="D6050" s="8"/>
      <c r="E6050" s="6"/>
      <c r="F6050" s="6"/>
    </row>
    <row r="6051" spans="1:6" x14ac:dyDescent="0.3">
      <c r="A6051" s="8" t="s">
        <v>12061</v>
      </c>
      <c r="B6051" s="8" t="s">
        <v>59654</v>
      </c>
      <c r="C6051" s="8" t="s">
        <v>12062</v>
      </c>
      <c r="D6051" s="8"/>
      <c r="E6051" s="6"/>
      <c r="F6051" s="6"/>
    </row>
    <row r="6052" spans="1:6" x14ac:dyDescent="0.3">
      <c r="A6052" s="8" t="s">
        <v>12063</v>
      </c>
      <c r="B6052" s="8" t="s">
        <v>59655</v>
      </c>
      <c r="C6052" s="8" t="s">
        <v>12064</v>
      </c>
      <c r="D6052" s="8"/>
      <c r="E6052" s="6"/>
      <c r="F6052" s="6"/>
    </row>
    <row r="6053" spans="1:6" x14ac:dyDescent="0.3">
      <c r="A6053" s="8" t="s">
        <v>12065</v>
      </c>
      <c r="B6053" s="8" t="s">
        <v>59656</v>
      </c>
      <c r="C6053" s="8" t="s">
        <v>12066</v>
      </c>
      <c r="D6053" s="8"/>
      <c r="E6053" s="6"/>
      <c r="F6053" s="6"/>
    </row>
    <row r="6054" spans="1:6" x14ac:dyDescent="0.3">
      <c r="A6054" s="8" t="s">
        <v>12067</v>
      </c>
      <c r="B6054" s="8" t="s">
        <v>59657</v>
      </c>
      <c r="C6054" s="8" t="s">
        <v>12068</v>
      </c>
      <c r="D6054" s="8"/>
      <c r="E6054" s="6"/>
      <c r="F6054" s="6"/>
    </row>
    <row r="6055" spans="1:6" x14ac:dyDescent="0.3">
      <c r="A6055" s="8" t="s">
        <v>12069</v>
      </c>
      <c r="B6055" s="8" t="s">
        <v>59658</v>
      </c>
      <c r="C6055" s="8" t="s">
        <v>12070</v>
      </c>
      <c r="D6055" s="8"/>
      <c r="E6055" s="6"/>
      <c r="F6055" s="6"/>
    </row>
    <row r="6056" spans="1:6" x14ac:dyDescent="0.3">
      <c r="A6056" s="8" t="s">
        <v>12071</v>
      </c>
      <c r="B6056" s="8" t="s">
        <v>59659</v>
      </c>
      <c r="C6056" s="8" t="s">
        <v>12072</v>
      </c>
      <c r="D6056" s="8"/>
      <c r="E6056" s="6"/>
      <c r="F6056" s="6"/>
    </row>
    <row r="6057" spans="1:6" x14ac:dyDescent="0.3">
      <c r="A6057" s="8" t="s">
        <v>12073</v>
      </c>
      <c r="B6057" s="8" t="s">
        <v>59660</v>
      </c>
      <c r="C6057" s="8" t="s">
        <v>12074</v>
      </c>
      <c r="D6057" s="8"/>
      <c r="E6057" s="6"/>
      <c r="F6057" s="6"/>
    </row>
    <row r="6058" spans="1:6" x14ac:dyDescent="0.3">
      <c r="A6058" s="8" t="s">
        <v>12075</v>
      </c>
      <c r="B6058" s="8" t="s">
        <v>59661</v>
      </c>
      <c r="C6058" s="8" t="s">
        <v>12076</v>
      </c>
      <c r="D6058" s="8"/>
      <c r="E6058" s="6"/>
      <c r="F6058" s="6"/>
    </row>
    <row r="6059" spans="1:6" x14ac:dyDescent="0.3">
      <c r="A6059" s="8" t="s">
        <v>12077</v>
      </c>
      <c r="B6059" s="8" t="s">
        <v>59662</v>
      </c>
      <c r="C6059" s="8" t="s">
        <v>12078</v>
      </c>
      <c r="D6059" s="8"/>
      <c r="E6059" s="6"/>
      <c r="F6059" s="6"/>
    </row>
    <row r="6060" spans="1:6" x14ac:dyDescent="0.3">
      <c r="A6060" s="8" t="s">
        <v>12079</v>
      </c>
      <c r="B6060" s="8" t="s">
        <v>59663</v>
      </c>
      <c r="C6060" s="8" t="s">
        <v>12080</v>
      </c>
      <c r="D6060" s="8"/>
      <c r="E6060" s="6"/>
      <c r="F6060" s="6"/>
    </row>
    <row r="6061" spans="1:6" x14ac:dyDescent="0.3">
      <c r="A6061" s="8" t="s">
        <v>12081</v>
      </c>
      <c r="B6061" s="8" t="s">
        <v>59664</v>
      </c>
      <c r="C6061" s="8" t="s">
        <v>12082</v>
      </c>
      <c r="D6061" s="8"/>
      <c r="E6061" s="6"/>
      <c r="F6061" s="6"/>
    </row>
    <row r="6062" spans="1:6" x14ac:dyDescent="0.3">
      <c r="A6062" s="8" t="s">
        <v>12083</v>
      </c>
      <c r="B6062" s="8" t="s">
        <v>59665</v>
      </c>
      <c r="C6062" s="8" t="s">
        <v>12084</v>
      </c>
      <c r="D6062" s="8"/>
      <c r="E6062" s="6"/>
      <c r="F6062" s="6"/>
    </row>
    <row r="6063" spans="1:6" x14ac:dyDescent="0.3">
      <c r="A6063" s="8" t="s">
        <v>12085</v>
      </c>
      <c r="B6063" s="8" t="s">
        <v>59666</v>
      </c>
      <c r="C6063" s="8" t="s">
        <v>12086</v>
      </c>
      <c r="D6063" s="8"/>
      <c r="E6063" s="6"/>
      <c r="F6063" s="6"/>
    </row>
    <row r="6064" spans="1:6" x14ac:dyDescent="0.3">
      <c r="A6064" s="8" t="s">
        <v>12087</v>
      </c>
      <c r="B6064" s="8" t="s">
        <v>59667</v>
      </c>
      <c r="C6064" s="8" t="s">
        <v>12088</v>
      </c>
      <c r="D6064" s="8"/>
      <c r="E6064" s="6"/>
      <c r="F6064" s="6"/>
    </row>
    <row r="6065" spans="1:6" x14ac:dyDescent="0.3">
      <c r="A6065" s="8" t="s">
        <v>12089</v>
      </c>
      <c r="B6065" s="8" t="s">
        <v>59668</v>
      </c>
      <c r="C6065" s="8" t="s">
        <v>12090</v>
      </c>
      <c r="D6065" s="8"/>
      <c r="E6065" s="6"/>
      <c r="F6065" s="6"/>
    </row>
    <row r="6066" spans="1:6" x14ac:dyDescent="0.3">
      <c r="A6066" s="8" t="s">
        <v>12091</v>
      </c>
      <c r="B6066" s="8" t="s">
        <v>59669</v>
      </c>
      <c r="C6066" s="8" t="s">
        <v>12092</v>
      </c>
      <c r="D6066" s="8"/>
      <c r="E6066" s="6"/>
      <c r="F6066" s="6"/>
    </row>
    <row r="6067" spans="1:6" x14ac:dyDescent="0.3">
      <c r="A6067" s="8" t="s">
        <v>12093</v>
      </c>
      <c r="B6067" s="8" t="s">
        <v>59670</v>
      </c>
      <c r="C6067" s="8" t="s">
        <v>12094</v>
      </c>
      <c r="D6067" s="8"/>
      <c r="E6067" s="6"/>
      <c r="F6067" s="6"/>
    </row>
    <row r="6068" spans="1:6" x14ac:dyDescent="0.3">
      <c r="A6068" s="8" t="s">
        <v>12095</v>
      </c>
      <c r="B6068" s="8" t="s">
        <v>59671</v>
      </c>
      <c r="C6068" s="8" t="s">
        <v>12096</v>
      </c>
      <c r="D6068" s="8"/>
      <c r="E6068" s="6"/>
      <c r="F6068" s="6"/>
    </row>
    <row r="6069" spans="1:6" x14ac:dyDescent="0.3">
      <c r="A6069" s="8" t="s">
        <v>12097</v>
      </c>
      <c r="B6069" s="8" t="s">
        <v>59672</v>
      </c>
      <c r="C6069" s="8" t="s">
        <v>12098</v>
      </c>
      <c r="D6069" s="8"/>
      <c r="E6069" s="6"/>
      <c r="F6069" s="6"/>
    </row>
    <row r="6070" spans="1:6" x14ac:dyDescent="0.3">
      <c r="A6070" s="8" t="s">
        <v>12099</v>
      </c>
      <c r="B6070" s="8" t="s">
        <v>59673</v>
      </c>
      <c r="C6070" s="8" t="s">
        <v>12100</v>
      </c>
      <c r="D6070" s="8"/>
      <c r="E6070" s="6"/>
      <c r="F6070" s="6"/>
    </row>
    <row r="6071" spans="1:6" x14ac:dyDescent="0.3">
      <c r="A6071" s="8" t="s">
        <v>12101</v>
      </c>
      <c r="B6071" s="8" t="s">
        <v>59674</v>
      </c>
      <c r="C6071" s="8" t="s">
        <v>12102</v>
      </c>
      <c r="D6071" s="8"/>
      <c r="E6071" s="6"/>
      <c r="F6071" s="6"/>
    </row>
    <row r="6072" spans="1:6" x14ac:dyDescent="0.3">
      <c r="A6072" s="8" t="s">
        <v>12103</v>
      </c>
      <c r="B6072" s="8" t="s">
        <v>59675</v>
      </c>
      <c r="C6072" s="8" t="s">
        <v>12104</v>
      </c>
      <c r="D6072" s="8"/>
      <c r="E6072" s="6"/>
      <c r="F6072" s="6"/>
    </row>
    <row r="6073" spans="1:6" x14ac:dyDescent="0.3">
      <c r="A6073" s="8" t="s">
        <v>12105</v>
      </c>
      <c r="B6073" s="8" t="s">
        <v>59676</v>
      </c>
      <c r="C6073" s="8" t="s">
        <v>12106</v>
      </c>
      <c r="D6073" s="8"/>
      <c r="E6073" s="6"/>
      <c r="F6073" s="6"/>
    </row>
    <row r="6074" spans="1:6" x14ac:dyDescent="0.3">
      <c r="A6074" s="8" t="s">
        <v>12107</v>
      </c>
      <c r="B6074" s="8" t="s">
        <v>59677</v>
      </c>
      <c r="C6074" s="8" t="s">
        <v>12108</v>
      </c>
      <c r="D6074" s="8"/>
      <c r="E6074" s="6"/>
      <c r="F6074" s="6"/>
    </row>
    <row r="6075" spans="1:6" x14ac:dyDescent="0.3">
      <c r="A6075" s="8" t="s">
        <v>12109</v>
      </c>
      <c r="B6075" s="8" t="s">
        <v>59678</v>
      </c>
      <c r="C6075" s="8" t="s">
        <v>12110</v>
      </c>
      <c r="D6075" s="8"/>
      <c r="E6075" s="6"/>
      <c r="F6075" s="6"/>
    </row>
    <row r="6076" spans="1:6" x14ac:dyDescent="0.3">
      <c r="A6076" s="8" t="s">
        <v>12111</v>
      </c>
      <c r="B6076" s="8" t="s">
        <v>59679</v>
      </c>
      <c r="C6076" s="8" t="s">
        <v>12112</v>
      </c>
      <c r="D6076" s="8"/>
      <c r="E6076" s="6"/>
      <c r="F6076" s="6"/>
    </row>
    <row r="6077" spans="1:6" x14ac:dyDescent="0.3">
      <c r="A6077" s="8" t="s">
        <v>12113</v>
      </c>
      <c r="B6077" s="8" t="s">
        <v>59680</v>
      </c>
      <c r="C6077" s="8" t="s">
        <v>12114</v>
      </c>
      <c r="D6077" s="8"/>
      <c r="E6077" s="6"/>
      <c r="F6077" s="6"/>
    </row>
    <row r="6078" spans="1:6" x14ac:dyDescent="0.3">
      <c r="A6078" s="8" t="s">
        <v>12115</v>
      </c>
      <c r="B6078" s="8" t="s">
        <v>59681</v>
      </c>
      <c r="C6078" s="8" t="s">
        <v>12116</v>
      </c>
      <c r="D6078" s="8"/>
      <c r="E6078" s="6"/>
      <c r="F6078" s="6"/>
    </row>
    <row r="6079" spans="1:6" x14ac:dyDescent="0.3">
      <c r="A6079" s="8" t="s">
        <v>12117</v>
      </c>
      <c r="B6079" s="8" t="s">
        <v>59682</v>
      </c>
      <c r="C6079" s="8" t="s">
        <v>12118</v>
      </c>
      <c r="D6079" s="8"/>
      <c r="E6079" s="6"/>
      <c r="F6079" s="6"/>
    </row>
    <row r="6080" spans="1:6" x14ac:dyDescent="0.3">
      <c r="A6080" s="8" t="s">
        <v>12119</v>
      </c>
      <c r="B6080" s="8" t="s">
        <v>59683</v>
      </c>
      <c r="C6080" s="8" t="s">
        <v>12120</v>
      </c>
      <c r="D6080" s="8"/>
      <c r="E6080" s="6"/>
      <c r="F6080" s="6"/>
    </row>
    <row r="6081" spans="1:6" x14ac:dyDescent="0.3">
      <c r="A6081" s="8" t="s">
        <v>12121</v>
      </c>
      <c r="B6081" s="8" t="s">
        <v>59684</v>
      </c>
      <c r="C6081" s="8" t="s">
        <v>12122</v>
      </c>
      <c r="D6081" s="8"/>
      <c r="E6081" s="6"/>
      <c r="F6081" s="6"/>
    </row>
    <row r="6082" spans="1:6" x14ac:dyDescent="0.3">
      <c r="A6082" s="8" t="s">
        <v>12123</v>
      </c>
      <c r="B6082" s="8" t="s">
        <v>59685</v>
      </c>
      <c r="C6082" s="8" t="s">
        <v>12124</v>
      </c>
      <c r="D6082" s="8"/>
      <c r="E6082" s="6"/>
      <c r="F6082" s="6"/>
    </row>
    <row r="6083" spans="1:6" x14ac:dyDescent="0.3">
      <c r="A6083" s="8" t="s">
        <v>12125</v>
      </c>
      <c r="B6083" s="8" t="s">
        <v>59686</v>
      </c>
      <c r="C6083" s="8" t="s">
        <v>12126</v>
      </c>
      <c r="D6083" s="8"/>
      <c r="E6083" s="6"/>
      <c r="F6083" s="6"/>
    </row>
    <row r="6084" spans="1:6" x14ac:dyDescent="0.3">
      <c r="A6084" s="8" t="s">
        <v>12127</v>
      </c>
      <c r="B6084" s="8" t="s">
        <v>59687</v>
      </c>
      <c r="C6084" s="8" t="s">
        <v>12128</v>
      </c>
      <c r="D6084" s="8"/>
      <c r="E6084" s="6"/>
      <c r="F6084" s="6"/>
    </row>
    <row r="6085" spans="1:6" x14ac:dyDescent="0.3">
      <c r="A6085" s="8" t="s">
        <v>12129</v>
      </c>
      <c r="B6085" s="8" t="s">
        <v>59688</v>
      </c>
      <c r="C6085" s="8" t="s">
        <v>12130</v>
      </c>
      <c r="D6085" s="8"/>
      <c r="E6085" s="6"/>
      <c r="F6085" s="6"/>
    </row>
    <row r="6086" spans="1:6" x14ac:dyDescent="0.3">
      <c r="A6086" s="8" t="s">
        <v>12131</v>
      </c>
      <c r="B6086" s="8" t="s">
        <v>59689</v>
      </c>
      <c r="C6086" s="8" t="s">
        <v>12132</v>
      </c>
      <c r="D6086" s="8"/>
      <c r="E6086" s="6"/>
      <c r="F6086" s="6"/>
    </row>
    <row r="6087" spans="1:6" x14ac:dyDescent="0.3">
      <c r="A6087" s="8" t="s">
        <v>12133</v>
      </c>
      <c r="B6087" s="8" t="s">
        <v>59690</v>
      </c>
      <c r="C6087" s="8" t="s">
        <v>12134</v>
      </c>
      <c r="D6087" s="8"/>
      <c r="E6087" s="6"/>
      <c r="F6087" s="6"/>
    </row>
    <row r="6088" spans="1:6" x14ac:dyDescent="0.3">
      <c r="A6088" s="8" t="s">
        <v>12135</v>
      </c>
      <c r="B6088" s="8" t="s">
        <v>59691</v>
      </c>
      <c r="C6088" s="8" t="s">
        <v>12136</v>
      </c>
      <c r="D6088" s="8"/>
      <c r="E6088" s="6"/>
      <c r="F6088" s="6"/>
    </row>
    <row r="6089" spans="1:6" x14ac:dyDescent="0.3">
      <c r="A6089" s="8" t="s">
        <v>12137</v>
      </c>
      <c r="B6089" s="8" t="s">
        <v>59692</v>
      </c>
      <c r="C6089" s="8" t="s">
        <v>12138</v>
      </c>
      <c r="D6089" s="8"/>
      <c r="E6089" s="6"/>
      <c r="F6089" s="6"/>
    </row>
    <row r="6090" spans="1:6" x14ac:dyDescent="0.3">
      <c r="A6090" s="8" t="s">
        <v>12139</v>
      </c>
      <c r="B6090" s="8" t="s">
        <v>59693</v>
      </c>
      <c r="C6090" s="8" t="s">
        <v>12140</v>
      </c>
      <c r="D6090" s="8"/>
      <c r="E6090" s="6"/>
      <c r="F6090" s="6"/>
    </row>
    <row r="6091" spans="1:6" x14ac:dyDescent="0.3">
      <c r="A6091" s="8" t="s">
        <v>12141</v>
      </c>
      <c r="B6091" s="8" t="s">
        <v>59694</v>
      </c>
      <c r="C6091" s="8" t="s">
        <v>12142</v>
      </c>
      <c r="D6091" s="8"/>
      <c r="E6091" s="6"/>
      <c r="F6091" s="6"/>
    </row>
    <row r="6092" spans="1:6" x14ac:dyDescent="0.3">
      <c r="A6092" s="8" t="s">
        <v>12143</v>
      </c>
      <c r="B6092" s="8" t="s">
        <v>59695</v>
      </c>
      <c r="C6092" s="8" t="s">
        <v>12144</v>
      </c>
      <c r="D6092" s="8"/>
      <c r="E6092" s="6"/>
      <c r="F6092" s="6"/>
    </row>
    <row r="6093" spans="1:6" x14ac:dyDescent="0.3">
      <c r="A6093" s="8" t="s">
        <v>12145</v>
      </c>
      <c r="B6093" s="8" t="s">
        <v>59696</v>
      </c>
      <c r="C6093" s="8" t="s">
        <v>12146</v>
      </c>
      <c r="D6093" s="8"/>
      <c r="E6093" s="6"/>
      <c r="F6093" s="6"/>
    </row>
    <row r="6094" spans="1:6" x14ac:dyDescent="0.3">
      <c r="A6094" s="8" t="s">
        <v>12147</v>
      </c>
      <c r="B6094" s="8" t="s">
        <v>59697</v>
      </c>
      <c r="C6094" s="8" t="s">
        <v>12148</v>
      </c>
      <c r="D6094" s="8"/>
      <c r="E6094" s="6"/>
      <c r="F6094" s="6"/>
    </row>
    <row r="6095" spans="1:6" x14ac:dyDescent="0.3">
      <c r="A6095" s="8" t="s">
        <v>12149</v>
      </c>
      <c r="B6095" s="8" t="s">
        <v>59698</v>
      </c>
      <c r="C6095" s="8" t="s">
        <v>12150</v>
      </c>
      <c r="D6095" s="8"/>
      <c r="E6095" s="6"/>
      <c r="F6095" s="6"/>
    </row>
    <row r="6096" spans="1:6" x14ac:dyDescent="0.3">
      <c r="A6096" s="8" t="s">
        <v>12151</v>
      </c>
      <c r="B6096" s="8" t="s">
        <v>59699</v>
      </c>
      <c r="C6096" s="8" t="s">
        <v>12152</v>
      </c>
      <c r="D6096" s="8"/>
      <c r="E6096" s="6"/>
      <c r="F6096" s="6"/>
    </row>
    <row r="6097" spans="1:6" x14ac:dyDescent="0.3">
      <c r="A6097" s="8" t="s">
        <v>12153</v>
      </c>
      <c r="B6097" s="8" t="s">
        <v>59700</v>
      </c>
      <c r="C6097" s="8" t="s">
        <v>12154</v>
      </c>
      <c r="D6097" s="8"/>
      <c r="E6097" s="6"/>
      <c r="F6097" s="6"/>
    </row>
    <row r="6098" spans="1:6" x14ac:dyDescent="0.3">
      <c r="A6098" s="8" t="s">
        <v>12155</v>
      </c>
      <c r="B6098" s="8" t="s">
        <v>59701</v>
      </c>
      <c r="C6098" s="8" t="s">
        <v>12156</v>
      </c>
      <c r="D6098" s="8"/>
      <c r="E6098" s="6"/>
      <c r="F6098" s="6"/>
    </row>
    <row r="6099" spans="1:6" x14ac:dyDescent="0.3">
      <c r="A6099" s="8" t="s">
        <v>12157</v>
      </c>
      <c r="B6099" s="8" t="s">
        <v>59702</v>
      </c>
      <c r="C6099" s="8" t="s">
        <v>12158</v>
      </c>
      <c r="D6099" s="8"/>
      <c r="E6099" s="6"/>
      <c r="F6099" s="6"/>
    </row>
    <row r="6100" spans="1:6" x14ac:dyDescent="0.3">
      <c r="A6100" s="8" t="s">
        <v>12159</v>
      </c>
      <c r="B6100" s="8" t="s">
        <v>59703</v>
      </c>
      <c r="C6100" s="8" t="s">
        <v>12160</v>
      </c>
      <c r="D6100" s="8"/>
      <c r="E6100" s="6"/>
      <c r="F6100" s="6"/>
    </row>
    <row r="6101" spans="1:6" x14ac:dyDescent="0.3">
      <c r="A6101" s="8" t="s">
        <v>12161</v>
      </c>
      <c r="B6101" s="8" t="s">
        <v>59704</v>
      </c>
      <c r="C6101" s="8" t="s">
        <v>12162</v>
      </c>
      <c r="D6101" s="8"/>
      <c r="E6101" s="6"/>
      <c r="F6101" s="6"/>
    </row>
    <row r="6102" spans="1:6" x14ac:dyDescent="0.3">
      <c r="A6102" s="8" t="s">
        <v>12163</v>
      </c>
      <c r="B6102" s="8" t="s">
        <v>59705</v>
      </c>
      <c r="C6102" s="8" t="s">
        <v>12164</v>
      </c>
      <c r="D6102" s="8"/>
      <c r="E6102" s="6"/>
      <c r="F6102" s="6"/>
    </row>
    <row r="6103" spans="1:6" x14ac:dyDescent="0.3">
      <c r="A6103" s="8" t="s">
        <v>12165</v>
      </c>
      <c r="B6103" s="8" t="s">
        <v>59706</v>
      </c>
      <c r="C6103" s="8" t="s">
        <v>12166</v>
      </c>
      <c r="D6103" s="8"/>
      <c r="E6103" s="6"/>
      <c r="F6103" s="6"/>
    </row>
    <row r="6104" spans="1:6" x14ac:dyDescent="0.3">
      <c r="A6104" s="8" t="s">
        <v>12167</v>
      </c>
      <c r="B6104" s="8" t="s">
        <v>59707</v>
      </c>
      <c r="C6104" s="8" t="s">
        <v>12168</v>
      </c>
      <c r="D6104" s="8"/>
      <c r="E6104" s="6"/>
      <c r="F6104" s="6"/>
    </row>
    <row r="6105" spans="1:6" x14ac:dyDescent="0.3">
      <c r="A6105" s="8" t="s">
        <v>12169</v>
      </c>
      <c r="B6105" s="8" t="s">
        <v>59708</v>
      </c>
      <c r="C6105" s="8" t="s">
        <v>12170</v>
      </c>
      <c r="D6105" s="8"/>
      <c r="E6105" s="6"/>
      <c r="F6105" s="6"/>
    </row>
    <row r="6106" spans="1:6" x14ac:dyDescent="0.3">
      <c r="A6106" s="8" t="s">
        <v>12171</v>
      </c>
      <c r="B6106" s="8" t="s">
        <v>59709</v>
      </c>
      <c r="C6106" s="8" t="s">
        <v>12172</v>
      </c>
      <c r="D6106" s="8"/>
      <c r="E6106" s="6"/>
      <c r="F6106" s="6"/>
    </row>
    <row r="6107" spans="1:6" x14ac:dyDescent="0.3">
      <c r="A6107" s="8" t="s">
        <v>12173</v>
      </c>
      <c r="B6107" s="8" t="s">
        <v>59710</v>
      </c>
      <c r="C6107" s="8" t="s">
        <v>12174</v>
      </c>
      <c r="D6107" s="8"/>
      <c r="E6107" s="6"/>
      <c r="F6107" s="6"/>
    </row>
    <row r="6108" spans="1:6" x14ac:dyDescent="0.3">
      <c r="A6108" s="8" t="s">
        <v>12175</v>
      </c>
      <c r="B6108" s="8" t="s">
        <v>59711</v>
      </c>
      <c r="C6108" s="8" t="s">
        <v>12176</v>
      </c>
      <c r="D6108" s="8"/>
      <c r="E6108" s="6"/>
      <c r="F6108" s="6"/>
    </row>
    <row r="6109" spans="1:6" x14ac:dyDescent="0.3">
      <c r="A6109" s="8" t="s">
        <v>12177</v>
      </c>
      <c r="B6109" s="8" t="s">
        <v>59712</v>
      </c>
      <c r="C6109" s="8" t="s">
        <v>12178</v>
      </c>
      <c r="D6109" s="8"/>
      <c r="E6109" s="6"/>
      <c r="F6109" s="6"/>
    </row>
    <row r="6110" spans="1:6" x14ac:dyDescent="0.3">
      <c r="A6110" s="8" t="s">
        <v>12179</v>
      </c>
      <c r="B6110" s="8" t="s">
        <v>59713</v>
      </c>
      <c r="C6110" s="8" t="s">
        <v>12180</v>
      </c>
      <c r="D6110" s="8"/>
      <c r="E6110" s="6"/>
      <c r="F6110" s="6"/>
    </row>
    <row r="6111" spans="1:6" x14ac:dyDescent="0.3">
      <c r="A6111" s="8" t="s">
        <v>12181</v>
      </c>
      <c r="B6111" s="8" t="s">
        <v>59714</v>
      </c>
      <c r="C6111" s="8" t="s">
        <v>12182</v>
      </c>
      <c r="D6111" s="8"/>
      <c r="E6111" s="6"/>
      <c r="F6111" s="6"/>
    </row>
    <row r="6112" spans="1:6" x14ac:dyDescent="0.3">
      <c r="A6112" s="8" t="s">
        <v>12183</v>
      </c>
      <c r="B6112" s="8" t="s">
        <v>59715</v>
      </c>
      <c r="C6112" s="8" t="s">
        <v>12184</v>
      </c>
      <c r="D6112" s="8"/>
      <c r="E6112" s="6"/>
      <c r="F6112" s="6"/>
    </row>
    <row r="6113" spans="1:6" x14ac:dyDescent="0.3">
      <c r="A6113" s="8" t="s">
        <v>12185</v>
      </c>
      <c r="B6113" s="8" t="s">
        <v>59716</v>
      </c>
      <c r="C6113" s="8" t="s">
        <v>12186</v>
      </c>
      <c r="D6113" s="8"/>
      <c r="E6113" s="6"/>
      <c r="F6113" s="6"/>
    </row>
    <row r="6114" spans="1:6" x14ac:dyDescent="0.3">
      <c r="A6114" s="8" t="s">
        <v>12187</v>
      </c>
      <c r="B6114" s="8" t="s">
        <v>59717</v>
      </c>
      <c r="C6114" s="8" t="s">
        <v>12188</v>
      </c>
      <c r="D6114" s="8"/>
      <c r="E6114" s="6"/>
      <c r="F6114" s="6"/>
    </row>
    <row r="6115" spans="1:6" x14ac:dyDescent="0.3">
      <c r="A6115" s="8" t="s">
        <v>12189</v>
      </c>
      <c r="B6115" s="8" t="s">
        <v>59718</v>
      </c>
      <c r="C6115" s="8" t="s">
        <v>12190</v>
      </c>
      <c r="D6115" s="8"/>
      <c r="E6115" s="6"/>
      <c r="F6115" s="6"/>
    </row>
    <row r="6116" spans="1:6" x14ac:dyDescent="0.3">
      <c r="A6116" s="8" t="s">
        <v>12191</v>
      </c>
      <c r="B6116" s="8" t="s">
        <v>59719</v>
      </c>
      <c r="C6116" s="8" t="s">
        <v>12192</v>
      </c>
      <c r="D6116" s="8"/>
      <c r="E6116" s="6"/>
      <c r="F6116" s="6"/>
    </row>
    <row r="6117" spans="1:6" x14ac:dyDescent="0.3">
      <c r="A6117" s="8" t="s">
        <v>12193</v>
      </c>
      <c r="B6117" s="8" t="s">
        <v>59720</v>
      </c>
      <c r="C6117" s="8" t="s">
        <v>12194</v>
      </c>
      <c r="D6117" s="8"/>
      <c r="E6117" s="6"/>
      <c r="F6117" s="6"/>
    </row>
    <row r="6118" spans="1:6" x14ac:dyDescent="0.3">
      <c r="A6118" s="8" t="s">
        <v>12195</v>
      </c>
      <c r="B6118" s="8" t="s">
        <v>59721</v>
      </c>
      <c r="C6118" s="8" t="s">
        <v>12196</v>
      </c>
      <c r="D6118" s="8"/>
      <c r="E6118" s="6"/>
      <c r="F6118" s="6"/>
    </row>
    <row r="6119" spans="1:6" x14ac:dyDescent="0.3">
      <c r="A6119" s="8" t="s">
        <v>12197</v>
      </c>
      <c r="B6119" s="8" t="s">
        <v>59722</v>
      </c>
      <c r="C6119" s="8" t="s">
        <v>12198</v>
      </c>
      <c r="D6119" s="8"/>
      <c r="E6119" s="6"/>
      <c r="F6119" s="6"/>
    </row>
    <row r="6120" spans="1:6" x14ac:dyDescent="0.3">
      <c r="A6120" s="8" t="s">
        <v>12199</v>
      </c>
      <c r="B6120" s="8" t="s">
        <v>59723</v>
      </c>
      <c r="C6120" s="8" t="s">
        <v>12200</v>
      </c>
      <c r="D6120" s="8"/>
      <c r="E6120" s="6"/>
      <c r="F6120" s="6"/>
    </row>
    <row r="6121" spans="1:6" x14ac:dyDescent="0.3">
      <c r="A6121" s="8" t="s">
        <v>12201</v>
      </c>
      <c r="B6121" s="8" t="s">
        <v>59724</v>
      </c>
      <c r="C6121" s="8" t="s">
        <v>12202</v>
      </c>
      <c r="D6121" s="8"/>
      <c r="E6121" s="6"/>
      <c r="F6121" s="6"/>
    </row>
    <row r="6122" spans="1:6" x14ac:dyDescent="0.3">
      <c r="A6122" s="8" t="s">
        <v>12203</v>
      </c>
      <c r="B6122" s="8" t="s">
        <v>59725</v>
      </c>
      <c r="C6122" s="8" t="s">
        <v>12204</v>
      </c>
      <c r="D6122" s="8"/>
      <c r="E6122" s="6"/>
      <c r="F6122" s="6"/>
    </row>
    <row r="6123" spans="1:6" x14ac:dyDescent="0.3">
      <c r="A6123" s="8" t="s">
        <v>12205</v>
      </c>
      <c r="B6123" s="8" t="s">
        <v>59726</v>
      </c>
      <c r="C6123" s="8" t="s">
        <v>12206</v>
      </c>
      <c r="D6123" s="8"/>
      <c r="E6123" s="6"/>
      <c r="F6123" s="6"/>
    </row>
    <row r="6124" spans="1:6" x14ac:dyDescent="0.3">
      <c r="A6124" s="8" t="s">
        <v>12207</v>
      </c>
      <c r="B6124" s="8" t="s">
        <v>59727</v>
      </c>
      <c r="C6124" s="8" t="s">
        <v>12208</v>
      </c>
      <c r="D6124" s="8"/>
      <c r="E6124" s="6"/>
      <c r="F6124" s="6"/>
    </row>
    <row r="6125" spans="1:6" x14ac:dyDescent="0.3">
      <c r="A6125" s="8" t="s">
        <v>12209</v>
      </c>
      <c r="B6125" s="8" t="s">
        <v>59728</v>
      </c>
      <c r="C6125" s="8" t="s">
        <v>12210</v>
      </c>
      <c r="D6125" s="8"/>
      <c r="E6125" s="6"/>
      <c r="F6125" s="6"/>
    </row>
    <row r="6126" spans="1:6" x14ac:dyDescent="0.3">
      <c r="A6126" s="8" t="s">
        <v>12211</v>
      </c>
      <c r="B6126" s="8" t="s">
        <v>59729</v>
      </c>
      <c r="C6126" s="8" t="s">
        <v>12212</v>
      </c>
      <c r="D6126" s="8"/>
      <c r="E6126" s="6"/>
      <c r="F6126" s="6"/>
    </row>
    <row r="6127" spans="1:6" x14ac:dyDescent="0.3">
      <c r="A6127" s="8" t="s">
        <v>12213</v>
      </c>
      <c r="B6127" s="8" t="s">
        <v>59730</v>
      </c>
      <c r="C6127" s="8" t="s">
        <v>12214</v>
      </c>
      <c r="D6127" s="8"/>
      <c r="E6127" s="6"/>
      <c r="F6127" s="6"/>
    </row>
    <row r="6128" spans="1:6" x14ac:dyDescent="0.3">
      <c r="A6128" s="8" t="s">
        <v>12215</v>
      </c>
      <c r="B6128" s="8" t="s">
        <v>59731</v>
      </c>
      <c r="C6128" s="8" t="s">
        <v>12216</v>
      </c>
      <c r="D6128" s="8"/>
      <c r="E6128" s="6"/>
      <c r="F6128" s="6"/>
    </row>
    <row r="6129" spans="1:6" x14ac:dyDescent="0.3">
      <c r="A6129" s="8" t="s">
        <v>12217</v>
      </c>
      <c r="B6129" s="8" t="s">
        <v>59732</v>
      </c>
      <c r="C6129" s="8" t="s">
        <v>12218</v>
      </c>
      <c r="D6129" s="8"/>
      <c r="E6129" s="6"/>
      <c r="F6129" s="6"/>
    </row>
    <row r="6130" spans="1:6" x14ac:dyDescent="0.3">
      <c r="A6130" s="8" t="s">
        <v>12219</v>
      </c>
      <c r="B6130" s="8" t="s">
        <v>59733</v>
      </c>
      <c r="C6130" s="8" t="s">
        <v>12220</v>
      </c>
      <c r="D6130" s="8"/>
      <c r="E6130" s="6"/>
      <c r="F6130" s="6"/>
    </row>
    <row r="6131" spans="1:6" x14ac:dyDescent="0.3">
      <c r="A6131" s="8" t="s">
        <v>12221</v>
      </c>
      <c r="B6131" s="8" t="s">
        <v>59734</v>
      </c>
      <c r="C6131" s="8" t="s">
        <v>12222</v>
      </c>
      <c r="D6131" s="8"/>
      <c r="E6131" s="6"/>
      <c r="F6131" s="6"/>
    </row>
    <row r="6132" spans="1:6" x14ac:dyDescent="0.3">
      <c r="A6132" s="8" t="s">
        <v>12223</v>
      </c>
      <c r="B6132" s="8" t="s">
        <v>59735</v>
      </c>
      <c r="C6132" s="8" t="s">
        <v>12224</v>
      </c>
      <c r="D6132" s="8"/>
      <c r="E6132" s="6"/>
      <c r="F6132" s="6"/>
    </row>
    <row r="6133" spans="1:6" x14ac:dyDescent="0.3">
      <c r="A6133" s="8" t="s">
        <v>12225</v>
      </c>
      <c r="B6133" s="8" t="s">
        <v>59736</v>
      </c>
      <c r="C6133" s="8" t="s">
        <v>12226</v>
      </c>
      <c r="D6133" s="8"/>
      <c r="E6133" s="6"/>
      <c r="F6133" s="6"/>
    </row>
    <row r="6134" spans="1:6" x14ac:dyDescent="0.3">
      <c r="A6134" s="8" t="s">
        <v>12227</v>
      </c>
      <c r="B6134" s="8" t="s">
        <v>59737</v>
      </c>
      <c r="C6134" s="8" t="s">
        <v>12228</v>
      </c>
      <c r="D6134" s="8"/>
      <c r="E6134" s="6"/>
      <c r="F6134" s="6"/>
    </row>
    <row r="6135" spans="1:6" x14ac:dyDescent="0.3">
      <c r="A6135" s="8" t="s">
        <v>12229</v>
      </c>
      <c r="B6135" s="8" t="s">
        <v>59738</v>
      </c>
      <c r="C6135" s="8" t="s">
        <v>12230</v>
      </c>
      <c r="D6135" s="8"/>
      <c r="E6135" s="6"/>
      <c r="F6135" s="6"/>
    </row>
    <row r="6136" spans="1:6" x14ac:dyDescent="0.3">
      <c r="A6136" s="8" t="s">
        <v>12231</v>
      </c>
      <c r="B6136" s="8" t="s">
        <v>59739</v>
      </c>
      <c r="C6136" s="8" t="s">
        <v>12232</v>
      </c>
      <c r="D6136" s="8"/>
      <c r="E6136" s="6"/>
      <c r="F6136" s="6"/>
    </row>
    <row r="6137" spans="1:6" x14ac:dyDescent="0.3">
      <c r="A6137" s="8" t="s">
        <v>12233</v>
      </c>
      <c r="B6137" s="8" t="s">
        <v>59740</v>
      </c>
      <c r="C6137" s="8" t="s">
        <v>12234</v>
      </c>
      <c r="D6137" s="8"/>
      <c r="E6137" s="6"/>
      <c r="F6137" s="6"/>
    </row>
    <row r="6138" spans="1:6" x14ac:dyDescent="0.3">
      <c r="A6138" s="8" t="s">
        <v>12235</v>
      </c>
      <c r="B6138" s="8" t="s">
        <v>59741</v>
      </c>
      <c r="C6138" s="8" t="s">
        <v>12236</v>
      </c>
      <c r="D6138" s="8"/>
      <c r="E6138" s="6"/>
      <c r="F6138" s="6"/>
    </row>
    <row r="6139" spans="1:6" x14ac:dyDescent="0.3">
      <c r="A6139" s="8" t="s">
        <v>12237</v>
      </c>
      <c r="B6139" s="8" t="s">
        <v>59742</v>
      </c>
      <c r="C6139" s="8" t="s">
        <v>12238</v>
      </c>
      <c r="D6139" s="8"/>
      <c r="E6139" s="6"/>
      <c r="F6139" s="6"/>
    </row>
    <row r="6140" spans="1:6" x14ac:dyDescent="0.3">
      <c r="A6140" s="8" t="s">
        <v>12239</v>
      </c>
      <c r="B6140" s="8" t="s">
        <v>59743</v>
      </c>
      <c r="C6140" s="8" t="s">
        <v>12240</v>
      </c>
      <c r="D6140" s="8"/>
      <c r="E6140" s="6"/>
      <c r="F6140" s="6"/>
    </row>
    <row r="6141" spans="1:6" x14ac:dyDescent="0.3">
      <c r="A6141" s="8" t="s">
        <v>12241</v>
      </c>
      <c r="B6141" s="8" t="s">
        <v>59744</v>
      </c>
      <c r="C6141" s="8" t="s">
        <v>12242</v>
      </c>
      <c r="D6141" s="8"/>
      <c r="E6141" s="6"/>
      <c r="F6141" s="6"/>
    </row>
    <row r="6142" spans="1:6" x14ac:dyDescent="0.3">
      <c r="A6142" s="8" t="s">
        <v>12243</v>
      </c>
      <c r="B6142" s="8" t="s">
        <v>59745</v>
      </c>
      <c r="C6142" s="8" t="s">
        <v>12244</v>
      </c>
      <c r="D6142" s="8"/>
      <c r="E6142" s="6"/>
      <c r="F6142" s="6"/>
    </row>
    <row r="6143" spans="1:6" x14ac:dyDescent="0.3">
      <c r="A6143" s="8" t="s">
        <v>12245</v>
      </c>
      <c r="B6143" s="8" t="s">
        <v>59746</v>
      </c>
      <c r="C6143" s="8" t="s">
        <v>12246</v>
      </c>
      <c r="D6143" s="8"/>
      <c r="E6143" s="6"/>
      <c r="F6143" s="6"/>
    </row>
    <row r="6144" spans="1:6" x14ac:dyDescent="0.3">
      <c r="A6144" s="8" t="s">
        <v>12247</v>
      </c>
      <c r="B6144" s="8" t="s">
        <v>59747</v>
      </c>
      <c r="C6144" s="8" t="s">
        <v>12248</v>
      </c>
      <c r="D6144" s="8"/>
      <c r="E6144" s="6"/>
      <c r="F6144" s="6"/>
    </row>
    <row r="6145" spans="1:6" x14ac:dyDescent="0.3">
      <c r="A6145" s="8" t="s">
        <v>12249</v>
      </c>
      <c r="B6145" s="8" t="s">
        <v>59748</v>
      </c>
      <c r="C6145" s="8" t="s">
        <v>12250</v>
      </c>
      <c r="D6145" s="8"/>
      <c r="E6145" s="6"/>
      <c r="F6145" s="6"/>
    </row>
    <row r="6146" spans="1:6" x14ac:dyDescent="0.3">
      <c r="A6146" s="8" t="s">
        <v>12251</v>
      </c>
      <c r="B6146" s="8" t="s">
        <v>59749</v>
      </c>
      <c r="C6146" s="8" t="s">
        <v>12252</v>
      </c>
      <c r="D6146" s="8"/>
      <c r="E6146" s="6"/>
      <c r="F6146" s="6"/>
    </row>
    <row r="6147" spans="1:6" x14ac:dyDescent="0.3">
      <c r="A6147" s="8" t="s">
        <v>12253</v>
      </c>
      <c r="B6147" s="8" t="s">
        <v>59750</v>
      </c>
      <c r="C6147" s="8" t="s">
        <v>12254</v>
      </c>
      <c r="D6147" s="8"/>
      <c r="E6147" s="6"/>
      <c r="F6147" s="6"/>
    </row>
    <row r="6148" spans="1:6" x14ac:dyDescent="0.3">
      <c r="A6148" s="8" t="s">
        <v>12255</v>
      </c>
      <c r="B6148" s="8" t="s">
        <v>59751</v>
      </c>
      <c r="C6148" s="8" t="s">
        <v>12256</v>
      </c>
      <c r="D6148" s="8"/>
      <c r="E6148" s="6"/>
      <c r="F6148" s="6"/>
    </row>
    <row r="6149" spans="1:6" x14ac:dyDescent="0.3">
      <c r="A6149" s="8" t="s">
        <v>12257</v>
      </c>
      <c r="B6149" s="8" t="s">
        <v>59752</v>
      </c>
      <c r="C6149" s="8" t="s">
        <v>12258</v>
      </c>
      <c r="D6149" s="8"/>
      <c r="E6149" s="6"/>
      <c r="F6149" s="6"/>
    </row>
    <row r="6150" spans="1:6" x14ac:dyDescent="0.3">
      <c r="A6150" s="8" t="s">
        <v>12259</v>
      </c>
      <c r="B6150" s="8" t="s">
        <v>59753</v>
      </c>
      <c r="C6150" s="8" t="s">
        <v>12260</v>
      </c>
      <c r="D6150" s="8"/>
      <c r="E6150" s="6"/>
      <c r="F6150" s="6"/>
    </row>
    <row r="6151" spans="1:6" x14ac:dyDescent="0.3">
      <c r="A6151" s="8" t="s">
        <v>12261</v>
      </c>
      <c r="B6151" s="8" t="s">
        <v>59754</v>
      </c>
      <c r="C6151" s="8" t="s">
        <v>12262</v>
      </c>
      <c r="D6151" s="8"/>
      <c r="E6151" s="6"/>
      <c r="F6151" s="6"/>
    </row>
    <row r="6152" spans="1:6" x14ac:dyDescent="0.3">
      <c r="A6152" s="8" t="s">
        <v>12263</v>
      </c>
      <c r="B6152" s="8" t="s">
        <v>59755</v>
      </c>
      <c r="C6152" s="8" t="s">
        <v>12264</v>
      </c>
      <c r="D6152" s="8"/>
      <c r="E6152" s="6"/>
      <c r="F6152" s="6"/>
    </row>
    <row r="6153" spans="1:6" x14ac:dyDescent="0.3">
      <c r="A6153" s="8" t="s">
        <v>12265</v>
      </c>
      <c r="B6153" s="8" t="s">
        <v>59756</v>
      </c>
      <c r="C6153" s="8" t="s">
        <v>12266</v>
      </c>
      <c r="D6153" s="8"/>
      <c r="E6153" s="6"/>
      <c r="F6153" s="6"/>
    </row>
    <row r="6154" spans="1:6" x14ac:dyDescent="0.3">
      <c r="A6154" s="8" t="s">
        <v>12267</v>
      </c>
      <c r="B6154" s="8" t="s">
        <v>59757</v>
      </c>
      <c r="C6154" s="8" t="s">
        <v>12268</v>
      </c>
      <c r="D6154" s="8"/>
      <c r="E6154" s="6"/>
      <c r="F6154" s="6"/>
    </row>
    <row r="6155" spans="1:6" x14ac:dyDescent="0.3">
      <c r="A6155" s="8" t="s">
        <v>12269</v>
      </c>
      <c r="B6155" s="8" t="s">
        <v>59758</v>
      </c>
      <c r="C6155" s="8" t="s">
        <v>12270</v>
      </c>
      <c r="D6155" s="8"/>
      <c r="E6155" s="6"/>
      <c r="F6155" s="6"/>
    </row>
    <row r="6156" spans="1:6" x14ac:dyDescent="0.3">
      <c r="A6156" s="8" t="s">
        <v>12271</v>
      </c>
      <c r="B6156" s="8" t="s">
        <v>59759</v>
      </c>
      <c r="C6156" s="8" t="s">
        <v>12272</v>
      </c>
      <c r="D6156" s="8"/>
      <c r="E6156" s="6"/>
      <c r="F6156" s="6"/>
    </row>
    <row r="6157" spans="1:6" x14ac:dyDescent="0.3">
      <c r="A6157" s="8" t="s">
        <v>12273</v>
      </c>
      <c r="B6157" s="8" t="s">
        <v>59760</v>
      </c>
      <c r="C6157" s="8" t="s">
        <v>12274</v>
      </c>
      <c r="D6157" s="8"/>
      <c r="E6157" s="6"/>
      <c r="F6157" s="6"/>
    </row>
    <row r="6158" spans="1:6" x14ac:dyDescent="0.3">
      <c r="A6158" s="8" t="s">
        <v>12275</v>
      </c>
      <c r="B6158" s="8" t="s">
        <v>59761</v>
      </c>
      <c r="C6158" s="8" t="s">
        <v>12276</v>
      </c>
      <c r="D6158" s="8"/>
      <c r="E6158" s="6"/>
      <c r="F6158" s="6"/>
    </row>
    <row r="6159" spans="1:6" x14ac:dyDescent="0.3">
      <c r="A6159" s="8" t="s">
        <v>12277</v>
      </c>
      <c r="B6159" s="8" t="s">
        <v>59762</v>
      </c>
      <c r="C6159" s="8" t="s">
        <v>12278</v>
      </c>
      <c r="D6159" s="8"/>
      <c r="E6159" s="6"/>
      <c r="F6159" s="6"/>
    </row>
    <row r="6160" spans="1:6" x14ac:dyDescent="0.3">
      <c r="A6160" s="8" t="s">
        <v>12279</v>
      </c>
      <c r="B6160" s="8" t="s">
        <v>59763</v>
      </c>
      <c r="C6160" s="8" t="s">
        <v>12280</v>
      </c>
      <c r="D6160" s="8"/>
      <c r="E6160" s="6"/>
      <c r="F6160" s="6"/>
    </row>
    <row r="6161" spans="1:6" x14ac:dyDescent="0.3">
      <c r="A6161" s="8" t="s">
        <v>12281</v>
      </c>
      <c r="B6161" s="8" t="s">
        <v>59764</v>
      </c>
      <c r="C6161" s="8" t="s">
        <v>12282</v>
      </c>
      <c r="D6161" s="8"/>
      <c r="E6161" s="6"/>
      <c r="F6161" s="6"/>
    </row>
    <row r="6162" spans="1:6" x14ac:dyDescent="0.3">
      <c r="A6162" s="8" t="s">
        <v>12283</v>
      </c>
      <c r="B6162" s="8" t="s">
        <v>59765</v>
      </c>
      <c r="C6162" s="8" t="s">
        <v>12284</v>
      </c>
      <c r="D6162" s="8"/>
      <c r="E6162" s="6"/>
      <c r="F6162" s="6"/>
    </row>
    <row r="6163" spans="1:6" x14ac:dyDescent="0.3">
      <c r="A6163" s="8" t="s">
        <v>12285</v>
      </c>
      <c r="B6163" s="8" t="s">
        <v>59766</v>
      </c>
      <c r="C6163" s="8" t="s">
        <v>12286</v>
      </c>
      <c r="D6163" s="8"/>
      <c r="E6163" s="6"/>
      <c r="F6163" s="6"/>
    </row>
    <row r="6164" spans="1:6" x14ac:dyDescent="0.3">
      <c r="A6164" s="8" t="s">
        <v>12287</v>
      </c>
      <c r="B6164" s="8" t="s">
        <v>59767</v>
      </c>
      <c r="C6164" s="8" t="s">
        <v>12288</v>
      </c>
      <c r="D6164" s="8"/>
      <c r="E6164" s="6"/>
      <c r="F6164" s="6"/>
    </row>
    <row r="6165" spans="1:6" x14ac:dyDescent="0.3">
      <c r="A6165" s="8" t="s">
        <v>12289</v>
      </c>
      <c r="B6165" s="8" t="s">
        <v>59768</v>
      </c>
      <c r="C6165" s="8" t="s">
        <v>12290</v>
      </c>
      <c r="D6165" s="8"/>
      <c r="E6165" s="6"/>
      <c r="F6165" s="6"/>
    </row>
    <row r="6166" spans="1:6" x14ac:dyDescent="0.3">
      <c r="A6166" s="8" t="s">
        <v>12291</v>
      </c>
      <c r="B6166" s="8" t="s">
        <v>59769</v>
      </c>
      <c r="C6166" s="8" t="s">
        <v>12292</v>
      </c>
      <c r="D6166" s="8"/>
      <c r="E6166" s="6"/>
      <c r="F6166" s="6"/>
    </row>
    <row r="6167" spans="1:6" x14ac:dyDescent="0.3">
      <c r="A6167" s="8" t="s">
        <v>12293</v>
      </c>
      <c r="B6167" s="8" t="s">
        <v>59770</v>
      </c>
      <c r="C6167" s="8" t="s">
        <v>12294</v>
      </c>
      <c r="D6167" s="8"/>
      <c r="E6167" s="6"/>
      <c r="F6167" s="6"/>
    </row>
    <row r="6168" spans="1:6" x14ac:dyDescent="0.3">
      <c r="A6168" s="8" t="s">
        <v>12295</v>
      </c>
      <c r="B6168" s="8" t="s">
        <v>59771</v>
      </c>
      <c r="C6168" s="8" t="s">
        <v>12296</v>
      </c>
      <c r="D6168" s="8"/>
      <c r="E6168" s="6"/>
      <c r="F6168" s="6"/>
    </row>
    <row r="6169" spans="1:6" x14ac:dyDescent="0.3">
      <c r="A6169" s="8" t="s">
        <v>12297</v>
      </c>
      <c r="B6169" s="8" t="s">
        <v>59772</v>
      </c>
      <c r="C6169" s="8" t="s">
        <v>12298</v>
      </c>
      <c r="D6169" s="8"/>
      <c r="E6169" s="6"/>
      <c r="F6169" s="6"/>
    </row>
    <row r="6170" spans="1:6" x14ac:dyDescent="0.3">
      <c r="A6170" s="8" t="s">
        <v>12299</v>
      </c>
      <c r="B6170" s="8" t="s">
        <v>59773</v>
      </c>
      <c r="C6170" s="8" t="s">
        <v>12300</v>
      </c>
      <c r="D6170" s="8"/>
      <c r="E6170" s="6"/>
      <c r="F6170" s="6"/>
    </row>
    <row r="6171" spans="1:6" x14ac:dyDescent="0.3">
      <c r="A6171" s="8" t="s">
        <v>12301</v>
      </c>
      <c r="B6171" s="8" t="s">
        <v>59774</v>
      </c>
      <c r="C6171" s="8" t="s">
        <v>12302</v>
      </c>
      <c r="D6171" s="8"/>
      <c r="E6171" s="6"/>
      <c r="F6171" s="6"/>
    </row>
    <row r="6172" spans="1:6" x14ac:dyDescent="0.3">
      <c r="A6172" s="8" t="s">
        <v>12303</v>
      </c>
      <c r="B6172" s="8" t="s">
        <v>59775</v>
      </c>
      <c r="C6172" s="8" t="s">
        <v>12304</v>
      </c>
      <c r="D6172" s="8"/>
      <c r="E6172" s="6"/>
      <c r="F6172" s="6"/>
    </row>
    <row r="6173" spans="1:6" x14ac:dyDescent="0.3">
      <c r="A6173" s="8" t="s">
        <v>12305</v>
      </c>
      <c r="B6173" s="8" t="s">
        <v>59776</v>
      </c>
      <c r="C6173" s="8" t="s">
        <v>12306</v>
      </c>
      <c r="D6173" s="8"/>
      <c r="E6173" s="6"/>
      <c r="F6173" s="6"/>
    </row>
    <row r="6174" spans="1:6" x14ac:dyDescent="0.3">
      <c r="A6174" s="8" t="s">
        <v>12307</v>
      </c>
      <c r="B6174" s="8" t="s">
        <v>59777</v>
      </c>
      <c r="C6174" s="8" t="s">
        <v>12308</v>
      </c>
      <c r="D6174" s="8"/>
      <c r="E6174" s="6"/>
      <c r="F6174" s="6"/>
    </row>
    <row r="6175" spans="1:6" x14ac:dyDescent="0.3">
      <c r="A6175" s="8" t="s">
        <v>12309</v>
      </c>
      <c r="B6175" s="8" t="s">
        <v>59778</v>
      </c>
      <c r="C6175" s="8" t="s">
        <v>12310</v>
      </c>
      <c r="D6175" s="8"/>
      <c r="E6175" s="6"/>
      <c r="F6175" s="6"/>
    </row>
    <row r="6176" spans="1:6" x14ac:dyDescent="0.3">
      <c r="A6176" s="8" t="s">
        <v>12311</v>
      </c>
      <c r="B6176" s="8" t="s">
        <v>59779</v>
      </c>
      <c r="C6176" s="8" t="s">
        <v>12312</v>
      </c>
      <c r="D6176" s="8"/>
      <c r="E6176" s="6"/>
      <c r="F6176" s="6"/>
    </row>
    <row r="6177" spans="1:6" x14ac:dyDescent="0.3">
      <c r="A6177" s="8" t="s">
        <v>12313</v>
      </c>
      <c r="B6177" s="8" t="s">
        <v>59780</v>
      </c>
      <c r="C6177" s="8" t="s">
        <v>12314</v>
      </c>
      <c r="D6177" s="8"/>
      <c r="E6177" s="6"/>
      <c r="F6177" s="6"/>
    </row>
    <row r="6178" spans="1:6" x14ac:dyDescent="0.3">
      <c r="A6178" s="8" t="s">
        <v>12315</v>
      </c>
      <c r="B6178" s="8" t="s">
        <v>59781</v>
      </c>
      <c r="C6178" s="8" t="s">
        <v>12316</v>
      </c>
      <c r="D6178" s="8"/>
      <c r="E6178" s="6"/>
      <c r="F6178" s="6"/>
    </row>
    <row r="6179" spans="1:6" x14ac:dyDescent="0.3">
      <c r="A6179" s="8" t="s">
        <v>12317</v>
      </c>
      <c r="B6179" s="8" t="s">
        <v>59782</v>
      </c>
      <c r="C6179" s="8" t="s">
        <v>12318</v>
      </c>
      <c r="D6179" s="8"/>
      <c r="E6179" s="6"/>
      <c r="F6179" s="6"/>
    </row>
    <row r="6180" spans="1:6" x14ac:dyDescent="0.3">
      <c r="A6180" s="8" t="s">
        <v>12319</v>
      </c>
      <c r="B6180" s="8" t="s">
        <v>59783</v>
      </c>
      <c r="C6180" s="8" t="s">
        <v>12320</v>
      </c>
      <c r="D6180" s="8"/>
      <c r="E6180" s="6"/>
      <c r="F6180" s="6"/>
    </row>
    <row r="6181" spans="1:6" x14ac:dyDescent="0.3">
      <c r="A6181" s="8" t="s">
        <v>12321</v>
      </c>
      <c r="B6181" s="8" t="s">
        <v>59784</v>
      </c>
      <c r="C6181" s="8" t="s">
        <v>12322</v>
      </c>
      <c r="D6181" s="8"/>
      <c r="E6181" s="6"/>
      <c r="F6181" s="6"/>
    </row>
    <row r="6182" spans="1:6" x14ac:dyDescent="0.3">
      <c r="A6182" s="8" t="s">
        <v>12323</v>
      </c>
      <c r="B6182" s="8" t="s">
        <v>59785</v>
      </c>
      <c r="C6182" s="8" t="s">
        <v>12324</v>
      </c>
      <c r="D6182" s="8"/>
      <c r="E6182" s="6"/>
      <c r="F6182" s="6"/>
    </row>
    <row r="6183" spans="1:6" x14ac:dyDescent="0.3">
      <c r="A6183" s="8" t="s">
        <v>12325</v>
      </c>
      <c r="B6183" s="8" t="s">
        <v>59786</v>
      </c>
      <c r="C6183" s="8" t="s">
        <v>12326</v>
      </c>
      <c r="D6183" s="8"/>
      <c r="E6183" s="6"/>
      <c r="F6183" s="6"/>
    </row>
    <row r="6184" spans="1:6" x14ac:dyDescent="0.3">
      <c r="A6184" s="8" t="s">
        <v>12327</v>
      </c>
      <c r="B6184" s="8" t="s">
        <v>59787</v>
      </c>
      <c r="C6184" s="8" t="s">
        <v>12328</v>
      </c>
      <c r="D6184" s="8"/>
      <c r="E6184" s="6"/>
      <c r="F6184" s="6"/>
    </row>
    <row r="6185" spans="1:6" x14ac:dyDescent="0.3">
      <c r="A6185" s="8" t="s">
        <v>12329</v>
      </c>
      <c r="B6185" s="8" t="s">
        <v>59788</v>
      </c>
      <c r="C6185" s="8" t="s">
        <v>12330</v>
      </c>
      <c r="D6185" s="8"/>
      <c r="E6185" s="6"/>
      <c r="F6185" s="6"/>
    </row>
    <row r="6186" spans="1:6" x14ac:dyDescent="0.3">
      <c r="A6186" s="8" t="s">
        <v>12331</v>
      </c>
      <c r="B6186" s="8" t="s">
        <v>59789</v>
      </c>
      <c r="C6186" s="8" t="s">
        <v>12332</v>
      </c>
      <c r="D6186" s="8"/>
      <c r="E6186" s="6"/>
      <c r="F6186" s="6"/>
    </row>
    <row r="6187" spans="1:6" x14ac:dyDescent="0.3">
      <c r="A6187" s="8" t="s">
        <v>12333</v>
      </c>
      <c r="B6187" s="8" t="s">
        <v>59790</v>
      </c>
      <c r="C6187" s="8" t="s">
        <v>12334</v>
      </c>
      <c r="D6187" s="8"/>
      <c r="E6187" s="6"/>
      <c r="F6187" s="6"/>
    </row>
    <row r="6188" spans="1:6" x14ac:dyDescent="0.3">
      <c r="A6188" s="8" t="s">
        <v>12335</v>
      </c>
      <c r="B6188" s="8" t="s">
        <v>59791</v>
      </c>
      <c r="C6188" s="8" t="s">
        <v>12336</v>
      </c>
      <c r="D6188" s="8"/>
      <c r="E6188" s="6"/>
      <c r="F6188" s="6"/>
    </row>
    <row r="6189" spans="1:6" x14ac:dyDescent="0.3">
      <c r="A6189" s="8" t="s">
        <v>12337</v>
      </c>
      <c r="B6189" s="8" t="s">
        <v>59792</v>
      </c>
      <c r="C6189" s="8" t="s">
        <v>12338</v>
      </c>
      <c r="D6189" s="8"/>
      <c r="E6189" s="6"/>
      <c r="F6189" s="6"/>
    </row>
    <row r="6190" spans="1:6" x14ac:dyDescent="0.3">
      <c r="A6190" s="8" t="s">
        <v>12339</v>
      </c>
      <c r="B6190" s="8" t="s">
        <v>59793</v>
      </c>
      <c r="C6190" s="8" t="s">
        <v>12340</v>
      </c>
      <c r="D6190" s="8"/>
      <c r="E6190" s="6"/>
      <c r="F6190" s="6"/>
    </row>
    <row r="6191" spans="1:6" x14ac:dyDescent="0.3">
      <c r="A6191" s="8" t="s">
        <v>12341</v>
      </c>
      <c r="B6191" s="8" t="s">
        <v>59794</v>
      </c>
      <c r="C6191" s="8" t="s">
        <v>12342</v>
      </c>
      <c r="D6191" s="8"/>
      <c r="E6191" s="6"/>
      <c r="F6191" s="6"/>
    </row>
    <row r="6192" spans="1:6" x14ac:dyDescent="0.3">
      <c r="A6192" s="8" t="s">
        <v>12343</v>
      </c>
      <c r="B6192" s="8" t="s">
        <v>59795</v>
      </c>
      <c r="C6192" s="8" t="s">
        <v>12344</v>
      </c>
      <c r="D6192" s="8"/>
      <c r="E6192" s="6"/>
      <c r="F6192" s="6"/>
    </row>
    <row r="6193" spans="1:6" x14ac:dyDescent="0.3">
      <c r="A6193" s="8" t="s">
        <v>12345</v>
      </c>
      <c r="B6193" s="8" t="s">
        <v>59796</v>
      </c>
      <c r="C6193" s="8" t="s">
        <v>12346</v>
      </c>
      <c r="D6193" s="8"/>
      <c r="E6193" s="6"/>
      <c r="F6193" s="6"/>
    </row>
    <row r="6194" spans="1:6" x14ac:dyDescent="0.3">
      <c r="A6194" s="8" t="s">
        <v>12347</v>
      </c>
      <c r="B6194" s="8" t="s">
        <v>59797</v>
      </c>
      <c r="C6194" s="8" t="s">
        <v>12348</v>
      </c>
      <c r="D6194" s="8"/>
      <c r="E6194" s="6"/>
      <c r="F6194" s="6"/>
    </row>
    <row r="6195" spans="1:6" x14ac:dyDescent="0.3">
      <c r="A6195" s="8" t="s">
        <v>12349</v>
      </c>
      <c r="B6195" s="8" t="s">
        <v>59798</v>
      </c>
      <c r="C6195" s="8" t="s">
        <v>12350</v>
      </c>
      <c r="D6195" s="8"/>
      <c r="E6195" s="6"/>
      <c r="F6195" s="6"/>
    </row>
    <row r="6196" spans="1:6" x14ac:dyDescent="0.3">
      <c r="A6196" s="8" t="s">
        <v>12351</v>
      </c>
      <c r="B6196" s="8" t="s">
        <v>59799</v>
      </c>
      <c r="C6196" s="8" t="s">
        <v>12352</v>
      </c>
      <c r="D6196" s="8"/>
      <c r="E6196" s="6"/>
      <c r="F6196" s="6"/>
    </row>
    <row r="6197" spans="1:6" x14ac:dyDescent="0.3">
      <c r="A6197" s="8" t="s">
        <v>12353</v>
      </c>
      <c r="B6197" s="8" t="s">
        <v>59800</v>
      </c>
      <c r="C6197" s="8" t="s">
        <v>12354</v>
      </c>
      <c r="D6197" s="8"/>
      <c r="E6197" s="6"/>
      <c r="F6197" s="6"/>
    </row>
    <row r="6198" spans="1:6" x14ac:dyDescent="0.3">
      <c r="A6198" s="8" t="s">
        <v>12355</v>
      </c>
      <c r="B6198" s="8" t="s">
        <v>59801</v>
      </c>
      <c r="C6198" s="8" t="s">
        <v>12356</v>
      </c>
      <c r="D6198" s="8"/>
      <c r="E6198" s="6"/>
      <c r="F6198" s="6"/>
    </row>
    <row r="6199" spans="1:6" x14ac:dyDescent="0.3">
      <c r="A6199" s="8" t="s">
        <v>12357</v>
      </c>
      <c r="B6199" s="8" t="s">
        <v>59802</v>
      </c>
      <c r="C6199" s="8" t="s">
        <v>12358</v>
      </c>
      <c r="D6199" s="8"/>
      <c r="E6199" s="6"/>
      <c r="F6199" s="6"/>
    </row>
    <row r="6200" spans="1:6" x14ac:dyDescent="0.3">
      <c r="A6200" s="8" t="s">
        <v>12359</v>
      </c>
      <c r="B6200" s="8" t="s">
        <v>59803</v>
      </c>
      <c r="C6200" s="8" t="s">
        <v>12360</v>
      </c>
      <c r="D6200" s="8"/>
      <c r="E6200" s="6"/>
      <c r="F6200" s="6"/>
    </row>
    <row r="6201" spans="1:6" x14ac:dyDescent="0.3">
      <c r="A6201" s="8" t="s">
        <v>12361</v>
      </c>
      <c r="B6201" s="8" t="s">
        <v>59804</v>
      </c>
      <c r="C6201" s="8" t="s">
        <v>12362</v>
      </c>
      <c r="D6201" s="8"/>
      <c r="E6201" s="6"/>
      <c r="F6201" s="6"/>
    </row>
    <row r="6202" spans="1:6" x14ac:dyDescent="0.3">
      <c r="A6202" s="8" t="s">
        <v>12363</v>
      </c>
      <c r="B6202" s="8" t="s">
        <v>59805</v>
      </c>
      <c r="C6202" s="8" t="s">
        <v>12364</v>
      </c>
      <c r="D6202" s="8"/>
      <c r="E6202" s="6"/>
      <c r="F6202" s="6"/>
    </row>
    <row r="6203" spans="1:6" x14ac:dyDescent="0.3">
      <c r="A6203" s="8" t="s">
        <v>12365</v>
      </c>
      <c r="B6203" s="8" t="s">
        <v>59806</v>
      </c>
      <c r="C6203" s="8" t="s">
        <v>12366</v>
      </c>
      <c r="D6203" s="8"/>
      <c r="E6203" s="6"/>
      <c r="F6203" s="6"/>
    </row>
    <row r="6204" spans="1:6" x14ac:dyDescent="0.3">
      <c r="A6204" s="8" t="s">
        <v>12367</v>
      </c>
      <c r="B6204" s="8" t="s">
        <v>59807</v>
      </c>
      <c r="C6204" s="8" t="s">
        <v>12368</v>
      </c>
      <c r="D6204" s="8"/>
      <c r="E6204" s="6"/>
      <c r="F6204" s="6"/>
    </row>
    <row r="6205" spans="1:6" x14ac:dyDescent="0.3">
      <c r="A6205" s="8" t="s">
        <v>12369</v>
      </c>
      <c r="B6205" s="8" t="s">
        <v>59808</v>
      </c>
      <c r="C6205" s="8" t="s">
        <v>12370</v>
      </c>
      <c r="D6205" s="8"/>
      <c r="E6205" s="6"/>
      <c r="F6205" s="6"/>
    </row>
    <row r="6206" spans="1:6" x14ac:dyDescent="0.3">
      <c r="A6206" s="8" t="s">
        <v>12371</v>
      </c>
      <c r="B6206" s="8" t="s">
        <v>59809</v>
      </c>
      <c r="C6206" s="8" t="s">
        <v>12372</v>
      </c>
      <c r="D6206" s="8"/>
      <c r="E6206" s="6"/>
      <c r="F6206" s="6"/>
    </row>
    <row r="6207" spans="1:6" x14ac:dyDescent="0.3">
      <c r="A6207" s="8" t="s">
        <v>12373</v>
      </c>
      <c r="B6207" s="8" t="s">
        <v>59810</v>
      </c>
      <c r="C6207" s="8" t="s">
        <v>12374</v>
      </c>
      <c r="D6207" s="8"/>
      <c r="E6207" s="6"/>
      <c r="F6207" s="6"/>
    </row>
    <row r="6208" spans="1:6" x14ac:dyDescent="0.3">
      <c r="A6208" s="8" t="s">
        <v>12375</v>
      </c>
      <c r="B6208" s="8" t="s">
        <v>59811</v>
      </c>
      <c r="C6208" s="8" t="s">
        <v>12376</v>
      </c>
      <c r="D6208" s="8"/>
      <c r="E6208" s="6"/>
      <c r="F6208" s="6"/>
    </row>
    <row r="6209" spans="1:6" x14ac:dyDescent="0.3">
      <c r="A6209" s="8" t="s">
        <v>12377</v>
      </c>
      <c r="B6209" s="8" t="s">
        <v>59812</v>
      </c>
      <c r="C6209" s="8" t="s">
        <v>12378</v>
      </c>
      <c r="D6209" s="8"/>
      <c r="E6209" s="6"/>
      <c r="F6209" s="6"/>
    </row>
    <row r="6210" spans="1:6" x14ac:dyDescent="0.3">
      <c r="A6210" s="8" t="s">
        <v>12379</v>
      </c>
      <c r="B6210" s="8" t="s">
        <v>59813</v>
      </c>
      <c r="C6210" s="8" t="s">
        <v>12380</v>
      </c>
      <c r="D6210" s="8"/>
      <c r="E6210" s="6"/>
      <c r="F6210" s="6"/>
    </row>
    <row r="6211" spans="1:6" x14ac:dyDescent="0.3">
      <c r="A6211" s="8" t="s">
        <v>12381</v>
      </c>
      <c r="B6211" s="8" t="s">
        <v>59814</v>
      </c>
      <c r="C6211" s="8" t="s">
        <v>12382</v>
      </c>
      <c r="D6211" s="8"/>
      <c r="E6211" s="6"/>
      <c r="F6211" s="6"/>
    </row>
    <row r="6212" spans="1:6" x14ac:dyDescent="0.3">
      <c r="A6212" s="8" t="s">
        <v>12383</v>
      </c>
      <c r="B6212" s="8" t="s">
        <v>59815</v>
      </c>
      <c r="C6212" s="8" t="s">
        <v>12384</v>
      </c>
      <c r="D6212" s="8"/>
      <c r="E6212" s="6"/>
      <c r="F6212" s="6"/>
    </row>
    <row r="6213" spans="1:6" x14ac:dyDescent="0.3">
      <c r="A6213" s="8" t="s">
        <v>12385</v>
      </c>
      <c r="B6213" s="8" t="s">
        <v>59816</v>
      </c>
      <c r="C6213" s="8" t="s">
        <v>12386</v>
      </c>
      <c r="D6213" s="8"/>
      <c r="E6213" s="6"/>
      <c r="F6213" s="6"/>
    </row>
    <row r="6214" spans="1:6" x14ac:dyDescent="0.3">
      <c r="A6214" s="8" t="s">
        <v>12387</v>
      </c>
      <c r="B6214" s="8" t="s">
        <v>59817</v>
      </c>
      <c r="C6214" s="8" t="s">
        <v>12388</v>
      </c>
      <c r="D6214" s="8"/>
      <c r="E6214" s="6"/>
      <c r="F6214" s="6"/>
    </row>
    <row r="6215" spans="1:6" x14ac:dyDescent="0.3">
      <c r="A6215" s="8" t="s">
        <v>12389</v>
      </c>
      <c r="B6215" s="8" t="s">
        <v>59818</v>
      </c>
      <c r="C6215" s="8" t="s">
        <v>12390</v>
      </c>
      <c r="D6215" s="8"/>
      <c r="E6215" s="6"/>
      <c r="F6215" s="6"/>
    </row>
    <row r="6216" spans="1:6" x14ac:dyDescent="0.3">
      <c r="A6216" s="8" t="s">
        <v>12391</v>
      </c>
      <c r="B6216" s="8" t="s">
        <v>59819</v>
      </c>
      <c r="C6216" s="8" t="s">
        <v>12392</v>
      </c>
      <c r="D6216" s="8"/>
      <c r="E6216" s="6"/>
      <c r="F6216" s="6"/>
    </row>
    <row r="6217" spans="1:6" x14ac:dyDescent="0.3">
      <c r="A6217" s="8" t="s">
        <v>12393</v>
      </c>
      <c r="B6217" s="8" t="s">
        <v>59820</v>
      </c>
      <c r="C6217" s="8" t="s">
        <v>12394</v>
      </c>
      <c r="D6217" s="8"/>
      <c r="E6217" s="6"/>
      <c r="F6217" s="6"/>
    </row>
    <row r="6218" spans="1:6" x14ac:dyDescent="0.3">
      <c r="A6218" s="8" t="s">
        <v>12395</v>
      </c>
      <c r="B6218" s="8" t="s">
        <v>59821</v>
      </c>
      <c r="C6218" s="8" t="s">
        <v>12396</v>
      </c>
      <c r="D6218" s="8"/>
      <c r="E6218" s="6"/>
      <c r="F6218" s="6"/>
    </row>
    <row r="6219" spans="1:6" x14ac:dyDescent="0.3">
      <c r="A6219" s="8" t="s">
        <v>12397</v>
      </c>
      <c r="B6219" s="8" t="s">
        <v>59822</v>
      </c>
      <c r="C6219" s="8" t="s">
        <v>12398</v>
      </c>
      <c r="D6219" s="8"/>
      <c r="E6219" s="6"/>
      <c r="F6219" s="6"/>
    </row>
    <row r="6220" spans="1:6" x14ac:dyDescent="0.3">
      <c r="A6220" s="8" t="s">
        <v>12399</v>
      </c>
      <c r="B6220" s="8" t="s">
        <v>59823</v>
      </c>
      <c r="C6220" s="8" t="s">
        <v>12400</v>
      </c>
      <c r="D6220" s="8"/>
      <c r="E6220" s="6"/>
      <c r="F6220" s="6"/>
    </row>
    <row r="6221" spans="1:6" x14ac:dyDescent="0.3">
      <c r="A6221" s="8" t="s">
        <v>12401</v>
      </c>
      <c r="B6221" s="8" t="s">
        <v>59824</v>
      </c>
      <c r="C6221" s="8" t="s">
        <v>12402</v>
      </c>
      <c r="D6221" s="8"/>
      <c r="E6221" s="6"/>
      <c r="F6221" s="6"/>
    </row>
    <row r="6222" spans="1:6" x14ac:dyDescent="0.3">
      <c r="A6222" s="8" t="s">
        <v>12403</v>
      </c>
      <c r="B6222" s="8" t="s">
        <v>59825</v>
      </c>
      <c r="C6222" s="8" t="s">
        <v>12404</v>
      </c>
      <c r="D6222" s="8"/>
      <c r="E6222" s="6"/>
      <c r="F6222" s="6"/>
    </row>
    <row r="6223" spans="1:6" x14ac:dyDescent="0.3">
      <c r="A6223" s="8" t="s">
        <v>12405</v>
      </c>
      <c r="B6223" s="8" t="s">
        <v>59826</v>
      </c>
      <c r="C6223" s="8" t="s">
        <v>12406</v>
      </c>
      <c r="D6223" s="8"/>
      <c r="E6223" s="6"/>
      <c r="F6223" s="6"/>
    </row>
    <row r="6224" spans="1:6" x14ac:dyDescent="0.3">
      <c r="A6224" s="8" t="s">
        <v>12407</v>
      </c>
      <c r="B6224" s="8" t="s">
        <v>59827</v>
      </c>
      <c r="C6224" s="8" t="s">
        <v>12408</v>
      </c>
      <c r="D6224" s="8"/>
      <c r="E6224" s="6"/>
      <c r="F6224" s="6"/>
    </row>
    <row r="6225" spans="1:6" x14ac:dyDescent="0.3">
      <c r="A6225" s="8" t="s">
        <v>12409</v>
      </c>
      <c r="B6225" s="8" t="s">
        <v>59828</v>
      </c>
      <c r="C6225" s="8" t="s">
        <v>12410</v>
      </c>
      <c r="D6225" s="8"/>
      <c r="E6225" s="6"/>
      <c r="F6225" s="6"/>
    </row>
    <row r="6226" spans="1:6" x14ac:dyDescent="0.3">
      <c r="A6226" s="8" t="s">
        <v>12411</v>
      </c>
      <c r="B6226" s="8" t="s">
        <v>59829</v>
      </c>
      <c r="C6226" s="8" t="s">
        <v>12412</v>
      </c>
      <c r="D6226" s="8"/>
      <c r="E6226" s="6"/>
      <c r="F6226" s="6"/>
    </row>
    <row r="6227" spans="1:6" x14ac:dyDescent="0.3">
      <c r="A6227" s="8" t="s">
        <v>12413</v>
      </c>
      <c r="B6227" s="8" t="s">
        <v>59830</v>
      </c>
      <c r="C6227" s="8" t="s">
        <v>12414</v>
      </c>
      <c r="D6227" s="8"/>
      <c r="E6227" s="6"/>
      <c r="F6227" s="6"/>
    </row>
    <row r="6228" spans="1:6" x14ac:dyDescent="0.3">
      <c r="A6228" s="8" t="s">
        <v>12415</v>
      </c>
      <c r="B6228" s="8" t="s">
        <v>59831</v>
      </c>
      <c r="C6228" s="8" t="s">
        <v>12416</v>
      </c>
      <c r="D6228" s="8"/>
      <c r="E6228" s="6"/>
      <c r="F6228" s="6"/>
    </row>
    <row r="6229" spans="1:6" x14ac:dyDescent="0.3">
      <c r="A6229" s="8" t="s">
        <v>12417</v>
      </c>
      <c r="B6229" s="8" t="s">
        <v>59832</v>
      </c>
      <c r="C6229" s="8" t="s">
        <v>12418</v>
      </c>
      <c r="D6229" s="8"/>
      <c r="E6229" s="6"/>
      <c r="F6229" s="6"/>
    </row>
    <row r="6230" spans="1:6" x14ac:dyDescent="0.3">
      <c r="A6230" s="8" t="s">
        <v>12419</v>
      </c>
      <c r="B6230" s="8" t="s">
        <v>59833</v>
      </c>
      <c r="C6230" s="8" t="s">
        <v>12420</v>
      </c>
      <c r="D6230" s="8"/>
      <c r="E6230" s="6"/>
      <c r="F6230" s="6"/>
    </row>
    <row r="6231" spans="1:6" x14ac:dyDescent="0.3">
      <c r="A6231" s="8" t="s">
        <v>12421</v>
      </c>
      <c r="B6231" s="8" t="s">
        <v>59834</v>
      </c>
      <c r="C6231" s="8" t="s">
        <v>12422</v>
      </c>
      <c r="D6231" s="8"/>
      <c r="E6231" s="6"/>
      <c r="F6231" s="6"/>
    </row>
    <row r="6232" spans="1:6" x14ac:dyDescent="0.3">
      <c r="A6232" s="8" t="s">
        <v>12423</v>
      </c>
      <c r="B6232" s="8" t="s">
        <v>59835</v>
      </c>
      <c r="C6232" s="8" t="s">
        <v>12424</v>
      </c>
      <c r="D6232" s="8"/>
      <c r="E6232" s="6"/>
      <c r="F6232" s="6"/>
    </row>
    <row r="6233" spans="1:6" x14ac:dyDescent="0.3">
      <c r="A6233" s="8" t="s">
        <v>12425</v>
      </c>
      <c r="B6233" s="8" t="s">
        <v>59836</v>
      </c>
      <c r="C6233" s="8" t="s">
        <v>12426</v>
      </c>
      <c r="D6233" s="8"/>
      <c r="E6233" s="6"/>
      <c r="F6233" s="6"/>
    </row>
    <row r="6234" spans="1:6" x14ac:dyDescent="0.3">
      <c r="A6234" s="8" t="s">
        <v>12427</v>
      </c>
      <c r="B6234" s="8" t="s">
        <v>59837</v>
      </c>
      <c r="C6234" s="8" t="s">
        <v>12428</v>
      </c>
      <c r="D6234" s="8"/>
      <c r="E6234" s="6"/>
      <c r="F6234" s="6"/>
    </row>
    <row r="6235" spans="1:6" x14ac:dyDescent="0.3">
      <c r="A6235" s="8" t="s">
        <v>12429</v>
      </c>
      <c r="B6235" s="8" t="s">
        <v>59838</v>
      </c>
      <c r="C6235" s="8" t="s">
        <v>12430</v>
      </c>
      <c r="D6235" s="8"/>
      <c r="E6235" s="6"/>
      <c r="F6235" s="6"/>
    </row>
    <row r="6236" spans="1:6" x14ac:dyDescent="0.3">
      <c r="A6236" s="8" t="s">
        <v>12431</v>
      </c>
      <c r="B6236" s="8" t="s">
        <v>59839</v>
      </c>
      <c r="C6236" s="8" t="s">
        <v>12432</v>
      </c>
      <c r="D6236" s="8"/>
      <c r="E6236" s="6"/>
      <c r="F6236" s="6"/>
    </row>
    <row r="6237" spans="1:6" x14ac:dyDescent="0.3">
      <c r="A6237" s="8" t="s">
        <v>12433</v>
      </c>
      <c r="B6237" s="8" t="s">
        <v>59840</v>
      </c>
      <c r="C6237" s="8" t="s">
        <v>12434</v>
      </c>
      <c r="D6237" s="8"/>
      <c r="E6237" s="6"/>
      <c r="F6237" s="6"/>
    </row>
    <row r="6238" spans="1:6" x14ac:dyDescent="0.3">
      <c r="A6238" s="8" t="s">
        <v>12435</v>
      </c>
      <c r="B6238" s="8" t="s">
        <v>59841</v>
      </c>
      <c r="C6238" s="8" t="s">
        <v>12436</v>
      </c>
      <c r="D6238" s="8"/>
      <c r="E6238" s="6"/>
      <c r="F6238" s="6"/>
    </row>
    <row r="6239" spans="1:6" x14ac:dyDescent="0.3">
      <c r="A6239" s="8" t="s">
        <v>12437</v>
      </c>
      <c r="B6239" s="8" t="s">
        <v>59842</v>
      </c>
      <c r="C6239" s="8" t="s">
        <v>12438</v>
      </c>
      <c r="D6239" s="8"/>
      <c r="E6239" s="6"/>
      <c r="F6239" s="6"/>
    </row>
    <row r="6240" spans="1:6" x14ac:dyDescent="0.3">
      <c r="A6240" s="8" t="s">
        <v>12439</v>
      </c>
      <c r="B6240" s="8" t="s">
        <v>59843</v>
      </c>
      <c r="C6240" s="8" t="s">
        <v>12440</v>
      </c>
      <c r="D6240" s="8"/>
      <c r="E6240" s="6"/>
      <c r="F6240" s="6"/>
    </row>
    <row r="6241" spans="1:6" x14ac:dyDescent="0.3">
      <c r="A6241" s="8" t="s">
        <v>12441</v>
      </c>
      <c r="B6241" s="8" t="s">
        <v>59844</v>
      </c>
      <c r="C6241" s="8" t="s">
        <v>12442</v>
      </c>
      <c r="D6241" s="8"/>
      <c r="E6241" s="6"/>
      <c r="F6241" s="6"/>
    </row>
    <row r="6242" spans="1:6" x14ac:dyDescent="0.3">
      <c r="A6242" s="8" t="s">
        <v>12443</v>
      </c>
      <c r="B6242" s="8" t="s">
        <v>59845</v>
      </c>
      <c r="C6242" s="8" t="s">
        <v>12444</v>
      </c>
      <c r="D6242" s="8"/>
      <c r="E6242" s="6"/>
      <c r="F6242" s="6"/>
    </row>
    <row r="6243" spans="1:6" x14ac:dyDescent="0.3">
      <c r="A6243" s="8" t="s">
        <v>12445</v>
      </c>
      <c r="B6243" s="8" t="s">
        <v>59846</v>
      </c>
      <c r="C6243" s="8" t="s">
        <v>12446</v>
      </c>
      <c r="D6243" s="8"/>
      <c r="E6243" s="6"/>
      <c r="F6243" s="6"/>
    </row>
    <row r="6244" spans="1:6" x14ac:dyDescent="0.3">
      <c r="A6244" s="8" t="s">
        <v>12447</v>
      </c>
      <c r="B6244" s="8" t="s">
        <v>59847</v>
      </c>
      <c r="C6244" s="8" t="s">
        <v>12448</v>
      </c>
      <c r="D6244" s="8"/>
      <c r="E6244" s="6"/>
      <c r="F6244" s="6"/>
    </row>
    <row r="6245" spans="1:6" x14ac:dyDescent="0.3">
      <c r="A6245" s="8" t="s">
        <v>12449</v>
      </c>
      <c r="B6245" s="8" t="s">
        <v>59848</v>
      </c>
      <c r="C6245" s="8" t="s">
        <v>12450</v>
      </c>
      <c r="D6245" s="8"/>
      <c r="E6245" s="6"/>
      <c r="F6245" s="6"/>
    </row>
    <row r="6246" spans="1:6" x14ac:dyDescent="0.3">
      <c r="A6246" s="8" t="s">
        <v>12451</v>
      </c>
      <c r="B6246" s="8" t="s">
        <v>59849</v>
      </c>
      <c r="C6246" s="8" t="s">
        <v>12452</v>
      </c>
      <c r="D6246" s="8"/>
      <c r="E6246" s="6"/>
      <c r="F6246" s="6"/>
    </row>
    <row r="6247" spans="1:6" x14ac:dyDescent="0.3">
      <c r="A6247" s="8" t="s">
        <v>12453</v>
      </c>
      <c r="B6247" s="8" t="s">
        <v>59850</v>
      </c>
      <c r="C6247" s="8" t="s">
        <v>12454</v>
      </c>
      <c r="D6247" s="8"/>
      <c r="E6247" s="6"/>
      <c r="F6247" s="6"/>
    </row>
    <row r="6248" spans="1:6" x14ac:dyDescent="0.3">
      <c r="A6248" s="8" t="s">
        <v>12455</v>
      </c>
      <c r="B6248" s="8" t="s">
        <v>59851</v>
      </c>
      <c r="C6248" s="8" t="s">
        <v>12456</v>
      </c>
      <c r="D6248" s="8"/>
      <c r="E6248" s="6"/>
      <c r="F6248" s="6"/>
    </row>
    <row r="6249" spans="1:6" x14ac:dyDescent="0.3">
      <c r="A6249" s="8" t="s">
        <v>12457</v>
      </c>
      <c r="B6249" s="8" t="s">
        <v>59852</v>
      </c>
      <c r="C6249" s="8" t="s">
        <v>12458</v>
      </c>
      <c r="D6249" s="8"/>
      <c r="E6249" s="6"/>
      <c r="F6249" s="6"/>
    </row>
    <row r="6250" spans="1:6" x14ac:dyDescent="0.3">
      <c r="A6250" s="8" t="s">
        <v>12459</v>
      </c>
      <c r="B6250" s="8" t="s">
        <v>59853</v>
      </c>
      <c r="C6250" s="8" t="s">
        <v>12460</v>
      </c>
      <c r="D6250" s="8"/>
      <c r="E6250" s="6"/>
      <c r="F6250" s="6"/>
    </row>
    <row r="6251" spans="1:6" x14ac:dyDescent="0.3">
      <c r="A6251" s="8" t="s">
        <v>12461</v>
      </c>
      <c r="B6251" s="8" t="s">
        <v>59854</v>
      </c>
      <c r="C6251" s="8" t="s">
        <v>12462</v>
      </c>
      <c r="D6251" s="8"/>
      <c r="E6251" s="6"/>
      <c r="F6251" s="6"/>
    </row>
    <row r="6252" spans="1:6" x14ac:dyDescent="0.3">
      <c r="A6252" s="8" t="s">
        <v>12463</v>
      </c>
      <c r="B6252" s="8" t="s">
        <v>59855</v>
      </c>
      <c r="C6252" s="8" t="s">
        <v>12464</v>
      </c>
      <c r="D6252" s="8"/>
      <c r="E6252" s="6"/>
      <c r="F6252" s="6"/>
    </row>
    <row r="6253" spans="1:6" x14ac:dyDescent="0.3">
      <c r="A6253" s="8" t="s">
        <v>12465</v>
      </c>
      <c r="B6253" s="8" t="s">
        <v>59856</v>
      </c>
      <c r="C6253" s="8" t="s">
        <v>12466</v>
      </c>
      <c r="D6253" s="8"/>
      <c r="E6253" s="6"/>
      <c r="F6253" s="6"/>
    </row>
    <row r="6254" spans="1:6" x14ac:dyDescent="0.3">
      <c r="A6254" s="8" t="s">
        <v>12467</v>
      </c>
      <c r="B6254" s="8" t="s">
        <v>59857</v>
      </c>
      <c r="C6254" s="8" t="s">
        <v>12468</v>
      </c>
      <c r="D6254" s="8"/>
      <c r="E6254" s="6"/>
      <c r="F6254" s="6"/>
    </row>
    <row r="6255" spans="1:6" x14ac:dyDescent="0.3">
      <c r="A6255" s="8" t="s">
        <v>12469</v>
      </c>
      <c r="B6255" s="8" t="s">
        <v>59858</v>
      </c>
      <c r="C6255" s="8" t="s">
        <v>12470</v>
      </c>
      <c r="D6255" s="8"/>
      <c r="E6255" s="6"/>
      <c r="F6255" s="6"/>
    </row>
    <row r="6256" spans="1:6" x14ac:dyDescent="0.3">
      <c r="A6256" s="8" t="s">
        <v>12471</v>
      </c>
      <c r="B6256" s="8" t="s">
        <v>59859</v>
      </c>
      <c r="C6256" s="8" t="s">
        <v>12472</v>
      </c>
      <c r="D6256" s="8"/>
      <c r="E6256" s="6"/>
      <c r="F6256" s="6"/>
    </row>
    <row r="6257" spans="1:6" x14ac:dyDescent="0.3">
      <c r="A6257" s="8" t="s">
        <v>12473</v>
      </c>
      <c r="B6257" s="8" t="s">
        <v>59860</v>
      </c>
      <c r="C6257" s="8" t="s">
        <v>12474</v>
      </c>
      <c r="D6257" s="8"/>
      <c r="E6257" s="6"/>
      <c r="F6257" s="6"/>
    </row>
    <row r="6258" spans="1:6" x14ac:dyDescent="0.3">
      <c r="A6258" s="8" t="s">
        <v>12475</v>
      </c>
      <c r="B6258" s="8" t="s">
        <v>59861</v>
      </c>
      <c r="C6258" s="8" t="s">
        <v>12476</v>
      </c>
      <c r="D6258" s="8"/>
      <c r="E6258" s="6"/>
      <c r="F6258" s="6"/>
    </row>
    <row r="6259" spans="1:6" x14ac:dyDescent="0.3">
      <c r="A6259" s="8" t="s">
        <v>12477</v>
      </c>
      <c r="B6259" s="8" t="s">
        <v>59862</v>
      </c>
      <c r="C6259" s="8" t="s">
        <v>12478</v>
      </c>
      <c r="D6259" s="8"/>
      <c r="E6259" s="6"/>
      <c r="F6259" s="6"/>
    </row>
    <row r="6260" spans="1:6" x14ac:dyDescent="0.3">
      <c r="A6260" s="8" t="s">
        <v>12479</v>
      </c>
      <c r="B6260" s="8" t="s">
        <v>59863</v>
      </c>
      <c r="C6260" s="8" t="s">
        <v>12480</v>
      </c>
      <c r="D6260" s="8"/>
      <c r="E6260" s="6"/>
      <c r="F6260" s="6"/>
    </row>
    <row r="6261" spans="1:6" x14ac:dyDescent="0.3">
      <c r="A6261" s="8" t="s">
        <v>12481</v>
      </c>
      <c r="B6261" s="8" t="s">
        <v>59864</v>
      </c>
      <c r="C6261" s="8" t="s">
        <v>12482</v>
      </c>
      <c r="D6261" s="8"/>
      <c r="E6261" s="6"/>
      <c r="F6261" s="6"/>
    </row>
    <row r="6262" spans="1:6" x14ac:dyDescent="0.3">
      <c r="A6262" s="8" t="s">
        <v>12483</v>
      </c>
      <c r="B6262" s="8" t="s">
        <v>59865</v>
      </c>
      <c r="C6262" s="8" t="s">
        <v>12484</v>
      </c>
      <c r="D6262" s="8"/>
      <c r="E6262" s="6"/>
      <c r="F6262" s="6"/>
    </row>
    <row r="6263" spans="1:6" x14ac:dyDescent="0.3">
      <c r="A6263" s="8" t="s">
        <v>12485</v>
      </c>
      <c r="B6263" s="8" t="s">
        <v>59866</v>
      </c>
      <c r="C6263" s="8" t="s">
        <v>12486</v>
      </c>
      <c r="D6263" s="8"/>
      <c r="E6263" s="6"/>
      <c r="F6263" s="6"/>
    </row>
    <row r="6264" spans="1:6" x14ac:dyDescent="0.3">
      <c r="A6264" s="8" t="s">
        <v>12487</v>
      </c>
      <c r="B6264" s="8" t="s">
        <v>59867</v>
      </c>
      <c r="C6264" s="8" t="s">
        <v>12488</v>
      </c>
      <c r="D6264" s="8"/>
      <c r="E6264" s="6"/>
      <c r="F6264" s="6"/>
    </row>
    <row r="6265" spans="1:6" x14ac:dyDescent="0.3">
      <c r="A6265" s="8" t="s">
        <v>12489</v>
      </c>
      <c r="B6265" s="8" t="s">
        <v>59868</v>
      </c>
      <c r="C6265" s="8" t="s">
        <v>12490</v>
      </c>
      <c r="D6265" s="8"/>
      <c r="E6265" s="6"/>
      <c r="F6265" s="6"/>
    </row>
    <row r="6266" spans="1:6" x14ac:dyDescent="0.3">
      <c r="A6266" s="8" t="s">
        <v>12491</v>
      </c>
      <c r="B6266" s="8" t="s">
        <v>59869</v>
      </c>
      <c r="C6266" s="8" t="s">
        <v>12492</v>
      </c>
      <c r="D6266" s="8"/>
      <c r="E6266" s="6"/>
      <c r="F6266" s="6"/>
    </row>
    <row r="6267" spans="1:6" x14ac:dyDescent="0.3">
      <c r="A6267" s="8" t="s">
        <v>12493</v>
      </c>
      <c r="B6267" s="8" t="s">
        <v>59870</v>
      </c>
      <c r="C6267" s="8" t="s">
        <v>12494</v>
      </c>
      <c r="D6267" s="8"/>
      <c r="E6267" s="6"/>
      <c r="F6267" s="6"/>
    </row>
    <row r="6268" spans="1:6" x14ac:dyDescent="0.3">
      <c r="A6268" s="8" t="s">
        <v>12495</v>
      </c>
      <c r="B6268" s="8" t="s">
        <v>59871</v>
      </c>
      <c r="C6268" s="8" t="s">
        <v>12496</v>
      </c>
      <c r="D6268" s="8"/>
      <c r="E6268" s="6"/>
      <c r="F6268" s="6"/>
    </row>
    <row r="6269" spans="1:6" x14ac:dyDescent="0.3">
      <c r="A6269" s="8" t="s">
        <v>12497</v>
      </c>
      <c r="B6269" s="8" t="s">
        <v>59872</v>
      </c>
      <c r="C6269" s="8" t="s">
        <v>12498</v>
      </c>
      <c r="D6269" s="8"/>
      <c r="E6269" s="6"/>
      <c r="F6269" s="6"/>
    </row>
    <row r="6270" spans="1:6" x14ac:dyDescent="0.3">
      <c r="A6270" s="8" t="s">
        <v>12499</v>
      </c>
      <c r="B6270" s="8" t="s">
        <v>59873</v>
      </c>
      <c r="C6270" s="8" t="s">
        <v>12500</v>
      </c>
      <c r="D6270" s="8"/>
      <c r="E6270" s="6"/>
      <c r="F6270" s="6"/>
    </row>
    <row r="6271" spans="1:6" x14ac:dyDescent="0.3">
      <c r="A6271" s="8" t="s">
        <v>12501</v>
      </c>
      <c r="B6271" s="8" t="s">
        <v>59874</v>
      </c>
      <c r="C6271" s="8" t="s">
        <v>12502</v>
      </c>
      <c r="D6271" s="8"/>
      <c r="E6271" s="6"/>
      <c r="F6271" s="6"/>
    </row>
    <row r="6272" spans="1:6" x14ac:dyDescent="0.3">
      <c r="A6272" s="8" t="s">
        <v>12503</v>
      </c>
      <c r="B6272" s="8" t="s">
        <v>59875</v>
      </c>
      <c r="C6272" s="8" t="s">
        <v>12504</v>
      </c>
      <c r="D6272" s="8"/>
      <c r="E6272" s="6"/>
      <c r="F6272" s="6"/>
    </row>
    <row r="6273" spans="1:6" x14ac:dyDescent="0.3">
      <c r="A6273" s="8" t="s">
        <v>12505</v>
      </c>
      <c r="B6273" s="8" t="s">
        <v>59876</v>
      </c>
      <c r="C6273" s="8" t="s">
        <v>12506</v>
      </c>
      <c r="D6273" s="8"/>
      <c r="E6273" s="6"/>
      <c r="F6273" s="6"/>
    </row>
    <row r="6274" spans="1:6" x14ac:dyDescent="0.3">
      <c r="A6274" s="8" t="s">
        <v>12507</v>
      </c>
      <c r="B6274" s="8" t="s">
        <v>59877</v>
      </c>
      <c r="C6274" s="8" t="s">
        <v>12508</v>
      </c>
      <c r="D6274" s="8"/>
      <c r="E6274" s="6"/>
      <c r="F6274" s="6"/>
    </row>
    <row r="6275" spans="1:6" x14ac:dyDescent="0.3">
      <c r="A6275" s="8" t="s">
        <v>12509</v>
      </c>
      <c r="B6275" s="8" t="s">
        <v>59878</v>
      </c>
      <c r="C6275" s="8" t="s">
        <v>12510</v>
      </c>
      <c r="D6275" s="8"/>
      <c r="E6275" s="6"/>
      <c r="F6275" s="6"/>
    </row>
    <row r="6276" spans="1:6" x14ac:dyDescent="0.3">
      <c r="A6276" s="8" t="s">
        <v>12511</v>
      </c>
      <c r="B6276" s="8" t="s">
        <v>59879</v>
      </c>
      <c r="C6276" s="8" t="s">
        <v>12512</v>
      </c>
      <c r="D6276" s="8"/>
      <c r="E6276" s="6"/>
      <c r="F6276" s="6"/>
    </row>
    <row r="6277" spans="1:6" x14ac:dyDescent="0.3">
      <c r="A6277" s="8" t="s">
        <v>12513</v>
      </c>
      <c r="B6277" s="8" t="s">
        <v>59880</v>
      </c>
      <c r="C6277" s="8" t="s">
        <v>12514</v>
      </c>
      <c r="D6277" s="8"/>
      <c r="E6277" s="6"/>
      <c r="F6277" s="6"/>
    </row>
    <row r="6278" spans="1:6" x14ac:dyDescent="0.3">
      <c r="A6278" s="8" t="s">
        <v>12515</v>
      </c>
      <c r="B6278" s="8" t="s">
        <v>59881</v>
      </c>
      <c r="C6278" s="8" t="s">
        <v>12516</v>
      </c>
      <c r="D6278" s="8"/>
      <c r="E6278" s="6"/>
      <c r="F6278" s="6"/>
    </row>
    <row r="6279" spans="1:6" x14ac:dyDescent="0.3">
      <c r="A6279" s="8" t="s">
        <v>12517</v>
      </c>
      <c r="B6279" s="8" t="s">
        <v>59882</v>
      </c>
      <c r="C6279" s="8" t="s">
        <v>12518</v>
      </c>
      <c r="D6279" s="8"/>
      <c r="E6279" s="6"/>
      <c r="F6279" s="6"/>
    </row>
    <row r="6280" spans="1:6" x14ac:dyDescent="0.3">
      <c r="A6280" s="8" t="s">
        <v>12519</v>
      </c>
      <c r="B6280" s="8" t="s">
        <v>59883</v>
      </c>
      <c r="C6280" s="8" t="s">
        <v>12520</v>
      </c>
      <c r="D6280" s="8"/>
      <c r="E6280" s="6"/>
      <c r="F6280" s="6"/>
    </row>
    <row r="6281" spans="1:6" x14ac:dyDescent="0.3">
      <c r="A6281" s="8" t="s">
        <v>12521</v>
      </c>
      <c r="B6281" s="8" t="s">
        <v>59884</v>
      </c>
      <c r="C6281" s="8" t="s">
        <v>12522</v>
      </c>
      <c r="D6281" s="8"/>
      <c r="E6281" s="6"/>
      <c r="F6281" s="6"/>
    </row>
    <row r="6282" spans="1:6" x14ac:dyDescent="0.3">
      <c r="A6282" s="8" t="s">
        <v>12523</v>
      </c>
      <c r="B6282" s="8" t="s">
        <v>59885</v>
      </c>
      <c r="C6282" s="8" t="s">
        <v>12524</v>
      </c>
      <c r="D6282" s="8"/>
      <c r="E6282" s="6"/>
      <c r="F6282" s="6"/>
    </row>
    <row r="6283" spans="1:6" x14ac:dyDescent="0.3">
      <c r="A6283" s="8" t="s">
        <v>12525</v>
      </c>
      <c r="B6283" s="8" t="s">
        <v>59886</v>
      </c>
      <c r="C6283" s="8" t="s">
        <v>12526</v>
      </c>
      <c r="D6283" s="8"/>
      <c r="E6283" s="6"/>
      <c r="F6283" s="6"/>
    </row>
    <row r="6284" spans="1:6" x14ac:dyDescent="0.3">
      <c r="A6284" s="8" t="s">
        <v>12527</v>
      </c>
      <c r="B6284" s="8" t="s">
        <v>59887</v>
      </c>
      <c r="C6284" s="8" t="s">
        <v>12528</v>
      </c>
      <c r="D6284" s="8"/>
      <c r="E6284" s="6"/>
      <c r="F6284" s="6"/>
    </row>
    <row r="6285" spans="1:6" x14ac:dyDescent="0.3">
      <c r="A6285" s="8" t="s">
        <v>12529</v>
      </c>
      <c r="B6285" s="8" t="s">
        <v>59888</v>
      </c>
      <c r="C6285" s="8" t="s">
        <v>12530</v>
      </c>
      <c r="D6285" s="8"/>
      <c r="E6285" s="6"/>
      <c r="F6285" s="6"/>
    </row>
    <row r="6286" spans="1:6" x14ac:dyDescent="0.3">
      <c r="A6286" s="8" t="s">
        <v>12531</v>
      </c>
      <c r="B6286" s="8" t="s">
        <v>59889</v>
      </c>
      <c r="C6286" s="8" t="s">
        <v>12532</v>
      </c>
      <c r="D6286" s="8"/>
      <c r="E6286" s="6"/>
      <c r="F6286" s="6"/>
    </row>
    <row r="6287" spans="1:6" x14ac:dyDescent="0.3">
      <c r="A6287" s="8" t="s">
        <v>12533</v>
      </c>
      <c r="B6287" s="8" t="s">
        <v>59890</v>
      </c>
      <c r="C6287" s="8" t="s">
        <v>12534</v>
      </c>
      <c r="D6287" s="8"/>
      <c r="E6287" s="6"/>
      <c r="F6287" s="6"/>
    </row>
    <row r="6288" spans="1:6" x14ac:dyDescent="0.3">
      <c r="A6288" s="8" t="s">
        <v>12535</v>
      </c>
      <c r="B6288" s="8" t="s">
        <v>59891</v>
      </c>
      <c r="C6288" s="8" t="s">
        <v>12536</v>
      </c>
      <c r="D6288" s="8"/>
      <c r="E6288" s="6"/>
      <c r="F6288" s="6"/>
    </row>
    <row r="6289" spans="1:6" x14ac:dyDescent="0.3">
      <c r="A6289" s="8" t="s">
        <v>12537</v>
      </c>
      <c r="B6289" s="8" t="s">
        <v>59892</v>
      </c>
      <c r="C6289" s="8" t="s">
        <v>12538</v>
      </c>
      <c r="D6289" s="8"/>
      <c r="E6289" s="6"/>
      <c r="F6289" s="6"/>
    </row>
    <row r="6290" spans="1:6" x14ac:dyDescent="0.3">
      <c r="A6290" s="8" t="s">
        <v>12539</v>
      </c>
      <c r="B6290" s="8" t="s">
        <v>59893</v>
      </c>
      <c r="C6290" s="8" t="s">
        <v>12540</v>
      </c>
      <c r="D6290" s="8"/>
      <c r="E6290" s="6"/>
      <c r="F6290" s="6"/>
    </row>
    <row r="6291" spans="1:6" x14ac:dyDescent="0.3">
      <c r="A6291" s="8" t="s">
        <v>12541</v>
      </c>
      <c r="B6291" s="8" t="s">
        <v>59894</v>
      </c>
      <c r="C6291" s="8" t="s">
        <v>12542</v>
      </c>
      <c r="D6291" s="8"/>
      <c r="E6291" s="6"/>
      <c r="F6291" s="6"/>
    </row>
    <row r="6292" spans="1:6" x14ac:dyDescent="0.3">
      <c r="A6292" s="8" t="s">
        <v>12543</v>
      </c>
      <c r="B6292" s="8" t="s">
        <v>59895</v>
      </c>
      <c r="C6292" s="8" t="s">
        <v>12544</v>
      </c>
      <c r="D6292" s="8"/>
      <c r="E6292" s="6"/>
      <c r="F6292" s="6"/>
    </row>
    <row r="6293" spans="1:6" x14ac:dyDescent="0.3">
      <c r="A6293" s="8" t="s">
        <v>12545</v>
      </c>
      <c r="B6293" s="8" t="s">
        <v>59896</v>
      </c>
      <c r="C6293" s="8" t="s">
        <v>12546</v>
      </c>
      <c r="D6293" s="8"/>
      <c r="E6293" s="6"/>
      <c r="F6293" s="6"/>
    </row>
    <row r="6294" spans="1:6" x14ac:dyDescent="0.3">
      <c r="A6294" s="8" t="s">
        <v>12547</v>
      </c>
      <c r="B6294" s="8" t="s">
        <v>59897</v>
      </c>
      <c r="C6294" s="8" t="s">
        <v>12548</v>
      </c>
      <c r="D6294" s="8"/>
      <c r="E6294" s="6"/>
      <c r="F6294" s="6"/>
    </row>
    <row r="6295" spans="1:6" x14ac:dyDescent="0.3">
      <c r="A6295" s="8" t="s">
        <v>12549</v>
      </c>
      <c r="B6295" s="8" t="s">
        <v>59898</v>
      </c>
      <c r="C6295" s="8" t="s">
        <v>12550</v>
      </c>
      <c r="D6295" s="8"/>
      <c r="E6295" s="6"/>
      <c r="F6295" s="6"/>
    </row>
    <row r="6296" spans="1:6" x14ac:dyDescent="0.3">
      <c r="A6296" s="8" t="s">
        <v>12551</v>
      </c>
      <c r="B6296" s="8" t="s">
        <v>59899</v>
      </c>
      <c r="C6296" s="8" t="s">
        <v>12552</v>
      </c>
      <c r="D6296" s="8"/>
      <c r="E6296" s="6"/>
      <c r="F6296" s="6"/>
    </row>
    <row r="6297" spans="1:6" x14ac:dyDescent="0.3">
      <c r="A6297" s="8" t="s">
        <v>12553</v>
      </c>
      <c r="B6297" s="8" t="s">
        <v>59900</v>
      </c>
      <c r="C6297" s="8" t="s">
        <v>12554</v>
      </c>
      <c r="D6297" s="8"/>
      <c r="E6297" s="6"/>
      <c r="F6297" s="6"/>
    </row>
    <row r="6298" spans="1:6" x14ac:dyDescent="0.3">
      <c r="A6298" s="8" t="s">
        <v>12555</v>
      </c>
      <c r="B6298" s="8" t="s">
        <v>59901</v>
      </c>
      <c r="C6298" s="8" t="s">
        <v>12556</v>
      </c>
      <c r="D6298" s="8"/>
      <c r="E6298" s="6"/>
      <c r="F6298" s="6"/>
    </row>
    <row r="6299" spans="1:6" x14ac:dyDescent="0.3">
      <c r="A6299" s="8" t="s">
        <v>12557</v>
      </c>
      <c r="B6299" s="8" t="s">
        <v>59902</v>
      </c>
      <c r="C6299" s="8" t="s">
        <v>12558</v>
      </c>
      <c r="D6299" s="8"/>
      <c r="E6299" s="6"/>
      <c r="F6299" s="6"/>
    </row>
    <row r="6300" spans="1:6" x14ac:dyDescent="0.3">
      <c r="A6300" s="8" t="s">
        <v>12559</v>
      </c>
      <c r="B6300" s="8" t="s">
        <v>59903</v>
      </c>
      <c r="C6300" s="8" t="s">
        <v>12560</v>
      </c>
      <c r="D6300" s="8"/>
      <c r="E6300" s="6"/>
      <c r="F6300" s="6"/>
    </row>
    <row r="6301" spans="1:6" x14ac:dyDescent="0.3">
      <c r="A6301" s="8" t="s">
        <v>12561</v>
      </c>
      <c r="B6301" s="8" t="s">
        <v>59904</v>
      </c>
      <c r="C6301" s="8" t="s">
        <v>12562</v>
      </c>
      <c r="D6301" s="8"/>
      <c r="E6301" s="6"/>
      <c r="F6301" s="6"/>
    </row>
    <row r="6302" spans="1:6" x14ac:dyDescent="0.3">
      <c r="A6302" s="8" t="s">
        <v>12563</v>
      </c>
      <c r="B6302" s="8" t="s">
        <v>59905</v>
      </c>
      <c r="C6302" s="8" t="s">
        <v>12564</v>
      </c>
      <c r="D6302" s="8"/>
      <c r="E6302" s="6"/>
      <c r="F6302" s="6"/>
    </row>
    <row r="6303" spans="1:6" x14ac:dyDescent="0.3">
      <c r="A6303" s="8" t="s">
        <v>12565</v>
      </c>
      <c r="B6303" s="8" t="s">
        <v>59906</v>
      </c>
      <c r="C6303" s="8" t="s">
        <v>12566</v>
      </c>
      <c r="D6303" s="8"/>
      <c r="E6303" s="6"/>
      <c r="F6303" s="6"/>
    </row>
    <row r="6304" spans="1:6" x14ac:dyDescent="0.3">
      <c r="A6304" s="8" t="s">
        <v>12567</v>
      </c>
      <c r="B6304" s="8" t="s">
        <v>59907</v>
      </c>
      <c r="C6304" s="8" t="s">
        <v>12568</v>
      </c>
      <c r="D6304" s="8"/>
      <c r="E6304" s="6"/>
      <c r="F6304" s="6"/>
    </row>
    <row r="6305" spans="1:6" x14ac:dyDescent="0.3">
      <c r="A6305" s="8" t="s">
        <v>12569</v>
      </c>
      <c r="B6305" s="8" t="s">
        <v>59908</v>
      </c>
      <c r="C6305" s="8" t="s">
        <v>12570</v>
      </c>
      <c r="D6305" s="8"/>
      <c r="E6305" s="6"/>
      <c r="F6305" s="6"/>
    </row>
    <row r="6306" spans="1:6" x14ac:dyDescent="0.3">
      <c r="A6306" s="8" t="s">
        <v>12571</v>
      </c>
      <c r="B6306" s="8" t="s">
        <v>59909</v>
      </c>
      <c r="C6306" s="8" t="s">
        <v>12572</v>
      </c>
      <c r="D6306" s="8"/>
      <c r="E6306" s="6"/>
      <c r="F6306" s="6"/>
    </row>
    <row r="6307" spans="1:6" x14ac:dyDescent="0.3">
      <c r="A6307" s="8" t="s">
        <v>12573</v>
      </c>
      <c r="B6307" s="8" t="s">
        <v>59910</v>
      </c>
      <c r="C6307" s="8" t="s">
        <v>12574</v>
      </c>
      <c r="D6307" s="8"/>
      <c r="E6307" s="6"/>
      <c r="F6307" s="6"/>
    </row>
    <row r="6308" spans="1:6" x14ac:dyDescent="0.3">
      <c r="A6308" s="8" t="s">
        <v>12575</v>
      </c>
      <c r="B6308" s="8" t="s">
        <v>59911</v>
      </c>
      <c r="C6308" s="8" t="s">
        <v>12576</v>
      </c>
      <c r="D6308" s="8"/>
      <c r="E6308" s="6"/>
      <c r="F6308" s="6"/>
    </row>
    <row r="6309" spans="1:6" x14ac:dyDescent="0.3">
      <c r="A6309" s="8" t="s">
        <v>12577</v>
      </c>
      <c r="B6309" s="8" t="s">
        <v>59912</v>
      </c>
      <c r="C6309" s="8" t="s">
        <v>12578</v>
      </c>
      <c r="D6309" s="8"/>
      <c r="E6309" s="6"/>
      <c r="F6309" s="6"/>
    </row>
    <row r="6310" spans="1:6" x14ac:dyDescent="0.3">
      <c r="A6310" s="8" t="s">
        <v>12579</v>
      </c>
      <c r="B6310" s="8" t="s">
        <v>59913</v>
      </c>
      <c r="C6310" s="8" t="s">
        <v>12580</v>
      </c>
      <c r="D6310" s="8"/>
      <c r="E6310" s="6"/>
      <c r="F6310" s="6"/>
    </row>
    <row r="6311" spans="1:6" x14ac:dyDescent="0.3">
      <c r="A6311" s="8" t="s">
        <v>12581</v>
      </c>
      <c r="B6311" s="8" t="s">
        <v>59914</v>
      </c>
      <c r="C6311" s="8" t="s">
        <v>12582</v>
      </c>
      <c r="D6311" s="8"/>
      <c r="E6311" s="6"/>
      <c r="F6311" s="6"/>
    </row>
    <row r="6312" spans="1:6" x14ac:dyDescent="0.3">
      <c r="A6312" s="8" t="s">
        <v>12583</v>
      </c>
      <c r="B6312" s="8" t="s">
        <v>59915</v>
      </c>
      <c r="C6312" s="8" t="s">
        <v>12584</v>
      </c>
      <c r="D6312" s="8"/>
      <c r="E6312" s="6"/>
      <c r="F6312" s="6"/>
    </row>
    <row r="6313" spans="1:6" x14ac:dyDescent="0.3">
      <c r="A6313" s="8" t="s">
        <v>12585</v>
      </c>
      <c r="B6313" s="8" t="s">
        <v>59916</v>
      </c>
      <c r="C6313" s="8" t="s">
        <v>12586</v>
      </c>
      <c r="D6313" s="8"/>
      <c r="E6313" s="6"/>
      <c r="F6313" s="6"/>
    </row>
    <row r="6314" spans="1:6" x14ac:dyDescent="0.3">
      <c r="A6314" s="8" t="s">
        <v>12587</v>
      </c>
      <c r="B6314" s="8" t="s">
        <v>59917</v>
      </c>
      <c r="C6314" s="8" t="s">
        <v>12588</v>
      </c>
      <c r="D6314" s="8"/>
      <c r="E6314" s="6"/>
      <c r="F6314" s="6"/>
    </row>
    <row r="6315" spans="1:6" x14ac:dyDescent="0.3">
      <c r="A6315" s="8" t="s">
        <v>12589</v>
      </c>
      <c r="B6315" s="8" t="s">
        <v>59918</v>
      </c>
      <c r="C6315" s="8" t="s">
        <v>12590</v>
      </c>
      <c r="D6315" s="8"/>
      <c r="E6315" s="6"/>
      <c r="F6315" s="6"/>
    </row>
    <row r="6316" spans="1:6" x14ac:dyDescent="0.3">
      <c r="A6316" s="8" t="s">
        <v>12591</v>
      </c>
      <c r="B6316" s="8" t="s">
        <v>59919</v>
      </c>
      <c r="C6316" s="8" t="s">
        <v>12592</v>
      </c>
      <c r="D6316" s="8"/>
      <c r="E6316" s="6"/>
      <c r="F6316" s="6"/>
    </row>
    <row r="6317" spans="1:6" x14ac:dyDescent="0.3">
      <c r="A6317" s="8" t="s">
        <v>12593</v>
      </c>
      <c r="B6317" s="8" t="s">
        <v>59920</v>
      </c>
      <c r="C6317" s="8" t="s">
        <v>12594</v>
      </c>
      <c r="D6317" s="8"/>
      <c r="E6317" s="6"/>
      <c r="F6317" s="6"/>
    </row>
    <row r="6318" spans="1:6" x14ac:dyDescent="0.3">
      <c r="A6318" s="8" t="s">
        <v>12595</v>
      </c>
      <c r="B6318" s="8" t="s">
        <v>59921</v>
      </c>
      <c r="C6318" s="8" t="s">
        <v>12596</v>
      </c>
      <c r="D6318" s="8"/>
      <c r="E6318" s="6"/>
      <c r="F6318" s="6"/>
    </row>
    <row r="6319" spans="1:6" x14ac:dyDescent="0.3">
      <c r="A6319" s="8" t="s">
        <v>12597</v>
      </c>
      <c r="B6319" s="8" t="s">
        <v>59922</v>
      </c>
      <c r="C6319" s="8" t="s">
        <v>12598</v>
      </c>
      <c r="D6319" s="8"/>
      <c r="E6319" s="6"/>
      <c r="F6319" s="6"/>
    </row>
    <row r="6320" spans="1:6" x14ac:dyDescent="0.3">
      <c r="A6320" s="8" t="s">
        <v>12599</v>
      </c>
      <c r="B6320" s="8" t="s">
        <v>59923</v>
      </c>
      <c r="C6320" s="8" t="s">
        <v>12600</v>
      </c>
      <c r="D6320" s="8"/>
      <c r="E6320" s="6"/>
      <c r="F6320" s="6"/>
    </row>
    <row r="6321" spans="1:6" x14ac:dyDescent="0.3">
      <c r="A6321" s="8" t="s">
        <v>12601</v>
      </c>
      <c r="B6321" s="8" t="s">
        <v>59924</v>
      </c>
      <c r="C6321" s="8" t="s">
        <v>12602</v>
      </c>
      <c r="D6321" s="8"/>
      <c r="E6321" s="6"/>
      <c r="F6321" s="6"/>
    </row>
    <row r="6322" spans="1:6" x14ac:dyDescent="0.3">
      <c r="A6322" s="8" t="s">
        <v>12603</v>
      </c>
      <c r="B6322" s="8" t="s">
        <v>59925</v>
      </c>
      <c r="C6322" s="8" t="s">
        <v>12604</v>
      </c>
      <c r="D6322" s="8"/>
      <c r="E6322" s="6"/>
      <c r="F6322" s="6"/>
    </row>
    <row r="6323" spans="1:6" x14ac:dyDescent="0.3">
      <c r="A6323" s="8" t="s">
        <v>12605</v>
      </c>
      <c r="B6323" s="8" t="s">
        <v>59926</v>
      </c>
      <c r="C6323" s="8" t="s">
        <v>12606</v>
      </c>
      <c r="D6323" s="8"/>
      <c r="E6323" s="6"/>
      <c r="F6323" s="6"/>
    </row>
    <row r="6324" spans="1:6" x14ac:dyDescent="0.3">
      <c r="A6324" s="8" t="s">
        <v>12607</v>
      </c>
      <c r="B6324" s="8" t="s">
        <v>59927</v>
      </c>
      <c r="C6324" s="8" t="s">
        <v>12608</v>
      </c>
      <c r="D6324" s="8"/>
      <c r="E6324" s="6"/>
      <c r="F6324" s="6"/>
    </row>
    <row r="6325" spans="1:6" x14ac:dyDescent="0.3">
      <c r="A6325" s="8" t="s">
        <v>12609</v>
      </c>
      <c r="B6325" s="8" t="s">
        <v>59928</v>
      </c>
      <c r="C6325" s="8" t="s">
        <v>12610</v>
      </c>
      <c r="D6325" s="8"/>
      <c r="E6325" s="6"/>
      <c r="F6325" s="6"/>
    </row>
    <row r="6326" spans="1:6" x14ac:dyDescent="0.3">
      <c r="A6326" s="8" t="s">
        <v>12611</v>
      </c>
      <c r="B6326" s="8" t="s">
        <v>59929</v>
      </c>
      <c r="C6326" s="8" t="s">
        <v>12612</v>
      </c>
      <c r="D6326" s="8"/>
      <c r="E6326" s="6"/>
      <c r="F6326" s="6"/>
    </row>
    <row r="6327" spans="1:6" ht="28.8" x14ac:dyDescent="0.3">
      <c r="A6327" s="8" t="s">
        <v>12613</v>
      </c>
      <c r="B6327" s="8" t="s">
        <v>59930</v>
      </c>
      <c r="C6327" s="8" t="s">
        <v>12614</v>
      </c>
      <c r="D6327" s="8"/>
      <c r="E6327" s="6"/>
      <c r="F6327" s="6"/>
    </row>
    <row r="6328" spans="1:6" x14ac:dyDescent="0.3">
      <c r="A6328" s="8" t="s">
        <v>12615</v>
      </c>
      <c r="B6328" s="8" t="s">
        <v>59931</v>
      </c>
      <c r="C6328" s="8" t="s">
        <v>12616</v>
      </c>
      <c r="D6328" s="8"/>
      <c r="E6328" s="6"/>
      <c r="F6328" s="6"/>
    </row>
    <row r="6329" spans="1:6" x14ac:dyDescent="0.3">
      <c r="A6329" s="8" t="s">
        <v>12617</v>
      </c>
      <c r="B6329" s="8" t="s">
        <v>59932</v>
      </c>
      <c r="C6329" s="8" t="s">
        <v>12618</v>
      </c>
      <c r="D6329" s="8"/>
      <c r="E6329" s="6"/>
      <c r="F6329" s="6"/>
    </row>
    <row r="6330" spans="1:6" x14ac:dyDescent="0.3">
      <c r="A6330" s="8" t="s">
        <v>12619</v>
      </c>
      <c r="B6330" s="8" t="s">
        <v>59933</v>
      </c>
      <c r="C6330" s="8" t="s">
        <v>12620</v>
      </c>
      <c r="D6330" s="8"/>
      <c r="E6330" s="6"/>
      <c r="F6330" s="6"/>
    </row>
    <row r="6331" spans="1:6" x14ac:dyDescent="0.3">
      <c r="A6331" s="8" t="s">
        <v>12621</v>
      </c>
      <c r="B6331" s="8" t="s">
        <v>59934</v>
      </c>
      <c r="C6331" s="8" t="s">
        <v>12622</v>
      </c>
      <c r="D6331" s="8"/>
      <c r="E6331" s="6"/>
      <c r="F6331" s="6"/>
    </row>
    <row r="6332" spans="1:6" x14ac:dyDescent="0.3">
      <c r="A6332" s="8" t="s">
        <v>12623</v>
      </c>
      <c r="B6332" s="8" t="s">
        <v>59935</v>
      </c>
      <c r="C6332" s="8" t="s">
        <v>12624</v>
      </c>
      <c r="D6332" s="8"/>
      <c r="E6332" s="6"/>
      <c r="F6332" s="6"/>
    </row>
    <row r="6333" spans="1:6" x14ac:dyDescent="0.3">
      <c r="A6333" s="8" t="s">
        <v>12625</v>
      </c>
      <c r="B6333" s="8" t="s">
        <v>59936</v>
      </c>
      <c r="C6333" s="8" t="s">
        <v>12626</v>
      </c>
      <c r="D6333" s="8"/>
      <c r="E6333" s="6"/>
      <c r="F6333" s="6"/>
    </row>
    <row r="6334" spans="1:6" x14ac:dyDescent="0.3">
      <c r="A6334" s="8" t="s">
        <v>12627</v>
      </c>
      <c r="B6334" s="8" t="s">
        <v>59937</v>
      </c>
      <c r="C6334" s="8" t="s">
        <v>12628</v>
      </c>
      <c r="D6334" s="8"/>
      <c r="E6334" s="6"/>
      <c r="F6334" s="6"/>
    </row>
    <row r="6335" spans="1:6" x14ac:dyDescent="0.3">
      <c r="A6335" s="8" t="s">
        <v>12629</v>
      </c>
      <c r="B6335" s="8" t="s">
        <v>59938</v>
      </c>
      <c r="C6335" s="8" t="s">
        <v>12630</v>
      </c>
      <c r="D6335" s="8"/>
      <c r="E6335" s="6"/>
      <c r="F6335" s="6"/>
    </row>
    <row r="6336" spans="1:6" x14ac:dyDescent="0.3">
      <c r="A6336" s="8" t="s">
        <v>12631</v>
      </c>
      <c r="B6336" s="8" t="s">
        <v>59939</v>
      </c>
      <c r="C6336" s="8" t="s">
        <v>12632</v>
      </c>
      <c r="D6336" s="8"/>
      <c r="E6336" s="6"/>
      <c r="F6336" s="6"/>
    </row>
    <row r="6337" spans="1:6" x14ac:dyDescent="0.3">
      <c r="A6337" s="8" t="s">
        <v>12633</v>
      </c>
      <c r="B6337" s="8" t="s">
        <v>59940</v>
      </c>
      <c r="C6337" s="8" t="s">
        <v>12634</v>
      </c>
      <c r="D6337" s="8"/>
      <c r="E6337" s="6"/>
      <c r="F6337" s="6"/>
    </row>
    <row r="6338" spans="1:6" ht="28.8" x14ac:dyDescent="0.3">
      <c r="A6338" s="8" t="s">
        <v>12635</v>
      </c>
      <c r="B6338" s="8" t="s">
        <v>59941</v>
      </c>
      <c r="C6338" s="8" t="s">
        <v>12636</v>
      </c>
      <c r="D6338" s="8"/>
      <c r="E6338" s="6"/>
      <c r="F6338" s="6"/>
    </row>
    <row r="6339" spans="1:6" x14ac:dyDescent="0.3">
      <c r="A6339" s="8" t="s">
        <v>12637</v>
      </c>
      <c r="B6339" s="8" t="s">
        <v>59942</v>
      </c>
      <c r="C6339" s="8" t="s">
        <v>12638</v>
      </c>
      <c r="D6339" s="8"/>
      <c r="E6339" s="6"/>
      <c r="F6339" s="6"/>
    </row>
    <row r="6340" spans="1:6" x14ac:dyDescent="0.3">
      <c r="A6340" s="8" t="s">
        <v>12639</v>
      </c>
      <c r="B6340" s="8" t="s">
        <v>59943</v>
      </c>
      <c r="C6340" s="8" t="s">
        <v>12640</v>
      </c>
      <c r="D6340" s="8"/>
      <c r="E6340" s="6"/>
      <c r="F6340" s="6"/>
    </row>
    <row r="6341" spans="1:6" x14ac:dyDescent="0.3">
      <c r="A6341" s="8" t="s">
        <v>12641</v>
      </c>
      <c r="B6341" s="8" t="s">
        <v>59944</v>
      </c>
      <c r="C6341" s="8" t="s">
        <v>12642</v>
      </c>
      <c r="D6341" s="8"/>
      <c r="E6341" s="6"/>
      <c r="F6341" s="6"/>
    </row>
    <row r="6342" spans="1:6" x14ac:dyDescent="0.3">
      <c r="A6342" s="8" t="s">
        <v>12643</v>
      </c>
      <c r="B6342" s="8" t="s">
        <v>59945</v>
      </c>
      <c r="C6342" s="8" t="s">
        <v>12644</v>
      </c>
      <c r="D6342" s="8"/>
      <c r="E6342" s="6"/>
      <c r="F6342" s="6"/>
    </row>
    <row r="6343" spans="1:6" x14ac:dyDescent="0.3">
      <c r="A6343" s="8" t="s">
        <v>12645</v>
      </c>
      <c r="B6343" s="8" t="s">
        <v>59946</v>
      </c>
      <c r="C6343" s="8" t="s">
        <v>12646</v>
      </c>
      <c r="D6343" s="8"/>
      <c r="E6343" s="6"/>
      <c r="F6343" s="6"/>
    </row>
    <row r="6344" spans="1:6" x14ac:dyDescent="0.3">
      <c r="A6344" s="8" t="s">
        <v>12647</v>
      </c>
      <c r="B6344" s="8" t="s">
        <v>59947</v>
      </c>
      <c r="C6344" s="8" t="s">
        <v>12648</v>
      </c>
      <c r="D6344" s="8"/>
      <c r="E6344" s="6"/>
      <c r="F6344" s="6"/>
    </row>
    <row r="6345" spans="1:6" x14ac:dyDescent="0.3">
      <c r="A6345" s="8" t="s">
        <v>12649</v>
      </c>
      <c r="B6345" s="8" t="s">
        <v>59948</v>
      </c>
      <c r="C6345" s="8" t="s">
        <v>12650</v>
      </c>
      <c r="D6345" s="8"/>
      <c r="E6345" s="6"/>
      <c r="F6345" s="6"/>
    </row>
    <row r="6346" spans="1:6" x14ac:dyDescent="0.3">
      <c r="A6346" s="8" t="s">
        <v>12651</v>
      </c>
      <c r="B6346" s="8" t="s">
        <v>59949</v>
      </c>
      <c r="C6346" s="8" t="s">
        <v>12652</v>
      </c>
      <c r="D6346" s="8"/>
      <c r="E6346" s="6"/>
      <c r="F6346" s="6"/>
    </row>
    <row r="6347" spans="1:6" x14ac:dyDescent="0.3">
      <c r="A6347" s="8" t="s">
        <v>12653</v>
      </c>
      <c r="B6347" s="8" t="s">
        <v>59950</v>
      </c>
      <c r="C6347" s="8" t="s">
        <v>12654</v>
      </c>
      <c r="D6347" s="8"/>
      <c r="E6347" s="6"/>
      <c r="F6347" s="6"/>
    </row>
    <row r="6348" spans="1:6" x14ac:dyDescent="0.3">
      <c r="A6348" s="8" t="s">
        <v>12655</v>
      </c>
      <c r="B6348" s="8" t="s">
        <v>59951</v>
      </c>
      <c r="C6348" s="8" t="s">
        <v>12656</v>
      </c>
      <c r="D6348" s="8"/>
      <c r="E6348" s="6"/>
      <c r="F6348" s="6"/>
    </row>
    <row r="6349" spans="1:6" x14ac:dyDescent="0.3">
      <c r="A6349" s="8" t="s">
        <v>12657</v>
      </c>
      <c r="B6349" s="8" t="s">
        <v>59952</v>
      </c>
      <c r="C6349" s="8" t="s">
        <v>12658</v>
      </c>
      <c r="D6349" s="8"/>
      <c r="E6349" s="6"/>
      <c r="F6349" s="6"/>
    </row>
    <row r="6350" spans="1:6" x14ac:dyDescent="0.3">
      <c r="A6350" s="8" t="s">
        <v>12659</v>
      </c>
      <c r="B6350" s="8" t="s">
        <v>59953</v>
      </c>
      <c r="C6350" s="8" t="s">
        <v>12660</v>
      </c>
      <c r="D6350" s="8"/>
      <c r="E6350" s="6"/>
      <c r="F6350" s="6"/>
    </row>
    <row r="6351" spans="1:6" x14ac:dyDescent="0.3">
      <c r="A6351" s="8" t="s">
        <v>12661</v>
      </c>
      <c r="B6351" s="8" t="s">
        <v>59954</v>
      </c>
      <c r="C6351" s="8" t="s">
        <v>12662</v>
      </c>
      <c r="D6351" s="8"/>
      <c r="E6351" s="6"/>
      <c r="F6351" s="6"/>
    </row>
    <row r="6352" spans="1:6" x14ac:dyDescent="0.3">
      <c r="A6352" s="8" t="s">
        <v>12663</v>
      </c>
      <c r="B6352" s="8" t="s">
        <v>59955</v>
      </c>
      <c r="C6352" s="8" t="s">
        <v>12664</v>
      </c>
      <c r="D6352" s="8"/>
      <c r="E6352" s="6"/>
      <c r="F6352" s="6"/>
    </row>
    <row r="6353" spans="1:6" x14ac:dyDescent="0.3">
      <c r="A6353" s="8" t="s">
        <v>12665</v>
      </c>
      <c r="B6353" s="8" t="s">
        <v>59956</v>
      </c>
      <c r="C6353" s="8" t="s">
        <v>12666</v>
      </c>
      <c r="D6353" s="8"/>
      <c r="E6353" s="6"/>
      <c r="F6353" s="6"/>
    </row>
    <row r="6354" spans="1:6" x14ac:dyDescent="0.3">
      <c r="A6354" s="8" t="s">
        <v>12667</v>
      </c>
      <c r="B6354" s="8" t="s">
        <v>59957</v>
      </c>
      <c r="C6354" s="8" t="s">
        <v>12668</v>
      </c>
      <c r="D6354" s="8"/>
      <c r="E6354" s="6"/>
      <c r="F6354" s="6"/>
    </row>
    <row r="6355" spans="1:6" ht="28.8" x14ac:dyDescent="0.3">
      <c r="A6355" s="8" t="s">
        <v>12669</v>
      </c>
      <c r="B6355" s="8" t="s">
        <v>59958</v>
      </c>
      <c r="C6355" s="8" t="s">
        <v>12670</v>
      </c>
      <c r="D6355" s="8"/>
      <c r="E6355" s="6"/>
      <c r="F6355" s="6"/>
    </row>
    <row r="6356" spans="1:6" ht="28.8" x14ac:dyDescent="0.3">
      <c r="A6356" s="8" t="s">
        <v>12671</v>
      </c>
      <c r="B6356" s="8" t="s">
        <v>59959</v>
      </c>
      <c r="C6356" s="8" t="s">
        <v>12672</v>
      </c>
      <c r="D6356" s="8"/>
      <c r="E6356" s="6"/>
      <c r="F6356" s="6"/>
    </row>
    <row r="6357" spans="1:6" ht="28.8" x14ac:dyDescent="0.3">
      <c r="A6357" s="8" t="s">
        <v>12673</v>
      </c>
      <c r="B6357" s="8" t="s">
        <v>59960</v>
      </c>
      <c r="C6357" s="8" t="s">
        <v>12674</v>
      </c>
      <c r="D6357" s="8"/>
      <c r="E6357" s="6"/>
      <c r="F6357" s="6"/>
    </row>
    <row r="6358" spans="1:6" ht="28.8" x14ac:dyDescent="0.3">
      <c r="A6358" s="8" t="s">
        <v>12675</v>
      </c>
      <c r="B6358" s="8" t="s">
        <v>59961</v>
      </c>
      <c r="C6358" s="8" t="s">
        <v>12676</v>
      </c>
      <c r="D6358" s="8"/>
      <c r="E6358" s="6"/>
      <c r="F6358" s="6"/>
    </row>
    <row r="6359" spans="1:6" ht="28.8" x14ac:dyDescent="0.3">
      <c r="A6359" s="8" t="s">
        <v>12677</v>
      </c>
      <c r="B6359" s="8" t="s">
        <v>59962</v>
      </c>
      <c r="C6359" s="8" t="s">
        <v>12678</v>
      </c>
      <c r="D6359" s="8"/>
      <c r="E6359" s="6"/>
      <c r="F6359" s="6"/>
    </row>
    <row r="6360" spans="1:6" x14ac:dyDescent="0.3">
      <c r="A6360" s="8" t="s">
        <v>12679</v>
      </c>
      <c r="B6360" s="8" t="s">
        <v>59963</v>
      </c>
      <c r="C6360" s="8" t="s">
        <v>12680</v>
      </c>
      <c r="D6360" s="8"/>
      <c r="E6360" s="6"/>
      <c r="F6360" s="6"/>
    </row>
    <row r="6361" spans="1:6" x14ac:dyDescent="0.3">
      <c r="A6361" s="8" t="s">
        <v>12681</v>
      </c>
      <c r="B6361" s="8" t="s">
        <v>59964</v>
      </c>
      <c r="C6361" s="8" t="s">
        <v>12682</v>
      </c>
      <c r="D6361" s="8"/>
      <c r="E6361" s="6"/>
      <c r="F6361" s="6"/>
    </row>
    <row r="6362" spans="1:6" x14ac:dyDescent="0.3">
      <c r="A6362" s="8" t="s">
        <v>12683</v>
      </c>
      <c r="B6362" s="8" t="s">
        <v>59965</v>
      </c>
      <c r="C6362" s="8" t="s">
        <v>12684</v>
      </c>
      <c r="D6362" s="8"/>
      <c r="E6362" s="6"/>
      <c r="F6362" s="6"/>
    </row>
    <row r="6363" spans="1:6" x14ac:dyDescent="0.3">
      <c r="A6363" s="8" t="s">
        <v>12685</v>
      </c>
      <c r="B6363" s="8" t="s">
        <v>59966</v>
      </c>
      <c r="C6363" s="8" t="s">
        <v>12686</v>
      </c>
      <c r="D6363" s="8"/>
      <c r="E6363" s="6"/>
      <c r="F6363" s="6"/>
    </row>
    <row r="6364" spans="1:6" x14ac:dyDescent="0.3">
      <c r="A6364" s="8" t="s">
        <v>12687</v>
      </c>
      <c r="B6364" s="8" t="s">
        <v>59967</v>
      </c>
      <c r="C6364" s="8" t="s">
        <v>12688</v>
      </c>
      <c r="D6364" s="8"/>
      <c r="E6364" s="6"/>
      <c r="F6364" s="6"/>
    </row>
    <row r="6365" spans="1:6" x14ac:dyDescent="0.3">
      <c r="A6365" s="8" t="s">
        <v>12689</v>
      </c>
      <c r="B6365" s="8" t="s">
        <v>59968</v>
      </c>
      <c r="C6365" s="8" t="s">
        <v>12690</v>
      </c>
      <c r="D6365" s="8"/>
      <c r="E6365" s="6"/>
      <c r="F6365" s="6"/>
    </row>
    <row r="6366" spans="1:6" x14ac:dyDescent="0.3">
      <c r="A6366" s="8" t="s">
        <v>12691</v>
      </c>
      <c r="B6366" s="8" t="s">
        <v>59969</v>
      </c>
      <c r="C6366" s="8" t="s">
        <v>12692</v>
      </c>
      <c r="D6366" s="8"/>
      <c r="E6366" s="6"/>
      <c r="F6366" s="6"/>
    </row>
    <row r="6367" spans="1:6" x14ac:dyDescent="0.3">
      <c r="A6367" s="8" t="s">
        <v>12693</v>
      </c>
      <c r="B6367" s="8" t="s">
        <v>59970</v>
      </c>
      <c r="C6367" s="8" t="s">
        <v>12694</v>
      </c>
      <c r="D6367" s="8"/>
      <c r="E6367" s="6"/>
      <c r="F6367" s="6"/>
    </row>
    <row r="6368" spans="1:6" x14ac:dyDescent="0.3">
      <c r="A6368" s="8" t="s">
        <v>12695</v>
      </c>
      <c r="B6368" s="8" t="s">
        <v>59971</v>
      </c>
      <c r="C6368" s="8" t="s">
        <v>12696</v>
      </c>
      <c r="D6368" s="8"/>
      <c r="E6368" s="6"/>
      <c r="F6368" s="6"/>
    </row>
    <row r="6369" spans="1:6" x14ac:dyDescent="0.3">
      <c r="A6369" s="8" t="s">
        <v>12697</v>
      </c>
      <c r="B6369" s="8" t="s">
        <v>59972</v>
      </c>
      <c r="C6369" s="8" t="s">
        <v>12698</v>
      </c>
      <c r="D6369" s="8"/>
      <c r="E6369" s="6"/>
      <c r="F6369" s="6"/>
    </row>
    <row r="6370" spans="1:6" x14ac:dyDescent="0.3">
      <c r="A6370" s="8" t="s">
        <v>12699</v>
      </c>
      <c r="B6370" s="8" t="s">
        <v>59973</v>
      </c>
      <c r="C6370" s="8" t="s">
        <v>12700</v>
      </c>
      <c r="D6370" s="8"/>
      <c r="E6370" s="6"/>
      <c r="F6370" s="6"/>
    </row>
    <row r="6371" spans="1:6" x14ac:dyDescent="0.3">
      <c r="A6371" s="8" t="s">
        <v>12701</v>
      </c>
      <c r="B6371" s="8" t="s">
        <v>59974</v>
      </c>
      <c r="C6371" s="8" t="s">
        <v>12702</v>
      </c>
      <c r="D6371" s="8"/>
      <c r="E6371" s="6"/>
      <c r="F6371" s="6"/>
    </row>
    <row r="6372" spans="1:6" x14ac:dyDescent="0.3">
      <c r="A6372" s="8" t="s">
        <v>12703</v>
      </c>
      <c r="B6372" s="8" t="s">
        <v>59975</v>
      </c>
      <c r="C6372" s="8" t="s">
        <v>12704</v>
      </c>
      <c r="D6372" s="8"/>
      <c r="E6372" s="6"/>
      <c r="F6372" s="6"/>
    </row>
    <row r="6373" spans="1:6" x14ac:dyDescent="0.3">
      <c r="A6373" s="8" t="s">
        <v>12705</v>
      </c>
      <c r="B6373" s="8" t="s">
        <v>59976</v>
      </c>
      <c r="C6373" s="8" t="s">
        <v>12706</v>
      </c>
      <c r="D6373" s="8"/>
      <c r="E6373" s="6"/>
      <c r="F6373" s="6"/>
    </row>
    <row r="6374" spans="1:6" x14ac:dyDescent="0.3">
      <c r="A6374" s="8" t="s">
        <v>12707</v>
      </c>
      <c r="B6374" s="8" t="s">
        <v>59977</v>
      </c>
      <c r="C6374" s="8" t="s">
        <v>12708</v>
      </c>
      <c r="D6374" s="8"/>
      <c r="E6374" s="6"/>
      <c r="F6374" s="6"/>
    </row>
    <row r="6375" spans="1:6" x14ac:dyDescent="0.3">
      <c r="A6375" s="8" t="s">
        <v>12709</v>
      </c>
      <c r="B6375" s="8" t="s">
        <v>59978</v>
      </c>
      <c r="C6375" s="8" t="s">
        <v>12710</v>
      </c>
      <c r="D6375" s="8"/>
      <c r="E6375" s="6"/>
      <c r="F6375" s="6"/>
    </row>
    <row r="6376" spans="1:6" x14ac:dyDescent="0.3">
      <c r="A6376" s="8" t="s">
        <v>12711</v>
      </c>
      <c r="B6376" s="8" t="s">
        <v>59979</v>
      </c>
      <c r="C6376" s="8" t="s">
        <v>12712</v>
      </c>
      <c r="D6376" s="8"/>
      <c r="E6376" s="6"/>
      <c r="F6376" s="6"/>
    </row>
    <row r="6377" spans="1:6" x14ac:dyDescent="0.3">
      <c r="A6377" s="8" t="s">
        <v>12713</v>
      </c>
      <c r="B6377" s="8" t="s">
        <v>59980</v>
      </c>
      <c r="C6377" s="8" t="s">
        <v>12714</v>
      </c>
      <c r="D6377" s="8"/>
      <c r="E6377" s="6"/>
      <c r="F6377" s="6"/>
    </row>
    <row r="6378" spans="1:6" x14ac:dyDescent="0.3">
      <c r="A6378" s="8" t="s">
        <v>12715</v>
      </c>
      <c r="B6378" s="8" t="s">
        <v>59981</v>
      </c>
      <c r="C6378" s="8" t="s">
        <v>12716</v>
      </c>
      <c r="D6378" s="8"/>
      <c r="E6378" s="6"/>
      <c r="F6378" s="6"/>
    </row>
    <row r="6379" spans="1:6" x14ac:dyDescent="0.3">
      <c r="A6379" s="8" t="s">
        <v>12717</v>
      </c>
      <c r="B6379" s="8" t="s">
        <v>59982</v>
      </c>
      <c r="C6379" s="8" t="s">
        <v>12718</v>
      </c>
      <c r="D6379" s="8"/>
      <c r="E6379" s="6"/>
      <c r="F6379" s="6"/>
    </row>
    <row r="6380" spans="1:6" x14ac:dyDescent="0.3">
      <c r="A6380" s="8" t="s">
        <v>12719</v>
      </c>
      <c r="B6380" s="8" t="s">
        <v>59983</v>
      </c>
      <c r="C6380" s="8" t="s">
        <v>12720</v>
      </c>
      <c r="D6380" s="8"/>
      <c r="E6380" s="6"/>
      <c r="F6380" s="6"/>
    </row>
    <row r="6381" spans="1:6" x14ac:dyDescent="0.3">
      <c r="A6381" s="8" t="s">
        <v>12721</v>
      </c>
      <c r="B6381" s="8" t="s">
        <v>59984</v>
      </c>
      <c r="C6381" s="8" t="s">
        <v>12722</v>
      </c>
      <c r="D6381" s="8"/>
      <c r="E6381" s="6"/>
      <c r="F6381" s="6"/>
    </row>
    <row r="6382" spans="1:6" x14ac:dyDescent="0.3">
      <c r="A6382" s="8" t="s">
        <v>12723</v>
      </c>
      <c r="B6382" s="8" t="s">
        <v>59985</v>
      </c>
      <c r="C6382" s="8" t="s">
        <v>12724</v>
      </c>
      <c r="D6382" s="8"/>
      <c r="E6382" s="6"/>
      <c r="F6382" s="6"/>
    </row>
    <row r="6383" spans="1:6" x14ac:dyDescent="0.3">
      <c r="A6383" s="8" t="s">
        <v>12725</v>
      </c>
      <c r="B6383" s="8" t="s">
        <v>59986</v>
      </c>
      <c r="C6383" s="8" t="s">
        <v>12726</v>
      </c>
      <c r="D6383" s="8"/>
      <c r="E6383" s="6"/>
      <c r="F6383" s="6"/>
    </row>
    <row r="6384" spans="1:6" x14ac:dyDescent="0.3">
      <c r="A6384" s="8" t="s">
        <v>12727</v>
      </c>
      <c r="B6384" s="8" t="s">
        <v>59987</v>
      </c>
      <c r="C6384" s="8" t="s">
        <v>12728</v>
      </c>
      <c r="D6384" s="8"/>
      <c r="E6384" s="6"/>
      <c r="F6384" s="6"/>
    </row>
    <row r="6385" spans="1:6" x14ac:dyDescent="0.3">
      <c r="A6385" s="8" t="s">
        <v>12729</v>
      </c>
      <c r="B6385" s="8" t="s">
        <v>59988</v>
      </c>
      <c r="C6385" s="8" t="s">
        <v>12730</v>
      </c>
      <c r="D6385" s="8"/>
      <c r="E6385" s="6"/>
      <c r="F6385" s="6"/>
    </row>
    <row r="6386" spans="1:6" x14ac:dyDescent="0.3">
      <c r="A6386" s="8" t="s">
        <v>12731</v>
      </c>
      <c r="B6386" s="8" t="s">
        <v>59989</v>
      </c>
      <c r="C6386" s="8" t="s">
        <v>12732</v>
      </c>
      <c r="D6386" s="8"/>
      <c r="E6386" s="6"/>
      <c r="F6386" s="6"/>
    </row>
    <row r="6387" spans="1:6" x14ac:dyDescent="0.3">
      <c r="A6387" s="8" t="s">
        <v>12733</v>
      </c>
      <c r="B6387" s="8" t="s">
        <v>59990</v>
      </c>
      <c r="C6387" s="8" t="s">
        <v>12734</v>
      </c>
      <c r="D6387" s="8"/>
      <c r="E6387" s="6"/>
      <c r="F6387" s="6"/>
    </row>
    <row r="6388" spans="1:6" x14ac:dyDescent="0.3">
      <c r="A6388" s="8" t="s">
        <v>12735</v>
      </c>
      <c r="B6388" s="8" t="s">
        <v>59991</v>
      </c>
      <c r="C6388" s="8" t="s">
        <v>12736</v>
      </c>
      <c r="D6388" s="8"/>
      <c r="E6388" s="6"/>
      <c r="F6388" s="6"/>
    </row>
    <row r="6389" spans="1:6" x14ac:dyDescent="0.3">
      <c r="A6389" s="8" t="s">
        <v>12737</v>
      </c>
      <c r="B6389" s="8" t="s">
        <v>59992</v>
      </c>
      <c r="C6389" s="8" t="s">
        <v>12738</v>
      </c>
      <c r="D6389" s="8"/>
      <c r="E6389" s="6"/>
      <c r="F6389" s="6"/>
    </row>
    <row r="6390" spans="1:6" x14ac:dyDescent="0.3">
      <c r="A6390" s="8" t="s">
        <v>12739</v>
      </c>
      <c r="B6390" s="8" t="s">
        <v>59993</v>
      </c>
      <c r="C6390" s="8" t="s">
        <v>12740</v>
      </c>
      <c r="D6390" s="8"/>
      <c r="E6390" s="6"/>
      <c r="F6390" s="6"/>
    </row>
    <row r="6391" spans="1:6" x14ac:dyDescent="0.3">
      <c r="A6391" s="8" t="s">
        <v>12741</v>
      </c>
      <c r="B6391" s="8" t="s">
        <v>59994</v>
      </c>
      <c r="C6391" s="8" t="s">
        <v>12742</v>
      </c>
      <c r="D6391" s="8"/>
      <c r="E6391" s="6"/>
      <c r="F6391" s="6"/>
    </row>
    <row r="6392" spans="1:6" x14ac:dyDescent="0.3">
      <c r="A6392" s="8" t="s">
        <v>12743</v>
      </c>
      <c r="B6392" s="8" t="s">
        <v>59995</v>
      </c>
      <c r="C6392" s="8" t="s">
        <v>12744</v>
      </c>
      <c r="D6392" s="8"/>
      <c r="E6392" s="6"/>
      <c r="F6392" s="6"/>
    </row>
    <row r="6393" spans="1:6" x14ac:dyDescent="0.3">
      <c r="A6393" s="8" t="s">
        <v>12745</v>
      </c>
      <c r="B6393" s="8" t="s">
        <v>59996</v>
      </c>
      <c r="C6393" s="8" t="s">
        <v>12746</v>
      </c>
      <c r="D6393" s="8"/>
      <c r="E6393" s="6"/>
      <c r="F6393" s="6"/>
    </row>
    <row r="6394" spans="1:6" x14ac:dyDescent="0.3">
      <c r="A6394" s="8" t="s">
        <v>12747</v>
      </c>
      <c r="B6394" s="8" t="s">
        <v>59997</v>
      </c>
      <c r="C6394" s="8" t="s">
        <v>12748</v>
      </c>
      <c r="D6394" s="8"/>
      <c r="E6394" s="6"/>
      <c r="F6394" s="6"/>
    </row>
    <row r="6395" spans="1:6" x14ac:dyDescent="0.3">
      <c r="A6395" s="8" t="s">
        <v>12749</v>
      </c>
      <c r="B6395" s="8" t="s">
        <v>59998</v>
      </c>
      <c r="C6395" s="8" t="s">
        <v>12750</v>
      </c>
      <c r="D6395" s="8"/>
      <c r="E6395" s="6"/>
      <c r="F6395" s="6"/>
    </row>
    <row r="6396" spans="1:6" x14ac:dyDescent="0.3">
      <c r="A6396" s="8" t="s">
        <v>12751</v>
      </c>
      <c r="B6396" s="8" t="s">
        <v>59999</v>
      </c>
      <c r="C6396" s="8" t="s">
        <v>12752</v>
      </c>
      <c r="D6396" s="8"/>
      <c r="E6396" s="6"/>
      <c r="F6396" s="6"/>
    </row>
    <row r="6397" spans="1:6" x14ac:dyDescent="0.3">
      <c r="A6397" s="8" t="s">
        <v>12753</v>
      </c>
      <c r="B6397" s="8" t="s">
        <v>60000</v>
      </c>
      <c r="C6397" s="8" t="s">
        <v>12754</v>
      </c>
      <c r="D6397" s="8"/>
      <c r="E6397" s="6"/>
      <c r="F6397" s="6"/>
    </row>
    <row r="6398" spans="1:6" x14ac:dyDescent="0.3">
      <c r="A6398" s="8" t="s">
        <v>12755</v>
      </c>
      <c r="B6398" s="8" t="s">
        <v>60001</v>
      </c>
      <c r="C6398" s="8" t="s">
        <v>12756</v>
      </c>
      <c r="D6398" s="8"/>
      <c r="E6398" s="6"/>
      <c r="F6398" s="6"/>
    </row>
    <row r="6399" spans="1:6" x14ac:dyDescent="0.3">
      <c r="A6399" s="8" t="s">
        <v>12757</v>
      </c>
      <c r="B6399" s="8" t="s">
        <v>60002</v>
      </c>
      <c r="C6399" s="8" t="s">
        <v>12758</v>
      </c>
      <c r="D6399" s="8"/>
      <c r="E6399" s="6"/>
      <c r="F6399" s="6"/>
    </row>
    <row r="6400" spans="1:6" x14ac:dyDescent="0.3">
      <c r="A6400" s="8" t="s">
        <v>12759</v>
      </c>
      <c r="B6400" s="8" t="s">
        <v>60003</v>
      </c>
      <c r="C6400" s="8" t="s">
        <v>12760</v>
      </c>
      <c r="D6400" s="8"/>
      <c r="E6400" s="6"/>
      <c r="F6400" s="6"/>
    </row>
    <row r="6401" spans="1:6" x14ac:dyDescent="0.3">
      <c r="A6401" s="8" t="s">
        <v>12761</v>
      </c>
      <c r="B6401" s="8" t="s">
        <v>60004</v>
      </c>
      <c r="C6401" s="8" t="s">
        <v>12762</v>
      </c>
      <c r="D6401" s="8"/>
      <c r="E6401" s="6"/>
      <c r="F6401" s="6"/>
    </row>
    <row r="6402" spans="1:6" x14ac:dyDescent="0.3">
      <c r="A6402" s="8" t="s">
        <v>12763</v>
      </c>
      <c r="B6402" s="8" t="s">
        <v>60005</v>
      </c>
      <c r="C6402" s="8" t="s">
        <v>12764</v>
      </c>
      <c r="D6402" s="8"/>
      <c r="E6402" s="6"/>
      <c r="F6402" s="6"/>
    </row>
    <row r="6403" spans="1:6" x14ac:dyDescent="0.3">
      <c r="A6403" s="8" t="s">
        <v>12765</v>
      </c>
      <c r="B6403" s="8" t="s">
        <v>60006</v>
      </c>
      <c r="C6403" s="8" t="s">
        <v>12766</v>
      </c>
      <c r="D6403" s="8"/>
      <c r="E6403" s="6"/>
      <c r="F6403" s="6"/>
    </row>
    <row r="6404" spans="1:6" x14ac:dyDescent="0.3">
      <c r="A6404" s="8" t="s">
        <v>12767</v>
      </c>
      <c r="B6404" s="8" t="s">
        <v>60007</v>
      </c>
      <c r="C6404" s="8" t="s">
        <v>12768</v>
      </c>
      <c r="D6404" s="8"/>
      <c r="E6404" s="6"/>
      <c r="F6404" s="6"/>
    </row>
    <row r="6405" spans="1:6" x14ac:dyDescent="0.3">
      <c r="A6405" s="8" t="s">
        <v>12769</v>
      </c>
      <c r="B6405" s="8" t="s">
        <v>60008</v>
      </c>
      <c r="C6405" s="8" t="s">
        <v>12770</v>
      </c>
      <c r="D6405" s="8"/>
      <c r="E6405" s="6"/>
      <c r="F6405" s="6"/>
    </row>
    <row r="6406" spans="1:6" x14ac:dyDescent="0.3">
      <c r="A6406" s="8" t="s">
        <v>12771</v>
      </c>
      <c r="B6406" s="8" t="s">
        <v>60009</v>
      </c>
      <c r="C6406" s="8" t="s">
        <v>12772</v>
      </c>
      <c r="D6406" s="8"/>
      <c r="E6406" s="6"/>
      <c r="F6406" s="6"/>
    </row>
    <row r="6407" spans="1:6" x14ac:dyDescent="0.3">
      <c r="A6407" s="8" t="s">
        <v>12773</v>
      </c>
      <c r="B6407" s="8" t="s">
        <v>60010</v>
      </c>
      <c r="C6407" s="8" t="s">
        <v>12774</v>
      </c>
      <c r="D6407" s="8"/>
      <c r="E6407" s="6"/>
      <c r="F6407" s="6"/>
    </row>
    <row r="6408" spans="1:6" x14ac:dyDescent="0.3">
      <c r="A6408" s="8" t="s">
        <v>12775</v>
      </c>
      <c r="B6408" s="8" t="s">
        <v>60011</v>
      </c>
      <c r="C6408" s="8" t="s">
        <v>12776</v>
      </c>
      <c r="D6408" s="8"/>
      <c r="E6408" s="6"/>
      <c r="F6408" s="6"/>
    </row>
    <row r="6409" spans="1:6" x14ac:dyDescent="0.3">
      <c r="A6409" s="8" t="s">
        <v>12777</v>
      </c>
      <c r="B6409" s="8" t="s">
        <v>60012</v>
      </c>
      <c r="C6409" s="8" t="s">
        <v>12778</v>
      </c>
      <c r="D6409" s="8"/>
      <c r="E6409" s="6"/>
      <c r="F6409" s="6"/>
    </row>
    <row r="6410" spans="1:6" x14ac:dyDescent="0.3">
      <c r="A6410" s="8" t="s">
        <v>12779</v>
      </c>
      <c r="B6410" s="8" t="s">
        <v>60013</v>
      </c>
      <c r="C6410" s="8" t="s">
        <v>12780</v>
      </c>
      <c r="D6410" s="8"/>
      <c r="E6410" s="6"/>
      <c r="F6410" s="6"/>
    </row>
    <row r="6411" spans="1:6" x14ac:dyDescent="0.3">
      <c r="A6411" s="8" t="s">
        <v>12781</v>
      </c>
      <c r="B6411" s="8" t="s">
        <v>60014</v>
      </c>
      <c r="C6411" s="8" t="s">
        <v>12782</v>
      </c>
      <c r="D6411" s="8"/>
      <c r="E6411" s="6"/>
      <c r="F6411" s="6"/>
    </row>
    <row r="6412" spans="1:6" x14ac:dyDescent="0.3">
      <c r="A6412" s="8" t="s">
        <v>12783</v>
      </c>
      <c r="B6412" s="8" t="s">
        <v>60015</v>
      </c>
      <c r="C6412" s="8" t="s">
        <v>12784</v>
      </c>
      <c r="D6412" s="8"/>
      <c r="E6412" s="6"/>
      <c r="F6412" s="6"/>
    </row>
    <row r="6413" spans="1:6" x14ac:dyDescent="0.3">
      <c r="A6413" s="8" t="s">
        <v>12785</v>
      </c>
      <c r="B6413" s="8" t="s">
        <v>60016</v>
      </c>
      <c r="C6413" s="8" t="s">
        <v>12786</v>
      </c>
      <c r="D6413" s="8"/>
      <c r="E6413" s="6"/>
      <c r="F6413" s="6"/>
    </row>
    <row r="6414" spans="1:6" x14ac:dyDescent="0.3">
      <c r="A6414" s="8" t="s">
        <v>12787</v>
      </c>
      <c r="B6414" s="8" t="s">
        <v>60017</v>
      </c>
      <c r="C6414" s="8" t="s">
        <v>12788</v>
      </c>
      <c r="D6414" s="8"/>
      <c r="E6414" s="6"/>
      <c r="F6414" s="6"/>
    </row>
    <row r="6415" spans="1:6" x14ac:dyDescent="0.3">
      <c r="A6415" s="8" t="s">
        <v>12789</v>
      </c>
      <c r="B6415" s="8" t="s">
        <v>60018</v>
      </c>
      <c r="C6415" s="8" t="s">
        <v>12790</v>
      </c>
      <c r="D6415" s="8"/>
      <c r="E6415" s="6"/>
      <c r="F6415" s="6"/>
    </row>
    <row r="6416" spans="1:6" x14ac:dyDescent="0.3">
      <c r="A6416" s="8" t="s">
        <v>12791</v>
      </c>
      <c r="B6416" s="8" t="s">
        <v>60019</v>
      </c>
      <c r="C6416" s="8" t="s">
        <v>12792</v>
      </c>
      <c r="D6416" s="8"/>
      <c r="E6416" s="6"/>
      <c r="F6416" s="6"/>
    </row>
    <row r="6417" spans="1:6" x14ac:dyDescent="0.3">
      <c r="A6417" s="8" t="s">
        <v>12793</v>
      </c>
      <c r="B6417" s="8" t="s">
        <v>60020</v>
      </c>
      <c r="C6417" s="8" t="s">
        <v>12794</v>
      </c>
      <c r="D6417" s="8"/>
      <c r="E6417" s="6"/>
      <c r="F6417" s="6"/>
    </row>
    <row r="6418" spans="1:6" x14ac:dyDescent="0.3">
      <c r="A6418" s="8" t="s">
        <v>12795</v>
      </c>
      <c r="B6418" s="8" t="s">
        <v>60021</v>
      </c>
      <c r="C6418" s="8" t="s">
        <v>12796</v>
      </c>
      <c r="D6418" s="8"/>
      <c r="E6418" s="6"/>
      <c r="F6418" s="6"/>
    </row>
    <row r="6419" spans="1:6" x14ac:dyDescent="0.3">
      <c r="A6419" s="8" t="s">
        <v>12797</v>
      </c>
      <c r="B6419" s="8" t="s">
        <v>60022</v>
      </c>
      <c r="C6419" s="8" t="s">
        <v>12798</v>
      </c>
      <c r="D6419" s="8"/>
      <c r="E6419" s="6"/>
      <c r="F6419" s="6"/>
    </row>
    <row r="6420" spans="1:6" x14ac:dyDescent="0.3">
      <c r="A6420" s="8" t="s">
        <v>12799</v>
      </c>
      <c r="B6420" s="8" t="s">
        <v>60023</v>
      </c>
      <c r="C6420" s="8" t="s">
        <v>12800</v>
      </c>
      <c r="D6420" s="8"/>
      <c r="E6420" s="6"/>
      <c r="F6420" s="6"/>
    </row>
    <row r="6421" spans="1:6" x14ac:dyDescent="0.3">
      <c r="A6421" s="8" t="s">
        <v>12801</v>
      </c>
      <c r="B6421" s="8" t="s">
        <v>60024</v>
      </c>
      <c r="C6421" s="8" t="s">
        <v>12802</v>
      </c>
      <c r="D6421" s="8"/>
      <c r="E6421" s="6"/>
      <c r="F6421" s="6"/>
    </row>
    <row r="6422" spans="1:6" x14ac:dyDescent="0.3">
      <c r="A6422" s="8" t="s">
        <v>12803</v>
      </c>
      <c r="B6422" s="8" t="s">
        <v>60025</v>
      </c>
      <c r="C6422" s="8" t="s">
        <v>12804</v>
      </c>
      <c r="D6422" s="8"/>
      <c r="E6422" s="6"/>
      <c r="F6422" s="6"/>
    </row>
    <row r="6423" spans="1:6" x14ac:dyDescent="0.3">
      <c r="A6423" s="8" t="s">
        <v>12805</v>
      </c>
      <c r="B6423" s="8" t="s">
        <v>60026</v>
      </c>
      <c r="C6423" s="8" t="s">
        <v>12806</v>
      </c>
      <c r="D6423" s="8"/>
      <c r="E6423" s="6"/>
      <c r="F6423" s="6"/>
    </row>
    <row r="6424" spans="1:6" x14ac:dyDescent="0.3">
      <c r="A6424" s="8" t="s">
        <v>12807</v>
      </c>
      <c r="B6424" s="8" t="s">
        <v>60027</v>
      </c>
      <c r="C6424" s="8" t="s">
        <v>12808</v>
      </c>
      <c r="D6424" s="8"/>
      <c r="E6424" s="6"/>
      <c r="F6424" s="6"/>
    </row>
    <row r="6425" spans="1:6" x14ac:dyDescent="0.3">
      <c r="A6425" s="8" t="s">
        <v>12809</v>
      </c>
      <c r="B6425" s="8" t="s">
        <v>60028</v>
      </c>
      <c r="C6425" s="8" t="s">
        <v>12810</v>
      </c>
      <c r="D6425" s="8"/>
      <c r="E6425" s="6"/>
      <c r="F6425" s="6"/>
    </row>
    <row r="6426" spans="1:6" x14ac:dyDescent="0.3">
      <c r="A6426" s="8" t="s">
        <v>12811</v>
      </c>
      <c r="B6426" s="8" t="s">
        <v>60029</v>
      </c>
      <c r="C6426" s="8" t="s">
        <v>12812</v>
      </c>
      <c r="D6426" s="8"/>
      <c r="E6426" s="6"/>
      <c r="F6426" s="6"/>
    </row>
    <row r="6427" spans="1:6" x14ac:dyDescent="0.3">
      <c r="A6427" s="8" t="s">
        <v>12813</v>
      </c>
      <c r="B6427" s="8" t="s">
        <v>60030</v>
      </c>
      <c r="C6427" s="8" t="s">
        <v>12814</v>
      </c>
      <c r="D6427" s="8"/>
      <c r="E6427" s="6"/>
      <c r="F6427" s="6"/>
    </row>
    <row r="6428" spans="1:6" x14ac:dyDescent="0.3">
      <c r="A6428" s="8" t="s">
        <v>12815</v>
      </c>
      <c r="B6428" s="8" t="s">
        <v>60031</v>
      </c>
      <c r="C6428" s="8" t="s">
        <v>12816</v>
      </c>
      <c r="D6428" s="8"/>
      <c r="E6428" s="6"/>
      <c r="F6428" s="6"/>
    </row>
    <row r="6429" spans="1:6" x14ac:dyDescent="0.3">
      <c r="A6429" s="8" t="s">
        <v>12817</v>
      </c>
      <c r="B6429" s="8" t="s">
        <v>60032</v>
      </c>
      <c r="C6429" s="8" t="s">
        <v>12818</v>
      </c>
      <c r="D6429" s="8"/>
      <c r="E6429" s="6"/>
      <c r="F6429" s="6"/>
    </row>
    <row r="6430" spans="1:6" x14ac:dyDescent="0.3">
      <c r="A6430" s="8" t="s">
        <v>12819</v>
      </c>
      <c r="B6430" s="8" t="s">
        <v>60033</v>
      </c>
      <c r="C6430" s="8" t="s">
        <v>12820</v>
      </c>
      <c r="D6430" s="8"/>
      <c r="E6430" s="6"/>
      <c r="F6430" s="6"/>
    </row>
    <row r="6431" spans="1:6" x14ac:dyDescent="0.3">
      <c r="A6431" s="8" t="s">
        <v>12821</v>
      </c>
      <c r="B6431" s="8" t="s">
        <v>60034</v>
      </c>
      <c r="C6431" s="8" t="s">
        <v>12822</v>
      </c>
      <c r="D6431" s="8"/>
      <c r="E6431" s="6"/>
      <c r="F6431" s="6"/>
    </row>
    <row r="6432" spans="1:6" x14ac:dyDescent="0.3">
      <c r="A6432" s="8" t="s">
        <v>12823</v>
      </c>
      <c r="B6432" s="8" t="s">
        <v>60035</v>
      </c>
      <c r="C6432" s="8" t="s">
        <v>12824</v>
      </c>
      <c r="D6432" s="8"/>
      <c r="E6432" s="6"/>
      <c r="F6432" s="6"/>
    </row>
    <row r="6433" spans="1:6" x14ac:dyDescent="0.3">
      <c r="A6433" s="8" t="s">
        <v>12825</v>
      </c>
      <c r="B6433" s="8" t="s">
        <v>60036</v>
      </c>
      <c r="C6433" s="8" t="s">
        <v>12826</v>
      </c>
      <c r="D6433" s="8"/>
      <c r="E6433" s="6"/>
      <c r="F6433" s="6"/>
    </row>
    <row r="6434" spans="1:6" x14ac:dyDescent="0.3">
      <c r="A6434" s="8" t="s">
        <v>12827</v>
      </c>
      <c r="B6434" s="8" t="s">
        <v>60037</v>
      </c>
      <c r="C6434" s="8" t="s">
        <v>12828</v>
      </c>
      <c r="D6434" s="8"/>
      <c r="E6434" s="6"/>
      <c r="F6434" s="6"/>
    </row>
    <row r="6435" spans="1:6" x14ac:dyDescent="0.3">
      <c r="A6435" s="8" t="s">
        <v>12829</v>
      </c>
      <c r="B6435" s="8" t="s">
        <v>60038</v>
      </c>
      <c r="C6435" s="8" t="s">
        <v>12830</v>
      </c>
      <c r="D6435" s="8"/>
      <c r="E6435" s="6"/>
      <c r="F6435" s="6"/>
    </row>
    <row r="6436" spans="1:6" x14ac:dyDescent="0.3">
      <c r="A6436" s="8" t="s">
        <v>12831</v>
      </c>
      <c r="B6436" s="8" t="s">
        <v>60039</v>
      </c>
      <c r="C6436" s="8" t="s">
        <v>12832</v>
      </c>
      <c r="D6436" s="8"/>
      <c r="E6436" s="6"/>
      <c r="F6436" s="6"/>
    </row>
    <row r="6437" spans="1:6" x14ac:dyDescent="0.3">
      <c r="A6437" s="8" t="s">
        <v>12833</v>
      </c>
      <c r="B6437" s="8" t="s">
        <v>60040</v>
      </c>
      <c r="C6437" s="8" t="s">
        <v>12834</v>
      </c>
      <c r="D6437" s="8"/>
      <c r="E6437" s="6"/>
      <c r="F6437" s="6"/>
    </row>
    <row r="6438" spans="1:6" x14ac:dyDescent="0.3">
      <c r="A6438" s="8" t="s">
        <v>12835</v>
      </c>
      <c r="B6438" s="8" t="s">
        <v>60041</v>
      </c>
      <c r="C6438" s="8" t="s">
        <v>12836</v>
      </c>
      <c r="D6438" s="8"/>
      <c r="E6438" s="6"/>
      <c r="F6438" s="6"/>
    </row>
    <row r="6439" spans="1:6" x14ac:dyDescent="0.3">
      <c r="A6439" s="8" t="s">
        <v>12837</v>
      </c>
      <c r="B6439" s="8" t="s">
        <v>60042</v>
      </c>
      <c r="C6439" s="8" t="s">
        <v>12838</v>
      </c>
      <c r="D6439" s="8"/>
      <c r="E6439" s="6"/>
      <c r="F6439" s="6"/>
    </row>
    <row r="6440" spans="1:6" x14ac:dyDescent="0.3">
      <c r="A6440" s="8" t="s">
        <v>12839</v>
      </c>
      <c r="B6440" s="8" t="s">
        <v>60043</v>
      </c>
      <c r="C6440" s="8" t="s">
        <v>12840</v>
      </c>
      <c r="D6440" s="8"/>
      <c r="E6440" s="6"/>
      <c r="F6440" s="6"/>
    </row>
    <row r="6441" spans="1:6" x14ac:dyDescent="0.3">
      <c r="A6441" s="8" t="s">
        <v>12841</v>
      </c>
      <c r="B6441" s="8" t="s">
        <v>60044</v>
      </c>
      <c r="C6441" s="8" t="s">
        <v>12842</v>
      </c>
      <c r="D6441" s="8"/>
      <c r="E6441" s="6"/>
      <c r="F6441" s="6"/>
    </row>
    <row r="6442" spans="1:6" x14ac:dyDescent="0.3">
      <c r="A6442" s="8" t="s">
        <v>12843</v>
      </c>
      <c r="B6442" s="8" t="s">
        <v>60045</v>
      </c>
      <c r="C6442" s="8" t="s">
        <v>12844</v>
      </c>
      <c r="D6442" s="8"/>
      <c r="E6442" s="6"/>
      <c r="F6442" s="6"/>
    </row>
    <row r="6443" spans="1:6" x14ac:dyDescent="0.3">
      <c r="A6443" s="8" t="s">
        <v>12845</v>
      </c>
      <c r="B6443" s="8" t="s">
        <v>60046</v>
      </c>
      <c r="C6443" s="8" t="s">
        <v>12846</v>
      </c>
      <c r="D6443" s="8"/>
      <c r="E6443" s="6"/>
      <c r="F6443" s="6"/>
    </row>
    <row r="6444" spans="1:6" x14ac:dyDescent="0.3">
      <c r="A6444" s="8" t="s">
        <v>12847</v>
      </c>
      <c r="B6444" s="8" t="s">
        <v>60047</v>
      </c>
      <c r="C6444" s="8" t="s">
        <v>12848</v>
      </c>
      <c r="D6444" s="8"/>
      <c r="E6444" s="6"/>
      <c r="F6444" s="6"/>
    </row>
    <row r="6445" spans="1:6" x14ac:dyDescent="0.3">
      <c r="A6445" s="8" t="s">
        <v>12849</v>
      </c>
      <c r="B6445" s="8" t="s">
        <v>60048</v>
      </c>
      <c r="C6445" s="8" t="s">
        <v>12850</v>
      </c>
      <c r="D6445" s="8"/>
      <c r="E6445" s="6"/>
      <c r="F6445" s="6"/>
    </row>
    <row r="6446" spans="1:6" x14ac:dyDescent="0.3">
      <c r="A6446" s="8" t="s">
        <v>12851</v>
      </c>
      <c r="B6446" s="8" t="s">
        <v>60049</v>
      </c>
      <c r="C6446" s="8" t="s">
        <v>12852</v>
      </c>
      <c r="D6446" s="8"/>
      <c r="E6446" s="6"/>
      <c r="F6446" s="6"/>
    </row>
    <row r="6447" spans="1:6" x14ac:dyDescent="0.3">
      <c r="A6447" s="8" t="s">
        <v>12853</v>
      </c>
      <c r="B6447" s="8" t="s">
        <v>60050</v>
      </c>
      <c r="C6447" s="8" t="s">
        <v>12854</v>
      </c>
      <c r="D6447" s="8"/>
      <c r="E6447" s="6"/>
      <c r="F6447" s="6"/>
    </row>
    <row r="6448" spans="1:6" x14ac:dyDescent="0.3">
      <c r="A6448" s="8" t="s">
        <v>12855</v>
      </c>
      <c r="B6448" s="8" t="s">
        <v>60051</v>
      </c>
      <c r="C6448" s="8" t="s">
        <v>12856</v>
      </c>
      <c r="D6448" s="8"/>
      <c r="E6448" s="6"/>
      <c r="F6448" s="6"/>
    </row>
    <row r="6449" spans="1:6" x14ac:dyDescent="0.3">
      <c r="A6449" s="8" t="s">
        <v>12857</v>
      </c>
      <c r="B6449" s="8" t="s">
        <v>60052</v>
      </c>
      <c r="C6449" s="8" t="s">
        <v>12858</v>
      </c>
      <c r="D6449" s="8"/>
      <c r="E6449" s="6"/>
      <c r="F6449" s="6"/>
    </row>
    <row r="6450" spans="1:6" x14ac:dyDescent="0.3">
      <c r="A6450" s="8" t="s">
        <v>12859</v>
      </c>
      <c r="B6450" s="8" t="s">
        <v>60053</v>
      </c>
      <c r="C6450" s="8" t="s">
        <v>12860</v>
      </c>
      <c r="D6450" s="8"/>
      <c r="E6450" s="6"/>
      <c r="F6450" s="6"/>
    </row>
    <row r="6451" spans="1:6" x14ac:dyDescent="0.3">
      <c r="A6451" s="8" t="s">
        <v>12861</v>
      </c>
      <c r="B6451" s="8" t="s">
        <v>60054</v>
      </c>
      <c r="C6451" s="8" t="s">
        <v>12862</v>
      </c>
      <c r="D6451" s="8"/>
      <c r="E6451" s="6"/>
      <c r="F6451" s="6"/>
    </row>
    <row r="6452" spans="1:6" x14ac:dyDescent="0.3">
      <c r="A6452" s="8" t="s">
        <v>12863</v>
      </c>
      <c r="B6452" s="8" t="s">
        <v>60055</v>
      </c>
      <c r="C6452" s="8" t="s">
        <v>12864</v>
      </c>
      <c r="D6452" s="8"/>
      <c r="E6452" s="6"/>
      <c r="F6452" s="6"/>
    </row>
    <row r="6453" spans="1:6" x14ac:dyDescent="0.3">
      <c r="A6453" s="8" t="s">
        <v>12865</v>
      </c>
      <c r="B6453" s="8" t="s">
        <v>60056</v>
      </c>
      <c r="C6453" s="8" t="s">
        <v>12866</v>
      </c>
      <c r="D6453" s="8"/>
      <c r="E6453" s="6"/>
      <c r="F6453" s="6"/>
    </row>
    <row r="6454" spans="1:6" x14ac:dyDescent="0.3">
      <c r="A6454" s="8" t="s">
        <v>12867</v>
      </c>
      <c r="B6454" s="8" t="s">
        <v>60057</v>
      </c>
      <c r="C6454" s="8" t="s">
        <v>12868</v>
      </c>
      <c r="D6454" s="8"/>
      <c r="E6454" s="6"/>
      <c r="F6454" s="6"/>
    </row>
    <row r="6455" spans="1:6" x14ac:dyDescent="0.3">
      <c r="A6455" s="8" t="s">
        <v>12869</v>
      </c>
      <c r="B6455" s="8" t="s">
        <v>60058</v>
      </c>
      <c r="C6455" s="8" t="s">
        <v>12870</v>
      </c>
      <c r="D6455" s="8"/>
      <c r="E6455" s="6"/>
      <c r="F6455" s="6"/>
    </row>
    <row r="6456" spans="1:6" x14ac:dyDescent="0.3">
      <c r="A6456" s="8" t="s">
        <v>12871</v>
      </c>
      <c r="B6456" s="8" t="s">
        <v>60059</v>
      </c>
      <c r="C6456" s="8" t="s">
        <v>12872</v>
      </c>
      <c r="D6456" s="8"/>
      <c r="E6456" s="6"/>
      <c r="F6456" s="6"/>
    </row>
    <row r="6457" spans="1:6" x14ac:dyDescent="0.3">
      <c r="A6457" s="8" t="s">
        <v>12873</v>
      </c>
      <c r="B6457" s="8" t="s">
        <v>60060</v>
      </c>
      <c r="C6457" s="8" t="s">
        <v>12874</v>
      </c>
      <c r="D6457" s="8"/>
      <c r="E6457" s="6"/>
      <c r="F6457" s="6"/>
    </row>
    <row r="6458" spans="1:6" x14ac:dyDescent="0.3">
      <c r="A6458" s="8" t="s">
        <v>12875</v>
      </c>
      <c r="B6458" s="8" t="s">
        <v>60061</v>
      </c>
      <c r="C6458" s="8" t="s">
        <v>12876</v>
      </c>
      <c r="D6458" s="8"/>
      <c r="E6458" s="6"/>
      <c r="F6458" s="6"/>
    </row>
    <row r="6459" spans="1:6" x14ac:dyDescent="0.3">
      <c r="A6459" s="8" t="s">
        <v>12877</v>
      </c>
      <c r="B6459" s="8" t="s">
        <v>60062</v>
      </c>
      <c r="C6459" s="8" t="s">
        <v>12878</v>
      </c>
      <c r="D6459" s="8"/>
      <c r="E6459" s="6"/>
      <c r="F6459" s="6"/>
    </row>
    <row r="6460" spans="1:6" x14ac:dyDescent="0.3">
      <c r="A6460" s="8" t="s">
        <v>12879</v>
      </c>
      <c r="B6460" s="8" t="s">
        <v>60063</v>
      </c>
      <c r="C6460" s="8" t="s">
        <v>12880</v>
      </c>
      <c r="D6460" s="8"/>
      <c r="E6460" s="6"/>
      <c r="F6460" s="6"/>
    </row>
    <row r="6461" spans="1:6" x14ac:dyDescent="0.3">
      <c r="A6461" s="8" t="s">
        <v>12881</v>
      </c>
      <c r="B6461" s="8" t="s">
        <v>60064</v>
      </c>
      <c r="C6461" s="8" t="s">
        <v>12882</v>
      </c>
      <c r="D6461" s="8"/>
      <c r="E6461" s="6"/>
      <c r="F6461" s="6"/>
    </row>
    <row r="6462" spans="1:6" x14ac:dyDescent="0.3">
      <c r="A6462" s="8" t="s">
        <v>12883</v>
      </c>
      <c r="B6462" s="8" t="s">
        <v>60065</v>
      </c>
      <c r="C6462" s="8" t="s">
        <v>12884</v>
      </c>
      <c r="D6462" s="8"/>
      <c r="E6462" s="6"/>
      <c r="F6462" s="6"/>
    </row>
    <row r="6463" spans="1:6" x14ac:dyDescent="0.3">
      <c r="A6463" s="8" t="s">
        <v>12885</v>
      </c>
      <c r="B6463" s="8" t="s">
        <v>60066</v>
      </c>
      <c r="C6463" s="8" t="s">
        <v>12886</v>
      </c>
      <c r="D6463" s="8"/>
      <c r="E6463" s="6"/>
      <c r="F6463" s="6"/>
    </row>
    <row r="6464" spans="1:6" x14ac:dyDescent="0.3">
      <c r="A6464" s="8" t="s">
        <v>12887</v>
      </c>
      <c r="B6464" s="8" t="s">
        <v>60067</v>
      </c>
      <c r="C6464" s="8" t="s">
        <v>12888</v>
      </c>
      <c r="D6464" s="8"/>
      <c r="E6464" s="6"/>
      <c r="F6464" s="6"/>
    </row>
    <row r="6465" spans="1:6" x14ac:dyDescent="0.3">
      <c r="A6465" s="8" t="s">
        <v>12889</v>
      </c>
      <c r="B6465" s="8" t="s">
        <v>60068</v>
      </c>
      <c r="C6465" s="8" t="s">
        <v>12890</v>
      </c>
      <c r="D6465" s="8"/>
      <c r="E6465" s="6"/>
      <c r="F6465" s="6"/>
    </row>
    <row r="6466" spans="1:6" x14ac:dyDescent="0.3">
      <c r="A6466" s="8" t="s">
        <v>12891</v>
      </c>
      <c r="B6466" s="8" t="s">
        <v>60069</v>
      </c>
      <c r="C6466" s="8" t="s">
        <v>12892</v>
      </c>
      <c r="D6466" s="8"/>
      <c r="E6466" s="6"/>
      <c r="F6466" s="6"/>
    </row>
    <row r="6467" spans="1:6" x14ac:dyDescent="0.3">
      <c r="A6467" s="8" t="s">
        <v>12893</v>
      </c>
      <c r="B6467" s="8" t="s">
        <v>60070</v>
      </c>
      <c r="C6467" s="8" t="s">
        <v>12894</v>
      </c>
      <c r="D6467" s="8"/>
      <c r="E6467" s="6"/>
      <c r="F6467" s="6"/>
    </row>
    <row r="6468" spans="1:6" x14ac:dyDescent="0.3">
      <c r="A6468" s="8" t="s">
        <v>12895</v>
      </c>
      <c r="B6468" s="8" t="s">
        <v>60071</v>
      </c>
      <c r="C6468" s="8" t="s">
        <v>12896</v>
      </c>
      <c r="D6468" s="8"/>
      <c r="E6468" s="6"/>
      <c r="F6468" s="6"/>
    </row>
    <row r="6469" spans="1:6" x14ac:dyDescent="0.3">
      <c r="A6469" s="8" t="s">
        <v>12897</v>
      </c>
      <c r="B6469" s="8" t="s">
        <v>60072</v>
      </c>
      <c r="C6469" s="8" t="s">
        <v>12898</v>
      </c>
      <c r="D6469" s="8"/>
      <c r="E6469" s="6"/>
      <c r="F6469" s="6"/>
    </row>
    <row r="6470" spans="1:6" x14ac:dyDescent="0.3">
      <c r="A6470" s="8" t="s">
        <v>12899</v>
      </c>
      <c r="B6470" s="8" t="s">
        <v>60073</v>
      </c>
      <c r="C6470" s="8" t="s">
        <v>12900</v>
      </c>
      <c r="D6470" s="8"/>
      <c r="E6470" s="6"/>
      <c r="F6470" s="6"/>
    </row>
    <row r="6471" spans="1:6" x14ac:dyDescent="0.3">
      <c r="A6471" s="8" t="s">
        <v>12901</v>
      </c>
      <c r="B6471" s="8" t="s">
        <v>60074</v>
      </c>
      <c r="C6471" s="8" t="s">
        <v>12902</v>
      </c>
      <c r="D6471" s="8"/>
      <c r="E6471" s="6"/>
      <c r="F6471" s="6"/>
    </row>
    <row r="6472" spans="1:6" x14ac:dyDescent="0.3">
      <c r="A6472" s="8" t="s">
        <v>12903</v>
      </c>
      <c r="B6472" s="8" t="s">
        <v>60075</v>
      </c>
      <c r="C6472" s="8" t="s">
        <v>12904</v>
      </c>
      <c r="D6472" s="8"/>
      <c r="E6472" s="6"/>
      <c r="F6472" s="6"/>
    </row>
    <row r="6473" spans="1:6" x14ac:dyDescent="0.3">
      <c r="A6473" s="8" t="s">
        <v>12905</v>
      </c>
      <c r="B6473" s="8" t="s">
        <v>60076</v>
      </c>
      <c r="C6473" s="8" t="s">
        <v>12906</v>
      </c>
      <c r="D6473" s="8"/>
      <c r="E6473" s="6"/>
      <c r="F6473" s="6"/>
    </row>
    <row r="6474" spans="1:6" x14ac:dyDescent="0.3">
      <c r="A6474" s="8" t="s">
        <v>12907</v>
      </c>
      <c r="B6474" s="8" t="s">
        <v>60077</v>
      </c>
      <c r="C6474" s="8" t="s">
        <v>12908</v>
      </c>
      <c r="D6474" s="8"/>
      <c r="E6474" s="6"/>
      <c r="F6474" s="6"/>
    </row>
    <row r="6475" spans="1:6" x14ac:dyDescent="0.3">
      <c r="A6475" s="8" t="s">
        <v>12909</v>
      </c>
      <c r="B6475" s="8" t="s">
        <v>60078</v>
      </c>
      <c r="C6475" s="8" t="s">
        <v>12910</v>
      </c>
      <c r="D6475" s="8"/>
      <c r="E6475" s="6"/>
      <c r="F6475" s="6"/>
    </row>
    <row r="6476" spans="1:6" x14ac:dyDescent="0.3">
      <c r="A6476" s="8" t="s">
        <v>12911</v>
      </c>
      <c r="B6476" s="8" t="s">
        <v>60079</v>
      </c>
      <c r="C6476" s="8" t="s">
        <v>12912</v>
      </c>
      <c r="D6476" s="8"/>
      <c r="E6476" s="6"/>
      <c r="F6476" s="6"/>
    </row>
    <row r="6477" spans="1:6" x14ac:dyDescent="0.3">
      <c r="A6477" s="8" t="s">
        <v>12913</v>
      </c>
      <c r="B6477" s="8" t="s">
        <v>60080</v>
      </c>
      <c r="C6477" s="8" t="s">
        <v>12914</v>
      </c>
      <c r="D6477" s="8"/>
      <c r="E6477" s="6"/>
      <c r="F6477" s="6"/>
    </row>
    <row r="6478" spans="1:6" x14ac:dyDescent="0.3">
      <c r="A6478" s="8" t="s">
        <v>12915</v>
      </c>
      <c r="B6478" s="8" t="s">
        <v>60081</v>
      </c>
      <c r="C6478" s="8" t="s">
        <v>12916</v>
      </c>
      <c r="D6478" s="8"/>
      <c r="E6478" s="6"/>
      <c r="F6478" s="6"/>
    </row>
    <row r="6479" spans="1:6" x14ac:dyDescent="0.3">
      <c r="A6479" s="8" t="s">
        <v>12917</v>
      </c>
      <c r="B6479" s="8" t="s">
        <v>60082</v>
      </c>
      <c r="C6479" s="8" t="s">
        <v>12918</v>
      </c>
      <c r="D6479" s="8"/>
      <c r="E6479" s="6"/>
      <c r="F6479" s="6"/>
    </row>
    <row r="6480" spans="1:6" x14ac:dyDescent="0.3">
      <c r="A6480" s="8" t="s">
        <v>12919</v>
      </c>
      <c r="B6480" s="8" t="s">
        <v>60083</v>
      </c>
      <c r="C6480" s="8" t="s">
        <v>12920</v>
      </c>
      <c r="D6480" s="8"/>
      <c r="E6480" s="6"/>
      <c r="F6480" s="6"/>
    </row>
    <row r="6481" spans="1:6" x14ac:dyDescent="0.3">
      <c r="A6481" s="8" t="s">
        <v>12921</v>
      </c>
      <c r="B6481" s="8" t="s">
        <v>60084</v>
      </c>
      <c r="C6481" s="8" t="s">
        <v>12922</v>
      </c>
      <c r="D6481" s="8"/>
      <c r="E6481" s="6"/>
      <c r="F6481" s="6"/>
    </row>
    <row r="6482" spans="1:6" x14ac:dyDescent="0.3">
      <c r="A6482" s="8" t="s">
        <v>12923</v>
      </c>
      <c r="B6482" s="8" t="s">
        <v>60085</v>
      </c>
      <c r="C6482" s="8" t="s">
        <v>12924</v>
      </c>
      <c r="D6482" s="8"/>
      <c r="E6482" s="6"/>
      <c r="F6482" s="6"/>
    </row>
    <row r="6483" spans="1:6" x14ac:dyDescent="0.3">
      <c r="A6483" s="8" t="s">
        <v>12925</v>
      </c>
      <c r="B6483" s="8" t="s">
        <v>60086</v>
      </c>
      <c r="C6483" s="8" t="s">
        <v>12926</v>
      </c>
      <c r="D6483" s="8"/>
      <c r="E6483" s="6"/>
      <c r="F6483" s="6"/>
    </row>
    <row r="6484" spans="1:6" x14ac:dyDescent="0.3">
      <c r="A6484" s="8" t="s">
        <v>12927</v>
      </c>
      <c r="B6484" s="8" t="s">
        <v>60087</v>
      </c>
      <c r="C6484" s="8" t="s">
        <v>12928</v>
      </c>
      <c r="D6484" s="8"/>
      <c r="E6484" s="6"/>
      <c r="F6484" s="6"/>
    </row>
    <row r="6485" spans="1:6" x14ac:dyDescent="0.3">
      <c r="A6485" s="8" t="s">
        <v>12929</v>
      </c>
      <c r="B6485" s="8" t="s">
        <v>60088</v>
      </c>
      <c r="C6485" s="8" t="s">
        <v>12930</v>
      </c>
      <c r="D6485" s="8"/>
      <c r="E6485" s="6"/>
      <c r="F6485" s="6"/>
    </row>
    <row r="6486" spans="1:6" x14ac:dyDescent="0.3">
      <c r="A6486" s="8" t="s">
        <v>12931</v>
      </c>
      <c r="B6486" s="8" t="s">
        <v>60089</v>
      </c>
      <c r="C6486" s="8" t="s">
        <v>12932</v>
      </c>
      <c r="D6486" s="8"/>
      <c r="E6486" s="6"/>
      <c r="F6486" s="6"/>
    </row>
    <row r="6487" spans="1:6" x14ac:dyDescent="0.3">
      <c r="A6487" s="8" t="s">
        <v>12933</v>
      </c>
      <c r="B6487" s="8" t="s">
        <v>60090</v>
      </c>
      <c r="C6487" s="8" t="s">
        <v>12934</v>
      </c>
      <c r="D6487" s="8"/>
      <c r="E6487" s="6"/>
      <c r="F6487" s="6"/>
    </row>
    <row r="6488" spans="1:6" x14ac:dyDescent="0.3">
      <c r="A6488" s="8" t="s">
        <v>12935</v>
      </c>
      <c r="B6488" s="8" t="s">
        <v>60091</v>
      </c>
      <c r="C6488" s="8" t="s">
        <v>12936</v>
      </c>
      <c r="D6488" s="8"/>
      <c r="E6488" s="6"/>
      <c r="F6488" s="6"/>
    </row>
    <row r="6489" spans="1:6" x14ac:dyDescent="0.3">
      <c r="A6489" s="8" t="s">
        <v>12937</v>
      </c>
      <c r="B6489" s="8" t="s">
        <v>60092</v>
      </c>
      <c r="C6489" s="8" t="s">
        <v>12938</v>
      </c>
      <c r="D6489" s="8"/>
      <c r="E6489" s="6"/>
      <c r="F6489" s="6"/>
    </row>
    <row r="6490" spans="1:6" x14ac:dyDescent="0.3">
      <c r="A6490" s="8" t="s">
        <v>12939</v>
      </c>
      <c r="B6490" s="8" t="s">
        <v>60093</v>
      </c>
      <c r="C6490" s="8" t="s">
        <v>12940</v>
      </c>
      <c r="D6490" s="8"/>
      <c r="E6490" s="6"/>
      <c r="F6490" s="6"/>
    </row>
    <row r="6491" spans="1:6" x14ac:dyDescent="0.3">
      <c r="A6491" s="8" t="s">
        <v>12941</v>
      </c>
      <c r="B6491" s="8" t="s">
        <v>60094</v>
      </c>
      <c r="C6491" s="8" t="s">
        <v>12942</v>
      </c>
      <c r="D6491" s="8"/>
      <c r="E6491" s="6"/>
      <c r="F6491" s="6"/>
    </row>
    <row r="6492" spans="1:6" x14ac:dyDescent="0.3">
      <c r="A6492" s="8" t="s">
        <v>12943</v>
      </c>
      <c r="B6492" s="8" t="s">
        <v>60095</v>
      </c>
      <c r="C6492" s="8" t="s">
        <v>12944</v>
      </c>
      <c r="D6492" s="8"/>
      <c r="E6492" s="6"/>
      <c r="F6492" s="6"/>
    </row>
    <row r="6493" spans="1:6" x14ac:dyDescent="0.3">
      <c r="A6493" s="8" t="s">
        <v>12945</v>
      </c>
      <c r="B6493" s="8" t="s">
        <v>60096</v>
      </c>
      <c r="C6493" s="8" t="s">
        <v>12946</v>
      </c>
      <c r="D6493" s="8"/>
      <c r="E6493" s="6"/>
      <c r="F6493" s="6"/>
    </row>
    <row r="6494" spans="1:6" x14ac:dyDescent="0.3">
      <c r="A6494" s="8" t="s">
        <v>12947</v>
      </c>
      <c r="B6494" s="8" t="s">
        <v>60097</v>
      </c>
      <c r="C6494" s="8" t="s">
        <v>12948</v>
      </c>
      <c r="D6494" s="8"/>
      <c r="E6494" s="6"/>
      <c r="F6494" s="6"/>
    </row>
    <row r="6495" spans="1:6" x14ac:dyDescent="0.3">
      <c r="A6495" s="8" t="s">
        <v>12949</v>
      </c>
      <c r="B6495" s="8" t="s">
        <v>60098</v>
      </c>
      <c r="C6495" s="8" t="s">
        <v>12950</v>
      </c>
      <c r="D6495" s="8"/>
      <c r="E6495" s="6"/>
      <c r="F6495" s="6"/>
    </row>
    <row r="6496" spans="1:6" x14ac:dyDescent="0.3">
      <c r="A6496" s="8" t="s">
        <v>12951</v>
      </c>
      <c r="B6496" s="8" t="s">
        <v>60099</v>
      </c>
      <c r="C6496" s="8" t="s">
        <v>12952</v>
      </c>
      <c r="D6496" s="8"/>
      <c r="E6496" s="6"/>
      <c r="F6496" s="6"/>
    </row>
    <row r="6497" spans="1:6" x14ac:dyDescent="0.3">
      <c r="A6497" s="8" t="s">
        <v>12953</v>
      </c>
      <c r="B6497" s="8" t="s">
        <v>60100</v>
      </c>
      <c r="C6497" s="8" t="s">
        <v>12954</v>
      </c>
      <c r="D6497" s="8"/>
      <c r="E6497" s="6"/>
      <c r="F6497" s="6"/>
    </row>
    <row r="6498" spans="1:6" x14ac:dyDescent="0.3">
      <c r="A6498" s="8" t="s">
        <v>12955</v>
      </c>
      <c r="B6498" s="8" t="s">
        <v>60101</v>
      </c>
      <c r="C6498" s="8" t="s">
        <v>12956</v>
      </c>
      <c r="D6498" s="8"/>
      <c r="E6498" s="6"/>
      <c r="F6498" s="6"/>
    </row>
    <row r="6499" spans="1:6" x14ac:dyDescent="0.3">
      <c r="A6499" s="8" t="s">
        <v>12957</v>
      </c>
      <c r="B6499" s="8" t="s">
        <v>60102</v>
      </c>
      <c r="C6499" s="8" t="s">
        <v>12958</v>
      </c>
      <c r="D6499" s="8"/>
      <c r="E6499" s="6"/>
      <c r="F6499" s="6"/>
    </row>
    <row r="6500" spans="1:6" x14ac:dyDescent="0.3">
      <c r="A6500" s="8" t="s">
        <v>12959</v>
      </c>
      <c r="B6500" s="8" t="s">
        <v>60103</v>
      </c>
      <c r="C6500" s="8" t="s">
        <v>12960</v>
      </c>
      <c r="D6500" s="8"/>
      <c r="E6500" s="6"/>
      <c r="F6500" s="6"/>
    </row>
    <row r="6501" spans="1:6" x14ac:dyDescent="0.3">
      <c r="A6501" s="8" t="s">
        <v>12961</v>
      </c>
      <c r="B6501" s="8" t="s">
        <v>60104</v>
      </c>
      <c r="C6501" s="8" t="s">
        <v>12962</v>
      </c>
      <c r="D6501" s="8"/>
      <c r="E6501" s="6"/>
      <c r="F6501" s="6"/>
    </row>
    <row r="6502" spans="1:6" x14ac:dyDescent="0.3">
      <c r="A6502" s="8" t="s">
        <v>12963</v>
      </c>
      <c r="B6502" s="8" t="s">
        <v>60105</v>
      </c>
      <c r="C6502" s="8" t="s">
        <v>12964</v>
      </c>
      <c r="D6502" s="8"/>
      <c r="E6502" s="6"/>
      <c r="F6502" s="6"/>
    </row>
    <row r="6503" spans="1:6" x14ac:dyDescent="0.3">
      <c r="A6503" s="8" t="s">
        <v>12965</v>
      </c>
      <c r="B6503" s="8" t="s">
        <v>60106</v>
      </c>
      <c r="C6503" s="8" t="s">
        <v>12966</v>
      </c>
      <c r="D6503" s="8"/>
      <c r="E6503" s="6"/>
      <c r="F6503" s="6"/>
    </row>
    <row r="6504" spans="1:6" x14ac:dyDescent="0.3">
      <c r="A6504" s="8" t="s">
        <v>12967</v>
      </c>
      <c r="B6504" s="8" t="s">
        <v>60107</v>
      </c>
      <c r="C6504" s="8" t="s">
        <v>12968</v>
      </c>
      <c r="D6504" s="8"/>
      <c r="E6504" s="6"/>
      <c r="F6504" s="6"/>
    </row>
    <row r="6505" spans="1:6" x14ac:dyDescent="0.3">
      <c r="A6505" s="8" t="s">
        <v>12969</v>
      </c>
      <c r="B6505" s="8" t="s">
        <v>60108</v>
      </c>
      <c r="C6505" s="8" t="s">
        <v>12970</v>
      </c>
      <c r="D6505" s="8"/>
      <c r="E6505" s="6"/>
      <c r="F6505" s="6"/>
    </row>
    <row r="6506" spans="1:6" x14ac:dyDescent="0.3">
      <c r="A6506" s="8" t="s">
        <v>12971</v>
      </c>
      <c r="B6506" s="8" t="s">
        <v>60109</v>
      </c>
      <c r="C6506" s="8" t="s">
        <v>12972</v>
      </c>
      <c r="D6506" s="8"/>
      <c r="E6506" s="6"/>
      <c r="F6506" s="6"/>
    </row>
    <row r="6507" spans="1:6" x14ac:dyDescent="0.3">
      <c r="A6507" s="8" t="s">
        <v>12973</v>
      </c>
      <c r="B6507" s="8" t="s">
        <v>60110</v>
      </c>
      <c r="C6507" s="8" t="s">
        <v>12974</v>
      </c>
      <c r="D6507" s="8"/>
      <c r="E6507" s="6"/>
      <c r="F6507" s="6"/>
    </row>
    <row r="6508" spans="1:6" x14ac:dyDescent="0.3">
      <c r="A6508" s="8" t="s">
        <v>12975</v>
      </c>
      <c r="B6508" s="8" t="s">
        <v>60111</v>
      </c>
      <c r="C6508" s="8" t="s">
        <v>12976</v>
      </c>
      <c r="D6508" s="8"/>
      <c r="E6508" s="6"/>
      <c r="F6508" s="6"/>
    </row>
    <row r="6509" spans="1:6" x14ac:dyDescent="0.3">
      <c r="A6509" s="8" t="s">
        <v>12977</v>
      </c>
      <c r="B6509" s="8" t="s">
        <v>60112</v>
      </c>
      <c r="C6509" s="8" t="s">
        <v>12978</v>
      </c>
      <c r="D6509" s="8"/>
      <c r="E6509" s="6"/>
      <c r="F6509" s="6"/>
    </row>
    <row r="6510" spans="1:6" x14ac:dyDescent="0.3">
      <c r="A6510" s="8" t="s">
        <v>12979</v>
      </c>
      <c r="B6510" s="8" t="s">
        <v>60113</v>
      </c>
      <c r="C6510" s="8" t="s">
        <v>12980</v>
      </c>
      <c r="D6510" s="8"/>
      <c r="E6510" s="6"/>
      <c r="F6510" s="6"/>
    </row>
    <row r="6511" spans="1:6" x14ac:dyDescent="0.3">
      <c r="A6511" s="8" t="s">
        <v>12981</v>
      </c>
      <c r="B6511" s="8" t="s">
        <v>60114</v>
      </c>
      <c r="C6511" s="8" t="s">
        <v>12982</v>
      </c>
      <c r="D6511" s="8"/>
      <c r="E6511" s="6"/>
      <c r="F6511" s="6"/>
    </row>
    <row r="6512" spans="1:6" x14ac:dyDescent="0.3">
      <c r="A6512" s="8" t="s">
        <v>12983</v>
      </c>
      <c r="B6512" s="8" t="s">
        <v>60115</v>
      </c>
      <c r="C6512" s="8" t="s">
        <v>12984</v>
      </c>
      <c r="D6512" s="8"/>
      <c r="E6512" s="6"/>
      <c r="F6512" s="6"/>
    </row>
    <row r="6513" spans="1:6" x14ac:dyDescent="0.3">
      <c r="A6513" s="8" t="s">
        <v>12985</v>
      </c>
      <c r="B6513" s="8" t="s">
        <v>60116</v>
      </c>
      <c r="C6513" s="8" t="s">
        <v>12986</v>
      </c>
      <c r="D6513" s="8"/>
      <c r="E6513" s="6"/>
      <c r="F6513" s="6"/>
    </row>
    <row r="6514" spans="1:6" x14ac:dyDescent="0.3">
      <c r="A6514" s="8" t="s">
        <v>12987</v>
      </c>
      <c r="B6514" s="8" t="s">
        <v>60117</v>
      </c>
      <c r="C6514" s="8" t="s">
        <v>12988</v>
      </c>
      <c r="D6514" s="8"/>
      <c r="E6514" s="6"/>
      <c r="F6514" s="6"/>
    </row>
    <row r="6515" spans="1:6" x14ac:dyDescent="0.3">
      <c r="A6515" s="8" t="s">
        <v>12989</v>
      </c>
      <c r="B6515" s="8" t="s">
        <v>60118</v>
      </c>
      <c r="C6515" s="8" t="s">
        <v>12990</v>
      </c>
      <c r="D6515" s="8"/>
      <c r="E6515" s="6"/>
      <c r="F6515" s="6"/>
    </row>
    <row r="6516" spans="1:6" x14ac:dyDescent="0.3">
      <c r="A6516" s="8" t="s">
        <v>12991</v>
      </c>
      <c r="B6516" s="8" t="s">
        <v>60119</v>
      </c>
      <c r="C6516" s="8" t="s">
        <v>12992</v>
      </c>
      <c r="D6516" s="8"/>
      <c r="E6516" s="6"/>
      <c r="F6516" s="6"/>
    </row>
    <row r="6517" spans="1:6" x14ac:dyDescent="0.3">
      <c r="A6517" s="8" t="s">
        <v>12993</v>
      </c>
      <c r="B6517" s="8" t="s">
        <v>60120</v>
      </c>
      <c r="C6517" s="8" t="s">
        <v>12994</v>
      </c>
      <c r="D6517" s="8"/>
      <c r="E6517" s="6"/>
      <c r="F6517" s="6"/>
    </row>
    <row r="6518" spans="1:6" x14ac:dyDescent="0.3">
      <c r="A6518" s="8" t="s">
        <v>12995</v>
      </c>
      <c r="B6518" s="8" t="s">
        <v>60121</v>
      </c>
      <c r="C6518" s="8" t="s">
        <v>12996</v>
      </c>
      <c r="D6518" s="8"/>
      <c r="E6518" s="6"/>
      <c r="F6518" s="6"/>
    </row>
    <row r="6519" spans="1:6" x14ac:dyDescent="0.3">
      <c r="A6519" s="8" t="s">
        <v>12997</v>
      </c>
      <c r="B6519" s="8" t="s">
        <v>60122</v>
      </c>
      <c r="C6519" s="8" t="s">
        <v>12998</v>
      </c>
      <c r="D6519" s="8"/>
      <c r="E6519" s="6"/>
      <c r="F6519" s="6"/>
    </row>
    <row r="6520" spans="1:6" x14ac:dyDescent="0.3">
      <c r="A6520" s="8" t="s">
        <v>12999</v>
      </c>
      <c r="B6520" s="8" t="s">
        <v>60123</v>
      </c>
      <c r="C6520" s="8" t="s">
        <v>13000</v>
      </c>
      <c r="D6520" s="8"/>
      <c r="E6520" s="6"/>
      <c r="F6520" s="6"/>
    </row>
    <row r="6521" spans="1:6" x14ac:dyDescent="0.3">
      <c r="A6521" s="8" t="s">
        <v>13001</v>
      </c>
      <c r="B6521" s="8" t="s">
        <v>60124</v>
      </c>
      <c r="C6521" s="8" t="s">
        <v>13002</v>
      </c>
      <c r="D6521" s="8"/>
      <c r="E6521" s="6"/>
      <c r="F6521" s="6"/>
    </row>
    <row r="6522" spans="1:6" x14ac:dyDescent="0.3">
      <c r="A6522" s="8" t="s">
        <v>13003</v>
      </c>
      <c r="B6522" s="8" t="s">
        <v>60125</v>
      </c>
      <c r="C6522" s="8" t="s">
        <v>13004</v>
      </c>
      <c r="D6522" s="8"/>
      <c r="E6522" s="6"/>
      <c r="F6522" s="6"/>
    </row>
    <row r="6523" spans="1:6" x14ac:dyDescent="0.3">
      <c r="A6523" s="8" t="s">
        <v>13005</v>
      </c>
      <c r="B6523" s="8" t="s">
        <v>60126</v>
      </c>
      <c r="C6523" s="8" t="s">
        <v>13006</v>
      </c>
      <c r="D6523" s="8"/>
      <c r="E6523" s="6"/>
      <c r="F6523" s="6"/>
    </row>
    <row r="6524" spans="1:6" x14ac:dyDescent="0.3">
      <c r="A6524" s="8" t="s">
        <v>13007</v>
      </c>
      <c r="B6524" s="8" t="s">
        <v>60127</v>
      </c>
      <c r="C6524" s="8" t="s">
        <v>13008</v>
      </c>
      <c r="D6524" s="8"/>
      <c r="E6524" s="6"/>
      <c r="F6524" s="6"/>
    </row>
    <row r="6525" spans="1:6" x14ac:dyDescent="0.3">
      <c r="A6525" s="8" t="s">
        <v>13009</v>
      </c>
      <c r="B6525" s="8" t="s">
        <v>60128</v>
      </c>
      <c r="C6525" s="8" t="s">
        <v>13010</v>
      </c>
      <c r="D6525" s="8"/>
      <c r="E6525" s="6"/>
      <c r="F6525" s="6"/>
    </row>
    <row r="6526" spans="1:6" x14ac:dyDescent="0.3">
      <c r="A6526" s="8" t="s">
        <v>13011</v>
      </c>
      <c r="B6526" s="8" t="s">
        <v>60129</v>
      </c>
      <c r="C6526" s="8" t="s">
        <v>13012</v>
      </c>
      <c r="D6526" s="8"/>
      <c r="E6526" s="6"/>
      <c r="F6526" s="6"/>
    </row>
    <row r="6527" spans="1:6" x14ac:dyDescent="0.3">
      <c r="A6527" s="8" t="s">
        <v>13013</v>
      </c>
      <c r="B6527" s="8" t="s">
        <v>60130</v>
      </c>
      <c r="C6527" s="8" t="s">
        <v>13014</v>
      </c>
      <c r="D6527" s="8"/>
      <c r="E6527" s="6"/>
      <c r="F6527" s="6"/>
    </row>
    <row r="6528" spans="1:6" x14ac:dyDescent="0.3">
      <c r="A6528" s="8" t="s">
        <v>13015</v>
      </c>
      <c r="B6528" s="8" t="s">
        <v>60131</v>
      </c>
      <c r="C6528" s="8" t="s">
        <v>13016</v>
      </c>
      <c r="D6528" s="8"/>
      <c r="E6528" s="6"/>
      <c r="F6528" s="6"/>
    </row>
    <row r="6529" spans="1:6" x14ac:dyDescent="0.3">
      <c r="A6529" s="8" t="s">
        <v>13017</v>
      </c>
      <c r="B6529" s="8" t="s">
        <v>60132</v>
      </c>
      <c r="C6529" s="8" t="s">
        <v>13018</v>
      </c>
      <c r="D6529" s="8"/>
      <c r="E6529" s="6"/>
      <c r="F6529" s="6"/>
    </row>
    <row r="6530" spans="1:6" x14ac:dyDescent="0.3">
      <c r="A6530" s="8" t="s">
        <v>13019</v>
      </c>
      <c r="B6530" s="8" t="s">
        <v>60133</v>
      </c>
      <c r="C6530" s="8" t="s">
        <v>13020</v>
      </c>
      <c r="D6530" s="8"/>
      <c r="E6530" s="6"/>
      <c r="F6530" s="6"/>
    </row>
    <row r="6531" spans="1:6" x14ac:dyDescent="0.3">
      <c r="A6531" s="8" t="s">
        <v>13021</v>
      </c>
      <c r="B6531" s="8" t="s">
        <v>60134</v>
      </c>
      <c r="C6531" s="8" t="s">
        <v>13022</v>
      </c>
      <c r="D6531" s="8"/>
      <c r="E6531" s="6"/>
      <c r="F6531" s="6"/>
    </row>
    <row r="6532" spans="1:6" x14ac:dyDescent="0.3">
      <c r="A6532" s="8" t="s">
        <v>13023</v>
      </c>
      <c r="B6532" s="8" t="s">
        <v>60135</v>
      </c>
      <c r="C6532" s="8" t="s">
        <v>13024</v>
      </c>
      <c r="D6532" s="8"/>
      <c r="E6532" s="6"/>
      <c r="F6532" s="6"/>
    </row>
    <row r="6533" spans="1:6" x14ac:dyDescent="0.3">
      <c r="A6533" s="8" t="s">
        <v>13025</v>
      </c>
      <c r="B6533" s="8" t="s">
        <v>60136</v>
      </c>
      <c r="C6533" s="8" t="s">
        <v>13026</v>
      </c>
      <c r="D6533" s="8"/>
      <c r="E6533" s="6"/>
      <c r="F6533" s="6"/>
    </row>
    <row r="6534" spans="1:6" x14ac:dyDescent="0.3">
      <c r="A6534" s="8" t="s">
        <v>13027</v>
      </c>
      <c r="B6534" s="8" t="s">
        <v>60137</v>
      </c>
      <c r="C6534" s="8" t="s">
        <v>13028</v>
      </c>
      <c r="D6534" s="8"/>
      <c r="E6534" s="6"/>
      <c r="F6534" s="6"/>
    </row>
    <row r="6535" spans="1:6" x14ac:dyDescent="0.3">
      <c r="A6535" s="8" t="s">
        <v>13029</v>
      </c>
      <c r="B6535" s="8" t="s">
        <v>60138</v>
      </c>
      <c r="C6535" s="8" t="s">
        <v>13030</v>
      </c>
      <c r="D6535" s="8"/>
      <c r="E6535" s="6"/>
      <c r="F6535" s="6"/>
    </row>
    <row r="6536" spans="1:6" x14ac:dyDescent="0.3">
      <c r="A6536" s="8" t="s">
        <v>13031</v>
      </c>
      <c r="B6536" s="8" t="s">
        <v>60139</v>
      </c>
      <c r="C6536" s="8" t="s">
        <v>13032</v>
      </c>
      <c r="D6536" s="8"/>
      <c r="E6536" s="6"/>
      <c r="F6536" s="6"/>
    </row>
    <row r="6537" spans="1:6" x14ac:dyDescent="0.3">
      <c r="A6537" s="8" t="s">
        <v>13033</v>
      </c>
      <c r="B6537" s="8" t="s">
        <v>60140</v>
      </c>
      <c r="C6537" s="8" t="s">
        <v>13034</v>
      </c>
      <c r="D6537" s="8"/>
      <c r="E6537" s="6"/>
      <c r="F6537" s="6"/>
    </row>
    <row r="6538" spans="1:6" x14ac:dyDescent="0.3">
      <c r="A6538" s="8" t="s">
        <v>13035</v>
      </c>
      <c r="B6538" s="8" t="s">
        <v>60141</v>
      </c>
      <c r="C6538" s="8" t="s">
        <v>13036</v>
      </c>
      <c r="D6538" s="8"/>
      <c r="E6538" s="6"/>
      <c r="F6538" s="6"/>
    </row>
    <row r="6539" spans="1:6" x14ac:dyDescent="0.3">
      <c r="A6539" s="8" t="s">
        <v>13037</v>
      </c>
      <c r="B6539" s="8" t="s">
        <v>60142</v>
      </c>
      <c r="C6539" s="8" t="s">
        <v>13038</v>
      </c>
      <c r="D6539" s="8"/>
      <c r="E6539" s="6"/>
      <c r="F6539" s="6"/>
    </row>
    <row r="6540" spans="1:6" x14ac:dyDescent="0.3">
      <c r="A6540" s="8" t="s">
        <v>13039</v>
      </c>
      <c r="B6540" s="8" t="s">
        <v>60143</v>
      </c>
      <c r="C6540" s="8" t="s">
        <v>13040</v>
      </c>
      <c r="D6540" s="8"/>
      <c r="E6540" s="6"/>
      <c r="F6540" s="6"/>
    </row>
    <row r="6541" spans="1:6" x14ac:dyDescent="0.3">
      <c r="A6541" s="8" t="s">
        <v>13041</v>
      </c>
      <c r="B6541" s="8" t="s">
        <v>60144</v>
      </c>
      <c r="C6541" s="8" t="s">
        <v>13042</v>
      </c>
      <c r="D6541" s="8"/>
      <c r="E6541" s="6"/>
      <c r="F6541" s="6"/>
    </row>
    <row r="6542" spans="1:6" x14ac:dyDescent="0.3">
      <c r="A6542" s="8" t="s">
        <v>13043</v>
      </c>
      <c r="B6542" s="8" t="s">
        <v>60145</v>
      </c>
      <c r="C6542" s="8" t="s">
        <v>13044</v>
      </c>
      <c r="D6542" s="8"/>
      <c r="E6542" s="6"/>
      <c r="F6542" s="6"/>
    </row>
    <row r="6543" spans="1:6" x14ac:dyDescent="0.3">
      <c r="A6543" s="8" t="s">
        <v>13045</v>
      </c>
      <c r="B6543" s="8" t="s">
        <v>60146</v>
      </c>
      <c r="C6543" s="8" t="s">
        <v>13046</v>
      </c>
      <c r="D6543" s="8"/>
      <c r="E6543" s="6"/>
      <c r="F6543" s="6"/>
    </row>
    <row r="6544" spans="1:6" x14ac:dyDescent="0.3">
      <c r="A6544" s="8" t="s">
        <v>13047</v>
      </c>
      <c r="B6544" s="8" t="s">
        <v>60147</v>
      </c>
      <c r="C6544" s="8" t="s">
        <v>13048</v>
      </c>
      <c r="D6544" s="8"/>
      <c r="E6544" s="6"/>
      <c r="F6544" s="6"/>
    </row>
    <row r="6545" spans="1:6" x14ac:dyDescent="0.3">
      <c r="A6545" s="8" t="s">
        <v>13049</v>
      </c>
      <c r="B6545" s="8" t="s">
        <v>60148</v>
      </c>
      <c r="C6545" s="8" t="s">
        <v>13050</v>
      </c>
      <c r="D6545" s="8"/>
      <c r="E6545" s="6"/>
      <c r="F6545" s="6"/>
    </row>
    <row r="6546" spans="1:6" x14ac:dyDescent="0.3">
      <c r="A6546" s="8" t="s">
        <v>13051</v>
      </c>
      <c r="B6546" s="8" t="s">
        <v>60149</v>
      </c>
      <c r="C6546" s="8" t="s">
        <v>13052</v>
      </c>
      <c r="D6546" s="8"/>
      <c r="E6546" s="6"/>
      <c r="F6546" s="6"/>
    </row>
    <row r="6547" spans="1:6" x14ac:dyDescent="0.3">
      <c r="A6547" s="8" t="s">
        <v>13053</v>
      </c>
      <c r="B6547" s="8" t="s">
        <v>60150</v>
      </c>
      <c r="C6547" s="8" t="s">
        <v>13054</v>
      </c>
      <c r="D6547" s="8"/>
      <c r="E6547" s="6"/>
      <c r="F6547" s="6"/>
    </row>
    <row r="6548" spans="1:6" x14ac:dyDescent="0.3">
      <c r="A6548" s="8" t="s">
        <v>13055</v>
      </c>
      <c r="B6548" s="8" t="s">
        <v>60151</v>
      </c>
      <c r="C6548" s="8" t="s">
        <v>13056</v>
      </c>
      <c r="D6548" s="8"/>
      <c r="E6548" s="6"/>
      <c r="F6548" s="6"/>
    </row>
    <row r="6549" spans="1:6" x14ac:dyDescent="0.3">
      <c r="A6549" s="8" t="s">
        <v>13057</v>
      </c>
      <c r="B6549" s="8" t="s">
        <v>60152</v>
      </c>
      <c r="C6549" s="8" t="s">
        <v>13058</v>
      </c>
      <c r="D6549" s="8"/>
      <c r="E6549" s="6"/>
      <c r="F6549" s="6"/>
    </row>
    <row r="6550" spans="1:6" x14ac:dyDescent="0.3">
      <c r="A6550" s="8" t="s">
        <v>13059</v>
      </c>
      <c r="B6550" s="8" t="s">
        <v>60153</v>
      </c>
      <c r="C6550" s="8" t="s">
        <v>13060</v>
      </c>
      <c r="D6550" s="8"/>
      <c r="E6550" s="6"/>
      <c r="F6550" s="6"/>
    </row>
    <row r="6551" spans="1:6" x14ac:dyDescent="0.3">
      <c r="A6551" s="8" t="s">
        <v>13061</v>
      </c>
      <c r="B6551" s="8" t="s">
        <v>60154</v>
      </c>
      <c r="C6551" s="8" t="s">
        <v>13062</v>
      </c>
      <c r="D6551" s="8"/>
      <c r="E6551" s="6"/>
      <c r="F6551" s="6"/>
    </row>
    <row r="6552" spans="1:6" x14ac:dyDescent="0.3">
      <c r="A6552" s="8" t="s">
        <v>13063</v>
      </c>
      <c r="B6552" s="8" t="s">
        <v>60155</v>
      </c>
      <c r="C6552" s="8" t="s">
        <v>13064</v>
      </c>
      <c r="D6552" s="8"/>
      <c r="E6552" s="6"/>
      <c r="F6552" s="6"/>
    </row>
    <row r="6553" spans="1:6" x14ac:dyDescent="0.3">
      <c r="A6553" s="8" t="s">
        <v>13065</v>
      </c>
      <c r="B6553" s="8" t="s">
        <v>60156</v>
      </c>
      <c r="C6553" s="8" t="s">
        <v>13066</v>
      </c>
      <c r="D6553" s="8"/>
      <c r="E6553" s="6"/>
      <c r="F6553" s="6"/>
    </row>
    <row r="6554" spans="1:6" x14ac:dyDescent="0.3">
      <c r="A6554" s="8" t="s">
        <v>13067</v>
      </c>
      <c r="B6554" s="8" t="s">
        <v>60157</v>
      </c>
      <c r="C6554" s="8" t="s">
        <v>13068</v>
      </c>
      <c r="D6554" s="8"/>
      <c r="E6554" s="6"/>
      <c r="F6554" s="6"/>
    </row>
    <row r="6555" spans="1:6" x14ac:dyDescent="0.3">
      <c r="A6555" s="8" t="s">
        <v>13069</v>
      </c>
      <c r="B6555" s="8" t="s">
        <v>60158</v>
      </c>
      <c r="C6555" s="8" t="s">
        <v>13070</v>
      </c>
      <c r="D6555" s="8"/>
      <c r="E6555" s="6"/>
      <c r="F6555" s="6"/>
    </row>
    <row r="6556" spans="1:6" x14ac:dyDescent="0.3">
      <c r="A6556" s="8" t="s">
        <v>13071</v>
      </c>
      <c r="B6556" s="8" t="s">
        <v>60159</v>
      </c>
      <c r="C6556" s="8" t="s">
        <v>13072</v>
      </c>
      <c r="D6556" s="8"/>
      <c r="E6556" s="6"/>
      <c r="F6556" s="6"/>
    </row>
    <row r="6557" spans="1:6" x14ac:dyDescent="0.3">
      <c r="A6557" s="8" t="s">
        <v>13073</v>
      </c>
      <c r="B6557" s="8" t="s">
        <v>60160</v>
      </c>
      <c r="C6557" s="8" t="s">
        <v>13074</v>
      </c>
      <c r="D6557" s="8"/>
      <c r="E6557" s="6"/>
      <c r="F6557" s="6"/>
    </row>
    <row r="6558" spans="1:6" x14ac:dyDescent="0.3">
      <c r="A6558" s="8" t="s">
        <v>13075</v>
      </c>
      <c r="B6558" s="8" t="s">
        <v>60161</v>
      </c>
      <c r="C6558" s="8" t="s">
        <v>13076</v>
      </c>
      <c r="D6558" s="8"/>
      <c r="E6558" s="6"/>
      <c r="F6558" s="6"/>
    </row>
    <row r="6559" spans="1:6" x14ac:dyDescent="0.3">
      <c r="A6559" s="8" t="s">
        <v>13077</v>
      </c>
      <c r="B6559" s="8" t="s">
        <v>60162</v>
      </c>
      <c r="C6559" s="8" t="s">
        <v>13078</v>
      </c>
      <c r="D6559" s="8"/>
      <c r="E6559" s="6"/>
      <c r="F6559" s="6"/>
    </row>
    <row r="6560" spans="1:6" x14ac:dyDescent="0.3">
      <c r="A6560" s="8" t="s">
        <v>13079</v>
      </c>
      <c r="B6560" s="8" t="s">
        <v>60163</v>
      </c>
      <c r="C6560" s="8" t="s">
        <v>13080</v>
      </c>
      <c r="D6560" s="8"/>
      <c r="E6560" s="6"/>
      <c r="F6560" s="6"/>
    </row>
    <row r="6561" spans="1:6" x14ac:dyDescent="0.3">
      <c r="A6561" s="8" t="s">
        <v>13081</v>
      </c>
      <c r="B6561" s="8" t="s">
        <v>60164</v>
      </c>
      <c r="C6561" s="8" t="s">
        <v>13082</v>
      </c>
      <c r="D6561" s="8"/>
      <c r="E6561" s="6"/>
      <c r="F6561" s="6"/>
    </row>
    <row r="6562" spans="1:6" x14ac:dyDescent="0.3">
      <c r="A6562" s="8" t="s">
        <v>13083</v>
      </c>
      <c r="B6562" s="8" t="s">
        <v>60165</v>
      </c>
      <c r="C6562" s="8" t="s">
        <v>13084</v>
      </c>
      <c r="D6562" s="8"/>
      <c r="E6562" s="6"/>
      <c r="F6562" s="6"/>
    </row>
    <row r="6563" spans="1:6" x14ac:dyDescent="0.3">
      <c r="A6563" s="8" t="s">
        <v>13085</v>
      </c>
      <c r="B6563" s="8" t="s">
        <v>60166</v>
      </c>
      <c r="C6563" s="8" t="s">
        <v>13086</v>
      </c>
      <c r="D6563" s="8"/>
      <c r="E6563" s="6"/>
      <c r="F6563" s="6"/>
    </row>
    <row r="6564" spans="1:6" x14ac:dyDescent="0.3">
      <c r="A6564" s="8" t="s">
        <v>13087</v>
      </c>
      <c r="B6564" s="8" t="s">
        <v>60167</v>
      </c>
      <c r="C6564" s="8" t="s">
        <v>13088</v>
      </c>
      <c r="D6564" s="8"/>
      <c r="E6564" s="6"/>
      <c r="F6564" s="6"/>
    </row>
    <row r="6565" spans="1:6" x14ac:dyDescent="0.3">
      <c r="A6565" s="8" t="s">
        <v>13089</v>
      </c>
      <c r="B6565" s="8" t="s">
        <v>60168</v>
      </c>
      <c r="C6565" s="8" t="s">
        <v>13090</v>
      </c>
      <c r="D6565" s="8"/>
      <c r="E6565" s="6"/>
      <c r="F6565" s="6"/>
    </row>
    <row r="6566" spans="1:6" x14ac:dyDescent="0.3">
      <c r="A6566" s="8" t="s">
        <v>13091</v>
      </c>
      <c r="B6566" s="8" t="s">
        <v>60169</v>
      </c>
      <c r="C6566" s="8" t="s">
        <v>13092</v>
      </c>
      <c r="D6566" s="8"/>
      <c r="E6566" s="6"/>
      <c r="F6566" s="6"/>
    </row>
    <row r="6567" spans="1:6" x14ac:dyDescent="0.3">
      <c r="A6567" s="8" t="s">
        <v>13093</v>
      </c>
      <c r="B6567" s="8" t="s">
        <v>60170</v>
      </c>
      <c r="C6567" s="8" t="s">
        <v>13094</v>
      </c>
      <c r="D6567" s="8"/>
      <c r="E6567" s="6"/>
      <c r="F6567" s="6"/>
    </row>
    <row r="6568" spans="1:6" x14ac:dyDescent="0.3">
      <c r="A6568" s="8" t="s">
        <v>13095</v>
      </c>
      <c r="B6568" s="8" t="s">
        <v>60171</v>
      </c>
      <c r="C6568" s="8" t="s">
        <v>13096</v>
      </c>
      <c r="D6568" s="8"/>
      <c r="E6568" s="6"/>
      <c r="F6568" s="6"/>
    </row>
    <row r="6569" spans="1:6" x14ac:dyDescent="0.3">
      <c r="A6569" s="8" t="s">
        <v>13097</v>
      </c>
      <c r="B6569" s="8" t="s">
        <v>60172</v>
      </c>
      <c r="C6569" s="8" t="s">
        <v>13098</v>
      </c>
      <c r="D6569" s="8"/>
      <c r="E6569" s="6"/>
      <c r="F6569" s="6"/>
    </row>
    <row r="6570" spans="1:6" x14ac:dyDescent="0.3">
      <c r="A6570" s="8" t="s">
        <v>13099</v>
      </c>
      <c r="B6570" s="8" t="s">
        <v>60173</v>
      </c>
      <c r="C6570" s="8" t="s">
        <v>13100</v>
      </c>
      <c r="D6570" s="8"/>
      <c r="E6570" s="6"/>
      <c r="F6570" s="6"/>
    </row>
    <row r="6571" spans="1:6" x14ac:dyDescent="0.3">
      <c r="A6571" s="8" t="s">
        <v>13101</v>
      </c>
      <c r="B6571" s="8" t="s">
        <v>60174</v>
      </c>
      <c r="C6571" s="8" t="s">
        <v>13102</v>
      </c>
      <c r="D6571" s="8"/>
      <c r="E6571" s="6"/>
      <c r="F6571" s="6"/>
    </row>
    <row r="6572" spans="1:6" x14ac:dyDescent="0.3">
      <c r="A6572" s="8" t="s">
        <v>13103</v>
      </c>
      <c r="B6572" s="8" t="s">
        <v>60175</v>
      </c>
      <c r="C6572" s="8" t="s">
        <v>13104</v>
      </c>
      <c r="D6572" s="8"/>
      <c r="E6572" s="6"/>
      <c r="F6572" s="6"/>
    </row>
    <row r="6573" spans="1:6" x14ac:dyDescent="0.3">
      <c r="A6573" s="8" t="s">
        <v>13105</v>
      </c>
      <c r="B6573" s="8" t="s">
        <v>60176</v>
      </c>
      <c r="C6573" s="8" t="s">
        <v>13106</v>
      </c>
      <c r="D6573" s="8"/>
      <c r="E6573" s="6"/>
      <c r="F6573" s="6"/>
    </row>
    <row r="6574" spans="1:6" x14ac:dyDescent="0.3">
      <c r="A6574" s="8" t="s">
        <v>13107</v>
      </c>
      <c r="B6574" s="8" t="s">
        <v>60177</v>
      </c>
      <c r="C6574" s="8" t="s">
        <v>13108</v>
      </c>
      <c r="D6574" s="8"/>
      <c r="E6574" s="6"/>
      <c r="F6574" s="6"/>
    </row>
    <row r="6575" spans="1:6" x14ac:dyDescent="0.3">
      <c r="A6575" s="8" t="s">
        <v>13109</v>
      </c>
      <c r="B6575" s="8" t="s">
        <v>60178</v>
      </c>
      <c r="C6575" s="8" t="s">
        <v>13110</v>
      </c>
      <c r="D6575" s="8"/>
      <c r="E6575" s="6"/>
      <c r="F6575" s="6"/>
    </row>
    <row r="6576" spans="1:6" x14ac:dyDescent="0.3">
      <c r="A6576" s="8" t="s">
        <v>13111</v>
      </c>
      <c r="B6576" s="8" t="s">
        <v>60179</v>
      </c>
      <c r="C6576" s="8" t="s">
        <v>13112</v>
      </c>
      <c r="D6576" s="8"/>
      <c r="E6576" s="6"/>
      <c r="F6576" s="6"/>
    </row>
    <row r="6577" spans="1:6" x14ac:dyDescent="0.3">
      <c r="A6577" s="8" t="s">
        <v>13113</v>
      </c>
      <c r="B6577" s="8" t="s">
        <v>60180</v>
      </c>
      <c r="C6577" s="8" t="s">
        <v>13114</v>
      </c>
      <c r="D6577" s="8"/>
      <c r="E6577" s="6"/>
      <c r="F6577" s="6"/>
    </row>
    <row r="6578" spans="1:6" x14ac:dyDescent="0.3">
      <c r="A6578" s="8" t="s">
        <v>13115</v>
      </c>
      <c r="B6578" s="8" t="s">
        <v>60181</v>
      </c>
      <c r="C6578" s="8" t="s">
        <v>13116</v>
      </c>
      <c r="D6578" s="8"/>
      <c r="E6578" s="6"/>
      <c r="F6578" s="6"/>
    </row>
    <row r="6579" spans="1:6" x14ac:dyDescent="0.3">
      <c r="A6579" s="8" t="s">
        <v>13117</v>
      </c>
      <c r="B6579" s="8" t="s">
        <v>60182</v>
      </c>
      <c r="C6579" s="8" t="s">
        <v>13118</v>
      </c>
      <c r="D6579" s="8"/>
      <c r="E6579" s="6"/>
      <c r="F6579" s="6"/>
    </row>
    <row r="6580" spans="1:6" x14ac:dyDescent="0.3">
      <c r="A6580" s="8" t="s">
        <v>13119</v>
      </c>
      <c r="B6580" s="8" t="s">
        <v>60183</v>
      </c>
      <c r="C6580" s="8" t="s">
        <v>13120</v>
      </c>
      <c r="D6580" s="8"/>
      <c r="E6580" s="6"/>
      <c r="F6580" s="6"/>
    </row>
    <row r="6581" spans="1:6" x14ac:dyDescent="0.3">
      <c r="A6581" s="8" t="s">
        <v>13121</v>
      </c>
      <c r="B6581" s="8" t="s">
        <v>60184</v>
      </c>
      <c r="C6581" s="8" t="s">
        <v>13122</v>
      </c>
      <c r="D6581" s="8"/>
      <c r="E6581" s="6"/>
      <c r="F6581" s="6"/>
    </row>
    <row r="6582" spans="1:6" x14ac:dyDescent="0.3">
      <c r="A6582" s="8" t="s">
        <v>13123</v>
      </c>
      <c r="B6582" s="8" t="s">
        <v>60185</v>
      </c>
      <c r="C6582" s="8" t="s">
        <v>13124</v>
      </c>
      <c r="D6582" s="8"/>
      <c r="E6582" s="6"/>
      <c r="F6582" s="6"/>
    </row>
    <row r="6583" spans="1:6" x14ac:dyDescent="0.3">
      <c r="A6583" s="8" t="s">
        <v>13125</v>
      </c>
      <c r="B6583" s="8" t="s">
        <v>60186</v>
      </c>
      <c r="C6583" s="8" t="s">
        <v>13126</v>
      </c>
      <c r="D6583" s="8"/>
      <c r="E6583" s="6"/>
      <c r="F6583" s="6"/>
    </row>
    <row r="6584" spans="1:6" x14ac:dyDescent="0.3">
      <c r="A6584" s="8" t="s">
        <v>13127</v>
      </c>
      <c r="B6584" s="8" t="s">
        <v>60187</v>
      </c>
      <c r="C6584" s="8" t="s">
        <v>13128</v>
      </c>
      <c r="D6584" s="8"/>
      <c r="E6584" s="6"/>
      <c r="F6584" s="6"/>
    </row>
    <row r="6585" spans="1:6" x14ac:dyDescent="0.3">
      <c r="A6585" s="8" t="s">
        <v>13129</v>
      </c>
      <c r="B6585" s="8" t="s">
        <v>60188</v>
      </c>
      <c r="C6585" s="8" t="s">
        <v>13130</v>
      </c>
      <c r="D6585" s="8"/>
      <c r="E6585" s="6"/>
      <c r="F6585" s="6"/>
    </row>
    <row r="6586" spans="1:6" x14ac:dyDescent="0.3">
      <c r="A6586" s="8" t="s">
        <v>13131</v>
      </c>
      <c r="B6586" s="8" t="s">
        <v>60189</v>
      </c>
      <c r="C6586" s="8" t="s">
        <v>13132</v>
      </c>
      <c r="D6586" s="8"/>
      <c r="E6586" s="6"/>
      <c r="F6586" s="6"/>
    </row>
    <row r="6587" spans="1:6" x14ac:dyDescent="0.3">
      <c r="A6587" s="8" t="s">
        <v>13133</v>
      </c>
      <c r="B6587" s="8" t="s">
        <v>60190</v>
      </c>
      <c r="C6587" s="8" t="s">
        <v>13134</v>
      </c>
      <c r="D6587" s="8"/>
      <c r="E6587" s="6"/>
      <c r="F6587" s="6"/>
    </row>
    <row r="6588" spans="1:6" x14ac:dyDescent="0.3">
      <c r="A6588" s="8" t="s">
        <v>13135</v>
      </c>
      <c r="B6588" s="8" t="s">
        <v>60191</v>
      </c>
      <c r="C6588" s="8" t="s">
        <v>13136</v>
      </c>
      <c r="D6588" s="8"/>
      <c r="E6588" s="6"/>
      <c r="F6588" s="6"/>
    </row>
    <row r="6589" spans="1:6" x14ac:dyDescent="0.3">
      <c r="A6589" s="8" t="s">
        <v>13137</v>
      </c>
      <c r="B6589" s="8" t="s">
        <v>60192</v>
      </c>
      <c r="C6589" s="8" t="s">
        <v>13138</v>
      </c>
      <c r="D6589" s="8"/>
      <c r="E6589" s="6"/>
      <c r="F6589" s="6"/>
    </row>
    <row r="6590" spans="1:6" x14ac:dyDescent="0.3">
      <c r="A6590" s="8" t="s">
        <v>13139</v>
      </c>
      <c r="B6590" s="8" t="s">
        <v>60193</v>
      </c>
      <c r="C6590" s="8" t="s">
        <v>13140</v>
      </c>
      <c r="D6590" s="8"/>
      <c r="E6590" s="6"/>
      <c r="F6590" s="6"/>
    </row>
    <row r="6591" spans="1:6" x14ac:dyDescent="0.3">
      <c r="A6591" s="8" t="s">
        <v>13141</v>
      </c>
      <c r="B6591" s="8" t="s">
        <v>60194</v>
      </c>
      <c r="C6591" s="8" t="s">
        <v>13142</v>
      </c>
      <c r="D6591" s="8"/>
      <c r="E6591" s="6"/>
      <c r="F6591" s="6"/>
    </row>
    <row r="6592" spans="1:6" x14ac:dyDescent="0.3">
      <c r="A6592" s="8" t="s">
        <v>13143</v>
      </c>
      <c r="B6592" s="8" t="s">
        <v>60195</v>
      </c>
      <c r="C6592" s="8" t="s">
        <v>13144</v>
      </c>
      <c r="D6592" s="8"/>
      <c r="E6592" s="6"/>
      <c r="F6592" s="6"/>
    </row>
    <row r="6593" spans="1:6" x14ac:dyDescent="0.3">
      <c r="A6593" s="8" t="s">
        <v>13145</v>
      </c>
      <c r="B6593" s="8" t="s">
        <v>60196</v>
      </c>
      <c r="C6593" s="8" t="s">
        <v>13146</v>
      </c>
      <c r="D6593" s="8"/>
      <c r="E6593" s="6"/>
      <c r="F6593" s="6"/>
    </row>
    <row r="6594" spans="1:6" x14ac:dyDescent="0.3">
      <c r="A6594" s="8" t="s">
        <v>13147</v>
      </c>
      <c r="B6594" s="8" t="s">
        <v>60197</v>
      </c>
      <c r="C6594" s="8" t="s">
        <v>13148</v>
      </c>
      <c r="D6594" s="8"/>
      <c r="E6594" s="6"/>
      <c r="F6594" s="6"/>
    </row>
    <row r="6595" spans="1:6" x14ac:dyDescent="0.3">
      <c r="A6595" s="8" t="s">
        <v>13149</v>
      </c>
      <c r="B6595" s="8" t="s">
        <v>60198</v>
      </c>
      <c r="C6595" s="8" t="s">
        <v>13150</v>
      </c>
      <c r="D6595" s="8"/>
      <c r="E6595" s="6"/>
      <c r="F6595" s="6"/>
    </row>
    <row r="6596" spans="1:6" x14ac:dyDescent="0.3">
      <c r="A6596" s="8" t="s">
        <v>13151</v>
      </c>
      <c r="B6596" s="8" t="s">
        <v>60199</v>
      </c>
      <c r="C6596" s="8" t="s">
        <v>13152</v>
      </c>
      <c r="D6596" s="8"/>
      <c r="E6596" s="6"/>
      <c r="F6596" s="6"/>
    </row>
    <row r="6597" spans="1:6" x14ac:dyDescent="0.3">
      <c r="A6597" s="8" t="s">
        <v>13153</v>
      </c>
      <c r="B6597" s="8" t="s">
        <v>60200</v>
      </c>
      <c r="C6597" s="8" t="s">
        <v>13154</v>
      </c>
      <c r="D6597" s="8"/>
      <c r="E6597" s="6"/>
      <c r="F6597" s="6"/>
    </row>
    <row r="6598" spans="1:6" x14ac:dyDescent="0.3">
      <c r="A6598" s="8" t="s">
        <v>13155</v>
      </c>
      <c r="B6598" s="8" t="s">
        <v>60201</v>
      </c>
      <c r="C6598" s="8" t="s">
        <v>13156</v>
      </c>
      <c r="D6598" s="8"/>
      <c r="E6598" s="6"/>
      <c r="F6598" s="6"/>
    </row>
    <row r="6599" spans="1:6" x14ac:dyDescent="0.3">
      <c r="A6599" s="8" t="s">
        <v>13157</v>
      </c>
      <c r="B6599" s="8" t="s">
        <v>60202</v>
      </c>
      <c r="C6599" s="8" t="s">
        <v>13158</v>
      </c>
      <c r="D6599" s="8"/>
      <c r="E6599" s="6"/>
      <c r="F6599" s="6"/>
    </row>
    <row r="6600" spans="1:6" x14ac:dyDescent="0.3">
      <c r="A6600" s="8" t="s">
        <v>13159</v>
      </c>
      <c r="B6600" s="8" t="s">
        <v>60203</v>
      </c>
      <c r="C6600" s="8" t="s">
        <v>13160</v>
      </c>
      <c r="D6600" s="8"/>
      <c r="E6600" s="6"/>
      <c r="F6600" s="6"/>
    </row>
    <row r="6601" spans="1:6" x14ac:dyDescent="0.3">
      <c r="A6601" s="8" t="s">
        <v>13161</v>
      </c>
      <c r="B6601" s="8" t="s">
        <v>60204</v>
      </c>
      <c r="C6601" s="8" t="s">
        <v>13162</v>
      </c>
      <c r="D6601" s="8"/>
      <c r="E6601" s="6"/>
      <c r="F6601" s="6"/>
    </row>
    <row r="6602" spans="1:6" x14ac:dyDescent="0.3">
      <c r="A6602" s="8" t="s">
        <v>13163</v>
      </c>
      <c r="B6602" s="8" t="s">
        <v>60205</v>
      </c>
      <c r="C6602" s="8" t="s">
        <v>13164</v>
      </c>
      <c r="D6602" s="8"/>
      <c r="E6602" s="6"/>
      <c r="F6602" s="6"/>
    </row>
    <row r="6603" spans="1:6" x14ac:dyDescent="0.3">
      <c r="A6603" s="8" t="s">
        <v>13165</v>
      </c>
      <c r="B6603" s="8" t="s">
        <v>60206</v>
      </c>
      <c r="C6603" s="8" t="s">
        <v>13166</v>
      </c>
      <c r="D6603" s="8"/>
      <c r="E6603" s="6"/>
      <c r="F6603" s="6"/>
    </row>
    <row r="6604" spans="1:6" x14ac:dyDescent="0.3">
      <c r="A6604" s="8" t="s">
        <v>13167</v>
      </c>
      <c r="B6604" s="8" t="s">
        <v>60207</v>
      </c>
      <c r="C6604" s="8" t="s">
        <v>13168</v>
      </c>
      <c r="D6604" s="8"/>
      <c r="E6604" s="6"/>
      <c r="F6604" s="6"/>
    </row>
    <row r="6605" spans="1:6" x14ac:dyDescent="0.3">
      <c r="A6605" s="8" t="s">
        <v>13169</v>
      </c>
      <c r="B6605" s="8" t="s">
        <v>60208</v>
      </c>
      <c r="C6605" s="8" t="s">
        <v>13170</v>
      </c>
      <c r="D6605" s="8"/>
      <c r="E6605" s="6"/>
      <c r="F6605" s="6"/>
    </row>
    <row r="6606" spans="1:6" x14ac:dyDescent="0.3">
      <c r="A6606" s="8" t="s">
        <v>13171</v>
      </c>
      <c r="B6606" s="8" t="s">
        <v>60209</v>
      </c>
      <c r="C6606" s="8" t="s">
        <v>13172</v>
      </c>
      <c r="D6606" s="8"/>
      <c r="E6606" s="6"/>
      <c r="F6606" s="6"/>
    </row>
    <row r="6607" spans="1:6" x14ac:dyDescent="0.3">
      <c r="A6607" s="8" t="s">
        <v>13173</v>
      </c>
      <c r="B6607" s="8" t="s">
        <v>60210</v>
      </c>
      <c r="C6607" s="8" t="s">
        <v>13174</v>
      </c>
      <c r="D6607" s="8"/>
      <c r="E6607" s="6"/>
      <c r="F6607" s="6"/>
    </row>
    <row r="6608" spans="1:6" x14ac:dyDescent="0.3">
      <c r="A6608" s="8" t="s">
        <v>13175</v>
      </c>
      <c r="B6608" s="8" t="s">
        <v>60211</v>
      </c>
      <c r="C6608" s="8" t="s">
        <v>13176</v>
      </c>
      <c r="D6608" s="8"/>
      <c r="E6608" s="6"/>
      <c r="F6608" s="6"/>
    </row>
    <row r="6609" spans="1:6" x14ac:dyDescent="0.3">
      <c r="A6609" s="8" t="s">
        <v>13177</v>
      </c>
      <c r="B6609" s="8" t="s">
        <v>60212</v>
      </c>
      <c r="C6609" s="8" t="s">
        <v>13178</v>
      </c>
      <c r="D6609" s="8"/>
      <c r="E6609" s="6"/>
      <c r="F6609" s="6"/>
    </row>
    <row r="6610" spans="1:6" x14ac:dyDescent="0.3">
      <c r="A6610" s="8" t="s">
        <v>13179</v>
      </c>
      <c r="B6610" s="8" t="s">
        <v>60213</v>
      </c>
      <c r="C6610" s="8" t="s">
        <v>13180</v>
      </c>
      <c r="D6610" s="8"/>
      <c r="E6610" s="6"/>
      <c r="F6610" s="6"/>
    </row>
    <row r="6611" spans="1:6" x14ac:dyDescent="0.3">
      <c r="A6611" s="8" t="s">
        <v>13181</v>
      </c>
      <c r="B6611" s="8" t="s">
        <v>60214</v>
      </c>
      <c r="C6611" s="8" t="s">
        <v>13182</v>
      </c>
      <c r="D6611" s="8"/>
      <c r="E6611" s="6"/>
      <c r="F6611" s="6"/>
    </row>
    <row r="6612" spans="1:6" x14ac:dyDescent="0.3">
      <c r="A6612" s="8" t="s">
        <v>13183</v>
      </c>
      <c r="B6612" s="8" t="s">
        <v>60215</v>
      </c>
      <c r="C6612" s="8" t="s">
        <v>13184</v>
      </c>
      <c r="D6612" s="8"/>
      <c r="E6612" s="6"/>
      <c r="F6612" s="6"/>
    </row>
    <row r="6613" spans="1:6" x14ac:dyDescent="0.3">
      <c r="A6613" s="8" t="s">
        <v>13185</v>
      </c>
      <c r="B6613" s="8" t="s">
        <v>60216</v>
      </c>
      <c r="C6613" s="8" t="s">
        <v>13186</v>
      </c>
      <c r="D6613" s="8"/>
      <c r="E6613" s="6"/>
      <c r="F6613" s="6"/>
    </row>
    <row r="6614" spans="1:6" x14ac:dyDescent="0.3">
      <c r="A6614" s="8" t="s">
        <v>13187</v>
      </c>
      <c r="B6614" s="8" t="s">
        <v>60217</v>
      </c>
      <c r="C6614" s="8" t="s">
        <v>13188</v>
      </c>
      <c r="D6614" s="8"/>
      <c r="E6614" s="6"/>
      <c r="F6614" s="6"/>
    </row>
    <row r="6615" spans="1:6" x14ac:dyDescent="0.3">
      <c r="A6615" s="8" t="s">
        <v>13189</v>
      </c>
      <c r="B6615" s="8" t="s">
        <v>60218</v>
      </c>
      <c r="C6615" s="8" t="s">
        <v>13188</v>
      </c>
      <c r="D6615" s="8"/>
      <c r="E6615" s="6"/>
      <c r="F6615" s="6"/>
    </row>
    <row r="6616" spans="1:6" x14ac:dyDescent="0.3">
      <c r="A6616" s="8" t="s">
        <v>13190</v>
      </c>
      <c r="B6616" s="8" t="s">
        <v>60219</v>
      </c>
      <c r="C6616" s="8" t="s">
        <v>13191</v>
      </c>
      <c r="D6616" s="8"/>
      <c r="E6616" s="6"/>
      <c r="F6616" s="6"/>
    </row>
    <row r="6617" spans="1:6" x14ac:dyDescent="0.3">
      <c r="A6617" s="8" t="s">
        <v>13192</v>
      </c>
      <c r="B6617" s="8" t="s">
        <v>60220</v>
      </c>
      <c r="C6617" s="8" t="s">
        <v>13193</v>
      </c>
      <c r="D6617" s="8"/>
      <c r="E6617" s="6"/>
      <c r="F6617" s="6"/>
    </row>
    <row r="6618" spans="1:6" x14ac:dyDescent="0.3">
      <c r="A6618" s="8" t="s">
        <v>13194</v>
      </c>
      <c r="B6618" s="8" t="s">
        <v>60221</v>
      </c>
      <c r="C6618" s="8" t="s">
        <v>13195</v>
      </c>
      <c r="D6618" s="8"/>
      <c r="E6618" s="6"/>
      <c r="F6618" s="6"/>
    </row>
    <row r="6619" spans="1:6" x14ac:dyDescent="0.3">
      <c r="A6619" s="8" t="s">
        <v>13196</v>
      </c>
      <c r="B6619" s="8" t="s">
        <v>60222</v>
      </c>
      <c r="C6619" s="8" t="s">
        <v>13197</v>
      </c>
      <c r="D6619" s="8"/>
      <c r="E6619" s="6"/>
      <c r="F6619" s="6"/>
    </row>
    <row r="6620" spans="1:6" x14ac:dyDescent="0.3">
      <c r="A6620" s="8" t="s">
        <v>13198</v>
      </c>
      <c r="B6620" s="8" t="s">
        <v>60223</v>
      </c>
      <c r="C6620" s="8" t="s">
        <v>13199</v>
      </c>
      <c r="D6620" s="8"/>
      <c r="E6620" s="6"/>
      <c r="F6620" s="6"/>
    </row>
    <row r="6621" spans="1:6" x14ac:dyDescent="0.3">
      <c r="A6621" s="8" t="s">
        <v>13200</v>
      </c>
      <c r="B6621" s="8" t="s">
        <v>60224</v>
      </c>
      <c r="C6621" s="8" t="s">
        <v>13201</v>
      </c>
      <c r="D6621" s="8"/>
      <c r="E6621" s="6"/>
      <c r="F6621" s="6"/>
    </row>
    <row r="6622" spans="1:6" x14ac:dyDescent="0.3">
      <c r="A6622" s="8" t="s">
        <v>13202</v>
      </c>
      <c r="B6622" s="8" t="s">
        <v>60225</v>
      </c>
      <c r="C6622" s="8" t="s">
        <v>13203</v>
      </c>
      <c r="D6622" s="8"/>
      <c r="E6622" s="6"/>
      <c r="F6622" s="6"/>
    </row>
    <row r="6623" spans="1:6" x14ac:dyDescent="0.3">
      <c r="A6623" s="8" t="s">
        <v>13204</v>
      </c>
      <c r="B6623" s="8" t="s">
        <v>60226</v>
      </c>
      <c r="C6623" s="8" t="s">
        <v>13205</v>
      </c>
      <c r="D6623" s="8"/>
      <c r="E6623" s="6"/>
      <c r="F6623" s="6"/>
    </row>
    <row r="6624" spans="1:6" x14ac:dyDescent="0.3">
      <c r="A6624" s="8" t="s">
        <v>13206</v>
      </c>
      <c r="B6624" s="8" t="s">
        <v>60227</v>
      </c>
      <c r="C6624" s="8" t="s">
        <v>13207</v>
      </c>
      <c r="D6624" s="8"/>
      <c r="E6624" s="6"/>
      <c r="F6624" s="6"/>
    </row>
    <row r="6625" spans="1:6" x14ac:dyDescent="0.3">
      <c r="A6625" s="8" t="s">
        <v>13208</v>
      </c>
      <c r="B6625" s="8" t="s">
        <v>60228</v>
      </c>
      <c r="C6625" s="8" t="s">
        <v>13209</v>
      </c>
      <c r="D6625" s="8"/>
      <c r="E6625" s="6"/>
      <c r="F6625" s="6"/>
    </row>
    <row r="6626" spans="1:6" x14ac:dyDescent="0.3">
      <c r="A6626" s="8" t="s">
        <v>13210</v>
      </c>
      <c r="B6626" s="8" t="s">
        <v>60229</v>
      </c>
      <c r="C6626" s="8" t="s">
        <v>13211</v>
      </c>
      <c r="D6626" s="8"/>
      <c r="E6626" s="6"/>
      <c r="F6626" s="6"/>
    </row>
    <row r="6627" spans="1:6" x14ac:dyDescent="0.3">
      <c r="A6627" s="8" t="s">
        <v>13212</v>
      </c>
      <c r="B6627" s="8" t="s">
        <v>60230</v>
      </c>
      <c r="C6627" s="8" t="s">
        <v>13213</v>
      </c>
      <c r="D6627" s="8"/>
      <c r="E6627" s="6"/>
      <c r="F6627" s="6"/>
    </row>
    <row r="6628" spans="1:6" x14ac:dyDescent="0.3">
      <c r="A6628" s="8" t="s">
        <v>13214</v>
      </c>
      <c r="B6628" s="8" t="s">
        <v>60231</v>
      </c>
      <c r="C6628" s="8" t="s">
        <v>13215</v>
      </c>
      <c r="D6628" s="8"/>
      <c r="E6628" s="6"/>
      <c r="F6628" s="6"/>
    </row>
    <row r="6629" spans="1:6" x14ac:dyDescent="0.3">
      <c r="A6629" s="8" t="s">
        <v>13216</v>
      </c>
      <c r="B6629" s="8" t="s">
        <v>60232</v>
      </c>
      <c r="C6629" s="8" t="s">
        <v>13217</v>
      </c>
      <c r="D6629" s="8"/>
      <c r="E6629" s="6"/>
      <c r="F6629" s="6"/>
    </row>
    <row r="6630" spans="1:6" x14ac:dyDescent="0.3">
      <c r="A6630" s="8" t="s">
        <v>13218</v>
      </c>
      <c r="B6630" s="8" t="s">
        <v>60233</v>
      </c>
      <c r="C6630" s="8" t="s">
        <v>13219</v>
      </c>
      <c r="D6630" s="8"/>
      <c r="E6630" s="6"/>
      <c r="F6630" s="6"/>
    </row>
    <row r="6631" spans="1:6" x14ac:dyDescent="0.3">
      <c r="A6631" s="8" t="s">
        <v>13220</v>
      </c>
      <c r="B6631" s="8" t="s">
        <v>60234</v>
      </c>
      <c r="C6631" s="8" t="s">
        <v>13221</v>
      </c>
      <c r="D6631" s="8"/>
      <c r="E6631" s="6"/>
      <c r="F6631" s="6"/>
    </row>
    <row r="6632" spans="1:6" x14ac:dyDescent="0.3">
      <c r="A6632" s="8" t="s">
        <v>13222</v>
      </c>
      <c r="B6632" s="8" t="s">
        <v>60235</v>
      </c>
      <c r="C6632" s="8" t="s">
        <v>13223</v>
      </c>
      <c r="D6632" s="8"/>
      <c r="E6632" s="6"/>
      <c r="F6632" s="6"/>
    </row>
    <row r="6633" spans="1:6" x14ac:dyDescent="0.3">
      <c r="A6633" s="8" t="s">
        <v>13224</v>
      </c>
      <c r="B6633" s="8" t="s">
        <v>60236</v>
      </c>
      <c r="C6633" s="8" t="s">
        <v>13225</v>
      </c>
      <c r="D6633" s="8"/>
      <c r="E6633" s="6"/>
      <c r="F6633" s="6"/>
    </row>
    <row r="6634" spans="1:6" x14ac:dyDescent="0.3">
      <c r="A6634" s="8" t="s">
        <v>13226</v>
      </c>
      <c r="B6634" s="8" t="s">
        <v>60237</v>
      </c>
      <c r="C6634" s="8" t="s">
        <v>13227</v>
      </c>
      <c r="D6634" s="8"/>
      <c r="E6634" s="6"/>
      <c r="F6634" s="6"/>
    </row>
    <row r="6635" spans="1:6" x14ac:dyDescent="0.3">
      <c r="A6635" s="8" t="s">
        <v>13228</v>
      </c>
      <c r="B6635" s="8" t="s">
        <v>60238</v>
      </c>
      <c r="C6635" s="8" t="s">
        <v>13229</v>
      </c>
      <c r="D6635" s="8"/>
      <c r="E6635" s="6"/>
      <c r="F6635" s="6"/>
    </row>
    <row r="6636" spans="1:6" x14ac:dyDescent="0.3">
      <c r="A6636" s="8" t="s">
        <v>13230</v>
      </c>
      <c r="B6636" s="8" t="s">
        <v>60239</v>
      </c>
      <c r="C6636" s="8" t="s">
        <v>13231</v>
      </c>
      <c r="D6636" s="8"/>
      <c r="E6636" s="6"/>
      <c r="F6636" s="6"/>
    </row>
    <row r="6637" spans="1:6" x14ac:dyDescent="0.3">
      <c r="A6637" s="8" t="s">
        <v>13232</v>
      </c>
      <c r="B6637" s="8" t="s">
        <v>60240</v>
      </c>
      <c r="C6637" s="8" t="s">
        <v>13233</v>
      </c>
      <c r="D6637" s="8"/>
      <c r="E6637" s="6"/>
      <c r="F6637" s="6"/>
    </row>
    <row r="6638" spans="1:6" x14ac:dyDescent="0.3">
      <c r="A6638" s="8" t="s">
        <v>13234</v>
      </c>
      <c r="B6638" s="8" t="s">
        <v>60241</v>
      </c>
      <c r="C6638" s="8" t="s">
        <v>13235</v>
      </c>
      <c r="D6638" s="8"/>
      <c r="E6638" s="6"/>
      <c r="F6638" s="6"/>
    </row>
    <row r="6639" spans="1:6" x14ac:dyDescent="0.3">
      <c r="A6639" s="8" t="s">
        <v>13236</v>
      </c>
      <c r="B6639" s="8" t="s">
        <v>60242</v>
      </c>
      <c r="C6639" s="8" t="s">
        <v>13237</v>
      </c>
      <c r="D6639" s="8"/>
      <c r="E6639" s="6"/>
      <c r="F6639" s="6"/>
    </row>
    <row r="6640" spans="1:6" x14ac:dyDescent="0.3">
      <c r="A6640" s="8" t="s">
        <v>13238</v>
      </c>
      <c r="B6640" s="8" t="s">
        <v>60243</v>
      </c>
      <c r="C6640" s="8" t="s">
        <v>13239</v>
      </c>
      <c r="D6640" s="8"/>
      <c r="E6640" s="6"/>
      <c r="F6640" s="6"/>
    </row>
    <row r="6641" spans="1:6" x14ac:dyDescent="0.3">
      <c r="A6641" s="8" t="s">
        <v>13240</v>
      </c>
      <c r="B6641" s="8" t="s">
        <v>60244</v>
      </c>
      <c r="C6641" s="8" t="s">
        <v>13241</v>
      </c>
      <c r="D6641" s="8"/>
      <c r="E6641" s="6"/>
      <c r="F6641" s="6"/>
    </row>
    <row r="6642" spans="1:6" x14ac:dyDescent="0.3">
      <c r="A6642" s="8" t="s">
        <v>13242</v>
      </c>
      <c r="B6642" s="8" t="s">
        <v>60245</v>
      </c>
      <c r="C6642" s="8" t="s">
        <v>13243</v>
      </c>
      <c r="D6642" s="8"/>
      <c r="E6642" s="6"/>
      <c r="F6642" s="6"/>
    </row>
    <row r="6643" spans="1:6" x14ac:dyDescent="0.3">
      <c r="A6643" s="8" t="s">
        <v>13244</v>
      </c>
      <c r="B6643" s="8" t="s">
        <v>60246</v>
      </c>
      <c r="C6643" s="8" t="s">
        <v>13245</v>
      </c>
      <c r="D6643" s="8"/>
      <c r="E6643" s="6"/>
      <c r="F6643" s="6"/>
    </row>
    <row r="6644" spans="1:6" x14ac:dyDescent="0.3">
      <c r="A6644" s="8" t="s">
        <v>13246</v>
      </c>
      <c r="B6644" s="8" t="s">
        <v>60247</v>
      </c>
      <c r="C6644" s="8" t="s">
        <v>13247</v>
      </c>
      <c r="D6644" s="8"/>
      <c r="E6644" s="6"/>
      <c r="F6644" s="6"/>
    </row>
    <row r="6645" spans="1:6" x14ac:dyDescent="0.3">
      <c r="A6645" s="8" t="s">
        <v>13248</v>
      </c>
      <c r="B6645" s="8" t="s">
        <v>60248</v>
      </c>
      <c r="C6645" s="8" t="s">
        <v>13249</v>
      </c>
      <c r="D6645" s="8"/>
      <c r="E6645" s="6"/>
      <c r="F6645" s="6"/>
    </row>
    <row r="6646" spans="1:6" x14ac:dyDescent="0.3">
      <c r="A6646" s="8" t="s">
        <v>13250</v>
      </c>
      <c r="B6646" s="8" t="s">
        <v>60249</v>
      </c>
      <c r="C6646" s="8" t="s">
        <v>13251</v>
      </c>
      <c r="D6646" s="8"/>
      <c r="E6646" s="6"/>
      <c r="F6646" s="6"/>
    </row>
    <row r="6647" spans="1:6" x14ac:dyDescent="0.3">
      <c r="A6647" s="8" t="s">
        <v>13252</v>
      </c>
      <c r="B6647" s="8" t="s">
        <v>60250</v>
      </c>
      <c r="C6647" s="8" t="s">
        <v>13253</v>
      </c>
      <c r="D6647" s="8"/>
      <c r="E6647" s="6"/>
      <c r="F6647" s="6"/>
    </row>
    <row r="6648" spans="1:6" x14ac:dyDescent="0.3">
      <c r="A6648" s="8" t="s">
        <v>13254</v>
      </c>
      <c r="B6648" s="8" t="s">
        <v>60251</v>
      </c>
      <c r="C6648" s="8" t="s">
        <v>13255</v>
      </c>
      <c r="D6648" s="8"/>
      <c r="E6648" s="6"/>
      <c r="F6648" s="6"/>
    </row>
    <row r="6649" spans="1:6" x14ac:dyDescent="0.3">
      <c r="A6649" s="8" t="s">
        <v>13256</v>
      </c>
      <c r="B6649" s="8" t="s">
        <v>60252</v>
      </c>
      <c r="C6649" s="8" t="s">
        <v>13257</v>
      </c>
      <c r="D6649" s="8"/>
      <c r="E6649" s="6"/>
      <c r="F6649" s="6"/>
    </row>
    <row r="6650" spans="1:6" x14ac:dyDescent="0.3">
      <c r="A6650" s="8" t="s">
        <v>13258</v>
      </c>
      <c r="B6650" s="8" t="s">
        <v>60253</v>
      </c>
      <c r="C6650" s="8" t="s">
        <v>13259</v>
      </c>
      <c r="D6650" s="8"/>
      <c r="E6650" s="6"/>
      <c r="F6650" s="6"/>
    </row>
    <row r="6651" spans="1:6" x14ac:dyDescent="0.3">
      <c r="A6651" s="8" t="s">
        <v>13260</v>
      </c>
      <c r="B6651" s="8" t="s">
        <v>60254</v>
      </c>
      <c r="C6651" s="8" t="s">
        <v>13261</v>
      </c>
      <c r="D6651" s="8"/>
      <c r="E6651" s="6"/>
      <c r="F6651" s="6"/>
    </row>
    <row r="6652" spans="1:6" x14ac:dyDescent="0.3">
      <c r="A6652" s="8" t="s">
        <v>13262</v>
      </c>
      <c r="B6652" s="8" t="s">
        <v>60255</v>
      </c>
      <c r="C6652" s="8" t="s">
        <v>13263</v>
      </c>
      <c r="D6652" s="8"/>
      <c r="E6652" s="6"/>
      <c r="F6652" s="6"/>
    </row>
    <row r="6653" spans="1:6" x14ac:dyDescent="0.3">
      <c r="A6653" s="8" t="s">
        <v>13264</v>
      </c>
      <c r="B6653" s="8" t="s">
        <v>60256</v>
      </c>
      <c r="C6653" s="8" t="s">
        <v>13265</v>
      </c>
      <c r="D6653" s="8"/>
      <c r="E6653" s="6"/>
      <c r="F6653" s="6"/>
    </row>
    <row r="6654" spans="1:6" x14ac:dyDescent="0.3">
      <c r="A6654" s="8" t="s">
        <v>13266</v>
      </c>
      <c r="B6654" s="8" t="s">
        <v>60257</v>
      </c>
      <c r="C6654" s="8" t="s">
        <v>13267</v>
      </c>
      <c r="D6654" s="8"/>
      <c r="E6654" s="6"/>
      <c r="F6654" s="6"/>
    </row>
    <row r="6655" spans="1:6" x14ac:dyDescent="0.3">
      <c r="A6655" s="8" t="s">
        <v>13268</v>
      </c>
      <c r="B6655" s="8" t="s">
        <v>60258</v>
      </c>
      <c r="C6655" s="8" t="s">
        <v>13269</v>
      </c>
      <c r="D6655" s="8"/>
      <c r="E6655" s="6"/>
      <c r="F6655" s="6"/>
    </row>
    <row r="6656" spans="1:6" x14ac:dyDescent="0.3">
      <c r="A6656" s="8" t="s">
        <v>13270</v>
      </c>
      <c r="B6656" s="8" t="s">
        <v>60259</v>
      </c>
      <c r="C6656" s="8" t="s">
        <v>13271</v>
      </c>
      <c r="D6656" s="8"/>
      <c r="E6656" s="6"/>
      <c r="F6656" s="6"/>
    </row>
    <row r="6657" spans="1:6" x14ac:dyDescent="0.3">
      <c r="A6657" s="8" t="s">
        <v>13272</v>
      </c>
      <c r="B6657" s="8" t="s">
        <v>60260</v>
      </c>
      <c r="C6657" s="8" t="s">
        <v>13273</v>
      </c>
      <c r="D6657" s="8"/>
      <c r="E6657" s="6"/>
      <c r="F6657" s="6"/>
    </row>
    <row r="6658" spans="1:6" x14ac:dyDescent="0.3">
      <c r="A6658" s="8" t="s">
        <v>13274</v>
      </c>
      <c r="B6658" s="8" t="s">
        <v>60261</v>
      </c>
      <c r="C6658" s="8" t="s">
        <v>13275</v>
      </c>
      <c r="D6658" s="8"/>
      <c r="E6658" s="6"/>
      <c r="F6658" s="6"/>
    </row>
    <row r="6659" spans="1:6" x14ac:dyDescent="0.3">
      <c r="A6659" s="8" t="s">
        <v>13276</v>
      </c>
      <c r="B6659" s="8" t="s">
        <v>60262</v>
      </c>
      <c r="C6659" s="8" t="s">
        <v>13277</v>
      </c>
      <c r="D6659" s="8"/>
      <c r="E6659" s="6"/>
      <c r="F6659" s="6"/>
    </row>
    <row r="6660" spans="1:6" x14ac:dyDescent="0.3">
      <c r="A6660" s="8" t="s">
        <v>13278</v>
      </c>
      <c r="B6660" s="8" t="s">
        <v>60263</v>
      </c>
      <c r="C6660" s="8" t="s">
        <v>13279</v>
      </c>
      <c r="D6660" s="8"/>
      <c r="E6660" s="6"/>
      <c r="F6660" s="6"/>
    </row>
    <row r="6661" spans="1:6" x14ac:dyDescent="0.3">
      <c r="A6661" s="8" t="s">
        <v>13280</v>
      </c>
      <c r="B6661" s="8" t="s">
        <v>60264</v>
      </c>
      <c r="C6661" s="8" t="s">
        <v>13281</v>
      </c>
      <c r="D6661" s="8"/>
      <c r="E6661" s="6"/>
      <c r="F6661" s="6"/>
    </row>
    <row r="6662" spans="1:6" x14ac:dyDescent="0.3">
      <c r="A6662" s="8" t="s">
        <v>13282</v>
      </c>
      <c r="B6662" s="8" t="s">
        <v>60265</v>
      </c>
      <c r="C6662" s="8" t="s">
        <v>13283</v>
      </c>
      <c r="D6662" s="8"/>
      <c r="E6662" s="6"/>
      <c r="F6662" s="6"/>
    </row>
    <row r="6663" spans="1:6" x14ac:dyDescent="0.3">
      <c r="A6663" s="8" t="s">
        <v>13284</v>
      </c>
      <c r="B6663" s="8" t="s">
        <v>60266</v>
      </c>
      <c r="C6663" s="8" t="s">
        <v>13285</v>
      </c>
      <c r="D6663" s="8"/>
      <c r="E6663" s="6"/>
      <c r="F6663" s="6"/>
    </row>
    <row r="6664" spans="1:6" x14ac:dyDescent="0.3">
      <c r="A6664" s="8" t="s">
        <v>13286</v>
      </c>
      <c r="B6664" s="8" t="s">
        <v>60267</v>
      </c>
      <c r="C6664" s="8" t="s">
        <v>13287</v>
      </c>
      <c r="D6664" s="8"/>
      <c r="E6664" s="6"/>
      <c r="F6664" s="6"/>
    </row>
    <row r="6665" spans="1:6" x14ac:dyDescent="0.3">
      <c r="A6665" s="8" t="s">
        <v>13288</v>
      </c>
      <c r="B6665" s="8" t="s">
        <v>60268</v>
      </c>
      <c r="C6665" s="8" t="s">
        <v>13289</v>
      </c>
      <c r="D6665" s="8"/>
      <c r="E6665" s="6"/>
      <c r="F6665" s="6"/>
    </row>
    <row r="6666" spans="1:6" x14ac:dyDescent="0.3">
      <c r="A6666" s="8" t="s">
        <v>13290</v>
      </c>
      <c r="B6666" s="8" t="s">
        <v>60269</v>
      </c>
      <c r="C6666" s="8" t="s">
        <v>13291</v>
      </c>
      <c r="D6666" s="8"/>
      <c r="E6666" s="6"/>
      <c r="F6666" s="6"/>
    </row>
    <row r="6667" spans="1:6" x14ac:dyDescent="0.3">
      <c r="A6667" s="8" t="s">
        <v>13292</v>
      </c>
      <c r="B6667" s="8" t="s">
        <v>60270</v>
      </c>
      <c r="C6667" s="8" t="s">
        <v>13293</v>
      </c>
      <c r="D6667" s="8"/>
      <c r="E6667" s="6"/>
      <c r="F6667" s="6"/>
    </row>
    <row r="6668" spans="1:6" x14ac:dyDescent="0.3">
      <c r="A6668" s="8" t="s">
        <v>13294</v>
      </c>
      <c r="B6668" s="8" t="s">
        <v>60271</v>
      </c>
      <c r="C6668" s="8" t="s">
        <v>13295</v>
      </c>
      <c r="D6668" s="8"/>
      <c r="E6668" s="6"/>
      <c r="F6668" s="6"/>
    </row>
    <row r="6669" spans="1:6" x14ac:dyDescent="0.3">
      <c r="A6669" s="8" t="s">
        <v>13296</v>
      </c>
      <c r="B6669" s="8" t="s">
        <v>60272</v>
      </c>
      <c r="C6669" s="8" t="s">
        <v>13297</v>
      </c>
      <c r="D6669" s="8"/>
      <c r="E6669" s="6"/>
      <c r="F6669" s="6"/>
    </row>
    <row r="6670" spans="1:6" x14ac:dyDescent="0.3">
      <c r="A6670" s="8" t="s">
        <v>13298</v>
      </c>
      <c r="B6670" s="8" t="s">
        <v>60273</v>
      </c>
      <c r="C6670" s="8" t="s">
        <v>13299</v>
      </c>
      <c r="D6670" s="8"/>
      <c r="E6670" s="6"/>
      <c r="F6670" s="6"/>
    </row>
    <row r="6671" spans="1:6" x14ac:dyDescent="0.3">
      <c r="A6671" s="8" t="s">
        <v>13300</v>
      </c>
      <c r="B6671" s="8" t="s">
        <v>60274</v>
      </c>
      <c r="C6671" s="8" t="s">
        <v>13301</v>
      </c>
      <c r="D6671" s="8"/>
      <c r="E6671" s="6"/>
      <c r="F6671" s="6"/>
    </row>
    <row r="6672" spans="1:6" x14ac:dyDescent="0.3">
      <c r="A6672" s="8" t="s">
        <v>13302</v>
      </c>
      <c r="B6672" s="8" t="s">
        <v>60275</v>
      </c>
      <c r="C6672" s="8" t="s">
        <v>13303</v>
      </c>
      <c r="D6672" s="8"/>
      <c r="E6672" s="6"/>
      <c r="F6672" s="6"/>
    </row>
    <row r="6673" spans="1:6" x14ac:dyDescent="0.3">
      <c r="A6673" s="8" t="s">
        <v>13304</v>
      </c>
      <c r="B6673" s="8" t="s">
        <v>60276</v>
      </c>
      <c r="C6673" s="8" t="s">
        <v>13305</v>
      </c>
      <c r="D6673" s="8"/>
      <c r="E6673" s="6"/>
      <c r="F6673" s="6"/>
    </row>
    <row r="6674" spans="1:6" x14ac:dyDescent="0.3">
      <c r="A6674" s="8" t="s">
        <v>13306</v>
      </c>
      <c r="B6674" s="8" t="s">
        <v>60277</v>
      </c>
      <c r="C6674" s="8" t="s">
        <v>13307</v>
      </c>
      <c r="D6674" s="8"/>
      <c r="E6674" s="6"/>
      <c r="F6674" s="6"/>
    </row>
    <row r="6675" spans="1:6" x14ac:dyDescent="0.3">
      <c r="A6675" s="8" t="s">
        <v>13308</v>
      </c>
      <c r="B6675" s="8" t="s">
        <v>60278</v>
      </c>
      <c r="C6675" s="8" t="s">
        <v>13309</v>
      </c>
      <c r="D6675" s="8"/>
      <c r="E6675" s="6"/>
      <c r="F6675" s="6"/>
    </row>
    <row r="6676" spans="1:6" x14ac:dyDescent="0.3">
      <c r="A6676" s="8" t="s">
        <v>13310</v>
      </c>
      <c r="B6676" s="8" t="s">
        <v>60279</v>
      </c>
      <c r="C6676" s="8" t="s">
        <v>13311</v>
      </c>
      <c r="D6676" s="8"/>
      <c r="E6676" s="6"/>
      <c r="F6676" s="6"/>
    </row>
    <row r="6677" spans="1:6" x14ac:dyDescent="0.3">
      <c r="A6677" s="8" t="s">
        <v>13312</v>
      </c>
      <c r="B6677" s="8" t="s">
        <v>60280</v>
      </c>
      <c r="C6677" s="8" t="s">
        <v>13313</v>
      </c>
      <c r="D6677" s="8"/>
      <c r="E6677" s="6"/>
      <c r="F6677" s="6"/>
    </row>
    <row r="6678" spans="1:6" x14ac:dyDescent="0.3">
      <c r="A6678" s="8" t="s">
        <v>13314</v>
      </c>
      <c r="B6678" s="8" t="s">
        <v>60281</v>
      </c>
      <c r="C6678" s="8" t="s">
        <v>13315</v>
      </c>
      <c r="D6678" s="8"/>
      <c r="E6678" s="6"/>
      <c r="F6678" s="6"/>
    </row>
    <row r="6679" spans="1:6" x14ac:dyDescent="0.3">
      <c r="A6679" s="8" t="s">
        <v>13316</v>
      </c>
      <c r="B6679" s="8" t="s">
        <v>60282</v>
      </c>
      <c r="C6679" s="8" t="s">
        <v>13317</v>
      </c>
      <c r="D6679" s="8"/>
      <c r="E6679" s="6"/>
      <c r="F6679" s="6"/>
    </row>
    <row r="6680" spans="1:6" x14ac:dyDescent="0.3">
      <c r="A6680" s="8" t="s">
        <v>13318</v>
      </c>
      <c r="B6680" s="8" t="s">
        <v>60283</v>
      </c>
      <c r="C6680" s="8" t="s">
        <v>13319</v>
      </c>
      <c r="D6680" s="8"/>
      <c r="E6680" s="6"/>
      <c r="F6680" s="6"/>
    </row>
    <row r="6681" spans="1:6" x14ac:dyDescent="0.3">
      <c r="A6681" s="8" t="s">
        <v>13320</v>
      </c>
      <c r="B6681" s="8" t="s">
        <v>60284</v>
      </c>
      <c r="C6681" s="8" t="s">
        <v>13321</v>
      </c>
      <c r="D6681" s="8"/>
      <c r="E6681" s="6"/>
      <c r="F6681" s="6"/>
    </row>
    <row r="6682" spans="1:6" x14ac:dyDescent="0.3">
      <c r="A6682" s="8" t="s">
        <v>13322</v>
      </c>
      <c r="B6682" s="8" t="s">
        <v>60285</v>
      </c>
      <c r="C6682" s="8" t="s">
        <v>13323</v>
      </c>
      <c r="D6682" s="8"/>
      <c r="E6682" s="6"/>
      <c r="F6682" s="6"/>
    </row>
    <row r="6683" spans="1:6" x14ac:dyDescent="0.3">
      <c r="A6683" s="8" t="s">
        <v>13324</v>
      </c>
      <c r="B6683" s="8" t="s">
        <v>60286</v>
      </c>
      <c r="C6683" s="8" t="s">
        <v>13325</v>
      </c>
      <c r="D6683" s="8"/>
      <c r="E6683" s="6"/>
      <c r="F6683" s="6"/>
    </row>
    <row r="6684" spans="1:6" x14ac:dyDescent="0.3">
      <c r="A6684" s="8" t="s">
        <v>13326</v>
      </c>
      <c r="B6684" s="8" t="s">
        <v>60287</v>
      </c>
      <c r="C6684" s="8" t="s">
        <v>13327</v>
      </c>
      <c r="D6684" s="8"/>
      <c r="E6684" s="6"/>
      <c r="F6684" s="6"/>
    </row>
    <row r="6685" spans="1:6" x14ac:dyDescent="0.3">
      <c r="A6685" s="8" t="s">
        <v>13328</v>
      </c>
      <c r="B6685" s="8" t="s">
        <v>60288</v>
      </c>
      <c r="C6685" s="8" t="s">
        <v>13329</v>
      </c>
      <c r="D6685" s="8"/>
      <c r="E6685" s="6"/>
      <c r="F6685" s="6"/>
    </row>
    <row r="6686" spans="1:6" x14ac:dyDescent="0.3">
      <c r="A6686" s="8" t="s">
        <v>13330</v>
      </c>
      <c r="B6686" s="8" t="s">
        <v>60289</v>
      </c>
      <c r="C6686" s="8" t="s">
        <v>13331</v>
      </c>
      <c r="D6686" s="8"/>
      <c r="E6686" s="6"/>
      <c r="F6686" s="6"/>
    </row>
    <row r="6687" spans="1:6" x14ac:dyDescent="0.3">
      <c r="A6687" s="8" t="s">
        <v>13332</v>
      </c>
      <c r="B6687" s="8" t="s">
        <v>60290</v>
      </c>
      <c r="C6687" s="8" t="s">
        <v>13333</v>
      </c>
      <c r="D6687" s="8"/>
      <c r="E6687" s="6"/>
      <c r="F6687" s="6"/>
    </row>
    <row r="6688" spans="1:6" x14ac:dyDescent="0.3">
      <c r="A6688" s="8" t="s">
        <v>13334</v>
      </c>
      <c r="B6688" s="8" t="s">
        <v>60291</v>
      </c>
      <c r="C6688" s="8" t="s">
        <v>13335</v>
      </c>
      <c r="D6688" s="8"/>
      <c r="E6688" s="6"/>
      <c r="F6688" s="6"/>
    </row>
    <row r="6689" spans="1:6" x14ac:dyDescent="0.3">
      <c r="A6689" s="8" t="s">
        <v>13336</v>
      </c>
      <c r="B6689" s="8" t="s">
        <v>60292</v>
      </c>
      <c r="C6689" s="8" t="s">
        <v>13337</v>
      </c>
      <c r="D6689" s="8"/>
      <c r="E6689" s="6"/>
      <c r="F6689" s="6"/>
    </row>
    <row r="6690" spans="1:6" x14ac:dyDescent="0.3">
      <c r="A6690" s="8" t="s">
        <v>13338</v>
      </c>
      <c r="B6690" s="8" t="s">
        <v>60293</v>
      </c>
      <c r="C6690" s="8" t="s">
        <v>13339</v>
      </c>
      <c r="D6690" s="8"/>
      <c r="E6690" s="6"/>
      <c r="F6690" s="6"/>
    </row>
    <row r="6691" spans="1:6" x14ac:dyDescent="0.3">
      <c r="A6691" s="8" t="s">
        <v>13340</v>
      </c>
      <c r="B6691" s="8" t="s">
        <v>60294</v>
      </c>
      <c r="C6691" s="8" t="s">
        <v>13341</v>
      </c>
      <c r="D6691" s="8"/>
      <c r="E6691" s="6"/>
      <c r="F6691" s="6"/>
    </row>
    <row r="6692" spans="1:6" x14ac:dyDescent="0.3">
      <c r="A6692" s="8" t="s">
        <v>13342</v>
      </c>
      <c r="B6692" s="8" t="s">
        <v>60295</v>
      </c>
      <c r="C6692" s="8" t="s">
        <v>13343</v>
      </c>
      <c r="D6692" s="8"/>
      <c r="E6692" s="6"/>
      <c r="F6692" s="6"/>
    </row>
    <row r="6693" spans="1:6" x14ac:dyDescent="0.3">
      <c r="A6693" s="8" t="s">
        <v>13344</v>
      </c>
      <c r="B6693" s="8" t="s">
        <v>60296</v>
      </c>
      <c r="C6693" s="8" t="s">
        <v>13345</v>
      </c>
      <c r="D6693" s="8"/>
      <c r="E6693" s="6"/>
      <c r="F6693" s="6"/>
    </row>
    <row r="6694" spans="1:6" x14ac:dyDescent="0.3">
      <c r="A6694" s="8" t="s">
        <v>13346</v>
      </c>
      <c r="B6694" s="8" t="s">
        <v>60297</v>
      </c>
      <c r="C6694" s="8" t="s">
        <v>13347</v>
      </c>
      <c r="D6694" s="8"/>
      <c r="E6694" s="6"/>
      <c r="F6694" s="6"/>
    </row>
    <row r="6695" spans="1:6" x14ac:dyDescent="0.3">
      <c r="A6695" s="8" t="s">
        <v>13348</v>
      </c>
      <c r="B6695" s="8" t="s">
        <v>60298</v>
      </c>
      <c r="C6695" s="8" t="s">
        <v>13349</v>
      </c>
      <c r="D6695" s="8"/>
      <c r="E6695" s="6"/>
      <c r="F6695" s="6"/>
    </row>
    <row r="6696" spans="1:6" x14ac:dyDescent="0.3">
      <c r="A6696" s="8" t="s">
        <v>13350</v>
      </c>
      <c r="B6696" s="8" t="s">
        <v>60299</v>
      </c>
      <c r="C6696" s="8" t="s">
        <v>13351</v>
      </c>
      <c r="D6696" s="8"/>
      <c r="E6696" s="6"/>
      <c r="F6696" s="6"/>
    </row>
    <row r="6697" spans="1:6" x14ac:dyDescent="0.3">
      <c r="A6697" s="8" t="s">
        <v>13352</v>
      </c>
      <c r="B6697" s="8" t="s">
        <v>60300</v>
      </c>
      <c r="C6697" s="8" t="s">
        <v>13353</v>
      </c>
      <c r="D6697" s="8"/>
      <c r="E6697" s="6"/>
      <c r="F6697" s="6"/>
    </row>
    <row r="6698" spans="1:6" x14ac:dyDescent="0.3">
      <c r="A6698" s="8" t="s">
        <v>13354</v>
      </c>
      <c r="B6698" s="8" t="s">
        <v>60301</v>
      </c>
      <c r="C6698" s="8" t="s">
        <v>13355</v>
      </c>
      <c r="D6698" s="8"/>
      <c r="E6698" s="6"/>
      <c r="F6698" s="6"/>
    </row>
    <row r="6699" spans="1:6" x14ac:dyDescent="0.3">
      <c r="A6699" s="8" t="s">
        <v>13356</v>
      </c>
      <c r="B6699" s="8" t="s">
        <v>60302</v>
      </c>
      <c r="C6699" s="8" t="s">
        <v>13357</v>
      </c>
      <c r="D6699" s="8"/>
      <c r="E6699" s="6"/>
      <c r="F6699" s="6"/>
    </row>
    <row r="6700" spans="1:6" x14ac:dyDescent="0.3">
      <c r="A6700" s="8" t="s">
        <v>13358</v>
      </c>
      <c r="B6700" s="8" t="s">
        <v>60303</v>
      </c>
      <c r="C6700" s="8" t="s">
        <v>13359</v>
      </c>
      <c r="D6700" s="8"/>
      <c r="E6700" s="6"/>
      <c r="F6700" s="6"/>
    </row>
    <row r="6701" spans="1:6" x14ac:dyDescent="0.3">
      <c r="A6701" s="8" t="s">
        <v>13360</v>
      </c>
      <c r="B6701" s="8" t="s">
        <v>60304</v>
      </c>
      <c r="C6701" s="8" t="s">
        <v>13361</v>
      </c>
      <c r="D6701" s="8"/>
      <c r="E6701" s="6"/>
      <c r="F6701" s="6"/>
    </row>
    <row r="6702" spans="1:6" x14ac:dyDescent="0.3">
      <c r="A6702" s="8" t="s">
        <v>13362</v>
      </c>
      <c r="B6702" s="8" t="s">
        <v>60305</v>
      </c>
      <c r="C6702" s="8" t="s">
        <v>13363</v>
      </c>
      <c r="D6702" s="8"/>
      <c r="E6702" s="6"/>
      <c r="F6702" s="6"/>
    </row>
    <row r="6703" spans="1:6" x14ac:dyDescent="0.3">
      <c r="A6703" s="8" t="s">
        <v>13364</v>
      </c>
      <c r="B6703" s="8" t="s">
        <v>60306</v>
      </c>
      <c r="C6703" s="8" t="s">
        <v>13365</v>
      </c>
      <c r="D6703" s="8"/>
      <c r="E6703" s="6"/>
      <c r="F6703" s="6"/>
    </row>
    <row r="6704" spans="1:6" x14ac:dyDescent="0.3">
      <c r="A6704" s="8" t="s">
        <v>13366</v>
      </c>
      <c r="B6704" s="8" t="s">
        <v>60307</v>
      </c>
      <c r="C6704" s="8" t="s">
        <v>13367</v>
      </c>
      <c r="D6704" s="8"/>
      <c r="E6704" s="6"/>
      <c r="F6704" s="6"/>
    </row>
    <row r="6705" spans="1:6" x14ac:dyDescent="0.3">
      <c r="A6705" s="8" t="s">
        <v>13368</v>
      </c>
      <c r="B6705" s="8" t="s">
        <v>60308</v>
      </c>
      <c r="C6705" s="8" t="s">
        <v>13369</v>
      </c>
      <c r="D6705" s="8"/>
      <c r="E6705" s="6"/>
      <c r="F6705" s="6"/>
    </row>
    <row r="6706" spans="1:6" x14ac:dyDescent="0.3">
      <c r="A6706" s="8" t="s">
        <v>13370</v>
      </c>
      <c r="B6706" s="8" t="s">
        <v>60309</v>
      </c>
      <c r="C6706" s="8" t="s">
        <v>13371</v>
      </c>
      <c r="D6706" s="8"/>
      <c r="E6706" s="6"/>
      <c r="F6706" s="6"/>
    </row>
    <row r="6707" spans="1:6" x14ac:dyDescent="0.3">
      <c r="A6707" s="8" t="s">
        <v>13372</v>
      </c>
      <c r="B6707" s="8" t="s">
        <v>60310</v>
      </c>
      <c r="C6707" s="8" t="s">
        <v>13373</v>
      </c>
      <c r="D6707" s="8"/>
      <c r="E6707" s="6"/>
      <c r="F6707" s="6"/>
    </row>
    <row r="6708" spans="1:6" x14ac:dyDescent="0.3">
      <c r="A6708" s="8" t="s">
        <v>13374</v>
      </c>
      <c r="B6708" s="8" t="s">
        <v>60311</v>
      </c>
      <c r="C6708" s="8" t="s">
        <v>13375</v>
      </c>
      <c r="D6708" s="8"/>
      <c r="E6708" s="6"/>
      <c r="F6708" s="6"/>
    </row>
    <row r="6709" spans="1:6" x14ac:dyDescent="0.3">
      <c r="A6709" s="8" t="s">
        <v>13376</v>
      </c>
      <c r="B6709" s="8" t="s">
        <v>60312</v>
      </c>
      <c r="C6709" s="8" t="s">
        <v>13377</v>
      </c>
      <c r="D6709" s="8"/>
      <c r="E6709" s="6"/>
      <c r="F6709" s="6"/>
    </row>
    <row r="6710" spans="1:6" x14ac:dyDescent="0.3">
      <c r="A6710" s="8" t="s">
        <v>13378</v>
      </c>
      <c r="B6710" s="8" t="s">
        <v>60313</v>
      </c>
      <c r="C6710" s="8" t="s">
        <v>13379</v>
      </c>
      <c r="D6710" s="8"/>
      <c r="E6710" s="6"/>
      <c r="F6710" s="6"/>
    </row>
    <row r="6711" spans="1:6" x14ac:dyDescent="0.3">
      <c r="A6711" s="8" t="s">
        <v>13380</v>
      </c>
      <c r="B6711" s="8" t="s">
        <v>60314</v>
      </c>
      <c r="C6711" s="8" t="s">
        <v>13381</v>
      </c>
      <c r="D6711" s="8"/>
      <c r="E6711" s="6"/>
      <c r="F6711" s="6"/>
    </row>
    <row r="6712" spans="1:6" x14ac:dyDescent="0.3">
      <c r="A6712" s="8" t="s">
        <v>13382</v>
      </c>
      <c r="B6712" s="8" t="s">
        <v>60315</v>
      </c>
      <c r="C6712" s="8" t="s">
        <v>13383</v>
      </c>
      <c r="D6712" s="8"/>
      <c r="E6712" s="6"/>
      <c r="F6712" s="6"/>
    </row>
    <row r="6713" spans="1:6" x14ac:dyDescent="0.3">
      <c r="A6713" s="8" t="s">
        <v>13384</v>
      </c>
      <c r="B6713" s="8" t="s">
        <v>60316</v>
      </c>
      <c r="C6713" s="8" t="s">
        <v>13385</v>
      </c>
      <c r="D6713" s="8"/>
      <c r="E6713" s="6"/>
      <c r="F6713" s="6"/>
    </row>
    <row r="6714" spans="1:6" x14ac:dyDescent="0.3">
      <c r="A6714" s="8" t="s">
        <v>13386</v>
      </c>
      <c r="B6714" s="8" t="s">
        <v>60317</v>
      </c>
      <c r="C6714" s="8" t="s">
        <v>13387</v>
      </c>
      <c r="D6714" s="8"/>
      <c r="E6714" s="6"/>
      <c r="F6714" s="6"/>
    </row>
    <row r="6715" spans="1:6" x14ac:dyDescent="0.3">
      <c r="A6715" s="8" t="s">
        <v>13388</v>
      </c>
      <c r="B6715" s="8" t="s">
        <v>60318</v>
      </c>
      <c r="C6715" s="8" t="s">
        <v>13389</v>
      </c>
      <c r="D6715" s="8"/>
      <c r="E6715" s="6"/>
      <c r="F6715" s="6"/>
    </row>
    <row r="6716" spans="1:6" x14ac:dyDescent="0.3">
      <c r="A6716" s="8" t="s">
        <v>13390</v>
      </c>
      <c r="B6716" s="8" t="s">
        <v>60319</v>
      </c>
      <c r="C6716" s="8" t="s">
        <v>13391</v>
      </c>
      <c r="D6716" s="8"/>
      <c r="E6716" s="6"/>
      <c r="F6716" s="6"/>
    </row>
    <row r="6717" spans="1:6" x14ac:dyDescent="0.3">
      <c r="A6717" s="8" t="s">
        <v>13392</v>
      </c>
      <c r="B6717" s="8" t="s">
        <v>60320</v>
      </c>
      <c r="C6717" s="8" t="s">
        <v>13393</v>
      </c>
      <c r="D6717" s="8"/>
      <c r="E6717" s="6"/>
      <c r="F6717" s="6"/>
    </row>
    <row r="6718" spans="1:6" x14ac:dyDescent="0.3">
      <c r="A6718" s="8" t="s">
        <v>13394</v>
      </c>
      <c r="B6718" s="8" t="s">
        <v>60321</v>
      </c>
      <c r="C6718" s="8" t="s">
        <v>13395</v>
      </c>
      <c r="D6718" s="8"/>
      <c r="E6718" s="6"/>
      <c r="F6718" s="6"/>
    </row>
    <row r="6719" spans="1:6" x14ac:dyDescent="0.3">
      <c r="A6719" s="8" t="s">
        <v>13396</v>
      </c>
      <c r="B6719" s="8" t="s">
        <v>60322</v>
      </c>
      <c r="C6719" s="8" t="s">
        <v>13397</v>
      </c>
      <c r="D6719" s="8"/>
      <c r="E6719" s="6"/>
      <c r="F6719" s="6"/>
    </row>
    <row r="6720" spans="1:6" x14ac:dyDescent="0.3">
      <c r="A6720" s="8" t="s">
        <v>13398</v>
      </c>
      <c r="B6720" s="8" t="s">
        <v>60323</v>
      </c>
      <c r="C6720" s="8" t="s">
        <v>13399</v>
      </c>
      <c r="D6720" s="8"/>
      <c r="E6720" s="6"/>
      <c r="F6720" s="6"/>
    </row>
    <row r="6721" spans="1:6" x14ac:dyDescent="0.3">
      <c r="A6721" s="8" t="s">
        <v>13400</v>
      </c>
      <c r="B6721" s="8" t="s">
        <v>60324</v>
      </c>
      <c r="C6721" s="8" t="s">
        <v>13401</v>
      </c>
      <c r="D6721" s="8"/>
      <c r="E6721" s="6"/>
      <c r="F6721" s="6"/>
    </row>
    <row r="6722" spans="1:6" x14ac:dyDescent="0.3">
      <c r="A6722" s="8" t="s">
        <v>13402</v>
      </c>
      <c r="B6722" s="8" t="s">
        <v>60325</v>
      </c>
      <c r="C6722" s="8" t="s">
        <v>13403</v>
      </c>
      <c r="D6722" s="8"/>
      <c r="E6722" s="6"/>
      <c r="F6722" s="6"/>
    </row>
    <row r="6723" spans="1:6" x14ac:dyDescent="0.3">
      <c r="A6723" s="8" t="s">
        <v>13404</v>
      </c>
      <c r="B6723" s="8" t="s">
        <v>60326</v>
      </c>
      <c r="C6723" s="8" t="s">
        <v>13405</v>
      </c>
      <c r="D6723" s="8"/>
      <c r="E6723" s="6"/>
      <c r="F6723" s="6"/>
    </row>
    <row r="6724" spans="1:6" x14ac:dyDescent="0.3">
      <c r="A6724" s="8" t="s">
        <v>13406</v>
      </c>
      <c r="B6724" s="8" t="s">
        <v>60327</v>
      </c>
      <c r="C6724" s="8" t="s">
        <v>13407</v>
      </c>
      <c r="D6724" s="8"/>
      <c r="E6724" s="6"/>
      <c r="F6724" s="6"/>
    </row>
    <row r="6725" spans="1:6" x14ac:dyDescent="0.3">
      <c r="A6725" s="8" t="s">
        <v>13408</v>
      </c>
      <c r="B6725" s="8" t="s">
        <v>60328</v>
      </c>
      <c r="C6725" s="8" t="s">
        <v>13409</v>
      </c>
      <c r="D6725" s="8"/>
      <c r="E6725" s="6"/>
      <c r="F6725" s="6"/>
    </row>
    <row r="6726" spans="1:6" x14ac:dyDescent="0.3">
      <c r="A6726" s="8" t="s">
        <v>13410</v>
      </c>
      <c r="B6726" s="8" t="s">
        <v>60329</v>
      </c>
      <c r="C6726" s="8" t="s">
        <v>13411</v>
      </c>
      <c r="D6726" s="8"/>
      <c r="E6726" s="6"/>
      <c r="F6726" s="6"/>
    </row>
    <row r="6727" spans="1:6" x14ac:dyDescent="0.3">
      <c r="A6727" s="8" t="s">
        <v>13412</v>
      </c>
      <c r="B6727" s="8" t="s">
        <v>60330</v>
      </c>
      <c r="C6727" s="8" t="s">
        <v>13413</v>
      </c>
      <c r="D6727" s="8"/>
      <c r="E6727" s="6"/>
      <c r="F6727" s="6"/>
    </row>
    <row r="6728" spans="1:6" x14ac:dyDescent="0.3">
      <c r="A6728" s="8" t="s">
        <v>13414</v>
      </c>
      <c r="B6728" s="8" t="s">
        <v>60331</v>
      </c>
      <c r="C6728" s="8" t="s">
        <v>13415</v>
      </c>
      <c r="D6728" s="8"/>
      <c r="E6728" s="6"/>
      <c r="F6728" s="6"/>
    </row>
    <row r="6729" spans="1:6" x14ac:dyDescent="0.3">
      <c r="A6729" s="8" t="s">
        <v>13416</v>
      </c>
      <c r="B6729" s="8" t="s">
        <v>60332</v>
      </c>
      <c r="C6729" s="8" t="s">
        <v>13417</v>
      </c>
      <c r="D6729" s="8"/>
      <c r="E6729" s="6"/>
      <c r="F6729" s="6"/>
    </row>
    <row r="6730" spans="1:6" x14ac:dyDescent="0.3">
      <c r="A6730" s="8" t="s">
        <v>13418</v>
      </c>
      <c r="B6730" s="8" t="s">
        <v>60333</v>
      </c>
      <c r="C6730" s="8" t="s">
        <v>13419</v>
      </c>
      <c r="D6730" s="8"/>
      <c r="E6730" s="6"/>
      <c r="F6730" s="6"/>
    </row>
    <row r="6731" spans="1:6" x14ac:dyDescent="0.3">
      <c r="A6731" s="8" t="s">
        <v>13420</v>
      </c>
      <c r="B6731" s="8" t="s">
        <v>60334</v>
      </c>
      <c r="C6731" s="8" t="s">
        <v>13421</v>
      </c>
      <c r="D6731" s="8"/>
      <c r="E6731" s="6"/>
      <c r="F6731" s="6"/>
    </row>
    <row r="6732" spans="1:6" x14ac:dyDescent="0.3">
      <c r="A6732" s="8" t="s">
        <v>13422</v>
      </c>
      <c r="B6732" s="8" t="s">
        <v>60335</v>
      </c>
      <c r="C6732" s="8" t="s">
        <v>13423</v>
      </c>
      <c r="D6732" s="8"/>
      <c r="E6732" s="6"/>
      <c r="F6732" s="6"/>
    </row>
    <row r="6733" spans="1:6" x14ac:dyDescent="0.3">
      <c r="A6733" s="8" t="s">
        <v>13424</v>
      </c>
      <c r="B6733" s="8" t="s">
        <v>60336</v>
      </c>
      <c r="C6733" s="8" t="s">
        <v>13425</v>
      </c>
      <c r="D6733" s="8"/>
      <c r="E6733" s="6"/>
      <c r="F6733" s="6"/>
    </row>
    <row r="6734" spans="1:6" x14ac:dyDescent="0.3">
      <c r="A6734" s="8" t="s">
        <v>13426</v>
      </c>
      <c r="B6734" s="8" t="s">
        <v>60337</v>
      </c>
      <c r="C6734" s="8" t="s">
        <v>13427</v>
      </c>
      <c r="D6734" s="8"/>
      <c r="E6734" s="6"/>
      <c r="F6734" s="6"/>
    </row>
    <row r="6735" spans="1:6" x14ac:dyDescent="0.3">
      <c r="A6735" s="8" t="s">
        <v>13428</v>
      </c>
      <c r="B6735" s="8" t="s">
        <v>60338</v>
      </c>
      <c r="C6735" s="8" t="s">
        <v>13429</v>
      </c>
      <c r="D6735" s="8"/>
      <c r="E6735" s="6"/>
      <c r="F6735" s="6"/>
    </row>
    <row r="6736" spans="1:6" x14ac:dyDescent="0.3">
      <c r="A6736" s="8" t="s">
        <v>13430</v>
      </c>
      <c r="B6736" s="8" t="s">
        <v>60339</v>
      </c>
      <c r="C6736" s="8" t="s">
        <v>13431</v>
      </c>
      <c r="D6736" s="8"/>
      <c r="E6736" s="6"/>
      <c r="F6736" s="6"/>
    </row>
    <row r="6737" spans="1:6" x14ac:dyDescent="0.3">
      <c r="A6737" s="8" t="s">
        <v>13432</v>
      </c>
      <c r="B6737" s="8" t="s">
        <v>60340</v>
      </c>
      <c r="C6737" s="8" t="s">
        <v>13433</v>
      </c>
      <c r="D6737" s="8"/>
      <c r="E6737" s="6"/>
      <c r="F6737" s="6"/>
    </row>
    <row r="6738" spans="1:6" x14ac:dyDescent="0.3">
      <c r="A6738" s="8" t="s">
        <v>13434</v>
      </c>
      <c r="B6738" s="8" t="s">
        <v>60341</v>
      </c>
      <c r="C6738" s="8" t="s">
        <v>13435</v>
      </c>
      <c r="D6738" s="8"/>
      <c r="E6738" s="6"/>
      <c r="F6738" s="6"/>
    </row>
    <row r="6739" spans="1:6" x14ac:dyDescent="0.3">
      <c r="A6739" s="8" t="s">
        <v>13436</v>
      </c>
      <c r="B6739" s="8" t="s">
        <v>60342</v>
      </c>
      <c r="C6739" s="8" t="s">
        <v>13437</v>
      </c>
      <c r="D6739" s="8"/>
      <c r="E6739" s="6"/>
      <c r="F6739" s="6"/>
    </row>
    <row r="6740" spans="1:6" x14ac:dyDescent="0.3">
      <c r="A6740" s="8" t="s">
        <v>13438</v>
      </c>
      <c r="B6740" s="8" t="s">
        <v>60343</v>
      </c>
      <c r="C6740" s="8" t="s">
        <v>13439</v>
      </c>
      <c r="D6740" s="8"/>
      <c r="E6740" s="6"/>
      <c r="F6740" s="6"/>
    </row>
    <row r="6741" spans="1:6" x14ac:dyDescent="0.3">
      <c r="A6741" s="8" t="s">
        <v>13440</v>
      </c>
      <c r="B6741" s="8" t="s">
        <v>60344</v>
      </c>
      <c r="C6741" s="8" t="s">
        <v>13441</v>
      </c>
      <c r="D6741" s="8"/>
      <c r="E6741" s="6"/>
      <c r="F6741" s="6"/>
    </row>
    <row r="6742" spans="1:6" ht="28.8" x14ac:dyDescent="0.3">
      <c r="A6742" s="8" t="s">
        <v>13442</v>
      </c>
      <c r="B6742" s="8" t="s">
        <v>60345</v>
      </c>
      <c r="C6742" s="8" t="s">
        <v>13443</v>
      </c>
      <c r="D6742" s="8"/>
      <c r="E6742" s="6"/>
      <c r="F6742" s="6"/>
    </row>
    <row r="6743" spans="1:6" x14ac:dyDescent="0.3">
      <c r="A6743" s="8" t="s">
        <v>13444</v>
      </c>
      <c r="B6743" s="8" t="s">
        <v>60346</v>
      </c>
      <c r="C6743" s="8" t="s">
        <v>13445</v>
      </c>
      <c r="D6743" s="8"/>
      <c r="E6743" s="6"/>
      <c r="F6743" s="6"/>
    </row>
    <row r="6744" spans="1:6" x14ac:dyDescent="0.3">
      <c r="A6744" s="8" t="s">
        <v>13446</v>
      </c>
      <c r="B6744" s="8" t="s">
        <v>60347</v>
      </c>
      <c r="C6744" s="8" t="s">
        <v>13447</v>
      </c>
      <c r="D6744" s="8"/>
      <c r="E6744" s="6"/>
      <c r="F6744" s="6"/>
    </row>
    <row r="6745" spans="1:6" x14ac:dyDescent="0.3">
      <c r="A6745" s="8" t="s">
        <v>13448</v>
      </c>
      <c r="B6745" s="8" t="s">
        <v>60348</v>
      </c>
      <c r="C6745" s="8" t="s">
        <v>13449</v>
      </c>
      <c r="D6745" s="8"/>
      <c r="E6745" s="6"/>
      <c r="F6745" s="6"/>
    </row>
    <row r="6746" spans="1:6" x14ac:dyDescent="0.3">
      <c r="A6746" s="8" t="s">
        <v>13450</v>
      </c>
      <c r="B6746" s="8" t="s">
        <v>60349</v>
      </c>
      <c r="C6746" s="8" t="s">
        <v>13451</v>
      </c>
      <c r="D6746" s="8"/>
      <c r="E6746" s="6"/>
      <c r="F6746" s="6"/>
    </row>
    <row r="6747" spans="1:6" x14ac:dyDescent="0.3">
      <c r="A6747" s="8" t="s">
        <v>13452</v>
      </c>
      <c r="B6747" s="8" t="s">
        <v>60350</v>
      </c>
      <c r="C6747" s="8" t="s">
        <v>13453</v>
      </c>
      <c r="D6747" s="8"/>
      <c r="E6747" s="6"/>
      <c r="F6747" s="6"/>
    </row>
    <row r="6748" spans="1:6" x14ac:dyDescent="0.3">
      <c r="A6748" s="8" t="s">
        <v>13454</v>
      </c>
      <c r="B6748" s="8" t="s">
        <v>60351</v>
      </c>
      <c r="C6748" s="8" t="s">
        <v>13455</v>
      </c>
      <c r="D6748" s="8"/>
      <c r="E6748" s="6"/>
      <c r="F6748" s="6"/>
    </row>
    <row r="6749" spans="1:6" x14ac:dyDescent="0.3">
      <c r="A6749" s="8" t="s">
        <v>13456</v>
      </c>
      <c r="B6749" s="8" t="s">
        <v>60352</v>
      </c>
      <c r="C6749" s="8" t="s">
        <v>13457</v>
      </c>
      <c r="D6749" s="8"/>
      <c r="E6749" s="6"/>
      <c r="F6749" s="6"/>
    </row>
    <row r="6750" spans="1:6" x14ac:dyDescent="0.3">
      <c r="A6750" s="8" t="s">
        <v>13458</v>
      </c>
      <c r="B6750" s="8" t="s">
        <v>60353</v>
      </c>
      <c r="C6750" s="8" t="s">
        <v>13459</v>
      </c>
      <c r="D6750" s="8"/>
      <c r="E6750" s="6"/>
      <c r="F6750" s="6"/>
    </row>
    <row r="6751" spans="1:6" x14ac:dyDescent="0.3">
      <c r="A6751" s="8" t="s">
        <v>13460</v>
      </c>
      <c r="B6751" s="8" t="s">
        <v>60354</v>
      </c>
      <c r="C6751" s="8" t="s">
        <v>13461</v>
      </c>
      <c r="D6751" s="8"/>
      <c r="E6751" s="6"/>
      <c r="F6751" s="6"/>
    </row>
    <row r="6752" spans="1:6" x14ac:dyDescent="0.3">
      <c r="A6752" s="8" t="s">
        <v>13462</v>
      </c>
      <c r="B6752" s="8" t="s">
        <v>60355</v>
      </c>
      <c r="C6752" s="8" t="s">
        <v>13463</v>
      </c>
      <c r="D6752" s="8"/>
      <c r="E6752" s="6"/>
      <c r="F6752" s="6"/>
    </row>
    <row r="6753" spans="1:6" x14ac:dyDescent="0.3">
      <c r="A6753" s="8" t="s">
        <v>13464</v>
      </c>
      <c r="B6753" s="8" t="s">
        <v>60356</v>
      </c>
      <c r="C6753" s="8" t="s">
        <v>13465</v>
      </c>
      <c r="D6753" s="8"/>
      <c r="E6753" s="6"/>
      <c r="F6753" s="6"/>
    </row>
    <row r="6754" spans="1:6" x14ac:dyDescent="0.3">
      <c r="A6754" s="8" t="s">
        <v>13466</v>
      </c>
      <c r="B6754" s="8" t="s">
        <v>60357</v>
      </c>
      <c r="C6754" s="8" t="s">
        <v>13467</v>
      </c>
      <c r="D6754" s="8"/>
      <c r="E6754" s="6"/>
      <c r="F6754" s="6"/>
    </row>
    <row r="6755" spans="1:6" x14ac:dyDescent="0.3">
      <c r="A6755" s="8" t="s">
        <v>13468</v>
      </c>
      <c r="B6755" s="8" t="s">
        <v>60358</v>
      </c>
      <c r="C6755" s="8" t="s">
        <v>13469</v>
      </c>
      <c r="D6755" s="8"/>
      <c r="E6755" s="6"/>
      <c r="F6755" s="6"/>
    </row>
    <row r="6756" spans="1:6" x14ac:dyDescent="0.3">
      <c r="A6756" s="8" t="s">
        <v>13470</v>
      </c>
      <c r="B6756" s="8" t="s">
        <v>60359</v>
      </c>
      <c r="C6756" s="8" t="s">
        <v>13471</v>
      </c>
      <c r="D6756" s="8"/>
      <c r="E6756" s="6"/>
      <c r="F6756" s="6"/>
    </row>
    <row r="6757" spans="1:6" x14ac:dyDescent="0.3">
      <c r="A6757" s="8" t="s">
        <v>13472</v>
      </c>
      <c r="B6757" s="8" t="s">
        <v>60360</v>
      </c>
      <c r="C6757" s="8" t="s">
        <v>13473</v>
      </c>
      <c r="D6757" s="8"/>
      <c r="E6757" s="6"/>
      <c r="F6757" s="6"/>
    </row>
    <row r="6758" spans="1:6" x14ac:dyDescent="0.3">
      <c r="A6758" s="8" t="s">
        <v>13474</v>
      </c>
      <c r="B6758" s="8" t="s">
        <v>60361</v>
      </c>
      <c r="C6758" s="8" t="s">
        <v>13475</v>
      </c>
      <c r="D6758" s="8"/>
      <c r="E6758" s="6"/>
      <c r="F6758" s="6"/>
    </row>
    <row r="6759" spans="1:6" x14ac:dyDescent="0.3">
      <c r="A6759" s="8" t="s">
        <v>13476</v>
      </c>
      <c r="B6759" s="8" t="s">
        <v>60362</v>
      </c>
      <c r="C6759" s="8" t="s">
        <v>13477</v>
      </c>
      <c r="D6759" s="8"/>
      <c r="E6759" s="6"/>
      <c r="F6759" s="6"/>
    </row>
    <row r="6760" spans="1:6" x14ac:dyDescent="0.3">
      <c r="A6760" s="8" t="s">
        <v>13478</v>
      </c>
      <c r="B6760" s="8" t="s">
        <v>60363</v>
      </c>
      <c r="C6760" s="8" t="s">
        <v>13479</v>
      </c>
      <c r="D6760" s="8"/>
      <c r="E6760" s="6"/>
      <c r="F6760" s="6"/>
    </row>
    <row r="6761" spans="1:6" x14ac:dyDescent="0.3">
      <c r="A6761" s="8" t="s">
        <v>13480</v>
      </c>
      <c r="B6761" s="8" t="s">
        <v>60364</v>
      </c>
      <c r="C6761" s="8" t="s">
        <v>13481</v>
      </c>
      <c r="D6761" s="8"/>
      <c r="E6761" s="6"/>
      <c r="F6761" s="6"/>
    </row>
    <row r="6762" spans="1:6" x14ac:dyDescent="0.3">
      <c r="A6762" s="8" t="s">
        <v>13482</v>
      </c>
      <c r="B6762" s="8" t="s">
        <v>60365</v>
      </c>
      <c r="C6762" s="8" t="s">
        <v>13483</v>
      </c>
      <c r="D6762" s="8"/>
      <c r="E6762" s="6"/>
      <c r="F6762" s="6"/>
    </row>
    <row r="6763" spans="1:6" x14ac:dyDescent="0.3">
      <c r="A6763" s="8" t="s">
        <v>13484</v>
      </c>
      <c r="B6763" s="8" t="s">
        <v>60366</v>
      </c>
      <c r="C6763" s="8" t="s">
        <v>13485</v>
      </c>
      <c r="D6763" s="8"/>
      <c r="E6763" s="6"/>
      <c r="F6763" s="6"/>
    </row>
    <row r="6764" spans="1:6" x14ac:dyDescent="0.3">
      <c r="A6764" s="8" t="s">
        <v>13486</v>
      </c>
      <c r="B6764" s="8" t="s">
        <v>60367</v>
      </c>
      <c r="C6764" s="8" t="s">
        <v>13487</v>
      </c>
      <c r="D6764" s="8"/>
      <c r="E6764" s="6"/>
      <c r="F6764" s="6"/>
    </row>
    <row r="6765" spans="1:6" x14ac:dyDescent="0.3">
      <c r="A6765" s="8" t="s">
        <v>13488</v>
      </c>
      <c r="B6765" s="8" t="s">
        <v>60368</v>
      </c>
      <c r="C6765" s="8" t="s">
        <v>13489</v>
      </c>
      <c r="D6765" s="8"/>
      <c r="E6765" s="6"/>
      <c r="F6765" s="6"/>
    </row>
    <row r="6766" spans="1:6" x14ac:dyDescent="0.3">
      <c r="A6766" s="8" t="s">
        <v>13490</v>
      </c>
      <c r="B6766" s="8" t="s">
        <v>60369</v>
      </c>
      <c r="C6766" s="8" t="s">
        <v>13491</v>
      </c>
      <c r="D6766" s="8"/>
      <c r="E6766" s="6"/>
      <c r="F6766" s="6"/>
    </row>
    <row r="6767" spans="1:6" x14ac:dyDescent="0.3">
      <c r="A6767" s="8" t="s">
        <v>13492</v>
      </c>
      <c r="B6767" s="8" t="s">
        <v>60370</v>
      </c>
      <c r="C6767" s="8" t="s">
        <v>13493</v>
      </c>
      <c r="D6767" s="8"/>
      <c r="E6767" s="6"/>
      <c r="F6767" s="6"/>
    </row>
    <row r="6768" spans="1:6" x14ac:dyDescent="0.3">
      <c r="A6768" s="8" t="s">
        <v>13494</v>
      </c>
      <c r="B6768" s="8" t="s">
        <v>60371</v>
      </c>
      <c r="C6768" s="8" t="s">
        <v>13495</v>
      </c>
      <c r="D6768" s="8"/>
      <c r="E6768" s="6"/>
      <c r="F6768" s="6"/>
    </row>
    <row r="6769" spans="1:6" x14ac:dyDescent="0.3">
      <c r="A6769" s="8" t="s">
        <v>13496</v>
      </c>
      <c r="B6769" s="8" t="s">
        <v>60372</v>
      </c>
      <c r="C6769" s="8" t="s">
        <v>13497</v>
      </c>
      <c r="D6769" s="8"/>
      <c r="E6769" s="6"/>
      <c r="F6769" s="6"/>
    </row>
    <row r="6770" spans="1:6" x14ac:dyDescent="0.3">
      <c r="A6770" s="8" t="s">
        <v>13498</v>
      </c>
      <c r="B6770" s="8" t="s">
        <v>60373</v>
      </c>
      <c r="C6770" s="8" t="s">
        <v>13499</v>
      </c>
      <c r="D6770" s="8"/>
      <c r="E6770" s="6"/>
      <c r="F6770" s="6"/>
    </row>
    <row r="6771" spans="1:6" x14ac:dyDescent="0.3">
      <c r="A6771" s="8" t="s">
        <v>13500</v>
      </c>
      <c r="B6771" s="8" t="s">
        <v>60374</v>
      </c>
      <c r="C6771" s="8" t="s">
        <v>13501</v>
      </c>
      <c r="D6771" s="8"/>
      <c r="E6771" s="6"/>
      <c r="F6771" s="6"/>
    </row>
    <row r="6772" spans="1:6" x14ac:dyDescent="0.3">
      <c r="A6772" s="8" t="s">
        <v>13502</v>
      </c>
      <c r="B6772" s="8" t="s">
        <v>60375</v>
      </c>
      <c r="C6772" s="8" t="s">
        <v>13503</v>
      </c>
      <c r="D6772" s="8"/>
      <c r="E6772" s="6"/>
      <c r="F6772" s="6"/>
    </row>
    <row r="6773" spans="1:6" x14ac:dyDescent="0.3">
      <c r="A6773" s="8" t="s">
        <v>13504</v>
      </c>
      <c r="B6773" s="8" t="s">
        <v>60376</v>
      </c>
      <c r="C6773" s="8" t="s">
        <v>13505</v>
      </c>
      <c r="D6773" s="8"/>
      <c r="E6773" s="6"/>
      <c r="F6773" s="6"/>
    </row>
    <row r="6774" spans="1:6" x14ac:dyDescent="0.3">
      <c r="A6774" s="8" t="s">
        <v>13506</v>
      </c>
      <c r="B6774" s="8" t="s">
        <v>60377</v>
      </c>
      <c r="C6774" s="8" t="s">
        <v>13507</v>
      </c>
      <c r="D6774" s="8"/>
      <c r="E6774" s="6"/>
      <c r="F6774" s="6"/>
    </row>
    <row r="6775" spans="1:6" x14ac:dyDescent="0.3">
      <c r="A6775" s="8" t="s">
        <v>13508</v>
      </c>
      <c r="B6775" s="8" t="s">
        <v>60378</v>
      </c>
      <c r="C6775" s="8" t="s">
        <v>13509</v>
      </c>
      <c r="D6775" s="8"/>
      <c r="E6775" s="6"/>
      <c r="F6775" s="6"/>
    </row>
    <row r="6776" spans="1:6" x14ac:dyDescent="0.3">
      <c r="A6776" s="8" t="s">
        <v>13510</v>
      </c>
      <c r="B6776" s="8" t="s">
        <v>60379</v>
      </c>
      <c r="C6776" s="8" t="s">
        <v>13511</v>
      </c>
      <c r="D6776" s="8"/>
      <c r="E6776" s="6"/>
      <c r="F6776" s="6"/>
    </row>
    <row r="6777" spans="1:6" x14ac:dyDescent="0.3">
      <c r="A6777" s="8" t="s">
        <v>13512</v>
      </c>
      <c r="B6777" s="8" t="s">
        <v>60380</v>
      </c>
      <c r="C6777" s="8" t="s">
        <v>13513</v>
      </c>
      <c r="D6777" s="8"/>
      <c r="E6777" s="6"/>
      <c r="F6777" s="6"/>
    </row>
    <row r="6778" spans="1:6" x14ac:dyDescent="0.3">
      <c r="A6778" s="8" t="s">
        <v>13514</v>
      </c>
      <c r="B6778" s="8" t="s">
        <v>60381</v>
      </c>
      <c r="C6778" s="8" t="s">
        <v>13515</v>
      </c>
      <c r="D6778" s="8"/>
      <c r="E6778" s="6"/>
      <c r="F6778" s="6"/>
    </row>
    <row r="6779" spans="1:6" x14ac:dyDescent="0.3">
      <c r="A6779" s="8" t="s">
        <v>13516</v>
      </c>
      <c r="B6779" s="8" t="s">
        <v>60382</v>
      </c>
      <c r="C6779" s="8" t="s">
        <v>13517</v>
      </c>
      <c r="D6779" s="8"/>
      <c r="E6779" s="6"/>
      <c r="F6779" s="6"/>
    </row>
    <row r="6780" spans="1:6" x14ac:dyDescent="0.3">
      <c r="A6780" s="8" t="s">
        <v>13518</v>
      </c>
      <c r="B6780" s="8" t="s">
        <v>60383</v>
      </c>
      <c r="C6780" s="8" t="s">
        <v>13519</v>
      </c>
      <c r="D6780" s="8"/>
      <c r="E6780" s="6"/>
      <c r="F6780" s="6"/>
    </row>
    <row r="6781" spans="1:6" x14ac:dyDescent="0.3">
      <c r="A6781" s="8" t="s">
        <v>13520</v>
      </c>
      <c r="B6781" s="8" t="s">
        <v>60384</v>
      </c>
      <c r="C6781" s="8" t="s">
        <v>13521</v>
      </c>
      <c r="D6781" s="8"/>
      <c r="E6781" s="6"/>
      <c r="F6781" s="6"/>
    </row>
    <row r="6782" spans="1:6" x14ac:dyDescent="0.3">
      <c r="A6782" s="8" t="s">
        <v>13522</v>
      </c>
      <c r="B6782" s="8" t="s">
        <v>60385</v>
      </c>
      <c r="C6782" s="8" t="s">
        <v>13523</v>
      </c>
      <c r="D6782" s="8"/>
      <c r="E6782" s="6"/>
      <c r="F6782" s="6"/>
    </row>
    <row r="6783" spans="1:6" x14ac:dyDescent="0.3">
      <c r="A6783" s="8" t="s">
        <v>13524</v>
      </c>
      <c r="B6783" s="8" t="s">
        <v>60386</v>
      </c>
      <c r="C6783" s="8" t="s">
        <v>13525</v>
      </c>
      <c r="D6783" s="8"/>
      <c r="E6783" s="6"/>
      <c r="F6783" s="6"/>
    </row>
    <row r="6784" spans="1:6" x14ac:dyDescent="0.3">
      <c r="A6784" s="8" t="s">
        <v>13526</v>
      </c>
      <c r="B6784" s="8" t="s">
        <v>60387</v>
      </c>
      <c r="C6784" s="8" t="s">
        <v>13527</v>
      </c>
      <c r="D6784" s="8"/>
      <c r="E6784" s="6"/>
      <c r="F6784" s="6"/>
    </row>
    <row r="6785" spans="1:6" x14ac:dyDescent="0.3">
      <c r="A6785" s="8" t="s">
        <v>13528</v>
      </c>
      <c r="B6785" s="8" t="s">
        <v>60388</v>
      </c>
      <c r="C6785" s="8" t="s">
        <v>13529</v>
      </c>
      <c r="D6785" s="8"/>
      <c r="E6785" s="6"/>
      <c r="F6785" s="6"/>
    </row>
    <row r="6786" spans="1:6" x14ac:dyDescent="0.3">
      <c r="A6786" s="8" t="s">
        <v>13530</v>
      </c>
      <c r="B6786" s="8" t="s">
        <v>60389</v>
      </c>
      <c r="C6786" s="8" t="s">
        <v>13531</v>
      </c>
      <c r="D6786" s="8"/>
      <c r="E6786" s="6"/>
      <c r="F6786" s="6"/>
    </row>
    <row r="6787" spans="1:6" x14ac:dyDescent="0.3">
      <c r="A6787" s="8" t="s">
        <v>13532</v>
      </c>
      <c r="B6787" s="8" t="s">
        <v>60390</v>
      </c>
      <c r="C6787" s="8" t="s">
        <v>13533</v>
      </c>
      <c r="D6787" s="8"/>
      <c r="E6787" s="6"/>
      <c r="F6787" s="6"/>
    </row>
    <row r="6788" spans="1:6" x14ac:dyDescent="0.3">
      <c r="A6788" s="8" t="s">
        <v>13534</v>
      </c>
      <c r="B6788" s="8" t="s">
        <v>60391</v>
      </c>
      <c r="C6788" s="8" t="s">
        <v>13535</v>
      </c>
      <c r="D6788" s="8"/>
      <c r="E6788" s="6"/>
      <c r="F6788" s="6"/>
    </row>
    <row r="6789" spans="1:6" x14ac:dyDescent="0.3">
      <c r="A6789" s="8" t="s">
        <v>13536</v>
      </c>
      <c r="B6789" s="8" t="s">
        <v>60392</v>
      </c>
      <c r="C6789" s="8" t="s">
        <v>13537</v>
      </c>
      <c r="D6789" s="8"/>
      <c r="E6789" s="6"/>
      <c r="F6789" s="6"/>
    </row>
    <row r="6790" spans="1:6" x14ac:dyDescent="0.3">
      <c r="A6790" s="8" t="s">
        <v>13538</v>
      </c>
      <c r="B6790" s="8" t="s">
        <v>60393</v>
      </c>
      <c r="C6790" s="8" t="s">
        <v>13539</v>
      </c>
      <c r="D6790" s="8"/>
      <c r="E6790" s="6"/>
      <c r="F6790" s="6"/>
    </row>
    <row r="6791" spans="1:6" x14ac:dyDescent="0.3">
      <c r="A6791" s="8" t="s">
        <v>13540</v>
      </c>
      <c r="B6791" s="8" t="s">
        <v>60394</v>
      </c>
      <c r="C6791" s="8" t="s">
        <v>13541</v>
      </c>
      <c r="D6791" s="8"/>
      <c r="E6791" s="6"/>
      <c r="F6791" s="6"/>
    </row>
    <row r="6792" spans="1:6" x14ac:dyDescent="0.3">
      <c r="A6792" s="8" t="s">
        <v>13542</v>
      </c>
      <c r="B6792" s="8" t="s">
        <v>60395</v>
      </c>
      <c r="C6792" s="8" t="s">
        <v>13543</v>
      </c>
      <c r="D6792" s="8"/>
      <c r="E6792" s="6"/>
      <c r="F6792" s="6"/>
    </row>
    <row r="6793" spans="1:6" x14ac:dyDescent="0.3">
      <c r="A6793" s="8" t="s">
        <v>13544</v>
      </c>
      <c r="B6793" s="8" t="s">
        <v>60396</v>
      </c>
      <c r="C6793" s="8" t="s">
        <v>13545</v>
      </c>
      <c r="D6793" s="8"/>
      <c r="E6793" s="6"/>
      <c r="F6793" s="6"/>
    </row>
    <row r="6794" spans="1:6" x14ac:dyDescent="0.3">
      <c r="A6794" s="8" t="s">
        <v>13546</v>
      </c>
      <c r="B6794" s="8" t="s">
        <v>60397</v>
      </c>
      <c r="C6794" s="8" t="s">
        <v>13547</v>
      </c>
      <c r="D6794" s="8"/>
      <c r="E6794" s="6"/>
      <c r="F6794" s="6"/>
    </row>
    <row r="6795" spans="1:6" x14ac:dyDescent="0.3">
      <c r="A6795" s="8" t="s">
        <v>13548</v>
      </c>
      <c r="B6795" s="8" t="s">
        <v>60398</v>
      </c>
      <c r="C6795" s="8" t="s">
        <v>13549</v>
      </c>
      <c r="D6795" s="8"/>
      <c r="E6795" s="6"/>
      <c r="F6795" s="6"/>
    </row>
    <row r="6796" spans="1:6" x14ac:dyDescent="0.3">
      <c r="A6796" s="8" t="s">
        <v>13550</v>
      </c>
      <c r="B6796" s="8" t="s">
        <v>60399</v>
      </c>
      <c r="C6796" s="8" t="s">
        <v>13551</v>
      </c>
      <c r="D6796" s="8"/>
      <c r="E6796" s="6"/>
      <c r="F6796" s="6"/>
    </row>
    <row r="6797" spans="1:6" x14ac:dyDescent="0.3">
      <c r="A6797" s="8" t="s">
        <v>13552</v>
      </c>
      <c r="B6797" s="8" t="s">
        <v>60400</v>
      </c>
      <c r="C6797" s="8" t="s">
        <v>13553</v>
      </c>
      <c r="D6797" s="8"/>
      <c r="E6797" s="6"/>
      <c r="F6797" s="6"/>
    </row>
    <row r="6798" spans="1:6" ht="28.8" x14ac:dyDescent="0.3">
      <c r="A6798" s="8" t="s">
        <v>13554</v>
      </c>
      <c r="B6798" s="8" t="s">
        <v>60401</v>
      </c>
      <c r="C6798" s="8" t="s">
        <v>13555</v>
      </c>
      <c r="D6798" s="8"/>
      <c r="E6798" s="6"/>
      <c r="F6798" s="6"/>
    </row>
    <row r="6799" spans="1:6" x14ac:dyDescent="0.3">
      <c r="A6799" s="8" t="s">
        <v>13556</v>
      </c>
      <c r="B6799" s="8" t="s">
        <v>60402</v>
      </c>
      <c r="C6799" s="8" t="s">
        <v>13557</v>
      </c>
      <c r="D6799" s="8"/>
      <c r="E6799" s="6"/>
      <c r="F6799" s="6"/>
    </row>
    <row r="6800" spans="1:6" x14ac:dyDescent="0.3">
      <c r="A6800" s="8" t="s">
        <v>13558</v>
      </c>
      <c r="B6800" s="8" t="s">
        <v>60403</v>
      </c>
      <c r="C6800" s="8" t="s">
        <v>13559</v>
      </c>
      <c r="D6800" s="8"/>
      <c r="E6800" s="6"/>
      <c r="F6800" s="6"/>
    </row>
    <row r="6801" spans="1:6" x14ac:dyDescent="0.3">
      <c r="A6801" s="8" t="s">
        <v>13560</v>
      </c>
      <c r="B6801" s="8" t="s">
        <v>60404</v>
      </c>
      <c r="C6801" s="8" t="s">
        <v>13561</v>
      </c>
      <c r="D6801" s="8"/>
      <c r="E6801" s="6"/>
      <c r="F6801" s="6"/>
    </row>
    <row r="6802" spans="1:6" x14ac:dyDescent="0.3">
      <c r="A6802" s="8" t="s">
        <v>13562</v>
      </c>
      <c r="B6802" s="8" t="s">
        <v>60405</v>
      </c>
      <c r="C6802" s="8" t="s">
        <v>13563</v>
      </c>
      <c r="D6802" s="8"/>
      <c r="E6802" s="6"/>
      <c r="F6802" s="6"/>
    </row>
    <row r="6803" spans="1:6" x14ac:dyDescent="0.3">
      <c r="A6803" s="8" t="s">
        <v>13564</v>
      </c>
      <c r="B6803" s="8" t="s">
        <v>60406</v>
      </c>
      <c r="C6803" s="8" t="s">
        <v>13565</v>
      </c>
      <c r="D6803" s="8"/>
      <c r="E6803" s="6"/>
      <c r="F6803" s="6"/>
    </row>
    <row r="6804" spans="1:6" x14ac:dyDescent="0.3">
      <c r="A6804" s="8" t="s">
        <v>13566</v>
      </c>
      <c r="B6804" s="8" t="s">
        <v>60407</v>
      </c>
      <c r="C6804" s="8" t="s">
        <v>13567</v>
      </c>
      <c r="D6804" s="8"/>
      <c r="E6804" s="6"/>
      <c r="F6804" s="6"/>
    </row>
    <row r="6805" spans="1:6" x14ac:dyDescent="0.3">
      <c r="A6805" s="8" t="s">
        <v>13568</v>
      </c>
      <c r="B6805" s="8" t="s">
        <v>60408</v>
      </c>
      <c r="C6805" s="8" t="s">
        <v>13569</v>
      </c>
      <c r="D6805" s="8"/>
      <c r="E6805" s="6"/>
      <c r="F6805" s="6"/>
    </row>
    <row r="6806" spans="1:6" x14ac:dyDescent="0.3">
      <c r="A6806" s="8" t="s">
        <v>13570</v>
      </c>
      <c r="B6806" s="8" t="s">
        <v>60409</v>
      </c>
      <c r="C6806" s="8" t="s">
        <v>13571</v>
      </c>
      <c r="D6806" s="8"/>
      <c r="E6806" s="6"/>
      <c r="F6806" s="6"/>
    </row>
    <row r="6807" spans="1:6" x14ac:dyDescent="0.3">
      <c r="A6807" s="8" t="s">
        <v>13572</v>
      </c>
      <c r="B6807" s="8" t="s">
        <v>60410</v>
      </c>
      <c r="C6807" s="8" t="s">
        <v>13573</v>
      </c>
      <c r="D6807" s="8"/>
      <c r="E6807" s="6"/>
      <c r="F6807" s="6"/>
    </row>
    <row r="6808" spans="1:6" x14ac:dyDescent="0.3">
      <c r="A6808" s="8" t="s">
        <v>13574</v>
      </c>
      <c r="B6808" s="8" t="s">
        <v>60411</v>
      </c>
      <c r="C6808" s="8" t="s">
        <v>13575</v>
      </c>
      <c r="D6808" s="8"/>
      <c r="E6808" s="6"/>
      <c r="F6808" s="6"/>
    </row>
    <row r="6809" spans="1:6" x14ac:dyDescent="0.3">
      <c r="A6809" s="8" t="s">
        <v>13576</v>
      </c>
      <c r="B6809" s="8" t="s">
        <v>60412</v>
      </c>
      <c r="C6809" s="8" t="s">
        <v>13577</v>
      </c>
      <c r="D6809" s="8"/>
      <c r="E6809" s="6"/>
      <c r="F6809" s="6"/>
    </row>
    <row r="6810" spans="1:6" x14ac:dyDescent="0.3">
      <c r="A6810" s="8" t="s">
        <v>13578</v>
      </c>
      <c r="B6810" s="8" t="s">
        <v>60413</v>
      </c>
      <c r="C6810" s="8" t="s">
        <v>13579</v>
      </c>
      <c r="D6810" s="8"/>
      <c r="E6810" s="6"/>
      <c r="F6810" s="6"/>
    </row>
    <row r="6811" spans="1:6" x14ac:dyDescent="0.3">
      <c r="A6811" s="8" t="s">
        <v>13580</v>
      </c>
      <c r="B6811" s="8" t="s">
        <v>60414</v>
      </c>
      <c r="C6811" s="8" t="s">
        <v>13581</v>
      </c>
      <c r="D6811" s="8"/>
      <c r="E6811" s="6"/>
      <c r="F6811" s="6"/>
    </row>
    <row r="6812" spans="1:6" x14ac:dyDescent="0.3">
      <c r="A6812" s="8" t="s">
        <v>13582</v>
      </c>
      <c r="B6812" s="8" t="s">
        <v>60415</v>
      </c>
      <c r="C6812" s="8" t="s">
        <v>13583</v>
      </c>
      <c r="D6812" s="8"/>
      <c r="E6812" s="6"/>
      <c r="F6812" s="6"/>
    </row>
    <row r="6813" spans="1:6" x14ac:dyDescent="0.3">
      <c r="A6813" s="8" t="s">
        <v>13584</v>
      </c>
      <c r="B6813" s="8" t="s">
        <v>60416</v>
      </c>
      <c r="C6813" s="8" t="s">
        <v>13585</v>
      </c>
      <c r="D6813" s="8"/>
      <c r="E6813" s="6"/>
      <c r="F6813" s="6"/>
    </row>
    <row r="6814" spans="1:6" x14ac:dyDescent="0.3">
      <c r="A6814" s="8" t="s">
        <v>13586</v>
      </c>
      <c r="B6814" s="8" t="s">
        <v>60417</v>
      </c>
      <c r="C6814" s="8" t="s">
        <v>13587</v>
      </c>
      <c r="D6814" s="8"/>
      <c r="E6814" s="6"/>
      <c r="F6814" s="6"/>
    </row>
    <row r="6815" spans="1:6" x14ac:dyDescent="0.3">
      <c r="A6815" s="8" t="s">
        <v>13588</v>
      </c>
      <c r="B6815" s="8" t="s">
        <v>60418</v>
      </c>
      <c r="C6815" s="8" t="s">
        <v>13589</v>
      </c>
      <c r="D6815" s="8"/>
      <c r="E6815" s="6"/>
      <c r="F6815" s="6"/>
    </row>
    <row r="6816" spans="1:6" x14ac:dyDescent="0.3">
      <c r="A6816" s="8" t="s">
        <v>13590</v>
      </c>
      <c r="B6816" s="8" t="s">
        <v>60419</v>
      </c>
      <c r="C6816" s="8" t="s">
        <v>13591</v>
      </c>
      <c r="D6816" s="8"/>
      <c r="E6816" s="6"/>
      <c r="F6816" s="6"/>
    </row>
    <row r="6817" spans="1:6" x14ac:dyDescent="0.3">
      <c r="A6817" s="8" t="s">
        <v>13592</v>
      </c>
      <c r="B6817" s="8" t="s">
        <v>60420</v>
      </c>
      <c r="C6817" s="8" t="s">
        <v>13593</v>
      </c>
      <c r="D6817" s="8"/>
      <c r="E6817" s="6"/>
      <c r="F6817" s="6"/>
    </row>
    <row r="6818" spans="1:6" x14ac:dyDescent="0.3">
      <c r="A6818" s="8" t="s">
        <v>13594</v>
      </c>
      <c r="B6818" s="8" t="s">
        <v>60421</v>
      </c>
      <c r="C6818" s="8" t="s">
        <v>13595</v>
      </c>
      <c r="D6818" s="8"/>
      <c r="E6818" s="6"/>
      <c r="F6818" s="6"/>
    </row>
    <row r="6819" spans="1:6" x14ac:dyDescent="0.3">
      <c r="A6819" s="8" t="s">
        <v>13596</v>
      </c>
      <c r="B6819" s="8" t="s">
        <v>60422</v>
      </c>
      <c r="C6819" s="8" t="s">
        <v>13597</v>
      </c>
      <c r="D6819" s="8"/>
      <c r="E6819" s="6"/>
      <c r="F6819" s="6"/>
    </row>
    <row r="6820" spans="1:6" x14ac:dyDescent="0.3">
      <c r="A6820" s="8" t="s">
        <v>13598</v>
      </c>
      <c r="B6820" s="8" t="s">
        <v>60423</v>
      </c>
      <c r="C6820" s="8" t="s">
        <v>13599</v>
      </c>
      <c r="D6820" s="8"/>
      <c r="E6820" s="6"/>
      <c r="F6820" s="6"/>
    </row>
    <row r="6821" spans="1:6" x14ac:dyDescent="0.3">
      <c r="A6821" s="8" t="s">
        <v>13600</v>
      </c>
      <c r="B6821" s="8" t="s">
        <v>60424</v>
      </c>
      <c r="C6821" s="8" t="s">
        <v>13601</v>
      </c>
      <c r="D6821" s="8"/>
      <c r="E6821" s="6"/>
      <c r="F6821" s="6"/>
    </row>
    <row r="6822" spans="1:6" x14ac:dyDescent="0.3">
      <c r="A6822" s="8" t="s">
        <v>13602</v>
      </c>
      <c r="B6822" s="8" t="s">
        <v>60425</v>
      </c>
      <c r="C6822" s="8" t="s">
        <v>13603</v>
      </c>
      <c r="D6822" s="8"/>
      <c r="E6822" s="6"/>
      <c r="F6822" s="6"/>
    </row>
    <row r="6823" spans="1:6" x14ac:dyDescent="0.3">
      <c r="A6823" s="8" t="s">
        <v>13604</v>
      </c>
      <c r="B6823" s="8" t="s">
        <v>60426</v>
      </c>
      <c r="C6823" s="8" t="s">
        <v>13605</v>
      </c>
      <c r="D6823" s="8"/>
      <c r="E6823" s="6"/>
      <c r="F6823" s="6"/>
    </row>
    <row r="6824" spans="1:6" x14ac:dyDescent="0.3">
      <c r="A6824" s="8" t="s">
        <v>13606</v>
      </c>
      <c r="B6824" s="8" t="s">
        <v>60427</v>
      </c>
      <c r="C6824" s="8" t="s">
        <v>13607</v>
      </c>
      <c r="D6824" s="8"/>
      <c r="E6824" s="6"/>
      <c r="F6824" s="6"/>
    </row>
    <row r="6825" spans="1:6" x14ac:dyDescent="0.3">
      <c r="A6825" s="8" t="s">
        <v>13608</v>
      </c>
      <c r="B6825" s="8" t="s">
        <v>60428</v>
      </c>
      <c r="C6825" s="8" t="s">
        <v>13609</v>
      </c>
      <c r="D6825" s="8"/>
      <c r="E6825" s="6"/>
      <c r="F6825" s="6"/>
    </row>
    <row r="6826" spans="1:6" x14ac:dyDescent="0.3">
      <c r="A6826" s="8" t="s">
        <v>13610</v>
      </c>
      <c r="B6826" s="8" t="s">
        <v>60429</v>
      </c>
      <c r="C6826" s="8" t="s">
        <v>13611</v>
      </c>
      <c r="D6826" s="8"/>
      <c r="E6826" s="6"/>
      <c r="F6826" s="6"/>
    </row>
    <row r="6827" spans="1:6" x14ac:dyDescent="0.3">
      <c r="A6827" s="8" t="s">
        <v>13612</v>
      </c>
      <c r="B6827" s="8" t="s">
        <v>60430</v>
      </c>
      <c r="C6827" s="8" t="s">
        <v>13613</v>
      </c>
      <c r="D6827" s="8"/>
      <c r="E6827" s="6"/>
      <c r="F6827" s="6"/>
    </row>
    <row r="6828" spans="1:6" x14ac:dyDescent="0.3">
      <c r="A6828" s="8" t="s">
        <v>13614</v>
      </c>
      <c r="B6828" s="8" t="s">
        <v>60431</v>
      </c>
      <c r="C6828" s="8" t="s">
        <v>13615</v>
      </c>
      <c r="D6828" s="8"/>
      <c r="E6828" s="6"/>
      <c r="F6828" s="6"/>
    </row>
    <row r="6829" spans="1:6" x14ac:dyDescent="0.3">
      <c r="A6829" s="8" t="s">
        <v>13616</v>
      </c>
      <c r="B6829" s="8" t="s">
        <v>60432</v>
      </c>
      <c r="C6829" s="8" t="s">
        <v>13617</v>
      </c>
      <c r="D6829" s="8"/>
      <c r="E6829" s="6"/>
      <c r="F6829" s="6"/>
    </row>
    <row r="6830" spans="1:6" x14ac:dyDescent="0.3">
      <c r="A6830" s="8" t="s">
        <v>13618</v>
      </c>
      <c r="B6830" s="8" t="s">
        <v>60433</v>
      </c>
      <c r="C6830" s="8" t="s">
        <v>13619</v>
      </c>
      <c r="D6830" s="8"/>
      <c r="E6830" s="6"/>
      <c r="F6830" s="6"/>
    </row>
    <row r="6831" spans="1:6" x14ac:dyDescent="0.3">
      <c r="A6831" s="8" t="s">
        <v>13620</v>
      </c>
      <c r="B6831" s="8" t="s">
        <v>60434</v>
      </c>
      <c r="C6831" s="8" t="s">
        <v>13621</v>
      </c>
      <c r="D6831" s="8"/>
      <c r="E6831" s="6"/>
      <c r="F6831" s="6"/>
    </row>
    <row r="6832" spans="1:6" x14ac:dyDescent="0.3">
      <c r="A6832" s="8" t="s">
        <v>13622</v>
      </c>
      <c r="B6832" s="8" t="s">
        <v>60435</v>
      </c>
      <c r="C6832" s="8" t="s">
        <v>13623</v>
      </c>
      <c r="D6832" s="8"/>
      <c r="E6832" s="6"/>
      <c r="F6832" s="6"/>
    </row>
    <row r="6833" spans="1:6" x14ac:dyDescent="0.3">
      <c r="A6833" s="8" t="s">
        <v>13624</v>
      </c>
      <c r="B6833" s="8" t="s">
        <v>60436</v>
      </c>
      <c r="C6833" s="8" t="s">
        <v>13625</v>
      </c>
      <c r="D6833" s="8"/>
      <c r="E6833" s="6"/>
      <c r="F6833" s="6"/>
    </row>
    <row r="6834" spans="1:6" x14ac:dyDescent="0.3">
      <c r="A6834" s="8" t="s">
        <v>13626</v>
      </c>
      <c r="B6834" s="8" t="s">
        <v>60437</v>
      </c>
      <c r="C6834" s="8" t="s">
        <v>13627</v>
      </c>
      <c r="D6834" s="8"/>
      <c r="E6834" s="6"/>
      <c r="F6834" s="6"/>
    </row>
    <row r="6835" spans="1:6" x14ac:dyDescent="0.3">
      <c r="A6835" s="8" t="s">
        <v>13628</v>
      </c>
      <c r="B6835" s="8" t="s">
        <v>60438</v>
      </c>
      <c r="C6835" s="8" t="s">
        <v>13629</v>
      </c>
      <c r="D6835" s="8"/>
      <c r="E6835" s="6"/>
      <c r="F6835" s="6"/>
    </row>
    <row r="6836" spans="1:6" x14ac:dyDescent="0.3">
      <c r="A6836" s="8" t="s">
        <v>13630</v>
      </c>
      <c r="B6836" s="8" t="s">
        <v>60439</v>
      </c>
      <c r="C6836" s="8" t="s">
        <v>13631</v>
      </c>
      <c r="D6836" s="8"/>
      <c r="E6836" s="6"/>
      <c r="F6836" s="6"/>
    </row>
    <row r="6837" spans="1:6" x14ac:dyDescent="0.3">
      <c r="A6837" s="8" t="s">
        <v>13632</v>
      </c>
      <c r="B6837" s="8" t="s">
        <v>60440</v>
      </c>
      <c r="C6837" s="8" t="s">
        <v>13633</v>
      </c>
      <c r="D6837" s="8"/>
      <c r="E6837" s="6"/>
      <c r="F6837" s="6"/>
    </row>
    <row r="6838" spans="1:6" x14ac:dyDescent="0.3">
      <c r="A6838" s="8" t="s">
        <v>13634</v>
      </c>
      <c r="B6838" s="8" t="s">
        <v>60441</v>
      </c>
      <c r="C6838" s="8" t="s">
        <v>13635</v>
      </c>
      <c r="D6838" s="8"/>
      <c r="E6838" s="6"/>
      <c r="F6838" s="6"/>
    </row>
    <row r="6839" spans="1:6" x14ac:dyDescent="0.3">
      <c r="A6839" s="8" t="s">
        <v>13636</v>
      </c>
      <c r="B6839" s="8" t="s">
        <v>60442</v>
      </c>
      <c r="C6839" s="8" t="s">
        <v>13637</v>
      </c>
      <c r="D6839" s="8"/>
      <c r="E6839" s="6"/>
      <c r="F6839" s="6"/>
    </row>
    <row r="6840" spans="1:6" x14ac:dyDescent="0.3">
      <c r="A6840" s="8" t="s">
        <v>13638</v>
      </c>
      <c r="B6840" s="8" t="s">
        <v>60443</v>
      </c>
      <c r="C6840" s="8" t="s">
        <v>13639</v>
      </c>
      <c r="D6840" s="8"/>
      <c r="E6840" s="6"/>
      <c r="F6840" s="6"/>
    </row>
    <row r="6841" spans="1:6" x14ac:dyDescent="0.3">
      <c r="A6841" s="8" t="s">
        <v>13640</v>
      </c>
      <c r="B6841" s="8" t="s">
        <v>60444</v>
      </c>
      <c r="C6841" s="8" t="s">
        <v>13641</v>
      </c>
      <c r="D6841" s="8"/>
      <c r="E6841" s="6"/>
      <c r="F6841" s="6"/>
    </row>
    <row r="6842" spans="1:6" x14ac:dyDescent="0.3">
      <c r="A6842" s="8" t="s">
        <v>13642</v>
      </c>
      <c r="B6842" s="8" t="s">
        <v>60445</v>
      </c>
      <c r="C6842" s="8" t="s">
        <v>13643</v>
      </c>
      <c r="D6842" s="8"/>
      <c r="E6842" s="6"/>
      <c r="F6842" s="6"/>
    </row>
    <row r="6843" spans="1:6" x14ac:dyDescent="0.3">
      <c r="A6843" s="8" t="s">
        <v>13644</v>
      </c>
      <c r="B6843" s="8" t="s">
        <v>60446</v>
      </c>
      <c r="C6843" s="8" t="s">
        <v>13645</v>
      </c>
      <c r="D6843" s="8"/>
      <c r="E6843" s="6"/>
      <c r="F6843" s="6"/>
    </row>
    <row r="6844" spans="1:6" x14ac:dyDescent="0.3">
      <c r="A6844" s="8" t="s">
        <v>13646</v>
      </c>
      <c r="B6844" s="8" t="s">
        <v>60447</v>
      </c>
      <c r="C6844" s="8" t="s">
        <v>13647</v>
      </c>
      <c r="D6844" s="8"/>
      <c r="E6844" s="6"/>
      <c r="F6844" s="6"/>
    </row>
    <row r="6845" spans="1:6" x14ac:dyDescent="0.3">
      <c r="A6845" s="8" t="s">
        <v>13648</v>
      </c>
      <c r="B6845" s="8" t="s">
        <v>60448</v>
      </c>
      <c r="C6845" s="8" t="s">
        <v>13649</v>
      </c>
      <c r="D6845" s="8"/>
      <c r="E6845" s="6"/>
      <c r="F6845" s="6"/>
    </row>
    <row r="6846" spans="1:6" x14ac:dyDescent="0.3">
      <c r="A6846" s="8" t="s">
        <v>13650</v>
      </c>
      <c r="B6846" s="8" t="s">
        <v>60449</v>
      </c>
      <c r="C6846" s="8" t="s">
        <v>13651</v>
      </c>
      <c r="D6846" s="8"/>
      <c r="E6846" s="6"/>
      <c r="F6846" s="6"/>
    </row>
    <row r="6847" spans="1:6" x14ac:dyDescent="0.3">
      <c r="A6847" s="8" t="s">
        <v>13652</v>
      </c>
      <c r="B6847" s="8" t="s">
        <v>60450</v>
      </c>
      <c r="C6847" s="8" t="s">
        <v>13653</v>
      </c>
      <c r="D6847" s="8"/>
      <c r="E6847" s="6"/>
      <c r="F6847" s="6"/>
    </row>
    <row r="6848" spans="1:6" x14ac:dyDescent="0.3">
      <c r="A6848" s="8" t="s">
        <v>13654</v>
      </c>
      <c r="B6848" s="8" t="s">
        <v>60451</v>
      </c>
      <c r="C6848" s="8" t="s">
        <v>13655</v>
      </c>
      <c r="D6848" s="8"/>
      <c r="E6848" s="6"/>
      <c r="F6848" s="6"/>
    </row>
    <row r="6849" spans="1:6" x14ac:dyDescent="0.3">
      <c r="A6849" s="8" t="s">
        <v>13656</v>
      </c>
      <c r="B6849" s="8" t="s">
        <v>60452</v>
      </c>
      <c r="C6849" s="8" t="s">
        <v>13657</v>
      </c>
      <c r="D6849" s="8"/>
      <c r="E6849" s="6"/>
      <c r="F6849" s="6"/>
    </row>
    <row r="6850" spans="1:6" x14ac:dyDescent="0.3">
      <c r="A6850" s="8" t="s">
        <v>13658</v>
      </c>
      <c r="B6850" s="8" t="s">
        <v>60453</v>
      </c>
      <c r="C6850" s="8" t="s">
        <v>13659</v>
      </c>
      <c r="D6850" s="8"/>
      <c r="E6850" s="6"/>
      <c r="F6850" s="6"/>
    </row>
    <row r="6851" spans="1:6" x14ac:dyDescent="0.3">
      <c r="A6851" s="8" t="s">
        <v>13660</v>
      </c>
      <c r="B6851" s="8" t="s">
        <v>60454</v>
      </c>
      <c r="C6851" s="8" t="s">
        <v>13661</v>
      </c>
      <c r="D6851" s="8"/>
      <c r="E6851" s="6"/>
      <c r="F6851" s="6"/>
    </row>
    <row r="6852" spans="1:6" x14ac:dyDescent="0.3">
      <c r="A6852" s="8" t="s">
        <v>13662</v>
      </c>
      <c r="B6852" s="8" t="s">
        <v>60455</v>
      </c>
      <c r="C6852" s="8" t="s">
        <v>13663</v>
      </c>
      <c r="D6852" s="8"/>
      <c r="E6852" s="6"/>
      <c r="F6852" s="6"/>
    </row>
    <row r="6853" spans="1:6" x14ac:dyDescent="0.3">
      <c r="A6853" s="8" t="s">
        <v>13664</v>
      </c>
      <c r="B6853" s="8" t="s">
        <v>60456</v>
      </c>
      <c r="C6853" s="8" t="s">
        <v>13665</v>
      </c>
      <c r="D6853" s="8"/>
      <c r="E6853" s="6"/>
      <c r="F6853" s="6"/>
    </row>
    <row r="6854" spans="1:6" x14ac:dyDescent="0.3">
      <c r="A6854" s="8" t="s">
        <v>13666</v>
      </c>
      <c r="B6854" s="8" t="s">
        <v>60457</v>
      </c>
      <c r="C6854" s="8" t="s">
        <v>13667</v>
      </c>
      <c r="D6854" s="8"/>
      <c r="E6854" s="6"/>
      <c r="F6854" s="6"/>
    </row>
    <row r="6855" spans="1:6" x14ac:dyDescent="0.3">
      <c r="A6855" s="8" t="s">
        <v>13668</v>
      </c>
      <c r="B6855" s="8" t="s">
        <v>60458</v>
      </c>
      <c r="C6855" s="8" t="s">
        <v>13669</v>
      </c>
      <c r="D6855" s="8"/>
      <c r="E6855" s="6"/>
      <c r="F6855" s="6"/>
    </row>
    <row r="6856" spans="1:6" x14ac:dyDescent="0.3">
      <c r="A6856" s="8" t="s">
        <v>13670</v>
      </c>
      <c r="B6856" s="8" t="s">
        <v>60459</v>
      </c>
      <c r="C6856" s="8" t="s">
        <v>13671</v>
      </c>
      <c r="D6856" s="8"/>
      <c r="E6856" s="6"/>
      <c r="F6856" s="6"/>
    </row>
    <row r="6857" spans="1:6" x14ac:dyDescent="0.3">
      <c r="A6857" s="8" t="s">
        <v>13672</v>
      </c>
      <c r="B6857" s="8" t="s">
        <v>60460</v>
      </c>
      <c r="C6857" s="8" t="s">
        <v>13673</v>
      </c>
      <c r="D6857" s="8"/>
      <c r="E6857" s="6"/>
      <c r="F6857" s="6"/>
    </row>
    <row r="6858" spans="1:6" x14ac:dyDescent="0.3">
      <c r="A6858" s="8" t="s">
        <v>13674</v>
      </c>
      <c r="B6858" s="8" t="s">
        <v>60461</v>
      </c>
      <c r="C6858" s="8" t="s">
        <v>13675</v>
      </c>
      <c r="D6858" s="8"/>
      <c r="E6858" s="6"/>
      <c r="F6858" s="6"/>
    </row>
    <row r="6859" spans="1:6" x14ac:dyDescent="0.3">
      <c r="A6859" s="8" t="s">
        <v>13676</v>
      </c>
      <c r="B6859" s="8" t="s">
        <v>60462</v>
      </c>
      <c r="C6859" s="8" t="s">
        <v>13677</v>
      </c>
      <c r="D6859" s="8"/>
      <c r="E6859" s="6"/>
      <c r="F6859" s="6"/>
    </row>
    <row r="6860" spans="1:6" x14ac:dyDescent="0.3">
      <c r="A6860" s="8" t="s">
        <v>13678</v>
      </c>
      <c r="B6860" s="8" t="s">
        <v>60463</v>
      </c>
      <c r="C6860" s="8" t="s">
        <v>13679</v>
      </c>
      <c r="D6860" s="8"/>
      <c r="E6860" s="6"/>
      <c r="F6860" s="6"/>
    </row>
    <row r="6861" spans="1:6" x14ac:dyDescent="0.3">
      <c r="A6861" s="8" t="s">
        <v>13680</v>
      </c>
      <c r="B6861" s="8" t="s">
        <v>60464</v>
      </c>
      <c r="C6861" s="8" t="s">
        <v>13681</v>
      </c>
      <c r="D6861" s="8"/>
      <c r="E6861" s="6"/>
      <c r="F6861" s="6"/>
    </row>
    <row r="6862" spans="1:6" x14ac:dyDescent="0.3">
      <c r="A6862" s="8" t="s">
        <v>13682</v>
      </c>
      <c r="B6862" s="8" t="s">
        <v>60465</v>
      </c>
      <c r="C6862" s="8" t="s">
        <v>13683</v>
      </c>
      <c r="D6862" s="8"/>
      <c r="E6862" s="6"/>
      <c r="F6862" s="6"/>
    </row>
    <row r="6863" spans="1:6" x14ac:dyDescent="0.3">
      <c r="A6863" s="8" t="s">
        <v>13684</v>
      </c>
      <c r="B6863" s="8" t="s">
        <v>60466</v>
      </c>
      <c r="C6863" s="8" t="s">
        <v>13685</v>
      </c>
      <c r="D6863" s="8"/>
      <c r="E6863" s="6"/>
      <c r="F6863" s="6"/>
    </row>
    <row r="6864" spans="1:6" x14ac:dyDescent="0.3">
      <c r="A6864" s="8" t="s">
        <v>13686</v>
      </c>
      <c r="B6864" s="8" t="s">
        <v>60467</v>
      </c>
      <c r="C6864" s="8" t="s">
        <v>13687</v>
      </c>
      <c r="D6864" s="8"/>
      <c r="E6864" s="6"/>
      <c r="F6864" s="6"/>
    </row>
    <row r="6865" spans="1:6" x14ac:dyDescent="0.3">
      <c r="A6865" s="8" t="s">
        <v>13688</v>
      </c>
      <c r="B6865" s="8" t="s">
        <v>60468</v>
      </c>
      <c r="C6865" s="8" t="s">
        <v>13689</v>
      </c>
      <c r="D6865" s="8"/>
      <c r="E6865" s="6"/>
      <c r="F6865" s="6"/>
    </row>
    <row r="6866" spans="1:6" x14ac:dyDescent="0.3">
      <c r="A6866" s="8" t="s">
        <v>13690</v>
      </c>
      <c r="B6866" s="8" t="s">
        <v>60469</v>
      </c>
      <c r="C6866" s="8" t="s">
        <v>13691</v>
      </c>
      <c r="D6866" s="8"/>
      <c r="E6866" s="6"/>
      <c r="F6866" s="6"/>
    </row>
    <row r="6867" spans="1:6" x14ac:dyDescent="0.3">
      <c r="A6867" s="8" t="s">
        <v>13692</v>
      </c>
      <c r="B6867" s="8" t="s">
        <v>60470</v>
      </c>
      <c r="C6867" s="8" t="s">
        <v>13693</v>
      </c>
      <c r="D6867" s="8"/>
      <c r="E6867" s="6"/>
      <c r="F6867" s="6"/>
    </row>
    <row r="6868" spans="1:6" x14ac:dyDescent="0.3">
      <c r="A6868" s="8" t="s">
        <v>13694</v>
      </c>
      <c r="B6868" s="8" t="s">
        <v>60471</v>
      </c>
      <c r="C6868" s="8" t="s">
        <v>13695</v>
      </c>
      <c r="D6868" s="8"/>
      <c r="E6868" s="6"/>
      <c r="F6868" s="6"/>
    </row>
    <row r="6869" spans="1:6" x14ac:dyDescent="0.3">
      <c r="A6869" s="8" t="s">
        <v>13696</v>
      </c>
      <c r="B6869" s="8" t="s">
        <v>60472</v>
      </c>
      <c r="C6869" s="8" t="s">
        <v>13697</v>
      </c>
      <c r="D6869" s="8"/>
      <c r="E6869" s="6"/>
      <c r="F6869" s="6"/>
    </row>
    <row r="6870" spans="1:6" x14ac:dyDescent="0.3">
      <c r="A6870" s="8" t="s">
        <v>13698</v>
      </c>
      <c r="B6870" s="8" t="s">
        <v>60473</v>
      </c>
      <c r="C6870" s="8" t="s">
        <v>13699</v>
      </c>
      <c r="D6870" s="8"/>
      <c r="E6870" s="6"/>
      <c r="F6870" s="6"/>
    </row>
    <row r="6871" spans="1:6" x14ac:dyDescent="0.3">
      <c r="A6871" s="8" t="s">
        <v>13700</v>
      </c>
      <c r="B6871" s="8" t="s">
        <v>60474</v>
      </c>
      <c r="C6871" s="8" t="s">
        <v>13701</v>
      </c>
      <c r="D6871" s="8"/>
      <c r="E6871" s="6"/>
      <c r="F6871" s="6"/>
    </row>
    <row r="6872" spans="1:6" x14ac:dyDescent="0.3">
      <c r="A6872" s="8" t="s">
        <v>13702</v>
      </c>
      <c r="B6872" s="8" t="s">
        <v>60475</v>
      </c>
      <c r="C6872" s="8" t="s">
        <v>13703</v>
      </c>
      <c r="D6872" s="8"/>
      <c r="E6872" s="6"/>
      <c r="F6872" s="6"/>
    </row>
    <row r="6873" spans="1:6" x14ac:dyDescent="0.3">
      <c r="A6873" s="8" t="s">
        <v>13704</v>
      </c>
      <c r="B6873" s="8" t="s">
        <v>60476</v>
      </c>
      <c r="C6873" s="8" t="s">
        <v>13705</v>
      </c>
      <c r="D6873" s="8"/>
      <c r="E6873" s="6"/>
      <c r="F6873" s="6"/>
    </row>
    <row r="6874" spans="1:6" x14ac:dyDescent="0.3">
      <c r="A6874" s="8" t="s">
        <v>13706</v>
      </c>
      <c r="B6874" s="8" t="s">
        <v>60477</v>
      </c>
      <c r="C6874" s="8" t="s">
        <v>13707</v>
      </c>
      <c r="D6874" s="8"/>
      <c r="E6874" s="6"/>
      <c r="F6874" s="6"/>
    </row>
    <row r="6875" spans="1:6" x14ac:dyDescent="0.3">
      <c r="A6875" s="8" t="s">
        <v>13708</v>
      </c>
      <c r="B6875" s="8" t="s">
        <v>60478</v>
      </c>
      <c r="C6875" s="8" t="s">
        <v>13709</v>
      </c>
      <c r="D6875" s="8"/>
      <c r="E6875" s="6"/>
      <c r="F6875" s="6"/>
    </row>
    <row r="6876" spans="1:6" x14ac:dyDescent="0.3">
      <c r="A6876" s="8" t="s">
        <v>13710</v>
      </c>
      <c r="B6876" s="8" t="s">
        <v>60479</v>
      </c>
      <c r="C6876" s="8" t="s">
        <v>13711</v>
      </c>
      <c r="D6876" s="8"/>
      <c r="E6876" s="6"/>
      <c r="F6876" s="6"/>
    </row>
    <row r="6877" spans="1:6" x14ac:dyDescent="0.3">
      <c r="A6877" s="8" t="s">
        <v>13712</v>
      </c>
      <c r="B6877" s="8" t="s">
        <v>60480</v>
      </c>
      <c r="C6877" s="8" t="s">
        <v>13713</v>
      </c>
      <c r="D6877" s="8"/>
      <c r="E6877" s="6"/>
      <c r="F6877" s="6"/>
    </row>
    <row r="6878" spans="1:6" x14ac:dyDescent="0.3">
      <c r="A6878" s="8" t="s">
        <v>13714</v>
      </c>
      <c r="B6878" s="8" t="s">
        <v>60481</v>
      </c>
      <c r="C6878" s="8" t="s">
        <v>13715</v>
      </c>
      <c r="D6878" s="8"/>
      <c r="E6878" s="6"/>
      <c r="F6878" s="6"/>
    </row>
    <row r="6879" spans="1:6" x14ac:dyDescent="0.3">
      <c r="A6879" s="8" t="s">
        <v>13716</v>
      </c>
      <c r="B6879" s="8" t="s">
        <v>60482</v>
      </c>
      <c r="C6879" s="8" t="s">
        <v>13717</v>
      </c>
      <c r="D6879" s="8"/>
      <c r="E6879" s="6"/>
      <c r="F6879" s="6"/>
    </row>
    <row r="6880" spans="1:6" x14ac:dyDescent="0.3">
      <c r="A6880" s="8" t="s">
        <v>13718</v>
      </c>
      <c r="B6880" s="8" t="s">
        <v>60483</v>
      </c>
      <c r="C6880" s="8" t="s">
        <v>13719</v>
      </c>
      <c r="D6880" s="8"/>
      <c r="E6880" s="6"/>
      <c r="F6880" s="6"/>
    </row>
    <row r="6881" spans="1:6" x14ac:dyDescent="0.3">
      <c r="A6881" s="8" t="s">
        <v>13720</v>
      </c>
      <c r="B6881" s="8" t="s">
        <v>60484</v>
      </c>
      <c r="C6881" s="8" t="s">
        <v>13721</v>
      </c>
      <c r="D6881" s="8"/>
      <c r="E6881" s="6"/>
      <c r="F6881" s="6"/>
    </row>
    <row r="6882" spans="1:6" x14ac:dyDescent="0.3">
      <c r="A6882" s="8" t="s">
        <v>13722</v>
      </c>
      <c r="B6882" s="8" t="s">
        <v>60485</v>
      </c>
      <c r="C6882" s="8" t="s">
        <v>13723</v>
      </c>
      <c r="D6882" s="8"/>
      <c r="E6882" s="6"/>
      <c r="F6882" s="6"/>
    </row>
    <row r="6883" spans="1:6" x14ac:dyDescent="0.3">
      <c r="A6883" s="8" t="s">
        <v>13724</v>
      </c>
      <c r="B6883" s="8" t="s">
        <v>60486</v>
      </c>
      <c r="C6883" s="8" t="s">
        <v>13725</v>
      </c>
      <c r="D6883" s="8"/>
      <c r="E6883" s="6"/>
      <c r="F6883" s="6"/>
    </row>
    <row r="6884" spans="1:6" x14ac:dyDescent="0.3">
      <c r="A6884" s="8" t="s">
        <v>13726</v>
      </c>
      <c r="B6884" s="8" t="s">
        <v>60487</v>
      </c>
      <c r="C6884" s="8" t="s">
        <v>13727</v>
      </c>
      <c r="D6884" s="8"/>
      <c r="E6884" s="6"/>
      <c r="F6884" s="6"/>
    </row>
    <row r="6885" spans="1:6" x14ac:dyDescent="0.3">
      <c r="A6885" s="8" t="s">
        <v>13728</v>
      </c>
      <c r="B6885" s="8" t="s">
        <v>60488</v>
      </c>
      <c r="C6885" s="8" t="s">
        <v>13729</v>
      </c>
      <c r="D6885" s="8"/>
      <c r="E6885" s="6"/>
      <c r="F6885" s="6"/>
    </row>
    <row r="6886" spans="1:6" x14ac:dyDescent="0.3">
      <c r="A6886" s="8" t="s">
        <v>13730</v>
      </c>
      <c r="B6886" s="8" t="s">
        <v>60489</v>
      </c>
      <c r="C6886" s="8" t="s">
        <v>13731</v>
      </c>
      <c r="D6886" s="8"/>
      <c r="E6886" s="6"/>
      <c r="F6886" s="6"/>
    </row>
    <row r="6887" spans="1:6" x14ac:dyDescent="0.3">
      <c r="A6887" s="8" t="s">
        <v>13732</v>
      </c>
      <c r="B6887" s="8" t="s">
        <v>60490</v>
      </c>
      <c r="C6887" s="8" t="s">
        <v>13733</v>
      </c>
      <c r="D6887" s="8"/>
      <c r="E6887" s="6"/>
      <c r="F6887" s="6"/>
    </row>
    <row r="6888" spans="1:6" x14ac:dyDescent="0.3">
      <c r="A6888" s="8" t="s">
        <v>13734</v>
      </c>
      <c r="B6888" s="8" t="s">
        <v>60491</v>
      </c>
      <c r="C6888" s="8" t="s">
        <v>13735</v>
      </c>
      <c r="D6888" s="8"/>
      <c r="E6888" s="6"/>
      <c r="F6888" s="6"/>
    </row>
    <row r="6889" spans="1:6" x14ac:dyDescent="0.3">
      <c r="A6889" s="8" t="s">
        <v>13736</v>
      </c>
      <c r="B6889" s="8" t="s">
        <v>60492</v>
      </c>
      <c r="C6889" s="8" t="s">
        <v>13737</v>
      </c>
      <c r="D6889" s="8"/>
      <c r="E6889" s="6"/>
      <c r="F6889" s="6"/>
    </row>
    <row r="6890" spans="1:6" x14ac:dyDescent="0.3">
      <c r="A6890" s="8" t="s">
        <v>13738</v>
      </c>
      <c r="B6890" s="8" t="s">
        <v>60493</v>
      </c>
      <c r="C6890" s="8" t="s">
        <v>13739</v>
      </c>
      <c r="D6890" s="8"/>
      <c r="E6890" s="6"/>
      <c r="F6890" s="6"/>
    </row>
    <row r="6891" spans="1:6" x14ac:dyDescent="0.3">
      <c r="A6891" s="8" t="s">
        <v>13740</v>
      </c>
      <c r="B6891" s="8" t="s">
        <v>60494</v>
      </c>
      <c r="C6891" s="8" t="s">
        <v>13741</v>
      </c>
      <c r="D6891" s="8"/>
      <c r="E6891" s="6"/>
      <c r="F6891" s="6"/>
    </row>
    <row r="6892" spans="1:6" x14ac:dyDescent="0.3">
      <c r="A6892" s="8" t="s">
        <v>13742</v>
      </c>
      <c r="B6892" s="8" t="s">
        <v>60495</v>
      </c>
      <c r="C6892" s="8" t="s">
        <v>13743</v>
      </c>
      <c r="D6892" s="8"/>
      <c r="E6892" s="6"/>
      <c r="F6892" s="6"/>
    </row>
    <row r="6893" spans="1:6" x14ac:dyDescent="0.3">
      <c r="A6893" s="8" t="s">
        <v>13744</v>
      </c>
      <c r="B6893" s="8" t="s">
        <v>60496</v>
      </c>
      <c r="C6893" s="8" t="s">
        <v>13745</v>
      </c>
      <c r="D6893" s="8"/>
      <c r="E6893" s="6"/>
      <c r="F6893" s="6"/>
    </row>
    <row r="6894" spans="1:6" x14ac:dyDescent="0.3">
      <c r="A6894" s="8" t="s">
        <v>13746</v>
      </c>
      <c r="B6894" s="8" t="s">
        <v>60497</v>
      </c>
      <c r="C6894" s="8" t="s">
        <v>13747</v>
      </c>
      <c r="D6894" s="8"/>
      <c r="E6894" s="6"/>
      <c r="F6894" s="6"/>
    </row>
    <row r="6895" spans="1:6" x14ac:dyDescent="0.3">
      <c r="A6895" s="8" t="s">
        <v>13748</v>
      </c>
      <c r="B6895" s="8" t="s">
        <v>60498</v>
      </c>
      <c r="C6895" s="8" t="s">
        <v>13749</v>
      </c>
      <c r="D6895" s="8"/>
      <c r="E6895" s="6"/>
      <c r="F6895" s="6"/>
    </row>
    <row r="6896" spans="1:6" x14ac:dyDescent="0.3">
      <c r="A6896" s="8" t="s">
        <v>13750</v>
      </c>
      <c r="B6896" s="8" t="s">
        <v>60499</v>
      </c>
      <c r="C6896" s="8" t="s">
        <v>13751</v>
      </c>
      <c r="D6896" s="8"/>
      <c r="E6896" s="6"/>
      <c r="F6896" s="6"/>
    </row>
    <row r="6897" spans="1:6" x14ac:dyDescent="0.3">
      <c r="A6897" s="8" t="s">
        <v>13752</v>
      </c>
      <c r="B6897" s="8" t="s">
        <v>60500</v>
      </c>
      <c r="C6897" s="8" t="s">
        <v>13753</v>
      </c>
      <c r="D6897" s="8"/>
      <c r="E6897" s="6"/>
      <c r="F6897" s="6"/>
    </row>
    <row r="6898" spans="1:6" x14ac:dyDescent="0.3">
      <c r="A6898" s="8" t="s">
        <v>13754</v>
      </c>
      <c r="B6898" s="8" t="s">
        <v>60501</v>
      </c>
      <c r="C6898" s="8" t="s">
        <v>13755</v>
      </c>
      <c r="D6898" s="8"/>
      <c r="E6898" s="6"/>
      <c r="F6898" s="6"/>
    </row>
    <row r="6899" spans="1:6" x14ac:dyDescent="0.3">
      <c r="A6899" s="8" t="s">
        <v>13756</v>
      </c>
      <c r="B6899" s="8" t="s">
        <v>60502</v>
      </c>
      <c r="C6899" s="8" t="s">
        <v>13757</v>
      </c>
      <c r="D6899" s="8"/>
      <c r="E6899" s="6"/>
      <c r="F6899" s="6"/>
    </row>
    <row r="6900" spans="1:6" x14ac:dyDescent="0.3">
      <c r="A6900" s="8" t="s">
        <v>13758</v>
      </c>
      <c r="B6900" s="8" t="s">
        <v>60503</v>
      </c>
      <c r="C6900" s="8" t="s">
        <v>13759</v>
      </c>
      <c r="D6900" s="8"/>
      <c r="E6900" s="6"/>
      <c r="F6900" s="6"/>
    </row>
    <row r="6901" spans="1:6" x14ac:dyDescent="0.3">
      <c r="A6901" s="8" t="s">
        <v>13760</v>
      </c>
      <c r="B6901" s="8" t="s">
        <v>60504</v>
      </c>
      <c r="C6901" s="8" t="s">
        <v>13761</v>
      </c>
      <c r="D6901" s="8"/>
      <c r="E6901" s="6"/>
      <c r="F6901" s="6"/>
    </row>
    <row r="6902" spans="1:6" x14ac:dyDescent="0.3">
      <c r="A6902" s="8" t="s">
        <v>13762</v>
      </c>
      <c r="B6902" s="8" t="s">
        <v>60505</v>
      </c>
      <c r="C6902" s="8" t="s">
        <v>13763</v>
      </c>
      <c r="D6902" s="8"/>
      <c r="E6902" s="6"/>
      <c r="F6902" s="6"/>
    </row>
    <row r="6903" spans="1:6" x14ac:dyDescent="0.3">
      <c r="A6903" s="8" t="s">
        <v>13764</v>
      </c>
      <c r="B6903" s="8" t="s">
        <v>60506</v>
      </c>
      <c r="C6903" s="8" t="s">
        <v>13765</v>
      </c>
      <c r="D6903" s="8"/>
      <c r="E6903" s="6"/>
      <c r="F6903" s="6"/>
    </row>
    <row r="6904" spans="1:6" x14ac:dyDescent="0.3">
      <c r="A6904" s="8" t="s">
        <v>13766</v>
      </c>
      <c r="B6904" s="8" t="s">
        <v>60507</v>
      </c>
      <c r="C6904" s="8" t="s">
        <v>13767</v>
      </c>
      <c r="D6904" s="8"/>
      <c r="E6904" s="6"/>
      <c r="F6904" s="6"/>
    </row>
    <row r="6905" spans="1:6" x14ac:dyDescent="0.3">
      <c r="A6905" s="8" t="s">
        <v>13768</v>
      </c>
      <c r="B6905" s="8" t="s">
        <v>60508</v>
      </c>
      <c r="C6905" s="8" t="s">
        <v>13769</v>
      </c>
      <c r="D6905" s="8"/>
      <c r="E6905" s="6"/>
      <c r="F6905" s="6"/>
    </row>
    <row r="6906" spans="1:6" x14ac:dyDescent="0.3">
      <c r="A6906" s="8" t="s">
        <v>13770</v>
      </c>
      <c r="B6906" s="8" t="s">
        <v>60509</v>
      </c>
      <c r="C6906" s="8" t="s">
        <v>13771</v>
      </c>
      <c r="D6906" s="8"/>
      <c r="E6906" s="6"/>
      <c r="F6906" s="6"/>
    </row>
    <row r="6907" spans="1:6" x14ac:dyDescent="0.3">
      <c r="A6907" s="8" t="s">
        <v>13772</v>
      </c>
      <c r="B6907" s="8" t="s">
        <v>60510</v>
      </c>
      <c r="C6907" s="8" t="s">
        <v>13773</v>
      </c>
      <c r="D6907" s="8"/>
      <c r="E6907" s="6"/>
      <c r="F6907" s="6"/>
    </row>
    <row r="6908" spans="1:6" x14ac:dyDescent="0.3">
      <c r="A6908" s="8" t="s">
        <v>13774</v>
      </c>
      <c r="B6908" s="8" t="s">
        <v>60511</v>
      </c>
      <c r="C6908" s="8" t="s">
        <v>13775</v>
      </c>
      <c r="D6908" s="8"/>
      <c r="E6908" s="6"/>
      <c r="F6908" s="6"/>
    </row>
    <row r="6909" spans="1:6" x14ac:dyDescent="0.3">
      <c r="A6909" s="8" t="s">
        <v>13776</v>
      </c>
      <c r="B6909" s="8" t="s">
        <v>60512</v>
      </c>
      <c r="C6909" s="8" t="s">
        <v>13777</v>
      </c>
      <c r="D6909" s="8"/>
      <c r="E6909" s="6"/>
      <c r="F6909" s="6"/>
    </row>
    <row r="6910" spans="1:6" x14ac:dyDescent="0.3">
      <c r="A6910" s="8" t="s">
        <v>13778</v>
      </c>
      <c r="B6910" s="8" t="s">
        <v>60513</v>
      </c>
      <c r="C6910" s="8" t="s">
        <v>13779</v>
      </c>
      <c r="D6910" s="8"/>
      <c r="E6910" s="6"/>
      <c r="F6910" s="6"/>
    </row>
    <row r="6911" spans="1:6" x14ac:dyDescent="0.3">
      <c r="A6911" s="8" t="s">
        <v>13780</v>
      </c>
      <c r="B6911" s="8" t="s">
        <v>60514</v>
      </c>
      <c r="C6911" s="8" t="s">
        <v>13781</v>
      </c>
      <c r="D6911" s="8"/>
      <c r="E6911" s="6"/>
      <c r="F6911" s="6"/>
    </row>
    <row r="6912" spans="1:6" x14ac:dyDescent="0.3">
      <c r="A6912" s="8" t="s">
        <v>13782</v>
      </c>
      <c r="B6912" s="8" t="s">
        <v>60515</v>
      </c>
      <c r="C6912" s="8" t="s">
        <v>13783</v>
      </c>
      <c r="D6912" s="8"/>
      <c r="E6912" s="6"/>
      <c r="F6912" s="6"/>
    </row>
    <row r="6913" spans="1:6" x14ac:dyDescent="0.3">
      <c r="A6913" s="8" t="s">
        <v>13784</v>
      </c>
      <c r="B6913" s="8" t="s">
        <v>60516</v>
      </c>
      <c r="C6913" s="8" t="s">
        <v>13785</v>
      </c>
      <c r="D6913" s="8"/>
      <c r="E6913" s="6"/>
      <c r="F6913" s="6"/>
    </row>
    <row r="6914" spans="1:6" x14ac:dyDescent="0.3">
      <c r="A6914" s="8" t="s">
        <v>13786</v>
      </c>
      <c r="B6914" s="8" t="s">
        <v>60517</v>
      </c>
      <c r="C6914" s="8" t="s">
        <v>13787</v>
      </c>
      <c r="D6914" s="8"/>
      <c r="E6914" s="6"/>
      <c r="F6914" s="6"/>
    </row>
    <row r="6915" spans="1:6" x14ac:dyDescent="0.3">
      <c r="A6915" s="8" t="s">
        <v>13788</v>
      </c>
      <c r="B6915" s="8" t="s">
        <v>60518</v>
      </c>
      <c r="C6915" s="8" t="s">
        <v>13789</v>
      </c>
      <c r="D6915" s="8"/>
      <c r="E6915" s="6"/>
      <c r="F6915" s="6"/>
    </row>
    <row r="6916" spans="1:6" x14ac:dyDescent="0.3">
      <c r="A6916" s="8" t="s">
        <v>13790</v>
      </c>
      <c r="B6916" s="8" t="s">
        <v>60519</v>
      </c>
      <c r="C6916" s="8" t="s">
        <v>13791</v>
      </c>
      <c r="D6916" s="8"/>
      <c r="E6916" s="6"/>
      <c r="F6916" s="6"/>
    </row>
    <row r="6917" spans="1:6" x14ac:dyDescent="0.3">
      <c r="A6917" s="8" t="s">
        <v>13792</v>
      </c>
      <c r="B6917" s="8" t="s">
        <v>60520</v>
      </c>
      <c r="C6917" s="8" t="s">
        <v>13793</v>
      </c>
      <c r="D6917" s="8"/>
      <c r="E6917" s="6"/>
      <c r="F6917" s="6"/>
    </row>
    <row r="6918" spans="1:6" x14ac:dyDescent="0.3">
      <c r="A6918" s="8" t="s">
        <v>13794</v>
      </c>
      <c r="B6918" s="8" t="s">
        <v>60521</v>
      </c>
      <c r="C6918" s="8" t="s">
        <v>13795</v>
      </c>
      <c r="D6918" s="8"/>
      <c r="E6918" s="6"/>
      <c r="F6918" s="6"/>
    </row>
    <row r="6919" spans="1:6" x14ac:dyDescent="0.3">
      <c r="A6919" s="8" t="s">
        <v>13796</v>
      </c>
      <c r="B6919" s="8" t="s">
        <v>60522</v>
      </c>
      <c r="C6919" s="8" t="s">
        <v>13797</v>
      </c>
      <c r="D6919" s="8"/>
      <c r="E6919" s="6"/>
      <c r="F6919" s="6"/>
    </row>
    <row r="6920" spans="1:6" x14ac:dyDescent="0.3">
      <c r="A6920" s="8" t="s">
        <v>13798</v>
      </c>
      <c r="B6920" s="8" t="s">
        <v>60523</v>
      </c>
      <c r="C6920" s="8" t="s">
        <v>13799</v>
      </c>
      <c r="D6920" s="8"/>
      <c r="E6920" s="6"/>
      <c r="F6920" s="6"/>
    </row>
    <row r="6921" spans="1:6" x14ac:dyDescent="0.3">
      <c r="A6921" s="8" t="s">
        <v>13800</v>
      </c>
      <c r="B6921" s="8" t="s">
        <v>60524</v>
      </c>
      <c r="C6921" s="8" t="s">
        <v>13801</v>
      </c>
      <c r="D6921" s="8"/>
      <c r="E6921" s="6"/>
      <c r="F6921" s="6"/>
    </row>
    <row r="6922" spans="1:6" x14ac:dyDescent="0.3">
      <c r="A6922" s="8" t="s">
        <v>13802</v>
      </c>
      <c r="B6922" s="8" t="s">
        <v>60525</v>
      </c>
      <c r="C6922" s="8" t="s">
        <v>13803</v>
      </c>
      <c r="D6922" s="8"/>
      <c r="E6922" s="6"/>
      <c r="F6922" s="6"/>
    </row>
    <row r="6923" spans="1:6" x14ac:dyDescent="0.3">
      <c r="A6923" s="8" t="s">
        <v>13804</v>
      </c>
      <c r="B6923" s="8" t="s">
        <v>60526</v>
      </c>
      <c r="C6923" s="8" t="s">
        <v>13805</v>
      </c>
      <c r="D6923" s="8"/>
      <c r="E6923" s="6"/>
      <c r="F6923" s="6"/>
    </row>
    <row r="6924" spans="1:6" x14ac:dyDescent="0.3">
      <c r="A6924" s="8" t="s">
        <v>13806</v>
      </c>
      <c r="B6924" s="8" t="s">
        <v>60527</v>
      </c>
      <c r="C6924" s="8" t="s">
        <v>13807</v>
      </c>
      <c r="D6924" s="8"/>
      <c r="E6924" s="6"/>
      <c r="F6924" s="6"/>
    </row>
    <row r="6925" spans="1:6" x14ac:dyDescent="0.3">
      <c r="A6925" s="8" t="s">
        <v>13808</v>
      </c>
      <c r="B6925" s="8" t="s">
        <v>60528</v>
      </c>
      <c r="C6925" s="8" t="s">
        <v>13809</v>
      </c>
      <c r="D6925" s="8"/>
      <c r="E6925" s="6"/>
      <c r="F6925" s="6"/>
    </row>
    <row r="6926" spans="1:6" x14ac:dyDescent="0.3">
      <c r="A6926" s="8" t="s">
        <v>13810</v>
      </c>
      <c r="B6926" s="8" t="s">
        <v>60529</v>
      </c>
      <c r="C6926" s="8" t="s">
        <v>13811</v>
      </c>
      <c r="D6926" s="8"/>
      <c r="E6926" s="6"/>
      <c r="F6926" s="6"/>
    </row>
    <row r="6927" spans="1:6" x14ac:dyDescent="0.3">
      <c r="A6927" s="8" t="s">
        <v>13812</v>
      </c>
      <c r="B6927" s="8" t="s">
        <v>60530</v>
      </c>
      <c r="C6927" s="8" t="s">
        <v>13813</v>
      </c>
      <c r="D6927" s="8"/>
      <c r="E6927" s="6"/>
      <c r="F6927" s="6"/>
    </row>
    <row r="6928" spans="1:6" x14ac:dyDescent="0.3">
      <c r="A6928" s="8" t="s">
        <v>13814</v>
      </c>
      <c r="B6928" s="8" t="s">
        <v>60531</v>
      </c>
      <c r="C6928" s="8" t="s">
        <v>13815</v>
      </c>
      <c r="D6928" s="8"/>
      <c r="E6928" s="6"/>
      <c r="F6928" s="6"/>
    </row>
    <row r="6929" spans="1:6" x14ac:dyDescent="0.3">
      <c r="A6929" s="8" t="s">
        <v>13816</v>
      </c>
      <c r="B6929" s="8" t="s">
        <v>60532</v>
      </c>
      <c r="C6929" s="8" t="s">
        <v>13817</v>
      </c>
      <c r="D6929" s="8"/>
      <c r="E6929" s="6"/>
      <c r="F6929" s="6"/>
    </row>
    <row r="6930" spans="1:6" x14ac:dyDescent="0.3">
      <c r="A6930" s="8" t="s">
        <v>13818</v>
      </c>
      <c r="B6930" s="8" t="s">
        <v>60533</v>
      </c>
      <c r="C6930" s="8" t="s">
        <v>13819</v>
      </c>
      <c r="D6930" s="8"/>
      <c r="E6930" s="6"/>
      <c r="F6930" s="6"/>
    </row>
    <row r="6931" spans="1:6" x14ac:dyDescent="0.3">
      <c r="A6931" s="8" t="s">
        <v>13820</v>
      </c>
      <c r="B6931" s="8" t="s">
        <v>60534</v>
      </c>
      <c r="C6931" s="8" t="s">
        <v>13821</v>
      </c>
      <c r="D6931" s="8"/>
      <c r="E6931" s="6"/>
      <c r="F6931" s="6"/>
    </row>
    <row r="6932" spans="1:6" x14ac:dyDescent="0.3">
      <c r="A6932" s="8" t="s">
        <v>13822</v>
      </c>
      <c r="B6932" s="8" t="s">
        <v>60535</v>
      </c>
      <c r="C6932" s="8" t="s">
        <v>13823</v>
      </c>
      <c r="D6932" s="8"/>
      <c r="E6932" s="6"/>
      <c r="F6932" s="6"/>
    </row>
    <row r="6933" spans="1:6" x14ac:dyDescent="0.3">
      <c r="A6933" s="8" t="s">
        <v>13824</v>
      </c>
      <c r="B6933" s="8" t="s">
        <v>60536</v>
      </c>
      <c r="C6933" s="8" t="s">
        <v>13825</v>
      </c>
      <c r="D6933" s="8"/>
      <c r="E6933" s="6"/>
      <c r="F6933" s="6"/>
    </row>
    <row r="6934" spans="1:6" x14ac:dyDescent="0.3">
      <c r="A6934" s="8" t="s">
        <v>13826</v>
      </c>
      <c r="B6934" s="8" t="s">
        <v>60537</v>
      </c>
      <c r="C6934" s="8" t="s">
        <v>13827</v>
      </c>
      <c r="D6934" s="8"/>
      <c r="E6934" s="6"/>
      <c r="F6934" s="6"/>
    </row>
    <row r="6935" spans="1:6" x14ac:dyDescent="0.3">
      <c r="A6935" s="8" t="s">
        <v>13828</v>
      </c>
      <c r="B6935" s="8" t="s">
        <v>60538</v>
      </c>
      <c r="C6935" s="8" t="s">
        <v>13829</v>
      </c>
      <c r="D6935" s="8"/>
      <c r="E6935" s="6"/>
      <c r="F6935" s="6"/>
    </row>
    <row r="6936" spans="1:6" x14ac:dyDescent="0.3">
      <c r="A6936" s="8" t="s">
        <v>13830</v>
      </c>
      <c r="B6936" s="8" t="s">
        <v>60539</v>
      </c>
      <c r="C6936" s="8" t="s">
        <v>13831</v>
      </c>
      <c r="D6936" s="8"/>
      <c r="E6936" s="6"/>
      <c r="F6936" s="6"/>
    </row>
    <row r="6937" spans="1:6" x14ac:dyDescent="0.3">
      <c r="A6937" s="8" t="s">
        <v>13832</v>
      </c>
      <c r="B6937" s="8" t="s">
        <v>60540</v>
      </c>
      <c r="C6937" s="8" t="s">
        <v>13833</v>
      </c>
      <c r="D6937" s="8"/>
      <c r="E6937" s="6"/>
      <c r="F6937" s="6"/>
    </row>
    <row r="6938" spans="1:6" x14ac:dyDescent="0.3">
      <c r="A6938" s="8" t="s">
        <v>13834</v>
      </c>
      <c r="B6938" s="8" t="s">
        <v>60541</v>
      </c>
      <c r="C6938" s="8" t="s">
        <v>13835</v>
      </c>
      <c r="D6938" s="8"/>
      <c r="E6938" s="6"/>
      <c r="F6938" s="6"/>
    </row>
    <row r="6939" spans="1:6" x14ac:dyDescent="0.3">
      <c r="A6939" s="8" t="s">
        <v>13836</v>
      </c>
      <c r="B6939" s="8" t="s">
        <v>60542</v>
      </c>
      <c r="C6939" s="8" t="s">
        <v>13837</v>
      </c>
      <c r="D6939" s="8"/>
      <c r="E6939" s="6"/>
      <c r="F6939" s="6"/>
    </row>
    <row r="6940" spans="1:6" x14ac:dyDescent="0.3">
      <c r="A6940" s="8" t="s">
        <v>13838</v>
      </c>
      <c r="B6940" s="8" t="s">
        <v>60543</v>
      </c>
      <c r="C6940" s="8" t="s">
        <v>13839</v>
      </c>
      <c r="D6940" s="8"/>
      <c r="E6940" s="6"/>
      <c r="F6940" s="6"/>
    </row>
    <row r="6941" spans="1:6" x14ac:dyDescent="0.3">
      <c r="A6941" s="8" t="s">
        <v>13840</v>
      </c>
      <c r="B6941" s="8" t="s">
        <v>60544</v>
      </c>
      <c r="C6941" s="8" t="s">
        <v>13841</v>
      </c>
      <c r="D6941" s="8"/>
      <c r="E6941" s="6"/>
      <c r="F6941" s="6"/>
    </row>
    <row r="6942" spans="1:6" x14ac:dyDescent="0.3">
      <c r="A6942" s="8" t="s">
        <v>13842</v>
      </c>
      <c r="B6942" s="8" t="s">
        <v>60545</v>
      </c>
      <c r="C6942" s="8" t="s">
        <v>13843</v>
      </c>
      <c r="D6942" s="8"/>
      <c r="E6942" s="6"/>
      <c r="F6942" s="6"/>
    </row>
    <row r="6943" spans="1:6" x14ac:dyDescent="0.3">
      <c r="A6943" s="8" t="s">
        <v>13844</v>
      </c>
      <c r="B6943" s="8" t="s">
        <v>60546</v>
      </c>
      <c r="C6943" s="8" t="s">
        <v>13845</v>
      </c>
      <c r="D6943" s="8"/>
      <c r="E6943" s="6"/>
      <c r="F6943" s="6"/>
    </row>
    <row r="6944" spans="1:6" x14ac:dyDescent="0.3">
      <c r="A6944" s="8" t="s">
        <v>13846</v>
      </c>
      <c r="B6944" s="8" t="s">
        <v>60547</v>
      </c>
      <c r="C6944" s="8" t="s">
        <v>13847</v>
      </c>
      <c r="D6944" s="8"/>
      <c r="E6944" s="6"/>
      <c r="F6944" s="6"/>
    </row>
    <row r="6945" spans="1:6" x14ac:dyDescent="0.3">
      <c r="A6945" s="8" t="s">
        <v>13848</v>
      </c>
      <c r="B6945" s="8" t="s">
        <v>60548</v>
      </c>
      <c r="C6945" s="8" t="s">
        <v>13849</v>
      </c>
      <c r="D6945" s="8"/>
      <c r="E6945" s="6"/>
      <c r="F6945" s="6"/>
    </row>
    <row r="6946" spans="1:6" x14ac:dyDescent="0.3">
      <c r="A6946" s="8" t="s">
        <v>13850</v>
      </c>
      <c r="B6946" s="8" t="s">
        <v>60549</v>
      </c>
      <c r="C6946" s="8" t="s">
        <v>13851</v>
      </c>
      <c r="D6946" s="8"/>
      <c r="E6946" s="6"/>
      <c r="F6946" s="6"/>
    </row>
    <row r="6947" spans="1:6" x14ac:dyDescent="0.3">
      <c r="A6947" s="8" t="s">
        <v>13852</v>
      </c>
      <c r="B6947" s="8" t="s">
        <v>60550</v>
      </c>
      <c r="C6947" s="8" t="s">
        <v>13853</v>
      </c>
      <c r="D6947" s="8"/>
      <c r="E6947" s="6"/>
      <c r="F6947" s="6"/>
    </row>
    <row r="6948" spans="1:6" x14ac:dyDescent="0.3">
      <c r="A6948" s="8" t="s">
        <v>13854</v>
      </c>
      <c r="B6948" s="8" t="s">
        <v>60551</v>
      </c>
      <c r="C6948" s="8" t="s">
        <v>13855</v>
      </c>
      <c r="D6948" s="8"/>
      <c r="E6948" s="6"/>
      <c r="F6948" s="6"/>
    </row>
    <row r="6949" spans="1:6" x14ac:dyDescent="0.3">
      <c r="A6949" s="8" t="s">
        <v>13856</v>
      </c>
      <c r="B6949" s="8" t="s">
        <v>60552</v>
      </c>
      <c r="C6949" s="8" t="s">
        <v>13857</v>
      </c>
      <c r="D6949" s="8"/>
      <c r="E6949" s="6"/>
      <c r="F6949" s="6"/>
    </row>
    <row r="6950" spans="1:6" x14ac:dyDescent="0.3">
      <c r="A6950" s="8" t="s">
        <v>13858</v>
      </c>
      <c r="B6950" s="8" t="s">
        <v>60553</v>
      </c>
      <c r="C6950" s="8" t="s">
        <v>13859</v>
      </c>
      <c r="D6950" s="8"/>
      <c r="E6950" s="6"/>
      <c r="F6950" s="6"/>
    </row>
    <row r="6951" spans="1:6" x14ac:dyDescent="0.3">
      <c r="A6951" s="8" t="s">
        <v>13860</v>
      </c>
      <c r="B6951" s="8" t="s">
        <v>60554</v>
      </c>
      <c r="C6951" s="8" t="s">
        <v>13861</v>
      </c>
      <c r="D6951" s="8"/>
      <c r="E6951" s="6"/>
      <c r="F6951" s="6"/>
    </row>
    <row r="6952" spans="1:6" x14ac:dyDescent="0.3">
      <c r="A6952" s="8" t="s">
        <v>13862</v>
      </c>
      <c r="B6952" s="8" t="s">
        <v>60555</v>
      </c>
      <c r="C6952" s="8" t="s">
        <v>13863</v>
      </c>
      <c r="D6952" s="8"/>
      <c r="E6952" s="6"/>
      <c r="F6952" s="6"/>
    </row>
    <row r="6953" spans="1:6" x14ac:dyDescent="0.3">
      <c r="A6953" s="8" t="s">
        <v>13864</v>
      </c>
      <c r="B6953" s="8" t="s">
        <v>60556</v>
      </c>
      <c r="C6953" s="8" t="s">
        <v>13865</v>
      </c>
      <c r="D6953" s="8"/>
      <c r="E6953" s="6"/>
      <c r="F6953" s="6"/>
    </row>
    <row r="6954" spans="1:6" x14ac:dyDescent="0.3">
      <c r="A6954" s="8" t="s">
        <v>13866</v>
      </c>
      <c r="B6954" s="8" t="s">
        <v>60557</v>
      </c>
      <c r="C6954" s="8" t="s">
        <v>13867</v>
      </c>
      <c r="D6954" s="8"/>
      <c r="E6954" s="6"/>
      <c r="F6954" s="6"/>
    </row>
    <row r="6955" spans="1:6" x14ac:dyDescent="0.3">
      <c r="A6955" s="8" t="s">
        <v>13868</v>
      </c>
      <c r="B6955" s="8" t="s">
        <v>60558</v>
      </c>
      <c r="C6955" s="8" t="s">
        <v>13869</v>
      </c>
      <c r="D6955" s="8"/>
      <c r="E6955" s="6"/>
      <c r="F6955" s="6"/>
    </row>
    <row r="6956" spans="1:6" x14ac:dyDescent="0.3">
      <c r="A6956" s="8" t="s">
        <v>13870</v>
      </c>
      <c r="B6956" s="8" t="s">
        <v>60559</v>
      </c>
      <c r="C6956" s="8" t="s">
        <v>13871</v>
      </c>
      <c r="D6956" s="8"/>
      <c r="E6956" s="6"/>
      <c r="F6956" s="6"/>
    </row>
    <row r="6957" spans="1:6" x14ac:dyDescent="0.3">
      <c r="A6957" s="8" t="s">
        <v>13872</v>
      </c>
      <c r="B6957" s="8" t="s">
        <v>60560</v>
      </c>
      <c r="C6957" s="8" t="s">
        <v>13873</v>
      </c>
      <c r="D6957" s="8"/>
      <c r="E6957" s="6"/>
      <c r="F6957" s="6"/>
    </row>
    <row r="6958" spans="1:6" x14ac:dyDescent="0.3">
      <c r="A6958" s="8" t="s">
        <v>13874</v>
      </c>
      <c r="B6958" s="8" t="s">
        <v>60561</v>
      </c>
      <c r="C6958" s="8" t="s">
        <v>13875</v>
      </c>
      <c r="D6958" s="8"/>
      <c r="E6958" s="6"/>
      <c r="F6958" s="6"/>
    </row>
    <row r="6959" spans="1:6" x14ac:dyDescent="0.3">
      <c r="A6959" s="8" t="s">
        <v>13876</v>
      </c>
      <c r="B6959" s="8" t="s">
        <v>60562</v>
      </c>
      <c r="C6959" s="8" t="s">
        <v>13877</v>
      </c>
      <c r="D6959" s="8"/>
      <c r="E6959" s="6"/>
      <c r="F6959" s="6"/>
    </row>
    <row r="6960" spans="1:6" x14ac:dyDescent="0.3">
      <c r="A6960" s="8" t="s">
        <v>13878</v>
      </c>
      <c r="B6960" s="8" t="s">
        <v>60563</v>
      </c>
      <c r="C6960" s="8" t="s">
        <v>13879</v>
      </c>
      <c r="D6960" s="8"/>
      <c r="E6960" s="6"/>
      <c r="F6960" s="6"/>
    </row>
    <row r="6961" spans="1:6" x14ac:dyDescent="0.3">
      <c r="A6961" s="8" t="s">
        <v>13880</v>
      </c>
      <c r="B6961" s="8" t="s">
        <v>60564</v>
      </c>
      <c r="C6961" s="8" t="s">
        <v>13881</v>
      </c>
      <c r="D6961" s="8"/>
      <c r="E6961" s="6"/>
      <c r="F6961" s="6"/>
    </row>
    <row r="6962" spans="1:6" x14ac:dyDescent="0.3">
      <c r="A6962" s="8" t="s">
        <v>13882</v>
      </c>
      <c r="B6962" s="8" t="s">
        <v>60565</v>
      </c>
      <c r="C6962" s="8" t="s">
        <v>13883</v>
      </c>
      <c r="D6962" s="8"/>
      <c r="E6962" s="6"/>
      <c r="F6962" s="6"/>
    </row>
    <row r="6963" spans="1:6" x14ac:dyDescent="0.3">
      <c r="A6963" s="8" t="s">
        <v>13884</v>
      </c>
      <c r="B6963" s="8" t="s">
        <v>60566</v>
      </c>
      <c r="C6963" s="8" t="s">
        <v>13885</v>
      </c>
      <c r="D6963" s="8"/>
      <c r="E6963" s="6"/>
      <c r="F6963" s="6"/>
    </row>
    <row r="6964" spans="1:6" x14ac:dyDescent="0.3">
      <c r="A6964" s="8" t="s">
        <v>13886</v>
      </c>
      <c r="B6964" s="8" t="s">
        <v>60567</v>
      </c>
      <c r="C6964" s="8" t="s">
        <v>13887</v>
      </c>
      <c r="D6964" s="8"/>
      <c r="E6964" s="6"/>
      <c r="F6964" s="6"/>
    </row>
    <row r="6965" spans="1:6" x14ac:dyDescent="0.3">
      <c r="A6965" s="8" t="s">
        <v>13888</v>
      </c>
      <c r="B6965" s="8" t="s">
        <v>60568</v>
      </c>
      <c r="C6965" s="8" t="s">
        <v>13889</v>
      </c>
      <c r="D6965" s="8"/>
      <c r="E6965" s="6"/>
      <c r="F6965" s="6"/>
    </row>
    <row r="6966" spans="1:6" x14ac:dyDescent="0.3">
      <c r="A6966" s="8" t="s">
        <v>13890</v>
      </c>
      <c r="B6966" s="8" t="s">
        <v>60569</v>
      </c>
      <c r="C6966" s="8" t="s">
        <v>13891</v>
      </c>
      <c r="D6966" s="8"/>
      <c r="E6966" s="6"/>
      <c r="F6966" s="6"/>
    </row>
    <row r="6967" spans="1:6" x14ac:dyDescent="0.3">
      <c r="A6967" s="8" t="s">
        <v>13892</v>
      </c>
      <c r="B6967" s="8" t="s">
        <v>60570</v>
      </c>
      <c r="C6967" s="8" t="s">
        <v>13893</v>
      </c>
      <c r="D6967" s="8"/>
      <c r="E6967" s="6"/>
      <c r="F6967" s="6"/>
    </row>
    <row r="6968" spans="1:6" x14ac:dyDescent="0.3">
      <c r="A6968" s="8" t="s">
        <v>13894</v>
      </c>
      <c r="B6968" s="8" t="s">
        <v>60571</v>
      </c>
      <c r="C6968" s="8" t="s">
        <v>13895</v>
      </c>
      <c r="D6968" s="8"/>
      <c r="E6968" s="6"/>
      <c r="F6968" s="6"/>
    </row>
    <row r="6969" spans="1:6" x14ac:dyDescent="0.3">
      <c r="A6969" s="8" t="s">
        <v>13896</v>
      </c>
      <c r="B6969" s="8" t="s">
        <v>60572</v>
      </c>
      <c r="C6969" s="8" t="s">
        <v>13897</v>
      </c>
      <c r="D6969" s="8"/>
      <c r="E6969" s="6"/>
      <c r="F6969" s="6"/>
    </row>
    <row r="6970" spans="1:6" x14ac:dyDescent="0.3">
      <c r="A6970" s="8" t="s">
        <v>13898</v>
      </c>
      <c r="B6970" s="8" t="s">
        <v>60573</v>
      </c>
      <c r="C6970" s="8" t="s">
        <v>13899</v>
      </c>
      <c r="D6970" s="8"/>
      <c r="E6970" s="6"/>
      <c r="F6970" s="6"/>
    </row>
    <row r="6971" spans="1:6" x14ac:dyDescent="0.3">
      <c r="A6971" s="8" t="s">
        <v>13900</v>
      </c>
      <c r="B6971" s="8" t="s">
        <v>60574</v>
      </c>
      <c r="C6971" s="8" t="s">
        <v>13901</v>
      </c>
      <c r="D6971" s="8"/>
      <c r="E6971" s="6"/>
      <c r="F6971" s="6"/>
    </row>
    <row r="6972" spans="1:6" x14ac:dyDescent="0.3">
      <c r="A6972" s="8" t="s">
        <v>13902</v>
      </c>
      <c r="B6972" s="8" t="s">
        <v>60575</v>
      </c>
      <c r="C6972" s="8" t="s">
        <v>13903</v>
      </c>
      <c r="D6972" s="8"/>
      <c r="E6972" s="6"/>
      <c r="F6972" s="6"/>
    </row>
    <row r="6973" spans="1:6" x14ac:dyDescent="0.3">
      <c r="A6973" s="8" t="s">
        <v>13904</v>
      </c>
      <c r="B6973" s="8" t="s">
        <v>60576</v>
      </c>
      <c r="C6973" s="8" t="s">
        <v>13905</v>
      </c>
      <c r="D6973" s="8"/>
      <c r="E6973" s="6"/>
      <c r="F6973" s="6"/>
    </row>
    <row r="6974" spans="1:6" x14ac:dyDescent="0.3">
      <c r="A6974" s="8" t="s">
        <v>13906</v>
      </c>
      <c r="B6974" s="8" t="s">
        <v>60577</v>
      </c>
      <c r="C6974" s="8" t="s">
        <v>13907</v>
      </c>
      <c r="D6974" s="8"/>
      <c r="E6974" s="6"/>
      <c r="F6974" s="6"/>
    </row>
    <row r="6975" spans="1:6" x14ac:dyDescent="0.3">
      <c r="A6975" s="8" t="s">
        <v>13908</v>
      </c>
      <c r="B6975" s="8" t="s">
        <v>60578</v>
      </c>
      <c r="C6975" s="8" t="s">
        <v>13909</v>
      </c>
      <c r="D6975" s="8"/>
      <c r="E6975" s="6"/>
      <c r="F6975" s="6"/>
    </row>
    <row r="6976" spans="1:6" x14ac:dyDescent="0.3">
      <c r="A6976" s="8" t="s">
        <v>13910</v>
      </c>
      <c r="B6976" s="8" t="s">
        <v>60579</v>
      </c>
      <c r="C6976" s="8" t="s">
        <v>13911</v>
      </c>
      <c r="D6976" s="8"/>
      <c r="E6976" s="6"/>
      <c r="F6976" s="6"/>
    </row>
    <row r="6977" spans="1:6" x14ac:dyDescent="0.3">
      <c r="A6977" s="8" t="s">
        <v>13912</v>
      </c>
      <c r="B6977" s="8" t="s">
        <v>60580</v>
      </c>
      <c r="C6977" s="8" t="s">
        <v>13913</v>
      </c>
      <c r="D6977" s="8"/>
      <c r="E6977" s="6"/>
      <c r="F6977" s="6"/>
    </row>
    <row r="6978" spans="1:6" x14ac:dyDescent="0.3">
      <c r="A6978" s="8" t="s">
        <v>13914</v>
      </c>
      <c r="B6978" s="8" t="s">
        <v>60581</v>
      </c>
      <c r="C6978" s="8" t="s">
        <v>13915</v>
      </c>
      <c r="D6978" s="8"/>
      <c r="E6978" s="6"/>
      <c r="F6978" s="6"/>
    </row>
    <row r="6979" spans="1:6" x14ac:dyDescent="0.3">
      <c r="A6979" s="8" t="s">
        <v>13916</v>
      </c>
      <c r="B6979" s="8" t="s">
        <v>60582</v>
      </c>
      <c r="C6979" s="8" t="s">
        <v>13917</v>
      </c>
      <c r="D6979" s="8"/>
      <c r="E6979" s="6"/>
      <c r="F6979" s="6"/>
    </row>
    <row r="6980" spans="1:6" x14ac:dyDescent="0.3">
      <c r="A6980" s="8" t="s">
        <v>13918</v>
      </c>
      <c r="B6980" s="8" t="s">
        <v>60583</v>
      </c>
      <c r="C6980" s="8" t="s">
        <v>13919</v>
      </c>
      <c r="D6980" s="8"/>
      <c r="E6980" s="6"/>
      <c r="F6980" s="6"/>
    </row>
    <row r="6981" spans="1:6" x14ac:dyDescent="0.3">
      <c r="A6981" s="8" t="s">
        <v>13920</v>
      </c>
      <c r="B6981" s="8" t="s">
        <v>60584</v>
      </c>
      <c r="C6981" s="8" t="s">
        <v>13921</v>
      </c>
      <c r="D6981" s="8"/>
      <c r="E6981" s="6"/>
      <c r="F6981" s="6"/>
    </row>
    <row r="6982" spans="1:6" x14ac:dyDescent="0.3">
      <c r="A6982" s="8" t="s">
        <v>13922</v>
      </c>
      <c r="B6982" s="8" t="s">
        <v>60585</v>
      </c>
      <c r="C6982" s="8" t="s">
        <v>13923</v>
      </c>
      <c r="D6982" s="8"/>
      <c r="E6982" s="6"/>
      <c r="F6982" s="6"/>
    </row>
    <row r="6983" spans="1:6" x14ac:dyDescent="0.3">
      <c r="A6983" s="8" t="s">
        <v>13924</v>
      </c>
      <c r="B6983" s="8" t="s">
        <v>60586</v>
      </c>
      <c r="C6983" s="8" t="s">
        <v>13925</v>
      </c>
      <c r="D6983" s="8"/>
      <c r="E6983" s="6"/>
      <c r="F6983" s="6"/>
    </row>
    <row r="6984" spans="1:6" x14ac:dyDescent="0.3">
      <c r="A6984" s="8" t="s">
        <v>13926</v>
      </c>
      <c r="B6984" s="8" t="s">
        <v>60587</v>
      </c>
      <c r="C6984" s="8" t="s">
        <v>13927</v>
      </c>
      <c r="D6984" s="8"/>
      <c r="E6984" s="6"/>
      <c r="F6984" s="6"/>
    </row>
    <row r="6985" spans="1:6" x14ac:dyDescent="0.3">
      <c r="A6985" s="8" t="s">
        <v>13928</v>
      </c>
      <c r="B6985" s="8" t="s">
        <v>60588</v>
      </c>
      <c r="C6985" s="8" t="s">
        <v>13929</v>
      </c>
      <c r="D6985" s="8"/>
      <c r="E6985" s="6"/>
      <c r="F6985" s="6"/>
    </row>
    <row r="6986" spans="1:6" x14ac:dyDescent="0.3">
      <c r="A6986" s="8" t="s">
        <v>13930</v>
      </c>
      <c r="B6986" s="8" t="s">
        <v>60589</v>
      </c>
      <c r="C6986" s="8" t="s">
        <v>13931</v>
      </c>
      <c r="D6986" s="8"/>
      <c r="E6986" s="6"/>
      <c r="F6986" s="6"/>
    </row>
    <row r="6987" spans="1:6" x14ac:dyDescent="0.3">
      <c r="A6987" s="8" t="s">
        <v>13932</v>
      </c>
      <c r="B6987" s="8" t="s">
        <v>60590</v>
      </c>
      <c r="C6987" s="8" t="s">
        <v>13933</v>
      </c>
      <c r="D6987" s="8"/>
      <c r="E6987" s="6"/>
      <c r="F6987" s="6"/>
    </row>
    <row r="6988" spans="1:6" ht="28.8" x14ac:dyDescent="0.3">
      <c r="A6988" s="8" t="s">
        <v>13934</v>
      </c>
      <c r="B6988" s="8" t="s">
        <v>60591</v>
      </c>
      <c r="C6988" s="8" t="s">
        <v>13935</v>
      </c>
      <c r="D6988" s="8"/>
      <c r="E6988" s="6"/>
      <c r="F6988" s="6"/>
    </row>
    <row r="6989" spans="1:6" x14ac:dyDescent="0.3">
      <c r="A6989" s="8" t="s">
        <v>13936</v>
      </c>
      <c r="B6989" s="8" t="s">
        <v>60592</v>
      </c>
      <c r="C6989" s="8" t="s">
        <v>13937</v>
      </c>
      <c r="D6989" s="8"/>
      <c r="E6989" s="6"/>
      <c r="F6989" s="6"/>
    </row>
    <row r="6990" spans="1:6" x14ac:dyDescent="0.3">
      <c r="A6990" s="8" t="s">
        <v>13938</v>
      </c>
      <c r="B6990" s="8" t="s">
        <v>60593</v>
      </c>
      <c r="C6990" s="8" t="s">
        <v>13939</v>
      </c>
      <c r="D6990" s="8"/>
      <c r="E6990" s="6"/>
      <c r="F6990" s="6"/>
    </row>
    <row r="6991" spans="1:6" x14ac:dyDescent="0.3">
      <c r="A6991" s="8" t="s">
        <v>13940</v>
      </c>
      <c r="B6991" s="8" t="s">
        <v>60594</v>
      </c>
      <c r="C6991" s="8" t="s">
        <v>13941</v>
      </c>
      <c r="D6991" s="8"/>
      <c r="E6991" s="6"/>
      <c r="F6991" s="6"/>
    </row>
    <row r="6992" spans="1:6" x14ac:dyDescent="0.3">
      <c r="A6992" s="8" t="s">
        <v>13942</v>
      </c>
      <c r="B6992" s="8" t="s">
        <v>60595</v>
      </c>
      <c r="C6992" s="8" t="s">
        <v>13943</v>
      </c>
      <c r="D6992" s="8"/>
      <c r="E6992" s="6"/>
      <c r="F6992" s="6"/>
    </row>
    <row r="6993" spans="1:6" x14ac:dyDescent="0.3">
      <c r="A6993" s="8" t="s">
        <v>13944</v>
      </c>
      <c r="B6993" s="8" t="s">
        <v>60596</v>
      </c>
      <c r="C6993" s="8" t="s">
        <v>13945</v>
      </c>
      <c r="D6993" s="8"/>
      <c r="E6993" s="6"/>
      <c r="F6993" s="6"/>
    </row>
    <row r="6994" spans="1:6" x14ac:dyDescent="0.3">
      <c r="A6994" s="8" t="s">
        <v>13946</v>
      </c>
      <c r="B6994" s="8" t="s">
        <v>60597</v>
      </c>
      <c r="C6994" s="8" t="s">
        <v>13947</v>
      </c>
      <c r="D6994" s="8"/>
      <c r="E6994" s="6"/>
      <c r="F6994" s="6"/>
    </row>
    <row r="6995" spans="1:6" x14ac:dyDescent="0.3">
      <c r="A6995" s="8" t="s">
        <v>13948</v>
      </c>
      <c r="B6995" s="8" t="s">
        <v>60598</v>
      </c>
      <c r="C6995" s="8" t="s">
        <v>13949</v>
      </c>
      <c r="D6995" s="8"/>
      <c r="E6995" s="6"/>
      <c r="F6995" s="6"/>
    </row>
    <row r="6996" spans="1:6" x14ac:dyDescent="0.3">
      <c r="A6996" s="8" t="s">
        <v>13950</v>
      </c>
      <c r="B6996" s="8" t="s">
        <v>60599</v>
      </c>
      <c r="C6996" s="8" t="s">
        <v>13951</v>
      </c>
      <c r="D6996" s="8"/>
      <c r="E6996" s="6"/>
      <c r="F6996" s="6"/>
    </row>
    <row r="6997" spans="1:6" x14ac:dyDescent="0.3">
      <c r="A6997" s="8" t="s">
        <v>13952</v>
      </c>
      <c r="B6997" s="8" t="s">
        <v>60600</v>
      </c>
      <c r="C6997" s="8" t="s">
        <v>13953</v>
      </c>
      <c r="D6997" s="8"/>
      <c r="E6997" s="6"/>
      <c r="F6997" s="6"/>
    </row>
    <row r="6998" spans="1:6" x14ac:dyDescent="0.3">
      <c r="A6998" s="8" t="s">
        <v>13954</v>
      </c>
      <c r="B6998" s="8" t="s">
        <v>60601</v>
      </c>
      <c r="C6998" s="8" t="s">
        <v>13955</v>
      </c>
      <c r="D6998" s="8"/>
      <c r="E6998" s="6"/>
      <c r="F6998" s="6"/>
    </row>
    <row r="6999" spans="1:6" x14ac:dyDescent="0.3">
      <c r="A6999" s="8" t="s">
        <v>13956</v>
      </c>
      <c r="B6999" s="8" t="s">
        <v>60602</v>
      </c>
      <c r="C6999" s="8" t="s">
        <v>13957</v>
      </c>
      <c r="D6999" s="8"/>
      <c r="E6999" s="6"/>
      <c r="F6999" s="6"/>
    </row>
    <row r="7000" spans="1:6" x14ac:dyDescent="0.3">
      <c r="A7000" s="8" t="s">
        <v>13958</v>
      </c>
      <c r="B7000" s="8" t="s">
        <v>60603</v>
      </c>
      <c r="C7000" s="8" t="s">
        <v>13959</v>
      </c>
      <c r="D7000" s="8"/>
      <c r="E7000" s="6"/>
      <c r="F7000" s="6"/>
    </row>
    <row r="7001" spans="1:6" x14ac:dyDescent="0.3">
      <c r="A7001" s="8" t="s">
        <v>13960</v>
      </c>
      <c r="B7001" s="8" t="s">
        <v>60604</v>
      </c>
      <c r="C7001" s="8" t="s">
        <v>13961</v>
      </c>
      <c r="D7001" s="8"/>
      <c r="E7001" s="6"/>
      <c r="F7001" s="6"/>
    </row>
    <row r="7002" spans="1:6" x14ac:dyDescent="0.3">
      <c r="A7002" s="8" t="s">
        <v>13962</v>
      </c>
      <c r="B7002" s="8" t="s">
        <v>60605</v>
      </c>
      <c r="C7002" s="8" t="s">
        <v>13963</v>
      </c>
      <c r="D7002" s="8"/>
      <c r="E7002" s="6"/>
      <c r="F7002" s="6"/>
    </row>
    <row r="7003" spans="1:6" x14ac:dyDescent="0.3">
      <c r="A7003" s="8" t="s">
        <v>13964</v>
      </c>
      <c r="B7003" s="8" t="s">
        <v>60606</v>
      </c>
      <c r="C7003" s="8" t="s">
        <v>13965</v>
      </c>
      <c r="D7003" s="8"/>
      <c r="E7003" s="6"/>
      <c r="F7003" s="6"/>
    </row>
    <row r="7004" spans="1:6" x14ac:dyDescent="0.3">
      <c r="A7004" s="8" t="s">
        <v>13966</v>
      </c>
      <c r="B7004" s="8" t="s">
        <v>60607</v>
      </c>
      <c r="C7004" s="8" t="s">
        <v>13967</v>
      </c>
      <c r="D7004" s="8"/>
      <c r="E7004" s="6"/>
      <c r="F7004" s="6"/>
    </row>
    <row r="7005" spans="1:6" x14ac:dyDescent="0.3">
      <c r="A7005" s="8" t="s">
        <v>13968</v>
      </c>
      <c r="B7005" s="8" t="s">
        <v>60608</v>
      </c>
      <c r="C7005" s="8" t="s">
        <v>13969</v>
      </c>
      <c r="D7005" s="8"/>
      <c r="E7005" s="6"/>
      <c r="F7005" s="6"/>
    </row>
    <row r="7006" spans="1:6" x14ac:dyDescent="0.3">
      <c r="A7006" s="8" t="s">
        <v>13970</v>
      </c>
      <c r="B7006" s="8" t="s">
        <v>60609</v>
      </c>
      <c r="C7006" s="8" t="s">
        <v>13971</v>
      </c>
      <c r="D7006" s="8"/>
      <c r="E7006" s="6"/>
      <c r="F7006" s="6"/>
    </row>
    <row r="7007" spans="1:6" x14ac:dyDescent="0.3">
      <c r="A7007" s="8" t="s">
        <v>13972</v>
      </c>
      <c r="B7007" s="8" t="s">
        <v>60610</v>
      </c>
      <c r="C7007" s="8" t="s">
        <v>13973</v>
      </c>
      <c r="D7007" s="8"/>
      <c r="E7007" s="6"/>
      <c r="F7007" s="6"/>
    </row>
    <row r="7008" spans="1:6" x14ac:dyDescent="0.3">
      <c r="A7008" s="8" t="s">
        <v>13974</v>
      </c>
      <c r="B7008" s="8" t="s">
        <v>60611</v>
      </c>
      <c r="C7008" s="8" t="s">
        <v>13975</v>
      </c>
      <c r="D7008" s="8"/>
      <c r="E7008" s="6"/>
      <c r="F7008" s="6"/>
    </row>
    <row r="7009" spans="1:6" x14ac:dyDescent="0.3">
      <c r="A7009" s="8" t="s">
        <v>13976</v>
      </c>
      <c r="B7009" s="8" t="s">
        <v>60612</v>
      </c>
      <c r="C7009" s="8" t="s">
        <v>13977</v>
      </c>
      <c r="D7009" s="8"/>
      <c r="E7009" s="6"/>
      <c r="F7009" s="6"/>
    </row>
    <row r="7010" spans="1:6" x14ac:dyDescent="0.3">
      <c r="A7010" s="8" t="s">
        <v>13978</v>
      </c>
      <c r="B7010" s="8" t="s">
        <v>60613</v>
      </c>
      <c r="C7010" s="8" t="s">
        <v>13979</v>
      </c>
      <c r="D7010" s="8"/>
      <c r="E7010" s="6"/>
      <c r="F7010" s="6"/>
    </row>
    <row r="7011" spans="1:6" x14ac:dyDescent="0.3">
      <c r="A7011" s="8" t="s">
        <v>13980</v>
      </c>
      <c r="B7011" s="8" t="s">
        <v>60614</v>
      </c>
      <c r="C7011" s="8" t="s">
        <v>13981</v>
      </c>
      <c r="D7011" s="8"/>
      <c r="E7011" s="6"/>
      <c r="F7011" s="6"/>
    </row>
    <row r="7012" spans="1:6" x14ac:dyDescent="0.3">
      <c r="A7012" s="8" t="s">
        <v>13982</v>
      </c>
      <c r="B7012" s="8" t="s">
        <v>60615</v>
      </c>
      <c r="C7012" s="8" t="s">
        <v>13983</v>
      </c>
      <c r="D7012" s="8"/>
      <c r="E7012" s="6"/>
      <c r="F7012" s="6"/>
    </row>
    <row r="7013" spans="1:6" x14ac:dyDescent="0.3">
      <c r="A7013" s="8" t="s">
        <v>13984</v>
      </c>
      <c r="B7013" s="8" t="s">
        <v>60616</v>
      </c>
      <c r="C7013" s="8" t="s">
        <v>13985</v>
      </c>
      <c r="D7013" s="8"/>
      <c r="E7013" s="6"/>
      <c r="F7013" s="6"/>
    </row>
    <row r="7014" spans="1:6" x14ac:dyDescent="0.3">
      <c r="A7014" s="8" t="s">
        <v>13986</v>
      </c>
      <c r="B7014" s="8" t="s">
        <v>60617</v>
      </c>
      <c r="C7014" s="8" t="s">
        <v>13987</v>
      </c>
      <c r="D7014" s="8"/>
      <c r="E7014" s="6"/>
      <c r="F7014" s="6"/>
    </row>
    <row r="7015" spans="1:6" x14ac:dyDescent="0.3">
      <c r="A7015" s="8" t="s">
        <v>13988</v>
      </c>
      <c r="B7015" s="8" t="s">
        <v>60618</v>
      </c>
      <c r="C7015" s="8" t="s">
        <v>13989</v>
      </c>
      <c r="D7015" s="8"/>
      <c r="E7015" s="6"/>
      <c r="F7015" s="6"/>
    </row>
    <row r="7016" spans="1:6" x14ac:dyDescent="0.3">
      <c r="A7016" s="8" t="s">
        <v>13990</v>
      </c>
      <c r="B7016" s="8" t="s">
        <v>60619</v>
      </c>
      <c r="C7016" s="8" t="s">
        <v>13991</v>
      </c>
      <c r="D7016" s="8"/>
      <c r="E7016" s="6"/>
      <c r="F7016" s="6"/>
    </row>
    <row r="7017" spans="1:6" x14ac:dyDescent="0.3">
      <c r="A7017" s="8" t="s">
        <v>13992</v>
      </c>
      <c r="B7017" s="8" t="s">
        <v>60620</v>
      </c>
      <c r="C7017" s="8" t="s">
        <v>13993</v>
      </c>
      <c r="D7017" s="8"/>
      <c r="E7017" s="6"/>
      <c r="F7017" s="6"/>
    </row>
    <row r="7018" spans="1:6" x14ac:dyDescent="0.3">
      <c r="A7018" s="8" t="s">
        <v>13994</v>
      </c>
      <c r="B7018" s="8" t="s">
        <v>60621</v>
      </c>
      <c r="C7018" s="8" t="s">
        <v>13995</v>
      </c>
      <c r="D7018" s="8"/>
      <c r="E7018" s="6"/>
      <c r="F7018" s="6"/>
    </row>
    <row r="7019" spans="1:6" x14ac:dyDescent="0.3">
      <c r="A7019" s="8" t="s">
        <v>13996</v>
      </c>
      <c r="B7019" s="8" t="s">
        <v>60622</v>
      </c>
      <c r="C7019" s="8" t="s">
        <v>13997</v>
      </c>
      <c r="D7019" s="8"/>
      <c r="E7019" s="6"/>
      <c r="F7019" s="6"/>
    </row>
    <row r="7020" spans="1:6" x14ac:dyDescent="0.3">
      <c r="A7020" s="8" t="s">
        <v>13998</v>
      </c>
      <c r="B7020" s="8" t="s">
        <v>60623</v>
      </c>
      <c r="C7020" s="8" t="s">
        <v>13999</v>
      </c>
      <c r="D7020" s="8"/>
      <c r="E7020" s="6"/>
      <c r="F7020" s="6"/>
    </row>
    <row r="7021" spans="1:6" x14ac:dyDescent="0.3">
      <c r="A7021" s="8" t="s">
        <v>14000</v>
      </c>
      <c r="B7021" s="8" t="s">
        <v>60624</v>
      </c>
      <c r="C7021" s="8" t="s">
        <v>14001</v>
      </c>
      <c r="D7021" s="8"/>
      <c r="E7021" s="6"/>
      <c r="F7021" s="6"/>
    </row>
    <row r="7022" spans="1:6" x14ac:dyDescent="0.3">
      <c r="A7022" s="8" t="s">
        <v>14002</v>
      </c>
      <c r="B7022" s="8" t="s">
        <v>60625</v>
      </c>
      <c r="C7022" s="8" t="s">
        <v>14003</v>
      </c>
      <c r="D7022" s="8"/>
      <c r="E7022" s="6"/>
      <c r="F7022" s="6"/>
    </row>
    <row r="7023" spans="1:6" x14ac:dyDescent="0.3">
      <c r="A7023" s="8" t="s">
        <v>14004</v>
      </c>
      <c r="B7023" s="8" t="s">
        <v>60626</v>
      </c>
      <c r="C7023" s="8" t="s">
        <v>14005</v>
      </c>
      <c r="D7023" s="8"/>
      <c r="E7023" s="6"/>
      <c r="F7023" s="6"/>
    </row>
    <row r="7024" spans="1:6" x14ac:dyDescent="0.3">
      <c r="A7024" s="8" t="s">
        <v>14006</v>
      </c>
      <c r="B7024" s="8" t="s">
        <v>60627</v>
      </c>
      <c r="C7024" s="8" t="s">
        <v>14007</v>
      </c>
      <c r="D7024" s="8"/>
      <c r="E7024" s="6"/>
      <c r="F7024" s="6"/>
    </row>
    <row r="7025" spans="1:6" x14ac:dyDescent="0.3">
      <c r="A7025" s="8" t="s">
        <v>14008</v>
      </c>
      <c r="B7025" s="8" t="s">
        <v>60628</v>
      </c>
      <c r="C7025" s="8" t="s">
        <v>14009</v>
      </c>
      <c r="D7025" s="8"/>
      <c r="E7025" s="6"/>
      <c r="F7025" s="6"/>
    </row>
    <row r="7026" spans="1:6" x14ac:dyDescent="0.3">
      <c r="A7026" s="8" t="s">
        <v>14010</v>
      </c>
      <c r="B7026" s="8" t="s">
        <v>60629</v>
      </c>
      <c r="C7026" s="8" t="s">
        <v>14011</v>
      </c>
      <c r="D7026" s="8"/>
      <c r="E7026" s="6"/>
      <c r="F7026" s="6"/>
    </row>
    <row r="7027" spans="1:6" ht="28.8" x14ac:dyDescent="0.3">
      <c r="A7027" s="8" t="s">
        <v>14012</v>
      </c>
      <c r="B7027" s="8" t="s">
        <v>60630</v>
      </c>
      <c r="C7027" s="8" t="s">
        <v>14013</v>
      </c>
      <c r="D7027" s="8"/>
      <c r="E7027" s="6"/>
      <c r="F7027" s="6"/>
    </row>
    <row r="7028" spans="1:6" x14ac:dyDescent="0.3">
      <c r="A7028" s="8" t="s">
        <v>14014</v>
      </c>
      <c r="B7028" s="8" t="s">
        <v>60631</v>
      </c>
      <c r="C7028" s="8" t="s">
        <v>14015</v>
      </c>
      <c r="D7028" s="8"/>
      <c r="E7028" s="6"/>
      <c r="F7028" s="6"/>
    </row>
    <row r="7029" spans="1:6" x14ac:dyDescent="0.3">
      <c r="A7029" s="8" t="s">
        <v>14016</v>
      </c>
      <c r="B7029" s="8" t="s">
        <v>60632</v>
      </c>
      <c r="C7029" s="8" t="s">
        <v>14017</v>
      </c>
      <c r="D7029" s="8"/>
      <c r="E7029" s="6"/>
      <c r="F7029" s="6"/>
    </row>
    <row r="7030" spans="1:6" x14ac:dyDescent="0.3">
      <c r="A7030" s="8" t="s">
        <v>14018</v>
      </c>
      <c r="B7030" s="8" t="s">
        <v>60633</v>
      </c>
      <c r="C7030" s="8" t="s">
        <v>14019</v>
      </c>
      <c r="D7030" s="8"/>
      <c r="E7030" s="6"/>
      <c r="F7030" s="6"/>
    </row>
    <row r="7031" spans="1:6" x14ac:dyDescent="0.3">
      <c r="A7031" s="8" t="s">
        <v>14020</v>
      </c>
      <c r="B7031" s="8" t="s">
        <v>60634</v>
      </c>
      <c r="C7031" s="8" t="s">
        <v>14021</v>
      </c>
      <c r="D7031" s="8"/>
      <c r="E7031" s="6"/>
      <c r="F7031" s="6"/>
    </row>
    <row r="7032" spans="1:6" x14ac:dyDescent="0.3">
      <c r="A7032" s="8" t="s">
        <v>14022</v>
      </c>
      <c r="B7032" s="8" t="s">
        <v>60635</v>
      </c>
      <c r="C7032" s="8" t="s">
        <v>14023</v>
      </c>
      <c r="D7032" s="8"/>
      <c r="E7032" s="6"/>
      <c r="F7032" s="6"/>
    </row>
    <row r="7033" spans="1:6" x14ac:dyDescent="0.3">
      <c r="A7033" s="8" t="s">
        <v>14024</v>
      </c>
      <c r="B7033" s="8" t="s">
        <v>60636</v>
      </c>
      <c r="C7033" s="8" t="s">
        <v>14025</v>
      </c>
      <c r="D7033" s="8"/>
      <c r="E7033" s="6"/>
      <c r="F7033" s="6"/>
    </row>
    <row r="7034" spans="1:6" x14ac:dyDescent="0.3">
      <c r="A7034" s="8" t="s">
        <v>14026</v>
      </c>
      <c r="B7034" s="8" t="s">
        <v>60637</v>
      </c>
      <c r="C7034" s="8" t="s">
        <v>14027</v>
      </c>
      <c r="D7034" s="8"/>
      <c r="E7034" s="6"/>
      <c r="F7034" s="6"/>
    </row>
    <row r="7035" spans="1:6" x14ac:dyDescent="0.3">
      <c r="A7035" s="8" t="s">
        <v>14028</v>
      </c>
      <c r="B7035" s="8" t="s">
        <v>60638</v>
      </c>
      <c r="C7035" s="8" t="s">
        <v>14029</v>
      </c>
      <c r="D7035" s="8"/>
      <c r="E7035" s="6"/>
      <c r="F7035" s="6"/>
    </row>
    <row r="7036" spans="1:6" x14ac:dyDescent="0.3">
      <c r="A7036" s="8" t="s">
        <v>14030</v>
      </c>
      <c r="B7036" s="8" t="s">
        <v>60639</v>
      </c>
      <c r="C7036" s="8" t="s">
        <v>14031</v>
      </c>
      <c r="D7036" s="8"/>
      <c r="E7036" s="6"/>
      <c r="F7036" s="6"/>
    </row>
    <row r="7037" spans="1:6" x14ac:dyDescent="0.3">
      <c r="A7037" s="8" t="s">
        <v>14032</v>
      </c>
      <c r="B7037" s="8" t="s">
        <v>60640</v>
      </c>
      <c r="C7037" s="8" t="s">
        <v>14033</v>
      </c>
      <c r="D7037" s="8"/>
      <c r="E7037" s="6"/>
      <c r="F7037" s="6"/>
    </row>
    <row r="7038" spans="1:6" x14ac:dyDescent="0.3">
      <c r="A7038" s="8" t="s">
        <v>14034</v>
      </c>
      <c r="B7038" s="8" t="s">
        <v>60641</v>
      </c>
      <c r="C7038" s="8" t="s">
        <v>14035</v>
      </c>
      <c r="D7038" s="8"/>
      <c r="E7038" s="6"/>
      <c r="F7038" s="6"/>
    </row>
    <row r="7039" spans="1:6" x14ac:dyDescent="0.3">
      <c r="A7039" s="8" t="s">
        <v>14036</v>
      </c>
      <c r="B7039" s="8" t="s">
        <v>60642</v>
      </c>
      <c r="C7039" s="8" t="s">
        <v>14037</v>
      </c>
      <c r="D7039" s="8"/>
      <c r="E7039" s="6"/>
      <c r="F7039" s="6"/>
    </row>
    <row r="7040" spans="1:6" x14ac:dyDescent="0.3">
      <c r="A7040" s="8" t="s">
        <v>14038</v>
      </c>
      <c r="B7040" s="8" t="s">
        <v>60643</v>
      </c>
      <c r="C7040" s="8" t="s">
        <v>14039</v>
      </c>
      <c r="D7040" s="8"/>
      <c r="E7040" s="6"/>
      <c r="F7040" s="6"/>
    </row>
    <row r="7041" spans="1:6" x14ac:dyDescent="0.3">
      <c r="A7041" s="8" t="s">
        <v>14040</v>
      </c>
      <c r="B7041" s="8" t="s">
        <v>60644</v>
      </c>
      <c r="C7041" s="8" t="s">
        <v>14041</v>
      </c>
      <c r="D7041" s="8"/>
      <c r="E7041" s="6"/>
      <c r="F7041" s="6"/>
    </row>
    <row r="7042" spans="1:6" x14ac:dyDescent="0.3">
      <c r="A7042" s="8" t="s">
        <v>14042</v>
      </c>
      <c r="B7042" s="8" t="s">
        <v>60645</v>
      </c>
      <c r="C7042" s="8" t="s">
        <v>14043</v>
      </c>
      <c r="D7042" s="8"/>
      <c r="E7042" s="6"/>
      <c r="F7042" s="6"/>
    </row>
    <row r="7043" spans="1:6" ht="28.8" x14ac:dyDescent="0.3">
      <c r="A7043" s="8" t="s">
        <v>14044</v>
      </c>
      <c r="B7043" s="8" t="s">
        <v>60646</v>
      </c>
      <c r="C7043" s="8" t="s">
        <v>14045</v>
      </c>
      <c r="D7043" s="8"/>
      <c r="E7043" s="6"/>
      <c r="F7043" s="6"/>
    </row>
    <row r="7044" spans="1:6" x14ac:dyDescent="0.3">
      <c r="A7044" s="8" t="s">
        <v>14046</v>
      </c>
      <c r="B7044" s="8" t="s">
        <v>60647</v>
      </c>
      <c r="C7044" s="8" t="s">
        <v>14047</v>
      </c>
      <c r="D7044" s="8"/>
      <c r="E7044" s="6"/>
      <c r="F7044" s="6"/>
    </row>
    <row r="7045" spans="1:6" x14ac:dyDescent="0.3">
      <c r="A7045" s="8" t="s">
        <v>14048</v>
      </c>
      <c r="B7045" s="8" t="s">
        <v>60648</v>
      </c>
      <c r="C7045" s="8" t="s">
        <v>14049</v>
      </c>
      <c r="D7045" s="8"/>
      <c r="E7045" s="6"/>
      <c r="F7045" s="6"/>
    </row>
    <row r="7046" spans="1:6" x14ac:dyDescent="0.3">
      <c r="A7046" s="8" t="s">
        <v>14050</v>
      </c>
      <c r="B7046" s="8" t="s">
        <v>60649</v>
      </c>
      <c r="C7046" s="8" t="s">
        <v>14051</v>
      </c>
      <c r="D7046" s="8"/>
      <c r="E7046" s="6"/>
      <c r="F7046" s="6"/>
    </row>
    <row r="7047" spans="1:6" x14ac:dyDescent="0.3">
      <c r="A7047" s="8" t="s">
        <v>14052</v>
      </c>
      <c r="B7047" s="8" t="s">
        <v>60650</v>
      </c>
      <c r="C7047" s="8" t="s">
        <v>14053</v>
      </c>
      <c r="D7047" s="8"/>
      <c r="E7047" s="6"/>
      <c r="F7047" s="6"/>
    </row>
    <row r="7048" spans="1:6" ht="28.8" x14ac:dyDescent="0.3">
      <c r="A7048" s="8" t="s">
        <v>14054</v>
      </c>
      <c r="B7048" s="8" t="s">
        <v>60651</v>
      </c>
      <c r="C7048" s="8" t="s">
        <v>14055</v>
      </c>
      <c r="D7048" s="8"/>
      <c r="E7048" s="6"/>
      <c r="F7048" s="6"/>
    </row>
    <row r="7049" spans="1:6" ht="28.8" x14ac:dyDescent="0.3">
      <c r="A7049" s="8" t="s">
        <v>14056</v>
      </c>
      <c r="B7049" s="8" t="s">
        <v>60652</v>
      </c>
      <c r="C7049" s="8" t="s">
        <v>14057</v>
      </c>
      <c r="D7049" s="8"/>
      <c r="E7049" s="6"/>
      <c r="F7049" s="6"/>
    </row>
    <row r="7050" spans="1:6" ht="28.8" x14ac:dyDescent="0.3">
      <c r="A7050" s="8" t="s">
        <v>14058</v>
      </c>
      <c r="B7050" s="8" t="s">
        <v>60653</v>
      </c>
      <c r="C7050" s="8" t="s">
        <v>14059</v>
      </c>
      <c r="D7050" s="8"/>
      <c r="E7050" s="6"/>
      <c r="F7050" s="6"/>
    </row>
    <row r="7051" spans="1:6" ht="28.8" x14ac:dyDescent="0.3">
      <c r="A7051" s="8" t="s">
        <v>14060</v>
      </c>
      <c r="B7051" s="8" t="s">
        <v>60654</v>
      </c>
      <c r="C7051" s="8" t="s">
        <v>14061</v>
      </c>
      <c r="D7051" s="8"/>
      <c r="E7051" s="6"/>
      <c r="F7051" s="6"/>
    </row>
    <row r="7052" spans="1:6" x14ac:dyDescent="0.3">
      <c r="A7052" s="8" t="s">
        <v>14062</v>
      </c>
      <c r="B7052" s="8" t="s">
        <v>60655</v>
      </c>
      <c r="C7052" s="8" t="s">
        <v>14063</v>
      </c>
      <c r="D7052" s="8"/>
      <c r="E7052" s="6"/>
      <c r="F7052" s="6"/>
    </row>
    <row r="7053" spans="1:6" x14ac:dyDescent="0.3">
      <c r="A7053" s="8" t="s">
        <v>14064</v>
      </c>
      <c r="B7053" s="8" t="s">
        <v>60656</v>
      </c>
      <c r="C7053" s="8" t="s">
        <v>14065</v>
      </c>
      <c r="D7053" s="8"/>
      <c r="E7053" s="6"/>
      <c r="F7053" s="6"/>
    </row>
    <row r="7054" spans="1:6" x14ac:dyDescent="0.3">
      <c r="A7054" s="8" t="s">
        <v>14066</v>
      </c>
      <c r="B7054" s="8" t="s">
        <v>60657</v>
      </c>
      <c r="C7054" s="8" t="s">
        <v>14067</v>
      </c>
      <c r="D7054" s="8"/>
      <c r="E7054" s="6"/>
      <c r="F7054" s="6"/>
    </row>
    <row r="7055" spans="1:6" x14ac:dyDescent="0.3">
      <c r="A7055" s="8" t="s">
        <v>14068</v>
      </c>
      <c r="B7055" s="8" t="s">
        <v>60658</v>
      </c>
      <c r="C7055" s="8" t="s">
        <v>14069</v>
      </c>
      <c r="D7055" s="8"/>
      <c r="E7055" s="6"/>
      <c r="F7055" s="6"/>
    </row>
    <row r="7056" spans="1:6" x14ac:dyDescent="0.3">
      <c r="A7056" s="8" t="s">
        <v>14070</v>
      </c>
      <c r="B7056" s="8" t="s">
        <v>60659</v>
      </c>
      <c r="C7056" s="8" t="s">
        <v>14071</v>
      </c>
      <c r="D7056" s="8"/>
      <c r="E7056" s="6"/>
      <c r="F7056" s="6"/>
    </row>
    <row r="7057" spans="1:6" x14ac:dyDescent="0.3">
      <c r="A7057" s="8" t="s">
        <v>14072</v>
      </c>
      <c r="B7057" s="8" t="s">
        <v>60660</v>
      </c>
      <c r="C7057" s="8" t="s">
        <v>14073</v>
      </c>
      <c r="D7057" s="8"/>
      <c r="E7057" s="6"/>
      <c r="F7057" s="6"/>
    </row>
    <row r="7058" spans="1:6" x14ac:dyDescent="0.3">
      <c r="A7058" s="8" t="s">
        <v>14074</v>
      </c>
      <c r="B7058" s="8" t="s">
        <v>60661</v>
      </c>
      <c r="C7058" s="8" t="s">
        <v>14075</v>
      </c>
      <c r="D7058" s="8"/>
      <c r="E7058" s="6"/>
      <c r="F7058" s="6"/>
    </row>
    <row r="7059" spans="1:6" x14ac:dyDescent="0.3">
      <c r="A7059" s="8" t="s">
        <v>14076</v>
      </c>
      <c r="B7059" s="8" t="s">
        <v>60662</v>
      </c>
      <c r="C7059" s="8" t="s">
        <v>14077</v>
      </c>
      <c r="D7059" s="8"/>
      <c r="E7059" s="6"/>
      <c r="F7059" s="6"/>
    </row>
    <row r="7060" spans="1:6" x14ac:dyDescent="0.3">
      <c r="A7060" s="8" t="s">
        <v>14078</v>
      </c>
      <c r="B7060" s="8" t="s">
        <v>60663</v>
      </c>
      <c r="C7060" s="8" t="s">
        <v>14079</v>
      </c>
      <c r="D7060" s="8"/>
      <c r="E7060" s="6"/>
      <c r="F7060" s="6"/>
    </row>
    <row r="7061" spans="1:6" x14ac:dyDescent="0.3">
      <c r="A7061" s="8" t="s">
        <v>14080</v>
      </c>
      <c r="B7061" s="8" t="s">
        <v>60664</v>
      </c>
      <c r="C7061" s="8" t="s">
        <v>14081</v>
      </c>
      <c r="D7061" s="8"/>
      <c r="E7061" s="6"/>
      <c r="F7061" s="6"/>
    </row>
    <row r="7062" spans="1:6" x14ac:dyDescent="0.3">
      <c r="A7062" s="8" t="s">
        <v>14082</v>
      </c>
      <c r="B7062" s="8" t="s">
        <v>60665</v>
      </c>
      <c r="C7062" s="8" t="s">
        <v>14083</v>
      </c>
      <c r="D7062" s="8"/>
      <c r="E7062" s="6"/>
      <c r="F7062" s="6"/>
    </row>
    <row r="7063" spans="1:6" x14ac:dyDescent="0.3">
      <c r="A7063" s="8" t="s">
        <v>14084</v>
      </c>
      <c r="B7063" s="8" t="s">
        <v>60666</v>
      </c>
      <c r="C7063" s="8" t="s">
        <v>14085</v>
      </c>
      <c r="D7063" s="8"/>
      <c r="E7063" s="6"/>
      <c r="F7063" s="6"/>
    </row>
    <row r="7064" spans="1:6" x14ac:dyDescent="0.3">
      <c r="A7064" s="8" t="s">
        <v>14086</v>
      </c>
      <c r="B7064" s="8" t="s">
        <v>60667</v>
      </c>
      <c r="C7064" s="8" t="s">
        <v>14087</v>
      </c>
      <c r="D7064" s="8"/>
      <c r="E7064" s="6"/>
      <c r="F7064" s="6"/>
    </row>
    <row r="7065" spans="1:6" x14ac:dyDescent="0.3">
      <c r="A7065" s="8" t="s">
        <v>14088</v>
      </c>
      <c r="B7065" s="8" t="s">
        <v>60668</v>
      </c>
      <c r="C7065" s="8" t="s">
        <v>14089</v>
      </c>
      <c r="D7065" s="8"/>
      <c r="E7065" s="6"/>
      <c r="F7065" s="6"/>
    </row>
    <row r="7066" spans="1:6" x14ac:dyDescent="0.3">
      <c r="A7066" s="8" t="s">
        <v>14090</v>
      </c>
      <c r="B7066" s="8" t="s">
        <v>60669</v>
      </c>
      <c r="C7066" s="8" t="s">
        <v>14091</v>
      </c>
      <c r="D7066" s="8"/>
      <c r="E7066" s="6"/>
      <c r="F7066" s="6"/>
    </row>
    <row r="7067" spans="1:6" x14ac:dyDescent="0.3">
      <c r="A7067" s="8" t="s">
        <v>14092</v>
      </c>
      <c r="B7067" s="8" t="s">
        <v>60670</v>
      </c>
      <c r="C7067" s="8" t="s">
        <v>14093</v>
      </c>
      <c r="D7067" s="8"/>
      <c r="E7067" s="6"/>
      <c r="F7067" s="6"/>
    </row>
    <row r="7068" spans="1:6" x14ac:dyDescent="0.3">
      <c r="A7068" s="8" t="s">
        <v>14094</v>
      </c>
      <c r="B7068" s="8" t="s">
        <v>60671</v>
      </c>
      <c r="C7068" s="8" t="s">
        <v>14095</v>
      </c>
      <c r="D7068" s="8"/>
      <c r="E7068" s="6"/>
      <c r="F7068" s="6"/>
    </row>
    <row r="7069" spans="1:6" x14ac:dyDescent="0.3">
      <c r="A7069" s="8" t="s">
        <v>14096</v>
      </c>
      <c r="B7069" s="8" t="s">
        <v>60672</v>
      </c>
      <c r="C7069" s="8" t="s">
        <v>14097</v>
      </c>
      <c r="D7069" s="8"/>
      <c r="E7069" s="6"/>
      <c r="F7069" s="6"/>
    </row>
    <row r="7070" spans="1:6" x14ac:dyDescent="0.3">
      <c r="A7070" s="8" t="s">
        <v>14098</v>
      </c>
      <c r="B7070" s="8" t="s">
        <v>60673</v>
      </c>
      <c r="C7070" s="8" t="s">
        <v>14099</v>
      </c>
      <c r="D7070" s="8"/>
      <c r="E7070" s="6"/>
      <c r="F7070" s="6"/>
    </row>
    <row r="7071" spans="1:6" x14ac:dyDescent="0.3">
      <c r="A7071" s="8" t="s">
        <v>14100</v>
      </c>
      <c r="B7071" s="8" t="s">
        <v>60674</v>
      </c>
      <c r="C7071" s="8" t="s">
        <v>14101</v>
      </c>
      <c r="D7071" s="8"/>
      <c r="E7071" s="6"/>
      <c r="F7071" s="6"/>
    </row>
    <row r="7072" spans="1:6" x14ac:dyDescent="0.3">
      <c r="A7072" s="8" t="s">
        <v>14102</v>
      </c>
      <c r="B7072" s="8" t="s">
        <v>60675</v>
      </c>
      <c r="C7072" s="8" t="s">
        <v>14103</v>
      </c>
      <c r="D7072" s="8"/>
      <c r="E7072" s="6"/>
      <c r="F7072" s="6"/>
    </row>
    <row r="7073" spans="1:6" x14ac:dyDescent="0.3">
      <c r="A7073" s="8" t="s">
        <v>14104</v>
      </c>
      <c r="B7073" s="8" t="s">
        <v>60676</v>
      </c>
      <c r="C7073" s="8" t="s">
        <v>14105</v>
      </c>
      <c r="D7073" s="8"/>
      <c r="E7073" s="6"/>
      <c r="F7073" s="6"/>
    </row>
    <row r="7074" spans="1:6" x14ac:dyDescent="0.3">
      <c r="A7074" s="8" t="s">
        <v>14106</v>
      </c>
      <c r="B7074" s="8" t="s">
        <v>60677</v>
      </c>
      <c r="C7074" s="8" t="s">
        <v>14107</v>
      </c>
      <c r="D7074" s="8"/>
      <c r="E7074" s="6"/>
      <c r="F7074" s="6"/>
    </row>
    <row r="7075" spans="1:6" x14ac:dyDescent="0.3">
      <c r="A7075" s="8" t="s">
        <v>14108</v>
      </c>
      <c r="B7075" s="8" t="s">
        <v>60678</v>
      </c>
      <c r="C7075" s="8" t="s">
        <v>14109</v>
      </c>
      <c r="D7075" s="8"/>
      <c r="E7075" s="6"/>
      <c r="F7075" s="6"/>
    </row>
    <row r="7076" spans="1:6" x14ac:dyDescent="0.3">
      <c r="A7076" s="8" t="s">
        <v>14110</v>
      </c>
      <c r="B7076" s="8" t="s">
        <v>60679</v>
      </c>
      <c r="C7076" s="8" t="s">
        <v>14111</v>
      </c>
      <c r="D7076" s="8"/>
      <c r="E7076" s="6"/>
      <c r="F7076" s="6"/>
    </row>
    <row r="7077" spans="1:6" x14ac:dyDescent="0.3">
      <c r="A7077" s="8" t="s">
        <v>14112</v>
      </c>
      <c r="B7077" s="8" t="s">
        <v>60680</v>
      </c>
      <c r="C7077" s="8" t="s">
        <v>14113</v>
      </c>
      <c r="D7077" s="8"/>
      <c r="E7077" s="6"/>
      <c r="F7077" s="6"/>
    </row>
    <row r="7078" spans="1:6" x14ac:dyDescent="0.3">
      <c r="A7078" s="8" t="s">
        <v>14114</v>
      </c>
      <c r="B7078" s="8" t="s">
        <v>60681</v>
      </c>
      <c r="C7078" s="8" t="s">
        <v>14115</v>
      </c>
      <c r="D7078" s="8"/>
      <c r="E7078" s="6"/>
      <c r="F7078" s="6"/>
    </row>
    <row r="7079" spans="1:6" x14ac:dyDescent="0.3">
      <c r="A7079" s="8" t="s">
        <v>14116</v>
      </c>
      <c r="B7079" s="8" t="s">
        <v>60682</v>
      </c>
      <c r="C7079" s="8" t="s">
        <v>14117</v>
      </c>
      <c r="D7079" s="8"/>
      <c r="E7079" s="6"/>
      <c r="F7079" s="6"/>
    </row>
    <row r="7080" spans="1:6" x14ac:dyDescent="0.3">
      <c r="A7080" s="8" t="s">
        <v>14118</v>
      </c>
      <c r="B7080" s="8" t="s">
        <v>60683</v>
      </c>
      <c r="C7080" s="8" t="s">
        <v>14119</v>
      </c>
      <c r="D7080" s="8"/>
      <c r="E7080" s="6"/>
      <c r="F7080" s="6"/>
    </row>
    <row r="7081" spans="1:6" x14ac:dyDescent="0.3">
      <c r="A7081" s="8" t="s">
        <v>14120</v>
      </c>
      <c r="B7081" s="8" t="s">
        <v>60684</v>
      </c>
      <c r="C7081" s="8" t="s">
        <v>14121</v>
      </c>
      <c r="D7081" s="8"/>
      <c r="E7081" s="6"/>
      <c r="F7081" s="6"/>
    </row>
    <row r="7082" spans="1:6" x14ac:dyDescent="0.3">
      <c r="A7082" s="8" t="s">
        <v>14122</v>
      </c>
      <c r="B7082" s="8" t="s">
        <v>60685</v>
      </c>
      <c r="C7082" s="8" t="s">
        <v>14123</v>
      </c>
      <c r="D7082" s="8"/>
      <c r="E7082" s="6"/>
      <c r="F7082" s="6"/>
    </row>
    <row r="7083" spans="1:6" x14ac:dyDescent="0.3">
      <c r="A7083" s="8" t="s">
        <v>14124</v>
      </c>
      <c r="B7083" s="8" t="s">
        <v>60686</v>
      </c>
      <c r="C7083" s="8" t="s">
        <v>14125</v>
      </c>
      <c r="D7083" s="8"/>
      <c r="E7083" s="6"/>
      <c r="F7083" s="6"/>
    </row>
    <row r="7084" spans="1:6" x14ac:dyDescent="0.3">
      <c r="A7084" s="8" t="s">
        <v>14126</v>
      </c>
      <c r="B7084" s="8" t="s">
        <v>60687</v>
      </c>
      <c r="C7084" s="8" t="s">
        <v>14127</v>
      </c>
      <c r="D7084" s="8"/>
      <c r="E7084" s="6"/>
      <c r="F7084" s="6"/>
    </row>
    <row r="7085" spans="1:6" x14ac:dyDescent="0.3">
      <c r="A7085" s="8" t="s">
        <v>14128</v>
      </c>
      <c r="B7085" s="8" t="s">
        <v>60688</v>
      </c>
      <c r="C7085" s="8" t="s">
        <v>14129</v>
      </c>
      <c r="D7085" s="8"/>
      <c r="E7085" s="6"/>
      <c r="F7085" s="6"/>
    </row>
    <row r="7086" spans="1:6" x14ac:dyDescent="0.3">
      <c r="A7086" s="8" t="s">
        <v>14130</v>
      </c>
      <c r="B7086" s="8" t="s">
        <v>60689</v>
      </c>
      <c r="C7086" s="8" t="s">
        <v>14131</v>
      </c>
      <c r="D7086" s="8"/>
      <c r="E7086" s="6"/>
      <c r="F7086" s="6"/>
    </row>
    <row r="7087" spans="1:6" x14ac:dyDescent="0.3">
      <c r="A7087" s="8" t="s">
        <v>14132</v>
      </c>
      <c r="B7087" s="8" t="s">
        <v>60690</v>
      </c>
      <c r="C7087" s="8" t="s">
        <v>14133</v>
      </c>
      <c r="D7087" s="8"/>
      <c r="E7087" s="6"/>
      <c r="F7087" s="6"/>
    </row>
    <row r="7088" spans="1:6" x14ac:dyDescent="0.3">
      <c r="A7088" s="8" t="s">
        <v>14134</v>
      </c>
      <c r="B7088" s="8" t="s">
        <v>60691</v>
      </c>
      <c r="C7088" s="8" t="s">
        <v>14135</v>
      </c>
      <c r="D7088" s="8"/>
      <c r="E7088" s="6"/>
      <c r="F7088" s="6"/>
    </row>
    <row r="7089" spans="1:6" x14ac:dyDescent="0.3">
      <c r="A7089" s="8" t="s">
        <v>14136</v>
      </c>
      <c r="B7089" s="8" t="s">
        <v>60692</v>
      </c>
      <c r="C7089" s="8" t="s">
        <v>14137</v>
      </c>
      <c r="D7089" s="8"/>
      <c r="E7089" s="6"/>
      <c r="F7089" s="6"/>
    </row>
    <row r="7090" spans="1:6" x14ac:dyDescent="0.3">
      <c r="A7090" s="8" t="s">
        <v>14138</v>
      </c>
      <c r="B7090" s="8" t="s">
        <v>60693</v>
      </c>
      <c r="C7090" s="8" t="s">
        <v>14139</v>
      </c>
      <c r="D7090" s="8"/>
      <c r="E7090" s="6"/>
      <c r="F7090" s="6"/>
    </row>
    <row r="7091" spans="1:6" x14ac:dyDescent="0.3">
      <c r="A7091" s="8" t="s">
        <v>14140</v>
      </c>
      <c r="B7091" s="8" t="s">
        <v>60694</v>
      </c>
      <c r="C7091" s="8" t="s">
        <v>14141</v>
      </c>
      <c r="D7091" s="8"/>
      <c r="E7091" s="6"/>
      <c r="F7091" s="6"/>
    </row>
    <row r="7092" spans="1:6" x14ac:dyDescent="0.3">
      <c r="A7092" s="8" t="s">
        <v>14142</v>
      </c>
      <c r="B7092" s="8" t="s">
        <v>60695</v>
      </c>
      <c r="C7092" s="8" t="s">
        <v>14143</v>
      </c>
      <c r="D7092" s="8"/>
      <c r="E7092" s="6"/>
      <c r="F7092" s="6"/>
    </row>
    <row r="7093" spans="1:6" x14ac:dyDescent="0.3">
      <c r="A7093" s="8" t="s">
        <v>14144</v>
      </c>
      <c r="B7093" s="8" t="s">
        <v>60696</v>
      </c>
      <c r="C7093" s="8" t="s">
        <v>14145</v>
      </c>
      <c r="D7093" s="8"/>
      <c r="E7093" s="6"/>
      <c r="F7093" s="6"/>
    </row>
    <row r="7094" spans="1:6" ht="28.8" x14ac:dyDescent="0.3">
      <c r="A7094" s="8" t="s">
        <v>14146</v>
      </c>
      <c r="B7094" s="8" t="s">
        <v>60697</v>
      </c>
      <c r="C7094" s="8" t="s">
        <v>14147</v>
      </c>
      <c r="D7094" s="8"/>
      <c r="E7094" s="6"/>
      <c r="F7094" s="6"/>
    </row>
    <row r="7095" spans="1:6" x14ac:dyDescent="0.3">
      <c r="A7095" s="8" t="s">
        <v>14148</v>
      </c>
      <c r="B7095" s="8" t="s">
        <v>60698</v>
      </c>
      <c r="C7095" s="8" t="s">
        <v>14149</v>
      </c>
      <c r="D7095" s="8"/>
      <c r="E7095" s="6"/>
      <c r="F7095" s="6"/>
    </row>
    <row r="7096" spans="1:6" x14ac:dyDescent="0.3">
      <c r="A7096" s="8" t="s">
        <v>14150</v>
      </c>
      <c r="B7096" s="8" t="s">
        <v>60699</v>
      </c>
      <c r="C7096" s="8" t="s">
        <v>14151</v>
      </c>
      <c r="D7096" s="8"/>
      <c r="E7096" s="6"/>
      <c r="F7096" s="6"/>
    </row>
    <row r="7097" spans="1:6" x14ac:dyDescent="0.3">
      <c r="A7097" s="8" t="s">
        <v>14152</v>
      </c>
      <c r="B7097" s="8" t="s">
        <v>60700</v>
      </c>
      <c r="C7097" s="8" t="s">
        <v>14153</v>
      </c>
      <c r="D7097" s="8"/>
      <c r="E7097" s="6"/>
      <c r="F7097" s="6"/>
    </row>
    <row r="7098" spans="1:6" x14ac:dyDescent="0.3">
      <c r="A7098" s="8" t="s">
        <v>14154</v>
      </c>
      <c r="B7098" s="8" t="s">
        <v>60701</v>
      </c>
      <c r="C7098" s="8" t="s">
        <v>14155</v>
      </c>
      <c r="D7098" s="8"/>
      <c r="E7098" s="6"/>
      <c r="F7098" s="6"/>
    </row>
    <row r="7099" spans="1:6" x14ac:dyDescent="0.3">
      <c r="A7099" s="8" t="s">
        <v>14156</v>
      </c>
      <c r="B7099" s="8" t="s">
        <v>60702</v>
      </c>
      <c r="C7099" s="8" t="s">
        <v>14157</v>
      </c>
      <c r="D7099" s="8"/>
      <c r="E7099" s="6"/>
      <c r="F7099" s="6"/>
    </row>
    <row r="7100" spans="1:6" ht="28.8" x14ac:dyDescent="0.3">
      <c r="A7100" s="8" t="s">
        <v>14158</v>
      </c>
      <c r="B7100" s="8" t="s">
        <v>60703</v>
      </c>
      <c r="C7100" s="8" t="s">
        <v>14159</v>
      </c>
      <c r="D7100" s="8"/>
      <c r="E7100" s="6"/>
      <c r="F7100" s="6"/>
    </row>
    <row r="7101" spans="1:6" ht="28.8" x14ac:dyDescent="0.3">
      <c r="A7101" s="8" t="s">
        <v>14160</v>
      </c>
      <c r="B7101" s="8" t="s">
        <v>60704</v>
      </c>
      <c r="C7101" s="8" t="s">
        <v>14161</v>
      </c>
      <c r="D7101" s="8"/>
      <c r="E7101" s="6"/>
      <c r="F7101" s="6"/>
    </row>
    <row r="7102" spans="1:6" x14ac:dyDescent="0.3">
      <c r="A7102" s="8" t="s">
        <v>14162</v>
      </c>
      <c r="B7102" s="8" t="s">
        <v>60705</v>
      </c>
      <c r="C7102" s="8" t="s">
        <v>14163</v>
      </c>
      <c r="D7102" s="8"/>
      <c r="E7102" s="6"/>
      <c r="F7102" s="6"/>
    </row>
    <row r="7103" spans="1:6" x14ac:dyDescent="0.3">
      <c r="A7103" s="8" t="s">
        <v>14164</v>
      </c>
      <c r="B7103" s="8" t="s">
        <v>60706</v>
      </c>
      <c r="C7103" s="8" t="s">
        <v>14165</v>
      </c>
      <c r="D7103" s="8"/>
      <c r="E7103" s="6"/>
      <c r="F7103" s="6"/>
    </row>
    <row r="7104" spans="1:6" x14ac:dyDescent="0.3">
      <c r="A7104" s="8" t="s">
        <v>14166</v>
      </c>
      <c r="B7104" s="8" t="s">
        <v>60707</v>
      </c>
      <c r="C7104" s="8" t="s">
        <v>14167</v>
      </c>
      <c r="D7104" s="8"/>
      <c r="E7104" s="6"/>
      <c r="F7104" s="6"/>
    </row>
    <row r="7105" spans="1:6" x14ac:dyDescent="0.3">
      <c r="A7105" s="8" t="s">
        <v>14168</v>
      </c>
      <c r="B7105" s="8" t="s">
        <v>60708</v>
      </c>
      <c r="C7105" s="8" t="s">
        <v>14169</v>
      </c>
      <c r="D7105" s="8"/>
      <c r="E7105" s="6"/>
      <c r="F7105" s="6"/>
    </row>
    <row r="7106" spans="1:6" x14ac:dyDescent="0.3">
      <c r="A7106" s="8" t="s">
        <v>14170</v>
      </c>
      <c r="B7106" s="8" t="s">
        <v>60709</v>
      </c>
      <c r="C7106" s="8" t="s">
        <v>14171</v>
      </c>
      <c r="D7106" s="8"/>
      <c r="E7106" s="6"/>
      <c r="F7106" s="6"/>
    </row>
    <row r="7107" spans="1:6" x14ac:dyDescent="0.3">
      <c r="A7107" s="8" t="s">
        <v>14172</v>
      </c>
      <c r="B7107" s="8" t="s">
        <v>60710</v>
      </c>
      <c r="C7107" s="8" t="s">
        <v>14173</v>
      </c>
      <c r="D7107" s="8"/>
      <c r="E7107" s="6"/>
      <c r="F7107" s="6"/>
    </row>
    <row r="7108" spans="1:6" x14ac:dyDescent="0.3">
      <c r="A7108" s="8" t="s">
        <v>14174</v>
      </c>
      <c r="B7108" s="8" t="s">
        <v>60711</v>
      </c>
      <c r="C7108" s="8" t="s">
        <v>14175</v>
      </c>
      <c r="D7108" s="8"/>
      <c r="E7108" s="6"/>
      <c r="F7108" s="6"/>
    </row>
    <row r="7109" spans="1:6" x14ac:dyDescent="0.3">
      <c r="A7109" s="8" t="s">
        <v>14176</v>
      </c>
      <c r="B7109" s="8" t="s">
        <v>60712</v>
      </c>
      <c r="C7109" s="8" t="s">
        <v>14177</v>
      </c>
      <c r="D7109" s="8"/>
      <c r="E7109" s="6"/>
      <c r="F7109" s="6"/>
    </row>
    <row r="7110" spans="1:6" x14ac:dyDescent="0.3">
      <c r="A7110" s="8" t="s">
        <v>14178</v>
      </c>
      <c r="B7110" s="8" t="s">
        <v>60713</v>
      </c>
      <c r="C7110" s="8" t="s">
        <v>14179</v>
      </c>
      <c r="D7110" s="8"/>
      <c r="E7110" s="6"/>
      <c r="F7110" s="6"/>
    </row>
    <row r="7111" spans="1:6" x14ac:dyDescent="0.3">
      <c r="A7111" s="8" t="s">
        <v>14180</v>
      </c>
      <c r="B7111" s="8" t="s">
        <v>60714</v>
      </c>
      <c r="C7111" s="8" t="s">
        <v>14181</v>
      </c>
      <c r="D7111" s="8"/>
      <c r="E7111" s="6"/>
      <c r="F7111" s="6"/>
    </row>
    <row r="7112" spans="1:6" x14ac:dyDescent="0.3">
      <c r="A7112" s="8" t="s">
        <v>14182</v>
      </c>
      <c r="B7112" s="8" t="s">
        <v>60715</v>
      </c>
      <c r="C7112" s="8" t="s">
        <v>14183</v>
      </c>
      <c r="D7112" s="8"/>
      <c r="E7112" s="6"/>
      <c r="F7112" s="6"/>
    </row>
    <row r="7113" spans="1:6" x14ac:dyDescent="0.3">
      <c r="A7113" s="8" t="s">
        <v>14184</v>
      </c>
      <c r="B7113" s="8" t="s">
        <v>60716</v>
      </c>
      <c r="C7113" s="8" t="s">
        <v>14185</v>
      </c>
      <c r="D7113" s="8"/>
      <c r="E7113" s="6"/>
      <c r="F7113" s="6"/>
    </row>
    <row r="7114" spans="1:6" x14ac:dyDescent="0.3">
      <c r="A7114" s="8" t="s">
        <v>14186</v>
      </c>
      <c r="B7114" s="8" t="s">
        <v>60717</v>
      </c>
      <c r="C7114" s="8" t="s">
        <v>14187</v>
      </c>
      <c r="D7114" s="8"/>
      <c r="E7114" s="6"/>
      <c r="F7114" s="6"/>
    </row>
    <row r="7115" spans="1:6" x14ac:dyDescent="0.3">
      <c r="A7115" s="8" t="s">
        <v>14188</v>
      </c>
      <c r="B7115" s="8" t="s">
        <v>60718</v>
      </c>
      <c r="C7115" s="8" t="s">
        <v>14189</v>
      </c>
      <c r="D7115" s="8"/>
      <c r="E7115" s="6"/>
      <c r="F7115" s="6"/>
    </row>
    <row r="7116" spans="1:6" x14ac:dyDescent="0.3">
      <c r="A7116" s="8" t="s">
        <v>14190</v>
      </c>
      <c r="B7116" s="8" t="s">
        <v>60719</v>
      </c>
      <c r="C7116" s="8" t="s">
        <v>14191</v>
      </c>
      <c r="D7116" s="8"/>
      <c r="E7116" s="6"/>
      <c r="F7116" s="6"/>
    </row>
    <row r="7117" spans="1:6" x14ac:dyDescent="0.3">
      <c r="A7117" s="8" t="s">
        <v>14192</v>
      </c>
      <c r="B7117" s="8" t="s">
        <v>60720</v>
      </c>
      <c r="C7117" s="8" t="s">
        <v>14193</v>
      </c>
      <c r="D7117" s="8"/>
      <c r="E7117" s="6"/>
      <c r="F7117" s="6"/>
    </row>
    <row r="7118" spans="1:6" x14ac:dyDescent="0.3">
      <c r="A7118" s="8" t="s">
        <v>14194</v>
      </c>
      <c r="B7118" s="8" t="s">
        <v>60721</v>
      </c>
      <c r="C7118" s="8" t="s">
        <v>14195</v>
      </c>
      <c r="D7118" s="8"/>
      <c r="E7118" s="6"/>
      <c r="F7118" s="6"/>
    </row>
    <row r="7119" spans="1:6" x14ac:dyDescent="0.3">
      <c r="A7119" s="8" t="s">
        <v>14196</v>
      </c>
      <c r="B7119" s="8" t="s">
        <v>60722</v>
      </c>
      <c r="C7119" s="8" t="s">
        <v>14197</v>
      </c>
      <c r="D7119" s="8"/>
      <c r="E7119" s="6"/>
      <c r="F7119" s="6"/>
    </row>
    <row r="7120" spans="1:6" x14ac:dyDescent="0.3">
      <c r="A7120" s="8" t="s">
        <v>14198</v>
      </c>
      <c r="B7120" s="8" t="s">
        <v>60723</v>
      </c>
      <c r="C7120" s="8" t="s">
        <v>14199</v>
      </c>
      <c r="D7120" s="8"/>
      <c r="E7120" s="6"/>
      <c r="F7120" s="6"/>
    </row>
    <row r="7121" spans="1:6" x14ac:dyDescent="0.3">
      <c r="A7121" s="8" t="s">
        <v>14200</v>
      </c>
      <c r="B7121" s="8" t="s">
        <v>60724</v>
      </c>
      <c r="C7121" s="8" t="s">
        <v>14201</v>
      </c>
      <c r="D7121" s="8"/>
      <c r="E7121" s="6"/>
      <c r="F7121" s="6"/>
    </row>
    <row r="7122" spans="1:6" x14ac:dyDescent="0.3">
      <c r="A7122" s="8" t="s">
        <v>14202</v>
      </c>
      <c r="B7122" s="8" t="s">
        <v>60725</v>
      </c>
      <c r="C7122" s="8" t="s">
        <v>14203</v>
      </c>
      <c r="D7122" s="8"/>
      <c r="E7122" s="6"/>
      <c r="F7122" s="6"/>
    </row>
    <row r="7123" spans="1:6" x14ac:dyDescent="0.3">
      <c r="A7123" s="8" t="s">
        <v>14204</v>
      </c>
      <c r="B7123" s="8" t="s">
        <v>60726</v>
      </c>
      <c r="C7123" s="8" t="s">
        <v>14205</v>
      </c>
      <c r="D7123" s="8"/>
      <c r="E7123" s="6"/>
      <c r="F7123" s="6"/>
    </row>
    <row r="7124" spans="1:6" x14ac:dyDescent="0.3">
      <c r="A7124" s="8" t="s">
        <v>14206</v>
      </c>
      <c r="B7124" s="8" t="s">
        <v>60727</v>
      </c>
      <c r="C7124" s="8" t="s">
        <v>14207</v>
      </c>
      <c r="D7124" s="8"/>
      <c r="E7124" s="6"/>
      <c r="F7124" s="6"/>
    </row>
    <row r="7125" spans="1:6" x14ac:dyDescent="0.3">
      <c r="A7125" s="8" t="s">
        <v>14208</v>
      </c>
      <c r="B7125" s="8" t="s">
        <v>60728</v>
      </c>
      <c r="C7125" s="8" t="s">
        <v>14209</v>
      </c>
      <c r="D7125" s="8"/>
      <c r="E7125" s="6"/>
      <c r="F7125" s="6"/>
    </row>
    <row r="7126" spans="1:6" x14ac:dyDescent="0.3">
      <c r="A7126" s="8" t="s">
        <v>14210</v>
      </c>
      <c r="B7126" s="8" t="s">
        <v>60729</v>
      </c>
      <c r="C7126" s="8" t="s">
        <v>14211</v>
      </c>
      <c r="D7126" s="8"/>
      <c r="E7126" s="6"/>
      <c r="F7126" s="6"/>
    </row>
    <row r="7127" spans="1:6" x14ac:dyDescent="0.3">
      <c r="A7127" s="8" t="s">
        <v>14212</v>
      </c>
      <c r="B7127" s="8" t="s">
        <v>60730</v>
      </c>
      <c r="C7127" s="8" t="s">
        <v>14213</v>
      </c>
      <c r="D7127" s="8"/>
      <c r="E7127" s="6"/>
      <c r="F7127" s="6"/>
    </row>
    <row r="7128" spans="1:6" x14ac:dyDescent="0.3">
      <c r="A7128" s="8" t="s">
        <v>14214</v>
      </c>
      <c r="B7128" s="8" t="s">
        <v>60731</v>
      </c>
      <c r="C7128" s="8" t="s">
        <v>14215</v>
      </c>
      <c r="D7128" s="8"/>
      <c r="E7128" s="6"/>
      <c r="F7128" s="6"/>
    </row>
    <row r="7129" spans="1:6" x14ac:dyDescent="0.3">
      <c r="A7129" s="8" t="s">
        <v>14216</v>
      </c>
      <c r="B7129" s="8" t="s">
        <v>60732</v>
      </c>
      <c r="C7129" s="8" t="s">
        <v>14217</v>
      </c>
      <c r="D7129" s="8"/>
      <c r="E7129" s="6"/>
      <c r="F7129" s="6"/>
    </row>
    <row r="7130" spans="1:6" x14ac:dyDescent="0.3">
      <c r="A7130" s="8" t="s">
        <v>14218</v>
      </c>
      <c r="B7130" s="8" t="s">
        <v>60733</v>
      </c>
      <c r="C7130" s="8" t="s">
        <v>14219</v>
      </c>
      <c r="D7130" s="8"/>
      <c r="E7130" s="6"/>
      <c r="F7130" s="6"/>
    </row>
    <row r="7131" spans="1:6" x14ac:dyDescent="0.3">
      <c r="A7131" s="8" t="s">
        <v>14220</v>
      </c>
      <c r="B7131" s="8" t="s">
        <v>60734</v>
      </c>
      <c r="C7131" s="8" t="s">
        <v>14221</v>
      </c>
      <c r="D7131" s="8"/>
      <c r="E7131" s="6"/>
      <c r="F7131" s="6"/>
    </row>
    <row r="7132" spans="1:6" x14ac:dyDescent="0.3">
      <c r="A7132" s="8" t="s">
        <v>14222</v>
      </c>
      <c r="B7132" s="8" t="s">
        <v>60735</v>
      </c>
      <c r="C7132" s="8" t="s">
        <v>14223</v>
      </c>
      <c r="D7132" s="8"/>
      <c r="E7132" s="6"/>
      <c r="F7132" s="6"/>
    </row>
    <row r="7133" spans="1:6" x14ac:dyDescent="0.3">
      <c r="A7133" s="8" t="s">
        <v>14224</v>
      </c>
      <c r="B7133" s="8" t="s">
        <v>60736</v>
      </c>
      <c r="C7133" s="8" t="s">
        <v>14225</v>
      </c>
      <c r="D7133" s="8"/>
      <c r="E7133" s="6"/>
      <c r="F7133" s="6"/>
    </row>
    <row r="7134" spans="1:6" x14ac:dyDescent="0.3">
      <c r="A7134" s="8" t="s">
        <v>14226</v>
      </c>
      <c r="B7134" s="8" t="s">
        <v>60737</v>
      </c>
      <c r="C7134" s="8" t="s">
        <v>14227</v>
      </c>
      <c r="D7134" s="8"/>
      <c r="E7134" s="6"/>
      <c r="F7134" s="6"/>
    </row>
    <row r="7135" spans="1:6" x14ac:dyDescent="0.3">
      <c r="A7135" s="8" t="s">
        <v>14228</v>
      </c>
      <c r="B7135" s="8" t="s">
        <v>60738</v>
      </c>
      <c r="C7135" s="8" t="s">
        <v>14229</v>
      </c>
      <c r="D7135" s="8"/>
      <c r="E7135" s="6"/>
      <c r="F7135" s="6"/>
    </row>
    <row r="7136" spans="1:6" x14ac:dyDescent="0.3">
      <c r="A7136" s="8" t="s">
        <v>14230</v>
      </c>
      <c r="B7136" s="8" t="s">
        <v>60739</v>
      </c>
      <c r="C7136" s="8" t="s">
        <v>14231</v>
      </c>
      <c r="D7136" s="8"/>
      <c r="E7136" s="6"/>
      <c r="F7136" s="6"/>
    </row>
    <row r="7137" spans="1:6" x14ac:dyDescent="0.3">
      <c r="A7137" s="8" t="s">
        <v>14232</v>
      </c>
      <c r="B7137" s="8" t="s">
        <v>60740</v>
      </c>
      <c r="C7137" s="8" t="s">
        <v>14233</v>
      </c>
      <c r="D7137" s="8"/>
      <c r="E7137" s="6"/>
      <c r="F7137" s="6"/>
    </row>
    <row r="7138" spans="1:6" x14ac:dyDescent="0.3">
      <c r="A7138" s="8" t="s">
        <v>14234</v>
      </c>
      <c r="B7138" s="8" t="s">
        <v>60741</v>
      </c>
      <c r="C7138" s="8" t="s">
        <v>14235</v>
      </c>
      <c r="D7138" s="8"/>
      <c r="E7138" s="6"/>
      <c r="F7138" s="6"/>
    </row>
    <row r="7139" spans="1:6" x14ac:dyDescent="0.3">
      <c r="A7139" s="8" t="s">
        <v>14236</v>
      </c>
      <c r="B7139" s="8" t="s">
        <v>60742</v>
      </c>
      <c r="C7139" s="8" t="s">
        <v>14237</v>
      </c>
      <c r="D7139" s="8"/>
      <c r="E7139" s="6"/>
      <c r="F7139" s="6"/>
    </row>
    <row r="7140" spans="1:6" x14ac:dyDescent="0.3">
      <c r="A7140" s="8" t="s">
        <v>14238</v>
      </c>
      <c r="B7140" s="8" t="s">
        <v>60743</v>
      </c>
      <c r="C7140" s="8" t="s">
        <v>14239</v>
      </c>
      <c r="D7140" s="8"/>
      <c r="E7140" s="6"/>
      <c r="F7140" s="6"/>
    </row>
    <row r="7141" spans="1:6" x14ac:dyDescent="0.3">
      <c r="A7141" s="8" t="s">
        <v>14240</v>
      </c>
      <c r="B7141" s="8" t="s">
        <v>60744</v>
      </c>
      <c r="C7141" s="8" t="s">
        <v>14241</v>
      </c>
      <c r="D7141" s="8"/>
      <c r="E7141" s="6"/>
      <c r="F7141" s="6"/>
    </row>
    <row r="7142" spans="1:6" x14ac:dyDescent="0.3">
      <c r="A7142" s="8" t="s">
        <v>14242</v>
      </c>
      <c r="B7142" s="8" t="s">
        <v>60745</v>
      </c>
      <c r="C7142" s="8" t="s">
        <v>14243</v>
      </c>
      <c r="D7142" s="8"/>
      <c r="E7142" s="6"/>
      <c r="F7142" s="6"/>
    </row>
    <row r="7143" spans="1:6" x14ac:dyDescent="0.3">
      <c r="A7143" s="8" t="s">
        <v>14244</v>
      </c>
      <c r="B7143" s="8" t="s">
        <v>60746</v>
      </c>
      <c r="C7143" s="8" t="s">
        <v>14245</v>
      </c>
      <c r="D7143" s="8"/>
      <c r="E7143" s="6"/>
      <c r="F7143" s="6"/>
    </row>
    <row r="7144" spans="1:6" x14ac:dyDescent="0.3">
      <c r="A7144" s="8" t="s">
        <v>14246</v>
      </c>
      <c r="B7144" s="8" t="s">
        <v>60747</v>
      </c>
      <c r="C7144" s="8" t="s">
        <v>14247</v>
      </c>
      <c r="D7144" s="8"/>
      <c r="E7144" s="6"/>
      <c r="F7144" s="6"/>
    </row>
    <row r="7145" spans="1:6" x14ac:dyDescent="0.3">
      <c r="A7145" s="8" t="s">
        <v>14248</v>
      </c>
      <c r="B7145" s="8" t="s">
        <v>60748</v>
      </c>
      <c r="C7145" s="8" t="s">
        <v>14249</v>
      </c>
      <c r="D7145" s="8"/>
      <c r="E7145" s="6"/>
      <c r="F7145" s="6"/>
    </row>
    <row r="7146" spans="1:6" x14ac:dyDescent="0.3">
      <c r="A7146" s="8" t="s">
        <v>14250</v>
      </c>
      <c r="B7146" s="8" t="s">
        <v>60749</v>
      </c>
      <c r="C7146" s="8" t="s">
        <v>14251</v>
      </c>
      <c r="D7146" s="8"/>
      <c r="E7146" s="6"/>
      <c r="F7146" s="6"/>
    </row>
    <row r="7147" spans="1:6" x14ac:dyDescent="0.3">
      <c r="A7147" s="8" t="s">
        <v>14252</v>
      </c>
      <c r="B7147" s="8" t="s">
        <v>60750</v>
      </c>
      <c r="C7147" s="8" t="s">
        <v>14253</v>
      </c>
      <c r="D7147" s="8"/>
      <c r="E7147" s="6"/>
      <c r="F7147" s="6"/>
    </row>
    <row r="7148" spans="1:6" x14ac:dyDescent="0.3">
      <c r="A7148" s="8" t="s">
        <v>14254</v>
      </c>
      <c r="B7148" s="8" t="s">
        <v>60751</v>
      </c>
      <c r="C7148" s="8" t="s">
        <v>14255</v>
      </c>
      <c r="D7148" s="8"/>
      <c r="E7148" s="6"/>
      <c r="F7148" s="6"/>
    </row>
    <row r="7149" spans="1:6" x14ac:dyDescent="0.3">
      <c r="A7149" s="8" t="s">
        <v>14256</v>
      </c>
      <c r="B7149" s="8" t="s">
        <v>60752</v>
      </c>
      <c r="C7149" s="8" t="s">
        <v>14257</v>
      </c>
      <c r="D7149" s="8"/>
      <c r="E7149" s="6"/>
      <c r="F7149" s="6"/>
    </row>
    <row r="7150" spans="1:6" x14ac:dyDescent="0.3">
      <c r="A7150" s="8" t="s">
        <v>14258</v>
      </c>
      <c r="B7150" s="8" t="s">
        <v>60753</v>
      </c>
      <c r="C7150" s="8" t="s">
        <v>14259</v>
      </c>
      <c r="D7150" s="8"/>
      <c r="E7150" s="6"/>
      <c r="F7150" s="6"/>
    </row>
    <row r="7151" spans="1:6" x14ac:dyDescent="0.3">
      <c r="A7151" s="8" t="s">
        <v>14260</v>
      </c>
      <c r="B7151" s="8" t="s">
        <v>60754</v>
      </c>
      <c r="C7151" s="8" t="s">
        <v>14261</v>
      </c>
      <c r="D7151" s="8"/>
      <c r="E7151" s="6"/>
      <c r="F7151" s="6"/>
    </row>
    <row r="7152" spans="1:6" x14ac:dyDescent="0.3">
      <c r="A7152" s="8" t="s">
        <v>14262</v>
      </c>
      <c r="B7152" s="8" t="s">
        <v>60755</v>
      </c>
      <c r="C7152" s="8" t="s">
        <v>14263</v>
      </c>
      <c r="D7152" s="8"/>
      <c r="E7152" s="6"/>
      <c r="F7152" s="6"/>
    </row>
    <row r="7153" spans="1:6" x14ac:dyDescent="0.3">
      <c r="A7153" s="8" t="s">
        <v>14264</v>
      </c>
      <c r="B7153" s="8" t="s">
        <v>60756</v>
      </c>
      <c r="C7153" s="8" t="s">
        <v>14265</v>
      </c>
      <c r="D7153" s="8"/>
      <c r="E7153" s="6"/>
      <c r="F7153" s="6"/>
    </row>
    <row r="7154" spans="1:6" x14ac:dyDescent="0.3">
      <c r="A7154" s="8" t="s">
        <v>14266</v>
      </c>
      <c r="B7154" s="8" t="s">
        <v>60757</v>
      </c>
      <c r="C7154" s="8" t="s">
        <v>14267</v>
      </c>
      <c r="D7154" s="8"/>
      <c r="E7154" s="6"/>
      <c r="F7154" s="6"/>
    </row>
    <row r="7155" spans="1:6" x14ac:dyDescent="0.3">
      <c r="A7155" s="8" t="s">
        <v>14268</v>
      </c>
      <c r="B7155" s="8" t="s">
        <v>60758</v>
      </c>
      <c r="C7155" s="8" t="s">
        <v>14269</v>
      </c>
      <c r="D7155" s="8"/>
      <c r="E7155" s="6"/>
      <c r="F7155" s="6"/>
    </row>
    <row r="7156" spans="1:6" x14ac:dyDescent="0.3">
      <c r="A7156" s="8" t="s">
        <v>14270</v>
      </c>
      <c r="B7156" s="8" t="s">
        <v>60759</v>
      </c>
      <c r="C7156" s="8" t="s">
        <v>14271</v>
      </c>
      <c r="D7156" s="8"/>
      <c r="E7156" s="6"/>
      <c r="F7156" s="6"/>
    </row>
    <row r="7157" spans="1:6" x14ac:dyDescent="0.3">
      <c r="A7157" s="8" t="s">
        <v>14272</v>
      </c>
      <c r="B7157" s="8" t="s">
        <v>60760</v>
      </c>
      <c r="C7157" s="8" t="s">
        <v>14273</v>
      </c>
      <c r="D7157" s="8"/>
      <c r="E7157" s="6"/>
      <c r="F7157" s="6"/>
    </row>
    <row r="7158" spans="1:6" x14ac:dyDescent="0.3">
      <c r="A7158" s="8" t="s">
        <v>14274</v>
      </c>
      <c r="B7158" s="8" t="s">
        <v>60761</v>
      </c>
      <c r="C7158" s="8" t="s">
        <v>14275</v>
      </c>
      <c r="D7158" s="8"/>
      <c r="E7158" s="6"/>
      <c r="F7158" s="6"/>
    </row>
    <row r="7159" spans="1:6" x14ac:dyDescent="0.3">
      <c r="A7159" s="8" t="s">
        <v>14276</v>
      </c>
      <c r="B7159" s="8" t="s">
        <v>60762</v>
      </c>
      <c r="C7159" s="8" t="s">
        <v>14277</v>
      </c>
      <c r="D7159" s="8"/>
      <c r="E7159" s="6"/>
      <c r="F7159" s="6"/>
    </row>
    <row r="7160" spans="1:6" x14ac:dyDescent="0.3">
      <c r="A7160" s="8" t="s">
        <v>14278</v>
      </c>
      <c r="B7160" s="8" t="s">
        <v>60763</v>
      </c>
      <c r="C7160" s="8" t="s">
        <v>14279</v>
      </c>
      <c r="D7160" s="8"/>
      <c r="E7160" s="6"/>
      <c r="F7160" s="6"/>
    </row>
    <row r="7161" spans="1:6" x14ac:dyDescent="0.3">
      <c r="A7161" s="8" t="s">
        <v>14280</v>
      </c>
      <c r="B7161" s="8" t="s">
        <v>60764</v>
      </c>
      <c r="C7161" s="8" t="s">
        <v>14281</v>
      </c>
      <c r="D7161" s="8"/>
      <c r="E7161" s="6"/>
      <c r="F7161" s="6"/>
    </row>
    <row r="7162" spans="1:6" x14ac:dyDescent="0.3">
      <c r="A7162" s="8" t="s">
        <v>14282</v>
      </c>
      <c r="B7162" s="8" t="s">
        <v>60765</v>
      </c>
      <c r="C7162" s="8" t="s">
        <v>14283</v>
      </c>
      <c r="D7162" s="8"/>
      <c r="E7162" s="6"/>
      <c r="F7162" s="6"/>
    </row>
    <row r="7163" spans="1:6" x14ac:dyDescent="0.3">
      <c r="A7163" s="8" t="s">
        <v>14284</v>
      </c>
      <c r="B7163" s="8" t="s">
        <v>60766</v>
      </c>
      <c r="C7163" s="8" t="s">
        <v>14285</v>
      </c>
      <c r="D7163" s="8"/>
      <c r="E7163" s="6"/>
      <c r="F7163" s="6"/>
    </row>
    <row r="7164" spans="1:6" x14ac:dyDescent="0.3">
      <c r="A7164" s="8" t="s">
        <v>14286</v>
      </c>
      <c r="B7164" s="8" t="s">
        <v>60767</v>
      </c>
      <c r="C7164" s="8" t="s">
        <v>14287</v>
      </c>
      <c r="D7164" s="8"/>
      <c r="E7164" s="6"/>
      <c r="F7164" s="6"/>
    </row>
    <row r="7165" spans="1:6" x14ac:dyDescent="0.3">
      <c r="A7165" s="8" t="s">
        <v>14288</v>
      </c>
      <c r="B7165" s="8" t="s">
        <v>60768</v>
      </c>
      <c r="C7165" s="8" t="s">
        <v>14289</v>
      </c>
      <c r="D7165" s="8"/>
      <c r="E7165" s="6"/>
      <c r="F7165" s="6"/>
    </row>
    <row r="7166" spans="1:6" x14ac:dyDescent="0.3">
      <c r="A7166" s="8" t="s">
        <v>14290</v>
      </c>
      <c r="B7166" s="8" t="s">
        <v>60769</v>
      </c>
      <c r="C7166" s="8" t="s">
        <v>14291</v>
      </c>
      <c r="D7166" s="8"/>
      <c r="E7166" s="6"/>
      <c r="F7166" s="6"/>
    </row>
    <row r="7167" spans="1:6" x14ac:dyDescent="0.3">
      <c r="A7167" s="8" t="s">
        <v>14292</v>
      </c>
      <c r="B7167" s="8" t="s">
        <v>60770</v>
      </c>
      <c r="C7167" s="8" t="s">
        <v>14293</v>
      </c>
      <c r="D7167" s="8"/>
      <c r="E7167" s="6"/>
      <c r="F7167" s="6"/>
    </row>
    <row r="7168" spans="1:6" x14ac:dyDescent="0.3">
      <c r="A7168" s="8" t="s">
        <v>14294</v>
      </c>
      <c r="B7168" s="8" t="s">
        <v>60771</v>
      </c>
      <c r="C7168" s="8" t="s">
        <v>14295</v>
      </c>
      <c r="D7168" s="8"/>
      <c r="E7168" s="6"/>
      <c r="F7168" s="6"/>
    </row>
    <row r="7169" spans="1:6" x14ac:dyDescent="0.3">
      <c r="A7169" s="8" t="s">
        <v>14296</v>
      </c>
      <c r="B7169" s="8" t="s">
        <v>60772</v>
      </c>
      <c r="C7169" s="8" t="s">
        <v>14297</v>
      </c>
      <c r="D7169" s="8"/>
      <c r="E7169" s="6"/>
      <c r="F7169" s="6"/>
    </row>
    <row r="7170" spans="1:6" x14ac:dyDescent="0.3">
      <c r="A7170" s="8" t="s">
        <v>14298</v>
      </c>
      <c r="B7170" s="8" t="s">
        <v>60773</v>
      </c>
      <c r="C7170" s="8" t="s">
        <v>14299</v>
      </c>
      <c r="D7170" s="8"/>
      <c r="E7170" s="6"/>
      <c r="F7170" s="6"/>
    </row>
    <row r="7171" spans="1:6" x14ac:dyDescent="0.3">
      <c r="A7171" s="8" t="s">
        <v>14300</v>
      </c>
      <c r="B7171" s="8" t="s">
        <v>60774</v>
      </c>
      <c r="C7171" s="8" t="s">
        <v>14301</v>
      </c>
      <c r="D7171" s="8"/>
      <c r="E7171" s="6"/>
      <c r="F7171" s="6"/>
    </row>
    <row r="7172" spans="1:6" x14ac:dyDescent="0.3">
      <c r="A7172" s="8" t="s">
        <v>14302</v>
      </c>
      <c r="B7172" s="8" t="s">
        <v>60775</v>
      </c>
      <c r="C7172" s="8" t="s">
        <v>14303</v>
      </c>
      <c r="D7172" s="8"/>
      <c r="E7172" s="6"/>
      <c r="F7172" s="6"/>
    </row>
    <row r="7173" spans="1:6" x14ac:dyDescent="0.3">
      <c r="A7173" s="8" t="s">
        <v>14304</v>
      </c>
      <c r="B7173" s="8" t="s">
        <v>60776</v>
      </c>
      <c r="C7173" s="8" t="s">
        <v>14305</v>
      </c>
      <c r="D7173" s="8"/>
      <c r="E7173" s="6"/>
      <c r="F7173" s="6"/>
    </row>
    <row r="7174" spans="1:6" x14ac:dyDescent="0.3">
      <c r="A7174" s="8" t="s">
        <v>14306</v>
      </c>
      <c r="B7174" s="8" t="s">
        <v>60777</v>
      </c>
      <c r="C7174" s="8" t="s">
        <v>14307</v>
      </c>
      <c r="D7174" s="8"/>
      <c r="E7174" s="6"/>
      <c r="F7174" s="6"/>
    </row>
    <row r="7175" spans="1:6" x14ac:dyDescent="0.3">
      <c r="A7175" s="8" t="s">
        <v>14308</v>
      </c>
      <c r="B7175" s="8" t="s">
        <v>60778</v>
      </c>
      <c r="C7175" s="8" t="s">
        <v>14309</v>
      </c>
      <c r="D7175" s="8"/>
      <c r="E7175" s="6"/>
      <c r="F7175" s="6"/>
    </row>
    <row r="7176" spans="1:6" x14ac:dyDescent="0.3">
      <c r="A7176" s="8" t="s">
        <v>14310</v>
      </c>
      <c r="B7176" s="8" t="s">
        <v>60779</v>
      </c>
      <c r="C7176" s="8" t="s">
        <v>14311</v>
      </c>
      <c r="D7176" s="8"/>
      <c r="E7176" s="6"/>
      <c r="F7176" s="6"/>
    </row>
    <row r="7177" spans="1:6" x14ac:dyDescent="0.3">
      <c r="A7177" s="8" t="s">
        <v>14312</v>
      </c>
      <c r="B7177" s="8" t="s">
        <v>60780</v>
      </c>
      <c r="C7177" s="8" t="s">
        <v>14313</v>
      </c>
      <c r="D7177" s="8"/>
      <c r="E7177" s="6"/>
      <c r="F7177" s="6"/>
    </row>
    <row r="7178" spans="1:6" x14ac:dyDescent="0.3">
      <c r="A7178" s="8" t="s">
        <v>14314</v>
      </c>
      <c r="B7178" s="8" t="s">
        <v>60781</v>
      </c>
      <c r="C7178" s="8" t="s">
        <v>14315</v>
      </c>
      <c r="D7178" s="8"/>
      <c r="E7178" s="6"/>
      <c r="F7178" s="6"/>
    </row>
    <row r="7179" spans="1:6" x14ac:dyDescent="0.3">
      <c r="A7179" s="8" t="s">
        <v>14316</v>
      </c>
      <c r="B7179" s="8" t="s">
        <v>60782</v>
      </c>
      <c r="C7179" s="8" t="s">
        <v>14317</v>
      </c>
      <c r="D7179" s="8"/>
      <c r="E7179" s="6"/>
      <c r="F7179" s="6"/>
    </row>
    <row r="7180" spans="1:6" x14ac:dyDescent="0.3">
      <c r="A7180" s="8" t="s">
        <v>14318</v>
      </c>
      <c r="B7180" s="8" t="s">
        <v>60783</v>
      </c>
      <c r="C7180" s="8" t="s">
        <v>14319</v>
      </c>
      <c r="D7180" s="8"/>
      <c r="E7180" s="6"/>
      <c r="F7180" s="6"/>
    </row>
    <row r="7181" spans="1:6" x14ac:dyDescent="0.3">
      <c r="A7181" s="8" t="s">
        <v>14320</v>
      </c>
      <c r="B7181" s="8" t="s">
        <v>60784</v>
      </c>
      <c r="C7181" s="8" t="s">
        <v>14321</v>
      </c>
      <c r="D7181" s="8"/>
      <c r="E7181" s="6"/>
      <c r="F7181" s="6"/>
    </row>
    <row r="7182" spans="1:6" x14ac:dyDescent="0.3">
      <c r="A7182" s="8" t="s">
        <v>14322</v>
      </c>
      <c r="B7182" s="8" t="s">
        <v>60785</v>
      </c>
      <c r="C7182" s="8" t="s">
        <v>14323</v>
      </c>
      <c r="D7182" s="8"/>
      <c r="E7182" s="6"/>
      <c r="F7182" s="6"/>
    </row>
    <row r="7183" spans="1:6" x14ac:dyDescent="0.3">
      <c r="A7183" s="8" t="s">
        <v>14324</v>
      </c>
      <c r="B7183" s="8" t="s">
        <v>60786</v>
      </c>
      <c r="C7183" s="8" t="s">
        <v>14325</v>
      </c>
      <c r="D7183" s="8"/>
      <c r="E7183" s="6"/>
      <c r="F7183" s="6"/>
    </row>
    <row r="7184" spans="1:6" x14ac:dyDescent="0.3">
      <c r="A7184" s="8" t="s">
        <v>14326</v>
      </c>
      <c r="B7184" s="8" t="s">
        <v>60787</v>
      </c>
      <c r="C7184" s="8" t="s">
        <v>14327</v>
      </c>
      <c r="D7184" s="8"/>
      <c r="E7184" s="6"/>
      <c r="F7184" s="6"/>
    </row>
    <row r="7185" spans="1:6" x14ac:dyDescent="0.3">
      <c r="A7185" s="8" t="s">
        <v>14328</v>
      </c>
      <c r="B7185" s="8" t="s">
        <v>60788</v>
      </c>
      <c r="C7185" s="8" t="s">
        <v>14329</v>
      </c>
      <c r="D7185" s="8"/>
      <c r="E7185" s="6"/>
      <c r="F7185" s="6"/>
    </row>
    <row r="7186" spans="1:6" x14ac:dyDescent="0.3">
      <c r="A7186" s="8" t="s">
        <v>14330</v>
      </c>
      <c r="B7186" s="8" t="s">
        <v>60789</v>
      </c>
      <c r="C7186" s="8" t="s">
        <v>14331</v>
      </c>
      <c r="D7186" s="8"/>
      <c r="E7186" s="6"/>
      <c r="F7186" s="6"/>
    </row>
    <row r="7187" spans="1:6" x14ac:dyDescent="0.3">
      <c r="A7187" s="8" t="s">
        <v>14332</v>
      </c>
      <c r="B7187" s="8" t="s">
        <v>60790</v>
      </c>
      <c r="C7187" s="8" t="s">
        <v>14333</v>
      </c>
      <c r="D7187" s="8"/>
      <c r="E7187" s="6"/>
      <c r="F7187" s="6"/>
    </row>
    <row r="7188" spans="1:6" x14ac:dyDescent="0.3">
      <c r="A7188" s="8" t="s">
        <v>14334</v>
      </c>
      <c r="B7188" s="8" t="s">
        <v>60791</v>
      </c>
      <c r="C7188" s="8" t="s">
        <v>14335</v>
      </c>
      <c r="D7188" s="8"/>
      <c r="E7188" s="6"/>
      <c r="F7188" s="6"/>
    </row>
    <row r="7189" spans="1:6" x14ac:dyDescent="0.3">
      <c r="A7189" s="8" t="s">
        <v>14336</v>
      </c>
      <c r="B7189" s="8" t="s">
        <v>60792</v>
      </c>
      <c r="C7189" s="8" t="s">
        <v>14337</v>
      </c>
      <c r="D7189" s="8"/>
      <c r="E7189" s="6"/>
      <c r="F7189" s="6"/>
    </row>
    <row r="7190" spans="1:6" x14ac:dyDescent="0.3">
      <c r="A7190" s="8" t="s">
        <v>14338</v>
      </c>
      <c r="B7190" s="8" t="s">
        <v>60793</v>
      </c>
      <c r="C7190" s="8" t="s">
        <v>14339</v>
      </c>
      <c r="D7190" s="8"/>
      <c r="E7190" s="6"/>
      <c r="F7190" s="6"/>
    </row>
    <row r="7191" spans="1:6" x14ac:dyDescent="0.3">
      <c r="A7191" s="8" t="s">
        <v>14340</v>
      </c>
      <c r="B7191" s="8" t="s">
        <v>60794</v>
      </c>
      <c r="C7191" s="8" t="s">
        <v>14341</v>
      </c>
      <c r="D7191" s="8"/>
      <c r="E7191" s="6"/>
      <c r="F7191" s="6"/>
    </row>
    <row r="7192" spans="1:6" x14ac:dyDescent="0.3">
      <c r="A7192" s="8" t="s">
        <v>14342</v>
      </c>
      <c r="B7192" s="8" t="s">
        <v>60795</v>
      </c>
      <c r="C7192" s="8" t="s">
        <v>14343</v>
      </c>
      <c r="D7192" s="8"/>
      <c r="E7192" s="6"/>
      <c r="F7192" s="6"/>
    </row>
    <row r="7193" spans="1:6" x14ac:dyDescent="0.3">
      <c r="A7193" s="8" t="s">
        <v>14344</v>
      </c>
      <c r="B7193" s="8" t="s">
        <v>60796</v>
      </c>
      <c r="C7193" s="8" t="s">
        <v>14345</v>
      </c>
      <c r="D7193" s="8"/>
      <c r="E7193" s="6"/>
      <c r="F7193" s="6"/>
    </row>
    <row r="7194" spans="1:6" x14ac:dyDescent="0.3">
      <c r="A7194" s="8" t="s">
        <v>14346</v>
      </c>
      <c r="B7194" s="8" t="s">
        <v>60797</v>
      </c>
      <c r="C7194" s="8" t="s">
        <v>14347</v>
      </c>
      <c r="D7194" s="8"/>
      <c r="E7194" s="6"/>
      <c r="F7194" s="6"/>
    </row>
    <row r="7195" spans="1:6" x14ac:dyDescent="0.3">
      <c r="A7195" s="8" t="s">
        <v>14348</v>
      </c>
      <c r="B7195" s="8" t="s">
        <v>60798</v>
      </c>
      <c r="C7195" s="8" t="s">
        <v>14349</v>
      </c>
      <c r="D7195" s="8"/>
      <c r="E7195" s="6"/>
      <c r="F7195" s="6"/>
    </row>
    <row r="7196" spans="1:6" x14ac:dyDescent="0.3">
      <c r="A7196" s="8" t="s">
        <v>14350</v>
      </c>
      <c r="B7196" s="8" t="s">
        <v>60799</v>
      </c>
      <c r="C7196" s="8" t="s">
        <v>14351</v>
      </c>
      <c r="D7196" s="8"/>
      <c r="E7196" s="6"/>
      <c r="F7196" s="6"/>
    </row>
    <row r="7197" spans="1:6" x14ac:dyDescent="0.3">
      <c r="A7197" s="8" t="s">
        <v>14352</v>
      </c>
      <c r="B7197" s="8" t="s">
        <v>60800</v>
      </c>
      <c r="C7197" s="8" t="s">
        <v>14353</v>
      </c>
      <c r="D7197" s="8"/>
      <c r="E7197" s="6"/>
      <c r="F7197" s="6"/>
    </row>
    <row r="7198" spans="1:6" x14ac:dyDescent="0.3">
      <c r="A7198" s="8" t="s">
        <v>14354</v>
      </c>
      <c r="B7198" s="8" t="s">
        <v>60801</v>
      </c>
      <c r="C7198" s="8" t="s">
        <v>14355</v>
      </c>
      <c r="D7198" s="8"/>
      <c r="E7198" s="6"/>
      <c r="F7198" s="6"/>
    </row>
    <row r="7199" spans="1:6" x14ac:dyDescent="0.3">
      <c r="A7199" s="8" t="s">
        <v>14356</v>
      </c>
      <c r="B7199" s="8" t="s">
        <v>60802</v>
      </c>
      <c r="C7199" s="8" t="s">
        <v>14357</v>
      </c>
      <c r="D7199" s="8"/>
      <c r="E7199" s="6"/>
      <c r="F7199" s="6"/>
    </row>
    <row r="7200" spans="1:6" x14ac:dyDescent="0.3">
      <c r="A7200" s="8" t="s">
        <v>14358</v>
      </c>
      <c r="B7200" s="8" t="s">
        <v>60803</v>
      </c>
      <c r="C7200" s="8" t="s">
        <v>14359</v>
      </c>
      <c r="D7200" s="8"/>
      <c r="E7200" s="6"/>
      <c r="F7200" s="6"/>
    </row>
    <row r="7201" spans="1:6" x14ac:dyDescent="0.3">
      <c r="A7201" s="8" t="s">
        <v>14360</v>
      </c>
      <c r="B7201" s="8" t="s">
        <v>60804</v>
      </c>
      <c r="C7201" s="8" t="s">
        <v>14361</v>
      </c>
      <c r="D7201" s="8"/>
      <c r="E7201" s="6"/>
      <c r="F7201" s="6"/>
    </row>
    <row r="7202" spans="1:6" x14ac:dyDescent="0.3">
      <c r="A7202" s="8" t="s">
        <v>14362</v>
      </c>
      <c r="B7202" s="8" t="s">
        <v>60805</v>
      </c>
      <c r="C7202" s="8" t="s">
        <v>14363</v>
      </c>
      <c r="D7202" s="8"/>
      <c r="E7202" s="6"/>
      <c r="F7202" s="6"/>
    </row>
    <row r="7203" spans="1:6" x14ac:dyDescent="0.3">
      <c r="A7203" s="8" t="s">
        <v>14364</v>
      </c>
      <c r="B7203" s="8" t="s">
        <v>60806</v>
      </c>
      <c r="C7203" s="8" t="s">
        <v>14365</v>
      </c>
      <c r="D7203" s="8"/>
      <c r="E7203" s="6"/>
      <c r="F7203" s="6"/>
    </row>
    <row r="7204" spans="1:6" x14ac:dyDescent="0.3">
      <c r="A7204" s="8" t="s">
        <v>14366</v>
      </c>
      <c r="B7204" s="8" t="s">
        <v>60807</v>
      </c>
      <c r="C7204" s="8" t="s">
        <v>14367</v>
      </c>
      <c r="D7204" s="8"/>
      <c r="E7204" s="6"/>
      <c r="F7204" s="6"/>
    </row>
    <row r="7205" spans="1:6" x14ac:dyDescent="0.3">
      <c r="A7205" s="8" t="s">
        <v>14368</v>
      </c>
      <c r="B7205" s="8" t="s">
        <v>60808</v>
      </c>
      <c r="C7205" s="8" t="s">
        <v>14369</v>
      </c>
      <c r="D7205" s="8"/>
      <c r="E7205" s="6"/>
      <c r="F7205" s="6"/>
    </row>
    <row r="7206" spans="1:6" x14ac:dyDescent="0.3">
      <c r="A7206" s="8" t="s">
        <v>14370</v>
      </c>
      <c r="B7206" s="8" t="s">
        <v>60809</v>
      </c>
      <c r="C7206" s="8" t="s">
        <v>14371</v>
      </c>
      <c r="D7206" s="8"/>
      <c r="E7206" s="6"/>
      <c r="F7206" s="6"/>
    </row>
    <row r="7207" spans="1:6" x14ac:dyDescent="0.3">
      <c r="A7207" s="8" t="s">
        <v>14372</v>
      </c>
      <c r="B7207" s="8" t="s">
        <v>60810</v>
      </c>
      <c r="C7207" s="8" t="s">
        <v>14373</v>
      </c>
      <c r="D7207" s="8"/>
      <c r="E7207" s="6"/>
      <c r="F7207" s="6"/>
    </row>
    <row r="7208" spans="1:6" x14ac:dyDescent="0.3">
      <c r="A7208" s="8" t="s">
        <v>14374</v>
      </c>
      <c r="B7208" s="8" t="s">
        <v>60811</v>
      </c>
      <c r="C7208" s="8" t="s">
        <v>14375</v>
      </c>
      <c r="D7208" s="8"/>
      <c r="E7208" s="6"/>
      <c r="F7208" s="6"/>
    </row>
    <row r="7209" spans="1:6" x14ac:dyDescent="0.3">
      <c r="A7209" s="8" t="s">
        <v>14376</v>
      </c>
      <c r="B7209" s="8" t="s">
        <v>60812</v>
      </c>
      <c r="C7209" s="8" t="s">
        <v>14377</v>
      </c>
      <c r="D7209" s="8"/>
      <c r="E7209" s="6"/>
      <c r="F7209" s="6"/>
    </row>
    <row r="7210" spans="1:6" x14ac:dyDescent="0.3">
      <c r="A7210" s="8" t="s">
        <v>14378</v>
      </c>
      <c r="B7210" s="8" t="s">
        <v>60813</v>
      </c>
      <c r="C7210" s="8" t="s">
        <v>14379</v>
      </c>
      <c r="D7210" s="8"/>
      <c r="E7210" s="6"/>
      <c r="F7210" s="6"/>
    </row>
    <row r="7211" spans="1:6" x14ac:dyDescent="0.3">
      <c r="A7211" s="8" t="s">
        <v>14380</v>
      </c>
      <c r="B7211" s="8" t="s">
        <v>60814</v>
      </c>
      <c r="C7211" s="8" t="s">
        <v>14381</v>
      </c>
      <c r="D7211" s="8"/>
      <c r="E7211" s="6"/>
      <c r="F7211" s="6"/>
    </row>
    <row r="7212" spans="1:6" x14ac:dyDescent="0.3">
      <c r="A7212" s="8" t="s">
        <v>14382</v>
      </c>
      <c r="B7212" s="8" t="s">
        <v>60815</v>
      </c>
      <c r="C7212" s="8" t="s">
        <v>14383</v>
      </c>
      <c r="D7212" s="8"/>
      <c r="E7212" s="6"/>
      <c r="F7212" s="6"/>
    </row>
    <row r="7213" spans="1:6" x14ac:dyDescent="0.3">
      <c r="A7213" s="8" t="s">
        <v>14384</v>
      </c>
      <c r="B7213" s="8" t="s">
        <v>60816</v>
      </c>
      <c r="C7213" s="8" t="s">
        <v>14385</v>
      </c>
      <c r="D7213" s="8"/>
      <c r="E7213" s="6"/>
      <c r="F7213" s="6"/>
    </row>
    <row r="7214" spans="1:6" x14ac:dyDescent="0.3">
      <c r="A7214" s="8" t="s">
        <v>14386</v>
      </c>
      <c r="B7214" s="8" t="s">
        <v>60817</v>
      </c>
      <c r="C7214" s="8" t="s">
        <v>14387</v>
      </c>
      <c r="D7214" s="8"/>
      <c r="E7214" s="6"/>
      <c r="F7214" s="6"/>
    </row>
    <row r="7215" spans="1:6" x14ac:dyDescent="0.3">
      <c r="A7215" s="8" t="s">
        <v>14388</v>
      </c>
      <c r="B7215" s="8" t="s">
        <v>60818</v>
      </c>
      <c r="C7215" s="8" t="s">
        <v>14389</v>
      </c>
      <c r="D7215" s="8"/>
      <c r="E7215" s="6"/>
      <c r="F7215" s="6"/>
    </row>
    <row r="7216" spans="1:6" x14ac:dyDescent="0.3">
      <c r="A7216" s="8" t="s">
        <v>14390</v>
      </c>
      <c r="B7216" s="8" t="s">
        <v>60819</v>
      </c>
      <c r="C7216" s="8" t="s">
        <v>14391</v>
      </c>
      <c r="D7216" s="8"/>
      <c r="E7216" s="6"/>
      <c r="F7216" s="6"/>
    </row>
    <row r="7217" spans="1:6" x14ac:dyDescent="0.3">
      <c r="A7217" s="8" t="s">
        <v>14392</v>
      </c>
      <c r="B7217" s="8" t="s">
        <v>60820</v>
      </c>
      <c r="C7217" s="8" t="s">
        <v>14393</v>
      </c>
      <c r="D7217" s="8"/>
      <c r="E7217" s="6"/>
      <c r="F7217" s="6"/>
    </row>
    <row r="7218" spans="1:6" x14ac:dyDescent="0.3">
      <c r="A7218" s="8" t="s">
        <v>14394</v>
      </c>
      <c r="B7218" s="8" t="s">
        <v>60821</v>
      </c>
      <c r="C7218" s="8" t="s">
        <v>14395</v>
      </c>
      <c r="D7218" s="8"/>
      <c r="E7218" s="6"/>
      <c r="F7218" s="6"/>
    </row>
    <row r="7219" spans="1:6" x14ac:dyDescent="0.3">
      <c r="A7219" s="8" t="s">
        <v>14396</v>
      </c>
      <c r="B7219" s="8" t="s">
        <v>60822</v>
      </c>
      <c r="C7219" s="8" t="s">
        <v>14397</v>
      </c>
      <c r="D7219" s="8"/>
      <c r="E7219" s="6"/>
      <c r="F7219" s="6"/>
    </row>
    <row r="7220" spans="1:6" x14ac:dyDescent="0.3">
      <c r="A7220" s="8" t="s">
        <v>14398</v>
      </c>
      <c r="B7220" s="8" t="s">
        <v>60823</v>
      </c>
      <c r="C7220" s="8" t="s">
        <v>14399</v>
      </c>
      <c r="D7220" s="8"/>
      <c r="E7220" s="6"/>
      <c r="F7220" s="6"/>
    </row>
    <row r="7221" spans="1:6" x14ac:dyDescent="0.3">
      <c r="A7221" s="8" t="s">
        <v>14400</v>
      </c>
      <c r="B7221" s="8" t="s">
        <v>60824</v>
      </c>
      <c r="C7221" s="8" t="s">
        <v>14401</v>
      </c>
      <c r="D7221" s="8"/>
      <c r="E7221" s="6"/>
      <c r="F7221" s="6"/>
    </row>
    <row r="7222" spans="1:6" x14ac:dyDescent="0.3">
      <c r="A7222" s="8" t="s">
        <v>14402</v>
      </c>
      <c r="B7222" s="8" t="s">
        <v>60825</v>
      </c>
      <c r="C7222" s="8" t="s">
        <v>14403</v>
      </c>
      <c r="D7222" s="8"/>
      <c r="E7222" s="6"/>
      <c r="F7222" s="6"/>
    </row>
    <row r="7223" spans="1:6" x14ac:dyDescent="0.3">
      <c r="A7223" s="8" t="s">
        <v>14404</v>
      </c>
      <c r="B7223" s="8" t="s">
        <v>60826</v>
      </c>
      <c r="C7223" s="8" t="s">
        <v>14405</v>
      </c>
      <c r="D7223" s="8"/>
      <c r="E7223" s="6"/>
      <c r="F7223" s="6"/>
    </row>
    <row r="7224" spans="1:6" x14ac:dyDescent="0.3">
      <c r="A7224" s="8" t="s">
        <v>14406</v>
      </c>
      <c r="B7224" s="8" t="s">
        <v>60827</v>
      </c>
      <c r="C7224" s="8" t="s">
        <v>14407</v>
      </c>
      <c r="D7224" s="8"/>
      <c r="E7224" s="6"/>
      <c r="F7224" s="6"/>
    </row>
    <row r="7225" spans="1:6" x14ac:dyDescent="0.3">
      <c r="A7225" s="8" t="s">
        <v>14408</v>
      </c>
      <c r="B7225" s="8" t="s">
        <v>60828</v>
      </c>
      <c r="C7225" s="8" t="s">
        <v>14409</v>
      </c>
      <c r="D7225" s="8"/>
      <c r="E7225" s="6"/>
      <c r="F7225" s="6"/>
    </row>
    <row r="7226" spans="1:6" x14ac:dyDescent="0.3">
      <c r="A7226" s="8" t="s">
        <v>14410</v>
      </c>
      <c r="B7226" s="8" t="s">
        <v>60829</v>
      </c>
      <c r="C7226" s="8" t="s">
        <v>14411</v>
      </c>
      <c r="D7226" s="8"/>
      <c r="E7226" s="6"/>
      <c r="F7226" s="6"/>
    </row>
    <row r="7227" spans="1:6" x14ac:dyDescent="0.3">
      <c r="A7227" s="8" t="s">
        <v>14412</v>
      </c>
      <c r="B7227" s="8" t="s">
        <v>60830</v>
      </c>
      <c r="C7227" s="8" t="s">
        <v>14413</v>
      </c>
      <c r="D7227" s="8"/>
      <c r="E7227" s="6"/>
      <c r="F7227" s="6"/>
    </row>
    <row r="7228" spans="1:6" x14ac:dyDescent="0.3">
      <c r="A7228" s="8" t="s">
        <v>14414</v>
      </c>
      <c r="B7228" s="8" t="s">
        <v>60831</v>
      </c>
      <c r="C7228" s="8" t="s">
        <v>14415</v>
      </c>
      <c r="D7228" s="8"/>
      <c r="E7228" s="6"/>
      <c r="F7228" s="6"/>
    </row>
    <row r="7229" spans="1:6" x14ac:dyDescent="0.3">
      <c r="A7229" s="8" t="s">
        <v>14416</v>
      </c>
      <c r="B7229" s="8" t="s">
        <v>60832</v>
      </c>
      <c r="C7229" s="8" t="s">
        <v>14417</v>
      </c>
      <c r="D7229" s="8"/>
      <c r="E7229" s="6"/>
      <c r="F7229" s="6"/>
    </row>
    <row r="7230" spans="1:6" x14ac:dyDescent="0.3">
      <c r="A7230" s="8" t="s">
        <v>14418</v>
      </c>
      <c r="B7230" s="8" t="s">
        <v>60833</v>
      </c>
      <c r="C7230" s="8" t="s">
        <v>14419</v>
      </c>
      <c r="D7230" s="8"/>
      <c r="E7230" s="6"/>
      <c r="F7230" s="6"/>
    </row>
    <row r="7231" spans="1:6" x14ac:dyDescent="0.3">
      <c r="A7231" s="8" t="s">
        <v>14420</v>
      </c>
      <c r="B7231" s="8" t="s">
        <v>60834</v>
      </c>
      <c r="C7231" s="8" t="s">
        <v>14421</v>
      </c>
      <c r="D7231" s="8"/>
      <c r="E7231" s="6"/>
      <c r="F7231" s="6"/>
    </row>
    <row r="7232" spans="1:6" x14ac:dyDescent="0.3">
      <c r="A7232" s="8" t="s">
        <v>14422</v>
      </c>
      <c r="B7232" s="8" t="s">
        <v>60835</v>
      </c>
      <c r="C7232" s="8" t="s">
        <v>14423</v>
      </c>
      <c r="D7232" s="8"/>
      <c r="E7232" s="6"/>
      <c r="F7232" s="6"/>
    </row>
    <row r="7233" spans="1:6" x14ac:dyDescent="0.3">
      <c r="A7233" s="8" t="s">
        <v>14424</v>
      </c>
      <c r="B7233" s="8" t="s">
        <v>60836</v>
      </c>
      <c r="C7233" s="8" t="s">
        <v>14425</v>
      </c>
      <c r="D7233" s="8"/>
      <c r="E7233" s="6"/>
      <c r="F7233" s="6"/>
    </row>
    <row r="7234" spans="1:6" x14ac:dyDescent="0.3">
      <c r="A7234" s="8" t="s">
        <v>14426</v>
      </c>
      <c r="B7234" s="8" t="s">
        <v>60837</v>
      </c>
      <c r="C7234" s="8" t="s">
        <v>14427</v>
      </c>
      <c r="D7234" s="8"/>
      <c r="E7234" s="6"/>
      <c r="F7234" s="6"/>
    </row>
    <row r="7235" spans="1:6" x14ac:dyDescent="0.3">
      <c r="A7235" s="8" t="s">
        <v>14428</v>
      </c>
      <c r="B7235" s="8" t="s">
        <v>60838</v>
      </c>
      <c r="C7235" s="8" t="s">
        <v>14429</v>
      </c>
      <c r="D7235" s="8"/>
      <c r="E7235" s="6"/>
      <c r="F7235" s="6"/>
    </row>
    <row r="7236" spans="1:6" x14ac:dyDescent="0.3">
      <c r="A7236" s="8" t="s">
        <v>14430</v>
      </c>
      <c r="B7236" s="8" t="s">
        <v>60839</v>
      </c>
      <c r="C7236" s="8" t="s">
        <v>14431</v>
      </c>
      <c r="D7236" s="8"/>
      <c r="E7236" s="6"/>
      <c r="F7236" s="6"/>
    </row>
    <row r="7237" spans="1:6" x14ac:dyDescent="0.3">
      <c r="A7237" s="8" t="s">
        <v>14432</v>
      </c>
      <c r="B7237" s="8" t="s">
        <v>60840</v>
      </c>
      <c r="C7237" s="8" t="s">
        <v>14433</v>
      </c>
      <c r="D7237" s="8"/>
      <c r="E7237" s="6"/>
      <c r="F7237" s="6"/>
    </row>
    <row r="7238" spans="1:6" x14ac:dyDescent="0.3">
      <c r="A7238" s="8" t="s">
        <v>14434</v>
      </c>
      <c r="B7238" s="8" t="s">
        <v>60841</v>
      </c>
      <c r="C7238" s="8" t="s">
        <v>14435</v>
      </c>
      <c r="D7238" s="8"/>
      <c r="E7238" s="6"/>
      <c r="F7238" s="6"/>
    </row>
    <row r="7239" spans="1:6" x14ac:dyDescent="0.3">
      <c r="A7239" s="8" t="s">
        <v>14436</v>
      </c>
      <c r="B7239" s="8" t="s">
        <v>60842</v>
      </c>
      <c r="C7239" s="8" t="s">
        <v>14437</v>
      </c>
      <c r="D7239" s="8"/>
      <c r="E7239" s="6"/>
      <c r="F7239" s="6"/>
    </row>
    <row r="7240" spans="1:6" x14ac:dyDescent="0.3">
      <c r="A7240" s="8" t="s">
        <v>14438</v>
      </c>
      <c r="B7240" s="8" t="s">
        <v>60843</v>
      </c>
      <c r="C7240" s="8" t="s">
        <v>14439</v>
      </c>
      <c r="D7240" s="8"/>
      <c r="E7240" s="6"/>
      <c r="F7240" s="6"/>
    </row>
    <row r="7241" spans="1:6" x14ac:dyDescent="0.3">
      <c r="A7241" s="8" t="s">
        <v>14440</v>
      </c>
      <c r="B7241" s="8" t="s">
        <v>60844</v>
      </c>
      <c r="C7241" s="8" t="s">
        <v>14441</v>
      </c>
      <c r="D7241" s="8"/>
      <c r="E7241" s="6"/>
      <c r="F7241" s="6"/>
    </row>
    <row r="7242" spans="1:6" x14ac:dyDescent="0.3">
      <c r="A7242" s="8" t="s">
        <v>14442</v>
      </c>
      <c r="B7242" s="8" t="s">
        <v>60845</v>
      </c>
      <c r="C7242" s="8" t="s">
        <v>14443</v>
      </c>
      <c r="D7242" s="8"/>
      <c r="E7242" s="6"/>
      <c r="F7242" s="6"/>
    </row>
    <row r="7243" spans="1:6" x14ac:dyDescent="0.3">
      <c r="A7243" s="8" t="s">
        <v>14444</v>
      </c>
      <c r="B7243" s="8" t="s">
        <v>60846</v>
      </c>
      <c r="C7243" s="8" t="s">
        <v>14445</v>
      </c>
      <c r="D7243" s="8"/>
      <c r="E7243" s="6"/>
      <c r="F7243" s="6"/>
    </row>
    <row r="7244" spans="1:6" x14ac:dyDescent="0.3">
      <c r="A7244" s="8" t="s">
        <v>14446</v>
      </c>
      <c r="B7244" s="8" t="s">
        <v>60847</v>
      </c>
      <c r="C7244" s="8" t="s">
        <v>14447</v>
      </c>
      <c r="D7244" s="8"/>
      <c r="E7244" s="6"/>
      <c r="F7244" s="6"/>
    </row>
    <row r="7245" spans="1:6" x14ac:dyDescent="0.3">
      <c r="A7245" s="8" t="s">
        <v>14448</v>
      </c>
      <c r="B7245" s="8" t="s">
        <v>60848</v>
      </c>
      <c r="C7245" s="8" t="s">
        <v>14449</v>
      </c>
      <c r="D7245" s="8"/>
      <c r="E7245" s="6"/>
      <c r="F7245" s="6"/>
    </row>
    <row r="7246" spans="1:6" x14ac:dyDescent="0.3">
      <c r="A7246" s="8" t="s">
        <v>14450</v>
      </c>
      <c r="B7246" s="8" t="s">
        <v>60849</v>
      </c>
      <c r="C7246" s="8" t="s">
        <v>14451</v>
      </c>
      <c r="D7246" s="8"/>
      <c r="E7246" s="6"/>
      <c r="F7246" s="6"/>
    </row>
    <row r="7247" spans="1:6" x14ac:dyDescent="0.3">
      <c r="A7247" s="8" t="s">
        <v>14452</v>
      </c>
      <c r="B7247" s="8" t="s">
        <v>60850</v>
      </c>
      <c r="C7247" s="8" t="s">
        <v>14453</v>
      </c>
      <c r="D7247" s="8"/>
      <c r="E7247" s="6"/>
      <c r="F7247" s="6"/>
    </row>
    <row r="7248" spans="1:6" x14ac:dyDescent="0.3">
      <c r="A7248" s="8" t="s">
        <v>14454</v>
      </c>
      <c r="B7248" s="8" t="s">
        <v>60851</v>
      </c>
      <c r="C7248" s="8" t="s">
        <v>14455</v>
      </c>
      <c r="D7248" s="8"/>
      <c r="E7248" s="6"/>
      <c r="F7248" s="6"/>
    </row>
    <row r="7249" spans="1:6" x14ac:dyDescent="0.3">
      <c r="A7249" s="8" t="s">
        <v>14456</v>
      </c>
      <c r="B7249" s="8" t="s">
        <v>60852</v>
      </c>
      <c r="C7249" s="8" t="s">
        <v>14457</v>
      </c>
      <c r="D7249" s="8"/>
      <c r="E7249" s="6"/>
      <c r="F7249" s="6"/>
    </row>
    <row r="7250" spans="1:6" x14ac:dyDescent="0.3">
      <c r="A7250" s="8" t="s">
        <v>14458</v>
      </c>
      <c r="B7250" s="8" t="s">
        <v>60853</v>
      </c>
      <c r="C7250" s="8" t="s">
        <v>14459</v>
      </c>
      <c r="D7250" s="8"/>
      <c r="E7250" s="6"/>
      <c r="F7250" s="6"/>
    </row>
    <row r="7251" spans="1:6" x14ac:dyDescent="0.3">
      <c r="A7251" s="8" t="s">
        <v>14460</v>
      </c>
      <c r="B7251" s="8" t="s">
        <v>60854</v>
      </c>
      <c r="C7251" s="8" t="s">
        <v>14461</v>
      </c>
      <c r="D7251" s="8"/>
      <c r="E7251" s="6"/>
      <c r="F7251" s="6"/>
    </row>
    <row r="7252" spans="1:6" x14ac:dyDescent="0.3">
      <c r="A7252" s="8" t="s">
        <v>14462</v>
      </c>
      <c r="B7252" s="8" t="s">
        <v>60855</v>
      </c>
      <c r="C7252" s="8" t="s">
        <v>14463</v>
      </c>
      <c r="D7252" s="8"/>
      <c r="E7252" s="6"/>
      <c r="F7252" s="6"/>
    </row>
    <row r="7253" spans="1:6" x14ac:dyDescent="0.3">
      <c r="A7253" s="8" t="s">
        <v>14464</v>
      </c>
      <c r="B7253" s="8" t="s">
        <v>60856</v>
      </c>
      <c r="C7253" s="8" t="s">
        <v>14465</v>
      </c>
      <c r="D7253" s="8"/>
      <c r="E7253" s="6"/>
      <c r="F7253" s="6"/>
    </row>
    <row r="7254" spans="1:6" x14ac:dyDescent="0.3">
      <c r="A7254" s="8" t="s">
        <v>14466</v>
      </c>
      <c r="B7254" s="8" t="s">
        <v>60857</v>
      </c>
      <c r="C7254" s="8" t="s">
        <v>14467</v>
      </c>
      <c r="D7254" s="8"/>
      <c r="E7254" s="6"/>
      <c r="F7254" s="6"/>
    </row>
    <row r="7255" spans="1:6" x14ac:dyDescent="0.3">
      <c r="A7255" s="8" t="s">
        <v>14468</v>
      </c>
      <c r="B7255" s="8" t="s">
        <v>60858</v>
      </c>
      <c r="C7255" s="8" t="s">
        <v>14469</v>
      </c>
      <c r="D7255" s="8"/>
      <c r="E7255" s="6"/>
      <c r="F7255" s="6"/>
    </row>
    <row r="7256" spans="1:6" x14ac:dyDescent="0.3">
      <c r="A7256" s="8" t="s">
        <v>14470</v>
      </c>
      <c r="B7256" s="8" t="s">
        <v>60859</v>
      </c>
      <c r="C7256" s="8" t="s">
        <v>14471</v>
      </c>
      <c r="D7256" s="8"/>
      <c r="E7256" s="6"/>
      <c r="F7256" s="6"/>
    </row>
    <row r="7257" spans="1:6" x14ac:dyDescent="0.3">
      <c r="A7257" s="8" t="s">
        <v>14472</v>
      </c>
      <c r="B7257" s="8" t="s">
        <v>60860</v>
      </c>
      <c r="C7257" s="8" t="s">
        <v>14473</v>
      </c>
      <c r="D7257" s="8"/>
      <c r="E7257" s="6"/>
      <c r="F7257" s="6"/>
    </row>
    <row r="7258" spans="1:6" x14ac:dyDescent="0.3">
      <c r="A7258" s="8" t="s">
        <v>14474</v>
      </c>
      <c r="B7258" s="8" t="s">
        <v>60861</v>
      </c>
      <c r="C7258" s="8" t="s">
        <v>14475</v>
      </c>
      <c r="D7258" s="8"/>
      <c r="E7258" s="6"/>
      <c r="F7258" s="6"/>
    </row>
    <row r="7259" spans="1:6" x14ac:dyDescent="0.3">
      <c r="A7259" s="8" t="s">
        <v>14476</v>
      </c>
      <c r="B7259" s="8" t="s">
        <v>60862</v>
      </c>
      <c r="C7259" s="8" t="s">
        <v>14477</v>
      </c>
      <c r="D7259" s="8"/>
      <c r="E7259" s="6"/>
      <c r="F7259" s="6"/>
    </row>
    <row r="7260" spans="1:6" x14ac:dyDescent="0.3">
      <c r="A7260" s="8" t="s">
        <v>14478</v>
      </c>
      <c r="B7260" s="8" t="s">
        <v>60863</v>
      </c>
      <c r="C7260" s="8" t="s">
        <v>14479</v>
      </c>
      <c r="D7260" s="8"/>
      <c r="E7260" s="6"/>
      <c r="F7260" s="6"/>
    </row>
    <row r="7261" spans="1:6" x14ac:dyDescent="0.3">
      <c r="A7261" s="8" t="s">
        <v>14480</v>
      </c>
      <c r="B7261" s="8" t="s">
        <v>60864</v>
      </c>
      <c r="C7261" s="8" t="s">
        <v>14481</v>
      </c>
      <c r="D7261" s="8"/>
      <c r="E7261" s="6"/>
      <c r="F7261" s="6"/>
    </row>
    <row r="7262" spans="1:6" x14ac:dyDescent="0.3">
      <c r="A7262" s="8" t="s">
        <v>14482</v>
      </c>
      <c r="B7262" s="8" t="s">
        <v>60865</v>
      </c>
      <c r="C7262" s="8" t="s">
        <v>14483</v>
      </c>
      <c r="D7262" s="8"/>
      <c r="E7262" s="6"/>
      <c r="F7262" s="6"/>
    </row>
    <row r="7263" spans="1:6" x14ac:dyDescent="0.3">
      <c r="A7263" s="8" t="s">
        <v>14484</v>
      </c>
      <c r="B7263" s="8" t="s">
        <v>60866</v>
      </c>
      <c r="C7263" s="8" t="s">
        <v>14485</v>
      </c>
      <c r="D7263" s="8"/>
      <c r="E7263" s="6"/>
      <c r="F7263" s="6"/>
    </row>
    <row r="7264" spans="1:6" x14ac:dyDescent="0.3">
      <c r="A7264" s="8" t="s">
        <v>14486</v>
      </c>
      <c r="B7264" s="8" t="s">
        <v>60867</v>
      </c>
      <c r="C7264" s="8" t="s">
        <v>14487</v>
      </c>
      <c r="D7264" s="8"/>
      <c r="E7264" s="6"/>
      <c r="F7264" s="6"/>
    </row>
    <row r="7265" spans="1:6" x14ac:dyDescent="0.3">
      <c r="A7265" s="8" t="s">
        <v>14488</v>
      </c>
      <c r="B7265" s="8" t="s">
        <v>60868</v>
      </c>
      <c r="C7265" s="8" t="s">
        <v>14489</v>
      </c>
      <c r="D7265" s="8"/>
      <c r="E7265" s="6"/>
      <c r="F7265" s="6"/>
    </row>
    <row r="7266" spans="1:6" x14ac:dyDescent="0.3">
      <c r="A7266" s="8" t="s">
        <v>14490</v>
      </c>
      <c r="B7266" s="8" t="s">
        <v>60869</v>
      </c>
      <c r="C7266" s="8" t="s">
        <v>14491</v>
      </c>
      <c r="D7266" s="8"/>
      <c r="E7266" s="6"/>
      <c r="F7266" s="6"/>
    </row>
    <row r="7267" spans="1:6" x14ac:dyDescent="0.3">
      <c r="A7267" s="8" t="s">
        <v>14492</v>
      </c>
      <c r="B7267" s="8" t="s">
        <v>60870</v>
      </c>
      <c r="C7267" s="8" t="s">
        <v>14493</v>
      </c>
      <c r="D7267" s="8"/>
      <c r="E7267" s="6"/>
      <c r="F7267" s="6"/>
    </row>
    <row r="7268" spans="1:6" x14ac:dyDescent="0.3">
      <c r="A7268" s="8" t="s">
        <v>14494</v>
      </c>
      <c r="B7268" s="8" t="s">
        <v>60871</v>
      </c>
      <c r="C7268" s="8" t="s">
        <v>14495</v>
      </c>
      <c r="D7268" s="8"/>
      <c r="E7268" s="6"/>
      <c r="F7268" s="6"/>
    </row>
    <row r="7269" spans="1:6" x14ac:dyDescent="0.3">
      <c r="A7269" s="8" t="s">
        <v>14496</v>
      </c>
      <c r="B7269" s="8" t="s">
        <v>60872</v>
      </c>
      <c r="C7269" s="8" t="s">
        <v>14497</v>
      </c>
      <c r="D7269" s="8"/>
      <c r="E7269" s="6"/>
      <c r="F7269" s="6"/>
    </row>
    <row r="7270" spans="1:6" x14ac:dyDescent="0.3">
      <c r="A7270" s="8" t="s">
        <v>14498</v>
      </c>
      <c r="B7270" s="8" t="s">
        <v>60873</v>
      </c>
      <c r="C7270" s="8" t="s">
        <v>14499</v>
      </c>
      <c r="D7270" s="8"/>
      <c r="E7270" s="6"/>
      <c r="F7270" s="6"/>
    </row>
    <row r="7271" spans="1:6" x14ac:dyDescent="0.3">
      <c r="A7271" s="8" t="s">
        <v>14500</v>
      </c>
      <c r="B7271" s="8" t="s">
        <v>60874</v>
      </c>
      <c r="C7271" s="8" t="s">
        <v>14501</v>
      </c>
      <c r="D7271" s="8"/>
      <c r="E7271" s="6"/>
      <c r="F7271" s="6"/>
    </row>
    <row r="7272" spans="1:6" x14ac:dyDescent="0.3">
      <c r="A7272" s="8" t="s">
        <v>14502</v>
      </c>
      <c r="B7272" s="8" t="s">
        <v>60875</v>
      </c>
      <c r="C7272" s="8" t="s">
        <v>14503</v>
      </c>
      <c r="D7272" s="8"/>
      <c r="E7272" s="6"/>
      <c r="F7272" s="6"/>
    </row>
    <row r="7273" spans="1:6" x14ac:dyDescent="0.3">
      <c r="A7273" s="8" t="s">
        <v>14504</v>
      </c>
      <c r="B7273" s="8" t="s">
        <v>60876</v>
      </c>
      <c r="C7273" s="8" t="s">
        <v>14505</v>
      </c>
      <c r="D7273" s="8"/>
      <c r="E7273" s="6"/>
      <c r="F7273" s="6"/>
    </row>
    <row r="7274" spans="1:6" x14ac:dyDescent="0.3">
      <c r="A7274" s="8" t="s">
        <v>14506</v>
      </c>
      <c r="B7274" s="8" t="s">
        <v>60877</v>
      </c>
      <c r="C7274" s="8" t="s">
        <v>14507</v>
      </c>
      <c r="D7274" s="8"/>
      <c r="E7274" s="6"/>
      <c r="F7274" s="6"/>
    </row>
    <row r="7275" spans="1:6" x14ac:dyDescent="0.3">
      <c r="A7275" s="8" t="s">
        <v>14508</v>
      </c>
      <c r="B7275" s="8" t="s">
        <v>60878</v>
      </c>
      <c r="C7275" s="8" t="s">
        <v>14509</v>
      </c>
      <c r="D7275" s="8"/>
      <c r="E7275" s="6"/>
      <c r="F7275" s="6"/>
    </row>
    <row r="7276" spans="1:6" x14ac:dyDescent="0.3">
      <c r="A7276" s="8" t="s">
        <v>14510</v>
      </c>
      <c r="B7276" s="8" t="s">
        <v>60879</v>
      </c>
      <c r="C7276" s="8" t="s">
        <v>14511</v>
      </c>
      <c r="D7276" s="8"/>
      <c r="E7276" s="6"/>
      <c r="F7276" s="6"/>
    </row>
    <row r="7277" spans="1:6" x14ac:dyDescent="0.3">
      <c r="A7277" s="8" t="s">
        <v>14512</v>
      </c>
      <c r="B7277" s="8" t="s">
        <v>60880</v>
      </c>
      <c r="C7277" s="8" t="s">
        <v>14513</v>
      </c>
      <c r="D7277" s="8"/>
      <c r="E7277" s="6"/>
      <c r="F7277" s="6"/>
    </row>
    <row r="7278" spans="1:6" x14ac:dyDescent="0.3">
      <c r="A7278" s="8" t="s">
        <v>14514</v>
      </c>
      <c r="B7278" s="8" t="s">
        <v>60881</v>
      </c>
      <c r="C7278" s="8" t="s">
        <v>14515</v>
      </c>
      <c r="D7278" s="8"/>
      <c r="E7278" s="6"/>
      <c r="F7278" s="6"/>
    </row>
    <row r="7279" spans="1:6" x14ac:dyDescent="0.3">
      <c r="A7279" s="8" t="s">
        <v>14516</v>
      </c>
      <c r="B7279" s="8" t="s">
        <v>60882</v>
      </c>
      <c r="C7279" s="8" t="s">
        <v>14517</v>
      </c>
      <c r="D7279" s="8"/>
      <c r="E7279" s="6"/>
      <c r="F7279" s="6"/>
    </row>
    <row r="7280" spans="1:6" x14ac:dyDescent="0.3">
      <c r="A7280" s="8" t="s">
        <v>14518</v>
      </c>
      <c r="B7280" s="8" t="s">
        <v>60883</v>
      </c>
      <c r="C7280" s="8" t="s">
        <v>14519</v>
      </c>
      <c r="D7280" s="8"/>
      <c r="E7280" s="6"/>
      <c r="F7280" s="6"/>
    </row>
    <row r="7281" spans="1:6" x14ac:dyDescent="0.3">
      <c r="A7281" s="8" t="s">
        <v>14520</v>
      </c>
      <c r="B7281" s="8" t="s">
        <v>60884</v>
      </c>
      <c r="C7281" s="8" t="s">
        <v>14521</v>
      </c>
      <c r="D7281" s="8"/>
      <c r="E7281" s="6"/>
      <c r="F7281" s="6"/>
    </row>
    <row r="7282" spans="1:6" x14ac:dyDescent="0.3">
      <c r="A7282" s="8" t="s">
        <v>14522</v>
      </c>
      <c r="B7282" s="8" t="s">
        <v>60885</v>
      </c>
      <c r="C7282" s="8" t="s">
        <v>14523</v>
      </c>
      <c r="D7282" s="8"/>
      <c r="E7282" s="6"/>
      <c r="F7282" s="6"/>
    </row>
    <row r="7283" spans="1:6" x14ac:dyDescent="0.3">
      <c r="A7283" s="8" t="s">
        <v>14524</v>
      </c>
      <c r="B7283" s="8" t="s">
        <v>60886</v>
      </c>
      <c r="C7283" s="8" t="s">
        <v>14525</v>
      </c>
      <c r="D7283" s="8"/>
      <c r="E7283" s="6"/>
      <c r="F7283" s="6"/>
    </row>
    <row r="7284" spans="1:6" x14ac:dyDescent="0.3">
      <c r="A7284" s="8" t="s">
        <v>14526</v>
      </c>
      <c r="B7284" s="8" t="s">
        <v>60887</v>
      </c>
      <c r="C7284" s="8" t="s">
        <v>14527</v>
      </c>
      <c r="D7284" s="8"/>
      <c r="E7284" s="6"/>
      <c r="F7284" s="6"/>
    </row>
    <row r="7285" spans="1:6" x14ac:dyDescent="0.3">
      <c r="A7285" s="8" t="s">
        <v>14528</v>
      </c>
      <c r="B7285" s="8" t="s">
        <v>60888</v>
      </c>
      <c r="C7285" s="8" t="s">
        <v>14529</v>
      </c>
      <c r="D7285" s="8"/>
      <c r="E7285" s="6"/>
      <c r="F7285" s="6"/>
    </row>
    <row r="7286" spans="1:6" x14ac:dyDescent="0.3">
      <c r="A7286" s="8" t="s">
        <v>14530</v>
      </c>
      <c r="B7286" s="8" t="s">
        <v>60889</v>
      </c>
      <c r="C7286" s="8" t="s">
        <v>14531</v>
      </c>
      <c r="D7286" s="8"/>
      <c r="E7286" s="6"/>
      <c r="F7286" s="6"/>
    </row>
    <row r="7287" spans="1:6" x14ac:dyDescent="0.3">
      <c r="A7287" s="8" t="s">
        <v>14532</v>
      </c>
      <c r="B7287" s="8" t="s">
        <v>60890</v>
      </c>
      <c r="C7287" s="8" t="s">
        <v>14533</v>
      </c>
      <c r="D7287" s="8"/>
      <c r="E7287" s="6"/>
      <c r="F7287" s="6"/>
    </row>
    <row r="7288" spans="1:6" x14ac:dyDescent="0.3">
      <c r="A7288" s="8" t="s">
        <v>14534</v>
      </c>
      <c r="B7288" s="8" t="s">
        <v>60891</v>
      </c>
      <c r="C7288" s="8" t="s">
        <v>14535</v>
      </c>
      <c r="D7288" s="8"/>
      <c r="E7288" s="6"/>
      <c r="F7288" s="6"/>
    </row>
    <row r="7289" spans="1:6" x14ac:dyDescent="0.3">
      <c r="A7289" s="8" t="s">
        <v>14536</v>
      </c>
      <c r="B7289" s="8" t="s">
        <v>60892</v>
      </c>
      <c r="C7289" s="8" t="s">
        <v>14537</v>
      </c>
      <c r="D7289" s="8"/>
      <c r="E7289" s="6"/>
      <c r="F7289" s="6"/>
    </row>
    <row r="7290" spans="1:6" x14ac:dyDescent="0.3">
      <c r="A7290" s="8" t="s">
        <v>14538</v>
      </c>
      <c r="B7290" s="8" t="s">
        <v>60893</v>
      </c>
      <c r="C7290" s="8" t="s">
        <v>14539</v>
      </c>
      <c r="D7290" s="8"/>
      <c r="E7290" s="6"/>
      <c r="F7290" s="6"/>
    </row>
    <row r="7291" spans="1:6" x14ac:dyDescent="0.3">
      <c r="A7291" s="8" t="s">
        <v>14540</v>
      </c>
      <c r="B7291" s="8" t="s">
        <v>60894</v>
      </c>
      <c r="C7291" s="8" t="s">
        <v>14541</v>
      </c>
      <c r="D7291" s="8"/>
      <c r="E7291" s="6"/>
      <c r="F7291" s="6"/>
    </row>
    <row r="7292" spans="1:6" x14ac:dyDescent="0.3">
      <c r="A7292" s="8" t="s">
        <v>14542</v>
      </c>
      <c r="B7292" s="8" t="s">
        <v>60895</v>
      </c>
      <c r="C7292" s="8" t="s">
        <v>14543</v>
      </c>
      <c r="D7292" s="8"/>
      <c r="E7292" s="6"/>
      <c r="F7292" s="6"/>
    </row>
    <row r="7293" spans="1:6" x14ac:dyDescent="0.3">
      <c r="A7293" s="8" t="s">
        <v>14544</v>
      </c>
      <c r="B7293" s="8" t="s">
        <v>60896</v>
      </c>
      <c r="C7293" s="8" t="s">
        <v>14545</v>
      </c>
      <c r="D7293" s="8"/>
      <c r="E7293" s="6"/>
      <c r="F7293" s="6"/>
    </row>
    <row r="7294" spans="1:6" x14ac:dyDescent="0.3">
      <c r="A7294" s="8" t="s">
        <v>14546</v>
      </c>
      <c r="B7294" s="8" t="s">
        <v>60897</v>
      </c>
      <c r="C7294" s="8" t="s">
        <v>14547</v>
      </c>
      <c r="D7294" s="8"/>
      <c r="E7294" s="6"/>
      <c r="F7294" s="6"/>
    </row>
    <row r="7295" spans="1:6" x14ac:dyDescent="0.3">
      <c r="A7295" s="8" t="s">
        <v>14548</v>
      </c>
      <c r="B7295" s="8" t="s">
        <v>60898</v>
      </c>
      <c r="C7295" s="8" t="s">
        <v>14549</v>
      </c>
      <c r="D7295" s="8"/>
      <c r="E7295" s="6"/>
      <c r="F7295" s="6"/>
    </row>
    <row r="7296" spans="1:6" x14ac:dyDescent="0.3">
      <c r="A7296" s="8" t="s">
        <v>14550</v>
      </c>
      <c r="B7296" s="8" t="s">
        <v>60899</v>
      </c>
      <c r="C7296" s="8" t="s">
        <v>14551</v>
      </c>
      <c r="D7296" s="8"/>
      <c r="E7296" s="6"/>
      <c r="F7296" s="6"/>
    </row>
    <row r="7297" spans="1:6" x14ac:dyDescent="0.3">
      <c r="A7297" s="8" t="s">
        <v>14552</v>
      </c>
      <c r="B7297" s="8" t="s">
        <v>60900</v>
      </c>
      <c r="C7297" s="8" t="s">
        <v>14553</v>
      </c>
      <c r="D7297" s="8"/>
      <c r="E7297" s="6"/>
      <c r="F7297" s="6"/>
    </row>
    <row r="7298" spans="1:6" x14ac:dyDescent="0.3">
      <c r="A7298" s="8" t="s">
        <v>14554</v>
      </c>
      <c r="B7298" s="8" t="s">
        <v>60901</v>
      </c>
      <c r="C7298" s="8" t="s">
        <v>14555</v>
      </c>
      <c r="D7298" s="8"/>
      <c r="E7298" s="6"/>
      <c r="F7298" s="6"/>
    </row>
    <row r="7299" spans="1:6" x14ac:dyDescent="0.3">
      <c r="A7299" s="8" t="s">
        <v>14556</v>
      </c>
      <c r="B7299" s="8" t="s">
        <v>60902</v>
      </c>
      <c r="C7299" s="8" t="s">
        <v>14557</v>
      </c>
      <c r="D7299" s="8"/>
      <c r="E7299" s="6"/>
      <c r="F7299" s="6"/>
    </row>
    <row r="7300" spans="1:6" x14ac:dyDescent="0.3">
      <c r="A7300" s="8" t="s">
        <v>14558</v>
      </c>
      <c r="B7300" s="8" t="s">
        <v>60903</v>
      </c>
      <c r="C7300" s="8" t="s">
        <v>14559</v>
      </c>
      <c r="D7300" s="8"/>
      <c r="E7300" s="6"/>
      <c r="F7300" s="6"/>
    </row>
    <row r="7301" spans="1:6" x14ac:dyDescent="0.3">
      <c r="A7301" s="8" t="s">
        <v>14560</v>
      </c>
      <c r="B7301" s="8" t="s">
        <v>60904</v>
      </c>
      <c r="C7301" s="8" t="s">
        <v>14561</v>
      </c>
      <c r="D7301" s="8"/>
      <c r="E7301" s="6"/>
      <c r="F7301" s="6"/>
    </row>
    <row r="7302" spans="1:6" x14ac:dyDescent="0.3">
      <c r="A7302" s="8" t="s">
        <v>14562</v>
      </c>
      <c r="B7302" s="8" t="s">
        <v>60905</v>
      </c>
      <c r="C7302" s="8" t="s">
        <v>14563</v>
      </c>
      <c r="D7302" s="8"/>
      <c r="E7302" s="6"/>
      <c r="F7302" s="6"/>
    </row>
    <row r="7303" spans="1:6" x14ac:dyDescent="0.3">
      <c r="A7303" s="8" t="s">
        <v>14564</v>
      </c>
      <c r="B7303" s="8" t="s">
        <v>60906</v>
      </c>
      <c r="C7303" s="8" t="s">
        <v>14565</v>
      </c>
      <c r="D7303" s="8"/>
      <c r="E7303" s="6"/>
      <c r="F7303" s="6"/>
    </row>
    <row r="7304" spans="1:6" x14ac:dyDescent="0.3">
      <c r="A7304" s="8" t="s">
        <v>14566</v>
      </c>
      <c r="B7304" s="8" t="s">
        <v>60907</v>
      </c>
      <c r="C7304" s="8" t="s">
        <v>14567</v>
      </c>
      <c r="D7304" s="8"/>
      <c r="E7304" s="6"/>
      <c r="F7304" s="6"/>
    </row>
    <row r="7305" spans="1:6" x14ac:dyDescent="0.3">
      <c r="A7305" s="8" t="s">
        <v>14568</v>
      </c>
      <c r="B7305" s="8" t="s">
        <v>60908</v>
      </c>
      <c r="C7305" s="8" t="s">
        <v>14569</v>
      </c>
      <c r="D7305" s="8"/>
      <c r="E7305" s="6"/>
      <c r="F7305" s="6"/>
    </row>
    <row r="7306" spans="1:6" x14ac:dyDescent="0.3">
      <c r="A7306" s="8" t="s">
        <v>14570</v>
      </c>
      <c r="B7306" s="8" t="s">
        <v>60909</v>
      </c>
      <c r="C7306" s="8" t="s">
        <v>14571</v>
      </c>
      <c r="D7306" s="8"/>
      <c r="E7306" s="6"/>
      <c r="F7306" s="6"/>
    </row>
    <row r="7307" spans="1:6" x14ac:dyDescent="0.3">
      <c r="A7307" s="8" t="s">
        <v>14572</v>
      </c>
      <c r="B7307" s="8" t="s">
        <v>60910</v>
      </c>
      <c r="C7307" s="8" t="s">
        <v>14573</v>
      </c>
      <c r="D7307" s="8"/>
      <c r="E7307" s="6"/>
      <c r="F7307" s="6"/>
    </row>
    <row r="7308" spans="1:6" x14ac:dyDescent="0.3">
      <c r="A7308" s="8" t="s">
        <v>14574</v>
      </c>
      <c r="B7308" s="8" t="s">
        <v>60911</v>
      </c>
      <c r="C7308" s="8" t="s">
        <v>14575</v>
      </c>
      <c r="D7308" s="8"/>
      <c r="E7308" s="6"/>
      <c r="F7308" s="6"/>
    </row>
    <row r="7309" spans="1:6" x14ac:dyDescent="0.3">
      <c r="A7309" s="8" t="s">
        <v>14576</v>
      </c>
      <c r="B7309" s="8" t="s">
        <v>60912</v>
      </c>
      <c r="C7309" s="8" t="s">
        <v>14577</v>
      </c>
      <c r="D7309" s="8"/>
      <c r="E7309" s="6"/>
      <c r="F7309" s="6"/>
    </row>
    <row r="7310" spans="1:6" x14ac:dyDescent="0.3">
      <c r="A7310" s="8" t="s">
        <v>14578</v>
      </c>
      <c r="B7310" s="8" t="s">
        <v>60913</v>
      </c>
      <c r="C7310" s="8" t="s">
        <v>14579</v>
      </c>
      <c r="D7310" s="8"/>
      <c r="E7310" s="6"/>
      <c r="F7310" s="6"/>
    </row>
    <row r="7311" spans="1:6" x14ac:dyDescent="0.3">
      <c r="A7311" s="8" t="s">
        <v>14580</v>
      </c>
      <c r="B7311" s="8" t="s">
        <v>60914</v>
      </c>
      <c r="C7311" s="8" t="s">
        <v>14581</v>
      </c>
      <c r="D7311" s="8"/>
      <c r="E7311" s="6"/>
      <c r="F7311" s="6"/>
    </row>
    <row r="7312" spans="1:6" x14ac:dyDescent="0.3">
      <c r="A7312" s="8" t="s">
        <v>14582</v>
      </c>
      <c r="B7312" s="8" t="s">
        <v>60915</v>
      </c>
      <c r="C7312" s="8" t="s">
        <v>14583</v>
      </c>
      <c r="D7312" s="8"/>
      <c r="E7312" s="6"/>
      <c r="F7312" s="6"/>
    </row>
    <row r="7313" spans="1:6" x14ac:dyDescent="0.3">
      <c r="A7313" s="8" t="s">
        <v>14584</v>
      </c>
      <c r="B7313" s="8" t="s">
        <v>60916</v>
      </c>
      <c r="C7313" s="8" t="s">
        <v>14585</v>
      </c>
      <c r="D7313" s="8"/>
      <c r="E7313" s="6"/>
      <c r="F7313" s="6"/>
    </row>
    <row r="7314" spans="1:6" x14ac:dyDescent="0.3">
      <c r="A7314" s="8" t="s">
        <v>14586</v>
      </c>
      <c r="B7314" s="8" t="s">
        <v>60917</v>
      </c>
      <c r="C7314" s="8" t="s">
        <v>14587</v>
      </c>
      <c r="D7314" s="8"/>
      <c r="E7314" s="6"/>
      <c r="F7314" s="6"/>
    </row>
    <row r="7315" spans="1:6" x14ac:dyDescent="0.3">
      <c r="A7315" s="8" t="s">
        <v>14588</v>
      </c>
      <c r="B7315" s="8" t="s">
        <v>60918</v>
      </c>
      <c r="C7315" s="8" t="s">
        <v>14589</v>
      </c>
      <c r="D7315" s="8"/>
      <c r="E7315" s="6"/>
      <c r="F7315" s="6"/>
    </row>
    <row r="7316" spans="1:6" x14ac:dyDescent="0.3">
      <c r="A7316" s="8" t="s">
        <v>14590</v>
      </c>
      <c r="B7316" s="8" t="s">
        <v>60919</v>
      </c>
      <c r="C7316" s="8" t="s">
        <v>14591</v>
      </c>
      <c r="D7316" s="8"/>
      <c r="E7316" s="6"/>
      <c r="F7316" s="6"/>
    </row>
    <row r="7317" spans="1:6" x14ac:dyDescent="0.3">
      <c r="A7317" s="8" t="s">
        <v>14592</v>
      </c>
      <c r="B7317" s="8" t="s">
        <v>60920</v>
      </c>
      <c r="C7317" s="8" t="s">
        <v>14593</v>
      </c>
      <c r="D7317" s="8"/>
      <c r="E7317" s="6"/>
      <c r="F7317" s="6"/>
    </row>
    <row r="7318" spans="1:6" x14ac:dyDescent="0.3">
      <c r="A7318" s="8" t="s">
        <v>14594</v>
      </c>
      <c r="B7318" s="8" t="s">
        <v>60921</v>
      </c>
      <c r="C7318" s="8" t="s">
        <v>14595</v>
      </c>
      <c r="D7318" s="8"/>
      <c r="E7318" s="6"/>
      <c r="F7318" s="6"/>
    </row>
    <row r="7319" spans="1:6" x14ac:dyDescent="0.3">
      <c r="A7319" s="8" t="s">
        <v>14596</v>
      </c>
      <c r="B7319" s="8" t="s">
        <v>60922</v>
      </c>
      <c r="C7319" s="8" t="s">
        <v>14597</v>
      </c>
      <c r="D7319" s="8"/>
      <c r="E7319" s="6"/>
      <c r="F7319" s="6"/>
    </row>
    <row r="7320" spans="1:6" x14ac:dyDescent="0.3">
      <c r="A7320" s="8" t="s">
        <v>14598</v>
      </c>
      <c r="B7320" s="8" t="s">
        <v>60923</v>
      </c>
      <c r="C7320" s="8" t="s">
        <v>14599</v>
      </c>
      <c r="D7320" s="8"/>
      <c r="E7320" s="6"/>
      <c r="F7320" s="6"/>
    </row>
    <row r="7321" spans="1:6" x14ac:dyDescent="0.3">
      <c r="A7321" s="8" t="s">
        <v>14600</v>
      </c>
      <c r="B7321" s="8" t="s">
        <v>60924</v>
      </c>
      <c r="C7321" s="8" t="s">
        <v>14601</v>
      </c>
      <c r="D7321" s="8"/>
      <c r="E7321" s="6"/>
      <c r="F7321" s="6"/>
    </row>
    <row r="7322" spans="1:6" x14ac:dyDescent="0.3">
      <c r="A7322" s="8" t="s">
        <v>14602</v>
      </c>
      <c r="B7322" s="8" t="s">
        <v>60925</v>
      </c>
      <c r="C7322" s="8" t="s">
        <v>14603</v>
      </c>
      <c r="D7322" s="8"/>
      <c r="E7322" s="6"/>
      <c r="F7322" s="6"/>
    </row>
    <row r="7323" spans="1:6" x14ac:dyDescent="0.3">
      <c r="A7323" s="8" t="s">
        <v>14604</v>
      </c>
      <c r="B7323" s="8" t="s">
        <v>60926</v>
      </c>
      <c r="C7323" s="8" t="s">
        <v>14605</v>
      </c>
      <c r="D7323" s="8"/>
      <c r="E7323" s="6"/>
      <c r="F7323" s="6"/>
    </row>
    <row r="7324" spans="1:6" x14ac:dyDescent="0.3">
      <c r="A7324" s="8" t="s">
        <v>14606</v>
      </c>
      <c r="B7324" s="8" t="s">
        <v>60927</v>
      </c>
      <c r="C7324" s="8" t="s">
        <v>14607</v>
      </c>
      <c r="D7324" s="8"/>
      <c r="E7324" s="6"/>
      <c r="F7324" s="6"/>
    </row>
    <row r="7325" spans="1:6" x14ac:dyDescent="0.3">
      <c r="A7325" s="8" t="s">
        <v>14608</v>
      </c>
      <c r="B7325" s="8" t="s">
        <v>60928</v>
      </c>
      <c r="C7325" s="8" t="s">
        <v>14609</v>
      </c>
      <c r="D7325" s="8"/>
      <c r="E7325" s="6"/>
      <c r="F7325" s="6"/>
    </row>
    <row r="7326" spans="1:6" x14ac:dyDescent="0.3">
      <c r="A7326" s="8" t="s">
        <v>14610</v>
      </c>
      <c r="B7326" s="8" t="s">
        <v>60929</v>
      </c>
      <c r="C7326" s="8" t="s">
        <v>14611</v>
      </c>
      <c r="D7326" s="8"/>
      <c r="E7326" s="6"/>
      <c r="F7326" s="6"/>
    </row>
    <row r="7327" spans="1:6" x14ac:dyDescent="0.3">
      <c r="A7327" s="8" t="s">
        <v>14612</v>
      </c>
      <c r="B7327" s="8" t="s">
        <v>60930</v>
      </c>
      <c r="C7327" s="8" t="s">
        <v>14613</v>
      </c>
      <c r="D7327" s="8"/>
      <c r="E7327" s="6"/>
      <c r="F7327" s="6"/>
    </row>
    <row r="7328" spans="1:6" x14ac:dyDescent="0.3">
      <c r="A7328" s="8" t="s">
        <v>14614</v>
      </c>
      <c r="B7328" s="8" t="s">
        <v>60931</v>
      </c>
      <c r="C7328" s="8" t="s">
        <v>14615</v>
      </c>
      <c r="D7328" s="8"/>
      <c r="E7328" s="6"/>
      <c r="F7328" s="6"/>
    </row>
    <row r="7329" spans="1:6" x14ac:dyDescent="0.3">
      <c r="A7329" s="8" t="s">
        <v>14616</v>
      </c>
      <c r="B7329" s="8" t="s">
        <v>60932</v>
      </c>
      <c r="C7329" s="8" t="s">
        <v>14617</v>
      </c>
      <c r="D7329" s="8"/>
      <c r="E7329" s="6"/>
      <c r="F7329" s="6"/>
    </row>
    <row r="7330" spans="1:6" x14ac:dyDescent="0.3">
      <c r="A7330" s="8" t="s">
        <v>14618</v>
      </c>
      <c r="B7330" s="8" t="s">
        <v>60933</v>
      </c>
      <c r="C7330" s="8" t="s">
        <v>14619</v>
      </c>
      <c r="D7330" s="8"/>
      <c r="E7330" s="6"/>
      <c r="F7330" s="6"/>
    </row>
    <row r="7331" spans="1:6" x14ac:dyDescent="0.3">
      <c r="A7331" s="8" t="s">
        <v>14620</v>
      </c>
      <c r="B7331" s="8" t="s">
        <v>60934</v>
      </c>
      <c r="C7331" s="8" t="s">
        <v>14621</v>
      </c>
      <c r="D7331" s="8"/>
      <c r="E7331" s="6"/>
      <c r="F7331" s="6"/>
    </row>
    <row r="7332" spans="1:6" x14ac:dyDescent="0.3">
      <c r="A7332" s="8" t="s">
        <v>14622</v>
      </c>
      <c r="B7332" s="8" t="s">
        <v>60935</v>
      </c>
      <c r="C7332" s="8" t="s">
        <v>14623</v>
      </c>
      <c r="D7332" s="8"/>
      <c r="E7332" s="6"/>
      <c r="F7332" s="6"/>
    </row>
    <row r="7333" spans="1:6" x14ac:dyDescent="0.3">
      <c r="A7333" s="8" t="s">
        <v>14624</v>
      </c>
      <c r="B7333" s="8" t="s">
        <v>60936</v>
      </c>
      <c r="C7333" s="8" t="s">
        <v>14625</v>
      </c>
      <c r="D7333" s="8"/>
      <c r="E7333" s="6"/>
      <c r="F7333" s="6"/>
    </row>
    <row r="7334" spans="1:6" x14ac:dyDescent="0.3">
      <c r="A7334" s="8" t="s">
        <v>14626</v>
      </c>
      <c r="B7334" s="8" t="s">
        <v>60937</v>
      </c>
      <c r="C7334" s="8" t="s">
        <v>14627</v>
      </c>
      <c r="D7334" s="8"/>
      <c r="E7334" s="6"/>
      <c r="F7334" s="6"/>
    </row>
    <row r="7335" spans="1:6" x14ac:dyDescent="0.3">
      <c r="A7335" s="8" t="s">
        <v>14628</v>
      </c>
      <c r="B7335" s="8" t="s">
        <v>60938</v>
      </c>
      <c r="C7335" s="8" t="s">
        <v>14629</v>
      </c>
      <c r="D7335" s="8"/>
      <c r="E7335" s="6"/>
      <c r="F7335" s="6"/>
    </row>
    <row r="7336" spans="1:6" x14ac:dyDescent="0.3">
      <c r="A7336" s="8" t="s">
        <v>14630</v>
      </c>
      <c r="B7336" s="8" t="s">
        <v>60939</v>
      </c>
      <c r="C7336" s="8" t="s">
        <v>14631</v>
      </c>
      <c r="D7336" s="8"/>
      <c r="E7336" s="6"/>
      <c r="F7336" s="6"/>
    </row>
    <row r="7337" spans="1:6" x14ac:dyDescent="0.3">
      <c r="A7337" s="8" t="s">
        <v>14632</v>
      </c>
      <c r="B7337" s="8" t="s">
        <v>60940</v>
      </c>
      <c r="C7337" s="8" t="s">
        <v>14633</v>
      </c>
      <c r="D7337" s="8"/>
      <c r="E7337" s="6"/>
      <c r="F7337" s="6"/>
    </row>
    <row r="7338" spans="1:6" x14ac:dyDescent="0.3">
      <c r="A7338" s="8" t="s">
        <v>14634</v>
      </c>
      <c r="B7338" s="8" t="s">
        <v>60941</v>
      </c>
      <c r="C7338" s="8" t="s">
        <v>14635</v>
      </c>
      <c r="D7338" s="8"/>
      <c r="E7338" s="6"/>
      <c r="F7338" s="6"/>
    </row>
    <row r="7339" spans="1:6" x14ac:dyDescent="0.3">
      <c r="A7339" s="8" t="s">
        <v>14636</v>
      </c>
      <c r="B7339" s="8" t="s">
        <v>60942</v>
      </c>
      <c r="C7339" s="8" t="s">
        <v>14637</v>
      </c>
      <c r="D7339" s="8"/>
      <c r="E7339" s="6"/>
      <c r="F7339" s="6"/>
    </row>
    <row r="7340" spans="1:6" x14ac:dyDescent="0.3">
      <c r="A7340" s="8" t="s">
        <v>14638</v>
      </c>
      <c r="B7340" s="8" t="s">
        <v>60943</v>
      </c>
      <c r="C7340" s="8" t="s">
        <v>14639</v>
      </c>
      <c r="D7340" s="8"/>
      <c r="E7340" s="6"/>
      <c r="F7340" s="6"/>
    </row>
    <row r="7341" spans="1:6" x14ac:dyDescent="0.3">
      <c r="A7341" s="8" t="s">
        <v>14640</v>
      </c>
      <c r="B7341" s="8" t="s">
        <v>60944</v>
      </c>
      <c r="C7341" s="8" t="s">
        <v>14641</v>
      </c>
      <c r="D7341" s="8"/>
      <c r="E7341" s="6"/>
      <c r="F7341" s="6"/>
    </row>
    <row r="7342" spans="1:6" x14ac:dyDescent="0.3">
      <c r="A7342" s="8" t="s">
        <v>14642</v>
      </c>
      <c r="B7342" s="8" t="s">
        <v>60945</v>
      </c>
      <c r="C7342" s="8" t="s">
        <v>14643</v>
      </c>
      <c r="D7342" s="8"/>
      <c r="E7342" s="6"/>
      <c r="F7342" s="6"/>
    </row>
    <row r="7343" spans="1:6" x14ac:dyDescent="0.3">
      <c r="A7343" s="8" t="s">
        <v>14644</v>
      </c>
      <c r="B7343" s="8" t="s">
        <v>60946</v>
      </c>
      <c r="C7343" s="8" t="s">
        <v>14645</v>
      </c>
      <c r="D7343" s="8"/>
      <c r="E7343" s="6"/>
      <c r="F7343" s="6"/>
    </row>
    <row r="7344" spans="1:6" x14ac:dyDescent="0.3">
      <c r="A7344" s="8" t="s">
        <v>14646</v>
      </c>
      <c r="B7344" s="8" t="s">
        <v>60947</v>
      </c>
      <c r="C7344" s="8" t="s">
        <v>14647</v>
      </c>
      <c r="D7344" s="8"/>
      <c r="E7344" s="6"/>
      <c r="F7344" s="6"/>
    </row>
    <row r="7345" spans="1:6" x14ac:dyDescent="0.3">
      <c r="A7345" s="8" t="s">
        <v>14648</v>
      </c>
      <c r="B7345" s="8" t="s">
        <v>60948</v>
      </c>
      <c r="C7345" s="8" t="s">
        <v>14649</v>
      </c>
      <c r="D7345" s="8"/>
      <c r="E7345" s="6"/>
      <c r="F7345" s="6"/>
    </row>
    <row r="7346" spans="1:6" x14ac:dyDescent="0.3">
      <c r="A7346" s="8" t="s">
        <v>14650</v>
      </c>
      <c r="B7346" s="8" t="s">
        <v>60949</v>
      </c>
      <c r="C7346" s="8" t="s">
        <v>14651</v>
      </c>
      <c r="D7346" s="8"/>
      <c r="E7346" s="6"/>
      <c r="F7346" s="6"/>
    </row>
    <row r="7347" spans="1:6" x14ac:dyDescent="0.3">
      <c r="A7347" s="8" t="s">
        <v>14652</v>
      </c>
      <c r="B7347" s="8" t="s">
        <v>60950</v>
      </c>
      <c r="C7347" s="8" t="s">
        <v>14653</v>
      </c>
      <c r="D7347" s="8"/>
      <c r="E7347" s="6"/>
      <c r="F7347" s="6"/>
    </row>
    <row r="7348" spans="1:6" x14ac:dyDescent="0.3">
      <c r="A7348" s="8" t="s">
        <v>14654</v>
      </c>
      <c r="B7348" s="8" t="s">
        <v>60951</v>
      </c>
      <c r="C7348" s="8" t="s">
        <v>14655</v>
      </c>
      <c r="D7348" s="8"/>
      <c r="E7348" s="6"/>
      <c r="F7348" s="6"/>
    </row>
    <row r="7349" spans="1:6" x14ac:dyDescent="0.3">
      <c r="A7349" s="8" t="s">
        <v>14656</v>
      </c>
      <c r="B7349" s="8" t="s">
        <v>60952</v>
      </c>
      <c r="C7349" s="8" t="s">
        <v>14657</v>
      </c>
      <c r="D7349" s="8"/>
      <c r="E7349" s="6"/>
      <c r="F7349" s="6"/>
    </row>
    <row r="7350" spans="1:6" x14ac:dyDescent="0.3">
      <c r="A7350" s="8" t="s">
        <v>14658</v>
      </c>
      <c r="B7350" s="8" t="s">
        <v>60953</v>
      </c>
      <c r="C7350" s="8" t="s">
        <v>14659</v>
      </c>
      <c r="D7350" s="8"/>
      <c r="E7350" s="6"/>
      <c r="F7350" s="6"/>
    </row>
    <row r="7351" spans="1:6" x14ac:dyDescent="0.3">
      <c r="A7351" s="8" t="s">
        <v>14660</v>
      </c>
      <c r="B7351" s="8" t="s">
        <v>60954</v>
      </c>
      <c r="C7351" s="8" t="s">
        <v>14661</v>
      </c>
      <c r="D7351" s="8"/>
      <c r="E7351" s="6"/>
      <c r="F7351" s="6"/>
    </row>
    <row r="7352" spans="1:6" x14ac:dyDescent="0.3">
      <c r="A7352" s="8" t="s">
        <v>14662</v>
      </c>
      <c r="B7352" s="8" t="s">
        <v>60955</v>
      </c>
      <c r="C7352" s="8" t="s">
        <v>14663</v>
      </c>
      <c r="D7352" s="8"/>
      <c r="E7352" s="6"/>
      <c r="F7352" s="6"/>
    </row>
    <row r="7353" spans="1:6" x14ac:dyDescent="0.3">
      <c r="A7353" s="8" t="s">
        <v>14664</v>
      </c>
      <c r="B7353" s="8" t="s">
        <v>60956</v>
      </c>
      <c r="C7353" s="8" t="s">
        <v>14665</v>
      </c>
      <c r="D7353" s="8"/>
      <c r="E7353" s="6"/>
      <c r="F7353" s="6"/>
    </row>
    <row r="7354" spans="1:6" x14ac:dyDescent="0.3">
      <c r="A7354" s="8" t="s">
        <v>14666</v>
      </c>
      <c r="B7354" s="8" t="s">
        <v>60957</v>
      </c>
      <c r="C7354" s="8" t="s">
        <v>14667</v>
      </c>
      <c r="D7354" s="8"/>
      <c r="E7354" s="6"/>
      <c r="F7354" s="6"/>
    </row>
    <row r="7355" spans="1:6" x14ac:dyDescent="0.3">
      <c r="A7355" s="8" t="s">
        <v>14668</v>
      </c>
      <c r="B7355" s="8" t="s">
        <v>60958</v>
      </c>
      <c r="C7355" s="8" t="s">
        <v>14669</v>
      </c>
      <c r="D7355" s="8"/>
      <c r="E7355" s="6"/>
      <c r="F7355" s="6"/>
    </row>
    <row r="7356" spans="1:6" x14ac:dyDescent="0.3">
      <c r="A7356" s="8" t="s">
        <v>14670</v>
      </c>
      <c r="B7356" s="8" t="s">
        <v>60959</v>
      </c>
      <c r="C7356" s="8" t="s">
        <v>14671</v>
      </c>
      <c r="D7356" s="8"/>
      <c r="E7356" s="6"/>
      <c r="F7356" s="6"/>
    </row>
    <row r="7357" spans="1:6" x14ac:dyDescent="0.3">
      <c r="A7357" s="8" t="s">
        <v>14672</v>
      </c>
      <c r="B7357" s="8" t="s">
        <v>60960</v>
      </c>
      <c r="C7357" s="8" t="s">
        <v>14673</v>
      </c>
      <c r="D7357" s="8"/>
      <c r="E7357" s="6"/>
      <c r="F7357" s="6"/>
    </row>
    <row r="7358" spans="1:6" x14ac:dyDescent="0.3">
      <c r="A7358" s="8" t="s">
        <v>14674</v>
      </c>
      <c r="B7358" s="8" t="s">
        <v>60961</v>
      </c>
      <c r="C7358" s="8" t="s">
        <v>14675</v>
      </c>
      <c r="D7358" s="8"/>
      <c r="E7358" s="6"/>
      <c r="F7358" s="6"/>
    </row>
    <row r="7359" spans="1:6" x14ac:dyDescent="0.3">
      <c r="A7359" s="8" t="s">
        <v>14676</v>
      </c>
      <c r="B7359" s="8" t="s">
        <v>60962</v>
      </c>
      <c r="C7359" s="8" t="s">
        <v>14677</v>
      </c>
      <c r="D7359" s="8"/>
      <c r="E7359" s="6"/>
      <c r="F7359" s="6"/>
    </row>
    <row r="7360" spans="1:6" x14ac:dyDescent="0.3">
      <c r="A7360" s="8" t="s">
        <v>14678</v>
      </c>
      <c r="B7360" s="8" t="s">
        <v>60963</v>
      </c>
      <c r="C7360" s="8" t="s">
        <v>14679</v>
      </c>
      <c r="D7360" s="8"/>
      <c r="E7360" s="6"/>
      <c r="F7360" s="6"/>
    </row>
    <row r="7361" spans="1:6" x14ac:dyDescent="0.3">
      <c r="A7361" s="8" t="s">
        <v>14680</v>
      </c>
      <c r="B7361" s="8" t="s">
        <v>60964</v>
      </c>
      <c r="C7361" s="8" t="s">
        <v>14681</v>
      </c>
      <c r="D7361" s="8"/>
      <c r="E7361" s="6"/>
      <c r="F7361" s="6"/>
    </row>
    <row r="7362" spans="1:6" x14ac:dyDescent="0.3">
      <c r="A7362" s="8" t="s">
        <v>14682</v>
      </c>
      <c r="B7362" s="8" t="s">
        <v>60965</v>
      </c>
      <c r="C7362" s="8" t="s">
        <v>14683</v>
      </c>
      <c r="D7362" s="8"/>
      <c r="E7362" s="6"/>
      <c r="F7362" s="6"/>
    </row>
    <row r="7363" spans="1:6" x14ac:dyDescent="0.3">
      <c r="A7363" s="8" t="s">
        <v>14684</v>
      </c>
      <c r="B7363" s="8" t="s">
        <v>60966</v>
      </c>
      <c r="C7363" s="8" t="s">
        <v>14685</v>
      </c>
      <c r="D7363" s="8"/>
      <c r="E7363" s="6"/>
      <c r="F7363" s="6"/>
    </row>
    <row r="7364" spans="1:6" x14ac:dyDescent="0.3">
      <c r="A7364" s="8" t="s">
        <v>14686</v>
      </c>
      <c r="B7364" s="8" t="s">
        <v>60967</v>
      </c>
      <c r="C7364" s="8" t="s">
        <v>14687</v>
      </c>
      <c r="D7364" s="8"/>
      <c r="E7364" s="6"/>
      <c r="F7364" s="6"/>
    </row>
    <row r="7365" spans="1:6" x14ac:dyDescent="0.3">
      <c r="A7365" s="8" t="s">
        <v>14688</v>
      </c>
      <c r="B7365" s="8" t="s">
        <v>60968</v>
      </c>
      <c r="C7365" s="8" t="s">
        <v>14689</v>
      </c>
      <c r="D7365" s="8"/>
      <c r="E7365" s="6"/>
      <c r="F7365" s="6"/>
    </row>
    <row r="7366" spans="1:6" x14ac:dyDescent="0.3">
      <c r="A7366" s="8" t="s">
        <v>14690</v>
      </c>
      <c r="B7366" s="8" t="s">
        <v>60969</v>
      </c>
      <c r="C7366" s="8" t="s">
        <v>14691</v>
      </c>
      <c r="D7366" s="8"/>
      <c r="E7366" s="6"/>
      <c r="F7366" s="6"/>
    </row>
    <row r="7367" spans="1:6" x14ac:dyDescent="0.3">
      <c r="A7367" s="8" t="s">
        <v>14692</v>
      </c>
      <c r="B7367" s="8" t="s">
        <v>60970</v>
      </c>
      <c r="C7367" s="8" t="s">
        <v>14693</v>
      </c>
      <c r="D7367" s="8"/>
      <c r="E7367" s="6"/>
      <c r="F7367" s="6"/>
    </row>
    <row r="7368" spans="1:6" x14ac:dyDescent="0.3">
      <c r="A7368" s="8" t="s">
        <v>14694</v>
      </c>
      <c r="B7368" s="8" t="s">
        <v>60971</v>
      </c>
      <c r="C7368" s="8" t="s">
        <v>14695</v>
      </c>
      <c r="D7368" s="8"/>
      <c r="E7368" s="6"/>
      <c r="F7368" s="6"/>
    </row>
    <row r="7369" spans="1:6" x14ac:dyDescent="0.3">
      <c r="A7369" s="8" t="s">
        <v>14696</v>
      </c>
      <c r="B7369" s="8" t="s">
        <v>60972</v>
      </c>
      <c r="C7369" s="8" t="s">
        <v>14697</v>
      </c>
      <c r="D7369" s="8"/>
      <c r="E7369" s="6"/>
      <c r="F7369" s="6"/>
    </row>
    <row r="7370" spans="1:6" x14ac:dyDescent="0.3">
      <c r="A7370" s="8" t="s">
        <v>14698</v>
      </c>
      <c r="B7370" s="8" t="s">
        <v>60973</v>
      </c>
      <c r="C7370" s="8" t="s">
        <v>14699</v>
      </c>
      <c r="D7370" s="8"/>
      <c r="E7370" s="6"/>
      <c r="F7370" s="6"/>
    </row>
    <row r="7371" spans="1:6" x14ac:dyDescent="0.3">
      <c r="A7371" s="8" t="s">
        <v>14700</v>
      </c>
      <c r="B7371" s="8" t="s">
        <v>60974</v>
      </c>
      <c r="C7371" s="8" t="s">
        <v>14701</v>
      </c>
      <c r="D7371" s="8"/>
      <c r="E7371" s="6"/>
      <c r="F7371" s="6"/>
    </row>
    <row r="7372" spans="1:6" x14ac:dyDescent="0.3">
      <c r="A7372" s="8" t="s">
        <v>14702</v>
      </c>
      <c r="B7372" s="8" t="s">
        <v>60975</v>
      </c>
      <c r="C7372" s="8" t="s">
        <v>14703</v>
      </c>
      <c r="D7372" s="8"/>
      <c r="E7372" s="6"/>
      <c r="F7372" s="6"/>
    </row>
    <row r="7373" spans="1:6" x14ac:dyDescent="0.3">
      <c r="A7373" s="8" t="s">
        <v>14704</v>
      </c>
      <c r="B7373" s="8" t="s">
        <v>60976</v>
      </c>
      <c r="C7373" s="8" t="s">
        <v>14705</v>
      </c>
      <c r="D7373" s="8"/>
      <c r="E7373" s="6"/>
      <c r="F7373" s="6"/>
    </row>
    <row r="7374" spans="1:6" x14ac:dyDescent="0.3">
      <c r="A7374" s="8" t="s">
        <v>14706</v>
      </c>
      <c r="B7374" s="8" t="s">
        <v>60977</v>
      </c>
      <c r="C7374" s="8" t="s">
        <v>14707</v>
      </c>
      <c r="D7374" s="8"/>
      <c r="E7374" s="6"/>
      <c r="F7374" s="6"/>
    </row>
    <row r="7375" spans="1:6" x14ac:dyDescent="0.3">
      <c r="A7375" s="8" t="s">
        <v>14708</v>
      </c>
      <c r="B7375" s="8" t="s">
        <v>60978</v>
      </c>
      <c r="C7375" s="8" t="s">
        <v>14709</v>
      </c>
      <c r="D7375" s="8"/>
      <c r="E7375" s="6"/>
      <c r="F7375" s="6"/>
    </row>
    <row r="7376" spans="1:6" x14ac:dyDescent="0.3">
      <c r="A7376" s="8" t="s">
        <v>14710</v>
      </c>
      <c r="B7376" s="8" t="s">
        <v>60979</v>
      </c>
      <c r="C7376" s="8" t="s">
        <v>14711</v>
      </c>
      <c r="D7376" s="8"/>
      <c r="E7376" s="6"/>
      <c r="F7376" s="6"/>
    </row>
    <row r="7377" spans="1:6" x14ac:dyDescent="0.3">
      <c r="A7377" s="8" t="s">
        <v>14712</v>
      </c>
      <c r="B7377" s="8" t="s">
        <v>60980</v>
      </c>
      <c r="C7377" s="8" t="s">
        <v>14713</v>
      </c>
      <c r="D7377" s="8"/>
      <c r="E7377" s="6"/>
      <c r="F7377" s="6"/>
    </row>
    <row r="7378" spans="1:6" x14ac:dyDescent="0.3">
      <c r="A7378" s="8" t="s">
        <v>14714</v>
      </c>
      <c r="B7378" s="8" t="s">
        <v>60981</v>
      </c>
      <c r="C7378" s="8" t="s">
        <v>14715</v>
      </c>
      <c r="D7378" s="8"/>
      <c r="E7378" s="6"/>
      <c r="F7378" s="6"/>
    </row>
    <row r="7379" spans="1:6" x14ac:dyDescent="0.3">
      <c r="A7379" s="8" t="s">
        <v>14716</v>
      </c>
      <c r="B7379" s="8" t="s">
        <v>60982</v>
      </c>
      <c r="C7379" s="8" t="s">
        <v>14717</v>
      </c>
      <c r="D7379" s="8"/>
      <c r="E7379" s="6"/>
      <c r="F7379" s="6"/>
    </row>
    <row r="7380" spans="1:6" x14ac:dyDescent="0.3">
      <c r="A7380" s="8" t="s">
        <v>14718</v>
      </c>
      <c r="B7380" s="8" t="s">
        <v>60983</v>
      </c>
      <c r="C7380" s="8" t="s">
        <v>14719</v>
      </c>
      <c r="D7380" s="8"/>
      <c r="E7380" s="6"/>
      <c r="F7380" s="6"/>
    </row>
    <row r="7381" spans="1:6" x14ac:dyDescent="0.3">
      <c r="A7381" s="8" t="s">
        <v>14720</v>
      </c>
      <c r="B7381" s="8" t="s">
        <v>60984</v>
      </c>
      <c r="C7381" s="8" t="s">
        <v>14721</v>
      </c>
      <c r="D7381" s="8"/>
      <c r="E7381" s="6"/>
      <c r="F7381" s="6"/>
    </row>
    <row r="7382" spans="1:6" x14ac:dyDescent="0.3">
      <c r="A7382" s="8" t="s">
        <v>14722</v>
      </c>
      <c r="B7382" s="8" t="s">
        <v>60985</v>
      </c>
      <c r="C7382" s="8" t="s">
        <v>14723</v>
      </c>
      <c r="D7382" s="8"/>
      <c r="E7382" s="6"/>
      <c r="F7382" s="6"/>
    </row>
    <row r="7383" spans="1:6" x14ac:dyDescent="0.3">
      <c r="A7383" s="8" t="s">
        <v>14724</v>
      </c>
      <c r="B7383" s="8" t="s">
        <v>60986</v>
      </c>
      <c r="C7383" s="8" t="s">
        <v>14725</v>
      </c>
      <c r="D7383" s="8"/>
      <c r="E7383" s="6"/>
      <c r="F7383" s="6"/>
    </row>
    <row r="7384" spans="1:6" x14ac:dyDescent="0.3">
      <c r="A7384" s="8" t="s">
        <v>14726</v>
      </c>
      <c r="B7384" s="8" t="s">
        <v>60987</v>
      </c>
      <c r="C7384" s="8" t="s">
        <v>14727</v>
      </c>
      <c r="D7384" s="8"/>
      <c r="E7384" s="6"/>
      <c r="F7384" s="6"/>
    </row>
    <row r="7385" spans="1:6" x14ac:dyDescent="0.3">
      <c r="A7385" s="8" t="s">
        <v>14728</v>
      </c>
      <c r="B7385" s="8" t="s">
        <v>60988</v>
      </c>
      <c r="C7385" s="8" t="s">
        <v>14729</v>
      </c>
      <c r="D7385" s="8"/>
      <c r="E7385" s="6"/>
      <c r="F7385" s="6"/>
    </row>
    <row r="7386" spans="1:6" x14ac:dyDescent="0.3">
      <c r="A7386" s="8" t="s">
        <v>14730</v>
      </c>
      <c r="B7386" s="8" t="s">
        <v>60989</v>
      </c>
      <c r="C7386" s="8" t="s">
        <v>14731</v>
      </c>
      <c r="D7386" s="8"/>
      <c r="E7386" s="6"/>
      <c r="F7386" s="6"/>
    </row>
    <row r="7387" spans="1:6" x14ac:dyDescent="0.3">
      <c r="A7387" s="8" t="s">
        <v>14732</v>
      </c>
      <c r="B7387" s="8" t="s">
        <v>60990</v>
      </c>
      <c r="C7387" s="8" t="s">
        <v>14733</v>
      </c>
      <c r="D7387" s="8"/>
      <c r="E7387" s="6"/>
      <c r="F7387" s="6"/>
    </row>
    <row r="7388" spans="1:6" x14ac:dyDescent="0.3">
      <c r="A7388" s="8" t="s">
        <v>14734</v>
      </c>
      <c r="B7388" s="8" t="s">
        <v>60991</v>
      </c>
      <c r="C7388" s="8" t="s">
        <v>14735</v>
      </c>
      <c r="D7388" s="8"/>
      <c r="E7388" s="6"/>
      <c r="F7388" s="6"/>
    </row>
    <row r="7389" spans="1:6" x14ac:dyDescent="0.3">
      <c r="A7389" s="8" t="s">
        <v>14736</v>
      </c>
      <c r="B7389" s="8" t="s">
        <v>60992</v>
      </c>
      <c r="C7389" s="8" t="s">
        <v>14737</v>
      </c>
      <c r="D7389" s="8"/>
      <c r="E7389" s="6"/>
      <c r="F7389" s="6"/>
    </row>
    <row r="7390" spans="1:6" x14ac:dyDescent="0.3">
      <c r="A7390" s="8" t="s">
        <v>14738</v>
      </c>
      <c r="B7390" s="8" t="s">
        <v>60993</v>
      </c>
      <c r="C7390" s="8" t="s">
        <v>14739</v>
      </c>
      <c r="D7390" s="8"/>
      <c r="E7390" s="6"/>
      <c r="F7390" s="6"/>
    </row>
    <row r="7391" spans="1:6" x14ac:dyDescent="0.3">
      <c r="A7391" s="8" t="s">
        <v>14740</v>
      </c>
      <c r="B7391" s="8" t="s">
        <v>60994</v>
      </c>
      <c r="C7391" s="8" t="s">
        <v>14741</v>
      </c>
      <c r="D7391" s="8"/>
      <c r="E7391" s="6"/>
      <c r="F7391" s="6"/>
    </row>
    <row r="7392" spans="1:6" x14ac:dyDescent="0.3">
      <c r="A7392" s="8" t="s">
        <v>14742</v>
      </c>
      <c r="B7392" s="8" t="s">
        <v>60995</v>
      </c>
      <c r="C7392" s="8" t="s">
        <v>14743</v>
      </c>
      <c r="D7392" s="8"/>
      <c r="E7392" s="6"/>
      <c r="F7392" s="6"/>
    </row>
    <row r="7393" spans="1:6" x14ac:dyDescent="0.3">
      <c r="A7393" s="8" t="s">
        <v>14744</v>
      </c>
      <c r="B7393" s="8" t="s">
        <v>60996</v>
      </c>
      <c r="C7393" s="8" t="s">
        <v>14745</v>
      </c>
      <c r="D7393" s="8"/>
      <c r="E7393" s="6"/>
      <c r="F7393" s="6"/>
    </row>
    <row r="7394" spans="1:6" x14ac:dyDescent="0.3">
      <c r="A7394" s="8" t="s">
        <v>14746</v>
      </c>
      <c r="B7394" s="8" t="s">
        <v>60997</v>
      </c>
      <c r="C7394" s="8" t="s">
        <v>14747</v>
      </c>
      <c r="D7394" s="8"/>
      <c r="E7394" s="6"/>
      <c r="F7394" s="6"/>
    </row>
    <row r="7395" spans="1:6" x14ac:dyDescent="0.3">
      <c r="A7395" s="8" t="s">
        <v>14748</v>
      </c>
      <c r="B7395" s="8" t="s">
        <v>60998</v>
      </c>
      <c r="C7395" s="8" t="s">
        <v>14749</v>
      </c>
      <c r="D7395" s="8"/>
      <c r="E7395" s="6"/>
      <c r="F7395" s="6"/>
    </row>
    <row r="7396" spans="1:6" x14ac:dyDescent="0.3">
      <c r="A7396" s="8" t="s">
        <v>14750</v>
      </c>
      <c r="B7396" s="8" t="s">
        <v>60999</v>
      </c>
      <c r="C7396" s="8" t="s">
        <v>14751</v>
      </c>
      <c r="D7396" s="8"/>
      <c r="E7396" s="6"/>
      <c r="F7396" s="6"/>
    </row>
    <row r="7397" spans="1:6" x14ac:dyDescent="0.3">
      <c r="A7397" s="8" t="s">
        <v>14752</v>
      </c>
      <c r="B7397" s="8" t="s">
        <v>61000</v>
      </c>
      <c r="C7397" s="8" t="s">
        <v>14753</v>
      </c>
      <c r="D7397" s="8"/>
      <c r="E7397" s="6"/>
      <c r="F7397" s="6"/>
    </row>
    <row r="7398" spans="1:6" x14ac:dyDescent="0.3">
      <c r="A7398" s="8" t="s">
        <v>14754</v>
      </c>
      <c r="B7398" s="8" t="s">
        <v>61001</v>
      </c>
      <c r="C7398" s="8" t="s">
        <v>14755</v>
      </c>
      <c r="D7398" s="8"/>
      <c r="E7398" s="6"/>
      <c r="F7398" s="6"/>
    </row>
    <row r="7399" spans="1:6" x14ac:dyDescent="0.3">
      <c r="A7399" s="8" t="s">
        <v>14756</v>
      </c>
      <c r="B7399" s="8" t="s">
        <v>61002</v>
      </c>
      <c r="C7399" s="8" t="s">
        <v>14757</v>
      </c>
      <c r="D7399" s="8"/>
      <c r="E7399" s="6"/>
      <c r="F7399" s="6"/>
    </row>
    <row r="7400" spans="1:6" x14ac:dyDescent="0.3">
      <c r="A7400" s="8" t="s">
        <v>14758</v>
      </c>
      <c r="B7400" s="8" t="s">
        <v>61003</v>
      </c>
      <c r="C7400" s="8" t="s">
        <v>14759</v>
      </c>
      <c r="D7400" s="8"/>
      <c r="E7400" s="6"/>
      <c r="F7400" s="6"/>
    </row>
    <row r="7401" spans="1:6" x14ac:dyDescent="0.3">
      <c r="A7401" s="8" t="s">
        <v>14760</v>
      </c>
      <c r="B7401" s="8" t="s">
        <v>61004</v>
      </c>
      <c r="C7401" s="8" t="s">
        <v>14761</v>
      </c>
      <c r="D7401" s="8"/>
      <c r="E7401" s="6"/>
      <c r="F7401" s="6"/>
    </row>
    <row r="7402" spans="1:6" x14ac:dyDescent="0.3">
      <c r="A7402" s="8" t="s">
        <v>14762</v>
      </c>
      <c r="B7402" s="8" t="s">
        <v>61005</v>
      </c>
      <c r="C7402" s="8" t="s">
        <v>14763</v>
      </c>
      <c r="D7402" s="8"/>
      <c r="E7402" s="6"/>
      <c r="F7402" s="6"/>
    </row>
    <row r="7403" spans="1:6" x14ac:dyDescent="0.3">
      <c r="A7403" s="8" t="s">
        <v>14764</v>
      </c>
      <c r="B7403" s="8" t="s">
        <v>61006</v>
      </c>
      <c r="C7403" s="8" t="s">
        <v>14765</v>
      </c>
      <c r="D7403" s="8"/>
      <c r="E7403" s="6"/>
      <c r="F7403" s="6"/>
    </row>
    <row r="7404" spans="1:6" x14ac:dyDescent="0.3">
      <c r="A7404" s="8" t="s">
        <v>14766</v>
      </c>
      <c r="B7404" s="8" t="s">
        <v>61007</v>
      </c>
      <c r="C7404" s="8" t="s">
        <v>14767</v>
      </c>
      <c r="D7404" s="8"/>
      <c r="E7404" s="6"/>
      <c r="F7404" s="6"/>
    </row>
    <row r="7405" spans="1:6" x14ac:dyDescent="0.3">
      <c r="A7405" s="8" t="s">
        <v>14768</v>
      </c>
      <c r="B7405" s="8" t="s">
        <v>61008</v>
      </c>
      <c r="C7405" s="8" t="s">
        <v>14769</v>
      </c>
      <c r="D7405" s="8"/>
      <c r="E7405" s="6"/>
      <c r="F7405" s="6"/>
    </row>
    <row r="7406" spans="1:6" x14ac:dyDescent="0.3">
      <c r="A7406" s="8" t="s">
        <v>14770</v>
      </c>
      <c r="B7406" s="8" t="s">
        <v>61009</v>
      </c>
      <c r="C7406" s="8" t="s">
        <v>14771</v>
      </c>
      <c r="D7406" s="8"/>
      <c r="E7406" s="6"/>
      <c r="F7406" s="6"/>
    </row>
    <row r="7407" spans="1:6" x14ac:dyDescent="0.3">
      <c r="A7407" s="8" t="s">
        <v>14772</v>
      </c>
      <c r="B7407" s="8" t="s">
        <v>61010</v>
      </c>
      <c r="C7407" s="8" t="s">
        <v>14773</v>
      </c>
      <c r="D7407" s="8"/>
      <c r="E7407" s="6"/>
      <c r="F7407" s="6"/>
    </row>
    <row r="7408" spans="1:6" x14ac:dyDescent="0.3">
      <c r="A7408" s="8" t="s">
        <v>14774</v>
      </c>
      <c r="B7408" s="8" t="s">
        <v>61011</v>
      </c>
      <c r="C7408" s="8" t="s">
        <v>14775</v>
      </c>
      <c r="D7408" s="8"/>
      <c r="E7408" s="6"/>
      <c r="F7408" s="6"/>
    </row>
    <row r="7409" spans="1:6" x14ac:dyDescent="0.3">
      <c r="A7409" s="8" t="s">
        <v>14776</v>
      </c>
      <c r="B7409" s="8" t="s">
        <v>61012</v>
      </c>
      <c r="C7409" s="8" t="s">
        <v>14777</v>
      </c>
      <c r="D7409" s="8"/>
      <c r="E7409" s="6"/>
      <c r="F7409" s="6"/>
    </row>
    <row r="7410" spans="1:6" x14ac:dyDescent="0.3">
      <c r="A7410" s="8" t="s">
        <v>14778</v>
      </c>
      <c r="B7410" s="8" t="s">
        <v>61013</v>
      </c>
      <c r="C7410" s="8" t="s">
        <v>14779</v>
      </c>
      <c r="D7410" s="8"/>
      <c r="E7410" s="6"/>
      <c r="F7410" s="6"/>
    </row>
    <row r="7411" spans="1:6" x14ac:dyDescent="0.3">
      <c r="A7411" s="8" t="s">
        <v>14780</v>
      </c>
      <c r="B7411" s="8" t="s">
        <v>61014</v>
      </c>
      <c r="C7411" s="8" t="s">
        <v>14781</v>
      </c>
      <c r="D7411" s="8"/>
      <c r="E7411" s="6"/>
      <c r="F7411" s="6"/>
    </row>
    <row r="7412" spans="1:6" x14ac:dyDescent="0.3">
      <c r="A7412" s="8" t="s">
        <v>14782</v>
      </c>
      <c r="B7412" s="8" t="s">
        <v>61015</v>
      </c>
      <c r="C7412" s="8" t="s">
        <v>14783</v>
      </c>
      <c r="D7412" s="8"/>
      <c r="E7412" s="6"/>
      <c r="F7412" s="6"/>
    </row>
    <row r="7413" spans="1:6" x14ac:dyDescent="0.3">
      <c r="A7413" s="8" t="s">
        <v>14784</v>
      </c>
      <c r="B7413" s="8" t="s">
        <v>61016</v>
      </c>
      <c r="C7413" s="8" t="s">
        <v>14785</v>
      </c>
      <c r="D7413" s="8"/>
      <c r="E7413" s="6"/>
      <c r="F7413" s="6"/>
    </row>
    <row r="7414" spans="1:6" x14ac:dyDescent="0.3">
      <c r="A7414" s="8" t="s">
        <v>14786</v>
      </c>
      <c r="B7414" s="8" t="s">
        <v>61017</v>
      </c>
      <c r="C7414" s="8" t="s">
        <v>14787</v>
      </c>
      <c r="D7414" s="8"/>
      <c r="E7414" s="6"/>
      <c r="F7414" s="6"/>
    </row>
    <row r="7415" spans="1:6" x14ac:dyDescent="0.3">
      <c r="A7415" s="8" t="s">
        <v>14788</v>
      </c>
      <c r="B7415" s="8" t="s">
        <v>61018</v>
      </c>
      <c r="C7415" s="8" t="s">
        <v>14789</v>
      </c>
      <c r="D7415" s="8"/>
      <c r="E7415" s="6"/>
      <c r="F7415" s="6"/>
    </row>
    <row r="7416" spans="1:6" x14ac:dyDescent="0.3">
      <c r="A7416" s="8" t="s">
        <v>14790</v>
      </c>
      <c r="B7416" s="8" t="s">
        <v>61019</v>
      </c>
      <c r="C7416" s="8" t="s">
        <v>14791</v>
      </c>
      <c r="D7416" s="8"/>
      <c r="E7416" s="6"/>
      <c r="F7416" s="6"/>
    </row>
    <row r="7417" spans="1:6" x14ac:dyDescent="0.3">
      <c r="A7417" s="8" t="s">
        <v>14792</v>
      </c>
      <c r="B7417" s="8" t="s">
        <v>61020</v>
      </c>
      <c r="C7417" s="8" t="s">
        <v>14793</v>
      </c>
      <c r="D7417" s="8"/>
      <c r="E7417" s="6"/>
      <c r="F7417" s="6"/>
    </row>
    <row r="7418" spans="1:6" x14ac:dyDescent="0.3">
      <c r="A7418" s="8" t="s">
        <v>14794</v>
      </c>
      <c r="B7418" s="8" t="s">
        <v>61021</v>
      </c>
      <c r="C7418" s="8" t="s">
        <v>14795</v>
      </c>
      <c r="D7418" s="8"/>
      <c r="E7418" s="6"/>
      <c r="F7418" s="6"/>
    </row>
    <row r="7419" spans="1:6" x14ac:dyDescent="0.3">
      <c r="A7419" s="8" t="s">
        <v>14796</v>
      </c>
      <c r="B7419" s="8" t="s">
        <v>61022</v>
      </c>
      <c r="C7419" s="8" t="s">
        <v>14797</v>
      </c>
      <c r="D7419" s="8"/>
      <c r="E7419" s="6"/>
      <c r="F7419" s="6"/>
    </row>
    <row r="7420" spans="1:6" x14ac:dyDescent="0.3">
      <c r="A7420" s="8" t="s">
        <v>14798</v>
      </c>
      <c r="B7420" s="8" t="s">
        <v>61023</v>
      </c>
      <c r="C7420" s="8" t="s">
        <v>14799</v>
      </c>
      <c r="D7420" s="8"/>
      <c r="E7420" s="6"/>
      <c r="F7420" s="6"/>
    </row>
    <row r="7421" spans="1:6" x14ac:dyDescent="0.3">
      <c r="A7421" s="8" t="s">
        <v>14800</v>
      </c>
      <c r="B7421" s="8" t="s">
        <v>61024</v>
      </c>
      <c r="C7421" s="8" t="s">
        <v>14801</v>
      </c>
      <c r="D7421" s="8"/>
      <c r="E7421" s="6"/>
      <c r="F7421" s="6"/>
    </row>
    <row r="7422" spans="1:6" x14ac:dyDescent="0.3">
      <c r="A7422" s="8" t="s">
        <v>14802</v>
      </c>
      <c r="B7422" s="8" t="s">
        <v>61025</v>
      </c>
      <c r="C7422" s="8" t="s">
        <v>14803</v>
      </c>
      <c r="D7422" s="8"/>
      <c r="E7422" s="6"/>
      <c r="F7422" s="6"/>
    </row>
    <row r="7423" spans="1:6" x14ac:dyDescent="0.3">
      <c r="A7423" s="8" t="s">
        <v>14804</v>
      </c>
      <c r="B7423" s="8" t="s">
        <v>61026</v>
      </c>
      <c r="C7423" s="8" t="s">
        <v>14805</v>
      </c>
      <c r="D7423" s="8"/>
      <c r="E7423" s="6"/>
      <c r="F7423" s="6"/>
    </row>
    <row r="7424" spans="1:6" x14ac:dyDescent="0.3">
      <c r="A7424" s="8" t="s">
        <v>14806</v>
      </c>
      <c r="B7424" s="8" t="s">
        <v>61027</v>
      </c>
      <c r="C7424" s="8" t="s">
        <v>14807</v>
      </c>
      <c r="D7424" s="8"/>
      <c r="E7424" s="6"/>
      <c r="F7424" s="6"/>
    </row>
    <row r="7425" spans="1:6" x14ac:dyDescent="0.3">
      <c r="A7425" s="8" t="s">
        <v>14808</v>
      </c>
      <c r="B7425" s="8" t="s">
        <v>61028</v>
      </c>
      <c r="C7425" s="8" t="s">
        <v>14809</v>
      </c>
      <c r="D7425" s="8"/>
      <c r="E7425" s="6"/>
      <c r="F7425" s="6"/>
    </row>
    <row r="7426" spans="1:6" x14ac:dyDescent="0.3">
      <c r="A7426" s="8" t="s">
        <v>14810</v>
      </c>
      <c r="B7426" s="8" t="s">
        <v>61029</v>
      </c>
      <c r="C7426" s="8" t="s">
        <v>14811</v>
      </c>
      <c r="D7426" s="8"/>
      <c r="E7426" s="6"/>
      <c r="F7426" s="6"/>
    </row>
    <row r="7427" spans="1:6" x14ac:dyDescent="0.3">
      <c r="A7427" s="8" t="s">
        <v>14812</v>
      </c>
      <c r="B7427" s="8" t="s">
        <v>61030</v>
      </c>
      <c r="C7427" s="8" t="s">
        <v>14813</v>
      </c>
      <c r="D7427" s="8"/>
      <c r="E7427" s="6"/>
      <c r="F7427" s="6"/>
    </row>
    <row r="7428" spans="1:6" x14ac:dyDescent="0.3">
      <c r="A7428" s="8" t="s">
        <v>14814</v>
      </c>
      <c r="B7428" s="8" t="s">
        <v>61031</v>
      </c>
      <c r="C7428" s="8" t="s">
        <v>14815</v>
      </c>
      <c r="D7428" s="8"/>
      <c r="E7428" s="6"/>
      <c r="F7428" s="6"/>
    </row>
    <row r="7429" spans="1:6" x14ac:dyDescent="0.3">
      <c r="A7429" s="8" t="s">
        <v>14816</v>
      </c>
      <c r="B7429" s="8" t="s">
        <v>61032</v>
      </c>
      <c r="C7429" s="8" t="s">
        <v>14817</v>
      </c>
      <c r="D7429" s="8"/>
      <c r="E7429" s="6"/>
      <c r="F7429" s="6"/>
    </row>
    <row r="7430" spans="1:6" x14ac:dyDescent="0.3">
      <c r="A7430" s="8" t="s">
        <v>14818</v>
      </c>
      <c r="B7430" s="8" t="s">
        <v>61033</v>
      </c>
      <c r="C7430" s="8" t="s">
        <v>14819</v>
      </c>
      <c r="D7430" s="8"/>
      <c r="E7430" s="6"/>
      <c r="F7430" s="6"/>
    </row>
    <row r="7431" spans="1:6" x14ac:dyDescent="0.3">
      <c r="A7431" s="8" t="s">
        <v>14820</v>
      </c>
      <c r="B7431" s="8" t="s">
        <v>61034</v>
      </c>
      <c r="C7431" s="8" t="s">
        <v>14821</v>
      </c>
      <c r="D7431" s="8"/>
      <c r="E7431" s="6"/>
      <c r="F7431" s="6"/>
    </row>
    <row r="7432" spans="1:6" x14ac:dyDescent="0.3">
      <c r="A7432" s="8" t="s">
        <v>14822</v>
      </c>
      <c r="B7432" s="8" t="s">
        <v>61035</v>
      </c>
      <c r="C7432" s="8" t="s">
        <v>14823</v>
      </c>
      <c r="D7432" s="8"/>
      <c r="E7432" s="6"/>
      <c r="F7432" s="6"/>
    </row>
    <row r="7433" spans="1:6" x14ac:dyDescent="0.3">
      <c r="A7433" s="8" t="s">
        <v>14824</v>
      </c>
      <c r="B7433" s="8" t="s">
        <v>61036</v>
      </c>
      <c r="C7433" s="8" t="s">
        <v>14825</v>
      </c>
      <c r="D7433" s="8"/>
      <c r="E7433" s="6"/>
      <c r="F7433" s="6"/>
    </row>
    <row r="7434" spans="1:6" x14ac:dyDescent="0.3">
      <c r="A7434" s="8" t="s">
        <v>14826</v>
      </c>
      <c r="B7434" s="8" t="s">
        <v>61037</v>
      </c>
      <c r="C7434" s="8" t="s">
        <v>14827</v>
      </c>
      <c r="D7434" s="8"/>
      <c r="E7434" s="6"/>
      <c r="F7434" s="6"/>
    </row>
    <row r="7435" spans="1:6" x14ac:dyDescent="0.3">
      <c r="A7435" s="8" t="s">
        <v>14828</v>
      </c>
      <c r="B7435" s="8" t="s">
        <v>61038</v>
      </c>
      <c r="C7435" s="8" t="s">
        <v>14829</v>
      </c>
      <c r="D7435" s="8"/>
      <c r="E7435" s="6"/>
      <c r="F7435" s="6"/>
    </row>
    <row r="7436" spans="1:6" x14ac:dyDescent="0.3">
      <c r="A7436" s="8" t="s">
        <v>14830</v>
      </c>
      <c r="B7436" s="8" t="s">
        <v>61039</v>
      </c>
      <c r="C7436" s="8" t="s">
        <v>14831</v>
      </c>
      <c r="D7436" s="8"/>
      <c r="E7436" s="6"/>
      <c r="F7436" s="6"/>
    </row>
    <row r="7437" spans="1:6" x14ac:dyDescent="0.3">
      <c r="A7437" s="8" t="s">
        <v>14832</v>
      </c>
      <c r="B7437" s="8" t="s">
        <v>61040</v>
      </c>
      <c r="C7437" s="8" t="s">
        <v>14833</v>
      </c>
      <c r="D7437" s="8"/>
      <c r="E7437" s="6"/>
      <c r="F7437" s="6"/>
    </row>
    <row r="7438" spans="1:6" x14ac:dyDescent="0.3">
      <c r="A7438" s="8" t="s">
        <v>14834</v>
      </c>
      <c r="B7438" s="8" t="s">
        <v>61041</v>
      </c>
      <c r="C7438" s="8" t="s">
        <v>14835</v>
      </c>
      <c r="D7438" s="8"/>
      <c r="E7438" s="6"/>
      <c r="F7438" s="6"/>
    </row>
    <row r="7439" spans="1:6" x14ac:dyDescent="0.3">
      <c r="A7439" s="8" t="s">
        <v>14836</v>
      </c>
      <c r="B7439" s="8" t="s">
        <v>61042</v>
      </c>
      <c r="C7439" s="8" t="s">
        <v>14837</v>
      </c>
      <c r="D7439" s="8"/>
      <c r="E7439" s="6"/>
      <c r="F7439" s="6"/>
    </row>
    <row r="7440" spans="1:6" x14ac:dyDescent="0.3">
      <c r="A7440" s="8" t="s">
        <v>14838</v>
      </c>
      <c r="B7440" s="8" t="s">
        <v>61043</v>
      </c>
      <c r="C7440" s="8" t="s">
        <v>14839</v>
      </c>
      <c r="D7440" s="8"/>
      <c r="E7440" s="6"/>
      <c r="F7440" s="6"/>
    </row>
    <row r="7441" spans="1:6" x14ac:dyDescent="0.3">
      <c r="A7441" s="8" t="s">
        <v>14840</v>
      </c>
      <c r="B7441" s="8" t="s">
        <v>61044</v>
      </c>
      <c r="C7441" s="8" t="s">
        <v>14841</v>
      </c>
      <c r="D7441" s="8"/>
      <c r="E7441" s="6"/>
      <c r="F7441" s="6"/>
    </row>
    <row r="7442" spans="1:6" x14ac:dyDescent="0.3">
      <c r="A7442" s="8" t="s">
        <v>14842</v>
      </c>
      <c r="B7442" s="8" t="s">
        <v>61045</v>
      </c>
      <c r="C7442" s="8" t="s">
        <v>14843</v>
      </c>
      <c r="D7442" s="8"/>
      <c r="E7442" s="6"/>
      <c r="F7442" s="6"/>
    </row>
    <row r="7443" spans="1:6" x14ac:dyDescent="0.3">
      <c r="A7443" s="8" t="s">
        <v>14844</v>
      </c>
      <c r="B7443" s="8" t="s">
        <v>61046</v>
      </c>
      <c r="C7443" s="8" t="s">
        <v>14845</v>
      </c>
      <c r="D7443" s="8"/>
      <c r="E7443" s="6"/>
      <c r="F7443" s="6"/>
    </row>
    <row r="7444" spans="1:6" x14ac:dyDescent="0.3">
      <c r="A7444" s="8" t="s">
        <v>14846</v>
      </c>
      <c r="B7444" s="8" t="s">
        <v>61047</v>
      </c>
      <c r="C7444" s="8" t="s">
        <v>14847</v>
      </c>
      <c r="D7444" s="8"/>
      <c r="E7444" s="6"/>
      <c r="F7444" s="6"/>
    </row>
    <row r="7445" spans="1:6" x14ac:dyDescent="0.3">
      <c r="A7445" s="8" t="s">
        <v>14848</v>
      </c>
      <c r="B7445" s="8" t="s">
        <v>61048</v>
      </c>
      <c r="C7445" s="8" t="s">
        <v>14849</v>
      </c>
      <c r="D7445" s="8"/>
      <c r="E7445" s="6"/>
      <c r="F7445" s="6"/>
    </row>
    <row r="7446" spans="1:6" x14ac:dyDescent="0.3">
      <c r="A7446" s="8" t="s">
        <v>14850</v>
      </c>
      <c r="B7446" s="8" t="s">
        <v>61049</v>
      </c>
      <c r="C7446" s="8" t="s">
        <v>14851</v>
      </c>
      <c r="D7446" s="8"/>
      <c r="E7446" s="6"/>
      <c r="F7446" s="6"/>
    </row>
    <row r="7447" spans="1:6" x14ac:dyDescent="0.3">
      <c r="A7447" s="8" t="s">
        <v>14852</v>
      </c>
      <c r="B7447" s="8" t="s">
        <v>61050</v>
      </c>
      <c r="C7447" s="8" t="s">
        <v>14853</v>
      </c>
      <c r="D7447" s="8"/>
      <c r="E7447" s="6"/>
      <c r="F7447" s="6"/>
    </row>
    <row r="7448" spans="1:6" x14ac:dyDescent="0.3">
      <c r="A7448" s="8" t="s">
        <v>14854</v>
      </c>
      <c r="B7448" s="8" t="s">
        <v>61051</v>
      </c>
      <c r="C7448" s="8" t="s">
        <v>14855</v>
      </c>
      <c r="D7448" s="8"/>
      <c r="E7448" s="6"/>
      <c r="F7448" s="6"/>
    </row>
    <row r="7449" spans="1:6" x14ac:dyDescent="0.3">
      <c r="A7449" s="8" t="s">
        <v>14856</v>
      </c>
      <c r="B7449" s="8" t="s">
        <v>61052</v>
      </c>
      <c r="C7449" s="8" t="s">
        <v>14857</v>
      </c>
      <c r="D7449" s="8"/>
      <c r="E7449" s="6"/>
      <c r="F7449" s="6"/>
    </row>
    <row r="7450" spans="1:6" x14ac:dyDescent="0.3">
      <c r="A7450" s="8" t="s">
        <v>14858</v>
      </c>
      <c r="B7450" s="8" t="s">
        <v>61053</v>
      </c>
      <c r="C7450" s="8" t="s">
        <v>14859</v>
      </c>
      <c r="D7450" s="8"/>
      <c r="E7450" s="6"/>
      <c r="F7450" s="6"/>
    </row>
    <row r="7451" spans="1:6" x14ac:dyDescent="0.3">
      <c r="A7451" s="8" t="s">
        <v>14860</v>
      </c>
      <c r="B7451" s="8" t="s">
        <v>61054</v>
      </c>
      <c r="C7451" s="8" t="s">
        <v>14861</v>
      </c>
      <c r="D7451" s="8"/>
      <c r="E7451" s="6"/>
      <c r="F7451" s="6"/>
    </row>
    <row r="7452" spans="1:6" x14ac:dyDescent="0.3">
      <c r="A7452" s="8" t="s">
        <v>14862</v>
      </c>
      <c r="B7452" s="8" t="s">
        <v>61055</v>
      </c>
      <c r="C7452" s="8" t="s">
        <v>14863</v>
      </c>
      <c r="D7452" s="8"/>
      <c r="E7452" s="6"/>
      <c r="F7452" s="6"/>
    </row>
    <row r="7453" spans="1:6" x14ac:dyDescent="0.3">
      <c r="A7453" s="8" t="s">
        <v>14864</v>
      </c>
      <c r="B7453" s="8" t="s">
        <v>61056</v>
      </c>
      <c r="C7453" s="8" t="s">
        <v>14865</v>
      </c>
      <c r="D7453" s="8"/>
      <c r="E7453" s="6"/>
      <c r="F7453" s="6"/>
    </row>
    <row r="7454" spans="1:6" x14ac:dyDescent="0.3">
      <c r="A7454" s="8" t="s">
        <v>14866</v>
      </c>
      <c r="B7454" s="8" t="s">
        <v>61057</v>
      </c>
      <c r="C7454" s="8" t="s">
        <v>14867</v>
      </c>
      <c r="D7454" s="8"/>
      <c r="E7454" s="6"/>
      <c r="F7454" s="6"/>
    </row>
    <row r="7455" spans="1:6" x14ac:dyDescent="0.3">
      <c r="A7455" s="8" t="s">
        <v>14868</v>
      </c>
      <c r="B7455" s="8" t="s">
        <v>61058</v>
      </c>
      <c r="C7455" s="8" t="s">
        <v>14869</v>
      </c>
      <c r="D7455" s="8"/>
      <c r="E7455" s="6"/>
      <c r="F7455" s="6"/>
    </row>
    <row r="7456" spans="1:6" x14ac:dyDescent="0.3">
      <c r="A7456" s="8" t="s">
        <v>14870</v>
      </c>
      <c r="B7456" s="8" t="s">
        <v>61059</v>
      </c>
      <c r="C7456" s="8" t="s">
        <v>14871</v>
      </c>
      <c r="D7456" s="8"/>
      <c r="E7456" s="6"/>
      <c r="F7456" s="6"/>
    </row>
    <row r="7457" spans="1:6" x14ac:dyDescent="0.3">
      <c r="A7457" s="8" t="s">
        <v>14872</v>
      </c>
      <c r="B7457" s="8" t="s">
        <v>61060</v>
      </c>
      <c r="C7457" s="8" t="s">
        <v>14873</v>
      </c>
      <c r="D7457" s="8"/>
      <c r="E7457" s="6"/>
      <c r="F7457" s="6"/>
    </row>
    <row r="7458" spans="1:6" x14ac:dyDescent="0.3">
      <c r="A7458" s="8" t="s">
        <v>14874</v>
      </c>
      <c r="B7458" s="8" t="s">
        <v>61061</v>
      </c>
      <c r="C7458" s="8" t="s">
        <v>14875</v>
      </c>
      <c r="D7458" s="8"/>
      <c r="E7458" s="6"/>
      <c r="F7458" s="6"/>
    </row>
    <row r="7459" spans="1:6" x14ac:dyDescent="0.3">
      <c r="A7459" s="8" t="s">
        <v>14876</v>
      </c>
      <c r="B7459" s="8" t="s">
        <v>61062</v>
      </c>
      <c r="C7459" s="8" t="s">
        <v>14877</v>
      </c>
      <c r="D7459" s="8"/>
      <c r="E7459" s="6"/>
      <c r="F7459" s="6"/>
    </row>
    <row r="7460" spans="1:6" x14ac:dyDescent="0.3">
      <c r="A7460" s="8" t="s">
        <v>14878</v>
      </c>
      <c r="B7460" s="8" t="s">
        <v>61063</v>
      </c>
      <c r="C7460" s="8" t="s">
        <v>14879</v>
      </c>
      <c r="D7460" s="8"/>
      <c r="E7460" s="6"/>
      <c r="F7460" s="6"/>
    </row>
    <row r="7461" spans="1:6" x14ac:dyDescent="0.3">
      <c r="A7461" s="8" t="s">
        <v>14880</v>
      </c>
      <c r="B7461" s="8" t="s">
        <v>61064</v>
      </c>
      <c r="C7461" s="8" t="s">
        <v>14881</v>
      </c>
      <c r="D7461" s="8"/>
      <c r="E7461" s="6"/>
      <c r="F7461" s="6"/>
    </row>
    <row r="7462" spans="1:6" x14ac:dyDescent="0.3">
      <c r="A7462" s="8" t="s">
        <v>14882</v>
      </c>
      <c r="B7462" s="8" t="s">
        <v>61065</v>
      </c>
      <c r="C7462" s="8" t="s">
        <v>14883</v>
      </c>
      <c r="D7462" s="8"/>
      <c r="E7462" s="6"/>
      <c r="F7462" s="6"/>
    </row>
    <row r="7463" spans="1:6" x14ac:dyDescent="0.3">
      <c r="A7463" s="8" t="s">
        <v>14884</v>
      </c>
      <c r="B7463" s="8" t="s">
        <v>61066</v>
      </c>
      <c r="C7463" s="8" t="s">
        <v>14885</v>
      </c>
      <c r="D7463" s="8"/>
      <c r="E7463" s="6"/>
      <c r="F7463" s="6"/>
    </row>
    <row r="7464" spans="1:6" x14ac:dyDescent="0.3">
      <c r="A7464" s="8" t="s">
        <v>14886</v>
      </c>
      <c r="B7464" s="8" t="s">
        <v>61067</v>
      </c>
      <c r="C7464" s="8" t="s">
        <v>14887</v>
      </c>
      <c r="D7464" s="8"/>
      <c r="E7464" s="6"/>
      <c r="F7464" s="6"/>
    </row>
    <row r="7465" spans="1:6" x14ac:dyDescent="0.3">
      <c r="A7465" s="8" t="s">
        <v>14888</v>
      </c>
      <c r="B7465" s="8" t="s">
        <v>61068</v>
      </c>
      <c r="C7465" s="8" t="s">
        <v>14889</v>
      </c>
      <c r="D7465" s="8"/>
      <c r="E7465" s="6"/>
      <c r="F7465" s="6"/>
    </row>
    <row r="7466" spans="1:6" x14ac:dyDescent="0.3">
      <c r="A7466" s="8" t="s">
        <v>14890</v>
      </c>
      <c r="B7466" s="8" t="s">
        <v>61069</v>
      </c>
      <c r="C7466" s="8" t="s">
        <v>14891</v>
      </c>
      <c r="D7466" s="8"/>
      <c r="E7466" s="6"/>
      <c r="F7466" s="6"/>
    </row>
    <row r="7467" spans="1:6" x14ac:dyDescent="0.3">
      <c r="A7467" s="8" t="s">
        <v>14892</v>
      </c>
      <c r="B7467" s="8" t="s">
        <v>61070</v>
      </c>
      <c r="C7467" s="8" t="s">
        <v>14893</v>
      </c>
      <c r="D7467" s="8"/>
      <c r="E7467" s="6"/>
      <c r="F7467" s="6"/>
    </row>
    <row r="7468" spans="1:6" x14ac:dyDescent="0.3">
      <c r="A7468" s="8" t="s">
        <v>14894</v>
      </c>
      <c r="B7468" s="8" t="s">
        <v>61071</v>
      </c>
      <c r="C7468" s="8" t="s">
        <v>14895</v>
      </c>
      <c r="D7468" s="8"/>
      <c r="E7468" s="6"/>
      <c r="F7468" s="6"/>
    </row>
    <row r="7469" spans="1:6" x14ac:dyDescent="0.3">
      <c r="A7469" s="8" t="s">
        <v>14896</v>
      </c>
      <c r="B7469" s="8" t="s">
        <v>61072</v>
      </c>
      <c r="C7469" s="8" t="s">
        <v>14897</v>
      </c>
      <c r="D7469" s="8"/>
      <c r="E7469" s="6"/>
      <c r="F7469" s="6"/>
    </row>
    <row r="7470" spans="1:6" x14ac:dyDescent="0.3">
      <c r="A7470" s="8" t="s">
        <v>14898</v>
      </c>
      <c r="B7470" s="8" t="s">
        <v>61073</v>
      </c>
      <c r="C7470" s="8" t="s">
        <v>14899</v>
      </c>
      <c r="D7470" s="8"/>
      <c r="E7470" s="6"/>
      <c r="F7470" s="6"/>
    </row>
    <row r="7471" spans="1:6" x14ac:dyDescent="0.3">
      <c r="A7471" s="8" t="s">
        <v>14900</v>
      </c>
      <c r="B7471" s="8" t="s">
        <v>61074</v>
      </c>
      <c r="C7471" s="8" t="s">
        <v>14901</v>
      </c>
      <c r="D7471" s="8"/>
      <c r="E7471" s="6"/>
      <c r="F7471" s="6"/>
    </row>
    <row r="7472" spans="1:6" x14ac:dyDescent="0.3">
      <c r="A7472" s="8" t="s">
        <v>14902</v>
      </c>
      <c r="B7472" s="8" t="s">
        <v>61075</v>
      </c>
      <c r="C7472" s="8" t="s">
        <v>14903</v>
      </c>
      <c r="D7472" s="8"/>
      <c r="E7472" s="6"/>
      <c r="F7472" s="6"/>
    </row>
    <row r="7473" spans="1:6" x14ac:dyDescent="0.3">
      <c r="A7473" s="8" t="s">
        <v>14904</v>
      </c>
      <c r="B7473" s="8" t="s">
        <v>61076</v>
      </c>
      <c r="C7473" s="8" t="s">
        <v>14905</v>
      </c>
      <c r="D7473" s="8"/>
      <c r="E7473" s="6"/>
      <c r="F7473" s="6"/>
    </row>
    <row r="7474" spans="1:6" x14ac:dyDescent="0.3">
      <c r="A7474" s="8" t="s">
        <v>14906</v>
      </c>
      <c r="B7474" s="8" t="s">
        <v>61077</v>
      </c>
      <c r="C7474" s="8" t="s">
        <v>14907</v>
      </c>
      <c r="D7474" s="8"/>
      <c r="E7474" s="6"/>
      <c r="F7474" s="6"/>
    </row>
    <row r="7475" spans="1:6" x14ac:dyDescent="0.3">
      <c r="A7475" s="8" t="s">
        <v>14908</v>
      </c>
      <c r="B7475" s="8" t="s">
        <v>61078</v>
      </c>
      <c r="C7475" s="8" t="s">
        <v>14909</v>
      </c>
      <c r="D7475" s="8"/>
      <c r="E7475" s="6"/>
      <c r="F7475" s="6"/>
    </row>
    <row r="7476" spans="1:6" x14ac:dyDescent="0.3">
      <c r="A7476" s="8" t="s">
        <v>14910</v>
      </c>
      <c r="B7476" s="8" t="s">
        <v>61079</v>
      </c>
      <c r="C7476" s="8" t="s">
        <v>14911</v>
      </c>
      <c r="D7476" s="8"/>
      <c r="E7476" s="6"/>
      <c r="F7476" s="6"/>
    </row>
    <row r="7477" spans="1:6" x14ac:dyDescent="0.3">
      <c r="A7477" s="8" t="s">
        <v>14912</v>
      </c>
      <c r="B7477" s="8" t="s">
        <v>61080</v>
      </c>
      <c r="C7477" s="8" t="s">
        <v>14913</v>
      </c>
      <c r="D7477" s="8"/>
      <c r="E7477" s="6"/>
      <c r="F7477" s="6"/>
    </row>
    <row r="7478" spans="1:6" x14ac:dyDescent="0.3">
      <c r="A7478" s="8" t="s">
        <v>14914</v>
      </c>
      <c r="B7478" s="8" t="s">
        <v>61081</v>
      </c>
      <c r="C7478" s="8" t="s">
        <v>14915</v>
      </c>
      <c r="D7478" s="8"/>
      <c r="E7478" s="6"/>
      <c r="F7478" s="6"/>
    </row>
    <row r="7479" spans="1:6" x14ac:dyDescent="0.3">
      <c r="A7479" s="8" t="s">
        <v>14916</v>
      </c>
      <c r="B7479" s="8" t="s">
        <v>61082</v>
      </c>
      <c r="C7479" s="8" t="s">
        <v>14917</v>
      </c>
      <c r="D7479" s="8"/>
      <c r="E7479" s="6"/>
      <c r="F7479" s="6"/>
    </row>
    <row r="7480" spans="1:6" x14ac:dyDescent="0.3">
      <c r="A7480" s="8" t="s">
        <v>14918</v>
      </c>
      <c r="B7480" s="8" t="s">
        <v>61083</v>
      </c>
      <c r="C7480" s="8" t="s">
        <v>14919</v>
      </c>
      <c r="D7480" s="8"/>
      <c r="E7480" s="6"/>
      <c r="F7480" s="6"/>
    </row>
    <row r="7481" spans="1:6" x14ac:dyDescent="0.3">
      <c r="A7481" s="8" t="s">
        <v>14920</v>
      </c>
      <c r="B7481" s="8" t="s">
        <v>61084</v>
      </c>
      <c r="C7481" s="8" t="s">
        <v>14921</v>
      </c>
      <c r="D7481" s="8"/>
      <c r="E7481" s="6"/>
      <c r="F7481" s="6"/>
    </row>
    <row r="7482" spans="1:6" x14ac:dyDescent="0.3">
      <c r="A7482" s="8" t="s">
        <v>14922</v>
      </c>
      <c r="B7482" s="8" t="s">
        <v>61085</v>
      </c>
      <c r="C7482" s="8" t="s">
        <v>14923</v>
      </c>
      <c r="D7482" s="8"/>
      <c r="E7482" s="6"/>
      <c r="F7482" s="6"/>
    </row>
    <row r="7483" spans="1:6" x14ac:dyDescent="0.3">
      <c r="A7483" s="8" t="s">
        <v>14924</v>
      </c>
      <c r="B7483" s="8" t="s">
        <v>61086</v>
      </c>
      <c r="C7483" s="8" t="s">
        <v>14925</v>
      </c>
      <c r="D7483" s="8"/>
      <c r="E7483" s="6"/>
      <c r="F7483" s="6"/>
    </row>
    <row r="7484" spans="1:6" x14ac:dyDescent="0.3">
      <c r="A7484" s="8" t="s">
        <v>14926</v>
      </c>
      <c r="B7484" s="8" t="s">
        <v>61087</v>
      </c>
      <c r="C7484" s="8" t="s">
        <v>14927</v>
      </c>
      <c r="D7484" s="8"/>
      <c r="E7484" s="6"/>
      <c r="F7484" s="6"/>
    </row>
    <row r="7485" spans="1:6" x14ac:dyDescent="0.3">
      <c r="A7485" s="8" t="s">
        <v>14928</v>
      </c>
      <c r="B7485" s="8" t="s">
        <v>61088</v>
      </c>
      <c r="C7485" s="8" t="s">
        <v>14929</v>
      </c>
      <c r="D7485" s="8"/>
      <c r="E7485" s="6"/>
      <c r="F7485" s="6"/>
    </row>
    <row r="7486" spans="1:6" x14ac:dyDescent="0.3">
      <c r="A7486" s="8" t="s">
        <v>14930</v>
      </c>
      <c r="B7486" s="8" t="s">
        <v>61089</v>
      </c>
      <c r="C7486" s="8" t="s">
        <v>14931</v>
      </c>
      <c r="D7486" s="8"/>
      <c r="E7486" s="6"/>
      <c r="F7486" s="6"/>
    </row>
    <row r="7487" spans="1:6" x14ac:dyDescent="0.3">
      <c r="A7487" s="8" t="s">
        <v>14932</v>
      </c>
      <c r="B7487" s="8" t="s">
        <v>61090</v>
      </c>
      <c r="C7487" s="8" t="s">
        <v>14933</v>
      </c>
      <c r="D7487" s="8"/>
      <c r="E7487" s="6"/>
      <c r="F7487" s="6"/>
    </row>
    <row r="7488" spans="1:6" x14ac:dyDescent="0.3">
      <c r="A7488" s="8" t="s">
        <v>14934</v>
      </c>
      <c r="B7488" s="8" t="s">
        <v>61091</v>
      </c>
      <c r="C7488" s="8" t="s">
        <v>14935</v>
      </c>
      <c r="D7488" s="8"/>
      <c r="E7488" s="6"/>
      <c r="F7488" s="6"/>
    </row>
    <row r="7489" spans="1:6" x14ac:dyDescent="0.3">
      <c r="A7489" s="8" t="s">
        <v>14936</v>
      </c>
      <c r="B7489" s="8" t="s">
        <v>61092</v>
      </c>
      <c r="C7489" s="8" t="s">
        <v>14937</v>
      </c>
      <c r="D7489" s="8"/>
      <c r="E7489" s="6"/>
      <c r="F7489" s="6"/>
    </row>
    <row r="7490" spans="1:6" x14ac:dyDescent="0.3">
      <c r="A7490" s="8" t="s">
        <v>14938</v>
      </c>
      <c r="B7490" s="8" t="s">
        <v>61093</v>
      </c>
      <c r="C7490" s="8" t="s">
        <v>14939</v>
      </c>
      <c r="D7490" s="8"/>
      <c r="E7490" s="6"/>
      <c r="F7490" s="6"/>
    </row>
    <row r="7491" spans="1:6" x14ac:dyDescent="0.3">
      <c r="A7491" s="8" t="s">
        <v>14940</v>
      </c>
      <c r="B7491" s="8" t="s">
        <v>61094</v>
      </c>
      <c r="C7491" s="8" t="s">
        <v>14941</v>
      </c>
      <c r="D7491" s="8"/>
      <c r="E7491" s="6"/>
      <c r="F7491" s="6"/>
    </row>
    <row r="7492" spans="1:6" x14ac:dyDescent="0.3">
      <c r="A7492" s="8" t="s">
        <v>14942</v>
      </c>
      <c r="B7492" s="8" t="s">
        <v>61095</v>
      </c>
      <c r="C7492" s="8" t="s">
        <v>14943</v>
      </c>
      <c r="D7492" s="8"/>
      <c r="E7492" s="6"/>
      <c r="F7492" s="6"/>
    </row>
    <row r="7493" spans="1:6" x14ac:dyDescent="0.3">
      <c r="A7493" s="8" t="s">
        <v>14944</v>
      </c>
      <c r="B7493" s="8" t="s">
        <v>61096</v>
      </c>
      <c r="C7493" s="8" t="s">
        <v>14945</v>
      </c>
      <c r="D7493" s="8"/>
      <c r="E7493" s="6"/>
      <c r="F7493" s="6"/>
    </row>
    <row r="7494" spans="1:6" x14ac:dyDescent="0.3">
      <c r="A7494" s="8" t="s">
        <v>14946</v>
      </c>
      <c r="B7494" s="8" t="s">
        <v>61097</v>
      </c>
      <c r="C7494" s="8" t="s">
        <v>14947</v>
      </c>
      <c r="D7494" s="8"/>
      <c r="E7494" s="6"/>
      <c r="F7494" s="6"/>
    </row>
    <row r="7495" spans="1:6" x14ac:dyDescent="0.3">
      <c r="A7495" s="8" t="s">
        <v>14948</v>
      </c>
      <c r="B7495" s="8" t="s">
        <v>61098</v>
      </c>
      <c r="C7495" s="8" t="s">
        <v>14949</v>
      </c>
      <c r="D7495" s="8"/>
      <c r="E7495" s="6"/>
      <c r="F7495" s="6"/>
    </row>
    <row r="7496" spans="1:6" x14ac:dyDescent="0.3">
      <c r="A7496" s="8" t="s">
        <v>14950</v>
      </c>
      <c r="B7496" s="8" t="s">
        <v>61099</v>
      </c>
      <c r="C7496" s="8" t="s">
        <v>14951</v>
      </c>
      <c r="D7496" s="8"/>
      <c r="E7496" s="6"/>
      <c r="F7496" s="6"/>
    </row>
    <row r="7497" spans="1:6" x14ac:dyDescent="0.3">
      <c r="A7497" s="8" t="s">
        <v>14952</v>
      </c>
      <c r="B7497" s="8" t="s">
        <v>61100</v>
      </c>
      <c r="C7497" s="8" t="s">
        <v>14953</v>
      </c>
      <c r="D7497" s="8"/>
      <c r="E7497" s="6"/>
      <c r="F7497" s="6"/>
    </row>
    <row r="7498" spans="1:6" x14ac:dyDescent="0.3">
      <c r="A7498" s="8" t="s">
        <v>14954</v>
      </c>
      <c r="B7498" s="8" t="s">
        <v>61101</v>
      </c>
      <c r="C7498" s="8" t="s">
        <v>14955</v>
      </c>
      <c r="D7498" s="8"/>
      <c r="E7498" s="6"/>
      <c r="F7498" s="6"/>
    </row>
    <row r="7499" spans="1:6" x14ac:dyDescent="0.3">
      <c r="A7499" s="8" t="s">
        <v>14956</v>
      </c>
      <c r="B7499" s="8" t="s">
        <v>61102</v>
      </c>
      <c r="C7499" s="8" t="s">
        <v>14957</v>
      </c>
      <c r="D7499" s="8"/>
      <c r="E7499" s="6"/>
      <c r="F7499" s="6"/>
    </row>
    <row r="7500" spans="1:6" x14ac:dyDescent="0.3">
      <c r="A7500" s="8" t="s">
        <v>14958</v>
      </c>
      <c r="B7500" s="8" t="s">
        <v>61103</v>
      </c>
      <c r="C7500" s="8" t="s">
        <v>14959</v>
      </c>
      <c r="D7500" s="8"/>
      <c r="E7500" s="6"/>
      <c r="F7500" s="6"/>
    </row>
    <row r="7501" spans="1:6" x14ac:dyDescent="0.3">
      <c r="A7501" s="8" t="s">
        <v>14960</v>
      </c>
      <c r="B7501" s="8" t="s">
        <v>61104</v>
      </c>
      <c r="C7501" s="8" t="s">
        <v>14961</v>
      </c>
      <c r="D7501" s="8"/>
      <c r="E7501" s="6"/>
      <c r="F7501" s="6"/>
    </row>
    <row r="7502" spans="1:6" x14ac:dyDescent="0.3">
      <c r="A7502" s="8" t="s">
        <v>14962</v>
      </c>
      <c r="B7502" s="8" t="s">
        <v>61105</v>
      </c>
      <c r="C7502" s="8" t="s">
        <v>14963</v>
      </c>
      <c r="D7502" s="8"/>
      <c r="E7502" s="6"/>
      <c r="F7502" s="6"/>
    </row>
    <row r="7503" spans="1:6" x14ac:dyDescent="0.3">
      <c r="A7503" s="8" t="s">
        <v>14964</v>
      </c>
      <c r="B7503" s="8" t="s">
        <v>61106</v>
      </c>
      <c r="C7503" s="8" t="s">
        <v>14965</v>
      </c>
      <c r="D7503" s="8"/>
      <c r="E7503" s="6"/>
      <c r="F7503" s="6"/>
    </row>
    <row r="7504" spans="1:6" x14ac:dyDescent="0.3">
      <c r="A7504" s="8" t="s">
        <v>14966</v>
      </c>
      <c r="B7504" s="8" t="s">
        <v>61107</v>
      </c>
      <c r="C7504" s="8" t="s">
        <v>14967</v>
      </c>
      <c r="D7504" s="8"/>
      <c r="E7504" s="6"/>
      <c r="F7504" s="6"/>
    </row>
    <row r="7505" spans="1:6" x14ac:dyDescent="0.3">
      <c r="A7505" s="8" t="s">
        <v>14968</v>
      </c>
      <c r="B7505" s="8" t="s">
        <v>61108</v>
      </c>
      <c r="C7505" s="8" t="s">
        <v>14969</v>
      </c>
      <c r="D7505" s="8"/>
      <c r="E7505" s="6"/>
      <c r="F7505" s="6"/>
    </row>
    <row r="7506" spans="1:6" x14ac:dyDescent="0.3">
      <c r="A7506" s="8" t="s">
        <v>14970</v>
      </c>
      <c r="B7506" s="8" t="s">
        <v>61109</v>
      </c>
      <c r="C7506" s="8" t="s">
        <v>14971</v>
      </c>
      <c r="D7506" s="8"/>
      <c r="E7506" s="6"/>
      <c r="F7506" s="6"/>
    </row>
    <row r="7507" spans="1:6" x14ac:dyDescent="0.3">
      <c r="A7507" s="8" t="s">
        <v>14972</v>
      </c>
      <c r="B7507" s="8" t="s">
        <v>61110</v>
      </c>
      <c r="C7507" s="8" t="s">
        <v>14973</v>
      </c>
      <c r="D7507" s="8"/>
      <c r="E7507" s="6"/>
      <c r="F7507" s="6"/>
    </row>
    <row r="7508" spans="1:6" x14ac:dyDescent="0.3">
      <c r="A7508" s="8" t="s">
        <v>14974</v>
      </c>
      <c r="B7508" s="8" t="s">
        <v>61111</v>
      </c>
      <c r="C7508" s="8" t="s">
        <v>14975</v>
      </c>
      <c r="D7508" s="8"/>
      <c r="E7508" s="6"/>
      <c r="F7508" s="6"/>
    </row>
    <row r="7509" spans="1:6" x14ac:dyDescent="0.3">
      <c r="A7509" s="8" t="s">
        <v>14976</v>
      </c>
      <c r="B7509" s="8" t="s">
        <v>61112</v>
      </c>
      <c r="C7509" s="8" t="s">
        <v>14977</v>
      </c>
      <c r="D7509" s="8"/>
      <c r="E7509" s="6"/>
      <c r="F7509" s="6"/>
    </row>
    <row r="7510" spans="1:6" x14ac:dyDescent="0.3">
      <c r="A7510" s="8" t="s">
        <v>14978</v>
      </c>
      <c r="B7510" s="8" t="s">
        <v>61113</v>
      </c>
      <c r="C7510" s="8" t="s">
        <v>14979</v>
      </c>
      <c r="D7510" s="8"/>
      <c r="E7510" s="6"/>
      <c r="F7510" s="6"/>
    </row>
    <row r="7511" spans="1:6" x14ac:dyDescent="0.3">
      <c r="A7511" s="8" t="s">
        <v>14980</v>
      </c>
      <c r="B7511" s="8" t="s">
        <v>61114</v>
      </c>
      <c r="C7511" s="8" t="s">
        <v>14981</v>
      </c>
      <c r="D7511" s="8"/>
      <c r="E7511" s="6"/>
      <c r="F7511" s="6"/>
    </row>
    <row r="7512" spans="1:6" x14ac:dyDescent="0.3">
      <c r="A7512" s="8" t="s">
        <v>14982</v>
      </c>
      <c r="B7512" s="8" t="s">
        <v>61115</v>
      </c>
      <c r="C7512" s="8" t="s">
        <v>14983</v>
      </c>
      <c r="D7512" s="8"/>
      <c r="E7512" s="6"/>
      <c r="F7512" s="6"/>
    </row>
    <row r="7513" spans="1:6" x14ac:dyDescent="0.3">
      <c r="A7513" s="8" t="s">
        <v>14984</v>
      </c>
      <c r="B7513" s="8" t="s">
        <v>61116</v>
      </c>
      <c r="C7513" s="8" t="s">
        <v>14985</v>
      </c>
      <c r="D7513" s="8"/>
      <c r="E7513" s="6"/>
      <c r="F7513" s="6"/>
    </row>
    <row r="7514" spans="1:6" x14ac:dyDescent="0.3">
      <c r="A7514" s="8" t="s">
        <v>14986</v>
      </c>
      <c r="B7514" s="8" t="s">
        <v>61117</v>
      </c>
      <c r="C7514" s="8" t="s">
        <v>14987</v>
      </c>
      <c r="D7514" s="8"/>
      <c r="E7514" s="6"/>
      <c r="F7514" s="6"/>
    </row>
    <row r="7515" spans="1:6" x14ac:dyDescent="0.3">
      <c r="A7515" s="8" t="s">
        <v>14988</v>
      </c>
      <c r="B7515" s="8" t="s">
        <v>61118</v>
      </c>
      <c r="C7515" s="8" t="s">
        <v>14989</v>
      </c>
      <c r="D7515" s="8"/>
      <c r="E7515" s="6"/>
      <c r="F7515" s="6"/>
    </row>
    <row r="7516" spans="1:6" x14ac:dyDescent="0.3">
      <c r="A7516" s="8" t="s">
        <v>14990</v>
      </c>
      <c r="B7516" s="8" t="s">
        <v>61119</v>
      </c>
      <c r="C7516" s="8" t="s">
        <v>14991</v>
      </c>
      <c r="D7516" s="8"/>
      <c r="E7516" s="6"/>
      <c r="F7516" s="6"/>
    </row>
    <row r="7517" spans="1:6" x14ac:dyDescent="0.3">
      <c r="A7517" s="8" t="s">
        <v>14992</v>
      </c>
      <c r="B7517" s="8" t="s">
        <v>61120</v>
      </c>
      <c r="C7517" s="8" t="s">
        <v>14993</v>
      </c>
      <c r="D7517" s="8"/>
      <c r="E7517" s="6"/>
      <c r="F7517" s="6"/>
    </row>
    <row r="7518" spans="1:6" x14ac:dyDescent="0.3">
      <c r="A7518" s="8" t="s">
        <v>14994</v>
      </c>
      <c r="B7518" s="8" t="s">
        <v>61121</v>
      </c>
      <c r="C7518" s="8" t="s">
        <v>14995</v>
      </c>
      <c r="D7518" s="8"/>
      <c r="E7518" s="6"/>
      <c r="F7518" s="6"/>
    </row>
    <row r="7519" spans="1:6" x14ac:dyDescent="0.3">
      <c r="A7519" s="8" t="s">
        <v>14996</v>
      </c>
      <c r="B7519" s="8" t="s">
        <v>61122</v>
      </c>
      <c r="C7519" s="8" t="s">
        <v>14997</v>
      </c>
      <c r="D7519" s="8"/>
      <c r="E7519" s="6"/>
      <c r="F7519" s="6"/>
    </row>
    <row r="7520" spans="1:6" x14ac:dyDescent="0.3">
      <c r="A7520" s="8" t="s">
        <v>14998</v>
      </c>
      <c r="B7520" s="8" t="s">
        <v>61123</v>
      </c>
      <c r="C7520" s="8" t="s">
        <v>14999</v>
      </c>
      <c r="D7520" s="8"/>
      <c r="E7520" s="6"/>
      <c r="F7520" s="6"/>
    </row>
    <row r="7521" spans="1:6" x14ac:dyDescent="0.3">
      <c r="A7521" s="8" t="s">
        <v>15000</v>
      </c>
      <c r="B7521" s="8" t="s">
        <v>61124</v>
      </c>
      <c r="C7521" s="8" t="s">
        <v>15001</v>
      </c>
      <c r="D7521" s="8"/>
      <c r="E7521" s="6"/>
      <c r="F7521" s="6"/>
    </row>
    <row r="7522" spans="1:6" x14ac:dyDescent="0.3">
      <c r="A7522" s="8" t="s">
        <v>15002</v>
      </c>
      <c r="B7522" s="8" t="s">
        <v>61125</v>
      </c>
      <c r="C7522" s="8" t="s">
        <v>15003</v>
      </c>
      <c r="D7522" s="8"/>
      <c r="E7522" s="6"/>
      <c r="F7522" s="6"/>
    </row>
    <row r="7523" spans="1:6" x14ac:dyDescent="0.3">
      <c r="A7523" s="8" t="s">
        <v>15004</v>
      </c>
      <c r="B7523" s="8" t="s">
        <v>61126</v>
      </c>
      <c r="C7523" s="8" t="s">
        <v>15005</v>
      </c>
      <c r="D7523" s="8"/>
      <c r="E7523" s="6"/>
      <c r="F7523" s="6"/>
    </row>
    <row r="7524" spans="1:6" x14ac:dyDescent="0.3">
      <c r="A7524" s="8" t="s">
        <v>15006</v>
      </c>
      <c r="B7524" s="8" t="s">
        <v>61127</v>
      </c>
      <c r="C7524" s="8" t="s">
        <v>15007</v>
      </c>
      <c r="D7524" s="8"/>
      <c r="E7524" s="6"/>
      <c r="F7524" s="6"/>
    </row>
    <row r="7525" spans="1:6" x14ac:dyDescent="0.3">
      <c r="A7525" s="8" t="s">
        <v>15008</v>
      </c>
      <c r="B7525" s="8" t="s">
        <v>61128</v>
      </c>
      <c r="C7525" s="8" t="s">
        <v>15009</v>
      </c>
      <c r="D7525" s="8"/>
      <c r="E7525" s="6"/>
      <c r="F7525" s="6"/>
    </row>
    <row r="7526" spans="1:6" x14ac:dyDescent="0.3">
      <c r="A7526" s="8" t="s">
        <v>15010</v>
      </c>
      <c r="B7526" s="8" t="s">
        <v>61129</v>
      </c>
      <c r="C7526" s="8" t="s">
        <v>15011</v>
      </c>
      <c r="D7526" s="8"/>
      <c r="E7526" s="6"/>
      <c r="F7526" s="6"/>
    </row>
    <row r="7527" spans="1:6" x14ac:dyDescent="0.3">
      <c r="A7527" s="8" t="s">
        <v>15012</v>
      </c>
      <c r="B7527" s="8" t="s">
        <v>61130</v>
      </c>
      <c r="C7527" s="8" t="s">
        <v>15013</v>
      </c>
      <c r="D7527" s="8"/>
      <c r="E7527" s="6"/>
      <c r="F7527" s="6"/>
    </row>
    <row r="7528" spans="1:6" x14ac:dyDescent="0.3">
      <c r="A7528" s="8" t="s">
        <v>15014</v>
      </c>
      <c r="B7528" s="8" t="s">
        <v>61131</v>
      </c>
      <c r="C7528" s="8" t="s">
        <v>15015</v>
      </c>
      <c r="D7528" s="8"/>
      <c r="E7528" s="6"/>
      <c r="F7528" s="6"/>
    </row>
    <row r="7529" spans="1:6" x14ac:dyDescent="0.3">
      <c r="A7529" s="8" t="s">
        <v>15016</v>
      </c>
      <c r="B7529" s="8" t="s">
        <v>61132</v>
      </c>
      <c r="C7529" s="8" t="s">
        <v>15017</v>
      </c>
      <c r="D7529" s="8"/>
      <c r="E7529" s="6"/>
      <c r="F7529" s="6"/>
    </row>
    <row r="7530" spans="1:6" x14ac:dyDescent="0.3">
      <c r="A7530" s="8" t="s">
        <v>15018</v>
      </c>
      <c r="B7530" s="8" t="s">
        <v>61133</v>
      </c>
      <c r="C7530" s="8" t="s">
        <v>15019</v>
      </c>
      <c r="D7530" s="8"/>
      <c r="E7530" s="6"/>
      <c r="F7530" s="6"/>
    </row>
    <row r="7531" spans="1:6" x14ac:dyDescent="0.3">
      <c r="A7531" s="8" t="s">
        <v>15020</v>
      </c>
      <c r="B7531" s="8" t="s">
        <v>61134</v>
      </c>
      <c r="C7531" s="8" t="s">
        <v>15021</v>
      </c>
      <c r="D7531" s="8"/>
      <c r="E7531" s="6"/>
      <c r="F7531" s="6"/>
    </row>
    <row r="7532" spans="1:6" x14ac:dyDescent="0.3">
      <c r="A7532" s="8" t="s">
        <v>15022</v>
      </c>
      <c r="B7532" s="8" t="s">
        <v>61135</v>
      </c>
      <c r="C7532" s="8" t="s">
        <v>15023</v>
      </c>
      <c r="D7532" s="8"/>
      <c r="E7532" s="6"/>
      <c r="F7532" s="6"/>
    </row>
    <row r="7533" spans="1:6" x14ac:dyDescent="0.3">
      <c r="A7533" s="8" t="s">
        <v>15024</v>
      </c>
      <c r="B7533" s="8" t="s">
        <v>61136</v>
      </c>
      <c r="C7533" s="8" t="s">
        <v>15025</v>
      </c>
      <c r="D7533" s="8"/>
      <c r="E7533" s="6"/>
      <c r="F7533" s="6"/>
    </row>
    <row r="7534" spans="1:6" x14ac:dyDescent="0.3">
      <c r="A7534" s="8" t="s">
        <v>15026</v>
      </c>
      <c r="B7534" s="8" t="s">
        <v>61137</v>
      </c>
      <c r="C7534" s="8" t="s">
        <v>15027</v>
      </c>
      <c r="D7534" s="8"/>
      <c r="E7534" s="6"/>
      <c r="F7534" s="6"/>
    </row>
    <row r="7535" spans="1:6" x14ac:dyDescent="0.3">
      <c r="A7535" s="8" t="s">
        <v>15028</v>
      </c>
      <c r="B7535" s="8" t="s">
        <v>61138</v>
      </c>
      <c r="C7535" s="8" t="s">
        <v>15029</v>
      </c>
      <c r="D7535" s="8"/>
      <c r="E7535" s="6"/>
      <c r="F7535" s="6"/>
    </row>
    <row r="7536" spans="1:6" x14ac:dyDescent="0.3">
      <c r="A7536" s="8" t="s">
        <v>15030</v>
      </c>
      <c r="B7536" s="8" t="s">
        <v>61139</v>
      </c>
      <c r="C7536" s="8" t="s">
        <v>15031</v>
      </c>
      <c r="D7536" s="8"/>
      <c r="E7536" s="6"/>
      <c r="F7536" s="6"/>
    </row>
    <row r="7537" spans="1:6" x14ac:dyDescent="0.3">
      <c r="A7537" s="8" t="s">
        <v>15032</v>
      </c>
      <c r="B7537" s="8" t="s">
        <v>61140</v>
      </c>
      <c r="C7537" s="8" t="s">
        <v>15033</v>
      </c>
      <c r="D7537" s="8"/>
      <c r="E7537" s="6"/>
      <c r="F7537" s="6"/>
    </row>
    <row r="7538" spans="1:6" x14ac:dyDescent="0.3">
      <c r="A7538" s="8" t="s">
        <v>15034</v>
      </c>
      <c r="B7538" s="8" t="s">
        <v>61141</v>
      </c>
      <c r="C7538" s="8" t="s">
        <v>15035</v>
      </c>
      <c r="D7538" s="8"/>
      <c r="E7538" s="6"/>
      <c r="F7538" s="6"/>
    </row>
    <row r="7539" spans="1:6" x14ac:dyDescent="0.3">
      <c r="A7539" s="8" t="s">
        <v>15036</v>
      </c>
      <c r="B7539" s="8" t="s">
        <v>61142</v>
      </c>
      <c r="C7539" s="8" t="s">
        <v>15037</v>
      </c>
      <c r="D7539" s="8"/>
      <c r="E7539" s="6"/>
      <c r="F7539" s="6"/>
    </row>
    <row r="7540" spans="1:6" x14ac:dyDescent="0.3">
      <c r="A7540" s="8" t="s">
        <v>15038</v>
      </c>
      <c r="B7540" s="8" t="s">
        <v>61143</v>
      </c>
      <c r="C7540" s="8" t="s">
        <v>15039</v>
      </c>
      <c r="D7540" s="8"/>
      <c r="E7540" s="6"/>
      <c r="F7540" s="6"/>
    </row>
    <row r="7541" spans="1:6" x14ac:dyDescent="0.3">
      <c r="A7541" s="8" t="s">
        <v>15040</v>
      </c>
      <c r="B7541" s="8" t="s">
        <v>61144</v>
      </c>
      <c r="C7541" s="8" t="s">
        <v>15041</v>
      </c>
      <c r="D7541" s="8"/>
      <c r="E7541" s="6"/>
      <c r="F7541" s="6"/>
    </row>
    <row r="7542" spans="1:6" x14ac:dyDescent="0.3">
      <c r="A7542" s="8" t="s">
        <v>15042</v>
      </c>
      <c r="B7542" s="8" t="s">
        <v>61145</v>
      </c>
      <c r="C7542" s="8" t="s">
        <v>15043</v>
      </c>
      <c r="D7542" s="8"/>
      <c r="E7542" s="6"/>
      <c r="F7542" s="6"/>
    </row>
    <row r="7543" spans="1:6" x14ac:dyDescent="0.3">
      <c r="A7543" s="8" t="s">
        <v>15044</v>
      </c>
      <c r="B7543" s="8" t="s">
        <v>61146</v>
      </c>
      <c r="C7543" s="8" t="s">
        <v>15045</v>
      </c>
      <c r="D7543" s="8"/>
      <c r="E7543" s="6"/>
      <c r="F7543" s="6"/>
    </row>
    <row r="7544" spans="1:6" x14ac:dyDescent="0.3">
      <c r="A7544" s="8" t="s">
        <v>15046</v>
      </c>
      <c r="B7544" s="8" t="s">
        <v>61147</v>
      </c>
      <c r="C7544" s="8" t="s">
        <v>15047</v>
      </c>
      <c r="D7544" s="8"/>
      <c r="E7544" s="6"/>
      <c r="F7544" s="6"/>
    </row>
    <row r="7545" spans="1:6" x14ac:dyDescent="0.3">
      <c r="A7545" s="8" t="s">
        <v>15048</v>
      </c>
      <c r="B7545" s="8" t="s">
        <v>61148</v>
      </c>
      <c r="C7545" s="8" t="s">
        <v>15049</v>
      </c>
      <c r="D7545" s="8"/>
      <c r="E7545" s="6"/>
      <c r="F7545" s="6"/>
    </row>
    <row r="7546" spans="1:6" x14ac:dyDescent="0.3">
      <c r="A7546" s="8" t="s">
        <v>15050</v>
      </c>
      <c r="B7546" s="8" t="s">
        <v>61149</v>
      </c>
      <c r="C7546" s="8" t="s">
        <v>15051</v>
      </c>
      <c r="D7546" s="8"/>
      <c r="E7546" s="6"/>
      <c r="F7546" s="6"/>
    </row>
    <row r="7547" spans="1:6" x14ac:dyDescent="0.3">
      <c r="A7547" s="8" t="s">
        <v>15052</v>
      </c>
      <c r="B7547" s="8" t="s">
        <v>61150</v>
      </c>
      <c r="C7547" s="8" t="s">
        <v>15053</v>
      </c>
      <c r="D7547" s="8"/>
      <c r="E7547" s="6"/>
      <c r="F7547" s="6"/>
    </row>
    <row r="7548" spans="1:6" x14ac:dyDescent="0.3">
      <c r="A7548" s="8" t="s">
        <v>15054</v>
      </c>
      <c r="B7548" s="8" t="s">
        <v>61151</v>
      </c>
      <c r="C7548" s="8" t="s">
        <v>15055</v>
      </c>
      <c r="D7548" s="8"/>
      <c r="E7548" s="6"/>
      <c r="F7548" s="6"/>
    </row>
    <row r="7549" spans="1:6" x14ac:dyDescent="0.3">
      <c r="A7549" s="8" t="s">
        <v>15056</v>
      </c>
      <c r="B7549" s="8" t="s">
        <v>61152</v>
      </c>
      <c r="C7549" s="8" t="s">
        <v>15057</v>
      </c>
      <c r="D7549" s="8"/>
      <c r="E7549" s="6"/>
      <c r="F7549" s="6"/>
    </row>
    <row r="7550" spans="1:6" x14ac:dyDescent="0.3">
      <c r="A7550" s="8" t="s">
        <v>15058</v>
      </c>
      <c r="B7550" s="8" t="s">
        <v>61153</v>
      </c>
      <c r="C7550" s="8" t="s">
        <v>15059</v>
      </c>
      <c r="D7550" s="8"/>
      <c r="E7550" s="6"/>
      <c r="F7550" s="6"/>
    </row>
    <row r="7551" spans="1:6" x14ac:dyDescent="0.3">
      <c r="A7551" s="8" t="s">
        <v>15060</v>
      </c>
      <c r="B7551" s="8" t="s">
        <v>61154</v>
      </c>
      <c r="C7551" s="8" t="s">
        <v>15061</v>
      </c>
      <c r="D7551" s="8"/>
      <c r="E7551" s="6"/>
      <c r="F7551" s="6"/>
    </row>
    <row r="7552" spans="1:6" x14ac:dyDescent="0.3">
      <c r="A7552" s="8" t="s">
        <v>15062</v>
      </c>
      <c r="B7552" s="8" t="s">
        <v>61155</v>
      </c>
      <c r="C7552" s="8" t="s">
        <v>15063</v>
      </c>
      <c r="D7552" s="8"/>
      <c r="E7552" s="6"/>
      <c r="F7552" s="6"/>
    </row>
    <row r="7553" spans="1:6" x14ac:dyDescent="0.3">
      <c r="A7553" s="8" t="s">
        <v>15064</v>
      </c>
      <c r="B7553" s="8" t="s">
        <v>61156</v>
      </c>
      <c r="C7553" s="8" t="s">
        <v>15065</v>
      </c>
      <c r="D7553" s="8"/>
      <c r="E7553" s="6"/>
      <c r="F7553" s="6"/>
    </row>
    <row r="7554" spans="1:6" x14ac:dyDescent="0.3">
      <c r="A7554" s="8" t="s">
        <v>15066</v>
      </c>
      <c r="B7554" s="8" t="s">
        <v>61157</v>
      </c>
      <c r="C7554" s="8" t="s">
        <v>15067</v>
      </c>
      <c r="D7554" s="8"/>
      <c r="E7554" s="6"/>
      <c r="F7554" s="6"/>
    </row>
    <row r="7555" spans="1:6" x14ac:dyDescent="0.3">
      <c r="A7555" s="8" t="s">
        <v>15068</v>
      </c>
      <c r="B7555" s="8" t="s">
        <v>61158</v>
      </c>
      <c r="C7555" s="8" t="s">
        <v>15069</v>
      </c>
      <c r="D7555" s="8"/>
      <c r="E7555" s="6"/>
      <c r="F7555" s="6"/>
    </row>
    <row r="7556" spans="1:6" x14ac:dyDescent="0.3">
      <c r="A7556" s="8" t="s">
        <v>15070</v>
      </c>
      <c r="B7556" s="8" t="s">
        <v>61159</v>
      </c>
      <c r="C7556" s="8" t="s">
        <v>15071</v>
      </c>
      <c r="D7556" s="8"/>
      <c r="E7556" s="6"/>
      <c r="F7556" s="6"/>
    </row>
    <row r="7557" spans="1:6" x14ac:dyDescent="0.3">
      <c r="A7557" s="8" t="s">
        <v>15072</v>
      </c>
      <c r="B7557" s="8" t="s">
        <v>61160</v>
      </c>
      <c r="C7557" s="8" t="s">
        <v>15073</v>
      </c>
      <c r="D7557" s="8"/>
      <c r="E7557" s="6"/>
      <c r="F7557" s="6"/>
    </row>
    <row r="7558" spans="1:6" x14ac:dyDescent="0.3">
      <c r="A7558" s="8" t="s">
        <v>15074</v>
      </c>
      <c r="B7558" s="8" t="s">
        <v>61161</v>
      </c>
      <c r="C7558" s="8" t="s">
        <v>15075</v>
      </c>
      <c r="D7558" s="8"/>
      <c r="E7558" s="6"/>
      <c r="F7558" s="6"/>
    </row>
    <row r="7559" spans="1:6" x14ac:dyDescent="0.3">
      <c r="A7559" s="8" t="s">
        <v>15076</v>
      </c>
      <c r="B7559" s="8" t="s">
        <v>61162</v>
      </c>
      <c r="C7559" s="8" t="s">
        <v>15077</v>
      </c>
      <c r="D7559" s="8"/>
      <c r="E7559" s="6"/>
      <c r="F7559" s="6"/>
    </row>
    <row r="7560" spans="1:6" x14ac:dyDescent="0.3">
      <c r="A7560" s="8" t="s">
        <v>15078</v>
      </c>
      <c r="B7560" s="8" t="s">
        <v>61163</v>
      </c>
      <c r="C7560" s="8" t="s">
        <v>15079</v>
      </c>
      <c r="D7560" s="8"/>
      <c r="E7560" s="6"/>
      <c r="F7560" s="6"/>
    </row>
    <row r="7561" spans="1:6" x14ac:dyDescent="0.3">
      <c r="A7561" s="8" t="s">
        <v>15080</v>
      </c>
      <c r="B7561" s="8" t="s">
        <v>61164</v>
      </c>
      <c r="C7561" s="8" t="s">
        <v>15081</v>
      </c>
      <c r="D7561" s="8"/>
      <c r="E7561" s="6"/>
      <c r="F7561" s="6"/>
    </row>
    <row r="7562" spans="1:6" x14ac:dyDescent="0.3">
      <c r="A7562" s="8" t="s">
        <v>15082</v>
      </c>
      <c r="B7562" s="8" t="s">
        <v>61165</v>
      </c>
      <c r="C7562" s="8" t="s">
        <v>15083</v>
      </c>
      <c r="D7562" s="8"/>
      <c r="E7562" s="6"/>
      <c r="F7562" s="6"/>
    </row>
    <row r="7563" spans="1:6" x14ac:dyDescent="0.3">
      <c r="A7563" s="8" t="s">
        <v>15084</v>
      </c>
      <c r="B7563" s="8" t="s">
        <v>61166</v>
      </c>
      <c r="C7563" s="8" t="s">
        <v>15085</v>
      </c>
      <c r="D7563" s="8"/>
      <c r="E7563" s="6"/>
      <c r="F7563" s="6"/>
    </row>
    <row r="7564" spans="1:6" x14ac:dyDescent="0.3">
      <c r="A7564" s="8" t="s">
        <v>15086</v>
      </c>
      <c r="B7564" s="8" t="s">
        <v>61167</v>
      </c>
      <c r="C7564" s="8" t="s">
        <v>15087</v>
      </c>
      <c r="D7564" s="8"/>
      <c r="E7564" s="6"/>
      <c r="F7564" s="6"/>
    </row>
    <row r="7565" spans="1:6" x14ac:dyDescent="0.3">
      <c r="A7565" s="8" t="s">
        <v>15088</v>
      </c>
      <c r="B7565" s="8" t="s">
        <v>61168</v>
      </c>
      <c r="C7565" s="8" t="s">
        <v>15089</v>
      </c>
      <c r="D7565" s="8"/>
      <c r="E7565" s="6"/>
      <c r="F7565" s="6"/>
    </row>
    <row r="7566" spans="1:6" x14ac:dyDescent="0.3">
      <c r="A7566" s="8" t="s">
        <v>15090</v>
      </c>
      <c r="B7566" s="8" t="s">
        <v>61169</v>
      </c>
      <c r="C7566" s="8" t="s">
        <v>15091</v>
      </c>
      <c r="D7566" s="8"/>
      <c r="E7566" s="6"/>
      <c r="F7566" s="6"/>
    </row>
    <row r="7567" spans="1:6" x14ac:dyDescent="0.3">
      <c r="A7567" s="8" t="s">
        <v>15092</v>
      </c>
      <c r="B7567" s="8" t="s">
        <v>61170</v>
      </c>
      <c r="C7567" s="8" t="s">
        <v>15093</v>
      </c>
      <c r="D7567" s="8"/>
      <c r="E7567" s="6"/>
      <c r="F7567" s="6"/>
    </row>
    <row r="7568" spans="1:6" x14ac:dyDescent="0.3">
      <c r="A7568" s="8" t="s">
        <v>15094</v>
      </c>
      <c r="B7568" s="8" t="s">
        <v>61171</v>
      </c>
      <c r="C7568" s="8" t="s">
        <v>15095</v>
      </c>
      <c r="D7568" s="8"/>
      <c r="E7568" s="6"/>
      <c r="F7568" s="6"/>
    </row>
    <row r="7569" spans="1:6" x14ac:dyDescent="0.3">
      <c r="A7569" s="8" t="s">
        <v>15096</v>
      </c>
      <c r="B7569" s="8" t="s">
        <v>61172</v>
      </c>
      <c r="C7569" s="8" t="s">
        <v>15097</v>
      </c>
      <c r="D7569" s="8"/>
      <c r="E7569" s="6"/>
      <c r="F7569" s="6"/>
    </row>
    <row r="7570" spans="1:6" x14ac:dyDescent="0.3">
      <c r="A7570" s="8" t="s">
        <v>15098</v>
      </c>
      <c r="B7570" s="8" t="s">
        <v>61173</v>
      </c>
      <c r="C7570" s="8" t="s">
        <v>15099</v>
      </c>
      <c r="D7570" s="8"/>
      <c r="E7570" s="6"/>
      <c r="F7570" s="6"/>
    </row>
    <row r="7571" spans="1:6" x14ac:dyDescent="0.3">
      <c r="A7571" s="8" t="s">
        <v>15100</v>
      </c>
      <c r="B7571" s="8" t="s">
        <v>61174</v>
      </c>
      <c r="C7571" s="8" t="s">
        <v>15101</v>
      </c>
      <c r="D7571" s="8"/>
      <c r="E7571" s="6"/>
      <c r="F7571" s="6"/>
    </row>
    <row r="7572" spans="1:6" x14ac:dyDescent="0.3">
      <c r="A7572" s="8" t="s">
        <v>15102</v>
      </c>
      <c r="B7572" s="8" t="s">
        <v>61175</v>
      </c>
      <c r="C7572" s="8" t="s">
        <v>15103</v>
      </c>
      <c r="D7572" s="8"/>
      <c r="E7572" s="6"/>
      <c r="F7572" s="6"/>
    </row>
    <row r="7573" spans="1:6" x14ac:dyDescent="0.3">
      <c r="A7573" s="8" t="s">
        <v>15104</v>
      </c>
      <c r="B7573" s="8" t="s">
        <v>61176</v>
      </c>
      <c r="C7573" s="8" t="s">
        <v>15105</v>
      </c>
      <c r="D7573" s="8"/>
      <c r="E7573" s="6"/>
      <c r="F7573" s="6"/>
    </row>
    <row r="7574" spans="1:6" x14ac:dyDescent="0.3">
      <c r="A7574" s="8" t="s">
        <v>15106</v>
      </c>
      <c r="B7574" s="8" t="s">
        <v>61177</v>
      </c>
      <c r="C7574" s="8" t="s">
        <v>15107</v>
      </c>
      <c r="D7574" s="8"/>
      <c r="E7574" s="6"/>
      <c r="F7574" s="6"/>
    </row>
    <row r="7575" spans="1:6" x14ac:dyDescent="0.3">
      <c r="A7575" s="8" t="s">
        <v>15108</v>
      </c>
      <c r="B7575" s="8" t="s">
        <v>61178</v>
      </c>
      <c r="C7575" s="8" t="s">
        <v>15109</v>
      </c>
      <c r="D7575" s="8"/>
      <c r="E7575" s="6"/>
      <c r="F7575" s="6"/>
    </row>
    <row r="7576" spans="1:6" x14ac:dyDescent="0.3">
      <c r="A7576" s="8" t="s">
        <v>15110</v>
      </c>
      <c r="B7576" s="8" t="s">
        <v>61179</v>
      </c>
      <c r="C7576" s="8" t="s">
        <v>15111</v>
      </c>
      <c r="D7576" s="8"/>
      <c r="E7576" s="6"/>
      <c r="F7576" s="6"/>
    </row>
    <row r="7577" spans="1:6" x14ac:dyDescent="0.3">
      <c r="A7577" s="8" t="s">
        <v>15112</v>
      </c>
      <c r="B7577" s="8" t="s">
        <v>61180</v>
      </c>
      <c r="C7577" s="8" t="s">
        <v>15113</v>
      </c>
      <c r="D7577" s="8"/>
      <c r="E7577" s="6"/>
      <c r="F7577" s="6"/>
    </row>
    <row r="7578" spans="1:6" x14ac:dyDescent="0.3">
      <c r="A7578" s="8" t="s">
        <v>15114</v>
      </c>
      <c r="B7578" s="8" t="s">
        <v>61181</v>
      </c>
      <c r="C7578" s="8" t="s">
        <v>15115</v>
      </c>
      <c r="D7578" s="8"/>
      <c r="E7578" s="6"/>
      <c r="F7578" s="6"/>
    </row>
    <row r="7579" spans="1:6" x14ac:dyDescent="0.3">
      <c r="A7579" s="8" t="s">
        <v>15116</v>
      </c>
      <c r="B7579" s="8" t="s">
        <v>61182</v>
      </c>
      <c r="C7579" s="8" t="s">
        <v>15117</v>
      </c>
      <c r="D7579" s="8"/>
      <c r="E7579" s="6"/>
      <c r="F7579" s="6"/>
    </row>
    <row r="7580" spans="1:6" x14ac:dyDescent="0.3">
      <c r="A7580" s="8" t="s">
        <v>15118</v>
      </c>
      <c r="B7580" s="8" t="s">
        <v>61183</v>
      </c>
      <c r="C7580" s="8" t="s">
        <v>15119</v>
      </c>
      <c r="D7580" s="8"/>
      <c r="E7580" s="6"/>
      <c r="F7580" s="6"/>
    </row>
    <row r="7581" spans="1:6" x14ac:dyDescent="0.3">
      <c r="A7581" s="8" t="s">
        <v>15120</v>
      </c>
      <c r="B7581" s="8" t="s">
        <v>61184</v>
      </c>
      <c r="C7581" s="8" t="s">
        <v>15121</v>
      </c>
      <c r="D7581" s="8"/>
      <c r="E7581" s="6"/>
      <c r="F7581" s="6"/>
    </row>
    <row r="7582" spans="1:6" x14ac:dyDescent="0.3">
      <c r="A7582" s="8" t="s">
        <v>15122</v>
      </c>
      <c r="B7582" s="8" t="s">
        <v>61185</v>
      </c>
      <c r="C7582" s="8" t="s">
        <v>15123</v>
      </c>
      <c r="D7582" s="8"/>
      <c r="E7582" s="6"/>
      <c r="F7582" s="6"/>
    </row>
    <row r="7583" spans="1:6" x14ac:dyDescent="0.3">
      <c r="A7583" s="8" t="s">
        <v>15124</v>
      </c>
      <c r="B7583" s="8" t="s">
        <v>61186</v>
      </c>
      <c r="C7583" s="8" t="s">
        <v>15125</v>
      </c>
      <c r="D7583" s="8"/>
      <c r="E7583" s="6"/>
      <c r="F7583" s="6"/>
    </row>
    <row r="7584" spans="1:6" x14ac:dyDescent="0.3">
      <c r="A7584" s="8" t="s">
        <v>15126</v>
      </c>
      <c r="B7584" s="8" t="s">
        <v>61187</v>
      </c>
      <c r="C7584" s="8" t="s">
        <v>15127</v>
      </c>
      <c r="D7584" s="8"/>
      <c r="E7584" s="6"/>
      <c r="F7584" s="6"/>
    </row>
    <row r="7585" spans="1:6" x14ac:dyDescent="0.3">
      <c r="A7585" s="8" t="s">
        <v>15128</v>
      </c>
      <c r="B7585" s="8" t="s">
        <v>61188</v>
      </c>
      <c r="C7585" s="8" t="s">
        <v>15129</v>
      </c>
      <c r="D7585" s="8"/>
      <c r="E7585" s="6"/>
      <c r="F7585" s="6"/>
    </row>
    <row r="7586" spans="1:6" x14ac:dyDescent="0.3">
      <c r="A7586" s="8" t="s">
        <v>15130</v>
      </c>
      <c r="B7586" s="8" t="s">
        <v>61189</v>
      </c>
      <c r="C7586" s="8" t="s">
        <v>15131</v>
      </c>
      <c r="D7586" s="8"/>
      <c r="E7586" s="6"/>
      <c r="F7586" s="6"/>
    </row>
    <row r="7587" spans="1:6" x14ac:dyDescent="0.3">
      <c r="A7587" s="8" t="s">
        <v>15132</v>
      </c>
      <c r="B7587" s="8" t="s">
        <v>61190</v>
      </c>
      <c r="C7587" s="8" t="s">
        <v>15133</v>
      </c>
      <c r="D7587" s="8"/>
      <c r="E7587" s="6"/>
      <c r="F7587" s="6"/>
    </row>
    <row r="7588" spans="1:6" x14ac:dyDescent="0.3">
      <c r="A7588" s="8" t="s">
        <v>15134</v>
      </c>
      <c r="B7588" s="8" t="s">
        <v>61191</v>
      </c>
      <c r="C7588" s="8" t="s">
        <v>15135</v>
      </c>
      <c r="D7588" s="8"/>
      <c r="E7588" s="6"/>
      <c r="F7588" s="6"/>
    </row>
    <row r="7589" spans="1:6" x14ac:dyDescent="0.3">
      <c r="A7589" s="8" t="s">
        <v>15136</v>
      </c>
      <c r="B7589" s="8" t="s">
        <v>61192</v>
      </c>
      <c r="C7589" s="8" t="s">
        <v>15137</v>
      </c>
      <c r="D7589" s="8"/>
      <c r="E7589" s="6"/>
      <c r="F7589" s="6"/>
    </row>
    <row r="7590" spans="1:6" x14ac:dyDescent="0.3">
      <c r="A7590" s="8" t="s">
        <v>15138</v>
      </c>
      <c r="B7590" s="8" t="s">
        <v>61193</v>
      </c>
      <c r="C7590" s="8" t="s">
        <v>15139</v>
      </c>
      <c r="D7590" s="8"/>
      <c r="E7590" s="6"/>
      <c r="F7590" s="6"/>
    </row>
    <row r="7591" spans="1:6" x14ac:dyDescent="0.3">
      <c r="A7591" s="8" t="s">
        <v>15140</v>
      </c>
      <c r="B7591" s="8" t="s">
        <v>61194</v>
      </c>
      <c r="C7591" s="8" t="s">
        <v>15141</v>
      </c>
      <c r="D7591" s="8"/>
      <c r="E7591" s="6"/>
      <c r="F7591" s="6"/>
    </row>
    <row r="7592" spans="1:6" x14ac:dyDescent="0.3">
      <c r="A7592" s="8" t="s">
        <v>15142</v>
      </c>
      <c r="B7592" s="8" t="s">
        <v>61195</v>
      </c>
      <c r="C7592" s="8" t="s">
        <v>15143</v>
      </c>
      <c r="D7592" s="8"/>
      <c r="E7592" s="6"/>
      <c r="F7592" s="6"/>
    </row>
    <row r="7593" spans="1:6" x14ac:dyDescent="0.3">
      <c r="A7593" s="8" t="s">
        <v>15144</v>
      </c>
      <c r="B7593" s="8" t="s">
        <v>61196</v>
      </c>
      <c r="C7593" s="8" t="s">
        <v>15145</v>
      </c>
      <c r="D7593" s="8"/>
      <c r="E7593" s="6"/>
      <c r="F7593" s="6"/>
    </row>
    <row r="7594" spans="1:6" x14ac:dyDescent="0.3">
      <c r="A7594" s="8" t="s">
        <v>15146</v>
      </c>
      <c r="B7594" s="8" t="s">
        <v>61197</v>
      </c>
      <c r="C7594" s="8" t="s">
        <v>15147</v>
      </c>
      <c r="D7594" s="8"/>
      <c r="E7594" s="6"/>
      <c r="F7594" s="6"/>
    </row>
    <row r="7595" spans="1:6" x14ac:dyDescent="0.3">
      <c r="A7595" s="8" t="s">
        <v>15148</v>
      </c>
      <c r="B7595" s="8" t="s">
        <v>61198</v>
      </c>
      <c r="C7595" s="8" t="s">
        <v>15149</v>
      </c>
      <c r="D7595" s="8"/>
      <c r="E7595" s="6"/>
      <c r="F7595" s="6"/>
    </row>
    <row r="7596" spans="1:6" x14ac:dyDescent="0.3">
      <c r="A7596" s="8" t="s">
        <v>15150</v>
      </c>
      <c r="B7596" s="8" t="s">
        <v>61199</v>
      </c>
      <c r="C7596" s="8" t="s">
        <v>15151</v>
      </c>
      <c r="D7596" s="8"/>
      <c r="E7596" s="6"/>
      <c r="F7596" s="6"/>
    </row>
    <row r="7597" spans="1:6" x14ac:dyDescent="0.3">
      <c r="A7597" s="8" t="s">
        <v>15152</v>
      </c>
      <c r="B7597" s="8" t="s">
        <v>61200</v>
      </c>
      <c r="C7597" s="8" t="s">
        <v>15153</v>
      </c>
      <c r="D7597" s="8"/>
      <c r="E7597" s="6"/>
      <c r="F7597" s="6"/>
    </row>
    <row r="7598" spans="1:6" x14ac:dyDescent="0.3">
      <c r="A7598" s="8" t="s">
        <v>15154</v>
      </c>
      <c r="B7598" s="8" t="s">
        <v>61201</v>
      </c>
      <c r="C7598" s="8" t="s">
        <v>15155</v>
      </c>
      <c r="D7598" s="8"/>
      <c r="E7598" s="6"/>
      <c r="F7598" s="6"/>
    </row>
    <row r="7599" spans="1:6" x14ac:dyDescent="0.3">
      <c r="A7599" s="8" t="s">
        <v>15156</v>
      </c>
      <c r="B7599" s="8" t="s">
        <v>61202</v>
      </c>
      <c r="C7599" s="8" t="s">
        <v>15157</v>
      </c>
      <c r="D7599" s="8"/>
      <c r="E7599" s="6"/>
      <c r="F7599" s="6"/>
    </row>
    <row r="7600" spans="1:6" x14ac:dyDescent="0.3">
      <c r="A7600" s="8" t="s">
        <v>15158</v>
      </c>
      <c r="B7600" s="8" t="s">
        <v>61203</v>
      </c>
      <c r="C7600" s="8" t="s">
        <v>15159</v>
      </c>
      <c r="D7600" s="8"/>
      <c r="E7600" s="6"/>
      <c r="F7600" s="6"/>
    </row>
    <row r="7601" spans="1:6" x14ac:dyDescent="0.3">
      <c r="A7601" s="8" t="s">
        <v>15160</v>
      </c>
      <c r="B7601" s="8" t="s">
        <v>61204</v>
      </c>
      <c r="C7601" s="8" t="s">
        <v>15161</v>
      </c>
      <c r="D7601" s="8"/>
      <c r="E7601" s="6"/>
      <c r="F7601" s="6"/>
    </row>
    <row r="7602" spans="1:6" x14ac:dyDescent="0.3">
      <c r="A7602" s="8" t="s">
        <v>15162</v>
      </c>
      <c r="B7602" s="8" t="s">
        <v>61205</v>
      </c>
      <c r="C7602" s="8" t="s">
        <v>15163</v>
      </c>
      <c r="D7602" s="8"/>
      <c r="E7602" s="6"/>
      <c r="F7602" s="6"/>
    </row>
    <row r="7603" spans="1:6" x14ac:dyDescent="0.3">
      <c r="A7603" s="8" t="s">
        <v>15164</v>
      </c>
      <c r="B7603" s="8" t="s">
        <v>61206</v>
      </c>
      <c r="C7603" s="8" t="s">
        <v>15165</v>
      </c>
      <c r="D7603" s="8"/>
      <c r="E7603" s="6"/>
      <c r="F7603" s="6"/>
    </row>
    <row r="7604" spans="1:6" x14ac:dyDescent="0.3">
      <c r="A7604" s="8" t="s">
        <v>15166</v>
      </c>
      <c r="B7604" s="8" t="s">
        <v>61207</v>
      </c>
      <c r="C7604" s="8" t="s">
        <v>15167</v>
      </c>
      <c r="D7604" s="8"/>
      <c r="E7604" s="6"/>
      <c r="F7604" s="6"/>
    </row>
    <row r="7605" spans="1:6" x14ac:dyDescent="0.3">
      <c r="A7605" s="8" t="s">
        <v>15168</v>
      </c>
      <c r="B7605" s="8" t="s">
        <v>61208</v>
      </c>
      <c r="C7605" s="8" t="s">
        <v>15169</v>
      </c>
      <c r="D7605" s="8"/>
      <c r="E7605" s="6"/>
      <c r="F7605" s="6"/>
    </row>
    <row r="7606" spans="1:6" x14ac:dyDescent="0.3">
      <c r="A7606" s="8" t="s">
        <v>15170</v>
      </c>
      <c r="B7606" s="8" t="s">
        <v>61209</v>
      </c>
      <c r="C7606" s="8" t="s">
        <v>15171</v>
      </c>
      <c r="D7606" s="8"/>
      <c r="E7606" s="6"/>
      <c r="F7606" s="6"/>
    </row>
    <row r="7607" spans="1:6" x14ac:dyDescent="0.3">
      <c r="A7607" s="8" t="s">
        <v>15172</v>
      </c>
      <c r="B7607" s="8" t="s">
        <v>61210</v>
      </c>
      <c r="C7607" s="8" t="s">
        <v>15173</v>
      </c>
      <c r="D7607" s="8"/>
      <c r="E7607" s="6"/>
      <c r="F7607" s="6"/>
    </row>
    <row r="7608" spans="1:6" x14ac:dyDescent="0.3">
      <c r="A7608" s="8" t="s">
        <v>15174</v>
      </c>
      <c r="B7608" s="8" t="s">
        <v>61211</v>
      </c>
      <c r="C7608" s="8" t="s">
        <v>15175</v>
      </c>
      <c r="D7608" s="8"/>
      <c r="E7608" s="6"/>
      <c r="F7608" s="6"/>
    </row>
    <row r="7609" spans="1:6" x14ac:dyDescent="0.3">
      <c r="A7609" s="8" t="s">
        <v>15176</v>
      </c>
      <c r="B7609" s="8" t="s">
        <v>61212</v>
      </c>
      <c r="C7609" s="8" t="s">
        <v>15177</v>
      </c>
      <c r="D7609" s="8"/>
      <c r="E7609" s="6"/>
      <c r="F7609" s="6"/>
    </row>
    <row r="7610" spans="1:6" x14ac:dyDescent="0.3">
      <c r="A7610" s="8" t="s">
        <v>15178</v>
      </c>
      <c r="B7610" s="8" t="s">
        <v>61213</v>
      </c>
      <c r="C7610" s="8" t="s">
        <v>15179</v>
      </c>
      <c r="D7610" s="8"/>
      <c r="E7610" s="6"/>
      <c r="F7610" s="6"/>
    </row>
    <row r="7611" spans="1:6" x14ac:dyDescent="0.3">
      <c r="A7611" s="8" t="s">
        <v>15180</v>
      </c>
      <c r="B7611" s="8" t="s">
        <v>61214</v>
      </c>
      <c r="C7611" s="8" t="s">
        <v>15181</v>
      </c>
      <c r="D7611" s="8"/>
      <c r="E7611" s="6"/>
      <c r="F7611" s="6"/>
    </row>
    <row r="7612" spans="1:6" x14ac:dyDescent="0.3">
      <c r="A7612" s="8" t="s">
        <v>15182</v>
      </c>
      <c r="B7612" s="8" t="s">
        <v>61215</v>
      </c>
      <c r="C7612" s="8" t="s">
        <v>15183</v>
      </c>
      <c r="D7612" s="8"/>
      <c r="E7612" s="6"/>
      <c r="F7612" s="6"/>
    </row>
    <row r="7613" spans="1:6" x14ac:dyDescent="0.3">
      <c r="A7613" s="8" t="s">
        <v>15184</v>
      </c>
      <c r="B7613" s="8" t="s">
        <v>61216</v>
      </c>
      <c r="C7613" s="8" t="s">
        <v>15185</v>
      </c>
      <c r="D7613" s="8"/>
      <c r="E7613" s="6"/>
      <c r="F7613" s="6"/>
    </row>
    <row r="7614" spans="1:6" x14ac:dyDescent="0.3">
      <c r="A7614" s="8" t="s">
        <v>15186</v>
      </c>
      <c r="B7614" s="8" t="s">
        <v>61217</v>
      </c>
      <c r="C7614" s="8" t="s">
        <v>15187</v>
      </c>
      <c r="D7614" s="8"/>
      <c r="E7614" s="6"/>
      <c r="F7614" s="6"/>
    </row>
    <row r="7615" spans="1:6" x14ac:dyDescent="0.3">
      <c r="A7615" s="8" t="s">
        <v>15188</v>
      </c>
      <c r="B7615" s="8" t="s">
        <v>61218</v>
      </c>
      <c r="C7615" s="8" t="s">
        <v>15189</v>
      </c>
      <c r="D7615" s="8"/>
      <c r="E7615" s="6"/>
      <c r="F7615" s="6"/>
    </row>
    <row r="7616" spans="1:6" x14ac:dyDescent="0.3">
      <c r="A7616" s="8" t="s">
        <v>15190</v>
      </c>
      <c r="B7616" s="8" t="s">
        <v>61219</v>
      </c>
      <c r="C7616" s="8" t="s">
        <v>15191</v>
      </c>
      <c r="D7616" s="8"/>
      <c r="E7616" s="6"/>
      <c r="F7616" s="6"/>
    </row>
    <row r="7617" spans="1:6" x14ac:dyDescent="0.3">
      <c r="A7617" s="8" t="s">
        <v>15192</v>
      </c>
      <c r="B7617" s="8" t="s">
        <v>61220</v>
      </c>
      <c r="C7617" s="8" t="s">
        <v>15193</v>
      </c>
      <c r="D7617" s="8"/>
      <c r="E7617" s="6"/>
      <c r="F7617" s="6"/>
    </row>
    <row r="7618" spans="1:6" x14ac:dyDescent="0.3">
      <c r="A7618" s="8" t="s">
        <v>15194</v>
      </c>
      <c r="B7618" s="8" t="s">
        <v>61221</v>
      </c>
      <c r="C7618" s="8" t="s">
        <v>15195</v>
      </c>
      <c r="D7618" s="8"/>
      <c r="E7618" s="6"/>
      <c r="F7618" s="6"/>
    </row>
    <row r="7619" spans="1:6" x14ac:dyDescent="0.3">
      <c r="A7619" s="8" t="s">
        <v>15196</v>
      </c>
      <c r="B7619" s="8" t="s">
        <v>61222</v>
      </c>
      <c r="C7619" s="8" t="s">
        <v>15197</v>
      </c>
      <c r="D7619" s="8"/>
      <c r="E7619" s="6"/>
      <c r="F7619" s="6"/>
    </row>
    <row r="7620" spans="1:6" x14ac:dyDescent="0.3">
      <c r="A7620" s="8" t="s">
        <v>15198</v>
      </c>
      <c r="B7620" s="8" t="s">
        <v>61223</v>
      </c>
      <c r="C7620" s="8" t="s">
        <v>15199</v>
      </c>
      <c r="D7620" s="8"/>
      <c r="E7620" s="6"/>
      <c r="F7620" s="6"/>
    </row>
    <row r="7621" spans="1:6" x14ac:dyDescent="0.3">
      <c r="A7621" s="8" t="s">
        <v>15200</v>
      </c>
      <c r="B7621" s="8" t="s">
        <v>61224</v>
      </c>
      <c r="C7621" s="8" t="s">
        <v>15201</v>
      </c>
      <c r="D7621" s="8"/>
      <c r="E7621" s="6"/>
      <c r="F7621" s="6"/>
    </row>
    <row r="7622" spans="1:6" x14ac:dyDescent="0.3">
      <c r="A7622" s="8" t="s">
        <v>15202</v>
      </c>
      <c r="B7622" s="8" t="s">
        <v>61225</v>
      </c>
      <c r="C7622" s="8" t="s">
        <v>15203</v>
      </c>
      <c r="D7622" s="8"/>
      <c r="E7622" s="6"/>
      <c r="F7622" s="6"/>
    </row>
    <row r="7623" spans="1:6" x14ac:dyDescent="0.3">
      <c r="A7623" s="8" t="s">
        <v>15204</v>
      </c>
      <c r="B7623" s="8" t="s">
        <v>61226</v>
      </c>
      <c r="C7623" s="8" t="s">
        <v>15205</v>
      </c>
      <c r="D7623" s="8"/>
      <c r="E7623" s="6"/>
      <c r="F7623" s="6"/>
    </row>
    <row r="7624" spans="1:6" x14ac:dyDescent="0.3">
      <c r="A7624" s="8" t="s">
        <v>15206</v>
      </c>
      <c r="B7624" s="8" t="s">
        <v>61227</v>
      </c>
      <c r="C7624" s="8" t="s">
        <v>15207</v>
      </c>
      <c r="D7624" s="8"/>
      <c r="E7624" s="6"/>
      <c r="F7624" s="6"/>
    </row>
    <row r="7625" spans="1:6" x14ac:dyDescent="0.3">
      <c r="A7625" s="8" t="s">
        <v>15208</v>
      </c>
      <c r="B7625" s="8" t="s">
        <v>61228</v>
      </c>
      <c r="C7625" s="8" t="s">
        <v>15209</v>
      </c>
      <c r="D7625" s="8"/>
      <c r="E7625" s="6"/>
      <c r="F7625" s="6"/>
    </row>
    <row r="7626" spans="1:6" x14ac:dyDescent="0.3">
      <c r="A7626" s="8" t="s">
        <v>15210</v>
      </c>
      <c r="B7626" s="8" t="s">
        <v>61229</v>
      </c>
      <c r="C7626" s="8" t="s">
        <v>15211</v>
      </c>
      <c r="D7626" s="8"/>
      <c r="E7626" s="6"/>
      <c r="F7626" s="6"/>
    </row>
    <row r="7627" spans="1:6" x14ac:dyDescent="0.3">
      <c r="A7627" s="8" t="s">
        <v>15212</v>
      </c>
      <c r="B7627" s="8" t="s">
        <v>61230</v>
      </c>
      <c r="C7627" s="8" t="s">
        <v>15213</v>
      </c>
      <c r="D7627" s="8"/>
      <c r="E7627" s="6"/>
      <c r="F7627" s="6"/>
    </row>
    <row r="7628" spans="1:6" x14ac:dyDescent="0.3">
      <c r="A7628" s="8" t="s">
        <v>15214</v>
      </c>
      <c r="B7628" s="8" t="s">
        <v>61231</v>
      </c>
      <c r="C7628" s="8" t="s">
        <v>15215</v>
      </c>
      <c r="D7628" s="8"/>
      <c r="E7628" s="6"/>
      <c r="F7628" s="6"/>
    </row>
    <row r="7629" spans="1:6" x14ac:dyDescent="0.3">
      <c r="A7629" s="8" t="s">
        <v>15216</v>
      </c>
      <c r="B7629" s="8" t="s">
        <v>61232</v>
      </c>
      <c r="C7629" s="8" t="s">
        <v>15217</v>
      </c>
      <c r="D7629" s="8"/>
      <c r="E7629" s="6"/>
      <c r="F7629" s="6"/>
    </row>
    <row r="7630" spans="1:6" x14ac:dyDescent="0.3">
      <c r="A7630" s="8" t="s">
        <v>15218</v>
      </c>
      <c r="B7630" s="8" t="s">
        <v>61233</v>
      </c>
      <c r="C7630" s="8" t="s">
        <v>15219</v>
      </c>
      <c r="D7630" s="8"/>
      <c r="E7630" s="6"/>
      <c r="F7630" s="6"/>
    </row>
    <row r="7631" spans="1:6" x14ac:dyDescent="0.3">
      <c r="A7631" s="8" t="s">
        <v>15220</v>
      </c>
      <c r="B7631" s="8" t="s">
        <v>61234</v>
      </c>
      <c r="C7631" s="8" t="s">
        <v>15221</v>
      </c>
      <c r="D7631" s="8"/>
      <c r="E7631" s="6"/>
      <c r="F7631" s="6"/>
    </row>
    <row r="7632" spans="1:6" x14ac:dyDescent="0.3">
      <c r="A7632" s="8" t="s">
        <v>15222</v>
      </c>
      <c r="B7632" s="8" t="s">
        <v>61235</v>
      </c>
      <c r="C7632" s="8" t="s">
        <v>15223</v>
      </c>
      <c r="D7632" s="8"/>
      <c r="E7632" s="6"/>
      <c r="F7632" s="6"/>
    </row>
    <row r="7633" spans="1:6" x14ac:dyDescent="0.3">
      <c r="A7633" s="8" t="s">
        <v>15224</v>
      </c>
      <c r="B7633" s="8" t="s">
        <v>61236</v>
      </c>
      <c r="C7633" s="8" t="s">
        <v>15225</v>
      </c>
      <c r="D7633" s="8"/>
      <c r="E7633" s="6"/>
      <c r="F7633" s="6"/>
    </row>
    <row r="7634" spans="1:6" x14ac:dyDescent="0.3">
      <c r="A7634" s="8" t="s">
        <v>15226</v>
      </c>
      <c r="B7634" s="8" t="s">
        <v>61237</v>
      </c>
      <c r="C7634" s="8" t="s">
        <v>15227</v>
      </c>
      <c r="D7634" s="8"/>
      <c r="E7634" s="6"/>
      <c r="F7634" s="6"/>
    </row>
    <row r="7635" spans="1:6" x14ac:dyDescent="0.3">
      <c r="A7635" s="8" t="s">
        <v>15228</v>
      </c>
      <c r="B7635" s="8" t="s">
        <v>61238</v>
      </c>
      <c r="C7635" s="8" t="s">
        <v>15229</v>
      </c>
      <c r="D7635" s="8"/>
      <c r="E7635" s="6"/>
      <c r="F7635" s="6"/>
    </row>
    <row r="7636" spans="1:6" x14ac:dyDescent="0.3">
      <c r="A7636" s="8" t="s">
        <v>15230</v>
      </c>
      <c r="B7636" s="8" t="s">
        <v>61239</v>
      </c>
      <c r="C7636" s="8" t="s">
        <v>15231</v>
      </c>
      <c r="D7636" s="8"/>
      <c r="E7636" s="6"/>
      <c r="F7636" s="6"/>
    </row>
    <row r="7637" spans="1:6" x14ac:dyDescent="0.3">
      <c r="A7637" s="8" t="s">
        <v>15232</v>
      </c>
      <c r="B7637" s="8" t="s">
        <v>61240</v>
      </c>
      <c r="C7637" s="8" t="s">
        <v>15233</v>
      </c>
      <c r="D7637" s="8"/>
      <c r="E7637" s="6"/>
      <c r="F7637" s="6"/>
    </row>
    <row r="7638" spans="1:6" x14ac:dyDescent="0.3">
      <c r="A7638" s="8" t="s">
        <v>15234</v>
      </c>
      <c r="B7638" s="8" t="s">
        <v>61241</v>
      </c>
      <c r="C7638" s="8" t="s">
        <v>15235</v>
      </c>
      <c r="D7638" s="8"/>
      <c r="E7638" s="6"/>
      <c r="F7638" s="6"/>
    </row>
    <row r="7639" spans="1:6" x14ac:dyDescent="0.3">
      <c r="A7639" s="8" t="s">
        <v>15236</v>
      </c>
      <c r="B7639" s="8" t="s">
        <v>61242</v>
      </c>
      <c r="C7639" s="8" t="s">
        <v>15237</v>
      </c>
      <c r="D7639" s="8"/>
      <c r="E7639" s="6"/>
      <c r="F7639" s="6"/>
    </row>
    <row r="7640" spans="1:6" x14ac:dyDescent="0.3">
      <c r="A7640" s="8" t="s">
        <v>15238</v>
      </c>
      <c r="B7640" s="8" t="s">
        <v>61243</v>
      </c>
      <c r="C7640" s="8" t="s">
        <v>15239</v>
      </c>
      <c r="D7640" s="8"/>
      <c r="E7640" s="6"/>
      <c r="F7640" s="6"/>
    </row>
    <row r="7641" spans="1:6" x14ac:dyDescent="0.3">
      <c r="A7641" s="8" t="s">
        <v>15240</v>
      </c>
      <c r="B7641" s="8" t="s">
        <v>61244</v>
      </c>
      <c r="C7641" s="8" t="s">
        <v>15241</v>
      </c>
      <c r="D7641" s="8"/>
      <c r="E7641" s="6"/>
      <c r="F7641" s="6"/>
    </row>
    <row r="7642" spans="1:6" x14ac:dyDescent="0.3">
      <c r="A7642" s="8" t="s">
        <v>15242</v>
      </c>
      <c r="B7642" s="8" t="s">
        <v>61245</v>
      </c>
      <c r="C7642" s="8" t="s">
        <v>15243</v>
      </c>
      <c r="D7642" s="8"/>
      <c r="E7642" s="6"/>
      <c r="F7642" s="6"/>
    </row>
    <row r="7643" spans="1:6" x14ac:dyDescent="0.3">
      <c r="A7643" s="8" t="s">
        <v>15244</v>
      </c>
      <c r="B7643" s="8" t="s">
        <v>61246</v>
      </c>
      <c r="C7643" s="8" t="s">
        <v>15245</v>
      </c>
      <c r="D7643" s="8"/>
      <c r="E7643" s="6"/>
      <c r="F7643" s="6"/>
    </row>
    <row r="7644" spans="1:6" x14ac:dyDescent="0.3">
      <c r="A7644" s="8" t="s">
        <v>15246</v>
      </c>
      <c r="B7644" s="8" t="s">
        <v>61247</v>
      </c>
      <c r="C7644" s="8" t="s">
        <v>15247</v>
      </c>
      <c r="D7644" s="8"/>
      <c r="E7644" s="6"/>
      <c r="F7644" s="6"/>
    </row>
    <row r="7645" spans="1:6" x14ac:dyDescent="0.3">
      <c r="A7645" s="8" t="s">
        <v>15248</v>
      </c>
      <c r="B7645" s="8" t="s">
        <v>61248</v>
      </c>
      <c r="C7645" s="8" t="s">
        <v>15249</v>
      </c>
      <c r="D7645" s="8"/>
      <c r="E7645" s="6"/>
      <c r="F7645" s="6"/>
    </row>
    <row r="7646" spans="1:6" x14ac:dyDescent="0.3">
      <c r="A7646" s="8" t="s">
        <v>15250</v>
      </c>
      <c r="B7646" s="8" t="s">
        <v>61249</v>
      </c>
      <c r="C7646" s="8" t="s">
        <v>15251</v>
      </c>
      <c r="D7646" s="8"/>
      <c r="E7646" s="6"/>
      <c r="F7646" s="6"/>
    </row>
    <row r="7647" spans="1:6" x14ac:dyDescent="0.3">
      <c r="A7647" s="8" t="s">
        <v>15252</v>
      </c>
      <c r="B7647" s="8" t="s">
        <v>61250</v>
      </c>
      <c r="C7647" s="8" t="s">
        <v>15253</v>
      </c>
      <c r="D7647" s="8"/>
      <c r="E7647" s="6"/>
      <c r="F7647" s="6"/>
    </row>
    <row r="7648" spans="1:6" x14ac:dyDescent="0.3">
      <c r="A7648" s="8" t="s">
        <v>15254</v>
      </c>
      <c r="B7648" s="8" t="s">
        <v>61251</v>
      </c>
      <c r="C7648" s="8" t="s">
        <v>15255</v>
      </c>
      <c r="D7648" s="8"/>
      <c r="E7648" s="6"/>
      <c r="F7648" s="6"/>
    </row>
    <row r="7649" spans="1:6" x14ac:dyDescent="0.3">
      <c r="A7649" s="8" t="s">
        <v>15256</v>
      </c>
      <c r="B7649" s="8" t="s">
        <v>61252</v>
      </c>
      <c r="C7649" s="8" t="s">
        <v>15257</v>
      </c>
      <c r="D7649" s="8"/>
      <c r="E7649" s="6"/>
      <c r="F7649" s="6"/>
    </row>
    <row r="7650" spans="1:6" x14ac:dyDescent="0.3">
      <c r="A7650" s="8" t="s">
        <v>15258</v>
      </c>
      <c r="B7650" s="8" t="s">
        <v>61253</v>
      </c>
      <c r="C7650" s="8" t="s">
        <v>15259</v>
      </c>
      <c r="D7650" s="8"/>
      <c r="E7650" s="6"/>
      <c r="F7650" s="6"/>
    </row>
    <row r="7651" spans="1:6" x14ac:dyDescent="0.3">
      <c r="A7651" s="8" t="s">
        <v>15260</v>
      </c>
      <c r="B7651" s="8" t="s">
        <v>61254</v>
      </c>
      <c r="C7651" s="8" t="s">
        <v>15261</v>
      </c>
      <c r="D7651" s="8"/>
      <c r="E7651" s="6"/>
      <c r="F7651" s="6"/>
    </row>
    <row r="7652" spans="1:6" x14ac:dyDescent="0.3">
      <c r="A7652" s="8" t="s">
        <v>15262</v>
      </c>
      <c r="B7652" s="8" t="s">
        <v>61255</v>
      </c>
      <c r="C7652" s="8" t="s">
        <v>15263</v>
      </c>
      <c r="D7652" s="8"/>
      <c r="E7652" s="6"/>
      <c r="F7652" s="6"/>
    </row>
    <row r="7653" spans="1:6" x14ac:dyDescent="0.3">
      <c r="A7653" s="8" t="s">
        <v>15264</v>
      </c>
      <c r="B7653" s="8" t="s">
        <v>61256</v>
      </c>
      <c r="C7653" s="8" t="s">
        <v>15265</v>
      </c>
      <c r="D7653" s="8"/>
      <c r="E7653" s="6"/>
      <c r="F7653" s="6"/>
    </row>
    <row r="7654" spans="1:6" x14ac:dyDescent="0.3">
      <c r="A7654" s="8" t="s">
        <v>15266</v>
      </c>
      <c r="B7654" s="8" t="s">
        <v>61257</v>
      </c>
      <c r="C7654" s="8" t="s">
        <v>15267</v>
      </c>
      <c r="D7654" s="8"/>
      <c r="E7654" s="6"/>
      <c r="F7654" s="6"/>
    </row>
    <row r="7655" spans="1:6" x14ac:dyDescent="0.3">
      <c r="A7655" s="8" t="s">
        <v>15268</v>
      </c>
      <c r="B7655" s="8" t="s">
        <v>61258</v>
      </c>
      <c r="C7655" s="8" t="s">
        <v>15269</v>
      </c>
      <c r="D7655" s="8"/>
      <c r="E7655" s="6"/>
      <c r="F7655" s="6"/>
    </row>
    <row r="7656" spans="1:6" x14ac:dyDescent="0.3">
      <c r="A7656" s="8" t="s">
        <v>15270</v>
      </c>
      <c r="B7656" s="8" t="s">
        <v>61259</v>
      </c>
      <c r="C7656" s="8" t="s">
        <v>15271</v>
      </c>
      <c r="D7656" s="8"/>
      <c r="E7656" s="6"/>
      <c r="F7656" s="6"/>
    </row>
    <row r="7657" spans="1:6" x14ac:dyDescent="0.3">
      <c r="A7657" s="8" t="s">
        <v>15272</v>
      </c>
      <c r="B7657" s="8" t="s">
        <v>61260</v>
      </c>
      <c r="C7657" s="8" t="s">
        <v>15273</v>
      </c>
      <c r="D7657" s="8"/>
      <c r="E7657" s="6"/>
      <c r="F7657" s="6"/>
    </row>
    <row r="7658" spans="1:6" x14ac:dyDescent="0.3">
      <c r="A7658" s="8" t="s">
        <v>15274</v>
      </c>
      <c r="B7658" s="8" t="s">
        <v>61261</v>
      </c>
      <c r="C7658" s="8" t="s">
        <v>15275</v>
      </c>
      <c r="D7658" s="8"/>
      <c r="E7658" s="6"/>
      <c r="F7658" s="6"/>
    </row>
    <row r="7659" spans="1:6" x14ac:dyDescent="0.3">
      <c r="A7659" s="8" t="s">
        <v>15276</v>
      </c>
      <c r="B7659" s="8" t="s">
        <v>61262</v>
      </c>
      <c r="C7659" s="8" t="s">
        <v>15277</v>
      </c>
      <c r="D7659" s="8"/>
      <c r="E7659" s="6"/>
      <c r="F7659" s="6"/>
    </row>
    <row r="7660" spans="1:6" x14ac:dyDescent="0.3">
      <c r="A7660" s="8" t="s">
        <v>15278</v>
      </c>
      <c r="B7660" s="8" t="s">
        <v>61263</v>
      </c>
      <c r="C7660" s="8" t="s">
        <v>15279</v>
      </c>
      <c r="D7660" s="8"/>
      <c r="E7660" s="6"/>
      <c r="F7660" s="6"/>
    </row>
    <row r="7661" spans="1:6" x14ac:dyDescent="0.3">
      <c r="A7661" s="8" t="s">
        <v>15280</v>
      </c>
      <c r="B7661" s="8" t="s">
        <v>61264</v>
      </c>
      <c r="C7661" s="8" t="s">
        <v>15281</v>
      </c>
      <c r="D7661" s="8"/>
      <c r="E7661" s="6"/>
      <c r="F7661" s="6"/>
    </row>
    <row r="7662" spans="1:6" x14ac:dyDescent="0.3">
      <c r="A7662" s="8" t="s">
        <v>15282</v>
      </c>
      <c r="B7662" s="8" t="s">
        <v>61265</v>
      </c>
      <c r="C7662" s="8" t="s">
        <v>15283</v>
      </c>
      <c r="D7662" s="8"/>
      <c r="E7662" s="6"/>
      <c r="F7662" s="6"/>
    </row>
    <row r="7663" spans="1:6" x14ac:dyDescent="0.3">
      <c r="A7663" s="8" t="s">
        <v>15284</v>
      </c>
      <c r="B7663" s="8" t="s">
        <v>61266</v>
      </c>
      <c r="C7663" s="8" t="s">
        <v>15285</v>
      </c>
      <c r="D7663" s="8"/>
      <c r="E7663" s="6"/>
      <c r="F7663" s="6"/>
    </row>
    <row r="7664" spans="1:6" x14ac:dyDescent="0.3">
      <c r="A7664" s="8" t="s">
        <v>15286</v>
      </c>
      <c r="B7664" s="8" t="s">
        <v>61267</v>
      </c>
      <c r="C7664" s="8" t="s">
        <v>15287</v>
      </c>
      <c r="D7664" s="8"/>
      <c r="E7664" s="6"/>
      <c r="F7664" s="6"/>
    </row>
    <row r="7665" spans="1:6" x14ac:dyDescent="0.3">
      <c r="A7665" s="8" t="s">
        <v>15288</v>
      </c>
      <c r="B7665" s="8" t="s">
        <v>61268</v>
      </c>
      <c r="C7665" s="8" t="s">
        <v>15289</v>
      </c>
      <c r="D7665" s="8"/>
      <c r="E7665" s="6"/>
      <c r="F7665" s="6"/>
    </row>
    <row r="7666" spans="1:6" x14ac:dyDescent="0.3">
      <c r="A7666" s="8" t="s">
        <v>15290</v>
      </c>
      <c r="B7666" s="8" t="s">
        <v>61269</v>
      </c>
      <c r="C7666" s="8" t="s">
        <v>15291</v>
      </c>
      <c r="D7666" s="8"/>
      <c r="E7666" s="6"/>
      <c r="F7666" s="6"/>
    </row>
    <row r="7667" spans="1:6" x14ac:dyDescent="0.3">
      <c r="A7667" s="8" t="s">
        <v>15292</v>
      </c>
      <c r="B7667" s="8" t="s">
        <v>61270</v>
      </c>
      <c r="C7667" s="8" t="s">
        <v>15293</v>
      </c>
      <c r="D7667" s="8"/>
      <c r="E7667" s="6"/>
      <c r="F7667" s="6"/>
    </row>
    <row r="7668" spans="1:6" x14ac:dyDescent="0.3">
      <c r="A7668" s="8" t="s">
        <v>15294</v>
      </c>
      <c r="B7668" s="8" t="s">
        <v>61271</v>
      </c>
      <c r="C7668" s="8" t="s">
        <v>15295</v>
      </c>
      <c r="D7668" s="8"/>
      <c r="E7668" s="6"/>
      <c r="F7668" s="6"/>
    </row>
    <row r="7669" spans="1:6" x14ac:dyDescent="0.3">
      <c r="A7669" s="8" t="s">
        <v>15296</v>
      </c>
      <c r="B7669" s="8" t="s">
        <v>61272</v>
      </c>
      <c r="C7669" s="8" t="s">
        <v>15297</v>
      </c>
      <c r="D7669" s="8"/>
      <c r="E7669" s="6"/>
      <c r="F7669" s="6"/>
    </row>
    <row r="7670" spans="1:6" x14ac:dyDescent="0.3">
      <c r="A7670" s="8" t="s">
        <v>15298</v>
      </c>
      <c r="B7670" s="8" t="s">
        <v>61273</v>
      </c>
      <c r="C7670" s="8" t="s">
        <v>15299</v>
      </c>
      <c r="D7670" s="8"/>
      <c r="E7670" s="6"/>
      <c r="F7670" s="6"/>
    </row>
    <row r="7671" spans="1:6" x14ac:dyDescent="0.3">
      <c r="A7671" s="8" t="s">
        <v>15300</v>
      </c>
      <c r="B7671" s="8" t="s">
        <v>61274</v>
      </c>
      <c r="C7671" s="8" t="s">
        <v>15301</v>
      </c>
      <c r="D7671" s="8"/>
      <c r="E7671" s="6"/>
      <c r="F7671" s="6"/>
    </row>
    <row r="7672" spans="1:6" x14ac:dyDescent="0.3">
      <c r="A7672" s="8" t="s">
        <v>15302</v>
      </c>
      <c r="B7672" s="8" t="s">
        <v>61275</v>
      </c>
      <c r="C7672" s="8" t="s">
        <v>15303</v>
      </c>
      <c r="D7672" s="8"/>
      <c r="E7672" s="6"/>
      <c r="F7672" s="6"/>
    </row>
    <row r="7673" spans="1:6" x14ac:dyDescent="0.3">
      <c r="A7673" s="8" t="s">
        <v>15304</v>
      </c>
      <c r="B7673" s="8" t="s">
        <v>61276</v>
      </c>
      <c r="C7673" s="8" t="s">
        <v>15305</v>
      </c>
      <c r="D7673" s="8"/>
      <c r="E7673" s="6"/>
      <c r="F7673" s="6"/>
    </row>
    <row r="7674" spans="1:6" x14ac:dyDescent="0.3">
      <c r="A7674" s="8" t="s">
        <v>15306</v>
      </c>
      <c r="B7674" s="8" t="s">
        <v>61277</v>
      </c>
      <c r="C7674" s="8" t="s">
        <v>15307</v>
      </c>
      <c r="D7674" s="8"/>
      <c r="E7674" s="6"/>
      <c r="F7674" s="6"/>
    </row>
    <row r="7675" spans="1:6" x14ac:dyDescent="0.3">
      <c r="A7675" s="8" t="s">
        <v>15308</v>
      </c>
      <c r="B7675" s="8" t="s">
        <v>61278</v>
      </c>
      <c r="C7675" s="8" t="s">
        <v>15309</v>
      </c>
      <c r="D7675" s="8"/>
      <c r="E7675" s="6"/>
      <c r="F7675" s="6"/>
    </row>
    <row r="7676" spans="1:6" x14ac:dyDescent="0.3">
      <c r="A7676" s="8" t="s">
        <v>15310</v>
      </c>
      <c r="B7676" s="8" t="s">
        <v>61279</v>
      </c>
      <c r="C7676" s="8" t="s">
        <v>15311</v>
      </c>
      <c r="D7676" s="8"/>
      <c r="E7676" s="6"/>
      <c r="F7676" s="6"/>
    </row>
    <row r="7677" spans="1:6" x14ac:dyDescent="0.3">
      <c r="A7677" s="8" t="s">
        <v>15312</v>
      </c>
      <c r="B7677" s="8" t="s">
        <v>61280</v>
      </c>
      <c r="C7677" s="8" t="s">
        <v>15313</v>
      </c>
      <c r="D7677" s="8"/>
      <c r="E7677" s="6"/>
      <c r="F7677" s="6"/>
    </row>
    <row r="7678" spans="1:6" x14ac:dyDescent="0.3">
      <c r="A7678" s="8" t="s">
        <v>15314</v>
      </c>
      <c r="B7678" s="8" t="s">
        <v>61281</v>
      </c>
      <c r="C7678" s="8" t="s">
        <v>15315</v>
      </c>
      <c r="D7678" s="8"/>
      <c r="E7678" s="6"/>
      <c r="F7678" s="6"/>
    </row>
    <row r="7679" spans="1:6" x14ac:dyDescent="0.3">
      <c r="A7679" s="8" t="s">
        <v>15316</v>
      </c>
      <c r="B7679" s="8" t="s">
        <v>61282</v>
      </c>
      <c r="C7679" s="8" t="s">
        <v>15317</v>
      </c>
      <c r="D7679" s="8"/>
      <c r="E7679" s="6"/>
      <c r="F7679" s="6"/>
    </row>
    <row r="7680" spans="1:6" x14ac:dyDescent="0.3">
      <c r="A7680" s="8" t="s">
        <v>15318</v>
      </c>
      <c r="B7680" s="8" t="s">
        <v>61283</v>
      </c>
      <c r="C7680" s="8" t="s">
        <v>15319</v>
      </c>
      <c r="D7680" s="8"/>
      <c r="E7680" s="6"/>
      <c r="F7680" s="6"/>
    </row>
    <row r="7681" spans="1:6" x14ac:dyDescent="0.3">
      <c r="A7681" s="8" t="s">
        <v>15320</v>
      </c>
      <c r="B7681" s="8" t="s">
        <v>61284</v>
      </c>
      <c r="C7681" s="8" t="s">
        <v>15321</v>
      </c>
      <c r="D7681" s="8"/>
      <c r="E7681" s="6"/>
      <c r="F7681" s="6"/>
    </row>
    <row r="7682" spans="1:6" x14ac:dyDescent="0.3">
      <c r="A7682" s="8" t="s">
        <v>15322</v>
      </c>
      <c r="B7682" s="8" t="s">
        <v>61285</v>
      </c>
      <c r="C7682" s="8" t="s">
        <v>15323</v>
      </c>
      <c r="D7682" s="8"/>
      <c r="E7682" s="6"/>
      <c r="F7682" s="6"/>
    </row>
    <row r="7683" spans="1:6" x14ac:dyDescent="0.3">
      <c r="A7683" s="8" t="s">
        <v>15324</v>
      </c>
      <c r="B7683" s="8" t="s">
        <v>61286</v>
      </c>
      <c r="C7683" s="8" t="s">
        <v>15325</v>
      </c>
      <c r="D7683" s="8"/>
      <c r="E7683" s="6"/>
      <c r="F7683" s="6"/>
    </row>
    <row r="7684" spans="1:6" x14ac:dyDescent="0.3">
      <c r="A7684" s="8" t="s">
        <v>15326</v>
      </c>
      <c r="B7684" s="8" t="s">
        <v>61287</v>
      </c>
      <c r="C7684" s="8" t="s">
        <v>15327</v>
      </c>
      <c r="D7684" s="8"/>
      <c r="E7684" s="6"/>
      <c r="F7684" s="6"/>
    </row>
    <row r="7685" spans="1:6" x14ac:dyDescent="0.3">
      <c r="A7685" s="8" t="s">
        <v>15328</v>
      </c>
      <c r="B7685" s="8" t="s">
        <v>61288</v>
      </c>
      <c r="C7685" s="8" t="s">
        <v>15329</v>
      </c>
      <c r="D7685" s="8"/>
      <c r="E7685" s="6"/>
      <c r="F7685" s="6"/>
    </row>
    <row r="7686" spans="1:6" x14ac:dyDescent="0.3">
      <c r="A7686" s="8" t="s">
        <v>15330</v>
      </c>
      <c r="B7686" s="8" t="s">
        <v>61289</v>
      </c>
      <c r="C7686" s="8" t="s">
        <v>15331</v>
      </c>
      <c r="D7686" s="8"/>
      <c r="E7686" s="6"/>
      <c r="F7686" s="6"/>
    </row>
    <row r="7687" spans="1:6" x14ac:dyDescent="0.3">
      <c r="A7687" s="8" t="s">
        <v>15332</v>
      </c>
      <c r="B7687" s="8" t="s">
        <v>61290</v>
      </c>
      <c r="C7687" s="8" t="s">
        <v>15333</v>
      </c>
      <c r="D7687" s="8"/>
      <c r="E7687" s="6"/>
      <c r="F7687" s="6"/>
    </row>
    <row r="7688" spans="1:6" x14ac:dyDescent="0.3">
      <c r="A7688" s="8" t="s">
        <v>15334</v>
      </c>
      <c r="B7688" s="8" t="s">
        <v>61291</v>
      </c>
      <c r="C7688" s="8" t="s">
        <v>15335</v>
      </c>
      <c r="D7688" s="8"/>
      <c r="E7688" s="6"/>
      <c r="F7688" s="6"/>
    </row>
    <row r="7689" spans="1:6" x14ac:dyDescent="0.3">
      <c r="A7689" s="8" t="s">
        <v>15336</v>
      </c>
      <c r="B7689" s="8" t="s">
        <v>61292</v>
      </c>
      <c r="C7689" s="8" t="s">
        <v>15337</v>
      </c>
      <c r="D7689" s="8"/>
      <c r="E7689" s="6"/>
      <c r="F7689" s="6"/>
    </row>
    <row r="7690" spans="1:6" x14ac:dyDescent="0.3">
      <c r="A7690" s="8" t="s">
        <v>15338</v>
      </c>
      <c r="B7690" s="8" t="s">
        <v>61293</v>
      </c>
      <c r="C7690" s="8" t="s">
        <v>15339</v>
      </c>
      <c r="D7690" s="8"/>
      <c r="E7690" s="6"/>
      <c r="F7690" s="6"/>
    </row>
    <row r="7691" spans="1:6" x14ac:dyDescent="0.3">
      <c r="A7691" s="8" t="s">
        <v>15340</v>
      </c>
      <c r="B7691" s="8" t="s">
        <v>61294</v>
      </c>
      <c r="C7691" s="8" t="s">
        <v>15341</v>
      </c>
      <c r="D7691" s="8"/>
      <c r="E7691" s="6"/>
      <c r="F7691" s="6"/>
    </row>
    <row r="7692" spans="1:6" x14ac:dyDescent="0.3">
      <c r="A7692" s="8" t="s">
        <v>15342</v>
      </c>
      <c r="B7692" s="8" t="s">
        <v>61295</v>
      </c>
      <c r="C7692" s="8" t="s">
        <v>15343</v>
      </c>
      <c r="D7692" s="8"/>
      <c r="E7692" s="6"/>
      <c r="F7692" s="6"/>
    </row>
    <row r="7693" spans="1:6" x14ac:dyDescent="0.3">
      <c r="A7693" s="8" t="s">
        <v>15344</v>
      </c>
      <c r="B7693" s="8" t="s">
        <v>61296</v>
      </c>
      <c r="C7693" s="8" t="s">
        <v>15345</v>
      </c>
      <c r="D7693" s="8"/>
      <c r="E7693" s="6"/>
      <c r="F7693" s="6"/>
    </row>
    <row r="7694" spans="1:6" x14ac:dyDescent="0.3">
      <c r="A7694" s="8" t="s">
        <v>15346</v>
      </c>
      <c r="B7694" s="8" t="s">
        <v>61297</v>
      </c>
      <c r="C7694" s="8" t="s">
        <v>15347</v>
      </c>
      <c r="D7694" s="8"/>
      <c r="E7694" s="6"/>
      <c r="F7694" s="6"/>
    </row>
    <row r="7695" spans="1:6" x14ac:dyDescent="0.3">
      <c r="A7695" s="8" t="s">
        <v>15348</v>
      </c>
      <c r="B7695" s="8" t="s">
        <v>61298</v>
      </c>
      <c r="C7695" s="8" t="s">
        <v>15349</v>
      </c>
      <c r="D7695" s="8"/>
      <c r="E7695" s="6"/>
      <c r="F7695" s="6"/>
    </row>
    <row r="7696" spans="1:6" x14ac:dyDescent="0.3">
      <c r="A7696" s="8" t="s">
        <v>15350</v>
      </c>
      <c r="B7696" s="8" t="s">
        <v>61299</v>
      </c>
      <c r="C7696" s="8" t="s">
        <v>15351</v>
      </c>
      <c r="D7696" s="8"/>
      <c r="E7696" s="6"/>
      <c r="F7696" s="6"/>
    </row>
    <row r="7697" spans="1:6" x14ac:dyDescent="0.3">
      <c r="A7697" s="8" t="s">
        <v>15352</v>
      </c>
      <c r="B7697" s="8" t="s">
        <v>61300</v>
      </c>
      <c r="C7697" s="8" t="s">
        <v>15353</v>
      </c>
      <c r="D7697" s="8"/>
      <c r="E7697" s="6"/>
      <c r="F7697" s="6"/>
    </row>
    <row r="7698" spans="1:6" x14ac:dyDescent="0.3">
      <c r="A7698" s="8" t="s">
        <v>15354</v>
      </c>
      <c r="B7698" s="8" t="s">
        <v>61301</v>
      </c>
      <c r="C7698" s="8" t="s">
        <v>15355</v>
      </c>
      <c r="D7698" s="8"/>
      <c r="E7698" s="6"/>
      <c r="F7698" s="6"/>
    </row>
    <row r="7699" spans="1:6" x14ac:dyDescent="0.3">
      <c r="A7699" s="8" t="s">
        <v>15356</v>
      </c>
      <c r="B7699" s="8" t="s">
        <v>61302</v>
      </c>
      <c r="C7699" s="8" t="s">
        <v>15357</v>
      </c>
      <c r="D7699" s="8"/>
      <c r="E7699" s="6"/>
      <c r="F7699" s="6"/>
    </row>
    <row r="7700" spans="1:6" x14ac:dyDescent="0.3">
      <c r="A7700" s="8" t="s">
        <v>15358</v>
      </c>
      <c r="B7700" s="8" t="s">
        <v>61303</v>
      </c>
      <c r="C7700" s="8" t="s">
        <v>15359</v>
      </c>
      <c r="D7700" s="8"/>
      <c r="E7700" s="6"/>
      <c r="F7700" s="6"/>
    </row>
    <row r="7701" spans="1:6" x14ac:dyDescent="0.3">
      <c r="A7701" s="8" t="s">
        <v>15360</v>
      </c>
      <c r="B7701" s="8" t="s">
        <v>61304</v>
      </c>
      <c r="C7701" s="8" t="s">
        <v>15361</v>
      </c>
      <c r="D7701" s="8"/>
      <c r="E7701" s="6"/>
      <c r="F7701" s="6"/>
    </row>
    <row r="7702" spans="1:6" x14ac:dyDescent="0.3">
      <c r="A7702" s="8" t="s">
        <v>15362</v>
      </c>
      <c r="B7702" s="8" t="s">
        <v>61305</v>
      </c>
      <c r="C7702" s="8" t="s">
        <v>15363</v>
      </c>
      <c r="D7702" s="8"/>
      <c r="E7702" s="6"/>
      <c r="F7702" s="6"/>
    </row>
    <row r="7703" spans="1:6" x14ac:dyDescent="0.3">
      <c r="A7703" s="8" t="s">
        <v>15364</v>
      </c>
      <c r="B7703" s="8" t="s">
        <v>61306</v>
      </c>
      <c r="C7703" s="8" t="s">
        <v>15365</v>
      </c>
      <c r="D7703" s="8"/>
      <c r="E7703" s="6"/>
      <c r="F7703" s="6"/>
    </row>
    <row r="7704" spans="1:6" x14ac:dyDescent="0.3">
      <c r="A7704" s="8" t="s">
        <v>15366</v>
      </c>
      <c r="B7704" s="8" t="s">
        <v>61307</v>
      </c>
      <c r="C7704" s="8" t="s">
        <v>15367</v>
      </c>
      <c r="D7704" s="8"/>
      <c r="E7704" s="6"/>
      <c r="F7704" s="6"/>
    </row>
    <row r="7705" spans="1:6" x14ac:dyDescent="0.3">
      <c r="A7705" s="8" t="s">
        <v>15368</v>
      </c>
      <c r="B7705" s="8" t="s">
        <v>61308</v>
      </c>
      <c r="C7705" s="8" t="s">
        <v>15369</v>
      </c>
      <c r="D7705" s="8"/>
      <c r="E7705" s="6"/>
      <c r="F7705" s="6"/>
    </row>
    <row r="7706" spans="1:6" x14ac:dyDescent="0.3">
      <c r="A7706" s="8" t="s">
        <v>15370</v>
      </c>
      <c r="B7706" s="8" t="s">
        <v>61309</v>
      </c>
      <c r="C7706" s="8" t="s">
        <v>15371</v>
      </c>
      <c r="D7706" s="8"/>
      <c r="E7706" s="6"/>
      <c r="F7706" s="6"/>
    </row>
    <row r="7707" spans="1:6" x14ac:dyDescent="0.3">
      <c r="A7707" s="8" t="s">
        <v>15372</v>
      </c>
      <c r="B7707" s="8" t="s">
        <v>61310</v>
      </c>
      <c r="C7707" s="8" t="s">
        <v>15373</v>
      </c>
      <c r="D7707" s="8"/>
      <c r="E7707" s="6"/>
      <c r="F7707" s="6"/>
    </row>
    <row r="7708" spans="1:6" x14ac:dyDescent="0.3">
      <c r="A7708" s="8" t="s">
        <v>15374</v>
      </c>
      <c r="B7708" s="8" t="s">
        <v>61311</v>
      </c>
      <c r="C7708" s="8" t="s">
        <v>15375</v>
      </c>
      <c r="D7708" s="8"/>
      <c r="E7708" s="6"/>
      <c r="F7708" s="6"/>
    </row>
    <row r="7709" spans="1:6" x14ac:dyDescent="0.3">
      <c r="A7709" s="8" t="s">
        <v>15376</v>
      </c>
      <c r="B7709" s="8" t="s">
        <v>61312</v>
      </c>
      <c r="C7709" s="8" t="s">
        <v>15377</v>
      </c>
      <c r="D7709" s="8"/>
      <c r="E7709" s="6"/>
      <c r="F7709" s="6"/>
    </row>
    <row r="7710" spans="1:6" x14ac:dyDescent="0.3">
      <c r="A7710" s="8" t="s">
        <v>15378</v>
      </c>
      <c r="B7710" s="8" t="s">
        <v>61313</v>
      </c>
      <c r="C7710" s="8" t="s">
        <v>15379</v>
      </c>
      <c r="D7710" s="8"/>
      <c r="E7710" s="6"/>
      <c r="F7710" s="6"/>
    </row>
    <row r="7711" spans="1:6" x14ac:dyDescent="0.3">
      <c r="A7711" s="8" t="s">
        <v>15380</v>
      </c>
      <c r="B7711" s="8" t="s">
        <v>61314</v>
      </c>
      <c r="C7711" s="8" t="s">
        <v>15381</v>
      </c>
      <c r="D7711" s="8"/>
      <c r="E7711" s="6"/>
      <c r="F7711" s="6"/>
    </row>
    <row r="7712" spans="1:6" x14ac:dyDescent="0.3">
      <c r="A7712" s="8" t="s">
        <v>15382</v>
      </c>
      <c r="B7712" s="8" t="s">
        <v>61315</v>
      </c>
      <c r="C7712" s="8" t="s">
        <v>15383</v>
      </c>
      <c r="D7712" s="8"/>
      <c r="E7712" s="6"/>
      <c r="F7712" s="6"/>
    </row>
    <row r="7713" spans="1:6" x14ac:dyDescent="0.3">
      <c r="A7713" s="8" t="s">
        <v>15384</v>
      </c>
      <c r="B7713" s="8" t="s">
        <v>61316</v>
      </c>
      <c r="C7713" s="8" t="s">
        <v>15385</v>
      </c>
      <c r="D7713" s="8"/>
      <c r="E7713" s="6"/>
      <c r="F7713" s="6"/>
    </row>
    <row r="7714" spans="1:6" x14ac:dyDescent="0.3">
      <c r="A7714" s="8" t="s">
        <v>15386</v>
      </c>
      <c r="B7714" s="8" t="s">
        <v>61317</v>
      </c>
      <c r="C7714" s="8" t="s">
        <v>15387</v>
      </c>
      <c r="D7714" s="8"/>
      <c r="E7714" s="6"/>
      <c r="F7714" s="6"/>
    </row>
    <row r="7715" spans="1:6" x14ac:dyDescent="0.3">
      <c r="A7715" s="8" t="s">
        <v>15388</v>
      </c>
      <c r="B7715" s="8" t="s">
        <v>61318</v>
      </c>
      <c r="C7715" s="8" t="s">
        <v>15389</v>
      </c>
      <c r="D7715" s="8"/>
      <c r="E7715" s="6"/>
      <c r="F7715" s="6"/>
    </row>
    <row r="7716" spans="1:6" x14ac:dyDescent="0.3">
      <c r="A7716" s="8" t="s">
        <v>15390</v>
      </c>
      <c r="B7716" s="8" t="s">
        <v>61319</v>
      </c>
      <c r="C7716" s="8" t="s">
        <v>15391</v>
      </c>
      <c r="D7716" s="8"/>
      <c r="E7716" s="6"/>
      <c r="F7716" s="6"/>
    </row>
    <row r="7717" spans="1:6" x14ac:dyDescent="0.3">
      <c r="A7717" s="8" t="s">
        <v>15392</v>
      </c>
      <c r="B7717" s="8" t="s">
        <v>61320</v>
      </c>
      <c r="C7717" s="8" t="s">
        <v>15393</v>
      </c>
      <c r="D7717" s="8"/>
      <c r="E7717" s="6"/>
      <c r="F7717" s="6"/>
    </row>
    <row r="7718" spans="1:6" x14ac:dyDescent="0.3">
      <c r="A7718" s="8" t="s">
        <v>15394</v>
      </c>
      <c r="B7718" s="8" t="s">
        <v>61321</v>
      </c>
      <c r="C7718" s="8" t="s">
        <v>15395</v>
      </c>
      <c r="D7718" s="8"/>
      <c r="E7718" s="6"/>
      <c r="F7718" s="6"/>
    </row>
    <row r="7719" spans="1:6" x14ac:dyDescent="0.3">
      <c r="A7719" s="8" t="s">
        <v>15396</v>
      </c>
      <c r="B7719" s="8" t="s">
        <v>61322</v>
      </c>
      <c r="C7719" s="8" t="s">
        <v>15397</v>
      </c>
      <c r="D7719" s="8"/>
      <c r="E7719" s="6"/>
      <c r="F7719" s="6"/>
    </row>
    <row r="7720" spans="1:6" x14ac:dyDescent="0.3">
      <c r="A7720" s="8" t="s">
        <v>15398</v>
      </c>
      <c r="B7720" s="8" t="s">
        <v>61323</v>
      </c>
      <c r="C7720" s="8" t="s">
        <v>15399</v>
      </c>
      <c r="D7720" s="8"/>
      <c r="E7720" s="6"/>
      <c r="F7720" s="6"/>
    </row>
    <row r="7721" spans="1:6" x14ac:dyDescent="0.3">
      <c r="A7721" s="8" t="s">
        <v>15400</v>
      </c>
      <c r="B7721" s="8" t="s">
        <v>61324</v>
      </c>
      <c r="C7721" s="8" t="s">
        <v>15401</v>
      </c>
      <c r="D7721" s="8"/>
      <c r="E7721" s="6"/>
      <c r="F7721" s="6"/>
    </row>
    <row r="7722" spans="1:6" x14ac:dyDescent="0.3">
      <c r="A7722" s="8" t="s">
        <v>15402</v>
      </c>
      <c r="B7722" s="8" t="s">
        <v>61325</v>
      </c>
      <c r="C7722" s="8" t="s">
        <v>15403</v>
      </c>
      <c r="D7722" s="8"/>
      <c r="E7722" s="6"/>
      <c r="F7722" s="6"/>
    </row>
    <row r="7723" spans="1:6" x14ac:dyDescent="0.3">
      <c r="A7723" s="8" t="s">
        <v>15404</v>
      </c>
      <c r="B7723" s="8" t="s">
        <v>61326</v>
      </c>
      <c r="C7723" s="8" t="s">
        <v>15405</v>
      </c>
      <c r="D7723" s="8"/>
      <c r="E7723" s="6"/>
      <c r="F7723" s="6"/>
    </row>
    <row r="7724" spans="1:6" x14ac:dyDescent="0.3">
      <c r="A7724" s="8" t="s">
        <v>15406</v>
      </c>
      <c r="B7724" s="8" t="s">
        <v>61327</v>
      </c>
      <c r="C7724" s="8" t="s">
        <v>15407</v>
      </c>
      <c r="D7724" s="8"/>
      <c r="E7724" s="6"/>
      <c r="F7724" s="6"/>
    </row>
    <row r="7725" spans="1:6" x14ac:dyDescent="0.3">
      <c r="A7725" s="8" t="s">
        <v>15408</v>
      </c>
      <c r="B7725" s="8" t="s">
        <v>61328</v>
      </c>
      <c r="C7725" s="8" t="s">
        <v>15409</v>
      </c>
      <c r="D7725" s="8"/>
      <c r="E7725" s="6"/>
      <c r="F7725" s="6"/>
    </row>
    <row r="7726" spans="1:6" x14ac:dyDescent="0.3">
      <c r="A7726" s="8" t="s">
        <v>15410</v>
      </c>
      <c r="B7726" s="8" t="s">
        <v>61329</v>
      </c>
      <c r="C7726" s="8" t="s">
        <v>15411</v>
      </c>
      <c r="D7726" s="8"/>
      <c r="E7726" s="6"/>
      <c r="F7726" s="6"/>
    </row>
    <row r="7727" spans="1:6" x14ac:dyDescent="0.3">
      <c r="A7727" s="8" t="s">
        <v>15412</v>
      </c>
      <c r="B7727" s="8" t="s">
        <v>61330</v>
      </c>
      <c r="C7727" s="8" t="s">
        <v>15413</v>
      </c>
      <c r="D7727" s="8"/>
      <c r="E7727" s="6"/>
      <c r="F7727" s="6"/>
    </row>
    <row r="7728" spans="1:6" x14ac:dyDescent="0.3">
      <c r="A7728" s="8" t="s">
        <v>15414</v>
      </c>
      <c r="B7728" s="8" t="s">
        <v>61331</v>
      </c>
      <c r="C7728" s="8" t="s">
        <v>15415</v>
      </c>
      <c r="D7728" s="8"/>
      <c r="E7728" s="6"/>
      <c r="F7728" s="6"/>
    </row>
    <row r="7729" spans="1:6" x14ac:dyDescent="0.3">
      <c r="A7729" s="8" t="s">
        <v>15416</v>
      </c>
      <c r="B7729" s="8" t="s">
        <v>61332</v>
      </c>
      <c r="C7729" s="8" t="s">
        <v>15417</v>
      </c>
      <c r="D7729" s="8"/>
      <c r="E7729" s="6"/>
      <c r="F7729" s="6"/>
    </row>
    <row r="7730" spans="1:6" x14ac:dyDescent="0.3">
      <c r="A7730" s="8" t="s">
        <v>15418</v>
      </c>
      <c r="B7730" s="8" t="s">
        <v>61333</v>
      </c>
      <c r="C7730" s="8" t="s">
        <v>15419</v>
      </c>
      <c r="D7730" s="8"/>
      <c r="E7730" s="6"/>
      <c r="F7730" s="6"/>
    </row>
    <row r="7731" spans="1:6" x14ac:dyDescent="0.3">
      <c r="A7731" s="8" t="s">
        <v>15420</v>
      </c>
      <c r="B7731" s="8" t="s">
        <v>61334</v>
      </c>
      <c r="C7731" s="8" t="s">
        <v>15421</v>
      </c>
      <c r="D7731" s="8"/>
      <c r="E7731" s="6"/>
      <c r="F7731" s="6"/>
    </row>
    <row r="7732" spans="1:6" x14ac:dyDescent="0.3">
      <c r="A7732" s="8" t="s">
        <v>15422</v>
      </c>
      <c r="B7732" s="8" t="s">
        <v>61335</v>
      </c>
      <c r="C7732" s="8" t="s">
        <v>15423</v>
      </c>
      <c r="D7732" s="8"/>
      <c r="E7732" s="6"/>
      <c r="F7732" s="6"/>
    </row>
    <row r="7733" spans="1:6" x14ac:dyDescent="0.3">
      <c r="A7733" s="8" t="s">
        <v>15424</v>
      </c>
      <c r="B7733" s="8" t="s">
        <v>61336</v>
      </c>
      <c r="C7733" s="8" t="s">
        <v>15425</v>
      </c>
      <c r="D7733" s="8"/>
      <c r="E7733" s="6"/>
      <c r="F7733" s="6"/>
    </row>
    <row r="7734" spans="1:6" x14ac:dyDescent="0.3">
      <c r="A7734" s="8" t="s">
        <v>15426</v>
      </c>
      <c r="B7734" s="8" t="s">
        <v>61337</v>
      </c>
      <c r="C7734" s="8" t="s">
        <v>15427</v>
      </c>
      <c r="D7734" s="8"/>
      <c r="E7734" s="6"/>
      <c r="F7734" s="6"/>
    </row>
    <row r="7735" spans="1:6" x14ac:dyDescent="0.3">
      <c r="A7735" s="8" t="s">
        <v>15428</v>
      </c>
      <c r="B7735" s="8" t="s">
        <v>61338</v>
      </c>
      <c r="C7735" s="8" t="s">
        <v>15429</v>
      </c>
      <c r="D7735" s="8"/>
      <c r="E7735" s="6"/>
      <c r="F7735" s="6"/>
    </row>
    <row r="7736" spans="1:6" x14ac:dyDescent="0.3">
      <c r="A7736" s="8" t="s">
        <v>15430</v>
      </c>
      <c r="B7736" s="8" t="s">
        <v>61339</v>
      </c>
      <c r="C7736" s="8" t="s">
        <v>15431</v>
      </c>
      <c r="D7736" s="8"/>
      <c r="E7736" s="6"/>
      <c r="F7736" s="6"/>
    </row>
    <row r="7737" spans="1:6" x14ac:dyDescent="0.3">
      <c r="A7737" s="8" t="s">
        <v>15432</v>
      </c>
      <c r="B7737" s="8" t="s">
        <v>61340</v>
      </c>
      <c r="C7737" s="8" t="s">
        <v>15433</v>
      </c>
      <c r="D7737" s="8"/>
      <c r="E7737" s="6"/>
      <c r="F7737" s="6"/>
    </row>
    <row r="7738" spans="1:6" x14ac:dyDescent="0.3">
      <c r="A7738" s="8" t="s">
        <v>15434</v>
      </c>
      <c r="B7738" s="8" t="s">
        <v>61341</v>
      </c>
      <c r="C7738" s="8" t="s">
        <v>15435</v>
      </c>
      <c r="D7738" s="8"/>
      <c r="E7738" s="6"/>
      <c r="F7738" s="6"/>
    </row>
    <row r="7739" spans="1:6" x14ac:dyDescent="0.3">
      <c r="A7739" s="8" t="s">
        <v>15436</v>
      </c>
      <c r="B7739" s="8" t="s">
        <v>61342</v>
      </c>
      <c r="C7739" s="8" t="s">
        <v>15437</v>
      </c>
      <c r="D7739" s="8"/>
      <c r="E7739" s="6"/>
      <c r="F7739" s="6"/>
    </row>
    <row r="7740" spans="1:6" x14ac:dyDescent="0.3">
      <c r="A7740" s="8" t="s">
        <v>15438</v>
      </c>
      <c r="B7740" s="8" t="s">
        <v>61343</v>
      </c>
      <c r="C7740" s="8" t="s">
        <v>15439</v>
      </c>
      <c r="D7740" s="8"/>
      <c r="E7740" s="6"/>
      <c r="F7740" s="6"/>
    </row>
    <row r="7741" spans="1:6" x14ac:dyDescent="0.3">
      <c r="A7741" s="8" t="s">
        <v>15440</v>
      </c>
      <c r="B7741" s="8" t="s">
        <v>61344</v>
      </c>
      <c r="C7741" s="8" t="s">
        <v>15441</v>
      </c>
      <c r="D7741" s="8"/>
      <c r="E7741" s="6"/>
      <c r="F7741" s="6"/>
    </row>
    <row r="7742" spans="1:6" x14ac:dyDescent="0.3">
      <c r="A7742" s="8" t="s">
        <v>15442</v>
      </c>
      <c r="B7742" s="8" t="s">
        <v>61345</v>
      </c>
      <c r="C7742" s="8" t="s">
        <v>15443</v>
      </c>
      <c r="D7742" s="8"/>
      <c r="E7742" s="6"/>
      <c r="F7742" s="6"/>
    </row>
    <row r="7743" spans="1:6" x14ac:dyDescent="0.3">
      <c r="A7743" s="8" t="s">
        <v>15444</v>
      </c>
      <c r="B7743" s="8" t="s">
        <v>61346</v>
      </c>
      <c r="C7743" s="8" t="s">
        <v>15445</v>
      </c>
      <c r="D7743" s="8"/>
      <c r="E7743" s="6"/>
      <c r="F7743" s="6"/>
    </row>
    <row r="7744" spans="1:6" x14ac:dyDescent="0.3">
      <c r="A7744" s="8" t="s">
        <v>15446</v>
      </c>
      <c r="B7744" s="8" t="s">
        <v>61347</v>
      </c>
      <c r="C7744" s="8" t="s">
        <v>15447</v>
      </c>
      <c r="D7744" s="8"/>
      <c r="E7744" s="6"/>
      <c r="F7744" s="6"/>
    </row>
    <row r="7745" spans="1:6" x14ac:dyDescent="0.3">
      <c r="A7745" s="8" t="s">
        <v>15448</v>
      </c>
      <c r="B7745" s="8" t="s">
        <v>61348</v>
      </c>
      <c r="C7745" s="8" t="s">
        <v>15449</v>
      </c>
      <c r="D7745" s="8"/>
      <c r="E7745" s="6"/>
      <c r="F7745" s="6"/>
    </row>
    <row r="7746" spans="1:6" x14ac:dyDescent="0.3">
      <c r="A7746" s="8" t="s">
        <v>15450</v>
      </c>
      <c r="B7746" s="8" t="s">
        <v>61349</v>
      </c>
      <c r="C7746" s="8" t="s">
        <v>15451</v>
      </c>
      <c r="D7746" s="8"/>
      <c r="E7746" s="6"/>
      <c r="F7746" s="6"/>
    </row>
    <row r="7747" spans="1:6" x14ac:dyDescent="0.3">
      <c r="A7747" s="8" t="s">
        <v>15452</v>
      </c>
      <c r="B7747" s="8" t="s">
        <v>61350</v>
      </c>
      <c r="C7747" s="8" t="s">
        <v>15453</v>
      </c>
      <c r="D7747" s="8"/>
      <c r="E7747" s="6"/>
      <c r="F7747" s="6"/>
    </row>
    <row r="7748" spans="1:6" x14ac:dyDescent="0.3">
      <c r="A7748" s="8" t="s">
        <v>15454</v>
      </c>
      <c r="B7748" s="8" t="s">
        <v>61351</v>
      </c>
      <c r="C7748" s="8" t="s">
        <v>15455</v>
      </c>
      <c r="D7748" s="8"/>
      <c r="E7748" s="6"/>
      <c r="F7748" s="6"/>
    </row>
    <row r="7749" spans="1:6" x14ac:dyDescent="0.3">
      <c r="A7749" s="8" t="s">
        <v>15456</v>
      </c>
      <c r="B7749" s="8" t="s">
        <v>61352</v>
      </c>
      <c r="C7749" s="8" t="s">
        <v>15457</v>
      </c>
      <c r="D7749" s="8"/>
      <c r="E7749" s="6"/>
      <c r="F7749" s="6"/>
    </row>
    <row r="7750" spans="1:6" x14ac:dyDescent="0.3">
      <c r="A7750" s="8" t="s">
        <v>15458</v>
      </c>
      <c r="B7750" s="8" t="s">
        <v>61353</v>
      </c>
      <c r="C7750" s="8" t="s">
        <v>15459</v>
      </c>
      <c r="D7750" s="8"/>
      <c r="E7750" s="6"/>
      <c r="F7750" s="6"/>
    </row>
    <row r="7751" spans="1:6" x14ac:dyDescent="0.3">
      <c r="A7751" s="8" t="s">
        <v>15460</v>
      </c>
      <c r="B7751" s="8" t="s">
        <v>61354</v>
      </c>
      <c r="C7751" s="8" t="s">
        <v>15461</v>
      </c>
      <c r="D7751" s="8"/>
      <c r="E7751" s="6"/>
      <c r="F7751" s="6"/>
    </row>
    <row r="7752" spans="1:6" x14ac:dyDescent="0.3">
      <c r="A7752" s="8" t="s">
        <v>15462</v>
      </c>
      <c r="B7752" s="8" t="s">
        <v>61355</v>
      </c>
      <c r="C7752" s="8" t="s">
        <v>15463</v>
      </c>
      <c r="D7752" s="8"/>
      <c r="E7752" s="6"/>
      <c r="F7752" s="6"/>
    </row>
    <row r="7753" spans="1:6" x14ac:dyDescent="0.3">
      <c r="A7753" s="8" t="s">
        <v>15464</v>
      </c>
      <c r="B7753" s="8" t="s">
        <v>61356</v>
      </c>
      <c r="C7753" s="8" t="s">
        <v>15465</v>
      </c>
      <c r="D7753" s="8"/>
      <c r="E7753" s="6"/>
      <c r="F7753" s="6"/>
    </row>
    <row r="7754" spans="1:6" x14ac:dyDescent="0.3">
      <c r="A7754" s="8" t="s">
        <v>15466</v>
      </c>
      <c r="B7754" s="8" t="s">
        <v>61357</v>
      </c>
      <c r="C7754" s="8" t="s">
        <v>15467</v>
      </c>
      <c r="D7754" s="8"/>
      <c r="E7754" s="6"/>
      <c r="F7754" s="6"/>
    </row>
    <row r="7755" spans="1:6" x14ac:dyDescent="0.3">
      <c r="A7755" s="8" t="s">
        <v>15468</v>
      </c>
      <c r="B7755" s="8" t="s">
        <v>61358</v>
      </c>
      <c r="C7755" s="8" t="s">
        <v>15469</v>
      </c>
      <c r="D7755" s="8"/>
      <c r="E7755" s="6"/>
      <c r="F7755" s="6"/>
    </row>
    <row r="7756" spans="1:6" x14ac:dyDescent="0.3">
      <c r="A7756" s="8" t="s">
        <v>15470</v>
      </c>
      <c r="B7756" s="8" t="s">
        <v>61359</v>
      </c>
      <c r="C7756" s="8" t="s">
        <v>15471</v>
      </c>
      <c r="D7756" s="8"/>
      <c r="E7756" s="6"/>
      <c r="F7756" s="6"/>
    </row>
    <row r="7757" spans="1:6" x14ac:dyDescent="0.3">
      <c r="A7757" s="8" t="s">
        <v>15472</v>
      </c>
      <c r="B7757" s="8" t="s">
        <v>61360</v>
      </c>
      <c r="C7757" s="8" t="s">
        <v>15473</v>
      </c>
      <c r="D7757" s="8"/>
      <c r="E7757" s="6"/>
      <c r="F7757" s="6"/>
    </row>
    <row r="7758" spans="1:6" x14ac:dyDescent="0.3">
      <c r="A7758" s="8" t="s">
        <v>15474</v>
      </c>
      <c r="B7758" s="8" t="s">
        <v>61361</v>
      </c>
      <c r="C7758" s="8" t="s">
        <v>15475</v>
      </c>
      <c r="D7758" s="8"/>
      <c r="E7758" s="6"/>
      <c r="F7758" s="6"/>
    </row>
    <row r="7759" spans="1:6" x14ac:dyDescent="0.3">
      <c r="A7759" s="8" t="s">
        <v>15476</v>
      </c>
      <c r="B7759" s="8" t="s">
        <v>61362</v>
      </c>
      <c r="C7759" s="8" t="s">
        <v>15477</v>
      </c>
      <c r="D7759" s="8"/>
      <c r="E7759" s="6"/>
      <c r="F7759" s="6"/>
    </row>
    <row r="7760" spans="1:6" x14ac:dyDescent="0.3">
      <c r="A7760" s="8" t="s">
        <v>15478</v>
      </c>
      <c r="B7760" s="8" t="s">
        <v>61363</v>
      </c>
      <c r="C7760" s="8" t="s">
        <v>15479</v>
      </c>
      <c r="D7760" s="8"/>
      <c r="E7760" s="6"/>
      <c r="F7760" s="6"/>
    </row>
    <row r="7761" spans="1:6" x14ac:dyDescent="0.3">
      <c r="A7761" s="8" t="s">
        <v>15480</v>
      </c>
      <c r="B7761" s="8" t="s">
        <v>61364</v>
      </c>
      <c r="C7761" s="8" t="s">
        <v>15481</v>
      </c>
      <c r="D7761" s="8"/>
      <c r="E7761" s="6"/>
      <c r="F7761" s="6"/>
    </row>
    <row r="7762" spans="1:6" x14ac:dyDescent="0.3">
      <c r="A7762" s="8" t="s">
        <v>15482</v>
      </c>
      <c r="B7762" s="8" t="s">
        <v>61365</v>
      </c>
      <c r="C7762" s="8" t="s">
        <v>15483</v>
      </c>
      <c r="D7762" s="8"/>
      <c r="E7762" s="6"/>
      <c r="F7762" s="6"/>
    </row>
    <row r="7763" spans="1:6" x14ac:dyDescent="0.3">
      <c r="A7763" s="8" t="s">
        <v>15484</v>
      </c>
      <c r="B7763" s="8" t="s">
        <v>61366</v>
      </c>
      <c r="C7763" s="8" t="s">
        <v>15485</v>
      </c>
      <c r="D7763" s="8"/>
      <c r="E7763" s="6"/>
      <c r="F7763" s="6"/>
    </row>
    <row r="7764" spans="1:6" x14ac:dyDescent="0.3">
      <c r="A7764" s="8" t="s">
        <v>15486</v>
      </c>
      <c r="B7764" s="8" t="s">
        <v>61367</v>
      </c>
      <c r="C7764" s="8" t="s">
        <v>15487</v>
      </c>
      <c r="D7764" s="8"/>
      <c r="E7764" s="6"/>
      <c r="F7764" s="6"/>
    </row>
    <row r="7765" spans="1:6" x14ac:dyDescent="0.3">
      <c r="A7765" s="8" t="s">
        <v>15488</v>
      </c>
      <c r="B7765" s="8" t="s">
        <v>61368</v>
      </c>
      <c r="C7765" s="8" t="s">
        <v>15489</v>
      </c>
      <c r="D7765" s="8"/>
      <c r="E7765" s="6"/>
      <c r="F7765" s="6"/>
    </row>
    <row r="7766" spans="1:6" x14ac:dyDescent="0.3">
      <c r="A7766" s="8" t="s">
        <v>15490</v>
      </c>
      <c r="B7766" s="8" t="s">
        <v>61369</v>
      </c>
      <c r="C7766" s="8" t="s">
        <v>15491</v>
      </c>
      <c r="D7766" s="8"/>
      <c r="E7766" s="6"/>
      <c r="F7766" s="6"/>
    </row>
    <row r="7767" spans="1:6" x14ac:dyDescent="0.3">
      <c r="A7767" s="8" t="s">
        <v>15492</v>
      </c>
      <c r="B7767" s="8" t="s">
        <v>61370</v>
      </c>
      <c r="C7767" s="8" t="s">
        <v>15493</v>
      </c>
      <c r="D7767" s="8"/>
      <c r="E7767" s="6"/>
      <c r="F7767" s="6"/>
    </row>
    <row r="7768" spans="1:6" x14ac:dyDescent="0.3">
      <c r="A7768" s="8" t="s">
        <v>15494</v>
      </c>
      <c r="B7768" s="8" t="s">
        <v>61371</v>
      </c>
      <c r="C7768" s="8" t="s">
        <v>15495</v>
      </c>
      <c r="D7768" s="8"/>
      <c r="E7768" s="6"/>
      <c r="F7768" s="6"/>
    </row>
    <row r="7769" spans="1:6" x14ac:dyDescent="0.3">
      <c r="A7769" s="8" t="s">
        <v>15496</v>
      </c>
      <c r="B7769" s="8" t="s">
        <v>61372</v>
      </c>
      <c r="C7769" s="8" t="s">
        <v>15497</v>
      </c>
      <c r="D7769" s="8"/>
      <c r="E7769" s="6"/>
      <c r="F7769" s="6"/>
    </row>
    <row r="7770" spans="1:6" x14ac:dyDescent="0.3">
      <c r="A7770" s="8" t="s">
        <v>15498</v>
      </c>
      <c r="B7770" s="8" t="s">
        <v>61373</v>
      </c>
      <c r="C7770" s="8" t="s">
        <v>15499</v>
      </c>
      <c r="D7770" s="8"/>
      <c r="E7770" s="6"/>
      <c r="F7770" s="6"/>
    </row>
    <row r="7771" spans="1:6" x14ac:dyDescent="0.3">
      <c r="A7771" s="8" t="s">
        <v>15500</v>
      </c>
      <c r="B7771" s="8" t="s">
        <v>61374</v>
      </c>
      <c r="C7771" s="8" t="s">
        <v>15501</v>
      </c>
      <c r="D7771" s="8"/>
      <c r="E7771" s="6"/>
      <c r="F7771" s="6"/>
    </row>
    <row r="7772" spans="1:6" x14ac:dyDescent="0.3">
      <c r="A7772" s="8" t="s">
        <v>15502</v>
      </c>
      <c r="B7772" s="8" t="s">
        <v>61375</v>
      </c>
      <c r="C7772" s="8" t="s">
        <v>15503</v>
      </c>
      <c r="D7772" s="8"/>
      <c r="E7772" s="6"/>
      <c r="F7772" s="6"/>
    </row>
    <row r="7773" spans="1:6" x14ac:dyDescent="0.3">
      <c r="A7773" s="8" t="s">
        <v>15504</v>
      </c>
      <c r="B7773" s="8" t="s">
        <v>61376</v>
      </c>
      <c r="C7773" s="8" t="s">
        <v>15505</v>
      </c>
      <c r="D7773" s="8"/>
      <c r="E7773" s="6"/>
      <c r="F7773" s="6"/>
    </row>
    <row r="7774" spans="1:6" x14ac:dyDescent="0.3">
      <c r="A7774" s="8" t="s">
        <v>15506</v>
      </c>
      <c r="B7774" s="8" t="s">
        <v>61377</v>
      </c>
      <c r="C7774" s="8" t="s">
        <v>15507</v>
      </c>
      <c r="D7774" s="8"/>
      <c r="E7774" s="6"/>
      <c r="F7774" s="6"/>
    </row>
    <row r="7775" spans="1:6" x14ac:dyDescent="0.3">
      <c r="A7775" s="8" t="s">
        <v>15508</v>
      </c>
      <c r="B7775" s="8" t="s">
        <v>61378</v>
      </c>
      <c r="C7775" s="8" t="s">
        <v>15509</v>
      </c>
      <c r="D7775" s="8"/>
      <c r="E7775" s="6"/>
      <c r="F7775" s="6"/>
    </row>
    <row r="7776" spans="1:6" x14ac:dyDescent="0.3">
      <c r="A7776" s="8" t="s">
        <v>15510</v>
      </c>
      <c r="B7776" s="8" t="s">
        <v>61379</v>
      </c>
      <c r="C7776" s="8" t="s">
        <v>15511</v>
      </c>
      <c r="D7776" s="8"/>
      <c r="E7776" s="6"/>
      <c r="F7776" s="6"/>
    </row>
    <row r="7777" spans="1:6" x14ac:dyDescent="0.3">
      <c r="A7777" s="8" t="s">
        <v>15512</v>
      </c>
      <c r="B7777" s="8" t="s">
        <v>61380</v>
      </c>
      <c r="C7777" s="8" t="s">
        <v>15513</v>
      </c>
      <c r="D7777" s="8"/>
      <c r="E7777" s="6"/>
      <c r="F7777" s="6"/>
    </row>
    <row r="7778" spans="1:6" x14ac:dyDescent="0.3">
      <c r="A7778" s="8" t="s">
        <v>15514</v>
      </c>
      <c r="B7778" s="8" t="s">
        <v>61381</v>
      </c>
      <c r="C7778" s="8" t="s">
        <v>15515</v>
      </c>
      <c r="D7778" s="8"/>
      <c r="E7778" s="6"/>
      <c r="F7778" s="6"/>
    </row>
    <row r="7779" spans="1:6" x14ac:dyDescent="0.3">
      <c r="A7779" s="8" t="s">
        <v>15516</v>
      </c>
      <c r="B7779" s="8" t="s">
        <v>61382</v>
      </c>
      <c r="C7779" s="8" t="s">
        <v>15517</v>
      </c>
      <c r="D7779" s="8"/>
      <c r="E7779" s="6"/>
      <c r="F7779" s="6"/>
    </row>
    <row r="7780" spans="1:6" x14ac:dyDescent="0.3">
      <c r="A7780" s="8" t="s">
        <v>15518</v>
      </c>
      <c r="B7780" s="8" t="s">
        <v>61383</v>
      </c>
      <c r="C7780" s="8" t="s">
        <v>15519</v>
      </c>
      <c r="D7780" s="8"/>
      <c r="E7780" s="6"/>
      <c r="F7780" s="6"/>
    </row>
    <row r="7781" spans="1:6" x14ac:dyDescent="0.3">
      <c r="A7781" s="8" t="s">
        <v>15520</v>
      </c>
      <c r="B7781" s="8" t="s">
        <v>61384</v>
      </c>
      <c r="C7781" s="8" t="s">
        <v>15521</v>
      </c>
      <c r="D7781" s="8"/>
      <c r="E7781" s="6"/>
      <c r="F7781" s="6"/>
    </row>
    <row r="7782" spans="1:6" x14ac:dyDescent="0.3">
      <c r="A7782" s="8" t="s">
        <v>15522</v>
      </c>
      <c r="B7782" s="8" t="s">
        <v>61385</v>
      </c>
      <c r="C7782" s="8" t="s">
        <v>15523</v>
      </c>
      <c r="D7782" s="8"/>
      <c r="E7782" s="6"/>
      <c r="F7782" s="6"/>
    </row>
    <row r="7783" spans="1:6" x14ac:dyDescent="0.3">
      <c r="A7783" s="8" t="s">
        <v>15524</v>
      </c>
      <c r="B7783" s="8" t="s">
        <v>61386</v>
      </c>
      <c r="C7783" s="8" t="s">
        <v>15525</v>
      </c>
      <c r="D7783" s="8"/>
      <c r="E7783" s="6"/>
      <c r="F7783" s="6"/>
    </row>
    <row r="7784" spans="1:6" x14ac:dyDescent="0.3">
      <c r="A7784" s="8" t="s">
        <v>15526</v>
      </c>
      <c r="B7784" s="8" t="s">
        <v>61387</v>
      </c>
      <c r="C7784" s="8" t="s">
        <v>15527</v>
      </c>
      <c r="D7784" s="8"/>
      <c r="E7784" s="6"/>
      <c r="F7784" s="6"/>
    </row>
    <row r="7785" spans="1:6" x14ac:dyDescent="0.3">
      <c r="A7785" s="8" t="s">
        <v>15528</v>
      </c>
      <c r="B7785" s="8" t="s">
        <v>61388</v>
      </c>
      <c r="C7785" s="8" t="s">
        <v>15529</v>
      </c>
      <c r="D7785" s="8"/>
      <c r="E7785" s="6"/>
      <c r="F7785" s="6"/>
    </row>
    <row r="7786" spans="1:6" x14ac:dyDescent="0.3">
      <c r="A7786" s="8" t="s">
        <v>15530</v>
      </c>
      <c r="B7786" s="8" t="s">
        <v>61389</v>
      </c>
      <c r="C7786" s="8" t="s">
        <v>15531</v>
      </c>
      <c r="D7786" s="8"/>
      <c r="E7786" s="6"/>
      <c r="F7786" s="6"/>
    </row>
    <row r="7787" spans="1:6" x14ac:dyDescent="0.3">
      <c r="A7787" s="8" t="s">
        <v>15532</v>
      </c>
      <c r="B7787" s="8" t="s">
        <v>61390</v>
      </c>
      <c r="C7787" s="8" t="s">
        <v>15533</v>
      </c>
      <c r="D7787" s="8"/>
      <c r="E7787" s="6"/>
      <c r="F7787" s="6"/>
    </row>
    <row r="7788" spans="1:6" x14ac:dyDescent="0.3">
      <c r="A7788" s="8" t="s">
        <v>15534</v>
      </c>
      <c r="B7788" s="8" t="s">
        <v>61391</v>
      </c>
      <c r="C7788" s="8" t="s">
        <v>15535</v>
      </c>
      <c r="D7788" s="8"/>
      <c r="E7788" s="6"/>
      <c r="F7788" s="6"/>
    </row>
    <row r="7789" spans="1:6" x14ac:dyDescent="0.3">
      <c r="A7789" s="8" t="s">
        <v>15536</v>
      </c>
      <c r="B7789" s="8" t="s">
        <v>61392</v>
      </c>
      <c r="C7789" s="8" t="s">
        <v>15537</v>
      </c>
      <c r="D7789" s="8"/>
      <c r="E7789" s="6"/>
      <c r="F7789" s="6"/>
    </row>
    <row r="7790" spans="1:6" x14ac:dyDescent="0.3">
      <c r="A7790" s="8" t="s">
        <v>15538</v>
      </c>
      <c r="B7790" s="8" t="s">
        <v>61393</v>
      </c>
      <c r="C7790" s="8" t="s">
        <v>15539</v>
      </c>
      <c r="D7790" s="8"/>
      <c r="E7790" s="6"/>
      <c r="F7790" s="6"/>
    </row>
    <row r="7791" spans="1:6" x14ac:dyDescent="0.3">
      <c r="A7791" s="8" t="s">
        <v>15540</v>
      </c>
      <c r="B7791" s="8" t="s">
        <v>61394</v>
      </c>
      <c r="C7791" s="8" t="s">
        <v>15541</v>
      </c>
      <c r="D7791" s="8"/>
      <c r="E7791" s="6"/>
      <c r="F7791" s="6"/>
    </row>
    <row r="7792" spans="1:6" x14ac:dyDescent="0.3">
      <c r="A7792" s="8" t="s">
        <v>15542</v>
      </c>
      <c r="B7792" s="8" t="s">
        <v>61395</v>
      </c>
      <c r="C7792" s="8" t="s">
        <v>15543</v>
      </c>
      <c r="D7792" s="8"/>
      <c r="E7792" s="6"/>
      <c r="F7792" s="6"/>
    </row>
    <row r="7793" spans="1:6" x14ac:dyDescent="0.3">
      <c r="A7793" s="8" t="s">
        <v>15544</v>
      </c>
      <c r="B7793" s="8" t="s">
        <v>61396</v>
      </c>
      <c r="C7793" s="8" t="s">
        <v>15545</v>
      </c>
      <c r="D7793" s="8"/>
      <c r="E7793" s="6"/>
      <c r="F7793" s="6"/>
    </row>
    <row r="7794" spans="1:6" x14ac:dyDescent="0.3">
      <c r="A7794" s="8" t="s">
        <v>15546</v>
      </c>
      <c r="B7794" s="8" t="s">
        <v>61397</v>
      </c>
      <c r="C7794" s="8" t="s">
        <v>15547</v>
      </c>
      <c r="D7794" s="8"/>
      <c r="E7794" s="6"/>
      <c r="F7794" s="6"/>
    </row>
    <row r="7795" spans="1:6" x14ac:dyDescent="0.3">
      <c r="A7795" s="8" t="s">
        <v>15548</v>
      </c>
      <c r="B7795" s="8" t="s">
        <v>61398</v>
      </c>
      <c r="C7795" s="8" t="s">
        <v>15549</v>
      </c>
      <c r="D7795" s="8"/>
      <c r="E7795" s="6"/>
      <c r="F7795" s="6"/>
    </row>
    <row r="7796" spans="1:6" x14ac:dyDescent="0.3">
      <c r="A7796" s="8" t="s">
        <v>15550</v>
      </c>
      <c r="B7796" s="8" t="s">
        <v>61399</v>
      </c>
      <c r="C7796" s="8" t="s">
        <v>15551</v>
      </c>
      <c r="D7796" s="8"/>
      <c r="E7796" s="6"/>
      <c r="F7796" s="6"/>
    </row>
    <row r="7797" spans="1:6" x14ac:dyDescent="0.3">
      <c r="A7797" s="8" t="s">
        <v>15552</v>
      </c>
      <c r="B7797" s="8" t="s">
        <v>61400</v>
      </c>
      <c r="C7797" s="8" t="s">
        <v>15553</v>
      </c>
      <c r="D7797" s="8"/>
      <c r="E7797" s="6"/>
      <c r="F7797" s="6"/>
    </row>
    <row r="7798" spans="1:6" x14ac:dyDescent="0.3">
      <c r="A7798" s="8" t="s">
        <v>15554</v>
      </c>
      <c r="B7798" s="8" t="s">
        <v>61401</v>
      </c>
      <c r="C7798" s="8" t="s">
        <v>15555</v>
      </c>
      <c r="D7798" s="8"/>
      <c r="E7798" s="6"/>
      <c r="F7798" s="6"/>
    </row>
    <row r="7799" spans="1:6" x14ac:dyDescent="0.3">
      <c r="A7799" s="8" t="s">
        <v>15556</v>
      </c>
      <c r="B7799" s="8" t="s">
        <v>61402</v>
      </c>
      <c r="C7799" s="8" t="s">
        <v>15557</v>
      </c>
      <c r="D7799" s="8"/>
      <c r="E7799" s="6"/>
      <c r="F7799" s="6"/>
    </row>
    <row r="7800" spans="1:6" x14ac:dyDescent="0.3">
      <c r="A7800" s="8" t="s">
        <v>15558</v>
      </c>
      <c r="B7800" s="8" t="s">
        <v>61403</v>
      </c>
      <c r="C7800" s="8" t="s">
        <v>15559</v>
      </c>
      <c r="D7800" s="8"/>
      <c r="E7800" s="6"/>
      <c r="F7800" s="6"/>
    </row>
    <row r="7801" spans="1:6" x14ac:dyDescent="0.3">
      <c r="A7801" s="8" t="s">
        <v>15560</v>
      </c>
      <c r="B7801" s="8" t="s">
        <v>61404</v>
      </c>
      <c r="C7801" s="8" t="s">
        <v>15561</v>
      </c>
      <c r="D7801" s="8"/>
      <c r="E7801" s="6"/>
      <c r="F7801" s="6"/>
    </row>
    <row r="7802" spans="1:6" x14ac:dyDescent="0.3">
      <c r="A7802" s="8" t="s">
        <v>15562</v>
      </c>
      <c r="B7802" s="8" t="s">
        <v>61405</v>
      </c>
      <c r="C7802" s="8" t="s">
        <v>15563</v>
      </c>
      <c r="D7802" s="8"/>
      <c r="E7802" s="6"/>
      <c r="F7802" s="6"/>
    </row>
    <row r="7803" spans="1:6" x14ac:dyDescent="0.3">
      <c r="A7803" s="8" t="s">
        <v>15564</v>
      </c>
      <c r="B7803" s="8" t="s">
        <v>61406</v>
      </c>
      <c r="C7803" s="8" t="s">
        <v>15565</v>
      </c>
      <c r="D7803" s="8"/>
      <c r="E7803" s="6"/>
      <c r="F7803" s="6"/>
    </row>
    <row r="7804" spans="1:6" x14ac:dyDescent="0.3">
      <c r="A7804" s="8" t="s">
        <v>15566</v>
      </c>
      <c r="B7804" s="8" t="s">
        <v>61407</v>
      </c>
      <c r="C7804" s="8" t="s">
        <v>15567</v>
      </c>
      <c r="D7804" s="8"/>
      <c r="E7804" s="6"/>
      <c r="F7804" s="6"/>
    </row>
    <row r="7805" spans="1:6" x14ac:dyDescent="0.3">
      <c r="A7805" s="8" t="s">
        <v>15568</v>
      </c>
      <c r="B7805" s="8" t="s">
        <v>61408</v>
      </c>
      <c r="C7805" s="8" t="s">
        <v>15569</v>
      </c>
      <c r="D7805" s="8"/>
      <c r="E7805" s="6"/>
      <c r="F7805" s="6"/>
    </row>
    <row r="7806" spans="1:6" x14ac:dyDescent="0.3">
      <c r="A7806" s="8" t="s">
        <v>15570</v>
      </c>
      <c r="B7806" s="8" t="s">
        <v>61409</v>
      </c>
      <c r="C7806" s="8" t="s">
        <v>15571</v>
      </c>
      <c r="D7806" s="8"/>
      <c r="E7806" s="6"/>
      <c r="F7806" s="6"/>
    </row>
    <row r="7807" spans="1:6" x14ac:dyDescent="0.3">
      <c r="A7807" s="8" t="s">
        <v>15572</v>
      </c>
      <c r="B7807" s="8" t="s">
        <v>61410</v>
      </c>
      <c r="C7807" s="8" t="s">
        <v>15573</v>
      </c>
      <c r="D7807" s="8"/>
      <c r="E7807" s="6"/>
      <c r="F7807" s="6"/>
    </row>
    <row r="7808" spans="1:6" x14ac:dyDescent="0.3">
      <c r="A7808" s="8" t="s">
        <v>15574</v>
      </c>
      <c r="B7808" s="8" t="s">
        <v>61411</v>
      </c>
      <c r="C7808" s="8" t="s">
        <v>15575</v>
      </c>
      <c r="D7808" s="8"/>
      <c r="E7808" s="6"/>
      <c r="F7808" s="6"/>
    </row>
    <row r="7809" spans="1:6" x14ac:dyDescent="0.3">
      <c r="A7809" s="8" t="s">
        <v>15576</v>
      </c>
      <c r="B7809" s="8" t="s">
        <v>61412</v>
      </c>
      <c r="C7809" s="8" t="s">
        <v>15577</v>
      </c>
      <c r="D7809" s="8"/>
      <c r="E7809" s="6"/>
      <c r="F7809" s="6"/>
    </row>
    <row r="7810" spans="1:6" x14ac:dyDescent="0.3">
      <c r="A7810" s="8" t="s">
        <v>15578</v>
      </c>
      <c r="B7810" s="8" t="s">
        <v>61413</v>
      </c>
      <c r="C7810" s="8" t="s">
        <v>15579</v>
      </c>
      <c r="D7810" s="8"/>
      <c r="E7810" s="6"/>
      <c r="F7810" s="6"/>
    </row>
    <row r="7811" spans="1:6" x14ac:dyDescent="0.3">
      <c r="A7811" s="8" t="s">
        <v>15580</v>
      </c>
      <c r="B7811" s="8" t="s">
        <v>61414</v>
      </c>
      <c r="C7811" s="8" t="s">
        <v>15581</v>
      </c>
      <c r="D7811" s="8"/>
      <c r="E7811" s="6"/>
      <c r="F7811" s="6"/>
    </row>
    <row r="7812" spans="1:6" x14ac:dyDescent="0.3">
      <c r="A7812" s="8" t="s">
        <v>15582</v>
      </c>
      <c r="B7812" s="8" t="s">
        <v>61415</v>
      </c>
      <c r="C7812" s="8" t="s">
        <v>15583</v>
      </c>
      <c r="D7812" s="8"/>
      <c r="E7812" s="6"/>
      <c r="F7812" s="6"/>
    </row>
    <row r="7813" spans="1:6" x14ac:dyDescent="0.3">
      <c r="A7813" s="8" t="s">
        <v>15584</v>
      </c>
      <c r="B7813" s="8" t="s">
        <v>61416</v>
      </c>
      <c r="C7813" s="8" t="s">
        <v>15585</v>
      </c>
      <c r="D7813" s="8"/>
      <c r="E7813" s="6"/>
      <c r="F7813" s="6"/>
    </row>
    <row r="7814" spans="1:6" x14ac:dyDescent="0.3">
      <c r="A7814" s="8" t="s">
        <v>15586</v>
      </c>
      <c r="B7814" s="8" t="s">
        <v>61417</v>
      </c>
      <c r="C7814" s="8" t="s">
        <v>15587</v>
      </c>
      <c r="D7814" s="8"/>
      <c r="E7814" s="6"/>
      <c r="F7814" s="6"/>
    </row>
    <row r="7815" spans="1:6" x14ac:dyDescent="0.3">
      <c r="A7815" s="8" t="s">
        <v>15588</v>
      </c>
      <c r="B7815" s="8" t="s">
        <v>61418</v>
      </c>
      <c r="C7815" s="8" t="s">
        <v>15589</v>
      </c>
      <c r="D7815" s="8"/>
      <c r="E7815" s="6"/>
      <c r="F7815" s="6"/>
    </row>
    <row r="7816" spans="1:6" x14ac:dyDescent="0.3">
      <c r="A7816" s="8" t="s">
        <v>15590</v>
      </c>
      <c r="B7816" s="8" t="s">
        <v>61419</v>
      </c>
      <c r="C7816" s="8" t="s">
        <v>15591</v>
      </c>
      <c r="D7816" s="8"/>
      <c r="E7816" s="6"/>
      <c r="F7816" s="6"/>
    </row>
    <row r="7817" spans="1:6" x14ac:dyDescent="0.3">
      <c r="A7817" s="8" t="s">
        <v>15592</v>
      </c>
      <c r="B7817" s="8" t="s">
        <v>61420</v>
      </c>
      <c r="C7817" s="8" t="s">
        <v>15593</v>
      </c>
      <c r="D7817" s="8"/>
      <c r="E7817" s="6"/>
      <c r="F7817" s="6"/>
    </row>
    <row r="7818" spans="1:6" x14ac:dyDescent="0.3">
      <c r="A7818" s="8" t="s">
        <v>15594</v>
      </c>
      <c r="B7818" s="8" t="s">
        <v>61421</v>
      </c>
      <c r="C7818" s="8" t="s">
        <v>15595</v>
      </c>
      <c r="D7818" s="8"/>
      <c r="E7818" s="6"/>
      <c r="F7818" s="6"/>
    </row>
    <row r="7819" spans="1:6" x14ac:dyDescent="0.3">
      <c r="A7819" s="8" t="s">
        <v>15596</v>
      </c>
      <c r="B7819" s="8" t="s">
        <v>61422</v>
      </c>
      <c r="C7819" s="8" t="s">
        <v>15597</v>
      </c>
      <c r="D7819" s="8"/>
      <c r="E7819" s="6"/>
      <c r="F7819" s="6"/>
    </row>
    <row r="7820" spans="1:6" x14ac:dyDescent="0.3">
      <c r="A7820" s="8" t="s">
        <v>15598</v>
      </c>
      <c r="B7820" s="8" t="s">
        <v>61423</v>
      </c>
      <c r="C7820" s="8" t="s">
        <v>15599</v>
      </c>
      <c r="D7820" s="8"/>
      <c r="E7820" s="6"/>
      <c r="F7820" s="6"/>
    </row>
    <row r="7821" spans="1:6" x14ac:dyDescent="0.3">
      <c r="A7821" s="8" t="s">
        <v>15600</v>
      </c>
      <c r="B7821" s="8" t="s">
        <v>61424</v>
      </c>
      <c r="C7821" s="8" t="s">
        <v>15601</v>
      </c>
      <c r="D7821" s="8"/>
      <c r="E7821" s="6"/>
      <c r="F7821" s="6"/>
    </row>
    <row r="7822" spans="1:6" x14ac:dyDescent="0.3">
      <c r="A7822" s="8" t="s">
        <v>15602</v>
      </c>
      <c r="B7822" s="8" t="s">
        <v>61425</v>
      </c>
      <c r="C7822" s="8" t="s">
        <v>15603</v>
      </c>
      <c r="D7822" s="8"/>
      <c r="E7822" s="6"/>
      <c r="F7822" s="6"/>
    </row>
    <row r="7823" spans="1:6" x14ac:dyDescent="0.3">
      <c r="A7823" s="8" t="s">
        <v>15604</v>
      </c>
      <c r="B7823" s="8" t="s">
        <v>61426</v>
      </c>
      <c r="C7823" s="8" t="s">
        <v>15605</v>
      </c>
      <c r="D7823" s="8"/>
      <c r="E7823" s="6"/>
      <c r="F7823" s="6"/>
    </row>
    <row r="7824" spans="1:6" x14ac:dyDescent="0.3">
      <c r="A7824" s="8" t="s">
        <v>15606</v>
      </c>
      <c r="B7824" s="8" t="s">
        <v>61427</v>
      </c>
      <c r="C7824" s="8" t="s">
        <v>15607</v>
      </c>
      <c r="D7824" s="8"/>
      <c r="E7824" s="6"/>
      <c r="F7824" s="6"/>
    </row>
    <row r="7825" spans="1:6" x14ac:dyDescent="0.3">
      <c r="A7825" s="8" t="s">
        <v>15608</v>
      </c>
      <c r="B7825" s="8" t="s">
        <v>61428</v>
      </c>
      <c r="C7825" s="8" t="s">
        <v>15609</v>
      </c>
      <c r="D7825" s="8"/>
      <c r="E7825" s="6"/>
      <c r="F7825" s="6"/>
    </row>
    <row r="7826" spans="1:6" x14ac:dyDescent="0.3">
      <c r="A7826" s="8" t="s">
        <v>15610</v>
      </c>
      <c r="B7826" s="8" t="s">
        <v>61429</v>
      </c>
      <c r="C7826" s="8" t="s">
        <v>15611</v>
      </c>
      <c r="D7826" s="8"/>
      <c r="E7826" s="6"/>
      <c r="F7826" s="6"/>
    </row>
    <row r="7827" spans="1:6" x14ac:dyDescent="0.3">
      <c r="A7827" s="8" t="s">
        <v>15612</v>
      </c>
      <c r="B7827" s="8" t="s">
        <v>61430</v>
      </c>
      <c r="C7827" s="8" t="s">
        <v>15613</v>
      </c>
      <c r="D7827" s="8"/>
      <c r="E7827" s="6"/>
      <c r="F7827" s="6"/>
    </row>
    <row r="7828" spans="1:6" x14ac:dyDescent="0.3">
      <c r="A7828" s="8" t="s">
        <v>15614</v>
      </c>
      <c r="B7828" s="8" t="s">
        <v>61431</v>
      </c>
      <c r="C7828" s="8" t="s">
        <v>15615</v>
      </c>
      <c r="D7828" s="8"/>
      <c r="E7828" s="6"/>
      <c r="F7828" s="6"/>
    </row>
    <row r="7829" spans="1:6" x14ac:dyDescent="0.3">
      <c r="A7829" s="8" t="s">
        <v>15616</v>
      </c>
      <c r="B7829" s="8" t="s">
        <v>61432</v>
      </c>
      <c r="C7829" s="8" t="s">
        <v>15617</v>
      </c>
      <c r="D7829" s="8"/>
      <c r="E7829" s="6"/>
      <c r="F7829" s="6"/>
    </row>
    <row r="7830" spans="1:6" x14ac:dyDescent="0.3">
      <c r="A7830" s="8" t="s">
        <v>15618</v>
      </c>
      <c r="B7830" s="8" t="s">
        <v>61433</v>
      </c>
      <c r="C7830" s="8" t="s">
        <v>15619</v>
      </c>
      <c r="D7830" s="8"/>
      <c r="E7830" s="6"/>
      <c r="F7830" s="6"/>
    </row>
    <row r="7831" spans="1:6" x14ac:dyDescent="0.3">
      <c r="A7831" s="8" t="s">
        <v>15620</v>
      </c>
      <c r="B7831" s="8" t="s">
        <v>61434</v>
      </c>
      <c r="C7831" s="8" t="s">
        <v>15621</v>
      </c>
      <c r="D7831" s="8"/>
      <c r="E7831" s="6"/>
      <c r="F7831" s="6"/>
    </row>
    <row r="7832" spans="1:6" x14ac:dyDescent="0.3">
      <c r="A7832" s="8" t="s">
        <v>15622</v>
      </c>
      <c r="B7832" s="8" t="s">
        <v>61435</v>
      </c>
      <c r="C7832" s="8" t="s">
        <v>15623</v>
      </c>
      <c r="D7832" s="8"/>
      <c r="E7832" s="6"/>
      <c r="F7832" s="6"/>
    </row>
    <row r="7833" spans="1:6" x14ac:dyDescent="0.3">
      <c r="A7833" s="8" t="s">
        <v>15624</v>
      </c>
      <c r="B7833" s="8" t="s">
        <v>61436</v>
      </c>
      <c r="C7833" s="8" t="s">
        <v>15625</v>
      </c>
      <c r="D7833" s="8"/>
      <c r="E7833" s="6"/>
      <c r="F7833" s="6"/>
    </row>
    <row r="7834" spans="1:6" x14ac:dyDescent="0.3">
      <c r="A7834" s="8" t="s">
        <v>15626</v>
      </c>
      <c r="B7834" s="8" t="s">
        <v>61437</v>
      </c>
      <c r="C7834" s="8" t="s">
        <v>15627</v>
      </c>
      <c r="D7834" s="8"/>
      <c r="E7834" s="6"/>
      <c r="F7834" s="6"/>
    </row>
    <row r="7835" spans="1:6" x14ac:dyDescent="0.3">
      <c r="A7835" s="8" t="s">
        <v>15628</v>
      </c>
      <c r="B7835" s="8" t="s">
        <v>61438</v>
      </c>
      <c r="C7835" s="8" t="s">
        <v>15629</v>
      </c>
      <c r="D7835" s="8"/>
      <c r="E7835" s="6"/>
      <c r="F7835" s="6"/>
    </row>
    <row r="7836" spans="1:6" x14ac:dyDescent="0.3">
      <c r="A7836" s="8" t="s">
        <v>15630</v>
      </c>
      <c r="B7836" s="8" t="s">
        <v>61439</v>
      </c>
      <c r="C7836" s="8" t="s">
        <v>15631</v>
      </c>
      <c r="D7836" s="8"/>
      <c r="E7836" s="6"/>
      <c r="F7836" s="6"/>
    </row>
    <row r="7837" spans="1:6" x14ac:dyDescent="0.3">
      <c r="A7837" s="8" t="s">
        <v>15632</v>
      </c>
      <c r="B7837" s="8" t="s">
        <v>61440</v>
      </c>
      <c r="C7837" s="8" t="s">
        <v>15633</v>
      </c>
      <c r="D7837" s="8"/>
      <c r="E7837" s="6"/>
      <c r="F7837" s="6"/>
    </row>
    <row r="7838" spans="1:6" x14ac:dyDescent="0.3">
      <c r="A7838" s="8" t="s">
        <v>15634</v>
      </c>
      <c r="B7838" s="8" t="s">
        <v>61441</v>
      </c>
      <c r="C7838" s="8" t="s">
        <v>15635</v>
      </c>
      <c r="D7838" s="8"/>
      <c r="E7838" s="6"/>
      <c r="F7838" s="6"/>
    </row>
    <row r="7839" spans="1:6" x14ac:dyDescent="0.3">
      <c r="A7839" s="8" t="s">
        <v>15636</v>
      </c>
      <c r="B7839" s="8" t="s">
        <v>61442</v>
      </c>
      <c r="C7839" s="8" t="s">
        <v>15637</v>
      </c>
      <c r="D7839" s="8"/>
      <c r="E7839" s="6"/>
      <c r="F7839" s="6"/>
    </row>
    <row r="7840" spans="1:6" x14ac:dyDescent="0.3">
      <c r="A7840" s="8" t="s">
        <v>15638</v>
      </c>
      <c r="B7840" s="8" t="s">
        <v>61443</v>
      </c>
      <c r="C7840" s="8" t="s">
        <v>15639</v>
      </c>
      <c r="D7840" s="8"/>
      <c r="E7840" s="6"/>
      <c r="F7840" s="6"/>
    </row>
    <row r="7841" spans="1:6" x14ac:dyDescent="0.3">
      <c r="A7841" s="8" t="s">
        <v>15640</v>
      </c>
      <c r="B7841" s="8" t="s">
        <v>61444</v>
      </c>
      <c r="C7841" s="8" t="s">
        <v>15641</v>
      </c>
      <c r="D7841" s="8"/>
      <c r="E7841" s="6"/>
      <c r="F7841" s="6"/>
    </row>
    <row r="7842" spans="1:6" x14ac:dyDescent="0.3">
      <c r="A7842" s="8" t="s">
        <v>15642</v>
      </c>
      <c r="B7842" s="8" t="s">
        <v>61445</v>
      </c>
      <c r="C7842" s="8" t="s">
        <v>15643</v>
      </c>
      <c r="D7842" s="8"/>
      <c r="E7842" s="6"/>
      <c r="F7842" s="6"/>
    </row>
    <row r="7843" spans="1:6" x14ac:dyDescent="0.3">
      <c r="A7843" s="8" t="s">
        <v>15644</v>
      </c>
      <c r="B7843" s="8" t="s">
        <v>61446</v>
      </c>
      <c r="C7843" s="8" t="s">
        <v>15645</v>
      </c>
      <c r="D7843" s="8"/>
      <c r="E7843" s="6"/>
      <c r="F7843" s="6"/>
    </row>
    <row r="7844" spans="1:6" x14ac:dyDescent="0.3">
      <c r="A7844" s="8" t="s">
        <v>15646</v>
      </c>
      <c r="B7844" s="8" t="s">
        <v>61447</v>
      </c>
      <c r="C7844" s="8" t="s">
        <v>15647</v>
      </c>
      <c r="D7844" s="8"/>
      <c r="E7844" s="6"/>
      <c r="F7844" s="6"/>
    </row>
    <row r="7845" spans="1:6" x14ac:dyDescent="0.3">
      <c r="A7845" s="8" t="s">
        <v>15648</v>
      </c>
      <c r="B7845" s="8" t="s">
        <v>61448</v>
      </c>
      <c r="C7845" s="8" t="s">
        <v>15649</v>
      </c>
      <c r="D7845" s="8"/>
      <c r="E7845" s="6"/>
      <c r="F7845" s="6"/>
    </row>
    <row r="7846" spans="1:6" x14ac:dyDescent="0.3">
      <c r="A7846" s="8" t="s">
        <v>15650</v>
      </c>
      <c r="B7846" s="8" t="s">
        <v>61449</v>
      </c>
      <c r="C7846" s="8" t="s">
        <v>15651</v>
      </c>
      <c r="D7846" s="8"/>
      <c r="E7846" s="6"/>
      <c r="F7846" s="6"/>
    </row>
    <row r="7847" spans="1:6" x14ac:dyDescent="0.3">
      <c r="A7847" s="8" t="s">
        <v>15652</v>
      </c>
      <c r="B7847" s="8" t="s">
        <v>61450</v>
      </c>
      <c r="C7847" s="8" t="s">
        <v>15653</v>
      </c>
      <c r="D7847" s="8"/>
      <c r="E7847" s="6"/>
      <c r="F7847" s="6"/>
    </row>
    <row r="7848" spans="1:6" x14ac:dyDescent="0.3">
      <c r="A7848" s="8" t="s">
        <v>15654</v>
      </c>
      <c r="B7848" s="8" t="s">
        <v>61451</v>
      </c>
      <c r="C7848" s="8" t="s">
        <v>15655</v>
      </c>
      <c r="D7848" s="8"/>
      <c r="E7848" s="6"/>
      <c r="F7848" s="6"/>
    </row>
    <row r="7849" spans="1:6" x14ac:dyDescent="0.3">
      <c r="A7849" s="8" t="s">
        <v>15656</v>
      </c>
      <c r="B7849" s="8" t="s">
        <v>61452</v>
      </c>
      <c r="C7849" s="8" t="s">
        <v>15657</v>
      </c>
      <c r="D7849" s="8"/>
      <c r="E7849" s="6"/>
      <c r="F7849" s="6"/>
    </row>
    <row r="7850" spans="1:6" x14ac:dyDescent="0.3">
      <c r="A7850" s="8" t="s">
        <v>15658</v>
      </c>
      <c r="B7850" s="8" t="s">
        <v>61453</v>
      </c>
      <c r="C7850" s="8" t="s">
        <v>15659</v>
      </c>
      <c r="D7850" s="8"/>
      <c r="E7850" s="6"/>
      <c r="F7850" s="6"/>
    </row>
    <row r="7851" spans="1:6" x14ac:dyDescent="0.3">
      <c r="A7851" s="8" t="s">
        <v>15660</v>
      </c>
      <c r="B7851" s="8" t="s">
        <v>61454</v>
      </c>
      <c r="C7851" s="8" t="s">
        <v>15661</v>
      </c>
      <c r="D7851" s="8"/>
      <c r="E7851" s="6"/>
      <c r="F7851" s="6"/>
    </row>
    <row r="7852" spans="1:6" x14ac:dyDescent="0.3">
      <c r="A7852" s="8" t="s">
        <v>15662</v>
      </c>
      <c r="B7852" s="8" t="s">
        <v>61455</v>
      </c>
      <c r="C7852" s="8" t="s">
        <v>15663</v>
      </c>
      <c r="D7852" s="8"/>
      <c r="E7852" s="6"/>
      <c r="F7852" s="6"/>
    </row>
    <row r="7853" spans="1:6" x14ac:dyDescent="0.3">
      <c r="A7853" s="8" t="s">
        <v>15664</v>
      </c>
      <c r="B7853" s="8" t="s">
        <v>61456</v>
      </c>
      <c r="C7853" s="8" t="s">
        <v>15665</v>
      </c>
      <c r="D7853" s="8"/>
      <c r="E7853" s="6"/>
      <c r="F7853" s="6"/>
    </row>
    <row r="7854" spans="1:6" x14ac:dyDescent="0.3">
      <c r="A7854" s="8" t="s">
        <v>15666</v>
      </c>
      <c r="B7854" s="8" t="s">
        <v>61457</v>
      </c>
      <c r="C7854" s="8" t="s">
        <v>15667</v>
      </c>
      <c r="D7854" s="8"/>
      <c r="E7854" s="6"/>
      <c r="F7854" s="6"/>
    </row>
    <row r="7855" spans="1:6" x14ac:dyDescent="0.3">
      <c r="A7855" s="8" t="s">
        <v>15668</v>
      </c>
      <c r="B7855" s="8" t="s">
        <v>61458</v>
      </c>
      <c r="C7855" s="8" t="s">
        <v>15669</v>
      </c>
      <c r="D7855" s="8"/>
      <c r="E7855" s="6"/>
      <c r="F7855" s="6"/>
    </row>
    <row r="7856" spans="1:6" x14ac:dyDescent="0.3">
      <c r="A7856" s="8" t="s">
        <v>15670</v>
      </c>
      <c r="B7856" s="8" t="s">
        <v>61459</v>
      </c>
      <c r="C7856" s="8" t="s">
        <v>15671</v>
      </c>
      <c r="D7856" s="8"/>
      <c r="E7856" s="6"/>
      <c r="F7856" s="6"/>
    </row>
    <row r="7857" spans="1:6" x14ac:dyDescent="0.3">
      <c r="A7857" s="8" t="s">
        <v>15672</v>
      </c>
      <c r="B7857" s="8" t="s">
        <v>61460</v>
      </c>
      <c r="C7857" s="8" t="s">
        <v>15673</v>
      </c>
      <c r="D7857" s="8"/>
      <c r="E7857" s="6"/>
      <c r="F7857" s="6"/>
    </row>
    <row r="7858" spans="1:6" x14ac:dyDescent="0.3">
      <c r="A7858" s="8" t="s">
        <v>15674</v>
      </c>
      <c r="B7858" s="8" t="s">
        <v>61461</v>
      </c>
      <c r="C7858" s="8" t="s">
        <v>15675</v>
      </c>
      <c r="D7858" s="8"/>
      <c r="E7858" s="6"/>
      <c r="F7858" s="6"/>
    </row>
    <row r="7859" spans="1:6" x14ac:dyDescent="0.3">
      <c r="A7859" s="8" t="s">
        <v>15676</v>
      </c>
      <c r="B7859" s="8" t="s">
        <v>61462</v>
      </c>
      <c r="C7859" s="8" t="s">
        <v>15677</v>
      </c>
      <c r="D7859" s="8"/>
      <c r="E7859" s="6"/>
      <c r="F7859" s="6"/>
    </row>
    <row r="7860" spans="1:6" x14ac:dyDescent="0.3">
      <c r="A7860" s="8" t="s">
        <v>15678</v>
      </c>
      <c r="B7860" s="8" t="s">
        <v>61463</v>
      </c>
      <c r="C7860" s="8" t="s">
        <v>15679</v>
      </c>
      <c r="D7860" s="8"/>
      <c r="E7860" s="6"/>
      <c r="F7860" s="6"/>
    </row>
    <row r="7861" spans="1:6" x14ac:dyDescent="0.3">
      <c r="A7861" s="8" t="s">
        <v>15680</v>
      </c>
      <c r="B7861" s="8" t="s">
        <v>61464</v>
      </c>
      <c r="C7861" s="8" t="s">
        <v>15681</v>
      </c>
      <c r="D7861" s="8"/>
      <c r="E7861" s="6"/>
      <c r="F7861" s="6"/>
    </row>
    <row r="7862" spans="1:6" x14ac:dyDescent="0.3">
      <c r="A7862" s="8" t="s">
        <v>15682</v>
      </c>
      <c r="B7862" s="8" t="s">
        <v>61465</v>
      </c>
      <c r="C7862" s="8" t="s">
        <v>15683</v>
      </c>
      <c r="D7862" s="8"/>
      <c r="E7862" s="6"/>
      <c r="F7862" s="6"/>
    </row>
    <row r="7863" spans="1:6" x14ac:dyDescent="0.3">
      <c r="A7863" s="8" t="s">
        <v>15684</v>
      </c>
      <c r="B7863" s="8" t="s">
        <v>61466</v>
      </c>
      <c r="C7863" s="8" t="s">
        <v>15685</v>
      </c>
      <c r="D7863" s="8"/>
      <c r="E7863" s="6"/>
      <c r="F7863" s="6"/>
    </row>
    <row r="7864" spans="1:6" x14ac:dyDescent="0.3">
      <c r="A7864" s="8" t="s">
        <v>15686</v>
      </c>
      <c r="B7864" s="8" t="s">
        <v>61467</v>
      </c>
      <c r="C7864" s="8" t="s">
        <v>15687</v>
      </c>
      <c r="D7864" s="8"/>
      <c r="E7864" s="6"/>
      <c r="F7864" s="6"/>
    </row>
    <row r="7865" spans="1:6" x14ac:dyDescent="0.3">
      <c r="A7865" s="8" t="s">
        <v>15688</v>
      </c>
      <c r="B7865" s="8" t="s">
        <v>61468</v>
      </c>
      <c r="C7865" s="8" t="s">
        <v>15689</v>
      </c>
      <c r="D7865" s="8"/>
      <c r="E7865" s="6"/>
      <c r="F7865" s="6"/>
    </row>
    <row r="7866" spans="1:6" x14ac:dyDescent="0.3">
      <c r="A7866" s="8" t="s">
        <v>15690</v>
      </c>
      <c r="B7866" s="8" t="s">
        <v>61469</v>
      </c>
      <c r="C7866" s="8" t="s">
        <v>15691</v>
      </c>
      <c r="D7866" s="8"/>
      <c r="E7866" s="6"/>
      <c r="F7866" s="6"/>
    </row>
    <row r="7867" spans="1:6" x14ac:dyDescent="0.3">
      <c r="A7867" s="8" t="s">
        <v>15692</v>
      </c>
      <c r="B7867" s="8" t="s">
        <v>61470</v>
      </c>
      <c r="C7867" s="8" t="s">
        <v>15693</v>
      </c>
      <c r="D7867" s="8"/>
      <c r="E7867" s="6"/>
      <c r="F7867" s="6"/>
    </row>
    <row r="7868" spans="1:6" x14ac:dyDescent="0.3">
      <c r="A7868" s="8" t="s">
        <v>15694</v>
      </c>
      <c r="B7868" s="8" t="s">
        <v>61471</v>
      </c>
      <c r="C7868" s="8" t="s">
        <v>15695</v>
      </c>
      <c r="D7868" s="8"/>
      <c r="E7868" s="6"/>
      <c r="F7868" s="6"/>
    </row>
    <row r="7869" spans="1:6" x14ac:dyDescent="0.3">
      <c r="A7869" s="8" t="s">
        <v>15696</v>
      </c>
      <c r="B7869" s="8" t="s">
        <v>61472</v>
      </c>
      <c r="C7869" s="8" t="s">
        <v>15697</v>
      </c>
      <c r="D7869" s="8"/>
      <c r="E7869" s="6"/>
      <c r="F7869" s="6"/>
    </row>
    <row r="7870" spans="1:6" x14ac:dyDescent="0.3">
      <c r="A7870" s="8" t="s">
        <v>15698</v>
      </c>
      <c r="B7870" s="8" t="s">
        <v>61473</v>
      </c>
      <c r="C7870" s="8" t="s">
        <v>15699</v>
      </c>
      <c r="D7870" s="8"/>
      <c r="E7870" s="6"/>
      <c r="F7870" s="6"/>
    </row>
    <row r="7871" spans="1:6" x14ac:dyDescent="0.3">
      <c r="A7871" s="8" t="s">
        <v>15700</v>
      </c>
      <c r="B7871" s="8" t="s">
        <v>61474</v>
      </c>
      <c r="C7871" s="8" t="s">
        <v>15701</v>
      </c>
      <c r="D7871" s="8"/>
      <c r="E7871" s="6"/>
      <c r="F7871" s="6"/>
    </row>
    <row r="7872" spans="1:6" x14ac:dyDescent="0.3">
      <c r="A7872" s="8" t="s">
        <v>15702</v>
      </c>
      <c r="B7872" s="8" t="s">
        <v>61475</v>
      </c>
      <c r="C7872" s="8" t="s">
        <v>15703</v>
      </c>
      <c r="D7872" s="8"/>
      <c r="E7872" s="6"/>
      <c r="F7872" s="6"/>
    </row>
    <row r="7873" spans="1:6" x14ac:dyDescent="0.3">
      <c r="A7873" s="8" t="s">
        <v>15704</v>
      </c>
      <c r="B7873" s="8" t="s">
        <v>61476</v>
      </c>
      <c r="C7873" s="8" t="s">
        <v>15705</v>
      </c>
      <c r="D7873" s="8"/>
      <c r="E7873" s="6"/>
      <c r="F7873" s="6"/>
    </row>
    <row r="7874" spans="1:6" x14ac:dyDescent="0.3">
      <c r="A7874" s="8" t="s">
        <v>15706</v>
      </c>
      <c r="B7874" s="8" t="s">
        <v>61477</v>
      </c>
      <c r="C7874" s="8" t="s">
        <v>15707</v>
      </c>
      <c r="D7874" s="8"/>
      <c r="E7874" s="6"/>
      <c r="F7874" s="6"/>
    </row>
    <row r="7875" spans="1:6" x14ac:dyDescent="0.3">
      <c r="A7875" s="8" t="s">
        <v>15708</v>
      </c>
      <c r="B7875" s="8" t="s">
        <v>61478</v>
      </c>
      <c r="C7875" s="8" t="s">
        <v>15709</v>
      </c>
      <c r="D7875" s="8"/>
      <c r="E7875" s="6"/>
      <c r="F7875" s="6"/>
    </row>
    <row r="7876" spans="1:6" x14ac:dyDescent="0.3">
      <c r="A7876" s="8" t="s">
        <v>15710</v>
      </c>
      <c r="B7876" s="8" t="s">
        <v>61479</v>
      </c>
      <c r="C7876" s="8" t="s">
        <v>15711</v>
      </c>
      <c r="D7876" s="8"/>
      <c r="E7876" s="6"/>
      <c r="F7876" s="6"/>
    </row>
    <row r="7877" spans="1:6" x14ac:dyDescent="0.3">
      <c r="A7877" s="8" t="s">
        <v>15712</v>
      </c>
      <c r="B7877" s="8" t="s">
        <v>61480</v>
      </c>
      <c r="C7877" s="8" t="s">
        <v>15713</v>
      </c>
      <c r="D7877" s="8"/>
      <c r="E7877" s="6"/>
      <c r="F7877" s="6"/>
    </row>
    <row r="7878" spans="1:6" x14ac:dyDescent="0.3">
      <c r="A7878" s="8" t="s">
        <v>15714</v>
      </c>
      <c r="B7878" s="8" t="s">
        <v>61481</v>
      </c>
      <c r="C7878" s="8" t="s">
        <v>15715</v>
      </c>
      <c r="D7878" s="8"/>
      <c r="E7878" s="6"/>
      <c r="F7878" s="6"/>
    </row>
    <row r="7879" spans="1:6" x14ac:dyDescent="0.3">
      <c r="A7879" s="8" t="s">
        <v>15716</v>
      </c>
      <c r="B7879" s="8" t="s">
        <v>61482</v>
      </c>
      <c r="C7879" s="8" t="s">
        <v>15717</v>
      </c>
      <c r="D7879" s="8"/>
      <c r="E7879" s="6"/>
      <c r="F7879" s="6"/>
    </row>
    <row r="7880" spans="1:6" x14ac:dyDescent="0.3">
      <c r="A7880" s="8" t="s">
        <v>15718</v>
      </c>
      <c r="B7880" s="8" t="s">
        <v>61483</v>
      </c>
      <c r="C7880" s="8" t="s">
        <v>15719</v>
      </c>
      <c r="D7880" s="8"/>
      <c r="E7880" s="6"/>
      <c r="F7880" s="6"/>
    </row>
    <row r="7881" spans="1:6" x14ac:dyDescent="0.3">
      <c r="A7881" s="8" t="s">
        <v>15720</v>
      </c>
      <c r="B7881" s="8" t="s">
        <v>61484</v>
      </c>
      <c r="C7881" s="8" t="s">
        <v>15721</v>
      </c>
      <c r="D7881" s="8"/>
      <c r="E7881" s="6"/>
      <c r="F7881" s="6"/>
    </row>
    <row r="7882" spans="1:6" x14ac:dyDescent="0.3">
      <c r="A7882" s="8" t="s">
        <v>15722</v>
      </c>
      <c r="B7882" s="8" t="s">
        <v>59105</v>
      </c>
      <c r="C7882" s="8" t="s">
        <v>15723</v>
      </c>
      <c r="D7882" s="8"/>
      <c r="E7882" s="6"/>
      <c r="F7882" s="6"/>
    </row>
    <row r="7883" spans="1:6" x14ac:dyDescent="0.3">
      <c r="A7883" s="8" t="s">
        <v>15724</v>
      </c>
      <c r="B7883" s="8" t="s">
        <v>61485</v>
      </c>
      <c r="C7883" s="8" t="s">
        <v>15725</v>
      </c>
      <c r="D7883" s="8"/>
      <c r="E7883" s="6"/>
      <c r="F7883" s="6"/>
    </row>
    <row r="7884" spans="1:6" x14ac:dyDescent="0.3">
      <c r="A7884" s="8" t="s">
        <v>15726</v>
      </c>
      <c r="B7884" s="8" t="s">
        <v>61486</v>
      </c>
      <c r="C7884" s="8" t="s">
        <v>15727</v>
      </c>
      <c r="D7884" s="8"/>
      <c r="E7884" s="6"/>
      <c r="F7884" s="6"/>
    </row>
    <row r="7885" spans="1:6" x14ac:dyDescent="0.3">
      <c r="A7885" s="8" t="s">
        <v>15728</v>
      </c>
      <c r="B7885" s="8" t="s">
        <v>61487</v>
      </c>
      <c r="C7885" s="8" t="s">
        <v>15729</v>
      </c>
      <c r="D7885" s="8"/>
      <c r="E7885" s="6"/>
      <c r="F7885" s="6"/>
    </row>
    <row r="7886" spans="1:6" x14ac:dyDescent="0.3">
      <c r="A7886" s="8" t="s">
        <v>15730</v>
      </c>
      <c r="B7886" s="8" t="s">
        <v>61488</v>
      </c>
      <c r="C7886" s="8" t="s">
        <v>15731</v>
      </c>
      <c r="D7886" s="8"/>
      <c r="E7886" s="6"/>
      <c r="F7886" s="6"/>
    </row>
    <row r="7887" spans="1:6" x14ac:dyDescent="0.3">
      <c r="A7887" s="8" t="s">
        <v>15732</v>
      </c>
      <c r="B7887" s="8" t="s">
        <v>61489</v>
      </c>
      <c r="C7887" s="8" t="s">
        <v>15733</v>
      </c>
      <c r="D7887" s="8"/>
      <c r="E7887" s="6"/>
      <c r="F7887" s="6"/>
    </row>
    <row r="7888" spans="1:6" x14ac:dyDescent="0.3">
      <c r="A7888" s="8" t="s">
        <v>15734</v>
      </c>
      <c r="B7888" s="8" t="s">
        <v>61490</v>
      </c>
      <c r="C7888" s="8" t="s">
        <v>15735</v>
      </c>
      <c r="D7888" s="8"/>
      <c r="E7888" s="6"/>
      <c r="F7888" s="6"/>
    </row>
    <row r="7889" spans="1:6" x14ac:dyDescent="0.3">
      <c r="A7889" s="8" t="s">
        <v>15736</v>
      </c>
      <c r="B7889" s="8" t="s">
        <v>61491</v>
      </c>
      <c r="C7889" s="8" t="s">
        <v>15737</v>
      </c>
      <c r="D7889" s="8"/>
      <c r="E7889" s="6"/>
      <c r="F7889" s="6"/>
    </row>
    <row r="7890" spans="1:6" x14ac:dyDescent="0.3">
      <c r="A7890" s="8" t="s">
        <v>15738</v>
      </c>
      <c r="B7890" s="8" t="s">
        <v>61492</v>
      </c>
      <c r="C7890" s="8" t="s">
        <v>15739</v>
      </c>
      <c r="D7890" s="8"/>
      <c r="E7890" s="6"/>
      <c r="F7890" s="6"/>
    </row>
    <row r="7891" spans="1:6" x14ac:dyDescent="0.3">
      <c r="A7891" s="8" t="s">
        <v>15740</v>
      </c>
      <c r="B7891" s="8" t="s">
        <v>61493</v>
      </c>
      <c r="C7891" s="8" t="s">
        <v>15741</v>
      </c>
      <c r="D7891" s="8"/>
      <c r="E7891" s="6"/>
      <c r="F7891" s="6"/>
    </row>
    <row r="7892" spans="1:6" x14ac:dyDescent="0.3">
      <c r="A7892" s="8" t="s">
        <v>15742</v>
      </c>
      <c r="B7892" s="8" t="s">
        <v>61494</v>
      </c>
      <c r="C7892" s="8" t="s">
        <v>15743</v>
      </c>
      <c r="D7892" s="8"/>
      <c r="E7892" s="6"/>
      <c r="F7892" s="6"/>
    </row>
    <row r="7893" spans="1:6" x14ac:dyDescent="0.3">
      <c r="A7893" s="8" t="s">
        <v>15744</v>
      </c>
      <c r="B7893" s="8" t="s">
        <v>61495</v>
      </c>
      <c r="C7893" s="8" t="s">
        <v>15745</v>
      </c>
      <c r="D7893" s="8"/>
      <c r="E7893" s="6"/>
      <c r="F7893" s="6"/>
    </row>
    <row r="7894" spans="1:6" x14ac:dyDescent="0.3">
      <c r="A7894" s="8" t="s">
        <v>15746</v>
      </c>
      <c r="B7894" s="8" t="s">
        <v>61496</v>
      </c>
      <c r="C7894" s="8" t="s">
        <v>15747</v>
      </c>
      <c r="D7894" s="8"/>
      <c r="E7894" s="6"/>
      <c r="F7894" s="6"/>
    </row>
    <row r="7895" spans="1:6" x14ac:dyDescent="0.3">
      <c r="A7895" s="8" t="s">
        <v>15748</v>
      </c>
      <c r="B7895" s="8" t="s">
        <v>61497</v>
      </c>
      <c r="C7895" s="8" t="s">
        <v>15749</v>
      </c>
      <c r="D7895" s="8"/>
      <c r="E7895" s="6"/>
      <c r="F7895" s="6"/>
    </row>
    <row r="7896" spans="1:6" x14ac:dyDescent="0.3">
      <c r="A7896" s="8" t="s">
        <v>15750</v>
      </c>
      <c r="B7896" s="8" t="s">
        <v>61498</v>
      </c>
      <c r="C7896" s="8" t="s">
        <v>15751</v>
      </c>
      <c r="D7896" s="8"/>
      <c r="E7896" s="6"/>
      <c r="F7896" s="6"/>
    </row>
    <row r="7897" spans="1:6" x14ac:dyDescent="0.3">
      <c r="A7897" s="8" t="s">
        <v>15752</v>
      </c>
      <c r="B7897" s="8" t="s">
        <v>61499</v>
      </c>
      <c r="C7897" s="8" t="s">
        <v>15753</v>
      </c>
      <c r="D7897" s="8"/>
      <c r="E7897" s="6"/>
      <c r="F7897" s="6"/>
    </row>
    <row r="7898" spans="1:6" x14ac:dyDescent="0.3">
      <c r="A7898" s="8" t="s">
        <v>15754</v>
      </c>
      <c r="B7898" s="8" t="s">
        <v>61500</v>
      </c>
      <c r="C7898" s="8" t="s">
        <v>15755</v>
      </c>
      <c r="D7898" s="8"/>
      <c r="E7898" s="6"/>
      <c r="F7898" s="6"/>
    </row>
    <row r="7899" spans="1:6" x14ac:dyDescent="0.3">
      <c r="A7899" s="8" t="s">
        <v>15756</v>
      </c>
      <c r="B7899" s="8" t="s">
        <v>61501</v>
      </c>
      <c r="C7899" s="8" t="s">
        <v>15757</v>
      </c>
      <c r="D7899" s="8"/>
      <c r="E7899" s="6"/>
      <c r="F7899" s="6"/>
    </row>
    <row r="7900" spans="1:6" x14ac:dyDescent="0.3">
      <c r="A7900" s="8" t="s">
        <v>15758</v>
      </c>
      <c r="B7900" s="8" t="s">
        <v>61502</v>
      </c>
      <c r="C7900" s="8" t="s">
        <v>15759</v>
      </c>
      <c r="D7900" s="8"/>
      <c r="E7900" s="6"/>
      <c r="F7900" s="6"/>
    </row>
    <row r="7901" spans="1:6" x14ac:dyDescent="0.3">
      <c r="A7901" s="8" t="s">
        <v>15760</v>
      </c>
      <c r="B7901" s="8" t="s">
        <v>61503</v>
      </c>
      <c r="C7901" s="8" t="s">
        <v>15761</v>
      </c>
      <c r="D7901" s="8"/>
      <c r="E7901" s="6"/>
      <c r="F7901" s="6"/>
    </row>
    <row r="7902" spans="1:6" x14ac:dyDescent="0.3">
      <c r="A7902" s="8" t="s">
        <v>15762</v>
      </c>
      <c r="B7902" s="8" t="s">
        <v>61504</v>
      </c>
      <c r="C7902" s="8" t="s">
        <v>15763</v>
      </c>
      <c r="D7902" s="8"/>
      <c r="E7902" s="6"/>
      <c r="F7902" s="6"/>
    </row>
    <row r="7903" spans="1:6" x14ac:dyDescent="0.3">
      <c r="A7903" s="8" t="s">
        <v>15764</v>
      </c>
      <c r="B7903" s="8" t="s">
        <v>61505</v>
      </c>
      <c r="C7903" s="8" t="s">
        <v>15765</v>
      </c>
      <c r="D7903" s="8"/>
      <c r="E7903" s="6"/>
      <c r="F7903" s="6"/>
    </row>
    <row r="7904" spans="1:6" x14ac:dyDescent="0.3">
      <c r="A7904" s="8" t="s">
        <v>15766</v>
      </c>
      <c r="B7904" s="8" t="s">
        <v>61506</v>
      </c>
      <c r="C7904" s="8" t="s">
        <v>15767</v>
      </c>
      <c r="D7904" s="8"/>
      <c r="E7904" s="6"/>
      <c r="F7904" s="6"/>
    </row>
    <row r="7905" spans="1:6" x14ac:dyDescent="0.3">
      <c r="A7905" s="8" t="s">
        <v>15768</v>
      </c>
      <c r="B7905" s="8" t="s">
        <v>61507</v>
      </c>
      <c r="C7905" s="8" t="s">
        <v>15769</v>
      </c>
      <c r="D7905" s="8"/>
      <c r="E7905" s="6"/>
      <c r="F7905" s="6"/>
    </row>
    <row r="7906" spans="1:6" x14ac:dyDescent="0.3">
      <c r="A7906" s="8" t="s">
        <v>15770</v>
      </c>
      <c r="B7906" s="8" t="s">
        <v>61508</v>
      </c>
      <c r="C7906" s="8" t="s">
        <v>15771</v>
      </c>
      <c r="D7906" s="8"/>
      <c r="E7906" s="6"/>
      <c r="F7906" s="6"/>
    </row>
    <row r="7907" spans="1:6" x14ac:dyDescent="0.3">
      <c r="A7907" s="8" t="s">
        <v>15772</v>
      </c>
      <c r="B7907" s="8" t="s">
        <v>61509</v>
      </c>
      <c r="C7907" s="8" t="s">
        <v>15773</v>
      </c>
      <c r="D7907" s="8"/>
      <c r="E7907" s="6"/>
      <c r="F7907" s="6"/>
    </row>
    <row r="7908" spans="1:6" x14ac:dyDescent="0.3">
      <c r="A7908" s="8" t="s">
        <v>15774</v>
      </c>
      <c r="B7908" s="8" t="s">
        <v>61510</v>
      </c>
      <c r="C7908" s="8" t="s">
        <v>15775</v>
      </c>
      <c r="D7908" s="8"/>
      <c r="E7908" s="6"/>
      <c r="F7908" s="6"/>
    </row>
    <row r="7909" spans="1:6" x14ac:dyDescent="0.3">
      <c r="A7909" s="8" t="s">
        <v>15776</v>
      </c>
      <c r="B7909" s="8" t="s">
        <v>61511</v>
      </c>
      <c r="C7909" s="8" t="s">
        <v>15777</v>
      </c>
      <c r="D7909" s="8"/>
      <c r="E7909" s="6"/>
      <c r="F7909" s="6"/>
    </row>
    <row r="7910" spans="1:6" x14ac:dyDescent="0.3">
      <c r="A7910" s="8" t="s">
        <v>15778</v>
      </c>
      <c r="B7910" s="8" t="s">
        <v>61512</v>
      </c>
      <c r="C7910" s="8" t="s">
        <v>15779</v>
      </c>
      <c r="D7910" s="8"/>
      <c r="E7910" s="6"/>
      <c r="F7910" s="6"/>
    </row>
    <row r="7911" spans="1:6" x14ac:dyDescent="0.3">
      <c r="A7911" s="8" t="s">
        <v>15780</v>
      </c>
      <c r="B7911" s="8" t="s">
        <v>61513</v>
      </c>
      <c r="C7911" s="8" t="s">
        <v>15781</v>
      </c>
      <c r="D7911" s="8"/>
      <c r="E7911" s="6"/>
      <c r="F7911" s="6"/>
    </row>
    <row r="7912" spans="1:6" x14ac:dyDescent="0.3">
      <c r="A7912" s="8" t="s">
        <v>15782</v>
      </c>
      <c r="B7912" s="8" t="s">
        <v>61514</v>
      </c>
      <c r="C7912" s="8" t="s">
        <v>15783</v>
      </c>
      <c r="D7912" s="8"/>
      <c r="E7912" s="6"/>
      <c r="F7912" s="6"/>
    </row>
    <row r="7913" spans="1:6" x14ac:dyDescent="0.3">
      <c r="A7913" s="8" t="s">
        <v>15784</v>
      </c>
      <c r="B7913" s="8" t="s">
        <v>61515</v>
      </c>
      <c r="C7913" s="8" t="s">
        <v>15785</v>
      </c>
      <c r="D7913" s="8"/>
      <c r="E7913" s="6"/>
      <c r="F7913" s="6"/>
    </row>
    <row r="7914" spans="1:6" x14ac:dyDescent="0.3">
      <c r="A7914" s="8" t="s">
        <v>15786</v>
      </c>
      <c r="B7914" s="8" t="s">
        <v>61516</v>
      </c>
      <c r="C7914" s="8" t="s">
        <v>15787</v>
      </c>
      <c r="D7914" s="8"/>
      <c r="E7914" s="6"/>
      <c r="F7914" s="6"/>
    </row>
    <row r="7915" spans="1:6" x14ac:dyDescent="0.3">
      <c r="A7915" s="8" t="s">
        <v>15788</v>
      </c>
      <c r="B7915" s="8" t="s">
        <v>61517</v>
      </c>
      <c r="C7915" s="8" t="s">
        <v>15789</v>
      </c>
      <c r="D7915" s="8"/>
      <c r="E7915" s="6"/>
      <c r="F7915" s="6"/>
    </row>
    <row r="7916" spans="1:6" x14ac:dyDescent="0.3">
      <c r="A7916" s="8" t="s">
        <v>15790</v>
      </c>
      <c r="B7916" s="8" t="s">
        <v>61518</v>
      </c>
      <c r="C7916" s="8" t="s">
        <v>15791</v>
      </c>
      <c r="D7916" s="8"/>
      <c r="E7916" s="6"/>
      <c r="F7916" s="6"/>
    </row>
    <row r="7917" spans="1:6" x14ac:dyDescent="0.3">
      <c r="A7917" s="8" t="s">
        <v>15792</v>
      </c>
      <c r="B7917" s="8" t="s">
        <v>61519</v>
      </c>
      <c r="C7917" s="8" t="s">
        <v>15793</v>
      </c>
      <c r="D7917" s="8"/>
      <c r="E7917" s="6"/>
      <c r="F7917" s="6"/>
    </row>
    <row r="7918" spans="1:6" x14ac:dyDescent="0.3">
      <c r="A7918" s="8" t="s">
        <v>15794</v>
      </c>
      <c r="B7918" s="8" t="s">
        <v>61520</v>
      </c>
      <c r="C7918" s="8" t="s">
        <v>15795</v>
      </c>
      <c r="D7918" s="8"/>
      <c r="E7918" s="6"/>
      <c r="F7918" s="6"/>
    </row>
    <row r="7919" spans="1:6" x14ac:dyDescent="0.3">
      <c r="A7919" s="8" t="s">
        <v>15796</v>
      </c>
      <c r="B7919" s="8" t="s">
        <v>61521</v>
      </c>
      <c r="C7919" s="8" t="s">
        <v>15797</v>
      </c>
      <c r="D7919" s="8"/>
      <c r="E7919" s="6"/>
      <c r="F7919" s="6"/>
    </row>
    <row r="7920" spans="1:6" x14ac:dyDescent="0.3">
      <c r="A7920" s="8" t="s">
        <v>15798</v>
      </c>
      <c r="B7920" s="8" t="s">
        <v>61522</v>
      </c>
      <c r="C7920" s="8" t="s">
        <v>15799</v>
      </c>
      <c r="D7920" s="8"/>
      <c r="E7920" s="6"/>
      <c r="F7920" s="6"/>
    </row>
    <row r="7921" spans="1:6" x14ac:dyDescent="0.3">
      <c r="A7921" s="8" t="s">
        <v>15800</v>
      </c>
      <c r="B7921" s="8" t="s">
        <v>61523</v>
      </c>
      <c r="C7921" s="8" t="s">
        <v>15801</v>
      </c>
      <c r="D7921" s="8"/>
      <c r="E7921" s="6"/>
      <c r="F7921" s="6"/>
    </row>
    <row r="7922" spans="1:6" x14ac:dyDescent="0.3">
      <c r="A7922" s="8" t="s">
        <v>15802</v>
      </c>
      <c r="B7922" s="8" t="s">
        <v>61524</v>
      </c>
      <c r="C7922" s="8" t="s">
        <v>15803</v>
      </c>
      <c r="D7922" s="8"/>
      <c r="E7922" s="6"/>
      <c r="F7922" s="6"/>
    </row>
    <row r="7923" spans="1:6" x14ac:dyDescent="0.3">
      <c r="A7923" s="8" t="s">
        <v>15804</v>
      </c>
      <c r="B7923" s="8" t="s">
        <v>61525</v>
      </c>
      <c r="C7923" s="8" t="s">
        <v>15805</v>
      </c>
      <c r="D7923" s="8"/>
      <c r="E7923" s="6"/>
      <c r="F7923" s="6"/>
    </row>
    <row r="7924" spans="1:6" x14ac:dyDescent="0.3">
      <c r="A7924" s="8" t="s">
        <v>15806</v>
      </c>
      <c r="B7924" s="8" t="s">
        <v>61526</v>
      </c>
      <c r="C7924" s="8" t="s">
        <v>15807</v>
      </c>
      <c r="D7924" s="8"/>
      <c r="E7924" s="6"/>
      <c r="F7924" s="6"/>
    </row>
    <row r="7925" spans="1:6" x14ac:dyDescent="0.3">
      <c r="A7925" s="8" t="s">
        <v>15808</v>
      </c>
      <c r="B7925" s="8" t="s">
        <v>61527</v>
      </c>
      <c r="C7925" s="8" t="s">
        <v>15809</v>
      </c>
      <c r="D7925" s="8"/>
      <c r="E7925" s="6"/>
      <c r="F7925" s="6"/>
    </row>
    <row r="7926" spans="1:6" x14ac:dyDescent="0.3">
      <c r="A7926" s="8" t="s">
        <v>15810</v>
      </c>
      <c r="B7926" s="8" t="s">
        <v>61528</v>
      </c>
      <c r="C7926" s="8" t="s">
        <v>15811</v>
      </c>
      <c r="D7926" s="8"/>
      <c r="E7926" s="6"/>
      <c r="F7926" s="6"/>
    </row>
    <row r="7927" spans="1:6" x14ac:dyDescent="0.3">
      <c r="A7927" s="8" t="s">
        <v>15812</v>
      </c>
      <c r="B7927" s="8" t="s">
        <v>61529</v>
      </c>
      <c r="C7927" s="8" t="s">
        <v>15813</v>
      </c>
      <c r="D7927" s="8"/>
      <c r="E7927" s="6"/>
      <c r="F7927" s="6"/>
    </row>
    <row r="7928" spans="1:6" x14ac:dyDescent="0.3">
      <c r="A7928" s="8" t="s">
        <v>15814</v>
      </c>
      <c r="B7928" s="8" t="s">
        <v>61530</v>
      </c>
      <c r="C7928" s="8" t="s">
        <v>15815</v>
      </c>
      <c r="D7928" s="8"/>
      <c r="E7928" s="6"/>
      <c r="F7928" s="6"/>
    </row>
    <row r="7929" spans="1:6" x14ac:dyDescent="0.3">
      <c r="A7929" s="8" t="s">
        <v>15816</v>
      </c>
      <c r="B7929" s="8" t="s">
        <v>61531</v>
      </c>
      <c r="C7929" s="8" t="s">
        <v>15817</v>
      </c>
      <c r="D7929" s="8"/>
      <c r="E7929" s="6"/>
      <c r="F7929" s="6"/>
    </row>
    <row r="7930" spans="1:6" x14ac:dyDescent="0.3">
      <c r="A7930" s="8" t="s">
        <v>15818</v>
      </c>
      <c r="B7930" s="8" t="s">
        <v>61532</v>
      </c>
      <c r="C7930" s="8" t="s">
        <v>15819</v>
      </c>
      <c r="D7930" s="8"/>
      <c r="E7930" s="6"/>
      <c r="F7930" s="6"/>
    </row>
    <row r="7931" spans="1:6" x14ac:dyDescent="0.3">
      <c r="A7931" s="8" t="s">
        <v>15820</v>
      </c>
      <c r="B7931" s="8" t="s">
        <v>61533</v>
      </c>
      <c r="C7931" s="8" t="s">
        <v>15821</v>
      </c>
      <c r="D7931" s="8"/>
      <c r="E7931" s="6"/>
      <c r="F7931" s="6"/>
    </row>
    <row r="7932" spans="1:6" x14ac:dyDescent="0.3">
      <c r="A7932" s="8" t="s">
        <v>15822</v>
      </c>
      <c r="B7932" s="8" t="s">
        <v>61534</v>
      </c>
      <c r="C7932" s="8" t="s">
        <v>15823</v>
      </c>
      <c r="D7932" s="8"/>
      <c r="E7932" s="6"/>
      <c r="F7932" s="6"/>
    </row>
    <row r="7933" spans="1:6" x14ac:dyDescent="0.3">
      <c r="A7933" s="8" t="s">
        <v>15824</v>
      </c>
      <c r="B7933" s="8" t="s">
        <v>61535</v>
      </c>
      <c r="C7933" s="8" t="s">
        <v>15825</v>
      </c>
      <c r="D7933" s="8"/>
      <c r="E7933" s="6"/>
      <c r="F7933" s="6"/>
    </row>
    <row r="7934" spans="1:6" x14ac:dyDescent="0.3">
      <c r="A7934" s="8" t="s">
        <v>15826</v>
      </c>
      <c r="B7934" s="8" t="s">
        <v>61536</v>
      </c>
      <c r="C7934" s="8" t="s">
        <v>15827</v>
      </c>
      <c r="D7934" s="8"/>
      <c r="E7934" s="6"/>
      <c r="F7934" s="6"/>
    </row>
    <row r="7935" spans="1:6" x14ac:dyDescent="0.3">
      <c r="A7935" s="8" t="s">
        <v>15828</v>
      </c>
      <c r="B7935" s="8" t="s">
        <v>61537</v>
      </c>
      <c r="C7935" s="8" t="s">
        <v>15829</v>
      </c>
      <c r="D7935" s="8"/>
      <c r="E7935" s="6"/>
      <c r="F7935" s="6"/>
    </row>
    <row r="7936" spans="1:6" x14ac:dyDescent="0.3">
      <c r="A7936" s="8" t="s">
        <v>15830</v>
      </c>
      <c r="B7936" s="8" t="s">
        <v>61538</v>
      </c>
      <c r="C7936" s="8" t="s">
        <v>15831</v>
      </c>
      <c r="D7936" s="8"/>
      <c r="E7936" s="6"/>
      <c r="F7936" s="6"/>
    </row>
    <row r="7937" spans="1:6" x14ac:dyDescent="0.3">
      <c r="A7937" s="8" t="s">
        <v>15832</v>
      </c>
      <c r="B7937" s="8" t="s">
        <v>61539</v>
      </c>
      <c r="C7937" s="8" t="s">
        <v>15833</v>
      </c>
      <c r="D7937" s="8"/>
      <c r="E7937" s="6"/>
      <c r="F7937" s="6"/>
    </row>
    <row r="7938" spans="1:6" x14ac:dyDescent="0.3">
      <c r="A7938" s="8" t="s">
        <v>15834</v>
      </c>
      <c r="B7938" s="8" t="s">
        <v>61540</v>
      </c>
      <c r="C7938" s="8" t="s">
        <v>15835</v>
      </c>
      <c r="D7938" s="8"/>
      <c r="E7938" s="6"/>
      <c r="F7938" s="6"/>
    </row>
    <row r="7939" spans="1:6" x14ac:dyDescent="0.3">
      <c r="A7939" s="8" t="s">
        <v>15836</v>
      </c>
      <c r="B7939" s="8" t="s">
        <v>61541</v>
      </c>
      <c r="C7939" s="8" t="s">
        <v>15837</v>
      </c>
      <c r="D7939" s="8"/>
      <c r="E7939" s="6"/>
      <c r="F7939" s="6"/>
    </row>
    <row r="7940" spans="1:6" x14ac:dyDescent="0.3">
      <c r="A7940" s="8" t="s">
        <v>15838</v>
      </c>
      <c r="B7940" s="8" t="s">
        <v>61542</v>
      </c>
      <c r="C7940" s="8" t="s">
        <v>15839</v>
      </c>
      <c r="D7940" s="8"/>
      <c r="E7940" s="6"/>
      <c r="F7940" s="6"/>
    </row>
    <row r="7941" spans="1:6" x14ac:dyDescent="0.3">
      <c r="A7941" s="8" t="s">
        <v>15840</v>
      </c>
      <c r="B7941" s="8" t="s">
        <v>61543</v>
      </c>
      <c r="C7941" s="8" t="s">
        <v>15841</v>
      </c>
      <c r="D7941" s="8"/>
      <c r="E7941" s="6"/>
      <c r="F7941" s="6"/>
    </row>
    <row r="7942" spans="1:6" x14ac:dyDescent="0.3">
      <c r="A7942" s="8" t="s">
        <v>15842</v>
      </c>
      <c r="B7942" s="8" t="s">
        <v>61544</v>
      </c>
      <c r="C7942" s="8" t="s">
        <v>15843</v>
      </c>
      <c r="D7942" s="8"/>
      <c r="E7942" s="6"/>
      <c r="F7942" s="6"/>
    </row>
    <row r="7943" spans="1:6" x14ac:dyDescent="0.3">
      <c r="A7943" s="8" t="s">
        <v>15844</v>
      </c>
      <c r="B7943" s="8" t="s">
        <v>61545</v>
      </c>
      <c r="C7943" s="8" t="s">
        <v>15845</v>
      </c>
      <c r="D7943" s="8"/>
      <c r="E7943" s="6"/>
      <c r="F7943" s="6"/>
    </row>
    <row r="7944" spans="1:6" x14ac:dyDescent="0.3">
      <c r="A7944" s="8" t="s">
        <v>15846</v>
      </c>
      <c r="B7944" s="8" t="s">
        <v>61546</v>
      </c>
      <c r="C7944" s="8" t="s">
        <v>15847</v>
      </c>
      <c r="D7944" s="8"/>
      <c r="E7944" s="6"/>
      <c r="F7944" s="6"/>
    </row>
    <row r="7945" spans="1:6" x14ac:dyDescent="0.3">
      <c r="A7945" s="8" t="s">
        <v>15848</v>
      </c>
      <c r="B7945" s="8" t="s">
        <v>61547</v>
      </c>
      <c r="C7945" s="8" t="s">
        <v>15849</v>
      </c>
      <c r="D7945" s="8"/>
      <c r="E7945" s="6"/>
      <c r="F7945" s="6"/>
    </row>
    <row r="7946" spans="1:6" x14ac:dyDescent="0.3">
      <c r="A7946" s="8" t="s">
        <v>15850</v>
      </c>
      <c r="B7946" s="8" t="s">
        <v>61548</v>
      </c>
      <c r="C7946" s="8" t="s">
        <v>15851</v>
      </c>
      <c r="D7946" s="8"/>
      <c r="E7946" s="6"/>
      <c r="F7946" s="6"/>
    </row>
    <row r="7947" spans="1:6" x14ac:dyDescent="0.3">
      <c r="A7947" s="8" t="s">
        <v>15852</v>
      </c>
      <c r="B7947" s="8" t="s">
        <v>61549</v>
      </c>
      <c r="C7947" s="8" t="s">
        <v>15853</v>
      </c>
      <c r="D7947" s="8"/>
      <c r="E7947" s="6"/>
      <c r="F7947" s="6"/>
    </row>
    <row r="7948" spans="1:6" x14ac:dyDescent="0.3">
      <c r="A7948" s="8" t="s">
        <v>15854</v>
      </c>
      <c r="B7948" s="8" t="s">
        <v>61550</v>
      </c>
      <c r="C7948" s="8" t="s">
        <v>15855</v>
      </c>
      <c r="D7948" s="8"/>
      <c r="E7948" s="6"/>
      <c r="F7948" s="6"/>
    </row>
    <row r="7949" spans="1:6" x14ac:dyDescent="0.3">
      <c r="A7949" s="8" t="s">
        <v>15856</v>
      </c>
      <c r="B7949" s="8" t="s">
        <v>61551</v>
      </c>
      <c r="C7949" s="8" t="s">
        <v>15857</v>
      </c>
      <c r="D7949" s="8"/>
      <c r="E7949" s="6"/>
      <c r="F7949" s="6"/>
    </row>
    <row r="7950" spans="1:6" x14ac:dyDescent="0.3">
      <c r="A7950" s="8" t="s">
        <v>15858</v>
      </c>
      <c r="B7950" s="8" t="s">
        <v>61552</v>
      </c>
      <c r="C7950" s="8" t="s">
        <v>15859</v>
      </c>
      <c r="D7950" s="8"/>
      <c r="E7950" s="6"/>
      <c r="F7950" s="6"/>
    </row>
    <row r="7951" spans="1:6" x14ac:dyDescent="0.3">
      <c r="A7951" s="8" t="s">
        <v>15860</v>
      </c>
      <c r="B7951" s="8" t="s">
        <v>61553</v>
      </c>
      <c r="C7951" s="8" t="s">
        <v>15861</v>
      </c>
      <c r="D7951" s="8"/>
      <c r="E7951" s="6"/>
      <c r="F7951" s="6"/>
    </row>
    <row r="7952" spans="1:6" x14ac:dyDescent="0.3">
      <c r="A7952" s="8" t="s">
        <v>15862</v>
      </c>
      <c r="B7952" s="8" t="s">
        <v>61554</v>
      </c>
      <c r="C7952" s="8" t="s">
        <v>15863</v>
      </c>
      <c r="D7952" s="8"/>
      <c r="E7952" s="6"/>
      <c r="F7952" s="6"/>
    </row>
    <row r="7953" spans="1:6" x14ac:dyDescent="0.3">
      <c r="A7953" s="8" t="s">
        <v>15864</v>
      </c>
      <c r="B7953" s="8" t="s">
        <v>61555</v>
      </c>
      <c r="C7953" s="8" t="s">
        <v>15865</v>
      </c>
      <c r="D7953" s="8"/>
      <c r="E7953" s="6"/>
      <c r="F7953" s="6"/>
    </row>
    <row r="7954" spans="1:6" x14ac:dyDescent="0.3">
      <c r="A7954" s="8" t="s">
        <v>15866</v>
      </c>
      <c r="B7954" s="8" t="s">
        <v>61556</v>
      </c>
      <c r="C7954" s="8" t="s">
        <v>15867</v>
      </c>
      <c r="D7954" s="8"/>
      <c r="E7954" s="6"/>
      <c r="F7954" s="6"/>
    </row>
    <row r="7955" spans="1:6" x14ac:dyDescent="0.3">
      <c r="A7955" s="8" t="s">
        <v>15868</v>
      </c>
      <c r="B7955" s="8" t="s">
        <v>61557</v>
      </c>
      <c r="C7955" s="8" t="s">
        <v>15869</v>
      </c>
      <c r="D7955" s="8"/>
      <c r="E7955" s="6"/>
      <c r="F7955" s="6"/>
    </row>
    <row r="7956" spans="1:6" x14ac:dyDescent="0.3">
      <c r="A7956" s="8" t="s">
        <v>15870</v>
      </c>
      <c r="B7956" s="8" t="s">
        <v>61558</v>
      </c>
      <c r="C7956" s="8" t="s">
        <v>15871</v>
      </c>
      <c r="D7956" s="8"/>
      <c r="E7956" s="6"/>
      <c r="F7956" s="6"/>
    </row>
    <row r="7957" spans="1:6" x14ac:dyDescent="0.3">
      <c r="A7957" s="8" t="s">
        <v>15872</v>
      </c>
      <c r="B7957" s="8" t="s">
        <v>61559</v>
      </c>
      <c r="C7957" s="8" t="s">
        <v>15873</v>
      </c>
      <c r="D7957" s="8"/>
      <c r="E7957" s="6"/>
      <c r="F7957" s="6"/>
    </row>
    <row r="7958" spans="1:6" x14ac:dyDescent="0.3">
      <c r="A7958" s="8" t="s">
        <v>15874</v>
      </c>
      <c r="B7958" s="8" t="s">
        <v>61560</v>
      </c>
      <c r="C7958" s="8" t="s">
        <v>15875</v>
      </c>
      <c r="D7958" s="8"/>
      <c r="E7958" s="6"/>
      <c r="F7958" s="6"/>
    </row>
    <row r="7959" spans="1:6" x14ac:dyDescent="0.3">
      <c r="A7959" s="8" t="s">
        <v>15876</v>
      </c>
      <c r="B7959" s="8" t="s">
        <v>61561</v>
      </c>
      <c r="C7959" s="8" t="s">
        <v>15877</v>
      </c>
      <c r="D7959" s="8"/>
      <c r="E7959" s="6"/>
      <c r="F7959" s="6"/>
    </row>
    <row r="7960" spans="1:6" x14ac:dyDescent="0.3">
      <c r="A7960" s="8" t="s">
        <v>15878</v>
      </c>
      <c r="B7960" s="8" t="s">
        <v>61562</v>
      </c>
      <c r="C7960" s="8" t="s">
        <v>15879</v>
      </c>
      <c r="D7960" s="8"/>
      <c r="E7960" s="6"/>
      <c r="F7960" s="6"/>
    </row>
    <row r="7961" spans="1:6" x14ac:dyDescent="0.3">
      <c r="A7961" s="8" t="s">
        <v>15880</v>
      </c>
      <c r="B7961" s="8" t="s">
        <v>61563</v>
      </c>
      <c r="C7961" s="8" t="s">
        <v>15881</v>
      </c>
      <c r="D7961" s="8"/>
      <c r="E7961" s="6"/>
      <c r="F7961" s="6"/>
    </row>
    <row r="7962" spans="1:6" x14ac:dyDescent="0.3">
      <c r="A7962" s="8" t="s">
        <v>15882</v>
      </c>
      <c r="B7962" s="8" t="s">
        <v>61564</v>
      </c>
      <c r="C7962" s="8" t="s">
        <v>15883</v>
      </c>
      <c r="D7962" s="8"/>
      <c r="E7962" s="6"/>
      <c r="F7962" s="6"/>
    </row>
    <row r="7963" spans="1:6" x14ac:dyDescent="0.3">
      <c r="A7963" s="8" t="s">
        <v>15884</v>
      </c>
      <c r="B7963" s="8" t="s">
        <v>61565</v>
      </c>
      <c r="C7963" s="8" t="s">
        <v>15885</v>
      </c>
      <c r="D7963" s="8"/>
      <c r="E7963" s="6"/>
      <c r="F7963" s="6"/>
    </row>
    <row r="7964" spans="1:6" x14ac:dyDescent="0.3">
      <c r="A7964" s="8" t="s">
        <v>15886</v>
      </c>
      <c r="B7964" s="8" t="s">
        <v>61566</v>
      </c>
      <c r="C7964" s="8" t="s">
        <v>15887</v>
      </c>
      <c r="D7964" s="8"/>
      <c r="E7964" s="6"/>
      <c r="F7964" s="6"/>
    </row>
    <row r="7965" spans="1:6" x14ac:dyDescent="0.3">
      <c r="A7965" s="8" t="s">
        <v>15888</v>
      </c>
      <c r="B7965" s="8" t="s">
        <v>61567</v>
      </c>
      <c r="C7965" s="8" t="s">
        <v>15889</v>
      </c>
      <c r="D7965" s="8"/>
      <c r="E7965" s="6"/>
      <c r="F7965" s="6"/>
    </row>
    <row r="7966" spans="1:6" x14ac:dyDescent="0.3">
      <c r="A7966" s="8" t="s">
        <v>15890</v>
      </c>
      <c r="B7966" s="8" t="s">
        <v>61568</v>
      </c>
      <c r="C7966" s="8" t="s">
        <v>15891</v>
      </c>
      <c r="D7966" s="8"/>
      <c r="E7966" s="6"/>
      <c r="F7966" s="6"/>
    </row>
    <row r="7967" spans="1:6" x14ac:dyDescent="0.3">
      <c r="A7967" s="8" t="s">
        <v>15892</v>
      </c>
      <c r="B7967" s="8" t="s">
        <v>61569</v>
      </c>
      <c r="C7967" s="8" t="s">
        <v>15893</v>
      </c>
      <c r="D7967" s="8"/>
      <c r="E7967" s="6"/>
      <c r="F7967" s="6"/>
    </row>
    <row r="7968" spans="1:6" x14ac:dyDescent="0.3">
      <c r="A7968" s="8" t="s">
        <v>15894</v>
      </c>
      <c r="B7968" s="8" t="s">
        <v>61570</v>
      </c>
      <c r="C7968" s="8" t="s">
        <v>15895</v>
      </c>
      <c r="D7968" s="8"/>
      <c r="E7968" s="6"/>
      <c r="F7968" s="6"/>
    </row>
    <row r="7969" spans="1:6" x14ac:dyDescent="0.3">
      <c r="A7969" s="8" t="s">
        <v>15896</v>
      </c>
      <c r="B7969" s="8" t="s">
        <v>61571</v>
      </c>
      <c r="C7969" s="8" t="s">
        <v>15897</v>
      </c>
      <c r="D7969" s="8"/>
      <c r="E7969" s="6"/>
      <c r="F7969" s="6"/>
    </row>
    <row r="7970" spans="1:6" x14ac:dyDescent="0.3">
      <c r="A7970" s="8" t="s">
        <v>15898</v>
      </c>
      <c r="B7970" s="8" t="s">
        <v>61572</v>
      </c>
      <c r="C7970" s="8" t="s">
        <v>15899</v>
      </c>
      <c r="D7970" s="8"/>
      <c r="E7970" s="6"/>
      <c r="F7970" s="6"/>
    </row>
    <row r="7971" spans="1:6" x14ac:dyDescent="0.3">
      <c r="A7971" s="8" t="s">
        <v>15900</v>
      </c>
      <c r="B7971" s="8" t="s">
        <v>61573</v>
      </c>
      <c r="C7971" s="8" t="s">
        <v>15901</v>
      </c>
      <c r="D7971" s="8"/>
      <c r="E7971" s="6"/>
      <c r="F7971" s="6"/>
    </row>
    <row r="7972" spans="1:6" x14ac:dyDescent="0.3">
      <c r="A7972" s="8" t="s">
        <v>15902</v>
      </c>
      <c r="B7972" s="8" t="s">
        <v>61574</v>
      </c>
      <c r="C7972" s="8" t="s">
        <v>15903</v>
      </c>
      <c r="D7972" s="8"/>
      <c r="E7972" s="6"/>
      <c r="F7972" s="6"/>
    </row>
    <row r="7973" spans="1:6" x14ac:dyDescent="0.3">
      <c r="A7973" s="8" t="s">
        <v>15904</v>
      </c>
      <c r="B7973" s="8" t="s">
        <v>61575</v>
      </c>
      <c r="C7973" s="8" t="s">
        <v>15905</v>
      </c>
      <c r="D7973" s="8"/>
      <c r="E7973" s="6"/>
      <c r="F7973" s="6"/>
    </row>
    <row r="7974" spans="1:6" x14ac:dyDescent="0.3">
      <c r="A7974" s="8" t="s">
        <v>15906</v>
      </c>
      <c r="B7974" s="8" t="s">
        <v>61576</v>
      </c>
      <c r="C7974" s="8" t="s">
        <v>15907</v>
      </c>
      <c r="D7974" s="8"/>
      <c r="E7974" s="6"/>
      <c r="F7974" s="6"/>
    </row>
    <row r="7975" spans="1:6" x14ac:dyDescent="0.3">
      <c r="A7975" s="8" t="s">
        <v>15908</v>
      </c>
      <c r="B7975" s="8" t="s">
        <v>61577</v>
      </c>
      <c r="C7975" s="8" t="s">
        <v>15909</v>
      </c>
      <c r="D7975" s="8"/>
      <c r="E7975" s="6"/>
      <c r="F7975" s="6"/>
    </row>
    <row r="7976" spans="1:6" x14ac:dyDescent="0.3">
      <c r="A7976" s="8" t="s">
        <v>15910</v>
      </c>
      <c r="B7976" s="8" t="s">
        <v>61578</v>
      </c>
      <c r="C7976" s="8" t="s">
        <v>15911</v>
      </c>
      <c r="D7976" s="8"/>
      <c r="E7976" s="6"/>
      <c r="F7976" s="6"/>
    </row>
    <row r="7977" spans="1:6" x14ac:dyDescent="0.3">
      <c r="A7977" s="8" t="s">
        <v>15912</v>
      </c>
      <c r="B7977" s="8" t="s">
        <v>61579</v>
      </c>
      <c r="C7977" s="8" t="s">
        <v>15913</v>
      </c>
      <c r="D7977" s="8"/>
      <c r="E7977" s="6"/>
      <c r="F7977" s="6"/>
    </row>
    <row r="7978" spans="1:6" x14ac:dyDescent="0.3">
      <c r="A7978" s="8" t="s">
        <v>15914</v>
      </c>
      <c r="B7978" s="8" t="s">
        <v>61580</v>
      </c>
      <c r="C7978" s="8" t="s">
        <v>15915</v>
      </c>
      <c r="D7978" s="8"/>
      <c r="E7978" s="6"/>
      <c r="F7978" s="6"/>
    </row>
    <row r="7979" spans="1:6" x14ac:dyDescent="0.3">
      <c r="A7979" s="8" t="s">
        <v>15916</v>
      </c>
      <c r="B7979" s="8" t="s">
        <v>61581</v>
      </c>
      <c r="C7979" s="8" t="s">
        <v>15917</v>
      </c>
      <c r="D7979" s="8"/>
      <c r="E7979" s="6"/>
      <c r="F7979" s="6"/>
    </row>
    <row r="7980" spans="1:6" x14ac:dyDescent="0.3">
      <c r="A7980" s="8" t="s">
        <v>15918</v>
      </c>
      <c r="B7980" s="8" t="s">
        <v>61582</v>
      </c>
      <c r="C7980" s="8" t="s">
        <v>15919</v>
      </c>
      <c r="D7980" s="8"/>
      <c r="E7980" s="6"/>
      <c r="F7980" s="6"/>
    </row>
    <row r="7981" spans="1:6" x14ac:dyDescent="0.3">
      <c r="A7981" s="8" t="s">
        <v>15920</v>
      </c>
      <c r="B7981" s="8" t="s">
        <v>61583</v>
      </c>
      <c r="C7981" s="8" t="s">
        <v>15921</v>
      </c>
      <c r="D7981" s="8"/>
      <c r="E7981" s="6"/>
      <c r="F7981" s="6"/>
    </row>
    <row r="7982" spans="1:6" x14ac:dyDescent="0.3">
      <c r="A7982" s="8" t="s">
        <v>15922</v>
      </c>
      <c r="B7982" s="8" t="s">
        <v>61584</v>
      </c>
      <c r="C7982" s="8" t="s">
        <v>15923</v>
      </c>
      <c r="D7982" s="8"/>
      <c r="E7982" s="6"/>
      <c r="F7982" s="6"/>
    </row>
    <row r="7983" spans="1:6" x14ac:dyDescent="0.3">
      <c r="A7983" s="8" t="s">
        <v>15924</v>
      </c>
      <c r="B7983" s="8" t="s">
        <v>61585</v>
      </c>
      <c r="C7983" s="8" t="s">
        <v>15925</v>
      </c>
      <c r="D7983" s="8"/>
      <c r="E7983" s="6"/>
      <c r="F7983" s="6"/>
    </row>
    <row r="7984" spans="1:6" x14ac:dyDescent="0.3">
      <c r="A7984" s="8" t="s">
        <v>15926</v>
      </c>
      <c r="B7984" s="8" t="s">
        <v>61586</v>
      </c>
      <c r="C7984" s="8" t="s">
        <v>15927</v>
      </c>
      <c r="D7984" s="8"/>
      <c r="E7984" s="6"/>
      <c r="F7984" s="6"/>
    </row>
    <row r="7985" spans="1:6" x14ac:dyDescent="0.3">
      <c r="A7985" s="8" t="s">
        <v>15928</v>
      </c>
      <c r="B7985" s="8" t="s">
        <v>61587</v>
      </c>
      <c r="C7985" s="8" t="s">
        <v>15929</v>
      </c>
      <c r="D7985" s="8"/>
      <c r="E7985" s="6"/>
      <c r="F7985" s="6"/>
    </row>
    <row r="7986" spans="1:6" x14ac:dyDescent="0.3">
      <c r="A7986" s="8" t="s">
        <v>15930</v>
      </c>
      <c r="B7986" s="8" t="s">
        <v>61588</v>
      </c>
      <c r="C7986" s="8" t="s">
        <v>15931</v>
      </c>
      <c r="D7986" s="8"/>
      <c r="E7986" s="6"/>
      <c r="F7986" s="6"/>
    </row>
    <row r="7987" spans="1:6" x14ac:dyDescent="0.3">
      <c r="A7987" s="8" t="s">
        <v>15932</v>
      </c>
      <c r="B7987" s="8" t="s">
        <v>61589</v>
      </c>
      <c r="C7987" s="8" t="s">
        <v>15933</v>
      </c>
      <c r="D7987" s="8"/>
      <c r="E7987" s="6"/>
      <c r="F7987" s="6"/>
    </row>
    <row r="7988" spans="1:6" x14ac:dyDescent="0.3">
      <c r="A7988" s="8" t="s">
        <v>15934</v>
      </c>
      <c r="B7988" s="8" t="s">
        <v>61590</v>
      </c>
      <c r="C7988" s="8" t="s">
        <v>15935</v>
      </c>
      <c r="D7988" s="8"/>
      <c r="E7988" s="6"/>
      <c r="F7988" s="6"/>
    </row>
    <row r="7989" spans="1:6" x14ac:dyDescent="0.3">
      <c r="A7989" s="8" t="s">
        <v>15936</v>
      </c>
      <c r="B7989" s="8" t="s">
        <v>61591</v>
      </c>
      <c r="C7989" s="8" t="s">
        <v>15937</v>
      </c>
      <c r="D7989" s="8"/>
      <c r="E7989" s="6"/>
      <c r="F7989" s="6"/>
    </row>
    <row r="7990" spans="1:6" x14ac:dyDescent="0.3">
      <c r="A7990" s="8" t="s">
        <v>15938</v>
      </c>
      <c r="B7990" s="8" t="s">
        <v>61592</v>
      </c>
      <c r="C7990" s="8" t="s">
        <v>15939</v>
      </c>
      <c r="D7990" s="8"/>
      <c r="E7990" s="6"/>
      <c r="F7990" s="6"/>
    </row>
    <row r="7991" spans="1:6" x14ac:dyDescent="0.3">
      <c r="A7991" s="8" t="s">
        <v>15940</v>
      </c>
      <c r="B7991" s="8" t="s">
        <v>61593</v>
      </c>
      <c r="C7991" s="8" t="s">
        <v>15941</v>
      </c>
      <c r="D7991" s="8"/>
      <c r="E7991" s="6"/>
      <c r="F7991" s="6"/>
    </row>
    <row r="7992" spans="1:6" x14ac:dyDescent="0.3">
      <c r="A7992" s="8" t="s">
        <v>15942</v>
      </c>
      <c r="B7992" s="8" t="s">
        <v>61594</v>
      </c>
      <c r="C7992" s="8" t="s">
        <v>15943</v>
      </c>
      <c r="D7992" s="8"/>
      <c r="E7992" s="6"/>
      <c r="F7992" s="6"/>
    </row>
    <row r="7993" spans="1:6" x14ac:dyDescent="0.3">
      <c r="A7993" s="8" t="s">
        <v>15944</v>
      </c>
      <c r="B7993" s="8" t="s">
        <v>61595</v>
      </c>
      <c r="C7993" s="8" t="s">
        <v>15945</v>
      </c>
      <c r="D7993" s="8"/>
      <c r="E7993" s="6"/>
      <c r="F7993" s="6"/>
    </row>
    <row r="7994" spans="1:6" ht="28.8" x14ac:dyDescent="0.3">
      <c r="A7994" s="8" t="s">
        <v>15946</v>
      </c>
      <c r="B7994" s="8" t="s">
        <v>61596</v>
      </c>
      <c r="C7994" s="8" t="s">
        <v>15947</v>
      </c>
      <c r="D7994" s="8"/>
      <c r="E7994" s="6"/>
      <c r="F7994" s="6"/>
    </row>
    <row r="7995" spans="1:6" x14ac:dyDescent="0.3">
      <c r="A7995" s="8" t="s">
        <v>15948</v>
      </c>
      <c r="B7995" s="8" t="s">
        <v>61597</v>
      </c>
      <c r="C7995" s="8" t="s">
        <v>15949</v>
      </c>
      <c r="D7995" s="8"/>
      <c r="E7995" s="6"/>
      <c r="F7995" s="6"/>
    </row>
    <row r="7996" spans="1:6" x14ac:dyDescent="0.3">
      <c r="A7996" s="8" t="s">
        <v>15950</v>
      </c>
      <c r="B7996" s="8" t="s">
        <v>61598</v>
      </c>
      <c r="C7996" s="8" t="s">
        <v>15951</v>
      </c>
      <c r="D7996" s="8"/>
      <c r="E7996" s="6"/>
      <c r="F7996" s="6"/>
    </row>
    <row r="7997" spans="1:6" x14ac:dyDescent="0.3">
      <c r="A7997" s="8" t="s">
        <v>15952</v>
      </c>
      <c r="B7997" s="8" t="s">
        <v>61599</v>
      </c>
      <c r="C7997" s="8" t="s">
        <v>15953</v>
      </c>
      <c r="D7997" s="8"/>
      <c r="E7997" s="6"/>
      <c r="F7997" s="6"/>
    </row>
    <row r="7998" spans="1:6" x14ac:dyDescent="0.3">
      <c r="A7998" s="8" t="s">
        <v>15954</v>
      </c>
      <c r="B7998" s="8" t="s">
        <v>61600</v>
      </c>
      <c r="C7998" s="8" t="s">
        <v>15955</v>
      </c>
      <c r="D7998" s="8"/>
      <c r="E7998" s="6"/>
      <c r="F7998" s="6"/>
    </row>
    <row r="7999" spans="1:6" x14ac:dyDescent="0.3">
      <c r="A7999" s="8" t="s">
        <v>15956</v>
      </c>
      <c r="B7999" s="8" t="s">
        <v>61601</v>
      </c>
      <c r="C7999" s="8" t="s">
        <v>15957</v>
      </c>
      <c r="D7999" s="8"/>
      <c r="E7999" s="6"/>
      <c r="F7999" s="6"/>
    </row>
    <row r="8000" spans="1:6" x14ac:dyDescent="0.3">
      <c r="A8000" s="8" t="s">
        <v>15958</v>
      </c>
      <c r="B8000" s="8" t="s">
        <v>61602</v>
      </c>
      <c r="C8000" s="8" t="s">
        <v>15959</v>
      </c>
      <c r="D8000" s="8"/>
      <c r="E8000" s="6"/>
      <c r="F8000" s="6"/>
    </row>
    <row r="8001" spans="1:6" x14ac:dyDescent="0.3">
      <c r="A8001" s="8" t="s">
        <v>15960</v>
      </c>
      <c r="B8001" s="8" t="s">
        <v>61603</v>
      </c>
      <c r="C8001" s="8" t="s">
        <v>15961</v>
      </c>
      <c r="D8001" s="8"/>
      <c r="E8001" s="6"/>
      <c r="F8001" s="6"/>
    </row>
    <row r="8002" spans="1:6" x14ac:dyDescent="0.3">
      <c r="A8002" s="8" t="s">
        <v>15962</v>
      </c>
      <c r="B8002" s="8" t="s">
        <v>61604</v>
      </c>
      <c r="C8002" s="8" t="s">
        <v>15963</v>
      </c>
      <c r="D8002" s="8"/>
      <c r="E8002" s="6"/>
      <c r="F8002" s="6"/>
    </row>
    <row r="8003" spans="1:6" x14ac:dyDescent="0.3">
      <c r="A8003" s="8" t="s">
        <v>15964</v>
      </c>
      <c r="B8003" s="8" t="s">
        <v>61605</v>
      </c>
      <c r="C8003" s="8" t="s">
        <v>15965</v>
      </c>
      <c r="D8003" s="8"/>
      <c r="E8003" s="6"/>
      <c r="F8003" s="6"/>
    </row>
    <row r="8004" spans="1:6" x14ac:dyDescent="0.3">
      <c r="A8004" s="8" t="s">
        <v>15966</v>
      </c>
      <c r="B8004" s="8" t="s">
        <v>61606</v>
      </c>
      <c r="C8004" s="8" t="s">
        <v>15967</v>
      </c>
      <c r="D8004" s="8"/>
      <c r="E8004" s="6"/>
      <c r="F8004" s="6"/>
    </row>
    <row r="8005" spans="1:6" x14ac:dyDescent="0.3">
      <c r="A8005" s="8" t="s">
        <v>15968</v>
      </c>
      <c r="B8005" s="8" t="s">
        <v>61607</v>
      </c>
      <c r="C8005" s="8" t="s">
        <v>15969</v>
      </c>
      <c r="D8005" s="8"/>
      <c r="E8005" s="6"/>
      <c r="F8005" s="6"/>
    </row>
    <row r="8006" spans="1:6" x14ac:dyDescent="0.3">
      <c r="A8006" s="8" t="s">
        <v>15970</v>
      </c>
      <c r="B8006" s="8" t="s">
        <v>61608</v>
      </c>
      <c r="C8006" s="8" t="s">
        <v>15971</v>
      </c>
      <c r="D8006" s="8"/>
      <c r="E8006" s="6"/>
      <c r="F8006" s="6"/>
    </row>
    <row r="8007" spans="1:6" x14ac:dyDescent="0.3">
      <c r="A8007" s="8" t="s">
        <v>15972</v>
      </c>
      <c r="B8007" s="8" t="s">
        <v>61609</v>
      </c>
      <c r="C8007" s="8" t="s">
        <v>15973</v>
      </c>
      <c r="D8007" s="8"/>
      <c r="E8007" s="6"/>
      <c r="F8007" s="6"/>
    </row>
    <row r="8008" spans="1:6" x14ac:dyDescent="0.3">
      <c r="A8008" s="8" t="s">
        <v>15974</v>
      </c>
      <c r="B8008" s="8" t="s">
        <v>61610</v>
      </c>
      <c r="C8008" s="8" t="s">
        <v>15975</v>
      </c>
      <c r="D8008" s="8"/>
      <c r="E8008" s="6"/>
      <c r="F8008" s="6"/>
    </row>
    <row r="8009" spans="1:6" x14ac:dyDescent="0.3">
      <c r="A8009" s="8" t="s">
        <v>15976</v>
      </c>
      <c r="B8009" s="8" t="s">
        <v>61611</v>
      </c>
      <c r="C8009" s="8" t="s">
        <v>15977</v>
      </c>
      <c r="D8009" s="8"/>
      <c r="E8009" s="6"/>
      <c r="F8009" s="6"/>
    </row>
    <row r="8010" spans="1:6" x14ac:dyDescent="0.3">
      <c r="A8010" s="8" t="s">
        <v>15978</v>
      </c>
      <c r="B8010" s="8" t="s">
        <v>61612</v>
      </c>
      <c r="C8010" s="8" t="s">
        <v>15979</v>
      </c>
      <c r="D8010" s="8"/>
      <c r="E8010" s="6"/>
      <c r="F8010" s="6"/>
    </row>
    <row r="8011" spans="1:6" x14ac:dyDescent="0.3">
      <c r="A8011" s="8" t="s">
        <v>15980</v>
      </c>
      <c r="B8011" s="8" t="s">
        <v>61613</v>
      </c>
      <c r="C8011" s="8" t="s">
        <v>15981</v>
      </c>
      <c r="D8011" s="8"/>
      <c r="E8011" s="6"/>
      <c r="F8011" s="6"/>
    </row>
    <row r="8012" spans="1:6" x14ac:dyDescent="0.3">
      <c r="A8012" s="8" t="s">
        <v>15982</v>
      </c>
      <c r="B8012" s="8" t="s">
        <v>61614</v>
      </c>
      <c r="C8012" s="8" t="s">
        <v>15983</v>
      </c>
      <c r="D8012" s="8"/>
      <c r="E8012" s="6"/>
      <c r="F8012" s="6"/>
    </row>
    <row r="8013" spans="1:6" x14ac:dyDescent="0.3">
      <c r="A8013" s="8" t="s">
        <v>15984</v>
      </c>
      <c r="B8013" s="8" t="s">
        <v>61615</v>
      </c>
      <c r="C8013" s="8" t="s">
        <v>15985</v>
      </c>
      <c r="D8013" s="8"/>
      <c r="E8013" s="6"/>
      <c r="F8013" s="6"/>
    </row>
    <row r="8014" spans="1:6" x14ac:dyDescent="0.3">
      <c r="A8014" s="8" t="s">
        <v>15986</v>
      </c>
      <c r="B8014" s="8" t="s">
        <v>61616</v>
      </c>
      <c r="C8014" s="8" t="s">
        <v>15987</v>
      </c>
      <c r="D8014" s="8"/>
      <c r="E8014" s="6"/>
      <c r="F8014" s="6"/>
    </row>
    <row r="8015" spans="1:6" x14ac:dyDescent="0.3">
      <c r="A8015" s="8" t="s">
        <v>15988</v>
      </c>
      <c r="B8015" s="8" t="s">
        <v>61617</v>
      </c>
      <c r="C8015" s="8" t="s">
        <v>15989</v>
      </c>
      <c r="D8015" s="8"/>
      <c r="E8015" s="6"/>
      <c r="F8015" s="6"/>
    </row>
    <row r="8016" spans="1:6" x14ac:dyDescent="0.3">
      <c r="A8016" s="8" t="s">
        <v>15990</v>
      </c>
      <c r="B8016" s="8" t="s">
        <v>61618</v>
      </c>
      <c r="C8016" s="8" t="s">
        <v>15991</v>
      </c>
      <c r="D8016" s="8"/>
      <c r="E8016" s="6"/>
      <c r="F8016" s="6"/>
    </row>
    <row r="8017" spans="1:6" x14ac:dyDescent="0.3">
      <c r="A8017" s="8" t="s">
        <v>15992</v>
      </c>
      <c r="B8017" s="8" t="s">
        <v>61619</v>
      </c>
      <c r="C8017" s="8" t="s">
        <v>15993</v>
      </c>
      <c r="D8017" s="8"/>
      <c r="E8017" s="6"/>
      <c r="F8017" s="6"/>
    </row>
    <row r="8018" spans="1:6" x14ac:dyDescent="0.3">
      <c r="A8018" s="8" t="s">
        <v>15994</v>
      </c>
      <c r="B8018" s="8" t="s">
        <v>61620</v>
      </c>
      <c r="C8018" s="8" t="s">
        <v>15995</v>
      </c>
      <c r="D8018" s="8"/>
      <c r="E8018" s="6"/>
      <c r="F8018" s="6"/>
    </row>
    <row r="8019" spans="1:6" x14ac:dyDescent="0.3">
      <c r="A8019" s="8" t="s">
        <v>15996</v>
      </c>
      <c r="B8019" s="8" t="s">
        <v>61621</v>
      </c>
      <c r="C8019" s="8" t="s">
        <v>15997</v>
      </c>
      <c r="D8019" s="8"/>
      <c r="E8019" s="6"/>
      <c r="F8019" s="6"/>
    </row>
    <row r="8020" spans="1:6" x14ac:dyDescent="0.3">
      <c r="A8020" s="8" t="s">
        <v>15998</v>
      </c>
      <c r="B8020" s="8" t="s">
        <v>61622</v>
      </c>
      <c r="C8020" s="8" t="s">
        <v>15999</v>
      </c>
      <c r="D8020" s="8"/>
      <c r="E8020" s="6"/>
      <c r="F8020" s="6"/>
    </row>
    <row r="8021" spans="1:6" x14ac:dyDescent="0.3">
      <c r="A8021" s="8" t="s">
        <v>16000</v>
      </c>
      <c r="B8021" s="8" t="s">
        <v>61623</v>
      </c>
      <c r="C8021" s="8" t="s">
        <v>16001</v>
      </c>
      <c r="D8021" s="8"/>
      <c r="E8021" s="6"/>
      <c r="F8021" s="6"/>
    </row>
    <row r="8022" spans="1:6" x14ac:dyDescent="0.3">
      <c r="A8022" s="8" t="s">
        <v>16002</v>
      </c>
      <c r="B8022" s="8" t="s">
        <v>61624</v>
      </c>
      <c r="C8022" s="8" t="s">
        <v>16003</v>
      </c>
      <c r="D8022" s="8"/>
      <c r="E8022" s="6"/>
      <c r="F8022" s="6"/>
    </row>
    <row r="8023" spans="1:6" x14ac:dyDescent="0.3">
      <c r="A8023" s="8" t="s">
        <v>16004</v>
      </c>
      <c r="B8023" s="8" t="s">
        <v>61625</v>
      </c>
      <c r="C8023" s="8" t="s">
        <v>16005</v>
      </c>
      <c r="D8023" s="8"/>
      <c r="E8023" s="6"/>
      <c r="F8023" s="6"/>
    </row>
    <row r="8024" spans="1:6" x14ac:dyDescent="0.3">
      <c r="A8024" s="8" t="s">
        <v>16006</v>
      </c>
      <c r="B8024" s="8" t="s">
        <v>61626</v>
      </c>
      <c r="C8024" s="8" t="s">
        <v>16007</v>
      </c>
      <c r="D8024" s="8"/>
      <c r="E8024" s="6"/>
      <c r="F8024" s="6"/>
    </row>
    <row r="8025" spans="1:6" x14ac:dyDescent="0.3">
      <c r="A8025" s="8" t="s">
        <v>16008</v>
      </c>
      <c r="B8025" s="8" t="s">
        <v>61627</v>
      </c>
      <c r="C8025" s="8" t="s">
        <v>16009</v>
      </c>
      <c r="D8025" s="8"/>
      <c r="E8025" s="6"/>
      <c r="F8025" s="6"/>
    </row>
    <row r="8026" spans="1:6" x14ac:dyDescent="0.3">
      <c r="A8026" s="8" t="s">
        <v>16010</v>
      </c>
      <c r="B8026" s="8" t="s">
        <v>61628</v>
      </c>
      <c r="C8026" s="8" t="s">
        <v>16011</v>
      </c>
      <c r="D8026" s="8"/>
      <c r="E8026" s="6"/>
      <c r="F8026" s="6"/>
    </row>
    <row r="8027" spans="1:6" x14ac:dyDescent="0.3">
      <c r="A8027" s="8" t="s">
        <v>16012</v>
      </c>
      <c r="B8027" s="8" t="s">
        <v>61629</v>
      </c>
      <c r="C8027" s="8" t="s">
        <v>16013</v>
      </c>
      <c r="D8027" s="8"/>
      <c r="E8027" s="6"/>
      <c r="F8027" s="6"/>
    </row>
    <row r="8028" spans="1:6" x14ac:dyDescent="0.3">
      <c r="A8028" s="8" t="s">
        <v>16014</v>
      </c>
      <c r="B8028" s="8" t="s">
        <v>61630</v>
      </c>
      <c r="C8028" s="8" t="s">
        <v>16015</v>
      </c>
      <c r="D8028" s="8"/>
      <c r="E8028" s="6"/>
      <c r="F8028" s="6"/>
    </row>
    <row r="8029" spans="1:6" x14ac:dyDescent="0.3">
      <c r="A8029" s="8" t="s">
        <v>16016</v>
      </c>
      <c r="B8029" s="8" t="s">
        <v>61631</v>
      </c>
      <c r="C8029" s="8" t="s">
        <v>16017</v>
      </c>
      <c r="D8029" s="8"/>
      <c r="E8029" s="6"/>
      <c r="F8029" s="6"/>
    </row>
    <row r="8030" spans="1:6" x14ac:dyDescent="0.3">
      <c r="A8030" s="8" t="s">
        <v>16018</v>
      </c>
      <c r="B8030" s="8" t="s">
        <v>61632</v>
      </c>
      <c r="C8030" s="8" t="s">
        <v>16019</v>
      </c>
      <c r="D8030" s="8"/>
      <c r="E8030" s="6"/>
      <c r="F8030" s="6"/>
    </row>
    <row r="8031" spans="1:6" x14ac:dyDescent="0.3">
      <c r="A8031" s="8" t="s">
        <v>16020</v>
      </c>
      <c r="B8031" s="8" t="s">
        <v>61633</v>
      </c>
      <c r="C8031" s="8" t="s">
        <v>16021</v>
      </c>
      <c r="D8031" s="8"/>
      <c r="E8031" s="6"/>
      <c r="F8031" s="6"/>
    </row>
    <row r="8032" spans="1:6" x14ac:dyDescent="0.3">
      <c r="A8032" s="8" t="s">
        <v>16022</v>
      </c>
      <c r="B8032" s="8" t="s">
        <v>61634</v>
      </c>
      <c r="C8032" s="8" t="s">
        <v>16023</v>
      </c>
      <c r="D8032" s="8"/>
      <c r="E8032" s="6"/>
      <c r="F8032" s="6"/>
    </row>
    <row r="8033" spans="1:6" x14ac:dyDescent="0.3">
      <c r="A8033" s="8" t="s">
        <v>16024</v>
      </c>
      <c r="B8033" s="8" t="s">
        <v>61635</v>
      </c>
      <c r="C8033" s="8" t="s">
        <v>16025</v>
      </c>
      <c r="D8033" s="8"/>
      <c r="E8033" s="6"/>
      <c r="F8033" s="6"/>
    </row>
    <row r="8034" spans="1:6" x14ac:dyDescent="0.3">
      <c r="A8034" s="8" t="s">
        <v>16026</v>
      </c>
      <c r="B8034" s="8" t="s">
        <v>61636</v>
      </c>
      <c r="C8034" s="8" t="s">
        <v>16027</v>
      </c>
      <c r="D8034" s="8"/>
      <c r="E8034" s="6"/>
      <c r="F8034" s="6"/>
    </row>
    <row r="8035" spans="1:6" x14ac:dyDescent="0.3">
      <c r="A8035" s="8" t="s">
        <v>16028</v>
      </c>
      <c r="B8035" s="8" t="s">
        <v>61637</v>
      </c>
      <c r="C8035" s="8" t="s">
        <v>16029</v>
      </c>
      <c r="D8035" s="8"/>
      <c r="E8035" s="6"/>
      <c r="F8035" s="6"/>
    </row>
    <row r="8036" spans="1:6" x14ac:dyDescent="0.3">
      <c r="A8036" s="8" t="s">
        <v>16030</v>
      </c>
      <c r="B8036" s="8" t="s">
        <v>61638</v>
      </c>
      <c r="C8036" s="8" t="s">
        <v>16031</v>
      </c>
      <c r="D8036" s="8"/>
      <c r="E8036" s="6"/>
      <c r="F8036" s="6"/>
    </row>
    <row r="8037" spans="1:6" x14ac:dyDescent="0.3">
      <c r="A8037" s="8" t="s">
        <v>16032</v>
      </c>
      <c r="B8037" s="8" t="s">
        <v>61639</v>
      </c>
      <c r="C8037" s="8" t="s">
        <v>16033</v>
      </c>
      <c r="D8037" s="8"/>
      <c r="E8037" s="6"/>
      <c r="F8037" s="6"/>
    </row>
    <row r="8038" spans="1:6" x14ac:dyDescent="0.3">
      <c r="A8038" s="8" t="s">
        <v>16034</v>
      </c>
      <c r="B8038" s="8" t="s">
        <v>61640</v>
      </c>
      <c r="C8038" s="8" t="s">
        <v>16035</v>
      </c>
      <c r="D8038" s="8"/>
      <c r="E8038" s="6"/>
      <c r="F8038" s="6"/>
    </row>
    <row r="8039" spans="1:6" x14ac:dyDescent="0.3">
      <c r="A8039" s="8" t="s">
        <v>16036</v>
      </c>
      <c r="B8039" s="8" t="s">
        <v>61641</v>
      </c>
      <c r="C8039" s="8" t="s">
        <v>16037</v>
      </c>
      <c r="D8039" s="8"/>
      <c r="E8039" s="6"/>
      <c r="F8039" s="6"/>
    </row>
    <row r="8040" spans="1:6" x14ac:dyDescent="0.3">
      <c r="A8040" s="8" t="s">
        <v>16038</v>
      </c>
      <c r="B8040" s="8" t="s">
        <v>61642</v>
      </c>
      <c r="C8040" s="8" t="s">
        <v>16039</v>
      </c>
      <c r="D8040" s="8"/>
      <c r="E8040" s="6"/>
      <c r="F8040" s="6"/>
    </row>
    <row r="8041" spans="1:6" x14ac:dyDescent="0.3">
      <c r="A8041" s="8" t="s">
        <v>16040</v>
      </c>
      <c r="B8041" s="8" t="s">
        <v>61643</v>
      </c>
      <c r="C8041" s="8" t="s">
        <v>16041</v>
      </c>
      <c r="D8041" s="8"/>
      <c r="E8041" s="6"/>
      <c r="F8041" s="6"/>
    </row>
    <row r="8042" spans="1:6" x14ac:dyDescent="0.3">
      <c r="A8042" s="8" t="s">
        <v>16042</v>
      </c>
      <c r="B8042" s="8" t="s">
        <v>61644</v>
      </c>
      <c r="C8042" s="8" t="s">
        <v>16043</v>
      </c>
      <c r="D8042" s="8"/>
      <c r="E8042" s="6"/>
      <c r="F8042" s="6"/>
    </row>
    <row r="8043" spans="1:6" x14ac:dyDescent="0.3">
      <c r="A8043" s="8" t="s">
        <v>16044</v>
      </c>
      <c r="B8043" s="8" t="s">
        <v>61645</v>
      </c>
      <c r="C8043" s="8" t="s">
        <v>16045</v>
      </c>
      <c r="D8043" s="8"/>
      <c r="E8043" s="6"/>
      <c r="F8043" s="6"/>
    </row>
    <row r="8044" spans="1:6" x14ac:dyDescent="0.3">
      <c r="A8044" s="8" t="s">
        <v>16046</v>
      </c>
      <c r="B8044" s="8" t="s">
        <v>61646</v>
      </c>
      <c r="C8044" s="8" t="s">
        <v>16047</v>
      </c>
      <c r="D8044" s="8"/>
      <c r="E8044" s="6"/>
      <c r="F8044" s="6"/>
    </row>
    <row r="8045" spans="1:6" x14ac:dyDescent="0.3">
      <c r="A8045" s="8" t="s">
        <v>16048</v>
      </c>
      <c r="B8045" s="8" t="s">
        <v>61647</v>
      </c>
      <c r="C8045" s="8" t="s">
        <v>16049</v>
      </c>
      <c r="D8045" s="8"/>
      <c r="E8045" s="6"/>
      <c r="F8045" s="6"/>
    </row>
    <row r="8046" spans="1:6" x14ac:dyDescent="0.3">
      <c r="A8046" s="8" t="s">
        <v>16050</v>
      </c>
      <c r="B8046" s="8" t="s">
        <v>61648</v>
      </c>
      <c r="C8046" s="8" t="s">
        <v>16051</v>
      </c>
      <c r="D8046" s="8"/>
      <c r="E8046" s="6"/>
      <c r="F8046" s="6"/>
    </row>
    <row r="8047" spans="1:6" x14ac:dyDescent="0.3">
      <c r="A8047" s="8" t="s">
        <v>16052</v>
      </c>
      <c r="B8047" s="8" t="s">
        <v>61649</v>
      </c>
      <c r="C8047" s="8" t="s">
        <v>16053</v>
      </c>
      <c r="D8047" s="8"/>
      <c r="E8047" s="6"/>
      <c r="F8047" s="6"/>
    </row>
    <row r="8048" spans="1:6" x14ac:dyDescent="0.3">
      <c r="A8048" s="8" t="s">
        <v>16054</v>
      </c>
      <c r="B8048" s="8" t="s">
        <v>61650</v>
      </c>
      <c r="C8048" s="8" t="s">
        <v>16055</v>
      </c>
      <c r="D8048" s="8"/>
      <c r="E8048" s="6"/>
      <c r="F8048" s="6"/>
    </row>
    <row r="8049" spans="1:6" x14ac:dyDescent="0.3">
      <c r="A8049" s="8" t="s">
        <v>16056</v>
      </c>
      <c r="B8049" s="8" t="s">
        <v>61651</v>
      </c>
      <c r="C8049" s="8" t="s">
        <v>16057</v>
      </c>
      <c r="D8049" s="8"/>
      <c r="E8049" s="6"/>
      <c r="F8049" s="6"/>
    </row>
    <row r="8050" spans="1:6" x14ac:dyDescent="0.3">
      <c r="A8050" s="8" t="s">
        <v>16058</v>
      </c>
      <c r="B8050" s="8" t="s">
        <v>61652</v>
      </c>
      <c r="C8050" s="8" t="s">
        <v>16059</v>
      </c>
      <c r="D8050" s="8"/>
      <c r="E8050" s="6"/>
      <c r="F8050" s="6"/>
    </row>
    <row r="8051" spans="1:6" x14ac:dyDescent="0.3">
      <c r="A8051" s="8" t="s">
        <v>16060</v>
      </c>
      <c r="B8051" s="8" t="s">
        <v>61653</v>
      </c>
      <c r="C8051" s="8" t="s">
        <v>16061</v>
      </c>
      <c r="D8051" s="8"/>
      <c r="E8051" s="6"/>
      <c r="F8051" s="6"/>
    </row>
    <row r="8052" spans="1:6" x14ac:dyDescent="0.3">
      <c r="A8052" s="8" t="s">
        <v>16062</v>
      </c>
      <c r="B8052" s="8" t="s">
        <v>61654</v>
      </c>
      <c r="C8052" s="8" t="s">
        <v>16063</v>
      </c>
      <c r="D8052" s="8"/>
      <c r="E8052" s="6"/>
      <c r="F8052" s="6"/>
    </row>
    <row r="8053" spans="1:6" x14ac:dyDescent="0.3">
      <c r="A8053" s="8" t="s">
        <v>16064</v>
      </c>
      <c r="B8053" s="8" t="s">
        <v>61655</v>
      </c>
      <c r="C8053" s="8" t="s">
        <v>16065</v>
      </c>
      <c r="D8053" s="8"/>
      <c r="E8053" s="6"/>
      <c r="F8053" s="6"/>
    </row>
    <row r="8054" spans="1:6" x14ac:dyDescent="0.3">
      <c r="A8054" s="8" t="s">
        <v>16066</v>
      </c>
      <c r="B8054" s="8" t="s">
        <v>61656</v>
      </c>
      <c r="C8054" s="8" t="s">
        <v>16067</v>
      </c>
      <c r="D8054" s="8"/>
      <c r="E8054" s="6"/>
      <c r="F8054" s="6"/>
    </row>
    <row r="8055" spans="1:6" x14ac:dyDescent="0.3">
      <c r="A8055" s="8" t="s">
        <v>16068</v>
      </c>
      <c r="B8055" s="8" t="s">
        <v>61657</v>
      </c>
      <c r="C8055" s="8" t="s">
        <v>16069</v>
      </c>
      <c r="D8055" s="8"/>
      <c r="E8055" s="6"/>
      <c r="F8055" s="6"/>
    </row>
    <row r="8056" spans="1:6" x14ac:dyDescent="0.3">
      <c r="A8056" s="8" t="s">
        <v>16070</v>
      </c>
      <c r="B8056" s="8" t="s">
        <v>61658</v>
      </c>
      <c r="C8056" s="8" t="s">
        <v>16071</v>
      </c>
      <c r="D8056" s="8"/>
      <c r="E8056" s="6"/>
      <c r="F8056" s="6"/>
    </row>
    <row r="8057" spans="1:6" x14ac:dyDescent="0.3">
      <c r="A8057" s="8" t="s">
        <v>16072</v>
      </c>
      <c r="B8057" s="8" t="s">
        <v>61659</v>
      </c>
      <c r="C8057" s="8" t="s">
        <v>16073</v>
      </c>
      <c r="D8057" s="8"/>
      <c r="E8057" s="6"/>
      <c r="F8057" s="6"/>
    </row>
    <row r="8058" spans="1:6" x14ac:dyDescent="0.3">
      <c r="A8058" s="8" t="s">
        <v>16074</v>
      </c>
      <c r="B8058" s="8" t="s">
        <v>61660</v>
      </c>
      <c r="C8058" s="8" t="s">
        <v>16075</v>
      </c>
      <c r="D8058" s="8"/>
      <c r="E8058" s="6"/>
      <c r="F8058" s="6"/>
    </row>
    <row r="8059" spans="1:6" x14ac:dyDescent="0.3">
      <c r="A8059" s="8" t="s">
        <v>16076</v>
      </c>
      <c r="B8059" s="8" t="s">
        <v>61661</v>
      </c>
      <c r="C8059" s="8" t="s">
        <v>16077</v>
      </c>
      <c r="D8059" s="8"/>
      <c r="E8059" s="6"/>
      <c r="F8059" s="6"/>
    </row>
    <row r="8060" spans="1:6" x14ac:dyDescent="0.3">
      <c r="A8060" s="8" t="s">
        <v>16078</v>
      </c>
      <c r="B8060" s="8" t="s">
        <v>61662</v>
      </c>
      <c r="C8060" s="8" t="s">
        <v>16079</v>
      </c>
      <c r="D8060" s="8"/>
      <c r="E8060" s="6"/>
      <c r="F8060" s="6"/>
    </row>
    <row r="8061" spans="1:6" x14ac:dyDescent="0.3">
      <c r="A8061" s="8" t="s">
        <v>16080</v>
      </c>
      <c r="B8061" s="8" t="s">
        <v>61663</v>
      </c>
      <c r="C8061" s="8" t="s">
        <v>16081</v>
      </c>
      <c r="D8061" s="8"/>
      <c r="E8061" s="6"/>
      <c r="F8061" s="6"/>
    </row>
    <row r="8062" spans="1:6" x14ac:dyDescent="0.3">
      <c r="A8062" s="8" t="s">
        <v>16082</v>
      </c>
      <c r="B8062" s="8" t="s">
        <v>61664</v>
      </c>
      <c r="C8062" s="8" t="s">
        <v>16083</v>
      </c>
      <c r="D8062" s="8"/>
      <c r="E8062" s="6"/>
      <c r="F8062" s="6"/>
    </row>
    <row r="8063" spans="1:6" x14ac:dyDescent="0.3">
      <c r="A8063" s="8" t="s">
        <v>16084</v>
      </c>
      <c r="B8063" s="8" t="s">
        <v>61665</v>
      </c>
      <c r="C8063" s="8" t="s">
        <v>16085</v>
      </c>
      <c r="D8063" s="8"/>
      <c r="E8063" s="6"/>
      <c r="F8063" s="6"/>
    </row>
    <row r="8064" spans="1:6" x14ac:dyDescent="0.3">
      <c r="A8064" s="8" t="s">
        <v>16086</v>
      </c>
      <c r="B8064" s="8" t="s">
        <v>61666</v>
      </c>
      <c r="C8064" s="8" t="s">
        <v>16087</v>
      </c>
      <c r="D8064" s="8"/>
      <c r="E8064" s="6"/>
      <c r="F8064" s="6"/>
    </row>
    <row r="8065" spans="1:6" x14ac:dyDescent="0.3">
      <c r="A8065" s="8" t="s">
        <v>16088</v>
      </c>
      <c r="B8065" s="8" t="s">
        <v>61667</v>
      </c>
      <c r="C8065" s="8" t="s">
        <v>16089</v>
      </c>
      <c r="D8065" s="8"/>
      <c r="E8065" s="6"/>
      <c r="F8065" s="6"/>
    </row>
    <row r="8066" spans="1:6" x14ac:dyDescent="0.3">
      <c r="A8066" s="8" t="s">
        <v>16090</v>
      </c>
      <c r="B8066" s="8" t="s">
        <v>61668</v>
      </c>
      <c r="C8066" s="8" t="s">
        <v>16091</v>
      </c>
      <c r="D8066" s="8"/>
      <c r="E8066" s="6"/>
      <c r="F8066" s="6"/>
    </row>
    <row r="8067" spans="1:6" x14ac:dyDescent="0.3">
      <c r="A8067" s="8" t="s">
        <v>16092</v>
      </c>
      <c r="B8067" s="8" t="s">
        <v>61669</v>
      </c>
      <c r="C8067" s="8" t="s">
        <v>16093</v>
      </c>
      <c r="D8067" s="8"/>
      <c r="E8067" s="6"/>
      <c r="F8067" s="6"/>
    </row>
    <row r="8068" spans="1:6" x14ac:dyDescent="0.3">
      <c r="A8068" s="8" t="s">
        <v>16094</v>
      </c>
      <c r="B8068" s="8" t="s">
        <v>61670</v>
      </c>
      <c r="C8068" s="8" t="s">
        <v>16095</v>
      </c>
      <c r="D8068" s="8"/>
      <c r="E8068" s="6"/>
      <c r="F8068" s="6"/>
    </row>
    <row r="8069" spans="1:6" x14ac:dyDescent="0.3">
      <c r="A8069" s="8" t="s">
        <v>16096</v>
      </c>
      <c r="B8069" s="8" t="s">
        <v>61671</v>
      </c>
      <c r="C8069" s="8" t="s">
        <v>16097</v>
      </c>
      <c r="D8069" s="8"/>
      <c r="E8069" s="6"/>
      <c r="F8069" s="6"/>
    </row>
    <row r="8070" spans="1:6" x14ac:dyDescent="0.3">
      <c r="A8070" s="8" t="s">
        <v>16098</v>
      </c>
      <c r="B8070" s="8" t="s">
        <v>61672</v>
      </c>
      <c r="C8070" s="8" t="s">
        <v>16099</v>
      </c>
      <c r="D8070" s="8"/>
      <c r="E8070" s="6"/>
      <c r="F8070" s="6"/>
    </row>
    <row r="8071" spans="1:6" x14ac:dyDescent="0.3">
      <c r="A8071" s="8" t="s">
        <v>16100</v>
      </c>
      <c r="B8071" s="8" t="s">
        <v>61673</v>
      </c>
      <c r="C8071" s="8" t="s">
        <v>16101</v>
      </c>
      <c r="D8071" s="8"/>
      <c r="E8071" s="6"/>
      <c r="F8071" s="6"/>
    </row>
    <row r="8072" spans="1:6" x14ac:dyDescent="0.3">
      <c r="A8072" s="8" t="s">
        <v>16102</v>
      </c>
      <c r="B8072" s="8" t="s">
        <v>61674</v>
      </c>
      <c r="C8072" s="8" t="s">
        <v>16103</v>
      </c>
      <c r="D8072" s="8"/>
      <c r="E8072" s="6"/>
      <c r="F8072" s="6"/>
    </row>
    <row r="8073" spans="1:6" x14ac:dyDescent="0.3">
      <c r="A8073" s="8" t="s">
        <v>16104</v>
      </c>
      <c r="B8073" s="8" t="s">
        <v>61675</v>
      </c>
      <c r="C8073" s="8" t="s">
        <v>16105</v>
      </c>
      <c r="D8073" s="8"/>
      <c r="E8073" s="6"/>
      <c r="F8073" s="6"/>
    </row>
    <row r="8074" spans="1:6" x14ac:dyDescent="0.3">
      <c r="A8074" s="8" t="s">
        <v>16106</v>
      </c>
      <c r="B8074" s="8" t="s">
        <v>61676</v>
      </c>
      <c r="C8074" s="8" t="s">
        <v>16107</v>
      </c>
      <c r="D8074" s="8"/>
      <c r="E8074" s="6"/>
      <c r="F8074" s="6"/>
    </row>
    <row r="8075" spans="1:6" x14ac:dyDescent="0.3">
      <c r="A8075" s="8" t="s">
        <v>16108</v>
      </c>
      <c r="B8075" s="8" t="s">
        <v>61677</v>
      </c>
      <c r="C8075" s="8" t="s">
        <v>16109</v>
      </c>
      <c r="D8075" s="8"/>
      <c r="E8075" s="6"/>
      <c r="F8075" s="6"/>
    </row>
    <row r="8076" spans="1:6" x14ac:dyDescent="0.3">
      <c r="A8076" s="8" t="s">
        <v>16110</v>
      </c>
      <c r="B8076" s="8" t="s">
        <v>61678</v>
      </c>
      <c r="C8076" s="8" t="s">
        <v>16111</v>
      </c>
      <c r="D8076" s="8"/>
      <c r="E8076" s="6"/>
      <c r="F8076" s="6"/>
    </row>
    <row r="8077" spans="1:6" x14ac:dyDescent="0.3">
      <c r="A8077" s="8" t="s">
        <v>16112</v>
      </c>
      <c r="B8077" s="8" t="s">
        <v>61679</v>
      </c>
      <c r="C8077" s="8" t="s">
        <v>16113</v>
      </c>
      <c r="D8077" s="8"/>
      <c r="E8077" s="6"/>
      <c r="F8077" s="6"/>
    </row>
    <row r="8078" spans="1:6" x14ac:dyDescent="0.3">
      <c r="A8078" s="8" t="s">
        <v>16114</v>
      </c>
      <c r="B8078" s="8" t="s">
        <v>61680</v>
      </c>
      <c r="C8078" s="8" t="s">
        <v>16115</v>
      </c>
      <c r="D8078" s="8"/>
      <c r="E8078" s="6"/>
      <c r="F8078" s="6"/>
    </row>
    <row r="8079" spans="1:6" x14ac:dyDescent="0.3">
      <c r="A8079" s="8" t="s">
        <v>16116</v>
      </c>
      <c r="B8079" s="8" t="s">
        <v>61681</v>
      </c>
      <c r="C8079" s="8" t="s">
        <v>16117</v>
      </c>
      <c r="D8079" s="8"/>
      <c r="E8079" s="6"/>
      <c r="F8079" s="6"/>
    </row>
    <row r="8080" spans="1:6" x14ac:dyDescent="0.3">
      <c r="A8080" s="8" t="s">
        <v>16118</v>
      </c>
      <c r="B8080" s="8" t="s">
        <v>61682</v>
      </c>
      <c r="C8080" s="8" t="s">
        <v>16119</v>
      </c>
      <c r="D8080" s="8"/>
      <c r="E8080" s="6"/>
      <c r="F8080" s="6"/>
    </row>
    <row r="8081" spans="1:6" x14ac:dyDescent="0.3">
      <c r="A8081" s="8" t="s">
        <v>16120</v>
      </c>
      <c r="B8081" s="8" t="s">
        <v>61683</v>
      </c>
      <c r="C8081" s="8" t="s">
        <v>16121</v>
      </c>
      <c r="D8081" s="8"/>
      <c r="E8081" s="6"/>
      <c r="F8081" s="6"/>
    </row>
    <row r="8082" spans="1:6" x14ac:dyDescent="0.3">
      <c r="A8082" s="8" t="s">
        <v>16122</v>
      </c>
      <c r="B8082" s="8" t="s">
        <v>61684</v>
      </c>
      <c r="C8082" s="8" t="s">
        <v>16123</v>
      </c>
      <c r="D8082" s="8"/>
      <c r="E8082" s="6"/>
      <c r="F8082" s="6"/>
    </row>
    <row r="8083" spans="1:6" x14ac:dyDescent="0.3">
      <c r="A8083" s="8" t="s">
        <v>16124</v>
      </c>
      <c r="B8083" s="8" t="s">
        <v>61685</v>
      </c>
      <c r="C8083" s="8" t="s">
        <v>16125</v>
      </c>
      <c r="D8083" s="8"/>
      <c r="E8083" s="6"/>
      <c r="F8083" s="6"/>
    </row>
    <row r="8084" spans="1:6" x14ac:dyDescent="0.3">
      <c r="A8084" s="8" t="s">
        <v>16126</v>
      </c>
      <c r="B8084" s="8" t="s">
        <v>61686</v>
      </c>
      <c r="C8084" s="8" t="s">
        <v>16127</v>
      </c>
      <c r="D8084" s="8"/>
      <c r="E8084" s="6"/>
      <c r="F8084" s="6"/>
    </row>
    <row r="8085" spans="1:6" x14ac:dyDescent="0.3">
      <c r="A8085" s="8" t="s">
        <v>16128</v>
      </c>
      <c r="B8085" s="8" t="s">
        <v>61687</v>
      </c>
      <c r="C8085" s="8" t="s">
        <v>16129</v>
      </c>
      <c r="D8085" s="8"/>
      <c r="E8085" s="6"/>
      <c r="F8085" s="6"/>
    </row>
    <row r="8086" spans="1:6" x14ac:dyDescent="0.3">
      <c r="A8086" s="8" t="s">
        <v>16130</v>
      </c>
      <c r="B8086" s="8" t="s">
        <v>61688</v>
      </c>
      <c r="C8086" s="8" t="s">
        <v>16131</v>
      </c>
      <c r="D8086" s="8"/>
      <c r="E8086" s="6"/>
      <c r="F8086" s="6"/>
    </row>
    <row r="8087" spans="1:6" x14ac:dyDescent="0.3">
      <c r="A8087" s="8" t="s">
        <v>16132</v>
      </c>
      <c r="B8087" s="8" t="s">
        <v>61689</v>
      </c>
      <c r="C8087" s="8" t="s">
        <v>16133</v>
      </c>
      <c r="D8087" s="8"/>
      <c r="E8087" s="6"/>
      <c r="F8087" s="6"/>
    </row>
    <row r="8088" spans="1:6" x14ac:dyDescent="0.3">
      <c r="A8088" s="8" t="s">
        <v>16134</v>
      </c>
      <c r="B8088" s="8" t="s">
        <v>61690</v>
      </c>
      <c r="C8088" s="8" t="s">
        <v>16135</v>
      </c>
      <c r="D8088" s="8"/>
      <c r="E8088" s="6"/>
      <c r="F8088" s="6"/>
    </row>
    <row r="8089" spans="1:6" x14ac:dyDescent="0.3">
      <c r="A8089" s="8" t="s">
        <v>16136</v>
      </c>
      <c r="B8089" s="8" t="s">
        <v>61691</v>
      </c>
      <c r="C8089" s="8" t="s">
        <v>16137</v>
      </c>
      <c r="D8089" s="8"/>
      <c r="E8089" s="6"/>
      <c r="F8089" s="6"/>
    </row>
    <row r="8090" spans="1:6" x14ac:dyDescent="0.3">
      <c r="A8090" s="8" t="s">
        <v>16138</v>
      </c>
      <c r="B8090" s="8" t="s">
        <v>61692</v>
      </c>
      <c r="C8090" s="8" t="s">
        <v>16139</v>
      </c>
      <c r="D8090" s="8"/>
      <c r="E8090" s="6"/>
      <c r="F8090" s="6"/>
    </row>
    <row r="8091" spans="1:6" x14ac:dyDescent="0.3">
      <c r="A8091" s="8" t="s">
        <v>16140</v>
      </c>
      <c r="B8091" s="8" t="s">
        <v>61693</v>
      </c>
      <c r="C8091" s="8" t="s">
        <v>16141</v>
      </c>
      <c r="D8091" s="8"/>
      <c r="E8091" s="6"/>
      <c r="F8091" s="6"/>
    </row>
    <row r="8092" spans="1:6" x14ac:dyDescent="0.3">
      <c r="A8092" s="8" t="s">
        <v>16142</v>
      </c>
      <c r="B8092" s="8" t="s">
        <v>61694</v>
      </c>
      <c r="C8092" s="8" t="s">
        <v>16143</v>
      </c>
      <c r="D8092" s="8"/>
      <c r="E8092" s="6"/>
      <c r="F8092" s="6"/>
    </row>
    <row r="8093" spans="1:6" x14ac:dyDescent="0.3">
      <c r="A8093" s="8" t="s">
        <v>16144</v>
      </c>
      <c r="B8093" s="8" t="s">
        <v>61695</v>
      </c>
      <c r="C8093" s="8" t="s">
        <v>16145</v>
      </c>
      <c r="D8093" s="8"/>
      <c r="E8093" s="6"/>
      <c r="F8093" s="6"/>
    </row>
    <row r="8094" spans="1:6" x14ac:dyDescent="0.3">
      <c r="A8094" s="8" t="s">
        <v>16146</v>
      </c>
      <c r="B8094" s="8" t="s">
        <v>61696</v>
      </c>
      <c r="C8094" s="8" t="s">
        <v>16147</v>
      </c>
      <c r="D8094" s="8"/>
      <c r="E8094" s="6"/>
      <c r="F8094" s="6"/>
    </row>
    <row r="8095" spans="1:6" x14ac:dyDescent="0.3">
      <c r="A8095" s="8" t="s">
        <v>16148</v>
      </c>
      <c r="B8095" s="8" t="s">
        <v>61697</v>
      </c>
      <c r="C8095" s="8" t="s">
        <v>16149</v>
      </c>
      <c r="D8095" s="8"/>
      <c r="E8095" s="6"/>
      <c r="F8095" s="6"/>
    </row>
    <row r="8096" spans="1:6" x14ac:dyDescent="0.3">
      <c r="A8096" s="8" t="s">
        <v>16150</v>
      </c>
      <c r="B8096" s="8" t="s">
        <v>61698</v>
      </c>
      <c r="C8096" s="8" t="s">
        <v>16151</v>
      </c>
      <c r="D8096" s="8"/>
      <c r="E8096" s="6"/>
      <c r="F8096" s="6"/>
    </row>
    <row r="8097" spans="1:6" x14ac:dyDescent="0.3">
      <c r="A8097" s="8" t="s">
        <v>16152</v>
      </c>
      <c r="B8097" s="8" t="s">
        <v>61699</v>
      </c>
      <c r="C8097" s="8" t="s">
        <v>16153</v>
      </c>
      <c r="D8097" s="8"/>
      <c r="E8097" s="6"/>
      <c r="F8097" s="6"/>
    </row>
    <row r="8098" spans="1:6" x14ac:dyDescent="0.3">
      <c r="A8098" s="8" t="s">
        <v>16154</v>
      </c>
      <c r="B8098" s="8" t="s">
        <v>61700</v>
      </c>
      <c r="C8098" s="8" t="s">
        <v>16155</v>
      </c>
      <c r="D8098" s="8"/>
      <c r="E8098" s="6"/>
      <c r="F8098" s="6"/>
    </row>
    <row r="8099" spans="1:6" x14ac:dyDescent="0.3">
      <c r="A8099" s="8" t="s">
        <v>16156</v>
      </c>
      <c r="B8099" s="8" t="s">
        <v>61701</v>
      </c>
      <c r="C8099" s="8" t="s">
        <v>16157</v>
      </c>
      <c r="D8099" s="8"/>
      <c r="E8099" s="6"/>
      <c r="F8099" s="6"/>
    </row>
    <row r="8100" spans="1:6" x14ac:dyDescent="0.3">
      <c r="A8100" s="8" t="s">
        <v>16158</v>
      </c>
      <c r="B8100" s="8" t="s">
        <v>61702</v>
      </c>
      <c r="C8100" s="8" t="s">
        <v>16159</v>
      </c>
      <c r="D8100" s="8"/>
      <c r="E8100" s="6"/>
      <c r="F8100" s="6"/>
    </row>
    <row r="8101" spans="1:6" x14ac:dyDescent="0.3">
      <c r="A8101" s="8" t="s">
        <v>16160</v>
      </c>
      <c r="B8101" s="8" t="s">
        <v>61703</v>
      </c>
      <c r="C8101" s="8" t="s">
        <v>16161</v>
      </c>
      <c r="D8101" s="8"/>
      <c r="E8101" s="6"/>
      <c r="F8101" s="6"/>
    </row>
    <row r="8102" spans="1:6" x14ac:dyDescent="0.3">
      <c r="A8102" s="8" t="s">
        <v>16162</v>
      </c>
      <c r="B8102" s="8" t="s">
        <v>61704</v>
      </c>
      <c r="C8102" s="8" t="s">
        <v>16163</v>
      </c>
      <c r="D8102" s="8"/>
      <c r="E8102" s="6"/>
      <c r="F8102" s="6"/>
    </row>
    <row r="8103" spans="1:6" x14ac:dyDescent="0.3">
      <c r="A8103" s="8" t="s">
        <v>16164</v>
      </c>
      <c r="B8103" s="8" t="s">
        <v>61705</v>
      </c>
      <c r="C8103" s="8" t="s">
        <v>16165</v>
      </c>
      <c r="D8103" s="8"/>
      <c r="E8103" s="6"/>
      <c r="F8103" s="6"/>
    </row>
    <row r="8104" spans="1:6" x14ac:dyDescent="0.3">
      <c r="A8104" s="8" t="s">
        <v>16166</v>
      </c>
      <c r="B8104" s="8" t="s">
        <v>61706</v>
      </c>
      <c r="C8104" s="8" t="s">
        <v>16167</v>
      </c>
      <c r="D8104" s="8"/>
      <c r="E8104" s="6"/>
      <c r="F8104" s="6"/>
    </row>
    <row r="8105" spans="1:6" x14ac:dyDescent="0.3">
      <c r="A8105" s="8" t="s">
        <v>16168</v>
      </c>
      <c r="B8105" s="8" t="s">
        <v>61707</v>
      </c>
      <c r="C8105" s="8" t="s">
        <v>16169</v>
      </c>
      <c r="D8105" s="8"/>
      <c r="E8105" s="6"/>
      <c r="F8105" s="6"/>
    </row>
    <row r="8106" spans="1:6" x14ac:dyDescent="0.3">
      <c r="A8106" s="8" t="s">
        <v>16170</v>
      </c>
      <c r="B8106" s="8" t="s">
        <v>61708</v>
      </c>
      <c r="C8106" s="8" t="s">
        <v>16171</v>
      </c>
      <c r="D8106" s="8"/>
      <c r="E8106" s="6"/>
      <c r="F8106" s="6"/>
    </row>
    <row r="8107" spans="1:6" x14ac:dyDescent="0.3">
      <c r="A8107" s="8" t="s">
        <v>16172</v>
      </c>
      <c r="B8107" s="8" t="s">
        <v>61709</v>
      </c>
      <c r="C8107" s="8" t="s">
        <v>16173</v>
      </c>
      <c r="D8107" s="8"/>
      <c r="E8107" s="6"/>
      <c r="F8107" s="6"/>
    </row>
    <row r="8108" spans="1:6" x14ac:dyDescent="0.3">
      <c r="A8108" s="8" t="s">
        <v>16174</v>
      </c>
      <c r="B8108" s="8" t="s">
        <v>61710</v>
      </c>
      <c r="C8108" s="8" t="s">
        <v>16175</v>
      </c>
      <c r="D8108" s="8"/>
      <c r="E8108" s="6"/>
      <c r="F8108" s="6"/>
    </row>
    <row r="8109" spans="1:6" x14ac:dyDescent="0.3">
      <c r="A8109" s="8" t="s">
        <v>16176</v>
      </c>
      <c r="B8109" s="8" t="s">
        <v>61711</v>
      </c>
      <c r="C8109" s="8" t="s">
        <v>16177</v>
      </c>
      <c r="D8109" s="8"/>
      <c r="E8109" s="6"/>
      <c r="F8109" s="6"/>
    </row>
    <row r="8110" spans="1:6" x14ac:dyDescent="0.3">
      <c r="A8110" s="8" t="s">
        <v>16178</v>
      </c>
      <c r="B8110" s="8" t="s">
        <v>61712</v>
      </c>
      <c r="C8110" s="8" t="s">
        <v>16179</v>
      </c>
      <c r="D8110" s="8"/>
      <c r="E8110" s="6"/>
      <c r="F8110" s="6"/>
    </row>
    <row r="8111" spans="1:6" x14ac:dyDescent="0.3">
      <c r="A8111" s="8" t="s">
        <v>16180</v>
      </c>
      <c r="B8111" s="8" t="s">
        <v>61713</v>
      </c>
      <c r="C8111" s="8" t="s">
        <v>16181</v>
      </c>
      <c r="D8111" s="8"/>
      <c r="E8111" s="6"/>
      <c r="F8111" s="6"/>
    </row>
    <row r="8112" spans="1:6" x14ac:dyDescent="0.3">
      <c r="A8112" s="8" t="s">
        <v>16182</v>
      </c>
      <c r="B8112" s="8" t="s">
        <v>61714</v>
      </c>
      <c r="C8112" s="8" t="s">
        <v>16183</v>
      </c>
      <c r="D8112" s="8"/>
      <c r="E8112" s="6"/>
      <c r="F8112" s="6"/>
    </row>
    <row r="8113" spans="1:6" x14ac:dyDescent="0.3">
      <c r="A8113" s="8" t="s">
        <v>16184</v>
      </c>
      <c r="B8113" s="8" t="s">
        <v>61715</v>
      </c>
      <c r="C8113" s="8" t="s">
        <v>16185</v>
      </c>
      <c r="D8113" s="8"/>
      <c r="E8113" s="6"/>
      <c r="F8113" s="6"/>
    </row>
    <row r="8114" spans="1:6" x14ac:dyDescent="0.3">
      <c r="A8114" s="8" t="s">
        <v>16186</v>
      </c>
      <c r="B8114" s="8" t="s">
        <v>61716</v>
      </c>
      <c r="C8114" s="8" t="s">
        <v>16187</v>
      </c>
      <c r="D8114" s="8"/>
      <c r="E8114" s="6"/>
      <c r="F8114" s="6"/>
    </row>
    <row r="8115" spans="1:6" x14ac:dyDescent="0.3">
      <c r="A8115" s="8" t="s">
        <v>16188</v>
      </c>
      <c r="B8115" s="8" t="s">
        <v>61717</v>
      </c>
      <c r="C8115" s="8" t="s">
        <v>16189</v>
      </c>
      <c r="D8115" s="8"/>
      <c r="E8115" s="6"/>
      <c r="F8115" s="6"/>
    </row>
    <row r="8116" spans="1:6" x14ac:dyDescent="0.3">
      <c r="A8116" s="8" t="s">
        <v>16190</v>
      </c>
      <c r="B8116" s="8" t="s">
        <v>61718</v>
      </c>
      <c r="C8116" s="8" t="s">
        <v>16191</v>
      </c>
      <c r="D8116" s="8"/>
      <c r="E8116" s="6"/>
      <c r="F8116" s="6"/>
    </row>
    <row r="8117" spans="1:6" x14ac:dyDescent="0.3">
      <c r="A8117" s="8" t="s">
        <v>16192</v>
      </c>
      <c r="B8117" s="8" t="s">
        <v>61719</v>
      </c>
      <c r="C8117" s="8" t="s">
        <v>16193</v>
      </c>
      <c r="D8117" s="8"/>
      <c r="E8117" s="6"/>
      <c r="F8117" s="6"/>
    </row>
    <row r="8118" spans="1:6" x14ac:dyDescent="0.3">
      <c r="A8118" s="8" t="s">
        <v>16194</v>
      </c>
      <c r="B8118" s="8" t="s">
        <v>61720</v>
      </c>
      <c r="C8118" s="8" t="s">
        <v>16195</v>
      </c>
      <c r="D8118" s="8"/>
      <c r="E8118" s="6"/>
      <c r="F8118" s="6"/>
    </row>
    <row r="8119" spans="1:6" x14ac:dyDescent="0.3">
      <c r="A8119" s="8" t="s">
        <v>16196</v>
      </c>
      <c r="B8119" s="8" t="s">
        <v>61721</v>
      </c>
      <c r="C8119" s="8" t="s">
        <v>16197</v>
      </c>
      <c r="D8119" s="8"/>
      <c r="E8119" s="6"/>
      <c r="F8119" s="6"/>
    </row>
    <row r="8120" spans="1:6" x14ac:dyDescent="0.3">
      <c r="A8120" s="8" t="s">
        <v>16198</v>
      </c>
      <c r="B8120" s="8" t="s">
        <v>61722</v>
      </c>
      <c r="C8120" s="8" t="s">
        <v>16199</v>
      </c>
      <c r="D8120" s="8"/>
      <c r="E8120" s="6"/>
      <c r="F8120" s="6"/>
    </row>
    <row r="8121" spans="1:6" x14ac:dyDescent="0.3">
      <c r="A8121" s="8" t="s">
        <v>16200</v>
      </c>
      <c r="B8121" s="8" t="s">
        <v>61723</v>
      </c>
      <c r="C8121" s="8" t="s">
        <v>16201</v>
      </c>
      <c r="D8121" s="8"/>
      <c r="E8121" s="6"/>
      <c r="F8121" s="6"/>
    </row>
    <row r="8122" spans="1:6" x14ac:dyDescent="0.3">
      <c r="A8122" s="8" t="s">
        <v>16202</v>
      </c>
      <c r="B8122" s="8" t="s">
        <v>61724</v>
      </c>
      <c r="C8122" s="8" t="s">
        <v>16203</v>
      </c>
      <c r="D8122" s="8"/>
      <c r="E8122" s="6"/>
      <c r="F8122" s="6"/>
    </row>
    <row r="8123" spans="1:6" x14ac:dyDescent="0.3">
      <c r="A8123" s="8" t="s">
        <v>16204</v>
      </c>
      <c r="B8123" s="8" t="s">
        <v>61725</v>
      </c>
      <c r="C8123" s="8" t="s">
        <v>16205</v>
      </c>
      <c r="D8123" s="8"/>
      <c r="E8123" s="6"/>
      <c r="F8123" s="6"/>
    </row>
    <row r="8124" spans="1:6" x14ac:dyDescent="0.3">
      <c r="A8124" s="8" t="s">
        <v>16206</v>
      </c>
      <c r="B8124" s="8" t="s">
        <v>61726</v>
      </c>
      <c r="C8124" s="8" t="s">
        <v>16207</v>
      </c>
      <c r="D8124" s="8"/>
      <c r="E8124" s="6"/>
      <c r="F8124" s="6"/>
    </row>
    <row r="8125" spans="1:6" x14ac:dyDescent="0.3">
      <c r="A8125" s="8" t="s">
        <v>16208</v>
      </c>
      <c r="B8125" s="8" t="s">
        <v>61727</v>
      </c>
      <c r="C8125" s="8" t="s">
        <v>16209</v>
      </c>
      <c r="D8125" s="8"/>
      <c r="E8125" s="6"/>
      <c r="F8125" s="6"/>
    </row>
    <row r="8126" spans="1:6" x14ac:dyDescent="0.3">
      <c r="A8126" s="8" t="s">
        <v>16210</v>
      </c>
      <c r="B8126" s="8" t="s">
        <v>61728</v>
      </c>
      <c r="C8126" s="8" t="s">
        <v>16211</v>
      </c>
      <c r="D8126" s="8"/>
      <c r="E8126" s="6"/>
      <c r="F8126" s="6"/>
    </row>
    <row r="8127" spans="1:6" x14ac:dyDescent="0.3">
      <c r="A8127" s="8" t="s">
        <v>16212</v>
      </c>
      <c r="B8127" s="8" t="s">
        <v>61729</v>
      </c>
      <c r="C8127" s="8" t="s">
        <v>16213</v>
      </c>
      <c r="D8127" s="8"/>
      <c r="E8127" s="6"/>
      <c r="F8127" s="6"/>
    </row>
    <row r="8128" spans="1:6" x14ac:dyDescent="0.3">
      <c r="A8128" s="8" t="s">
        <v>16214</v>
      </c>
      <c r="B8128" s="8" t="s">
        <v>61730</v>
      </c>
      <c r="C8128" s="8" t="s">
        <v>16215</v>
      </c>
      <c r="D8128" s="8"/>
      <c r="E8128" s="6"/>
      <c r="F8128" s="6"/>
    </row>
    <row r="8129" spans="1:6" x14ac:dyDescent="0.3">
      <c r="A8129" s="8" t="s">
        <v>16216</v>
      </c>
      <c r="B8129" s="8" t="s">
        <v>61731</v>
      </c>
      <c r="C8129" s="8" t="s">
        <v>16217</v>
      </c>
      <c r="D8129" s="8"/>
      <c r="E8129" s="6"/>
      <c r="F8129" s="6"/>
    </row>
    <row r="8130" spans="1:6" x14ac:dyDescent="0.3">
      <c r="A8130" s="8" t="s">
        <v>16218</v>
      </c>
      <c r="B8130" s="8" t="s">
        <v>61732</v>
      </c>
      <c r="C8130" s="8" t="s">
        <v>16219</v>
      </c>
      <c r="D8130" s="8"/>
      <c r="E8130" s="6"/>
      <c r="F8130" s="6"/>
    </row>
    <row r="8131" spans="1:6" x14ac:dyDescent="0.3">
      <c r="A8131" s="8" t="s">
        <v>16220</v>
      </c>
      <c r="B8131" s="8" t="s">
        <v>61733</v>
      </c>
      <c r="C8131" s="8" t="s">
        <v>16221</v>
      </c>
      <c r="D8131" s="8"/>
      <c r="E8131" s="6"/>
      <c r="F8131" s="6"/>
    </row>
    <row r="8132" spans="1:6" x14ac:dyDescent="0.3">
      <c r="A8132" s="8" t="s">
        <v>16222</v>
      </c>
      <c r="B8132" s="8" t="s">
        <v>61734</v>
      </c>
      <c r="C8132" s="8" t="s">
        <v>16223</v>
      </c>
      <c r="D8132" s="8"/>
      <c r="E8132" s="6"/>
      <c r="F8132" s="6"/>
    </row>
    <row r="8133" spans="1:6" x14ac:dyDescent="0.3">
      <c r="A8133" s="8" t="s">
        <v>16224</v>
      </c>
      <c r="B8133" s="8" t="s">
        <v>61735</v>
      </c>
      <c r="C8133" s="8" t="s">
        <v>16225</v>
      </c>
      <c r="D8133" s="8"/>
      <c r="E8133" s="6"/>
      <c r="F8133" s="6"/>
    </row>
    <row r="8134" spans="1:6" x14ac:dyDescent="0.3">
      <c r="A8134" s="8" t="s">
        <v>16226</v>
      </c>
      <c r="B8134" s="8" t="s">
        <v>61736</v>
      </c>
      <c r="C8134" s="8" t="s">
        <v>16227</v>
      </c>
      <c r="D8134" s="8"/>
      <c r="E8134" s="6"/>
      <c r="F8134" s="6"/>
    </row>
    <row r="8135" spans="1:6" x14ac:dyDescent="0.3">
      <c r="A8135" s="8" t="s">
        <v>16228</v>
      </c>
      <c r="B8135" s="8" t="s">
        <v>61737</v>
      </c>
      <c r="C8135" s="8" t="s">
        <v>16229</v>
      </c>
      <c r="D8135" s="8"/>
      <c r="E8135" s="6"/>
      <c r="F8135" s="6"/>
    </row>
    <row r="8136" spans="1:6" x14ac:dyDescent="0.3">
      <c r="A8136" s="8" t="s">
        <v>16230</v>
      </c>
      <c r="B8136" s="8" t="s">
        <v>61738</v>
      </c>
      <c r="C8136" s="8" t="s">
        <v>16231</v>
      </c>
      <c r="D8136" s="8"/>
      <c r="E8136" s="6"/>
      <c r="F8136" s="6"/>
    </row>
    <row r="8137" spans="1:6" x14ac:dyDescent="0.3">
      <c r="A8137" s="8" t="s">
        <v>16232</v>
      </c>
      <c r="B8137" s="8" t="s">
        <v>61739</v>
      </c>
      <c r="C8137" s="8" t="s">
        <v>16233</v>
      </c>
      <c r="D8137" s="8"/>
      <c r="E8137" s="6"/>
      <c r="F8137" s="6"/>
    </row>
    <row r="8138" spans="1:6" x14ac:dyDescent="0.3">
      <c r="A8138" s="8" t="s">
        <v>16234</v>
      </c>
      <c r="B8138" s="8" t="s">
        <v>61740</v>
      </c>
      <c r="C8138" s="8" t="s">
        <v>16235</v>
      </c>
      <c r="D8138" s="8"/>
      <c r="E8138" s="6"/>
      <c r="F8138" s="6"/>
    </row>
    <row r="8139" spans="1:6" x14ac:dyDescent="0.3">
      <c r="A8139" s="8" t="s">
        <v>16236</v>
      </c>
      <c r="B8139" s="8" t="s">
        <v>61741</v>
      </c>
      <c r="C8139" s="8" t="s">
        <v>16237</v>
      </c>
      <c r="D8139" s="8"/>
      <c r="E8139" s="6"/>
      <c r="F8139" s="6"/>
    </row>
    <row r="8140" spans="1:6" x14ac:dyDescent="0.3">
      <c r="A8140" s="8" t="s">
        <v>16238</v>
      </c>
      <c r="B8140" s="8" t="s">
        <v>61742</v>
      </c>
      <c r="C8140" s="8" t="s">
        <v>16239</v>
      </c>
      <c r="D8140" s="8"/>
      <c r="E8140" s="6"/>
      <c r="F8140" s="6"/>
    </row>
    <row r="8141" spans="1:6" x14ac:dyDescent="0.3">
      <c r="A8141" s="8" t="s">
        <v>16240</v>
      </c>
      <c r="B8141" s="8" t="s">
        <v>61743</v>
      </c>
      <c r="C8141" s="8" t="s">
        <v>16241</v>
      </c>
      <c r="D8141" s="8"/>
      <c r="E8141" s="6"/>
      <c r="F8141" s="6"/>
    </row>
    <row r="8142" spans="1:6" x14ac:dyDescent="0.3">
      <c r="A8142" s="8" t="s">
        <v>16242</v>
      </c>
      <c r="B8142" s="8" t="s">
        <v>61744</v>
      </c>
      <c r="C8142" s="8" t="s">
        <v>16243</v>
      </c>
      <c r="D8142" s="8"/>
      <c r="E8142" s="6"/>
      <c r="F8142" s="6"/>
    </row>
    <row r="8143" spans="1:6" x14ac:dyDescent="0.3">
      <c r="A8143" s="8" t="s">
        <v>16244</v>
      </c>
      <c r="B8143" s="8" t="s">
        <v>61745</v>
      </c>
      <c r="C8143" s="8" t="s">
        <v>16245</v>
      </c>
      <c r="D8143" s="8"/>
      <c r="E8143" s="6"/>
      <c r="F8143" s="6"/>
    </row>
    <row r="8144" spans="1:6" x14ac:dyDescent="0.3">
      <c r="A8144" s="8" t="s">
        <v>16246</v>
      </c>
      <c r="B8144" s="8" t="s">
        <v>61746</v>
      </c>
      <c r="C8144" s="8" t="s">
        <v>16247</v>
      </c>
      <c r="D8144" s="8"/>
      <c r="E8144" s="6"/>
      <c r="F8144" s="6"/>
    </row>
    <row r="8145" spans="1:6" x14ac:dyDescent="0.3">
      <c r="A8145" s="8" t="s">
        <v>16248</v>
      </c>
      <c r="B8145" s="8" t="s">
        <v>61747</v>
      </c>
      <c r="C8145" s="8" t="s">
        <v>16249</v>
      </c>
      <c r="D8145" s="8"/>
      <c r="E8145" s="6"/>
      <c r="F8145" s="6"/>
    </row>
    <row r="8146" spans="1:6" x14ac:dyDescent="0.3">
      <c r="A8146" s="8" t="s">
        <v>16250</v>
      </c>
      <c r="B8146" s="8" t="s">
        <v>61748</v>
      </c>
      <c r="C8146" s="8" t="s">
        <v>16251</v>
      </c>
      <c r="D8146" s="8"/>
      <c r="E8146" s="6"/>
      <c r="F8146" s="6"/>
    </row>
    <row r="8147" spans="1:6" x14ac:dyDescent="0.3">
      <c r="A8147" s="8" t="s">
        <v>16252</v>
      </c>
      <c r="B8147" s="8" t="s">
        <v>61749</v>
      </c>
      <c r="C8147" s="8" t="s">
        <v>16253</v>
      </c>
      <c r="D8147" s="8"/>
      <c r="E8147" s="6"/>
      <c r="F8147" s="6"/>
    </row>
    <row r="8148" spans="1:6" x14ac:dyDescent="0.3">
      <c r="A8148" s="8" t="s">
        <v>16254</v>
      </c>
      <c r="B8148" s="8" t="s">
        <v>61750</v>
      </c>
      <c r="C8148" s="8" t="s">
        <v>16255</v>
      </c>
      <c r="D8148" s="8"/>
      <c r="E8148" s="6"/>
      <c r="F8148" s="6"/>
    </row>
    <row r="8149" spans="1:6" x14ac:dyDescent="0.3">
      <c r="A8149" s="8" t="s">
        <v>16256</v>
      </c>
      <c r="B8149" s="8" t="s">
        <v>61751</v>
      </c>
      <c r="C8149" s="8" t="s">
        <v>16257</v>
      </c>
      <c r="D8149" s="8"/>
      <c r="E8149" s="6"/>
      <c r="F8149" s="6"/>
    </row>
    <row r="8150" spans="1:6" x14ac:dyDescent="0.3">
      <c r="A8150" s="8" t="s">
        <v>16258</v>
      </c>
      <c r="B8150" s="8" t="s">
        <v>61752</v>
      </c>
      <c r="C8150" s="8" t="s">
        <v>16259</v>
      </c>
      <c r="D8150" s="8"/>
      <c r="E8150" s="6"/>
      <c r="F8150" s="6"/>
    </row>
    <row r="8151" spans="1:6" x14ac:dyDescent="0.3">
      <c r="A8151" s="8" t="s">
        <v>16260</v>
      </c>
      <c r="B8151" s="8" t="s">
        <v>61753</v>
      </c>
      <c r="C8151" s="8" t="s">
        <v>16261</v>
      </c>
      <c r="D8151" s="8"/>
      <c r="E8151" s="6"/>
      <c r="F8151" s="6"/>
    </row>
    <row r="8152" spans="1:6" x14ac:dyDescent="0.3">
      <c r="A8152" s="8" t="s">
        <v>16262</v>
      </c>
      <c r="B8152" s="8" t="s">
        <v>61754</v>
      </c>
      <c r="C8152" s="8" t="s">
        <v>16263</v>
      </c>
      <c r="D8152" s="8"/>
      <c r="E8152" s="6"/>
      <c r="F8152" s="6"/>
    </row>
    <row r="8153" spans="1:6" x14ac:dyDescent="0.3">
      <c r="A8153" s="8" t="s">
        <v>16264</v>
      </c>
      <c r="B8153" s="8" t="s">
        <v>61755</v>
      </c>
      <c r="C8153" s="8" t="s">
        <v>16265</v>
      </c>
      <c r="D8153" s="8"/>
      <c r="E8153" s="6"/>
      <c r="F8153" s="6"/>
    </row>
    <row r="8154" spans="1:6" x14ac:dyDescent="0.3">
      <c r="A8154" s="8" t="s">
        <v>16266</v>
      </c>
      <c r="B8154" s="8" t="s">
        <v>61756</v>
      </c>
      <c r="C8154" s="8" t="s">
        <v>16267</v>
      </c>
      <c r="D8154" s="8"/>
      <c r="E8154" s="6"/>
      <c r="F8154" s="6"/>
    </row>
    <row r="8155" spans="1:6" x14ac:dyDescent="0.3">
      <c r="A8155" s="8" t="s">
        <v>16268</v>
      </c>
      <c r="B8155" s="8" t="s">
        <v>61757</v>
      </c>
      <c r="C8155" s="8" t="s">
        <v>16269</v>
      </c>
      <c r="D8155" s="8"/>
      <c r="E8155" s="6"/>
      <c r="F8155" s="6"/>
    </row>
    <row r="8156" spans="1:6" x14ac:dyDescent="0.3">
      <c r="A8156" s="8" t="s">
        <v>16270</v>
      </c>
      <c r="B8156" s="8" t="s">
        <v>61758</v>
      </c>
      <c r="C8156" s="8" t="s">
        <v>16271</v>
      </c>
      <c r="D8156" s="8"/>
      <c r="E8156" s="6"/>
      <c r="F8156" s="6"/>
    </row>
    <row r="8157" spans="1:6" x14ac:dyDescent="0.3">
      <c r="A8157" s="8" t="s">
        <v>16272</v>
      </c>
      <c r="B8157" s="8" t="s">
        <v>61759</v>
      </c>
      <c r="C8157" s="8" t="s">
        <v>16273</v>
      </c>
      <c r="D8157" s="8"/>
      <c r="E8157" s="6"/>
      <c r="F8157" s="6"/>
    </row>
    <row r="8158" spans="1:6" x14ac:dyDescent="0.3">
      <c r="A8158" s="8" t="s">
        <v>16274</v>
      </c>
      <c r="B8158" s="8" t="s">
        <v>61760</v>
      </c>
      <c r="C8158" s="8" t="s">
        <v>16275</v>
      </c>
      <c r="D8158" s="8"/>
      <c r="E8158" s="6"/>
      <c r="F8158" s="6"/>
    </row>
    <row r="8159" spans="1:6" x14ac:dyDescent="0.3">
      <c r="A8159" s="8" t="s">
        <v>16276</v>
      </c>
      <c r="B8159" s="8" t="s">
        <v>61761</v>
      </c>
      <c r="C8159" s="8" t="s">
        <v>16277</v>
      </c>
      <c r="D8159" s="8"/>
      <c r="E8159" s="6"/>
      <c r="F8159" s="6"/>
    </row>
    <row r="8160" spans="1:6" x14ac:dyDescent="0.3">
      <c r="A8160" s="8" t="s">
        <v>16278</v>
      </c>
      <c r="B8160" s="8" t="s">
        <v>61762</v>
      </c>
      <c r="C8160" s="8" t="s">
        <v>16279</v>
      </c>
      <c r="D8160" s="8"/>
      <c r="E8160" s="6"/>
      <c r="F8160" s="6"/>
    </row>
    <row r="8161" spans="1:6" x14ac:dyDescent="0.3">
      <c r="A8161" s="8" t="s">
        <v>16280</v>
      </c>
      <c r="B8161" s="8" t="s">
        <v>61763</v>
      </c>
      <c r="C8161" s="8" t="s">
        <v>16281</v>
      </c>
      <c r="D8161" s="8"/>
      <c r="E8161" s="6"/>
      <c r="F8161" s="6"/>
    </row>
    <row r="8162" spans="1:6" x14ac:dyDescent="0.3">
      <c r="A8162" s="8" t="s">
        <v>16282</v>
      </c>
      <c r="B8162" s="8" t="s">
        <v>61764</v>
      </c>
      <c r="C8162" s="8" t="s">
        <v>16283</v>
      </c>
      <c r="D8162" s="8"/>
      <c r="E8162" s="6"/>
      <c r="F8162" s="6"/>
    </row>
    <row r="8163" spans="1:6" x14ac:dyDescent="0.3">
      <c r="A8163" s="8" t="s">
        <v>16284</v>
      </c>
      <c r="B8163" s="8" t="s">
        <v>61765</v>
      </c>
      <c r="C8163" s="8" t="s">
        <v>16285</v>
      </c>
      <c r="D8163" s="8"/>
      <c r="E8163" s="6"/>
      <c r="F8163" s="6"/>
    </row>
    <row r="8164" spans="1:6" x14ac:dyDescent="0.3">
      <c r="A8164" s="8" t="s">
        <v>16286</v>
      </c>
      <c r="B8164" s="8" t="s">
        <v>61766</v>
      </c>
      <c r="C8164" s="8" t="s">
        <v>16287</v>
      </c>
      <c r="D8164" s="8"/>
      <c r="E8164" s="6"/>
      <c r="F8164" s="6"/>
    </row>
    <row r="8165" spans="1:6" x14ac:dyDescent="0.3">
      <c r="A8165" s="8" t="s">
        <v>16288</v>
      </c>
      <c r="B8165" s="8" t="s">
        <v>61767</v>
      </c>
      <c r="C8165" s="8" t="s">
        <v>16289</v>
      </c>
      <c r="D8165" s="8"/>
      <c r="E8165" s="6"/>
      <c r="F8165" s="6"/>
    </row>
    <row r="8166" spans="1:6" x14ac:dyDescent="0.3">
      <c r="A8166" s="8" t="s">
        <v>16290</v>
      </c>
      <c r="B8166" s="8" t="s">
        <v>61768</v>
      </c>
      <c r="C8166" s="8" t="s">
        <v>16291</v>
      </c>
      <c r="D8166" s="8"/>
      <c r="E8166" s="6"/>
      <c r="F8166" s="6"/>
    </row>
    <row r="8167" spans="1:6" x14ac:dyDescent="0.3">
      <c r="A8167" s="8" t="s">
        <v>16292</v>
      </c>
      <c r="B8167" s="8" t="s">
        <v>61769</v>
      </c>
      <c r="C8167" s="8" t="s">
        <v>16293</v>
      </c>
      <c r="D8167" s="8"/>
      <c r="E8167" s="6"/>
      <c r="F8167" s="6"/>
    </row>
    <row r="8168" spans="1:6" x14ac:dyDescent="0.3">
      <c r="A8168" s="8" t="s">
        <v>16294</v>
      </c>
      <c r="B8168" s="8" t="s">
        <v>61770</v>
      </c>
      <c r="C8168" s="8" t="s">
        <v>16295</v>
      </c>
      <c r="D8168" s="8"/>
      <c r="E8168" s="6"/>
      <c r="F8168" s="6"/>
    </row>
    <row r="8169" spans="1:6" x14ac:dyDescent="0.3">
      <c r="A8169" s="8" t="s">
        <v>16296</v>
      </c>
      <c r="B8169" s="8" t="s">
        <v>61771</v>
      </c>
      <c r="C8169" s="8" t="s">
        <v>16297</v>
      </c>
      <c r="D8169" s="8"/>
      <c r="E8169" s="6"/>
      <c r="F8169" s="6"/>
    </row>
    <row r="8170" spans="1:6" x14ac:dyDescent="0.3">
      <c r="A8170" s="8" t="s">
        <v>16298</v>
      </c>
      <c r="B8170" s="8" t="s">
        <v>61772</v>
      </c>
      <c r="C8170" s="8" t="s">
        <v>16299</v>
      </c>
      <c r="D8170" s="8"/>
      <c r="E8170" s="6"/>
      <c r="F8170" s="6"/>
    </row>
    <row r="8171" spans="1:6" x14ac:dyDescent="0.3">
      <c r="A8171" s="8" t="s">
        <v>16300</v>
      </c>
      <c r="B8171" s="8" t="s">
        <v>61773</v>
      </c>
      <c r="C8171" s="8" t="s">
        <v>16301</v>
      </c>
      <c r="D8171" s="8"/>
      <c r="E8171" s="6"/>
      <c r="F8171" s="6"/>
    </row>
    <row r="8172" spans="1:6" x14ac:dyDescent="0.3">
      <c r="A8172" s="8" t="s">
        <v>16302</v>
      </c>
      <c r="B8172" s="8" t="s">
        <v>61774</v>
      </c>
      <c r="C8172" s="8" t="s">
        <v>16303</v>
      </c>
      <c r="D8172" s="8"/>
      <c r="E8172" s="6"/>
      <c r="F8172" s="6"/>
    </row>
    <row r="8173" spans="1:6" x14ac:dyDescent="0.3">
      <c r="A8173" s="8" t="s">
        <v>16304</v>
      </c>
      <c r="B8173" s="8" t="s">
        <v>61775</v>
      </c>
      <c r="C8173" s="8" t="s">
        <v>16305</v>
      </c>
      <c r="D8173" s="8"/>
      <c r="E8173" s="6"/>
      <c r="F8173" s="6"/>
    </row>
    <row r="8174" spans="1:6" x14ac:dyDescent="0.3">
      <c r="A8174" s="8" t="s">
        <v>16306</v>
      </c>
      <c r="B8174" s="8" t="s">
        <v>61776</v>
      </c>
      <c r="C8174" s="8" t="s">
        <v>16307</v>
      </c>
      <c r="D8174" s="8"/>
      <c r="E8174" s="6"/>
      <c r="F8174" s="6"/>
    </row>
    <row r="8175" spans="1:6" x14ac:dyDescent="0.3">
      <c r="A8175" s="8" t="s">
        <v>16308</v>
      </c>
      <c r="B8175" s="8" t="s">
        <v>61777</v>
      </c>
      <c r="C8175" s="8" t="s">
        <v>16309</v>
      </c>
      <c r="D8175" s="8"/>
      <c r="E8175" s="6"/>
      <c r="F8175" s="6"/>
    </row>
    <row r="8176" spans="1:6" x14ac:dyDescent="0.3">
      <c r="A8176" s="8" t="s">
        <v>16310</v>
      </c>
      <c r="B8176" s="8" t="s">
        <v>61778</v>
      </c>
      <c r="C8176" s="8" t="s">
        <v>16311</v>
      </c>
      <c r="D8176" s="8"/>
      <c r="E8176" s="6"/>
      <c r="F8176" s="6"/>
    </row>
    <row r="8177" spans="1:6" x14ac:dyDescent="0.3">
      <c r="A8177" s="8" t="s">
        <v>16312</v>
      </c>
      <c r="B8177" s="8" t="s">
        <v>61779</v>
      </c>
      <c r="C8177" s="8" t="s">
        <v>16313</v>
      </c>
      <c r="D8177" s="8"/>
      <c r="E8177" s="6"/>
      <c r="F8177" s="6"/>
    </row>
    <row r="8178" spans="1:6" x14ac:dyDescent="0.3">
      <c r="A8178" s="8" t="s">
        <v>16314</v>
      </c>
      <c r="B8178" s="8" t="s">
        <v>61780</v>
      </c>
      <c r="C8178" s="8" t="s">
        <v>16315</v>
      </c>
      <c r="D8178" s="8"/>
      <c r="E8178" s="6"/>
      <c r="F8178" s="6"/>
    </row>
    <row r="8179" spans="1:6" x14ac:dyDescent="0.3">
      <c r="A8179" s="8" t="s">
        <v>16316</v>
      </c>
      <c r="B8179" s="8" t="s">
        <v>61781</v>
      </c>
      <c r="C8179" s="8" t="s">
        <v>16317</v>
      </c>
      <c r="D8179" s="8"/>
      <c r="E8179" s="6"/>
      <c r="F8179" s="6"/>
    </row>
    <row r="8180" spans="1:6" x14ac:dyDescent="0.3">
      <c r="A8180" s="8" t="s">
        <v>16318</v>
      </c>
      <c r="B8180" s="8" t="s">
        <v>61782</v>
      </c>
      <c r="C8180" s="8" t="s">
        <v>16319</v>
      </c>
      <c r="D8180" s="8"/>
      <c r="E8180" s="6"/>
      <c r="F8180" s="6"/>
    </row>
    <row r="8181" spans="1:6" x14ac:dyDescent="0.3">
      <c r="A8181" s="8" t="s">
        <v>16320</v>
      </c>
      <c r="B8181" s="8" t="s">
        <v>61783</v>
      </c>
      <c r="C8181" s="8" t="s">
        <v>16321</v>
      </c>
      <c r="D8181" s="8"/>
      <c r="E8181" s="6"/>
      <c r="F8181" s="6"/>
    </row>
    <row r="8182" spans="1:6" x14ac:dyDescent="0.3">
      <c r="A8182" s="8" t="s">
        <v>16322</v>
      </c>
      <c r="B8182" s="8" t="s">
        <v>61784</v>
      </c>
      <c r="C8182" s="8" t="s">
        <v>16323</v>
      </c>
      <c r="D8182" s="8"/>
      <c r="E8182" s="6"/>
      <c r="F8182" s="6"/>
    </row>
    <row r="8183" spans="1:6" x14ac:dyDescent="0.3">
      <c r="A8183" s="8" t="s">
        <v>16324</v>
      </c>
      <c r="B8183" s="8" t="s">
        <v>61785</v>
      </c>
      <c r="C8183" s="8" t="s">
        <v>16325</v>
      </c>
      <c r="D8183" s="8"/>
      <c r="E8183" s="6"/>
      <c r="F8183" s="6"/>
    </row>
    <row r="8184" spans="1:6" x14ac:dyDescent="0.3">
      <c r="A8184" s="8" t="s">
        <v>16326</v>
      </c>
      <c r="B8184" s="8" t="s">
        <v>61786</v>
      </c>
      <c r="C8184" s="8" t="s">
        <v>16327</v>
      </c>
      <c r="D8184" s="8"/>
      <c r="E8184" s="6"/>
      <c r="F8184" s="6"/>
    </row>
    <row r="8185" spans="1:6" x14ac:dyDescent="0.3">
      <c r="A8185" s="8" t="s">
        <v>16328</v>
      </c>
      <c r="B8185" s="8" t="s">
        <v>61787</v>
      </c>
      <c r="C8185" s="8" t="s">
        <v>16329</v>
      </c>
      <c r="D8185" s="8"/>
      <c r="E8185" s="6"/>
      <c r="F8185" s="6"/>
    </row>
    <row r="8186" spans="1:6" x14ac:dyDescent="0.3">
      <c r="A8186" s="8" t="s">
        <v>16330</v>
      </c>
      <c r="B8186" s="8" t="s">
        <v>61788</v>
      </c>
      <c r="C8186" s="8" t="s">
        <v>16331</v>
      </c>
      <c r="D8186" s="8"/>
      <c r="E8186" s="6"/>
      <c r="F8186" s="6"/>
    </row>
    <row r="8187" spans="1:6" x14ac:dyDescent="0.3">
      <c r="A8187" s="8" t="s">
        <v>16332</v>
      </c>
      <c r="B8187" s="8" t="s">
        <v>61789</v>
      </c>
      <c r="C8187" s="8" t="s">
        <v>16333</v>
      </c>
      <c r="D8187" s="8"/>
      <c r="E8187" s="6"/>
      <c r="F8187" s="6"/>
    </row>
    <row r="8188" spans="1:6" x14ac:dyDescent="0.3">
      <c r="A8188" s="8" t="s">
        <v>16334</v>
      </c>
      <c r="B8188" s="8" t="s">
        <v>61790</v>
      </c>
      <c r="C8188" s="8" t="s">
        <v>16335</v>
      </c>
      <c r="D8188" s="8"/>
      <c r="E8188" s="6"/>
      <c r="F8188" s="6"/>
    </row>
    <row r="8189" spans="1:6" x14ac:dyDescent="0.3">
      <c r="A8189" s="8" t="s">
        <v>16336</v>
      </c>
      <c r="B8189" s="8" t="s">
        <v>61791</v>
      </c>
      <c r="C8189" s="8" t="s">
        <v>16337</v>
      </c>
      <c r="D8189" s="8"/>
      <c r="E8189" s="6"/>
      <c r="F8189" s="6"/>
    </row>
    <row r="8190" spans="1:6" x14ac:dyDescent="0.3">
      <c r="A8190" s="8" t="s">
        <v>16338</v>
      </c>
      <c r="B8190" s="8" t="s">
        <v>61792</v>
      </c>
      <c r="C8190" s="8" t="s">
        <v>16339</v>
      </c>
      <c r="D8190" s="8"/>
      <c r="E8190" s="6"/>
      <c r="F8190" s="6"/>
    </row>
    <row r="8191" spans="1:6" x14ac:dyDescent="0.3">
      <c r="A8191" s="8" t="s">
        <v>16340</v>
      </c>
      <c r="B8191" s="8" t="s">
        <v>61793</v>
      </c>
      <c r="C8191" s="8" t="s">
        <v>16341</v>
      </c>
      <c r="D8191" s="8"/>
      <c r="E8191" s="6"/>
      <c r="F8191" s="6"/>
    </row>
    <row r="8192" spans="1:6" x14ac:dyDescent="0.3">
      <c r="A8192" s="8" t="s">
        <v>16342</v>
      </c>
      <c r="B8192" s="8" t="s">
        <v>61794</v>
      </c>
      <c r="C8192" s="8" t="s">
        <v>16343</v>
      </c>
      <c r="D8192" s="8"/>
      <c r="E8192" s="6"/>
      <c r="F8192" s="6"/>
    </row>
    <row r="8193" spans="1:6" x14ac:dyDescent="0.3">
      <c r="A8193" s="8" t="s">
        <v>16344</v>
      </c>
      <c r="B8193" s="8" t="s">
        <v>61795</v>
      </c>
      <c r="C8193" s="8" t="s">
        <v>16345</v>
      </c>
      <c r="D8193" s="8"/>
      <c r="E8193" s="6"/>
      <c r="F8193" s="6"/>
    </row>
    <row r="8194" spans="1:6" x14ac:dyDescent="0.3">
      <c r="A8194" s="8" t="s">
        <v>16346</v>
      </c>
      <c r="B8194" s="8" t="s">
        <v>61796</v>
      </c>
      <c r="C8194" s="8" t="s">
        <v>16347</v>
      </c>
      <c r="D8194" s="8"/>
      <c r="E8194" s="6"/>
      <c r="F8194" s="6"/>
    </row>
    <row r="8195" spans="1:6" x14ac:dyDescent="0.3">
      <c r="A8195" s="8" t="s">
        <v>16348</v>
      </c>
      <c r="B8195" s="8" t="s">
        <v>61797</v>
      </c>
      <c r="C8195" s="8" t="s">
        <v>16349</v>
      </c>
      <c r="D8195" s="8"/>
      <c r="E8195" s="6"/>
      <c r="F8195" s="6"/>
    </row>
    <row r="8196" spans="1:6" x14ac:dyDescent="0.3">
      <c r="A8196" s="8" t="s">
        <v>16350</v>
      </c>
      <c r="B8196" s="8" t="s">
        <v>61798</v>
      </c>
      <c r="C8196" s="8" t="s">
        <v>16351</v>
      </c>
      <c r="D8196" s="8"/>
      <c r="E8196" s="6"/>
      <c r="F8196" s="6"/>
    </row>
    <row r="8197" spans="1:6" x14ac:dyDescent="0.3">
      <c r="A8197" s="8" t="s">
        <v>16352</v>
      </c>
      <c r="B8197" s="8" t="s">
        <v>61799</v>
      </c>
      <c r="C8197" s="8" t="s">
        <v>16353</v>
      </c>
      <c r="D8197" s="8"/>
      <c r="E8197" s="6"/>
      <c r="F8197" s="6"/>
    </row>
    <row r="8198" spans="1:6" x14ac:dyDescent="0.3">
      <c r="A8198" s="8" t="s">
        <v>16354</v>
      </c>
      <c r="B8198" s="8" t="s">
        <v>61800</v>
      </c>
      <c r="C8198" s="8" t="s">
        <v>16355</v>
      </c>
      <c r="D8198" s="8"/>
      <c r="E8198" s="6"/>
      <c r="F8198" s="6"/>
    </row>
    <row r="8199" spans="1:6" x14ac:dyDescent="0.3">
      <c r="A8199" s="8" t="s">
        <v>16356</v>
      </c>
      <c r="B8199" s="8" t="s">
        <v>61801</v>
      </c>
      <c r="C8199" s="8" t="s">
        <v>16357</v>
      </c>
      <c r="D8199" s="8"/>
      <c r="E8199" s="6"/>
      <c r="F8199" s="6"/>
    </row>
    <row r="8200" spans="1:6" x14ac:dyDescent="0.3">
      <c r="A8200" s="8" t="s">
        <v>16358</v>
      </c>
      <c r="B8200" s="8" t="s">
        <v>61802</v>
      </c>
      <c r="C8200" s="8" t="s">
        <v>16359</v>
      </c>
      <c r="D8200" s="8"/>
      <c r="E8200" s="6"/>
      <c r="F8200" s="6"/>
    </row>
    <row r="8201" spans="1:6" x14ac:dyDescent="0.3">
      <c r="A8201" s="8" t="s">
        <v>16360</v>
      </c>
      <c r="B8201" s="8" t="s">
        <v>61803</v>
      </c>
      <c r="C8201" s="8" t="s">
        <v>16361</v>
      </c>
      <c r="D8201" s="8"/>
      <c r="E8201" s="6"/>
      <c r="F8201" s="6"/>
    </row>
    <row r="8202" spans="1:6" x14ac:dyDescent="0.3">
      <c r="A8202" s="8" t="s">
        <v>16362</v>
      </c>
      <c r="B8202" s="8" t="s">
        <v>61804</v>
      </c>
      <c r="C8202" s="8" t="s">
        <v>16363</v>
      </c>
      <c r="D8202" s="8"/>
      <c r="E8202" s="6"/>
      <c r="F8202" s="6"/>
    </row>
    <row r="8203" spans="1:6" x14ac:dyDescent="0.3">
      <c r="A8203" s="8" t="s">
        <v>16364</v>
      </c>
      <c r="B8203" s="8" t="s">
        <v>61805</v>
      </c>
      <c r="C8203" s="8" t="s">
        <v>16365</v>
      </c>
      <c r="D8203" s="8"/>
      <c r="E8203" s="6"/>
      <c r="F8203" s="6"/>
    </row>
    <row r="8204" spans="1:6" x14ac:dyDescent="0.3">
      <c r="A8204" s="8" t="s">
        <v>16366</v>
      </c>
      <c r="B8204" s="8" t="s">
        <v>61806</v>
      </c>
      <c r="C8204" s="8" t="s">
        <v>16367</v>
      </c>
      <c r="D8204" s="8"/>
      <c r="E8204" s="6"/>
      <c r="F8204" s="6"/>
    </row>
    <row r="8205" spans="1:6" x14ac:dyDescent="0.3">
      <c r="A8205" s="8" t="s">
        <v>16368</v>
      </c>
      <c r="B8205" s="8" t="s">
        <v>61807</v>
      </c>
      <c r="C8205" s="8" t="s">
        <v>16369</v>
      </c>
      <c r="D8205" s="8"/>
      <c r="E8205" s="6"/>
      <c r="F8205" s="6"/>
    </row>
    <row r="8206" spans="1:6" x14ac:dyDescent="0.3">
      <c r="A8206" s="8" t="s">
        <v>16370</v>
      </c>
      <c r="B8206" s="8" t="s">
        <v>61808</v>
      </c>
      <c r="C8206" s="8" t="s">
        <v>16371</v>
      </c>
      <c r="D8206" s="8"/>
      <c r="E8206" s="6"/>
      <c r="F8206" s="6"/>
    </row>
    <row r="8207" spans="1:6" x14ac:dyDescent="0.3">
      <c r="A8207" s="8" t="s">
        <v>16372</v>
      </c>
      <c r="B8207" s="8" t="s">
        <v>61809</v>
      </c>
      <c r="C8207" s="8" t="s">
        <v>16373</v>
      </c>
      <c r="D8207" s="8"/>
      <c r="E8207" s="6"/>
      <c r="F8207" s="6"/>
    </row>
    <row r="8208" spans="1:6" x14ac:dyDescent="0.3">
      <c r="A8208" s="8" t="s">
        <v>16374</v>
      </c>
      <c r="B8208" s="8" t="s">
        <v>61810</v>
      </c>
      <c r="C8208" s="8" t="s">
        <v>16375</v>
      </c>
      <c r="D8208" s="8"/>
      <c r="E8208" s="6"/>
      <c r="F8208" s="6"/>
    </row>
    <row r="8209" spans="1:6" x14ac:dyDescent="0.3">
      <c r="A8209" s="8" t="s">
        <v>16376</v>
      </c>
      <c r="B8209" s="8" t="s">
        <v>61811</v>
      </c>
      <c r="C8209" s="8" t="s">
        <v>16377</v>
      </c>
      <c r="D8209" s="8"/>
      <c r="E8209" s="6"/>
      <c r="F8209" s="6"/>
    </row>
    <row r="8210" spans="1:6" x14ac:dyDescent="0.3">
      <c r="A8210" s="8" t="s">
        <v>16378</v>
      </c>
      <c r="B8210" s="8" t="s">
        <v>61812</v>
      </c>
      <c r="C8210" s="8" t="s">
        <v>16379</v>
      </c>
      <c r="D8210" s="8"/>
      <c r="E8210" s="6"/>
      <c r="F8210" s="6"/>
    </row>
    <row r="8211" spans="1:6" x14ac:dyDescent="0.3">
      <c r="A8211" s="8" t="s">
        <v>16380</v>
      </c>
      <c r="B8211" s="8" t="s">
        <v>61813</v>
      </c>
      <c r="C8211" s="8" t="s">
        <v>16381</v>
      </c>
      <c r="D8211" s="8"/>
      <c r="E8211" s="6"/>
      <c r="F8211" s="6"/>
    </row>
    <row r="8212" spans="1:6" x14ac:dyDescent="0.3">
      <c r="A8212" s="8" t="s">
        <v>16382</v>
      </c>
      <c r="B8212" s="8" t="s">
        <v>61814</v>
      </c>
      <c r="C8212" s="8" t="s">
        <v>16383</v>
      </c>
      <c r="D8212" s="8"/>
      <c r="E8212" s="6"/>
      <c r="F8212" s="6"/>
    </row>
    <row r="8213" spans="1:6" x14ac:dyDescent="0.3">
      <c r="A8213" s="8" t="s">
        <v>16384</v>
      </c>
      <c r="B8213" s="8" t="s">
        <v>61815</v>
      </c>
      <c r="C8213" s="8" t="s">
        <v>16385</v>
      </c>
      <c r="D8213" s="8"/>
      <c r="E8213" s="6"/>
      <c r="F8213" s="6"/>
    </row>
    <row r="8214" spans="1:6" x14ac:dyDescent="0.3">
      <c r="A8214" s="8" t="s">
        <v>16386</v>
      </c>
      <c r="B8214" s="8" t="s">
        <v>61816</v>
      </c>
      <c r="C8214" s="8" t="s">
        <v>16387</v>
      </c>
      <c r="D8214" s="8"/>
      <c r="E8214" s="6"/>
      <c r="F8214" s="6"/>
    </row>
    <row r="8215" spans="1:6" x14ac:dyDescent="0.3">
      <c r="A8215" s="8" t="s">
        <v>16388</v>
      </c>
      <c r="B8215" s="8" t="s">
        <v>61817</v>
      </c>
      <c r="C8215" s="8" t="s">
        <v>16389</v>
      </c>
      <c r="D8215" s="8"/>
      <c r="E8215" s="6"/>
      <c r="F8215" s="6"/>
    </row>
    <row r="8216" spans="1:6" x14ac:dyDescent="0.3">
      <c r="A8216" s="8" t="s">
        <v>16390</v>
      </c>
      <c r="B8216" s="8" t="s">
        <v>61818</v>
      </c>
      <c r="C8216" s="8" t="s">
        <v>16391</v>
      </c>
      <c r="D8216" s="8"/>
      <c r="E8216" s="6"/>
      <c r="F8216" s="6"/>
    </row>
    <row r="8217" spans="1:6" x14ac:dyDescent="0.3">
      <c r="A8217" s="8" t="s">
        <v>16392</v>
      </c>
      <c r="B8217" s="8" t="s">
        <v>61819</v>
      </c>
      <c r="C8217" s="8" t="s">
        <v>16393</v>
      </c>
      <c r="D8217" s="8"/>
      <c r="E8217" s="6"/>
      <c r="F8217" s="6"/>
    </row>
    <row r="8218" spans="1:6" x14ac:dyDescent="0.3">
      <c r="A8218" s="8" t="s">
        <v>16394</v>
      </c>
      <c r="B8218" s="8" t="s">
        <v>61820</v>
      </c>
      <c r="C8218" s="8" t="s">
        <v>16395</v>
      </c>
      <c r="D8218" s="8"/>
      <c r="E8218" s="6"/>
      <c r="F8218" s="6"/>
    </row>
    <row r="8219" spans="1:6" x14ac:dyDescent="0.3">
      <c r="A8219" s="8" t="s">
        <v>16396</v>
      </c>
      <c r="B8219" s="8" t="s">
        <v>61821</v>
      </c>
      <c r="C8219" s="8" t="s">
        <v>16397</v>
      </c>
      <c r="D8219" s="8"/>
      <c r="E8219" s="6"/>
      <c r="F8219" s="6"/>
    </row>
    <row r="8220" spans="1:6" x14ac:dyDescent="0.3">
      <c r="A8220" s="8" t="s">
        <v>16398</v>
      </c>
      <c r="B8220" s="8" t="s">
        <v>61822</v>
      </c>
      <c r="C8220" s="8" t="s">
        <v>16399</v>
      </c>
      <c r="D8220" s="8"/>
      <c r="E8220" s="6"/>
      <c r="F8220" s="6"/>
    </row>
    <row r="8221" spans="1:6" x14ac:dyDescent="0.3">
      <c r="A8221" s="8" t="s">
        <v>16400</v>
      </c>
      <c r="B8221" s="8" t="s">
        <v>61823</v>
      </c>
      <c r="C8221" s="8" t="s">
        <v>16401</v>
      </c>
      <c r="D8221" s="8"/>
      <c r="E8221" s="6"/>
      <c r="F8221" s="6"/>
    </row>
    <row r="8222" spans="1:6" x14ac:dyDescent="0.3">
      <c r="A8222" s="8" t="s">
        <v>16402</v>
      </c>
      <c r="B8222" s="8" t="s">
        <v>61824</v>
      </c>
      <c r="C8222" s="8" t="s">
        <v>16403</v>
      </c>
      <c r="D8222" s="8"/>
      <c r="E8222" s="6"/>
      <c r="F8222" s="6"/>
    </row>
    <row r="8223" spans="1:6" x14ac:dyDescent="0.3">
      <c r="A8223" s="8" t="s">
        <v>16404</v>
      </c>
      <c r="B8223" s="8" t="s">
        <v>61825</v>
      </c>
      <c r="C8223" s="8" t="s">
        <v>16405</v>
      </c>
      <c r="D8223" s="8"/>
      <c r="E8223" s="6"/>
      <c r="F8223" s="6"/>
    </row>
    <row r="8224" spans="1:6" x14ac:dyDescent="0.3">
      <c r="A8224" s="8" t="s">
        <v>16406</v>
      </c>
      <c r="B8224" s="8" t="s">
        <v>61826</v>
      </c>
      <c r="C8224" s="8" t="s">
        <v>16407</v>
      </c>
      <c r="D8224" s="8"/>
      <c r="E8224" s="6"/>
      <c r="F8224" s="6"/>
    </row>
    <row r="8225" spans="1:6" x14ac:dyDescent="0.3">
      <c r="A8225" s="8" t="s">
        <v>16408</v>
      </c>
      <c r="B8225" s="8" t="s">
        <v>61827</v>
      </c>
      <c r="C8225" s="8" t="s">
        <v>16409</v>
      </c>
      <c r="D8225" s="8"/>
      <c r="E8225" s="6"/>
      <c r="F8225" s="6"/>
    </row>
    <row r="8226" spans="1:6" x14ac:dyDescent="0.3">
      <c r="A8226" s="8" t="s">
        <v>16410</v>
      </c>
      <c r="B8226" s="8" t="s">
        <v>61828</v>
      </c>
      <c r="C8226" s="8" t="s">
        <v>16411</v>
      </c>
      <c r="D8226" s="8"/>
      <c r="E8226" s="6"/>
      <c r="F8226" s="6"/>
    </row>
    <row r="8227" spans="1:6" x14ac:dyDescent="0.3">
      <c r="A8227" s="8" t="s">
        <v>16412</v>
      </c>
      <c r="B8227" s="8" t="s">
        <v>61829</v>
      </c>
      <c r="C8227" s="8" t="s">
        <v>16413</v>
      </c>
      <c r="D8227" s="8"/>
      <c r="E8227" s="6"/>
      <c r="F8227" s="6"/>
    </row>
    <row r="8228" spans="1:6" x14ac:dyDescent="0.3">
      <c r="A8228" s="8" t="s">
        <v>16414</v>
      </c>
      <c r="B8228" s="8" t="s">
        <v>61830</v>
      </c>
      <c r="C8228" s="8" t="s">
        <v>16415</v>
      </c>
      <c r="D8228" s="8"/>
      <c r="E8228" s="6"/>
      <c r="F8228" s="6"/>
    </row>
    <row r="8229" spans="1:6" x14ac:dyDescent="0.3">
      <c r="A8229" s="8" t="s">
        <v>16416</v>
      </c>
      <c r="B8229" s="8" t="s">
        <v>61831</v>
      </c>
      <c r="C8229" s="8" t="s">
        <v>16417</v>
      </c>
      <c r="D8229" s="8"/>
      <c r="E8229" s="6"/>
      <c r="F8229" s="6"/>
    </row>
    <row r="8230" spans="1:6" x14ac:dyDescent="0.3">
      <c r="A8230" s="8" t="s">
        <v>16418</v>
      </c>
      <c r="B8230" s="8" t="s">
        <v>61832</v>
      </c>
      <c r="C8230" s="8" t="s">
        <v>16419</v>
      </c>
      <c r="D8230" s="8"/>
      <c r="E8230" s="6"/>
      <c r="F8230" s="6"/>
    </row>
    <row r="8231" spans="1:6" x14ac:dyDescent="0.3">
      <c r="A8231" s="8" t="s">
        <v>16420</v>
      </c>
      <c r="B8231" s="8" t="s">
        <v>61833</v>
      </c>
      <c r="C8231" s="8" t="s">
        <v>16421</v>
      </c>
      <c r="D8231" s="8"/>
      <c r="E8231" s="6"/>
      <c r="F8231" s="6"/>
    </row>
    <row r="8232" spans="1:6" x14ac:dyDescent="0.3">
      <c r="A8232" s="8" t="s">
        <v>16422</v>
      </c>
      <c r="B8232" s="8" t="s">
        <v>61834</v>
      </c>
      <c r="C8232" s="8" t="s">
        <v>16423</v>
      </c>
      <c r="D8232" s="8"/>
      <c r="E8232" s="6"/>
      <c r="F8232" s="6"/>
    </row>
    <row r="8233" spans="1:6" x14ac:dyDescent="0.3">
      <c r="A8233" s="8" t="s">
        <v>16424</v>
      </c>
      <c r="B8233" s="8" t="s">
        <v>61835</v>
      </c>
      <c r="C8233" s="8" t="s">
        <v>16425</v>
      </c>
      <c r="D8233" s="8"/>
      <c r="E8233" s="6"/>
      <c r="F8233" s="6"/>
    </row>
    <row r="8234" spans="1:6" x14ac:dyDescent="0.3">
      <c r="A8234" s="8" t="s">
        <v>16426</v>
      </c>
      <c r="B8234" s="8" t="s">
        <v>61836</v>
      </c>
      <c r="C8234" s="8" t="s">
        <v>16427</v>
      </c>
      <c r="D8234" s="8"/>
      <c r="E8234" s="6"/>
      <c r="F8234" s="6"/>
    </row>
    <row r="8235" spans="1:6" x14ac:dyDescent="0.3">
      <c r="A8235" s="8" t="s">
        <v>16428</v>
      </c>
      <c r="B8235" s="8" t="s">
        <v>61837</v>
      </c>
      <c r="C8235" s="8" t="s">
        <v>16429</v>
      </c>
      <c r="D8235" s="8"/>
      <c r="E8235" s="6"/>
      <c r="F8235" s="6"/>
    </row>
    <row r="8236" spans="1:6" x14ac:dyDescent="0.3">
      <c r="A8236" s="8" t="s">
        <v>16430</v>
      </c>
      <c r="B8236" s="8" t="s">
        <v>61838</v>
      </c>
      <c r="C8236" s="8" t="s">
        <v>16431</v>
      </c>
      <c r="D8236" s="8"/>
      <c r="E8236" s="6"/>
      <c r="F8236" s="6"/>
    </row>
    <row r="8237" spans="1:6" x14ac:dyDescent="0.3">
      <c r="A8237" s="8" t="s">
        <v>16432</v>
      </c>
      <c r="B8237" s="8" t="s">
        <v>61839</v>
      </c>
      <c r="C8237" s="8" t="s">
        <v>16433</v>
      </c>
      <c r="D8237" s="8"/>
      <c r="E8237" s="6"/>
      <c r="F8237" s="6"/>
    </row>
    <row r="8238" spans="1:6" x14ac:dyDescent="0.3">
      <c r="A8238" s="8" t="s">
        <v>16434</v>
      </c>
      <c r="B8238" s="8" t="s">
        <v>61840</v>
      </c>
      <c r="C8238" s="8" t="s">
        <v>16435</v>
      </c>
      <c r="D8238" s="8"/>
      <c r="E8238" s="6"/>
      <c r="F8238" s="6"/>
    </row>
    <row r="8239" spans="1:6" x14ac:dyDescent="0.3">
      <c r="A8239" s="8" t="s">
        <v>16436</v>
      </c>
      <c r="B8239" s="8" t="s">
        <v>61841</v>
      </c>
      <c r="C8239" s="8" t="s">
        <v>16437</v>
      </c>
      <c r="D8239" s="8"/>
      <c r="E8239" s="6"/>
      <c r="F8239" s="6"/>
    </row>
    <row r="8240" spans="1:6" x14ac:dyDescent="0.3">
      <c r="A8240" s="8" t="s">
        <v>16438</v>
      </c>
      <c r="B8240" s="8" t="s">
        <v>61842</v>
      </c>
      <c r="C8240" s="8" t="s">
        <v>16439</v>
      </c>
      <c r="D8240" s="8"/>
      <c r="E8240" s="6"/>
      <c r="F8240" s="6"/>
    </row>
    <row r="8241" spans="1:6" x14ac:dyDescent="0.3">
      <c r="A8241" s="8" t="s">
        <v>16440</v>
      </c>
      <c r="B8241" s="8" t="s">
        <v>61843</v>
      </c>
      <c r="C8241" s="8" t="s">
        <v>16441</v>
      </c>
      <c r="D8241" s="8"/>
      <c r="E8241" s="6"/>
      <c r="F8241" s="6"/>
    </row>
    <row r="8242" spans="1:6" x14ac:dyDescent="0.3">
      <c r="A8242" s="8" t="s">
        <v>16442</v>
      </c>
      <c r="B8242" s="8" t="s">
        <v>61844</v>
      </c>
      <c r="C8242" s="8" t="s">
        <v>16443</v>
      </c>
      <c r="D8242" s="8"/>
      <c r="E8242" s="6"/>
      <c r="F8242" s="6"/>
    </row>
    <row r="8243" spans="1:6" x14ac:dyDescent="0.3">
      <c r="A8243" s="8" t="s">
        <v>16444</v>
      </c>
      <c r="B8243" s="8" t="s">
        <v>61845</v>
      </c>
      <c r="C8243" s="8" t="s">
        <v>16445</v>
      </c>
      <c r="D8243" s="8"/>
      <c r="E8243" s="6"/>
      <c r="F8243" s="6"/>
    </row>
    <row r="8244" spans="1:6" x14ac:dyDescent="0.3">
      <c r="A8244" s="8" t="s">
        <v>16446</v>
      </c>
      <c r="B8244" s="8" t="s">
        <v>61846</v>
      </c>
      <c r="C8244" s="8" t="s">
        <v>16447</v>
      </c>
      <c r="D8244" s="8"/>
      <c r="E8244" s="6"/>
      <c r="F8244" s="6"/>
    </row>
    <row r="8245" spans="1:6" x14ac:dyDescent="0.3">
      <c r="A8245" s="8" t="s">
        <v>16448</v>
      </c>
      <c r="B8245" s="8" t="s">
        <v>61847</v>
      </c>
      <c r="C8245" s="8" t="s">
        <v>16449</v>
      </c>
      <c r="D8245" s="8"/>
      <c r="E8245" s="6"/>
      <c r="F8245" s="6"/>
    </row>
    <row r="8246" spans="1:6" x14ac:dyDescent="0.3">
      <c r="A8246" s="8" t="s">
        <v>16450</v>
      </c>
      <c r="B8246" s="8" t="s">
        <v>61848</v>
      </c>
      <c r="C8246" s="8" t="s">
        <v>16451</v>
      </c>
      <c r="D8246" s="8"/>
      <c r="E8246" s="6"/>
      <c r="F8246" s="6"/>
    </row>
    <row r="8247" spans="1:6" x14ac:dyDescent="0.3">
      <c r="A8247" s="8" t="s">
        <v>16452</v>
      </c>
      <c r="B8247" s="8" t="s">
        <v>61849</v>
      </c>
      <c r="C8247" s="8" t="s">
        <v>16453</v>
      </c>
      <c r="D8247" s="8"/>
      <c r="E8247" s="6"/>
      <c r="F8247" s="6"/>
    </row>
    <row r="8248" spans="1:6" x14ac:dyDescent="0.3">
      <c r="A8248" s="8" t="s">
        <v>16454</v>
      </c>
      <c r="B8248" s="8" t="s">
        <v>61850</v>
      </c>
      <c r="C8248" s="8" t="s">
        <v>16455</v>
      </c>
      <c r="D8248" s="8"/>
      <c r="E8248" s="6"/>
      <c r="F8248" s="6"/>
    </row>
    <row r="8249" spans="1:6" x14ac:dyDescent="0.3">
      <c r="A8249" s="8" t="s">
        <v>16456</v>
      </c>
      <c r="B8249" s="8" t="s">
        <v>61851</v>
      </c>
      <c r="C8249" s="8" t="s">
        <v>16457</v>
      </c>
      <c r="D8249" s="8"/>
      <c r="E8249" s="6"/>
      <c r="F8249" s="6"/>
    </row>
    <row r="8250" spans="1:6" x14ac:dyDescent="0.3">
      <c r="A8250" s="8" t="s">
        <v>16458</v>
      </c>
      <c r="B8250" s="8" t="s">
        <v>61852</v>
      </c>
      <c r="C8250" s="8" t="s">
        <v>16459</v>
      </c>
      <c r="D8250" s="8"/>
      <c r="E8250" s="6"/>
      <c r="F8250" s="6"/>
    </row>
    <row r="8251" spans="1:6" x14ac:dyDescent="0.3">
      <c r="A8251" s="8" t="s">
        <v>16460</v>
      </c>
      <c r="B8251" s="8" t="s">
        <v>61853</v>
      </c>
      <c r="C8251" s="8" t="s">
        <v>16461</v>
      </c>
      <c r="D8251" s="8"/>
      <c r="E8251" s="6"/>
      <c r="F8251" s="6"/>
    </row>
    <row r="8252" spans="1:6" x14ac:dyDescent="0.3">
      <c r="A8252" s="8" t="s">
        <v>16462</v>
      </c>
      <c r="B8252" s="8" t="s">
        <v>61854</v>
      </c>
      <c r="C8252" s="8" t="s">
        <v>16463</v>
      </c>
      <c r="D8252" s="8"/>
      <c r="E8252" s="6"/>
      <c r="F8252" s="6"/>
    </row>
    <row r="8253" spans="1:6" x14ac:dyDescent="0.3">
      <c r="A8253" s="8" t="s">
        <v>16464</v>
      </c>
      <c r="B8253" s="8" t="s">
        <v>61855</v>
      </c>
      <c r="C8253" s="8" t="s">
        <v>16465</v>
      </c>
      <c r="D8253" s="8"/>
      <c r="E8253" s="6"/>
      <c r="F8253" s="6"/>
    </row>
    <row r="8254" spans="1:6" x14ac:dyDescent="0.3">
      <c r="A8254" s="8" t="s">
        <v>16466</v>
      </c>
      <c r="B8254" s="8" t="s">
        <v>61856</v>
      </c>
      <c r="C8254" s="8" t="s">
        <v>16467</v>
      </c>
      <c r="D8254" s="8"/>
      <c r="E8254" s="6"/>
      <c r="F8254" s="6"/>
    </row>
    <row r="8255" spans="1:6" x14ac:dyDescent="0.3">
      <c r="A8255" s="8" t="s">
        <v>16468</v>
      </c>
      <c r="B8255" s="8" t="s">
        <v>61857</v>
      </c>
      <c r="C8255" s="8" t="s">
        <v>16469</v>
      </c>
      <c r="D8255" s="8"/>
      <c r="E8255" s="6"/>
      <c r="F8255" s="6"/>
    </row>
    <row r="8256" spans="1:6" x14ac:dyDescent="0.3">
      <c r="A8256" s="8" t="s">
        <v>16470</v>
      </c>
      <c r="B8256" s="8" t="s">
        <v>61858</v>
      </c>
      <c r="C8256" s="8" t="s">
        <v>16471</v>
      </c>
      <c r="D8256" s="8"/>
      <c r="E8256" s="6"/>
      <c r="F8256" s="6"/>
    </row>
    <row r="8257" spans="1:6" x14ac:dyDescent="0.3">
      <c r="A8257" s="8" t="s">
        <v>16472</v>
      </c>
      <c r="B8257" s="8" t="s">
        <v>61859</v>
      </c>
      <c r="C8257" s="8" t="s">
        <v>16473</v>
      </c>
      <c r="D8257" s="8"/>
      <c r="E8257" s="6"/>
      <c r="F8257" s="6"/>
    </row>
    <row r="8258" spans="1:6" x14ac:dyDescent="0.3">
      <c r="A8258" s="8" t="s">
        <v>16474</v>
      </c>
      <c r="B8258" s="8" t="s">
        <v>61860</v>
      </c>
      <c r="C8258" s="8" t="s">
        <v>16475</v>
      </c>
      <c r="D8258" s="8"/>
      <c r="E8258" s="6"/>
      <c r="F8258" s="6"/>
    </row>
    <row r="8259" spans="1:6" x14ac:dyDescent="0.3">
      <c r="A8259" s="8" t="s">
        <v>16476</v>
      </c>
      <c r="B8259" s="8" t="s">
        <v>61861</v>
      </c>
      <c r="C8259" s="8" t="s">
        <v>16477</v>
      </c>
      <c r="D8259" s="8"/>
      <c r="E8259" s="6"/>
      <c r="F8259" s="6"/>
    </row>
    <row r="8260" spans="1:6" x14ac:dyDescent="0.3">
      <c r="A8260" s="8" t="s">
        <v>16478</v>
      </c>
      <c r="B8260" s="8" t="s">
        <v>61862</v>
      </c>
      <c r="C8260" s="8" t="s">
        <v>16479</v>
      </c>
      <c r="D8260" s="8"/>
      <c r="E8260" s="6"/>
      <c r="F8260" s="6"/>
    </row>
    <row r="8261" spans="1:6" x14ac:dyDescent="0.3">
      <c r="A8261" s="8" t="s">
        <v>16480</v>
      </c>
      <c r="B8261" s="8" t="s">
        <v>61863</v>
      </c>
      <c r="C8261" s="8" t="s">
        <v>16481</v>
      </c>
      <c r="D8261" s="8"/>
      <c r="E8261" s="6"/>
      <c r="F8261" s="6"/>
    </row>
    <row r="8262" spans="1:6" x14ac:dyDescent="0.3">
      <c r="A8262" s="8" t="s">
        <v>16482</v>
      </c>
      <c r="B8262" s="8" t="s">
        <v>61864</v>
      </c>
      <c r="C8262" s="8" t="s">
        <v>16483</v>
      </c>
      <c r="D8262" s="8"/>
      <c r="E8262" s="6"/>
      <c r="F8262" s="6"/>
    </row>
    <row r="8263" spans="1:6" x14ac:dyDescent="0.3">
      <c r="A8263" s="8" t="s">
        <v>16484</v>
      </c>
      <c r="B8263" s="8" t="s">
        <v>61865</v>
      </c>
      <c r="C8263" s="8" t="s">
        <v>16485</v>
      </c>
      <c r="D8263" s="8"/>
      <c r="E8263" s="6"/>
      <c r="F8263" s="6"/>
    </row>
    <row r="8264" spans="1:6" x14ac:dyDescent="0.3">
      <c r="A8264" s="8" t="s">
        <v>16486</v>
      </c>
      <c r="B8264" s="8" t="s">
        <v>61866</v>
      </c>
      <c r="C8264" s="8" t="s">
        <v>16487</v>
      </c>
      <c r="D8264" s="8"/>
      <c r="E8264" s="6"/>
      <c r="F8264" s="6"/>
    </row>
    <row r="8265" spans="1:6" x14ac:dyDescent="0.3">
      <c r="A8265" s="8" t="s">
        <v>16488</v>
      </c>
      <c r="B8265" s="8" t="s">
        <v>61867</v>
      </c>
      <c r="C8265" s="8" t="s">
        <v>16489</v>
      </c>
      <c r="D8265" s="8"/>
      <c r="E8265" s="6"/>
      <c r="F8265" s="6"/>
    </row>
    <row r="8266" spans="1:6" x14ac:dyDescent="0.3">
      <c r="A8266" s="8" t="s">
        <v>16490</v>
      </c>
      <c r="B8266" s="8" t="s">
        <v>61868</v>
      </c>
      <c r="C8266" s="8" t="s">
        <v>16491</v>
      </c>
      <c r="D8266" s="8"/>
      <c r="E8266" s="6"/>
      <c r="F8266" s="6"/>
    </row>
    <row r="8267" spans="1:6" x14ac:dyDescent="0.3">
      <c r="A8267" s="8" t="s">
        <v>16492</v>
      </c>
      <c r="B8267" s="8" t="s">
        <v>61869</v>
      </c>
      <c r="C8267" s="8" t="s">
        <v>16493</v>
      </c>
      <c r="D8267" s="8"/>
      <c r="E8267" s="6"/>
      <c r="F8267" s="6"/>
    </row>
    <row r="8268" spans="1:6" x14ac:dyDescent="0.3">
      <c r="A8268" s="8" t="s">
        <v>16494</v>
      </c>
      <c r="B8268" s="8" t="s">
        <v>61870</v>
      </c>
      <c r="C8268" s="8" t="s">
        <v>16495</v>
      </c>
      <c r="D8268" s="8"/>
      <c r="E8268" s="6"/>
      <c r="F8268" s="6"/>
    </row>
    <row r="8269" spans="1:6" x14ac:dyDescent="0.3">
      <c r="A8269" s="8" t="s">
        <v>16496</v>
      </c>
      <c r="B8269" s="8" t="s">
        <v>61871</v>
      </c>
      <c r="C8269" s="8" t="s">
        <v>16497</v>
      </c>
      <c r="D8269" s="8"/>
      <c r="E8269" s="6"/>
      <c r="F8269" s="6"/>
    </row>
    <row r="8270" spans="1:6" x14ac:dyDescent="0.3">
      <c r="A8270" s="8" t="s">
        <v>16498</v>
      </c>
      <c r="B8270" s="8" t="s">
        <v>61872</v>
      </c>
      <c r="C8270" s="8" t="s">
        <v>16499</v>
      </c>
      <c r="D8270" s="8"/>
      <c r="E8270" s="6"/>
      <c r="F8270" s="6"/>
    </row>
    <row r="8271" spans="1:6" x14ac:dyDescent="0.3">
      <c r="A8271" s="8" t="s">
        <v>16500</v>
      </c>
      <c r="B8271" s="8" t="s">
        <v>61873</v>
      </c>
      <c r="C8271" s="8" t="s">
        <v>16501</v>
      </c>
      <c r="D8271" s="8"/>
      <c r="E8271" s="6"/>
      <c r="F8271" s="6"/>
    </row>
    <row r="8272" spans="1:6" x14ac:dyDescent="0.3">
      <c r="A8272" s="8" t="s">
        <v>16502</v>
      </c>
      <c r="B8272" s="8" t="s">
        <v>61874</v>
      </c>
      <c r="C8272" s="8" t="s">
        <v>16503</v>
      </c>
      <c r="D8272" s="8"/>
      <c r="E8272" s="6"/>
      <c r="F8272" s="6"/>
    </row>
    <row r="8273" spans="1:6" x14ac:dyDescent="0.3">
      <c r="A8273" s="8" t="s">
        <v>16504</v>
      </c>
      <c r="B8273" s="8" t="s">
        <v>61875</v>
      </c>
      <c r="C8273" s="8" t="s">
        <v>16505</v>
      </c>
      <c r="D8273" s="8"/>
      <c r="E8273" s="6"/>
      <c r="F8273" s="6"/>
    </row>
    <row r="8274" spans="1:6" x14ac:dyDescent="0.3">
      <c r="A8274" s="8" t="s">
        <v>16506</v>
      </c>
      <c r="B8274" s="8" t="s">
        <v>61876</v>
      </c>
      <c r="C8274" s="8" t="s">
        <v>16507</v>
      </c>
      <c r="D8274" s="8"/>
      <c r="E8274" s="6"/>
      <c r="F8274" s="6"/>
    </row>
    <row r="8275" spans="1:6" x14ac:dyDescent="0.3">
      <c r="A8275" s="8" t="s">
        <v>16508</v>
      </c>
      <c r="B8275" s="8" t="s">
        <v>61877</v>
      </c>
      <c r="C8275" s="8" t="s">
        <v>16509</v>
      </c>
      <c r="D8275" s="8"/>
      <c r="E8275" s="6"/>
      <c r="F8275" s="6"/>
    </row>
    <row r="8276" spans="1:6" x14ac:dyDescent="0.3">
      <c r="A8276" s="8" t="s">
        <v>16510</v>
      </c>
      <c r="B8276" s="8" t="s">
        <v>61878</v>
      </c>
      <c r="C8276" s="8" t="s">
        <v>16511</v>
      </c>
      <c r="D8276" s="8"/>
      <c r="E8276" s="6"/>
      <c r="F8276" s="6"/>
    </row>
    <row r="8277" spans="1:6" x14ac:dyDescent="0.3">
      <c r="A8277" s="8" t="s">
        <v>16512</v>
      </c>
      <c r="B8277" s="8" t="s">
        <v>61879</v>
      </c>
      <c r="C8277" s="8" t="s">
        <v>16513</v>
      </c>
      <c r="D8277" s="8"/>
      <c r="E8277" s="6"/>
      <c r="F8277" s="6"/>
    </row>
    <row r="8278" spans="1:6" x14ac:dyDescent="0.3">
      <c r="A8278" s="8" t="s">
        <v>16514</v>
      </c>
      <c r="B8278" s="8" t="s">
        <v>61880</v>
      </c>
      <c r="C8278" s="8" t="s">
        <v>16515</v>
      </c>
      <c r="D8278" s="8"/>
      <c r="E8278" s="6"/>
      <c r="F8278" s="6"/>
    </row>
    <row r="8279" spans="1:6" x14ac:dyDescent="0.3">
      <c r="A8279" s="8" t="s">
        <v>16516</v>
      </c>
      <c r="B8279" s="8" t="s">
        <v>61881</v>
      </c>
      <c r="C8279" s="8" t="s">
        <v>16517</v>
      </c>
      <c r="D8279" s="8"/>
      <c r="E8279" s="6"/>
      <c r="F8279" s="6"/>
    </row>
    <row r="8280" spans="1:6" x14ac:dyDescent="0.3">
      <c r="A8280" s="8" t="s">
        <v>16518</v>
      </c>
      <c r="B8280" s="8" t="s">
        <v>61882</v>
      </c>
      <c r="C8280" s="8" t="s">
        <v>16519</v>
      </c>
      <c r="D8280" s="8"/>
      <c r="E8280" s="6"/>
      <c r="F8280" s="6"/>
    </row>
    <row r="8281" spans="1:6" x14ac:dyDescent="0.3">
      <c r="A8281" s="8" t="s">
        <v>16520</v>
      </c>
      <c r="B8281" s="8" t="s">
        <v>61883</v>
      </c>
      <c r="C8281" s="8" t="s">
        <v>16521</v>
      </c>
      <c r="D8281" s="8"/>
      <c r="E8281" s="6"/>
      <c r="F8281" s="6"/>
    </row>
    <row r="8282" spans="1:6" x14ac:dyDescent="0.3">
      <c r="A8282" s="8" t="s">
        <v>16522</v>
      </c>
      <c r="B8282" s="8" t="s">
        <v>61884</v>
      </c>
      <c r="C8282" s="8" t="s">
        <v>16523</v>
      </c>
      <c r="D8282" s="8"/>
      <c r="E8282" s="6"/>
      <c r="F8282" s="6"/>
    </row>
    <row r="8283" spans="1:6" x14ac:dyDescent="0.3">
      <c r="A8283" s="8" t="s">
        <v>16524</v>
      </c>
      <c r="B8283" s="8" t="s">
        <v>61885</v>
      </c>
      <c r="C8283" s="8" t="s">
        <v>16525</v>
      </c>
      <c r="D8283" s="8"/>
      <c r="E8283" s="6"/>
      <c r="F8283" s="6"/>
    </row>
    <row r="8284" spans="1:6" x14ac:dyDescent="0.3">
      <c r="A8284" s="8" t="s">
        <v>16526</v>
      </c>
      <c r="B8284" s="8" t="s">
        <v>61886</v>
      </c>
      <c r="C8284" s="8" t="s">
        <v>16527</v>
      </c>
      <c r="D8284" s="8"/>
      <c r="E8284" s="6"/>
      <c r="F8284" s="6"/>
    </row>
    <row r="8285" spans="1:6" x14ac:dyDescent="0.3">
      <c r="A8285" s="8" t="s">
        <v>16528</v>
      </c>
      <c r="B8285" s="8" t="s">
        <v>61887</v>
      </c>
      <c r="C8285" s="8" t="s">
        <v>16529</v>
      </c>
      <c r="D8285" s="8"/>
      <c r="E8285" s="6"/>
      <c r="F8285" s="6"/>
    </row>
    <row r="8286" spans="1:6" x14ac:dyDescent="0.3">
      <c r="A8286" s="8" t="s">
        <v>16530</v>
      </c>
      <c r="B8286" s="8" t="s">
        <v>61888</v>
      </c>
      <c r="C8286" s="8" t="s">
        <v>16531</v>
      </c>
      <c r="D8286" s="8"/>
      <c r="E8286" s="6"/>
      <c r="F8286" s="6"/>
    </row>
    <row r="8287" spans="1:6" x14ac:dyDescent="0.3">
      <c r="A8287" s="8" t="s">
        <v>16532</v>
      </c>
      <c r="B8287" s="8" t="s">
        <v>61889</v>
      </c>
      <c r="C8287" s="8" t="s">
        <v>16533</v>
      </c>
      <c r="D8287" s="8"/>
      <c r="E8287" s="6"/>
      <c r="F8287" s="6"/>
    </row>
    <row r="8288" spans="1:6" x14ac:dyDescent="0.3">
      <c r="A8288" s="8" t="s">
        <v>16534</v>
      </c>
      <c r="B8288" s="8" t="s">
        <v>61890</v>
      </c>
      <c r="C8288" s="8" t="s">
        <v>16535</v>
      </c>
      <c r="D8288" s="8"/>
      <c r="E8288" s="6"/>
      <c r="F8288" s="6"/>
    </row>
    <row r="8289" spans="1:6" x14ac:dyDescent="0.3">
      <c r="A8289" s="8" t="s">
        <v>16536</v>
      </c>
      <c r="B8289" s="8" t="s">
        <v>61891</v>
      </c>
      <c r="C8289" s="8" t="s">
        <v>16537</v>
      </c>
      <c r="D8289" s="8"/>
      <c r="E8289" s="6"/>
      <c r="F8289" s="6"/>
    </row>
    <row r="8290" spans="1:6" x14ac:dyDescent="0.3">
      <c r="A8290" s="8" t="s">
        <v>16538</v>
      </c>
      <c r="B8290" s="8" t="s">
        <v>61892</v>
      </c>
      <c r="C8290" s="8" t="s">
        <v>16539</v>
      </c>
      <c r="D8290" s="8"/>
      <c r="E8290" s="6"/>
      <c r="F8290" s="6"/>
    </row>
    <row r="8291" spans="1:6" x14ac:dyDescent="0.3">
      <c r="A8291" s="8" t="s">
        <v>16540</v>
      </c>
      <c r="B8291" s="8" t="s">
        <v>61893</v>
      </c>
      <c r="C8291" s="8" t="s">
        <v>16541</v>
      </c>
      <c r="D8291" s="8"/>
      <c r="E8291" s="6"/>
      <c r="F8291" s="6"/>
    </row>
    <row r="8292" spans="1:6" x14ac:dyDescent="0.3">
      <c r="A8292" s="8" t="s">
        <v>16542</v>
      </c>
      <c r="B8292" s="8" t="s">
        <v>61894</v>
      </c>
      <c r="C8292" s="8" t="s">
        <v>16543</v>
      </c>
      <c r="D8292" s="8"/>
      <c r="E8292" s="6"/>
      <c r="F8292" s="6"/>
    </row>
    <row r="8293" spans="1:6" x14ac:dyDescent="0.3">
      <c r="A8293" s="8" t="s">
        <v>16544</v>
      </c>
      <c r="B8293" s="8" t="s">
        <v>61895</v>
      </c>
      <c r="C8293" s="8" t="s">
        <v>16545</v>
      </c>
      <c r="D8293" s="8"/>
      <c r="E8293" s="6"/>
      <c r="F8293" s="6"/>
    </row>
    <row r="8294" spans="1:6" x14ac:dyDescent="0.3">
      <c r="A8294" s="8" t="s">
        <v>16546</v>
      </c>
      <c r="B8294" s="8" t="s">
        <v>61896</v>
      </c>
      <c r="C8294" s="8" t="s">
        <v>16547</v>
      </c>
      <c r="D8294" s="8"/>
      <c r="E8294" s="6"/>
      <c r="F8294" s="6"/>
    </row>
    <row r="8295" spans="1:6" x14ac:dyDescent="0.3">
      <c r="A8295" s="8" t="s">
        <v>16548</v>
      </c>
      <c r="B8295" s="8" t="s">
        <v>61897</v>
      </c>
      <c r="C8295" s="8" t="s">
        <v>16549</v>
      </c>
      <c r="D8295" s="8"/>
      <c r="E8295" s="6"/>
      <c r="F8295" s="6"/>
    </row>
    <row r="8296" spans="1:6" x14ac:dyDescent="0.3">
      <c r="A8296" s="8" t="s">
        <v>16550</v>
      </c>
      <c r="B8296" s="8" t="s">
        <v>61898</v>
      </c>
      <c r="C8296" s="8" t="s">
        <v>16551</v>
      </c>
      <c r="D8296" s="8"/>
      <c r="E8296" s="6"/>
      <c r="F8296" s="6"/>
    </row>
    <row r="8297" spans="1:6" x14ac:dyDescent="0.3">
      <c r="A8297" s="8" t="s">
        <v>16552</v>
      </c>
      <c r="B8297" s="8" t="s">
        <v>61899</v>
      </c>
      <c r="C8297" s="8" t="s">
        <v>16553</v>
      </c>
      <c r="D8297" s="8"/>
      <c r="E8297" s="6"/>
      <c r="F8297" s="6"/>
    </row>
    <row r="8298" spans="1:6" x14ac:dyDescent="0.3">
      <c r="A8298" s="8" t="s">
        <v>16554</v>
      </c>
      <c r="B8298" s="8" t="s">
        <v>61900</v>
      </c>
      <c r="C8298" s="8" t="s">
        <v>16555</v>
      </c>
      <c r="D8298" s="8"/>
      <c r="E8298" s="6"/>
      <c r="F8298" s="6"/>
    </row>
    <row r="8299" spans="1:6" x14ac:dyDescent="0.3">
      <c r="A8299" s="8" t="s">
        <v>16556</v>
      </c>
      <c r="B8299" s="8" t="s">
        <v>61901</v>
      </c>
      <c r="C8299" s="8" t="s">
        <v>16557</v>
      </c>
      <c r="D8299" s="8"/>
      <c r="E8299" s="6"/>
      <c r="F8299" s="6"/>
    </row>
    <row r="8300" spans="1:6" x14ac:dyDescent="0.3">
      <c r="A8300" s="8" t="s">
        <v>16558</v>
      </c>
      <c r="B8300" s="8" t="s">
        <v>61902</v>
      </c>
      <c r="C8300" s="8" t="s">
        <v>16559</v>
      </c>
      <c r="D8300" s="8"/>
      <c r="E8300" s="6"/>
      <c r="F8300" s="6"/>
    </row>
    <row r="8301" spans="1:6" x14ac:dyDescent="0.3">
      <c r="A8301" s="8" t="s">
        <v>16560</v>
      </c>
      <c r="B8301" s="8" t="s">
        <v>61903</v>
      </c>
      <c r="C8301" s="8" t="s">
        <v>16561</v>
      </c>
      <c r="D8301" s="8"/>
      <c r="E8301" s="6"/>
      <c r="F8301" s="6"/>
    </row>
    <row r="8302" spans="1:6" x14ac:dyDescent="0.3">
      <c r="A8302" s="8" t="s">
        <v>16562</v>
      </c>
      <c r="B8302" s="8" t="s">
        <v>61904</v>
      </c>
      <c r="C8302" s="8" t="s">
        <v>16563</v>
      </c>
      <c r="D8302" s="8"/>
      <c r="E8302" s="6"/>
      <c r="F8302" s="6"/>
    </row>
    <row r="8303" spans="1:6" x14ac:dyDescent="0.3">
      <c r="A8303" s="8" t="s">
        <v>16564</v>
      </c>
      <c r="B8303" s="8" t="s">
        <v>61905</v>
      </c>
      <c r="C8303" s="8" t="s">
        <v>16565</v>
      </c>
      <c r="D8303" s="8"/>
      <c r="E8303" s="6"/>
      <c r="F8303" s="6"/>
    </row>
    <row r="8304" spans="1:6" x14ac:dyDescent="0.3">
      <c r="A8304" s="8" t="s">
        <v>16566</v>
      </c>
      <c r="B8304" s="8" t="s">
        <v>61906</v>
      </c>
      <c r="C8304" s="8" t="s">
        <v>16567</v>
      </c>
      <c r="D8304" s="8"/>
      <c r="E8304" s="6"/>
      <c r="F8304" s="6"/>
    </row>
    <row r="8305" spans="1:6" x14ac:dyDescent="0.3">
      <c r="A8305" s="8" t="s">
        <v>16568</v>
      </c>
      <c r="B8305" s="8" t="s">
        <v>61907</v>
      </c>
      <c r="C8305" s="8" t="s">
        <v>16569</v>
      </c>
      <c r="D8305" s="8"/>
      <c r="E8305" s="6"/>
      <c r="F8305" s="6"/>
    </row>
    <row r="8306" spans="1:6" x14ac:dyDescent="0.3">
      <c r="A8306" s="8" t="s">
        <v>16570</v>
      </c>
      <c r="B8306" s="8" t="s">
        <v>61908</v>
      </c>
      <c r="C8306" s="8" t="s">
        <v>16571</v>
      </c>
      <c r="D8306" s="8"/>
      <c r="E8306" s="6"/>
      <c r="F8306" s="6"/>
    </row>
    <row r="8307" spans="1:6" x14ac:dyDescent="0.3">
      <c r="A8307" s="8" t="s">
        <v>16572</v>
      </c>
      <c r="B8307" s="8" t="s">
        <v>61909</v>
      </c>
      <c r="C8307" s="8" t="s">
        <v>16573</v>
      </c>
      <c r="D8307" s="8"/>
      <c r="E8307" s="6"/>
      <c r="F8307" s="6"/>
    </row>
    <row r="8308" spans="1:6" x14ac:dyDescent="0.3">
      <c r="A8308" s="8" t="s">
        <v>16574</v>
      </c>
      <c r="B8308" s="8" t="s">
        <v>61910</v>
      </c>
      <c r="C8308" s="8" t="s">
        <v>16575</v>
      </c>
      <c r="D8308" s="8"/>
      <c r="E8308" s="6"/>
      <c r="F8308" s="6"/>
    </row>
    <row r="8309" spans="1:6" x14ac:dyDescent="0.3">
      <c r="A8309" s="8" t="s">
        <v>16576</v>
      </c>
      <c r="B8309" s="8" t="s">
        <v>61911</v>
      </c>
      <c r="C8309" s="8" t="s">
        <v>16577</v>
      </c>
      <c r="D8309" s="8"/>
      <c r="E8309" s="6"/>
      <c r="F8309" s="6"/>
    </row>
    <row r="8310" spans="1:6" x14ac:dyDescent="0.3">
      <c r="A8310" s="8" t="s">
        <v>16578</v>
      </c>
      <c r="B8310" s="8" t="s">
        <v>61912</v>
      </c>
      <c r="C8310" s="8" t="s">
        <v>16579</v>
      </c>
      <c r="D8310" s="8"/>
      <c r="E8310" s="6"/>
      <c r="F8310" s="6"/>
    </row>
    <row r="8311" spans="1:6" x14ac:dyDescent="0.3">
      <c r="A8311" s="8" t="s">
        <v>16580</v>
      </c>
      <c r="B8311" s="8" t="s">
        <v>61913</v>
      </c>
      <c r="C8311" s="8" t="s">
        <v>16581</v>
      </c>
      <c r="D8311" s="8"/>
      <c r="E8311" s="6"/>
      <c r="F8311" s="6"/>
    </row>
    <row r="8312" spans="1:6" x14ac:dyDescent="0.3">
      <c r="A8312" s="8" t="s">
        <v>16582</v>
      </c>
      <c r="B8312" s="8" t="s">
        <v>61914</v>
      </c>
      <c r="C8312" s="8" t="s">
        <v>16583</v>
      </c>
      <c r="D8312" s="8"/>
      <c r="E8312" s="6"/>
      <c r="F8312" s="6"/>
    </row>
    <row r="8313" spans="1:6" x14ac:dyDescent="0.3">
      <c r="A8313" s="8" t="s">
        <v>16584</v>
      </c>
      <c r="B8313" s="8" t="s">
        <v>61915</v>
      </c>
      <c r="C8313" s="8" t="s">
        <v>16585</v>
      </c>
      <c r="D8313" s="8"/>
      <c r="E8313" s="6"/>
      <c r="F8313" s="6"/>
    </row>
    <row r="8314" spans="1:6" x14ac:dyDescent="0.3">
      <c r="A8314" s="8" t="s">
        <v>16586</v>
      </c>
      <c r="B8314" s="8" t="s">
        <v>61916</v>
      </c>
      <c r="C8314" s="8" t="s">
        <v>16587</v>
      </c>
      <c r="D8314" s="8"/>
      <c r="E8314" s="6"/>
      <c r="F8314" s="6"/>
    </row>
    <row r="8315" spans="1:6" x14ac:dyDescent="0.3">
      <c r="A8315" s="8" t="s">
        <v>16588</v>
      </c>
      <c r="B8315" s="8" t="s">
        <v>61917</v>
      </c>
      <c r="C8315" s="8" t="s">
        <v>16589</v>
      </c>
      <c r="D8315" s="8"/>
      <c r="E8315" s="6"/>
      <c r="F8315" s="6"/>
    </row>
    <row r="8316" spans="1:6" x14ac:dyDescent="0.3">
      <c r="A8316" s="8" t="s">
        <v>16590</v>
      </c>
      <c r="B8316" s="8" t="s">
        <v>61918</v>
      </c>
      <c r="C8316" s="8" t="s">
        <v>16591</v>
      </c>
      <c r="D8316" s="8"/>
      <c r="E8316" s="6"/>
      <c r="F8316" s="6"/>
    </row>
    <row r="8317" spans="1:6" x14ac:dyDescent="0.3">
      <c r="A8317" s="8" t="s">
        <v>16592</v>
      </c>
      <c r="B8317" s="8" t="s">
        <v>61919</v>
      </c>
      <c r="C8317" s="8" t="s">
        <v>16593</v>
      </c>
      <c r="D8317" s="8"/>
      <c r="E8317" s="6"/>
      <c r="F8317" s="6"/>
    </row>
    <row r="8318" spans="1:6" x14ac:dyDescent="0.3">
      <c r="A8318" s="8" t="s">
        <v>16594</v>
      </c>
      <c r="B8318" s="8" t="s">
        <v>61920</v>
      </c>
      <c r="C8318" s="8" t="s">
        <v>16595</v>
      </c>
      <c r="D8318" s="8"/>
      <c r="E8318" s="6"/>
      <c r="F8318" s="6"/>
    </row>
    <row r="8319" spans="1:6" x14ac:dyDescent="0.3">
      <c r="A8319" s="8" t="s">
        <v>16596</v>
      </c>
      <c r="B8319" s="8" t="s">
        <v>61921</v>
      </c>
      <c r="C8319" s="8" t="s">
        <v>16597</v>
      </c>
      <c r="D8319" s="8"/>
      <c r="E8319" s="6"/>
      <c r="F8319" s="6"/>
    </row>
    <row r="8320" spans="1:6" x14ac:dyDescent="0.3">
      <c r="A8320" s="8" t="s">
        <v>16598</v>
      </c>
      <c r="B8320" s="8" t="s">
        <v>61922</v>
      </c>
      <c r="C8320" s="8" t="s">
        <v>16599</v>
      </c>
      <c r="D8320" s="8"/>
      <c r="E8320" s="6"/>
      <c r="F8320" s="6"/>
    </row>
    <row r="8321" spans="1:6" x14ac:dyDescent="0.3">
      <c r="A8321" s="8" t="s">
        <v>16600</v>
      </c>
      <c r="B8321" s="8" t="s">
        <v>61923</v>
      </c>
      <c r="C8321" s="8" t="s">
        <v>16601</v>
      </c>
      <c r="D8321" s="8"/>
      <c r="E8321" s="6"/>
      <c r="F8321" s="6"/>
    </row>
    <row r="8322" spans="1:6" x14ac:dyDescent="0.3">
      <c r="A8322" s="8" t="s">
        <v>16602</v>
      </c>
      <c r="B8322" s="8" t="s">
        <v>61924</v>
      </c>
      <c r="C8322" s="8" t="s">
        <v>16603</v>
      </c>
      <c r="D8322" s="8"/>
      <c r="E8322" s="6"/>
      <c r="F8322" s="6"/>
    </row>
    <row r="8323" spans="1:6" x14ac:dyDescent="0.3">
      <c r="A8323" s="8" t="s">
        <v>16604</v>
      </c>
      <c r="B8323" s="8" t="s">
        <v>61925</v>
      </c>
      <c r="C8323" s="8" t="s">
        <v>16605</v>
      </c>
      <c r="D8323" s="8"/>
      <c r="E8323" s="6"/>
      <c r="F8323" s="6"/>
    </row>
    <row r="8324" spans="1:6" x14ac:dyDescent="0.3">
      <c r="A8324" s="8" t="s">
        <v>16606</v>
      </c>
      <c r="B8324" s="8" t="s">
        <v>61926</v>
      </c>
      <c r="C8324" s="8" t="s">
        <v>16607</v>
      </c>
      <c r="D8324" s="8"/>
      <c r="E8324" s="6"/>
      <c r="F8324" s="6"/>
    </row>
    <row r="8325" spans="1:6" x14ac:dyDescent="0.3">
      <c r="A8325" s="8" t="s">
        <v>16608</v>
      </c>
      <c r="B8325" s="8" t="s">
        <v>61927</v>
      </c>
      <c r="C8325" s="8" t="s">
        <v>16609</v>
      </c>
      <c r="D8325" s="8"/>
      <c r="E8325" s="6"/>
      <c r="F8325" s="6"/>
    </row>
    <row r="8326" spans="1:6" x14ac:dyDescent="0.3">
      <c r="A8326" s="8" t="s">
        <v>16610</v>
      </c>
      <c r="B8326" s="8" t="s">
        <v>61928</v>
      </c>
      <c r="C8326" s="8" t="s">
        <v>16611</v>
      </c>
      <c r="D8326" s="8"/>
      <c r="E8326" s="6"/>
      <c r="F8326" s="6"/>
    </row>
    <row r="8327" spans="1:6" x14ac:dyDescent="0.3">
      <c r="A8327" s="8" t="s">
        <v>16612</v>
      </c>
      <c r="B8327" s="8" t="s">
        <v>61929</v>
      </c>
      <c r="C8327" s="8" t="s">
        <v>16613</v>
      </c>
      <c r="D8327" s="8"/>
      <c r="E8327" s="6"/>
      <c r="F8327" s="6"/>
    </row>
    <row r="8328" spans="1:6" x14ac:dyDescent="0.3">
      <c r="A8328" s="8" t="s">
        <v>16614</v>
      </c>
      <c r="B8328" s="8" t="s">
        <v>61930</v>
      </c>
      <c r="C8328" s="8" t="s">
        <v>16615</v>
      </c>
      <c r="D8328" s="8"/>
      <c r="E8328" s="6"/>
      <c r="F8328" s="6"/>
    </row>
    <row r="8329" spans="1:6" x14ac:dyDescent="0.3">
      <c r="A8329" s="8" t="s">
        <v>16616</v>
      </c>
      <c r="B8329" s="8" t="s">
        <v>61931</v>
      </c>
      <c r="C8329" s="8" t="s">
        <v>16617</v>
      </c>
      <c r="D8329" s="8"/>
      <c r="E8329" s="6"/>
      <c r="F8329" s="6"/>
    </row>
    <row r="8330" spans="1:6" x14ac:dyDescent="0.3">
      <c r="A8330" s="8" t="s">
        <v>16618</v>
      </c>
      <c r="B8330" s="8" t="s">
        <v>61932</v>
      </c>
      <c r="C8330" s="8" t="s">
        <v>16619</v>
      </c>
      <c r="D8330" s="8"/>
      <c r="E8330" s="6"/>
      <c r="F8330" s="6"/>
    </row>
    <row r="8331" spans="1:6" x14ac:dyDescent="0.3">
      <c r="A8331" s="8" t="s">
        <v>16620</v>
      </c>
      <c r="B8331" s="8" t="s">
        <v>61933</v>
      </c>
      <c r="C8331" s="8" t="s">
        <v>16621</v>
      </c>
      <c r="D8331" s="8"/>
      <c r="E8331" s="6"/>
      <c r="F8331" s="6"/>
    </row>
    <row r="8332" spans="1:6" x14ac:dyDescent="0.3">
      <c r="A8332" s="8" t="s">
        <v>16622</v>
      </c>
      <c r="B8332" s="8" t="s">
        <v>61934</v>
      </c>
      <c r="C8332" s="8" t="s">
        <v>16623</v>
      </c>
      <c r="D8332" s="8"/>
      <c r="E8332" s="6"/>
      <c r="F8332" s="6"/>
    </row>
    <row r="8333" spans="1:6" x14ac:dyDescent="0.3">
      <c r="A8333" s="8" t="s">
        <v>16624</v>
      </c>
      <c r="B8333" s="8" t="s">
        <v>61935</v>
      </c>
      <c r="C8333" s="8" t="s">
        <v>16625</v>
      </c>
      <c r="D8333" s="8"/>
      <c r="E8333" s="6"/>
      <c r="F8333" s="6"/>
    </row>
    <row r="8334" spans="1:6" x14ac:dyDescent="0.3">
      <c r="A8334" s="8" t="s">
        <v>16626</v>
      </c>
      <c r="B8334" s="8" t="s">
        <v>61936</v>
      </c>
      <c r="C8334" s="8" t="s">
        <v>16627</v>
      </c>
      <c r="D8334" s="8"/>
      <c r="E8334" s="6"/>
      <c r="F8334" s="6"/>
    </row>
    <row r="8335" spans="1:6" x14ac:dyDescent="0.3">
      <c r="A8335" s="8" t="s">
        <v>16628</v>
      </c>
      <c r="B8335" s="8" t="s">
        <v>61937</v>
      </c>
      <c r="C8335" s="8" t="s">
        <v>16629</v>
      </c>
      <c r="D8335" s="8"/>
      <c r="E8335" s="6"/>
      <c r="F8335" s="6"/>
    </row>
    <row r="8336" spans="1:6" x14ac:dyDescent="0.3">
      <c r="A8336" s="8" t="s">
        <v>16630</v>
      </c>
      <c r="B8336" s="8" t="s">
        <v>61938</v>
      </c>
      <c r="C8336" s="8" t="s">
        <v>16631</v>
      </c>
      <c r="D8336" s="8"/>
      <c r="E8336" s="6"/>
      <c r="F8336" s="6"/>
    </row>
    <row r="8337" spans="1:6" x14ac:dyDescent="0.3">
      <c r="A8337" s="8" t="s">
        <v>16632</v>
      </c>
      <c r="B8337" s="8" t="s">
        <v>61939</v>
      </c>
      <c r="C8337" s="8" t="s">
        <v>16633</v>
      </c>
      <c r="D8337" s="8"/>
      <c r="E8337" s="6"/>
      <c r="F8337" s="6"/>
    </row>
    <row r="8338" spans="1:6" x14ac:dyDescent="0.3">
      <c r="A8338" s="8" t="s">
        <v>16634</v>
      </c>
      <c r="B8338" s="8" t="s">
        <v>61940</v>
      </c>
      <c r="C8338" s="8" t="s">
        <v>16635</v>
      </c>
      <c r="D8338" s="8"/>
      <c r="E8338" s="6"/>
      <c r="F8338" s="6"/>
    </row>
    <row r="8339" spans="1:6" x14ac:dyDescent="0.3">
      <c r="A8339" s="8" t="s">
        <v>16636</v>
      </c>
      <c r="B8339" s="8" t="s">
        <v>61941</v>
      </c>
      <c r="C8339" s="8" t="s">
        <v>16637</v>
      </c>
      <c r="D8339" s="8"/>
      <c r="E8339" s="6"/>
      <c r="F8339" s="6"/>
    </row>
    <row r="8340" spans="1:6" x14ac:dyDescent="0.3">
      <c r="A8340" s="8" t="s">
        <v>16638</v>
      </c>
      <c r="B8340" s="8" t="s">
        <v>61942</v>
      </c>
      <c r="C8340" s="8" t="s">
        <v>16639</v>
      </c>
      <c r="D8340" s="8"/>
      <c r="E8340" s="6"/>
      <c r="F8340" s="6"/>
    </row>
    <row r="8341" spans="1:6" x14ac:dyDescent="0.3">
      <c r="A8341" s="8" t="s">
        <v>16640</v>
      </c>
      <c r="B8341" s="8" t="s">
        <v>61943</v>
      </c>
      <c r="C8341" s="8" t="s">
        <v>16641</v>
      </c>
      <c r="D8341" s="8"/>
      <c r="E8341" s="6"/>
      <c r="F8341" s="6"/>
    </row>
    <row r="8342" spans="1:6" x14ac:dyDescent="0.3">
      <c r="A8342" s="8" t="s">
        <v>16642</v>
      </c>
      <c r="B8342" s="8" t="s">
        <v>61944</v>
      </c>
      <c r="C8342" s="8" t="s">
        <v>16643</v>
      </c>
      <c r="D8342" s="8"/>
      <c r="E8342" s="6"/>
      <c r="F8342" s="6"/>
    </row>
    <row r="8343" spans="1:6" x14ac:dyDescent="0.3">
      <c r="A8343" s="8" t="s">
        <v>16644</v>
      </c>
      <c r="B8343" s="8" t="s">
        <v>61945</v>
      </c>
      <c r="C8343" s="8" t="s">
        <v>16645</v>
      </c>
      <c r="D8343" s="8"/>
      <c r="E8343" s="6"/>
      <c r="F8343" s="6"/>
    </row>
    <row r="8344" spans="1:6" x14ac:dyDescent="0.3">
      <c r="A8344" s="8" t="s">
        <v>16646</v>
      </c>
      <c r="B8344" s="8" t="s">
        <v>61946</v>
      </c>
      <c r="C8344" s="8" t="s">
        <v>16647</v>
      </c>
      <c r="D8344" s="8"/>
      <c r="E8344" s="6"/>
      <c r="F8344" s="6"/>
    </row>
    <row r="8345" spans="1:6" x14ac:dyDescent="0.3">
      <c r="A8345" s="8" t="s">
        <v>16648</v>
      </c>
      <c r="B8345" s="8" t="s">
        <v>61947</v>
      </c>
      <c r="C8345" s="8" t="s">
        <v>16649</v>
      </c>
      <c r="D8345" s="8"/>
      <c r="E8345" s="6"/>
      <c r="F8345" s="6"/>
    </row>
    <row r="8346" spans="1:6" x14ac:dyDescent="0.3">
      <c r="A8346" s="8" t="s">
        <v>16650</v>
      </c>
      <c r="B8346" s="8" t="s">
        <v>61948</v>
      </c>
      <c r="C8346" s="8" t="s">
        <v>16651</v>
      </c>
      <c r="D8346" s="8"/>
      <c r="E8346" s="6"/>
      <c r="F8346" s="6"/>
    </row>
    <row r="8347" spans="1:6" x14ac:dyDescent="0.3">
      <c r="A8347" s="8" t="s">
        <v>16652</v>
      </c>
      <c r="B8347" s="8" t="s">
        <v>61949</v>
      </c>
      <c r="C8347" s="8" t="s">
        <v>16653</v>
      </c>
      <c r="D8347" s="8"/>
      <c r="E8347" s="6"/>
      <c r="F8347" s="6"/>
    </row>
    <row r="8348" spans="1:6" x14ac:dyDescent="0.3">
      <c r="A8348" s="8" t="s">
        <v>16654</v>
      </c>
      <c r="B8348" s="8" t="s">
        <v>61950</v>
      </c>
      <c r="C8348" s="8" t="s">
        <v>16655</v>
      </c>
      <c r="D8348" s="8"/>
      <c r="E8348" s="6"/>
      <c r="F8348" s="6"/>
    </row>
    <row r="8349" spans="1:6" x14ac:dyDescent="0.3">
      <c r="A8349" s="8" t="s">
        <v>16656</v>
      </c>
      <c r="B8349" s="8" t="s">
        <v>61951</v>
      </c>
      <c r="C8349" s="8" t="s">
        <v>16657</v>
      </c>
      <c r="D8349" s="8"/>
      <c r="E8349" s="6"/>
      <c r="F8349" s="6"/>
    </row>
    <row r="8350" spans="1:6" x14ac:dyDescent="0.3">
      <c r="A8350" s="8" t="s">
        <v>16658</v>
      </c>
      <c r="B8350" s="8" t="s">
        <v>61952</v>
      </c>
      <c r="C8350" s="8" t="s">
        <v>16659</v>
      </c>
      <c r="D8350" s="8"/>
      <c r="E8350" s="6"/>
      <c r="F8350" s="6"/>
    </row>
    <row r="8351" spans="1:6" x14ac:dyDescent="0.3">
      <c r="A8351" s="8" t="s">
        <v>16660</v>
      </c>
      <c r="B8351" s="8" t="s">
        <v>61953</v>
      </c>
      <c r="C8351" s="8" t="s">
        <v>16661</v>
      </c>
      <c r="D8351" s="8"/>
      <c r="E8351" s="6"/>
      <c r="F8351" s="6"/>
    </row>
    <row r="8352" spans="1:6" x14ac:dyDescent="0.3">
      <c r="A8352" s="8" t="s">
        <v>16662</v>
      </c>
      <c r="B8352" s="8" t="s">
        <v>61954</v>
      </c>
      <c r="C8352" s="8" t="s">
        <v>16663</v>
      </c>
      <c r="D8352" s="8"/>
      <c r="E8352" s="6"/>
      <c r="F8352" s="6"/>
    </row>
    <row r="8353" spans="1:6" x14ac:dyDescent="0.3">
      <c r="A8353" s="8" t="s">
        <v>16664</v>
      </c>
      <c r="B8353" s="8" t="s">
        <v>61955</v>
      </c>
      <c r="C8353" s="8" t="s">
        <v>16665</v>
      </c>
      <c r="D8353" s="8"/>
      <c r="E8353" s="6"/>
      <c r="F8353" s="6"/>
    </row>
    <row r="8354" spans="1:6" x14ac:dyDescent="0.3">
      <c r="A8354" s="8" t="s">
        <v>16666</v>
      </c>
      <c r="B8354" s="8" t="s">
        <v>61956</v>
      </c>
      <c r="C8354" s="8" t="s">
        <v>16667</v>
      </c>
      <c r="D8354" s="8"/>
      <c r="E8354" s="6"/>
      <c r="F8354" s="6"/>
    </row>
    <row r="8355" spans="1:6" x14ac:dyDescent="0.3">
      <c r="A8355" s="8" t="s">
        <v>16668</v>
      </c>
      <c r="B8355" s="8" t="s">
        <v>61957</v>
      </c>
      <c r="C8355" s="8" t="s">
        <v>16669</v>
      </c>
      <c r="D8355" s="8"/>
      <c r="E8355" s="6"/>
      <c r="F8355" s="6"/>
    </row>
    <row r="8356" spans="1:6" x14ac:dyDescent="0.3">
      <c r="A8356" s="8" t="s">
        <v>16670</v>
      </c>
      <c r="B8356" s="8" t="s">
        <v>61958</v>
      </c>
      <c r="C8356" s="8" t="s">
        <v>16671</v>
      </c>
      <c r="D8356" s="8"/>
      <c r="E8356" s="6"/>
      <c r="F8356" s="6"/>
    </row>
    <row r="8357" spans="1:6" x14ac:dyDescent="0.3">
      <c r="A8357" s="8" t="s">
        <v>16672</v>
      </c>
      <c r="B8357" s="8" t="s">
        <v>61959</v>
      </c>
      <c r="C8357" s="8" t="s">
        <v>16673</v>
      </c>
      <c r="D8357" s="8"/>
      <c r="E8357" s="6"/>
      <c r="F8357" s="6"/>
    </row>
    <row r="8358" spans="1:6" x14ac:dyDescent="0.3">
      <c r="A8358" s="8" t="s">
        <v>16674</v>
      </c>
      <c r="B8358" s="8" t="s">
        <v>61960</v>
      </c>
      <c r="C8358" s="8" t="s">
        <v>16675</v>
      </c>
      <c r="D8358" s="8"/>
      <c r="E8358" s="6"/>
      <c r="F8358" s="6"/>
    </row>
    <row r="8359" spans="1:6" x14ac:dyDescent="0.3">
      <c r="A8359" s="8" t="s">
        <v>16676</v>
      </c>
      <c r="B8359" s="8" t="s">
        <v>61961</v>
      </c>
      <c r="C8359" s="8" t="s">
        <v>16677</v>
      </c>
      <c r="D8359" s="8"/>
      <c r="E8359" s="6"/>
      <c r="F8359" s="6"/>
    </row>
    <row r="8360" spans="1:6" x14ac:dyDescent="0.3">
      <c r="A8360" s="8" t="s">
        <v>16678</v>
      </c>
      <c r="B8360" s="8" t="s">
        <v>61962</v>
      </c>
      <c r="C8360" s="8" t="s">
        <v>16679</v>
      </c>
      <c r="D8360" s="8"/>
      <c r="E8360" s="6"/>
      <c r="F8360" s="6"/>
    </row>
    <row r="8361" spans="1:6" x14ac:dyDescent="0.3">
      <c r="A8361" s="8" t="s">
        <v>16680</v>
      </c>
      <c r="B8361" s="8" t="s">
        <v>61963</v>
      </c>
      <c r="C8361" s="8" t="s">
        <v>16681</v>
      </c>
      <c r="D8361" s="8"/>
      <c r="E8361" s="6"/>
      <c r="F8361" s="6"/>
    </row>
    <row r="8362" spans="1:6" ht="28.8" x14ac:dyDescent="0.3">
      <c r="A8362" s="8" t="s">
        <v>16682</v>
      </c>
      <c r="B8362" s="8" t="s">
        <v>61964</v>
      </c>
      <c r="C8362" s="8" t="s">
        <v>16683</v>
      </c>
      <c r="D8362" s="8"/>
      <c r="E8362" s="6"/>
      <c r="F8362" s="6"/>
    </row>
    <row r="8363" spans="1:6" x14ac:dyDescent="0.3">
      <c r="A8363" s="8" t="s">
        <v>16684</v>
      </c>
      <c r="B8363" s="8" t="s">
        <v>61965</v>
      </c>
      <c r="C8363" s="8" t="s">
        <v>16685</v>
      </c>
      <c r="D8363" s="8"/>
      <c r="E8363" s="6"/>
      <c r="F8363" s="6"/>
    </row>
    <row r="8364" spans="1:6" x14ac:dyDescent="0.3">
      <c r="A8364" s="8" t="s">
        <v>16686</v>
      </c>
      <c r="B8364" s="8" t="s">
        <v>61966</v>
      </c>
      <c r="C8364" s="8" t="s">
        <v>16687</v>
      </c>
      <c r="D8364" s="8"/>
      <c r="E8364" s="6"/>
      <c r="F8364" s="6"/>
    </row>
    <row r="8365" spans="1:6" x14ac:dyDescent="0.3">
      <c r="A8365" s="8" t="s">
        <v>16688</v>
      </c>
      <c r="B8365" s="8" t="s">
        <v>61967</v>
      </c>
      <c r="C8365" s="8" t="s">
        <v>16689</v>
      </c>
      <c r="D8365" s="8"/>
      <c r="E8365" s="6"/>
      <c r="F8365" s="6"/>
    </row>
    <row r="8366" spans="1:6" x14ac:dyDescent="0.3">
      <c r="A8366" s="8" t="s">
        <v>16690</v>
      </c>
      <c r="B8366" s="8" t="s">
        <v>61968</v>
      </c>
      <c r="C8366" s="8" t="s">
        <v>16691</v>
      </c>
      <c r="D8366" s="8"/>
      <c r="E8366" s="6"/>
      <c r="F8366" s="6"/>
    </row>
    <row r="8367" spans="1:6" x14ac:dyDescent="0.3">
      <c r="A8367" s="8" t="s">
        <v>16692</v>
      </c>
      <c r="B8367" s="8" t="s">
        <v>61969</v>
      </c>
      <c r="C8367" s="8" t="s">
        <v>16693</v>
      </c>
      <c r="D8367" s="8"/>
      <c r="E8367" s="6"/>
      <c r="F8367" s="6"/>
    </row>
    <row r="8368" spans="1:6" x14ac:dyDescent="0.3">
      <c r="A8368" s="8" t="s">
        <v>16694</v>
      </c>
      <c r="B8368" s="8" t="s">
        <v>61970</v>
      </c>
      <c r="C8368" s="8" t="s">
        <v>16695</v>
      </c>
      <c r="D8368" s="8"/>
      <c r="E8368" s="6"/>
      <c r="F8368" s="6"/>
    </row>
    <row r="8369" spans="1:6" x14ac:dyDescent="0.3">
      <c r="A8369" s="8" t="s">
        <v>16696</v>
      </c>
      <c r="B8369" s="8" t="s">
        <v>61971</v>
      </c>
      <c r="C8369" s="8" t="s">
        <v>16697</v>
      </c>
      <c r="D8369" s="8"/>
      <c r="E8369" s="6"/>
      <c r="F8369" s="6"/>
    </row>
    <row r="8370" spans="1:6" x14ac:dyDescent="0.3">
      <c r="A8370" s="8" t="s">
        <v>16698</v>
      </c>
      <c r="B8370" s="8" t="s">
        <v>61972</v>
      </c>
      <c r="C8370" s="8" t="s">
        <v>16699</v>
      </c>
      <c r="D8370" s="8"/>
      <c r="E8370" s="6"/>
      <c r="F8370" s="6"/>
    </row>
    <row r="8371" spans="1:6" x14ac:dyDescent="0.3">
      <c r="A8371" s="8" t="s">
        <v>16700</v>
      </c>
      <c r="B8371" s="8" t="s">
        <v>61973</v>
      </c>
      <c r="C8371" s="8" t="s">
        <v>16701</v>
      </c>
      <c r="D8371" s="8"/>
      <c r="E8371" s="6"/>
      <c r="F8371" s="6"/>
    </row>
    <row r="8372" spans="1:6" x14ac:dyDescent="0.3">
      <c r="A8372" s="8" t="s">
        <v>16702</v>
      </c>
      <c r="B8372" s="8" t="s">
        <v>61974</v>
      </c>
      <c r="C8372" s="8" t="s">
        <v>16703</v>
      </c>
      <c r="D8372" s="8"/>
      <c r="E8372" s="6"/>
      <c r="F8372" s="6"/>
    </row>
    <row r="8373" spans="1:6" x14ac:dyDescent="0.3">
      <c r="A8373" s="8" t="s">
        <v>16704</v>
      </c>
      <c r="B8373" s="8" t="s">
        <v>61975</v>
      </c>
      <c r="C8373" s="8" t="s">
        <v>16705</v>
      </c>
      <c r="D8373" s="8"/>
      <c r="E8373" s="6"/>
      <c r="F8373" s="6"/>
    </row>
    <row r="8374" spans="1:6" x14ac:dyDescent="0.3">
      <c r="A8374" s="8" t="s">
        <v>16706</v>
      </c>
      <c r="B8374" s="8" t="s">
        <v>61976</v>
      </c>
      <c r="C8374" s="8" t="s">
        <v>16707</v>
      </c>
      <c r="D8374" s="8"/>
      <c r="E8374" s="6"/>
      <c r="F8374" s="6"/>
    </row>
    <row r="8375" spans="1:6" x14ac:dyDescent="0.3">
      <c r="A8375" s="8" t="s">
        <v>16708</v>
      </c>
      <c r="B8375" s="8" t="s">
        <v>61977</v>
      </c>
      <c r="C8375" s="8" t="s">
        <v>16709</v>
      </c>
      <c r="D8375" s="8"/>
      <c r="E8375" s="6"/>
      <c r="F8375" s="6"/>
    </row>
    <row r="8376" spans="1:6" x14ac:dyDescent="0.3">
      <c r="A8376" s="8" t="s">
        <v>16710</v>
      </c>
      <c r="B8376" s="8" t="s">
        <v>61978</v>
      </c>
      <c r="C8376" s="8" t="s">
        <v>16711</v>
      </c>
      <c r="D8376" s="8"/>
      <c r="E8376" s="6"/>
      <c r="F8376" s="6"/>
    </row>
    <row r="8377" spans="1:6" x14ac:dyDescent="0.3">
      <c r="A8377" s="8" t="s">
        <v>16712</v>
      </c>
      <c r="B8377" s="8" t="s">
        <v>61979</v>
      </c>
      <c r="C8377" s="8" t="s">
        <v>16713</v>
      </c>
      <c r="D8377" s="8"/>
      <c r="E8377" s="6"/>
      <c r="F8377" s="6"/>
    </row>
    <row r="8378" spans="1:6" x14ac:dyDescent="0.3">
      <c r="A8378" s="8" t="s">
        <v>16714</v>
      </c>
      <c r="B8378" s="8" t="s">
        <v>61980</v>
      </c>
      <c r="C8378" s="8" t="s">
        <v>16715</v>
      </c>
      <c r="D8378" s="8"/>
      <c r="E8378" s="6"/>
      <c r="F8378" s="6"/>
    </row>
    <row r="8379" spans="1:6" x14ac:dyDescent="0.3">
      <c r="A8379" s="8" t="s">
        <v>16716</v>
      </c>
      <c r="B8379" s="8" t="s">
        <v>61981</v>
      </c>
      <c r="C8379" s="8" t="s">
        <v>16717</v>
      </c>
      <c r="D8379" s="8"/>
      <c r="E8379" s="6"/>
      <c r="F8379" s="6"/>
    </row>
    <row r="8380" spans="1:6" x14ac:dyDescent="0.3">
      <c r="A8380" s="8" t="s">
        <v>16718</v>
      </c>
      <c r="B8380" s="8" t="s">
        <v>61982</v>
      </c>
      <c r="C8380" s="8" t="s">
        <v>16719</v>
      </c>
      <c r="D8380" s="8"/>
      <c r="E8380" s="6"/>
      <c r="F8380" s="6"/>
    </row>
    <row r="8381" spans="1:6" x14ac:dyDescent="0.3">
      <c r="A8381" s="8" t="s">
        <v>16720</v>
      </c>
      <c r="B8381" s="8" t="s">
        <v>61983</v>
      </c>
      <c r="C8381" s="8" t="s">
        <v>16721</v>
      </c>
      <c r="D8381" s="8"/>
      <c r="E8381" s="6"/>
      <c r="F8381" s="6"/>
    </row>
    <row r="8382" spans="1:6" x14ac:dyDescent="0.3">
      <c r="A8382" s="8" t="s">
        <v>16722</v>
      </c>
      <c r="B8382" s="8" t="s">
        <v>61984</v>
      </c>
      <c r="C8382" s="8" t="s">
        <v>16723</v>
      </c>
      <c r="D8382" s="8"/>
      <c r="E8382" s="6"/>
      <c r="F8382" s="6"/>
    </row>
    <row r="8383" spans="1:6" x14ac:dyDescent="0.3">
      <c r="A8383" s="8" t="s">
        <v>16724</v>
      </c>
      <c r="B8383" s="8" t="s">
        <v>61985</v>
      </c>
      <c r="C8383" s="8" t="s">
        <v>16725</v>
      </c>
      <c r="D8383" s="8"/>
      <c r="E8383" s="6"/>
      <c r="F8383" s="6"/>
    </row>
    <row r="8384" spans="1:6" x14ac:dyDescent="0.3">
      <c r="A8384" s="8" t="s">
        <v>16726</v>
      </c>
      <c r="B8384" s="8" t="s">
        <v>61986</v>
      </c>
      <c r="C8384" s="8" t="s">
        <v>16727</v>
      </c>
      <c r="D8384" s="8"/>
      <c r="E8384" s="6"/>
      <c r="F8384" s="6"/>
    </row>
    <row r="8385" spans="1:6" x14ac:dyDescent="0.3">
      <c r="A8385" s="8" t="s">
        <v>16728</v>
      </c>
      <c r="B8385" s="8" t="s">
        <v>61987</v>
      </c>
      <c r="C8385" s="8" t="s">
        <v>16729</v>
      </c>
      <c r="D8385" s="8"/>
      <c r="E8385" s="6"/>
      <c r="F8385" s="6"/>
    </row>
    <row r="8386" spans="1:6" x14ac:dyDescent="0.3">
      <c r="A8386" s="8" t="s">
        <v>16730</v>
      </c>
      <c r="B8386" s="8" t="s">
        <v>61988</v>
      </c>
      <c r="C8386" s="8" t="s">
        <v>16731</v>
      </c>
      <c r="D8386" s="8"/>
      <c r="E8386" s="6"/>
      <c r="F8386" s="6"/>
    </row>
    <row r="8387" spans="1:6" x14ac:dyDescent="0.3">
      <c r="A8387" s="8" t="s">
        <v>16732</v>
      </c>
      <c r="B8387" s="8" t="s">
        <v>61989</v>
      </c>
      <c r="C8387" s="8" t="s">
        <v>16733</v>
      </c>
      <c r="D8387" s="8"/>
      <c r="E8387" s="6"/>
      <c r="F8387" s="6"/>
    </row>
    <row r="8388" spans="1:6" x14ac:dyDescent="0.3">
      <c r="A8388" s="8" t="s">
        <v>16734</v>
      </c>
      <c r="B8388" s="8" t="s">
        <v>61990</v>
      </c>
      <c r="C8388" s="8" t="s">
        <v>16735</v>
      </c>
      <c r="D8388" s="8"/>
      <c r="E8388" s="6"/>
      <c r="F8388" s="6"/>
    </row>
    <row r="8389" spans="1:6" x14ac:dyDescent="0.3">
      <c r="A8389" s="8" t="s">
        <v>16736</v>
      </c>
      <c r="B8389" s="8" t="s">
        <v>61991</v>
      </c>
      <c r="C8389" s="8" t="s">
        <v>16737</v>
      </c>
      <c r="D8389" s="8"/>
      <c r="E8389" s="6"/>
      <c r="F8389" s="6"/>
    </row>
    <row r="8390" spans="1:6" x14ac:dyDescent="0.3">
      <c r="A8390" s="8" t="s">
        <v>16738</v>
      </c>
      <c r="B8390" s="8" t="s">
        <v>61992</v>
      </c>
      <c r="C8390" s="8" t="s">
        <v>16739</v>
      </c>
      <c r="D8390" s="8"/>
      <c r="E8390" s="6"/>
      <c r="F8390" s="6"/>
    </row>
    <row r="8391" spans="1:6" x14ac:dyDescent="0.3">
      <c r="A8391" s="8" t="s">
        <v>16740</v>
      </c>
      <c r="B8391" s="8" t="s">
        <v>61993</v>
      </c>
      <c r="C8391" s="8" t="s">
        <v>16741</v>
      </c>
      <c r="D8391" s="8"/>
      <c r="E8391" s="6"/>
      <c r="F8391" s="6"/>
    </row>
    <row r="8392" spans="1:6" x14ac:dyDescent="0.3">
      <c r="A8392" s="8" t="s">
        <v>16742</v>
      </c>
      <c r="B8392" s="8" t="s">
        <v>61994</v>
      </c>
      <c r="C8392" s="8" t="s">
        <v>16743</v>
      </c>
      <c r="D8392" s="8"/>
      <c r="E8392" s="6"/>
      <c r="F8392" s="6"/>
    </row>
    <row r="8393" spans="1:6" x14ac:dyDescent="0.3">
      <c r="A8393" s="8" t="s">
        <v>16744</v>
      </c>
      <c r="B8393" s="8" t="s">
        <v>61995</v>
      </c>
      <c r="C8393" s="8" t="s">
        <v>16745</v>
      </c>
      <c r="D8393" s="8"/>
      <c r="E8393" s="6"/>
      <c r="F8393" s="6"/>
    </row>
    <row r="8394" spans="1:6" x14ac:dyDescent="0.3">
      <c r="A8394" s="8" t="s">
        <v>16746</v>
      </c>
      <c r="B8394" s="8" t="s">
        <v>61996</v>
      </c>
      <c r="C8394" s="8" t="s">
        <v>16747</v>
      </c>
      <c r="D8394" s="8"/>
      <c r="E8394" s="6"/>
      <c r="F8394" s="6"/>
    </row>
    <row r="8395" spans="1:6" x14ac:dyDescent="0.3">
      <c r="A8395" s="8" t="s">
        <v>16748</v>
      </c>
      <c r="B8395" s="8" t="s">
        <v>61997</v>
      </c>
      <c r="C8395" s="8" t="s">
        <v>16749</v>
      </c>
      <c r="D8395" s="8"/>
      <c r="E8395" s="6"/>
      <c r="F8395" s="6"/>
    </row>
    <row r="8396" spans="1:6" x14ac:dyDescent="0.3">
      <c r="A8396" s="8" t="s">
        <v>16750</v>
      </c>
      <c r="B8396" s="8" t="s">
        <v>61998</v>
      </c>
      <c r="C8396" s="8" t="s">
        <v>16751</v>
      </c>
      <c r="D8396" s="8"/>
      <c r="E8396" s="6"/>
      <c r="F8396" s="6"/>
    </row>
    <row r="8397" spans="1:6" x14ac:dyDescent="0.3">
      <c r="A8397" s="8" t="s">
        <v>16752</v>
      </c>
      <c r="B8397" s="8" t="s">
        <v>61999</v>
      </c>
      <c r="C8397" s="8" t="s">
        <v>16753</v>
      </c>
      <c r="D8397" s="8"/>
      <c r="E8397" s="6"/>
      <c r="F8397" s="6"/>
    </row>
    <row r="8398" spans="1:6" x14ac:dyDescent="0.3">
      <c r="A8398" s="8" t="s">
        <v>16754</v>
      </c>
      <c r="B8398" s="8" t="s">
        <v>62000</v>
      </c>
      <c r="C8398" s="8" t="s">
        <v>16755</v>
      </c>
      <c r="D8398" s="8"/>
      <c r="E8398" s="6"/>
      <c r="F8398" s="6"/>
    </row>
    <row r="8399" spans="1:6" x14ac:dyDescent="0.3">
      <c r="A8399" s="8" t="s">
        <v>16756</v>
      </c>
      <c r="B8399" s="8" t="s">
        <v>62001</v>
      </c>
      <c r="C8399" s="8" t="s">
        <v>16757</v>
      </c>
      <c r="D8399" s="8"/>
      <c r="E8399" s="6"/>
      <c r="F8399" s="6"/>
    </row>
    <row r="8400" spans="1:6" x14ac:dyDescent="0.3">
      <c r="A8400" s="8" t="s">
        <v>16758</v>
      </c>
      <c r="B8400" s="8" t="s">
        <v>62002</v>
      </c>
      <c r="C8400" s="8" t="s">
        <v>16759</v>
      </c>
      <c r="D8400" s="8"/>
      <c r="E8400" s="6"/>
      <c r="F8400" s="6"/>
    </row>
    <row r="8401" spans="1:6" x14ac:dyDescent="0.3">
      <c r="A8401" s="8" t="s">
        <v>16760</v>
      </c>
      <c r="B8401" s="8" t="s">
        <v>62003</v>
      </c>
      <c r="C8401" s="8" t="s">
        <v>16761</v>
      </c>
      <c r="D8401" s="8"/>
      <c r="E8401" s="6"/>
      <c r="F8401" s="6"/>
    </row>
    <row r="8402" spans="1:6" x14ac:dyDescent="0.3">
      <c r="A8402" s="8" t="s">
        <v>16762</v>
      </c>
      <c r="B8402" s="8" t="s">
        <v>62004</v>
      </c>
      <c r="C8402" s="8" t="s">
        <v>16763</v>
      </c>
      <c r="D8402" s="8"/>
      <c r="E8402" s="6"/>
      <c r="F8402" s="6"/>
    </row>
    <row r="8403" spans="1:6" x14ac:dyDescent="0.3">
      <c r="A8403" s="8" t="s">
        <v>16764</v>
      </c>
      <c r="B8403" s="8" t="s">
        <v>62005</v>
      </c>
      <c r="C8403" s="8" t="s">
        <v>16765</v>
      </c>
      <c r="D8403" s="8"/>
      <c r="E8403" s="6"/>
      <c r="F8403" s="6"/>
    </row>
    <row r="8404" spans="1:6" x14ac:dyDescent="0.3">
      <c r="A8404" s="8" t="s">
        <v>16766</v>
      </c>
      <c r="B8404" s="8" t="s">
        <v>62006</v>
      </c>
      <c r="C8404" s="8" t="s">
        <v>16767</v>
      </c>
      <c r="D8404" s="8"/>
      <c r="E8404" s="6"/>
      <c r="F8404" s="6"/>
    </row>
    <row r="8405" spans="1:6" x14ac:dyDescent="0.3">
      <c r="A8405" s="8" t="s">
        <v>16768</v>
      </c>
      <c r="B8405" s="8" t="s">
        <v>62007</v>
      </c>
      <c r="C8405" s="8" t="s">
        <v>16769</v>
      </c>
      <c r="D8405" s="8"/>
      <c r="E8405" s="6"/>
      <c r="F8405" s="6"/>
    </row>
    <row r="8406" spans="1:6" x14ac:dyDescent="0.3">
      <c r="A8406" s="8" t="s">
        <v>16770</v>
      </c>
      <c r="B8406" s="8" t="s">
        <v>62008</v>
      </c>
      <c r="C8406" s="8" t="s">
        <v>16771</v>
      </c>
      <c r="D8406" s="8"/>
      <c r="E8406" s="6"/>
      <c r="F8406" s="6"/>
    </row>
    <row r="8407" spans="1:6" x14ac:dyDescent="0.3">
      <c r="A8407" s="8" t="s">
        <v>16772</v>
      </c>
      <c r="B8407" s="8" t="s">
        <v>62009</v>
      </c>
      <c r="C8407" s="8" t="s">
        <v>16773</v>
      </c>
      <c r="D8407" s="8"/>
      <c r="E8407" s="6"/>
      <c r="F8407" s="6"/>
    </row>
    <row r="8408" spans="1:6" x14ac:dyDescent="0.3">
      <c r="A8408" s="8" t="s">
        <v>16774</v>
      </c>
      <c r="B8408" s="8" t="s">
        <v>62010</v>
      </c>
      <c r="C8408" s="8" t="s">
        <v>16775</v>
      </c>
      <c r="D8408" s="8"/>
      <c r="E8408" s="6"/>
      <c r="F8408" s="6"/>
    </row>
    <row r="8409" spans="1:6" x14ac:dyDescent="0.3">
      <c r="A8409" s="8" t="s">
        <v>16776</v>
      </c>
      <c r="B8409" s="8" t="s">
        <v>62011</v>
      </c>
      <c r="C8409" s="8" t="s">
        <v>16777</v>
      </c>
      <c r="D8409" s="8"/>
      <c r="E8409" s="6"/>
      <c r="F8409" s="6"/>
    </row>
    <row r="8410" spans="1:6" x14ac:dyDescent="0.3">
      <c r="A8410" s="8" t="s">
        <v>16778</v>
      </c>
      <c r="B8410" s="8" t="s">
        <v>62012</v>
      </c>
      <c r="C8410" s="8" t="s">
        <v>16779</v>
      </c>
      <c r="D8410" s="8"/>
      <c r="E8410" s="6"/>
      <c r="F8410" s="6"/>
    </row>
    <row r="8411" spans="1:6" x14ac:dyDescent="0.3">
      <c r="A8411" s="8" t="s">
        <v>16780</v>
      </c>
      <c r="B8411" s="8" t="s">
        <v>62013</v>
      </c>
      <c r="C8411" s="8" t="s">
        <v>16781</v>
      </c>
      <c r="D8411" s="8"/>
      <c r="E8411" s="6"/>
      <c r="F8411" s="6"/>
    </row>
    <row r="8412" spans="1:6" x14ac:dyDescent="0.3">
      <c r="A8412" s="8" t="s">
        <v>16782</v>
      </c>
      <c r="B8412" s="8" t="s">
        <v>62014</v>
      </c>
      <c r="C8412" s="8" t="s">
        <v>16783</v>
      </c>
      <c r="D8412" s="8"/>
      <c r="E8412" s="6"/>
      <c r="F8412" s="6"/>
    </row>
    <row r="8413" spans="1:6" x14ac:dyDescent="0.3">
      <c r="A8413" s="8" t="s">
        <v>16784</v>
      </c>
      <c r="B8413" s="8" t="s">
        <v>62015</v>
      </c>
      <c r="C8413" s="8" t="s">
        <v>16785</v>
      </c>
      <c r="D8413" s="8"/>
      <c r="E8413" s="6"/>
      <c r="F8413" s="6"/>
    </row>
    <row r="8414" spans="1:6" x14ac:dyDescent="0.3">
      <c r="A8414" s="8" t="s">
        <v>16786</v>
      </c>
      <c r="B8414" s="8" t="s">
        <v>62016</v>
      </c>
      <c r="C8414" s="8" t="s">
        <v>16787</v>
      </c>
      <c r="D8414" s="8"/>
      <c r="E8414" s="6"/>
      <c r="F8414" s="6"/>
    </row>
    <row r="8415" spans="1:6" x14ac:dyDescent="0.3">
      <c r="A8415" s="8" t="s">
        <v>16788</v>
      </c>
      <c r="B8415" s="8" t="s">
        <v>62017</v>
      </c>
      <c r="C8415" s="8" t="s">
        <v>16789</v>
      </c>
      <c r="D8415" s="8"/>
      <c r="E8415" s="6"/>
      <c r="F8415" s="6"/>
    </row>
    <row r="8416" spans="1:6" x14ac:dyDescent="0.3">
      <c r="A8416" s="8" t="s">
        <v>16790</v>
      </c>
      <c r="B8416" s="8" t="s">
        <v>62018</v>
      </c>
      <c r="C8416" s="8" t="s">
        <v>16791</v>
      </c>
      <c r="D8416" s="8"/>
      <c r="E8416" s="6"/>
      <c r="F8416" s="6"/>
    </row>
    <row r="8417" spans="1:6" x14ac:dyDescent="0.3">
      <c r="A8417" s="8" t="s">
        <v>16792</v>
      </c>
      <c r="B8417" s="8" t="s">
        <v>62019</v>
      </c>
      <c r="C8417" s="8" t="s">
        <v>16793</v>
      </c>
      <c r="D8417" s="8"/>
      <c r="E8417" s="6"/>
      <c r="F8417" s="6"/>
    </row>
    <row r="8418" spans="1:6" x14ac:dyDescent="0.3">
      <c r="A8418" s="8" t="s">
        <v>16794</v>
      </c>
      <c r="B8418" s="8" t="s">
        <v>62020</v>
      </c>
      <c r="C8418" s="8" t="s">
        <v>16795</v>
      </c>
      <c r="D8418" s="8"/>
      <c r="E8418" s="6"/>
      <c r="F8418" s="6"/>
    </row>
    <row r="8419" spans="1:6" x14ac:dyDescent="0.3">
      <c r="A8419" s="8" t="s">
        <v>16796</v>
      </c>
      <c r="B8419" s="8" t="s">
        <v>62021</v>
      </c>
      <c r="C8419" s="8" t="s">
        <v>16797</v>
      </c>
      <c r="D8419" s="8"/>
      <c r="E8419" s="6"/>
      <c r="F8419" s="6"/>
    </row>
    <row r="8420" spans="1:6" x14ac:dyDescent="0.3">
      <c r="A8420" s="8" t="s">
        <v>16798</v>
      </c>
      <c r="B8420" s="8" t="s">
        <v>62022</v>
      </c>
      <c r="C8420" s="8" t="s">
        <v>16799</v>
      </c>
      <c r="D8420" s="8"/>
      <c r="E8420" s="6"/>
      <c r="F8420" s="6"/>
    </row>
    <row r="8421" spans="1:6" x14ac:dyDescent="0.3">
      <c r="A8421" s="8" t="s">
        <v>16800</v>
      </c>
      <c r="B8421" s="8" t="s">
        <v>62023</v>
      </c>
      <c r="C8421" s="8" t="s">
        <v>16801</v>
      </c>
      <c r="D8421" s="8"/>
      <c r="E8421" s="6"/>
      <c r="F8421" s="6"/>
    </row>
    <row r="8422" spans="1:6" x14ac:dyDescent="0.3">
      <c r="A8422" s="8" t="s">
        <v>16802</v>
      </c>
      <c r="B8422" s="8" t="s">
        <v>62024</v>
      </c>
      <c r="C8422" s="8" t="s">
        <v>16803</v>
      </c>
      <c r="D8422" s="8"/>
      <c r="E8422" s="6"/>
      <c r="F8422" s="6"/>
    </row>
    <row r="8423" spans="1:6" x14ac:dyDescent="0.3">
      <c r="A8423" s="8" t="s">
        <v>16804</v>
      </c>
      <c r="B8423" s="8" t="s">
        <v>62025</v>
      </c>
      <c r="C8423" s="8" t="s">
        <v>16805</v>
      </c>
      <c r="D8423" s="8"/>
      <c r="E8423" s="6"/>
      <c r="F8423" s="6"/>
    </row>
    <row r="8424" spans="1:6" x14ac:dyDescent="0.3">
      <c r="A8424" s="8" t="s">
        <v>16806</v>
      </c>
      <c r="B8424" s="8" t="s">
        <v>62026</v>
      </c>
      <c r="C8424" s="8" t="s">
        <v>16807</v>
      </c>
      <c r="D8424" s="8"/>
      <c r="E8424" s="6"/>
      <c r="F8424" s="6"/>
    </row>
    <row r="8425" spans="1:6" x14ac:dyDescent="0.3">
      <c r="A8425" s="8" t="s">
        <v>16808</v>
      </c>
      <c r="B8425" s="8" t="s">
        <v>62027</v>
      </c>
      <c r="C8425" s="8" t="s">
        <v>16809</v>
      </c>
      <c r="D8425" s="8"/>
      <c r="E8425" s="6"/>
      <c r="F8425" s="6"/>
    </row>
    <row r="8426" spans="1:6" x14ac:dyDescent="0.3">
      <c r="A8426" s="8" t="s">
        <v>16810</v>
      </c>
      <c r="B8426" s="8" t="s">
        <v>62028</v>
      </c>
      <c r="C8426" s="8" t="s">
        <v>16811</v>
      </c>
      <c r="D8426" s="8"/>
      <c r="E8426" s="6"/>
      <c r="F8426" s="6"/>
    </row>
    <row r="8427" spans="1:6" x14ac:dyDescent="0.3">
      <c r="A8427" s="8" t="s">
        <v>16812</v>
      </c>
      <c r="B8427" s="8" t="s">
        <v>62029</v>
      </c>
      <c r="C8427" s="8" t="s">
        <v>16813</v>
      </c>
      <c r="D8427" s="8"/>
      <c r="E8427" s="6"/>
      <c r="F8427" s="6"/>
    </row>
    <row r="8428" spans="1:6" x14ac:dyDescent="0.3">
      <c r="A8428" s="8" t="s">
        <v>16814</v>
      </c>
      <c r="B8428" s="8" t="s">
        <v>62030</v>
      </c>
      <c r="C8428" s="8" t="s">
        <v>16815</v>
      </c>
      <c r="D8428" s="8"/>
      <c r="E8428" s="6"/>
      <c r="F8428" s="6"/>
    </row>
    <row r="8429" spans="1:6" x14ac:dyDescent="0.3">
      <c r="A8429" s="8" t="s">
        <v>16816</v>
      </c>
      <c r="B8429" s="8" t="s">
        <v>62031</v>
      </c>
      <c r="C8429" s="8" t="s">
        <v>16817</v>
      </c>
      <c r="D8429" s="8"/>
      <c r="E8429" s="6"/>
      <c r="F8429" s="6"/>
    </row>
    <row r="8430" spans="1:6" x14ac:dyDescent="0.3">
      <c r="A8430" s="8" t="s">
        <v>16818</v>
      </c>
      <c r="B8430" s="8" t="s">
        <v>62032</v>
      </c>
      <c r="C8430" s="8" t="s">
        <v>16819</v>
      </c>
      <c r="D8430" s="8"/>
      <c r="E8430" s="6"/>
      <c r="F8430" s="6"/>
    </row>
    <row r="8431" spans="1:6" x14ac:dyDescent="0.3">
      <c r="A8431" s="8" t="s">
        <v>16820</v>
      </c>
      <c r="B8431" s="8" t="s">
        <v>62033</v>
      </c>
      <c r="C8431" s="8" t="s">
        <v>16821</v>
      </c>
      <c r="D8431" s="8"/>
      <c r="E8431" s="6"/>
      <c r="F8431" s="6"/>
    </row>
    <row r="8432" spans="1:6" x14ac:dyDescent="0.3">
      <c r="A8432" s="8" t="s">
        <v>16822</v>
      </c>
      <c r="B8432" s="8" t="s">
        <v>62034</v>
      </c>
      <c r="C8432" s="8" t="s">
        <v>16823</v>
      </c>
      <c r="D8432" s="8"/>
      <c r="E8432" s="6"/>
      <c r="F8432" s="6"/>
    </row>
    <row r="8433" spans="1:6" x14ac:dyDescent="0.3">
      <c r="A8433" s="8" t="s">
        <v>16824</v>
      </c>
      <c r="B8433" s="8" t="s">
        <v>62035</v>
      </c>
      <c r="C8433" s="8" t="s">
        <v>16825</v>
      </c>
      <c r="D8433" s="8"/>
      <c r="E8433" s="6"/>
      <c r="F8433" s="6"/>
    </row>
    <row r="8434" spans="1:6" x14ac:dyDescent="0.3">
      <c r="A8434" s="8" t="s">
        <v>16826</v>
      </c>
      <c r="B8434" s="8" t="s">
        <v>62036</v>
      </c>
      <c r="C8434" s="8" t="s">
        <v>16827</v>
      </c>
      <c r="D8434" s="8"/>
      <c r="E8434" s="6"/>
      <c r="F8434" s="6"/>
    </row>
    <row r="8435" spans="1:6" x14ac:dyDescent="0.3">
      <c r="A8435" s="8" t="s">
        <v>16828</v>
      </c>
      <c r="B8435" s="8" t="s">
        <v>62037</v>
      </c>
      <c r="C8435" s="8" t="s">
        <v>16829</v>
      </c>
      <c r="D8435" s="8"/>
      <c r="E8435" s="6"/>
      <c r="F8435" s="6"/>
    </row>
    <row r="8436" spans="1:6" x14ac:dyDescent="0.3">
      <c r="A8436" s="8" t="s">
        <v>16830</v>
      </c>
      <c r="B8436" s="8" t="s">
        <v>62038</v>
      </c>
      <c r="C8436" s="8" t="s">
        <v>16831</v>
      </c>
      <c r="D8436" s="8"/>
      <c r="E8436" s="6"/>
      <c r="F8436" s="6"/>
    </row>
    <row r="8437" spans="1:6" x14ac:dyDescent="0.3">
      <c r="A8437" s="8" t="s">
        <v>16832</v>
      </c>
      <c r="B8437" s="8" t="s">
        <v>62039</v>
      </c>
      <c r="C8437" s="8" t="s">
        <v>16833</v>
      </c>
      <c r="D8437" s="8"/>
      <c r="E8437" s="6"/>
      <c r="F8437" s="6"/>
    </row>
    <row r="8438" spans="1:6" x14ac:dyDescent="0.3">
      <c r="A8438" s="8" t="s">
        <v>16834</v>
      </c>
      <c r="B8438" s="8" t="s">
        <v>62040</v>
      </c>
      <c r="C8438" s="8" t="s">
        <v>16835</v>
      </c>
      <c r="D8438" s="8"/>
      <c r="E8438" s="6"/>
      <c r="F8438" s="6"/>
    </row>
    <row r="8439" spans="1:6" x14ac:dyDescent="0.3">
      <c r="A8439" s="8" t="s">
        <v>16836</v>
      </c>
      <c r="B8439" s="8" t="s">
        <v>62041</v>
      </c>
      <c r="C8439" s="8" t="s">
        <v>16837</v>
      </c>
      <c r="D8439" s="8"/>
      <c r="E8439" s="6"/>
      <c r="F8439" s="6"/>
    </row>
    <row r="8440" spans="1:6" x14ac:dyDescent="0.3">
      <c r="A8440" s="8" t="s">
        <v>16838</v>
      </c>
      <c r="B8440" s="8" t="s">
        <v>62042</v>
      </c>
      <c r="C8440" s="8" t="s">
        <v>16839</v>
      </c>
      <c r="D8440" s="8"/>
      <c r="E8440" s="6"/>
      <c r="F8440" s="6"/>
    </row>
    <row r="8441" spans="1:6" x14ac:dyDescent="0.3">
      <c r="A8441" s="8" t="s">
        <v>16840</v>
      </c>
      <c r="B8441" s="8" t="s">
        <v>62043</v>
      </c>
      <c r="C8441" s="8" t="s">
        <v>16841</v>
      </c>
      <c r="D8441" s="8"/>
      <c r="E8441" s="6"/>
      <c r="F8441" s="6"/>
    </row>
    <row r="8442" spans="1:6" x14ac:dyDescent="0.3">
      <c r="A8442" s="8" t="s">
        <v>16842</v>
      </c>
      <c r="B8442" s="8" t="s">
        <v>62044</v>
      </c>
      <c r="C8442" s="8" t="s">
        <v>16843</v>
      </c>
      <c r="D8442" s="8"/>
      <c r="E8442" s="6"/>
      <c r="F8442" s="6"/>
    </row>
    <row r="8443" spans="1:6" x14ac:dyDescent="0.3">
      <c r="A8443" s="8" t="s">
        <v>16844</v>
      </c>
      <c r="B8443" s="8" t="s">
        <v>62045</v>
      </c>
      <c r="C8443" s="8" t="s">
        <v>16845</v>
      </c>
      <c r="D8443" s="8"/>
      <c r="E8443" s="6"/>
      <c r="F8443" s="6"/>
    </row>
    <row r="8444" spans="1:6" x14ac:dyDescent="0.3">
      <c r="A8444" s="8" t="s">
        <v>16846</v>
      </c>
      <c r="B8444" s="8" t="s">
        <v>62046</v>
      </c>
      <c r="C8444" s="8" t="s">
        <v>16847</v>
      </c>
      <c r="D8444" s="8"/>
      <c r="E8444" s="6"/>
      <c r="F8444" s="6"/>
    </row>
    <row r="8445" spans="1:6" x14ac:dyDescent="0.3">
      <c r="A8445" s="8" t="s">
        <v>16848</v>
      </c>
      <c r="B8445" s="8" t="s">
        <v>62047</v>
      </c>
      <c r="C8445" s="8" t="s">
        <v>16849</v>
      </c>
      <c r="D8445" s="8"/>
      <c r="E8445" s="6"/>
      <c r="F8445" s="6"/>
    </row>
    <row r="8446" spans="1:6" x14ac:dyDescent="0.3">
      <c r="A8446" s="8" t="s">
        <v>16850</v>
      </c>
      <c r="B8446" s="8" t="s">
        <v>62048</v>
      </c>
      <c r="C8446" s="8" t="s">
        <v>16851</v>
      </c>
      <c r="D8446" s="8"/>
      <c r="E8446" s="6"/>
      <c r="F8446" s="6"/>
    </row>
    <row r="8447" spans="1:6" x14ac:dyDescent="0.3">
      <c r="A8447" s="8" t="s">
        <v>16852</v>
      </c>
      <c r="B8447" s="8" t="s">
        <v>62049</v>
      </c>
      <c r="C8447" s="8" t="s">
        <v>16853</v>
      </c>
      <c r="D8447" s="8"/>
      <c r="E8447" s="6"/>
      <c r="F8447" s="6"/>
    </row>
    <row r="8448" spans="1:6" x14ac:dyDescent="0.3">
      <c r="A8448" s="8" t="s">
        <v>16854</v>
      </c>
      <c r="B8448" s="8" t="s">
        <v>62050</v>
      </c>
      <c r="C8448" s="8" t="s">
        <v>16855</v>
      </c>
      <c r="D8448" s="8"/>
      <c r="E8448" s="6"/>
      <c r="F8448" s="6"/>
    </row>
    <row r="8449" spans="1:6" x14ac:dyDescent="0.3">
      <c r="A8449" s="8" t="s">
        <v>16856</v>
      </c>
      <c r="B8449" s="8" t="s">
        <v>62051</v>
      </c>
      <c r="C8449" s="8" t="s">
        <v>16857</v>
      </c>
      <c r="D8449" s="8"/>
      <c r="E8449" s="6"/>
      <c r="F8449" s="6"/>
    </row>
    <row r="8450" spans="1:6" x14ac:dyDescent="0.3">
      <c r="A8450" s="8" t="s">
        <v>16858</v>
      </c>
      <c r="B8450" s="8" t="s">
        <v>62052</v>
      </c>
      <c r="C8450" s="8" t="s">
        <v>16859</v>
      </c>
      <c r="D8450" s="8"/>
      <c r="E8450" s="6"/>
      <c r="F8450" s="6"/>
    </row>
    <row r="8451" spans="1:6" x14ac:dyDescent="0.3">
      <c r="A8451" s="8" t="s">
        <v>16860</v>
      </c>
      <c r="B8451" s="8" t="s">
        <v>62053</v>
      </c>
      <c r="C8451" s="8" t="s">
        <v>16861</v>
      </c>
      <c r="D8451" s="8"/>
      <c r="E8451" s="6"/>
      <c r="F8451" s="6"/>
    </row>
    <row r="8452" spans="1:6" x14ac:dyDescent="0.3">
      <c r="A8452" s="8" t="s">
        <v>16862</v>
      </c>
      <c r="B8452" s="8" t="s">
        <v>62054</v>
      </c>
      <c r="C8452" s="8" t="s">
        <v>16863</v>
      </c>
      <c r="D8452" s="8"/>
      <c r="E8452" s="6"/>
      <c r="F8452" s="6"/>
    </row>
    <row r="8453" spans="1:6" x14ac:dyDescent="0.3">
      <c r="A8453" s="8" t="s">
        <v>16864</v>
      </c>
      <c r="B8453" s="8" t="s">
        <v>62055</v>
      </c>
      <c r="C8453" s="8" t="s">
        <v>16865</v>
      </c>
      <c r="D8453" s="8"/>
      <c r="E8453" s="6"/>
      <c r="F8453" s="6"/>
    </row>
    <row r="8454" spans="1:6" x14ac:dyDescent="0.3">
      <c r="A8454" s="8" t="s">
        <v>16866</v>
      </c>
      <c r="B8454" s="8" t="s">
        <v>62056</v>
      </c>
      <c r="C8454" s="8" t="s">
        <v>16867</v>
      </c>
      <c r="D8454" s="8"/>
      <c r="E8454" s="6"/>
      <c r="F8454" s="6"/>
    </row>
    <row r="8455" spans="1:6" x14ac:dyDescent="0.3">
      <c r="A8455" s="8" t="s">
        <v>16868</v>
      </c>
      <c r="B8455" s="8" t="s">
        <v>62057</v>
      </c>
      <c r="C8455" s="8" t="s">
        <v>16869</v>
      </c>
      <c r="D8455" s="8"/>
      <c r="E8455" s="6"/>
      <c r="F8455" s="6"/>
    </row>
    <row r="8456" spans="1:6" x14ac:dyDescent="0.3">
      <c r="A8456" s="8" t="s">
        <v>16870</v>
      </c>
      <c r="B8456" s="8" t="s">
        <v>62058</v>
      </c>
      <c r="C8456" s="8" t="s">
        <v>16871</v>
      </c>
      <c r="D8456" s="8"/>
      <c r="E8456" s="6"/>
      <c r="F8456" s="6"/>
    </row>
    <row r="8457" spans="1:6" x14ac:dyDescent="0.3">
      <c r="A8457" s="8" t="s">
        <v>16872</v>
      </c>
      <c r="B8457" s="8" t="s">
        <v>62059</v>
      </c>
      <c r="C8457" s="8" t="s">
        <v>16873</v>
      </c>
      <c r="D8457" s="8"/>
      <c r="E8457" s="6"/>
      <c r="F8457" s="6"/>
    </row>
    <row r="8458" spans="1:6" x14ac:dyDescent="0.3">
      <c r="A8458" s="8" t="s">
        <v>16874</v>
      </c>
      <c r="B8458" s="8" t="s">
        <v>62060</v>
      </c>
      <c r="C8458" s="8" t="s">
        <v>16875</v>
      </c>
      <c r="D8458" s="8"/>
      <c r="E8458" s="6"/>
      <c r="F8458" s="6"/>
    </row>
    <row r="8459" spans="1:6" x14ac:dyDescent="0.3">
      <c r="A8459" s="8" t="s">
        <v>16876</v>
      </c>
      <c r="B8459" s="8" t="s">
        <v>62061</v>
      </c>
      <c r="C8459" s="8" t="s">
        <v>16877</v>
      </c>
      <c r="D8459" s="8"/>
      <c r="E8459" s="6"/>
      <c r="F8459" s="6"/>
    </row>
    <row r="8460" spans="1:6" x14ac:dyDescent="0.3">
      <c r="A8460" s="8" t="s">
        <v>16878</v>
      </c>
      <c r="B8460" s="8" t="s">
        <v>62062</v>
      </c>
      <c r="C8460" s="8" t="s">
        <v>16879</v>
      </c>
      <c r="D8460" s="8"/>
      <c r="E8460" s="6"/>
      <c r="F8460" s="6"/>
    </row>
    <row r="8461" spans="1:6" x14ac:dyDescent="0.3">
      <c r="A8461" s="8" t="s">
        <v>16880</v>
      </c>
      <c r="B8461" s="8" t="s">
        <v>62063</v>
      </c>
      <c r="C8461" s="8" t="s">
        <v>16881</v>
      </c>
      <c r="D8461" s="8"/>
      <c r="E8461" s="6"/>
      <c r="F8461" s="6"/>
    </row>
    <row r="8462" spans="1:6" x14ac:dyDescent="0.3">
      <c r="A8462" s="8" t="s">
        <v>16882</v>
      </c>
      <c r="B8462" s="8" t="s">
        <v>62064</v>
      </c>
      <c r="C8462" s="8" t="s">
        <v>16883</v>
      </c>
      <c r="D8462" s="8"/>
      <c r="E8462" s="6"/>
      <c r="F8462" s="6"/>
    </row>
    <row r="8463" spans="1:6" x14ac:dyDescent="0.3">
      <c r="A8463" s="8" t="s">
        <v>16884</v>
      </c>
      <c r="B8463" s="8" t="s">
        <v>62065</v>
      </c>
      <c r="C8463" s="8" t="s">
        <v>16885</v>
      </c>
      <c r="D8463" s="8"/>
      <c r="E8463" s="6"/>
      <c r="F8463" s="6"/>
    </row>
    <row r="8464" spans="1:6" x14ac:dyDescent="0.3">
      <c r="A8464" s="8" t="s">
        <v>16886</v>
      </c>
      <c r="B8464" s="8" t="s">
        <v>62066</v>
      </c>
      <c r="C8464" s="8" t="s">
        <v>16887</v>
      </c>
      <c r="D8464" s="8"/>
      <c r="E8464" s="6"/>
      <c r="F8464" s="6"/>
    </row>
    <row r="8465" spans="1:6" x14ac:dyDescent="0.3">
      <c r="A8465" s="8" t="s">
        <v>16888</v>
      </c>
      <c r="B8465" s="8" t="s">
        <v>62067</v>
      </c>
      <c r="C8465" s="8" t="s">
        <v>16889</v>
      </c>
      <c r="D8465" s="8"/>
      <c r="E8465" s="6"/>
      <c r="F8465" s="6"/>
    </row>
    <row r="8466" spans="1:6" x14ac:dyDescent="0.3">
      <c r="A8466" s="8" t="s">
        <v>16890</v>
      </c>
      <c r="B8466" s="8" t="s">
        <v>62068</v>
      </c>
      <c r="C8466" s="8" t="s">
        <v>16891</v>
      </c>
      <c r="D8466" s="8"/>
      <c r="E8466" s="6"/>
      <c r="F8466" s="6"/>
    </row>
    <row r="8467" spans="1:6" x14ac:dyDescent="0.3">
      <c r="A8467" s="8" t="s">
        <v>16892</v>
      </c>
      <c r="B8467" s="8" t="s">
        <v>62069</v>
      </c>
      <c r="C8467" s="8" t="s">
        <v>16893</v>
      </c>
      <c r="D8467" s="8"/>
      <c r="E8467" s="6"/>
      <c r="F8467" s="6"/>
    </row>
    <row r="8468" spans="1:6" x14ac:dyDescent="0.3">
      <c r="A8468" s="8" t="s">
        <v>16894</v>
      </c>
      <c r="B8468" s="8" t="s">
        <v>62070</v>
      </c>
      <c r="C8468" s="8" t="s">
        <v>16895</v>
      </c>
      <c r="D8468" s="8"/>
      <c r="E8468" s="6"/>
      <c r="F8468" s="6"/>
    </row>
    <row r="8469" spans="1:6" x14ac:dyDescent="0.3">
      <c r="A8469" s="8" t="s">
        <v>16896</v>
      </c>
      <c r="B8469" s="8" t="s">
        <v>62071</v>
      </c>
      <c r="C8469" s="8" t="s">
        <v>16897</v>
      </c>
      <c r="D8469" s="8"/>
      <c r="E8469" s="6"/>
      <c r="F8469" s="6"/>
    </row>
    <row r="8470" spans="1:6" x14ac:dyDescent="0.3">
      <c r="A8470" s="8" t="s">
        <v>16898</v>
      </c>
      <c r="B8470" s="8" t="s">
        <v>62072</v>
      </c>
      <c r="C8470" s="8" t="s">
        <v>16899</v>
      </c>
      <c r="D8470" s="8"/>
      <c r="E8470" s="6"/>
      <c r="F8470" s="6"/>
    </row>
    <row r="8471" spans="1:6" x14ac:dyDescent="0.3">
      <c r="A8471" s="8" t="s">
        <v>16900</v>
      </c>
      <c r="B8471" s="8" t="s">
        <v>62073</v>
      </c>
      <c r="C8471" s="8" t="s">
        <v>16901</v>
      </c>
      <c r="D8471" s="8"/>
      <c r="E8471" s="6"/>
      <c r="F8471" s="6"/>
    </row>
    <row r="8472" spans="1:6" x14ac:dyDescent="0.3">
      <c r="A8472" s="8" t="s">
        <v>16902</v>
      </c>
      <c r="B8472" s="8" t="s">
        <v>62074</v>
      </c>
      <c r="C8472" s="8" t="s">
        <v>16903</v>
      </c>
      <c r="D8472" s="8"/>
      <c r="E8472" s="6"/>
      <c r="F8472" s="6"/>
    </row>
    <row r="8473" spans="1:6" x14ac:dyDescent="0.3">
      <c r="A8473" s="8" t="s">
        <v>16904</v>
      </c>
      <c r="B8473" s="8" t="s">
        <v>62075</v>
      </c>
      <c r="C8473" s="8" t="s">
        <v>16905</v>
      </c>
      <c r="D8473" s="8"/>
      <c r="E8473" s="6"/>
      <c r="F8473" s="6"/>
    </row>
    <row r="8474" spans="1:6" x14ac:dyDescent="0.3">
      <c r="A8474" s="8" t="s">
        <v>16906</v>
      </c>
      <c r="B8474" s="8" t="s">
        <v>62076</v>
      </c>
      <c r="C8474" s="8" t="s">
        <v>16907</v>
      </c>
      <c r="D8474" s="8"/>
      <c r="E8474" s="6"/>
      <c r="F8474" s="6"/>
    </row>
    <row r="8475" spans="1:6" x14ac:dyDescent="0.3">
      <c r="A8475" s="8" t="s">
        <v>16908</v>
      </c>
      <c r="B8475" s="8" t="s">
        <v>62077</v>
      </c>
      <c r="C8475" s="8" t="s">
        <v>16909</v>
      </c>
      <c r="D8475" s="8"/>
      <c r="E8475" s="6"/>
      <c r="F8475" s="6"/>
    </row>
    <row r="8476" spans="1:6" x14ac:dyDescent="0.3">
      <c r="A8476" s="8" t="s">
        <v>16910</v>
      </c>
      <c r="B8476" s="8" t="s">
        <v>62078</v>
      </c>
      <c r="C8476" s="8" t="s">
        <v>16911</v>
      </c>
      <c r="D8476" s="8"/>
      <c r="E8476" s="6"/>
      <c r="F8476" s="6"/>
    </row>
    <row r="8477" spans="1:6" x14ac:dyDescent="0.3">
      <c r="A8477" s="8" t="s">
        <v>16912</v>
      </c>
      <c r="B8477" s="8" t="s">
        <v>62079</v>
      </c>
      <c r="C8477" s="8" t="s">
        <v>16913</v>
      </c>
      <c r="D8477" s="8"/>
      <c r="E8477" s="6"/>
      <c r="F8477" s="6"/>
    </row>
    <row r="8478" spans="1:6" x14ac:dyDescent="0.3">
      <c r="A8478" s="8" t="s">
        <v>16914</v>
      </c>
      <c r="B8478" s="8" t="s">
        <v>62080</v>
      </c>
      <c r="C8478" s="8" t="s">
        <v>16915</v>
      </c>
      <c r="D8478" s="8"/>
      <c r="E8478" s="6"/>
      <c r="F8478" s="6"/>
    </row>
    <row r="8479" spans="1:6" x14ac:dyDescent="0.3">
      <c r="A8479" s="8" t="s">
        <v>16916</v>
      </c>
      <c r="B8479" s="8" t="s">
        <v>62081</v>
      </c>
      <c r="C8479" s="8" t="s">
        <v>16917</v>
      </c>
      <c r="D8479" s="8"/>
      <c r="E8479" s="6"/>
      <c r="F8479" s="6"/>
    </row>
    <row r="8480" spans="1:6" x14ac:dyDescent="0.3">
      <c r="A8480" s="8" t="s">
        <v>16918</v>
      </c>
      <c r="B8480" s="8" t="s">
        <v>62082</v>
      </c>
      <c r="C8480" s="8" t="s">
        <v>16919</v>
      </c>
      <c r="D8480" s="8"/>
      <c r="E8480" s="6"/>
      <c r="F8480" s="6"/>
    </row>
    <row r="8481" spans="1:6" x14ac:dyDescent="0.3">
      <c r="A8481" s="8" t="s">
        <v>16920</v>
      </c>
      <c r="B8481" s="8" t="s">
        <v>62083</v>
      </c>
      <c r="C8481" s="8" t="s">
        <v>16921</v>
      </c>
      <c r="D8481" s="8"/>
      <c r="E8481" s="6"/>
      <c r="F8481" s="6"/>
    </row>
    <row r="8482" spans="1:6" x14ac:dyDescent="0.3">
      <c r="A8482" s="8" t="s">
        <v>16922</v>
      </c>
      <c r="B8482" s="8" t="s">
        <v>62084</v>
      </c>
      <c r="C8482" s="8" t="s">
        <v>16923</v>
      </c>
      <c r="D8482" s="8"/>
      <c r="E8482" s="6"/>
      <c r="F8482" s="6"/>
    </row>
    <row r="8483" spans="1:6" x14ac:dyDescent="0.3">
      <c r="A8483" s="8" t="s">
        <v>16924</v>
      </c>
      <c r="B8483" s="8" t="s">
        <v>62085</v>
      </c>
      <c r="C8483" s="8" t="s">
        <v>16925</v>
      </c>
      <c r="D8483" s="8"/>
      <c r="E8483" s="6"/>
      <c r="F8483" s="6"/>
    </row>
    <row r="8484" spans="1:6" x14ac:dyDescent="0.3">
      <c r="A8484" s="8" t="s">
        <v>16926</v>
      </c>
      <c r="B8484" s="8" t="s">
        <v>62086</v>
      </c>
      <c r="C8484" s="8" t="s">
        <v>16927</v>
      </c>
      <c r="D8484" s="8"/>
      <c r="E8484" s="6"/>
      <c r="F8484" s="6"/>
    </row>
    <row r="8485" spans="1:6" x14ac:dyDescent="0.3">
      <c r="A8485" s="8" t="s">
        <v>16928</v>
      </c>
      <c r="B8485" s="8" t="s">
        <v>62087</v>
      </c>
      <c r="C8485" s="8" t="s">
        <v>16929</v>
      </c>
      <c r="D8485" s="8"/>
      <c r="E8485" s="6"/>
      <c r="F8485" s="6"/>
    </row>
    <row r="8486" spans="1:6" x14ac:dyDescent="0.3">
      <c r="A8486" s="8" t="s">
        <v>16930</v>
      </c>
      <c r="B8486" s="8" t="s">
        <v>62088</v>
      </c>
      <c r="C8486" s="8" t="s">
        <v>16931</v>
      </c>
      <c r="D8486" s="8"/>
      <c r="E8486" s="6"/>
      <c r="F8486" s="6"/>
    </row>
    <row r="8487" spans="1:6" x14ac:dyDescent="0.3">
      <c r="A8487" s="8" t="s">
        <v>16932</v>
      </c>
      <c r="B8487" s="8" t="s">
        <v>62089</v>
      </c>
      <c r="C8487" s="8" t="s">
        <v>16933</v>
      </c>
      <c r="D8487" s="8"/>
      <c r="E8487" s="6"/>
      <c r="F8487" s="6"/>
    </row>
    <row r="8488" spans="1:6" x14ac:dyDescent="0.3">
      <c r="A8488" s="8" t="s">
        <v>16934</v>
      </c>
      <c r="B8488" s="8" t="s">
        <v>62090</v>
      </c>
      <c r="C8488" s="8" t="s">
        <v>16935</v>
      </c>
      <c r="D8488" s="8"/>
      <c r="E8488" s="6"/>
      <c r="F8488" s="6"/>
    </row>
    <row r="8489" spans="1:6" x14ac:dyDescent="0.3">
      <c r="A8489" s="8" t="s">
        <v>16936</v>
      </c>
      <c r="B8489" s="8" t="s">
        <v>62091</v>
      </c>
      <c r="C8489" s="8" t="s">
        <v>16937</v>
      </c>
      <c r="D8489" s="8"/>
      <c r="E8489" s="6"/>
      <c r="F8489" s="6"/>
    </row>
    <row r="8490" spans="1:6" x14ac:dyDescent="0.3">
      <c r="A8490" s="8" t="s">
        <v>16938</v>
      </c>
      <c r="B8490" s="8" t="s">
        <v>62092</v>
      </c>
      <c r="C8490" s="8" t="s">
        <v>16939</v>
      </c>
      <c r="D8490" s="8"/>
      <c r="E8490" s="6"/>
      <c r="F8490" s="6"/>
    </row>
    <row r="8491" spans="1:6" x14ac:dyDescent="0.3">
      <c r="A8491" s="8" t="s">
        <v>16940</v>
      </c>
      <c r="B8491" s="8" t="s">
        <v>62093</v>
      </c>
      <c r="C8491" s="8" t="s">
        <v>16941</v>
      </c>
      <c r="D8491" s="8"/>
      <c r="E8491" s="6"/>
      <c r="F8491" s="6"/>
    </row>
    <row r="8492" spans="1:6" x14ac:dyDescent="0.3">
      <c r="A8492" s="8" t="s">
        <v>16942</v>
      </c>
      <c r="B8492" s="8" t="s">
        <v>62094</v>
      </c>
      <c r="C8492" s="8" t="s">
        <v>16943</v>
      </c>
      <c r="D8492" s="8"/>
      <c r="E8492" s="6"/>
      <c r="F8492" s="6"/>
    </row>
    <row r="8493" spans="1:6" x14ac:dyDescent="0.3">
      <c r="A8493" s="8" t="s">
        <v>16944</v>
      </c>
      <c r="B8493" s="8" t="s">
        <v>62095</v>
      </c>
      <c r="C8493" s="8" t="s">
        <v>16945</v>
      </c>
      <c r="D8493" s="8"/>
      <c r="E8493" s="6"/>
      <c r="F8493" s="6"/>
    </row>
    <row r="8494" spans="1:6" x14ac:dyDescent="0.3">
      <c r="A8494" s="8" t="s">
        <v>16946</v>
      </c>
      <c r="B8494" s="8" t="s">
        <v>62096</v>
      </c>
      <c r="C8494" s="8" t="s">
        <v>16947</v>
      </c>
      <c r="D8494" s="8"/>
      <c r="E8494" s="6"/>
      <c r="F8494" s="6"/>
    </row>
    <row r="8495" spans="1:6" x14ac:dyDescent="0.3">
      <c r="A8495" s="8" t="s">
        <v>16948</v>
      </c>
      <c r="B8495" s="8" t="s">
        <v>62097</v>
      </c>
      <c r="C8495" s="8" t="s">
        <v>16949</v>
      </c>
      <c r="D8495" s="8"/>
      <c r="E8495" s="6"/>
      <c r="F8495" s="6"/>
    </row>
    <row r="8496" spans="1:6" x14ac:dyDescent="0.3">
      <c r="A8496" s="8" t="s">
        <v>16950</v>
      </c>
      <c r="B8496" s="8" t="s">
        <v>62098</v>
      </c>
      <c r="C8496" s="8" t="s">
        <v>16951</v>
      </c>
      <c r="D8496" s="8"/>
      <c r="E8496" s="6"/>
      <c r="F8496" s="6"/>
    </row>
    <row r="8497" spans="1:6" x14ac:dyDescent="0.3">
      <c r="A8497" s="8" t="s">
        <v>16952</v>
      </c>
      <c r="B8497" s="8" t="s">
        <v>62099</v>
      </c>
      <c r="C8497" s="8" t="s">
        <v>16953</v>
      </c>
      <c r="D8497" s="8"/>
      <c r="E8497" s="6"/>
      <c r="F8497" s="6"/>
    </row>
    <row r="8498" spans="1:6" x14ac:dyDescent="0.3">
      <c r="A8498" s="8" t="s">
        <v>16954</v>
      </c>
      <c r="B8498" s="8" t="s">
        <v>62100</v>
      </c>
      <c r="C8498" s="8" t="s">
        <v>16955</v>
      </c>
      <c r="D8498" s="8"/>
      <c r="E8498" s="6"/>
      <c r="F8498" s="6"/>
    </row>
    <row r="8499" spans="1:6" x14ac:dyDescent="0.3">
      <c r="A8499" s="8" t="s">
        <v>16956</v>
      </c>
      <c r="B8499" s="8" t="s">
        <v>62101</v>
      </c>
      <c r="C8499" s="8" t="s">
        <v>16957</v>
      </c>
      <c r="D8499" s="8"/>
      <c r="E8499" s="6"/>
      <c r="F8499" s="6"/>
    </row>
    <row r="8500" spans="1:6" x14ac:dyDescent="0.3">
      <c r="A8500" s="8" t="s">
        <v>16958</v>
      </c>
      <c r="B8500" s="8" t="s">
        <v>62102</v>
      </c>
      <c r="C8500" s="8" t="s">
        <v>16959</v>
      </c>
      <c r="D8500" s="8"/>
      <c r="E8500" s="6"/>
      <c r="F8500" s="6"/>
    </row>
    <row r="8501" spans="1:6" x14ac:dyDescent="0.3">
      <c r="A8501" s="8" t="s">
        <v>16960</v>
      </c>
      <c r="B8501" s="8" t="s">
        <v>62103</v>
      </c>
      <c r="C8501" s="8" t="s">
        <v>16961</v>
      </c>
      <c r="D8501" s="8"/>
      <c r="E8501" s="6"/>
      <c r="F8501" s="6"/>
    </row>
    <row r="8502" spans="1:6" x14ac:dyDescent="0.3">
      <c r="A8502" s="8" t="s">
        <v>16962</v>
      </c>
      <c r="B8502" s="8" t="s">
        <v>62104</v>
      </c>
      <c r="C8502" s="8" t="s">
        <v>16963</v>
      </c>
      <c r="D8502" s="8"/>
      <c r="E8502" s="6"/>
      <c r="F8502" s="6"/>
    </row>
    <row r="8503" spans="1:6" x14ac:dyDescent="0.3">
      <c r="A8503" s="8" t="s">
        <v>16964</v>
      </c>
      <c r="B8503" s="8" t="s">
        <v>62105</v>
      </c>
      <c r="C8503" s="8" t="s">
        <v>16965</v>
      </c>
      <c r="D8503" s="8"/>
      <c r="E8503" s="6"/>
      <c r="F8503" s="6"/>
    </row>
    <row r="8504" spans="1:6" x14ac:dyDescent="0.3">
      <c r="A8504" s="8" t="s">
        <v>16966</v>
      </c>
      <c r="B8504" s="8" t="s">
        <v>62106</v>
      </c>
      <c r="C8504" s="8" t="s">
        <v>16967</v>
      </c>
      <c r="D8504" s="8"/>
      <c r="E8504" s="6"/>
      <c r="F8504" s="6"/>
    </row>
    <row r="8505" spans="1:6" x14ac:dyDescent="0.3">
      <c r="A8505" s="8" t="s">
        <v>16968</v>
      </c>
      <c r="B8505" s="8" t="s">
        <v>62107</v>
      </c>
      <c r="C8505" s="8" t="s">
        <v>16969</v>
      </c>
      <c r="D8505" s="8"/>
      <c r="E8505" s="6"/>
      <c r="F8505" s="6"/>
    </row>
    <row r="8506" spans="1:6" x14ac:dyDescent="0.3">
      <c r="A8506" s="8" t="s">
        <v>16970</v>
      </c>
      <c r="B8506" s="8" t="s">
        <v>62108</v>
      </c>
      <c r="C8506" s="8" t="s">
        <v>16971</v>
      </c>
      <c r="D8506" s="8"/>
      <c r="E8506" s="6"/>
      <c r="F8506" s="6"/>
    </row>
    <row r="8507" spans="1:6" x14ac:dyDescent="0.3">
      <c r="A8507" s="8" t="s">
        <v>16972</v>
      </c>
      <c r="B8507" s="8" t="s">
        <v>62109</v>
      </c>
      <c r="C8507" s="8" t="s">
        <v>16973</v>
      </c>
      <c r="D8507" s="8"/>
      <c r="E8507" s="6"/>
      <c r="F8507" s="6"/>
    </row>
    <row r="8508" spans="1:6" x14ac:dyDescent="0.3">
      <c r="A8508" s="8" t="s">
        <v>16974</v>
      </c>
      <c r="B8508" s="8" t="s">
        <v>62110</v>
      </c>
      <c r="C8508" s="8" t="s">
        <v>16975</v>
      </c>
      <c r="D8508" s="8"/>
      <c r="E8508" s="6"/>
      <c r="F8508" s="6"/>
    </row>
    <row r="8509" spans="1:6" x14ac:dyDescent="0.3">
      <c r="A8509" s="8" t="s">
        <v>16976</v>
      </c>
      <c r="B8509" s="8" t="s">
        <v>62111</v>
      </c>
      <c r="C8509" s="8" t="s">
        <v>16977</v>
      </c>
      <c r="D8509" s="8"/>
      <c r="E8509" s="6"/>
      <c r="F8509" s="6"/>
    </row>
    <row r="8510" spans="1:6" x14ac:dyDescent="0.3">
      <c r="A8510" s="8" t="s">
        <v>16978</v>
      </c>
      <c r="B8510" s="8" t="s">
        <v>62112</v>
      </c>
      <c r="C8510" s="8" t="s">
        <v>16979</v>
      </c>
      <c r="D8510" s="8"/>
      <c r="E8510" s="6"/>
      <c r="F8510" s="6"/>
    </row>
    <row r="8511" spans="1:6" x14ac:dyDescent="0.3">
      <c r="A8511" s="8" t="s">
        <v>16980</v>
      </c>
      <c r="B8511" s="8" t="s">
        <v>62113</v>
      </c>
      <c r="C8511" s="8" t="s">
        <v>16981</v>
      </c>
      <c r="D8511" s="8"/>
      <c r="E8511" s="6"/>
      <c r="F8511" s="6"/>
    </row>
    <row r="8512" spans="1:6" x14ac:dyDescent="0.3">
      <c r="A8512" s="8" t="s">
        <v>16982</v>
      </c>
      <c r="B8512" s="8" t="s">
        <v>62114</v>
      </c>
      <c r="C8512" s="8" t="s">
        <v>16983</v>
      </c>
      <c r="D8512" s="8"/>
      <c r="E8512" s="6"/>
      <c r="F8512" s="6"/>
    </row>
    <row r="8513" spans="1:6" x14ac:dyDescent="0.3">
      <c r="A8513" s="8" t="s">
        <v>16984</v>
      </c>
      <c r="B8513" s="8" t="s">
        <v>62115</v>
      </c>
      <c r="C8513" s="8" t="s">
        <v>16985</v>
      </c>
      <c r="D8513" s="8"/>
      <c r="E8513" s="6"/>
      <c r="F8513" s="6"/>
    </row>
    <row r="8514" spans="1:6" x14ac:dyDescent="0.3">
      <c r="A8514" s="8" t="s">
        <v>16986</v>
      </c>
      <c r="B8514" s="8" t="s">
        <v>62116</v>
      </c>
      <c r="C8514" s="8" t="s">
        <v>16987</v>
      </c>
      <c r="D8514" s="8"/>
      <c r="E8514" s="6"/>
      <c r="F8514" s="6"/>
    </row>
    <row r="8515" spans="1:6" x14ac:dyDescent="0.3">
      <c r="A8515" s="8" t="s">
        <v>16988</v>
      </c>
      <c r="B8515" s="8" t="s">
        <v>62117</v>
      </c>
      <c r="C8515" s="8" t="s">
        <v>16989</v>
      </c>
      <c r="D8515" s="8"/>
      <c r="E8515" s="6"/>
      <c r="F8515" s="6"/>
    </row>
    <row r="8516" spans="1:6" x14ac:dyDescent="0.3">
      <c r="A8516" s="8" t="s">
        <v>16990</v>
      </c>
      <c r="B8516" s="8" t="s">
        <v>62118</v>
      </c>
      <c r="C8516" s="8" t="s">
        <v>16991</v>
      </c>
      <c r="D8516" s="8"/>
      <c r="E8516" s="6"/>
      <c r="F8516" s="6"/>
    </row>
    <row r="8517" spans="1:6" x14ac:dyDescent="0.3">
      <c r="A8517" s="8" t="s">
        <v>16992</v>
      </c>
      <c r="B8517" s="8" t="s">
        <v>62119</v>
      </c>
      <c r="C8517" s="8" t="s">
        <v>16993</v>
      </c>
      <c r="D8517" s="8"/>
      <c r="E8517" s="6"/>
      <c r="F8517" s="6"/>
    </row>
    <row r="8518" spans="1:6" x14ac:dyDescent="0.3">
      <c r="A8518" s="8" t="s">
        <v>16994</v>
      </c>
      <c r="B8518" s="8" t="s">
        <v>62120</v>
      </c>
      <c r="C8518" s="8" t="s">
        <v>16995</v>
      </c>
      <c r="D8518" s="8"/>
      <c r="E8518" s="6"/>
      <c r="F8518" s="6"/>
    </row>
    <row r="8519" spans="1:6" x14ac:dyDescent="0.3">
      <c r="A8519" s="8" t="s">
        <v>16996</v>
      </c>
      <c r="B8519" s="8" t="s">
        <v>62121</v>
      </c>
      <c r="C8519" s="8" t="s">
        <v>16997</v>
      </c>
      <c r="D8519" s="8"/>
      <c r="E8519" s="6"/>
      <c r="F8519" s="6"/>
    </row>
    <row r="8520" spans="1:6" x14ac:dyDescent="0.3">
      <c r="A8520" s="8" t="s">
        <v>16998</v>
      </c>
      <c r="B8520" s="8" t="s">
        <v>62122</v>
      </c>
      <c r="C8520" s="8" t="s">
        <v>16999</v>
      </c>
      <c r="D8520" s="8"/>
      <c r="E8520" s="6"/>
      <c r="F8520" s="6"/>
    </row>
    <row r="8521" spans="1:6" x14ac:dyDescent="0.3">
      <c r="A8521" s="8" t="s">
        <v>17000</v>
      </c>
      <c r="B8521" s="8" t="s">
        <v>62123</v>
      </c>
      <c r="C8521" s="8" t="s">
        <v>17001</v>
      </c>
      <c r="D8521" s="8"/>
      <c r="E8521" s="6"/>
      <c r="F8521" s="6"/>
    </row>
    <row r="8522" spans="1:6" x14ac:dyDescent="0.3">
      <c r="A8522" s="8" t="s">
        <v>17002</v>
      </c>
      <c r="B8522" s="8" t="s">
        <v>62124</v>
      </c>
      <c r="C8522" s="8" t="s">
        <v>17003</v>
      </c>
      <c r="D8522" s="8"/>
      <c r="E8522" s="6"/>
      <c r="F8522" s="6"/>
    </row>
    <row r="8523" spans="1:6" x14ac:dyDescent="0.3">
      <c r="A8523" s="8" t="s">
        <v>17004</v>
      </c>
      <c r="B8523" s="8" t="s">
        <v>62125</v>
      </c>
      <c r="C8523" s="8" t="s">
        <v>17005</v>
      </c>
      <c r="D8523" s="8"/>
      <c r="E8523" s="6"/>
      <c r="F8523" s="6"/>
    </row>
    <row r="8524" spans="1:6" x14ac:dyDescent="0.3">
      <c r="A8524" s="8" t="s">
        <v>17006</v>
      </c>
      <c r="B8524" s="8" t="s">
        <v>62126</v>
      </c>
      <c r="C8524" s="8" t="s">
        <v>17007</v>
      </c>
      <c r="D8524" s="8"/>
      <c r="E8524" s="6"/>
      <c r="F8524" s="6"/>
    </row>
    <row r="8525" spans="1:6" x14ac:dyDescent="0.3">
      <c r="A8525" s="8" t="s">
        <v>17008</v>
      </c>
      <c r="B8525" s="8" t="s">
        <v>62127</v>
      </c>
      <c r="C8525" s="8" t="s">
        <v>17009</v>
      </c>
      <c r="D8525" s="8"/>
      <c r="E8525" s="6"/>
      <c r="F8525" s="6"/>
    </row>
    <row r="8526" spans="1:6" x14ac:dyDescent="0.3">
      <c r="A8526" s="8" t="s">
        <v>17010</v>
      </c>
      <c r="B8526" s="8" t="s">
        <v>62128</v>
      </c>
      <c r="C8526" s="8" t="s">
        <v>17011</v>
      </c>
      <c r="D8526" s="8"/>
      <c r="E8526" s="6"/>
      <c r="F8526" s="6"/>
    </row>
    <row r="8527" spans="1:6" x14ac:dyDescent="0.3">
      <c r="A8527" s="8" t="s">
        <v>17012</v>
      </c>
      <c r="B8527" s="8" t="s">
        <v>62129</v>
      </c>
      <c r="C8527" s="8" t="s">
        <v>17013</v>
      </c>
      <c r="D8527" s="8"/>
      <c r="E8527" s="6"/>
      <c r="F8527" s="6"/>
    </row>
    <row r="8528" spans="1:6" x14ac:dyDescent="0.3">
      <c r="A8528" s="8" t="s">
        <v>17014</v>
      </c>
      <c r="B8528" s="8" t="s">
        <v>62130</v>
      </c>
      <c r="C8528" s="8" t="s">
        <v>17015</v>
      </c>
      <c r="D8528" s="8"/>
      <c r="E8528" s="6"/>
      <c r="F8528" s="6"/>
    </row>
    <row r="8529" spans="1:6" x14ac:dyDescent="0.3">
      <c r="A8529" s="8" t="s">
        <v>17016</v>
      </c>
      <c r="B8529" s="8" t="s">
        <v>62131</v>
      </c>
      <c r="C8529" s="8" t="s">
        <v>17017</v>
      </c>
      <c r="D8529" s="8"/>
      <c r="E8529" s="6"/>
      <c r="F8529" s="6"/>
    </row>
    <row r="8530" spans="1:6" x14ac:dyDescent="0.3">
      <c r="A8530" s="8" t="s">
        <v>17018</v>
      </c>
      <c r="B8530" s="8" t="s">
        <v>62132</v>
      </c>
      <c r="C8530" s="8" t="s">
        <v>17019</v>
      </c>
      <c r="D8530" s="8"/>
      <c r="E8530" s="6"/>
      <c r="F8530" s="6"/>
    </row>
    <row r="8531" spans="1:6" x14ac:dyDescent="0.3">
      <c r="A8531" s="8" t="s">
        <v>17020</v>
      </c>
      <c r="B8531" s="8" t="s">
        <v>62133</v>
      </c>
      <c r="C8531" s="8" t="s">
        <v>17021</v>
      </c>
      <c r="D8531" s="8"/>
      <c r="E8531" s="6"/>
      <c r="F8531" s="6"/>
    </row>
    <row r="8532" spans="1:6" x14ac:dyDescent="0.3">
      <c r="A8532" s="8" t="s">
        <v>17022</v>
      </c>
      <c r="B8532" s="8" t="s">
        <v>62134</v>
      </c>
      <c r="C8532" s="8" t="s">
        <v>17023</v>
      </c>
      <c r="D8532" s="8"/>
      <c r="E8532" s="6"/>
      <c r="F8532" s="6"/>
    </row>
    <row r="8533" spans="1:6" x14ac:dyDescent="0.3">
      <c r="A8533" s="8" t="s">
        <v>17024</v>
      </c>
      <c r="B8533" s="8" t="s">
        <v>62135</v>
      </c>
      <c r="C8533" s="8" t="s">
        <v>17025</v>
      </c>
      <c r="D8533" s="8"/>
      <c r="E8533" s="6"/>
      <c r="F8533" s="6"/>
    </row>
    <row r="8534" spans="1:6" x14ac:dyDescent="0.3">
      <c r="A8534" s="8" t="s">
        <v>17026</v>
      </c>
      <c r="B8534" s="8" t="s">
        <v>62136</v>
      </c>
      <c r="C8534" s="8" t="s">
        <v>17027</v>
      </c>
      <c r="D8534" s="8"/>
      <c r="E8534" s="6"/>
      <c r="F8534" s="6"/>
    </row>
    <row r="8535" spans="1:6" x14ac:dyDescent="0.3">
      <c r="A8535" s="8" t="s">
        <v>17028</v>
      </c>
      <c r="B8535" s="8" t="s">
        <v>62137</v>
      </c>
      <c r="C8535" s="8" t="s">
        <v>17029</v>
      </c>
      <c r="D8535" s="8"/>
      <c r="E8535" s="6"/>
      <c r="F8535" s="6"/>
    </row>
    <row r="8536" spans="1:6" x14ac:dyDescent="0.3">
      <c r="A8536" s="8" t="s">
        <v>17030</v>
      </c>
      <c r="B8536" s="8" t="s">
        <v>62138</v>
      </c>
      <c r="C8536" s="8" t="s">
        <v>17031</v>
      </c>
      <c r="D8536" s="8"/>
      <c r="E8536" s="6"/>
      <c r="F8536" s="6"/>
    </row>
    <row r="8537" spans="1:6" x14ac:dyDescent="0.3">
      <c r="A8537" s="8" t="s">
        <v>17032</v>
      </c>
      <c r="B8537" s="8" t="s">
        <v>62139</v>
      </c>
      <c r="C8537" s="8" t="s">
        <v>17033</v>
      </c>
      <c r="D8537" s="8"/>
      <c r="E8537" s="6"/>
      <c r="F8537" s="6"/>
    </row>
    <row r="8538" spans="1:6" x14ac:dyDescent="0.3">
      <c r="A8538" s="8" t="s">
        <v>17034</v>
      </c>
      <c r="B8538" s="8" t="s">
        <v>62140</v>
      </c>
      <c r="C8538" s="8" t="s">
        <v>17035</v>
      </c>
      <c r="D8538" s="8"/>
      <c r="E8538" s="6"/>
      <c r="F8538" s="6"/>
    </row>
    <row r="8539" spans="1:6" x14ac:dyDescent="0.3">
      <c r="A8539" s="8" t="s">
        <v>17036</v>
      </c>
      <c r="B8539" s="8" t="s">
        <v>62141</v>
      </c>
      <c r="C8539" s="8" t="s">
        <v>17037</v>
      </c>
      <c r="D8539" s="8"/>
      <c r="E8539" s="6"/>
      <c r="F8539" s="6"/>
    </row>
    <row r="8540" spans="1:6" x14ac:dyDescent="0.3">
      <c r="A8540" s="8" t="s">
        <v>17038</v>
      </c>
      <c r="B8540" s="8" t="s">
        <v>62142</v>
      </c>
      <c r="C8540" s="8" t="s">
        <v>17039</v>
      </c>
      <c r="D8540" s="8"/>
      <c r="E8540" s="6"/>
      <c r="F8540" s="6"/>
    </row>
    <row r="8541" spans="1:6" x14ac:dyDescent="0.3">
      <c r="A8541" s="8" t="s">
        <v>17040</v>
      </c>
      <c r="B8541" s="8" t="s">
        <v>62143</v>
      </c>
      <c r="C8541" s="8" t="s">
        <v>17041</v>
      </c>
      <c r="D8541" s="8"/>
      <c r="E8541" s="6"/>
      <c r="F8541" s="6"/>
    </row>
    <row r="8542" spans="1:6" x14ac:dyDescent="0.3">
      <c r="A8542" s="8" t="s">
        <v>17042</v>
      </c>
      <c r="B8542" s="8" t="s">
        <v>62144</v>
      </c>
      <c r="C8542" s="8" t="s">
        <v>17043</v>
      </c>
      <c r="D8542" s="8"/>
      <c r="E8542" s="6"/>
      <c r="F8542" s="6"/>
    </row>
    <row r="8543" spans="1:6" x14ac:dyDescent="0.3">
      <c r="A8543" s="8" t="s">
        <v>17044</v>
      </c>
      <c r="B8543" s="8" t="s">
        <v>62145</v>
      </c>
      <c r="C8543" s="8" t="s">
        <v>17045</v>
      </c>
      <c r="D8543" s="8"/>
      <c r="E8543" s="6"/>
      <c r="F8543" s="6"/>
    </row>
    <row r="8544" spans="1:6" x14ac:dyDescent="0.3">
      <c r="A8544" s="8" t="s">
        <v>17046</v>
      </c>
      <c r="B8544" s="8" t="s">
        <v>62146</v>
      </c>
      <c r="C8544" s="8" t="s">
        <v>17047</v>
      </c>
      <c r="D8544" s="8"/>
      <c r="E8544" s="6"/>
      <c r="F8544" s="6"/>
    </row>
    <row r="8545" spans="1:6" x14ac:dyDescent="0.3">
      <c r="A8545" s="8" t="s">
        <v>17048</v>
      </c>
      <c r="B8545" s="8" t="s">
        <v>62147</v>
      </c>
      <c r="C8545" s="8" t="s">
        <v>17049</v>
      </c>
      <c r="D8545" s="8"/>
      <c r="E8545" s="6"/>
      <c r="F8545" s="6"/>
    </row>
    <row r="8546" spans="1:6" x14ac:dyDescent="0.3">
      <c r="A8546" s="8" t="s">
        <v>17050</v>
      </c>
      <c r="B8546" s="8" t="s">
        <v>62148</v>
      </c>
      <c r="C8546" s="8" t="s">
        <v>17051</v>
      </c>
      <c r="D8546" s="8"/>
      <c r="E8546" s="6"/>
      <c r="F8546" s="6"/>
    </row>
    <row r="8547" spans="1:6" x14ac:dyDescent="0.3">
      <c r="A8547" s="8" t="s">
        <v>17052</v>
      </c>
      <c r="B8547" s="8" t="s">
        <v>62149</v>
      </c>
      <c r="C8547" s="8" t="s">
        <v>17053</v>
      </c>
      <c r="D8547" s="8"/>
      <c r="E8547" s="6"/>
      <c r="F8547" s="6"/>
    </row>
    <row r="8548" spans="1:6" x14ac:dyDescent="0.3">
      <c r="A8548" s="8" t="s">
        <v>17054</v>
      </c>
      <c r="B8548" s="8" t="s">
        <v>62150</v>
      </c>
      <c r="C8548" s="8" t="s">
        <v>17055</v>
      </c>
      <c r="D8548" s="8"/>
      <c r="E8548" s="6"/>
      <c r="F8548" s="6"/>
    </row>
    <row r="8549" spans="1:6" x14ac:dyDescent="0.3">
      <c r="A8549" s="8" t="s">
        <v>17056</v>
      </c>
      <c r="B8549" s="8" t="s">
        <v>62151</v>
      </c>
      <c r="C8549" s="8" t="s">
        <v>17057</v>
      </c>
      <c r="D8549" s="8"/>
      <c r="E8549" s="6"/>
      <c r="F8549" s="6"/>
    </row>
    <row r="8550" spans="1:6" x14ac:dyDescent="0.3">
      <c r="A8550" s="8" t="s">
        <v>17058</v>
      </c>
      <c r="B8550" s="8" t="s">
        <v>62152</v>
      </c>
      <c r="C8550" s="8" t="s">
        <v>17059</v>
      </c>
      <c r="D8550" s="8"/>
      <c r="E8550" s="6"/>
      <c r="F8550" s="6"/>
    </row>
    <row r="8551" spans="1:6" x14ac:dyDescent="0.3">
      <c r="A8551" s="8" t="s">
        <v>17060</v>
      </c>
      <c r="B8551" s="8" t="s">
        <v>62153</v>
      </c>
      <c r="C8551" s="8" t="s">
        <v>17061</v>
      </c>
      <c r="D8551" s="8"/>
      <c r="E8551" s="6"/>
      <c r="F8551" s="6"/>
    </row>
    <row r="8552" spans="1:6" x14ac:dyDescent="0.3">
      <c r="A8552" s="8" t="s">
        <v>17062</v>
      </c>
      <c r="B8552" s="8" t="s">
        <v>62154</v>
      </c>
      <c r="C8552" s="8" t="s">
        <v>17063</v>
      </c>
      <c r="D8552" s="8"/>
      <c r="E8552" s="6"/>
      <c r="F8552" s="6"/>
    </row>
    <row r="8553" spans="1:6" x14ac:dyDescent="0.3">
      <c r="A8553" s="8" t="s">
        <v>17064</v>
      </c>
      <c r="B8553" s="8" t="s">
        <v>62155</v>
      </c>
      <c r="C8553" s="8" t="s">
        <v>17065</v>
      </c>
      <c r="D8553" s="8"/>
      <c r="E8553" s="6"/>
      <c r="F8553" s="6"/>
    </row>
    <row r="8554" spans="1:6" x14ac:dyDescent="0.3">
      <c r="A8554" s="8" t="s">
        <v>17066</v>
      </c>
      <c r="B8554" s="8" t="s">
        <v>62156</v>
      </c>
      <c r="C8554" s="8" t="s">
        <v>17067</v>
      </c>
      <c r="D8554" s="8"/>
      <c r="E8554" s="6"/>
      <c r="F8554" s="6"/>
    </row>
    <row r="8555" spans="1:6" x14ac:dyDescent="0.3">
      <c r="A8555" s="8" t="s">
        <v>17068</v>
      </c>
      <c r="B8555" s="8" t="s">
        <v>62157</v>
      </c>
      <c r="C8555" s="8" t="s">
        <v>17069</v>
      </c>
      <c r="D8555" s="8"/>
      <c r="E8555" s="6"/>
      <c r="F8555" s="6"/>
    </row>
    <row r="8556" spans="1:6" x14ac:dyDescent="0.3">
      <c r="A8556" s="8" t="s">
        <v>17070</v>
      </c>
      <c r="B8556" s="8" t="s">
        <v>62158</v>
      </c>
      <c r="C8556" s="8" t="s">
        <v>17071</v>
      </c>
      <c r="D8556" s="8"/>
      <c r="E8556" s="6"/>
      <c r="F8556" s="6"/>
    </row>
    <row r="8557" spans="1:6" x14ac:dyDescent="0.3">
      <c r="A8557" s="8" t="s">
        <v>17072</v>
      </c>
      <c r="B8557" s="8" t="s">
        <v>62159</v>
      </c>
      <c r="C8557" s="8" t="s">
        <v>17073</v>
      </c>
      <c r="D8557" s="8"/>
      <c r="E8557" s="6"/>
      <c r="F8557" s="6"/>
    </row>
    <row r="8558" spans="1:6" x14ac:dyDescent="0.3">
      <c r="A8558" s="8" t="s">
        <v>17074</v>
      </c>
      <c r="B8558" s="8" t="s">
        <v>62160</v>
      </c>
      <c r="C8558" s="8" t="s">
        <v>17075</v>
      </c>
      <c r="D8558" s="8"/>
      <c r="E8558" s="6"/>
      <c r="F8558" s="6"/>
    </row>
    <row r="8559" spans="1:6" x14ac:dyDescent="0.3">
      <c r="A8559" s="8" t="s">
        <v>17076</v>
      </c>
      <c r="B8559" s="8" t="s">
        <v>62161</v>
      </c>
      <c r="C8559" s="8" t="s">
        <v>17077</v>
      </c>
      <c r="D8559" s="8"/>
      <c r="E8559" s="6"/>
      <c r="F8559" s="6"/>
    </row>
    <row r="8560" spans="1:6" x14ac:dyDescent="0.3">
      <c r="A8560" s="8" t="s">
        <v>17078</v>
      </c>
      <c r="B8560" s="8" t="s">
        <v>62162</v>
      </c>
      <c r="C8560" s="8" t="s">
        <v>17079</v>
      </c>
      <c r="D8560" s="8"/>
      <c r="E8560" s="6"/>
      <c r="F8560" s="6"/>
    </row>
    <row r="8561" spans="1:6" x14ac:dyDescent="0.3">
      <c r="A8561" s="8" t="s">
        <v>17080</v>
      </c>
      <c r="B8561" s="8" t="s">
        <v>62163</v>
      </c>
      <c r="C8561" s="8" t="s">
        <v>17081</v>
      </c>
      <c r="D8561" s="8"/>
      <c r="E8561" s="6"/>
      <c r="F8561" s="6"/>
    </row>
    <row r="8562" spans="1:6" x14ac:dyDescent="0.3">
      <c r="A8562" s="8" t="s">
        <v>17082</v>
      </c>
      <c r="B8562" s="8" t="s">
        <v>62164</v>
      </c>
      <c r="C8562" s="8" t="s">
        <v>17083</v>
      </c>
      <c r="D8562" s="8"/>
      <c r="E8562" s="6"/>
      <c r="F8562" s="6"/>
    </row>
    <row r="8563" spans="1:6" x14ac:dyDescent="0.3">
      <c r="A8563" s="8" t="s">
        <v>17084</v>
      </c>
      <c r="B8563" s="8" t="s">
        <v>62165</v>
      </c>
      <c r="C8563" s="8" t="s">
        <v>17085</v>
      </c>
      <c r="D8563" s="8"/>
      <c r="E8563" s="6"/>
      <c r="F8563" s="6"/>
    </row>
    <row r="8564" spans="1:6" x14ac:dyDescent="0.3">
      <c r="A8564" s="8" t="s">
        <v>17086</v>
      </c>
      <c r="B8564" s="8" t="s">
        <v>62166</v>
      </c>
      <c r="C8564" s="8" t="s">
        <v>17087</v>
      </c>
      <c r="D8564" s="8"/>
      <c r="E8564" s="6"/>
      <c r="F8564" s="6"/>
    </row>
    <row r="8565" spans="1:6" x14ac:dyDescent="0.3">
      <c r="A8565" s="8" t="s">
        <v>17088</v>
      </c>
      <c r="B8565" s="8" t="s">
        <v>62167</v>
      </c>
      <c r="C8565" s="8" t="s">
        <v>17089</v>
      </c>
      <c r="D8565" s="8"/>
      <c r="E8565" s="6"/>
      <c r="F8565" s="6"/>
    </row>
    <row r="8566" spans="1:6" x14ac:dyDescent="0.3">
      <c r="A8566" s="8" t="s">
        <v>17090</v>
      </c>
      <c r="B8566" s="8" t="s">
        <v>62168</v>
      </c>
      <c r="C8566" s="8" t="s">
        <v>17091</v>
      </c>
      <c r="D8566" s="8"/>
      <c r="E8566" s="6"/>
      <c r="F8566" s="6"/>
    </row>
    <row r="8567" spans="1:6" x14ac:dyDescent="0.3">
      <c r="A8567" s="8" t="s">
        <v>17092</v>
      </c>
      <c r="B8567" s="8" t="s">
        <v>62169</v>
      </c>
      <c r="C8567" s="8" t="s">
        <v>17093</v>
      </c>
      <c r="D8567" s="8"/>
      <c r="E8567" s="6"/>
      <c r="F8567" s="6"/>
    </row>
    <row r="8568" spans="1:6" x14ac:dyDescent="0.3">
      <c r="A8568" s="8" t="s">
        <v>17094</v>
      </c>
      <c r="B8568" s="8" t="s">
        <v>62170</v>
      </c>
      <c r="C8568" s="8" t="s">
        <v>17095</v>
      </c>
      <c r="D8568" s="8"/>
      <c r="E8568" s="6"/>
      <c r="F8568" s="6"/>
    </row>
    <row r="8569" spans="1:6" x14ac:dyDescent="0.3">
      <c r="A8569" s="8" t="s">
        <v>17096</v>
      </c>
      <c r="B8569" s="8" t="s">
        <v>62171</v>
      </c>
      <c r="C8569" s="8" t="s">
        <v>17097</v>
      </c>
      <c r="D8569" s="8"/>
      <c r="E8569" s="6"/>
      <c r="F8569" s="6"/>
    </row>
    <row r="8570" spans="1:6" x14ac:dyDescent="0.3">
      <c r="A8570" s="8" t="s">
        <v>17098</v>
      </c>
      <c r="B8570" s="8" t="s">
        <v>62172</v>
      </c>
      <c r="C8570" s="8" t="s">
        <v>17099</v>
      </c>
      <c r="D8570" s="8"/>
      <c r="E8570" s="6"/>
      <c r="F8570" s="6"/>
    </row>
    <row r="8571" spans="1:6" x14ac:dyDescent="0.3">
      <c r="A8571" s="8" t="s">
        <v>17100</v>
      </c>
      <c r="B8571" s="8" t="s">
        <v>62173</v>
      </c>
      <c r="C8571" s="8" t="s">
        <v>17101</v>
      </c>
      <c r="D8571" s="8"/>
      <c r="E8571" s="6"/>
      <c r="F8571" s="6"/>
    </row>
    <row r="8572" spans="1:6" x14ac:dyDescent="0.3">
      <c r="A8572" s="8" t="s">
        <v>17102</v>
      </c>
      <c r="B8572" s="8" t="s">
        <v>62174</v>
      </c>
      <c r="C8572" s="8" t="s">
        <v>17103</v>
      </c>
      <c r="D8572" s="8"/>
      <c r="E8572" s="6"/>
      <c r="F8572" s="6"/>
    </row>
    <row r="8573" spans="1:6" x14ac:dyDescent="0.3">
      <c r="A8573" s="8" t="s">
        <v>17104</v>
      </c>
      <c r="B8573" s="8" t="s">
        <v>62175</v>
      </c>
      <c r="C8573" s="8" t="s">
        <v>17105</v>
      </c>
      <c r="D8573" s="8"/>
      <c r="E8573" s="6"/>
      <c r="F8573" s="6"/>
    </row>
    <row r="8574" spans="1:6" x14ac:dyDescent="0.3">
      <c r="A8574" s="8" t="s">
        <v>17106</v>
      </c>
      <c r="B8574" s="8" t="s">
        <v>62176</v>
      </c>
      <c r="C8574" s="8" t="s">
        <v>17107</v>
      </c>
      <c r="D8574" s="8"/>
      <c r="E8574" s="6"/>
      <c r="F8574" s="6"/>
    </row>
    <row r="8575" spans="1:6" x14ac:dyDescent="0.3">
      <c r="A8575" s="8" t="s">
        <v>17108</v>
      </c>
      <c r="B8575" s="8" t="s">
        <v>62177</v>
      </c>
      <c r="C8575" s="8" t="s">
        <v>17109</v>
      </c>
      <c r="D8575" s="8"/>
      <c r="E8575" s="6"/>
      <c r="F8575" s="6"/>
    </row>
    <row r="8576" spans="1:6" x14ac:dyDescent="0.3">
      <c r="A8576" s="8" t="s">
        <v>17110</v>
      </c>
      <c r="B8576" s="8" t="s">
        <v>62178</v>
      </c>
      <c r="C8576" s="8" t="s">
        <v>17111</v>
      </c>
      <c r="D8576" s="8"/>
      <c r="E8576" s="6"/>
      <c r="F8576" s="6"/>
    </row>
    <row r="8577" spans="1:6" x14ac:dyDescent="0.3">
      <c r="A8577" s="8" t="s">
        <v>17112</v>
      </c>
      <c r="B8577" s="8" t="s">
        <v>62179</v>
      </c>
      <c r="C8577" s="8" t="s">
        <v>17113</v>
      </c>
      <c r="D8577" s="8"/>
      <c r="E8577" s="6"/>
      <c r="F8577" s="6"/>
    </row>
    <row r="8578" spans="1:6" x14ac:dyDescent="0.3">
      <c r="A8578" s="8" t="s">
        <v>17114</v>
      </c>
      <c r="B8578" s="8" t="s">
        <v>62180</v>
      </c>
      <c r="C8578" s="8" t="s">
        <v>17115</v>
      </c>
      <c r="D8578" s="8"/>
      <c r="E8578" s="6"/>
      <c r="F8578" s="6"/>
    </row>
    <row r="8579" spans="1:6" x14ac:dyDescent="0.3">
      <c r="A8579" s="8" t="s">
        <v>17116</v>
      </c>
      <c r="B8579" s="8" t="s">
        <v>62181</v>
      </c>
      <c r="C8579" s="8" t="s">
        <v>17117</v>
      </c>
      <c r="D8579" s="8"/>
      <c r="E8579" s="6"/>
      <c r="F8579" s="6"/>
    </row>
    <row r="8580" spans="1:6" x14ac:dyDescent="0.3">
      <c r="A8580" s="8" t="s">
        <v>17118</v>
      </c>
      <c r="B8580" s="8" t="s">
        <v>62182</v>
      </c>
      <c r="C8580" s="8" t="s">
        <v>17119</v>
      </c>
      <c r="D8580" s="8"/>
      <c r="E8580" s="6"/>
      <c r="F8580" s="6"/>
    </row>
    <row r="8581" spans="1:6" x14ac:dyDescent="0.3">
      <c r="A8581" s="8" t="s">
        <v>17120</v>
      </c>
      <c r="B8581" s="8" t="s">
        <v>62183</v>
      </c>
      <c r="C8581" s="8" t="s">
        <v>17121</v>
      </c>
      <c r="D8581" s="8"/>
      <c r="E8581" s="6"/>
      <c r="F8581" s="6"/>
    </row>
    <row r="8582" spans="1:6" x14ac:dyDescent="0.3">
      <c r="A8582" s="8" t="s">
        <v>17122</v>
      </c>
      <c r="B8582" s="8" t="s">
        <v>62184</v>
      </c>
      <c r="C8582" s="8" t="s">
        <v>17123</v>
      </c>
      <c r="D8582" s="8"/>
      <c r="E8582" s="6"/>
      <c r="F8582" s="6"/>
    </row>
    <row r="8583" spans="1:6" x14ac:dyDescent="0.3">
      <c r="A8583" s="8" t="s">
        <v>17124</v>
      </c>
      <c r="B8583" s="8" t="s">
        <v>62185</v>
      </c>
      <c r="C8583" s="8" t="s">
        <v>17125</v>
      </c>
      <c r="D8583" s="8"/>
      <c r="E8583" s="6"/>
      <c r="F8583" s="6"/>
    </row>
    <row r="8584" spans="1:6" x14ac:dyDescent="0.3">
      <c r="A8584" s="8" t="s">
        <v>17126</v>
      </c>
      <c r="B8584" s="8" t="s">
        <v>62186</v>
      </c>
      <c r="C8584" s="8" t="s">
        <v>17127</v>
      </c>
      <c r="D8584" s="8"/>
      <c r="E8584" s="6"/>
      <c r="F8584" s="6"/>
    </row>
    <row r="8585" spans="1:6" x14ac:dyDescent="0.3">
      <c r="A8585" s="8" t="s">
        <v>17128</v>
      </c>
      <c r="B8585" s="8" t="s">
        <v>62187</v>
      </c>
      <c r="C8585" s="8" t="s">
        <v>17129</v>
      </c>
      <c r="D8585" s="8"/>
      <c r="E8585" s="6"/>
      <c r="F8585" s="6"/>
    </row>
    <row r="8586" spans="1:6" x14ac:dyDescent="0.3">
      <c r="A8586" s="8" t="s">
        <v>17130</v>
      </c>
      <c r="B8586" s="8" t="s">
        <v>62188</v>
      </c>
      <c r="C8586" s="8" t="s">
        <v>17131</v>
      </c>
      <c r="D8586" s="8"/>
      <c r="E8586" s="6"/>
      <c r="F8586" s="6"/>
    </row>
    <row r="8587" spans="1:6" x14ac:dyDescent="0.3">
      <c r="A8587" s="8" t="s">
        <v>17132</v>
      </c>
      <c r="B8587" s="8" t="s">
        <v>62189</v>
      </c>
      <c r="C8587" s="8" t="s">
        <v>17133</v>
      </c>
      <c r="D8587" s="8"/>
      <c r="E8587" s="6"/>
      <c r="F8587" s="6"/>
    </row>
    <row r="8588" spans="1:6" x14ac:dyDescent="0.3">
      <c r="A8588" s="8" t="s">
        <v>17134</v>
      </c>
      <c r="B8588" s="8" t="s">
        <v>62190</v>
      </c>
      <c r="C8588" s="8" t="s">
        <v>17135</v>
      </c>
      <c r="D8588" s="8"/>
      <c r="E8588" s="6"/>
      <c r="F8588" s="6"/>
    </row>
    <row r="8589" spans="1:6" x14ac:dyDescent="0.3">
      <c r="A8589" s="8" t="s">
        <v>17136</v>
      </c>
      <c r="B8589" s="8" t="s">
        <v>62191</v>
      </c>
      <c r="C8589" s="8" t="s">
        <v>17137</v>
      </c>
      <c r="D8589" s="8"/>
      <c r="E8589" s="6"/>
      <c r="F8589" s="6"/>
    </row>
    <row r="8590" spans="1:6" x14ac:dyDescent="0.3">
      <c r="A8590" s="8" t="s">
        <v>17138</v>
      </c>
      <c r="B8590" s="8" t="s">
        <v>62192</v>
      </c>
      <c r="C8590" s="8" t="s">
        <v>17139</v>
      </c>
      <c r="D8590" s="8"/>
      <c r="E8590" s="6"/>
      <c r="F8590" s="6"/>
    </row>
    <row r="8591" spans="1:6" x14ac:dyDescent="0.3">
      <c r="A8591" s="8" t="s">
        <v>17140</v>
      </c>
      <c r="B8591" s="8" t="s">
        <v>62193</v>
      </c>
      <c r="C8591" s="8" t="s">
        <v>17141</v>
      </c>
      <c r="D8591" s="8"/>
      <c r="E8591" s="6"/>
      <c r="F8591" s="6"/>
    </row>
    <row r="8592" spans="1:6" x14ac:dyDescent="0.3">
      <c r="A8592" s="8" t="s">
        <v>17142</v>
      </c>
      <c r="B8592" s="8" t="s">
        <v>62194</v>
      </c>
      <c r="C8592" s="8" t="s">
        <v>17143</v>
      </c>
      <c r="D8592" s="8"/>
      <c r="E8592" s="6"/>
      <c r="F8592" s="6"/>
    </row>
    <row r="8593" spans="1:6" x14ac:dyDescent="0.3">
      <c r="A8593" s="8" t="s">
        <v>17144</v>
      </c>
      <c r="B8593" s="8" t="s">
        <v>62195</v>
      </c>
      <c r="C8593" s="8" t="s">
        <v>17145</v>
      </c>
      <c r="D8593" s="8"/>
      <c r="E8593" s="6"/>
      <c r="F8593" s="6"/>
    </row>
    <row r="8594" spans="1:6" x14ac:dyDescent="0.3">
      <c r="A8594" s="8" t="s">
        <v>17146</v>
      </c>
      <c r="B8594" s="8" t="s">
        <v>62196</v>
      </c>
      <c r="C8594" s="8" t="s">
        <v>17147</v>
      </c>
      <c r="D8594" s="8"/>
      <c r="E8594" s="6"/>
      <c r="F8594" s="6"/>
    </row>
    <row r="8595" spans="1:6" x14ac:dyDescent="0.3">
      <c r="A8595" s="8" t="s">
        <v>17148</v>
      </c>
      <c r="B8595" s="8" t="s">
        <v>62197</v>
      </c>
      <c r="C8595" s="8" t="s">
        <v>17149</v>
      </c>
      <c r="D8595" s="8"/>
      <c r="E8595" s="6"/>
      <c r="F8595" s="6"/>
    </row>
    <row r="8596" spans="1:6" x14ac:dyDescent="0.3">
      <c r="A8596" s="8" t="s">
        <v>17150</v>
      </c>
      <c r="B8596" s="8" t="s">
        <v>62198</v>
      </c>
      <c r="C8596" s="8" t="s">
        <v>17151</v>
      </c>
      <c r="D8596" s="8"/>
      <c r="E8596" s="6"/>
      <c r="F8596" s="6"/>
    </row>
    <row r="8597" spans="1:6" x14ac:dyDescent="0.3">
      <c r="A8597" s="8" t="s">
        <v>17152</v>
      </c>
      <c r="B8597" s="8" t="s">
        <v>62199</v>
      </c>
      <c r="C8597" s="8" t="s">
        <v>17153</v>
      </c>
      <c r="D8597" s="8"/>
      <c r="E8597" s="6"/>
      <c r="F8597" s="6"/>
    </row>
    <row r="8598" spans="1:6" x14ac:dyDescent="0.3">
      <c r="A8598" s="8" t="s">
        <v>17154</v>
      </c>
      <c r="B8598" s="8" t="s">
        <v>62200</v>
      </c>
      <c r="C8598" s="8" t="s">
        <v>17155</v>
      </c>
      <c r="D8598" s="8"/>
      <c r="E8598" s="6"/>
      <c r="F8598" s="6"/>
    </row>
    <row r="8599" spans="1:6" x14ac:dyDescent="0.3">
      <c r="A8599" s="8" t="s">
        <v>17156</v>
      </c>
      <c r="B8599" s="8" t="s">
        <v>62201</v>
      </c>
      <c r="C8599" s="8" t="s">
        <v>17157</v>
      </c>
      <c r="D8599" s="8"/>
      <c r="E8599" s="6"/>
      <c r="F8599" s="6"/>
    </row>
    <row r="8600" spans="1:6" x14ac:dyDescent="0.3">
      <c r="A8600" s="8" t="s">
        <v>17158</v>
      </c>
      <c r="B8600" s="8" t="s">
        <v>62202</v>
      </c>
      <c r="C8600" s="8" t="s">
        <v>17159</v>
      </c>
      <c r="D8600" s="8"/>
      <c r="E8600" s="6"/>
      <c r="F8600" s="6"/>
    </row>
    <row r="8601" spans="1:6" x14ac:dyDescent="0.3">
      <c r="A8601" s="8" t="s">
        <v>17160</v>
      </c>
      <c r="B8601" s="8" t="s">
        <v>62203</v>
      </c>
      <c r="C8601" s="8" t="s">
        <v>17161</v>
      </c>
      <c r="D8601" s="8"/>
      <c r="E8601" s="6"/>
      <c r="F8601" s="6"/>
    </row>
    <row r="8602" spans="1:6" x14ac:dyDescent="0.3">
      <c r="A8602" s="8" t="s">
        <v>17162</v>
      </c>
      <c r="B8602" s="8" t="s">
        <v>62204</v>
      </c>
      <c r="C8602" s="8" t="s">
        <v>17163</v>
      </c>
      <c r="D8602" s="8"/>
      <c r="E8602" s="6"/>
      <c r="F8602" s="6"/>
    </row>
    <row r="8603" spans="1:6" x14ac:dyDescent="0.3">
      <c r="A8603" s="8" t="s">
        <v>17164</v>
      </c>
      <c r="B8603" s="8" t="s">
        <v>62205</v>
      </c>
      <c r="C8603" s="8" t="s">
        <v>17165</v>
      </c>
      <c r="D8603" s="8"/>
      <c r="E8603" s="6"/>
      <c r="F8603" s="6"/>
    </row>
    <row r="8604" spans="1:6" x14ac:dyDescent="0.3">
      <c r="A8604" s="8" t="s">
        <v>17166</v>
      </c>
      <c r="B8604" s="8" t="s">
        <v>62206</v>
      </c>
      <c r="C8604" s="8" t="s">
        <v>17167</v>
      </c>
      <c r="D8604" s="8"/>
      <c r="E8604" s="6"/>
      <c r="F8604" s="6"/>
    </row>
    <row r="8605" spans="1:6" x14ac:dyDescent="0.3">
      <c r="A8605" s="8" t="s">
        <v>17168</v>
      </c>
      <c r="B8605" s="8" t="s">
        <v>62207</v>
      </c>
      <c r="C8605" s="8" t="s">
        <v>17169</v>
      </c>
      <c r="D8605" s="8"/>
      <c r="E8605" s="6"/>
      <c r="F8605" s="6"/>
    </row>
    <row r="8606" spans="1:6" x14ac:dyDescent="0.3">
      <c r="A8606" s="8" t="s">
        <v>17170</v>
      </c>
      <c r="B8606" s="8" t="s">
        <v>62208</v>
      </c>
      <c r="C8606" s="8" t="s">
        <v>17171</v>
      </c>
      <c r="D8606" s="8"/>
      <c r="E8606" s="6"/>
      <c r="F8606" s="6"/>
    </row>
    <row r="8607" spans="1:6" x14ac:dyDescent="0.3">
      <c r="A8607" s="8" t="s">
        <v>17172</v>
      </c>
      <c r="B8607" s="8" t="s">
        <v>62209</v>
      </c>
      <c r="C8607" s="8" t="s">
        <v>17173</v>
      </c>
      <c r="D8607" s="8"/>
      <c r="E8607" s="6"/>
      <c r="F8607" s="6"/>
    </row>
    <row r="8608" spans="1:6" x14ac:dyDescent="0.3">
      <c r="A8608" s="8" t="s">
        <v>17174</v>
      </c>
      <c r="B8608" s="8" t="s">
        <v>62210</v>
      </c>
      <c r="C8608" s="8" t="s">
        <v>17175</v>
      </c>
      <c r="D8608" s="8"/>
      <c r="E8608" s="6"/>
      <c r="F8608" s="6"/>
    </row>
    <row r="8609" spans="1:6" x14ac:dyDescent="0.3">
      <c r="A8609" s="8" t="s">
        <v>17176</v>
      </c>
      <c r="B8609" s="8" t="s">
        <v>62211</v>
      </c>
      <c r="C8609" s="8" t="s">
        <v>17177</v>
      </c>
      <c r="D8609" s="8"/>
      <c r="E8609" s="6"/>
      <c r="F8609" s="6"/>
    </row>
    <row r="8610" spans="1:6" x14ac:dyDescent="0.3">
      <c r="A8610" s="8" t="s">
        <v>17178</v>
      </c>
      <c r="B8610" s="8" t="s">
        <v>62212</v>
      </c>
      <c r="C8610" s="8" t="s">
        <v>17179</v>
      </c>
      <c r="D8610" s="8"/>
      <c r="E8610" s="6"/>
      <c r="F8610" s="6"/>
    </row>
    <row r="8611" spans="1:6" x14ac:dyDescent="0.3">
      <c r="A8611" s="8" t="s">
        <v>17180</v>
      </c>
      <c r="B8611" s="8" t="s">
        <v>62213</v>
      </c>
      <c r="C8611" s="8" t="s">
        <v>17181</v>
      </c>
      <c r="D8611" s="8"/>
      <c r="E8611" s="6"/>
      <c r="F8611" s="6"/>
    </row>
    <row r="8612" spans="1:6" x14ac:dyDescent="0.3">
      <c r="A8612" s="8" t="s">
        <v>17182</v>
      </c>
      <c r="B8612" s="8" t="s">
        <v>62214</v>
      </c>
      <c r="C8612" s="8" t="s">
        <v>17183</v>
      </c>
      <c r="D8612" s="8"/>
      <c r="E8612" s="6"/>
      <c r="F8612" s="6"/>
    </row>
    <row r="8613" spans="1:6" x14ac:dyDescent="0.3">
      <c r="A8613" s="8" t="s">
        <v>17184</v>
      </c>
      <c r="B8613" s="8" t="s">
        <v>62215</v>
      </c>
      <c r="C8613" s="8" t="s">
        <v>17185</v>
      </c>
      <c r="D8613" s="8"/>
      <c r="E8613" s="6"/>
      <c r="F8613" s="6"/>
    </row>
    <row r="8614" spans="1:6" x14ac:dyDescent="0.3">
      <c r="A8614" s="8" t="s">
        <v>17186</v>
      </c>
      <c r="B8614" s="8" t="s">
        <v>62216</v>
      </c>
      <c r="C8614" s="8" t="s">
        <v>17187</v>
      </c>
      <c r="D8614" s="8"/>
      <c r="E8614" s="6"/>
      <c r="F8614" s="6"/>
    </row>
    <row r="8615" spans="1:6" x14ac:dyDescent="0.3">
      <c r="A8615" s="8" t="s">
        <v>17188</v>
      </c>
      <c r="B8615" s="8" t="s">
        <v>62217</v>
      </c>
      <c r="C8615" s="8" t="s">
        <v>17189</v>
      </c>
      <c r="D8615" s="8"/>
      <c r="E8615" s="6"/>
      <c r="F8615" s="6"/>
    </row>
    <row r="8616" spans="1:6" x14ac:dyDescent="0.3">
      <c r="A8616" s="8" t="s">
        <v>17190</v>
      </c>
      <c r="B8616" s="8" t="s">
        <v>62218</v>
      </c>
      <c r="C8616" s="8" t="s">
        <v>17191</v>
      </c>
      <c r="D8616" s="8"/>
      <c r="E8616" s="6"/>
      <c r="F8616" s="6"/>
    </row>
    <row r="8617" spans="1:6" x14ac:dyDescent="0.3">
      <c r="A8617" s="8" t="s">
        <v>17192</v>
      </c>
      <c r="B8617" s="8" t="s">
        <v>62219</v>
      </c>
      <c r="C8617" s="8" t="s">
        <v>17193</v>
      </c>
      <c r="D8617" s="8"/>
      <c r="E8617" s="6"/>
      <c r="F8617" s="6"/>
    </row>
    <row r="8618" spans="1:6" x14ac:dyDescent="0.3">
      <c r="A8618" s="8" t="s">
        <v>17194</v>
      </c>
      <c r="B8618" s="8" t="s">
        <v>62220</v>
      </c>
      <c r="C8618" s="8" t="s">
        <v>17195</v>
      </c>
      <c r="D8618" s="8"/>
      <c r="E8618" s="6"/>
      <c r="F8618" s="6"/>
    </row>
    <row r="8619" spans="1:6" x14ac:dyDescent="0.3">
      <c r="A8619" s="8" t="s">
        <v>17196</v>
      </c>
      <c r="B8619" s="8" t="s">
        <v>62221</v>
      </c>
      <c r="C8619" s="8" t="s">
        <v>17197</v>
      </c>
      <c r="D8619" s="8"/>
      <c r="E8619" s="6"/>
      <c r="F8619" s="6"/>
    </row>
    <row r="8620" spans="1:6" x14ac:dyDescent="0.3">
      <c r="A8620" s="8" t="s">
        <v>17198</v>
      </c>
      <c r="B8620" s="8" t="s">
        <v>62222</v>
      </c>
      <c r="C8620" s="8" t="s">
        <v>17199</v>
      </c>
      <c r="D8620" s="8"/>
      <c r="E8620" s="6"/>
      <c r="F8620" s="6"/>
    </row>
    <row r="8621" spans="1:6" x14ac:dyDescent="0.3">
      <c r="A8621" s="8" t="s">
        <v>17200</v>
      </c>
      <c r="B8621" s="8" t="s">
        <v>62223</v>
      </c>
      <c r="C8621" s="8" t="s">
        <v>17201</v>
      </c>
      <c r="D8621" s="8"/>
      <c r="E8621" s="6"/>
      <c r="F8621" s="6"/>
    </row>
    <row r="8622" spans="1:6" x14ac:dyDescent="0.3">
      <c r="A8622" s="8" t="s">
        <v>17202</v>
      </c>
      <c r="B8622" s="8" t="s">
        <v>62224</v>
      </c>
      <c r="C8622" s="8" t="s">
        <v>17203</v>
      </c>
      <c r="D8622" s="8"/>
      <c r="E8622" s="6"/>
      <c r="F8622" s="6"/>
    </row>
    <row r="8623" spans="1:6" x14ac:dyDescent="0.3">
      <c r="A8623" s="8" t="s">
        <v>17204</v>
      </c>
      <c r="B8623" s="8" t="s">
        <v>62225</v>
      </c>
      <c r="C8623" s="8" t="s">
        <v>17205</v>
      </c>
      <c r="D8623" s="8"/>
      <c r="E8623" s="6"/>
      <c r="F8623" s="6"/>
    </row>
    <row r="8624" spans="1:6" x14ac:dyDescent="0.3">
      <c r="A8624" s="8" t="s">
        <v>17206</v>
      </c>
      <c r="B8624" s="8" t="s">
        <v>62226</v>
      </c>
      <c r="C8624" s="8" t="s">
        <v>17207</v>
      </c>
      <c r="D8624" s="8"/>
      <c r="E8624" s="6"/>
      <c r="F8624" s="6"/>
    </row>
    <row r="8625" spans="1:6" x14ac:dyDescent="0.3">
      <c r="A8625" s="8" t="s">
        <v>17208</v>
      </c>
      <c r="B8625" s="8" t="s">
        <v>62227</v>
      </c>
      <c r="C8625" s="8" t="s">
        <v>17209</v>
      </c>
      <c r="D8625" s="8"/>
      <c r="E8625" s="6"/>
      <c r="F8625" s="6"/>
    </row>
    <row r="8626" spans="1:6" x14ac:dyDescent="0.3">
      <c r="A8626" s="8" t="s">
        <v>17210</v>
      </c>
      <c r="B8626" s="8" t="s">
        <v>62228</v>
      </c>
      <c r="C8626" s="8" t="s">
        <v>17211</v>
      </c>
      <c r="D8626" s="8"/>
      <c r="E8626" s="6"/>
      <c r="F8626" s="6"/>
    </row>
    <row r="8627" spans="1:6" x14ac:dyDescent="0.3">
      <c r="A8627" s="8" t="s">
        <v>17212</v>
      </c>
      <c r="B8627" s="8" t="s">
        <v>62229</v>
      </c>
      <c r="C8627" s="8" t="s">
        <v>17213</v>
      </c>
      <c r="D8627" s="8"/>
      <c r="E8627" s="6"/>
      <c r="F8627" s="6"/>
    </row>
    <row r="8628" spans="1:6" x14ac:dyDescent="0.3">
      <c r="A8628" s="8" t="s">
        <v>17214</v>
      </c>
      <c r="B8628" s="8" t="s">
        <v>62230</v>
      </c>
      <c r="C8628" s="8" t="s">
        <v>17215</v>
      </c>
      <c r="D8628" s="8"/>
      <c r="E8628" s="6"/>
      <c r="F8628" s="6"/>
    </row>
    <row r="8629" spans="1:6" x14ac:dyDescent="0.3">
      <c r="A8629" s="8" t="s">
        <v>17216</v>
      </c>
      <c r="B8629" s="8" t="s">
        <v>62231</v>
      </c>
      <c r="C8629" s="8" t="s">
        <v>17217</v>
      </c>
      <c r="D8629" s="8"/>
      <c r="E8629" s="6"/>
      <c r="F8629" s="6"/>
    </row>
    <row r="8630" spans="1:6" x14ac:dyDescent="0.3">
      <c r="A8630" s="8" t="s">
        <v>17218</v>
      </c>
      <c r="B8630" s="8" t="s">
        <v>62232</v>
      </c>
      <c r="C8630" s="8" t="s">
        <v>17219</v>
      </c>
      <c r="D8630" s="8"/>
      <c r="E8630" s="6"/>
      <c r="F8630" s="6"/>
    </row>
    <row r="8631" spans="1:6" x14ac:dyDescent="0.3">
      <c r="A8631" s="8" t="s">
        <v>17220</v>
      </c>
      <c r="B8631" s="8" t="s">
        <v>62233</v>
      </c>
      <c r="C8631" s="8" t="s">
        <v>17221</v>
      </c>
      <c r="D8631" s="8"/>
      <c r="E8631" s="6"/>
      <c r="F8631" s="6"/>
    </row>
    <row r="8632" spans="1:6" x14ac:dyDescent="0.3">
      <c r="A8632" s="8" t="s">
        <v>17222</v>
      </c>
      <c r="B8632" s="8" t="s">
        <v>62234</v>
      </c>
      <c r="C8632" s="8" t="s">
        <v>17223</v>
      </c>
      <c r="D8632" s="8"/>
      <c r="E8632" s="6"/>
      <c r="F8632" s="6"/>
    </row>
    <row r="8633" spans="1:6" x14ac:dyDescent="0.3">
      <c r="A8633" s="8" t="s">
        <v>17224</v>
      </c>
      <c r="B8633" s="8" t="s">
        <v>62235</v>
      </c>
      <c r="C8633" s="8" t="s">
        <v>17225</v>
      </c>
      <c r="D8633" s="8"/>
      <c r="E8633" s="6"/>
      <c r="F8633" s="6"/>
    </row>
    <row r="8634" spans="1:6" x14ac:dyDescent="0.3">
      <c r="A8634" s="8" t="s">
        <v>17226</v>
      </c>
      <c r="B8634" s="8" t="s">
        <v>62236</v>
      </c>
      <c r="C8634" s="8" t="s">
        <v>17227</v>
      </c>
      <c r="D8634" s="8"/>
      <c r="E8634" s="6"/>
      <c r="F8634" s="6"/>
    </row>
    <row r="8635" spans="1:6" x14ac:dyDescent="0.3">
      <c r="A8635" s="8" t="s">
        <v>17228</v>
      </c>
      <c r="B8635" s="8" t="s">
        <v>62237</v>
      </c>
      <c r="C8635" s="8" t="s">
        <v>17229</v>
      </c>
      <c r="D8635" s="8"/>
      <c r="E8635" s="6"/>
      <c r="F8635" s="6"/>
    </row>
    <row r="8636" spans="1:6" x14ac:dyDescent="0.3">
      <c r="A8636" s="8" t="s">
        <v>17230</v>
      </c>
      <c r="B8636" s="8" t="s">
        <v>62238</v>
      </c>
      <c r="C8636" s="8" t="s">
        <v>17231</v>
      </c>
      <c r="D8636" s="8"/>
      <c r="E8636" s="6"/>
      <c r="F8636" s="6"/>
    </row>
    <row r="8637" spans="1:6" x14ac:dyDescent="0.3">
      <c r="A8637" s="8" t="s">
        <v>17232</v>
      </c>
      <c r="B8637" s="8" t="s">
        <v>62239</v>
      </c>
      <c r="C8637" s="8" t="s">
        <v>17233</v>
      </c>
      <c r="D8637" s="8"/>
      <c r="E8637" s="6"/>
      <c r="F8637" s="6"/>
    </row>
    <row r="8638" spans="1:6" x14ac:dyDescent="0.3">
      <c r="A8638" s="8" t="s">
        <v>17234</v>
      </c>
      <c r="B8638" s="8" t="s">
        <v>62240</v>
      </c>
      <c r="C8638" s="8" t="s">
        <v>17235</v>
      </c>
      <c r="D8638" s="8"/>
      <c r="E8638" s="6"/>
      <c r="F8638" s="6"/>
    </row>
    <row r="8639" spans="1:6" x14ac:dyDescent="0.3">
      <c r="A8639" s="8" t="s">
        <v>17236</v>
      </c>
      <c r="B8639" s="8" t="s">
        <v>62241</v>
      </c>
      <c r="C8639" s="8" t="s">
        <v>17237</v>
      </c>
      <c r="D8639" s="8"/>
      <c r="E8639" s="6"/>
      <c r="F8639" s="6"/>
    </row>
    <row r="8640" spans="1:6" x14ac:dyDescent="0.3">
      <c r="A8640" s="8" t="s">
        <v>17238</v>
      </c>
      <c r="B8640" s="8" t="s">
        <v>62242</v>
      </c>
      <c r="C8640" s="8" t="s">
        <v>17239</v>
      </c>
      <c r="D8640" s="8"/>
      <c r="E8640" s="6"/>
      <c r="F8640" s="6"/>
    </row>
    <row r="8641" spans="1:6" x14ac:dyDescent="0.3">
      <c r="A8641" s="8" t="s">
        <v>17240</v>
      </c>
      <c r="B8641" s="8" t="s">
        <v>62243</v>
      </c>
      <c r="C8641" s="8" t="s">
        <v>17241</v>
      </c>
      <c r="D8641" s="8"/>
      <c r="E8641" s="6"/>
      <c r="F8641" s="6"/>
    </row>
    <row r="8642" spans="1:6" x14ac:dyDescent="0.3">
      <c r="A8642" s="8" t="s">
        <v>17242</v>
      </c>
      <c r="B8642" s="8" t="s">
        <v>62244</v>
      </c>
      <c r="C8642" s="8" t="s">
        <v>17243</v>
      </c>
      <c r="D8642" s="8"/>
      <c r="E8642" s="6"/>
      <c r="F8642" s="6"/>
    </row>
    <row r="8643" spans="1:6" x14ac:dyDescent="0.3">
      <c r="A8643" s="8" t="s">
        <v>17244</v>
      </c>
      <c r="B8643" s="8" t="s">
        <v>62245</v>
      </c>
      <c r="C8643" s="8" t="s">
        <v>17245</v>
      </c>
      <c r="D8643" s="8"/>
      <c r="E8643" s="6"/>
      <c r="F8643" s="6"/>
    </row>
    <row r="8644" spans="1:6" x14ac:dyDescent="0.3">
      <c r="A8644" s="8" t="s">
        <v>17246</v>
      </c>
      <c r="B8644" s="8" t="s">
        <v>62246</v>
      </c>
      <c r="C8644" s="8" t="s">
        <v>17247</v>
      </c>
      <c r="D8644" s="8"/>
      <c r="E8644" s="6"/>
      <c r="F8644" s="6"/>
    </row>
    <row r="8645" spans="1:6" x14ac:dyDescent="0.3">
      <c r="A8645" s="8" t="s">
        <v>17248</v>
      </c>
      <c r="B8645" s="8" t="s">
        <v>62247</v>
      </c>
      <c r="C8645" s="8" t="s">
        <v>17249</v>
      </c>
      <c r="D8645" s="8"/>
      <c r="E8645" s="6"/>
      <c r="F8645" s="6"/>
    </row>
    <row r="8646" spans="1:6" x14ac:dyDescent="0.3">
      <c r="A8646" s="8" t="s">
        <v>17250</v>
      </c>
      <c r="B8646" s="8" t="s">
        <v>62248</v>
      </c>
      <c r="C8646" s="8" t="s">
        <v>17251</v>
      </c>
      <c r="D8646" s="8"/>
      <c r="E8646" s="6"/>
      <c r="F8646" s="6"/>
    </row>
    <row r="8647" spans="1:6" x14ac:dyDescent="0.3">
      <c r="A8647" s="8" t="s">
        <v>17252</v>
      </c>
      <c r="B8647" s="8" t="s">
        <v>62249</v>
      </c>
      <c r="C8647" s="8" t="s">
        <v>17253</v>
      </c>
      <c r="D8647" s="8"/>
      <c r="E8647" s="6"/>
      <c r="F8647" s="6"/>
    </row>
    <row r="8648" spans="1:6" x14ac:dyDescent="0.3">
      <c r="A8648" s="8" t="s">
        <v>17254</v>
      </c>
      <c r="B8648" s="8" t="s">
        <v>62250</v>
      </c>
      <c r="C8648" s="8" t="s">
        <v>17255</v>
      </c>
      <c r="D8648" s="8"/>
      <c r="E8648" s="6"/>
      <c r="F8648" s="6"/>
    </row>
    <row r="8649" spans="1:6" x14ac:dyDescent="0.3">
      <c r="A8649" s="8" t="s">
        <v>17256</v>
      </c>
      <c r="B8649" s="8" t="s">
        <v>62251</v>
      </c>
      <c r="C8649" s="8" t="s">
        <v>17257</v>
      </c>
      <c r="D8649" s="8"/>
      <c r="E8649" s="6"/>
      <c r="F8649" s="6"/>
    </row>
    <row r="8650" spans="1:6" x14ac:dyDescent="0.3">
      <c r="A8650" s="8" t="s">
        <v>17258</v>
      </c>
      <c r="B8650" s="8" t="s">
        <v>62252</v>
      </c>
      <c r="C8650" s="8" t="s">
        <v>17259</v>
      </c>
      <c r="D8650" s="8"/>
      <c r="E8650" s="6"/>
      <c r="F8650" s="6"/>
    </row>
    <row r="8651" spans="1:6" x14ac:dyDescent="0.3">
      <c r="A8651" s="8" t="s">
        <v>17260</v>
      </c>
      <c r="B8651" s="8" t="s">
        <v>62253</v>
      </c>
      <c r="C8651" s="8" t="s">
        <v>17261</v>
      </c>
      <c r="D8651" s="8"/>
      <c r="E8651" s="6"/>
      <c r="F8651" s="6"/>
    </row>
    <row r="8652" spans="1:6" x14ac:dyDescent="0.3">
      <c r="A8652" s="8" t="s">
        <v>17262</v>
      </c>
      <c r="B8652" s="8" t="s">
        <v>62254</v>
      </c>
      <c r="C8652" s="8" t="s">
        <v>17263</v>
      </c>
      <c r="D8652" s="8"/>
      <c r="E8652" s="6"/>
      <c r="F8652" s="6"/>
    </row>
    <row r="8653" spans="1:6" x14ac:dyDescent="0.3">
      <c r="A8653" s="8" t="s">
        <v>17264</v>
      </c>
      <c r="B8653" s="8" t="s">
        <v>62255</v>
      </c>
      <c r="C8653" s="8" t="s">
        <v>17265</v>
      </c>
      <c r="D8653" s="8"/>
      <c r="E8653" s="6"/>
      <c r="F8653" s="6"/>
    </row>
    <row r="8654" spans="1:6" x14ac:dyDescent="0.3">
      <c r="A8654" s="8" t="s">
        <v>17266</v>
      </c>
      <c r="B8654" s="8" t="s">
        <v>62256</v>
      </c>
      <c r="C8654" s="8" t="s">
        <v>17267</v>
      </c>
      <c r="D8654" s="8"/>
      <c r="E8654" s="6"/>
      <c r="F8654" s="6"/>
    </row>
    <row r="8655" spans="1:6" x14ac:dyDescent="0.3">
      <c r="A8655" s="8" t="s">
        <v>17268</v>
      </c>
      <c r="B8655" s="8" t="s">
        <v>62257</v>
      </c>
      <c r="C8655" s="8" t="s">
        <v>17269</v>
      </c>
      <c r="D8655" s="8"/>
      <c r="E8655" s="6"/>
      <c r="F8655" s="6"/>
    </row>
    <row r="8656" spans="1:6" x14ac:dyDescent="0.3">
      <c r="A8656" s="8" t="s">
        <v>17270</v>
      </c>
      <c r="B8656" s="8" t="s">
        <v>62258</v>
      </c>
      <c r="C8656" s="8" t="s">
        <v>17271</v>
      </c>
      <c r="D8656" s="8"/>
      <c r="E8656" s="6"/>
      <c r="F8656" s="6"/>
    </row>
    <row r="8657" spans="1:6" x14ac:dyDescent="0.3">
      <c r="A8657" s="8" t="s">
        <v>17272</v>
      </c>
      <c r="B8657" s="8" t="s">
        <v>62259</v>
      </c>
      <c r="C8657" s="8" t="s">
        <v>17273</v>
      </c>
      <c r="D8657" s="8"/>
      <c r="E8657" s="6"/>
      <c r="F8657" s="6"/>
    </row>
    <row r="8658" spans="1:6" x14ac:dyDescent="0.3">
      <c r="A8658" s="8" t="s">
        <v>17274</v>
      </c>
      <c r="B8658" s="8" t="s">
        <v>62260</v>
      </c>
      <c r="C8658" s="8" t="s">
        <v>17275</v>
      </c>
      <c r="D8658" s="8"/>
      <c r="E8658" s="6"/>
      <c r="F8658" s="6"/>
    </row>
    <row r="8659" spans="1:6" x14ac:dyDescent="0.3">
      <c r="A8659" s="8" t="s">
        <v>17276</v>
      </c>
      <c r="B8659" s="8" t="s">
        <v>62261</v>
      </c>
      <c r="C8659" s="8" t="s">
        <v>17277</v>
      </c>
      <c r="D8659" s="8"/>
      <c r="E8659" s="6"/>
      <c r="F8659" s="6"/>
    </row>
    <row r="8660" spans="1:6" x14ac:dyDescent="0.3">
      <c r="A8660" s="8" t="s">
        <v>17278</v>
      </c>
      <c r="B8660" s="8" t="s">
        <v>62262</v>
      </c>
      <c r="C8660" s="8" t="s">
        <v>17279</v>
      </c>
      <c r="D8660" s="8"/>
      <c r="E8660" s="6"/>
      <c r="F8660" s="6"/>
    </row>
    <row r="8661" spans="1:6" x14ac:dyDescent="0.3">
      <c r="A8661" s="8" t="s">
        <v>17280</v>
      </c>
      <c r="B8661" s="8" t="s">
        <v>62263</v>
      </c>
      <c r="C8661" s="8" t="s">
        <v>17281</v>
      </c>
      <c r="D8661" s="8"/>
      <c r="E8661" s="6"/>
      <c r="F8661" s="6"/>
    </row>
    <row r="8662" spans="1:6" x14ac:dyDescent="0.3">
      <c r="A8662" s="8" t="s">
        <v>17282</v>
      </c>
      <c r="B8662" s="8" t="s">
        <v>62264</v>
      </c>
      <c r="C8662" s="8" t="s">
        <v>17283</v>
      </c>
      <c r="D8662" s="8"/>
      <c r="E8662" s="6"/>
      <c r="F8662" s="6"/>
    </row>
    <row r="8663" spans="1:6" x14ac:dyDescent="0.3">
      <c r="A8663" s="8" t="s">
        <v>17284</v>
      </c>
      <c r="B8663" s="8" t="s">
        <v>62265</v>
      </c>
      <c r="C8663" s="8" t="s">
        <v>17285</v>
      </c>
      <c r="D8663" s="8"/>
      <c r="E8663" s="6"/>
      <c r="F8663" s="6"/>
    </row>
    <row r="8664" spans="1:6" x14ac:dyDescent="0.3">
      <c r="A8664" s="8" t="s">
        <v>17286</v>
      </c>
      <c r="B8664" s="8" t="s">
        <v>62266</v>
      </c>
      <c r="C8664" s="8" t="s">
        <v>17287</v>
      </c>
      <c r="D8664" s="8"/>
      <c r="E8664" s="6"/>
      <c r="F8664" s="6"/>
    </row>
    <row r="8665" spans="1:6" x14ac:dyDescent="0.3">
      <c r="A8665" s="8" t="s">
        <v>17288</v>
      </c>
      <c r="B8665" s="8" t="s">
        <v>62267</v>
      </c>
      <c r="C8665" s="8" t="s">
        <v>17289</v>
      </c>
      <c r="D8665" s="8"/>
      <c r="E8665" s="6"/>
      <c r="F8665" s="6"/>
    </row>
    <row r="8666" spans="1:6" x14ac:dyDescent="0.3">
      <c r="A8666" s="8" t="s">
        <v>17290</v>
      </c>
      <c r="B8666" s="8" t="s">
        <v>62268</v>
      </c>
      <c r="C8666" s="8" t="s">
        <v>17291</v>
      </c>
      <c r="D8666" s="8"/>
      <c r="E8666" s="6"/>
      <c r="F8666" s="6"/>
    </row>
    <row r="8667" spans="1:6" x14ac:dyDescent="0.3">
      <c r="A8667" s="8" t="s">
        <v>17292</v>
      </c>
      <c r="B8667" s="8" t="s">
        <v>62269</v>
      </c>
      <c r="C8667" s="8" t="s">
        <v>17293</v>
      </c>
      <c r="D8667" s="8"/>
      <c r="E8667" s="6"/>
      <c r="F8667" s="6"/>
    </row>
    <row r="8668" spans="1:6" x14ac:dyDescent="0.3">
      <c r="A8668" s="8" t="s">
        <v>17294</v>
      </c>
      <c r="B8668" s="8" t="s">
        <v>62270</v>
      </c>
      <c r="C8668" s="8" t="s">
        <v>17295</v>
      </c>
      <c r="D8668" s="8"/>
      <c r="E8668" s="6"/>
      <c r="F8668" s="6"/>
    </row>
    <row r="8669" spans="1:6" x14ac:dyDescent="0.3">
      <c r="A8669" s="8" t="s">
        <v>17296</v>
      </c>
      <c r="B8669" s="8" t="s">
        <v>62271</v>
      </c>
      <c r="C8669" s="8" t="s">
        <v>17297</v>
      </c>
      <c r="D8669" s="8"/>
      <c r="E8669" s="6"/>
      <c r="F8669" s="6"/>
    </row>
    <row r="8670" spans="1:6" x14ac:dyDescent="0.3">
      <c r="A8670" s="8" t="s">
        <v>17298</v>
      </c>
      <c r="B8670" s="8" t="s">
        <v>62272</v>
      </c>
      <c r="C8670" s="8" t="s">
        <v>17299</v>
      </c>
      <c r="D8670" s="8"/>
      <c r="E8670" s="6"/>
      <c r="F8670" s="6"/>
    </row>
    <row r="8671" spans="1:6" x14ac:dyDescent="0.3">
      <c r="A8671" s="8" t="s">
        <v>17300</v>
      </c>
      <c r="B8671" s="8" t="s">
        <v>62273</v>
      </c>
      <c r="C8671" s="8" t="s">
        <v>17301</v>
      </c>
      <c r="D8671" s="8"/>
      <c r="E8671" s="6"/>
      <c r="F8671" s="6"/>
    </row>
    <row r="8672" spans="1:6" x14ac:dyDescent="0.3">
      <c r="A8672" s="8" t="s">
        <v>17302</v>
      </c>
      <c r="B8672" s="8" t="s">
        <v>62274</v>
      </c>
      <c r="C8672" s="8" t="s">
        <v>17303</v>
      </c>
      <c r="D8672" s="8"/>
      <c r="E8672" s="6"/>
      <c r="F8672" s="6"/>
    </row>
    <row r="8673" spans="1:6" x14ac:dyDescent="0.3">
      <c r="A8673" s="8" t="s">
        <v>17304</v>
      </c>
      <c r="B8673" s="8" t="s">
        <v>62275</v>
      </c>
      <c r="C8673" s="8" t="s">
        <v>17305</v>
      </c>
      <c r="D8673" s="8"/>
      <c r="E8673" s="6"/>
      <c r="F8673" s="6"/>
    </row>
    <row r="8674" spans="1:6" x14ac:dyDescent="0.3">
      <c r="A8674" s="8" t="s">
        <v>17306</v>
      </c>
      <c r="B8674" s="8" t="s">
        <v>62276</v>
      </c>
      <c r="C8674" s="8" t="s">
        <v>17307</v>
      </c>
      <c r="D8674" s="8"/>
      <c r="E8674" s="6"/>
      <c r="F8674" s="6"/>
    </row>
    <row r="8675" spans="1:6" x14ac:dyDescent="0.3">
      <c r="A8675" s="8" t="s">
        <v>17308</v>
      </c>
      <c r="B8675" s="8" t="s">
        <v>62277</v>
      </c>
      <c r="C8675" s="8" t="s">
        <v>17309</v>
      </c>
      <c r="D8675" s="8"/>
      <c r="E8675" s="6"/>
      <c r="F8675" s="6"/>
    </row>
    <row r="8676" spans="1:6" x14ac:dyDescent="0.3">
      <c r="A8676" s="8" t="s">
        <v>17310</v>
      </c>
      <c r="B8676" s="8" t="s">
        <v>62278</v>
      </c>
      <c r="C8676" s="8" t="s">
        <v>17311</v>
      </c>
      <c r="D8676" s="8"/>
      <c r="E8676" s="6"/>
      <c r="F8676" s="6"/>
    </row>
    <row r="8677" spans="1:6" x14ac:dyDescent="0.3">
      <c r="A8677" s="8" t="s">
        <v>17312</v>
      </c>
      <c r="B8677" s="8" t="s">
        <v>62279</v>
      </c>
      <c r="C8677" s="8" t="s">
        <v>17313</v>
      </c>
      <c r="D8677" s="8"/>
      <c r="E8677" s="6"/>
      <c r="F8677" s="6"/>
    </row>
    <row r="8678" spans="1:6" x14ac:dyDescent="0.3">
      <c r="A8678" s="8" t="s">
        <v>17314</v>
      </c>
      <c r="B8678" s="8" t="s">
        <v>62280</v>
      </c>
      <c r="C8678" s="8" t="s">
        <v>17315</v>
      </c>
      <c r="D8678" s="8"/>
      <c r="E8678" s="6"/>
      <c r="F8678" s="6"/>
    </row>
    <row r="8679" spans="1:6" x14ac:dyDescent="0.3">
      <c r="A8679" s="8" t="s">
        <v>17316</v>
      </c>
      <c r="B8679" s="8" t="s">
        <v>62281</v>
      </c>
      <c r="C8679" s="8" t="s">
        <v>17317</v>
      </c>
      <c r="D8679" s="8"/>
      <c r="E8679" s="6"/>
      <c r="F8679" s="6"/>
    </row>
    <row r="8680" spans="1:6" x14ac:dyDescent="0.3">
      <c r="A8680" s="8" t="s">
        <v>17318</v>
      </c>
      <c r="B8680" s="8" t="s">
        <v>62282</v>
      </c>
      <c r="C8680" s="8" t="s">
        <v>17319</v>
      </c>
      <c r="D8680" s="8"/>
      <c r="E8680" s="6"/>
      <c r="F8680" s="6"/>
    </row>
    <row r="8681" spans="1:6" x14ac:dyDescent="0.3">
      <c r="A8681" s="8" t="s">
        <v>17320</v>
      </c>
      <c r="B8681" s="8" t="s">
        <v>62283</v>
      </c>
      <c r="C8681" s="8" t="s">
        <v>17321</v>
      </c>
      <c r="D8681" s="8"/>
      <c r="E8681" s="6"/>
      <c r="F8681" s="6"/>
    </row>
    <row r="8682" spans="1:6" x14ac:dyDescent="0.3">
      <c r="A8682" s="8" t="s">
        <v>17322</v>
      </c>
      <c r="B8682" s="8" t="s">
        <v>62284</v>
      </c>
      <c r="C8682" s="8" t="s">
        <v>17323</v>
      </c>
      <c r="D8682" s="8"/>
      <c r="E8682" s="6"/>
      <c r="F8682" s="6"/>
    </row>
    <row r="8683" spans="1:6" x14ac:dyDescent="0.3">
      <c r="A8683" s="8" t="s">
        <v>17324</v>
      </c>
      <c r="B8683" s="8" t="s">
        <v>62285</v>
      </c>
      <c r="C8683" s="8" t="s">
        <v>17325</v>
      </c>
      <c r="D8683" s="8"/>
      <c r="E8683" s="6"/>
      <c r="F8683" s="6"/>
    </row>
    <row r="8684" spans="1:6" x14ac:dyDescent="0.3">
      <c r="A8684" s="8" t="s">
        <v>17326</v>
      </c>
      <c r="B8684" s="8" t="s">
        <v>62286</v>
      </c>
      <c r="C8684" s="8" t="s">
        <v>17327</v>
      </c>
      <c r="D8684" s="8"/>
      <c r="E8684" s="6"/>
      <c r="F8684" s="6"/>
    </row>
    <row r="8685" spans="1:6" x14ac:dyDescent="0.3">
      <c r="A8685" s="8" t="s">
        <v>17328</v>
      </c>
      <c r="B8685" s="8" t="s">
        <v>62287</v>
      </c>
      <c r="C8685" s="8" t="s">
        <v>17329</v>
      </c>
      <c r="D8685" s="8"/>
      <c r="E8685" s="6"/>
      <c r="F8685" s="6"/>
    </row>
    <row r="8686" spans="1:6" x14ac:dyDescent="0.3">
      <c r="A8686" s="8" t="s">
        <v>17330</v>
      </c>
      <c r="B8686" s="8" t="s">
        <v>62288</v>
      </c>
      <c r="C8686" s="8" t="s">
        <v>17331</v>
      </c>
      <c r="D8686" s="8"/>
      <c r="E8686" s="6"/>
      <c r="F8686" s="6"/>
    </row>
    <row r="8687" spans="1:6" x14ac:dyDescent="0.3">
      <c r="A8687" s="8" t="s">
        <v>17332</v>
      </c>
      <c r="B8687" s="8" t="s">
        <v>62289</v>
      </c>
      <c r="C8687" s="8" t="s">
        <v>17333</v>
      </c>
      <c r="D8687" s="8"/>
      <c r="E8687" s="6"/>
      <c r="F8687" s="6"/>
    </row>
    <row r="8688" spans="1:6" x14ac:dyDescent="0.3">
      <c r="A8688" s="8" t="s">
        <v>17334</v>
      </c>
      <c r="B8688" s="8" t="s">
        <v>62290</v>
      </c>
      <c r="C8688" s="8" t="s">
        <v>17335</v>
      </c>
      <c r="D8688" s="8"/>
      <c r="E8688" s="6"/>
      <c r="F8688" s="6"/>
    </row>
    <row r="8689" spans="1:6" x14ac:dyDescent="0.3">
      <c r="A8689" s="8" t="s">
        <v>17336</v>
      </c>
      <c r="B8689" s="8" t="s">
        <v>62291</v>
      </c>
      <c r="C8689" s="8" t="s">
        <v>17337</v>
      </c>
      <c r="D8689" s="8"/>
      <c r="E8689" s="6"/>
      <c r="F8689" s="6"/>
    </row>
    <row r="8690" spans="1:6" x14ac:dyDescent="0.3">
      <c r="A8690" s="8" t="s">
        <v>17338</v>
      </c>
      <c r="B8690" s="8" t="s">
        <v>62292</v>
      </c>
      <c r="C8690" s="8" t="s">
        <v>17339</v>
      </c>
      <c r="D8690" s="8"/>
      <c r="E8690" s="6"/>
      <c r="F8690" s="6"/>
    </row>
    <row r="8691" spans="1:6" x14ac:dyDescent="0.3">
      <c r="A8691" s="8" t="s">
        <v>17340</v>
      </c>
      <c r="B8691" s="8" t="s">
        <v>62293</v>
      </c>
      <c r="C8691" s="8" t="s">
        <v>17341</v>
      </c>
      <c r="D8691" s="8"/>
      <c r="E8691" s="6"/>
      <c r="F8691" s="6"/>
    </row>
    <row r="8692" spans="1:6" x14ac:dyDescent="0.3">
      <c r="A8692" s="8" t="s">
        <v>17342</v>
      </c>
      <c r="B8692" s="8" t="s">
        <v>62294</v>
      </c>
      <c r="C8692" s="8" t="s">
        <v>17343</v>
      </c>
      <c r="D8692" s="8"/>
      <c r="E8692" s="6"/>
      <c r="F8692" s="6"/>
    </row>
    <row r="8693" spans="1:6" x14ac:dyDescent="0.3">
      <c r="A8693" s="8" t="s">
        <v>17344</v>
      </c>
      <c r="B8693" s="8" t="s">
        <v>62295</v>
      </c>
      <c r="C8693" s="8" t="s">
        <v>17345</v>
      </c>
      <c r="D8693" s="8"/>
      <c r="E8693" s="6"/>
      <c r="F8693" s="6"/>
    </row>
    <row r="8694" spans="1:6" x14ac:dyDescent="0.3">
      <c r="A8694" s="8" t="s">
        <v>17346</v>
      </c>
      <c r="B8694" s="8" t="s">
        <v>62296</v>
      </c>
      <c r="C8694" s="8" t="s">
        <v>17347</v>
      </c>
      <c r="D8694" s="8"/>
      <c r="E8694" s="6"/>
      <c r="F8694" s="6"/>
    </row>
    <row r="8695" spans="1:6" x14ac:dyDescent="0.3">
      <c r="A8695" s="8" t="s">
        <v>17348</v>
      </c>
      <c r="B8695" s="8" t="s">
        <v>62297</v>
      </c>
      <c r="C8695" s="8" t="s">
        <v>17349</v>
      </c>
      <c r="D8695" s="8"/>
      <c r="E8695" s="6"/>
      <c r="F8695" s="6"/>
    </row>
    <row r="8696" spans="1:6" x14ac:dyDescent="0.3">
      <c r="A8696" s="8" t="s">
        <v>17350</v>
      </c>
      <c r="B8696" s="8" t="s">
        <v>62298</v>
      </c>
      <c r="C8696" s="8" t="s">
        <v>17351</v>
      </c>
      <c r="D8696" s="8"/>
      <c r="E8696" s="6"/>
      <c r="F8696" s="6"/>
    </row>
    <row r="8697" spans="1:6" x14ac:dyDescent="0.3">
      <c r="A8697" s="8" t="s">
        <v>17352</v>
      </c>
      <c r="B8697" s="8" t="s">
        <v>62299</v>
      </c>
      <c r="C8697" s="8" t="s">
        <v>17353</v>
      </c>
      <c r="D8697" s="8"/>
      <c r="E8697" s="6"/>
      <c r="F8697" s="6"/>
    </row>
    <row r="8698" spans="1:6" x14ac:dyDescent="0.3">
      <c r="A8698" s="8" t="s">
        <v>17354</v>
      </c>
      <c r="B8698" s="8" t="s">
        <v>62300</v>
      </c>
      <c r="C8698" s="8" t="s">
        <v>17355</v>
      </c>
      <c r="D8698" s="8"/>
      <c r="E8698" s="6"/>
      <c r="F8698" s="6"/>
    </row>
    <row r="8699" spans="1:6" x14ac:dyDescent="0.3">
      <c r="A8699" s="8" t="s">
        <v>17356</v>
      </c>
      <c r="B8699" s="8" t="s">
        <v>62301</v>
      </c>
      <c r="C8699" s="8" t="s">
        <v>17357</v>
      </c>
      <c r="D8699" s="8"/>
      <c r="E8699" s="6"/>
      <c r="F8699" s="6"/>
    </row>
    <row r="8700" spans="1:6" x14ac:dyDescent="0.3">
      <c r="A8700" s="8" t="s">
        <v>17358</v>
      </c>
      <c r="B8700" s="8" t="s">
        <v>62302</v>
      </c>
      <c r="C8700" s="8" t="s">
        <v>17359</v>
      </c>
      <c r="D8700" s="8"/>
      <c r="E8700" s="6"/>
      <c r="F8700" s="6"/>
    </row>
    <row r="8701" spans="1:6" x14ac:dyDescent="0.3">
      <c r="A8701" s="8" t="s">
        <v>17360</v>
      </c>
      <c r="B8701" s="8" t="s">
        <v>62303</v>
      </c>
      <c r="C8701" s="8" t="s">
        <v>17361</v>
      </c>
      <c r="D8701" s="8"/>
      <c r="E8701" s="6"/>
      <c r="F8701" s="6"/>
    </row>
    <row r="8702" spans="1:6" x14ac:dyDescent="0.3">
      <c r="A8702" s="8" t="s">
        <v>17362</v>
      </c>
      <c r="B8702" s="8" t="s">
        <v>62304</v>
      </c>
      <c r="C8702" s="8" t="s">
        <v>17363</v>
      </c>
      <c r="D8702" s="8"/>
      <c r="E8702" s="6"/>
      <c r="F8702" s="6"/>
    </row>
    <row r="8703" spans="1:6" x14ac:dyDescent="0.3">
      <c r="A8703" s="8" t="s">
        <v>17364</v>
      </c>
      <c r="B8703" s="8" t="s">
        <v>62305</v>
      </c>
      <c r="C8703" s="8" t="s">
        <v>17365</v>
      </c>
      <c r="D8703" s="8"/>
      <c r="E8703" s="6"/>
      <c r="F8703" s="6"/>
    </row>
    <row r="8704" spans="1:6" x14ac:dyDescent="0.3">
      <c r="A8704" s="8" t="s">
        <v>17366</v>
      </c>
      <c r="B8704" s="8" t="s">
        <v>62306</v>
      </c>
      <c r="C8704" s="8" t="s">
        <v>17367</v>
      </c>
      <c r="D8704" s="8"/>
      <c r="E8704" s="6"/>
      <c r="F8704" s="6"/>
    </row>
    <row r="8705" spans="1:6" x14ac:dyDescent="0.3">
      <c r="A8705" s="8" t="s">
        <v>17368</v>
      </c>
      <c r="B8705" s="8" t="s">
        <v>62307</v>
      </c>
      <c r="C8705" s="8" t="s">
        <v>17369</v>
      </c>
      <c r="D8705" s="8"/>
      <c r="E8705" s="6"/>
      <c r="F8705" s="6"/>
    </row>
    <row r="8706" spans="1:6" x14ac:dyDescent="0.3">
      <c r="A8706" s="8" t="s">
        <v>17370</v>
      </c>
      <c r="B8706" s="8" t="s">
        <v>62308</v>
      </c>
      <c r="C8706" s="8" t="s">
        <v>17371</v>
      </c>
      <c r="D8706" s="8"/>
      <c r="E8706" s="6"/>
      <c r="F8706" s="6"/>
    </row>
    <row r="8707" spans="1:6" x14ac:dyDescent="0.3">
      <c r="A8707" s="8" t="s">
        <v>17372</v>
      </c>
      <c r="B8707" s="8" t="s">
        <v>62309</v>
      </c>
      <c r="C8707" s="8" t="s">
        <v>17373</v>
      </c>
      <c r="D8707" s="8"/>
      <c r="E8707" s="6"/>
      <c r="F8707" s="6"/>
    </row>
    <row r="8708" spans="1:6" x14ac:dyDescent="0.3">
      <c r="A8708" s="8" t="s">
        <v>17374</v>
      </c>
      <c r="B8708" s="8" t="s">
        <v>62310</v>
      </c>
      <c r="C8708" s="8" t="s">
        <v>17375</v>
      </c>
      <c r="D8708" s="8"/>
      <c r="E8708" s="6"/>
      <c r="F8708" s="6"/>
    </row>
    <row r="8709" spans="1:6" x14ac:dyDescent="0.3">
      <c r="A8709" s="8" t="s">
        <v>17376</v>
      </c>
      <c r="B8709" s="8" t="s">
        <v>62311</v>
      </c>
      <c r="C8709" s="8" t="s">
        <v>17377</v>
      </c>
      <c r="D8709" s="8"/>
      <c r="E8709" s="6"/>
      <c r="F8709" s="6"/>
    </row>
    <row r="8710" spans="1:6" x14ac:dyDescent="0.3">
      <c r="A8710" s="8" t="s">
        <v>17378</v>
      </c>
      <c r="B8710" s="8" t="s">
        <v>62312</v>
      </c>
      <c r="C8710" s="8" t="s">
        <v>17379</v>
      </c>
      <c r="D8710" s="8"/>
      <c r="E8710" s="6"/>
      <c r="F8710" s="6"/>
    </row>
    <row r="8711" spans="1:6" x14ac:dyDescent="0.3">
      <c r="A8711" s="8" t="s">
        <v>17380</v>
      </c>
      <c r="B8711" s="8" t="s">
        <v>62313</v>
      </c>
      <c r="C8711" s="8" t="s">
        <v>17381</v>
      </c>
      <c r="D8711" s="8"/>
      <c r="E8711" s="6"/>
      <c r="F8711" s="6"/>
    </row>
    <row r="8712" spans="1:6" x14ac:dyDescent="0.3">
      <c r="A8712" s="8" t="s">
        <v>17382</v>
      </c>
      <c r="B8712" s="8" t="s">
        <v>62314</v>
      </c>
      <c r="C8712" s="8" t="s">
        <v>17383</v>
      </c>
      <c r="D8712" s="8"/>
      <c r="E8712" s="6"/>
      <c r="F8712" s="6"/>
    </row>
    <row r="8713" spans="1:6" x14ac:dyDescent="0.3">
      <c r="A8713" s="8" t="s">
        <v>17384</v>
      </c>
      <c r="B8713" s="8" t="s">
        <v>62315</v>
      </c>
      <c r="C8713" s="8" t="s">
        <v>17385</v>
      </c>
      <c r="D8713" s="8"/>
      <c r="E8713" s="6"/>
      <c r="F8713" s="6"/>
    </row>
    <row r="8714" spans="1:6" x14ac:dyDescent="0.3">
      <c r="A8714" s="8" t="s">
        <v>17386</v>
      </c>
      <c r="B8714" s="8" t="s">
        <v>62316</v>
      </c>
      <c r="C8714" s="8" t="s">
        <v>17387</v>
      </c>
      <c r="D8714" s="8"/>
      <c r="E8714" s="6"/>
      <c r="F8714" s="6"/>
    </row>
    <row r="8715" spans="1:6" x14ac:dyDescent="0.3">
      <c r="A8715" s="8" t="s">
        <v>17388</v>
      </c>
      <c r="B8715" s="8" t="s">
        <v>62317</v>
      </c>
      <c r="C8715" s="8" t="s">
        <v>17389</v>
      </c>
      <c r="D8715" s="8"/>
      <c r="E8715" s="6"/>
      <c r="F8715" s="6"/>
    </row>
    <row r="8716" spans="1:6" x14ac:dyDescent="0.3">
      <c r="A8716" s="8" t="s">
        <v>17390</v>
      </c>
      <c r="B8716" s="8" t="s">
        <v>62318</v>
      </c>
      <c r="C8716" s="8" t="s">
        <v>17391</v>
      </c>
      <c r="D8716" s="8"/>
      <c r="E8716" s="6"/>
      <c r="F8716" s="6"/>
    </row>
    <row r="8717" spans="1:6" x14ac:dyDescent="0.3">
      <c r="A8717" s="8" t="s">
        <v>17392</v>
      </c>
      <c r="B8717" s="8" t="s">
        <v>62319</v>
      </c>
      <c r="C8717" s="8" t="s">
        <v>17393</v>
      </c>
      <c r="D8717" s="8"/>
      <c r="E8717" s="6"/>
      <c r="F8717" s="6"/>
    </row>
    <row r="8718" spans="1:6" x14ac:dyDescent="0.3">
      <c r="A8718" s="8" t="s">
        <v>17394</v>
      </c>
      <c r="B8718" s="8" t="s">
        <v>62320</v>
      </c>
      <c r="C8718" s="8" t="s">
        <v>17395</v>
      </c>
      <c r="D8718" s="8"/>
      <c r="E8718" s="6"/>
      <c r="F8718" s="6"/>
    </row>
    <row r="8719" spans="1:6" x14ac:dyDescent="0.3">
      <c r="A8719" s="8" t="s">
        <v>17396</v>
      </c>
      <c r="B8719" s="8" t="s">
        <v>62321</v>
      </c>
      <c r="C8719" s="8" t="s">
        <v>17397</v>
      </c>
      <c r="D8719" s="8"/>
      <c r="E8719" s="6"/>
      <c r="F8719" s="6"/>
    </row>
    <row r="8720" spans="1:6" x14ac:dyDescent="0.3">
      <c r="A8720" s="8" t="s">
        <v>17398</v>
      </c>
      <c r="B8720" s="8" t="s">
        <v>62322</v>
      </c>
      <c r="C8720" s="8" t="s">
        <v>17399</v>
      </c>
      <c r="D8720" s="8"/>
      <c r="E8720" s="6"/>
      <c r="F8720" s="6"/>
    </row>
    <row r="8721" spans="1:6" x14ac:dyDescent="0.3">
      <c r="A8721" s="8" t="s">
        <v>17400</v>
      </c>
      <c r="B8721" s="8" t="s">
        <v>62323</v>
      </c>
      <c r="C8721" s="8" t="s">
        <v>17401</v>
      </c>
      <c r="D8721" s="8"/>
      <c r="E8721" s="6"/>
      <c r="F8721" s="6"/>
    </row>
    <row r="8722" spans="1:6" x14ac:dyDescent="0.3">
      <c r="A8722" s="8" t="s">
        <v>17402</v>
      </c>
      <c r="B8722" s="8" t="s">
        <v>62324</v>
      </c>
      <c r="C8722" s="8" t="s">
        <v>17403</v>
      </c>
      <c r="D8722" s="8"/>
      <c r="E8722" s="6"/>
      <c r="F8722" s="6"/>
    </row>
    <row r="8723" spans="1:6" x14ac:dyDescent="0.3">
      <c r="A8723" s="8" t="s">
        <v>17404</v>
      </c>
      <c r="B8723" s="8" t="s">
        <v>62325</v>
      </c>
      <c r="C8723" s="8" t="s">
        <v>17405</v>
      </c>
      <c r="D8723" s="8"/>
      <c r="E8723" s="6"/>
      <c r="F8723" s="6"/>
    </row>
    <row r="8724" spans="1:6" x14ac:dyDescent="0.3">
      <c r="A8724" s="8" t="s">
        <v>17406</v>
      </c>
      <c r="B8724" s="8" t="s">
        <v>62326</v>
      </c>
      <c r="C8724" s="8" t="s">
        <v>17407</v>
      </c>
      <c r="D8724" s="8"/>
      <c r="E8724" s="6"/>
      <c r="F8724" s="6"/>
    </row>
    <row r="8725" spans="1:6" x14ac:dyDescent="0.3">
      <c r="A8725" s="8" t="s">
        <v>17408</v>
      </c>
      <c r="B8725" s="8" t="s">
        <v>62327</v>
      </c>
      <c r="C8725" s="8" t="s">
        <v>17409</v>
      </c>
      <c r="D8725" s="8"/>
      <c r="E8725" s="6"/>
      <c r="F8725" s="6"/>
    </row>
    <row r="8726" spans="1:6" x14ac:dyDescent="0.3">
      <c r="A8726" s="8" t="s">
        <v>17410</v>
      </c>
      <c r="B8726" s="8" t="s">
        <v>62328</v>
      </c>
      <c r="C8726" s="8" t="s">
        <v>17411</v>
      </c>
      <c r="D8726" s="8"/>
      <c r="E8726" s="6"/>
      <c r="F8726" s="6"/>
    </row>
    <row r="8727" spans="1:6" x14ac:dyDescent="0.3">
      <c r="A8727" s="8" t="s">
        <v>17412</v>
      </c>
      <c r="B8727" s="8" t="s">
        <v>62329</v>
      </c>
      <c r="C8727" s="8" t="s">
        <v>17413</v>
      </c>
      <c r="D8727" s="8"/>
      <c r="E8727" s="6"/>
      <c r="F8727" s="6"/>
    </row>
    <row r="8728" spans="1:6" x14ac:dyDescent="0.3">
      <c r="A8728" s="8" t="s">
        <v>17414</v>
      </c>
      <c r="B8728" s="8" t="s">
        <v>62330</v>
      </c>
      <c r="C8728" s="8" t="s">
        <v>17415</v>
      </c>
      <c r="D8728" s="8"/>
      <c r="E8728" s="6"/>
      <c r="F8728" s="6"/>
    </row>
    <row r="8729" spans="1:6" x14ac:dyDescent="0.3">
      <c r="A8729" s="8" t="s">
        <v>17416</v>
      </c>
      <c r="B8729" s="8" t="s">
        <v>62331</v>
      </c>
      <c r="C8729" s="8" t="s">
        <v>17417</v>
      </c>
      <c r="D8729" s="8"/>
      <c r="E8729" s="6"/>
      <c r="F8729" s="6"/>
    </row>
    <row r="8730" spans="1:6" x14ac:dyDescent="0.3">
      <c r="A8730" s="8" t="s">
        <v>17418</v>
      </c>
      <c r="B8730" s="8" t="s">
        <v>62332</v>
      </c>
      <c r="C8730" s="8" t="s">
        <v>17419</v>
      </c>
      <c r="D8730" s="8"/>
      <c r="E8730" s="6"/>
      <c r="F8730" s="6"/>
    </row>
    <row r="8731" spans="1:6" x14ac:dyDescent="0.3">
      <c r="A8731" s="8" t="s">
        <v>17420</v>
      </c>
      <c r="B8731" s="8" t="s">
        <v>62333</v>
      </c>
      <c r="C8731" s="8" t="s">
        <v>17421</v>
      </c>
      <c r="D8731" s="8"/>
      <c r="E8731" s="6"/>
      <c r="F8731" s="6"/>
    </row>
    <row r="8732" spans="1:6" x14ac:dyDescent="0.3">
      <c r="A8732" s="8" t="s">
        <v>17422</v>
      </c>
      <c r="B8732" s="8" t="s">
        <v>62334</v>
      </c>
      <c r="C8732" s="8" t="s">
        <v>17423</v>
      </c>
      <c r="D8732" s="8"/>
      <c r="E8732" s="6"/>
      <c r="F8732" s="6"/>
    </row>
    <row r="8733" spans="1:6" x14ac:dyDescent="0.3">
      <c r="A8733" s="8" t="s">
        <v>17424</v>
      </c>
      <c r="B8733" s="8" t="s">
        <v>62335</v>
      </c>
      <c r="C8733" s="8" t="s">
        <v>17425</v>
      </c>
      <c r="D8733" s="8"/>
      <c r="E8733" s="6"/>
      <c r="F8733" s="6"/>
    </row>
    <row r="8734" spans="1:6" x14ac:dyDescent="0.3">
      <c r="A8734" s="8" t="s">
        <v>17426</v>
      </c>
      <c r="B8734" s="8" t="s">
        <v>62336</v>
      </c>
      <c r="C8734" s="8" t="s">
        <v>17427</v>
      </c>
      <c r="D8734" s="8"/>
      <c r="E8734" s="6"/>
      <c r="F8734" s="6"/>
    </row>
    <row r="8735" spans="1:6" x14ac:dyDescent="0.3">
      <c r="A8735" s="8" t="s">
        <v>17428</v>
      </c>
      <c r="B8735" s="8" t="s">
        <v>62337</v>
      </c>
      <c r="C8735" s="8" t="s">
        <v>17429</v>
      </c>
      <c r="D8735" s="8"/>
      <c r="E8735" s="6"/>
      <c r="F8735" s="6"/>
    </row>
    <row r="8736" spans="1:6" x14ac:dyDescent="0.3">
      <c r="A8736" s="8" t="s">
        <v>17430</v>
      </c>
      <c r="B8736" s="8" t="s">
        <v>62338</v>
      </c>
      <c r="C8736" s="8" t="s">
        <v>17431</v>
      </c>
      <c r="D8736" s="8"/>
      <c r="E8736" s="6"/>
      <c r="F8736" s="6"/>
    </row>
    <row r="8737" spans="1:6" x14ac:dyDescent="0.3">
      <c r="A8737" s="8" t="s">
        <v>17432</v>
      </c>
      <c r="B8737" s="8" t="s">
        <v>62339</v>
      </c>
      <c r="C8737" s="8" t="s">
        <v>17433</v>
      </c>
      <c r="D8737" s="8"/>
      <c r="E8737" s="6"/>
      <c r="F8737" s="6"/>
    </row>
    <row r="8738" spans="1:6" x14ac:dyDescent="0.3">
      <c r="A8738" s="8" t="s">
        <v>17434</v>
      </c>
      <c r="B8738" s="8" t="s">
        <v>62340</v>
      </c>
      <c r="C8738" s="8" t="s">
        <v>17435</v>
      </c>
      <c r="D8738" s="8"/>
      <c r="E8738" s="6"/>
      <c r="F8738" s="6"/>
    </row>
    <row r="8739" spans="1:6" x14ac:dyDescent="0.3">
      <c r="A8739" s="8" t="s">
        <v>17436</v>
      </c>
      <c r="B8739" s="8" t="s">
        <v>62341</v>
      </c>
      <c r="C8739" s="8" t="s">
        <v>17437</v>
      </c>
      <c r="D8739" s="8"/>
      <c r="E8739" s="6"/>
      <c r="F8739" s="6"/>
    </row>
    <row r="8740" spans="1:6" x14ac:dyDescent="0.3">
      <c r="A8740" s="8" t="s">
        <v>17438</v>
      </c>
      <c r="B8740" s="8" t="s">
        <v>62342</v>
      </c>
      <c r="C8740" s="8" t="s">
        <v>17439</v>
      </c>
      <c r="D8740" s="8"/>
      <c r="E8740" s="6"/>
      <c r="F8740" s="6"/>
    </row>
    <row r="8741" spans="1:6" x14ac:dyDescent="0.3">
      <c r="A8741" s="8" t="s">
        <v>17440</v>
      </c>
      <c r="B8741" s="8" t="s">
        <v>62343</v>
      </c>
      <c r="C8741" s="8" t="s">
        <v>17441</v>
      </c>
      <c r="D8741" s="8"/>
      <c r="E8741" s="6"/>
      <c r="F8741" s="6"/>
    </row>
    <row r="8742" spans="1:6" x14ac:dyDescent="0.3">
      <c r="A8742" s="8" t="s">
        <v>17442</v>
      </c>
      <c r="B8742" s="8" t="s">
        <v>62344</v>
      </c>
      <c r="C8742" s="8" t="s">
        <v>17443</v>
      </c>
      <c r="D8742" s="8"/>
      <c r="E8742" s="6"/>
      <c r="F8742" s="6"/>
    </row>
    <row r="8743" spans="1:6" x14ac:dyDescent="0.3">
      <c r="A8743" s="8" t="s">
        <v>17444</v>
      </c>
      <c r="B8743" s="8" t="s">
        <v>62345</v>
      </c>
      <c r="C8743" s="8" t="s">
        <v>17445</v>
      </c>
      <c r="D8743" s="8"/>
      <c r="E8743" s="6"/>
      <c r="F8743" s="6"/>
    </row>
    <row r="8744" spans="1:6" x14ac:dyDescent="0.3">
      <c r="A8744" s="8" t="s">
        <v>17446</v>
      </c>
      <c r="B8744" s="8" t="s">
        <v>62346</v>
      </c>
      <c r="C8744" s="8" t="s">
        <v>17447</v>
      </c>
      <c r="D8744" s="8"/>
      <c r="E8744" s="6"/>
      <c r="F8744" s="6"/>
    </row>
    <row r="8745" spans="1:6" x14ac:dyDescent="0.3">
      <c r="A8745" s="8" t="s">
        <v>17448</v>
      </c>
      <c r="B8745" s="8" t="s">
        <v>62347</v>
      </c>
      <c r="C8745" s="8" t="s">
        <v>17449</v>
      </c>
      <c r="D8745" s="8"/>
      <c r="E8745" s="6"/>
      <c r="F8745" s="6"/>
    </row>
    <row r="8746" spans="1:6" x14ac:dyDescent="0.3">
      <c r="A8746" s="8" t="s">
        <v>17450</v>
      </c>
      <c r="B8746" s="8" t="s">
        <v>62348</v>
      </c>
      <c r="C8746" s="8" t="s">
        <v>17451</v>
      </c>
      <c r="D8746" s="8"/>
      <c r="E8746" s="6"/>
      <c r="F8746" s="6"/>
    </row>
    <row r="8747" spans="1:6" x14ac:dyDescent="0.3">
      <c r="A8747" s="8" t="s">
        <v>17452</v>
      </c>
      <c r="B8747" s="8" t="s">
        <v>62349</v>
      </c>
      <c r="C8747" s="8" t="s">
        <v>17453</v>
      </c>
      <c r="D8747" s="8"/>
      <c r="E8747" s="6"/>
      <c r="F8747" s="6"/>
    </row>
    <row r="8748" spans="1:6" x14ac:dyDescent="0.3">
      <c r="A8748" s="8" t="s">
        <v>17454</v>
      </c>
      <c r="B8748" s="8" t="s">
        <v>62350</v>
      </c>
      <c r="C8748" s="8" t="s">
        <v>17455</v>
      </c>
      <c r="D8748" s="8"/>
      <c r="E8748" s="6"/>
      <c r="F8748" s="6"/>
    </row>
    <row r="8749" spans="1:6" x14ac:dyDescent="0.3">
      <c r="A8749" s="8" t="s">
        <v>17456</v>
      </c>
      <c r="B8749" s="8" t="s">
        <v>62351</v>
      </c>
      <c r="C8749" s="8" t="s">
        <v>17457</v>
      </c>
      <c r="D8749" s="8"/>
      <c r="E8749" s="6"/>
      <c r="F8749" s="6"/>
    </row>
    <row r="8750" spans="1:6" x14ac:dyDescent="0.3">
      <c r="A8750" s="8" t="s">
        <v>17458</v>
      </c>
      <c r="B8750" s="8" t="s">
        <v>62352</v>
      </c>
      <c r="C8750" s="8" t="s">
        <v>17459</v>
      </c>
      <c r="D8750" s="8"/>
      <c r="E8750" s="6"/>
      <c r="F8750" s="6"/>
    </row>
    <row r="8751" spans="1:6" x14ac:dyDescent="0.3">
      <c r="A8751" s="8" t="s">
        <v>17460</v>
      </c>
      <c r="B8751" s="8" t="s">
        <v>62353</v>
      </c>
      <c r="C8751" s="8" t="s">
        <v>17461</v>
      </c>
      <c r="D8751" s="8"/>
      <c r="E8751" s="6"/>
      <c r="F8751" s="6"/>
    </row>
    <row r="8752" spans="1:6" x14ac:dyDescent="0.3">
      <c r="A8752" s="8" t="s">
        <v>17462</v>
      </c>
      <c r="B8752" s="8" t="s">
        <v>62354</v>
      </c>
      <c r="C8752" s="8" t="s">
        <v>17463</v>
      </c>
      <c r="D8752" s="8"/>
      <c r="E8752" s="6"/>
      <c r="F8752" s="6"/>
    </row>
    <row r="8753" spans="1:6" x14ac:dyDescent="0.3">
      <c r="A8753" s="8" t="s">
        <v>17464</v>
      </c>
      <c r="B8753" s="8" t="s">
        <v>62355</v>
      </c>
      <c r="C8753" s="8" t="s">
        <v>17465</v>
      </c>
      <c r="D8753" s="8"/>
      <c r="E8753" s="6"/>
      <c r="F8753" s="6"/>
    </row>
    <row r="8754" spans="1:6" x14ac:dyDescent="0.3">
      <c r="A8754" s="8" t="s">
        <v>17466</v>
      </c>
      <c r="B8754" s="8" t="s">
        <v>62356</v>
      </c>
      <c r="C8754" s="8" t="s">
        <v>17467</v>
      </c>
      <c r="D8754" s="8"/>
      <c r="E8754" s="6"/>
      <c r="F8754" s="6"/>
    </row>
    <row r="8755" spans="1:6" x14ac:dyDescent="0.3">
      <c r="A8755" s="8" t="s">
        <v>17468</v>
      </c>
      <c r="B8755" s="8" t="s">
        <v>62357</v>
      </c>
      <c r="C8755" s="8" t="s">
        <v>17469</v>
      </c>
      <c r="D8755" s="8"/>
      <c r="E8755" s="6"/>
      <c r="F8755" s="6"/>
    </row>
    <row r="8756" spans="1:6" x14ac:dyDescent="0.3">
      <c r="A8756" s="8" t="s">
        <v>17470</v>
      </c>
      <c r="B8756" s="8" t="s">
        <v>62358</v>
      </c>
      <c r="C8756" s="8" t="s">
        <v>17471</v>
      </c>
      <c r="D8756" s="8"/>
      <c r="E8756" s="6"/>
      <c r="F8756" s="6"/>
    </row>
    <row r="8757" spans="1:6" x14ac:dyDescent="0.3">
      <c r="A8757" s="8" t="s">
        <v>17472</v>
      </c>
      <c r="B8757" s="8" t="s">
        <v>62359</v>
      </c>
      <c r="C8757" s="8" t="s">
        <v>17473</v>
      </c>
      <c r="D8757" s="8"/>
      <c r="E8757" s="6"/>
      <c r="F8757" s="6"/>
    </row>
    <row r="8758" spans="1:6" x14ac:dyDescent="0.3">
      <c r="A8758" s="8" t="s">
        <v>17474</v>
      </c>
      <c r="B8758" s="8" t="s">
        <v>62360</v>
      </c>
      <c r="C8758" s="8" t="s">
        <v>17475</v>
      </c>
      <c r="D8758" s="8"/>
      <c r="E8758" s="6"/>
      <c r="F8758" s="6"/>
    </row>
    <row r="8759" spans="1:6" x14ac:dyDescent="0.3">
      <c r="A8759" s="8" t="s">
        <v>17476</v>
      </c>
      <c r="B8759" s="8" t="s">
        <v>62361</v>
      </c>
      <c r="C8759" s="8" t="s">
        <v>17477</v>
      </c>
      <c r="D8759" s="8"/>
      <c r="E8759" s="6"/>
      <c r="F8759" s="6"/>
    </row>
    <row r="8760" spans="1:6" x14ac:dyDescent="0.3">
      <c r="A8760" s="8" t="s">
        <v>17478</v>
      </c>
      <c r="B8760" s="8" t="s">
        <v>62362</v>
      </c>
      <c r="C8760" s="8" t="s">
        <v>17479</v>
      </c>
      <c r="D8760" s="8"/>
      <c r="E8760" s="6"/>
      <c r="F8760" s="6"/>
    </row>
    <row r="8761" spans="1:6" x14ac:dyDescent="0.3">
      <c r="A8761" s="8" t="s">
        <v>17480</v>
      </c>
      <c r="B8761" s="8" t="s">
        <v>62363</v>
      </c>
      <c r="C8761" s="8" t="s">
        <v>17481</v>
      </c>
      <c r="D8761" s="8"/>
      <c r="E8761" s="6"/>
      <c r="F8761" s="6"/>
    </row>
    <row r="8762" spans="1:6" x14ac:dyDescent="0.3">
      <c r="A8762" s="8" t="s">
        <v>17482</v>
      </c>
      <c r="B8762" s="8" t="s">
        <v>62364</v>
      </c>
      <c r="C8762" s="8" t="s">
        <v>17483</v>
      </c>
      <c r="D8762" s="8"/>
      <c r="E8762" s="6"/>
      <c r="F8762" s="6"/>
    </row>
    <row r="8763" spans="1:6" x14ac:dyDescent="0.3">
      <c r="A8763" s="8" t="s">
        <v>17484</v>
      </c>
      <c r="B8763" s="8" t="s">
        <v>62365</v>
      </c>
      <c r="C8763" s="8" t="s">
        <v>17485</v>
      </c>
      <c r="D8763" s="8"/>
      <c r="E8763" s="6"/>
      <c r="F8763" s="6"/>
    </row>
    <row r="8764" spans="1:6" x14ac:dyDescent="0.3">
      <c r="A8764" s="8" t="s">
        <v>17486</v>
      </c>
      <c r="B8764" s="8" t="s">
        <v>62366</v>
      </c>
      <c r="C8764" s="8" t="s">
        <v>17487</v>
      </c>
      <c r="D8764" s="8"/>
      <c r="E8764" s="6"/>
      <c r="F8764" s="6"/>
    </row>
    <row r="8765" spans="1:6" x14ac:dyDescent="0.3">
      <c r="A8765" s="8" t="s">
        <v>17488</v>
      </c>
      <c r="B8765" s="8" t="s">
        <v>62367</v>
      </c>
      <c r="C8765" s="8" t="s">
        <v>17487</v>
      </c>
      <c r="D8765" s="8"/>
      <c r="E8765" s="6"/>
      <c r="F8765" s="6"/>
    </row>
    <row r="8766" spans="1:6" x14ac:dyDescent="0.3">
      <c r="A8766" s="8" t="s">
        <v>17489</v>
      </c>
      <c r="B8766" s="8" t="s">
        <v>62368</v>
      </c>
      <c r="C8766" s="8" t="s">
        <v>17490</v>
      </c>
      <c r="D8766" s="8"/>
      <c r="E8766" s="6"/>
      <c r="F8766" s="6"/>
    </row>
    <row r="8767" spans="1:6" x14ac:dyDescent="0.3">
      <c r="A8767" s="8" t="s">
        <v>17491</v>
      </c>
      <c r="B8767" s="8" t="s">
        <v>62369</v>
      </c>
      <c r="C8767" s="8" t="s">
        <v>17492</v>
      </c>
      <c r="D8767" s="8"/>
      <c r="E8767" s="6"/>
      <c r="F8767" s="6"/>
    </row>
    <row r="8768" spans="1:6" x14ac:dyDescent="0.3">
      <c r="A8768" s="8" t="s">
        <v>17493</v>
      </c>
      <c r="B8768" s="8" t="s">
        <v>62370</v>
      </c>
      <c r="C8768" s="8" t="s">
        <v>17494</v>
      </c>
      <c r="D8768" s="8"/>
      <c r="E8768" s="6"/>
      <c r="F8768" s="6"/>
    </row>
    <row r="8769" spans="1:6" x14ac:dyDescent="0.3">
      <c r="A8769" s="8" t="s">
        <v>17495</v>
      </c>
      <c r="B8769" s="8" t="s">
        <v>62371</v>
      </c>
      <c r="C8769" s="8" t="s">
        <v>17496</v>
      </c>
      <c r="D8769" s="8"/>
      <c r="E8769" s="6"/>
      <c r="F8769" s="6"/>
    </row>
    <row r="8770" spans="1:6" x14ac:dyDescent="0.3">
      <c r="A8770" s="8" t="s">
        <v>17497</v>
      </c>
      <c r="B8770" s="8" t="s">
        <v>62372</v>
      </c>
      <c r="C8770" s="8" t="s">
        <v>17498</v>
      </c>
      <c r="D8770" s="8"/>
      <c r="E8770" s="6"/>
      <c r="F8770" s="6"/>
    </row>
    <row r="8771" spans="1:6" x14ac:dyDescent="0.3">
      <c r="A8771" s="8" t="s">
        <v>17499</v>
      </c>
      <c r="B8771" s="8" t="s">
        <v>62373</v>
      </c>
      <c r="C8771" s="8" t="s">
        <v>17500</v>
      </c>
      <c r="D8771" s="8"/>
      <c r="E8771" s="6"/>
      <c r="F8771" s="6"/>
    </row>
    <row r="8772" spans="1:6" x14ac:dyDescent="0.3">
      <c r="A8772" s="8" t="s">
        <v>17501</v>
      </c>
      <c r="B8772" s="8" t="s">
        <v>62374</v>
      </c>
      <c r="C8772" s="8" t="s">
        <v>17502</v>
      </c>
      <c r="D8772" s="8"/>
      <c r="E8772" s="6"/>
      <c r="F8772" s="6"/>
    </row>
    <row r="8773" spans="1:6" x14ac:dyDescent="0.3">
      <c r="A8773" s="8" t="s">
        <v>17503</v>
      </c>
      <c r="B8773" s="8" t="s">
        <v>62375</v>
      </c>
      <c r="C8773" s="8" t="s">
        <v>17504</v>
      </c>
      <c r="D8773" s="8"/>
      <c r="E8773" s="6"/>
      <c r="F8773" s="6"/>
    </row>
    <row r="8774" spans="1:6" x14ac:dyDescent="0.3">
      <c r="A8774" s="8" t="s">
        <v>17505</v>
      </c>
      <c r="B8774" s="8" t="s">
        <v>62376</v>
      </c>
      <c r="C8774" s="8" t="s">
        <v>17506</v>
      </c>
      <c r="D8774" s="8"/>
      <c r="E8774" s="6"/>
      <c r="F8774" s="6"/>
    </row>
    <row r="8775" spans="1:6" x14ac:dyDescent="0.3">
      <c r="A8775" s="8" t="s">
        <v>17507</v>
      </c>
      <c r="B8775" s="8" t="s">
        <v>62377</v>
      </c>
      <c r="C8775" s="8" t="s">
        <v>17508</v>
      </c>
      <c r="D8775" s="8"/>
      <c r="E8775" s="6"/>
      <c r="F8775" s="6"/>
    </row>
    <row r="8776" spans="1:6" x14ac:dyDescent="0.3">
      <c r="A8776" s="8" t="s">
        <v>17509</v>
      </c>
      <c r="B8776" s="8" t="s">
        <v>62378</v>
      </c>
      <c r="C8776" s="8" t="s">
        <v>17510</v>
      </c>
      <c r="D8776" s="8"/>
      <c r="E8776" s="6"/>
      <c r="F8776" s="6"/>
    </row>
    <row r="8777" spans="1:6" x14ac:dyDescent="0.3">
      <c r="A8777" s="8" t="s">
        <v>17511</v>
      </c>
      <c r="B8777" s="8" t="s">
        <v>62379</v>
      </c>
      <c r="C8777" s="8" t="s">
        <v>17512</v>
      </c>
      <c r="D8777" s="8"/>
      <c r="E8777" s="6"/>
      <c r="F8777" s="6"/>
    </row>
    <row r="8778" spans="1:6" x14ac:dyDescent="0.3">
      <c r="A8778" s="8" t="s">
        <v>17513</v>
      </c>
      <c r="B8778" s="8" t="s">
        <v>62380</v>
      </c>
      <c r="C8778" s="8" t="s">
        <v>17514</v>
      </c>
      <c r="D8778" s="8"/>
      <c r="E8778" s="6"/>
      <c r="F8778" s="6"/>
    </row>
    <row r="8779" spans="1:6" x14ac:dyDescent="0.3">
      <c r="A8779" s="8" t="s">
        <v>17515</v>
      </c>
      <c r="B8779" s="8" t="s">
        <v>62381</v>
      </c>
      <c r="C8779" s="8" t="s">
        <v>17516</v>
      </c>
      <c r="D8779" s="8"/>
      <c r="E8779" s="6"/>
      <c r="F8779" s="6"/>
    </row>
    <row r="8780" spans="1:6" x14ac:dyDescent="0.3">
      <c r="A8780" s="8" t="s">
        <v>17517</v>
      </c>
      <c r="B8780" s="8" t="s">
        <v>62382</v>
      </c>
      <c r="C8780" s="8" t="s">
        <v>17518</v>
      </c>
      <c r="D8780" s="8"/>
      <c r="E8780" s="6"/>
      <c r="F8780" s="6"/>
    </row>
    <row r="8781" spans="1:6" x14ac:dyDescent="0.3">
      <c r="A8781" s="8" t="s">
        <v>17519</v>
      </c>
      <c r="B8781" s="8" t="s">
        <v>62383</v>
      </c>
      <c r="C8781" s="8" t="s">
        <v>17520</v>
      </c>
      <c r="D8781" s="8"/>
      <c r="E8781" s="6"/>
      <c r="F8781" s="6"/>
    </row>
    <row r="8782" spans="1:6" x14ac:dyDescent="0.3">
      <c r="A8782" s="8" t="s">
        <v>17521</v>
      </c>
      <c r="B8782" s="8" t="s">
        <v>62384</v>
      </c>
      <c r="C8782" s="8" t="s">
        <v>17522</v>
      </c>
      <c r="D8782" s="8"/>
      <c r="E8782" s="6"/>
      <c r="F8782" s="6"/>
    </row>
    <row r="8783" spans="1:6" x14ac:dyDescent="0.3">
      <c r="A8783" s="8" t="s">
        <v>17523</v>
      </c>
      <c r="B8783" s="8" t="s">
        <v>62385</v>
      </c>
      <c r="C8783" s="8" t="s">
        <v>17524</v>
      </c>
      <c r="D8783" s="8"/>
      <c r="E8783" s="6"/>
      <c r="F8783" s="6"/>
    </row>
    <row r="8784" spans="1:6" x14ac:dyDescent="0.3">
      <c r="A8784" s="8" t="s">
        <v>17525</v>
      </c>
      <c r="B8784" s="8" t="s">
        <v>62386</v>
      </c>
      <c r="C8784" s="8" t="s">
        <v>17526</v>
      </c>
      <c r="D8784" s="8"/>
      <c r="E8784" s="6"/>
      <c r="F8784" s="6"/>
    </row>
    <row r="8785" spans="1:6" x14ac:dyDescent="0.3">
      <c r="A8785" s="8" t="s">
        <v>17527</v>
      </c>
      <c r="B8785" s="8" t="s">
        <v>62387</v>
      </c>
      <c r="C8785" s="8" t="s">
        <v>17528</v>
      </c>
      <c r="D8785" s="8"/>
      <c r="E8785" s="6"/>
      <c r="F8785" s="6"/>
    </row>
    <row r="8786" spans="1:6" x14ac:dyDescent="0.3">
      <c r="A8786" s="8" t="s">
        <v>17529</v>
      </c>
      <c r="B8786" s="8" t="s">
        <v>62388</v>
      </c>
      <c r="C8786" s="8" t="s">
        <v>17530</v>
      </c>
      <c r="D8786" s="8"/>
      <c r="E8786" s="6"/>
      <c r="F8786" s="6"/>
    </row>
    <row r="8787" spans="1:6" x14ac:dyDescent="0.3">
      <c r="A8787" s="8" t="s">
        <v>17531</v>
      </c>
      <c r="B8787" s="8" t="s">
        <v>62389</v>
      </c>
      <c r="C8787" s="8" t="s">
        <v>17532</v>
      </c>
      <c r="D8787" s="8"/>
      <c r="E8787" s="6"/>
      <c r="F8787" s="6"/>
    </row>
    <row r="8788" spans="1:6" x14ac:dyDescent="0.3">
      <c r="A8788" s="8" t="s">
        <v>17533</v>
      </c>
      <c r="B8788" s="8" t="s">
        <v>62390</v>
      </c>
      <c r="C8788" s="8" t="s">
        <v>17534</v>
      </c>
      <c r="D8788" s="8"/>
      <c r="E8788" s="6"/>
      <c r="F8788" s="6"/>
    </row>
    <row r="8789" spans="1:6" x14ac:dyDescent="0.3">
      <c r="A8789" s="8" t="s">
        <v>17535</v>
      </c>
      <c r="B8789" s="8" t="s">
        <v>62391</v>
      </c>
      <c r="C8789" s="8" t="s">
        <v>17536</v>
      </c>
      <c r="D8789" s="8"/>
      <c r="E8789" s="6"/>
      <c r="F8789" s="6"/>
    </row>
    <row r="8790" spans="1:6" x14ac:dyDescent="0.3">
      <c r="A8790" s="8" t="s">
        <v>17537</v>
      </c>
      <c r="B8790" s="8" t="s">
        <v>62392</v>
      </c>
      <c r="C8790" s="8" t="s">
        <v>17538</v>
      </c>
      <c r="D8790" s="8"/>
      <c r="E8790" s="6"/>
      <c r="F8790" s="6"/>
    </row>
    <row r="8791" spans="1:6" x14ac:dyDescent="0.3">
      <c r="A8791" s="8" t="s">
        <v>17539</v>
      </c>
      <c r="B8791" s="8" t="s">
        <v>62393</v>
      </c>
      <c r="C8791" s="8" t="s">
        <v>17540</v>
      </c>
      <c r="D8791" s="8"/>
      <c r="E8791" s="6"/>
      <c r="F8791" s="6"/>
    </row>
    <row r="8792" spans="1:6" x14ac:dyDescent="0.3">
      <c r="A8792" s="8" t="s">
        <v>17541</v>
      </c>
      <c r="B8792" s="8" t="s">
        <v>62394</v>
      </c>
      <c r="C8792" s="8" t="s">
        <v>17542</v>
      </c>
      <c r="D8792" s="8"/>
      <c r="E8792" s="6"/>
      <c r="F8792" s="6"/>
    </row>
    <row r="8793" spans="1:6" x14ac:dyDescent="0.3">
      <c r="A8793" s="8" t="s">
        <v>17543</v>
      </c>
      <c r="B8793" s="8" t="s">
        <v>62395</v>
      </c>
      <c r="C8793" s="8" t="s">
        <v>17544</v>
      </c>
      <c r="D8793" s="8"/>
      <c r="E8793" s="6"/>
      <c r="F8793" s="6"/>
    </row>
    <row r="8794" spans="1:6" x14ac:dyDescent="0.3">
      <c r="A8794" s="8" t="s">
        <v>17545</v>
      </c>
      <c r="B8794" s="8" t="s">
        <v>62396</v>
      </c>
      <c r="C8794" s="8" t="s">
        <v>17546</v>
      </c>
      <c r="D8794" s="8"/>
      <c r="E8794" s="6"/>
      <c r="F8794" s="6"/>
    </row>
    <row r="8795" spans="1:6" x14ac:dyDescent="0.3">
      <c r="A8795" s="8" t="s">
        <v>17547</v>
      </c>
      <c r="B8795" s="8" t="s">
        <v>62397</v>
      </c>
      <c r="C8795" s="8" t="s">
        <v>17548</v>
      </c>
      <c r="D8795" s="8"/>
      <c r="E8795" s="6"/>
      <c r="F8795" s="6"/>
    </row>
    <row r="8796" spans="1:6" x14ac:dyDescent="0.3">
      <c r="A8796" s="8" t="s">
        <v>17549</v>
      </c>
      <c r="B8796" s="8" t="s">
        <v>62398</v>
      </c>
      <c r="C8796" s="8" t="s">
        <v>17550</v>
      </c>
      <c r="D8796" s="8"/>
      <c r="E8796" s="6"/>
      <c r="F8796" s="6"/>
    </row>
    <row r="8797" spans="1:6" x14ac:dyDescent="0.3">
      <c r="A8797" s="8" t="s">
        <v>17551</v>
      </c>
      <c r="B8797" s="8" t="s">
        <v>62399</v>
      </c>
      <c r="C8797" s="8" t="s">
        <v>17552</v>
      </c>
      <c r="D8797" s="8"/>
      <c r="E8797" s="6"/>
      <c r="F8797" s="6"/>
    </row>
    <row r="8798" spans="1:6" x14ac:dyDescent="0.3">
      <c r="A8798" s="8" t="s">
        <v>17553</v>
      </c>
      <c r="B8798" s="8" t="s">
        <v>62400</v>
      </c>
      <c r="C8798" s="8" t="s">
        <v>17554</v>
      </c>
      <c r="D8798" s="8"/>
      <c r="E8798" s="6"/>
      <c r="F8798" s="6"/>
    </row>
    <row r="8799" spans="1:6" x14ac:dyDescent="0.3">
      <c r="A8799" s="8" t="s">
        <v>17555</v>
      </c>
      <c r="B8799" s="8" t="s">
        <v>62401</v>
      </c>
      <c r="C8799" s="8" t="s">
        <v>17556</v>
      </c>
      <c r="D8799" s="8"/>
      <c r="E8799" s="6"/>
      <c r="F8799" s="6"/>
    </row>
    <row r="8800" spans="1:6" x14ac:dyDescent="0.3">
      <c r="A8800" s="8" t="s">
        <v>17557</v>
      </c>
      <c r="B8800" s="8" t="s">
        <v>62402</v>
      </c>
      <c r="C8800" s="8" t="s">
        <v>17558</v>
      </c>
      <c r="D8800" s="8"/>
      <c r="E8800" s="6"/>
      <c r="F8800" s="6"/>
    </row>
    <row r="8801" spans="1:6" x14ac:dyDescent="0.3">
      <c r="A8801" s="8" t="s">
        <v>17559</v>
      </c>
      <c r="B8801" s="8" t="s">
        <v>62403</v>
      </c>
      <c r="C8801" s="8" t="s">
        <v>17560</v>
      </c>
      <c r="D8801" s="8"/>
      <c r="E8801" s="6"/>
      <c r="F8801" s="6"/>
    </row>
    <row r="8802" spans="1:6" x14ac:dyDescent="0.3">
      <c r="A8802" s="8" t="s">
        <v>17561</v>
      </c>
      <c r="B8802" s="8" t="s">
        <v>62404</v>
      </c>
      <c r="C8802" s="8" t="s">
        <v>17562</v>
      </c>
      <c r="D8802" s="8"/>
      <c r="E8802" s="6"/>
      <c r="F8802" s="6"/>
    </row>
    <row r="8803" spans="1:6" x14ac:dyDescent="0.3">
      <c r="A8803" s="8" t="s">
        <v>17563</v>
      </c>
      <c r="B8803" s="8" t="s">
        <v>62405</v>
      </c>
      <c r="C8803" s="8" t="s">
        <v>17564</v>
      </c>
      <c r="D8803" s="8"/>
      <c r="E8803" s="6"/>
      <c r="F8803" s="6"/>
    </row>
    <row r="8804" spans="1:6" x14ac:dyDescent="0.3">
      <c r="A8804" s="8" t="s">
        <v>17565</v>
      </c>
      <c r="B8804" s="8" t="s">
        <v>62406</v>
      </c>
      <c r="C8804" s="8" t="s">
        <v>17566</v>
      </c>
      <c r="D8804" s="8"/>
      <c r="E8804" s="6"/>
      <c r="F8804" s="6"/>
    </row>
    <row r="8805" spans="1:6" x14ac:dyDescent="0.3">
      <c r="A8805" s="8" t="s">
        <v>17567</v>
      </c>
      <c r="B8805" s="8" t="s">
        <v>62407</v>
      </c>
      <c r="C8805" s="8" t="s">
        <v>17568</v>
      </c>
      <c r="D8805" s="8"/>
      <c r="E8805" s="6"/>
      <c r="F8805" s="6"/>
    </row>
    <row r="8806" spans="1:6" x14ac:dyDescent="0.3">
      <c r="A8806" s="8" t="s">
        <v>17569</v>
      </c>
      <c r="B8806" s="8" t="s">
        <v>62408</v>
      </c>
      <c r="C8806" s="8" t="s">
        <v>17570</v>
      </c>
      <c r="D8806" s="8"/>
      <c r="E8806" s="6"/>
      <c r="F8806" s="6"/>
    </row>
    <row r="8807" spans="1:6" x14ac:dyDescent="0.3">
      <c r="A8807" s="8" t="s">
        <v>17571</v>
      </c>
      <c r="B8807" s="8" t="s">
        <v>62409</v>
      </c>
      <c r="C8807" s="8" t="s">
        <v>17572</v>
      </c>
      <c r="D8807" s="8"/>
      <c r="E8807" s="6"/>
      <c r="F8807" s="6"/>
    </row>
    <row r="8808" spans="1:6" x14ac:dyDescent="0.3">
      <c r="A8808" s="8" t="s">
        <v>17573</v>
      </c>
      <c r="B8808" s="8" t="s">
        <v>62410</v>
      </c>
      <c r="C8808" s="8" t="s">
        <v>17574</v>
      </c>
      <c r="D8808" s="8"/>
      <c r="E8808" s="6"/>
      <c r="F8808" s="6"/>
    </row>
    <row r="8809" spans="1:6" x14ac:dyDescent="0.3">
      <c r="A8809" s="8" t="s">
        <v>17575</v>
      </c>
      <c r="B8809" s="8" t="s">
        <v>62411</v>
      </c>
      <c r="C8809" s="8" t="s">
        <v>17576</v>
      </c>
      <c r="D8809" s="8"/>
      <c r="E8809" s="6"/>
      <c r="F8809" s="6"/>
    </row>
    <row r="8810" spans="1:6" x14ac:dyDescent="0.3">
      <c r="A8810" s="8" t="s">
        <v>17577</v>
      </c>
      <c r="B8810" s="8" t="s">
        <v>62412</v>
      </c>
      <c r="C8810" s="8" t="s">
        <v>17578</v>
      </c>
      <c r="D8810" s="8"/>
      <c r="E8810" s="6"/>
      <c r="F8810" s="6"/>
    </row>
    <row r="8811" spans="1:6" x14ac:dyDescent="0.3">
      <c r="A8811" s="8" t="s">
        <v>17579</v>
      </c>
      <c r="B8811" s="8" t="s">
        <v>62413</v>
      </c>
      <c r="C8811" s="8" t="s">
        <v>17580</v>
      </c>
      <c r="D8811" s="8"/>
      <c r="E8811" s="6"/>
      <c r="F8811" s="6"/>
    </row>
    <row r="8812" spans="1:6" x14ac:dyDescent="0.3">
      <c r="A8812" s="8" t="s">
        <v>17581</v>
      </c>
      <c r="B8812" s="8" t="s">
        <v>62414</v>
      </c>
      <c r="C8812" s="8" t="s">
        <v>17582</v>
      </c>
      <c r="D8812" s="8"/>
      <c r="E8812" s="6"/>
      <c r="F8812" s="6"/>
    </row>
    <row r="8813" spans="1:6" x14ac:dyDescent="0.3">
      <c r="A8813" s="8" t="s">
        <v>17583</v>
      </c>
      <c r="B8813" s="8" t="s">
        <v>62415</v>
      </c>
      <c r="C8813" s="8" t="s">
        <v>17584</v>
      </c>
      <c r="D8813" s="8"/>
      <c r="E8813" s="6"/>
      <c r="F8813" s="6"/>
    </row>
    <row r="8814" spans="1:6" x14ac:dyDescent="0.3">
      <c r="A8814" s="8" t="s">
        <v>17585</v>
      </c>
      <c r="B8814" s="8" t="s">
        <v>62416</v>
      </c>
      <c r="C8814" s="8" t="s">
        <v>17586</v>
      </c>
      <c r="D8814" s="8"/>
      <c r="E8814" s="6"/>
      <c r="F8814" s="6"/>
    </row>
    <row r="8815" spans="1:6" x14ac:dyDescent="0.3">
      <c r="A8815" s="8" t="s">
        <v>17587</v>
      </c>
      <c r="B8815" s="8" t="s">
        <v>62417</v>
      </c>
      <c r="C8815" s="8" t="s">
        <v>17588</v>
      </c>
      <c r="D8815" s="8"/>
      <c r="E8815" s="6"/>
      <c r="F8815" s="6"/>
    </row>
    <row r="8816" spans="1:6" x14ac:dyDescent="0.3">
      <c r="A8816" s="8" t="s">
        <v>17589</v>
      </c>
      <c r="B8816" s="8" t="s">
        <v>62418</v>
      </c>
      <c r="C8816" s="8" t="s">
        <v>17590</v>
      </c>
      <c r="D8816" s="8"/>
      <c r="E8816" s="6"/>
      <c r="F8816" s="6"/>
    </row>
    <row r="8817" spans="1:6" x14ac:dyDescent="0.3">
      <c r="A8817" s="8" t="s">
        <v>17591</v>
      </c>
      <c r="B8817" s="8" t="s">
        <v>62419</v>
      </c>
      <c r="C8817" s="8" t="s">
        <v>17592</v>
      </c>
      <c r="D8817" s="8"/>
      <c r="E8817" s="6"/>
      <c r="F8817" s="6"/>
    </row>
    <row r="8818" spans="1:6" x14ac:dyDescent="0.3">
      <c r="A8818" s="8" t="s">
        <v>17593</v>
      </c>
      <c r="B8818" s="8" t="s">
        <v>62420</v>
      </c>
      <c r="C8818" s="8" t="s">
        <v>17594</v>
      </c>
      <c r="D8818" s="8"/>
      <c r="E8818" s="6"/>
      <c r="F8818" s="6"/>
    </row>
    <row r="8819" spans="1:6" x14ac:dyDescent="0.3">
      <c r="A8819" s="8" t="s">
        <v>17595</v>
      </c>
      <c r="B8819" s="8" t="s">
        <v>62421</v>
      </c>
      <c r="C8819" s="8" t="s">
        <v>17596</v>
      </c>
      <c r="D8819" s="8"/>
      <c r="E8819" s="6"/>
      <c r="F8819" s="6"/>
    </row>
    <row r="8820" spans="1:6" x14ac:dyDescent="0.3">
      <c r="A8820" s="8" t="s">
        <v>17597</v>
      </c>
      <c r="B8820" s="8" t="s">
        <v>62422</v>
      </c>
      <c r="C8820" s="8" t="s">
        <v>17598</v>
      </c>
      <c r="D8820" s="8"/>
      <c r="E8820" s="6"/>
      <c r="F8820" s="6"/>
    </row>
    <row r="8821" spans="1:6" x14ac:dyDescent="0.3">
      <c r="A8821" s="8" t="s">
        <v>17599</v>
      </c>
      <c r="B8821" s="8" t="s">
        <v>62423</v>
      </c>
      <c r="C8821" s="8" t="s">
        <v>17600</v>
      </c>
      <c r="D8821" s="8"/>
      <c r="E8821" s="6"/>
      <c r="F8821" s="6"/>
    </row>
    <row r="8822" spans="1:6" x14ac:dyDescent="0.3">
      <c r="A8822" s="8" t="s">
        <v>17601</v>
      </c>
      <c r="B8822" s="8" t="s">
        <v>62424</v>
      </c>
      <c r="C8822" s="8" t="s">
        <v>17602</v>
      </c>
      <c r="D8822" s="8"/>
      <c r="E8822" s="6"/>
      <c r="F8822" s="6"/>
    </row>
    <row r="8823" spans="1:6" x14ac:dyDescent="0.3">
      <c r="A8823" s="8" t="s">
        <v>17603</v>
      </c>
      <c r="B8823" s="8" t="s">
        <v>62425</v>
      </c>
      <c r="C8823" s="8" t="s">
        <v>17604</v>
      </c>
      <c r="D8823" s="8"/>
      <c r="E8823" s="6"/>
      <c r="F8823" s="6"/>
    </row>
    <row r="8824" spans="1:6" x14ac:dyDescent="0.3">
      <c r="A8824" s="8" t="s">
        <v>17605</v>
      </c>
      <c r="B8824" s="8" t="s">
        <v>62426</v>
      </c>
      <c r="C8824" s="8" t="s">
        <v>17606</v>
      </c>
      <c r="D8824" s="8"/>
      <c r="E8824" s="6"/>
      <c r="F8824" s="6"/>
    </row>
    <row r="8825" spans="1:6" x14ac:dyDescent="0.3">
      <c r="A8825" s="8" t="s">
        <v>17607</v>
      </c>
      <c r="B8825" s="8" t="s">
        <v>62427</v>
      </c>
      <c r="C8825" s="8" t="s">
        <v>17608</v>
      </c>
      <c r="D8825" s="8"/>
      <c r="E8825" s="6"/>
      <c r="F8825" s="6"/>
    </row>
    <row r="8826" spans="1:6" x14ac:dyDescent="0.3">
      <c r="A8826" s="8" t="s">
        <v>17609</v>
      </c>
      <c r="B8826" s="8" t="s">
        <v>62428</v>
      </c>
      <c r="C8826" s="8" t="s">
        <v>17610</v>
      </c>
      <c r="D8826" s="8"/>
      <c r="E8826" s="6"/>
      <c r="F8826" s="6"/>
    </row>
    <row r="8827" spans="1:6" x14ac:dyDescent="0.3">
      <c r="A8827" s="8" t="s">
        <v>17611</v>
      </c>
      <c r="B8827" s="8" t="s">
        <v>62429</v>
      </c>
      <c r="C8827" s="8" t="s">
        <v>17612</v>
      </c>
      <c r="D8827" s="8"/>
      <c r="E8827" s="6"/>
      <c r="F8827" s="6"/>
    </row>
    <row r="8828" spans="1:6" x14ac:dyDescent="0.3">
      <c r="A8828" s="8" t="s">
        <v>17613</v>
      </c>
      <c r="B8828" s="8" t="s">
        <v>62430</v>
      </c>
      <c r="C8828" s="8" t="s">
        <v>17614</v>
      </c>
      <c r="D8828" s="8"/>
      <c r="E8828" s="6"/>
      <c r="F8828" s="6"/>
    </row>
    <row r="8829" spans="1:6" x14ac:dyDescent="0.3">
      <c r="A8829" s="8" t="s">
        <v>17615</v>
      </c>
      <c r="B8829" s="8" t="s">
        <v>62431</v>
      </c>
      <c r="C8829" s="8" t="s">
        <v>17616</v>
      </c>
      <c r="D8829" s="8"/>
      <c r="E8829" s="6"/>
      <c r="F8829" s="6"/>
    </row>
    <row r="8830" spans="1:6" x14ac:dyDescent="0.3">
      <c r="A8830" s="8" t="s">
        <v>17617</v>
      </c>
      <c r="B8830" s="8" t="s">
        <v>62432</v>
      </c>
      <c r="C8830" s="8" t="s">
        <v>17618</v>
      </c>
      <c r="D8830" s="8"/>
      <c r="E8830" s="6"/>
      <c r="F8830" s="6"/>
    </row>
    <row r="8831" spans="1:6" x14ac:dyDescent="0.3">
      <c r="A8831" s="8" t="s">
        <v>17619</v>
      </c>
      <c r="B8831" s="8" t="s">
        <v>62433</v>
      </c>
      <c r="C8831" s="8" t="s">
        <v>17620</v>
      </c>
      <c r="D8831" s="8"/>
      <c r="E8831" s="6"/>
      <c r="F8831" s="6"/>
    </row>
    <row r="8832" spans="1:6" x14ac:dyDescent="0.3">
      <c r="A8832" s="8" t="s">
        <v>17621</v>
      </c>
      <c r="B8832" s="8" t="s">
        <v>62434</v>
      </c>
      <c r="C8832" s="8" t="s">
        <v>17622</v>
      </c>
      <c r="D8832" s="8"/>
      <c r="E8832" s="6"/>
      <c r="F8832" s="6"/>
    </row>
    <row r="8833" spans="1:6" x14ac:dyDescent="0.3">
      <c r="A8833" s="8" t="s">
        <v>17623</v>
      </c>
      <c r="B8833" s="8" t="s">
        <v>62435</v>
      </c>
      <c r="C8833" s="8" t="s">
        <v>17624</v>
      </c>
      <c r="D8833" s="8"/>
      <c r="E8833" s="6"/>
      <c r="F8833" s="6"/>
    </row>
    <row r="8834" spans="1:6" x14ac:dyDescent="0.3">
      <c r="A8834" s="8" t="s">
        <v>17625</v>
      </c>
      <c r="B8834" s="8" t="s">
        <v>62436</v>
      </c>
      <c r="C8834" s="8" t="s">
        <v>17626</v>
      </c>
      <c r="D8834" s="8"/>
      <c r="E8834" s="6"/>
      <c r="F8834" s="6"/>
    </row>
    <row r="8835" spans="1:6" x14ac:dyDescent="0.3">
      <c r="A8835" s="8" t="s">
        <v>17627</v>
      </c>
      <c r="B8835" s="8" t="s">
        <v>62437</v>
      </c>
      <c r="C8835" s="8" t="s">
        <v>17628</v>
      </c>
      <c r="D8835" s="8"/>
      <c r="E8835" s="6"/>
      <c r="F8835" s="6"/>
    </row>
    <row r="8836" spans="1:6" x14ac:dyDescent="0.3">
      <c r="A8836" s="8" t="s">
        <v>17629</v>
      </c>
      <c r="B8836" s="8" t="s">
        <v>62438</v>
      </c>
      <c r="C8836" s="8" t="s">
        <v>17630</v>
      </c>
      <c r="D8836" s="8"/>
      <c r="E8836" s="6"/>
      <c r="F8836" s="6"/>
    </row>
    <row r="8837" spans="1:6" x14ac:dyDescent="0.3">
      <c r="A8837" s="8" t="s">
        <v>17631</v>
      </c>
      <c r="B8837" s="8" t="s">
        <v>62439</v>
      </c>
      <c r="C8837" s="8" t="s">
        <v>17632</v>
      </c>
      <c r="D8837" s="8"/>
      <c r="E8837" s="6"/>
      <c r="F8837" s="6"/>
    </row>
    <row r="8838" spans="1:6" x14ac:dyDescent="0.3">
      <c r="A8838" s="8" t="s">
        <v>17633</v>
      </c>
      <c r="B8838" s="8" t="s">
        <v>62440</v>
      </c>
      <c r="C8838" s="8" t="s">
        <v>17634</v>
      </c>
      <c r="D8838" s="8"/>
      <c r="E8838" s="6"/>
      <c r="F8838" s="6"/>
    </row>
    <row r="8839" spans="1:6" x14ac:dyDescent="0.3">
      <c r="A8839" s="8" t="s">
        <v>17635</v>
      </c>
      <c r="B8839" s="8" t="s">
        <v>62441</v>
      </c>
      <c r="C8839" s="8" t="s">
        <v>17636</v>
      </c>
      <c r="D8839" s="8"/>
      <c r="E8839" s="6"/>
      <c r="F8839" s="6"/>
    </row>
    <row r="8840" spans="1:6" x14ac:dyDescent="0.3">
      <c r="A8840" s="8" t="s">
        <v>17637</v>
      </c>
      <c r="B8840" s="8" t="s">
        <v>62442</v>
      </c>
      <c r="C8840" s="8" t="s">
        <v>17638</v>
      </c>
      <c r="D8840" s="8"/>
      <c r="E8840" s="6"/>
      <c r="F8840" s="6"/>
    </row>
    <row r="8841" spans="1:6" x14ac:dyDescent="0.3">
      <c r="A8841" s="8" t="s">
        <v>17639</v>
      </c>
      <c r="B8841" s="8" t="s">
        <v>62443</v>
      </c>
      <c r="C8841" s="8" t="s">
        <v>17640</v>
      </c>
      <c r="D8841" s="8"/>
      <c r="E8841" s="6"/>
      <c r="F8841" s="6"/>
    </row>
    <row r="8842" spans="1:6" x14ac:dyDescent="0.3">
      <c r="A8842" s="8" t="s">
        <v>17641</v>
      </c>
      <c r="B8842" s="8" t="s">
        <v>62444</v>
      </c>
      <c r="C8842" s="8" t="s">
        <v>17642</v>
      </c>
      <c r="D8842" s="8"/>
      <c r="E8842" s="6"/>
      <c r="F8842" s="6"/>
    </row>
    <row r="8843" spans="1:6" x14ac:dyDescent="0.3">
      <c r="A8843" s="8" t="s">
        <v>17643</v>
      </c>
      <c r="B8843" s="8" t="s">
        <v>62445</v>
      </c>
      <c r="C8843" s="8" t="s">
        <v>17644</v>
      </c>
      <c r="D8843" s="8"/>
      <c r="E8843" s="6"/>
      <c r="F8843" s="6"/>
    </row>
    <row r="8844" spans="1:6" x14ac:dyDescent="0.3">
      <c r="A8844" s="8" t="s">
        <v>17645</v>
      </c>
      <c r="B8844" s="8" t="s">
        <v>62446</v>
      </c>
      <c r="C8844" s="8" t="s">
        <v>17646</v>
      </c>
      <c r="D8844" s="8"/>
      <c r="E8844" s="6"/>
      <c r="F8844" s="6"/>
    </row>
    <row r="8845" spans="1:6" x14ac:dyDescent="0.3">
      <c r="A8845" s="8" t="s">
        <v>17647</v>
      </c>
      <c r="B8845" s="8" t="s">
        <v>62447</v>
      </c>
      <c r="C8845" s="8" t="s">
        <v>17648</v>
      </c>
      <c r="D8845" s="8"/>
      <c r="E8845" s="6"/>
      <c r="F8845" s="6"/>
    </row>
    <row r="8846" spans="1:6" x14ac:dyDescent="0.3">
      <c r="A8846" s="8" t="s">
        <v>17649</v>
      </c>
      <c r="B8846" s="8" t="s">
        <v>62448</v>
      </c>
      <c r="C8846" s="8" t="s">
        <v>17650</v>
      </c>
      <c r="D8846" s="8"/>
      <c r="E8846" s="6"/>
      <c r="F8846" s="6"/>
    </row>
    <row r="8847" spans="1:6" x14ac:dyDescent="0.3">
      <c r="A8847" s="8" t="s">
        <v>17651</v>
      </c>
      <c r="B8847" s="8" t="s">
        <v>62449</v>
      </c>
      <c r="C8847" s="8" t="s">
        <v>17652</v>
      </c>
      <c r="D8847" s="8"/>
      <c r="E8847" s="6"/>
      <c r="F8847" s="6"/>
    </row>
    <row r="8848" spans="1:6" x14ac:dyDescent="0.3">
      <c r="A8848" s="8" t="s">
        <v>17653</v>
      </c>
      <c r="B8848" s="8" t="s">
        <v>62450</v>
      </c>
      <c r="C8848" s="8" t="s">
        <v>17654</v>
      </c>
      <c r="D8848" s="8"/>
      <c r="E8848" s="6"/>
      <c r="F8848" s="6"/>
    </row>
    <row r="8849" spans="1:6" x14ac:dyDescent="0.3">
      <c r="A8849" s="8" t="s">
        <v>17655</v>
      </c>
      <c r="B8849" s="8" t="s">
        <v>62451</v>
      </c>
      <c r="C8849" s="8" t="s">
        <v>17656</v>
      </c>
      <c r="D8849" s="8"/>
      <c r="E8849" s="6"/>
      <c r="F8849" s="6"/>
    </row>
    <row r="8850" spans="1:6" x14ac:dyDescent="0.3">
      <c r="A8850" s="8" t="s">
        <v>17657</v>
      </c>
      <c r="B8850" s="8" t="s">
        <v>62452</v>
      </c>
      <c r="C8850" s="8" t="s">
        <v>17658</v>
      </c>
      <c r="D8850" s="8"/>
      <c r="E8850" s="6"/>
      <c r="F8850" s="6"/>
    </row>
    <row r="8851" spans="1:6" x14ac:dyDescent="0.3">
      <c r="A8851" s="8" t="s">
        <v>17659</v>
      </c>
      <c r="B8851" s="8" t="s">
        <v>62453</v>
      </c>
      <c r="C8851" s="8" t="s">
        <v>17660</v>
      </c>
      <c r="D8851" s="8"/>
      <c r="E8851" s="6"/>
      <c r="F8851" s="6"/>
    </row>
    <row r="8852" spans="1:6" x14ac:dyDescent="0.3">
      <c r="A8852" s="8" t="s">
        <v>17661</v>
      </c>
      <c r="B8852" s="8" t="s">
        <v>62454</v>
      </c>
      <c r="C8852" s="8" t="s">
        <v>17662</v>
      </c>
      <c r="D8852" s="8"/>
      <c r="E8852" s="6"/>
      <c r="F8852" s="6"/>
    </row>
    <row r="8853" spans="1:6" x14ac:dyDescent="0.3">
      <c r="A8853" s="8" t="s">
        <v>17663</v>
      </c>
      <c r="B8853" s="8" t="s">
        <v>62455</v>
      </c>
      <c r="C8853" s="8" t="s">
        <v>17664</v>
      </c>
      <c r="D8853" s="8"/>
      <c r="E8853" s="6"/>
      <c r="F8853" s="6"/>
    </row>
    <row r="8854" spans="1:6" x14ac:dyDescent="0.3">
      <c r="A8854" s="8" t="s">
        <v>17665</v>
      </c>
      <c r="B8854" s="8" t="s">
        <v>62456</v>
      </c>
      <c r="C8854" s="8" t="s">
        <v>17666</v>
      </c>
      <c r="D8854" s="8"/>
      <c r="E8854" s="6"/>
      <c r="F8854" s="6"/>
    </row>
    <row r="8855" spans="1:6" x14ac:dyDescent="0.3">
      <c r="A8855" s="8" t="s">
        <v>17667</v>
      </c>
      <c r="B8855" s="8" t="s">
        <v>62457</v>
      </c>
      <c r="C8855" s="8" t="s">
        <v>17668</v>
      </c>
      <c r="D8855" s="8"/>
      <c r="E8855" s="6"/>
      <c r="F8855" s="6"/>
    </row>
    <row r="8856" spans="1:6" x14ac:dyDescent="0.3">
      <c r="A8856" s="8" t="s">
        <v>17669</v>
      </c>
      <c r="B8856" s="8" t="s">
        <v>62458</v>
      </c>
      <c r="C8856" s="8" t="s">
        <v>17670</v>
      </c>
      <c r="D8856" s="8"/>
      <c r="E8856" s="6"/>
      <c r="F8856" s="6"/>
    </row>
    <row r="8857" spans="1:6" x14ac:dyDescent="0.3">
      <c r="A8857" s="8" t="s">
        <v>17671</v>
      </c>
      <c r="B8857" s="8" t="s">
        <v>62459</v>
      </c>
      <c r="C8857" s="8" t="s">
        <v>17672</v>
      </c>
      <c r="D8857" s="8"/>
      <c r="E8857" s="6"/>
      <c r="F8857" s="6"/>
    </row>
    <row r="8858" spans="1:6" x14ac:dyDescent="0.3">
      <c r="A8858" s="8" t="s">
        <v>17673</v>
      </c>
      <c r="B8858" s="8" t="s">
        <v>62460</v>
      </c>
      <c r="C8858" s="8" t="s">
        <v>17674</v>
      </c>
      <c r="D8858" s="8"/>
      <c r="E8858" s="6"/>
      <c r="F8858" s="6"/>
    </row>
    <row r="8859" spans="1:6" x14ac:dyDescent="0.3">
      <c r="A8859" s="8" t="s">
        <v>17675</v>
      </c>
      <c r="B8859" s="8" t="s">
        <v>62461</v>
      </c>
      <c r="C8859" s="8" t="s">
        <v>17676</v>
      </c>
      <c r="D8859" s="8"/>
      <c r="E8859" s="6"/>
      <c r="F8859" s="6"/>
    </row>
    <row r="8860" spans="1:6" x14ac:dyDescent="0.3">
      <c r="A8860" s="8" t="s">
        <v>17677</v>
      </c>
      <c r="B8860" s="8" t="s">
        <v>62462</v>
      </c>
      <c r="C8860" s="8" t="s">
        <v>17678</v>
      </c>
      <c r="D8860" s="8"/>
      <c r="E8860" s="6"/>
      <c r="F8860" s="6"/>
    </row>
    <row r="8861" spans="1:6" x14ac:dyDescent="0.3">
      <c r="A8861" s="8" t="s">
        <v>17679</v>
      </c>
      <c r="B8861" s="8" t="s">
        <v>62463</v>
      </c>
      <c r="C8861" s="8" t="s">
        <v>17680</v>
      </c>
      <c r="D8861" s="8"/>
      <c r="E8861" s="6"/>
      <c r="F8861" s="6"/>
    </row>
    <row r="8862" spans="1:6" x14ac:dyDescent="0.3">
      <c r="A8862" s="8" t="s">
        <v>17681</v>
      </c>
      <c r="B8862" s="8" t="s">
        <v>62464</v>
      </c>
      <c r="C8862" s="8" t="s">
        <v>17682</v>
      </c>
      <c r="D8862" s="8"/>
      <c r="E8862" s="6"/>
      <c r="F8862" s="6"/>
    </row>
    <row r="8863" spans="1:6" x14ac:dyDescent="0.3">
      <c r="A8863" s="8" t="s">
        <v>17683</v>
      </c>
      <c r="B8863" s="8" t="s">
        <v>62465</v>
      </c>
      <c r="C8863" s="8" t="s">
        <v>17684</v>
      </c>
      <c r="D8863" s="8"/>
      <c r="E8863" s="6"/>
      <c r="F8863" s="6"/>
    </row>
    <row r="8864" spans="1:6" x14ac:dyDescent="0.3">
      <c r="A8864" s="8" t="s">
        <v>17685</v>
      </c>
      <c r="B8864" s="8" t="s">
        <v>62466</v>
      </c>
      <c r="C8864" s="8" t="s">
        <v>17686</v>
      </c>
      <c r="D8864" s="8"/>
      <c r="E8864" s="6"/>
      <c r="F8864" s="6"/>
    </row>
    <row r="8865" spans="1:6" x14ac:dyDescent="0.3">
      <c r="A8865" s="8" t="s">
        <v>17687</v>
      </c>
      <c r="B8865" s="8" t="s">
        <v>62467</v>
      </c>
      <c r="C8865" s="8" t="s">
        <v>17688</v>
      </c>
      <c r="D8865" s="8"/>
      <c r="E8865" s="6"/>
      <c r="F8865" s="6"/>
    </row>
    <row r="8866" spans="1:6" x14ac:dyDescent="0.3">
      <c r="A8866" s="8" t="s">
        <v>17689</v>
      </c>
      <c r="B8866" s="8" t="s">
        <v>62468</v>
      </c>
      <c r="C8866" s="8" t="s">
        <v>17690</v>
      </c>
      <c r="D8866" s="8"/>
      <c r="E8866" s="6"/>
      <c r="F8866" s="6"/>
    </row>
    <row r="8867" spans="1:6" x14ac:dyDescent="0.3">
      <c r="A8867" s="8" t="s">
        <v>17691</v>
      </c>
      <c r="B8867" s="8" t="s">
        <v>62469</v>
      </c>
      <c r="C8867" s="8" t="s">
        <v>17692</v>
      </c>
      <c r="D8867" s="8"/>
      <c r="E8867" s="6"/>
      <c r="F8867" s="6"/>
    </row>
    <row r="8868" spans="1:6" x14ac:dyDescent="0.3">
      <c r="A8868" s="8" t="s">
        <v>17693</v>
      </c>
      <c r="B8868" s="8" t="s">
        <v>62470</v>
      </c>
      <c r="C8868" s="8" t="s">
        <v>17694</v>
      </c>
      <c r="D8868" s="8"/>
      <c r="E8868" s="6"/>
      <c r="F8868" s="6"/>
    </row>
    <row r="8869" spans="1:6" x14ac:dyDescent="0.3">
      <c r="A8869" s="8" t="s">
        <v>17695</v>
      </c>
      <c r="B8869" s="8" t="s">
        <v>62471</v>
      </c>
      <c r="C8869" s="8" t="s">
        <v>17696</v>
      </c>
      <c r="D8869" s="8"/>
      <c r="E8869" s="6"/>
      <c r="F8869" s="6"/>
    </row>
    <row r="8870" spans="1:6" x14ac:dyDescent="0.3">
      <c r="A8870" s="8" t="s">
        <v>17697</v>
      </c>
      <c r="B8870" s="8" t="s">
        <v>62472</v>
      </c>
      <c r="C8870" s="8" t="s">
        <v>17698</v>
      </c>
      <c r="D8870" s="8"/>
      <c r="E8870" s="6"/>
      <c r="F8870" s="6"/>
    </row>
    <row r="8871" spans="1:6" x14ac:dyDescent="0.3">
      <c r="A8871" s="8" t="s">
        <v>17699</v>
      </c>
      <c r="B8871" s="8" t="s">
        <v>62473</v>
      </c>
      <c r="C8871" s="8" t="s">
        <v>17700</v>
      </c>
      <c r="D8871" s="8"/>
      <c r="E8871" s="6"/>
      <c r="F8871" s="6"/>
    </row>
    <row r="8872" spans="1:6" x14ac:dyDescent="0.3">
      <c r="A8872" s="8" t="s">
        <v>17701</v>
      </c>
      <c r="B8872" s="8" t="s">
        <v>62474</v>
      </c>
      <c r="C8872" s="8" t="s">
        <v>17702</v>
      </c>
      <c r="D8872" s="8"/>
      <c r="E8872" s="6"/>
      <c r="F8872" s="6"/>
    </row>
    <row r="8873" spans="1:6" x14ac:dyDescent="0.3">
      <c r="A8873" s="8" t="s">
        <v>17703</v>
      </c>
      <c r="B8873" s="8" t="s">
        <v>62475</v>
      </c>
      <c r="C8873" s="8" t="s">
        <v>17704</v>
      </c>
      <c r="D8873" s="8"/>
      <c r="E8873" s="6"/>
      <c r="F8873" s="6"/>
    </row>
    <row r="8874" spans="1:6" x14ac:dyDescent="0.3">
      <c r="A8874" s="8" t="s">
        <v>17705</v>
      </c>
      <c r="B8874" s="8" t="s">
        <v>62476</v>
      </c>
      <c r="C8874" s="8" t="s">
        <v>17706</v>
      </c>
      <c r="D8874" s="8"/>
      <c r="E8874" s="6"/>
      <c r="F8874" s="6"/>
    </row>
    <row r="8875" spans="1:6" x14ac:dyDescent="0.3">
      <c r="A8875" s="8" t="s">
        <v>17707</v>
      </c>
      <c r="B8875" s="8" t="s">
        <v>62477</v>
      </c>
      <c r="C8875" s="8" t="s">
        <v>17708</v>
      </c>
      <c r="D8875" s="8"/>
      <c r="E8875" s="6"/>
      <c r="F8875" s="6"/>
    </row>
    <row r="8876" spans="1:6" x14ac:dyDescent="0.3">
      <c r="A8876" s="8" t="s">
        <v>17709</v>
      </c>
      <c r="B8876" s="8" t="s">
        <v>62478</v>
      </c>
      <c r="C8876" s="8" t="s">
        <v>17710</v>
      </c>
      <c r="D8876" s="8"/>
      <c r="E8876" s="6"/>
      <c r="F8876" s="6"/>
    </row>
    <row r="8877" spans="1:6" x14ac:dyDescent="0.3">
      <c r="A8877" s="8" t="s">
        <v>17711</v>
      </c>
      <c r="B8877" s="8" t="s">
        <v>62479</v>
      </c>
      <c r="C8877" s="8" t="s">
        <v>17712</v>
      </c>
      <c r="D8877" s="8"/>
      <c r="E8877" s="6"/>
      <c r="F8877" s="6"/>
    </row>
    <row r="8878" spans="1:6" x14ac:dyDescent="0.3">
      <c r="A8878" s="8" t="s">
        <v>17713</v>
      </c>
      <c r="B8878" s="8" t="s">
        <v>62480</v>
      </c>
      <c r="C8878" s="8" t="s">
        <v>17714</v>
      </c>
      <c r="D8878" s="8"/>
      <c r="E8878" s="6"/>
      <c r="F8878" s="6"/>
    </row>
    <row r="8879" spans="1:6" x14ac:dyDescent="0.3">
      <c r="A8879" s="8" t="s">
        <v>17715</v>
      </c>
      <c r="B8879" s="8" t="s">
        <v>62481</v>
      </c>
      <c r="C8879" s="8" t="s">
        <v>17716</v>
      </c>
      <c r="D8879" s="8"/>
      <c r="E8879" s="6"/>
      <c r="F8879" s="6"/>
    </row>
    <row r="8880" spans="1:6" x14ac:dyDescent="0.3">
      <c r="A8880" s="8" t="s">
        <v>17717</v>
      </c>
      <c r="B8880" s="8" t="s">
        <v>62482</v>
      </c>
      <c r="C8880" s="8" t="s">
        <v>17718</v>
      </c>
      <c r="D8880" s="8"/>
      <c r="E8880" s="6"/>
      <c r="F8880" s="6"/>
    </row>
    <row r="8881" spans="1:6" x14ac:dyDescent="0.3">
      <c r="A8881" s="8" t="s">
        <v>17719</v>
      </c>
      <c r="B8881" s="8" t="s">
        <v>62483</v>
      </c>
      <c r="C8881" s="8" t="s">
        <v>17720</v>
      </c>
      <c r="D8881" s="8"/>
      <c r="E8881" s="6"/>
      <c r="F8881" s="6"/>
    </row>
    <row r="8882" spans="1:6" x14ac:dyDescent="0.3">
      <c r="A8882" s="8" t="s">
        <v>17721</v>
      </c>
      <c r="B8882" s="8" t="s">
        <v>62484</v>
      </c>
      <c r="C8882" s="8" t="s">
        <v>17722</v>
      </c>
      <c r="D8882" s="8"/>
      <c r="E8882" s="6"/>
      <c r="F8882" s="6"/>
    </row>
    <row r="8883" spans="1:6" x14ac:dyDescent="0.3">
      <c r="A8883" s="8" t="s">
        <v>17723</v>
      </c>
      <c r="B8883" s="8" t="s">
        <v>62485</v>
      </c>
      <c r="C8883" s="8" t="s">
        <v>17724</v>
      </c>
      <c r="D8883" s="8"/>
      <c r="E8883" s="6"/>
      <c r="F8883" s="6"/>
    </row>
    <row r="8884" spans="1:6" x14ac:dyDescent="0.3">
      <c r="A8884" s="8" t="s">
        <v>17725</v>
      </c>
      <c r="B8884" s="8" t="s">
        <v>62486</v>
      </c>
      <c r="C8884" s="8" t="s">
        <v>17726</v>
      </c>
      <c r="D8884" s="8"/>
      <c r="E8884" s="6"/>
      <c r="F8884" s="6"/>
    </row>
    <row r="8885" spans="1:6" x14ac:dyDescent="0.3">
      <c r="A8885" s="8" t="s">
        <v>17727</v>
      </c>
      <c r="B8885" s="8" t="s">
        <v>62487</v>
      </c>
      <c r="C8885" s="8" t="s">
        <v>17728</v>
      </c>
      <c r="D8885" s="8"/>
      <c r="E8885" s="6"/>
      <c r="F8885" s="6"/>
    </row>
    <row r="8886" spans="1:6" x14ac:dyDescent="0.3">
      <c r="A8886" s="8" t="s">
        <v>17729</v>
      </c>
      <c r="B8886" s="8" t="s">
        <v>62488</v>
      </c>
      <c r="C8886" s="8" t="s">
        <v>17730</v>
      </c>
      <c r="D8886" s="8"/>
      <c r="E8886" s="6"/>
      <c r="F8886" s="6"/>
    </row>
    <row r="8887" spans="1:6" x14ac:dyDescent="0.3">
      <c r="A8887" s="8" t="s">
        <v>17731</v>
      </c>
      <c r="B8887" s="8" t="s">
        <v>62489</v>
      </c>
      <c r="C8887" s="8" t="s">
        <v>17732</v>
      </c>
      <c r="D8887" s="8"/>
      <c r="E8887" s="6"/>
      <c r="F8887" s="6"/>
    </row>
    <row r="8888" spans="1:6" x14ac:dyDescent="0.3">
      <c r="A8888" s="8" t="s">
        <v>17733</v>
      </c>
      <c r="B8888" s="8" t="s">
        <v>62490</v>
      </c>
      <c r="C8888" s="8" t="s">
        <v>17734</v>
      </c>
      <c r="D8888" s="8"/>
      <c r="E8888" s="6"/>
      <c r="F8888" s="6"/>
    </row>
    <row r="8889" spans="1:6" x14ac:dyDescent="0.3">
      <c r="A8889" s="8" t="s">
        <v>17735</v>
      </c>
      <c r="B8889" s="8" t="s">
        <v>62491</v>
      </c>
      <c r="C8889" s="8" t="s">
        <v>17736</v>
      </c>
      <c r="D8889" s="8"/>
      <c r="E8889" s="6"/>
      <c r="F8889" s="6"/>
    </row>
    <row r="8890" spans="1:6" x14ac:dyDescent="0.3">
      <c r="A8890" s="8" t="s">
        <v>17737</v>
      </c>
      <c r="B8890" s="8" t="s">
        <v>62492</v>
      </c>
      <c r="C8890" s="8" t="s">
        <v>17738</v>
      </c>
      <c r="D8890" s="8"/>
      <c r="E8890" s="6"/>
      <c r="F8890" s="6"/>
    </row>
    <row r="8891" spans="1:6" x14ac:dyDescent="0.3">
      <c r="A8891" s="8" t="s">
        <v>17739</v>
      </c>
      <c r="B8891" s="8" t="s">
        <v>62493</v>
      </c>
      <c r="C8891" s="8" t="s">
        <v>17740</v>
      </c>
      <c r="D8891" s="8"/>
      <c r="E8891" s="6"/>
      <c r="F8891" s="6"/>
    </row>
    <row r="8892" spans="1:6" x14ac:dyDescent="0.3">
      <c r="A8892" s="8" t="s">
        <v>17741</v>
      </c>
      <c r="B8892" s="8" t="s">
        <v>62494</v>
      </c>
      <c r="C8892" s="8" t="s">
        <v>17742</v>
      </c>
      <c r="D8892" s="8"/>
      <c r="E8892" s="6"/>
      <c r="F8892" s="6"/>
    </row>
    <row r="8893" spans="1:6" x14ac:dyDescent="0.3">
      <c r="A8893" s="8" t="s">
        <v>17743</v>
      </c>
      <c r="B8893" s="8" t="s">
        <v>62495</v>
      </c>
      <c r="C8893" s="8" t="s">
        <v>17744</v>
      </c>
      <c r="D8893" s="8"/>
      <c r="E8893" s="6"/>
      <c r="F8893" s="6"/>
    </row>
    <row r="8894" spans="1:6" x14ac:dyDescent="0.3">
      <c r="A8894" s="8" t="s">
        <v>17745</v>
      </c>
      <c r="B8894" s="8" t="s">
        <v>62496</v>
      </c>
      <c r="C8894" s="8" t="s">
        <v>17746</v>
      </c>
      <c r="D8894" s="8"/>
      <c r="E8894" s="6"/>
      <c r="F8894" s="6"/>
    </row>
    <row r="8895" spans="1:6" x14ac:dyDescent="0.3">
      <c r="A8895" s="8" t="s">
        <v>17747</v>
      </c>
      <c r="B8895" s="8" t="s">
        <v>62497</v>
      </c>
      <c r="C8895" s="8" t="s">
        <v>17748</v>
      </c>
      <c r="D8895" s="8"/>
      <c r="E8895" s="6"/>
      <c r="F8895" s="6"/>
    </row>
    <row r="8896" spans="1:6" x14ac:dyDescent="0.3">
      <c r="A8896" s="8" t="s">
        <v>17749</v>
      </c>
      <c r="B8896" s="8" t="s">
        <v>62498</v>
      </c>
      <c r="C8896" s="8" t="s">
        <v>17750</v>
      </c>
      <c r="D8896" s="8"/>
      <c r="E8896" s="6"/>
      <c r="F8896" s="6"/>
    </row>
    <row r="8897" spans="1:6" x14ac:dyDescent="0.3">
      <c r="A8897" s="8" t="s">
        <v>17751</v>
      </c>
      <c r="B8897" s="8" t="s">
        <v>62499</v>
      </c>
      <c r="C8897" s="8" t="s">
        <v>17752</v>
      </c>
      <c r="D8897" s="8"/>
      <c r="E8897" s="6"/>
      <c r="F8897" s="6"/>
    </row>
    <row r="8898" spans="1:6" x14ac:dyDescent="0.3">
      <c r="A8898" s="8" t="s">
        <v>17753</v>
      </c>
      <c r="B8898" s="8" t="s">
        <v>62500</v>
      </c>
      <c r="C8898" s="8" t="s">
        <v>17754</v>
      </c>
      <c r="D8898" s="8"/>
      <c r="E8898" s="6"/>
      <c r="F8898" s="6"/>
    </row>
    <row r="8899" spans="1:6" x14ac:dyDescent="0.3">
      <c r="A8899" s="8" t="s">
        <v>17755</v>
      </c>
      <c r="B8899" s="8" t="s">
        <v>62501</v>
      </c>
      <c r="C8899" s="8" t="s">
        <v>17756</v>
      </c>
      <c r="D8899" s="8"/>
      <c r="E8899" s="6"/>
      <c r="F8899" s="6"/>
    </row>
    <row r="8900" spans="1:6" x14ac:dyDescent="0.3">
      <c r="A8900" s="8" t="s">
        <v>17757</v>
      </c>
      <c r="B8900" s="8" t="s">
        <v>62502</v>
      </c>
      <c r="C8900" s="8" t="s">
        <v>17758</v>
      </c>
      <c r="D8900" s="8"/>
      <c r="E8900" s="6"/>
      <c r="F8900" s="6"/>
    </row>
    <row r="8901" spans="1:6" x14ac:dyDescent="0.3">
      <c r="A8901" s="8" t="s">
        <v>17759</v>
      </c>
      <c r="B8901" s="8" t="s">
        <v>62503</v>
      </c>
      <c r="C8901" s="8" t="s">
        <v>17760</v>
      </c>
      <c r="D8901" s="8"/>
      <c r="E8901" s="6"/>
      <c r="F8901" s="6"/>
    </row>
    <row r="8902" spans="1:6" x14ac:dyDescent="0.3">
      <c r="A8902" s="8" t="s">
        <v>17761</v>
      </c>
      <c r="B8902" s="8" t="s">
        <v>62504</v>
      </c>
      <c r="C8902" s="8" t="s">
        <v>17762</v>
      </c>
      <c r="D8902" s="8"/>
      <c r="E8902" s="6"/>
      <c r="F8902" s="6"/>
    </row>
    <row r="8903" spans="1:6" x14ac:dyDescent="0.3">
      <c r="A8903" s="8" t="s">
        <v>17763</v>
      </c>
      <c r="B8903" s="8" t="s">
        <v>62505</v>
      </c>
      <c r="C8903" s="8" t="s">
        <v>17764</v>
      </c>
      <c r="D8903" s="8"/>
      <c r="E8903" s="6"/>
      <c r="F8903" s="6"/>
    </row>
    <row r="8904" spans="1:6" x14ac:dyDescent="0.3">
      <c r="A8904" s="8" t="s">
        <v>17765</v>
      </c>
      <c r="B8904" s="8" t="s">
        <v>62506</v>
      </c>
      <c r="C8904" s="8" t="s">
        <v>17766</v>
      </c>
      <c r="D8904" s="8"/>
      <c r="E8904" s="6"/>
      <c r="F8904" s="6"/>
    </row>
    <row r="8905" spans="1:6" x14ac:dyDescent="0.3">
      <c r="A8905" s="8" t="s">
        <v>17767</v>
      </c>
      <c r="B8905" s="8" t="s">
        <v>62507</v>
      </c>
      <c r="C8905" s="8" t="s">
        <v>17768</v>
      </c>
      <c r="D8905" s="8"/>
      <c r="E8905" s="6"/>
      <c r="F8905" s="6"/>
    </row>
    <row r="8906" spans="1:6" x14ac:dyDescent="0.3">
      <c r="A8906" s="8" t="s">
        <v>17769</v>
      </c>
      <c r="B8906" s="8" t="s">
        <v>62508</v>
      </c>
      <c r="C8906" s="8" t="s">
        <v>17770</v>
      </c>
      <c r="D8906" s="8"/>
      <c r="E8906" s="6"/>
      <c r="F8906" s="6"/>
    </row>
    <row r="8907" spans="1:6" x14ac:dyDescent="0.3">
      <c r="A8907" s="8" t="s">
        <v>17771</v>
      </c>
      <c r="B8907" s="8" t="s">
        <v>62509</v>
      </c>
      <c r="C8907" s="8" t="s">
        <v>17772</v>
      </c>
      <c r="D8907" s="8"/>
      <c r="E8907" s="6"/>
      <c r="F8907" s="6"/>
    </row>
    <row r="8908" spans="1:6" x14ac:dyDescent="0.3">
      <c r="A8908" s="8" t="s">
        <v>17773</v>
      </c>
      <c r="B8908" s="8" t="s">
        <v>62510</v>
      </c>
      <c r="C8908" s="8" t="s">
        <v>17774</v>
      </c>
      <c r="D8908" s="8"/>
      <c r="E8908" s="6"/>
      <c r="F8908" s="6"/>
    </row>
    <row r="8909" spans="1:6" x14ac:dyDescent="0.3">
      <c r="A8909" s="8" t="s">
        <v>17775</v>
      </c>
      <c r="B8909" s="8" t="s">
        <v>62511</v>
      </c>
      <c r="C8909" s="8" t="s">
        <v>17776</v>
      </c>
      <c r="D8909" s="8"/>
      <c r="E8909" s="6"/>
      <c r="F8909" s="6"/>
    </row>
    <row r="8910" spans="1:6" x14ac:dyDescent="0.3">
      <c r="A8910" s="8" t="s">
        <v>17777</v>
      </c>
      <c r="B8910" s="8" t="s">
        <v>62512</v>
      </c>
      <c r="C8910" s="8" t="s">
        <v>17778</v>
      </c>
      <c r="D8910" s="8"/>
      <c r="E8910" s="6"/>
      <c r="F8910" s="6"/>
    </row>
    <row r="8911" spans="1:6" x14ac:dyDescent="0.3">
      <c r="A8911" s="8" t="s">
        <v>17779</v>
      </c>
      <c r="B8911" s="8" t="s">
        <v>62513</v>
      </c>
      <c r="C8911" s="8" t="s">
        <v>17780</v>
      </c>
      <c r="D8911" s="8"/>
      <c r="E8911" s="6"/>
      <c r="F8911" s="6"/>
    </row>
    <row r="8912" spans="1:6" x14ac:dyDescent="0.3">
      <c r="A8912" s="8" t="s">
        <v>17781</v>
      </c>
      <c r="B8912" s="8" t="s">
        <v>62514</v>
      </c>
      <c r="C8912" s="8" t="s">
        <v>17782</v>
      </c>
      <c r="D8912" s="8"/>
      <c r="E8912" s="6"/>
      <c r="F8912" s="6"/>
    </row>
    <row r="8913" spans="1:6" x14ac:dyDescent="0.3">
      <c r="A8913" s="8" t="s">
        <v>17783</v>
      </c>
      <c r="B8913" s="8" t="s">
        <v>62515</v>
      </c>
      <c r="C8913" s="8" t="s">
        <v>17784</v>
      </c>
      <c r="D8913" s="8"/>
      <c r="E8913" s="6"/>
      <c r="F8913" s="6"/>
    </row>
    <row r="8914" spans="1:6" x14ac:dyDescent="0.3">
      <c r="A8914" s="8" t="s">
        <v>17785</v>
      </c>
      <c r="B8914" s="8" t="s">
        <v>62516</v>
      </c>
      <c r="C8914" s="8" t="s">
        <v>17786</v>
      </c>
      <c r="D8914" s="8"/>
      <c r="E8914" s="6"/>
      <c r="F8914" s="6"/>
    </row>
    <row r="8915" spans="1:6" x14ac:dyDescent="0.3">
      <c r="A8915" s="8" t="s">
        <v>17787</v>
      </c>
      <c r="B8915" s="8" t="s">
        <v>62517</v>
      </c>
      <c r="C8915" s="8" t="s">
        <v>17788</v>
      </c>
      <c r="D8915" s="8"/>
      <c r="E8915" s="6"/>
      <c r="F8915" s="6"/>
    </row>
    <row r="8916" spans="1:6" x14ac:dyDescent="0.3">
      <c r="A8916" s="8" t="s">
        <v>17789</v>
      </c>
      <c r="B8916" s="8" t="s">
        <v>62518</v>
      </c>
      <c r="C8916" s="8" t="s">
        <v>17790</v>
      </c>
      <c r="D8916" s="8"/>
      <c r="E8916" s="6"/>
      <c r="F8916" s="6"/>
    </row>
    <row r="8917" spans="1:6" x14ac:dyDescent="0.3">
      <c r="A8917" s="8" t="s">
        <v>17791</v>
      </c>
      <c r="B8917" s="8" t="s">
        <v>62519</v>
      </c>
      <c r="C8917" s="8" t="s">
        <v>17792</v>
      </c>
      <c r="D8917" s="8"/>
      <c r="E8917" s="6"/>
      <c r="F8917" s="6"/>
    </row>
    <row r="8918" spans="1:6" x14ac:dyDescent="0.3">
      <c r="A8918" s="8" t="s">
        <v>17793</v>
      </c>
      <c r="B8918" s="8" t="s">
        <v>62520</v>
      </c>
      <c r="C8918" s="8" t="s">
        <v>17794</v>
      </c>
      <c r="D8918" s="8"/>
      <c r="E8918" s="6"/>
      <c r="F8918" s="6"/>
    </row>
    <row r="8919" spans="1:6" x14ac:dyDescent="0.3">
      <c r="A8919" s="8" t="s">
        <v>17795</v>
      </c>
      <c r="B8919" s="8" t="s">
        <v>62521</v>
      </c>
      <c r="C8919" s="8" t="s">
        <v>17796</v>
      </c>
      <c r="D8919" s="8"/>
      <c r="E8919" s="6"/>
      <c r="F8919" s="6"/>
    </row>
    <row r="8920" spans="1:6" x14ac:dyDescent="0.3">
      <c r="A8920" s="8" t="s">
        <v>17797</v>
      </c>
      <c r="B8920" s="8" t="s">
        <v>62522</v>
      </c>
      <c r="C8920" s="8" t="s">
        <v>17798</v>
      </c>
      <c r="D8920" s="8"/>
      <c r="E8920" s="6"/>
      <c r="F8920" s="6"/>
    </row>
    <row r="8921" spans="1:6" x14ac:dyDescent="0.3">
      <c r="A8921" s="8" t="s">
        <v>17799</v>
      </c>
      <c r="B8921" s="8" t="s">
        <v>62523</v>
      </c>
      <c r="C8921" s="8" t="s">
        <v>17800</v>
      </c>
      <c r="D8921" s="8"/>
      <c r="E8921" s="6"/>
      <c r="F8921" s="6"/>
    </row>
    <row r="8922" spans="1:6" x14ac:dyDescent="0.3">
      <c r="A8922" s="8" t="s">
        <v>17801</v>
      </c>
      <c r="B8922" s="8" t="s">
        <v>62524</v>
      </c>
      <c r="C8922" s="8" t="s">
        <v>17802</v>
      </c>
      <c r="D8922" s="8"/>
      <c r="E8922" s="6"/>
      <c r="F8922" s="6"/>
    </row>
    <row r="8923" spans="1:6" x14ac:dyDescent="0.3">
      <c r="A8923" s="8" t="s">
        <v>17803</v>
      </c>
      <c r="B8923" s="8" t="s">
        <v>62525</v>
      </c>
      <c r="C8923" s="8" t="s">
        <v>17804</v>
      </c>
      <c r="D8923" s="8"/>
      <c r="E8923" s="6"/>
      <c r="F8923" s="6"/>
    </row>
    <row r="8924" spans="1:6" x14ac:dyDescent="0.3">
      <c r="A8924" s="8" t="s">
        <v>17805</v>
      </c>
      <c r="B8924" s="8" t="s">
        <v>62526</v>
      </c>
      <c r="C8924" s="8" t="s">
        <v>17806</v>
      </c>
      <c r="D8924" s="8"/>
      <c r="E8924" s="6"/>
      <c r="F8924" s="6"/>
    </row>
    <row r="8925" spans="1:6" x14ac:dyDescent="0.3">
      <c r="A8925" s="8" t="s">
        <v>17807</v>
      </c>
      <c r="B8925" s="8" t="s">
        <v>62527</v>
      </c>
      <c r="C8925" s="8" t="s">
        <v>17808</v>
      </c>
      <c r="D8925" s="8"/>
      <c r="E8925" s="6"/>
      <c r="F8925" s="6"/>
    </row>
    <row r="8926" spans="1:6" x14ac:dyDescent="0.3">
      <c r="A8926" s="8" t="s">
        <v>17809</v>
      </c>
      <c r="B8926" s="8" t="s">
        <v>62528</v>
      </c>
      <c r="C8926" s="8" t="s">
        <v>17810</v>
      </c>
      <c r="D8926" s="8"/>
      <c r="E8926" s="6"/>
      <c r="F8926" s="6"/>
    </row>
    <row r="8927" spans="1:6" x14ac:dyDescent="0.3">
      <c r="A8927" s="8" t="s">
        <v>17811</v>
      </c>
      <c r="B8927" s="8" t="s">
        <v>62529</v>
      </c>
      <c r="C8927" s="8" t="s">
        <v>17812</v>
      </c>
      <c r="D8927" s="8"/>
      <c r="E8927" s="6"/>
      <c r="F8927" s="6"/>
    </row>
    <row r="8928" spans="1:6" x14ac:dyDescent="0.3">
      <c r="A8928" s="8" t="s">
        <v>17813</v>
      </c>
      <c r="B8928" s="8" t="s">
        <v>62530</v>
      </c>
      <c r="C8928" s="8" t="s">
        <v>17814</v>
      </c>
      <c r="D8928" s="8"/>
      <c r="E8928" s="6"/>
      <c r="F8928" s="6"/>
    </row>
    <row r="8929" spans="1:6" x14ac:dyDescent="0.3">
      <c r="A8929" s="8" t="s">
        <v>17815</v>
      </c>
      <c r="B8929" s="8" t="s">
        <v>62531</v>
      </c>
      <c r="C8929" s="8" t="s">
        <v>17816</v>
      </c>
      <c r="D8929" s="8"/>
      <c r="E8929" s="6"/>
      <c r="F8929" s="6"/>
    </row>
    <row r="8930" spans="1:6" x14ac:dyDescent="0.3">
      <c r="A8930" s="8" t="s">
        <v>17817</v>
      </c>
      <c r="B8930" s="8" t="s">
        <v>62532</v>
      </c>
      <c r="C8930" s="8" t="s">
        <v>17818</v>
      </c>
      <c r="D8930" s="8"/>
      <c r="E8930" s="6"/>
      <c r="F8930" s="6"/>
    </row>
    <row r="8931" spans="1:6" x14ac:dyDescent="0.3">
      <c r="A8931" s="8" t="s">
        <v>17819</v>
      </c>
      <c r="B8931" s="8" t="s">
        <v>62533</v>
      </c>
      <c r="C8931" s="8" t="s">
        <v>17820</v>
      </c>
      <c r="D8931" s="8"/>
      <c r="E8931" s="6"/>
      <c r="F8931" s="6"/>
    </row>
    <row r="8932" spans="1:6" x14ac:dyDescent="0.3">
      <c r="A8932" s="8" t="s">
        <v>17821</v>
      </c>
      <c r="B8932" s="8" t="s">
        <v>62534</v>
      </c>
      <c r="C8932" s="8" t="s">
        <v>17822</v>
      </c>
      <c r="D8932" s="8"/>
      <c r="E8932" s="6"/>
      <c r="F8932" s="6"/>
    </row>
    <row r="8933" spans="1:6" x14ac:dyDescent="0.3">
      <c r="A8933" s="8" t="s">
        <v>17823</v>
      </c>
      <c r="B8933" s="8" t="s">
        <v>62535</v>
      </c>
      <c r="C8933" s="8" t="s">
        <v>17824</v>
      </c>
      <c r="D8933" s="8"/>
      <c r="E8933" s="6"/>
      <c r="F8933" s="6"/>
    </row>
    <row r="8934" spans="1:6" x14ac:dyDescent="0.3">
      <c r="A8934" s="8" t="s">
        <v>17825</v>
      </c>
      <c r="B8934" s="8" t="s">
        <v>62536</v>
      </c>
      <c r="C8934" s="8" t="s">
        <v>17826</v>
      </c>
      <c r="D8934" s="8"/>
      <c r="E8934" s="6"/>
      <c r="F8934" s="6"/>
    </row>
    <row r="8935" spans="1:6" x14ac:dyDescent="0.3">
      <c r="A8935" s="8" t="s">
        <v>17827</v>
      </c>
      <c r="B8935" s="8" t="s">
        <v>62537</v>
      </c>
      <c r="C8935" s="8" t="s">
        <v>17828</v>
      </c>
      <c r="D8935" s="8"/>
      <c r="E8935" s="6"/>
      <c r="F8935" s="6"/>
    </row>
    <row r="8936" spans="1:6" x14ac:dyDescent="0.3">
      <c r="A8936" s="8" t="s">
        <v>17829</v>
      </c>
      <c r="B8936" s="8" t="s">
        <v>62538</v>
      </c>
      <c r="C8936" s="8" t="s">
        <v>17830</v>
      </c>
      <c r="D8936" s="8"/>
      <c r="E8936" s="6"/>
      <c r="F8936" s="6"/>
    </row>
    <row r="8937" spans="1:6" x14ac:dyDescent="0.3">
      <c r="A8937" s="8" t="s">
        <v>17831</v>
      </c>
      <c r="B8937" s="8" t="s">
        <v>62539</v>
      </c>
      <c r="C8937" s="8" t="s">
        <v>17832</v>
      </c>
      <c r="D8937" s="8"/>
      <c r="E8937" s="6"/>
      <c r="F8937" s="6"/>
    </row>
    <row r="8938" spans="1:6" x14ac:dyDescent="0.3">
      <c r="A8938" s="8" t="s">
        <v>17833</v>
      </c>
      <c r="B8938" s="8" t="s">
        <v>62540</v>
      </c>
      <c r="C8938" s="8" t="s">
        <v>17834</v>
      </c>
      <c r="D8938" s="8"/>
      <c r="E8938" s="6"/>
      <c r="F8938" s="6"/>
    </row>
    <row r="8939" spans="1:6" x14ac:dyDescent="0.3">
      <c r="A8939" s="8" t="s">
        <v>17835</v>
      </c>
      <c r="B8939" s="8" t="s">
        <v>62541</v>
      </c>
      <c r="C8939" s="8" t="s">
        <v>17836</v>
      </c>
      <c r="D8939" s="8"/>
      <c r="E8939" s="6"/>
      <c r="F8939" s="6"/>
    </row>
    <row r="8940" spans="1:6" x14ac:dyDescent="0.3">
      <c r="A8940" s="8" t="s">
        <v>17837</v>
      </c>
      <c r="B8940" s="8" t="s">
        <v>62542</v>
      </c>
      <c r="C8940" s="8" t="s">
        <v>17838</v>
      </c>
      <c r="D8940" s="8"/>
      <c r="E8940" s="6"/>
      <c r="F8940" s="6"/>
    </row>
    <row r="8941" spans="1:6" x14ac:dyDescent="0.3">
      <c r="A8941" s="8" t="s">
        <v>17839</v>
      </c>
      <c r="B8941" s="8" t="s">
        <v>62543</v>
      </c>
      <c r="C8941" s="8" t="s">
        <v>17840</v>
      </c>
      <c r="D8941" s="8"/>
      <c r="E8941" s="6"/>
      <c r="F8941" s="6"/>
    </row>
    <row r="8942" spans="1:6" x14ac:dyDescent="0.3">
      <c r="A8942" s="8" t="s">
        <v>17841</v>
      </c>
      <c r="B8942" s="8" t="s">
        <v>62544</v>
      </c>
      <c r="C8942" s="8" t="s">
        <v>17842</v>
      </c>
      <c r="D8942" s="8"/>
      <c r="E8942" s="6"/>
      <c r="F8942" s="6"/>
    </row>
    <row r="8943" spans="1:6" x14ac:dyDescent="0.3">
      <c r="A8943" s="8" t="s">
        <v>17843</v>
      </c>
      <c r="B8943" s="8" t="s">
        <v>62545</v>
      </c>
      <c r="C8943" s="8" t="s">
        <v>17844</v>
      </c>
      <c r="D8943" s="8"/>
      <c r="E8943" s="6"/>
      <c r="F8943" s="6"/>
    </row>
    <row r="8944" spans="1:6" x14ac:dyDescent="0.3">
      <c r="A8944" s="8" t="s">
        <v>17845</v>
      </c>
      <c r="B8944" s="8" t="s">
        <v>62546</v>
      </c>
      <c r="C8944" s="8" t="s">
        <v>17846</v>
      </c>
      <c r="D8944" s="8"/>
      <c r="E8944" s="6"/>
      <c r="F8944" s="6"/>
    </row>
    <row r="8945" spans="1:6" x14ac:dyDescent="0.3">
      <c r="A8945" s="8" t="s">
        <v>17847</v>
      </c>
      <c r="B8945" s="8" t="s">
        <v>62547</v>
      </c>
      <c r="C8945" s="8" t="s">
        <v>17848</v>
      </c>
      <c r="D8945" s="8"/>
      <c r="E8945" s="6"/>
      <c r="F8945" s="6"/>
    </row>
    <row r="8946" spans="1:6" x14ac:dyDescent="0.3">
      <c r="A8946" s="8" t="s">
        <v>17849</v>
      </c>
      <c r="B8946" s="8" t="s">
        <v>62548</v>
      </c>
      <c r="C8946" s="8" t="s">
        <v>17850</v>
      </c>
      <c r="D8946" s="8"/>
      <c r="E8946" s="6"/>
      <c r="F8946" s="6"/>
    </row>
    <row r="8947" spans="1:6" x14ac:dyDescent="0.3">
      <c r="A8947" s="8" t="s">
        <v>17851</v>
      </c>
      <c r="B8947" s="8" t="s">
        <v>62549</v>
      </c>
      <c r="C8947" s="8" t="s">
        <v>17852</v>
      </c>
      <c r="D8947" s="8"/>
      <c r="E8947" s="6"/>
      <c r="F8947" s="6"/>
    </row>
    <row r="8948" spans="1:6" x14ac:dyDescent="0.3">
      <c r="A8948" s="8" t="s">
        <v>17853</v>
      </c>
      <c r="B8948" s="8" t="s">
        <v>62550</v>
      </c>
      <c r="C8948" s="8" t="s">
        <v>17854</v>
      </c>
      <c r="D8948" s="8"/>
      <c r="E8948" s="6"/>
      <c r="F8948" s="6"/>
    </row>
    <row r="8949" spans="1:6" x14ac:dyDescent="0.3">
      <c r="A8949" s="8" t="s">
        <v>17855</v>
      </c>
      <c r="B8949" s="8" t="s">
        <v>62551</v>
      </c>
      <c r="C8949" s="8" t="s">
        <v>17856</v>
      </c>
      <c r="D8949" s="8"/>
      <c r="E8949" s="6"/>
      <c r="F8949" s="6"/>
    </row>
    <row r="8950" spans="1:6" x14ac:dyDescent="0.3">
      <c r="A8950" s="8" t="s">
        <v>17857</v>
      </c>
      <c r="B8950" s="8" t="s">
        <v>62552</v>
      </c>
      <c r="C8950" s="8" t="s">
        <v>17858</v>
      </c>
      <c r="D8950" s="8"/>
      <c r="E8950" s="6"/>
      <c r="F8950" s="6"/>
    </row>
    <row r="8951" spans="1:6" x14ac:dyDescent="0.3">
      <c r="A8951" s="8" t="s">
        <v>17859</v>
      </c>
      <c r="B8951" s="8" t="s">
        <v>62553</v>
      </c>
      <c r="C8951" s="8" t="s">
        <v>17860</v>
      </c>
      <c r="D8951" s="8"/>
      <c r="E8951" s="6"/>
      <c r="F8951" s="6"/>
    </row>
    <row r="8952" spans="1:6" x14ac:dyDescent="0.3">
      <c r="A8952" s="8" t="s">
        <v>17861</v>
      </c>
      <c r="B8952" s="8" t="s">
        <v>62554</v>
      </c>
      <c r="C8952" s="8" t="s">
        <v>17862</v>
      </c>
      <c r="D8952" s="8"/>
      <c r="E8952" s="6"/>
      <c r="F8952" s="6"/>
    </row>
    <row r="8953" spans="1:6" x14ac:dyDescent="0.3">
      <c r="A8953" s="8" t="s">
        <v>17863</v>
      </c>
      <c r="B8953" s="8" t="s">
        <v>62555</v>
      </c>
      <c r="C8953" s="8" t="s">
        <v>17864</v>
      </c>
      <c r="D8953" s="8"/>
      <c r="E8953" s="6"/>
      <c r="F8953" s="6"/>
    </row>
    <row r="8954" spans="1:6" x14ac:dyDescent="0.3">
      <c r="A8954" s="8" t="s">
        <v>17865</v>
      </c>
      <c r="B8954" s="8" t="s">
        <v>62556</v>
      </c>
      <c r="C8954" s="8" t="s">
        <v>17866</v>
      </c>
      <c r="D8954" s="8"/>
      <c r="E8954" s="6"/>
      <c r="F8954" s="6"/>
    </row>
    <row r="8955" spans="1:6" x14ac:dyDescent="0.3">
      <c r="A8955" s="8" t="s">
        <v>17867</v>
      </c>
      <c r="B8955" s="8" t="s">
        <v>62557</v>
      </c>
      <c r="C8955" s="8" t="s">
        <v>17868</v>
      </c>
      <c r="D8955" s="8"/>
      <c r="E8955" s="6"/>
      <c r="F8955" s="6"/>
    </row>
    <row r="8956" spans="1:6" x14ac:dyDescent="0.3">
      <c r="A8956" s="8" t="s">
        <v>17869</v>
      </c>
      <c r="B8956" s="8" t="s">
        <v>62558</v>
      </c>
      <c r="C8956" s="8" t="s">
        <v>17870</v>
      </c>
      <c r="D8956" s="8"/>
      <c r="E8956" s="6"/>
      <c r="F8956" s="6"/>
    </row>
    <row r="8957" spans="1:6" x14ac:dyDescent="0.3">
      <c r="A8957" s="8" t="s">
        <v>17871</v>
      </c>
      <c r="B8957" s="8" t="s">
        <v>62559</v>
      </c>
      <c r="C8957" s="8" t="s">
        <v>17872</v>
      </c>
      <c r="D8957" s="8"/>
      <c r="E8957" s="6"/>
      <c r="F8957" s="6"/>
    </row>
    <row r="8958" spans="1:6" x14ac:dyDescent="0.3">
      <c r="A8958" s="8" t="s">
        <v>17873</v>
      </c>
      <c r="B8958" s="8" t="s">
        <v>62560</v>
      </c>
      <c r="C8958" s="8" t="s">
        <v>17874</v>
      </c>
      <c r="D8958" s="8"/>
      <c r="E8958" s="6"/>
      <c r="F8958" s="6"/>
    </row>
    <row r="8959" spans="1:6" x14ac:dyDescent="0.3">
      <c r="A8959" s="8" t="s">
        <v>17875</v>
      </c>
      <c r="B8959" s="8" t="s">
        <v>62561</v>
      </c>
      <c r="C8959" s="8" t="s">
        <v>17876</v>
      </c>
      <c r="D8959" s="8"/>
      <c r="E8959" s="6"/>
      <c r="F8959" s="6"/>
    </row>
    <row r="8960" spans="1:6" x14ac:dyDescent="0.3">
      <c r="A8960" s="8" t="s">
        <v>17877</v>
      </c>
      <c r="B8960" s="8" t="s">
        <v>62562</v>
      </c>
      <c r="C8960" s="8" t="s">
        <v>17878</v>
      </c>
      <c r="D8960" s="8"/>
      <c r="E8960" s="6"/>
      <c r="F8960" s="6"/>
    </row>
    <row r="8961" spans="1:6" x14ac:dyDescent="0.3">
      <c r="A8961" s="8" t="s">
        <v>17879</v>
      </c>
      <c r="B8961" s="8" t="s">
        <v>62563</v>
      </c>
      <c r="C8961" s="8" t="s">
        <v>17880</v>
      </c>
      <c r="D8961" s="8"/>
      <c r="E8961" s="6"/>
      <c r="F8961" s="6"/>
    </row>
    <row r="8962" spans="1:6" x14ac:dyDescent="0.3">
      <c r="A8962" s="8" t="s">
        <v>17881</v>
      </c>
      <c r="B8962" s="8" t="s">
        <v>62564</v>
      </c>
      <c r="C8962" s="8" t="s">
        <v>17882</v>
      </c>
      <c r="D8962" s="8"/>
      <c r="E8962" s="6"/>
      <c r="F8962" s="6"/>
    </row>
    <row r="8963" spans="1:6" x14ac:dyDescent="0.3">
      <c r="A8963" s="8" t="s">
        <v>17883</v>
      </c>
      <c r="B8963" s="8" t="s">
        <v>62565</v>
      </c>
      <c r="C8963" s="8" t="s">
        <v>17884</v>
      </c>
      <c r="D8963" s="8"/>
      <c r="E8963" s="6"/>
      <c r="F8963" s="6"/>
    </row>
    <row r="8964" spans="1:6" x14ac:dyDescent="0.3">
      <c r="A8964" s="8" t="s">
        <v>17885</v>
      </c>
      <c r="B8964" s="8" t="s">
        <v>62566</v>
      </c>
      <c r="C8964" s="8" t="s">
        <v>17886</v>
      </c>
      <c r="D8964" s="8"/>
      <c r="E8964" s="6"/>
      <c r="F8964" s="6"/>
    </row>
    <row r="8965" spans="1:6" x14ac:dyDescent="0.3">
      <c r="A8965" s="8" t="s">
        <v>17887</v>
      </c>
      <c r="B8965" s="8" t="s">
        <v>62567</v>
      </c>
      <c r="C8965" s="8" t="s">
        <v>17888</v>
      </c>
      <c r="D8965" s="8"/>
      <c r="E8965" s="6"/>
      <c r="F8965" s="6"/>
    </row>
    <row r="8966" spans="1:6" x14ac:dyDescent="0.3">
      <c r="A8966" s="8" t="s">
        <v>17889</v>
      </c>
      <c r="B8966" s="8" t="s">
        <v>62568</v>
      </c>
      <c r="C8966" s="8" t="s">
        <v>17890</v>
      </c>
      <c r="D8966" s="8"/>
      <c r="E8966" s="6"/>
      <c r="F8966" s="6"/>
    </row>
    <row r="8967" spans="1:6" x14ac:dyDescent="0.3">
      <c r="A8967" s="8" t="s">
        <v>17891</v>
      </c>
      <c r="B8967" s="8" t="s">
        <v>62569</v>
      </c>
      <c r="C8967" s="8" t="s">
        <v>17892</v>
      </c>
      <c r="D8967" s="8"/>
      <c r="E8967" s="6"/>
      <c r="F8967" s="6"/>
    </row>
    <row r="8968" spans="1:6" x14ac:dyDescent="0.3">
      <c r="A8968" s="8" t="s">
        <v>17893</v>
      </c>
      <c r="B8968" s="8" t="s">
        <v>62570</v>
      </c>
      <c r="C8968" s="8" t="s">
        <v>17894</v>
      </c>
      <c r="D8968" s="8"/>
      <c r="E8968" s="6"/>
      <c r="F8968" s="6"/>
    </row>
    <row r="8969" spans="1:6" x14ac:dyDescent="0.3">
      <c r="A8969" s="8" t="s">
        <v>17895</v>
      </c>
      <c r="B8969" s="8" t="s">
        <v>62571</v>
      </c>
      <c r="C8969" s="8" t="s">
        <v>17896</v>
      </c>
      <c r="D8969" s="8"/>
      <c r="E8969" s="6"/>
      <c r="F8969" s="6"/>
    </row>
    <row r="8970" spans="1:6" x14ac:dyDescent="0.3">
      <c r="A8970" s="8" t="s">
        <v>17897</v>
      </c>
      <c r="B8970" s="8" t="s">
        <v>62572</v>
      </c>
      <c r="C8970" s="8" t="s">
        <v>17898</v>
      </c>
      <c r="D8970" s="8"/>
      <c r="E8970" s="6"/>
      <c r="F8970" s="6"/>
    </row>
    <row r="8971" spans="1:6" x14ac:dyDescent="0.3">
      <c r="A8971" s="8" t="s">
        <v>17899</v>
      </c>
      <c r="B8971" s="8" t="s">
        <v>62573</v>
      </c>
      <c r="C8971" s="8" t="s">
        <v>17900</v>
      </c>
      <c r="D8971" s="8"/>
      <c r="E8971" s="6"/>
      <c r="F8971" s="6"/>
    </row>
    <row r="8972" spans="1:6" x14ac:dyDescent="0.3">
      <c r="A8972" s="8" t="s">
        <v>17901</v>
      </c>
      <c r="B8972" s="8" t="s">
        <v>62574</v>
      </c>
      <c r="C8972" s="8" t="s">
        <v>17902</v>
      </c>
      <c r="D8972" s="8"/>
      <c r="E8972" s="6"/>
      <c r="F8972" s="6"/>
    </row>
    <row r="8973" spans="1:6" x14ac:dyDescent="0.3">
      <c r="A8973" s="8" t="s">
        <v>17903</v>
      </c>
      <c r="B8973" s="8" t="s">
        <v>62575</v>
      </c>
      <c r="C8973" s="8" t="s">
        <v>17904</v>
      </c>
      <c r="D8973" s="8"/>
      <c r="E8973" s="6"/>
      <c r="F8973" s="6"/>
    </row>
    <row r="8974" spans="1:6" x14ac:dyDescent="0.3">
      <c r="A8974" s="8" t="s">
        <v>17905</v>
      </c>
      <c r="B8974" s="8" t="s">
        <v>62576</v>
      </c>
      <c r="C8974" s="8" t="s">
        <v>17906</v>
      </c>
      <c r="D8974" s="8"/>
      <c r="E8974" s="6"/>
      <c r="F8974" s="6"/>
    </row>
    <row r="8975" spans="1:6" x14ac:dyDescent="0.3">
      <c r="A8975" s="8" t="s">
        <v>17907</v>
      </c>
      <c r="B8975" s="8" t="s">
        <v>62577</v>
      </c>
      <c r="C8975" s="8" t="s">
        <v>17908</v>
      </c>
      <c r="D8975" s="8"/>
      <c r="E8975" s="6"/>
      <c r="F8975" s="6"/>
    </row>
    <row r="8976" spans="1:6" x14ac:dyDescent="0.3">
      <c r="A8976" s="8" t="s">
        <v>17909</v>
      </c>
      <c r="B8976" s="8" t="s">
        <v>62578</v>
      </c>
      <c r="C8976" s="8" t="s">
        <v>17910</v>
      </c>
      <c r="D8976" s="8"/>
      <c r="E8976" s="6"/>
      <c r="F8976" s="6"/>
    </row>
    <row r="8977" spans="1:6" x14ac:dyDescent="0.3">
      <c r="A8977" s="8" t="s">
        <v>17911</v>
      </c>
      <c r="B8977" s="8" t="s">
        <v>62579</v>
      </c>
      <c r="C8977" s="8" t="s">
        <v>17912</v>
      </c>
      <c r="D8977" s="8"/>
      <c r="E8977" s="6"/>
      <c r="F8977" s="6"/>
    </row>
    <row r="8978" spans="1:6" x14ac:dyDescent="0.3">
      <c r="A8978" s="8" t="s">
        <v>17913</v>
      </c>
      <c r="B8978" s="8" t="s">
        <v>62580</v>
      </c>
      <c r="C8978" s="8" t="s">
        <v>17914</v>
      </c>
      <c r="D8978" s="8"/>
      <c r="E8978" s="6"/>
      <c r="F8978" s="6"/>
    </row>
    <row r="8979" spans="1:6" x14ac:dyDescent="0.3">
      <c r="A8979" s="8" t="s">
        <v>17915</v>
      </c>
      <c r="B8979" s="8" t="s">
        <v>62581</v>
      </c>
      <c r="C8979" s="8" t="s">
        <v>17916</v>
      </c>
      <c r="D8979" s="8"/>
      <c r="E8979" s="6"/>
      <c r="F8979" s="6"/>
    </row>
    <row r="8980" spans="1:6" x14ac:dyDescent="0.3">
      <c r="A8980" s="8" t="s">
        <v>17917</v>
      </c>
      <c r="B8980" s="8" t="s">
        <v>62582</v>
      </c>
      <c r="C8980" s="8" t="s">
        <v>17918</v>
      </c>
      <c r="D8980" s="8"/>
      <c r="E8980" s="6"/>
      <c r="F8980" s="6"/>
    </row>
    <row r="8981" spans="1:6" x14ac:dyDescent="0.3">
      <c r="A8981" s="8" t="s">
        <v>17919</v>
      </c>
      <c r="B8981" s="8" t="s">
        <v>62583</v>
      </c>
      <c r="C8981" s="8" t="s">
        <v>17920</v>
      </c>
      <c r="D8981" s="8"/>
      <c r="E8981" s="6"/>
      <c r="F8981" s="6"/>
    </row>
    <row r="8982" spans="1:6" x14ac:dyDescent="0.3">
      <c r="A8982" s="8" t="s">
        <v>17921</v>
      </c>
      <c r="B8982" s="8" t="s">
        <v>62584</v>
      </c>
      <c r="C8982" s="8" t="s">
        <v>17922</v>
      </c>
      <c r="D8982" s="8"/>
      <c r="E8982" s="6"/>
      <c r="F8982" s="6"/>
    </row>
    <row r="8983" spans="1:6" x14ac:dyDescent="0.3">
      <c r="A8983" s="8" t="s">
        <v>17923</v>
      </c>
      <c r="B8983" s="8" t="s">
        <v>62585</v>
      </c>
      <c r="C8983" s="8" t="s">
        <v>17924</v>
      </c>
      <c r="D8983" s="8"/>
      <c r="E8983" s="6"/>
      <c r="F8983" s="6"/>
    </row>
    <row r="8984" spans="1:6" x14ac:dyDescent="0.3">
      <c r="A8984" s="8" t="s">
        <v>17925</v>
      </c>
      <c r="B8984" s="8" t="s">
        <v>62586</v>
      </c>
      <c r="C8984" s="8" t="s">
        <v>17926</v>
      </c>
      <c r="D8984" s="8"/>
      <c r="E8984" s="6"/>
      <c r="F8984" s="6"/>
    </row>
    <row r="8985" spans="1:6" x14ac:dyDescent="0.3">
      <c r="A8985" s="8" t="s">
        <v>17927</v>
      </c>
      <c r="B8985" s="8" t="s">
        <v>62587</v>
      </c>
      <c r="C8985" s="8" t="s">
        <v>17928</v>
      </c>
      <c r="D8985" s="8"/>
      <c r="E8985" s="6"/>
      <c r="F8985" s="6"/>
    </row>
    <row r="8986" spans="1:6" x14ac:dyDescent="0.3">
      <c r="A8986" s="8" t="s">
        <v>17929</v>
      </c>
      <c r="B8986" s="8" t="s">
        <v>62588</v>
      </c>
      <c r="C8986" s="8" t="s">
        <v>17930</v>
      </c>
      <c r="D8986" s="8"/>
      <c r="E8986" s="6"/>
      <c r="F8986" s="6"/>
    </row>
    <row r="8987" spans="1:6" x14ac:dyDescent="0.3">
      <c r="A8987" s="8" t="s">
        <v>17931</v>
      </c>
      <c r="B8987" s="8" t="s">
        <v>62589</v>
      </c>
      <c r="C8987" s="8" t="s">
        <v>17932</v>
      </c>
      <c r="D8987" s="8"/>
      <c r="E8987" s="6"/>
      <c r="F8987" s="6"/>
    </row>
    <row r="8988" spans="1:6" x14ac:dyDescent="0.3">
      <c r="A8988" s="8" t="s">
        <v>17933</v>
      </c>
      <c r="B8988" s="8" t="s">
        <v>62590</v>
      </c>
      <c r="C8988" s="8" t="s">
        <v>17934</v>
      </c>
      <c r="D8988" s="8"/>
      <c r="E8988" s="6"/>
      <c r="F8988" s="6"/>
    </row>
    <row r="8989" spans="1:6" x14ac:dyDescent="0.3">
      <c r="A8989" s="8" t="s">
        <v>17935</v>
      </c>
      <c r="B8989" s="8" t="s">
        <v>62591</v>
      </c>
      <c r="C8989" s="8" t="s">
        <v>17936</v>
      </c>
      <c r="D8989" s="8"/>
      <c r="E8989" s="6"/>
      <c r="F8989" s="6"/>
    </row>
    <row r="8990" spans="1:6" x14ac:dyDescent="0.3">
      <c r="A8990" s="8" t="s">
        <v>17937</v>
      </c>
      <c r="B8990" s="8" t="s">
        <v>62592</v>
      </c>
      <c r="C8990" s="8" t="s">
        <v>17938</v>
      </c>
      <c r="D8990" s="8"/>
      <c r="E8990" s="6"/>
      <c r="F8990" s="6"/>
    </row>
    <row r="8991" spans="1:6" x14ac:dyDescent="0.3">
      <c r="A8991" s="8" t="s">
        <v>17939</v>
      </c>
      <c r="B8991" s="8" t="s">
        <v>62593</v>
      </c>
      <c r="C8991" s="8" t="s">
        <v>17940</v>
      </c>
      <c r="D8991" s="8"/>
      <c r="E8991" s="6"/>
      <c r="F8991" s="6"/>
    </row>
    <row r="8992" spans="1:6" x14ac:dyDescent="0.3">
      <c r="A8992" s="8" t="s">
        <v>17941</v>
      </c>
      <c r="B8992" s="8" t="s">
        <v>62594</v>
      </c>
      <c r="C8992" s="8" t="s">
        <v>17942</v>
      </c>
      <c r="D8992" s="8"/>
      <c r="E8992" s="6"/>
      <c r="F8992" s="6"/>
    </row>
    <row r="8993" spans="1:6" x14ac:dyDescent="0.3">
      <c r="A8993" s="8" t="s">
        <v>17943</v>
      </c>
      <c r="B8993" s="8" t="s">
        <v>62595</v>
      </c>
      <c r="C8993" s="8" t="s">
        <v>17944</v>
      </c>
      <c r="D8993" s="8"/>
      <c r="E8993" s="6"/>
      <c r="F8993" s="6"/>
    </row>
    <row r="8994" spans="1:6" x14ac:dyDescent="0.3">
      <c r="A8994" s="8" t="s">
        <v>17945</v>
      </c>
      <c r="B8994" s="8" t="s">
        <v>62596</v>
      </c>
      <c r="C8994" s="8" t="s">
        <v>17946</v>
      </c>
      <c r="D8994" s="8"/>
      <c r="E8994" s="6"/>
      <c r="F8994" s="6"/>
    </row>
    <row r="8995" spans="1:6" x14ac:dyDescent="0.3">
      <c r="A8995" s="8" t="s">
        <v>17947</v>
      </c>
      <c r="B8995" s="8" t="s">
        <v>62597</v>
      </c>
      <c r="C8995" s="8" t="s">
        <v>17948</v>
      </c>
      <c r="D8995" s="8"/>
      <c r="E8995" s="6"/>
      <c r="F8995" s="6"/>
    </row>
    <row r="8996" spans="1:6" x14ac:dyDescent="0.3">
      <c r="A8996" s="8" t="s">
        <v>17949</v>
      </c>
      <c r="B8996" s="8" t="s">
        <v>62598</v>
      </c>
      <c r="C8996" s="8" t="s">
        <v>17950</v>
      </c>
      <c r="D8996" s="8"/>
      <c r="E8996" s="6"/>
      <c r="F8996" s="6"/>
    </row>
    <row r="8997" spans="1:6" x14ac:dyDescent="0.3">
      <c r="A8997" s="8" t="s">
        <v>17951</v>
      </c>
      <c r="B8997" s="8" t="s">
        <v>62599</v>
      </c>
      <c r="C8997" s="8" t="s">
        <v>17952</v>
      </c>
      <c r="D8997" s="8"/>
      <c r="E8997" s="6"/>
      <c r="F8997" s="6"/>
    </row>
    <row r="8998" spans="1:6" x14ac:dyDescent="0.3">
      <c r="A8998" s="8" t="s">
        <v>17953</v>
      </c>
      <c r="B8998" s="8" t="s">
        <v>62600</v>
      </c>
      <c r="C8998" s="8" t="s">
        <v>17954</v>
      </c>
      <c r="D8998" s="8"/>
      <c r="E8998" s="6"/>
      <c r="F8998" s="6"/>
    </row>
    <row r="8999" spans="1:6" x14ac:dyDescent="0.3">
      <c r="A8999" s="8" t="s">
        <v>17955</v>
      </c>
      <c r="B8999" s="8" t="s">
        <v>62601</v>
      </c>
      <c r="C8999" s="8" t="s">
        <v>17956</v>
      </c>
      <c r="D8999" s="8"/>
      <c r="E8999" s="6"/>
      <c r="F8999" s="6"/>
    </row>
    <row r="9000" spans="1:6" x14ac:dyDescent="0.3">
      <c r="A9000" s="8" t="s">
        <v>17957</v>
      </c>
      <c r="B9000" s="8" t="s">
        <v>62602</v>
      </c>
      <c r="C9000" s="8" t="s">
        <v>17958</v>
      </c>
      <c r="D9000" s="8"/>
      <c r="E9000" s="6"/>
      <c r="F9000" s="6"/>
    </row>
    <row r="9001" spans="1:6" x14ac:dyDescent="0.3">
      <c r="A9001" s="8" t="s">
        <v>17959</v>
      </c>
      <c r="B9001" s="8" t="s">
        <v>62603</v>
      </c>
      <c r="C9001" s="8" t="s">
        <v>17960</v>
      </c>
      <c r="D9001" s="8"/>
      <c r="E9001" s="6"/>
      <c r="F9001" s="6"/>
    </row>
    <row r="9002" spans="1:6" x14ac:dyDescent="0.3">
      <c r="A9002" s="8" t="s">
        <v>17961</v>
      </c>
      <c r="B9002" s="8" t="s">
        <v>62604</v>
      </c>
      <c r="C9002" s="8" t="s">
        <v>17962</v>
      </c>
      <c r="D9002" s="8"/>
      <c r="E9002" s="6"/>
      <c r="F9002" s="6"/>
    </row>
    <row r="9003" spans="1:6" x14ac:dyDescent="0.3">
      <c r="A9003" s="8" t="s">
        <v>17963</v>
      </c>
      <c r="B9003" s="8" t="s">
        <v>62605</v>
      </c>
      <c r="C9003" s="8" t="s">
        <v>17964</v>
      </c>
      <c r="D9003" s="8"/>
      <c r="E9003" s="6"/>
      <c r="F9003" s="6"/>
    </row>
    <row r="9004" spans="1:6" x14ac:dyDescent="0.3">
      <c r="A9004" s="8" t="s">
        <v>17965</v>
      </c>
      <c r="B9004" s="8" t="s">
        <v>62606</v>
      </c>
      <c r="C9004" s="8" t="s">
        <v>17966</v>
      </c>
      <c r="D9004" s="8"/>
      <c r="E9004" s="6"/>
      <c r="F9004" s="6"/>
    </row>
    <row r="9005" spans="1:6" x14ac:dyDescent="0.3">
      <c r="A9005" s="8" t="s">
        <v>17967</v>
      </c>
      <c r="B9005" s="8" t="s">
        <v>62607</v>
      </c>
      <c r="C9005" s="8" t="s">
        <v>17968</v>
      </c>
      <c r="D9005" s="8"/>
      <c r="E9005" s="6"/>
      <c r="F9005" s="6"/>
    </row>
    <row r="9006" spans="1:6" x14ac:dyDescent="0.3">
      <c r="A9006" s="8" t="s">
        <v>17969</v>
      </c>
      <c r="B9006" s="8" t="s">
        <v>62608</v>
      </c>
      <c r="C9006" s="8" t="s">
        <v>17970</v>
      </c>
      <c r="D9006" s="8"/>
      <c r="E9006" s="6"/>
      <c r="F9006" s="6"/>
    </row>
    <row r="9007" spans="1:6" x14ac:dyDescent="0.3">
      <c r="A9007" s="8" t="s">
        <v>17971</v>
      </c>
      <c r="B9007" s="8" t="s">
        <v>62609</v>
      </c>
      <c r="C9007" s="8" t="s">
        <v>17972</v>
      </c>
      <c r="D9007" s="8"/>
      <c r="E9007" s="6"/>
      <c r="F9007" s="6"/>
    </row>
    <row r="9008" spans="1:6" x14ac:dyDescent="0.3">
      <c r="A9008" s="8" t="s">
        <v>17973</v>
      </c>
      <c r="B9008" s="8" t="s">
        <v>62610</v>
      </c>
      <c r="C9008" s="8" t="s">
        <v>17974</v>
      </c>
      <c r="D9008" s="8"/>
      <c r="E9008" s="6"/>
      <c r="F9008" s="6"/>
    </row>
    <row r="9009" spans="1:6" x14ac:dyDescent="0.3">
      <c r="A9009" s="8" t="s">
        <v>17975</v>
      </c>
      <c r="B9009" s="8" t="s">
        <v>62611</v>
      </c>
      <c r="C9009" s="8" t="s">
        <v>17976</v>
      </c>
      <c r="D9009" s="8"/>
      <c r="E9009" s="6"/>
      <c r="F9009" s="6"/>
    </row>
    <row r="9010" spans="1:6" x14ac:dyDescent="0.3">
      <c r="A9010" s="8" t="s">
        <v>17977</v>
      </c>
      <c r="B9010" s="8" t="s">
        <v>62612</v>
      </c>
      <c r="C9010" s="8" t="s">
        <v>17978</v>
      </c>
      <c r="D9010" s="8"/>
      <c r="E9010" s="6"/>
      <c r="F9010" s="6"/>
    </row>
    <row r="9011" spans="1:6" x14ac:dyDescent="0.3">
      <c r="A9011" s="8" t="s">
        <v>17979</v>
      </c>
      <c r="B9011" s="8" t="s">
        <v>62613</v>
      </c>
      <c r="C9011" s="8" t="s">
        <v>17980</v>
      </c>
      <c r="D9011" s="8"/>
      <c r="E9011" s="6"/>
      <c r="F9011" s="6"/>
    </row>
    <row r="9012" spans="1:6" x14ac:dyDescent="0.3">
      <c r="A9012" s="8" t="s">
        <v>17981</v>
      </c>
      <c r="B9012" s="8" t="s">
        <v>62614</v>
      </c>
      <c r="C9012" s="8" t="s">
        <v>17982</v>
      </c>
      <c r="D9012" s="8"/>
      <c r="E9012" s="6"/>
      <c r="F9012" s="6"/>
    </row>
    <row r="9013" spans="1:6" x14ac:dyDescent="0.3">
      <c r="A9013" s="8" t="s">
        <v>17983</v>
      </c>
      <c r="B9013" s="8" t="s">
        <v>62615</v>
      </c>
      <c r="C9013" s="8" t="s">
        <v>17984</v>
      </c>
      <c r="D9013" s="8"/>
      <c r="E9013" s="6"/>
      <c r="F9013" s="6"/>
    </row>
    <row r="9014" spans="1:6" x14ac:dyDescent="0.3">
      <c r="A9014" s="8" t="s">
        <v>17985</v>
      </c>
      <c r="B9014" s="8" t="s">
        <v>62616</v>
      </c>
      <c r="C9014" s="8" t="s">
        <v>17986</v>
      </c>
      <c r="D9014" s="8"/>
      <c r="E9014" s="6"/>
      <c r="F9014" s="6"/>
    </row>
    <row r="9015" spans="1:6" x14ac:dyDescent="0.3">
      <c r="A9015" s="8" t="s">
        <v>17987</v>
      </c>
      <c r="B9015" s="8" t="s">
        <v>62617</v>
      </c>
      <c r="C9015" s="8" t="s">
        <v>17988</v>
      </c>
      <c r="D9015" s="8"/>
      <c r="E9015" s="6"/>
      <c r="F9015" s="6"/>
    </row>
    <row r="9016" spans="1:6" x14ac:dyDescent="0.3">
      <c r="A9016" s="8" t="s">
        <v>17989</v>
      </c>
      <c r="B9016" s="8" t="s">
        <v>62618</v>
      </c>
      <c r="C9016" s="8" t="s">
        <v>17990</v>
      </c>
      <c r="D9016" s="8"/>
      <c r="E9016" s="6"/>
      <c r="F9016" s="6"/>
    </row>
    <row r="9017" spans="1:6" x14ac:dyDescent="0.3">
      <c r="A9017" s="8" t="s">
        <v>17991</v>
      </c>
      <c r="B9017" s="8" t="s">
        <v>62619</v>
      </c>
      <c r="C9017" s="8" t="s">
        <v>17992</v>
      </c>
      <c r="D9017" s="8"/>
      <c r="E9017" s="6"/>
      <c r="F9017" s="6"/>
    </row>
    <row r="9018" spans="1:6" x14ac:dyDescent="0.3">
      <c r="A9018" s="8" t="s">
        <v>17993</v>
      </c>
      <c r="B9018" s="8" t="s">
        <v>62620</v>
      </c>
      <c r="C9018" s="8" t="s">
        <v>17994</v>
      </c>
      <c r="D9018" s="8"/>
      <c r="E9018" s="6"/>
      <c r="F9018" s="6"/>
    </row>
    <row r="9019" spans="1:6" x14ac:dyDescent="0.3">
      <c r="A9019" s="8" t="s">
        <v>17995</v>
      </c>
      <c r="B9019" s="8" t="s">
        <v>62621</v>
      </c>
      <c r="C9019" s="8" t="s">
        <v>17996</v>
      </c>
      <c r="D9019" s="8"/>
      <c r="E9019" s="6"/>
      <c r="F9019" s="6"/>
    </row>
    <row r="9020" spans="1:6" x14ac:dyDescent="0.3">
      <c r="A9020" s="8" t="s">
        <v>17997</v>
      </c>
      <c r="B9020" s="8" t="s">
        <v>62622</v>
      </c>
      <c r="C9020" s="8" t="s">
        <v>17998</v>
      </c>
      <c r="D9020" s="8"/>
      <c r="E9020" s="6"/>
      <c r="F9020" s="6"/>
    </row>
    <row r="9021" spans="1:6" x14ac:dyDescent="0.3">
      <c r="A9021" s="8" t="s">
        <v>17999</v>
      </c>
      <c r="B9021" s="8" t="s">
        <v>62623</v>
      </c>
      <c r="C9021" s="8" t="s">
        <v>18000</v>
      </c>
      <c r="D9021" s="8"/>
      <c r="E9021" s="6"/>
      <c r="F9021" s="6"/>
    </row>
    <row r="9022" spans="1:6" x14ac:dyDescent="0.3">
      <c r="A9022" s="8" t="s">
        <v>18001</v>
      </c>
      <c r="B9022" s="8" t="s">
        <v>62624</v>
      </c>
      <c r="C9022" s="8" t="s">
        <v>18002</v>
      </c>
      <c r="D9022" s="8"/>
      <c r="E9022" s="6"/>
      <c r="F9022" s="6"/>
    </row>
    <row r="9023" spans="1:6" x14ac:dyDescent="0.3">
      <c r="A9023" s="8" t="s">
        <v>18003</v>
      </c>
      <c r="B9023" s="8" t="s">
        <v>62625</v>
      </c>
      <c r="C9023" s="8" t="s">
        <v>18004</v>
      </c>
      <c r="D9023" s="8"/>
      <c r="E9023" s="6"/>
      <c r="F9023" s="6"/>
    </row>
    <row r="9024" spans="1:6" x14ac:dyDescent="0.3">
      <c r="A9024" s="8" t="s">
        <v>18005</v>
      </c>
      <c r="B9024" s="8" t="s">
        <v>62626</v>
      </c>
      <c r="C9024" s="8" t="s">
        <v>18006</v>
      </c>
      <c r="D9024" s="8"/>
      <c r="E9024" s="6"/>
      <c r="F9024" s="6"/>
    </row>
    <row r="9025" spans="1:6" x14ac:dyDescent="0.3">
      <c r="A9025" s="8" t="s">
        <v>18007</v>
      </c>
      <c r="B9025" s="8" t="s">
        <v>62627</v>
      </c>
      <c r="C9025" s="8" t="s">
        <v>18008</v>
      </c>
      <c r="D9025" s="8"/>
      <c r="E9025" s="6"/>
      <c r="F9025" s="6"/>
    </row>
    <row r="9026" spans="1:6" x14ac:dyDescent="0.3">
      <c r="A9026" s="8" t="s">
        <v>18009</v>
      </c>
      <c r="B9026" s="8" t="s">
        <v>62628</v>
      </c>
      <c r="C9026" s="8" t="s">
        <v>18010</v>
      </c>
      <c r="D9026" s="8"/>
      <c r="E9026" s="6"/>
      <c r="F9026" s="6"/>
    </row>
    <row r="9027" spans="1:6" x14ac:dyDescent="0.3">
      <c r="A9027" s="8" t="s">
        <v>18011</v>
      </c>
      <c r="B9027" s="8" t="s">
        <v>62629</v>
      </c>
      <c r="C9027" s="8" t="s">
        <v>18012</v>
      </c>
      <c r="D9027" s="8"/>
      <c r="E9027" s="6"/>
      <c r="F9027" s="6"/>
    </row>
    <row r="9028" spans="1:6" x14ac:dyDescent="0.3">
      <c r="A9028" s="8" t="s">
        <v>18013</v>
      </c>
      <c r="B9028" s="8" t="s">
        <v>62630</v>
      </c>
      <c r="C9028" s="8" t="s">
        <v>18014</v>
      </c>
      <c r="D9028" s="8"/>
      <c r="E9028" s="6"/>
      <c r="F9028" s="6"/>
    </row>
    <row r="9029" spans="1:6" x14ac:dyDescent="0.3">
      <c r="A9029" s="8" t="s">
        <v>18015</v>
      </c>
      <c r="B9029" s="8" t="s">
        <v>62631</v>
      </c>
      <c r="C9029" s="8" t="s">
        <v>18016</v>
      </c>
      <c r="D9029" s="8"/>
      <c r="E9029" s="6"/>
      <c r="F9029" s="6"/>
    </row>
    <row r="9030" spans="1:6" x14ac:dyDescent="0.3">
      <c r="A9030" s="8" t="s">
        <v>18017</v>
      </c>
      <c r="B9030" s="8" t="s">
        <v>62632</v>
      </c>
      <c r="C9030" s="8" t="s">
        <v>18018</v>
      </c>
      <c r="D9030" s="8"/>
      <c r="E9030" s="6"/>
      <c r="F9030" s="6"/>
    </row>
    <row r="9031" spans="1:6" x14ac:dyDescent="0.3">
      <c r="A9031" s="8" t="s">
        <v>18019</v>
      </c>
      <c r="B9031" s="8" t="s">
        <v>62633</v>
      </c>
      <c r="C9031" s="8" t="s">
        <v>18020</v>
      </c>
      <c r="D9031" s="8"/>
      <c r="E9031" s="6"/>
      <c r="F9031" s="6"/>
    </row>
    <row r="9032" spans="1:6" x14ac:dyDescent="0.3">
      <c r="A9032" s="8" t="s">
        <v>18021</v>
      </c>
      <c r="B9032" s="8" t="s">
        <v>62634</v>
      </c>
      <c r="C9032" s="8" t="s">
        <v>18022</v>
      </c>
      <c r="D9032" s="8"/>
      <c r="E9032" s="6"/>
      <c r="F9032" s="6"/>
    </row>
    <row r="9033" spans="1:6" x14ac:dyDescent="0.3">
      <c r="A9033" s="8" t="s">
        <v>18023</v>
      </c>
      <c r="B9033" s="8" t="s">
        <v>62635</v>
      </c>
      <c r="C9033" s="8" t="s">
        <v>18024</v>
      </c>
      <c r="D9033" s="8"/>
      <c r="E9033" s="6"/>
      <c r="F9033" s="6"/>
    </row>
    <row r="9034" spans="1:6" x14ac:dyDescent="0.3">
      <c r="A9034" s="8" t="s">
        <v>18025</v>
      </c>
      <c r="B9034" s="8" t="s">
        <v>62636</v>
      </c>
      <c r="C9034" s="8" t="s">
        <v>18026</v>
      </c>
      <c r="D9034" s="8"/>
      <c r="E9034" s="6"/>
      <c r="F9034" s="6"/>
    </row>
    <row r="9035" spans="1:6" x14ac:dyDescent="0.3">
      <c r="A9035" s="8" t="s">
        <v>18027</v>
      </c>
      <c r="B9035" s="8" t="s">
        <v>62637</v>
      </c>
      <c r="C9035" s="8" t="s">
        <v>18028</v>
      </c>
      <c r="D9035" s="8"/>
      <c r="E9035" s="6"/>
      <c r="F9035" s="6"/>
    </row>
    <row r="9036" spans="1:6" x14ac:dyDescent="0.3">
      <c r="A9036" s="8" t="s">
        <v>18029</v>
      </c>
      <c r="B9036" s="8" t="s">
        <v>62638</v>
      </c>
      <c r="C9036" s="8" t="s">
        <v>18030</v>
      </c>
      <c r="D9036" s="8"/>
      <c r="E9036" s="6"/>
      <c r="F9036" s="6"/>
    </row>
    <row r="9037" spans="1:6" x14ac:dyDescent="0.3">
      <c r="A9037" s="8" t="s">
        <v>18031</v>
      </c>
      <c r="B9037" s="8" t="s">
        <v>62639</v>
      </c>
      <c r="C9037" s="8" t="s">
        <v>18032</v>
      </c>
      <c r="D9037" s="8"/>
      <c r="E9037" s="6"/>
      <c r="F9037" s="6"/>
    </row>
    <row r="9038" spans="1:6" x14ac:dyDescent="0.3">
      <c r="A9038" s="8" t="s">
        <v>18033</v>
      </c>
      <c r="B9038" s="8" t="s">
        <v>62640</v>
      </c>
      <c r="C9038" s="8" t="s">
        <v>18034</v>
      </c>
      <c r="D9038" s="8"/>
      <c r="E9038" s="6"/>
      <c r="F9038" s="6"/>
    </row>
    <row r="9039" spans="1:6" x14ac:dyDescent="0.3">
      <c r="A9039" s="8" t="s">
        <v>18035</v>
      </c>
      <c r="B9039" s="8" t="s">
        <v>62641</v>
      </c>
      <c r="C9039" s="8" t="s">
        <v>18036</v>
      </c>
      <c r="D9039" s="8"/>
      <c r="E9039" s="6"/>
      <c r="F9039" s="6"/>
    </row>
    <row r="9040" spans="1:6" x14ac:dyDescent="0.3">
      <c r="A9040" s="8" t="s">
        <v>18037</v>
      </c>
      <c r="B9040" s="8" t="s">
        <v>62642</v>
      </c>
      <c r="C9040" s="8" t="s">
        <v>18038</v>
      </c>
      <c r="D9040" s="8"/>
      <c r="E9040" s="6"/>
      <c r="F9040" s="6"/>
    </row>
    <row r="9041" spans="1:6" x14ac:dyDescent="0.3">
      <c r="A9041" s="8" t="s">
        <v>18039</v>
      </c>
      <c r="B9041" s="8" t="s">
        <v>62643</v>
      </c>
      <c r="C9041" s="8" t="s">
        <v>18040</v>
      </c>
      <c r="D9041" s="8"/>
      <c r="E9041" s="6"/>
      <c r="F9041" s="6"/>
    </row>
    <row r="9042" spans="1:6" x14ac:dyDescent="0.3">
      <c r="A9042" s="8" t="s">
        <v>18041</v>
      </c>
      <c r="B9042" s="8" t="s">
        <v>62644</v>
      </c>
      <c r="C9042" s="8" t="s">
        <v>18042</v>
      </c>
      <c r="D9042" s="8"/>
      <c r="E9042" s="6"/>
      <c r="F9042" s="6"/>
    </row>
    <row r="9043" spans="1:6" x14ac:dyDescent="0.3">
      <c r="A9043" s="8" t="s">
        <v>18043</v>
      </c>
      <c r="B9043" s="8" t="s">
        <v>62645</v>
      </c>
      <c r="C9043" s="8" t="s">
        <v>18044</v>
      </c>
      <c r="D9043" s="8"/>
      <c r="E9043" s="6"/>
      <c r="F9043" s="6"/>
    </row>
    <row r="9044" spans="1:6" x14ac:dyDescent="0.3">
      <c r="A9044" s="8" t="s">
        <v>18045</v>
      </c>
      <c r="B9044" s="8" t="s">
        <v>62646</v>
      </c>
      <c r="C9044" s="8" t="s">
        <v>18046</v>
      </c>
      <c r="D9044" s="8"/>
      <c r="E9044" s="6"/>
      <c r="F9044" s="6"/>
    </row>
    <row r="9045" spans="1:6" x14ac:dyDescent="0.3">
      <c r="A9045" s="8" t="s">
        <v>18047</v>
      </c>
      <c r="B9045" s="8" t="s">
        <v>62647</v>
      </c>
      <c r="C9045" s="8" t="s">
        <v>18048</v>
      </c>
      <c r="D9045" s="8"/>
      <c r="E9045" s="6"/>
      <c r="F9045" s="6"/>
    </row>
    <row r="9046" spans="1:6" x14ac:dyDescent="0.3">
      <c r="A9046" s="8" t="s">
        <v>18049</v>
      </c>
      <c r="B9046" s="8" t="s">
        <v>62648</v>
      </c>
      <c r="C9046" s="8" t="s">
        <v>18050</v>
      </c>
      <c r="D9046" s="8"/>
      <c r="E9046" s="6"/>
      <c r="F9046" s="6"/>
    </row>
    <row r="9047" spans="1:6" x14ac:dyDescent="0.3">
      <c r="A9047" s="8" t="s">
        <v>18051</v>
      </c>
      <c r="B9047" s="8" t="s">
        <v>62649</v>
      </c>
      <c r="C9047" s="8" t="s">
        <v>18052</v>
      </c>
      <c r="D9047" s="8"/>
      <c r="E9047" s="6"/>
      <c r="F9047" s="6"/>
    </row>
    <row r="9048" spans="1:6" x14ac:dyDescent="0.3">
      <c r="A9048" s="8" t="s">
        <v>18053</v>
      </c>
      <c r="B9048" s="8" t="s">
        <v>62650</v>
      </c>
      <c r="C9048" s="8" t="s">
        <v>18054</v>
      </c>
      <c r="D9048" s="8"/>
      <c r="E9048" s="6"/>
      <c r="F9048" s="6"/>
    </row>
    <row r="9049" spans="1:6" x14ac:dyDescent="0.3">
      <c r="A9049" s="8" t="s">
        <v>18055</v>
      </c>
      <c r="B9049" s="8" t="s">
        <v>62651</v>
      </c>
      <c r="C9049" s="8" t="s">
        <v>18056</v>
      </c>
      <c r="D9049" s="8"/>
      <c r="E9049" s="6"/>
      <c r="F9049" s="6"/>
    </row>
    <row r="9050" spans="1:6" x14ac:dyDescent="0.3">
      <c r="A9050" s="8" t="s">
        <v>18057</v>
      </c>
      <c r="B9050" s="8" t="s">
        <v>62652</v>
      </c>
      <c r="C9050" s="8" t="s">
        <v>18058</v>
      </c>
      <c r="D9050" s="8"/>
      <c r="E9050" s="6"/>
      <c r="F9050" s="6"/>
    </row>
    <row r="9051" spans="1:6" x14ac:dyDescent="0.3">
      <c r="A9051" s="8" t="s">
        <v>18059</v>
      </c>
      <c r="B9051" s="8" t="s">
        <v>62653</v>
      </c>
      <c r="C9051" s="8" t="s">
        <v>18060</v>
      </c>
      <c r="D9051" s="8"/>
      <c r="E9051" s="6"/>
      <c r="F9051" s="6"/>
    </row>
    <row r="9052" spans="1:6" x14ac:dyDescent="0.3">
      <c r="A9052" s="8" t="s">
        <v>18061</v>
      </c>
      <c r="B9052" s="8" t="s">
        <v>62654</v>
      </c>
      <c r="C9052" s="8" t="s">
        <v>18062</v>
      </c>
      <c r="D9052" s="8"/>
      <c r="E9052" s="6"/>
      <c r="F9052" s="6"/>
    </row>
    <row r="9053" spans="1:6" x14ac:dyDescent="0.3">
      <c r="A9053" s="8" t="s">
        <v>18063</v>
      </c>
      <c r="B9053" s="8" t="s">
        <v>62655</v>
      </c>
      <c r="C9053" s="8" t="s">
        <v>18064</v>
      </c>
      <c r="D9053" s="8"/>
      <c r="E9053" s="6"/>
      <c r="F9053" s="6"/>
    </row>
    <row r="9054" spans="1:6" x14ac:dyDescent="0.3">
      <c r="A9054" s="8" t="s">
        <v>18065</v>
      </c>
      <c r="B9054" s="8" t="s">
        <v>62656</v>
      </c>
      <c r="C9054" s="8" t="s">
        <v>18066</v>
      </c>
      <c r="D9054" s="8"/>
      <c r="E9054" s="6"/>
      <c r="F9054" s="6"/>
    </row>
    <row r="9055" spans="1:6" x14ac:dyDescent="0.3">
      <c r="A9055" s="8" t="s">
        <v>18067</v>
      </c>
      <c r="B9055" s="8" t="s">
        <v>62657</v>
      </c>
      <c r="C9055" s="8" t="s">
        <v>18068</v>
      </c>
      <c r="D9055" s="8"/>
      <c r="E9055" s="6"/>
      <c r="F9055" s="6"/>
    </row>
    <row r="9056" spans="1:6" x14ac:dyDescent="0.3">
      <c r="A9056" s="8" t="s">
        <v>18069</v>
      </c>
      <c r="B9056" s="8" t="s">
        <v>62658</v>
      </c>
      <c r="C9056" s="8" t="s">
        <v>18070</v>
      </c>
      <c r="D9056" s="8"/>
      <c r="E9056" s="6"/>
      <c r="F9056" s="6"/>
    </row>
    <row r="9057" spans="1:6" x14ac:dyDescent="0.3">
      <c r="A9057" s="8" t="s">
        <v>18071</v>
      </c>
      <c r="B9057" s="8" t="s">
        <v>62659</v>
      </c>
      <c r="C9057" s="8" t="s">
        <v>18072</v>
      </c>
      <c r="D9057" s="8"/>
      <c r="E9057" s="6"/>
      <c r="F9057" s="6"/>
    </row>
    <row r="9058" spans="1:6" x14ac:dyDescent="0.3">
      <c r="A9058" s="8" t="s">
        <v>18073</v>
      </c>
      <c r="B9058" s="8" t="s">
        <v>62660</v>
      </c>
      <c r="C9058" s="8" t="s">
        <v>18074</v>
      </c>
      <c r="D9058" s="8"/>
      <c r="E9058" s="6"/>
      <c r="F9058" s="6"/>
    </row>
    <row r="9059" spans="1:6" x14ac:dyDescent="0.3">
      <c r="A9059" s="8" t="s">
        <v>18075</v>
      </c>
      <c r="B9059" s="8" t="s">
        <v>62661</v>
      </c>
      <c r="C9059" s="8" t="s">
        <v>18076</v>
      </c>
      <c r="D9059" s="8"/>
      <c r="E9059" s="6"/>
      <c r="F9059" s="6"/>
    </row>
    <row r="9060" spans="1:6" x14ac:dyDescent="0.3">
      <c r="A9060" s="8" t="s">
        <v>18077</v>
      </c>
      <c r="B9060" s="8" t="s">
        <v>62662</v>
      </c>
      <c r="C9060" s="8" t="s">
        <v>18078</v>
      </c>
      <c r="D9060" s="8"/>
      <c r="E9060" s="6"/>
      <c r="F9060" s="6"/>
    </row>
    <row r="9061" spans="1:6" x14ac:dyDescent="0.3">
      <c r="A9061" s="8" t="s">
        <v>18079</v>
      </c>
      <c r="B9061" s="8" t="s">
        <v>62663</v>
      </c>
      <c r="C9061" s="8" t="s">
        <v>18080</v>
      </c>
      <c r="D9061" s="8"/>
      <c r="E9061" s="6"/>
      <c r="F9061" s="6"/>
    </row>
    <row r="9062" spans="1:6" x14ac:dyDescent="0.3">
      <c r="A9062" s="8" t="s">
        <v>18081</v>
      </c>
      <c r="B9062" s="8" t="s">
        <v>62664</v>
      </c>
      <c r="C9062" s="8" t="s">
        <v>18082</v>
      </c>
      <c r="D9062" s="8"/>
      <c r="E9062" s="6"/>
      <c r="F9062" s="6"/>
    </row>
    <row r="9063" spans="1:6" x14ac:dyDescent="0.3">
      <c r="A9063" s="8" t="s">
        <v>18083</v>
      </c>
      <c r="B9063" s="8" t="s">
        <v>62665</v>
      </c>
      <c r="C9063" s="8" t="s">
        <v>18084</v>
      </c>
      <c r="D9063" s="8"/>
      <c r="E9063" s="6"/>
      <c r="F9063" s="6"/>
    </row>
    <row r="9064" spans="1:6" x14ac:dyDescent="0.3">
      <c r="A9064" s="8" t="s">
        <v>18085</v>
      </c>
      <c r="B9064" s="8" t="s">
        <v>62666</v>
      </c>
      <c r="C9064" s="8" t="s">
        <v>18086</v>
      </c>
      <c r="D9064" s="8"/>
      <c r="E9064" s="6"/>
      <c r="F9064" s="6"/>
    </row>
    <row r="9065" spans="1:6" x14ac:dyDescent="0.3">
      <c r="A9065" s="8" t="s">
        <v>18087</v>
      </c>
      <c r="B9065" s="8" t="s">
        <v>62667</v>
      </c>
      <c r="C9065" s="8" t="s">
        <v>18088</v>
      </c>
      <c r="D9065" s="8"/>
      <c r="E9065" s="6"/>
      <c r="F9065" s="6"/>
    </row>
    <row r="9066" spans="1:6" x14ac:dyDescent="0.3">
      <c r="A9066" s="8" t="s">
        <v>18089</v>
      </c>
      <c r="B9066" s="8" t="s">
        <v>62668</v>
      </c>
      <c r="C9066" s="8" t="s">
        <v>18090</v>
      </c>
      <c r="D9066" s="8"/>
      <c r="E9066" s="6"/>
      <c r="F9066" s="6"/>
    </row>
    <row r="9067" spans="1:6" x14ac:dyDescent="0.3">
      <c r="A9067" s="8" t="s">
        <v>18091</v>
      </c>
      <c r="B9067" s="8" t="s">
        <v>62669</v>
      </c>
      <c r="C9067" s="8" t="s">
        <v>18092</v>
      </c>
      <c r="D9067" s="8"/>
      <c r="E9067" s="6"/>
      <c r="F9067" s="6"/>
    </row>
    <row r="9068" spans="1:6" x14ac:dyDescent="0.3">
      <c r="A9068" s="8" t="s">
        <v>18093</v>
      </c>
      <c r="B9068" s="8" t="s">
        <v>62670</v>
      </c>
      <c r="C9068" s="8" t="s">
        <v>18094</v>
      </c>
      <c r="D9068" s="8"/>
      <c r="E9068" s="6"/>
      <c r="F9068" s="6"/>
    </row>
    <row r="9069" spans="1:6" x14ac:dyDescent="0.3">
      <c r="A9069" s="8" t="s">
        <v>18095</v>
      </c>
      <c r="B9069" s="8" t="s">
        <v>62671</v>
      </c>
      <c r="C9069" s="8" t="s">
        <v>18096</v>
      </c>
      <c r="D9069" s="8"/>
      <c r="E9069" s="6"/>
      <c r="F9069" s="6"/>
    </row>
    <row r="9070" spans="1:6" x14ac:dyDescent="0.3">
      <c r="A9070" s="8" t="s">
        <v>18097</v>
      </c>
      <c r="B9070" s="8" t="s">
        <v>62672</v>
      </c>
      <c r="C9070" s="8" t="s">
        <v>18098</v>
      </c>
      <c r="D9070" s="8"/>
      <c r="E9070" s="6"/>
      <c r="F9070" s="6"/>
    </row>
    <row r="9071" spans="1:6" x14ac:dyDescent="0.3">
      <c r="A9071" s="8" t="s">
        <v>18099</v>
      </c>
      <c r="B9071" s="8" t="s">
        <v>62673</v>
      </c>
      <c r="C9071" s="8" t="s">
        <v>18100</v>
      </c>
      <c r="D9071" s="8"/>
      <c r="E9071" s="6"/>
      <c r="F9071" s="6"/>
    </row>
    <row r="9072" spans="1:6" x14ac:dyDescent="0.3">
      <c r="A9072" s="8" t="s">
        <v>18101</v>
      </c>
      <c r="B9072" s="8" t="s">
        <v>62674</v>
      </c>
      <c r="C9072" s="8" t="s">
        <v>18102</v>
      </c>
      <c r="D9072" s="8"/>
      <c r="E9072" s="6"/>
      <c r="F9072" s="6"/>
    </row>
    <row r="9073" spans="1:6" x14ac:dyDescent="0.3">
      <c r="A9073" s="8" t="s">
        <v>18103</v>
      </c>
      <c r="B9073" s="8" t="s">
        <v>62675</v>
      </c>
      <c r="C9073" s="8" t="s">
        <v>18104</v>
      </c>
      <c r="D9073" s="8"/>
      <c r="E9073" s="6"/>
      <c r="F9073" s="6"/>
    </row>
    <row r="9074" spans="1:6" x14ac:dyDescent="0.3">
      <c r="A9074" s="8" t="s">
        <v>18105</v>
      </c>
      <c r="B9074" s="8" t="s">
        <v>62676</v>
      </c>
      <c r="C9074" s="8" t="s">
        <v>18106</v>
      </c>
      <c r="D9074" s="8"/>
      <c r="E9074" s="6"/>
      <c r="F9074" s="6"/>
    </row>
    <row r="9075" spans="1:6" x14ac:dyDescent="0.3">
      <c r="A9075" s="8" t="s">
        <v>18107</v>
      </c>
      <c r="B9075" s="8" t="s">
        <v>62677</v>
      </c>
      <c r="C9075" s="8" t="s">
        <v>18108</v>
      </c>
      <c r="D9075" s="8"/>
      <c r="E9075" s="6"/>
      <c r="F9075" s="6"/>
    </row>
    <row r="9076" spans="1:6" x14ac:dyDescent="0.3">
      <c r="A9076" s="8" t="s">
        <v>18109</v>
      </c>
      <c r="B9076" s="8" t="s">
        <v>62678</v>
      </c>
      <c r="C9076" s="8" t="s">
        <v>18110</v>
      </c>
      <c r="D9076" s="8"/>
      <c r="E9076" s="6"/>
      <c r="F9076" s="6"/>
    </row>
    <row r="9077" spans="1:6" x14ac:dyDescent="0.3">
      <c r="A9077" s="8" t="s">
        <v>18111</v>
      </c>
      <c r="B9077" s="8" t="s">
        <v>62679</v>
      </c>
      <c r="C9077" s="8" t="s">
        <v>18112</v>
      </c>
      <c r="D9077" s="8"/>
      <c r="E9077" s="6"/>
      <c r="F9077" s="6"/>
    </row>
    <row r="9078" spans="1:6" x14ac:dyDescent="0.3">
      <c r="A9078" s="8" t="s">
        <v>18113</v>
      </c>
      <c r="B9078" s="8" t="s">
        <v>62680</v>
      </c>
      <c r="C9078" s="8" t="s">
        <v>18114</v>
      </c>
      <c r="D9078" s="8"/>
      <c r="E9078" s="6"/>
      <c r="F9078" s="6"/>
    </row>
    <row r="9079" spans="1:6" x14ac:dyDescent="0.3">
      <c r="A9079" s="8" t="s">
        <v>18115</v>
      </c>
      <c r="B9079" s="8" t="s">
        <v>62681</v>
      </c>
      <c r="C9079" s="8" t="s">
        <v>18116</v>
      </c>
      <c r="D9079" s="8"/>
      <c r="E9079" s="6"/>
      <c r="F9079" s="6"/>
    </row>
    <row r="9080" spans="1:6" x14ac:dyDescent="0.3">
      <c r="A9080" s="8" t="s">
        <v>18117</v>
      </c>
      <c r="B9080" s="8" t="s">
        <v>62682</v>
      </c>
      <c r="C9080" s="8" t="s">
        <v>18118</v>
      </c>
      <c r="D9080" s="8"/>
      <c r="E9080" s="6"/>
      <c r="F9080" s="6"/>
    </row>
    <row r="9081" spans="1:6" x14ac:dyDescent="0.3">
      <c r="A9081" s="8" t="s">
        <v>18119</v>
      </c>
      <c r="B9081" s="8" t="s">
        <v>62683</v>
      </c>
      <c r="C9081" s="8" t="s">
        <v>18120</v>
      </c>
      <c r="D9081" s="8"/>
      <c r="E9081" s="6"/>
      <c r="F9081" s="6"/>
    </row>
    <row r="9082" spans="1:6" x14ac:dyDescent="0.3">
      <c r="A9082" s="8" t="s">
        <v>18121</v>
      </c>
      <c r="B9082" s="8" t="s">
        <v>62684</v>
      </c>
      <c r="C9082" s="8" t="s">
        <v>18122</v>
      </c>
      <c r="D9082" s="8"/>
      <c r="E9082" s="6"/>
      <c r="F9082" s="6"/>
    </row>
    <row r="9083" spans="1:6" x14ac:dyDescent="0.3">
      <c r="A9083" s="8" t="s">
        <v>18123</v>
      </c>
      <c r="B9083" s="8" t="s">
        <v>62685</v>
      </c>
      <c r="C9083" s="8" t="s">
        <v>18124</v>
      </c>
      <c r="D9083" s="8"/>
      <c r="E9083" s="6"/>
      <c r="F9083" s="6"/>
    </row>
    <row r="9084" spans="1:6" x14ac:dyDescent="0.3">
      <c r="A9084" s="8" t="s">
        <v>18125</v>
      </c>
      <c r="B9084" s="8" t="s">
        <v>62686</v>
      </c>
      <c r="C9084" s="8" t="s">
        <v>18126</v>
      </c>
      <c r="D9084" s="8"/>
      <c r="E9084" s="6"/>
      <c r="F9084" s="6"/>
    </row>
    <row r="9085" spans="1:6" x14ac:dyDescent="0.3">
      <c r="A9085" s="8" t="s">
        <v>18127</v>
      </c>
      <c r="B9085" s="8" t="s">
        <v>62687</v>
      </c>
      <c r="C9085" s="8" t="s">
        <v>18128</v>
      </c>
      <c r="D9085" s="8"/>
      <c r="E9085" s="6"/>
      <c r="F9085" s="6"/>
    </row>
    <row r="9086" spans="1:6" x14ac:dyDescent="0.3">
      <c r="A9086" s="8" t="s">
        <v>18129</v>
      </c>
      <c r="B9086" s="8" t="s">
        <v>62688</v>
      </c>
      <c r="C9086" s="8" t="s">
        <v>18130</v>
      </c>
      <c r="D9086" s="8"/>
      <c r="E9086" s="6"/>
      <c r="F9086" s="6"/>
    </row>
    <row r="9087" spans="1:6" x14ac:dyDescent="0.3">
      <c r="A9087" s="8" t="s">
        <v>18131</v>
      </c>
      <c r="B9087" s="8" t="s">
        <v>62689</v>
      </c>
      <c r="C9087" s="8" t="s">
        <v>18132</v>
      </c>
      <c r="D9087" s="8"/>
      <c r="E9087" s="6"/>
      <c r="F9087" s="6"/>
    </row>
    <row r="9088" spans="1:6" x14ac:dyDescent="0.3">
      <c r="A9088" s="8" t="s">
        <v>18133</v>
      </c>
      <c r="B9088" s="8" t="s">
        <v>62690</v>
      </c>
      <c r="C9088" s="8" t="s">
        <v>18134</v>
      </c>
      <c r="D9088" s="8"/>
      <c r="E9088" s="6"/>
      <c r="F9088" s="6"/>
    </row>
    <row r="9089" spans="1:6" x14ac:dyDescent="0.3">
      <c r="A9089" s="8" t="s">
        <v>18135</v>
      </c>
      <c r="B9089" s="8" t="s">
        <v>62691</v>
      </c>
      <c r="C9089" s="8" t="s">
        <v>18136</v>
      </c>
      <c r="D9089" s="8"/>
      <c r="E9089" s="6"/>
      <c r="F9089" s="6"/>
    </row>
    <row r="9090" spans="1:6" x14ac:dyDescent="0.3">
      <c r="A9090" s="8" t="s">
        <v>18137</v>
      </c>
      <c r="B9090" s="8" t="s">
        <v>62692</v>
      </c>
      <c r="C9090" s="8" t="s">
        <v>18138</v>
      </c>
      <c r="D9090" s="8"/>
      <c r="E9090" s="6"/>
      <c r="F9090" s="6"/>
    </row>
    <row r="9091" spans="1:6" x14ac:dyDescent="0.3">
      <c r="A9091" s="8" t="s">
        <v>18139</v>
      </c>
      <c r="B9091" s="8" t="s">
        <v>62693</v>
      </c>
      <c r="C9091" s="8" t="s">
        <v>18140</v>
      </c>
      <c r="D9091" s="8"/>
      <c r="E9091" s="6"/>
      <c r="F9091" s="6"/>
    </row>
    <row r="9092" spans="1:6" x14ac:dyDescent="0.3">
      <c r="A9092" s="8" t="s">
        <v>18141</v>
      </c>
      <c r="B9092" s="8" t="s">
        <v>62694</v>
      </c>
      <c r="C9092" s="8" t="s">
        <v>18142</v>
      </c>
      <c r="D9092" s="8"/>
      <c r="E9092" s="6"/>
      <c r="F9092" s="6"/>
    </row>
    <row r="9093" spans="1:6" x14ac:dyDescent="0.3">
      <c r="A9093" s="8" t="s">
        <v>18143</v>
      </c>
      <c r="B9093" s="8" t="s">
        <v>62695</v>
      </c>
      <c r="C9093" s="8" t="s">
        <v>18144</v>
      </c>
      <c r="D9093" s="8"/>
      <c r="E9093" s="6"/>
      <c r="F9093" s="6"/>
    </row>
    <row r="9094" spans="1:6" x14ac:dyDescent="0.3">
      <c r="A9094" s="8" t="s">
        <v>18145</v>
      </c>
      <c r="B9094" s="8" t="s">
        <v>62696</v>
      </c>
      <c r="C9094" s="8" t="s">
        <v>18146</v>
      </c>
      <c r="D9094" s="8"/>
      <c r="E9094" s="6"/>
      <c r="F9094" s="6"/>
    </row>
    <row r="9095" spans="1:6" x14ac:dyDescent="0.3">
      <c r="A9095" s="8" t="s">
        <v>18147</v>
      </c>
      <c r="B9095" s="8" t="s">
        <v>62697</v>
      </c>
      <c r="C9095" s="8" t="s">
        <v>18148</v>
      </c>
      <c r="D9095" s="8"/>
      <c r="E9095" s="6"/>
      <c r="F9095" s="6"/>
    </row>
    <row r="9096" spans="1:6" x14ac:dyDescent="0.3">
      <c r="A9096" s="8" t="s">
        <v>18149</v>
      </c>
      <c r="B9096" s="8" t="s">
        <v>62698</v>
      </c>
      <c r="C9096" s="8" t="s">
        <v>18150</v>
      </c>
      <c r="D9096" s="8"/>
      <c r="E9096" s="6"/>
      <c r="F9096" s="6"/>
    </row>
    <row r="9097" spans="1:6" x14ac:dyDescent="0.3">
      <c r="A9097" s="8" t="s">
        <v>18151</v>
      </c>
      <c r="B9097" s="8" t="s">
        <v>62699</v>
      </c>
      <c r="C9097" s="8" t="s">
        <v>18152</v>
      </c>
      <c r="D9097" s="8"/>
      <c r="E9097" s="6"/>
      <c r="F9097" s="6"/>
    </row>
    <row r="9098" spans="1:6" x14ac:dyDescent="0.3">
      <c r="A9098" s="8" t="s">
        <v>18153</v>
      </c>
      <c r="B9098" s="8" t="s">
        <v>62700</v>
      </c>
      <c r="C9098" s="8" t="s">
        <v>18154</v>
      </c>
      <c r="D9098" s="8"/>
      <c r="E9098" s="6"/>
      <c r="F9098" s="6"/>
    </row>
    <row r="9099" spans="1:6" x14ac:dyDescent="0.3">
      <c r="A9099" s="8" t="s">
        <v>18155</v>
      </c>
      <c r="B9099" s="8" t="s">
        <v>62701</v>
      </c>
      <c r="C9099" s="8" t="s">
        <v>18156</v>
      </c>
      <c r="D9099" s="8"/>
      <c r="E9099" s="6"/>
      <c r="F9099" s="6"/>
    </row>
    <row r="9100" spans="1:6" x14ac:dyDescent="0.3">
      <c r="A9100" s="8" t="s">
        <v>18157</v>
      </c>
      <c r="B9100" s="8" t="s">
        <v>62702</v>
      </c>
      <c r="C9100" s="8" t="s">
        <v>18158</v>
      </c>
      <c r="D9100" s="8"/>
      <c r="E9100" s="6"/>
      <c r="F9100" s="6"/>
    </row>
    <row r="9101" spans="1:6" x14ac:dyDescent="0.3">
      <c r="A9101" s="8" t="s">
        <v>18159</v>
      </c>
      <c r="B9101" s="8" t="s">
        <v>62703</v>
      </c>
      <c r="C9101" s="8" t="s">
        <v>18160</v>
      </c>
      <c r="D9101" s="8"/>
      <c r="E9101" s="6"/>
      <c r="F9101" s="6"/>
    </row>
    <row r="9102" spans="1:6" x14ac:dyDescent="0.3">
      <c r="A9102" s="8" t="s">
        <v>18161</v>
      </c>
      <c r="B9102" s="8" t="s">
        <v>62704</v>
      </c>
      <c r="C9102" s="8" t="s">
        <v>18162</v>
      </c>
      <c r="D9102" s="8"/>
      <c r="E9102" s="6"/>
      <c r="F9102" s="6"/>
    </row>
    <row r="9103" spans="1:6" x14ac:dyDescent="0.3">
      <c r="A9103" s="8" t="s">
        <v>18163</v>
      </c>
      <c r="B9103" s="8" t="s">
        <v>62705</v>
      </c>
      <c r="C9103" s="8" t="s">
        <v>18164</v>
      </c>
      <c r="D9103" s="8"/>
      <c r="E9103" s="6"/>
      <c r="F9103" s="6"/>
    </row>
    <row r="9104" spans="1:6" x14ac:dyDescent="0.3">
      <c r="A9104" s="8" t="s">
        <v>18165</v>
      </c>
      <c r="B9104" s="8" t="s">
        <v>62706</v>
      </c>
      <c r="C9104" s="8" t="s">
        <v>18166</v>
      </c>
      <c r="D9104" s="8"/>
      <c r="E9104" s="6"/>
      <c r="F9104" s="6"/>
    </row>
    <row r="9105" spans="1:6" x14ac:dyDescent="0.3">
      <c r="A9105" s="8" t="s">
        <v>18167</v>
      </c>
      <c r="B9105" s="8" t="s">
        <v>62707</v>
      </c>
      <c r="C9105" s="8" t="s">
        <v>18168</v>
      </c>
      <c r="D9105" s="8"/>
      <c r="E9105" s="6"/>
      <c r="F9105" s="6"/>
    </row>
    <row r="9106" spans="1:6" x14ac:dyDescent="0.3">
      <c r="A9106" s="8" t="s">
        <v>18169</v>
      </c>
      <c r="B9106" s="8" t="s">
        <v>62708</v>
      </c>
      <c r="C9106" s="8" t="s">
        <v>18170</v>
      </c>
      <c r="D9106" s="8"/>
      <c r="E9106" s="6"/>
      <c r="F9106" s="6"/>
    </row>
    <row r="9107" spans="1:6" x14ac:dyDescent="0.3">
      <c r="A9107" s="8" t="s">
        <v>18171</v>
      </c>
      <c r="B9107" s="8" t="s">
        <v>62709</v>
      </c>
      <c r="C9107" s="8" t="s">
        <v>18172</v>
      </c>
      <c r="D9107" s="8"/>
      <c r="E9107" s="6"/>
      <c r="F9107" s="6"/>
    </row>
    <row r="9108" spans="1:6" x14ac:dyDescent="0.3">
      <c r="A9108" s="8" t="s">
        <v>18173</v>
      </c>
      <c r="B9108" s="8" t="s">
        <v>62710</v>
      </c>
      <c r="C9108" s="8" t="s">
        <v>18174</v>
      </c>
      <c r="D9108" s="8"/>
      <c r="E9108" s="6"/>
      <c r="F9108" s="6"/>
    </row>
    <row r="9109" spans="1:6" x14ac:dyDescent="0.3">
      <c r="A9109" s="8" t="s">
        <v>18175</v>
      </c>
      <c r="B9109" s="8" t="s">
        <v>62711</v>
      </c>
      <c r="C9109" s="8" t="s">
        <v>18176</v>
      </c>
      <c r="D9109" s="8"/>
      <c r="E9109" s="6"/>
      <c r="F9109" s="6"/>
    </row>
    <row r="9110" spans="1:6" x14ac:dyDescent="0.3">
      <c r="A9110" s="8" t="s">
        <v>18177</v>
      </c>
      <c r="B9110" s="8" t="s">
        <v>62712</v>
      </c>
      <c r="C9110" s="8" t="s">
        <v>18178</v>
      </c>
      <c r="D9110" s="8"/>
      <c r="E9110" s="6"/>
      <c r="F9110" s="6"/>
    </row>
    <row r="9111" spans="1:6" x14ac:dyDescent="0.3">
      <c r="A9111" s="8" t="s">
        <v>18179</v>
      </c>
      <c r="B9111" s="8" t="s">
        <v>62713</v>
      </c>
      <c r="C9111" s="8" t="s">
        <v>18180</v>
      </c>
      <c r="D9111" s="8"/>
      <c r="E9111" s="6"/>
      <c r="F9111" s="6"/>
    </row>
    <row r="9112" spans="1:6" x14ac:dyDescent="0.3">
      <c r="A9112" s="8" t="s">
        <v>18181</v>
      </c>
      <c r="B9112" s="8" t="s">
        <v>62714</v>
      </c>
      <c r="C9112" s="8" t="s">
        <v>18182</v>
      </c>
      <c r="D9112" s="8"/>
      <c r="E9112" s="6"/>
      <c r="F9112" s="6"/>
    </row>
    <row r="9113" spans="1:6" x14ac:dyDescent="0.3">
      <c r="A9113" s="8" t="s">
        <v>18183</v>
      </c>
      <c r="B9113" s="8" t="s">
        <v>62715</v>
      </c>
      <c r="C9113" s="8" t="s">
        <v>18184</v>
      </c>
      <c r="D9113" s="8"/>
      <c r="E9113" s="6"/>
      <c r="F9113" s="6"/>
    </row>
    <row r="9114" spans="1:6" x14ac:dyDescent="0.3">
      <c r="A9114" s="8" t="s">
        <v>18185</v>
      </c>
      <c r="B9114" s="8" t="s">
        <v>62716</v>
      </c>
      <c r="C9114" s="8" t="s">
        <v>18186</v>
      </c>
      <c r="D9114" s="8"/>
      <c r="E9114" s="6"/>
      <c r="F9114" s="6"/>
    </row>
    <row r="9115" spans="1:6" x14ac:dyDescent="0.3">
      <c r="A9115" s="8" t="s">
        <v>18187</v>
      </c>
      <c r="B9115" s="8" t="s">
        <v>62717</v>
      </c>
      <c r="C9115" s="8" t="s">
        <v>18188</v>
      </c>
      <c r="D9115" s="8"/>
      <c r="E9115" s="6"/>
      <c r="F9115" s="6"/>
    </row>
    <row r="9116" spans="1:6" x14ac:dyDescent="0.3">
      <c r="A9116" s="8" t="s">
        <v>18189</v>
      </c>
      <c r="B9116" s="8" t="s">
        <v>62718</v>
      </c>
      <c r="C9116" s="8" t="s">
        <v>18190</v>
      </c>
      <c r="D9116" s="8"/>
      <c r="E9116" s="6"/>
      <c r="F9116" s="6"/>
    </row>
    <row r="9117" spans="1:6" x14ac:dyDescent="0.3">
      <c r="A9117" s="8" t="s">
        <v>18191</v>
      </c>
      <c r="B9117" s="8" t="s">
        <v>62719</v>
      </c>
      <c r="C9117" s="8" t="s">
        <v>18192</v>
      </c>
      <c r="D9117" s="8"/>
      <c r="E9117" s="6"/>
      <c r="F9117" s="6"/>
    </row>
    <row r="9118" spans="1:6" x14ac:dyDescent="0.3">
      <c r="A9118" s="8" t="s">
        <v>18193</v>
      </c>
      <c r="B9118" s="8" t="s">
        <v>62720</v>
      </c>
      <c r="C9118" s="8" t="s">
        <v>18194</v>
      </c>
      <c r="D9118" s="8"/>
      <c r="E9118" s="6"/>
      <c r="F9118" s="6"/>
    </row>
    <row r="9119" spans="1:6" x14ac:dyDescent="0.3">
      <c r="A9119" s="8" t="s">
        <v>18195</v>
      </c>
      <c r="B9119" s="8" t="s">
        <v>62721</v>
      </c>
      <c r="C9119" s="8" t="s">
        <v>18196</v>
      </c>
      <c r="D9119" s="8"/>
      <c r="E9119" s="6"/>
      <c r="F9119" s="6"/>
    </row>
    <row r="9120" spans="1:6" x14ac:dyDescent="0.3">
      <c r="A9120" s="8" t="s">
        <v>18197</v>
      </c>
      <c r="B9120" s="8" t="s">
        <v>62722</v>
      </c>
      <c r="C9120" s="8" t="s">
        <v>18198</v>
      </c>
      <c r="D9120" s="8"/>
      <c r="E9120" s="6"/>
      <c r="F9120" s="6"/>
    </row>
    <row r="9121" spans="1:6" x14ac:dyDescent="0.3">
      <c r="A9121" s="8" t="s">
        <v>18199</v>
      </c>
      <c r="B9121" s="8" t="s">
        <v>62723</v>
      </c>
      <c r="C9121" s="8" t="s">
        <v>18200</v>
      </c>
      <c r="D9121" s="8"/>
      <c r="E9121" s="6"/>
      <c r="F9121" s="6"/>
    </row>
    <row r="9122" spans="1:6" x14ac:dyDescent="0.3">
      <c r="A9122" s="8" t="s">
        <v>18201</v>
      </c>
      <c r="B9122" s="8" t="s">
        <v>62724</v>
      </c>
      <c r="C9122" s="8" t="s">
        <v>18202</v>
      </c>
      <c r="D9122" s="8"/>
      <c r="E9122" s="6"/>
      <c r="F9122" s="6"/>
    </row>
    <row r="9123" spans="1:6" x14ac:dyDescent="0.3">
      <c r="A9123" s="8" t="s">
        <v>18203</v>
      </c>
      <c r="B9123" s="8" t="s">
        <v>62725</v>
      </c>
      <c r="C9123" s="8" t="s">
        <v>18204</v>
      </c>
      <c r="D9123" s="8"/>
      <c r="E9123" s="6"/>
      <c r="F9123" s="6"/>
    </row>
    <row r="9124" spans="1:6" x14ac:dyDescent="0.3">
      <c r="A9124" s="8" t="s">
        <v>18205</v>
      </c>
      <c r="B9124" s="8" t="s">
        <v>62726</v>
      </c>
      <c r="C9124" s="8" t="s">
        <v>18206</v>
      </c>
      <c r="D9124" s="8"/>
      <c r="E9124" s="6"/>
      <c r="F9124" s="6"/>
    </row>
    <row r="9125" spans="1:6" x14ac:dyDescent="0.3">
      <c r="A9125" s="8" t="s">
        <v>18207</v>
      </c>
      <c r="B9125" s="8" t="s">
        <v>62727</v>
      </c>
      <c r="C9125" s="8" t="s">
        <v>18208</v>
      </c>
      <c r="D9125" s="8"/>
      <c r="E9125" s="6"/>
      <c r="F9125" s="6"/>
    </row>
    <row r="9126" spans="1:6" x14ac:dyDescent="0.3">
      <c r="A9126" s="8" t="s">
        <v>18209</v>
      </c>
      <c r="B9126" s="8" t="s">
        <v>62728</v>
      </c>
      <c r="C9126" s="8" t="s">
        <v>18210</v>
      </c>
      <c r="D9126" s="8"/>
      <c r="E9126" s="6"/>
      <c r="F9126" s="6"/>
    </row>
    <row r="9127" spans="1:6" x14ac:dyDescent="0.3">
      <c r="A9127" s="8" t="s">
        <v>18211</v>
      </c>
      <c r="B9127" s="8" t="s">
        <v>62729</v>
      </c>
      <c r="C9127" s="8" t="s">
        <v>18212</v>
      </c>
      <c r="D9127" s="8"/>
      <c r="E9127" s="6"/>
      <c r="F9127" s="6"/>
    </row>
    <row r="9128" spans="1:6" x14ac:dyDescent="0.3">
      <c r="A9128" s="8" t="s">
        <v>18213</v>
      </c>
      <c r="B9128" s="8" t="s">
        <v>62730</v>
      </c>
      <c r="C9128" s="8" t="s">
        <v>18214</v>
      </c>
      <c r="D9128" s="8"/>
      <c r="E9128" s="6"/>
      <c r="F9128" s="6"/>
    </row>
    <row r="9129" spans="1:6" x14ac:dyDescent="0.3">
      <c r="A9129" s="8" t="s">
        <v>18215</v>
      </c>
      <c r="B9129" s="8" t="s">
        <v>62731</v>
      </c>
      <c r="C9129" s="8" t="s">
        <v>18216</v>
      </c>
      <c r="D9129" s="8"/>
      <c r="E9129" s="6"/>
      <c r="F9129" s="6"/>
    </row>
    <row r="9130" spans="1:6" x14ac:dyDescent="0.3">
      <c r="A9130" s="8" t="s">
        <v>18217</v>
      </c>
      <c r="B9130" s="8" t="s">
        <v>62732</v>
      </c>
      <c r="C9130" s="8" t="s">
        <v>18218</v>
      </c>
      <c r="D9130" s="8"/>
      <c r="E9130" s="6"/>
      <c r="F9130" s="6"/>
    </row>
    <row r="9131" spans="1:6" x14ac:dyDescent="0.3">
      <c r="A9131" s="8" t="s">
        <v>18219</v>
      </c>
      <c r="B9131" s="8" t="s">
        <v>62733</v>
      </c>
      <c r="C9131" s="8" t="s">
        <v>18220</v>
      </c>
      <c r="D9131" s="8"/>
      <c r="E9131" s="6"/>
      <c r="F9131" s="6"/>
    </row>
    <row r="9132" spans="1:6" x14ac:dyDescent="0.3">
      <c r="A9132" s="8" t="s">
        <v>18221</v>
      </c>
      <c r="B9132" s="8" t="s">
        <v>62734</v>
      </c>
      <c r="C9132" s="8" t="s">
        <v>18222</v>
      </c>
      <c r="D9132" s="8"/>
      <c r="E9132" s="6"/>
      <c r="F9132" s="6"/>
    </row>
    <row r="9133" spans="1:6" x14ac:dyDescent="0.3">
      <c r="A9133" s="8" t="s">
        <v>18223</v>
      </c>
      <c r="B9133" s="8" t="s">
        <v>62735</v>
      </c>
      <c r="C9133" s="8" t="s">
        <v>18224</v>
      </c>
      <c r="D9133" s="8"/>
      <c r="E9133" s="6"/>
      <c r="F9133" s="6"/>
    </row>
    <row r="9134" spans="1:6" x14ac:dyDescent="0.3">
      <c r="A9134" s="8" t="s">
        <v>18225</v>
      </c>
      <c r="B9134" s="8" t="s">
        <v>62736</v>
      </c>
      <c r="C9134" s="8" t="s">
        <v>18226</v>
      </c>
      <c r="D9134" s="8"/>
      <c r="E9134" s="6"/>
      <c r="F9134" s="6"/>
    </row>
    <row r="9135" spans="1:6" x14ac:dyDescent="0.3">
      <c r="A9135" s="8" t="s">
        <v>18227</v>
      </c>
      <c r="B9135" s="8" t="s">
        <v>62737</v>
      </c>
      <c r="C9135" s="8" t="s">
        <v>18228</v>
      </c>
      <c r="D9135" s="8"/>
      <c r="E9135" s="6"/>
      <c r="F9135" s="6"/>
    </row>
    <row r="9136" spans="1:6" x14ac:dyDescent="0.3">
      <c r="A9136" s="8" t="s">
        <v>18229</v>
      </c>
      <c r="B9136" s="8" t="s">
        <v>62738</v>
      </c>
      <c r="C9136" s="8" t="s">
        <v>18230</v>
      </c>
      <c r="D9136" s="8"/>
      <c r="E9136" s="6"/>
      <c r="F9136" s="6"/>
    </row>
    <row r="9137" spans="1:6" x14ac:dyDescent="0.3">
      <c r="A9137" s="8" t="s">
        <v>18231</v>
      </c>
      <c r="B9137" s="8" t="s">
        <v>62739</v>
      </c>
      <c r="C9137" s="8" t="s">
        <v>18232</v>
      </c>
      <c r="D9137" s="8"/>
      <c r="E9137" s="6"/>
      <c r="F9137" s="6"/>
    </row>
    <row r="9138" spans="1:6" x14ac:dyDescent="0.3">
      <c r="A9138" s="8" t="s">
        <v>18233</v>
      </c>
      <c r="B9138" s="8" t="s">
        <v>62740</v>
      </c>
      <c r="C9138" s="8" t="s">
        <v>18234</v>
      </c>
      <c r="D9138" s="8"/>
      <c r="E9138" s="6"/>
      <c r="F9138" s="6"/>
    </row>
    <row r="9139" spans="1:6" x14ac:dyDescent="0.3">
      <c r="A9139" s="8" t="s">
        <v>18235</v>
      </c>
      <c r="B9139" s="8" t="s">
        <v>62741</v>
      </c>
      <c r="C9139" s="8" t="s">
        <v>18236</v>
      </c>
      <c r="D9139" s="8"/>
      <c r="E9139" s="6"/>
      <c r="F9139" s="6"/>
    </row>
    <row r="9140" spans="1:6" x14ac:dyDescent="0.3">
      <c r="A9140" s="8" t="s">
        <v>18237</v>
      </c>
      <c r="B9140" s="8" t="s">
        <v>62742</v>
      </c>
      <c r="C9140" s="8" t="s">
        <v>18238</v>
      </c>
      <c r="D9140" s="8"/>
      <c r="E9140" s="6"/>
      <c r="F9140" s="6"/>
    </row>
    <row r="9141" spans="1:6" x14ac:dyDescent="0.3">
      <c r="A9141" s="8" t="s">
        <v>18239</v>
      </c>
      <c r="B9141" s="8" t="s">
        <v>62743</v>
      </c>
      <c r="C9141" s="8" t="s">
        <v>18240</v>
      </c>
      <c r="D9141" s="8"/>
      <c r="E9141" s="6"/>
      <c r="F9141" s="6"/>
    </row>
    <row r="9142" spans="1:6" x14ac:dyDescent="0.3">
      <c r="A9142" s="8" t="s">
        <v>18241</v>
      </c>
      <c r="B9142" s="8" t="s">
        <v>62744</v>
      </c>
      <c r="C9142" s="8" t="s">
        <v>18242</v>
      </c>
      <c r="D9142" s="8"/>
      <c r="E9142" s="6"/>
      <c r="F9142" s="6"/>
    </row>
    <row r="9143" spans="1:6" x14ac:dyDescent="0.3">
      <c r="A9143" s="8" t="s">
        <v>18243</v>
      </c>
      <c r="B9143" s="8" t="s">
        <v>62745</v>
      </c>
      <c r="C9143" s="8" t="s">
        <v>18244</v>
      </c>
      <c r="D9143" s="8"/>
      <c r="E9143" s="6"/>
      <c r="F9143" s="6"/>
    </row>
    <row r="9144" spans="1:6" x14ac:dyDescent="0.3">
      <c r="A9144" s="8" t="s">
        <v>18245</v>
      </c>
      <c r="B9144" s="8" t="s">
        <v>62746</v>
      </c>
      <c r="C9144" s="8" t="s">
        <v>18246</v>
      </c>
      <c r="D9144" s="8"/>
      <c r="E9144" s="6"/>
      <c r="F9144" s="6"/>
    </row>
    <row r="9145" spans="1:6" x14ac:dyDescent="0.3">
      <c r="A9145" s="8" t="s">
        <v>18247</v>
      </c>
      <c r="B9145" s="8" t="s">
        <v>62747</v>
      </c>
      <c r="C9145" s="8" t="s">
        <v>18248</v>
      </c>
      <c r="D9145" s="8"/>
      <c r="E9145" s="6"/>
      <c r="F9145" s="6"/>
    </row>
    <row r="9146" spans="1:6" x14ac:dyDescent="0.3">
      <c r="A9146" s="8" t="s">
        <v>18249</v>
      </c>
      <c r="B9146" s="8" t="s">
        <v>62748</v>
      </c>
      <c r="C9146" s="8" t="s">
        <v>18250</v>
      </c>
      <c r="D9146" s="8"/>
      <c r="E9146" s="6"/>
      <c r="F9146" s="6"/>
    </row>
    <row r="9147" spans="1:6" x14ac:dyDescent="0.3">
      <c r="A9147" s="8" t="s">
        <v>18251</v>
      </c>
      <c r="B9147" s="8" t="s">
        <v>62749</v>
      </c>
      <c r="C9147" s="8" t="s">
        <v>18252</v>
      </c>
      <c r="D9147" s="8"/>
      <c r="E9147" s="6"/>
      <c r="F9147" s="6"/>
    </row>
    <row r="9148" spans="1:6" x14ac:dyDescent="0.3">
      <c r="A9148" s="8" t="s">
        <v>18253</v>
      </c>
      <c r="B9148" s="8" t="s">
        <v>62750</v>
      </c>
      <c r="C9148" s="8" t="s">
        <v>18254</v>
      </c>
      <c r="D9148" s="8"/>
      <c r="E9148" s="6"/>
      <c r="F9148" s="6"/>
    </row>
    <row r="9149" spans="1:6" x14ac:dyDescent="0.3">
      <c r="A9149" s="8" t="s">
        <v>18255</v>
      </c>
      <c r="B9149" s="8" t="s">
        <v>62751</v>
      </c>
      <c r="C9149" s="8" t="s">
        <v>18256</v>
      </c>
      <c r="D9149" s="8"/>
      <c r="E9149" s="6"/>
      <c r="F9149" s="6"/>
    </row>
    <row r="9150" spans="1:6" x14ac:dyDescent="0.3">
      <c r="A9150" s="8" t="s">
        <v>18257</v>
      </c>
      <c r="B9150" s="8" t="s">
        <v>62752</v>
      </c>
      <c r="C9150" s="8" t="s">
        <v>18258</v>
      </c>
      <c r="D9150" s="8"/>
      <c r="E9150" s="6"/>
      <c r="F9150" s="6"/>
    </row>
    <row r="9151" spans="1:6" x14ac:dyDescent="0.3">
      <c r="A9151" s="8" t="s">
        <v>18259</v>
      </c>
      <c r="B9151" s="8" t="s">
        <v>62753</v>
      </c>
      <c r="C9151" s="8" t="s">
        <v>18260</v>
      </c>
      <c r="D9151" s="8"/>
      <c r="E9151" s="6"/>
      <c r="F9151" s="6"/>
    </row>
    <row r="9152" spans="1:6" x14ac:dyDescent="0.3">
      <c r="A9152" s="8" t="s">
        <v>18261</v>
      </c>
      <c r="B9152" s="8" t="s">
        <v>62754</v>
      </c>
      <c r="C9152" s="8" t="s">
        <v>18262</v>
      </c>
      <c r="D9152" s="8"/>
      <c r="E9152" s="6"/>
      <c r="F9152" s="6"/>
    </row>
    <row r="9153" spans="1:6" x14ac:dyDescent="0.3">
      <c r="A9153" s="8" t="s">
        <v>18263</v>
      </c>
      <c r="B9153" s="8" t="s">
        <v>62755</v>
      </c>
      <c r="C9153" s="8" t="s">
        <v>18264</v>
      </c>
      <c r="D9153" s="8"/>
      <c r="E9153" s="6"/>
      <c r="F9153" s="6"/>
    </row>
    <row r="9154" spans="1:6" x14ac:dyDescent="0.3">
      <c r="A9154" s="8" t="s">
        <v>18265</v>
      </c>
      <c r="B9154" s="8" t="s">
        <v>62756</v>
      </c>
      <c r="C9154" s="8" t="s">
        <v>18266</v>
      </c>
      <c r="D9154" s="8"/>
      <c r="E9154" s="6"/>
      <c r="F9154" s="6"/>
    </row>
    <row r="9155" spans="1:6" x14ac:dyDescent="0.3">
      <c r="A9155" s="8" t="s">
        <v>18267</v>
      </c>
      <c r="B9155" s="8" t="s">
        <v>62757</v>
      </c>
      <c r="C9155" s="8" t="s">
        <v>18268</v>
      </c>
      <c r="D9155" s="8"/>
      <c r="E9155" s="6"/>
      <c r="F9155" s="6"/>
    </row>
    <row r="9156" spans="1:6" x14ac:dyDescent="0.3">
      <c r="A9156" s="8" t="s">
        <v>18269</v>
      </c>
      <c r="B9156" s="8" t="s">
        <v>62758</v>
      </c>
      <c r="C9156" s="8" t="s">
        <v>18270</v>
      </c>
      <c r="D9156" s="8"/>
      <c r="E9156" s="6"/>
      <c r="F9156" s="6"/>
    </row>
    <row r="9157" spans="1:6" x14ac:dyDescent="0.3">
      <c r="A9157" s="8" t="s">
        <v>18271</v>
      </c>
      <c r="B9157" s="8" t="s">
        <v>62759</v>
      </c>
      <c r="C9157" s="8" t="s">
        <v>18272</v>
      </c>
      <c r="D9157" s="8"/>
      <c r="E9157" s="6"/>
      <c r="F9157" s="6"/>
    </row>
    <row r="9158" spans="1:6" x14ac:dyDescent="0.3">
      <c r="A9158" s="8" t="s">
        <v>18273</v>
      </c>
      <c r="B9158" s="8" t="s">
        <v>62760</v>
      </c>
      <c r="C9158" s="8" t="s">
        <v>18274</v>
      </c>
      <c r="D9158" s="8"/>
      <c r="E9158" s="6"/>
      <c r="F9158" s="6"/>
    </row>
    <row r="9159" spans="1:6" x14ac:dyDescent="0.3">
      <c r="A9159" s="8" t="s">
        <v>18275</v>
      </c>
      <c r="B9159" s="8" t="s">
        <v>62761</v>
      </c>
      <c r="C9159" s="8" t="s">
        <v>18276</v>
      </c>
      <c r="D9159" s="8"/>
      <c r="E9159" s="6"/>
      <c r="F9159" s="6"/>
    </row>
    <row r="9160" spans="1:6" x14ac:dyDescent="0.3">
      <c r="A9160" s="8" t="s">
        <v>18277</v>
      </c>
      <c r="B9160" s="8" t="s">
        <v>62762</v>
      </c>
      <c r="C9160" s="8" t="s">
        <v>18278</v>
      </c>
      <c r="D9160" s="8"/>
      <c r="E9160" s="6"/>
      <c r="F9160" s="6"/>
    </row>
    <row r="9161" spans="1:6" x14ac:dyDescent="0.3">
      <c r="A9161" s="8" t="s">
        <v>18279</v>
      </c>
      <c r="B9161" s="8" t="s">
        <v>62763</v>
      </c>
      <c r="C9161" s="8" t="s">
        <v>18280</v>
      </c>
      <c r="D9161" s="8"/>
      <c r="E9161" s="6"/>
      <c r="F9161" s="6"/>
    </row>
    <row r="9162" spans="1:6" x14ac:dyDescent="0.3">
      <c r="A9162" s="8" t="s">
        <v>18281</v>
      </c>
      <c r="B9162" s="8" t="s">
        <v>62764</v>
      </c>
      <c r="C9162" s="8" t="s">
        <v>18282</v>
      </c>
      <c r="D9162" s="8"/>
      <c r="E9162" s="6"/>
      <c r="F9162" s="6"/>
    </row>
    <row r="9163" spans="1:6" x14ac:dyDescent="0.3">
      <c r="A9163" s="8" t="s">
        <v>18283</v>
      </c>
      <c r="B9163" s="8" t="s">
        <v>62765</v>
      </c>
      <c r="C9163" s="8" t="s">
        <v>18284</v>
      </c>
      <c r="D9163" s="8"/>
      <c r="E9163" s="6"/>
      <c r="F9163" s="6"/>
    </row>
    <row r="9164" spans="1:6" x14ac:dyDescent="0.3">
      <c r="A9164" s="8" t="s">
        <v>18285</v>
      </c>
      <c r="B9164" s="8" t="s">
        <v>62766</v>
      </c>
      <c r="C9164" s="8" t="s">
        <v>18286</v>
      </c>
      <c r="D9164" s="8"/>
      <c r="E9164" s="6"/>
      <c r="F9164" s="6"/>
    </row>
    <row r="9165" spans="1:6" x14ac:dyDescent="0.3">
      <c r="A9165" s="8" t="s">
        <v>18287</v>
      </c>
      <c r="B9165" s="8" t="s">
        <v>62767</v>
      </c>
      <c r="C9165" s="8" t="s">
        <v>18288</v>
      </c>
      <c r="D9165" s="8"/>
      <c r="E9165" s="6"/>
      <c r="F9165" s="6"/>
    </row>
    <row r="9166" spans="1:6" x14ac:dyDescent="0.3">
      <c r="A9166" s="8" t="s">
        <v>18289</v>
      </c>
      <c r="B9166" s="8" t="s">
        <v>62768</v>
      </c>
      <c r="C9166" s="8" t="s">
        <v>18290</v>
      </c>
      <c r="D9166" s="8"/>
      <c r="E9166" s="6"/>
      <c r="F9166" s="6"/>
    </row>
    <row r="9167" spans="1:6" x14ac:dyDescent="0.3">
      <c r="A9167" s="8" t="s">
        <v>18291</v>
      </c>
      <c r="B9167" s="8" t="s">
        <v>62769</v>
      </c>
      <c r="C9167" s="8" t="s">
        <v>18292</v>
      </c>
      <c r="D9167" s="8"/>
      <c r="E9167" s="6"/>
      <c r="F9167" s="6"/>
    </row>
    <row r="9168" spans="1:6" x14ac:dyDescent="0.3">
      <c r="A9168" s="8" t="s">
        <v>18293</v>
      </c>
      <c r="B9168" s="8" t="s">
        <v>62770</v>
      </c>
      <c r="C9168" s="8" t="s">
        <v>18294</v>
      </c>
      <c r="D9168" s="8"/>
      <c r="E9168" s="6"/>
      <c r="F9168" s="6"/>
    </row>
    <row r="9169" spans="1:6" x14ac:dyDescent="0.3">
      <c r="A9169" s="8" t="s">
        <v>18295</v>
      </c>
      <c r="B9169" s="8" t="s">
        <v>62771</v>
      </c>
      <c r="C9169" s="8" t="s">
        <v>18296</v>
      </c>
      <c r="D9169" s="8"/>
      <c r="E9169" s="6"/>
      <c r="F9169" s="6"/>
    </row>
    <row r="9170" spans="1:6" x14ac:dyDescent="0.3">
      <c r="A9170" s="8" t="s">
        <v>18297</v>
      </c>
      <c r="B9170" s="8" t="s">
        <v>62772</v>
      </c>
      <c r="C9170" s="8" t="s">
        <v>18298</v>
      </c>
      <c r="D9170" s="8"/>
      <c r="E9170" s="6"/>
      <c r="F9170" s="6"/>
    </row>
    <row r="9171" spans="1:6" x14ac:dyDescent="0.3">
      <c r="A9171" s="8" t="s">
        <v>18299</v>
      </c>
      <c r="B9171" s="8" t="s">
        <v>62773</v>
      </c>
      <c r="C9171" s="8" t="s">
        <v>18300</v>
      </c>
      <c r="D9171" s="8"/>
      <c r="E9171" s="6"/>
      <c r="F9171" s="6"/>
    </row>
    <row r="9172" spans="1:6" x14ac:dyDescent="0.3">
      <c r="A9172" s="8" t="s">
        <v>18301</v>
      </c>
      <c r="B9172" s="8" t="s">
        <v>62774</v>
      </c>
      <c r="C9172" s="8" t="s">
        <v>18302</v>
      </c>
      <c r="D9172" s="8"/>
      <c r="E9172" s="6"/>
      <c r="F9172" s="6"/>
    </row>
    <row r="9173" spans="1:6" x14ac:dyDescent="0.3">
      <c r="A9173" s="8" t="s">
        <v>18303</v>
      </c>
      <c r="B9173" s="8" t="s">
        <v>62775</v>
      </c>
      <c r="C9173" s="8" t="s">
        <v>18304</v>
      </c>
      <c r="D9173" s="8"/>
      <c r="E9173" s="6"/>
      <c r="F9173" s="6"/>
    </row>
    <row r="9174" spans="1:6" x14ac:dyDescent="0.3">
      <c r="A9174" s="8" t="s">
        <v>18305</v>
      </c>
      <c r="B9174" s="8" t="s">
        <v>62776</v>
      </c>
      <c r="C9174" s="8" t="s">
        <v>18306</v>
      </c>
      <c r="D9174" s="8"/>
      <c r="E9174" s="6"/>
      <c r="F9174" s="6"/>
    </row>
    <row r="9175" spans="1:6" x14ac:dyDescent="0.3">
      <c r="A9175" s="8" t="s">
        <v>18307</v>
      </c>
      <c r="B9175" s="8" t="s">
        <v>62777</v>
      </c>
      <c r="C9175" s="8" t="s">
        <v>18308</v>
      </c>
      <c r="D9175" s="8"/>
      <c r="E9175" s="6"/>
      <c r="F9175" s="6"/>
    </row>
    <row r="9176" spans="1:6" x14ac:dyDescent="0.3">
      <c r="A9176" s="8" t="s">
        <v>18309</v>
      </c>
      <c r="B9176" s="8" t="s">
        <v>62778</v>
      </c>
      <c r="C9176" s="8" t="s">
        <v>18310</v>
      </c>
      <c r="D9176" s="8"/>
      <c r="E9176" s="6"/>
      <c r="F9176" s="6"/>
    </row>
    <row r="9177" spans="1:6" x14ac:dyDescent="0.3">
      <c r="A9177" s="8" t="s">
        <v>18311</v>
      </c>
      <c r="B9177" s="8" t="s">
        <v>62779</v>
      </c>
      <c r="C9177" s="8" t="s">
        <v>18312</v>
      </c>
      <c r="D9177" s="8"/>
      <c r="E9177" s="6"/>
      <c r="F9177" s="6"/>
    </row>
    <row r="9178" spans="1:6" x14ac:dyDescent="0.3">
      <c r="A9178" s="8" t="s">
        <v>18313</v>
      </c>
      <c r="B9178" s="8" t="s">
        <v>62780</v>
      </c>
      <c r="C9178" s="8" t="s">
        <v>18314</v>
      </c>
      <c r="D9178" s="8"/>
      <c r="E9178" s="6"/>
      <c r="F9178" s="6"/>
    </row>
    <row r="9179" spans="1:6" x14ac:dyDescent="0.3">
      <c r="A9179" s="8" t="s">
        <v>18315</v>
      </c>
      <c r="B9179" s="8" t="s">
        <v>62781</v>
      </c>
      <c r="C9179" s="8" t="s">
        <v>18316</v>
      </c>
      <c r="D9179" s="8"/>
      <c r="E9179" s="6"/>
      <c r="F9179" s="6"/>
    </row>
    <row r="9180" spans="1:6" x14ac:dyDescent="0.3">
      <c r="A9180" s="8" t="s">
        <v>18317</v>
      </c>
      <c r="B9180" s="8" t="s">
        <v>62782</v>
      </c>
      <c r="C9180" s="8" t="s">
        <v>18318</v>
      </c>
      <c r="D9180" s="8"/>
      <c r="E9180" s="6"/>
      <c r="F9180" s="6"/>
    </row>
    <row r="9181" spans="1:6" x14ac:dyDescent="0.3">
      <c r="A9181" s="8" t="s">
        <v>18319</v>
      </c>
      <c r="B9181" s="8" t="s">
        <v>62783</v>
      </c>
      <c r="C9181" s="8" t="s">
        <v>18320</v>
      </c>
      <c r="D9181" s="8"/>
      <c r="E9181" s="6"/>
      <c r="F9181" s="6"/>
    </row>
    <row r="9182" spans="1:6" x14ac:dyDescent="0.3">
      <c r="A9182" s="8" t="s">
        <v>18321</v>
      </c>
      <c r="B9182" s="8" t="s">
        <v>62784</v>
      </c>
      <c r="C9182" s="8" t="s">
        <v>18322</v>
      </c>
      <c r="D9182" s="8"/>
      <c r="E9182" s="6"/>
      <c r="F9182" s="6"/>
    </row>
    <row r="9183" spans="1:6" x14ac:dyDescent="0.3">
      <c r="A9183" s="8" t="s">
        <v>18323</v>
      </c>
      <c r="B9183" s="8" t="s">
        <v>62785</v>
      </c>
      <c r="C9183" s="8" t="s">
        <v>18324</v>
      </c>
      <c r="D9183" s="8"/>
      <c r="E9183" s="6"/>
      <c r="F9183" s="6"/>
    </row>
    <row r="9184" spans="1:6" x14ac:dyDescent="0.3">
      <c r="A9184" s="8" t="s">
        <v>18325</v>
      </c>
      <c r="B9184" s="8" t="s">
        <v>62786</v>
      </c>
      <c r="C9184" s="8" t="s">
        <v>18326</v>
      </c>
      <c r="D9184" s="8"/>
      <c r="E9184" s="6"/>
      <c r="F9184" s="6"/>
    </row>
    <row r="9185" spans="1:6" x14ac:dyDescent="0.3">
      <c r="A9185" s="8" t="s">
        <v>18327</v>
      </c>
      <c r="B9185" s="8" t="s">
        <v>62787</v>
      </c>
      <c r="C9185" s="8" t="s">
        <v>18328</v>
      </c>
      <c r="D9185" s="8"/>
      <c r="E9185" s="6"/>
      <c r="F9185" s="6"/>
    </row>
    <row r="9186" spans="1:6" x14ac:dyDescent="0.3">
      <c r="A9186" s="8" t="s">
        <v>18329</v>
      </c>
      <c r="B9186" s="8" t="s">
        <v>62788</v>
      </c>
      <c r="C9186" s="8" t="s">
        <v>18330</v>
      </c>
      <c r="D9186" s="8"/>
      <c r="E9186" s="6"/>
      <c r="F9186" s="6"/>
    </row>
    <row r="9187" spans="1:6" x14ac:dyDescent="0.3">
      <c r="A9187" s="8" t="s">
        <v>18331</v>
      </c>
      <c r="B9187" s="8" t="s">
        <v>62789</v>
      </c>
      <c r="C9187" s="8" t="s">
        <v>18332</v>
      </c>
      <c r="D9187" s="8"/>
      <c r="E9187" s="6"/>
      <c r="F9187" s="6"/>
    </row>
    <row r="9188" spans="1:6" x14ac:dyDescent="0.3">
      <c r="A9188" s="8" t="s">
        <v>18333</v>
      </c>
      <c r="B9188" s="8" t="s">
        <v>62790</v>
      </c>
      <c r="C9188" s="8" t="s">
        <v>18334</v>
      </c>
      <c r="D9188" s="8"/>
      <c r="E9188" s="6"/>
      <c r="F9188" s="6"/>
    </row>
    <row r="9189" spans="1:6" x14ac:dyDescent="0.3">
      <c r="A9189" s="8" t="s">
        <v>18335</v>
      </c>
      <c r="B9189" s="8" t="s">
        <v>62791</v>
      </c>
      <c r="C9189" s="8" t="s">
        <v>18336</v>
      </c>
      <c r="D9189" s="8"/>
      <c r="E9189" s="6"/>
      <c r="F9189" s="6"/>
    </row>
    <row r="9190" spans="1:6" x14ac:dyDescent="0.3">
      <c r="A9190" s="8" t="s">
        <v>18337</v>
      </c>
      <c r="B9190" s="8" t="s">
        <v>62792</v>
      </c>
      <c r="C9190" s="8" t="s">
        <v>18338</v>
      </c>
      <c r="D9190" s="8"/>
      <c r="E9190" s="6"/>
      <c r="F9190" s="6"/>
    </row>
    <row r="9191" spans="1:6" x14ac:dyDescent="0.3">
      <c r="A9191" s="8" t="s">
        <v>18339</v>
      </c>
      <c r="B9191" s="8" t="s">
        <v>62793</v>
      </c>
      <c r="C9191" s="8" t="s">
        <v>18340</v>
      </c>
      <c r="D9191" s="8"/>
      <c r="E9191" s="6"/>
      <c r="F9191" s="6"/>
    </row>
    <row r="9192" spans="1:6" x14ac:dyDescent="0.3">
      <c r="A9192" s="8" t="s">
        <v>18341</v>
      </c>
      <c r="B9192" s="8" t="s">
        <v>62794</v>
      </c>
      <c r="C9192" s="8" t="s">
        <v>18342</v>
      </c>
      <c r="D9192" s="8"/>
      <c r="E9192" s="6"/>
      <c r="F9192" s="6"/>
    </row>
    <row r="9193" spans="1:6" x14ac:dyDescent="0.3">
      <c r="A9193" s="8" t="s">
        <v>18343</v>
      </c>
      <c r="B9193" s="8" t="s">
        <v>62795</v>
      </c>
      <c r="C9193" s="8" t="s">
        <v>18344</v>
      </c>
      <c r="D9193" s="8"/>
      <c r="E9193" s="6"/>
      <c r="F9193" s="6"/>
    </row>
    <row r="9194" spans="1:6" x14ac:dyDescent="0.3">
      <c r="A9194" s="8" t="s">
        <v>18345</v>
      </c>
      <c r="B9194" s="8" t="s">
        <v>62796</v>
      </c>
      <c r="C9194" s="8" t="s">
        <v>18346</v>
      </c>
      <c r="D9194" s="8"/>
      <c r="E9194" s="6"/>
      <c r="F9194" s="6"/>
    </row>
    <row r="9195" spans="1:6" x14ac:dyDescent="0.3">
      <c r="A9195" s="8" t="s">
        <v>18347</v>
      </c>
      <c r="B9195" s="8" t="s">
        <v>62797</v>
      </c>
      <c r="C9195" s="8" t="s">
        <v>18348</v>
      </c>
      <c r="D9195" s="8"/>
      <c r="E9195" s="6"/>
      <c r="F9195" s="6"/>
    </row>
    <row r="9196" spans="1:6" x14ac:dyDescent="0.3">
      <c r="A9196" s="8" t="s">
        <v>18349</v>
      </c>
      <c r="B9196" s="8" t="s">
        <v>62798</v>
      </c>
      <c r="C9196" s="8" t="s">
        <v>18350</v>
      </c>
      <c r="D9196" s="8"/>
      <c r="E9196" s="6"/>
      <c r="F9196" s="6"/>
    </row>
    <row r="9197" spans="1:6" x14ac:dyDescent="0.3">
      <c r="A9197" s="8" t="s">
        <v>18351</v>
      </c>
      <c r="B9197" s="8" t="s">
        <v>62799</v>
      </c>
      <c r="C9197" s="8" t="s">
        <v>18352</v>
      </c>
      <c r="D9197" s="8"/>
      <c r="E9197" s="6"/>
      <c r="F9197" s="6"/>
    </row>
    <row r="9198" spans="1:6" x14ac:dyDescent="0.3">
      <c r="A9198" s="8" t="s">
        <v>18353</v>
      </c>
      <c r="B9198" s="8" t="s">
        <v>62800</v>
      </c>
      <c r="C9198" s="8" t="s">
        <v>18354</v>
      </c>
      <c r="D9198" s="8"/>
      <c r="E9198" s="6"/>
      <c r="F9198" s="6"/>
    </row>
    <row r="9199" spans="1:6" x14ac:dyDescent="0.3">
      <c r="A9199" s="8" t="s">
        <v>18355</v>
      </c>
      <c r="B9199" s="8" t="s">
        <v>62801</v>
      </c>
      <c r="C9199" s="8" t="s">
        <v>18356</v>
      </c>
      <c r="D9199" s="8"/>
      <c r="E9199" s="6"/>
      <c r="F9199" s="6"/>
    </row>
    <row r="9200" spans="1:6" x14ac:dyDescent="0.3">
      <c r="A9200" s="8" t="s">
        <v>18357</v>
      </c>
      <c r="B9200" s="8" t="s">
        <v>62802</v>
      </c>
      <c r="C9200" s="8" t="s">
        <v>18358</v>
      </c>
      <c r="D9200" s="8"/>
      <c r="E9200" s="6"/>
      <c r="F9200" s="6"/>
    </row>
    <row r="9201" spans="1:6" x14ac:dyDescent="0.3">
      <c r="A9201" s="8" t="s">
        <v>18359</v>
      </c>
      <c r="B9201" s="8" t="s">
        <v>62803</v>
      </c>
      <c r="C9201" s="8" t="s">
        <v>18360</v>
      </c>
      <c r="D9201" s="8"/>
      <c r="E9201" s="6"/>
      <c r="F9201" s="6"/>
    </row>
    <row r="9202" spans="1:6" x14ac:dyDescent="0.3">
      <c r="A9202" s="8" t="s">
        <v>18361</v>
      </c>
      <c r="B9202" s="8" t="s">
        <v>62804</v>
      </c>
      <c r="C9202" s="8" t="s">
        <v>18362</v>
      </c>
      <c r="D9202" s="8"/>
      <c r="E9202" s="6"/>
      <c r="F9202" s="6"/>
    </row>
    <row r="9203" spans="1:6" x14ac:dyDescent="0.3">
      <c r="A9203" s="8" t="s">
        <v>18363</v>
      </c>
      <c r="B9203" s="8" t="s">
        <v>62805</v>
      </c>
      <c r="C9203" s="8" t="s">
        <v>18364</v>
      </c>
      <c r="D9203" s="8"/>
      <c r="E9203" s="6"/>
      <c r="F9203" s="6"/>
    </row>
    <row r="9204" spans="1:6" x14ac:dyDescent="0.3">
      <c r="A9204" s="8" t="s">
        <v>18365</v>
      </c>
      <c r="B9204" s="8" t="s">
        <v>62806</v>
      </c>
      <c r="C9204" s="8" t="s">
        <v>18366</v>
      </c>
      <c r="D9204" s="8"/>
      <c r="E9204" s="6"/>
      <c r="F9204" s="6"/>
    </row>
    <row r="9205" spans="1:6" x14ac:dyDescent="0.3">
      <c r="A9205" s="8" t="s">
        <v>18367</v>
      </c>
      <c r="B9205" s="8" t="s">
        <v>62807</v>
      </c>
      <c r="C9205" s="8" t="s">
        <v>18368</v>
      </c>
      <c r="D9205" s="8"/>
      <c r="E9205" s="6"/>
      <c r="F9205" s="6"/>
    </row>
    <row r="9206" spans="1:6" x14ac:dyDescent="0.3">
      <c r="A9206" s="8" t="s">
        <v>18369</v>
      </c>
      <c r="B9206" s="8" t="s">
        <v>62808</v>
      </c>
      <c r="C9206" s="8" t="s">
        <v>18370</v>
      </c>
      <c r="D9206" s="8"/>
      <c r="E9206" s="6"/>
      <c r="F9206" s="6"/>
    </row>
    <row r="9207" spans="1:6" x14ac:dyDescent="0.3">
      <c r="A9207" s="8" t="s">
        <v>18371</v>
      </c>
      <c r="B9207" s="8" t="s">
        <v>62809</v>
      </c>
      <c r="C9207" s="8" t="s">
        <v>18372</v>
      </c>
      <c r="D9207" s="8"/>
      <c r="E9207" s="6"/>
      <c r="F9207" s="6"/>
    </row>
    <row r="9208" spans="1:6" x14ac:dyDescent="0.3">
      <c r="A9208" s="8" t="s">
        <v>18373</v>
      </c>
      <c r="B9208" s="8" t="s">
        <v>62810</v>
      </c>
      <c r="C9208" s="8" t="s">
        <v>18374</v>
      </c>
      <c r="D9208" s="8"/>
      <c r="E9208" s="6"/>
      <c r="F9208" s="6"/>
    </row>
    <row r="9209" spans="1:6" x14ac:dyDescent="0.3">
      <c r="A9209" s="8" t="s">
        <v>18375</v>
      </c>
      <c r="B9209" s="8" t="s">
        <v>62811</v>
      </c>
      <c r="C9209" s="8" t="s">
        <v>18376</v>
      </c>
      <c r="D9209" s="8"/>
      <c r="E9209" s="6"/>
      <c r="F9209" s="6"/>
    </row>
    <row r="9210" spans="1:6" x14ac:dyDescent="0.3">
      <c r="A9210" s="8" t="s">
        <v>18377</v>
      </c>
      <c r="B9210" s="8" t="s">
        <v>62812</v>
      </c>
      <c r="C9210" s="8" t="s">
        <v>18378</v>
      </c>
      <c r="D9210" s="8"/>
      <c r="E9210" s="6"/>
      <c r="F9210" s="6"/>
    </row>
    <row r="9211" spans="1:6" x14ac:dyDescent="0.3">
      <c r="A9211" s="8" t="s">
        <v>18379</v>
      </c>
      <c r="B9211" s="8" t="s">
        <v>62813</v>
      </c>
      <c r="C9211" s="8" t="s">
        <v>18380</v>
      </c>
      <c r="D9211" s="8"/>
      <c r="E9211" s="6"/>
      <c r="F9211" s="6"/>
    </row>
    <row r="9212" spans="1:6" x14ac:dyDescent="0.3">
      <c r="A9212" s="8" t="s">
        <v>18381</v>
      </c>
      <c r="B9212" s="8" t="s">
        <v>62814</v>
      </c>
      <c r="C9212" s="8" t="s">
        <v>18382</v>
      </c>
      <c r="D9212" s="8"/>
      <c r="E9212" s="6"/>
      <c r="F9212" s="6"/>
    </row>
    <row r="9213" spans="1:6" x14ac:dyDescent="0.3">
      <c r="A9213" s="8" t="s">
        <v>18383</v>
      </c>
      <c r="B9213" s="8" t="s">
        <v>62815</v>
      </c>
      <c r="C9213" s="8" t="s">
        <v>18384</v>
      </c>
      <c r="D9213" s="8"/>
      <c r="E9213" s="6"/>
      <c r="F9213" s="6"/>
    </row>
    <row r="9214" spans="1:6" x14ac:dyDescent="0.3">
      <c r="A9214" s="8" t="s">
        <v>18385</v>
      </c>
      <c r="B9214" s="8" t="s">
        <v>62816</v>
      </c>
      <c r="C9214" s="8" t="s">
        <v>18386</v>
      </c>
      <c r="D9214" s="8"/>
      <c r="E9214" s="6"/>
      <c r="F9214" s="6"/>
    </row>
    <row r="9215" spans="1:6" x14ac:dyDescent="0.3">
      <c r="A9215" s="8" t="s">
        <v>18387</v>
      </c>
      <c r="B9215" s="8" t="s">
        <v>62817</v>
      </c>
      <c r="C9215" s="8" t="s">
        <v>18388</v>
      </c>
      <c r="D9215" s="8"/>
      <c r="E9215" s="6"/>
      <c r="F9215" s="6"/>
    </row>
    <row r="9216" spans="1:6" x14ac:dyDescent="0.3">
      <c r="A9216" s="8" t="s">
        <v>18389</v>
      </c>
      <c r="B9216" s="8" t="s">
        <v>62818</v>
      </c>
      <c r="C9216" s="8" t="s">
        <v>18390</v>
      </c>
      <c r="D9216" s="8"/>
      <c r="E9216" s="6"/>
      <c r="F9216" s="6"/>
    </row>
    <row r="9217" spans="1:6" x14ac:dyDescent="0.3">
      <c r="A9217" s="8" t="s">
        <v>18391</v>
      </c>
      <c r="B9217" s="8" t="s">
        <v>62819</v>
      </c>
      <c r="C9217" s="8" t="s">
        <v>18392</v>
      </c>
      <c r="D9217" s="8"/>
      <c r="E9217" s="6"/>
      <c r="F9217" s="6"/>
    </row>
    <row r="9218" spans="1:6" x14ac:dyDescent="0.3">
      <c r="A9218" s="8" t="s">
        <v>18393</v>
      </c>
      <c r="B9218" s="8" t="s">
        <v>62820</v>
      </c>
      <c r="C9218" s="8" t="s">
        <v>18394</v>
      </c>
      <c r="D9218" s="8"/>
      <c r="E9218" s="6"/>
      <c r="F9218" s="6"/>
    </row>
    <row r="9219" spans="1:6" x14ac:dyDescent="0.3">
      <c r="A9219" s="8" t="s">
        <v>18395</v>
      </c>
      <c r="B9219" s="8" t="s">
        <v>62821</v>
      </c>
      <c r="C9219" s="8" t="s">
        <v>18396</v>
      </c>
      <c r="D9219" s="8"/>
      <c r="E9219" s="6"/>
      <c r="F9219" s="6"/>
    </row>
    <row r="9220" spans="1:6" x14ac:dyDescent="0.3">
      <c r="A9220" s="8" t="s">
        <v>18397</v>
      </c>
      <c r="B9220" s="8" t="s">
        <v>62822</v>
      </c>
      <c r="C9220" s="8" t="s">
        <v>18398</v>
      </c>
      <c r="D9220" s="8"/>
      <c r="E9220" s="6"/>
      <c r="F9220" s="6"/>
    </row>
    <row r="9221" spans="1:6" x14ac:dyDescent="0.3">
      <c r="A9221" s="8" t="s">
        <v>18399</v>
      </c>
      <c r="B9221" s="8" t="s">
        <v>62823</v>
      </c>
      <c r="C9221" s="8" t="s">
        <v>18400</v>
      </c>
      <c r="D9221" s="8"/>
      <c r="E9221" s="6"/>
      <c r="F9221" s="6"/>
    </row>
    <row r="9222" spans="1:6" x14ac:dyDescent="0.3">
      <c r="A9222" s="8" t="s">
        <v>18401</v>
      </c>
      <c r="B9222" s="8" t="s">
        <v>62824</v>
      </c>
      <c r="C9222" s="8" t="s">
        <v>18402</v>
      </c>
      <c r="D9222" s="8"/>
      <c r="E9222" s="6"/>
      <c r="F9222" s="6"/>
    </row>
    <row r="9223" spans="1:6" x14ac:dyDescent="0.3">
      <c r="A9223" s="8" t="s">
        <v>18403</v>
      </c>
      <c r="B9223" s="8" t="s">
        <v>62825</v>
      </c>
      <c r="C9223" s="8" t="s">
        <v>18404</v>
      </c>
      <c r="D9223" s="8"/>
      <c r="E9223" s="6"/>
      <c r="F9223" s="6"/>
    </row>
    <row r="9224" spans="1:6" x14ac:dyDescent="0.3">
      <c r="A9224" s="8" t="s">
        <v>18405</v>
      </c>
      <c r="B9224" s="8" t="s">
        <v>62826</v>
      </c>
      <c r="C9224" s="8" t="s">
        <v>18406</v>
      </c>
      <c r="D9224" s="8"/>
      <c r="E9224" s="6"/>
      <c r="F9224" s="6"/>
    </row>
    <row r="9225" spans="1:6" x14ac:dyDescent="0.3">
      <c r="A9225" s="8" t="s">
        <v>18407</v>
      </c>
      <c r="B9225" s="8" t="s">
        <v>62827</v>
      </c>
      <c r="C9225" s="8" t="s">
        <v>18408</v>
      </c>
      <c r="D9225" s="8"/>
      <c r="E9225" s="6"/>
      <c r="F9225" s="6"/>
    </row>
    <row r="9226" spans="1:6" x14ac:dyDescent="0.3">
      <c r="A9226" s="8" t="s">
        <v>18409</v>
      </c>
      <c r="B9226" s="8" t="s">
        <v>62828</v>
      </c>
      <c r="C9226" s="8" t="s">
        <v>18410</v>
      </c>
      <c r="D9226" s="8"/>
      <c r="E9226" s="6"/>
      <c r="F9226" s="6"/>
    </row>
    <row r="9227" spans="1:6" x14ac:dyDescent="0.3">
      <c r="A9227" s="8" t="s">
        <v>18411</v>
      </c>
      <c r="B9227" s="8" t="s">
        <v>62829</v>
      </c>
      <c r="C9227" s="8" t="s">
        <v>18412</v>
      </c>
      <c r="D9227" s="8"/>
      <c r="E9227" s="6"/>
      <c r="F9227" s="6"/>
    </row>
    <row r="9228" spans="1:6" x14ac:dyDescent="0.3">
      <c r="A9228" s="8" t="s">
        <v>18413</v>
      </c>
      <c r="B9228" s="8" t="s">
        <v>62830</v>
      </c>
      <c r="C9228" s="8" t="s">
        <v>18414</v>
      </c>
      <c r="D9228" s="8"/>
      <c r="E9228" s="6"/>
      <c r="F9228" s="6"/>
    </row>
    <row r="9229" spans="1:6" x14ac:dyDescent="0.3">
      <c r="A9229" s="8" t="s">
        <v>18415</v>
      </c>
      <c r="B9229" s="8" t="s">
        <v>62831</v>
      </c>
      <c r="C9229" s="8" t="s">
        <v>18416</v>
      </c>
      <c r="D9229" s="8"/>
      <c r="E9229" s="6"/>
      <c r="F9229" s="6"/>
    </row>
    <row r="9230" spans="1:6" x14ac:dyDescent="0.3">
      <c r="A9230" s="8" t="s">
        <v>18417</v>
      </c>
      <c r="B9230" s="8" t="s">
        <v>62832</v>
      </c>
      <c r="C9230" s="8" t="s">
        <v>18418</v>
      </c>
      <c r="D9230" s="8"/>
      <c r="E9230" s="6"/>
      <c r="F9230" s="6"/>
    </row>
    <row r="9231" spans="1:6" x14ac:dyDescent="0.3">
      <c r="A9231" s="8" t="s">
        <v>18419</v>
      </c>
      <c r="B9231" s="8" t="s">
        <v>62833</v>
      </c>
      <c r="C9231" s="8" t="s">
        <v>18420</v>
      </c>
      <c r="D9231" s="8"/>
      <c r="E9231" s="6"/>
      <c r="F9231" s="6"/>
    </row>
    <row r="9232" spans="1:6" x14ac:dyDescent="0.3">
      <c r="A9232" s="8" t="s">
        <v>18421</v>
      </c>
      <c r="B9232" s="8" t="s">
        <v>62834</v>
      </c>
      <c r="C9232" s="8" t="s">
        <v>18422</v>
      </c>
      <c r="D9232" s="8"/>
      <c r="E9232" s="6"/>
      <c r="F9232" s="6"/>
    </row>
    <row r="9233" spans="1:6" x14ac:dyDescent="0.3">
      <c r="A9233" s="8" t="s">
        <v>18423</v>
      </c>
      <c r="B9233" s="8" t="s">
        <v>62835</v>
      </c>
      <c r="C9233" s="8" t="s">
        <v>18424</v>
      </c>
      <c r="D9233" s="8"/>
      <c r="E9233" s="6"/>
      <c r="F9233" s="6"/>
    </row>
    <row r="9234" spans="1:6" x14ac:dyDescent="0.3">
      <c r="A9234" s="8" t="s">
        <v>18425</v>
      </c>
      <c r="B9234" s="8" t="s">
        <v>62836</v>
      </c>
      <c r="C9234" s="8" t="s">
        <v>18426</v>
      </c>
      <c r="D9234" s="8"/>
      <c r="E9234" s="6"/>
      <c r="F9234" s="6"/>
    </row>
    <row r="9235" spans="1:6" x14ac:dyDescent="0.3">
      <c r="A9235" s="8" t="s">
        <v>18427</v>
      </c>
      <c r="B9235" s="8" t="s">
        <v>62837</v>
      </c>
      <c r="C9235" s="8" t="s">
        <v>18428</v>
      </c>
      <c r="D9235" s="8"/>
      <c r="E9235" s="6"/>
      <c r="F9235" s="6"/>
    </row>
    <row r="9236" spans="1:6" x14ac:dyDescent="0.3">
      <c r="A9236" s="8" t="s">
        <v>18429</v>
      </c>
      <c r="B9236" s="8" t="s">
        <v>62838</v>
      </c>
      <c r="C9236" s="8" t="s">
        <v>18430</v>
      </c>
      <c r="D9236" s="8"/>
      <c r="E9236" s="6"/>
      <c r="F9236" s="6"/>
    </row>
    <row r="9237" spans="1:6" x14ac:dyDescent="0.3">
      <c r="A9237" s="8" t="s">
        <v>18431</v>
      </c>
      <c r="B9237" s="8" t="s">
        <v>62839</v>
      </c>
      <c r="C9237" s="8" t="s">
        <v>18432</v>
      </c>
      <c r="D9237" s="8"/>
      <c r="E9237" s="6"/>
      <c r="F9237" s="6"/>
    </row>
    <row r="9238" spans="1:6" x14ac:dyDescent="0.3">
      <c r="A9238" s="8" t="s">
        <v>18433</v>
      </c>
      <c r="B9238" s="8" t="s">
        <v>62840</v>
      </c>
      <c r="C9238" s="8" t="s">
        <v>18434</v>
      </c>
      <c r="D9238" s="8"/>
      <c r="E9238" s="6"/>
      <c r="F9238" s="6"/>
    </row>
    <row r="9239" spans="1:6" x14ac:dyDescent="0.3">
      <c r="A9239" s="8" t="s">
        <v>18435</v>
      </c>
      <c r="B9239" s="8" t="s">
        <v>62841</v>
      </c>
      <c r="C9239" s="8" t="s">
        <v>18436</v>
      </c>
      <c r="D9239" s="8"/>
      <c r="E9239" s="6"/>
      <c r="F9239" s="6"/>
    </row>
    <row r="9240" spans="1:6" x14ac:dyDescent="0.3">
      <c r="A9240" s="8" t="s">
        <v>18437</v>
      </c>
      <c r="B9240" s="8" t="s">
        <v>62842</v>
      </c>
      <c r="C9240" s="8" t="s">
        <v>18438</v>
      </c>
      <c r="D9240" s="8"/>
      <c r="E9240" s="6"/>
      <c r="F9240" s="6"/>
    </row>
    <row r="9241" spans="1:6" x14ac:dyDescent="0.3">
      <c r="A9241" s="8" t="s">
        <v>18439</v>
      </c>
      <c r="B9241" s="8" t="s">
        <v>62843</v>
      </c>
      <c r="C9241" s="8" t="s">
        <v>18440</v>
      </c>
      <c r="D9241" s="8"/>
      <c r="E9241" s="6"/>
      <c r="F9241" s="6"/>
    </row>
    <row r="9242" spans="1:6" x14ac:dyDescent="0.3">
      <c r="A9242" s="8" t="s">
        <v>18441</v>
      </c>
      <c r="B9242" s="8" t="s">
        <v>62844</v>
      </c>
      <c r="C9242" s="8" t="s">
        <v>18442</v>
      </c>
      <c r="D9242" s="8"/>
      <c r="E9242" s="6"/>
      <c r="F9242" s="6"/>
    </row>
    <row r="9243" spans="1:6" x14ac:dyDescent="0.3">
      <c r="A9243" s="8" t="s">
        <v>18443</v>
      </c>
      <c r="B9243" s="8" t="s">
        <v>62845</v>
      </c>
      <c r="C9243" s="8" t="s">
        <v>18444</v>
      </c>
      <c r="D9243" s="8"/>
      <c r="E9243" s="6"/>
      <c r="F9243" s="6"/>
    </row>
    <row r="9244" spans="1:6" x14ac:dyDescent="0.3">
      <c r="A9244" s="8" t="s">
        <v>18445</v>
      </c>
      <c r="B9244" s="8" t="s">
        <v>62846</v>
      </c>
      <c r="C9244" s="8" t="s">
        <v>18446</v>
      </c>
      <c r="D9244" s="8"/>
      <c r="E9244" s="6"/>
      <c r="F9244" s="6"/>
    </row>
    <row r="9245" spans="1:6" x14ac:dyDescent="0.3">
      <c r="A9245" s="8" t="s">
        <v>18447</v>
      </c>
      <c r="B9245" s="8" t="s">
        <v>62847</v>
      </c>
      <c r="C9245" s="8" t="s">
        <v>18448</v>
      </c>
      <c r="D9245" s="8"/>
      <c r="E9245" s="6"/>
      <c r="F9245" s="6"/>
    </row>
    <row r="9246" spans="1:6" x14ac:dyDescent="0.3">
      <c r="A9246" s="8" t="s">
        <v>18449</v>
      </c>
      <c r="B9246" s="8" t="s">
        <v>62848</v>
      </c>
      <c r="C9246" s="8" t="s">
        <v>18450</v>
      </c>
      <c r="D9246" s="8"/>
      <c r="E9246" s="6"/>
      <c r="F9246" s="6"/>
    </row>
    <row r="9247" spans="1:6" x14ac:dyDescent="0.3">
      <c r="A9247" s="8" t="s">
        <v>18451</v>
      </c>
      <c r="B9247" s="8" t="s">
        <v>62849</v>
      </c>
      <c r="C9247" s="8" t="s">
        <v>18452</v>
      </c>
      <c r="D9247" s="8"/>
      <c r="E9247" s="6"/>
      <c r="F9247" s="6"/>
    </row>
    <row r="9248" spans="1:6" x14ac:dyDescent="0.3">
      <c r="A9248" s="8" t="s">
        <v>18453</v>
      </c>
      <c r="B9248" s="8" t="s">
        <v>62850</v>
      </c>
      <c r="C9248" s="8" t="s">
        <v>18454</v>
      </c>
      <c r="D9248" s="8"/>
      <c r="E9248" s="6"/>
      <c r="F9248" s="6"/>
    </row>
    <row r="9249" spans="1:6" x14ac:dyDescent="0.3">
      <c r="A9249" s="8" t="s">
        <v>18455</v>
      </c>
      <c r="B9249" s="8" t="s">
        <v>62851</v>
      </c>
      <c r="C9249" s="8" t="s">
        <v>18456</v>
      </c>
      <c r="D9249" s="8"/>
      <c r="E9249" s="6"/>
      <c r="F9249" s="6"/>
    </row>
    <row r="9250" spans="1:6" x14ac:dyDescent="0.3">
      <c r="A9250" s="8" t="s">
        <v>18457</v>
      </c>
      <c r="B9250" s="8" t="s">
        <v>62852</v>
      </c>
      <c r="C9250" s="8" t="s">
        <v>18458</v>
      </c>
      <c r="D9250" s="8"/>
      <c r="E9250" s="6"/>
      <c r="F9250" s="6"/>
    </row>
    <row r="9251" spans="1:6" x14ac:dyDescent="0.3">
      <c r="A9251" s="8" t="s">
        <v>18459</v>
      </c>
      <c r="B9251" s="8" t="s">
        <v>62853</v>
      </c>
      <c r="C9251" s="8" t="s">
        <v>18460</v>
      </c>
      <c r="D9251" s="8"/>
      <c r="E9251" s="6"/>
      <c r="F9251" s="6"/>
    </row>
    <row r="9252" spans="1:6" x14ac:dyDescent="0.3">
      <c r="A9252" s="8" t="s">
        <v>18461</v>
      </c>
      <c r="B9252" s="8" t="s">
        <v>62854</v>
      </c>
      <c r="C9252" s="8" t="s">
        <v>18462</v>
      </c>
      <c r="D9252" s="8"/>
      <c r="E9252" s="6"/>
      <c r="F9252" s="6"/>
    </row>
    <row r="9253" spans="1:6" x14ac:dyDescent="0.3">
      <c r="A9253" s="8" t="s">
        <v>18463</v>
      </c>
      <c r="B9253" s="8" t="s">
        <v>62855</v>
      </c>
      <c r="C9253" s="8" t="s">
        <v>18464</v>
      </c>
      <c r="D9253" s="8"/>
      <c r="E9253" s="6"/>
      <c r="F9253" s="6"/>
    </row>
    <row r="9254" spans="1:6" x14ac:dyDescent="0.3">
      <c r="A9254" s="8" t="s">
        <v>18465</v>
      </c>
      <c r="B9254" s="8" t="s">
        <v>62856</v>
      </c>
      <c r="C9254" s="8" t="s">
        <v>18466</v>
      </c>
      <c r="D9254" s="8"/>
      <c r="E9254" s="6"/>
      <c r="F9254" s="6"/>
    </row>
    <row r="9255" spans="1:6" x14ac:dyDescent="0.3">
      <c r="A9255" s="8" t="s">
        <v>18467</v>
      </c>
      <c r="B9255" s="8" t="s">
        <v>62857</v>
      </c>
      <c r="C9255" s="8" t="s">
        <v>18468</v>
      </c>
      <c r="D9255" s="8"/>
      <c r="E9255" s="6"/>
      <c r="F9255" s="6"/>
    </row>
    <row r="9256" spans="1:6" x14ac:dyDescent="0.3">
      <c r="A9256" s="8" t="s">
        <v>18469</v>
      </c>
      <c r="B9256" s="8" t="s">
        <v>62858</v>
      </c>
      <c r="C9256" s="8" t="s">
        <v>18470</v>
      </c>
      <c r="D9256" s="8"/>
      <c r="E9256" s="6"/>
      <c r="F9256" s="6"/>
    </row>
    <row r="9257" spans="1:6" x14ac:dyDescent="0.3">
      <c r="A9257" s="8" t="s">
        <v>18471</v>
      </c>
      <c r="B9257" s="8" t="s">
        <v>62859</v>
      </c>
      <c r="C9257" s="8" t="s">
        <v>18472</v>
      </c>
      <c r="D9257" s="8"/>
      <c r="E9257" s="6"/>
      <c r="F9257" s="6"/>
    </row>
    <row r="9258" spans="1:6" x14ac:dyDescent="0.3">
      <c r="A9258" s="8" t="s">
        <v>18473</v>
      </c>
      <c r="B9258" s="8" t="s">
        <v>62860</v>
      </c>
      <c r="C9258" s="8" t="s">
        <v>18474</v>
      </c>
      <c r="D9258" s="8"/>
      <c r="E9258" s="6"/>
      <c r="F9258" s="6"/>
    </row>
    <row r="9259" spans="1:6" x14ac:dyDescent="0.3">
      <c r="A9259" s="8" t="s">
        <v>18475</v>
      </c>
      <c r="B9259" s="8" t="s">
        <v>62861</v>
      </c>
      <c r="C9259" s="8" t="s">
        <v>18476</v>
      </c>
      <c r="D9259" s="8"/>
      <c r="E9259" s="6"/>
      <c r="F9259" s="6"/>
    </row>
    <row r="9260" spans="1:6" x14ac:dyDescent="0.3">
      <c r="A9260" s="8" t="s">
        <v>18477</v>
      </c>
      <c r="B9260" s="8" t="s">
        <v>62862</v>
      </c>
      <c r="C9260" s="8" t="s">
        <v>18478</v>
      </c>
      <c r="D9260" s="8"/>
      <c r="E9260" s="6"/>
      <c r="F9260" s="6"/>
    </row>
    <row r="9261" spans="1:6" x14ac:dyDescent="0.3">
      <c r="A9261" s="8" t="s">
        <v>18479</v>
      </c>
      <c r="B9261" s="8" t="s">
        <v>62863</v>
      </c>
      <c r="C9261" s="8" t="s">
        <v>18480</v>
      </c>
      <c r="D9261" s="8"/>
      <c r="E9261" s="6"/>
      <c r="F9261" s="6"/>
    </row>
    <row r="9262" spans="1:6" x14ac:dyDescent="0.3">
      <c r="A9262" s="8" t="s">
        <v>18481</v>
      </c>
      <c r="B9262" s="8" t="s">
        <v>62864</v>
      </c>
      <c r="C9262" s="8" t="s">
        <v>18482</v>
      </c>
      <c r="D9262" s="8"/>
      <c r="E9262" s="6"/>
      <c r="F9262" s="6"/>
    </row>
    <row r="9263" spans="1:6" x14ac:dyDescent="0.3">
      <c r="A9263" s="8" t="s">
        <v>18483</v>
      </c>
      <c r="B9263" s="8" t="s">
        <v>62865</v>
      </c>
      <c r="C9263" s="8" t="s">
        <v>18484</v>
      </c>
      <c r="D9263" s="8"/>
      <c r="E9263" s="6"/>
      <c r="F9263" s="6"/>
    </row>
    <row r="9264" spans="1:6" x14ac:dyDescent="0.3">
      <c r="A9264" s="8" t="s">
        <v>18485</v>
      </c>
      <c r="B9264" s="8" t="s">
        <v>62866</v>
      </c>
      <c r="C9264" s="8" t="s">
        <v>18486</v>
      </c>
      <c r="D9264" s="8"/>
      <c r="E9264" s="6"/>
      <c r="F9264" s="6"/>
    </row>
    <row r="9265" spans="1:6" x14ac:dyDescent="0.3">
      <c r="A9265" s="8" t="s">
        <v>18487</v>
      </c>
      <c r="B9265" s="8" t="s">
        <v>62867</v>
      </c>
      <c r="C9265" s="8" t="s">
        <v>18488</v>
      </c>
      <c r="D9265" s="8"/>
      <c r="E9265" s="6"/>
      <c r="F9265" s="6"/>
    </row>
    <row r="9266" spans="1:6" x14ac:dyDescent="0.3">
      <c r="A9266" s="8" t="s">
        <v>18489</v>
      </c>
      <c r="B9266" s="8" t="s">
        <v>62868</v>
      </c>
      <c r="C9266" s="8" t="s">
        <v>18490</v>
      </c>
      <c r="D9266" s="8"/>
      <c r="E9266" s="6"/>
      <c r="F9266" s="6"/>
    </row>
    <row r="9267" spans="1:6" x14ac:dyDescent="0.3">
      <c r="A9267" s="8" t="s">
        <v>18491</v>
      </c>
      <c r="B9267" s="8" t="s">
        <v>62869</v>
      </c>
      <c r="C9267" s="8" t="s">
        <v>18492</v>
      </c>
      <c r="D9267" s="8"/>
      <c r="E9267" s="6"/>
      <c r="F9267" s="6"/>
    </row>
    <row r="9268" spans="1:6" x14ac:dyDescent="0.3">
      <c r="A9268" s="8" t="s">
        <v>18493</v>
      </c>
      <c r="B9268" s="8" t="s">
        <v>62870</v>
      </c>
      <c r="C9268" s="8" t="s">
        <v>18494</v>
      </c>
      <c r="D9268" s="8"/>
      <c r="E9268" s="6"/>
      <c r="F9268" s="6"/>
    </row>
    <row r="9269" spans="1:6" x14ac:dyDescent="0.3">
      <c r="A9269" s="8" t="s">
        <v>18495</v>
      </c>
      <c r="B9269" s="8" t="s">
        <v>62871</v>
      </c>
      <c r="C9269" s="8" t="s">
        <v>18496</v>
      </c>
      <c r="D9269" s="8"/>
      <c r="E9269" s="6"/>
      <c r="F9269" s="6"/>
    </row>
    <row r="9270" spans="1:6" x14ac:dyDescent="0.3">
      <c r="A9270" s="8" t="s">
        <v>18497</v>
      </c>
      <c r="B9270" s="8" t="s">
        <v>62872</v>
      </c>
      <c r="C9270" s="8" t="s">
        <v>18498</v>
      </c>
      <c r="D9270" s="8"/>
      <c r="E9270" s="6"/>
      <c r="F9270" s="6"/>
    </row>
    <row r="9271" spans="1:6" x14ac:dyDescent="0.3">
      <c r="A9271" s="8" t="s">
        <v>18499</v>
      </c>
      <c r="B9271" s="8" t="s">
        <v>62873</v>
      </c>
      <c r="C9271" s="8" t="s">
        <v>18500</v>
      </c>
      <c r="D9271" s="8"/>
      <c r="E9271" s="6"/>
      <c r="F9271" s="6"/>
    </row>
    <row r="9272" spans="1:6" x14ac:dyDescent="0.3">
      <c r="A9272" s="8" t="s">
        <v>18501</v>
      </c>
      <c r="B9272" s="8" t="s">
        <v>62874</v>
      </c>
      <c r="C9272" s="8" t="s">
        <v>18502</v>
      </c>
      <c r="D9272" s="8"/>
      <c r="E9272" s="6"/>
      <c r="F9272" s="6"/>
    </row>
    <row r="9273" spans="1:6" x14ac:dyDescent="0.3">
      <c r="A9273" s="8" t="s">
        <v>18503</v>
      </c>
      <c r="B9273" s="8" t="s">
        <v>62875</v>
      </c>
      <c r="C9273" s="8" t="s">
        <v>18504</v>
      </c>
      <c r="D9273" s="8"/>
      <c r="E9273" s="6"/>
      <c r="F9273" s="6"/>
    </row>
    <row r="9274" spans="1:6" x14ac:dyDescent="0.3">
      <c r="A9274" s="8" t="s">
        <v>18505</v>
      </c>
      <c r="B9274" s="8" t="s">
        <v>62876</v>
      </c>
      <c r="C9274" s="8" t="s">
        <v>18506</v>
      </c>
      <c r="D9274" s="8"/>
      <c r="E9274" s="6"/>
      <c r="F9274" s="6"/>
    </row>
    <row r="9275" spans="1:6" x14ac:dyDescent="0.3">
      <c r="A9275" s="8" t="s">
        <v>18507</v>
      </c>
      <c r="B9275" s="8" t="s">
        <v>62877</v>
      </c>
      <c r="C9275" s="8" t="s">
        <v>18508</v>
      </c>
      <c r="D9275" s="8"/>
      <c r="E9275" s="6"/>
      <c r="F9275" s="6"/>
    </row>
    <row r="9276" spans="1:6" x14ac:dyDescent="0.3">
      <c r="A9276" s="8" t="s">
        <v>18509</v>
      </c>
      <c r="B9276" s="8" t="s">
        <v>62878</v>
      </c>
      <c r="C9276" s="8" t="s">
        <v>18510</v>
      </c>
      <c r="D9276" s="8"/>
      <c r="E9276" s="6"/>
      <c r="F9276" s="6"/>
    </row>
    <row r="9277" spans="1:6" x14ac:dyDescent="0.3">
      <c r="A9277" s="8" t="s">
        <v>18511</v>
      </c>
      <c r="B9277" s="8" t="s">
        <v>62879</v>
      </c>
      <c r="C9277" s="8" t="s">
        <v>18512</v>
      </c>
      <c r="D9277" s="8"/>
      <c r="E9277" s="6"/>
      <c r="F9277" s="6"/>
    </row>
    <row r="9278" spans="1:6" x14ac:dyDescent="0.3">
      <c r="A9278" s="8" t="s">
        <v>18513</v>
      </c>
      <c r="B9278" s="8" t="s">
        <v>62880</v>
      </c>
      <c r="C9278" s="8" t="s">
        <v>18514</v>
      </c>
      <c r="D9278" s="8"/>
      <c r="E9278" s="6"/>
      <c r="F9278" s="6"/>
    </row>
    <row r="9279" spans="1:6" x14ac:dyDescent="0.3">
      <c r="A9279" s="8" t="s">
        <v>18515</v>
      </c>
      <c r="B9279" s="8" t="s">
        <v>62881</v>
      </c>
      <c r="C9279" s="8" t="s">
        <v>18516</v>
      </c>
      <c r="D9279" s="8"/>
      <c r="E9279" s="6"/>
      <c r="F9279" s="6"/>
    </row>
    <row r="9280" spans="1:6" x14ac:dyDescent="0.3">
      <c r="A9280" s="8" t="s">
        <v>18517</v>
      </c>
      <c r="B9280" s="8" t="s">
        <v>62882</v>
      </c>
      <c r="C9280" s="8" t="s">
        <v>18518</v>
      </c>
      <c r="D9280" s="8"/>
      <c r="E9280" s="6"/>
      <c r="F9280" s="6"/>
    </row>
    <row r="9281" spans="1:6" x14ac:dyDescent="0.3">
      <c r="A9281" s="8" t="s">
        <v>18519</v>
      </c>
      <c r="B9281" s="8" t="s">
        <v>62883</v>
      </c>
      <c r="C9281" s="8" t="s">
        <v>18520</v>
      </c>
      <c r="D9281" s="8"/>
      <c r="E9281" s="6"/>
      <c r="F9281" s="6"/>
    </row>
    <row r="9282" spans="1:6" x14ac:dyDescent="0.3">
      <c r="A9282" s="8" t="s">
        <v>18521</v>
      </c>
      <c r="B9282" s="8" t="s">
        <v>62884</v>
      </c>
      <c r="C9282" s="8" t="s">
        <v>18522</v>
      </c>
      <c r="D9282" s="8"/>
      <c r="E9282" s="6"/>
      <c r="F9282" s="6"/>
    </row>
    <row r="9283" spans="1:6" x14ac:dyDescent="0.3">
      <c r="A9283" s="8" t="s">
        <v>18523</v>
      </c>
      <c r="B9283" s="8" t="s">
        <v>62885</v>
      </c>
      <c r="C9283" s="8" t="s">
        <v>18524</v>
      </c>
      <c r="D9283" s="8"/>
      <c r="E9283" s="6"/>
      <c r="F9283" s="6"/>
    </row>
    <row r="9284" spans="1:6" x14ac:dyDescent="0.3">
      <c r="A9284" s="8" t="s">
        <v>18525</v>
      </c>
      <c r="B9284" s="8" t="s">
        <v>62886</v>
      </c>
      <c r="C9284" s="8" t="s">
        <v>18526</v>
      </c>
      <c r="D9284" s="8"/>
      <c r="E9284" s="6"/>
      <c r="F9284" s="6"/>
    </row>
    <row r="9285" spans="1:6" x14ac:dyDescent="0.3">
      <c r="A9285" s="8" t="s">
        <v>18527</v>
      </c>
      <c r="B9285" s="8" t="s">
        <v>62887</v>
      </c>
      <c r="C9285" s="8" t="s">
        <v>18528</v>
      </c>
      <c r="D9285" s="8"/>
      <c r="E9285" s="6"/>
      <c r="F9285" s="6"/>
    </row>
    <row r="9286" spans="1:6" x14ac:dyDescent="0.3">
      <c r="A9286" s="8" t="s">
        <v>18529</v>
      </c>
      <c r="B9286" s="8" t="s">
        <v>62888</v>
      </c>
      <c r="C9286" s="8" t="s">
        <v>18530</v>
      </c>
      <c r="D9286" s="8"/>
      <c r="E9286" s="6"/>
      <c r="F9286" s="6"/>
    </row>
    <row r="9287" spans="1:6" x14ac:dyDescent="0.3">
      <c r="A9287" s="8" t="s">
        <v>18531</v>
      </c>
      <c r="B9287" s="8" t="s">
        <v>62889</v>
      </c>
      <c r="C9287" s="8" t="s">
        <v>18532</v>
      </c>
      <c r="D9287" s="8"/>
      <c r="E9287" s="6"/>
      <c r="F9287" s="6"/>
    </row>
    <row r="9288" spans="1:6" x14ac:dyDescent="0.3">
      <c r="A9288" s="8" t="s">
        <v>18533</v>
      </c>
      <c r="B9288" s="8" t="s">
        <v>62890</v>
      </c>
      <c r="C9288" s="8" t="s">
        <v>18534</v>
      </c>
      <c r="D9288" s="8"/>
      <c r="E9288" s="6"/>
      <c r="F9288" s="6"/>
    </row>
    <row r="9289" spans="1:6" x14ac:dyDescent="0.3">
      <c r="A9289" s="8" t="s">
        <v>18535</v>
      </c>
      <c r="B9289" s="8" t="s">
        <v>62891</v>
      </c>
      <c r="C9289" s="8" t="s">
        <v>18536</v>
      </c>
      <c r="D9289" s="8"/>
      <c r="E9289" s="6"/>
      <c r="F9289" s="6"/>
    </row>
    <row r="9290" spans="1:6" x14ac:dyDescent="0.3">
      <c r="A9290" s="8" t="s">
        <v>18537</v>
      </c>
      <c r="B9290" s="8" t="s">
        <v>62892</v>
      </c>
      <c r="C9290" s="8" t="s">
        <v>18538</v>
      </c>
      <c r="D9290" s="8"/>
      <c r="E9290" s="6"/>
      <c r="F9290" s="6"/>
    </row>
    <row r="9291" spans="1:6" x14ac:dyDescent="0.3">
      <c r="A9291" s="8" t="s">
        <v>18539</v>
      </c>
      <c r="B9291" s="8" t="s">
        <v>62893</v>
      </c>
      <c r="C9291" s="8" t="s">
        <v>18540</v>
      </c>
      <c r="D9291" s="8"/>
      <c r="E9291" s="6"/>
      <c r="F9291" s="6"/>
    </row>
    <row r="9292" spans="1:6" x14ac:dyDescent="0.3">
      <c r="A9292" s="8" t="s">
        <v>18541</v>
      </c>
      <c r="B9292" s="8" t="s">
        <v>62894</v>
      </c>
      <c r="C9292" s="8" t="s">
        <v>18542</v>
      </c>
      <c r="D9292" s="8"/>
      <c r="E9292" s="6"/>
      <c r="F9292" s="6"/>
    </row>
    <row r="9293" spans="1:6" x14ac:dyDescent="0.3">
      <c r="A9293" s="8" t="s">
        <v>18543</v>
      </c>
      <c r="B9293" s="8" t="s">
        <v>62895</v>
      </c>
      <c r="C9293" s="8" t="s">
        <v>18544</v>
      </c>
      <c r="D9293" s="8"/>
      <c r="E9293" s="6"/>
      <c r="F9293" s="6"/>
    </row>
    <row r="9294" spans="1:6" x14ac:dyDescent="0.3">
      <c r="A9294" s="8" t="s">
        <v>18545</v>
      </c>
      <c r="B9294" s="8" t="s">
        <v>62896</v>
      </c>
      <c r="C9294" s="8" t="s">
        <v>18546</v>
      </c>
      <c r="D9294" s="8"/>
      <c r="E9294" s="6"/>
      <c r="F9294" s="6"/>
    </row>
    <row r="9295" spans="1:6" x14ac:dyDescent="0.3">
      <c r="A9295" s="8" t="s">
        <v>18547</v>
      </c>
      <c r="B9295" s="8" t="s">
        <v>62897</v>
      </c>
      <c r="C9295" s="8" t="s">
        <v>18548</v>
      </c>
      <c r="D9295" s="8"/>
      <c r="E9295" s="6"/>
      <c r="F9295" s="6"/>
    </row>
    <row r="9296" spans="1:6" x14ac:dyDescent="0.3">
      <c r="A9296" s="8" t="s">
        <v>18549</v>
      </c>
      <c r="B9296" s="8" t="s">
        <v>62898</v>
      </c>
      <c r="C9296" s="8" t="s">
        <v>18550</v>
      </c>
      <c r="D9296" s="8"/>
      <c r="E9296" s="6"/>
      <c r="F9296" s="6"/>
    </row>
    <row r="9297" spans="1:6" x14ac:dyDescent="0.3">
      <c r="A9297" s="8" t="s">
        <v>18551</v>
      </c>
      <c r="B9297" s="8" t="s">
        <v>62899</v>
      </c>
      <c r="C9297" s="8" t="s">
        <v>18552</v>
      </c>
      <c r="D9297" s="8"/>
      <c r="E9297" s="6"/>
      <c r="F9297" s="6"/>
    </row>
    <row r="9298" spans="1:6" x14ac:dyDescent="0.3">
      <c r="A9298" s="8" t="s">
        <v>18553</v>
      </c>
      <c r="B9298" s="8" t="s">
        <v>62900</v>
      </c>
      <c r="C9298" s="8" t="s">
        <v>18554</v>
      </c>
      <c r="D9298" s="8"/>
      <c r="E9298" s="6"/>
      <c r="F9298" s="6"/>
    </row>
    <row r="9299" spans="1:6" x14ac:dyDescent="0.3">
      <c r="A9299" s="8" t="s">
        <v>18555</v>
      </c>
      <c r="B9299" s="8" t="s">
        <v>62901</v>
      </c>
      <c r="C9299" s="8" t="s">
        <v>18556</v>
      </c>
      <c r="D9299" s="8"/>
      <c r="E9299" s="6"/>
      <c r="F9299" s="6"/>
    </row>
    <row r="9300" spans="1:6" x14ac:dyDescent="0.3">
      <c r="A9300" s="8" t="s">
        <v>18557</v>
      </c>
      <c r="B9300" s="8" t="s">
        <v>62902</v>
      </c>
      <c r="C9300" s="8" t="s">
        <v>18558</v>
      </c>
      <c r="D9300" s="8"/>
      <c r="E9300" s="6"/>
      <c r="F9300" s="6"/>
    </row>
    <row r="9301" spans="1:6" x14ac:dyDescent="0.3">
      <c r="A9301" s="8" t="s">
        <v>18559</v>
      </c>
      <c r="B9301" s="8" t="s">
        <v>62903</v>
      </c>
      <c r="C9301" s="8" t="s">
        <v>18560</v>
      </c>
      <c r="D9301" s="8"/>
      <c r="E9301" s="6"/>
      <c r="F9301" s="6"/>
    </row>
    <row r="9302" spans="1:6" x14ac:dyDescent="0.3">
      <c r="A9302" s="8" t="s">
        <v>18561</v>
      </c>
      <c r="B9302" s="8" t="s">
        <v>62904</v>
      </c>
      <c r="C9302" s="8" t="s">
        <v>18562</v>
      </c>
      <c r="D9302" s="8"/>
      <c r="E9302" s="6"/>
      <c r="F9302" s="6"/>
    </row>
    <row r="9303" spans="1:6" x14ac:dyDescent="0.3">
      <c r="A9303" s="8" t="s">
        <v>18563</v>
      </c>
      <c r="B9303" s="8" t="s">
        <v>62905</v>
      </c>
      <c r="C9303" s="8" t="s">
        <v>18564</v>
      </c>
      <c r="D9303" s="8"/>
      <c r="E9303" s="6"/>
      <c r="F9303" s="6"/>
    </row>
    <row r="9304" spans="1:6" x14ac:dyDescent="0.3">
      <c r="A9304" s="8" t="s">
        <v>18565</v>
      </c>
      <c r="B9304" s="8" t="s">
        <v>62906</v>
      </c>
      <c r="C9304" s="8" t="s">
        <v>18566</v>
      </c>
      <c r="D9304" s="8"/>
      <c r="E9304" s="6"/>
      <c r="F9304" s="6"/>
    </row>
    <row r="9305" spans="1:6" x14ac:dyDescent="0.3">
      <c r="A9305" s="8" t="s">
        <v>18567</v>
      </c>
      <c r="B9305" s="8" t="s">
        <v>62907</v>
      </c>
      <c r="C9305" s="8" t="s">
        <v>18568</v>
      </c>
      <c r="D9305" s="8"/>
      <c r="E9305" s="6"/>
      <c r="F9305" s="6"/>
    </row>
    <row r="9306" spans="1:6" x14ac:dyDescent="0.3">
      <c r="A9306" s="8" t="s">
        <v>18569</v>
      </c>
      <c r="B9306" s="8" t="s">
        <v>62908</v>
      </c>
      <c r="C9306" s="8" t="s">
        <v>18570</v>
      </c>
      <c r="D9306" s="8"/>
      <c r="E9306" s="6"/>
      <c r="F9306" s="6"/>
    </row>
    <row r="9307" spans="1:6" x14ac:dyDescent="0.3">
      <c r="A9307" s="8" t="s">
        <v>18571</v>
      </c>
      <c r="B9307" s="8" t="s">
        <v>62909</v>
      </c>
      <c r="C9307" s="8" t="s">
        <v>18572</v>
      </c>
      <c r="D9307" s="8"/>
      <c r="E9307" s="6"/>
      <c r="F9307" s="6"/>
    </row>
    <row r="9308" spans="1:6" x14ac:dyDescent="0.3">
      <c r="A9308" s="8" t="s">
        <v>18573</v>
      </c>
      <c r="B9308" s="8" t="s">
        <v>62910</v>
      </c>
      <c r="C9308" s="8" t="s">
        <v>18574</v>
      </c>
      <c r="D9308" s="8"/>
      <c r="E9308" s="6"/>
      <c r="F9308" s="6"/>
    </row>
    <row r="9309" spans="1:6" x14ac:dyDescent="0.3">
      <c r="A9309" s="8" t="s">
        <v>18575</v>
      </c>
      <c r="B9309" s="8" t="s">
        <v>62911</v>
      </c>
      <c r="C9309" s="8" t="s">
        <v>18576</v>
      </c>
      <c r="D9309" s="8"/>
      <c r="E9309" s="6"/>
      <c r="F9309" s="6"/>
    </row>
    <row r="9310" spans="1:6" x14ac:dyDescent="0.3">
      <c r="A9310" s="8" t="s">
        <v>18577</v>
      </c>
      <c r="B9310" s="8" t="s">
        <v>62912</v>
      </c>
      <c r="C9310" s="8" t="s">
        <v>18578</v>
      </c>
      <c r="D9310" s="8"/>
      <c r="E9310" s="6"/>
      <c r="F9310" s="6"/>
    </row>
    <row r="9311" spans="1:6" x14ac:dyDescent="0.3">
      <c r="A9311" s="8" t="s">
        <v>18579</v>
      </c>
      <c r="B9311" s="8" t="s">
        <v>62913</v>
      </c>
      <c r="C9311" s="8" t="s">
        <v>18580</v>
      </c>
      <c r="D9311" s="8"/>
      <c r="E9311" s="6"/>
      <c r="F9311" s="6"/>
    </row>
    <row r="9312" spans="1:6" x14ac:dyDescent="0.3">
      <c r="A9312" s="8" t="s">
        <v>18581</v>
      </c>
      <c r="B9312" s="8" t="s">
        <v>62914</v>
      </c>
      <c r="C9312" s="8" t="s">
        <v>18582</v>
      </c>
      <c r="D9312" s="8"/>
      <c r="E9312" s="6"/>
      <c r="F9312" s="6"/>
    </row>
    <row r="9313" spans="1:6" x14ac:dyDescent="0.3">
      <c r="A9313" s="8" t="s">
        <v>18583</v>
      </c>
      <c r="B9313" s="8" t="s">
        <v>62915</v>
      </c>
      <c r="C9313" s="8" t="s">
        <v>18584</v>
      </c>
      <c r="D9313" s="8"/>
      <c r="E9313" s="6"/>
      <c r="F9313" s="6"/>
    </row>
    <row r="9314" spans="1:6" x14ac:dyDescent="0.3">
      <c r="A9314" s="8" t="s">
        <v>18585</v>
      </c>
      <c r="B9314" s="8" t="s">
        <v>62916</v>
      </c>
      <c r="C9314" s="8" t="s">
        <v>18586</v>
      </c>
      <c r="D9314" s="8"/>
      <c r="E9314" s="6"/>
      <c r="F9314" s="6"/>
    </row>
    <row r="9315" spans="1:6" x14ac:dyDescent="0.3">
      <c r="A9315" s="8" t="s">
        <v>18587</v>
      </c>
      <c r="B9315" s="8" t="s">
        <v>62917</v>
      </c>
      <c r="C9315" s="8" t="s">
        <v>18588</v>
      </c>
      <c r="D9315" s="8"/>
      <c r="E9315" s="6"/>
      <c r="F9315" s="6"/>
    </row>
    <row r="9316" spans="1:6" x14ac:dyDescent="0.3">
      <c r="A9316" s="8" t="s">
        <v>18589</v>
      </c>
      <c r="B9316" s="8" t="s">
        <v>62918</v>
      </c>
      <c r="C9316" s="8" t="s">
        <v>18590</v>
      </c>
      <c r="D9316" s="8"/>
      <c r="E9316" s="6"/>
      <c r="F9316" s="6"/>
    </row>
    <row r="9317" spans="1:6" x14ac:dyDescent="0.3">
      <c r="A9317" s="8" t="s">
        <v>18591</v>
      </c>
      <c r="B9317" s="8" t="s">
        <v>62919</v>
      </c>
      <c r="C9317" s="8" t="s">
        <v>18592</v>
      </c>
      <c r="D9317" s="8"/>
      <c r="E9317" s="6"/>
      <c r="F9317" s="6"/>
    </row>
    <row r="9318" spans="1:6" x14ac:dyDescent="0.3">
      <c r="A9318" s="8" t="s">
        <v>18593</v>
      </c>
      <c r="B9318" s="8" t="s">
        <v>62920</v>
      </c>
      <c r="C9318" s="8" t="s">
        <v>18594</v>
      </c>
      <c r="D9318" s="8"/>
      <c r="E9318" s="6"/>
      <c r="F9318" s="6"/>
    </row>
    <row r="9319" spans="1:6" x14ac:dyDescent="0.3">
      <c r="A9319" s="8" t="s">
        <v>18595</v>
      </c>
      <c r="B9319" s="8" t="s">
        <v>62921</v>
      </c>
      <c r="C9319" s="8" t="s">
        <v>18596</v>
      </c>
      <c r="D9319" s="8"/>
      <c r="E9319" s="6"/>
      <c r="F9319" s="6"/>
    </row>
    <row r="9320" spans="1:6" x14ac:dyDescent="0.3">
      <c r="A9320" s="8" t="s">
        <v>18597</v>
      </c>
      <c r="B9320" s="8" t="s">
        <v>62922</v>
      </c>
      <c r="C9320" s="8" t="s">
        <v>18598</v>
      </c>
      <c r="D9320" s="8"/>
      <c r="E9320" s="6"/>
      <c r="F9320" s="6"/>
    </row>
    <row r="9321" spans="1:6" x14ac:dyDescent="0.3">
      <c r="A9321" s="8" t="s">
        <v>18599</v>
      </c>
      <c r="B9321" s="8" t="s">
        <v>62923</v>
      </c>
      <c r="C9321" s="8" t="s">
        <v>18600</v>
      </c>
      <c r="D9321" s="8"/>
      <c r="E9321" s="6"/>
      <c r="F9321" s="6"/>
    </row>
    <row r="9322" spans="1:6" x14ac:dyDescent="0.3">
      <c r="A9322" s="8" t="s">
        <v>18601</v>
      </c>
      <c r="B9322" s="8" t="s">
        <v>62924</v>
      </c>
      <c r="C9322" s="8" t="s">
        <v>18602</v>
      </c>
      <c r="D9322" s="8"/>
      <c r="E9322" s="6"/>
      <c r="F9322" s="6"/>
    </row>
    <row r="9323" spans="1:6" x14ac:dyDescent="0.3">
      <c r="A9323" s="8" t="s">
        <v>18603</v>
      </c>
      <c r="B9323" s="8" t="s">
        <v>62925</v>
      </c>
      <c r="C9323" s="8" t="s">
        <v>18604</v>
      </c>
      <c r="D9323" s="8"/>
      <c r="E9323" s="6"/>
      <c r="F9323" s="6"/>
    </row>
    <row r="9324" spans="1:6" x14ac:dyDescent="0.3">
      <c r="A9324" s="8" t="s">
        <v>18605</v>
      </c>
      <c r="B9324" s="8" t="s">
        <v>62926</v>
      </c>
      <c r="C9324" s="8" t="s">
        <v>18606</v>
      </c>
      <c r="D9324" s="8"/>
      <c r="E9324" s="6"/>
      <c r="F9324" s="6"/>
    </row>
    <row r="9325" spans="1:6" x14ac:dyDescent="0.3">
      <c r="A9325" s="8" t="s">
        <v>18607</v>
      </c>
      <c r="B9325" s="8" t="s">
        <v>62927</v>
      </c>
      <c r="C9325" s="8" t="s">
        <v>18608</v>
      </c>
      <c r="D9325" s="8"/>
      <c r="E9325" s="6"/>
      <c r="F9325" s="6"/>
    </row>
    <row r="9326" spans="1:6" x14ac:dyDescent="0.3">
      <c r="A9326" s="8" t="s">
        <v>18609</v>
      </c>
      <c r="B9326" s="8" t="s">
        <v>62928</v>
      </c>
      <c r="C9326" s="8" t="s">
        <v>18610</v>
      </c>
      <c r="D9326" s="8"/>
      <c r="E9326" s="6"/>
      <c r="F9326" s="6"/>
    </row>
    <row r="9327" spans="1:6" x14ac:dyDescent="0.3">
      <c r="A9327" s="8" t="s">
        <v>18611</v>
      </c>
      <c r="B9327" s="8" t="s">
        <v>62929</v>
      </c>
      <c r="C9327" s="8" t="s">
        <v>18612</v>
      </c>
      <c r="D9327" s="8"/>
      <c r="E9327" s="6"/>
      <c r="F9327" s="6"/>
    </row>
    <row r="9328" spans="1:6" x14ac:dyDescent="0.3">
      <c r="A9328" s="8" t="s">
        <v>18613</v>
      </c>
      <c r="B9328" s="8" t="s">
        <v>62930</v>
      </c>
      <c r="C9328" s="8" t="s">
        <v>18614</v>
      </c>
      <c r="D9328" s="8"/>
      <c r="E9328" s="6"/>
      <c r="F9328" s="6"/>
    </row>
    <row r="9329" spans="1:6" x14ac:dyDescent="0.3">
      <c r="A9329" s="8" t="s">
        <v>18615</v>
      </c>
      <c r="B9329" s="8" t="s">
        <v>62931</v>
      </c>
      <c r="C9329" s="8" t="s">
        <v>18616</v>
      </c>
      <c r="D9329" s="8"/>
      <c r="E9329" s="6"/>
      <c r="F9329" s="6"/>
    </row>
    <row r="9330" spans="1:6" x14ac:dyDescent="0.3">
      <c r="A9330" s="8" t="s">
        <v>18617</v>
      </c>
      <c r="B9330" s="8" t="s">
        <v>62932</v>
      </c>
      <c r="C9330" s="8" t="s">
        <v>18618</v>
      </c>
      <c r="D9330" s="8"/>
      <c r="E9330" s="6"/>
      <c r="F9330" s="6"/>
    </row>
    <row r="9331" spans="1:6" x14ac:dyDescent="0.3">
      <c r="A9331" s="8" t="s">
        <v>18619</v>
      </c>
      <c r="B9331" s="8" t="s">
        <v>62933</v>
      </c>
      <c r="C9331" s="8" t="s">
        <v>18620</v>
      </c>
      <c r="D9331" s="8"/>
      <c r="E9331" s="6"/>
      <c r="F9331" s="6"/>
    </row>
    <row r="9332" spans="1:6" x14ac:dyDescent="0.3">
      <c r="A9332" s="8" t="s">
        <v>18621</v>
      </c>
      <c r="B9332" s="8" t="s">
        <v>62934</v>
      </c>
      <c r="C9332" s="8" t="s">
        <v>18622</v>
      </c>
      <c r="D9332" s="8"/>
      <c r="E9332" s="6"/>
      <c r="F9332" s="6"/>
    </row>
    <row r="9333" spans="1:6" x14ac:dyDescent="0.3">
      <c r="A9333" s="8" t="s">
        <v>18623</v>
      </c>
      <c r="B9333" s="8" t="s">
        <v>62935</v>
      </c>
      <c r="C9333" s="8" t="s">
        <v>18624</v>
      </c>
      <c r="D9333" s="8"/>
      <c r="E9333" s="6"/>
      <c r="F9333" s="6"/>
    </row>
    <row r="9334" spans="1:6" x14ac:dyDescent="0.3">
      <c r="A9334" s="8" t="s">
        <v>18625</v>
      </c>
      <c r="B9334" s="8" t="s">
        <v>62936</v>
      </c>
      <c r="C9334" s="8" t="s">
        <v>18626</v>
      </c>
      <c r="D9334" s="8"/>
      <c r="E9334" s="6"/>
      <c r="F9334" s="6"/>
    </row>
    <row r="9335" spans="1:6" x14ac:dyDescent="0.3">
      <c r="A9335" s="8" t="s">
        <v>18627</v>
      </c>
      <c r="B9335" s="8" t="s">
        <v>62937</v>
      </c>
      <c r="C9335" s="8" t="s">
        <v>18628</v>
      </c>
      <c r="D9335" s="8"/>
      <c r="E9335" s="6"/>
      <c r="F9335" s="6"/>
    </row>
    <row r="9336" spans="1:6" x14ac:dyDescent="0.3">
      <c r="A9336" s="8" t="s">
        <v>18629</v>
      </c>
      <c r="B9336" s="8" t="s">
        <v>62938</v>
      </c>
      <c r="C9336" s="8" t="s">
        <v>18630</v>
      </c>
      <c r="D9336" s="8"/>
      <c r="E9336" s="6"/>
      <c r="F9336" s="6"/>
    </row>
    <row r="9337" spans="1:6" x14ac:dyDescent="0.3">
      <c r="A9337" s="8" t="s">
        <v>18631</v>
      </c>
      <c r="B9337" s="8" t="s">
        <v>62939</v>
      </c>
      <c r="C9337" s="8" t="s">
        <v>18632</v>
      </c>
      <c r="D9337" s="8"/>
      <c r="E9337" s="6"/>
      <c r="F9337" s="6"/>
    </row>
    <row r="9338" spans="1:6" x14ac:dyDescent="0.3">
      <c r="A9338" s="8" t="s">
        <v>18633</v>
      </c>
      <c r="B9338" s="8" t="s">
        <v>62940</v>
      </c>
      <c r="C9338" s="8" t="s">
        <v>18634</v>
      </c>
      <c r="D9338" s="8"/>
      <c r="E9338" s="6"/>
      <c r="F9338" s="6"/>
    </row>
    <row r="9339" spans="1:6" x14ac:dyDescent="0.3">
      <c r="A9339" s="8" t="s">
        <v>18635</v>
      </c>
      <c r="B9339" s="8" t="s">
        <v>62941</v>
      </c>
      <c r="C9339" s="8" t="s">
        <v>18636</v>
      </c>
      <c r="D9339" s="8"/>
      <c r="E9339" s="6"/>
      <c r="F9339" s="6"/>
    </row>
    <row r="9340" spans="1:6" x14ac:dyDescent="0.3">
      <c r="A9340" s="8" t="s">
        <v>18637</v>
      </c>
      <c r="B9340" s="8" t="s">
        <v>62942</v>
      </c>
      <c r="C9340" s="8" t="s">
        <v>18638</v>
      </c>
      <c r="D9340" s="8"/>
      <c r="E9340" s="6"/>
      <c r="F9340" s="6"/>
    </row>
    <row r="9341" spans="1:6" x14ac:dyDescent="0.3">
      <c r="A9341" s="8" t="s">
        <v>18639</v>
      </c>
      <c r="B9341" s="8" t="s">
        <v>62943</v>
      </c>
      <c r="C9341" s="8" t="s">
        <v>18640</v>
      </c>
      <c r="D9341" s="8"/>
      <c r="E9341" s="6"/>
      <c r="F9341" s="6"/>
    </row>
    <row r="9342" spans="1:6" x14ac:dyDescent="0.3">
      <c r="A9342" s="8" t="s">
        <v>18641</v>
      </c>
      <c r="B9342" s="8" t="s">
        <v>62944</v>
      </c>
      <c r="C9342" s="8" t="s">
        <v>18642</v>
      </c>
      <c r="D9342" s="8"/>
      <c r="E9342" s="6"/>
      <c r="F9342" s="6"/>
    </row>
    <row r="9343" spans="1:6" x14ac:dyDescent="0.3">
      <c r="A9343" s="8" t="s">
        <v>18643</v>
      </c>
      <c r="B9343" s="8" t="s">
        <v>62945</v>
      </c>
      <c r="C9343" s="8" t="s">
        <v>18644</v>
      </c>
      <c r="D9343" s="8"/>
      <c r="E9343" s="6"/>
      <c r="F9343" s="6"/>
    </row>
    <row r="9344" spans="1:6" x14ac:dyDescent="0.3">
      <c r="A9344" s="8" t="s">
        <v>18645</v>
      </c>
      <c r="B9344" s="8" t="s">
        <v>62946</v>
      </c>
      <c r="C9344" s="8" t="s">
        <v>18646</v>
      </c>
      <c r="D9344" s="8"/>
      <c r="E9344" s="6"/>
      <c r="F9344" s="6"/>
    </row>
    <row r="9345" spans="1:6" x14ac:dyDescent="0.3">
      <c r="A9345" s="8" t="s">
        <v>18647</v>
      </c>
      <c r="B9345" s="8" t="s">
        <v>62947</v>
      </c>
      <c r="C9345" s="8" t="s">
        <v>18648</v>
      </c>
      <c r="D9345" s="8"/>
      <c r="E9345" s="6"/>
      <c r="F9345" s="6"/>
    </row>
    <row r="9346" spans="1:6" x14ac:dyDescent="0.3">
      <c r="A9346" s="8" t="s">
        <v>18649</v>
      </c>
      <c r="B9346" s="8" t="s">
        <v>62948</v>
      </c>
      <c r="C9346" s="8" t="s">
        <v>18650</v>
      </c>
      <c r="D9346" s="8"/>
      <c r="E9346" s="6"/>
      <c r="F9346" s="6"/>
    </row>
    <row r="9347" spans="1:6" x14ac:dyDescent="0.3">
      <c r="A9347" s="8" t="s">
        <v>18651</v>
      </c>
      <c r="B9347" s="8" t="s">
        <v>62949</v>
      </c>
      <c r="C9347" s="8" t="s">
        <v>18652</v>
      </c>
      <c r="D9347" s="8"/>
      <c r="E9347" s="6"/>
      <c r="F9347" s="6"/>
    </row>
    <row r="9348" spans="1:6" x14ac:dyDescent="0.3">
      <c r="A9348" s="8" t="s">
        <v>18653</v>
      </c>
      <c r="B9348" s="8" t="s">
        <v>62950</v>
      </c>
      <c r="C9348" s="8" t="s">
        <v>18654</v>
      </c>
      <c r="D9348" s="8"/>
      <c r="E9348" s="6"/>
      <c r="F9348" s="6"/>
    </row>
    <row r="9349" spans="1:6" x14ac:dyDescent="0.3">
      <c r="A9349" s="8" t="s">
        <v>18655</v>
      </c>
      <c r="B9349" s="8" t="s">
        <v>62951</v>
      </c>
      <c r="C9349" s="8" t="s">
        <v>18656</v>
      </c>
      <c r="D9349" s="8"/>
      <c r="E9349" s="6"/>
      <c r="F9349" s="6"/>
    </row>
    <row r="9350" spans="1:6" x14ac:dyDescent="0.3">
      <c r="A9350" s="8" t="s">
        <v>18657</v>
      </c>
      <c r="B9350" s="8" t="s">
        <v>62952</v>
      </c>
      <c r="C9350" s="8" t="s">
        <v>18658</v>
      </c>
      <c r="D9350" s="8"/>
      <c r="E9350" s="6"/>
      <c r="F9350" s="6"/>
    </row>
    <row r="9351" spans="1:6" x14ac:dyDescent="0.3">
      <c r="A9351" s="8" t="s">
        <v>18659</v>
      </c>
      <c r="B9351" s="8" t="s">
        <v>62953</v>
      </c>
      <c r="C9351" s="8" t="s">
        <v>18660</v>
      </c>
      <c r="D9351" s="8"/>
      <c r="E9351" s="6"/>
      <c r="F9351" s="6"/>
    </row>
    <row r="9352" spans="1:6" x14ac:dyDescent="0.3">
      <c r="A9352" s="8" t="s">
        <v>18661</v>
      </c>
      <c r="B9352" s="8" t="s">
        <v>62954</v>
      </c>
      <c r="C9352" s="8" t="s">
        <v>18662</v>
      </c>
      <c r="D9352" s="8"/>
      <c r="E9352" s="6"/>
      <c r="F9352" s="6"/>
    </row>
    <row r="9353" spans="1:6" x14ac:dyDescent="0.3">
      <c r="A9353" s="8" t="s">
        <v>18663</v>
      </c>
      <c r="B9353" s="8" t="s">
        <v>62955</v>
      </c>
      <c r="C9353" s="8" t="s">
        <v>18664</v>
      </c>
      <c r="D9353" s="8"/>
      <c r="E9353" s="6"/>
      <c r="F9353" s="6"/>
    </row>
    <row r="9354" spans="1:6" x14ac:dyDescent="0.3">
      <c r="A9354" s="8" t="s">
        <v>18665</v>
      </c>
      <c r="B9354" s="8" t="s">
        <v>62956</v>
      </c>
      <c r="C9354" s="8" t="s">
        <v>18666</v>
      </c>
      <c r="D9354" s="8"/>
      <c r="E9354" s="6"/>
      <c r="F9354" s="6"/>
    </row>
    <row r="9355" spans="1:6" x14ac:dyDescent="0.3">
      <c r="A9355" s="8" t="s">
        <v>18667</v>
      </c>
      <c r="B9355" s="8" t="s">
        <v>62957</v>
      </c>
      <c r="C9355" s="8" t="s">
        <v>18668</v>
      </c>
      <c r="D9355" s="8"/>
      <c r="E9355" s="6"/>
      <c r="F9355" s="6"/>
    </row>
    <row r="9356" spans="1:6" x14ac:dyDescent="0.3">
      <c r="A9356" s="8" t="s">
        <v>18669</v>
      </c>
      <c r="B9356" s="8" t="s">
        <v>62958</v>
      </c>
      <c r="C9356" s="8" t="s">
        <v>18670</v>
      </c>
      <c r="D9356" s="8"/>
      <c r="E9356" s="6"/>
      <c r="F9356" s="6"/>
    </row>
    <row r="9357" spans="1:6" x14ac:dyDescent="0.3">
      <c r="A9357" s="8" t="s">
        <v>18671</v>
      </c>
      <c r="B9357" s="8" t="s">
        <v>62959</v>
      </c>
      <c r="C9357" s="8" t="s">
        <v>18672</v>
      </c>
      <c r="D9357" s="8"/>
      <c r="E9357" s="6"/>
      <c r="F9357" s="6"/>
    </row>
    <row r="9358" spans="1:6" x14ac:dyDescent="0.3">
      <c r="A9358" s="8" t="s">
        <v>18673</v>
      </c>
      <c r="B9358" s="8" t="s">
        <v>62960</v>
      </c>
      <c r="C9358" s="8" t="s">
        <v>18674</v>
      </c>
      <c r="D9358" s="8"/>
      <c r="E9358" s="6"/>
      <c r="F9358" s="6"/>
    </row>
    <row r="9359" spans="1:6" x14ac:dyDescent="0.3">
      <c r="A9359" s="8" t="s">
        <v>18675</v>
      </c>
      <c r="B9359" s="8" t="s">
        <v>62961</v>
      </c>
      <c r="C9359" s="8" t="s">
        <v>18676</v>
      </c>
      <c r="D9359" s="8"/>
      <c r="E9359" s="6"/>
      <c r="F9359" s="6"/>
    </row>
    <row r="9360" spans="1:6" x14ac:dyDescent="0.3">
      <c r="A9360" s="8" t="s">
        <v>18677</v>
      </c>
      <c r="B9360" s="8" t="s">
        <v>62962</v>
      </c>
      <c r="C9360" s="8" t="s">
        <v>18678</v>
      </c>
      <c r="D9360" s="8"/>
      <c r="E9360" s="6"/>
      <c r="F9360" s="6"/>
    </row>
    <row r="9361" spans="1:6" x14ac:dyDescent="0.3">
      <c r="A9361" s="8" t="s">
        <v>18679</v>
      </c>
      <c r="B9361" s="8" t="s">
        <v>62963</v>
      </c>
      <c r="C9361" s="8" t="s">
        <v>18680</v>
      </c>
      <c r="D9361" s="8"/>
      <c r="E9361" s="6"/>
      <c r="F9361" s="6"/>
    </row>
    <row r="9362" spans="1:6" x14ac:dyDescent="0.3">
      <c r="A9362" s="8" t="s">
        <v>18681</v>
      </c>
      <c r="B9362" s="8" t="s">
        <v>62964</v>
      </c>
      <c r="C9362" s="8" t="s">
        <v>18682</v>
      </c>
      <c r="D9362" s="8"/>
      <c r="E9362" s="6"/>
      <c r="F9362" s="6"/>
    </row>
    <row r="9363" spans="1:6" x14ac:dyDescent="0.3">
      <c r="A9363" s="8" t="s">
        <v>18683</v>
      </c>
      <c r="B9363" s="8" t="s">
        <v>62965</v>
      </c>
      <c r="C9363" s="8" t="s">
        <v>18684</v>
      </c>
      <c r="D9363" s="8"/>
      <c r="E9363" s="6"/>
      <c r="F9363" s="6"/>
    </row>
    <row r="9364" spans="1:6" x14ac:dyDescent="0.3">
      <c r="A9364" s="8" t="s">
        <v>18685</v>
      </c>
      <c r="B9364" s="8" t="s">
        <v>62966</v>
      </c>
      <c r="C9364" s="8" t="s">
        <v>18686</v>
      </c>
      <c r="D9364" s="8"/>
      <c r="E9364" s="6"/>
      <c r="F9364" s="6"/>
    </row>
    <row r="9365" spans="1:6" x14ac:dyDescent="0.3">
      <c r="A9365" s="8" t="s">
        <v>18687</v>
      </c>
      <c r="B9365" s="8" t="s">
        <v>62967</v>
      </c>
      <c r="C9365" s="8" t="s">
        <v>18688</v>
      </c>
      <c r="D9365" s="8"/>
      <c r="E9365" s="6"/>
      <c r="F9365" s="6"/>
    </row>
    <row r="9366" spans="1:6" x14ac:dyDescent="0.3">
      <c r="A9366" s="8" t="s">
        <v>18689</v>
      </c>
      <c r="B9366" s="8" t="s">
        <v>62968</v>
      </c>
      <c r="C9366" s="8" t="s">
        <v>18690</v>
      </c>
      <c r="D9366" s="8"/>
      <c r="E9366" s="6"/>
      <c r="F9366" s="6"/>
    </row>
    <row r="9367" spans="1:6" x14ac:dyDescent="0.3">
      <c r="A9367" s="8" t="s">
        <v>18691</v>
      </c>
      <c r="B9367" s="8" t="s">
        <v>62969</v>
      </c>
      <c r="C9367" s="8" t="s">
        <v>18692</v>
      </c>
      <c r="D9367" s="8"/>
      <c r="E9367" s="6"/>
      <c r="F9367" s="6"/>
    </row>
    <row r="9368" spans="1:6" x14ac:dyDescent="0.3">
      <c r="A9368" s="8" t="s">
        <v>18693</v>
      </c>
      <c r="B9368" s="8" t="s">
        <v>62970</v>
      </c>
      <c r="C9368" s="8" t="s">
        <v>18694</v>
      </c>
      <c r="D9368" s="8"/>
      <c r="E9368" s="6"/>
      <c r="F9368" s="6"/>
    </row>
    <row r="9369" spans="1:6" x14ac:dyDescent="0.3">
      <c r="A9369" s="8" t="s">
        <v>18695</v>
      </c>
      <c r="B9369" s="8" t="s">
        <v>62971</v>
      </c>
      <c r="C9369" s="8" t="s">
        <v>18696</v>
      </c>
      <c r="D9369" s="8"/>
      <c r="E9369" s="6"/>
      <c r="F9369" s="6"/>
    </row>
    <row r="9370" spans="1:6" x14ac:dyDescent="0.3">
      <c r="A9370" s="8" t="s">
        <v>18697</v>
      </c>
      <c r="B9370" s="8" t="s">
        <v>62972</v>
      </c>
      <c r="C9370" s="8" t="s">
        <v>18698</v>
      </c>
      <c r="D9370" s="8"/>
      <c r="E9370" s="6"/>
      <c r="F9370" s="6"/>
    </row>
    <row r="9371" spans="1:6" x14ac:dyDescent="0.3">
      <c r="A9371" s="8" t="s">
        <v>18699</v>
      </c>
      <c r="B9371" s="8" t="s">
        <v>62973</v>
      </c>
      <c r="C9371" s="8" t="s">
        <v>18700</v>
      </c>
      <c r="D9371" s="8"/>
      <c r="E9371" s="6"/>
      <c r="F9371" s="6"/>
    </row>
    <row r="9372" spans="1:6" x14ac:dyDescent="0.3">
      <c r="A9372" s="8" t="s">
        <v>18701</v>
      </c>
      <c r="B9372" s="8" t="s">
        <v>62974</v>
      </c>
      <c r="C9372" s="8" t="s">
        <v>18702</v>
      </c>
      <c r="D9372" s="8"/>
      <c r="E9372" s="6"/>
      <c r="F9372" s="6"/>
    </row>
    <row r="9373" spans="1:6" x14ac:dyDescent="0.3">
      <c r="A9373" s="8" t="s">
        <v>18703</v>
      </c>
      <c r="B9373" s="8" t="s">
        <v>62975</v>
      </c>
      <c r="C9373" s="8" t="s">
        <v>18704</v>
      </c>
      <c r="D9373" s="8"/>
      <c r="E9373" s="6"/>
      <c r="F9373" s="6"/>
    </row>
    <row r="9374" spans="1:6" x14ac:dyDescent="0.3">
      <c r="A9374" s="8" t="s">
        <v>18705</v>
      </c>
      <c r="B9374" s="8" t="s">
        <v>62976</v>
      </c>
      <c r="C9374" s="8" t="s">
        <v>18706</v>
      </c>
      <c r="D9374" s="8"/>
      <c r="E9374" s="6"/>
      <c r="F9374" s="6"/>
    </row>
    <row r="9375" spans="1:6" x14ac:dyDescent="0.3">
      <c r="A9375" s="8" t="s">
        <v>18707</v>
      </c>
      <c r="B9375" s="8" t="s">
        <v>62977</v>
      </c>
      <c r="C9375" s="8" t="s">
        <v>18708</v>
      </c>
      <c r="D9375" s="8"/>
      <c r="E9375" s="6"/>
      <c r="F9375" s="6"/>
    </row>
    <row r="9376" spans="1:6" x14ac:dyDescent="0.3">
      <c r="A9376" s="8" t="s">
        <v>18709</v>
      </c>
      <c r="B9376" s="8" t="s">
        <v>62978</v>
      </c>
      <c r="C9376" s="8" t="s">
        <v>18710</v>
      </c>
      <c r="D9376" s="8"/>
      <c r="E9376" s="6"/>
      <c r="F9376" s="6"/>
    </row>
    <row r="9377" spans="1:6" x14ac:dyDescent="0.3">
      <c r="A9377" s="8" t="s">
        <v>18711</v>
      </c>
      <c r="B9377" s="8" t="s">
        <v>62979</v>
      </c>
      <c r="C9377" s="8" t="s">
        <v>18712</v>
      </c>
      <c r="D9377" s="8"/>
      <c r="E9377" s="6"/>
      <c r="F9377" s="6"/>
    </row>
    <row r="9378" spans="1:6" x14ac:dyDescent="0.3">
      <c r="A9378" s="8" t="s">
        <v>18713</v>
      </c>
      <c r="B9378" s="8" t="s">
        <v>62980</v>
      </c>
      <c r="C9378" s="8" t="s">
        <v>18714</v>
      </c>
      <c r="D9378" s="8"/>
      <c r="E9378" s="6"/>
      <c r="F9378" s="6"/>
    </row>
    <row r="9379" spans="1:6" x14ac:dyDescent="0.3">
      <c r="A9379" s="8" t="s">
        <v>18715</v>
      </c>
      <c r="B9379" s="8" t="s">
        <v>62981</v>
      </c>
      <c r="C9379" s="8" t="s">
        <v>18716</v>
      </c>
      <c r="D9379" s="8"/>
      <c r="E9379" s="6"/>
      <c r="F9379" s="6"/>
    </row>
    <row r="9380" spans="1:6" x14ac:dyDescent="0.3">
      <c r="A9380" s="8" t="s">
        <v>18717</v>
      </c>
      <c r="B9380" s="8" t="s">
        <v>62982</v>
      </c>
      <c r="C9380" s="8" t="s">
        <v>18718</v>
      </c>
      <c r="D9380" s="8"/>
      <c r="E9380" s="6"/>
      <c r="F9380" s="6"/>
    </row>
    <row r="9381" spans="1:6" x14ac:dyDescent="0.3">
      <c r="A9381" s="8" t="s">
        <v>18719</v>
      </c>
      <c r="B9381" s="8" t="s">
        <v>62983</v>
      </c>
      <c r="C9381" s="8" t="s">
        <v>18720</v>
      </c>
      <c r="D9381" s="8"/>
      <c r="E9381" s="6"/>
      <c r="F9381" s="6"/>
    </row>
    <row r="9382" spans="1:6" x14ac:dyDescent="0.3">
      <c r="A9382" s="8" t="s">
        <v>18721</v>
      </c>
      <c r="B9382" s="8" t="s">
        <v>62984</v>
      </c>
      <c r="C9382" s="8" t="s">
        <v>18722</v>
      </c>
      <c r="D9382" s="8"/>
      <c r="E9382" s="6"/>
      <c r="F9382" s="6"/>
    </row>
    <row r="9383" spans="1:6" x14ac:dyDescent="0.3">
      <c r="A9383" s="8" t="s">
        <v>18723</v>
      </c>
      <c r="B9383" s="8" t="s">
        <v>62985</v>
      </c>
      <c r="C9383" s="8" t="s">
        <v>18724</v>
      </c>
      <c r="D9383" s="8"/>
      <c r="E9383" s="6"/>
      <c r="F9383" s="6"/>
    </row>
    <row r="9384" spans="1:6" x14ac:dyDescent="0.3">
      <c r="A9384" s="8" t="s">
        <v>18725</v>
      </c>
      <c r="B9384" s="8" t="s">
        <v>62986</v>
      </c>
      <c r="C9384" s="8" t="s">
        <v>18726</v>
      </c>
      <c r="D9384" s="8"/>
      <c r="E9384" s="6"/>
      <c r="F9384" s="6"/>
    </row>
    <row r="9385" spans="1:6" x14ac:dyDescent="0.3">
      <c r="A9385" s="8" t="s">
        <v>18727</v>
      </c>
      <c r="B9385" s="8" t="s">
        <v>62987</v>
      </c>
      <c r="C9385" s="8" t="s">
        <v>18728</v>
      </c>
      <c r="D9385" s="8"/>
      <c r="E9385" s="6"/>
      <c r="F9385" s="6"/>
    </row>
    <row r="9386" spans="1:6" x14ac:dyDescent="0.3">
      <c r="A9386" s="8" t="s">
        <v>18729</v>
      </c>
      <c r="B9386" s="8" t="s">
        <v>62988</v>
      </c>
      <c r="C9386" s="8" t="s">
        <v>18730</v>
      </c>
      <c r="D9386" s="8"/>
      <c r="E9386" s="6"/>
      <c r="F9386" s="6"/>
    </row>
    <row r="9387" spans="1:6" x14ac:dyDescent="0.3">
      <c r="A9387" s="8" t="s">
        <v>18731</v>
      </c>
      <c r="B9387" s="8" t="s">
        <v>62989</v>
      </c>
      <c r="C9387" s="8" t="s">
        <v>18732</v>
      </c>
      <c r="D9387" s="8"/>
      <c r="E9387" s="6"/>
      <c r="F9387" s="6"/>
    </row>
    <row r="9388" spans="1:6" x14ac:dyDescent="0.3">
      <c r="A9388" s="8" t="s">
        <v>18733</v>
      </c>
      <c r="B9388" s="8" t="s">
        <v>62990</v>
      </c>
      <c r="C9388" s="8" t="s">
        <v>18734</v>
      </c>
      <c r="D9388" s="8"/>
      <c r="E9388" s="6"/>
      <c r="F9388" s="6"/>
    </row>
    <row r="9389" spans="1:6" x14ac:dyDescent="0.3">
      <c r="A9389" s="8" t="s">
        <v>18735</v>
      </c>
      <c r="B9389" s="8" t="s">
        <v>62991</v>
      </c>
      <c r="C9389" s="8" t="s">
        <v>18736</v>
      </c>
      <c r="D9389" s="8"/>
      <c r="E9389" s="6"/>
      <c r="F9389" s="6"/>
    </row>
    <row r="9390" spans="1:6" x14ac:dyDescent="0.3">
      <c r="A9390" s="8" t="s">
        <v>18737</v>
      </c>
      <c r="B9390" s="8" t="s">
        <v>62992</v>
      </c>
      <c r="C9390" s="8" t="s">
        <v>18738</v>
      </c>
      <c r="D9390" s="8"/>
      <c r="E9390" s="6"/>
      <c r="F9390" s="6"/>
    </row>
    <row r="9391" spans="1:6" x14ac:dyDescent="0.3">
      <c r="A9391" s="8" t="s">
        <v>18739</v>
      </c>
      <c r="B9391" s="8" t="s">
        <v>62993</v>
      </c>
      <c r="C9391" s="8" t="s">
        <v>18740</v>
      </c>
      <c r="D9391" s="8"/>
      <c r="E9391" s="6"/>
      <c r="F9391" s="6"/>
    </row>
    <row r="9392" spans="1:6" x14ac:dyDescent="0.3">
      <c r="A9392" s="8" t="s">
        <v>18741</v>
      </c>
      <c r="B9392" s="8" t="s">
        <v>62994</v>
      </c>
      <c r="C9392" s="8" t="s">
        <v>18742</v>
      </c>
      <c r="D9392" s="8"/>
      <c r="E9392" s="6"/>
      <c r="F9392" s="6"/>
    </row>
    <row r="9393" spans="1:6" x14ac:dyDescent="0.3">
      <c r="A9393" s="8" t="s">
        <v>18743</v>
      </c>
      <c r="B9393" s="8" t="s">
        <v>62995</v>
      </c>
      <c r="C9393" s="8" t="s">
        <v>18744</v>
      </c>
      <c r="D9393" s="8"/>
      <c r="E9393" s="6"/>
      <c r="F9393" s="6"/>
    </row>
    <row r="9394" spans="1:6" x14ac:dyDescent="0.3">
      <c r="A9394" s="8" t="s">
        <v>18745</v>
      </c>
      <c r="B9394" s="8" t="s">
        <v>62996</v>
      </c>
      <c r="C9394" s="8" t="s">
        <v>18746</v>
      </c>
      <c r="D9394" s="8"/>
      <c r="E9394" s="6"/>
      <c r="F9394" s="6"/>
    </row>
    <row r="9395" spans="1:6" x14ac:dyDescent="0.3">
      <c r="A9395" s="8" t="s">
        <v>18747</v>
      </c>
      <c r="B9395" s="8" t="s">
        <v>62997</v>
      </c>
      <c r="C9395" s="8" t="s">
        <v>18748</v>
      </c>
      <c r="D9395" s="8"/>
      <c r="E9395" s="6"/>
      <c r="F9395" s="6"/>
    </row>
    <row r="9396" spans="1:6" x14ac:dyDescent="0.3">
      <c r="A9396" s="8" t="s">
        <v>18749</v>
      </c>
      <c r="B9396" s="8" t="s">
        <v>62998</v>
      </c>
      <c r="C9396" s="8" t="s">
        <v>18750</v>
      </c>
      <c r="D9396" s="8"/>
      <c r="E9396" s="6"/>
      <c r="F9396" s="6"/>
    </row>
    <row r="9397" spans="1:6" x14ac:dyDescent="0.3">
      <c r="A9397" s="8" t="s">
        <v>18751</v>
      </c>
      <c r="B9397" s="8" t="s">
        <v>62999</v>
      </c>
      <c r="C9397" s="8" t="s">
        <v>18752</v>
      </c>
      <c r="D9397" s="8"/>
      <c r="E9397" s="6"/>
      <c r="F9397" s="6"/>
    </row>
    <row r="9398" spans="1:6" x14ac:dyDescent="0.3">
      <c r="A9398" s="8" t="s">
        <v>18753</v>
      </c>
      <c r="B9398" s="8" t="s">
        <v>63000</v>
      </c>
      <c r="C9398" s="8" t="s">
        <v>18754</v>
      </c>
      <c r="D9398" s="8"/>
      <c r="E9398" s="6"/>
      <c r="F9398" s="6"/>
    </row>
    <row r="9399" spans="1:6" x14ac:dyDescent="0.3">
      <c r="A9399" s="8" t="s">
        <v>18755</v>
      </c>
      <c r="B9399" s="8" t="s">
        <v>63001</v>
      </c>
      <c r="C9399" s="8" t="s">
        <v>18756</v>
      </c>
      <c r="D9399" s="8"/>
      <c r="E9399" s="6"/>
      <c r="F9399" s="6"/>
    </row>
    <row r="9400" spans="1:6" x14ac:dyDescent="0.3">
      <c r="A9400" s="8" t="s">
        <v>18757</v>
      </c>
      <c r="B9400" s="8" t="s">
        <v>63002</v>
      </c>
      <c r="C9400" s="8" t="s">
        <v>18758</v>
      </c>
      <c r="D9400" s="8"/>
      <c r="E9400" s="6"/>
      <c r="F9400" s="6"/>
    </row>
    <row r="9401" spans="1:6" x14ac:dyDescent="0.3">
      <c r="A9401" s="8" t="s">
        <v>18759</v>
      </c>
      <c r="B9401" s="8" t="s">
        <v>63003</v>
      </c>
      <c r="C9401" s="8" t="s">
        <v>18760</v>
      </c>
      <c r="D9401" s="8"/>
      <c r="E9401" s="6"/>
      <c r="F9401" s="6"/>
    </row>
    <row r="9402" spans="1:6" x14ac:dyDescent="0.3">
      <c r="A9402" s="8" t="s">
        <v>18761</v>
      </c>
      <c r="B9402" s="8" t="s">
        <v>63004</v>
      </c>
      <c r="C9402" s="8" t="s">
        <v>18762</v>
      </c>
      <c r="D9402" s="8"/>
      <c r="E9402" s="6"/>
      <c r="F9402" s="6"/>
    </row>
    <row r="9403" spans="1:6" x14ac:dyDescent="0.3">
      <c r="A9403" s="8" t="s">
        <v>18763</v>
      </c>
      <c r="B9403" s="8" t="s">
        <v>63005</v>
      </c>
      <c r="C9403" s="8" t="s">
        <v>18764</v>
      </c>
      <c r="D9403" s="8"/>
      <c r="E9403" s="6"/>
      <c r="F9403" s="6"/>
    </row>
    <row r="9404" spans="1:6" x14ac:dyDescent="0.3">
      <c r="A9404" s="8" t="s">
        <v>18765</v>
      </c>
      <c r="B9404" s="8" t="s">
        <v>63006</v>
      </c>
      <c r="C9404" s="8" t="s">
        <v>18766</v>
      </c>
      <c r="D9404" s="8"/>
      <c r="E9404" s="6"/>
      <c r="F9404" s="6"/>
    </row>
    <row r="9405" spans="1:6" x14ac:dyDescent="0.3">
      <c r="A9405" s="8" t="s">
        <v>18767</v>
      </c>
      <c r="B9405" s="8" t="s">
        <v>63007</v>
      </c>
      <c r="C9405" s="8" t="s">
        <v>18768</v>
      </c>
      <c r="D9405" s="8"/>
      <c r="E9405" s="6"/>
      <c r="F9405" s="6"/>
    </row>
    <row r="9406" spans="1:6" x14ac:dyDescent="0.3">
      <c r="A9406" s="8" t="s">
        <v>18769</v>
      </c>
      <c r="B9406" s="8" t="s">
        <v>63008</v>
      </c>
      <c r="C9406" s="8" t="s">
        <v>18770</v>
      </c>
      <c r="D9406" s="8"/>
      <c r="E9406" s="6"/>
      <c r="F9406" s="6"/>
    </row>
    <row r="9407" spans="1:6" x14ac:dyDescent="0.3">
      <c r="A9407" s="8" t="s">
        <v>18771</v>
      </c>
      <c r="B9407" s="8" t="s">
        <v>63009</v>
      </c>
      <c r="C9407" s="8" t="s">
        <v>18772</v>
      </c>
      <c r="D9407" s="8"/>
      <c r="E9407" s="6"/>
      <c r="F9407" s="6"/>
    </row>
    <row r="9408" spans="1:6" x14ac:dyDescent="0.3">
      <c r="A9408" s="8" t="s">
        <v>18773</v>
      </c>
      <c r="B9408" s="8" t="s">
        <v>63010</v>
      </c>
      <c r="C9408" s="8" t="s">
        <v>18774</v>
      </c>
      <c r="D9408" s="8"/>
      <c r="E9408" s="6"/>
      <c r="F9408" s="6"/>
    </row>
    <row r="9409" spans="1:6" x14ac:dyDescent="0.3">
      <c r="A9409" s="8" t="s">
        <v>18775</v>
      </c>
      <c r="B9409" s="8" t="s">
        <v>63011</v>
      </c>
      <c r="C9409" s="8" t="s">
        <v>18776</v>
      </c>
      <c r="D9409" s="8"/>
      <c r="E9409" s="6"/>
      <c r="F9409" s="6"/>
    </row>
    <row r="9410" spans="1:6" x14ac:dyDescent="0.3">
      <c r="A9410" s="8" t="s">
        <v>18777</v>
      </c>
      <c r="B9410" s="8" t="s">
        <v>63012</v>
      </c>
      <c r="C9410" s="8" t="s">
        <v>18778</v>
      </c>
      <c r="D9410" s="8"/>
      <c r="E9410" s="6"/>
      <c r="F9410" s="6"/>
    </row>
    <row r="9411" spans="1:6" x14ac:dyDescent="0.3">
      <c r="A9411" s="8" t="s">
        <v>18779</v>
      </c>
      <c r="B9411" s="8" t="s">
        <v>63013</v>
      </c>
      <c r="C9411" s="8" t="s">
        <v>18780</v>
      </c>
      <c r="D9411" s="8"/>
      <c r="E9411" s="6"/>
      <c r="F9411" s="6"/>
    </row>
    <row r="9412" spans="1:6" x14ac:dyDescent="0.3">
      <c r="A9412" s="8" t="s">
        <v>18781</v>
      </c>
      <c r="B9412" s="8" t="s">
        <v>63014</v>
      </c>
      <c r="C9412" s="8" t="s">
        <v>18782</v>
      </c>
      <c r="D9412" s="8"/>
      <c r="E9412" s="6"/>
      <c r="F9412" s="6"/>
    </row>
    <row r="9413" spans="1:6" x14ac:dyDescent="0.3">
      <c r="A9413" s="8" t="s">
        <v>18783</v>
      </c>
      <c r="B9413" s="8" t="s">
        <v>63015</v>
      </c>
      <c r="C9413" s="8" t="s">
        <v>18784</v>
      </c>
      <c r="D9413" s="8"/>
      <c r="E9413" s="6"/>
      <c r="F9413" s="6"/>
    </row>
    <row r="9414" spans="1:6" x14ac:dyDescent="0.3">
      <c r="A9414" s="8" t="s">
        <v>18785</v>
      </c>
      <c r="B9414" s="8" t="s">
        <v>63016</v>
      </c>
      <c r="C9414" s="8" t="s">
        <v>18786</v>
      </c>
      <c r="D9414" s="8"/>
      <c r="E9414" s="6"/>
      <c r="F9414" s="6"/>
    </row>
    <row r="9415" spans="1:6" x14ac:dyDescent="0.3">
      <c r="A9415" s="8" t="s">
        <v>18787</v>
      </c>
      <c r="B9415" s="8" t="s">
        <v>63017</v>
      </c>
      <c r="C9415" s="8" t="s">
        <v>18788</v>
      </c>
      <c r="D9415" s="8"/>
      <c r="E9415" s="6"/>
      <c r="F9415" s="6"/>
    </row>
    <row r="9416" spans="1:6" x14ac:dyDescent="0.3">
      <c r="A9416" s="8" t="s">
        <v>18789</v>
      </c>
      <c r="B9416" s="8" t="s">
        <v>63018</v>
      </c>
      <c r="C9416" s="8" t="s">
        <v>18790</v>
      </c>
      <c r="D9416" s="8"/>
      <c r="E9416" s="6"/>
      <c r="F9416" s="6"/>
    </row>
    <row r="9417" spans="1:6" x14ac:dyDescent="0.3">
      <c r="A9417" s="8" t="s">
        <v>18791</v>
      </c>
      <c r="B9417" s="8" t="s">
        <v>63019</v>
      </c>
      <c r="C9417" s="8" t="s">
        <v>18792</v>
      </c>
      <c r="D9417" s="8"/>
      <c r="E9417" s="6"/>
      <c r="F9417" s="6"/>
    </row>
    <row r="9418" spans="1:6" x14ac:dyDescent="0.3">
      <c r="A9418" s="8" t="s">
        <v>18793</v>
      </c>
      <c r="B9418" s="8" t="s">
        <v>63020</v>
      </c>
      <c r="C9418" s="8" t="s">
        <v>18794</v>
      </c>
      <c r="D9418" s="8"/>
      <c r="E9418" s="6"/>
      <c r="F9418" s="6"/>
    </row>
    <row r="9419" spans="1:6" x14ac:dyDescent="0.3">
      <c r="A9419" s="8" t="s">
        <v>18795</v>
      </c>
      <c r="B9419" s="8" t="s">
        <v>63021</v>
      </c>
      <c r="C9419" s="8" t="s">
        <v>18796</v>
      </c>
      <c r="D9419" s="8"/>
      <c r="E9419" s="6"/>
      <c r="F9419" s="6"/>
    </row>
    <row r="9420" spans="1:6" x14ac:dyDescent="0.3">
      <c r="A9420" s="8" t="s">
        <v>18797</v>
      </c>
      <c r="B9420" s="8" t="s">
        <v>63022</v>
      </c>
      <c r="C9420" s="8" t="s">
        <v>18798</v>
      </c>
      <c r="D9420" s="8"/>
      <c r="E9420" s="6"/>
      <c r="F9420" s="6"/>
    </row>
    <row r="9421" spans="1:6" x14ac:dyDescent="0.3">
      <c r="A9421" s="8" t="s">
        <v>18799</v>
      </c>
      <c r="B9421" s="8" t="s">
        <v>63023</v>
      </c>
      <c r="C9421" s="8" t="s">
        <v>18800</v>
      </c>
      <c r="D9421" s="8"/>
      <c r="E9421" s="6"/>
      <c r="F9421" s="6"/>
    </row>
    <row r="9422" spans="1:6" x14ac:dyDescent="0.3">
      <c r="A9422" s="8" t="s">
        <v>18801</v>
      </c>
      <c r="B9422" s="8" t="s">
        <v>63024</v>
      </c>
      <c r="C9422" s="8" t="s">
        <v>18802</v>
      </c>
      <c r="D9422" s="8"/>
      <c r="E9422" s="6"/>
      <c r="F9422" s="6"/>
    </row>
    <row r="9423" spans="1:6" x14ac:dyDescent="0.3">
      <c r="A9423" s="8" t="s">
        <v>18803</v>
      </c>
      <c r="B9423" s="8" t="s">
        <v>63025</v>
      </c>
      <c r="C9423" s="8" t="s">
        <v>18804</v>
      </c>
      <c r="D9423" s="8"/>
      <c r="E9423" s="6"/>
      <c r="F9423" s="6"/>
    </row>
    <row r="9424" spans="1:6" x14ac:dyDescent="0.3">
      <c r="A9424" s="8" t="s">
        <v>18805</v>
      </c>
      <c r="B9424" s="8" t="s">
        <v>63026</v>
      </c>
      <c r="C9424" s="8" t="s">
        <v>18806</v>
      </c>
      <c r="D9424" s="8"/>
      <c r="E9424" s="6"/>
      <c r="F9424" s="6"/>
    </row>
    <row r="9425" spans="1:6" x14ac:dyDescent="0.3">
      <c r="A9425" s="8" t="s">
        <v>18807</v>
      </c>
      <c r="B9425" s="8" t="s">
        <v>63027</v>
      </c>
      <c r="C9425" s="8" t="s">
        <v>18808</v>
      </c>
      <c r="D9425" s="8"/>
      <c r="E9425" s="6"/>
      <c r="F9425" s="6"/>
    </row>
    <row r="9426" spans="1:6" x14ac:dyDescent="0.3">
      <c r="A9426" s="8" t="s">
        <v>18809</v>
      </c>
      <c r="B9426" s="8" t="s">
        <v>63028</v>
      </c>
      <c r="C9426" s="8" t="s">
        <v>18810</v>
      </c>
      <c r="D9426" s="8"/>
      <c r="E9426" s="6"/>
      <c r="F9426" s="6"/>
    </row>
    <row r="9427" spans="1:6" x14ac:dyDescent="0.3">
      <c r="A9427" s="8" t="s">
        <v>18811</v>
      </c>
      <c r="B9427" s="8" t="s">
        <v>63029</v>
      </c>
      <c r="C9427" s="8" t="s">
        <v>18812</v>
      </c>
      <c r="D9427" s="8"/>
      <c r="E9427" s="6"/>
      <c r="F9427" s="6"/>
    </row>
    <row r="9428" spans="1:6" x14ac:dyDescent="0.3">
      <c r="A9428" s="8" t="s">
        <v>18813</v>
      </c>
      <c r="B9428" s="8" t="s">
        <v>63030</v>
      </c>
      <c r="C9428" s="8" t="s">
        <v>18814</v>
      </c>
      <c r="D9428" s="8"/>
      <c r="E9428" s="6"/>
      <c r="F9428" s="6"/>
    </row>
    <row r="9429" spans="1:6" x14ac:dyDescent="0.3">
      <c r="A9429" s="8" t="s">
        <v>18815</v>
      </c>
      <c r="B9429" s="8" t="s">
        <v>63031</v>
      </c>
      <c r="C9429" s="8" t="s">
        <v>18816</v>
      </c>
      <c r="D9429" s="8"/>
      <c r="E9429" s="6"/>
      <c r="F9429" s="6"/>
    </row>
    <row r="9430" spans="1:6" x14ac:dyDescent="0.3">
      <c r="A9430" s="8" t="s">
        <v>18817</v>
      </c>
      <c r="B9430" s="8" t="s">
        <v>63032</v>
      </c>
      <c r="C9430" s="8" t="s">
        <v>18818</v>
      </c>
      <c r="D9430" s="8"/>
      <c r="E9430" s="6"/>
      <c r="F9430" s="6"/>
    </row>
    <row r="9431" spans="1:6" x14ac:dyDescent="0.3">
      <c r="A9431" s="8" t="s">
        <v>18819</v>
      </c>
      <c r="B9431" s="8" t="s">
        <v>63033</v>
      </c>
      <c r="C9431" s="8" t="s">
        <v>18820</v>
      </c>
      <c r="D9431" s="8"/>
      <c r="E9431" s="6"/>
      <c r="F9431" s="6"/>
    </row>
    <row r="9432" spans="1:6" x14ac:dyDescent="0.3">
      <c r="A9432" s="8" t="s">
        <v>18821</v>
      </c>
      <c r="B9432" s="8" t="s">
        <v>63034</v>
      </c>
      <c r="C9432" s="8" t="s">
        <v>18822</v>
      </c>
      <c r="D9432" s="8"/>
      <c r="E9432" s="6"/>
      <c r="F9432" s="6"/>
    </row>
    <row r="9433" spans="1:6" x14ac:dyDescent="0.3">
      <c r="A9433" s="8" t="s">
        <v>18823</v>
      </c>
      <c r="B9433" s="8" t="s">
        <v>63035</v>
      </c>
      <c r="C9433" s="8" t="s">
        <v>18824</v>
      </c>
      <c r="D9433" s="8"/>
      <c r="E9433" s="6"/>
      <c r="F9433" s="6"/>
    </row>
    <row r="9434" spans="1:6" x14ac:dyDescent="0.3">
      <c r="A9434" s="8" t="s">
        <v>18825</v>
      </c>
      <c r="B9434" s="8" t="s">
        <v>63036</v>
      </c>
      <c r="C9434" s="8" t="s">
        <v>18826</v>
      </c>
      <c r="D9434" s="8"/>
      <c r="E9434" s="6"/>
      <c r="F9434" s="6"/>
    </row>
    <row r="9435" spans="1:6" x14ac:dyDescent="0.3">
      <c r="A9435" s="8" t="s">
        <v>18827</v>
      </c>
      <c r="B9435" s="8" t="s">
        <v>63037</v>
      </c>
      <c r="C9435" s="8" t="s">
        <v>18828</v>
      </c>
      <c r="D9435" s="8"/>
      <c r="E9435" s="6"/>
      <c r="F9435" s="6"/>
    </row>
    <row r="9436" spans="1:6" x14ac:dyDescent="0.3">
      <c r="A9436" s="8" t="s">
        <v>18829</v>
      </c>
      <c r="B9436" s="8" t="s">
        <v>63038</v>
      </c>
      <c r="C9436" s="8" t="s">
        <v>18830</v>
      </c>
      <c r="D9436" s="8"/>
      <c r="E9436" s="6"/>
      <c r="F9436" s="6"/>
    </row>
    <row r="9437" spans="1:6" x14ac:dyDescent="0.3">
      <c r="A9437" s="8" t="s">
        <v>18831</v>
      </c>
      <c r="B9437" s="8" t="s">
        <v>63039</v>
      </c>
      <c r="C9437" s="8" t="s">
        <v>18832</v>
      </c>
      <c r="D9437" s="8"/>
      <c r="E9437" s="6"/>
      <c r="F9437" s="6"/>
    </row>
    <row r="9438" spans="1:6" x14ac:dyDescent="0.3">
      <c r="A9438" s="8" t="s">
        <v>18833</v>
      </c>
      <c r="B9438" s="8" t="s">
        <v>63040</v>
      </c>
      <c r="C9438" s="8" t="s">
        <v>18834</v>
      </c>
      <c r="D9438" s="8"/>
      <c r="E9438" s="6"/>
      <c r="F9438" s="6"/>
    </row>
    <row r="9439" spans="1:6" x14ac:dyDescent="0.3">
      <c r="A9439" s="8" t="s">
        <v>18835</v>
      </c>
      <c r="B9439" s="8" t="s">
        <v>63041</v>
      </c>
      <c r="C9439" s="8" t="s">
        <v>18836</v>
      </c>
      <c r="D9439" s="8"/>
      <c r="E9439" s="6"/>
      <c r="F9439" s="6"/>
    </row>
    <row r="9440" spans="1:6" x14ac:dyDescent="0.3">
      <c r="A9440" s="8" t="s">
        <v>18837</v>
      </c>
      <c r="B9440" s="8" t="s">
        <v>63042</v>
      </c>
      <c r="C9440" s="8" t="s">
        <v>18838</v>
      </c>
      <c r="D9440" s="8"/>
      <c r="E9440" s="6"/>
      <c r="F9440" s="6"/>
    </row>
    <row r="9441" spans="1:6" x14ac:dyDescent="0.3">
      <c r="A9441" s="8" t="s">
        <v>18839</v>
      </c>
      <c r="B9441" s="8" t="s">
        <v>63043</v>
      </c>
      <c r="C9441" s="8" t="s">
        <v>18840</v>
      </c>
      <c r="D9441" s="8"/>
      <c r="E9441" s="6"/>
      <c r="F9441" s="6"/>
    </row>
    <row r="9442" spans="1:6" x14ac:dyDescent="0.3">
      <c r="A9442" s="8" t="s">
        <v>18841</v>
      </c>
      <c r="B9442" s="8" t="s">
        <v>63044</v>
      </c>
      <c r="C9442" s="8" t="s">
        <v>18842</v>
      </c>
      <c r="D9442" s="8"/>
      <c r="E9442" s="6"/>
      <c r="F9442" s="6"/>
    </row>
    <row r="9443" spans="1:6" x14ac:dyDescent="0.3">
      <c r="A9443" s="8" t="s">
        <v>18843</v>
      </c>
      <c r="B9443" s="8" t="s">
        <v>63045</v>
      </c>
      <c r="C9443" s="8" t="s">
        <v>18844</v>
      </c>
      <c r="D9443" s="8"/>
      <c r="E9443" s="6"/>
      <c r="F9443" s="6"/>
    </row>
    <row r="9444" spans="1:6" x14ac:dyDescent="0.3">
      <c r="A9444" s="8" t="s">
        <v>18845</v>
      </c>
      <c r="B9444" s="8" t="s">
        <v>63046</v>
      </c>
      <c r="C9444" s="8" t="s">
        <v>18846</v>
      </c>
      <c r="D9444" s="8"/>
      <c r="E9444" s="6"/>
      <c r="F9444" s="6"/>
    </row>
    <row r="9445" spans="1:6" x14ac:dyDescent="0.3">
      <c r="A9445" s="8" t="s">
        <v>18847</v>
      </c>
      <c r="B9445" s="8" t="s">
        <v>63047</v>
      </c>
      <c r="C9445" s="8" t="s">
        <v>18848</v>
      </c>
      <c r="D9445" s="8"/>
      <c r="E9445" s="6"/>
      <c r="F9445" s="6"/>
    </row>
    <row r="9446" spans="1:6" x14ac:dyDescent="0.3">
      <c r="A9446" s="8" t="s">
        <v>18849</v>
      </c>
      <c r="B9446" s="8" t="s">
        <v>63048</v>
      </c>
      <c r="C9446" s="8" t="s">
        <v>18850</v>
      </c>
      <c r="D9446" s="8"/>
      <c r="E9446" s="6"/>
      <c r="F9446" s="6"/>
    </row>
    <row r="9447" spans="1:6" x14ac:dyDescent="0.3">
      <c r="A9447" s="8" t="s">
        <v>18851</v>
      </c>
      <c r="B9447" s="8" t="s">
        <v>63049</v>
      </c>
      <c r="C9447" s="8" t="s">
        <v>18852</v>
      </c>
      <c r="D9447" s="8"/>
      <c r="E9447" s="6"/>
      <c r="F9447" s="6"/>
    </row>
    <row r="9448" spans="1:6" x14ac:dyDescent="0.3">
      <c r="A9448" s="8" t="s">
        <v>18853</v>
      </c>
      <c r="B9448" s="8" t="s">
        <v>63050</v>
      </c>
      <c r="C9448" s="8" t="s">
        <v>18854</v>
      </c>
      <c r="D9448" s="8"/>
      <c r="E9448" s="6"/>
      <c r="F9448" s="6"/>
    </row>
    <row r="9449" spans="1:6" x14ac:dyDescent="0.3">
      <c r="A9449" s="8" t="s">
        <v>18855</v>
      </c>
      <c r="B9449" s="8" t="s">
        <v>63051</v>
      </c>
      <c r="C9449" s="8" t="s">
        <v>18856</v>
      </c>
      <c r="D9449" s="8"/>
      <c r="E9449" s="6"/>
      <c r="F9449" s="6"/>
    </row>
    <row r="9450" spans="1:6" x14ac:dyDescent="0.3">
      <c r="A9450" s="8" t="s">
        <v>18857</v>
      </c>
      <c r="B9450" s="8" t="s">
        <v>63052</v>
      </c>
      <c r="C9450" s="8" t="s">
        <v>18858</v>
      </c>
      <c r="D9450" s="8"/>
      <c r="E9450" s="6"/>
      <c r="F9450" s="6"/>
    </row>
    <row r="9451" spans="1:6" x14ac:dyDescent="0.3">
      <c r="A9451" s="8" t="s">
        <v>18859</v>
      </c>
      <c r="B9451" s="8" t="s">
        <v>63053</v>
      </c>
      <c r="C9451" s="8" t="s">
        <v>18860</v>
      </c>
      <c r="D9451" s="8"/>
      <c r="E9451" s="6"/>
      <c r="F9451" s="6"/>
    </row>
    <row r="9452" spans="1:6" x14ac:dyDescent="0.3">
      <c r="A9452" s="8" t="s">
        <v>18861</v>
      </c>
      <c r="B9452" s="8" t="s">
        <v>63054</v>
      </c>
      <c r="C9452" s="8" t="s">
        <v>18862</v>
      </c>
      <c r="D9452" s="8"/>
      <c r="E9452" s="6"/>
      <c r="F9452" s="6"/>
    </row>
    <row r="9453" spans="1:6" x14ac:dyDescent="0.3">
      <c r="A9453" s="8" t="s">
        <v>18863</v>
      </c>
      <c r="B9453" s="8" t="s">
        <v>63055</v>
      </c>
      <c r="C9453" s="8" t="s">
        <v>18864</v>
      </c>
      <c r="D9453" s="8"/>
      <c r="E9453" s="6"/>
      <c r="F9453" s="6"/>
    </row>
    <row r="9454" spans="1:6" x14ac:dyDescent="0.3">
      <c r="A9454" s="8" t="s">
        <v>18865</v>
      </c>
      <c r="B9454" s="8" t="s">
        <v>63056</v>
      </c>
      <c r="C9454" s="8" t="s">
        <v>18866</v>
      </c>
      <c r="D9454" s="8"/>
      <c r="E9454" s="6"/>
      <c r="F9454" s="6"/>
    </row>
    <row r="9455" spans="1:6" x14ac:dyDescent="0.3">
      <c r="A9455" s="8" t="s">
        <v>18867</v>
      </c>
      <c r="B9455" s="8" t="s">
        <v>63057</v>
      </c>
      <c r="C9455" s="8" t="s">
        <v>18868</v>
      </c>
      <c r="D9455" s="8"/>
      <c r="E9455" s="6"/>
      <c r="F9455" s="6"/>
    </row>
    <row r="9456" spans="1:6" x14ac:dyDescent="0.3">
      <c r="A9456" s="8" t="s">
        <v>18869</v>
      </c>
      <c r="B9456" s="8" t="s">
        <v>63058</v>
      </c>
      <c r="C9456" s="8" t="s">
        <v>18870</v>
      </c>
      <c r="D9456" s="8"/>
      <c r="E9456" s="6"/>
      <c r="F9456" s="6"/>
    </row>
    <row r="9457" spans="1:6" x14ac:dyDescent="0.3">
      <c r="A9457" s="8" t="s">
        <v>18871</v>
      </c>
      <c r="B9457" s="8" t="s">
        <v>63059</v>
      </c>
      <c r="C9457" s="8" t="s">
        <v>18872</v>
      </c>
      <c r="D9457" s="8"/>
      <c r="E9457" s="6"/>
      <c r="F9457" s="6"/>
    </row>
    <row r="9458" spans="1:6" x14ac:dyDescent="0.3">
      <c r="A9458" s="8" t="s">
        <v>18873</v>
      </c>
      <c r="B9458" s="8" t="s">
        <v>63060</v>
      </c>
      <c r="C9458" s="8" t="s">
        <v>18874</v>
      </c>
      <c r="D9458" s="8"/>
      <c r="E9458" s="6"/>
      <c r="F9458" s="6"/>
    </row>
    <row r="9459" spans="1:6" x14ac:dyDescent="0.3">
      <c r="A9459" s="8" t="s">
        <v>18875</v>
      </c>
      <c r="B9459" s="8" t="s">
        <v>63061</v>
      </c>
      <c r="C9459" s="8" t="s">
        <v>18876</v>
      </c>
      <c r="D9459" s="8"/>
      <c r="E9459" s="6"/>
      <c r="F9459" s="6"/>
    </row>
    <row r="9460" spans="1:6" x14ac:dyDescent="0.3">
      <c r="A9460" s="8" t="s">
        <v>18877</v>
      </c>
      <c r="B9460" s="8" t="s">
        <v>63062</v>
      </c>
      <c r="C9460" s="8" t="s">
        <v>18878</v>
      </c>
      <c r="D9460" s="8"/>
      <c r="E9460" s="6"/>
      <c r="F9460" s="6"/>
    </row>
    <row r="9461" spans="1:6" x14ac:dyDescent="0.3">
      <c r="A9461" s="8" t="s">
        <v>18879</v>
      </c>
      <c r="B9461" s="8" t="s">
        <v>63063</v>
      </c>
      <c r="C9461" s="8" t="s">
        <v>18880</v>
      </c>
      <c r="D9461" s="8"/>
      <c r="E9461" s="6"/>
      <c r="F9461" s="6"/>
    </row>
    <row r="9462" spans="1:6" x14ac:dyDescent="0.3">
      <c r="A9462" s="8" t="s">
        <v>18881</v>
      </c>
      <c r="B9462" s="8" t="s">
        <v>63064</v>
      </c>
      <c r="C9462" s="8" t="s">
        <v>18882</v>
      </c>
      <c r="D9462" s="8"/>
      <c r="E9462" s="6"/>
      <c r="F9462" s="6"/>
    </row>
    <row r="9463" spans="1:6" x14ac:dyDescent="0.3">
      <c r="A9463" s="8" t="s">
        <v>18883</v>
      </c>
      <c r="B9463" s="8" t="s">
        <v>63065</v>
      </c>
      <c r="C9463" s="8" t="s">
        <v>18884</v>
      </c>
      <c r="D9463" s="8"/>
      <c r="E9463" s="6"/>
      <c r="F9463" s="6"/>
    </row>
    <row r="9464" spans="1:6" x14ac:dyDescent="0.3">
      <c r="A9464" s="8" t="s">
        <v>18885</v>
      </c>
      <c r="B9464" s="8" t="s">
        <v>63066</v>
      </c>
      <c r="C9464" s="8" t="s">
        <v>18886</v>
      </c>
      <c r="D9464" s="8"/>
      <c r="E9464" s="6"/>
      <c r="F9464" s="6"/>
    </row>
    <row r="9465" spans="1:6" x14ac:dyDescent="0.3">
      <c r="A9465" s="8" t="s">
        <v>18887</v>
      </c>
      <c r="B9465" s="8" t="s">
        <v>63067</v>
      </c>
      <c r="C9465" s="8" t="s">
        <v>18888</v>
      </c>
      <c r="D9465" s="8"/>
      <c r="E9465" s="6"/>
      <c r="F9465" s="6"/>
    </row>
    <row r="9466" spans="1:6" x14ac:dyDescent="0.3">
      <c r="A9466" s="8" t="s">
        <v>18889</v>
      </c>
      <c r="B9466" s="8" t="s">
        <v>63068</v>
      </c>
      <c r="C9466" s="8" t="s">
        <v>18890</v>
      </c>
      <c r="D9466" s="8"/>
      <c r="E9466" s="6"/>
      <c r="F9466" s="6"/>
    </row>
    <row r="9467" spans="1:6" x14ac:dyDescent="0.3">
      <c r="A9467" s="8" t="s">
        <v>18891</v>
      </c>
      <c r="B9467" s="8" t="s">
        <v>63069</v>
      </c>
      <c r="C9467" s="8" t="s">
        <v>18892</v>
      </c>
      <c r="D9467" s="8"/>
      <c r="E9467" s="6"/>
      <c r="F9467" s="6"/>
    </row>
    <row r="9468" spans="1:6" x14ac:dyDescent="0.3">
      <c r="A9468" s="8" t="s">
        <v>18893</v>
      </c>
      <c r="B9468" s="8" t="s">
        <v>63070</v>
      </c>
      <c r="C9468" s="8" t="s">
        <v>18894</v>
      </c>
      <c r="D9468" s="8"/>
      <c r="E9468" s="6"/>
      <c r="F9468" s="6"/>
    </row>
    <row r="9469" spans="1:6" x14ac:dyDescent="0.3">
      <c r="A9469" s="8" t="s">
        <v>18895</v>
      </c>
      <c r="B9469" s="8" t="s">
        <v>63071</v>
      </c>
      <c r="C9469" s="8" t="s">
        <v>18896</v>
      </c>
      <c r="D9469" s="8"/>
      <c r="E9469" s="6"/>
      <c r="F9469" s="6"/>
    </row>
    <row r="9470" spans="1:6" x14ac:dyDescent="0.3">
      <c r="A9470" s="8" t="s">
        <v>18897</v>
      </c>
      <c r="B9470" s="8" t="s">
        <v>63072</v>
      </c>
      <c r="C9470" s="8" t="s">
        <v>18898</v>
      </c>
      <c r="D9470" s="8"/>
      <c r="E9470" s="6"/>
      <c r="F9470" s="6"/>
    </row>
    <row r="9471" spans="1:6" x14ac:dyDescent="0.3">
      <c r="A9471" s="8" t="s">
        <v>18899</v>
      </c>
      <c r="B9471" s="8" t="s">
        <v>63073</v>
      </c>
      <c r="C9471" s="8" t="s">
        <v>18900</v>
      </c>
      <c r="D9471" s="8"/>
      <c r="E9471" s="6"/>
      <c r="F9471" s="6"/>
    </row>
    <row r="9472" spans="1:6" x14ac:dyDescent="0.3">
      <c r="A9472" s="8" t="s">
        <v>18901</v>
      </c>
      <c r="B9472" s="8" t="s">
        <v>63074</v>
      </c>
      <c r="C9472" s="8" t="s">
        <v>18902</v>
      </c>
      <c r="D9472" s="8"/>
      <c r="E9472" s="6"/>
      <c r="F9472" s="6"/>
    </row>
    <row r="9473" spans="1:6" x14ac:dyDescent="0.3">
      <c r="A9473" s="8" t="s">
        <v>18903</v>
      </c>
      <c r="B9473" s="8" t="s">
        <v>63075</v>
      </c>
      <c r="C9473" s="8" t="s">
        <v>18904</v>
      </c>
      <c r="D9473" s="8"/>
      <c r="E9473" s="6"/>
      <c r="F9473" s="6"/>
    </row>
    <row r="9474" spans="1:6" x14ac:dyDescent="0.3">
      <c r="A9474" s="8" t="s">
        <v>18905</v>
      </c>
      <c r="B9474" s="8" t="s">
        <v>63076</v>
      </c>
      <c r="C9474" s="8" t="s">
        <v>18906</v>
      </c>
      <c r="D9474" s="8"/>
      <c r="E9474" s="6"/>
      <c r="F9474" s="6"/>
    </row>
    <row r="9475" spans="1:6" x14ac:dyDescent="0.3">
      <c r="A9475" s="8" t="s">
        <v>18907</v>
      </c>
      <c r="B9475" s="8" t="s">
        <v>63077</v>
      </c>
      <c r="C9475" s="8" t="s">
        <v>18908</v>
      </c>
      <c r="D9475" s="8"/>
      <c r="E9475" s="6"/>
      <c r="F9475" s="6"/>
    </row>
    <row r="9476" spans="1:6" x14ac:dyDescent="0.3">
      <c r="A9476" s="8" t="s">
        <v>18909</v>
      </c>
      <c r="B9476" s="8" t="s">
        <v>63078</v>
      </c>
      <c r="C9476" s="8" t="s">
        <v>18910</v>
      </c>
      <c r="D9476" s="8"/>
      <c r="E9476" s="6"/>
      <c r="F9476" s="6"/>
    </row>
    <row r="9477" spans="1:6" x14ac:dyDescent="0.3">
      <c r="A9477" s="8" t="s">
        <v>18911</v>
      </c>
      <c r="B9477" s="8" t="s">
        <v>63079</v>
      </c>
      <c r="C9477" s="8" t="s">
        <v>18912</v>
      </c>
      <c r="D9477" s="8"/>
      <c r="E9477" s="6"/>
      <c r="F9477" s="6"/>
    </row>
    <row r="9478" spans="1:6" x14ac:dyDescent="0.3">
      <c r="A9478" s="8" t="s">
        <v>18913</v>
      </c>
      <c r="B9478" s="8" t="s">
        <v>63080</v>
      </c>
      <c r="C9478" s="8" t="s">
        <v>18914</v>
      </c>
      <c r="D9478" s="8"/>
      <c r="E9478" s="6"/>
      <c r="F9478" s="6"/>
    </row>
    <row r="9479" spans="1:6" x14ac:dyDescent="0.3">
      <c r="A9479" s="8" t="s">
        <v>18915</v>
      </c>
      <c r="B9479" s="8" t="s">
        <v>63081</v>
      </c>
      <c r="C9479" s="8" t="s">
        <v>18916</v>
      </c>
      <c r="D9479" s="8"/>
      <c r="E9479" s="6"/>
      <c r="F9479" s="6"/>
    </row>
    <row r="9480" spans="1:6" x14ac:dyDescent="0.3">
      <c r="A9480" s="8" t="s">
        <v>18917</v>
      </c>
      <c r="B9480" s="8" t="s">
        <v>63082</v>
      </c>
      <c r="C9480" s="8" t="s">
        <v>18918</v>
      </c>
      <c r="D9480" s="8"/>
      <c r="E9480" s="6"/>
      <c r="F9480" s="6"/>
    </row>
    <row r="9481" spans="1:6" x14ac:dyDescent="0.3">
      <c r="A9481" s="8" t="s">
        <v>18919</v>
      </c>
      <c r="B9481" s="8" t="s">
        <v>63083</v>
      </c>
      <c r="C9481" s="8" t="s">
        <v>18920</v>
      </c>
      <c r="D9481" s="8"/>
      <c r="E9481" s="6"/>
      <c r="F9481" s="6"/>
    </row>
    <row r="9482" spans="1:6" x14ac:dyDescent="0.3">
      <c r="A9482" s="8" t="s">
        <v>18921</v>
      </c>
      <c r="B9482" s="8" t="s">
        <v>63084</v>
      </c>
      <c r="C9482" s="8" t="s">
        <v>18922</v>
      </c>
      <c r="D9482" s="8"/>
      <c r="E9482" s="6"/>
      <c r="F9482" s="6"/>
    </row>
    <row r="9483" spans="1:6" x14ac:dyDescent="0.3">
      <c r="A9483" s="8" t="s">
        <v>18923</v>
      </c>
      <c r="B9483" s="8" t="s">
        <v>63085</v>
      </c>
      <c r="C9483" s="8" t="s">
        <v>18924</v>
      </c>
      <c r="D9483" s="8"/>
      <c r="E9483" s="6"/>
      <c r="F9483" s="6"/>
    </row>
    <row r="9484" spans="1:6" x14ac:dyDescent="0.3">
      <c r="A9484" s="8" t="s">
        <v>18925</v>
      </c>
      <c r="B9484" s="8" t="s">
        <v>63086</v>
      </c>
      <c r="C9484" s="8" t="s">
        <v>18926</v>
      </c>
      <c r="D9484" s="8"/>
      <c r="E9484" s="6"/>
      <c r="F9484" s="6"/>
    </row>
    <row r="9485" spans="1:6" x14ac:dyDescent="0.3">
      <c r="A9485" s="8" t="s">
        <v>18927</v>
      </c>
      <c r="B9485" s="8" t="s">
        <v>63087</v>
      </c>
      <c r="C9485" s="8" t="s">
        <v>18928</v>
      </c>
      <c r="D9485" s="8"/>
      <c r="E9485" s="6"/>
      <c r="F9485" s="6"/>
    </row>
    <row r="9486" spans="1:6" x14ac:dyDescent="0.3">
      <c r="A9486" s="8" t="s">
        <v>18929</v>
      </c>
      <c r="B9486" s="8" t="s">
        <v>63088</v>
      </c>
      <c r="C9486" s="8" t="s">
        <v>18930</v>
      </c>
      <c r="D9486" s="8"/>
      <c r="E9486" s="6"/>
      <c r="F9486" s="6"/>
    </row>
    <row r="9487" spans="1:6" x14ac:dyDescent="0.3">
      <c r="A9487" s="8" t="s">
        <v>18931</v>
      </c>
      <c r="B9487" s="8" t="s">
        <v>63089</v>
      </c>
      <c r="C9487" s="8" t="s">
        <v>18932</v>
      </c>
      <c r="D9487" s="8"/>
      <c r="E9487" s="6"/>
      <c r="F9487" s="6"/>
    </row>
    <row r="9488" spans="1:6" x14ac:dyDescent="0.3">
      <c r="A9488" s="8" t="s">
        <v>18933</v>
      </c>
      <c r="B9488" s="8" t="s">
        <v>63090</v>
      </c>
      <c r="C9488" s="8" t="s">
        <v>18934</v>
      </c>
      <c r="D9488" s="8"/>
      <c r="E9488" s="6"/>
      <c r="F9488" s="6"/>
    </row>
    <row r="9489" spans="1:6" x14ac:dyDescent="0.3">
      <c r="A9489" s="8" t="s">
        <v>18935</v>
      </c>
      <c r="B9489" s="8" t="s">
        <v>63091</v>
      </c>
      <c r="C9489" s="8" t="s">
        <v>18936</v>
      </c>
      <c r="D9489" s="8"/>
      <c r="E9489" s="6"/>
      <c r="F9489" s="6"/>
    </row>
    <row r="9490" spans="1:6" x14ac:dyDescent="0.3">
      <c r="A9490" s="8" t="s">
        <v>18937</v>
      </c>
      <c r="B9490" s="8" t="s">
        <v>63092</v>
      </c>
      <c r="C9490" s="8" t="s">
        <v>18938</v>
      </c>
      <c r="D9490" s="8"/>
      <c r="E9490" s="6"/>
      <c r="F9490" s="6"/>
    </row>
    <row r="9491" spans="1:6" x14ac:dyDescent="0.3">
      <c r="A9491" s="8" t="s">
        <v>18939</v>
      </c>
      <c r="B9491" s="8" t="s">
        <v>63093</v>
      </c>
      <c r="C9491" s="8" t="s">
        <v>18940</v>
      </c>
      <c r="D9491" s="8"/>
      <c r="E9491" s="6"/>
      <c r="F9491" s="6"/>
    </row>
    <row r="9492" spans="1:6" x14ac:dyDescent="0.3">
      <c r="A9492" s="8" t="s">
        <v>18941</v>
      </c>
      <c r="B9492" s="8" t="s">
        <v>63094</v>
      </c>
      <c r="C9492" s="8" t="s">
        <v>18942</v>
      </c>
      <c r="D9492" s="8"/>
      <c r="E9492" s="6"/>
      <c r="F9492" s="6"/>
    </row>
    <row r="9493" spans="1:6" x14ac:dyDescent="0.3">
      <c r="A9493" s="8" t="s">
        <v>18943</v>
      </c>
      <c r="B9493" s="8" t="s">
        <v>63095</v>
      </c>
      <c r="C9493" s="8" t="s">
        <v>18944</v>
      </c>
      <c r="D9493" s="8"/>
      <c r="E9493" s="6"/>
      <c r="F9493" s="6"/>
    </row>
    <row r="9494" spans="1:6" x14ac:dyDescent="0.3">
      <c r="A9494" s="8" t="s">
        <v>18945</v>
      </c>
      <c r="B9494" s="8" t="s">
        <v>63096</v>
      </c>
      <c r="C9494" s="8" t="s">
        <v>18946</v>
      </c>
      <c r="D9494" s="8"/>
      <c r="E9494" s="6"/>
      <c r="F9494" s="6"/>
    </row>
    <row r="9495" spans="1:6" x14ac:dyDescent="0.3">
      <c r="A9495" s="8" t="s">
        <v>18947</v>
      </c>
      <c r="B9495" s="8" t="s">
        <v>63097</v>
      </c>
      <c r="C9495" s="8" t="s">
        <v>18948</v>
      </c>
      <c r="D9495" s="8"/>
      <c r="E9495" s="6"/>
      <c r="F9495" s="6"/>
    </row>
    <row r="9496" spans="1:6" x14ac:dyDescent="0.3">
      <c r="A9496" s="8" t="s">
        <v>18949</v>
      </c>
      <c r="B9496" s="8" t="s">
        <v>63098</v>
      </c>
      <c r="C9496" s="8" t="s">
        <v>18950</v>
      </c>
      <c r="D9496" s="8"/>
      <c r="E9496" s="6"/>
      <c r="F9496" s="6"/>
    </row>
    <row r="9497" spans="1:6" x14ac:dyDescent="0.3">
      <c r="A9497" s="8" t="s">
        <v>18951</v>
      </c>
      <c r="B9497" s="8" t="s">
        <v>63099</v>
      </c>
      <c r="C9497" s="8" t="s">
        <v>18952</v>
      </c>
      <c r="D9497" s="8"/>
      <c r="E9497" s="6"/>
      <c r="F9497" s="6"/>
    </row>
    <row r="9498" spans="1:6" x14ac:dyDescent="0.3">
      <c r="A9498" s="8" t="s">
        <v>18953</v>
      </c>
      <c r="B9498" s="8" t="s">
        <v>63100</v>
      </c>
      <c r="C9498" s="8" t="s">
        <v>18954</v>
      </c>
      <c r="D9498" s="8"/>
      <c r="E9498" s="6"/>
      <c r="F9498" s="6"/>
    </row>
    <row r="9499" spans="1:6" x14ac:dyDescent="0.3">
      <c r="A9499" s="8" t="s">
        <v>18955</v>
      </c>
      <c r="B9499" s="8" t="s">
        <v>63101</v>
      </c>
      <c r="C9499" s="8" t="s">
        <v>18956</v>
      </c>
      <c r="D9499" s="8"/>
      <c r="E9499" s="6"/>
      <c r="F9499" s="6"/>
    </row>
    <row r="9500" spans="1:6" x14ac:dyDescent="0.3">
      <c r="A9500" s="8" t="s">
        <v>18957</v>
      </c>
      <c r="B9500" s="8" t="s">
        <v>63102</v>
      </c>
      <c r="C9500" s="8" t="s">
        <v>18958</v>
      </c>
      <c r="D9500" s="8"/>
      <c r="E9500" s="6"/>
      <c r="F9500" s="6"/>
    </row>
    <row r="9501" spans="1:6" x14ac:dyDescent="0.3">
      <c r="A9501" s="8" t="s">
        <v>18959</v>
      </c>
      <c r="B9501" s="8" t="s">
        <v>63103</v>
      </c>
      <c r="C9501" s="8" t="s">
        <v>18960</v>
      </c>
      <c r="D9501" s="8"/>
      <c r="E9501" s="6"/>
      <c r="F9501" s="6"/>
    </row>
    <row r="9502" spans="1:6" x14ac:dyDescent="0.3">
      <c r="A9502" s="8" t="s">
        <v>18961</v>
      </c>
      <c r="B9502" s="8" t="s">
        <v>63104</v>
      </c>
      <c r="C9502" s="8" t="s">
        <v>18962</v>
      </c>
      <c r="D9502" s="8"/>
      <c r="E9502" s="6"/>
      <c r="F9502" s="6"/>
    </row>
    <row r="9503" spans="1:6" x14ac:dyDescent="0.3">
      <c r="A9503" s="8" t="s">
        <v>18963</v>
      </c>
      <c r="B9503" s="8" t="s">
        <v>63105</v>
      </c>
      <c r="C9503" s="8" t="s">
        <v>18964</v>
      </c>
      <c r="D9503" s="8"/>
      <c r="E9503" s="6"/>
      <c r="F9503" s="6"/>
    </row>
    <row r="9504" spans="1:6" x14ac:dyDescent="0.3">
      <c r="A9504" s="8" t="s">
        <v>18965</v>
      </c>
      <c r="B9504" s="8" t="s">
        <v>63106</v>
      </c>
      <c r="C9504" s="8" t="s">
        <v>18966</v>
      </c>
      <c r="D9504" s="8"/>
      <c r="E9504" s="6"/>
      <c r="F9504" s="6"/>
    </row>
    <row r="9505" spans="1:6" x14ac:dyDescent="0.3">
      <c r="A9505" s="8" t="s">
        <v>18967</v>
      </c>
      <c r="B9505" s="8" t="s">
        <v>63107</v>
      </c>
      <c r="C9505" s="8" t="s">
        <v>18968</v>
      </c>
      <c r="D9505" s="8"/>
      <c r="E9505" s="6"/>
      <c r="F9505" s="6"/>
    </row>
    <row r="9506" spans="1:6" x14ac:dyDescent="0.3">
      <c r="A9506" s="8" t="s">
        <v>18969</v>
      </c>
      <c r="B9506" s="8" t="s">
        <v>63108</v>
      </c>
      <c r="C9506" s="8" t="s">
        <v>18970</v>
      </c>
      <c r="D9506" s="8"/>
      <c r="E9506" s="6"/>
      <c r="F9506" s="6"/>
    </row>
    <row r="9507" spans="1:6" x14ac:dyDescent="0.3">
      <c r="A9507" s="8" t="s">
        <v>18971</v>
      </c>
      <c r="B9507" s="8" t="s">
        <v>63109</v>
      </c>
      <c r="C9507" s="8" t="s">
        <v>18972</v>
      </c>
      <c r="D9507" s="8"/>
      <c r="E9507" s="6"/>
      <c r="F9507" s="6"/>
    </row>
    <row r="9508" spans="1:6" x14ac:dyDescent="0.3">
      <c r="A9508" s="8" t="s">
        <v>18973</v>
      </c>
      <c r="B9508" s="8" t="s">
        <v>63110</v>
      </c>
      <c r="C9508" s="8" t="s">
        <v>18974</v>
      </c>
      <c r="D9508" s="8"/>
      <c r="E9508" s="6"/>
      <c r="F9508" s="6"/>
    </row>
    <row r="9509" spans="1:6" x14ac:dyDescent="0.3">
      <c r="A9509" s="8" t="s">
        <v>18975</v>
      </c>
      <c r="B9509" s="8" t="s">
        <v>63111</v>
      </c>
      <c r="C9509" s="8" t="s">
        <v>18976</v>
      </c>
      <c r="D9509" s="8"/>
      <c r="E9509" s="6"/>
      <c r="F9509" s="6"/>
    </row>
    <row r="9510" spans="1:6" x14ac:dyDescent="0.3">
      <c r="A9510" s="8" t="s">
        <v>18977</v>
      </c>
      <c r="B9510" s="8" t="s">
        <v>63112</v>
      </c>
      <c r="C9510" s="8" t="s">
        <v>18978</v>
      </c>
      <c r="D9510" s="8"/>
      <c r="E9510" s="6"/>
      <c r="F9510" s="6"/>
    </row>
    <row r="9511" spans="1:6" x14ac:dyDescent="0.3">
      <c r="A9511" s="8" t="s">
        <v>18979</v>
      </c>
      <c r="B9511" s="8" t="s">
        <v>63113</v>
      </c>
      <c r="C9511" s="8" t="s">
        <v>18980</v>
      </c>
      <c r="D9511" s="8"/>
      <c r="E9511" s="6"/>
      <c r="F9511" s="6"/>
    </row>
    <row r="9512" spans="1:6" x14ac:dyDescent="0.3">
      <c r="A9512" s="8" t="s">
        <v>18981</v>
      </c>
      <c r="B9512" s="8" t="s">
        <v>63114</v>
      </c>
      <c r="C9512" s="8" t="s">
        <v>18982</v>
      </c>
      <c r="D9512" s="8"/>
      <c r="E9512" s="6"/>
      <c r="F9512" s="6"/>
    </row>
    <row r="9513" spans="1:6" x14ac:dyDescent="0.3">
      <c r="A9513" s="8" t="s">
        <v>18983</v>
      </c>
      <c r="B9513" s="8" t="s">
        <v>63115</v>
      </c>
      <c r="C9513" s="8" t="s">
        <v>18984</v>
      </c>
      <c r="D9513" s="8"/>
      <c r="E9513" s="6"/>
      <c r="F9513" s="6"/>
    </row>
    <row r="9514" spans="1:6" x14ac:dyDescent="0.3">
      <c r="A9514" s="8" t="s">
        <v>18985</v>
      </c>
      <c r="B9514" s="8" t="s">
        <v>63116</v>
      </c>
      <c r="C9514" s="8" t="s">
        <v>18986</v>
      </c>
      <c r="D9514" s="8"/>
      <c r="E9514" s="6"/>
      <c r="F9514" s="6"/>
    </row>
    <row r="9515" spans="1:6" x14ac:dyDescent="0.3">
      <c r="A9515" s="8" t="s">
        <v>18987</v>
      </c>
      <c r="B9515" s="8" t="s">
        <v>63117</v>
      </c>
      <c r="C9515" s="8" t="s">
        <v>18988</v>
      </c>
      <c r="D9515" s="8"/>
      <c r="E9515" s="6"/>
      <c r="F9515" s="6"/>
    </row>
    <row r="9516" spans="1:6" x14ac:dyDescent="0.3">
      <c r="A9516" s="8" t="s">
        <v>18989</v>
      </c>
      <c r="B9516" s="8" t="s">
        <v>63118</v>
      </c>
      <c r="C9516" s="8" t="s">
        <v>18990</v>
      </c>
      <c r="D9516" s="8"/>
      <c r="E9516" s="6"/>
      <c r="F9516" s="6"/>
    </row>
    <row r="9517" spans="1:6" x14ac:dyDescent="0.3">
      <c r="A9517" s="8" t="s">
        <v>18991</v>
      </c>
      <c r="B9517" s="8" t="s">
        <v>63119</v>
      </c>
      <c r="C9517" s="8" t="s">
        <v>18992</v>
      </c>
      <c r="D9517" s="8"/>
      <c r="E9517" s="6"/>
      <c r="F9517" s="6"/>
    </row>
    <row r="9518" spans="1:6" x14ac:dyDescent="0.3">
      <c r="A9518" s="8" t="s">
        <v>18993</v>
      </c>
      <c r="B9518" s="8" t="s">
        <v>63120</v>
      </c>
      <c r="C9518" s="8" t="s">
        <v>18994</v>
      </c>
      <c r="D9518" s="8"/>
      <c r="E9518" s="6"/>
      <c r="F9518" s="6"/>
    </row>
    <row r="9519" spans="1:6" x14ac:dyDescent="0.3">
      <c r="A9519" s="8" t="s">
        <v>18995</v>
      </c>
      <c r="B9519" s="8" t="s">
        <v>63121</v>
      </c>
      <c r="C9519" s="8" t="s">
        <v>18996</v>
      </c>
      <c r="D9519" s="8"/>
      <c r="E9519" s="6"/>
      <c r="F9519" s="6"/>
    </row>
    <row r="9520" spans="1:6" x14ac:dyDescent="0.3">
      <c r="A9520" s="8" t="s">
        <v>18997</v>
      </c>
      <c r="B9520" s="8" t="s">
        <v>63122</v>
      </c>
      <c r="C9520" s="8" t="s">
        <v>18998</v>
      </c>
      <c r="D9520" s="8"/>
      <c r="E9520" s="6"/>
      <c r="F9520" s="6"/>
    </row>
    <row r="9521" spans="1:6" x14ac:dyDescent="0.3">
      <c r="A9521" s="8" t="s">
        <v>18999</v>
      </c>
      <c r="B9521" s="8" t="s">
        <v>63123</v>
      </c>
      <c r="C9521" s="8" t="s">
        <v>19000</v>
      </c>
      <c r="D9521" s="8"/>
      <c r="E9521" s="6"/>
      <c r="F9521" s="6"/>
    </row>
    <row r="9522" spans="1:6" x14ac:dyDescent="0.3">
      <c r="A9522" s="8" t="s">
        <v>19001</v>
      </c>
      <c r="B9522" s="8" t="s">
        <v>63124</v>
      </c>
      <c r="C9522" s="8" t="s">
        <v>19002</v>
      </c>
      <c r="D9522" s="8"/>
      <c r="E9522" s="6"/>
      <c r="F9522" s="6"/>
    </row>
    <row r="9523" spans="1:6" x14ac:dyDescent="0.3">
      <c r="A9523" s="8" t="s">
        <v>19003</v>
      </c>
      <c r="B9523" s="8" t="s">
        <v>63125</v>
      </c>
      <c r="C9523" s="8" t="s">
        <v>19004</v>
      </c>
      <c r="D9523" s="8"/>
      <c r="E9523" s="6"/>
      <c r="F9523" s="6"/>
    </row>
    <row r="9524" spans="1:6" x14ac:dyDescent="0.3">
      <c r="A9524" s="8" t="s">
        <v>19005</v>
      </c>
      <c r="B9524" s="8" t="s">
        <v>63126</v>
      </c>
      <c r="C9524" s="8" t="s">
        <v>19006</v>
      </c>
      <c r="D9524" s="8"/>
      <c r="E9524" s="6"/>
      <c r="F9524" s="6"/>
    </row>
    <row r="9525" spans="1:6" x14ac:dyDescent="0.3">
      <c r="A9525" s="8" t="s">
        <v>19007</v>
      </c>
      <c r="B9525" s="8" t="s">
        <v>63127</v>
      </c>
      <c r="C9525" s="8" t="s">
        <v>19008</v>
      </c>
      <c r="D9525" s="8"/>
      <c r="E9525" s="6"/>
      <c r="F9525" s="6"/>
    </row>
    <row r="9526" spans="1:6" x14ac:dyDescent="0.3">
      <c r="A9526" s="8" t="s">
        <v>19009</v>
      </c>
      <c r="B9526" s="8" t="s">
        <v>63128</v>
      </c>
      <c r="C9526" s="8" t="s">
        <v>19010</v>
      </c>
      <c r="D9526" s="8"/>
      <c r="E9526" s="6"/>
      <c r="F9526" s="6"/>
    </row>
    <row r="9527" spans="1:6" x14ac:dyDescent="0.3">
      <c r="A9527" s="8" t="s">
        <v>19011</v>
      </c>
      <c r="B9527" s="8" t="s">
        <v>63129</v>
      </c>
      <c r="C9527" s="8" t="s">
        <v>19012</v>
      </c>
      <c r="D9527" s="8"/>
      <c r="E9527" s="6"/>
      <c r="F9527" s="6"/>
    </row>
    <row r="9528" spans="1:6" x14ac:dyDescent="0.3">
      <c r="A9528" s="8" t="s">
        <v>19013</v>
      </c>
      <c r="B9528" s="8" t="s">
        <v>63130</v>
      </c>
      <c r="C9528" s="8" t="s">
        <v>19014</v>
      </c>
      <c r="D9528" s="8"/>
      <c r="E9528" s="6"/>
      <c r="F9528" s="6"/>
    </row>
    <row r="9529" spans="1:6" x14ac:dyDescent="0.3">
      <c r="A9529" s="8" t="s">
        <v>19015</v>
      </c>
      <c r="B9529" s="8" t="s">
        <v>63131</v>
      </c>
      <c r="C9529" s="8" t="s">
        <v>19016</v>
      </c>
      <c r="D9529" s="8"/>
      <c r="E9529" s="6"/>
      <c r="F9529" s="6"/>
    </row>
    <row r="9530" spans="1:6" x14ac:dyDescent="0.3">
      <c r="A9530" s="8" t="s">
        <v>19017</v>
      </c>
      <c r="B9530" s="8" t="s">
        <v>63132</v>
      </c>
      <c r="C9530" s="8" t="s">
        <v>19018</v>
      </c>
      <c r="D9530" s="8"/>
      <c r="E9530" s="6"/>
      <c r="F9530" s="6"/>
    </row>
    <row r="9531" spans="1:6" x14ac:dyDescent="0.3">
      <c r="A9531" s="8" t="s">
        <v>19019</v>
      </c>
      <c r="B9531" s="8" t="s">
        <v>63133</v>
      </c>
      <c r="C9531" s="8" t="s">
        <v>19020</v>
      </c>
      <c r="D9531" s="8"/>
      <c r="E9531" s="6"/>
      <c r="F9531" s="6"/>
    </row>
    <row r="9532" spans="1:6" x14ac:dyDescent="0.3">
      <c r="A9532" s="8" t="s">
        <v>19021</v>
      </c>
      <c r="B9532" s="8" t="s">
        <v>63134</v>
      </c>
      <c r="C9532" s="8" t="s">
        <v>19022</v>
      </c>
      <c r="D9532" s="8"/>
      <c r="E9532" s="6"/>
      <c r="F9532" s="6"/>
    </row>
    <row r="9533" spans="1:6" x14ac:dyDescent="0.3">
      <c r="A9533" s="8" t="s">
        <v>19023</v>
      </c>
      <c r="B9533" s="8" t="s">
        <v>63135</v>
      </c>
      <c r="C9533" s="8" t="s">
        <v>19024</v>
      </c>
      <c r="D9533" s="8"/>
      <c r="E9533" s="6"/>
      <c r="F9533" s="6"/>
    </row>
    <row r="9534" spans="1:6" x14ac:dyDescent="0.3">
      <c r="A9534" s="8" t="s">
        <v>19025</v>
      </c>
      <c r="B9534" s="8" t="s">
        <v>63136</v>
      </c>
      <c r="C9534" s="8" t="s">
        <v>19026</v>
      </c>
      <c r="D9534" s="8"/>
      <c r="E9534" s="6"/>
      <c r="F9534" s="6"/>
    </row>
    <row r="9535" spans="1:6" x14ac:dyDescent="0.3">
      <c r="A9535" s="8" t="s">
        <v>19027</v>
      </c>
      <c r="B9535" s="8" t="s">
        <v>63137</v>
      </c>
      <c r="C9535" s="8" t="s">
        <v>19028</v>
      </c>
      <c r="D9535" s="8"/>
      <c r="E9535" s="6"/>
      <c r="F9535" s="6"/>
    </row>
    <row r="9536" spans="1:6" x14ac:dyDescent="0.3">
      <c r="A9536" s="8" t="s">
        <v>19029</v>
      </c>
      <c r="B9536" s="8" t="s">
        <v>63138</v>
      </c>
      <c r="C9536" s="8" t="s">
        <v>19030</v>
      </c>
      <c r="D9536" s="8"/>
      <c r="E9536" s="6"/>
      <c r="F9536" s="6"/>
    </row>
    <row r="9537" spans="1:6" x14ac:dyDescent="0.3">
      <c r="A9537" s="8" t="s">
        <v>19031</v>
      </c>
      <c r="B9537" s="8" t="s">
        <v>63139</v>
      </c>
      <c r="C9537" s="8" t="s">
        <v>19032</v>
      </c>
      <c r="D9537" s="8"/>
      <c r="E9537" s="6"/>
      <c r="F9537" s="6"/>
    </row>
    <row r="9538" spans="1:6" x14ac:dyDescent="0.3">
      <c r="A9538" s="8" t="s">
        <v>19033</v>
      </c>
      <c r="B9538" s="8" t="s">
        <v>63140</v>
      </c>
      <c r="C9538" s="8" t="s">
        <v>19034</v>
      </c>
      <c r="D9538" s="8"/>
      <c r="E9538" s="6"/>
      <c r="F9538" s="6"/>
    </row>
    <row r="9539" spans="1:6" x14ac:dyDescent="0.3">
      <c r="A9539" s="8" t="s">
        <v>19035</v>
      </c>
      <c r="B9539" s="8" t="s">
        <v>63141</v>
      </c>
      <c r="C9539" s="8" t="s">
        <v>19036</v>
      </c>
      <c r="D9539" s="8"/>
      <c r="E9539" s="6"/>
      <c r="F9539" s="6"/>
    </row>
    <row r="9540" spans="1:6" x14ac:dyDescent="0.3">
      <c r="A9540" s="8" t="s">
        <v>19037</v>
      </c>
      <c r="B9540" s="8" t="s">
        <v>63142</v>
      </c>
      <c r="C9540" s="8" t="s">
        <v>19038</v>
      </c>
      <c r="D9540" s="8"/>
      <c r="E9540" s="6"/>
      <c r="F9540" s="6"/>
    </row>
    <row r="9541" spans="1:6" x14ac:dyDescent="0.3">
      <c r="A9541" s="8" t="s">
        <v>19039</v>
      </c>
      <c r="B9541" s="8" t="s">
        <v>63143</v>
      </c>
      <c r="C9541" s="8" t="s">
        <v>19040</v>
      </c>
      <c r="D9541" s="8"/>
      <c r="E9541" s="6"/>
      <c r="F9541" s="6"/>
    </row>
    <row r="9542" spans="1:6" x14ac:dyDescent="0.3">
      <c r="A9542" s="8" t="s">
        <v>19041</v>
      </c>
      <c r="B9542" s="8" t="s">
        <v>63144</v>
      </c>
      <c r="C9542" s="8" t="s">
        <v>19042</v>
      </c>
      <c r="D9542" s="8"/>
      <c r="E9542" s="6"/>
      <c r="F9542" s="6"/>
    </row>
    <row r="9543" spans="1:6" x14ac:dyDescent="0.3">
      <c r="A9543" s="8" t="s">
        <v>19043</v>
      </c>
      <c r="B9543" s="8" t="s">
        <v>63145</v>
      </c>
      <c r="C9543" s="8" t="s">
        <v>19044</v>
      </c>
      <c r="D9543" s="8"/>
      <c r="E9543" s="6"/>
      <c r="F9543" s="6"/>
    </row>
    <row r="9544" spans="1:6" x14ac:dyDescent="0.3">
      <c r="A9544" s="8" t="s">
        <v>19045</v>
      </c>
      <c r="B9544" s="8" t="s">
        <v>63146</v>
      </c>
      <c r="C9544" s="8" t="s">
        <v>19046</v>
      </c>
      <c r="D9544" s="8"/>
      <c r="E9544" s="6"/>
      <c r="F9544" s="6"/>
    </row>
    <row r="9545" spans="1:6" x14ac:dyDescent="0.3">
      <c r="A9545" s="8" t="s">
        <v>19047</v>
      </c>
      <c r="B9545" s="8" t="s">
        <v>63147</v>
      </c>
      <c r="C9545" s="8" t="s">
        <v>19048</v>
      </c>
      <c r="D9545" s="8"/>
      <c r="E9545" s="6"/>
      <c r="F9545" s="6"/>
    </row>
    <row r="9546" spans="1:6" x14ac:dyDescent="0.3">
      <c r="A9546" s="8" t="s">
        <v>19049</v>
      </c>
      <c r="B9546" s="8" t="s">
        <v>63148</v>
      </c>
      <c r="C9546" s="8" t="s">
        <v>19050</v>
      </c>
      <c r="D9546" s="8"/>
      <c r="E9546" s="6"/>
      <c r="F9546" s="6"/>
    </row>
    <row r="9547" spans="1:6" x14ac:dyDescent="0.3">
      <c r="A9547" s="8" t="s">
        <v>19051</v>
      </c>
      <c r="B9547" s="8" t="s">
        <v>63149</v>
      </c>
      <c r="C9547" s="8" t="s">
        <v>19052</v>
      </c>
      <c r="D9547" s="8"/>
      <c r="E9547" s="6"/>
      <c r="F9547" s="6"/>
    </row>
    <row r="9548" spans="1:6" x14ac:dyDescent="0.3">
      <c r="A9548" s="8" t="s">
        <v>19053</v>
      </c>
      <c r="B9548" s="8" t="s">
        <v>63150</v>
      </c>
      <c r="C9548" s="8" t="s">
        <v>19054</v>
      </c>
      <c r="D9548" s="8"/>
      <c r="E9548" s="6"/>
      <c r="F9548" s="6"/>
    </row>
    <row r="9549" spans="1:6" x14ac:dyDescent="0.3">
      <c r="A9549" s="8" t="s">
        <v>19055</v>
      </c>
      <c r="B9549" s="8" t="s">
        <v>63151</v>
      </c>
      <c r="C9549" s="8" t="s">
        <v>19056</v>
      </c>
      <c r="D9549" s="8"/>
      <c r="E9549" s="6"/>
      <c r="F9549" s="6"/>
    </row>
    <row r="9550" spans="1:6" x14ac:dyDescent="0.3">
      <c r="A9550" s="8" t="s">
        <v>19057</v>
      </c>
      <c r="B9550" s="8" t="s">
        <v>63152</v>
      </c>
      <c r="C9550" s="8" t="s">
        <v>19058</v>
      </c>
      <c r="D9550" s="8"/>
      <c r="E9550" s="6"/>
      <c r="F9550" s="6"/>
    </row>
    <row r="9551" spans="1:6" x14ac:dyDescent="0.3">
      <c r="A9551" s="8" t="s">
        <v>19059</v>
      </c>
      <c r="B9551" s="8" t="s">
        <v>63153</v>
      </c>
      <c r="C9551" s="8" t="s">
        <v>19060</v>
      </c>
      <c r="D9551" s="8"/>
      <c r="E9551" s="6"/>
      <c r="F9551" s="6"/>
    </row>
    <row r="9552" spans="1:6" x14ac:dyDescent="0.3">
      <c r="A9552" s="8" t="s">
        <v>19061</v>
      </c>
      <c r="B9552" s="8" t="s">
        <v>63154</v>
      </c>
      <c r="C9552" s="8" t="s">
        <v>19062</v>
      </c>
      <c r="D9552" s="8"/>
      <c r="E9552" s="6"/>
      <c r="F9552" s="6"/>
    </row>
    <row r="9553" spans="1:6" x14ac:dyDescent="0.3">
      <c r="A9553" s="8" t="s">
        <v>19063</v>
      </c>
      <c r="B9553" s="8" t="s">
        <v>63155</v>
      </c>
      <c r="C9553" s="8" t="s">
        <v>19064</v>
      </c>
      <c r="D9553" s="8"/>
      <c r="E9553" s="6"/>
      <c r="F9553" s="6"/>
    </row>
    <row r="9554" spans="1:6" x14ac:dyDescent="0.3">
      <c r="A9554" s="8" t="s">
        <v>19065</v>
      </c>
      <c r="B9554" s="8" t="s">
        <v>63156</v>
      </c>
      <c r="C9554" s="8" t="s">
        <v>19066</v>
      </c>
      <c r="D9554" s="8"/>
      <c r="E9554" s="6"/>
      <c r="F9554" s="6"/>
    </row>
    <row r="9555" spans="1:6" x14ac:dyDescent="0.3">
      <c r="A9555" s="8" t="s">
        <v>19067</v>
      </c>
      <c r="B9555" s="8" t="s">
        <v>63157</v>
      </c>
      <c r="C9555" s="8" t="s">
        <v>19068</v>
      </c>
      <c r="D9555" s="8"/>
      <c r="E9555" s="6"/>
      <c r="F9555" s="6"/>
    </row>
    <row r="9556" spans="1:6" x14ac:dyDescent="0.3">
      <c r="A9556" s="8" t="s">
        <v>19069</v>
      </c>
      <c r="B9556" s="8" t="s">
        <v>63158</v>
      </c>
      <c r="C9556" s="8" t="s">
        <v>19070</v>
      </c>
      <c r="D9556" s="8"/>
      <c r="E9556" s="6"/>
      <c r="F9556" s="6"/>
    </row>
    <row r="9557" spans="1:6" x14ac:dyDescent="0.3">
      <c r="A9557" s="8" t="s">
        <v>19071</v>
      </c>
      <c r="B9557" s="8" t="s">
        <v>63159</v>
      </c>
      <c r="C9557" s="8" t="s">
        <v>19072</v>
      </c>
      <c r="D9557" s="8"/>
      <c r="E9557" s="6"/>
      <c r="F9557" s="6"/>
    </row>
    <row r="9558" spans="1:6" x14ac:dyDescent="0.3">
      <c r="A9558" s="8" t="s">
        <v>19073</v>
      </c>
      <c r="B9558" s="8" t="s">
        <v>63160</v>
      </c>
      <c r="C9558" s="8" t="s">
        <v>19074</v>
      </c>
      <c r="D9558" s="8"/>
      <c r="E9558" s="6"/>
      <c r="F9558" s="6"/>
    </row>
    <row r="9559" spans="1:6" x14ac:dyDescent="0.3">
      <c r="A9559" s="8" t="s">
        <v>19075</v>
      </c>
      <c r="B9559" s="8" t="s">
        <v>63161</v>
      </c>
      <c r="C9559" s="8" t="s">
        <v>19076</v>
      </c>
      <c r="D9559" s="8"/>
      <c r="E9559" s="6"/>
      <c r="F9559" s="6"/>
    </row>
    <row r="9560" spans="1:6" x14ac:dyDescent="0.3">
      <c r="A9560" s="8" t="s">
        <v>19077</v>
      </c>
      <c r="B9560" s="8" t="s">
        <v>63162</v>
      </c>
      <c r="C9560" s="8" t="s">
        <v>19078</v>
      </c>
      <c r="D9560" s="8"/>
      <c r="E9560" s="6"/>
      <c r="F9560" s="6"/>
    </row>
    <row r="9561" spans="1:6" x14ac:dyDescent="0.3">
      <c r="A9561" s="8" t="s">
        <v>19079</v>
      </c>
      <c r="B9561" s="8" t="s">
        <v>63163</v>
      </c>
      <c r="C9561" s="8" t="s">
        <v>19080</v>
      </c>
      <c r="D9561" s="8"/>
      <c r="E9561" s="6"/>
      <c r="F9561" s="6"/>
    </row>
    <row r="9562" spans="1:6" x14ac:dyDescent="0.3">
      <c r="A9562" s="8" t="s">
        <v>19081</v>
      </c>
      <c r="B9562" s="8" t="s">
        <v>63164</v>
      </c>
      <c r="C9562" s="8" t="s">
        <v>19082</v>
      </c>
      <c r="D9562" s="8"/>
      <c r="E9562" s="6"/>
      <c r="F9562" s="6"/>
    </row>
    <row r="9563" spans="1:6" x14ac:dyDescent="0.3">
      <c r="A9563" s="8" t="s">
        <v>19083</v>
      </c>
      <c r="B9563" s="8" t="s">
        <v>63165</v>
      </c>
      <c r="C9563" s="8" t="s">
        <v>19084</v>
      </c>
      <c r="D9563" s="8"/>
      <c r="E9563" s="6"/>
      <c r="F9563" s="6"/>
    </row>
    <row r="9564" spans="1:6" x14ac:dyDescent="0.3">
      <c r="A9564" s="8" t="s">
        <v>19085</v>
      </c>
      <c r="B9564" s="8" t="s">
        <v>63166</v>
      </c>
      <c r="C9564" s="8" t="s">
        <v>19086</v>
      </c>
      <c r="D9564" s="8"/>
      <c r="E9564" s="6"/>
      <c r="F9564" s="6"/>
    </row>
    <row r="9565" spans="1:6" x14ac:dyDescent="0.3">
      <c r="A9565" s="8" t="s">
        <v>19087</v>
      </c>
      <c r="B9565" s="8" t="s">
        <v>63167</v>
      </c>
      <c r="C9565" s="8" t="s">
        <v>19088</v>
      </c>
      <c r="D9565" s="8"/>
      <c r="E9565" s="6"/>
      <c r="F9565" s="6"/>
    </row>
    <row r="9566" spans="1:6" x14ac:dyDescent="0.3">
      <c r="A9566" s="8" t="s">
        <v>19089</v>
      </c>
      <c r="B9566" s="8" t="s">
        <v>63168</v>
      </c>
      <c r="C9566" s="8" t="s">
        <v>19090</v>
      </c>
      <c r="D9566" s="8"/>
      <c r="E9566" s="6"/>
      <c r="F9566" s="6"/>
    </row>
    <row r="9567" spans="1:6" x14ac:dyDescent="0.3">
      <c r="A9567" s="8" t="s">
        <v>19091</v>
      </c>
      <c r="B9567" s="8" t="s">
        <v>63169</v>
      </c>
      <c r="C9567" s="8" t="s">
        <v>19092</v>
      </c>
      <c r="D9567" s="8"/>
      <c r="E9567" s="6"/>
      <c r="F9567" s="6"/>
    </row>
    <row r="9568" spans="1:6" x14ac:dyDescent="0.3">
      <c r="A9568" s="8" t="s">
        <v>19093</v>
      </c>
      <c r="B9568" s="8" t="s">
        <v>63170</v>
      </c>
      <c r="C9568" s="8" t="s">
        <v>19094</v>
      </c>
      <c r="D9568" s="8"/>
      <c r="E9568" s="6"/>
      <c r="F9568" s="6"/>
    </row>
    <row r="9569" spans="1:6" x14ac:dyDescent="0.3">
      <c r="A9569" s="8" t="s">
        <v>19095</v>
      </c>
      <c r="B9569" s="8" t="s">
        <v>63171</v>
      </c>
      <c r="C9569" s="8" t="s">
        <v>19096</v>
      </c>
      <c r="D9569" s="8"/>
      <c r="E9569" s="6"/>
      <c r="F9569" s="6"/>
    </row>
    <row r="9570" spans="1:6" x14ac:dyDescent="0.3">
      <c r="A9570" s="8" t="s">
        <v>19097</v>
      </c>
      <c r="B9570" s="8" t="s">
        <v>63172</v>
      </c>
      <c r="C9570" s="8" t="s">
        <v>19098</v>
      </c>
      <c r="D9570" s="8"/>
      <c r="E9570" s="6"/>
      <c r="F9570" s="6"/>
    </row>
    <row r="9571" spans="1:6" x14ac:dyDescent="0.3">
      <c r="A9571" s="8" t="s">
        <v>19099</v>
      </c>
      <c r="B9571" s="8" t="s">
        <v>63173</v>
      </c>
      <c r="C9571" s="8" t="s">
        <v>19100</v>
      </c>
      <c r="D9571" s="8"/>
      <c r="E9571" s="6"/>
      <c r="F9571" s="6"/>
    </row>
    <row r="9572" spans="1:6" x14ac:dyDescent="0.3">
      <c r="A9572" s="8" t="s">
        <v>19101</v>
      </c>
      <c r="B9572" s="8" t="s">
        <v>63174</v>
      </c>
      <c r="C9572" s="8" t="s">
        <v>19102</v>
      </c>
      <c r="D9572" s="8"/>
      <c r="E9572" s="6"/>
      <c r="F9572" s="6"/>
    </row>
    <row r="9573" spans="1:6" x14ac:dyDescent="0.3">
      <c r="A9573" s="8" t="s">
        <v>19103</v>
      </c>
      <c r="B9573" s="8" t="s">
        <v>63175</v>
      </c>
      <c r="C9573" s="8" t="s">
        <v>19104</v>
      </c>
      <c r="D9573" s="8"/>
      <c r="E9573" s="6"/>
      <c r="F9573" s="6"/>
    </row>
    <row r="9574" spans="1:6" x14ac:dyDescent="0.3">
      <c r="A9574" s="8" t="s">
        <v>19105</v>
      </c>
      <c r="B9574" s="8" t="s">
        <v>63176</v>
      </c>
      <c r="C9574" s="8" t="s">
        <v>19106</v>
      </c>
      <c r="D9574" s="8"/>
      <c r="E9574" s="6"/>
      <c r="F9574" s="6"/>
    </row>
    <row r="9575" spans="1:6" x14ac:dyDescent="0.3">
      <c r="A9575" s="8" t="s">
        <v>19107</v>
      </c>
      <c r="B9575" s="8" t="s">
        <v>63177</v>
      </c>
      <c r="C9575" s="8" t="s">
        <v>19108</v>
      </c>
      <c r="D9575" s="8"/>
      <c r="E9575" s="6"/>
      <c r="F9575" s="6"/>
    </row>
    <row r="9576" spans="1:6" x14ac:dyDescent="0.3">
      <c r="A9576" s="8" t="s">
        <v>19109</v>
      </c>
      <c r="B9576" s="8" t="s">
        <v>63178</v>
      </c>
      <c r="C9576" s="8" t="s">
        <v>19110</v>
      </c>
      <c r="D9576" s="8"/>
      <c r="E9576" s="6"/>
      <c r="F9576" s="6"/>
    </row>
    <row r="9577" spans="1:6" x14ac:dyDescent="0.3">
      <c r="A9577" s="8" t="s">
        <v>19111</v>
      </c>
      <c r="B9577" s="8" t="s">
        <v>63179</v>
      </c>
      <c r="C9577" s="8" t="s">
        <v>19112</v>
      </c>
      <c r="D9577" s="8"/>
      <c r="E9577" s="6"/>
      <c r="F9577" s="6"/>
    </row>
    <row r="9578" spans="1:6" x14ac:dyDescent="0.3">
      <c r="A9578" s="8" t="s">
        <v>19113</v>
      </c>
      <c r="B9578" s="8" t="s">
        <v>63180</v>
      </c>
      <c r="C9578" s="8" t="s">
        <v>19114</v>
      </c>
      <c r="D9578" s="8"/>
      <c r="E9578" s="6"/>
      <c r="F9578" s="6"/>
    </row>
    <row r="9579" spans="1:6" x14ac:dyDescent="0.3">
      <c r="A9579" s="8" t="s">
        <v>19115</v>
      </c>
      <c r="B9579" s="8" t="s">
        <v>63181</v>
      </c>
      <c r="C9579" s="8" t="s">
        <v>19116</v>
      </c>
      <c r="D9579" s="8"/>
      <c r="E9579" s="6"/>
      <c r="F9579" s="6"/>
    </row>
    <row r="9580" spans="1:6" x14ac:dyDescent="0.3">
      <c r="A9580" s="8" t="s">
        <v>19117</v>
      </c>
      <c r="B9580" s="8" t="s">
        <v>63182</v>
      </c>
      <c r="C9580" s="8" t="s">
        <v>19118</v>
      </c>
      <c r="D9580" s="8"/>
      <c r="E9580" s="6"/>
      <c r="F9580" s="6"/>
    </row>
    <row r="9581" spans="1:6" x14ac:dyDescent="0.3">
      <c r="A9581" s="8" t="s">
        <v>19119</v>
      </c>
      <c r="B9581" s="8" t="s">
        <v>63183</v>
      </c>
      <c r="C9581" s="8" t="s">
        <v>19120</v>
      </c>
      <c r="D9581" s="8"/>
      <c r="E9581" s="6"/>
      <c r="F9581" s="6"/>
    </row>
    <row r="9582" spans="1:6" x14ac:dyDescent="0.3">
      <c r="A9582" s="8" t="s">
        <v>19121</v>
      </c>
      <c r="B9582" s="8" t="s">
        <v>63184</v>
      </c>
      <c r="C9582" s="8" t="s">
        <v>19122</v>
      </c>
      <c r="D9582" s="8"/>
      <c r="E9582" s="6"/>
      <c r="F9582" s="6"/>
    </row>
    <row r="9583" spans="1:6" x14ac:dyDescent="0.3">
      <c r="A9583" s="8" t="s">
        <v>19123</v>
      </c>
      <c r="B9583" s="8" t="s">
        <v>63185</v>
      </c>
      <c r="C9583" s="8" t="s">
        <v>19124</v>
      </c>
      <c r="D9583" s="8"/>
      <c r="E9583" s="6"/>
      <c r="F9583" s="6"/>
    </row>
    <row r="9584" spans="1:6" x14ac:dyDescent="0.3">
      <c r="A9584" s="8" t="s">
        <v>19125</v>
      </c>
      <c r="B9584" s="8" t="s">
        <v>63186</v>
      </c>
      <c r="C9584" s="8" t="s">
        <v>19126</v>
      </c>
      <c r="D9584" s="8"/>
      <c r="E9584" s="6"/>
      <c r="F9584" s="6"/>
    </row>
    <row r="9585" spans="1:6" x14ac:dyDescent="0.3">
      <c r="A9585" s="8" t="s">
        <v>19127</v>
      </c>
      <c r="B9585" s="8" t="s">
        <v>63187</v>
      </c>
      <c r="C9585" s="8" t="s">
        <v>19128</v>
      </c>
      <c r="D9585" s="8"/>
      <c r="E9585" s="6"/>
      <c r="F9585" s="6"/>
    </row>
    <row r="9586" spans="1:6" x14ac:dyDescent="0.3">
      <c r="A9586" s="8" t="s">
        <v>19129</v>
      </c>
      <c r="B9586" s="8" t="s">
        <v>63188</v>
      </c>
      <c r="C9586" s="8" t="s">
        <v>19130</v>
      </c>
      <c r="D9586" s="8"/>
      <c r="E9586" s="6"/>
      <c r="F9586" s="6"/>
    </row>
    <row r="9587" spans="1:6" x14ac:dyDescent="0.3">
      <c r="A9587" s="8" t="s">
        <v>19131</v>
      </c>
      <c r="B9587" s="8" t="s">
        <v>63189</v>
      </c>
      <c r="C9587" s="8" t="s">
        <v>19132</v>
      </c>
      <c r="D9587" s="8"/>
      <c r="E9587" s="6"/>
      <c r="F9587" s="6"/>
    </row>
    <row r="9588" spans="1:6" x14ac:dyDescent="0.3">
      <c r="A9588" s="8" t="s">
        <v>19133</v>
      </c>
      <c r="B9588" s="8" t="s">
        <v>63190</v>
      </c>
      <c r="C9588" s="8" t="s">
        <v>19134</v>
      </c>
      <c r="D9588" s="8"/>
      <c r="E9588" s="6"/>
      <c r="F9588" s="6"/>
    </row>
    <row r="9589" spans="1:6" x14ac:dyDescent="0.3">
      <c r="A9589" s="8" t="s">
        <v>19135</v>
      </c>
      <c r="B9589" s="8" t="s">
        <v>63191</v>
      </c>
      <c r="C9589" s="8" t="s">
        <v>19136</v>
      </c>
      <c r="D9589" s="8"/>
      <c r="E9589" s="6"/>
      <c r="F9589" s="6"/>
    </row>
    <row r="9590" spans="1:6" x14ac:dyDescent="0.3">
      <c r="A9590" s="8" t="s">
        <v>19137</v>
      </c>
      <c r="B9590" s="8" t="s">
        <v>63192</v>
      </c>
      <c r="C9590" s="8" t="s">
        <v>19138</v>
      </c>
      <c r="D9590" s="8"/>
      <c r="E9590" s="6"/>
      <c r="F9590" s="6"/>
    </row>
    <row r="9591" spans="1:6" x14ac:dyDescent="0.3">
      <c r="A9591" s="8" t="s">
        <v>19139</v>
      </c>
      <c r="B9591" s="8" t="s">
        <v>63193</v>
      </c>
      <c r="C9591" s="8" t="s">
        <v>19140</v>
      </c>
      <c r="D9591" s="8"/>
      <c r="E9591" s="6"/>
      <c r="F9591" s="6"/>
    </row>
    <row r="9592" spans="1:6" x14ac:dyDescent="0.3">
      <c r="A9592" s="8" t="s">
        <v>19141</v>
      </c>
      <c r="B9592" s="8" t="s">
        <v>63194</v>
      </c>
      <c r="C9592" s="8" t="s">
        <v>19142</v>
      </c>
      <c r="D9592" s="8"/>
      <c r="E9592" s="6"/>
      <c r="F9592" s="6"/>
    </row>
    <row r="9593" spans="1:6" x14ac:dyDescent="0.3">
      <c r="A9593" s="8" t="s">
        <v>19143</v>
      </c>
      <c r="B9593" s="8" t="s">
        <v>63195</v>
      </c>
      <c r="C9593" s="8" t="s">
        <v>19144</v>
      </c>
      <c r="D9593" s="8"/>
      <c r="E9593" s="6"/>
      <c r="F9593" s="6"/>
    </row>
    <row r="9594" spans="1:6" x14ac:dyDescent="0.3">
      <c r="A9594" s="8" t="s">
        <v>19145</v>
      </c>
      <c r="B9594" s="8" t="s">
        <v>63196</v>
      </c>
      <c r="C9594" s="8" t="s">
        <v>19146</v>
      </c>
      <c r="D9594" s="8"/>
      <c r="E9594" s="6"/>
      <c r="F9594" s="6"/>
    </row>
    <row r="9595" spans="1:6" x14ac:dyDescent="0.3">
      <c r="A9595" s="8" t="s">
        <v>19147</v>
      </c>
      <c r="B9595" s="8" t="s">
        <v>63197</v>
      </c>
      <c r="C9595" s="8" t="s">
        <v>19148</v>
      </c>
      <c r="D9595" s="8"/>
      <c r="E9595" s="6"/>
      <c r="F9595" s="6"/>
    </row>
    <row r="9596" spans="1:6" x14ac:dyDescent="0.3">
      <c r="A9596" s="8" t="s">
        <v>19149</v>
      </c>
      <c r="B9596" s="8" t="s">
        <v>63198</v>
      </c>
      <c r="C9596" s="8" t="s">
        <v>19150</v>
      </c>
      <c r="D9596" s="8"/>
      <c r="E9596" s="6"/>
      <c r="F9596" s="6"/>
    </row>
    <row r="9597" spans="1:6" x14ac:dyDescent="0.3">
      <c r="A9597" s="8" t="s">
        <v>19151</v>
      </c>
      <c r="B9597" s="8" t="s">
        <v>63199</v>
      </c>
      <c r="C9597" s="8" t="s">
        <v>19152</v>
      </c>
      <c r="D9597" s="8"/>
      <c r="E9597" s="6"/>
      <c r="F9597" s="6"/>
    </row>
    <row r="9598" spans="1:6" x14ac:dyDescent="0.3">
      <c r="A9598" s="8" t="s">
        <v>19153</v>
      </c>
      <c r="B9598" s="8" t="s">
        <v>63200</v>
      </c>
      <c r="C9598" s="8" t="s">
        <v>19154</v>
      </c>
      <c r="D9598" s="8"/>
      <c r="E9598" s="6"/>
      <c r="F9598" s="6"/>
    </row>
    <row r="9599" spans="1:6" x14ac:dyDescent="0.3">
      <c r="A9599" s="8" t="s">
        <v>19155</v>
      </c>
      <c r="B9599" s="8" t="s">
        <v>63201</v>
      </c>
      <c r="C9599" s="8" t="s">
        <v>19156</v>
      </c>
      <c r="D9599" s="8"/>
      <c r="E9599" s="6"/>
      <c r="F9599" s="6"/>
    </row>
    <row r="9600" spans="1:6" x14ac:dyDescent="0.3">
      <c r="A9600" s="8" t="s">
        <v>19157</v>
      </c>
      <c r="B9600" s="8" t="s">
        <v>63202</v>
      </c>
      <c r="C9600" s="8" t="s">
        <v>19158</v>
      </c>
      <c r="D9600" s="8"/>
      <c r="E9600" s="6"/>
      <c r="F9600" s="6"/>
    </row>
    <row r="9601" spans="1:6" x14ac:dyDescent="0.3">
      <c r="A9601" s="8" t="s">
        <v>19159</v>
      </c>
      <c r="B9601" s="8" t="s">
        <v>63203</v>
      </c>
      <c r="C9601" s="8" t="s">
        <v>19160</v>
      </c>
      <c r="D9601" s="8"/>
      <c r="E9601" s="6"/>
      <c r="F9601" s="6"/>
    </row>
    <row r="9602" spans="1:6" x14ac:dyDescent="0.3">
      <c r="A9602" s="8" t="s">
        <v>19161</v>
      </c>
      <c r="B9602" s="8" t="s">
        <v>63204</v>
      </c>
      <c r="C9602" s="8" t="s">
        <v>19162</v>
      </c>
      <c r="D9602" s="8"/>
      <c r="E9602" s="6"/>
      <c r="F9602" s="6"/>
    </row>
    <row r="9603" spans="1:6" x14ac:dyDescent="0.3">
      <c r="A9603" s="8" t="s">
        <v>19163</v>
      </c>
      <c r="B9603" s="8" t="s">
        <v>63205</v>
      </c>
      <c r="C9603" s="8" t="s">
        <v>19164</v>
      </c>
      <c r="D9603" s="8"/>
      <c r="E9603" s="6"/>
      <c r="F9603" s="6"/>
    </row>
    <row r="9604" spans="1:6" x14ac:dyDescent="0.3">
      <c r="A9604" s="8" t="s">
        <v>19165</v>
      </c>
      <c r="B9604" s="8" t="s">
        <v>63206</v>
      </c>
      <c r="C9604" s="8" t="s">
        <v>19166</v>
      </c>
      <c r="D9604" s="8"/>
      <c r="E9604" s="6"/>
      <c r="F9604" s="6"/>
    </row>
    <row r="9605" spans="1:6" x14ac:dyDescent="0.3">
      <c r="A9605" s="8" t="s">
        <v>19167</v>
      </c>
      <c r="B9605" s="8" t="s">
        <v>63207</v>
      </c>
      <c r="C9605" s="8" t="s">
        <v>19168</v>
      </c>
      <c r="D9605" s="8"/>
      <c r="E9605" s="6"/>
      <c r="F9605" s="6"/>
    </row>
    <row r="9606" spans="1:6" x14ac:dyDescent="0.3">
      <c r="A9606" s="8" t="s">
        <v>19169</v>
      </c>
      <c r="B9606" s="8" t="s">
        <v>63208</v>
      </c>
      <c r="C9606" s="8" t="s">
        <v>19170</v>
      </c>
      <c r="D9606" s="8"/>
      <c r="E9606" s="6"/>
      <c r="F9606" s="6"/>
    </row>
    <row r="9607" spans="1:6" x14ac:dyDescent="0.3">
      <c r="A9607" s="8" t="s">
        <v>19171</v>
      </c>
      <c r="B9607" s="8" t="s">
        <v>63209</v>
      </c>
      <c r="C9607" s="8" t="s">
        <v>19172</v>
      </c>
      <c r="D9607" s="8"/>
      <c r="E9607" s="6"/>
      <c r="F9607" s="6"/>
    </row>
    <row r="9608" spans="1:6" x14ac:dyDescent="0.3">
      <c r="A9608" s="8" t="s">
        <v>19173</v>
      </c>
      <c r="B9608" s="8" t="s">
        <v>63210</v>
      </c>
      <c r="C9608" s="8" t="s">
        <v>19174</v>
      </c>
      <c r="D9608" s="8"/>
      <c r="E9608" s="6"/>
      <c r="F9608" s="6"/>
    </row>
    <row r="9609" spans="1:6" x14ac:dyDescent="0.3">
      <c r="A9609" s="8" t="s">
        <v>19175</v>
      </c>
      <c r="B9609" s="8" t="s">
        <v>63211</v>
      </c>
      <c r="C9609" s="8" t="s">
        <v>19176</v>
      </c>
      <c r="D9609" s="8"/>
      <c r="E9609" s="6"/>
      <c r="F9609" s="6"/>
    </row>
    <row r="9610" spans="1:6" x14ac:dyDescent="0.3">
      <c r="A9610" s="8" t="s">
        <v>19177</v>
      </c>
      <c r="B9610" s="8" t="s">
        <v>63212</v>
      </c>
      <c r="C9610" s="8" t="s">
        <v>19178</v>
      </c>
      <c r="D9610" s="8"/>
      <c r="E9610" s="6"/>
      <c r="F9610" s="6"/>
    </row>
    <row r="9611" spans="1:6" x14ac:dyDescent="0.3">
      <c r="A9611" s="8" t="s">
        <v>19179</v>
      </c>
      <c r="B9611" s="8" t="s">
        <v>63213</v>
      </c>
      <c r="C9611" s="8" t="s">
        <v>19180</v>
      </c>
      <c r="D9611" s="8"/>
      <c r="E9611" s="6"/>
      <c r="F9611" s="6"/>
    </row>
    <row r="9612" spans="1:6" x14ac:dyDescent="0.3">
      <c r="A9612" s="8" t="s">
        <v>19181</v>
      </c>
      <c r="B9612" s="8" t="s">
        <v>63214</v>
      </c>
      <c r="C9612" s="8" t="s">
        <v>19182</v>
      </c>
      <c r="D9612" s="8"/>
      <c r="E9612" s="6"/>
      <c r="F9612" s="6"/>
    </row>
    <row r="9613" spans="1:6" x14ac:dyDescent="0.3">
      <c r="A9613" s="8" t="s">
        <v>19183</v>
      </c>
      <c r="B9613" s="8" t="s">
        <v>63215</v>
      </c>
      <c r="C9613" s="8" t="s">
        <v>19184</v>
      </c>
      <c r="D9613" s="8"/>
      <c r="E9613" s="6"/>
      <c r="F9613" s="6"/>
    </row>
    <row r="9614" spans="1:6" x14ac:dyDescent="0.3">
      <c r="A9614" s="8" t="s">
        <v>19185</v>
      </c>
      <c r="B9614" s="8" t="s">
        <v>63216</v>
      </c>
      <c r="C9614" s="8" t="s">
        <v>19186</v>
      </c>
      <c r="D9614" s="8"/>
      <c r="E9614" s="6"/>
      <c r="F9614" s="6"/>
    </row>
    <row r="9615" spans="1:6" x14ac:dyDescent="0.3">
      <c r="A9615" s="8" t="s">
        <v>19187</v>
      </c>
      <c r="B9615" s="8" t="s">
        <v>63217</v>
      </c>
      <c r="C9615" s="8" t="s">
        <v>19188</v>
      </c>
      <c r="D9615" s="8"/>
      <c r="E9615" s="6"/>
      <c r="F9615" s="6"/>
    </row>
    <row r="9616" spans="1:6" x14ac:dyDescent="0.3">
      <c r="A9616" s="8" t="s">
        <v>19189</v>
      </c>
      <c r="B9616" s="8" t="s">
        <v>63218</v>
      </c>
      <c r="C9616" s="8" t="s">
        <v>19190</v>
      </c>
      <c r="D9616" s="8"/>
      <c r="E9616" s="6"/>
      <c r="F9616" s="6"/>
    </row>
    <row r="9617" spans="1:6" x14ac:dyDescent="0.3">
      <c r="A9617" s="8" t="s">
        <v>19191</v>
      </c>
      <c r="B9617" s="8" t="s">
        <v>63219</v>
      </c>
      <c r="C9617" s="8" t="s">
        <v>19192</v>
      </c>
      <c r="D9617" s="8"/>
      <c r="E9617" s="6"/>
      <c r="F9617" s="6"/>
    </row>
    <row r="9618" spans="1:6" x14ac:dyDescent="0.3">
      <c r="A9618" s="8" t="s">
        <v>19193</v>
      </c>
      <c r="B9618" s="8" t="s">
        <v>63220</v>
      </c>
      <c r="C9618" s="8" t="s">
        <v>19194</v>
      </c>
      <c r="D9618" s="8"/>
      <c r="E9618" s="6"/>
      <c r="F9618" s="6"/>
    </row>
    <row r="9619" spans="1:6" x14ac:dyDescent="0.3">
      <c r="A9619" s="8" t="s">
        <v>19195</v>
      </c>
      <c r="B9619" s="8" t="s">
        <v>63221</v>
      </c>
      <c r="C9619" s="8" t="s">
        <v>19196</v>
      </c>
      <c r="D9619" s="8"/>
      <c r="E9619" s="6"/>
      <c r="F9619" s="6"/>
    </row>
    <row r="9620" spans="1:6" x14ac:dyDescent="0.3">
      <c r="A9620" s="8" t="s">
        <v>19197</v>
      </c>
      <c r="B9620" s="8" t="s">
        <v>63222</v>
      </c>
      <c r="C9620" s="8" t="s">
        <v>19198</v>
      </c>
      <c r="D9620" s="8"/>
      <c r="E9620" s="6"/>
      <c r="F9620" s="6"/>
    </row>
    <row r="9621" spans="1:6" x14ac:dyDescent="0.3">
      <c r="A9621" s="8" t="s">
        <v>19199</v>
      </c>
      <c r="B9621" s="8" t="s">
        <v>63223</v>
      </c>
      <c r="C9621" s="8" t="s">
        <v>19200</v>
      </c>
      <c r="D9621" s="8"/>
      <c r="E9621" s="6"/>
      <c r="F9621" s="6"/>
    </row>
    <row r="9622" spans="1:6" x14ac:dyDescent="0.3">
      <c r="A9622" s="8" t="s">
        <v>19201</v>
      </c>
      <c r="B9622" s="8" t="s">
        <v>63224</v>
      </c>
      <c r="C9622" s="8" t="s">
        <v>19202</v>
      </c>
      <c r="D9622" s="8"/>
      <c r="E9622" s="6"/>
      <c r="F9622" s="6"/>
    </row>
    <row r="9623" spans="1:6" x14ac:dyDescent="0.3">
      <c r="A9623" s="8" t="s">
        <v>19203</v>
      </c>
      <c r="B9623" s="8" t="s">
        <v>63225</v>
      </c>
      <c r="C9623" s="8" t="s">
        <v>19204</v>
      </c>
      <c r="D9623" s="8"/>
      <c r="E9623" s="6"/>
      <c r="F9623" s="6"/>
    </row>
    <row r="9624" spans="1:6" x14ac:dyDescent="0.3">
      <c r="A9624" s="8" t="s">
        <v>19205</v>
      </c>
      <c r="B9624" s="8" t="s">
        <v>63226</v>
      </c>
      <c r="C9624" s="8" t="s">
        <v>19206</v>
      </c>
      <c r="D9624" s="8"/>
      <c r="E9624" s="6"/>
      <c r="F9624" s="6"/>
    </row>
    <row r="9625" spans="1:6" x14ac:dyDescent="0.3">
      <c r="A9625" s="8" t="s">
        <v>19207</v>
      </c>
      <c r="B9625" s="8" t="s">
        <v>63227</v>
      </c>
      <c r="C9625" s="8" t="s">
        <v>19208</v>
      </c>
      <c r="D9625" s="8"/>
      <c r="E9625" s="6"/>
      <c r="F9625" s="6"/>
    </row>
    <row r="9626" spans="1:6" x14ac:dyDescent="0.3">
      <c r="A9626" s="8" t="s">
        <v>19209</v>
      </c>
      <c r="B9626" s="8" t="s">
        <v>63228</v>
      </c>
      <c r="C9626" s="8" t="s">
        <v>19210</v>
      </c>
      <c r="D9626" s="8"/>
      <c r="E9626" s="6"/>
      <c r="F9626" s="6"/>
    </row>
    <row r="9627" spans="1:6" x14ac:dyDescent="0.3">
      <c r="A9627" s="8" t="s">
        <v>19211</v>
      </c>
      <c r="B9627" s="8" t="s">
        <v>63229</v>
      </c>
      <c r="C9627" s="8" t="s">
        <v>19212</v>
      </c>
      <c r="D9627" s="8"/>
      <c r="E9627" s="6"/>
      <c r="F9627" s="6"/>
    </row>
    <row r="9628" spans="1:6" x14ac:dyDescent="0.3">
      <c r="A9628" s="8" t="s">
        <v>19213</v>
      </c>
      <c r="B9628" s="8" t="s">
        <v>63230</v>
      </c>
      <c r="C9628" s="8" t="s">
        <v>19214</v>
      </c>
      <c r="D9628" s="8"/>
      <c r="E9628" s="6"/>
      <c r="F9628" s="6"/>
    </row>
    <row r="9629" spans="1:6" x14ac:dyDescent="0.3">
      <c r="A9629" s="8" t="s">
        <v>19215</v>
      </c>
      <c r="B9629" s="8" t="s">
        <v>63231</v>
      </c>
      <c r="C9629" s="8" t="s">
        <v>19216</v>
      </c>
      <c r="D9629" s="8"/>
      <c r="E9629" s="6"/>
      <c r="F9629" s="6"/>
    </row>
    <row r="9630" spans="1:6" x14ac:dyDescent="0.3">
      <c r="A9630" s="8" t="s">
        <v>19217</v>
      </c>
      <c r="B9630" s="8" t="s">
        <v>63232</v>
      </c>
      <c r="C9630" s="8" t="s">
        <v>19218</v>
      </c>
      <c r="D9630" s="8"/>
      <c r="E9630" s="6"/>
      <c r="F9630" s="6"/>
    </row>
    <row r="9631" spans="1:6" x14ac:dyDescent="0.3">
      <c r="A9631" s="8" t="s">
        <v>19219</v>
      </c>
      <c r="B9631" s="8" t="s">
        <v>63233</v>
      </c>
      <c r="C9631" s="8" t="s">
        <v>19220</v>
      </c>
      <c r="D9631" s="8"/>
      <c r="E9631" s="6"/>
      <c r="F9631" s="6"/>
    </row>
    <row r="9632" spans="1:6" x14ac:dyDescent="0.3">
      <c r="A9632" s="8" t="s">
        <v>19221</v>
      </c>
      <c r="B9632" s="8" t="s">
        <v>63234</v>
      </c>
      <c r="C9632" s="8" t="s">
        <v>19222</v>
      </c>
      <c r="D9632" s="8"/>
      <c r="E9632" s="6"/>
      <c r="F9632" s="6"/>
    </row>
    <row r="9633" spans="1:6" x14ac:dyDescent="0.3">
      <c r="A9633" s="8" t="s">
        <v>19223</v>
      </c>
      <c r="B9633" s="8" t="s">
        <v>63235</v>
      </c>
      <c r="C9633" s="8" t="s">
        <v>19224</v>
      </c>
      <c r="D9633" s="8"/>
      <c r="E9633" s="6"/>
      <c r="F9633" s="6"/>
    </row>
    <row r="9634" spans="1:6" x14ac:dyDescent="0.3">
      <c r="A9634" s="8" t="s">
        <v>19225</v>
      </c>
      <c r="B9634" s="8" t="s">
        <v>63236</v>
      </c>
      <c r="C9634" s="8" t="s">
        <v>19226</v>
      </c>
      <c r="D9634" s="8"/>
      <c r="E9634" s="6"/>
      <c r="F9634" s="6"/>
    </row>
    <row r="9635" spans="1:6" x14ac:dyDescent="0.3">
      <c r="A9635" s="8" t="s">
        <v>19227</v>
      </c>
      <c r="B9635" s="8" t="s">
        <v>63237</v>
      </c>
      <c r="C9635" s="8" t="s">
        <v>19228</v>
      </c>
      <c r="D9635" s="8"/>
      <c r="E9635" s="6"/>
      <c r="F9635" s="6"/>
    </row>
    <row r="9636" spans="1:6" x14ac:dyDescent="0.3">
      <c r="A9636" s="8" t="s">
        <v>19229</v>
      </c>
      <c r="B9636" s="8" t="s">
        <v>63238</v>
      </c>
      <c r="C9636" s="8" t="s">
        <v>19230</v>
      </c>
      <c r="D9636" s="8"/>
      <c r="E9636" s="6"/>
      <c r="F9636" s="6"/>
    </row>
    <row r="9637" spans="1:6" x14ac:dyDescent="0.3">
      <c r="A9637" s="8" t="s">
        <v>19231</v>
      </c>
      <c r="B9637" s="8" t="s">
        <v>63239</v>
      </c>
      <c r="C9637" s="8" t="s">
        <v>19232</v>
      </c>
      <c r="D9637" s="8"/>
      <c r="E9637" s="6"/>
      <c r="F9637" s="6"/>
    </row>
    <row r="9638" spans="1:6" x14ac:dyDescent="0.3">
      <c r="A9638" s="8" t="s">
        <v>19233</v>
      </c>
      <c r="B9638" s="8" t="s">
        <v>63240</v>
      </c>
      <c r="C9638" s="8" t="s">
        <v>19234</v>
      </c>
      <c r="D9638" s="8"/>
      <c r="E9638" s="6"/>
      <c r="F9638" s="6"/>
    </row>
    <row r="9639" spans="1:6" x14ac:dyDescent="0.3">
      <c r="A9639" s="8" t="s">
        <v>19235</v>
      </c>
      <c r="B9639" s="8" t="s">
        <v>63241</v>
      </c>
      <c r="C9639" s="8" t="s">
        <v>19236</v>
      </c>
      <c r="D9639" s="8"/>
      <c r="E9639" s="6"/>
      <c r="F9639" s="6"/>
    </row>
    <row r="9640" spans="1:6" x14ac:dyDescent="0.3">
      <c r="A9640" s="8" t="s">
        <v>19237</v>
      </c>
      <c r="B9640" s="8" t="s">
        <v>63242</v>
      </c>
      <c r="C9640" s="8" t="s">
        <v>19238</v>
      </c>
      <c r="D9640" s="8"/>
      <c r="E9640" s="6"/>
      <c r="F9640" s="6"/>
    </row>
    <row r="9641" spans="1:6" x14ac:dyDescent="0.3">
      <c r="A9641" s="8" t="s">
        <v>19239</v>
      </c>
      <c r="B9641" s="8" t="s">
        <v>63243</v>
      </c>
      <c r="C9641" s="8" t="s">
        <v>19240</v>
      </c>
      <c r="D9641" s="8"/>
      <c r="E9641" s="6"/>
      <c r="F9641" s="6"/>
    </row>
    <row r="9642" spans="1:6" x14ac:dyDescent="0.3">
      <c r="A9642" s="8" t="s">
        <v>19241</v>
      </c>
      <c r="B9642" s="8" t="s">
        <v>63244</v>
      </c>
      <c r="C9642" s="8" t="s">
        <v>19242</v>
      </c>
      <c r="D9642" s="8"/>
      <c r="E9642" s="6"/>
      <c r="F9642" s="6"/>
    </row>
    <row r="9643" spans="1:6" x14ac:dyDescent="0.3">
      <c r="A9643" s="8" t="s">
        <v>19243</v>
      </c>
      <c r="B9643" s="8" t="s">
        <v>63245</v>
      </c>
      <c r="C9643" s="8" t="s">
        <v>19244</v>
      </c>
      <c r="D9643" s="8"/>
      <c r="E9643" s="6"/>
      <c r="F9643" s="6"/>
    </row>
    <row r="9644" spans="1:6" x14ac:dyDescent="0.3">
      <c r="A9644" s="8" t="s">
        <v>19245</v>
      </c>
      <c r="B9644" s="8" t="s">
        <v>63246</v>
      </c>
      <c r="C9644" s="8" t="s">
        <v>19246</v>
      </c>
      <c r="D9644" s="8"/>
      <c r="E9644" s="6"/>
      <c r="F9644" s="6"/>
    </row>
    <row r="9645" spans="1:6" x14ac:dyDescent="0.3">
      <c r="A9645" s="8" t="s">
        <v>19247</v>
      </c>
      <c r="B9645" s="8" t="s">
        <v>63247</v>
      </c>
      <c r="C9645" s="8" t="s">
        <v>19248</v>
      </c>
      <c r="D9645" s="8"/>
      <c r="E9645" s="6"/>
      <c r="F9645" s="6"/>
    </row>
    <row r="9646" spans="1:6" x14ac:dyDescent="0.3">
      <c r="A9646" s="8" t="s">
        <v>19249</v>
      </c>
      <c r="B9646" s="8" t="s">
        <v>63248</v>
      </c>
      <c r="C9646" s="8" t="s">
        <v>19250</v>
      </c>
      <c r="D9646" s="8"/>
      <c r="E9646" s="6"/>
      <c r="F9646" s="6"/>
    </row>
    <row r="9647" spans="1:6" x14ac:dyDescent="0.3">
      <c r="A9647" s="8" t="s">
        <v>19251</v>
      </c>
      <c r="B9647" s="8" t="s">
        <v>63249</v>
      </c>
      <c r="C9647" s="8" t="s">
        <v>19252</v>
      </c>
      <c r="D9647" s="8"/>
      <c r="E9647" s="6"/>
      <c r="F9647" s="6"/>
    </row>
    <row r="9648" spans="1:6" x14ac:dyDescent="0.3">
      <c r="A9648" s="8" t="s">
        <v>19253</v>
      </c>
      <c r="B9648" s="8" t="s">
        <v>63250</v>
      </c>
      <c r="C9648" s="8" t="s">
        <v>19254</v>
      </c>
      <c r="D9648" s="8"/>
      <c r="E9648" s="6"/>
      <c r="F9648" s="6"/>
    </row>
    <row r="9649" spans="1:6" x14ac:dyDescent="0.3">
      <c r="A9649" s="8" t="s">
        <v>19255</v>
      </c>
      <c r="B9649" s="8" t="s">
        <v>63251</v>
      </c>
      <c r="C9649" s="8" t="s">
        <v>19256</v>
      </c>
      <c r="D9649" s="8"/>
      <c r="E9649" s="6"/>
      <c r="F9649" s="6"/>
    </row>
    <row r="9650" spans="1:6" x14ac:dyDescent="0.3">
      <c r="A9650" s="8" t="s">
        <v>19257</v>
      </c>
      <c r="B9650" s="8" t="s">
        <v>63252</v>
      </c>
      <c r="C9650" s="8" t="s">
        <v>19258</v>
      </c>
      <c r="D9650" s="8"/>
      <c r="E9650" s="6"/>
      <c r="F9650" s="6"/>
    </row>
    <row r="9651" spans="1:6" x14ac:dyDescent="0.3">
      <c r="A9651" s="8" t="s">
        <v>19259</v>
      </c>
      <c r="B9651" s="8" t="s">
        <v>63253</v>
      </c>
      <c r="C9651" s="8" t="s">
        <v>19260</v>
      </c>
      <c r="D9651" s="8"/>
      <c r="E9651" s="6"/>
      <c r="F9651" s="6"/>
    </row>
    <row r="9652" spans="1:6" x14ac:dyDescent="0.3">
      <c r="A9652" s="8" t="s">
        <v>19261</v>
      </c>
      <c r="B9652" s="8" t="s">
        <v>63254</v>
      </c>
      <c r="C9652" s="8" t="s">
        <v>19262</v>
      </c>
      <c r="D9652" s="8"/>
      <c r="E9652" s="6"/>
      <c r="F9652" s="6"/>
    </row>
    <row r="9653" spans="1:6" x14ac:dyDescent="0.3">
      <c r="A9653" s="8" t="s">
        <v>19263</v>
      </c>
      <c r="B9653" s="8" t="s">
        <v>63255</v>
      </c>
      <c r="C9653" s="8" t="s">
        <v>19264</v>
      </c>
      <c r="D9653" s="8"/>
      <c r="E9653" s="6"/>
      <c r="F9653" s="6"/>
    </row>
    <row r="9654" spans="1:6" x14ac:dyDescent="0.3">
      <c r="A9654" s="8" t="s">
        <v>19265</v>
      </c>
      <c r="B9654" s="8" t="s">
        <v>63256</v>
      </c>
      <c r="C9654" s="8" t="s">
        <v>19266</v>
      </c>
      <c r="D9654" s="8"/>
      <c r="E9654" s="6"/>
      <c r="F9654" s="6"/>
    </row>
    <row r="9655" spans="1:6" x14ac:dyDescent="0.3">
      <c r="A9655" s="8" t="s">
        <v>19267</v>
      </c>
      <c r="B9655" s="8" t="s">
        <v>63257</v>
      </c>
      <c r="C9655" s="8" t="s">
        <v>19268</v>
      </c>
      <c r="D9655" s="8"/>
      <c r="E9655" s="6"/>
      <c r="F9655" s="6"/>
    </row>
    <row r="9656" spans="1:6" x14ac:dyDescent="0.3">
      <c r="A9656" s="8" t="s">
        <v>19269</v>
      </c>
      <c r="B9656" s="8" t="s">
        <v>63258</v>
      </c>
      <c r="C9656" s="8" t="s">
        <v>19270</v>
      </c>
      <c r="D9656" s="8"/>
      <c r="E9656" s="6"/>
      <c r="F9656" s="6"/>
    </row>
    <row r="9657" spans="1:6" x14ac:dyDescent="0.3">
      <c r="A9657" s="8" t="s">
        <v>19271</v>
      </c>
      <c r="B9657" s="8" t="s">
        <v>63259</v>
      </c>
      <c r="C9657" s="8" t="s">
        <v>19272</v>
      </c>
      <c r="D9657" s="8"/>
      <c r="E9657" s="6"/>
      <c r="F9657" s="6"/>
    </row>
    <row r="9658" spans="1:6" x14ac:dyDescent="0.3">
      <c r="A9658" s="8" t="s">
        <v>19273</v>
      </c>
      <c r="B9658" s="8" t="s">
        <v>63260</v>
      </c>
      <c r="C9658" s="8" t="s">
        <v>19274</v>
      </c>
      <c r="D9658" s="8"/>
      <c r="E9658" s="6"/>
      <c r="F9658" s="6"/>
    </row>
    <row r="9659" spans="1:6" x14ac:dyDescent="0.3">
      <c r="A9659" s="8" t="s">
        <v>19275</v>
      </c>
      <c r="B9659" s="8" t="s">
        <v>63261</v>
      </c>
      <c r="C9659" s="8" t="s">
        <v>19276</v>
      </c>
      <c r="D9659" s="8"/>
      <c r="E9659" s="6"/>
      <c r="F9659" s="6"/>
    </row>
    <row r="9660" spans="1:6" x14ac:dyDescent="0.3">
      <c r="A9660" s="8" t="s">
        <v>19277</v>
      </c>
      <c r="B9660" s="8" t="s">
        <v>63262</v>
      </c>
      <c r="C9660" s="8" t="s">
        <v>19278</v>
      </c>
      <c r="D9660" s="8"/>
      <c r="E9660" s="6"/>
      <c r="F9660" s="6"/>
    </row>
    <row r="9661" spans="1:6" x14ac:dyDescent="0.3">
      <c r="A9661" s="8" t="s">
        <v>19279</v>
      </c>
      <c r="B9661" s="8" t="s">
        <v>63263</v>
      </c>
      <c r="C9661" s="8" t="s">
        <v>19280</v>
      </c>
      <c r="D9661" s="8"/>
      <c r="E9661" s="6"/>
      <c r="F9661" s="6"/>
    </row>
    <row r="9662" spans="1:6" x14ac:dyDescent="0.3">
      <c r="A9662" s="8" t="s">
        <v>19281</v>
      </c>
      <c r="B9662" s="8" t="s">
        <v>63264</v>
      </c>
      <c r="C9662" s="8" t="s">
        <v>19282</v>
      </c>
      <c r="D9662" s="8"/>
      <c r="E9662" s="6"/>
      <c r="F9662" s="6"/>
    </row>
    <row r="9663" spans="1:6" x14ac:dyDescent="0.3">
      <c r="A9663" s="8" t="s">
        <v>19283</v>
      </c>
      <c r="B9663" s="8" t="s">
        <v>63265</v>
      </c>
      <c r="C9663" s="8" t="s">
        <v>19284</v>
      </c>
      <c r="D9663" s="8"/>
      <c r="E9663" s="6"/>
      <c r="F9663" s="6"/>
    </row>
    <row r="9664" spans="1:6" x14ac:dyDescent="0.3">
      <c r="A9664" s="8" t="s">
        <v>19285</v>
      </c>
      <c r="B9664" s="8" t="s">
        <v>63266</v>
      </c>
      <c r="C9664" s="8" t="s">
        <v>19286</v>
      </c>
      <c r="D9664" s="8"/>
      <c r="E9664" s="6"/>
      <c r="F9664" s="6"/>
    </row>
    <row r="9665" spans="1:6" x14ac:dyDescent="0.3">
      <c r="A9665" s="8" t="s">
        <v>19287</v>
      </c>
      <c r="B9665" s="8" t="s">
        <v>63267</v>
      </c>
      <c r="C9665" s="8" t="s">
        <v>19288</v>
      </c>
      <c r="D9665" s="8"/>
      <c r="E9665" s="6"/>
      <c r="F9665" s="6"/>
    </row>
    <row r="9666" spans="1:6" x14ac:dyDescent="0.3">
      <c r="A9666" s="8" t="s">
        <v>19289</v>
      </c>
      <c r="B9666" s="8" t="s">
        <v>63268</v>
      </c>
      <c r="C9666" s="8" t="s">
        <v>19290</v>
      </c>
      <c r="D9666" s="8"/>
      <c r="E9666" s="6"/>
      <c r="F9666" s="6"/>
    </row>
    <row r="9667" spans="1:6" x14ac:dyDescent="0.3">
      <c r="A9667" s="8" t="s">
        <v>19291</v>
      </c>
      <c r="B9667" s="8" t="s">
        <v>63269</v>
      </c>
      <c r="C9667" s="8" t="s">
        <v>19292</v>
      </c>
      <c r="D9667" s="8"/>
      <c r="E9667" s="6"/>
      <c r="F9667" s="6"/>
    </row>
    <row r="9668" spans="1:6" x14ac:dyDescent="0.3">
      <c r="A9668" s="8" t="s">
        <v>19293</v>
      </c>
      <c r="B9668" s="8" t="s">
        <v>63270</v>
      </c>
      <c r="C9668" s="8" t="s">
        <v>19294</v>
      </c>
      <c r="D9668" s="8"/>
      <c r="E9668" s="6"/>
      <c r="F9668" s="6"/>
    </row>
    <row r="9669" spans="1:6" x14ac:dyDescent="0.3">
      <c r="A9669" s="8" t="s">
        <v>19295</v>
      </c>
      <c r="B9669" s="8" t="s">
        <v>63271</v>
      </c>
      <c r="C9669" s="8" t="s">
        <v>19296</v>
      </c>
      <c r="D9669" s="8"/>
      <c r="E9669" s="6"/>
      <c r="F9669" s="6"/>
    </row>
    <row r="9670" spans="1:6" x14ac:dyDescent="0.3">
      <c r="A9670" s="8" t="s">
        <v>19297</v>
      </c>
      <c r="B9670" s="8" t="s">
        <v>63272</v>
      </c>
      <c r="C9670" s="8" t="s">
        <v>19298</v>
      </c>
      <c r="D9670" s="8"/>
      <c r="E9670" s="6"/>
      <c r="F9670" s="6"/>
    </row>
    <row r="9671" spans="1:6" x14ac:dyDescent="0.3">
      <c r="A9671" s="8" t="s">
        <v>19299</v>
      </c>
      <c r="B9671" s="8" t="s">
        <v>63273</v>
      </c>
      <c r="C9671" s="8" t="s">
        <v>19300</v>
      </c>
      <c r="D9671" s="8"/>
      <c r="E9671" s="6"/>
      <c r="F9671" s="6"/>
    </row>
    <row r="9672" spans="1:6" x14ac:dyDescent="0.3">
      <c r="A9672" s="8" t="s">
        <v>19301</v>
      </c>
      <c r="B9672" s="8" t="s">
        <v>63274</v>
      </c>
      <c r="C9672" s="8" t="s">
        <v>19302</v>
      </c>
      <c r="D9672" s="8"/>
      <c r="E9672" s="6"/>
      <c r="F9672" s="6"/>
    </row>
    <row r="9673" spans="1:6" x14ac:dyDescent="0.3">
      <c r="A9673" s="8" t="s">
        <v>19303</v>
      </c>
      <c r="B9673" s="8" t="s">
        <v>63275</v>
      </c>
      <c r="C9673" s="8" t="s">
        <v>19304</v>
      </c>
      <c r="D9673" s="8"/>
      <c r="E9673" s="6"/>
      <c r="F9673" s="6"/>
    </row>
    <row r="9674" spans="1:6" x14ac:dyDescent="0.3">
      <c r="A9674" s="8" t="s">
        <v>19305</v>
      </c>
      <c r="B9674" s="8" t="s">
        <v>63276</v>
      </c>
      <c r="C9674" s="8" t="s">
        <v>19306</v>
      </c>
      <c r="D9674" s="8"/>
      <c r="E9674" s="6"/>
      <c r="F9674" s="6"/>
    </row>
    <row r="9675" spans="1:6" x14ac:dyDescent="0.3">
      <c r="A9675" s="8" t="s">
        <v>19307</v>
      </c>
      <c r="B9675" s="8" t="s">
        <v>63277</v>
      </c>
      <c r="C9675" s="8" t="s">
        <v>19308</v>
      </c>
      <c r="D9675" s="8"/>
      <c r="E9675" s="6"/>
      <c r="F9675" s="6"/>
    </row>
    <row r="9676" spans="1:6" x14ac:dyDescent="0.3">
      <c r="A9676" s="8" t="s">
        <v>19309</v>
      </c>
      <c r="B9676" s="8" t="s">
        <v>63278</v>
      </c>
      <c r="C9676" s="8" t="s">
        <v>19310</v>
      </c>
      <c r="D9676" s="8"/>
      <c r="E9676" s="6"/>
      <c r="F9676" s="6"/>
    </row>
    <row r="9677" spans="1:6" x14ac:dyDescent="0.3">
      <c r="A9677" s="8" t="s">
        <v>19311</v>
      </c>
      <c r="B9677" s="8" t="s">
        <v>63279</v>
      </c>
      <c r="C9677" s="8" t="s">
        <v>19312</v>
      </c>
      <c r="D9677" s="8"/>
      <c r="E9677" s="6"/>
      <c r="F9677" s="6"/>
    </row>
    <row r="9678" spans="1:6" x14ac:dyDescent="0.3">
      <c r="A9678" s="8" t="s">
        <v>19313</v>
      </c>
      <c r="B9678" s="8" t="s">
        <v>63280</v>
      </c>
      <c r="C9678" s="8" t="s">
        <v>19314</v>
      </c>
      <c r="D9678" s="8"/>
      <c r="E9678" s="6"/>
      <c r="F9678" s="6"/>
    </row>
    <row r="9679" spans="1:6" x14ac:dyDescent="0.3">
      <c r="A9679" s="8" t="s">
        <v>19315</v>
      </c>
      <c r="B9679" s="8" t="s">
        <v>63281</v>
      </c>
      <c r="C9679" s="8" t="s">
        <v>19316</v>
      </c>
      <c r="D9679" s="8"/>
      <c r="E9679" s="6"/>
      <c r="F9679" s="6"/>
    </row>
    <row r="9680" spans="1:6" x14ac:dyDescent="0.3">
      <c r="A9680" s="8" t="s">
        <v>19317</v>
      </c>
      <c r="B9680" s="8" t="s">
        <v>63282</v>
      </c>
      <c r="C9680" s="8" t="s">
        <v>19318</v>
      </c>
      <c r="D9680" s="8"/>
      <c r="E9680" s="6"/>
      <c r="F9680" s="6"/>
    </row>
    <row r="9681" spans="1:6" x14ac:dyDescent="0.3">
      <c r="A9681" s="8" t="s">
        <v>19319</v>
      </c>
      <c r="B9681" s="8" t="s">
        <v>63283</v>
      </c>
      <c r="C9681" s="8" t="s">
        <v>19320</v>
      </c>
      <c r="D9681" s="8"/>
      <c r="E9681" s="6"/>
      <c r="F9681" s="6"/>
    </row>
    <row r="9682" spans="1:6" x14ac:dyDescent="0.3">
      <c r="A9682" s="8" t="s">
        <v>19321</v>
      </c>
      <c r="B9682" s="8" t="s">
        <v>63284</v>
      </c>
      <c r="C9682" s="8" t="s">
        <v>19322</v>
      </c>
      <c r="D9682" s="8"/>
      <c r="E9682" s="6"/>
      <c r="F9682" s="6"/>
    </row>
    <row r="9683" spans="1:6" x14ac:dyDescent="0.3">
      <c r="A9683" s="8" t="s">
        <v>19323</v>
      </c>
      <c r="B9683" s="8" t="s">
        <v>63285</v>
      </c>
      <c r="C9683" s="8" t="s">
        <v>19324</v>
      </c>
      <c r="D9683" s="8"/>
      <c r="E9683" s="6"/>
      <c r="F9683" s="6"/>
    </row>
    <row r="9684" spans="1:6" x14ac:dyDescent="0.3">
      <c r="A9684" s="8" t="s">
        <v>19325</v>
      </c>
      <c r="B9684" s="8" t="s">
        <v>63286</v>
      </c>
      <c r="C9684" s="8" t="s">
        <v>19326</v>
      </c>
      <c r="D9684" s="8"/>
      <c r="E9684" s="6"/>
      <c r="F9684" s="6"/>
    </row>
    <row r="9685" spans="1:6" x14ac:dyDescent="0.3">
      <c r="A9685" s="8" t="s">
        <v>19327</v>
      </c>
      <c r="B9685" s="8" t="s">
        <v>63287</v>
      </c>
      <c r="C9685" s="8" t="s">
        <v>19328</v>
      </c>
      <c r="D9685" s="8"/>
      <c r="E9685" s="6"/>
      <c r="F9685" s="6"/>
    </row>
    <row r="9686" spans="1:6" x14ac:dyDescent="0.3">
      <c r="A9686" s="8" t="s">
        <v>19329</v>
      </c>
      <c r="B9686" s="8" t="s">
        <v>63288</v>
      </c>
      <c r="C9686" s="8" t="s">
        <v>19330</v>
      </c>
      <c r="D9686" s="8"/>
      <c r="E9686" s="6"/>
      <c r="F9686" s="6"/>
    </row>
    <row r="9687" spans="1:6" x14ac:dyDescent="0.3">
      <c r="A9687" s="8" t="s">
        <v>19331</v>
      </c>
      <c r="B9687" s="8" t="s">
        <v>63289</v>
      </c>
      <c r="C9687" s="8" t="s">
        <v>19332</v>
      </c>
      <c r="D9687" s="8"/>
      <c r="E9687" s="6"/>
      <c r="F9687" s="6"/>
    </row>
    <row r="9688" spans="1:6" x14ac:dyDescent="0.3">
      <c r="A9688" s="8" t="s">
        <v>19333</v>
      </c>
      <c r="B9688" s="8" t="s">
        <v>63290</v>
      </c>
      <c r="C9688" s="8" t="s">
        <v>19334</v>
      </c>
      <c r="D9688" s="8"/>
      <c r="E9688" s="6"/>
      <c r="F9688" s="6"/>
    </row>
    <row r="9689" spans="1:6" x14ac:dyDescent="0.3">
      <c r="A9689" s="8" t="s">
        <v>19335</v>
      </c>
      <c r="B9689" s="8" t="s">
        <v>63291</v>
      </c>
      <c r="C9689" s="8" t="s">
        <v>19336</v>
      </c>
      <c r="D9689" s="8"/>
      <c r="E9689" s="6"/>
      <c r="F9689" s="6"/>
    </row>
    <row r="9690" spans="1:6" x14ac:dyDescent="0.3">
      <c r="A9690" s="8" t="s">
        <v>19337</v>
      </c>
      <c r="B9690" s="8" t="s">
        <v>63292</v>
      </c>
      <c r="C9690" s="8" t="s">
        <v>19338</v>
      </c>
      <c r="D9690" s="8"/>
      <c r="E9690" s="6"/>
      <c r="F9690" s="6"/>
    </row>
    <row r="9691" spans="1:6" x14ac:dyDescent="0.3">
      <c r="A9691" s="8" t="s">
        <v>19339</v>
      </c>
      <c r="B9691" s="8" t="s">
        <v>63293</v>
      </c>
      <c r="C9691" s="8" t="s">
        <v>19340</v>
      </c>
      <c r="D9691" s="8"/>
      <c r="E9691" s="6"/>
      <c r="F9691" s="6"/>
    </row>
    <row r="9692" spans="1:6" x14ac:dyDescent="0.3">
      <c r="A9692" s="8" t="s">
        <v>19341</v>
      </c>
      <c r="B9692" s="8" t="s">
        <v>63294</v>
      </c>
      <c r="C9692" s="8" t="s">
        <v>19342</v>
      </c>
      <c r="D9692" s="8"/>
      <c r="E9692" s="6"/>
      <c r="F9692" s="6"/>
    </row>
    <row r="9693" spans="1:6" x14ac:dyDescent="0.3">
      <c r="A9693" s="8" t="s">
        <v>19343</v>
      </c>
      <c r="B9693" s="8" t="s">
        <v>63295</v>
      </c>
      <c r="C9693" s="8" t="s">
        <v>19344</v>
      </c>
      <c r="D9693" s="8"/>
      <c r="E9693" s="6"/>
      <c r="F9693" s="6"/>
    </row>
    <row r="9694" spans="1:6" x14ac:dyDescent="0.3">
      <c r="A9694" s="8" t="s">
        <v>19345</v>
      </c>
      <c r="B9694" s="8" t="s">
        <v>63296</v>
      </c>
      <c r="C9694" s="8" t="s">
        <v>19346</v>
      </c>
      <c r="D9694" s="8"/>
      <c r="E9694" s="6"/>
      <c r="F9694" s="6"/>
    </row>
    <row r="9695" spans="1:6" x14ac:dyDescent="0.3">
      <c r="A9695" s="8" t="s">
        <v>19347</v>
      </c>
      <c r="B9695" s="8" t="s">
        <v>63297</v>
      </c>
      <c r="C9695" s="8" t="s">
        <v>19348</v>
      </c>
      <c r="D9695" s="8"/>
      <c r="E9695" s="6"/>
      <c r="F9695" s="6"/>
    </row>
    <row r="9696" spans="1:6" x14ac:dyDescent="0.3">
      <c r="A9696" s="8" t="s">
        <v>19349</v>
      </c>
      <c r="B9696" s="8" t="s">
        <v>63298</v>
      </c>
      <c r="C9696" s="8" t="s">
        <v>19350</v>
      </c>
      <c r="D9696" s="8"/>
      <c r="E9696" s="6"/>
      <c r="F9696" s="6"/>
    </row>
    <row r="9697" spans="1:6" x14ac:dyDescent="0.3">
      <c r="A9697" s="8" t="s">
        <v>19351</v>
      </c>
      <c r="B9697" s="8" t="s">
        <v>63299</v>
      </c>
      <c r="C9697" s="8" t="s">
        <v>19352</v>
      </c>
      <c r="D9697" s="8"/>
      <c r="E9697" s="6"/>
      <c r="F9697" s="6"/>
    </row>
    <row r="9698" spans="1:6" x14ac:dyDescent="0.3">
      <c r="A9698" s="8" t="s">
        <v>19353</v>
      </c>
      <c r="B9698" s="8" t="s">
        <v>63300</v>
      </c>
      <c r="C9698" s="8" t="s">
        <v>19354</v>
      </c>
      <c r="D9698" s="8"/>
      <c r="E9698" s="6"/>
      <c r="F9698" s="6"/>
    </row>
    <row r="9699" spans="1:6" x14ac:dyDescent="0.3">
      <c r="A9699" s="8" t="s">
        <v>19355</v>
      </c>
      <c r="B9699" s="8" t="s">
        <v>63301</v>
      </c>
      <c r="C9699" s="8" t="s">
        <v>19356</v>
      </c>
      <c r="D9699" s="8"/>
      <c r="E9699" s="6"/>
      <c r="F9699" s="6"/>
    </row>
    <row r="9700" spans="1:6" x14ac:dyDescent="0.3">
      <c r="A9700" s="8" t="s">
        <v>19357</v>
      </c>
      <c r="B9700" s="8" t="s">
        <v>63302</v>
      </c>
      <c r="C9700" s="8" t="s">
        <v>19358</v>
      </c>
      <c r="D9700" s="8"/>
      <c r="E9700" s="6"/>
      <c r="F9700" s="6"/>
    </row>
    <row r="9701" spans="1:6" x14ac:dyDescent="0.3">
      <c r="A9701" s="8" t="s">
        <v>19359</v>
      </c>
      <c r="B9701" s="8" t="s">
        <v>63303</v>
      </c>
      <c r="C9701" s="8" t="s">
        <v>19360</v>
      </c>
      <c r="D9701" s="8"/>
      <c r="E9701" s="6"/>
      <c r="F9701" s="6"/>
    </row>
    <row r="9702" spans="1:6" x14ac:dyDescent="0.3">
      <c r="A9702" s="8" t="s">
        <v>19361</v>
      </c>
      <c r="B9702" s="8" t="s">
        <v>63304</v>
      </c>
      <c r="C9702" s="8" t="s">
        <v>19362</v>
      </c>
      <c r="D9702" s="8"/>
      <c r="E9702" s="6"/>
      <c r="F9702" s="6"/>
    </row>
    <row r="9703" spans="1:6" x14ac:dyDescent="0.3">
      <c r="A9703" s="8" t="s">
        <v>19363</v>
      </c>
      <c r="B9703" s="8" t="s">
        <v>63305</v>
      </c>
      <c r="C9703" s="8" t="s">
        <v>19364</v>
      </c>
      <c r="D9703" s="8"/>
      <c r="E9703" s="6"/>
      <c r="F9703" s="6"/>
    </row>
    <row r="9704" spans="1:6" x14ac:dyDescent="0.3">
      <c r="A9704" s="8" t="s">
        <v>19365</v>
      </c>
      <c r="B9704" s="8" t="s">
        <v>63306</v>
      </c>
      <c r="C9704" s="8" t="s">
        <v>19366</v>
      </c>
      <c r="D9704" s="8"/>
      <c r="E9704" s="6"/>
      <c r="F9704" s="6"/>
    </row>
    <row r="9705" spans="1:6" x14ac:dyDescent="0.3">
      <c r="A9705" s="8" t="s">
        <v>19367</v>
      </c>
      <c r="B9705" s="8" t="s">
        <v>63307</v>
      </c>
      <c r="C9705" s="8" t="s">
        <v>19368</v>
      </c>
      <c r="D9705" s="8"/>
      <c r="E9705" s="6"/>
      <c r="F9705" s="6"/>
    </row>
    <row r="9706" spans="1:6" x14ac:dyDescent="0.3">
      <c r="A9706" s="8" t="s">
        <v>19369</v>
      </c>
      <c r="B9706" s="8" t="s">
        <v>63308</v>
      </c>
      <c r="C9706" s="8" t="s">
        <v>19370</v>
      </c>
      <c r="D9706" s="8"/>
      <c r="E9706" s="6"/>
      <c r="F9706" s="6"/>
    </row>
    <row r="9707" spans="1:6" x14ac:dyDescent="0.3">
      <c r="A9707" s="8" t="s">
        <v>19371</v>
      </c>
      <c r="B9707" s="8" t="s">
        <v>63309</v>
      </c>
      <c r="C9707" s="8" t="s">
        <v>19372</v>
      </c>
      <c r="D9707" s="8"/>
      <c r="E9707" s="6"/>
      <c r="F9707" s="6"/>
    </row>
    <row r="9708" spans="1:6" x14ac:dyDescent="0.3">
      <c r="A9708" s="8" t="s">
        <v>19373</v>
      </c>
      <c r="B9708" s="8" t="s">
        <v>63310</v>
      </c>
      <c r="C9708" s="8" t="s">
        <v>19374</v>
      </c>
      <c r="D9708" s="8"/>
      <c r="E9708" s="6"/>
      <c r="F9708" s="6"/>
    </row>
    <row r="9709" spans="1:6" x14ac:dyDescent="0.3">
      <c r="A9709" s="8" t="s">
        <v>19375</v>
      </c>
      <c r="B9709" s="8" t="s">
        <v>63311</v>
      </c>
      <c r="C9709" s="8" t="s">
        <v>19376</v>
      </c>
      <c r="D9709" s="8"/>
      <c r="E9709" s="6"/>
      <c r="F9709" s="6"/>
    </row>
    <row r="9710" spans="1:6" x14ac:dyDescent="0.3">
      <c r="A9710" s="8" t="s">
        <v>19377</v>
      </c>
      <c r="B9710" s="8" t="s">
        <v>63312</v>
      </c>
      <c r="C9710" s="8" t="s">
        <v>19378</v>
      </c>
      <c r="D9710" s="8"/>
      <c r="E9710" s="6"/>
      <c r="F9710" s="6"/>
    </row>
    <row r="9711" spans="1:6" x14ac:dyDescent="0.3">
      <c r="A9711" s="8" t="s">
        <v>19379</v>
      </c>
      <c r="B9711" s="8" t="s">
        <v>63313</v>
      </c>
      <c r="C9711" s="8" t="s">
        <v>19380</v>
      </c>
      <c r="D9711" s="8"/>
      <c r="E9711" s="6"/>
      <c r="F9711" s="6"/>
    </row>
    <row r="9712" spans="1:6" x14ac:dyDescent="0.3">
      <c r="A9712" s="8" t="s">
        <v>19381</v>
      </c>
      <c r="B9712" s="8" t="s">
        <v>63314</v>
      </c>
      <c r="C9712" s="8" t="s">
        <v>19382</v>
      </c>
      <c r="D9712" s="8"/>
      <c r="E9712" s="6"/>
      <c r="F9712" s="6"/>
    </row>
    <row r="9713" spans="1:6" x14ac:dyDescent="0.3">
      <c r="A9713" s="8" t="s">
        <v>19383</v>
      </c>
      <c r="B9713" s="8" t="s">
        <v>63315</v>
      </c>
      <c r="C9713" s="8" t="s">
        <v>19384</v>
      </c>
      <c r="D9713" s="8"/>
      <c r="E9713" s="6"/>
      <c r="F9713" s="6"/>
    </row>
    <row r="9714" spans="1:6" x14ac:dyDescent="0.3">
      <c r="A9714" s="8" t="s">
        <v>19385</v>
      </c>
      <c r="B9714" s="8" t="s">
        <v>63316</v>
      </c>
      <c r="C9714" s="8" t="s">
        <v>19386</v>
      </c>
      <c r="D9714" s="8"/>
      <c r="E9714" s="6"/>
      <c r="F9714" s="6"/>
    </row>
    <row r="9715" spans="1:6" x14ac:dyDescent="0.3">
      <c r="A9715" s="8" t="s">
        <v>19387</v>
      </c>
      <c r="B9715" s="8" t="s">
        <v>63317</v>
      </c>
      <c r="C9715" s="8" t="s">
        <v>19388</v>
      </c>
      <c r="D9715" s="8"/>
      <c r="E9715" s="6"/>
      <c r="F9715" s="6"/>
    </row>
    <row r="9716" spans="1:6" x14ac:dyDescent="0.3">
      <c r="A9716" s="8" t="s">
        <v>19389</v>
      </c>
      <c r="B9716" s="8" t="s">
        <v>63318</v>
      </c>
      <c r="C9716" s="8" t="s">
        <v>19390</v>
      </c>
      <c r="D9716" s="8"/>
      <c r="E9716" s="6"/>
      <c r="F9716" s="6"/>
    </row>
    <row r="9717" spans="1:6" x14ac:dyDescent="0.3">
      <c r="A9717" s="8" t="s">
        <v>19391</v>
      </c>
      <c r="B9717" s="8" t="s">
        <v>63319</v>
      </c>
      <c r="C9717" s="8" t="s">
        <v>19392</v>
      </c>
      <c r="D9717" s="8"/>
      <c r="E9717" s="6"/>
      <c r="F9717" s="6"/>
    </row>
    <row r="9718" spans="1:6" x14ac:dyDescent="0.3">
      <c r="A9718" s="8" t="s">
        <v>19393</v>
      </c>
      <c r="B9718" s="8" t="s">
        <v>63320</v>
      </c>
      <c r="C9718" s="8" t="s">
        <v>19394</v>
      </c>
      <c r="D9718" s="8"/>
      <c r="E9718" s="6"/>
      <c r="F9718" s="6"/>
    </row>
    <row r="9719" spans="1:6" x14ac:dyDescent="0.3">
      <c r="A9719" s="8" t="s">
        <v>19395</v>
      </c>
      <c r="B9719" s="8" t="s">
        <v>63321</v>
      </c>
      <c r="C9719" s="8" t="s">
        <v>19396</v>
      </c>
      <c r="D9719" s="8"/>
      <c r="E9719" s="6"/>
      <c r="F9719" s="6"/>
    </row>
    <row r="9720" spans="1:6" x14ac:dyDescent="0.3">
      <c r="A9720" s="8" t="s">
        <v>19397</v>
      </c>
      <c r="B9720" s="8" t="s">
        <v>63322</v>
      </c>
      <c r="C9720" s="8" t="s">
        <v>19398</v>
      </c>
      <c r="D9720" s="8"/>
      <c r="E9720" s="6"/>
      <c r="F9720" s="6"/>
    </row>
    <row r="9721" spans="1:6" x14ac:dyDescent="0.3">
      <c r="A9721" s="8" t="s">
        <v>19399</v>
      </c>
      <c r="B9721" s="8" t="s">
        <v>63323</v>
      </c>
      <c r="C9721" s="8" t="s">
        <v>19400</v>
      </c>
      <c r="D9721" s="8"/>
      <c r="E9721" s="6"/>
      <c r="F9721" s="6"/>
    </row>
    <row r="9722" spans="1:6" x14ac:dyDescent="0.3">
      <c r="A9722" s="8" t="s">
        <v>19401</v>
      </c>
      <c r="B9722" s="8" t="s">
        <v>63324</v>
      </c>
      <c r="C9722" s="8" t="s">
        <v>19402</v>
      </c>
      <c r="D9722" s="8"/>
      <c r="E9722" s="6"/>
      <c r="F9722" s="6"/>
    </row>
    <row r="9723" spans="1:6" x14ac:dyDescent="0.3">
      <c r="A9723" s="8" t="s">
        <v>19403</v>
      </c>
      <c r="B9723" s="8" t="s">
        <v>63325</v>
      </c>
      <c r="C9723" s="8" t="s">
        <v>19404</v>
      </c>
      <c r="D9723" s="8"/>
      <c r="E9723" s="6"/>
      <c r="F9723" s="6"/>
    </row>
    <row r="9724" spans="1:6" x14ac:dyDescent="0.3">
      <c r="A9724" s="8" t="s">
        <v>19405</v>
      </c>
      <c r="B9724" s="8" t="s">
        <v>63326</v>
      </c>
      <c r="C9724" s="8" t="s">
        <v>19406</v>
      </c>
      <c r="D9724" s="8"/>
      <c r="E9724" s="6"/>
      <c r="F9724" s="6"/>
    </row>
    <row r="9725" spans="1:6" x14ac:dyDescent="0.3">
      <c r="A9725" s="8" t="s">
        <v>19407</v>
      </c>
      <c r="B9725" s="8" t="s">
        <v>63327</v>
      </c>
      <c r="C9725" s="8" t="s">
        <v>19408</v>
      </c>
      <c r="D9725" s="8"/>
      <c r="E9725" s="6"/>
      <c r="F9725" s="6"/>
    </row>
    <row r="9726" spans="1:6" x14ac:dyDescent="0.3">
      <c r="A9726" s="8" t="s">
        <v>19409</v>
      </c>
      <c r="B9726" s="8" t="s">
        <v>63328</v>
      </c>
      <c r="C9726" s="8" t="s">
        <v>19410</v>
      </c>
      <c r="D9726" s="8"/>
      <c r="E9726" s="6"/>
      <c r="F9726" s="6"/>
    </row>
    <row r="9727" spans="1:6" x14ac:dyDescent="0.3">
      <c r="A9727" s="8" t="s">
        <v>19411</v>
      </c>
      <c r="B9727" s="8" t="s">
        <v>63329</v>
      </c>
      <c r="C9727" s="8" t="s">
        <v>19412</v>
      </c>
      <c r="D9727" s="8"/>
      <c r="E9727" s="6"/>
      <c r="F9727" s="6"/>
    </row>
    <row r="9728" spans="1:6" x14ac:dyDescent="0.3">
      <c r="A9728" s="8" t="s">
        <v>19413</v>
      </c>
      <c r="B9728" s="8" t="s">
        <v>63330</v>
      </c>
      <c r="C9728" s="8" t="s">
        <v>19414</v>
      </c>
      <c r="D9728" s="8"/>
      <c r="E9728" s="6"/>
      <c r="F9728" s="6"/>
    </row>
    <row r="9729" spans="1:6" x14ac:dyDescent="0.3">
      <c r="A9729" s="8" t="s">
        <v>19415</v>
      </c>
      <c r="B9729" s="8" t="s">
        <v>63331</v>
      </c>
      <c r="C9729" s="8" t="s">
        <v>19416</v>
      </c>
      <c r="D9729" s="8"/>
      <c r="E9729" s="6"/>
      <c r="F9729" s="6"/>
    </row>
    <row r="9730" spans="1:6" x14ac:dyDescent="0.3">
      <c r="A9730" s="8" t="s">
        <v>19417</v>
      </c>
      <c r="B9730" s="8" t="s">
        <v>63332</v>
      </c>
      <c r="C9730" s="8" t="s">
        <v>19418</v>
      </c>
      <c r="D9730" s="8"/>
      <c r="E9730" s="6"/>
      <c r="F9730" s="6"/>
    </row>
    <row r="9731" spans="1:6" x14ac:dyDescent="0.3">
      <c r="A9731" s="8" t="s">
        <v>19419</v>
      </c>
      <c r="B9731" s="8" t="s">
        <v>63333</v>
      </c>
      <c r="C9731" s="8" t="s">
        <v>19420</v>
      </c>
      <c r="D9731" s="8"/>
      <c r="E9731" s="6"/>
      <c r="F9731" s="6"/>
    </row>
    <row r="9732" spans="1:6" x14ac:dyDescent="0.3">
      <c r="A9732" s="8" t="s">
        <v>19421</v>
      </c>
      <c r="B9732" s="8" t="s">
        <v>63334</v>
      </c>
      <c r="C9732" s="8" t="s">
        <v>19422</v>
      </c>
      <c r="D9732" s="8"/>
      <c r="E9732" s="6"/>
      <c r="F9732" s="6"/>
    </row>
    <row r="9733" spans="1:6" x14ac:dyDescent="0.3">
      <c r="A9733" s="8" t="s">
        <v>19423</v>
      </c>
      <c r="B9733" s="8" t="s">
        <v>63335</v>
      </c>
      <c r="C9733" s="8" t="s">
        <v>19424</v>
      </c>
      <c r="D9733" s="8"/>
      <c r="E9733" s="6"/>
      <c r="F9733" s="6"/>
    </row>
    <row r="9734" spans="1:6" x14ac:dyDescent="0.3">
      <c r="A9734" s="8" t="s">
        <v>19425</v>
      </c>
      <c r="B9734" s="8" t="s">
        <v>63336</v>
      </c>
      <c r="C9734" s="8" t="s">
        <v>19426</v>
      </c>
      <c r="D9734" s="8"/>
      <c r="E9734" s="6"/>
      <c r="F9734" s="6"/>
    </row>
    <row r="9735" spans="1:6" x14ac:dyDescent="0.3">
      <c r="A9735" s="8" t="s">
        <v>19427</v>
      </c>
      <c r="B9735" s="8" t="s">
        <v>63337</v>
      </c>
      <c r="C9735" s="8" t="s">
        <v>19428</v>
      </c>
      <c r="D9735" s="8"/>
      <c r="E9735" s="6"/>
      <c r="F9735" s="6"/>
    </row>
    <row r="9736" spans="1:6" x14ac:dyDescent="0.3">
      <c r="A9736" s="8" t="s">
        <v>19429</v>
      </c>
      <c r="B9736" s="8" t="s">
        <v>63338</v>
      </c>
      <c r="C9736" s="8" t="s">
        <v>19430</v>
      </c>
      <c r="D9736" s="8"/>
      <c r="E9736" s="6"/>
      <c r="F9736" s="6"/>
    </row>
    <row r="9737" spans="1:6" x14ac:dyDescent="0.3">
      <c r="A9737" s="8" t="s">
        <v>19431</v>
      </c>
      <c r="B9737" s="8" t="s">
        <v>63339</v>
      </c>
      <c r="C9737" s="8" t="s">
        <v>19432</v>
      </c>
      <c r="D9737" s="8"/>
      <c r="E9737" s="6"/>
      <c r="F9737" s="6"/>
    </row>
    <row r="9738" spans="1:6" x14ac:dyDescent="0.3">
      <c r="A9738" s="8" t="s">
        <v>19433</v>
      </c>
      <c r="B9738" s="8" t="s">
        <v>63340</v>
      </c>
      <c r="C9738" s="8" t="s">
        <v>19434</v>
      </c>
      <c r="D9738" s="8"/>
      <c r="E9738" s="6"/>
      <c r="F9738" s="6"/>
    </row>
    <row r="9739" spans="1:6" x14ac:dyDescent="0.3">
      <c r="A9739" s="8" t="s">
        <v>19435</v>
      </c>
      <c r="B9739" s="8" t="s">
        <v>63341</v>
      </c>
      <c r="C9739" s="8" t="s">
        <v>19436</v>
      </c>
      <c r="D9739" s="8"/>
      <c r="E9739" s="6"/>
      <c r="F9739" s="6"/>
    </row>
    <row r="9740" spans="1:6" x14ac:dyDescent="0.3">
      <c r="A9740" s="8" t="s">
        <v>19437</v>
      </c>
      <c r="B9740" s="8" t="s">
        <v>63342</v>
      </c>
      <c r="C9740" s="8" t="s">
        <v>19438</v>
      </c>
      <c r="D9740" s="8"/>
      <c r="E9740" s="6"/>
      <c r="F9740" s="6"/>
    </row>
    <row r="9741" spans="1:6" x14ac:dyDescent="0.3">
      <c r="A9741" s="8" t="s">
        <v>19439</v>
      </c>
      <c r="B9741" s="8" t="s">
        <v>63343</v>
      </c>
      <c r="C9741" s="8" t="s">
        <v>19440</v>
      </c>
      <c r="D9741" s="8"/>
      <c r="E9741" s="6"/>
      <c r="F9741" s="6"/>
    </row>
    <row r="9742" spans="1:6" x14ac:dyDescent="0.3">
      <c r="A9742" s="8" t="s">
        <v>19441</v>
      </c>
      <c r="B9742" s="8" t="s">
        <v>63344</v>
      </c>
      <c r="C9742" s="8" t="s">
        <v>19442</v>
      </c>
      <c r="D9742" s="8"/>
      <c r="E9742" s="6"/>
      <c r="F9742" s="6"/>
    </row>
    <row r="9743" spans="1:6" x14ac:dyDescent="0.3">
      <c r="A9743" s="8" t="s">
        <v>19443</v>
      </c>
      <c r="B9743" s="8" t="s">
        <v>63345</v>
      </c>
      <c r="C9743" s="8" t="s">
        <v>19444</v>
      </c>
      <c r="D9743" s="8"/>
      <c r="E9743" s="6"/>
      <c r="F9743" s="6"/>
    </row>
    <row r="9744" spans="1:6" x14ac:dyDescent="0.3">
      <c r="A9744" s="8" t="s">
        <v>19445</v>
      </c>
      <c r="B9744" s="8" t="s">
        <v>63346</v>
      </c>
      <c r="C9744" s="8" t="s">
        <v>19446</v>
      </c>
      <c r="D9744" s="8"/>
      <c r="E9744" s="6"/>
      <c r="F9744" s="6"/>
    </row>
    <row r="9745" spans="1:6" x14ac:dyDescent="0.3">
      <c r="A9745" s="8" t="s">
        <v>19447</v>
      </c>
      <c r="B9745" s="8" t="s">
        <v>63347</v>
      </c>
      <c r="C9745" s="8" t="s">
        <v>19448</v>
      </c>
      <c r="D9745" s="8"/>
      <c r="E9745" s="6"/>
      <c r="F9745" s="6"/>
    </row>
    <row r="9746" spans="1:6" x14ac:dyDescent="0.3">
      <c r="A9746" s="8" t="s">
        <v>19449</v>
      </c>
      <c r="B9746" s="8" t="s">
        <v>63348</v>
      </c>
      <c r="C9746" s="8" t="s">
        <v>19450</v>
      </c>
      <c r="D9746" s="8"/>
      <c r="E9746" s="6"/>
      <c r="F9746" s="6"/>
    </row>
    <row r="9747" spans="1:6" x14ac:dyDescent="0.3">
      <c r="A9747" s="8" t="s">
        <v>19451</v>
      </c>
      <c r="B9747" s="8" t="s">
        <v>63349</v>
      </c>
      <c r="C9747" s="8" t="s">
        <v>19452</v>
      </c>
      <c r="D9747" s="8"/>
      <c r="E9747" s="6"/>
      <c r="F9747" s="6"/>
    </row>
    <row r="9748" spans="1:6" x14ac:dyDescent="0.3">
      <c r="A9748" s="8" t="s">
        <v>19453</v>
      </c>
      <c r="B9748" s="8" t="s">
        <v>63350</v>
      </c>
      <c r="C9748" s="8" t="s">
        <v>19454</v>
      </c>
      <c r="D9748" s="8"/>
      <c r="E9748" s="6"/>
      <c r="F9748" s="6"/>
    </row>
    <row r="9749" spans="1:6" x14ac:dyDescent="0.3">
      <c r="A9749" s="8" t="s">
        <v>19455</v>
      </c>
      <c r="B9749" s="8" t="s">
        <v>63351</v>
      </c>
      <c r="C9749" s="8" t="s">
        <v>19456</v>
      </c>
      <c r="D9749" s="8"/>
      <c r="E9749" s="6"/>
      <c r="F9749" s="6"/>
    </row>
    <row r="9750" spans="1:6" x14ac:dyDescent="0.3">
      <c r="A9750" s="8" t="s">
        <v>19457</v>
      </c>
      <c r="B9750" s="8" t="s">
        <v>63352</v>
      </c>
      <c r="C9750" s="8" t="s">
        <v>19458</v>
      </c>
      <c r="D9750" s="8"/>
      <c r="E9750" s="6"/>
      <c r="F9750" s="6"/>
    </row>
    <row r="9751" spans="1:6" x14ac:dyDescent="0.3">
      <c r="A9751" s="8" t="s">
        <v>19459</v>
      </c>
      <c r="B9751" s="8" t="s">
        <v>63353</v>
      </c>
      <c r="C9751" s="8" t="s">
        <v>19460</v>
      </c>
      <c r="D9751" s="8"/>
      <c r="E9751" s="6"/>
      <c r="F9751" s="6"/>
    </row>
    <row r="9752" spans="1:6" x14ac:dyDescent="0.3">
      <c r="A9752" s="8" t="s">
        <v>19461</v>
      </c>
      <c r="B9752" s="8" t="s">
        <v>63354</v>
      </c>
      <c r="C9752" s="8" t="s">
        <v>19462</v>
      </c>
      <c r="D9752" s="8"/>
      <c r="E9752" s="6"/>
      <c r="F9752" s="6"/>
    </row>
    <row r="9753" spans="1:6" x14ac:dyDescent="0.3">
      <c r="A9753" s="8" t="s">
        <v>19463</v>
      </c>
      <c r="B9753" s="8" t="s">
        <v>63355</v>
      </c>
      <c r="C9753" s="8" t="s">
        <v>19464</v>
      </c>
      <c r="D9753" s="8"/>
      <c r="E9753" s="6"/>
      <c r="F9753" s="6"/>
    </row>
    <row r="9754" spans="1:6" x14ac:dyDescent="0.3">
      <c r="A9754" s="8" t="s">
        <v>19465</v>
      </c>
      <c r="B9754" s="8" t="s">
        <v>63356</v>
      </c>
      <c r="C9754" s="8" t="s">
        <v>19466</v>
      </c>
      <c r="D9754" s="8"/>
      <c r="E9754" s="6"/>
      <c r="F9754" s="6"/>
    </row>
    <row r="9755" spans="1:6" x14ac:dyDescent="0.3">
      <c r="A9755" s="8" t="s">
        <v>19467</v>
      </c>
      <c r="B9755" s="8" t="s">
        <v>63357</v>
      </c>
      <c r="C9755" s="8" t="s">
        <v>19468</v>
      </c>
      <c r="D9755" s="8"/>
      <c r="E9755" s="6"/>
      <c r="F9755" s="6"/>
    </row>
    <row r="9756" spans="1:6" x14ac:dyDescent="0.3">
      <c r="A9756" s="8" t="s">
        <v>19469</v>
      </c>
      <c r="B9756" s="8" t="s">
        <v>63358</v>
      </c>
      <c r="C9756" s="8" t="s">
        <v>19470</v>
      </c>
      <c r="D9756" s="8"/>
      <c r="E9756" s="6"/>
      <c r="F9756" s="6"/>
    </row>
    <row r="9757" spans="1:6" x14ac:dyDescent="0.3">
      <c r="A9757" s="8" t="s">
        <v>19471</v>
      </c>
      <c r="B9757" s="8" t="s">
        <v>63359</v>
      </c>
      <c r="C9757" s="8" t="s">
        <v>19472</v>
      </c>
      <c r="D9757" s="8"/>
      <c r="E9757" s="6"/>
      <c r="F9757" s="6"/>
    </row>
    <row r="9758" spans="1:6" x14ac:dyDescent="0.3">
      <c r="A9758" s="8" t="s">
        <v>19473</v>
      </c>
      <c r="B9758" s="8" t="s">
        <v>63360</v>
      </c>
      <c r="C9758" s="8" t="s">
        <v>19474</v>
      </c>
      <c r="D9758" s="8"/>
      <c r="E9758" s="6"/>
      <c r="F9758" s="6"/>
    </row>
    <row r="9759" spans="1:6" x14ac:dyDescent="0.3">
      <c r="A9759" s="8" t="s">
        <v>19475</v>
      </c>
      <c r="B9759" s="8" t="s">
        <v>63361</v>
      </c>
      <c r="C9759" s="8" t="s">
        <v>19476</v>
      </c>
      <c r="D9759" s="8"/>
      <c r="E9759" s="6"/>
      <c r="F9759" s="6"/>
    </row>
    <row r="9760" spans="1:6" x14ac:dyDescent="0.3">
      <c r="A9760" s="8" t="s">
        <v>19477</v>
      </c>
      <c r="B9760" s="8" t="s">
        <v>63362</v>
      </c>
      <c r="C9760" s="8" t="s">
        <v>19478</v>
      </c>
      <c r="D9760" s="8"/>
      <c r="E9760" s="6"/>
      <c r="F9760" s="6"/>
    </row>
    <row r="9761" spans="1:6" x14ac:dyDescent="0.3">
      <c r="A9761" s="8" t="s">
        <v>19479</v>
      </c>
      <c r="B9761" s="8" t="s">
        <v>63363</v>
      </c>
      <c r="C9761" s="8" t="s">
        <v>19480</v>
      </c>
      <c r="D9761" s="8"/>
      <c r="E9761" s="6"/>
      <c r="F9761" s="6"/>
    </row>
    <row r="9762" spans="1:6" x14ac:dyDescent="0.3">
      <c r="A9762" s="8" t="s">
        <v>19481</v>
      </c>
      <c r="B9762" s="8" t="s">
        <v>63364</v>
      </c>
      <c r="C9762" s="8" t="s">
        <v>19482</v>
      </c>
      <c r="D9762" s="8"/>
      <c r="E9762" s="6"/>
      <c r="F9762" s="6"/>
    </row>
    <row r="9763" spans="1:6" x14ac:dyDescent="0.3">
      <c r="A9763" s="8" t="s">
        <v>19483</v>
      </c>
      <c r="B9763" s="8" t="s">
        <v>63365</v>
      </c>
      <c r="C9763" s="8" t="s">
        <v>19484</v>
      </c>
      <c r="D9763" s="8"/>
      <c r="E9763" s="6"/>
      <c r="F9763" s="6"/>
    </row>
    <row r="9764" spans="1:6" x14ac:dyDescent="0.3">
      <c r="A9764" s="8" t="s">
        <v>19485</v>
      </c>
      <c r="B9764" s="8" t="s">
        <v>63366</v>
      </c>
      <c r="C9764" s="8" t="s">
        <v>19486</v>
      </c>
      <c r="D9764" s="8"/>
      <c r="E9764" s="6"/>
      <c r="F9764" s="6"/>
    </row>
    <row r="9765" spans="1:6" x14ac:dyDescent="0.3">
      <c r="A9765" s="8" t="s">
        <v>19487</v>
      </c>
      <c r="B9765" s="8" t="s">
        <v>63367</v>
      </c>
      <c r="C9765" s="8" t="s">
        <v>19488</v>
      </c>
      <c r="D9765" s="8"/>
      <c r="E9765" s="6"/>
      <c r="F9765" s="6"/>
    </row>
    <row r="9766" spans="1:6" x14ac:dyDescent="0.3">
      <c r="A9766" s="8" t="s">
        <v>19489</v>
      </c>
      <c r="B9766" s="8" t="s">
        <v>63368</v>
      </c>
      <c r="C9766" s="8" t="s">
        <v>19490</v>
      </c>
      <c r="D9766" s="8"/>
      <c r="E9766" s="6"/>
      <c r="F9766" s="6"/>
    </row>
    <row r="9767" spans="1:6" x14ac:dyDescent="0.3">
      <c r="A9767" s="8" t="s">
        <v>19491</v>
      </c>
      <c r="B9767" s="8" t="s">
        <v>63369</v>
      </c>
      <c r="C9767" s="8" t="s">
        <v>19492</v>
      </c>
      <c r="D9767" s="8"/>
      <c r="E9767" s="6"/>
      <c r="F9767" s="6"/>
    </row>
    <row r="9768" spans="1:6" x14ac:dyDescent="0.3">
      <c r="A9768" s="8" t="s">
        <v>19493</v>
      </c>
      <c r="B9768" s="8" t="s">
        <v>63370</v>
      </c>
      <c r="C9768" s="8" t="s">
        <v>19494</v>
      </c>
      <c r="D9768" s="8"/>
      <c r="E9768" s="6"/>
      <c r="F9768" s="6"/>
    </row>
    <row r="9769" spans="1:6" x14ac:dyDescent="0.3">
      <c r="A9769" s="8" t="s">
        <v>19495</v>
      </c>
      <c r="B9769" s="8" t="s">
        <v>63371</v>
      </c>
      <c r="C9769" s="8" t="s">
        <v>19496</v>
      </c>
      <c r="D9769" s="8"/>
      <c r="E9769" s="6"/>
      <c r="F9769" s="6"/>
    </row>
    <row r="9770" spans="1:6" x14ac:dyDescent="0.3">
      <c r="A9770" s="8" t="s">
        <v>19497</v>
      </c>
      <c r="B9770" s="8" t="s">
        <v>63372</v>
      </c>
      <c r="C9770" s="8" t="s">
        <v>19498</v>
      </c>
      <c r="D9770" s="8"/>
      <c r="E9770" s="6"/>
      <c r="F9770" s="6"/>
    </row>
    <row r="9771" spans="1:6" x14ac:dyDescent="0.3">
      <c r="A9771" s="8" t="s">
        <v>19499</v>
      </c>
      <c r="B9771" s="8" t="s">
        <v>63373</v>
      </c>
      <c r="C9771" s="8" t="s">
        <v>19500</v>
      </c>
      <c r="D9771" s="8"/>
      <c r="E9771" s="6"/>
      <c r="F9771" s="6"/>
    </row>
    <row r="9772" spans="1:6" x14ac:dyDescent="0.3">
      <c r="A9772" s="8" t="s">
        <v>19501</v>
      </c>
      <c r="B9772" s="8" t="s">
        <v>63374</v>
      </c>
      <c r="C9772" s="8" t="s">
        <v>19502</v>
      </c>
      <c r="D9772" s="8"/>
      <c r="E9772" s="6"/>
      <c r="F9772" s="6"/>
    </row>
    <row r="9773" spans="1:6" x14ac:dyDescent="0.3">
      <c r="A9773" s="8" t="s">
        <v>19503</v>
      </c>
      <c r="B9773" s="8" t="s">
        <v>63375</v>
      </c>
      <c r="C9773" s="8" t="s">
        <v>19504</v>
      </c>
      <c r="D9773" s="8"/>
      <c r="E9773" s="6"/>
      <c r="F9773" s="6"/>
    </row>
    <row r="9774" spans="1:6" x14ac:dyDescent="0.3">
      <c r="A9774" s="8" t="s">
        <v>19505</v>
      </c>
      <c r="B9774" s="8" t="s">
        <v>63376</v>
      </c>
      <c r="C9774" s="8" t="s">
        <v>19506</v>
      </c>
      <c r="D9774" s="8"/>
      <c r="E9774" s="6"/>
      <c r="F9774" s="6"/>
    </row>
    <row r="9775" spans="1:6" x14ac:dyDescent="0.3">
      <c r="A9775" s="8" t="s">
        <v>19507</v>
      </c>
      <c r="B9775" s="8" t="s">
        <v>63377</v>
      </c>
      <c r="C9775" s="8" t="s">
        <v>19508</v>
      </c>
      <c r="D9775" s="8"/>
      <c r="E9775" s="6"/>
      <c r="F9775" s="6"/>
    </row>
    <row r="9776" spans="1:6" x14ac:dyDescent="0.3">
      <c r="A9776" s="8" t="s">
        <v>19509</v>
      </c>
      <c r="B9776" s="8" t="s">
        <v>63378</v>
      </c>
      <c r="C9776" s="8" t="s">
        <v>19510</v>
      </c>
      <c r="D9776" s="8"/>
      <c r="E9776" s="6"/>
      <c r="F9776" s="6"/>
    </row>
    <row r="9777" spans="1:6" x14ac:dyDescent="0.3">
      <c r="A9777" s="8" t="s">
        <v>19511</v>
      </c>
      <c r="B9777" s="8" t="s">
        <v>63379</v>
      </c>
      <c r="C9777" s="8" t="s">
        <v>19512</v>
      </c>
      <c r="D9777" s="8"/>
      <c r="E9777" s="6"/>
      <c r="F9777" s="6"/>
    </row>
    <row r="9778" spans="1:6" x14ac:dyDescent="0.3">
      <c r="A9778" s="8" t="s">
        <v>19513</v>
      </c>
      <c r="B9778" s="8" t="s">
        <v>63380</v>
      </c>
      <c r="C9778" s="8" t="s">
        <v>19514</v>
      </c>
      <c r="D9778" s="8"/>
      <c r="E9778" s="6"/>
      <c r="F9778" s="6"/>
    </row>
    <row r="9779" spans="1:6" x14ac:dyDescent="0.3">
      <c r="A9779" s="8" t="s">
        <v>19515</v>
      </c>
      <c r="B9779" s="8" t="s">
        <v>63381</v>
      </c>
      <c r="C9779" s="8" t="s">
        <v>19516</v>
      </c>
      <c r="D9779" s="8"/>
      <c r="E9779" s="6"/>
      <c r="F9779" s="6"/>
    </row>
    <row r="9780" spans="1:6" x14ac:dyDescent="0.3">
      <c r="A9780" s="8" t="s">
        <v>19517</v>
      </c>
      <c r="B9780" s="8" t="s">
        <v>63382</v>
      </c>
      <c r="C9780" s="8" t="s">
        <v>19518</v>
      </c>
      <c r="D9780" s="8"/>
      <c r="E9780" s="6"/>
      <c r="F9780" s="6"/>
    </row>
    <row r="9781" spans="1:6" x14ac:dyDescent="0.3">
      <c r="A9781" s="8" t="s">
        <v>19519</v>
      </c>
      <c r="B9781" s="8" t="s">
        <v>63383</v>
      </c>
      <c r="C9781" s="8" t="s">
        <v>19520</v>
      </c>
      <c r="D9781" s="8"/>
      <c r="E9781" s="6"/>
      <c r="F9781" s="6"/>
    </row>
    <row r="9782" spans="1:6" x14ac:dyDescent="0.3">
      <c r="A9782" s="8" t="s">
        <v>19521</v>
      </c>
      <c r="B9782" s="8" t="s">
        <v>63384</v>
      </c>
      <c r="C9782" s="8" t="s">
        <v>19522</v>
      </c>
      <c r="D9782" s="8"/>
      <c r="E9782" s="6"/>
      <c r="F9782" s="6"/>
    </row>
    <row r="9783" spans="1:6" x14ac:dyDescent="0.3">
      <c r="A9783" s="8" t="s">
        <v>19523</v>
      </c>
      <c r="B9783" s="8" t="s">
        <v>63385</v>
      </c>
      <c r="C9783" s="8" t="s">
        <v>19524</v>
      </c>
      <c r="D9783" s="8"/>
      <c r="E9783" s="6"/>
      <c r="F9783" s="6"/>
    </row>
    <row r="9784" spans="1:6" x14ac:dyDescent="0.3">
      <c r="A9784" s="8" t="s">
        <v>19525</v>
      </c>
      <c r="B9784" s="8" t="s">
        <v>63386</v>
      </c>
      <c r="C9784" s="8" t="s">
        <v>19526</v>
      </c>
      <c r="D9784" s="8"/>
      <c r="E9784" s="6"/>
      <c r="F9784" s="6"/>
    </row>
    <row r="9785" spans="1:6" x14ac:dyDescent="0.3">
      <c r="A9785" s="8" t="s">
        <v>19527</v>
      </c>
      <c r="B9785" s="8" t="s">
        <v>63387</v>
      </c>
      <c r="C9785" s="8" t="s">
        <v>19528</v>
      </c>
      <c r="D9785" s="8"/>
      <c r="E9785" s="6"/>
      <c r="F9785" s="6"/>
    </row>
    <row r="9786" spans="1:6" x14ac:dyDescent="0.3">
      <c r="A9786" s="8" t="s">
        <v>19529</v>
      </c>
      <c r="B9786" s="8" t="s">
        <v>63388</v>
      </c>
      <c r="C9786" s="8" t="s">
        <v>19530</v>
      </c>
      <c r="D9786" s="8"/>
      <c r="E9786" s="6"/>
      <c r="F9786" s="6"/>
    </row>
    <row r="9787" spans="1:6" x14ac:dyDescent="0.3">
      <c r="A9787" s="8" t="s">
        <v>19531</v>
      </c>
      <c r="B9787" s="8" t="s">
        <v>63389</v>
      </c>
      <c r="C9787" s="8" t="s">
        <v>19532</v>
      </c>
      <c r="D9787" s="8"/>
      <c r="E9787" s="6"/>
      <c r="F9787" s="6"/>
    </row>
    <row r="9788" spans="1:6" x14ac:dyDescent="0.3">
      <c r="A9788" s="8" t="s">
        <v>19533</v>
      </c>
      <c r="B9788" s="8" t="s">
        <v>63390</v>
      </c>
      <c r="C9788" s="8" t="s">
        <v>19534</v>
      </c>
      <c r="D9788" s="8"/>
      <c r="E9788" s="6"/>
      <c r="F9788" s="6"/>
    </row>
    <row r="9789" spans="1:6" x14ac:dyDescent="0.3">
      <c r="A9789" s="8" t="s">
        <v>19535</v>
      </c>
      <c r="B9789" s="8" t="s">
        <v>63391</v>
      </c>
      <c r="C9789" s="8" t="s">
        <v>19536</v>
      </c>
      <c r="D9789" s="8"/>
      <c r="E9789" s="6"/>
      <c r="F9789" s="6"/>
    </row>
    <row r="9790" spans="1:6" x14ac:dyDescent="0.3">
      <c r="A9790" s="8" t="s">
        <v>19537</v>
      </c>
      <c r="B9790" s="8" t="s">
        <v>63392</v>
      </c>
      <c r="C9790" s="8" t="s">
        <v>19538</v>
      </c>
      <c r="D9790" s="8"/>
      <c r="E9790" s="6"/>
      <c r="F9790" s="6"/>
    </row>
    <row r="9791" spans="1:6" x14ac:dyDescent="0.3">
      <c r="A9791" s="8" t="s">
        <v>19539</v>
      </c>
      <c r="B9791" s="8" t="s">
        <v>63393</v>
      </c>
      <c r="C9791" s="8" t="s">
        <v>19540</v>
      </c>
      <c r="D9791" s="8"/>
      <c r="E9791" s="6"/>
      <c r="F9791" s="6"/>
    </row>
    <row r="9792" spans="1:6" x14ac:dyDescent="0.3">
      <c r="A9792" s="8" t="s">
        <v>19541</v>
      </c>
      <c r="B9792" s="8" t="s">
        <v>63394</v>
      </c>
      <c r="C9792" s="8" t="s">
        <v>19542</v>
      </c>
      <c r="D9792" s="8"/>
      <c r="E9792" s="6"/>
      <c r="F9792" s="6"/>
    </row>
    <row r="9793" spans="1:6" x14ac:dyDescent="0.3">
      <c r="A9793" s="8" t="s">
        <v>19543</v>
      </c>
      <c r="B9793" s="8" t="s">
        <v>63395</v>
      </c>
      <c r="C9793" s="8" t="s">
        <v>19544</v>
      </c>
      <c r="D9793" s="8"/>
      <c r="E9793" s="6"/>
      <c r="F9793" s="6"/>
    </row>
    <row r="9794" spans="1:6" x14ac:dyDescent="0.3">
      <c r="A9794" s="8" t="s">
        <v>19545</v>
      </c>
      <c r="B9794" s="8" t="s">
        <v>63396</v>
      </c>
      <c r="C9794" s="8" t="s">
        <v>19546</v>
      </c>
      <c r="D9794" s="8"/>
      <c r="E9794" s="6"/>
      <c r="F9794" s="6"/>
    </row>
    <row r="9795" spans="1:6" x14ac:dyDescent="0.3">
      <c r="A9795" s="8" t="s">
        <v>19547</v>
      </c>
      <c r="B9795" s="8" t="s">
        <v>63397</v>
      </c>
      <c r="C9795" s="8" t="s">
        <v>19548</v>
      </c>
      <c r="D9795" s="8"/>
      <c r="E9795" s="6"/>
      <c r="F9795" s="6"/>
    </row>
    <row r="9796" spans="1:6" x14ac:dyDescent="0.3">
      <c r="A9796" s="8" t="s">
        <v>19549</v>
      </c>
      <c r="B9796" s="8" t="s">
        <v>63398</v>
      </c>
      <c r="C9796" s="8" t="s">
        <v>19550</v>
      </c>
      <c r="D9796" s="8"/>
      <c r="E9796" s="6"/>
      <c r="F9796" s="6"/>
    </row>
    <row r="9797" spans="1:6" x14ac:dyDescent="0.3">
      <c r="A9797" s="8" t="s">
        <v>19551</v>
      </c>
      <c r="B9797" s="8" t="s">
        <v>63399</v>
      </c>
      <c r="C9797" s="8" t="s">
        <v>19552</v>
      </c>
      <c r="D9797" s="8"/>
      <c r="E9797" s="6"/>
      <c r="F9797" s="6"/>
    </row>
    <row r="9798" spans="1:6" x14ac:dyDescent="0.3">
      <c r="A9798" s="8" t="s">
        <v>19553</v>
      </c>
      <c r="B9798" s="8" t="s">
        <v>63400</v>
      </c>
      <c r="C9798" s="8" t="s">
        <v>19554</v>
      </c>
      <c r="D9798" s="8"/>
      <c r="E9798" s="6"/>
      <c r="F9798" s="6"/>
    </row>
    <row r="9799" spans="1:6" x14ac:dyDescent="0.3">
      <c r="A9799" s="8" t="s">
        <v>19555</v>
      </c>
      <c r="B9799" s="8" t="s">
        <v>63401</v>
      </c>
      <c r="C9799" s="8" t="s">
        <v>19556</v>
      </c>
      <c r="D9799" s="8"/>
      <c r="E9799" s="6"/>
      <c r="F9799" s="6"/>
    </row>
    <row r="9800" spans="1:6" x14ac:dyDescent="0.3">
      <c r="A9800" s="8" t="s">
        <v>19557</v>
      </c>
      <c r="B9800" s="8" t="s">
        <v>63402</v>
      </c>
      <c r="C9800" s="8" t="s">
        <v>19558</v>
      </c>
      <c r="D9800" s="8"/>
      <c r="E9800" s="6"/>
      <c r="F9800" s="6"/>
    </row>
    <row r="9801" spans="1:6" x14ac:dyDescent="0.3">
      <c r="A9801" s="8" t="s">
        <v>19559</v>
      </c>
      <c r="B9801" s="8" t="s">
        <v>63403</v>
      </c>
      <c r="C9801" s="8" t="s">
        <v>19560</v>
      </c>
      <c r="D9801" s="8"/>
      <c r="E9801" s="6"/>
      <c r="F9801" s="6"/>
    </row>
    <row r="9802" spans="1:6" x14ac:dyDescent="0.3">
      <c r="A9802" s="8" t="s">
        <v>19561</v>
      </c>
      <c r="B9802" s="8" t="s">
        <v>63404</v>
      </c>
      <c r="C9802" s="8" t="s">
        <v>19562</v>
      </c>
      <c r="D9802" s="8"/>
      <c r="E9802" s="6"/>
      <c r="F9802" s="6"/>
    </row>
    <row r="9803" spans="1:6" x14ac:dyDescent="0.3">
      <c r="A9803" s="8" t="s">
        <v>19563</v>
      </c>
      <c r="B9803" s="8" t="s">
        <v>63405</v>
      </c>
      <c r="C9803" s="8" t="s">
        <v>19564</v>
      </c>
      <c r="D9803" s="8"/>
      <c r="E9803" s="6"/>
      <c r="F9803" s="6"/>
    </row>
    <row r="9804" spans="1:6" x14ac:dyDescent="0.3">
      <c r="A9804" s="8" t="s">
        <v>19565</v>
      </c>
      <c r="B9804" s="8" t="s">
        <v>63406</v>
      </c>
      <c r="C9804" s="8" t="s">
        <v>19566</v>
      </c>
      <c r="D9804" s="8"/>
      <c r="E9804" s="6"/>
      <c r="F9804" s="6"/>
    </row>
    <row r="9805" spans="1:6" x14ac:dyDescent="0.3">
      <c r="A9805" s="8" t="s">
        <v>19567</v>
      </c>
      <c r="B9805" s="8" t="s">
        <v>63407</v>
      </c>
      <c r="C9805" s="8" t="s">
        <v>19568</v>
      </c>
      <c r="D9805" s="8"/>
      <c r="E9805" s="6"/>
      <c r="F9805" s="6"/>
    </row>
    <row r="9806" spans="1:6" x14ac:dyDescent="0.3">
      <c r="A9806" s="8" t="s">
        <v>19569</v>
      </c>
      <c r="B9806" s="8" t="s">
        <v>63408</v>
      </c>
      <c r="C9806" s="8" t="s">
        <v>19570</v>
      </c>
      <c r="D9806" s="8"/>
      <c r="E9806" s="6"/>
      <c r="F9806" s="6"/>
    </row>
    <row r="9807" spans="1:6" x14ac:dyDescent="0.3">
      <c r="A9807" s="8" t="s">
        <v>19571</v>
      </c>
      <c r="B9807" s="8" t="s">
        <v>63409</v>
      </c>
      <c r="C9807" s="8" t="s">
        <v>19572</v>
      </c>
      <c r="D9807" s="8"/>
      <c r="E9807" s="6"/>
      <c r="F9807" s="6"/>
    </row>
    <row r="9808" spans="1:6" x14ac:dyDescent="0.3">
      <c r="A9808" s="8" t="s">
        <v>19573</v>
      </c>
      <c r="B9808" s="8" t="s">
        <v>63410</v>
      </c>
      <c r="C9808" s="8" t="s">
        <v>19574</v>
      </c>
      <c r="D9808" s="8"/>
      <c r="E9808" s="6"/>
      <c r="F9808" s="6"/>
    </row>
    <row r="9809" spans="1:6" x14ac:dyDescent="0.3">
      <c r="A9809" s="8" t="s">
        <v>19575</v>
      </c>
      <c r="B9809" s="8" t="s">
        <v>63411</v>
      </c>
      <c r="C9809" s="8" t="s">
        <v>19576</v>
      </c>
      <c r="D9809" s="8"/>
      <c r="E9809" s="6"/>
      <c r="F9809" s="6"/>
    </row>
    <row r="9810" spans="1:6" x14ac:dyDescent="0.3">
      <c r="A9810" s="8" t="s">
        <v>19577</v>
      </c>
      <c r="B9810" s="8" t="s">
        <v>63412</v>
      </c>
      <c r="C9810" s="8" t="s">
        <v>19578</v>
      </c>
      <c r="D9810" s="8"/>
      <c r="E9810" s="6"/>
      <c r="F9810" s="6"/>
    </row>
    <row r="9811" spans="1:6" x14ac:dyDescent="0.3">
      <c r="A9811" s="8" t="s">
        <v>19579</v>
      </c>
      <c r="B9811" s="8" t="s">
        <v>63413</v>
      </c>
      <c r="C9811" s="8" t="s">
        <v>19580</v>
      </c>
      <c r="D9811" s="8"/>
      <c r="E9811" s="6"/>
      <c r="F9811" s="6"/>
    </row>
    <row r="9812" spans="1:6" x14ac:dyDescent="0.3">
      <c r="A9812" s="8" t="s">
        <v>19581</v>
      </c>
      <c r="B9812" s="8" t="s">
        <v>63414</v>
      </c>
      <c r="C9812" s="8" t="s">
        <v>19582</v>
      </c>
      <c r="D9812" s="8"/>
      <c r="E9812" s="6"/>
      <c r="F9812" s="6"/>
    </row>
    <row r="9813" spans="1:6" x14ac:dyDescent="0.3">
      <c r="A9813" s="8" t="s">
        <v>19583</v>
      </c>
      <c r="B9813" s="8" t="s">
        <v>63415</v>
      </c>
      <c r="C9813" s="8" t="s">
        <v>19584</v>
      </c>
      <c r="D9813" s="8"/>
      <c r="E9813" s="6"/>
      <c r="F9813" s="6"/>
    </row>
    <row r="9814" spans="1:6" x14ac:dyDescent="0.3">
      <c r="A9814" s="8" t="s">
        <v>19585</v>
      </c>
      <c r="B9814" s="8" t="s">
        <v>63416</v>
      </c>
      <c r="C9814" s="8" t="s">
        <v>19586</v>
      </c>
      <c r="D9814" s="8"/>
      <c r="E9814" s="6"/>
      <c r="F9814" s="6"/>
    </row>
    <row r="9815" spans="1:6" x14ac:dyDescent="0.3">
      <c r="A9815" s="8" t="s">
        <v>19587</v>
      </c>
      <c r="B9815" s="8" t="s">
        <v>63417</v>
      </c>
      <c r="C9815" s="8" t="s">
        <v>19588</v>
      </c>
      <c r="D9815" s="8"/>
      <c r="E9815" s="6"/>
      <c r="F9815" s="6"/>
    </row>
    <row r="9816" spans="1:6" x14ac:dyDescent="0.3">
      <c r="A9816" s="8" t="s">
        <v>19589</v>
      </c>
      <c r="B9816" s="8" t="s">
        <v>63418</v>
      </c>
      <c r="C9816" s="8" t="s">
        <v>19590</v>
      </c>
      <c r="D9816" s="8"/>
      <c r="E9816" s="6"/>
      <c r="F9816" s="6"/>
    </row>
    <row r="9817" spans="1:6" x14ac:dyDescent="0.3">
      <c r="A9817" s="8" t="s">
        <v>19591</v>
      </c>
      <c r="B9817" s="8" t="s">
        <v>63419</v>
      </c>
      <c r="C9817" s="8" t="s">
        <v>19592</v>
      </c>
      <c r="D9817" s="8"/>
      <c r="E9817" s="6"/>
      <c r="F9817" s="6"/>
    </row>
    <row r="9818" spans="1:6" x14ac:dyDescent="0.3">
      <c r="A9818" s="8" t="s">
        <v>19593</v>
      </c>
      <c r="B9818" s="8" t="s">
        <v>63420</v>
      </c>
      <c r="C9818" s="8" t="s">
        <v>19594</v>
      </c>
      <c r="D9818" s="8"/>
      <c r="E9818" s="6"/>
      <c r="F9818" s="6"/>
    </row>
    <row r="9819" spans="1:6" x14ac:dyDescent="0.3">
      <c r="A9819" s="8" t="s">
        <v>19595</v>
      </c>
      <c r="B9819" s="8" t="s">
        <v>63421</v>
      </c>
      <c r="C9819" s="8" t="s">
        <v>19596</v>
      </c>
      <c r="D9819" s="8"/>
      <c r="E9819" s="6"/>
      <c r="F9819" s="6"/>
    </row>
    <row r="9820" spans="1:6" x14ac:dyDescent="0.3">
      <c r="A9820" s="8" t="s">
        <v>19597</v>
      </c>
      <c r="B9820" s="8" t="s">
        <v>63422</v>
      </c>
      <c r="C9820" s="8" t="s">
        <v>19598</v>
      </c>
      <c r="D9820" s="8"/>
      <c r="E9820" s="6"/>
      <c r="F9820" s="6"/>
    </row>
    <row r="9821" spans="1:6" x14ac:dyDescent="0.3">
      <c r="A9821" s="8" t="s">
        <v>19599</v>
      </c>
      <c r="B9821" s="8" t="s">
        <v>63423</v>
      </c>
      <c r="C9821" s="8" t="s">
        <v>19600</v>
      </c>
      <c r="D9821" s="8"/>
      <c r="E9821" s="6"/>
      <c r="F9821" s="6"/>
    </row>
    <row r="9822" spans="1:6" x14ac:dyDescent="0.3">
      <c r="A9822" s="8" t="s">
        <v>19601</v>
      </c>
      <c r="B9822" s="8" t="s">
        <v>63424</v>
      </c>
      <c r="C9822" s="8" t="s">
        <v>19602</v>
      </c>
      <c r="D9822" s="8"/>
      <c r="E9822" s="6"/>
      <c r="F9822" s="6"/>
    </row>
    <row r="9823" spans="1:6" x14ac:dyDescent="0.3">
      <c r="A9823" s="8" t="s">
        <v>19603</v>
      </c>
      <c r="B9823" s="8" t="s">
        <v>63425</v>
      </c>
      <c r="C9823" s="8" t="s">
        <v>19604</v>
      </c>
      <c r="D9823" s="8"/>
      <c r="E9823" s="6"/>
      <c r="F9823" s="6"/>
    </row>
    <row r="9824" spans="1:6" x14ac:dyDescent="0.3">
      <c r="A9824" s="8" t="s">
        <v>19605</v>
      </c>
      <c r="B9824" s="8" t="s">
        <v>63426</v>
      </c>
      <c r="C9824" s="8" t="s">
        <v>19606</v>
      </c>
      <c r="D9824" s="8"/>
      <c r="E9824" s="6"/>
      <c r="F9824" s="6"/>
    </row>
    <row r="9825" spans="1:6" x14ac:dyDescent="0.3">
      <c r="A9825" s="8" t="s">
        <v>19607</v>
      </c>
      <c r="B9825" s="8" t="s">
        <v>63427</v>
      </c>
      <c r="C9825" s="8" t="s">
        <v>19608</v>
      </c>
      <c r="D9825" s="8"/>
      <c r="E9825" s="6"/>
      <c r="F9825" s="6"/>
    </row>
    <row r="9826" spans="1:6" x14ac:dyDescent="0.3">
      <c r="A9826" s="8" t="s">
        <v>19609</v>
      </c>
      <c r="B9826" s="8" t="s">
        <v>63428</v>
      </c>
      <c r="C9826" s="8" t="s">
        <v>19610</v>
      </c>
      <c r="D9826" s="8"/>
      <c r="E9826" s="6"/>
      <c r="F9826" s="6"/>
    </row>
    <row r="9827" spans="1:6" x14ac:dyDescent="0.3">
      <c r="A9827" s="8" t="s">
        <v>19611</v>
      </c>
      <c r="B9827" s="8" t="s">
        <v>63429</v>
      </c>
      <c r="C9827" s="8" t="s">
        <v>19612</v>
      </c>
      <c r="D9827" s="8"/>
      <c r="E9827" s="6"/>
      <c r="F9827" s="6"/>
    </row>
    <row r="9828" spans="1:6" x14ac:dyDescent="0.3">
      <c r="A9828" s="8" t="s">
        <v>19613</v>
      </c>
      <c r="B9828" s="8" t="s">
        <v>63430</v>
      </c>
      <c r="C9828" s="8" t="s">
        <v>19614</v>
      </c>
      <c r="D9828" s="8"/>
      <c r="E9828" s="6"/>
      <c r="F9828" s="6"/>
    </row>
    <row r="9829" spans="1:6" x14ac:dyDescent="0.3">
      <c r="A9829" s="8" t="s">
        <v>19615</v>
      </c>
      <c r="B9829" s="8" t="s">
        <v>63431</v>
      </c>
      <c r="C9829" s="8" t="s">
        <v>19616</v>
      </c>
      <c r="D9829" s="8"/>
      <c r="E9829" s="6"/>
      <c r="F9829" s="6"/>
    </row>
    <row r="9830" spans="1:6" x14ac:dyDescent="0.3">
      <c r="A9830" s="8" t="s">
        <v>19617</v>
      </c>
      <c r="B9830" s="8" t="s">
        <v>63432</v>
      </c>
      <c r="C9830" s="8" t="s">
        <v>19618</v>
      </c>
      <c r="D9830" s="8"/>
      <c r="E9830" s="6"/>
      <c r="F9830" s="6"/>
    </row>
    <row r="9831" spans="1:6" x14ac:dyDescent="0.3">
      <c r="A9831" s="8" t="s">
        <v>19619</v>
      </c>
      <c r="B9831" s="8" t="s">
        <v>63433</v>
      </c>
      <c r="C9831" s="8" t="s">
        <v>19620</v>
      </c>
      <c r="D9831" s="8"/>
      <c r="E9831" s="6"/>
      <c r="F9831" s="6"/>
    </row>
    <row r="9832" spans="1:6" x14ac:dyDescent="0.3">
      <c r="A9832" s="8" t="s">
        <v>19621</v>
      </c>
      <c r="B9832" s="8" t="s">
        <v>63434</v>
      </c>
      <c r="C9832" s="8" t="s">
        <v>19622</v>
      </c>
      <c r="D9832" s="8"/>
      <c r="E9832" s="6"/>
      <c r="F9832" s="6"/>
    </row>
    <row r="9833" spans="1:6" x14ac:dyDescent="0.3">
      <c r="A9833" s="8" t="s">
        <v>19623</v>
      </c>
      <c r="B9833" s="8" t="s">
        <v>63435</v>
      </c>
      <c r="C9833" s="8" t="s">
        <v>19624</v>
      </c>
      <c r="D9833" s="8"/>
      <c r="E9833" s="6"/>
      <c r="F9833" s="6"/>
    </row>
    <row r="9834" spans="1:6" x14ac:dyDescent="0.3">
      <c r="A9834" s="8" t="s">
        <v>19625</v>
      </c>
      <c r="B9834" s="8" t="s">
        <v>63436</v>
      </c>
      <c r="C9834" s="8" t="s">
        <v>19626</v>
      </c>
      <c r="D9834" s="8"/>
      <c r="E9834" s="6"/>
      <c r="F9834" s="6"/>
    </row>
    <row r="9835" spans="1:6" x14ac:dyDescent="0.3">
      <c r="A9835" s="8" t="s">
        <v>19627</v>
      </c>
      <c r="B9835" s="8" t="s">
        <v>63437</v>
      </c>
      <c r="C9835" s="8" t="s">
        <v>19628</v>
      </c>
      <c r="D9835" s="8"/>
      <c r="E9835" s="6"/>
      <c r="F9835" s="6"/>
    </row>
    <row r="9836" spans="1:6" x14ac:dyDescent="0.3">
      <c r="A9836" s="8" t="s">
        <v>19629</v>
      </c>
      <c r="B9836" s="8" t="s">
        <v>63438</v>
      </c>
      <c r="C9836" s="8" t="s">
        <v>19630</v>
      </c>
      <c r="D9836" s="8"/>
      <c r="E9836" s="6"/>
      <c r="F9836" s="6"/>
    </row>
    <row r="9837" spans="1:6" x14ac:dyDescent="0.3">
      <c r="A9837" s="8" t="s">
        <v>19631</v>
      </c>
      <c r="B9837" s="8" t="s">
        <v>63439</v>
      </c>
      <c r="C9837" s="8" t="s">
        <v>19632</v>
      </c>
      <c r="D9837" s="8"/>
      <c r="E9837" s="6"/>
      <c r="F9837" s="6"/>
    </row>
    <row r="9838" spans="1:6" x14ac:dyDescent="0.3">
      <c r="A9838" s="8" t="s">
        <v>19633</v>
      </c>
      <c r="B9838" s="8" t="s">
        <v>63440</v>
      </c>
      <c r="C9838" s="8" t="s">
        <v>19634</v>
      </c>
      <c r="D9838" s="8"/>
      <c r="E9838" s="6"/>
      <c r="F9838" s="6"/>
    </row>
    <row r="9839" spans="1:6" x14ac:dyDescent="0.3">
      <c r="A9839" s="8" t="s">
        <v>19635</v>
      </c>
      <c r="B9839" s="8" t="s">
        <v>63441</v>
      </c>
      <c r="C9839" s="8" t="s">
        <v>19636</v>
      </c>
      <c r="D9839" s="8"/>
      <c r="E9839" s="6"/>
      <c r="F9839" s="6"/>
    </row>
    <row r="9840" spans="1:6" x14ac:dyDescent="0.3">
      <c r="A9840" s="8" t="s">
        <v>19637</v>
      </c>
      <c r="B9840" s="8" t="s">
        <v>63442</v>
      </c>
      <c r="C9840" s="8" t="s">
        <v>19638</v>
      </c>
      <c r="D9840" s="8"/>
      <c r="E9840" s="6"/>
      <c r="F9840" s="6"/>
    </row>
    <row r="9841" spans="1:6" x14ac:dyDescent="0.3">
      <c r="A9841" s="8" t="s">
        <v>19639</v>
      </c>
      <c r="B9841" s="8" t="s">
        <v>63443</v>
      </c>
      <c r="C9841" s="8" t="s">
        <v>19640</v>
      </c>
      <c r="D9841" s="8"/>
      <c r="E9841" s="6"/>
      <c r="F9841" s="6"/>
    </row>
    <row r="9842" spans="1:6" x14ac:dyDescent="0.3">
      <c r="A9842" s="8" t="s">
        <v>19641</v>
      </c>
      <c r="B9842" s="8" t="s">
        <v>63444</v>
      </c>
      <c r="C9842" s="8" t="s">
        <v>19642</v>
      </c>
      <c r="D9842" s="8"/>
      <c r="E9842" s="6"/>
      <c r="F9842" s="6"/>
    </row>
    <row r="9843" spans="1:6" x14ac:dyDescent="0.3">
      <c r="A9843" s="8" t="s">
        <v>19643</v>
      </c>
      <c r="B9843" s="8" t="s">
        <v>63445</v>
      </c>
      <c r="C9843" s="8" t="s">
        <v>19644</v>
      </c>
      <c r="D9843" s="8"/>
      <c r="E9843" s="6"/>
      <c r="F9843" s="6"/>
    </row>
    <row r="9844" spans="1:6" x14ac:dyDescent="0.3">
      <c r="A9844" s="8" t="s">
        <v>19645</v>
      </c>
      <c r="B9844" s="8" t="s">
        <v>63446</v>
      </c>
      <c r="C9844" s="8" t="s">
        <v>19646</v>
      </c>
      <c r="D9844" s="8"/>
      <c r="E9844" s="6"/>
      <c r="F9844" s="6"/>
    </row>
    <row r="9845" spans="1:6" x14ac:dyDescent="0.3">
      <c r="A9845" s="8" t="s">
        <v>19647</v>
      </c>
      <c r="B9845" s="8" t="s">
        <v>63447</v>
      </c>
      <c r="C9845" s="8" t="s">
        <v>19648</v>
      </c>
      <c r="D9845" s="8"/>
      <c r="E9845" s="6"/>
      <c r="F9845" s="6"/>
    </row>
    <row r="9846" spans="1:6" x14ac:dyDescent="0.3">
      <c r="A9846" s="8" t="s">
        <v>19649</v>
      </c>
      <c r="B9846" s="8" t="s">
        <v>63448</v>
      </c>
      <c r="C9846" s="8" t="s">
        <v>19650</v>
      </c>
      <c r="D9846" s="8"/>
      <c r="E9846" s="6"/>
      <c r="F9846" s="6"/>
    </row>
    <row r="9847" spans="1:6" x14ac:dyDescent="0.3">
      <c r="A9847" s="8" t="s">
        <v>19651</v>
      </c>
      <c r="B9847" s="8" t="s">
        <v>63449</v>
      </c>
      <c r="C9847" s="8" t="s">
        <v>19652</v>
      </c>
      <c r="D9847" s="8"/>
      <c r="E9847" s="6"/>
      <c r="F9847" s="6"/>
    </row>
    <row r="9848" spans="1:6" x14ac:dyDescent="0.3">
      <c r="A9848" s="8" t="s">
        <v>19653</v>
      </c>
      <c r="B9848" s="8" t="s">
        <v>63450</v>
      </c>
      <c r="C9848" s="8" t="s">
        <v>19654</v>
      </c>
      <c r="D9848" s="8"/>
      <c r="E9848" s="6"/>
      <c r="F9848" s="6"/>
    </row>
    <row r="9849" spans="1:6" x14ac:dyDescent="0.3">
      <c r="A9849" s="8" t="s">
        <v>19655</v>
      </c>
      <c r="B9849" s="8" t="s">
        <v>63451</v>
      </c>
      <c r="C9849" s="8" t="s">
        <v>19656</v>
      </c>
      <c r="D9849" s="8"/>
      <c r="E9849" s="6"/>
      <c r="F9849" s="6"/>
    </row>
    <row r="9850" spans="1:6" x14ac:dyDescent="0.3">
      <c r="A9850" s="8" t="s">
        <v>19657</v>
      </c>
      <c r="B9850" s="8" t="s">
        <v>63452</v>
      </c>
      <c r="C9850" s="8" t="s">
        <v>19658</v>
      </c>
      <c r="D9850" s="8"/>
      <c r="E9850" s="6"/>
      <c r="F9850" s="6"/>
    </row>
    <row r="9851" spans="1:6" x14ac:dyDescent="0.3">
      <c r="A9851" s="8" t="s">
        <v>19659</v>
      </c>
      <c r="B9851" s="8" t="s">
        <v>63453</v>
      </c>
      <c r="C9851" s="8" t="s">
        <v>19660</v>
      </c>
      <c r="D9851" s="8"/>
      <c r="E9851" s="6"/>
      <c r="F9851" s="6"/>
    </row>
    <row r="9852" spans="1:6" x14ac:dyDescent="0.3">
      <c r="A9852" s="8" t="s">
        <v>19661</v>
      </c>
      <c r="B9852" s="8" t="s">
        <v>63454</v>
      </c>
      <c r="C9852" s="8" t="s">
        <v>19662</v>
      </c>
      <c r="D9852" s="8"/>
      <c r="E9852" s="6"/>
      <c r="F9852" s="6"/>
    </row>
    <row r="9853" spans="1:6" x14ac:dyDescent="0.3">
      <c r="A9853" s="8" t="s">
        <v>19663</v>
      </c>
      <c r="B9853" s="8" t="s">
        <v>63455</v>
      </c>
      <c r="C9853" s="8" t="s">
        <v>19664</v>
      </c>
      <c r="D9853" s="8"/>
      <c r="E9853" s="6"/>
      <c r="F9853" s="6"/>
    </row>
    <row r="9854" spans="1:6" x14ac:dyDescent="0.3">
      <c r="A9854" s="8" t="s">
        <v>19665</v>
      </c>
      <c r="B9854" s="8" t="s">
        <v>63456</v>
      </c>
      <c r="C9854" s="8" t="s">
        <v>19666</v>
      </c>
      <c r="D9854" s="8"/>
      <c r="E9854" s="6"/>
      <c r="F9854" s="6"/>
    </row>
    <row r="9855" spans="1:6" x14ac:dyDescent="0.3">
      <c r="A9855" s="8" t="s">
        <v>19667</v>
      </c>
      <c r="B9855" s="8" t="s">
        <v>63457</v>
      </c>
      <c r="C9855" s="8" t="s">
        <v>19668</v>
      </c>
      <c r="D9855" s="8"/>
      <c r="E9855" s="6"/>
      <c r="F9855" s="6"/>
    </row>
    <row r="9856" spans="1:6" x14ac:dyDescent="0.3">
      <c r="A9856" s="8" t="s">
        <v>19669</v>
      </c>
      <c r="B9856" s="8" t="s">
        <v>63458</v>
      </c>
      <c r="C9856" s="8" t="s">
        <v>19670</v>
      </c>
      <c r="D9856" s="8"/>
      <c r="E9856" s="6"/>
      <c r="F9856" s="6"/>
    </row>
    <row r="9857" spans="1:6" x14ac:dyDescent="0.3">
      <c r="A9857" s="8" t="s">
        <v>19671</v>
      </c>
      <c r="B9857" s="8" t="s">
        <v>63459</v>
      </c>
      <c r="C9857" s="8" t="s">
        <v>19672</v>
      </c>
      <c r="D9857" s="8"/>
      <c r="E9857" s="6"/>
      <c r="F9857" s="6"/>
    </row>
    <row r="9858" spans="1:6" x14ac:dyDescent="0.3">
      <c r="A9858" s="8" t="s">
        <v>19673</v>
      </c>
      <c r="B9858" s="8" t="s">
        <v>63460</v>
      </c>
      <c r="C9858" s="8" t="s">
        <v>19674</v>
      </c>
      <c r="D9858" s="8"/>
      <c r="E9858" s="6"/>
      <c r="F9858" s="6"/>
    </row>
    <row r="9859" spans="1:6" x14ac:dyDescent="0.3">
      <c r="A9859" s="8" t="s">
        <v>19675</v>
      </c>
      <c r="B9859" s="8" t="s">
        <v>63461</v>
      </c>
      <c r="C9859" s="8" t="s">
        <v>19676</v>
      </c>
      <c r="D9859" s="8"/>
      <c r="E9859" s="6"/>
      <c r="F9859" s="6"/>
    </row>
    <row r="9860" spans="1:6" x14ac:dyDescent="0.3">
      <c r="A9860" s="8" t="s">
        <v>19677</v>
      </c>
      <c r="B9860" s="8" t="s">
        <v>63462</v>
      </c>
      <c r="C9860" s="8" t="s">
        <v>19678</v>
      </c>
      <c r="D9860" s="8"/>
      <c r="E9860" s="6"/>
      <c r="F9860" s="6"/>
    </row>
    <row r="9861" spans="1:6" x14ac:dyDescent="0.3">
      <c r="A9861" s="8" t="s">
        <v>19679</v>
      </c>
      <c r="B9861" s="8" t="s">
        <v>63463</v>
      </c>
      <c r="C9861" s="8" t="s">
        <v>19680</v>
      </c>
      <c r="D9861" s="8"/>
      <c r="E9861" s="6"/>
      <c r="F9861" s="6"/>
    </row>
    <row r="9862" spans="1:6" x14ac:dyDescent="0.3">
      <c r="A9862" s="8" t="s">
        <v>19681</v>
      </c>
      <c r="B9862" s="8" t="s">
        <v>63464</v>
      </c>
      <c r="C9862" s="8" t="s">
        <v>19682</v>
      </c>
      <c r="D9862" s="8"/>
      <c r="E9862" s="6"/>
      <c r="F9862" s="6"/>
    </row>
    <row r="9863" spans="1:6" x14ac:dyDescent="0.3">
      <c r="A9863" s="8" t="s">
        <v>19683</v>
      </c>
      <c r="B9863" s="8" t="s">
        <v>63465</v>
      </c>
      <c r="C9863" s="8" t="s">
        <v>19684</v>
      </c>
      <c r="D9863" s="8"/>
      <c r="E9863" s="6"/>
      <c r="F9863" s="6"/>
    </row>
    <row r="9864" spans="1:6" x14ac:dyDescent="0.3">
      <c r="A9864" s="8" t="s">
        <v>19685</v>
      </c>
      <c r="B9864" s="8" t="s">
        <v>63466</v>
      </c>
      <c r="C9864" s="8" t="s">
        <v>19686</v>
      </c>
      <c r="D9864" s="8"/>
      <c r="E9864" s="6"/>
      <c r="F9864" s="6"/>
    </row>
    <row r="9865" spans="1:6" x14ac:dyDescent="0.3">
      <c r="A9865" s="8" t="s">
        <v>19687</v>
      </c>
      <c r="B9865" s="8" t="s">
        <v>63467</v>
      </c>
      <c r="C9865" s="8" t="s">
        <v>19688</v>
      </c>
      <c r="D9865" s="8"/>
      <c r="E9865" s="6"/>
      <c r="F9865" s="6"/>
    </row>
    <row r="9866" spans="1:6" x14ac:dyDescent="0.3">
      <c r="A9866" s="8" t="s">
        <v>19689</v>
      </c>
      <c r="B9866" s="8" t="s">
        <v>63468</v>
      </c>
      <c r="C9866" s="8" t="s">
        <v>19690</v>
      </c>
      <c r="D9866" s="8"/>
      <c r="E9866" s="6"/>
      <c r="F9866" s="6"/>
    </row>
    <row r="9867" spans="1:6" x14ac:dyDescent="0.3">
      <c r="A9867" s="8" t="s">
        <v>19691</v>
      </c>
      <c r="B9867" s="8" t="s">
        <v>63469</v>
      </c>
      <c r="C9867" s="8" t="s">
        <v>19692</v>
      </c>
      <c r="D9867" s="8"/>
      <c r="E9867" s="6"/>
      <c r="F9867" s="6"/>
    </row>
    <row r="9868" spans="1:6" x14ac:dyDescent="0.3">
      <c r="A9868" s="8" t="s">
        <v>19693</v>
      </c>
      <c r="B9868" s="8" t="s">
        <v>63470</v>
      </c>
      <c r="C9868" s="8" t="s">
        <v>19694</v>
      </c>
      <c r="D9868" s="8"/>
      <c r="E9868" s="6"/>
      <c r="F9868" s="6"/>
    </row>
    <row r="9869" spans="1:6" x14ac:dyDescent="0.3">
      <c r="A9869" s="8" t="s">
        <v>19695</v>
      </c>
      <c r="B9869" s="8" t="s">
        <v>63471</v>
      </c>
      <c r="C9869" s="8" t="s">
        <v>19696</v>
      </c>
      <c r="D9869" s="8"/>
      <c r="E9869" s="6"/>
      <c r="F9869" s="6"/>
    </row>
    <row r="9870" spans="1:6" x14ac:dyDescent="0.3">
      <c r="A9870" s="8" t="s">
        <v>19697</v>
      </c>
      <c r="B9870" s="8" t="s">
        <v>63472</v>
      </c>
      <c r="C9870" s="8" t="s">
        <v>19698</v>
      </c>
      <c r="D9870" s="8"/>
      <c r="E9870" s="6"/>
      <c r="F9870" s="6"/>
    </row>
    <row r="9871" spans="1:6" x14ac:dyDescent="0.3">
      <c r="A9871" s="8" t="s">
        <v>19699</v>
      </c>
      <c r="B9871" s="8" t="s">
        <v>63473</v>
      </c>
      <c r="C9871" s="8" t="s">
        <v>19700</v>
      </c>
      <c r="D9871" s="8"/>
      <c r="E9871" s="6"/>
      <c r="F9871" s="6"/>
    </row>
    <row r="9872" spans="1:6" x14ac:dyDescent="0.3">
      <c r="A9872" s="8" t="s">
        <v>19701</v>
      </c>
      <c r="B9872" s="8" t="s">
        <v>63474</v>
      </c>
      <c r="C9872" s="8" t="s">
        <v>19702</v>
      </c>
      <c r="D9872" s="8"/>
      <c r="E9872" s="6"/>
      <c r="F9872" s="6"/>
    </row>
    <row r="9873" spans="1:6" x14ac:dyDescent="0.3">
      <c r="A9873" s="8" t="s">
        <v>19703</v>
      </c>
      <c r="B9873" s="8" t="s">
        <v>63475</v>
      </c>
      <c r="C9873" s="8" t="s">
        <v>19704</v>
      </c>
      <c r="D9873" s="8"/>
      <c r="E9873" s="6"/>
      <c r="F9873" s="6"/>
    </row>
    <row r="9874" spans="1:6" x14ac:dyDescent="0.3">
      <c r="A9874" s="8" t="s">
        <v>19705</v>
      </c>
      <c r="B9874" s="8" t="s">
        <v>63476</v>
      </c>
      <c r="C9874" s="8" t="s">
        <v>19706</v>
      </c>
      <c r="D9874" s="8"/>
      <c r="E9874" s="6"/>
      <c r="F9874" s="6"/>
    </row>
    <row r="9875" spans="1:6" x14ac:dyDescent="0.3">
      <c r="A9875" s="8" t="s">
        <v>19707</v>
      </c>
      <c r="B9875" s="8" t="s">
        <v>63477</v>
      </c>
      <c r="C9875" s="8" t="s">
        <v>19708</v>
      </c>
      <c r="D9875" s="8"/>
      <c r="E9875" s="6"/>
      <c r="F9875" s="6"/>
    </row>
    <row r="9876" spans="1:6" x14ac:dyDescent="0.3">
      <c r="A9876" s="8" t="s">
        <v>19709</v>
      </c>
      <c r="B9876" s="8" t="s">
        <v>63478</v>
      </c>
      <c r="C9876" s="8" t="s">
        <v>19710</v>
      </c>
      <c r="D9876" s="8"/>
      <c r="E9876" s="6"/>
      <c r="F9876" s="6"/>
    </row>
    <row r="9877" spans="1:6" x14ac:dyDescent="0.3">
      <c r="A9877" s="8" t="s">
        <v>19711</v>
      </c>
      <c r="B9877" s="8" t="s">
        <v>63479</v>
      </c>
      <c r="C9877" s="8" t="s">
        <v>19712</v>
      </c>
      <c r="D9877" s="8"/>
      <c r="E9877" s="6"/>
      <c r="F9877" s="6"/>
    </row>
    <row r="9878" spans="1:6" x14ac:dyDescent="0.3">
      <c r="A9878" s="8" t="s">
        <v>19713</v>
      </c>
      <c r="B9878" s="8" t="s">
        <v>63480</v>
      </c>
      <c r="C9878" s="8" t="s">
        <v>19714</v>
      </c>
      <c r="D9878" s="8"/>
      <c r="E9878" s="6"/>
      <c r="F9878" s="6"/>
    </row>
    <row r="9879" spans="1:6" x14ac:dyDescent="0.3">
      <c r="A9879" s="8" t="s">
        <v>19715</v>
      </c>
      <c r="B9879" s="8" t="s">
        <v>63481</v>
      </c>
      <c r="C9879" s="8" t="s">
        <v>19716</v>
      </c>
      <c r="D9879" s="8"/>
      <c r="E9879" s="6"/>
      <c r="F9879" s="6"/>
    </row>
    <row r="9880" spans="1:6" x14ac:dyDescent="0.3">
      <c r="A9880" s="8" t="s">
        <v>19717</v>
      </c>
      <c r="B9880" s="8" t="s">
        <v>63482</v>
      </c>
      <c r="C9880" s="8" t="s">
        <v>19718</v>
      </c>
      <c r="D9880" s="8"/>
      <c r="E9880" s="6"/>
      <c r="F9880" s="6"/>
    </row>
    <row r="9881" spans="1:6" x14ac:dyDescent="0.3">
      <c r="A9881" s="8" t="s">
        <v>19719</v>
      </c>
      <c r="B9881" s="8" t="s">
        <v>63483</v>
      </c>
      <c r="C9881" s="8" t="s">
        <v>19720</v>
      </c>
      <c r="D9881" s="8"/>
      <c r="E9881" s="6"/>
      <c r="F9881" s="6"/>
    </row>
    <row r="9882" spans="1:6" x14ac:dyDescent="0.3">
      <c r="A9882" s="8" t="s">
        <v>19721</v>
      </c>
      <c r="B9882" s="8" t="s">
        <v>63484</v>
      </c>
      <c r="C9882" s="8" t="s">
        <v>19722</v>
      </c>
      <c r="D9882" s="8"/>
      <c r="E9882" s="6"/>
      <c r="F9882" s="6"/>
    </row>
    <row r="9883" spans="1:6" x14ac:dyDescent="0.3">
      <c r="A9883" s="8" t="s">
        <v>19723</v>
      </c>
      <c r="B9883" s="8" t="s">
        <v>63485</v>
      </c>
      <c r="C9883" s="8" t="s">
        <v>19724</v>
      </c>
      <c r="D9883" s="8"/>
      <c r="E9883" s="6"/>
      <c r="F9883" s="6"/>
    </row>
    <row r="9884" spans="1:6" x14ac:dyDescent="0.3">
      <c r="A9884" s="8" t="s">
        <v>19725</v>
      </c>
      <c r="B9884" s="8" t="s">
        <v>63486</v>
      </c>
      <c r="C9884" s="8" t="s">
        <v>19726</v>
      </c>
      <c r="D9884" s="8"/>
      <c r="E9884" s="6"/>
      <c r="F9884" s="6"/>
    </row>
    <row r="9885" spans="1:6" x14ac:dyDescent="0.3">
      <c r="A9885" s="8" t="s">
        <v>19727</v>
      </c>
      <c r="B9885" s="8" t="s">
        <v>63487</v>
      </c>
      <c r="C9885" s="8" t="s">
        <v>19728</v>
      </c>
      <c r="D9885" s="8"/>
      <c r="E9885" s="6"/>
      <c r="F9885" s="6"/>
    </row>
    <row r="9886" spans="1:6" x14ac:dyDescent="0.3">
      <c r="A9886" s="8" t="s">
        <v>19729</v>
      </c>
      <c r="B9886" s="8" t="s">
        <v>63488</v>
      </c>
      <c r="C9886" s="8" t="s">
        <v>19730</v>
      </c>
      <c r="D9886" s="8"/>
      <c r="E9886" s="6"/>
      <c r="F9886" s="6"/>
    </row>
    <row r="9887" spans="1:6" x14ac:dyDescent="0.3">
      <c r="A9887" s="8" t="s">
        <v>19731</v>
      </c>
      <c r="B9887" s="8" t="s">
        <v>63489</v>
      </c>
      <c r="C9887" s="8" t="s">
        <v>19732</v>
      </c>
      <c r="D9887" s="8"/>
      <c r="E9887" s="6"/>
      <c r="F9887" s="6"/>
    </row>
    <row r="9888" spans="1:6" x14ac:dyDescent="0.3">
      <c r="A9888" s="8" t="s">
        <v>19733</v>
      </c>
      <c r="B9888" s="8" t="s">
        <v>63490</v>
      </c>
      <c r="C9888" s="8" t="s">
        <v>19734</v>
      </c>
      <c r="D9888" s="8"/>
      <c r="E9888" s="6"/>
      <c r="F9888" s="6"/>
    </row>
    <row r="9889" spans="1:6" x14ac:dyDescent="0.3">
      <c r="A9889" s="8" t="s">
        <v>19735</v>
      </c>
      <c r="B9889" s="8" t="s">
        <v>63491</v>
      </c>
      <c r="C9889" s="8" t="s">
        <v>19736</v>
      </c>
      <c r="D9889" s="8"/>
      <c r="E9889" s="6"/>
      <c r="F9889" s="6"/>
    </row>
    <row r="9890" spans="1:6" x14ac:dyDescent="0.3">
      <c r="A9890" s="8" t="s">
        <v>19737</v>
      </c>
      <c r="B9890" s="8" t="s">
        <v>63492</v>
      </c>
      <c r="C9890" s="8" t="s">
        <v>19738</v>
      </c>
      <c r="D9890" s="8"/>
      <c r="E9890" s="6"/>
      <c r="F9890" s="6"/>
    </row>
    <row r="9891" spans="1:6" x14ac:dyDescent="0.3">
      <c r="A9891" s="8" t="s">
        <v>19739</v>
      </c>
      <c r="B9891" s="8" t="s">
        <v>63493</v>
      </c>
      <c r="C9891" s="8" t="s">
        <v>19740</v>
      </c>
      <c r="D9891" s="8"/>
      <c r="E9891" s="6"/>
      <c r="F9891" s="6"/>
    </row>
    <row r="9892" spans="1:6" x14ac:dyDescent="0.3">
      <c r="A9892" s="8" t="s">
        <v>19741</v>
      </c>
      <c r="B9892" s="8" t="s">
        <v>63494</v>
      </c>
      <c r="C9892" s="8" t="s">
        <v>19742</v>
      </c>
      <c r="D9892" s="8"/>
      <c r="E9892" s="6"/>
      <c r="F9892" s="6"/>
    </row>
    <row r="9893" spans="1:6" x14ac:dyDescent="0.3">
      <c r="A9893" s="8" t="s">
        <v>19743</v>
      </c>
      <c r="B9893" s="8" t="s">
        <v>63495</v>
      </c>
      <c r="C9893" s="8" t="s">
        <v>19744</v>
      </c>
      <c r="D9893" s="8"/>
      <c r="E9893" s="6"/>
      <c r="F9893" s="6"/>
    </row>
    <row r="9894" spans="1:6" x14ac:dyDescent="0.3">
      <c r="A9894" s="8" t="s">
        <v>19745</v>
      </c>
      <c r="B9894" s="8" t="s">
        <v>63496</v>
      </c>
      <c r="C9894" s="8" t="s">
        <v>19746</v>
      </c>
      <c r="D9894" s="8"/>
      <c r="E9894" s="6"/>
      <c r="F9894" s="6"/>
    </row>
    <row r="9895" spans="1:6" x14ac:dyDescent="0.3">
      <c r="A9895" s="8" t="s">
        <v>19747</v>
      </c>
      <c r="B9895" s="8" t="s">
        <v>63497</v>
      </c>
      <c r="C9895" s="8" t="s">
        <v>19748</v>
      </c>
      <c r="D9895" s="8"/>
      <c r="E9895" s="6"/>
      <c r="F9895" s="6"/>
    </row>
    <row r="9896" spans="1:6" x14ac:dyDescent="0.3">
      <c r="A9896" s="8" t="s">
        <v>19749</v>
      </c>
      <c r="B9896" s="8" t="s">
        <v>63498</v>
      </c>
      <c r="C9896" s="8" t="s">
        <v>19750</v>
      </c>
      <c r="D9896" s="8"/>
      <c r="E9896" s="6"/>
      <c r="F9896" s="6"/>
    </row>
    <row r="9897" spans="1:6" x14ac:dyDescent="0.3">
      <c r="A9897" s="8" t="s">
        <v>19751</v>
      </c>
      <c r="B9897" s="8" t="s">
        <v>63499</v>
      </c>
      <c r="C9897" s="8" t="s">
        <v>19752</v>
      </c>
      <c r="D9897" s="8"/>
      <c r="E9897" s="6"/>
      <c r="F9897" s="6"/>
    </row>
    <row r="9898" spans="1:6" x14ac:dyDescent="0.3">
      <c r="A9898" s="8" t="s">
        <v>19753</v>
      </c>
      <c r="B9898" s="8" t="s">
        <v>63500</v>
      </c>
      <c r="C9898" s="8" t="s">
        <v>19754</v>
      </c>
      <c r="D9898" s="8"/>
      <c r="E9898" s="6"/>
      <c r="F9898" s="6"/>
    </row>
    <row r="9899" spans="1:6" x14ac:dyDescent="0.3">
      <c r="A9899" s="8" t="s">
        <v>19755</v>
      </c>
      <c r="B9899" s="8" t="s">
        <v>63501</v>
      </c>
      <c r="C9899" s="8" t="s">
        <v>19756</v>
      </c>
      <c r="D9899" s="8"/>
      <c r="E9899" s="6"/>
      <c r="F9899" s="6"/>
    </row>
    <row r="9900" spans="1:6" x14ac:dyDescent="0.3">
      <c r="A9900" s="8" t="s">
        <v>19757</v>
      </c>
      <c r="B9900" s="8" t="s">
        <v>63502</v>
      </c>
      <c r="C9900" s="8" t="s">
        <v>19758</v>
      </c>
      <c r="D9900" s="8"/>
      <c r="E9900" s="6"/>
      <c r="F9900" s="6"/>
    </row>
    <row r="9901" spans="1:6" x14ac:dyDescent="0.3">
      <c r="A9901" s="8" t="s">
        <v>19759</v>
      </c>
      <c r="B9901" s="8" t="s">
        <v>63503</v>
      </c>
      <c r="C9901" s="8" t="s">
        <v>19760</v>
      </c>
      <c r="D9901" s="8"/>
      <c r="E9901" s="6"/>
      <c r="F9901" s="6"/>
    </row>
    <row r="9902" spans="1:6" x14ac:dyDescent="0.3">
      <c r="A9902" s="8" t="s">
        <v>19761</v>
      </c>
      <c r="B9902" s="8" t="s">
        <v>63504</v>
      </c>
      <c r="C9902" s="8" t="s">
        <v>19762</v>
      </c>
      <c r="D9902" s="8"/>
      <c r="E9902" s="6"/>
      <c r="F9902" s="6"/>
    </row>
    <row r="9903" spans="1:6" x14ac:dyDescent="0.3">
      <c r="A9903" s="8" t="s">
        <v>19763</v>
      </c>
      <c r="B9903" s="8" t="s">
        <v>63505</v>
      </c>
      <c r="C9903" s="8" t="s">
        <v>19764</v>
      </c>
      <c r="D9903" s="8"/>
      <c r="E9903" s="6"/>
      <c r="F9903" s="6"/>
    </row>
    <row r="9904" spans="1:6" x14ac:dyDescent="0.3">
      <c r="A9904" s="8" t="s">
        <v>19765</v>
      </c>
      <c r="B9904" s="8" t="s">
        <v>63506</v>
      </c>
      <c r="C9904" s="8" t="s">
        <v>19766</v>
      </c>
      <c r="D9904" s="8"/>
      <c r="E9904" s="6"/>
      <c r="F9904" s="6"/>
    </row>
    <row r="9905" spans="1:6" x14ac:dyDescent="0.3">
      <c r="A9905" s="8" t="s">
        <v>19767</v>
      </c>
      <c r="B9905" s="8" t="s">
        <v>63507</v>
      </c>
      <c r="C9905" s="8" t="s">
        <v>19768</v>
      </c>
      <c r="D9905" s="8"/>
      <c r="E9905" s="6"/>
      <c r="F9905" s="6"/>
    </row>
    <row r="9906" spans="1:6" x14ac:dyDescent="0.3">
      <c r="A9906" s="8" t="s">
        <v>19769</v>
      </c>
      <c r="B9906" s="8" t="s">
        <v>63508</v>
      </c>
      <c r="C9906" s="8" t="s">
        <v>19770</v>
      </c>
      <c r="D9906" s="8"/>
      <c r="E9906" s="6"/>
      <c r="F9906" s="6"/>
    </row>
    <row r="9907" spans="1:6" x14ac:dyDescent="0.3">
      <c r="A9907" s="8" t="s">
        <v>19771</v>
      </c>
      <c r="B9907" s="8" t="s">
        <v>63509</v>
      </c>
      <c r="C9907" s="8" t="s">
        <v>19772</v>
      </c>
      <c r="D9907" s="8"/>
      <c r="E9907" s="6"/>
      <c r="F9907" s="6"/>
    </row>
    <row r="9908" spans="1:6" x14ac:dyDescent="0.3">
      <c r="A9908" s="8" t="s">
        <v>19773</v>
      </c>
      <c r="B9908" s="8" t="s">
        <v>63510</v>
      </c>
      <c r="C9908" s="8" t="s">
        <v>19774</v>
      </c>
      <c r="D9908" s="8"/>
      <c r="E9908" s="6"/>
      <c r="F9908" s="6"/>
    </row>
    <row r="9909" spans="1:6" x14ac:dyDescent="0.3">
      <c r="A9909" s="8" t="s">
        <v>19775</v>
      </c>
      <c r="B9909" s="8" t="s">
        <v>63511</v>
      </c>
      <c r="C9909" s="8" t="s">
        <v>19776</v>
      </c>
      <c r="D9909" s="8"/>
      <c r="E9909" s="6"/>
      <c r="F9909" s="6"/>
    </row>
    <row r="9910" spans="1:6" x14ac:dyDescent="0.3">
      <c r="A9910" s="8" t="s">
        <v>19777</v>
      </c>
      <c r="B9910" s="8" t="s">
        <v>63512</v>
      </c>
      <c r="C9910" s="8" t="s">
        <v>19778</v>
      </c>
      <c r="D9910" s="8"/>
      <c r="E9910" s="6"/>
      <c r="F9910" s="6"/>
    </row>
    <row r="9911" spans="1:6" x14ac:dyDescent="0.3">
      <c r="A9911" s="8" t="s">
        <v>19779</v>
      </c>
      <c r="B9911" s="8" t="s">
        <v>63513</v>
      </c>
      <c r="C9911" s="8" t="s">
        <v>19780</v>
      </c>
      <c r="D9911" s="8"/>
      <c r="E9911" s="6"/>
      <c r="F9911" s="6"/>
    </row>
    <row r="9912" spans="1:6" x14ac:dyDescent="0.3">
      <c r="A9912" s="8" t="s">
        <v>19781</v>
      </c>
      <c r="B9912" s="8" t="s">
        <v>63514</v>
      </c>
      <c r="C9912" s="8" t="s">
        <v>19782</v>
      </c>
      <c r="D9912" s="8"/>
      <c r="E9912" s="6"/>
      <c r="F9912" s="6"/>
    </row>
    <row r="9913" spans="1:6" x14ac:dyDescent="0.3">
      <c r="A9913" s="8" t="s">
        <v>19783</v>
      </c>
      <c r="B9913" s="8" t="s">
        <v>63515</v>
      </c>
      <c r="C9913" s="8" t="s">
        <v>19784</v>
      </c>
      <c r="D9913" s="8"/>
      <c r="E9913" s="6"/>
      <c r="F9913" s="6"/>
    </row>
    <row r="9914" spans="1:6" x14ac:dyDescent="0.3">
      <c r="A9914" s="8" t="s">
        <v>19785</v>
      </c>
      <c r="B9914" s="8" t="s">
        <v>63516</v>
      </c>
      <c r="C9914" s="8" t="s">
        <v>19786</v>
      </c>
      <c r="D9914" s="8"/>
      <c r="E9914" s="6"/>
      <c r="F9914" s="6"/>
    </row>
    <row r="9915" spans="1:6" x14ac:dyDescent="0.3">
      <c r="A9915" s="8" t="s">
        <v>19787</v>
      </c>
      <c r="B9915" s="8" t="s">
        <v>63517</v>
      </c>
      <c r="C9915" s="8" t="s">
        <v>19788</v>
      </c>
      <c r="D9915" s="8"/>
      <c r="E9915" s="6"/>
      <c r="F9915" s="6"/>
    </row>
    <row r="9916" spans="1:6" x14ac:dyDescent="0.3">
      <c r="A9916" s="8" t="s">
        <v>19789</v>
      </c>
      <c r="B9916" s="8" t="s">
        <v>63518</v>
      </c>
      <c r="C9916" s="8" t="s">
        <v>19790</v>
      </c>
      <c r="D9916" s="8"/>
      <c r="E9916" s="6"/>
      <c r="F9916" s="6"/>
    </row>
    <row r="9917" spans="1:6" x14ac:dyDescent="0.3">
      <c r="A9917" s="8" t="s">
        <v>19791</v>
      </c>
      <c r="B9917" s="8" t="s">
        <v>63519</v>
      </c>
      <c r="C9917" s="8" t="s">
        <v>19792</v>
      </c>
      <c r="D9917" s="8"/>
      <c r="E9917" s="6"/>
      <c r="F9917" s="6"/>
    </row>
    <row r="9918" spans="1:6" x14ac:dyDescent="0.3">
      <c r="A9918" s="8" t="s">
        <v>19793</v>
      </c>
      <c r="B9918" s="8" t="s">
        <v>63520</v>
      </c>
      <c r="C9918" s="8" t="s">
        <v>19794</v>
      </c>
      <c r="D9918" s="8"/>
      <c r="E9918" s="6"/>
      <c r="F9918" s="6"/>
    </row>
    <row r="9919" spans="1:6" x14ac:dyDescent="0.3">
      <c r="A9919" s="8" t="s">
        <v>19795</v>
      </c>
      <c r="B9919" s="8" t="s">
        <v>63521</v>
      </c>
      <c r="C9919" s="8" t="s">
        <v>19796</v>
      </c>
      <c r="D9919" s="8"/>
      <c r="E9919" s="6"/>
      <c r="F9919" s="6"/>
    </row>
    <row r="9920" spans="1:6" x14ac:dyDescent="0.3">
      <c r="A9920" s="8" t="s">
        <v>19797</v>
      </c>
      <c r="B9920" s="8" t="s">
        <v>63522</v>
      </c>
      <c r="C9920" s="8" t="s">
        <v>19798</v>
      </c>
      <c r="D9920" s="8"/>
      <c r="E9920" s="6"/>
      <c r="F9920" s="6"/>
    </row>
    <row r="9921" spans="1:6" x14ac:dyDescent="0.3">
      <c r="A9921" s="8" t="s">
        <v>19799</v>
      </c>
      <c r="B9921" s="8" t="s">
        <v>63523</v>
      </c>
      <c r="C9921" s="8" t="s">
        <v>19800</v>
      </c>
      <c r="D9921" s="8"/>
      <c r="E9921" s="6"/>
      <c r="F9921" s="6"/>
    </row>
    <row r="9922" spans="1:6" x14ac:dyDescent="0.3">
      <c r="A9922" s="8" t="s">
        <v>19801</v>
      </c>
      <c r="B9922" s="8" t="s">
        <v>63524</v>
      </c>
      <c r="C9922" s="8" t="s">
        <v>19802</v>
      </c>
      <c r="D9922" s="8"/>
      <c r="E9922" s="6"/>
      <c r="F9922" s="6"/>
    </row>
    <row r="9923" spans="1:6" x14ac:dyDescent="0.3">
      <c r="A9923" s="8" t="s">
        <v>19803</v>
      </c>
      <c r="B9923" s="8" t="s">
        <v>63525</v>
      </c>
      <c r="C9923" s="8" t="s">
        <v>19804</v>
      </c>
      <c r="D9923" s="8"/>
      <c r="E9923" s="6"/>
      <c r="F9923" s="6"/>
    </row>
    <row r="9924" spans="1:6" x14ac:dyDescent="0.3">
      <c r="A9924" s="8" t="s">
        <v>19805</v>
      </c>
      <c r="B9924" s="8" t="s">
        <v>63526</v>
      </c>
      <c r="C9924" s="8" t="s">
        <v>19806</v>
      </c>
      <c r="D9924" s="8"/>
      <c r="E9924" s="6"/>
      <c r="F9924" s="6"/>
    </row>
    <row r="9925" spans="1:6" x14ac:dyDescent="0.3">
      <c r="A9925" s="8" t="s">
        <v>19807</v>
      </c>
      <c r="B9925" s="8" t="s">
        <v>63527</v>
      </c>
      <c r="C9925" s="8" t="s">
        <v>19808</v>
      </c>
      <c r="D9925" s="8"/>
      <c r="E9925" s="6"/>
      <c r="F9925" s="6"/>
    </row>
    <row r="9926" spans="1:6" x14ac:dyDescent="0.3">
      <c r="A9926" s="8" t="s">
        <v>19809</v>
      </c>
      <c r="B9926" s="8" t="s">
        <v>63528</v>
      </c>
      <c r="C9926" s="8" t="s">
        <v>19810</v>
      </c>
      <c r="D9926" s="8"/>
      <c r="E9926" s="6"/>
      <c r="F9926" s="6"/>
    </row>
    <row r="9927" spans="1:6" x14ac:dyDescent="0.3">
      <c r="A9927" s="8" t="s">
        <v>19811</v>
      </c>
      <c r="B9927" s="8" t="s">
        <v>63529</v>
      </c>
      <c r="C9927" s="8" t="s">
        <v>19812</v>
      </c>
      <c r="D9927" s="8"/>
      <c r="E9927" s="6"/>
      <c r="F9927" s="6"/>
    </row>
    <row r="9928" spans="1:6" x14ac:dyDescent="0.3">
      <c r="A9928" s="8" t="s">
        <v>19813</v>
      </c>
      <c r="B9928" s="8" t="s">
        <v>63530</v>
      </c>
      <c r="C9928" s="8" t="s">
        <v>19814</v>
      </c>
      <c r="D9928" s="8"/>
      <c r="E9928" s="6"/>
      <c r="F9928" s="6"/>
    </row>
    <row r="9929" spans="1:6" x14ac:dyDescent="0.3">
      <c r="A9929" s="8" t="s">
        <v>19815</v>
      </c>
      <c r="B9929" s="8" t="s">
        <v>63531</v>
      </c>
      <c r="C9929" s="8" t="s">
        <v>19816</v>
      </c>
      <c r="D9929" s="8"/>
      <c r="E9929" s="6"/>
      <c r="F9929" s="6"/>
    </row>
    <row r="9930" spans="1:6" x14ac:dyDescent="0.3">
      <c r="A9930" s="8" t="s">
        <v>19817</v>
      </c>
      <c r="B9930" s="8" t="s">
        <v>63532</v>
      </c>
      <c r="C9930" s="8" t="s">
        <v>19818</v>
      </c>
      <c r="D9930" s="8"/>
      <c r="E9930" s="6"/>
      <c r="F9930" s="6"/>
    </row>
    <row r="9931" spans="1:6" x14ac:dyDescent="0.3">
      <c r="A9931" s="8" t="s">
        <v>19819</v>
      </c>
      <c r="B9931" s="8" t="s">
        <v>63533</v>
      </c>
      <c r="C9931" s="8" t="s">
        <v>19820</v>
      </c>
      <c r="D9931" s="8"/>
      <c r="E9931" s="6"/>
      <c r="F9931" s="6"/>
    </row>
    <row r="9932" spans="1:6" x14ac:dyDescent="0.3">
      <c r="A9932" s="8" t="s">
        <v>19821</v>
      </c>
      <c r="B9932" s="8" t="s">
        <v>63534</v>
      </c>
      <c r="C9932" s="8" t="s">
        <v>19822</v>
      </c>
      <c r="D9932" s="8"/>
      <c r="E9932" s="6"/>
      <c r="F9932" s="6"/>
    </row>
    <row r="9933" spans="1:6" x14ac:dyDescent="0.3">
      <c r="A9933" s="8" t="s">
        <v>19823</v>
      </c>
      <c r="B9933" s="8" t="s">
        <v>63535</v>
      </c>
      <c r="C9933" s="8" t="s">
        <v>19824</v>
      </c>
      <c r="D9933" s="8"/>
      <c r="E9933" s="6"/>
      <c r="F9933" s="6"/>
    </row>
    <row r="9934" spans="1:6" x14ac:dyDescent="0.3">
      <c r="A9934" s="8" t="s">
        <v>19825</v>
      </c>
      <c r="B9934" s="8" t="s">
        <v>63536</v>
      </c>
      <c r="C9934" s="8" t="s">
        <v>19826</v>
      </c>
      <c r="D9934" s="8"/>
      <c r="E9934" s="6"/>
      <c r="F9934" s="6"/>
    </row>
    <row r="9935" spans="1:6" x14ac:dyDescent="0.3">
      <c r="A9935" s="8" t="s">
        <v>19827</v>
      </c>
      <c r="B9935" s="8" t="s">
        <v>63537</v>
      </c>
      <c r="C9935" s="8" t="s">
        <v>19828</v>
      </c>
      <c r="D9935" s="8"/>
      <c r="E9935" s="6"/>
      <c r="F9935" s="6"/>
    </row>
    <row r="9936" spans="1:6" x14ac:dyDescent="0.3">
      <c r="A9936" s="8" t="s">
        <v>19829</v>
      </c>
      <c r="B9936" s="8" t="s">
        <v>63538</v>
      </c>
      <c r="C9936" s="8" t="s">
        <v>19830</v>
      </c>
      <c r="D9936" s="8"/>
      <c r="E9936" s="6"/>
      <c r="F9936" s="6"/>
    </row>
    <row r="9937" spans="1:6" x14ac:dyDescent="0.3">
      <c r="A9937" s="8" t="s">
        <v>19831</v>
      </c>
      <c r="B9937" s="8" t="s">
        <v>63539</v>
      </c>
      <c r="C9937" s="8" t="s">
        <v>19832</v>
      </c>
      <c r="D9937" s="8"/>
      <c r="E9937" s="6"/>
      <c r="F9937" s="6"/>
    </row>
    <row r="9938" spans="1:6" x14ac:dyDescent="0.3">
      <c r="A9938" s="8" t="s">
        <v>19833</v>
      </c>
      <c r="B9938" s="8" t="s">
        <v>63540</v>
      </c>
      <c r="C9938" s="8" t="s">
        <v>19834</v>
      </c>
      <c r="D9938" s="8"/>
      <c r="E9938" s="6"/>
      <c r="F9938" s="6"/>
    </row>
    <row r="9939" spans="1:6" x14ac:dyDescent="0.3">
      <c r="A9939" s="8" t="s">
        <v>19835</v>
      </c>
      <c r="B9939" s="8" t="s">
        <v>63541</v>
      </c>
      <c r="C9939" s="8" t="s">
        <v>19836</v>
      </c>
      <c r="D9939" s="8"/>
      <c r="E9939" s="6"/>
      <c r="F9939" s="6"/>
    </row>
    <row r="9940" spans="1:6" x14ac:dyDescent="0.3">
      <c r="A9940" s="8" t="s">
        <v>19837</v>
      </c>
      <c r="B9940" s="8" t="s">
        <v>63542</v>
      </c>
      <c r="C9940" s="8" t="s">
        <v>19838</v>
      </c>
      <c r="D9940" s="8"/>
      <c r="E9940" s="6"/>
      <c r="F9940" s="6"/>
    </row>
    <row r="9941" spans="1:6" x14ac:dyDescent="0.3">
      <c r="A9941" s="8" t="s">
        <v>19839</v>
      </c>
      <c r="B9941" s="8" t="s">
        <v>63543</v>
      </c>
      <c r="C9941" s="8" t="s">
        <v>19840</v>
      </c>
      <c r="D9941" s="8"/>
      <c r="E9941" s="6"/>
      <c r="F9941" s="6"/>
    </row>
    <row r="9942" spans="1:6" x14ac:dyDescent="0.3">
      <c r="A9942" s="8" t="s">
        <v>19841</v>
      </c>
      <c r="B9942" s="8" t="s">
        <v>63544</v>
      </c>
      <c r="C9942" s="8" t="s">
        <v>19842</v>
      </c>
      <c r="D9942" s="8"/>
      <c r="E9942" s="6"/>
      <c r="F9942" s="6"/>
    </row>
    <row r="9943" spans="1:6" x14ac:dyDescent="0.3">
      <c r="A9943" s="8" t="s">
        <v>19843</v>
      </c>
      <c r="B9943" s="8" t="s">
        <v>63545</v>
      </c>
      <c r="C9943" s="8" t="s">
        <v>19844</v>
      </c>
      <c r="D9943" s="8"/>
      <c r="E9943" s="6"/>
      <c r="F9943" s="6"/>
    </row>
    <row r="9944" spans="1:6" x14ac:dyDescent="0.3">
      <c r="A9944" s="8" t="s">
        <v>19845</v>
      </c>
      <c r="B9944" s="8" t="s">
        <v>63546</v>
      </c>
      <c r="C9944" s="8" t="s">
        <v>19846</v>
      </c>
      <c r="D9944" s="8"/>
      <c r="E9944" s="6"/>
      <c r="F9944" s="6"/>
    </row>
    <row r="9945" spans="1:6" x14ac:dyDescent="0.3">
      <c r="A9945" s="8" t="s">
        <v>19847</v>
      </c>
      <c r="B9945" s="8" t="s">
        <v>63547</v>
      </c>
      <c r="C9945" s="8" t="s">
        <v>19848</v>
      </c>
      <c r="D9945" s="8"/>
      <c r="E9945" s="6"/>
      <c r="F9945" s="6"/>
    </row>
    <row r="9946" spans="1:6" x14ac:dyDescent="0.3">
      <c r="A9946" s="8" t="s">
        <v>19849</v>
      </c>
      <c r="B9946" s="8" t="s">
        <v>63548</v>
      </c>
      <c r="C9946" s="8" t="s">
        <v>19850</v>
      </c>
      <c r="D9946" s="8"/>
      <c r="E9946" s="6"/>
      <c r="F9946" s="6"/>
    </row>
    <row r="9947" spans="1:6" x14ac:dyDescent="0.3">
      <c r="A9947" s="8" t="s">
        <v>19851</v>
      </c>
      <c r="B9947" s="8" t="s">
        <v>63549</v>
      </c>
      <c r="C9947" s="8" t="s">
        <v>19852</v>
      </c>
      <c r="D9947" s="8"/>
      <c r="E9947" s="6"/>
      <c r="F9947" s="6"/>
    </row>
    <row r="9948" spans="1:6" x14ac:dyDescent="0.3">
      <c r="A9948" s="8" t="s">
        <v>19853</v>
      </c>
      <c r="B9948" s="8" t="s">
        <v>63550</v>
      </c>
      <c r="C9948" s="8" t="s">
        <v>19854</v>
      </c>
      <c r="D9948" s="8"/>
      <c r="E9948" s="6"/>
      <c r="F9948" s="6"/>
    </row>
    <row r="9949" spans="1:6" x14ac:dyDescent="0.3">
      <c r="A9949" s="8" t="s">
        <v>19855</v>
      </c>
      <c r="B9949" s="8" t="s">
        <v>63551</v>
      </c>
      <c r="C9949" s="8" t="s">
        <v>19856</v>
      </c>
      <c r="D9949" s="8"/>
      <c r="E9949" s="6"/>
      <c r="F9949" s="6"/>
    </row>
    <row r="9950" spans="1:6" x14ac:dyDescent="0.3">
      <c r="A9950" s="8" t="s">
        <v>19857</v>
      </c>
      <c r="B9950" s="8" t="s">
        <v>63552</v>
      </c>
      <c r="C9950" s="8" t="s">
        <v>19858</v>
      </c>
      <c r="D9950" s="8"/>
      <c r="E9950" s="6"/>
      <c r="F9950" s="6"/>
    </row>
    <row r="9951" spans="1:6" x14ac:dyDescent="0.3">
      <c r="A9951" s="8" t="s">
        <v>19859</v>
      </c>
      <c r="B9951" s="8" t="s">
        <v>63553</v>
      </c>
      <c r="C9951" s="8" t="s">
        <v>19860</v>
      </c>
      <c r="D9951" s="8"/>
      <c r="E9951" s="6"/>
      <c r="F9951" s="6"/>
    </row>
    <row r="9952" spans="1:6" x14ac:dyDescent="0.3">
      <c r="A9952" s="8" t="s">
        <v>19861</v>
      </c>
      <c r="B9952" s="8" t="s">
        <v>63554</v>
      </c>
      <c r="C9952" s="8" t="s">
        <v>19862</v>
      </c>
      <c r="D9952" s="8"/>
      <c r="E9952" s="6"/>
      <c r="F9952" s="6"/>
    </row>
    <row r="9953" spans="1:6" x14ac:dyDescent="0.3">
      <c r="A9953" s="8" t="s">
        <v>19863</v>
      </c>
      <c r="B9953" s="8" t="s">
        <v>63555</v>
      </c>
      <c r="C9953" s="8" t="s">
        <v>19864</v>
      </c>
      <c r="D9953" s="8"/>
      <c r="E9953" s="6"/>
      <c r="F9953" s="6"/>
    </row>
    <row r="9954" spans="1:6" x14ac:dyDescent="0.3">
      <c r="A9954" s="8" t="s">
        <v>19865</v>
      </c>
      <c r="B9954" s="8" t="s">
        <v>63556</v>
      </c>
      <c r="C9954" s="8" t="s">
        <v>19866</v>
      </c>
      <c r="D9954" s="8"/>
      <c r="E9954" s="6"/>
      <c r="F9954" s="6"/>
    </row>
    <row r="9955" spans="1:6" x14ac:dyDescent="0.3">
      <c r="A9955" s="8" t="s">
        <v>19867</v>
      </c>
      <c r="B9955" s="8" t="s">
        <v>63557</v>
      </c>
      <c r="C9955" s="8" t="s">
        <v>19868</v>
      </c>
      <c r="D9955" s="8"/>
      <c r="E9955" s="6"/>
      <c r="F9955" s="6"/>
    </row>
    <row r="9956" spans="1:6" x14ac:dyDescent="0.3">
      <c r="A9956" s="8" t="s">
        <v>19869</v>
      </c>
      <c r="B9956" s="8" t="s">
        <v>63558</v>
      </c>
      <c r="C9956" s="8" t="s">
        <v>19870</v>
      </c>
      <c r="D9956" s="8"/>
      <c r="E9956" s="6"/>
      <c r="F9956" s="6"/>
    </row>
    <row r="9957" spans="1:6" x14ac:dyDescent="0.3">
      <c r="A9957" s="8" t="s">
        <v>19871</v>
      </c>
      <c r="B9957" s="8" t="s">
        <v>63559</v>
      </c>
      <c r="C9957" s="8" t="s">
        <v>19872</v>
      </c>
      <c r="D9957" s="8"/>
      <c r="E9957" s="6"/>
      <c r="F9957" s="6"/>
    </row>
    <row r="9958" spans="1:6" x14ac:dyDescent="0.3">
      <c r="A9958" s="8" t="s">
        <v>19873</v>
      </c>
      <c r="B9958" s="8" t="s">
        <v>63560</v>
      </c>
      <c r="C9958" s="8" t="s">
        <v>19874</v>
      </c>
      <c r="D9958" s="8"/>
      <c r="E9958" s="6"/>
      <c r="F9958" s="6"/>
    </row>
    <row r="9959" spans="1:6" x14ac:dyDescent="0.3">
      <c r="A9959" s="8" t="s">
        <v>19875</v>
      </c>
      <c r="B9959" s="8" t="s">
        <v>63561</v>
      </c>
      <c r="C9959" s="8" t="s">
        <v>19876</v>
      </c>
      <c r="D9959" s="8"/>
      <c r="E9959" s="6"/>
      <c r="F9959" s="6"/>
    </row>
    <row r="9960" spans="1:6" x14ac:dyDescent="0.3">
      <c r="A9960" s="8" t="s">
        <v>19877</v>
      </c>
      <c r="B9960" s="8" t="s">
        <v>63562</v>
      </c>
      <c r="C9960" s="8" t="s">
        <v>19878</v>
      </c>
      <c r="D9960" s="8"/>
      <c r="E9960" s="6"/>
      <c r="F9960" s="6"/>
    </row>
    <row r="9961" spans="1:6" x14ac:dyDescent="0.3">
      <c r="A9961" s="8" t="s">
        <v>19879</v>
      </c>
      <c r="B9961" s="8" t="s">
        <v>63563</v>
      </c>
      <c r="C9961" s="8" t="s">
        <v>19880</v>
      </c>
      <c r="D9961" s="8"/>
      <c r="E9961" s="6"/>
      <c r="F9961" s="6"/>
    </row>
    <row r="9962" spans="1:6" x14ac:dyDescent="0.3">
      <c r="A9962" s="8" t="s">
        <v>19881</v>
      </c>
      <c r="B9962" s="8" t="s">
        <v>63564</v>
      </c>
      <c r="C9962" s="8" t="s">
        <v>19882</v>
      </c>
      <c r="D9962" s="8"/>
      <c r="E9962" s="6"/>
      <c r="F9962" s="6"/>
    </row>
    <row r="9963" spans="1:6" x14ac:dyDescent="0.3">
      <c r="A9963" s="8" t="s">
        <v>19883</v>
      </c>
      <c r="B9963" s="8" t="s">
        <v>63565</v>
      </c>
      <c r="C9963" s="8" t="s">
        <v>19884</v>
      </c>
      <c r="D9963" s="8"/>
      <c r="E9963" s="6"/>
      <c r="F9963" s="6"/>
    </row>
    <row r="9964" spans="1:6" x14ac:dyDescent="0.3">
      <c r="A9964" s="8" t="s">
        <v>19885</v>
      </c>
      <c r="B9964" s="8" t="s">
        <v>63566</v>
      </c>
      <c r="C9964" s="8" t="s">
        <v>19886</v>
      </c>
      <c r="D9964" s="8"/>
      <c r="E9964" s="6"/>
      <c r="F9964" s="6"/>
    </row>
    <row r="9965" spans="1:6" x14ac:dyDescent="0.3">
      <c r="A9965" s="8" t="s">
        <v>19887</v>
      </c>
      <c r="B9965" s="8" t="s">
        <v>63567</v>
      </c>
      <c r="C9965" s="8" t="s">
        <v>19888</v>
      </c>
      <c r="D9965" s="8"/>
      <c r="E9965" s="6"/>
      <c r="F9965" s="6"/>
    </row>
    <row r="9966" spans="1:6" x14ac:dyDescent="0.3">
      <c r="A9966" s="8" t="s">
        <v>19889</v>
      </c>
      <c r="B9966" s="8" t="s">
        <v>63568</v>
      </c>
      <c r="C9966" s="8" t="s">
        <v>19890</v>
      </c>
      <c r="D9966" s="8"/>
      <c r="E9966" s="6"/>
      <c r="F9966" s="6"/>
    </row>
    <row r="9967" spans="1:6" x14ac:dyDescent="0.3">
      <c r="A9967" s="8" t="s">
        <v>19891</v>
      </c>
      <c r="B9967" s="8" t="s">
        <v>63569</v>
      </c>
      <c r="C9967" s="8" t="s">
        <v>19892</v>
      </c>
      <c r="D9967" s="8"/>
      <c r="E9967" s="6"/>
      <c r="F9967" s="6"/>
    </row>
    <row r="9968" spans="1:6" x14ac:dyDescent="0.3">
      <c r="A9968" s="8" t="s">
        <v>19893</v>
      </c>
      <c r="B9968" s="8" t="s">
        <v>63570</v>
      </c>
      <c r="C9968" s="8" t="s">
        <v>19894</v>
      </c>
      <c r="D9968" s="8"/>
      <c r="E9968" s="6"/>
      <c r="F9968" s="6"/>
    </row>
    <row r="9969" spans="1:6" x14ac:dyDescent="0.3">
      <c r="A9969" s="8" t="s">
        <v>19895</v>
      </c>
      <c r="B9969" s="8" t="s">
        <v>63571</v>
      </c>
      <c r="C9969" s="8" t="s">
        <v>19896</v>
      </c>
      <c r="D9969" s="8"/>
      <c r="E9969" s="6"/>
      <c r="F9969" s="6"/>
    </row>
    <row r="9970" spans="1:6" x14ac:dyDescent="0.3">
      <c r="A9970" s="8" t="s">
        <v>19897</v>
      </c>
      <c r="B9970" s="8" t="s">
        <v>63572</v>
      </c>
      <c r="C9970" s="8" t="s">
        <v>19898</v>
      </c>
      <c r="D9970" s="8"/>
      <c r="E9970" s="6"/>
      <c r="F9970" s="6"/>
    </row>
    <row r="9971" spans="1:6" x14ac:dyDescent="0.3">
      <c r="A9971" s="8" t="s">
        <v>19899</v>
      </c>
      <c r="B9971" s="8" t="s">
        <v>63573</v>
      </c>
      <c r="C9971" s="8" t="s">
        <v>19900</v>
      </c>
      <c r="D9971" s="8"/>
      <c r="E9971" s="6"/>
      <c r="F9971" s="6"/>
    </row>
    <row r="9972" spans="1:6" x14ac:dyDescent="0.3">
      <c r="A9972" s="8" t="s">
        <v>19901</v>
      </c>
      <c r="B9972" s="8" t="s">
        <v>63574</v>
      </c>
      <c r="C9972" s="8" t="s">
        <v>19902</v>
      </c>
      <c r="D9972" s="8"/>
      <c r="E9972" s="6"/>
      <c r="F9972" s="6"/>
    </row>
    <row r="9973" spans="1:6" x14ac:dyDescent="0.3">
      <c r="A9973" s="8" t="s">
        <v>19903</v>
      </c>
      <c r="B9973" s="8" t="s">
        <v>63575</v>
      </c>
      <c r="C9973" s="8" t="s">
        <v>19904</v>
      </c>
      <c r="D9973" s="8"/>
      <c r="E9973" s="6"/>
      <c r="F9973" s="6"/>
    </row>
    <row r="9974" spans="1:6" x14ac:dyDescent="0.3">
      <c r="A9974" s="8" t="s">
        <v>19905</v>
      </c>
      <c r="B9974" s="8" t="s">
        <v>63576</v>
      </c>
      <c r="C9974" s="8" t="s">
        <v>19906</v>
      </c>
      <c r="D9974" s="8"/>
      <c r="E9974" s="6"/>
      <c r="F9974" s="6"/>
    </row>
    <row r="9975" spans="1:6" x14ac:dyDescent="0.3">
      <c r="A9975" s="8" t="s">
        <v>19907</v>
      </c>
      <c r="B9975" s="8" t="s">
        <v>63577</v>
      </c>
      <c r="C9975" s="8" t="s">
        <v>19908</v>
      </c>
      <c r="D9975" s="8"/>
      <c r="E9975" s="6"/>
      <c r="F9975" s="6"/>
    </row>
    <row r="9976" spans="1:6" x14ac:dyDescent="0.3">
      <c r="A9976" s="8" t="s">
        <v>19909</v>
      </c>
      <c r="B9976" s="8" t="s">
        <v>63578</v>
      </c>
      <c r="C9976" s="8" t="s">
        <v>19910</v>
      </c>
      <c r="D9976" s="8"/>
      <c r="E9976" s="6"/>
      <c r="F9976" s="6"/>
    </row>
    <row r="9977" spans="1:6" x14ac:dyDescent="0.3">
      <c r="A9977" s="8" t="s">
        <v>19911</v>
      </c>
      <c r="B9977" s="8" t="s">
        <v>63579</v>
      </c>
      <c r="C9977" s="8" t="s">
        <v>19912</v>
      </c>
      <c r="D9977" s="8"/>
      <c r="E9977" s="6"/>
      <c r="F9977" s="6"/>
    </row>
    <row r="9978" spans="1:6" x14ac:dyDescent="0.3">
      <c r="A9978" s="8" t="s">
        <v>19913</v>
      </c>
      <c r="B9978" s="8" t="s">
        <v>63580</v>
      </c>
      <c r="C9978" s="8" t="s">
        <v>19914</v>
      </c>
      <c r="D9978" s="8"/>
      <c r="E9978" s="6"/>
      <c r="F9978" s="6"/>
    </row>
    <row r="9979" spans="1:6" x14ac:dyDescent="0.3">
      <c r="A9979" s="8" t="s">
        <v>19915</v>
      </c>
      <c r="B9979" s="8" t="s">
        <v>63581</v>
      </c>
      <c r="C9979" s="8" t="s">
        <v>19916</v>
      </c>
      <c r="D9979" s="8"/>
      <c r="E9979" s="6"/>
      <c r="F9979" s="6"/>
    </row>
    <row r="9980" spans="1:6" x14ac:dyDescent="0.3">
      <c r="A9980" s="8" t="s">
        <v>19917</v>
      </c>
      <c r="B9980" s="8" t="s">
        <v>63582</v>
      </c>
      <c r="C9980" s="8" t="s">
        <v>19918</v>
      </c>
      <c r="D9980" s="8"/>
      <c r="E9980" s="6"/>
      <c r="F9980" s="6"/>
    </row>
    <row r="9981" spans="1:6" x14ac:dyDescent="0.3">
      <c r="A9981" s="8" t="s">
        <v>19919</v>
      </c>
      <c r="B9981" s="8" t="s">
        <v>63583</v>
      </c>
      <c r="C9981" s="8" t="s">
        <v>19920</v>
      </c>
      <c r="D9981" s="8"/>
      <c r="E9981" s="6"/>
      <c r="F9981" s="6"/>
    </row>
    <row r="9982" spans="1:6" x14ac:dyDescent="0.3">
      <c r="A9982" s="8" t="s">
        <v>19921</v>
      </c>
      <c r="B9982" s="8" t="s">
        <v>63584</v>
      </c>
      <c r="C9982" s="8" t="s">
        <v>19922</v>
      </c>
      <c r="D9982" s="8"/>
      <c r="E9982" s="6"/>
      <c r="F9982" s="6"/>
    </row>
    <row r="9983" spans="1:6" x14ac:dyDescent="0.3">
      <c r="A9983" s="8" t="s">
        <v>19923</v>
      </c>
      <c r="B9983" s="8" t="s">
        <v>63585</v>
      </c>
      <c r="C9983" s="8" t="s">
        <v>19924</v>
      </c>
      <c r="D9983" s="8"/>
      <c r="E9983" s="6"/>
      <c r="F9983" s="6"/>
    </row>
    <row r="9984" spans="1:6" x14ac:dyDescent="0.3">
      <c r="A9984" s="8" t="s">
        <v>19925</v>
      </c>
      <c r="B9984" s="8" t="s">
        <v>63586</v>
      </c>
      <c r="C9984" s="8" t="s">
        <v>19926</v>
      </c>
      <c r="D9984" s="8"/>
      <c r="E9984" s="6"/>
      <c r="F9984" s="6"/>
    </row>
    <row r="9985" spans="1:6" x14ac:dyDescent="0.3">
      <c r="A9985" s="8" t="s">
        <v>19927</v>
      </c>
      <c r="B9985" s="8" t="s">
        <v>63587</v>
      </c>
      <c r="C9985" s="8" t="s">
        <v>19928</v>
      </c>
      <c r="D9985" s="8"/>
      <c r="E9985" s="6"/>
      <c r="F9985" s="6"/>
    </row>
    <row r="9986" spans="1:6" x14ac:dyDescent="0.3">
      <c r="A9986" s="8" t="s">
        <v>19929</v>
      </c>
      <c r="B9986" s="8" t="s">
        <v>63588</v>
      </c>
      <c r="C9986" s="8" t="s">
        <v>19930</v>
      </c>
      <c r="D9986" s="8"/>
      <c r="E9986" s="6"/>
      <c r="F9986" s="6"/>
    </row>
    <row r="9987" spans="1:6" x14ac:dyDescent="0.3">
      <c r="A9987" s="8" t="s">
        <v>19931</v>
      </c>
      <c r="B9987" s="8" t="s">
        <v>63589</v>
      </c>
      <c r="C9987" s="8" t="s">
        <v>19932</v>
      </c>
      <c r="D9987" s="8"/>
      <c r="E9987" s="6"/>
      <c r="F9987" s="6"/>
    </row>
    <row r="9988" spans="1:6" x14ac:dyDescent="0.3">
      <c r="A9988" s="8" t="s">
        <v>19933</v>
      </c>
      <c r="B9988" s="8" t="s">
        <v>63590</v>
      </c>
      <c r="C9988" s="8" t="s">
        <v>19934</v>
      </c>
      <c r="D9988" s="8"/>
      <c r="E9988" s="6"/>
      <c r="F9988" s="6"/>
    </row>
    <row r="9989" spans="1:6" x14ac:dyDescent="0.3">
      <c r="A9989" s="8" t="s">
        <v>19935</v>
      </c>
      <c r="B9989" s="8" t="s">
        <v>63591</v>
      </c>
      <c r="C9989" s="8" t="s">
        <v>19936</v>
      </c>
      <c r="D9989" s="8"/>
      <c r="E9989" s="6"/>
      <c r="F9989" s="6"/>
    </row>
    <row r="9990" spans="1:6" x14ac:dyDescent="0.3">
      <c r="A9990" s="8" t="s">
        <v>19937</v>
      </c>
      <c r="B9990" s="8" t="s">
        <v>63592</v>
      </c>
      <c r="C9990" s="8" t="s">
        <v>19938</v>
      </c>
      <c r="D9990" s="8"/>
      <c r="E9990" s="6"/>
      <c r="F9990" s="6"/>
    </row>
    <row r="9991" spans="1:6" x14ac:dyDescent="0.3">
      <c r="A9991" s="8" t="s">
        <v>19939</v>
      </c>
      <c r="B9991" s="8" t="s">
        <v>63593</v>
      </c>
      <c r="C9991" s="8" t="s">
        <v>19940</v>
      </c>
      <c r="D9991" s="8"/>
      <c r="E9991" s="6"/>
      <c r="F9991" s="6"/>
    </row>
    <row r="9992" spans="1:6" x14ac:dyDescent="0.3">
      <c r="A9992" s="8" t="s">
        <v>19941</v>
      </c>
      <c r="B9992" s="8" t="s">
        <v>63594</v>
      </c>
      <c r="C9992" s="8" t="s">
        <v>19942</v>
      </c>
      <c r="D9992" s="8"/>
      <c r="E9992" s="6"/>
      <c r="F9992" s="6"/>
    </row>
    <row r="9993" spans="1:6" x14ac:dyDescent="0.3">
      <c r="A9993" s="8" t="s">
        <v>19943</v>
      </c>
      <c r="B9993" s="8" t="s">
        <v>63595</v>
      </c>
      <c r="C9993" s="8" t="s">
        <v>19944</v>
      </c>
      <c r="D9993" s="8"/>
      <c r="E9993" s="6"/>
      <c r="F9993" s="6"/>
    </row>
    <row r="9994" spans="1:6" x14ac:dyDescent="0.3">
      <c r="A9994" s="8" t="s">
        <v>19945</v>
      </c>
      <c r="B9994" s="8" t="s">
        <v>63596</v>
      </c>
      <c r="C9994" s="8" t="s">
        <v>19946</v>
      </c>
      <c r="D9994" s="8"/>
      <c r="E9994" s="6"/>
      <c r="F9994" s="6"/>
    </row>
    <row r="9995" spans="1:6" x14ac:dyDescent="0.3">
      <c r="A9995" s="8" t="s">
        <v>19947</v>
      </c>
      <c r="B9995" s="8" t="s">
        <v>63597</v>
      </c>
      <c r="C9995" s="8" t="s">
        <v>19948</v>
      </c>
      <c r="D9995" s="8"/>
      <c r="E9995" s="6"/>
      <c r="F9995" s="6"/>
    </row>
    <row r="9996" spans="1:6" x14ac:dyDescent="0.3">
      <c r="A9996" s="8" t="s">
        <v>19949</v>
      </c>
      <c r="B9996" s="8" t="s">
        <v>63598</v>
      </c>
      <c r="C9996" s="8" t="s">
        <v>19950</v>
      </c>
      <c r="D9996" s="8"/>
      <c r="E9996" s="6"/>
      <c r="F9996" s="6"/>
    </row>
    <row r="9997" spans="1:6" x14ac:dyDescent="0.3">
      <c r="A9997" s="8" t="s">
        <v>19951</v>
      </c>
      <c r="B9997" s="8" t="s">
        <v>63599</v>
      </c>
      <c r="C9997" s="8" t="s">
        <v>19952</v>
      </c>
      <c r="D9997" s="8"/>
      <c r="E9997" s="6"/>
      <c r="F9997" s="6"/>
    </row>
    <row r="9998" spans="1:6" x14ac:dyDescent="0.3">
      <c r="A9998" s="8" t="s">
        <v>19953</v>
      </c>
      <c r="B9998" s="8" t="s">
        <v>63600</v>
      </c>
      <c r="C9998" s="8" t="s">
        <v>19954</v>
      </c>
      <c r="D9998" s="8"/>
      <c r="E9998" s="6"/>
      <c r="F9998" s="6"/>
    </row>
    <row r="9999" spans="1:6" x14ac:dyDescent="0.3">
      <c r="A9999" s="8" t="s">
        <v>19955</v>
      </c>
      <c r="B9999" s="8" t="s">
        <v>63601</v>
      </c>
      <c r="C9999" s="8" t="s">
        <v>19956</v>
      </c>
      <c r="D9999" s="8"/>
      <c r="E9999" s="6"/>
      <c r="F9999" s="6"/>
    </row>
    <row r="10000" spans="1:6" x14ac:dyDescent="0.3">
      <c r="A10000" s="8" t="s">
        <v>19957</v>
      </c>
      <c r="B10000" s="8" t="s">
        <v>63602</v>
      </c>
      <c r="C10000" s="8" t="s">
        <v>19958</v>
      </c>
      <c r="D10000" s="8"/>
      <c r="E10000" s="6"/>
      <c r="F10000" s="6"/>
    </row>
    <row r="10001" spans="1:6" x14ac:dyDescent="0.3">
      <c r="A10001" s="8" t="s">
        <v>19959</v>
      </c>
      <c r="B10001" s="8" t="s">
        <v>63603</v>
      </c>
      <c r="C10001" s="8" t="s">
        <v>19960</v>
      </c>
      <c r="D10001" s="8"/>
      <c r="E10001" s="6"/>
      <c r="F10001" s="6"/>
    </row>
    <row r="10002" spans="1:6" x14ac:dyDescent="0.3">
      <c r="A10002" s="8" t="s">
        <v>19961</v>
      </c>
      <c r="B10002" s="8" t="s">
        <v>63604</v>
      </c>
      <c r="C10002" s="8" t="s">
        <v>19962</v>
      </c>
      <c r="D10002" s="8"/>
      <c r="E10002" s="6"/>
      <c r="F10002" s="6"/>
    </row>
    <row r="10003" spans="1:6" x14ac:dyDescent="0.3">
      <c r="A10003" s="8" t="s">
        <v>19963</v>
      </c>
      <c r="B10003" s="8" t="s">
        <v>63605</v>
      </c>
      <c r="C10003" s="8" t="s">
        <v>19964</v>
      </c>
      <c r="D10003" s="8"/>
      <c r="E10003" s="6"/>
      <c r="F10003" s="6"/>
    </row>
    <row r="10004" spans="1:6" x14ac:dyDescent="0.3">
      <c r="A10004" s="8" t="s">
        <v>19965</v>
      </c>
      <c r="B10004" s="8" t="s">
        <v>63606</v>
      </c>
      <c r="C10004" s="8" t="s">
        <v>19966</v>
      </c>
      <c r="D10004" s="8"/>
      <c r="E10004" s="6"/>
      <c r="F10004" s="6"/>
    </row>
    <row r="10005" spans="1:6" x14ac:dyDescent="0.3">
      <c r="A10005" s="8" t="s">
        <v>19967</v>
      </c>
      <c r="B10005" s="8" t="s">
        <v>63607</v>
      </c>
      <c r="C10005" s="8" t="s">
        <v>19968</v>
      </c>
      <c r="D10005" s="8"/>
      <c r="E10005" s="6"/>
      <c r="F10005" s="6"/>
    </row>
    <row r="10006" spans="1:6" x14ac:dyDescent="0.3">
      <c r="A10006" s="8" t="s">
        <v>19969</v>
      </c>
      <c r="B10006" s="8" t="s">
        <v>63608</v>
      </c>
      <c r="C10006" s="8" t="s">
        <v>19970</v>
      </c>
      <c r="D10006" s="8"/>
      <c r="E10006" s="6"/>
      <c r="F10006" s="6"/>
    </row>
    <row r="10007" spans="1:6" x14ac:dyDescent="0.3">
      <c r="A10007" s="8" t="s">
        <v>19971</v>
      </c>
      <c r="B10007" s="8" t="s">
        <v>63609</v>
      </c>
      <c r="C10007" s="8" t="s">
        <v>19972</v>
      </c>
      <c r="D10007" s="8"/>
      <c r="E10007" s="6"/>
      <c r="F10007" s="6"/>
    </row>
    <row r="10008" spans="1:6" x14ac:dyDescent="0.3">
      <c r="A10008" s="8" t="s">
        <v>19973</v>
      </c>
      <c r="B10008" s="8" t="s">
        <v>63610</v>
      </c>
      <c r="C10008" s="8" t="s">
        <v>19974</v>
      </c>
      <c r="D10008" s="8"/>
      <c r="E10008" s="6"/>
      <c r="F10008" s="6"/>
    </row>
    <row r="10009" spans="1:6" x14ac:dyDescent="0.3">
      <c r="A10009" s="8" t="s">
        <v>19975</v>
      </c>
      <c r="B10009" s="8" t="s">
        <v>63611</v>
      </c>
      <c r="C10009" s="8" t="s">
        <v>19976</v>
      </c>
      <c r="D10009" s="8"/>
      <c r="E10009" s="6"/>
      <c r="F10009" s="6"/>
    </row>
    <row r="10010" spans="1:6" x14ac:dyDescent="0.3">
      <c r="A10010" s="8" t="s">
        <v>19977</v>
      </c>
      <c r="B10010" s="8" t="s">
        <v>63612</v>
      </c>
      <c r="C10010" s="8" t="s">
        <v>19978</v>
      </c>
      <c r="D10010" s="8"/>
      <c r="E10010" s="6"/>
      <c r="F10010" s="6"/>
    </row>
    <row r="10011" spans="1:6" x14ac:dyDescent="0.3">
      <c r="A10011" s="8" t="s">
        <v>19979</v>
      </c>
      <c r="B10011" s="8" t="s">
        <v>63613</v>
      </c>
      <c r="C10011" s="8" t="s">
        <v>19980</v>
      </c>
      <c r="D10011" s="8"/>
      <c r="E10011" s="6"/>
      <c r="F10011" s="6"/>
    </row>
    <row r="10012" spans="1:6" x14ac:dyDescent="0.3">
      <c r="A10012" s="8" t="s">
        <v>19981</v>
      </c>
      <c r="B10012" s="8" t="s">
        <v>63614</v>
      </c>
      <c r="C10012" s="8" t="s">
        <v>19982</v>
      </c>
      <c r="D10012" s="8"/>
      <c r="E10012" s="6"/>
      <c r="F10012" s="6"/>
    </row>
    <row r="10013" spans="1:6" x14ac:dyDescent="0.3">
      <c r="A10013" s="8" t="s">
        <v>19983</v>
      </c>
      <c r="B10013" s="8" t="s">
        <v>63615</v>
      </c>
      <c r="C10013" s="8" t="s">
        <v>19984</v>
      </c>
      <c r="D10013" s="8"/>
      <c r="E10013" s="6"/>
      <c r="F10013" s="6"/>
    </row>
    <row r="10014" spans="1:6" x14ac:dyDescent="0.3">
      <c r="A10014" s="8" t="s">
        <v>19985</v>
      </c>
      <c r="B10014" s="8" t="s">
        <v>63616</v>
      </c>
      <c r="C10014" s="8" t="s">
        <v>19986</v>
      </c>
      <c r="D10014" s="8"/>
      <c r="E10014" s="6"/>
      <c r="F10014" s="6"/>
    </row>
    <row r="10015" spans="1:6" x14ac:dyDescent="0.3">
      <c r="A10015" s="8" t="s">
        <v>19987</v>
      </c>
      <c r="B10015" s="8" t="s">
        <v>63617</v>
      </c>
      <c r="C10015" s="8" t="s">
        <v>19988</v>
      </c>
      <c r="D10015" s="8"/>
      <c r="E10015" s="6"/>
      <c r="F10015" s="6"/>
    </row>
    <row r="10016" spans="1:6" x14ac:dyDescent="0.3">
      <c r="A10016" s="8" t="s">
        <v>19989</v>
      </c>
      <c r="B10016" s="8" t="s">
        <v>63618</v>
      </c>
      <c r="C10016" s="8" t="s">
        <v>19990</v>
      </c>
      <c r="D10016" s="8"/>
      <c r="E10016" s="6"/>
      <c r="F10016" s="6"/>
    </row>
    <row r="10017" spans="1:6" x14ac:dyDescent="0.3">
      <c r="A10017" s="8" t="s">
        <v>19991</v>
      </c>
      <c r="B10017" s="8" t="s">
        <v>63619</v>
      </c>
      <c r="C10017" s="8" t="s">
        <v>19992</v>
      </c>
      <c r="D10017" s="8"/>
      <c r="E10017" s="6"/>
      <c r="F10017" s="6"/>
    </row>
    <row r="10018" spans="1:6" x14ac:dyDescent="0.3">
      <c r="A10018" s="8" t="s">
        <v>19993</v>
      </c>
      <c r="B10018" s="8" t="s">
        <v>63620</v>
      </c>
      <c r="C10018" s="8" t="s">
        <v>19994</v>
      </c>
      <c r="D10018" s="8"/>
      <c r="E10018" s="6"/>
      <c r="F10018" s="6"/>
    </row>
    <row r="10019" spans="1:6" x14ac:dyDescent="0.3">
      <c r="A10019" s="8" t="s">
        <v>19995</v>
      </c>
      <c r="B10019" s="8" t="s">
        <v>63621</v>
      </c>
      <c r="C10019" s="8" t="s">
        <v>19996</v>
      </c>
      <c r="D10019" s="8"/>
      <c r="E10019" s="6"/>
      <c r="F10019" s="6"/>
    </row>
    <row r="10020" spans="1:6" x14ac:dyDescent="0.3">
      <c r="A10020" s="8" t="s">
        <v>19997</v>
      </c>
      <c r="B10020" s="8" t="s">
        <v>63622</v>
      </c>
      <c r="C10020" s="8" t="s">
        <v>19998</v>
      </c>
      <c r="D10020" s="8"/>
      <c r="E10020" s="6"/>
      <c r="F10020" s="6"/>
    </row>
    <row r="10021" spans="1:6" x14ac:dyDescent="0.3">
      <c r="A10021" s="8" t="s">
        <v>19999</v>
      </c>
      <c r="B10021" s="8" t="s">
        <v>63623</v>
      </c>
      <c r="C10021" s="8" t="s">
        <v>20000</v>
      </c>
      <c r="D10021" s="8"/>
      <c r="E10021" s="6"/>
      <c r="F10021" s="6"/>
    </row>
    <row r="10022" spans="1:6" x14ac:dyDescent="0.3">
      <c r="A10022" s="8" t="s">
        <v>20001</v>
      </c>
      <c r="B10022" s="8" t="s">
        <v>63624</v>
      </c>
      <c r="C10022" s="8" t="s">
        <v>20002</v>
      </c>
      <c r="D10022" s="8"/>
      <c r="E10022" s="6"/>
      <c r="F10022" s="6"/>
    </row>
    <row r="10023" spans="1:6" x14ac:dyDescent="0.3">
      <c r="A10023" s="8" t="s">
        <v>20003</v>
      </c>
      <c r="B10023" s="8" t="s">
        <v>63625</v>
      </c>
      <c r="C10023" s="8" t="s">
        <v>20004</v>
      </c>
      <c r="D10023" s="8"/>
      <c r="E10023" s="6"/>
      <c r="F10023" s="6"/>
    </row>
    <row r="10024" spans="1:6" x14ac:dyDescent="0.3">
      <c r="A10024" s="8" t="s">
        <v>20005</v>
      </c>
      <c r="B10024" s="8" t="s">
        <v>63626</v>
      </c>
      <c r="C10024" s="8" t="s">
        <v>20006</v>
      </c>
      <c r="D10024" s="8"/>
      <c r="E10024" s="6"/>
      <c r="F10024" s="6"/>
    </row>
    <row r="10025" spans="1:6" x14ac:dyDescent="0.3">
      <c r="A10025" s="8" t="s">
        <v>20007</v>
      </c>
      <c r="B10025" s="8" t="s">
        <v>63627</v>
      </c>
      <c r="C10025" s="8" t="s">
        <v>20008</v>
      </c>
      <c r="D10025" s="8"/>
      <c r="E10025" s="6"/>
      <c r="F10025" s="6"/>
    </row>
    <row r="10026" spans="1:6" x14ac:dyDescent="0.3">
      <c r="A10026" s="8" t="s">
        <v>20009</v>
      </c>
      <c r="B10026" s="8" t="s">
        <v>63628</v>
      </c>
      <c r="C10026" s="8" t="s">
        <v>20010</v>
      </c>
      <c r="D10026" s="8"/>
      <c r="E10026" s="6"/>
      <c r="F10026" s="6"/>
    </row>
    <row r="10027" spans="1:6" x14ac:dyDescent="0.3">
      <c r="A10027" s="8" t="s">
        <v>20011</v>
      </c>
      <c r="B10027" s="8" t="s">
        <v>63629</v>
      </c>
      <c r="C10027" s="8" t="s">
        <v>20012</v>
      </c>
      <c r="D10027" s="8"/>
      <c r="E10027" s="6"/>
      <c r="F10027" s="6"/>
    </row>
    <row r="10028" spans="1:6" x14ac:dyDescent="0.3">
      <c r="A10028" s="8" t="s">
        <v>20013</v>
      </c>
      <c r="B10028" s="8" t="s">
        <v>63630</v>
      </c>
      <c r="C10028" s="8" t="s">
        <v>20014</v>
      </c>
      <c r="D10028" s="8"/>
      <c r="E10028" s="6"/>
      <c r="F10028" s="6"/>
    </row>
    <row r="10029" spans="1:6" x14ac:dyDescent="0.3">
      <c r="A10029" s="8" t="s">
        <v>20015</v>
      </c>
      <c r="B10029" s="8" t="s">
        <v>63631</v>
      </c>
      <c r="C10029" s="8" t="s">
        <v>20016</v>
      </c>
      <c r="D10029" s="8"/>
      <c r="E10029" s="6"/>
      <c r="F10029" s="6"/>
    </row>
    <row r="10030" spans="1:6" x14ac:dyDescent="0.3">
      <c r="A10030" s="8" t="s">
        <v>20017</v>
      </c>
      <c r="B10030" s="8" t="s">
        <v>63632</v>
      </c>
      <c r="C10030" s="8" t="s">
        <v>20018</v>
      </c>
      <c r="D10030" s="8"/>
      <c r="E10030" s="6"/>
      <c r="F10030" s="6"/>
    </row>
    <row r="10031" spans="1:6" x14ac:dyDescent="0.3">
      <c r="A10031" s="8" t="s">
        <v>20019</v>
      </c>
      <c r="B10031" s="8" t="s">
        <v>63633</v>
      </c>
      <c r="C10031" s="8" t="s">
        <v>20020</v>
      </c>
      <c r="D10031" s="8"/>
      <c r="E10031" s="6"/>
      <c r="F10031" s="6"/>
    </row>
    <row r="10032" spans="1:6" x14ac:dyDescent="0.3">
      <c r="A10032" s="8" t="s">
        <v>20021</v>
      </c>
      <c r="B10032" s="8" t="s">
        <v>63634</v>
      </c>
      <c r="C10032" s="8" t="s">
        <v>20022</v>
      </c>
      <c r="D10032" s="8"/>
      <c r="E10032" s="6"/>
      <c r="F10032" s="6"/>
    </row>
    <row r="10033" spans="1:6" x14ac:dyDescent="0.3">
      <c r="A10033" s="8" t="s">
        <v>20023</v>
      </c>
      <c r="B10033" s="8" t="s">
        <v>63635</v>
      </c>
      <c r="C10033" s="8" t="s">
        <v>20024</v>
      </c>
      <c r="D10033" s="8"/>
      <c r="E10033" s="6"/>
      <c r="F10033" s="6"/>
    </row>
    <row r="10034" spans="1:6" x14ac:dyDescent="0.3">
      <c r="A10034" s="8" t="s">
        <v>20025</v>
      </c>
      <c r="B10034" s="8" t="s">
        <v>63636</v>
      </c>
      <c r="C10034" s="8" t="s">
        <v>20026</v>
      </c>
      <c r="D10034" s="8"/>
      <c r="E10034" s="6"/>
      <c r="F10034" s="6"/>
    </row>
    <row r="10035" spans="1:6" x14ac:dyDescent="0.3">
      <c r="A10035" s="8" t="s">
        <v>20027</v>
      </c>
      <c r="B10035" s="8" t="s">
        <v>63637</v>
      </c>
      <c r="C10035" s="8" t="s">
        <v>20028</v>
      </c>
      <c r="D10035" s="8"/>
      <c r="E10035" s="6"/>
      <c r="F10035" s="6"/>
    </row>
    <row r="10036" spans="1:6" x14ac:dyDescent="0.3">
      <c r="A10036" s="8" t="s">
        <v>20029</v>
      </c>
      <c r="B10036" s="8" t="s">
        <v>63638</v>
      </c>
      <c r="C10036" s="8" t="s">
        <v>20030</v>
      </c>
      <c r="D10036" s="8"/>
      <c r="E10036" s="6"/>
      <c r="F10036" s="6"/>
    </row>
    <row r="10037" spans="1:6" x14ac:dyDescent="0.3">
      <c r="A10037" s="8" t="s">
        <v>20031</v>
      </c>
      <c r="B10037" s="8" t="s">
        <v>63639</v>
      </c>
      <c r="C10037" s="8" t="s">
        <v>20032</v>
      </c>
      <c r="D10037" s="8"/>
      <c r="E10037" s="6"/>
      <c r="F10037" s="6"/>
    </row>
    <row r="10038" spans="1:6" x14ac:dyDescent="0.3">
      <c r="A10038" s="8" t="s">
        <v>20033</v>
      </c>
      <c r="B10038" s="8" t="s">
        <v>63640</v>
      </c>
      <c r="C10038" s="8" t="s">
        <v>20034</v>
      </c>
      <c r="D10038" s="8"/>
      <c r="E10038" s="6"/>
      <c r="F10038" s="6"/>
    </row>
    <row r="10039" spans="1:6" x14ac:dyDescent="0.3">
      <c r="A10039" s="8" t="s">
        <v>20035</v>
      </c>
      <c r="B10039" s="8" t="s">
        <v>63641</v>
      </c>
      <c r="C10039" s="8" t="s">
        <v>20036</v>
      </c>
      <c r="D10039" s="8"/>
      <c r="E10039" s="6"/>
      <c r="F10039" s="6"/>
    </row>
    <row r="10040" spans="1:6" x14ac:dyDescent="0.3">
      <c r="A10040" s="8" t="s">
        <v>20037</v>
      </c>
      <c r="B10040" s="8" t="s">
        <v>63642</v>
      </c>
      <c r="C10040" s="8" t="s">
        <v>20038</v>
      </c>
      <c r="D10040" s="8"/>
      <c r="E10040" s="6"/>
      <c r="F10040" s="6"/>
    </row>
    <row r="10041" spans="1:6" x14ac:dyDescent="0.3">
      <c r="A10041" s="8" t="s">
        <v>20039</v>
      </c>
      <c r="B10041" s="8" t="s">
        <v>63643</v>
      </c>
      <c r="C10041" s="8" t="s">
        <v>20040</v>
      </c>
      <c r="D10041" s="8"/>
      <c r="E10041" s="6"/>
      <c r="F10041" s="6"/>
    </row>
    <row r="10042" spans="1:6" x14ac:dyDescent="0.3">
      <c r="A10042" s="8" t="s">
        <v>20041</v>
      </c>
      <c r="B10042" s="8" t="s">
        <v>63644</v>
      </c>
      <c r="C10042" s="8" t="s">
        <v>20042</v>
      </c>
      <c r="D10042" s="8"/>
      <c r="E10042" s="6"/>
      <c r="F10042" s="6"/>
    </row>
    <row r="10043" spans="1:6" x14ac:dyDescent="0.3">
      <c r="A10043" s="8" t="s">
        <v>20043</v>
      </c>
      <c r="B10043" s="8" t="s">
        <v>63645</v>
      </c>
      <c r="C10043" s="8" t="s">
        <v>20044</v>
      </c>
      <c r="D10043" s="8"/>
      <c r="E10043" s="6"/>
      <c r="F10043" s="6"/>
    </row>
    <row r="10044" spans="1:6" x14ac:dyDescent="0.3">
      <c r="A10044" s="8" t="s">
        <v>20045</v>
      </c>
      <c r="B10044" s="8" t="s">
        <v>63646</v>
      </c>
      <c r="C10044" s="8" t="s">
        <v>20046</v>
      </c>
      <c r="D10044" s="8"/>
      <c r="E10044" s="6"/>
      <c r="F10044" s="6"/>
    </row>
    <row r="10045" spans="1:6" x14ac:dyDescent="0.3">
      <c r="A10045" s="8" t="s">
        <v>20047</v>
      </c>
      <c r="B10045" s="8" t="s">
        <v>63647</v>
      </c>
      <c r="C10045" s="8" t="s">
        <v>20048</v>
      </c>
      <c r="D10045" s="8"/>
      <c r="E10045" s="6"/>
      <c r="F10045" s="6"/>
    </row>
    <row r="10046" spans="1:6" x14ac:dyDescent="0.3">
      <c r="A10046" s="8" t="s">
        <v>20049</v>
      </c>
      <c r="B10046" s="8" t="s">
        <v>63648</v>
      </c>
      <c r="C10046" s="8" t="s">
        <v>20050</v>
      </c>
      <c r="D10046" s="8"/>
      <c r="E10046" s="6"/>
      <c r="F10046" s="6"/>
    </row>
    <row r="10047" spans="1:6" x14ac:dyDescent="0.3">
      <c r="A10047" s="8" t="s">
        <v>20051</v>
      </c>
      <c r="B10047" s="8" t="s">
        <v>63649</v>
      </c>
      <c r="C10047" s="8" t="s">
        <v>20052</v>
      </c>
      <c r="D10047" s="8"/>
      <c r="E10047" s="6"/>
      <c r="F10047" s="6"/>
    </row>
    <row r="10048" spans="1:6" x14ac:dyDescent="0.3">
      <c r="A10048" s="8" t="s">
        <v>20053</v>
      </c>
      <c r="B10048" s="8" t="s">
        <v>63650</v>
      </c>
      <c r="C10048" s="8" t="s">
        <v>20054</v>
      </c>
      <c r="D10048" s="8"/>
      <c r="E10048" s="6"/>
      <c r="F10048" s="6"/>
    </row>
    <row r="10049" spans="1:6" x14ac:dyDescent="0.3">
      <c r="A10049" s="8" t="s">
        <v>20055</v>
      </c>
      <c r="B10049" s="8" t="s">
        <v>63651</v>
      </c>
      <c r="C10049" s="8" t="s">
        <v>20056</v>
      </c>
      <c r="D10049" s="8"/>
      <c r="E10049" s="6"/>
      <c r="F10049" s="6"/>
    </row>
    <row r="10050" spans="1:6" x14ac:dyDescent="0.3">
      <c r="A10050" s="8" t="s">
        <v>20057</v>
      </c>
      <c r="B10050" s="8" t="s">
        <v>63652</v>
      </c>
      <c r="C10050" s="8" t="s">
        <v>20058</v>
      </c>
      <c r="D10050" s="8"/>
      <c r="E10050" s="6"/>
      <c r="F10050" s="6"/>
    </row>
    <row r="10051" spans="1:6" x14ac:dyDescent="0.3">
      <c r="A10051" s="8" t="s">
        <v>20059</v>
      </c>
      <c r="B10051" s="8" t="s">
        <v>63653</v>
      </c>
      <c r="C10051" s="8" t="s">
        <v>20060</v>
      </c>
      <c r="D10051" s="8"/>
      <c r="E10051" s="6"/>
      <c r="F10051" s="6"/>
    </row>
    <row r="10052" spans="1:6" x14ac:dyDescent="0.3">
      <c r="A10052" s="8" t="s">
        <v>20061</v>
      </c>
      <c r="B10052" s="8" t="s">
        <v>63654</v>
      </c>
      <c r="C10052" s="8" t="s">
        <v>20062</v>
      </c>
      <c r="D10052" s="8"/>
      <c r="E10052" s="6"/>
      <c r="F10052" s="6"/>
    </row>
    <row r="10053" spans="1:6" x14ac:dyDescent="0.3">
      <c r="A10053" s="8" t="s">
        <v>20063</v>
      </c>
      <c r="B10053" s="8" t="s">
        <v>63655</v>
      </c>
      <c r="C10053" s="8" t="s">
        <v>20064</v>
      </c>
      <c r="D10053" s="8"/>
      <c r="E10053" s="6"/>
      <c r="F10053" s="6"/>
    </row>
    <row r="10054" spans="1:6" x14ac:dyDescent="0.3">
      <c r="A10054" s="8" t="s">
        <v>20065</v>
      </c>
      <c r="B10054" s="8" t="s">
        <v>63656</v>
      </c>
      <c r="C10054" s="8" t="s">
        <v>20066</v>
      </c>
      <c r="D10054" s="8"/>
      <c r="E10054" s="6"/>
      <c r="F10054" s="6"/>
    </row>
    <row r="10055" spans="1:6" x14ac:dyDescent="0.3">
      <c r="A10055" s="8" t="s">
        <v>20067</v>
      </c>
      <c r="B10055" s="8" t="s">
        <v>63657</v>
      </c>
      <c r="C10055" s="8" t="s">
        <v>20068</v>
      </c>
      <c r="D10055" s="8"/>
      <c r="E10055" s="6"/>
      <c r="F10055" s="6"/>
    </row>
    <row r="10056" spans="1:6" x14ac:dyDescent="0.3">
      <c r="A10056" s="8" t="s">
        <v>20069</v>
      </c>
      <c r="B10056" s="8" t="s">
        <v>63658</v>
      </c>
      <c r="C10056" s="8" t="s">
        <v>20070</v>
      </c>
      <c r="D10056" s="8"/>
      <c r="E10056" s="6"/>
      <c r="F10056" s="6"/>
    </row>
    <row r="10057" spans="1:6" x14ac:dyDescent="0.3">
      <c r="A10057" s="8" t="s">
        <v>20071</v>
      </c>
      <c r="B10057" s="8" t="s">
        <v>63659</v>
      </c>
      <c r="C10057" s="8" t="s">
        <v>20072</v>
      </c>
      <c r="D10057" s="8"/>
      <c r="E10057" s="6"/>
      <c r="F10057" s="6"/>
    </row>
    <row r="10058" spans="1:6" x14ac:dyDescent="0.3">
      <c r="A10058" s="8" t="s">
        <v>20073</v>
      </c>
      <c r="B10058" s="8" t="s">
        <v>63660</v>
      </c>
      <c r="C10058" s="8" t="s">
        <v>20074</v>
      </c>
      <c r="D10058" s="8"/>
      <c r="E10058" s="6"/>
      <c r="F10058" s="6"/>
    </row>
    <row r="10059" spans="1:6" x14ac:dyDescent="0.3">
      <c r="A10059" s="8" t="s">
        <v>20075</v>
      </c>
      <c r="B10059" s="8" t="s">
        <v>63661</v>
      </c>
      <c r="C10059" s="8" t="s">
        <v>20076</v>
      </c>
      <c r="D10059" s="8"/>
      <c r="E10059" s="6"/>
      <c r="F10059" s="6"/>
    </row>
    <row r="10060" spans="1:6" x14ac:dyDescent="0.3">
      <c r="A10060" s="8" t="s">
        <v>20077</v>
      </c>
      <c r="B10060" s="8" t="s">
        <v>63662</v>
      </c>
      <c r="C10060" s="8" t="s">
        <v>20078</v>
      </c>
      <c r="D10060" s="8"/>
      <c r="E10060" s="6"/>
      <c r="F10060" s="6"/>
    </row>
    <row r="10061" spans="1:6" x14ac:dyDescent="0.3">
      <c r="A10061" s="8" t="s">
        <v>20079</v>
      </c>
      <c r="B10061" s="8" t="s">
        <v>63663</v>
      </c>
      <c r="C10061" s="8" t="s">
        <v>20080</v>
      </c>
      <c r="D10061" s="8"/>
      <c r="E10061" s="6"/>
      <c r="F10061" s="6"/>
    </row>
    <row r="10062" spans="1:6" x14ac:dyDescent="0.3">
      <c r="A10062" s="8" t="s">
        <v>20081</v>
      </c>
      <c r="B10062" s="8" t="s">
        <v>63664</v>
      </c>
      <c r="C10062" s="8" t="s">
        <v>20082</v>
      </c>
      <c r="D10062" s="8"/>
      <c r="E10062" s="6"/>
      <c r="F10062" s="6"/>
    </row>
    <row r="10063" spans="1:6" x14ac:dyDescent="0.3">
      <c r="A10063" s="8" t="s">
        <v>20083</v>
      </c>
      <c r="B10063" s="8" t="s">
        <v>63665</v>
      </c>
      <c r="C10063" s="8" t="s">
        <v>20084</v>
      </c>
      <c r="D10063" s="8"/>
      <c r="E10063" s="6"/>
      <c r="F10063" s="6"/>
    </row>
    <row r="10064" spans="1:6" x14ac:dyDescent="0.3">
      <c r="A10064" s="8" t="s">
        <v>20085</v>
      </c>
      <c r="B10064" s="8" t="s">
        <v>63666</v>
      </c>
      <c r="C10064" s="8" t="s">
        <v>20086</v>
      </c>
      <c r="D10064" s="8"/>
      <c r="E10064" s="6"/>
      <c r="F10064" s="6"/>
    </row>
    <row r="10065" spans="1:6" x14ac:dyDescent="0.3">
      <c r="A10065" s="8" t="s">
        <v>20087</v>
      </c>
      <c r="B10065" s="8" t="s">
        <v>63667</v>
      </c>
      <c r="C10065" s="8" t="s">
        <v>20088</v>
      </c>
      <c r="D10065" s="8"/>
      <c r="E10065" s="6"/>
      <c r="F10065" s="6"/>
    </row>
    <row r="10066" spans="1:6" x14ac:dyDescent="0.3">
      <c r="A10066" s="8" t="s">
        <v>20089</v>
      </c>
      <c r="B10066" s="8" t="s">
        <v>63668</v>
      </c>
      <c r="C10066" s="8" t="s">
        <v>20090</v>
      </c>
      <c r="D10066" s="8"/>
      <c r="E10066" s="6"/>
      <c r="F10066" s="6"/>
    </row>
    <row r="10067" spans="1:6" x14ac:dyDescent="0.3">
      <c r="A10067" s="8" t="s">
        <v>20091</v>
      </c>
      <c r="B10067" s="8" t="s">
        <v>63669</v>
      </c>
      <c r="C10067" s="8" t="s">
        <v>20092</v>
      </c>
      <c r="D10067" s="8"/>
      <c r="E10067" s="6"/>
      <c r="F10067" s="6"/>
    </row>
    <row r="10068" spans="1:6" x14ac:dyDescent="0.3">
      <c r="A10068" s="8" t="s">
        <v>20093</v>
      </c>
      <c r="B10068" s="8" t="s">
        <v>63670</v>
      </c>
      <c r="C10068" s="8" t="s">
        <v>20094</v>
      </c>
      <c r="D10068" s="8"/>
      <c r="E10068" s="6"/>
      <c r="F10068" s="6"/>
    </row>
    <row r="10069" spans="1:6" x14ac:dyDescent="0.3">
      <c r="A10069" s="8" t="s">
        <v>20095</v>
      </c>
      <c r="B10069" s="8" t="s">
        <v>63671</v>
      </c>
      <c r="C10069" s="8" t="s">
        <v>20096</v>
      </c>
      <c r="D10069" s="8"/>
      <c r="E10069" s="6"/>
      <c r="F10069" s="6"/>
    </row>
    <row r="10070" spans="1:6" x14ac:dyDescent="0.3">
      <c r="A10070" s="8" t="s">
        <v>20097</v>
      </c>
      <c r="B10070" s="8" t="s">
        <v>63672</v>
      </c>
      <c r="C10070" s="8" t="s">
        <v>20098</v>
      </c>
      <c r="D10070" s="8"/>
      <c r="E10070" s="6"/>
      <c r="F10070" s="6"/>
    </row>
    <row r="10071" spans="1:6" x14ac:dyDescent="0.3">
      <c r="A10071" s="8" t="s">
        <v>20099</v>
      </c>
      <c r="B10071" s="8" t="s">
        <v>63673</v>
      </c>
      <c r="C10071" s="8" t="s">
        <v>20100</v>
      </c>
      <c r="D10071" s="8"/>
      <c r="E10071" s="6"/>
      <c r="F10071" s="6"/>
    </row>
    <row r="10072" spans="1:6" x14ac:dyDescent="0.3">
      <c r="A10072" s="8" t="s">
        <v>20101</v>
      </c>
      <c r="B10072" s="8" t="s">
        <v>63674</v>
      </c>
      <c r="C10072" s="8" t="s">
        <v>20102</v>
      </c>
      <c r="D10072" s="8"/>
      <c r="E10072" s="6"/>
      <c r="F10072" s="6"/>
    </row>
    <row r="10073" spans="1:6" x14ac:dyDescent="0.3">
      <c r="A10073" s="8" t="s">
        <v>20103</v>
      </c>
      <c r="B10073" s="8" t="s">
        <v>63675</v>
      </c>
      <c r="C10073" s="8" t="s">
        <v>20104</v>
      </c>
      <c r="D10073" s="8"/>
      <c r="E10073" s="6"/>
      <c r="F10073" s="6"/>
    </row>
    <row r="10074" spans="1:6" x14ac:dyDescent="0.3">
      <c r="A10074" s="8" t="s">
        <v>20105</v>
      </c>
      <c r="B10074" s="8" t="s">
        <v>63676</v>
      </c>
      <c r="C10074" s="8" t="s">
        <v>20106</v>
      </c>
      <c r="D10074" s="8"/>
      <c r="E10074" s="6"/>
      <c r="F10074" s="6"/>
    </row>
    <row r="10075" spans="1:6" x14ac:dyDescent="0.3">
      <c r="A10075" s="8" t="s">
        <v>20107</v>
      </c>
      <c r="B10075" s="8" t="s">
        <v>63677</v>
      </c>
      <c r="C10075" s="8" t="s">
        <v>20108</v>
      </c>
      <c r="D10075" s="8"/>
      <c r="E10075" s="6"/>
      <c r="F10075" s="6"/>
    </row>
    <row r="10076" spans="1:6" x14ac:dyDescent="0.3">
      <c r="A10076" s="8" t="s">
        <v>20109</v>
      </c>
      <c r="B10076" s="8" t="s">
        <v>63678</v>
      </c>
      <c r="C10076" s="8" t="s">
        <v>20110</v>
      </c>
      <c r="D10076" s="8"/>
      <c r="E10076" s="6"/>
      <c r="F10076" s="6"/>
    </row>
    <row r="10077" spans="1:6" x14ac:dyDescent="0.3">
      <c r="A10077" s="8" t="s">
        <v>20111</v>
      </c>
      <c r="B10077" s="8" t="s">
        <v>63679</v>
      </c>
      <c r="C10077" s="8" t="s">
        <v>20112</v>
      </c>
      <c r="D10077" s="8"/>
      <c r="E10077" s="6"/>
      <c r="F10077" s="6"/>
    </row>
    <row r="10078" spans="1:6" x14ac:dyDescent="0.3">
      <c r="A10078" s="8" t="s">
        <v>20113</v>
      </c>
      <c r="B10078" s="8" t="s">
        <v>63680</v>
      </c>
      <c r="C10078" s="8" t="s">
        <v>20114</v>
      </c>
      <c r="D10078" s="8"/>
      <c r="E10078" s="6"/>
      <c r="F10078" s="6"/>
    </row>
    <row r="10079" spans="1:6" x14ac:dyDescent="0.3">
      <c r="A10079" s="8" t="s">
        <v>20115</v>
      </c>
      <c r="B10079" s="8" t="s">
        <v>63681</v>
      </c>
      <c r="C10079" s="8" t="s">
        <v>20116</v>
      </c>
      <c r="D10079" s="8"/>
      <c r="E10079" s="6"/>
      <c r="F10079" s="6"/>
    </row>
    <row r="10080" spans="1:6" x14ac:dyDescent="0.3">
      <c r="A10080" s="8" t="s">
        <v>20117</v>
      </c>
      <c r="B10080" s="8" t="s">
        <v>63682</v>
      </c>
      <c r="C10080" s="8" t="s">
        <v>20118</v>
      </c>
      <c r="D10080" s="8"/>
      <c r="E10080" s="6"/>
      <c r="F10080" s="6"/>
    </row>
    <row r="10081" spans="1:6" x14ac:dyDescent="0.3">
      <c r="A10081" s="8" t="s">
        <v>20119</v>
      </c>
      <c r="B10081" s="8" t="s">
        <v>63683</v>
      </c>
      <c r="C10081" s="8" t="s">
        <v>20120</v>
      </c>
      <c r="D10081" s="8"/>
      <c r="E10081" s="6"/>
      <c r="F10081" s="6"/>
    </row>
    <row r="10082" spans="1:6" x14ac:dyDescent="0.3">
      <c r="A10082" s="8" t="s">
        <v>20121</v>
      </c>
      <c r="B10082" s="8" t="s">
        <v>63684</v>
      </c>
      <c r="C10082" s="8" t="s">
        <v>20122</v>
      </c>
      <c r="D10082" s="8"/>
      <c r="E10082" s="6"/>
      <c r="F10082" s="6"/>
    </row>
    <row r="10083" spans="1:6" x14ac:dyDescent="0.3">
      <c r="A10083" s="8" t="s">
        <v>20123</v>
      </c>
      <c r="B10083" s="8" t="s">
        <v>63685</v>
      </c>
      <c r="C10083" s="8" t="s">
        <v>20124</v>
      </c>
      <c r="D10083" s="8"/>
      <c r="E10083" s="6"/>
      <c r="F10083" s="6"/>
    </row>
    <row r="10084" spans="1:6" x14ac:dyDescent="0.3">
      <c r="A10084" s="8" t="s">
        <v>20125</v>
      </c>
      <c r="B10084" s="8" t="s">
        <v>63686</v>
      </c>
      <c r="C10084" s="8" t="s">
        <v>20126</v>
      </c>
      <c r="D10084" s="8"/>
      <c r="E10084" s="6"/>
      <c r="F10084" s="6"/>
    </row>
    <row r="10085" spans="1:6" x14ac:dyDescent="0.3">
      <c r="A10085" s="8" t="s">
        <v>20127</v>
      </c>
      <c r="B10085" s="8" t="s">
        <v>63687</v>
      </c>
      <c r="C10085" s="8" t="s">
        <v>20128</v>
      </c>
      <c r="D10085" s="8"/>
      <c r="E10085" s="6"/>
      <c r="F10085" s="6"/>
    </row>
    <row r="10086" spans="1:6" x14ac:dyDescent="0.3">
      <c r="A10086" s="8" t="s">
        <v>20129</v>
      </c>
      <c r="B10086" s="8" t="s">
        <v>63688</v>
      </c>
      <c r="C10086" s="8" t="s">
        <v>20130</v>
      </c>
      <c r="D10086" s="8"/>
      <c r="E10086" s="6"/>
      <c r="F10086" s="6"/>
    </row>
    <row r="10087" spans="1:6" x14ac:dyDescent="0.3">
      <c r="A10087" s="8" t="s">
        <v>20131</v>
      </c>
      <c r="B10087" s="8" t="s">
        <v>63689</v>
      </c>
      <c r="C10087" s="8" t="s">
        <v>20132</v>
      </c>
      <c r="D10087" s="8"/>
      <c r="E10087" s="6"/>
      <c r="F10087" s="6"/>
    </row>
    <row r="10088" spans="1:6" x14ac:dyDescent="0.3">
      <c r="A10088" s="8" t="s">
        <v>20133</v>
      </c>
      <c r="B10088" s="8" t="s">
        <v>63690</v>
      </c>
      <c r="C10088" s="8" t="s">
        <v>20134</v>
      </c>
      <c r="D10088" s="8"/>
      <c r="E10088" s="6"/>
      <c r="F10088" s="6"/>
    </row>
    <row r="10089" spans="1:6" x14ac:dyDescent="0.3">
      <c r="A10089" s="8" t="s">
        <v>20135</v>
      </c>
      <c r="B10089" s="8" t="s">
        <v>63691</v>
      </c>
      <c r="C10089" s="8" t="s">
        <v>20136</v>
      </c>
      <c r="D10089" s="8"/>
      <c r="E10089" s="6"/>
      <c r="F10089" s="6"/>
    </row>
    <row r="10090" spans="1:6" x14ac:dyDescent="0.3">
      <c r="A10090" s="8" t="s">
        <v>20137</v>
      </c>
      <c r="B10090" s="8" t="s">
        <v>63692</v>
      </c>
      <c r="C10090" s="8" t="s">
        <v>20138</v>
      </c>
      <c r="D10090" s="8"/>
      <c r="E10090" s="6"/>
      <c r="F10090" s="6"/>
    </row>
    <row r="10091" spans="1:6" x14ac:dyDescent="0.3">
      <c r="A10091" s="8" t="s">
        <v>20139</v>
      </c>
      <c r="B10091" s="8" t="s">
        <v>63693</v>
      </c>
      <c r="C10091" s="8" t="s">
        <v>20140</v>
      </c>
      <c r="D10091" s="8"/>
      <c r="E10091" s="6"/>
      <c r="F10091" s="6"/>
    </row>
    <row r="10092" spans="1:6" x14ac:dyDescent="0.3">
      <c r="A10092" s="8" t="s">
        <v>20141</v>
      </c>
      <c r="B10092" s="8" t="s">
        <v>63694</v>
      </c>
      <c r="C10092" s="8" t="s">
        <v>20142</v>
      </c>
      <c r="D10092" s="8"/>
      <c r="E10092" s="6"/>
      <c r="F10092" s="6"/>
    </row>
    <row r="10093" spans="1:6" x14ac:dyDescent="0.3">
      <c r="A10093" s="8" t="s">
        <v>20143</v>
      </c>
      <c r="B10093" s="8" t="s">
        <v>63695</v>
      </c>
      <c r="C10093" s="8" t="s">
        <v>20144</v>
      </c>
      <c r="D10093" s="8"/>
      <c r="E10093" s="6"/>
      <c r="F10093" s="6"/>
    </row>
    <row r="10094" spans="1:6" x14ac:dyDescent="0.3">
      <c r="A10094" s="8" t="s">
        <v>20145</v>
      </c>
      <c r="B10094" s="8" t="s">
        <v>63696</v>
      </c>
      <c r="C10094" s="8" t="s">
        <v>20146</v>
      </c>
      <c r="D10094" s="8"/>
      <c r="E10094" s="6"/>
      <c r="F10094" s="6"/>
    </row>
    <row r="10095" spans="1:6" x14ac:dyDescent="0.3">
      <c r="A10095" s="8" t="s">
        <v>20147</v>
      </c>
      <c r="B10095" s="8" t="s">
        <v>63697</v>
      </c>
      <c r="C10095" s="8" t="s">
        <v>20148</v>
      </c>
      <c r="D10095" s="8"/>
      <c r="E10095" s="6"/>
      <c r="F10095" s="6"/>
    </row>
    <row r="10096" spans="1:6" x14ac:dyDescent="0.3">
      <c r="A10096" s="8" t="s">
        <v>20149</v>
      </c>
      <c r="B10096" s="8" t="s">
        <v>63698</v>
      </c>
      <c r="C10096" s="8" t="s">
        <v>20150</v>
      </c>
      <c r="D10096" s="8"/>
      <c r="E10096" s="6"/>
      <c r="F10096" s="6"/>
    </row>
    <row r="10097" spans="1:6" x14ac:dyDescent="0.3">
      <c r="A10097" s="8" t="s">
        <v>20151</v>
      </c>
      <c r="B10097" s="8" t="s">
        <v>63699</v>
      </c>
      <c r="C10097" s="8" t="s">
        <v>20152</v>
      </c>
      <c r="D10097" s="8"/>
      <c r="E10097" s="6"/>
      <c r="F10097" s="6"/>
    </row>
    <row r="10098" spans="1:6" x14ac:dyDescent="0.3">
      <c r="A10098" s="8" t="s">
        <v>20153</v>
      </c>
      <c r="B10098" s="8" t="s">
        <v>63700</v>
      </c>
      <c r="C10098" s="8" t="s">
        <v>20154</v>
      </c>
      <c r="D10098" s="8"/>
      <c r="E10098" s="6"/>
      <c r="F10098" s="6"/>
    </row>
    <row r="10099" spans="1:6" x14ac:dyDescent="0.3">
      <c r="A10099" s="8" t="s">
        <v>20155</v>
      </c>
      <c r="B10099" s="8" t="s">
        <v>63701</v>
      </c>
      <c r="C10099" s="8" t="s">
        <v>20156</v>
      </c>
      <c r="D10099" s="8"/>
      <c r="E10099" s="6"/>
      <c r="F10099" s="6"/>
    </row>
    <row r="10100" spans="1:6" x14ac:dyDescent="0.3">
      <c r="A10100" s="8" t="s">
        <v>20157</v>
      </c>
      <c r="B10100" s="8" t="s">
        <v>63702</v>
      </c>
      <c r="C10100" s="8" t="s">
        <v>20158</v>
      </c>
      <c r="D10100" s="8"/>
      <c r="E10100" s="6"/>
      <c r="F10100" s="6"/>
    </row>
    <row r="10101" spans="1:6" x14ac:dyDescent="0.3">
      <c r="A10101" s="8" t="s">
        <v>20159</v>
      </c>
      <c r="B10101" s="8" t="s">
        <v>63703</v>
      </c>
      <c r="C10101" s="8" t="s">
        <v>20160</v>
      </c>
      <c r="D10101" s="8"/>
      <c r="E10101" s="6"/>
      <c r="F10101" s="6"/>
    </row>
    <row r="10102" spans="1:6" x14ac:dyDescent="0.3">
      <c r="A10102" s="8" t="s">
        <v>20161</v>
      </c>
      <c r="B10102" s="8" t="s">
        <v>63704</v>
      </c>
      <c r="C10102" s="8" t="s">
        <v>20162</v>
      </c>
      <c r="D10102" s="8"/>
      <c r="E10102" s="6"/>
      <c r="F10102" s="6"/>
    </row>
    <row r="10103" spans="1:6" x14ac:dyDescent="0.3">
      <c r="A10103" s="8" t="s">
        <v>20163</v>
      </c>
      <c r="B10103" s="8" t="s">
        <v>63705</v>
      </c>
      <c r="C10103" s="8" t="s">
        <v>20164</v>
      </c>
      <c r="D10103" s="8"/>
      <c r="E10103" s="6"/>
      <c r="F10103" s="6"/>
    </row>
    <row r="10104" spans="1:6" x14ac:dyDescent="0.3">
      <c r="A10104" s="8" t="s">
        <v>20165</v>
      </c>
      <c r="B10104" s="8" t="s">
        <v>63706</v>
      </c>
      <c r="C10104" s="8" t="s">
        <v>20166</v>
      </c>
      <c r="D10104" s="8"/>
      <c r="E10104" s="6"/>
      <c r="F10104" s="6"/>
    </row>
    <row r="10105" spans="1:6" x14ac:dyDescent="0.3">
      <c r="A10105" s="8" t="s">
        <v>20167</v>
      </c>
      <c r="B10105" s="8" t="s">
        <v>63707</v>
      </c>
      <c r="C10105" s="8" t="s">
        <v>20168</v>
      </c>
      <c r="D10105" s="8"/>
      <c r="E10105" s="6"/>
      <c r="F10105" s="6"/>
    </row>
    <row r="10106" spans="1:6" x14ac:dyDescent="0.3">
      <c r="A10106" s="8" t="s">
        <v>20169</v>
      </c>
      <c r="B10106" s="8" t="s">
        <v>63708</v>
      </c>
      <c r="C10106" s="8" t="s">
        <v>20170</v>
      </c>
      <c r="D10106" s="8"/>
      <c r="E10106" s="6"/>
      <c r="F10106" s="6"/>
    </row>
    <row r="10107" spans="1:6" x14ac:dyDescent="0.3">
      <c r="A10107" s="8" t="s">
        <v>20171</v>
      </c>
      <c r="B10107" s="8" t="s">
        <v>63709</v>
      </c>
      <c r="C10107" s="8" t="s">
        <v>20172</v>
      </c>
      <c r="D10107" s="8"/>
      <c r="E10107" s="6"/>
      <c r="F10107" s="6"/>
    </row>
    <row r="10108" spans="1:6" x14ac:dyDescent="0.3">
      <c r="A10108" s="8" t="s">
        <v>20173</v>
      </c>
      <c r="B10108" s="8" t="s">
        <v>63710</v>
      </c>
      <c r="C10108" s="8" t="s">
        <v>20174</v>
      </c>
      <c r="D10108" s="8"/>
      <c r="E10108" s="6"/>
      <c r="F10108" s="6"/>
    </row>
    <row r="10109" spans="1:6" x14ac:dyDescent="0.3">
      <c r="A10109" s="8" t="s">
        <v>20175</v>
      </c>
      <c r="B10109" s="8" t="s">
        <v>63711</v>
      </c>
      <c r="C10109" s="8" t="s">
        <v>20176</v>
      </c>
      <c r="D10109" s="8"/>
      <c r="E10109" s="6"/>
      <c r="F10109" s="6"/>
    </row>
    <row r="10110" spans="1:6" x14ac:dyDescent="0.3">
      <c r="A10110" s="8" t="s">
        <v>20177</v>
      </c>
      <c r="B10110" s="8" t="s">
        <v>63712</v>
      </c>
      <c r="C10110" s="8" t="s">
        <v>20178</v>
      </c>
      <c r="D10110" s="8"/>
      <c r="E10110" s="6"/>
      <c r="F10110" s="6"/>
    </row>
    <row r="10111" spans="1:6" x14ac:dyDescent="0.3">
      <c r="A10111" s="8" t="s">
        <v>20179</v>
      </c>
      <c r="B10111" s="8" t="s">
        <v>63713</v>
      </c>
      <c r="C10111" s="8" t="s">
        <v>20180</v>
      </c>
      <c r="D10111" s="8"/>
      <c r="E10111" s="6"/>
      <c r="F10111" s="6"/>
    </row>
    <row r="10112" spans="1:6" x14ac:dyDescent="0.3">
      <c r="A10112" s="8" t="s">
        <v>20181</v>
      </c>
      <c r="B10112" s="8" t="s">
        <v>63714</v>
      </c>
      <c r="C10112" s="8" t="s">
        <v>20182</v>
      </c>
      <c r="D10112" s="8"/>
      <c r="E10112" s="6"/>
      <c r="F10112" s="6"/>
    </row>
    <row r="10113" spans="1:6" x14ac:dyDescent="0.3">
      <c r="A10113" s="8" t="s">
        <v>20183</v>
      </c>
      <c r="B10113" s="8" t="s">
        <v>63715</v>
      </c>
      <c r="C10113" s="8" t="s">
        <v>20184</v>
      </c>
      <c r="D10113" s="8"/>
      <c r="E10113" s="6"/>
      <c r="F10113" s="6"/>
    </row>
    <row r="10114" spans="1:6" x14ac:dyDescent="0.3">
      <c r="A10114" s="8" t="s">
        <v>20185</v>
      </c>
      <c r="B10114" s="8" t="s">
        <v>63716</v>
      </c>
      <c r="C10114" s="8" t="s">
        <v>20186</v>
      </c>
      <c r="D10114" s="8"/>
      <c r="E10114" s="6"/>
      <c r="F10114" s="6"/>
    </row>
    <row r="10115" spans="1:6" x14ac:dyDescent="0.3">
      <c r="A10115" s="8" t="s">
        <v>20187</v>
      </c>
      <c r="B10115" s="8" t="s">
        <v>63717</v>
      </c>
      <c r="C10115" s="8" t="s">
        <v>20188</v>
      </c>
      <c r="D10115" s="8"/>
      <c r="E10115" s="6"/>
      <c r="F10115" s="6"/>
    </row>
    <row r="10116" spans="1:6" x14ac:dyDescent="0.3">
      <c r="A10116" s="8" t="s">
        <v>20189</v>
      </c>
      <c r="B10116" s="8" t="s">
        <v>63718</v>
      </c>
      <c r="C10116" s="8" t="s">
        <v>20190</v>
      </c>
      <c r="D10116" s="8"/>
      <c r="E10116" s="6"/>
      <c r="F10116" s="6"/>
    </row>
    <row r="10117" spans="1:6" x14ac:dyDescent="0.3">
      <c r="A10117" s="8" t="s">
        <v>20191</v>
      </c>
      <c r="B10117" s="8" t="s">
        <v>63719</v>
      </c>
      <c r="C10117" s="8" t="s">
        <v>20192</v>
      </c>
      <c r="D10117" s="8"/>
      <c r="E10117" s="6"/>
      <c r="F10117" s="6"/>
    </row>
    <row r="10118" spans="1:6" x14ac:dyDescent="0.3">
      <c r="A10118" s="8" t="s">
        <v>20193</v>
      </c>
      <c r="B10118" s="8" t="s">
        <v>63720</v>
      </c>
      <c r="C10118" s="8" t="s">
        <v>20194</v>
      </c>
      <c r="D10118" s="8"/>
      <c r="E10118" s="6"/>
      <c r="F10118" s="6"/>
    </row>
    <row r="10119" spans="1:6" x14ac:dyDescent="0.3">
      <c r="A10119" s="8" t="s">
        <v>20195</v>
      </c>
      <c r="B10119" s="8" t="s">
        <v>63721</v>
      </c>
      <c r="C10119" s="8" t="s">
        <v>20196</v>
      </c>
      <c r="D10119" s="8"/>
      <c r="E10119" s="6"/>
      <c r="F10119" s="6"/>
    </row>
    <row r="10120" spans="1:6" x14ac:dyDescent="0.3">
      <c r="A10120" s="8" t="s">
        <v>20197</v>
      </c>
      <c r="B10120" s="8" t="s">
        <v>63722</v>
      </c>
      <c r="C10120" s="8" t="s">
        <v>20198</v>
      </c>
      <c r="D10120" s="8"/>
      <c r="E10120" s="6"/>
      <c r="F10120" s="6"/>
    </row>
    <row r="10121" spans="1:6" x14ac:dyDescent="0.3">
      <c r="A10121" s="8" t="s">
        <v>20199</v>
      </c>
      <c r="B10121" s="8" t="s">
        <v>63723</v>
      </c>
      <c r="C10121" s="8" t="s">
        <v>20200</v>
      </c>
      <c r="D10121" s="8"/>
      <c r="E10121" s="6"/>
      <c r="F10121" s="6"/>
    </row>
    <row r="10122" spans="1:6" x14ac:dyDescent="0.3">
      <c r="A10122" s="8" t="s">
        <v>20201</v>
      </c>
      <c r="B10122" s="8" t="s">
        <v>63724</v>
      </c>
      <c r="C10122" s="8" t="s">
        <v>20202</v>
      </c>
      <c r="D10122" s="8"/>
      <c r="E10122" s="6"/>
      <c r="F10122" s="6"/>
    </row>
    <row r="10123" spans="1:6" x14ac:dyDescent="0.3">
      <c r="A10123" s="8" t="s">
        <v>20203</v>
      </c>
      <c r="B10123" s="8" t="s">
        <v>63725</v>
      </c>
      <c r="C10123" s="8" t="s">
        <v>20204</v>
      </c>
      <c r="D10123" s="8"/>
      <c r="E10123" s="6"/>
      <c r="F10123" s="6"/>
    </row>
    <row r="10124" spans="1:6" x14ac:dyDescent="0.3">
      <c r="A10124" s="8" t="s">
        <v>20205</v>
      </c>
      <c r="B10124" s="8" t="s">
        <v>63726</v>
      </c>
      <c r="C10124" s="8" t="s">
        <v>20206</v>
      </c>
      <c r="D10124" s="8"/>
      <c r="E10124" s="6"/>
      <c r="F10124" s="6"/>
    </row>
    <row r="10125" spans="1:6" x14ac:dyDescent="0.3">
      <c r="A10125" s="8" t="s">
        <v>20207</v>
      </c>
      <c r="B10125" s="8" t="s">
        <v>63727</v>
      </c>
      <c r="C10125" s="8" t="s">
        <v>20208</v>
      </c>
      <c r="D10125" s="8"/>
      <c r="E10125" s="6"/>
      <c r="F10125" s="6"/>
    </row>
    <row r="10126" spans="1:6" x14ac:dyDescent="0.3">
      <c r="A10126" s="8" t="s">
        <v>20209</v>
      </c>
      <c r="B10126" s="8" t="s">
        <v>63728</v>
      </c>
      <c r="C10126" s="8" t="s">
        <v>20210</v>
      </c>
      <c r="D10126" s="8"/>
      <c r="E10126" s="6"/>
      <c r="F10126" s="6"/>
    </row>
    <row r="10127" spans="1:6" x14ac:dyDescent="0.3">
      <c r="A10127" s="8" t="s">
        <v>20211</v>
      </c>
      <c r="B10127" s="8" t="s">
        <v>63729</v>
      </c>
      <c r="C10127" s="8" t="s">
        <v>20212</v>
      </c>
      <c r="D10127" s="8"/>
      <c r="E10127" s="6"/>
      <c r="F10127" s="6"/>
    </row>
    <row r="10128" spans="1:6" x14ac:dyDescent="0.3">
      <c r="A10128" s="8" t="s">
        <v>20213</v>
      </c>
      <c r="B10128" s="8" t="s">
        <v>63730</v>
      </c>
      <c r="C10128" s="8" t="s">
        <v>20214</v>
      </c>
      <c r="D10128" s="8"/>
      <c r="E10128" s="6"/>
      <c r="F10128" s="6"/>
    </row>
    <row r="10129" spans="1:6" x14ac:dyDescent="0.3">
      <c r="A10129" s="8" t="s">
        <v>20215</v>
      </c>
      <c r="B10129" s="8" t="s">
        <v>63731</v>
      </c>
      <c r="C10129" s="8" t="s">
        <v>20216</v>
      </c>
      <c r="D10129" s="8"/>
      <c r="E10129" s="6"/>
      <c r="F10129" s="6"/>
    </row>
    <row r="10130" spans="1:6" x14ac:dyDescent="0.3">
      <c r="A10130" s="8" t="s">
        <v>20217</v>
      </c>
      <c r="B10130" s="8" t="s">
        <v>63732</v>
      </c>
      <c r="C10130" s="8" t="s">
        <v>20218</v>
      </c>
      <c r="D10130" s="8"/>
      <c r="E10130" s="6"/>
      <c r="F10130" s="6"/>
    </row>
    <row r="10131" spans="1:6" x14ac:dyDescent="0.3">
      <c r="A10131" s="8" t="s">
        <v>20219</v>
      </c>
      <c r="B10131" s="8" t="s">
        <v>63733</v>
      </c>
      <c r="C10131" s="8" t="s">
        <v>20220</v>
      </c>
      <c r="D10131" s="8"/>
      <c r="E10131" s="6"/>
      <c r="F10131" s="6"/>
    </row>
    <row r="10132" spans="1:6" x14ac:dyDescent="0.3">
      <c r="A10132" s="8" t="s">
        <v>20221</v>
      </c>
      <c r="B10132" s="8" t="s">
        <v>63734</v>
      </c>
      <c r="C10132" s="8" t="s">
        <v>20222</v>
      </c>
      <c r="D10132" s="8"/>
      <c r="E10132" s="6"/>
      <c r="F10132" s="6"/>
    </row>
    <row r="10133" spans="1:6" x14ac:dyDescent="0.3">
      <c r="A10133" s="8" t="s">
        <v>20223</v>
      </c>
      <c r="B10133" s="8" t="s">
        <v>63735</v>
      </c>
      <c r="C10133" s="8" t="s">
        <v>20224</v>
      </c>
      <c r="D10133" s="8"/>
      <c r="E10133" s="6"/>
      <c r="F10133" s="6"/>
    </row>
    <row r="10134" spans="1:6" x14ac:dyDescent="0.3">
      <c r="A10134" s="8" t="s">
        <v>20225</v>
      </c>
      <c r="B10134" s="8" t="s">
        <v>63736</v>
      </c>
      <c r="C10134" s="8" t="s">
        <v>20226</v>
      </c>
      <c r="D10134" s="8"/>
      <c r="E10134" s="6"/>
      <c r="F10134" s="6"/>
    </row>
    <row r="10135" spans="1:6" x14ac:dyDescent="0.3">
      <c r="A10135" s="8" t="s">
        <v>20227</v>
      </c>
      <c r="B10135" s="8" t="s">
        <v>63737</v>
      </c>
      <c r="C10135" s="8" t="s">
        <v>20228</v>
      </c>
      <c r="D10135" s="8"/>
      <c r="E10135" s="6"/>
      <c r="F10135" s="6"/>
    </row>
    <row r="10136" spans="1:6" x14ac:dyDescent="0.3">
      <c r="A10136" s="8" t="s">
        <v>20229</v>
      </c>
      <c r="B10136" s="8" t="s">
        <v>63738</v>
      </c>
      <c r="C10136" s="8" t="s">
        <v>20230</v>
      </c>
      <c r="D10136" s="8"/>
      <c r="E10136" s="6"/>
      <c r="F10136" s="6"/>
    </row>
    <row r="10137" spans="1:6" x14ac:dyDescent="0.3">
      <c r="A10137" s="8" t="s">
        <v>20231</v>
      </c>
      <c r="B10137" s="8" t="s">
        <v>63739</v>
      </c>
      <c r="C10137" s="8" t="s">
        <v>20232</v>
      </c>
      <c r="D10137" s="8"/>
      <c r="E10137" s="6"/>
      <c r="F10137" s="6"/>
    </row>
    <row r="10138" spans="1:6" x14ac:dyDescent="0.3">
      <c r="A10138" s="8" t="s">
        <v>20233</v>
      </c>
      <c r="B10138" s="8" t="s">
        <v>63740</v>
      </c>
      <c r="C10138" s="8" t="s">
        <v>20234</v>
      </c>
      <c r="D10138" s="8"/>
      <c r="E10138" s="6"/>
      <c r="F10138" s="6"/>
    </row>
    <row r="10139" spans="1:6" x14ac:dyDescent="0.3">
      <c r="A10139" s="8" t="s">
        <v>20235</v>
      </c>
      <c r="B10139" s="8" t="s">
        <v>63741</v>
      </c>
      <c r="C10139" s="8" t="s">
        <v>20236</v>
      </c>
      <c r="D10139" s="8"/>
      <c r="E10139" s="6"/>
      <c r="F10139" s="6"/>
    </row>
    <row r="10140" spans="1:6" x14ac:dyDescent="0.3">
      <c r="A10140" s="8" t="s">
        <v>20237</v>
      </c>
      <c r="B10140" s="8" t="s">
        <v>63742</v>
      </c>
      <c r="C10140" s="8" t="s">
        <v>20238</v>
      </c>
      <c r="D10140" s="8"/>
      <c r="E10140" s="6"/>
      <c r="F10140" s="6"/>
    </row>
    <row r="10141" spans="1:6" x14ac:dyDescent="0.3">
      <c r="A10141" s="8" t="s">
        <v>20239</v>
      </c>
      <c r="B10141" s="8" t="s">
        <v>63743</v>
      </c>
      <c r="C10141" s="8" t="s">
        <v>20240</v>
      </c>
      <c r="D10141" s="8"/>
      <c r="E10141" s="6"/>
      <c r="F10141" s="6"/>
    </row>
    <row r="10142" spans="1:6" x14ac:dyDescent="0.3">
      <c r="A10142" s="8" t="s">
        <v>20241</v>
      </c>
      <c r="B10142" s="8" t="s">
        <v>63744</v>
      </c>
      <c r="C10142" s="8" t="s">
        <v>20242</v>
      </c>
      <c r="D10142" s="8"/>
      <c r="E10142" s="6"/>
      <c r="F10142" s="6"/>
    </row>
    <row r="10143" spans="1:6" x14ac:dyDescent="0.3">
      <c r="A10143" s="8" t="s">
        <v>20243</v>
      </c>
      <c r="B10143" s="8" t="s">
        <v>63745</v>
      </c>
      <c r="C10143" s="8" t="s">
        <v>20244</v>
      </c>
      <c r="D10143" s="8"/>
      <c r="E10143" s="6"/>
      <c r="F10143" s="6"/>
    </row>
    <row r="10144" spans="1:6" x14ac:dyDescent="0.3">
      <c r="A10144" s="8" t="s">
        <v>20245</v>
      </c>
      <c r="B10144" s="8" t="s">
        <v>63746</v>
      </c>
      <c r="C10144" s="8" t="s">
        <v>20246</v>
      </c>
      <c r="D10144" s="8"/>
      <c r="E10144" s="6"/>
      <c r="F10144" s="6"/>
    </row>
    <row r="10145" spans="1:6" x14ac:dyDescent="0.3">
      <c r="A10145" s="8" t="s">
        <v>20247</v>
      </c>
      <c r="B10145" s="8" t="s">
        <v>63747</v>
      </c>
      <c r="C10145" s="8" t="s">
        <v>20248</v>
      </c>
      <c r="D10145" s="8"/>
      <c r="E10145" s="6"/>
      <c r="F10145" s="6"/>
    </row>
    <row r="10146" spans="1:6" x14ac:dyDescent="0.3">
      <c r="A10146" s="8" t="s">
        <v>20249</v>
      </c>
      <c r="B10146" s="8" t="s">
        <v>63748</v>
      </c>
      <c r="C10146" s="8" t="s">
        <v>20250</v>
      </c>
      <c r="D10146" s="8"/>
      <c r="E10146" s="6"/>
      <c r="F10146" s="6"/>
    </row>
    <row r="10147" spans="1:6" x14ac:dyDescent="0.3">
      <c r="A10147" s="8" t="s">
        <v>20251</v>
      </c>
      <c r="B10147" s="8" t="s">
        <v>63749</v>
      </c>
      <c r="C10147" s="8" t="s">
        <v>20252</v>
      </c>
      <c r="D10147" s="8"/>
      <c r="E10147" s="6"/>
      <c r="F10147" s="6"/>
    </row>
    <row r="10148" spans="1:6" x14ac:dyDescent="0.3">
      <c r="A10148" s="8" t="s">
        <v>20253</v>
      </c>
      <c r="B10148" s="8" t="s">
        <v>63750</v>
      </c>
      <c r="C10148" s="8" t="s">
        <v>20254</v>
      </c>
      <c r="D10148" s="8"/>
      <c r="E10148" s="6"/>
      <c r="F10148" s="6"/>
    </row>
    <row r="10149" spans="1:6" x14ac:dyDescent="0.3">
      <c r="A10149" s="8" t="s">
        <v>20255</v>
      </c>
      <c r="B10149" s="8" t="s">
        <v>63751</v>
      </c>
      <c r="C10149" s="8" t="s">
        <v>20256</v>
      </c>
      <c r="D10149" s="8"/>
      <c r="E10149" s="6"/>
      <c r="F10149" s="6"/>
    </row>
    <row r="10150" spans="1:6" x14ac:dyDescent="0.3">
      <c r="A10150" s="8" t="s">
        <v>20257</v>
      </c>
      <c r="B10150" s="8" t="s">
        <v>63752</v>
      </c>
      <c r="C10150" s="8" t="s">
        <v>20258</v>
      </c>
      <c r="D10150" s="8"/>
      <c r="E10150" s="6"/>
      <c r="F10150" s="6"/>
    </row>
    <row r="10151" spans="1:6" x14ac:dyDescent="0.3">
      <c r="A10151" s="8" t="s">
        <v>20259</v>
      </c>
      <c r="B10151" s="8" t="s">
        <v>63753</v>
      </c>
      <c r="C10151" s="8" t="s">
        <v>20260</v>
      </c>
      <c r="D10151" s="8"/>
      <c r="E10151" s="6"/>
      <c r="F10151" s="6"/>
    </row>
    <row r="10152" spans="1:6" x14ac:dyDescent="0.3">
      <c r="A10152" s="8" t="s">
        <v>20261</v>
      </c>
      <c r="B10152" s="8" t="s">
        <v>63754</v>
      </c>
      <c r="C10152" s="8" t="s">
        <v>20262</v>
      </c>
      <c r="D10152" s="8"/>
      <c r="E10152" s="6"/>
      <c r="F10152" s="6"/>
    </row>
    <row r="10153" spans="1:6" x14ac:dyDescent="0.3">
      <c r="A10153" s="8" t="s">
        <v>20263</v>
      </c>
      <c r="B10153" s="8" t="s">
        <v>63755</v>
      </c>
      <c r="C10153" s="8" t="s">
        <v>20264</v>
      </c>
      <c r="D10153" s="8"/>
      <c r="E10153" s="6"/>
      <c r="F10153" s="6"/>
    </row>
    <row r="10154" spans="1:6" x14ac:dyDescent="0.3">
      <c r="A10154" s="8" t="s">
        <v>20265</v>
      </c>
      <c r="B10154" s="8" t="s">
        <v>63756</v>
      </c>
      <c r="C10154" s="8" t="s">
        <v>20266</v>
      </c>
      <c r="D10154" s="8"/>
      <c r="E10154" s="6"/>
      <c r="F10154" s="6"/>
    </row>
    <row r="10155" spans="1:6" x14ac:dyDescent="0.3">
      <c r="A10155" s="8" t="s">
        <v>20267</v>
      </c>
      <c r="B10155" s="8" t="s">
        <v>63757</v>
      </c>
      <c r="C10155" s="8" t="s">
        <v>20268</v>
      </c>
      <c r="D10155" s="8"/>
      <c r="E10155" s="6"/>
      <c r="F10155" s="6"/>
    </row>
    <row r="10156" spans="1:6" x14ac:dyDescent="0.3">
      <c r="A10156" s="8" t="s">
        <v>20269</v>
      </c>
      <c r="B10156" s="8" t="s">
        <v>63758</v>
      </c>
      <c r="C10156" s="8" t="s">
        <v>20270</v>
      </c>
      <c r="D10156" s="8"/>
      <c r="E10156" s="6"/>
      <c r="F10156" s="6"/>
    </row>
    <row r="10157" spans="1:6" x14ac:dyDescent="0.3">
      <c r="A10157" s="8" t="s">
        <v>20271</v>
      </c>
      <c r="B10157" s="8" t="s">
        <v>63759</v>
      </c>
      <c r="C10157" s="8" t="s">
        <v>20272</v>
      </c>
      <c r="D10157" s="8"/>
      <c r="E10157" s="6"/>
      <c r="F10157" s="6"/>
    </row>
    <row r="10158" spans="1:6" x14ac:dyDescent="0.3">
      <c r="A10158" s="8" t="s">
        <v>20273</v>
      </c>
      <c r="B10158" s="8" t="s">
        <v>63760</v>
      </c>
      <c r="C10158" s="8" t="s">
        <v>20274</v>
      </c>
      <c r="D10158" s="8"/>
      <c r="E10158" s="6"/>
      <c r="F10158" s="6"/>
    </row>
    <row r="10159" spans="1:6" x14ac:dyDescent="0.3">
      <c r="A10159" s="8" t="s">
        <v>20275</v>
      </c>
      <c r="B10159" s="8" t="s">
        <v>63761</v>
      </c>
      <c r="C10159" s="8" t="s">
        <v>20276</v>
      </c>
      <c r="D10159" s="8"/>
      <c r="E10159" s="6"/>
      <c r="F10159" s="6"/>
    </row>
    <row r="10160" spans="1:6" x14ac:dyDescent="0.3">
      <c r="A10160" s="8" t="s">
        <v>20277</v>
      </c>
      <c r="B10160" s="8" t="s">
        <v>63762</v>
      </c>
      <c r="C10160" s="8" t="s">
        <v>20278</v>
      </c>
      <c r="D10160" s="8"/>
      <c r="E10160" s="6"/>
      <c r="F10160" s="6"/>
    </row>
    <row r="10161" spans="1:6" x14ac:dyDescent="0.3">
      <c r="A10161" s="8" t="s">
        <v>20279</v>
      </c>
      <c r="B10161" s="8" t="s">
        <v>63763</v>
      </c>
      <c r="C10161" s="8" t="s">
        <v>20280</v>
      </c>
      <c r="D10161" s="8"/>
      <c r="E10161" s="6"/>
      <c r="F10161" s="6"/>
    </row>
    <row r="10162" spans="1:6" x14ac:dyDescent="0.3">
      <c r="A10162" s="8" t="s">
        <v>20281</v>
      </c>
      <c r="B10162" s="8" t="s">
        <v>63764</v>
      </c>
      <c r="C10162" s="8" t="s">
        <v>20282</v>
      </c>
      <c r="D10162" s="8"/>
      <c r="E10162" s="6"/>
      <c r="F10162" s="6"/>
    </row>
    <row r="10163" spans="1:6" x14ac:dyDescent="0.3">
      <c r="A10163" s="8" t="s">
        <v>20283</v>
      </c>
      <c r="B10163" s="8" t="s">
        <v>63765</v>
      </c>
      <c r="C10163" s="8" t="s">
        <v>20284</v>
      </c>
      <c r="D10163" s="8"/>
      <c r="E10163" s="6"/>
      <c r="F10163" s="6"/>
    </row>
    <row r="10164" spans="1:6" x14ac:dyDescent="0.3">
      <c r="A10164" s="8" t="s">
        <v>20285</v>
      </c>
      <c r="B10164" s="8" t="s">
        <v>63766</v>
      </c>
      <c r="C10164" s="8" t="s">
        <v>20286</v>
      </c>
      <c r="D10164" s="8"/>
      <c r="E10164" s="6"/>
      <c r="F10164" s="6"/>
    </row>
    <row r="10165" spans="1:6" x14ac:dyDescent="0.3">
      <c r="A10165" s="8" t="s">
        <v>20287</v>
      </c>
      <c r="B10165" s="8" t="s">
        <v>63767</v>
      </c>
      <c r="C10165" s="8" t="s">
        <v>20288</v>
      </c>
      <c r="D10165" s="8"/>
      <c r="E10165" s="6"/>
      <c r="F10165" s="6"/>
    </row>
    <row r="10166" spans="1:6" x14ac:dyDescent="0.3">
      <c r="A10166" s="8" t="s">
        <v>20289</v>
      </c>
      <c r="B10166" s="8" t="s">
        <v>63768</v>
      </c>
      <c r="C10166" s="8" t="s">
        <v>20290</v>
      </c>
      <c r="D10166" s="8"/>
      <c r="E10166" s="6"/>
      <c r="F10166" s="6"/>
    </row>
    <row r="10167" spans="1:6" x14ac:dyDescent="0.3">
      <c r="A10167" s="8" t="s">
        <v>20291</v>
      </c>
      <c r="B10167" s="8" t="s">
        <v>63769</v>
      </c>
      <c r="C10167" s="8" t="s">
        <v>20292</v>
      </c>
      <c r="D10167" s="8"/>
      <c r="E10167" s="6"/>
      <c r="F10167" s="6"/>
    </row>
    <row r="10168" spans="1:6" x14ac:dyDescent="0.3">
      <c r="A10168" s="8" t="s">
        <v>20293</v>
      </c>
      <c r="B10168" s="8" t="s">
        <v>63770</v>
      </c>
      <c r="C10168" s="8" t="s">
        <v>20294</v>
      </c>
      <c r="D10168" s="8"/>
      <c r="E10168" s="6"/>
      <c r="F10168" s="6"/>
    </row>
    <row r="10169" spans="1:6" x14ac:dyDescent="0.3">
      <c r="A10169" s="8" t="s">
        <v>20295</v>
      </c>
      <c r="B10169" s="8" t="s">
        <v>63771</v>
      </c>
      <c r="C10169" s="8" t="s">
        <v>20296</v>
      </c>
      <c r="D10169" s="8"/>
      <c r="E10169" s="6"/>
      <c r="F10169" s="6"/>
    </row>
    <row r="10170" spans="1:6" x14ac:dyDescent="0.3">
      <c r="A10170" s="8" t="s">
        <v>20297</v>
      </c>
      <c r="B10170" s="8" t="s">
        <v>63772</v>
      </c>
      <c r="C10170" s="8" t="s">
        <v>20298</v>
      </c>
      <c r="D10170" s="8"/>
      <c r="E10170" s="6"/>
      <c r="F10170" s="6"/>
    </row>
    <row r="10171" spans="1:6" x14ac:dyDescent="0.3">
      <c r="A10171" s="8" t="s">
        <v>20299</v>
      </c>
      <c r="B10171" s="8" t="s">
        <v>63773</v>
      </c>
      <c r="C10171" s="8" t="s">
        <v>20300</v>
      </c>
      <c r="D10171" s="8"/>
      <c r="E10171" s="6"/>
      <c r="F10171" s="6"/>
    </row>
    <row r="10172" spans="1:6" x14ac:dyDescent="0.3">
      <c r="A10172" s="8" t="s">
        <v>20301</v>
      </c>
      <c r="B10172" s="8" t="s">
        <v>63774</v>
      </c>
      <c r="C10172" s="8" t="s">
        <v>20302</v>
      </c>
      <c r="D10172" s="8"/>
      <c r="E10172" s="6"/>
      <c r="F10172" s="6"/>
    </row>
    <row r="10173" spans="1:6" x14ac:dyDescent="0.3">
      <c r="A10173" s="8" t="s">
        <v>20303</v>
      </c>
      <c r="B10173" s="8" t="s">
        <v>63775</v>
      </c>
      <c r="C10173" s="8" t="s">
        <v>20304</v>
      </c>
      <c r="D10173" s="8"/>
      <c r="E10173" s="6"/>
      <c r="F10173" s="6"/>
    </row>
    <row r="10174" spans="1:6" x14ac:dyDescent="0.3">
      <c r="A10174" s="8" t="s">
        <v>20305</v>
      </c>
      <c r="B10174" s="8" t="s">
        <v>63776</v>
      </c>
      <c r="C10174" s="8" t="s">
        <v>20306</v>
      </c>
      <c r="D10174" s="8"/>
      <c r="E10174" s="6"/>
      <c r="F10174" s="6"/>
    </row>
    <row r="10175" spans="1:6" x14ac:dyDescent="0.3">
      <c r="A10175" s="8" t="s">
        <v>20307</v>
      </c>
      <c r="B10175" s="8" t="s">
        <v>63777</v>
      </c>
      <c r="C10175" s="8" t="s">
        <v>20308</v>
      </c>
      <c r="D10175" s="8"/>
      <c r="E10175" s="6"/>
      <c r="F10175" s="6"/>
    </row>
    <row r="10176" spans="1:6" x14ac:dyDescent="0.3">
      <c r="A10176" s="8" t="s">
        <v>20309</v>
      </c>
      <c r="B10176" s="8" t="s">
        <v>63778</v>
      </c>
      <c r="C10176" s="8" t="s">
        <v>20310</v>
      </c>
      <c r="D10176" s="8"/>
      <c r="E10176" s="6"/>
      <c r="F10176" s="6"/>
    </row>
    <row r="10177" spans="1:6" x14ac:dyDescent="0.3">
      <c r="A10177" s="8" t="s">
        <v>20311</v>
      </c>
      <c r="B10177" s="8" t="s">
        <v>63779</v>
      </c>
      <c r="C10177" s="8" t="s">
        <v>20312</v>
      </c>
      <c r="D10177" s="8"/>
      <c r="E10177" s="6"/>
      <c r="F10177" s="6"/>
    </row>
    <row r="10178" spans="1:6" x14ac:dyDescent="0.3">
      <c r="A10178" s="8" t="s">
        <v>20313</v>
      </c>
      <c r="B10178" s="8" t="s">
        <v>63780</v>
      </c>
      <c r="C10178" s="8" t="s">
        <v>20314</v>
      </c>
      <c r="D10178" s="8"/>
      <c r="E10178" s="6"/>
      <c r="F10178" s="6"/>
    </row>
    <row r="10179" spans="1:6" x14ac:dyDescent="0.3">
      <c r="A10179" s="8" t="s">
        <v>20315</v>
      </c>
      <c r="B10179" s="8" t="s">
        <v>63781</v>
      </c>
      <c r="C10179" s="8" t="s">
        <v>20316</v>
      </c>
      <c r="D10179" s="8"/>
      <c r="E10179" s="6"/>
      <c r="F10179" s="6"/>
    </row>
    <row r="10180" spans="1:6" x14ac:dyDescent="0.3">
      <c r="A10180" s="8" t="s">
        <v>20317</v>
      </c>
      <c r="B10180" s="8" t="s">
        <v>63782</v>
      </c>
      <c r="C10180" s="8" t="s">
        <v>20318</v>
      </c>
      <c r="D10180" s="8"/>
      <c r="E10180" s="6"/>
      <c r="F10180" s="6"/>
    </row>
    <row r="10181" spans="1:6" x14ac:dyDescent="0.3">
      <c r="A10181" s="8" t="s">
        <v>20319</v>
      </c>
      <c r="B10181" s="8" t="s">
        <v>63783</v>
      </c>
      <c r="C10181" s="8" t="s">
        <v>20320</v>
      </c>
      <c r="D10181" s="8"/>
      <c r="E10181" s="6"/>
      <c r="F10181" s="6"/>
    </row>
    <row r="10182" spans="1:6" x14ac:dyDescent="0.3">
      <c r="A10182" s="8" t="s">
        <v>20321</v>
      </c>
      <c r="B10182" s="8" t="s">
        <v>63784</v>
      </c>
      <c r="C10182" s="8" t="s">
        <v>20322</v>
      </c>
      <c r="D10182" s="8"/>
      <c r="E10182" s="6"/>
      <c r="F10182" s="6"/>
    </row>
    <row r="10183" spans="1:6" x14ac:dyDescent="0.3">
      <c r="A10183" s="8" t="s">
        <v>20323</v>
      </c>
      <c r="B10183" s="8" t="s">
        <v>63785</v>
      </c>
      <c r="C10183" s="8" t="s">
        <v>20324</v>
      </c>
      <c r="D10183" s="8"/>
      <c r="E10183" s="6"/>
      <c r="F10183" s="6"/>
    </row>
    <row r="10184" spans="1:6" x14ac:dyDescent="0.3">
      <c r="A10184" s="8" t="s">
        <v>20325</v>
      </c>
      <c r="B10184" s="8" t="s">
        <v>63786</v>
      </c>
      <c r="C10184" s="8" t="s">
        <v>20326</v>
      </c>
      <c r="D10184" s="8"/>
      <c r="E10184" s="6"/>
      <c r="F10184" s="6"/>
    </row>
    <row r="10185" spans="1:6" x14ac:dyDescent="0.3">
      <c r="A10185" s="8" t="s">
        <v>20327</v>
      </c>
      <c r="B10185" s="8" t="s">
        <v>63787</v>
      </c>
      <c r="C10185" s="8" t="s">
        <v>20328</v>
      </c>
      <c r="D10185" s="8"/>
      <c r="E10185" s="6"/>
      <c r="F10185" s="6"/>
    </row>
    <row r="10186" spans="1:6" x14ac:dyDescent="0.3">
      <c r="A10186" s="8" t="s">
        <v>20329</v>
      </c>
      <c r="B10186" s="8" t="s">
        <v>63788</v>
      </c>
      <c r="C10186" s="8" t="s">
        <v>20330</v>
      </c>
      <c r="D10186" s="8"/>
      <c r="E10186" s="6"/>
      <c r="F10186" s="6"/>
    </row>
    <row r="10187" spans="1:6" x14ac:dyDescent="0.3">
      <c r="A10187" s="8" t="s">
        <v>20331</v>
      </c>
      <c r="B10187" s="8" t="s">
        <v>63789</v>
      </c>
      <c r="C10187" s="8" t="s">
        <v>20332</v>
      </c>
      <c r="D10187" s="8"/>
      <c r="E10187" s="6"/>
      <c r="F10187" s="6"/>
    </row>
    <row r="10188" spans="1:6" x14ac:dyDescent="0.3">
      <c r="A10188" s="8" t="s">
        <v>20333</v>
      </c>
      <c r="B10188" s="8" t="s">
        <v>63790</v>
      </c>
      <c r="C10188" s="8" t="s">
        <v>20334</v>
      </c>
      <c r="D10188" s="8"/>
      <c r="E10188" s="6"/>
      <c r="F10188" s="6"/>
    </row>
    <row r="10189" spans="1:6" x14ac:dyDescent="0.3">
      <c r="A10189" s="8" t="s">
        <v>20335</v>
      </c>
      <c r="B10189" s="8" t="s">
        <v>63791</v>
      </c>
      <c r="C10189" s="8" t="s">
        <v>20336</v>
      </c>
      <c r="D10189" s="8"/>
      <c r="E10189" s="6"/>
      <c r="F10189" s="6"/>
    </row>
    <row r="10190" spans="1:6" x14ac:dyDescent="0.3">
      <c r="A10190" s="8" t="s">
        <v>20337</v>
      </c>
      <c r="B10190" s="8" t="s">
        <v>63792</v>
      </c>
      <c r="C10190" s="8" t="s">
        <v>20338</v>
      </c>
      <c r="D10190" s="8"/>
      <c r="E10190" s="6"/>
      <c r="F10190" s="6"/>
    </row>
    <row r="10191" spans="1:6" x14ac:dyDescent="0.3">
      <c r="A10191" s="8" t="s">
        <v>20339</v>
      </c>
      <c r="B10191" s="8" t="s">
        <v>63793</v>
      </c>
      <c r="C10191" s="8" t="s">
        <v>20340</v>
      </c>
      <c r="D10191" s="8"/>
      <c r="E10191" s="6"/>
      <c r="F10191" s="6"/>
    </row>
    <row r="10192" spans="1:6" x14ac:dyDescent="0.3">
      <c r="A10192" s="8" t="s">
        <v>20341</v>
      </c>
      <c r="B10192" s="8" t="s">
        <v>63794</v>
      </c>
      <c r="C10192" s="8" t="s">
        <v>20342</v>
      </c>
      <c r="D10192" s="8"/>
      <c r="E10192" s="6"/>
      <c r="F10192" s="6"/>
    </row>
    <row r="10193" spans="1:6" x14ac:dyDescent="0.3">
      <c r="A10193" s="8" t="s">
        <v>20343</v>
      </c>
      <c r="B10193" s="8" t="s">
        <v>63795</v>
      </c>
      <c r="C10193" s="8" t="s">
        <v>20344</v>
      </c>
      <c r="D10193" s="8"/>
      <c r="E10193" s="6"/>
      <c r="F10193" s="6"/>
    </row>
    <row r="10194" spans="1:6" x14ac:dyDescent="0.3">
      <c r="A10194" s="8" t="s">
        <v>20345</v>
      </c>
      <c r="B10194" s="8" t="s">
        <v>63796</v>
      </c>
      <c r="C10194" s="8" t="s">
        <v>20346</v>
      </c>
      <c r="D10194" s="8"/>
      <c r="E10194" s="6"/>
      <c r="F10194" s="6"/>
    </row>
    <row r="10195" spans="1:6" x14ac:dyDescent="0.3">
      <c r="A10195" s="8" t="s">
        <v>20347</v>
      </c>
      <c r="B10195" s="8" t="s">
        <v>63797</v>
      </c>
      <c r="C10195" s="8" t="s">
        <v>20348</v>
      </c>
      <c r="D10195" s="8"/>
      <c r="E10195" s="6"/>
      <c r="F10195" s="6"/>
    </row>
    <row r="10196" spans="1:6" x14ac:dyDescent="0.3">
      <c r="A10196" s="8" t="s">
        <v>20349</v>
      </c>
      <c r="B10196" s="8" t="s">
        <v>63798</v>
      </c>
      <c r="C10196" s="8" t="s">
        <v>20350</v>
      </c>
      <c r="D10196" s="8"/>
      <c r="E10196" s="6"/>
      <c r="F10196" s="6"/>
    </row>
    <row r="10197" spans="1:6" x14ac:dyDescent="0.3">
      <c r="A10197" s="8" t="s">
        <v>20351</v>
      </c>
      <c r="B10197" s="8" t="s">
        <v>63799</v>
      </c>
      <c r="C10197" s="8" t="s">
        <v>20352</v>
      </c>
      <c r="D10197" s="8"/>
      <c r="E10197" s="6"/>
      <c r="F10197" s="6"/>
    </row>
    <row r="10198" spans="1:6" x14ac:dyDescent="0.3">
      <c r="A10198" s="8" t="s">
        <v>20353</v>
      </c>
      <c r="B10198" s="8" t="s">
        <v>63800</v>
      </c>
      <c r="C10198" s="8" t="s">
        <v>20354</v>
      </c>
      <c r="D10198" s="8"/>
      <c r="E10198" s="6"/>
      <c r="F10198" s="6"/>
    </row>
    <row r="10199" spans="1:6" x14ac:dyDescent="0.3">
      <c r="A10199" s="8" t="s">
        <v>20355</v>
      </c>
      <c r="B10199" s="8" t="s">
        <v>63801</v>
      </c>
      <c r="C10199" s="8" t="s">
        <v>20356</v>
      </c>
      <c r="D10199" s="8"/>
      <c r="E10199" s="6"/>
      <c r="F10199" s="6"/>
    </row>
    <row r="10200" spans="1:6" x14ac:dyDescent="0.3">
      <c r="A10200" s="8" t="s">
        <v>20357</v>
      </c>
      <c r="B10200" s="8" t="s">
        <v>63802</v>
      </c>
      <c r="C10200" s="8" t="s">
        <v>20358</v>
      </c>
      <c r="D10200" s="8"/>
      <c r="E10200" s="6"/>
      <c r="F10200" s="6"/>
    </row>
    <row r="10201" spans="1:6" x14ac:dyDescent="0.3">
      <c r="A10201" s="8" t="s">
        <v>20359</v>
      </c>
      <c r="B10201" s="8" t="s">
        <v>63803</v>
      </c>
      <c r="C10201" s="8" t="s">
        <v>20360</v>
      </c>
      <c r="D10201" s="8"/>
      <c r="E10201" s="6"/>
      <c r="F10201" s="6"/>
    </row>
    <row r="10202" spans="1:6" x14ac:dyDescent="0.3">
      <c r="A10202" s="8" t="s">
        <v>20361</v>
      </c>
      <c r="B10202" s="8" t="s">
        <v>63804</v>
      </c>
      <c r="C10202" s="8" t="s">
        <v>20362</v>
      </c>
      <c r="D10202" s="8"/>
      <c r="E10202" s="6"/>
      <c r="F10202" s="6"/>
    </row>
    <row r="10203" spans="1:6" x14ac:dyDescent="0.3">
      <c r="A10203" s="8" t="s">
        <v>20363</v>
      </c>
      <c r="B10203" s="8" t="s">
        <v>63805</v>
      </c>
      <c r="C10203" s="8" t="s">
        <v>20364</v>
      </c>
      <c r="D10203" s="8"/>
      <c r="E10203" s="6"/>
      <c r="F10203" s="6"/>
    </row>
    <row r="10204" spans="1:6" x14ac:dyDescent="0.3">
      <c r="A10204" s="8" t="s">
        <v>20365</v>
      </c>
      <c r="B10204" s="8" t="s">
        <v>63806</v>
      </c>
      <c r="C10204" s="8" t="s">
        <v>20366</v>
      </c>
      <c r="D10204" s="8"/>
      <c r="E10204" s="6"/>
      <c r="F10204" s="6"/>
    </row>
    <row r="10205" spans="1:6" x14ac:dyDescent="0.3">
      <c r="A10205" s="8" t="s">
        <v>20367</v>
      </c>
      <c r="B10205" s="8" t="s">
        <v>63807</v>
      </c>
      <c r="C10205" s="8" t="s">
        <v>20368</v>
      </c>
      <c r="D10205" s="8"/>
      <c r="E10205" s="6"/>
      <c r="F10205" s="6"/>
    </row>
    <row r="10206" spans="1:6" x14ac:dyDescent="0.3">
      <c r="A10206" s="8" t="s">
        <v>20369</v>
      </c>
      <c r="B10206" s="8" t="s">
        <v>63808</v>
      </c>
      <c r="C10206" s="8" t="s">
        <v>20370</v>
      </c>
      <c r="D10206" s="8"/>
      <c r="E10206" s="6"/>
      <c r="F10206" s="6"/>
    </row>
    <row r="10207" spans="1:6" x14ac:dyDescent="0.3">
      <c r="A10207" s="8" t="s">
        <v>20371</v>
      </c>
      <c r="B10207" s="8" t="s">
        <v>63809</v>
      </c>
      <c r="C10207" s="8" t="s">
        <v>20372</v>
      </c>
      <c r="D10207" s="8"/>
      <c r="E10207" s="6"/>
      <c r="F10207" s="6"/>
    </row>
    <row r="10208" spans="1:6" x14ac:dyDescent="0.3">
      <c r="A10208" s="8" t="s">
        <v>20373</v>
      </c>
      <c r="B10208" s="8" t="s">
        <v>63810</v>
      </c>
      <c r="C10208" s="8" t="s">
        <v>20374</v>
      </c>
      <c r="D10208" s="8"/>
      <c r="E10208" s="6"/>
      <c r="F10208" s="6"/>
    </row>
    <row r="10209" spans="1:6" x14ac:dyDescent="0.3">
      <c r="A10209" s="8" t="s">
        <v>20375</v>
      </c>
      <c r="B10209" s="8" t="s">
        <v>63811</v>
      </c>
      <c r="C10209" s="8" t="s">
        <v>20376</v>
      </c>
      <c r="D10209" s="8"/>
      <c r="E10209" s="6"/>
      <c r="F10209" s="6"/>
    </row>
    <row r="10210" spans="1:6" x14ac:dyDescent="0.3">
      <c r="A10210" s="8" t="s">
        <v>20377</v>
      </c>
      <c r="B10210" s="8" t="s">
        <v>63812</v>
      </c>
      <c r="C10210" s="8" t="s">
        <v>20378</v>
      </c>
      <c r="D10210" s="8"/>
      <c r="E10210" s="6"/>
      <c r="F10210" s="6"/>
    </row>
    <row r="10211" spans="1:6" x14ac:dyDescent="0.3">
      <c r="A10211" s="8" t="s">
        <v>20379</v>
      </c>
      <c r="B10211" s="8" t="s">
        <v>63813</v>
      </c>
      <c r="C10211" s="8" t="s">
        <v>20380</v>
      </c>
      <c r="D10211" s="8"/>
      <c r="E10211" s="6"/>
      <c r="F10211" s="6"/>
    </row>
    <row r="10212" spans="1:6" x14ac:dyDescent="0.3">
      <c r="A10212" s="8" t="s">
        <v>20381</v>
      </c>
      <c r="B10212" s="8" t="s">
        <v>63814</v>
      </c>
      <c r="C10212" s="8" t="s">
        <v>20382</v>
      </c>
      <c r="D10212" s="8"/>
      <c r="E10212" s="6"/>
      <c r="F10212" s="6"/>
    </row>
    <row r="10213" spans="1:6" x14ac:dyDescent="0.3">
      <c r="A10213" s="8" t="s">
        <v>20383</v>
      </c>
      <c r="B10213" s="8" t="s">
        <v>63815</v>
      </c>
      <c r="C10213" s="8" t="s">
        <v>20384</v>
      </c>
      <c r="D10213" s="8"/>
      <c r="E10213" s="6"/>
      <c r="F10213" s="6"/>
    </row>
    <row r="10214" spans="1:6" x14ac:dyDescent="0.3">
      <c r="A10214" s="8" t="s">
        <v>20385</v>
      </c>
      <c r="B10214" s="8" t="s">
        <v>63816</v>
      </c>
      <c r="C10214" s="8" t="s">
        <v>20386</v>
      </c>
      <c r="D10214" s="8"/>
      <c r="E10214" s="6"/>
      <c r="F10214" s="6"/>
    </row>
    <row r="10215" spans="1:6" x14ac:dyDescent="0.3">
      <c r="A10215" s="8" t="s">
        <v>20387</v>
      </c>
      <c r="B10215" s="8" t="s">
        <v>63817</v>
      </c>
      <c r="C10215" s="8" t="s">
        <v>20388</v>
      </c>
      <c r="D10215" s="8"/>
      <c r="E10215" s="6"/>
      <c r="F10215" s="6"/>
    </row>
    <row r="10216" spans="1:6" x14ac:dyDescent="0.3">
      <c r="A10216" s="8" t="s">
        <v>20389</v>
      </c>
      <c r="B10216" s="8" t="s">
        <v>63818</v>
      </c>
      <c r="C10216" s="8" t="s">
        <v>20390</v>
      </c>
      <c r="D10216" s="8"/>
      <c r="E10216" s="6"/>
      <c r="F10216" s="6"/>
    </row>
    <row r="10217" spans="1:6" x14ac:dyDescent="0.3">
      <c r="A10217" s="8" t="s">
        <v>20391</v>
      </c>
      <c r="B10217" s="8" t="s">
        <v>63819</v>
      </c>
      <c r="C10217" s="8" t="s">
        <v>20392</v>
      </c>
      <c r="D10217" s="8"/>
      <c r="E10217" s="6"/>
      <c r="F10217" s="6"/>
    </row>
    <row r="10218" spans="1:6" x14ac:dyDescent="0.3">
      <c r="A10218" s="8" t="s">
        <v>20393</v>
      </c>
      <c r="B10218" s="8" t="s">
        <v>63820</v>
      </c>
      <c r="C10218" s="8" t="s">
        <v>20394</v>
      </c>
      <c r="D10218" s="8"/>
      <c r="E10218" s="6"/>
      <c r="F10218" s="6"/>
    </row>
    <row r="10219" spans="1:6" x14ac:dyDescent="0.3">
      <c r="A10219" s="8" t="s">
        <v>20395</v>
      </c>
      <c r="B10219" s="8" t="s">
        <v>63821</v>
      </c>
      <c r="C10219" s="8" t="s">
        <v>20396</v>
      </c>
      <c r="D10219" s="8"/>
      <c r="E10219" s="6"/>
      <c r="F10219" s="6"/>
    </row>
    <row r="10220" spans="1:6" x14ac:dyDescent="0.3">
      <c r="A10220" s="8" t="s">
        <v>20397</v>
      </c>
      <c r="B10220" s="8" t="s">
        <v>63822</v>
      </c>
      <c r="C10220" s="8" t="s">
        <v>20398</v>
      </c>
      <c r="D10220" s="8"/>
      <c r="E10220" s="6"/>
      <c r="F10220" s="6"/>
    </row>
    <row r="10221" spans="1:6" x14ac:dyDescent="0.3">
      <c r="A10221" s="8" t="s">
        <v>20399</v>
      </c>
      <c r="B10221" s="8" t="s">
        <v>63823</v>
      </c>
      <c r="C10221" s="8" t="s">
        <v>20400</v>
      </c>
      <c r="D10221" s="8"/>
      <c r="E10221" s="6"/>
      <c r="F10221" s="6"/>
    </row>
    <row r="10222" spans="1:6" x14ac:dyDescent="0.3">
      <c r="A10222" s="8" t="s">
        <v>20401</v>
      </c>
      <c r="B10222" s="8" t="s">
        <v>63824</v>
      </c>
      <c r="C10222" s="8" t="s">
        <v>20402</v>
      </c>
      <c r="D10222" s="8"/>
      <c r="E10222" s="6"/>
      <c r="F10222" s="6"/>
    </row>
    <row r="10223" spans="1:6" x14ac:dyDescent="0.3">
      <c r="A10223" s="8" t="s">
        <v>20403</v>
      </c>
      <c r="B10223" s="8" t="s">
        <v>63825</v>
      </c>
      <c r="C10223" s="8" t="s">
        <v>20404</v>
      </c>
      <c r="D10223" s="8"/>
      <c r="E10223" s="6"/>
      <c r="F10223" s="6"/>
    </row>
    <row r="10224" spans="1:6" x14ac:dyDescent="0.3">
      <c r="A10224" s="8" t="s">
        <v>20405</v>
      </c>
      <c r="B10224" s="8" t="s">
        <v>63826</v>
      </c>
      <c r="C10224" s="8" t="s">
        <v>20406</v>
      </c>
      <c r="D10224" s="8"/>
      <c r="E10224" s="6"/>
      <c r="F10224" s="6"/>
    </row>
    <row r="10225" spans="1:6" x14ac:dyDescent="0.3">
      <c r="A10225" s="8" t="s">
        <v>20407</v>
      </c>
      <c r="B10225" s="8" t="s">
        <v>63827</v>
      </c>
      <c r="C10225" s="8" t="s">
        <v>20408</v>
      </c>
      <c r="D10225" s="8"/>
      <c r="E10225" s="6"/>
      <c r="F10225" s="6"/>
    </row>
    <row r="10226" spans="1:6" x14ac:dyDescent="0.3">
      <c r="A10226" s="8" t="s">
        <v>20409</v>
      </c>
      <c r="B10226" s="8" t="s">
        <v>63828</v>
      </c>
      <c r="C10226" s="8" t="s">
        <v>20410</v>
      </c>
      <c r="D10226" s="8"/>
      <c r="E10226" s="6"/>
      <c r="F10226" s="6"/>
    </row>
    <row r="10227" spans="1:6" x14ac:dyDescent="0.3">
      <c r="A10227" s="8" t="s">
        <v>20411</v>
      </c>
      <c r="B10227" s="8" t="s">
        <v>63829</v>
      </c>
      <c r="C10227" s="8" t="s">
        <v>20412</v>
      </c>
      <c r="D10227" s="8"/>
      <c r="E10227" s="6"/>
      <c r="F10227" s="6"/>
    </row>
    <row r="10228" spans="1:6" x14ac:dyDescent="0.3">
      <c r="A10228" s="8" t="s">
        <v>20413</v>
      </c>
      <c r="B10228" s="8" t="s">
        <v>63830</v>
      </c>
      <c r="C10228" s="8" t="s">
        <v>20414</v>
      </c>
      <c r="D10228" s="8"/>
      <c r="E10228" s="6"/>
      <c r="F10228" s="6"/>
    </row>
    <row r="10229" spans="1:6" x14ac:dyDescent="0.3">
      <c r="A10229" s="8" t="s">
        <v>20415</v>
      </c>
      <c r="B10229" s="8" t="s">
        <v>63831</v>
      </c>
      <c r="C10229" s="8" t="s">
        <v>20416</v>
      </c>
      <c r="D10229" s="8"/>
      <c r="E10229" s="6"/>
      <c r="F10229" s="6"/>
    </row>
    <row r="10230" spans="1:6" x14ac:dyDescent="0.3">
      <c r="A10230" s="8" t="s">
        <v>20417</v>
      </c>
      <c r="B10230" s="8" t="s">
        <v>63832</v>
      </c>
      <c r="C10230" s="8" t="s">
        <v>20418</v>
      </c>
      <c r="D10230" s="8"/>
      <c r="E10230" s="6"/>
      <c r="F10230" s="6"/>
    </row>
    <row r="10231" spans="1:6" x14ac:dyDescent="0.3">
      <c r="A10231" s="8" t="s">
        <v>20419</v>
      </c>
      <c r="B10231" s="8" t="s">
        <v>63833</v>
      </c>
      <c r="C10231" s="8" t="s">
        <v>20420</v>
      </c>
      <c r="D10231" s="8"/>
      <c r="E10231" s="6"/>
      <c r="F10231" s="6"/>
    </row>
    <row r="10232" spans="1:6" x14ac:dyDescent="0.3">
      <c r="A10232" s="8" t="s">
        <v>20421</v>
      </c>
      <c r="B10232" s="8" t="s">
        <v>63834</v>
      </c>
      <c r="C10232" s="8" t="s">
        <v>20422</v>
      </c>
      <c r="D10232" s="8"/>
      <c r="E10232" s="6"/>
      <c r="F10232" s="6"/>
    </row>
    <row r="10233" spans="1:6" x14ac:dyDescent="0.3">
      <c r="A10233" s="8" t="s">
        <v>20423</v>
      </c>
      <c r="B10233" s="8" t="s">
        <v>63835</v>
      </c>
      <c r="C10233" s="8" t="s">
        <v>20424</v>
      </c>
      <c r="D10233" s="8"/>
      <c r="E10233" s="6"/>
      <c r="F10233" s="6"/>
    </row>
    <row r="10234" spans="1:6" x14ac:dyDescent="0.3">
      <c r="A10234" s="8" t="s">
        <v>20425</v>
      </c>
      <c r="B10234" s="8" t="s">
        <v>63836</v>
      </c>
      <c r="C10234" s="8" t="s">
        <v>20426</v>
      </c>
      <c r="D10234" s="8"/>
      <c r="E10234" s="6"/>
      <c r="F10234" s="6"/>
    </row>
    <row r="10235" spans="1:6" x14ac:dyDescent="0.3">
      <c r="A10235" s="8" t="s">
        <v>20427</v>
      </c>
      <c r="B10235" s="8" t="s">
        <v>63837</v>
      </c>
      <c r="C10235" s="8" t="s">
        <v>20428</v>
      </c>
      <c r="D10235" s="8"/>
      <c r="E10235" s="6"/>
      <c r="F10235" s="6"/>
    </row>
    <row r="10236" spans="1:6" x14ac:dyDescent="0.3">
      <c r="A10236" s="8" t="s">
        <v>20429</v>
      </c>
      <c r="B10236" s="8" t="s">
        <v>63838</v>
      </c>
      <c r="C10236" s="8" t="s">
        <v>20430</v>
      </c>
      <c r="D10236" s="8"/>
      <c r="E10236" s="6"/>
      <c r="F10236" s="6"/>
    </row>
    <row r="10237" spans="1:6" x14ac:dyDescent="0.3">
      <c r="A10237" s="8" t="s">
        <v>20431</v>
      </c>
      <c r="B10237" s="8" t="s">
        <v>63839</v>
      </c>
      <c r="C10237" s="8" t="s">
        <v>20432</v>
      </c>
      <c r="D10237" s="8"/>
      <c r="E10237" s="6"/>
      <c r="F10237" s="6"/>
    </row>
    <row r="10238" spans="1:6" x14ac:dyDescent="0.3">
      <c r="A10238" s="8" t="s">
        <v>20433</v>
      </c>
      <c r="B10238" s="8" t="s">
        <v>63840</v>
      </c>
      <c r="C10238" s="8" t="s">
        <v>20434</v>
      </c>
      <c r="D10238" s="8"/>
      <c r="E10238" s="6"/>
      <c r="F10238" s="6"/>
    </row>
    <row r="10239" spans="1:6" x14ac:dyDescent="0.3">
      <c r="A10239" s="8" t="s">
        <v>20435</v>
      </c>
      <c r="B10239" s="8" t="s">
        <v>63841</v>
      </c>
      <c r="C10239" s="8" t="s">
        <v>20436</v>
      </c>
      <c r="D10239" s="8"/>
      <c r="E10239" s="6"/>
      <c r="F10239" s="6"/>
    </row>
    <row r="10240" spans="1:6" x14ac:dyDescent="0.3">
      <c r="A10240" s="8" t="s">
        <v>20437</v>
      </c>
      <c r="B10240" s="8" t="s">
        <v>63842</v>
      </c>
      <c r="C10240" s="8" t="s">
        <v>20438</v>
      </c>
      <c r="D10240" s="8"/>
      <c r="E10240" s="6"/>
      <c r="F10240" s="6"/>
    </row>
    <row r="10241" spans="1:6" x14ac:dyDescent="0.3">
      <c r="A10241" s="8" t="s">
        <v>20439</v>
      </c>
      <c r="B10241" s="8" t="s">
        <v>63843</v>
      </c>
      <c r="C10241" s="8" t="s">
        <v>20440</v>
      </c>
      <c r="D10241" s="8"/>
      <c r="E10241" s="6"/>
      <c r="F10241" s="6"/>
    </row>
    <row r="10242" spans="1:6" x14ac:dyDescent="0.3">
      <c r="A10242" s="8" t="s">
        <v>20441</v>
      </c>
      <c r="B10242" s="8" t="s">
        <v>63844</v>
      </c>
      <c r="C10242" s="8" t="s">
        <v>20442</v>
      </c>
      <c r="D10242" s="8"/>
      <c r="E10242" s="6"/>
      <c r="F10242" s="6"/>
    </row>
    <row r="10243" spans="1:6" x14ac:dyDescent="0.3">
      <c r="A10243" s="8" t="s">
        <v>20443</v>
      </c>
      <c r="B10243" s="8" t="s">
        <v>63845</v>
      </c>
      <c r="C10243" s="8" t="s">
        <v>20444</v>
      </c>
      <c r="D10243" s="8"/>
      <c r="E10243" s="6"/>
      <c r="F10243" s="6"/>
    </row>
    <row r="10244" spans="1:6" x14ac:dyDescent="0.3">
      <c r="A10244" s="8" t="s">
        <v>20445</v>
      </c>
      <c r="B10244" s="8" t="s">
        <v>63846</v>
      </c>
      <c r="C10244" s="8" t="s">
        <v>20446</v>
      </c>
      <c r="D10244" s="8"/>
      <c r="E10244" s="6"/>
      <c r="F10244" s="6"/>
    </row>
    <row r="10245" spans="1:6" x14ac:dyDescent="0.3">
      <c r="A10245" s="8" t="s">
        <v>20447</v>
      </c>
      <c r="B10245" s="8" t="s">
        <v>63847</v>
      </c>
      <c r="C10245" s="8" t="s">
        <v>20448</v>
      </c>
      <c r="D10245" s="8"/>
      <c r="E10245" s="6"/>
      <c r="F10245" s="6"/>
    </row>
    <row r="10246" spans="1:6" x14ac:dyDescent="0.3">
      <c r="A10246" s="8" t="s">
        <v>20449</v>
      </c>
      <c r="B10246" s="8" t="s">
        <v>63848</v>
      </c>
      <c r="C10246" s="8" t="s">
        <v>20450</v>
      </c>
      <c r="D10246" s="8"/>
      <c r="E10246" s="6"/>
      <c r="F10246" s="6"/>
    </row>
    <row r="10247" spans="1:6" x14ac:dyDescent="0.3">
      <c r="A10247" s="8" t="s">
        <v>20451</v>
      </c>
      <c r="B10247" s="8" t="s">
        <v>63849</v>
      </c>
      <c r="C10247" s="8" t="s">
        <v>20452</v>
      </c>
      <c r="D10247" s="8"/>
      <c r="E10247" s="6"/>
      <c r="F10247" s="6"/>
    </row>
    <row r="10248" spans="1:6" x14ac:dyDescent="0.3">
      <c r="A10248" s="8" t="s">
        <v>20453</v>
      </c>
      <c r="B10248" s="8" t="s">
        <v>63850</v>
      </c>
      <c r="C10248" s="8" t="s">
        <v>20454</v>
      </c>
      <c r="D10248" s="8"/>
      <c r="E10248" s="6"/>
      <c r="F10248" s="6"/>
    </row>
    <row r="10249" spans="1:6" x14ac:dyDescent="0.3">
      <c r="A10249" s="8" t="s">
        <v>20455</v>
      </c>
      <c r="B10249" s="8" t="s">
        <v>63851</v>
      </c>
      <c r="C10249" s="8" t="s">
        <v>20456</v>
      </c>
      <c r="D10249" s="8"/>
      <c r="E10249" s="6"/>
      <c r="F10249" s="6"/>
    </row>
    <row r="10250" spans="1:6" x14ac:dyDescent="0.3">
      <c r="A10250" s="8" t="s">
        <v>20457</v>
      </c>
      <c r="B10250" s="8" t="s">
        <v>63852</v>
      </c>
      <c r="C10250" s="8" t="s">
        <v>20458</v>
      </c>
      <c r="D10250" s="8"/>
      <c r="E10250" s="6"/>
      <c r="F10250" s="6"/>
    </row>
    <row r="10251" spans="1:6" x14ac:dyDescent="0.3">
      <c r="A10251" s="8" t="s">
        <v>20459</v>
      </c>
      <c r="B10251" s="8" t="s">
        <v>63853</v>
      </c>
      <c r="C10251" s="8" t="s">
        <v>20460</v>
      </c>
      <c r="D10251" s="8"/>
      <c r="E10251" s="6"/>
      <c r="F10251" s="6"/>
    </row>
    <row r="10252" spans="1:6" x14ac:dyDescent="0.3">
      <c r="A10252" s="8" t="s">
        <v>20461</v>
      </c>
      <c r="B10252" s="8" t="s">
        <v>63854</v>
      </c>
      <c r="C10252" s="8" t="s">
        <v>20462</v>
      </c>
      <c r="D10252" s="8"/>
      <c r="E10252" s="6"/>
      <c r="F10252" s="6"/>
    </row>
    <row r="10253" spans="1:6" x14ac:dyDescent="0.3">
      <c r="A10253" s="8" t="s">
        <v>20463</v>
      </c>
      <c r="B10253" s="8" t="s">
        <v>63855</v>
      </c>
      <c r="C10253" s="8" t="s">
        <v>20464</v>
      </c>
      <c r="D10253" s="8"/>
      <c r="E10253" s="6"/>
      <c r="F10253" s="6"/>
    </row>
    <row r="10254" spans="1:6" x14ac:dyDescent="0.3">
      <c r="A10254" s="8" t="s">
        <v>20465</v>
      </c>
      <c r="B10254" s="8" t="s">
        <v>63856</v>
      </c>
      <c r="C10254" s="8" t="s">
        <v>20466</v>
      </c>
      <c r="D10254" s="8"/>
      <c r="E10254" s="6"/>
      <c r="F10254" s="6"/>
    </row>
    <row r="10255" spans="1:6" x14ac:dyDescent="0.3">
      <c r="A10255" s="8" t="s">
        <v>20467</v>
      </c>
      <c r="B10255" s="8" t="s">
        <v>63857</v>
      </c>
      <c r="C10255" s="8" t="s">
        <v>20468</v>
      </c>
      <c r="D10255" s="8"/>
      <c r="E10255" s="6"/>
      <c r="F10255" s="6"/>
    </row>
    <row r="10256" spans="1:6" x14ac:dyDescent="0.3">
      <c r="A10256" s="8" t="s">
        <v>20469</v>
      </c>
      <c r="B10256" s="8" t="s">
        <v>63858</v>
      </c>
      <c r="C10256" s="8" t="s">
        <v>20470</v>
      </c>
      <c r="D10256" s="8"/>
      <c r="E10256" s="6"/>
      <c r="F10256" s="6"/>
    </row>
    <row r="10257" spans="1:6" x14ac:dyDescent="0.3">
      <c r="A10257" s="8" t="s">
        <v>20471</v>
      </c>
      <c r="B10257" s="8" t="s">
        <v>63859</v>
      </c>
      <c r="C10257" s="8" t="s">
        <v>20472</v>
      </c>
      <c r="D10257" s="8"/>
      <c r="E10257" s="6"/>
      <c r="F10257" s="6"/>
    </row>
    <row r="10258" spans="1:6" x14ac:dyDescent="0.3">
      <c r="A10258" s="8" t="s">
        <v>20473</v>
      </c>
      <c r="B10258" s="8" t="s">
        <v>63860</v>
      </c>
      <c r="C10258" s="8" t="s">
        <v>20474</v>
      </c>
      <c r="D10258" s="8"/>
      <c r="E10258" s="6"/>
      <c r="F10258" s="6"/>
    </row>
    <row r="10259" spans="1:6" x14ac:dyDescent="0.3">
      <c r="A10259" s="8" t="s">
        <v>20475</v>
      </c>
      <c r="B10259" s="8" t="s">
        <v>63861</v>
      </c>
      <c r="C10259" s="8" t="s">
        <v>20476</v>
      </c>
      <c r="D10259" s="8"/>
      <c r="E10259" s="6"/>
      <c r="F10259" s="6"/>
    </row>
    <row r="10260" spans="1:6" x14ac:dyDescent="0.3">
      <c r="A10260" s="8" t="s">
        <v>20477</v>
      </c>
      <c r="B10260" s="8" t="s">
        <v>63862</v>
      </c>
      <c r="C10260" s="8" t="s">
        <v>20478</v>
      </c>
      <c r="D10260" s="8"/>
      <c r="E10260" s="6"/>
      <c r="F10260" s="6"/>
    </row>
    <row r="10261" spans="1:6" x14ac:dyDescent="0.3">
      <c r="A10261" s="8" t="s">
        <v>20479</v>
      </c>
      <c r="B10261" s="8" t="s">
        <v>63863</v>
      </c>
      <c r="C10261" s="8" t="s">
        <v>20480</v>
      </c>
      <c r="D10261" s="8"/>
      <c r="E10261" s="6"/>
      <c r="F10261" s="6"/>
    </row>
    <row r="10262" spans="1:6" x14ac:dyDescent="0.3">
      <c r="A10262" s="8" t="s">
        <v>20481</v>
      </c>
      <c r="B10262" s="8" t="s">
        <v>63864</v>
      </c>
      <c r="C10262" s="8" t="s">
        <v>20482</v>
      </c>
      <c r="D10262" s="8"/>
      <c r="E10262" s="6"/>
      <c r="F10262" s="6"/>
    </row>
    <row r="10263" spans="1:6" x14ac:dyDescent="0.3">
      <c r="A10263" s="8" t="s">
        <v>20483</v>
      </c>
      <c r="B10263" s="8" t="s">
        <v>63865</v>
      </c>
      <c r="C10263" s="8" t="s">
        <v>20484</v>
      </c>
      <c r="D10263" s="8"/>
      <c r="E10263" s="6"/>
      <c r="F10263" s="6"/>
    </row>
    <row r="10264" spans="1:6" x14ac:dyDescent="0.3">
      <c r="A10264" s="8" t="s">
        <v>20485</v>
      </c>
      <c r="B10264" s="8" t="s">
        <v>63866</v>
      </c>
      <c r="C10264" s="8" t="s">
        <v>20486</v>
      </c>
      <c r="D10264" s="8"/>
      <c r="E10264" s="6"/>
      <c r="F10264" s="6"/>
    </row>
    <row r="10265" spans="1:6" x14ac:dyDescent="0.3">
      <c r="A10265" s="8" t="s">
        <v>20487</v>
      </c>
      <c r="B10265" s="8" t="s">
        <v>63867</v>
      </c>
      <c r="C10265" s="8" t="s">
        <v>20488</v>
      </c>
      <c r="D10265" s="8"/>
      <c r="E10265" s="6"/>
      <c r="F10265" s="6"/>
    </row>
    <row r="10266" spans="1:6" x14ac:dyDescent="0.3">
      <c r="A10266" s="8" t="s">
        <v>20489</v>
      </c>
      <c r="B10266" s="8" t="s">
        <v>63868</v>
      </c>
      <c r="C10266" s="8" t="s">
        <v>20490</v>
      </c>
      <c r="D10266" s="8"/>
      <c r="E10266" s="6"/>
      <c r="F10266" s="6"/>
    </row>
    <row r="10267" spans="1:6" x14ac:dyDescent="0.3">
      <c r="A10267" s="8" t="s">
        <v>20491</v>
      </c>
      <c r="B10267" s="8" t="s">
        <v>63869</v>
      </c>
      <c r="C10267" s="8" t="s">
        <v>20492</v>
      </c>
      <c r="D10267" s="8"/>
      <c r="E10267" s="6"/>
      <c r="F10267" s="6"/>
    </row>
    <row r="10268" spans="1:6" x14ac:dyDescent="0.3">
      <c r="A10268" s="8" t="s">
        <v>20493</v>
      </c>
      <c r="B10268" s="8" t="s">
        <v>63870</v>
      </c>
      <c r="C10268" s="8" t="s">
        <v>20494</v>
      </c>
      <c r="D10268" s="8"/>
      <c r="E10268" s="6"/>
      <c r="F10268" s="6"/>
    </row>
    <row r="10269" spans="1:6" x14ac:dyDescent="0.3">
      <c r="A10269" s="8" t="s">
        <v>20495</v>
      </c>
      <c r="B10269" s="8" t="s">
        <v>63871</v>
      </c>
      <c r="C10269" s="8" t="s">
        <v>20496</v>
      </c>
      <c r="D10269" s="8"/>
      <c r="E10269" s="6"/>
      <c r="F10269" s="6"/>
    </row>
    <row r="10270" spans="1:6" x14ac:dyDescent="0.3">
      <c r="A10270" s="8" t="s">
        <v>20497</v>
      </c>
      <c r="B10270" s="8" t="s">
        <v>63872</v>
      </c>
      <c r="C10270" s="8" t="s">
        <v>20498</v>
      </c>
      <c r="D10270" s="8"/>
      <c r="E10270" s="6"/>
      <c r="F10270" s="6"/>
    </row>
    <row r="10271" spans="1:6" x14ac:dyDescent="0.3">
      <c r="A10271" s="8" t="s">
        <v>20499</v>
      </c>
      <c r="B10271" s="8" t="s">
        <v>63873</v>
      </c>
      <c r="C10271" s="8" t="s">
        <v>20500</v>
      </c>
      <c r="D10271" s="8"/>
      <c r="E10271" s="6"/>
      <c r="F10271" s="6"/>
    </row>
    <row r="10272" spans="1:6" x14ac:dyDescent="0.3">
      <c r="A10272" s="8" t="s">
        <v>20501</v>
      </c>
      <c r="B10272" s="8" t="s">
        <v>63874</v>
      </c>
      <c r="C10272" s="8" t="s">
        <v>20502</v>
      </c>
      <c r="D10272" s="8"/>
      <c r="E10272" s="6"/>
      <c r="F10272" s="6"/>
    </row>
    <row r="10273" spans="1:6" x14ac:dyDescent="0.3">
      <c r="A10273" s="8" t="s">
        <v>20503</v>
      </c>
      <c r="B10273" s="8" t="s">
        <v>63875</v>
      </c>
      <c r="C10273" s="8" t="s">
        <v>20504</v>
      </c>
      <c r="D10273" s="8"/>
      <c r="E10273" s="6"/>
      <c r="F10273" s="6"/>
    </row>
    <row r="10274" spans="1:6" x14ac:dyDescent="0.3">
      <c r="A10274" s="8" t="s">
        <v>20505</v>
      </c>
      <c r="B10274" s="8" t="s">
        <v>63876</v>
      </c>
      <c r="C10274" s="8" t="s">
        <v>20506</v>
      </c>
      <c r="D10274" s="8"/>
      <c r="E10274" s="6"/>
      <c r="F10274" s="6"/>
    </row>
    <row r="10275" spans="1:6" x14ac:dyDescent="0.3">
      <c r="A10275" s="8" t="s">
        <v>20507</v>
      </c>
      <c r="B10275" s="8" t="s">
        <v>63877</v>
      </c>
      <c r="C10275" s="8" t="s">
        <v>20508</v>
      </c>
      <c r="D10275" s="8"/>
      <c r="E10275" s="6"/>
      <c r="F10275" s="6"/>
    </row>
    <row r="10276" spans="1:6" x14ac:dyDescent="0.3">
      <c r="A10276" s="8" t="s">
        <v>20509</v>
      </c>
      <c r="B10276" s="8" t="s">
        <v>63878</v>
      </c>
      <c r="C10276" s="8" t="s">
        <v>20510</v>
      </c>
      <c r="D10276" s="8"/>
      <c r="E10276" s="6"/>
      <c r="F10276" s="6"/>
    </row>
    <row r="10277" spans="1:6" x14ac:dyDescent="0.3">
      <c r="A10277" s="8" t="s">
        <v>20511</v>
      </c>
      <c r="B10277" s="8" t="s">
        <v>63879</v>
      </c>
      <c r="C10277" s="8" t="s">
        <v>20512</v>
      </c>
      <c r="D10277" s="8"/>
      <c r="E10277" s="6"/>
      <c r="F10277" s="6"/>
    </row>
    <row r="10278" spans="1:6" x14ac:dyDescent="0.3">
      <c r="A10278" s="8" t="s">
        <v>20513</v>
      </c>
      <c r="B10278" s="8" t="s">
        <v>63880</v>
      </c>
      <c r="C10278" s="8" t="s">
        <v>20514</v>
      </c>
      <c r="D10278" s="8"/>
      <c r="E10278" s="6"/>
      <c r="F10278" s="6"/>
    </row>
    <row r="10279" spans="1:6" x14ac:dyDescent="0.3">
      <c r="A10279" s="8" t="s">
        <v>20515</v>
      </c>
      <c r="B10279" s="8" t="s">
        <v>63881</v>
      </c>
      <c r="C10279" s="8" t="s">
        <v>20516</v>
      </c>
      <c r="D10279" s="8"/>
      <c r="E10279" s="6"/>
      <c r="F10279" s="6"/>
    </row>
    <row r="10280" spans="1:6" x14ac:dyDescent="0.3">
      <c r="A10280" s="8" t="s">
        <v>20517</v>
      </c>
      <c r="B10280" s="8" t="s">
        <v>63882</v>
      </c>
      <c r="C10280" s="8" t="s">
        <v>20518</v>
      </c>
      <c r="D10280" s="8"/>
      <c r="E10280" s="6"/>
      <c r="F10280" s="6"/>
    </row>
    <row r="10281" spans="1:6" x14ac:dyDescent="0.3">
      <c r="A10281" s="8" t="s">
        <v>20519</v>
      </c>
      <c r="B10281" s="8" t="s">
        <v>63883</v>
      </c>
      <c r="C10281" s="8" t="s">
        <v>20520</v>
      </c>
      <c r="D10281" s="8"/>
      <c r="E10281" s="6"/>
      <c r="F10281" s="6"/>
    </row>
    <row r="10282" spans="1:6" x14ac:dyDescent="0.3">
      <c r="A10282" s="8" t="s">
        <v>20521</v>
      </c>
      <c r="B10282" s="8" t="s">
        <v>63884</v>
      </c>
      <c r="C10282" s="8" t="s">
        <v>20522</v>
      </c>
      <c r="D10282" s="8"/>
      <c r="E10282" s="6"/>
      <c r="F10282" s="6"/>
    </row>
    <row r="10283" spans="1:6" x14ac:dyDescent="0.3">
      <c r="A10283" s="8" t="s">
        <v>20523</v>
      </c>
      <c r="B10283" s="8" t="s">
        <v>63885</v>
      </c>
      <c r="C10283" s="8" t="s">
        <v>20524</v>
      </c>
      <c r="D10283" s="8"/>
      <c r="E10283" s="6"/>
      <c r="F10283" s="6"/>
    </row>
    <row r="10284" spans="1:6" x14ac:dyDescent="0.3">
      <c r="A10284" s="8" t="s">
        <v>20525</v>
      </c>
      <c r="B10284" s="8" t="s">
        <v>63886</v>
      </c>
      <c r="C10284" s="8" t="s">
        <v>20526</v>
      </c>
      <c r="D10284" s="8"/>
      <c r="E10284" s="6"/>
      <c r="F10284" s="6"/>
    </row>
    <row r="10285" spans="1:6" x14ac:dyDescent="0.3">
      <c r="A10285" s="8" t="s">
        <v>20527</v>
      </c>
      <c r="B10285" s="8" t="s">
        <v>63887</v>
      </c>
      <c r="C10285" s="8" t="s">
        <v>20528</v>
      </c>
      <c r="D10285" s="8"/>
      <c r="E10285" s="6"/>
      <c r="F10285" s="6"/>
    </row>
    <row r="10286" spans="1:6" x14ac:dyDescent="0.3">
      <c r="A10286" s="8" t="s">
        <v>20529</v>
      </c>
      <c r="B10286" s="8" t="s">
        <v>63888</v>
      </c>
      <c r="C10286" s="8" t="s">
        <v>20530</v>
      </c>
      <c r="D10286" s="8"/>
      <c r="E10286" s="6"/>
      <c r="F10286" s="6"/>
    </row>
    <row r="10287" spans="1:6" x14ac:dyDescent="0.3">
      <c r="A10287" s="8" t="s">
        <v>20531</v>
      </c>
      <c r="B10287" s="8" t="s">
        <v>63889</v>
      </c>
      <c r="C10287" s="8" t="s">
        <v>20532</v>
      </c>
      <c r="D10287" s="8"/>
      <c r="E10287" s="6"/>
      <c r="F10287" s="6"/>
    </row>
    <row r="10288" spans="1:6" x14ac:dyDescent="0.3">
      <c r="A10288" s="8" t="s">
        <v>20533</v>
      </c>
      <c r="B10288" s="8" t="s">
        <v>63890</v>
      </c>
      <c r="C10288" s="8" t="s">
        <v>20534</v>
      </c>
      <c r="D10288" s="8"/>
      <c r="E10288" s="6"/>
      <c r="F10288" s="6"/>
    </row>
    <row r="10289" spans="1:6" x14ac:dyDescent="0.3">
      <c r="A10289" s="8" t="s">
        <v>20535</v>
      </c>
      <c r="B10289" s="8" t="s">
        <v>63891</v>
      </c>
      <c r="C10289" s="8" t="s">
        <v>20536</v>
      </c>
      <c r="D10289" s="8"/>
      <c r="E10289" s="6"/>
      <c r="F10289" s="6"/>
    </row>
    <row r="10290" spans="1:6" x14ac:dyDescent="0.3">
      <c r="A10290" s="8" t="s">
        <v>20537</v>
      </c>
      <c r="B10290" s="8" t="s">
        <v>63892</v>
      </c>
      <c r="C10290" s="8" t="s">
        <v>20538</v>
      </c>
      <c r="D10290" s="8"/>
      <c r="E10290" s="6"/>
      <c r="F10290" s="6"/>
    </row>
    <row r="10291" spans="1:6" x14ac:dyDescent="0.3">
      <c r="A10291" s="8" t="s">
        <v>20539</v>
      </c>
      <c r="B10291" s="8" t="s">
        <v>63893</v>
      </c>
      <c r="C10291" s="8" t="s">
        <v>20540</v>
      </c>
      <c r="D10291" s="8"/>
      <c r="E10291" s="6"/>
      <c r="F10291" s="6"/>
    </row>
    <row r="10292" spans="1:6" x14ac:dyDescent="0.3">
      <c r="A10292" s="8" t="s">
        <v>20541</v>
      </c>
      <c r="B10292" s="8" t="s">
        <v>63894</v>
      </c>
      <c r="C10292" s="8" t="s">
        <v>20542</v>
      </c>
      <c r="D10292" s="8"/>
      <c r="E10292" s="6"/>
      <c r="F10292" s="6"/>
    </row>
    <row r="10293" spans="1:6" x14ac:dyDescent="0.3">
      <c r="A10293" s="8" t="s">
        <v>20543</v>
      </c>
      <c r="B10293" s="8" t="s">
        <v>63895</v>
      </c>
      <c r="C10293" s="8" t="s">
        <v>20544</v>
      </c>
      <c r="D10293" s="8"/>
      <c r="E10293" s="6"/>
      <c r="F10293" s="6"/>
    </row>
    <row r="10294" spans="1:6" x14ac:dyDescent="0.3">
      <c r="A10294" s="8" t="s">
        <v>20545</v>
      </c>
      <c r="B10294" s="8" t="s">
        <v>63896</v>
      </c>
      <c r="C10294" s="8" t="s">
        <v>20546</v>
      </c>
      <c r="D10294" s="8"/>
      <c r="E10294" s="6"/>
      <c r="F10294" s="6"/>
    </row>
    <row r="10295" spans="1:6" x14ac:dyDescent="0.3">
      <c r="A10295" s="8" t="s">
        <v>20547</v>
      </c>
      <c r="B10295" s="8" t="s">
        <v>63897</v>
      </c>
      <c r="C10295" s="8" t="s">
        <v>20548</v>
      </c>
      <c r="D10295" s="8"/>
      <c r="E10295" s="6"/>
      <c r="F10295" s="6"/>
    </row>
    <row r="10296" spans="1:6" x14ac:dyDescent="0.3">
      <c r="A10296" s="8" t="s">
        <v>20549</v>
      </c>
      <c r="B10296" s="8" t="s">
        <v>63898</v>
      </c>
      <c r="C10296" s="8" t="s">
        <v>20550</v>
      </c>
      <c r="D10296" s="8"/>
      <c r="E10296" s="6"/>
      <c r="F10296" s="6"/>
    </row>
    <row r="10297" spans="1:6" x14ac:dyDescent="0.3">
      <c r="A10297" s="8" t="s">
        <v>20551</v>
      </c>
      <c r="B10297" s="8" t="s">
        <v>63899</v>
      </c>
      <c r="C10297" s="8" t="s">
        <v>20552</v>
      </c>
      <c r="D10297" s="8"/>
      <c r="E10297" s="6"/>
      <c r="F10297" s="6"/>
    </row>
    <row r="10298" spans="1:6" x14ac:dyDescent="0.3">
      <c r="A10298" s="8" t="s">
        <v>20553</v>
      </c>
      <c r="B10298" s="8" t="s">
        <v>63900</v>
      </c>
      <c r="C10298" s="8" t="s">
        <v>20554</v>
      </c>
      <c r="D10298" s="8"/>
      <c r="E10298" s="6"/>
      <c r="F10298" s="6"/>
    </row>
    <row r="10299" spans="1:6" x14ac:dyDescent="0.3">
      <c r="A10299" s="8" t="s">
        <v>20555</v>
      </c>
      <c r="B10299" s="8" t="s">
        <v>63901</v>
      </c>
      <c r="C10299" s="8" t="s">
        <v>20556</v>
      </c>
      <c r="D10299" s="8"/>
      <c r="E10299" s="6"/>
      <c r="F10299" s="6"/>
    </row>
    <row r="10300" spans="1:6" x14ac:dyDescent="0.3">
      <c r="A10300" s="8" t="s">
        <v>20557</v>
      </c>
      <c r="B10300" s="8" t="s">
        <v>63902</v>
      </c>
      <c r="C10300" s="8" t="s">
        <v>20558</v>
      </c>
      <c r="D10300" s="8"/>
      <c r="E10300" s="6"/>
      <c r="F10300" s="6"/>
    </row>
    <row r="10301" spans="1:6" x14ac:dyDescent="0.3">
      <c r="A10301" s="8" t="s">
        <v>20559</v>
      </c>
      <c r="B10301" s="8" t="s">
        <v>63903</v>
      </c>
      <c r="C10301" s="8" t="s">
        <v>20560</v>
      </c>
      <c r="D10301" s="8"/>
      <c r="E10301" s="6"/>
      <c r="F10301" s="6"/>
    </row>
    <row r="10302" spans="1:6" x14ac:dyDescent="0.3">
      <c r="A10302" s="8" t="s">
        <v>20561</v>
      </c>
      <c r="B10302" s="8" t="s">
        <v>63904</v>
      </c>
      <c r="C10302" s="8" t="s">
        <v>20562</v>
      </c>
      <c r="D10302" s="8"/>
      <c r="E10302" s="6"/>
      <c r="F10302" s="6"/>
    </row>
    <row r="10303" spans="1:6" x14ac:dyDescent="0.3">
      <c r="A10303" s="8" t="s">
        <v>20563</v>
      </c>
      <c r="B10303" s="8" t="s">
        <v>63905</v>
      </c>
      <c r="C10303" s="8" t="s">
        <v>20564</v>
      </c>
      <c r="D10303" s="8"/>
      <c r="E10303" s="6"/>
      <c r="F10303" s="6"/>
    </row>
    <row r="10304" spans="1:6" x14ac:dyDescent="0.3">
      <c r="A10304" s="8" t="s">
        <v>20565</v>
      </c>
      <c r="B10304" s="8" t="s">
        <v>63906</v>
      </c>
      <c r="C10304" s="8" t="s">
        <v>20566</v>
      </c>
      <c r="D10304" s="8"/>
      <c r="E10304" s="6"/>
      <c r="F10304" s="6"/>
    </row>
    <row r="10305" spans="1:6" x14ac:dyDescent="0.3">
      <c r="A10305" s="8" t="s">
        <v>20567</v>
      </c>
      <c r="B10305" s="8" t="s">
        <v>63907</v>
      </c>
      <c r="C10305" s="8" t="s">
        <v>20568</v>
      </c>
      <c r="D10305" s="8"/>
      <c r="E10305" s="6"/>
      <c r="F10305" s="6"/>
    </row>
    <row r="10306" spans="1:6" x14ac:dyDescent="0.3">
      <c r="A10306" s="8" t="s">
        <v>20569</v>
      </c>
      <c r="B10306" s="8" t="s">
        <v>63908</v>
      </c>
      <c r="C10306" s="8" t="s">
        <v>20570</v>
      </c>
      <c r="D10306" s="8"/>
      <c r="E10306" s="6"/>
      <c r="F10306" s="6"/>
    </row>
    <row r="10307" spans="1:6" x14ac:dyDescent="0.3">
      <c r="A10307" s="8" t="s">
        <v>20571</v>
      </c>
      <c r="B10307" s="8" t="s">
        <v>63909</v>
      </c>
      <c r="C10307" s="8" t="s">
        <v>20572</v>
      </c>
      <c r="D10307" s="8"/>
      <c r="E10307" s="6"/>
      <c r="F10307" s="6"/>
    </row>
    <row r="10308" spans="1:6" x14ac:dyDescent="0.3">
      <c r="A10308" s="8" t="s">
        <v>20573</v>
      </c>
      <c r="B10308" s="8" t="s">
        <v>63910</v>
      </c>
      <c r="C10308" s="8" t="s">
        <v>20574</v>
      </c>
      <c r="D10308" s="8"/>
      <c r="E10308" s="6"/>
      <c r="F10308" s="6"/>
    </row>
    <row r="10309" spans="1:6" x14ac:dyDescent="0.3">
      <c r="A10309" s="8" t="s">
        <v>20575</v>
      </c>
      <c r="B10309" s="8" t="s">
        <v>63911</v>
      </c>
      <c r="C10309" s="8" t="s">
        <v>20576</v>
      </c>
      <c r="D10309" s="8"/>
      <c r="E10309" s="6"/>
      <c r="F10309" s="6"/>
    </row>
    <row r="10310" spans="1:6" x14ac:dyDescent="0.3">
      <c r="A10310" s="8" t="s">
        <v>20577</v>
      </c>
      <c r="B10310" s="8" t="s">
        <v>63912</v>
      </c>
      <c r="C10310" s="8" t="s">
        <v>20578</v>
      </c>
      <c r="D10310" s="8"/>
      <c r="E10310" s="6"/>
      <c r="F10310" s="6"/>
    </row>
    <row r="10311" spans="1:6" x14ac:dyDescent="0.3">
      <c r="A10311" s="8" t="s">
        <v>20579</v>
      </c>
      <c r="B10311" s="8" t="s">
        <v>63913</v>
      </c>
      <c r="C10311" s="8" t="s">
        <v>20580</v>
      </c>
      <c r="D10311" s="8"/>
      <c r="E10311" s="6"/>
      <c r="F10311" s="6"/>
    </row>
    <row r="10312" spans="1:6" x14ac:dyDescent="0.3">
      <c r="A10312" s="8" t="s">
        <v>20581</v>
      </c>
      <c r="B10312" s="8" t="s">
        <v>63914</v>
      </c>
      <c r="C10312" s="8" t="s">
        <v>20582</v>
      </c>
      <c r="D10312" s="8"/>
      <c r="E10312" s="6"/>
      <c r="F10312" s="6"/>
    </row>
    <row r="10313" spans="1:6" x14ac:dyDescent="0.3">
      <c r="A10313" s="8" t="s">
        <v>20583</v>
      </c>
      <c r="B10313" s="8" t="s">
        <v>63915</v>
      </c>
      <c r="C10313" s="8" t="s">
        <v>20584</v>
      </c>
      <c r="D10313" s="8"/>
      <c r="E10313" s="6"/>
      <c r="F10313" s="6"/>
    </row>
    <row r="10314" spans="1:6" x14ac:dyDescent="0.3">
      <c r="A10314" s="8" t="s">
        <v>20585</v>
      </c>
      <c r="B10314" s="8" t="s">
        <v>63916</v>
      </c>
      <c r="C10314" s="8" t="s">
        <v>20586</v>
      </c>
      <c r="D10314" s="8"/>
      <c r="E10314" s="6"/>
      <c r="F10314" s="6"/>
    </row>
    <row r="10315" spans="1:6" x14ac:dyDescent="0.3">
      <c r="A10315" s="8" t="s">
        <v>20587</v>
      </c>
      <c r="B10315" s="8" t="s">
        <v>63917</v>
      </c>
      <c r="C10315" s="8" t="s">
        <v>20588</v>
      </c>
      <c r="D10315" s="8"/>
      <c r="E10315" s="6"/>
      <c r="F10315" s="6"/>
    </row>
    <row r="10316" spans="1:6" x14ac:dyDescent="0.3">
      <c r="A10316" s="8" t="s">
        <v>20589</v>
      </c>
      <c r="B10316" s="8" t="s">
        <v>63918</v>
      </c>
      <c r="C10316" s="8" t="s">
        <v>20590</v>
      </c>
      <c r="D10316" s="8"/>
      <c r="E10316" s="6"/>
      <c r="F10316" s="6"/>
    </row>
    <row r="10317" spans="1:6" x14ac:dyDescent="0.3">
      <c r="A10317" s="8" t="s">
        <v>20591</v>
      </c>
      <c r="B10317" s="8" t="s">
        <v>63919</v>
      </c>
      <c r="C10317" s="8" t="s">
        <v>20592</v>
      </c>
      <c r="D10317" s="8"/>
      <c r="E10317" s="6"/>
      <c r="F10317" s="6"/>
    </row>
    <row r="10318" spans="1:6" x14ac:dyDescent="0.3">
      <c r="A10318" s="8" t="s">
        <v>20593</v>
      </c>
      <c r="B10318" s="8" t="s">
        <v>63920</v>
      </c>
      <c r="C10318" s="8" t="s">
        <v>20594</v>
      </c>
      <c r="D10318" s="8"/>
      <c r="E10318" s="6"/>
      <c r="F10318" s="6"/>
    </row>
    <row r="10319" spans="1:6" x14ac:dyDescent="0.3">
      <c r="A10319" s="8" t="s">
        <v>20595</v>
      </c>
      <c r="B10319" s="8" t="s">
        <v>63921</v>
      </c>
      <c r="C10319" s="8" t="s">
        <v>20596</v>
      </c>
      <c r="D10319" s="8"/>
      <c r="E10319" s="6"/>
      <c r="F10319" s="6"/>
    </row>
    <row r="10320" spans="1:6" x14ac:dyDescent="0.3">
      <c r="A10320" s="8" t="s">
        <v>20597</v>
      </c>
      <c r="B10320" s="8" t="s">
        <v>63922</v>
      </c>
      <c r="C10320" s="8" t="s">
        <v>20598</v>
      </c>
      <c r="D10320" s="8"/>
      <c r="E10320" s="6"/>
      <c r="F10320" s="6"/>
    </row>
    <row r="10321" spans="1:6" x14ac:dyDescent="0.3">
      <c r="A10321" s="8" t="s">
        <v>20599</v>
      </c>
      <c r="B10321" s="8" t="s">
        <v>63923</v>
      </c>
      <c r="C10321" s="8" t="s">
        <v>20600</v>
      </c>
      <c r="D10321" s="8"/>
      <c r="E10321" s="6"/>
      <c r="F10321" s="6"/>
    </row>
    <row r="10322" spans="1:6" x14ac:dyDescent="0.3">
      <c r="A10322" s="8" t="s">
        <v>20601</v>
      </c>
      <c r="B10322" s="8" t="s">
        <v>63924</v>
      </c>
      <c r="C10322" s="8" t="s">
        <v>20602</v>
      </c>
      <c r="D10322" s="8"/>
      <c r="E10322" s="6"/>
      <c r="F10322" s="6"/>
    </row>
    <row r="10323" spans="1:6" x14ac:dyDescent="0.3">
      <c r="A10323" s="8" t="s">
        <v>20603</v>
      </c>
      <c r="B10323" s="8" t="s">
        <v>63925</v>
      </c>
      <c r="C10323" s="8" t="s">
        <v>20604</v>
      </c>
      <c r="D10323" s="8"/>
      <c r="E10323" s="6"/>
      <c r="F10323" s="6"/>
    </row>
    <row r="10324" spans="1:6" x14ac:dyDescent="0.3">
      <c r="A10324" s="8" t="s">
        <v>20605</v>
      </c>
      <c r="B10324" s="8" t="s">
        <v>63926</v>
      </c>
      <c r="C10324" s="8" t="s">
        <v>20606</v>
      </c>
      <c r="D10324" s="8"/>
      <c r="E10324" s="6"/>
      <c r="F10324" s="6"/>
    </row>
    <row r="10325" spans="1:6" x14ac:dyDescent="0.3">
      <c r="A10325" s="8" t="s">
        <v>20607</v>
      </c>
      <c r="B10325" s="8" t="s">
        <v>63927</v>
      </c>
      <c r="C10325" s="8" t="s">
        <v>20608</v>
      </c>
      <c r="D10325" s="8"/>
      <c r="E10325" s="6"/>
      <c r="F10325" s="6"/>
    </row>
    <row r="10326" spans="1:6" x14ac:dyDescent="0.3">
      <c r="A10326" s="8" t="s">
        <v>20609</v>
      </c>
      <c r="B10326" s="8" t="s">
        <v>63928</v>
      </c>
      <c r="C10326" s="8" t="s">
        <v>20610</v>
      </c>
      <c r="D10326" s="8"/>
      <c r="E10326" s="6"/>
      <c r="F10326" s="6"/>
    </row>
    <row r="10327" spans="1:6" x14ac:dyDescent="0.3">
      <c r="A10327" s="8" t="s">
        <v>20611</v>
      </c>
      <c r="B10327" s="8" t="s">
        <v>63929</v>
      </c>
      <c r="C10327" s="8" t="s">
        <v>20612</v>
      </c>
      <c r="D10327" s="8"/>
      <c r="E10327" s="6"/>
      <c r="F10327" s="6"/>
    </row>
    <row r="10328" spans="1:6" x14ac:dyDescent="0.3">
      <c r="A10328" s="8" t="s">
        <v>20613</v>
      </c>
      <c r="B10328" s="8" t="s">
        <v>63930</v>
      </c>
      <c r="C10328" s="8" t="s">
        <v>20614</v>
      </c>
      <c r="D10328" s="8"/>
      <c r="E10328" s="6"/>
      <c r="F10328" s="6"/>
    </row>
    <row r="10329" spans="1:6" x14ac:dyDescent="0.3">
      <c r="A10329" s="8" t="s">
        <v>20615</v>
      </c>
      <c r="B10329" s="8" t="s">
        <v>63931</v>
      </c>
      <c r="C10329" s="8" t="s">
        <v>20616</v>
      </c>
      <c r="D10329" s="8"/>
      <c r="E10329" s="6"/>
      <c r="F10329" s="6"/>
    </row>
    <row r="10330" spans="1:6" x14ac:dyDescent="0.3">
      <c r="A10330" s="8" t="s">
        <v>20617</v>
      </c>
      <c r="B10330" s="8" t="s">
        <v>63932</v>
      </c>
      <c r="C10330" s="8" t="s">
        <v>20618</v>
      </c>
      <c r="D10330" s="8"/>
      <c r="E10330" s="6"/>
      <c r="F10330" s="6"/>
    </row>
    <row r="10331" spans="1:6" x14ac:dyDescent="0.3">
      <c r="A10331" s="8" t="s">
        <v>20619</v>
      </c>
      <c r="B10331" s="8" t="s">
        <v>63933</v>
      </c>
      <c r="C10331" s="8" t="s">
        <v>20620</v>
      </c>
      <c r="D10331" s="8"/>
      <c r="E10331" s="6"/>
      <c r="F10331" s="6"/>
    </row>
    <row r="10332" spans="1:6" x14ac:dyDescent="0.3">
      <c r="A10332" s="8" t="s">
        <v>20621</v>
      </c>
      <c r="B10332" s="8" t="s">
        <v>63934</v>
      </c>
      <c r="C10332" s="8" t="s">
        <v>20622</v>
      </c>
      <c r="D10332" s="8"/>
      <c r="E10332" s="6"/>
      <c r="F10332" s="6"/>
    </row>
    <row r="10333" spans="1:6" x14ac:dyDescent="0.3">
      <c r="A10333" s="8" t="s">
        <v>20623</v>
      </c>
      <c r="B10333" s="8" t="s">
        <v>63935</v>
      </c>
      <c r="C10333" s="8" t="s">
        <v>20624</v>
      </c>
      <c r="D10333" s="8"/>
      <c r="E10333" s="6"/>
      <c r="F10333" s="6"/>
    </row>
    <row r="10334" spans="1:6" x14ac:dyDescent="0.3">
      <c r="A10334" s="8" t="s">
        <v>20625</v>
      </c>
      <c r="B10334" s="8" t="s">
        <v>63936</v>
      </c>
      <c r="C10334" s="8" t="s">
        <v>20626</v>
      </c>
      <c r="D10334" s="8"/>
      <c r="E10334" s="6"/>
      <c r="F10334" s="6"/>
    </row>
    <row r="10335" spans="1:6" x14ac:dyDescent="0.3">
      <c r="A10335" s="8" t="s">
        <v>20627</v>
      </c>
      <c r="B10335" s="8" t="s">
        <v>63937</v>
      </c>
      <c r="C10335" s="8" t="s">
        <v>20628</v>
      </c>
      <c r="D10335" s="8"/>
      <c r="E10335" s="6"/>
      <c r="F10335" s="6"/>
    </row>
    <row r="10336" spans="1:6" x14ac:dyDescent="0.3">
      <c r="A10336" s="8" t="s">
        <v>20629</v>
      </c>
      <c r="B10336" s="8" t="s">
        <v>63938</v>
      </c>
      <c r="C10336" s="8" t="s">
        <v>20630</v>
      </c>
      <c r="D10336" s="8"/>
      <c r="E10336" s="6"/>
      <c r="F10336" s="6"/>
    </row>
    <row r="10337" spans="1:6" x14ac:dyDescent="0.3">
      <c r="A10337" s="8" t="s">
        <v>20631</v>
      </c>
      <c r="B10337" s="8" t="s">
        <v>63939</v>
      </c>
      <c r="C10337" s="8" t="s">
        <v>20632</v>
      </c>
      <c r="D10337" s="8"/>
      <c r="E10337" s="6"/>
      <c r="F10337" s="6"/>
    </row>
    <row r="10338" spans="1:6" x14ac:dyDescent="0.3">
      <c r="A10338" s="8" t="s">
        <v>20633</v>
      </c>
      <c r="B10338" s="8" t="s">
        <v>63940</v>
      </c>
      <c r="C10338" s="8" t="s">
        <v>20634</v>
      </c>
      <c r="D10338" s="8"/>
      <c r="E10338" s="6"/>
      <c r="F10338" s="6"/>
    </row>
    <row r="10339" spans="1:6" x14ac:dyDescent="0.3">
      <c r="A10339" s="8" t="s">
        <v>20635</v>
      </c>
      <c r="B10339" s="8" t="s">
        <v>63941</v>
      </c>
      <c r="C10339" s="8" t="s">
        <v>20636</v>
      </c>
      <c r="D10339" s="8"/>
      <c r="E10339" s="6"/>
      <c r="F10339" s="6"/>
    </row>
    <row r="10340" spans="1:6" x14ac:dyDescent="0.3">
      <c r="A10340" s="8" t="s">
        <v>20637</v>
      </c>
      <c r="B10340" s="8" t="s">
        <v>63942</v>
      </c>
      <c r="C10340" s="8" t="s">
        <v>20638</v>
      </c>
      <c r="D10340" s="8"/>
      <c r="E10340" s="6"/>
      <c r="F10340" s="6"/>
    </row>
    <row r="10341" spans="1:6" x14ac:dyDescent="0.3">
      <c r="A10341" s="8" t="s">
        <v>20639</v>
      </c>
      <c r="B10341" s="8" t="s">
        <v>63943</v>
      </c>
      <c r="C10341" s="8" t="s">
        <v>20640</v>
      </c>
      <c r="D10341" s="8"/>
      <c r="E10341" s="6"/>
      <c r="F10341" s="6"/>
    </row>
    <row r="10342" spans="1:6" x14ac:dyDescent="0.3">
      <c r="A10342" s="8" t="s">
        <v>20641</v>
      </c>
      <c r="B10342" s="8" t="s">
        <v>63944</v>
      </c>
      <c r="C10342" s="8" t="s">
        <v>20642</v>
      </c>
      <c r="D10342" s="8"/>
      <c r="E10342" s="6"/>
      <c r="F10342" s="6"/>
    </row>
    <row r="10343" spans="1:6" x14ac:dyDescent="0.3">
      <c r="A10343" s="8" t="s">
        <v>20643</v>
      </c>
      <c r="B10343" s="8" t="s">
        <v>63945</v>
      </c>
      <c r="C10343" s="8" t="s">
        <v>20644</v>
      </c>
      <c r="D10343" s="8"/>
      <c r="E10343" s="6"/>
      <c r="F10343" s="6"/>
    </row>
    <row r="10344" spans="1:6" x14ac:dyDescent="0.3">
      <c r="A10344" s="8" t="s">
        <v>20645</v>
      </c>
      <c r="B10344" s="8" t="s">
        <v>63946</v>
      </c>
      <c r="C10344" s="8" t="s">
        <v>20646</v>
      </c>
      <c r="D10344" s="8"/>
      <c r="E10344" s="6"/>
      <c r="F10344" s="6"/>
    </row>
    <row r="10345" spans="1:6" x14ac:dyDescent="0.3">
      <c r="A10345" s="8" t="s">
        <v>20647</v>
      </c>
      <c r="B10345" s="8" t="s">
        <v>63947</v>
      </c>
      <c r="C10345" s="8" t="s">
        <v>20648</v>
      </c>
      <c r="D10345" s="8"/>
      <c r="E10345" s="6"/>
      <c r="F10345" s="6"/>
    </row>
    <row r="10346" spans="1:6" x14ac:dyDescent="0.3">
      <c r="A10346" s="8" t="s">
        <v>20649</v>
      </c>
      <c r="B10346" s="8" t="s">
        <v>63948</v>
      </c>
      <c r="C10346" s="8" t="s">
        <v>20650</v>
      </c>
      <c r="D10346" s="8"/>
      <c r="E10346" s="6"/>
      <c r="F10346" s="6"/>
    </row>
    <row r="10347" spans="1:6" x14ac:dyDescent="0.3">
      <c r="A10347" s="8" t="s">
        <v>20651</v>
      </c>
      <c r="B10347" s="8" t="s">
        <v>63949</v>
      </c>
      <c r="C10347" s="8" t="s">
        <v>20652</v>
      </c>
      <c r="D10347" s="8"/>
      <c r="E10347" s="6"/>
      <c r="F10347" s="6"/>
    </row>
    <row r="10348" spans="1:6" x14ac:dyDescent="0.3">
      <c r="A10348" s="8" t="s">
        <v>20653</v>
      </c>
      <c r="B10348" s="8" t="s">
        <v>63950</v>
      </c>
      <c r="C10348" s="8" t="s">
        <v>20654</v>
      </c>
      <c r="D10348" s="8"/>
      <c r="E10348" s="6"/>
      <c r="F10348" s="6"/>
    </row>
    <row r="10349" spans="1:6" x14ac:dyDescent="0.3">
      <c r="A10349" s="8" t="s">
        <v>20655</v>
      </c>
      <c r="B10349" s="8" t="s">
        <v>63951</v>
      </c>
      <c r="C10349" s="8" t="s">
        <v>20656</v>
      </c>
      <c r="D10349" s="8"/>
      <c r="E10349" s="6"/>
      <c r="F10349" s="6"/>
    </row>
    <row r="10350" spans="1:6" x14ac:dyDescent="0.3">
      <c r="A10350" s="8" t="s">
        <v>20657</v>
      </c>
      <c r="B10350" s="8" t="s">
        <v>63952</v>
      </c>
      <c r="C10350" s="8" t="s">
        <v>20658</v>
      </c>
      <c r="D10350" s="8"/>
      <c r="E10350" s="6"/>
      <c r="F10350" s="6"/>
    </row>
    <row r="10351" spans="1:6" x14ac:dyDescent="0.3">
      <c r="A10351" s="8" t="s">
        <v>20659</v>
      </c>
      <c r="B10351" s="8" t="s">
        <v>63953</v>
      </c>
      <c r="C10351" s="8" t="s">
        <v>20660</v>
      </c>
      <c r="D10351" s="8"/>
      <c r="E10351" s="6"/>
      <c r="F10351" s="6"/>
    </row>
    <row r="10352" spans="1:6" x14ac:dyDescent="0.3">
      <c r="A10352" s="8" t="s">
        <v>20661</v>
      </c>
      <c r="B10352" s="8" t="s">
        <v>63954</v>
      </c>
      <c r="C10352" s="8" t="s">
        <v>20662</v>
      </c>
      <c r="D10352" s="8"/>
      <c r="E10352" s="6"/>
      <c r="F10352" s="6"/>
    </row>
    <row r="10353" spans="1:6" x14ac:dyDescent="0.3">
      <c r="A10353" s="8" t="s">
        <v>20663</v>
      </c>
      <c r="B10353" s="8" t="s">
        <v>63955</v>
      </c>
      <c r="C10353" s="8" t="s">
        <v>20664</v>
      </c>
      <c r="D10353" s="8"/>
      <c r="E10353" s="6"/>
      <c r="F10353" s="6"/>
    </row>
    <row r="10354" spans="1:6" x14ac:dyDescent="0.3">
      <c r="A10354" s="8" t="s">
        <v>20665</v>
      </c>
      <c r="B10354" s="8" t="s">
        <v>63956</v>
      </c>
      <c r="C10354" s="8" t="s">
        <v>20666</v>
      </c>
      <c r="D10354" s="8"/>
      <c r="E10354" s="6"/>
      <c r="F10354" s="6"/>
    </row>
    <row r="10355" spans="1:6" x14ac:dyDescent="0.3">
      <c r="A10355" s="8" t="s">
        <v>20667</v>
      </c>
      <c r="B10355" s="8" t="s">
        <v>63957</v>
      </c>
      <c r="C10355" s="8" t="s">
        <v>20668</v>
      </c>
      <c r="D10355" s="8"/>
      <c r="E10355" s="6"/>
      <c r="F10355" s="6"/>
    </row>
    <row r="10356" spans="1:6" x14ac:dyDescent="0.3">
      <c r="A10356" s="8" t="s">
        <v>20669</v>
      </c>
      <c r="B10356" s="8" t="s">
        <v>63958</v>
      </c>
      <c r="C10356" s="8" t="s">
        <v>20670</v>
      </c>
      <c r="D10356" s="8"/>
      <c r="E10356" s="6"/>
      <c r="F10356" s="6"/>
    </row>
    <row r="10357" spans="1:6" x14ac:dyDescent="0.3">
      <c r="A10357" s="8" t="s">
        <v>20671</v>
      </c>
      <c r="B10357" s="8" t="s">
        <v>63959</v>
      </c>
      <c r="C10357" s="8" t="s">
        <v>20672</v>
      </c>
      <c r="D10357" s="8"/>
      <c r="E10357" s="6"/>
      <c r="F10357" s="6"/>
    </row>
    <row r="10358" spans="1:6" x14ac:dyDescent="0.3">
      <c r="A10358" s="8" t="s">
        <v>20673</v>
      </c>
      <c r="B10358" s="8" t="s">
        <v>63960</v>
      </c>
      <c r="C10358" s="8" t="s">
        <v>20674</v>
      </c>
      <c r="D10358" s="8"/>
      <c r="E10358" s="6"/>
      <c r="F10358" s="6"/>
    </row>
    <row r="10359" spans="1:6" x14ac:dyDescent="0.3">
      <c r="A10359" s="8" t="s">
        <v>20675</v>
      </c>
      <c r="B10359" s="8" t="s">
        <v>63961</v>
      </c>
      <c r="C10359" s="8" t="s">
        <v>20676</v>
      </c>
      <c r="D10359" s="8"/>
      <c r="E10359" s="6"/>
      <c r="F10359" s="6"/>
    </row>
    <row r="10360" spans="1:6" x14ac:dyDescent="0.3">
      <c r="A10360" s="8" t="s">
        <v>20677</v>
      </c>
      <c r="B10360" s="8" t="s">
        <v>63962</v>
      </c>
      <c r="C10360" s="8" t="s">
        <v>20678</v>
      </c>
      <c r="D10360" s="8"/>
      <c r="E10360" s="6"/>
      <c r="F10360" s="6"/>
    </row>
    <row r="10361" spans="1:6" x14ac:dyDescent="0.3">
      <c r="A10361" s="8" t="s">
        <v>20679</v>
      </c>
      <c r="B10361" s="8" t="s">
        <v>63963</v>
      </c>
      <c r="C10361" s="8" t="s">
        <v>20680</v>
      </c>
      <c r="D10361" s="8"/>
      <c r="E10361" s="6"/>
      <c r="F10361" s="6"/>
    </row>
    <row r="10362" spans="1:6" x14ac:dyDescent="0.3">
      <c r="A10362" s="8" t="s">
        <v>20681</v>
      </c>
      <c r="B10362" s="8" t="s">
        <v>63964</v>
      </c>
      <c r="C10362" s="8" t="s">
        <v>20682</v>
      </c>
      <c r="D10362" s="8"/>
      <c r="E10362" s="6"/>
      <c r="F10362" s="6"/>
    </row>
    <row r="10363" spans="1:6" x14ac:dyDescent="0.3">
      <c r="A10363" s="8" t="s">
        <v>20683</v>
      </c>
      <c r="B10363" s="8" t="s">
        <v>63965</v>
      </c>
      <c r="C10363" s="8" t="s">
        <v>20684</v>
      </c>
      <c r="D10363" s="8"/>
      <c r="E10363" s="6"/>
      <c r="F10363" s="6"/>
    </row>
    <row r="10364" spans="1:6" x14ac:dyDescent="0.3">
      <c r="A10364" s="8" t="s">
        <v>20685</v>
      </c>
      <c r="B10364" s="8" t="s">
        <v>63966</v>
      </c>
      <c r="C10364" s="8" t="s">
        <v>20686</v>
      </c>
      <c r="D10364" s="8"/>
      <c r="E10364" s="6"/>
      <c r="F10364" s="6"/>
    </row>
    <row r="10365" spans="1:6" x14ac:dyDescent="0.3">
      <c r="A10365" s="8" t="s">
        <v>20687</v>
      </c>
      <c r="B10365" s="8" t="s">
        <v>63967</v>
      </c>
      <c r="C10365" s="8" t="s">
        <v>20688</v>
      </c>
      <c r="D10365" s="8"/>
      <c r="E10365" s="6"/>
      <c r="F10365" s="6"/>
    </row>
    <row r="10366" spans="1:6" x14ac:dyDescent="0.3">
      <c r="A10366" s="8" t="s">
        <v>20689</v>
      </c>
      <c r="B10366" s="8" t="s">
        <v>63968</v>
      </c>
      <c r="C10366" s="8" t="s">
        <v>20690</v>
      </c>
      <c r="D10366" s="8"/>
      <c r="E10366" s="6"/>
      <c r="F10366" s="6"/>
    </row>
    <row r="10367" spans="1:6" x14ac:dyDescent="0.3">
      <c r="A10367" s="8" t="s">
        <v>20691</v>
      </c>
      <c r="B10367" s="8" t="s">
        <v>63969</v>
      </c>
      <c r="C10367" s="8" t="s">
        <v>20692</v>
      </c>
      <c r="D10367" s="8"/>
      <c r="E10367" s="6"/>
      <c r="F10367" s="6"/>
    </row>
    <row r="10368" spans="1:6" x14ac:dyDescent="0.3">
      <c r="A10368" s="8" t="s">
        <v>20693</v>
      </c>
      <c r="B10368" s="8" t="s">
        <v>63970</v>
      </c>
      <c r="C10368" s="8" t="s">
        <v>20694</v>
      </c>
      <c r="D10368" s="8"/>
      <c r="E10368" s="6"/>
      <c r="F10368" s="6"/>
    </row>
    <row r="10369" spans="1:6" x14ac:dyDescent="0.3">
      <c r="A10369" s="8" t="s">
        <v>20695</v>
      </c>
      <c r="B10369" s="8" t="s">
        <v>63971</v>
      </c>
      <c r="C10369" s="8" t="s">
        <v>20696</v>
      </c>
      <c r="D10369" s="8"/>
      <c r="E10369" s="6"/>
      <c r="F10369" s="6"/>
    </row>
    <row r="10370" spans="1:6" x14ac:dyDescent="0.3">
      <c r="A10370" s="8" t="s">
        <v>20697</v>
      </c>
      <c r="B10370" s="8" t="s">
        <v>63972</v>
      </c>
      <c r="C10370" s="8" t="s">
        <v>20698</v>
      </c>
      <c r="D10370" s="8"/>
      <c r="E10370" s="6"/>
      <c r="F10370" s="6"/>
    </row>
    <row r="10371" spans="1:6" x14ac:dyDescent="0.3">
      <c r="A10371" s="8" t="s">
        <v>20699</v>
      </c>
      <c r="B10371" s="8" t="s">
        <v>63973</v>
      </c>
      <c r="C10371" s="8" t="s">
        <v>20700</v>
      </c>
      <c r="D10371" s="8"/>
      <c r="E10371" s="6"/>
      <c r="F10371" s="6"/>
    </row>
    <row r="10372" spans="1:6" x14ac:dyDescent="0.3">
      <c r="A10372" s="8" t="s">
        <v>20701</v>
      </c>
      <c r="B10372" s="8" t="s">
        <v>63974</v>
      </c>
      <c r="C10372" s="8" t="s">
        <v>20702</v>
      </c>
      <c r="D10372" s="8"/>
      <c r="E10372" s="6"/>
      <c r="F10372" s="6"/>
    </row>
    <row r="10373" spans="1:6" x14ac:dyDescent="0.3">
      <c r="A10373" s="8" t="s">
        <v>20703</v>
      </c>
      <c r="B10373" s="8" t="s">
        <v>63975</v>
      </c>
      <c r="C10373" s="8" t="s">
        <v>20704</v>
      </c>
      <c r="D10373" s="8"/>
      <c r="E10373" s="6"/>
      <c r="F10373" s="6"/>
    </row>
    <row r="10374" spans="1:6" x14ac:dyDescent="0.3">
      <c r="A10374" s="8" t="s">
        <v>20705</v>
      </c>
      <c r="B10374" s="8" t="s">
        <v>63976</v>
      </c>
      <c r="C10374" s="8" t="s">
        <v>20706</v>
      </c>
      <c r="D10374" s="8"/>
      <c r="E10374" s="6"/>
      <c r="F10374" s="6"/>
    </row>
    <row r="10375" spans="1:6" x14ac:dyDescent="0.3">
      <c r="A10375" s="8" t="s">
        <v>20707</v>
      </c>
      <c r="B10375" s="8" t="s">
        <v>63977</v>
      </c>
      <c r="C10375" s="8" t="s">
        <v>20708</v>
      </c>
      <c r="D10375" s="8"/>
      <c r="E10375" s="6"/>
      <c r="F10375" s="6"/>
    </row>
    <row r="10376" spans="1:6" x14ac:dyDescent="0.3">
      <c r="A10376" s="8" t="s">
        <v>20709</v>
      </c>
      <c r="B10376" s="8" t="s">
        <v>63978</v>
      </c>
      <c r="C10376" s="8" t="s">
        <v>20710</v>
      </c>
      <c r="D10376" s="8"/>
      <c r="E10376" s="6"/>
      <c r="F10376" s="6"/>
    </row>
    <row r="10377" spans="1:6" x14ac:dyDescent="0.3">
      <c r="A10377" s="8" t="s">
        <v>20711</v>
      </c>
      <c r="B10377" s="8" t="s">
        <v>63979</v>
      </c>
      <c r="C10377" s="8" t="s">
        <v>20712</v>
      </c>
      <c r="D10377" s="8"/>
      <c r="E10377" s="6"/>
      <c r="F10377" s="6"/>
    </row>
    <row r="10378" spans="1:6" x14ac:dyDescent="0.3">
      <c r="A10378" s="8" t="s">
        <v>20713</v>
      </c>
      <c r="B10378" s="8" t="s">
        <v>63980</v>
      </c>
      <c r="C10378" s="8" t="s">
        <v>20714</v>
      </c>
      <c r="D10378" s="8"/>
      <c r="E10378" s="6"/>
      <c r="F10378" s="6"/>
    </row>
    <row r="10379" spans="1:6" x14ac:dyDescent="0.3">
      <c r="A10379" s="8" t="s">
        <v>20715</v>
      </c>
      <c r="B10379" s="8" t="s">
        <v>63981</v>
      </c>
      <c r="C10379" s="8" t="s">
        <v>20716</v>
      </c>
      <c r="D10379" s="8"/>
      <c r="E10379" s="6"/>
      <c r="F10379" s="6"/>
    </row>
    <row r="10380" spans="1:6" x14ac:dyDescent="0.3">
      <c r="A10380" s="8" t="s">
        <v>20717</v>
      </c>
      <c r="B10380" s="8" t="s">
        <v>63982</v>
      </c>
      <c r="C10380" s="8" t="s">
        <v>20718</v>
      </c>
      <c r="D10380" s="8"/>
      <c r="E10380" s="6"/>
      <c r="F10380" s="6"/>
    </row>
    <row r="10381" spans="1:6" x14ac:dyDescent="0.3">
      <c r="A10381" s="8" t="s">
        <v>20719</v>
      </c>
      <c r="B10381" s="8" t="s">
        <v>63983</v>
      </c>
      <c r="C10381" s="8" t="s">
        <v>20720</v>
      </c>
      <c r="D10381" s="8"/>
      <c r="E10381" s="6"/>
      <c r="F10381" s="6"/>
    </row>
    <row r="10382" spans="1:6" x14ac:dyDescent="0.3">
      <c r="A10382" s="8" t="s">
        <v>20721</v>
      </c>
      <c r="B10382" s="8" t="s">
        <v>63984</v>
      </c>
      <c r="C10382" s="8" t="s">
        <v>20722</v>
      </c>
      <c r="D10382" s="8"/>
      <c r="E10382" s="6"/>
      <c r="F10382" s="6"/>
    </row>
    <row r="10383" spans="1:6" x14ac:dyDescent="0.3">
      <c r="A10383" s="8" t="s">
        <v>20723</v>
      </c>
      <c r="B10383" s="8" t="s">
        <v>63985</v>
      </c>
      <c r="C10383" s="8" t="s">
        <v>20724</v>
      </c>
      <c r="D10383" s="8"/>
      <c r="E10383" s="6"/>
      <c r="F10383" s="6"/>
    </row>
    <row r="10384" spans="1:6" x14ac:dyDescent="0.3">
      <c r="A10384" s="8" t="s">
        <v>20725</v>
      </c>
      <c r="B10384" s="8" t="s">
        <v>63986</v>
      </c>
      <c r="C10384" s="8" t="s">
        <v>20726</v>
      </c>
      <c r="D10384" s="8"/>
      <c r="E10384" s="6"/>
      <c r="F10384" s="6"/>
    </row>
    <row r="10385" spans="1:6" x14ac:dyDescent="0.3">
      <c r="A10385" s="8" t="s">
        <v>20727</v>
      </c>
      <c r="B10385" s="8" t="s">
        <v>63987</v>
      </c>
      <c r="C10385" s="8" t="s">
        <v>20728</v>
      </c>
      <c r="D10385" s="8"/>
      <c r="E10385" s="6"/>
      <c r="F10385" s="6"/>
    </row>
    <row r="10386" spans="1:6" x14ac:dyDescent="0.3">
      <c r="A10386" s="8" t="s">
        <v>20729</v>
      </c>
      <c r="B10386" s="8" t="s">
        <v>63988</v>
      </c>
      <c r="C10386" s="8" t="s">
        <v>20730</v>
      </c>
      <c r="D10386" s="8"/>
      <c r="E10386" s="6"/>
      <c r="F10386" s="6"/>
    </row>
    <row r="10387" spans="1:6" x14ac:dyDescent="0.3">
      <c r="A10387" s="8" t="s">
        <v>20731</v>
      </c>
      <c r="B10387" s="8" t="s">
        <v>63989</v>
      </c>
      <c r="C10387" s="8" t="s">
        <v>20732</v>
      </c>
      <c r="D10387" s="8"/>
      <c r="E10387" s="6"/>
      <c r="F10387" s="6"/>
    </row>
    <row r="10388" spans="1:6" x14ac:dyDescent="0.3">
      <c r="A10388" s="8" t="s">
        <v>20733</v>
      </c>
      <c r="B10388" s="8" t="s">
        <v>63990</v>
      </c>
      <c r="C10388" s="8" t="s">
        <v>20734</v>
      </c>
      <c r="D10388" s="8"/>
      <c r="E10388" s="6"/>
      <c r="F10388" s="6"/>
    </row>
    <row r="10389" spans="1:6" x14ac:dyDescent="0.3">
      <c r="A10389" s="8" t="s">
        <v>20735</v>
      </c>
      <c r="B10389" s="8" t="s">
        <v>63991</v>
      </c>
      <c r="C10389" s="8" t="s">
        <v>20736</v>
      </c>
      <c r="D10389" s="8"/>
      <c r="E10389" s="6"/>
      <c r="F10389" s="6"/>
    </row>
    <row r="10390" spans="1:6" x14ac:dyDescent="0.3">
      <c r="A10390" s="8" t="s">
        <v>20737</v>
      </c>
      <c r="B10390" s="8" t="s">
        <v>63992</v>
      </c>
      <c r="C10390" s="8" t="s">
        <v>20738</v>
      </c>
      <c r="D10390" s="8"/>
      <c r="E10390" s="6"/>
      <c r="F10390" s="6"/>
    </row>
    <row r="10391" spans="1:6" x14ac:dyDescent="0.3">
      <c r="A10391" s="8" t="s">
        <v>20739</v>
      </c>
      <c r="B10391" s="8" t="s">
        <v>63993</v>
      </c>
      <c r="C10391" s="8" t="s">
        <v>20740</v>
      </c>
      <c r="D10391" s="8"/>
      <c r="E10391" s="6"/>
      <c r="F10391" s="6"/>
    </row>
    <row r="10392" spans="1:6" x14ac:dyDescent="0.3">
      <c r="A10392" s="8" t="s">
        <v>20741</v>
      </c>
      <c r="B10392" s="8" t="s">
        <v>63994</v>
      </c>
      <c r="C10392" s="8" t="s">
        <v>20742</v>
      </c>
      <c r="D10392" s="8"/>
      <c r="E10392" s="6"/>
      <c r="F10392" s="6"/>
    </row>
    <row r="10393" spans="1:6" x14ac:dyDescent="0.3">
      <c r="A10393" s="8" t="s">
        <v>20743</v>
      </c>
      <c r="B10393" s="8" t="s">
        <v>63995</v>
      </c>
      <c r="C10393" s="8" t="s">
        <v>20744</v>
      </c>
      <c r="D10393" s="8"/>
      <c r="E10393" s="6"/>
      <c r="F10393" s="6"/>
    </row>
    <row r="10394" spans="1:6" x14ac:dyDescent="0.3">
      <c r="A10394" s="8" t="s">
        <v>20745</v>
      </c>
      <c r="B10394" s="8" t="s">
        <v>63996</v>
      </c>
      <c r="C10394" s="8" t="s">
        <v>20746</v>
      </c>
      <c r="D10394" s="8"/>
      <c r="E10394" s="6"/>
      <c r="F10394" s="6"/>
    </row>
    <row r="10395" spans="1:6" x14ac:dyDescent="0.3">
      <c r="A10395" s="8" t="s">
        <v>20747</v>
      </c>
      <c r="B10395" s="8" t="s">
        <v>63997</v>
      </c>
      <c r="C10395" s="8" t="s">
        <v>20748</v>
      </c>
      <c r="D10395" s="8"/>
      <c r="E10395" s="6"/>
      <c r="F10395" s="6"/>
    </row>
    <row r="10396" spans="1:6" x14ac:dyDescent="0.3">
      <c r="A10396" s="8" t="s">
        <v>20749</v>
      </c>
      <c r="B10396" s="8" t="s">
        <v>63998</v>
      </c>
      <c r="C10396" s="8" t="s">
        <v>20750</v>
      </c>
      <c r="D10396" s="8"/>
      <c r="E10396" s="6"/>
      <c r="F10396" s="6"/>
    </row>
    <row r="10397" spans="1:6" x14ac:dyDescent="0.3">
      <c r="A10397" s="8" t="s">
        <v>20751</v>
      </c>
      <c r="B10397" s="8" t="s">
        <v>63999</v>
      </c>
      <c r="C10397" s="8" t="s">
        <v>20752</v>
      </c>
      <c r="D10397" s="8"/>
      <c r="E10397" s="6"/>
      <c r="F10397" s="6"/>
    </row>
    <row r="10398" spans="1:6" x14ac:dyDescent="0.3">
      <c r="A10398" s="8" t="s">
        <v>20753</v>
      </c>
      <c r="B10398" s="8" t="s">
        <v>64000</v>
      </c>
      <c r="C10398" s="8" t="s">
        <v>20754</v>
      </c>
      <c r="D10398" s="8"/>
      <c r="E10398" s="6"/>
      <c r="F10398" s="6"/>
    </row>
    <row r="10399" spans="1:6" x14ac:dyDescent="0.3">
      <c r="A10399" s="8" t="s">
        <v>20755</v>
      </c>
      <c r="B10399" s="8" t="s">
        <v>64001</v>
      </c>
      <c r="C10399" s="8" t="s">
        <v>20756</v>
      </c>
      <c r="D10399" s="8"/>
      <c r="E10399" s="6"/>
      <c r="F10399" s="6"/>
    </row>
    <row r="10400" spans="1:6" x14ac:dyDescent="0.3">
      <c r="A10400" s="8" t="s">
        <v>20757</v>
      </c>
      <c r="B10400" s="8" t="s">
        <v>64002</v>
      </c>
      <c r="C10400" s="8" t="s">
        <v>20758</v>
      </c>
      <c r="D10400" s="8"/>
      <c r="E10400" s="6"/>
      <c r="F10400" s="6"/>
    </row>
    <row r="10401" spans="1:6" x14ac:dyDescent="0.3">
      <c r="A10401" s="8" t="s">
        <v>20759</v>
      </c>
      <c r="B10401" s="8" t="s">
        <v>64003</v>
      </c>
      <c r="C10401" s="8" t="s">
        <v>20760</v>
      </c>
      <c r="D10401" s="8"/>
      <c r="E10401" s="6"/>
      <c r="F10401" s="6"/>
    </row>
    <row r="10402" spans="1:6" x14ac:dyDescent="0.3">
      <c r="A10402" s="8" t="s">
        <v>20761</v>
      </c>
      <c r="B10402" s="8" t="s">
        <v>64004</v>
      </c>
      <c r="C10402" s="8" t="s">
        <v>20762</v>
      </c>
      <c r="D10402" s="8"/>
      <c r="E10402" s="6"/>
      <c r="F10402" s="6"/>
    </row>
    <row r="10403" spans="1:6" x14ac:dyDescent="0.3">
      <c r="A10403" s="8" t="s">
        <v>20763</v>
      </c>
      <c r="B10403" s="8" t="s">
        <v>64005</v>
      </c>
      <c r="C10403" s="8" t="s">
        <v>20764</v>
      </c>
      <c r="D10403" s="8"/>
      <c r="E10403" s="6"/>
      <c r="F10403" s="6"/>
    </row>
    <row r="10404" spans="1:6" x14ac:dyDescent="0.3">
      <c r="A10404" s="8" t="s">
        <v>20765</v>
      </c>
      <c r="B10404" s="8" t="s">
        <v>64006</v>
      </c>
      <c r="C10404" s="8" t="s">
        <v>20766</v>
      </c>
      <c r="D10404" s="8"/>
      <c r="E10404" s="6"/>
      <c r="F10404" s="6"/>
    </row>
    <row r="10405" spans="1:6" x14ac:dyDescent="0.3">
      <c r="A10405" s="8" t="s">
        <v>20767</v>
      </c>
      <c r="B10405" s="8" t="s">
        <v>64007</v>
      </c>
      <c r="C10405" s="8" t="s">
        <v>20768</v>
      </c>
      <c r="D10405" s="8"/>
      <c r="E10405" s="6"/>
      <c r="F10405" s="6"/>
    </row>
    <row r="10406" spans="1:6" x14ac:dyDescent="0.3">
      <c r="A10406" s="8" t="s">
        <v>20769</v>
      </c>
      <c r="B10406" s="8" t="s">
        <v>64008</v>
      </c>
      <c r="C10406" s="8" t="s">
        <v>20770</v>
      </c>
      <c r="D10406" s="8"/>
      <c r="E10406" s="6"/>
      <c r="F10406" s="6"/>
    </row>
    <row r="10407" spans="1:6" x14ac:dyDescent="0.3">
      <c r="A10407" s="8" t="s">
        <v>20771</v>
      </c>
      <c r="B10407" s="8" t="s">
        <v>64009</v>
      </c>
      <c r="C10407" s="8" t="s">
        <v>20772</v>
      </c>
      <c r="D10407" s="8"/>
      <c r="E10407" s="6"/>
      <c r="F10407" s="6"/>
    </row>
    <row r="10408" spans="1:6" x14ac:dyDescent="0.3">
      <c r="A10408" s="8" t="s">
        <v>20773</v>
      </c>
      <c r="B10408" s="8" t="s">
        <v>64010</v>
      </c>
      <c r="C10408" s="8" t="s">
        <v>20774</v>
      </c>
      <c r="D10408" s="8"/>
      <c r="E10408" s="6"/>
      <c r="F10408" s="6"/>
    </row>
    <row r="10409" spans="1:6" x14ac:dyDescent="0.3">
      <c r="A10409" s="8" t="s">
        <v>20775</v>
      </c>
      <c r="B10409" s="8" t="s">
        <v>64011</v>
      </c>
      <c r="C10409" s="8" t="s">
        <v>20776</v>
      </c>
      <c r="D10409" s="8"/>
      <c r="E10409" s="6"/>
      <c r="F10409" s="6"/>
    </row>
    <row r="10410" spans="1:6" x14ac:dyDescent="0.3">
      <c r="A10410" s="8" t="s">
        <v>20777</v>
      </c>
      <c r="B10410" s="8" t="s">
        <v>64012</v>
      </c>
      <c r="C10410" s="8" t="s">
        <v>20778</v>
      </c>
      <c r="D10410" s="8"/>
      <c r="E10410" s="6"/>
      <c r="F10410" s="6"/>
    </row>
    <row r="10411" spans="1:6" x14ac:dyDescent="0.3">
      <c r="A10411" s="8" t="s">
        <v>20779</v>
      </c>
      <c r="B10411" s="8" t="s">
        <v>64013</v>
      </c>
      <c r="C10411" s="8" t="s">
        <v>20780</v>
      </c>
      <c r="D10411" s="8"/>
      <c r="E10411" s="6"/>
      <c r="F10411" s="6"/>
    </row>
    <row r="10412" spans="1:6" x14ac:dyDescent="0.3">
      <c r="A10412" s="8" t="s">
        <v>20781</v>
      </c>
      <c r="B10412" s="8" t="s">
        <v>64014</v>
      </c>
      <c r="C10412" s="8" t="s">
        <v>20782</v>
      </c>
      <c r="D10412" s="8"/>
      <c r="E10412" s="6"/>
      <c r="F10412" s="6"/>
    </row>
    <row r="10413" spans="1:6" x14ac:dyDescent="0.3">
      <c r="A10413" s="8" t="s">
        <v>20783</v>
      </c>
      <c r="B10413" s="8" t="s">
        <v>64015</v>
      </c>
      <c r="C10413" s="8" t="s">
        <v>20784</v>
      </c>
      <c r="D10413" s="8"/>
      <c r="E10413" s="6"/>
      <c r="F10413" s="6"/>
    </row>
    <row r="10414" spans="1:6" x14ac:dyDescent="0.3">
      <c r="A10414" s="8" t="s">
        <v>20785</v>
      </c>
      <c r="B10414" s="8" t="s">
        <v>64016</v>
      </c>
      <c r="C10414" s="8" t="s">
        <v>20786</v>
      </c>
      <c r="D10414" s="8"/>
      <c r="E10414" s="6"/>
      <c r="F10414" s="6"/>
    </row>
    <row r="10415" spans="1:6" x14ac:dyDescent="0.3">
      <c r="A10415" s="8" t="s">
        <v>20787</v>
      </c>
      <c r="B10415" s="8" t="s">
        <v>64017</v>
      </c>
      <c r="C10415" s="8" t="s">
        <v>20788</v>
      </c>
      <c r="D10415" s="8"/>
      <c r="E10415" s="6"/>
      <c r="F10415" s="6"/>
    </row>
    <row r="10416" spans="1:6" x14ac:dyDescent="0.3">
      <c r="A10416" s="8" t="s">
        <v>20789</v>
      </c>
      <c r="B10416" s="8" t="s">
        <v>64018</v>
      </c>
      <c r="C10416" s="8" t="s">
        <v>20790</v>
      </c>
      <c r="D10416" s="8"/>
      <c r="E10416" s="6"/>
      <c r="F10416" s="6"/>
    </row>
    <row r="10417" spans="1:6" x14ac:dyDescent="0.3">
      <c r="A10417" s="8" t="s">
        <v>20791</v>
      </c>
      <c r="B10417" s="8" t="s">
        <v>64019</v>
      </c>
      <c r="C10417" s="8" t="s">
        <v>20792</v>
      </c>
      <c r="D10417" s="8"/>
      <c r="E10417" s="6"/>
      <c r="F10417" s="6"/>
    </row>
    <row r="10418" spans="1:6" x14ac:dyDescent="0.3">
      <c r="A10418" s="8" t="s">
        <v>20793</v>
      </c>
      <c r="B10418" s="8" t="s">
        <v>64020</v>
      </c>
      <c r="C10418" s="8" t="s">
        <v>20794</v>
      </c>
      <c r="D10418" s="8"/>
      <c r="E10418" s="6"/>
      <c r="F10418" s="6"/>
    </row>
    <row r="10419" spans="1:6" x14ac:dyDescent="0.3">
      <c r="A10419" s="8" t="s">
        <v>20795</v>
      </c>
      <c r="B10419" s="8" t="s">
        <v>64021</v>
      </c>
      <c r="C10419" s="8" t="s">
        <v>20796</v>
      </c>
      <c r="D10419" s="8"/>
      <c r="E10419" s="6"/>
      <c r="F10419" s="6"/>
    </row>
    <row r="10420" spans="1:6" x14ac:dyDescent="0.3">
      <c r="A10420" s="8" t="s">
        <v>20797</v>
      </c>
      <c r="B10420" s="8" t="s">
        <v>64022</v>
      </c>
      <c r="C10420" s="8" t="s">
        <v>20798</v>
      </c>
      <c r="D10420" s="8"/>
      <c r="E10420" s="6"/>
      <c r="F10420" s="6"/>
    </row>
    <row r="10421" spans="1:6" x14ac:dyDescent="0.3">
      <c r="A10421" s="8" t="s">
        <v>20799</v>
      </c>
      <c r="B10421" s="8" t="s">
        <v>64023</v>
      </c>
      <c r="C10421" s="8" t="s">
        <v>20800</v>
      </c>
      <c r="D10421" s="8"/>
      <c r="E10421" s="6"/>
      <c r="F10421" s="6"/>
    </row>
    <row r="10422" spans="1:6" x14ac:dyDescent="0.3">
      <c r="A10422" s="8" t="s">
        <v>20801</v>
      </c>
      <c r="B10422" s="8" t="s">
        <v>64024</v>
      </c>
      <c r="C10422" s="8" t="s">
        <v>20802</v>
      </c>
      <c r="D10422" s="8"/>
      <c r="E10422" s="6"/>
      <c r="F10422" s="6"/>
    </row>
    <row r="10423" spans="1:6" x14ac:dyDescent="0.3">
      <c r="A10423" s="8" t="s">
        <v>20803</v>
      </c>
      <c r="B10423" s="8" t="s">
        <v>64025</v>
      </c>
      <c r="C10423" s="8" t="s">
        <v>20804</v>
      </c>
      <c r="D10423" s="8"/>
      <c r="E10423" s="6"/>
      <c r="F10423" s="6"/>
    </row>
    <row r="10424" spans="1:6" x14ac:dyDescent="0.3">
      <c r="A10424" s="8" t="s">
        <v>20805</v>
      </c>
      <c r="B10424" s="8" t="s">
        <v>64026</v>
      </c>
      <c r="C10424" s="8" t="s">
        <v>20806</v>
      </c>
      <c r="D10424" s="8"/>
      <c r="E10424" s="6"/>
      <c r="F10424" s="6"/>
    </row>
    <row r="10425" spans="1:6" x14ac:dyDescent="0.3">
      <c r="A10425" s="8" t="s">
        <v>20807</v>
      </c>
      <c r="B10425" s="8" t="s">
        <v>64027</v>
      </c>
      <c r="C10425" s="8" t="s">
        <v>20808</v>
      </c>
      <c r="D10425" s="8"/>
      <c r="E10425" s="6"/>
      <c r="F10425" s="6"/>
    </row>
    <row r="10426" spans="1:6" x14ac:dyDescent="0.3">
      <c r="A10426" s="8" t="s">
        <v>20809</v>
      </c>
      <c r="B10426" s="8" t="s">
        <v>64028</v>
      </c>
      <c r="C10426" s="8" t="s">
        <v>20810</v>
      </c>
      <c r="D10426" s="8"/>
      <c r="E10426" s="6"/>
      <c r="F10426" s="6"/>
    </row>
    <row r="10427" spans="1:6" x14ac:dyDescent="0.3">
      <c r="A10427" s="8" t="s">
        <v>20811</v>
      </c>
      <c r="B10427" s="8" t="s">
        <v>64029</v>
      </c>
      <c r="C10427" s="8" t="s">
        <v>20812</v>
      </c>
      <c r="D10427" s="8"/>
      <c r="E10427" s="6"/>
      <c r="F10427" s="6"/>
    </row>
    <row r="10428" spans="1:6" x14ac:dyDescent="0.3">
      <c r="A10428" s="8" t="s">
        <v>20813</v>
      </c>
      <c r="B10428" s="8" t="s">
        <v>64030</v>
      </c>
      <c r="C10428" s="8" t="s">
        <v>20814</v>
      </c>
      <c r="D10428" s="8"/>
      <c r="E10428" s="6"/>
      <c r="F10428" s="6"/>
    </row>
    <row r="10429" spans="1:6" x14ac:dyDescent="0.3">
      <c r="A10429" s="8" t="s">
        <v>20815</v>
      </c>
      <c r="B10429" s="8" t="s">
        <v>64031</v>
      </c>
      <c r="C10429" s="8" t="s">
        <v>20816</v>
      </c>
      <c r="D10429" s="8"/>
      <c r="E10429" s="6"/>
      <c r="F10429" s="6"/>
    </row>
    <row r="10430" spans="1:6" x14ac:dyDescent="0.3">
      <c r="A10430" s="8" t="s">
        <v>20817</v>
      </c>
      <c r="B10430" s="8" t="s">
        <v>64032</v>
      </c>
      <c r="C10430" s="8" t="s">
        <v>20818</v>
      </c>
      <c r="D10430" s="8"/>
      <c r="E10430" s="6"/>
      <c r="F10430" s="6"/>
    </row>
    <row r="10431" spans="1:6" x14ac:dyDescent="0.3">
      <c r="A10431" s="8" t="s">
        <v>20819</v>
      </c>
      <c r="B10431" s="8" t="s">
        <v>64033</v>
      </c>
      <c r="C10431" s="8" t="s">
        <v>20820</v>
      </c>
      <c r="D10431" s="8"/>
      <c r="E10431" s="6"/>
      <c r="F10431" s="6"/>
    </row>
    <row r="10432" spans="1:6" x14ac:dyDescent="0.3">
      <c r="A10432" s="8" t="s">
        <v>20821</v>
      </c>
      <c r="B10432" s="8" t="s">
        <v>64034</v>
      </c>
      <c r="C10432" s="8" t="s">
        <v>20822</v>
      </c>
      <c r="D10432" s="8"/>
      <c r="E10432" s="6"/>
      <c r="F10432" s="6"/>
    </row>
    <row r="10433" spans="1:6" x14ac:dyDescent="0.3">
      <c r="A10433" s="8" t="s">
        <v>20823</v>
      </c>
      <c r="B10433" s="8" t="s">
        <v>64035</v>
      </c>
      <c r="C10433" s="8" t="s">
        <v>20824</v>
      </c>
      <c r="D10433" s="8"/>
      <c r="E10433" s="6"/>
      <c r="F10433" s="6"/>
    </row>
    <row r="10434" spans="1:6" x14ac:dyDescent="0.3">
      <c r="A10434" s="8" t="s">
        <v>20825</v>
      </c>
      <c r="B10434" s="8" t="s">
        <v>64036</v>
      </c>
      <c r="C10434" s="8" t="s">
        <v>20826</v>
      </c>
      <c r="D10434" s="8"/>
      <c r="E10434" s="6"/>
      <c r="F10434" s="6"/>
    </row>
    <row r="10435" spans="1:6" x14ac:dyDescent="0.3">
      <c r="A10435" s="8" t="s">
        <v>20827</v>
      </c>
      <c r="B10435" s="8" t="s">
        <v>64037</v>
      </c>
      <c r="C10435" s="8" t="s">
        <v>20828</v>
      </c>
      <c r="D10435" s="8"/>
      <c r="E10435" s="6"/>
      <c r="F10435" s="6"/>
    </row>
    <row r="10436" spans="1:6" x14ac:dyDescent="0.3">
      <c r="A10436" s="8" t="s">
        <v>20829</v>
      </c>
      <c r="B10436" s="8" t="s">
        <v>64038</v>
      </c>
      <c r="C10436" s="8" t="s">
        <v>20830</v>
      </c>
      <c r="D10436" s="8"/>
      <c r="E10436" s="6"/>
      <c r="F10436" s="6"/>
    </row>
    <row r="10437" spans="1:6" x14ac:dyDescent="0.3">
      <c r="A10437" s="8" t="s">
        <v>20831</v>
      </c>
      <c r="B10437" s="8" t="s">
        <v>64039</v>
      </c>
      <c r="C10437" s="8" t="s">
        <v>20832</v>
      </c>
      <c r="D10437" s="8"/>
      <c r="E10437" s="6"/>
      <c r="F10437" s="6"/>
    </row>
    <row r="10438" spans="1:6" x14ac:dyDescent="0.3">
      <c r="A10438" s="8" t="s">
        <v>20833</v>
      </c>
      <c r="B10438" s="8" t="s">
        <v>64040</v>
      </c>
      <c r="C10438" s="8" t="s">
        <v>20834</v>
      </c>
      <c r="D10438" s="8"/>
      <c r="E10438" s="6"/>
      <c r="F10438" s="6"/>
    </row>
    <row r="10439" spans="1:6" x14ac:dyDescent="0.3">
      <c r="A10439" s="8" t="s">
        <v>20835</v>
      </c>
      <c r="B10439" s="8" t="s">
        <v>64041</v>
      </c>
      <c r="C10439" s="8" t="s">
        <v>20836</v>
      </c>
      <c r="D10439" s="8"/>
      <c r="E10439" s="6"/>
      <c r="F10439" s="6"/>
    </row>
    <row r="10440" spans="1:6" x14ac:dyDescent="0.3">
      <c r="A10440" s="8" t="s">
        <v>20837</v>
      </c>
      <c r="B10440" s="8" t="s">
        <v>64042</v>
      </c>
      <c r="C10440" s="8" t="s">
        <v>20838</v>
      </c>
      <c r="D10440" s="8"/>
      <c r="E10440" s="6"/>
      <c r="F10440" s="6"/>
    </row>
    <row r="10441" spans="1:6" x14ac:dyDescent="0.3">
      <c r="A10441" s="8" t="s">
        <v>20839</v>
      </c>
      <c r="B10441" s="8" t="s">
        <v>64043</v>
      </c>
      <c r="C10441" s="8" t="s">
        <v>20840</v>
      </c>
      <c r="D10441" s="8"/>
      <c r="E10441" s="6"/>
      <c r="F10441" s="6"/>
    </row>
    <row r="10442" spans="1:6" x14ac:dyDescent="0.3">
      <c r="A10442" s="8" t="s">
        <v>20841</v>
      </c>
      <c r="B10442" s="8" t="s">
        <v>64044</v>
      </c>
      <c r="C10442" s="8" t="s">
        <v>20842</v>
      </c>
      <c r="D10442" s="8"/>
      <c r="E10442" s="6"/>
      <c r="F10442" s="6"/>
    </row>
    <row r="10443" spans="1:6" x14ac:dyDescent="0.3">
      <c r="A10443" s="8" t="s">
        <v>20843</v>
      </c>
      <c r="B10443" s="8" t="s">
        <v>64045</v>
      </c>
      <c r="C10443" s="8" t="s">
        <v>20844</v>
      </c>
      <c r="D10443" s="8"/>
      <c r="E10443" s="6"/>
      <c r="F10443" s="6"/>
    </row>
    <row r="10444" spans="1:6" x14ac:dyDescent="0.3">
      <c r="A10444" s="8" t="s">
        <v>20845</v>
      </c>
      <c r="B10444" s="8" t="s">
        <v>64046</v>
      </c>
      <c r="C10444" s="8" t="s">
        <v>20846</v>
      </c>
      <c r="D10444" s="8"/>
      <c r="E10444" s="6"/>
      <c r="F10444" s="6"/>
    </row>
    <row r="10445" spans="1:6" x14ac:dyDescent="0.3">
      <c r="A10445" s="8" t="s">
        <v>20847</v>
      </c>
      <c r="B10445" s="8" t="s">
        <v>64047</v>
      </c>
      <c r="C10445" s="8" t="s">
        <v>20848</v>
      </c>
      <c r="D10445" s="8"/>
      <c r="E10445" s="6"/>
      <c r="F10445" s="6"/>
    </row>
    <row r="10446" spans="1:6" x14ac:dyDescent="0.3">
      <c r="A10446" s="8" t="s">
        <v>20849</v>
      </c>
      <c r="B10446" s="8" t="s">
        <v>64048</v>
      </c>
      <c r="C10446" s="8" t="s">
        <v>20850</v>
      </c>
      <c r="D10446" s="8"/>
      <c r="E10446" s="6"/>
      <c r="F10446" s="6"/>
    </row>
    <row r="10447" spans="1:6" x14ac:dyDescent="0.3">
      <c r="A10447" s="8" t="s">
        <v>20851</v>
      </c>
      <c r="B10447" s="8" t="s">
        <v>64049</v>
      </c>
      <c r="C10447" s="8" t="s">
        <v>20852</v>
      </c>
      <c r="D10447" s="8"/>
      <c r="E10447" s="6"/>
      <c r="F10447" s="6"/>
    </row>
    <row r="10448" spans="1:6" x14ac:dyDescent="0.3">
      <c r="A10448" s="8" t="s">
        <v>20853</v>
      </c>
      <c r="B10448" s="8" t="s">
        <v>64050</v>
      </c>
      <c r="C10448" s="8" t="s">
        <v>20854</v>
      </c>
      <c r="D10448" s="8"/>
      <c r="E10448" s="6"/>
      <c r="F10448" s="6"/>
    </row>
    <row r="10449" spans="1:6" x14ac:dyDescent="0.3">
      <c r="A10449" s="8" t="s">
        <v>20855</v>
      </c>
      <c r="B10449" s="8" t="s">
        <v>64051</v>
      </c>
      <c r="C10449" s="8" t="s">
        <v>20856</v>
      </c>
      <c r="D10449" s="8"/>
      <c r="E10449" s="6"/>
      <c r="F10449" s="6"/>
    </row>
    <row r="10450" spans="1:6" x14ac:dyDescent="0.3">
      <c r="A10450" s="8" t="s">
        <v>20857</v>
      </c>
      <c r="B10450" s="8" t="s">
        <v>64052</v>
      </c>
      <c r="C10450" s="8" t="s">
        <v>20858</v>
      </c>
      <c r="D10450" s="8"/>
      <c r="E10450" s="6"/>
      <c r="F10450" s="6"/>
    </row>
    <row r="10451" spans="1:6" x14ac:dyDescent="0.3">
      <c r="A10451" s="8" t="s">
        <v>20859</v>
      </c>
      <c r="B10451" s="8" t="s">
        <v>64053</v>
      </c>
      <c r="C10451" s="8" t="s">
        <v>20860</v>
      </c>
      <c r="D10451" s="8"/>
      <c r="E10451" s="6"/>
      <c r="F10451" s="6"/>
    </row>
    <row r="10452" spans="1:6" x14ac:dyDescent="0.3">
      <c r="A10452" s="8" t="s">
        <v>20861</v>
      </c>
      <c r="B10452" s="8" t="s">
        <v>64054</v>
      </c>
      <c r="C10452" s="8" t="s">
        <v>20862</v>
      </c>
      <c r="D10452" s="8"/>
      <c r="E10452" s="6"/>
      <c r="F10452" s="6"/>
    </row>
    <row r="10453" spans="1:6" x14ac:dyDescent="0.3">
      <c r="A10453" s="8" t="s">
        <v>20863</v>
      </c>
      <c r="B10453" s="8" t="s">
        <v>64055</v>
      </c>
      <c r="C10453" s="8" t="s">
        <v>20864</v>
      </c>
      <c r="D10453" s="8"/>
      <c r="E10453" s="6"/>
      <c r="F10453" s="6"/>
    </row>
    <row r="10454" spans="1:6" x14ac:dyDescent="0.3">
      <c r="A10454" s="8" t="s">
        <v>20865</v>
      </c>
      <c r="B10454" s="8" t="s">
        <v>64056</v>
      </c>
      <c r="C10454" s="8" t="s">
        <v>20866</v>
      </c>
      <c r="D10454" s="8"/>
      <c r="E10454" s="6"/>
      <c r="F10454" s="6"/>
    </row>
    <row r="10455" spans="1:6" x14ac:dyDescent="0.3">
      <c r="A10455" s="8" t="s">
        <v>20867</v>
      </c>
      <c r="B10455" s="8" t="s">
        <v>64057</v>
      </c>
      <c r="C10455" s="8" t="s">
        <v>20868</v>
      </c>
      <c r="D10455" s="8"/>
      <c r="E10455" s="6"/>
      <c r="F10455" s="6"/>
    </row>
    <row r="10456" spans="1:6" x14ac:dyDescent="0.3">
      <c r="A10456" s="8" t="s">
        <v>20869</v>
      </c>
      <c r="B10456" s="8" t="s">
        <v>64058</v>
      </c>
      <c r="C10456" s="8" t="s">
        <v>20870</v>
      </c>
      <c r="D10456" s="8"/>
      <c r="E10456" s="6"/>
      <c r="F10456" s="6"/>
    </row>
    <row r="10457" spans="1:6" x14ac:dyDescent="0.3">
      <c r="A10457" s="8" t="s">
        <v>20871</v>
      </c>
      <c r="B10457" s="8" t="s">
        <v>64059</v>
      </c>
      <c r="C10457" s="8" t="s">
        <v>20872</v>
      </c>
      <c r="D10457" s="8"/>
      <c r="E10457" s="6"/>
      <c r="F10457" s="6"/>
    </row>
    <row r="10458" spans="1:6" x14ac:dyDescent="0.3">
      <c r="A10458" s="8" t="s">
        <v>20873</v>
      </c>
      <c r="B10458" s="8" t="s">
        <v>64060</v>
      </c>
      <c r="C10458" s="8" t="s">
        <v>20874</v>
      </c>
      <c r="D10458" s="8"/>
      <c r="E10458" s="6"/>
      <c r="F10458" s="6"/>
    </row>
    <row r="10459" spans="1:6" x14ac:dyDescent="0.3">
      <c r="A10459" s="8" t="s">
        <v>20875</v>
      </c>
      <c r="B10459" s="8" t="s">
        <v>64061</v>
      </c>
      <c r="C10459" s="8" t="s">
        <v>20876</v>
      </c>
      <c r="D10459" s="8"/>
      <c r="E10459" s="6"/>
      <c r="F10459" s="6"/>
    </row>
    <row r="10460" spans="1:6" x14ac:dyDescent="0.3">
      <c r="A10460" s="8" t="s">
        <v>20877</v>
      </c>
      <c r="B10460" s="8" t="s">
        <v>64062</v>
      </c>
      <c r="C10460" s="8" t="s">
        <v>20878</v>
      </c>
      <c r="D10460" s="8"/>
      <c r="E10460" s="6"/>
      <c r="F10460" s="6"/>
    </row>
    <row r="10461" spans="1:6" x14ac:dyDescent="0.3">
      <c r="A10461" s="8" t="s">
        <v>20879</v>
      </c>
      <c r="B10461" s="8" t="s">
        <v>64063</v>
      </c>
      <c r="C10461" s="8" t="s">
        <v>20880</v>
      </c>
      <c r="D10461" s="8"/>
      <c r="E10461" s="6"/>
      <c r="F10461" s="6"/>
    </row>
    <row r="10462" spans="1:6" x14ac:dyDescent="0.3">
      <c r="A10462" s="8" t="s">
        <v>20881</v>
      </c>
      <c r="B10462" s="8" t="s">
        <v>64064</v>
      </c>
      <c r="C10462" s="8" t="s">
        <v>20882</v>
      </c>
      <c r="D10462" s="8"/>
      <c r="E10462" s="6"/>
      <c r="F10462" s="6"/>
    </row>
    <row r="10463" spans="1:6" x14ac:dyDescent="0.3">
      <c r="A10463" s="8" t="s">
        <v>20883</v>
      </c>
      <c r="B10463" s="8" t="s">
        <v>64065</v>
      </c>
      <c r="C10463" s="8" t="s">
        <v>20884</v>
      </c>
      <c r="D10463" s="8"/>
      <c r="E10463" s="6"/>
      <c r="F10463" s="6"/>
    </row>
    <row r="10464" spans="1:6" x14ac:dyDescent="0.3">
      <c r="A10464" s="8" t="s">
        <v>20885</v>
      </c>
      <c r="B10464" s="8" t="s">
        <v>64066</v>
      </c>
      <c r="C10464" s="8" t="s">
        <v>20886</v>
      </c>
      <c r="D10464" s="8"/>
      <c r="E10464" s="6"/>
      <c r="F10464" s="6"/>
    </row>
    <row r="10465" spans="1:6" x14ac:dyDescent="0.3">
      <c r="A10465" s="8" t="s">
        <v>20887</v>
      </c>
      <c r="B10465" s="8" t="s">
        <v>64067</v>
      </c>
      <c r="C10465" s="8" t="s">
        <v>20888</v>
      </c>
      <c r="D10465" s="8"/>
      <c r="E10465" s="6"/>
      <c r="F10465" s="6"/>
    </row>
    <row r="10466" spans="1:6" x14ac:dyDescent="0.3">
      <c r="A10466" s="8" t="s">
        <v>20889</v>
      </c>
      <c r="B10466" s="8" t="s">
        <v>64068</v>
      </c>
      <c r="C10466" s="8" t="s">
        <v>20890</v>
      </c>
      <c r="D10466" s="8"/>
      <c r="E10466" s="6"/>
      <c r="F10466" s="6"/>
    </row>
    <row r="10467" spans="1:6" x14ac:dyDescent="0.3">
      <c r="A10467" s="8" t="s">
        <v>20891</v>
      </c>
      <c r="B10467" s="8" t="s">
        <v>64069</v>
      </c>
      <c r="C10467" s="8" t="s">
        <v>20892</v>
      </c>
      <c r="D10467" s="8"/>
      <c r="E10467" s="6"/>
      <c r="F10467" s="6"/>
    </row>
    <row r="10468" spans="1:6" x14ac:dyDescent="0.3">
      <c r="A10468" s="8" t="s">
        <v>20893</v>
      </c>
      <c r="B10468" s="8" t="s">
        <v>64070</v>
      </c>
      <c r="C10468" s="8" t="s">
        <v>20894</v>
      </c>
      <c r="D10468" s="8"/>
      <c r="E10468" s="6"/>
      <c r="F10468" s="6"/>
    </row>
    <row r="10469" spans="1:6" x14ac:dyDescent="0.3">
      <c r="A10469" s="8" t="s">
        <v>20895</v>
      </c>
      <c r="B10469" s="8" t="s">
        <v>64071</v>
      </c>
      <c r="C10469" s="8" t="s">
        <v>20896</v>
      </c>
      <c r="D10469" s="8"/>
      <c r="E10469" s="6"/>
      <c r="F10469" s="6"/>
    </row>
    <row r="10470" spans="1:6" x14ac:dyDescent="0.3">
      <c r="A10470" s="8" t="s">
        <v>20897</v>
      </c>
      <c r="B10470" s="8" t="s">
        <v>64072</v>
      </c>
      <c r="C10470" s="8" t="s">
        <v>20898</v>
      </c>
      <c r="D10470" s="8"/>
      <c r="E10470" s="6"/>
      <c r="F10470" s="6"/>
    </row>
    <row r="10471" spans="1:6" x14ac:dyDescent="0.3">
      <c r="A10471" s="8" t="s">
        <v>20899</v>
      </c>
      <c r="B10471" s="8" t="s">
        <v>64073</v>
      </c>
      <c r="C10471" s="8" t="s">
        <v>20900</v>
      </c>
      <c r="D10471" s="8"/>
      <c r="E10471" s="6"/>
      <c r="F10471" s="6"/>
    </row>
    <row r="10472" spans="1:6" x14ac:dyDescent="0.3">
      <c r="A10472" s="8" t="s">
        <v>20901</v>
      </c>
      <c r="B10472" s="8" t="s">
        <v>64074</v>
      </c>
      <c r="C10472" s="8" t="s">
        <v>20902</v>
      </c>
      <c r="D10472" s="8"/>
      <c r="E10472" s="6"/>
      <c r="F10472" s="6"/>
    </row>
    <row r="10473" spans="1:6" x14ac:dyDescent="0.3">
      <c r="A10473" s="8" t="s">
        <v>20903</v>
      </c>
      <c r="B10473" s="8" t="s">
        <v>64075</v>
      </c>
      <c r="C10473" s="8" t="s">
        <v>20904</v>
      </c>
      <c r="D10473" s="8"/>
      <c r="E10473" s="6"/>
      <c r="F10473" s="6"/>
    </row>
    <row r="10474" spans="1:6" x14ac:dyDescent="0.3">
      <c r="A10474" s="8" t="s">
        <v>20905</v>
      </c>
      <c r="B10474" s="8" t="s">
        <v>64076</v>
      </c>
      <c r="C10474" s="8" t="s">
        <v>20906</v>
      </c>
      <c r="D10474" s="8"/>
      <c r="E10474" s="6"/>
      <c r="F10474" s="6"/>
    </row>
    <row r="10475" spans="1:6" x14ac:dyDescent="0.3">
      <c r="A10475" s="8" t="s">
        <v>20907</v>
      </c>
      <c r="B10475" s="8" t="s">
        <v>64077</v>
      </c>
      <c r="C10475" s="8" t="s">
        <v>20908</v>
      </c>
      <c r="D10475" s="8"/>
      <c r="E10475" s="6"/>
      <c r="F10475" s="6"/>
    </row>
    <row r="10476" spans="1:6" x14ac:dyDescent="0.3">
      <c r="A10476" s="8" t="s">
        <v>20909</v>
      </c>
      <c r="B10476" s="8" t="s">
        <v>64078</v>
      </c>
      <c r="C10476" s="8" t="s">
        <v>20910</v>
      </c>
      <c r="D10476" s="8"/>
      <c r="E10476" s="6"/>
      <c r="F10476" s="6"/>
    </row>
    <row r="10477" spans="1:6" x14ac:dyDescent="0.3">
      <c r="A10477" s="8" t="s">
        <v>20911</v>
      </c>
      <c r="B10477" s="8" t="s">
        <v>64079</v>
      </c>
      <c r="C10477" s="8" t="s">
        <v>20912</v>
      </c>
      <c r="D10477" s="8"/>
      <c r="E10477" s="6"/>
      <c r="F10477" s="6"/>
    </row>
    <row r="10478" spans="1:6" x14ac:dyDescent="0.3">
      <c r="A10478" s="8" t="s">
        <v>20913</v>
      </c>
      <c r="B10478" s="8" t="s">
        <v>64080</v>
      </c>
      <c r="C10478" s="8" t="s">
        <v>20914</v>
      </c>
      <c r="D10478" s="8"/>
      <c r="E10478" s="6"/>
      <c r="F10478" s="6"/>
    </row>
    <row r="10479" spans="1:6" x14ac:dyDescent="0.3">
      <c r="A10479" s="8" t="s">
        <v>20915</v>
      </c>
      <c r="B10479" s="8" t="s">
        <v>64081</v>
      </c>
      <c r="C10479" s="8" t="s">
        <v>20916</v>
      </c>
      <c r="D10479" s="8"/>
      <c r="E10479" s="6"/>
      <c r="F10479" s="6"/>
    </row>
    <row r="10480" spans="1:6" x14ac:dyDescent="0.3">
      <c r="A10480" s="8" t="s">
        <v>20917</v>
      </c>
      <c r="B10480" s="8" t="s">
        <v>64082</v>
      </c>
      <c r="C10480" s="8" t="s">
        <v>20918</v>
      </c>
      <c r="D10480" s="8"/>
      <c r="E10480" s="6"/>
      <c r="F10480" s="6"/>
    </row>
    <row r="10481" spans="1:6" x14ac:dyDescent="0.3">
      <c r="A10481" s="8" t="s">
        <v>20919</v>
      </c>
      <c r="B10481" s="8" t="s">
        <v>64083</v>
      </c>
      <c r="C10481" s="8" t="s">
        <v>20920</v>
      </c>
      <c r="D10481" s="8"/>
      <c r="E10481" s="6"/>
      <c r="F10481" s="6"/>
    </row>
    <row r="10482" spans="1:6" x14ac:dyDescent="0.3">
      <c r="A10482" s="8" t="s">
        <v>20921</v>
      </c>
      <c r="B10482" s="8" t="s">
        <v>64084</v>
      </c>
      <c r="C10482" s="8" t="s">
        <v>20922</v>
      </c>
      <c r="D10482" s="8"/>
      <c r="E10482" s="6"/>
      <c r="F10482" s="6"/>
    </row>
    <row r="10483" spans="1:6" x14ac:dyDescent="0.3">
      <c r="A10483" s="8" t="s">
        <v>20923</v>
      </c>
      <c r="B10483" s="8" t="s">
        <v>64085</v>
      </c>
      <c r="C10483" s="8" t="s">
        <v>20924</v>
      </c>
      <c r="D10483" s="8"/>
      <c r="E10483" s="6"/>
      <c r="F10483" s="6"/>
    </row>
    <row r="10484" spans="1:6" x14ac:dyDescent="0.3">
      <c r="A10484" s="8" t="s">
        <v>20925</v>
      </c>
      <c r="B10484" s="8" t="s">
        <v>64086</v>
      </c>
      <c r="C10484" s="8" t="s">
        <v>20926</v>
      </c>
      <c r="D10484" s="8"/>
      <c r="E10484" s="6"/>
      <c r="F10484" s="6"/>
    </row>
    <row r="10485" spans="1:6" x14ac:dyDescent="0.3">
      <c r="A10485" s="8" t="s">
        <v>20927</v>
      </c>
      <c r="B10485" s="8" t="s">
        <v>64087</v>
      </c>
      <c r="C10485" s="8" t="s">
        <v>20928</v>
      </c>
      <c r="D10485" s="8"/>
      <c r="E10485" s="6"/>
      <c r="F10485" s="6"/>
    </row>
    <row r="10486" spans="1:6" x14ac:dyDescent="0.3">
      <c r="A10486" s="8" t="s">
        <v>20929</v>
      </c>
      <c r="B10486" s="8" t="s">
        <v>64088</v>
      </c>
      <c r="C10486" s="8" t="s">
        <v>20930</v>
      </c>
      <c r="D10486" s="8"/>
      <c r="E10486" s="6"/>
      <c r="F10486" s="6"/>
    </row>
    <row r="10487" spans="1:6" x14ac:dyDescent="0.3">
      <c r="A10487" s="8" t="s">
        <v>20931</v>
      </c>
      <c r="B10487" s="8" t="s">
        <v>64089</v>
      </c>
      <c r="C10487" s="8" t="s">
        <v>20932</v>
      </c>
      <c r="D10487" s="8"/>
      <c r="E10487" s="6"/>
      <c r="F10487" s="6"/>
    </row>
    <row r="10488" spans="1:6" x14ac:dyDescent="0.3">
      <c r="A10488" s="8" t="s">
        <v>20933</v>
      </c>
      <c r="B10488" s="8" t="s">
        <v>64090</v>
      </c>
      <c r="C10488" s="8" t="s">
        <v>20934</v>
      </c>
      <c r="D10488" s="8"/>
      <c r="E10488" s="6"/>
      <c r="F10488" s="6"/>
    </row>
    <row r="10489" spans="1:6" x14ac:dyDescent="0.3">
      <c r="A10489" s="8" t="s">
        <v>20935</v>
      </c>
      <c r="B10489" s="8" t="s">
        <v>64091</v>
      </c>
      <c r="C10489" s="8" t="s">
        <v>20936</v>
      </c>
      <c r="D10489" s="8"/>
      <c r="E10489" s="6"/>
      <c r="F10489" s="6"/>
    </row>
    <row r="10490" spans="1:6" x14ac:dyDescent="0.3">
      <c r="A10490" s="8" t="s">
        <v>20937</v>
      </c>
      <c r="B10490" s="8" t="s">
        <v>64092</v>
      </c>
      <c r="C10490" s="8" t="s">
        <v>20938</v>
      </c>
      <c r="D10490" s="8"/>
      <c r="E10490" s="6"/>
      <c r="F10490" s="6"/>
    </row>
    <row r="10491" spans="1:6" x14ac:dyDescent="0.3">
      <c r="A10491" s="8" t="s">
        <v>20939</v>
      </c>
      <c r="B10491" s="8" t="s">
        <v>64093</v>
      </c>
      <c r="C10491" s="8" t="s">
        <v>20940</v>
      </c>
      <c r="D10491" s="8"/>
      <c r="E10491" s="6"/>
      <c r="F10491" s="6"/>
    </row>
    <row r="10492" spans="1:6" x14ac:dyDescent="0.3">
      <c r="A10492" s="8" t="s">
        <v>20941</v>
      </c>
      <c r="B10492" s="8" t="s">
        <v>64094</v>
      </c>
      <c r="C10492" s="8" t="s">
        <v>20942</v>
      </c>
      <c r="D10492" s="8"/>
      <c r="E10492" s="6"/>
      <c r="F10492" s="6"/>
    </row>
    <row r="10493" spans="1:6" x14ac:dyDescent="0.3">
      <c r="A10493" s="8" t="s">
        <v>20943</v>
      </c>
      <c r="B10493" s="8" t="s">
        <v>64095</v>
      </c>
      <c r="C10493" s="8" t="s">
        <v>20944</v>
      </c>
      <c r="D10493" s="8"/>
      <c r="E10493" s="6"/>
      <c r="F10493" s="6"/>
    </row>
    <row r="10494" spans="1:6" x14ac:dyDescent="0.3">
      <c r="A10494" s="8" t="s">
        <v>20945</v>
      </c>
      <c r="B10494" s="8" t="s">
        <v>64096</v>
      </c>
      <c r="C10494" s="8" t="s">
        <v>20946</v>
      </c>
      <c r="D10494" s="8"/>
      <c r="E10494" s="6"/>
      <c r="F10494" s="6"/>
    </row>
    <row r="10495" spans="1:6" x14ac:dyDescent="0.3">
      <c r="A10495" s="8" t="s">
        <v>20947</v>
      </c>
      <c r="B10495" s="8" t="s">
        <v>64097</v>
      </c>
      <c r="C10495" s="8" t="s">
        <v>20948</v>
      </c>
      <c r="D10495" s="8"/>
      <c r="E10495" s="6"/>
      <c r="F10495" s="6"/>
    </row>
    <row r="10496" spans="1:6" x14ac:dyDescent="0.3">
      <c r="A10496" s="8" t="s">
        <v>20949</v>
      </c>
      <c r="B10496" s="8" t="s">
        <v>64098</v>
      </c>
      <c r="C10496" s="8" t="s">
        <v>20950</v>
      </c>
      <c r="D10496" s="8"/>
      <c r="E10496" s="6"/>
      <c r="F10496" s="6"/>
    </row>
    <row r="10497" spans="1:6" x14ac:dyDescent="0.3">
      <c r="A10497" s="8" t="s">
        <v>20951</v>
      </c>
      <c r="B10497" s="8" t="s">
        <v>64099</v>
      </c>
      <c r="C10497" s="8" t="s">
        <v>20952</v>
      </c>
      <c r="D10497" s="8"/>
      <c r="E10497" s="6"/>
      <c r="F10497" s="6"/>
    </row>
    <row r="10498" spans="1:6" x14ac:dyDescent="0.3">
      <c r="A10498" s="8" t="s">
        <v>20953</v>
      </c>
      <c r="B10498" s="8" t="s">
        <v>64100</v>
      </c>
      <c r="C10498" s="8" t="s">
        <v>20954</v>
      </c>
      <c r="D10498" s="8"/>
      <c r="E10498" s="6"/>
      <c r="F10498" s="6"/>
    </row>
    <row r="10499" spans="1:6" x14ac:dyDescent="0.3">
      <c r="A10499" s="8" t="s">
        <v>20955</v>
      </c>
      <c r="B10499" s="8" t="s">
        <v>64101</v>
      </c>
      <c r="C10499" s="8" t="s">
        <v>20956</v>
      </c>
      <c r="D10499" s="8"/>
      <c r="E10499" s="6"/>
      <c r="F10499" s="6"/>
    </row>
    <row r="10500" spans="1:6" x14ac:dyDescent="0.3">
      <c r="A10500" s="8" t="s">
        <v>20957</v>
      </c>
      <c r="B10500" s="8" t="s">
        <v>64102</v>
      </c>
      <c r="C10500" s="8" t="s">
        <v>20958</v>
      </c>
      <c r="D10500" s="8"/>
      <c r="E10500" s="6"/>
      <c r="F10500" s="6"/>
    </row>
    <row r="10501" spans="1:6" x14ac:dyDescent="0.3">
      <c r="A10501" s="8" t="s">
        <v>20959</v>
      </c>
      <c r="B10501" s="8" t="s">
        <v>64103</v>
      </c>
      <c r="C10501" s="8" t="s">
        <v>20960</v>
      </c>
      <c r="D10501" s="8"/>
      <c r="E10501" s="6"/>
      <c r="F10501" s="6"/>
    </row>
    <row r="10502" spans="1:6" x14ac:dyDescent="0.3">
      <c r="A10502" s="8" t="s">
        <v>20961</v>
      </c>
      <c r="B10502" s="8" t="s">
        <v>64104</v>
      </c>
      <c r="C10502" s="8" t="s">
        <v>20962</v>
      </c>
      <c r="D10502" s="8"/>
      <c r="E10502" s="6"/>
      <c r="F10502" s="6"/>
    </row>
    <row r="10503" spans="1:6" x14ac:dyDescent="0.3">
      <c r="A10503" s="8" t="s">
        <v>20963</v>
      </c>
      <c r="B10503" s="8" t="s">
        <v>64105</v>
      </c>
      <c r="C10503" s="8" t="s">
        <v>20964</v>
      </c>
      <c r="D10503" s="8"/>
      <c r="E10503" s="6"/>
      <c r="F10503" s="6"/>
    </row>
    <row r="10504" spans="1:6" x14ac:dyDescent="0.3">
      <c r="A10504" s="8" t="s">
        <v>20965</v>
      </c>
      <c r="B10504" s="8" t="s">
        <v>64106</v>
      </c>
      <c r="C10504" s="8" t="s">
        <v>20966</v>
      </c>
      <c r="D10504" s="8"/>
      <c r="E10504" s="6"/>
      <c r="F10504" s="6"/>
    </row>
    <row r="10505" spans="1:6" x14ac:dyDescent="0.3">
      <c r="A10505" s="8" t="s">
        <v>20967</v>
      </c>
      <c r="B10505" s="8" t="s">
        <v>64107</v>
      </c>
      <c r="C10505" s="8" t="s">
        <v>20968</v>
      </c>
      <c r="D10505" s="8"/>
      <c r="E10505" s="6"/>
      <c r="F10505" s="6"/>
    </row>
    <row r="10506" spans="1:6" x14ac:dyDescent="0.3">
      <c r="A10506" s="8" t="s">
        <v>20969</v>
      </c>
      <c r="B10506" s="8" t="s">
        <v>64108</v>
      </c>
      <c r="C10506" s="8" t="s">
        <v>20970</v>
      </c>
      <c r="D10506" s="8"/>
      <c r="E10506" s="6"/>
      <c r="F10506" s="6"/>
    </row>
    <row r="10507" spans="1:6" x14ac:dyDescent="0.3">
      <c r="A10507" s="8" t="s">
        <v>20971</v>
      </c>
      <c r="B10507" s="8" t="s">
        <v>64109</v>
      </c>
      <c r="C10507" s="8" t="s">
        <v>20972</v>
      </c>
      <c r="D10507" s="8"/>
      <c r="E10507" s="6"/>
      <c r="F10507" s="6"/>
    </row>
    <row r="10508" spans="1:6" x14ac:dyDescent="0.3">
      <c r="A10508" s="8" t="s">
        <v>20973</v>
      </c>
      <c r="B10508" s="8" t="s">
        <v>64110</v>
      </c>
      <c r="C10508" s="8" t="s">
        <v>20974</v>
      </c>
      <c r="D10508" s="8"/>
      <c r="E10508" s="6"/>
      <c r="F10508" s="6"/>
    </row>
    <row r="10509" spans="1:6" x14ac:dyDescent="0.3">
      <c r="A10509" s="8" t="s">
        <v>20975</v>
      </c>
      <c r="B10509" s="8" t="s">
        <v>64111</v>
      </c>
      <c r="C10509" s="8" t="s">
        <v>20976</v>
      </c>
      <c r="D10509" s="8"/>
      <c r="E10509" s="6"/>
      <c r="F10509" s="6"/>
    </row>
    <row r="10510" spans="1:6" x14ac:dyDescent="0.3">
      <c r="A10510" s="8" t="s">
        <v>20977</v>
      </c>
      <c r="B10510" s="8" t="s">
        <v>64112</v>
      </c>
      <c r="C10510" s="8" t="s">
        <v>20978</v>
      </c>
      <c r="D10510" s="8"/>
      <c r="E10510" s="6"/>
      <c r="F10510" s="6"/>
    </row>
    <row r="10511" spans="1:6" x14ac:dyDescent="0.3">
      <c r="A10511" s="8" t="s">
        <v>20979</v>
      </c>
      <c r="B10511" s="8" t="s">
        <v>64113</v>
      </c>
      <c r="C10511" s="8" t="s">
        <v>20980</v>
      </c>
      <c r="D10511" s="8"/>
      <c r="E10511" s="6"/>
      <c r="F10511" s="6"/>
    </row>
    <row r="10512" spans="1:6" x14ac:dyDescent="0.3">
      <c r="A10512" s="8" t="s">
        <v>20981</v>
      </c>
      <c r="B10512" s="8" t="s">
        <v>64114</v>
      </c>
      <c r="C10512" s="8" t="s">
        <v>20982</v>
      </c>
      <c r="D10512" s="8"/>
      <c r="E10512" s="6"/>
      <c r="F10512" s="6"/>
    </row>
    <row r="10513" spans="1:6" x14ac:dyDescent="0.3">
      <c r="A10513" s="8" t="s">
        <v>20983</v>
      </c>
      <c r="B10513" s="8" t="s">
        <v>64115</v>
      </c>
      <c r="C10513" s="8" t="s">
        <v>20984</v>
      </c>
      <c r="D10513" s="8"/>
      <c r="E10513" s="6"/>
      <c r="F10513" s="6"/>
    </row>
    <row r="10514" spans="1:6" x14ac:dyDescent="0.3">
      <c r="A10514" s="8" t="s">
        <v>20985</v>
      </c>
      <c r="B10514" s="8" t="s">
        <v>64116</v>
      </c>
      <c r="C10514" s="8" t="s">
        <v>20986</v>
      </c>
      <c r="D10514" s="8"/>
      <c r="E10514" s="6"/>
      <c r="F10514" s="6"/>
    </row>
    <row r="10515" spans="1:6" x14ac:dyDescent="0.3">
      <c r="A10515" s="8" t="s">
        <v>20987</v>
      </c>
      <c r="B10515" s="8" t="s">
        <v>64117</v>
      </c>
      <c r="C10515" s="8" t="s">
        <v>20988</v>
      </c>
      <c r="D10515" s="8"/>
      <c r="E10515" s="6"/>
      <c r="F10515" s="6"/>
    </row>
    <row r="10516" spans="1:6" x14ac:dyDescent="0.3">
      <c r="A10516" s="8" t="s">
        <v>20989</v>
      </c>
      <c r="B10516" s="8" t="s">
        <v>64118</v>
      </c>
      <c r="C10516" s="8" t="s">
        <v>20990</v>
      </c>
      <c r="D10516" s="8"/>
      <c r="E10516" s="6"/>
      <c r="F10516" s="6"/>
    </row>
    <row r="10517" spans="1:6" x14ac:dyDescent="0.3">
      <c r="A10517" s="8" t="s">
        <v>20991</v>
      </c>
      <c r="B10517" s="8" t="s">
        <v>64119</v>
      </c>
      <c r="C10517" s="8" t="s">
        <v>20992</v>
      </c>
      <c r="D10517" s="8"/>
      <c r="E10517" s="6"/>
      <c r="F10517" s="6"/>
    </row>
    <row r="10518" spans="1:6" x14ac:dyDescent="0.3">
      <c r="A10518" s="8" t="s">
        <v>20993</v>
      </c>
      <c r="B10518" s="8" t="s">
        <v>64120</v>
      </c>
      <c r="C10518" s="8" t="s">
        <v>20994</v>
      </c>
      <c r="D10518" s="8"/>
      <c r="E10518" s="6"/>
      <c r="F10518" s="6"/>
    </row>
    <row r="10519" spans="1:6" x14ac:dyDescent="0.3">
      <c r="A10519" s="8" t="s">
        <v>20995</v>
      </c>
      <c r="B10519" s="8" t="s">
        <v>64121</v>
      </c>
      <c r="C10519" s="8" t="s">
        <v>20996</v>
      </c>
      <c r="D10519" s="8"/>
      <c r="E10519" s="6"/>
      <c r="F10519" s="6"/>
    </row>
    <row r="10520" spans="1:6" x14ac:dyDescent="0.3">
      <c r="A10520" s="8" t="s">
        <v>20997</v>
      </c>
      <c r="B10520" s="8" t="s">
        <v>64122</v>
      </c>
      <c r="C10520" s="8" t="s">
        <v>20998</v>
      </c>
      <c r="D10520" s="8"/>
      <c r="E10520" s="6"/>
      <c r="F10520" s="6"/>
    </row>
    <row r="10521" spans="1:6" x14ac:dyDescent="0.3">
      <c r="A10521" s="8" t="s">
        <v>20999</v>
      </c>
      <c r="B10521" s="8" t="s">
        <v>64123</v>
      </c>
      <c r="C10521" s="8" t="s">
        <v>21000</v>
      </c>
      <c r="D10521" s="8"/>
      <c r="E10521" s="6"/>
      <c r="F10521" s="6"/>
    </row>
    <row r="10522" spans="1:6" x14ac:dyDescent="0.3">
      <c r="A10522" s="8" t="s">
        <v>21001</v>
      </c>
      <c r="B10522" s="8" t="s">
        <v>64124</v>
      </c>
      <c r="C10522" s="8" t="s">
        <v>21002</v>
      </c>
      <c r="D10522" s="8"/>
      <c r="E10522" s="6"/>
      <c r="F10522" s="6"/>
    </row>
    <row r="10523" spans="1:6" x14ac:dyDescent="0.3">
      <c r="A10523" s="8" t="s">
        <v>21003</v>
      </c>
      <c r="B10523" s="8" t="s">
        <v>64125</v>
      </c>
      <c r="C10523" s="8" t="s">
        <v>21004</v>
      </c>
      <c r="D10523" s="8"/>
      <c r="E10523" s="6"/>
      <c r="F10523" s="6"/>
    </row>
    <row r="10524" spans="1:6" x14ac:dyDescent="0.3">
      <c r="A10524" s="8" t="s">
        <v>21005</v>
      </c>
      <c r="B10524" s="8" t="s">
        <v>64126</v>
      </c>
      <c r="C10524" s="8" t="s">
        <v>21006</v>
      </c>
      <c r="D10524" s="8"/>
      <c r="E10524" s="6"/>
      <c r="F10524" s="6"/>
    </row>
    <row r="10525" spans="1:6" x14ac:dyDescent="0.3">
      <c r="A10525" s="8" t="s">
        <v>21007</v>
      </c>
      <c r="B10525" s="8" t="s">
        <v>64127</v>
      </c>
      <c r="C10525" s="8" t="s">
        <v>21008</v>
      </c>
      <c r="D10525" s="8"/>
      <c r="E10525" s="6"/>
      <c r="F10525" s="6"/>
    </row>
    <row r="10526" spans="1:6" x14ac:dyDescent="0.3">
      <c r="A10526" s="8" t="s">
        <v>21009</v>
      </c>
      <c r="B10526" s="8" t="s">
        <v>64128</v>
      </c>
      <c r="C10526" s="8" t="s">
        <v>21010</v>
      </c>
      <c r="D10526" s="8"/>
      <c r="E10526" s="6"/>
      <c r="F10526" s="6"/>
    </row>
    <row r="10527" spans="1:6" x14ac:dyDescent="0.3">
      <c r="A10527" s="8" t="s">
        <v>21011</v>
      </c>
      <c r="B10527" s="8" t="s">
        <v>64129</v>
      </c>
      <c r="C10527" s="8" t="s">
        <v>21012</v>
      </c>
      <c r="D10527" s="8"/>
      <c r="E10527" s="6"/>
      <c r="F10527" s="6"/>
    </row>
    <row r="10528" spans="1:6" x14ac:dyDescent="0.3">
      <c r="A10528" s="8" t="s">
        <v>21013</v>
      </c>
      <c r="B10528" s="8" t="s">
        <v>64130</v>
      </c>
      <c r="C10528" s="8" t="s">
        <v>21014</v>
      </c>
      <c r="D10528" s="8"/>
      <c r="E10528" s="6"/>
      <c r="F10528" s="6"/>
    </row>
    <row r="10529" spans="1:6" x14ac:dyDescent="0.3">
      <c r="A10529" s="8" t="s">
        <v>21015</v>
      </c>
      <c r="B10529" s="8" t="s">
        <v>64131</v>
      </c>
      <c r="C10529" s="8" t="s">
        <v>21016</v>
      </c>
      <c r="D10529" s="8"/>
      <c r="E10529" s="6"/>
      <c r="F10529" s="6"/>
    </row>
    <row r="10530" spans="1:6" x14ac:dyDescent="0.3">
      <c r="A10530" s="8" t="s">
        <v>21017</v>
      </c>
      <c r="B10530" s="8" t="s">
        <v>64132</v>
      </c>
      <c r="C10530" s="8" t="s">
        <v>21018</v>
      </c>
      <c r="D10530" s="8"/>
      <c r="E10530" s="6"/>
      <c r="F10530" s="6"/>
    </row>
    <row r="10531" spans="1:6" x14ac:dyDescent="0.3">
      <c r="A10531" s="8" t="s">
        <v>21019</v>
      </c>
      <c r="B10531" s="8" t="s">
        <v>64133</v>
      </c>
      <c r="C10531" s="8" t="s">
        <v>21020</v>
      </c>
      <c r="D10531" s="8"/>
      <c r="E10531" s="6"/>
      <c r="F10531" s="6"/>
    </row>
    <row r="10532" spans="1:6" x14ac:dyDescent="0.3">
      <c r="A10532" s="8" t="s">
        <v>21021</v>
      </c>
      <c r="B10532" s="8" t="s">
        <v>64134</v>
      </c>
      <c r="C10532" s="8" t="s">
        <v>21022</v>
      </c>
      <c r="D10532" s="8"/>
      <c r="E10532" s="6"/>
      <c r="F10532" s="6"/>
    </row>
    <row r="10533" spans="1:6" x14ac:dyDescent="0.3">
      <c r="A10533" s="8" t="s">
        <v>21023</v>
      </c>
      <c r="B10533" s="8" t="s">
        <v>64135</v>
      </c>
      <c r="C10533" s="8" t="s">
        <v>21024</v>
      </c>
      <c r="D10533" s="8"/>
      <c r="E10533" s="6"/>
      <c r="F10533" s="6"/>
    </row>
    <row r="10534" spans="1:6" x14ac:dyDescent="0.3">
      <c r="A10534" s="8" t="s">
        <v>21025</v>
      </c>
      <c r="B10534" s="8" t="s">
        <v>64136</v>
      </c>
      <c r="C10534" s="8" t="s">
        <v>21026</v>
      </c>
      <c r="D10534" s="8"/>
      <c r="E10534" s="6"/>
      <c r="F10534" s="6"/>
    </row>
    <row r="10535" spans="1:6" x14ac:dyDescent="0.3">
      <c r="A10535" s="8" t="s">
        <v>21027</v>
      </c>
      <c r="B10535" s="8" t="s">
        <v>64137</v>
      </c>
      <c r="C10535" s="8" t="s">
        <v>21028</v>
      </c>
      <c r="D10535" s="8"/>
      <c r="E10535" s="6"/>
      <c r="F10535" s="6"/>
    </row>
    <row r="10536" spans="1:6" x14ac:dyDescent="0.3">
      <c r="A10536" s="8" t="s">
        <v>21029</v>
      </c>
      <c r="B10536" s="8" t="s">
        <v>64138</v>
      </c>
      <c r="C10536" s="8" t="s">
        <v>21030</v>
      </c>
      <c r="D10536" s="8"/>
      <c r="E10536" s="6"/>
      <c r="F10536" s="6"/>
    </row>
    <row r="10537" spans="1:6" x14ac:dyDescent="0.3">
      <c r="A10537" s="8" t="s">
        <v>21031</v>
      </c>
      <c r="B10537" s="8" t="s">
        <v>64139</v>
      </c>
      <c r="C10537" s="8" t="s">
        <v>21032</v>
      </c>
      <c r="D10537" s="8"/>
      <c r="E10537" s="6"/>
      <c r="F10537" s="6"/>
    </row>
    <row r="10538" spans="1:6" x14ac:dyDescent="0.3">
      <c r="A10538" s="8" t="s">
        <v>21033</v>
      </c>
      <c r="B10538" s="8" t="s">
        <v>64140</v>
      </c>
      <c r="C10538" s="8" t="s">
        <v>21034</v>
      </c>
      <c r="D10538" s="8"/>
      <c r="E10538" s="6"/>
      <c r="F10538" s="6"/>
    </row>
    <row r="10539" spans="1:6" x14ac:dyDescent="0.3">
      <c r="A10539" s="8" t="s">
        <v>21035</v>
      </c>
      <c r="B10539" s="8" t="s">
        <v>64141</v>
      </c>
      <c r="C10539" s="8" t="s">
        <v>21036</v>
      </c>
      <c r="D10539" s="8"/>
      <c r="E10539" s="6"/>
      <c r="F10539" s="6"/>
    </row>
    <row r="10540" spans="1:6" x14ac:dyDescent="0.3">
      <c r="A10540" s="8" t="s">
        <v>21037</v>
      </c>
      <c r="B10540" s="8" t="s">
        <v>64142</v>
      </c>
      <c r="C10540" s="8" t="s">
        <v>21038</v>
      </c>
      <c r="D10540" s="8"/>
      <c r="E10540" s="6"/>
      <c r="F10540" s="6"/>
    </row>
    <row r="10541" spans="1:6" x14ac:dyDescent="0.3">
      <c r="A10541" s="8" t="s">
        <v>21039</v>
      </c>
      <c r="B10541" s="8" t="s">
        <v>64143</v>
      </c>
      <c r="C10541" s="8" t="s">
        <v>21040</v>
      </c>
      <c r="D10541" s="8"/>
      <c r="E10541" s="6"/>
      <c r="F10541" s="6"/>
    </row>
    <row r="10542" spans="1:6" x14ac:dyDescent="0.3">
      <c r="A10542" s="8" t="s">
        <v>21041</v>
      </c>
      <c r="B10542" s="8" t="s">
        <v>64144</v>
      </c>
      <c r="C10542" s="8" t="s">
        <v>21042</v>
      </c>
      <c r="D10542" s="8"/>
      <c r="E10542" s="6"/>
      <c r="F10542" s="6"/>
    </row>
    <row r="10543" spans="1:6" x14ac:dyDescent="0.3">
      <c r="A10543" s="8" t="s">
        <v>21043</v>
      </c>
      <c r="B10543" s="8" t="s">
        <v>64145</v>
      </c>
      <c r="C10543" s="8" t="s">
        <v>21044</v>
      </c>
      <c r="D10543" s="8"/>
      <c r="E10543" s="6"/>
      <c r="F10543" s="6"/>
    </row>
    <row r="10544" spans="1:6" x14ac:dyDescent="0.3">
      <c r="A10544" s="8" t="s">
        <v>21045</v>
      </c>
      <c r="B10544" s="8" t="s">
        <v>64146</v>
      </c>
      <c r="C10544" s="8" t="s">
        <v>21046</v>
      </c>
      <c r="D10544" s="8"/>
      <c r="E10544" s="6"/>
      <c r="F10544" s="6"/>
    </row>
    <row r="10545" spans="1:6" x14ac:dyDescent="0.3">
      <c r="A10545" s="8" t="s">
        <v>21047</v>
      </c>
      <c r="B10545" s="8" t="s">
        <v>64147</v>
      </c>
      <c r="C10545" s="8" t="s">
        <v>21048</v>
      </c>
      <c r="D10545" s="8"/>
      <c r="E10545" s="6"/>
      <c r="F10545" s="6"/>
    </row>
    <row r="10546" spans="1:6" x14ac:dyDescent="0.3">
      <c r="A10546" s="8" t="s">
        <v>21049</v>
      </c>
      <c r="B10546" s="8" t="s">
        <v>64148</v>
      </c>
      <c r="C10546" s="8" t="s">
        <v>21050</v>
      </c>
      <c r="D10546" s="8"/>
      <c r="E10546" s="6"/>
      <c r="F10546" s="6"/>
    </row>
    <row r="10547" spans="1:6" x14ac:dyDescent="0.3">
      <c r="A10547" s="8" t="s">
        <v>21051</v>
      </c>
      <c r="B10547" s="8" t="s">
        <v>64149</v>
      </c>
      <c r="C10547" s="8" t="s">
        <v>21052</v>
      </c>
      <c r="D10547" s="8"/>
      <c r="E10547" s="6"/>
      <c r="F10547" s="6"/>
    </row>
    <row r="10548" spans="1:6" x14ac:dyDescent="0.3">
      <c r="A10548" s="8" t="s">
        <v>21053</v>
      </c>
      <c r="B10548" s="8" t="s">
        <v>64150</v>
      </c>
      <c r="C10548" s="8" t="s">
        <v>21054</v>
      </c>
      <c r="D10548" s="8"/>
      <c r="E10548" s="6"/>
      <c r="F10548" s="6"/>
    </row>
    <row r="10549" spans="1:6" x14ac:dyDescent="0.3">
      <c r="A10549" s="8" t="s">
        <v>21055</v>
      </c>
      <c r="B10549" s="8" t="s">
        <v>64151</v>
      </c>
      <c r="C10549" s="8" t="s">
        <v>21056</v>
      </c>
      <c r="D10549" s="8"/>
      <c r="E10549" s="6"/>
      <c r="F10549" s="6"/>
    </row>
    <row r="10550" spans="1:6" x14ac:dyDescent="0.3">
      <c r="A10550" s="8" t="s">
        <v>21057</v>
      </c>
      <c r="B10550" s="8" t="s">
        <v>64152</v>
      </c>
      <c r="C10550" s="8" t="s">
        <v>21058</v>
      </c>
      <c r="D10550" s="8"/>
      <c r="E10550" s="6"/>
      <c r="F10550" s="6"/>
    </row>
    <row r="10551" spans="1:6" x14ac:dyDescent="0.3">
      <c r="A10551" s="8" t="s">
        <v>21059</v>
      </c>
      <c r="B10551" s="8" t="s">
        <v>64153</v>
      </c>
      <c r="C10551" s="8" t="s">
        <v>21060</v>
      </c>
      <c r="D10551" s="8"/>
      <c r="E10551" s="6"/>
      <c r="F10551" s="6"/>
    </row>
    <row r="10552" spans="1:6" x14ac:dyDescent="0.3">
      <c r="A10552" s="8" t="s">
        <v>21061</v>
      </c>
      <c r="B10552" s="8" t="s">
        <v>64154</v>
      </c>
      <c r="C10552" s="8" t="s">
        <v>21062</v>
      </c>
      <c r="D10552" s="8"/>
      <c r="E10552" s="6"/>
      <c r="F10552" s="6"/>
    </row>
    <row r="10553" spans="1:6" x14ac:dyDescent="0.3">
      <c r="A10553" s="8" t="s">
        <v>21063</v>
      </c>
      <c r="B10553" s="8" t="s">
        <v>64155</v>
      </c>
      <c r="C10553" s="8" t="s">
        <v>21064</v>
      </c>
      <c r="D10553" s="8"/>
      <c r="E10553" s="6"/>
      <c r="F10553" s="6"/>
    </row>
    <row r="10554" spans="1:6" x14ac:dyDescent="0.3">
      <c r="A10554" s="8" t="s">
        <v>21065</v>
      </c>
      <c r="B10554" s="8" t="s">
        <v>64156</v>
      </c>
      <c r="C10554" s="8" t="s">
        <v>21066</v>
      </c>
      <c r="D10554" s="8"/>
      <c r="E10554" s="6"/>
      <c r="F10554" s="6"/>
    </row>
    <row r="10555" spans="1:6" x14ac:dyDescent="0.3">
      <c r="A10555" s="8" t="s">
        <v>21067</v>
      </c>
      <c r="B10555" s="8" t="s">
        <v>64157</v>
      </c>
      <c r="C10555" s="8" t="s">
        <v>21068</v>
      </c>
      <c r="D10555" s="8"/>
      <c r="E10555" s="6"/>
      <c r="F10555" s="6"/>
    </row>
    <row r="10556" spans="1:6" x14ac:dyDescent="0.3">
      <c r="A10556" s="8" t="s">
        <v>21069</v>
      </c>
      <c r="B10556" s="8" t="s">
        <v>64158</v>
      </c>
      <c r="C10556" s="8" t="s">
        <v>21070</v>
      </c>
      <c r="D10556" s="8"/>
      <c r="E10556" s="6"/>
      <c r="F10556" s="6"/>
    </row>
    <row r="10557" spans="1:6" x14ac:dyDescent="0.3">
      <c r="A10557" s="8" t="s">
        <v>21071</v>
      </c>
      <c r="B10557" s="8" t="s">
        <v>64159</v>
      </c>
      <c r="C10557" s="8" t="s">
        <v>21072</v>
      </c>
      <c r="D10557" s="8"/>
      <c r="E10557" s="6"/>
      <c r="F10557" s="6"/>
    </row>
    <row r="10558" spans="1:6" x14ac:dyDescent="0.3">
      <c r="A10558" s="8" t="s">
        <v>21073</v>
      </c>
      <c r="B10558" s="8" t="s">
        <v>64160</v>
      </c>
      <c r="C10558" s="8" t="s">
        <v>21074</v>
      </c>
      <c r="D10558" s="8"/>
      <c r="E10558" s="6"/>
      <c r="F10558" s="6"/>
    </row>
    <row r="10559" spans="1:6" x14ac:dyDescent="0.3">
      <c r="A10559" s="8" t="s">
        <v>21075</v>
      </c>
      <c r="B10559" s="8" t="s">
        <v>64161</v>
      </c>
      <c r="C10559" s="8" t="s">
        <v>21076</v>
      </c>
      <c r="D10559" s="8"/>
      <c r="E10559" s="6"/>
      <c r="F10559" s="6"/>
    </row>
    <row r="10560" spans="1:6" x14ac:dyDescent="0.3">
      <c r="A10560" s="8" t="s">
        <v>21077</v>
      </c>
      <c r="B10560" s="8" t="s">
        <v>64162</v>
      </c>
      <c r="C10560" s="8" t="s">
        <v>21078</v>
      </c>
      <c r="D10560" s="8"/>
      <c r="E10560" s="6"/>
      <c r="F10560" s="6"/>
    </row>
    <row r="10561" spans="1:6" x14ac:dyDescent="0.3">
      <c r="A10561" s="8" t="s">
        <v>21079</v>
      </c>
      <c r="B10561" s="8" t="s">
        <v>64163</v>
      </c>
      <c r="C10561" s="8" t="s">
        <v>21080</v>
      </c>
      <c r="D10561" s="8"/>
      <c r="E10561" s="6"/>
      <c r="F10561" s="6"/>
    </row>
    <row r="10562" spans="1:6" x14ac:dyDescent="0.3">
      <c r="A10562" s="8" t="s">
        <v>21081</v>
      </c>
      <c r="B10562" s="8" t="s">
        <v>64164</v>
      </c>
      <c r="C10562" s="8" t="s">
        <v>21082</v>
      </c>
      <c r="D10562" s="8"/>
      <c r="E10562" s="6"/>
      <c r="F10562" s="6"/>
    </row>
    <row r="10563" spans="1:6" x14ac:dyDescent="0.3">
      <c r="A10563" s="8" t="s">
        <v>21083</v>
      </c>
      <c r="B10563" s="8" t="s">
        <v>64165</v>
      </c>
      <c r="C10563" s="8" t="s">
        <v>21084</v>
      </c>
      <c r="D10563" s="8"/>
      <c r="E10563" s="6"/>
      <c r="F10563" s="6"/>
    </row>
    <row r="10564" spans="1:6" x14ac:dyDescent="0.3">
      <c r="A10564" s="8" t="s">
        <v>21085</v>
      </c>
      <c r="B10564" s="8" t="s">
        <v>64166</v>
      </c>
      <c r="C10564" s="8" t="s">
        <v>21086</v>
      </c>
      <c r="D10564" s="8"/>
      <c r="E10564" s="6"/>
      <c r="F10564" s="6"/>
    </row>
    <row r="10565" spans="1:6" x14ac:dyDescent="0.3">
      <c r="A10565" s="8" t="s">
        <v>21087</v>
      </c>
      <c r="B10565" s="8" t="s">
        <v>64167</v>
      </c>
      <c r="C10565" s="8" t="s">
        <v>21088</v>
      </c>
      <c r="D10565" s="8"/>
      <c r="E10565" s="6"/>
      <c r="F10565" s="6"/>
    </row>
    <row r="10566" spans="1:6" x14ac:dyDescent="0.3">
      <c r="A10566" s="8" t="s">
        <v>21089</v>
      </c>
      <c r="B10566" s="8" t="s">
        <v>64168</v>
      </c>
      <c r="C10566" s="8" t="s">
        <v>21090</v>
      </c>
      <c r="D10566" s="8"/>
      <c r="E10566" s="6"/>
      <c r="F10566" s="6"/>
    </row>
    <row r="10567" spans="1:6" x14ac:dyDescent="0.3">
      <c r="A10567" s="8" t="s">
        <v>21091</v>
      </c>
      <c r="B10567" s="8" t="s">
        <v>64169</v>
      </c>
      <c r="C10567" s="8" t="s">
        <v>21092</v>
      </c>
      <c r="D10567" s="8"/>
      <c r="E10567" s="6"/>
      <c r="F10567" s="6"/>
    </row>
    <row r="10568" spans="1:6" x14ac:dyDescent="0.3">
      <c r="A10568" s="8" t="s">
        <v>21093</v>
      </c>
      <c r="B10568" s="8" t="s">
        <v>64170</v>
      </c>
      <c r="C10568" s="8" t="s">
        <v>21094</v>
      </c>
      <c r="D10568" s="8"/>
      <c r="E10568" s="6"/>
      <c r="F10568" s="6"/>
    </row>
    <row r="10569" spans="1:6" x14ac:dyDescent="0.3">
      <c r="A10569" s="8" t="s">
        <v>21095</v>
      </c>
      <c r="B10569" s="8" t="s">
        <v>64171</v>
      </c>
      <c r="C10569" s="8" t="s">
        <v>21096</v>
      </c>
      <c r="D10569" s="8"/>
      <c r="E10569" s="6"/>
      <c r="F10569" s="6"/>
    </row>
    <row r="10570" spans="1:6" x14ac:dyDescent="0.3">
      <c r="A10570" s="8" t="s">
        <v>21097</v>
      </c>
      <c r="B10570" s="8" t="s">
        <v>64172</v>
      </c>
      <c r="C10570" s="8" t="s">
        <v>21098</v>
      </c>
      <c r="D10570" s="8"/>
      <c r="E10570" s="6"/>
      <c r="F10570" s="6"/>
    </row>
    <row r="10571" spans="1:6" x14ac:dyDescent="0.3">
      <c r="A10571" s="8" t="s">
        <v>21099</v>
      </c>
      <c r="B10571" s="8" t="s">
        <v>64173</v>
      </c>
      <c r="C10571" s="8" t="s">
        <v>21100</v>
      </c>
      <c r="D10571" s="8"/>
      <c r="E10571" s="6"/>
      <c r="F10571" s="6"/>
    </row>
    <row r="10572" spans="1:6" x14ac:dyDescent="0.3">
      <c r="A10572" s="8" t="s">
        <v>21101</v>
      </c>
      <c r="B10572" s="8" t="s">
        <v>64174</v>
      </c>
      <c r="C10572" s="8" t="s">
        <v>21102</v>
      </c>
      <c r="D10572" s="8"/>
      <c r="E10572" s="6"/>
      <c r="F10572" s="6"/>
    </row>
    <row r="10573" spans="1:6" x14ac:dyDescent="0.3">
      <c r="A10573" s="8" t="s">
        <v>21103</v>
      </c>
      <c r="B10573" s="8" t="s">
        <v>64175</v>
      </c>
      <c r="C10573" s="8" t="s">
        <v>21104</v>
      </c>
      <c r="D10573" s="8"/>
      <c r="E10573" s="6"/>
      <c r="F10573" s="6"/>
    </row>
    <row r="10574" spans="1:6" x14ac:dyDescent="0.3">
      <c r="A10574" s="8" t="s">
        <v>21105</v>
      </c>
      <c r="B10574" s="8" t="s">
        <v>64176</v>
      </c>
      <c r="C10574" s="8" t="s">
        <v>21106</v>
      </c>
      <c r="D10574" s="8"/>
      <c r="E10574" s="6"/>
      <c r="F10574" s="6"/>
    </row>
    <row r="10575" spans="1:6" x14ac:dyDescent="0.3">
      <c r="A10575" s="8" t="s">
        <v>21107</v>
      </c>
      <c r="B10575" s="8" t="s">
        <v>64177</v>
      </c>
      <c r="C10575" s="8" t="s">
        <v>21108</v>
      </c>
      <c r="D10575" s="8"/>
      <c r="E10575" s="6"/>
      <c r="F10575" s="6"/>
    </row>
    <row r="10576" spans="1:6" x14ac:dyDescent="0.3">
      <c r="A10576" s="8" t="s">
        <v>21109</v>
      </c>
      <c r="B10576" s="8" t="s">
        <v>64178</v>
      </c>
      <c r="C10576" s="8" t="s">
        <v>21110</v>
      </c>
      <c r="D10576" s="8"/>
      <c r="E10576" s="6"/>
      <c r="F10576" s="6"/>
    </row>
    <row r="10577" spans="1:6" x14ac:dyDescent="0.3">
      <c r="A10577" s="8" t="s">
        <v>21111</v>
      </c>
      <c r="B10577" s="8" t="s">
        <v>64179</v>
      </c>
      <c r="C10577" s="8" t="s">
        <v>21112</v>
      </c>
      <c r="D10577" s="8"/>
      <c r="E10577" s="6"/>
      <c r="F10577" s="6"/>
    </row>
    <row r="10578" spans="1:6" x14ac:dyDescent="0.3">
      <c r="A10578" s="8" t="s">
        <v>21113</v>
      </c>
      <c r="B10578" s="8" t="s">
        <v>64180</v>
      </c>
      <c r="C10578" s="8" t="s">
        <v>21114</v>
      </c>
      <c r="D10578" s="8"/>
      <c r="E10578" s="6"/>
      <c r="F10578" s="6"/>
    </row>
    <row r="10579" spans="1:6" x14ac:dyDescent="0.3">
      <c r="A10579" s="8" t="s">
        <v>21115</v>
      </c>
      <c r="B10579" s="8" t="s">
        <v>64181</v>
      </c>
      <c r="C10579" s="8" t="s">
        <v>21116</v>
      </c>
      <c r="D10579" s="8"/>
      <c r="E10579" s="6"/>
      <c r="F10579" s="6"/>
    </row>
    <row r="10580" spans="1:6" x14ac:dyDescent="0.3">
      <c r="A10580" s="8" t="s">
        <v>21117</v>
      </c>
      <c r="B10580" s="8" t="s">
        <v>64182</v>
      </c>
      <c r="C10580" s="8" t="s">
        <v>21118</v>
      </c>
      <c r="D10580" s="8"/>
      <c r="E10580" s="6"/>
      <c r="F10580" s="6"/>
    </row>
    <row r="10581" spans="1:6" x14ac:dyDescent="0.3">
      <c r="A10581" s="8" t="s">
        <v>21119</v>
      </c>
      <c r="B10581" s="8" t="s">
        <v>64183</v>
      </c>
      <c r="C10581" s="8" t="s">
        <v>21120</v>
      </c>
      <c r="D10581" s="8"/>
      <c r="E10581" s="6"/>
      <c r="F10581" s="6"/>
    </row>
    <row r="10582" spans="1:6" x14ac:dyDescent="0.3">
      <c r="A10582" s="8" t="s">
        <v>21121</v>
      </c>
      <c r="B10582" s="8" t="s">
        <v>64184</v>
      </c>
      <c r="C10582" s="8" t="s">
        <v>21122</v>
      </c>
      <c r="D10582" s="8"/>
      <c r="E10582" s="6"/>
      <c r="F10582" s="6"/>
    </row>
    <row r="10583" spans="1:6" x14ac:dyDescent="0.3">
      <c r="A10583" s="8" t="s">
        <v>21123</v>
      </c>
      <c r="B10583" s="8" t="s">
        <v>64185</v>
      </c>
      <c r="C10583" s="8" t="s">
        <v>21124</v>
      </c>
      <c r="D10583" s="8"/>
      <c r="E10583" s="6"/>
      <c r="F10583" s="6"/>
    </row>
    <row r="10584" spans="1:6" x14ac:dyDescent="0.3">
      <c r="A10584" s="8" t="s">
        <v>21125</v>
      </c>
      <c r="B10584" s="8" t="s">
        <v>64186</v>
      </c>
      <c r="C10584" s="8" t="s">
        <v>21126</v>
      </c>
      <c r="D10584" s="8"/>
      <c r="E10584" s="6"/>
      <c r="F10584" s="6"/>
    </row>
    <row r="10585" spans="1:6" x14ac:dyDescent="0.3">
      <c r="A10585" s="8" t="s">
        <v>21127</v>
      </c>
      <c r="B10585" s="8" t="s">
        <v>64187</v>
      </c>
      <c r="C10585" s="8" t="s">
        <v>21128</v>
      </c>
      <c r="D10585" s="8"/>
      <c r="E10585" s="6"/>
      <c r="F10585" s="6"/>
    </row>
    <row r="10586" spans="1:6" x14ac:dyDescent="0.3">
      <c r="A10586" s="8" t="s">
        <v>21129</v>
      </c>
      <c r="B10586" s="8" t="s">
        <v>64188</v>
      </c>
      <c r="C10586" s="8" t="s">
        <v>21130</v>
      </c>
      <c r="D10586" s="8"/>
      <c r="E10586" s="6"/>
      <c r="F10586" s="6"/>
    </row>
    <row r="10587" spans="1:6" x14ac:dyDescent="0.3">
      <c r="A10587" s="8" t="s">
        <v>21131</v>
      </c>
      <c r="B10587" s="8" t="s">
        <v>64189</v>
      </c>
      <c r="C10587" s="8" t="s">
        <v>21132</v>
      </c>
      <c r="D10587" s="8"/>
      <c r="E10587" s="6"/>
      <c r="F10587" s="6"/>
    </row>
    <row r="10588" spans="1:6" x14ac:dyDescent="0.3">
      <c r="A10588" s="8" t="s">
        <v>21133</v>
      </c>
      <c r="B10588" s="8" t="s">
        <v>64190</v>
      </c>
      <c r="C10588" s="8" t="s">
        <v>21134</v>
      </c>
      <c r="D10588" s="8"/>
      <c r="E10588" s="6"/>
      <c r="F10588" s="6"/>
    </row>
    <row r="10589" spans="1:6" x14ac:dyDescent="0.3">
      <c r="A10589" s="8" t="s">
        <v>21135</v>
      </c>
      <c r="B10589" s="8" t="s">
        <v>64191</v>
      </c>
      <c r="C10589" s="8" t="s">
        <v>21136</v>
      </c>
      <c r="D10589" s="8"/>
      <c r="E10589" s="6"/>
      <c r="F10589" s="6"/>
    </row>
    <row r="10590" spans="1:6" x14ac:dyDescent="0.3">
      <c r="A10590" s="8" t="s">
        <v>21137</v>
      </c>
      <c r="B10590" s="8" t="s">
        <v>64192</v>
      </c>
      <c r="C10590" s="8" t="s">
        <v>21138</v>
      </c>
      <c r="D10590" s="8"/>
      <c r="E10590" s="6"/>
      <c r="F10590" s="6"/>
    </row>
    <row r="10591" spans="1:6" x14ac:dyDescent="0.3">
      <c r="A10591" s="8" t="s">
        <v>21139</v>
      </c>
      <c r="B10591" s="8" t="s">
        <v>64193</v>
      </c>
      <c r="C10591" s="8" t="s">
        <v>21140</v>
      </c>
      <c r="D10591" s="8"/>
      <c r="E10591" s="6"/>
      <c r="F10591" s="6"/>
    </row>
    <row r="10592" spans="1:6" x14ac:dyDescent="0.3">
      <c r="A10592" s="8" t="s">
        <v>21141</v>
      </c>
      <c r="B10592" s="8" t="s">
        <v>64194</v>
      </c>
      <c r="C10592" s="8" t="s">
        <v>21142</v>
      </c>
      <c r="D10592" s="8"/>
      <c r="E10592" s="6"/>
      <c r="F10592" s="6"/>
    </row>
    <row r="10593" spans="1:6" x14ac:dyDescent="0.3">
      <c r="A10593" s="8" t="s">
        <v>21143</v>
      </c>
      <c r="B10593" s="8" t="s">
        <v>64195</v>
      </c>
      <c r="C10593" s="8" t="s">
        <v>21144</v>
      </c>
      <c r="D10593" s="8"/>
      <c r="E10593" s="6"/>
      <c r="F10593" s="6"/>
    </row>
    <row r="10594" spans="1:6" x14ac:dyDescent="0.3">
      <c r="A10594" s="8" t="s">
        <v>21145</v>
      </c>
      <c r="B10594" s="8" t="s">
        <v>64196</v>
      </c>
      <c r="C10594" s="8" t="s">
        <v>21146</v>
      </c>
      <c r="D10594" s="8"/>
      <c r="E10594" s="6"/>
      <c r="F10594" s="6"/>
    </row>
    <row r="10595" spans="1:6" ht="28.8" x14ac:dyDescent="0.3">
      <c r="A10595" s="8" t="s">
        <v>21147</v>
      </c>
      <c r="B10595" s="8" t="s">
        <v>64197</v>
      </c>
      <c r="C10595" s="8" t="s">
        <v>21148</v>
      </c>
      <c r="D10595" s="8"/>
      <c r="E10595" s="6"/>
      <c r="F10595" s="6"/>
    </row>
    <row r="10596" spans="1:6" x14ac:dyDescent="0.3">
      <c r="A10596" s="8" t="s">
        <v>21149</v>
      </c>
      <c r="B10596" s="8" t="s">
        <v>64198</v>
      </c>
      <c r="C10596" s="8" t="s">
        <v>21150</v>
      </c>
      <c r="D10596" s="8"/>
      <c r="E10596" s="6"/>
      <c r="F10596" s="6"/>
    </row>
    <row r="10597" spans="1:6" x14ac:dyDescent="0.3">
      <c r="A10597" s="8" t="s">
        <v>21151</v>
      </c>
      <c r="B10597" s="8" t="s">
        <v>64199</v>
      </c>
      <c r="C10597" s="8" t="s">
        <v>21152</v>
      </c>
      <c r="D10597" s="8"/>
      <c r="E10597" s="6"/>
      <c r="F10597" s="6"/>
    </row>
    <row r="10598" spans="1:6" x14ac:dyDescent="0.3">
      <c r="A10598" s="8" t="s">
        <v>21153</v>
      </c>
      <c r="B10598" s="8" t="s">
        <v>64200</v>
      </c>
      <c r="C10598" s="8" t="s">
        <v>21154</v>
      </c>
      <c r="D10598" s="8"/>
      <c r="E10598" s="6"/>
      <c r="F10598" s="6"/>
    </row>
    <row r="10599" spans="1:6" x14ac:dyDescent="0.3">
      <c r="A10599" s="8" t="s">
        <v>21155</v>
      </c>
      <c r="B10599" s="8" t="s">
        <v>64201</v>
      </c>
      <c r="C10599" s="8" t="s">
        <v>21156</v>
      </c>
      <c r="D10599" s="8"/>
      <c r="E10599" s="6"/>
      <c r="F10599" s="6"/>
    </row>
    <row r="10600" spans="1:6" x14ac:dyDescent="0.3">
      <c r="A10600" s="8" t="s">
        <v>21157</v>
      </c>
      <c r="B10600" s="8" t="s">
        <v>64202</v>
      </c>
      <c r="C10600" s="8" t="s">
        <v>21158</v>
      </c>
      <c r="D10600" s="8"/>
      <c r="E10600" s="6"/>
      <c r="F10600" s="6"/>
    </row>
    <row r="10601" spans="1:6" x14ac:dyDescent="0.3">
      <c r="A10601" s="8" t="s">
        <v>21159</v>
      </c>
      <c r="B10601" s="8" t="s">
        <v>64203</v>
      </c>
      <c r="C10601" s="8" t="s">
        <v>21160</v>
      </c>
      <c r="D10601" s="8"/>
      <c r="E10601" s="6"/>
      <c r="F10601" s="6"/>
    </row>
    <row r="10602" spans="1:6" x14ac:dyDescent="0.3">
      <c r="A10602" s="8" t="s">
        <v>21161</v>
      </c>
      <c r="B10602" s="8" t="s">
        <v>64204</v>
      </c>
      <c r="C10602" s="8" t="s">
        <v>21162</v>
      </c>
      <c r="D10602" s="8"/>
      <c r="E10602" s="6"/>
      <c r="F10602" s="6"/>
    </row>
    <row r="10603" spans="1:6" x14ac:dyDescent="0.3">
      <c r="A10603" s="8" t="s">
        <v>21163</v>
      </c>
      <c r="B10603" s="8" t="s">
        <v>64205</v>
      </c>
      <c r="C10603" s="8" t="s">
        <v>21164</v>
      </c>
      <c r="D10603" s="8"/>
      <c r="E10603" s="6"/>
      <c r="F10603" s="6"/>
    </row>
    <row r="10604" spans="1:6" x14ac:dyDescent="0.3">
      <c r="A10604" s="8" t="s">
        <v>21165</v>
      </c>
      <c r="B10604" s="8" t="s">
        <v>64206</v>
      </c>
      <c r="C10604" s="8" t="s">
        <v>21166</v>
      </c>
      <c r="D10604" s="8"/>
      <c r="E10604" s="6"/>
      <c r="F10604" s="6"/>
    </row>
    <row r="10605" spans="1:6" x14ac:dyDescent="0.3">
      <c r="A10605" s="8" t="s">
        <v>21167</v>
      </c>
      <c r="B10605" s="8" t="s">
        <v>64207</v>
      </c>
      <c r="C10605" s="8" t="s">
        <v>21168</v>
      </c>
      <c r="D10605" s="8"/>
      <c r="E10605" s="6"/>
      <c r="F10605" s="6"/>
    </row>
    <row r="10606" spans="1:6" x14ac:dyDescent="0.3">
      <c r="A10606" s="8" t="s">
        <v>21169</v>
      </c>
      <c r="B10606" s="8" t="s">
        <v>64208</v>
      </c>
      <c r="C10606" s="8" t="s">
        <v>21170</v>
      </c>
      <c r="D10606" s="8"/>
      <c r="E10606" s="6"/>
      <c r="F10606" s="6"/>
    </row>
    <row r="10607" spans="1:6" x14ac:dyDescent="0.3">
      <c r="A10607" s="8" t="s">
        <v>21171</v>
      </c>
      <c r="B10607" s="8" t="s">
        <v>64209</v>
      </c>
      <c r="C10607" s="8" t="s">
        <v>21172</v>
      </c>
      <c r="D10607" s="8"/>
      <c r="E10607" s="6"/>
      <c r="F10607" s="6"/>
    </row>
    <row r="10608" spans="1:6" x14ac:dyDescent="0.3">
      <c r="A10608" s="8" t="s">
        <v>21173</v>
      </c>
      <c r="B10608" s="8" t="s">
        <v>64210</v>
      </c>
      <c r="C10608" s="8" t="s">
        <v>21174</v>
      </c>
      <c r="D10608" s="8"/>
      <c r="E10608" s="6"/>
      <c r="F10608" s="6"/>
    </row>
    <row r="10609" spans="1:6" x14ac:dyDescent="0.3">
      <c r="A10609" s="8" t="s">
        <v>21175</v>
      </c>
      <c r="B10609" s="8" t="s">
        <v>64211</v>
      </c>
      <c r="C10609" s="8" t="s">
        <v>21176</v>
      </c>
      <c r="D10609" s="8"/>
      <c r="E10609" s="6"/>
      <c r="F10609" s="6"/>
    </row>
    <row r="10610" spans="1:6" x14ac:dyDescent="0.3">
      <c r="A10610" s="8" t="s">
        <v>21177</v>
      </c>
      <c r="B10610" s="8" t="s">
        <v>64212</v>
      </c>
      <c r="C10610" s="8" t="s">
        <v>21178</v>
      </c>
      <c r="D10610" s="8"/>
      <c r="E10610" s="6"/>
      <c r="F10610" s="6"/>
    </row>
    <row r="10611" spans="1:6" x14ac:dyDescent="0.3">
      <c r="A10611" s="8" t="s">
        <v>21179</v>
      </c>
      <c r="B10611" s="8" t="s">
        <v>64213</v>
      </c>
      <c r="C10611" s="8" t="s">
        <v>21180</v>
      </c>
      <c r="D10611" s="8"/>
      <c r="E10611" s="6"/>
      <c r="F10611" s="6"/>
    </row>
    <row r="10612" spans="1:6" x14ac:dyDescent="0.3">
      <c r="A10612" s="8" t="s">
        <v>21181</v>
      </c>
      <c r="B10612" s="8" t="s">
        <v>64214</v>
      </c>
      <c r="C10612" s="8" t="s">
        <v>21182</v>
      </c>
      <c r="D10612" s="8"/>
      <c r="E10612" s="6"/>
      <c r="F10612" s="6"/>
    </row>
    <row r="10613" spans="1:6" x14ac:dyDescent="0.3">
      <c r="A10613" s="8" t="s">
        <v>21183</v>
      </c>
      <c r="B10613" s="8" t="s">
        <v>64215</v>
      </c>
      <c r="C10613" s="8" t="s">
        <v>21184</v>
      </c>
      <c r="D10613" s="8"/>
      <c r="E10613" s="6"/>
      <c r="F10613" s="6"/>
    </row>
    <row r="10614" spans="1:6" x14ac:dyDescent="0.3">
      <c r="A10614" s="8" t="s">
        <v>21185</v>
      </c>
      <c r="B10614" s="8" t="s">
        <v>64216</v>
      </c>
      <c r="C10614" s="8" t="s">
        <v>21186</v>
      </c>
      <c r="D10614" s="8"/>
      <c r="E10614" s="6"/>
      <c r="F10614" s="6"/>
    </row>
    <row r="10615" spans="1:6" x14ac:dyDescent="0.3">
      <c r="A10615" s="8" t="s">
        <v>21187</v>
      </c>
      <c r="B10615" s="8" t="s">
        <v>64217</v>
      </c>
      <c r="C10615" s="8" t="s">
        <v>21188</v>
      </c>
      <c r="D10615" s="8"/>
      <c r="E10615" s="6"/>
      <c r="F10615" s="6"/>
    </row>
    <row r="10616" spans="1:6" x14ac:dyDescent="0.3">
      <c r="A10616" s="8" t="s">
        <v>21189</v>
      </c>
      <c r="B10616" s="8" t="s">
        <v>64218</v>
      </c>
      <c r="C10616" s="8" t="s">
        <v>21190</v>
      </c>
      <c r="D10616" s="8"/>
      <c r="E10616" s="6"/>
      <c r="F10616" s="6"/>
    </row>
    <row r="10617" spans="1:6" x14ac:dyDescent="0.3">
      <c r="A10617" s="8" t="s">
        <v>21191</v>
      </c>
      <c r="B10617" s="8" t="s">
        <v>64219</v>
      </c>
      <c r="C10617" s="8" t="s">
        <v>21192</v>
      </c>
      <c r="D10617" s="8"/>
      <c r="E10617" s="6"/>
      <c r="F10617" s="6"/>
    </row>
    <row r="10618" spans="1:6" x14ac:dyDescent="0.3">
      <c r="A10618" s="8" t="s">
        <v>21193</v>
      </c>
      <c r="B10618" s="8" t="s">
        <v>64220</v>
      </c>
      <c r="C10618" s="8" t="s">
        <v>21194</v>
      </c>
      <c r="D10618" s="8"/>
      <c r="E10618" s="6"/>
      <c r="F10618" s="6"/>
    </row>
    <row r="10619" spans="1:6" x14ac:dyDescent="0.3">
      <c r="A10619" s="8" t="s">
        <v>21195</v>
      </c>
      <c r="B10619" s="8" t="s">
        <v>64221</v>
      </c>
      <c r="C10619" s="8" t="s">
        <v>21196</v>
      </c>
      <c r="D10619" s="8"/>
      <c r="E10619" s="6"/>
      <c r="F10619" s="6"/>
    </row>
    <row r="10620" spans="1:6" x14ac:dyDescent="0.3">
      <c r="A10620" s="8" t="s">
        <v>21197</v>
      </c>
      <c r="B10620" s="8" t="s">
        <v>64222</v>
      </c>
      <c r="C10620" s="8" t="s">
        <v>21198</v>
      </c>
      <c r="D10620" s="8"/>
      <c r="E10620" s="6"/>
      <c r="F10620" s="6"/>
    </row>
    <row r="10621" spans="1:6" x14ac:dyDescent="0.3">
      <c r="A10621" s="8" t="s">
        <v>21199</v>
      </c>
      <c r="B10621" s="8" t="s">
        <v>64223</v>
      </c>
      <c r="C10621" s="8" t="s">
        <v>21200</v>
      </c>
      <c r="D10621" s="8"/>
      <c r="E10621" s="6"/>
      <c r="F10621" s="6"/>
    </row>
    <row r="10622" spans="1:6" x14ac:dyDescent="0.3">
      <c r="A10622" s="8" t="s">
        <v>21201</v>
      </c>
      <c r="B10622" s="8" t="s">
        <v>64224</v>
      </c>
      <c r="C10622" s="8" t="s">
        <v>21202</v>
      </c>
      <c r="D10622" s="8"/>
      <c r="E10622" s="6"/>
      <c r="F10622" s="6"/>
    </row>
    <row r="10623" spans="1:6" x14ac:dyDescent="0.3">
      <c r="A10623" s="8" t="s">
        <v>21203</v>
      </c>
      <c r="B10623" s="8" t="s">
        <v>64225</v>
      </c>
      <c r="C10623" s="8" t="s">
        <v>21204</v>
      </c>
      <c r="D10623" s="8"/>
      <c r="E10623" s="6"/>
      <c r="F10623" s="6"/>
    </row>
    <row r="10624" spans="1:6" x14ac:dyDescent="0.3">
      <c r="A10624" s="8" t="s">
        <v>21205</v>
      </c>
      <c r="B10624" s="8" t="s">
        <v>64226</v>
      </c>
      <c r="C10624" s="8" t="s">
        <v>21206</v>
      </c>
      <c r="D10624" s="8"/>
      <c r="E10624" s="6"/>
      <c r="F10624" s="6"/>
    </row>
    <row r="10625" spans="1:6" x14ac:dyDescent="0.3">
      <c r="A10625" s="8" t="s">
        <v>21207</v>
      </c>
      <c r="B10625" s="8" t="s">
        <v>64227</v>
      </c>
      <c r="C10625" s="8" t="s">
        <v>21208</v>
      </c>
      <c r="D10625" s="8"/>
      <c r="E10625" s="6"/>
      <c r="F10625" s="6"/>
    </row>
    <row r="10626" spans="1:6" x14ac:dyDescent="0.3">
      <c r="A10626" s="8" t="s">
        <v>21209</v>
      </c>
      <c r="B10626" s="8" t="s">
        <v>64228</v>
      </c>
      <c r="C10626" s="8" t="s">
        <v>21210</v>
      </c>
      <c r="D10626" s="8"/>
      <c r="E10626" s="6"/>
      <c r="F10626" s="6"/>
    </row>
    <row r="10627" spans="1:6" x14ac:dyDescent="0.3">
      <c r="A10627" s="8" t="s">
        <v>21211</v>
      </c>
      <c r="B10627" s="8" t="s">
        <v>64229</v>
      </c>
      <c r="C10627" s="8" t="s">
        <v>21212</v>
      </c>
      <c r="D10627" s="8"/>
      <c r="E10627" s="6"/>
      <c r="F10627" s="6"/>
    </row>
    <row r="10628" spans="1:6" x14ac:dyDescent="0.3">
      <c r="A10628" s="8" t="s">
        <v>21213</v>
      </c>
      <c r="B10628" s="8" t="s">
        <v>64230</v>
      </c>
      <c r="C10628" s="8" t="s">
        <v>21214</v>
      </c>
      <c r="D10628" s="8"/>
      <c r="E10628" s="6"/>
      <c r="F10628" s="6"/>
    </row>
    <row r="10629" spans="1:6" x14ac:dyDescent="0.3">
      <c r="A10629" s="8" t="s">
        <v>21215</v>
      </c>
      <c r="B10629" s="8" t="s">
        <v>64231</v>
      </c>
      <c r="C10629" s="8" t="s">
        <v>21216</v>
      </c>
      <c r="D10629" s="8"/>
      <c r="E10629" s="6"/>
      <c r="F10629" s="6"/>
    </row>
    <row r="10630" spans="1:6" x14ac:dyDescent="0.3">
      <c r="A10630" s="8" t="s">
        <v>21217</v>
      </c>
      <c r="B10630" s="8" t="s">
        <v>64232</v>
      </c>
      <c r="C10630" s="8" t="s">
        <v>21218</v>
      </c>
      <c r="D10630" s="8"/>
      <c r="E10630" s="6"/>
      <c r="F10630" s="6"/>
    </row>
    <row r="10631" spans="1:6" x14ac:dyDescent="0.3">
      <c r="A10631" s="8" t="s">
        <v>21219</v>
      </c>
      <c r="B10631" s="8" t="s">
        <v>64233</v>
      </c>
      <c r="C10631" s="8" t="s">
        <v>21220</v>
      </c>
      <c r="D10631" s="8"/>
      <c r="E10631" s="6"/>
      <c r="F10631" s="6"/>
    </row>
    <row r="10632" spans="1:6" x14ac:dyDescent="0.3">
      <c r="A10632" s="8" t="s">
        <v>21221</v>
      </c>
      <c r="B10632" s="8" t="s">
        <v>64234</v>
      </c>
      <c r="C10632" s="8" t="s">
        <v>21222</v>
      </c>
      <c r="D10632" s="8"/>
      <c r="E10632" s="6"/>
      <c r="F10632" s="6"/>
    </row>
    <row r="10633" spans="1:6" x14ac:dyDescent="0.3">
      <c r="A10633" s="8" t="s">
        <v>21223</v>
      </c>
      <c r="B10633" s="8" t="s">
        <v>64235</v>
      </c>
      <c r="C10633" s="8" t="s">
        <v>21224</v>
      </c>
      <c r="D10633" s="8"/>
      <c r="E10633" s="6"/>
      <c r="F10633" s="6"/>
    </row>
    <row r="10634" spans="1:6" x14ac:dyDescent="0.3">
      <c r="A10634" s="8" t="s">
        <v>21225</v>
      </c>
      <c r="B10634" s="8" t="s">
        <v>64236</v>
      </c>
      <c r="C10634" s="8" t="s">
        <v>21226</v>
      </c>
      <c r="D10634" s="8"/>
      <c r="E10634" s="6"/>
      <c r="F10634" s="6"/>
    </row>
    <row r="10635" spans="1:6" x14ac:dyDescent="0.3">
      <c r="A10635" s="8" t="s">
        <v>21227</v>
      </c>
      <c r="B10635" s="8" t="s">
        <v>64237</v>
      </c>
      <c r="C10635" s="8" t="s">
        <v>21228</v>
      </c>
      <c r="D10635" s="8"/>
      <c r="E10635" s="6"/>
      <c r="F10635" s="6"/>
    </row>
    <row r="10636" spans="1:6" x14ac:dyDescent="0.3">
      <c r="A10636" s="8" t="s">
        <v>21229</v>
      </c>
      <c r="B10636" s="8" t="s">
        <v>64238</v>
      </c>
      <c r="C10636" s="8" t="s">
        <v>21230</v>
      </c>
      <c r="D10636" s="8"/>
      <c r="E10636" s="6"/>
      <c r="F10636" s="6"/>
    </row>
    <row r="10637" spans="1:6" x14ac:dyDescent="0.3">
      <c r="A10637" s="8" t="s">
        <v>21231</v>
      </c>
      <c r="B10637" s="8" t="s">
        <v>64239</v>
      </c>
      <c r="C10637" s="8" t="s">
        <v>21232</v>
      </c>
      <c r="D10637" s="8"/>
      <c r="E10637" s="6"/>
      <c r="F10637" s="6"/>
    </row>
    <row r="10638" spans="1:6" x14ac:dyDescent="0.3">
      <c r="A10638" s="8" t="s">
        <v>21233</v>
      </c>
      <c r="B10638" s="8" t="s">
        <v>64240</v>
      </c>
      <c r="C10638" s="8" t="s">
        <v>21234</v>
      </c>
      <c r="D10638" s="8"/>
      <c r="E10638" s="6"/>
      <c r="F10638" s="6"/>
    </row>
    <row r="10639" spans="1:6" x14ac:dyDescent="0.3">
      <c r="A10639" s="8" t="s">
        <v>21235</v>
      </c>
      <c r="B10639" s="8" t="s">
        <v>64241</v>
      </c>
      <c r="C10639" s="8" t="s">
        <v>21236</v>
      </c>
      <c r="D10639" s="8"/>
      <c r="E10639" s="6"/>
      <c r="F10639" s="6"/>
    </row>
    <row r="10640" spans="1:6" x14ac:dyDescent="0.3">
      <c r="A10640" s="8" t="s">
        <v>21237</v>
      </c>
      <c r="B10640" s="8" t="s">
        <v>64242</v>
      </c>
      <c r="C10640" s="8" t="s">
        <v>21238</v>
      </c>
      <c r="D10640" s="8"/>
      <c r="E10640" s="6"/>
      <c r="F10640" s="6"/>
    </row>
    <row r="10641" spans="1:6" x14ac:dyDescent="0.3">
      <c r="A10641" s="8" t="s">
        <v>21239</v>
      </c>
      <c r="B10641" s="8" t="s">
        <v>64243</v>
      </c>
      <c r="C10641" s="8" t="s">
        <v>21240</v>
      </c>
      <c r="D10641" s="8"/>
      <c r="E10641" s="6"/>
      <c r="F10641" s="6"/>
    </row>
    <row r="10642" spans="1:6" x14ac:dyDescent="0.3">
      <c r="A10642" s="8" t="s">
        <v>21241</v>
      </c>
      <c r="B10642" s="8" t="s">
        <v>64244</v>
      </c>
      <c r="C10642" s="8" t="s">
        <v>21242</v>
      </c>
      <c r="D10642" s="8"/>
      <c r="E10642" s="6"/>
      <c r="F10642" s="6"/>
    </row>
    <row r="10643" spans="1:6" x14ac:dyDescent="0.3">
      <c r="A10643" s="8" t="s">
        <v>21243</v>
      </c>
      <c r="B10643" s="8" t="s">
        <v>64245</v>
      </c>
      <c r="C10643" s="8" t="s">
        <v>21244</v>
      </c>
      <c r="D10643" s="8"/>
      <c r="E10643" s="6"/>
      <c r="F10643" s="6"/>
    </row>
    <row r="10644" spans="1:6" x14ac:dyDescent="0.3">
      <c r="A10644" s="8" t="s">
        <v>21245</v>
      </c>
      <c r="B10644" s="8" t="s">
        <v>64246</v>
      </c>
      <c r="C10644" s="8" t="s">
        <v>21246</v>
      </c>
      <c r="D10644" s="8"/>
      <c r="E10644" s="6"/>
      <c r="F10644" s="6"/>
    </row>
    <row r="10645" spans="1:6" x14ac:dyDescent="0.3">
      <c r="A10645" s="8" t="s">
        <v>21247</v>
      </c>
      <c r="B10645" s="8" t="s">
        <v>64247</v>
      </c>
      <c r="C10645" s="8" t="s">
        <v>21248</v>
      </c>
      <c r="D10645" s="8"/>
      <c r="E10645" s="6"/>
      <c r="F10645" s="6"/>
    </row>
    <row r="10646" spans="1:6" x14ac:dyDescent="0.3">
      <c r="A10646" s="8" t="s">
        <v>21249</v>
      </c>
      <c r="B10646" s="8" t="s">
        <v>64248</v>
      </c>
      <c r="C10646" s="8" t="s">
        <v>21250</v>
      </c>
      <c r="D10646" s="8"/>
      <c r="E10646" s="6"/>
      <c r="F10646" s="6"/>
    </row>
    <row r="10647" spans="1:6" x14ac:dyDescent="0.3">
      <c r="A10647" s="8" t="s">
        <v>21251</v>
      </c>
      <c r="B10647" s="8" t="s">
        <v>64249</v>
      </c>
      <c r="C10647" s="8" t="s">
        <v>21252</v>
      </c>
      <c r="D10647" s="8"/>
      <c r="E10647" s="6"/>
      <c r="F10647" s="6"/>
    </row>
    <row r="10648" spans="1:6" x14ac:dyDescent="0.3">
      <c r="A10648" s="8" t="s">
        <v>21253</v>
      </c>
      <c r="B10648" s="8" t="s">
        <v>64250</v>
      </c>
      <c r="C10648" s="8" t="s">
        <v>21254</v>
      </c>
      <c r="D10648" s="8"/>
      <c r="E10648" s="6"/>
      <c r="F10648" s="6"/>
    </row>
    <row r="10649" spans="1:6" x14ac:dyDescent="0.3">
      <c r="A10649" s="8" t="s">
        <v>21255</v>
      </c>
      <c r="B10649" s="8" t="s">
        <v>64251</v>
      </c>
      <c r="C10649" s="8" t="s">
        <v>21256</v>
      </c>
      <c r="D10649" s="8"/>
      <c r="E10649" s="6"/>
      <c r="F10649" s="6"/>
    </row>
    <row r="10650" spans="1:6" x14ac:dyDescent="0.3">
      <c r="A10650" s="8" t="s">
        <v>21257</v>
      </c>
      <c r="B10650" s="8" t="s">
        <v>64252</v>
      </c>
      <c r="C10650" s="8" t="s">
        <v>21258</v>
      </c>
      <c r="D10650" s="8"/>
      <c r="E10650" s="6"/>
      <c r="F10650" s="6"/>
    </row>
    <row r="10651" spans="1:6" x14ac:dyDescent="0.3">
      <c r="A10651" s="8" t="s">
        <v>21259</v>
      </c>
      <c r="B10651" s="8" t="s">
        <v>64253</v>
      </c>
      <c r="C10651" s="8" t="s">
        <v>21260</v>
      </c>
      <c r="D10651" s="8"/>
      <c r="E10651" s="6"/>
      <c r="F10651" s="6"/>
    </row>
    <row r="10652" spans="1:6" x14ac:dyDescent="0.3">
      <c r="A10652" s="8" t="s">
        <v>21261</v>
      </c>
      <c r="B10652" s="8" t="s">
        <v>64254</v>
      </c>
      <c r="C10652" s="8" t="s">
        <v>21262</v>
      </c>
      <c r="D10652" s="8"/>
      <c r="E10652" s="6"/>
      <c r="F10652" s="6"/>
    </row>
    <row r="10653" spans="1:6" x14ac:dyDescent="0.3">
      <c r="A10653" s="8" t="s">
        <v>21263</v>
      </c>
      <c r="B10653" s="8" t="s">
        <v>64255</v>
      </c>
      <c r="C10653" s="8" t="s">
        <v>21264</v>
      </c>
      <c r="D10653" s="8"/>
      <c r="E10653" s="6"/>
      <c r="F10653" s="6"/>
    </row>
    <row r="10654" spans="1:6" x14ac:dyDescent="0.3">
      <c r="A10654" s="8" t="s">
        <v>21265</v>
      </c>
      <c r="B10654" s="8" t="s">
        <v>64256</v>
      </c>
      <c r="C10654" s="8" t="s">
        <v>21266</v>
      </c>
      <c r="D10654" s="8"/>
      <c r="E10654" s="6"/>
      <c r="F10654" s="6"/>
    </row>
    <row r="10655" spans="1:6" x14ac:dyDescent="0.3">
      <c r="A10655" s="8" t="s">
        <v>21267</v>
      </c>
      <c r="B10655" s="8" t="s">
        <v>64257</v>
      </c>
      <c r="C10655" s="8" t="s">
        <v>21268</v>
      </c>
      <c r="D10655" s="8"/>
      <c r="E10655" s="6"/>
      <c r="F10655" s="6"/>
    </row>
    <row r="10656" spans="1:6" x14ac:dyDescent="0.3">
      <c r="A10656" s="8" t="s">
        <v>21269</v>
      </c>
      <c r="B10656" s="8" t="s">
        <v>64258</v>
      </c>
      <c r="C10656" s="8" t="s">
        <v>21270</v>
      </c>
      <c r="D10656" s="8"/>
      <c r="E10656" s="6"/>
      <c r="F10656" s="6"/>
    </row>
    <row r="10657" spans="1:6" x14ac:dyDescent="0.3">
      <c r="A10657" s="8" t="s">
        <v>21271</v>
      </c>
      <c r="B10657" s="8" t="s">
        <v>64259</v>
      </c>
      <c r="C10657" s="8" t="s">
        <v>21272</v>
      </c>
      <c r="D10657" s="8"/>
      <c r="E10657" s="6"/>
      <c r="F10657" s="6"/>
    </row>
    <row r="10658" spans="1:6" x14ac:dyDescent="0.3">
      <c r="A10658" s="8" t="s">
        <v>21273</v>
      </c>
      <c r="B10658" s="8" t="s">
        <v>64260</v>
      </c>
      <c r="C10658" s="8" t="s">
        <v>21274</v>
      </c>
      <c r="D10658" s="8"/>
      <c r="E10658" s="6"/>
      <c r="F10658" s="6"/>
    </row>
    <row r="10659" spans="1:6" x14ac:dyDescent="0.3">
      <c r="A10659" s="8" t="s">
        <v>21275</v>
      </c>
      <c r="B10659" s="8" t="s">
        <v>64261</v>
      </c>
      <c r="C10659" s="8" t="s">
        <v>21276</v>
      </c>
      <c r="D10659" s="8"/>
      <c r="E10659" s="6"/>
      <c r="F10659" s="6"/>
    </row>
    <row r="10660" spans="1:6" x14ac:dyDescent="0.3">
      <c r="A10660" s="8" t="s">
        <v>21277</v>
      </c>
      <c r="B10660" s="8" t="s">
        <v>64262</v>
      </c>
      <c r="C10660" s="8" t="s">
        <v>21278</v>
      </c>
      <c r="D10660" s="8"/>
      <c r="E10660" s="6"/>
      <c r="F10660" s="6"/>
    </row>
    <row r="10661" spans="1:6" x14ac:dyDescent="0.3">
      <c r="A10661" s="8" t="s">
        <v>21279</v>
      </c>
      <c r="B10661" s="8" t="s">
        <v>64263</v>
      </c>
      <c r="C10661" s="8" t="s">
        <v>21280</v>
      </c>
      <c r="D10661" s="8"/>
      <c r="E10661" s="6"/>
      <c r="F10661" s="6"/>
    </row>
    <row r="10662" spans="1:6" x14ac:dyDescent="0.3">
      <c r="A10662" s="8" t="s">
        <v>21281</v>
      </c>
      <c r="B10662" s="8" t="s">
        <v>64264</v>
      </c>
      <c r="C10662" s="8" t="s">
        <v>21282</v>
      </c>
      <c r="D10662" s="8"/>
      <c r="E10662" s="6"/>
      <c r="F10662" s="6"/>
    </row>
    <row r="10663" spans="1:6" x14ac:dyDescent="0.3">
      <c r="A10663" s="8" t="s">
        <v>21283</v>
      </c>
      <c r="B10663" s="8" t="s">
        <v>64265</v>
      </c>
      <c r="C10663" s="8" t="s">
        <v>21284</v>
      </c>
      <c r="D10663" s="8"/>
      <c r="E10663" s="6"/>
      <c r="F10663" s="6"/>
    </row>
    <row r="10664" spans="1:6" x14ac:dyDescent="0.3">
      <c r="A10664" s="8" t="s">
        <v>21285</v>
      </c>
      <c r="B10664" s="8" t="s">
        <v>64266</v>
      </c>
      <c r="C10664" s="8" t="s">
        <v>21286</v>
      </c>
      <c r="D10664" s="8"/>
      <c r="E10664" s="6"/>
      <c r="F10664" s="6"/>
    </row>
    <row r="10665" spans="1:6" x14ac:dyDescent="0.3">
      <c r="A10665" s="8" t="s">
        <v>21287</v>
      </c>
      <c r="B10665" s="8" t="s">
        <v>64267</v>
      </c>
      <c r="C10665" s="8" t="s">
        <v>21288</v>
      </c>
      <c r="D10665" s="8"/>
      <c r="E10665" s="6"/>
      <c r="F10665" s="6"/>
    </row>
    <row r="10666" spans="1:6" x14ac:dyDescent="0.3">
      <c r="A10666" s="8" t="s">
        <v>21289</v>
      </c>
      <c r="B10666" s="8" t="s">
        <v>64268</v>
      </c>
      <c r="C10666" s="8" t="s">
        <v>21290</v>
      </c>
      <c r="D10666" s="8"/>
      <c r="E10666" s="6"/>
      <c r="F10666" s="6"/>
    </row>
    <row r="10667" spans="1:6" x14ac:dyDescent="0.3">
      <c r="A10667" s="8" t="s">
        <v>21291</v>
      </c>
      <c r="B10667" s="8" t="s">
        <v>64269</v>
      </c>
      <c r="C10667" s="8" t="s">
        <v>21292</v>
      </c>
      <c r="D10667" s="8"/>
      <c r="E10667" s="6"/>
      <c r="F10667" s="6"/>
    </row>
    <row r="10668" spans="1:6" x14ac:dyDescent="0.3">
      <c r="A10668" s="8" t="s">
        <v>21293</v>
      </c>
      <c r="B10668" s="8" t="s">
        <v>64270</v>
      </c>
      <c r="C10668" s="8" t="s">
        <v>21294</v>
      </c>
      <c r="D10668" s="8"/>
      <c r="E10668" s="6"/>
      <c r="F10668" s="6"/>
    </row>
    <row r="10669" spans="1:6" x14ac:dyDescent="0.3">
      <c r="A10669" s="8" t="s">
        <v>21295</v>
      </c>
      <c r="B10669" s="8" t="s">
        <v>64271</v>
      </c>
      <c r="C10669" s="8" t="s">
        <v>21296</v>
      </c>
      <c r="D10669" s="8"/>
      <c r="E10669" s="6"/>
      <c r="F10669" s="6"/>
    </row>
    <row r="10670" spans="1:6" x14ac:dyDescent="0.3">
      <c r="A10670" s="8" t="s">
        <v>21297</v>
      </c>
      <c r="B10670" s="8" t="s">
        <v>64272</v>
      </c>
      <c r="C10670" s="8" t="s">
        <v>21298</v>
      </c>
      <c r="D10670" s="8"/>
      <c r="E10670" s="6"/>
      <c r="F10670" s="6"/>
    </row>
    <row r="10671" spans="1:6" x14ac:dyDescent="0.3">
      <c r="A10671" s="8" t="s">
        <v>21299</v>
      </c>
      <c r="B10671" s="8" t="s">
        <v>64273</v>
      </c>
      <c r="C10671" s="8" t="s">
        <v>21300</v>
      </c>
      <c r="D10671" s="8"/>
      <c r="E10671" s="6"/>
      <c r="F10671" s="6"/>
    </row>
    <row r="10672" spans="1:6" x14ac:dyDescent="0.3">
      <c r="A10672" s="8" t="s">
        <v>21301</v>
      </c>
      <c r="B10672" s="8" t="s">
        <v>64274</v>
      </c>
      <c r="C10672" s="8" t="s">
        <v>21302</v>
      </c>
      <c r="D10672" s="8"/>
      <c r="E10672" s="6"/>
      <c r="F10672" s="6"/>
    </row>
    <row r="10673" spans="1:6" x14ac:dyDescent="0.3">
      <c r="A10673" s="8" t="s">
        <v>21303</v>
      </c>
      <c r="B10673" s="8" t="s">
        <v>64275</v>
      </c>
      <c r="C10673" s="8" t="s">
        <v>21304</v>
      </c>
      <c r="D10673" s="8"/>
      <c r="E10673" s="6"/>
      <c r="F10673" s="6"/>
    </row>
    <row r="10674" spans="1:6" x14ac:dyDescent="0.3">
      <c r="A10674" s="8" t="s">
        <v>21305</v>
      </c>
      <c r="B10674" s="8" t="s">
        <v>64276</v>
      </c>
      <c r="C10674" s="8" t="s">
        <v>21306</v>
      </c>
      <c r="D10674" s="8"/>
      <c r="E10674" s="6"/>
      <c r="F10674" s="6"/>
    </row>
    <row r="10675" spans="1:6" x14ac:dyDescent="0.3">
      <c r="A10675" s="8" t="s">
        <v>21307</v>
      </c>
      <c r="B10675" s="8" t="s">
        <v>64277</v>
      </c>
      <c r="C10675" s="8" t="s">
        <v>21308</v>
      </c>
      <c r="D10675" s="8"/>
      <c r="E10675" s="6"/>
      <c r="F10675" s="6"/>
    </row>
    <row r="10676" spans="1:6" x14ac:dyDescent="0.3">
      <c r="A10676" s="8" t="s">
        <v>21309</v>
      </c>
      <c r="B10676" s="8" t="s">
        <v>64278</v>
      </c>
      <c r="C10676" s="8" t="s">
        <v>21310</v>
      </c>
      <c r="D10676" s="8"/>
      <c r="E10676" s="6"/>
      <c r="F10676" s="6"/>
    </row>
    <row r="10677" spans="1:6" x14ac:dyDescent="0.3">
      <c r="A10677" s="8" t="s">
        <v>21311</v>
      </c>
      <c r="B10677" s="8" t="s">
        <v>64279</v>
      </c>
      <c r="C10677" s="8" t="s">
        <v>21312</v>
      </c>
      <c r="D10677" s="8"/>
      <c r="E10677" s="6"/>
      <c r="F10677" s="6"/>
    </row>
    <row r="10678" spans="1:6" x14ac:dyDescent="0.3">
      <c r="A10678" s="8" t="s">
        <v>21313</v>
      </c>
      <c r="B10678" s="8" t="s">
        <v>64280</v>
      </c>
      <c r="C10678" s="8" t="s">
        <v>21314</v>
      </c>
      <c r="D10678" s="8"/>
      <c r="E10678" s="6"/>
      <c r="F10678" s="6"/>
    </row>
    <row r="10679" spans="1:6" x14ac:dyDescent="0.3">
      <c r="A10679" s="8" t="s">
        <v>21315</v>
      </c>
      <c r="B10679" s="8" t="s">
        <v>64281</v>
      </c>
      <c r="C10679" s="8" t="s">
        <v>21316</v>
      </c>
      <c r="D10679" s="8"/>
      <c r="E10679" s="6"/>
      <c r="F10679" s="6"/>
    </row>
    <row r="10680" spans="1:6" x14ac:dyDescent="0.3">
      <c r="A10680" s="8" t="s">
        <v>21317</v>
      </c>
      <c r="B10680" s="8" t="s">
        <v>64282</v>
      </c>
      <c r="C10680" s="8" t="s">
        <v>21318</v>
      </c>
      <c r="D10680" s="8"/>
      <c r="E10680" s="6"/>
      <c r="F10680" s="6"/>
    </row>
    <row r="10681" spans="1:6" x14ac:dyDescent="0.3">
      <c r="A10681" s="8" t="s">
        <v>21319</v>
      </c>
      <c r="B10681" s="8" t="s">
        <v>64283</v>
      </c>
      <c r="C10681" s="8" t="s">
        <v>21320</v>
      </c>
      <c r="D10681" s="8"/>
      <c r="E10681" s="6"/>
      <c r="F10681" s="6"/>
    </row>
    <row r="10682" spans="1:6" x14ac:dyDescent="0.3">
      <c r="A10682" s="8" t="s">
        <v>21321</v>
      </c>
      <c r="B10682" s="8" t="s">
        <v>64284</v>
      </c>
      <c r="C10682" s="8" t="s">
        <v>21322</v>
      </c>
      <c r="D10682" s="8"/>
      <c r="E10682" s="6"/>
      <c r="F10682" s="6"/>
    </row>
    <row r="10683" spans="1:6" x14ac:dyDescent="0.3">
      <c r="A10683" s="8" t="s">
        <v>21323</v>
      </c>
      <c r="B10683" s="8" t="s">
        <v>64285</v>
      </c>
      <c r="C10683" s="8" t="s">
        <v>21324</v>
      </c>
      <c r="D10683" s="8"/>
      <c r="E10683" s="6"/>
      <c r="F10683" s="6"/>
    </row>
    <row r="10684" spans="1:6" x14ac:dyDescent="0.3">
      <c r="A10684" s="8" t="s">
        <v>21325</v>
      </c>
      <c r="B10684" s="8" t="s">
        <v>64286</v>
      </c>
      <c r="C10684" s="8" t="s">
        <v>21326</v>
      </c>
      <c r="D10684" s="8"/>
      <c r="E10684" s="6"/>
      <c r="F10684" s="6"/>
    </row>
    <row r="10685" spans="1:6" x14ac:dyDescent="0.3">
      <c r="A10685" s="8" t="s">
        <v>21327</v>
      </c>
      <c r="B10685" s="8" t="s">
        <v>64287</v>
      </c>
      <c r="C10685" s="8" t="s">
        <v>21328</v>
      </c>
      <c r="D10685" s="8"/>
      <c r="E10685" s="6"/>
      <c r="F10685" s="6"/>
    </row>
    <row r="10686" spans="1:6" x14ac:dyDescent="0.3">
      <c r="A10686" s="8" t="s">
        <v>21329</v>
      </c>
      <c r="B10686" s="8" t="s">
        <v>64288</v>
      </c>
      <c r="C10686" s="8" t="s">
        <v>21330</v>
      </c>
      <c r="D10686" s="8"/>
      <c r="E10686" s="6"/>
      <c r="F10686" s="6"/>
    </row>
    <row r="10687" spans="1:6" x14ac:dyDescent="0.3">
      <c r="A10687" s="8" t="s">
        <v>21331</v>
      </c>
      <c r="B10687" s="8" t="s">
        <v>64289</v>
      </c>
      <c r="C10687" s="8" t="s">
        <v>21332</v>
      </c>
      <c r="D10687" s="8"/>
      <c r="E10687" s="6"/>
      <c r="F10687" s="6"/>
    </row>
    <row r="10688" spans="1:6" x14ac:dyDescent="0.3">
      <c r="A10688" s="8" t="s">
        <v>21333</v>
      </c>
      <c r="B10688" s="8" t="s">
        <v>64290</v>
      </c>
      <c r="C10688" s="8" t="s">
        <v>21334</v>
      </c>
      <c r="D10688" s="8"/>
      <c r="E10688" s="6"/>
      <c r="F10688" s="6"/>
    </row>
    <row r="10689" spans="1:6" x14ac:dyDescent="0.3">
      <c r="A10689" s="8" t="s">
        <v>21335</v>
      </c>
      <c r="B10689" s="8" t="s">
        <v>64291</v>
      </c>
      <c r="C10689" s="8" t="s">
        <v>21336</v>
      </c>
      <c r="D10689" s="8"/>
      <c r="E10689" s="6"/>
      <c r="F10689" s="6"/>
    </row>
    <row r="10690" spans="1:6" x14ac:dyDescent="0.3">
      <c r="A10690" s="8" t="s">
        <v>21337</v>
      </c>
      <c r="B10690" s="8" t="s">
        <v>64292</v>
      </c>
      <c r="C10690" s="8" t="s">
        <v>21338</v>
      </c>
      <c r="D10690" s="8"/>
      <c r="E10690" s="6"/>
      <c r="F10690" s="6"/>
    </row>
    <row r="10691" spans="1:6" x14ac:dyDescent="0.3">
      <c r="A10691" s="8" t="s">
        <v>21339</v>
      </c>
      <c r="B10691" s="8" t="s">
        <v>64293</v>
      </c>
      <c r="C10691" s="8" t="s">
        <v>21340</v>
      </c>
      <c r="D10691" s="8"/>
      <c r="E10691" s="6"/>
      <c r="F10691" s="6"/>
    </row>
    <row r="10692" spans="1:6" x14ac:dyDescent="0.3">
      <c r="A10692" s="8" t="s">
        <v>21341</v>
      </c>
      <c r="B10692" s="8" t="s">
        <v>64294</v>
      </c>
      <c r="C10692" s="8" t="s">
        <v>21342</v>
      </c>
      <c r="D10692" s="8"/>
      <c r="E10692" s="6"/>
      <c r="F10692" s="6"/>
    </row>
    <row r="10693" spans="1:6" x14ac:dyDescent="0.3">
      <c r="A10693" s="8" t="s">
        <v>21343</v>
      </c>
      <c r="B10693" s="8" t="s">
        <v>64295</v>
      </c>
      <c r="C10693" s="8" t="s">
        <v>21344</v>
      </c>
      <c r="D10693" s="8"/>
      <c r="E10693" s="6"/>
      <c r="F10693" s="6"/>
    </row>
    <row r="10694" spans="1:6" x14ac:dyDescent="0.3">
      <c r="A10694" s="8" t="s">
        <v>21345</v>
      </c>
      <c r="B10694" s="8" t="s">
        <v>64296</v>
      </c>
      <c r="C10694" s="8" t="s">
        <v>21346</v>
      </c>
      <c r="D10694" s="8"/>
      <c r="E10694" s="6"/>
      <c r="F10694" s="6"/>
    </row>
    <row r="10695" spans="1:6" x14ac:dyDescent="0.3">
      <c r="A10695" s="8" t="s">
        <v>21347</v>
      </c>
      <c r="B10695" s="8" t="s">
        <v>64297</v>
      </c>
      <c r="C10695" s="8" t="s">
        <v>21348</v>
      </c>
      <c r="D10695" s="8"/>
      <c r="E10695" s="6"/>
      <c r="F10695" s="6"/>
    </row>
    <row r="10696" spans="1:6" x14ac:dyDescent="0.3">
      <c r="A10696" s="8" t="s">
        <v>21349</v>
      </c>
      <c r="B10696" s="8" t="s">
        <v>64298</v>
      </c>
      <c r="C10696" s="8" t="s">
        <v>21350</v>
      </c>
      <c r="D10696" s="8"/>
      <c r="E10696" s="6"/>
      <c r="F10696" s="6"/>
    </row>
    <row r="10697" spans="1:6" x14ac:dyDescent="0.3">
      <c r="A10697" s="8" t="s">
        <v>21351</v>
      </c>
      <c r="B10697" s="8" t="s">
        <v>64299</v>
      </c>
      <c r="C10697" s="8" t="s">
        <v>21352</v>
      </c>
      <c r="D10697" s="8"/>
      <c r="E10697" s="6"/>
      <c r="F10697" s="6"/>
    </row>
    <row r="10698" spans="1:6" x14ac:dyDescent="0.3">
      <c r="A10698" s="8" t="s">
        <v>21353</v>
      </c>
      <c r="B10698" s="8" t="s">
        <v>64300</v>
      </c>
      <c r="C10698" s="8" t="s">
        <v>21354</v>
      </c>
      <c r="D10698" s="8"/>
      <c r="E10698" s="6"/>
      <c r="F10698" s="6"/>
    </row>
    <row r="10699" spans="1:6" x14ac:dyDescent="0.3">
      <c r="A10699" s="8" t="s">
        <v>21355</v>
      </c>
      <c r="B10699" s="8" t="s">
        <v>64301</v>
      </c>
      <c r="C10699" s="8" t="s">
        <v>21356</v>
      </c>
      <c r="D10699" s="8"/>
      <c r="E10699" s="6"/>
      <c r="F10699" s="6"/>
    </row>
    <row r="10700" spans="1:6" x14ac:dyDescent="0.3">
      <c r="A10700" s="8" t="s">
        <v>21357</v>
      </c>
      <c r="B10700" s="8" t="s">
        <v>64302</v>
      </c>
      <c r="C10700" s="8" t="s">
        <v>21358</v>
      </c>
      <c r="D10700" s="8"/>
      <c r="E10700" s="6"/>
      <c r="F10700" s="6"/>
    </row>
    <row r="10701" spans="1:6" x14ac:dyDescent="0.3">
      <c r="A10701" s="8" t="s">
        <v>21359</v>
      </c>
      <c r="B10701" s="8" t="s">
        <v>64303</v>
      </c>
      <c r="C10701" s="8" t="s">
        <v>21360</v>
      </c>
      <c r="D10701" s="8"/>
      <c r="E10701" s="6"/>
      <c r="F10701" s="6"/>
    </row>
    <row r="10702" spans="1:6" x14ac:dyDescent="0.3">
      <c r="A10702" s="8" t="s">
        <v>21361</v>
      </c>
      <c r="B10702" s="8" t="s">
        <v>64304</v>
      </c>
      <c r="C10702" s="8" t="s">
        <v>21362</v>
      </c>
      <c r="D10702" s="8"/>
      <c r="E10702" s="6"/>
      <c r="F10702" s="6"/>
    </row>
    <row r="10703" spans="1:6" x14ac:dyDescent="0.3">
      <c r="A10703" s="8" t="s">
        <v>21363</v>
      </c>
      <c r="B10703" s="8" t="s">
        <v>64305</v>
      </c>
      <c r="C10703" s="8" t="s">
        <v>21364</v>
      </c>
      <c r="D10703" s="8"/>
      <c r="E10703" s="6"/>
      <c r="F10703" s="6"/>
    </row>
    <row r="10704" spans="1:6" x14ac:dyDescent="0.3">
      <c r="A10704" s="8" t="s">
        <v>21365</v>
      </c>
      <c r="B10704" s="8" t="s">
        <v>64306</v>
      </c>
      <c r="C10704" s="8" t="s">
        <v>21366</v>
      </c>
      <c r="D10704" s="8"/>
      <c r="E10704" s="6"/>
      <c r="F10704" s="6"/>
    </row>
    <row r="10705" spans="1:6" x14ac:dyDescent="0.3">
      <c r="A10705" s="8" t="s">
        <v>21367</v>
      </c>
      <c r="B10705" s="8" t="s">
        <v>64307</v>
      </c>
      <c r="C10705" s="8" t="s">
        <v>21368</v>
      </c>
      <c r="D10705" s="8"/>
      <c r="E10705" s="6"/>
      <c r="F10705" s="6"/>
    </row>
    <row r="10706" spans="1:6" x14ac:dyDescent="0.3">
      <c r="A10706" s="8" t="s">
        <v>21369</v>
      </c>
      <c r="B10706" s="8" t="s">
        <v>64308</v>
      </c>
      <c r="C10706" s="8" t="s">
        <v>21370</v>
      </c>
      <c r="D10706" s="8"/>
      <c r="E10706" s="6"/>
      <c r="F10706" s="6"/>
    </row>
    <row r="10707" spans="1:6" x14ac:dyDescent="0.3">
      <c r="A10707" s="8" t="s">
        <v>21371</v>
      </c>
      <c r="B10707" s="8" t="s">
        <v>64309</v>
      </c>
      <c r="C10707" s="8" t="s">
        <v>21372</v>
      </c>
      <c r="D10707" s="8"/>
      <c r="E10707" s="6"/>
      <c r="F10707" s="6"/>
    </row>
    <row r="10708" spans="1:6" x14ac:dyDescent="0.3">
      <c r="A10708" s="8" t="s">
        <v>21373</v>
      </c>
      <c r="B10708" s="8" t="s">
        <v>64310</v>
      </c>
      <c r="C10708" s="8" t="s">
        <v>21374</v>
      </c>
      <c r="D10708" s="8"/>
      <c r="E10708" s="6"/>
      <c r="F10708" s="6"/>
    </row>
    <row r="10709" spans="1:6" x14ac:dyDescent="0.3">
      <c r="A10709" s="8" t="s">
        <v>21375</v>
      </c>
      <c r="B10709" s="8" t="s">
        <v>64311</v>
      </c>
      <c r="C10709" s="8" t="s">
        <v>21376</v>
      </c>
      <c r="D10709" s="8"/>
      <c r="E10709" s="6"/>
      <c r="F10709" s="6"/>
    </row>
    <row r="10710" spans="1:6" x14ac:dyDescent="0.3">
      <c r="A10710" s="8" t="s">
        <v>21377</v>
      </c>
      <c r="B10710" s="8" t="s">
        <v>64312</v>
      </c>
      <c r="C10710" s="8" t="s">
        <v>21378</v>
      </c>
      <c r="D10710" s="8"/>
      <c r="E10710" s="6"/>
      <c r="F10710" s="6"/>
    </row>
    <row r="10711" spans="1:6" x14ac:dyDescent="0.3">
      <c r="A10711" s="8" t="s">
        <v>21379</v>
      </c>
      <c r="B10711" s="8" t="s">
        <v>64313</v>
      </c>
      <c r="C10711" s="8" t="s">
        <v>21380</v>
      </c>
      <c r="D10711" s="8"/>
      <c r="E10711" s="6"/>
      <c r="F10711" s="6"/>
    </row>
    <row r="10712" spans="1:6" x14ac:dyDescent="0.3">
      <c r="A10712" s="8" t="s">
        <v>21381</v>
      </c>
      <c r="B10712" s="8" t="s">
        <v>64314</v>
      </c>
      <c r="C10712" s="8" t="s">
        <v>21382</v>
      </c>
      <c r="D10712" s="8"/>
      <c r="E10712" s="6"/>
      <c r="F10712" s="6"/>
    </row>
    <row r="10713" spans="1:6" x14ac:dyDescent="0.3">
      <c r="A10713" s="8" t="s">
        <v>21383</v>
      </c>
      <c r="B10713" s="8" t="s">
        <v>64315</v>
      </c>
      <c r="C10713" s="8" t="s">
        <v>21384</v>
      </c>
      <c r="D10713" s="8"/>
      <c r="E10713" s="6"/>
      <c r="F10713" s="6"/>
    </row>
    <row r="10714" spans="1:6" x14ac:dyDescent="0.3">
      <c r="A10714" s="8" t="s">
        <v>21385</v>
      </c>
      <c r="B10714" s="8" t="s">
        <v>64316</v>
      </c>
      <c r="C10714" s="8" t="s">
        <v>21386</v>
      </c>
      <c r="D10714" s="8"/>
      <c r="E10714" s="6"/>
      <c r="F10714" s="6"/>
    </row>
    <row r="10715" spans="1:6" x14ac:dyDescent="0.3">
      <c r="A10715" s="8" t="s">
        <v>21387</v>
      </c>
      <c r="B10715" s="8" t="s">
        <v>64317</v>
      </c>
      <c r="C10715" s="8" t="s">
        <v>21388</v>
      </c>
      <c r="D10715" s="8"/>
      <c r="E10715" s="6"/>
      <c r="F10715" s="6"/>
    </row>
    <row r="10716" spans="1:6" x14ac:dyDescent="0.3">
      <c r="A10716" s="8" t="s">
        <v>21389</v>
      </c>
      <c r="B10716" s="8" t="s">
        <v>64318</v>
      </c>
      <c r="C10716" s="8" t="s">
        <v>21390</v>
      </c>
      <c r="D10716" s="8"/>
      <c r="E10716" s="6"/>
      <c r="F10716" s="6"/>
    </row>
    <row r="10717" spans="1:6" x14ac:dyDescent="0.3">
      <c r="A10717" s="8" t="s">
        <v>21391</v>
      </c>
      <c r="B10717" s="8" t="s">
        <v>64319</v>
      </c>
      <c r="C10717" s="8" t="s">
        <v>21392</v>
      </c>
      <c r="D10717" s="8"/>
      <c r="E10717" s="6"/>
      <c r="F10717" s="6"/>
    </row>
    <row r="10718" spans="1:6" x14ac:dyDescent="0.3">
      <c r="A10718" s="8" t="s">
        <v>21393</v>
      </c>
      <c r="B10718" s="8" t="s">
        <v>64320</v>
      </c>
      <c r="C10718" s="8" t="s">
        <v>21394</v>
      </c>
      <c r="D10718" s="8"/>
      <c r="E10718" s="6"/>
      <c r="F10718" s="6"/>
    </row>
    <row r="10719" spans="1:6" x14ac:dyDescent="0.3">
      <c r="A10719" s="8" t="s">
        <v>21395</v>
      </c>
      <c r="B10719" s="8" t="s">
        <v>64321</v>
      </c>
      <c r="C10719" s="8" t="s">
        <v>21396</v>
      </c>
      <c r="D10719" s="8"/>
      <c r="E10719" s="6"/>
      <c r="F10719" s="6"/>
    </row>
    <row r="10720" spans="1:6" x14ac:dyDescent="0.3">
      <c r="A10720" s="8" t="s">
        <v>21397</v>
      </c>
      <c r="B10720" s="8" t="s">
        <v>64322</v>
      </c>
      <c r="C10720" s="8" t="s">
        <v>21398</v>
      </c>
      <c r="D10720" s="8"/>
      <c r="E10720" s="6"/>
      <c r="F10720" s="6"/>
    </row>
    <row r="10721" spans="1:6" x14ac:dyDescent="0.3">
      <c r="A10721" s="8" t="s">
        <v>21399</v>
      </c>
      <c r="B10721" s="8" t="s">
        <v>64323</v>
      </c>
      <c r="C10721" s="8" t="s">
        <v>21400</v>
      </c>
      <c r="D10721" s="8"/>
      <c r="E10721" s="6"/>
      <c r="F10721" s="6"/>
    </row>
    <row r="10722" spans="1:6" x14ac:dyDescent="0.3">
      <c r="A10722" s="8" t="s">
        <v>21401</v>
      </c>
      <c r="B10722" s="8" t="s">
        <v>64324</v>
      </c>
      <c r="C10722" s="8" t="s">
        <v>21402</v>
      </c>
      <c r="D10722" s="8"/>
      <c r="E10722" s="6"/>
      <c r="F10722" s="6"/>
    </row>
    <row r="10723" spans="1:6" x14ac:dyDescent="0.3">
      <c r="A10723" s="8" t="s">
        <v>21403</v>
      </c>
      <c r="B10723" s="8" t="s">
        <v>64325</v>
      </c>
      <c r="C10723" s="8" t="s">
        <v>21404</v>
      </c>
      <c r="D10723" s="8"/>
      <c r="E10723" s="6"/>
      <c r="F10723" s="6"/>
    </row>
    <row r="10724" spans="1:6" x14ac:dyDescent="0.3">
      <c r="A10724" s="8" t="s">
        <v>21405</v>
      </c>
      <c r="B10724" s="8" t="s">
        <v>64326</v>
      </c>
      <c r="C10724" s="8" t="s">
        <v>21406</v>
      </c>
      <c r="D10724" s="8"/>
      <c r="E10724" s="6"/>
      <c r="F10724" s="6"/>
    </row>
    <row r="10725" spans="1:6" x14ac:dyDescent="0.3">
      <c r="A10725" s="8" t="s">
        <v>21407</v>
      </c>
      <c r="B10725" s="8" t="s">
        <v>64327</v>
      </c>
      <c r="C10725" s="8" t="s">
        <v>21408</v>
      </c>
      <c r="D10725" s="8"/>
      <c r="E10725" s="6"/>
      <c r="F10725" s="6"/>
    </row>
    <row r="10726" spans="1:6" x14ac:dyDescent="0.3">
      <c r="A10726" s="8" t="s">
        <v>21409</v>
      </c>
      <c r="B10726" s="8" t="s">
        <v>64328</v>
      </c>
      <c r="C10726" s="8" t="s">
        <v>21410</v>
      </c>
      <c r="D10726" s="8"/>
      <c r="E10726" s="6"/>
      <c r="F10726" s="6"/>
    </row>
    <row r="10727" spans="1:6" x14ac:dyDescent="0.3">
      <c r="A10727" s="8" t="s">
        <v>21411</v>
      </c>
      <c r="B10727" s="8" t="s">
        <v>64329</v>
      </c>
      <c r="C10727" s="8" t="s">
        <v>21412</v>
      </c>
      <c r="D10727" s="8"/>
      <c r="E10727" s="6"/>
      <c r="F10727" s="6"/>
    </row>
    <row r="10728" spans="1:6" x14ac:dyDescent="0.3">
      <c r="A10728" s="8" t="s">
        <v>21413</v>
      </c>
      <c r="B10728" s="8" t="s">
        <v>64330</v>
      </c>
      <c r="C10728" s="8" t="s">
        <v>21414</v>
      </c>
      <c r="D10728" s="8"/>
      <c r="E10728" s="6"/>
      <c r="F10728" s="6"/>
    </row>
    <row r="10729" spans="1:6" x14ac:dyDescent="0.3">
      <c r="A10729" s="8" t="s">
        <v>21415</v>
      </c>
      <c r="B10729" s="8" t="s">
        <v>64331</v>
      </c>
      <c r="C10729" s="8" t="s">
        <v>21416</v>
      </c>
      <c r="D10729" s="8"/>
      <c r="E10729" s="6"/>
      <c r="F10729" s="6"/>
    </row>
    <row r="10730" spans="1:6" x14ac:dyDescent="0.3">
      <c r="A10730" s="8" t="s">
        <v>21417</v>
      </c>
      <c r="B10730" s="8" t="s">
        <v>64332</v>
      </c>
      <c r="C10730" s="8" t="s">
        <v>21418</v>
      </c>
      <c r="D10730" s="8"/>
      <c r="E10730" s="6"/>
      <c r="F10730" s="6"/>
    </row>
    <row r="10731" spans="1:6" x14ac:dyDescent="0.3">
      <c r="A10731" s="8" t="s">
        <v>21419</v>
      </c>
      <c r="B10731" s="8" t="s">
        <v>64333</v>
      </c>
      <c r="C10731" s="8" t="s">
        <v>21420</v>
      </c>
      <c r="D10731" s="8"/>
      <c r="E10731" s="6"/>
      <c r="F10731" s="6"/>
    </row>
    <row r="10732" spans="1:6" x14ac:dyDescent="0.3">
      <c r="A10732" s="8" t="s">
        <v>21421</v>
      </c>
      <c r="B10732" s="8" t="s">
        <v>64334</v>
      </c>
      <c r="C10732" s="8" t="s">
        <v>21422</v>
      </c>
      <c r="D10732" s="8"/>
      <c r="E10732" s="6"/>
      <c r="F10732" s="6"/>
    </row>
    <row r="10733" spans="1:6" x14ac:dyDescent="0.3">
      <c r="A10733" s="8" t="s">
        <v>21423</v>
      </c>
      <c r="B10733" s="8" t="s">
        <v>64335</v>
      </c>
      <c r="C10733" s="8" t="s">
        <v>21424</v>
      </c>
      <c r="D10733" s="8"/>
      <c r="E10733" s="6"/>
      <c r="F10733" s="6"/>
    </row>
    <row r="10734" spans="1:6" x14ac:dyDescent="0.3">
      <c r="A10734" s="8" t="s">
        <v>21425</v>
      </c>
      <c r="B10734" s="8" t="s">
        <v>64336</v>
      </c>
      <c r="C10734" s="8" t="s">
        <v>21426</v>
      </c>
      <c r="D10734" s="8"/>
      <c r="E10734" s="6"/>
      <c r="F10734" s="6"/>
    </row>
    <row r="10735" spans="1:6" x14ac:dyDescent="0.3">
      <c r="A10735" s="8" t="s">
        <v>21427</v>
      </c>
      <c r="B10735" s="8" t="s">
        <v>64337</v>
      </c>
      <c r="C10735" s="8" t="s">
        <v>21428</v>
      </c>
      <c r="D10735" s="8"/>
      <c r="E10735" s="6"/>
      <c r="F10735" s="6"/>
    </row>
    <row r="10736" spans="1:6" x14ac:dyDescent="0.3">
      <c r="A10736" s="8" t="s">
        <v>21429</v>
      </c>
      <c r="B10736" s="8" t="s">
        <v>64338</v>
      </c>
      <c r="C10736" s="8" t="s">
        <v>21430</v>
      </c>
      <c r="D10736" s="8"/>
      <c r="E10736" s="6"/>
      <c r="F10736" s="6"/>
    </row>
    <row r="10737" spans="1:6" x14ac:dyDescent="0.3">
      <c r="A10737" s="8" t="s">
        <v>21431</v>
      </c>
      <c r="B10737" s="8" t="s">
        <v>64339</v>
      </c>
      <c r="C10737" s="8" t="s">
        <v>21432</v>
      </c>
      <c r="D10737" s="8"/>
      <c r="E10737" s="6"/>
      <c r="F10737" s="6"/>
    </row>
    <row r="10738" spans="1:6" x14ac:dyDescent="0.3">
      <c r="A10738" s="8" t="s">
        <v>21433</v>
      </c>
      <c r="B10738" s="8" t="s">
        <v>64340</v>
      </c>
      <c r="C10738" s="8" t="s">
        <v>21434</v>
      </c>
      <c r="D10738" s="8"/>
      <c r="E10738" s="6"/>
      <c r="F10738" s="6"/>
    </row>
    <row r="10739" spans="1:6" x14ac:dyDescent="0.3">
      <c r="A10739" s="8" t="s">
        <v>21435</v>
      </c>
      <c r="B10739" s="8" t="s">
        <v>64341</v>
      </c>
      <c r="C10739" s="8" t="s">
        <v>21436</v>
      </c>
      <c r="D10739" s="8"/>
      <c r="E10739" s="6"/>
      <c r="F10739" s="6"/>
    </row>
    <row r="10740" spans="1:6" x14ac:dyDescent="0.3">
      <c r="A10740" s="8" t="s">
        <v>21437</v>
      </c>
      <c r="B10740" s="8" t="s">
        <v>64342</v>
      </c>
      <c r="C10740" s="8" t="s">
        <v>21438</v>
      </c>
      <c r="D10740" s="8"/>
      <c r="E10740" s="6"/>
      <c r="F10740" s="6"/>
    </row>
    <row r="10741" spans="1:6" x14ac:dyDescent="0.3">
      <c r="A10741" s="8" t="s">
        <v>21439</v>
      </c>
      <c r="B10741" s="8" t="s">
        <v>64343</v>
      </c>
      <c r="C10741" s="8" t="s">
        <v>21440</v>
      </c>
      <c r="D10741" s="8"/>
      <c r="E10741" s="6"/>
      <c r="F10741" s="6"/>
    </row>
    <row r="10742" spans="1:6" x14ac:dyDescent="0.3">
      <c r="A10742" s="8" t="s">
        <v>21441</v>
      </c>
      <c r="B10742" s="8" t="s">
        <v>64344</v>
      </c>
      <c r="C10742" s="8" t="s">
        <v>21442</v>
      </c>
      <c r="D10742" s="8"/>
      <c r="E10742" s="6"/>
      <c r="F10742" s="6"/>
    </row>
    <row r="10743" spans="1:6" x14ac:dyDescent="0.3">
      <c r="A10743" s="8" t="s">
        <v>21443</v>
      </c>
      <c r="B10743" s="8" t="s">
        <v>64345</v>
      </c>
      <c r="C10743" s="8" t="s">
        <v>21444</v>
      </c>
      <c r="D10743" s="8"/>
      <c r="E10743" s="6"/>
      <c r="F10743" s="6"/>
    </row>
    <row r="10744" spans="1:6" x14ac:dyDescent="0.3">
      <c r="A10744" s="8" t="s">
        <v>21445</v>
      </c>
      <c r="B10744" s="8" t="s">
        <v>64346</v>
      </c>
      <c r="C10744" s="8" t="s">
        <v>21446</v>
      </c>
      <c r="D10744" s="8"/>
      <c r="E10744" s="6"/>
      <c r="F10744" s="6"/>
    </row>
    <row r="10745" spans="1:6" x14ac:dyDescent="0.3">
      <c r="A10745" s="8" t="s">
        <v>21447</v>
      </c>
      <c r="B10745" s="8" t="s">
        <v>64347</v>
      </c>
      <c r="C10745" s="8" t="s">
        <v>21448</v>
      </c>
      <c r="D10745" s="8"/>
      <c r="E10745" s="6"/>
      <c r="F10745" s="6"/>
    </row>
    <row r="10746" spans="1:6" x14ac:dyDescent="0.3">
      <c r="A10746" s="8" t="s">
        <v>21449</v>
      </c>
      <c r="B10746" s="8" t="s">
        <v>64348</v>
      </c>
      <c r="C10746" s="8" t="s">
        <v>21450</v>
      </c>
      <c r="D10746" s="8"/>
      <c r="E10746" s="6"/>
      <c r="F10746" s="6"/>
    </row>
    <row r="10747" spans="1:6" x14ac:dyDescent="0.3">
      <c r="A10747" s="8" t="s">
        <v>21451</v>
      </c>
      <c r="B10747" s="8" t="s">
        <v>64349</v>
      </c>
      <c r="C10747" s="8" t="s">
        <v>21452</v>
      </c>
      <c r="D10747" s="8"/>
      <c r="E10747" s="6"/>
      <c r="F10747" s="6"/>
    </row>
    <row r="10748" spans="1:6" x14ac:dyDescent="0.3">
      <c r="A10748" s="8" t="s">
        <v>21453</v>
      </c>
      <c r="B10748" s="8" t="s">
        <v>64350</v>
      </c>
      <c r="C10748" s="8" t="s">
        <v>21454</v>
      </c>
      <c r="D10748" s="8"/>
      <c r="E10748" s="6"/>
      <c r="F10748" s="6"/>
    </row>
    <row r="10749" spans="1:6" x14ac:dyDescent="0.3">
      <c r="A10749" s="8" t="s">
        <v>21455</v>
      </c>
      <c r="B10749" s="8" t="s">
        <v>64351</v>
      </c>
      <c r="C10749" s="8" t="s">
        <v>21456</v>
      </c>
      <c r="D10749" s="8"/>
      <c r="E10749" s="6"/>
      <c r="F10749" s="6"/>
    </row>
    <row r="10750" spans="1:6" x14ac:dyDescent="0.3">
      <c r="A10750" s="8" t="s">
        <v>21457</v>
      </c>
      <c r="B10750" s="8" t="s">
        <v>64352</v>
      </c>
      <c r="C10750" s="8" t="s">
        <v>21458</v>
      </c>
      <c r="D10750" s="8"/>
      <c r="E10750" s="6"/>
      <c r="F10750" s="6"/>
    </row>
    <row r="10751" spans="1:6" x14ac:dyDescent="0.3">
      <c r="A10751" s="8" t="s">
        <v>21459</v>
      </c>
      <c r="B10751" s="8" t="s">
        <v>64353</v>
      </c>
      <c r="C10751" s="8" t="s">
        <v>21460</v>
      </c>
      <c r="D10751" s="8"/>
      <c r="E10751" s="6"/>
      <c r="F10751" s="6"/>
    </row>
    <row r="10752" spans="1:6" x14ac:dyDescent="0.3">
      <c r="A10752" s="8" t="s">
        <v>21461</v>
      </c>
      <c r="B10752" s="8" t="s">
        <v>64354</v>
      </c>
      <c r="C10752" s="8" t="s">
        <v>21462</v>
      </c>
      <c r="D10752" s="8"/>
      <c r="E10752" s="6"/>
      <c r="F10752" s="6"/>
    </row>
    <row r="10753" spans="1:6" x14ac:dyDescent="0.3">
      <c r="A10753" s="8" t="s">
        <v>21463</v>
      </c>
      <c r="B10753" s="8" t="s">
        <v>64355</v>
      </c>
      <c r="C10753" s="8" t="s">
        <v>21464</v>
      </c>
      <c r="D10753" s="8"/>
      <c r="E10753" s="6"/>
      <c r="F10753" s="6"/>
    </row>
    <row r="10754" spans="1:6" x14ac:dyDescent="0.3">
      <c r="A10754" s="8" t="s">
        <v>21465</v>
      </c>
      <c r="B10754" s="8" t="s">
        <v>64356</v>
      </c>
      <c r="C10754" s="8" t="s">
        <v>21466</v>
      </c>
      <c r="D10754" s="8"/>
      <c r="E10754" s="6"/>
      <c r="F10754" s="6"/>
    </row>
    <row r="10755" spans="1:6" x14ac:dyDescent="0.3">
      <c r="A10755" s="8" t="s">
        <v>21467</v>
      </c>
      <c r="B10755" s="8" t="s">
        <v>64357</v>
      </c>
      <c r="C10755" s="8" t="s">
        <v>21468</v>
      </c>
      <c r="D10755" s="8"/>
      <c r="E10755" s="6"/>
      <c r="F10755" s="6"/>
    </row>
    <row r="10756" spans="1:6" x14ac:dyDescent="0.3">
      <c r="A10756" s="8" t="s">
        <v>21469</v>
      </c>
      <c r="B10756" s="8" t="s">
        <v>64358</v>
      </c>
      <c r="C10756" s="8" t="s">
        <v>21470</v>
      </c>
      <c r="D10756" s="8"/>
      <c r="E10756" s="6"/>
      <c r="F10756" s="6"/>
    </row>
    <row r="10757" spans="1:6" x14ac:dyDescent="0.3">
      <c r="A10757" s="8" t="s">
        <v>21471</v>
      </c>
      <c r="B10757" s="8" t="s">
        <v>64359</v>
      </c>
      <c r="C10757" s="8" t="s">
        <v>21472</v>
      </c>
      <c r="D10757" s="8"/>
      <c r="E10757" s="6"/>
      <c r="F10757" s="6"/>
    </row>
    <row r="10758" spans="1:6" x14ac:dyDescent="0.3">
      <c r="A10758" s="8" t="s">
        <v>21473</v>
      </c>
      <c r="B10758" s="8" t="s">
        <v>64360</v>
      </c>
      <c r="C10758" s="8" t="s">
        <v>21474</v>
      </c>
      <c r="D10758" s="8"/>
      <c r="E10758" s="6"/>
      <c r="F10758" s="6"/>
    </row>
    <row r="10759" spans="1:6" x14ac:dyDescent="0.3">
      <c r="A10759" s="8" t="s">
        <v>21475</v>
      </c>
      <c r="B10759" s="8" t="s">
        <v>64361</v>
      </c>
      <c r="C10759" s="8" t="s">
        <v>21476</v>
      </c>
      <c r="D10759" s="8"/>
      <c r="E10759" s="6"/>
      <c r="F10759" s="6"/>
    </row>
    <row r="10760" spans="1:6" x14ac:dyDescent="0.3">
      <c r="A10760" s="8" t="s">
        <v>21477</v>
      </c>
      <c r="B10760" s="8" t="s">
        <v>64362</v>
      </c>
      <c r="C10760" s="8" t="s">
        <v>21478</v>
      </c>
      <c r="D10760" s="8"/>
      <c r="E10760" s="6"/>
      <c r="F10760" s="6"/>
    </row>
    <row r="10761" spans="1:6" x14ac:dyDescent="0.3">
      <c r="A10761" s="8" t="s">
        <v>21479</v>
      </c>
      <c r="B10761" s="8" t="s">
        <v>64363</v>
      </c>
      <c r="C10761" s="8" t="s">
        <v>21480</v>
      </c>
      <c r="D10761" s="8"/>
      <c r="E10761" s="6"/>
      <c r="F10761" s="6"/>
    </row>
    <row r="10762" spans="1:6" x14ac:dyDescent="0.3">
      <c r="A10762" s="8" t="s">
        <v>21481</v>
      </c>
      <c r="B10762" s="8" t="s">
        <v>64364</v>
      </c>
      <c r="C10762" s="8" t="s">
        <v>21482</v>
      </c>
      <c r="D10762" s="8"/>
      <c r="E10762" s="6"/>
      <c r="F10762" s="6"/>
    </row>
    <row r="10763" spans="1:6" x14ac:dyDescent="0.3">
      <c r="A10763" s="8" t="s">
        <v>21483</v>
      </c>
      <c r="B10763" s="8" t="s">
        <v>64365</v>
      </c>
      <c r="C10763" s="8" t="s">
        <v>21484</v>
      </c>
      <c r="D10763" s="8"/>
      <c r="E10763" s="6"/>
      <c r="F10763" s="6"/>
    </row>
    <row r="10764" spans="1:6" x14ac:dyDescent="0.3">
      <c r="A10764" s="8" t="s">
        <v>21485</v>
      </c>
      <c r="B10764" s="8" t="s">
        <v>64366</v>
      </c>
      <c r="C10764" s="8" t="s">
        <v>21486</v>
      </c>
      <c r="D10764" s="8"/>
      <c r="E10764" s="6"/>
      <c r="F10764" s="6"/>
    </row>
    <row r="10765" spans="1:6" x14ac:dyDescent="0.3">
      <c r="A10765" s="8" t="s">
        <v>21487</v>
      </c>
      <c r="B10765" s="8" t="s">
        <v>64367</v>
      </c>
      <c r="C10765" s="8" t="s">
        <v>21488</v>
      </c>
      <c r="D10765" s="8"/>
      <c r="E10765" s="6"/>
      <c r="F10765" s="6"/>
    </row>
    <row r="10766" spans="1:6" x14ac:dyDescent="0.3">
      <c r="A10766" s="8" t="s">
        <v>21489</v>
      </c>
      <c r="B10766" s="8" t="s">
        <v>64368</v>
      </c>
      <c r="C10766" s="8" t="s">
        <v>21490</v>
      </c>
      <c r="D10766" s="8"/>
      <c r="E10766" s="6"/>
      <c r="F10766" s="6"/>
    </row>
    <row r="10767" spans="1:6" x14ac:dyDescent="0.3">
      <c r="A10767" s="8" t="s">
        <v>21491</v>
      </c>
      <c r="B10767" s="8" t="s">
        <v>64369</v>
      </c>
      <c r="C10767" s="8" t="s">
        <v>21492</v>
      </c>
      <c r="D10767" s="8"/>
      <c r="E10767" s="6"/>
      <c r="F10767" s="6"/>
    </row>
    <row r="10768" spans="1:6" x14ac:dyDescent="0.3">
      <c r="A10768" s="8" t="s">
        <v>21493</v>
      </c>
      <c r="B10768" s="8" t="s">
        <v>64370</v>
      </c>
      <c r="C10768" s="8" t="s">
        <v>21494</v>
      </c>
      <c r="D10768" s="8"/>
      <c r="E10768" s="6"/>
      <c r="F10768" s="6"/>
    </row>
    <row r="10769" spans="1:6" x14ac:dyDescent="0.3">
      <c r="A10769" s="8" t="s">
        <v>21495</v>
      </c>
      <c r="B10769" s="8" t="s">
        <v>64371</v>
      </c>
      <c r="C10769" s="8" t="s">
        <v>21496</v>
      </c>
      <c r="D10769" s="8"/>
      <c r="E10769" s="6"/>
      <c r="F10769" s="6"/>
    </row>
    <row r="10770" spans="1:6" x14ac:dyDescent="0.3">
      <c r="A10770" s="8" t="s">
        <v>21497</v>
      </c>
      <c r="B10770" s="8" t="s">
        <v>64372</v>
      </c>
      <c r="C10770" s="8" t="s">
        <v>21498</v>
      </c>
      <c r="D10770" s="8"/>
      <c r="E10770" s="6"/>
      <c r="F10770" s="6"/>
    </row>
    <row r="10771" spans="1:6" x14ac:dyDescent="0.3">
      <c r="A10771" s="8" t="s">
        <v>21499</v>
      </c>
      <c r="B10771" s="8" t="s">
        <v>64373</v>
      </c>
      <c r="C10771" s="8" t="s">
        <v>21500</v>
      </c>
      <c r="D10771" s="8"/>
      <c r="E10771" s="6"/>
      <c r="F10771" s="6"/>
    </row>
    <row r="10772" spans="1:6" x14ac:dyDescent="0.3">
      <c r="A10772" s="8" t="s">
        <v>21501</v>
      </c>
      <c r="B10772" s="8" t="s">
        <v>64374</v>
      </c>
      <c r="C10772" s="8" t="s">
        <v>21502</v>
      </c>
      <c r="D10772" s="8"/>
      <c r="E10772" s="6"/>
      <c r="F10772" s="6"/>
    </row>
    <row r="10773" spans="1:6" x14ac:dyDescent="0.3">
      <c r="A10773" s="8" t="s">
        <v>21503</v>
      </c>
      <c r="B10773" s="8" t="s">
        <v>64375</v>
      </c>
      <c r="C10773" s="8" t="s">
        <v>21504</v>
      </c>
      <c r="D10773" s="8"/>
      <c r="E10773" s="6"/>
      <c r="F10773" s="6"/>
    </row>
    <row r="10774" spans="1:6" x14ac:dyDescent="0.3">
      <c r="A10774" s="8" t="s">
        <v>21505</v>
      </c>
      <c r="B10774" s="8" t="s">
        <v>64376</v>
      </c>
      <c r="C10774" s="8" t="s">
        <v>21506</v>
      </c>
      <c r="D10774" s="8"/>
      <c r="E10774" s="6"/>
      <c r="F10774" s="6"/>
    </row>
    <row r="10775" spans="1:6" x14ac:dyDescent="0.3">
      <c r="A10775" s="8" t="s">
        <v>21507</v>
      </c>
      <c r="B10775" s="8" t="s">
        <v>64377</v>
      </c>
      <c r="C10775" s="8" t="s">
        <v>21508</v>
      </c>
      <c r="D10775" s="8"/>
      <c r="E10775" s="6"/>
      <c r="F10775" s="6"/>
    </row>
    <row r="10776" spans="1:6" x14ac:dyDescent="0.3">
      <c r="A10776" s="8" t="s">
        <v>21509</v>
      </c>
      <c r="B10776" s="8" t="s">
        <v>64378</v>
      </c>
      <c r="C10776" s="8" t="s">
        <v>21510</v>
      </c>
      <c r="D10776" s="8"/>
      <c r="E10776" s="6"/>
      <c r="F10776" s="6"/>
    </row>
    <row r="10777" spans="1:6" x14ac:dyDescent="0.3">
      <c r="A10777" s="8" t="s">
        <v>21511</v>
      </c>
      <c r="B10777" s="8" t="s">
        <v>64379</v>
      </c>
      <c r="C10777" s="8" t="s">
        <v>21512</v>
      </c>
      <c r="D10777" s="8"/>
      <c r="E10777" s="6"/>
      <c r="F10777" s="6"/>
    </row>
    <row r="10778" spans="1:6" x14ac:dyDescent="0.3">
      <c r="A10778" s="8" t="s">
        <v>21513</v>
      </c>
      <c r="B10778" s="8" t="s">
        <v>64380</v>
      </c>
      <c r="C10778" s="8" t="s">
        <v>21514</v>
      </c>
      <c r="D10778" s="8"/>
      <c r="E10778" s="6"/>
      <c r="F10778" s="6"/>
    </row>
    <row r="10779" spans="1:6" x14ac:dyDescent="0.3">
      <c r="A10779" s="8" t="s">
        <v>21515</v>
      </c>
      <c r="B10779" s="8" t="s">
        <v>64381</v>
      </c>
      <c r="C10779" s="8" t="s">
        <v>21516</v>
      </c>
      <c r="D10779" s="8"/>
      <c r="E10779" s="6"/>
      <c r="F10779" s="6"/>
    </row>
    <row r="10780" spans="1:6" x14ac:dyDescent="0.3">
      <c r="A10780" s="8" t="s">
        <v>21517</v>
      </c>
      <c r="B10780" s="8" t="s">
        <v>64382</v>
      </c>
      <c r="C10780" s="8" t="s">
        <v>21518</v>
      </c>
      <c r="D10780" s="8"/>
      <c r="E10780" s="6"/>
      <c r="F10780" s="6"/>
    </row>
    <row r="10781" spans="1:6" x14ac:dyDescent="0.3">
      <c r="A10781" s="8" t="s">
        <v>21519</v>
      </c>
      <c r="B10781" s="8" t="s">
        <v>64383</v>
      </c>
      <c r="C10781" s="8" t="s">
        <v>21520</v>
      </c>
      <c r="D10781" s="8"/>
      <c r="E10781" s="6"/>
      <c r="F10781" s="6"/>
    </row>
    <row r="10782" spans="1:6" x14ac:dyDescent="0.3">
      <c r="A10782" s="8" t="s">
        <v>21521</v>
      </c>
      <c r="B10782" s="8" t="s">
        <v>64384</v>
      </c>
      <c r="C10782" s="8" t="s">
        <v>21522</v>
      </c>
      <c r="D10782" s="8"/>
      <c r="E10782" s="6"/>
      <c r="F10782" s="6"/>
    </row>
    <row r="10783" spans="1:6" x14ac:dyDescent="0.3">
      <c r="A10783" s="8" t="s">
        <v>21523</v>
      </c>
      <c r="B10783" s="8" t="s">
        <v>64385</v>
      </c>
      <c r="C10783" s="8" t="s">
        <v>21524</v>
      </c>
      <c r="D10783" s="8"/>
      <c r="E10783" s="6"/>
      <c r="F10783" s="6"/>
    </row>
    <row r="10784" spans="1:6" x14ac:dyDescent="0.3">
      <c r="A10784" s="8" t="s">
        <v>21525</v>
      </c>
      <c r="B10784" s="8" t="s">
        <v>64386</v>
      </c>
      <c r="C10784" s="8" t="s">
        <v>21526</v>
      </c>
      <c r="D10784" s="8"/>
      <c r="E10784" s="6"/>
      <c r="F10784" s="6"/>
    </row>
    <row r="10785" spans="1:6" x14ac:dyDescent="0.3">
      <c r="A10785" s="8" t="s">
        <v>21527</v>
      </c>
      <c r="B10785" s="8" t="s">
        <v>64387</v>
      </c>
      <c r="C10785" s="8" t="s">
        <v>21528</v>
      </c>
      <c r="D10785" s="8"/>
      <c r="E10785" s="6"/>
      <c r="F10785" s="6"/>
    </row>
    <row r="10786" spans="1:6" x14ac:dyDescent="0.3">
      <c r="A10786" s="8" t="s">
        <v>21529</v>
      </c>
      <c r="B10786" s="8" t="s">
        <v>64388</v>
      </c>
      <c r="C10786" s="8" t="s">
        <v>21530</v>
      </c>
      <c r="D10786" s="8"/>
      <c r="E10786" s="6"/>
      <c r="F10786" s="6"/>
    </row>
    <row r="10787" spans="1:6" x14ac:dyDescent="0.3">
      <c r="A10787" s="8" t="s">
        <v>21531</v>
      </c>
      <c r="B10787" s="8" t="s">
        <v>64389</v>
      </c>
      <c r="C10787" s="8" t="s">
        <v>21532</v>
      </c>
      <c r="D10787" s="8"/>
      <c r="E10787" s="6"/>
      <c r="F10787" s="6"/>
    </row>
    <row r="10788" spans="1:6" x14ac:dyDescent="0.3">
      <c r="A10788" s="8" t="s">
        <v>21533</v>
      </c>
      <c r="B10788" s="8" t="s">
        <v>64390</v>
      </c>
      <c r="C10788" s="8" t="s">
        <v>21534</v>
      </c>
      <c r="D10788" s="8"/>
      <c r="E10788" s="6"/>
      <c r="F10788" s="6"/>
    </row>
    <row r="10789" spans="1:6" x14ac:dyDescent="0.3">
      <c r="A10789" s="8" t="s">
        <v>21535</v>
      </c>
      <c r="B10789" s="8" t="s">
        <v>64391</v>
      </c>
      <c r="C10789" s="8" t="s">
        <v>21536</v>
      </c>
      <c r="D10789" s="8"/>
      <c r="E10789" s="6"/>
      <c r="F10789" s="6"/>
    </row>
    <row r="10790" spans="1:6" x14ac:dyDescent="0.3">
      <c r="A10790" s="8" t="s">
        <v>21537</v>
      </c>
      <c r="B10790" s="8" t="s">
        <v>64392</v>
      </c>
      <c r="C10790" s="8" t="s">
        <v>21538</v>
      </c>
      <c r="D10790" s="8"/>
      <c r="E10790" s="6"/>
      <c r="F10790" s="6"/>
    </row>
    <row r="10791" spans="1:6" x14ac:dyDescent="0.3">
      <c r="A10791" s="8" t="s">
        <v>21539</v>
      </c>
      <c r="B10791" s="8" t="s">
        <v>64393</v>
      </c>
      <c r="C10791" s="8" t="s">
        <v>21540</v>
      </c>
      <c r="D10791" s="8"/>
      <c r="E10791" s="6"/>
      <c r="F10791" s="6"/>
    </row>
    <row r="10792" spans="1:6" x14ac:dyDescent="0.3">
      <c r="A10792" s="8" t="s">
        <v>21541</v>
      </c>
      <c r="B10792" s="8" t="s">
        <v>64394</v>
      </c>
      <c r="C10792" s="8" t="s">
        <v>21542</v>
      </c>
      <c r="D10792" s="8"/>
      <c r="E10792" s="6"/>
      <c r="F10792" s="6"/>
    </row>
    <row r="10793" spans="1:6" x14ac:dyDescent="0.3">
      <c r="A10793" s="8" t="s">
        <v>21543</v>
      </c>
      <c r="B10793" s="8" t="s">
        <v>64395</v>
      </c>
      <c r="C10793" s="8" t="s">
        <v>21544</v>
      </c>
      <c r="D10793" s="8"/>
      <c r="E10793" s="6"/>
      <c r="F10793" s="6"/>
    </row>
    <row r="10794" spans="1:6" x14ac:dyDescent="0.3">
      <c r="A10794" s="8" t="s">
        <v>21545</v>
      </c>
      <c r="B10794" s="8" t="s">
        <v>64396</v>
      </c>
      <c r="C10794" s="8" t="s">
        <v>21546</v>
      </c>
      <c r="D10794" s="8"/>
      <c r="E10794" s="6"/>
      <c r="F10794" s="6"/>
    </row>
    <row r="10795" spans="1:6" x14ac:dyDescent="0.3">
      <c r="A10795" s="8" t="s">
        <v>21547</v>
      </c>
      <c r="B10795" s="8" t="s">
        <v>64397</v>
      </c>
      <c r="C10795" s="8" t="s">
        <v>21548</v>
      </c>
      <c r="D10795" s="8"/>
      <c r="E10795" s="6"/>
      <c r="F10795" s="6"/>
    </row>
    <row r="10796" spans="1:6" x14ac:dyDescent="0.3">
      <c r="A10796" s="8" t="s">
        <v>21549</v>
      </c>
      <c r="B10796" s="8" t="s">
        <v>64398</v>
      </c>
      <c r="C10796" s="8" t="s">
        <v>21550</v>
      </c>
      <c r="D10796" s="8"/>
      <c r="E10796" s="6"/>
      <c r="F10796" s="6"/>
    </row>
    <row r="10797" spans="1:6" x14ac:dyDescent="0.3">
      <c r="A10797" s="8" t="s">
        <v>21551</v>
      </c>
      <c r="B10797" s="8" t="s">
        <v>64399</v>
      </c>
      <c r="C10797" s="8" t="s">
        <v>21552</v>
      </c>
      <c r="D10797" s="8"/>
      <c r="E10797" s="6"/>
      <c r="F10797" s="6"/>
    </row>
    <row r="10798" spans="1:6" x14ac:dyDescent="0.3">
      <c r="A10798" s="8" t="s">
        <v>21553</v>
      </c>
      <c r="B10798" s="8" t="s">
        <v>64400</v>
      </c>
      <c r="C10798" s="8" t="s">
        <v>21554</v>
      </c>
      <c r="D10798" s="8"/>
      <c r="E10798" s="6"/>
      <c r="F10798" s="6"/>
    </row>
    <row r="10799" spans="1:6" x14ac:dyDescent="0.3">
      <c r="A10799" s="8" t="s">
        <v>21555</v>
      </c>
      <c r="B10799" s="8" t="s">
        <v>64401</v>
      </c>
      <c r="C10799" s="8" t="s">
        <v>21556</v>
      </c>
      <c r="D10799" s="8"/>
      <c r="E10799" s="6"/>
      <c r="F10799" s="6"/>
    </row>
    <row r="10800" spans="1:6" x14ac:dyDescent="0.3">
      <c r="A10800" s="8" t="s">
        <v>21557</v>
      </c>
      <c r="B10800" s="8" t="s">
        <v>64402</v>
      </c>
      <c r="C10800" s="8" t="s">
        <v>21558</v>
      </c>
      <c r="D10800" s="8"/>
      <c r="E10800" s="6"/>
      <c r="F10800" s="6"/>
    </row>
    <row r="10801" spans="1:6" x14ac:dyDescent="0.3">
      <c r="A10801" s="8" t="s">
        <v>21559</v>
      </c>
      <c r="B10801" s="8" t="s">
        <v>64403</v>
      </c>
      <c r="C10801" s="8" t="s">
        <v>21560</v>
      </c>
      <c r="D10801" s="8"/>
      <c r="E10801" s="6"/>
      <c r="F10801" s="6"/>
    </row>
    <row r="10802" spans="1:6" x14ac:dyDescent="0.3">
      <c r="A10802" s="8" t="s">
        <v>21561</v>
      </c>
      <c r="B10802" s="8" t="s">
        <v>64404</v>
      </c>
      <c r="C10802" s="8" t="s">
        <v>21562</v>
      </c>
      <c r="D10802" s="8"/>
      <c r="E10802" s="6"/>
      <c r="F10802" s="6"/>
    </row>
    <row r="10803" spans="1:6" x14ac:dyDescent="0.3">
      <c r="A10803" s="8" t="s">
        <v>21563</v>
      </c>
      <c r="B10803" s="8" t="s">
        <v>64405</v>
      </c>
      <c r="C10803" s="8" t="s">
        <v>21564</v>
      </c>
      <c r="D10803" s="8"/>
      <c r="E10803" s="6"/>
      <c r="F10803" s="6"/>
    </row>
    <row r="10804" spans="1:6" x14ac:dyDescent="0.3">
      <c r="A10804" s="8" t="s">
        <v>21565</v>
      </c>
      <c r="B10804" s="8" t="s">
        <v>64406</v>
      </c>
      <c r="C10804" s="8" t="s">
        <v>21566</v>
      </c>
      <c r="D10804" s="8"/>
      <c r="E10804" s="6"/>
      <c r="F10804" s="6"/>
    </row>
    <row r="10805" spans="1:6" x14ac:dyDescent="0.3">
      <c r="A10805" s="8" t="s">
        <v>21567</v>
      </c>
      <c r="B10805" s="8" t="s">
        <v>64407</v>
      </c>
      <c r="C10805" s="8" t="s">
        <v>21568</v>
      </c>
      <c r="D10805" s="8"/>
      <c r="E10805" s="6"/>
      <c r="F10805" s="6"/>
    </row>
    <row r="10806" spans="1:6" x14ac:dyDescent="0.3">
      <c r="A10806" s="8" t="s">
        <v>21569</v>
      </c>
      <c r="B10806" s="8" t="s">
        <v>64408</v>
      </c>
      <c r="C10806" s="8" t="s">
        <v>21570</v>
      </c>
      <c r="D10806" s="8"/>
      <c r="E10806" s="6"/>
      <c r="F10806" s="6"/>
    </row>
    <row r="10807" spans="1:6" x14ac:dyDescent="0.3">
      <c r="A10807" s="8" t="s">
        <v>21571</v>
      </c>
      <c r="B10807" s="8" t="s">
        <v>64409</v>
      </c>
      <c r="C10807" s="8" t="s">
        <v>21572</v>
      </c>
      <c r="D10807" s="8"/>
      <c r="E10807" s="6"/>
      <c r="F10807" s="6"/>
    </row>
    <row r="10808" spans="1:6" x14ac:dyDescent="0.3">
      <c r="A10808" s="8" t="s">
        <v>21573</v>
      </c>
      <c r="B10808" s="8" t="s">
        <v>64410</v>
      </c>
      <c r="C10808" s="8" t="s">
        <v>21574</v>
      </c>
      <c r="D10808" s="8"/>
      <c r="E10808" s="6"/>
      <c r="F10808" s="6"/>
    </row>
    <row r="10809" spans="1:6" x14ac:dyDescent="0.3">
      <c r="A10809" s="8" t="s">
        <v>21575</v>
      </c>
      <c r="B10809" s="8" t="s">
        <v>64411</v>
      </c>
      <c r="C10809" s="8" t="s">
        <v>21576</v>
      </c>
      <c r="D10809" s="8"/>
      <c r="E10809" s="6"/>
      <c r="F10809" s="6"/>
    </row>
    <row r="10810" spans="1:6" x14ac:dyDescent="0.3">
      <c r="A10810" s="8" t="s">
        <v>21577</v>
      </c>
      <c r="B10810" s="8" t="s">
        <v>64412</v>
      </c>
      <c r="C10810" s="8" t="s">
        <v>21578</v>
      </c>
      <c r="D10810" s="8"/>
      <c r="E10810" s="6"/>
      <c r="F10810" s="6"/>
    </row>
    <row r="10811" spans="1:6" x14ac:dyDescent="0.3">
      <c r="A10811" s="8" t="s">
        <v>21579</v>
      </c>
      <c r="B10811" s="8" t="s">
        <v>64413</v>
      </c>
      <c r="C10811" s="8" t="s">
        <v>21580</v>
      </c>
      <c r="D10811" s="8"/>
      <c r="E10811" s="6"/>
      <c r="F10811" s="6"/>
    </row>
    <row r="10812" spans="1:6" x14ac:dyDescent="0.3">
      <c r="A10812" s="8" t="s">
        <v>21581</v>
      </c>
      <c r="B10812" s="8" t="s">
        <v>64414</v>
      </c>
      <c r="C10812" s="8" t="s">
        <v>21582</v>
      </c>
      <c r="D10812" s="8"/>
      <c r="E10812" s="6"/>
      <c r="F10812" s="6"/>
    </row>
    <row r="10813" spans="1:6" x14ac:dyDescent="0.3">
      <c r="A10813" s="8" t="s">
        <v>21583</v>
      </c>
      <c r="B10813" s="8" t="s">
        <v>64415</v>
      </c>
      <c r="C10813" s="8" t="s">
        <v>21584</v>
      </c>
      <c r="D10813" s="8"/>
      <c r="E10813" s="6"/>
      <c r="F10813" s="6"/>
    </row>
    <row r="10814" spans="1:6" x14ac:dyDescent="0.3">
      <c r="A10814" s="8" t="s">
        <v>21585</v>
      </c>
      <c r="B10814" s="8" t="s">
        <v>64416</v>
      </c>
      <c r="C10814" s="8" t="s">
        <v>21586</v>
      </c>
      <c r="D10814" s="8"/>
      <c r="E10814" s="6"/>
      <c r="F10814" s="6"/>
    </row>
    <row r="10815" spans="1:6" x14ac:dyDescent="0.3">
      <c r="A10815" s="8" t="s">
        <v>21587</v>
      </c>
      <c r="B10815" s="8" t="s">
        <v>64417</v>
      </c>
      <c r="C10815" s="8" t="s">
        <v>21588</v>
      </c>
      <c r="D10815" s="8"/>
      <c r="E10815" s="6"/>
      <c r="F10815" s="6"/>
    </row>
    <row r="10816" spans="1:6" x14ac:dyDescent="0.3">
      <c r="A10816" s="8" t="s">
        <v>21589</v>
      </c>
      <c r="B10816" s="8" t="s">
        <v>64418</v>
      </c>
      <c r="C10816" s="8" t="s">
        <v>21590</v>
      </c>
      <c r="D10816" s="8"/>
      <c r="E10816" s="6"/>
      <c r="F10816" s="6"/>
    </row>
    <row r="10817" spans="1:6" x14ac:dyDescent="0.3">
      <c r="A10817" s="8" t="s">
        <v>21591</v>
      </c>
      <c r="B10817" s="8" t="s">
        <v>64419</v>
      </c>
      <c r="C10817" s="8" t="s">
        <v>21592</v>
      </c>
      <c r="D10817" s="8"/>
      <c r="E10817" s="6"/>
      <c r="F10817" s="6"/>
    </row>
    <row r="10818" spans="1:6" x14ac:dyDescent="0.3">
      <c r="A10818" s="8" t="s">
        <v>21593</v>
      </c>
      <c r="B10818" s="8" t="s">
        <v>64420</v>
      </c>
      <c r="C10818" s="8" t="s">
        <v>21594</v>
      </c>
      <c r="D10818" s="8"/>
      <c r="E10818" s="6"/>
      <c r="F10818" s="6"/>
    </row>
    <row r="10819" spans="1:6" x14ac:dyDescent="0.3">
      <c r="A10819" s="8" t="s">
        <v>21595</v>
      </c>
      <c r="B10819" s="8" t="s">
        <v>64421</v>
      </c>
      <c r="C10819" s="8" t="s">
        <v>21596</v>
      </c>
      <c r="D10819" s="8"/>
      <c r="E10819" s="6"/>
      <c r="F10819" s="6"/>
    </row>
    <row r="10820" spans="1:6" x14ac:dyDescent="0.3">
      <c r="A10820" s="8" t="s">
        <v>21597</v>
      </c>
      <c r="B10820" s="8" t="s">
        <v>64422</v>
      </c>
      <c r="C10820" s="8" t="s">
        <v>21598</v>
      </c>
      <c r="D10820" s="8"/>
      <c r="E10820" s="6"/>
      <c r="F10820" s="6"/>
    </row>
    <row r="10821" spans="1:6" x14ac:dyDescent="0.3">
      <c r="A10821" s="8" t="s">
        <v>21599</v>
      </c>
      <c r="B10821" s="8" t="s">
        <v>64423</v>
      </c>
      <c r="C10821" s="8" t="s">
        <v>21600</v>
      </c>
      <c r="D10821" s="8"/>
      <c r="E10821" s="6"/>
      <c r="F10821" s="6"/>
    </row>
    <row r="10822" spans="1:6" x14ac:dyDescent="0.3">
      <c r="A10822" s="8" t="s">
        <v>21601</v>
      </c>
      <c r="B10822" s="8" t="s">
        <v>64424</v>
      </c>
      <c r="C10822" s="8" t="s">
        <v>21602</v>
      </c>
      <c r="D10822" s="8"/>
      <c r="E10822" s="6"/>
      <c r="F10822" s="6"/>
    </row>
    <row r="10823" spans="1:6" x14ac:dyDescent="0.3">
      <c r="A10823" s="8" t="s">
        <v>21603</v>
      </c>
      <c r="B10823" s="8" t="s">
        <v>64425</v>
      </c>
      <c r="C10823" s="8" t="s">
        <v>21604</v>
      </c>
      <c r="D10823" s="8"/>
      <c r="E10823" s="6"/>
      <c r="F10823" s="6"/>
    </row>
    <row r="10824" spans="1:6" x14ac:dyDescent="0.3">
      <c r="A10824" s="8" t="s">
        <v>21605</v>
      </c>
      <c r="B10824" s="8" t="s">
        <v>64426</v>
      </c>
      <c r="C10824" s="8" t="s">
        <v>21606</v>
      </c>
      <c r="D10824" s="8"/>
      <c r="E10824" s="6"/>
      <c r="F10824" s="6"/>
    </row>
    <row r="10825" spans="1:6" x14ac:dyDescent="0.3">
      <c r="A10825" s="8" t="s">
        <v>21607</v>
      </c>
      <c r="B10825" s="8" t="s">
        <v>64427</v>
      </c>
      <c r="C10825" s="8" t="s">
        <v>21608</v>
      </c>
      <c r="D10825" s="8"/>
      <c r="E10825" s="6"/>
      <c r="F10825" s="6"/>
    </row>
    <row r="10826" spans="1:6" x14ac:dyDescent="0.3">
      <c r="A10826" s="8" t="s">
        <v>21609</v>
      </c>
      <c r="B10826" s="8" t="s">
        <v>64428</v>
      </c>
      <c r="C10826" s="8" t="s">
        <v>21610</v>
      </c>
      <c r="D10826" s="8"/>
      <c r="E10826" s="6"/>
      <c r="F10826" s="6"/>
    </row>
    <row r="10827" spans="1:6" x14ac:dyDescent="0.3">
      <c r="A10827" s="8" t="s">
        <v>21611</v>
      </c>
      <c r="B10827" s="8" t="s">
        <v>64429</v>
      </c>
      <c r="C10827" s="8" t="s">
        <v>21612</v>
      </c>
      <c r="D10827" s="8"/>
      <c r="E10827" s="6"/>
      <c r="F10827" s="6"/>
    </row>
    <row r="10828" spans="1:6" x14ac:dyDescent="0.3">
      <c r="A10828" s="8" t="s">
        <v>21613</v>
      </c>
      <c r="B10828" s="8" t="s">
        <v>64430</v>
      </c>
      <c r="C10828" s="8" t="s">
        <v>21614</v>
      </c>
      <c r="D10828" s="8"/>
      <c r="E10828" s="6"/>
      <c r="F10828" s="6"/>
    </row>
    <row r="10829" spans="1:6" x14ac:dyDescent="0.3">
      <c r="A10829" s="8" t="s">
        <v>21615</v>
      </c>
      <c r="B10829" s="8" t="s">
        <v>64431</v>
      </c>
      <c r="C10829" s="8" t="s">
        <v>21616</v>
      </c>
      <c r="D10829" s="8"/>
      <c r="E10829" s="6"/>
      <c r="F10829" s="6"/>
    </row>
    <row r="10830" spans="1:6" x14ac:dyDescent="0.3">
      <c r="A10830" s="8" t="s">
        <v>21617</v>
      </c>
      <c r="B10830" s="8" t="s">
        <v>64432</v>
      </c>
      <c r="C10830" s="8" t="s">
        <v>21618</v>
      </c>
      <c r="D10830" s="8"/>
      <c r="E10830" s="6"/>
      <c r="F10830" s="6"/>
    </row>
    <row r="10831" spans="1:6" x14ac:dyDescent="0.3">
      <c r="A10831" s="8" t="s">
        <v>21619</v>
      </c>
      <c r="B10831" s="8" t="s">
        <v>64433</v>
      </c>
      <c r="C10831" s="8" t="s">
        <v>21620</v>
      </c>
      <c r="D10831" s="8"/>
      <c r="E10831" s="6"/>
      <c r="F10831" s="6"/>
    </row>
    <row r="10832" spans="1:6" x14ac:dyDescent="0.3">
      <c r="A10832" s="8" t="s">
        <v>21621</v>
      </c>
      <c r="B10832" s="8" t="s">
        <v>64434</v>
      </c>
      <c r="C10832" s="8" t="s">
        <v>21622</v>
      </c>
      <c r="D10832" s="8"/>
      <c r="E10832" s="6"/>
      <c r="F10832" s="6"/>
    </row>
    <row r="10833" spans="1:6" x14ac:dyDescent="0.3">
      <c r="A10833" s="8" t="s">
        <v>21623</v>
      </c>
      <c r="B10833" s="8" t="s">
        <v>64435</v>
      </c>
      <c r="C10833" s="8" t="s">
        <v>21624</v>
      </c>
      <c r="D10833" s="8"/>
      <c r="E10833" s="6"/>
      <c r="F10833" s="6"/>
    </row>
    <row r="10834" spans="1:6" x14ac:dyDescent="0.3">
      <c r="A10834" s="8" t="s">
        <v>21625</v>
      </c>
      <c r="B10834" s="8" t="s">
        <v>64436</v>
      </c>
      <c r="C10834" s="8" t="s">
        <v>21626</v>
      </c>
      <c r="D10834" s="8"/>
      <c r="E10834" s="6"/>
      <c r="F10834" s="6"/>
    </row>
    <row r="10835" spans="1:6" x14ac:dyDescent="0.3">
      <c r="A10835" s="8" t="s">
        <v>21627</v>
      </c>
      <c r="B10835" s="8" t="s">
        <v>64437</v>
      </c>
      <c r="C10835" s="8" t="s">
        <v>21628</v>
      </c>
      <c r="D10835" s="8"/>
      <c r="E10835" s="6"/>
      <c r="F10835" s="6"/>
    </row>
    <row r="10836" spans="1:6" x14ac:dyDescent="0.3">
      <c r="A10836" s="8" t="s">
        <v>21629</v>
      </c>
      <c r="B10836" s="8" t="s">
        <v>64438</v>
      </c>
      <c r="C10836" s="8" t="s">
        <v>21630</v>
      </c>
      <c r="D10836" s="8"/>
      <c r="E10836" s="6"/>
      <c r="F10836" s="6"/>
    </row>
    <row r="10837" spans="1:6" x14ac:dyDescent="0.3">
      <c r="A10837" s="8" t="s">
        <v>21631</v>
      </c>
      <c r="B10837" s="8" t="s">
        <v>64439</v>
      </c>
      <c r="C10837" s="8" t="s">
        <v>21632</v>
      </c>
      <c r="D10837" s="8"/>
      <c r="E10837" s="6"/>
      <c r="F10837" s="6"/>
    </row>
    <row r="10838" spans="1:6" x14ac:dyDescent="0.3">
      <c r="A10838" s="8" t="s">
        <v>21633</v>
      </c>
      <c r="B10838" s="8" t="s">
        <v>64440</v>
      </c>
      <c r="C10838" s="8" t="s">
        <v>21634</v>
      </c>
      <c r="D10838" s="8"/>
      <c r="E10838" s="6"/>
      <c r="F10838" s="6"/>
    </row>
    <row r="10839" spans="1:6" x14ac:dyDescent="0.3">
      <c r="A10839" s="8" t="s">
        <v>21635</v>
      </c>
      <c r="B10839" s="8" t="s">
        <v>64441</v>
      </c>
      <c r="C10839" s="8" t="s">
        <v>21636</v>
      </c>
      <c r="D10839" s="8"/>
      <c r="E10839" s="6"/>
      <c r="F10839" s="6"/>
    </row>
    <row r="10840" spans="1:6" x14ac:dyDescent="0.3">
      <c r="A10840" s="8" t="s">
        <v>21637</v>
      </c>
      <c r="B10840" s="8" t="s">
        <v>64442</v>
      </c>
      <c r="C10840" s="8" t="s">
        <v>21638</v>
      </c>
      <c r="D10840" s="8"/>
      <c r="E10840" s="6"/>
      <c r="F10840" s="6"/>
    </row>
    <row r="10841" spans="1:6" x14ac:dyDescent="0.3">
      <c r="A10841" s="8" t="s">
        <v>21639</v>
      </c>
      <c r="B10841" s="8" t="s">
        <v>64443</v>
      </c>
      <c r="C10841" s="8" t="s">
        <v>21640</v>
      </c>
      <c r="D10841" s="8"/>
      <c r="E10841" s="6"/>
      <c r="F10841" s="6"/>
    </row>
    <row r="10842" spans="1:6" x14ac:dyDescent="0.3">
      <c r="A10842" s="8" t="s">
        <v>21641</v>
      </c>
      <c r="B10842" s="8" t="s">
        <v>64444</v>
      </c>
      <c r="C10842" s="8" t="s">
        <v>21642</v>
      </c>
      <c r="D10842" s="8"/>
      <c r="E10842" s="6"/>
      <c r="F10842" s="6"/>
    </row>
    <row r="10843" spans="1:6" x14ac:dyDescent="0.3">
      <c r="A10843" s="8" t="s">
        <v>21643</v>
      </c>
      <c r="B10843" s="8" t="s">
        <v>64445</v>
      </c>
      <c r="C10843" s="8" t="s">
        <v>21644</v>
      </c>
      <c r="D10843" s="8"/>
      <c r="E10843" s="6"/>
      <c r="F10843" s="6"/>
    </row>
    <row r="10844" spans="1:6" x14ac:dyDescent="0.3">
      <c r="A10844" s="8" t="s">
        <v>21645</v>
      </c>
      <c r="B10844" s="8" t="s">
        <v>64446</v>
      </c>
      <c r="C10844" s="8" t="s">
        <v>21646</v>
      </c>
      <c r="D10844" s="8"/>
      <c r="E10844" s="6"/>
      <c r="F10844" s="6"/>
    </row>
    <row r="10845" spans="1:6" x14ac:dyDescent="0.3">
      <c r="A10845" s="8" t="s">
        <v>21647</v>
      </c>
      <c r="B10845" s="8" t="s">
        <v>64447</v>
      </c>
      <c r="C10845" s="8" t="s">
        <v>21648</v>
      </c>
      <c r="D10845" s="8"/>
      <c r="E10845" s="6"/>
      <c r="F10845" s="6"/>
    </row>
    <row r="10846" spans="1:6" x14ac:dyDescent="0.3">
      <c r="A10846" s="8" t="s">
        <v>21649</v>
      </c>
      <c r="B10846" s="8" t="s">
        <v>64448</v>
      </c>
      <c r="C10846" s="8" t="s">
        <v>21650</v>
      </c>
      <c r="D10846" s="8"/>
      <c r="E10846" s="6"/>
      <c r="F10846" s="6"/>
    </row>
    <row r="10847" spans="1:6" x14ac:dyDescent="0.3">
      <c r="A10847" s="8" t="s">
        <v>21651</v>
      </c>
      <c r="B10847" s="8" t="s">
        <v>64449</v>
      </c>
      <c r="C10847" s="8" t="s">
        <v>21652</v>
      </c>
      <c r="D10847" s="8"/>
      <c r="E10847" s="6"/>
      <c r="F10847" s="6"/>
    </row>
    <row r="10848" spans="1:6" x14ac:dyDescent="0.3">
      <c r="A10848" s="8" t="s">
        <v>21653</v>
      </c>
      <c r="B10848" s="8" t="s">
        <v>64450</v>
      </c>
      <c r="C10848" s="8" t="s">
        <v>21654</v>
      </c>
      <c r="D10848" s="8"/>
      <c r="E10848" s="6"/>
      <c r="F10848" s="6"/>
    </row>
    <row r="10849" spans="1:6" x14ac:dyDescent="0.3">
      <c r="A10849" s="8" t="s">
        <v>21655</v>
      </c>
      <c r="B10849" s="8" t="s">
        <v>64451</v>
      </c>
      <c r="C10849" s="8" t="s">
        <v>21656</v>
      </c>
      <c r="D10849" s="8"/>
      <c r="E10849" s="6"/>
      <c r="F10849" s="6"/>
    </row>
    <row r="10850" spans="1:6" x14ac:dyDescent="0.3">
      <c r="A10850" s="8" t="s">
        <v>21657</v>
      </c>
      <c r="B10850" s="8" t="s">
        <v>64452</v>
      </c>
      <c r="C10850" s="8" t="s">
        <v>21658</v>
      </c>
      <c r="D10850" s="8"/>
      <c r="E10850" s="6"/>
      <c r="F10850" s="6"/>
    </row>
    <row r="10851" spans="1:6" x14ac:dyDescent="0.3">
      <c r="A10851" s="8" t="s">
        <v>21659</v>
      </c>
      <c r="B10851" s="8" t="s">
        <v>64453</v>
      </c>
      <c r="C10851" s="8" t="s">
        <v>21660</v>
      </c>
      <c r="D10851" s="8"/>
      <c r="E10851" s="6"/>
      <c r="F10851" s="6"/>
    </row>
    <row r="10852" spans="1:6" x14ac:dyDescent="0.3">
      <c r="A10852" s="8" t="s">
        <v>21661</v>
      </c>
      <c r="B10852" s="8" t="s">
        <v>64454</v>
      </c>
      <c r="C10852" s="8" t="s">
        <v>21662</v>
      </c>
      <c r="D10852" s="8"/>
      <c r="E10852" s="6"/>
      <c r="F10852" s="6"/>
    </row>
    <row r="10853" spans="1:6" x14ac:dyDescent="0.3">
      <c r="A10853" s="8" t="s">
        <v>21663</v>
      </c>
      <c r="B10853" s="8" t="s">
        <v>64455</v>
      </c>
      <c r="C10853" s="8" t="s">
        <v>21664</v>
      </c>
      <c r="D10853" s="8"/>
      <c r="E10853" s="6"/>
      <c r="F10853" s="6"/>
    </row>
    <row r="10854" spans="1:6" x14ac:dyDescent="0.3">
      <c r="A10854" s="8" t="s">
        <v>21665</v>
      </c>
      <c r="B10854" s="8" t="s">
        <v>64456</v>
      </c>
      <c r="C10854" s="8" t="s">
        <v>21666</v>
      </c>
      <c r="D10854" s="8"/>
      <c r="E10854" s="6"/>
      <c r="F10854" s="6"/>
    </row>
    <row r="10855" spans="1:6" x14ac:dyDescent="0.3">
      <c r="A10855" s="8" t="s">
        <v>21667</v>
      </c>
      <c r="B10855" s="8" t="s">
        <v>64457</v>
      </c>
      <c r="C10855" s="8" t="s">
        <v>21668</v>
      </c>
      <c r="D10855" s="8"/>
      <c r="E10855" s="6"/>
      <c r="F10855" s="6"/>
    </row>
    <row r="10856" spans="1:6" x14ac:dyDescent="0.3">
      <c r="A10856" s="8" t="s">
        <v>21669</v>
      </c>
      <c r="B10856" s="8" t="s">
        <v>64458</v>
      </c>
      <c r="C10856" s="8" t="s">
        <v>21670</v>
      </c>
      <c r="D10856" s="8"/>
      <c r="E10856" s="6"/>
      <c r="F10856" s="6"/>
    </row>
    <row r="10857" spans="1:6" x14ac:dyDescent="0.3">
      <c r="A10857" s="8" t="s">
        <v>21671</v>
      </c>
      <c r="B10857" s="8" t="s">
        <v>64459</v>
      </c>
      <c r="C10857" s="8" t="s">
        <v>21672</v>
      </c>
      <c r="D10857" s="8"/>
      <c r="E10857" s="6"/>
      <c r="F10857" s="6"/>
    </row>
    <row r="10858" spans="1:6" x14ac:dyDescent="0.3">
      <c r="A10858" s="8" t="s">
        <v>21673</v>
      </c>
      <c r="B10858" s="8" t="s">
        <v>64460</v>
      </c>
      <c r="C10858" s="8" t="s">
        <v>21674</v>
      </c>
      <c r="D10858" s="8"/>
      <c r="E10858" s="6"/>
      <c r="F10858" s="6"/>
    </row>
    <row r="10859" spans="1:6" x14ac:dyDescent="0.3">
      <c r="A10859" s="8" t="s">
        <v>21675</v>
      </c>
      <c r="B10859" s="8" t="s">
        <v>64461</v>
      </c>
      <c r="C10859" s="8" t="s">
        <v>21676</v>
      </c>
      <c r="D10859" s="8"/>
      <c r="E10859" s="6"/>
      <c r="F10859" s="6"/>
    </row>
    <row r="10860" spans="1:6" x14ac:dyDescent="0.3">
      <c r="A10860" s="8" t="s">
        <v>21677</v>
      </c>
      <c r="B10860" s="8" t="s">
        <v>64462</v>
      </c>
      <c r="C10860" s="8" t="s">
        <v>21678</v>
      </c>
      <c r="D10860" s="8"/>
      <c r="E10860" s="6"/>
      <c r="F10860" s="6"/>
    </row>
    <row r="10861" spans="1:6" x14ac:dyDescent="0.3">
      <c r="A10861" s="8" t="s">
        <v>21679</v>
      </c>
      <c r="B10861" s="8" t="s">
        <v>64463</v>
      </c>
      <c r="C10861" s="8" t="s">
        <v>21680</v>
      </c>
      <c r="D10861" s="8"/>
      <c r="E10861" s="6"/>
      <c r="F10861" s="6"/>
    </row>
    <row r="10862" spans="1:6" x14ac:dyDescent="0.3">
      <c r="A10862" s="8" t="s">
        <v>21681</v>
      </c>
      <c r="B10862" s="8" t="s">
        <v>64464</v>
      </c>
      <c r="C10862" s="8" t="s">
        <v>21682</v>
      </c>
      <c r="D10862" s="8"/>
      <c r="E10862" s="6"/>
      <c r="F10862" s="6"/>
    </row>
    <row r="10863" spans="1:6" x14ac:dyDescent="0.3">
      <c r="A10863" s="8" t="s">
        <v>21683</v>
      </c>
      <c r="B10863" s="8" t="s">
        <v>64465</v>
      </c>
      <c r="C10863" s="8" t="s">
        <v>21684</v>
      </c>
      <c r="D10863" s="8"/>
      <c r="E10863" s="6"/>
      <c r="F10863" s="6"/>
    </row>
    <row r="10864" spans="1:6" x14ac:dyDescent="0.3">
      <c r="A10864" s="8" t="s">
        <v>21685</v>
      </c>
      <c r="B10864" s="8" t="s">
        <v>64466</v>
      </c>
      <c r="C10864" s="8" t="s">
        <v>21686</v>
      </c>
      <c r="D10864" s="8"/>
      <c r="E10864" s="6"/>
      <c r="F10864" s="6"/>
    </row>
    <row r="10865" spans="1:6" x14ac:dyDescent="0.3">
      <c r="A10865" s="8" t="s">
        <v>21687</v>
      </c>
      <c r="B10865" s="8" t="s">
        <v>64467</v>
      </c>
      <c r="C10865" s="8" t="s">
        <v>21688</v>
      </c>
      <c r="D10865" s="8"/>
      <c r="E10865" s="6"/>
      <c r="F10865" s="6"/>
    </row>
    <row r="10866" spans="1:6" x14ac:dyDescent="0.3">
      <c r="A10866" s="8" t="s">
        <v>21689</v>
      </c>
      <c r="B10866" s="8" t="s">
        <v>64468</v>
      </c>
      <c r="C10866" s="8" t="s">
        <v>21690</v>
      </c>
      <c r="D10866" s="8"/>
      <c r="E10866" s="6"/>
      <c r="F10866" s="6"/>
    </row>
    <row r="10867" spans="1:6" x14ac:dyDescent="0.3">
      <c r="A10867" s="8" t="s">
        <v>21691</v>
      </c>
      <c r="B10867" s="8" t="s">
        <v>64469</v>
      </c>
      <c r="C10867" s="8" t="s">
        <v>21692</v>
      </c>
      <c r="D10867" s="8"/>
      <c r="E10867" s="6"/>
      <c r="F10867" s="6"/>
    </row>
    <row r="10868" spans="1:6" x14ac:dyDescent="0.3">
      <c r="A10868" s="8" t="s">
        <v>21693</v>
      </c>
      <c r="B10868" s="8" t="s">
        <v>64470</v>
      </c>
      <c r="C10868" s="8" t="s">
        <v>21694</v>
      </c>
      <c r="D10868" s="8"/>
      <c r="E10868" s="6"/>
      <c r="F10868" s="6"/>
    </row>
    <row r="10869" spans="1:6" x14ac:dyDescent="0.3">
      <c r="A10869" s="8" t="s">
        <v>21695</v>
      </c>
      <c r="B10869" s="8" t="s">
        <v>64471</v>
      </c>
      <c r="C10869" s="8" t="s">
        <v>21696</v>
      </c>
      <c r="D10869" s="8"/>
      <c r="E10869" s="6"/>
      <c r="F10869" s="6"/>
    </row>
    <row r="10870" spans="1:6" x14ac:dyDescent="0.3">
      <c r="A10870" s="8" t="s">
        <v>21697</v>
      </c>
      <c r="B10870" s="8" t="s">
        <v>64472</v>
      </c>
      <c r="C10870" s="8" t="s">
        <v>21698</v>
      </c>
      <c r="D10870" s="8"/>
      <c r="E10870" s="6"/>
      <c r="F10870" s="6"/>
    </row>
    <row r="10871" spans="1:6" x14ac:dyDescent="0.3">
      <c r="A10871" s="8" t="s">
        <v>21699</v>
      </c>
      <c r="B10871" s="8" t="s">
        <v>64473</v>
      </c>
      <c r="C10871" s="8" t="s">
        <v>21700</v>
      </c>
      <c r="D10871" s="8"/>
      <c r="E10871" s="6"/>
      <c r="F10871" s="6"/>
    </row>
    <row r="10872" spans="1:6" x14ac:dyDescent="0.3">
      <c r="A10872" s="8" t="s">
        <v>21701</v>
      </c>
      <c r="B10872" s="8" t="s">
        <v>64474</v>
      </c>
      <c r="C10872" s="8" t="s">
        <v>21702</v>
      </c>
      <c r="D10872" s="8"/>
      <c r="E10872" s="6"/>
      <c r="F10872" s="6"/>
    </row>
    <row r="10873" spans="1:6" x14ac:dyDescent="0.3">
      <c r="A10873" s="8" t="s">
        <v>21703</v>
      </c>
      <c r="B10873" s="8" t="s">
        <v>64475</v>
      </c>
      <c r="C10873" s="8" t="s">
        <v>21704</v>
      </c>
      <c r="D10873" s="8"/>
      <c r="E10873" s="6"/>
      <c r="F10873" s="6"/>
    </row>
    <row r="10874" spans="1:6" x14ac:dyDescent="0.3">
      <c r="A10874" s="8" t="s">
        <v>21705</v>
      </c>
      <c r="B10874" s="8" t="s">
        <v>64476</v>
      </c>
      <c r="C10874" s="8" t="s">
        <v>21706</v>
      </c>
      <c r="D10874" s="8"/>
      <c r="E10874" s="6"/>
      <c r="F10874" s="6"/>
    </row>
    <row r="10875" spans="1:6" x14ac:dyDescent="0.3">
      <c r="A10875" s="8" t="s">
        <v>21707</v>
      </c>
      <c r="B10875" s="8" t="s">
        <v>64477</v>
      </c>
      <c r="C10875" s="8" t="s">
        <v>21708</v>
      </c>
      <c r="D10875" s="8"/>
      <c r="E10875" s="6"/>
      <c r="F10875" s="6"/>
    </row>
    <row r="10876" spans="1:6" x14ac:dyDescent="0.3">
      <c r="A10876" s="8" t="s">
        <v>21709</v>
      </c>
      <c r="B10876" s="8" t="s">
        <v>64478</v>
      </c>
      <c r="C10876" s="8" t="s">
        <v>21710</v>
      </c>
      <c r="D10876" s="8"/>
      <c r="E10876" s="6"/>
      <c r="F10876" s="6"/>
    </row>
    <row r="10877" spans="1:6" x14ac:dyDescent="0.3">
      <c r="A10877" s="8" t="s">
        <v>21711</v>
      </c>
      <c r="B10877" s="8" t="s">
        <v>64479</v>
      </c>
      <c r="C10877" s="8" t="s">
        <v>21712</v>
      </c>
      <c r="D10877" s="8"/>
      <c r="E10877" s="6"/>
      <c r="F10877" s="6"/>
    </row>
    <row r="10878" spans="1:6" x14ac:dyDescent="0.3">
      <c r="A10878" s="8" t="s">
        <v>21713</v>
      </c>
      <c r="B10878" s="8" t="s">
        <v>64480</v>
      </c>
      <c r="C10878" s="8" t="s">
        <v>21714</v>
      </c>
      <c r="D10878" s="8"/>
      <c r="E10878" s="6"/>
      <c r="F10878" s="6"/>
    </row>
    <row r="10879" spans="1:6" x14ac:dyDescent="0.3">
      <c r="A10879" s="8" t="s">
        <v>21715</v>
      </c>
      <c r="B10879" s="8" t="s">
        <v>64481</v>
      </c>
      <c r="C10879" s="8" t="s">
        <v>21716</v>
      </c>
      <c r="D10879" s="8"/>
      <c r="E10879" s="6"/>
      <c r="F10879" s="6"/>
    </row>
    <row r="10880" spans="1:6" x14ac:dyDescent="0.3">
      <c r="A10880" s="8" t="s">
        <v>21717</v>
      </c>
      <c r="B10880" s="8" t="s">
        <v>64482</v>
      </c>
      <c r="C10880" s="8" t="s">
        <v>21718</v>
      </c>
      <c r="D10880" s="8"/>
      <c r="E10880" s="6"/>
      <c r="F10880" s="6"/>
    </row>
    <row r="10881" spans="1:6" x14ac:dyDescent="0.3">
      <c r="A10881" s="8" t="s">
        <v>21719</v>
      </c>
      <c r="B10881" s="8" t="s">
        <v>64483</v>
      </c>
      <c r="C10881" s="8" t="s">
        <v>21720</v>
      </c>
      <c r="D10881" s="8"/>
      <c r="E10881" s="6"/>
      <c r="F10881" s="6"/>
    </row>
    <row r="10882" spans="1:6" x14ac:dyDescent="0.3">
      <c r="A10882" s="8" t="s">
        <v>21721</v>
      </c>
      <c r="B10882" s="8" t="s">
        <v>64484</v>
      </c>
      <c r="C10882" s="8" t="s">
        <v>21722</v>
      </c>
      <c r="D10882" s="8"/>
      <c r="E10882" s="6"/>
      <c r="F10882" s="6"/>
    </row>
    <row r="10883" spans="1:6" x14ac:dyDescent="0.3">
      <c r="A10883" s="8" t="s">
        <v>21723</v>
      </c>
      <c r="B10883" s="8" t="s">
        <v>64485</v>
      </c>
      <c r="C10883" s="8" t="s">
        <v>21724</v>
      </c>
      <c r="D10883" s="8"/>
      <c r="E10883" s="6"/>
      <c r="F10883" s="6"/>
    </row>
    <row r="10884" spans="1:6" x14ac:dyDescent="0.3">
      <c r="A10884" s="8" t="s">
        <v>21725</v>
      </c>
      <c r="B10884" s="8" t="s">
        <v>64486</v>
      </c>
      <c r="C10884" s="8" t="s">
        <v>21726</v>
      </c>
      <c r="D10884" s="8"/>
      <c r="E10884" s="6"/>
      <c r="F10884" s="6"/>
    </row>
    <row r="10885" spans="1:6" x14ac:dyDescent="0.3">
      <c r="A10885" s="8" t="s">
        <v>21727</v>
      </c>
      <c r="B10885" s="8" t="s">
        <v>64487</v>
      </c>
      <c r="C10885" s="8" t="s">
        <v>21728</v>
      </c>
      <c r="D10885" s="8"/>
      <c r="E10885" s="6"/>
      <c r="F10885" s="6"/>
    </row>
    <row r="10886" spans="1:6" x14ac:dyDescent="0.3">
      <c r="A10886" s="8" t="s">
        <v>21729</v>
      </c>
      <c r="B10886" s="8" t="s">
        <v>64488</v>
      </c>
      <c r="C10886" s="8" t="s">
        <v>21730</v>
      </c>
      <c r="D10886" s="8"/>
      <c r="E10886" s="6"/>
      <c r="F10886" s="6"/>
    </row>
    <row r="10887" spans="1:6" x14ac:dyDescent="0.3">
      <c r="A10887" s="8" t="s">
        <v>21731</v>
      </c>
      <c r="B10887" s="8" t="s">
        <v>64489</v>
      </c>
      <c r="C10887" s="8" t="s">
        <v>21732</v>
      </c>
      <c r="D10887" s="8"/>
      <c r="E10887" s="6"/>
      <c r="F10887" s="6"/>
    </row>
    <row r="10888" spans="1:6" x14ac:dyDescent="0.3">
      <c r="A10888" s="8" t="s">
        <v>21733</v>
      </c>
      <c r="B10888" s="8" t="s">
        <v>64490</v>
      </c>
      <c r="C10888" s="8" t="s">
        <v>21734</v>
      </c>
      <c r="D10888" s="8"/>
      <c r="E10888" s="6"/>
      <c r="F10888" s="6"/>
    </row>
    <row r="10889" spans="1:6" x14ac:dyDescent="0.3">
      <c r="A10889" s="8" t="s">
        <v>21735</v>
      </c>
      <c r="B10889" s="8" t="s">
        <v>64491</v>
      </c>
      <c r="C10889" s="8" t="s">
        <v>21736</v>
      </c>
      <c r="D10889" s="8"/>
      <c r="E10889" s="6"/>
      <c r="F10889" s="6"/>
    </row>
    <row r="10890" spans="1:6" x14ac:dyDescent="0.3">
      <c r="A10890" s="8" t="s">
        <v>21737</v>
      </c>
      <c r="B10890" s="8" t="s">
        <v>64492</v>
      </c>
      <c r="C10890" s="8" t="s">
        <v>21738</v>
      </c>
      <c r="D10890" s="8"/>
      <c r="E10890" s="6"/>
      <c r="F10890" s="6"/>
    </row>
    <row r="10891" spans="1:6" x14ac:dyDescent="0.3">
      <c r="A10891" s="8" t="s">
        <v>21739</v>
      </c>
      <c r="B10891" s="8" t="s">
        <v>64493</v>
      </c>
      <c r="C10891" s="8" t="s">
        <v>21740</v>
      </c>
      <c r="D10891" s="8"/>
      <c r="E10891" s="6"/>
      <c r="F10891" s="6"/>
    </row>
    <row r="10892" spans="1:6" x14ac:dyDescent="0.3">
      <c r="A10892" s="8" t="s">
        <v>21741</v>
      </c>
      <c r="B10892" s="8" t="s">
        <v>64494</v>
      </c>
      <c r="C10892" s="8" t="s">
        <v>21742</v>
      </c>
      <c r="D10892" s="8"/>
      <c r="E10892" s="6"/>
      <c r="F10892" s="6"/>
    </row>
    <row r="10893" spans="1:6" x14ac:dyDescent="0.3">
      <c r="A10893" s="8" t="s">
        <v>21743</v>
      </c>
      <c r="B10893" s="8" t="s">
        <v>64495</v>
      </c>
      <c r="C10893" s="8" t="s">
        <v>21744</v>
      </c>
      <c r="D10893" s="8"/>
      <c r="E10893" s="6"/>
      <c r="F10893" s="6"/>
    </row>
    <row r="10894" spans="1:6" x14ac:dyDescent="0.3">
      <c r="A10894" s="8" t="s">
        <v>21745</v>
      </c>
      <c r="B10894" s="8" t="s">
        <v>64496</v>
      </c>
      <c r="C10894" s="8" t="s">
        <v>21746</v>
      </c>
      <c r="D10894" s="8"/>
      <c r="E10894" s="6"/>
      <c r="F10894" s="6"/>
    </row>
    <row r="10895" spans="1:6" x14ac:dyDescent="0.3">
      <c r="A10895" s="8" t="s">
        <v>21747</v>
      </c>
      <c r="B10895" s="8" t="s">
        <v>64497</v>
      </c>
      <c r="C10895" s="8" t="s">
        <v>21748</v>
      </c>
      <c r="D10895" s="8"/>
      <c r="E10895" s="6"/>
      <c r="F10895" s="6"/>
    </row>
    <row r="10896" spans="1:6" x14ac:dyDescent="0.3">
      <c r="A10896" s="8" t="s">
        <v>21749</v>
      </c>
      <c r="B10896" s="8" t="s">
        <v>64498</v>
      </c>
      <c r="C10896" s="8" t="s">
        <v>21750</v>
      </c>
      <c r="D10896" s="8"/>
      <c r="E10896" s="6"/>
      <c r="F10896" s="6"/>
    </row>
    <row r="10897" spans="1:6" x14ac:dyDescent="0.3">
      <c r="A10897" s="8" t="s">
        <v>21751</v>
      </c>
      <c r="B10897" s="8" t="s">
        <v>64499</v>
      </c>
      <c r="C10897" s="8" t="s">
        <v>21752</v>
      </c>
      <c r="D10897" s="8"/>
      <c r="E10897" s="6"/>
      <c r="F10897" s="6"/>
    </row>
    <row r="10898" spans="1:6" x14ac:dyDescent="0.3">
      <c r="A10898" s="8" t="s">
        <v>21753</v>
      </c>
      <c r="B10898" s="8" t="s">
        <v>64500</v>
      </c>
      <c r="C10898" s="8" t="s">
        <v>21754</v>
      </c>
      <c r="D10898" s="8"/>
      <c r="E10898" s="6"/>
      <c r="F10898" s="6"/>
    </row>
    <row r="10899" spans="1:6" x14ac:dyDescent="0.3">
      <c r="A10899" s="8" t="s">
        <v>21755</v>
      </c>
      <c r="B10899" s="8" t="s">
        <v>64501</v>
      </c>
      <c r="C10899" s="8" t="s">
        <v>21756</v>
      </c>
      <c r="D10899" s="8"/>
      <c r="E10899" s="6"/>
      <c r="F10899" s="6"/>
    </row>
    <row r="10900" spans="1:6" x14ac:dyDescent="0.3">
      <c r="A10900" s="8" t="s">
        <v>21757</v>
      </c>
      <c r="B10900" s="8" t="s">
        <v>64502</v>
      </c>
      <c r="C10900" s="8" t="s">
        <v>21758</v>
      </c>
      <c r="D10900" s="8"/>
      <c r="E10900" s="6"/>
      <c r="F10900" s="6"/>
    </row>
    <row r="10901" spans="1:6" x14ac:dyDescent="0.3">
      <c r="A10901" s="8" t="s">
        <v>21759</v>
      </c>
      <c r="B10901" s="8" t="s">
        <v>64503</v>
      </c>
      <c r="C10901" s="8" t="s">
        <v>21760</v>
      </c>
      <c r="D10901" s="8"/>
      <c r="E10901" s="6"/>
      <c r="F10901" s="6"/>
    </row>
    <row r="10902" spans="1:6" x14ac:dyDescent="0.3">
      <c r="A10902" s="8" t="s">
        <v>21761</v>
      </c>
      <c r="B10902" s="8" t="s">
        <v>64504</v>
      </c>
      <c r="C10902" s="8" t="s">
        <v>21762</v>
      </c>
      <c r="D10902" s="8"/>
      <c r="E10902" s="6"/>
      <c r="F10902" s="6"/>
    </row>
    <row r="10903" spans="1:6" x14ac:dyDescent="0.3">
      <c r="A10903" s="8" t="s">
        <v>21763</v>
      </c>
      <c r="B10903" s="8" t="s">
        <v>64505</v>
      </c>
      <c r="C10903" s="8" t="s">
        <v>21764</v>
      </c>
      <c r="D10903" s="8"/>
      <c r="E10903" s="6"/>
      <c r="F10903" s="6"/>
    </row>
    <row r="10904" spans="1:6" x14ac:dyDescent="0.3">
      <c r="A10904" s="8" t="s">
        <v>21765</v>
      </c>
      <c r="B10904" s="8" t="s">
        <v>64506</v>
      </c>
      <c r="C10904" s="8" t="s">
        <v>21766</v>
      </c>
      <c r="D10904" s="8"/>
      <c r="E10904" s="6"/>
      <c r="F10904" s="6"/>
    </row>
    <row r="10905" spans="1:6" x14ac:dyDescent="0.3">
      <c r="A10905" s="8" t="s">
        <v>21767</v>
      </c>
      <c r="B10905" s="8" t="s">
        <v>64507</v>
      </c>
      <c r="C10905" s="8" t="s">
        <v>21768</v>
      </c>
      <c r="D10905" s="8"/>
      <c r="E10905" s="6"/>
      <c r="F10905" s="6"/>
    </row>
    <row r="10906" spans="1:6" x14ac:dyDescent="0.3">
      <c r="A10906" s="8" t="s">
        <v>21769</v>
      </c>
      <c r="B10906" s="8" t="s">
        <v>64508</v>
      </c>
      <c r="C10906" s="8" t="s">
        <v>21770</v>
      </c>
      <c r="D10906" s="8"/>
      <c r="E10906" s="6"/>
      <c r="F10906" s="6"/>
    </row>
    <row r="10907" spans="1:6" x14ac:dyDescent="0.3">
      <c r="A10907" s="8" t="s">
        <v>21771</v>
      </c>
      <c r="B10907" s="8" t="s">
        <v>64509</v>
      </c>
      <c r="C10907" s="8" t="s">
        <v>21772</v>
      </c>
      <c r="D10907" s="8"/>
      <c r="E10907" s="6"/>
      <c r="F10907" s="6"/>
    </row>
    <row r="10908" spans="1:6" x14ac:dyDescent="0.3">
      <c r="A10908" s="8" t="s">
        <v>21773</v>
      </c>
      <c r="B10908" s="8" t="s">
        <v>64510</v>
      </c>
      <c r="C10908" s="8" t="s">
        <v>21774</v>
      </c>
      <c r="D10908" s="8"/>
      <c r="E10908" s="6"/>
      <c r="F10908" s="6"/>
    </row>
    <row r="10909" spans="1:6" x14ac:dyDescent="0.3">
      <c r="A10909" s="8" t="s">
        <v>21775</v>
      </c>
      <c r="B10909" s="8" t="s">
        <v>64511</v>
      </c>
      <c r="C10909" s="8" t="s">
        <v>21776</v>
      </c>
      <c r="D10909" s="8"/>
      <c r="E10909" s="6"/>
      <c r="F10909" s="6"/>
    </row>
    <row r="10910" spans="1:6" x14ac:dyDescent="0.3">
      <c r="A10910" s="8" t="s">
        <v>21777</v>
      </c>
      <c r="B10910" s="8" t="s">
        <v>64512</v>
      </c>
      <c r="C10910" s="8" t="s">
        <v>21778</v>
      </c>
      <c r="D10910" s="8"/>
      <c r="E10910" s="6"/>
      <c r="F10910" s="6"/>
    </row>
    <row r="10911" spans="1:6" x14ac:dyDescent="0.3">
      <c r="A10911" s="8" t="s">
        <v>21779</v>
      </c>
      <c r="B10911" s="8" t="s">
        <v>64513</v>
      </c>
      <c r="C10911" s="8" t="s">
        <v>21780</v>
      </c>
      <c r="D10911" s="8"/>
      <c r="E10911" s="6"/>
      <c r="F10911" s="6"/>
    </row>
    <row r="10912" spans="1:6" x14ac:dyDescent="0.3">
      <c r="A10912" s="8" t="s">
        <v>21781</v>
      </c>
      <c r="B10912" s="8" t="s">
        <v>64514</v>
      </c>
      <c r="C10912" s="8" t="s">
        <v>21782</v>
      </c>
      <c r="D10912" s="8"/>
      <c r="E10912" s="6"/>
      <c r="F10912" s="6"/>
    </row>
    <row r="10913" spans="1:6" x14ac:dyDescent="0.3">
      <c r="A10913" s="8" t="s">
        <v>21783</v>
      </c>
      <c r="B10913" s="8" t="s">
        <v>64515</v>
      </c>
      <c r="C10913" s="8" t="s">
        <v>21784</v>
      </c>
      <c r="D10913" s="8"/>
      <c r="E10913" s="6"/>
      <c r="F10913" s="6"/>
    </row>
    <row r="10914" spans="1:6" x14ac:dyDescent="0.3">
      <c r="A10914" s="8" t="s">
        <v>21785</v>
      </c>
      <c r="B10914" s="8" t="s">
        <v>64516</v>
      </c>
      <c r="C10914" s="8" t="s">
        <v>21786</v>
      </c>
      <c r="D10914" s="8"/>
      <c r="E10914" s="6"/>
      <c r="F10914" s="6"/>
    </row>
    <row r="10915" spans="1:6" x14ac:dyDescent="0.3">
      <c r="A10915" s="8" t="s">
        <v>21787</v>
      </c>
      <c r="B10915" s="8" t="s">
        <v>64517</v>
      </c>
      <c r="C10915" s="8" t="s">
        <v>21788</v>
      </c>
      <c r="D10915" s="8"/>
      <c r="E10915" s="6"/>
      <c r="F10915" s="6"/>
    </row>
    <row r="10916" spans="1:6" x14ac:dyDescent="0.3">
      <c r="A10916" s="8" t="s">
        <v>21789</v>
      </c>
      <c r="B10916" s="8" t="s">
        <v>64518</v>
      </c>
      <c r="C10916" s="8" t="s">
        <v>21790</v>
      </c>
      <c r="D10916" s="8"/>
      <c r="E10916" s="6"/>
      <c r="F10916" s="6"/>
    </row>
    <row r="10917" spans="1:6" x14ac:dyDescent="0.3">
      <c r="A10917" s="8" t="s">
        <v>21791</v>
      </c>
      <c r="B10917" s="8" t="s">
        <v>64519</v>
      </c>
      <c r="C10917" s="8" t="s">
        <v>21792</v>
      </c>
      <c r="D10917" s="8"/>
      <c r="E10917" s="6"/>
      <c r="F10917" s="6"/>
    </row>
    <row r="10918" spans="1:6" x14ac:dyDescent="0.3">
      <c r="A10918" s="8" t="s">
        <v>21793</v>
      </c>
      <c r="B10918" s="8" t="s">
        <v>64520</v>
      </c>
      <c r="C10918" s="8" t="s">
        <v>21794</v>
      </c>
      <c r="D10918" s="8"/>
      <c r="E10918" s="6"/>
      <c r="F10918" s="6"/>
    </row>
    <row r="10919" spans="1:6" x14ac:dyDescent="0.3">
      <c r="A10919" s="8" t="s">
        <v>21795</v>
      </c>
      <c r="B10919" s="8" t="s">
        <v>64521</v>
      </c>
      <c r="C10919" s="8" t="s">
        <v>21796</v>
      </c>
      <c r="D10919" s="8"/>
      <c r="E10919" s="6"/>
      <c r="F10919" s="6"/>
    </row>
    <row r="10920" spans="1:6" x14ac:dyDescent="0.3">
      <c r="A10920" s="8" t="s">
        <v>21797</v>
      </c>
      <c r="B10920" s="8" t="s">
        <v>64522</v>
      </c>
      <c r="C10920" s="8" t="s">
        <v>21798</v>
      </c>
      <c r="D10920" s="8"/>
      <c r="E10920" s="6"/>
      <c r="F10920" s="6"/>
    </row>
    <row r="10921" spans="1:6" x14ac:dyDescent="0.3">
      <c r="A10921" s="8" t="s">
        <v>21799</v>
      </c>
      <c r="B10921" s="8" t="s">
        <v>64523</v>
      </c>
      <c r="C10921" s="8" t="s">
        <v>21800</v>
      </c>
      <c r="D10921" s="8"/>
      <c r="E10921" s="6"/>
      <c r="F10921" s="6"/>
    </row>
    <row r="10922" spans="1:6" x14ac:dyDescent="0.3">
      <c r="A10922" s="8" t="s">
        <v>21801</v>
      </c>
      <c r="B10922" s="8" t="s">
        <v>64524</v>
      </c>
      <c r="C10922" s="8" t="s">
        <v>21802</v>
      </c>
      <c r="D10922" s="8"/>
      <c r="E10922" s="6"/>
      <c r="F10922" s="6"/>
    </row>
    <row r="10923" spans="1:6" x14ac:dyDescent="0.3">
      <c r="A10923" s="8" t="s">
        <v>21803</v>
      </c>
      <c r="B10923" s="8" t="s">
        <v>64525</v>
      </c>
      <c r="C10923" s="8" t="s">
        <v>21804</v>
      </c>
      <c r="D10923" s="8"/>
      <c r="E10923" s="6"/>
      <c r="F10923" s="6"/>
    </row>
    <row r="10924" spans="1:6" x14ac:dyDescent="0.3">
      <c r="A10924" s="8" t="s">
        <v>21805</v>
      </c>
      <c r="B10924" s="8" t="s">
        <v>64526</v>
      </c>
      <c r="C10924" s="8" t="s">
        <v>21806</v>
      </c>
      <c r="D10924" s="8"/>
      <c r="E10924" s="6"/>
      <c r="F10924" s="6"/>
    </row>
    <row r="10925" spans="1:6" x14ac:dyDescent="0.3">
      <c r="A10925" s="8" t="s">
        <v>21807</v>
      </c>
      <c r="B10925" s="8" t="s">
        <v>64527</v>
      </c>
      <c r="C10925" s="8" t="s">
        <v>21808</v>
      </c>
      <c r="D10925" s="8"/>
      <c r="E10925" s="6"/>
      <c r="F10925" s="6"/>
    </row>
    <row r="10926" spans="1:6" x14ac:dyDescent="0.3">
      <c r="A10926" s="8" t="s">
        <v>21809</v>
      </c>
      <c r="B10926" s="8" t="s">
        <v>64528</v>
      </c>
      <c r="C10926" s="8" t="s">
        <v>21810</v>
      </c>
      <c r="D10926" s="8"/>
      <c r="E10926" s="6"/>
      <c r="F10926" s="6"/>
    </row>
    <row r="10927" spans="1:6" x14ac:dyDescent="0.3">
      <c r="A10927" s="8" t="s">
        <v>21811</v>
      </c>
      <c r="B10927" s="8" t="s">
        <v>64529</v>
      </c>
      <c r="C10927" s="8" t="s">
        <v>21812</v>
      </c>
      <c r="D10927" s="8"/>
      <c r="E10927" s="6"/>
      <c r="F10927" s="6"/>
    </row>
    <row r="10928" spans="1:6" x14ac:dyDescent="0.3">
      <c r="A10928" s="8" t="s">
        <v>21813</v>
      </c>
      <c r="B10928" s="8" t="s">
        <v>64530</v>
      </c>
      <c r="C10928" s="8" t="s">
        <v>21814</v>
      </c>
      <c r="D10928" s="8"/>
      <c r="E10928" s="6"/>
      <c r="F10928" s="6"/>
    </row>
    <row r="10929" spans="1:6" x14ac:dyDescent="0.3">
      <c r="A10929" s="8" t="s">
        <v>21815</v>
      </c>
      <c r="B10929" s="8" t="s">
        <v>64531</v>
      </c>
      <c r="C10929" s="8" t="s">
        <v>21816</v>
      </c>
      <c r="D10929" s="8"/>
      <c r="E10929" s="6"/>
      <c r="F10929" s="6"/>
    </row>
    <row r="10930" spans="1:6" x14ac:dyDescent="0.3">
      <c r="A10930" s="8" t="s">
        <v>21817</v>
      </c>
      <c r="B10930" s="8" t="s">
        <v>64532</v>
      </c>
      <c r="C10930" s="8" t="s">
        <v>21818</v>
      </c>
      <c r="D10930" s="8"/>
      <c r="E10930" s="6"/>
      <c r="F10930" s="6"/>
    </row>
    <row r="10931" spans="1:6" x14ac:dyDescent="0.3">
      <c r="A10931" s="8" t="s">
        <v>21819</v>
      </c>
      <c r="B10931" s="8" t="s">
        <v>64533</v>
      </c>
      <c r="C10931" s="8" t="s">
        <v>21820</v>
      </c>
      <c r="D10931" s="8"/>
      <c r="E10931" s="6"/>
      <c r="F10931" s="6"/>
    </row>
    <row r="10932" spans="1:6" x14ac:dyDescent="0.3">
      <c r="A10932" s="8" t="s">
        <v>21821</v>
      </c>
      <c r="B10932" s="8" t="s">
        <v>64534</v>
      </c>
      <c r="C10932" s="8" t="s">
        <v>21822</v>
      </c>
      <c r="D10932" s="8"/>
      <c r="E10932" s="6"/>
      <c r="F10932" s="6"/>
    </row>
    <row r="10933" spans="1:6" x14ac:dyDescent="0.3">
      <c r="A10933" s="8" t="s">
        <v>21823</v>
      </c>
      <c r="B10933" s="8" t="s">
        <v>64535</v>
      </c>
      <c r="C10933" s="8" t="s">
        <v>21824</v>
      </c>
      <c r="D10933" s="8"/>
      <c r="E10933" s="6"/>
      <c r="F10933" s="6"/>
    </row>
    <row r="10934" spans="1:6" x14ac:dyDescent="0.3">
      <c r="A10934" s="8" t="s">
        <v>21825</v>
      </c>
      <c r="B10934" s="8" t="s">
        <v>64536</v>
      </c>
      <c r="C10934" s="8" t="s">
        <v>21826</v>
      </c>
      <c r="D10934" s="8"/>
      <c r="E10934" s="6"/>
      <c r="F10934" s="6"/>
    </row>
    <row r="10935" spans="1:6" x14ac:dyDescent="0.3">
      <c r="A10935" s="8" t="s">
        <v>21827</v>
      </c>
      <c r="B10935" s="8" t="s">
        <v>64537</v>
      </c>
      <c r="C10935" s="8" t="s">
        <v>21828</v>
      </c>
      <c r="D10935" s="8"/>
      <c r="E10935" s="6"/>
      <c r="F10935" s="6"/>
    </row>
    <row r="10936" spans="1:6" x14ac:dyDescent="0.3">
      <c r="A10936" s="8" t="s">
        <v>21829</v>
      </c>
      <c r="B10936" s="8" t="s">
        <v>64538</v>
      </c>
      <c r="C10936" s="8" t="s">
        <v>21830</v>
      </c>
      <c r="D10936" s="8"/>
      <c r="E10936" s="6"/>
      <c r="F10936" s="6"/>
    </row>
    <row r="10937" spans="1:6" x14ac:dyDescent="0.3">
      <c r="A10937" s="8" t="s">
        <v>21831</v>
      </c>
      <c r="B10937" s="8" t="s">
        <v>64539</v>
      </c>
      <c r="C10937" s="8" t="s">
        <v>21832</v>
      </c>
      <c r="D10937" s="8"/>
      <c r="E10937" s="6"/>
      <c r="F10937" s="6"/>
    </row>
    <row r="10938" spans="1:6" x14ac:dyDescent="0.3">
      <c r="A10938" s="8" t="s">
        <v>21833</v>
      </c>
      <c r="B10938" s="8" t="s">
        <v>64540</v>
      </c>
      <c r="C10938" s="8" t="s">
        <v>21834</v>
      </c>
      <c r="D10938" s="8"/>
      <c r="E10938" s="6"/>
      <c r="F10938" s="6"/>
    </row>
    <row r="10939" spans="1:6" x14ac:dyDescent="0.3">
      <c r="A10939" s="8" t="s">
        <v>21835</v>
      </c>
      <c r="B10939" s="8" t="s">
        <v>64541</v>
      </c>
      <c r="C10939" s="8" t="s">
        <v>21836</v>
      </c>
      <c r="D10939" s="8"/>
      <c r="E10939" s="6"/>
      <c r="F10939" s="6"/>
    </row>
    <row r="10940" spans="1:6" x14ac:dyDescent="0.3">
      <c r="A10940" s="8" t="s">
        <v>21837</v>
      </c>
      <c r="B10940" s="8" t="s">
        <v>64542</v>
      </c>
      <c r="C10940" s="8" t="s">
        <v>21838</v>
      </c>
      <c r="D10940" s="8"/>
      <c r="E10940" s="6"/>
      <c r="F10940" s="6"/>
    </row>
    <row r="10941" spans="1:6" x14ac:dyDescent="0.3">
      <c r="A10941" s="8" t="s">
        <v>21839</v>
      </c>
      <c r="B10941" s="8" t="s">
        <v>64543</v>
      </c>
      <c r="C10941" s="8" t="s">
        <v>21840</v>
      </c>
      <c r="D10941" s="8"/>
      <c r="E10941" s="6"/>
      <c r="F10941" s="6"/>
    </row>
    <row r="10942" spans="1:6" x14ac:dyDescent="0.3">
      <c r="A10942" s="8" t="s">
        <v>21841</v>
      </c>
      <c r="B10942" s="8" t="s">
        <v>64544</v>
      </c>
      <c r="C10942" s="8" t="s">
        <v>21842</v>
      </c>
      <c r="D10942" s="8"/>
      <c r="E10942" s="6"/>
      <c r="F10942" s="6"/>
    </row>
    <row r="10943" spans="1:6" x14ac:dyDescent="0.3">
      <c r="A10943" s="8" t="s">
        <v>21843</v>
      </c>
      <c r="B10943" s="8" t="s">
        <v>64545</v>
      </c>
      <c r="C10943" s="8" t="s">
        <v>21844</v>
      </c>
      <c r="D10943" s="8"/>
      <c r="E10943" s="6"/>
      <c r="F10943" s="6"/>
    </row>
    <row r="10944" spans="1:6" x14ac:dyDescent="0.3">
      <c r="A10944" s="8" t="s">
        <v>21845</v>
      </c>
      <c r="B10944" s="8" t="s">
        <v>64546</v>
      </c>
      <c r="C10944" s="8" t="s">
        <v>21846</v>
      </c>
      <c r="D10944" s="8"/>
      <c r="E10944" s="6"/>
      <c r="F10944" s="6"/>
    </row>
    <row r="10945" spans="1:6" x14ac:dyDescent="0.3">
      <c r="A10945" s="8" t="s">
        <v>21847</v>
      </c>
      <c r="B10945" s="8" t="s">
        <v>64547</v>
      </c>
      <c r="C10945" s="8" t="s">
        <v>21848</v>
      </c>
      <c r="D10945" s="8"/>
      <c r="E10945" s="6"/>
      <c r="F10945" s="6"/>
    </row>
    <row r="10946" spans="1:6" x14ac:dyDescent="0.3">
      <c r="A10946" s="8" t="s">
        <v>21849</v>
      </c>
      <c r="B10946" s="8" t="s">
        <v>64548</v>
      </c>
      <c r="C10946" s="8" t="s">
        <v>21850</v>
      </c>
      <c r="D10946" s="8"/>
      <c r="E10946" s="6"/>
      <c r="F10946" s="6"/>
    </row>
    <row r="10947" spans="1:6" x14ac:dyDescent="0.3">
      <c r="A10947" s="8" t="s">
        <v>21851</v>
      </c>
      <c r="B10947" s="8" t="s">
        <v>64549</v>
      </c>
      <c r="C10947" s="8" t="s">
        <v>21852</v>
      </c>
      <c r="D10947" s="8"/>
      <c r="E10947" s="6"/>
      <c r="F10947" s="6"/>
    </row>
    <row r="10948" spans="1:6" x14ac:dyDescent="0.3">
      <c r="A10948" s="8" t="s">
        <v>21853</v>
      </c>
      <c r="B10948" s="8" t="s">
        <v>64550</v>
      </c>
      <c r="C10948" s="8" t="s">
        <v>21854</v>
      </c>
      <c r="D10948" s="8"/>
      <c r="E10948" s="6"/>
      <c r="F10948" s="6"/>
    </row>
    <row r="10949" spans="1:6" x14ac:dyDescent="0.3">
      <c r="A10949" s="8" t="s">
        <v>21855</v>
      </c>
      <c r="B10949" s="8" t="s">
        <v>64551</v>
      </c>
      <c r="C10949" s="8" t="s">
        <v>21856</v>
      </c>
      <c r="D10949" s="8"/>
      <c r="E10949" s="6"/>
      <c r="F10949" s="6"/>
    </row>
    <row r="10950" spans="1:6" x14ac:dyDescent="0.3">
      <c r="A10950" s="8" t="s">
        <v>21857</v>
      </c>
      <c r="B10950" s="8" t="s">
        <v>64552</v>
      </c>
      <c r="C10950" s="8" t="s">
        <v>21858</v>
      </c>
      <c r="D10950" s="8"/>
      <c r="E10950" s="6"/>
      <c r="F10950" s="6"/>
    </row>
    <row r="10951" spans="1:6" x14ac:dyDescent="0.3">
      <c r="A10951" s="8" t="s">
        <v>21859</v>
      </c>
      <c r="B10951" s="8" t="s">
        <v>64553</v>
      </c>
      <c r="C10951" s="8" t="s">
        <v>21860</v>
      </c>
      <c r="D10951" s="8"/>
      <c r="E10951" s="6"/>
      <c r="F10951" s="6"/>
    </row>
    <row r="10952" spans="1:6" x14ac:dyDescent="0.3">
      <c r="A10952" s="8" t="s">
        <v>21861</v>
      </c>
      <c r="B10952" s="8" t="s">
        <v>64554</v>
      </c>
      <c r="C10952" s="8" t="s">
        <v>21862</v>
      </c>
      <c r="D10952" s="8"/>
      <c r="E10952" s="6"/>
      <c r="F10952" s="6"/>
    </row>
    <row r="10953" spans="1:6" x14ac:dyDescent="0.3">
      <c r="A10953" s="8" t="s">
        <v>21863</v>
      </c>
      <c r="B10953" s="8" t="s">
        <v>64555</v>
      </c>
      <c r="C10953" s="8" t="s">
        <v>21864</v>
      </c>
      <c r="D10953" s="8"/>
      <c r="E10953" s="6"/>
      <c r="F10953" s="6"/>
    </row>
    <row r="10954" spans="1:6" x14ac:dyDescent="0.3">
      <c r="A10954" s="8" t="s">
        <v>21865</v>
      </c>
      <c r="B10954" s="8" t="s">
        <v>64556</v>
      </c>
      <c r="C10954" s="8" t="s">
        <v>21866</v>
      </c>
      <c r="D10954" s="8"/>
      <c r="E10954" s="6"/>
      <c r="F10954" s="6"/>
    </row>
    <row r="10955" spans="1:6" x14ac:dyDescent="0.3">
      <c r="A10955" s="8" t="s">
        <v>21867</v>
      </c>
      <c r="B10955" s="8" t="s">
        <v>64557</v>
      </c>
      <c r="C10955" s="8" t="s">
        <v>21868</v>
      </c>
      <c r="D10955" s="8"/>
      <c r="E10955" s="6"/>
      <c r="F10955" s="6"/>
    </row>
    <row r="10956" spans="1:6" x14ac:dyDescent="0.3">
      <c r="A10956" s="8" t="s">
        <v>21869</v>
      </c>
      <c r="B10956" s="8" t="s">
        <v>64558</v>
      </c>
      <c r="C10956" s="8" t="s">
        <v>21870</v>
      </c>
      <c r="D10956" s="8"/>
      <c r="E10956" s="6"/>
      <c r="F10956" s="6"/>
    </row>
    <row r="10957" spans="1:6" x14ac:dyDescent="0.3">
      <c r="A10957" s="8" t="s">
        <v>21871</v>
      </c>
      <c r="B10957" s="8" t="s">
        <v>64559</v>
      </c>
      <c r="C10957" s="8" t="s">
        <v>21872</v>
      </c>
      <c r="D10957" s="8"/>
      <c r="E10957" s="6"/>
      <c r="F10957" s="6"/>
    </row>
    <row r="10958" spans="1:6" x14ac:dyDescent="0.3">
      <c r="A10958" s="8" t="s">
        <v>21873</v>
      </c>
      <c r="B10958" s="8" t="s">
        <v>64560</v>
      </c>
      <c r="C10958" s="8" t="s">
        <v>21874</v>
      </c>
      <c r="D10958" s="8"/>
      <c r="E10958" s="6"/>
      <c r="F10958" s="6"/>
    </row>
    <row r="10959" spans="1:6" x14ac:dyDescent="0.3">
      <c r="A10959" s="8" t="s">
        <v>21875</v>
      </c>
      <c r="B10959" s="8" t="s">
        <v>64561</v>
      </c>
      <c r="C10959" s="8" t="s">
        <v>21876</v>
      </c>
      <c r="D10959" s="8"/>
      <c r="E10959" s="6"/>
      <c r="F10959" s="6"/>
    </row>
    <row r="10960" spans="1:6" x14ac:dyDescent="0.3">
      <c r="A10960" s="8" t="s">
        <v>21877</v>
      </c>
      <c r="B10960" s="8" t="s">
        <v>64562</v>
      </c>
      <c r="C10960" s="8" t="s">
        <v>21878</v>
      </c>
      <c r="D10960" s="8"/>
      <c r="E10960" s="6"/>
      <c r="F10960" s="6"/>
    </row>
    <row r="10961" spans="1:6" x14ac:dyDescent="0.3">
      <c r="A10961" s="8" t="s">
        <v>21879</v>
      </c>
      <c r="B10961" s="8" t="s">
        <v>64563</v>
      </c>
      <c r="C10961" s="8" t="s">
        <v>21880</v>
      </c>
      <c r="D10961" s="8"/>
      <c r="E10961" s="6"/>
      <c r="F10961" s="6"/>
    </row>
    <row r="10962" spans="1:6" x14ac:dyDescent="0.3">
      <c r="A10962" s="8" t="s">
        <v>21881</v>
      </c>
      <c r="B10962" s="8" t="s">
        <v>64564</v>
      </c>
      <c r="C10962" s="8" t="s">
        <v>21882</v>
      </c>
      <c r="D10962" s="8"/>
      <c r="E10962" s="6"/>
      <c r="F10962" s="6"/>
    </row>
    <row r="10963" spans="1:6" x14ac:dyDescent="0.3">
      <c r="A10963" s="8" t="s">
        <v>21883</v>
      </c>
      <c r="B10963" s="8" t="s">
        <v>64565</v>
      </c>
      <c r="C10963" s="8" t="s">
        <v>21884</v>
      </c>
      <c r="D10963" s="8"/>
      <c r="E10963" s="6"/>
      <c r="F10963" s="6"/>
    </row>
    <row r="10964" spans="1:6" x14ac:dyDescent="0.3">
      <c r="A10964" s="8" t="s">
        <v>21885</v>
      </c>
      <c r="B10964" s="8" t="s">
        <v>64566</v>
      </c>
      <c r="C10964" s="8" t="s">
        <v>21886</v>
      </c>
      <c r="D10964" s="8"/>
      <c r="E10964" s="6"/>
      <c r="F10964" s="6"/>
    </row>
    <row r="10965" spans="1:6" x14ac:dyDescent="0.3">
      <c r="A10965" s="8" t="s">
        <v>21887</v>
      </c>
      <c r="B10965" s="8" t="s">
        <v>64567</v>
      </c>
      <c r="C10965" s="8" t="s">
        <v>21888</v>
      </c>
      <c r="D10965" s="8"/>
      <c r="E10965" s="6"/>
      <c r="F10965" s="6"/>
    </row>
    <row r="10966" spans="1:6" x14ac:dyDescent="0.3">
      <c r="A10966" s="8" t="s">
        <v>21889</v>
      </c>
      <c r="B10966" s="8" t="s">
        <v>64568</v>
      </c>
      <c r="C10966" s="8" t="s">
        <v>21890</v>
      </c>
      <c r="D10966" s="8"/>
      <c r="E10966" s="6"/>
      <c r="F10966" s="6"/>
    </row>
    <row r="10967" spans="1:6" x14ac:dyDescent="0.3">
      <c r="A10967" s="8" t="s">
        <v>21891</v>
      </c>
      <c r="B10967" s="8" t="s">
        <v>64569</v>
      </c>
      <c r="C10967" s="8" t="s">
        <v>21892</v>
      </c>
      <c r="D10967" s="8"/>
      <c r="E10967" s="6"/>
      <c r="F10967" s="6"/>
    </row>
    <row r="10968" spans="1:6" x14ac:dyDescent="0.3">
      <c r="A10968" s="8" t="s">
        <v>21893</v>
      </c>
      <c r="B10968" s="8" t="s">
        <v>64570</v>
      </c>
      <c r="C10968" s="8" t="s">
        <v>21894</v>
      </c>
      <c r="D10968" s="8"/>
      <c r="E10968" s="6"/>
      <c r="F10968" s="6"/>
    </row>
    <row r="10969" spans="1:6" x14ac:dyDescent="0.3">
      <c r="A10969" s="8" t="s">
        <v>21895</v>
      </c>
      <c r="B10969" s="8" t="s">
        <v>64571</v>
      </c>
      <c r="C10969" s="8" t="s">
        <v>21896</v>
      </c>
      <c r="D10969" s="8"/>
      <c r="E10969" s="6"/>
      <c r="F10969" s="6"/>
    </row>
    <row r="10970" spans="1:6" x14ac:dyDescent="0.3">
      <c r="A10970" s="8" t="s">
        <v>21897</v>
      </c>
      <c r="B10970" s="8" t="s">
        <v>64572</v>
      </c>
      <c r="C10970" s="8" t="s">
        <v>21898</v>
      </c>
      <c r="D10970" s="8"/>
      <c r="E10970" s="6"/>
      <c r="F10970" s="6"/>
    </row>
    <row r="10971" spans="1:6" x14ac:dyDescent="0.3">
      <c r="A10971" s="8" t="s">
        <v>21899</v>
      </c>
      <c r="B10971" s="8" t="s">
        <v>64573</v>
      </c>
      <c r="C10971" s="8" t="s">
        <v>21900</v>
      </c>
      <c r="D10971" s="8"/>
      <c r="E10971" s="6"/>
      <c r="F10971" s="6"/>
    </row>
    <row r="10972" spans="1:6" x14ac:dyDescent="0.3">
      <c r="A10972" s="8" t="s">
        <v>21901</v>
      </c>
      <c r="B10972" s="8" t="s">
        <v>64574</v>
      </c>
      <c r="C10972" s="8" t="s">
        <v>21902</v>
      </c>
      <c r="D10972" s="8"/>
      <c r="E10972" s="6"/>
      <c r="F10972" s="6"/>
    </row>
    <row r="10973" spans="1:6" x14ac:dyDescent="0.3">
      <c r="A10973" s="8" t="s">
        <v>21903</v>
      </c>
      <c r="B10973" s="8" t="s">
        <v>64575</v>
      </c>
      <c r="C10973" s="8" t="s">
        <v>21904</v>
      </c>
      <c r="D10973" s="8"/>
      <c r="E10973" s="6"/>
      <c r="F10973" s="6"/>
    </row>
    <row r="10974" spans="1:6" x14ac:dyDescent="0.3">
      <c r="A10974" s="8" t="s">
        <v>21905</v>
      </c>
      <c r="B10974" s="8" t="s">
        <v>64576</v>
      </c>
      <c r="C10974" s="8" t="s">
        <v>21906</v>
      </c>
      <c r="D10974" s="8"/>
      <c r="E10974" s="6"/>
      <c r="F10974" s="6"/>
    </row>
    <row r="10975" spans="1:6" x14ac:dyDescent="0.3">
      <c r="A10975" s="8" t="s">
        <v>21907</v>
      </c>
      <c r="B10975" s="8" t="s">
        <v>64577</v>
      </c>
      <c r="C10975" s="8" t="s">
        <v>21908</v>
      </c>
      <c r="D10975" s="8"/>
      <c r="E10975" s="6"/>
      <c r="F10975" s="6"/>
    </row>
    <row r="10976" spans="1:6" x14ac:dyDescent="0.3">
      <c r="A10976" s="8" t="s">
        <v>21909</v>
      </c>
      <c r="B10976" s="8" t="s">
        <v>64578</v>
      </c>
      <c r="C10976" s="8" t="s">
        <v>21910</v>
      </c>
      <c r="D10976" s="8"/>
      <c r="E10976" s="6"/>
      <c r="F10976" s="6"/>
    </row>
    <row r="10977" spans="1:6" x14ac:dyDescent="0.3">
      <c r="A10977" s="8" t="s">
        <v>21911</v>
      </c>
      <c r="B10977" s="8" t="s">
        <v>64579</v>
      </c>
      <c r="C10977" s="8" t="s">
        <v>21912</v>
      </c>
      <c r="D10977" s="8"/>
      <c r="E10977" s="6"/>
      <c r="F10977" s="6"/>
    </row>
    <row r="10978" spans="1:6" x14ac:dyDescent="0.3">
      <c r="A10978" s="8" t="s">
        <v>21913</v>
      </c>
      <c r="B10978" s="8" t="s">
        <v>64580</v>
      </c>
      <c r="C10978" s="8" t="s">
        <v>21914</v>
      </c>
      <c r="D10978" s="8"/>
      <c r="E10978" s="6"/>
      <c r="F10978" s="6"/>
    </row>
    <row r="10979" spans="1:6" x14ac:dyDescent="0.3">
      <c r="A10979" s="8" t="s">
        <v>21915</v>
      </c>
      <c r="B10979" s="8" t="s">
        <v>64581</v>
      </c>
      <c r="C10979" s="8" t="s">
        <v>21916</v>
      </c>
      <c r="D10979" s="8"/>
      <c r="E10979" s="6"/>
      <c r="F10979" s="6"/>
    </row>
    <row r="10980" spans="1:6" x14ac:dyDescent="0.3">
      <c r="A10980" s="8" t="s">
        <v>21917</v>
      </c>
      <c r="B10980" s="8" t="s">
        <v>64582</v>
      </c>
      <c r="C10980" s="8" t="s">
        <v>21918</v>
      </c>
      <c r="D10980" s="8"/>
      <c r="E10980" s="6"/>
      <c r="F10980" s="6"/>
    </row>
    <row r="10981" spans="1:6" x14ac:dyDescent="0.3">
      <c r="A10981" s="8" t="s">
        <v>21919</v>
      </c>
      <c r="B10981" s="8" t="s">
        <v>64583</v>
      </c>
      <c r="C10981" s="8" t="s">
        <v>21920</v>
      </c>
      <c r="D10981" s="8"/>
      <c r="E10981" s="6"/>
      <c r="F10981" s="6"/>
    </row>
    <row r="10982" spans="1:6" x14ac:dyDescent="0.3">
      <c r="A10982" s="8" t="s">
        <v>21921</v>
      </c>
      <c r="B10982" s="8" t="s">
        <v>64584</v>
      </c>
      <c r="C10982" s="8" t="s">
        <v>21922</v>
      </c>
      <c r="D10982" s="8"/>
      <c r="E10982" s="6"/>
      <c r="F10982" s="6"/>
    </row>
    <row r="10983" spans="1:6" x14ac:dyDescent="0.3">
      <c r="A10983" s="8" t="s">
        <v>21923</v>
      </c>
      <c r="B10983" s="8" t="s">
        <v>64585</v>
      </c>
      <c r="C10983" s="8" t="s">
        <v>21924</v>
      </c>
      <c r="D10983" s="8"/>
      <c r="E10983" s="6"/>
      <c r="F10983" s="6"/>
    </row>
    <row r="10984" spans="1:6" x14ac:dyDescent="0.3">
      <c r="A10984" s="8" t="s">
        <v>21925</v>
      </c>
      <c r="B10984" s="8" t="s">
        <v>64586</v>
      </c>
      <c r="C10984" s="8" t="s">
        <v>21926</v>
      </c>
      <c r="D10984" s="8"/>
      <c r="E10984" s="6"/>
      <c r="F10984" s="6"/>
    </row>
    <row r="10985" spans="1:6" x14ac:dyDescent="0.3">
      <c r="A10985" s="8" t="s">
        <v>21927</v>
      </c>
      <c r="B10985" s="8" t="s">
        <v>64587</v>
      </c>
      <c r="C10985" s="8" t="s">
        <v>21928</v>
      </c>
      <c r="D10985" s="8"/>
      <c r="E10985" s="6"/>
      <c r="F10985" s="6"/>
    </row>
    <row r="10986" spans="1:6" x14ac:dyDescent="0.3">
      <c r="A10986" s="8" t="s">
        <v>21929</v>
      </c>
      <c r="B10986" s="8" t="s">
        <v>64588</v>
      </c>
      <c r="C10986" s="8" t="s">
        <v>21930</v>
      </c>
      <c r="D10986" s="8"/>
      <c r="E10986" s="6"/>
      <c r="F10986" s="6"/>
    </row>
    <row r="10987" spans="1:6" x14ac:dyDescent="0.3">
      <c r="A10987" s="8" t="s">
        <v>21931</v>
      </c>
      <c r="B10987" s="8" t="s">
        <v>64589</v>
      </c>
      <c r="C10987" s="8" t="s">
        <v>21932</v>
      </c>
      <c r="D10987" s="8"/>
      <c r="E10987" s="6"/>
      <c r="F10987" s="6"/>
    </row>
    <row r="10988" spans="1:6" x14ac:dyDescent="0.3">
      <c r="A10988" s="8" t="s">
        <v>21933</v>
      </c>
      <c r="B10988" s="8" t="s">
        <v>64590</v>
      </c>
      <c r="C10988" s="8" t="s">
        <v>21934</v>
      </c>
      <c r="D10988" s="8"/>
      <c r="E10988" s="6"/>
      <c r="F10988" s="6"/>
    </row>
    <row r="10989" spans="1:6" x14ac:dyDescent="0.3">
      <c r="A10989" s="8" t="s">
        <v>21935</v>
      </c>
      <c r="B10989" s="8" t="s">
        <v>64591</v>
      </c>
      <c r="C10989" s="8" t="s">
        <v>21936</v>
      </c>
      <c r="D10989" s="8"/>
      <c r="E10989" s="6"/>
      <c r="F10989" s="6"/>
    </row>
    <row r="10990" spans="1:6" x14ac:dyDescent="0.3">
      <c r="A10990" s="8" t="s">
        <v>21937</v>
      </c>
      <c r="B10990" s="8" t="s">
        <v>64592</v>
      </c>
      <c r="C10990" s="8" t="s">
        <v>21938</v>
      </c>
      <c r="D10990" s="8"/>
      <c r="E10990" s="6"/>
      <c r="F10990" s="6"/>
    </row>
    <row r="10991" spans="1:6" x14ac:dyDescent="0.3">
      <c r="A10991" s="8" t="s">
        <v>21939</v>
      </c>
      <c r="B10991" s="8" t="s">
        <v>64593</v>
      </c>
      <c r="C10991" s="8" t="s">
        <v>21940</v>
      </c>
      <c r="D10991" s="8"/>
      <c r="E10991" s="6"/>
      <c r="F10991" s="6"/>
    </row>
    <row r="10992" spans="1:6" x14ac:dyDescent="0.3">
      <c r="A10992" s="8" t="s">
        <v>21941</v>
      </c>
      <c r="B10992" s="8" t="s">
        <v>64594</v>
      </c>
      <c r="C10992" s="8" t="s">
        <v>21942</v>
      </c>
      <c r="D10992" s="8"/>
      <c r="E10992" s="6"/>
      <c r="F10992" s="6"/>
    </row>
    <row r="10993" spans="1:6" x14ac:dyDescent="0.3">
      <c r="A10993" s="8" t="s">
        <v>21943</v>
      </c>
      <c r="B10993" s="8" t="s">
        <v>64595</v>
      </c>
      <c r="C10993" s="8" t="s">
        <v>21944</v>
      </c>
      <c r="D10993" s="8"/>
      <c r="E10993" s="6"/>
      <c r="F10993" s="6"/>
    </row>
    <row r="10994" spans="1:6" x14ac:dyDescent="0.3">
      <c r="A10994" s="8" t="s">
        <v>21945</v>
      </c>
      <c r="B10994" s="8" t="s">
        <v>64596</v>
      </c>
      <c r="C10994" s="8" t="s">
        <v>21946</v>
      </c>
      <c r="D10994" s="8"/>
      <c r="E10994" s="6"/>
      <c r="F10994" s="6"/>
    </row>
    <row r="10995" spans="1:6" x14ac:dyDescent="0.3">
      <c r="A10995" s="8" t="s">
        <v>21947</v>
      </c>
      <c r="B10995" s="8" t="s">
        <v>64597</v>
      </c>
      <c r="C10995" s="8" t="s">
        <v>21948</v>
      </c>
      <c r="D10995" s="8"/>
      <c r="E10995" s="6"/>
      <c r="F10995" s="6"/>
    </row>
    <row r="10996" spans="1:6" x14ac:dyDescent="0.3">
      <c r="A10996" s="8" t="s">
        <v>21949</v>
      </c>
      <c r="B10996" s="8" t="s">
        <v>64598</v>
      </c>
      <c r="C10996" s="8" t="s">
        <v>21950</v>
      </c>
      <c r="D10996" s="8"/>
      <c r="E10996" s="6"/>
      <c r="F10996" s="6"/>
    </row>
    <row r="10997" spans="1:6" x14ac:dyDescent="0.3">
      <c r="A10997" s="8" t="s">
        <v>21951</v>
      </c>
      <c r="B10997" s="8" t="s">
        <v>64599</v>
      </c>
      <c r="C10997" s="8" t="s">
        <v>21952</v>
      </c>
      <c r="D10997" s="8"/>
      <c r="E10997" s="6"/>
      <c r="F10997" s="6"/>
    </row>
    <row r="10998" spans="1:6" x14ac:dyDescent="0.3">
      <c r="A10998" s="8" t="s">
        <v>21953</v>
      </c>
      <c r="B10998" s="8" t="s">
        <v>64600</v>
      </c>
      <c r="C10998" s="8" t="s">
        <v>21954</v>
      </c>
      <c r="D10998" s="8"/>
      <c r="E10998" s="6"/>
      <c r="F10998" s="6"/>
    </row>
    <row r="10999" spans="1:6" x14ac:dyDescent="0.3">
      <c r="A10999" s="8" t="s">
        <v>21955</v>
      </c>
      <c r="B10999" s="8" t="s">
        <v>64601</v>
      </c>
      <c r="C10999" s="8" t="s">
        <v>21956</v>
      </c>
      <c r="D10999" s="8"/>
      <c r="E10999" s="6"/>
      <c r="F10999" s="6"/>
    </row>
    <row r="11000" spans="1:6" x14ac:dyDescent="0.3">
      <c r="A11000" s="8" t="s">
        <v>21957</v>
      </c>
      <c r="B11000" s="8" t="s">
        <v>64602</v>
      </c>
      <c r="C11000" s="8" t="s">
        <v>21958</v>
      </c>
      <c r="D11000" s="8"/>
      <c r="E11000" s="6"/>
      <c r="F11000" s="6"/>
    </row>
    <row r="11001" spans="1:6" x14ac:dyDescent="0.3">
      <c r="A11001" s="8" t="s">
        <v>21959</v>
      </c>
      <c r="B11001" s="8" t="s">
        <v>64603</v>
      </c>
      <c r="C11001" s="8" t="s">
        <v>21960</v>
      </c>
      <c r="D11001" s="8"/>
      <c r="E11001" s="6"/>
      <c r="F11001" s="6"/>
    </row>
    <row r="11002" spans="1:6" x14ac:dyDescent="0.3">
      <c r="A11002" s="8" t="s">
        <v>21961</v>
      </c>
      <c r="B11002" s="8" t="s">
        <v>64604</v>
      </c>
      <c r="C11002" s="8" t="s">
        <v>21962</v>
      </c>
      <c r="D11002" s="8"/>
      <c r="E11002" s="6"/>
      <c r="F11002" s="6"/>
    </row>
    <row r="11003" spans="1:6" x14ac:dyDescent="0.3">
      <c r="A11003" s="8" t="s">
        <v>21963</v>
      </c>
      <c r="B11003" s="8" t="s">
        <v>64605</v>
      </c>
      <c r="C11003" s="8" t="s">
        <v>21964</v>
      </c>
      <c r="D11003" s="8"/>
      <c r="E11003" s="6"/>
      <c r="F11003" s="6"/>
    </row>
    <row r="11004" spans="1:6" x14ac:dyDescent="0.3">
      <c r="A11004" s="8" t="s">
        <v>21965</v>
      </c>
      <c r="B11004" s="8" t="s">
        <v>64606</v>
      </c>
      <c r="C11004" s="8" t="s">
        <v>21966</v>
      </c>
      <c r="D11004" s="8"/>
      <c r="E11004" s="6"/>
      <c r="F11004" s="6"/>
    </row>
    <row r="11005" spans="1:6" x14ac:dyDescent="0.3">
      <c r="A11005" s="8" t="s">
        <v>21967</v>
      </c>
      <c r="B11005" s="8" t="s">
        <v>64607</v>
      </c>
      <c r="C11005" s="8" t="s">
        <v>21968</v>
      </c>
      <c r="D11005" s="8"/>
      <c r="E11005" s="6"/>
      <c r="F11005" s="6"/>
    </row>
    <row r="11006" spans="1:6" x14ac:dyDescent="0.3">
      <c r="A11006" s="8" t="s">
        <v>21969</v>
      </c>
      <c r="B11006" s="8" t="s">
        <v>64608</v>
      </c>
      <c r="C11006" s="8" t="s">
        <v>21970</v>
      </c>
      <c r="D11006" s="8"/>
      <c r="E11006" s="6"/>
      <c r="F11006" s="6"/>
    </row>
    <row r="11007" spans="1:6" x14ac:dyDescent="0.3">
      <c r="A11007" s="8" t="s">
        <v>21971</v>
      </c>
      <c r="B11007" s="8" t="s">
        <v>64609</v>
      </c>
      <c r="C11007" s="8" t="s">
        <v>21972</v>
      </c>
      <c r="D11007" s="8"/>
      <c r="E11007" s="6"/>
      <c r="F11007" s="6"/>
    </row>
    <row r="11008" spans="1:6" x14ac:dyDescent="0.3">
      <c r="A11008" s="8" t="s">
        <v>21973</v>
      </c>
      <c r="B11008" s="8" t="s">
        <v>64610</v>
      </c>
      <c r="C11008" s="8" t="s">
        <v>21974</v>
      </c>
      <c r="D11008" s="8"/>
      <c r="E11008" s="6"/>
      <c r="F11008" s="6"/>
    </row>
    <row r="11009" spans="1:6" x14ac:dyDescent="0.3">
      <c r="A11009" s="8" t="s">
        <v>21975</v>
      </c>
      <c r="B11009" s="8" t="s">
        <v>64611</v>
      </c>
      <c r="C11009" s="8" t="s">
        <v>21976</v>
      </c>
      <c r="D11009" s="8"/>
      <c r="E11009" s="6"/>
      <c r="F11009" s="6"/>
    </row>
    <row r="11010" spans="1:6" x14ac:dyDescent="0.3">
      <c r="A11010" s="8" t="s">
        <v>21977</v>
      </c>
      <c r="B11010" s="8" t="s">
        <v>64612</v>
      </c>
      <c r="C11010" s="8" t="s">
        <v>21978</v>
      </c>
      <c r="D11010" s="8"/>
      <c r="E11010" s="6"/>
      <c r="F11010" s="6"/>
    </row>
    <row r="11011" spans="1:6" x14ac:dyDescent="0.3">
      <c r="A11011" s="8" t="s">
        <v>21979</v>
      </c>
      <c r="B11011" s="8" t="s">
        <v>64613</v>
      </c>
      <c r="C11011" s="8" t="s">
        <v>21980</v>
      </c>
      <c r="D11011" s="8"/>
      <c r="E11011" s="6"/>
      <c r="F11011" s="6"/>
    </row>
    <row r="11012" spans="1:6" x14ac:dyDescent="0.3">
      <c r="A11012" s="8" t="s">
        <v>21981</v>
      </c>
      <c r="B11012" s="8" t="s">
        <v>64614</v>
      </c>
      <c r="C11012" s="8" t="s">
        <v>21982</v>
      </c>
      <c r="D11012" s="8"/>
      <c r="E11012" s="6"/>
      <c r="F11012" s="6"/>
    </row>
    <row r="11013" spans="1:6" x14ac:dyDescent="0.3">
      <c r="A11013" s="8" t="s">
        <v>21983</v>
      </c>
      <c r="B11013" s="8" t="s">
        <v>64615</v>
      </c>
      <c r="C11013" s="8" t="s">
        <v>21984</v>
      </c>
      <c r="D11013" s="8"/>
      <c r="E11013" s="6"/>
      <c r="F11013" s="6"/>
    </row>
    <row r="11014" spans="1:6" x14ac:dyDescent="0.3">
      <c r="A11014" s="8" t="s">
        <v>21985</v>
      </c>
      <c r="B11014" s="8" t="s">
        <v>64616</v>
      </c>
      <c r="C11014" s="8" t="s">
        <v>21986</v>
      </c>
      <c r="D11014" s="8"/>
      <c r="E11014" s="6"/>
      <c r="F11014" s="6"/>
    </row>
    <row r="11015" spans="1:6" x14ac:dyDescent="0.3">
      <c r="A11015" s="8" t="s">
        <v>21987</v>
      </c>
      <c r="B11015" s="8" t="s">
        <v>64617</v>
      </c>
      <c r="C11015" s="8" t="s">
        <v>21988</v>
      </c>
      <c r="D11015" s="8"/>
      <c r="E11015" s="6"/>
      <c r="F11015" s="6"/>
    </row>
    <row r="11016" spans="1:6" x14ac:dyDescent="0.3">
      <c r="A11016" s="8" t="s">
        <v>21989</v>
      </c>
      <c r="B11016" s="8" t="s">
        <v>64618</v>
      </c>
      <c r="C11016" s="8" t="s">
        <v>21990</v>
      </c>
      <c r="D11016" s="8"/>
      <c r="E11016" s="6"/>
      <c r="F11016" s="6"/>
    </row>
    <row r="11017" spans="1:6" x14ac:dyDescent="0.3">
      <c r="A11017" s="8" t="s">
        <v>21991</v>
      </c>
      <c r="B11017" s="8" t="s">
        <v>64619</v>
      </c>
      <c r="C11017" s="8" t="s">
        <v>21992</v>
      </c>
      <c r="D11017" s="8"/>
      <c r="E11017" s="6"/>
      <c r="F11017" s="6"/>
    </row>
    <row r="11018" spans="1:6" x14ac:dyDescent="0.3">
      <c r="A11018" s="8" t="s">
        <v>21993</v>
      </c>
      <c r="B11018" s="8" t="s">
        <v>64620</v>
      </c>
      <c r="C11018" s="8" t="s">
        <v>21994</v>
      </c>
      <c r="D11018" s="8"/>
      <c r="E11018" s="6"/>
      <c r="F11018" s="6"/>
    </row>
    <row r="11019" spans="1:6" x14ac:dyDescent="0.3">
      <c r="A11019" s="8" t="s">
        <v>21995</v>
      </c>
      <c r="B11019" s="8" t="s">
        <v>64621</v>
      </c>
      <c r="C11019" s="8" t="s">
        <v>21996</v>
      </c>
      <c r="D11019" s="8"/>
      <c r="E11019" s="6"/>
      <c r="F11019" s="6"/>
    </row>
    <row r="11020" spans="1:6" x14ac:dyDescent="0.3">
      <c r="A11020" s="8" t="s">
        <v>21997</v>
      </c>
      <c r="B11020" s="8" t="s">
        <v>64622</v>
      </c>
      <c r="C11020" s="8" t="s">
        <v>21998</v>
      </c>
      <c r="D11020" s="8"/>
      <c r="E11020" s="6"/>
      <c r="F11020" s="6"/>
    </row>
    <row r="11021" spans="1:6" x14ac:dyDescent="0.3">
      <c r="A11021" s="8" t="s">
        <v>21999</v>
      </c>
      <c r="B11021" s="8" t="s">
        <v>64623</v>
      </c>
      <c r="C11021" s="8" t="s">
        <v>22000</v>
      </c>
      <c r="D11021" s="8"/>
      <c r="E11021" s="6"/>
      <c r="F11021" s="6"/>
    </row>
    <row r="11022" spans="1:6" x14ac:dyDescent="0.3">
      <c r="A11022" s="8" t="s">
        <v>22001</v>
      </c>
      <c r="B11022" s="8" t="s">
        <v>64624</v>
      </c>
      <c r="C11022" s="8" t="s">
        <v>22002</v>
      </c>
      <c r="D11022" s="8"/>
      <c r="E11022" s="6"/>
      <c r="F11022" s="6"/>
    </row>
    <row r="11023" spans="1:6" x14ac:dyDescent="0.3">
      <c r="A11023" s="8" t="s">
        <v>22003</v>
      </c>
      <c r="B11023" s="8" t="s">
        <v>64625</v>
      </c>
      <c r="C11023" s="8" t="s">
        <v>22004</v>
      </c>
      <c r="D11023" s="8"/>
      <c r="E11023" s="6"/>
      <c r="F11023" s="6"/>
    </row>
    <row r="11024" spans="1:6" x14ac:dyDescent="0.3">
      <c r="A11024" s="8" t="s">
        <v>22005</v>
      </c>
      <c r="B11024" s="8" t="s">
        <v>64626</v>
      </c>
      <c r="C11024" s="8" t="s">
        <v>22006</v>
      </c>
      <c r="D11024" s="8"/>
      <c r="E11024" s="6"/>
      <c r="F11024" s="6"/>
    </row>
    <row r="11025" spans="1:6" x14ac:dyDescent="0.3">
      <c r="A11025" s="8" t="s">
        <v>22007</v>
      </c>
      <c r="B11025" s="8" t="s">
        <v>64627</v>
      </c>
      <c r="C11025" s="8" t="s">
        <v>22008</v>
      </c>
      <c r="D11025" s="8"/>
      <c r="E11025" s="6"/>
      <c r="F11025" s="6"/>
    </row>
    <row r="11026" spans="1:6" x14ac:dyDescent="0.3">
      <c r="A11026" s="8" t="s">
        <v>22009</v>
      </c>
      <c r="B11026" s="8" t="s">
        <v>64628</v>
      </c>
      <c r="C11026" s="8" t="s">
        <v>22010</v>
      </c>
      <c r="D11026" s="8"/>
      <c r="E11026" s="6"/>
      <c r="F11026" s="6"/>
    </row>
    <row r="11027" spans="1:6" x14ac:dyDescent="0.3">
      <c r="A11027" s="8" t="s">
        <v>22011</v>
      </c>
      <c r="B11027" s="8" t="s">
        <v>64629</v>
      </c>
      <c r="C11027" s="8" t="s">
        <v>22012</v>
      </c>
      <c r="D11027" s="8"/>
      <c r="E11027" s="6"/>
      <c r="F11027" s="6"/>
    </row>
    <row r="11028" spans="1:6" x14ac:dyDescent="0.3">
      <c r="A11028" s="8" t="s">
        <v>22013</v>
      </c>
      <c r="B11028" s="8" t="s">
        <v>64630</v>
      </c>
      <c r="C11028" s="8" t="s">
        <v>22014</v>
      </c>
      <c r="D11028" s="8"/>
      <c r="E11028" s="6"/>
      <c r="F11028" s="6"/>
    </row>
    <row r="11029" spans="1:6" x14ac:dyDescent="0.3">
      <c r="A11029" s="8" t="s">
        <v>22015</v>
      </c>
      <c r="B11029" s="8" t="s">
        <v>64631</v>
      </c>
      <c r="C11029" s="8" t="s">
        <v>22016</v>
      </c>
      <c r="D11029" s="8"/>
      <c r="E11029" s="6"/>
      <c r="F11029" s="6"/>
    </row>
    <row r="11030" spans="1:6" x14ac:dyDescent="0.3">
      <c r="A11030" s="8" t="s">
        <v>22017</v>
      </c>
      <c r="B11030" s="8" t="s">
        <v>64632</v>
      </c>
      <c r="C11030" s="8" t="s">
        <v>22018</v>
      </c>
      <c r="D11030" s="8"/>
      <c r="E11030" s="6"/>
      <c r="F11030" s="6"/>
    </row>
    <row r="11031" spans="1:6" x14ac:dyDescent="0.3">
      <c r="A11031" s="8" t="s">
        <v>22019</v>
      </c>
      <c r="B11031" s="8" t="s">
        <v>64633</v>
      </c>
      <c r="C11031" s="8" t="s">
        <v>22020</v>
      </c>
      <c r="D11031" s="8"/>
      <c r="E11031" s="6"/>
      <c r="F11031" s="6"/>
    </row>
    <row r="11032" spans="1:6" x14ac:dyDescent="0.3">
      <c r="A11032" s="8" t="s">
        <v>22021</v>
      </c>
      <c r="B11032" s="8" t="s">
        <v>64634</v>
      </c>
      <c r="C11032" s="8" t="s">
        <v>22022</v>
      </c>
      <c r="D11032" s="8"/>
      <c r="E11032" s="6"/>
      <c r="F11032" s="6"/>
    </row>
    <row r="11033" spans="1:6" x14ac:dyDescent="0.3">
      <c r="A11033" s="8" t="s">
        <v>22023</v>
      </c>
      <c r="B11033" s="8" t="s">
        <v>64635</v>
      </c>
      <c r="C11033" s="8" t="s">
        <v>22024</v>
      </c>
      <c r="D11033" s="8"/>
      <c r="E11033" s="6"/>
      <c r="F11033" s="6"/>
    </row>
    <row r="11034" spans="1:6" x14ac:dyDescent="0.3">
      <c r="A11034" s="8" t="s">
        <v>22025</v>
      </c>
      <c r="B11034" s="8" t="s">
        <v>64636</v>
      </c>
      <c r="C11034" s="8" t="s">
        <v>22026</v>
      </c>
      <c r="D11034" s="8"/>
      <c r="E11034" s="6"/>
      <c r="F11034" s="6"/>
    </row>
    <row r="11035" spans="1:6" x14ac:dyDescent="0.3">
      <c r="A11035" s="8" t="s">
        <v>22027</v>
      </c>
      <c r="B11035" s="8" t="s">
        <v>64637</v>
      </c>
      <c r="C11035" s="8" t="s">
        <v>22028</v>
      </c>
      <c r="D11035" s="8"/>
      <c r="E11035" s="6"/>
      <c r="F11035" s="6"/>
    </row>
    <row r="11036" spans="1:6" x14ac:dyDescent="0.3">
      <c r="A11036" s="8" t="s">
        <v>22029</v>
      </c>
      <c r="B11036" s="8" t="s">
        <v>64638</v>
      </c>
      <c r="C11036" s="8" t="s">
        <v>22030</v>
      </c>
      <c r="D11036" s="8"/>
      <c r="E11036" s="6"/>
      <c r="F11036" s="6"/>
    </row>
    <row r="11037" spans="1:6" x14ac:dyDescent="0.3">
      <c r="A11037" s="8" t="s">
        <v>22031</v>
      </c>
      <c r="B11037" s="8" t="s">
        <v>64639</v>
      </c>
      <c r="C11037" s="8" t="s">
        <v>22032</v>
      </c>
      <c r="D11037" s="8"/>
      <c r="E11037" s="6"/>
      <c r="F11037" s="6"/>
    </row>
    <row r="11038" spans="1:6" x14ac:dyDescent="0.3">
      <c r="A11038" s="8" t="s">
        <v>22033</v>
      </c>
      <c r="B11038" s="8" t="s">
        <v>64640</v>
      </c>
      <c r="C11038" s="8" t="s">
        <v>22034</v>
      </c>
      <c r="D11038" s="8"/>
      <c r="E11038" s="6"/>
      <c r="F11038" s="6"/>
    </row>
    <row r="11039" spans="1:6" x14ac:dyDescent="0.3">
      <c r="A11039" s="8" t="s">
        <v>22035</v>
      </c>
      <c r="B11039" s="8" t="s">
        <v>64641</v>
      </c>
      <c r="C11039" s="8" t="s">
        <v>22036</v>
      </c>
      <c r="D11039" s="8"/>
      <c r="E11039" s="6"/>
      <c r="F11039" s="6"/>
    </row>
    <row r="11040" spans="1:6" x14ac:dyDescent="0.3">
      <c r="A11040" s="8" t="s">
        <v>22037</v>
      </c>
      <c r="B11040" s="8" t="s">
        <v>64642</v>
      </c>
      <c r="C11040" s="8" t="s">
        <v>22038</v>
      </c>
      <c r="D11040" s="8"/>
      <c r="E11040" s="6"/>
      <c r="F11040" s="6"/>
    </row>
    <row r="11041" spans="1:6" x14ac:dyDescent="0.3">
      <c r="A11041" s="8" t="s">
        <v>22039</v>
      </c>
      <c r="B11041" s="8" t="s">
        <v>64643</v>
      </c>
      <c r="C11041" s="8" t="s">
        <v>22040</v>
      </c>
      <c r="D11041" s="8"/>
      <c r="E11041" s="6"/>
      <c r="F11041" s="6"/>
    </row>
    <row r="11042" spans="1:6" x14ac:dyDescent="0.3">
      <c r="A11042" s="8" t="s">
        <v>22041</v>
      </c>
      <c r="B11042" s="8" t="s">
        <v>64644</v>
      </c>
      <c r="C11042" s="8" t="s">
        <v>22042</v>
      </c>
      <c r="D11042" s="8"/>
      <c r="E11042" s="6"/>
      <c r="F11042" s="6"/>
    </row>
    <row r="11043" spans="1:6" x14ac:dyDescent="0.3">
      <c r="A11043" s="8" t="s">
        <v>22043</v>
      </c>
      <c r="B11043" s="8" t="s">
        <v>64645</v>
      </c>
      <c r="C11043" s="8" t="s">
        <v>22044</v>
      </c>
      <c r="D11043" s="8"/>
      <c r="E11043" s="6"/>
      <c r="F11043" s="6"/>
    </row>
    <row r="11044" spans="1:6" x14ac:dyDescent="0.3">
      <c r="A11044" s="8" t="s">
        <v>22045</v>
      </c>
      <c r="B11044" s="8" t="s">
        <v>64646</v>
      </c>
      <c r="C11044" s="8" t="s">
        <v>22046</v>
      </c>
      <c r="D11044" s="8"/>
      <c r="E11044" s="6"/>
      <c r="F11044" s="6"/>
    </row>
    <row r="11045" spans="1:6" x14ac:dyDescent="0.3">
      <c r="A11045" s="8" t="s">
        <v>22047</v>
      </c>
      <c r="B11045" s="8" t="s">
        <v>64647</v>
      </c>
      <c r="C11045" s="8" t="s">
        <v>22048</v>
      </c>
      <c r="D11045" s="8"/>
      <c r="E11045" s="6"/>
      <c r="F11045" s="6"/>
    </row>
    <row r="11046" spans="1:6" x14ac:dyDescent="0.3">
      <c r="A11046" s="8" t="s">
        <v>22049</v>
      </c>
      <c r="B11046" s="8" t="s">
        <v>64648</v>
      </c>
      <c r="C11046" s="8" t="s">
        <v>22050</v>
      </c>
      <c r="D11046" s="8"/>
      <c r="E11046" s="6"/>
      <c r="F11046" s="6"/>
    </row>
    <row r="11047" spans="1:6" x14ac:dyDescent="0.3">
      <c r="A11047" s="8" t="s">
        <v>22051</v>
      </c>
      <c r="B11047" s="8" t="s">
        <v>64649</v>
      </c>
      <c r="C11047" s="8" t="s">
        <v>22052</v>
      </c>
      <c r="D11047" s="8"/>
      <c r="E11047" s="6"/>
      <c r="F11047" s="6"/>
    </row>
    <row r="11048" spans="1:6" x14ac:dyDescent="0.3">
      <c r="A11048" s="8" t="s">
        <v>22053</v>
      </c>
      <c r="B11048" s="8" t="s">
        <v>64650</v>
      </c>
      <c r="C11048" s="8" t="s">
        <v>22054</v>
      </c>
      <c r="D11048" s="8"/>
      <c r="E11048" s="6"/>
      <c r="F11048" s="6"/>
    </row>
    <row r="11049" spans="1:6" x14ac:dyDescent="0.3">
      <c r="A11049" s="8" t="s">
        <v>22055</v>
      </c>
      <c r="B11049" s="8" t="s">
        <v>64651</v>
      </c>
      <c r="C11049" s="8" t="s">
        <v>22056</v>
      </c>
      <c r="D11049" s="8"/>
      <c r="E11049" s="6"/>
      <c r="F11049" s="6"/>
    </row>
    <row r="11050" spans="1:6" x14ac:dyDescent="0.3">
      <c r="A11050" s="8" t="s">
        <v>22057</v>
      </c>
      <c r="B11050" s="8" t="s">
        <v>64652</v>
      </c>
      <c r="C11050" s="8" t="s">
        <v>22058</v>
      </c>
      <c r="D11050" s="8"/>
      <c r="E11050" s="6"/>
      <c r="F11050" s="6"/>
    </row>
    <row r="11051" spans="1:6" x14ac:dyDescent="0.3">
      <c r="A11051" s="8" t="s">
        <v>22059</v>
      </c>
      <c r="B11051" s="8" t="s">
        <v>64653</v>
      </c>
      <c r="C11051" s="8" t="s">
        <v>22060</v>
      </c>
      <c r="D11051" s="8"/>
      <c r="E11051" s="6"/>
      <c r="F11051" s="6"/>
    </row>
    <row r="11052" spans="1:6" x14ac:dyDescent="0.3">
      <c r="A11052" s="8" t="s">
        <v>22061</v>
      </c>
      <c r="B11052" s="8" t="s">
        <v>64654</v>
      </c>
      <c r="C11052" s="8" t="s">
        <v>22062</v>
      </c>
      <c r="D11052" s="8"/>
      <c r="E11052" s="6"/>
      <c r="F11052" s="6"/>
    </row>
    <row r="11053" spans="1:6" x14ac:dyDescent="0.3">
      <c r="A11053" s="8" t="s">
        <v>22063</v>
      </c>
      <c r="B11053" s="8" t="s">
        <v>64655</v>
      </c>
      <c r="C11053" s="8" t="s">
        <v>22064</v>
      </c>
      <c r="D11053" s="8"/>
      <c r="E11053" s="6"/>
      <c r="F11053" s="6"/>
    </row>
    <row r="11054" spans="1:6" x14ac:dyDescent="0.3">
      <c r="A11054" s="8" t="s">
        <v>22065</v>
      </c>
      <c r="B11054" s="8" t="s">
        <v>64656</v>
      </c>
      <c r="C11054" s="8" t="s">
        <v>22066</v>
      </c>
      <c r="D11054" s="8"/>
      <c r="E11054" s="6"/>
      <c r="F11054" s="6"/>
    </row>
    <row r="11055" spans="1:6" x14ac:dyDescent="0.3">
      <c r="A11055" s="8" t="s">
        <v>22067</v>
      </c>
      <c r="B11055" s="8" t="s">
        <v>64657</v>
      </c>
      <c r="C11055" s="8" t="s">
        <v>22068</v>
      </c>
      <c r="D11055" s="8"/>
      <c r="E11055" s="6"/>
      <c r="F11055" s="6"/>
    </row>
    <row r="11056" spans="1:6" x14ac:dyDescent="0.3">
      <c r="A11056" s="8" t="s">
        <v>22069</v>
      </c>
      <c r="B11056" s="8" t="s">
        <v>64658</v>
      </c>
      <c r="C11056" s="8" t="s">
        <v>22070</v>
      </c>
      <c r="D11056" s="8"/>
      <c r="E11056" s="6"/>
      <c r="F11056" s="6"/>
    </row>
    <row r="11057" spans="1:6" x14ac:dyDescent="0.3">
      <c r="A11057" s="8" t="s">
        <v>22071</v>
      </c>
      <c r="B11057" s="8" t="s">
        <v>64659</v>
      </c>
      <c r="C11057" s="8" t="s">
        <v>22072</v>
      </c>
      <c r="D11057" s="8"/>
      <c r="E11057" s="6"/>
      <c r="F11057" s="6"/>
    </row>
    <row r="11058" spans="1:6" x14ac:dyDescent="0.3">
      <c r="A11058" s="8" t="s">
        <v>22073</v>
      </c>
      <c r="B11058" s="8" t="s">
        <v>64660</v>
      </c>
      <c r="C11058" s="8" t="s">
        <v>22074</v>
      </c>
      <c r="D11058" s="8"/>
      <c r="E11058" s="6"/>
      <c r="F11058" s="6"/>
    </row>
    <row r="11059" spans="1:6" x14ac:dyDescent="0.3">
      <c r="A11059" s="8" t="s">
        <v>22075</v>
      </c>
      <c r="B11059" s="8" t="s">
        <v>64661</v>
      </c>
      <c r="C11059" s="8" t="s">
        <v>22076</v>
      </c>
      <c r="D11059" s="8"/>
      <c r="E11059" s="6"/>
      <c r="F11059" s="6"/>
    </row>
    <row r="11060" spans="1:6" x14ac:dyDescent="0.3">
      <c r="A11060" s="8" t="s">
        <v>22077</v>
      </c>
      <c r="B11060" s="8" t="s">
        <v>64662</v>
      </c>
      <c r="C11060" s="8" t="s">
        <v>22078</v>
      </c>
      <c r="D11060" s="8"/>
      <c r="E11060" s="6"/>
      <c r="F11060" s="6"/>
    </row>
    <row r="11061" spans="1:6" x14ac:dyDescent="0.3">
      <c r="A11061" s="8" t="s">
        <v>22079</v>
      </c>
      <c r="B11061" s="8" t="s">
        <v>64663</v>
      </c>
      <c r="C11061" s="8" t="s">
        <v>22080</v>
      </c>
      <c r="D11061" s="8"/>
      <c r="E11061" s="6"/>
      <c r="F11061" s="6"/>
    </row>
    <row r="11062" spans="1:6" x14ac:dyDescent="0.3">
      <c r="A11062" s="8" t="s">
        <v>22081</v>
      </c>
      <c r="B11062" s="8" t="s">
        <v>64664</v>
      </c>
      <c r="C11062" s="8" t="s">
        <v>22082</v>
      </c>
      <c r="D11062" s="8"/>
      <c r="E11062" s="6"/>
      <c r="F11062" s="6"/>
    </row>
    <row r="11063" spans="1:6" x14ac:dyDescent="0.3">
      <c r="A11063" s="8" t="s">
        <v>22083</v>
      </c>
      <c r="B11063" s="8" t="s">
        <v>64665</v>
      </c>
      <c r="C11063" s="8" t="s">
        <v>22084</v>
      </c>
      <c r="D11063" s="8"/>
      <c r="E11063" s="6"/>
      <c r="F11063" s="6"/>
    </row>
    <row r="11064" spans="1:6" x14ac:dyDescent="0.3">
      <c r="A11064" s="8" t="s">
        <v>22085</v>
      </c>
      <c r="B11064" s="8" t="s">
        <v>64666</v>
      </c>
      <c r="C11064" s="8" t="s">
        <v>22086</v>
      </c>
      <c r="D11064" s="8"/>
      <c r="E11064" s="6"/>
      <c r="F11064" s="6"/>
    </row>
    <row r="11065" spans="1:6" x14ac:dyDescent="0.3">
      <c r="A11065" s="8" t="s">
        <v>22087</v>
      </c>
      <c r="B11065" s="8" t="s">
        <v>64667</v>
      </c>
      <c r="C11065" s="8" t="s">
        <v>22088</v>
      </c>
      <c r="D11065" s="8"/>
      <c r="E11065" s="6"/>
      <c r="F11065" s="6"/>
    </row>
    <row r="11066" spans="1:6" x14ac:dyDescent="0.3">
      <c r="A11066" s="8" t="s">
        <v>22089</v>
      </c>
      <c r="B11066" s="8" t="s">
        <v>64668</v>
      </c>
      <c r="C11066" s="8" t="s">
        <v>22090</v>
      </c>
      <c r="D11066" s="8"/>
      <c r="E11066" s="6"/>
      <c r="F11066" s="6"/>
    </row>
    <row r="11067" spans="1:6" x14ac:dyDescent="0.3">
      <c r="A11067" s="8" t="s">
        <v>22091</v>
      </c>
      <c r="B11067" s="8" t="s">
        <v>64669</v>
      </c>
      <c r="C11067" s="8" t="s">
        <v>22092</v>
      </c>
      <c r="D11067" s="8"/>
      <c r="E11067" s="6"/>
      <c r="F11067" s="6"/>
    </row>
    <row r="11068" spans="1:6" x14ac:dyDescent="0.3">
      <c r="A11068" s="8" t="s">
        <v>22093</v>
      </c>
      <c r="B11068" s="8" t="s">
        <v>64670</v>
      </c>
      <c r="C11068" s="8" t="s">
        <v>22094</v>
      </c>
      <c r="D11068" s="8"/>
      <c r="E11068" s="6"/>
      <c r="F11068" s="6"/>
    </row>
    <row r="11069" spans="1:6" x14ac:dyDescent="0.3">
      <c r="A11069" s="8" t="s">
        <v>22095</v>
      </c>
      <c r="B11069" s="8" t="s">
        <v>64671</v>
      </c>
      <c r="C11069" s="8" t="s">
        <v>22096</v>
      </c>
      <c r="D11069" s="8"/>
      <c r="E11069" s="6"/>
      <c r="F11069" s="6"/>
    </row>
    <row r="11070" spans="1:6" x14ac:dyDescent="0.3">
      <c r="A11070" s="8" t="s">
        <v>22097</v>
      </c>
      <c r="B11070" s="8" t="s">
        <v>64672</v>
      </c>
      <c r="C11070" s="8" t="s">
        <v>22098</v>
      </c>
      <c r="D11070" s="8"/>
      <c r="E11070" s="6"/>
      <c r="F11070" s="6"/>
    </row>
    <row r="11071" spans="1:6" x14ac:dyDescent="0.3">
      <c r="A11071" s="8" t="s">
        <v>22099</v>
      </c>
      <c r="B11071" s="8" t="s">
        <v>64673</v>
      </c>
      <c r="C11071" s="8" t="s">
        <v>22100</v>
      </c>
      <c r="D11071" s="8"/>
      <c r="E11071" s="6"/>
      <c r="F11071" s="6"/>
    </row>
    <row r="11072" spans="1:6" x14ac:dyDescent="0.3">
      <c r="A11072" s="8" t="s">
        <v>22101</v>
      </c>
      <c r="B11072" s="8" t="s">
        <v>64674</v>
      </c>
      <c r="C11072" s="8" t="s">
        <v>22102</v>
      </c>
      <c r="D11072" s="8"/>
      <c r="E11072" s="6"/>
      <c r="F11072" s="6"/>
    </row>
    <row r="11073" spans="1:6" x14ac:dyDescent="0.3">
      <c r="A11073" s="8" t="s">
        <v>22103</v>
      </c>
      <c r="B11073" s="8" t="s">
        <v>64675</v>
      </c>
      <c r="C11073" s="8" t="s">
        <v>22104</v>
      </c>
      <c r="D11073" s="8"/>
      <c r="E11073" s="6"/>
      <c r="F11073" s="6"/>
    </row>
    <row r="11074" spans="1:6" x14ac:dyDescent="0.3">
      <c r="A11074" s="8" t="s">
        <v>22105</v>
      </c>
      <c r="B11074" s="8" t="s">
        <v>64676</v>
      </c>
      <c r="C11074" s="8" t="s">
        <v>22106</v>
      </c>
      <c r="D11074" s="8"/>
      <c r="E11074" s="6"/>
      <c r="F11074" s="6"/>
    </row>
    <row r="11075" spans="1:6" x14ac:dyDescent="0.3">
      <c r="A11075" s="8" t="s">
        <v>22107</v>
      </c>
      <c r="B11075" s="8" t="s">
        <v>64677</v>
      </c>
      <c r="C11075" s="8" t="s">
        <v>22108</v>
      </c>
      <c r="D11075" s="8"/>
      <c r="E11075" s="6"/>
      <c r="F11075" s="6"/>
    </row>
    <row r="11076" spans="1:6" x14ac:dyDescent="0.3">
      <c r="A11076" s="8" t="s">
        <v>22109</v>
      </c>
      <c r="B11076" s="8" t="s">
        <v>64678</v>
      </c>
      <c r="C11076" s="8" t="s">
        <v>22110</v>
      </c>
      <c r="D11076" s="8"/>
      <c r="E11076" s="6"/>
      <c r="F11076" s="6"/>
    </row>
    <row r="11077" spans="1:6" x14ac:dyDescent="0.3">
      <c r="A11077" s="8" t="s">
        <v>22111</v>
      </c>
      <c r="B11077" s="8" t="s">
        <v>64679</v>
      </c>
      <c r="C11077" s="8" t="s">
        <v>22112</v>
      </c>
      <c r="D11077" s="8"/>
      <c r="E11077" s="6"/>
      <c r="F11077" s="6"/>
    </row>
    <row r="11078" spans="1:6" x14ac:dyDescent="0.3">
      <c r="A11078" s="8" t="s">
        <v>22113</v>
      </c>
      <c r="B11078" s="8" t="s">
        <v>64680</v>
      </c>
      <c r="C11078" s="8" t="s">
        <v>22114</v>
      </c>
      <c r="D11078" s="8"/>
      <c r="E11078" s="6"/>
      <c r="F11078" s="6"/>
    </row>
    <row r="11079" spans="1:6" x14ac:dyDescent="0.3">
      <c r="A11079" s="8" t="s">
        <v>22115</v>
      </c>
      <c r="B11079" s="8" t="s">
        <v>64681</v>
      </c>
      <c r="C11079" s="8" t="s">
        <v>22116</v>
      </c>
      <c r="D11079" s="8"/>
      <c r="E11079" s="6"/>
      <c r="F11079" s="6"/>
    </row>
    <row r="11080" spans="1:6" x14ac:dyDescent="0.3">
      <c r="A11080" s="8" t="s">
        <v>22117</v>
      </c>
      <c r="B11080" s="8" t="s">
        <v>64682</v>
      </c>
      <c r="C11080" s="8" t="s">
        <v>22118</v>
      </c>
      <c r="D11080" s="8"/>
      <c r="E11080" s="6"/>
      <c r="F11080" s="6"/>
    </row>
    <row r="11081" spans="1:6" x14ac:dyDescent="0.3">
      <c r="A11081" s="8" t="s">
        <v>22119</v>
      </c>
      <c r="B11081" s="8" t="s">
        <v>64683</v>
      </c>
      <c r="C11081" s="8" t="s">
        <v>22120</v>
      </c>
      <c r="D11081" s="8"/>
      <c r="E11081" s="6"/>
      <c r="F11081" s="6"/>
    </row>
    <row r="11082" spans="1:6" x14ac:dyDescent="0.3">
      <c r="A11082" s="8" t="s">
        <v>22121</v>
      </c>
      <c r="B11082" s="8" t="s">
        <v>64684</v>
      </c>
      <c r="C11082" s="8" t="s">
        <v>22122</v>
      </c>
      <c r="D11082" s="8"/>
      <c r="E11082" s="6"/>
      <c r="F11082" s="6"/>
    </row>
    <row r="11083" spans="1:6" x14ac:dyDescent="0.3">
      <c r="A11083" s="8" t="s">
        <v>22123</v>
      </c>
      <c r="B11083" s="8" t="s">
        <v>64685</v>
      </c>
      <c r="C11083" s="8" t="s">
        <v>22124</v>
      </c>
      <c r="D11083" s="8"/>
      <c r="E11083" s="6"/>
      <c r="F11083" s="6"/>
    </row>
    <row r="11084" spans="1:6" x14ac:dyDescent="0.3">
      <c r="A11084" s="8" t="s">
        <v>22125</v>
      </c>
      <c r="B11084" s="8" t="s">
        <v>64686</v>
      </c>
      <c r="C11084" s="8" t="s">
        <v>22126</v>
      </c>
      <c r="D11084" s="8"/>
      <c r="E11084" s="6"/>
      <c r="F11084" s="6"/>
    </row>
    <row r="11085" spans="1:6" x14ac:dyDescent="0.3">
      <c r="A11085" s="8" t="s">
        <v>22127</v>
      </c>
      <c r="B11085" s="8" t="s">
        <v>64687</v>
      </c>
      <c r="C11085" s="8" t="s">
        <v>22128</v>
      </c>
      <c r="D11085" s="8"/>
      <c r="E11085" s="6"/>
      <c r="F11085" s="6"/>
    </row>
    <row r="11086" spans="1:6" x14ac:dyDescent="0.3">
      <c r="A11086" s="8" t="s">
        <v>22129</v>
      </c>
      <c r="B11086" s="8" t="s">
        <v>64688</v>
      </c>
      <c r="C11086" s="8" t="s">
        <v>22130</v>
      </c>
      <c r="D11086" s="8"/>
      <c r="E11086" s="6"/>
      <c r="F11086" s="6"/>
    </row>
    <row r="11087" spans="1:6" x14ac:dyDescent="0.3">
      <c r="A11087" s="8" t="s">
        <v>22131</v>
      </c>
      <c r="B11087" s="8" t="s">
        <v>64689</v>
      </c>
      <c r="C11087" s="8" t="s">
        <v>22132</v>
      </c>
      <c r="D11087" s="8"/>
      <c r="E11087" s="6"/>
      <c r="F11087" s="6"/>
    </row>
    <row r="11088" spans="1:6" x14ac:dyDescent="0.3">
      <c r="A11088" s="8" t="s">
        <v>22133</v>
      </c>
      <c r="B11088" s="8" t="s">
        <v>64690</v>
      </c>
      <c r="C11088" s="8" t="s">
        <v>22134</v>
      </c>
      <c r="D11088" s="8"/>
      <c r="E11088" s="6"/>
      <c r="F11088" s="6"/>
    </row>
    <row r="11089" spans="1:6" x14ac:dyDescent="0.3">
      <c r="A11089" s="8" t="s">
        <v>22135</v>
      </c>
      <c r="B11089" s="8" t="s">
        <v>64691</v>
      </c>
      <c r="C11089" s="8" t="s">
        <v>22136</v>
      </c>
      <c r="D11089" s="8"/>
      <c r="E11089" s="6"/>
      <c r="F11089" s="6"/>
    </row>
    <row r="11090" spans="1:6" x14ac:dyDescent="0.3">
      <c r="A11090" s="8" t="s">
        <v>22137</v>
      </c>
      <c r="B11090" s="8" t="s">
        <v>64692</v>
      </c>
      <c r="C11090" s="8" t="s">
        <v>22138</v>
      </c>
      <c r="D11090" s="8"/>
      <c r="E11090" s="6"/>
      <c r="F11090" s="6"/>
    </row>
    <row r="11091" spans="1:6" x14ac:dyDescent="0.3">
      <c r="A11091" s="8" t="s">
        <v>22139</v>
      </c>
      <c r="B11091" s="8" t="s">
        <v>64693</v>
      </c>
      <c r="C11091" s="8" t="s">
        <v>22140</v>
      </c>
      <c r="D11091" s="8"/>
      <c r="E11091" s="6"/>
      <c r="F11091" s="6"/>
    </row>
    <row r="11092" spans="1:6" x14ac:dyDescent="0.3">
      <c r="A11092" s="8" t="s">
        <v>22141</v>
      </c>
      <c r="B11092" s="8" t="s">
        <v>64694</v>
      </c>
      <c r="C11092" s="8" t="s">
        <v>22142</v>
      </c>
      <c r="D11092" s="8"/>
      <c r="E11092" s="6"/>
      <c r="F11092" s="6"/>
    </row>
    <row r="11093" spans="1:6" x14ac:dyDescent="0.3">
      <c r="A11093" s="8" t="s">
        <v>22143</v>
      </c>
      <c r="B11093" s="8" t="s">
        <v>64695</v>
      </c>
      <c r="C11093" s="8" t="s">
        <v>22144</v>
      </c>
      <c r="D11093" s="8"/>
      <c r="E11093" s="6"/>
      <c r="F11093" s="6"/>
    </row>
    <row r="11094" spans="1:6" x14ac:dyDescent="0.3">
      <c r="A11094" s="8" t="s">
        <v>22145</v>
      </c>
      <c r="B11094" s="8" t="s">
        <v>64696</v>
      </c>
      <c r="C11094" s="8" t="s">
        <v>22146</v>
      </c>
      <c r="D11094" s="8"/>
      <c r="E11094" s="6"/>
      <c r="F11094" s="6"/>
    </row>
    <row r="11095" spans="1:6" x14ac:dyDescent="0.3">
      <c r="A11095" s="8" t="s">
        <v>22147</v>
      </c>
      <c r="B11095" s="8" t="s">
        <v>64697</v>
      </c>
      <c r="C11095" s="8" t="s">
        <v>22148</v>
      </c>
      <c r="D11095" s="8"/>
      <c r="E11095" s="6"/>
      <c r="F11095" s="6"/>
    </row>
    <row r="11096" spans="1:6" x14ac:dyDescent="0.3">
      <c r="A11096" s="8" t="s">
        <v>22149</v>
      </c>
      <c r="B11096" s="8" t="s">
        <v>64698</v>
      </c>
      <c r="C11096" s="8" t="s">
        <v>22150</v>
      </c>
      <c r="D11096" s="8"/>
      <c r="E11096" s="6"/>
      <c r="F11096" s="6"/>
    </row>
    <row r="11097" spans="1:6" x14ac:dyDescent="0.3">
      <c r="A11097" s="8" t="s">
        <v>22151</v>
      </c>
      <c r="B11097" s="8" t="s">
        <v>64699</v>
      </c>
      <c r="C11097" s="8" t="s">
        <v>22152</v>
      </c>
      <c r="D11097" s="8"/>
      <c r="E11097" s="6"/>
      <c r="F11097" s="6"/>
    </row>
    <row r="11098" spans="1:6" x14ac:dyDescent="0.3">
      <c r="A11098" s="8" t="s">
        <v>22153</v>
      </c>
      <c r="B11098" s="8" t="s">
        <v>64700</v>
      </c>
      <c r="C11098" s="8" t="s">
        <v>22154</v>
      </c>
      <c r="D11098" s="8"/>
      <c r="E11098" s="6"/>
      <c r="F11098" s="6"/>
    </row>
    <row r="11099" spans="1:6" x14ac:dyDescent="0.3">
      <c r="A11099" s="8" t="s">
        <v>22155</v>
      </c>
      <c r="B11099" s="8" t="s">
        <v>64701</v>
      </c>
      <c r="C11099" s="8" t="s">
        <v>22156</v>
      </c>
      <c r="D11099" s="8"/>
      <c r="E11099" s="6"/>
      <c r="F11099" s="6"/>
    </row>
    <row r="11100" spans="1:6" x14ac:dyDescent="0.3">
      <c r="A11100" s="8" t="s">
        <v>22157</v>
      </c>
      <c r="B11100" s="8" t="s">
        <v>64702</v>
      </c>
      <c r="C11100" s="8" t="s">
        <v>22158</v>
      </c>
      <c r="D11100" s="8"/>
      <c r="E11100" s="6"/>
      <c r="F11100" s="6"/>
    </row>
    <row r="11101" spans="1:6" x14ac:dyDescent="0.3">
      <c r="A11101" s="8" t="s">
        <v>22159</v>
      </c>
      <c r="B11101" s="8" t="s">
        <v>64703</v>
      </c>
      <c r="C11101" s="8" t="s">
        <v>22160</v>
      </c>
      <c r="D11101" s="8"/>
      <c r="E11101" s="6"/>
      <c r="F11101" s="6"/>
    </row>
    <row r="11102" spans="1:6" x14ac:dyDescent="0.3">
      <c r="A11102" s="8" t="s">
        <v>22161</v>
      </c>
      <c r="B11102" s="8" t="s">
        <v>64704</v>
      </c>
      <c r="C11102" s="8" t="s">
        <v>22162</v>
      </c>
      <c r="D11102" s="8"/>
      <c r="E11102" s="6"/>
      <c r="F11102" s="6"/>
    </row>
    <row r="11103" spans="1:6" x14ac:dyDescent="0.3">
      <c r="A11103" s="8" t="s">
        <v>22163</v>
      </c>
      <c r="B11103" s="8" t="s">
        <v>64705</v>
      </c>
      <c r="C11103" s="8" t="s">
        <v>22164</v>
      </c>
      <c r="D11103" s="8"/>
      <c r="E11103" s="6"/>
      <c r="F11103" s="6"/>
    </row>
    <row r="11104" spans="1:6" x14ac:dyDescent="0.3">
      <c r="A11104" s="8" t="s">
        <v>22165</v>
      </c>
      <c r="B11104" s="8" t="s">
        <v>64706</v>
      </c>
      <c r="C11104" s="8" t="s">
        <v>22166</v>
      </c>
      <c r="D11104" s="8"/>
      <c r="E11104" s="6"/>
      <c r="F11104" s="6"/>
    </row>
    <row r="11105" spans="1:6" x14ac:dyDescent="0.3">
      <c r="A11105" s="8" t="s">
        <v>22167</v>
      </c>
      <c r="B11105" s="8" t="s">
        <v>64707</v>
      </c>
      <c r="C11105" s="8" t="s">
        <v>22168</v>
      </c>
      <c r="D11105" s="8"/>
      <c r="E11105" s="6"/>
      <c r="F11105" s="6"/>
    </row>
    <row r="11106" spans="1:6" x14ac:dyDescent="0.3">
      <c r="A11106" s="8" t="s">
        <v>22169</v>
      </c>
      <c r="B11106" s="8" t="s">
        <v>64708</v>
      </c>
      <c r="C11106" s="8" t="s">
        <v>22170</v>
      </c>
      <c r="D11106" s="8"/>
      <c r="E11106" s="6"/>
      <c r="F11106" s="6"/>
    </row>
    <row r="11107" spans="1:6" x14ac:dyDescent="0.3">
      <c r="A11107" s="8" t="s">
        <v>22171</v>
      </c>
      <c r="B11107" s="8" t="s">
        <v>64709</v>
      </c>
      <c r="C11107" s="8" t="s">
        <v>22172</v>
      </c>
      <c r="D11107" s="8"/>
      <c r="E11107" s="6"/>
      <c r="F11107" s="6"/>
    </row>
    <row r="11108" spans="1:6" x14ac:dyDescent="0.3">
      <c r="A11108" s="8" t="s">
        <v>22173</v>
      </c>
      <c r="B11108" s="8" t="s">
        <v>64710</v>
      </c>
      <c r="C11108" s="8" t="s">
        <v>22174</v>
      </c>
      <c r="D11108" s="8"/>
      <c r="E11108" s="6"/>
      <c r="F11108" s="6"/>
    </row>
    <row r="11109" spans="1:6" x14ac:dyDescent="0.3">
      <c r="A11109" s="8" t="s">
        <v>22175</v>
      </c>
      <c r="B11109" s="8" t="s">
        <v>64711</v>
      </c>
      <c r="C11109" s="8" t="s">
        <v>22176</v>
      </c>
      <c r="D11109" s="8"/>
      <c r="E11109" s="6"/>
      <c r="F11109" s="6"/>
    </row>
    <row r="11110" spans="1:6" x14ac:dyDescent="0.3">
      <c r="A11110" s="8" t="s">
        <v>22177</v>
      </c>
      <c r="B11110" s="8" t="s">
        <v>64712</v>
      </c>
      <c r="C11110" s="8" t="s">
        <v>22178</v>
      </c>
      <c r="D11110" s="8"/>
      <c r="E11110" s="6"/>
      <c r="F11110" s="6"/>
    </row>
    <row r="11111" spans="1:6" x14ac:dyDescent="0.3">
      <c r="A11111" s="8" t="s">
        <v>22179</v>
      </c>
      <c r="B11111" s="8" t="s">
        <v>64713</v>
      </c>
      <c r="C11111" s="8" t="s">
        <v>22180</v>
      </c>
      <c r="D11111" s="8"/>
      <c r="E11111" s="6"/>
      <c r="F11111" s="6"/>
    </row>
    <row r="11112" spans="1:6" x14ac:dyDescent="0.3">
      <c r="A11112" s="8" t="s">
        <v>22181</v>
      </c>
      <c r="B11112" s="8" t="s">
        <v>64714</v>
      </c>
      <c r="C11112" s="8" t="s">
        <v>22182</v>
      </c>
      <c r="D11112" s="8"/>
      <c r="E11112" s="6"/>
      <c r="F11112" s="6"/>
    </row>
    <row r="11113" spans="1:6" x14ac:dyDescent="0.3">
      <c r="A11113" s="8" t="s">
        <v>22183</v>
      </c>
      <c r="B11113" s="8" t="s">
        <v>64715</v>
      </c>
      <c r="C11113" s="8" t="s">
        <v>22184</v>
      </c>
      <c r="D11113" s="8"/>
      <c r="E11113" s="6"/>
      <c r="F11113" s="6"/>
    </row>
    <row r="11114" spans="1:6" x14ac:dyDescent="0.3">
      <c r="A11114" s="8" t="s">
        <v>22185</v>
      </c>
      <c r="B11114" s="8" t="s">
        <v>64716</v>
      </c>
      <c r="C11114" s="8" t="s">
        <v>22186</v>
      </c>
      <c r="D11114" s="8"/>
      <c r="E11114" s="6"/>
      <c r="F11114" s="6"/>
    </row>
    <row r="11115" spans="1:6" x14ac:dyDescent="0.3">
      <c r="A11115" s="8" t="s">
        <v>22187</v>
      </c>
      <c r="B11115" s="8" t="s">
        <v>64717</v>
      </c>
      <c r="C11115" s="8" t="s">
        <v>22188</v>
      </c>
      <c r="D11115" s="8"/>
      <c r="E11115" s="6"/>
      <c r="F11115" s="6"/>
    </row>
    <row r="11116" spans="1:6" x14ac:dyDescent="0.3">
      <c r="A11116" s="8" t="s">
        <v>22189</v>
      </c>
      <c r="B11116" s="8" t="s">
        <v>64718</v>
      </c>
      <c r="C11116" s="8" t="s">
        <v>22190</v>
      </c>
      <c r="D11116" s="8"/>
      <c r="E11116" s="6"/>
      <c r="F11116" s="6"/>
    </row>
    <row r="11117" spans="1:6" x14ac:dyDescent="0.3">
      <c r="A11117" s="8" t="s">
        <v>22191</v>
      </c>
      <c r="B11117" s="8" t="s">
        <v>64719</v>
      </c>
      <c r="C11117" s="8" t="s">
        <v>22192</v>
      </c>
      <c r="D11117" s="8"/>
      <c r="E11117" s="6"/>
      <c r="F11117" s="6"/>
    </row>
    <row r="11118" spans="1:6" x14ac:dyDescent="0.3">
      <c r="A11118" s="8" t="s">
        <v>22193</v>
      </c>
      <c r="B11118" s="8" t="s">
        <v>64720</v>
      </c>
      <c r="C11118" s="8" t="s">
        <v>22194</v>
      </c>
      <c r="D11118" s="8"/>
      <c r="E11118" s="6"/>
      <c r="F11118" s="6"/>
    </row>
    <row r="11119" spans="1:6" x14ac:dyDescent="0.3">
      <c r="A11119" s="8" t="s">
        <v>22195</v>
      </c>
      <c r="B11119" s="8" t="s">
        <v>64721</v>
      </c>
      <c r="C11119" s="8" t="s">
        <v>22196</v>
      </c>
      <c r="D11119" s="8"/>
      <c r="E11119" s="6"/>
      <c r="F11119" s="6"/>
    </row>
    <row r="11120" spans="1:6" x14ac:dyDescent="0.3">
      <c r="A11120" s="8" t="s">
        <v>22197</v>
      </c>
      <c r="B11120" s="8" t="s">
        <v>64722</v>
      </c>
      <c r="C11120" s="8" t="s">
        <v>22198</v>
      </c>
      <c r="D11120" s="8"/>
      <c r="E11120" s="6"/>
      <c r="F11120" s="6"/>
    </row>
    <row r="11121" spans="1:6" x14ac:dyDescent="0.3">
      <c r="A11121" s="8" t="s">
        <v>22199</v>
      </c>
      <c r="B11121" s="8" t="s">
        <v>64723</v>
      </c>
      <c r="C11121" s="8" t="s">
        <v>22200</v>
      </c>
      <c r="D11121" s="8"/>
      <c r="E11121" s="6"/>
      <c r="F11121" s="6"/>
    </row>
    <row r="11122" spans="1:6" x14ac:dyDescent="0.3">
      <c r="A11122" s="8" t="s">
        <v>22201</v>
      </c>
      <c r="B11122" s="8" t="s">
        <v>64724</v>
      </c>
      <c r="C11122" s="8" t="s">
        <v>22202</v>
      </c>
      <c r="D11122" s="8"/>
      <c r="E11122" s="6"/>
      <c r="F11122" s="6"/>
    </row>
    <row r="11123" spans="1:6" x14ac:dyDescent="0.3">
      <c r="A11123" s="8" t="s">
        <v>22203</v>
      </c>
      <c r="B11123" s="8" t="s">
        <v>64725</v>
      </c>
      <c r="C11123" s="8" t="s">
        <v>22204</v>
      </c>
      <c r="D11123" s="8"/>
      <c r="E11123" s="6"/>
      <c r="F11123" s="6"/>
    </row>
    <row r="11124" spans="1:6" x14ac:dyDescent="0.3">
      <c r="A11124" s="8" t="s">
        <v>22205</v>
      </c>
      <c r="B11124" s="8" t="s">
        <v>64726</v>
      </c>
      <c r="C11124" s="8" t="s">
        <v>22206</v>
      </c>
      <c r="D11124" s="8"/>
      <c r="E11124" s="6"/>
      <c r="F11124" s="6"/>
    </row>
    <row r="11125" spans="1:6" x14ac:dyDescent="0.3">
      <c r="A11125" s="8" t="s">
        <v>22207</v>
      </c>
      <c r="B11125" s="8" t="s">
        <v>64727</v>
      </c>
      <c r="C11125" s="8" t="s">
        <v>22208</v>
      </c>
      <c r="D11125" s="8"/>
      <c r="E11125" s="6"/>
      <c r="F11125" s="6"/>
    </row>
    <row r="11126" spans="1:6" x14ac:dyDescent="0.3">
      <c r="A11126" s="8" t="s">
        <v>22209</v>
      </c>
      <c r="B11126" s="8" t="s">
        <v>64728</v>
      </c>
      <c r="C11126" s="8" t="s">
        <v>22210</v>
      </c>
      <c r="D11126" s="8"/>
      <c r="E11126" s="6"/>
      <c r="F11126" s="6"/>
    </row>
    <row r="11127" spans="1:6" x14ac:dyDescent="0.3">
      <c r="A11127" s="8" t="s">
        <v>22211</v>
      </c>
      <c r="B11127" s="8" t="s">
        <v>64729</v>
      </c>
      <c r="C11127" s="8" t="s">
        <v>22212</v>
      </c>
      <c r="D11127" s="8"/>
      <c r="E11127" s="6"/>
      <c r="F11127" s="6"/>
    </row>
    <row r="11128" spans="1:6" x14ac:dyDescent="0.3">
      <c r="A11128" s="8" t="s">
        <v>22213</v>
      </c>
      <c r="B11128" s="8" t="s">
        <v>64730</v>
      </c>
      <c r="C11128" s="8" t="s">
        <v>22214</v>
      </c>
      <c r="D11128" s="8"/>
      <c r="E11128" s="6"/>
      <c r="F11128" s="6"/>
    </row>
    <row r="11129" spans="1:6" x14ac:dyDescent="0.3">
      <c r="A11129" s="8" t="s">
        <v>22215</v>
      </c>
      <c r="B11129" s="8" t="s">
        <v>64731</v>
      </c>
      <c r="C11129" s="8" t="s">
        <v>22216</v>
      </c>
      <c r="D11129" s="8"/>
      <c r="E11129" s="6"/>
      <c r="F11129" s="6"/>
    </row>
    <row r="11130" spans="1:6" x14ac:dyDescent="0.3">
      <c r="A11130" s="8" t="s">
        <v>22217</v>
      </c>
      <c r="B11130" s="8" t="s">
        <v>64732</v>
      </c>
      <c r="C11130" s="8" t="s">
        <v>22218</v>
      </c>
      <c r="D11130" s="8"/>
      <c r="E11130" s="6"/>
      <c r="F11130" s="6"/>
    </row>
    <row r="11131" spans="1:6" x14ac:dyDescent="0.3">
      <c r="A11131" s="8" t="s">
        <v>22219</v>
      </c>
      <c r="B11131" s="8" t="s">
        <v>64733</v>
      </c>
      <c r="C11131" s="8" t="s">
        <v>22220</v>
      </c>
      <c r="D11131" s="8"/>
      <c r="E11131" s="6"/>
      <c r="F11131" s="6"/>
    </row>
    <row r="11132" spans="1:6" x14ac:dyDescent="0.3">
      <c r="A11132" s="8" t="s">
        <v>22221</v>
      </c>
      <c r="B11132" s="8" t="s">
        <v>64734</v>
      </c>
      <c r="C11132" s="8" t="s">
        <v>22222</v>
      </c>
      <c r="D11132" s="8"/>
      <c r="E11132" s="6"/>
      <c r="F11132" s="6"/>
    </row>
    <row r="11133" spans="1:6" x14ac:dyDescent="0.3">
      <c r="A11133" s="8" t="s">
        <v>22223</v>
      </c>
      <c r="B11133" s="8" t="s">
        <v>64735</v>
      </c>
      <c r="C11133" s="8" t="s">
        <v>22224</v>
      </c>
      <c r="D11133" s="8"/>
      <c r="E11133" s="6"/>
      <c r="F11133" s="6"/>
    </row>
    <row r="11134" spans="1:6" x14ac:dyDescent="0.3">
      <c r="A11134" s="8" t="s">
        <v>22225</v>
      </c>
      <c r="B11134" s="8" t="s">
        <v>64736</v>
      </c>
      <c r="C11134" s="8" t="s">
        <v>22226</v>
      </c>
      <c r="D11134" s="8"/>
      <c r="E11134" s="6"/>
      <c r="F11134" s="6"/>
    </row>
    <row r="11135" spans="1:6" x14ac:dyDescent="0.3">
      <c r="A11135" s="8" t="s">
        <v>22227</v>
      </c>
      <c r="B11135" s="8" t="s">
        <v>64737</v>
      </c>
      <c r="C11135" s="8" t="s">
        <v>22228</v>
      </c>
      <c r="D11135" s="8"/>
      <c r="E11135" s="6"/>
      <c r="F11135" s="6"/>
    </row>
    <row r="11136" spans="1:6" x14ac:dyDescent="0.3">
      <c r="A11136" s="8" t="s">
        <v>22229</v>
      </c>
      <c r="B11136" s="8" t="s">
        <v>64738</v>
      </c>
      <c r="C11136" s="8" t="s">
        <v>22230</v>
      </c>
      <c r="D11136" s="8"/>
      <c r="E11136" s="6"/>
      <c r="F11136" s="6"/>
    </row>
    <row r="11137" spans="1:6" x14ac:dyDescent="0.3">
      <c r="A11137" s="8" t="s">
        <v>22231</v>
      </c>
      <c r="B11137" s="8" t="s">
        <v>64739</v>
      </c>
      <c r="C11137" s="8" t="s">
        <v>22232</v>
      </c>
      <c r="D11137" s="8"/>
      <c r="E11137" s="6"/>
      <c r="F11137" s="6"/>
    </row>
    <row r="11138" spans="1:6" x14ac:dyDescent="0.3">
      <c r="A11138" s="8" t="s">
        <v>22233</v>
      </c>
      <c r="B11138" s="8" t="s">
        <v>64740</v>
      </c>
      <c r="C11138" s="8" t="s">
        <v>22234</v>
      </c>
      <c r="D11138" s="8"/>
      <c r="E11138" s="6"/>
      <c r="F11138" s="6"/>
    </row>
    <row r="11139" spans="1:6" x14ac:dyDescent="0.3">
      <c r="A11139" s="8" t="s">
        <v>22235</v>
      </c>
      <c r="B11139" s="8" t="s">
        <v>64741</v>
      </c>
      <c r="C11139" s="8" t="s">
        <v>22236</v>
      </c>
      <c r="D11139" s="8"/>
      <c r="E11139" s="6"/>
      <c r="F11139" s="6"/>
    </row>
    <row r="11140" spans="1:6" x14ac:dyDescent="0.3">
      <c r="A11140" s="8" t="s">
        <v>22237</v>
      </c>
      <c r="B11140" s="8" t="s">
        <v>64742</v>
      </c>
      <c r="C11140" s="8" t="s">
        <v>22238</v>
      </c>
      <c r="D11140" s="8"/>
      <c r="E11140" s="6"/>
      <c r="F11140" s="6"/>
    </row>
    <row r="11141" spans="1:6" x14ac:dyDescent="0.3">
      <c r="A11141" s="8" t="s">
        <v>22239</v>
      </c>
      <c r="B11141" s="8" t="s">
        <v>64743</v>
      </c>
      <c r="C11141" s="8" t="s">
        <v>22240</v>
      </c>
      <c r="D11141" s="8"/>
      <c r="E11141" s="6"/>
      <c r="F11141" s="6"/>
    </row>
    <row r="11142" spans="1:6" x14ac:dyDescent="0.3">
      <c r="A11142" s="8" t="s">
        <v>22241</v>
      </c>
      <c r="B11142" s="8" t="s">
        <v>64744</v>
      </c>
      <c r="C11142" s="8" t="s">
        <v>22242</v>
      </c>
      <c r="D11142" s="8"/>
      <c r="E11142" s="6"/>
      <c r="F11142" s="6"/>
    </row>
    <row r="11143" spans="1:6" x14ac:dyDescent="0.3">
      <c r="A11143" s="8" t="s">
        <v>22243</v>
      </c>
      <c r="B11143" s="8" t="s">
        <v>64745</v>
      </c>
      <c r="C11143" s="8" t="s">
        <v>22244</v>
      </c>
      <c r="D11143" s="8"/>
      <c r="E11143" s="6"/>
      <c r="F11143" s="6"/>
    </row>
    <row r="11144" spans="1:6" x14ac:dyDescent="0.3">
      <c r="A11144" s="8" t="s">
        <v>22245</v>
      </c>
      <c r="B11144" s="8" t="s">
        <v>64746</v>
      </c>
      <c r="C11144" s="8" t="s">
        <v>22246</v>
      </c>
      <c r="D11144" s="8"/>
      <c r="E11144" s="6"/>
      <c r="F11144" s="6"/>
    </row>
    <row r="11145" spans="1:6" x14ac:dyDescent="0.3">
      <c r="A11145" s="8" t="s">
        <v>22247</v>
      </c>
      <c r="B11145" s="8" t="s">
        <v>64747</v>
      </c>
      <c r="C11145" s="8" t="s">
        <v>22248</v>
      </c>
      <c r="D11145" s="8"/>
      <c r="E11145" s="6"/>
      <c r="F11145" s="6"/>
    </row>
    <row r="11146" spans="1:6" x14ac:dyDescent="0.3">
      <c r="A11146" s="8" t="s">
        <v>22249</v>
      </c>
      <c r="B11146" s="8" t="s">
        <v>64748</v>
      </c>
      <c r="C11146" s="8" t="s">
        <v>22250</v>
      </c>
      <c r="D11146" s="8"/>
      <c r="E11146" s="6"/>
      <c r="F11146" s="6"/>
    </row>
    <row r="11147" spans="1:6" x14ac:dyDescent="0.3">
      <c r="A11147" s="8" t="s">
        <v>22251</v>
      </c>
      <c r="B11147" s="8" t="s">
        <v>64749</v>
      </c>
      <c r="C11147" s="8" t="s">
        <v>22252</v>
      </c>
      <c r="D11147" s="8"/>
      <c r="E11147" s="6"/>
      <c r="F11147" s="6"/>
    </row>
    <row r="11148" spans="1:6" x14ac:dyDescent="0.3">
      <c r="A11148" s="8" t="s">
        <v>22253</v>
      </c>
      <c r="B11148" s="8" t="s">
        <v>64750</v>
      </c>
      <c r="C11148" s="8" t="s">
        <v>22254</v>
      </c>
      <c r="D11148" s="8"/>
      <c r="E11148" s="6"/>
      <c r="F11148" s="6"/>
    </row>
    <row r="11149" spans="1:6" x14ac:dyDescent="0.3">
      <c r="A11149" s="8" t="s">
        <v>22255</v>
      </c>
      <c r="B11149" s="8" t="s">
        <v>64751</v>
      </c>
      <c r="C11149" s="8" t="s">
        <v>22256</v>
      </c>
      <c r="D11149" s="8"/>
      <c r="E11149" s="6"/>
      <c r="F11149" s="6"/>
    </row>
    <row r="11150" spans="1:6" x14ac:dyDescent="0.3">
      <c r="A11150" s="8" t="s">
        <v>22257</v>
      </c>
      <c r="B11150" s="8" t="s">
        <v>64752</v>
      </c>
      <c r="C11150" s="8" t="s">
        <v>22258</v>
      </c>
      <c r="D11150" s="8"/>
      <c r="E11150" s="6"/>
      <c r="F11150" s="6"/>
    </row>
    <row r="11151" spans="1:6" x14ac:dyDescent="0.3">
      <c r="A11151" s="8" t="s">
        <v>22259</v>
      </c>
      <c r="B11151" s="8" t="s">
        <v>64753</v>
      </c>
      <c r="C11151" s="8" t="s">
        <v>22260</v>
      </c>
      <c r="D11151" s="8"/>
      <c r="E11151" s="6"/>
      <c r="F11151" s="6"/>
    </row>
    <row r="11152" spans="1:6" x14ac:dyDescent="0.3">
      <c r="A11152" s="8" t="s">
        <v>22261</v>
      </c>
      <c r="B11152" s="8" t="s">
        <v>64754</v>
      </c>
      <c r="C11152" s="8" t="s">
        <v>22262</v>
      </c>
      <c r="D11152" s="8"/>
      <c r="E11152" s="6"/>
      <c r="F11152" s="6"/>
    </row>
    <row r="11153" spans="1:6" x14ac:dyDescent="0.3">
      <c r="A11153" s="8" t="s">
        <v>22263</v>
      </c>
      <c r="B11153" s="8" t="s">
        <v>64755</v>
      </c>
      <c r="C11153" s="8" t="s">
        <v>22264</v>
      </c>
      <c r="D11153" s="8"/>
      <c r="E11153" s="6"/>
      <c r="F11153" s="6"/>
    </row>
    <row r="11154" spans="1:6" x14ac:dyDescent="0.3">
      <c r="A11154" s="8" t="s">
        <v>22265</v>
      </c>
      <c r="B11154" s="8" t="s">
        <v>64756</v>
      </c>
      <c r="C11154" s="8" t="s">
        <v>22266</v>
      </c>
      <c r="D11154" s="8"/>
      <c r="E11154" s="6"/>
      <c r="F11154" s="6"/>
    </row>
    <row r="11155" spans="1:6" x14ac:dyDescent="0.3">
      <c r="A11155" s="8" t="s">
        <v>22267</v>
      </c>
      <c r="B11155" s="8" t="s">
        <v>64757</v>
      </c>
      <c r="C11155" s="8" t="s">
        <v>22268</v>
      </c>
      <c r="D11155" s="8"/>
      <c r="E11155" s="6"/>
      <c r="F11155" s="6"/>
    </row>
    <row r="11156" spans="1:6" x14ac:dyDescent="0.3">
      <c r="A11156" s="8" t="s">
        <v>22269</v>
      </c>
      <c r="B11156" s="8" t="s">
        <v>64758</v>
      </c>
      <c r="C11156" s="8" t="s">
        <v>22270</v>
      </c>
      <c r="D11156" s="8"/>
      <c r="E11156" s="6"/>
      <c r="F11156" s="6"/>
    </row>
    <row r="11157" spans="1:6" x14ac:dyDescent="0.3">
      <c r="A11157" s="8" t="s">
        <v>22271</v>
      </c>
      <c r="B11157" s="8" t="s">
        <v>64759</v>
      </c>
      <c r="C11157" s="8" t="s">
        <v>22272</v>
      </c>
      <c r="D11157" s="8"/>
      <c r="E11157" s="6"/>
      <c r="F11157" s="6"/>
    </row>
    <row r="11158" spans="1:6" x14ac:dyDescent="0.3">
      <c r="A11158" s="8" t="s">
        <v>22273</v>
      </c>
      <c r="B11158" s="8" t="s">
        <v>64760</v>
      </c>
      <c r="C11158" s="8" t="s">
        <v>22274</v>
      </c>
      <c r="D11158" s="8"/>
      <c r="E11158" s="6"/>
      <c r="F11158" s="6"/>
    </row>
    <row r="11159" spans="1:6" x14ac:dyDescent="0.3">
      <c r="A11159" s="8" t="s">
        <v>22275</v>
      </c>
      <c r="B11159" s="8" t="s">
        <v>64761</v>
      </c>
      <c r="C11159" s="8" t="s">
        <v>22276</v>
      </c>
      <c r="D11159" s="8"/>
      <c r="E11159" s="6"/>
      <c r="F11159" s="6"/>
    </row>
    <row r="11160" spans="1:6" x14ac:dyDescent="0.3">
      <c r="A11160" s="8" t="s">
        <v>22277</v>
      </c>
      <c r="B11160" s="8" t="s">
        <v>64762</v>
      </c>
      <c r="C11160" s="8" t="s">
        <v>22278</v>
      </c>
      <c r="D11160" s="8"/>
      <c r="E11160" s="6"/>
      <c r="F11160" s="6"/>
    </row>
    <row r="11161" spans="1:6" x14ac:dyDescent="0.3">
      <c r="A11161" s="8" t="s">
        <v>22279</v>
      </c>
      <c r="B11161" s="8" t="s">
        <v>64763</v>
      </c>
      <c r="C11161" s="8" t="s">
        <v>22280</v>
      </c>
      <c r="D11161" s="8"/>
      <c r="E11161" s="6"/>
      <c r="F11161" s="6"/>
    </row>
    <row r="11162" spans="1:6" x14ac:dyDescent="0.3">
      <c r="A11162" s="8" t="s">
        <v>22281</v>
      </c>
      <c r="B11162" s="8" t="s">
        <v>64764</v>
      </c>
      <c r="C11162" s="8" t="s">
        <v>22282</v>
      </c>
      <c r="D11162" s="8"/>
      <c r="E11162" s="6"/>
      <c r="F11162" s="6"/>
    </row>
    <row r="11163" spans="1:6" x14ac:dyDescent="0.3">
      <c r="A11163" s="8" t="s">
        <v>22283</v>
      </c>
      <c r="B11163" s="8" t="s">
        <v>64765</v>
      </c>
      <c r="C11163" s="8" t="s">
        <v>22284</v>
      </c>
      <c r="D11163" s="8"/>
      <c r="E11163" s="6"/>
      <c r="F11163" s="6"/>
    </row>
    <row r="11164" spans="1:6" x14ac:dyDescent="0.3">
      <c r="A11164" s="8" t="s">
        <v>22285</v>
      </c>
      <c r="B11164" s="8" t="s">
        <v>64766</v>
      </c>
      <c r="C11164" s="8" t="s">
        <v>22286</v>
      </c>
      <c r="D11164" s="8"/>
      <c r="E11164" s="6"/>
      <c r="F11164" s="6"/>
    </row>
    <row r="11165" spans="1:6" x14ac:dyDescent="0.3">
      <c r="A11165" s="8" t="s">
        <v>22287</v>
      </c>
      <c r="B11165" s="8" t="s">
        <v>64767</v>
      </c>
      <c r="C11165" s="8" t="s">
        <v>22288</v>
      </c>
      <c r="D11165" s="8"/>
      <c r="E11165" s="6"/>
      <c r="F11165" s="6"/>
    </row>
    <row r="11166" spans="1:6" x14ac:dyDescent="0.3">
      <c r="A11166" s="8" t="s">
        <v>22289</v>
      </c>
      <c r="B11166" s="8" t="s">
        <v>64768</v>
      </c>
      <c r="C11166" s="8" t="s">
        <v>22290</v>
      </c>
      <c r="D11166" s="8"/>
      <c r="E11166" s="6"/>
      <c r="F11166" s="6"/>
    </row>
    <row r="11167" spans="1:6" x14ac:dyDescent="0.3">
      <c r="A11167" s="8" t="s">
        <v>22291</v>
      </c>
      <c r="B11167" s="8" t="s">
        <v>64769</v>
      </c>
      <c r="C11167" s="8" t="s">
        <v>22292</v>
      </c>
      <c r="D11167" s="8"/>
      <c r="E11167" s="6"/>
      <c r="F11167" s="6"/>
    </row>
    <row r="11168" spans="1:6" x14ac:dyDescent="0.3">
      <c r="A11168" s="8" t="s">
        <v>22293</v>
      </c>
      <c r="B11168" s="8" t="s">
        <v>64770</v>
      </c>
      <c r="C11168" s="8" t="s">
        <v>22294</v>
      </c>
      <c r="D11168" s="8"/>
      <c r="E11168" s="6"/>
      <c r="F11168" s="6"/>
    </row>
    <row r="11169" spans="1:6" x14ac:dyDescent="0.3">
      <c r="A11169" s="8" t="s">
        <v>22295</v>
      </c>
      <c r="B11169" s="8" t="s">
        <v>64771</v>
      </c>
      <c r="C11169" s="8" t="s">
        <v>22296</v>
      </c>
      <c r="D11169" s="8"/>
      <c r="E11169" s="6"/>
      <c r="F11169" s="6"/>
    </row>
    <row r="11170" spans="1:6" x14ac:dyDescent="0.3">
      <c r="A11170" s="8" t="s">
        <v>22297</v>
      </c>
      <c r="B11170" s="8" t="s">
        <v>64772</v>
      </c>
      <c r="C11170" s="8" t="s">
        <v>22298</v>
      </c>
      <c r="D11170" s="8"/>
      <c r="E11170" s="6"/>
      <c r="F11170" s="6"/>
    </row>
    <row r="11171" spans="1:6" x14ac:dyDescent="0.3">
      <c r="A11171" s="8" t="s">
        <v>22299</v>
      </c>
      <c r="B11171" s="8" t="s">
        <v>64773</v>
      </c>
      <c r="C11171" s="8" t="s">
        <v>22300</v>
      </c>
      <c r="D11171" s="8"/>
      <c r="E11171" s="6"/>
      <c r="F11171" s="6"/>
    </row>
    <row r="11172" spans="1:6" x14ac:dyDescent="0.3">
      <c r="A11172" s="8" t="s">
        <v>22301</v>
      </c>
      <c r="B11172" s="8" t="s">
        <v>64774</v>
      </c>
      <c r="C11172" s="8" t="s">
        <v>22302</v>
      </c>
      <c r="D11172" s="8"/>
      <c r="E11172" s="6"/>
      <c r="F11172" s="6"/>
    </row>
    <row r="11173" spans="1:6" x14ac:dyDescent="0.3">
      <c r="A11173" s="8" t="s">
        <v>22303</v>
      </c>
      <c r="B11173" s="8" t="s">
        <v>64775</v>
      </c>
      <c r="C11173" s="8" t="s">
        <v>22304</v>
      </c>
      <c r="D11173" s="8"/>
      <c r="E11173" s="6"/>
      <c r="F11173" s="6"/>
    </row>
    <row r="11174" spans="1:6" x14ac:dyDescent="0.3">
      <c r="A11174" s="8" t="s">
        <v>22305</v>
      </c>
      <c r="B11174" s="8" t="s">
        <v>64776</v>
      </c>
      <c r="C11174" s="8" t="s">
        <v>22306</v>
      </c>
      <c r="D11174" s="8"/>
      <c r="E11174" s="6"/>
      <c r="F11174" s="6"/>
    </row>
    <row r="11175" spans="1:6" x14ac:dyDescent="0.3">
      <c r="A11175" s="8" t="s">
        <v>22307</v>
      </c>
      <c r="B11175" s="8" t="s">
        <v>64777</v>
      </c>
      <c r="C11175" s="8" t="s">
        <v>22308</v>
      </c>
      <c r="D11175" s="8"/>
      <c r="E11175" s="6"/>
      <c r="F11175" s="6"/>
    </row>
    <row r="11176" spans="1:6" x14ac:dyDescent="0.3">
      <c r="A11176" s="8" t="s">
        <v>22309</v>
      </c>
      <c r="B11176" s="8" t="s">
        <v>64778</v>
      </c>
      <c r="C11176" s="8" t="s">
        <v>22310</v>
      </c>
      <c r="D11176" s="8"/>
      <c r="E11176" s="6"/>
      <c r="F11176" s="6"/>
    </row>
    <row r="11177" spans="1:6" x14ac:dyDescent="0.3">
      <c r="A11177" s="8" t="s">
        <v>22311</v>
      </c>
      <c r="B11177" s="8" t="s">
        <v>64779</v>
      </c>
      <c r="C11177" s="8" t="s">
        <v>22312</v>
      </c>
      <c r="D11177" s="8"/>
      <c r="E11177" s="6"/>
      <c r="F11177" s="6"/>
    </row>
    <row r="11178" spans="1:6" x14ac:dyDescent="0.3">
      <c r="A11178" s="8" t="s">
        <v>22313</v>
      </c>
      <c r="B11178" s="8" t="s">
        <v>64780</v>
      </c>
      <c r="C11178" s="8" t="s">
        <v>22314</v>
      </c>
      <c r="D11178" s="8"/>
      <c r="E11178" s="6"/>
      <c r="F11178" s="6"/>
    </row>
    <row r="11179" spans="1:6" x14ac:dyDescent="0.3">
      <c r="A11179" s="8" t="s">
        <v>22315</v>
      </c>
      <c r="B11179" s="8" t="s">
        <v>64781</v>
      </c>
      <c r="C11179" s="8" t="s">
        <v>22316</v>
      </c>
      <c r="D11179" s="8"/>
      <c r="E11179" s="6"/>
      <c r="F11179" s="6"/>
    </row>
    <row r="11180" spans="1:6" x14ac:dyDescent="0.3">
      <c r="A11180" s="8" t="s">
        <v>22317</v>
      </c>
      <c r="B11180" s="8" t="s">
        <v>64782</v>
      </c>
      <c r="C11180" s="8" t="s">
        <v>22318</v>
      </c>
      <c r="D11180" s="8"/>
      <c r="E11180" s="6"/>
      <c r="F11180" s="6"/>
    </row>
    <row r="11181" spans="1:6" x14ac:dyDescent="0.3">
      <c r="A11181" s="8" t="s">
        <v>22319</v>
      </c>
      <c r="B11181" s="8" t="s">
        <v>64783</v>
      </c>
      <c r="C11181" s="8" t="s">
        <v>22320</v>
      </c>
      <c r="D11181" s="8"/>
      <c r="E11181" s="6"/>
      <c r="F11181" s="6"/>
    </row>
    <row r="11182" spans="1:6" x14ac:dyDescent="0.3">
      <c r="A11182" s="8" t="s">
        <v>22321</v>
      </c>
      <c r="B11182" s="8" t="s">
        <v>64784</v>
      </c>
      <c r="C11182" s="8" t="s">
        <v>22322</v>
      </c>
      <c r="D11182" s="8"/>
      <c r="E11182" s="6"/>
      <c r="F11182" s="6"/>
    </row>
    <row r="11183" spans="1:6" x14ac:dyDescent="0.3">
      <c r="A11183" s="8" t="s">
        <v>22323</v>
      </c>
      <c r="B11183" s="8" t="s">
        <v>64785</v>
      </c>
      <c r="C11183" s="8" t="s">
        <v>22324</v>
      </c>
      <c r="D11183" s="8"/>
      <c r="E11183" s="6"/>
      <c r="F11183" s="6"/>
    </row>
    <row r="11184" spans="1:6" x14ac:dyDescent="0.3">
      <c r="A11184" s="8" t="s">
        <v>22325</v>
      </c>
      <c r="B11184" s="8" t="s">
        <v>64786</v>
      </c>
      <c r="C11184" s="8" t="s">
        <v>22326</v>
      </c>
      <c r="D11184" s="8"/>
      <c r="E11184" s="6"/>
      <c r="F11184" s="6"/>
    </row>
    <row r="11185" spans="1:6" x14ac:dyDescent="0.3">
      <c r="A11185" s="8" t="s">
        <v>22327</v>
      </c>
      <c r="B11185" s="8" t="s">
        <v>64787</v>
      </c>
      <c r="C11185" s="8" t="s">
        <v>22328</v>
      </c>
      <c r="D11185" s="8"/>
      <c r="E11185" s="6"/>
      <c r="F11185" s="6"/>
    </row>
    <row r="11186" spans="1:6" x14ac:dyDescent="0.3">
      <c r="A11186" s="8" t="s">
        <v>22329</v>
      </c>
      <c r="B11186" s="8" t="s">
        <v>64788</v>
      </c>
      <c r="C11186" s="8" t="s">
        <v>22330</v>
      </c>
      <c r="D11186" s="8"/>
      <c r="E11186" s="6"/>
      <c r="F11186" s="6"/>
    </row>
    <row r="11187" spans="1:6" x14ac:dyDescent="0.3">
      <c r="A11187" s="8" t="s">
        <v>22331</v>
      </c>
      <c r="B11187" s="8" t="s">
        <v>64789</v>
      </c>
      <c r="C11187" s="8" t="s">
        <v>22332</v>
      </c>
      <c r="D11187" s="8"/>
      <c r="E11187" s="6"/>
      <c r="F11187" s="6"/>
    </row>
    <row r="11188" spans="1:6" x14ac:dyDescent="0.3">
      <c r="A11188" s="8" t="s">
        <v>22333</v>
      </c>
      <c r="B11188" s="8" t="s">
        <v>64790</v>
      </c>
      <c r="C11188" s="8" t="s">
        <v>22334</v>
      </c>
      <c r="D11188" s="8"/>
      <c r="E11188" s="6"/>
      <c r="F11188" s="6"/>
    </row>
    <row r="11189" spans="1:6" x14ac:dyDescent="0.3">
      <c r="A11189" s="8" t="s">
        <v>22335</v>
      </c>
      <c r="B11189" s="8" t="s">
        <v>64791</v>
      </c>
      <c r="C11189" s="8" t="s">
        <v>22336</v>
      </c>
      <c r="D11189" s="8"/>
      <c r="E11189" s="6"/>
      <c r="F11189" s="6"/>
    </row>
    <row r="11190" spans="1:6" x14ac:dyDescent="0.3">
      <c r="A11190" s="8" t="s">
        <v>22337</v>
      </c>
      <c r="B11190" s="8" t="s">
        <v>64792</v>
      </c>
      <c r="C11190" s="8" t="s">
        <v>22338</v>
      </c>
      <c r="D11190" s="8"/>
      <c r="E11190" s="6"/>
      <c r="F11190" s="6"/>
    </row>
    <row r="11191" spans="1:6" x14ac:dyDescent="0.3">
      <c r="A11191" s="8" t="s">
        <v>22339</v>
      </c>
      <c r="B11191" s="8" t="s">
        <v>64793</v>
      </c>
      <c r="C11191" s="8" t="s">
        <v>22340</v>
      </c>
      <c r="D11191" s="8"/>
      <c r="E11191" s="6"/>
      <c r="F11191" s="6"/>
    </row>
    <row r="11192" spans="1:6" x14ac:dyDescent="0.3">
      <c r="A11192" s="8" t="s">
        <v>22341</v>
      </c>
      <c r="B11192" s="8" t="s">
        <v>64794</v>
      </c>
      <c r="C11192" s="8" t="s">
        <v>22342</v>
      </c>
      <c r="D11192" s="8"/>
      <c r="E11192" s="6"/>
      <c r="F11192" s="6"/>
    </row>
    <row r="11193" spans="1:6" x14ac:dyDescent="0.3">
      <c r="A11193" s="8" t="s">
        <v>22343</v>
      </c>
      <c r="B11193" s="8" t="s">
        <v>64795</v>
      </c>
      <c r="C11193" s="8" t="s">
        <v>22344</v>
      </c>
      <c r="D11193" s="8"/>
      <c r="E11193" s="6"/>
      <c r="F11193" s="6"/>
    </row>
    <row r="11194" spans="1:6" x14ac:dyDescent="0.3">
      <c r="A11194" s="8" t="s">
        <v>22345</v>
      </c>
      <c r="B11194" s="8" t="s">
        <v>64796</v>
      </c>
      <c r="C11194" s="8" t="s">
        <v>22346</v>
      </c>
      <c r="D11194" s="8"/>
      <c r="E11194" s="6"/>
      <c r="F11194" s="6"/>
    </row>
    <row r="11195" spans="1:6" x14ac:dyDescent="0.3">
      <c r="A11195" s="8" t="s">
        <v>22347</v>
      </c>
      <c r="B11195" s="8" t="s">
        <v>64797</v>
      </c>
      <c r="C11195" s="8" t="s">
        <v>22348</v>
      </c>
      <c r="D11195" s="8"/>
      <c r="E11195" s="6"/>
      <c r="F11195" s="6"/>
    </row>
    <row r="11196" spans="1:6" x14ac:dyDescent="0.3">
      <c r="A11196" s="8" t="s">
        <v>22349</v>
      </c>
      <c r="B11196" s="8" t="s">
        <v>64798</v>
      </c>
      <c r="C11196" s="8" t="s">
        <v>22350</v>
      </c>
      <c r="D11196" s="8"/>
      <c r="E11196" s="6"/>
      <c r="F11196" s="6"/>
    </row>
    <row r="11197" spans="1:6" x14ac:dyDescent="0.3">
      <c r="A11197" s="8" t="s">
        <v>22351</v>
      </c>
      <c r="B11197" s="8" t="s">
        <v>64799</v>
      </c>
      <c r="C11197" s="8" t="s">
        <v>22352</v>
      </c>
      <c r="D11197" s="8"/>
      <c r="E11197" s="6"/>
      <c r="F11197" s="6"/>
    </row>
    <row r="11198" spans="1:6" x14ac:dyDescent="0.3">
      <c r="A11198" s="8" t="s">
        <v>22353</v>
      </c>
      <c r="B11198" s="8" t="s">
        <v>64800</v>
      </c>
      <c r="C11198" s="8" t="s">
        <v>22354</v>
      </c>
      <c r="D11198" s="8"/>
      <c r="E11198" s="6"/>
      <c r="F11198" s="6"/>
    </row>
    <row r="11199" spans="1:6" x14ac:dyDescent="0.3">
      <c r="A11199" s="8" t="s">
        <v>22355</v>
      </c>
      <c r="B11199" s="8" t="s">
        <v>64801</v>
      </c>
      <c r="C11199" s="8" t="s">
        <v>22356</v>
      </c>
      <c r="D11199" s="8"/>
      <c r="E11199" s="6"/>
      <c r="F11199" s="6"/>
    </row>
    <row r="11200" spans="1:6" x14ac:dyDescent="0.3">
      <c r="A11200" s="8" t="s">
        <v>22357</v>
      </c>
      <c r="B11200" s="8" t="s">
        <v>64802</v>
      </c>
      <c r="C11200" s="8" t="s">
        <v>22358</v>
      </c>
      <c r="D11200" s="8"/>
      <c r="E11200" s="6"/>
      <c r="F11200" s="6"/>
    </row>
    <row r="11201" spans="1:6" x14ac:dyDescent="0.3">
      <c r="A11201" s="8" t="s">
        <v>22359</v>
      </c>
      <c r="B11201" s="8" t="s">
        <v>64803</v>
      </c>
      <c r="C11201" s="8" t="s">
        <v>22360</v>
      </c>
      <c r="D11201" s="8"/>
      <c r="E11201" s="6"/>
      <c r="F11201" s="6"/>
    </row>
    <row r="11202" spans="1:6" x14ac:dyDescent="0.3">
      <c r="A11202" s="8" t="s">
        <v>22361</v>
      </c>
      <c r="B11202" s="8" t="s">
        <v>64804</v>
      </c>
      <c r="C11202" s="8" t="s">
        <v>22362</v>
      </c>
      <c r="D11202" s="8"/>
      <c r="E11202" s="6"/>
      <c r="F11202" s="6"/>
    </row>
    <row r="11203" spans="1:6" x14ac:dyDescent="0.3">
      <c r="A11203" s="8" t="s">
        <v>22363</v>
      </c>
      <c r="B11203" s="8" t="s">
        <v>64805</v>
      </c>
      <c r="C11203" s="8" t="s">
        <v>22364</v>
      </c>
      <c r="D11203" s="8"/>
      <c r="E11203" s="6"/>
      <c r="F11203" s="6"/>
    </row>
    <row r="11204" spans="1:6" x14ac:dyDescent="0.3">
      <c r="A11204" s="8" t="s">
        <v>22365</v>
      </c>
      <c r="B11204" s="8" t="s">
        <v>64806</v>
      </c>
      <c r="C11204" s="8" t="s">
        <v>22366</v>
      </c>
      <c r="D11204" s="8"/>
      <c r="E11204" s="6"/>
      <c r="F11204" s="6"/>
    </row>
    <row r="11205" spans="1:6" x14ac:dyDescent="0.3">
      <c r="A11205" s="8" t="s">
        <v>22367</v>
      </c>
      <c r="B11205" s="8" t="s">
        <v>64807</v>
      </c>
      <c r="C11205" s="8" t="s">
        <v>22368</v>
      </c>
      <c r="D11205" s="8"/>
      <c r="E11205" s="6"/>
      <c r="F11205" s="6"/>
    </row>
    <row r="11206" spans="1:6" x14ac:dyDescent="0.3">
      <c r="A11206" s="8" t="s">
        <v>22369</v>
      </c>
      <c r="B11206" s="8" t="s">
        <v>64808</v>
      </c>
      <c r="C11206" s="8" t="s">
        <v>22370</v>
      </c>
      <c r="D11206" s="8"/>
      <c r="E11206" s="6"/>
      <c r="F11206" s="6"/>
    </row>
    <row r="11207" spans="1:6" x14ac:dyDescent="0.3">
      <c r="A11207" s="8" t="s">
        <v>22371</v>
      </c>
      <c r="B11207" s="8" t="s">
        <v>64809</v>
      </c>
      <c r="C11207" s="8" t="s">
        <v>22372</v>
      </c>
      <c r="D11207" s="8"/>
      <c r="E11207" s="6"/>
      <c r="F11207" s="6"/>
    </row>
    <row r="11208" spans="1:6" x14ac:dyDescent="0.3">
      <c r="A11208" s="8" t="s">
        <v>22373</v>
      </c>
      <c r="B11208" s="8" t="s">
        <v>64810</v>
      </c>
      <c r="C11208" s="8" t="s">
        <v>22374</v>
      </c>
      <c r="D11208" s="8"/>
      <c r="E11208" s="6"/>
      <c r="F11208" s="6"/>
    </row>
    <row r="11209" spans="1:6" x14ac:dyDescent="0.3">
      <c r="A11209" s="8" t="s">
        <v>22375</v>
      </c>
      <c r="B11209" s="8" t="s">
        <v>64811</v>
      </c>
      <c r="C11209" s="8" t="s">
        <v>22376</v>
      </c>
      <c r="D11209" s="8"/>
      <c r="E11209" s="6"/>
      <c r="F11209" s="6"/>
    </row>
    <row r="11210" spans="1:6" x14ac:dyDescent="0.3">
      <c r="A11210" s="8" t="s">
        <v>22377</v>
      </c>
      <c r="B11210" s="8" t="s">
        <v>64812</v>
      </c>
      <c r="C11210" s="8" t="s">
        <v>22378</v>
      </c>
      <c r="D11210" s="8"/>
      <c r="E11210" s="6"/>
      <c r="F11210" s="6"/>
    </row>
    <row r="11211" spans="1:6" x14ac:dyDescent="0.3">
      <c r="A11211" s="8" t="s">
        <v>22379</v>
      </c>
      <c r="B11211" s="8" t="s">
        <v>64813</v>
      </c>
      <c r="C11211" s="8" t="s">
        <v>22380</v>
      </c>
      <c r="D11211" s="8"/>
      <c r="E11211" s="6"/>
      <c r="F11211" s="6"/>
    </row>
    <row r="11212" spans="1:6" x14ac:dyDescent="0.3">
      <c r="A11212" s="8" t="s">
        <v>22381</v>
      </c>
      <c r="B11212" s="8" t="s">
        <v>64814</v>
      </c>
      <c r="C11212" s="8" t="s">
        <v>22382</v>
      </c>
      <c r="D11212" s="8"/>
      <c r="E11212" s="6"/>
      <c r="F11212" s="6"/>
    </row>
    <row r="11213" spans="1:6" x14ac:dyDescent="0.3">
      <c r="A11213" s="8" t="s">
        <v>22383</v>
      </c>
      <c r="B11213" s="8" t="s">
        <v>64815</v>
      </c>
      <c r="C11213" s="8" t="s">
        <v>22384</v>
      </c>
      <c r="D11213" s="8"/>
      <c r="E11213" s="6"/>
      <c r="F11213" s="6"/>
    </row>
    <row r="11214" spans="1:6" x14ac:dyDescent="0.3">
      <c r="A11214" s="8" t="s">
        <v>22385</v>
      </c>
      <c r="B11214" s="8" t="s">
        <v>64816</v>
      </c>
      <c r="C11214" s="8" t="s">
        <v>22386</v>
      </c>
      <c r="D11214" s="8"/>
      <c r="E11214" s="6"/>
      <c r="F11214" s="6"/>
    </row>
    <row r="11215" spans="1:6" x14ac:dyDescent="0.3">
      <c r="A11215" s="8" t="s">
        <v>22387</v>
      </c>
      <c r="B11215" s="8" t="s">
        <v>64817</v>
      </c>
      <c r="C11215" s="8" t="s">
        <v>22388</v>
      </c>
      <c r="D11215" s="8"/>
      <c r="E11215" s="6"/>
      <c r="F11215" s="6"/>
    </row>
    <row r="11216" spans="1:6" x14ac:dyDescent="0.3">
      <c r="A11216" s="8" t="s">
        <v>22389</v>
      </c>
      <c r="B11216" s="8" t="s">
        <v>64818</v>
      </c>
      <c r="C11216" s="8" t="s">
        <v>22390</v>
      </c>
      <c r="D11216" s="8"/>
      <c r="E11216" s="6"/>
      <c r="F11216" s="6"/>
    </row>
    <row r="11217" spans="1:6" x14ac:dyDescent="0.3">
      <c r="A11217" s="8" t="s">
        <v>22391</v>
      </c>
      <c r="B11217" s="8" t="s">
        <v>64819</v>
      </c>
      <c r="C11217" s="8" t="s">
        <v>22392</v>
      </c>
      <c r="D11217" s="8"/>
      <c r="E11217" s="6"/>
      <c r="F11217" s="6"/>
    </row>
    <row r="11218" spans="1:6" x14ac:dyDescent="0.3">
      <c r="A11218" s="8" t="s">
        <v>22393</v>
      </c>
      <c r="B11218" s="8" t="s">
        <v>64820</v>
      </c>
      <c r="C11218" s="8" t="s">
        <v>22394</v>
      </c>
      <c r="D11218" s="8"/>
      <c r="E11218" s="6"/>
      <c r="F11218" s="6"/>
    </row>
    <row r="11219" spans="1:6" x14ac:dyDescent="0.3">
      <c r="A11219" s="8" t="s">
        <v>22395</v>
      </c>
      <c r="B11219" s="8" t="s">
        <v>64821</v>
      </c>
      <c r="C11219" s="8" t="s">
        <v>22396</v>
      </c>
      <c r="D11219" s="8"/>
      <c r="E11219" s="6"/>
      <c r="F11219" s="6"/>
    </row>
    <row r="11220" spans="1:6" x14ac:dyDescent="0.3">
      <c r="A11220" s="8" t="s">
        <v>22397</v>
      </c>
      <c r="B11220" s="8" t="s">
        <v>64822</v>
      </c>
      <c r="C11220" s="8" t="s">
        <v>22398</v>
      </c>
      <c r="D11220" s="8"/>
      <c r="E11220" s="6"/>
      <c r="F11220" s="6"/>
    </row>
    <row r="11221" spans="1:6" x14ac:dyDescent="0.3">
      <c r="A11221" s="8" t="s">
        <v>22399</v>
      </c>
      <c r="B11221" s="8" t="s">
        <v>64823</v>
      </c>
      <c r="C11221" s="8" t="s">
        <v>22400</v>
      </c>
      <c r="D11221" s="8"/>
      <c r="E11221" s="6"/>
      <c r="F11221" s="6"/>
    </row>
    <row r="11222" spans="1:6" x14ac:dyDescent="0.3">
      <c r="A11222" s="8" t="s">
        <v>22401</v>
      </c>
      <c r="B11222" s="8" t="s">
        <v>64824</v>
      </c>
      <c r="C11222" s="8" t="s">
        <v>22402</v>
      </c>
      <c r="D11222" s="8"/>
      <c r="E11222" s="6"/>
      <c r="F11222" s="6"/>
    </row>
    <row r="11223" spans="1:6" x14ac:dyDescent="0.3">
      <c r="A11223" s="8" t="s">
        <v>22403</v>
      </c>
      <c r="B11223" s="8" t="s">
        <v>64825</v>
      </c>
      <c r="C11223" s="8" t="s">
        <v>22404</v>
      </c>
      <c r="D11223" s="8"/>
      <c r="E11223" s="6"/>
      <c r="F11223" s="6"/>
    </row>
    <row r="11224" spans="1:6" x14ac:dyDescent="0.3">
      <c r="A11224" s="8" t="s">
        <v>22405</v>
      </c>
      <c r="B11224" s="8" t="s">
        <v>64826</v>
      </c>
      <c r="C11224" s="8" t="s">
        <v>22406</v>
      </c>
      <c r="D11224" s="8"/>
      <c r="E11224" s="6"/>
      <c r="F11224" s="6"/>
    </row>
    <row r="11225" spans="1:6" x14ac:dyDescent="0.3">
      <c r="A11225" s="8" t="s">
        <v>22407</v>
      </c>
      <c r="B11225" s="8" t="s">
        <v>64827</v>
      </c>
      <c r="C11225" s="8" t="s">
        <v>22408</v>
      </c>
      <c r="D11225" s="8"/>
      <c r="E11225" s="6"/>
      <c r="F11225" s="6"/>
    </row>
    <row r="11226" spans="1:6" x14ac:dyDescent="0.3">
      <c r="A11226" s="8" t="s">
        <v>22409</v>
      </c>
      <c r="B11226" s="8" t="s">
        <v>64828</v>
      </c>
      <c r="C11226" s="8" t="s">
        <v>22410</v>
      </c>
      <c r="D11226" s="8"/>
      <c r="E11226" s="6"/>
      <c r="F11226" s="6"/>
    </row>
    <row r="11227" spans="1:6" x14ac:dyDescent="0.3">
      <c r="A11227" s="8" t="s">
        <v>22411</v>
      </c>
      <c r="B11227" s="8" t="s">
        <v>64829</v>
      </c>
      <c r="C11227" s="8" t="s">
        <v>22412</v>
      </c>
      <c r="D11227" s="8"/>
      <c r="E11227" s="6"/>
      <c r="F11227" s="6"/>
    </row>
    <row r="11228" spans="1:6" x14ac:dyDescent="0.3">
      <c r="A11228" s="8" t="s">
        <v>22413</v>
      </c>
      <c r="B11228" s="8" t="s">
        <v>64830</v>
      </c>
      <c r="C11228" s="8" t="s">
        <v>22414</v>
      </c>
      <c r="D11228" s="8"/>
      <c r="E11228" s="6"/>
      <c r="F11228" s="6"/>
    </row>
    <row r="11229" spans="1:6" x14ac:dyDescent="0.3">
      <c r="A11229" s="8" t="s">
        <v>22415</v>
      </c>
      <c r="B11229" s="8" t="s">
        <v>64831</v>
      </c>
      <c r="C11229" s="8" t="s">
        <v>22416</v>
      </c>
      <c r="D11229" s="8"/>
      <c r="E11229" s="6"/>
      <c r="F11229" s="6"/>
    </row>
    <row r="11230" spans="1:6" x14ac:dyDescent="0.3">
      <c r="A11230" s="8" t="s">
        <v>22417</v>
      </c>
      <c r="B11230" s="8" t="s">
        <v>64832</v>
      </c>
      <c r="C11230" s="8" t="s">
        <v>22418</v>
      </c>
      <c r="D11230" s="8"/>
      <c r="E11230" s="6"/>
      <c r="F11230" s="6"/>
    </row>
    <row r="11231" spans="1:6" x14ac:dyDescent="0.3">
      <c r="A11231" s="8" t="s">
        <v>22419</v>
      </c>
      <c r="B11231" s="8" t="s">
        <v>64833</v>
      </c>
      <c r="C11231" s="8" t="s">
        <v>22420</v>
      </c>
      <c r="D11231" s="8"/>
      <c r="E11231" s="6"/>
      <c r="F11231" s="6"/>
    </row>
    <row r="11232" spans="1:6" x14ac:dyDescent="0.3">
      <c r="A11232" s="8" t="s">
        <v>22421</v>
      </c>
      <c r="B11232" s="8" t="s">
        <v>64834</v>
      </c>
      <c r="C11232" s="8" t="s">
        <v>22422</v>
      </c>
      <c r="D11232" s="8"/>
      <c r="E11232" s="6"/>
      <c r="F11232" s="6"/>
    </row>
    <row r="11233" spans="1:6" x14ac:dyDescent="0.3">
      <c r="A11233" s="8" t="s">
        <v>22423</v>
      </c>
      <c r="B11233" s="8" t="s">
        <v>64835</v>
      </c>
      <c r="C11233" s="8" t="s">
        <v>22424</v>
      </c>
      <c r="D11233" s="8"/>
      <c r="E11233" s="6"/>
      <c r="F11233" s="6"/>
    </row>
    <row r="11234" spans="1:6" x14ac:dyDescent="0.3">
      <c r="A11234" s="8" t="s">
        <v>22425</v>
      </c>
      <c r="B11234" s="8" t="s">
        <v>64836</v>
      </c>
      <c r="C11234" s="8" t="s">
        <v>22426</v>
      </c>
      <c r="D11234" s="8"/>
      <c r="E11234" s="6"/>
      <c r="F11234" s="6"/>
    </row>
    <row r="11235" spans="1:6" x14ac:dyDescent="0.3">
      <c r="A11235" s="8" t="s">
        <v>22427</v>
      </c>
      <c r="B11235" s="8" t="s">
        <v>64837</v>
      </c>
      <c r="C11235" s="8" t="s">
        <v>22428</v>
      </c>
      <c r="D11235" s="8"/>
      <c r="E11235" s="6"/>
      <c r="F11235" s="6"/>
    </row>
    <row r="11236" spans="1:6" x14ac:dyDescent="0.3">
      <c r="A11236" s="8" t="s">
        <v>22429</v>
      </c>
      <c r="B11236" s="8" t="s">
        <v>64838</v>
      </c>
      <c r="C11236" s="8" t="s">
        <v>22430</v>
      </c>
      <c r="D11236" s="8"/>
      <c r="E11236" s="6"/>
      <c r="F11236" s="6"/>
    </row>
    <row r="11237" spans="1:6" x14ac:dyDescent="0.3">
      <c r="A11237" s="8" t="s">
        <v>22431</v>
      </c>
      <c r="B11237" s="8" t="s">
        <v>64839</v>
      </c>
      <c r="C11237" s="8" t="s">
        <v>22432</v>
      </c>
      <c r="D11237" s="8"/>
      <c r="E11237" s="6"/>
      <c r="F11237" s="6"/>
    </row>
    <row r="11238" spans="1:6" x14ac:dyDescent="0.3">
      <c r="A11238" s="8" t="s">
        <v>22433</v>
      </c>
      <c r="B11238" s="8" t="s">
        <v>64840</v>
      </c>
      <c r="C11238" s="8" t="s">
        <v>22434</v>
      </c>
      <c r="D11238" s="8"/>
      <c r="E11238" s="6"/>
      <c r="F11238" s="6"/>
    </row>
    <row r="11239" spans="1:6" x14ac:dyDescent="0.3">
      <c r="A11239" s="8" t="s">
        <v>22435</v>
      </c>
      <c r="B11239" s="8" t="s">
        <v>64841</v>
      </c>
      <c r="C11239" s="8" t="s">
        <v>22436</v>
      </c>
      <c r="D11239" s="8"/>
      <c r="E11239" s="6"/>
      <c r="F11239" s="6"/>
    </row>
    <row r="11240" spans="1:6" x14ac:dyDescent="0.3">
      <c r="A11240" s="8" t="s">
        <v>22437</v>
      </c>
      <c r="B11240" s="8" t="s">
        <v>64842</v>
      </c>
      <c r="C11240" s="8" t="s">
        <v>22438</v>
      </c>
      <c r="D11240" s="8"/>
      <c r="E11240" s="6"/>
      <c r="F11240" s="6"/>
    </row>
    <row r="11241" spans="1:6" x14ac:dyDescent="0.3">
      <c r="A11241" s="8" t="s">
        <v>22439</v>
      </c>
      <c r="B11241" s="8" t="s">
        <v>64843</v>
      </c>
      <c r="C11241" s="8" t="s">
        <v>22440</v>
      </c>
      <c r="D11241" s="8"/>
      <c r="E11241" s="6"/>
      <c r="F11241" s="6"/>
    </row>
    <row r="11242" spans="1:6" x14ac:dyDescent="0.3">
      <c r="A11242" s="8" t="s">
        <v>22441</v>
      </c>
      <c r="B11242" s="8" t="s">
        <v>64844</v>
      </c>
      <c r="C11242" s="8" t="s">
        <v>22442</v>
      </c>
      <c r="D11242" s="8"/>
      <c r="E11242" s="6"/>
      <c r="F11242" s="6"/>
    </row>
    <row r="11243" spans="1:6" x14ac:dyDescent="0.3">
      <c r="A11243" s="8" t="s">
        <v>22443</v>
      </c>
      <c r="B11243" s="8" t="s">
        <v>64845</v>
      </c>
      <c r="C11243" s="8" t="s">
        <v>22444</v>
      </c>
      <c r="D11243" s="8"/>
      <c r="E11243" s="6"/>
      <c r="F11243" s="6"/>
    </row>
    <row r="11244" spans="1:6" x14ac:dyDescent="0.3">
      <c r="A11244" s="8" t="s">
        <v>22445</v>
      </c>
      <c r="B11244" s="8" t="s">
        <v>64846</v>
      </c>
      <c r="C11244" s="8" t="s">
        <v>22446</v>
      </c>
      <c r="D11244" s="8"/>
      <c r="E11244" s="6"/>
      <c r="F11244" s="6"/>
    </row>
    <row r="11245" spans="1:6" x14ac:dyDescent="0.3">
      <c r="A11245" s="8" t="s">
        <v>22447</v>
      </c>
      <c r="B11245" s="8" t="s">
        <v>64847</v>
      </c>
      <c r="C11245" s="8" t="s">
        <v>22448</v>
      </c>
      <c r="D11245" s="8"/>
      <c r="E11245" s="6"/>
      <c r="F11245" s="6"/>
    </row>
    <row r="11246" spans="1:6" x14ac:dyDescent="0.3">
      <c r="A11246" s="8" t="s">
        <v>22449</v>
      </c>
      <c r="B11246" s="8" t="s">
        <v>64848</v>
      </c>
      <c r="C11246" s="8" t="s">
        <v>22450</v>
      </c>
      <c r="D11246" s="8"/>
      <c r="E11246" s="6"/>
      <c r="F11246" s="6"/>
    </row>
    <row r="11247" spans="1:6" x14ac:dyDescent="0.3">
      <c r="A11247" s="8" t="s">
        <v>22451</v>
      </c>
      <c r="B11247" s="8" t="s">
        <v>64849</v>
      </c>
      <c r="C11247" s="8" t="s">
        <v>22452</v>
      </c>
      <c r="D11247" s="8"/>
      <c r="E11247" s="6"/>
      <c r="F11247" s="6"/>
    </row>
    <row r="11248" spans="1:6" x14ac:dyDescent="0.3">
      <c r="A11248" s="8" t="s">
        <v>22453</v>
      </c>
      <c r="B11248" s="8" t="s">
        <v>64850</v>
      </c>
      <c r="C11248" s="8" t="s">
        <v>22454</v>
      </c>
      <c r="D11248" s="8"/>
      <c r="E11248" s="6"/>
      <c r="F11248" s="6"/>
    </row>
    <row r="11249" spans="1:6" x14ac:dyDescent="0.3">
      <c r="A11249" s="8" t="s">
        <v>22455</v>
      </c>
      <c r="B11249" s="8" t="s">
        <v>64851</v>
      </c>
      <c r="C11249" s="8" t="s">
        <v>22456</v>
      </c>
      <c r="D11249" s="8"/>
      <c r="E11249" s="6"/>
      <c r="F11249" s="6"/>
    </row>
    <row r="11250" spans="1:6" x14ac:dyDescent="0.3">
      <c r="A11250" s="8" t="s">
        <v>22457</v>
      </c>
      <c r="B11250" s="8" t="s">
        <v>64852</v>
      </c>
      <c r="C11250" s="8" t="s">
        <v>22458</v>
      </c>
      <c r="D11250" s="8"/>
      <c r="E11250" s="6"/>
      <c r="F11250" s="6"/>
    </row>
    <row r="11251" spans="1:6" x14ac:dyDescent="0.3">
      <c r="A11251" s="8" t="s">
        <v>22459</v>
      </c>
      <c r="B11251" s="8" t="s">
        <v>64853</v>
      </c>
      <c r="C11251" s="8" t="s">
        <v>22460</v>
      </c>
      <c r="D11251" s="8"/>
      <c r="E11251" s="6"/>
      <c r="F11251" s="6"/>
    </row>
    <row r="11252" spans="1:6" x14ac:dyDescent="0.3">
      <c r="A11252" s="8" t="s">
        <v>22461</v>
      </c>
      <c r="B11252" s="8" t="s">
        <v>64854</v>
      </c>
      <c r="C11252" s="8" t="s">
        <v>22462</v>
      </c>
      <c r="D11252" s="8"/>
      <c r="E11252" s="6"/>
      <c r="F11252" s="6"/>
    </row>
    <row r="11253" spans="1:6" x14ac:dyDescent="0.3">
      <c r="A11253" s="8" t="s">
        <v>22463</v>
      </c>
      <c r="B11253" s="8" t="s">
        <v>64855</v>
      </c>
      <c r="C11253" s="8" t="s">
        <v>22464</v>
      </c>
      <c r="D11253" s="8"/>
      <c r="E11253" s="6"/>
      <c r="F11253" s="6"/>
    </row>
    <row r="11254" spans="1:6" x14ac:dyDescent="0.3">
      <c r="A11254" s="8" t="s">
        <v>22465</v>
      </c>
      <c r="B11254" s="8" t="s">
        <v>64856</v>
      </c>
      <c r="C11254" s="8" t="s">
        <v>22466</v>
      </c>
      <c r="D11254" s="8"/>
      <c r="E11254" s="6"/>
      <c r="F11254" s="6"/>
    </row>
    <row r="11255" spans="1:6" x14ac:dyDescent="0.3">
      <c r="A11255" s="8" t="s">
        <v>22467</v>
      </c>
      <c r="B11255" s="8" t="s">
        <v>64857</v>
      </c>
      <c r="C11255" s="8" t="s">
        <v>22468</v>
      </c>
      <c r="D11255" s="8"/>
      <c r="E11255" s="6"/>
      <c r="F11255" s="6"/>
    </row>
    <row r="11256" spans="1:6" x14ac:dyDescent="0.3">
      <c r="A11256" s="8" t="s">
        <v>22469</v>
      </c>
      <c r="B11256" s="8" t="s">
        <v>64858</v>
      </c>
      <c r="C11256" s="8" t="s">
        <v>22470</v>
      </c>
      <c r="D11256" s="8"/>
      <c r="E11256" s="6"/>
      <c r="F11256" s="6"/>
    </row>
    <row r="11257" spans="1:6" x14ac:dyDescent="0.3">
      <c r="A11257" s="8" t="s">
        <v>22471</v>
      </c>
      <c r="B11257" s="8" t="s">
        <v>64859</v>
      </c>
      <c r="C11257" s="8" t="s">
        <v>22472</v>
      </c>
      <c r="D11257" s="8"/>
      <c r="E11257" s="6"/>
      <c r="F11257" s="6"/>
    </row>
    <row r="11258" spans="1:6" x14ac:dyDescent="0.3">
      <c r="A11258" s="8" t="s">
        <v>22473</v>
      </c>
      <c r="B11258" s="8" t="s">
        <v>64860</v>
      </c>
      <c r="C11258" s="8" t="s">
        <v>22474</v>
      </c>
      <c r="D11258" s="8"/>
      <c r="E11258" s="6"/>
      <c r="F11258" s="6"/>
    </row>
    <row r="11259" spans="1:6" x14ac:dyDescent="0.3">
      <c r="A11259" s="8" t="s">
        <v>22475</v>
      </c>
      <c r="B11259" s="8" t="s">
        <v>64861</v>
      </c>
      <c r="C11259" s="8" t="s">
        <v>22476</v>
      </c>
      <c r="D11259" s="8"/>
      <c r="E11259" s="6"/>
      <c r="F11259" s="6"/>
    </row>
    <row r="11260" spans="1:6" x14ac:dyDescent="0.3">
      <c r="A11260" s="8" t="s">
        <v>22477</v>
      </c>
      <c r="B11260" s="8" t="s">
        <v>64862</v>
      </c>
      <c r="C11260" s="8" t="s">
        <v>22478</v>
      </c>
      <c r="D11260" s="8"/>
      <c r="E11260" s="6"/>
      <c r="F11260" s="6"/>
    </row>
    <row r="11261" spans="1:6" x14ac:dyDescent="0.3">
      <c r="A11261" s="8" t="s">
        <v>22479</v>
      </c>
      <c r="B11261" s="8" t="s">
        <v>64863</v>
      </c>
      <c r="C11261" s="8" t="s">
        <v>22480</v>
      </c>
      <c r="D11261" s="8"/>
      <c r="E11261" s="6"/>
      <c r="F11261" s="6"/>
    </row>
    <row r="11262" spans="1:6" x14ac:dyDescent="0.3">
      <c r="A11262" s="8" t="s">
        <v>22481</v>
      </c>
      <c r="B11262" s="8" t="s">
        <v>64864</v>
      </c>
      <c r="C11262" s="8" t="s">
        <v>22482</v>
      </c>
      <c r="D11262" s="8"/>
      <c r="E11262" s="6"/>
      <c r="F11262" s="6"/>
    </row>
    <row r="11263" spans="1:6" x14ac:dyDescent="0.3">
      <c r="A11263" s="8" t="s">
        <v>22483</v>
      </c>
      <c r="B11263" s="8" t="s">
        <v>64865</v>
      </c>
      <c r="C11263" s="8" t="s">
        <v>22484</v>
      </c>
      <c r="D11263" s="8"/>
      <c r="E11263" s="6"/>
      <c r="F11263" s="6"/>
    </row>
    <row r="11264" spans="1:6" x14ac:dyDescent="0.3">
      <c r="A11264" s="8" t="s">
        <v>22485</v>
      </c>
      <c r="B11264" s="8" t="s">
        <v>64866</v>
      </c>
      <c r="C11264" s="8" t="s">
        <v>22486</v>
      </c>
      <c r="D11264" s="8"/>
      <c r="E11264" s="6"/>
      <c r="F11264" s="6"/>
    </row>
    <row r="11265" spans="1:6" x14ac:dyDescent="0.3">
      <c r="A11265" s="8" t="s">
        <v>22487</v>
      </c>
      <c r="B11265" s="8" t="s">
        <v>64867</v>
      </c>
      <c r="C11265" s="8" t="s">
        <v>22488</v>
      </c>
      <c r="D11265" s="8"/>
      <c r="E11265" s="6"/>
      <c r="F11265" s="6"/>
    </row>
    <row r="11266" spans="1:6" x14ac:dyDescent="0.3">
      <c r="A11266" s="8" t="s">
        <v>22489</v>
      </c>
      <c r="B11266" s="8" t="s">
        <v>64868</v>
      </c>
      <c r="C11266" s="8" t="s">
        <v>22490</v>
      </c>
      <c r="D11266" s="8"/>
      <c r="E11266" s="6"/>
      <c r="F11266" s="6"/>
    </row>
    <row r="11267" spans="1:6" x14ac:dyDescent="0.3">
      <c r="A11267" s="8" t="s">
        <v>22491</v>
      </c>
      <c r="B11267" s="8" t="s">
        <v>64869</v>
      </c>
      <c r="C11267" s="8" t="s">
        <v>22492</v>
      </c>
      <c r="D11267" s="8"/>
      <c r="E11267" s="6"/>
      <c r="F11267" s="6"/>
    </row>
    <row r="11268" spans="1:6" x14ac:dyDescent="0.3">
      <c r="A11268" s="8" t="s">
        <v>22493</v>
      </c>
      <c r="B11268" s="8" t="s">
        <v>64870</v>
      </c>
      <c r="C11268" s="8" t="s">
        <v>22494</v>
      </c>
      <c r="D11268" s="8"/>
      <c r="E11268" s="6"/>
      <c r="F11268" s="6"/>
    </row>
    <row r="11269" spans="1:6" x14ac:dyDescent="0.3">
      <c r="A11269" s="8" t="s">
        <v>22495</v>
      </c>
      <c r="B11269" s="8" t="s">
        <v>64871</v>
      </c>
      <c r="C11269" s="8" t="s">
        <v>22496</v>
      </c>
      <c r="D11269" s="8"/>
      <c r="E11269" s="6"/>
      <c r="F11269" s="6"/>
    </row>
    <row r="11270" spans="1:6" x14ac:dyDescent="0.3">
      <c r="A11270" s="8" t="s">
        <v>22497</v>
      </c>
      <c r="B11270" s="8" t="s">
        <v>64872</v>
      </c>
      <c r="C11270" s="8" t="s">
        <v>22498</v>
      </c>
      <c r="D11270" s="8"/>
      <c r="E11270" s="6"/>
      <c r="F11270" s="6"/>
    </row>
    <row r="11271" spans="1:6" x14ac:dyDescent="0.3">
      <c r="A11271" s="8" t="s">
        <v>22499</v>
      </c>
      <c r="B11271" s="8" t="s">
        <v>64873</v>
      </c>
      <c r="C11271" s="8" t="s">
        <v>22500</v>
      </c>
      <c r="D11271" s="8"/>
      <c r="E11271" s="6"/>
      <c r="F11271" s="6"/>
    </row>
    <row r="11272" spans="1:6" x14ac:dyDescent="0.3">
      <c r="A11272" s="8" t="s">
        <v>22501</v>
      </c>
      <c r="B11272" s="8" t="s">
        <v>64874</v>
      </c>
      <c r="C11272" s="8" t="s">
        <v>22502</v>
      </c>
      <c r="D11272" s="8"/>
      <c r="E11272" s="6"/>
      <c r="F11272" s="6"/>
    </row>
    <row r="11273" spans="1:6" x14ac:dyDescent="0.3">
      <c r="A11273" s="8" t="s">
        <v>22503</v>
      </c>
      <c r="B11273" s="8" t="s">
        <v>64875</v>
      </c>
      <c r="C11273" s="8" t="s">
        <v>22504</v>
      </c>
      <c r="D11273" s="8"/>
      <c r="E11273" s="6"/>
      <c r="F11273" s="6"/>
    </row>
    <row r="11274" spans="1:6" x14ac:dyDescent="0.3">
      <c r="A11274" s="8" t="s">
        <v>22505</v>
      </c>
      <c r="B11274" s="8" t="s">
        <v>64876</v>
      </c>
      <c r="C11274" s="8" t="s">
        <v>22506</v>
      </c>
      <c r="D11274" s="8"/>
      <c r="E11274" s="6"/>
      <c r="F11274" s="6"/>
    </row>
    <row r="11275" spans="1:6" x14ac:dyDescent="0.3">
      <c r="A11275" s="8" t="s">
        <v>22507</v>
      </c>
      <c r="B11275" s="8" t="s">
        <v>64877</v>
      </c>
      <c r="C11275" s="8" t="s">
        <v>22508</v>
      </c>
      <c r="D11275" s="8"/>
      <c r="E11275" s="6"/>
      <c r="F11275" s="6"/>
    </row>
    <row r="11276" spans="1:6" x14ac:dyDescent="0.3">
      <c r="A11276" s="8" t="s">
        <v>22509</v>
      </c>
      <c r="B11276" s="8" t="s">
        <v>64878</v>
      </c>
      <c r="C11276" s="8" t="s">
        <v>22510</v>
      </c>
      <c r="D11276" s="8"/>
      <c r="E11276" s="6"/>
      <c r="F11276" s="6"/>
    </row>
    <row r="11277" spans="1:6" x14ac:dyDescent="0.3">
      <c r="A11277" s="8" t="s">
        <v>22511</v>
      </c>
      <c r="B11277" s="8" t="s">
        <v>64879</v>
      </c>
      <c r="C11277" s="8" t="s">
        <v>22512</v>
      </c>
      <c r="D11277" s="8"/>
      <c r="E11277" s="6"/>
      <c r="F11277" s="6"/>
    </row>
    <row r="11278" spans="1:6" x14ac:dyDescent="0.3">
      <c r="A11278" s="8" t="s">
        <v>22513</v>
      </c>
      <c r="B11278" s="8" t="s">
        <v>64880</v>
      </c>
      <c r="C11278" s="8" t="s">
        <v>22514</v>
      </c>
      <c r="D11278" s="8"/>
      <c r="E11278" s="6"/>
      <c r="F11278" s="6"/>
    </row>
    <row r="11279" spans="1:6" x14ac:dyDescent="0.3">
      <c r="A11279" s="8" t="s">
        <v>22515</v>
      </c>
      <c r="B11279" s="8" t="s">
        <v>64881</v>
      </c>
      <c r="C11279" s="8" t="s">
        <v>22516</v>
      </c>
      <c r="D11279" s="8"/>
      <c r="E11279" s="6"/>
      <c r="F11279" s="6"/>
    </row>
    <row r="11280" spans="1:6" x14ac:dyDescent="0.3">
      <c r="A11280" s="8" t="s">
        <v>22517</v>
      </c>
      <c r="B11280" s="8" t="s">
        <v>64882</v>
      </c>
      <c r="C11280" s="8" t="s">
        <v>22518</v>
      </c>
      <c r="D11280" s="8"/>
      <c r="E11280" s="6"/>
      <c r="F11280" s="6"/>
    </row>
    <row r="11281" spans="1:6" x14ac:dyDescent="0.3">
      <c r="A11281" s="8" t="s">
        <v>22519</v>
      </c>
      <c r="B11281" s="8" t="s">
        <v>64883</v>
      </c>
      <c r="C11281" s="8" t="s">
        <v>22520</v>
      </c>
      <c r="D11281" s="8"/>
      <c r="E11281" s="6"/>
      <c r="F11281" s="6"/>
    </row>
    <row r="11282" spans="1:6" x14ac:dyDescent="0.3">
      <c r="A11282" s="8" t="s">
        <v>22521</v>
      </c>
      <c r="B11282" s="8" t="s">
        <v>64884</v>
      </c>
      <c r="C11282" s="8" t="s">
        <v>22522</v>
      </c>
      <c r="D11282" s="8"/>
      <c r="E11282" s="6"/>
      <c r="F11282" s="6"/>
    </row>
    <row r="11283" spans="1:6" x14ac:dyDescent="0.3">
      <c r="A11283" s="8" t="s">
        <v>22523</v>
      </c>
      <c r="B11283" s="8" t="s">
        <v>64885</v>
      </c>
      <c r="C11283" s="8" t="s">
        <v>22524</v>
      </c>
      <c r="D11283" s="8"/>
      <c r="E11283" s="6"/>
      <c r="F11283" s="6"/>
    </row>
    <row r="11284" spans="1:6" x14ac:dyDescent="0.3">
      <c r="A11284" s="8" t="s">
        <v>22525</v>
      </c>
      <c r="B11284" s="8" t="s">
        <v>64886</v>
      </c>
      <c r="C11284" s="8" t="s">
        <v>22526</v>
      </c>
      <c r="D11284" s="8"/>
      <c r="E11284" s="6"/>
      <c r="F11284" s="6"/>
    </row>
    <row r="11285" spans="1:6" x14ac:dyDescent="0.3">
      <c r="A11285" s="8" t="s">
        <v>22527</v>
      </c>
      <c r="B11285" s="8" t="s">
        <v>64887</v>
      </c>
      <c r="C11285" s="8" t="s">
        <v>22528</v>
      </c>
      <c r="D11285" s="8"/>
      <c r="E11285" s="6"/>
      <c r="F11285" s="6"/>
    </row>
    <row r="11286" spans="1:6" x14ac:dyDescent="0.3">
      <c r="A11286" s="8" t="s">
        <v>22529</v>
      </c>
      <c r="B11286" s="8" t="s">
        <v>64888</v>
      </c>
      <c r="C11286" s="8" t="s">
        <v>22530</v>
      </c>
      <c r="D11286" s="8"/>
      <c r="E11286" s="6"/>
      <c r="F11286" s="6"/>
    </row>
    <row r="11287" spans="1:6" x14ac:dyDescent="0.3">
      <c r="A11287" s="8" t="s">
        <v>22531</v>
      </c>
      <c r="B11287" s="8" t="s">
        <v>64889</v>
      </c>
      <c r="C11287" s="8" t="s">
        <v>22532</v>
      </c>
      <c r="D11287" s="8"/>
      <c r="E11287" s="6"/>
      <c r="F11287" s="6"/>
    </row>
    <row r="11288" spans="1:6" x14ac:dyDescent="0.3">
      <c r="A11288" s="8" t="s">
        <v>22533</v>
      </c>
      <c r="B11288" s="8" t="s">
        <v>64890</v>
      </c>
      <c r="C11288" s="8" t="s">
        <v>22534</v>
      </c>
      <c r="D11288" s="8"/>
      <c r="E11288" s="6"/>
      <c r="F11288" s="6"/>
    </row>
    <row r="11289" spans="1:6" x14ac:dyDescent="0.3">
      <c r="A11289" s="8" t="s">
        <v>22535</v>
      </c>
      <c r="B11289" s="8" t="s">
        <v>64891</v>
      </c>
      <c r="C11289" s="8" t="s">
        <v>22536</v>
      </c>
      <c r="D11289" s="8"/>
      <c r="E11289" s="6"/>
      <c r="F11289" s="6"/>
    </row>
    <row r="11290" spans="1:6" x14ac:dyDescent="0.3">
      <c r="A11290" s="8" t="s">
        <v>22537</v>
      </c>
      <c r="B11290" s="8" t="s">
        <v>64892</v>
      </c>
      <c r="C11290" s="8" t="s">
        <v>22538</v>
      </c>
      <c r="D11290" s="8"/>
      <c r="E11290" s="6"/>
      <c r="F11290" s="6"/>
    </row>
    <row r="11291" spans="1:6" x14ac:dyDescent="0.3">
      <c r="A11291" s="8" t="s">
        <v>22539</v>
      </c>
      <c r="B11291" s="8" t="s">
        <v>64893</v>
      </c>
      <c r="C11291" s="8" t="s">
        <v>22540</v>
      </c>
      <c r="D11291" s="8"/>
      <c r="E11291" s="6"/>
      <c r="F11291" s="6"/>
    </row>
    <row r="11292" spans="1:6" x14ac:dyDescent="0.3">
      <c r="A11292" s="8" t="s">
        <v>22541</v>
      </c>
      <c r="B11292" s="8" t="s">
        <v>64894</v>
      </c>
      <c r="C11292" s="8" t="s">
        <v>22542</v>
      </c>
      <c r="D11292" s="8"/>
      <c r="E11292" s="6"/>
      <c r="F11292" s="6"/>
    </row>
    <row r="11293" spans="1:6" x14ac:dyDescent="0.3">
      <c r="A11293" s="8" t="s">
        <v>22543</v>
      </c>
      <c r="B11293" s="8" t="s">
        <v>64895</v>
      </c>
      <c r="C11293" s="8" t="s">
        <v>22544</v>
      </c>
      <c r="D11293" s="8"/>
      <c r="E11293" s="6"/>
      <c r="F11293" s="6"/>
    </row>
    <row r="11294" spans="1:6" x14ac:dyDescent="0.3">
      <c r="A11294" s="8" t="s">
        <v>22545</v>
      </c>
      <c r="B11294" s="8" t="s">
        <v>64896</v>
      </c>
      <c r="C11294" s="8" t="s">
        <v>22546</v>
      </c>
      <c r="D11294" s="8"/>
      <c r="E11294" s="6"/>
      <c r="F11294" s="6"/>
    </row>
    <row r="11295" spans="1:6" x14ac:dyDescent="0.3">
      <c r="A11295" s="8" t="s">
        <v>22547</v>
      </c>
      <c r="B11295" s="8" t="s">
        <v>64897</v>
      </c>
      <c r="C11295" s="8" t="s">
        <v>22548</v>
      </c>
      <c r="D11295" s="8"/>
      <c r="E11295" s="6"/>
      <c r="F11295" s="6"/>
    </row>
    <row r="11296" spans="1:6" x14ac:dyDescent="0.3">
      <c r="A11296" s="8" t="s">
        <v>22549</v>
      </c>
      <c r="B11296" s="8" t="s">
        <v>64898</v>
      </c>
      <c r="C11296" s="8" t="s">
        <v>22550</v>
      </c>
      <c r="D11296" s="8"/>
      <c r="E11296" s="6"/>
      <c r="F11296" s="6"/>
    </row>
    <row r="11297" spans="1:6" x14ac:dyDescent="0.3">
      <c r="A11297" s="8" t="s">
        <v>22551</v>
      </c>
      <c r="B11297" s="8" t="s">
        <v>64899</v>
      </c>
      <c r="C11297" s="8" t="s">
        <v>22552</v>
      </c>
      <c r="D11297" s="8"/>
      <c r="E11297" s="6"/>
      <c r="F11297" s="6"/>
    </row>
    <row r="11298" spans="1:6" x14ac:dyDescent="0.3">
      <c r="A11298" s="8" t="s">
        <v>22553</v>
      </c>
      <c r="B11298" s="8" t="s">
        <v>64900</v>
      </c>
      <c r="C11298" s="8" t="s">
        <v>22554</v>
      </c>
      <c r="D11298" s="8"/>
      <c r="E11298" s="6"/>
      <c r="F11298" s="6"/>
    </row>
    <row r="11299" spans="1:6" x14ac:dyDescent="0.3">
      <c r="A11299" s="8" t="s">
        <v>22555</v>
      </c>
      <c r="B11299" s="8" t="s">
        <v>64901</v>
      </c>
      <c r="C11299" s="8" t="s">
        <v>22556</v>
      </c>
      <c r="D11299" s="8"/>
      <c r="E11299" s="6"/>
      <c r="F11299" s="6"/>
    </row>
    <row r="11300" spans="1:6" x14ac:dyDescent="0.3">
      <c r="A11300" s="8" t="s">
        <v>22557</v>
      </c>
      <c r="B11300" s="8" t="s">
        <v>64902</v>
      </c>
      <c r="C11300" s="8" t="s">
        <v>22558</v>
      </c>
      <c r="D11300" s="8"/>
      <c r="E11300" s="6"/>
      <c r="F11300" s="6"/>
    </row>
    <row r="11301" spans="1:6" x14ac:dyDescent="0.3">
      <c r="A11301" s="8" t="s">
        <v>22559</v>
      </c>
      <c r="B11301" s="8" t="s">
        <v>64903</v>
      </c>
      <c r="C11301" s="8" t="s">
        <v>22560</v>
      </c>
      <c r="D11301" s="8"/>
      <c r="E11301" s="6"/>
      <c r="F11301" s="6"/>
    </row>
    <row r="11302" spans="1:6" x14ac:dyDescent="0.3">
      <c r="A11302" s="8" t="s">
        <v>22561</v>
      </c>
      <c r="B11302" s="8" t="s">
        <v>64904</v>
      </c>
      <c r="C11302" s="8" t="s">
        <v>22562</v>
      </c>
      <c r="D11302" s="8"/>
      <c r="E11302" s="6"/>
      <c r="F11302" s="6"/>
    </row>
    <row r="11303" spans="1:6" x14ac:dyDescent="0.3">
      <c r="A11303" s="8" t="s">
        <v>22563</v>
      </c>
      <c r="B11303" s="8" t="s">
        <v>64905</v>
      </c>
      <c r="C11303" s="8" t="s">
        <v>22564</v>
      </c>
      <c r="D11303" s="8"/>
      <c r="E11303" s="6"/>
      <c r="F11303" s="6"/>
    </row>
    <row r="11304" spans="1:6" x14ac:dyDescent="0.3">
      <c r="A11304" s="8" t="s">
        <v>22565</v>
      </c>
      <c r="B11304" s="8" t="s">
        <v>64906</v>
      </c>
      <c r="C11304" s="8" t="s">
        <v>22566</v>
      </c>
      <c r="D11304" s="8"/>
      <c r="E11304" s="6"/>
      <c r="F11304" s="6"/>
    </row>
    <row r="11305" spans="1:6" x14ac:dyDescent="0.3">
      <c r="A11305" s="8" t="s">
        <v>22567</v>
      </c>
      <c r="B11305" s="8" t="s">
        <v>64907</v>
      </c>
      <c r="C11305" s="8" t="s">
        <v>22568</v>
      </c>
      <c r="D11305" s="8"/>
      <c r="E11305" s="6"/>
      <c r="F11305" s="6"/>
    </row>
    <row r="11306" spans="1:6" x14ac:dyDescent="0.3">
      <c r="A11306" s="8" t="s">
        <v>22569</v>
      </c>
      <c r="B11306" s="8" t="s">
        <v>64908</v>
      </c>
      <c r="C11306" s="8" t="s">
        <v>22570</v>
      </c>
      <c r="D11306" s="8"/>
      <c r="E11306" s="6"/>
      <c r="F11306" s="6"/>
    </row>
    <row r="11307" spans="1:6" x14ac:dyDescent="0.3">
      <c r="A11307" s="8" t="s">
        <v>22571</v>
      </c>
      <c r="B11307" s="8" t="s">
        <v>64909</v>
      </c>
      <c r="C11307" s="8" t="s">
        <v>22572</v>
      </c>
      <c r="D11307" s="8"/>
      <c r="E11307" s="6"/>
      <c r="F11307" s="6"/>
    </row>
    <row r="11308" spans="1:6" x14ac:dyDescent="0.3">
      <c r="A11308" s="8" t="s">
        <v>22573</v>
      </c>
      <c r="B11308" s="8" t="s">
        <v>64910</v>
      </c>
      <c r="C11308" s="8" t="s">
        <v>22574</v>
      </c>
      <c r="D11308" s="8"/>
      <c r="E11308" s="6"/>
      <c r="F11308" s="6"/>
    </row>
    <row r="11309" spans="1:6" x14ac:dyDescent="0.3">
      <c r="A11309" s="8" t="s">
        <v>22575</v>
      </c>
      <c r="B11309" s="8" t="s">
        <v>64911</v>
      </c>
      <c r="C11309" s="8" t="s">
        <v>22576</v>
      </c>
      <c r="D11309" s="8"/>
      <c r="E11309" s="6"/>
      <c r="F11309" s="6"/>
    </row>
    <row r="11310" spans="1:6" x14ac:dyDescent="0.3">
      <c r="A11310" s="8" t="s">
        <v>22577</v>
      </c>
      <c r="B11310" s="8" t="s">
        <v>64912</v>
      </c>
      <c r="C11310" s="8" t="s">
        <v>22578</v>
      </c>
      <c r="D11310" s="8"/>
      <c r="E11310" s="6"/>
      <c r="F11310" s="6"/>
    </row>
    <row r="11311" spans="1:6" x14ac:dyDescent="0.3">
      <c r="A11311" s="8" t="s">
        <v>22579</v>
      </c>
      <c r="B11311" s="8" t="s">
        <v>64913</v>
      </c>
      <c r="C11311" s="8" t="s">
        <v>22580</v>
      </c>
      <c r="D11311" s="8"/>
      <c r="E11311" s="6"/>
      <c r="F11311" s="6"/>
    </row>
    <row r="11312" spans="1:6" x14ac:dyDescent="0.3">
      <c r="A11312" s="8" t="s">
        <v>22581</v>
      </c>
      <c r="B11312" s="8" t="s">
        <v>64914</v>
      </c>
      <c r="C11312" s="8" t="s">
        <v>22582</v>
      </c>
      <c r="D11312" s="8"/>
      <c r="E11312" s="6"/>
      <c r="F11312" s="6"/>
    </row>
    <row r="11313" spans="1:6" x14ac:dyDescent="0.3">
      <c r="A11313" s="8" t="s">
        <v>22583</v>
      </c>
      <c r="B11313" s="8" t="s">
        <v>64915</v>
      </c>
      <c r="C11313" s="8" t="s">
        <v>22584</v>
      </c>
      <c r="D11313" s="8"/>
      <c r="E11313" s="6"/>
      <c r="F11313" s="6"/>
    </row>
    <row r="11314" spans="1:6" x14ac:dyDescent="0.3">
      <c r="A11314" s="8" t="s">
        <v>22585</v>
      </c>
      <c r="B11314" s="8" t="s">
        <v>64916</v>
      </c>
      <c r="C11314" s="8" t="s">
        <v>22586</v>
      </c>
      <c r="D11314" s="8"/>
      <c r="E11314" s="6"/>
      <c r="F11314" s="6"/>
    </row>
    <row r="11315" spans="1:6" x14ac:dyDescent="0.3">
      <c r="A11315" s="8" t="s">
        <v>22587</v>
      </c>
      <c r="B11315" s="8" t="s">
        <v>64917</v>
      </c>
      <c r="C11315" s="8" t="s">
        <v>22588</v>
      </c>
      <c r="D11315" s="8"/>
      <c r="E11315" s="6"/>
      <c r="F11315" s="6"/>
    </row>
    <row r="11316" spans="1:6" x14ac:dyDescent="0.3">
      <c r="A11316" s="8" t="s">
        <v>22589</v>
      </c>
      <c r="B11316" s="8" t="s">
        <v>64918</v>
      </c>
      <c r="C11316" s="8" t="s">
        <v>22590</v>
      </c>
      <c r="D11316" s="8"/>
      <c r="E11316" s="6"/>
      <c r="F11316" s="6"/>
    </row>
    <row r="11317" spans="1:6" x14ac:dyDescent="0.3">
      <c r="A11317" s="8" t="s">
        <v>22591</v>
      </c>
      <c r="B11317" s="8" t="s">
        <v>64919</v>
      </c>
      <c r="C11317" s="8" t="s">
        <v>22592</v>
      </c>
      <c r="D11317" s="8"/>
      <c r="E11317" s="6"/>
      <c r="F11317" s="6"/>
    </row>
    <row r="11318" spans="1:6" x14ac:dyDescent="0.3">
      <c r="A11318" s="8" t="s">
        <v>22593</v>
      </c>
      <c r="B11318" s="8" t="s">
        <v>64920</v>
      </c>
      <c r="C11318" s="8" t="s">
        <v>22594</v>
      </c>
      <c r="D11318" s="8"/>
      <c r="E11318" s="6"/>
      <c r="F11318" s="6"/>
    </row>
    <row r="11319" spans="1:6" x14ac:dyDescent="0.3">
      <c r="A11319" s="8" t="s">
        <v>22595</v>
      </c>
      <c r="B11319" s="8" t="s">
        <v>64921</v>
      </c>
      <c r="C11319" s="8" t="s">
        <v>22596</v>
      </c>
      <c r="D11319" s="8"/>
      <c r="E11319" s="6"/>
      <c r="F11319" s="6"/>
    </row>
    <row r="11320" spans="1:6" x14ac:dyDescent="0.3">
      <c r="A11320" s="8" t="s">
        <v>22597</v>
      </c>
      <c r="B11320" s="8" t="s">
        <v>64922</v>
      </c>
      <c r="C11320" s="8" t="s">
        <v>22598</v>
      </c>
      <c r="D11320" s="8"/>
      <c r="E11320" s="6"/>
      <c r="F11320" s="6"/>
    </row>
    <row r="11321" spans="1:6" x14ac:dyDescent="0.3">
      <c r="A11321" s="8" t="s">
        <v>22599</v>
      </c>
      <c r="B11321" s="8" t="s">
        <v>64923</v>
      </c>
      <c r="C11321" s="8" t="s">
        <v>22600</v>
      </c>
      <c r="D11321" s="8"/>
      <c r="E11321" s="6"/>
      <c r="F11321" s="6"/>
    </row>
    <row r="11322" spans="1:6" x14ac:dyDescent="0.3">
      <c r="A11322" s="8" t="s">
        <v>22601</v>
      </c>
      <c r="B11322" s="8" t="s">
        <v>64924</v>
      </c>
      <c r="C11322" s="8" t="s">
        <v>22602</v>
      </c>
      <c r="D11322" s="8"/>
      <c r="E11322" s="6"/>
      <c r="F11322" s="6"/>
    </row>
    <row r="11323" spans="1:6" x14ac:dyDescent="0.3">
      <c r="A11323" s="8" t="s">
        <v>22603</v>
      </c>
      <c r="B11323" s="8" t="s">
        <v>64925</v>
      </c>
      <c r="C11323" s="8" t="s">
        <v>22604</v>
      </c>
      <c r="D11323" s="8"/>
      <c r="E11323" s="6"/>
      <c r="F11323" s="6"/>
    </row>
    <row r="11324" spans="1:6" x14ac:dyDescent="0.3">
      <c r="A11324" s="8" t="s">
        <v>22605</v>
      </c>
      <c r="B11324" s="8" t="s">
        <v>64926</v>
      </c>
      <c r="C11324" s="8" t="s">
        <v>22606</v>
      </c>
      <c r="D11324" s="8"/>
      <c r="E11324" s="6"/>
      <c r="F11324" s="6"/>
    </row>
    <row r="11325" spans="1:6" x14ac:dyDescent="0.3">
      <c r="A11325" s="8" t="s">
        <v>22607</v>
      </c>
      <c r="B11325" s="8" t="s">
        <v>64927</v>
      </c>
      <c r="C11325" s="8" t="s">
        <v>22608</v>
      </c>
      <c r="D11325" s="8"/>
      <c r="E11325" s="6"/>
      <c r="F11325" s="6"/>
    </row>
    <row r="11326" spans="1:6" x14ac:dyDescent="0.3">
      <c r="A11326" s="8" t="s">
        <v>22609</v>
      </c>
      <c r="B11326" s="8" t="s">
        <v>64928</v>
      </c>
      <c r="C11326" s="8" t="s">
        <v>22610</v>
      </c>
      <c r="D11326" s="8"/>
      <c r="E11326" s="6"/>
      <c r="F11326" s="6"/>
    </row>
    <row r="11327" spans="1:6" x14ac:dyDescent="0.3">
      <c r="A11327" s="8" t="s">
        <v>22611</v>
      </c>
      <c r="B11327" s="8" t="s">
        <v>64929</v>
      </c>
      <c r="C11327" s="8" t="s">
        <v>22612</v>
      </c>
      <c r="D11327" s="8"/>
      <c r="E11327" s="6"/>
      <c r="F11327" s="6"/>
    </row>
    <row r="11328" spans="1:6" x14ac:dyDescent="0.3">
      <c r="A11328" s="8" t="s">
        <v>22613</v>
      </c>
      <c r="B11328" s="8" t="s">
        <v>64930</v>
      </c>
      <c r="C11328" s="8" t="s">
        <v>22614</v>
      </c>
      <c r="D11328" s="8"/>
      <c r="E11328" s="6"/>
      <c r="F11328" s="6"/>
    </row>
    <row r="11329" spans="1:6" x14ac:dyDescent="0.3">
      <c r="A11329" s="8" t="s">
        <v>22615</v>
      </c>
      <c r="B11329" s="8" t="s">
        <v>64931</v>
      </c>
      <c r="C11329" s="8" t="s">
        <v>22616</v>
      </c>
      <c r="D11329" s="8"/>
      <c r="E11329" s="6"/>
      <c r="F11329" s="6"/>
    </row>
    <row r="11330" spans="1:6" x14ac:dyDescent="0.3">
      <c r="A11330" s="8" t="s">
        <v>22617</v>
      </c>
      <c r="B11330" s="8" t="s">
        <v>64932</v>
      </c>
      <c r="C11330" s="8" t="s">
        <v>22618</v>
      </c>
      <c r="D11330" s="8"/>
      <c r="E11330" s="6"/>
      <c r="F11330" s="6"/>
    </row>
    <row r="11331" spans="1:6" x14ac:dyDescent="0.3">
      <c r="A11331" s="8" t="s">
        <v>22619</v>
      </c>
      <c r="B11331" s="8" t="s">
        <v>64933</v>
      </c>
      <c r="C11331" s="8" t="s">
        <v>22620</v>
      </c>
      <c r="D11331" s="8"/>
      <c r="E11331" s="6"/>
      <c r="F11331" s="6"/>
    </row>
    <row r="11332" spans="1:6" x14ac:dyDescent="0.3">
      <c r="A11332" s="8" t="s">
        <v>22621</v>
      </c>
      <c r="B11332" s="8" t="s">
        <v>64934</v>
      </c>
      <c r="C11332" s="8" t="s">
        <v>22622</v>
      </c>
      <c r="D11332" s="8"/>
      <c r="E11332" s="6"/>
      <c r="F11332" s="6"/>
    </row>
    <row r="11333" spans="1:6" x14ac:dyDescent="0.3">
      <c r="A11333" s="8" t="s">
        <v>22623</v>
      </c>
      <c r="B11333" s="8" t="s">
        <v>64935</v>
      </c>
      <c r="C11333" s="8" t="s">
        <v>22624</v>
      </c>
      <c r="D11333" s="8"/>
      <c r="E11333" s="6"/>
      <c r="F11333" s="6"/>
    </row>
    <row r="11334" spans="1:6" x14ac:dyDescent="0.3">
      <c r="A11334" s="8" t="s">
        <v>22625</v>
      </c>
      <c r="B11334" s="8" t="s">
        <v>64936</v>
      </c>
      <c r="C11334" s="8" t="s">
        <v>22626</v>
      </c>
      <c r="D11334" s="8"/>
      <c r="E11334" s="6"/>
      <c r="F11334" s="6"/>
    </row>
    <row r="11335" spans="1:6" x14ac:dyDescent="0.3">
      <c r="A11335" s="8" t="s">
        <v>22627</v>
      </c>
      <c r="B11335" s="8" t="s">
        <v>64937</v>
      </c>
      <c r="C11335" s="8" t="s">
        <v>22628</v>
      </c>
      <c r="D11335" s="8"/>
      <c r="E11335" s="6"/>
      <c r="F11335" s="6"/>
    </row>
    <row r="11336" spans="1:6" x14ac:dyDescent="0.3">
      <c r="A11336" s="8" t="s">
        <v>22629</v>
      </c>
      <c r="B11336" s="8" t="s">
        <v>64938</v>
      </c>
      <c r="C11336" s="8" t="s">
        <v>22630</v>
      </c>
      <c r="D11336" s="8"/>
      <c r="E11336" s="6"/>
      <c r="F11336" s="6"/>
    </row>
    <row r="11337" spans="1:6" x14ac:dyDescent="0.3">
      <c r="A11337" s="8" t="s">
        <v>22631</v>
      </c>
      <c r="B11337" s="8" t="s">
        <v>64939</v>
      </c>
      <c r="C11337" s="8" t="s">
        <v>22632</v>
      </c>
      <c r="D11337" s="8"/>
      <c r="E11337" s="6"/>
      <c r="F11337" s="6"/>
    </row>
    <row r="11338" spans="1:6" x14ac:dyDescent="0.3">
      <c r="A11338" s="8" t="s">
        <v>22633</v>
      </c>
      <c r="B11338" s="8" t="s">
        <v>64940</v>
      </c>
      <c r="C11338" s="8" t="s">
        <v>22634</v>
      </c>
      <c r="D11338" s="8"/>
      <c r="E11338" s="6"/>
      <c r="F11338" s="6"/>
    </row>
    <row r="11339" spans="1:6" x14ac:dyDescent="0.3">
      <c r="A11339" s="8" t="s">
        <v>22635</v>
      </c>
      <c r="B11339" s="8" t="s">
        <v>64941</v>
      </c>
      <c r="C11339" s="8" t="s">
        <v>22636</v>
      </c>
      <c r="D11339" s="8"/>
      <c r="E11339" s="6"/>
      <c r="F11339" s="6"/>
    </row>
    <row r="11340" spans="1:6" x14ac:dyDescent="0.3">
      <c r="A11340" s="8" t="s">
        <v>22637</v>
      </c>
      <c r="B11340" s="8" t="s">
        <v>64942</v>
      </c>
      <c r="C11340" s="8" t="s">
        <v>22638</v>
      </c>
      <c r="D11340" s="8"/>
      <c r="E11340" s="6"/>
      <c r="F11340" s="6"/>
    </row>
    <row r="11341" spans="1:6" x14ac:dyDescent="0.3">
      <c r="A11341" s="8" t="s">
        <v>22639</v>
      </c>
      <c r="B11341" s="8" t="s">
        <v>64943</v>
      </c>
      <c r="C11341" s="8" t="s">
        <v>22640</v>
      </c>
      <c r="D11341" s="8"/>
      <c r="E11341" s="6"/>
      <c r="F11341" s="6"/>
    </row>
    <row r="11342" spans="1:6" x14ac:dyDescent="0.3">
      <c r="A11342" s="8" t="s">
        <v>22641</v>
      </c>
      <c r="B11342" s="8" t="s">
        <v>64944</v>
      </c>
      <c r="C11342" s="8" t="s">
        <v>22642</v>
      </c>
      <c r="D11342" s="8"/>
      <c r="E11342" s="6"/>
      <c r="F11342" s="6"/>
    </row>
    <row r="11343" spans="1:6" x14ac:dyDescent="0.3">
      <c r="A11343" s="8" t="s">
        <v>22643</v>
      </c>
      <c r="B11343" s="8" t="s">
        <v>64945</v>
      </c>
      <c r="C11343" s="8" t="s">
        <v>22644</v>
      </c>
      <c r="D11343" s="8"/>
      <c r="E11343" s="6"/>
      <c r="F11343" s="6"/>
    </row>
    <row r="11344" spans="1:6" x14ac:dyDescent="0.3">
      <c r="A11344" s="8" t="s">
        <v>22645</v>
      </c>
      <c r="B11344" s="8" t="s">
        <v>64946</v>
      </c>
      <c r="C11344" s="8" t="s">
        <v>22646</v>
      </c>
      <c r="D11344" s="8"/>
      <c r="E11344" s="6"/>
      <c r="F11344" s="6"/>
    </row>
    <row r="11345" spans="1:6" x14ac:dyDescent="0.3">
      <c r="A11345" s="8" t="s">
        <v>22647</v>
      </c>
      <c r="B11345" s="8" t="s">
        <v>64947</v>
      </c>
      <c r="C11345" s="8" t="s">
        <v>22648</v>
      </c>
      <c r="D11345" s="8"/>
      <c r="E11345" s="6"/>
      <c r="F11345" s="6"/>
    </row>
    <row r="11346" spans="1:6" x14ac:dyDescent="0.3">
      <c r="A11346" s="8" t="s">
        <v>22649</v>
      </c>
      <c r="B11346" s="8" t="s">
        <v>64948</v>
      </c>
      <c r="C11346" s="8" t="s">
        <v>22650</v>
      </c>
      <c r="D11346" s="8"/>
      <c r="E11346" s="6"/>
      <c r="F11346" s="6"/>
    </row>
    <row r="11347" spans="1:6" x14ac:dyDescent="0.3">
      <c r="A11347" s="8" t="s">
        <v>22651</v>
      </c>
      <c r="B11347" s="8" t="s">
        <v>64949</v>
      </c>
      <c r="C11347" s="8" t="s">
        <v>22652</v>
      </c>
      <c r="D11347" s="8"/>
      <c r="E11347" s="6"/>
      <c r="F11347" s="6"/>
    </row>
    <row r="11348" spans="1:6" x14ac:dyDescent="0.3">
      <c r="A11348" s="8" t="s">
        <v>22653</v>
      </c>
      <c r="B11348" s="8" t="s">
        <v>64950</v>
      </c>
      <c r="C11348" s="8" t="s">
        <v>22654</v>
      </c>
      <c r="D11348" s="8"/>
      <c r="E11348" s="6"/>
      <c r="F11348" s="6"/>
    </row>
    <row r="11349" spans="1:6" x14ac:dyDescent="0.3">
      <c r="A11349" s="8" t="s">
        <v>22655</v>
      </c>
      <c r="B11349" s="8" t="s">
        <v>64951</v>
      </c>
      <c r="C11349" s="8" t="s">
        <v>22656</v>
      </c>
      <c r="D11349" s="8"/>
      <c r="E11349" s="6"/>
      <c r="F11349" s="6"/>
    </row>
    <row r="11350" spans="1:6" x14ac:dyDescent="0.3">
      <c r="A11350" s="8" t="s">
        <v>22657</v>
      </c>
      <c r="B11350" s="8" t="s">
        <v>64952</v>
      </c>
      <c r="C11350" s="8" t="s">
        <v>22658</v>
      </c>
      <c r="D11350" s="8"/>
      <c r="E11350" s="6"/>
      <c r="F11350" s="6"/>
    </row>
    <row r="11351" spans="1:6" x14ac:dyDescent="0.3">
      <c r="A11351" s="8" t="s">
        <v>22659</v>
      </c>
      <c r="B11351" s="8" t="s">
        <v>64953</v>
      </c>
      <c r="C11351" s="8" t="s">
        <v>22660</v>
      </c>
      <c r="D11351" s="8"/>
      <c r="E11351" s="6"/>
      <c r="F11351" s="6"/>
    </row>
    <row r="11352" spans="1:6" x14ac:dyDescent="0.3">
      <c r="A11352" s="8" t="s">
        <v>22661</v>
      </c>
      <c r="B11352" s="8" t="s">
        <v>64954</v>
      </c>
      <c r="C11352" s="8" t="s">
        <v>22662</v>
      </c>
      <c r="D11352" s="8"/>
      <c r="E11352" s="6"/>
      <c r="F11352" s="6"/>
    </row>
    <row r="11353" spans="1:6" x14ac:dyDescent="0.3">
      <c r="A11353" s="8" t="s">
        <v>22663</v>
      </c>
      <c r="B11353" s="8" t="s">
        <v>64955</v>
      </c>
      <c r="C11353" s="8" t="s">
        <v>22664</v>
      </c>
      <c r="D11353" s="8"/>
      <c r="E11353" s="6"/>
      <c r="F11353" s="6"/>
    </row>
    <row r="11354" spans="1:6" x14ac:dyDescent="0.3">
      <c r="A11354" s="8" t="s">
        <v>22665</v>
      </c>
      <c r="B11354" s="8" t="s">
        <v>64956</v>
      </c>
      <c r="C11354" s="8" t="s">
        <v>22666</v>
      </c>
      <c r="D11354" s="8"/>
      <c r="E11354" s="6"/>
      <c r="F11354" s="6"/>
    </row>
    <row r="11355" spans="1:6" x14ac:dyDescent="0.3">
      <c r="A11355" s="8" t="s">
        <v>22667</v>
      </c>
      <c r="B11355" s="8" t="s">
        <v>64957</v>
      </c>
      <c r="C11355" s="8" t="s">
        <v>22668</v>
      </c>
      <c r="D11355" s="8"/>
      <c r="E11355" s="6"/>
      <c r="F11355" s="6"/>
    </row>
    <row r="11356" spans="1:6" x14ac:dyDescent="0.3">
      <c r="A11356" s="8" t="s">
        <v>22669</v>
      </c>
      <c r="B11356" s="8" t="s">
        <v>64958</v>
      </c>
      <c r="C11356" s="8" t="s">
        <v>22670</v>
      </c>
      <c r="D11356" s="8"/>
      <c r="E11356" s="6"/>
      <c r="F11356" s="6"/>
    </row>
    <row r="11357" spans="1:6" x14ac:dyDescent="0.3">
      <c r="A11357" s="8" t="s">
        <v>22671</v>
      </c>
      <c r="B11357" s="8" t="s">
        <v>64959</v>
      </c>
      <c r="C11357" s="8" t="s">
        <v>22672</v>
      </c>
      <c r="D11357" s="8"/>
      <c r="E11357" s="6"/>
      <c r="F11357" s="6"/>
    </row>
    <row r="11358" spans="1:6" x14ac:dyDescent="0.3">
      <c r="A11358" s="8" t="s">
        <v>22673</v>
      </c>
      <c r="B11358" s="8" t="s">
        <v>64960</v>
      </c>
      <c r="C11358" s="8" t="s">
        <v>22674</v>
      </c>
      <c r="D11358" s="8"/>
      <c r="E11358" s="6"/>
      <c r="F11358" s="6"/>
    </row>
    <row r="11359" spans="1:6" x14ac:dyDescent="0.3">
      <c r="A11359" s="8" t="s">
        <v>22675</v>
      </c>
      <c r="B11359" s="8" t="s">
        <v>64961</v>
      </c>
      <c r="C11359" s="8" t="s">
        <v>22676</v>
      </c>
      <c r="D11359" s="8"/>
      <c r="E11359" s="6"/>
      <c r="F11359" s="6"/>
    </row>
    <row r="11360" spans="1:6" x14ac:dyDescent="0.3">
      <c r="A11360" s="8" t="s">
        <v>22677</v>
      </c>
      <c r="B11360" s="8" t="s">
        <v>64962</v>
      </c>
      <c r="C11360" s="8" t="s">
        <v>22678</v>
      </c>
      <c r="D11360" s="8"/>
      <c r="E11360" s="6"/>
      <c r="F11360" s="6"/>
    </row>
    <row r="11361" spans="1:6" x14ac:dyDescent="0.3">
      <c r="A11361" s="8" t="s">
        <v>22679</v>
      </c>
      <c r="B11361" s="8" t="s">
        <v>64963</v>
      </c>
      <c r="C11361" s="8" t="s">
        <v>22680</v>
      </c>
      <c r="D11361" s="8"/>
      <c r="E11361" s="6"/>
      <c r="F11361" s="6"/>
    </row>
    <row r="11362" spans="1:6" x14ac:dyDescent="0.3">
      <c r="A11362" s="8" t="s">
        <v>22681</v>
      </c>
      <c r="B11362" s="8" t="s">
        <v>64964</v>
      </c>
      <c r="C11362" s="8" t="s">
        <v>22682</v>
      </c>
      <c r="D11362" s="8"/>
      <c r="E11362" s="6"/>
      <c r="F11362" s="6"/>
    </row>
    <row r="11363" spans="1:6" x14ac:dyDescent="0.3">
      <c r="A11363" s="8" t="s">
        <v>22683</v>
      </c>
      <c r="B11363" s="8" t="s">
        <v>64965</v>
      </c>
      <c r="C11363" s="8" t="s">
        <v>22684</v>
      </c>
      <c r="D11363" s="8"/>
      <c r="E11363" s="6"/>
      <c r="F11363" s="6"/>
    </row>
    <row r="11364" spans="1:6" x14ac:dyDescent="0.3">
      <c r="A11364" s="8" t="s">
        <v>22685</v>
      </c>
      <c r="B11364" s="8" t="s">
        <v>64966</v>
      </c>
      <c r="C11364" s="8" t="s">
        <v>22686</v>
      </c>
      <c r="D11364" s="8"/>
      <c r="E11364" s="6"/>
      <c r="F11364" s="6"/>
    </row>
    <row r="11365" spans="1:6" x14ac:dyDescent="0.3">
      <c r="A11365" s="8" t="s">
        <v>22687</v>
      </c>
      <c r="B11365" s="8" t="s">
        <v>64967</v>
      </c>
      <c r="C11365" s="8" t="s">
        <v>22688</v>
      </c>
      <c r="D11365" s="8"/>
      <c r="E11365" s="6"/>
      <c r="F11365" s="6"/>
    </row>
    <row r="11366" spans="1:6" x14ac:dyDescent="0.3">
      <c r="A11366" s="8" t="s">
        <v>22689</v>
      </c>
      <c r="B11366" s="8" t="s">
        <v>64968</v>
      </c>
      <c r="C11366" s="8" t="s">
        <v>22690</v>
      </c>
      <c r="D11366" s="8"/>
      <c r="E11366" s="6"/>
      <c r="F11366" s="6"/>
    </row>
    <row r="11367" spans="1:6" x14ac:dyDescent="0.3">
      <c r="A11367" s="8" t="s">
        <v>22691</v>
      </c>
      <c r="B11367" s="8" t="s">
        <v>64969</v>
      </c>
      <c r="C11367" s="8" t="s">
        <v>22692</v>
      </c>
      <c r="D11367" s="8"/>
      <c r="E11367" s="6"/>
      <c r="F11367" s="6"/>
    </row>
    <row r="11368" spans="1:6" x14ac:dyDescent="0.3">
      <c r="A11368" s="8" t="s">
        <v>22693</v>
      </c>
      <c r="B11368" s="8" t="s">
        <v>64970</v>
      </c>
      <c r="C11368" s="8" t="s">
        <v>22694</v>
      </c>
      <c r="D11368" s="8"/>
      <c r="E11368" s="6"/>
      <c r="F11368" s="6"/>
    </row>
    <row r="11369" spans="1:6" x14ac:dyDescent="0.3">
      <c r="A11369" s="8" t="s">
        <v>22695</v>
      </c>
      <c r="B11369" s="8" t="s">
        <v>64971</v>
      </c>
      <c r="C11369" s="8" t="s">
        <v>22696</v>
      </c>
      <c r="D11369" s="8"/>
      <c r="E11369" s="6"/>
      <c r="F11369" s="6"/>
    </row>
    <row r="11370" spans="1:6" x14ac:dyDescent="0.3">
      <c r="A11370" s="8" t="s">
        <v>22697</v>
      </c>
      <c r="B11370" s="8" t="s">
        <v>64972</v>
      </c>
      <c r="C11370" s="8" t="s">
        <v>22698</v>
      </c>
      <c r="D11370" s="8"/>
      <c r="E11370" s="6"/>
      <c r="F11370" s="6"/>
    </row>
    <row r="11371" spans="1:6" x14ac:dyDescent="0.3">
      <c r="A11371" s="8" t="s">
        <v>22699</v>
      </c>
      <c r="B11371" s="8" t="s">
        <v>64973</v>
      </c>
      <c r="C11371" s="8" t="s">
        <v>22700</v>
      </c>
      <c r="D11371" s="8"/>
      <c r="E11371" s="6"/>
      <c r="F11371" s="6"/>
    </row>
    <row r="11372" spans="1:6" x14ac:dyDescent="0.3">
      <c r="A11372" s="8" t="s">
        <v>22701</v>
      </c>
      <c r="B11372" s="8" t="s">
        <v>64974</v>
      </c>
      <c r="C11372" s="8" t="s">
        <v>22702</v>
      </c>
      <c r="D11372" s="8"/>
      <c r="E11372" s="6"/>
      <c r="F11372" s="6"/>
    </row>
    <row r="11373" spans="1:6" x14ac:dyDescent="0.3">
      <c r="A11373" s="8" t="s">
        <v>22703</v>
      </c>
      <c r="B11373" s="8" t="s">
        <v>64975</v>
      </c>
      <c r="C11373" s="8" t="s">
        <v>22704</v>
      </c>
      <c r="D11373" s="8"/>
      <c r="E11373" s="6"/>
      <c r="F11373" s="6"/>
    </row>
    <row r="11374" spans="1:6" x14ac:dyDescent="0.3">
      <c r="A11374" s="8" t="s">
        <v>22705</v>
      </c>
      <c r="B11374" s="8" t="s">
        <v>64976</v>
      </c>
      <c r="C11374" s="8" t="s">
        <v>22706</v>
      </c>
      <c r="D11374" s="8"/>
      <c r="E11374" s="6"/>
      <c r="F11374" s="6"/>
    </row>
    <row r="11375" spans="1:6" x14ac:dyDescent="0.3">
      <c r="A11375" s="8" t="s">
        <v>22707</v>
      </c>
      <c r="B11375" s="8" t="s">
        <v>64977</v>
      </c>
      <c r="C11375" s="8" t="s">
        <v>22708</v>
      </c>
      <c r="D11375" s="8"/>
      <c r="E11375" s="6"/>
      <c r="F11375" s="6"/>
    </row>
    <row r="11376" spans="1:6" x14ac:dyDescent="0.3">
      <c r="A11376" s="8" t="s">
        <v>22709</v>
      </c>
      <c r="B11376" s="8" t="s">
        <v>64978</v>
      </c>
      <c r="C11376" s="8" t="s">
        <v>22710</v>
      </c>
      <c r="D11376" s="8"/>
      <c r="E11376" s="6"/>
      <c r="F11376" s="6"/>
    </row>
    <row r="11377" spans="1:6" x14ac:dyDescent="0.3">
      <c r="A11377" s="8" t="s">
        <v>22711</v>
      </c>
      <c r="B11377" s="8" t="s">
        <v>64979</v>
      </c>
      <c r="C11377" s="8" t="s">
        <v>22712</v>
      </c>
      <c r="D11377" s="8"/>
      <c r="E11377" s="6"/>
      <c r="F11377" s="6"/>
    </row>
    <row r="11378" spans="1:6" x14ac:dyDescent="0.3">
      <c r="A11378" s="8" t="s">
        <v>22713</v>
      </c>
      <c r="B11378" s="8" t="s">
        <v>64980</v>
      </c>
      <c r="C11378" s="8" t="s">
        <v>22714</v>
      </c>
      <c r="D11378" s="8"/>
      <c r="E11378" s="6"/>
      <c r="F11378" s="6"/>
    </row>
    <row r="11379" spans="1:6" x14ac:dyDescent="0.3">
      <c r="A11379" s="8" t="s">
        <v>22715</v>
      </c>
      <c r="B11379" s="8" t="s">
        <v>64981</v>
      </c>
      <c r="C11379" s="8" t="s">
        <v>22716</v>
      </c>
      <c r="D11379" s="8"/>
      <c r="E11379" s="6"/>
      <c r="F11379" s="6"/>
    </row>
    <row r="11380" spans="1:6" x14ac:dyDescent="0.3">
      <c r="A11380" s="8" t="s">
        <v>22717</v>
      </c>
      <c r="B11380" s="8" t="s">
        <v>64982</v>
      </c>
      <c r="C11380" s="8" t="s">
        <v>22718</v>
      </c>
      <c r="D11380" s="8"/>
      <c r="E11380" s="6"/>
      <c r="F11380" s="6"/>
    </row>
    <row r="11381" spans="1:6" x14ac:dyDescent="0.3">
      <c r="A11381" s="8" t="s">
        <v>22719</v>
      </c>
      <c r="B11381" s="8" t="s">
        <v>64983</v>
      </c>
      <c r="C11381" s="8" t="s">
        <v>22720</v>
      </c>
      <c r="D11381" s="8"/>
      <c r="E11381" s="6"/>
      <c r="F11381" s="6"/>
    </row>
    <row r="11382" spans="1:6" x14ac:dyDescent="0.3">
      <c r="A11382" s="8" t="s">
        <v>22721</v>
      </c>
      <c r="B11382" s="8" t="s">
        <v>64984</v>
      </c>
      <c r="C11382" s="8" t="s">
        <v>22722</v>
      </c>
      <c r="D11382" s="8"/>
      <c r="E11382" s="6"/>
      <c r="F11382" s="6"/>
    </row>
    <row r="11383" spans="1:6" x14ac:dyDescent="0.3">
      <c r="A11383" s="8" t="s">
        <v>22723</v>
      </c>
      <c r="B11383" s="8" t="s">
        <v>64985</v>
      </c>
      <c r="C11383" s="8" t="s">
        <v>22724</v>
      </c>
      <c r="D11383" s="8"/>
      <c r="E11383" s="6"/>
      <c r="F11383" s="6"/>
    </row>
    <row r="11384" spans="1:6" x14ac:dyDescent="0.3">
      <c r="A11384" s="8" t="s">
        <v>22725</v>
      </c>
      <c r="B11384" s="8" t="s">
        <v>64986</v>
      </c>
      <c r="C11384" s="8" t="s">
        <v>22726</v>
      </c>
      <c r="D11384" s="8"/>
      <c r="E11384" s="6"/>
      <c r="F11384" s="6"/>
    </row>
    <row r="11385" spans="1:6" x14ac:dyDescent="0.3">
      <c r="A11385" s="8" t="s">
        <v>22727</v>
      </c>
      <c r="B11385" s="8" t="s">
        <v>64987</v>
      </c>
      <c r="C11385" s="8" t="s">
        <v>22728</v>
      </c>
      <c r="D11385" s="8"/>
      <c r="E11385" s="6"/>
      <c r="F11385" s="6"/>
    </row>
    <row r="11386" spans="1:6" x14ac:dyDescent="0.3">
      <c r="A11386" s="8" t="s">
        <v>22729</v>
      </c>
      <c r="B11386" s="8" t="s">
        <v>64988</v>
      </c>
      <c r="C11386" s="8" t="s">
        <v>22730</v>
      </c>
      <c r="D11386" s="8"/>
      <c r="E11386" s="6"/>
      <c r="F11386" s="6"/>
    </row>
    <row r="11387" spans="1:6" x14ac:dyDescent="0.3">
      <c r="A11387" s="8" t="s">
        <v>22731</v>
      </c>
      <c r="B11387" s="8" t="s">
        <v>64989</v>
      </c>
      <c r="C11387" s="8" t="s">
        <v>22732</v>
      </c>
      <c r="D11387" s="8"/>
      <c r="E11387" s="6"/>
      <c r="F11387" s="6"/>
    </row>
    <row r="11388" spans="1:6" x14ac:dyDescent="0.3">
      <c r="A11388" s="8" t="s">
        <v>22733</v>
      </c>
      <c r="B11388" s="8" t="s">
        <v>64990</v>
      </c>
      <c r="C11388" s="8" t="s">
        <v>22734</v>
      </c>
      <c r="D11388" s="8"/>
      <c r="E11388" s="6"/>
      <c r="F11388" s="6"/>
    </row>
    <row r="11389" spans="1:6" x14ac:dyDescent="0.3">
      <c r="A11389" s="8" t="s">
        <v>22735</v>
      </c>
      <c r="B11389" s="8" t="s">
        <v>64991</v>
      </c>
      <c r="C11389" s="8" t="s">
        <v>22736</v>
      </c>
      <c r="D11389" s="8"/>
      <c r="E11389" s="6"/>
      <c r="F11389" s="6"/>
    </row>
    <row r="11390" spans="1:6" x14ac:dyDescent="0.3">
      <c r="A11390" s="8" t="s">
        <v>22737</v>
      </c>
      <c r="B11390" s="8" t="s">
        <v>64992</v>
      </c>
      <c r="C11390" s="8" t="s">
        <v>22738</v>
      </c>
      <c r="D11390" s="8"/>
      <c r="E11390" s="6"/>
      <c r="F11390" s="6"/>
    </row>
    <row r="11391" spans="1:6" x14ac:dyDescent="0.3">
      <c r="A11391" s="8" t="s">
        <v>22739</v>
      </c>
      <c r="B11391" s="8" t="s">
        <v>64993</v>
      </c>
      <c r="C11391" s="8" t="s">
        <v>22740</v>
      </c>
      <c r="D11391" s="8"/>
      <c r="E11391" s="6"/>
      <c r="F11391" s="6"/>
    </row>
    <row r="11392" spans="1:6" x14ac:dyDescent="0.3">
      <c r="A11392" s="8" t="s">
        <v>22741</v>
      </c>
      <c r="B11392" s="8" t="s">
        <v>64994</v>
      </c>
      <c r="C11392" s="8" t="s">
        <v>22742</v>
      </c>
      <c r="D11392" s="8"/>
      <c r="E11392" s="6"/>
      <c r="F11392" s="6"/>
    </row>
    <row r="11393" spans="1:6" x14ac:dyDescent="0.3">
      <c r="A11393" s="8" t="s">
        <v>22743</v>
      </c>
      <c r="B11393" s="8" t="s">
        <v>64995</v>
      </c>
      <c r="C11393" s="8" t="s">
        <v>22744</v>
      </c>
      <c r="D11393" s="8"/>
      <c r="E11393" s="6"/>
      <c r="F11393" s="6"/>
    </row>
    <row r="11394" spans="1:6" x14ac:dyDescent="0.3">
      <c r="A11394" s="8" t="s">
        <v>22745</v>
      </c>
      <c r="B11394" s="8" t="s">
        <v>64996</v>
      </c>
      <c r="C11394" s="8" t="s">
        <v>22746</v>
      </c>
      <c r="D11394" s="8"/>
      <c r="E11394" s="6"/>
      <c r="F11394" s="6"/>
    </row>
    <row r="11395" spans="1:6" x14ac:dyDescent="0.3">
      <c r="A11395" s="8" t="s">
        <v>22747</v>
      </c>
      <c r="B11395" s="8" t="s">
        <v>64997</v>
      </c>
      <c r="C11395" s="8" t="s">
        <v>22748</v>
      </c>
      <c r="D11395" s="8"/>
      <c r="E11395" s="6"/>
      <c r="F11395" s="6"/>
    </row>
    <row r="11396" spans="1:6" x14ac:dyDescent="0.3">
      <c r="A11396" s="8" t="s">
        <v>22749</v>
      </c>
      <c r="B11396" s="8" t="s">
        <v>64998</v>
      </c>
      <c r="C11396" s="8" t="s">
        <v>22750</v>
      </c>
      <c r="D11396" s="8"/>
      <c r="E11396" s="6"/>
      <c r="F11396" s="6"/>
    </row>
    <row r="11397" spans="1:6" x14ac:dyDescent="0.3">
      <c r="A11397" s="8" t="s">
        <v>22751</v>
      </c>
      <c r="B11397" s="8" t="s">
        <v>64999</v>
      </c>
      <c r="C11397" s="8" t="s">
        <v>22752</v>
      </c>
      <c r="D11397" s="8"/>
      <c r="E11397" s="6"/>
      <c r="F11397" s="6"/>
    </row>
    <row r="11398" spans="1:6" x14ac:dyDescent="0.3">
      <c r="A11398" s="8" t="s">
        <v>22753</v>
      </c>
      <c r="B11398" s="8" t="s">
        <v>65000</v>
      </c>
      <c r="C11398" s="8" t="s">
        <v>22754</v>
      </c>
      <c r="D11398" s="8"/>
      <c r="E11398" s="6"/>
      <c r="F11398" s="6"/>
    </row>
    <row r="11399" spans="1:6" x14ac:dyDescent="0.3">
      <c r="A11399" s="8" t="s">
        <v>22755</v>
      </c>
      <c r="B11399" s="8" t="s">
        <v>65001</v>
      </c>
      <c r="C11399" s="8" t="s">
        <v>22756</v>
      </c>
      <c r="D11399" s="8"/>
      <c r="E11399" s="6"/>
      <c r="F11399" s="6"/>
    </row>
    <row r="11400" spans="1:6" x14ac:dyDescent="0.3">
      <c r="A11400" s="8" t="s">
        <v>22757</v>
      </c>
      <c r="B11400" s="8" t="s">
        <v>65002</v>
      </c>
      <c r="C11400" s="8" t="s">
        <v>22758</v>
      </c>
      <c r="D11400" s="8"/>
      <c r="E11400" s="6"/>
      <c r="F11400" s="6"/>
    </row>
    <row r="11401" spans="1:6" x14ac:dyDescent="0.3">
      <c r="A11401" s="8" t="s">
        <v>22759</v>
      </c>
      <c r="B11401" s="8" t="s">
        <v>65003</v>
      </c>
      <c r="C11401" s="8" t="s">
        <v>22760</v>
      </c>
      <c r="D11401" s="8"/>
      <c r="E11401" s="6"/>
      <c r="F11401" s="6"/>
    </row>
    <row r="11402" spans="1:6" x14ac:dyDescent="0.3">
      <c r="A11402" s="8" t="s">
        <v>22761</v>
      </c>
      <c r="B11402" s="8" t="s">
        <v>65004</v>
      </c>
      <c r="C11402" s="8" t="s">
        <v>22762</v>
      </c>
      <c r="D11402" s="8"/>
      <c r="E11402" s="6"/>
      <c r="F11402" s="6"/>
    </row>
    <row r="11403" spans="1:6" x14ac:dyDescent="0.3">
      <c r="A11403" s="8" t="s">
        <v>22763</v>
      </c>
      <c r="B11403" s="8" t="s">
        <v>65005</v>
      </c>
      <c r="C11403" s="8" t="s">
        <v>22764</v>
      </c>
      <c r="D11403" s="8"/>
      <c r="E11403" s="6"/>
      <c r="F11403" s="6"/>
    </row>
    <row r="11404" spans="1:6" x14ac:dyDescent="0.3">
      <c r="A11404" s="8" t="s">
        <v>22765</v>
      </c>
      <c r="B11404" s="8" t="s">
        <v>65006</v>
      </c>
      <c r="C11404" s="8" t="s">
        <v>22766</v>
      </c>
      <c r="D11404" s="8"/>
      <c r="E11404" s="6"/>
      <c r="F11404" s="6"/>
    </row>
    <row r="11405" spans="1:6" x14ac:dyDescent="0.3">
      <c r="A11405" s="8" t="s">
        <v>22767</v>
      </c>
      <c r="B11405" s="8" t="s">
        <v>65007</v>
      </c>
      <c r="C11405" s="8" t="s">
        <v>22768</v>
      </c>
      <c r="D11405" s="8"/>
      <c r="E11405" s="6"/>
      <c r="F11405" s="6"/>
    </row>
    <row r="11406" spans="1:6" x14ac:dyDescent="0.3">
      <c r="A11406" s="8" t="s">
        <v>22769</v>
      </c>
      <c r="B11406" s="8" t="s">
        <v>65008</v>
      </c>
      <c r="C11406" s="8" t="s">
        <v>22770</v>
      </c>
      <c r="D11406" s="8"/>
      <c r="E11406" s="6"/>
      <c r="F11406" s="6"/>
    </row>
    <row r="11407" spans="1:6" x14ac:dyDescent="0.3">
      <c r="A11407" s="8" t="s">
        <v>22771</v>
      </c>
      <c r="B11407" s="8" t="s">
        <v>65009</v>
      </c>
      <c r="C11407" s="8" t="s">
        <v>22772</v>
      </c>
      <c r="D11407" s="8"/>
      <c r="E11407" s="6"/>
      <c r="F11407" s="6"/>
    </row>
    <row r="11408" spans="1:6" x14ac:dyDescent="0.3">
      <c r="A11408" s="8" t="s">
        <v>22773</v>
      </c>
      <c r="B11408" s="8" t="s">
        <v>65010</v>
      </c>
      <c r="C11408" s="8" t="s">
        <v>22774</v>
      </c>
      <c r="D11408" s="8"/>
      <c r="E11408" s="6"/>
      <c r="F11408" s="6"/>
    </row>
    <row r="11409" spans="1:6" x14ac:dyDescent="0.3">
      <c r="A11409" s="8" t="s">
        <v>22775</v>
      </c>
      <c r="B11409" s="8" t="s">
        <v>65011</v>
      </c>
      <c r="C11409" s="8" t="s">
        <v>22776</v>
      </c>
      <c r="D11409" s="8"/>
      <c r="E11409" s="6"/>
      <c r="F11409" s="6"/>
    </row>
    <row r="11410" spans="1:6" x14ac:dyDescent="0.3">
      <c r="A11410" s="8" t="s">
        <v>22777</v>
      </c>
      <c r="B11410" s="8" t="s">
        <v>65012</v>
      </c>
      <c r="C11410" s="8" t="s">
        <v>22778</v>
      </c>
      <c r="D11410" s="8"/>
      <c r="E11410" s="6"/>
      <c r="F11410" s="6"/>
    </row>
    <row r="11411" spans="1:6" x14ac:dyDescent="0.3">
      <c r="A11411" s="8" t="s">
        <v>22779</v>
      </c>
      <c r="B11411" s="8" t="s">
        <v>65013</v>
      </c>
      <c r="C11411" s="8" t="s">
        <v>22780</v>
      </c>
      <c r="D11411" s="8"/>
      <c r="E11411" s="6"/>
      <c r="F11411" s="6"/>
    </row>
    <row r="11412" spans="1:6" x14ac:dyDescent="0.3">
      <c r="A11412" s="8" t="s">
        <v>22781</v>
      </c>
      <c r="B11412" s="8" t="s">
        <v>65014</v>
      </c>
      <c r="C11412" s="8" t="s">
        <v>22782</v>
      </c>
      <c r="D11412" s="8"/>
      <c r="E11412" s="6"/>
      <c r="F11412" s="6"/>
    </row>
    <row r="11413" spans="1:6" x14ac:dyDescent="0.3">
      <c r="A11413" s="8" t="s">
        <v>22783</v>
      </c>
      <c r="B11413" s="8" t="s">
        <v>65015</v>
      </c>
      <c r="C11413" s="8" t="s">
        <v>22784</v>
      </c>
      <c r="D11413" s="8"/>
      <c r="E11413" s="6"/>
      <c r="F11413" s="6"/>
    </row>
    <row r="11414" spans="1:6" x14ac:dyDescent="0.3">
      <c r="A11414" s="8" t="s">
        <v>22785</v>
      </c>
      <c r="B11414" s="8" t="s">
        <v>65016</v>
      </c>
      <c r="C11414" s="8" t="s">
        <v>22786</v>
      </c>
      <c r="D11414" s="8"/>
      <c r="E11414" s="6"/>
      <c r="F11414" s="6"/>
    </row>
    <row r="11415" spans="1:6" x14ac:dyDescent="0.3">
      <c r="A11415" s="8" t="s">
        <v>22787</v>
      </c>
      <c r="B11415" s="8" t="s">
        <v>65017</v>
      </c>
      <c r="C11415" s="8" t="s">
        <v>22788</v>
      </c>
      <c r="D11415" s="8"/>
      <c r="E11415" s="6"/>
      <c r="F11415" s="6"/>
    </row>
    <row r="11416" spans="1:6" x14ac:dyDescent="0.3">
      <c r="A11416" s="8" t="s">
        <v>22789</v>
      </c>
      <c r="B11416" s="8" t="s">
        <v>65018</v>
      </c>
      <c r="C11416" s="8" t="s">
        <v>22790</v>
      </c>
      <c r="D11416" s="8"/>
      <c r="E11416" s="6"/>
      <c r="F11416" s="6"/>
    </row>
    <row r="11417" spans="1:6" x14ac:dyDescent="0.3">
      <c r="A11417" s="8" t="s">
        <v>22791</v>
      </c>
      <c r="B11417" s="8" t="s">
        <v>65019</v>
      </c>
      <c r="C11417" s="8" t="s">
        <v>22792</v>
      </c>
      <c r="D11417" s="8"/>
      <c r="E11417" s="6"/>
      <c r="F11417" s="6"/>
    </row>
    <row r="11418" spans="1:6" x14ac:dyDescent="0.3">
      <c r="A11418" s="8" t="s">
        <v>22793</v>
      </c>
      <c r="B11418" s="8" t="s">
        <v>65020</v>
      </c>
      <c r="C11418" s="8" t="s">
        <v>22794</v>
      </c>
      <c r="D11418" s="8"/>
      <c r="E11418" s="6"/>
      <c r="F11418" s="6"/>
    </row>
    <row r="11419" spans="1:6" x14ac:dyDescent="0.3">
      <c r="A11419" s="8" t="s">
        <v>22795</v>
      </c>
      <c r="B11419" s="8" t="s">
        <v>65021</v>
      </c>
      <c r="C11419" s="8" t="s">
        <v>22796</v>
      </c>
      <c r="D11419" s="8"/>
      <c r="E11419" s="6"/>
      <c r="F11419" s="6"/>
    </row>
    <row r="11420" spans="1:6" x14ac:dyDescent="0.3">
      <c r="A11420" s="8" t="s">
        <v>22797</v>
      </c>
      <c r="B11420" s="8" t="s">
        <v>65022</v>
      </c>
      <c r="C11420" s="8" t="s">
        <v>22798</v>
      </c>
      <c r="D11420" s="8"/>
      <c r="E11420" s="6"/>
      <c r="F11420" s="6"/>
    </row>
    <row r="11421" spans="1:6" x14ac:dyDescent="0.3">
      <c r="A11421" s="8" t="s">
        <v>22799</v>
      </c>
      <c r="B11421" s="8" t="s">
        <v>65023</v>
      </c>
      <c r="C11421" s="8" t="s">
        <v>22800</v>
      </c>
      <c r="D11421" s="8"/>
      <c r="E11421" s="6"/>
      <c r="F11421" s="6"/>
    </row>
    <row r="11422" spans="1:6" x14ac:dyDescent="0.3">
      <c r="A11422" s="8" t="s">
        <v>22801</v>
      </c>
      <c r="B11422" s="8" t="s">
        <v>65024</v>
      </c>
      <c r="C11422" s="8" t="s">
        <v>22802</v>
      </c>
      <c r="D11422" s="8"/>
      <c r="E11422" s="6"/>
      <c r="F11422" s="6"/>
    </row>
    <row r="11423" spans="1:6" x14ac:dyDescent="0.3">
      <c r="A11423" s="8" t="s">
        <v>22803</v>
      </c>
      <c r="B11423" s="8" t="s">
        <v>65025</v>
      </c>
      <c r="C11423" s="8" t="s">
        <v>22804</v>
      </c>
      <c r="D11423" s="8"/>
      <c r="E11423" s="6"/>
      <c r="F11423" s="6"/>
    </row>
    <row r="11424" spans="1:6" x14ac:dyDescent="0.3">
      <c r="A11424" s="8" t="s">
        <v>22805</v>
      </c>
      <c r="B11424" s="8" t="s">
        <v>65026</v>
      </c>
      <c r="C11424" s="8" t="s">
        <v>22806</v>
      </c>
      <c r="D11424" s="8"/>
      <c r="E11424" s="6"/>
      <c r="F11424" s="6"/>
    </row>
    <row r="11425" spans="1:6" x14ac:dyDescent="0.3">
      <c r="A11425" s="8" t="s">
        <v>22807</v>
      </c>
      <c r="B11425" s="8" t="s">
        <v>65027</v>
      </c>
      <c r="C11425" s="8" t="s">
        <v>22808</v>
      </c>
      <c r="D11425" s="8"/>
      <c r="E11425" s="6"/>
      <c r="F11425" s="6"/>
    </row>
    <row r="11426" spans="1:6" x14ac:dyDescent="0.3">
      <c r="A11426" s="8" t="s">
        <v>22809</v>
      </c>
      <c r="B11426" s="8" t="s">
        <v>65028</v>
      </c>
      <c r="C11426" s="8" t="s">
        <v>22810</v>
      </c>
      <c r="D11426" s="8"/>
      <c r="E11426" s="6"/>
      <c r="F11426" s="6"/>
    </row>
    <row r="11427" spans="1:6" x14ac:dyDescent="0.3">
      <c r="A11427" s="8" t="s">
        <v>22811</v>
      </c>
      <c r="B11427" s="8" t="s">
        <v>65029</v>
      </c>
      <c r="C11427" s="8" t="s">
        <v>22812</v>
      </c>
      <c r="D11427" s="8"/>
      <c r="E11427" s="6"/>
      <c r="F11427" s="6"/>
    </row>
    <row r="11428" spans="1:6" x14ac:dyDescent="0.3">
      <c r="A11428" s="8" t="s">
        <v>22813</v>
      </c>
      <c r="B11428" s="8" t="s">
        <v>65030</v>
      </c>
      <c r="C11428" s="8" t="s">
        <v>22814</v>
      </c>
      <c r="D11428" s="8"/>
      <c r="E11428" s="6"/>
      <c r="F11428" s="6"/>
    </row>
    <row r="11429" spans="1:6" x14ac:dyDescent="0.3">
      <c r="A11429" s="8" t="s">
        <v>22815</v>
      </c>
      <c r="B11429" s="8" t="s">
        <v>65031</v>
      </c>
      <c r="C11429" s="8" t="s">
        <v>22816</v>
      </c>
      <c r="D11429" s="8"/>
      <c r="E11429" s="6"/>
      <c r="F11429" s="6"/>
    </row>
    <row r="11430" spans="1:6" x14ac:dyDescent="0.3">
      <c r="A11430" s="8" t="s">
        <v>22817</v>
      </c>
      <c r="B11430" s="8" t="s">
        <v>65032</v>
      </c>
      <c r="C11430" s="8" t="s">
        <v>22818</v>
      </c>
      <c r="D11430" s="8"/>
      <c r="E11430" s="6"/>
      <c r="F11430" s="6"/>
    </row>
    <row r="11431" spans="1:6" x14ac:dyDescent="0.3">
      <c r="A11431" s="8" t="s">
        <v>22819</v>
      </c>
      <c r="B11431" s="8" t="s">
        <v>65033</v>
      </c>
      <c r="C11431" s="8" t="s">
        <v>22820</v>
      </c>
      <c r="D11431" s="8"/>
      <c r="E11431" s="6"/>
      <c r="F11431" s="6"/>
    </row>
    <row r="11432" spans="1:6" x14ac:dyDescent="0.3">
      <c r="A11432" s="8" t="s">
        <v>22821</v>
      </c>
      <c r="B11432" s="8" t="s">
        <v>65034</v>
      </c>
      <c r="C11432" s="8" t="s">
        <v>22822</v>
      </c>
      <c r="D11432" s="8"/>
      <c r="E11432" s="6"/>
      <c r="F11432" s="6"/>
    </row>
    <row r="11433" spans="1:6" x14ac:dyDescent="0.3">
      <c r="A11433" s="8" t="s">
        <v>22823</v>
      </c>
      <c r="B11433" s="8" t="s">
        <v>65035</v>
      </c>
      <c r="C11433" s="8" t="s">
        <v>22824</v>
      </c>
      <c r="D11433" s="8"/>
      <c r="E11433" s="6"/>
      <c r="F11433" s="6"/>
    </row>
    <row r="11434" spans="1:6" x14ac:dyDescent="0.3">
      <c r="A11434" s="8" t="s">
        <v>22825</v>
      </c>
      <c r="B11434" s="8" t="s">
        <v>65036</v>
      </c>
      <c r="C11434" s="8" t="s">
        <v>22826</v>
      </c>
      <c r="D11434" s="8"/>
      <c r="E11434" s="6"/>
      <c r="F11434" s="6"/>
    </row>
    <row r="11435" spans="1:6" x14ac:dyDescent="0.3">
      <c r="A11435" s="8" t="s">
        <v>22827</v>
      </c>
      <c r="B11435" s="8" t="s">
        <v>65037</v>
      </c>
      <c r="C11435" s="8" t="s">
        <v>22828</v>
      </c>
      <c r="D11435" s="8"/>
      <c r="E11435" s="6"/>
      <c r="F11435" s="6"/>
    </row>
    <row r="11436" spans="1:6" x14ac:dyDescent="0.3">
      <c r="A11436" s="8" t="s">
        <v>22829</v>
      </c>
      <c r="B11436" s="8" t="s">
        <v>65038</v>
      </c>
      <c r="C11436" s="8" t="s">
        <v>22830</v>
      </c>
      <c r="D11436" s="8"/>
      <c r="E11436" s="6"/>
      <c r="F11436" s="6"/>
    </row>
    <row r="11437" spans="1:6" x14ac:dyDescent="0.3">
      <c r="A11437" s="8" t="s">
        <v>22831</v>
      </c>
      <c r="B11437" s="8" t="s">
        <v>65039</v>
      </c>
      <c r="C11437" s="8" t="s">
        <v>22832</v>
      </c>
      <c r="D11437" s="8"/>
      <c r="E11437" s="6"/>
      <c r="F11437" s="6"/>
    </row>
    <row r="11438" spans="1:6" x14ac:dyDescent="0.3">
      <c r="A11438" s="8" t="s">
        <v>22833</v>
      </c>
      <c r="B11438" s="8" t="s">
        <v>65040</v>
      </c>
      <c r="C11438" s="8" t="s">
        <v>22834</v>
      </c>
      <c r="D11438" s="8"/>
      <c r="E11438" s="6"/>
      <c r="F11438" s="6"/>
    </row>
    <row r="11439" spans="1:6" x14ac:dyDescent="0.3">
      <c r="A11439" s="8" t="s">
        <v>22835</v>
      </c>
      <c r="B11439" s="8" t="s">
        <v>65041</v>
      </c>
      <c r="C11439" s="8" t="s">
        <v>22836</v>
      </c>
      <c r="D11439" s="8"/>
      <c r="E11439" s="6"/>
      <c r="F11439" s="6"/>
    </row>
    <row r="11440" spans="1:6" x14ac:dyDescent="0.3">
      <c r="A11440" s="8" t="s">
        <v>22837</v>
      </c>
      <c r="B11440" s="8" t="s">
        <v>65042</v>
      </c>
      <c r="C11440" s="8" t="s">
        <v>22838</v>
      </c>
      <c r="D11440" s="8"/>
      <c r="E11440" s="6"/>
      <c r="F11440" s="6"/>
    </row>
    <row r="11441" spans="1:6" x14ac:dyDescent="0.3">
      <c r="A11441" s="8" t="s">
        <v>22839</v>
      </c>
      <c r="B11441" s="8" t="s">
        <v>65043</v>
      </c>
      <c r="C11441" s="8" t="s">
        <v>22840</v>
      </c>
      <c r="D11441" s="8"/>
      <c r="E11441" s="6"/>
      <c r="F11441" s="6"/>
    </row>
    <row r="11442" spans="1:6" x14ac:dyDescent="0.3">
      <c r="A11442" s="8" t="s">
        <v>22841</v>
      </c>
      <c r="B11442" s="8" t="s">
        <v>65044</v>
      </c>
      <c r="C11442" s="8" t="s">
        <v>22842</v>
      </c>
      <c r="D11442" s="8"/>
      <c r="E11442" s="6"/>
      <c r="F11442" s="6"/>
    </row>
    <row r="11443" spans="1:6" x14ac:dyDescent="0.3">
      <c r="A11443" s="8" t="s">
        <v>22843</v>
      </c>
      <c r="B11443" s="8" t="s">
        <v>65045</v>
      </c>
      <c r="C11443" s="8" t="s">
        <v>22844</v>
      </c>
      <c r="D11443" s="8"/>
      <c r="E11443" s="6"/>
      <c r="F11443" s="6"/>
    </row>
    <row r="11444" spans="1:6" x14ac:dyDescent="0.3">
      <c r="A11444" s="8" t="s">
        <v>22845</v>
      </c>
      <c r="B11444" s="8" t="s">
        <v>65046</v>
      </c>
      <c r="C11444" s="8" t="s">
        <v>22846</v>
      </c>
      <c r="D11444" s="8"/>
      <c r="E11444" s="6"/>
      <c r="F11444" s="6"/>
    </row>
    <row r="11445" spans="1:6" x14ac:dyDescent="0.3">
      <c r="A11445" s="8" t="s">
        <v>22847</v>
      </c>
      <c r="B11445" s="8" t="s">
        <v>65047</v>
      </c>
      <c r="C11445" s="8" t="s">
        <v>22848</v>
      </c>
      <c r="D11445" s="8"/>
      <c r="E11445" s="6"/>
      <c r="F11445" s="6"/>
    </row>
    <row r="11446" spans="1:6" x14ac:dyDescent="0.3">
      <c r="A11446" s="8" t="s">
        <v>22849</v>
      </c>
      <c r="B11446" s="8" t="s">
        <v>65048</v>
      </c>
      <c r="C11446" s="8" t="s">
        <v>22850</v>
      </c>
      <c r="D11446" s="8"/>
      <c r="E11446" s="6"/>
      <c r="F11446" s="6"/>
    </row>
    <row r="11447" spans="1:6" x14ac:dyDescent="0.3">
      <c r="A11447" s="8" t="s">
        <v>22851</v>
      </c>
      <c r="B11447" s="8" t="s">
        <v>65049</v>
      </c>
      <c r="C11447" s="8" t="s">
        <v>22852</v>
      </c>
      <c r="D11447" s="8"/>
      <c r="E11447" s="6"/>
      <c r="F11447" s="6"/>
    </row>
    <row r="11448" spans="1:6" x14ac:dyDescent="0.3">
      <c r="A11448" s="8" t="s">
        <v>22853</v>
      </c>
      <c r="B11448" s="8" t="s">
        <v>65050</v>
      </c>
      <c r="C11448" s="8" t="s">
        <v>22854</v>
      </c>
      <c r="D11448" s="8"/>
      <c r="E11448" s="6"/>
      <c r="F11448" s="6"/>
    </row>
    <row r="11449" spans="1:6" x14ac:dyDescent="0.3">
      <c r="A11449" s="8" t="s">
        <v>22855</v>
      </c>
      <c r="B11449" s="8" t="s">
        <v>65051</v>
      </c>
      <c r="C11449" s="8" t="s">
        <v>22856</v>
      </c>
      <c r="D11449" s="8"/>
      <c r="E11449" s="6"/>
      <c r="F11449" s="6"/>
    </row>
    <row r="11450" spans="1:6" x14ac:dyDescent="0.3">
      <c r="A11450" s="8" t="s">
        <v>22857</v>
      </c>
      <c r="B11450" s="8" t="s">
        <v>65052</v>
      </c>
      <c r="C11450" s="8" t="s">
        <v>22858</v>
      </c>
      <c r="D11450" s="8"/>
      <c r="E11450" s="6"/>
      <c r="F11450" s="6"/>
    </row>
    <row r="11451" spans="1:6" x14ac:dyDescent="0.3">
      <c r="A11451" s="8" t="s">
        <v>22859</v>
      </c>
      <c r="B11451" s="8" t="s">
        <v>65053</v>
      </c>
      <c r="C11451" s="8" t="s">
        <v>22860</v>
      </c>
      <c r="D11451" s="8"/>
      <c r="E11451" s="6"/>
      <c r="F11451" s="6"/>
    </row>
    <row r="11452" spans="1:6" x14ac:dyDescent="0.3">
      <c r="A11452" s="8" t="s">
        <v>22861</v>
      </c>
      <c r="B11452" s="8" t="s">
        <v>65054</v>
      </c>
      <c r="C11452" s="8" t="s">
        <v>22862</v>
      </c>
      <c r="D11452" s="8"/>
      <c r="E11452" s="6"/>
      <c r="F11452" s="6"/>
    </row>
    <row r="11453" spans="1:6" x14ac:dyDescent="0.3">
      <c r="A11453" s="8" t="s">
        <v>22863</v>
      </c>
      <c r="B11453" s="8" t="s">
        <v>65055</v>
      </c>
      <c r="C11453" s="8" t="s">
        <v>22864</v>
      </c>
      <c r="D11453" s="8"/>
      <c r="E11453" s="6"/>
      <c r="F11453" s="6"/>
    </row>
    <row r="11454" spans="1:6" x14ac:dyDescent="0.3">
      <c r="A11454" s="8" t="s">
        <v>22865</v>
      </c>
      <c r="B11454" s="8" t="s">
        <v>65056</v>
      </c>
      <c r="C11454" s="8" t="s">
        <v>22866</v>
      </c>
      <c r="D11454" s="8"/>
      <c r="E11454" s="6"/>
      <c r="F11454" s="6"/>
    </row>
    <row r="11455" spans="1:6" x14ac:dyDescent="0.3">
      <c r="A11455" s="8" t="s">
        <v>22867</v>
      </c>
      <c r="B11455" s="8" t="s">
        <v>65057</v>
      </c>
      <c r="C11455" s="8" t="s">
        <v>22868</v>
      </c>
      <c r="D11455" s="8"/>
      <c r="E11455" s="6"/>
      <c r="F11455" s="6"/>
    </row>
    <row r="11456" spans="1:6" x14ac:dyDescent="0.3">
      <c r="A11456" s="8" t="s">
        <v>22869</v>
      </c>
      <c r="B11456" s="8" t="s">
        <v>65058</v>
      </c>
      <c r="C11456" s="8" t="s">
        <v>22870</v>
      </c>
      <c r="D11456" s="8"/>
      <c r="E11456" s="6"/>
      <c r="F11456" s="6"/>
    </row>
    <row r="11457" spans="1:6" x14ac:dyDescent="0.3">
      <c r="A11457" s="8" t="s">
        <v>22871</v>
      </c>
      <c r="B11457" s="8" t="s">
        <v>65059</v>
      </c>
      <c r="C11457" s="8" t="s">
        <v>22872</v>
      </c>
      <c r="D11457" s="8"/>
      <c r="E11457" s="6"/>
      <c r="F11457" s="6"/>
    </row>
    <row r="11458" spans="1:6" x14ac:dyDescent="0.3">
      <c r="A11458" s="8" t="s">
        <v>22873</v>
      </c>
      <c r="B11458" s="8" t="s">
        <v>65060</v>
      </c>
      <c r="C11458" s="8" t="s">
        <v>22874</v>
      </c>
      <c r="D11458" s="8"/>
      <c r="E11458" s="6"/>
      <c r="F11458" s="6"/>
    </row>
    <row r="11459" spans="1:6" x14ac:dyDescent="0.3">
      <c r="A11459" s="8" t="s">
        <v>22875</v>
      </c>
      <c r="B11459" s="8" t="s">
        <v>65061</v>
      </c>
      <c r="C11459" s="8" t="s">
        <v>22876</v>
      </c>
      <c r="D11459" s="8"/>
      <c r="E11459" s="6"/>
      <c r="F11459" s="6"/>
    </row>
    <row r="11460" spans="1:6" x14ac:dyDescent="0.3">
      <c r="A11460" s="8" t="s">
        <v>22877</v>
      </c>
      <c r="B11460" s="8" t="s">
        <v>65062</v>
      </c>
      <c r="C11460" s="8" t="s">
        <v>22878</v>
      </c>
      <c r="D11460" s="8"/>
      <c r="E11460" s="6"/>
      <c r="F11460" s="6"/>
    </row>
    <row r="11461" spans="1:6" x14ac:dyDescent="0.3">
      <c r="A11461" s="8" t="s">
        <v>22879</v>
      </c>
      <c r="B11461" s="8" t="s">
        <v>65063</v>
      </c>
      <c r="C11461" s="8" t="s">
        <v>22880</v>
      </c>
      <c r="D11461" s="8"/>
      <c r="E11461" s="6"/>
      <c r="F11461" s="6"/>
    </row>
    <row r="11462" spans="1:6" x14ac:dyDescent="0.3">
      <c r="A11462" s="8" t="s">
        <v>22881</v>
      </c>
      <c r="B11462" s="8" t="s">
        <v>65064</v>
      </c>
      <c r="C11462" s="8" t="s">
        <v>22882</v>
      </c>
      <c r="D11462" s="8"/>
      <c r="E11462" s="6"/>
      <c r="F11462" s="6"/>
    </row>
    <row r="11463" spans="1:6" x14ac:dyDescent="0.3">
      <c r="A11463" s="8" t="s">
        <v>22883</v>
      </c>
      <c r="B11463" s="8" t="s">
        <v>65065</v>
      </c>
      <c r="C11463" s="8" t="s">
        <v>22884</v>
      </c>
      <c r="D11463" s="8"/>
      <c r="E11463" s="6"/>
      <c r="F11463" s="6"/>
    </row>
    <row r="11464" spans="1:6" x14ac:dyDescent="0.3">
      <c r="A11464" s="8" t="s">
        <v>22885</v>
      </c>
      <c r="B11464" s="8" t="s">
        <v>65066</v>
      </c>
      <c r="C11464" s="8" t="s">
        <v>22886</v>
      </c>
      <c r="D11464" s="8"/>
      <c r="E11464" s="6"/>
      <c r="F11464" s="6"/>
    </row>
    <row r="11465" spans="1:6" x14ac:dyDescent="0.3">
      <c r="A11465" s="8" t="s">
        <v>22887</v>
      </c>
      <c r="B11465" s="8" t="s">
        <v>65067</v>
      </c>
      <c r="C11465" s="8" t="s">
        <v>22888</v>
      </c>
      <c r="D11465" s="8"/>
      <c r="E11465" s="6"/>
      <c r="F11465" s="6"/>
    </row>
    <row r="11466" spans="1:6" x14ac:dyDescent="0.3">
      <c r="A11466" s="8" t="s">
        <v>22889</v>
      </c>
      <c r="B11466" s="8" t="s">
        <v>65068</v>
      </c>
      <c r="C11466" s="8" t="s">
        <v>22890</v>
      </c>
      <c r="D11466" s="8"/>
      <c r="E11466" s="6"/>
      <c r="F11466" s="6"/>
    </row>
    <row r="11467" spans="1:6" x14ac:dyDescent="0.3">
      <c r="A11467" s="8" t="s">
        <v>22891</v>
      </c>
      <c r="B11467" s="8" t="s">
        <v>65069</v>
      </c>
      <c r="C11467" s="8" t="s">
        <v>22892</v>
      </c>
      <c r="D11467" s="8"/>
      <c r="E11467" s="6"/>
      <c r="F11467" s="6"/>
    </row>
    <row r="11468" spans="1:6" x14ac:dyDescent="0.3">
      <c r="A11468" s="8" t="s">
        <v>22893</v>
      </c>
      <c r="B11468" s="8" t="s">
        <v>65070</v>
      </c>
      <c r="C11468" s="8" t="s">
        <v>22894</v>
      </c>
      <c r="D11468" s="8"/>
      <c r="E11468" s="6"/>
      <c r="F11468" s="6"/>
    </row>
    <row r="11469" spans="1:6" x14ac:dyDescent="0.3">
      <c r="A11469" s="8" t="s">
        <v>22895</v>
      </c>
      <c r="B11469" s="8" t="s">
        <v>65071</v>
      </c>
      <c r="C11469" s="8" t="s">
        <v>22896</v>
      </c>
      <c r="D11469" s="8"/>
      <c r="E11469" s="6"/>
      <c r="F11469" s="6"/>
    </row>
    <row r="11470" spans="1:6" x14ac:dyDescent="0.3">
      <c r="A11470" s="8" t="s">
        <v>22897</v>
      </c>
      <c r="B11470" s="8" t="s">
        <v>65072</v>
      </c>
      <c r="C11470" s="8" t="s">
        <v>22898</v>
      </c>
      <c r="D11470" s="8"/>
      <c r="E11470" s="6"/>
      <c r="F11470" s="6"/>
    </row>
    <row r="11471" spans="1:6" x14ac:dyDescent="0.3">
      <c r="A11471" s="8" t="s">
        <v>22899</v>
      </c>
      <c r="B11471" s="8" t="s">
        <v>65073</v>
      </c>
      <c r="C11471" s="8" t="s">
        <v>22900</v>
      </c>
      <c r="D11471" s="8"/>
      <c r="E11471" s="6"/>
      <c r="F11471" s="6"/>
    </row>
    <row r="11472" spans="1:6" x14ac:dyDescent="0.3">
      <c r="A11472" s="8" t="s">
        <v>22901</v>
      </c>
      <c r="B11472" s="8" t="s">
        <v>65074</v>
      </c>
      <c r="C11472" s="8" t="s">
        <v>22902</v>
      </c>
      <c r="D11472" s="8"/>
      <c r="E11472" s="6"/>
      <c r="F11472" s="6"/>
    </row>
    <row r="11473" spans="1:6" x14ac:dyDescent="0.3">
      <c r="A11473" s="8" t="s">
        <v>22903</v>
      </c>
      <c r="B11473" s="8" t="s">
        <v>65075</v>
      </c>
      <c r="C11473" s="8" t="s">
        <v>22904</v>
      </c>
      <c r="D11473" s="8"/>
      <c r="E11473" s="6"/>
      <c r="F11473" s="6"/>
    </row>
    <row r="11474" spans="1:6" x14ac:dyDescent="0.3">
      <c r="A11474" s="8" t="s">
        <v>22905</v>
      </c>
      <c r="B11474" s="8" t="s">
        <v>65076</v>
      </c>
      <c r="C11474" s="8" t="s">
        <v>22906</v>
      </c>
      <c r="D11474" s="8"/>
      <c r="E11474" s="6"/>
      <c r="F11474" s="6"/>
    </row>
    <row r="11475" spans="1:6" x14ac:dyDescent="0.3">
      <c r="A11475" s="8" t="s">
        <v>22907</v>
      </c>
      <c r="B11475" s="8" t="s">
        <v>65077</v>
      </c>
      <c r="C11475" s="8" t="s">
        <v>22908</v>
      </c>
      <c r="D11475" s="8"/>
      <c r="E11475" s="6"/>
      <c r="F11475" s="6"/>
    </row>
    <row r="11476" spans="1:6" x14ac:dyDescent="0.3">
      <c r="A11476" s="8" t="s">
        <v>22909</v>
      </c>
      <c r="B11476" s="8" t="s">
        <v>65078</v>
      </c>
      <c r="C11476" s="8" t="s">
        <v>22910</v>
      </c>
      <c r="D11476" s="8"/>
      <c r="E11476" s="6"/>
      <c r="F11476" s="6"/>
    </row>
    <row r="11477" spans="1:6" x14ac:dyDescent="0.3">
      <c r="A11477" s="8" t="s">
        <v>22911</v>
      </c>
      <c r="B11477" s="8" t="s">
        <v>65079</v>
      </c>
      <c r="C11477" s="8" t="s">
        <v>22912</v>
      </c>
      <c r="D11477" s="8"/>
      <c r="E11477" s="6"/>
      <c r="F11477" s="6"/>
    </row>
    <row r="11478" spans="1:6" x14ac:dyDescent="0.3">
      <c r="A11478" s="8" t="s">
        <v>22913</v>
      </c>
      <c r="B11478" s="8" t="s">
        <v>65080</v>
      </c>
      <c r="C11478" s="8" t="s">
        <v>22914</v>
      </c>
      <c r="D11478" s="8"/>
      <c r="E11478" s="6"/>
      <c r="F11478" s="6"/>
    </row>
    <row r="11479" spans="1:6" x14ac:dyDescent="0.3">
      <c r="A11479" s="8" t="s">
        <v>22915</v>
      </c>
      <c r="B11479" s="8" t="s">
        <v>65081</v>
      </c>
      <c r="C11479" s="8" t="s">
        <v>22916</v>
      </c>
      <c r="D11479" s="8"/>
      <c r="E11479" s="6"/>
      <c r="F11479" s="6"/>
    </row>
    <row r="11480" spans="1:6" x14ac:dyDescent="0.3">
      <c r="A11480" s="8" t="s">
        <v>22917</v>
      </c>
      <c r="B11480" s="8" t="s">
        <v>65082</v>
      </c>
      <c r="C11480" s="8" t="s">
        <v>22918</v>
      </c>
      <c r="D11480" s="8"/>
      <c r="E11480" s="6"/>
      <c r="F11480" s="6"/>
    </row>
    <row r="11481" spans="1:6" x14ac:dyDescent="0.3">
      <c r="A11481" s="8" t="s">
        <v>22919</v>
      </c>
      <c r="B11481" s="8" t="s">
        <v>65083</v>
      </c>
      <c r="C11481" s="8" t="s">
        <v>22920</v>
      </c>
      <c r="D11481" s="8"/>
      <c r="E11481" s="6"/>
      <c r="F11481" s="6"/>
    </row>
    <row r="11482" spans="1:6" x14ac:dyDescent="0.3">
      <c r="A11482" s="8" t="s">
        <v>22921</v>
      </c>
      <c r="B11482" s="8" t="s">
        <v>65084</v>
      </c>
      <c r="C11482" s="8" t="s">
        <v>22922</v>
      </c>
      <c r="D11482" s="8"/>
      <c r="E11482" s="6"/>
      <c r="F11482" s="6"/>
    </row>
    <row r="11483" spans="1:6" x14ac:dyDescent="0.3">
      <c r="A11483" s="8" t="s">
        <v>22923</v>
      </c>
      <c r="B11483" s="8" t="s">
        <v>65085</v>
      </c>
      <c r="C11483" s="8" t="s">
        <v>22924</v>
      </c>
      <c r="D11483" s="8"/>
      <c r="E11483" s="6"/>
      <c r="F11483" s="6"/>
    </row>
    <row r="11484" spans="1:6" x14ac:dyDescent="0.3">
      <c r="A11484" s="8" t="s">
        <v>22925</v>
      </c>
      <c r="B11484" s="8" t="s">
        <v>65086</v>
      </c>
      <c r="C11484" s="8" t="s">
        <v>22926</v>
      </c>
      <c r="D11484" s="8"/>
      <c r="E11484" s="6"/>
      <c r="F11484" s="6"/>
    </row>
    <row r="11485" spans="1:6" x14ac:dyDescent="0.3">
      <c r="A11485" s="8" t="s">
        <v>22927</v>
      </c>
      <c r="B11485" s="8" t="s">
        <v>65087</v>
      </c>
      <c r="C11485" s="8" t="s">
        <v>22928</v>
      </c>
      <c r="D11485" s="8"/>
      <c r="E11485" s="6"/>
      <c r="F11485" s="6"/>
    </row>
    <row r="11486" spans="1:6" x14ac:dyDescent="0.3">
      <c r="A11486" s="8" t="s">
        <v>22929</v>
      </c>
      <c r="B11486" s="8" t="s">
        <v>65088</v>
      </c>
      <c r="C11486" s="8" t="s">
        <v>22930</v>
      </c>
      <c r="D11486" s="8"/>
      <c r="E11486" s="6"/>
      <c r="F11486" s="6"/>
    </row>
    <row r="11487" spans="1:6" x14ac:dyDescent="0.3">
      <c r="A11487" s="8" t="s">
        <v>22931</v>
      </c>
      <c r="B11487" s="8" t="s">
        <v>65089</v>
      </c>
      <c r="C11487" s="8" t="s">
        <v>22932</v>
      </c>
      <c r="D11487" s="8"/>
      <c r="E11487" s="6"/>
      <c r="F11487" s="6"/>
    </row>
    <row r="11488" spans="1:6" x14ac:dyDescent="0.3">
      <c r="A11488" s="8" t="s">
        <v>22933</v>
      </c>
      <c r="B11488" s="8" t="s">
        <v>65090</v>
      </c>
      <c r="C11488" s="8" t="s">
        <v>22934</v>
      </c>
      <c r="D11488" s="8"/>
      <c r="E11488" s="6"/>
      <c r="F11488" s="6"/>
    </row>
    <row r="11489" spans="1:6" x14ac:dyDescent="0.3">
      <c r="A11489" s="8" t="s">
        <v>22935</v>
      </c>
      <c r="B11489" s="8" t="s">
        <v>65091</v>
      </c>
      <c r="C11489" s="8" t="s">
        <v>22936</v>
      </c>
      <c r="D11489" s="8"/>
      <c r="E11489" s="6"/>
      <c r="F11489" s="6"/>
    </row>
    <row r="11490" spans="1:6" x14ac:dyDescent="0.3">
      <c r="A11490" s="8" t="s">
        <v>22937</v>
      </c>
      <c r="B11490" s="8" t="s">
        <v>65092</v>
      </c>
      <c r="C11490" s="8" t="s">
        <v>22938</v>
      </c>
      <c r="D11490" s="8"/>
      <c r="E11490" s="6"/>
      <c r="F11490" s="6"/>
    </row>
    <row r="11491" spans="1:6" x14ac:dyDescent="0.3">
      <c r="A11491" s="8" t="s">
        <v>22939</v>
      </c>
      <c r="B11491" s="8" t="s">
        <v>65093</v>
      </c>
      <c r="C11491" s="8" t="s">
        <v>22940</v>
      </c>
      <c r="D11491" s="8"/>
      <c r="E11491" s="6"/>
      <c r="F11491" s="6"/>
    </row>
    <row r="11492" spans="1:6" x14ac:dyDescent="0.3">
      <c r="A11492" s="8" t="s">
        <v>22941</v>
      </c>
      <c r="B11492" s="8" t="s">
        <v>65094</v>
      </c>
      <c r="C11492" s="8" t="s">
        <v>22942</v>
      </c>
      <c r="D11492" s="8"/>
      <c r="E11492" s="6"/>
      <c r="F11492" s="6"/>
    </row>
    <row r="11493" spans="1:6" x14ac:dyDescent="0.3">
      <c r="A11493" s="8" t="s">
        <v>22943</v>
      </c>
      <c r="B11493" s="8" t="s">
        <v>65095</v>
      </c>
      <c r="C11493" s="8" t="s">
        <v>22944</v>
      </c>
      <c r="D11493" s="8"/>
      <c r="E11493" s="6"/>
      <c r="F11493" s="6"/>
    </row>
    <row r="11494" spans="1:6" x14ac:dyDescent="0.3">
      <c r="A11494" s="8" t="s">
        <v>22945</v>
      </c>
      <c r="B11494" s="8" t="s">
        <v>65096</v>
      </c>
      <c r="C11494" s="8" t="s">
        <v>22946</v>
      </c>
      <c r="D11494" s="8"/>
      <c r="E11494" s="6"/>
      <c r="F11494" s="6"/>
    </row>
    <row r="11495" spans="1:6" x14ac:dyDescent="0.3">
      <c r="A11495" s="8" t="s">
        <v>22947</v>
      </c>
      <c r="B11495" s="8" t="s">
        <v>65097</v>
      </c>
      <c r="C11495" s="8" t="s">
        <v>22948</v>
      </c>
      <c r="D11495" s="8"/>
      <c r="E11495" s="6"/>
      <c r="F11495" s="6"/>
    </row>
    <row r="11496" spans="1:6" x14ac:dyDescent="0.3">
      <c r="A11496" s="8" t="s">
        <v>22949</v>
      </c>
      <c r="B11496" s="8" t="s">
        <v>65098</v>
      </c>
      <c r="C11496" s="8" t="s">
        <v>22950</v>
      </c>
      <c r="D11496" s="8"/>
      <c r="E11496" s="6"/>
      <c r="F11496" s="6"/>
    </row>
    <row r="11497" spans="1:6" x14ac:dyDescent="0.3">
      <c r="A11497" s="8" t="s">
        <v>22951</v>
      </c>
      <c r="B11497" s="8" t="s">
        <v>65099</v>
      </c>
      <c r="C11497" s="8" t="s">
        <v>22952</v>
      </c>
      <c r="D11497" s="8"/>
      <c r="E11497" s="6"/>
      <c r="F11497" s="6"/>
    </row>
    <row r="11498" spans="1:6" x14ac:dyDescent="0.3">
      <c r="A11498" s="8" t="s">
        <v>22953</v>
      </c>
      <c r="B11498" s="8" t="s">
        <v>65100</v>
      </c>
      <c r="C11498" s="8" t="s">
        <v>22954</v>
      </c>
      <c r="D11498" s="8"/>
      <c r="E11498" s="6"/>
      <c r="F11498" s="6"/>
    </row>
    <row r="11499" spans="1:6" x14ac:dyDescent="0.3">
      <c r="A11499" s="8" t="s">
        <v>22955</v>
      </c>
      <c r="B11499" s="8" t="s">
        <v>65101</v>
      </c>
      <c r="C11499" s="8" t="s">
        <v>22956</v>
      </c>
      <c r="D11499" s="8"/>
      <c r="E11499" s="6"/>
      <c r="F11499" s="6"/>
    </row>
    <row r="11500" spans="1:6" x14ac:dyDescent="0.3">
      <c r="A11500" s="8" t="s">
        <v>22957</v>
      </c>
      <c r="B11500" s="8" t="s">
        <v>65102</v>
      </c>
      <c r="C11500" s="8" t="s">
        <v>22958</v>
      </c>
      <c r="D11500" s="8"/>
      <c r="E11500" s="6"/>
      <c r="F11500" s="6"/>
    </row>
    <row r="11501" spans="1:6" x14ac:dyDescent="0.3">
      <c r="A11501" s="8" t="s">
        <v>22959</v>
      </c>
      <c r="B11501" s="8" t="s">
        <v>65103</v>
      </c>
      <c r="C11501" s="8" t="s">
        <v>22960</v>
      </c>
      <c r="D11501" s="8"/>
      <c r="E11501" s="6"/>
      <c r="F11501" s="6"/>
    </row>
    <row r="11502" spans="1:6" x14ac:dyDescent="0.3">
      <c r="A11502" s="8" t="s">
        <v>22961</v>
      </c>
      <c r="B11502" s="8" t="s">
        <v>65104</v>
      </c>
      <c r="C11502" s="8" t="s">
        <v>22962</v>
      </c>
      <c r="D11502" s="8"/>
      <c r="E11502" s="6"/>
      <c r="F11502" s="6"/>
    </row>
    <row r="11503" spans="1:6" x14ac:dyDescent="0.3">
      <c r="A11503" s="8" t="s">
        <v>22963</v>
      </c>
      <c r="B11503" s="8" t="s">
        <v>65105</v>
      </c>
      <c r="C11503" s="8" t="s">
        <v>22964</v>
      </c>
      <c r="D11503" s="8"/>
      <c r="E11503" s="6"/>
      <c r="F11503" s="6"/>
    </row>
    <row r="11504" spans="1:6" x14ac:dyDescent="0.3">
      <c r="A11504" s="8" t="s">
        <v>22965</v>
      </c>
      <c r="B11504" s="8" t="s">
        <v>65106</v>
      </c>
      <c r="C11504" s="8" t="s">
        <v>22966</v>
      </c>
      <c r="D11504" s="8"/>
      <c r="E11504" s="6"/>
      <c r="F11504" s="6"/>
    </row>
    <row r="11505" spans="1:6" x14ac:dyDescent="0.3">
      <c r="A11505" s="8" t="s">
        <v>22967</v>
      </c>
      <c r="B11505" s="8" t="s">
        <v>65107</v>
      </c>
      <c r="C11505" s="8" t="s">
        <v>22968</v>
      </c>
      <c r="D11505" s="8"/>
      <c r="E11505" s="6"/>
      <c r="F11505" s="6"/>
    </row>
    <row r="11506" spans="1:6" x14ac:dyDescent="0.3">
      <c r="A11506" s="8" t="s">
        <v>22969</v>
      </c>
      <c r="B11506" s="8" t="s">
        <v>65108</v>
      </c>
      <c r="C11506" s="8" t="s">
        <v>22970</v>
      </c>
      <c r="D11506" s="8"/>
      <c r="E11506" s="6"/>
      <c r="F11506" s="6"/>
    </row>
    <row r="11507" spans="1:6" x14ac:dyDescent="0.3">
      <c r="A11507" s="8" t="s">
        <v>22971</v>
      </c>
      <c r="B11507" s="8" t="s">
        <v>65109</v>
      </c>
      <c r="C11507" s="8" t="s">
        <v>22972</v>
      </c>
      <c r="D11507" s="8"/>
      <c r="E11507" s="6"/>
      <c r="F11507" s="6"/>
    </row>
    <row r="11508" spans="1:6" x14ac:dyDescent="0.3">
      <c r="A11508" s="8" t="s">
        <v>22973</v>
      </c>
      <c r="B11508" s="8" t="s">
        <v>65110</v>
      </c>
      <c r="C11508" s="8" t="s">
        <v>22974</v>
      </c>
      <c r="D11508" s="8"/>
      <c r="E11508" s="6"/>
      <c r="F11508" s="6"/>
    </row>
    <row r="11509" spans="1:6" x14ac:dyDescent="0.3">
      <c r="A11509" s="8" t="s">
        <v>22975</v>
      </c>
      <c r="B11509" s="8" t="s">
        <v>65111</v>
      </c>
      <c r="C11509" s="8" t="s">
        <v>22976</v>
      </c>
      <c r="D11509" s="8"/>
      <c r="E11509" s="6"/>
      <c r="F11509" s="6"/>
    </row>
    <row r="11510" spans="1:6" x14ac:dyDescent="0.3">
      <c r="A11510" s="8" t="s">
        <v>22977</v>
      </c>
      <c r="B11510" s="8" t="s">
        <v>65112</v>
      </c>
      <c r="C11510" s="8" t="s">
        <v>22978</v>
      </c>
      <c r="D11510" s="8"/>
      <c r="E11510" s="6"/>
      <c r="F11510" s="6"/>
    </row>
    <row r="11511" spans="1:6" x14ac:dyDescent="0.3">
      <c r="A11511" s="8" t="s">
        <v>22979</v>
      </c>
      <c r="B11511" s="8" t="s">
        <v>65113</v>
      </c>
      <c r="C11511" s="8" t="s">
        <v>22980</v>
      </c>
      <c r="D11511" s="8"/>
      <c r="E11511" s="6"/>
      <c r="F11511" s="6"/>
    </row>
    <row r="11512" spans="1:6" x14ac:dyDescent="0.3">
      <c r="A11512" s="8" t="s">
        <v>22981</v>
      </c>
      <c r="B11512" s="8" t="s">
        <v>65114</v>
      </c>
      <c r="C11512" s="8" t="s">
        <v>22982</v>
      </c>
      <c r="D11512" s="8"/>
      <c r="E11512" s="6"/>
      <c r="F11512" s="6"/>
    </row>
    <row r="11513" spans="1:6" x14ac:dyDescent="0.3">
      <c r="A11513" s="8" t="s">
        <v>22983</v>
      </c>
      <c r="B11513" s="8" t="s">
        <v>65115</v>
      </c>
      <c r="C11513" s="8" t="s">
        <v>22984</v>
      </c>
      <c r="D11513" s="8"/>
      <c r="E11513" s="6"/>
      <c r="F11513" s="6"/>
    </row>
    <row r="11514" spans="1:6" x14ac:dyDescent="0.3">
      <c r="A11514" s="8" t="s">
        <v>22985</v>
      </c>
      <c r="B11514" s="8" t="s">
        <v>65116</v>
      </c>
      <c r="C11514" s="8" t="s">
        <v>22986</v>
      </c>
      <c r="D11514" s="8"/>
      <c r="E11514" s="6"/>
      <c r="F11514" s="6"/>
    </row>
    <row r="11515" spans="1:6" x14ac:dyDescent="0.3">
      <c r="A11515" s="8" t="s">
        <v>22987</v>
      </c>
      <c r="B11515" s="8" t="s">
        <v>65117</v>
      </c>
      <c r="C11515" s="8" t="s">
        <v>22988</v>
      </c>
      <c r="D11515" s="8"/>
      <c r="E11515" s="6"/>
      <c r="F11515" s="6"/>
    </row>
    <row r="11516" spans="1:6" x14ac:dyDescent="0.3">
      <c r="A11516" s="8" t="s">
        <v>22989</v>
      </c>
      <c r="B11516" s="8" t="s">
        <v>65118</v>
      </c>
      <c r="C11516" s="8" t="s">
        <v>22990</v>
      </c>
      <c r="D11516" s="8"/>
      <c r="E11516" s="6"/>
      <c r="F11516" s="6"/>
    </row>
    <row r="11517" spans="1:6" x14ac:dyDescent="0.3">
      <c r="A11517" s="8" t="s">
        <v>22991</v>
      </c>
      <c r="B11517" s="8" t="s">
        <v>65119</v>
      </c>
      <c r="C11517" s="8" t="s">
        <v>22992</v>
      </c>
      <c r="D11517" s="8"/>
      <c r="E11517" s="6"/>
      <c r="F11517" s="6"/>
    </row>
    <row r="11518" spans="1:6" x14ac:dyDescent="0.3">
      <c r="A11518" s="8" t="s">
        <v>22993</v>
      </c>
      <c r="B11518" s="8" t="s">
        <v>65120</v>
      </c>
      <c r="C11518" s="8" t="s">
        <v>22994</v>
      </c>
      <c r="D11518" s="8"/>
      <c r="E11518" s="6"/>
      <c r="F11518" s="6"/>
    </row>
    <row r="11519" spans="1:6" x14ac:dyDescent="0.3">
      <c r="A11519" s="8" t="s">
        <v>22995</v>
      </c>
      <c r="B11519" s="8" t="s">
        <v>65121</v>
      </c>
      <c r="C11519" s="8" t="s">
        <v>22996</v>
      </c>
      <c r="D11519" s="8"/>
      <c r="E11519" s="6"/>
      <c r="F11519" s="6"/>
    </row>
    <row r="11520" spans="1:6" x14ac:dyDescent="0.3">
      <c r="A11520" s="8" t="s">
        <v>22997</v>
      </c>
      <c r="B11520" s="8" t="s">
        <v>65122</v>
      </c>
      <c r="C11520" s="8" t="s">
        <v>22998</v>
      </c>
      <c r="D11520" s="8"/>
      <c r="E11520" s="6"/>
      <c r="F11520" s="6"/>
    </row>
    <row r="11521" spans="1:6" x14ac:dyDescent="0.3">
      <c r="A11521" s="8" t="s">
        <v>22999</v>
      </c>
      <c r="B11521" s="8" t="s">
        <v>65123</v>
      </c>
      <c r="C11521" s="8" t="s">
        <v>23000</v>
      </c>
      <c r="D11521" s="8"/>
      <c r="E11521" s="6"/>
      <c r="F11521" s="6"/>
    </row>
    <row r="11522" spans="1:6" x14ac:dyDescent="0.3">
      <c r="A11522" s="8" t="s">
        <v>23001</v>
      </c>
      <c r="B11522" s="8" t="s">
        <v>65124</v>
      </c>
      <c r="C11522" s="8" t="s">
        <v>23002</v>
      </c>
      <c r="D11522" s="8"/>
      <c r="E11522" s="6"/>
      <c r="F11522" s="6"/>
    </row>
    <row r="11523" spans="1:6" x14ac:dyDescent="0.3">
      <c r="A11523" s="8" t="s">
        <v>23003</v>
      </c>
      <c r="B11523" s="8" t="s">
        <v>65125</v>
      </c>
      <c r="C11523" s="8" t="s">
        <v>23004</v>
      </c>
      <c r="D11523" s="8"/>
      <c r="E11523" s="6"/>
      <c r="F11523" s="6"/>
    </row>
    <row r="11524" spans="1:6" x14ac:dyDescent="0.3">
      <c r="A11524" s="8" t="s">
        <v>23005</v>
      </c>
      <c r="B11524" s="8" t="s">
        <v>65126</v>
      </c>
      <c r="C11524" s="8" t="s">
        <v>23006</v>
      </c>
      <c r="D11524" s="8"/>
      <c r="E11524" s="6"/>
      <c r="F11524" s="6"/>
    </row>
    <row r="11525" spans="1:6" x14ac:dyDescent="0.3">
      <c r="A11525" s="8" t="s">
        <v>23007</v>
      </c>
      <c r="B11525" s="8" t="s">
        <v>65127</v>
      </c>
      <c r="C11525" s="8" t="s">
        <v>23008</v>
      </c>
      <c r="D11525" s="8"/>
      <c r="E11525" s="6"/>
      <c r="F11525" s="6"/>
    </row>
    <row r="11526" spans="1:6" x14ac:dyDescent="0.3">
      <c r="A11526" s="8" t="s">
        <v>23009</v>
      </c>
      <c r="B11526" s="8" t="s">
        <v>65128</v>
      </c>
      <c r="C11526" s="8" t="s">
        <v>23010</v>
      </c>
      <c r="D11526" s="8"/>
      <c r="E11526" s="6"/>
      <c r="F11526" s="6"/>
    </row>
    <row r="11527" spans="1:6" x14ac:dyDescent="0.3">
      <c r="A11527" s="8" t="s">
        <v>23011</v>
      </c>
      <c r="B11527" s="8" t="s">
        <v>65129</v>
      </c>
      <c r="C11527" s="8" t="s">
        <v>23012</v>
      </c>
      <c r="D11527" s="8"/>
      <c r="E11527" s="6"/>
      <c r="F11527" s="6"/>
    </row>
    <row r="11528" spans="1:6" x14ac:dyDescent="0.3">
      <c r="A11528" s="8" t="s">
        <v>23013</v>
      </c>
      <c r="B11528" s="8" t="s">
        <v>65130</v>
      </c>
      <c r="C11528" s="8" t="s">
        <v>23014</v>
      </c>
      <c r="D11528" s="8"/>
      <c r="E11528" s="6"/>
      <c r="F11528" s="6"/>
    </row>
    <row r="11529" spans="1:6" x14ac:dyDescent="0.3">
      <c r="A11529" s="8" t="s">
        <v>23015</v>
      </c>
      <c r="B11529" s="8" t="s">
        <v>65131</v>
      </c>
      <c r="C11529" s="8" t="s">
        <v>23016</v>
      </c>
      <c r="D11529" s="8"/>
      <c r="E11529" s="6"/>
      <c r="F11529" s="6"/>
    </row>
    <row r="11530" spans="1:6" x14ac:dyDescent="0.3">
      <c r="A11530" s="8" t="s">
        <v>23017</v>
      </c>
      <c r="B11530" s="8" t="s">
        <v>65132</v>
      </c>
      <c r="C11530" s="8" t="s">
        <v>23018</v>
      </c>
      <c r="D11530" s="8"/>
      <c r="E11530" s="6"/>
      <c r="F11530" s="6"/>
    </row>
    <row r="11531" spans="1:6" x14ac:dyDescent="0.3">
      <c r="A11531" s="8" t="s">
        <v>23019</v>
      </c>
      <c r="B11531" s="8" t="s">
        <v>65133</v>
      </c>
      <c r="C11531" s="8" t="s">
        <v>23020</v>
      </c>
      <c r="D11531" s="8"/>
      <c r="E11531" s="6"/>
      <c r="F11531" s="6"/>
    </row>
    <row r="11532" spans="1:6" x14ac:dyDescent="0.3">
      <c r="A11532" s="8" t="s">
        <v>23021</v>
      </c>
      <c r="B11532" s="8" t="s">
        <v>65134</v>
      </c>
      <c r="C11532" s="8" t="s">
        <v>23022</v>
      </c>
      <c r="D11532" s="8"/>
      <c r="E11532" s="6"/>
      <c r="F11532" s="6"/>
    </row>
    <row r="11533" spans="1:6" x14ac:dyDescent="0.3">
      <c r="A11533" s="8" t="s">
        <v>23023</v>
      </c>
      <c r="B11533" s="8" t="s">
        <v>65135</v>
      </c>
      <c r="C11533" s="8" t="s">
        <v>23024</v>
      </c>
      <c r="D11533" s="8"/>
      <c r="E11533" s="6"/>
      <c r="F11533" s="6"/>
    </row>
    <row r="11534" spans="1:6" x14ac:dyDescent="0.3">
      <c r="A11534" s="8" t="s">
        <v>23025</v>
      </c>
      <c r="B11534" s="8" t="s">
        <v>65136</v>
      </c>
      <c r="C11534" s="8" t="s">
        <v>23026</v>
      </c>
      <c r="D11534" s="8"/>
      <c r="E11534" s="6"/>
      <c r="F11534" s="6"/>
    </row>
    <row r="11535" spans="1:6" x14ac:dyDescent="0.3">
      <c r="A11535" s="8" t="s">
        <v>23027</v>
      </c>
      <c r="B11535" s="8" t="s">
        <v>65137</v>
      </c>
      <c r="C11535" s="8" t="s">
        <v>23028</v>
      </c>
      <c r="D11535" s="8"/>
      <c r="E11535" s="6"/>
      <c r="F11535" s="6"/>
    </row>
    <row r="11536" spans="1:6" x14ac:dyDescent="0.3">
      <c r="A11536" s="8" t="s">
        <v>23029</v>
      </c>
      <c r="B11536" s="8" t="s">
        <v>65138</v>
      </c>
      <c r="C11536" s="8" t="s">
        <v>23030</v>
      </c>
      <c r="D11536" s="8"/>
      <c r="E11536" s="6"/>
      <c r="F11536" s="6"/>
    </row>
    <row r="11537" spans="1:6" x14ac:dyDescent="0.3">
      <c r="A11537" s="8" t="s">
        <v>23031</v>
      </c>
      <c r="B11537" s="8" t="s">
        <v>65139</v>
      </c>
      <c r="C11537" s="8" t="s">
        <v>23032</v>
      </c>
      <c r="D11537" s="8"/>
      <c r="E11537" s="6"/>
      <c r="F11537" s="6"/>
    </row>
    <row r="11538" spans="1:6" x14ac:dyDescent="0.3">
      <c r="A11538" s="8" t="s">
        <v>23033</v>
      </c>
      <c r="B11538" s="8" t="s">
        <v>65140</v>
      </c>
      <c r="C11538" s="8" t="s">
        <v>23034</v>
      </c>
      <c r="D11538" s="8"/>
      <c r="E11538" s="6"/>
      <c r="F11538" s="6"/>
    </row>
    <row r="11539" spans="1:6" x14ac:dyDescent="0.3">
      <c r="A11539" s="8" t="s">
        <v>23035</v>
      </c>
      <c r="B11539" s="8" t="s">
        <v>65141</v>
      </c>
      <c r="C11539" s="8" t="s">
        <v>23036</v>
      </c>
      <c r="D11539" s="8"/>
      <c r="E11539" s="6"/>
      <c r="F11539" s="6"/>
    </row>
    <row r="11540" spans="1:6" x14ac:dyDescent="0.3">
      <c r="A11540" s="8" t="s">
        <v>23037</v>
      </c>
      <c r="B11540" s="8" t="s">
        <v>65142</v>
      </c>
      <c r="C11540" s="8" t="s">
        <v>23038</v>
      </c>
      <c r="D11540" s="8"/>
      <c r="E11540" s="6"/>
      <c r="F11540" s="6"/>
    </row>
    <row r="11541" spans="1:6" x14ac:dyDescent="0.3">
      <c r="A11541" s="8" t="s">
        <v>23039</v>
      </c>
      <c r="B11541" s="8" t="s">
        <v>65143</v>
      </c>
      <c r="C11541" s="8" t="s">
        <v>23040</v>
      </c>
      <c r="D11541" s="8"/>
      <c r="E11541" s="6"/>
      <c r="F11541" s="6"/>
    </row>
    <row r="11542" spans="1:6" x14ac:dyDescent="0.3">
      <c r="A11542" s="8" t="s">
        <v>23041</v>
      </c>
      <c r="B11542" s="8" t="s">
        <v>65144</v>
      </c>
      <c r="C11542" s="8" t="s">
        <v>23042</v>
      </c>
      <c r="D11542" s="8"/>
      <c r="E11542" s="6"/>
      <c r="F11542" s="6"/>
    </row>
    <row r="11543" spans="1:6" x14ac:dyDescent="0.3">
      <c r="A11543" s="8" t="s">
        <v>23043</v>
      </c>
      <c r="B11543" s="8" t="s">
        <v>65145</v>
      </c>
      <c r="C11543" s="8" t="s">
        <v>23044</v>
      </c>
      <c r="D11543" s="8"/>
      <c r="E11543" s="6"/>
      <c r="F11543" s="6"/>
    </row>
    <row r="11544" spans="1:6" x14ac:dyDescent="0.3">
      <c r="A11544" s="8" t="s">
        <v>23045</v>
      </c>
      <c r="B11544" s="8" t="s">
        <v>65146</v>
      </c>
      <c r="C11544" s="8" t="s">
        <v>23046</v>
      </c>
      <c r="D11544" s="8"/>
      <c r="E11544" s="6"/>
      <c r="F11544" s="6"/>
    </row>
    <row r="11545" spans="1:6" x14ac:dyDescent="0.3">
      <c r="A11545" s="8" t="s">
        <v>23047</v>
      </c>
      <c r="B11545" s="8" t="s">
        <v>65147</v>
      </c>
      <c r="C11545" s="8" t="s">
        <v>23048</v>
      </c>
      <c r="D11545" s="8"/>
      <c r="E11545" s="6"/>
      <c r="F11545" s="6"/>
    </row>
    <row r="11546" spans="1:6" x14ac:dyDescent="0.3">
      <c r="A11546" s="8" t="s">
        <v>23049</v>
      </c>
      <c r="B11546" s="8" t="s">
        <v>65148</v>
      </c>
      <c r="C11546" s="8" t="s">
        <v>23050</v>
      </c>
      <c r="D11546" s="8"/>
      <c r="E11546" s="6"/>
      <c r="F11546" s="6"/>
    </row>
    <row r="11547" spans="1:6" x14ac:dyDescent="0.3">
      <c r="A11547" s="8" t="s">
        <v>23051</v>
      </c>
      <c r="B11547" s="8" t="s">
        <v>65149</v>
      </c>
      <c r="C11547" s="8" t="s">
        <v>23052</v>
      </c>
      <c r="D11547" s="8"/>
      <c r="E11547" s="6"/>
      <c r="F11547" s="6"/>
    </row>
    <row r="11548" spans="1:6" x14ac:dyDescent="0.3">
      <c r="A11548" s="8" t="s">
        <v>23053</v>
      </c>
      <c r="B11548" s="8" t="s">
        <v>65150</v>
      </c>
      <c r="C11548" s="8" t="s">
        <v>23054</v>
      </c>
      <c r="D11548" s="8"/>
      <c r="E11548" s="6"/>
      <c r="F11548" s="6"/>
    </row>
    <row r="11549" spans="1:6" x14ac:dyDescent="0.3">
      <c r="A11549" s="8" t="s">
        <v>23055</v>
      </c>
      <c r="B11549" s="8" t="s">
        <v>65151</v>
      </c>
      <c r="C11549" s="8" t="s">
        <v>23056</v>
      </c>
      <c r="D11549" s="8"/>
      <c r="E11549" s="6"/>
      <c r="F11549" s="6"/>
    </row>
    <row r="11550" spans="1:6" x14ac:dyDescent="0.3">
      <c r="A11550" s="8" t="s">
        <v>23057</v>
      </c>
      <c r="B11550" s="8" t="s">
        <v>65152</v>
      </c>
      <c r="C11550" s="8" t="s">
        <v>23058</v>
      </c>
      <c r="D11550" s="8"/>
      <c r="E11550" s="6"/>
      <c r="F11550" s="6"/>
    </row>
    <row r="11551" spans="1:6" x14ac:dyDescent="0.3">
      <c r="A11551" s="8" t="s">
        <v>23059</v>
      </c>
      <c r="B11551" s="8" t="s">
        <v>65153</v>
      </c>
      <c r="C11551" s="8" t="s">
        <v>23060</v>
      </c>
      <c r="D11551" s="8"/>
      <c r="E11551" s="6"/>
      <c r="F11551" s="6"/>
    </row>
    <row r="11552" spans="1:6" x14ac:dyDescent="0.3">
      <c r="A11552" s="8" t="s">
        <v>23061</v>
      </c>
      <c r="B11552" s="8" t="s">
        <v>65154</v>
      </c>
      <c r="C11552" s="8" t="s">
        <v>23062</v>
      </c>
      <c r="D11552" s="8"/>
      <c r="E11552" s="6"/>
      <c r="F11552" s="6"/>
    </row>
    <row r="11553" spans="1:6" x14ac:dyDescent="0.3">
      <c r="A11553" s="8" t="s">
        <v>23063</v>
      </c>
      <c r="B11553" s="8" t="s">
        <v>65155</v>
      </c>
      <c r="C11553" s="8" t="s">
        <v>23064</v>
      </c>
      <c r="D11553" s="8"/>
      <c r="E11553" s="6"/>
      <c r="F11553" s="6"/>
    </row>
    <row r="11554" spans="1:6" x14ac:dyDescent="0.3">
      <c r="A11554" s="8" t="s">
        <v>23065</v>
      </c>
      <c r="B11554" s="8" t="s">
        <v>65156</v>
      </c>
      <c r="C11554" s="8" t="s">
        <v>23066</v>
      </c>
      <c r="D11554" s="8"/>
      <c r="E11554" s="6"/>
      <c r="F11554" s="6"/>
    </row>
    <row r="11555" spans="1:6" x14ac:dyDescent="0.3">
      <c r="A11555" s="8" t="s">
        <v>23067</v>
      </c>
      <c r="B11555" s="8" t="s">
        <v>65157</v>
      </c>
      <c r="C11555" s="8" t="s">
        <v>23068</v>
      </c>
      <c r="D11555" s="8"/>
      <c r="E11555" s="6"/>
      <c r="F11555" s="6"/>
    </row>
    <row r="11556" spans="1:6" x14ac:dyDescent="0.3">
      <c r="A11556" s="8" t="s">
        <v>23069</v>
      </c>
      <c r="B11556" s="8" t="s">
        <v>65158</v>
      </c>
      <c r="C11556" s="8" t="s">
        <v>23070</v>
      </c>
      <c r="D11556" s="8"/>
      <c r="E11556" s="6"/>
      <c r="F11556" s="6"/>
    </row>
    <row r="11557" spans="1:6" x14ac:dyDescent="0.3">
      <c r="A11557" s="8" t="s">
        <v>23071</v>
      </c>
      <c r="B11557" s="8" t="s">
        <v>65159</v>
      </c>
      <c r="C11557" s="8" t="s">
        <v>23072</v>
      </c>
      <c r="D11557" s="8"/>
      <c r="E11557" s="6"/>
      <c r="F11557" s="6"/>
    </row>
    <row r="11558" spans="1:6" x14ac:dyDescent="0.3">
      <c r="A11558" s="8" t="s">
        <v>23073</v>
      </c>
      <c r="B11558" s="8" t="s">
        <v>65160</v>
      </c>
      <c r="C11558" s="8" t="s">
        <v>23074</v>
      </c>
      <c r="D11558" s="8"/>
      <c r="E11558" s="6"/>
      <c r="F11558" s="6"/>
    </row>
    <row r="11559" spans="1:6" x14ac:dyDescent="0.3">
      <c r="A11559" s="8" t="s">
        <v>23075</v>
      </c>
      <c r="B11559" s="8" t="s">
        <v>65161</v>
      </c>
      <c r="C11559" s="8" t="s">
        <v>23076</v>
      </c>
      <c r="D11559" s="8"/>
      <c r="E11559" s="6"/>
      <c r="F11559" s="6"/>
    </row>
    <row r="11560" spans="1:6" x14ac:dyDescent="0.3">
      <c r="A11560" s="8" t="s">
        <v>23077</v>
      </c>
      <c r="B11560" s="8" t="s">
        <v>65162</v>
      </c>
      <c r="C11560" s="8" t="s">
        <v>23078</v>
      </c>
      <c r="D11560" s="8"/>
      <c r="E11560" s="6"/>
      <c r="F11560" s="6"/>
    </row>
    <row r="11561" spans="1:6" x14ac:dyDescent="0.3">
      <c r="A11561" s="8" t="s">
        <v>23079</v>
      </c>
      <c r="B11561" s="8" t="s">
        <v>65163</v>
      </c>
      <c r="C11561" s="8" t="s">
        <v>23080</v>
      </c>
      <c r="D11561" s="8"/>
      <c r="E11561" s="6"/>
      <c r="F11561" s="6"/>
    </row>
    <row r="11562" spans="1:6" x14ac:dyDescent="0.3">
      <c r="A11562" s="8" t="s">
        <v>23081</v>
      </c>
      <c r="B11562" s="8" t="s">
        <v>65164</v>
      </c>
      <c r="C11562" s="8" t="s">
        <v>23082</v>
      </c>
      <c r="D11562" s="8"/>
      <c r="E11562" s="6"/>
      <c r="F11562" s="6"/>
    </row>
    <row r="11563" spans="1:6" x14ac:dyDescent="0.3">
      <c r="A11563" s="8" t="s">
        <v>23083</v>
      </c>
      <c r="B11563" s="8" t="s">
        <v>65165</v>
      </c>
      <c r="C11563" s="8" t="s">
        <v>23084</v>
      </c>
      <c r="D11563" s="8"/>
      <c r="E11563" s="6"/>
      <c r="F11563" s="6"/>
    </row>
    <row r="11564" spans="1:6" x14ac:dyDescent="0.3">
      <c r="A11564" s="8" t="s">
        <v>23085</v>
      </c>
      <c r="B11564" s="8" t="s">
        <v>65166</v>
      </c>
      <c r="C11564" s="8" t="s">
        <v>23086</v>
      </c>
      <c r="D11564" s="8"/>
      <c r="E11564" s="6"/>
      <c r="F11564" s="6"/>
    </row>
    <row r="11565" spans="1:6" x14ac:dyDescent="0.3">
      <c r="A11565" s="8" t="s">
        <v>23087</v>
      </c>
      <c r="B11565" s="8" t="s">
        <v>65167</v>
      </c>
      <c r="C11565" s="8" t="s">
        <v>23088</v>
      </c>
      <c r="D11565" s="8"/>
      <c r="E11565" s="6"/>
      <c r="F11565" s="6"/>
    </row>
    <row r="11566" spans="1:6" x14ac:dyDescent="0.3">
      <c r="A11566" s="8" t="s">
        <v>23089</v>
      </c>
      <c r="B11566" s="8" t="s">
        <v>65168</v>
      </c>
      <c r="C11566" s="8" t="s">
        <v>23090</v>
      </c>
      <c r="D11566" s="8"/>
      <c r="E11566" s="6"/>
      <c r="F11566" s="6"/>
    </row>
    <row r="11567" spans="1:6" x14ac:dyDescent="0.3">
      <c r="A11567" s="8" t="s">
        <v>23091</v>
      </c>
      <c r="B11567" s="8" t="s">
        <v>65169</v>
      </c>
      <c r="C11567" s="8" t="s">
        <v>23092</v>
      </c>
      <c r="D11567" s="8"/>
      <c r="E11567" s="6"/>
      <c r="F11567" s="6"/>
    </row>
    <row r="11568" spans="1:6" x14ac:dyDescent="0.3">
      <c r="A11568" s="8" t="s">
        <v>23093</v>
      </c>
      <c r="B11568" s="8" t="s">
        <v>65170</v>
      </c>
      <c r="C11568" s="8" t="s">
        <v>23094</v>
      </c>
      <c r="D11568" s="8"/>
      <c r="E11568" s="6"/>
      <c r="F11568" s="6"/>
    </row>
    <row r="11569" spans="1:6" x14ac:dyDescent="0.3">
      <c r="A11569" s="8" t="s">
        <v>23095</v>
      </c>
      <c r="B11569" s="8" t="s">
        <v>65171</v>
      </c>
      <c r="C11569" s="8" t="s">
        <v>23096</v>
      </c>
      <c r="D11569" s="8"/>
      <c r="E11569" s="6"/>
      <c r="F11569" s="6"/>
    </row>
    <row r="11570" spans="1:6" x14ac:dyDescent="0.3">
      <c r="A11570" s="8" t="s">
        <v>23097</v>
      </c>
      <c r="B11570" s="8" t="s">
        <v>65172</v>
      </c>
      <c r="C11570" s="8" t="s">
        <v>23098</v>
      </c>
      <c r="D11570" s="8"/>
      <c r="E11570" s="6"/>
      <c r="F11570" s="6"/>
    </row>
    <row r="11571" spans="1:6" x14ac:dyDescent="0.3">
      <c r="A11571" s="8" t="s">
        <v>23099</v>
      </c>
      <c r="B11571" s="8" t="s">
        <v>65173</v>
      </c>
      <c r="C11571" s="8" t="s">
        <v>23100</v>
      </c>
      <c r="D11571" s="8"/>
      <c r="E11571" s="6"/>
      <c r="F11571" s="6"/>
    </row>
    <row r="11572" spans="1:6" x14ac:dyDescent="0.3">
      <c r="A11572" s="8" t="s">
        <v>23101</v>
      </c>
      <c r="B11572" s="8" t="s">
        <v>65174</v>
      </c>
      <c r="C11572" s="8" t="s">
        <v>23102</v>
      </c>
      <c r="D11572" s="8"/>
      <c r="E11572" s="6"/>
      <c r="F11572" s="6"/>
    </row>
    <row r="11573" spans="1:6" x14ac:dyDescent="0.3">
      <c r="A11573" s="8" t="s">
        <v>23103</v>
      </c>
      <c r="B11573" s="8" t="s">
        <v>65175</v>
      </c>
      <c r="C11573" s="8" t="s">
        <v>23104</v>
      </c>
      <c r="D11573" s="8"/>
      <c r="E11573" s="6"/>
      <c r="F11573" s="6"/>
    </row>
    <row r="11574" spans="1:6" x14ac:dyDescent="0.3">
      <c r="A11574" s="8" t="s">
        <v>23105</v>
      </c>
      <c r="B11574" s="8" t="s">
        <v>65176</v>
      </c>
      <c r="C11574" s="8" t="s">
        <v>23106</v>
      </c>
      <c r="D11574" s="8"/>
      <c r="E11574" s="6"/>
      <c r="F11574" s="6"/>
    </row>
    <row r="11575" spans="1:6" x14ac:dyDescent="0.3">
      <c r="A11575" s="8" t="s">
        <v>23107</v>
      </c>
      <c r="B11575" s="8" t="s">
        <v>65177</v>
      </c>
      <c r="C11575" s="8" t="s">
        <v>23108</v>
      </c>
      <c r="D11575" s="8"/>
      <c r="E11575" s="6"/>
      <c r="F11575" s="6"/>
    </row>
    <row r="11576" spans="1:6" x14ac:dyDescent="0.3">
      <c r="A11576" s="8" t="s">
        <v>23109</v>
      </c>
      <c r="B11576" s="8" t="s">
        <v>65178</v>
      </c>
      <c r="C11576" s="8" t="s">
        <v>23110</v>
      </c>
      <c r="D11576" s="8"/>
      <c r="E11576" s="6"/>
      <c r="F11576" s="6"/>
    </row>
    <row r="11577" spans="1:6" x14ac:dyDescent="0.3">
      <c r="A11577" s="8" t="s">
        <v>23111</v>
      </c>
      <c r="B11577" s="8" t="s">
        <v>65179</v>
      </c>
      <c r="C11577" s="8" t="s">
        <v>23112</v>
      </c>
      <c r="D11577" s="8"/>
      <c r="E11577" s="6"/>
      <c r="F11577" s="6"/>
    </row>
    <row r="11578" spans="1:6" x14ac:dyDescent="0.3">
      <c r="A11578" s="8" t="s">
        <v>23113</v>
      </c>
      <c r="B11578" s="8" t="s">
        <v>65180</v>
      </c>
      <c r="C11578" s="8" t="s">
        <v>23114</v>
      </c>
      <c r="D11578" s="8"/>
      <c r="E11578" s="6"/>
      <c r="F11578" s="6"/>
    </row>
    <row r="11579" spans="1:6" x14ac:dyDescent="0.3">
      <c r="A11579" s="8" t="s">
        <v>23115</v>
      </c>
      <c r="B11579" s="8" t="s">
        <v>65181</v>
      </c>
      <c r="C11579" s="8" t="s">
        <v>23116</v>
      </c>
      <c r="D11579" s="8"/>
      <c r="E11579" s="6"/>
      <c r="F11579" s="6"/>
    </row>
    <row r="11580" spans="1:6" x14ac:dyDescent="0.3">
      <c r="A11580" s="8" t="s">
        <v>23117</v>
      </c>
      <c r="B11580" s="8" t="s">
        <v>65182</v>
      </c>
      <c r="C11580" s="8" t="s">
        <v>23118</v>
      </c>
      <c r="D11580" s="8"/>
      <c r="E11580" s="6"/>
      <c r="F11580" s="6"/>
    </row>
    <row r="11581" spans="1:6" x14ac:dyDescent="0.3">
      <c r="A11581" s="8" t="s">
        <v>23119</v>
      </c>
      <c r="B11581" s="8" t="s">
        <v>65183</v>
      </c>
      <c r="C11581" s="8" t="s">
        <v>23120</v>
      </c>
      <c r="D11581" s="8"/>
      <c r="E11581" s="6"/>
      <c r="F11581" s="6"/>
    </row>
    <row r="11582" spans="1:6" x14ac:dyDescent="0.3">
      <c r="A11582" s="8" t="s">
        <v>23121</v>
      </c>
      <c r="B11582" s="8" t="s">
        <v>65184</v>
      </c>
      <c r="C11582" s="8" t="s">
        <v>23122</v>
      </c>
      <c r="D11582" s="8"/>
      <c r="E11582" s="6"/>
      <c r="F11582" s="6"/>
    </row>
    <row r="11583" spans="1:6" x14ac:dyDescent="0.3">
      <c r="A11583" s="8" t="s">
        <v>23123</v>
      </c>
      <c r="B11583" s="8" t="s">
        <v>65185</v>
      </c>
      <c r="C11583" s="8" t="s">
        <v>23124</v>
      </c>
      <c r="D11583" s="8"/>
      <c r="E11583" s="6"/>
      <c r="F11583" s="6"/>
    </row>
    <row r="11584" spans="1:6" x14ac:dyDescent="0.3">
      <c r="A11584" s="8" t="s">
        <v>23125</v>
      </c>
      <c r="B11584" s="8" t="s">
        <v>65186</v>
      </c>
      <c r="C11584" s="8" t="s">
        <v>23126</v>
      </c>
      <c r="D11584" s="8"/>
      <c r="E11584" s="6"/>
      <c r="F11584" s="6"/>
    </row>
    <row r="11585" spans="1:6" x14ac:dyDescent="0.3">
      <c r="A11585" s="8" t="s">
        <v>23127</v>
      </c>
      <c r="B11585" s="8" t="s">
        <v>65187</v>
      </c>
      <c r="C11585" s="8" t="s">
        <v>23128</v>
      </c>
      <c r="D11585" s="8"/>
      <c r="E11585" s="6"/>
      <c r="F11585" s="6"/>
    </row>
    <row r="11586" spans="1:6" x14ac:dyDescent="0.3">
      <c r="A11586" s="8" t="s">
        <v>23129</v>
      </c>
      <c r="B11586" s="8" t="s">
        <v>65188</v>
      </c>
      <c r="C11586" s="8" t="s">
        <v>23130</v>
      </c>
      <c r="D11586" s="8"/>
      <c r="E11586" s="6"/>
      <c r="F11586" s="6"/>
    </row>
    <row r="11587" spans="1:6" x14ac:dyDescent="0.3">
      <c r="A11587" s="8" t="s">
        <v>23131</v>
      </c>
      <c r="B11587" s="8" t="s">
        <v>65189</v>
      </c>
      <c r="C11587" s="8" t="s">
        <v>23132</v>
      </c>
      <c r="D11587" s="8"/>
      <c r="E11587" s="6"/>
      <c r="F11587" s="6"/>
    </row>
    <row r="11588" spans="1:6" x14ac:dyDescent="0.3">
      <c r="A11588" s="8" t="s">
        <v>23133</v>
      </c>
      <c r="B11588" s="8" t="s">
        <v>65190</v>
      </c>
      <c r="C11588" s="8" t="s">
        <v>23134</v>
      </c>
      <c r="D11588" s="8"/>
      <c r="E11588" s="6"/>
      <c r="F11588" s="6"/>
    </row>
    <row r="11589" spans="1:6" x14ac:dyDescent="0.3">
      <c r="A11589" s="8" t="s">
        <v>23135</v>
      </c>
      <c r="B11589" s="8" t="s">
        <v>65191</v>
      </c>
      <c r="C11589" s="8" t="s">
        <v>23136</v>
      </c>
      <c r="D11589" s="8"/>
      <c r="E11589" s="6"/>
      <c r="F11589" s="6"/>
    </row>
    <row r="11590" spans="1:6" x14ac:dyDescent="0.3">
      <c r="A11590" s="8" t="s">
        <v>23137</v>
      </c>
      <c r="B11590" s="8" t="s">
        <v>65192</v>
      </c>
      <c r="C11590" s="8" t="s">
        <v>23138</v>
      </c>
      <c r="D11590" s="8"/>
      <c r="E11590" s="6"/>
      <c r="F11590" s="6"/>
    </row>
    <row r="11591" spans="1:6" x14ac:dyDescent="0.3">
      <c r="A11591" s="8" t="s">
        <v>23139</v>
      </c>
      <c r="B11591" s="8" t="s">
        <v>65193</v>
      </c>
      <c r="C11591" s="8" t="s">
        <v>23140</v>
      </c>
      <c r="D11591" s="8"/>
      <c r="E11591" s="6"/>
      <c r="F11591" s="6"/>
    </row>
    <row r="11592" spans="1:6" x14ac:dyDescent="0.3">
      <c r="A11592" s="8" t="s">
        <v>23141</v>
      </c>
      <c r="B11592" s="8" t="s">
        <v>65194</v>
      </c>
      <c r="C11592" s="8" t="s">
        <v>23142</v>
      </c>
      <c r="D11592" s="8"/>
      <c r="E11592" s="6"/>
      <c r="F11592" s="6"/>
    </row>
    <row r="11593" spans="1:6" x14ac:dyDescent="0.3">
      <c r="A11593" s="8" t="s">
        <v>23143</v>
      </c>
      <c r="B11593" s="8" t="s">
        <v>65195</v>
      </c>
      <c r="C11593" s="8" t="s">
        <v>23144</v>
      </c>
      <c r="D11593" s="8"/>
      <c r="E11593" s="6"/>
      <c r="F11593" s="6"/>
    </row>
    <row r="11594" spans="1:6" x14ac:dyDescent="0.3">
      <c r="A11594" s="8" t="s">
        <v>23145</v>
      </c>
      <c r="B11594" s="8" t="s">
        <v>65196</v>
      </c>
      <c r="C11594" s="8" t="s">
        <v>23146</v>
      </c>
      <c r="D11594" s="8"/>
      <c r="E11594" s="6"/>
      <c r="F11594" s="6"/>
    </row>
    <row r="11595" spans="1:6" x14ac:dyDescent="0.3">
      <c r="A11595" s="8" t="s">
        <v>23147</v>
      </c>
      <c r="B11595" s="8" t="s">
        <v>65197</v>
      </c>
      <c r="C11595" s="8" t="s">
        <v>23148</v>
      </c>
      <c r="D11595" s="8"/>
      <c r="E11595" s="6"/>
      <c r="F11595" s="6"/>
    </row>
    <row r="11596" spans="1:6" x14ac:dyDescent="0.3">
      <c r="A11596" s="8" t="s">
        <v>23149</v>
      </c>
      <c r="B11596" s="8" t="s">
        <v>65198</v>
      </c>
      <c r="C11596" s="8" t="s">
        <v>23150</v>
      </c>
      <c r="D11596" s="8"/>
      <c r="E11596" s="6"/>
      <c r="F11596" s="6"/>
    </row>
    <row r="11597" spans="1:6" x14ac:dyDescent="0.3">
      <c r="A11597" s="8" t="s">
        <v>23151</v>
      </c>
      <c r="B11597" s="8" t="s">
        <v>65199</v>
      </c>
      <c r="C11597" s="8" t="s">
        <v>23152</v>
      </c>
      <c r="D11597" s="8"/>
      <c r="E11597" s="6"/>
      <c r="F11597" s="6"/>
    </row>
    <row r="11598" spans="1:6" x14ac:dyDescent="0.3">
      <c r="A11598" s="8" t="s">
        <v>23153</v>
      </c>
      <c r="B11598" s="8" t="s">
        <v>65200</v>
      </c>
      <c r="C11598" s="8" t="s">
        <v>23154</v>
      </c>
      <c r="D11598" s="8"/>
      <c r="E11598" s="6"/>
      <c r="F11598" s="6"/>
    </row>
    <row r="11599" spans="1:6" x14ac:dyDescent="0.3">
      <c r="A11599" s="8" t="s">
        <v>23155</v>
      </c>
      <c r="B11599" s="8" t="s">
        <v>65201</v>
      </c>
      <c r="C11599" s="8" t="s">
        <v>23156</v>
      </c>
      <c r="D11599" s="8"/>
      <c r="E11599" s="6"/>
      <c r="F11599" s="6"/>
    </row>
    <row r="11600" spans="1:6" x14ac:dyDescent="0.3">
      <c r="A11600" s="8" t="s">
        <v>23157</v>
      </c>
      <c r="B11600" s="8" t="s">
        <v>65202</v>
      </c>
      <c r="C11600" s="8" t="s">
        <v>23158</v>
      </c>
      <c r="D11600" s="8"/>
      <c r="E11600" s="6"/>
      <c r="F11600" s="6"/>
    </row>
    <row r="11601" spans="1:6" x14ac:dyDescent="0.3">
      <c r="A11601" s="8" t="s">
        <v>23159</v>
      </c>
      <c r="B11601" s="8" t="s">
        <v>65203</v>
      </c>
      <c r="C11601" s="8" t="s">
        <v>23160</v>
      </c>
      <c r="D11601" s="8"/>
      <c r="E11601" s="6"/>
      <c r="F11601" s="6"/>
    </row>
    <row r="11602" spans="1:6" x14ac:dyDescent="0.3">
      <c r="A11602" s="8" t="s">
        <v>23161</v>
      </c>
      <c r="B11602" s="8" t="s">
        <v>65204</v>
      </c>
      <c r="C11602" s="8" t="s">
        <v>23162</v>
      </c>
      <c r="D11602" s="8"/>
      <c r="E11602" s="6"/>
      <c r="F11602" s="6"/>
    </row>
    <row r="11603" spans="1:6" x14ac:dyDescent="0.3">
      <c r="A11603" s="8" t="s">
        <v>23163</v>
      </c>
      <c r="B11603" s="8" t="s">
        <v>65205</v>
      </c>
      <c r="C11603" s="8" t="s">
        <v>23164</v>
      </c>
      <c r="D11603" s="8"/>
      <c r="E11603" s="6"/>
      <c r="F11603" s="6"/>
    </row>
    <row r="11604" spans="1:6" x14ac:dyDescent="0.3">
      <c r="A11604" s="8" t="s">
        <v>23165</v>
      </c>
      <c r="B11604" s="8" t="s">
        <v>65206</v>
      </c>
      <c r="C11604" s="8" t="s">
        <v>23166</v>
      </c>
      <c r="D11604" s="8"/>
      <c r="E11604" s="6"/>
      <c r="F11604" s="6"/>
    </row>
    <row r="11605" spans="1:6" x14ac:dyDescent="0.3">
      <c r="A11605" s="8" t="s">
        <v>23167</v>
      </c>
      <c r="B11605" s="8" t="s">
        <v>65207</v>
      </c>
      <c r="C11605" s="8" t="s">
        <v>23168</v>
      </c>
      <c r="D11605" s="8"/>
      <c r="E11605" s="6"/>
      <c r="F11605" s="6"/>
    </row>
    <row r="11606" spans="1:6" x14ac:dyDescent="0.3">
      <c r="A11606" s="8" t="s">
        <v>23169</v>
      </c>
      <c r="B11606" s="8" t="s">
        <v>65208</v>
      </c>
      <c r="C11606" s="8" t="s">
        <v>23170</v>
      </c>
      <c r="D11606" s="8"/>
      <c r="E11606" s="6"/>
      <c r="F11606" s="6"/>
    </row>
    <row r="11607" spans="1:6" x14ac:dyDescent="0.3">
      <c r="A11607" s="8" t="s">
        <v>23171</v>
      </c>
      <c r="B11607" s="8" t="s">
        <v>65209</v>
      </c>
      <c r="C11607" s="8" t="s">
        <v>23172</v>
      </c>
      <c r="D11607" s="8"/>
      <c r="E11607" s="6"/>
      <c r="F11607" s="6"/>
    </row>
    <row r="11608" spans="1:6" x14ac:dyDescent="0.3">
      <c r="A11608" s="8" t="s">
        <v>23173</v>
      </c>
      <c r="B11608" s="8" t="s">
        <v>65210</v>
      </c>
      <c r="C11608" s="8" t="s">
        <v>23174</v>
      </c>
      <c r="D11608" s="8"/>
      <c r="E11608" s="6"/>
      <c r="F11608" s="6"/>
    </row>
    <row r="11609" spans="1:6" x14ac:dyDescent="0.3">
      <c r="A11609" s="8" t="s">
        <v>23175</v>
      </c>
      <c r="B11609" s="8" t="s">
        <v>65211</v>
      </c>
      <c r="C11609" s="8" t="s">
        <v>23176</v>
      </c>
      <c r="D11609" s="8"/>
      <c r="E11609" s="6"/>
      <c r="F11609" s="6"/>
    </row>
    <row r="11610" spans="1:6" x14ac:dyDescent="0.3">
      <c r="A11610" s="8" t="s">
        <v>23177</v>
      </c>
      <c r="B11610" s="8" t="s">
        <v>65212</v>
      </c>
      <c r="C11610" s="8" t="s">
        <v>23178</v>
      </c>
      <c r="D11610" s="8"/>
      <c r="E11610" s="6"/>
      <c r="F11610" s="6"/>
    </row>
    <row r="11611" spans="1:6" x14ac:dyDescent="0.3">
      <c r="A11611" s="8" t="s">
        <v>23179</v>
      </c>
      <c r="B11611" s="8" t="s">
        <v>65213</v>
      </c>
      <c r="C11611" s="8" t="s">
        <v>23180</v>
      </c>
      <c r="D11611" s="8"/>
      <c r="E11611" s="6"/>
      <c r="F11611" s="6"/>
    </row>
    <row r="11612" spans="1:6" x14ac:dyDescent="0.3">
      <c r="A11612" s="8" t="s">
        <v>23181</v>
      </c>
      <c r="B11612" s="8" t="s">
        <v>65214</v>
      </c>
      <c r="C11612" s="8" t="s">
        <v>23182</v>
      </c>
      <c r="D11612" s="8"/>
      <c r="E11612" s="6"/>
      <c r="F11612" s="6"/>
    </row>
    <row r="11613" spans="1:6" x14ac:dyDescent="0.3">
      <c r="A11613" s="8" t="s">
        <v>23183</v>
      </c>
      <c r="B11613" s="8" t="s">
        <v>65215</v>
      </c>
      <c r="C11613" s="8" t="s">
        <v>23184</v>
      </c>
      <c r="D11613" s="8"/>
      <c r="E11613" s="6"/>
      <c r="F11613" s="6"/>
    </row>
    <row r="11614" spans="1:6" x14ac:dyDescent="0.3">
      <c r="A11614" s="8" t="s">
        <v>23185</v>
      </c>
      <c r="B11614" s="8" t="s">
        <v>65216</v>
      </c>
      <c r="C11614" s="8" t="s">
        <v>23186</v>
      </c>
      <c r="D11614" s="8"/>
      <c r="E11614" s="6"/>
      <c r="F11614" s="6"/>
    </row>
    <row r="11615" spans="1:6" x14ac:dyDescent="0.3">
      <c r="A11615" s="8" t="s">
        <v>23187</v>
      </c>
      <c r="B11615" s="8" t="s">
        <v>65217</v>
      </c>
      <c r="C11615" s="8" t="s">
        <v>23188</v>
      </c>
      <c r="D11615" s="8"/>
      <c r="E11615" s="6"/>
      <c r="F11615" s="6"/>
    </row>
    <row r="11616" spans="1:6" x14ac:dyDescent="0.3">
      <c r="A11616" s="8" t="s">
        <v>23189</v>
      </c>
      <c r="B11616" s="8" t="s">
        <v>65218</v>
      </c>
      <c r="C11616" s="8" t="s">
        <v>23190</v>
      </c>
      <c r="D11616" s="8"/>
      <c r="E11616" s="6"/>
      <c r="F11616" s="6"/>
    </row>
    <row r="11617" spans="1:6" x14ac:dyDescent="0.3">
      <c r="A11617" s="8" t="s">
        <v>23191</v>
      </c>
      <c r="B11617" s="8" t="s">
        <v>65219</v>
      </c>
      <c r="C11617" s="8" t="s">
        <v>23192</v>
      </c>
      <c r="D11617" s="8"/>
      <c r="E11617" s="6"/>
      <c r="F11617" s="6"/>
    </row>
    <row r="11618" spans="1:6" x14ac:dyDescent="0.3">
      <c r="A11618" s="8" t="s">
        <v>23193</v>
      </c>
      <c r="B11618" s="8" t="s">
        <v>65220</v>
      </c>
      <c r="C11618" s="8" t="s">
        <v>23194</v>
      </c>
      <c r="D11618" s="8"/>
      <c r="E11618" s="6"/>
      <c r="F11618" s="6"/>
    </row>
    <row r="11619" spans="1:6" x14ac:dyDescent="0.3">
      <c r="A11619" s="8" t="s">
        <v>23195</v>
      </c>
      <c r="B11619" s="8" t="s">
        <v>65221</v>
      </c>
      <c r="C11619" s="8" t="s">
        <v>23196</v>
      </c>
      <c r="D11619" s="8"/>
      <c r="E11619" s="6"/>
      <c r="F11619" s="6"/>
    </row>
    <row r="11620" spans="1:6" x14ac:dyDescent="0.3">
      <c r="A11620" s="8" t="s">
        <v>23197</v>
      </c>
      <c r="B11620" s="8" t="s">
        <v>65222</v>
      </c>
      <c r="C11620" s="8" t="s">
        <v>23198</v>
      </c>
      <c r="D11620" s="8"/>
      <c r="E11620" s="6"/>
      <c r="F11620" s="6"/>
    </row>
    <row r="11621" spans="1:6" x14ac:dyDescent="0.3">
      <c r="A11621" s="8" t="s">
        <v>23199</v>
      </c>
      <c r="B11621" s="8" t="s">
        <v>65223</v>
      </c>
      <c r="C11621" s="8" t="s">
        <v>23200</v>
      </c>
      <c r="D11621" s="8"/>
      <c r="E11621" s="6"/>
      <c r="F11621" s="6"/>
    </row>
    <row r="11622" spans="1:6" x14ac:dyDescent="0.3">
      <c r="A11622" s="8" t="s">
        <v>23201</v>
      </c>
      <c r="B11622" s="8" t="s">
        <v>65224</v>
      </c>
      <c r="C11622" s="8" t="s">
        <v>23202</v>
      </c>
      <c r="D11622" s="8"/>
      <c r="E11622" s="6"/>
      <c r="F11622" s="6"/>
    </row>
    <row r="11623" spans="1:6" x14ac:dyDescent="0.3">
      <c r="A11623" s="8" t="s">
        <v>23203</v>
      </c>
      <c r="B11623" s="8" t="s">
        <v>65225</v>
      </c>
      <c r="C11623" s="8" t="s">
        <v>23204</v>
      </c>
      <c r="D11623" s="8"/>
      <c r="E11623" s="6"/>
      <c r="F11623" s="6"/>
    </row>
    <row r="11624" spans="1:6" x14ac:dyDescent="0.3">
      <c r="A11624" s="8" t="s">
        <v>23205</v>
      </c>
      <c r="B11624" s="8" t="s">
        <v>65226</v>
      </c>
      <c r="C11624" s="8" t="s">
        <v>23206</v>
      </c>
      <c r="D11624" s="8"/>
      <c r="E11624" s="6"/>
      <c r="F11624" s="6"/>
    </row>
    <row r="11625" spans="1:6" x14ac:dyDescent="0.3">
      <c r="A11625" s="8" t="s">
        <v>23207</v>
      </c>
      <c r="B11625" s="8" t="s">
        <v>65227</v>
      </c>
      <c r="C11625" s="8" t="s">
        <v>23208</v>
      </c>
      <c r="D11625" s="8"/>
      <c r="E11625" s="6"/>
      <c r="F11625" s="6"/>
    </row>
    <row r="11626" spans="1:6" x14ac:dyDescent="0.3">
      <c r="A11626" s="8" t="s">
        <v>23209</v>
      </c>
      <c r="B11626" s="8" t="s">
        <v>65228</v>
      </c>
      <c r="C11626" s="8" t="s">
        <v>23210</v>
      </c>
      <c r="D11626" s="8"/>
      <c r="E11626" s="6"/>
      <c r="F11626" s="6"/>
    </row>
    <row r="11627" spans="1:6" x14ac:dyDescent="0.3">
      <c r="A11627" s="8" t="s">
        <v>23211</v>
      </c>
      <c r="B11627" s="8" t="s">
        <v>65229</v>
      </c>
      <c r="C11627" s="8" t="s">
        <v>23212</v>
      </c>
      <c r="D11627" s="8"/>
      <c r="E11627" s="6"/>
      <c r="F11627" s="6"/>
    </row>
    <row r="11628" spans="1:6" x14ac:dyDescent="0.3">
      <c r="A11628" s="8" t="s">
        <v>23213</v>
      </c>
      <c r="B11628" s="8" t="s">
        <v>65230</v>
      </c>
      <c r="C11628" s="8" t="s">
        <v>23214</v>
      </c>
      <c r="D11628" s="8"/>
      <c r="E11628" s="6"/>
      <c r="F11628" s="6"/>
    </row>
    <row r="11629" spans="1:6" x14ac:dyDescent="0.3">
      <c r="A11629" s="8" t="s">
        <v>23215</v>
      </c>
      <c r="B11629" s="8" t="s">
        <v>65231</v>
      </c>
      <c r="C11629" s="8" t="s">
        <v>23216</v>
      </c>
      <c r="D11629" s="8"/>
      <c r="E11629" s="6"/>
      <c r="F11629" s="6"/>
    </row>
    <row r="11630" spans="1:6" x14ac:dyDescent="0.3">
      <c r="A11630" s="8" t="s">
        <v>23217</v>
      </c>
      <c r="B11630" s="8" t="s">
        <v>65232</v>
      </c>
      <c r="C11630" s="8" t="s">
        <v>23218</v>
      </c>
      <c r="D11630" s="8"/>
      <c r="E11630" s="6"/>
      <c r="F11630" s="6"/>
    </row>
    <row r="11631" spans="1:6" x14ac:dyDescent="0.3">
      <c r="A11631" s="8" t="s">
        <v>23219</v>
      </c>
      <c r="B11631" s="8" t="s">
        <v>65233</v>
      </c>
      <c r="C11631" s="8" t="s">
        <v>23220</v>
      </c>
      <c r="D11631" s="8"/>
      <c r="E11631" s="6"/>
      <c r="F11631" s="6"/>
    </row>
    <row r="11632" spans="1:6" x14ac:dyDescent="0.3">
      <c r="A11632" s="8" t="s">
        <v>23221</v>
      </c>
      <c r="B11632" s="8" t="s">
        <v>65234</v>
      </c>
      <c r="C11632" s="8" t="s">
        <v>23222</v>
      </c>
      <c r="D11632" s="8"/>
      <c r="E11632" s="6"/>
      <c r="F11632" s="6"/>
    </row>
    <row r="11633" spans="1:6" x14ac:dyDescent="0.3">
      <c r="A11633" s="8" t="s">
        <v>23223</v>
      </c>
      <c r="B11633" s="8" t="s">
        <v>65235</v>
      </c>
      <c r="C11633" s="8" t="s">
        <v>23224</v>
      </c>
      <c r="D11633" s="8"/>
      <c r="E11633" s="6"/>
      <c r="F11633" s="6"/>
    </row>
    <row r="11634" spans="1:6" x14ac:dyDescent="0.3">
      <c r="A11634" s="8" t="s">
        <v>23225</v>
      </c>
      <c r="B11634" s="8" t="s">
        <v>65236</v>
      </c>
      <c r="C11634" s="8" t="s">
        <v>23226</v>
      </c>
      <c r="D11634" s="8"/>
      <c r="E11634" s="6"/>
      <c r="F11634" s="6"/>
    </row>
    <row r="11635" spans="1:6" x14ac:dyDescent="0.3">
      <c r="A11635" s="8" t="s">
        <v>23227</v>
      </c>
      <c r="B11635" s="8" t="s">
        <v>65237</v>
      </c>
      <c r="C11635" s="8" t="s">
        <v>23228</v>
      </c>
      <c r="D11635" s="8"/>
      <c r="E11635" s="6"/>
      <c r="F11635" s="6"/>
    </row>
    <row r="11636" spans="1:6" x14ac:dyDescent="0.3">
      <c r="A11636" s="8" t="s">
        <v>23229</v>
      </c>
      <c r="B11636" s="8" t="s">
        <v>65238</v>
      </c>
      <c r="C11636" s="8" t="s">
        <v>23230</v>
      </c>
      <c r="D11636" s="8"/>
      <c r="E11636" s="6"/>
      <c r="F11636" s="6"/>
    </row>
    <row r="11637" spans="1:6" x14ac:dyDescent="0.3">
      <c r="A11637" s="8" t="s">
        <v>23231</v>
      </c>
      <c r="B11637" s="8" t="s">
        <v>65239</v>
      </c>
      <c r="C11637" s="8" t="s">
        <v>23232</v>
      </c>
      <c r="D11637" s="8"/>
      <c r="E11637" s="6"/>
      <c r="F11637" s="6"/>
    </row>
    <row r="11638" spans="1:6" x14ac:dyDescent="0.3">
      <c r="A11638" s="8" t="s">
        <v>23233</v>
      </c>
      <c r="B11638" s="8" t="s">
        <v>65240</v>
      </c>
      <c r="C11638" s="8" t="s">
        <v>23234</v>
      </c>
      <c r="D11638" s="8"/>
      <c r="E11638" s="6"/>
      <c r="F11638" s="6"/>
    </row>
    <row r="11639" spans="1:6" x14ac:dyDescent="0.3">
      <c r="A11639" s="8" t="s">
        <v>23235</v>
      </c>
      <c r="B11639" s="8" t="s">
        <v>65241</v>
      </c>
      <c r="C11639" s="8" t="s">
        <v>23236</v>
      </c>
      <c r="D11639" s="8"/>
      <c r="E11639" s="6"/>
      <c r="F11639" s="6"/>
    </row>
    <row r="11640" spans="1:6" x14ac:dyDescent="0.3">
      <c r="A11640" s="8" t="s">
        <v>23237</v>
      </c>
      <c r="B11640" s="8" t="s">
        <v>65242</v>
      </c>
      <c r="C11640" s="8" t="s">
        <v>23238</v>
      </c>
      <c r="D11640" s="8"/>
      <c r="E11640" s="6"/>
      <c r="F11640" s="6"/>
    </row>
    <row r="11641" spans="1:6" x14ac:dyDescent="0.3">
      <c r="A11641" s="8" t="s">
        <v>23239</v>
      </c>
      <c r="B11641" s="8" t="s">
        <v>65243</v>
      </c>
      <c r="C11641" s="8" t="s">
        <v>23240</v>
      </c>
      <c r="D11641" s="8"/>
      <c r="E11641" s="6"/>
      <c r="F11641" s="6"/>
    </row>
    <row r="11642" spans="1:6" x14ac:dyDescent="0.3">
      <c r="A11642" s="8" t="s">
        <v>23241</v>
      </c>
      <c r="B11642" s="8" t="s">
        <v>65244</v>
      </c>
      <c r="C11642" s="8" t="s">
        <v>23242</v>
      </c>
      <c r="D11642" s="8"/>
      <c r="E11642" s="6"/>
      <c r="F11642" s="6"/>
    </row>
    <row r="11643" spans="1:6" x14ac:dyDescent="0.3">
      <c r="A11643" s="8" t="s">
        <v>23243</v>
      </c>
      <c r="B11643" s="8" t="s">
        <v>65245</v>
      </c>
      <c r="C11643" s="8" t="s">
        <v>23244</v>
      </c>
      <c r="D11643" s="8"/>
      <c r="E11643" s="6"/>
      <c r="F11643" s="6"/>
    </row>
    <row r="11644" spans="1:6" x14ac:dyDescent="0.3">
      <c r="A11644" s="8" t="s">
        <v>23245</v>
      </c>
      <c r="B11644" s="8" t="s">
        <v>65246</v>
      </c>
      <c r="C11644" s="8" t="s">
        <v>23246</v>
      </c>
      <c r="D11644" s="8"/>
      <c r="E11644" s="6"/>
      <c r="F11644" s="6"/>
    </row>
    <row r="11645" spans="1:6" x14ac:dyDescent="0.3">
      <c r="A11645" s="8" t="s">
        <v>23247</v>
      </c>
      <c r="B11645" s="8" t="s">
        <v>65247</v>
      </c>
      <c r="C11645" s="8" t="s">
        <v>23248</v>
      </c>
      <c r="D11645" s="8"/>
      <c r="E11645" s="6"/>
      <c r="F11645" s="6"/>
    </row>
    <row r="11646" spans="1:6" x14ac:dyDescent="0.3">
      <c r="A11646" s="8" t="s">
        <v>23249</v>
      </c>
      <c r="B11646" s="8" t="s">
        <v>65248</v>
      </c>
      <c r="C11646" s="8" t="s">
        <v>23250</v>
      </c>
      <c r="D11646" s="8"/>
      <c r="E11646" s="6"/>
      <c r="F11646" s="6"/>
    </row>
    <row r="11647" spans="1:6" x14ac:dyDescent="0.3">
      <c r="A11647" s="8" t="s">
        <v>23251</v>
      </c>
      <c r="B11647" s="8" t="s">
        <v>65249</v>
      </c>
      <c r="C11647" s="8" t="s">
        <v>23252</v>
      </c>
      <c r="D11647" s="8"/>
      <c r="E11647" s="6"/>
      <c r="F11647" s="6"/>
    </row>
    <row r="11648" spans="1:6" x14ac:dyDescent="0.3">
      <c r="A11648" s="8" t="s">
        <v>23253</v>
      </c>
      <c r="B11648" s="8" t="s">
        <v>65250</v>
      </c>
      <c r="C11648" s="8" t="s">
        <v>23254</v>
      </c>
      <c r="D11648" s="8"/>
      <c r="E11648" s="6"/>
      <c r="F11648" s="6"/>
    </row>
    <row r="11649" spans="1:6" x14ac:dyDescent="0.3">
      <c r="A11649" s="8" t="s">
        <v>23255</v>
      </c>
      <c r="B11649" s="8" t="s">
        <v>65251</v>
      </c>
      <c r="C11649" s="8" t="s">
        <v>23256</v>
      </c>
      <c r="D11649" s="8"/>
      <c r="E11649" s="6"/>
      <c r="F11649" s="6"/>
    </row>
    <row r="11650" spans="1:6" x14ac:dyDescent="0.3">
      <c r="A11650" s="8" t="s">
        <v>23257</v>
      </c>
      <c r="B11650" s="8" t="s">
        <v>65252</v>
      </c>
      <c r="C11650" s="8" t="s">
        <v>23258</v>
      </c>
      <c r="D11650" s="8"/>
      <c r="E11650" s="6"/>
      <c r="F11650" s="6"/>
    </row>
    <row r="11651" spans="1:6" x14ac:dyDescent="0.3">
      <c r="A11651" s="8" t="s">
        <v>23259</v>
      </c>
      <c r="B11651" s="8" t="s">
        <v>65253</v>
      </c>
      <c r="C11651" s="8" t="s">
        <v>23260</v>
      </c>
      <c r="D11651" s="8"/>
      <c r="E11651" s="6"/>
      <c r="F11651" s="6"/>
    </row>
    <row r="11652" spans="1:6" x14ac:dyDescent="0.3">
      <c r="A11652" s="8" t="s">
        <v>23261</v>
      </c>
      <c r="B11652" s="8" t="s">
        <v>65254</v>
      </c>
      <c r="C11652" s="8" t="s">
        <v>23262</v>
      </c>
      <c r="D11652" s="8"/>
      <c r="E11652" s="6"/>
      <c r="F11652" s="6"/>
    </row>
    <row r="11653" spans="1:6" x14ac:dyDescent="0.3">
      <c r="A11653" s="8" t="s">
        <v>23263</v>
      </c>
      <c r="B11653" s="8" t="s">
        <v>65255</v>
      </c>
      <c r="C11653" s="8" t="s">
        <v>23264</v>
      </c>
      <c r="D11653" s="8"/>
      <c r="E11653" s="6"/>
      <c r="F11653" s="6"/>
    </row>
    <row r="11654" spans="1:6" x14ac:dyDescent="0.3">
      <c r="A11654" s="8" t="s">
        <v>23265</v>
      </c>
      <c r="B11654" s="8" t="s">
        <v>65256</v>
      </c>
      <c r="C11654" s="8" t="s">
        <v>23266</v>
      </c>
      <c r="D11654" s="8"/>
      <c r="E11654" s="6"/>
      <c r="F11654" s="6"/>
    </row>
    <row r="11655" spans="1:6" x14ac:dyDescent="0.3">
      <c r="A11655" s="8" t="s">
        <v>23267</v>
      </c>
      <c r="B11655" s="8" t="s">
        <v>65257</v>
      </c>
      <c r="C11655" s="8" t="s">
        <v>23268</v>
      </c>
      <c r="D11655" s="8"/>
      <c r="E11655" s="6"/>
      <c r="F11655" s="6"/>
    </row>
    <row r="11656" spans="1:6" x14ac:dyDescent="0.3">
      <c r="A11656" s="8" t="s">
        <v>23269</v>
      </c>
      <c r="B11656" s="8" t="s">
        <v>65258</v>
      </c>
      <c r="C11656" s="8" t="s">
        <v>23270</v>
      </c>
      <c r="D11656" s="8"/>
      <c r="E11656" s="6"/>
      <c r="F11656" s="6"/>
    </row>
    <row r="11657" spans="1:6" x14ac:dyDescent="0.3">
      <c r="A11657" s="8" t="s">
        <v>23271</v>
      </c>
      <c r="B11657" s="8" t="s">
        <v>65259</v>
      </c>
      <c r="C11657" s="8" t="s">
        <v>23272</v>
      </c>
      <c r="D11657" s="8"/>
      <c r="E11657" s="6"/>
      <c r="F11657" s="6"/>
    </row>
    <row r="11658" spans="1:6" x14ac:dyDescent="0.3">
      <c r="A11658" s="8" t="s">
        <v>23273</v>
      </c>
      <c r="B11658" s="8" t="s">
        <v>65260</v>
      </c>
      <c r="C11658" s="8" t="s">
        <v>23274</v>
      </c>
      <c r="D11658" s="8"/>
      <c r="E11658" s="6"/>
      <c r="F11658" s="6"/>
    </row>
    <row r="11659" spans="1:6" x14ac:dyDescent="0.3">
      <c r="A11659" s="8" t="s">
        <v>23275</v>
      </c>
      <c r="B11659" s="8" t="s">
        <v>65261</v>
      </c>
      <c r="C11659" s="8" t="s">
        <v>23276</v>
      </c>
      <c r="D11659" s="8"/>
      <c r="E11659" s="6"/>
      <c r="F11659" s="6"/>
    </row>
    <row r="11660" spans="1:6" x14ac:dyDescent="0.3">
      <c r="A11660" s="8" t="s">
        <v>23277</v>
      </c>
      <c r="B11660" s="8" t="s">
        <v>65262</v>
      </c>
      <c r="C11660" s="8" t="s">
        <v>23278</v>
      </c>
      <c r="D11660" s="8"/>
      <c r="E11660" s="6"/>
      <c r="F11660" s="6"/>
    </row>
    <row r="11661" spans="1:6" x14ac:dyDescent="0.3">
      <c r="A11661" s="8" t="s">
        <v>23279</v>
      </c>
      <c r="B11661" s="8" t="s">
        <v>65263</v>
      </c>
      <c r="C11661" s="8" t="s">
        <v>23280</v>
      </c>
      <c r="D11661" s="8"/>
      <c r="E11661" s="6"/>
      <c r="F11661" s="6"/>
    </row>
    <row r="11662" spans="1:6" x14ac:dyDescent="0.3">
      <c r="A11662" s="8" t="s">
        <v>23281</v>
      </c>
      <c r="B11662" s="8" t="s">
        <v>65264</v>
      </c>
      <c r="C11662" s="8" t="s">
        <v>23282</v>
      </c>
      <c r="D11662" s="8"/>
      <c r="E11662" s="6"/>
      <c r="F11662" s="6"/>
    </row>
    <row r="11663" spans="1:6" x14ac:dyDescent="0.3">
      <c r="A11663" s="8" t="s">
        <v>23283</v>
      </c>
      <c r="B11663" s="8" t="s">
        <v>65265</v>
      </c>
      <c r="C11663" s="8" t="s">
        <v>23284</v>
      </c>
      <c r="D11663" s="8"/>
      <c r="E11663" s="6"/>
      <c r="F11663" s="6"/>
    </row>
    <row r="11664" spans="1:6" x14ac:dyDescent="0.3">
      <c r="A11664" s="8" t="s">
        <v>23285</v>
      </c>
      <c r="B11664" s="8" t="s">
        <v>65266</v>
      </c>
      <c r="C11664" s="8" t="s">
        <v>23286</v>
      </c>
      <c r="D11664" s="8"/>
      <c r="E11664" s="6"/>
      <c r="F11664" s="6"/>
    </row>
    <row r="11665" spans="1:6" x14ac:dyDescent="0.3">
      <c r="A11665" s="8" t="s">
        <v>23287</v>
      </c>
      <c r="B11665" s="8" t="s">
        <v>65267</v>
      </c>
      <c r="C11665" s="8" t="s">
        <v>23288</v>
      </c>
      <c r="D11665" s="8"/>
      <c r="E11665" s="6"/>
      <c r="F11665" s="6"/>
    </row>
    <row r="11666" spans="1:6" x14ac:dyDescent="0.3">
      <c r="A11666" s="8" t="s">
        <v>23289</v>
      </c>
      <c r="B11666" s="8" t="s">
        <v>65268</v>
      </c>
      <c r="C11666" s="8" t="s">
        <v>23290</v>
      </c>
      <c r="D11666" s="8"/>
      <c r="E11666" s="6"/>
      <c r="F11666" s="6"/>
    </row>
    <row r="11667" spans="1:6" x14ac:dyDescent="0.3">
      <c r="A11667" s="8" t="s">
        <v>23291</v>
      </c>
      <c r="B11667" s="8" t="s">
        <v>65269</v>
      </c>
      <c r="C11667" s="8" t="s">
        <v>23292</v>
      </c>
      <c r="D11667" s="8"/>
      <c r="E11667" s="6"/>
      <c r="F11667" s="6"/>
    </row>
    <row r="11668" spans="1:6" x14ac:dyDescent="0.3">
      <c r="A11668" s="8" t="s">
        <v>23293</v>
      </c>
      <c r="B11668" s="8" t="s">
        <v>65270</v>
      </c>
      <c r="C11668" s="8" t="s">
        <v>23294</v>
      </c>
      <c r="D11668" s="8"/>
      <c r="E11668" s="6"/>
      <c r="F11668" s="6"/>
    </row>
    <row r="11669" spans="1:6" x14ac:dyDescent="0.3">
      <c r="A11669" s="8" t="s">
        <v>23295</v>
      </c>
      <c r="B11669" s="8" t="s">
        <v>65271</v>
      </c>
      <c r="C11669" s="8" t="s">
        <v>23296</v>
      </c>
      <c r="D11669" s="8"/>
      <c r="E11669" s="6"/>
      <c r="F11669" s="6"/>
    </row>
    <row r="11670" spans="1:6" x14ac:dyDescent="0.3">
      <c r="A11670" s="8" t="s">
        <v>23297</v>
      </c>
      <c r="B11670" s="8" t="s">
        <v>65272</v>
      </c>
      <c r="C11670" s="8" t="s">
        <v>23298</v>
      </c>
      <c r="D11670" s="8"/>
      <c r="E11670" s="6"/>
      <c r="F11670" s="6"/>
    </row>
    <row r="11671" spans="1:6" x14ac:dyDescent="0.3">
      <c r="A11671" s="8" t="s">
        <v>23299</v>
      </c>
      <c r="B11671" s="8" t="s">
        <v>65273</v>
      </c>
      <c r="C11671" s="8" t="s">
        <v>23300</v>
      </c>
      <c r="D11671" s="8"/>
      <c r="E11671" s="6"/>
      <c r="F11671" s="6"/>
    </row>
    <row r="11672" spans="1:6" x14ac:dyDescent="0.3">
      <c r="A11672" s="8" t="s">
        <v>23301</v>
      </c>
      <c r="B11672" s="8" t="s">
        <v>65274</v>
      </c>
      <c r="C11672" s="8" t="s">
        <v>23302</v>
      </c>
      <c r="D11672" s="8"/>
      <c r="E11672" s="6"/>
      <c r="F11672" s="6"/>
    </row>
    <row r="11673" spans="1:6" x14ac:dyDescent="0.3">
      <c r="A11673" s="8" t="s">
        <v>23303</v>
      </c>
      <c r="B11673" s="8" t="s">
        <v>65275</v>
      </c>
      <c r="C11673" s="8" t="s">
        <v>23304</v>
      </c>
      <c r="D11673" s="8"/>
      <c r="E11673" s="6"/>
      <c r="F11673" s="6"/>
    </row>
    <row r="11674" spans="1:6" x14ac:dyDescent="0.3">
      <c r="A11674" s="8" t="s">
        <v>23305</v>
      </c>
      <c r="B11674" s="8" t="s">
        <v>65276</v>
      </c>
      <c r="C11674" s="8" t="s">
        <v>23306</v>
      </c>
      <c r="D11674" s="8"/>
      <c r="E11674" s="6"/>
      <c r="F11674" s="6"/>
    </row>
    <row r="11675" spans="1:6" x14ac:dyDescent="0.3">
      <c r="A11675" s="8" t="s">
        <v>23307</v>
      </c>
      <c r="B11675" s="8" t="s">
        <v>65277</v>
      </c>
      <c r="C11675" s="8" t="s">
        <v>23308</v>
      </c>
      <c r="D11675" s="8"/>
      <c r="E11675" s="6"/>
      <c r="F11675" s="6"/>
    </row>
    <row r="11676" spans="1:6" x14ac:dyDescent="0.3">
      <c r="A11676" s="8" t="s">
        <v>23309</v>
      </c>
      <c r="B11676" s="8" t="s">
        <v>65278</v>
      </c>
      <c r="C11676" s="8" t="s">
        <v>23310</v>
      </c>
      <c r="D11676" s="8"/>
      <c r="E11676" s="6"/>
      <c r="F11676" s="6"/>
    </row>
    <row r="11677" spans="1:6" x14ac:dyDescent="0.3">
      <c r="A11677" s="8" t="s">
        <v>23311</v>
      </c>
      <c r="B11677" s="8" t="s">
        <v>65279</v>
      </c>
      <c r="C11677" s="8" t="s">
        <v>23312</v>
      </c>
      <c r="D11677" s="8"/>
      <c r="E11677" s="6"/>
      <c r="F11677" s="6"/>
    </row>
    <row r="11678" spans="1:6" x14ac:dyDescent="0.3">
      <c r="A11678" s="8" t="s">
        <v>23313</v>
      </c>
      <c r="B11678" s="8" t="s">
        <v>65280</v>
      </c>
      <c r="C11678" s="8" t="s">
        <v>23314</v>
      </c>
      <c r="D11678" s="8"/>
      <c r="E11678" s="6"/>
      <c r="F11678" s="6"/>
    </row>
    <row r="11679" spans="1:6" x14ac:dyDescent="0.3">
      <c r="A11679" s="8" t="s">
        <v>23315</v>
      </c>
      <c r="B11679" s="8" t="s">
        <v>65281</v>
      </c>
      <c r="C11679" s="8" t="s">
        <v>23316</v>
      </c>
      <c r="D11679" s="8"/>
      <c r="E11679" s="6"/>
      <c r="F11679" s="6"/>
    </row>
    <row r="11680" spans="1:6" x14ac:dyDescent="0.3">
      <c r="A11680" s="8" t="s">
        <v>23317</v>
      </c>
      <c r="B11680" s="8" t="s">
        <v>65282</v>
      </c>
      <c r="C11680" s="8" t="s">
        <v>23318</v>
      </c>
      <c r="D11680" s="8"/>
      <c r="E11680" s="6"/>
      <c r="F11680" s="6"/>
    </row>
    <row r="11681" spans="1:6" x14ac:dyDescent="0.3">
      <c r="A11681" s="8" t="s">
        <v>23319</v>
      </c>
      <c r="B11681" s="8" t="s">
        <v>65283</v>
      </c>
      <c r="C11681" s="8" t="s">
        <v>23320</v>
      </c>
      <c r="D11681" s="8"/>
      <c r="E11681" s="6"/>
      <c r="F11681" s="6"/>
    </row>
    <row r="11682" spans="1:6" x14ac:dyDescent="0.3">
      <c r="A11682" s="8" t="s">
        <v>23321</v>
      </c>
      <c r="B11682" s="8" t="s">
        <v>65284</v>
      </c>
      <c r="C11682" s="8" t="s">
        <v>23322</v>
      </c>
      <c r="D11682" s="8"/>
      <c r="E11682" s="6"/>
      <c r="F11682" s="6"/>
    </row>
    <row r="11683" spans="1:6" x14ac:dyDescent="0.3">
      <c r="A11683" s="8" t="s">
        <v>23323</v>
      </c>
      <c r="B11683" s="8" t="s">
        <v>65285</v>
      </c>
      <c r="C11683" s="8" t="s">
        <v>23324</v>
      </c>
      <c r="D11683" s="8"/>
      <c r="E11683" s="6"/>
      <c r="F11683" s="6"/>
    </row>
    <row r="11684" spans="1:6" x14ac:dyDescent="0.3">
      <c r="A11684" s="8" t="s">
        <v>23325</v>
      </c>
      <c r="B11684" s="8" t="s">
        <v>65286</v>
      </c>
      <c r="C11684" s="8" t="s">
        <v>23326</v>
      </c>
      <c r="D11684" s="8"/>
      <c r="E11684" s="6"/>
      <c r="F11684" s="6"/>
    </row>
    <row r="11685" spans="1:6" x14ac:dyDescent="0.3">
      <c r="A11685" s="8" t="s">
        <v>23327</v>
      </c>
      <c r="B11685" s="8" t="s">
        <v>65287</v>
      </c>
      <c r="C11685" s="8" t="s">
        <v>23328</v>
      </c>
      <c r="D11685" s="8"/>
      <c r="E11685" s="6"/>
      <c r="F11685" s="6"/>
    </row>
    <row r="11686" spans="1:6" x14ac:dyDescent="0.3">
      <c r="A11686" s="8" t="s">
        <v>23329</v>
      </c>
      <c r="B11686" s="8" t="s">
        <v>65288</v>
      </c>
      <c r="C11686" s="8" t="s">
        <v>23330</v>
      </c>
      <c r="D11686" s="8"/>
      <c r="E11686" s="6"/>
      <c r="F11686" s="6"/>
    </row>
    <row r="11687" spans="1:6" x14ac:dyDescent="0.3">
      <c r="A11687" s="8" t="s">
        <v>23331</v>
      </c>
      <c r="B11687" s="8" t="s">
        <v>65289</v>
      </c>
      <c r="C11687" s="8" t="s">
        <v>23332</v>
      </c>
      <c r="D11687" s="8"/>
      <c r="E11687" s="6"/>
      <c r="F11687" s="6"/>
    </row>
    <row r="11688" spans="1:6" x14ac:dyDescent="0.3">
      <c r="A11688" s="8" t="s">
        <v>23333</v>
      </c>
      <c r="B11688" s="8" t="s">
        <v>65290</v>
      </c>
      <c r="C11688" s="8" t="s">
        <v>23334</v>
      </c>
      <c r="D11688" s="8"/>
      <c r="E11688" s="6"/>
      <c r="F11688" s="6"/>
    </row>
    <row r="11689" spans="1:6" x14ac:dyDescent="0.3">
      <c r="A11689" s="8" t="s">
        <v>23335</v>
      </c>
      <c r="B11689" s="8" t="s">
        <v>65291</v>
      </c>
      <c r="C11689" s="8" t="s">
        <v>23336</v>
      </c>
      <c r="D11689" s="8"/>
      <c r="E11689" s="6"/>
      <c r="F11689" s="6"/>
    </row>
    <row r="11690" spans="1:6" x14ac:dyDescent="0.3">
      <c r="A11690" s="8" t="s">
        <v>23337</v>
      </c>
      <c r="B11690" s="8" t="s">
        <v>65292</v>
      </c>
      <c r="C11690" s="8" t="s">
        <v>23338</v>
      </c>
      <c r="D11690" s="8"/>
      <c r="E11690" s="6"/>
      <c r="F11690" s="6"/>
    </row>
    <row r="11691" spans="1:6" x14ac:dyDescent="0.3">
      <c r="A11691" s="8" t="s">
        <v>23339</v>
      </c>
      <c r="B11691" s="8" t="s">
        <v>65293</v>
      </c>
      <c r="C11691" s="8" t="s">
        <v>23340</v>
      </c>
      <c r="D11691" s="8"/>
      <c r="E11691" s="6"/>
      <c r="F11691" s="6"/>
    </row>
    <row r="11692" spans="1:6" x14ac:dyDescent="0.3">
      <c r="A11692" s="8" t="s">
        <v>23341</v>
      </c>
      <c r="B11692" s="8" t="s">
        <v>65294</v>
      </c>
      <c r="C11692" s="8" t="s">
        <v>23342</v>
      </c>
      <c r="D11692" s="8"/>
      <c r="E11692" s="6"/>
      <c r="F11692" s="6"/>
    </row>
    <row r="11693" spans="1:6" x14ac:dyDescent="0.3">
      <c r="A11693" s="8" t="s">
        <v>23343</v>
      </c>
      <c r="B11693" s="8" t="s">
        <v>65295</v>
      </c>
      <c r="C11693" s="8" t="s">
        <v>23344</v>
      </c>
      <c r="D11693" s="8"/>
      <c r="E11693" s="6"/>
      <c r="F11693" s="6"/>
    </row>
    <row r="11694" spans="1:6" x14ac:dyDescent="0.3">
      <c r="A11694" s="8" t="s">
        <v>23345</v>
      </c>
      <c r="B11694" s="8" t="s">
        <v>65296</v>
      </c>
      <c r="C11694" s="8" t="s">
        <v>23346</v>
      </c>
      <c r="D11694" s="8"/>
      <c r="E11694" s="6"/>
      <c r="F11694" s="6"/>
    </row>
    <row r="11695" spans="1:6" x14ac:dyDescent="0.3">
      <c r="A11695" s="8" t="s">
        <v>23347</v>
      </c>
      <c r="B11695" s="8" t="s">
        <v>65297</v>
      </c>
      <c r="C11695" s="8" t="s">
        <v>23348</v>
      </c>
      <c r="D11695" s="8"/>
      <c r="E11695" s="6"/>
      <c r="F11695" s="6"/>
    </row>
    <row r="11696" spans="1:6" x14ac:dyDescent="0.3">
      <c r="A11696" s="8" t="s">
        <v>23349</v>
      </c>
      <c r="B11696" s="8" t="s">
        <v>65298</v>
      </c>
      <c r="C11696" s="8" t="s">
        <v>23350</v>
      </c>
      <c r="D11696" s="8"/>
      <c r="E11696" s="6"/>
      <c r="F11696" s="6"/>
    </row>
    <row r="11697" spans="1:6" x14ac:dyDescent="0.3">
      <c r="A11697" s="8" t="s">
        <v>23351</v>
      </c>
      <c r="B11697" s="8" t="s">
        <v>65299</v>
      </c>
      <c r="C11697" s="8" t="s">
        <v>23352</v>
      </c>
      <c r="D11697" s="8"/>
      <c r="E11697" s="6"/>
      <c r="F11697" s="6"/>
    </row>
    <row r="11698" spans="1:6" x14ac:dyDescent="0.3">
      <c r="A11698" s="8" t="s">
        <v>23353</v>
      </c>
      <c r="B11698" s="8" t="s">
        <v>65300</v>
      </c>
      <c r="C11698" s="8" t="s">
        <v>23354</v>
      </c>
      <c r="D11698" s="8"/>
      <c r="E11698" s="6"/>
      <c r="F11698" s="6"/>
    </row>
    <row r="11699" spans="1:6" x14ac:dyDescent="0.3">
      <c r="A11699" s="8" t="s">
        <v>23355</v>
      </c>
      <c r="B11699" s="8" t="s">
        <v>65301</v>
      </c>
      <c r="C11699" s="8" t="s">
        <v>23356</v>
      </c>
      <c r="D11699" s="8"/>
      <c r="E11699" s="6"/>
      <c r="F11699" s="6"/>
    </row>
    <row r="11700" spans="1:6" x14ac:dyDescent="0.3">
      <c r="A11700" s="8" t="s">
        <v>23357</v>
      </c>
      <c r="B11700" s="8" t="s">
        <v>65302</v>
      </c>
      <c r="C11700" s="8" t="s">
        <v>23358</v>
      </c>
      <c r="D11700" s="8"/>
      <c r="E11700" s="6"/>
      <c r="F11700" s="6"/>
    </row>
    <row r="11701" spans="1:6" x14ac:dyDescent="0.3">
      <c r="A11701" s="8" t="s">
        <v>23359</v>
      </c>
      <c r="B11701" s="8" t="s">
        <v>65303</v>
      </c>
      <c r="C11701" s="8" t="s">
        <v>23360</v>
      </c>
      <c r="D11701" s="8"/>
      <c r="E11701" s="6"/>
      <c r="F11701" s="6"/>
    </row>
    <row r="11702" spans="1:6" x14ac:dyDescent="0.3">
      <c r="A11702" s="8" t="s">
        <v>23361</v>
      </c>
      <c r="B11702" s="8" t="s">
        <v>65304</v>
      </c>
      <c r="C11702" s="8" t="s">
        <v>23362</v>
      </c>
      <c r="D11702" s="8"/>
      <c r="E11702" s="6"/>
      <c r="F11702" s="6"/>
    </row>
    <row r="11703" spans="1:6" x14ac:dyDescent="0.3">
      <c r="A11703" s="8" t="s">
        <v>23363</v>
      </c>
      <c r="B11703" s="8" t="s">
        <v>65305</v>
      </c>
      <c r="C11703" s="8" t="s">
        <v>23364</v>
      </c>
      <c r="D11703" s="8"/>
      <c r="E11703" s="6"/>
      <c r="F11703" s="6"/>
    </row>
    <row r="11704" spans="1:6" x14ac:dyDescent="0.3">
      <c r="A11704" s="8" t="s">
        <v>23365</v>
      </c>
      <c r="B11704" s="8" t="s">
        <v>65306</v>
      </c>
      <c r="C11704" s="8" t="s">
        <v>23366</v>
      </c>
      <c r="D11704" s="8"/>
      <c r="E11704" s="6"/>
      <c r="F11704" s="6"/>
    </row>
    <row r="11705" spans="1:6" x14ac:dyDescent="0.3">
      <c r="A11705" s="8" t="s">
        <v>23367</v>
      </c>
      <c r="B11705" s="8" t="s">
        <v>65307</v>
      </c>
      <c r="C11705" s="8" t="s">
        <v>23368</v>
      </c>
      <c r="D11705" s="8"/>
      <c r="E11705" s="6"/>
      <c r="F11705" s="6"/>
    </row>
    <row r="11706" spans="1:6" x14ac:dyDescent="0.3">
      <c r="A11706" s="8" t="s">
        <v>23369</v>
      </c>
      <c r="B11706" s="8" t="s">
        <v>65308</v>
      </c>
      <c r="C11706" s="8" t="s">
        <v>23370</v>
      </c>
      <c r="D11706" s="8"/>
      <c r="E11706" s="6"/>
      <c r="F11706" s="6"/>
    </row>
    <row r="11707" spans="1:6" x14ac:dyDescent="0.3">
      <c r="A11707" s="8" t="s">
        <v>23371</v>
      </c>
      <c r="B11707" s="8" t="s">
        <v>65309</v>
      </c>
      <c r="C11707" s="8" t="s">
        <v>23372</v>
      </c>
      <c r="D11707" s="8"/>
      <c r="E11707" s="6"/>
      <c r="F11707" s="6"/>
    </row>
    <row r="11708" spans="1:6" x14ac:dyDescent="0.3">
      <c r="A11708" s="8" t="s">
        <v>23373</v>
      </c>
      <c r="B11708" s="8" t="s">
        <v>65310</v>
      </c>
      <c r="C11708" s="8" t="s">
        <v>23374</v>
      </c>
      <c r="D11708" s="8"/>
      <c r="E11708" s="6"/>
      <c r="F11708" s="6"/>
    </row>
    <row r="11709" spans="1:6" x14ac:dyDescent="0.3">
      <c r="A11709" s="8" t="s">
        <v>23375</v>
      </c>
      <c r="B11709" s="8" t="s">
        <v>65311</v>
      </c>
      <c r="C11709" s="8" t="s">
        <v>23376</v>
      </c>
      <c r="D11709" s="8"/>
      <c r="E11709" s="6"/>
      <c r="F11709" s="6"/>
    </row>
    <row r="11710" spans="1:6" x14ac:dyDescent="0.3">
      <c r="A11710" s="8" t="s">
        <v>23377</v>
      </c>
      <c r="B11710" s="8" t="s">
        <v>65312</v>
      </c>
      <c r="C11710" s="8" t="s">
        <v>23378</v>
      </c>
      <c r="D11710" s="8"/>
      <c r="E11710" s="6"/>
      <c r="F11710" s="6"/>
    </row>
    <row r="11711" spans="1:6" x14ac:dyDescent="0.3">
      <c r="A11711" s="8" t="s">
        <v>23379</v>
      </c>
      <c r="B11711" s="8" t="s">
        <v>65313</v>
      </c>
      <c r="C11711" s="8" t="s">
        <v>23380</v>
      </c>
      <c r="D11711" s="8"/>
      <c r="E11711" s="6"/>
      <c r="F11711" s="6"/>
    </row>
    <row r="11712" spans="1:6" x14ac:dyDescent="0.3">
      <c r="A11712" s="8" t="s">
        <v>23381</v>
      </c>
      <c r="B11712" s="8" t="s">
        <v>65314</v>
      </c>
      <c r="C11712" s="8" t="s">
        <v>23382</v>
      </c>
      <c r="D11712" s="8"/>
      <c r="E11712" s="6"/>
      <c r="F11712" s="6"/>
    </row>
    <row r="11713" spans="1:6" x14ac:dyDescent="0.3">
      <c r="A11713" s="8" t="s">
        <v>23383</v>
      </c>
      <c r="B11713" s="8" t="s">
        <v>65315</v>
      </c>
      <c r="C11713" s="8" t="s">
        <v>23384</v>
      </c>
      <c r="D11713" s="8"/>
      <c r="E11713" s="6"/>
      <c r="F11713" s="6"/>
    </row>
    <row r="11714" spans="1:6" x14ac:dyDescent="0.3">
      <c r="A11714" s="8" t="s">
        <v>23385</v>
      </c>
      <c r="B11714" s="8" t="s">
        <v>65316</v>
      </c>
      <c r="C11714" s="8" t="s">
        <v>23386</v>
      </c>
      <c r="D11714" s="8"/>
      <c r="E11714" s="6"/>
      <c r="F11714" s="6"/>
    </row>
    <row r="11715" spans="1:6" x14ac:dyDescent="0.3">
      <c r="A11715" s="8" t="s">
        <v>23387</v>
      </c>
      <c r="B11715" s="8" t="s">
        <v>65317</v>
      </c>
      <c r="C11715" s="8" t="s">
        <v>23388</v>
      </c>
      <c r="D11715" s="8"/>
      <c r="E11715" s="6"/>
      <c r="F11715" s="6"/>
    </row>
    <row r="11716" spans="1:6" x14ac:dyDescent="0.3">
      <c r="A11716" s="8" t="s">
        <v>23389</v>
      </c>
      <c r="B11716" s="8" t="s">
        <v>65318</v>
      </c>
      <c r="C11716" s="8" t="s">
        <v>23390</v>
      </c>
      <c r="D11716" s="8"/>
      <c r="E11716" s="6"/>
      <c r="F11716" s="6"/>
    </row>
    <row r="11717" spans="1:6" x14ac:dyDescent="0.3">
      <c r="A11717" s="8" t="s">
        <v>23391</v>
      </c>
      <c r="B11717" s="8" t="s">
        <v>65319</v>
      </c>
      <c r="C11717" s="8" t="s">
        <v>23392</v>
      </c>
      <c r="D11717" s="8"/>
      <c r="E11717" s="6"/>
      <c r="F11717" s="6"/>
    </row>
    <row r="11718" spans="1:6" x14ac:dyDescent="0.3">
      <c r="A11718" s="8" t="s">
        <v>23393</v>
      </c>
      <c r="B11718" s="8" t="s">
        <v>59105</v>
      </c>
      <c r="C11718" s="8" t="s">
        <v>23394</v>
      </c>
      <c r="D11718" s="8"/>
      <c r="E11718" s="6"/>
      <c r="F11718" s="6"/>
    </row>
    <row r="11719" spans="1:6" x14ac:dyDescent="0.3">
      <c r="A11719" s="8" t="s">
        <v>23395</v>
      </c>
      <c r="B11719" s="8" t="s">
        <v>59105</v>
      </c>
      <c r="C11719" s="8" t="s">
        <v>23396</v>
      </c>
      <c r="D11719" s="8"/>
      <c r="E11719" s="6"/>
      <c r="F11719" s="6"/>
    </row>
    <row r="11720" spans="1:6" x14ac:dyDescent="0.3">
      <c r="A11720" s="8" t="s">
        <v>23397</v>
      </c>
      <c r="B11720" s="8" t="s">
        <v>65320</v>
      </c>
      <c r="C11720" s="8" t="s">
        <v>23398</v>
      </c>
      <c r="D11720" s="8"/>
      <c r="E11720" s="6"/>
      <c r="F11720" s="6"/>
    </row>
    <row r="11721" spans="1:6" x14ac:dyDescent="0.3">
      <c r="A11721" s="8" t="s">
        <v>23399</v>
      </c>
      <c r="B11721" s="8" t="s">
        <v>65321</v>
      </c>
      <c r="C11721" s="8" t="s">
        <v>23400</v>
      </c>
      <c r="D11721" s="8"/>
      <c r="E11721" s="6"/>
      <c r="F11721" s="6"/>
    </row>
    <row r="11722" spans="1:6" x14ac:dyDescent="0.3">
      <c r="A11722" s="8" t="s">
        <v>23401</v>
      </c>
      <c r="B11722" s="8" t="s">
        <v>65322</v>
      </c>
      <c r="C11722" s="8" t="s">
        <v>23402</v>
      </c>
      <c r="D11722" s="8"/>
      <c r="E11722" s="6"/>
      <c r="F11722" s="6"/>
    </row>
    <row r="11723" spans="1:6" x14ac:dyDescent="0.3">
      <c r="A11723" s="8" t="s">
        <v>23403</v>
      </c>
      <c r="B11723" s="8" t="s">
        <v>65323</v>
      </c>
      <c r="C11723" s="8" t="s">
        <v>23404</v>
      </c>
      <c r="D11723" s="8"/>
      <c r="E11723" s="6"/>
      <c r="F11723" s="6"/>
    </row>
    <row r="11724" spans="1:6" x14ac:dyDescent="0.3">
      <c r="A11724" s="8" t="s">
        <v>23405</v>
      </c>
      <c r="B11724" s="8" t="s">
        <v>65324</v>
      </c>
      <c r="C11724" s="8" t="s">
        <v>23406</v>
      </c>
      <c r="D11724" s="8"/>
      <c r="E11724" s="6"/>
      <c r="F11724" s="6"/>
    </row>
    <row r="11725" spans="1:6" x14ac:dyDescent="0.3">
      <c r="A11725" s="8" t="s">
        <v>23407</v>
      </c>
      <c r="B11725" s="8" t="s">
        <v>65325</v>
      </c>
      <c r="C11725" s="8" t="s">
        <v>23408</v>
      </c>
      <c r="D11725" s="8"/>
      <c r="E11725" s="6"/>
      <c r="F11725" s="6"/>
    </row>
    <row r="11726" spans="1:6" x14ac:dyDescent="0.3">
      <c r="A11726" s="8" t="s">
        <v>23409</v>
      </c>
      <c r="B11726" s="8" t="s">
        <v>65326</v>
      </c>
      <c r="C11726" s="8" t="s">
        <v>23410</v>
      </c>
      <c r="D11726" s="8"/>
      <c r="E11726" s="6"/>
      <c r="F11726" s="6"/>
    </row>
    <row r="11727" spans="1:6" x14ac:dyDescent="0.3">
      <c r="A11727" s="8" t="s">
        <v>23411</v>
      </c>
      <c r="B11727" s="8" t="s">
        <v>65327</v>
      </c>
      <c r="C11727" s="8" t="s">
        <v>23412</v>
      </c>
      <c r="D11727" s="8"/>
      <c r="E11727" s="6"/>
      <c r="F11727" s="6"/>
    </row>
    <row r="11728" spans="1:6" x14ac:dyDescent="0.3">
      <c r="A11728" s="8" t="s">
        <v>23413</v>
      </c>
      <c r="B11728" s="8" t="s">
        <v>65328</v>
      </c>
      <c r="C11728" s="8" t="s">
        <v>23414</v>
      </c>
      <c r="D11728" s="8"/>
      <c r="E11728" s="6"/>
      <c r="F11728" s="6"/>
    </row>
    <row r="11729" spans="1:6" x14ac:dyDescent="0.3">
      <c r="A11729" s="8" t="s">
        <v>23415</v>
      </c>
      <c r="B11729" s="8" t="s">
        <v>65329</v>
      </c>
      <c r="C11729" s="8" t="s">
        <v>23416</v>
      </c>
      <c r="D11729" s="8"/>
      <c r="E11729" s="6"/>
      <c r="F11729" s="6"/>
    </row>
    <row r="11730" spans="1:6" x14ac:dyDescent="0.3">
      <c r="A11730" s="8" t="s">
        <v>23417</v>
      </c>
      <c r="B11730" s="8" t="s">
        <v>65330</v>
      </c>
      <c r="C11730" s="8" t="s">
        <v>23418</v>
      </c>
      <c r="D11730" s="8"/>
      <c r="E11730" s="6"/>
      <c r="F11730" s="6"/>
    </row>
    <row r="11731" spans="1:6" x14ac:dyDescent="0.3">
      <c r="A11731" s="8" t="s">
        <v>23419</v>
      </c>
      <c r="B11731" s="8" t="s">
        <v>65331</v>
      </c>
      <c r="C11731" s="8" t="s">
        <v>23420</v>
      </c>
      <c r="D11731" s="8"/>
      <c r="E11731" s="6"/>
      <c r="F11731" s="6"/>
    </row>
    <row r="11732" spans="1:6" x14ac:dyDescent="0.3">
      <c r="A11732" s="8" t="s">
        <v>23421</v>
      </c>
      <c r="B11732" s="8" t="s">
        <v>65332</v>
      </c>
      <c r="C11732" s="8" t="s">
        <v>23422</v>
      </c>
      <c r="D11732" s="8"/>
      <c r="E11732" s="6"/>
      <c r="F11732" s="6"/>
    </row>
    <row r="11733" spans="1:6" x14ac:dyDescent="0.3">
      <c r="A11733" s="8" t="s">
        <v>23423</v>
      </c>
      <c r="B11733" s="8" t="s">
        <v>65333</v>
      </c>
      <c r="C11733" s="8" t="s">
        <v>23424</v>
      </c>
      <c r="D11733" s="8"/>
      <c r="E11733" s="6"/>
      <c r="F11733" s="6"/>
    </row>
    <row r="11734" spans="1:6" x14ac:dyDescent="0.3">
      <c r="A11734" s="8" t="s">
        <v>23425</v>
      </c>
      <c r="B11734" s="8" t="s">
        <v>65334</v>
      </c>
      <c r="C11734" s="8" t="s">
        <v>23426</v>
      </c>
      <c r="D11734" s="8"/>
      <c r="E11734" s="6"/>
      <c r="F11734" s="6"/>
    </row>
    <row r="11735" spans="1:6" x14ac:dyDescent="0.3">
      <c r="A11735" s="8" t="s">
        <v>23427</v>
      </c>
      <c r="B11735" s="8" t="s">
        <v>65335</v>
      </c>
      <c r="C11735" s="8" t="s">
        <v>23428</v>
      </c>
      <c r="D11735" s="8"/>
      <c r="E11735" s="6"/>
      <c r="F11735" s="6"/>
    </row>
    <row r="11736" spans="1:6" x14ac:dyDescent="0.3">
      <c r="A11736" s="8" t="s">
        <v>23429</v>
      </c>
      <c r="B11736" s="8" t="s">
        <v>65336</v>
      </c>
      <c r="C11736" s="8" t="s">
        <v>23430</v>
      </c>
      <c r="D11736" s="8"/>
      <c r="E11736" s="6"/>
      <c r="F11736" s="6"/>
    </row>
    <row r="11737" spans="1:6" x14ac:dyDescent="0.3">
      <c r="A11737" s="8" t="s">
        <v>23431</v>
      </c>
      <c r="B11737" s="8" t="s">
        <v>65337</v>
      </c>
      <c r="C11737" s="8" t="s">
        <v>23432</v>
      </c>
      <c r="D11737" s="8"/>
      <c r="E11737" s="6"/>
      <c r="F11737" s="6"/>
    </row>
    <row r="11738" spans="1:6" x14ac:dyDescent="0.3">
      <c r="A11738" s="8" t="s">
        <v>23433</v>
      </c>
      <c r="B11738" s="8" t="s">
        <v>65338</v>
      </c>
      <c r="C11738" s="8" t="s">
        <v>23434</v>
      </c>
      <c r="D11738" s="8"/>
      <c r="E11738" s="6"/>
      <c r="F11738" s="6"/>
    </row>
    <row r="11739" spans="1:6" x14ac:dyDescent="0.3">
      <c r="A11739" s="8" t="s">
        <v>23435</v>
      </c>
      <c r="B11739" s="8" t="s">
        <v>65339</v>
      </c>
      <c r="C11739" s="8" t="s">
        <v>23436</v>
      </c>
      <c r="D11739" s="8"/>
      <c r="E11739" s="6"/>
      <c r="F11739" s="6"/>
    </row>
    <row r="11740" spans="1:6" x14ac:dyDescent="0.3">
      <c r="A11740" s="8" t="s">
        <v>23437</v>
      </c>
      <c r="B11740" s="8" t="s">
        <v>65340</v>
      </c>
      <c r="C11740" s="8" t="s">
        <v>23438</v>
      </c>
      <c r="D11740" s="8"/>
      <c r="E11740" s="6"/>
      <c r="F11740" s="6"/>
    </row>
    <row r="11741" spans="1:6" x14ac:dyDescent="0.3">
      <c r="A11741" s="8" t="s">
        <v>23439</v>
      </c>
      <c r="B11741" s="8" t="s">
        <v>65341</v>
      </c>
      <c r="C11741" s="8" t="s">
        <v>23440</v>
      </c>
      <c r="D11741" s="8"/>
      <c r="E11741" s="6"/>
      <c r="F11741" s="6"/>
    </row>
    <row r="11742" spans="1:6" x14ac:dyDescent="0.3">
      <c r="A11742" s="8" t="s">
        <v>23441</v>
      </c>
      <c r="B11742" s="8" t="s">
        <v>65342</v>
      </c>
      <c r="C11742" s="8" t="s">
        <v>23442</v>
      </c>
      <c r="D11742" s="8"/>
      <c r="E11742" s="6"/>
      <c r="F11742" s="6"/>
    </row>
    <row r="11743" spans="1:6" x14ac:dyDescent="0.3">
      <c r="A11743" s="8" t="s">
        <v>23443</v>
      </c>
      <c r="B11743" s="8" t="s">
        <v>65343</v>
      </c>
      <c r="C11743" s="8" t="s">
        <v>23444</v>
      </c>
      <c r="D11743" s="8"/>
      <c r="E11743" s="6"/>
      <c r="F11743" s="6"/>
    </row>
    <row r="11744" spans="1:6" x14ac:dyDescent="0.3">
      <c r="A11744" s="8" t="s">
        <v>23445</v>
      </c>
      <c r="B11744" s="8" t="s">
        <v>65344</v>
      </c>
      <c r="C11744" s="8" t="s">
        <v>23446</v>
      </c>
      <c r="D11744" s="8"/>
      <c r="E11744" s="6"/>
      <c r="F11744" s="6"/>
    </row>
    <row r="11745" spans="1:6" x14ac:dyDescent="0.3">
      <c r="A11745" s="8" t="s">
        <v>23447</v>
      </c>
      <c r="B11745" s="8" t="s">
        <v>65345</v>
      </c>
      <c r="C11745" s="8" t="s">
        <v>23448</v>
      </c>
      <c r="D11745" s="8"/>
      <c r="E11745" s="6"/>
      <c r="F11745" s="6"/>
    </row>
    <row r="11746" spans="1:6" x14ac:dyDescent="0.3">
      <c r="A11746" s="8" t="s">
        <v>23449</v>
      </c>
      <c r="B11746" s="8" t="s">
        <v>65346</v>
      </c>
      <c r="C11746" s="8" t="s">
        <v>23450</v>
      </c>
      <c r="D11746" s="8"/>
      <c r="E11746" s="6"/>
      <c r="F11746" s="6"/>
    </row>
    <row r="11747" spans="1:6" x14ac:dyDescent="0.3">
      <c r="A11747" s="8" t="s">
        <v>23451</v>
      </c>
      <c r="B11747" s="8" t="s">
        <v>65347</v>
      </c>
      <c r="C11747" s="8" t="s">
        <v>23452</v>
      </c>
      <c r="D11747" s="8"/>
      <c r="E11747" s="6"/>
      <c r="F11747" s="6"/>
    </row>
    <row r="11748" spans="1:6" x14ac:dyDescent="0.3">
      <c r="A11748" s="8" t="s">
        <v>23453</v>
      </c>
      <c r="B11748" s="8" t="s">
        <v>65348</v>
      </c>
      <c r="C11748" s="8" t="s">
        <v>23454</v>
      </c>
      <c r="D11748" s="8"/>
      <c r="E11748" s="6"/>
      <c r="F11748" s="6"/>
    </row>
    <row r="11749" spans="1:6" x14ac:dyDescent="0.3">
      <c r="A11749" s="8" t="s">
        <v>23455</v>
      </c>
      <c r="B11749" s="8" t="s">
        <v>65349</v>
      </c>
      <c r="C11749" s="8" t="s">
        <v>23456</v>
      </c>
      <c r="D11749" s="8"/>
      <c r="E11749" s="6"/>
      <c r="F11749" s="6"/>
    </row>
    <row r="11750" spans="1:6" x14ac:dyDescent="0.3">
      <c r="A11750" s="8" t="s">
        <v>23457</v>
      </c>
      <c r="B11750" s="8" t="s">
        <v>65350</v>
      </c>
      <c r="C11750" s="8" t="s">
        <v>23458</v>
      </c>
      <c r="D11750" s="8"/>
      <c r="E11750" s="6"/>
      <c r="F11750" s="6"/>
    </row>
    <row r="11751" spans="1:6" x14ac:dyDescent="0.3">
      <c r="A11751" s="8" t="s">
        <v>23459</v>
      </c>
      <c r="B11751" s="8" t="s">
        <v>65351</v>
      </c>
      <c r="C11751" s="8" t="s">
        <v>23460</v>
      </c>
      <c r="D11751" s="8"/>
      <c r="E11751" s="6"/>
      <c r="F11751" s="6"/>
    </row>
    <row r="11752" spans="1:6" x14ac:dyDescent="0.3">
      <c r="A11752" s="8" t="s">
        <v>23461</v>
      </c>
      <c r="B11752" s="8" t="s">
        <v>65352</v>
      </c>
      <c r="C11752" s="8" t="s">
        <v>23462</v>
      </c>
      <c r="D11752" s="8"/>
      <c r="E11752" s="6"/>
      <c r="F11752" s="6"/>
    </row>
    <row r="11753" spans="1:6" x14ac:dyDescent="0.3">
      <c r="A11753" s="8" t="s">
        <v>23463</v>
      </c>
      <c r="B11753" s="8" t="s">
        <v>65353</v>
      </c>
      <c r="C11753" s="8" t="s">
        <v>23464</v>
      </c>
      <c r="D11753" s="8"/>
      <c r="E11753" s="6"/>
      <c r="F11753" s="6"/>
    </row>
    <row r="11754" spans="1:6" x14ac:dyDescent="0.3">
      <c r="A11754" s="8" t="s">
        <v>23465</v>
      </c>
      <c r="B11754" s="8" t="s">
        <v>65354</v>
      </c>
      <c r="C11754" s="8" t="s">
        <v>23466</v>
      </c>
      <c r="D11754" s="8"/>
      <c r="E11754" s="6"/>
      <c r="F11754" s="6"/>
    </row>
    <row r="11755" spans="1:6" x14ac:dyDescent="0.3">
      <c r="A11755" s="8" t="s">
        <v>23467</v>
      </c>
      <c r="B11755" s="8" t="s">
        <v>65355</v>
      </c>
      <c r="C11755" s="8" t="s">
        <v>23468</v>
      </c>
      <c r="D11755" s="8"/>
      <c r="E11755" s="6"/>
      <c r="F11755" s="6"/>
    </row>
    <row r="11756" spans="1:6" x14ac:dyDescent="0.3">
      <c r="A11756" s="8" t="s">
        <v>23469</v>
      </c>
      <c r="B11756" s="8" t="s">
        <v>65356</v>
      </c>
      <c r="C11756" s="8" t="s">
        <v>23470</v>
      </c>
      <c r="D11756" s="8"/>
      <c r="E11756" s="6"/>
      <c r="F11756" s="6"/>
    </row>
    <row r="11757" spans="1:6" x14ac:dyDescent="0.3">
      <c r="A11757" s="8" t="s">
        <v>23471</v>
      </c>
      <c r="B11757" s="8" t="s">
        <v>65357</v>
      </c>
      <c r="C11757" s="8" t="s">
        <v>23472</v>
      </c>
      <c r="D11757" s="8"/>
      <c r="E11757" s="6"/>
      <c r="F11757" s="6"/>
    </row>
    <row r="11758" spans="1:6" x14ac:dyDescent="0.3">
      <c r="A11758" s="8" t="s">
        <v>23473</v>
      </c>
      <c r="B11758" s="8" t="s">
        <v>65358</v>
      </c>
      <c r="C11758" s="8" t="s">
        <v>23474</v>
      </c>
      <c r="D11758" s="8"/>
      <c r="E11758" s="6"/>
      <c r="F11758" s="6"/>
    </row>
    <row r="11759" spans="1:6" x14ac:dyDescent="0.3">
      <c r="A11759" s="8" t="s">
        <v>23475</v>
      </c>
      <c r="B11759" s="8" t="s">
        <v>65359</v>
      </c>
      <c r="C11759" s="8" t="s">
        <v>23476</v>
      </c>
      <c r="D11759" s="8"/>
      <c r="E11759" s="6"/>
      <c r="F11759" s="6"/>
    </row>
    <row r="11760" spans="1:6" x14ac:dyDescent="0.3">
      <c r="A11760" s="8" t="s">
        <v>23477</v>
      </c>
      <c r="B11760" s="8" t="s">
        <v>65360</v>
      </c>
      <c r="C11760" s="8" t="s">
        <v>23478</v>
      </c>
      <c r="D11760" s="8"/>
      <c r="E11760" s="6"/>
      <c r="F11760" s="6"/>
    </row>
    <row r="11761" spans="1:6" x14ac:dyDescent="0.3">
      <c r="A11761" s="8" t="s">
        <v>23479</v>
      </c>
      <c r="B11761" s="8" t="s">
        <v>65361</v>
      </c>
      <c r="C11761" s="8" t="s">
        <v>23480</v>
      </c>
      <c r="D11761" s="8"/>
      <c r="E11761" s="6"/>
      <c r="F11761" s="6"/>
    </row>
    <row r="11762" spans="1:6" x14ac:dyDescent="0.3">
      <c r="A11762" s="8" t="s">
        <v>23481</v>
      </c>
      <c r="B11762" s="8" t="s">
        <v>65362</v>
      </c>
      <c r="C11762" s="8" t="s">
        <v>23482</v>
      </c>
      <c r="D11762" s="8"/>
      <c r="E11762" s="6"/>
      <c r="F11762" s="6"/>
    </row>
    <row r="11763" spans="1:6" x14ac:dyDescent="0.3">
      <c r="A11763" s="8" t="s">
        <v>23483</v>
      </c>
      <c r="B11763" s="8" t="s">
        <v>65363</v>
      </c>
      <c r="C11763" s="8" t="s">
        <v>23484</v>
      </c>
      <c r="D11763" s="8"/>
      <c r="E11763" s="6"/>
      <c r="F11763" s="6"/>
    </row>
    <row r="11764" spans="1:6" x14ac:dyDescent="0.3">
      <c r="A11764" s="8" t="s">
        <v>23485</v>
      </c>
      <c r="B11764" s="8" t="s">
        <v>65364</v>
      </c>
      <c r="C11764" s="8" t="s">
        <v>23486</v>
      </c>
      <c r="D11764" s="8"/>
      <c r="E11764" s="6"/>
      <c r="F11764" s="6"/>
    </row>
    <row r="11765" spans="1:6" x14ac:dyDescent="0.3">
      <c r="A11765" s="8" t="s">
        <v>23487</v>
      </c>
      <c r="B11765" s="8" t="s">
        <v>65365</v>
      </c>
      <c r="C11765" s="8" t="s">
        <v>23488</v>
      </c>
      <c r="D11765" s="8"/>
      <c r="E11765" s="6"/>
      <c r="F11765" s="6"/>
    </row>
    <row r="11766" spans="1:6" x14ac:dyDescent="0.3">
      <c r="A11766" s="8" t="s">
        <v>23489</v>
      </c>
      <c r="B11766" s="8" t="s">
        <v>65366</v>
      </c>
      <c r="C11766" s="8" t="s">
        <v>23490</v>
      </c>
      <c r="D11766" s="8"/>
      <c r="E11766" s="6"/>
      <c r="F11766" s="6"/>
    </row>
    <row r="11767" spans="1:6" x14ac:dyDescent="0.3">
      <c r="A11767" s="8" t="s">
        <v>23491</v>
      </c>
      <c r="B11767" s="8" t="s">
        <v>65367</v>
      </c>
      <c r="C11767" s="8" t="s">
        <v>23492</v>
      </c>
      <c r="D11767" s="8"/>
      <c r="E11767" s="6"/>
      <c r="F11767" s="6"/>
    </row>
    <row r="11768" spans="1:6" x14ac:dyDescent="0.3">
      <c r="A11768" s="8" t="s">
        <v>23493</v>
      </c>
      <c r="B11768" s="8" t="s">
        <v>65368</v>
      </c>
      <c r="C11768" s="8" t="s">
        <v>23494</v>
      </c>
      <c r="D11768" s="8"/>
      <c r="E11768" s="6"/>
      <c r="F11768" s="6"/>
    </row>
    <row r="11769" spans="1:6" x14ac:dyDescent="0.3">
      <c r="A11769" s="8" t="s">
        <v>23495</v>
      </c>
      <c r="B11769" s="8" t="s">
        <v>65369</v>
      </c>
      <c r="C11769" s="8" t="s">
        <v>23496</v>
      </c>
      <c r="D11769" s="8"/>
      <c r="E11769" s="6"/>
      <c r="F11769" s="6"/>
    </row>
    <row r="11770" spans="1:6" x14ac:dyDescent="0.3">
      <c r="A11770" s="8" t="s">
        <v>23497</v>
      </c>
      <c r="B11770" s="8" t="s">
        <v>65370</v>
      </c>
      <c r="C11770" s="8" t="s">
        <v>23498</v>
      </c>
      <c r="D11770" s="8"/>
      <c r="E11770" s="6"/>
      <c r="F11770" s="6"/>
    </row>
    <row r="11771" spans="1:6" x14ac:dyDescent="0.3">
      <c r="A11771" s="8" t="s">
        <v>23499</v>
      </c>
      <c r="B11771" s="8" t="s">
        <v>65371</v>
      </c>
      <c r="C11771" s="8" t="s">
        <v>23500</v>
      </c>
      <c r="D11771" s="8"/>
      <c r="E11771" s="6"/>
      <c r="F11771" s="6"/>
    </row>
    <row r="11772" spans="1:6" x14ac:dyDescent="0.3">
      <c r="A11772" s="8" t="s">
        <v>23501</v>
      </c>
      <c r="B11772" s="8" t="s">
        <v>65372</v>
      </c>
      <c r="C11772" s="8" t="s">
        <v>23502</v>
      </c>
      <c r="D11772" s="8"/>
      <c r="E11772" s="6"/>
      <c r="F11772" s="6"/>
    </row>
    <row r="11773" spans="1:6" x14ac:dyDescent="0.3">
      <c r="A11773" s="8" t="s">
        <v>23503</v>
      </c>
      <c r="B11773" s="8" t="s">
        <v>65373</v>
      </c>
      <c r="C11773" s="8" t="s">
        <v>23504</v>
      </c>
      <c r="D11773" s="8"/>
      <c r="E11773" s="6"/>
      <c r="F11773" s="6"/>
    </row>
    <row r="11774" spans="1:6" x14ac:dyDescent="0.3">
      <c r="A11774" s="8" t="s">
        <v>23505</v>
      </c>
      <c r="B11774" s="8" t="s">
        <v>65374</v>
      </c>
      <c r="C11774" s="8" t="s">
        <v>23506</v>
      </c>
      <c r="D11774" s="8"/>
      <c r="E11774" s="6"/>
      <c r="F11774" s="6"/>
    </row>
    <row r="11775" spans="1:6" x14ac:dyDescent="0.3">
      <c r="A11775" s="8" t="s">
        <v>23507</v>
      </c>
      <c r="B11775" s="8" t="s">
        <v>65375</v>
      </c>
      <c r="C11775" s="8" t="s">
        <v>23508</v>
      </c>
      <c r="D11775" s="8"/>
      <c r="E11775" s="6"/>
      <c r="F11775" s="6"/>
    </row>
    <row r="11776" spans="1:6" x14ac:dyDescent="0.3">
      <c r="A11776" s="8" t="s">
        <v>23509</v>
      </c>
      <c r="B11776" s="8" t="s">
        <v>65376</v>
      </c>
      <c r="C11776" s="8" t="s">
        <v>23510</v>
      </c>
      <c r="D11776" s="8"/>
      <c r="E11776" s="6"/>
      <c r="F11776" s="6"/>
    </row>
    <row r="11777" spans="1:6" x14ac:dyDescent="0.3">
      <c r="A11777" s="8" t="s">
        <v>23511</v>
      </c>
      <c r="B11777" s="8" t="s">
        <v>65377</v>
      </c>
      <c r="C11777" s="8" t="s">
        <v>23512</v>
      </c>
      <c r="D11777" s="8"/>
      <c r="E11777" s="6"/>
      <c r="F11777" s="6"/>
    </row>
    <row r="11778" spans="1:6" x14ac:dyDescent="0.3">
      <c r="A11778" s="8" t="s">
        <v>23513</v>
      </c>
      <c r="B11778" s="8" t="s">
        <v>65378</v>
      </c>
      <c r="C11778" s="8" t="s">
        <v>23514</v>
      </c>
      <c r="D11778" s="8"/>
      <c r="E11778" s="6"/>
      <c r="F11778" s="6"/>
    </row>
    <row r="11779" spans="1:6" x14ac:dyDescent="0.3">
      <c r="A11779" s="8" t="s">
        <v>23515</v>
      </c>
      <c r="B11779" s="8" t="s">
        <v>65379</v>
      </c>
      <c r="C11779" s="8" t="s">
        <v>23516</v>
      </c>
      <c r="D11779" s="8"/>
      <c r="E11779" s="6"/>
      <c r="F11779" s="6"/>
    </row>
    <row r="11780" spans="1:6" x14ac:dyDescent="0.3">
      <c r="A11780" s="8" t="s">
        <v>23517</v>
      </c>
      <c r="B11780" s="8" t="s">
        <v>65380</v>
      </c>
      <c r="C11780" s="8" t="s">
        <v>23518</v>
      </c>
      <c r="D11780" s="8"/>
      <c r="E11780" s="6"/>
      <c r="F11780" s="6"/>
    </row>
    <row r="11781" spans="1:6" x14ac:dyDescent="0.3">
      <c r="A11781" s="8" t="s">
        <v>23519</v>
      </c>
      <c r="B11781" s="8" t="s">
        <v>65381</v>
      </c>
      <c r="C11781" s="8" t="s">
        <v>23520</v>
      </c>
      <c r="D11781" s="8"/>
      <c r="E11781" s="6"/>
      <c r="F11781" s="6"/>
    </row>
    <row r="11782" spans="1:6" x14ac:dyDescent="0.3">
      <c r="A11782" s="8" t="s">
        <v>23521</v>
      </c>
      <c r="B11782" s="8" t="s">
        <v>65382</v>
      </c>
      <c r="C11782" s="8" t="s">
        <v>23522</v>
      </c>
      <c r="D11782" s="8"/>
      <c r="E11782" s="6"/>
      <c r="F11782" s="6"/>
    </row>
    <row r="11783" spans="1:6" x14ac:dyDescent="0.3">
      <c r="A11783" s="8" t="s">
        <v>23523</v>
      </c>
      <c r="B11783" s="8" t="s">
        <v>65383</v>
      </c>
      <c r="C11783" s="8" t="s">
        <v>23524</v>
      </c>
      <c r="D11783" s="8"/>
      <c r="E11783" s="6"/>
      <c r="F11783" s="6"/>
    </row>
    <row r="11784" spans="1:6" x14ac:dyDescent="0.3">
      <c r="A11784" s="8" t="s">
        <v>23525</v>
      </c>
      <c r="B11784" s="8" t="s">
        <v>65384</v>
      </c>
      <c r="C11784" s="8" t="s">
        <v>23526</v>
      </c>
      <c r="D11784" s="8"/>
      <c r="E11784" s="6"/>
      <c r="F11784" s="6"/>
    </row>
    <row r="11785" spans="1:6" x14ac:dyDescent="0.3">
      <c r="A11785" s="8" t="s">
        <v>23527</v>
      </c>
      <c r="B11785" s="8" t="s">
        <v>65385</v>
      </c>
      <c r="C11785" s="8" t="s">
        <v>23528</v>
      </c>
      <c r="D11785" s="8"/>
      <c r="E11785" s="6"/>
      <c r="F11785" s="6"/>
    </row>
    <row r="11786" spans="1:6" x14ac:dyDescent="0.3">
      <c r="A11786" s="8" t="s">
        <v>23529</v>
      </c>
      <c r="B11786" s="8" t="s">
        <v>65386</v>
      </c>
      <c r="C11786" s="8" t="s">
        <v>23530</v>
      </c>
      <c r="D11786" s="8"/>
      <c r="E11786" s="6"/>
      <c r="F11786" s="6"/>
    </row>
    <row r="11787" spans="1:6" x14ac:dyDescent="0.3">
      <c r="A11787" s="8" t="s">
        <v>23531</v>
      </c>
      <c r="B11787" s="8" t="s">
        <v>65387</v>
      </c>
      <c r="C11787" s="8" t="s">
        <v>23532</v>
      </c>
      <c r="D11787" s="8"/>
      <c r="E11787" s="6"/>
      <c r="F11787" s="6"/>
    </row>
    <row r="11788" spans="1:6" x14ac:dyDescent="0.3">
      <c r="A11788" s="8" t="s">
        <v>23533</v>
      </c>
      <c r="B11788" s="8" t="s">
        <v>65388</v>
      </c>
      <c r="C11788" s="8" t="s">
        <v>23534</v>
      </c>
      <c r="D11788" s="8"/>
      <c r="E11788" s="6"/>
      <c r="F11788" s="6"/>
    </row>
    <row r="11789" spans="1:6" x14ac:dyDescent="0.3">
      <c r="A11789" s="8" t="s">
        <v>23535</v>
      </c>
      <c r="B11789" s="8" t="s">
        <v>65389</v>
      </c>
      <c r="C11789" s="8" t="s">
        <v>23536</v>
      </c>
      <c r="D11789" s="8"/>
      <c r="E11789" s="6"/>
      <c r="F11789" s="6"/>
    </row>
    <row r="11790" spans="1:6" x14ac:dyDescent="0.3">
      <c r="A11790" s="8" t="s">
        <v>23537</v>
      </c>
      <c r="B11790" s="8" t="s">
        <v>65390</v>
      </c>
      <c r="C11790" s="8" t="s">
        <v>23538</v>
      </c>
      <c r="D11790" s="8"/>
      <c r="E11790" s="6"/>
      <c r="F11790" s="6"/>
    </row>
    <row r="11791" spans="1:6" x14ac:dyDescent="0.3">
      <c r="A11791" s="8" t="s">
        <v>23539</v>
      </c>
      <c r="B11791" s="8" t="s">
        <v>65391</v>
      </c>
      <c r="C11791" s="8" t="s">
        <v>23540</v>
      </c>
      <c r="D11791" s="8"/>
      <c r="E11791" s="6"/>
      <c r="F11791" s="6"/>
    </row>
    <row r="11792" spans="1:6" x14ac:dyDescent="0.3">
      <c r="A11792" s="8" t="s">
        <v>23541</v>
      </c>
      <c r="B11792" s="8" t="s">
        <v>65392</v>
      </c>
      <c r="C11792" s="8" t="s">
        <v>23542</v>
      </c>
      <c r="D11792" s="8"/>
      <c r="E11792" s="6"/>
      <c r="F11792" s="6"/>
    </row>
    <row r="11793" spans="1:6" x14ac:dyDescent="0.3">
      <c r="A11793" s="8" t="s">
        <v>23543</v>
      </c>
      <c r="B11793" s="8" t="s">
        <v>65393</v>
      </c>
      <c r="C11793" s="8" t="s">
        <v>23544</v>
      </c>
      <c r="D11793" s="8"/>
      <c r="E11793" s="6"/>
      <c r="F11793" s="6"/>
    </row>
    <row r="11794" spans="1:6" x14ac:dyDescent="0.3">
      <c r="A11794" s="8" t="s">
        <v>23545</v>
      </c>
      <c r="B11794" s="8" t="s">
        <v>65394</v>
      </c>
      <c r="C11794" s="8" t="s">
        <v>23546</v>
      </c>
      <c r="D11794" s="8"/>
      <c r="E11794" s="6"/>
      <c r="F11794" s="6"/>
    </row>
    <row r="11795" spans="1:6" x14ac:dyDescent="0.3">
      <c r="A11795" s="8" t="s">
        <v>23547</v>
      </c>
      <c r="B11795" s="8" t="s">
        <v>65395</v>
      </c>
      <c r="C11795" s="8" t="s">
        <v>23548</v>
      </c>
      <c r="D11795" s="8"/>
      <c r="E11795" s="6"/>
      <c r="F11795" s="6"/>
    </row>
    <row r="11796" spans="1:6" x14ac:dyDescent="0.3">
      <c r="A11796" s="8" t="s">
        <v>23549</v>
      </c>
      <c r="B11796" s="8" t="s">
        <v>65396</v>
      </c>
      <c r="C11796" s="8" t="s">
        <v>23550</v>
      </c>
      <c r="D11796" s="8"/>
      <c r="E11796" s="6"/>
      <c r="F11796" s="6"/>
    </row>
    <row r="11797" spans="1:6" x14ac:dyDescent="0.3">
      <c r="A11797" s="8" t="s">
        <v>23551</v>
      </c>
      <c r="B11797" s="8" t="s">
        <v>65397</v>
      </c>
      <c r="C11797" s="8" t="s">
        <v>23552</v>
      </c>
      <c r="D11797" s="8"/>
      <c r="E11797" s="6"/>
      <c r="F11797" s="6"/>
    </row>
    <row r="11798" spans="1:6" x14ac:dyDescent="0.3">
      <c r="A11798" s="8" t="s">
        <v>23553</v>
      </c>
      <c r="B11798" s="8" t="s">
        <v>65398</v>
      </c>
      <c r="C11798" s="8" t="s">
        <v>23554</v>
      </c>
      <c r="D11798" s="8"/>
      <c r="E11798" s="6"/>
      <c r="F11798" s="6"/>
    </row>
    <row r="11799" spans="1:6" x14ac:dyDescent="0.3">
      <c r="A11799" s="8" t="s">
        <v>23555</v>
      </c>
      <c r="B11799" s="8" t="s">
        <v>65399</v>
      </c>
      <c r="C11799" s="8" t="s">
        <v>23556</v>
      </c>
      <c r="D11799" s="8"/>
      <c r="E11799" s="6"/>
      <c r="F11799" s="6"/>
    </row>
    <row r="11800" spans="1:6" x14ac:dyDescent="0.3">
      <c r="A11800" s="8" t="s">
        <v>23557</v>
      </c>
      <c r="B11800" s="8" t="s">
        <v>65400</v>
      </c>
      <c r="C11800" s="8" t="s">
        <v>23558</v>
      </c>
      <c r="D11800" s="8"/>
      <c r="E11800" s="6"/>
      <c r="F11800" s="6"/>
    </row>
    <row r="11801" spans="1:6" x14ac:dyDescent="0.3">
      <c r="A11801" s="8" t="s">
        <v>23559</v>
      </c>
      <c r="B11801" s="8" t="s">
        <v>65401</v>
      </c>
      <c r="C11801" s="8" t="s">
        <v>23560</v>
      </c>
      <c r="D11801" s="8"/>
      <c r="E11801" s="6"/>
      <c r="F11801" s="6"/>
    </row>
    <row r="11802" spans="1:6" x14ac:dyDescent="0.3">
      <c r="A11802" s="8" t="s">
        <v>23561</v>
      </c>
      <c r="B11802" s="8" t="s">
        <v>65402</v>
      </c>
      <c r="C11802" s="8" t="s">
        <v>23562</v>
      </c>
      <c r="D11802" s="8"/>
      <c r="E11802" s="6"/>
      <c r="F11802" s="6"/>
    </row>
    <row r="11803" spans="1:6" x14ac:dyDescent="0.3">
      <c r="A11803" s="8" t="s">
        <v>23563</v>
      </c>
      <c r="B11803" s="8" t="s">
        <v>65403</v>
      </c>
      <c r="C11803" s="8" t="s">
        <v>23564</v>
      </c>
      <c r="D11803" s="8"/>
      <c r="E11803" s="6"/>
      <c r="F11803" s="6"/>
    </row>
    <row r="11804" spans="1:6" x14ac:dyDescent="0.3">
      <c r="A11804" s="8" t="s">
        <v>23565</v>
      </c>
      <c r="B11804" s="8" t="s">
        <v>65404</v>
      </c>
      <c r="C11804" s="8" t="s">
        <v>23566</v>
      </c>
      <c r="D11804" s="8"/>
      <c r="E11804" s="6"/>
      <c r="F11804" s="6"/>
    </row>
    <row r="11805" spans="1:6" x14ac:dyDescent="0.3">
      <c r="A11805" s="8" t="s">
        <v>23567</v>
      </c>
      <c r="B11805" s="8" t="s">
        <v>65405</v>
      </c>
      <c r="C11805" s="8" t="s">
        <v>23568</v>
      </c>
      <c r="D11805" s="8"/>
      <c r="E11805" s="6"/>
      <c r="F11805" s="6"/>
    </row>
    <row r="11806" spans="1:6" x14ac:dyDescent="0.3">
      <c r="A11806" s="8" t="s">
        <v>23569</v>
      </c>
      <c r="B11806" s="8" t="s">
        <v>65406</v>
      </c>
      <c r="C11806" s="8" t="s">
        <v>23570</v>
      </c>
      <c r="D11806" s="8"/>
      <c r="E11806" s="6"/>
      <c r="F11806" s="6"/>
    </row>
    <row r="11807" spans="1:6" x14ac:dyDescent="0.3">
      <c r="A11807" s="8" t="s">
        <v>23571</v>
      </c>
      <c r="B11807" s="8" t="s">
        <v>65407</v>
      </c>
      <c r="C11807" s="8" t="s">
        <v>23572</v>
      </c>
      <c r="D11807" s="8"/>
      <c r="E11807" s="6"/>
      <c r="F11807" s="6"/>
    </row>
    <row r="11808" spans="1:6" x14ac:dyDescent="0.3">
      <c r="A11808" s="8" t="s">
        <v>23573</v>
      </c>
      <c r="B11808" s="8" t="s">
        <v>65408</v>
      </c>
      <c r="C11808" s="8" t="s">
        <v>23574</v>
      </c>
      <c r="D11808" s="8"/>
      <c r="E11808" s="6"/>
      <c r="F11808" s="6"/>
    </row>
    <row r="11809" spans="1:6" x14ac:dyDescent="0.3">
      <c r="A11809" s="8" t="s">
        <v>23575</v>
      </c>
      <c r="B11809" s="8" t="s">
        <v>65409</v>
      </c>
      <c r="C11809" s="8" t="s">
        <v>23576</v>
      </c>
      <c r="D11809" s="8"/>
      <c r="E11809" s="6"/>
      <c r="F11809" s="6"/>
    </row>
    <row r="11810" spans="1:6" x14ac:dyDescent="0.3">
      <c r="A11810" s="8" t="s">
        <v>23577</v>
      </c>
      <c r="B11810" s="8" t="s">
        <v>65410</v>
      </c>
      <c r="C11810" s="8" t="s">
        <v>23578</v>
      </c>
      <c r="D11810" s="8"/>
      <c r="E11810" s="6"/>
      <c r="F11810" s="6"/>
    </row>
    <row r="11811" spans="1:6" x14ac:dyDescent="0.3">
      <c r="A11811" s="8" t="s">
        <v>23579</v>
      </c>
      <c r="B11811" s="8" t="s">
        <v>65411</v>
      </c>
      <c r="C11811" s="8" t="s">
        <v>23580</v>
      </c>
      <c r="D11811" s="8"/>
      <c r="E11811" s="6"/>
      <c r="F11811" s="6"/>
    </row>
    <row r="11812" spans="1:6" x14ac:dyDescent="0.3">
      <c r="A11812" s="8" t="s">
        <v>23581</v>
      </c>
      <c r="B11812" s="8" t="s">
        <v>65412</v>
      </c>
      <c r="C11812" s="8" t="s">
        <v>23582</v>
      </c>
      <c r="D11812" s="8"/>
      <c r="E11812" s="6"/>
      <c r="F11812" s="6"/>
    </row>
    <row r="11813" spans="1:6" x14ac:dyDescent="0.3">
      <c r="A11813" s="8" t="s">
        <v>23583</v>
      </c>
      <c r="B11813" s="8" t="s">
        <v>65413</v>
      </c>
      <c r="C11813" s="8" t="s">
        <v>23584</v>
      </c>
      <c r="D11813" s="8"/>
      <c r="E11813" s="6"/>
      <c r="F11813" s="6"/>
    </row>
    <row r="11814" spans="1:6" x14ac:dyDescent="0.3">
      <c r="A11814" s="8" t="s">
        <v>23585</v>
      </c>
      <c r="B11814" s="8" t="s">
        <v>65414</v>
      </c>
      <c r="C11814" s="8" t="s">
        <v>23586</v>
      </c>
      <c r="D11814" s="8"/>
      <c r="E11814" s="6"/>
      <c r="F11814" s="6"/>
    </row>
    <row r="11815" spans="1:6" x14ac:dyDescent="0.3">
      <c r="A11815" s="8" t="s">
        <v>23587</v>
      </c>
      <c r="B11815" s="8" t="s">
        <v>65415</v>
      </c>
      <c r="C11815" s="8" t="s">
        <v>23588</v>
      </c>
      <c r="D11815" s="8"/>
      <c r="E11815" s="6"/>
      <c r="F11815" s="6"/>
    </row>
    <row r="11816" spans="1:6" x14ac:dyDescent="0.3">
      <c r="A11816" s="8" t="s">
        <v>23589</v>
      </c>
      <c r="B11816" s="8" t="s">
        <v>65416</v>
      </c>
      <c r="C11816" s="8" t="s">
        <v>23590</v>
      </c>
      <c r="D11816" s="8"/>
      <c r="E11816" s="6"/>
      <c r="F11816" s="6"/>
    </row>
    <row r="11817" spans="1:6" x14ac:dyDescent="0.3">
      <c r="A11817" s="8" t="s">
        <v>23591</v>
      </c>
      <c r="B11817" s="8" t="s">
        <v>65417</v>
      </c>
      <c r="C11817" s="8" t="s">
        <v>23592</v>
      </c>
      <c r="D11817" s="8"/>
      <c r="E11817" s="6"/>
      <c r="F11817" s="6"/>
    </row>
    <row r="11818" spans="1:6" x14ac:dyDescent="0.3">
      <c r="A11818" s="8" t="s">
        <v>23593</v>
      </c>
      <c r="B11818" s="8" t="s">
        <v>65418</v>
      </c>
      <c r="C11818" s="8" t="s">
        <v>23594</v>
      </c>
      <c r="D11818" s="8"/>
      <c r="E11818" s="6"/>
      <c r="F11818" s="6"/>
    </row>
    <row r="11819" spans="1:6" x14ac:dyDescent="0.3">
      <c r="A11819" s="8" t="s">
        <v>23595</v>
      </c>
      <c r="B11819" s="8" t="s">
        <v>65419</v>
      </c>
      <c r="C11819" s="8" t="s">
        <v>23596</v>
      </c>
      <c r="D11819" s="8"/>
      <c r="E11819" s="6"/>
      <c r="F11819" s="6"/>
    </row>
    <row r="11820" spans="1:6" x14ac:dyDescent="0.3">
      <c r="A11820" s="8" t="s">
        <v>23597</v>
      </c>
      <c r="B11820" s="8" t="s">
        <v>65420</v>
      </c>
      <c r="C11820" s="8" t="s">
        <v>23598</v>
      </c>
      <c r="D11820" s="8"/>
      <c r="E11820" s="6"/>
      <c r="F11820" s="6"/>
    </row>
    <row r="11821" spans="1:6" x14ac:dyDescent="0.3">
      <c r="A11821" s="8" t="s">
        <v>23599</v>
      </c>
      <c r="B11821" s="8" t="s">
        <v>65421</v>
      </c>
      <c r="C11821" s="8" t="s">
        <v>23600</v>
      </c>
      <c r="D11821" s="8"/>
      <c r="E11821" s="6"/>
      <c r="F11821" s="6"/>
    </row>
    <row r="11822" spans="1:6" x14ac:dyDescent="0.3">
      <c r="A11822" s="8" t="s">
        <v>23601</v>
      </c>
      <c r="B11822" s="8" t="s">
        <v>65422</v>
      </c>
      <c r="C11822" s="8" t="s">
        <v>23602</v>
      </c>
      <c r="D11822" s="8"/>
      <c r="E11822" s="6"/>
      <c r="F11822" s="6"/>
    </row>
    <row r="11823" spans="1:6" x14ac:dyDescent="0.3">
      <c r="A11823" s="8" t="s">
        <v>23603</v>
      </c>
      <c r="B11823" s="8" t="s">
        <v>65423</v>
      </c>
      <c r="C11823" s="8" t="s">
        <v>23604</v>
      </c>
      <c r="D11823" s="8"/>
      <c r="E11823" s="6"/>
      <c r="F11823" s="6"/>
    </row>
    <row r="11824" spans="1:6" x14ac:dyDescent="0.3">
      <c r="A11824" s="8" t="s">
        <v>23605</v>
      </c>
      <c r="B11824" s="8" t="s">
        <v>65424</v>
      </c>
      <c r="C11824" s="8" t="s">
        <v>23606</v>
      </c>
      <c r="D11824" s="8"/>
      <c r="E11824" s="6"/>
      <c r="F11824" s="6"/>
    </row>
    <row r="11825" spans="1:6" x14ac:dyDescent="0.3">
      <c r="A11825" s="8" t="s">
        <v>23607</v>
      </c>
      <c r="B11825" s="8" t="s">
        <v>65425</v>
      </c>
      <c r="C11825" s="8" t="s">
        <v>23608</v>
      </c>
      <c r="D11825" s="8"/>
      <c r="E11825" s="6"/>
      <c r="F11825" s="6"/>
    </row>
    <row r="11826" spans="1:6" x14ac:dyDescent="0.3">
      <c r="A11826" s="8" t="s">
        <v>23609</v>
      </c>
      <c r="B11826" s="8" t="s">
        <v>65426</v>
      </c>
      <c r="C11826" s="8" t="s">
        <v>23610</v>
      </c>
      <c r="D11826" s="8"/>
      <c r="E11826" s="6"/>
      <c r="F11826" s="6"/>
    </row>
    <row r="11827" spans="1:6" x14ac:dyDescent="0.3">
      <c r="A11827" s="8" t="s">
        <v>23611</v>
      </c>
      <c r="B11827" s="8" t="s">
        <v>65427</v>
      </c>
      <c r="C11827" s="8" t="s">
        <v>23612</v>
      </c>
      <c r="D11827" s="8"/>
      <c r="E11827" s="6"/>
      <c r="F11827" s="6"/>
    </row>
    <row r="11828" spans="1:6" x14ac:dyDescent="0.3">
      <c r="A11828" s="8" t="s">
        <v>23613</v>
      </c>
      <c r="B11828" s="8" t="s">
        <v>65428</v>
      </c>
      <c r="C11828" s="8" t="s">
        <v>23614</v>
      </c>
      <c r="D11828" s="8"/>
      <c r="E11828" s="6"/>
      <c r="F11828" s="6"/>
    </row>
    <row r="11829" spans="1:6" x14ac:dyDescent="0.3">
      <c r="A11829" s="8" t="s">
        <v>23615</v>
      </c>
      <c r="B11829" s="8" t="s">
        <v>65429</v>
      </c>
      <c r="C11829" s="8" t="s">
        <v>23616</v>
      </c>
      <c r="D11829" s="8"/>
      <c r="E11829" s="6"/>
      <c r="F11829" s="6"/>
    </row>
    <row r="11830" spans="1:6" x14ac:dyDescent="0.3">
      <c r="A11830" s="8" t="s">
        <v>23617</v>
      </c>
      <c r="B11830" s="8" t="s">
        <v>65430</v>
      </c>
      <c r="C11830" s="8" t="s">
        <v>23618</v>
      </c>
      <c r="D11830" s="8"/>
      <c r="E11830" s="6"/>
      <c r="F11830" s="6"/>
    </row>
    <row r="11831" spans="1:6" x14ac:dyDescent="0.3">
      <c r="A11831" s="8" t="s">
        <v>23619</v>
      </c>
      <c r="B11831" s="8" t="s">
        <v>65431</v>
      </c>
      <c r="C11831" s="8" t="s">
        <v>23620</v>
      </c>
      <c r="D11831" s="8"/>
      <c r="E11831" s="6"/>
      <c r="F11831" s="6"/>
    </row>
    <row r="11832" spans="1:6" x14ac:dyDescent="0.3">
      <c r="A11832" s="8" t="s">
        <v>23621</v>
      </c>
      <c r="B11832" s="8" t="s">
        <v>65432</v>
      </c>
      <c r="C11832" s="8" t="s">
        <v>23622</v>
      </c>
      <c r="D11832" s="8"/>
      <c r="E11832" s="6"/>
      <c r="F11832" s="6"/>
    </row>
    <row r="11833" spans="1:6" x14ac:dyDescent="0.3">
      <c r="A11833" s="8" t="s">
        <v>23623</v>
      </c>
      <c r="B11833" s="8" t="s">
        <v>65433</v>
      </c>
      <c r="C11833" s="8" t="s">
        <v>23624</v>
      </c>
      <c r="D11833" s="8"/>
      <c r="E11833" s="6"/>
      <c r="F11833" s="6"/>
    </row>
    <row r="11834" spans="1:6" x14ac:dyDescent="0.3">
      <c r="A11834" s="8" t="s">
        <v>23625</v>
      </c>
      <c r="B11834" s="8" t="s">
        <v>65434</v>
      </c>
      <c r="C11834" s="8" t="s">
        <v>23626</v>
      </c>
      <c r="D11834" s="8"/>
      <c r="E11834" s="6"/>
      <c r="F11834" s="6"/>
    </row>
    <row r="11835" spans="1:6" x14ac:dyDescent="0.3">
      <c r="A11835" s="8" t="s">
        <v>23627</v>
      </c>
      <c r="B11835" s="8" t="s">
        <v>65435</v>
      </c>
      <c r="C11835" s="8" t="s">
        <v>23628</v>
      </c>
      <c r="D11835" s="8"/>
      <c r="E11835" s="6"/>
      <c r="F11835" s="6"/>
    </row>
    <row r="11836" spans="1:6" x14ac:dyDescent="0.3">
      <c r="A11836" s="8" t="s">
        <v>23629</v>
      </c>
      <c r="B11836" s="8" t="s">
        <v>65436</v>
      </c>
      <c r="C11836" s="8" t="s">
        <v>23630</v>
      </c>
      <c r="D11836" s="8"/>
      <c r="E11836" s="6"/>
      <c r="F11836" s="6"/>
    </row>
    <row r="11837" spans="1:6" x14ac:dyDescent="0.3">
      <c r="A11837" s="8" t="s">
        <v>23631</v>
      </c>
      <c r="B11837" s="8" t="s">
        <v>65437</v>
      </c>
      <c r="C11837" s="8" t="s">
        <v>23632</v>
      </c>
      <c r="D11837" s="8"/>
      <c r="E11837" s="6"/>
      <c r="F11837" s="6"/>
    </row>
    <row r="11838" spans="1:6" x14ac:dyDescent="0.3">
      <c r="A11838" s="8" t="s">
        <v>23633</v>
      </c>
      <c r="B11838" s="8" t="s">
        <v>65438</v>
      </c>
      <c r="C11838" s="8" t="s">
        <v>23634</v>
      </c>
      <c r="D11838" s="8"/>
      <c r="E11838" s="6"/>
      <c r="F11838" s="6"/>
    </row>
    <row r="11839" spans="1:6" x14ac:dyDescent="0.3">
      <c r="A11839" s="8" t="s">
        <v>23635</v>
      </c>
      <c r="B11839" s="8" t="s">
        <v>65439</v>
      </c>
      <c r="C11839" s="8" t="s">
        <v>23636</v>
      </c>
      <c r="D11839" s="8"/>
      <c r="E11839" s="6"/>
      <c r="F11839" s="6"/>
    </row>
    <row r="11840" spans="1:6" x14ac:dyDescent="0.3">
      <c r="A11840" s="8" t="s">
        <v>23637</v>
      </c>
      <c r="B11840" s="8" t="s">
        <v>65440</v>
      </c>
      <c r="C11840" s="8" t="s">
        <v>23638</v>
      </c>
      <c r="D11840" s="8"/>
      <c r="E11840" s="6"/>
      <c r="F11840" s="6"/>
    </row>
    <row r="11841" spans="1:6" x14ac:dyDescent="0.3">
      <c r="A11841" s="8" t="s">
        <v>23639</v>
      </c>
      <c r="B11841" s="8" t="s">
        <v>65441</v>
      </c>
      <c r="C11841" s="8" t="s">
        <v>23640</v>
      </c>
      <c r="D11841" s="8"/>
      <c r="E11841" s="6"/>
      <c r="F11841" s="6"/>
    </row>
    <row r="11842" spans="1:6" x14ac:dyDescent="0.3">
      <c r="A11842" s="8" t="s">
        <v>23641</v>
      </c>
      <c r="B11842" s="8" t="s">
        <v>65442</v>
      </c>
      <c r="C11842" s="8" t="s">
        <v>23642</v>
      </c>
      <c r="D11842" s="8"/>
      <c r="E11842" s="6"/>
      <c r="F11842" s="6"/>
    </row>
    <row r="11843" spans="1:6" x14ac:dyDescent="0.3">
      <c r="A11843" s="8" t="s">
        <v>23643</v>
      </c>
      <c r="B11843" s="8" t="s">
        <v>65443</v>
      </c>
      <c r="C11843" s="8" t="s">
        <v>23644</v>
      </c>
      <c r="D11843" s="8"/>
      <c r="E11843" s="6"/>
      <c r="F11843" s="6"/>
    </row>
    <row r="11844" spans="1:6" x14ac:dyDescent="0.3">
      <c r="A11844" s="8" t="s">
        <v>23645</v>
      </c>
      <c r="B11844" s="8" t="s">
        <v>65444</v>
      </c>
      <c r="C11844" s="8" t="s">
        <v>23646</v>
      </c>
      <c r="D11844" s="8"/>
      <c r="E11844" s="6"/>
      <c r="F11844" s="6"/>
    </row>
    <row r="11845" spans="1:6" x14ac:dyDescent="0.3">
      <c r="A11845" s="8" t="s">
        <v>23647</v>
      </c>
      <c r="B11845" s="8" t="s">
        <v>65445</v>
      </c>
      <c r="C11845" s="8" t="s">
        <v>23648</v>
      </c>
      <c r="D11845" s="8"/>
      <c r="E11845" s="6"/>
      <c r="F11845" s="6"/>
    </row>
    <row r="11846" spans="1:6" x14ac:dyDescent="0.3">
      <c r="A11846" s="8" t="s">
        <v>23649</v>
      </c>
      <c r="B11846" s="8" t="s">
        <v>65446</v>
      </c>
      <c r="C11846" s="8" t="s">
        <v>23650</v>
      </c>
      <c r="D11846" s="8"/>
      <c r="E11846" s="6"/>
      <c r="F11846" s="6"/>
    </row>
    <row r="11847" spans="1:6" x14ac:dyDescent="0.3">
      <c r="A11847" s="8" t="s">
        <v>23651</v>
      </c>
      <c r="B11847" s="8" t="s">
        <v>65447</v>
      </c>
      <c r="C11847" s="8" t="s">
        <v>23652</v>
      </c>
      <c r="D11847" s="8"/>
      <c r="E11847" s="6"/>
      <c r="F11847" s="6"/>
    </row>
    <row r="11848" spans="1:6" x14ac:dyDescent="0.3">
      <c r="A11848" s="8" t="s">
        <v>23653</v>
      </c>
      <c r="B11848" s="8" t="s">
        <v>65448</v>
      </c>
      <c r="C11848" s="8" t="s">
        <v>23654</v>
      </c>
      <c r="D11848" s="8"/>
      <c r="E11848" s="6"/>
      <c r="F11848" s="6"/>
    </row>
    <row r="11849" spans="1:6" x14ac:dyDescent="0.3">
      <c r="A11849" s="8" t="s">
        <v>23655</v>
      </c>
      <c r="B11849" s="8" t="s">
        <v>65449</v>
      </c>
      <c r="C11849" s="8" t="s">
        <v>23656</v>
      </c>
      <c r="D11849" s="8"/>
      <c r="E11849" s="6"/>
      <c r="F11849" s="6"/>
    </row>
    <row r="11850" spans="1:6" x14ac:dyDescent="0.3">
      <c r="A11850" s="8" t="s">
        <v>23657</v>
      </c>
      <c r="B11850" s="8" t="s">
        <v>65450</v>
      </c>
      <c r="C11850" s="8" t="s">
        <v>23658</v>
      </c>
      <c r="D11850" s="8"/>
      <c r="E11850" s="6"/>
      <c r="F11850" s="6"/>
    </row>
    <row r="11851" spans="1:6" x14ac:dyDescent="0.3">
      <c r="A11851" s="8" t="s">
        <v>23659</v>
      </c>
      <c r="B11851" s="8" t="s">
        <v>65451</v>
      </c>
      <c r="C11851" s="8" t="s">
        <v>23660</v>
      </c>
      <c r="D11851" s="8"/>
      <c r="E11851" s="6"/>
      <c r="F11851" s="6"/>
    </row>
    <row r="11852" spans="1:6" x14ac:dyDescent="0.3">
      <c r="A11852" s="8" t="s">
        <v>23661</v>
      </c>
      <c r="B11852" s="8" t="s">
        <v>65452</v>
      </c>
      <c r="C11852" s="8" t="s">
        <v>23662</v>
      </c>
      <c r="D11852" s="8"/>
      <c r="E11852" s="6"/>
      <c r="F11852" s="6"/>
    </row>
    <row r="11853" spans="1:6" x14ac:dyDescent="0.3">
      <c r="A11853" s="8" t="s">
        <v>23663</v>
      </c>
      <c r="B11853" s="8" t="s">
        <v>65453</v>
      </c>
      <c r="C11853" s="8" t="s">
        <v>23664</v>
      </c>
      <c r="D11853" s="8"/>
      <c r="E11853" s="6"/>
      <c r="F11853" s="6"/>
    </row>
    <row r="11854" spans="1:6" x14ac:dyDescent="0.3">
      <c r="A11854" s="8" t="s">
        <v>23665</v>
      </c>
      <c r="B11854" s="8" t="s">
        <v>65454</v>
      </c>
      <c r="C11854" s="8" t="s">
        <v>23666</v>
      </c>
      <c r="D11854" s="8"/>
      <c r="E11854" s="6"/>
      <c r="F11854" s="6"/>
    </row>
    <row r="11855" spans="1:6" x14ac:dyDescent="0.3">
      <c r="A11855" s="8" t="s">
        <v>23667</v>
      </c>
      <c r="B11855" s="8" t="s">
        <v>65455</v>
      </c>
      <c r="C11855" s="8" t="s">
        <v>23668</v>
      </c>
      <c r="D11855" s="8"/>
      <c r="E11855" s="6"/>
      <c r="F11855" s="6"/>
    </row>
    <row r="11856" spans="1:6" x14ac:dyDescent="0.3">
      <c r="A11856" s="8" t="s">
        <v>23669</v>
      </c>
      <c r="B11856" s="8" t="s">
        <v>65456</v>
      </c>
      <c r="C11856" s="8" t="s">
        <v>23670</v>
      </c>
      <c r="D11856" s="8"/>
      <c r="E11856" s="6"/>
      <c r="F11856" s="6"/>
    </row>
    <row r="11857" spans="1:6" x14ac:dyDescent="0.3">
      <c r="A11857" s="8" t="s">
        <v>23671</v>
      </c>
      <c r="B11857" s="8" t="s">
        <v>65457</v>
      </c>
      <c r="C11857" s="8" t="s">
        <v>23672</v>
      </c>
      <c r="D11857" s="8"/>
      <c r="E11857" s="6"/>
      <c r="F11857" s="6"/>
    </row>
    <row r="11858" spans="1:6" x14ac:dyDescent="0.3">
      <c r="A11858" s="8" t="s">
        <v>23673</v>
      </c>
      <c r="B11858" s="8" t="s">
        <v>65458</v>
      </c>
      <c r="C11858" s="8" t="s">
        <v>23674</v>
      </c>
      <c r="D11858" s="8"/>
      <c r="E11858" s="6"/>
      <c r="F11858" s="6"/>
    </row>
    <row r="11859" spans="1:6" x14ac:dyDescent="0.3">
      <c r="A11859" s="8" t="s">
        <v>23675</v>
      </c>
      <c r="B11859" s="8" t="s">
        <v>65459</v>
      </c>
      <c r="C11859" s="8" t="s">
        <v>23676</v>
      </c>
      <c r="D11859" s="8"/>
      <c r="E11859" s="6"/>
      <c r="F11859" s="6"/>
    </row>
    <row r="11860" spans="1:6" x14ac:dyDescent="0.3">
      <c r="A11860" s="8" t="s">
        <v>23677</v>
      </c>
      <c r="B11860" s="8" t="s">
        <v>65460</v>
      </c>
      <c r="C11860" s="8" t="s">
        <v>23678</v>
      </c>
      <c r="D11860" s="8"/>
      <c r="E11860" s="6"/>
      <c r="F11860" s="6"/>
    </row>
    <row r="11861" spans="1:6" x14ac:dyDescent="0.3">
      <c r="A11861" s="8" t="s">
        <v>23679</v>
      </c>
      <c r="B11861" s="8" t="s">
        <v>65461</v>
      </c>
      <c r="C11861" s="8" t="s">
        <v>23680</v>
      </c>
      <c r="D11861" s="8"/>
      <c r="E11861" s="6"/>
      <c r="F11861" s="6"/>
    </row>
    <row r="11862" spans="1:6" x14ac:dyDescent="0.3">
      <c r="A11862" s="8" t="s">
        <v>23681</v>
      </c>
      <c r="B11862" s="8" t="s">
        <v>65462</v>
      </c>
      <c r="C11862" s="8" t="s">
        <v>23682</v>
      </c>
      <c r="D11862" s="8"/>
      <c r="E11862" s="6"/>
      <c r="F11862" s="6"/>
    </row>
    <row r="11863" spans="1:6" x14ac:dyDescent="0.3">
      <c r="A11863" s="8" t="s">
        <v>23683</v>
      </c>
      <c r="B11863" s="8" t="s">
        <v>65463</v>
      </c>
      <c r="C11863" s="8" t="s">
        <v>23684</v>
      </c>
      <c r="D11863" s="8"/>
      <c r="E11863" s="6"/>
      <c r="F11863" s="6"/>
    </row>
    <row r="11864" spans="1:6" x14ac:dyDescent="0.3">
      <c r="A11864" s="8" t="s">
        <v>23685</v>
      </c>
      <c r="B11864" s="8" t="s">
        <v>65464</v>
      </c>
      <c r="C11864" s="8" t="s">
        <v>23686</v>
      </c>
      <c r="D11864" s="8"/>
      <c r="E11864" s="6"/>
      <c r="F11864" s="6"/>
    </row>
    <row r="11865" spans="1:6" x14ac:dyDescent="0.3">
      <c r="A11865" s="8" t="s">
        <v>23687</v>
      </c>
      <c r="B11865" s="8" t="s">
        <v>65465</v>
      </c>
      <c r="C11865" s="8" t="s">
        <v>23688</v>
      </c>
      <c r="D11865" s="8"/>
      <c r="E11865" s="6"/>
      <c r="F11865" s="6"/>
    </row>
    <row r="11866" spans="1:6" x14ac:dyDescent="0.3">
      <c r="A11866" s="8" t="s">
        <v>23689</v>
      </c>
      <c r="B11866" s="8" t="s">
        <v>65466</v>
      </c>
      <c r="C11866" s="8" t="s">
        <v>23690</v>
      </c>
      <c r="D11866" s="8"/>
      <c r="E11866" s="6"/>
      <c r="F11866" s="6"/>
    </row>
    <row r="11867" spans="1:6" x14ac:dyDescent="0.3">
      <c r="A11867" s="8" t="s">
        <v>23691</v>
      </c>
      <c r="B11867" s="8" t="s">
        <v>65467</v>
      </c>
      <c r="C11867" s="8" t="s">
        <v>23692</v>
      </c>
      <c r="D11867" s="8"/>
      <c r="E11867" s="6"/>
      <c r="F11867" s="6"/>
    </row>
    <row r="11868" spans="1:6" x14ac:dyDescent="0.3">
      <c r="A11868" s="8" t="s">
        <v>23693</v>
      </c>
      <c r="B11868" s="8" t="s">
        <v>65468</v>
      </c>
      <c r="C11868" s="8" t="s">
        <v>23694</v>
      </c>
      <c r="D11868" s="8"/>
      <c r="E11868" s="6"/>
      <c r="F11868" s="6"/>
    </row>
    <row r="11869" spans="1:6" x14ac:dyDescent="0.3">
      <c r="A11869" s="8" t="s">
        <v>23695</v>
      </c>
      <c r="B11869" s="8" t="s">
        <v>65469</v>
      </c>
      <c r="C11869" s="8" t="s">
        <v>23696</v>
      </c>
      <c r="D11869" s="8"/>
      <c r="E11869" s="6"/>
      <c r="F11869" s="6"/>
    </row>
    <row r="11870" spans="1:6" x14ac:dyDescent="0.3">
      <c r="A11870" s="8" t="s">
        <v>23697</v>
      </c>
      <c r="B11870" s="8" t="s">
        <v>65470</v>
      </c>
      <c r="C11870" s="8" t="s">
        <v>23698</v>
      </c>
      <c r="D11870" s="8"/>
      <c r="E11870" s="6"/>
      <c r="F11870" s="6"/>
    </row>
    <row r="11871" spans="1:6" x14ac:dyDescent="0.3">
      <c r="A11871" s="8" t="s">
        <v>23699</v>
      </c>
      <c r="B11871" s="8" t="s">
        <v>65471</v>
      </c>
      <c r="C11871" s="8" t="s">
        <v>23700</v>
      </c>
      <c r="D11871" s="8"/>
      <c r="E11871" s="6"/>
      <c r="F11871" s="6"/>
    </row>
    <row r="11872" spans="1:6" x14ac:dyDescent="0.3">
      <c r="A11872" s="8" t="s">
        <v>23701</v>
      </c>
      <c r="B11872" s="8" t="s">
        <v>65472</v>
      </c>
      <c r="C11872" s="8" t="s">
        <v>23702</v>
      </c>
      <c r="D11872" s="8"/>
      <c r="E11872" s="6"/>
      <c r="F11872" s="6"/>
    </row>
    <row r="11873" spans="1:6" x14ac:dyDescent="0.3">
      <c r="A11873" s="8" t="s">
        <v>23703</v>
      </c>
      <c r="B11873" s="8" t="s">
        <v>65473</v>
      </c>
      <c r="C11873" s="8" t="s">
        <v>23704</v>
      </c>
      <c r="D11873" s="8"/>
      <c r="E11873" s="6"/>
      <c r="F11873" s="6"/>
    </row>
    <row r="11874" spans="1:6" x14ac:dyDescent="0.3">
      <c r="A11874" s="8" t="s">
        <v>23705</v>
      </c>
      <c r="B11874" s="8" t="s">
        <v>65474</v>
      </c>
      <c r="C11874" s="8" t="s">
        <v>23706</v>
      </c>
      <c r="D11874" s="8"/>
      <c r="E11874" s="6"/>
      <c r="F11874" s="6"/>
    </row>
    <row r="11875" spans="1:6" x14ac:dyDescent="0.3">
      <c r="A11875" s="8" t="s">
        <v>23707</v>
      </c>
      <c r="B11875" s="8" t="s">
        <v>65475</v>
      </c>
      <c r="C11875" s="8" t="s">
        <v>23708</v>
      </c>
      <c r="D11875" s="8"/>
      <c r="E11875" s="6"/>
      <c r="F11875" s="6"/>
    </row>
    <row r="11876" spans="1:6" x14ac:dyDescent="0.3">
      <c r="A11876" s="8" t="s">
        <v>23709</v>
      </c>
      <c r="B11876" s="8" t="s">
        <v>65476</v>
      </c>
      <c r="C11876" s="8" t="s">
        <v>23710</v>
      </c>
      <c r="D11876" s="8"/>
      <c r="E11876" s="6"/>
      <c r="F11876" s="6"/>
    </row>
    <row r="11877" spans="1:6" x14ac:dyDescent="0.3">
      <c r="A11877" s="8" t="s">
        <v>23711</v>
      </c>
      <c r="B11877" s="8" t="s">
        <v>65477</v>
      </c>
      <c r="C11877" s="8" t="s">
        <v>23712</v>
      </c>
      <c r="D11877" s="8"/>
      <c r="E11877" s="6"/>
      <c r="F11877" s="6"/>
    </row>
    <row r="11878" spans="1:6" x14ac:dyDescent="0.3">
      <c r="A11878" s="8" t="s">
        <v>23713</v>
      </c>
      <c r="B11878" s="8" t="s">
        <v>65478</v>
      </c>
      <c r="C11878" s="8" t="s">
        <v>23714</v>
      </c>
      <c r="D11878" s="8"/>
      <c r="E11878" s="6"/>
      <c r="F11878" s="6"/>
    </row>
    <row r="11879" spans="1:6" x14ac:dyDescent="0.3">
      <c r="A11879" s="8" t="s">
        <v>23715</v>
      </c>
      <c r="B11879" s="8" t="s">
        <v>65479</v>
      </c>
      <c r="C11879" s="8" t="s">
        <v>23716</v>
      </c>
      <c r="D11879" s="8"/>
      <c r="E11879" s="6"/>
      <c r="F11879" s="6"/>
    </row>
    <row r="11880" spans="1:6" x14ac:dyDescent="0.3">
      <c r="A11880" s="8" t="s">
        <v>23717</v>
      </c>
      <c r="B11880" s="8" t="s">
        <v>65480</v>
      </c>
      <c r="C11880" s="8" t="s">
        <v>23718</v>
      </c>
      <c r="D11880" s="8"/>
      <c r="E11880" s="6"/>
      <c r="F11880" s="6"/>
    </row>
    <row r="11881" spans="1:6" x14ac:dyDescent="0.3">
      <c r="A11881" s="8" t="s">
        <v>23719</v>
      </c>
      <c r="B11881" s="8" t="s">
        <v>65481</v>
      </c>
      <c r="C11881" s="8" t="s">
        <v>23720</v>
      </c>
      <c r="D11881" s="8"/>
      <c r="E11881" s="6"/>
      <c r="F11881" s="6"/>
    </row>
    <row r="11882" spans="1:6" x14ac:dyDescent="0.3">
      <c r="A11882" s="8" t="s">
        <v>23721</v>
      </c>
      <c r="B11882" s="8" t="s">
        <v>65482</v>
      </c>
      <c r="C11882" s="8" t="s">
        <v>23722</v>
      </c>
      <c r="D11882" s="8"/>
      <c r="E11882" s="6"/>
      <c r="F11882" s="6"/>
    </row>
    <row r="11883" spans="1:6" x14ac:dyDescent="0.3">
      <c r="A11883" s="8" t="s">
        <v>23723</v>
      </c>
      <c r="B11883" s="8" t="s">
        <v>65483</v>
      </c>
      <c r="C11883" s="8" t="s">
        <v>23724</v>
      </c>
      <c r="D11883" s="8"/>
      <c r="E11883" s="6"/>
      <c r="F11883" s="6"/>
    </row>
    <row r="11884" spans="1:6" x14ac:dyDescent="0.3">
      <c r="A11884" s="8" t="s">
        <v>23725</v>
      </c>
      <c r="B11884" s="8" t="s">
        <v>65484</v>
      </c>
      <c r="C11884" s="8" t="s">
        <v>23726</v>
      </c>
      <c r="D11884" s="8"/>
      <c r="E11884" s="6"/>
      <c r="F11884" s="6"/>
    </row>
    <row r="11885" spans="1:6" x14ac:dyDescent="0.3">
      <c r="A11885" s="8" t="s">
        <v>23727</v>
      </c>
      <c r="B11885" s="8" t="s">
        <v>65485</v>
      </c>
      <c r="C11885" s="8" t="s">
        <v>23728</v>
      </c>
      <c r="D11885" s="8"/>
      <c r="E11885" s="6"/>
      <c r="F11885" s="6"/>
    </row>
    <row r="11886" spans="1:6" x14ac:dyDescent="0.3">
      <c r="A11886" s="8" t="s">
        <v>23729</v>
      </c>
      <c r="B11886" s="8" t="s">
        <v>65486</v>
      </c>
      <c r="C11886" s="8" t="s">
        <v>23730</v>
      </c>
      <c r="D11886" s="8"/>
      <c r="E11886" s="6"/>
      <c r="F11886" s="6"/>
    </row>
    <row r="11887" spans="1:6" x14ac:dyDescent="0.3">
      <c r="A11887" s="8" t="s">
        <v>23731</v>
      </c>
      <c r="B11887" s="8" t="s">
        <v>65487</v>
      </c>
      <c r="C11887" s="8" t="s">
        <v>23732</v>
      </c>
      <c r="D11887" s="8"/>
      <c r="E11887" s="6"/>
      <c r="F11887" s="6"/>
    </row>
    <row r="11888" spans="1:6" x14ac:dyDescent="0.3">
      <c r="A11888" s="8" t="s">
        <v>23733</v>
      </c>
      <c r="B11888" s="8" t="s">
        <v>65488</v>
      </c>
      <c r="C11888" s="8" t="s">
        <v>23734</v>
      </c>
      <c r="D11888" s="8"/>
      <c r="E11888" s="6"/>
      <c r="F11888" s="6"/>
    </row>
    <row r="11889" spans="1:6" x14ac:dyDescent="0.3">
      <c r="A11889" s="8" t="s">
        <v>23735</v>
      </c>
      <c r="B11889" s="8" t="s">
        <v>65489</v>
      </c>
      <c r="C11889" s="8" t="s">
        <v>23736</v>
      </c>
      <c r="D11889" s="8"/>
      <c r="E11889" s="6"/>
      <c r="F11889" s="6"/>
    </row>
    <row r="11890" spans="1:6" x14ac:dyDescent="0.3">
      <c r="A11890" s="8" t="s">
        <v>23737</v>
      </c>
      <c r="B11890" s="8" t="s">
        <v>65490</v>
      </c>
      <c r="C11890" s="8" t="s">
        <v>23738</v>
      </c>
      <c r="D11890" s="8"/>
      <c r="E11890" s="6"/>
      <c r="F11890" s="6"/>
    </row>
    <row r="11891" spans="1:6" x14ac:dyDescent="0.3">
      <c r="A11891" s="8" t="s">
        <v>23739</v>
      </c>
      <c r="B11891" s="8" t="s">
        <v>65491</v>
      </c>
      <c r="C11891" s="8" t="s">
        <v>23740</v>
      </c>
      <c r="D11891" s="8"/>
      <c r="E11891" s="6"/>
      <c r="F11891" s="6"/>
    </row>
    <row r="11892" spans="1:6" x14ac:dyDescent="0.3">
      <c r="A11892" s="8" t="s">
        <v>23741</v>
      </c>
      <c r="B11892" s="8" t="s">
        <v>65492</v>
      </c>
      <c r="C11892" s="8" t="s">
        <v>23742</v>
      </c>
      <c r="D11892" s="8"/>
      <c r="E11892" s="6"/>
      <c r="F11892" s="6"/>
    </row>
    <row r="11893" spans="1:6" x14ac:dyDescent="0.3">
      <c r="A11893" s="8" t="s">
        <v>23743</v>
      </c>
      <c r="B11893" s="8" t="s">
        <v>65493</v>
      </c>
      <c r="C11893" s="8" t="s">
        <v>23744</v>
      </c>
      <c r="D11893" s="8"/>
      <c r="E11893" s="6"/>
      <c r="F11893" s="6"/>
    </row>
    <row r="11894" spans="1:6" x14ac:dyDescent="0.3">
      <c r="A11894" s="8" t="s">
        <v>23745</v>
      </c>
      <c r="B11894" s="8" t="s">
        <v>65494</v>
      </c>
      <c r="C11894" s="8" t="s">
        <v>23746</v>
      </c>
      <c r="D11894" s="8"/>
      <c r="E11894" s="6"/>
      <c r="F11894" s="6"/>
    </row>
    <row r="11895" spans="1:6" x14ac:dyDescent="0.3">
      <c r="A11895" s="8" t="s">
        <v>23747</v>
      </c>
      <c r="B11895" s="8" t="s">
        <v>65495</v>
      </c>
      <c r="C11895" s="8" t="s">
        <v>23748</v>
      </c>
      <c r="D11895" s="8"/>
      <c r="E11895" s="6"/>
      <c r="F11895" s="6"/>
    </row>
    <row r="11896" spans="1:6" x14ac:dyDescent="0.3">
      <c r="A11896" s="8" t="s">
        <v>23749</v>
      </c>
      <c r="B11896" s="8" t="s">
        <v>65496</v>
      </c>
      <c r="C11896" s="8" t="s">
        <v>23750</v>
      </c>
      <c r="D11896" s="8"/>
      <c r="E11896" s="6"/>
      <c r="F11896" s="6"/>
    </row>
    <row r="11897" spans="1:6" x14ac:dyDescent="0.3">
      <c r="A11897" s="8" t="s">
        <v>23751</v>
      </c>
      <c r="B11897" s="8" t="s">
        <v>65497</v>
      </c>
      <c r="C11897" s="8" t="s">
        <v>23752</v>
      </c>
      <c r="D11897" s="8"/>
      <c r="E11897" s="6"/>
      <c r="F11897" s="6"/>
    </row>
    <row r="11898" spans="1:6" x14ac:dyDescent="0.3">
      <c r="A11898" s="8" t="s">
        <v>23753</v>
      </c>
      <c r="B11898" s="8" t="s">
        <v>65498</v>
      </c>
      <c r="C11898" s="8" t="s">
        <v>23754</v>
      </c>
      <c r="D11898" s="8"/>
      <c r="E11898" s="6"/>
      <c r="F11898" s="6"/>
    </row>
    <row r="11899" spans="1:6" x14ac:dyDescent="0.3">
      <c r="A11899" s="8" t="s">
        <v>23755</v>
      </c>
      <c r="B11899" s="8" t="s">
        <v>65499</v>
      </c>
      <c r="C11899" s="8" t="s">
        <v>23756</v>
      </c>
      <c r="D11899" s="8"/>
      <c r="E11899" s="6"/>
      <c r="F11899" s="6"/>
    </row>
    <row r="11900" spans="1:6" x14ac:dyDescent="0.3">
      <c r="A11900" s="8" t="s">
        <v>23757</v>
      </c>
      <c r="B11900" s="8" t="s">
        <v>65500</v>
      </c>
      <c r="C11900" s="8" t="s">
        <v>23758</v>
      </c>
      <c r="D11900" s="8"/>
      <c r="E11900" s="6"/>
      <c r="F11900" s="6"/>
    </row>
    <row r="11901" spans="1:6" x14ac:dyDescent="0.3">
      <c r="A11901" s="8" t="s">
        <v>23759</v>
      </c>
      <c r="B11901" s="8" t="s">
        <v>65501</v>
      </c>
      <c r="C11901" s="8" t="s">
        <v>23760</v>
      </c>
      <c r="D11901" s="8"/>
      <c r="E11901" s="6"/>
      <c r="F11901" s="6"/>
    </row>
    <row r="11902" spans="1:6" x14ac:dyDescent="0.3">
      <c r="A11902" s="8" t="s">
        <v>23761</v>
      </c>
      <c r="B11902" s="8" t="s">
        <v>65502</v>
      </c>
      <c r="C11902" s="8" t="s">
        <v>23762</v>
      </c>
      <c r="D11902" s="8"/>
      <c r="E11902" s="6"/>
      <c r="F11902" s="6"/>
    </row>
    <row r="11903" spans="1:6" x14ac:dyDescent="0.3">
      <c r="A11903" s="8" t="s">
        <v>23763</v>
      </c>
      <c r="B11903" s="8" t="s">
        <v>65503</v>
      </c>
      <c r="C11903" s="8" t="s">
        <v>23764</v>
      </c>
      <c r="D11903" s="8"/>
      <c r="E11903" s="6"/>
      <c r="F11903" s="6"/>
    </row>
    <row r="11904" spans="1:6" x14ac:dyDescent="0.3">
      <c r="A11904" s="8" t="s">
        <v>23765</v>
      </c>
      <c r="B11904" s="8" t="s">
        <v>65504</v>
      </c>
      <c r="C11904" s="8" t="s">
        <v>23766</v>
      </c>
      <c r="D11904" s="8"/>
      <c r="E11904" s="6"/>
      <c r="F11904" s="6"/>
    </row>
    <row r="11905" spans="1:6" x14ac:dyDescent="0.3">
      <c r="A11905" s="8" t="s">
        <v>23767</v>
      </c>
      <c r="B11905" s="8" t="s">
        <v>65505</v>
      </c>
      <c r="C11905" s="8" t="s">
        <v>23768</v>
      </c>
      <c r="D11905" s="8"/>
      <c r="E11905" s="6"/>
      <c r="F11905" s="6"/>
    </row>
    <row r="11906" spans="1:6" x14ac:dyDescent="0.3">
      <c r="A11906" s="8" t="s">
        <v>23769</v>
      </c>
      <c r="B11906" s="8" t="s">
        <v>65506</v>
      </c>
      <c r="C11906" s="8" t="s">
        <v>23770</v>
      </c>
      <c r="D11906" s="8"/>
      <c r="E11906" s="6"/>
      <c r="F11906" s="6"/>
    </row>
    <row r="11907" spans="1:6" x14ac:dyDescent="0.3">
      <c r="A11907" s="8" t="s">
        <v>23771</v>
      </c>
      <c r="B11907" s="8" t="s">
        <v>65507</v>
      </c>
      <c r="C11907" s="8" t="s">
        <v>23772</v>
      </c>
      <c r="D11907" s="8"/>
      <c r="E11907" s="6"/>
      <c r="F11907" s="6"/>
    </row>
    <row r="11908" spans="1:6" x14ac:dyDescent="0.3">
      <c r="A11908" s="8" t="s">
        <v>23773</v>
      </c>
      <c r="B11908" s="8" t="s">
        <v>65508</v>
      </c>
      <c r="C11908" s="8" t="s">
        <v>23774</v>
      </c>
      <c r="D11908" s="8"/>
      <c r="E11908" s="6"/>
      <c r="F11908" s="6"/>
    </row>
    <row r="11909" spans="1:6" x14ac:dyDescent="0.3">
      <c r="A11909" s="8" t="s">
        <v>23775</v>
      </c>
      <c r="B11909" s="8" t="s">
        <v>65509</v>
      </c>
      <c r="C11909" s="8" t="s">
        <v>23776</v>
      </c>
      <c r="D11909" s="8"/>
      <c r="E11909" s="6"/>
      <c r="F11909" s="6"/>
    </row>
    <row r="11910" spans="1:6" x14ac:dyDescent="0.3">
      <c r="A11910" s="8" t="s">
        <v>23777</v>
      </c>
      <c r="B11910" s="8" t="s">
        <v>65510</v>
      </c>
      <c r="C11910" s="8" t="s">
        <v>23778</v>
      </c>
      <c r="D11910" s="8"/>
      <c r="E11910" s="6"/>
      <c r="F11910" s="6"/>
    </row>
    <row r="11911" spans="1:6" x14ac:dyDescent="0.3">
      <c r="A11911" s="8" t="s">
        <v>23779</v>
      </c>
      <c r="B11911" s="8" t="s">
        <v>65511</v>
      </c>
      <c r="C11911" s="8" t="s">
        <v>23780</v>
      </c>
      <c r="D11911" s="8"/>
      <c r="E11911" s="6"/>
      <c r="F11911" s="6"/>
    </row>
    <row r="11912" spans="1:6" x14ac:dyDescent="0.3">
      <c r="A11912" s="8" t="s">
        <v>23781</v>
      </c>
      <c r="B11912" s="8" t="s">
        <v>65512</v>
      </c>
      <c r="C11912" s="8" t="s">
        <v>23782</v>
      </c>
      <c r="D11912" s="8"/>
      <c r="E11912" s="6"/>
      <c r="F11912" s="6"/>
    </row>
    <row r="11913" spans="1:6" x14ac:dyDescent="0.3">
      <c r="A11913" s="8" t="s">
        <v>23783</v>
      </c>
      <c r="B11913" s="8" t="s">
        <v>65513</v>
      </c>
      <c r="C11913" s="8" t="s">
        <v>23784</v>
      </c>
      <c r="D11913" s="8"/>
      <c r="E11913" s="6"/>
      <c r="F11913" s="6"/>
    </row>
    <row r="11914" spans="1:6" x14ac:dyDescent="0.3">
      <c r="A11914" s="8" t="s">
        <v>23785</v>
      </c>
      <c r="B11914" s="8" t="s">
        <v>65514</v>
      </c>
      <c r="C11914" s="8" t="s">
        <v>23786</v>
      </c>
      <c r="D11914" s="8"/>
      <c r="E11914" s="6"/>
      <c r="F11914" s="6"/>
    </row>
    <row r="11915" spans="1:6" x14ac:dyDescent="0.3">
      <c r="A11915" s="8" t="s">
        <v>23787</v>
      </c>
      <c r="B11915" s="8" t="s">
        <v>65515</v>
      </c>
      <c r="C11915" s="8" t="s">
        <v>23788</v>
      </c>
      <c r="D11915" s="8"/>
      <c r="E11915" s="6"/>
      <c r="F11915" s="6"/>
    </row>
    <row r="11916" spans="1:6" x14ac:dyDescent="0.3">
      <c r="A11916" s="8" t="s">
        <v>23789</v>
      </c>
      <c r="B11916" s="8" t="s">
        <v>65516</v>
      </c>
      <c r="C11916" s="8" t="s">
        <v>23790</v>
      </c>
      <c r="D11916" s="8"/>
      <c r="E11916" s="6"/>
      <c r="F11916" s="6"/>
    </row>
    <row r="11917" spans="1:6" x14ac:dyDescent="0.3">
      <c r="A11917" s="8" t="s">
        <v>23791</v>
      </c>
      <c r="B11917" s="8" t="s">
        <v>65517</v>
      </c>
      <c r="C11917" s="8" t="s">
        <v>23792</v>
      </c>
      <c r="D11917" s="8"/>
      <c r="E11917" s="6"/>
      <c r="F11917" s="6"/>
    </row>
    <row r="11918" spans="1:6" x14ac:dyDescent="0.3">
      <c r="A11918" s="8" t="s">
        <v>23793</v>
      </c>
      <c r="B11918" s="8" t="s">
        <v>65518</v>
      </c>
      <c r="C11918" s="8" t="s">
        <v>23794</v>
      </c>
      <c r="D11918" s="8"/>
      <c r="E11918" s="6"/>
      <c r="F11918" s="6"/>
    </row>
    <row r="11919" spans="1:6" x14ac:dyDescent="0.3">
      <c r="A11919" s="8" t="s">
        <v>23795</v>
      </c>
      <c r="B11919" s="8" t="s">
        <v>65519</v>
      </c>
      <c r="C11919" s="8" t="s">
        <v>23796</v>
      </c>
      <c r="D11919" s="8"/>
      <c r="E11919" s="6"/>
      <c r="F11919" s="6"/>
    </row>
    <row r="11920" spans="1:6" x14ac:dyDescent="0.3">
      <c r="A11920" s="8" t="s">
        <v>23797</v>
      </c>
      <c r="B11920" s="8" t="s">
        <v>65520</v>
      </c>
      <c r="C11920" s="8" t="s">
        <v>23798</v>
      </c>
      <c r="D11920" s="8"/>
      <c r="E11920" s="6"/>
      <c r="F11920" s="6"/>
    </row>
    <row r="11921" spans="1:6" x14ac:dyDescent="0.3">
      <c r="A11921" s="8" t="s">
        <v>23799</v>
      </c>
      <c r="B11921" s="8" t="s">
        <v>65521</v>
      </c>
      <c r="C11921" s="8" t="s">
        <v>23800</v>
      </c>
      <c r="D11921" s="8"/>
      <c r="E11921" s="6"/>
      <c r="F11921" s="6"/>
    </row>
    <row r="11922" spans="1:6" x14ac:dyDescent="0.3">
      <c r="A11922" s="8" t="s">
        <v>23801</v>
      </c>
      <c r="B11922" s="8" t="s">
        <v>65522</v>
      </c>
      <c r="C11922" s="8" t="s">
        <v>23802</v>
      </c>
      <c r="D11922" s="8"/>
      <c r="E11922" s="6"/>
      <c r="F11922" s="6"/>
    </row>
    <row r="11923" spans="1:6" x14ac:dyDescent="0.3">
      <c r="A11923" s="8" t="s">
        <v>23803</v>
      </c>
      <c r="B11923" s="8" t="s">
        <v>65523</v>
      </c>
      <c r="C11923" s="8" t="s">
        <v>23804</v>
      </c>
      <c r="D11923" s="8"/>
      <c r="E11923" s="6"/>
      <c r="F11923" s="6"/>
    </row>
    <row r="11924" spans="1:6" x14ac:dyDescent="0.3">
      <c r="A11924" s="8" t="s">
        <v>23805</v>
      </c>
      <c r="B11924" s="8" t="s">
        <v>65524</v>
      </c>
      <c r="C11924" s="8" t="s">
        <v>23806</v>
      </c>
      <c r="D11924" s="8"/>
      <c r="E11924" s="6"/>
      <c r="F11924" s="6"/>
    </row>
    <row r="11925" spans="1:6" x14ac:dyDescent="0.3">
      <c r="A11925" s="8" t="s">
        <v>23807</v>
      </c>
      <c r="B11925" s="8" t="s">
        <v>65525</v>
      </c>
      <c r="C11925" s="8" t="s">
        <v>23808</v>
      </c>
      <c r="D11925" s="8"/>
      <c r="E11925" s="6"/>
      <c r="F11925" s="6"/>
    </row>
    <row r="11926" spans="1:6" x14ac:dyDescent="0.3">
      <c r="A11926" s="8" t="s">
        <v>23809</v>
      </c>
      <c r="B11926" s="8" t="s">
        <v>65526</v>
      </c>
      <c r="C11926" s="8" t="s">
        <v>23810</v>
      </c>
      <c r="D11926" s="8"/>
      <c r="E11926" s="6"/>
      <c r="F11926" s="6"/>
    </row>
    <row r="11927" spans="1:6" x14ac:dyDescent="0.3">
      <c r="A11927" s="8" t="s">
        <v>23811</v>
      </c>
      <c r="B11927" s="8" t="s">
        <v>65527</v>
      </c>
      <c r="C11927" s="8" t="s">
        <v>23812</v>
      </c>
      <c r="D11927" s="8"/>
      <c r="E11927" s="6"/>
      <c r="F11927" s="6"/>
    </row>
    <row r="11928" spans="1:6" x14ac:dyDescent="0.3">
      <c r="A11928" s="8" t="s">
        <v>23813</v>
      </c>
      <c r="B11928" s="8" t="s">
        <v>65528</v>
      </c>
      <c r="C11928" s="8" t="s">
        <v>23814</v>
      </c>
      <c r="D11928" s="8"/>
      <c r="E11928" s="6"/>
      <c r="F11928" s="6"/>
    </row>
    <row r="11929" spans="1:6" x14ac:dyDescent="0.3">
      <c r="A11929" s="8" t="s">
        <v>23815</v>
      </c>
      <c r="B11929" s="8" t="s">
        <v>65529</v>
      </c>
      <c r="C11929" s="8" t="s">
        <v>23816</v>
      </c>
      <c r="D11929" s="8"/>
      <c r="E11929" s="6"/>
      <c r="F11929" s="6"/>
    </row>
    <row r="11930" spans="1:6" x14ac:dyDescent="0.3">
      <c r="A11930" s="8" t="s">
        <v>23817</v>
      </c>
      <c r="B11930" s="8" t="s">
        <v>65530</v>
      </c>
      <c r="C11930" s="8" t="s">
        <v>23818</v>
      </c>
      <c r="D11930" s="8"/>
      <c r="E11930" s="6"/>
      <c r="F11930" s="6"/>
    </row>
    <row r="11931" spans="1:6" x14ac:dyDescent="0.3">
      <c r="A11931" s="8" t="s">
        <v>23819</v>
      </c>
      <c r="B11931" s="8" t="s">
        <v>65531</v>
      </c>
      <c r="C11931" s="8" t="s">
        <v>23820</v>
      </c>
      <c r="D11931" s="8"/>
      <c r="E11931" s="6"/>
      <c r="F11931" s="6"/>
    </row>
    <row r="11932" spans="1:6" x14ac:dyDescent="0.3">
      <c r="A11932" s="8" t="s">
        <v>23821</v>
      </c>
      <c r="B11932" s="8" t="s">
        <v>65532</v>
      </c>
      <c r="C11932" s="8" t="s">
        <v>23822</v>
      </c>
      <c r="D11932" s="8"/>
      <c r="E11932" s="6"/>
      <c r="F11932" s="6"/>
    </row>
    <row r="11933" spans="1:6" x14ac:dyDescent="0.3">
      <c r="A11933" s="8" t="s">
        <v>23823</v>
      </c>
      <c r="B11933" s="8" t="s">
        <v>65533</v>
      </c>
      <c r="C11933" s="8" t="s">
        <v>23824</v>
      </c>
      <c r="D11933" s="8"/>
      <c r="E11933" s="6"/>
      <c r="F11933" s="6"/>
    </row>
    <row r="11934" spans="1:6" x14ac:dyDescent="0.3">
      <c r="A11934" s="8" t="s">
        <v>23825</v>
      </c>
      <c r="B11934" s="8" t="s">
        <v>65534</v>
      </c>
      <c r="C11934" s="8" t="s">
        <v>23826</v>
      </c>
      <c r="D11934" s="8"/>
      <c r="E11934" s="6"/>
      <c r="F11934" s="6"/>
    </row>
    <row r="11935" spans="1:6" x14ac:dyDescent="0.3">
      <c r="A11935" s="8" t="s">
        <v>23827</v>
      </c>
      <c r="B11935" s="8" t="s">
        <v>65535</v>
      </c>
      <c r="C11935" s="8" t="s">
        <v>23828</v>
      </c>
      <c r="D11935" s="8"/>
      <c r="E11935" s="6"/>
      <c r="F11935" s="6"/>
    </row>
    <row r="11936" spans="1:6" x14ac:dyDescent="0.3">
      <c r="A11936" s="8" t="s">
        <v>23829</v>
      </c>
      <c r="B11936" s="8" t="s">
        <v>65536</v>
      </c>
      <c r="C11936" s="8" t="s">
        <v>23830</v>
      </c>
      <c r="D11936" s="8"/>
      <c r="E11936" s="6"/>
      <c r="F11936" s="6"/>
    </row>
    <row r="11937" spans="1:6" x14ac:dyDescent="0.3">
      <c r="A11937" s="8" t="s">
        <v>23831</v>
      </c>
      <c r="B11937" s="8" t="s">
        <v>65537</v>
      </c>
      <c r="C11937" s="8" t="s">
        <v>23832</v>
      </c>
      <c r="D11937" s="8"/>
      <c r="E11937" s="6"/>
      <c r="F11937" s="6"/>
    </row>
    <row r="11938" spans="1:6" x14ac:dyDescent="0.3">
      <c r="A11938" s="8" t="s">
        <v>23833</v>
      </c>
      <c r="B11938" s="8" t="s">
        <v>65538</v>
      </c>
      <c r="C11938" s="8" t="s">
        <v>23834</v>
      </c>
      <c r="D11938" s="8"/>
      <c r="E11938" s="6"/>
      <c r="F11938" s="6"/>
    </row>
    <row r="11939" spans="1:6" x14ac:dyDescent="0.3">
      <c r="A11939" s="8" t="s">
        <v>23835</v>
      </c>
      <c r="B11939" s="8" t="s">
        <v>65539</v>
      </c>
      <c r="C11939" s="8" t="s">
        <v>23836</v>
      </c>
      <c r="D11939" s="8"/>
      <c r="E11939" s="6"/>
      <c r="F11939" s="6"/>
    </row>
    <row r="11940" spans="1:6" x14ac:dyDescent="0.3">
      <c r="A11940" s="8" t="s">
        <v>23837</v>
      </c>
      <c r="B11940" s="8" t="s">
        <v>65540</v>
      </c>
      <c r="C11940" s="8" t="s">
        <v>23838</v>
      </c>
      <c r="D11940" s="8"/>
      <c r="E11940" s="6"/>
      <c r="F11940" s="6"/>
    </row>
    <row r="11941" spans="1:6" x14ac:dyDescent="0.3">
      <c r="A11941" s="8" t="s">
        <v>23839</v>
      </c>
      <c r="B11941" s="8" t="s">
        <v>65541</v>
      </c>
      <c r="C11941" s="8" t="s">
        <v>23840</v>
      </c>
      <c r="D11941" s="8"/>
      <c r="E11941" s="6"/>
      <c r="F11941" s="6"/>
    </row>
    <row r="11942" spans="1:6" x14ac:dyDescent="0.3">
      <c r="A11942" s="8" t="s">
        <v>23841</v>
      </c>
      <c r="B11942" s="8" t="s">
        <v>65542</v>
      </c>
      <c r="C11942" s="8" t="s">
        <v>23842</v>
      </c>
      <c r="D11942" s="8"/>
      <c r="E11942" s="6"/>
      <c r="F11942" s="6"/>
    </row>
    <row r="11943" spans="1:6" x14ac:dyDescent="0.3">
      <c r="A11943" s="8" t="s">
        <v>23843</v>
      </c>
      <c r="B11943" s="8" t="s">
        <v>65543</v>
      </c>
      <c r="C11943" s="8" t="s">
        <v>23844</v>
      </c>
      <c r="D11943" s="8"/>
      <c r="E11943" s="6"/>
      <c r="F11943" s="6"/>
    </row>
    <row r="11944" spans="1:6" x14ac:dyDescent="0.3">
      <c r="A11944" s="8" t="s">
        <v>23845</v>
      </c>
      <c r="B11944" s="8" t="s">
        <v>65544</v>
      </c>
      <c r="C11944" s="8" t="s">
        <v>23846</v>
      </c>
      <c r="D11944" s="8"/>
      <c r="E11944" s="6"/>
      <c r="F11944" s="6"/>
    </row>
    <row r="11945" spans="1:6" x14ac:dyDescent="0.3">
      <c r="A11945" s="8" t="s">
        <v>23847</v>
      </c>
      <c r="B11945" s="8" t="s">
        <v>65545</v>
      </c>
      <c r="C11945" s="8" t="s">
        <v>23848</v>
      </c>
      <c r="D11945" s="8"/>
      <c r="E11945" s="6"/>
      <c r="F11945" s="6"/>
    </row>
    <row r="11946" spans="1:6" x14ac:dyDescent="0.3">
      <c r="A11946" s="8" t="s">
        <v>23849</v>
      </c>
      <c r="B11946" s="8" t="s">
        <v>65546</v>
      </c>
      <c r="C11946" s="8" t="s">
        <v>23850</v>
      </c>
      <c r="D11946" s="8"/>
      <c r="E11946" s="6"/>
      <c r="F11946" s="6"/>
    </row>
    <row r="11947" spans="1:6" x14ac:dyDescent="0.3">
      <c r="A11947" s="8" t="s">
        <v>23851</v>
      </c>
      <c r="B11947" s="8" t="s">
        <v>65547</v>
      </c>
      <c r="C11947" s="8" t="s">
        <v>23852</v>
      </c>
      <c r="D11947" s="8"/>
      <c r="E11947" s="6"/>
      <c r="F11947" s="6"/>
    </row>
    <row r="11948" spans="1:6" x14ac:dyDescent="0.3">
      <c r="A11948" s="8" t="s">
        <v>23853</v>
      </c>
      <c r="B11948" s="8" t="s">
        <v>65548</v>
      </c>
      <c r="C11948" s="8" t="s">
        <v>23854</v>
      </c>
      <c r="D11948" s="8"/>
      <c r="E11948" s="6"/>
      <c r="F11948" s="6"/>
    </row>
    <row r="11949" spans="1:6" x14ac:dyDescent="0.3">
      <c r="A11949" s="8" t="s">
        <v>23855</v>
      </c>
      <c r="B11949" s="8" t="s">
        <v>65549</v>
      </c>
      <c r="C11949" s="8" t="s">
        <v>23856</v>
      </c>
      <c r="D11949" s="8"/>
      <c r="E11949" s="6"/>
      <c r="F11949" s="6"/>
    </row>
    <row r="11950" spans="1:6" x14ac:dyDescent="0.3">
      <c r="A11950" s="8" t="s">
        <v>23857</v>
      </c>
      <c r="B11950" s="8" t="s">
        <v>65550</v>
      </c>
      <c r="C11950" s="8" t="s">
        <v>23858</v>
      </c>
      <c r="D11950" s="8"/>
      <c r="E11950" s="6"/>
      <c r="F11950" s="6"/>
    </row>
    <row r="11951" spans="1:6" x14ac:dyDescent="0.3">
      <c r="A11951" s="8" t="s">
        <v>23859</v>
      </c>
      <c r="B11951" s="8" t="s">
        <v>65551</v>
      </c>
      <c r="C11951" s="8" t="s">
        <v>23860</v>
      </c>
      <c r="D11951" s="8"/>
      <c r="E11951" s="6"/>
      <c r="F11951" s="6"/>
    </row>
    <row r="11952" spans="1:6" x14ac:dyDescent="0.3">
      <c r="A11952" s="8" t="s">
        <v>23861</v>
      </c>
      <c r="B11952" s="8" t="s">
        <v>65552</v>
      </c>
      <c r="C11952" s="8" t="s">
        <v>23862</v>
      </c>
      <c r="D11952" s="8"/>
      <c r="E11952" s="6"/>
      <c r="F11952" s="6"/>
    </row>
    <row r="11953" spans="1:6" x14ac:dyDescent="0.3">
      <c r="A11953" s="8" t="s">
        <v>23863</v>
      </c>
      <c r="B11953" s="8" t="s">
        <v>65553</v>
      </c>
      <c r="C11953" s="8" t="s">
        <v>23864</v>
      </c>
      <c r="D11953" s="8"/>
      <c r="E11953" s="6"/>
      <c r="F11953" s="6"/>
    </row>
    <row r="11954" spans="1:6" x14ac:dyDescent="0.3">
      <c r="A11954" s="8" t="s">
        <v>23865</v>
      </c>
      <c r="B11954" s="8" t="s">
        <v>65554</v>
      </c>
      <c r="C11954" s="8" t="s">
        <v>23866</v>
      </c>
      <c r="D11954" s="8"/>
      <c r="E11954" s="6"/>
      <c r="F11954" s="6"/>
    </row>
    <row r="11955" spans="1:6" x14ac:dyDescent="0.3">
      <c r="A11955" s="8" t="s">
        <v>23867</v>
      </c>
      <c r="B11955" s="8" t="s">
        <v>65555</v>
      </c>
      <c r="C11955" s="8" t="s">
        <v>23868</v>
      </c>
      <c r="D11955" s="8"/>
      <c r="E11955" s="6"/>
      <c r="F11955" s="6"/>
    </row>
    <row r="11956" spans="1:6" x14ac:dyDescent="0.3">
      <c r="A11956" s="8" t="s">
        <v>23869</v>
      </c>
      <c r="B11956" s="8" t="s">
        <v>65556</v>
      </c>
      <c r="C11956" s="8" t="s">
        <v>23870</v>
      </c>
      <c r="D11956" s="8"/>
      <c r="E11956" s="6"/>
      <c r="F11956" s="6"/>
    </row>
    <row r="11957" spans="1:6" x14ac:dyDescent="0.3">
      <c r="A11957" s="8" t="s">
        <v>23871</v>
      </c>
      <c r="B11957" s="8" t="s">
        <v>65557</v>
      </c>
      <c r="C11957" s="8" t="s">
        <v>23872</v>
      </c>
      <c r="D11957" s="8"/>
      <c r="E11957" s="6"/>
      <c r="F11957" s="6"/>
    </row>
    <row r="11958" spans="1:6" x14ac:dyDescent="0.3">
      <c r="A11958" s="8" t="s">
        <v>23873</v>
      </c>
      <c r="B11958" s="8" t="s">
        <v>65558</v>
      </c>
      <c r="C11958" s="8" t="s">
        <v>23874</v>
      </c>
      <c r="D11958" s="8"/>
      <c r="E11958" s="6"/>
      <c r="F11958" s="6"/>
    </row>
    <row r="11959" spans="1:6" x14ac:dyDescent="0.3">
      <c r="A11959" s="8" t="s">
        <v>23875</v>
      </c>
      <c r="B11959" s="8" t="s">
        <v>65559</v>
      </c>
      <c r="C11959" s="8" t="s">
        <v>23876</v>
      </c>
      <c r="D11959" s="8"/>
      <c r="E11959" s="6"/>
      <c r="F11959" s="6"/>
    </row>
    <row r="11960" spans="1:6" x14ac:dyDescent="0.3">
      <c r="A11960" s="8" t="s">
        <v>23877</v>
      </c>
      <c r="B11960" s="8" t="s">
        <v>65560</v>
      </c>
      <c r="C11960" s="8" t="s">
        <v>23878</v>
      </c>
      <c r="D11960" s="8"/>
      <c r="E11960" s="6"/>
      <c r="F11960" s="6"/>
    </row>
    <row r="11961" spans="1:6" x14ac:dyDescent="0.3">
      <c r="A11961" s="8" t="s">
        <v>23879</v>
      </c>
      <c r="B11961" s="8" t="s">
        <v>65561</v>
      </c>
      <c r="C11961" s="8" t="s">
        <v>23880</v>
      </c>
      <c r="D11961" s="8"/>
      <c r="E11961" s="6"/>
      <c r="F11961" s="6"/>
    </row>
    <row r="11962" spans="1:6" x14ac:dyDescent="0.3">
      <c r="A11962" s="8" t="s">
        <v>23881</v>
      </c>
      <c r="B11962" s="8" t="s">
        <v>65562</v>
      </c>
      <c r="C11962" s="8" t="s">
        <v>23882</v>
      </c>
      <c r="D11962" s="8"/>
      <c r="E11962" s="6"/>
      <c r="F11962" s="6"/>
    </row>
    <row r="11963" spans="1:6" x14ac:dyDescent="0.3">
      <c r="A11963" s="8" t="s">
        <v>23883</v>
      </c>
      <c r="B11963" s="8" t="s">
        <v>65563</v>
      </c>
      <c r="C11963" s="8" t="s">
        <v>23884</v>
      </c>
      <c r="D11963" s="8"/>
      <c r="E11963" s="6"/>
      <c r="F11963" s="6"/>
    </row>
    <row r="11964" spans="1:6" x14ac:dyDescent="0.3">
      <c r="A11964" s="8" t="s">
        <v>23885</v>
      </c>
      <c r="B11964" s="8" t="s">
        <v>65564</v>
      </c>
      <c r="C11964" s="8" t="s">
        <v>23886</v>
      </c>
      <c r="D11964" s="8"/>
      <c r="E11964" s="6"/>
      <c r="F11964" s="6"/>
    </row>
    <row r="11965" spans="1:6" x14ac:dyDescent="0.3">
      <c r="A11965" s="8" t="s">
        <v>23887</v>
      </c>
      <c r="B11965" s="8" t="s">
        <v>65565</v>
      </c>
      <c r="C11965" s="8" t="s">
        <v>23888</v>
      </c>
      <c r="D11965" s="8"/>
      <c r="E11965" s="6"/>
      <c r="F11965" s="6"/>
    </row>
    <row r="11966" spans="1:6" x14ac:dyDescent="0.3">
      <c r="A11966" s="8" t="s">
        <v>23889</v>
      </c>
      <c r="B11966" s="8" t="s">
        <v>65566</v>
      </c>
      <c r="C11966" s="8" t="s">
        <v>23890</v>
      </c>
      <c r="D11966" s="8"/>
      <c r="E11966" s="6"/>
      <c r="F11966" s="6"/>
    </row>
    <row r="11967" spans="1:6" x14ac:dyDescent="0.3">
      <c r="A11967" s="8" t="s">
        <v>23891</v>
      </c>
      <c r="B11967" s="8" t="s">
        <v>65567</v>
      </c>
      <c r="C11967" s="8" t="s">
        <v>23892</v>
      </c>
      <c r="D11967" s="8"/>
      <c r="E11967" s="6"/>
      <c r="F11967" s="6"/>
    </row>
    <row r="11968" spans="1:6" x14ac:dyDescent="0.3">
      <c r="A11968" s="8" t="s">
        <v>23893</v>
      </c>
      <c r="B11968" s="8" t="s">
        <v>65568</v>
      </c>
      <c r="C11968" s="8" t="s">
        <v>23894</v>
      </c>
      <c r="D11968" s="8"/>
      <c r="E11968" s="6"/>
      <c r="F11968" s="6"/>
    </row>
    <row r="11969" spans="1:6" x14ac:dyDescent="0.3">
      <c r="A11969" s="8" t="s">
        <v>23895</v>
      </c>
      <c r="B11969" s="8" t="s">
        <v>65569</v>
      </c>
      <c r="C11969" s="8" t="s">
        <v>23896</v>
      </c>
      <c r="D11969" s="8"/>
      <c r="E11969" s="6"/>
      <c r="F11969" s="6"/>
    </row>
    <row r="11970" spans="1:6" x14ac:dyDescent="0.3">
      <c r="A11970" s="8" t="s">
        <v>23897</v>
      </c>
      <c r="B11970" s="8" t="s">
        <v>65570</v>
      </c>
      <c r="C11970" s="8" t="s">
        <v>23898</v>
      </c>
      <c r="D11970" s="8"/>
      <c r="E11970" s="6"/>
      <c r="F11970" s="6"/>
    </row>
    <row r="11971" spans="1:6" x14ac:dyDescent="0.3">
      <c r="A11971" s="8" t="s">
        <v>23899</v>
      </c>
      <c r="B11971" s="8" t="s">
        <v>65571</v>
      </c>
      <c r="C11971" s="8" t="s">
        <v>23900</v>
      </c>
      <c r="D11971" s="8"/>
      <c r="E11971" s="6"/>
      <c r="F11971" s="6"/>
    </row>
    <row r="11972" spans="1:6" x14ac:dyDescent="0.3">
      <c r="A11972" s="8" t="s">
        <v>23901</v>
      </c>
      <c r="B11972" s="8" t="s">
        <v>65572</v>
      </c>
      <c r="C11972" s="8" t="s">
        <v>23902</v>
      </c>
      <c r="D11972" s="8"/>
      <c r="E11972" s="6"/>
      <c r="F11972" s="6"/>
    </row>
    <row r="11973" spans="1:6" x14ac:dyDescent="0.3">
      <c r="A11973" s="8" t="s">
        <v>23903</v>
      </c>
      <c r="B11973" s="8" t="s">
        <v>65573</v>
      </c>
      <c r="C11973" s="8" t="s">
        <v>23904</v>
      </c>
      <c r="D11973" s="8"/>
      <c r="E11973" s="6"/>
      <c r="F11973" s="6"/>
    </row>
    <row r="11974" spans="1:6" x14ac:dyDescent="0.3">
      <c r="A11974" s="8" t="s">
        <v>23905</v>
      </c>
      <c r="B11974" s="8" t="s">
        <v>65574</v>
      </c>
      <c r="C11974" s="8" t="s">
        <v>23906</v>
      </c>
      <c r="D11974" s="8"/>
      <c r="E11974" s="6"/>
      <c r="F11974" s="6"/>
    </row>
    <row r="11975" spans="1:6" x14ac:dyDescent="0.3">
      <c r="A11975" s="8" t="s">
        <v>23907</v>
      </c>
      <c r="B11975" s="8" t="s">
        <v>65575</v>
      </c>
      <c r="C11975" s="8" t="s">
        <v>23908</v>
      </c>
      <c r="D11975" s="8"/>
      <c r="E11975" s="6"/>
      <c r="F11975" s="6"/>
    </row>
    <row r="11976" spans="1:6" x14ac:dyDescent="0.3">
      <c r="A11976" s="8" t="s">
        <v>23909</v>
      </c>
      <c r="B11976" s="8" t="s">
        <v>65576</v>
      </c>
      <c r="C11976" s="8" t="s">
        <v>23910</v>
      </c>
      <c r="D11976" s="8"/>
      <c r="E11976" s="6"/>
      <c r="F11976" s="6"/>
    </row>
    <row r="11977" spans="1:6" x14ac:dyDescent="0.3">
      <c r="A11977" s="8" t="s">
        <v>23911</v>
      </c>
      <c r="B11977" s="8" t="s">
        <v>65577</v>
      </c>
      <c r="C11977" s="8" t="s">
        <v>23912</v>
      </c>
      <c r="D11977" s="8"/>
      <c r="E11977" s="6"/>
      <c r="F11977" s="6"/>
    </row>
    <row r="11978" spans="1:6" x14ac:dyDescent="0.3">
      <c r="A11978" s="8" t="s">
        <v>23913</v>
      </c>
      <c r="B11978" s="8" t="s">
        <v>65578</v>
      </c>
      <c r="C11978" s="8" t="s">
        <v>23914</v>
      </c>
      <c r="D11978" s="8"/>
      <c r="E11978" s="6"/>
      <c r="F11978" s="6"/>
    </row>
    <row r="11979" spans="1:6" x14ac:dyDescent="0.3">
      <c r="A11979" s="8" t="s">
        <v>23915</v>
      </c>
      <c r="B11979" s="8" t="s">
        <v>59105</v>
      </c>
      <c r="C11979" s="8" t="s">
        <v>23916</v>
      </c>
      <c r="D11979" s="8"/>
      <c r="E11979" s="6"/>
      <c r="F11979" s="6"/>
    </row>
    <row r="11980" spans="1:6" x14ac:dyDescent="0.3">
      <c r="A11980" s="8" t="s">
        <v>23917</v>
      </c>
      <c r="B11980" s="8" t="s">
        <v>65579</v>
      </c>
      <c r="C11980" s="8" t="s">
        <v>23918</v>
      </c>
      <c r="D11980" s="8"/>
      <c r="E11980" s="6"/>
      <c r="F11980" s="6"/>
    </row>
    <row r="11981" spans="1:6" x14ac:dyDescent="0.3">
      <c r="A11981" s="8" t="s">
        <v>23919</v>
      </c>
      <c r="B11981" s="8" t="s">
        <v>65580</v>
      </c>
      <c r="C11981" s="8" t="s">
        <v>23920</v>
      </c>
      <c r="D11981" s="8"/>
      <c r="E11981" s="6"/>
      <c r="F11981" s="6"/>
    </row>
    <row r="11982" spans="1:6" x14ac:dyDescent="0.3">
      <c r="A11982" s="8" t="s">
        <v>23921</v>
      </c>
      <c r="B11982" s="8" t="s">
        <v>65581</v>
      </c>
      <c r="C11982" s="8" t="s">
        <v>23922</v>
      </c>
      <c r="D11982" s="8"/>
      <c r="E11982" s="6"/>
      <c r="F11982" s="6"/>
    </row>
    <row r="11983" spans="1:6" x14ac:dyDescent="0.3">
      <c r="A11983" s="8" t="s">
        <v>23923</v>
      </c>
      <c r="B11983" s="8" t="s">
        <v>65582</v>
      </c>
      <c r="C11983" s="8" t="s">
        <v>23924</v>
      </c>
      <c r="D11983" s="8"/>
      <c r="E11983" s="6"/>
      <c r="F11983" s="6"/>
    </row>
    <row r="11984" spans="1:6" x14ac:dyDescent="0.3">
      <c r="A11984" s="8" t="s">
        <v>23925</v>
      </c>
      <c r="B11984" s="8" t="s">
        <v>65583</v>
      </c>
      <c r="C11984" s="8" t="s">
        <v>23926</v>
      </c>
      <c r="D11984" s="8"/>
      <c r="E11984" s="6"/>
      <c r="F11984" s="6"/>
    </row>
    <row r="11985" spans="1:6" x14ac:dyDescent="0.3">
      <c r="A11985" s="8" t="s">
        <v>23927</v>
      </c>
      <c r="B11985" s="8" t="s">
        <v>65584</v>
      </c>
      <c r="C11985" s="8" t="s">
        <v>23928</v>
      </c>
      <c r="D11985" s="8"/>
      <c r="E11985" s="6"/>
      <c r="F11985" s="6"/>
    </row>
    <row r="11986" spans="1:6" x14ac:dyDescent="0.3">
      <c r="A11986" s="8" t="s">
        <v>23929</v>
      </c>
      <c r="B11986" s="8" t="s">
        <v>65585</v>
      </c>
      <c r="C11986" s="8" t="s">
        <v>23930</v>
      </c>
      <c r="D11986" s="8"/>
      <c r="E11986" s="6"/>
      <c r="F11986" s="6"/>
    </row>
    <row r="11987" spans="1:6" x14ac:dyDescent="0.3">
      <c r="A11987" s="8" t="s">
        <v>23931</v>
      </c>
      <c r="B11987" s="8" t="s">
        <v>65586</v>
      </c>
      <c r="C11987" s="8" t="s">
        <v>23932</v>
      </c>
      <c r="D11987" s="8"/>
      <c r="E11987" s="6"/>
      <c r="F11987" s="6"/>
    </row>
    <row r="11988" spans="1:6" x14ac:dyDescent="0.3">
      <c r="A11988" s="8" t="s">
        <v>23933</v>
      </c>
      <c r="B11988" s="8" t="s">
        <v>65587</v>
      </c>
      <c r="C11988" s="8" t="s">
        <v>23934</v>
      </c>
      <c r="D11988" s="8"/>
      <c r="E11988" s="6"/>
      <c r="F11988" s="6"/>
    </row>
    <row r="11989" spans="1:6" x14ac:dyDescent="0.3">
      <c r="A11989" s="8" t="s">
        <v>23935</v>
      </c>
      <c r="B11989" s="8" t="s">
        <v>65588</v>
      </c>
      <c r="C11989" s="8" t="s">
        <v>23936</v>
      </c>
      <c r="D11989" s="8"/>
      <c r="E11989" s="6"/>
      <c r="F11989" s="6"/>
    </row>
    <row r="11990" spans="1:6" x14ac:dyDescent="0.3">
      <c r="A11990" s="8" t="s">
        <v>23937</v>
      </c>
      <c r="B11990" s="8" t="s">
        <v>65589</v>
      </c>
      <c r="C11990" s="8" t="s">
        <v>23938</v>
      </c>
      <c r="D11990" s="8"/>
      <c r="E11990" s="6"/>
      <c r="F11990" s="6"/>
    </row>
    <row r="11991" spans="1:6" x14ac:dyDescent="0.3">
      <c r="A11991" s="8" t="s">
        <v>23939</v>
      </c>
      <c r="B11991" s="8" t="s">
        <v>65590</v>
      </c>
      <c r="C11991" s="8" t="s">
        <v>23940</v>
      </c>
      <c r="D11991" s="8"/>
      <c r="E11991" s="6"/>
      <c r="F11991" s="6"/>
    </row>
    <row r="11992" spans="1:6" x14ac:dyDescent="0.3">
      <c r="A11992" s="8" t="s">
        <v>23941</v>
      </c>
      <c r="B11992" s="8" t="s">
        <v>65591</v>
      </c>
      <c r="C11992" s="8" t="s">
        <v>23942</v>
      </c>
      <c r="D11992" s="8"/>
      <c r="E11992" s="6"/>
      <c r="F11992" s="6"/>
    </row>
    <row r="11993" spans="1:6" x14ac:dyDescent="0.3">
      <c r="A11993" s="8" t="s">
        <v>23943</v>
      </c>
      <c r="B11993" s="8" t="s">
        <v>65592</v>
      </c>
      <c r="C11993" s="8" t="s">
        <v>23944</v>
      </c>
      <c r="D11993" s="8"/>
      <c r="E11993" s="6"/>
      <c r="F11993" s="6"/>
    </row>
    <row r="11994" spans="1:6" x14ac:dyDescent="0.3">
      <c r="A11994" s="8" t="s">
        <v>23945</v>
      </c>
      <c r="B11994" s="8" t="s">
        <v>65593</v>
      </c>
      <c r="C11994" s="8" t="s">
        <v>23946</v>
      </c>
      <c r="D11994" s="8"/>
      <c r="E11994" s="6"/>
      <c r="F11994" s="6"/>
    </row>
    <row r="11995" spans="1:6" x14ac:dyDescent="0.3">
      <c r="A11995" s="8" t="s">
        <v>23947</v>
      </c>
      <c r="B11995" s="8" t="s">
        <v>65594</v>
      </c>
      <c r="C11995" s="8" t="s">
        <v>23948</v>
      </c>
      <c r="D11995" s="8"/>
      <c r="E11995" s="6"/>
      <c r="F11995" s="6"/>
    </row>
    <row r="11996" spans="1:6" x14ac:dyDescent="0.3">
      <c r="A11996" s="8" t="s">
        <v>23949</v>
      </c>
      <c r="B11996" s="8" t="s">
        <v>65595</v>
      </c>
      <c r="C11996" s="8" t="s">
        <v>23950</v>
      </c>
      <c r="D11996" s="8"/>
      <c r="E11996" s="6"/>
      <c r="F11996" s="6"/>
    </row>
    <row r="11997" spans="1:6" x14ac:dyDescent="0.3">
      <c r="A11997" s="8" t="s">
        <v>23951</v>
      </c>
      <c r="B11997" s="8" t="s">
        <v>65596</v>
      </c>
      <c r="C11997" s="8" t="s">
        <v>23952</v>
      </c>
      <c r="D11997" s="8"/>
      <c r="E11997" s="6"/>
      <c r="F11997" s="6"/>
    </row>
    <row r="11998" spans="1:6" x14ac:dyDescent="0.3">
      <c r="A11998" s="8" t="s">
        <v>23953</v>
      </c>
      <c r="B11998" s="8" t="s">
        <v>65597</v>
      </c>
      <c r="C11998" s="8" t="s">
        <v>23954</v>
      </c>
      <c r="D11998" s="8"/>
      <c r="E11998" s="6"/>
      <c r="F11998" s="6"/>
    </row>
    <row r="11999" spans="1:6" x14ac:dyDescent="0.3">
      <c r="A11999" s="8" t="s">
        <v>23955</v>
      </c>
      <c r="B11999" s="8" t="s">
        <v>65598</v>
      </c>
      <c r="C11999" s="8" t="s">
        <v>23956</v>
      </c>
      <c r="D11999" s="8"/>
      <c r="E11999" s="6"/>
      <c r="F11999" s="6"/>
    </row>
    <row r="12000" spans="1:6" x14ac:dyDescent="0.3">
      <c r="A12000" s="8" t="s">
        <v>23957</v>
      </c>
      <c r="B12000" s="8" t="s">
        <v>65599</v>
      </c>
      <c r="C12000" s="8" t="s">
        <v>23958</v>
      </c>
      <c r="D12000" s="8"/>
      <c r="E12000" s="6"/>
      <c r="F12000" s="6"/>
    </row>
    <row r="12001" spans="1:6" x14ac:dyDescent="0.3">
      <c r="A12001" s="8" t="s">
        <v>23959</v>
      </c>
      <c r="B12001" s="8" t="s">
        <v>65600</v>
      </c>
      <c r="C12001" s="8" t="s">
        <v>23960</v>
      </c>
      <c r="D12001" s="8"/>
      <c r="E12001" s="6"/>
      <c r="F12001" s="6"/>
    </row>
    <row r="12002" spans="1:6" x14ac:dyDescent="0.3">
      <c r="A12002" s="8" t="s">
        <v>23961</v>
      </c>
      <c r="B12002" s="8" t="s">
        <v>65601</v>
      </c>
      <c r="C12002" s="8" t="s">
        <v>23962</v>
      </c>
      <c r="D12002" s="8"/>
      <c r="E12002" s="6"/>
      <c r="F12002" s="6"/>
    </row>
    <row r="12003" spans="1:6" x14ac:dyDescent="0.3">
      <c r="A12003" s="8" t="s">
        <v>23963</v>
      </c>
      <c r="B12003" s="8" t="s">
        <v>65602</v>
      </c>
      <c r="C12003" s="8" t="s">
        <v>23964</v>
      </c>
      <c r="D12003" s="8"/>
      <c r="E12003" s="6"/>
      <c r="F12003" s="6"/>
    </row>
    <row r="12004" spans="1:6" x14ac:dyDescent="0.3">
      <c r="A12004" s="8" t="s">
        <v>23965</v>
      </c>
      <c r="B12004" s="8" t="s">
        <v>65603</v>
      </c>
      <c r="C12004" s="8" t="s">
        <v>23966</v>
      </c>
      <c r="D12004" s="8"/>
      <c r="E12004" s="6"/>
      <c r="F12004" s="6"/>
    </row>
    <row r="12005" spans="1:6" x14ac:dyDescent="0.3">
      <c r="A12005" s="8" t="s">
        <v>23967</v>
      </c>
      <c r="B12005" s="8" t="s">
        <v>65604</v>
      </c>
      <c r="C12005" s="8" t="s">
        <v>23968</v>
      </c>
      <c r="D12005" s="8"/>
      <c r="E12005" s="6"/>
      <c r="F12005" s="6"/>
    </row>
    <row r="12006" spans="1:6" x14ac:dyDescent="0.3">
      <c r="A12006" s="8" t="s">
        <v>23969</v>
      </c>
      <c r="B12006" s="8" t="s">
        <v>65605</v>
      </c>
      <c r="C12006" s="8" t="s">
        <v>23970</v>
      </c>
      <c r="D12006" s="8"/>
      <c r="E12006" s="6"/>
      <c r="F12006" s="6"/>
    </row>
    <row r="12007" spans="1:6" x14ac:dyDescent="0.3">
      <c r="A12007" s="8" t="s">
        <v>23971</v>
      </c>
      <c r="B12007" s="8" t="s">
        <v>65606</v>
      </c>
      <c r="C12007" s="8" t="s">
        <v>23972</v>
      </c>
      <c r="D12007" s="8"/>
      <c r="E12007" s="6"/>
      <c r="F12007" s="6"/>
    </row>
    <row r="12008" spans="1:6" x14ac:dyDescent="0.3">
      <c r="A12008" s="8" t="s">
        <v>23973</v>
      </c>
      <c r="B12008" s="8" t="s">
        <v>65607</v>
      </c>
      <c r="C12008" s="8" t="s">
        <v>23974</v>
      </c>
      <c r="D12008" s="8"/>
      <c r="E12008" s="6"/>
      <c r="F12008" s="6"/>
    </row>
    <row r="12009" spans="1:6" x14ac:dyDescent="0.3">
      <c r="A12009" s="8" t="s">
        <v>23975</v>
      </c>
      <c r="B12009" s="8" t="s">
        <v>65608</v>
      </c>
      <c r="C12009" s="8" t="s">
        <v>23976</v>
      </c>
      <c r="D12009" s="8"/>
      <c r="E12009" s="6"/>
      <c r="F12009" s="6"/>
    </row>
    <row r="12010" spans="1:6" x14ac:dyDescent="0.3">
      <c r="A12010" s="8" t="s">
        <v>23977</v>
      </c>
      <c r="B12010" s="8" t="s">
        <v>65609</v>
      </c>
      <c r="C12010" s="8" t="s">
        <v>23978</v>
      </c>
      <c r="D12010" s="8"/>
      <c r="E12010" s="6"/>
      <c r="F12010" s="6"/>
    </row>
    <row r="12011" spans="1:6" x14ac:dyDescent="0.3">
      <c r="A12011" s="8" t="s">
        <v>23979</v>
      </c>
      <c r="B12011" s="8" t="s">
        <v>65610</v>
      </c>
      <c r="C12011" s="8" t="s">
        <v>23980</v>
      </c>
      <c r="D12011" s="8"/>
      <c r="E12011" s="6"/>
      <c r="F12011" s="6"/>
    </row>
    <row r="12012" spans="1:6" x14ac:dyDescent="0.3">
      <c r="A12012" s="8" t="s">
        <v>23981</v>
      </c>
      <c r="B12012" s="8" t="s">
        <v>65611</v>
      </c>
      <c r="C12012" s="8" t="s">
        <v>23982</v>
      </c>
      <c r="D12012" s="8"/>
      <c r="E12012" s="6"/>
      <c r="F12012" s="6"/>
    </row>
    <row r="12013" spans="1:6" x14ac:dyDescent="0.3">
      <c r="A12013" s="8" t="s">
        <v>23983</v>
      </c>
      <c r="B12013" s="8" t="s">
        <v>65612</v>
      </c>
      <c r="C12013" s="8" t="s">
        <v>23984</v>
      </c>
      <c r="D12013" s="8"/>
      <c r="E12013" s="6"/>
      <c r="F12013" s="6"/>
    </row>
    <row r="12014" spans="1:6" x14ac:dyDescent="0.3">
      <c r="A12014" s="8" t="s">
        <v>23985</v>
      </c>
      <c r="B12014" s="8" t="s">
        <v>65613</v>
      </c>
      <c r="C12014" s="8" t="s">
        <v>23986</v>
      </c>
      <c r="D12014" s="8"/>
      <c r="E12014" s="6"/>
      <c r="F12014" s="6"/>
    </row>
    <row r="12015" spans="1:6" x14ac:dyDescent="0.3">
      <c r="A12015" s="8" t="s">
        <v>23987</v>
      </c>
      <c r="B12015" s="8" t="s">
        <v>65614</v>
      </c>
      <c r="C12015" s="8" t="s">
        <v>23988</v>
      </c>
      <c r="D12015" s="8"/>
      <c r="E12015" s="6"/>
      <c r="F12015" s="6"/>
    </row>
    <row r="12016" spans="1:6" x14ac:dyDescent="0.3">
      <c r="A12016" s="8" t="s">
        <v>23989</v>
      </c>
      <c r="B12016" s="8" t="s">
        <v>65615</v>
      </c>
      <c r="C12016" s="8" t="s">
        <v>23990</v>
      </c>
      <c r="D12016" s="8"/>
      <c r="E12016" s="6"/>
      <c r="F12016" s="6"/>
    </row>
    <row r="12017" spans="1:6" x14ac:dyDescent="0.3">
      <c r="A12017" s="8" t="s">
        <v>23991</v>
      </c>
      <c r="B12017" s="8" t="s">
        <v>65616</v>
      </c>
      <c r="C12017" s="8" t="s">
        <v>23992</v>
      </c>
      <c r="D12017" s="8"/>
      <c r="E12017" s="6"/>
      <c r="F12017" s="6"/>
    </row>
    <row r="12018" spans="1:6" x14ac:dyDescent="0.3">
      <c r="A12018" s="8" t="s">
        <v>23993</v>
      </c>
      <c r="B12018" s="8" t="s">
        <v>65617</v>
      </c>
      <c r="C12018" s="8" t="s">
        <v>23994</v>
      </c>
      <c r="D12018" s="8"/>
      <c r="E12018" s="6"/>
      <c r="F12018" s="6"/>
    </row>
    <row r="12019" spans="1:6" x14ac:dyDescent="0.3">
      <c r="A12019" s="8" t="s">
        <v>23995</v>
      </c>
      <c r="B12019" s="8" t="s">
        <v>65618</v>
      </c>
      <c r="C12019" s="8" t="s">
        <v>23996</v>
      </c>
      <c r="D12019" s="8"/>
      <c r="E12019" s="6"/>
      <c r="F12019" s="6"/>
    </row>
    <row r="12020" spans="1:6" x14ac:dyDescent="0.3">
      <c r="A12020" s="8" t="s">
        <v>23997</v>
      </c>
      <c r="B12020" s="8" t="s">
        <v>65619</v>
      </c>
      <c r="C12020" s="8" t="s">
        <v>23998</v>
      </c>
      <c r="D12020" s="8"/>
      <c r="E12020" s="6"/>
      <c r="F12020" s="6"/>
    </row>
    <row r="12021" spans="1:6" x14ac:dyDescent="0.3">
      <c r="A12021" s="8" t="s">
        <v>23999</v>
      </c>
      <c r="B12021" s="8" t="s">
        <v>65620</v>
      </c>
      <c r="C12021" s="8" t="s">
        <v>24000</v>
      </c>
      <c r="D12021" s="8"/>
      <c r="E12021" s="6"/>
      <c r="F12021" s="6"/>
    </row>
    <row r="12022" spans="1:6" x14ac:dyDescent="0.3">
      <c r="A12022" s="8" t="s">
        <v>24001</v>
      </c>
      <c r="B12022" s="8" t="s">
        <v>65621</v>
      </c>
      <c r="C12022" s="8" t="s">
        <v>24002</v>
      </c>
      <c r="D12022" s="8"/>
      <c r="E12022" s="6"/>
      <c r="F12022" s="6"/>
    </row>
    <row r="12023" spans="1:6" x14ac:dyDescent="0.3">
      <c r="A12023" s="8" t="s">
        <v>24003</v>
      </c>
      <c r="B12023" s="8" t="s">
        <v>65622</v>
      </c>
      <c r="C12023" s="8" t="s">
        <v>24004</v>
      </c>
      <c r="D12023" s="8"/>
      <c r="E12023" s="6"/>
      <c r="F12023" s="6"/>
    </row>
    <row r="12024" spans="1:6" x14ac:dyDescent="0.3">
      <c r="A12024" s="8" t="s">
        <v>24005</v>
      </c>
      <c r="B12024" s="8" t="s">
        <v>65623</v>
      </c>
      <c r="C12024" s="8" t="s">
        <v>24004</v>
      </c>
      <c r="D12024" s="8"/>
      <c r="E12024" s="6"/>
      <c r="F12024" s="6"/>
    </row>
    <row r="12025" spans="1:6" x14ac:dyDescent="0.3">
      <c r="A12025" s="8" t="s">
        <v>24006</v>
      </c>
      <c r="B12025" s="8" t="s">
        <v>65624</v>
      </c>
      <c r="C12025" s="8" t="s">
        <v>24007</v>
      </c>
      <c r="D12025" s="8"/>
      <c r="E12025" s="6"/>
      <c r="F12025" s="6"/>
    </row>
    <row r="12026" spans="1:6" x14ac:dyDescent="0.3">
      <c r="A12026" s="8" t="s">
        <v>24008</v>
      </c>
      <c r="B12026" s="8" t="s">
        <v>65625</v>
      </c>
      <c r="C12026" s="8" t="s">
        <v>24009</v>
      </c>
      <c r="D12026" s="8"/>
      <c r="E12026" s="6"/>
      <c r="F12026" s="6"/>
    </row>
    <row r="12027" spans="1:6" x14ac:dyDescent="0.3">
      <c r="A12027" s="8" t="s">
        <v>24010</v>
      </c>
      <c r="B12027" s="8" t="s">
        <v>65626</v>
      </c>
      <c r="C12027" s="8" t="s">
        <v>24011</v>
      </c>
      <c r="D12027" s="8"/>
      <c r="E12027" s="6"/>
      <c r="F12027" s="6"/>
    </row>
    <row r="12028" spans="1:6" x14ac:dyDescent="0.3">
      <c r="A12028" s="8" t="s">
        <v>24012</v>
      </c>
      <c r="B12028" s="8" t="s">
        <v>65627</v>
      </c>
      <c r="C12028" s="8" t="s">
        <v>24013</v>
      </c>
      <c r="D12028" s="8"/>
      <c r="E12028" s="6"/>
      <c r="F12028" s="6"/>
    </row>
    <row r="12029" spans="1:6" x14ac:dyDescent="0.3">
      <c r="A12029" s="8" t="s">
        <v>24014</v>
      </c>
      <c r="B12029" s="8" t="s">
        <v>65628</v>
      </c>
      <c r="C12029" s="8" t="s">
        <v>24015</v>
      </c>
      <c r="D12029" s="8"/>
      <c r="E12029" s="6"/>
      <c r="F12029" s="6"/>
    </row>
    <row r="12030" spans="1:6" x14ac:dyDescent="0.3">
      <c r="A12030" s="8" t="s">
        <v>24016</v>
      </c>
      <c r="B12030" s="8" t="s">
        <v>65629</v>
      </c>
      <c r="C12030" s="8" t="s">
        <v>24017</v>
      </c>
      <c r="D12030" s="8"/>
      <c r="E12030" s="6"/>
      <c r="F12030" s="6"/>
    </row>
    <row r="12031" spans="1:6" x14ac:dyDescent="0.3">
      <c r="A12031" s="8" t="s">
        <v>24018</v>
      </c>
      <c r="B12031" s="8" t="s">
        <v>65630</v>
      </c>
      <c r="C12031" s="8" t="s">
        <v>24019</v>
      </c>
      <c r="D12031" s="8"/>
      <c r="E12031" s="6"/>
      <c r="F12031" s="6"/>
    </row>
    <row r="12032" spans="1:6" x14ac:dyDescent="0.3">
      <c r="A12032" s="8" t="s">
        <v>24020</v>
      </c>
      <c r="B12032" s="8" t="s">
        <v>65631</v>
      </c>
      <c r="C12032" s="8" t="s">
        <v>24021</v>
      </c>
      <c r="D12032" s="8"/>
      <c r="E12032" s="6"/>
      <c r="F12032" s="6"/>
    </row>
    <row r="12033" spans="1:6" x14ac:dyDescent="0.3">
      <c r="A12033" s="8" t="s">
        <v>24022</v>
      </c>
      <c r="B12033" s="8" t="s">
        <v>65632</v>
      </c>
      <c r="C12033" s="8" t="s">
        <v>24023</v>
      </c>
      <c r="D12033" s="8"/>
      <c r="E12033" s="6"/>
      <c r="F12033" s="6"/>
    </row>
    <row r="12034" spans="1:6" x14ac:dyDescent="0.3">
      <c r="A12034" s="8" t="s">
        <v>24024</v>
      </c>
      <c r="B12034" s="8" t="s">
        <v>65633</v>
      </c>
      <c r="C12034" s="8" t="s">
        <v>24025</v>
      </c>
      <c r="D12034" s="8"/>
      <c r="E12034" s="6"/>
      <c r="F12034" s="6"/>
    </row>
    <row r="12035" spans="1:6" x14ac:dyDescent="0.3">
      <c r="A12035" s="8" t="s">
        <v>24026</v>
      </c>
      <c r="B12035" s="8" t="s">
        <v>65634</v>
      </c>
      <c r="C12035" s="8" t="s">
        <v>24027</v>
      </c>
      <c r="D12035" s="8"/>
      <c r="E12035" s="6"/>
      <c r="F12035" s="6"/>
    </row>
    <row r="12036" spans="1:6" x14ac:dyDescent="0.3">
      <c r="A12036" s="8" t="s">
        <v>24028</v>
      </c>
      <c r="B12036" s="8" t="s">
        <v>65635</v>
      </c>
      <c r="C12036" s="8" t="s">
        <v>24029</v>
      </c>
      <c r="D12036" s="8"/>
      <c r="E12036" s="6"/>
      <c r="F12036" s="6"/>
    </row>
    <row r="12037" spans="1:6" x14ac:dyDescent="0.3">
      <c r="A12037" s="8" t="s">
        <v>24030</v>
      </c>
      <c r="B12037" s="8" t="s">
        <v>65636</v>
      </c>
      <c r="C12037" s="8" t="s">
        <v>24031</v>
      </c>
      <c r="D12037" s="8"/>
      <c r="E12037" s="6"/>
      <c r="F12037" s="6"/>
    </row>
    <row r="12038" spans="1:6" x14ac:dyDescent="0.3">
      <c r="A12038" s="8" t="s">
        <v>24032</v>
      </c>
      <c r="B12038" s="8" t="s">
        <v>65637</v>
      </c>
      <c r="C12038" s="8" t="s">
        <v>24033</v>
      </c>
      <c r="D12038" s="8"/>
      <c r="E12038" s="6"/>
      <c r="F12038" s="6"/>
    </row>
    <row r="12039" spans="1:6" x14ac:dyDescent="0.3">
      <c r="A12039" s="8" t="s">
        <v>24034</v>
      </c>
      <c r="B12039" s="8" t="s">
        <v>65638</v>
      </c>
      <c r="C12039" s="8" t="s">
        <v>24035</v>
      </c>
      <c r="D12039" s="8"/>
      <c r="E12039" s="6"/>
      <c r="F12039" s="6"/>
    </row>
    <row r="12040" spans="1:6" x14ac:dyDescent="0.3">
      <c r="A12040" s="8" t="s">
        <v>24036</v>
      </c>
      <c r="B12040" s="8" t="s">
        <v>65639</v>
      </c>
      <c r="C12040" s="8" t="s">
        <v>24037</v>
      </c>
      <c r="D12040" s="8"/>
      <c r="E12040" s="6"/>
      <c r="F12040" s="6"/>
    </row>
    <row r="12041" spans="1:6" x14ac:dyDescent="0.3">
      <c r="A12041" s="8" t="s">
        <v>24038</v>
      </c>
      <c r="B12041" s="8" t="s">
        <v>65640</v>
      </c>
      <c r="C12041" s="8" t="s">
        <v>24039</v>
      </c>
      <c r="D12041" s="8"/>
      <c r="E12041" s="6"/>
      <c r="F12041" s="6"/>
    </row>
    <row r="12042" spans="1:6" x14ac:dyDescent="0.3">
      <c r="A12042" s="8" t="s">
        <v>24040</v>
      </c>
      <c r="B12042" s="8" t="s">
        <v>65641</v>
      </c>
      <c r="C12042" s="8" t="s">
        <v>24041</v>
      </c>
      <c r="D12042" s="8"/>
      <c r="E12042" s="6"/>
      <c r="F12042" s="6"/>
    </row>
    <row r="12043" spans="1:6" x14ac:dyDescent="0.3">
      <c r="A12043" s="8" t="s">
        <v>24042</v>
      </c>
      <c r="B12043" s="8" t="s">
        <v>65642</v>
      </c>
      <c r="C12043" s="8" t="s">
        <v>24043</v>
      </c>
      <c r="D12043" s="8"/>
      <c r="E12043" s="6"/>
      <c r="F12043" s="6"/>
    </row>
    <row r="12044" spans="1:6" x14ac:dyDescent="0.3">
      <c r="A12044" s="8" t="s">
        <v>24044</v>
      </c>
      <c r="B12044" s="8" t="s">
        <v>65643</v>
      </c>
      <c r="C12044" s="8" t="s">
        <v>24045</v>
      </c>
      <c r="D12044" s="8"/>
      <c r="E12044" s="6"/>
      <c r="F12044" s="6"/>
    </row>
    <row r="12045" spans="1:6" x14ac:dyDescent="0.3">
      <c r="A12045" s="8" t="s">
        <v>24046</v>
      </c>
      <c r="B12045" s="8" t="s">
        <v>65644</v>
      </c>
      <c r="C12045" s="8" t="s">
        <v>24047</v>
      </c>
      <c r="D12045" s="8"/>
      <c r="E12045" s="6"/>
      <c r="F12045" s="6"/>
    </row>
    <row r="12046" spans="1:6" x14ac:dyDescent="0.3">
      <c r="A12046" s="8" t="s">
        <v>24048</v>
      </c>
      <c r="B12046" s="8" t="s">
        <v>65645</v>
      </c>
      <c r="C12046" s="8" t="s">
        <v>24049</v>
      </c>
      <c r="D12046" s="8"/>
      <c r="E12046" s="6"/>
      <c r="F12046" s="6"/>
    </row>
    <row r="12047" spans="1:6" x14ac:dyDescent="0.3">
      <c r="A12047" s="8" t="s">
        <v>24050</v>
      </c>
      <c r="B12047" s="8" t="s">
        <v>65646</v>
      </c>
      <c r="C12047" s="8" t="s">
        <v>24051</v>
      </c>
      <c r="D12047" s="8"/>
      <c r="E12047" s="6"/>
      <c r="F12047" s="6"/>
    </row>
    <row r="12048" spans="1:6" x14ac:dyDescent="0.3">
      <c r="A12048" s="8" t="s">
        <v>24052</v>
      </c>
      <c r="B12048" s="8" t="s">
        <v>65647</v>
      </c>
      <c r="C12048" s="8" t="s">
        <v>24053</v>
      </c>
      <c r="D12048" s="8"/>
      <c r="E12048" s="6"/>
      <c r="F12048" s="6"/>
    </row>
    <row r="12049" spans="1:6" x14ac:dyDescent="0.3">
      <c r="A12049" s="8" t="s">
        <v>24054</v>
      </c>
      <c r="B12049" s="8" t="s">
        <v>65648</v>
      </c>
      <c r="C12049" s="8" t="s">
        <v>24055</v>
      </c>
      <c r="D12049" s="8"/>
      <c r="E12049" s="6"/>
      <c r="F12049" s="6"/>
    </row>
    <row r="12050" spans="1:6" x14ac:dyDescent="0.3">
      <c r="A12050" s="8" t="s">
        <v>24056</v>
      </c>
      <c r="B12050" s="8" t="s">
        <v>65649</v>
      </c>
      <c r="C12050" s="8" t="s">
        <v>24057</v>
      </c>
      <c r="D12050" s="8"/>
      <c r="E12050" s="6"/>
      <c r="F12050" s="6"/>
    </row>
    <row r="12051" spans="1:6" x14ac:dyDescent="0.3">
      <c r="A12051" s="8" t="s">
        <v>24058</v>
      </c>
      <c r="B12051" s="8" t="s">
        <v>65650</v>
      </c>
      <c r="C12051" s="8" t="s">
        <v>24059</v>
      </c>
      <c r="D12051" s="8"/>
      <c r="E12051" s="6"/>
      <c r="F12051" s="6"/>
    </row>
    <row r="12052" spans="1:6" x14ac:dyDescent="0.3">
      <c r="A12052" s="8" t="s">
        <v>24060</v>
      </c>
      <c r="B12052" s="8" t="s">
        <v>65651</v>
      </c>
      <c r="C12052" s="8" t="s">
        <v>24061</v>
      </c>
      <c r="D12052" s="8"/>
      <c r="E12052" s="6"/>
      <c r="F12052" s="6"/>
    </row>
    <row r="12053" spans="1:6" x14ac:dyDescent="0.3">
      <c r="A12053" s="8" t="s">
        <v>24062</v>
      </c>
      <c r="B12053" s="8" t="s">
        <v>65652</v>
      </c>
      <c r="C12053" s="8" t="s">
        <v>24063</v>
      </c>
      <c r="D12053" s="8"/>
      <c r="E12053" s="6"/>
      <c r="F12053" s="6"/>
    </row>
    <row r="12054" spans="1:6" x14ac:dyDescent="0.3">
      <c r="A12054" s="8" t="s">
        <v>24064</v>
      </c>
      <c r="B12054" s="8" t="s">
        <v>65653</v>
      </c>
      <c r="C12054" s="8" t="s">
        <v>24065</v>
      </c>
      <c r="D12054" s="8"/>
      <c r="E12054" s="6"/>
      <c r="F12054" s="6"/>
    </row>
    <row r="12055" spans="1:6" x14ac:dyDescent="0.3">
      <c r="A12055" s="8" t="s">
        <v>24066</v>
      </c>
      <c r="B12055" s="8" t="s">
        <v>65654</v>
      </c>
      <c r="C12055" s="8" t="s">
        <v>24067</v>
      </c>
      <c r="D12055" s="8"/>
      <c r="E12055" s="6"/>
      <c r="F12055" s="6"/>
    </row>
    <row r="12056" spans="1:6" x14ac:dyDescent="0.3">
      <c r="A12056" s="8" t="s">
        <v>24068</v>
      </c>
      <c r="B12056" s="8" t="s">
        <v>65655</v>
      </c>
      <c r="C12056" s="8" t="s">
        <v>24069</v>
      </c>
      <c r="D12056" s="8"/>
      <c r="E12056" s="6"/>
      <c r="F12056" s="6"/>
    </row>
    <row r="12057" spans="1:6" x14ac:dyDescent="0.3">
      <c r="A12057" s="8" t="s">
        <v>24070</v>
      </c>
      <c r="B12057" s="8" t="s">
        <v>65656</v>
      </c>
      <c r="C12057" s="8" t="s">
        <v>24071</v>
      </c>
      <c r="D12057" s="8"/>
      <c r="E12057" s="6"/>
      <c r="F12057" s="6"/>
    </row>
    <row r="12058" spans="1:6" x14ac:dyDescent="0.3">
      <c r="A12058" s="8" t="s">
        <v>24072</v>
      </c>
      <c r="B12058" s="8" t="s">
        <v>65657</v>
      </c>
      <c r="C12058" s="8" t="s">
        <v>24073</v>
      </c>
      <c r="D12058" s="8"/>
      <c r="E12058" s="6"/>
      <c r="F12058" s="6"/>
    </row>
    <row r="12059" spans="1:6" x14ac:dyDescent="0.3">
      <c r="A12059" s="8" t="s">
        <v>24074</v>
      </c>
      <c r="B12059" s="8" t="s">
        <v>65658</v>
      </c>
      <c r="C12059" s="8" t="s">
        <v>24075</v>
      </c>
      <c r="D12059" s="8"/>
      <c r="E12059" s="6"/>
      <c r="F12059" s="6"/>
    </row>
    <row r="12060" spans="1:6" x14ac:dyDescent="0.3">
      <c r="A12060" s="8" t="s">
        <v>24076</v>
      </c>
      <c r="B12060" s="8" t="s">
        <v>65659</v>
      </c>
      <c r="C12060" s="8" t="s">
        <v>24077</v>
      </c>
      <c r="D12060" s="8"/>
      <c r="E12060" s="6"/>
      <c r="F12060" s="6"/>
    </row>
    <row r="12061" spans="1:6" x14ac:dyDescent="0.3">
      <c r="A12061" s="8" t="s">
        <v>24078</v>
      </c>
      <c r="B12061" s="8" t="s">
        <v>65660</v>
      </c>
      <c r="C12061" s="8" t="s">
        <v>24079</v>
      </c>
      <c r="D12061" s="8"/>
      <c r="E12061" s="6"/>
      <c r="F12061" s="6"/>
    </row>
    <row r="12062" spans="1:6" x14ac:dyDescent="0.3">
      <c r="A12062" s="8" t="s">
        <v>24080</v>
      </c>
      <c r="B12062" s="8" t="s">
        <v>65661</v>
      </c>
      <c r="C12062" s="8" t="s">
        <v>24081</v>
      </c>
      <c r="D12062" s="8"/>
      <c r="E12062" s="6"/>
      <c r="F12062" s="6"/>
    </row>
    <row r="12063" spans="1:6" x14ac:dyDescent="0.3">
      <c r="A12063" s="8" t="s">
        <v>24082</v>
      </c>
      <c r="B12063" s="8" t="s">
        <v>65662</v>
      </c>
      <c r="C12063" s="8" t="s">
        <v>24083</v>
      </c>
      <c r="D12063" s="8"/>
      <c r="E12063" s="6"/>
      <c r="F12063" s="6"/>
    </row>
    <row r="12064" spans="1:6" x14ac:dyDescent="0.3">
      <c r="A12064" s="8" t="s">
        <v>24084</v>
      </c>
      <c r="B12064" s="8" t="s">
        <v>65663</v>
      </c>
      <c r="C12064" s="8" t="s">
        <v>24085</v>
      </c>
      <c r="D12064" s="8"/>
      <c r="E12064" s="6"/>
      <c r="F12064" s="6"/>
    </row>
    <row r="12065" spans="1:6" x14ac:dyDescent="0.3">
      <c r="A12065" s="8" t="s">
        <v>24086</v>
      </c>
      <c r="B12065" s="8" t="s">
        <v>65664</v>
      </c>
      <c r="C12065" s="8" t="s">
        <v>24087</v>
      </c>
      <c r="D12065" s="8"/>
      <c r="E12065" s="6"/>
      <c r="F12065" s="6"/>
    </row>
    <row r="12066" spans="1:6" x14ac:dyDescent="0.3">
      <c r="A12066" s="8" t="s">
        <v>24088</v>
      </c>
      <c r="B12066" s="8" t="s">
        <v>65665</v>
      </c>
      <c r="C12066" s="8" t="s">
        <v>24089</v>
      </c>
      <c r="D12066" s="8"/>
      <c r="E12066" s="6"/>
      <c r="F12066" s="6"/>
    </row>
    <row r="12067" spans="1:6" x14ac:dyDescent="0.3">
      <c r="A12067" s="8" t="s">
        <v>24090</v>
      </c>
      <c r="B12067" s="8" t="s">
        <v>65666</v>
      </c>
      <c r="C12067" s="8" t="s">
        <v>24091</v>
      </c>
      <c r="D12067" s="8"/>
      <c r="E12067" s="6"/>
      <c r="F12067" s="6"/>
    </row>
    <row r="12068" spans="1:6" x14ac:dyDescent="0.3">
      <c r="A12068" s="8" t="s">
        <v>24092</v>
      </c>
      <c r="B12068" s="8" t="s">
        <v>65667</v>
      </c>
      <c r="C12068" s="8" t="s">
        <v>24093</v>
      </c>
      <c r="D12068" s="8"/>
      <c r="E12068" s="6"/>
      <c r="F12068" s="6"/>
    </row>
    <row r="12069" spans="1:6" x14ac:dyDescent="0.3">
      <c r="A12069" s="8" t="s">
        <v>24094</v>
      </c>
      <c r="B12069" s="8" t="s">
        <v>65668</v>
      </c>
      <c r="C12069" s="8" t="s">
        <v>24095</v>
      </c>
      <c r="D12069" s="8"/>
      <c r="E12069" s="6"/>
      <c r="F12069" s="6"/>
    </row>
    <row r="12070" spans="1:6" x14ac:dyDescent="0.3">
      <c r="A12070" s="8" t="s">
        <v>24096</v>
      </c>
      <c r="B12070" s="8" t="s">
        <v>65669</v>
      </c>
      <c r="C12070" s="8" t="s">
        <v>24097</v>
      </c>
      <c r="D12070" s="8"/>
      <c r="E12070" s="6"/>
      <c r="F12070" s="6"/>
    </row>
    <row r="12071" spans="1:6" x14ac:dyDescent="0.3">
      <c r="A12071" s="8" t="s">
        <v>24098</v>
      </c>
      <c r="B12071" s="8" t="s">
        <v>65670</v>
      </c>
      <c r="C12071" s="8" t="s">
        <v>24099</v>
      </c>
      <c r="D12071" s="8"/>
      <c r="E12071" s="6"/>
      <c r="F12071" s="6"/>
    </row>
    <row r="12072" spans="1:6" x14ac:dyDescent="0.3">
      <c r="A12072" s="8" t="s">
        <v>24100</v>
      </c>
      <c r="B12072" s="8" t="s">
        <v>65671</v>
      </c>
      <c r="C12072" s="8" t="s">
        <v>24101</v>
      </c>
      <c r="D12072" s="8"/>
      <c r="E12072" s="6"/>
      <c r="F12072" s="6"/>
    </row>
    <row r="12073" spans="1:6" x14ac:dyDescent="0.3">
      <c r="A12073" s="8" t="s">
        <v>24102</v>
      </c>
      <c r="B12073" s="8" t="s">
        <v>65672</v>
      </c>
      <c r="C12073" s="8" t="s">
        <v>24103</v>
      </c>
      <c r="D12073" s="8"/>
      <c r="E12073" s="6"/>
      <c r="F12073" s="6"/>
    </row>
    <row r="12074" spans="1:6" x14ac:dyDescent="0.3">
      <c r="A12074" s="8" t="s">
        <v>24104</v>
      </c>
      <c r="B12074" s="8" t="s">
        <v>65673</v>
      </c>
      <c r="C12074" s="8" t="s">
        <v>24105</v>
      </c>
      <c r="D12074" s="8"/>
      <c r="E12074" s="6"/>
      <c r="F12074" s="6"/>
    </row>
    <row r="12075" spans="1:6" x14ac:dyDescent="0.3">
      <c r="A12075" s="8" t="s">
        <v>24106</v>
      </c>
      <c r="B12075" s="8" t="s">
        <v>65674</v>
      </c>
      <c r="C12075" s="8" t="s">
        <v>24107</v>
      </c>
      <c r="D12075" s="8"/>
      <c r="E12075" s="6"/>
      <c r="F12075" s="6"/>
    </row>
    <row r="12076" spans="1:6" x14ac:dyDescent="0.3">
      <c r="A12076" s="8" t="s">
        <v>24108</v>
      </c>
      <c r="B12076" s="8" t="s">
        <v>65675</v>
      </c>
      <c r="C12076" s="8" t="s">
        <v>24109</v>
      </c>
      <c r="D12076" s="8"/>
      <c r="E12076" s="6"/>
      <c r="F12076" s="6"/>
    </row>
    <row r="12077" spans="1:6" x14ac:dyDescent="0.3">
      <c r="A12077" s="8" t="s">
        <v>24110</v>
      </c>
      <c r="B12077" s="8" t="s">
        <v>65676</v>
      </c>
      <c r="C12077" s="8" t="s">
        <v>24111</v>
      </c>
      <c r="D12077" s="8"/>
      <c r="E12077" s="6"/>
      <c r="F12077" s="6"/>
    </row>
    <row r="12078" spans="1:6" x14ac:dyDescent="0.3">
      <c r="A12078" s="8" t="s">
        <v>24112</v>
      </c>
      <c r="B12078" s="8" t="s">
        <v>65677</v>
      </c>
      <c r="C12078" s="8" t="s">
        <v>24113</v>
      </c>
      <c r="D12078" s="8"/>
      <c r="E12078" s="6"/>
      <c r="F12078" s="6"/>
    </row>
    <row r="12079" spans="1:6" x14ac:dyDescent="0.3">
      <c r="A12079" s="8" t="s">
        <v>24114</v>
      </c>
      <c r="B12079" s="8" t="s">
        <v>65678</v>
      </c>
      <c r="C12079" s="8" t="s">
        <v>24115</v>
      </c>
      <c r="D12079" s="8"/>
      <c r="E12079" s="6"/>
      <c r="F12079" s="6"/>
    </row>
    <row r="12080" spans="1:6" x14ac:dyDescent="0.3">
      <c r="A12080" s="8" t="s">
        <v>24116</v>
      </c>
      <c r="B12080" s="8" t="s">
        <v>65679</v>
      </c>
      <c r="C12080" s="8" t="s">
        <v>24117</v>
      </c>
      <c r="D12080" s="8"/>
      <c r="E12080" s="6"/>
      <c r="F12080" s="6"/>
    </row>
    <row r="12081" spans="1:6" x14ac:dyDescent="0.3">
      <c r="A12081" s="8" t="s">
        <v>24118</v>
      </c>
      <c r="B12081" s="8" t="s">
        <v>65680</v>
      </c>
      <c r="C12081" s="8" t="s">
        <v>24119</v>
      </c>
      <c r="D12081" s="8"/>
      <c r="E12081" s="6"/>
      <c r="F12081" s="6"/>
    </row>
    <row r="12082" spans="1:6" x14ac:dyDescent="0.3">
      <c r="A12082" s="8" t="s">
        <v>24120</v>
      </c>
      <c r="B12082" s="8" t="s">
        <v>59105</v>
      </c>
      <c r="C12082" s="8" t="s">
        <v>24121</v>
      </c>
      <c r="D12082" s="8"/>
      <c r="E12082" s="6"/>
      <c r="F12082" s="6"/>
    </row>
    <row r="12083" spans="1:6" x14ac:dyDescent="0.3">
      <c r="A12083" s="8" t="s">
        <v>24122</v>
      </c>
      <c r="B12083" s="8" t="s">
        <v>59105</v>
      </c>
      <c r="C12083" s="8" t="s">
        <v>24123</v>
      </c>
      <c r="D12083" s="8"/>
      <c r="E12083" s="6"/>
      <c r="F12083" s="6"/>
    </row>
    <row r="12084" spans="1:6" x14ac:dyDescent="0.3">
      <c r="A12084" s="8" t="s">
        <v>24124</v>
      </c>
      <c r="B12084" s="8" t="s">
        <v>65681</v>
      </c>
      <c r="C12084" s="8" t="s">
        <v>24125</v>
      </c>
      <c r="D12084" s="8"/>
      <c r="E12084" s="6"/>
      <c r="F12084" s="6"/>
    </row>
    <row r="12085" spans="1:6" x14ac:dyDescent="0.3">
      <c r="A12085" s="8" t="s">
        <v>24126</v>
      </c>
      <c r="B12085" s="8" t="s">
        <v>65682</v>
      </c>
      <c r="C12085" s="8" t="s">
        <v>24127</v>
      </c>
      <c r="D12085" s="8"/>
      <c r="E12085" s="6"/>
      <c r="F12085" s="6"/>
    </row>
    <row r="12086" spans="1:6" x14ac:dyDescent="0.3">
      <c r="A12086" s="8" t="s">
        <v>24128</v>
      </c>
      <c r="B12086" s="8" t="s">
        <v>65680</v>
      </c>
      <c r="C12086" s="8" t="s">
        <v>24129</v>
      </c>
      <c r="D12086" s="8"/>
      <c r="E12086" s="6"/>
      <c r="F12086" s="6"/>
    </row>
    <row r="12087" spans="1:6" x14ac:dyDescent="0.3">
      <c r="A12087" s="8" t="s">
        <v>24130</v>
      </c>
      <c r="B12087" s="8" t="s">
        <v>65683</v>
      </c>
      <c r="C12087" s="8" t="s">
        <v>24131</v>
      </c>
      <c r="D12087" s="8"/>
      <c r="E12087" s="6"/>
      <c r="F12087" s="6"/>
    </row>
    <row r="12088" spans="1:6" x14ac:dyDescent="0.3">
      <c r="A12088" s="8" t="s">
        <v>24132</v>
      </c>
      <c r="B12088" s="8" t="s">
        <v>65684</v>
      </c>
      <c r="C12088" s="8" t="s">
        <v>24133</v>
      </c>
      <c r="D12088" s="8"/>
      <c r="E12088" s="6"/>
      <c r="F12088" s="6"/>
    </row>
    <row r="12089" spans="1:6" x14ac:dyDescent="0.3">
      <c r="A12089" s="8" t="s">
        <v>24134</v>
      </c>
      <c r="B12089" s="8" t="s">
        <v>65685</v>
      </c>
      <c r="C12089" s="8" t="s">
        <v>24135</v>
      </c>
      <c r="D12089" s="8"/>
      <c r="E12089" s="6"/>
      <c r="F12089" s="6"/>
    </row>
    <row r="12090" spans="1:6" x14ac:dyDescent="0.3">
      <c r="A12090" s="8" t="s">
        <v>24136</v>
      </c>
      <c r="B12090" s="8" t="s">
        <v>65686</v>
      </c>
      <c r="C12090" s="8" t="s">
        <v>24137</v>
      </c>
      <c r="D12090" s="8"/>
      <c r="E12090" s="6"/>
      <c r="F12090" s="6"/>
    </row>
    <row r="12091" spans="1:6" x14ac:dyDescent="0.3">
      <c r="A12091" s="8" t="s">
        <v>24138</v>
      </c>
      <c r="B12091" s="8" t="s">
        <v>65687</v>
      </c>
      <c r="C12091" s="8" t="s">
        <v>24139</v>
      </c>
      <c r="D12091" s="8"/>
      <c r="E12091" s="6"/>
      <c r="F12091" s="6"/>
    </row>
    <row r="12092" spans="1:6" x14ac:dyDescent="0.3">
      <c r="A12092" s="8" t="s">
        <v>24140</v>
      </c>
      <c r="B12092" s="8" t="s">
        <v>65688</v>
      </c>
      <c r="C12092" s="8" t="s">
        <v>24141</v>
      </c>
      <c r="D12092" s="8"/>
      <c r="E12092" s="6"/>
      <c r="F12092" s="6"/>
    </row>
    <row r="12093" spans="1:6" x14ac:dyDescent="0.3">
      <c r="A12093" s="8" t="s">
        <v>24142</v>
      </c>
      <c r="B12093" s="8" t="s">
        <v>65689</v>
      </c>
      <c r="C12093" s="8" t="s">
        <v>24143</v>
      </c>
      <c r="D12093" s="8"/>
      <c r="E12093" s="6"/>
      <c r="F12093" s="6"/>
    </row>
    <row r="12094" spans="1:6" x14ac:dyDescent="0.3">
      <c r="A12094" s="8" t="s">
        <v>24144</v>
      </c>
      <c r="B12094" s="8" t="s">
        <v>65690</v>
      </c>
      <c r="C12094" s="8" t="s">
        <v>24145</v>
      </c>
      <c r="D12094" s="8"/>
      <c r="E12094" s="6"/>
      <c r="F12094" s="6"/>
    </row>
    <row r="12095" spans="1:6" x14ac:dyDescent="0.3">
      <c r="A12095" s="8" t="s">
        <v>24146</v>
      </c>
      <c r="B12095" s="8" t="s">
        <v>65691</v>
      </c>
      <c r="C12095" s="8" t="s">
        <v>24147</v>
      </c>
      <c r="D12095" s="8"/>
      <c r="E12095" s="6"/>
      <c r="F12095" s="6"/>
    </row>
    <row r="12096" spans="1:6" x14ac:dyDescent="0.3">
      <c r="A12096" s="8" t="s">
        <v>24148</v>
      </c>
      <c r="B12096" s="8" t="s">
        <v>65692</v>
      </c>
      <c r="C12096" s="8" t="s">
        <v>24149</v>
      </c>
      <c r="D12096" s="8"/>
      <c r="E12096" s="6"/>
      <c r="F12096" s="6"/>
    </row>
    <row r="12097" spans="1:6" x14ac:dyDescent="0.3">
      <c r="A12097" s="8" t="s">
        <v>24150</v>
      </c>
      <c r="B12097" s="8" t="s">
        <v>65693</v>
      </c>
      <c r="C12097" s="8" t="s">
        <v>24151</v>
      </c>
      <c r="D12097" s="8"/>
      <c r="E12097" s="6"/>
      <c r="F12097" s="6"/>
    </row>
    <row r="12098" spans="1:6" x14ac:dyDescent="0.3">
      <c r="A12098" s="8" t="s">
        <v>24152</v>
      </c>
      <c r="B12098" s="8" t="s">
        <v>65694</v>
      </c>
      <c r="C12098" s="8" t="s">
        <v>24153</v>
      </c>
      <c r="D12098" s="8"/>
      <c r="E12098" s="6"/>
      <c r="F12098" s="6"/>
    </row>
    <row r="12099" spans="1:6" x14ac:dyDescent="0.3">
      <c r="A12099" s="8" t="s">
        <v>24154</v>
      </c>
      <c r="B12099" s="8" t="s">
        <v>65695</v>
      </c>
      <c r="C12099" s="8" t="s">
        <v>24155</v>
      </c>
      <c r="D12099" s="8"/>
      <c r="E12099" s="6"/>
      <c r="F12099" s="6"/>
    </row>
    <row r="12100" spans="1:6" x14ac:dyDescent="0.3">
      <c r="A12100" s="8" t="s">
        <v>24156</v>
      </c>
      <c r="B12100" s="8" t="s">
        <v>65696</v>
      </c>
      <c r="C12100" s="8" t="s">
        <v>24157</v>
      </c>
      <c r="D12100" s="8"/>
      <c r="E12100" s="6"/>
      <c r="F12100" s="6"/>
    </row>
    <row r="12101" spans="1:6" x14ac:dyDescent="0.3">
      <c r="A12101" s="8" t="s">
        <v>24158</v>
      </c>
      <c r="B12101" s="8" t="s">
        <v>65697</v>
      </c>
      <c r="C12101" s="8" t="s">
        <v>24159</v>
      </c>
      <c r="D12101" s="8"/>
      <c r="E12101" s="6"/>
      <c r="F12101" s="6"/>
    </row>
    <row r="12102" spans="1:6" x14ac:dyDescent="0.3">
      <c r="A12102" s="8" t="s">
        <v>24160</v>
      </c>
      <c r="B12102" s="8" t="s">
        <v>65698</v>
      </c>
      <c r="C12102" s="8" t="s">
        <v>24161</v>
      </c>
      <c r="D12102" s="8"/>
      <c r="E12102" s="6"/>
      <c r="F12102" s="6"/>
    </row>
    <row r="12103" spans="1:6" x14ac:dyDescent="0.3">
      <c r="A12103" s="8" t="s">
        <v>24162</v>
      </c>
      <c r="B12103" s="8" t="s">
        <v>65699</v>
      </c>
      <c r="C12103" s="8" t="s">
        <v>24163</v>
      </c>
      <c r="D12103" s="8"/>
      <c r="E12103" s="6"/>
      <c r="F12103" s="6"/>
    </row>
    <row r="12104" spans="1:6" x14ac:dyDescent="0.3">
      <c r="A12104" s="8" t="s">
        <v>24164</v>
      </c>
      <c r="B12104" s="8" t="s">
        <v>65700</v>
      </c>
      <c r="C12104" s="8" t="s">
        <v>24165</v>
      </c>
      <c r="D12104" s="8"/>
      <c r="E12104" s="6"/>
      <c r="F12104" s="6"/>
    </row>
    <row r="12105" spans="1:6" x14ac:dyDescent="0.3">
      <c r="A12105" s="8" t="s">
        <v>24166</v>
      </c>
      <c r="B12105" s="8" t="s">
        <v>65701</v>
      </c>
      <c r="C12105" s="8" t="s">
        <v>24167</v>
      </c>
      <c r="D12105" s="8"/>
      <c r="E12105" s="6"/>
      <c r="F12105" s="6"/>
    </row>
    <row r="12106" spans="1:6" x14ac:dyDescent="0.3">
      <c r="A12106" s="8" t="s">
        <v>24168</v>
      </c>
      <c r="B12106" s="8" t="s">
        <v>65702</v>
      </c>
      <c r="C12106" s="8" t="s">
        <v>24169</v>
      </c>
      <c r="D12106" s="8"/>
      <c r="E12106" s="6"/>
      <c r="F12106" s="6"/>
    </row>
    <row r="12107" spans="1:6" x14ac:dyDescent="0.3">
      <c r="A12107" s="8" t="s">
        <v>24170</v>
      </c>
      <c r="B12107" s="8" t="s">
        <v>65703</v>
      </c>
      <c r="C12107" s="8" t="s">
        <v>24171</v>
      </c>
      <c r="D12107" s="8"/>
      <c r="E12107" s="6"/>
      <c r="F12107" s="6"/>
    </row>
    <row r="12108" spans="1:6" x14ac:dyDescent="0.3">
      <c r="A12108" s="8" t="s">
        <v>24172</v>
      </c>
      <c r="B12108" s="8" t="s">
        <v>65704</v>
      </c>
      <c r="C12108" s="8" t="s">
        <v>24173</v>
      </c>
      <c r="D12108" s="8"/>
      <c r="E12108" s="6"/>
      <c r="F12108" s="6"/>
    </row>
    <row r="12109" spans="1:6" x14ac:dyDescent="0.3">
      <c r="A12109" s="8" t="s">
        <v>24174</v>
      </c>
      <c r="B12109" s="8" t="s">
        <v>65705</v>
      </c>
      <c r="C12109" s="8" t="s">
        <v>24175</v>
      </c>
      <c r="D12109" s="8"/>
      <c r="E12109" s="6"/>
      <c r="F12109" s="6"/>
    </row>
    <row r="12110" spans="1:6" x14ac:dyDescent="0.3">
      <c r="A12110" s="8" t="s">
        <v>24176</v>
      </c>
      <c r="B12110" s="8" t="s">
        <v>65706</v>
      </c>
      <c r="C12110" s="8" t="s">
        <v>24177</v>
      </c>
      <c r="D12110" s="8"/>
      <c r="E12110" s="6"/>
      <c r="F12110" s="6"/>
    </row>
    <row r="12111" spans="1:6" x14ac:dyDescent="0.3">
      <c r="A12111" s="8" t="s">
        <v>24178</v>
      </c>
      <c r="B12111" s="8" t="s">
        <v>65707</v>
      </c>
      <c r="C12111" s="8" t="s">
        <v>24179</v>
      </c>
      <c r="D12111" s="8"/>
      <c r="E12111" s="6"/>
      <c r="F12111" s="6"/>
    </row>
    <row r="12112" spans="1:6" x14ac:dyDescent="0.3">
      <c r="A12112" s="8" t="s">
        <v>24180</v>
      </c>
      <c r="B12112" s="8" t="s">
        <v>65708</v>
      </c>
      <c r="C12112" s="8" t="s">
        <v>24181</v>
      </c>
      <c r="D12112" s="8"/>
      <c r="E12112" s="6"/>
      <c r="F12112" s="6"/>
    </row>
    <row r="12113" spans="1:6" x14ac:dyDescent="0.3">
      <c r="A12113" s="8" t="s">
        <v>24182</v>
      </c>
      <c r="B12113" s="8" t="s">
        <v>65709</v>
      </c>
      <c r="C12113" s="8" t="s">
        <v>24183</v>
      </c>
      <c r="D12113" s="8"/>
      <c r="E12113" s="6"/>
      <c r="F12113" s="6"/>
    </row>
    <row r="12114" spans="1:6" x14ac:dyDescent="0.3">
      <c r="A12114" s="8" t="s">
        <v>24184</v>
      </c>
      <c r="B12114" s="8" t="s">
        <v>65710</v>
      </c>
      <c r="C12114" s="8" t="s">
        <v>24185</v>
      </c>
      <c r="D12114" s="8"/>
      <c r="E12114" s="6"/>
      <c r="F12114" s="6"/>
    </row>
    <row r="12115" spans="1:6" x14ac:dyDescent="0.3">
      <c r="A12115" s="8" t="s">
        <v>24186</v>
      </c>
      <c r="B12115" s="8" t="s">
        <v>65711</v>
      </c>
      <c r="C12115" s="8" t="s">
        <v>24187</v>
      </c>
      <c r="D12115" s="8"/>
      <c r="E12115" s="6"/>
      <c r="F12115" s="6"/>
    </row>
    <row r="12116" spans="1:6" x14ac:dyDescent="0.3">
      <c r="A12116" s="8" t="s">
        <v>24188</v>
      </c>
      <c r="B12116" s="8" t="s">
        <v>65712</v>
      </c>
      <c r="C12116" s="8" t="s">
        <v>24189</v>
      </c>
      <c r="D12116" s="8"/>
      <c r="E12116" s="6"/>
      <c r="F12116" s="6"/>
    </row>
    <row r="12117" spans="1:6" x14ac:dyDescent="0.3">
      <c r="A12117" s="8" t="s">
        <v>24190</v>
      </c>
      <c r="B12117" s="8" t="s">
        <v>65713</v>
      </c>
      <c r="C12117" s="8" t="s">
        <v>24191</v>
      </c>
      <c r="D12117" s="8"/>
      <c r="E12117" s="6"/>
      <c r="F12117" s="6"/>
    </row>
    <row r="12118" spans="1:6" x14ac:dyDescent="0.3">
      <c r="A12118" s="8" t="s">
        <v>24192</v>
      </c>
      <c r="B12118" s="8" t="s">
        <v>65714</v>
      </c>
      <c r="C12118" s="8" t="s">
        <v>24193</v>
      </c>
      <c r="D12118" s="8"/>
      <c r="E12118" s="6"/>
      <c r="F12118" s="6"/>
    </row>
    <row r="12119" spans="1:6" x14ac:dyDescent="0.3">
      <c r="A12119" s="8" t="s">
        <v>24194</v>
      </c>
      <c r="B12119" s="8" t="s">
        <v>65715</v>
      </c>
      <c r="C12119" s="8" t="s">
        <v>24195</v>
      </c>
      <c r="D12119" s="8"/>
      <c r="E12119" s="6"/>
      <c r="F12119" s="6"/>
    </row>
    <row r="12120" spans="1:6" x14ac:dyDescent="0.3">
      <c r="A12120" s="8" t="s">
        <v>24196</v>
      </c>
      <c r="B12120" s="8" t="s">
        <v>65716</v>
      </c>
      <c r="C12120" s="8" t="s">
        <v>24197</v>
      </c>
      <c r="D12120" s="8"/>
      <c r="E12120" s="6"/>
      <c r="F12120" s="6"/>
    </row>
    <row r="12121" spans="1:6" x14ac:dyDescent="0.3">
      <c r="A12121" s="8" t="s">
        <v>24198</v>
      </c>
      <c r="B12121" s="8" t="s">
        <v>65717</v>
      </c>
      <c r="C12121" s="8" t="s">
        <v>24199</v>
      </c>
      <c r="D12121" s="8"/>
      <c r="E12121" s="6"/>
      <c r="F12121" s="6"/>
    </row>
    <row r="12122" spans="1:6" x14ac:dyDescent="0.3">
      <c r="A12122" s="8" t="s">
        <v>24200</v>
      </c>
      <c r="B12122" s="8" t="s">
        <v>65718</v>
      </c>
      <c r="C12122" s="8" t="s">
        <v>24201</v>
      </c>
      <c r="D12122" s="8"/>
      <c r="E12122" s="6"/>
      <c r="F12122" s="6"/>
    </row>
    <row r="12123" spans="1:6" x14ac:dyDescent="0.3">
      <c r="A12123" s="8" t="s">
        <v>24202</v>
      </c>
      <c r="B12123" s="8" t="s">
        <v>65719</v>
      </c>
      <c r="C12123" s="8" t="s">
        <v>24203</v>
      </c>
      <c r="D12123" s="8"/>
      <c r="E12123" s="6"/>
      <c r="F12123" s="6"/>
    </row>
    <row r="12124" spans="1:6" x14ac:dyDescent="0.3">
      <c r="A12124" s="8" t="s">
        <v>24204</v>
      </c>
      <c r="B12124" s="8" t="s">
        <v>65720</v>
      </c>
      <c r="C12124" s="8" t="s">
        <v>24205</v>
      </c>
      <c r="D12124" s="8"/>
      <c r="E12124" s="6"/>
      <c r="F12124" s="6"/>
    </row>
    <row r="12125" spans="1:6" x14ac:dyDescent="0.3">
      <c r="A12125" s="8" t="s">
        <v>24206</v>
      </c>
      <c r="B12125" s="8" t="s">
        <v>65721</v>
      </c>
      <c r="C12125" s="8" t="s">
        <v>24207</v>
      </c>
      <c r="D12125" s="8"/>
      <c r="E12125" s="6"/>
      <c r="F12125" s="6"/>
    </row>
    <row r="12126" spans="1:6" x14ac:dyDescent="0.3">
      <c r="A12126" s="8" t="s">
        <v>24208</v>
      </c>
      <c r="B12126" s="8" t="s">
        <v>65722</v>
      </c>
      <c r="C12126" s="8" t="s">
        <v>24209</v>
      </c>
      <c r="D12126" s="8"/>
      <c r="E12126" s="6"/>
      <c r="F12126" s="6"/>
    </row>
    <row r="12127" spans="1:6" x14ac:dyDescent="0.3">
      <c r="A12127" s="8" t="s">
        <v>24210</v>
      </c>
      <c r="B12127" s="8" t="s">
        <v>65723</v>
      </c>
      <c r="C12127" s="8" t="s">
        <v>24211</v>
      </c>
      <c r="D12127" s="8"/>
      <c r="E12127" s="6"/>
      <c r="F12127" s="6"/>
    </row>
    <row r="12128" spans="1:6" x14ac:dyDescent="0.3">
      <c r="A12128" s="8" t="s">
        <v>24212</v>
      </c>
      <c r="B12128" s="8" t="s">
        <v>65724</v>
      </c>
      <c r="C12128" s="8" t="s">
        <v>24213</v>
      </c>
      <c r="D12128" s="8"/>
      <c r="E12128" s="6"/>
      <c r="F12128" s="6"/>
    </row>
    <row r="12129" spans="1:6" x14ac:dyDescent="0.3">
      <c r="A12129" s="8" t="s">
        <v>24214</v>
      </c>
      <c r="B12129" s="8" t="s">
        <v>65725</v>
      </c>
      <c r="C12129" s="8" t="s">
        <v>24215</v>
      </c>
      <c r="D12129" s="8"/>
      <c r="E12129" s="6"/>
      <c r="F12129" s="6"/>
    </row>
    <row r="12130" spans="1:6" x14ac:dyDescent="0.3">
      <c r="A12130" s="8" t="s">
        <v>24216</v>
      </c>
      <c r="B12130" s="8" t="s">
        <v>65726</v>
      </c>
      <c r="C12130" s="8" t="s">
        <v>24217</v>
      </c>
      <c r="D12130" s="8"/>
      <c r="E12130" s="6"/>
      <c r="F12130" s="6"/>
    </row>
    <row r="12131" spans="1:6" x14ac:dyDescent="0.3">
      <c r="A12131" s="8" t="s">
        <v>24218</v>
      </c>
      <c r="B12131" s="8" t="s">
        <v>65727</v>
      </c>
      <c r="C12131" s="8" t="s">
        <v>24219</v>
      </c>
      <c r="D12131" s="8"/>
      <c r="E12131" s="6"/>
      <c r="F12131" s="6"/>
    </row>
    <row r="12132" spans="1:6" x14ac:dyDescent="0.3">
      <c r="A12132" s="8" t="s">
        <v>24220</v>
      </c>
      <c r="B12132" s="8" t="s">
        <v>65728</v>
      </c>
      <c r="C12132" s="8" t="s">
        <v>24221</v>
      </c>
      <c r="D12132" s="8"/>
      <c r="E12132" s="6"/>
      <c r="F12132" s="6"/>
    </row>
    <row r="12133" spans="1:6" x14ac:dyDescent="0.3">
      <c r="A12133" s="8" t="s">
        <v>24222</v>
      </c>
      <c r="B12133" s="8" t="s">
        <v>65729</v>
      </c>
      <c r="C12133" s="8" t="s">
        <v>24223</v>
      </c>
      <c r="D12133" s="8"/>
      <c r="E12133" s="6"/>
      <c r="F12133" s="6"/>
    </row>
    <row r="12134" spans="1:6" x14ac:dyDescent="0.3">
      <c r="A12134" s="8" t="s">
        <v>24224</v>
      </c>
      <c r="B12134" s="8" t="s">
        <v>65730</v>
      </c>
      <c r="C12134" s="8" t="s">
        <v>24225</v>
      </c>
      <c r="D12134" s="8"/>
      <c r="E12134" s="6"/>
      <c r="F12134" s="6"/>
    </row>
    <row r="12135" spans="1:6" x14ac:dyDescent="0.3">
      <c r="A12135" s="8" t="s">
        <v>24226</v>
      </c>
      <c r="B12135" s="8" t="s">
        <v>65731</v>
      </c>
      <c r="C12135" s="8" t="s">
        <v>24227</v>
      </c>
      <c r="D12135" s="8"/>
      <c r="E12135" s="6"/>
      <c r="F12135" s="6"/>
    </row>
    <row r="12136" spans="1:6" x14ac:dyDescent="0.3">
      <c r="A12136" s="8" t="s">
        <v>24228</v>
      </c>
      <c r="B12136" s="8" t="s">
        <v>65732</v>
      </c>
      <c r="C12136" s="8" t="s">
        <v>24229</v>
      </c>
      <c r="D12136" s="8"/>
      <c r="E12136" s="6"/>
      <c r="F12136" s="6"/>
    </row>
    <row r="12137" spans="1:6" x14ac:dyDescent="0.3">
      <c r="A12137" s="8" t="s">
        <v>24230</v>
      </c>
      <c r="B12137" s="8" t="s">
        <v>65733</v>
      </c>
      <c r="C12137" s="8" t="s">
        <v>24231</v>
      </c>
      <c r="D12137" s="8"/>
      <c r="E12137" s="6"/>
      <c r="F12137" s="6"/>
    </row>
    <row r="12138" spans="1:6" x14ac:dyDescent="0.3">
      <c r="A12138" s="8" t="s">
        <v>24232</v>
      </c>
      <c r="B12138" s="8" t="s">
        <v>65734</v>
      </c>
      <c r="C12138" s="8" t="s">
        <v>24233</v>
      </c>
      <c r="D12138" s="8"/>
      <c r="E12138" s="6"/>
      <c r="F12138" s="6"/>
    </row>
    <row r="12139" spans="1:6" x14ac:dyDescent="0.3">
      <c r="A12139" s="8" t="s">
        <v>24234</v>
      </c>
      <c r="B12139" s="8" t="s">
        <v>65735</v>
      </c>
      <c r="C12139" s="8" t="s">
        <v>24235</v>
      </c>
      <c r="D12139" s="8"/>
      <c r="E12139" s="6"/>
      <c r="F12139" s="6"/>
    </row>
    <row r="12140" spans="1:6" x14ac:dyDescent="0.3">
      <c r="A12140" s="8" t="s">
        <v>24236</v>
      </c>
      <c r="B12140" s="8" t="s">
        <v>65736</v>
      </c>
      <c r="C12140" s="8" t="s">
        <v>24237</v>
      </c>
      <c r="D12140" s="8"/>
      <c r="E12140" s="6"/>
      <c r="F12140" s="6"/>
    </row>
    <row r="12141" spans="1:6" x14ac:dyDescent="0.3">
      <c r="A12141" s="8" t="s">
        <v>24238</v>
      </c>
      <c r="B12141" s="8" t="s">
        <v>65737</v>
      </c>
      <c r="C12141" s="8" t="s">
        <v>24239</v>
      </c>
      <c r="D12141" s="8"/>
      <c r="E12141" s="6"/>
      <c r="F12141" s="6"/>
    </row>
    <row r="12142" spans="1:6" x14ac:dyDescent="0.3">
      <c r="A12142" s="8" t="s">
        <v>24240</v>
      </c>
      <c r="B12142" s="8" t="s">
        <v>65738</v>
      </c>
      <c r="C12142" s="8" t="s">
        <v>24241</v>
      </c>
      <c r="D12142" s="8"/>
      <c r="E12142" s="6"/>
      <c r="F12142" s="6"/>
    </row>
    <row r="12143" spans="1:6" x14ac:dyDescent="0.3">
      <c r="A12143" s="8" t="s">
        <v>24242</v>
      </c>
      <c r="B12143" s="8" t="s">
        <v>65739</v>
      </c>
      <c r="C12143" s="8" t="s">
        <v>24243</v>
      </c>
      <c r="D12143" s="8"/>
      <c r="E12143" s="6"/>
      <c r="F12143" s="6"/>
    </row>
    <row r="12144" spans="1:6" x14ac:dyDescent="0.3">
      <c r="A12144" s="8" t="s">
        <v>24244</v>
      </c>
      <c r="B12144" s="8" t="s">
        <v>65740</v>
      </c>
      <c r="C12144" s="8" t="s">
        <v>24245</v>
      </c>
      <c r="D12144" s="8"/>
      <c r="E12144" s="6"/>
      <c r="F12144" s="6"/>
    </row>
    <row r="12145" spans="1:6" x14ac:dyDescent="0.3">
      <c r="A12145" s="8" t="s">
        <v>24246</v>
      </c>
      <c r="B12145" s="8" t="s">
        <v>65741</v>
      </c>
      <c r="C12145" s="8" t="s">
        <v>24247</v>
      </c>
      <c r="D12145" s="8"/>
      <c r="E12145" s="6"/>
      <c r="F12145" s="6"/>
    </row>
    <row r="12146" spans="1:6" x14ac:dyDescent="0.3">
      <c r="A12146" s="8" t="s">
        <v>24248</v>
      </c>
      <c r="B12146" s="8" t="s">
        <v>65742</v>
      </c>
      <c r="C12146" s="8" t="s">
        <v>24249</v>
      </c>
      <c r="D12146" s="8"/>
      <c r="E12146" s="6"/>
      <c r="F12146" s="6"/>
    </row>
    <row r="12147" spans="1:6" x14ac:dyDescent="0.3">
      <c r="A12147" s="8" t="s">
        <v>24250</v>
      </c>
      <c r="B12147" s="8" t="s">
        <v>65743</v>
      </c>
      <c r="C12147" s="8" t="s">
        <v>24251</v>
      </c>
      <c r="D12147" s="8"/>
      <c r="E12147" s="6"/>
      <c r="F12147" s="6"/>
    </row>
    <row r="12148" spans="1:6" x14ac:dyDescent="0.3">
      <c r="A12148" s="8" t="s">
        <v>24252</v>
      </c>
      <c r="B12148" s="8" t="s">
        <v>65744</v>
      </c>
      <c r="C12148" s="8" t="s">
        <v>24253</v>
      </c>
      <c r="D12148" s="8"/>
      <c r="E12148" s="6"/>
      <c r="F12148" s="6"/>
    </row>
    <row r="12149" spans="1:6" x14ac:dyDescent="0.3">
      <c r="A12149" s="8" t="s">
        <v>24254</v>
      </c>
      <c r="B12149" s="8" t="s">
        <v>65745</v>
      </c>
      <c r="C12149" s="8" t="s">
        <v>24255</v>
      </c>
      <c r="D12149" s="8"/>
      <c r="E12149" s="6"/>
      <c r="F12149" s="6"/>
    </row>
    <row r="12150" spans="1:6" x14ac:dyDescent="0.3">
      <c r="A12150" s="8" t="s">
        <v>24256</v>
      </c>
      <c r="B12150" s="8" t="s">
        <v>65746</v>
      </c>
      <c r="C12150" s="8" t="s">
        <v>24257</v>
      </c>
      <c r="D12150" s="8"/>
      <c r="E12150" s="6"/>
      <c r="F12150" s="6"/>
    </row>
    <row r="12151" spans="1:6" x14ac:dyDescent="0.3">
      <c r="A12151" s="8" t="s">
        <v>24258</v>
      </c>
      <c r="B12151" s="8" t="s">
        <v>65747</v>
      </c>
      <c r="C12151" s="8" t="s">
        <v>24259</v>
      </c>
      <c r="D12151" s="8"/>
      <c r="E12151" s="6"/>
      <c r="F12151" s="6"/>
    </row>
    <row r="12152" spans="1:6" x14ac:dyDescent="0.3">
      <c r="A12152" s="8" t="s">
        <v>24260</v>
      </c>
      <c r="B12152" s="8" t="s">
        <v>65748</v>
      </c>
      <c r="C12152" s="8" t="s">
        <v>24261</v>
      </c>
      <c r="D12152" s="8"/>
      <c r="E12152" s="6"/>
      <c r="F12152" s="6"/>
    </row>
    <row r="12153" spans="1:6" x14ac:dyDescent="0.3">
      <c r="A12153" s="8" t="s">
        <v>24262</v>
      </c>
      <c r="B12153" s="8" t="s">
        <v>65749</v>
      </c>
      <c r="C12153" s="8" t="s">
        <v>24263</v>
      </c>
      <c r="D12153" s="8"/>
      <c r="E12153" s="6"/>
      <c r="F12153" s="6"/>
    </row>
    <row r="12154" spans="1:6" x14ac:dyDescent="0.3">
      <c r="A12154" s="8" t="s">
        <v>24264</v>
      </c>
      <c r="B12154" s="8" t="s">
        <v>65750</v>
      </c>
      <c r="C12154" s="8" t="s">
        <v>24265</v>
      </c>
      <c r="D12154" s="8"/>
      <c r="E12154" s="6"/>
      <c r="F12154" s="6"/>
    </row>
    <row r="12155" spans="1:6" x14ac:dyDescent="0.3">
      <c r="A12155" s="8" t="s">
        <v>24266</v>
      </c>
      <c r="B12155" s="8" t="s">
        <v>65751</v>
      </c>
      <c r="C12155" s="8" t="s">
        <v>24267</v>
      </c>
      <c r="D12155" s="8"/>
      <c r="E12155" s="6"/>
      <c r="F12155" s="6"/>
    </row>
    <row r="12156" spans="1:6" x14ac:dyDescent="0.3">
      <c r="A12156" s="8" t="s">
        <v>24268</v>
      </c>
      <c r="B12156" s="8" t="s">
        <v>65752</v>
      </c>
      <c r="C12156" s="8" t="s">
        <v>24269</v>
      </c>
      <c r="D12156" s="8"/>
      <c r="E12156" s="6"/>
      <c r="F12156" s="6"/>
    </row>
    <row r="12157" spans="1:6" x14ac:dyDescent="0.3">
      <c r="A12157" s="8" t="s">
        <v>24270</v>
      </c>
      <c r="B12157" s="8" t="s">
        <v>65753</v>
      </c>
      <c r="C12157" s="8" t="s">
        <v>24271</v>
      </c>
      <c r="D12157" s="8"/>
      <c r="E12157" s="6"/>
      <c r="F12157" s="6"/>
    </row>
    <row r="12158" spans="1:6" x14ac:dyDescent="0.3">
      <c r="A12158" s="8" t="s">
        <v>24272</v>
      </c>
      <c r="B12158" s="8" t="s">
        <v>65754</v>
      </c>
      <c r="C12158" s="8" t="s">
        <v>24273</v>
      </c>
      <c r="D12158" s="8"/>
      <c r="E12158" s="6"/>
      <c r="F12158" s="6"/>
    </row>
    <row r="12159" spans="1:6" x14ac:dyDescent="0.3">
      <c r="A12159" s="8" t="s">
        <v>24274</v>
      </c>
      <c r="B12159" s="8" t="s">
        <v>65755</v>
      </c>
      <c r="C12159" s="8" t="s">
        <v>24275</v>
      </c>
      <c r="D12159" s="8"/>
      <c r="E12159" s="6"/>
      <c r="F12159" s="6"/>
    </row>
    <row r="12160" spans="1:6" x14ac:dyDescent="0.3">
      <c r="A12160" s="8" t="s">
        <v>24276</v>
      </c>
      <c r="B12160" s="8" t="s">
        <v>65756</v>
      </c>
      <c r="C12160" s="8" t="s">
        <v>24277</v>
      </c>
      <c r="D12160" s="8"/>
      <c r="E12160" s="6"/>
      <c r="F12160" s="6"/>
    </row>
    <row r="12161" spans="1:6" x14ac:dyDescent="0.3">
      <c r="A12161" s="8" t="s">
        <v>24278</v>
      </c>
      <c r="B12161" s="8" t="s">
        <v>65757</v>
      </c>
      <c r="C12161" s="8" t="s">
        <v>24279</v>
      </c>
      <c r="D12161" s="8"/>
      <c r="E12161" s="6"/>
      <c r="F12161" s="6"/>
    </row>
    <row r="12162" spans="1:6" x14ac:dyDescent="0.3">
      <c r="A12162" s="8" t="s">
        <v>24280</v>
      </c>
      <c r="B12162" s="8" t="s">
        <v>65758</v>
      </c>
      <c r="C12162" s="8" t="s">
        <v>24281</v>
      </c>
      <c r="D12162" s="8"/>
      <c r="E12162" s="6"/>
      <c r="F12162" s="6"/>
    </row>
    <row r="12163" spans="1:6" x14ac:dyDescent="0.3">
      <c r="A12163" s="8" t="s">
        <v>24282</v>
      </c>
      <c r="B12163" s="8" t="s">
        <v>65759</v>
      </c>
      <c r="C12163" s="8" t="s">
        <v>24283</v>
      </c>
      <c r="D12163" s="8"/>
      <c r="E12163" s="6"/>
      <c r="F12163" s="6"/>
    </row>
    <row r="12164" spans="1:6" x14ac:dyDescent="0.3">
      <c r="A12164" s="8" t="s">
        <v>24284</v>
      </c>
      <c r="B12164" s="8" t="s">
        <v>65760</v>
      </c>
      <c r="C12164" s="8" t="s">
        <v>24285</v>
      </c>
      <c r="D12164" s="8"/>
      <c r="E12164" s="6"/>
      <c r="F12164" s="6"/>
    </row>
    <row r="12165" spans="1:6" x14ac:dyDescent="0.3">
      <c r="A12165" s="8" t="s">
        <v>24286</v>
      </c>
      <c r="B12165" s="8" t="s">
        <v>65761</v>
      </c>
      <c r="C12165" s="8" t="s">
        <v>24287</v>
      </c>
      <c r="D12165" s="8"/>
      <c r="E12165" s="6"/>
      <c r="F12165" s="6"/>
    </row>
    <row r="12166" spans="1:6" x14ac:dyDescent="0.3">
      <c r="A12166" s="8" t="s">
        <v>24288</v>
      </c>
      <c r="B12166" s="8" t="s">
        <v>65762</v>
      </c>
      <c r="C12166" s="8" t="s">
        <v>24289</v>
      </c>
      <c r="D12166" s="8"/>
      <c r="E12166" s="6"/>
      <c r="F12166" s="6"/>
    </row>
    <row r="12167" spans="1:6" x14ac:dyDescent="0.3">
      <c r="A12167" s="8" t="s">
        <v>24290</v>
      </c>
      <c r="B12167" s="8" t="s">
        <v>65763</v>
      </c>
      <c r="C12167" s="8" t="s">
        <v>24291</v>
      </c>
      <c r="D12167" s="8"/>
      <c r="E12167" s="6"/>
      <c r="F12167" s="6"/>
    </row>
    <row r="12168" spans="1:6" x14ac:dyDescent="0.3">
      <c r="A12168" s="8" t="s">
        <v>24292</v>
      </c>
      <c r="B12168" s="8" t="s">
        <v>65764</v>
      </c>
      <c r="C12168" s="8" t="s">
        <v>24293</v>
      </c>
      <c r="D12168" s="8"/>
      <c r="E12168" s="6"/>
      <c r="F12168" s="6"/>
    </row>
    <row r="12169" spans="1:6" x14ac:dyDescent="0.3">
      <c r="A12169" s="8" t="s">
        <v>24294</v>
      </c>
      <c r="B12169" s="8" t="s">
        <v>65765</v>
      </c>
      <c r="C12169" s="8" t="s">
        <v>24295</v>
      </c>
      <c r="D12169" s="8"/>
      <c r="E12169" s="6"/>
      <c r="F12169" s="6"/>
    </row>
    <row r="12170" spans="1:6" x14ac:dyDescent="0.3">
      <c r="A12170" s="8" t="s">
        <v>24296</v>
      </c>
      <c r="B12170" s="8" t="s">
        <v>65766</v>
      </c>
      <c r="C12170" s="8" t="s">
        <v>24297</v>
      </c>
      <c r="D12170" s="8"/>
      <c r="E12170" s="6"/>
      <c r="F12170" s="6"/>
    </row>
    <row r="12171" spans="1:6" x14ac:dyDescent="0.3">
      <c r="A12171" s="8" t="s">
        <v>24298</v>
      </c>
      <c r="B12171" s="8" t="s">
        <v>65767</v>
      </c>
      <c r="C12171" s="8" t="s">
        <v>24299</v>
      </c>
      <c r="D12171" s="8"/>
      <c r="E12171" s="6"/>
      <c r="F12171" s="6"/>
    </row>
    <row r="12172" spans="1:6" x14ac:dyDescent="0.3">
      <c r="A12172" s="8" t="s">
        <v>24300</v>
      </c>
      <c r="B12172" s="8" t="s">
        <v>65768</v>
      </c>
      <c r="C12172" s="8" t="s">
        <v>24301</v>
      </c>
      <c r="D12172" s="8"/>
      <c r="E12172" s="6"/>
      <c r="F12172" s="6"/>
    </row>
    <row r="12173" spans="1:6" x14ac:dyDescent="0.3">
      <c r="A12173" s="8" t="s">
        <v>24302</v>
      </c>
      <c r="B12173" s="8" t="s">
        <v>65769</v>
      </c>
      <c r="C12173" s="8" t="s">
        <v>24303</v>
      </c>
      <c r="D12173" s="8"/>
      <c r="E12173" s="6"/>
      <c r="F12173" s="6"/>
    </row>
    <row r="12174" spans="1:6" x14ac:dyDescent="0.3">
      <c r="A12174" s="8" t="s">
        <v>24304</v>
      </c>
      <c r="B12174" s="8" t="s">
        <v>65770</v>
      </c>
      <c r="C12174" s="8" t="s">
        <v>24305</v>
      </c>
      <c r="D12174" s="8"/>
      <c r="E12174" s="6"/>
      <c r="F12174" s="6"/>
    </row>
    <row r="12175" spans="1:6" x14ac:dyDescent="0.3">
      <c r="A12175" s="8" t="s">
        <v>24306</v>
      </c>
      <c r="B12175" s="8" t="s">
        <v>65771</v>
      </c>
      <c r="C12175" s="8" t="s">
        <v>24307</v>
      </c>
      <c r="D12175" s="8"/>
      <c r="E12175" s="6"/>
      <c r="F12175" s="6"/>
    </row>
    <row r="12176" spans="1:6" x14ac:dyDescent="0.3">
      <c r="A12176" s="8" t="s">
        <v>24308</v>
      </c>
      <c r="B12176" s="8" t="s">
        <v>65772</v>
      </c>
      <c r="C12176" s="8" t="s">
        <v>24309</v>
      </c>
      <c r="D12176" s="8"/>
      <c r="E12176" s="6"/>
      <c r="F12176" s="6"/>
    </row>
    <row r="12177" spans="1:6" x14ac:dyDescent="0.3">
      <c r="A12177" s="8" t="s">
        <v>24310</v>
      </c>
      <c r="B12177" s="8" t="s">
        <v>65773</v>
      </c>
      <c r="C12177" s="8" t="s">
        <v>24311</v>
      </c>
      <c r="D12177" s="8"/>
      <c r="E12177" s="6"/>
      <c r="F12177" s="6"/>
    </row>
    <row r="12178" spans="1:6" x14ac:dyDescent="0.3">
      <c r="A12178" s="8" t="s">
        <v>24312</v>
      </c>
      <c r="B12178" s="8" t="s">
        <v>65774</v>
      </c>
      <c r="C12178" s="8" t="s">
        <v>24313</v>
      </c>
      <c r="D12178" s="8"/>
      <c r="E12178" s="6"/>
      <c r="F12178" s="6"/>
    </row>
    <row r="12179" spans="1:6" x14ac:dyDescent="0.3">
      <c r="A12179" s="8" t="s">
        <v>24314</v>
      </c>
      <c r="B12179" s="8" t="s">
        <v>65775</v>
      </c>
      <c r="C12179" s="8" t="s">
        <v>24315</v>
      </c>
      <c r="D12179" s="8"/>
      <c r="E12179" s="6"/>
      <c r="F12179" s="6"/>
    </row>
    <row r="12180" spans="1:6" x14ac:dyDescent="0.3">
      <c r="A12180" s="8" t="s">
        <v>24316</v>
      </c>
      <c r="B12180" s="8" t="s">
        <v>65776</v>
      </c>
      <c r="C12180" s="8" t="s">
        <v>24317</v>
      </c>
      <c r="D12180" s="8"/>
      <c r="E12180" s="6"/>
      <c r="F12180" s="6"/>
    </row>
    <row r="12181" spans="1:6" x14ac:dyDescent="0.3">
      <c r="A12181" s="8" t="s">
        <v>24318</v>
      </c>
      <c r="B12181" s="8" t="s">
        <v>65777</v>
      </c>
      <c r="C12181" s="8" t="s">
        <v>24319</v>
      </c>
      <c r="D12181" s="8"/>
      <c r="E12181" s="6"/>
      <c r="F12181" s="6"/>
    </row>
    <row r="12182" spans="1:6" x14ac:dyDescent="0.3">
      <c r="A12182" s="8" t="s">
        <v>24320</v>
      </c>
      <c r="B12182" s="8" t="s">
        <v>65778</v>
      </c>
      <c r="C12182" s="8" t="s">
        <v>24321</v>
      </c>
      <c r="D12182" s="8"/>
      <c r="E12182" s="6"/>
      <c r="F12182" s="6"/>
    </row>
    <row r="12183" spans="1:6" x14ac:dyDescent="0.3">
      <c r="A12183" s="8" t="s">
        <v>24322</v>
      </c>
      <c r="B12183" s="8" t="s">
        <v>65779</v>
      </c>
      <c r="C12183" s="8" t="s">
        <v>24323</v>
      </c>
      <c r="D12183" s="8"/>
      <c r="E12183" s="6"/>
      <c r="F12183" s="6"/>
    </row>
    <row r="12184" spans="1:6" x14ac:dyDescent="0.3">
      <c r="A12184" s="8" t="s">
        <v>24324</v>
      </c>
      <c r="B12184" s="8" t="s">
        <v>65780</v>
      </c>
      <c r="C12184" s="8" t="s">
        <v>24325</v>
      </c>
      <c r="D12184" s="8"/>
      <c r="E12184" s="6"/>
      <c r="F12184" s="6"/>
    </row>
    <row r="12185" spans="1:6" x14ac:dyDescent="0.3">
      <c r="A12185" s="8" t="s">
        <v>24326</v>
      </c>
      <c r="B12185" s="8" t="s">
        <v>65781</v>
      </c>
      <c r="C12185" s="8" t="s">
        <v>24327</v>
      </c>
      <c r="D12185" s="8"/>
      <c r="E12185" s="6"/>
      <c r="F12185" s="6"/>
    </row>
    <row r="12186" spans="1:6" x14ac:dyDescent="0.3">
      <c r="A12186" s="8" t="s">
        <v>24328</v>
      </c>
      <c r="B12186" s="8" t="s">
        <v>65782</v>
      </c>
      <c r="C12186" s="8" t="s">
        <v>24329</v>
      </c>
      <c r="D12186" s="8"/>
      <c r="E12186" s="6"/>
      <c r="F12186" s="6"/>
    </row>
    <row r="12187" spans="1:6" x14ac:dyDescent="0.3">
      <c r="A12187" s="8" t="s">
        <v>24330</v>
      </c>
      <c r="B12187" s="8" t="s">
        <v>65783</v>
      </c>
      <c r="C12187" s="8" t="s">
        <v>24331</v>
      </c>
      <c r="D12187" s="8"/>
      <c r="E12187" s="6"/>
      <c r="F12187" s="6"/>
    </row>
    <row r="12188" spans="1:6" x14ac:dyDescent="0.3">
      <c r="A12188" s="8" t="s">
        <v>24332</v>
      </c>
      <c r="B12188" s="8" t="s">
        <v>65784</v>
      </c>
      <c r="C12188" s="8" t="s">
        <v>24333</v>
      </c>
      <c r="D12188" s="8"/>
      <c r="E12188" s="6"/>
      <c r="F12188" s="6"/>
    </row>
    <row r="12189" spans="1:6" x14ac:dyDescent="0.3">
      <c r="A12189" s="8" t="s">
        <v>24334</v>
      </c>
      <c r="B12189" s="8" t="s">
        <v>65785</v>
      </c>
      <c r="C12189" s="8" t="s">
        <v>24335</v>
      </c>
      <c r="D12189" s="8"/>
      <c r="E12189" s="6"/>
      <c r="F12189" s="6"/>
    </row>
    <row r="12190" spans="1:6" x14ac:dyDescent="0.3">
      <c r="A12190" s="8" t="s">
        <v>24336</v>
      </c>
      <c r="B12190" s="8" t="s">
        <v>65786</v>
      </c>
      <c r="C12190" s="8" t="s">
        <v>24337</v>
      </c>
      <c r="D12190" s="8"/>
      <c r="E12190" s="6"/>
      <c r="F12190" s="6"/>
    </row>
    <row r="12191" spans="1:6" x14ac:dyDescent="0.3">
      <c r="A12191" s="8" t="s">
        <v>24338</v>
      </c>
      <c r="B12191" s="8" t="s">
        <v>65787</v>
      </c>
      <c r="C12191" s="8" t="s">
        <v>24339</v>
      </c>
      <c r="D12191" s="8"/>
      <c r="E12191" s="6"/>
      <c r="F12191" s="6"/>
    </row>
    <row r="12192" spans="1:6" x14ac:dyDescent="0.3">
      <c r="A12192" s="8" t="s">
        <v>24340</v>
      </c>
      <c r="B12192" s="8" t="s">
        <v>65788</v>
      </c>
      <c r="C12192" s="8" t="s">
        <v>24341</v>
      </c>
      <c r="D12192" s="8"/>
      <c r="E12192" s="6"/>
      <c r="F12192" s="6"/>
    </row>
    <row r="12193" spans="1:6" x14ac:dyDescent="0.3">
      <c r="A12193" s="8" t="s">
        <v>24342</v>
      </c>
      <c r="B12193" s="8" t="s">
        <v>65789</v>
      </c>
      <c r="C12193" s="8" t="s">
        <v>24343</v>
      </c>
      <c r="D12193" s="8"/>
      <c r="E12193" s="6"/>
      <c r="F12193" s="6"/>
    </row>
    <row r="12194" spans="1:6" x14ac:dyDescent="0.3">
      <c r="A12194" s="8" t="s">
        <v>24344</v>
      </c>
      <c r="B12194" s="8" t="s">
        <v>65790</v>
      </c>
      <c r="C12194" s="8" t="s">
        <v>24345</v>
      </c>
      <c r="D12194" s="8"/>
      <c r="E12194" s="6"/>
      <c r="F12194" s="6"/>
    </row>
    <row r="12195" spans="1:6" x14ac:dyDescent="0.3">
      <c r="A12195" s="8" t="s">
        <v>24346</v>
      </c>
      <c r="B12195" s="8" t="s">
        <v>65791</v>
      </c>
      <c r="C12195" s="8" t="s">
        <v>24347</v>
      </c>
      <c r="D12195" s="8"/>
      <c r="E12195" s="6"/>
      <c r="F12195" s="6"/>
    </row>
    <row r="12196" spans="1:6" x14ac:dyDescent="0.3">
      <c r="A12196" s="8" t="s">
        <v>24348</v>
      </c>
      <c r="B12196" s="8" t="s">
        <v>65792</v>
      </c>
      <c r="C12196" s="8" t="s">
        <v>24349</v>
      </c>
      <c r="D12196" s="8"/>
      <c r="E12196" s="6"/>
      <c r="F12196" s="6"/>
    </row>
    <row r="12197" spans="1:6" x14ac:dyDescent="0.3">
      <c r="A12197" s="8" t="s">
        <v>24350</v>
      </c>
      <c r="B12197" s="8" t="s">
        <v>65793</v>
      </c>
      <c r="C12197" s="8" t="s">
        <v>24351</v>
      </c>
      <c r="D12197" s="8"/>
      <c r="E12197" s="6"/>
      <c r="F12197" s="6"/>
    </row>
    <row r="12198" spans="1:6" x14ac:dyDescent="0.3">
      <c r="A12198" s="8" t="s">
        <v>24352</v>
      </c>
      <c r="B12198" s="8" t="s">
        <v>65794</v>
      </c>
      <c r="C12198" s="8" t="s">
        <v>24353</v>
      </c>
      <c r="D12198" s="8"/>
      <c r="E12198" s="6"/>
      <c r="F12198" s="6"/>
    </row>
    <row r="12199" spans="1:6" x14ac:dyDescent="0.3">
      <c r="A12199" s="8" t="s">
        <v>24354</v>
      </c>
      <c r="B12199" s="8" t="s">
        <v>65795</v>
      </c>
      <c r="C12199" s="8" t="s">
        <v>24355</v>
      </c>
      <c r="D12199" s="8"/>
      <c r="E12199" s="6"/>
      <c r="F12199" s="6"/>
    </row>
    <row r="12200" spans="1:6" x14ac:dyDescent="0.3">
      <c r="A12200" s="8" t="s">
        <v>24356</v>
      </c>
      <c r="B12200" s="8" t="s">
        <v>65796</v>
      </c>
      <c r="C12200" s="8" t="s">
        <v>24357</v>
      </c>
      <c r="D12200" s="8"/>
      <c r="E12200" s="6"/>
      <c r="F12200" s="6"/>
    </row>
    <row r="12201" spans="1:6" x14ac:dyDescent="0.3">
      <c r="A12201" s="8" t="s">
        <v>24358</v>
      </c>
      <c r="B12201" s="8" t="s">
        <v>65797</v>
      </c>
      <c r="C12201" s="8" t="s">
        <v>24359</v>
      </c>
      <c r="D12201" s="8"/>
      <c r="E12201" s="6"/>
      <c r="F12201" s="6"/>
    </row>
    <row r="12202" spans="1:6" x14ac:dyDescent="0.3">
      <c r="A12202" s="8" t="s">
        <v>24360</v>
      </c>
      <c r="B12202" s="8" t="s">
        <v>65798</v>
      </c>
      <c r="C12202" s="8" t="s">
        <v>24361</v>
      </c>
      <c r="D12202" s="8"/>
      <c r="E12202" s="6"/>
      <c r="F12202" s="6"/>
    </row>
    <row r="12203" spans="1:6" x14ac:dyDescent="0.3">
      <c r="A12203" s="8" t="s">
        <v>24362</v>
      </c>
      <c r="B12203" s="8" t="s">
        <v>65799</v>
      </c>
      <c r="C12203" s="8" t="s">
        <v>24363</v>
      </c>
      <c r="D12203" s="8"/>
      <c r="E12203" s="6"/>
      <c r="F12203" s="6"/>
    </row>
    <row r="12204" spans="1:6" x14ac:dyDescent="0.3">
      <c r="A12204" s="8" t="s">
        <v>24364</v>
      </c>
      <c r="B12204" s="8" t="s">
        <v>65800</v>
      </c>
      <c r="C12204" s="8" t="s">
        <v>24365</v>
      </c>
      <c r="D12204" s="8"/>
      <c r="E12204" s="6"/>
      <c r="F12204" s="6"/>
    </row>
    <row r="12205" spans="1:6" x14ac:dyDescent="0.3">
      <c r="A12205" s="8" t="s">
        <v>24366</v>
      </c>
      <c r="B12205" s="8" t="s">
        <v>65801</v>
      </c>
      <c r="C12205" s="8" t="s">
        <v>24367</v>
      </c>
      <c r="D12205" s="8"/>
      <c r="E12205" s="6"/>
      <c r="F12205" s="6"/>
    </row>
    <row r="12206" spans="1:6" x14ac:dyDescent="0.3">
      <c r="A12206" s="8" t="s">
        <v>24368</v>
      </c>
      <c r="B12206" s="8" t="s">
        <v>65802</v>
      </c>
      <c r="C12206" s="8" t="s">
        <v>24369</v>
      </c>
      <c r="D12206" s="8"/>
      <c r="E12206" s="6"/>
      <c r="F12206" s="6"/>
    </row>
    <row r="12207" spans="1:6" x14ac:dyDescent="0.3">
      <c r="A12207" s="8" t="s">
        <v>24370</v>
      </c>
      <c r="B12207" s="8" t="s">
        <v>65803</v>
      </c>
      <c r="C12207" s="8" t="s">
        <v>24371</v>
      </c>
      <c r="D12207" s="8"/>
      <c r="E12207" s="6"/>
      <c r="F12207" s="6"/>
    </row>
    <row r="12208" spans="1:6" x14ac:dyDescent="0.3">
      <c r="A12208" s="8" t="s">
        <v>24372</v>
      </c>
      <c r="B12208" s="8" t="s">
        <v>65804</v>
      </c>
      <c r="C12208" s="8" t="s">
        <v>24373</v>
      </c>
      <c r="D12208" s="8"/>
      <c r="E12208" s="6"/>
      <c r="F12208" s="6"/>
    </row>
    <row r="12209" spans="1:6" x14ac:dyDescent="0.3">
      <c r="A12209" s="8" t="s">
        <v>24374</v>
      </c>
      <c r="B12209" s="8" t="s">
        <v>65805</v>
      </c>
      <c r="C12209" s="8" t="s">
        <v>24375</v>
      </c>
      <c r="D12209" s="8"/>
      <c r="E12209" s="6"/>
      <c r="F12209" s="6"/>
    </row>
    <row r="12210" spans="1:6" x14ac:dyDescent="0.3">
      <c r="A12210" s="8" t="s">
        <v>24376</v>
      </c>
      <c r="B12210" s="8" t="s">
        <v>65806</v>
      </c>
      <c r="C12210" s="8" t="s">
        <v>24377</v>
      </c>
      <c r="D12210" s="8"/>
      <c r="E12210" s="6"/>
      <c r="F12210" s="6"/>
    </row>
    <row r="12211" spans="1:6" x14ac:dyDescent="0.3">
      <c r="A12211" s="8" t="s">
        <v>24378</v>
      </c>
      <c r="B12211" s="8" t="s">
        <v>65807</v>
      </c>
      <c r="C12211" s="8" t="s">
        <v>24379</v>
      </c>
      <c r="D12211" s="8"/>
      <c r="E12211" s="6"/>
      <c r="F12211" s="6"/>
    </row>
    <row r="12212" spans="1:6" x14ac:dyDescent="0.3">
      <c r="A12212" s="8" t="s">
        <v>24380</v>
      </c>
      <c r="B12212" s="8" t="s">
        <v>65808</v>
      </c>
      <c r="C12212" s="8" t="s">
        <v>24381</v>
      </c>
      <c r="D12212" s="8"/>
      <c r="E12212" s="6"/>
      <c r="F12212" s="6"/>
    </row>
    <row r="12213" spans="1:6" x14ac:dyDescent="0.3">
      <c r="A12213" s="8" t="s">
        <v>24382</v>
      </c>
      <c r="B12213" s="8" t="s">
        <v>65809</v>
      </c>
      <c r="C12213" s="8" t="s">
        <v>24383</v>
      </c>
      <c r="D12213" s="8"/>
      <c r="E12213" s="6"/>
      <c r="F12213" s="6"/>
    </row>
    <row r="12214" spans="1:6" x14ac:dyDescent="0.3">
      <c r="A12214" s="8" t="s">
        <v>24384</v>
      </c>
      <c r="B12214" s="8" t="s">
        <v>65810</v>
      </c>
      <c r="C12214" s="8" t="s">
        <v>24385</v>
      </c>
      <c r="D12214" s="8"/>
      <c r="E12214" s="6"/>
      <c r="F12214" s="6"/>
    </row>
    <row r="12215" spans="1:6" x14ac:dyDescent="0.3">
      <c r="A12215" s="8" t="s">
        <v>24386</v>
      </c>
      <c r="B12215" s="8" t="s">
        <v>65811</v>
      </c>
      <c r="C12215" s="8" t="s">
        <v>24387</v>
      </c>
      <c r="D12215" s="8"/>
      <c r="E12215" s="6"/>
      <c r="F12215" s="6"/>
    </row>
    <row r="12216" spans="1:6" x14ac:dyDescent="0.3">
      <c r="A12216" s="8" t="s">
        <v>24388</v>
      </c>
      <c r="B12216" s="8" t="s">
        <v>65812</v>
      </c>
      <c r="C12216" s="8" t="s">
        <v>24389</v>
      </c>
      <c r="D12216" s="8"/>
      <c r="E12216" s="6"/>
      <c r="F12216" s="6"/>
    </row>
    <row r="12217" spans="1:6" x14ac:dyDescent="0.3">
      <c r="A12217" s="8" t="s">
        <v>24390</v>
      </c>
      <c r="B12217" s="8" t="s">
        <v>65813</v>
      </c>
      <c r="C12217" s="8" t="s">
        <v>24391</v>
      </c>
      <c r="D12217" s="8"/>
      <c r="E12217" s="6"/>
      <c r="F12217" s="6"/>
    </row>
    <row r="12218" spans="1:6" x14ac:dyDescent="0.3">
      <c r="A12218" s="8" t="s">
        <v>24392</v>
      </c>
      <c r="B12218" s="8" t="s">
        <v>65814</v>
      </c>
      <c r="C12218" s="8" t="s">
        <v>24393</v>
      </c>
      <c r="D12218" s="8"/>
      <c r="E12218" s="6"/>
      <c r="F12218" s="6"/>
    </row>
    <row r="12219" spans="1:6" x14ac:dyDescent="0.3">
      <c r="A12219" s="8" t="s">
        <v>24394</v>
      </c>
      <c r="B12219" s="8" t="s">
        <v>65815</v>
      </c>
      <c r="C12219" s="8" t="s">
        <v>24395</v>
      </c>
      <c r="D12219" s="8"/>
      <c r="E12219" s="6"/>
      <c r="F12219" s="6"/>
    </row>
    <row r="12220" spans="1:6" x14ac:dyDescent="0.3">
      <c r="A12220" s="8" t="s">
        <v>24396</v>
      </c>
      <c r="B12220" s="8" t="s">
        <v>65816</v>
      </c>
      <c r="C12220" s="8" t="s">
        <v>24397</v>
      </c>
      <c r="D12220" s="8"/>
      <c r="E12220" s="6"/>
      <c r="F12220" s="6"/>
    </row>
    <row r="12221" spans="1:6" x14ac:dyDescent="0.3">
      <c r="A12221" s="8" t="s">
        <v>24398</v>
      </c>
      <c r="B12221" s="8" t="s">
        <v>65817</v>
      </c>
      <c r="C12221" s="8" t="s">
        <v>24399</v>
      </c>
      <c r="D12221" s="8"/>
      <c r="E12221" s="6"/>
      <c r="F12221" s="6"/>
    </row>
    <row r="12222" spans="1:6" x14ac:dyDescent="0.3">
      <c r="A12222" s="8" t="s">
        <v>24400</v>
      </c>
      <c r="B12222" s="8" t="s">
        <v>65818</v>
      </c>
      <c r="C12222" s="8" t="s">
        <v>24401</v>
      </c>
      <c r="D12222" s="8"/>
      <c r="E12222" s="6"/>
      <c r="F12222" s="6"/>
    </row>
    <row r="12223" spans="1:6" x14ac:dyDescent="0.3">
      <c r="A12223" s="8" t="s">
        <v>24402</v>
      </c>
      <c r="B12223" s="8" t="s">
        <v>65819</v>
      </c>
      <c r="C12223" s="8" t="s">
        <v>24403</v>
      </c>
      <c r="D12223" s="8"/>
      <c r="E12223" s="6"/>
      <c r="F12223" s="6"/>
    </row>
    <row r="12224" spans="1:6" x14ac:dyDescent="0.3">
      <c r="A12224" s="8" t="s">
        <v>24404</v>
      </c>
      <c r="B12224" s="8" t="s">
        <v>65820</v>
      </c>
      <c r="C12224" s="8" t="s">
        <v>24405</v>
      </c>
      <c r="D12224" s="8"/>
      <c r="E12224" s="6"/>
      <c r="F12224" s="6"/>
    </row>
    <row r="12225" spans="1:6" x14ac:dyDescent="0.3">
      <c r="A12225" s="8" t="s">
        <v>24406</v>
      </c>
      <c r="B12225" s="8" t="s">
        <v>65821</v>
      </c>
      <c r="C12225" s="8" t="s">
        <v>24407</v>
      </c>
      <c r="D12225" s="8"/>
      <c r="E12225" s="6"/>
      <c r="F12225" s="6"/>
    </row>
    <row r="12226" spans="1:6" x14ac:dyDescent="0.3">
      <c r="A12226" s="8" t="s">
        <v>24408</v>
      </c>
      <c r="B12226" s="8" t="s">
        <v>65822</v>
      </c>
      <c r="C12226" s="8" t="s">
        <v>24409</v>
      </c>
      <c r="D12226" s="8"/>
      <c r="E12226" s="6"/>
      <c r="F12226" s="6"/>
    </row>
    <row r="12227" spans="1:6" x14ac:dyDescent="0.3">
      <c r="A12227" s="8" t="s">
        <v>24410</v>
      </c>
      <c r="B12227" s="8" t="s">
        <v>65823</v>
      </c>
      <c r="C12227" s="8" t="s">
        <v>24411</v>
      </c>
      <c r="D12227" s="8"/>
      <c r="E12227" s="6"/>
      <c r="F12227" s="6"/>
    </row>
    <row r="12228" spans="1:6" x14ac:dyDescent="0.3">
      <c r="A12228" s="8" t="s">
        <v>24412</v>
      </c>
      <c r="B12228" s="8" t="s">
        <v>65824</v>
      </c>
      <c r="C12228" s="8" t="s">
        <v>24413</v>
      </c>
      <c r="D12228" s="8"/>
      <c r="E12228" s="6"/>
      <c r="F12228" s="6"/>
    </row>
    <row r="12229" spans="1:6" x14ac:dyDescent="0.3">
      <c r="A12229" s="8" t="s">
        <v>24414</v>
      </c>
      <c r="B12229" s="8" t="s">
        <v>65825</v>
      </c>
      <c r="C12229" s="8" t="s">
        <v>24415</v>
      </c>
      <c r="D12229" s="8"/>
      <c r="E12229" s="6"/>
      <c r="F12229" s="6"/>
    </row>
    <row r="12230" spans="1:6" x14ac:dyDescent="0.3">
      <c r="A12230" s="8" t="s">
        <v>24416</v>
      </c>
      <c r="B12230" s="8" t="s">
        <v>65826</v>
      </c>
      <c r="C12230" s="8" t="s">
        <v>24417</v>
      </c>
      <c r="D12230" s="8"/>
      <c r="E12230" s="6"/>
      <c r="F12230" s="6"/>
    </row>
    <row r="12231" spans="1:6" x14ac:dyDescent="0.3">
      <c r="A12231" s="8" t="s">
        <v>24418</v>
      </c>
      <c r="B12231" s="8" t="s">
        <v>65827</v>
      </c>
      <c r="C12231" s="8" t="s">
        <v>24419</v>
      </c>
      <c r="D12231" s="8"/>
      <c r="E12231" s="6"/>
      <c r="F12231" s="6"/>
    </row>
    <row r="12232" spans="1:6" x14ac:dyDescent="0.3">
      <c r="A12232" s="8" t="s">
        <v>24420</v>
      </c>
      <c r="B12232" s="8" t="s">
        <v>65828</v>
      </c>
      <c r="C12232" s="8" t="s">
        <v>24421</v>
      </c>
      <c r="D12232" s="8"/>
      <c r="E12232" s="6"/>
      <c r="F12232" s="6"/>
    </row>
    <row r="12233" spans="1:6" x14ac:dyDescent="0.3">
      <c r="A12233" s="8" t="s">
        <v>24422</v>
      </c>
      <c r="B12233" s="8" t="s">
        <v>65829</v>
      </c>
      <c r="C12233" s="8" t="s">
        <v>24423</v>
      </c>
      <c r="D12233" s="8"/>
      <c r="E12233" s="6"/>
      <c r="F12233" s="6"/>
    </row>
    <row r="12234" spans="1:6" x14ac:dyDescent="0.3">
      <c r="A12234" s="8" t="s">
        <v>24424</v>
      </c>
      <c r="B12234" s="8" t="s">
        <v>65830</v>
      </c>
      <c r="C12234" s="8" t="s">
        <v>24425</v>
      </c>
      <c r="D12234" s="8"/>
      <c r="E12234" s="6"/>
      <c r="F12234" s="6"/>
    </row>
    <row r="12235" spans="1:6" x14ac:dyDescent="0.3">
      <c r="A12235" s="8" t="s">
        <v>24426</v>
      </c>
      <c r="B12235" s="8" t="s">
        <v>65831</v>
      </c>
      <c r="C12235" s="8" t="s">
        <v>24427</v>
      </c>
      <c r="D12235" s="8"/>
      <c r="E12235" s="6"/>
      <c r="F12235" s="6"/>
    </row>
    <row r="12236" spans="1:6" x14ac:dyDescent="0.3">
      <c r="A12236" s="8" t="s">
        <v>24428</v>
      </c>
      <c r="B12236" s="8" t="s">
        <v>65832</v>
      </c>
      <c r="C12236" s="8" t="s">
        <v>24429</v>
      </c>
      <c r="D12236" s="8"/>
      <c r="E12236" s="6"/>
      <c r="F12236" s="6"/>
    </row>
    <row r="12237" spans="1:6" x14ac:dyDescent="0.3">
      <c r="A12237" s="8" t="s">
        <v>24430</v>
      </c>
      <c r="B12237" s="8" t="s">
        <v>65833</v>
      </c>
      <c r="C12237" s="8" t="s">
        <v>24431</v>
      </c>
      <c r="D12237" s="8"/>
      <c r="E12237" s="6"/>
      <c r="F12237" s="6"/>
    </row>
    <row r="12238" spans="1:6" x14ac:dyDescent="0.3">
      <c r="A12238" s="8" t="s">
        <v>24432</v>
      </c>
      <c r="B12238" s="8" t="s">
        <v>65834</v>
      </c>
      <c r="C12238" s="8" t="s">
        <v>24433</v>
      </c>
      <c r="D12238" s="8"/>
      <c r="E12238" s="6"/>
      <c r="F12238" s="6"/>
    </row>
    <row r="12239" spans="1:6" x14ac:dyDescent="0.3">
      <c r="A12239" s="8" t="s">
        <v>24434</v>
      </c>
      <c r="B12239" s="8" t="s">
        <v>65835</v>
      </c>
      <c r="C12239" s="8" t="s">
        <v>24435</v>
      </c>
      <c r="D12239" s="8"/>
      <c r="E12239" s="6"/>
      <c r="F12239" s="6"/>
    </row>
    <row r="12240" spans="1:6" x14ac:dyDescent="0.3">
      <c r="A12240" s="8" t="s">
        <v>24436</v>
      </c>
      <c r="B12240" s="8" t="s">
        <v>65836</v>
      </c>
      <c r="C12240" s="8" t="s">
        <v>24437</v>
      </c>
      <c r="D12240" s="8"/>
      <c r="E12240" s="6"/>
      <c r="F12240" s="6"/>
    </row>
    <row r="12241" spans="1:6" x14ac:dyDescent="0.3">
      <c r="A12241" s="8" t="s">
        <v>24438</v>
      </c>
      <c r="B12241" s="8" t="s">
        <v>65837</v>
      </c>
      <c r="C12241" s="8" t="s">
        <v>24439</v>
      </c>
      <c r="D12241" s="8"/>
      <c r="E12241" s="6"/>
      <c r="F12241" s="6"/>
    </row>
    <row r="12242" spans="1:6" x14ac:dyDescent="0.3">
      <c r="A12242" s="8" t="s">
        <v>24440</v>
      </c>
      <c r="B12242" s="8" t="s">
        <v>65838</v>
      </c>
      <c r="C12242" s="8" t="s">
        <v>24441</v>
      </c>
      <c r="D12242" s="8"/>
      <c r="E12242" s="6"/>
      <c r="F12242" s="6"/>
    </row>
    <row r="12243" spans="1:6" x14ac:dyDescent="0.3">
      <c r="A12243" s="8" t="s">
        <v>24442</v>
      </c>
      <c r="B12243" s="8" t="s">
        <v>65839</v>
      </c>
      <c r="C12243" s="8" t="s">
        <v>24443</v>
      </c>
      <c r="D12243" s="8"/>
      <c r="E12243" s="6"/>
      <c r="F12243" s="6"/>
    </row>
    <row r="12244" spans="1:6" x14ac:dyDescent="0.3">
      <c r="A12244" s="8" t="s">
        <v>24444</v>
      </c>
      <c r="B12244" s="8" t="s">
        <v>65840</v>
      </c>
      <c r="C12244" s="8" t="s">
        <v>24445</v>
      </c>
      <c r="D12244" s="8"/>
      <c r="E12244" s="6"/>
      <c r="F12244" s="6"/>
    </row>
    <row r="12245" spans="1:6" x14ac:dyDescent="0.3">
      <c r="A12245" s="8" t="s">
        <v>24446</v>
      </c>
      <c r="B12245" s="8" t="s">
        <v>65841</v>
      </c>
      <c r="C12245" s="8" t="s">
        <v>24447</v>
      </c>
      <c r="D12245" s="8"/>
      <c r="E12245" s="6"/>
      <c r="F12245" s="6"/>
    </row>
    <row r="12246" spans="1:6" x14ac:dyDescent="0.3">
      <c r="A12246" s="8" t="s">
        <v>24448</v>
      </c>
      <c r="B12246" s="8" t="s">
        <v>65842</v>
      </c>
      <c r="C12246" s="8" t="s">
        <v>24449</v>
      </c>
      <c r="D12246" s="8"/>
      <c r="E12246" s="6"/>
      <c r="F12246" s="6"/>
    </row>
    <row r="12247" spans="1:6" x14ac:dyDescent="0.3">
      <c r="A12247" s="8" t="s">
        <v>24450</v>
      </c>
      <c r="B12247" s="8" t="s">
        <v>65843</v>
      </c>
      <c r="C12247" s="8" t="s">
        <v>24451</v>
      </c>
      <c r="D12247" s="8"/>
      <c r="E12247" s="6"/>
      <c r="F12247" s="6"/>
    </row>
    <row r="12248" spans="1:6" x14ac:dyDescent="0.3">
      <c r="A12248" s="8" t="s">
        <v>24452</v>
      </c>
      <c r="B12248" s="8" t="s">
        <v>65844</v>
      </c>
      <c r="C12248" s="8" t="s">
        <v>24453</v>
      </c>
      <c r="D12248" s="8"/>
      <c r="E12248" s="6"/>
      <c r="F12248" s="6"/>
    </row>
    <row r="12249" spans="1:6" x14ac:dyDescent="0.3">
      <c r="A12249" s="8" t="s">
        <v>24454</v>
      </c>
      <c r="B12249" s="8" t="s">
        <v>65845</v>
      </c>
      <c r="C12249" s="8" t="s">
        <v>24455</v>
      </c>
      <c r="D12249" s="8"/>
      <c r="E12249" s="6"/>
      <c r="F12249" s="6"/>
    </row>
    <row r="12250" spans="1:6" x14ac:dyDescent="0.3">
      <c r="A12250" s="8" t="s">
        <v>24456</v>
      </c>
      <c r="B12250" s="8" t="s">
        <v>65846</v>
      </c>
      <c r="C12250" s="8" t="s">
        <v>24457</v>
      </c>
      <c r="D12250" s="8"/>
      <c r="E12250" s="6"/>
      <c r="F12250" s="6"/>
    </row>
    <row r="12251" spans="1:6" x14ac:dyDescent="0.3">
      <c r="A12251" s="8" t="s">
        <v>24458</v>
      </c>
      <c r="B12251" s="8" t="s">
        <v>65847</v>
      </c>
      <c r="C12251" s="8" t="s">
        <v>24459</v>
      </c>
      <c r="D12251" s="8"/>
      <c r="E12251" s="6"/>
      <c r="F12251" s="6"/>
    </row>
    <row r="12252" spans="1:6" x14ac:dyDescent="0.3">
      <c r="A12252" s="8" t="s">
        <v>24460</v>
      </c>
      <c r="B12252" s="8" t="s">
        <v>65848</v>
      </c>
      <c r="C12252" s="8" t="s">
        <v>24461</v>
      </c>
      <c r="D12252" s="8"/>
      <c r="E12252" s="6"/>
      <c r="F12252" s="6"/>
    </row>
    <row r="12253" spans="1:6" x14ac:dyDescent="0.3">
      <c r="A12253" s="8" t="s">
        <v>24462</v>
      </c>
      <c r="B12253" s="8" t="s">
        <v>65849</v>
      </c>
      <c r="C12253" s="8" t="s">
        <v>24463</v>
      </c>
      <c r="D12253" s="8"/>
      <c r="E12253" s="6"/>
      <c r="F12253" s="6"/>
    </row>
    <row r="12254" spans="1:6" x14ac:dyDescent="0.3">
      <c r="A12254" s="8" t="s">
        <v>24464</v>
      </c>
      <c r="B12254" s="8" t="s">
        <v>65850</v>
      </c>
      <c r="C12254" s="8" t="s">
        <v>24465</v>
      </c>
      <c r="D12254" s="8"/>
      <c r="E12254" s="6"/>
      <c r="F12254" s="6"/>
    </row>
    <row r="12255" spans="1:6" x14ac:dyDescent="0.3">
      <c r="A12255" s="8" t="s">
        <v>24466</v>
      </c>
      <c r="B12255" s="8" t="s">
        <v>65851</v>
      </c>
      <c r="C12255" s="8" t="s">
        <v>24467</v>
      </c>
      <c r="D12255" s="8"/>
      <c r="E12255" s="6"/>
      <c r="F12255" s="6"/>
    </row>
    <row r="12256" spans="1:6" x14ac:dyDescent="0.3">
      <c r="A12256" s="8" t="s">
        <v>24468</v>
      </c>
      <c r="B12256" s="8" t="s">
        <v>65852</v>
      </c>
      <c r="C12256" s="8" t="s">
        <v>24469</v>
      </c>
      <c r="D12256" s="8"/>
      <c r="E12256" s="6"/>
      <c r="F12256" s="6"/>
    </row>
    <row r="12257" spans="1:6" x14ac:dyDescent="0.3">
      <c r="A12257" s="8" t="s">
        <v>24470</v>
      </c>
      <c r="B12257" s="8" t="s">
        <v>65853</v>
      </c>
      <c r="C12257" s="8" t="s">
        <v>24471</v>
      </c>
      <c r="D12257" s="8"/>
      <c r="E12257" s="6"/>
      <c r="F12257" s="6"/>
    </row>
    <row r="12258" spans="1:6" x14ac:dyDescent="0.3">
      <c r="A12258" s="8" t="s">
        <v>24472</v>
      </c>
      <c r="B12258" s="8" t="s">
        <v>65854</v>
      </c>
      <c r="C12258" s="8" t="s">
        <v>24473</v>
      </c>
      <c r="D12258" s="8"/>
      <c r="E12258" s="6"/>
      <c r="F12258" s="6"/>
    </row>
    <row r="12259" spans="1:6" x14ac:dyDescent="0.3">
      <c r="A12259" s="8" t="s">
        <v>24474</v>
      </c>
      <c r="B12259" s="8" t="s">
        <v>65855</v>
      </c>
      <c r="C12259" s="8" t="s">
        <v>24475</v>
      </c>
      <c r="D12259" s="8"/>
      <c r="E12259" s="6"/>
      <c r="F12259" s="6"/>
    </row>
    <row r="12260" spans="1:6" x14ac:dyDescent="0.3">
      <c r="A12260" s="8" t="s">
        <v>24476</v>
      </c>
      <c r="B12260" s="8" t="s">
        <v>65856</v>
      </c>
      <c r="C12260" s="8" t="s">
        <v>24477</v>
      </c>
      <c r="D12260" s="8"/>
      <c r="E12260" s="6"/>
      <c r="F12260" s="6"/>
    </row>
    <row r="12261" spans="1:6" x14ac:dyDescent="0.3">
      <c r="A12261" s="8" t="s">
        <v>24478</v>
      </c>
      <c r="B12261" s="8" t="s">
        <v>65857</v>
      </c>
      <c r="C12261" s="8" t="s">
        <v>24479</v>
      </c>
      <c r="D12261" s="8"/>
      <c r="E12261" s="6"/>
      <c r="F12261" s="6"/>
    </row>
    <row r="12262" spans="1:6" x14ac:dyDescent="0.3">
      <c r="A12262" s="8" t="s">
        <v>24480</v>
      </c>
      <c r="B12262" s="8" t="s">
        <v>65858</v>
      </c>
      <c r="C12262" s="8" t="s">
        <v>24481</v>
      </c>
      <c r="D12262" s="8"/>
      <c r="E12262" s="6"/>
      <c r="F12262" s="6"/>
    </row>
    <row r="12263" spans="1:6" x14ac:dyDescent="0.3">
      <c r="A12263" s="8" t="s">
        <v>24482</v>
      </c>
      <c r="B12263" s="8" t="s">
        <v>65859</v>
      </c>
      <c r="C12263" s="8" t="s">
        <v>24483</v>
      </c>
      <c r="D12263" s="8"/>
      <c r="E12263" s="6"/>
      <c r="F12263" s="6"/>
    </row>
    <row r="12264" spans="1:6" x14ac:dyDescent="0.3">
      <c r="A12264" s="8" t="s">
        <v>24484</v>
      </c>
      <c r="B12264" s="8" t="s">
        <v>65860</v>
      </c>
      <c r="C12264" s="8" t="s">
        <v>24485</v>
      </c>
      <c r="D12264" s="8"/>
      <c r="E12264" s="6"/>
      <c r="F12264" s="6"/>
    </row>
    <row r="12265" spans="1:6" x14ac:dyDescent="0.3">
      <c r="A12265" s="8" t="s">
        <v>24486</v>
      </c>
      <c r="B12265" s="8" t="s">
        <v>65861</v>
      </c>
      <c r="C12265" s="8" t="s">
        <v>24487</v>
      </c>
      <c r="D12265" s="8"/>
      <c r="E12265" s="6"/>
      <c r="F12265" s="6"/>
    </row>
    <row r="12266" spans="1:6" x14ac:dyDescent="0.3">
      <c r="A12266" s="8" t="s">
        <v>24488</v>
      </c>
      <c r="B12266" s="8" t="s">
        <v>65862</v>
      </c>
      <c r="C12266" s="8" t="s">
        <v>24489</v>
      </c>
      <c r="D12266" s="8"/>
      <c r="E12266" s="6"/>
      <c r="F12266" s="6"/>
    </row>
    <row r="12267" spans="1:6" x14ac:dyDescent="0.3">
      <c r="A12267" s="8" t="s">
        <v>24490</v>
      </c>
      <c r="B12267" s="8" t="s">
        <v>65863</v>
      </c>
      <c r="C12267" s="8" t="s">
        <v>24491</v>
      </c>
      <c r="D12267" s="8"/>
      <c r="E12267" s="6"/>
      <c r="F12267" s="6"/>
    </row>
    <row r="12268" spans="1:6" x14ac:dyDescent="0.3">
      <c r="A12268" s="8" t="s">
        <v>24492</v>
      </c>
      <c r="B12268" s="8" t="s">
        <v>65864</v>
      </c>
      <c r="C12268" s="8" t="s">
        <v>24493</v>
      </c>
      <c r="D12268" s="8"/>
      <c r="E12268" s="6"/>
      <c r="F12268" s="6"/>
    </row>
    <row r="12269" spans="1:6" x14ac:dyDescent="0.3">
      <c r="A12269" s="8" t="s">
        <v>24494</v>
      </c>
      <c r="B12269" s="8" t="s">
        <v>65865</v>
      </c>
      <c r="C12269" s="8" t="s">
        <v>24495</v>
      </c>
      <c r="D12269" s="8"/>
      <c r="E12269" s="6"/>
      <c r="F12269" s="6"/>
    </row>
    <row r="12270" spans="1:6" x14ac:dyDescent="0.3">
      <c r="A12270" s="8" t="s">
        <v>24496</v>
      </c>
      <c r="B12270" s="8" t="s">
        <v>65866</v>
      </c>
      <c r="C12270" s="8" t="s">
        <v>24497</v>
      </c>
      <c r="D12270" s="8"/>
      <c r="E12270" s="6"/>
      <c r="F12270" s="6"/>
    </row>
    <row r="12271" spans="1:6" x14ac:dyDescent="0.3">
      <c r="A12271" s="8" t="s">
        <v>24498</v>
      </c>
      <c r="B12271" s="8" t="s">
        <v>65867</v>
      </c>
      <c r="C12271" s="8" t="s">
        <v>24499</v>
      </c>
      <c r="D12271" s="8"/>
      <c r="E12271" s="6"/>
      <c r="F12271" s="6"/>
    </row>
    <row r="12272" spans="1:6" x14ac:dyDescent="0.3">
      <c r="A12272" s="8" t="s">
        <v>24500</v>
      </c>
      <c r="B12272" s="8" t="s">
        <v>65868</v>
      </c>
      <c r="C12272" s="8" t="s">
        <v>24501</v>
      </c>
      <c r="D12272" s="8"/>
      <c r="E12272" s="6"/>
      <c r="F12272" s="6"/>
    </row>
    <row r="12273" spans="1:6" x14ac:dyDescent="0.3">
      <c r="A12273" s="8" t="s">
        <v>24502</v>
      </c>
      <c r="B12273" s="8" t="s">
        <v>65869</v>
      </c>
      <c r="C12273" s="8" t="s">
        <v>24503</v>
      </c>
      <c r="D12273" s="8"/>
      <c r="E12273" s="6"/>
      <c r="F12273" s="6"/>
    </row>
    <row r="12274" spans="1:6" x14ac:dyDescent="0.3">
      <c r="A12274" s="8" t="s">
        <v>24504</v>
      </c>
      <c r="B12274" s="8" t="s">
        <v>65870</v>
      </c>
      <c r="C12274" s="8" t="s">
        <v>24505</v>
      </c>
      <c r="D12274" s="8"/>
      <c r="E12274" s="6"/>
      <c r="F12274" s="6"/>
    </row>
    <row r="12275" spans="1:6" x14ac:dyDescent="0.3">
      <c r="A12275" s="8" t="s">
        <v>24506</v>
      </c>
      <c r="B12275" s="8" t="s">
        <v>65871</v>
      </c>
      <c r="C12275" s="8" t="s">
        <v>24507</v>
      </c>
      <c r="D12275" s="8"/>
      <c r="E12275" s="6"/>
      <c r="F12275" s="6"/>
    </row>
    <row r="12276" spans="1:6" x14ac:dyDescent="0.3">
      <c r="A12276" s="8" t="s">
        <v>24508</v>
      </c>
      <c r="B12276" s="8" t="s">
        <v>65872</v>
      </c>
      <c r="C12276" s="8" t="s">
        <v>24509</v>
      </c>
      <c r="D12276" s="8"/>
      <c r="E12276" s="6"/>
      <c r="F12276" s="6"/>
    </row>
    <row r="12277" spans="1:6" x14ac:dyDescent="0.3">
      <c r="A12277" s="8" t="s">
        <v>24510</v>
      </c>
      <c r="B12277" s="8" t="s">
        <v>65873</v>
      </c>
      <c r="C12277" s="8" t="s">
        <v>24511</v>
      </c>
      <c r="D12277" s="8"/>
      <c r="E12277" s="6"/>
      <c r="F12277" s="6"/>
    </row>
    <row r="12278" spans="1:6" x14ac:dyDescent="0.3">
      <c r="A12278" s="8" t="s">
        <v>24512</v>
      </c>
      <c r="B12278" s="8" t="s">
        <v>65874</v>
      </c>
      <c r="C12278" s="8" t="s">
        <v>24513</v>
      </c>
      <c r="D12278" s="8"/>
      <c r="E12278" s="6"/>
      <c r="F12278" s="6"/>
    </row>
    <row r="12279" spans="1:6" x14ac:dyDescent="0.3">
      <c r="A12279" s="8" t="s">
        <v>24514</v>
      </c>
      <c r="B12279" s="8" t="s">
        <v>65875</v>
      </c>
      <c r="C12279" s="8" t="s">
        <v>24515</v>
      </c>
      <c r="D12279" s="8"/>
      <c r="E12279" s="6"/>
      <c r="F12279" s="6"/>
    </row>
    <row r="12280" spans="1:6" x14ac:dyDescent="0.3">
      <c r="A12280" s="8" t="s">
        <v>24516</v>
      </c>
      <c r="B12280" s="8" t="s">
        <v>65876</v>
      </c>
      <c r="C12280" s="8" t="s">
        <v>24517</v>
      </c>
      <c r="D12280" s="8"/>
      <c r="E12280" s="6"/>
      <c r="F12280" s="6"/>
    </row>
    <row r="12281" spans="1:6" x14ac:dyDescent="0.3">
      <c r="A12281" s="8" t="s">
        <v>24518</v>
      </c>
      <c r="B12281" s="8" t="s">
        <v>65877</v>
      </c>
      <c r="C12281" s="8" t="s">
        <v>24519</v>
      </c>
      <c r="D12281" s="8"/>
      <c r="E12281" s="6"/>
      <c r="F12281" s="6"/>
    </row>
    <row r="12282" spans="1:6" x14ac:dyDescent="0.3">
      <c r="A12282" s="8" t="s">
        <v>24520</v>
      </c>
      <c r="B12282" s="8" t="s">
        <v>65878</v>
      </c>
      <c r="C12282" s="8" t="s">
        <v>24521</v>
      </c>
      <c r="D12282" s="8"/>
      <c r="E12282" s="6"/>
      <c r="F12282" s="6"/>
    </row>
    <row r="12283" spans="1:6" x14ac:dyDescent="0.3">
      <c r="A12283" s="8" t="s">
        <v>24522</v>
      </c>
      <c r="B12283" s="8" t="s">
        <v>65879</v>
      </c>
      <c r="C12283" s="8" t="s">
        <v>24523</v>
      </c>
      <c r="D12283" s="8"/>
      <c r="E12283" s="6"/>
      <c r="F12283" s="6"/>
    </row>
    <row r="12284" spans="1:6" x14ac:dyDescent="0.3">
      <c r="A12284" s="8" t="s">
        <v>24524</v>
      </c>
      <c r="B12284" s="8" t="s">
        <v>65880</v>
      </c>
      <c r="C12284" s="8" t="s">
        <v>24525</v>
      </c>
      <c r="D12284" s="8"/>
      <c r="E12284" s="6"/>
      <c r="F12284" s="6"/>
    </row>
    <row r="12285" spans="1:6" x14ac:dyDescent="0.3">
      <c r="A12285" s="8" t="s">
        <v>24526</v>
      </c>
      <c r="B12285" s="8" t="s">
        <v>65881</v>
      </c>
      <c r="C12285" s="8" t="s">
        <v>24527</v>
      </c>
      <c r="D12285" s="8"/>
      <c r="E12285" s="6"/>
      <c r="F12285" s="6"/>
    </row>
    <row r="12286" spans="1:6" x14ac:dyDescent="0.3">
      <c r="A12286" s="8" t="s">
        <v>24528</v>
      </c>
      <c r="B12286" s="8" t="s">
        <v>65882</v>
      </c>
      <c r="C12286" s="8" t="s">
        <v>24529</v>
      </c>
      <c r="D12286" s="8"/>
      <c r="E12286" s="6"/>
      <c r="F12286" s="6"/>
    </row>
    <row r="12287" spans="1:6" x14ac:dyDescent="0.3">
      <c r="A12287" s="8" t="s">
        <v>24530</v>
      </c>
      <c r="B12287" s="8" t="s">
        <v>65883</v>
      </c>
      <c r="C12287" s="8" t="s">
        <v>24531</v>
      </c>
      <c r="D12287" s="8"/>
      <c r="E12287" s="6"/>
      <c r="F12287" s="6"/>
    </row>
    <row r="12288" spans="1:6" x14ac:dyDescent="0.3">
      <c r="A12288" s="8" t="s">
        <v>24532</v>
      </c>
      <c r="B12288" s="8" t="s">
        <v>65884</v>
      </c>
      <c r="C12288" s="8" t="s">
        <v>24533</v>
      </c>
      <c r="D12288" s="8"/>
      <c r="E12288" s="6"/>
      <c r="F12288" s="6"/>
    </row>
    <row r="12289" spans="1:6" x14ac:dyDescent="0.3">
      <c r="A12289" s="8" t="s">
        <v>24534</v>
      </c>
      <c r="B12289" s="8" t="s">
        <v>65885</v>
      </c>
      <c r="C12289" s="8" t="s">
        <v>24535</v>
      </c>
      <c r="D12289" s="8"/>
      <c r="E12289" s="6"/>
      <c r="F12289" s="6"/>
    </row>
    <row r="12290" spans="1:6" x14ac:dyDescent="0.3">
      <c r="A12290" s="8" t="s">
        <v>24536</v>
      </c>
      <c r="B12290" s="8" t="s">
        <v>65886</v>
      </c>
      <c r="C12290" s="8" t="s">
        <v>24537</v>
      </c>
      <c r="D12290" s="8"/>
      <c r="E12290" s="6"/>
      <c r="F12290" s="6"/>
    </row>
    <row r="12291" spans="1:6" x14ac:dyDescent="0.3">
      <c r="A12291" s="8" t="s">
        <v>24538</v>
      </c>
      <c r="B12291" s="8" t="s">
        <v>65887</v>
      </c>
      <c r="C12291" s="8" t="s">
        <v>24539</v>
      </c>
      <c r="D12291" s="8"/>
      <c r="E12291" s="6"/>
      <c r="F12291" s="6"/>
    </row>
    <row r="12292" spans="1:6" x14ac:dyDescent="0.3">
      <c r="A12292" s="8" t="s">
        <v>24540</v>
      </c>
      <c r="B12292" s="8" t="s">
        <v>65888</v>
      </c>
      <c r="C12292" s="8" t="s">
        <v>24541</v>
      </c>
      <c r="D12292" s="8"/>
      <c r="E12292" s="6"/>
      <c r="F12292" s="6"/>
    </row>
    <row r="12293" spans="1:6" x14ac:dyDescent="0.3">
      <c r="A12293" s="8" t="s">
        <v>24542</v>
      </c>
      <c r="B12293" s="8" t="s">
        <v>65889</v>
      </c>
      <c r="C12293" s="8" t="s">
        <v>24543</v>
      </c>
      <c r="D12293" s="8"/>
      <c r="E12293" s="6"/>
      <c r="F12293" s="6"/>
    </row>
    <row r="12294" spans="1:6" x14ac:dyDescent="0.3">
      <c r="A12294" s="8" t="s">
        <v>24544</v>
      </c>
      <c r="B12294" s="8" t="s">
        <v>65890</v>
      </c>
      <c r="C12294" s="8" t="s">
        <v>24545</v>
      </c>
      <c r="D12294" s="8"/>
      <c r="E12294" s="6"/>
      <c r="F12294" s="6"/>
    </row>
    <row r="12295" spans="1:6" x14ac:dyDescent="0.3">
      <c r="A12295" s="8" t="s">
        <v>24546</v>
      </c>
      <c r="B12295" s="8" t="s">
        <v>65891</v>
      </c>
      <c r="C12295" s="8" t="s">
        <v>24547</v>
      </c>
      <c r="D12295" s="8"/>
      <c r="E12295" s="6"/>
      <c r="F12295" s="6"/>
    </row>
    <row r="12296" spans="1:6" x14ac:dyDescent="0.3">
      <c r="A12296" s="8" t="s">
        <v>24548</v>
      </c>
      <c r="B12296" s="8" t="s">
        <v>65892</v>
      </c>
      <c r="C12296" s="8" t="s">
        <v>24549</v>
      </c>
      <c r="D12296" s="8"/>
      <c r="E12296" s="6"/>
      <c r="F12296" s="6"/>
    </row>
    <row r="12297" spans="1:6" x14ac:dyDescent="0.3">
      <c r="A12297" s="8" t="s">
        <v>24550</v>
      </c>
      <c r="B12297" s="8" t="s">
        <v>65893</v>
      </c>
      <c r="C12297" s="8" t="s">
        <v>24551</v>
      </c>
      <c r="D12297" s="8"/>
      <c r="E12297" s="6"/>
      <c r="F12297" s="6"/>
    </row>
    <row r="12298" spans="1:6" x14ac:dyDescent="0.3">
      <c r="A12298" s="8" t="s">
        <v>24552</v>
      </c>
      <c r="B12298" s="8" t="s">
        <v>65894</v>
      </c>
      <c r="C12298" s="8" t="s">
        <v>24553</v>
      </c>
      <c r="D12298" s="8"/>
      <c r="E12298" s="6"/>
      <c r="F12298" s="6"/>
    </row>
    <row r="12299" spans="1:6" x14ac:dyDescent="0.3">
      <c r="A12299" s="8" t="s">
        <v>24554</v>
      </c>
      <c r="B12299" s="8" t="s">
        <v>65895</v>
      </c>
      <c r="C12299" s="8" t="s">
        <v>24555</v>
      </c>
      <c r="D12299" s="8"/>
      <c r="E12299" s="6"/>
      <c r="F12299" s="6"/>
    </row>
    <row r="12300" spans="1:6" x14ac:dyDescent="0.3">
      <c r="A12300" s="8" t="s">
        <v>24556</v>
      </c>
      <c r="B12300" s="8" t="s">
        <v>65896</v>
      </c>
      <c r="C12300" s="8" t="s">
        <v>24557</v>
      </c>
      <c r="D12300" s="8"/>
      <c r="E12300" s="6"/>
      <c r="F12300" s="6"/>
    </row>
    <row r="12301" spans="1:6" x14ac:dyDescent="0.3">
      <c r="A12301" s="8" t="s">
        <v>24558</v>
      </c>
      <c r="B12301" s="8" t="s">
        <v>65897</v>
      </c>
      <c r="C12301" s="8" t="s">
        <v>24559</v>
      </c>
      <c r="D12301" s="8"/>
      <c r="E12301" s="6"/>
      <c r="F12301" s="6"/>
    </row>
    <row r="12302" spans="1:6" x14ac:dyDescent="0.3">
      <c r="A12302" s="8" t="s">
        <v>24560</v>
      </c>
      <c r="B12302" s="8" t="s">
        <v>65898</v>
      </c>
      <c r="C12302" s="8" t="s">
        <v>24561</v>
      </c>
      <c r="D12302" s="8"/>
      <c r="E12302" s="6"/>
      <c r="F12302" s="6"/>
    </row>
    <row r="12303" spans="1:6" x14ac:dyDescent="0.3">
      <c r="A12303" s="8" t="s">
        <v>24562</v>
      </c>
      <c r="B12303" s="8" t="s">
        <v>65899</v>
      </c>
      <c r="C12303" s="8" t="s">
        <v>24563</v>
      </c>
      <c r="D12303" s="8"/>
      <c r="E12303" s="6"/>
      <c r="F12303" s="6"/>
    </row>
    <row r="12304" spans="1:6" x14ac:dyDescent="0.3">
      <c r="A12304" s="8" t="s">
        <v>24564</v>
      </c>
      <c r="B12304" s="8" t="s">
        <v>65900</v>
      </c>
      <c r="C12304" s="8" t="s">
        <v>24565</v>
      </c>
      <c r="D12304" s="8"/>
      <c r="E12304" s="6"/>
      <c r="F12304" s="6"/>
    </row>
    <row r="12305" spans="1:6" x14ac:dyDescent="0.3">
      <c r="A12305" s="8" t="s">
        <v>24566</v>
      </c>
      <c r="B12305" s="8" t="s">
        <v>65901</v>
      </c>
      <c r="C12305" s="8" t="s">
        <v>24567</v>
      </c>
      <c r="D12305" s="8"/>
      <c r="E12305" s="6"/>
      <c r="F12305" s="6"/>
    </row>
    <row r="12306" spans="1:6" x14ac:dyDescent="0.3">
      <c r="A12306" s="8" t="s">
        <v>24568</v>
      </c>
      <c r="B12306" s="8" t="s">
        <v>65902</v>
      </c>
      <c r="C12306" s="8" t="s">
        <v>24569</v>
      </c>
      <c r="D12306" s="8"/>
      <c r="E12306" s="6"/>
      <c r="F12306" s="6"/>
    </row>
    <row r="12307" spans="1:6" x14ac:dyDescent="0.3">
      <c r="A12307" s="8" t="s">
        <v>24570</v>
      </c>
      <c r="B12307" s="8" t="s">
        <v>65903</v>
      </c>
      <c r="C12307" s="8" t="s">
        <v>24571</v>
      </c>
      <c r="D12307" s="8"/>
      <c r="E12307" s="6"/>
      <c r="F12307" s="6"/>
    </row>
    <row r="12308" spans="1:6" x14ac:dyDescent="0.3">
      <c r="A12308" s="8" t="s">
        <v>24572</v>
      </c>
      <c r="B12308" s="8" t="s">
        <v>65904</v>
      </c>
      <c r="C12308" s="8" t="s">
        <v>24573</v>
      </c>
      <c r="D12308" s="8"/>
      <c r="E12308" s="6"/>
      <c r="F12308" s="6"/>
    </row>
    <row r="12309" spans="1:6" x14ac:dyDescent="0.3">
      <c r="A12309" s="8" t="s">
        <v>24574</v>
      </c>
      <c r="B12309" s="8" t="s">
        <v>65905</v>
      </c>
      <c r="C12309" s="8" t="s">
        <v>24575</v>
      </c>
      <c r="D12309" s="8"/>
      <c r="E12309" s="6"/>
      <c r="F12309" s="6"/>
    </row>
    <row r="12310" spans="1:6" x14ac:dyDescent="0.3">
      <c r="A12310" s="8" t="s">
        <v>24576</v>
      </c>
      <c r="B12310" s="8" t="s">
        <v>65906</v>
      </c>
      <c r="C12310" s="8" t="s">
        <v>24577</v>
      </c>
      <c r="D12310" s="8"/>
      <c r="E12310" s="6"/>
      <c r="F12310" s="6"/>
    </row>
    <row r="12311" spans="1:6" x14ac:dyDescent="0.3">
      <c r="A12311" s="8" t="s">
        <v>24578</v>
      </c>
      <c r="B12311" s="8" t="s">
        <v>65907</v>
      </c>
      <c r="C12311" s="8" t="s">
        <v>24579</v>
      </c>
      <c r="D12311" s="8"/>
      <c r="E12311" s="6"/>
      <c r="F12311" s="6"/>
    </row>
    <row r="12312" spans="1:6" x14ac:dyDescent="0.3">
      <c r="A12312" s="8" t="s">
        <v>24580</v>
      </c>
      <c r="B12312" s="8" t="s">
        <v>65908</v>
      </c>
      <c r="C12312" s="8" t="s">
        <v>24581</v>
      </c>
      <c r="D12312" s="8"/>
      <c r="E12312" s="6"/>
      <c r="F12312" s="6"/>
    </row>
    <row r="12313" spans="1:6" x14ac:dyDescent="0.3">
      <c r="A12313" s="8" t="s">
        <v>24582</v>
      </c>
      <c r="B12313" s="8" t="s">
        <v>65909</v>
      </c>
      <c r="C12313" s="8" t="s">
        <v>24583</v>
      </c>
      <c r="D12313" s="8"/>
      <c r="E12313" s="6"/>
      <c r="F12313" s="6"/>
    </row>
    <row r="12314" spans="1:6" x14ac:dyDescent="0.3">
      <c r="A12314" s="8" t="s">
        <v>24584</v>
      </c>
      <c r="B12314" s="8" t="s">
        <v>65910</v>
      </c>
      <c r="C12314" s="8" t="s">
        <v>24585</v>
      </c>
      <c r="D12314" s="8"/>
      <c r="E12314" s="6"/>
      <c r="F12314" s="6"/>
    </row>
    <row r="12315" spans="1:6" x14ac:dyDescent="0.3">
      <c r="A12315" s="8" t="s">
        <v>24586</v>
      </c>
      <c r="B12315" s="8" t="s">
        <v>65911</v>
      </c>
      <c r="C12315" s="8" t="s">
        <v>24587</v>
      </c>
      <c r="D12315" s="8"/>
      <c r="E12315" s="6"/>
      <c r="F12315" s="6"/>
    </row>
    <row r="12316" spans="1:6" x14ac:dyDescent="0.3">
      <c r="A12316" s="8" t="s">
        <v>24588</v>
      </c>
      <c r="B12316" s="8" t="s">
        <v>65912</v>
      </c>
      <c r="C12316" s="8" t="s">
        <v>24589</v>
      </c>
      <c r="D12316" s="8"/>
      <c r="E12316" s="6"/>
      <c r="F12316" s="6"/>
    </row>
    <row r="12317" spans="1:6" x14ac:dyDescent="0.3">
      <c r="A12317" s="8" t="s">
        <v>24590</v>
      </c>
      <c r="B12317" s="8" t="s">
        <v>65913</v>
      </c>
      <c r="C12317" s="8" t="s">
        <v>24591</v>
      </c>
      <c r="D12317" s="8"/>
      <c r="E12317" s="6"/>
      <c r="F12317" s="6"/>
    </row>
    <row r="12318" spans="1:6" x14ac:dyDescent="0.3">
      <c r="A12318" s="8" t="s">
        <v>24592</v>
      </c>
      <c r="B12318" s="8" t="s">
        <v>65914</v>
      </c>
      <c r="C12318" s="8" t="s">
        <v>24593</v>
      </c>
      <c r="D12318" s="8"/>
      <c r="E12318" s="6"/>
      <c r="F12318" s="6"/>
    </row>
    <row r="12319" spans="1:6" x14ac:dyDescent="0.3">
      <c r="A12319" s="8" t="s">
        <v>24594</v>
      </c>
      <c r="B12319" s="8" t="s">
        <v>65915</v>
      </c>
      <c r="C12319" s="8" t="s">
        <v>24595</v>
      </c>
      <c r="D12319" s="8"/>
      <c r="E12319" s="6"/>
      <c r="F12319" s="6"/>
    </row>
    <row r="12320" spans="1:6" x14ac:dyDescent="0.3">
      <c r="A12320" s="8" t="s">
        <v>24596</v>
      </c>
      <c r="B12320" s="8" t="s">
        <v>65916</v>
      </c>
      <c r="C12320" s="8" t="s">
        <v>24597</v>
      </c>
      <c r="D12320" s="8"/>
      <c r="E12320" s="6"/>
      <c r="F12320" s="6"/>
    </row>
    <row r="12321" spans="1:6" x14ac:dyDescent="0.3">
      <c r="A12321" s="8" t="s">
        <v>24598</v>
      </c>
      <c r="B12321" s="8" t="s">
        <v>65917</v>
      </c>
      <c r="C12321" s="8" t="s">
        <v>24599</v>
      </c>
      <c r="D12321" s="8"/>
      <c r="E12321" s="6"/>
      <c r="F12321" s="6"/>
    </row>
    <row r="12322" spans="1:6" x14ac:dyDescent="0.3">
      <c r="A12322" s="8" t="s">
        <v>24600</v>
      </c>
      <c r="B12322" s="8" t="s">
        <v>65918</v>
      </c>
      <c r="C12322" s="8" t="s">
        <v>24601</v>
      </c>
      <c r="D12322" s="8"/>
      <c r="E12322" s="6"/>
      <c r="F12322" s="6"/>
    </row>
    <row r="12323" spans="1:6" x14ac:dyDescent="0.3">
      <c r="A12323" s="8" t="s">
        <v>24602</v>
      </c>
      <c r="B12323" s="8" t="s">
        <v>65919</v>
      </c>
      <c r="C12323" s="8" t="s">
        <v>24603</v>
      </c>
      <c r="D12323" s="8"/>
      <c r="E12323" s="6"/>
      <c r="F12323" s="6"/>
    </row>
    <row r="12324" spans="1:6" x14ac:dyDescent="0.3">
      <c r="A12324" s="8" t="s">
        <v>24604</v>
      </c>
      <c r="B12324" s="8" t="s">
        <v>65920</v>
      </c>
      <c r="C12324" s="8" t="s">
        <v>24605</v>
      </c>
      <c r="D12324" s="8"/>
      <c r="E12324" s="6"/>
      <c r="F12324" s="6"/>
    </row>
    <row r="12325" spans="1:6" x14ac:dyDescent="0.3">
      <c r="A12325" s="8" t="s">
        <v>24606</v>
      </c>
      <c r="B12325" s="8" t="s">
        <v>65921</v>
      </c>
      <c r="C12325" s="8" t="s">
        <v>24607</v>
      </c>
      <c r="D12325" s="8"/>
      <c r="E12325" s="6"/>
      <c r="F12325" s="6"/>
    </row>
    <row r="12326" spans="1:6" x14ac:dyDescent="0.3">
      <c r="A12326" s="8" t="s">
        <v>24608</v>
      </c>
      <c r="B12326" s="8" t="s">
        <v>65922</v>
      </c>
      <c r="C12326" s="8" t="s">
        <v>24609</v>
      </c>
      <c r="D12326" s="8"/>
      <c r="E12326" s="6"/>
      <c r="F12326" s="6"/>
    </row>
    <row r="12327" spans="1:6" x14ac:dyDescent="0.3">
      <c r="A12327" s="8" t="s">
        <v>24610</v>
      </c>
      <c r="B12327" s="8" t="s">
        <v>65923</v>
      </c>
      <c r="C12327" s="8" t="s">
        <v>24611</v>
      </c>
      <c r="D12327" s="8"/>
      <c r="E12327" s="6"/>
      <c r="F12327" s="6"/>
    </row>
    <row r="12328" spans="1:6" x14ac:dyDescent="0.3">
      <c r="A12328" s="8" t="s">
        <v>24612</v>
      </c>
      <c r="B12328" s="8" t="s">
        <v>65924</v>
      </c>
      <c r="C12328" s="8" t="s">
        <v>24613</v>
      </c>
      <c r="D12328" s="8"/>
      <c r="E12328" s="6"/>
      <c r="F12328" s="6"/>
    </row>
    <row r="12329" spans="1:6" x14ac:dyDescent="0.3">
      <c r="A12329" s="8" t="s">
        <v>24614</v>
      </c>
      <c r="B12329" s="8" t="s">
        <v>65925</v>
      </c>
      <c r="C12329" s="8" t="s">
        <v>24615</v>
      </c>
      <c r="D12329" s="8"/>
      <c r="E12329" s="6"/>
      <c r="F12329" s="6"/>
    </row>
    <row r="12330" spans="1:6" x14ac:dyDescent="0.3">
      <c r="A12330" s="8" t="s">
        <v>24616</v>
      </c>
      <c r="B12330" s="8" t="s">
        <v>65926</v>
      </c>
      <c r="C12330" s="8" t="s">
        <v>24617</v>
      </c>
      <c r="D12330" s="8"/>
      <c r="E12330" s="6"/>
      <c r="F12330" s="6"/>
    </row>
    <row r="12331" spans="1:6" x14ac:dyDescent="0.3">
      <c r="A12331" s="8" t="s">
        <v>24618</v>
      </c>
      <c r="B12331" s="8" t="s">
        <v>65927</v>
      </c>
      <c r="C12331" s="8" t="s">
        <v>24619</v>
      </c>
      <c r="D12331" s="8"/>
      <c r="E12331" s="6"/>
      <c r="F12331" s="6"/>
    </row>
    <row r="12332" spans="1:6" x14ac:dyDescent="0.3">
      <c r="A12332" s="8" t="s">
        <v>24620</v>
      </c>
      <c r="B12332" s="8" t="s">
        <v>65928</v>
      </c>
      <c r="C12332" s="8" t="s">
        <v>24621</v>
      </c>
      <c r="D12332" s="8"/>
      <c r="E12332" s="6"/>
      <c r="F12332" s="6"/>
    </row>
    <row r="12333" spans="1:6" x14ac:dyDescent="0.3">
      <c r="A12333" s="8" t="s">
        <v>24622</v>
      </c>
      <c r="B12333" s="8" t="s">
        <v>65929</v>
      </c>
      <c r="C12333" s="8" t="s">
        <v>24623</v>
      </c>
      <c r="D12333" s="8"/>
      <c r="E12333" s="6"/>
      <c r="F12333" s="6"/>
    </row>
    <row r="12334" spans="1:6" x14ac:dyDescent="0.3">
      <c r="A12334" s="8" t="s">
        <v>24624</v>
      </c>
      <c r="B12334" s="8" t="s">
        <v>65930</v>
      </c>
      <c r="C12334" s="8" t="s">
        <v>24625</v>
      </c>
      <c r="D12334" s="8"/>
      <c r="E12334" s="6"/>
      <c r="F12334" s="6"/>
    </row>
    <row r="12335" spans="1:6" x14ac:dyDescent="0.3">
      <c r="A12335" s="8" t="s">
        <v>24626</v>
      </c>
      <c r="B12335" s="8" t="s">
        <v>65931</v>
      </c>
      <c r="C12335" s="8" t="s">
        <v>24627</v>
      </c>
      <c r="D12335" s="8"/>
      <c r="E12335" s="6"/>
      <c r="F12335" s="6"/>
    </row>
    <row r="12336" spans="1:6" x14ac:dyDescent="0.3">
      <c r="A12336" s="8" t="s">
        <v>24628</v>
      </c>
      <c r="B12336" s="8" t="s">
        <v>65932</v>
      </c>
      <c r="C12336" s="8" t="s">
        <v>24629</v>
      </c>
      <c r="D12336" s="8"/>
      <c r="E12336" s="6"/>
      <c r="F12336" s="6"/>
    </row>
    <row r="12337" spans="1:6" x14ac:dyDescent="0.3">
      <c r="A12337" s="8" t="s">
        <v>24630</v>
      </c>
      <c r="B12337" s="8" t="s">
        <v>65933</v>
      </c>
      <c r="C12337" s="8" t="s">
        <v>24631</v>
      </c>
      <c r="D12337" s="8"/>
      <c r="E12337" s="6"/>
      <c r="F12337" s="6"/>
    </row>
    <row r="12338" spans="1:6" x14ac:dyDescent="0.3">
      <c r="A12338" s="8" t="s">
        <v>24632</v>
      </c>
      <c r="B12338" s="8" t="s">
        <v>65934</v>
      </c>
      <c r="C12338" s="8" t="s">
        <v>24633</v>
      </c>
      <c r="D12338" s="8"/>
      <c r="E12338" s="6"/>
      <c r="F12338" s="6"/>
    </row>
    <row r="12339" spans="1:6" x14ac:dyDescent="0.3">
      <c r="A12339" s="8" t="s">
        <v>24634</v>
      </c>
      <c r="B12339" s="8" t="s">
        <v>65935</v>
      </c>
      <c r="C12339" s="8" t="s">
        <v>24635</v>
      </c>
      <c r="D12339" s="8"/>
      <c r="E12339" s="6"/>
      <c r="F12339" s="6"/>
    </row>
    <row r="12340" spans="1:6" x14ac:dyDescent="0.3">
      <c r="A12340" s="8" t="s">
        <v>24636</v>
      </c>
      <c r="B12340" s="8" t="s">
        <v>65936</v>
      </c>
      <c r="C12340" s="8" t="s">
        <v>24637</v>
      </c>
      <c r="D12340" s="8"/>
      <c r="E12340" s="6"/>
      <c r="F12340" s="6"/>
    </row>
    <row r="12341" spans="1:6" x14ac:dyDescent="0.3">
      <c r="A12341" s="8" t="s">
        <v>24638</v>
      </c>
      <c r="B12341" s="8" t="s">
        <v>65937</v>
      </c>
      <c r="C12341" s="8" t="s">
        <v>24639</v>
      </c>
      <c r="D12341" s="8"/>
      <c r="E12341" s="6"/>
      <c r="F12341" s="6"/>
    </row>
    <row r="12342" spans="1:6" x14ac:dyDescent="0.3">
      <c r="A12342" s="8" t="s">
        <v>24640</v>
      </c>
      <c r="B12342" s="8" t="s">
        <v>65938</v>
      </c>
      <c r="C12342" s="8" t="s">
        <v>24641</v>
      </c>
      <c r="D12342" s="8"/>
      <c r="E12342" s="6"/>
      <c r="F12342" s="6"/>
    </row>
    <row r="12343" spans="1:6" x14ac:dyDescent="0.3">
      <c r="A12343" s="8" t="s">
        <v>24642</v>
      </c>
      <c r="B12343" s="8" t="s">
        <v>65939</v>
      </c>
      <c r="C12343" s="8" t="s">
        <v>24643</v>
      </c>
      <c r="D12343" s="8"/>
      <c r="E12343" s="6"/>
      <c r="F12343" s="6"/>
    </row>
    <row r="12344" spans="1:6" x14ac:dyDescent="0.3">
      <c r="A12344" s="8" t="s">
        <v>24644</v>
      </c>
      <c r="B12344" s="8" t="s">
        <v>65940</v>
      </c>
      <c r="C12344" s="8" t="s">
        <v>24645</v>
      </c>
      <c r="D12344" s="8"/>
      <c r="E12344" s="6"/>
      <c r="F12344" s="6"/>
    </row>
    <row r="12345" spans="1:6" x14ac:dyDescent="0.3">
      <c r="A12345" s="8" t="s">
        <v>24646</v>
      </c>
      <c r="B12345" s="8" t="s">
        <v>65941</v>
      </c>
      <c r="C12345" s="8" t="s">
        <v>24647</v>
      </c>
      <c r="D12345" s="8"/>
      <c r="E12345" s="6"/>
      <c r="F12345" s="6"/>
    </row>
    <row r="12346" spans="1:6" x14ac:dyDescent="0.3">
      <c r="A12346" s="8" t="s">
        <v>24648</v>
      </c>
      <c r="B12346" s="8" t="s">
        <v>65942</v>
      </c>
      <c r="C12346" s="8" t="s">
        <v>24649</v>
      </c>
      <c r="D12346" s="8"/>
      <c r="E12346" s="6"/>
      <c r="F12346" s="6"/>
    </row>
    <row r="12347" spans="1:6" x14ac:dyDescent="0.3">
      <c r="A12347" s="8" t="s">
        <v>24650</v>
      </c>
      <c r="B12347" s="8" t="s">
        <v>65943</v>
      </c>
      <c r="C12347" s="8" t="s">
        <v>24651</v>
      </c>
      <c r="D12347" s="8"/>
      <c r="E12347" s="6"/>
      <c r="F12347" s="6"/>
    </row>
    <row r="12348" spans="1:6" x14ac:dyDescent="0.3">
      <c r="A12348" s="8" t="s">
        <v>24652</v>
      </c>
      <c r="B12348" s="8" t="s">
        <v>65944</v>
      </c>
      <c r="C12348" s="8" t="s">
        <v>24653</v>
      </c>
      <c r="D12348" s="8"/>
      <c r="E12348" s="6"/>
      <c r="F12348" s="6"/>
    </row>
    <row r="12349" spans="1:6" x14ac:dyDescent="0.3">
      <c r="A12349" s="8" t="s">
        <v>24654</v>
      </c>
      <c r="B12349" s="8" t="s">
        <v>65945</v>
      </c>
      <c r="C12349" s="8" t="s">
        <v>24655</v>
      </c>
      <c r="D12349" s="8"/>
      <c r="E12349" s="6"/>
      <c r="F12349" s="6"/>
    </row>
    <row r="12350" spans="1:6" x14ac:dyDescent="0.3">
      <c r="A12350" s="8" t="s">
        <v>24656</v>
      </c>
      <c r="B12350" s="8" t="s">
        <v>65946</v>
      </c>
      <c r="C12350" s="8" t="s">
        <v>24657</v>
      </c>
      <c r="D12350" s="8"/>
      <c r="E12350" s="6"/>
      <c r="F12350" s="6"/>
    </row>
    <row r="12351" spans="1:6" x14ac:dyDescent="0.3">
      <c r="A12351" s="8" t="s">
        <v>24658</v>
      </c>
      <c r="B12351" s="8" t="s">
        <v>65947</v>
      </c>
      <c r="C12351" s="8" t="s">
        <v>24659</v>
      </c>
      <c r="D12351" s="8"/>
      <c r="E12351" s="6"/>
      <c r="F12351" s="6"/>
    </row>
    <row r="12352" spans="1:6" x14ac:dyDescent="0.3">
      <c r="A12352" s="8" t="s">
        <v>24660</v>
      </c>
      <c r="B12352" s="8" t="s">
        <v>65948</v>
      </c>
      <c r="C12352" s="8" t="s">
        <v>24661</v>
      </c>
      <c r="D12352" s="8"/>
      <c r="E12352" s="6"/>
      <c r="F12352" s="6"/>
    </row>
    <row r="12353" spans="1:6" x14ac:dyDescent="0.3">
      <c r="A12353" s="8" t="s">
        <v>24662</v>
      </c>
      <c r="B12353" s="8" t="s">
        <v>65949</v>
      </c>
      <c r="C12353" s="8" t="s">
        <v>24663</v>
      </c>
      <c r="D12353" s="8"/>
      <c r="E12353" s="6"/>
      <c r="F12353" s="6"/>
    </row>
    <row r="12354" spans="1:6" x14ac:dyDescent="0.3">
      <c r="A12354" s="8" t="s">
        <v>24664</v>
      </c>
      <c r="B12354" s="8" t="s">
        <v>65950</v>
      </c>
      <c r="C12354" s="8" t="s">
        <v>24665</v>
      </c>
      <c r="D12354" s="8"/>
      <c r="E12354" s="6"/>
      <c r="F12354" s="6"/>
    </row>
    <row r="12355" spans="1:6" x14ac:dyDescent="0.3">
      <c r="A12355" s="8" t="s">
        <v>24666</v>
      </c>
      <c r="B12355" s="8" t="s">
        <v>65951</v>
      </c>
      <c r="C12355" s="8" t="s">
        <v>24667</v>
      </c>
      <c r="D12355" s="8"/>
      <c r="E12355" s="6"/>
      <c r="F12355" s="6"/>
    </row>
    <row r="12356" spans="1:6" x14ac:dyDescent="0.3">
      <c r="A12356" s="8" t="s">
        <v>24668</v>
      </c>
      <c r="B12356" s="8" t="s">
        <v>65952</v>
      </c>
      <c r="C12356" s="8" t="s">
        <v>24669</v>
      </c>
      <c r="D12356" s="8"/>
      <c r="E12356" s="6"/>
      <c r="F12356" s="6"/>
    </row>
    <row r="12357" spans="1:6" x14ac:dyDescent="0.3">
      <c r="A12357" s="8" t="s">
        <v>24670</v>
      </c>
      <c r="B12357" s="8" t="s">
        <v>65953</v>
      </c>
      <c r="C12357" s="8" t="s">
        <v>24671</v>
      </c>
      <c r="D12357" s="8"/>
      <c r="E12357" s="6"/>
      <c r="F12357" s="6"/>
    </row>
    <row r="12358" spans="1:6" x14ac:dyDescent="0.3">
      <c r="A12358" s="8" t="s">
        <v>24672</v>
      </c>
      <c r="B12358" s="8" t="s">
        <v>65954</v>
      </c>
      <c r="C12358" s="8" t="s">
        <v>24673</v>
      </c>
      <c r="D12358" s="8"/>
      <c r="E12358" s="6"/>
      <c r="F12358" s="6"/>
    </row>
    <row r="12359" spans="1:6" x14ac:dyDescent="0.3">
      <c r="A12359" s="8" t="s">
        <v>24674</v>
      </c>
      <c r="B12359" s="8" t="s">
        <v>65955</v>
      </c>
      <c r="C12359" s="8" t="s">
        <v>24675</v>
      </c>
      <c r="D12359" s="8"/>
      <c r="E12359" s="6"/>
      <c r="F12359" s="6"/>
    </row>
    <row r="12360" spans="1:6" x14ac:dyDescent="0.3">
      <c r="A12360" s="8" t="s">
        <v>24676</v>
      </c>
      <c r="B12360" s="8" t="s">
        <v>65956</v>
      </c>
      <c r="C12360" s="8" t="s">
        <v>24677</v>
      </c>
      <c r="D12360" s="8"/>
      <c r="E12360" s="6"/>
      <c r="F12360" s="6"/>
    </row>
    <row r="12361" spans="1:6" x14ac:dyDescent="0.3">
      <c r="A12361" s="8" t="s">
        <v>24678</v>
      </c>
      <c r="B12361" s="8" t="s">
        <v>65957</v>
      </c>
      <c r="C12361" s="8" t="s">
        <v>24679</v>
      </c>
      <c r="D12361" s="8"/>
      <c r="E12361" s="6"/>
      <c r="F12361" s="6"/>
    </row>
    <row r="12362" spans="1:6" x14ac:dyDescent="0.3">
      <c r="A12362" s="8" t="s">
        <v>24680</v>
      </c>
      <c r="B12362" s="8" t="s">
        <v>65958</v>
      </c>
      <c r="C12362" s="8" t="s">
        <v>24681</v>
      </c>
      <c r="D12362" s="8"/>
      <c r="E12362" s="6"/>
      <c r="F12362" s="6"/>
    </row>
    <row r="12363" spans="1:6" x14ac:dyDescent="0.3">
      <c r="A12363" s="8" t="s">
        <v>24682</v>
      </c>
      <c r="B12363" s="8" t="s">
        <v>65959</v>
      </c>
      <c r="C12363" s="8" t="s">
        <v>24683</v>
      </c>
      <c r="D12363" s="8"/>
      <c r="E12363" s="6"/>
      <c r="F12363" s="6"/>
    </row>
    <row r="12364" spans="1:6" x14ac:dyDescent="0.3">
      <c r="A12364" s="8" t="s">
        <v>24684</v>
      </c>
      <c r="B12364" s="8" t="s">
        <v>65960</v>
      </c>
      <c r="C12364" s="8" t="s">
        <v>24685</v>
      </c>
      <c r="D12364" s="8"/>
      <c r="E12364" s="6"/>
      <c r="F12364" s="6"/>
    </row>
    <row r="12365" spans="1:6" x14ac:dyDescent="0.3">
      <c r="A12365" s="8" t="s">
        <v>24686</v>
      </c>
      <c r="B12365" s="8" t="s">
        <v>65961</v>
      </c>
      <c r="C12365" s="8" t="s">
        <v>24687</v>
      </c>
      <c r="D12365" s="8"/>
      <c r="E12365" s="6"/>
      <c r="F12365" s="6"/>
    </row>
    <row r="12366" spans="1:6" x14ac:dyDescent="0.3">
      <c r="A12366" s="8" t="s">
        <v>24688</v>
      </c>
      <c r="B12366" s="8" t="s">
        <v>65962</v>
      </c>
      <c r="C12366" s="8" t="s">
        <v>24689</v>
      </c>
      <c r="D12366" s="8"/>
      <c r="E12366" s="6"/>
      <c r="F12366" s="6"/>
    </row>
    <row r="12367" spans="1:6" x14ac:dyDescent="0.3">
      <c r="A12367" s="8" t="s">
        <v>24690</v>
      </c>
      <c r="B12367" s="8" t="s">
        <v>65963</v>
      </c>
      <c r="C12367" s="8" t="s">
        <v>24691</v>
      </c>
      <c r="D12367" s="8"/>
      <c r="E12367" s="6"/>
      <c r="F12367" s="6"/>
    </row>
    <row r="12368" spans="1:6" x14ac:dyDescent="0.3">
      <c r="A12368" s="8" t="s">
        <v>24692</v>
      </c>
      <c r="B12368" s="8" t="s">
        <v>65964</v>
      </c>
      <c r="C12368" s="8" t="s">
        <v>24693</v>
      </c>
      <c r="D12368" s="8"/>
      <c r="E12368" s="6"/>
      <c r="F12368" s="6"/>
    </row>
    <row r="12369" spans="1:6" x14ac:dyDescent="0.3">
      <c r="A12369" s="8" t="s">
        <v>24694</v>
      </c>
      <c r="B12369" s="8" t="s">
        <v>65965</v>
      </c>
      <c r="C12369" s="8" t="s">
        <v>24695</v>
      </c>
      <c r="D12369" s="8"/>
      <c r="E12369" s="6"/>
      <c r="F12369" s="6"/>
    </row>
    <row r="12370" spans="1:6" x14ac:dyDescent="0.3">
      <c r="A12370" s="8" t="s">
        <v>24696</v>
      </c>
      <c r="B12370" s="8" t="s">
        <v>65966</v>
      </c>
      <c r="C12370" s="8" t="s">
        <v>24697</v>
      </c>
      <c r="D12370" s="8"/>
      <c r="E12370" s="6"/>
      <c r="F12370" s="6"/>
    </row>
    <row r="12371" spans="1:6" x14ac:dyDescent="0.3">
      <c r="A12371" s="8" t="s">
        <v>24698</v>
      </c>
      <c r="B12371" s="8" t="s">
        <v>65967</v>
      </c>
      <c r="C12371" s="8" t="s">
        <v>24699</v>
      </c>
      <c r="D12371" s="8"/>
      <c r="E12371" s="6"/>
      <c r="F12371" s="6"/>
    </row>
    <row r="12372" spans="1:6" x14ac:dyDescent="0.3">
      <c r="A12372" s="8" t="s">
        <v>24700</v>
      </c>
      <c r="B12372" s="8" t="s">
        <v>65968</v>
      </c>
      <c r="C12372" s="8" t="s">
        <v>24701</v>
      </c>
      <c r="D12372" s="8"/>
      <c r="E12372" s="6"/>
      <c r="F12372" s="6"/>
    </row>
    <row r="12373" spans="1:6" x14ac:dyDescent="0.3">
      <c r="A12373" s="8" t="s">
        <v>24702</v>
      </c>
      <c r="B12373" s="8" t="s">
        <v>65969</v>
      </c>
      <c r="C12373" s="8" t="s">
        <v>24703</v>
      </c>
      <c r="D12373" s="8"/>
      <c r="E12373" s="6"/>
      <c r="F12373" s="6"/>
    </row>
    <row r="12374" spans="1:6" x14ac:dyDescent="0.3">
      <c r="A12374" s="8" t="s">
        <v>24704</v>
      </c>
      <c r="B12374" s="8" t="s">
        <v>65970</v>
      </c>
      <c r="C12374" s="8" t="s">
        <v>24705</v>
      </c>
      <c r="D12374" s="8"/>
      <c r="E12374" s="6"/>
      <c r="F12374" s="6"/>
    </row>
    <row r="12375" spans="1:6" x14ac:dyDescent="0.3">
      <c r="A12375" s="8" t="s">
        <v>24706</v>
      </c>
      <c r="B12375" s="8" t="s">
        <v>65971</v>
      </c>
      <c r="C12375" s="8" t="s">
        <v>24707</v>
      </c>
      <c r="D12375" s="8"/>
      <c r="E12375" s="6"/>
      <c r="F12375" s="6"/>
    </row>
    <row r="12376" spans="1:6" x14ac:dyDescent="0.3">
      <c r="A12376" s="8" t="s">
        <v>24708</v>
      </c>
      <c r="B12376" s="8" t="s">
        <v>65972</v>
      </c>
      <c r="C12376" s="8" t="s">
        <v>24709</v>
      </c>
      <c r="D12376" s="8"/>
      <c r="E12376" s="6"/>
      <c r="F12376" s="6"/>
    </row>
    <row r="12377" spans="1:6" x14ac:dyDescent="0.3">
      <c r="A12377" s="8" t="s">
        <v>24710</v>
      </c>
      <c r="B12377" s="8" t="s">
        <v>65973</v>
      </c>
      <c r="C12377" s="8" t="s">
        <v>24711</v>
      </c>
      <c r="D12377" s="8"/>
      <c r="E12377" s="6"/>
      <c r="F12377" s="6"/>
    </row>
    <row r="12378" spans="1:6" x14ac:dyDescent="0.3">
      <c r="A12378" s="8" t="s">
        <v>24712</v>
      </c>
      <c r="B12378" s="8" t="s">
        <v>65974</v>
      </c>
      <c r="C12378" s="8" t="s">
        <v>24713</v>
      </c>
      <c r="D12378" s="8"/>
      <c r="E12378" s="6"/>
      <c r="F12378" s="6"/>
    </row>
    <row r="12379" spans="1:6" x14ac:dyDescent="0.3">
      <c r="A12379" s="8" t="s">
        <v>24714</v>
      </c>
      <c r="B12379" s="8" t="s">
        <v>65975</v>
      </c>
      <c r="C12379" s="8" t="s">
        <v>24715</v>
      </c>
      <c r="D12379" s="8"/>
      <c r="E12379" s="6"/>
      <c r="F12379" s="6"/>
    </row>
    <row r="12380" spans="1:6" x14ac:dyDescent="0.3">
      <c r="A12380" s="8" t="s">
        <v>24716</v>
      </c>
      <c r="B12380" s="8" t="s">
        <v>65976</v>
      </c>
      <c r="C12380" s="8" t="s">
        <v>24717</v>
      </c>
      <c r="D12380" s="8"/>
      <c r="E12380" s="6"/>
      <c r="F12380" s="6"/>
    </row>
    <row r="12381" spans="1:6" x14ac:dyDescent="0.3">
      <c r="A12381" s="8" t="s">
        <v>24718</v>
      </c>
      <c r="B12381" s="8" t="s">
        <v>65977</v>
      </c>
      <c r="C12381" s="8" t="s">
        <v>24719</v>
      </c>
      <c r="D12381" s="8"/>
      <c r="E12381" s="6"/>
      <c r="F12381" s="6"/>
    </row>
    <row r="12382" spans="1:6" x14ac:dyDescent="0.3">
      <c r="A12382" s="8" t="s">
        <v>24720</v>
      </c>
      <c r="B12382" s="8" t="s">
        <v>65978</v>
      </c>
      <c r="C12382" s="8" t="s">
        <v>24721</v>
      </c>
      <c r="D12382" s="8"/>
      <c r="E12382" s="6"/>
      <c r="F12382" s="6"/>
    </row>
    <row r="12383" spans="1:6" x14ac:dyDescent="0.3">
      <c r="A12383" s="8" t="s">
        <v>24722</v>
      </c>
      <c r="B12383" s="8" t="s">
        <v>65979</v>
      </c>
      <c r="C12383" s="8" t="s">
        <v>24723</v>
      </c>
      <c r="D12383" s="8"/>
      <c r="E12383" s="6"/>
      <c r="F12383" s="6"/>
    </row>
    <row r="12384" spans="1:6" x14ac:dyDescent="0.3">
      <c r="A12384" s="8" t="s">
        <v>24724</v>
      </c>
      <c r="B12384" s="8" t="s">
        <v>65980</v>
      </c>
      <c r="C12384" s="8" t="s">
        <v>24725</v>
      </c>
      <c r="D12384" s="8"/>
      <c r="E12384" s="6"/>
      <c r="F12384" s="6"/>
    </row>
    <row r="12385" spans="1:6" x14ac:dyDescent="0.3">
      <c r="A12385" s="8" t="s">
        <v>24726</v>
      </c>
      <c r="B12385" s="8" t="s">
        <v>65981</v>
      </c>
      <c r="C12385" s="8" t="s">
        <v>24727</v>
      </c>
      <c r="D12385" s="8"/>
      <c r="E12385" s="6"/>
      <c r="F12385" s="6"/>
    </row>
    <row r="12386" spans="1:6" x14ac:dyDescent="0.3">
      <c r="A12386" s="8" t="s">
        <v>24728</v>
      </c>
      <c r="B12386" s="8" t="s">
        <v>65982</v>
      </c>
      <c r="C12386" s="8" t="s">
        <v>24729</v>
      </c>
      <c r="D12386" s="8"/>
      <c r="E12386" s="6"/>
      <c r="F12386" s="6"/>
    </row>
    <row r="12387" spans="1:6" x14ac:dyDescent="0.3">
      <c r="A12387" s="8" t="s">
        <v>24730</v>
      </c>
      <c r="B12387" s="8" t="s">
        <v>65983</v>
      </c>
      <c r="C12387" s="8" t="s">
        <v>24731</v>
      </c>
      <c r="D12387" s="8"/>
      <c r="E12387" s="6"/>
      <c r="F12387" s="6"/>
    </row>
    <row r="12388" spans="1:6" x14ac:dyDescent="0.3">
      <c r="A12388" s="8" t="s">
        <v>24732</v>
      </c>
      <c r="B12388" s="8" t="s">
        <v>65984</v>
      </c>
      <c r="C12388" s="8" t="s">
        <v>24733</v>
      </c>
      <c r="D12388" s="8"/>
      <c r="E12388" s="6"/>
      <c r="F12388" s="6"/>
    </row>
    <row r="12389" spans="1:6" x14ac:dyDescent="0.3">
      <c r="A12389" s="8" t="s">
        <v>24734</v>
      </c>
      <c r="B12389" s="8" t="s">
        <v>65985</v>
      </c>
      <c r="C12389" s="8" t="s">
        <v>24735</v>
      </c>
      <c r="D12389" s="8"/>
      <c r="E12389" s="6"/>
      <c r="F12389" s="6"/>
    </row>
    <row r="12390" spans="1:6" x14ac:dyDescent="0.3">
      <c r="A12390" s="8" t="s">
        <v>24736</v>
      </c>
      <c r="B12390" s="8" t="s">
        <v>65986</v>
      </c>
      <c r="C12390" s="8" t="s">
        <v>24737</v>
      </c>
      <c r="D12390" s="8"/>
      <c r="E12390" s="6"/>
      <c r="F12390" s="6"/>
    </row>
    <row r="12391" spans="1:6" x14ac:dyDescent="0.3">
      <c r="A12391" s="8" t="s">
        <v>24738</v>
      </c>
      <c r="B12391" s="8" t="s">
        <v>65987</v>
      </c>
      <c r="C12391" s="8" t="s">
        <v>24739</v>
      </c>
      <c r="D12391" s="8"/>
      <c r="E12391" s="6"/>
      <c r="F12391" s="6"/>
    </row>
    <row r="12392" spans="1:6" x14ac:dyDescent="0.3">
      <c r="A12392" s="8" t="s">
        <v>24740</v>
      </c>
      <c r="B12392" s="8" t="s">
        <v>65988</v>
      </c>
      <c r="C12392" s="8" t="s">
        <v>24741</v>
      </c>
      <c r="D12392" s="8"/>
      <c r="E12392" s="6"/>
      <c r="F12392" s="6"/>
    </row>
    <row r="12393" spans="1:6" x14ac:dyDescent="0.3">
      <c r="A12393" s="8" t="s">
        <v>24742</v>
      </c>
      <c r="B12393" s="8" t="s">
        <v>65989</v>
      </c>
      <c r="C12393" s="8" t="s">
        <v>24743</v>
      </c>
      <c r="D12393" s="8"/>
      <c r="E12393" s="6"/>
      <c r="F12393" s="6"/>
    </row>
    <row r="12394" spans="1:6" x14ac:dyDescent="0.3">
      <c r="A12394" s="8" t="s">
        <v>24744</v>
      </c>
      <c r="B12394" s="8" t="s">
        <v>65990</v>
      </c>
      <c r="C12394" s="8" t="s">
        <v>24745</v>
      </c>
      <c r="D12394" s="8"/>
      <c r="E12394" s="6"/>
      <c r="F12394" s="6"/>
    </row>
    <row r="12395" spans="1:6" x14ac:dyDescent="0.3">
      <c r="A12395" s="8" t="s">
        <v>24746</v>
      </c>
      <c r="B12395" s="8" t="s">
        <v>65991</v>
      </c>
      <c r="C12395" s="8" t="s">
        <v>24747</v>
      </c>
      <c r="D12395" s="8"/>
      <c r="E12395" s="6"/>
      <c r="F12395" s="6"/>
    </row>
    <row r="12396" spans="1:6" x14ac:dyDescent="0.3">
      <c r="A12396" s="8" t="s">
        <v>24748</v>
      </c>
      <c r="B12396" s="8" t="s">
        <v>65992</v>
      </c>
      <c r="C12396" s="8" t="s">
        <v>24749</v>
      </c>
      <c r="D12396" s="8"/>
      <c r="E12396" s="6"/>
      <c r="F12396" s="6"/>
    </row>
    <row r="12397" spans="1:6" x14ac:dyDescent="0.3">
      <c r="A12397" s="8" t="s">
        <v>24750</v>
      </c>
      <c r="B12397" s="8" t="s">
        <v>65993</v>
      </c>
      <c r="C12397" s="8" t="s">
        <v>24751</v>
      </c>
      <c r="D12397" s="8"/>
      <c r="E12397" s="6"/>
      <c r="F12397" s="6"/>
    </row>
    <row r="12398" spans="1:6" x14ac:dyDescent="0.3">
      <c r="A12398" s="8" t="s">
        <v>24752</v>
      </c>
      <c r="B12398" s="8" t="s">
        <v>65994</v>
      </c>
      <c r="C12398" s="8" t="s">
        <v>24753</v>
      </c>
      <c r="D12398" s="8"/>
      <c r="E12398" s="6"/>
      <c r="F12398" s="6"/>
    </row>
    <row r="12399" spans="1:6" x14ac:dyDescent="0.3">
      <c r="A12399" s="8" t="s">
        <v>24754</v>
      </c>
      <c r="B12399" s="8" t="s">
        <v>65995</v>
      </c>
      <c r="C12399" s="8" t="s">
        <v>24755</v>
      </c>
      <c r="D12399" s="8"/>
      <c r="E12399" s="6"/>
      <c r="F12399" s="6"/>
    </row>
    <row r="12400" spans="1:6" x14ac:dyDescent="0.3">
      <c r="A12400" s="8" t="s">
        <v>24756</v>
      </c>
      <c r="B12400" s="8" t="s">
        <v>65996</v>
      </c>
      <c r="C12400" s="8" t="s">
        <v>24757</v>
      </c>
      <c r="D12400" s="8"/>
      <c r="E12400" s="6"/>
      <c r="F12400" s="6"/>
    </row>
    <row r="12401" spans="1:6" x14ac:dyDescent="0.3">
      <c r="A12401" s="8" t="s">
        <v>24758</v>
      </c>
      <c r="B12401" s="8" t="s">
        <v>65997</v>
      </c>
      <c r="C12401" s="8" t="s">
        <v>24759</v>
      </c>
      <c r="D12401" s="8"/>
      <c r="E12401" s="6"/>
      <c r="F12401" s="6"/>
    </row>
    <row r="12402" spans="1:6" x14ac:dyDescent="0.3">
      <c r="A12402" s="8" t="s">
        <v>24760</v>
      </c>
      <c r="B12402" s="8" t="s">
        <v>65998</v>
      </c>
      <c r="C12402" s="8" t="s">
        <v>24761</v>
      </c>
      <c r="D12402" s="8"/>
      <c r="E12402" s="6"/>
      <c r="F12402" s="6"/>
    </row>
    <row r="12403" spans="1:6" x14ac:dyDescent="0.3">
      <c r="A12403" s="8" t="s">
        <v>24762</v>
      </c>
      <c r="B12403" s="8" t="s">
        <v>65999</v>
      </c>
      <c r="C12403" s="8" t="s">
        <v>24763</v>
      </c>
      <c r="D12403" s="8"/>
      <c r="E12403" s="6"/>
      <c r="F12403" s="6"/>
    </row>
    <row r="12404" spans="1:6" x14ac:dyDescent="0.3">
      <c r="A12404" s="8" t="s">
        <v>24764</v>
      </c>
      <c r="B12404" s="8" t="s">
        <v>66000</v>
      </c>
      <c r="C12404" s="8" t="s">
        <v>24765</v>
      </c>
      <c r="D12404" s="8"/>
      <c r="E12404" s="6"/>
      <c r="F12404" s="6"/>
    </row>
    <row r="12405" spans="1:6" x14ac:dyDescent="0.3">
      <c r="A12405" s="8" t="s">
        <v>24766</v>
      </c>
      <c r="B12405" s="8" t="s">
        <v>66001</v>
      </c>
      <c r="C12405" s="8" t="s">
        <v>24767</v>
      </c>
      <c r="D12405" s="8"/>
      <c r="E12405" s="6"/>
      <c r="F12405" s="6"/>
    </row>
    <row r="12406" spans="1:6" x14ac:dyDescent="0.3">
      <c r="A12406" s="8" t="s">
        <v>24768</v>
      </c>
      <c r="B12406" s="8" t="s">
        <v>66002</v>
      </c>
      <c r="C12406" s="8" t="s">
        <v>24769</v>
      </c>
      <c r="D12406" s="8"/>
      <c r="E12406" s="6"/>
      <c r="F12406" s="6"/>
    </row>
    <row r="12407" spans="1:6" x14ac:dyDescent="0.3">
      <c r="A12407" s="8" t="s">
        <v>24770</v>
      </c>
      <c r="B12407" s="8" t="s">
        <v>66003</v>
      </c>
      <c r="C12407" s="8" t="s">
        <v>24771</v>
      </c>
      <c r="D12407" s="8"/>
      <c r="E12407" s="6"/>
      <c r="F12407" s="6"/>
    </row>
    <row r="12408" spans="1:6" x14ac:dyDescent="0.3">
      <c r="A12408" s="8" t="s">
        <v>24772</v>
      </c>
      <c r="B12408" s="8" t="s">
        <v>66004</v>
      </c>
      <c r="C12408" s="8" t="s">
        <v>24773</v>
      </c>
      <c r="D12408" s="8"/>
      <c r="E12408" s="6"/>
      <c r="F12408" s="6"/>
    </row>
    <row r="12409" spans="1:6" x14ac:dyDescent="0.3">
      <c r="A12409" s="8" t="s">
        <v>24774</v>
      </c>
      <c r="B12409" s="8" t="s">
        <v>66005</v>
      </c>
      <c r="C12409" s="8" t="s">
        <v>24775</v>
      </c>
      <c r="D12409" s="8"/>
      <c r="E12409" s="6"/>
      <c r="F12409" s="6"/>
    </row>
    <row r="12410" spans="1:6" x14ac:dyDescent="0.3">
      <c r="A12410" s="8" t="s">
        <v>24776</v>
      </c>
      <c r="B12410" s="8" t="s">
        <v>66006</v>
      </c>
      <c r="C12410" s="8" t="s">
        <v>24777</v>
      </c>
      <c r="D12410" s="8"/>
      <c r="E12410" s="6"/>
      <c r="F12410" s="6"/>
    </row>
    <row r="12411" spans="1:6" x14ac:dyDescent="0.3">
      <c r="A12411" s="8" t="s">
        <v>24778</v>
      </c>
      <c r="B12411" s="8" t="s">
        <v>66007</v>
      </c>
      <c r="C12411" s="8" t="s">
        <v>24779</v>
      </c>
      <c r="D12411" s="8"/>
      <c r="E12411" s="6"/>
      <c r="F12411" s="6"/>
    </row>
    <row r="12412" spans="1:6" x14ac:dyDescent="0.3">
      <c r="A12412" s="8" t="s">
        <v>24780</v>
      </c>
      <c r="B12412" s="8" t="s">
        <v>66008</v>
      </c>
      <c r="C12412" s="8" t="s">
        <v>24781</v>
      </c>
      <c r="D12412" s="8"/>
      <c r="E12412" s="6"/>
      <c r="F12412" s="6"/>
    </row>
    <row r="12413" spans="1:6" x14ac:dyDescent="0.3">
      <c r="A12413" s="8" t="s">
        <v>24782</v>
      </c>
      <c r="B12413" s="8" t="s">
        <v>66009</v>
      </c>
      <c r="C12413" s="8" t="s">
        <v>24783</v>
      </c>
      <c r="D12413" s="8"/>
      <c r="E12413" s="6"/>
      <c r="F12413" s="6"/>
    </row>
    <row r="12414" spans="1:6" x14ac:dyDescent="0.3">
      <c r="A12414" s="8" t="s">
        <v>24784</v>
      </c>
      <c r="B12414" s="8" t="s">
        <v>66010</v>
      </c>
      <c r="C12414" s="8" t="s">
        <v>24785</v>
      </c>
      <c r="D12414" s="8"/>
      <c r="E12414" s="6"/>
      <c r="F12414" s="6"/>
    </row>
    <row r="12415" spans="1:6" x14ac:dyDescent="0.3">
      <c r="A12415" s="8" t="s">
        <v>24786</v>
      </c>
      <c r="B12415" s="8" t="s">
        <v>66011</v>
      </c>
      <c r="C12415" s="8" t="s">
        <v>24787</v>
      </c>
      <c r="D12415" s="8"/>
      <c r="E12415" s="6"/>
      <c r="F12415" s="6"/>
    </row>
    <row r="12416" spans="1:6" x14ac:dyDescent="0.3">
      <c r="A12416" s="8" t="s">
        <v>24788</v>
      </c>
      <c r="B12416" s="8" t="s">
        <v>66012</v>
      </c>
      <c r="C12416" s="8" t="s">
        <v>24789</v>
      </c>
      <c r="D12416" s="8"/>
      <c r="E12416" s="6"/>
      <c r="F12416" s="6"/>
    </row>
    <row r="12417" spans="1:6" x14ac:dyDescent="0.3">
      <c r="A12417" s="8" t="s">
        <v>24790</v>
      </c>
      <c r="B12417" s="8" t="s">
        <v>66013</v>
      </c>
      <c r="C12417" s="8" t="s">
        <v>24791</v>
      </c>
      <c r="D12417" s="8"/>
      <c r="E12417" s="6"/>
      <c r="F12417" s="6"/>
    </row>
    <row r="12418" spans="1:6" x14ac:dyDescent="0.3">
      <c r="A12418" s="8" t="s">
        <v>24792</v>
      </c>
      <c r="B12418" s="8" t="s">
        <v>66014</v>
      </c>
      <c r="C12418" s="8" t="s">
        <v>24793</v>
      </c>
      <c r="D12418" s="8"/>
      <c r="E12418" s="6"/>
      <c r="F12418" s="6"/>
    </row>
    <row r="12419" spans="1:6" x14ac:dyDescent="0.3">
      <c r="A12419" s="8" t="s">
        <v>24794</v>
      </c>
      <c r="B12419" s="8" t="s">
        <v>66015</v>
      </c>
      <c r="C12419" s="8" t="s">
        <v>24795</v>
      </c>
      <c r="D12419" s="8"/>
      <c r="E12419" s="6"/>
      <c r="F12419" s="6"/>
    </row>
    <row r="12420" spans="1:6" x14ac:dyDescent="0.3">
      <c r="A12420" s="8" t="s">
        <v>24796</v>
      </c>
      <c r="B12420" s="8" t="s">
        <v>66016</v>
      </c>
      <c r="C12420" s="8" t="s">
        <v>24797</v>
      </c>
      <c r="D12420" s="8"/>
      <c r="E12420" s="6"/>
      <c r="F12420" s="6"/>
    </row>
    <row r="12421" spans="1:6" x14ac:dyDescent="0.3">
      <c r="A12421" s="8" t="s">
        <v>24798</v>
      </c>
      <c r="B12421" s="8" t="s">
        <v>66017</v>
      </c>
      <c r="C12421" s="8" t="s">
        <v>24799</v>
      </c>
      <c r="D12421" s="8"/>
      <c r="E12421" s="6"/>
      <c r="F12421" s="6"/>
    </row>
    <row r="12422" spans="1:6" x14ac:dyDescent="0.3">
      <c r="A12422" s="8" t="s">
        <v>24800</v>
      </c>
      <c r="B12422" s="8" t="s">
        <v>66018</v>
      </c>
      <c r="C12422" s="8" t="s">
        <v>24801</v>
      </c>
      <c r="D12422" s="8"/>
      <c r="E12422" s="6"/>
      <c r="F12422" s="6"/>
    </row>
    <row r="12423" spans="1:6" x14ac:dyDescent="0.3">
      <c r="A12423" s="8" t="s">
        <v>24802</v>
      </c>
      <c r="B12423" s="8" t="s">
        <v>66019</v>
      </c>
      <c r="C12423" s="8" t="s">
        <v>24803</v>
      </c>
      <c r="D12423" s="8"/>
      <c r="E12423" s="6"/>
      <c r="F12423" s="6"/>
    </row>
    <row r="12424" spans="1:6" x14ac:dyDescent="0.3">
      <c r="A12424" s="8" t="s">
        <v>24804</v>
      </c>
      <c r="B12424" s="8" t="s">
        <v>66020</v>
      </c>
      <c r="C12424" s="8" t="s">
        <v>24805</v>
      </c>
      <c r="D12424" s="8"/>
      <c r="E12424" s="6"/>
      <c r="F12424" s="6"/>
    </row>
    <row r="12425" spans="1:6" x14ac:dyDescent="0.3">
      <c r="A12425" s="8" t="s">
        <v>24806</v>
      </c>
      <c r="B12425" s="8" t="s">
        <v>66021</v>
      </c>
      <c r="C12425" s="8" t="s">
        <v>24807</v>
      </c>
      <c r="D12425" s="8"/>
      <c r="E12425" s="6"/>
      <c r="F12425" s="6"/>
    </row>
    <row r="12426" spans="1:6" x14ac:dyDescent="0.3">
      <c r="A12426" s="8" t="s">
        <v>24808</v>
      </c>
      <c r="B12426" s="8" t="s">
        <v>66022</v>
      </c>
      <c r="C12426" s="8" t="s">
        <v>24809</v>
      </c>
      <c r="D12426" s="8"/>
      <c r="E12426" s="6"/>
      <c r="F12426" s="6"/>
    </row>
    <row r="12427" spans="1:6" x14ac:dyDescent="0.3">
      <c r="A12427" s="8" t="s">
        <v>24810</v>
      </c>
      <c r="B12427" s="8" t="s">
        <v>66023</v>
      </c>
      <c r="C12427" s="8" t="s">
        <v>24811</v>
      </c>
      <c r="D12427" s="8"/>
      <c r="E12427" s="6"/>
      <c r="F12427" s="6"/>
    </row>
    <row r="12428" spans="1:6" x14ac:dyDescent="0.3">
      <c r="A12428" s="8" t="s">
        <v>24812</v>
      </c>
      <c r="B12428" s="8" t="s">
        <v>66024</v>
      </c>
      <c r="C12428" s="8" t="s">
        <v>24813</v>
      </c>
      <c r="D12428" s="8"/>
      <c r="E12428" s="6"/>
      <c r="F12428" s="6"/>
    </row>
    <row r="12429" spans="1:6" x14ac:dyDescent="0.3">
      <c r="A12429" s="8" t="s">
        <v>24814</v>
      </c>
      <c r="B12429" s="8" t="s">
        <v>66025</v>
      </c>
      <c r="C12429" s="8" t="s">
        <v>24815</v>
      </c>
      <c r="D12429" s="8"/>
      <c r="E12429" s="6"/>
      <c r="F12429" s="6"/>
    </row>
    <row r="12430" spans="1:6" x14ac:dyDescent="0.3">
      <c r="A12430" s="8" t="s">
        <v>24816</v>
      </c>
      <c r="B12430" s="8" t="s">
        <v>66026</v>
      </c>
      <c r="C12430" s="8" t="s">
        <v>24817</v>
      </c>
      <c r="D12430" s="8"/>
      <c r="E12430" s="6"/>
      <c r="F12430" s="6"/>
    </row>
    <row r="12431" spans="1:6" x14ac:dyDescent="0.3">
      <c r="A12431" s="8" t="s">
        <v>24818</v>
      </c>
      <c r="B12431" s="8" t="s">
        <v>66027</v>
      </c>
      <c r="C12431" s="8" t="s">
        <v>24819</v>
      </c>
      <c r="D12431" s="8"/>
      <c r="E12431" s="6"/>
      <c r="F12431" s="6"/>
    </row>
    <row r="12432" spans="1:6" x14ac:dyDescent="0.3">
      <c r="A12432" s="8" t="s">
        <v>24820</v>
      </c>
      <c r="B12432" s="8" t="s">
        <v>66028</v>
      </c>
      <c r="C12432" s="8" t="s">
        <v>24821</v>
      </c>
      <c r="D12432" s="8"/>
      <c r="E12432" s="6"/>
      <c r="F12432" s="6"/>
    </row>
    <row r="12433" spans="1:6" x14ac:dyDescent="0.3">
      <c r="A12433" s="8" t="s">
        <v>24822</v>
      </c>
      <c r="B12433" s="8" t="s">
        <v>66029</v>
      </c>
      <c r="C12433" s="8" t="s">
        <v>24823</v>
      </c>
      <c r="D12433" s="8"/>
      <c r="E12433" s="6"/>
      <c r="F12433" s="6"/>
    </row>
    <row r="12434" spans="1:6" x14ac:dyDescent="0.3">
      <c r="A12434" s="8" t="s">
        <v>24824</v>
      </c>
      <c r="B12434" s="8" t="s">
        <v>66030</v>
      </c>
      <c r="C12434" s="8" t="s">
        <v>24825</v>
      </c>
      <c r="D12434" s="8"/>
      <c r="E12434" s="6"/>
      <c r="F12434" s="6"/>
    </row>
    <row r="12435" spans="1:6" x14ac:dyDescent="0.3">
      <c r="A12435" s="8" t="s">
        <v>24826</v>
      </c>
      <c r="B12435" s="8" t="s">
        <v>66031</v>
      </c>
      <c r="C12435" s="8" t="s">
        <v>24827</v>
      </c>
      <c r="D12435" s="8"/>
      <c r="E12435" s="6"/>
      <c r="F12435" s="6"/>
    </row>
    <row r="12436" spans="1:6" x14ac:dyDescent="0.3">
      <c r="A12436" s="8" t="s">
        <v>24828</v>
      </c>
      <c r="B12436" s="8" t="s">
        <v>66032</v>
      </c>
      <c r="C12436" s="8" t="s">
        <v>24829</v>
      </c>
      <c r="D12436" s="8"/>
      <c r="E12436" s="6"/>
      <c r="F12436" s="6"/>
    </row>
    <row r="12437" spans="1:6" x14ac:dyDescent="0.3">
      <c r="A12437" s="8" t="s">
        <v>24830</v>
      </c>
      <c r="B12437" s="8" t="s">
        <v>66033</v>
      </c>
      <c r="C12437" s="8" t="s">
        <v>24831</v>
      </c>
      <c r="D12437" s="8"/>
      <c r="E12437" s="6"/>
      <c r="F12437" s="6"/>
    </row>
    <row r="12438" spans="1:6" x14ac:dyDescent="0.3">
      <c r="A12438" s="8" t="s">
        <v>24832</v>
      </c>
      <c r="B12438" s="8" t="s">
        <v>66034</v>
      </c>
      <c r="C12438" s="8" t="s">
        <v>24833</v>
      </c>
      <c r="D12438" s="8"/>
      <c r="E12438" s="6"/>
      <c r="F12438" s="6"/>
    </row>
    <row r="12439" spans="1:6" x14ac:dyDescent="0.3">
      <c r="A12439" s="8" t="s">
        <v>24834</v>
      </c>
      <c r="B12439" s="8" t="s">
        <v>66035</v>
      </c>
      <c r="C12439" s="8" t="s">
        <v>24835</v>
      </c>
      <c r="D12439" s="8"/>
      <c r="E12439" s="6"/>
      <c r="F12439" s="6"/>
    </row>
    <row r="12440" spans="1:6" x14ac:dyDescent="0.3">
      <c r="A12440" s="8" t="s">
        <v>24836</v>
      </c>
      <c r="B12440" s="8" t="s">
        <v>66036</v>
      </c>
      <c r="C12440" s="8" t="s">
        <v>24837</v>
      </c>
      <c r="D12440" s="8"/>
      <c r="E12440" s="6"/>
      <c r="F12440" s="6"/>
    </row>
    <row r="12441" spans="1:6" x14ac:dyDescent="0.3">
      <c r="A12441" s="8" t="s">
        <v>24838</v>
      </c>
      <c r="B12441" s="8" t="s">
        <v>66037</v>
      </c>
      <c r="C12441" s="8" t="s">
        <v>24839</v>
      </c>
      <c r="D12441" s="8"/>
      <c r="E12441" s="6"/>
      <c r="F12441" s="6"/>
    </row>
    <row r="12442" spans="1:6" x14ac:dyDescent="0.3">
      <c r="A12442" s="8" t="s">
        <v>24840</v>
      </c>
      <c r="B12442" s="8" t="s">
        <v>66038</v>
      </c>
      <c r="C12442" s="8" t="s">
        <v>24841</v>
      </c>
      <c r="D12442" s="8"/>
      <c r="E12442" s="6"/>
      <c r="F12442" s="6"/>
    </row>
    <row r="12443" spans="1:6" x14ac:dyDescent="0.3">
      <c r="A12443" s="8" t="s">
        <v>24842</v>
      </c>
      <c r="B12443" s="8" t="s">
        <v>66039</v>
      </c>
      <c r="C12443" s="8" t="s">
        <v>24843</v>
      </c>
      <c r="D12443" s="8"/>
      <c r="E12443" s="6"/>
      <c r="F12443" s="6"/>
    </row>
    <row r="12444" spans="1:6" x14ac:dyDescent="0.3">
      <c r="A12444" s="8" t="s">
        <v>24844</v>
      </c>
      <c r="B12444" s="8" t="s">
        <v>66040</v>
      </c>
      <c r="C12444" s="8" t="s">
        <v>24845</v>
      </c>
      <c r="D12444" s="8"/>
      <c r="E12444" s="6"/>
      <c r="F12444" s="6"/>
    </row>
    <row r="12445" spans="1:6" x14ac:dyDescent="0.3">
      <c r="A12445" s="8" t="s">
        <v>24846</v>
      </c>
      <c r="B12445" s="8" t="s">
        <v>66041</v>
      </c>
      <c r="C12445" s="8" t="s">
        <v>24847</v>
      </c>
      <c r="D12445" s="8"/>
      <c r="E12445" s="6"/>
      <c r="F12445" s="6"/>
    </row>
    <row r="12446" spans="1:6" x14ac:dyDescent="0.3">
      <c r="A12446" s="8" t="s">
        <v>24848</v>
      </c>
      <c r="B12446" s="8" t="s">
        <v>66042</v>
      </c>
      <c r="C12446" s="8" t="s">
        <v>24849</v>
      </c>
      <c r="D12446" s="8"/>
      <c r="E12446" s="6"/>
      <c r="F12446" s="6"/>
    </row>
    <row r="12447" spans="1:6" x14ac:dyDescent="0.3">
      <c r="A12447" s="8" t="s">
        <v>24850</v>
      </c>
      <c r="B12447" s="8" t="s">
        <v>66043</v>
      </c>
      <c r="C12447" s="8" t="s">
        <v>24851</v>
      </c>
      <c r="D12447" s="8"/>
      <c r="E12447" s="6"/>
      <c r="F12447" s="6"/>
    </row>
    <row r="12448" spans="1:6" x14ac:dyDescent="0.3">
      <c r="A12448" s="8" t="s">
        <v>24852</v>
      </c>
      <c r="B12448" s="8" t="s">
        <v>66044</v>
      </c>
      <c r="C12448" s="8" t="s">
        <v>24853</v>
      </c>
      <c r="D12448" s="8"/>
      <c r="E12448" s="6"/>
      <c r="F12448" s="6"/>
    </row>
    <row r="12449" spans="1:6" x14ac:dyDescent="0.3">
      <c r="A12449" s="8" t="s">
        <v>24854</v>
      </c>
      <c r="B12449" s="8" t="s">
        <v>66045</v>
      </c>
      <c r="C12449" s="8" t="s">
        <v>24855</v>
      </c>
      <c r="D12449" s="8"/>
      <c r="E12449" s="6"/>
      <c r="F12449" s="6"/>
    </row>
    <row r="12450" spans="1:6" x14ac:dyDescent="0.3">
      <c r="A12450" s="8" t="s">
        <v>24856</v>
      </c>
      <c r="B12450" s="8" t="s">
        <v>66046</v>
      </c>
      <c r="C12450" s="8" t="s">
        <v>24857</v>
      </c>
      <c r="D12450" s="8"/>
      <c r="E12450" s="6"/>
      <c r="F12450" s="6"/>
    </row>
    <row r="12451" spans="1:6" x14ac:dyDescent="0.3">
      <c r="A12451" s="8" t="s">
        <v>24858</v>
      </c>
      <c r="B12451" s="8" t="s">
        <v>66047</v>
      </c>
      <c r="C12451" s="8" t="s">
        <v>24859</v>
      </c>
      <c r="D12451" s="8"/>
      <c r="E12451" s="6"/>
      <c r="F12451" s="6"/>
    </row>
    <row r="12452" spans="1:6" x14ac:dyDescent="0.3">
      <c r="A12452" s="8" t="s">
        <v>24860</v>
      </c>
      <c r="B12452" s="8" t="s">
        <v>66048</v>
      </c>
      <c r="C12452" s="8" t="s">
        <v>24861</v>
      </c>
      <c r="D12452" s="8"/>
      <c r="E12452" s="6"/>
      <c r="F12452" s="6"/>
    </row>
    <row r="12453" spans="1:6" x14ac:dyDescent="0.3">
      <c r="A12453" s="8" t="s">
        <v>24862</v>
      </c>
      <c r="B12453" s="8" t="s">
        <v>66049</v>
      </c>
      <c r="C12453" s="8" t="s">
        <v>24863</v>
      </c>
      <c r="D12453" s="8"/>
      <c r="E12453" s="6"/>
      <c r="F12453" s="6"/>
    </row>
    <row r="12454" spans="1:6" x14ac:dyDescent="0.3">
      <c r="A12454" s="8" t="s">
        <v>24864</v>
      </c>
      <c r="B12454" s="8" t="s">
        <v>66050</v>
      </c>
      <c r="C12454" s="8" t="s">
        <v>24865</v>
      </c>
      <c r="D12454" s="8"/>
      <c r="E12454" s="6"/>
      <c r="F12454" s="6"/>
    </row>
    <row r="12455" spans="1:6" x14ac:dyDescent="0.3">
      <c r="A12455" s="8" t="s">
        <v>24866</v>
      </c>
      <c r="B12455" s="8" t="s">
        <v>66051</v>
      </c>
      <c r="C12455" s="8" t="s">
        <v>24867</v>
      </c>
      <c r="D12455" s="8"/>
      <c r="E12455" s="6"/>
      <c r="F12455" s="6"/>
    </row>
    <row r="12456" spans="1:6" x14ac:dyDescent="0.3">
      <c r="A12456" s="8" t="s">
        <v>24868</v>
      </c>
      <c r="B12456" s="8" t="s">
        <v>66052</v>
      </c>
      <c r="C12456" s="8" t="s">
        <v>24869</v>
      </c>
      <c r="D12456" s="8"/>
      <c r="E12456" s="6"/>
      <c r="F12456" s="6"/>
    </row>
    <row r="12457" spans="1:6" x14ac:dyDescent="0.3">
      <c r="A12457" s="8" t="s">
        <v>24870</v>
      </c>
      <c r="B12457" s="8" t="s">
        <v>66053</v>
      </c>
      <c r="C12457" s="8" t="s">
        <v>24871</v>
      </c>
      <c r="D12457" s="8"/>
      <c r="E12457" s="6"/>
      <c r="F12457" s="6"/>
    </row>
    <row r="12458" spans="1:6" x14ac:dyDescent="0.3">
      <c r="A12458" s="8" t="s">
        <v>24872</v>
      </c>
      <c r="B12458" s="8" t="s">
        <v>66054</v>
      </c>
      <c r="C12458" s="8" t="s">
        <v>24873</v>
      </c>
      <c r="D12458" s="8"/>
      <c r="E12458" s="6"/>
      <c r="F12458" s="6"/>
    </row>
    <row r="12459" spans="1:6" x14ac:dyDescent="0.3">
      <c r="A12459" s="8" t="s">
        <v>24874</v>
      </c>
      <c r="B12459" s="8" t="s">
        <v>66055</v>
      </c>
      <c r="C12459" s="8" t="s">
        <v>24875</v>
      </c>
      <c r="D12459" s="8"/>
      <c r="E12459" s="6"/>
      <c r="F12459" s="6"/>
    </row>
    <row r="12460" spans="1:6" x14ac:dyDescent="0.3">
      <c r="A12460" s="8" t="s">
        <v>24876</v>
      </c>
      <c r="B12460" s="8" t="s">
        <v>66056</v>
      </c>
      <c r="C12460" s="8" t="s">
        <v>24877</v>
      </c>
      <c r="D12460" s="8"/>
      <c r="E12460" s="6"/>
      <c r="F12460" s="6"/>
    </row>
    <row r="12461" spans="1:6" x14ac:dyDescent="0.3">
      <c r="A12461" s="8" t="s">
        <v>24878</v>
      </c>
      <c r="B12461" s="8" t="s">
        <v>66057</v>
      </c>
      <c r="C12461" s="8" t="s">
        <v>24879</v>
      </c>
      <c r="D12461" s="8"/>
      <c r="E12461" s="6"/>
      <c r="F12461" s="6"/>
    </row>
    <row r="12462" spans="1:6" x14ac:dyDescent="0.3">
      <c r="A12462" s="8" t="s">
        <v>24880</v>
      </c>
      <c r="B12462" s="8" t="s">
        <v>66058</v>
      </c>
      <c r="C12462" s="8" t="s">
        <v>24881</v>
      </c>
      <c r="D12462" s="8"/>
      <c r="E12462" s="6"/>
      <c r="F12462" s="6"/>
    </row>
    <row r="12463" spans="1:6" x14ac:dyDescent="0.3">
      <c r="A12463" s="8" t="s">
        <v>24882</v>
      </c>
      <c r="B12463" s="8" t="s">
        <v>66059</v>
      </c>
      <c r="C12463" s="8" t="s">
        <v>24883</v>
      </c>
      <c r="D12463" s="8"/>
      <c r="E12463" s="6"/>
      <c r="F12463" s="6"/>
    </row>
    <row r="12464" spans="1:6" x14ac:dyDescent="0.3">
      <c r="A12464" s="8" t="s">
        <v>24884</v>
      </c>
      <c r="B12464" s="8" t="s">
        <v>66060</v>
      </c>
      <c r="C12464" s="8" t="s">
        <v>24885</v>
      </c>
      <c r="D12464" s="8"/>
      <c r="E12464" s="6"/>
      <c r="F12464" s="6"/>
    </row>
    <row r="12465" spans="1:6" x14ac:dyDescent="0.3">
      <c r="A12465" s="8" t="s">
        <v>24886</v>
      </c>
      <c r="B12465" s="8" t="s">
        <v>66061</v>
      </c>
      <c r="C12465" s="8" t="s">
        <v>24887</v>
      </c>
      <c r="D12465" s="8"/>
      <c r="E12465" s="6"/>
      <c r="F12465" s="6"/>
    </row>
    <row r="12466" spans="1:6" x14ac:dyDescent="0.3">
      <c r="A12466" s="8" t="s">
        <v>24888</v>
      </c>
      <c r="B12466" s="8" t="s">
        <v>66062</v>
      </c>
      <c r="C12466" s="8" t="s">
        <v>24889</v>
      </c>
      <c r="D12466" s="8"/>
      <c r="E12466" s="6"/>
      <c r="F12466" s="6"/>
    </row>
    <row r="12467" spans="1:6" x14ac:dyDescent="0.3">
      <c r="A12467" s="8" t="s">
        <v>24890</v>
      </c>
      <c r="B12467" s="8" t="s">
        <v>66063</v>
      </c>
      <c r="C12467" s="8" t="s">
        <v>24891</v>
      </c>
      <c r="D12467" s="8"/>
      <c r="E12467" s="6"/>
      <c r="F12467" s="6"/>
    </row>
    <row r="12468" spans="1:6" x14ac:dyDescent="0.3">
      <c r="A12468" s="8" t="s">
        <v>24892</v>
      </c>
      <c r="B12468" s="8" t="s">
        <v>66064</v>
      </c>
      <c r="C12468" s="8" t="s">
        <v>24893</v>
      </c>
      <c r="D12468" s="8"/>
      <c r="E12468" s="6"/>
      <c r="F12468" s="6"/>
    </row>
    <row r="12469" spans="1:6" x14ac:dyDescent="0.3">
      <c r="A12469" s="8" t="s">
        <v>24894</v>
      </c>
      <c r="B12469" s="8" t="s">
        <v>66065</v>
      </c>
      <c r="C12469" s="8" t="s">
        <v>24895</v>
      </c>
      <c r="D12469" s="8"/>
      <c r="E12469" s="6"/>
      <c r="F12469" s="6"/>
    </row>
    <row r="12470" spans="1:6" x14ac:dyDescent="0.3">
      <c r="A12470" s="8" t="s">
        <v>24896</v>
      </c>
      <c r="B12470" s="8" t="s">
        <v>66066</v>
      </c>
      <c r="C12470" s="8" t="s">
        <v>24897</v>
      </c>
      <c r="D12470" s="8"/>
      <c r="E12470" s="6"/>
      <c r="F12470" s="6"/>
    </row>
    <row r="12471" spans="1:6" x14ac:dyDescent="0.3">
      <c r="A12471" s="8" t="s">
        <v>24898</v>
      </c>
      <c r="B12471" s="8" t="s">
        <v>66067</v>
      </c>
      <c r="C12471" s="8" t="s">
        <v>24899</v>
      </c>
      <c r="D12471" s="8"/>
      <c r="E12471" s="6"/>
      <c r="F12471" s="6"/>
    </row>
    <row r="12472" spans="1:6" x14ac:dyDescent="0.3">
      <c r="A12472" s="8" t="s">
        <v>24900</v>
      </c>
      <c r="B12472" s="8" t="s">
        <v>66068</v>
      </c>
      <c r="C12472" s="8" t="s">
        <v>24901</v>
      </c>
      <c r="D12472" s="8"/>
      <c r="E12472" s="6"/>
      <c r="F12472" s="6"/>
    </row>
    <row r="12473" spans="1:6" x14ac:dyDescent="0.3">
      <c r="A12473" s="8" t="s">
        <v>24902</v>
      </c>
      <c r="B12473" s="8" t="s">
        <v>66069</v>
      </c>
      <c r="C12473" s="8" t="s">
        <v>24903</v>
      </c>
      <c r="D12473" s="8"/>
      <c r="E12473" s="6"/>
      <c r="F12473" s="6"/>
    </row>
    <row r="12474" spans="1:6" x14ac:dyDescent="0.3">
      <c r="A12474" s="8" t="s">
        <v>24904</v>
      </c>
      <c r="B12474" s="8" t="s">
        <v>66070</v>
      </c>
      <c r="C12474" s="8" t="s">
        <v>24905</v>
      </c>
      <c r="D12474" s="8"/>
      <c r="E12474" s="6"/>
      <c r="F12474" s="6"/>
    </row>
    <row r="12475" spans="1:6" x14ac:dyDescent="0.3">
      <c r="A12475" s="8" t="s">
        <v>24906</v>
      </c>
      <c r="B12475" s="8" t="s">
        <v>66071</v>
      </c>
      <c r="C12475" s="8" t="s">
        <v>24907</v>
      </c>
      <c r="D12475" s="8"/>
      <c r="E12475" s="6"/>
      <c r="F12475" s="6"/>
    </row>
    <row r="12476" spans="1:6" x14ac:dyDescent="0.3">
      <c r="A12476" s="8" t="s">
        <v>24908</v>
      </c>
      <c r="B12476" s="8" t="s">
        <v>66072</v>
      </c>
      <c r="C12476" s="8" t="s">
        <v>24909</v>
      </c>
      <c r="D12476" s="8"/>
      <c r="E12476" s="6"/>
      <c r="F12476" s="6"/>
    </row>
    <row r="12477" spans="1:6" x14ac:dyDescent="0.3">
      <c r="A12477" s="8" t="s">
        <v>24910</v>
      </c>
      <c r="B12477" s="8" t="s">
        <v>66073</v>
      </c>
      <c r="C12477" s="8" t="s">
        <v>24911</v>
      </c>
      <c r="D12477" s="8"/>
      <c r="E12477" s="6"/>
      <c r="F12477" s="6"/>
    </row>
    <row r="12478" spans="1:6" x14ac:dyDescent="0.3">
      <c r="A12478" s="8" t="s">
        <v>24912</v>
      </c>
      <c r="B12478" s="8" t="s">
        <v>66074</v>
      </c>
      <c r="C12478" s="8" t="s">
        <v>24913</v>
      </c>
      <c r="D12478" s="8"/>
      <c r="E12478" s="6"/>
      <c r="F12478" s="6"/>
    </row>
    <row r="12479" spans="1:6" x14ac:dyDescent="0.3">
      <c r="A12479" s="8" t="s">
        <v>24914</v>
      </c>
      <c r="B12479" s="8" t="s">
        <v>66075</v>
      </c>
      <c r="C12479" s="8" t="s">
        <v>24915</v>
      </c>
      <c r="D12479" s="8"/>
      <c r="E12479" s="6"/>
      <c r="F12479" s="6"/>
    </row>
    <row r="12480" spans="1:6" x14ac:dyDescent="0.3">
      <c r="A12480" s="8" t="s">
        <v>24916</v>
      </c>
      <c r="B12480" s="8" t="s">
        <v>66076</v>
      </c>
      <c r="C12480" s="8" t="s">
        <v>24917</v>
      </c>
      <c r="D12480" s="8"/>
      <c r="E12480" s="6"/>
      <c r="F12480" s="6"/>
    </row>
    <row r="12481" spans="1:6" x14ac:dyDescent="0.3">
      <c r="A12481" s="8" t="s">
        <v>24918</v>
      </c>
      <c r="B12481" s="8" t="s">
        <v>66077</v>
      </c>
      <c r="C12481" s="8" t="s">
        <v>24919</v>
      </c>
      <c r="D12481" s="8"/>
      <c r="E12481" s="6"/>
      <c r="F12481" s="6"/>
    </row>
    <row r="12482" spans="1:6" x14ac:dyDescent="0.3">
      <c r="A12482" s="8" t="s">
        <v>24920</v>
      </c>
      <c r="B12482" s="8" t="s">
        <v>66078</v>
      </c>
      <c r="C12482" s="8" t="s">
        <v>24921</v>
      </c>
      <c r="D12482" s="8"/>
      <c r="E12482" s="6"/>
      <c r="F12482" s="6"/>
    </row>
    <row r="12483" spans="1:6" x14ac:dyDescent="0.3">
      <c r="A12483" s="8" t="s">
        <v>24922</v>
      </c>
      <c r="B12483" s="8" t="s">
        <v>66079</v>
      </c>
      <c r="C12483" s="8" t="s">
        <v>24923</v>
      </c>
      <c r="D12483" s="8"/>
      <c r="E12483" s="6"/>
      <c r="F12483" s="6"/>
    </row>
    <row r="12484" spans="1:6" x14ac:dyDescent="0.3">
      <c r="A12484" s="8" t="s">
        <v>24924</v>
      </c>
      <c r="B12484" s="8" t="s">
        <v>66080</v>
      </c>
      <c r="C12484" s="8" t="s">
        <v>24925</v>
      </c>
      <c r="D12484" s="8"/>
      <c r="E12484" s="6"/>
      <c r="F12484" s="6"/>
    </row>
    <row r="12485" spans="1:6" x14ac:dyDescent="0.3">
      <c r="A12485" s="8" t="s">
        <v>24926</v>
      </c>
      <c r="B12485" s="8" t="s">
        <v>66081</v>
      </c>
      <c r="C12485" s="8" t="s">
        <v>24927</v>
      </c>
      <c r="D12485" s="8"/>
      <c r="E12485" s="6"/>
      <c r="F12485" s="6"/>
    </row>
    <row r="12486" spans="1:6" x14ac:dyDescent="0.3">
      <c r="A12486" s="8" t="s">
        <v>24928</v>
      </c>
      <c r="B12486" s="8" t="s">
        <v>66082</v>
      </c>
      <c r="C12486" s="8" t="s">
        <v>24929</v>
      </c>
      <c r="D12486" s="8"/>
      <c r="E12486" s="6"/>
      <c r="F12486" s="6"/>
    </row>
    <row r="12487" spans="1:6" x14ac:dyDescent="0.3">
      <c r="A12487" s="8" t="s">
        <v>24930</v>
      </c>
      <c r="B12487" s="8" t="s">
        <v>66083</v>
      </c>
      <c r="C12487" s="8" t="s">
        <v>24931</v>
      </c>
      <c r="D12487" s="8"/>
      <c r="E12487" s="6"/>
      <c r="F12487" s="6"/>
    </row>
    <row r="12488" spans="1:6" x14ac:dyDescent="0.3">
      <c r="A12488" s="8" t="s">
        <v>24932</v>
      </c>
      <c r="B12488" s="8" t="s">
        <v>66084</v>
      </c>
      <c r="C12488" s="8" t="s">
        <v>24933</v>
      </c>
      <c r="D12488" s="8"/>
      <c r="E12488" s="6"/>
      <c r="F12488" s="6"/>
    </row>
    <row r="12489" spans="1:6" x14ac:dyDescent="0.3">
      <c r="A12489" s="8" t="s">
        <v>24934</v>
      </c>
      <c r="B12489" s="8" t="s">
        <v>66085</v>
      </c>
      <c r="C12489" s="8" t="s">
        <v>24935</v>
      </c>
      <c r="D12489" s="8"/>
      <c r="E12489" s="6"/>
      <c r="F12489" s="6"/>
    </row>
    <row r="12490" spans="1:6" x14ac:dyDescent="0.3">
      <c r="A12490" s="8" t="s">
        <v>24936</v>
      </c>
      <c r="B12490" s="8" t="s">
        <v>66086</v>
      </c>
      <c r="C12490" s="8" t="s">
        <v>24937</v>
      </c>
      <c r="D12490" s="8"/>
      <c r="E12490" s="6"/>
      <c r="F12490" s="6"/>
    </row>
    <row r="12491" spans="1:6" x14ac:dyDescent="0.3">
      <c r="A12491" s="8" t="s">
        <v>24938</v>
      </c>
      <c r="B12491" s="8" t="s">
        <v>66087</v>
      </c>
      <c r="C12491" s="8" t="s">
        <v>24939</v>
      </c>
      <c r="D12491" s="8"/>
      <c r="E12491" s="6"/>
      <c r="F12491" s="6"/>
    </row>
    <row r="12492" spans="1:6" x14ac:dyDescent="0.3">
      <c r="A12492" s="8" t="s">
        <v>24940</v>
      </c>
      <c r="B12492" s="8" t="s">
        <v>66088</v>
      </c>
      <c r="C12492" s="8" t="s">
        <v>24941</v>
      </c>
      <c r="D12492" s="8"/>
      <c r="E12492" s="6"/>
      <c r="F12492" s="6"/>
    </row>
    <row r="12493" spans="1:6" x14ac:dyDescent="0.3">
      <c r="A12493" s="8" t="s">
        <v>24942</v>
      </c>
      <c r="B12493" s="8" t="s">
        <v>66089</v>
      </c>
      <c r="C12493" s="8" t="s">
        <v>24943</v>
      </c>
      <c r="D12493" s="8"/>
      <c r="E12493" s="6"/>
      <c r="F12493" s="6"/>
    </row>
    <row r="12494" spans="1:6" x14ac:dyDescent="0.3">
      <c r="A12494" s="8" t="s">
        <v>24944</v>
      </c>
      <c r="B12494" s="8" t="s">
        <v>66090</v>
      </c>
      <c r="C12494" s="8" t="s">
        <v>24945</v>
      </c>
      <c r="D12494" s="8"/>
      <c r="E12494" s="6"/>
      <c r="F12494" s="6"/>
    </row>
    <row r="12495" spans="1:6" x14ac:dyDescent="0.3">
      <c r="A12495" s="8" t="s">
        <v>24946</v>
      </c>
      <c r="B12495" s="8" t="s">
        <v>66091</v>
      </c>
      <c r="C12495" s="8" t="s">
        <v>24947</v>
      </c>
      <c r="D12495" s="8"/>
      <c r="E12495" s="6"/>
      <c r="F12495" s="6"/>
    </row>
    <row r="12496" spans="1:6" x14ac:dyDescent="0.3">
      <c r="A12496" s="8" t="s">
        <v>24948</v>
      </c>
      <c r="B12496" s="8" t="s">
        <v>66092</v>
      </c>
      <c r="C12496" s="8" t="s">
        <v>24949</v>
      </c>
      <c r="D12496" s="8"/>
      <c r="E12496" s="6"/>
      <c r="F12496" s="6"/>
    </row>
    <row r="12497" spans="1:6" x14ac:dyDescent="0.3">
      <c r="A12497" s="8" t="s">
        <v>24950</v>
      </c>
      <c r="B12497" s="8" t="s">
        <v>66093</v>
      </c>
      <c r="C12497" s="8" t="s">
        <v>24951</v>
      </c>
      <c r="D12497" s="8"/>
      <c r="E12497" s="6"/>
      <c r="F12497" s="6"/>
    </row>
    <row r="12498" spans="1:6" x14ac:dyDescent="0.3">
      <c r="A12498" s="8" t="s">
        <v>24952</v>
      </c>
      <c r="B12498" s="8" t="s">
        <v>66094</v>
      </c>
      <c r="C12498" s="8" t="s">
        <v>24953</v>
      </c>
      <c r="D12498" s="8"/>
      <c r="E12498" s="6"/>
      <c r="F12498" s="6"/>
    </row>
    <row r="12499" spans="1:6" x14ac:dyDescent="0.3">
      <c r="A12499" s="8" t="s">
        <v>24954</v>
      </c>
      <c r="B12499" s="8" t="s">
        <v>66095</v>
      </c>
      <c r="C12499" s="8" t="s">
        <v>24955</v>
      </c>
      <c r="D12499" s="8"/>
      <c r="E12499" s="6"/>
      <c r="F12499" s="6"/>
    </row>
    <row r="12500" spans="1:6" x14ac:dyDescent="0.3">
      <c r="A12500" s="8" t="s">
        <v>24956</v>
      </c>
      <c r="B12500" s="8" t="s">
        <v>66096</v>
      </c>
      <c r="C12500" s="8" t="s">
        <v>24957</v>
      </c>
      <c r="D12500" s="8"/>
      <c r="E12500" s="6"/>
      <c r="F12500" s="6"/>
    </row>
    <row r="12501" spans="1:6" x14ac:dyDescent="0.3">
      <c r="A12501" s="8" t="s">
        <v>24958</v>
      </c>
      <c r="B12501" s="8" t="s">
        <v>66097</v>
      </c>
      <c r="C12501" s="8" t="s">
        <v>24959</v>
      </c>
      <c r="D12501" s="8"/>
      <c r="E12501" s="6"/>
      <c r="F12501" s="6"/>
    </row>
    <row r="12502" spans="1:6" x14ac:dyDescent="0.3">
      <c r="A12502" s="8" t="s">
        <v>24960</v>
      </c>
      <c r="B12502" s="8" t="s">
        <v>66098</v>
      </c>
      <c r="C12502" s="8" t="s">
        <v>24961</v>
      </c>
      <c r="D12502" s="8"/>
      <c r="E12502" s="6"/>
      <c r="F12502" s="6"/>
    </row>
    <row r="12503" spans="1:6" x14ac:dyDescent="0.3">
      <c r="A12503" s="8" t="s">
        <v>24962</v>
      </c>
      <c r="B12503" s="8" t="s">
        <v>66099</v>
      </c>
      <c r="C12503" s="8" t="s">
        <v>24963</v>
      </c>
      <c r="D12503" s="8"/>
      <c r="E12503" s="6"/>
      <c r="F12503" s="6"/>
    </row>
    <row r="12504" spans="1:6" x14ac:dyDescent="0.3">
      <c r="A12504" s="8" t="s">
        <v>24964</v>
      </c>
      <c r="B12504" s="8" t="s">
        <v>66100</v>
      </c>
      <c r="C12504" s="8" t="s">
        <v>24965</v>
      </c>
      <c r="D12504" s="8"/>
      <c r="E12504" s="6"/>
      <c r="F12504" s="6"/>
    </row>
    <row r="12505" spans="1:6" x14ac:dyDescent="0.3">
      <c r="A12505" s="8" t="s">
        <v>24966</v>
      </c>
      <c r="B12505" s="8" t="s">
        <v>66101</v>
      </c>
      <c r="C12505" s="8" t="s">
        <v>24967</v>
      </c>
      <c r="D12505" s="8"/>
      <c r="E12505" s="6"/>
      <c r="F12505" s="6"/>
    </row>
    <row r="12506" spans="1:6" x14ac:dyDescent="0.3">
      <c r="A12506" s="8" t="s">
        <v>24968</v>
      </c>
      <c r="B12506" s="8" t="s">
        <v>66102</v>
      </c>
      <c r="C12506" s="8" t="s">
        <v>24969</v>
      </c>
      <c r="D12506" s="8"/>
      <c r="E12506" s="6"/>
      <c r="F12506" s="6"/>
    </row>
    <row r="12507" spans="1:6" x14ac:dyDescent="0.3">
      <c r="A12507" s="8" t="s">
        <v>24970</v>
      </c>
      <c r="B12507" s="8" t="s">
        <v>66103</v>
      </c>
      <c r="C12507" s="8" t="s">
        <v>24971</v>
      </c>
      <c r="D12507" s="8"/>
      <c r="E12507" s="6"/>
      <c r="F12507" s="6"/>
    </row>
    <row r="12508" spans="1:6" x14ac:dyDescent="0.3">
      <c r="A12508" s="8" t="s">
        <v>24972</v>
      </c>
      <c r="B12508" s="8" t="s">
        <v>66104</v>
      </c>
      <c r="C12508" s="8" t="s">
        <v>24973</v>
      </c>
      <c r="D12508" s="8"/>
      <c r="E12508" s="6"/>
      <c r="F12508" s="6"/>
    </row>
    <row r="12509" spans="1:6" x14ac:dyDescent="0.3">
      <c r="A12509" s="8" t="s">
        <v>24974</v>
      </c>
      <c r="B12509" s="8" t="s">
        <v>66105</v>
      </c>
      <c r="C12509" s="8" t="s">
        <v>24975</v>
      </c>
      <c r="D12509" s="8"/>
      <c r="E12509" s="6"/>
      <c r="F12509" s="6"/>
    </row>
    <row r="12510" spans="1:6" x14ac:dyDescent="0.3">
      <c r="A12510" s="8" t="s">
        <v>24976</v>
      </c>
      <c r="B12510" s="8" t="s">
        <v>66106</v>
      </c>
      <c r="C12510" s="8" t="s">
        <v>24977</v>
      </c>
      <c r="D12510" s="8"/>
      <c r="E12510" s="6"/>
      <c r="F12510" s="6"/>
    </row>
    <row r="12511" spans="1:6" x14ac:dyDescent="0.3">
      <c r="A12511" s="8" t="s">
        <v>24978</v>
      </c>
      <c r="B12511" s="8" t="s">
        <v>66107</v>
      </c>
      <c r="C12511" s="8" t="s">
        <v>24979</v>
      </c>
      <c r="D12511" s="8"/>
      <c r="E12511" s="6"/>
      <c r="F12511" s="6"/>
    </row>
    <row r="12512" spans="1:6" x14ac:dyDescent="0.3">
      <c r="A12512" s="8" t="s">
        <v>24980</v>
      </c>
      <c r="B12512" s="8" t="s">
        <v>66108</v>
      </c>
      <c r="C12512" s="8" t="s">
        <v>24981</v>
      </c>
      <c r="D12512" s="8"/>
      <c r="E12512" s="6"/>
      <c r="F12512" s="6"/>
    </row>
    <row r="12513" spans="1:6" x14ac:dyDescent="0.3">
      <c r="A12513" s="8" t="s">
        <v>24982</v>
      </c>
      <c r="B12513" s="8" t="s">
        <v>66109</v>
      </c>
      <c r="C12513" s="8" t="s">
        <v>24983</v>
      </c>
      <c r="D12513" s="8"/>
      <c r="E12513" s="6"/>
      <c r="F12513" s="6"/>
    </row>
    <row r="12514" spans="1:6" x14ac:dyDescent="0.3">
      <c r="A12514" s="8" t="s">
        <v>24984</v>
      </c>
      <c r="B12514" s="8" t="s">
        <v>66110</v>
      </c>
      <c r="C12514" s="8" t="s">
        <v>24985</v>
      </c>
      <c r="D12514" s="8"/>
      <c r="E12514" s="6"/>
      <c r="F12514" s="6"/>
    </row>
    <row r="12515" spans="1:6" x14ac:dyDescent="0.3">
      <c r="A12515" s="8" t="s">
        <v>24986</v>
      </c>
      <c r="B12515" s="8" t="s">
        <v>66111</v>
      </c>
      <c r="C12515" s="8" t="s">
        <v>24987</v>
      </c>
      <c r="D12515" s="8"/>
      <c r="E12515" s="6"/>
      <c r="F12515" s="6"/>
    </row>
    <row r="12516" spans="1:6" x14ac:dyDescent="0.3">
      <c r="A12516" s="8" t="s">
        <v>24988</v>
      </c>
      <c r="B12516" s="8" t="s">
        <v>66112</v>
      </c>
      <c r="C12516" s="8" t="s">
        <v>24989</v>
      </c>
      <c r="D12516" s="8"/>
      <c r="E12516" s="6"/>
      <c r="F12516" s="6"/>
    </row>
    <row r="12517" spans="1:6" x14ac:dyDescent="0.3">
      <c r="A12517" s="8" t="s">
        <v>24990</v>
      </c>
      <c r="B12517" s="8" t="s">
        <v>66113</v>
      </c>
      <c r="C12517" s="8" t="s">
        <v>24991</v>
      </c>
      <c r="D12517" s="8"/>
      <c r="E12517" s="6"/>
      <c r="F12517" s="6"/>
    </row>
    <row r="12518" spans="1:6" x14ac:dyDescent="0.3">
      <c r="A12518" s="8" t="s">
        <v>24992</v>
      </c>
      <c r="B12518" s="8" t="s">
        <v>66114</v>
      </c>
      <c r="C12518" s="8" t="s">
        <v>24993</v>
      </c>
      <c r="D12518" s="8"/>
      <c r="E12518" s="6"/>
      <c r="F12518" s="6"/>
    </row>
    <row r="12519" spans="1:6" x14ac:dyDescent="0.3">
      <c r="A12519" s="8" t="s">
        <v>24994</v>
      </c>
      <c r="B12519" s="8" t="s">
        <v>66115</v>
      </c>
      <c r="C12519" s="8" t="s">
        <v>24995</v>
      </c>
      <c r="D12519" s="8"/>
      <c r="E12519" s="6"/>
      <c r="F12519" s="6"/>
    </row>
    <row r="12520" spans="1:6" x14ac:dyDescent="0.3">
      <c r="A12520" s="8" t="s">
        <v>24996</v>
      </c>
      <c r="B12520" s="8" t="s">
        <v>66116</v>
      </c>
      <c r="C12520" s="8" t="s">
        <v>24997</v>
      </c>
      <c r="D12520" s="8"/>
      <c r="E12520" s="6"/>
      <c r="F12520" s="6"/>
    </row>
    <row r="12521" spans="1:6" x14ac:dyDescent="0.3">
      <c r="A12521" s="8" t="s">
        <v>24998</v>
      </c>
      <c r="B12521" s="8" t="s">
        <v>66117</v>
      </c>
      <c r="C12521" s="8" t="s">
        <v>24999</v>
      </c>
      <c r="D12521" s="8"/>
      <c r="E12521" s="6"/>
      <c r="F12521" s="6"/>
    </row>
    <row r="12522" spans="1:6" x14ac:dyDescent="0.3">
      <c r="A12522" s="8" t="s">
        <v>25000</v>
      </c>
      <c r="B12522" s="8" t="s">
        <v>66118</v>
      </c>
      <c r="C12522" s="8" t="s">
        <v>25001</v>
      </c>
      <c r="D12522" s="8"/>
      <c r="E12522" s="6"/>
      <c r="F12522" s="6"/>
    </row>
    <row r="12523" spans="1:6" x14ac:dyDescent="0.3">
      <c r="A12523" s="8" t="s">
        <v>25002</v>
      </c>
      <c r="B12523" s="8" t="s">
        <v>66119</v>
      </c>
      <c r="C12523" s="8" t="s">
        <v>25003</v>
      </c>
      <c r="D12523" s="8"/>
      <c r="E12523" s="6"/>
      <c r="F12523" s="6"/>
    </row>
    <row r="12524" spans="1:6" x14ac:dyDescent="0.3">
      <c r="A12524" s="8" t="s">
        <v>25004</v>
      </c>
      <c r="B12524" s="8" t="s">
        <v>66120</v>
      </c>
      <c r="C12524" s="8" t="s">
        <v>25005</v>
      </c>
      <c r="D12524" s="8"/>
      <c r="E12524" s="6"/>
      <c r="F12524" s="6"/>
    </row>
    <row r="12525" spans="1:6" x14ac:dyDescent="0.3">
      <c r="A12525" s="8" t="s">
        <v>25006</v>
      </c>
      <c r="B12525" s="8" t="s">
        <v>66121</v>
      </c>
      <c r="C12525" s="8" t="s">
        <v>25007</v>
      </c>
      <c r="D12525" s="8"/>
      <c r="E12525" s="6"/>
      <c r="F12525" s="6"/>
    </row>
    <row r="12526" spans="1:6" x14ac:dyDescent="0.3">
      <c r="A12526" s="8" t="s">
        <v>25008</v>
      </c>
      <c r="B12526" s="8" t="s">
        <v>66122</v>
      </c>
      <c r="C12526" s="8" t="s">
        <v>25009</v>
      </c>
      <c r="D12526" s="8"/>
      <c r="E12526" s="6"/>
      <c r="F12526" s="6"/>
    </row>
    <row r="12527" spans="1:6" x14ac:dyDescent="0.3">
      <c r="A12527" s="8" t="s">
        <v>25010</v>
      </c>
      <c r="B12527" s="8" t="s">
        <v>66123</v>
      </c>
      <c r="C12527" s="8" t="s">
        <v>25011</v>
      </c>
      <c r="D12527" s="8"/>
      <c r="E12527" s="6"/>
      <c r="F12527" s="6"/>
    </row>
    <row r="12528" spans="1:6" x14ac:dyDescent="0.3">
      <c r="A12528" s="8" t="s">
        <v>25012</v>
      </c>
      <c r="B12528" s="8" t="s">
        <v>66124</v>
      </c>
      <c r="C12528" s="8" t="s">
        <v>25013</v>
      </c>
      <c r="D12528" s="8"/>
      <c r="E12528" s="6"/>
      <c r="F12528" s="6"/>
    </row>
    <row r="12529" spans="1:6" x14ac:dyDescent="0.3">
      <c r="A12529" s="8" t="s">
        <v>25014</v>
      </c>
      <c r="B12529" s="8" t="s">
        <v>66125</v>
      </c>
      <c r="C12529" s="8" t="s">
        <v>25015</v>
      </c>
      <c r="D12529" s="8"/>
      <c r="E12529" s="6"/>
      <c r="F12529" s="6"/>
    </row>
    <row r="12530" spans="1:6" x14ac:dyDescent="0.3">
      <c r="A12530" s="8" t="s">
        <v>25016</v>
      </c>
      <c r="B12530" s="8" t="s">
        <v>66126</v>
      </c>
      <c r="C12530" s="8" t="s">
        <v>25017</v>
      </c>
      <c r="D12530" s="8"/>
      <c r="E12530" s="6"/>
      <c r="F12530" s="6"/>
    </row>
    <row r="12531" spans="1:6" x14ac:dyDescent="0.3">
      <c r="A12531" s="8" t="s">
        <v>25018</v>
      </c>
      <c r="B12531" s="8" t="s">
        <v>66127</v>
      </c>
      <c r="C12531" s="8" t="s">
        <v>25019</v>
      </c>
      <c r="D12531" s="8"/>
      <c r="E12531" s="6"/>
      <c r="F12531" s="6"/>
    </row>
    <row r="12532" spans="1:6" x14ac:dyDescent="0.3">
      <c r="A12532" s="8" t="s">
        <v>25020</v>
      </c>
      <c r="B12532" s="8" t="s">
        <v>66128</v>
      </c>
      <c r="C12532" s="8" t="s">
        <v>25021</v>
      </c>
      <c r="D12532" s="8"/>
      <c r="E12532" s="6"/>
      <c r="F12532" s="6"/>
    </row>
    <row r="12533" spans="1:6" x14ac:dyDescent="0.3">
      <c r="A12533" s="8" t="s">
        <v>25022</v>
      </c>
      <c r="B12533" s="8" t="s">
        <v>66129</v>
      </c>
      <c r="C12533" s="8" t="s">
        <v>25023</v>
      </c>
      <c r="D12533" s="8"/>
      <c r="E12533" s="6"/>
      <c r="F12533" s="6"/>
    </row>
    <row r="12534" spans="1:6" x14ac:dyDescent="0.3">
      <c r="A12534" s="8" t="s">
        <v>25024</v>
      </c>
      <c r="B12534" s="8" t="s">
        <v>66130</v>
      </c>
      <c r="C12534" s="8" t="s">
        <v>25025</v>
      </c>
      <c r="D12534" s="8"/>
      <c r="E12534" s="6"/>
      <c r="F12534" s="6"/>
    </row>
    <row r="12535" spans="1:6" x14ac:dyDescent="0.3">
      <c r="A12535" s="8" t="s">
        <v>25026</v>
      </c>
      <c r="B12535" s="8" t="s">
        <v>66131</v>
      </c>
      <c r="C12535" s="8" t="s">
        <v>25027</v>
      </c>
      <c r="D12535" s="8"/>
      <c r="E12535" s="6"/>
      <c r="F12535" s="6"/>
    </row>
    <row r="12536" spans="1:6" x14ac:dyDescent="0.3">
      <c r="A12536" s="8" t="s">
        <v>25028</v>
      </c>
      <c r="B12536" s="8" t="s">
        <v>66132</v>
      </c>
      <c r="C12536" s="8" t="s">
        <v>25029</v>
      </c>
      <c r="D12536" s="8"/>
      <c r="E12536" s="6"/>
      <c r="F12536" s="6"/>
    </row>
    <row r="12537" spans="1:6" x14ac:dyDescent="0.3">
      <c r="A12537" s="8" t="s">
        <v>25030</v>
      </c>
      <c r="B12537" s="8" t="s">
        <v>66133</v>
      </c>
      <c r="C12537" s="8" t="s">
        <v>25031</v>
      </c>
      <c r="D12537" s="8"/>
      <c r="E12537" s="6"/>
      <c r="F12537" s="6"/>
    </row>
    <row r="12538" spans="1:6" x14ac:dyDescent="0.3">
      <c r="A12538" s="8" t="s">
        <v>25032</v>
      </c>
      <c r="B12538" s="8" t="s">
        <v>66134</v>
      </c>
      <c r="C12538" s="8" t="s">
        <v>25033</v>
      </c>
      <c r="D12538" s="8"/>
      <c r="E12538" s="6"/>
      <c r="F12538" s="6"/>
    </row>
    <row r="12539" spans="1:6" x14ac:dyDescent="0.3">
      <c r="A12539" s="8" t="s">
        <v>25034</v>
      </c>
      <c r="B12539" s="8" t="s">
        <v>66135</v>
      </c>
      <c r="C12539" s="8" t="s">
        <v>25035</v>
      </c>
      <c r="D12539" s="8"/>
      <c r="E12539" s="6"/>
      <c r="F12539" s="6"/>
    </row>
    <row r="12540" spans="1:6" x14ac:dyDescent="0.3">
      <c r="A12540" s="8" t="s">
        <v>25036</v>
      </c>
      <c r="B12540" s="8" t="s">
        <v>66136</v>
      </c>
      <c r="C12540" s="8" t="s">
        <v>25037</v>
      </c>
      <c r="D12540" s="8"/>
      <c r="E12540" s="6"/>
      <c r="F12540" s="6"/>
    </row>
    <row r="12541" spans="1:6" x14ac:dyDescent="0.3">
      <c r="A12541" s="8" t="s">
        <v>25038</v>
      </c>
      <c r="B12541" s="8" t="s">
        <v>66137</v>
      </c>
      <c r="C12541" s="8" t="s">
        <v>25039</v>
      </c>
      <c r="D12541" s="8"/>
      <c r="E12541" s="6"/>
      <c r="F12541" s="6"/>
    </row>
    <row r="12542" spans="1:6" x14ac:dyDescent="0.3">
      <c r="A12542" s="8" t="s">
        <v>25040</v>
      </c>
      <c r="B12542" s="8" t="s">
        <v>66138</v>
      </c>
      <c r="C12542" s="8" t="s">
        <v>25041</v>
      </c>
      <c r="D12542" s="8"/>
      <c r="E12542" s="6"/>
      <c r="F12542" s="6"/>
    </row>
    <row r="12543" spans="1:6" x14ac:dyDescent="0.3">
      <c r="A12543" s="8" t="s">
        <v>25042</v>
      </c>
      <c r="B12543" s="8" t="s">
        <v>66139</v>
      </c>
      <c r="C12543" s="8" t="s">
        <v>25043</v>
      </c>
      <c r="D12543" s="8"/>
      <c r="E12543" s="6"/>
      <c r="F12543" s="6"/>
    </row>
    <row r="12544" spans="1:6" x14ac:dyDescent="0.3">
      <c r="A12544" s="8" t="s">
        <v>25044</v>
      </c>
      <c r="B12544" s="8" t="s">
        <v>66140</v>
      </c>
      <c r="C12544" s="8" t="s">
        <v>25045</v>
      </c>
      <c r="D12544" s="8"/>
      <c r="E12544" s="6"/>
      <c r="F12544" s="6"/>
    </row>
    <row r="12545" spans="1:6" x14ac:dyDescent="0.3">
      <c r="A12545" s="8" t="s">
        <v>25046</v>
      </c>
      <c r="B12545" s="8" t="s">
        <v>66141</v>
      </c>
      <c r="C12545" s="8" t="s">
        <v>25047</v>
      </c>
      <c r="D12545" s="8"/>
      <c r="E12545" s="6"/>
      <c r="F12545" s="6"/>
    </row>
    <row r="12546" spans="1:6" x14ac:dyDescent="0.3">
      <c r="A12546" s="8" t="s">
        <v>25048</v>
      </c>
      <c r="B12546" s="8" t="s">
        <v>66142</v>
      </c>
      <c r="C12546" s="8" t="s">
        <v>25049</v>
      </c>
      <c r="D12546" s="8"/>
      <c r="E12546" s="6"/>
      <c r="F12546" s="6"/>
    </row>
    <row r="12547" spans="1:6" x14ac:dyDescent="0.3">
      <c r="A12547" s="8" t="s">
        <v>25050</v>
      </c>
      <c r="B12547" s="8" t="s">
        <v>66143</v>
      </c>
      <c r="C12547" s="8" t="s">
        <v>25051</v>
      </c>
      <c r="D12547" s="8"/>
      <c r="E12547" s="6"/>
      <c r="F12547" s="6"/>
    </row>
    <row r="12548" spans="1:6" x14ac:dyDescent="0.3">
      <c r="A12548" s="8" t="s">
        <v>25052</v>
      </c>
      <c r="B12548" s="8" t="s">
        <v>66144</v>
      </c>
      <c r="C12548" s="8" t="s">
        <v>25053</v>
      </c>
      <c r="D12548" s="8"/>
      <c r="E12548" s="6"/>
      <c r="F12548" s="6"/>
    </row>
    <row r="12549" spans="1:6" x14ac:dyDescent="0.3">
      <c r="A12549" s="8" t="s">
        <v>25054</v>
      </c>
      <c r="B12549" s="8" t="s">
        <v>66145</v>
      </c>
      <c r="C12549" s="8" t="s">
        <v>25055</v>
      </c>
      <c r="D12549" s="8"/>
      <c r="E12549" s="6"/>
      <c r="F12549" s="6"/>
    </row>
    <row r="12550" spans="1:6" x14ac:dyDescent="0.3">
      <c r="A12550" s="8" t="s">
        <v>25056</v>
      </c>
      <c r="B12550" s="8" t="s">
        <v>66146</v>
      </c>
      <c r="C12550" s="8" t="s">
        <v>25057</v>
      </c>
      <c r="D12550" s="8"/>
      <c r="E12550" s="6"/>
      <c r="F12550" s="6"/>
    </row>
    <row r="12551" spans="1:6" x14ac:dyDescent="0.3">
      <c r="A12551" s="8" t="s">
        <v>25058</v>
      </c>
      <c r="B12551" s="8" t="s">
        <v>66147</v>
      </c>
      <c r="C12551" s="8" t="s">
        <v>25059</v>
      </c>
      <c r="D12551" s="8"/>
      <c r="E12551" s="6"/>
      <c r="F12551" s="6"/>
    </row>
    <row r="12552" spans="1:6" x14ac:dyDescent="0.3">
      <c r="A12552" s="8" t="s">
        <v>25060</v>
      </c>
      <c r="B12552" s="8" t="s">
        <v>66148</v>
      </c>
      <c r="C12552" s="8" t="s">
        <v>25061</v>
      </c>
      <c r="D12552" s="8"/>
      <c r="E12552" s="6"/>
      <c r="F12552" s="6"/>
    </row>
    <row r="12553" spans="1:6" x14ac:dyDescent="0.3">
      <c r="A12553" s="8" t="s">
        <v>25062</v>
      </c>
      <c r="B12553" s="8" t="s">
        <v>66149</v>
      </c>
      <c r="C12553" s="8" t="s">
        <v>25063</v>
      </c>
      <c r="D12553" s="8"/>
      <c r="E12553" s="6"/>
      <c r="F12553" s="6"/>
    </row>
    <row r="12554" spans="1:6" x14ac:dyDescent="0.3">
      <c r="A12554" s="8" t="s">
        <v>25064</v>
      </c>
      <c r="B12554" s="8" t="s">
        <v>66150</v>
      </c>
      <c r="C12554" s="8" t="s">
        <v>25065</v>
      </c>
      <c r="D12554" s="8"/>
      <c r="E12554" s="6"/>
      <c r="F12554" s="6"/>
    </row>
    <row r="12555" spans="1:6" x14ac:dyDescent="0.3">
      <c r="A12555" s="8" t="s">
        <v>25066</v>
      </c>
      <c r="B12555" s="8" t="s">
        <v>66151</v>
      </c>
      <c r="C12555" s="8" t="s">
        <v>25067</v>
      </c>
      <c r="D12555" s="8"/>
      <c r="E12555" s="6"/>
      <c r="F12555" s="6"/>
    </row>
    <row r="12556" spans="1:6" x14ac:dyDescent="0.3">
      <c r="A12556" s="8" t="s">
        <v>25068</v>
      </c>
      <c r="B12556" s="8" t="s">
        <v>66152</v>
      </c>
      <c r="C12556" s="8" t="s">
        <v>25069</v>
      </c>
      <c r="D12556" s="8"/>
      <c r="E12556" s="6"/>
      <c r="F12556" s="6"/>
    </row>
    <row r="12557" spans="1:6" x14ac:dyDescent="0.3">
      <c r="A12557" s="8" t="s">
        <v>25070</v>
      </c>
      <c r="B12557" s="8" t="s">
        <v>66153</v>
      </c>
      <c r="C12557" s="8" t="s">
        <v>25071</v>
      </c>
      <c r="D12557" s="8"/>
      <c r="E12557" s="6"/>
      <c r="F12557" s="6"/>
    </row>
    <row r="12558" spans="1:6" x14ac:dyDescent="0.3">
      <c r="A12558" s="8" t="s">
        <v>25072</v>
      </c>
      <c r="B12558" s="8" t="s">
        <v>66154</v>
      </c>
      <c r="C12558" s="8" t="s">
        <v>25073</v>
      </c>
      <c r="D12558" s="8"/>
      <c r="E12558" s="6"/>
      <c r="F12558" s="6"/>
    </row>
    <row r="12559" spans="1:6" x14ac:dyDescent="0.3">
      <c r="A12559" s="8" t="s">
        <v>25074</v>
      </c>
      <c r="B12559" s="8" t="s">
        <v>66155</v>
      </c>
      <c r="C12559" s="8" t="s">
        <v>25075</v>
      </c>
      <c r="D12559" s="8"/>
      <c r="E12559" s="6"/>
      <c r="F12559" s="6"/>
    </row>
    <row r="12560" spans="1:6" x14ac:dyDescent="0.3">
      <c r="A12560" s="8" t="s">
        <v>25076</v>
      </c>
      <c r="B12560" s="8" t="s">
        <v>66156</v>
      </c>
      <c r="C12560" s="8" t="s">
        <v>25077</v>
      </c>
      <c r="D12560" s="8"/>
      <c r="E12560" s="6"/>
      <c r="F12560" s="6"/>
    </row>
    <row r="12561" spans="1:6" x14ac:dyDescent="0.3">
      <c r="A12561" s="8" t="s">
        <v>25078</v>
      </c>
      <c r="B12561" s="8" t="s">
        <v>66157</v>
      </c>
      <c r="C12561" s="8" t="s">
        <v>25079</v>
      </c>
      <c r="D12561" s="8"/>
      <c r="E12561" s="6"/>
      <c r="F12561" s="6"/>
    </row>
    <row r="12562" spans="1:6" x14ac:dyDescent="0.3">
      <c r="A12562" s="8" t="s">
        <v>25080</v>
      </c>
      <c r="B12562" s="8" t="s">
        <v>66158</v>
      </c>
      <c r="C12562" s="8" t="s">
        <v>25081</v>
      </c>
      <c r="D12562" s="8"/>
      <c r="E12562" s="6"/>
      <c r="F12562" s="6"/>
    </row>
    <row r="12563" spans="1:6" x14ac:dyDescent="0.3">
      <c r="A12563" s="8" t="s">
        <v>25082</v>
      </c>
      <c r="B12563" s="8" t="s">
        <v>66159</v>
      </c>
      <c r="C12563" s="8" t="s">
        <v>25083</v>
      </c>
      <c r="D12563" s="8"/>
      <c r="E12563" s="6"/>
      <c r="F12563" s="6"/>
    </row>
    <row r="12564" spans="1:6" x14ac:dyDescent="0.3">
      <c r="A12564" s="8" t="s">
        <v>25084</v>
      </c>
      <c r="B12564" s="8" t="s">
        <v>66160</v>
      </c>
      <c r="C12564" s="8" t="s">
        <v>25085</v>
      </c>
      <c r="D12564" s="8"/>
      <c r="E12564" s="6"/>
      <c r="F12564" s="6"/>
    </row>
    <row r="12565" spans="1:6" x14ac:dyDescent="0.3">
      <c r="A12565" s="8" t="s">
        <v>25086</v>
      </c>
      <c r="B12565" s="8" t="s">
        <v>66161</v>
      </c>
      <c r="C12565" s="8" t="s">
        <v>25087</v>
      </c>
      <c r="D12565" s="8"/>
      <c r="E12565" s="6"/>
      <c r="F12565" s="6"/>
    </row>
    <row r="12566" spans="1:6" x14ac:dyDescent="0.3">
      <c r="A12566" s="8" t="s">
        <v>25088</v>
      </c>
      <c r="B12566" s="8" t="s">
        <v>66162</v>
      </c>
      <c r="C12566" s="8" t="s">
        <v>25089</v>
      </c>
      <c r="D12566" s="8"/>
      <c r="E12566" s="6"/>
      <c r="F12566" s="6"/>
    </row>
    <row r="12567" spans="1:6" x14ac:dyDescent="0.3">
      <c r="A12567" s="8" t="s">
        <v>25090</v>
      </c>
      <c r="B12567" s="8" t="s">
        <v>66163</v>
      </c>
      <c r="C12567" s="8" t="s">
        <v>25091</v>
      </c>
      <c r="D12567" s="8"/>
      <c r="E12567" s="6"/>
      <c r="F12567" s="6"/>
    </row>
    <row r="12568" spans="1:6" x14ac:dyDescent="0.3">
      <c r="A12568" s="8" t="s">
        <v>25092</v>
      </c>
      <c r="B12568" s="8" t="s">
        <v>66164</v>
      </c>
      <c r="C12568" s="8" t="s">
        <v>25093</v>
      </c>
      <c r="D12568" s="8"/>
      <c r="E12568" s="6"/>
      <c r="F12568" s="6"/>
    </row>
    <row r="12569" spans="1:6" x14ac:dyDescent="0.3">
      <c r="A12569" s="8" t="s">
        <v>25094</v>
      </c>
      <c r="B12569" s="8" t="s">
        <v>66165</v>
      </c>
      <c r="C12569" s="8" t="s">
        <v>25095</v>
      </c>
      <c r="D12569" s="8"/>
      <c r="E12569" s="6"/>
      <c r="F12569" s="6"/>
    </row>
    <row r="12570" spans="1:6" x14ac:dyDescent="0.3">
      <c r="A12570" s="8" t="s">
        <v>25096</v>
      </c>
      <c r="B12570" s="8" t="s">
        <v>66166</v>
      </c>
      <c r="C12570" s="8" t="s">
        <v>25097</v>
      </c>
      <c r="D12570" s="8"/>
      <c r="E12570" s="6"/>
      <c r="F12570" s="6"/>
    </row>
    <row r="12571" spans="1:6" x14ac:dyDescent="0.3">
      <c r="A12571" s="8" t="s">
        <v>25098</v>
      </c>
      <c r="B12571" s="8" t="s">
        <v>66167</v>
      </c>
      <c r="C12571" s="8" t="s">
        <v>25099</v>
      </c>
      <c r="D12571" s="8"/>
      <c r="E12571" s="6"/>
      <c r="F12571" s="6"/>
    </row>
    <row r="12572" spans="1:6" x14ac:dyDescent="0.3">
      <c r="A12572" s="8" t="s">
        <v>25100</v>
      </c>
      <c r="B12572" s="8" t="s">
        <v>66168</v>
      </c>
      <c r="C12572" s="8" t="s">
        <v>25101</v>
      </c>
      <c r="D12572" s="8"/>
      <c r="E12572" s="6"/>
      <c r="F12572" s="6"/>
    </row>
    <row r="12573" spans="1:6" x14ac:dyDescent="0.3">
      <c r="A12573" s="8" t="s">
        <v>25102</v>
      </c>
      <c r="B12573" s="8" t="s">
        <v>66169</v>
      </c>
      <c r="C12573" s="8" t="s">
        <v>25103</v>
      </c>
      <c r="D12573" s="8"/>
      <c r="E12573" s="6"/>
      <c r="F12573" s="6"/>
    </row>
    <row r="12574" spans="1:6" x14ac:dyDescent="0.3">
      <c r="A12574" s="8" t="s">
        <v>25104</v>
      </c>
      <c r="B12574" s="8" t="s">
        <v>66170</v>
      </c>
      <c r="C12574" s="8" t="s">
        <v>25105</v>
      </c>
      <c r="D12574" s="8"/>
      <c r="E12574" s="6"/>
      <c r="F12574" s="6"/>
    </row>
    <row r="12575" spans="1:6" x14ac:dyDescent="0.3">
      <c r="A12575" s="8" t="s">
        <v>25106</v>
      </c>
      <c r="B12575" s="8" t="s">
        <v>66171</v>
      </c>
      <c r="C12575" s="8" t="s">
        <v>25107</v>
      </c>
      <c r="D12575" s="8"/>
      <c r="E12575" s="6"/>
      <c r="F12575" s="6"/>
    </row>
    <row r="12576" spans="1:6" x14ac:dyDescent="0.3">
      <c r="A12576" s="8" t="s">
        <v>25108</v>
      </c>
      <c r="B12576" s="8" t="s">
        <v>66172</v>
      </c>
      <c r="C12576" s="8" t="s">
        <v>25109</v>
      </c>
      <c r="D12576" s="8"/>
      <c r="E12576" s="6"/>
      <c r="F12576" s="6"/>
    </row>
    <row r="12577" spans="1:6" x14ac:dyDescent="0.3">
      <c r="A12577" s="8" t="s">
        <v>25110</v>
      </c>
      <c r="B12577" s="8" t="s">
        <v>66173</v>
      </c>
      <c r="C12577" s="8" t="s">
        <v>25111</v>
      </c>
      <c r="D12577" s="8"/>
      <c r="E12577" s="6"/>
      <c r="F12577" s="6"/>
    </row>
    <row r="12578" spans="1:6" x14ac:dyDescent="0.3">
      <c r="A12578" s="8" t="s">
        <v>25112</v>
      </c>
      <c r="B12578" s="8" t="s">
        <v>66174</v>
      </c>
      <c r="C12578" s="8" t="s">
        <v>25113</v>
      </c>
      <c r="D12578" s="8"/>
      <c r="E12578" s="6"/>
      <c r="F12578" s="6"/>
    </row>
    <row r="12579" spans="1:6" x14ac:dyDescent="0.3">
      <c r="A12579" s="8" t="s">
        <v>25114</v>
      </c>
      <c r="B12579" s="8" t="s">
        <v>66175</v>
      </c>
      <c r="C12579" s="8" t="s">
        <v>25115</v>
      </c>
      <c r="D12579" s="8"/>
      <c r="E12579" s="6"/>
      <c r="F12579" s="6"/>
    </row>
    <row r="12580" spans="1:6" x14ac:dyDescent="0.3">
      <c r="A12580" s="8" t="s">
        <v>25116</v>
      </c>
      <c r="B12580" s="8" t="s">
        <v>66176</v>
      </c>
      <c r="C12580" s="8" t="s">
        <v>25117</v>
      </c>
      <c r="D12580" s="8"/>
      <c r="E12580" s="6"/>
      <c r="F12580" s="6"/>
    </row>
    <row r="12581" spans="1:6" x14ac:dyDescent="0.3">
      <c r="A12581" s="8" t="s">
        <v>25118</v>
      </c>
      <c r="B12581" s="8" t="s">
        <v>66177</v>
      </c>
      <c r="C12581" s="8" t="s">
        <v>25119</v>
      </c>
      <c r="D12581" s="8"/>
      <c r="E12581" s="6"/>
      <c r="F12581" s="6"/>
    </row>
    <row r="12582" spans="1:6" x14ac:dyDescent="0.3">
      <c r="A12582" s="8" t="s">
        <v>25120</v>
      </c>
      <c r="B12582" s="8" t="s">
        <v>66178</v>
      </c>
      <c r="C12582" s="8" t="s">
        <v>25121</v>
      </c>
      <c r="D12582" s="8"/>
      <c r="E12582" s="6"/>
      <c r="F12582" s="6"/>
    </row>
    <row r="12583" spans="1:6" x14ac:dyDescent="0.3">
      <c r="A12583" s="8" t="s">
        <v>25122</v>
      </c>
      <c r="B12583" s="8" t="s">
        <v>66179</v>
      </c>
      <c r="C12583" s="8" t="s">
        <v>25123</v>
      </c>
      <c r="D12583" s="8"/>
      <c r="E12583" s="6"/>
      <c r="F12583" s="6"/>
    </row>
    <row r="12584" spans="1:6" x14ac:dyDescent="0.3">
      <c r="A12584" s="8" t="s">
        <v>25124</v>
      </c>
      <c r="B12584" s="8" t="s">
        <v>66180</v>
      </c>
      <c r="C12584" s="8" t="s">
        <v>25125</v>
      </c>
      <c r="D12584" s="8"/>
      <c r="E12584" s="6"/>
      <c r="F12584" s="6"/>
    </row>
    <row r="12585" spans="1:6" x14ac:dyDescent="0.3">
      <c r="A12585" s="8" t="s">
        <v>25126</v>
      </c>
      <c r="B12585" s="8" t="s">
        <v>66181</v>
      </c>
      <c r="C12585" s="8" t="s">
        <v>25127</v>
      </c>
      <c r="D12585" s="8"/>
      <c r="E12585" s="6"/>
      <c r="F12585" s="6"/>
    </row>
    <row r="12586" spans="1:6" x14ac:dyDescent="0.3">
      <c r="A12586" s="8" t="s">
        <v>25128</v>
      </c>
      <c r="B12586" s="8" t="s">
        <v>66182</v>
      </c>
      <c r="C12586" s="8" t="s">
        <v>25129</v>
      </c>
      <c r="D12586" s="8"/>
      <c r="E12586" s="6"/>
      <c r="F12586" s="6"/>
    </row>
    <row r="12587" spans="1:6" x14ac:dyDescent="0.3">
      <c r="A12587" s="8" t="s">
        <v>25130</v>
      </c>
      <c r="B12587" s="8" t="s">
        <v>66183</v>
      </c>
      <c r="C12587" s="8" t="s">
        <v>25131</v>
      </c>
      <c r="D12587" s="8"/>
      <c r="E12587" s="6"/>
      <c r="F12587" s="6"/>
    </row>
    <row r="12588" spans="1:6" x14ac:dyDescent="0.3">
      <c r="A12588" s="8" t="s">
        <v>25132</v>
      </c>
      <c r="B12588" s="8" t="s">
        <v>66184</v>
      </c>
      <c r="C12588" s="8" t="s">
        <v>25133</v>
      </c>
      <c r="D12588" s="8"/>
      <c r="E12588" s="6"/>
      <c r="F12588" s="6"/>
    </row>
    <row r="12589" spans="1:6" x14ac:dyDescent="0.3">
      <c r="A12589" s="8" t="s">
        <v>25134</v>
      </c>
      <c r="B12589" s="8" t="s">
        <v>66185</v>
      </c>
      <c r="C12589" s="8" t="s">
        <v>25135</v>
      </c>
      <c r="D12589" s="8"/>
      <c r="E12589" s="6"/>
      <c r="F12589" s="6"/>
    </row>
    <row r="12590" spans="1:6" x14ac:dyDescent="0.3">
      <c r="A12590" s="8" t="s">
        <v>25136</v>
      </c>
      <c r="B12590" s="8" t="s">
        <v>66186</v>
      </c>
      <c r="C12590" s="8" t="s">
        <v>25137</v>
      </c>
      <c r="D12590" s="8"/>
      <c r="E12590" s="6"/>
      <c r="F12590" s="6"/>
    </row>
    <row r="12591" spans="1:6" x14ac:dyDescent="0.3">
      <c r="A12591" s="8" t="s">
        <v>25138</v>
      </c>
      <c r="B12591" s="8" t="s">
        <v>66187</v>
      </c>
      <c r="C12591" s="8" t="s">
        <v>25139</v>
      </c>
      <c r="D12591" s="8"/>
      <c r="E12591" s="6"/>
      <c r="F12591" s="6"/>
    </row>
    <row r="12592" spans="1:6" x14ac:dyDescent="0.3">
      <c r="A12592" s="8" t="s">
        <v>25140</v>
      </c>
      <c r="B12592" s="8" t="s">
        <v>66188</v>
      </c>
      <c r="C12592" s="8" t="s">
        <v>25141</v>
      </c>
      <c r="D12592" s="8"/>
      <c r="E12592" s="6"/>
      <c r="F12592" s="6"/>
    </row>
    <row r="12593" spans="1:6" x14ac:dyDescent="0.3">
      <c r="A12593" s="8" t="s">
        <v>25142</v>
      </c>
      <c r="B12593" s="8" t="s">
        <v>66189</v>
      </c>
      <c r="C12593" s="8" t="s">
        <v>25143</v>
      </c>
      <c r="D12593" s="8"/>
      <c r="E12593" s="6"/>
      <c r="F12593" s="6"/>
    </row>
    <row r="12594" spans="1:6" x14ac:dyDescent="0.3">
      <c r="A12594" s="8" t="s">
        <v>25144</v>
      </c>
      <c r="B12594" s="8" t="s">
        <v>66190</v>
      </c>
      <c r="C12594" s="8" t="s">
        <v>25145</v>
      </c>
      <c r="D12594" s="8"/>
      <c r="E12594" s="6"/>
      <c r="F12594" s="6"/>
    </row>
    <row r="12595" spans="1:6" x14ac:dyDescent="0.3">
      <c r="A12595" s="8" t="s">
        <v>25146</v>
      </c>
      <c r="B12595" s="8" t="s">
        <v>66191</v>
      </c>
      <c r="C12595" s="8" t="s">
        <v>25147</v>
      </c>
      <c r="D12595" s="8"/>
      <c r="E12595" s="6"/>
      <c r="F12595" s="6"/>
    </row>
    <row r="12596" spans="1:6" x14ac:dyDescent="0.3">
      <c r="A12596" s="8" t="s">
        <v>25148</v>
      </c>
      <c r="B12596" s="8" t="s">
        <v>66192</v>
      </c>
      <c r="C12596" s="8" t="s">
        <v>25149</v>
      </c>
      <c r="D12596" s="8"/>
      <c r="E12596" s="6"/>
      <c r="F12596" s="6"/>
    </row>
    <row r="12597" spans="1:6" x14ac:dyDescent="0.3">
      <c r="A12597" s="8" t="s">
        <v>25150</v>
      </c>
      <c r="B12597" s="8" t="s">
        <v>66193</v>
      </c>
      <c r="C12597" s="8" t="s">
        <v>25151</v>
      </c>
      <c r="D12597" s="8"/>
      <c r="E12597" s="6"/>
      <c r="F12597" s="6"/>
    </row>
    <row r="12598" spans="1:6" x14ac:dyDescent="0.3">
      <c r="A12598" s="8" t="s">
        <v>25152</v>
      </c>
      <c r="B12598" s="8" t="s">
        <v>66194</v>
      </c>
      <c r="C12598" s="8" t="s">
        <v>25153</v>
      </c>
      <c r="D12598" s="8"/>
      <c r="E12598" s="6"/>
      <c r="F12598" s="6"/>
    </row>
    <row r="12599" spans="1:6" x14ac:dyDescent="0.3">
      <c r="A12599" s="8" t="s">
        <v>25154</v>
      </c>
      <c r="B12599" s="8" t="s">
        <v>66195</v>
      </c>
      <c r="C12599" s="8" t="s">
        <v>25155</v>
      </c>
      <c r="D12599" s="8"/>
      <c r="E12599" s="6"/>
      <c r="F12599" s="6"/>
    </row>
    <row r="12600" spans="1:6" x14ac:dyDescent="0.3">
      <c r="A12600" s="8" t="s">
        <v>25156</v>
      </c>
      <c r="B12600" s="8" t="s">
        <v>66196</v>
      </c>
      <c r="C12600" s="8" t="s">
        <v>25157</v>
      </c>
      <c r="D12600" s="8"/>
      <c r="E12600" s="6"/>
      <c r="F12600" s="6"/>
    </row>
    <row r="12601" spans="1:6" x14ac:dyDescent="0.3">
      <c r="A12601" s="8" t="s">
        <v>25158</v>
      </c>
      <c r="B12601" s="8" t="s">
        <v>66197</v>
      </c>
      <c r="C12601" s="8" t="s">
        <v>25159</v>
      </c>
      <c r="D12601" s="8"/>
      <c r="E12601" s="6"/>
      <c r="F12601" s="6"/>
    </row>
    <row r="12602" spans="1:6" x14ac:dyDescent="0.3">
      <c r="A12602" s="8" t="s">
        <v>25160</v>
      </c>
      <c r="B12602" s="8" t="s">
        <v>66198</v>
      </c>
      <c r="C12602" s="8" t="s">
        <v>25161</v>
      </c>
      <c r="D12602" s="8"/>
      <c r="E12602" s="6"/>
      <c r="F12602" s="6"/>
    </row>
    <row r="12603" spans="1:6" x14ac:dyDescent="0.3">
      <c r="A12603" s="8" t="s">
        <v>25162</v>
      </c>
      <c r="B12603" s="8" t="s">
        <v>66199</v>
      </c>
      <c r="C12603" s="8" t="s">
        <v>25163</v>
      </c>
      <c r="D12603" s="8"/>
      <c r="E12603" s="6"/>
      <c r="F12603" s="6"/>
    </row>
    <row r="12604" spans="1:6" x14ac:dyDescent="0.3">
      <c r="A12604" s="8" t="s">
        <v>25164</v>
      </c>
      <c r="B12604" s="8" t="s">
        <v>66200</v>
      </c>
      <c r="C12604" s="8" t="s">
        <v>25165</v>
      </c>
      <c r="D12604" s="8"/>
      <c r="E12604" s="6"/>
      <c r="F12604" s="6"/>
    </row>
    <row r="12605" spans="1:6" x14ac:dyDescent="0.3">
      <c r="A12605" s="8" t="s">
        <v>25166</v>
      </c>
      <c r="B12605" s="8" t="s">
        <v>66201</v>
      </c>
      <c r="C12605" s="8" t="s">
        <v>25167</v>
      </c>
      <c r="D12605" s="8"/>
      <c r="E12605" s="6"/>
      <c r="F12605" s="6"/>
    </row>
    <row r="12606" spans="1:6" x14ac:dyDescent="0.3">
      <c r="A12606" s="8" t="s">
        <v>25168</v>
      </c>
      <c r="B12606" s="8" t="s">
        <v>66202</v>
      </c>
      <c r="C12606" s="8" t="s">
        <v>25169</v>
      </c>
      <c r="D12606" s="8"/>
      <c r="E12606" s="6"/>
      <c r="F12606" s="6"/>
    </row>
    <row r="12607" spans="1:6" x14ac:dyDescent="0.3">
      <c r="A12607" s="8" t="s">
        <v>25170</v>
      </c>
      <c r="B12607" s="8" t="s">
        <v>66203</v>
      </c>
      <c r="C12607" s="8" t="s">
        <v>25171</v>
      </c>
      <c r="D12607" s="8"/>
      <c r="E12607" s="6"/>
      <c r="F12607" s="6"/>
    </row>
    <row r="12608" spans="1:6" x14ac:dyDescent="0.3">
      <c r="A12608" s="8" t="s">
        <v>25172</v>
      </c>
      <c r="B12608" s="8" t="s">
        <v>66204</v>
      </c>
      <c r="C12608" s="8" t="s">
        <v>25173</v>
      </c>
      <c r="D12608" s="8"/>
      <c r="E12608" s="6"/>
      <c r="F12608" s="6"/>
    </row>
    <row r="12609" spans="1:6" x14ac:dyDescent="0.3">
      <c r="A12609" s="8" t="s">
        <v>25174</v>
      </c>
      <c r="B12609" s="8" t="s">
        <v>66205</v>
      </c>
      <c r="C12609" s="8" t="s">
        <v>25175</v>
      </c>
      <c r="D12609" s="8"/>
      <c r="E12609" s="6"/>
      <c r="F12609" s="6"/>
    </row>
    <row r="12610" spans="1:6" x14ac:dyDescent="0.3">
      <c r="A12610" s="8" t="s">
        <v>25176</v>
      </c>
      <c r="B12610" s="8" t="s">
        <v>66206</v>
      </c>
      <c r="C12610" s="8" t="s">
        <v>25177</v>
      </c>
      <c r="D12610" s="8"/>
      <c r="E12610" s="6"/>
      <c r="F12610" s="6"/>
    </row>
    <row r="12611" spans="1:6" x14ac:dyDescent="0.3">
      <c r="A12611" s="8" t="s">
        <v>25178</v>
      </c>
      <c r="B12611" s="8" t="s">
        <v>66207</v>
      </c>
      <c r="C12611" s="8" t="s">
        <v>25179</v>
      </c>
      <c r="D12611" s="8"/>
      <c r="E12611" s="6"/>
      <c r="F12611" s="6"/>
    </row>
    <row r="12612" spans="1:6" x14ac:dyDescent="0.3">
      <c r="A12612" s="8" t="s">
        <v>25180</v>
      </c>
      <c r="B12612" s="8" t="s">
        <v>66208</v>
      </c>
      <c r="C12612" s="8" t="s">
        <v>25181</v>
      </c>
      <c r="D12612" s="8"/>
      <c r="E12612" s="6"/>
      <c r="F12612" s="6"/>
    </row>
    <row r="12613" spans="1:6" x14ac:dyDescent="0.3">
      <c r="A12613" s="8" t="s">
        <v>25182</v>
      </c>
      <c r="B12613" s="8" t="s">
        <v>66209</v>
      </c>
      <c r="C12613" s="8" t="s">
        <v>25183</v>
      </c>
      <c r="D12613" s="8"/>
      <c r="E12613" s="6"/>
      <c r="F12613" s="6"/>
    </row>
    <row r="12614" spans="1:6" x14ac:dyDescent="0.3">
      <c r="A12614" s="8" t="s">
        <v>25184</v>
      </c>
      <c r="B12614" s="8" t="s">
        <v>66210</v>
      </c>
      <c r="C12614" s="8" t="s">
        <v>25185</v>
      </c>
      <c r="D12614" s="8"/>
      <c r="E12614" s="6"/>
      <c r="F12614" s="6"/>
    </row>
    <row r="12615" spans="1:6" x14ac:dyDescent="0.3">
      <c r="A12615" s="8" t="s">
        <v>25186</v>
      </c>
      <c r="B12615" s="8" t="s">
        <v>66211</v>
      </c>
      <c r="C12615" s="8" t="s">
        <v>25187</v>
      </c>
      <c r="D12615" s="8"/>
      <c r="E12615" s="6"/>
      <c r="F12615" s="6"/>
    </row>
    <row r="12616" spans="1:6" x14ac:dyDescent="0.3">
      <c r="A12616" s="8" t="s">
        <v>25188</v>
      </c>
      <c r="B12616" s="8" t="s">
        <v>66212</v>
      </c>
      <c r="C12616" s="8" t="s">
        <v>25189</v>
      </c>
      <c r="D12616" s="8"/>
      <c r="E12616" s="6"/>
      <c r="F12616" s="6"/>
    </row>
    <row r="12617" spans="1:6" x14ac:dyDescent="0.3">
      <c r="A12617" s="8" t="s">
        <v>25190</v>
      </c>
      <c r="B12617" s="8" t="s">
        <v>66213</v>
      </c>
      <c r="C12617" s="8" t="s">
        <v>25191</v>
      </c>
      <c r="D12617" s="8"/>
      <c r="E12617" s="6"/>
      <c r="F12617" s="6"/>
    </row>
    <row r="12618" spans="1:6" x14ac:dyDescent="0.3">
      <c r="A12618" s="8" t="s">
        <v>25192</v>
      </c>
      <c r="B12618" s="8" t="s">
        <v>66214</v>
      </c>
      <c r="C12618" s="8" t="s">
        <v>25193</v>
      </c>
      <c r="D12618" s="8"/>
      <c r="E12618" s="6"/>
      <c r="F12618" s="6"/>
    </row>
    <row r="12619" spans="1:6" x14ac:dyDescent="0.3">
      <c r="A12619" s="8" t="s">
        <v>25194</v>
      </c>
      <c r="B12619" s="8" t="s">
        <v>66215</v>
      </c>
      <c r="C12619" s="8" t="s">
        <v>25195</v>
      </c>
      <c r="D12619" s="8"/>
      <c r="E12619" s="6"/>
      <c r="F12619" s="6"/>
    </row>
    <row r="12620" spans="1:6" x14ac:dyDescent="0.3">
      <c r="A12620" s="8" t="s">
        <v>25196</v>
      </c>
      <c r="B12620" s="8" t="s">
        <v>66216</v>
      </c>
      <c r="C12620" s="8" t="s">
        <v>25197</v>
      </c>
      <c r="D12620" s="8"/>
      <c r="E12620" s="6"/>
      <c r="F12620" s="6"/>
    </row>
    <row r="12621" spans="1:6" x14ac:dyDescent="0.3">
      <c r="A12621" s="8" t="s">
        <v>25198</v>
      </c>
      <c r="B12621" s="8" t="s">
        <v>66217</v>
      </c>
      <c r="C12621" s="8" t="s">
        <v>25199</v>
      </c>
      <c r="D12621" s="8"/>
      <c r="E12621" s="6"/>
      <c r="F12621" s="6"/>
    </row>
    <row r="12622" spans="1:6" x14ac:dyDescent="0.3">
      <c r="A12622" s="8" t="s">
        <v>25200</v>
      </c>
      <c r="B12622" s="8" t="s">
        <v>66218</v>
      </c>
      <c r="C12622" s="8" t="s">
        <v>25201</v>
      </c>
      <c r="D12622" s="8"/>
      <c r="E12622" s="6"/>
      <c r="F12622" s="6"/>
    </row>
    <row r="12623" spans="1:6" x14ac:dyDescent="0.3">
      <c r="A12623" s="8" t="s">
        <v>25202</v>
      </c>
      <c r="B12623" s="8" t="s">
        <v>66219</v>
      </c>
      <c r="C12623" s="8" t="s">
        <v>25203</v>
      </c>
      <c r="D12623" s="8"/>
      <c r="E12623" s="6"/>
      <c r="F12623" s="6"/>
    </row>
    <row r="12624" spans="1:6" x14ac:dyDescent="0.3">
      <c r="A12624" s="8" t="s">
        <v>25204</v>
      </c>
      <c r="B12624" s="8" t="s">
        <v>66220</v>
      </c>
      <c r="C12624" s="8" t="s">
        <v>25205</v>
      </c>
      <c r="D12624" s="8"/>
      <c r="E12624" s="6"/>
      <c r="F12624" s="6"/>
    </row>
    <row r="12625" spans="1:6" x14ac:dyDescent="0.3">
      <c r="A12625" s="8" t="s">
        <v>25206</v>
      </c>
      <c r="B12625" s="8" t="s">
        <v>59105</v>
      </c>
      <c r="C12625" s="8" t="s">
        <v>25207</v>
      </c>
      <c r="D12625" s="8"/>
      <c r="E12625" s="6"/>
      <c r="F12625" s="6"/>
    </row>
    <row r="12626" spans="1:6" x14ac:dyDescent="0.3">
      <c r="A12626" s="8" t="s">
        <v>25208</v>
      </c>
      <c r="B12626" s="8" t="s">
        <v>66221</v>
      </c>
      <c r="C12626" s="8" t="s">
        <v>25209</v>
      </c>
      <c r="D12626" s="8"/>
      <c r="E12626" s="6"/>
      <c r="F12626" s="6"/>
    </row>
    <row r="12627" spans="1:6" x14ac:dyDescent="0.3">
      <c r="A12627" s="8" t="s">
        <v>25210</v>
      </c>
      <c r="B12627" s="8" t="s">
        <v>66222</v>
      </c>
      <c r="C12627" s="8" t="s">
        <v>25211</v>
      </c>
      <c r="D12627" s="8"/>
      <c r="E12627" s="6"/>
      <c r="F12627" s="6"/>
    </row>
    <row r="12628" spans="1:6" x14ac:dyDescent="0.3">
      <c r="A12628" s="8" t="s">
        <v>25212</v>
      </c>
      <c r="B12628" s="8" t="s">
        <v>66223</v>
      </c>
      <c r="C12628" s="8" t="s">
        <v>25213</v>
      </c>
      <c r="D12628" s="8"/>
      <c r="E12628" s="6"/>
      <c r="F12628" s="6"/>
    </row>
    <row r="12629" spans="1:6" x14ac:dyDescent="0.3">
      <c r="A12629" s="8" t="s">
        <v>25214</v>
      </c>
      <c r="B12629" s="8" t="s">
        <v>66224</v>
      </c>
      <c r="C12629" s="8" t="s">
        <v>25215</v>
      </c>
      <c r="D12629" s="8"/>
      <c r="E12629" s="6"/>
      <c r="F12629" s="6"/>
    </row>
    <row r="12630" spans="1:6" x14ac:dyDescent="0.3">
      <c r="A12630" s="8" t="s">
        <v>25216</v>
      </c>
      <c r="B12630" s="8" t="s">
        <v>66225</v>
      </c>
      <c r="C12630" s="8" t="s">
        <v>25217</v>
      </c>
      <c r="D12630" s="8"/>
      <c r="E12630" s="6"/>
      <c r="F12630" s="6"/>
    </row>
    <row r="12631" spans="1:6" x14ac:dyDescent="0.3">
      <c r="A12631" s="8" t="s">
        <v>25218</v>
      </c>
      <c r="B12631" s="8" t="s">
        <v>66226</v>
      </c>
      <c r="C12631" s="8" t="s">
        <v>25219</v>
      </c>
      <c r="D12631" s="8"/>
      <c r="E12631" s="6"/>
      <c r="F12631" s="6"/>
    </row>
    <row r="12632" spans="1:6" x14ac:dyDescent="0.3">
      <c r="A12632" s="8" t="s">
        <v>25220</v>
      </c>
      <c r="B12632" s="8" t="s">
        <v>66227</v>
      </c>
      <c r="C12632" s="8" t="s">
        <v>25221</v>
      </c>
      <c r="D12632" s="8"/>
      <c r="E12632" s="6"/>
      <c r="F12632" s="6"/>
    </row>
    <row r="12633" spans="1:6" x14ac:dyDescent="0.3">
      <c r="A12633" s="8" t="s">
        <v>25222</v>
      </c>
      <c r="B12633" s="8" t="s">
        <v>66228</v>
      </c>
      <c r="C12633" s="8" t="s">
        <v>25223</v>
      </c>
      <c r="D12633" s="8"/>
      <c r="E12633" s="6"/>
      <c r="F12633" s="6"/>
    </row>
    <row r="12634" spans="1:6" x14ac:dyDescent="0.3">
      <c r="A12634" s="8" t="s">
        <v>25224</v>
      </c>
      <c r="B12634" s="8" t="s">
        <v>66229</v>
      </c>
      <c r="C12634" s="8" t="s">
        <v>25225</v>
      </c>
      <c r="D12634" s="8"/>
      <c r="E12634" s="6"/>
      <c r="F12634" s="6"/>
    </row>
    <row r="12635" spans="1:6" x14ac:dyDescent="0.3">
      <c r="A12635" s="8" t="s">
        <v>25226</v>
      </c>
      <c r="B12635" s="8" t="s">
        <v>66230</v>
      </c>
      <c r="C12635" s="8" t="s">
        <v>25227</v>
      </c>
      <c r="D12635" s="8"/>
      <c r="E12635" s="6"/>
      <c r="F12635" s="6"/>
    </row>
    <row r="12636" spans="1:6" x14ac:dyDescent="0.3">
      <c r="A12636" s="8" t="s">
        <v>25228</v>
      </c>
      <c r="B12636" s="8" t="s">
        <v>66231</v>
      </c>
      <c r="C12636" s="8" t="s">
        <v>25229</v>
      </c>
      <c r="D12636" s="8"/>
      <c r="E12636" s="6"/>
      <c r="F12636" s="6"/>
    </row>
    <row r="12637" spans="1:6" x14ac:dyDescent="0.3">
      <c r="A12637" s="8" t="s">
        <v>25230</v>
      </c>
      <c r="B12637" s="8" t="s">
        <v>66232</v>
      </c>
      <c r="C12637" s="8" t="s">
        <v>25231</v>
      </c>
      <c r="D12637" s="8"/>
      <c r="E12637" s="6"/>
      <c r="F12637" s="6"/>
    </row>
    <row r="12638" spans="1:6" x14ac:dyDescent="0.3">
      <c r="A12638" s="8" t="s">
        <v>25232</v>
      </c>
      <c r="B12638" s="8" t="s">
        <v>66233</v>
      </c>
      <c r="C12638" s="8" t="s">
        <v>25233</v>
      </c>
      <c r="D12638" s="8"/>
      <c r="E12638" s="6"/>
      <c r="F12638" s="6"/>
    </row>
    <row r="12639" spans="1:6" x14ac:dyDescent="0.3">
      <c r="A12639" s="8" t="s">
        <v>25234</v>
      </c>
      <c r="B12639" s="8" t="s">
        <v>66234</v>
      </c>
      <c r="C12639" s="8" t="s">
        <v>25235</v>
      </c>
      <c r="D12639" s="8"/>
      <c r="E12639" s="6"/>
      <c r="F12639" s="6"/>
    </row>
    <row r="12640" spans="1:6" x14ac:dyDescent="0.3">
      <c r="A12640" s="8" t="s">
        <v>25236</v>
      </c>
      <c r="B12640" s="8" t="s">
        <v>66235</v>
      </c>
      <c r="C12640" s="8" t="s">
        <v>25237</v>
      </c>
      <c r="D12640" s="8"/>
      <c r="E12640" s="6"/>
      <c r="F12640" s="6"/>
    </row>
    <row r="12641" spans="1:6" x14ac:dyDescent="0.3">
      <c r="A12641" s="8" t="s">
        <v>25238</v>
      </c>
      <c r="B12641" s="8" t="s">
        <v>66236</v>
      </c>
      <c r="C12641" s="8" t="s">
        <v>25239</v>
      </c>
      <c r="D12641" s="8"/>
      <c r="E12641" s="6"/>
      <c r="F12641" s="6"/>
    </row>
    <row r="12642" spans="1:6" x14ac:dyDescent="0.3">
      <c r="A12642" s="8" t="s">
        <v>25240</v>
      </c>
      <c r="B12642" s="8" t="s">
        <v>66237</v>
      </c>
      <c r="C12642" s="8" t="s">
        <v>25241</v>
      </c>
      <c r="D12642" s="8"/>
      <c r="E12642" s="6"/>
      <c r="F12642" s="6"/>
    </row>
    <row r="12643" spans="1:6" x14ac:dyDescent="0.3">
      <c r="A12643" s="8" t="s">
        <v>25242</v>
      </c>
      <c r="B12643" s="8" t="s">
        <v>66238</v>
      </c>
      <c r="C12643" s="8" t="s">
        <v>25243</v>
      </c>
      <c r="D12643" s="8"/>
      <c r="E12643" s="6"/>
      <c r="F12643" s="6"/>
    </row>
    <row r="12644" spans="1:6" x14ac:dyDescent="0.3">
      <c r="A12644" s="8" t="s">
        <v>25244</v>
      </c>
      <c r="B12644" s="8" t="s">
        <v>66239</v>
      </c>
      <c r="C12644" s="8" t="s">
        <v>25245</v>
      </c>
      <c r="D12644" s="8"/>
      <c r="E12644" s="6"/>
      <c r="F12644" s="6"/>
    </row>
    <row r="12645" spans="1:6" x14ac:dyDescent="0.3">
      <c r="A12645" s="8" t="s">
        <v>25246</v>
      </c>
      <c r="B12645" s="8" t="s">
        <v>66240</v>
      </c>
      <c r="C12645" s="8" t="s">
        <v>25247</v>
      </c>
      <c r="D12645" s="8"/>
      <c r="E12645" s="6"/>
      <c r="F12645" s="6"/>
    </row>
    <row r="12646" spans="1:6" x14ac:dyDescent="0.3">
      <c r="A12646" s="8" t="s">
        <v>25248</v>
      </c>
      <c r="B12646" s="8" t="s">
        <v>66241</v>
      </c>
      <c r="C12646" s="8" t="s">
        <v>25249</v>
      </c>
      <c r="D12646" s="8"/>
      <c r="E12646" s="6"/>
      <c r="F12646" s="6"/>
    </row>
    <row r="12647" spans="1:6" x14ac:dyDescent="0.3">
      <c r="A12647" s="8" t="s">
        <v>25250</v>
      </c>
      <c r="B12647" s="8" t="s">
        <v>66242</v>
      </c>
      <c r="C12647" s="8" t="s">
        <v>25251</v>
      </c>
      <c r="D12647" s="8"/>
      <c r="E12647" s="6"/>
      <c r="F12647" s="6"/>
    </row>
    <row r="12648" spans="1:6" x14ac:dyDescent="0.3">
      <c r="A12648" s="8" t="s">
        <v>25252</v>
      </c>
      <c r="B12648" s="8" t="s">
        <v>66243</v>
      </c>
      <c r="C12648" s="8" t="s">
        <v>25253</v>
      </c>
      <c r="D12648" s="8"/>
      <c r="E12648" s="6"/>
      <c r="F12648" s="6"/>
    </row>
    <row r="12649" spans="1:6" x14ac:dyDescent="0.3">
      <c r="A12649" s="8" t="s">
        <v>25254</v>
      </c>
      <c r="B12649" s="8" t="s">
        <v>66244</v>
      </c>
      <c r="C12649" s="8" t="s">
        <v>25255</v>
      </c>
      <c r="D12649" s="8"/>
      <c r="E12649" s="6"/>
      <c r="F12649" s="6"/>
    </row>
    <row r="12650" spans="1:6" x14ac:dyDescent="0.3">
      <c r="A12650" s="8" t="s">
        <v>25256</v>
      </c>
      <c r="B12650" s="8" t="s">
        <v>66245</v>
      </c>
      <c r="C12650" s="8" t="s">
        <v>25257</v>
      </c>
      <c r="D12650" s="8"/>
      <c r="E12650" s="6"/>
      <c r="F12650" s="6"/>
    </row>
    <row r="12651" spans="1:6" x14ac:dyDescent="0.3">
      <c r="A12651" s="8" t="s">
        <v>25258</v>
      </c>
      <c r="B12651" s="8" t="s">
        <v>66246</v>
      </c>
      <c r="C12651" s="8" t="s">
        <v>25259</v>
      </c>
      <c r="D12651" s="8"/>
      <c r="E12651" s="6"/>
      <c r="F12651" s="6"/>
    </row>
    <row r="12652" spans="1:6" x14ac:dyDescent="0.3">
      <c r="A12652" s="8" t="s">
        <v>25260</v>
      </c>
      <c r="B12652" s="8" t="s">
        <v>66247</v>
      </c>
      <c r="C12652" s="8" t="s">
        <v>25261</v>
      </c>
      <c r="D12652" s="8"/>
      <c r="E12652" s="6"/>
      <c r="F12652" s="6"/>
    </row>
    <row r="12653" spans="1:6" x14ac:dyDescent="0.3">
      <c r="A12653" s="8" t="s">
        <v>25262</v>
      </c>
      <c r="B12653" s="8" t="s">
        <v>66248</v>
      </c>
      <c r="C12653" s="8" t="s">
        <v>25263</v>
      </c>
      <c r="D12653" s="8"/>
      <c r="E12653" s="6"/>
      <c r="F12653" s="6"/>
    </row>
    <row r="12654" spans="1:6" x14ac:dyDescent="0.3">
      <c r="A12654" s="8" t="s">
        <v>25264</v>
      </c>
      <c r="B12654" s="8" t="s">
        <v>66249</v>
      </c>
      <c r="C12654" s="8" t="s">
        <v>25265</v>
      </c>
      <c r="D12654" s="8"/>
      <c r="E12654" s="6"/>
      <c r="F12654" s="6"/>
    </row>
    <row r="12655" spans="1:6" x14ac:dyDescent="0.3">
      <c r="A12655" s="8" t="s">
        <v>25266</v>
      </c>
      <c r="B12655" s="8" t="s">
        <v>66250</v>
      </c>
      <c r="C12655" s="8" t="s">
        <v>25267</v>
      </c>
      <c r="D12655" s="8"/>
      <c r="E12655" s="6"/>
      <c r="F12655" s="6"/>
    </row>
    <row r="12656" spans="1:6" x14ac:dyDescent="0.3">
      <c r="A12656" s="8" t="s">
        <v>25268</v>
      </c>
      <c r="B12656" s="8" t="s">
        <v>66251</v>
      </c>
      <c r="C12656" s="8" t="s">
        <v>25269</v>
      </c>
      <c r="D12656" s="8"/>
      <c r="E12656" s="6"/>
      <c r="F12656" s="6"/>
    </row>
    <row r="12657" spans="1:6" x14ac:dyDescent="0.3">
      <c r="A12657" s="8" t="s">
        <v>25270</v>
      </c>
      <c r="B12657" s="8" t="s">
        <v>66252</v>
      </c>
      <c r="C12657" s="8" t="s">
        <v>25271</v>
      </c>
      <c r="D12657" s="8"/>
      <c r="E12657" s="6"/>
      <c r="F12657" s="6"/>
    </row>
    <row r="12658" spans="1:6" x14ac:dyDescent="0.3">
      <c r="A12658" s="8" t="s">
        <v>25272</v>
      </c>
      <c r="B12658" s="8" t="s">
        <v>66253</v>
      </c>
      <c r="C12658" s="8" t="s">
        <v>25273</v>
      </c>
      <c r="D12658" s="8"/>
      <c r="E12658" s="6"/>
      <c r="F12658" s="6"/>
    </row>
    <row r="12659" spans="1:6" x14ac:dyDescent="0.3">
      <c r="A12659" s="8" t="s">
        <v>25274</v>
      </c>
      <c r="B12659" s="8" t="s">
        <v>66254</v>
      </c>
      <c r="C12659" s="8" t="s">
        <v>25275</v>
      </c>
      <c r="D12659" s="8"/>
      <c r="E12659" s="6"/>
      <c r="F12659" s="6"/>
    </row>
    <row r="12660" spans="1:6" x14ac:dyDescent="0.3">
      <c r="A12660" s="8" t="s">
        <v>25276</v>
      </c>
      <c r="B12660" s="8" t="s">
        <v>66255</v>
      </c>
      <c r="C12660" s="8" t="s">
        <v>25277</v>
      </c>
      <c r="D12660" s="8"/>
      <c r="E12660" s="6"/>
      <c r="F12660" s="6"/>
    </row>
    <row r="12661" spans="1:6" x14ac:dyDescent="0.3">
      <c r="A12661" s="8" t="s">
        <v>25278</v>
      </c>
      <c r="B12661" s="8" t="s">
        <v>66256</v>
      </c>
      <c r="C12661" s="8" t="s">
        <v>25279</v>
      </c>
      <c r="D12661" s="8"/>
      <c r="E12661" s="6"/>
      <c r="F12661" s="6"/>
    </row>
    <row r="12662" spans="1:6" x14ac:dyDescent="0.3">
      <c r="A12662" s="8" t="s">
        <v>25280</v>
      </c>
      <c r="B12662" s="8" t="s">
        <v>66257</v>
      </c>
      <c r="C12662" s="8" t="s">
        <v>25281</v>
      </c>
      <c r="D12662" s="8"/>
      <c r="E12662" s="6"/>
      <c r="F12662" s="6"/>
    </row>
    <row r="12663" spans="1:6" x14ac:dyDescent="0.3">
      <c r="A12663" s="8" t="s">
        <v>25282</v>
      </c>
      <c r="B12663" s="8" t="s">
        <v>66258</v>
      </c>
      <c r="C12663" s="8" t="s">
        <v>25283</v>
      </c>
      <c r="D12663" s="8"/>
      <c r="E12663" s="6"/>
      <c r="F12663" s="6"/>
    </row>
    <row r="12664" spans="1:6" x14ac:dyDescent="0.3">
      <c r="A12664" s="8" t="s">
        <v>25284</v>
      </c>
      <c r="B12664" s="8" t="s">
        <v>66259</v>
      </c>
      <c r="C12664" s="8" t="s">
        <v>25285</v>
      </c>
      <c r="D12664" s="8"/>
      <c r="E12664" s="6"/>
      <c r="F12664" s="6"/>
    </row>
    <row r="12665" spans="1:6" x14ac:dyDescent="0.3">
      <c r="A12665" s="8" t="s">
        <v>25286</v>
      </c>
      <c r="B12665" s="8" t="s">
        <v>66260</v>
      </c>
      <c r="C12665" s="8" t="s">
        <v>25287</v>
      </c>
      <c r="D12665" s="8"/>
      <c r="E12665" s="6"/>
      <c r="F12665" s="6"/>
    </row>
    <row r="12666" spans="1:6" x14ac:dyDescent="0.3">
      <c r="A12666" s="8" t="s">
        <v>25288</v>
      </c>
      <c r="B12666" s="8" t="s">
        <v>66261</v>
      </c>
      <c r="C12666" s="8" t="s">
        <v>25289</v>
      </c>
      <c r="D12666" s="8"/>
      <c r="E12666" s="6"/>
      <c r="F12666" s="6"/>
    </row>
    <row r="12667" spans="1:6" x14ac:dyDescent="0.3">
      <c r="A12667" s="8" t="s">
        <v>25290</v>
      </c>
      <c r="B12667" s="8" t="s">
        <v>66262</v>
      </c>
      <c r="C12667" s="8" t="s">
        <v>25291</v>
      </c>
      <c r="D12667" s="8"/>
      <c r="E12667" s="6"/>
      <c r="F12667" s="6"/>
    </row>
    <row r="12668" spans="1:6" x14ac:dyDescent="0.3">
      <c r="A12668" s="8" t="s">
        <v>25292</v>
      </c>
      <c r="B12668" s="8" t="s">
        <v>66263</v>
      </c>
      <c r="C12668" s="8" t="s">
        <v>25293</v>
      </c>
      <c r="D12668" s="8"/>
      <c r="E12668" s="6"/>
      <c r="F12668" s="6"/>
    </row>
    <row r="12669" spans="1:6" x14ac:dyDescent="0.3">
      <c r="A12669" s="8" t="s">
        <v>25294</v>
      </c>
      <c r="B12669" s="8" t="s">
        <v>66264</v>
      </c>
      <c r="C12669" s="8" t="s">
        <v>25295</v>
      </c>
      <c r="D12669" s="8"/>
      <c r="E12669" s="6"/>
      <c r="F12669" s="6"/>
    </row>
    <row r="12670" spans="1:6" x14ac:dyDescent="0.3">
      <c r="A12670" s="8" t="s">
        <v>25296</v>
      </c>
      <c r="B12670" s="8" t="s">
        <v>66265</v>
      </c>
      <c r="C12670" s="8" t="s">
        <v>25297</v>
      </c>
      <c r="D12670" s="8"/>
      <c r="E12670" s="6"/>
      <c r="F12670" s="6"/>
    </row>
    <row r="12671" spans="1:6" x14ac:dyDescent="0.3">
      <c r="A12671" s="8" t="s">
        <v>25298</v>
      </c>
      <c r="B12671" s="8" t="s">
        <v>66266</v>
      </c>
      <c r="C12671" s="8" t="s">
        <v>25299</v>
      </c>
      <c r="D12671" s="8"/>
      <c r="E12671" s="6"/>
      <c r="F12671" s="6"/>
    </row>
    <row r="12672" spans="1:6" x14ac:dyDescent="0.3">
      <c r="A12672" s="8" t="s">
        <v>25300</v>
      </c>
      <c r="B12672" s="8" t="s">
        <v>66267</v>
      </c>
      <c r="C12672" s="8" t="s">
        <v>25301</v>
      </c>
      <c r="D12672" s="8"/>
      <c r="E12672" s="6"/>
      <c r="F12672" s="6"/>
    </row>
    <row r="12673" spans="1:6" x14ac:dyDescent="0.3">
      <c r="A12673" s="8" t="s">
        <v>25302</v>
      </c>
      <c r="B12673" s="8" t="s">
        <v>66268</v>
      </c>
      <c r="C12673" s="8" t="s">
        <v>25303</v>
      </c>
      <c r="D12673" s="8"/>
      <c r="E12673" s="6"/>
      <c r="F12673" s="6"/>
    </row>
    <row r="12674" spans="1:6" x14ac:dyDescent="0.3">
      <c r="A12674" s="8" t="s">
        <v>25304</v>
      </c>
      <c r="B12674" s="8" t="s">
        <v>66269</v>
      </c>
      <c r="C12674" s="8" t="s">
        <v>25305</v>
      </c>
      <c r="D12674" s="8"/>
      <c r="E12674" s="6"/>
      <c r="F12674" s="6"/>
    </row>
    <row r="12675" spans="1:6" x14ac:dyDescent="0.3">
      <c r="A12675" s="8" t="s">
        <v>25306</v>
      </c>
      <c r="B12675" s="8" t="s">
        <v>66270</v>
      </c>
      <c r="C12675" s="8" t="s">
        <v>25307</v>
      </c>
      <c r="D12675" s="8"/>
      <c r="E12675" s="6"/>
      <c r="F12675" s="6"/>
    </row>
    <row r="12676" spans="1:6" x14ac:dyDescent="0.3">
      <c r="A12676" s="8" t="s">
        <v>25308</v>
      </c>
      <c r="B12676" s="8" t="s">
        <v>66271</v>
      </c>
      <c r="C12676" s="8" t="s">
        <v>25309</v>
      </c>
      <c r="D12676" s="8"/>
      <c r="E12676" s="6"/>
      <c r="F12676" s="6"/>
    </row>
    <row r="12677" spans="1:6" x14ac:dyDescent="0.3">
      <c r="A12677" s="8" t="s">
        <v>25310</v>
      </c>
      <c r="B12677" s="8" t="s">
        <v>66272</v>
      </c>
      <c r="C12677" s="8" t="s">
        <v>25311</v>
      </c>
      <c r="D12677" s="8"/>
      <c r="E12677" s="6"/>
      <c r="F12677" s="6"/>
    </row>
    <row r="12678" spans="1:6" x14ac:dyDescent="0.3">
      <c r="A12678" s="8" t="s">
        <v>25312</v>
      </c>
      <c r="B12678" s="8" t="s">
        <v>66273</v>
      </c>
      <c r="C12678" s="8" t="s">
        <v>25313</v>
      </c>
      <c r="D12678" s="8"/>
      <c r="E12678" s="6"/>
      <c r="F12678" s="6"/>
    </row>
    <row r="12679" spans="1:6" x14ac:dyDescent="0.3">
      <c r="A12679" s="8" t="s">
        <v>25314</v>
      </c>
      <c r="B12679" s="8" t="s">
        <v>66274</v>
      </c>
      <c r="C12679" s="8" t="s">
        <v>25315</v>
      </c>
      <c r="D12679" s="8"/>
      <c r="E12679" s="6"/>
      <c r="F12679" s="6"/>
    </row>
    <row r="12680" spans="1:6" x14ac:dyDescent="0.3">
      <c r="A12680" s="8" t="s">
        <v>25316</v>
      </c>
      <c r="B12680" s="8" t="s">
        <v>66275</v>
      </c>
      <c r="C12680" s="8" t="s">
        <v>25317</v>
      </c>
      <c r="D12680" s="8"/>
      <c r="E12680" s="6"/>
      <c r="F12680" s="6"/>
    </row>
    <row r="12681" spans="1:6" x14ac:dyDescent="0.3">
      <c r="A12681" s="8" t="s">
        <v>25318</v>
      </c>
      <c r="B12681" s="8" t="s">
        <v>66276</v>
      </c>
      <c r="C12681" s="8" t="s">
        <v>25319</v>
      </c>
      <c r="D12681" s="8"/>
      <c r="E12681" s="6"/>
      <c r="F12681" s="6"/>
    </row>
    <row r="12682" spans="1:6" x14ac:dyDescent="0.3">
      <c r="A12682" s="8" t="s">
        <v>25320</v>
      </c>
      <c r="B12682" s="8" t="s">
        <v>66277</v>
      </c>
      <c r="C12682" s="8" t="s">
        <v>25321</v>
      </c>
      <c r="D12682" s="8"/>
      <c r="E12682" s="6"/>
      <c r="F12682" s="6"/>
    </row>
    <row r="12683" spans="1:6" x14ac:dyDescent="0.3">
      <c r="A12683" s="8" t="s">
        <v>25322</v>
      </c>
      <c r="B12683" s="8" t="s">
        <v>66278</v>
      </c>
      <c r="C12683" s="8" t="s">
        <v>25323</v>
      </c>
      <c r="D12683" s="8"/>
      <c r="E12683" s="6"/>
      <c r="F12683" s="6"/>
    </row>
    <row r="12684" spans="1:6" x14ac:dyDescent="0.3">
      <c r="A12684" s="8" t="s">
        <v>25324</v>
      </c>
      <c r="B12684" s="8" t="s">
        <v>66279</v>
      </c>
      <c r="C12684" s="8" t="s">
        <v>25325</v>
      </c>
      <c r="D12684" s="8"/>
      <c r="E12684" s="6"/>
      <c r="F12684" s="6"/>
    </row>
    <row r="12685" spans="1:6" x14ac:dyDescent="0.3">
      <c r="A12685" s="8" t="s">
        <v>25326</v>
      </c>
      <c r="B12685" s="8" t="s">
        <v>66280</v>
      </c>
      <c r="C12685" s="8" t="s">
        <v>25327</v>
      </c>
      <c r="D12685" s="8"/>
      <c r="E12685" s="6"/>
      <c r="F12685" s="6"/>
    </row>
    <row r="12686" spans="1:6" x14ac:dyDescent="0.3">
      <c r="A12686" s="8" t="s">
        <v>25328</v>
      </c>
      <c r="B12686" s="8" t="s">
        <v>66281</v>
      </c>
      <c r="C12686" s="8" t="s">
        <v>25329</v>
      </c>
      <c r="D12686" s="8"/>
      <c r="E12686" s="6"/>
      <c r="F12686" s="6"/>
    </row>
    <row r="12687" spans="1:6" x14ac:dyDescent="0.3">
      <c r="A12687" s="8" t="s">
        <v>25330</v>
      </c>
      <c r="B12687" s="8" t="s">
        <v>66282</v>
      </c>
      <c r="C12687" s="8" t="s">
        <v>25331</v>
      </c>
      <c r="D12687" s="8"/>
      <c r="E12687" s="6"/>
      <c r="F12687" s="6"/>
    </row>
    <row r="12688" spans="1:6" x14ac:dyDescent="0.3">
      <c r="A12688" s="8" t="s">
        <v>25332</v>
      </c>
      <c r="B12688" s="8" t="s">
        <v>66283</v>
      </c>
      <c r="C12688" s="8" t="s">
        <v>25333</v>
      </c>
      <c r="D12688" s="8"/>
      <c r="E12688" s="6"/>
      <c r="F12688" s="6"/>
    </row>
    <row r="12689" spans="1:6" x14ac:dyDescent="0.3">
      <c r="A12689" s="8" t="s">
        <v>25334</v>
      </c>
      <c r="B12689" s="8" t="s">
        <v>66284</v>
      </c>
      <c r="C12689" s="8" t="s">
        <v>25335</v>
      </c>
      <c r="D12689" s="8"/>
      <c r="E12689" s="6"/>
      <c r="F12689" s="6"/>
    </row>
    <row r="12690" spans="1:6" x14ac:dyDescent="0.3">
      <c r="A12690" s="8" t="s">
        <v>25336</v>
      </c>
      <c r="B12690" s="8" t="s">
        <v>66285</v>
      </c>
      <c r="C12690" s="8" t="s">
        <v>25337</v>
      </c>
      <c r="D12690" s="8"/>
      <c r="E12690" s="6"/>
      <c r="F12690" s="6"/>
    </row>
    <row r="12691" spans="1:6" x14ac:dyDescent="0.3">
      <c r="A12691" s="8" t="s">
        <v>25338</v>
      </c>
      <c r="B12691" s="8" t="s">
        <v>66286</v>
      </c>
      <c r="C12691" s="8" t="s">
        <v>25339</v>
      </c>
      <c r="D12691" s="8"/>
      <c r="E12691" s="6"/>
      <c r="F12691" s="6"/>
    </row>
    <row r="12692" spans="1:6" x14ac:dyDescent="0.3">
      <c r="A12692" s="8" t="s">
        <v>25340</v>
      </c>
      <c r="B12692" s="8" t="s">
        <v>66287</v>
      </c>
      <c r="C12692" s="8" t="s">
        <v>25341</v>
      </c>
      <c r="D12692" s="8"/>
      <c r="E12692" s="6"/>
      <c r="F12692" s="6"/>
    </row>
    <row r="12693" spans="1:6" x14ac:dyDescent="0.3">
      <c r="A12693" s="8" t="s">
        <v>25342</v>
      </c>
      <c r="B12693" s="8" t="s">
        <v>66288</v>
      </c>
      <c r="C12693" s="8" t="s">
        <v>25343</v>
      </c>
      <c r="D12693" s="8"/>
      <c r="E12693" s="6"/>
      <c r="F12693" s="6"/>
    </row>
    <row r="12694" spans="1:6" x14ac:dyDescent="0.3">
      <c r="A12694" s="8" t="s">
        <v>25344</v>
      </c>
      <c r="B12694" s="8" t="s">
        <v>66289</v>
      </c>
      <c r="C12694" s="8" t="s">
        <v>25345</v>
      </c>
      <c r="D12694" s="8"/>
      <c r="E12694" s="6"/>
      <c r="F12694" s="6"/>
    </row>
    <row r="12695" spans="1:6" x14ac:dyDescent="0.3">
      <c r="A12695" s="8" t="s">
        <v>25346</v>
      </c>
      <c r="B12695" s="8" t="s">
        <v>66290</v>
      </c>
      <c r="C12695" s="8" t="s">
        <v>25347</v>
      </c>
      <c r="D12695" s="8"/>
      <c r="E12695" s="6"/>
      <c r="F12695" s="6"/>
    </row>
    <row r="12696" spans="1:6" x14ac:dyDescent="0.3">
      <c r="A12696" s="8" t="s">
        <v>25348</v>
      </c>
      <c r="B12696" s="8" t="s">
        <v>66291</v>
      </c>
      <c r="C12696" s="8" t="s">
        <v>25349</v>
      </c>
      <c r="D12696" s="8"/>
      <c r="E12696" s="6"/>
      <c r="F12696" s="6"/>
    </row>
    <row r="12697" spans="1:6" x14ac:dyDescent="0.3">
      <c r="A12697" s="8" t="s">
        <v>25350</v>
      </c>
      <c r="B12697" s="8" t="s">
        <v>66292</v>
      </c>
      <c r="C12697" s="8" t="s">
        <v>25351</v>
      </c>
      <c r="D12697" s="8"/>
      <c r="E12697" s="6"/>
      <c r="F12697" s="6"/>
    </row>
    <row r="12698" spans="1:6" x14ac:dyDescent="0.3">
      <c r="A12698" s="8" t="s">
        <v>25352</v>
      </c>
      <c r="B12698" s="8" t="s">
        <v>66293</v>
      </c>
      <c r="C12698" s="8" t="s">
        <v>25353</v>
      </c>
      <c r="D12698" s="8"/>
      <c r="E12698" s="6"/>
      <c r="F12698" s="6"/>
    </row>
    <row r="12699" spans="1:6" x14ac:dyDescent="0.3">
      <c r="A12699" s="8" t="s">
        <v>25354</v>
      </c>
      <c r="B12699" s="8" t="s">
        <v>66294</v>
      </c>
      <c r="C12699" s="8" t="s">
        <v>25355</v>
      </c>
      <c r="D12699" s="8"/>
      <c r="E12699" s="6"/>
      <c r="F12699" s="6"/>
    </row>
    <row r="12700" spans="1:6" x14ac:dyDescent="0.3">
      <c r="A12700" s="8" t="s">
        <v>25356</v>
      </c>
      <c r="B12700" s="8" t="s">
        <v>66295</v>
      </c>
      <c r="C12700" s="8" t="s">
        <v>25357</v>
      </c>
      <c r="D12700" s="8"/>
      <c r="E12700" s="6"/>
      <c r="F12700" s="6"/>
    </row>
    <row r="12701" spans="1:6" x14ac:dyDescent="0.3">
      <c r="A12701" s="8" t="s">
        <v>25358</v>
      </c>
      <c r="B12701" s="8" t="s">
        <v>66296</v>
      </c>
      <c r="C12701" s="8" t="s">
        <v>25359</v>
      </c>
      <c r="D12701" s="8"/>
      <c r="E12701" s="6"/>
      <c r="F12701" s="6"/>
    </row>
    <row r="12702" spans="1:6" x14ac:dyDescent="0.3">
      <c r="A12702" s="8" t="s">
        <v>25360</v>
      </c>
      <c r="B12702" s="8" t="s">
        <v>66297</v>
      </c>
      <c r="C12702" s="8" t="s">
        <v>25361</v>
      </c>
      <c r="D12702" s="8"/>
      <c r="E12702" s="6"/>
      <c r="F12702" s="6"/>
    </row>
    <row r="12703" spans="1:6" x14ac:dyDescent="0.3">
      <c r="A12703" s="8" t="s">
        <v>25362</v>
      </c>
      <c r="B12703" s="8" t="s">
        <v>66298</v>
      </c>
      <c r="C12703" s="8" t="s">
        <v>25363</v>
      </c>
      <c r="D12703" s="8"/>
      <c r="E12703" s="6"/>
      <c r="F12703" s="6"/>
    </row>
    <row r="12704" spans="1:6" x14ac:dyDescent="0.3">
      <c r="A12704" s="8" t="s">
        <v>25364</v>
      </c>
      <c r="B12704" s="8" t="s">
        <v>66299</v>
      </c>
      <c r="C12704" s="8" t="s">
        <v>25365</v>
      </c>
      <c r="D12704" s="8"/>
      <c r="E12704" s="6"/>
      <c r="F12704" s="6"/>
    </row>
    <row r="12705" spans="1:6" x14ac:dyDescent="0.3">
      <c r="A12705" s="8" t="s">
        <v>25366</v>
      </c>
      <c r="B12705" s="8" t="s">
        <v>66300</v>
      </c>
      <c r="C12705" s="8" t="s">
        <v>25367</v>
      </c>
      <c r="D12705" s="8"/>
      <c r="E12705" s="6"/>
      <c r="F12705" s="6"/>
    </row>
    <row r="12706" spans="1:6" x14ac:dyDescent="0.3">
      <c r="A12706" s="8" t="s">
        <v>25368</v>
      </c>
      <c r="B12706" s="8" t="s">
        <v>66301</v>
      </c>
      <c r="C12706" s="8" t="s">
        <v>25369</v>
      </c>
      <c r="D12706" s="8"/>
      <c r="E12706" s="6"/>
      <c r="F12706" s="6"/>
    </row>
    <row r="12707" spans="1:6" x14ac:dyDescent="0.3">
      <c r="A12707" s="8" t="s">
        <v>25370</v>
      </c>
      <c r="B12707" s="8" t="s">
        <v>66302</v>
      </c>
      <c r="C12707" s="8" t="s">
        <v>25371</v>
      </c>
      <c r="D12707" s="8"/>
      <c r="E12707" s="6"/>
      <c r="F12707" s="6"/>
    </row>
    <row r="12708" spans="1:6" x14ac:dyDescent="0.3">
      <c r="A12708" s="8" t="s">
        <v>25372</v>
      </c>
      <c r="B12708" s="8" t="s">
        <v>66303</v>
      </c>
      <c r="C12708" s="8" t="s">
        <v>25373</v>
      </c>
      <c r="D12708" s="8"/>
      <c r="E12708" s="6"/>
      <c r="F12708" s="6"/>
    </row>
    <row r="12709" spans="1:6" x14ac:dyDescent="0.3">
      <c r="A12709" s="8" t="s">
        <v>25374</v>
      </c>
      <c r="B12709" s="8" t="s">
        <v>66304</v>
      </c>
      <c r="C12709" s="8" t="s">
        <v>25375</v>
      </c>
      <c r="D12709" s="8"/>
      <c r="E12709" s="6"/>
      <c r="F12709" s="6"/>
    </row>
    <row r="12710" spans="1:6" x14ac:dyDescent="0.3">
      <c r="A12710" s="8" t="s">
        <v>25376</v>
      </c>
      <c r="B12710" s="8" t="s">
        <v>66305</v>
      </c>
      <c r="C12710" s="8" t="s">
        <v>25377</v>
      </c>
      <c r="D12710" s="8"/>
      <c r="E12710" s="6"/>
      <c r="F12710" s="6"/>
    </row>
    <row r="12711" spans="1:6" x14ac:dyDescent="0.3">
      <c r="A12711" s="8" t="s">
        <v>25378</v>
      </c>
      <c r="B12711" s="8" t="s">
        <v>66306</v>
      </c>
      <c r="C12711" s="8" t="s">
        <v>25379</v>
      </c>
      <c r="D12711" s="8"/>
      <c r="E12711" s="6"/>
      <c r="F12711" s="6"/>
    </row>
    <row r="12712" spans="1:6" x14ac:dyDescent="0.3">
      <c r="A12712" s="8" t="s">
        <v>25380</v>
      </c>
      <c r="B12712" s="8" t="s">
        <v>66307</v>
      </c>
      <c r="C12712" s="8" t="s">
        <v>25381</v>
      </c>
      <c r="D12712" s="8"/>
      <c r="E12712" s="6"/>
      <c r="F12712" s="6"/>
    </row>
    <row r="12713" spans="1:6" x14ac:dyDescent="0.3">
      <c r="A12713" s="8" t="s">
        <v>25382</v>
      </c>
      <c r="B12713" s="8" t="s">
        <v>66308</v>
      </c>
      <c r="C12713" s="8" t="s">
        <v>25383</v>
      </c>
      <c r="D12713" s="8"/>
      <c r="E12713" s="6"/>
      <c r="F12713" s="6"/>
    </row>
    <row r="12714" spans="1:6" x14ac:dyDescent="0.3">
      <c r="A12714" s="8" t="s">
        <v>25384</v>
      </c>
      <c r="B12714" s="8" t="s">
        <v>66309</v>
      </c>
      <c r="C12714" s="8" t="s">
        <v>25385</v>
      </c>
      <c r="D12714" s="8"/>
      <c r="E12714" s="6"/>
      <c r="F12714" s="6"/>
    </row>
    <row r="12715" spans="1:6" x14ac:dyDescent="0.3">
      <c r="A12715" s="8" t="s">
        <v>25386</v>
      </c>
      <c r="B12715" s="8" t="s">
        <v>66310</v>
      </c>
      <c r="C12715" s="8" t="s">
        <v>25387</v>
      </c>
      <c r="D12715" s="8"/>
      <c r="E12715" s="6"/>
      <c r="F12715" s="6"/>
    </row>
    <row r="12716" spans="1:6" x14ac:dyDescent="0.3">
      <c r="A12716" s="8" t="s">
        <v>25388</v>
      </c>
      <c r="B12716" s="8" t="s">
        <v>66311</v>
      </c>
      <c r="C12716" s="8" t="s">
        <v>25389</v>
      </c>
      <c r="D12716" s="8"/>
      <c r="E12716" s="6"/>
      <c r="F12716" s="6"/>
    </row>
    <row r="12717" spans="1:6" x14ac:dyDescent="0.3">
      <c r="A12717" s="8" t="s">
        <v>25390</v>
      </c>
      <c r="B12717" s="8" t="s">
        <v>66312</v>
      </c>
      <c r="C12717" s="8" t="s">
        <v>25391</v>
      </c>
      <c r="D12717" s="8"/>
      <c r="E12717" s="6"/>
      <c r="F12717" s="6"/>
    </row>
    <row r="12718" spans="1:6" x14ac:dyDescent="0.3">
      <c r="A12718" s="8" t="s">
        <v>25392</v>
      </c>
      <c r="B12718" s="8" t="s">
        <v>66313</v>
      </c>
      <c r="C12718" s="8" t="s">
        <v>25393</v>
      </c>
      <c r="D12718" s="8"/>
      <c r="E12718" s="6"/>
      <c r="F12718" s="6"/>
    </row>
    <row r="12719" spans="1:6" x14ac:dyDescent="0.3">
      <c r="A12719" s="8" t="s">
        <v>25394</v>
      </c>
      <c r="B12719" s="8" t="s">
        <v>66314</v>
      </c>
      <c r="C12719" s="8" t="s">
        <v>25395</v>
      </c>
      <c r="D12719" s="8"/>
      <c r="E12719" s="6"/>
      <c r="F12719" s="6"/>
    </row>
    <row r="12720" spans="1:6" x14ac:dyDescent="0.3">
      <c r="A12720" s="8" t="s">
        <v>25396</v>
      </c>
      <c r="B12720" s="8" t="s">
        <v>66315</v>
      </c>
      <c r="C12720" s="8" t="s">
        <v>25397</v>
      </c>
      <c r="D12720" s="8"/>
      <c r="E12720" s="6"/>
      <c r="F12720" s="6"/>
    </row>
    <row r="12721" spans="1:6" x14ac:dyDescent="0.3">
      <c r="A12721" s="8" t="s">
        <v>25398</v>
      </c>
      <c r="B12721" s="8" t="s">
        <v>66316</v>
      </c>
      <c r="C12721" s="8" t="s">
        <v>25399</v>
      </c>
      <c r="D12721" s="8"/>
      <c r="E12721" s="6"/>
      <c r="F12721" s="6"/>
    </row>
    <row r="12722" spans="1:6" x14ac:dyDescent="0.3">
      <c r="A12722" s="8" t="s">
        <v>25400</v>
      </c>
      <c r="B12722" s="8" t="s">
        <v>66317</v>
      </c>
      <c r="C12722" s="8" t="s">
        <v>25401</v>
      </c>
      <c r="D12722" s="8"/>
      <c r="E12722" s="6"/>
      <c r="F12722" s="6"/>
    </row>
    <row r="12723" spans="1:6" x14ac:dyDescent="0.3">
      <c r="A12723" s="8" t="s">
        <v>25402</v>
      </c>
      <c r="B12723" s="8" t="s">
        <v>66318</v>
      </c>
      <c r="C12723" s="8" t="s">
        <v>25403</v>
      </c>
      <c r="D12723" s="8"/>
      <c r="E12723" s="6"/>
      <c r="F12723" s="6"/>
    </row>
    <row r="12724" spans="1:6" x14ac:dyDescent="0.3">
      <c r="A12724" s="8" t="s">
        <v>25404</v>
      </c>
      <c r="B12724" s="8" t="s">
        <v>66319</v>
      </c>
      <c r="C12724" s="8" t="s">
        <v>25405</v>
      </c>
      <c r="D12724" s="8"/>
      <c r="E12724" s="6"/>
      <c r="F12724" s="6"/>
    </row>
    <row r="12725" spans="1:6" x14ac:dyDescent="0.3">
      <c r="A12725" s="8" t="s">
        <v>25406</v>
      </c>
      <c r="B12725" s="8" t="s">
        <v>66320</v>
      </c>
      <c r="C12725" s="8" t="s">
        <v>25407</v>
      </c>
      <c r="D12725" s="8"/>
      <c r="E12725" s="6"/>
      <c r="F12725" s="6"/>
    </row>
    <row r="12726" spans="1:6" x14ac:dyDescent="0.3">
      <c r="A12726" s="8" t="s">
        <v>25408</v>
      </c>
      <c r="B12726" s="8" t="s">
        <v>66321</v>
      </c>
      <c r="C12726" s="8" t="s">
        <v>25409</v>
      </c>
      <c r="D12726" s="8"/>
      <c r="E12726" s="6"/>
      <c r="F12726" s="6"/>
    </row>
    <row r="12727" spans="1:6" x14ac:dyDescent="0.3">
      <c r="A12727" s="8" t="s">
        <v>25410</v>
      </c>
      <c r="B12727" s="8" t="s">
        <v>66322</v>
      </c>
      <c r="C12727" s="8" t="s">
        <v>25411</v>
      </c>
      <c r="D12727" s="8"/>
      <c r="E12727" s="6"/>
      <c r="F12727" s="6"/>
    </row>
    <row r="12728" spans="1:6" x14ac:dyDescent="0.3">
      <c r="A12728" s="8" t="s">
        <v>25412</v>
      </c>
      <c r="B12728" s="8" t="s">
        <v>66323</v>
      </c>
      <c r="C12728" s="8" t="s">
        <v>25413</v>
      </c>
      <c r="D12728" s="8"/>
      <c r="E12728" s="6"/>
      <c r="F12728" s="6"/>
    </row>
    <row r="12729" spans="1:6" x14ac:dyDescent="0.3">
      <c r="A12729" s="8" t="s">
        <v>25414</v>
      </c>
      <c r="B12729" s="8" t="s">
        <v>66324</v>
      </c>
      <c r="C12729" s="8" t="s">
        <v>25415</v>
      </c>
      <c r="D12729" s="8"/>
      <c r="E12729" s="6"/>
      <c r="F12729" s="6"/>
    </row>
    <row r="12730" spans="1:6" x14ac:dyDescent="0.3">
      <c r="A12730" s="8" t="s">
        <v>25416</v>
      </c>
      <c r="B12730" s="8" t="s">
        <v>66325</v>
      </c>
      <c r="C12730" s="8" t="s">
        <v>25417</v>
      </c>
      <c r="D12730" s="8"/>
      <c r="E12730" s="6"/>
      <c r="F12730" s="6"/>
    </row>
    <row r="12731" spans="1:6" x14ac:dyDescent="0.3">
      <c r="A12731" s="8" t="s">
        <v>25418</v>
      </c>
      <c r="B12731" s="8" t="s">
        <v>66326</v>
      </c>
      <c r="C12731" s="8" t="s">
        <v>25419</v>
      </c>
      <c r="D12731" s="8"/>
      <c r="E12731" s="6"/>
      <c r="F12731" s="6"/>
    </row>
    <row r="12732" spans="1:6" x14ac:dyDescent="0.3">
      <c r="A12732" s="8" t="s">
        <v>25420</v>
      </c>
      <c r="B12732" s="8" t="s">
        <v>66327</v>
      </c>
      <c r="C12732" s="8" t="s">
        <v>25421</v>
      </c>
      <c r="D12732" s="8"/>
      <c r="E12732" s="6"/>
      <c r="F12732" s="6"/>
    </row>
    <row r="12733" spans="1:6" x14ac:dyDescent="0.3">
      <c r="A12733" s="8" t="s">
        <v>25422</v>
      </c>
      <c r="B12733" s="8" t="s">
        <v>66328</v>
      </c>
      <c r="C12733" s="8" t="s">
        <v>25423</v>
      </c>
      <c r="D12733" s="8"/>
      <c r="E12733" s="6"/>
      <c r="F12733" s="6"/>
    </row>
    <row r="12734" spans="1:6" x14ac:dyDescent="0.3">
      <c r="A12734" s="8" t="s">
        <v>25424</v>
      </c>
      <c r="B12734" s="8" t="s">
        <v>66329</v>
      </c>
      <c r="C12734" s="8" t="s">
        <v>25425</v>
      </c>
      <c r="D12734" s="8"/>
      <c r="E12734" s="6"/>
      <c r="F12734" s="6"/>
    </row>
    <row r="12735" spans="1:6" x14ac:dyDescent="0.3">
      <c r="A12735" s="8" t="s">
        <v>25426</v>
      </c>
      <c r="B12735" s="8" t="s">
        <v>66330</v>
      </c>
      <c r="C12735" s="8" t="s">
        <v>25427</v>
      </c>
      <c r="D12735" s="8"/>
      <c r="E12735" s="6"/>
      <c r="F12735" s="6"/>
    </row>
    <row r="12736" spans="1:6" x14ac:dyDescent="0.3">
      <c r="A12736" s="8" t="s">
        <v>25428</v>
      </c>
      <c r="B12736" s="8" t="s">
        <v>66331</v>
      </c>
      <c r="C12736" s="8" t="s">
        <v>25429</v>
      </c>
      <c r="D12736" s="8"/>
      <c r="E12736" s="6"/>
      <c r="F12736" s="6"/>
    </row>
    <row r="12737" spans="1:6" x14ac:dyDescent="0.3">
      <c r="A12737" s="8" t="s">
        <v>25430</v>
      </c>
      <c r="B12737" s="8" t="s">
        <v>66332</v>
      </c>
      <c r="C12737" s="8" t="s">
        <v>25431</v>
      </c>
      <c r="D12737" s="8"/>
      <c r="E12737" s="6"/>
      <c r="F12737" s="6"/>
    </row>
    <row r="12738" spans="1:6" x14ac:dyDescent="0.3">
      <c r="A12738" s="8" t="s">
        <v>25432</v>
      </c>
      <c r="B12738" s="8" t="s">
        <v>66333</v>
      </c>
      <c r="C12738" s="8" t="s">
        <v>25433</v>
      </c>
      <c r="D12738" s="8"/>
      <c r="E12738" s="6"/>
      <c r="F12738" s="6"/>
    </row>
    <row r="12739" spans="1:6" x14ac:dyDescent="0.3">
      <c r="A12739" s="8" t="s">
        <v>25434</v>
      </c>
      <c r="B12739" s="8" t="s">
        <v>66334</v>
      </c>
      <c r="C12739" s="8" t="s">
        <v>25435</v>
      </c>
      <c r="D12739" s="8"/>
      <c r="E12739" s="6"/>
      <c r="F12739" s="6"/>
    </row>
    <row r="12740" spans="1:6" x14ac:dyDescent="0.3">
      <c r="A12740" s="8" t="s">
        <v>25436</v>
      </c>
      <c r="B12740" s="8" t="s">
        <v>66335</v>
      </c>
      <c r="C12740" s="8" t="s">
        <v>25437</v>
      </c>
      <c r="D12740" s="8"/>
      <c r="E12740" s="6"/>
      <c r="F12740" s="6"/>
    </row>
    <row r="12741" spans="1:6" x14ac:dyDescent="0.3">
      <c r="A12741" s="8" t="s">
        <v>25438</v>
      </c>
      <c r="B12741" s="8" t="s">
        <v>66336</v>
      </c>
      <c r="C12741" s="8" t="s">
        <v>25439</v>
      </c>
      <c r="D12741" s="8"/>
      <c r="E12741" s="6"/>
      <c r="F12741" s="6"/>
    </row>
    <row r="12742" spans="1:6" x14ac:dyDescent="0.3">
      <c r="A12742" s="8" t="s">
        <v>25440</v>
      </c>
      <c r="B12742" s="8" t="s">
        <v>66337</v>
      </c>
      <c r="C12742" s="8" t="s">
        <v>25441</v>
      </c>
      <c r="D12742" s="8"/>
      <c r="E12742" s="6"/>
      <c r="F12742" s="6"/>
    </row>
    <row r="12743" spans="1:6" x14ac:dyDescent="0.3">
      <c r="A12743" s="8" t="s">
        <v>25442</v>
      </c>
      <c r="B12743" s="8" t="s">
        <v>66338</v>
      </c>
      <c r="C12743" s="8" t="s">
        <v>25443</v>
      </c>
      <c r="D12743" s="8"/>
      <c r="E12743" s="6"/>
      <c r="F12743" s="6"/>
    </row>
    <row r="12744" spans="1:6" x14ac:dyDescent="0.3">
      <c r="A12744" s="8" t="s">
        <v>25444</v>
      </c>
      <c r="B12744" s="8" t="s">
        <v>66339</v>
      </c>
      <c r="C12744" s="8" t="s">
        <v>25445</v>
      </c>
      <c r="D12744" s="8"/>
      <c r="E12744" s="6"/>
      <c r="F12744" s="6"/>
    </row>
    <row r="12745" spans="1:6" x14ac:dyDescent="0.3">
      <c r="A12745" s="8" t="s">
        <v>25446</v>
      </c>
      <c r="B12745" s="8" t="s">
        <v>66340</v>
      </c>
      <c r="C12745" s="8" t="s">
        <v>25447</v>
      </c>
      <c r="D12745" s="8"/>
      <c r="E12745" s="6"/>
      <c r="F12745" s="6"/>
    </row>
    <row r="12746" spans="1:6" x14ac:dyDescent="0.3">
      <c r="A12746" s="8" t="s">
        <v>25448</v>
      </c>
      <c r="B12746" s="8" t="s">
        <v>66341</v>
      </c>
      <c r="C12746" s="8" t="s">
        <v>25449</v>
      </c>
      <c r="D12746" s="8"/>
      <c r="E12746" s="6"/>
      <c r="F12746" s="6"/>
    </row>
    <row r="12747" spans="1:6" x14ac:dyDescent="0.3">
      <c r="A12747" s="8" t="s">
        <v>25450</v>
      </c>
      <c r="B12747" s="8" t="s">
        <v>66342</v>
      </c>
      <c r="C12747" s="8" t="s">
        <v>25451</v>
      </c>
      <c r="D12747" s="8"/>
      <c r="E12747" s="6"/>
      <c r="F12747" s="6"/>
    </row>
    <row r="12748" spans="1:6" x14ac:dyDescent="0.3">
      <c r="A12748" s="8" t="s">
        <v>25452</v>
      </c>
      <c r="B12748" s="8" t="s">
        <v>66343</v>
      </c>
      <c r="C12748" s="8" t="s">
        <v>25453</v>
      </c>
      <c r="D12748" s="8"/>
      <c r="E12748" s="6"/>
      <c r="F12748" s="6"/>
    </row>
    <row r="12749" spans="1:6" x14ac:dyDescent="0.3">
      <c r="A12749" s="8" t="s">
        <v>25454</v>
      </c>
      <c r="B12749" s="8" t="s">
        <v>66344</v>
      </c>
      <c r="C12749" s="8" t="s">
        <v>25455</v>
      </c>
      <c r="D12749" s="8"/>
      <c r="E12749" s="6"/>
      <c r="F12749" s="6"/>
    </row>
    <row r="12750" spans="1:6" x14ac:dyDescent="0.3">
      <c r="A12750" s="8" t="s">
        <v>25456</v>
      </c>
      <c r="B12750" s="8" t="s">
        <v>66345</v>
      </c>
      <c r="C12750" s="8" t="s">
        <v>25457</v>
      </c>
      <c r="D12750" s="8"/>
      <c r="E12750" s="6"/>
      <c r="F12750" s="6"/>
    </row>
    <row r="12751" spans="1:6" x14ac:dyDescent="0.3">
      <c r="A12751" s="8" t="s">
        <v>25458</v>
      </c>
      <c r="B12751" s="8" t="s">
        <v>66346</v>
      </c>
      <c r="C12751" s="8" t="s">
        <v>25459</v>
      </c>
      <c r="D12751" s="8"/>
      <c r="E12751" s="6"/>
      <c r="F12751" s="6"/>
    </row>
    <row r="12752" spans="1:6" x14ac:dyDescent="0.3">
      <c r="A12752" s="8" t="s">
        <v>25460</v>
      </c>
      <c r="B12752" s="8" t="s">
        <v>66347</v>
      </c>
      <c r="C12752" s="8" t="s">
        <v>25461</v>
      </c>
      <c r="D12752" s="8"/>
      <c r="E12752" s="6"/>
      <c r="F12752" s="6"/>
    </row>
    <row r="12753" spans="1:6" x14ac:dyDescent="0.3">
      <c r="A12753" s="8" t="s">
        <v>25462</v>
      </c>
      <c r="B12753" s="8" t="s">
        <v>66348</v>
      </c>
      <c r="C12753" s="8" t="s">
        <v>25463</v>
      </c>
      <c r="D12753" s="8"/>
      <c r="E12753" s="6"/>
      <c r="F12753" s="6"/>
    </row>
    <row r="12754" spans="1:6" x14ac:dyDescent="0.3">
      <c r="A12754" s="8" t="s">
        <v>25464</v>
      </c>
      <c r="B12754" s="8" t="s">
        <v>66349</v>
      </c>
      <c r="C12754" s="8" t="s">
        <v>25465</v>
      </c>
      <c r="D12754" s="8"/>
      <c r="E12754" s="6"/>
      <c r="F12754" s="6"/>
    </row>
    <row r="12755" spans="1:6" x14ac:dyDescent="0.3">
      <c r="A12755" s="8" t="s">
        <v>25466</v>
      </c>
      <c r="B12755" s="8" t="s">
        <v>66350</v>
      </c>
      <c r="C12755" s="8" t="s">
        <v>25467</v>
      </c>
      <c r="D12755" s="8"/>
      <c r="E12755" s="6"/>
      <c r="F12755" s="6"/>
    </row>
    <row r="12756" spans="1:6" x14ac:dyDescent="0.3">
      <c r="A12756" s="8" t="s">
        <v>25468</v>
      </c>
      <c r="B12756" s="8" t="s">
        <v>66351</v>
      </c>
      <c r="C12756" s="8" t="s">
        <v>25469</v>
      </c>
      <c r="D12756" s="8"/>
      <c r="E12756" s="6"/>
      <c r="F12756" s="6"/>
    </row>
    <row r="12757" spans="1:6" x14ac:dyDescent="0.3">
      <c r="A12757" s="8" t="s">
        <v>25470</v>
      </c>
      <c r="B12757" s="8" t="s">
        <v>66352</v>
      </c>
      <c r="C12757" s="8" t="s">
        <v>25471</v>
      </c>
      <c r="D12757" s="8"/>
      <c r="E12757" s="6"/>
      <c r="F12757" s="6"/>
    </row>
    <row r="12758" spans="1:6" x14ac:dyDescent="0.3">
      <c r="A12758" s="8" t="s">
        <v>25472</v>
      </c>
      <c r="B12758" s="8" t="s">
        <v>66353</v>
      </c>
      <c r="C12758" s="8" t="s">
        <v>25473</v>
      </c>
      <c r="D12758" s="8"/>
      <c r="E12758" s="6"/>
      <c r="F12758" s="6"/>
    </row>
    <row r="12759" spans="1:6" x14ac:dyDescent="0.3">
      <c r="A12759" s="8" t="s">
        <v>25474</v>
      </c>
      <c r="B12759" s="8" t="s">
        <v>66354</v>
      </c>
      <c r="C12759" s="8" t="s">
        <v>25475</v>
      </c>
      <c r="D12759" s="8"/>
      <c r="E12759" s="6"/>
      <c r="F12759" s="6"/>
    </row>
    <row r="12760" spans="1:6" x14ac:dyDescent="0.3">
      <c r="A12760" s="8" t="s">
        <v>25476</v>
      </c>
      <c r="B12760" s="8" t="s">
        <v>66355</v>
      </c>
      <c r="C12760" s="8" t="s">
        <v>25477</v>
      </c>
      <c r="D12760" s="8"/>
      <c r="E12760" s="6"/>
      <c r="F12760" s="6"/>
    </row>
    <row r="12761" spans="1:6" x14ac:dyDescent="0.3">
      <c r="A12761" s="8" t="s">
        <v>25478</v>
      </c>
      <c r="B12761" s="8" t="s">
        <v>66356</v>
      </c>
      <c r="C12761" s="8" t="s">
        <v>25479</v>
      </c>
      <c r="D12761" s="8"/>
      <c r="E12761" s="6"/>
      <c r="F12761" s="6"/>
    </row>
    <row r="12762" spans="1:6" x14ac:dyDescent="0.3">
      <c r="A12762" s="8" t="s">
        <v>25480</v>
      </c>
      <c r="B12762" s="8" t="s">
        <v>66357</v>
      </c>
      <c r="C12762" s="8" t="s">
        <v>25481</v>
      </c>
      <c r="D12762" s="8"/>
      <c r="E12762" s="6"/>
      <c r="F12762" s="6"/>
    </row>
    <row r="12763" spans="1:6" x14ac:dyDescent="0.3">
      <c r="A12763" s="8" t="s">
        <v>25482</v>
      </c>
      <c r="B12763" s="8" t="s">
        <v>66358</v>
      </c>
      <c r="C12763" s="8" t="s">
        <v>25483</v>
      </c>
      <c r="D12763" s="8"/>
      <c r="E12763" s="6"/>
      <c r="F12763" s="6"/>
    </row>
    <row r="12764" spans="1:6" x14ac:dyDescent="0.3">
      <c r="A12764" s="8" t="s">
        <v>25484</v>
      </c>
      <c r="B12764" s="8" t="s">
        <v>66359</v>
      </c>
      <c r="C12764" s="8" t="s">
        <v>25485</v>
      </c>
      <c r="D12764" s="8"/>
      <c r="E12764" s="6"/>
      <c r="F12764" s="6"/>
    </row>
    <row r="12765" spans="1:6" x14ac:dyDescent="0.3">
      <c r="A12765" s="8" t="s">
        <v>25486</v>
      </c>
      <c r="B12765" s="8" t="s">
        <v>66360</v>
      </c>
      <c r="C12765" s="8" t="s">
        <v>25487</v>
      </c>
      <c r="D12765" s="8"/>
      <c r="E12765" s="6"/>
      <c r="F12765" s="6"/>
    </row>
    <row r="12766" spans="1:6" x14ac:dyDescent="0.3">
      <c r="A12766" s="8" t="s">
        <v>25488</v>
      </c>
      <c r="B12766" s="8" t="s">
        <v>66361</v>
      </c>
      <c r="C12766" s="8" t="s">
        <v>25489</v>
      </c>
      <c r="D12766" s="8"/>
      <c r="E12766" s="6"/>
      <c r="F12766" s="6"/>
    </row>
    <row r="12767" spans="1:6" x14ac:dyDescent="0.3">
      <c r="A12767" s="8" t="s">
        <v>25490</v>
      </c>
      <c r="B12767" s="8" t="s">
        <v>66362</v>
      </c>
      <c r="C12767" s="8" t="s">
        <v>25491</v>
      </c>
      <c r="D12767" s="8"/>
      <c r="E12767" s="6"/>
      <c r="F12767" s="6"/>
    </row>
    <row r="12768" spans="1:6" x14ac:dyDescent="0.3">
      <c r="A12768" s="8" t="s">
        <v>25492</v>
      </c>
      <c r="B12768" s="8" t="s">
        <v>66363</v>
      </c>
      <c r="C12768" s="8" t="s">
        <v>25493</v>
      </c>
      <c r="D12768" s="8"/>
      <c r="E12768" s="6"/>
      <c r="F12768" s="6"/>
    </row>
    <row r="12769" spans="1:6" x14ac:dyDescent="0.3">
      <c r="A12769" s="8" t="s">
        <v>25494</v>
      </c>
      <c r="B12769" s="8" t="s">
        <v>66364</v>
      </c>
      <c r="C12769" s="8" t="s">
        <v>25495</v>
      </c>
      <c r="D12769" s="8"/>
      <c r="E12769" s="6"/>
      <c r="F12769" s="6"/>
    </row>
    <row r="12770" spans="1:6" x14ac:dyDescent="0.3">
      <c r="A12770" s="8" t="s">
        <v>25496</v>
      </c>
      <c r="B12770" s="8" t="s">
        <v>66365</v>
      </c>
      <c r="C12770" s="8" t="s">
        <v>25497</v>
      </c>
      <c r="D12770" s="8"/>
      <c r="E12770" s="6"/>
      <c r="F12770" s="6"/>
    </row>
    <row r="12771" spans="1:6" x14ac:dyDescent="0.3">
      <c r="A12771" s="8" t="s">
        <v>25498</v>
      </c>
      <c r="B12771" s="8" t="s">
        <v>66366</v>
      </c>
      <c r="C12771" s="8" t="s">
        <v>25499</v>
      </c>
      <c r="D12771" s="8"/>
      <c r="E12771" s="6"/>
      <c r="F12771" s="6"/>
    </row>
    <row r="12772" spans="1:6" x14ac:dyDescent="0.3">
      <c r="A12772" s="8" t="s">
        <v>25500</v>
      </c>
      <c r="B12772" s="8" t="s">
        <v>66367</v>
      </c>
      <c r="C12772" s="8" t="s">
        <v>25501</v>
      </c>
      <c r="D12772" s="8"/>
      <c r="E12772" s="6"/>
      <c r="F12772" s="6"/>
    </row>
    <row r="12773" spans="1:6" x14ac:dyDescent="0.3">
      <c r="A12773" s="8" t="s">
        <v>25502</v>
      </c>
      <c r="B12773" s="8" t="s">
        <v>66368</v>
      </c>
      <c r="C12773" s="8" t="s">
        <v>25503</v>
      </c>
      <c r="D12773" s="8"/>
      <c r="E12773" s="6"/>
      <c r="F12773" s="6"/>
    </row>
    <row r="12774" spans="1:6" x14ac:dyDescent="0.3">
      <c r="A12774" s="8" t="s">
        <v>25504</v>
      </c>
      <c r="B12774" s="8" t="s">
        <v>66369</v>
      </c>
      <c r="C12774" s="8" t="s">
        <v>25505</v>
      </c>
      <c r="D12774" s="8"/>
      <c r="E12774" s="6"/>
      <c r="F12774" s="6"/>
    </row>
    <row r="12775" spans="1:6" x14ac:dyDescent="0.3">
      <c r="A12775" s="8" t="s">
        <v>25506</v>
      </c>
      <c r="B12775" s="8" t="s">
        <v>66370</v>
      </c>
      <c r="C12775" s="8" t="s">
        <v>25507</v>
      </c>
      <c r="D12775" s="8"/>
      <c r="E12775" s="6"/>
      <c r="F12775" s="6"/>
    </row>
    <row r="12776" spans="1:6" x14ac:dyDescent="0.3">
      <c r="A12776" s="8" t="s">
        <v>25508</v>
      </c>
      <c r="B12776" s="8" t="s">
        <v>66371</v>
      </c>
      <c r="C12776" s="8" t="s">
        <v>25509</v>
      </c>
      <c r="D12776" s="8"/>
      <c r="E12776" s="6"/>
      <c r="F12776" s="6"/>
    </row>
    <row r="12777" spans="1:6" x14ac:dyDescent="0.3">
      <c r="A12777" s="8" t="s">
        <v>25510</v>
      </c>
      <c r="B12777" s="8" t="s">
        <v>66372</v>
      </c>
      <c r="C12777" s="8" t="s">
        <v>25511</v>
      </c>
      <c r="D12777" s="8"/>
      <c r="E12777" s="6"/>
      <c r="F12777" s="6"/>
    </row>
    <row r="12778" spans="1:6" x14ac:dyDescent="0.3">
      <c r="A12778" s="8" t="s">
        <v>25512</v>
      </c>
      <c r="B12778" s="8" t="s">
        <v>66373</v>
      </c>
      <c r="C12778" s="8" t="s">
        <v>25513</v>
      </c>
      <c r="D12778" s="8"/>
      <c r="E12778" s="6"/>
      <c r="F12778" s="6"/>
    </row>
    <row r="12779" spans="1:6" x14ac:dyDescent="0.3">
      <c r="A12779" s="8" t="s">
        <v>25514</v>
      </c>
      <c r="B12779" s="8" t="s">
        <v>66374</v>
      </c>
      <c r="C12779" s="8" t="s">
        <v>25515</v>
      </c>
      <c r="D12779" s="8"/>
      <c r="E12779" s="6"/>
      <c r="F12779" s="6"/>
    </row>
    <row r="12780" spans="1:6" x14ac:dyDescent="0.3">
      <c r="A12780" s="8" t="s">
        <v>25516</v>
      </c>
      <c r="B12780" s="8" t="s">
        <v>66375</v>
      </c>
      <c r="C12780" s="8" t="s">
        <v>25517</v>
      </c>
      <c r="D12780" s="8"/>
      <c r="E12780" s="6"/>
      <c r="F12780" s="6"/>
    </row>
    <row r="12781" spans="1:6" x14ac:dyDescent="0.3">
      <c r="A12781" s="8" t="s">
        <v>25518</v>
      </c>
      <c r="B12781" s="8" t="s">
        <v>66376</v>
      </c>
      <c r="C12781" s="8" t="s">
        <v>25519</v>
      </c>
      <c r="D12781" s="8"/>
      <c r="E12781" s="6"/>
      <c r="F12781" s="6"/>
    </row>
    <row r="12782" spans="1:6" x14ac:dyDescent="0.3">
      <c r="A12782" s="8" t="s">
        <v>25520</v>
      </c>
      <c r="B12782" s="8" t="s">
        <v>66377</v>
      </c>
      <c r="C12782" s="8" t="s">
        <v>25521</v>
      </c>
      <c r="D12782" s="8"/>
      <c r="E12782" s="6"/>
      <c r="F12782" s="6"/>
    </row>
    <row r="12783" spans="1:6" x14ac:dyDescent="0.3">
      <c r="A12783" s="8" t="s">
        <v>25522</v>
      </c>
      <c r="B12783" s="8" t="s">
        <v>66378</v>
      </c>
      <c r="C12783" s="8" t="s">
        <v>25523</v>
      </c>
      <c r="D12783" s="8"/>
      <c r="E12783" s="6"/>
      <c r="F12783" s="6"/>
    </row>
    <row r="12784" spans="1:6" x14ac:dyDescent="0.3">
      <c r="A12784" s="8" t="s">
        <v>25524</v>
      </c>
      <c r="B12784" s="8" t="s">
        <v>66379</v>
      </c>
      <c r="C12784" s="8" t="s">
        <v>25525</v>
      </c>
      <c r="D12784" s="8"/>
      <c r="E12784" s="6"/>
      <c r="F12784" s="6"/>
    </row>
    <row r="12785" spans="1:6" x14ac:dyDescent="0.3">
      <c r="A12785" s="8" t="s">
        <v>25526</v>
      </c>
      <c r="B12785" s="8" t="s">
        <v>66380</v>
      </c>
      <c r="C12785" s="8" t="s">
        <v>25527</v>
      </c>
      <c r="D12785" s="8"/>
      <c r="E12785" s="6"/>
      <c r="F12785" s="6"/>
    </row>
    <row r="12786" spans="1:6" x14ac:dyDescent="0.3">
      <c r="A12786" s="8" t="s">
        <v>25528</v>
      </c>
      <c r="B12786" s="8" t="s">
        <v>66381</v>
      </c>
      <c r="C12786" s="8" t="s">
        <v>25529</v>
      </c>
      <c r="D12786" s="8"/>
      <c r="E12786" s="6"/>
      <c r="F12786" s="6"/>
    </row>
    <row r="12787" spans="1:6" x14ac:dyDescent="0.3">
      <c r="A12787" s="8" t="s">
        <v>25530</v>
      </c>
      <c r="B12787" s="8" t="s">
        <v>66382</v>
      </c>
      <c r="C12787" s="8" t="s">
        <v>25531</v>
      </c>
      <c r="D12787" s="8"/>
      <c r="E12787" s="6"/>
      <c r="F12787" s="6"/>
    </row>
    <row r="12788" spans="1:6" x14ac:dyDescent="0.3">
      <c r="A12788" s="8" t="s">
        <v>25532</v>
      </c>
      <c r="B12788" s="8" t="s">
        <v>66383</v>
      </c>
      <c r="C12788" s="8" t="s">
        <v>25533</v>
      </c>
      <c r="D12788" s="8"/>
      <c r="E12788" s="6"/>
      <c r="F12788" s="6"/>
    </row>
    <row r="12789" spans="1:6" x14ac:dyDescent="0.3">
      <c r="A12789" s="8" t="s">
        <v>25534</v>
      </c>
      <c r="B12789" s="8" t="s">
        <v>66384</v>
      </c>
      <c r="C12789" s="8" t="s">
        <v>25535</v>
      </c>
      <c r="D12789" s="8"/>
      <c r="E12789" s="6"/>
      <c r="F12789" s="6"/>
    </row>
    <row r="12790" spans="1:6" x14ac:dyDescent="0.3">
      <c r="A12790" s="8" t="s">
        <v>25536</v>
      </c>
      <c r="B12790" s="8" t="s">
        <v>66385</v>
      </c>
      <c r="C12790" s="8" t="s">
        <v>25537</v>
      </c>
      <c r="D12790" s="8"/>
      <c r="E12790" s="6"/>
      <c r="F12790" s="6"/>
    </row>
    <row r="12791" spans="1:6" x14ac:dyDescent="0.3">
      <c r="A12791" s="8" t="s">
        <v>25538</v>
      </c>
      <c r="B12791" s="8" t="s">
        <v>66386</v>
      </c>
      <c r="C12791" s="8" t="s">
        <v>25539</v>
      </c>
      <c r="D12791" s="8"/>
      <c r="E12791" s="6"/>
      <c r="F12791" s="6"/>
    </row>
    <row r="12792" spans="1:6" x14ac:dyDescent="0.3">
      <c r="A12792" s="8" t="s">
        <v>25540</v>
      </c>
      <c r="B12792" s="8" t="s">
        <v>66387</v>
      </c>
      <c r="C12792" s="8" t="s">
        <v>25541</v>
      </c>
      <c r="D12792" s="8"/>
      <c r="E12792" s="6"/>
      <c r="F12792" s="6"/>
    </row>
    <row r="12793" spans="1:6" x14ac:dyDescent="0.3">
      <c r="A12793" s="8" t="s">
        <v>25542</v>
      </c>
      <c r="B12793" s="8" t="s">
        <v>66388</v>
      </c>
      <c r="C12793" s="8" t="s">
        <v>25543</v>
      </c>
      <c r="D12793" s="8"/>
      <c r="E12793" s="6"/>
      <c r="F12793" s="6"/>
    </row>
    <row r="12794" spans="1:6" x14ac:dyDescent="0.3">
      <c r="A12794" s="8" t="s">
        <v>25544</v>
      </c>
      <c r="B12794" s="8" t="s">
        <v>66389</v>
      </c>
      <c r="C12794" s="8" t="s">
        <v>25545</v>
      </c>
      <c r="D12794" s="8"/>
      <c r="E12794" s="6"/>
      <c r="F12794" s="6"/>
    </row>
    <row r="12795" spans="1:6" x14ac:dyDescent="0.3">
      <c r="A12795" s="8" t="s">
        <v>25546</v>
      </c>
      <c r="B12795" s="8" t="s">
        <v>66390</v>
      </c>
      <c r="C12795" s="8" t="s">
        <v>25547</v>
      </c>
      <c r="D12795" s="8"/>
      <c r="E12795" s="6"/>
      <c r="F12795" s="6"/>
    </row>
    <row r="12796" spans="1:6" x14ac:dyDescent="0.3">
      <c r="A12796" s="8" t="s">
        <v>25548</v>
      </c>
      <c r="B12796" s="8" t="s">
        <v>66391</v>
      </c>
      <c r="C12796" s="8" t="s">
        <v>25549</v>
      </c>
      <c r="D12796" s="8"/>
      <c r="E12796" s="6"/>
      <c r="F12796" s="6"/>
    </row>
    <row r="12797" spans="1:6" x14ac:dyDescent="0.3">
      <c r="A12797" s="8" t="s">
        <v>25550</v>
      </c>
      <c r="B12797" s="8" t="s">
        <v>66392</v>
      </c>
      <c r="C12797" s="8" t="s">
        <v>25551</v>
      </c>
      <c r="D12797" s="8"/>
      <c r="E12797" s="6"/>
      <c r="F12797" s="6"/>
    </row>
    <row r="12798" spans="1:6" x14ac:dyDescent="0.3">
      <c r="A12798" s="8" t="s">
        <v>25552</v>
      </c>
      <c r="B12798" s="8" t="s">
        <v>66393</v>
      </c>
      <c r="C12798" s="8" t="s">
        <v>25553</v>
      </c>
      <c r="D12798" s="8"/>
      <c r="E12798" s="6"/>
      <c r="F12798" s="6"/>
    </row>
    <row r="12799" spans="1:6" x14ac:dyDescent="0.3">
      <c r="A12799" s="8" t="s">
        <v>25554</v>
      </c>
      <c r="B12799" s="8" t="s">
        <v>66394</v>
      </c>
      <c r="C12799" s="8" t="s">
        <v>25555</v>
      </c>
      <c r="D12799" s="8"/>
      <c r="E12799" s="6"/>
      <c r="F12799" s="6"/>
    </row>
    <row r="12800" spans="1:6" x14ac:dyDescent="0.3">
      <c r="A12800" s="8" t="s">
        <v>25556</v>
      </c>
      <c r="B12800" s="8" t="s">
        <v>66395</v>
      </c>
      <c r="C12800" s="8" t="s">
        <v>25557</v>
      </c>
      <c r="D12800" s="8"/>
      <c r="E12800" s="6"/>
      <c r="F12800" s="6"/>
    </row>
    <row r="12801" spans="1:6" x14ac:dyDescent="0.3">
      <c r="A12801" s="8" t="s">
        <v>25558</v>
      </c>
      <c r="B12801" s="8" t="s">
        <v>66396</v>
      </c>
      <c r="C12801" s="8" t="s">
        <v>25559</v>
      </c>
      <c r="D12801" s="8"/>
      <c r="E12801" s="6"/>
      <c r="F12801" s="6"/>
    </row>
    <row r="12802" spans="1:6" x14ac:dyDescent="0.3">
      <c r="A12802" s="8" t="s">
        <v>25560</v>
      </c>
      <c r="B12802" s="8" t="s">
        <v>66397</v>
      </c>
      <c r="C12802" s="8" t="s">
        <v>25561</v>
      </c>
      <c r="D12802" s="8"/>
      <c r="E12802" s="6"/>
      <c r="F12802" s="6"/>
    </row>
    <row r="12803" spans="1:6" x14ac:dyDescent="0.3">
      <c r="A12803" s="8" t="s">
        <v>25562</v>
      </c>
      <c r="B12803" s="8" t="s">
        <v>66398</v>
      </c>
      <c r="C12803" s="8" t="s">
        <v>25563</v>
      </c>
      <c r="D12803" s="8"/>
      <c r="E12803" s="6"/>
      <c r="F12803" s="6"/>
    </row>
    <row r="12804" spans="1:6" x14ac:dyDescent="0.3">
      <c r="A12804" s="8" t="s">
        <v>25564</v>
      </c>
      <c r="B12804" s="8" t="s">
        <v>66399</v>
      </c>
      <c r="C12804" s="8" t="s">
        <v>25565</v>
      </c>
      <c r="D12804" s="8"/>
      <c r="E12804" s="6"/>
      <c r="F12804" s="6"/>
    </row>
    <row r="12805" spans="1:6" x14ac:dyDescent="0.3">
      <c r="A12805" s="8" t="s">
        <v>25566</v>
      </c>
      <c r="B12805" s="8" t="s">
        <v>66400</v>
      </c>
      <c r="C12805" s="8" t="s">
        <v>25567</v>
      </c>
      <c r="D12805" s="8"/>
      <c r="E12805" s="6"/>
      <c r="F12805" s="6"/>
    </row>
    <row r="12806" spans="1:6" x14ac:dyDescent="0.3">
      <c r="A12806" s="8" t="s">
        <v>25568</v>
      </c>
      <c r="B12806" s="8" t="s">
        <v>66401</v>
      </c>
      <c r="C12806" s="8" t="s">
        <v>25569</v>
      </c>
      <c r="D12806" s="8"/>
      <c r="E12806" s="6"/>
      <c r="F12806" s="6"/>
    </row>
    <row r="12807" spans="1:6" x14ac:dyDescent="0.3">
      <c r="A12807" s="8" t="s">
        <v>25570</v>
      </c>
      <c r="B12807" s="8" t="s">
        <v>66402</v>
      </c>
      <c r="C12807" s="8" t="s">
        <v>25571</v>
      </c>
      <c r="D12807" s="8"/>
      <c r="E12807" s="6"/>
      <c r="F12807" s="6"/>
    </row>
    <row r="12808" spans="1:6" x14ac:dyDescent="0.3">
      <c r="A12808" s="8" t="s">
        <v>25572</v>
      </c>
      <c r="B12808" s="8" t="s">
        <v>66403</v>
      </c>
      <c r="C12808" s="8" t="s">
        <v>25573</v>
      </c>
      <c r="D12808" s="8"/>
      <c r="E12808" s="6"/>
      <c r="F12808" s="6"/>
    </row>
    <row r="12809" spans="1:6" x14ac:dyDescent="0.3">
      <c r="A12809" s="8" t="s">
        <v>25574</v>
      </c>
      <c r="B12809" s="8" t="s">
        <v>66404</v>
      </c>
      <c r="C12809" s="8" t="s">
        <v>25575</v>
      </c>
      <c r="D12809" s="8"/>
      <c r="E12809" s="6"/>
      <c r="F12809" s="6"/>
    </row>
    <row r="12810" spans="1:6" x14ac:dyDescent="0.3">
      <c r="A12810" s="8" t="s">
        <v>25576</v>
      </c>
      <c r="B12810" s="8" t="s">
        <v>66405</v>
      </c>
      <c r="C12810" s="8" t="s">
        <v>25577</v>
      </c>
      <c r="D12810" s="8"/>
      <c r="E12810" s="6"/>
      <c r="F12810" s="6"/>
    </row>
    <row r="12811" spans="1:6" x14ac:dyDescent="0.3">
      <c r="A12811" s="8" t="s">
        <v>25578</v>
      </c>
      <c r="B12811" s="8" t="s">
        <v>66406</v>
      </c>
      <c r="C12811" s="8" t="s">
        <v>25579</v>
      </c>
      <c r="D12811" s="8"/>
      <c r="E12811" s="6"/>
      <c r="F12811" s="6"/>
    </row>
    <row r="12812" spans="1:6" x14ac:dyDescent="0.3">
      <c r="A12812" s="8" t="s">
        <v>25580</v>
      </c>
      <c r="B12812" s="8" t="s">
        <v>66407</v>
      </c>
      <c r="C12812" s="8" t="s">
        <v>25581</v>
      </c>
      <c r="D12812" s="8"/>
      <c r="E12812" s="6"/>
      <c r="F12812" s="6"/>
    </row>
    <row r="12813" spans="1:6" x14ac:dyDescent="0.3">
      <c r="A12813" s="8" t="s">
        <v>25582</v>
      </c>
      <c r="B12813" s="8" t="s">
        <v>66408</v>
      </c>
      <c r="C12813" s="8" t="s">
        <v>25583</v>
      </c>
      <c r="D12813" s="8"/>
      <c r="E12813" s="6"/>
      <c r="F12813" s="6"/>
    </row>
    <row r="12814" spans="1:6" x14ac:dyDescent="0.3">
      <c r="A12814" s="8" t="s">
        <v>25584</v>
      </c>
      <c r="B12814" s="8" t="s">
        <v>66409</v>
      </c>
      <c r="C12814" s="8" t="s">
        <v>25585</v>
      </c>
      <c r="D12814" s="8"/>
      <c r="E12814" s="6"/>
      <c r="F12814" s="6"/>
    </row>
    <row r="12815" spans="1:6" x14ac:dyDescent="0.3">
      <c r="A12815" s="8" t="s">
        <v>25586</v>
      </c>
      <c r="B12815" s="8" t="s">
        <v>66410</v>
      </c>
      <c r="C12815" s="8" t="s">
        <v>25587</v>
      </c>
      <c r="D12815" s="8"/>
      <c r="E12815" s="6"/>
      <c r="F12815" s="6"/>
    </row>
    <row r="12816" spans="1:6" x14ac:dyDescent="0.3">
      <c r="A12816" s="8" t="s">
        <v>25588</v>
      </c>
      <c r="B12816" s="8" t="s">
        <v>66411</v>
      </c>
      <c r="C12816" s="8" t="s">
        <v>25589</v>
      </c>
      <c r="D12816" s="8"/>
      <c r="E12816" s="6"/>
      <c r="F12816" s="6"/>
    </row>
    <row r="12817" spans="1:6" x14ac:dyDescent="0.3">
      <c r="A12817" s="8" t="s">
        <v>25590</v>
      </c>
      <c r="B12817" s="8" t="s">
        <v>66412</v>
      </c>
      <c r="C12817" s="8" t="s">
        <v>25591</v>
      </c>
      <c r="D12817" s="8"/>
      <c r="E12817" s="6"/>
      <c r="F12817" s="6"/>
    </row>
    <row r="12818" spans="1:6" x14ac:dyDescent="0.3">
      <c r="A12818" s="8" t="s">
        <v>25592</v>
      </c>
      <c r="B12818" s="8" t="s">
        <v>66413</v>
      </c>
      <c r="C12818" s="8" t="s">
        <v>25593</v>
      </c>
      <c r="D12818" s="8"/>
      <c r="E12818" s="6"/>
      <c r="F12818" s="6"/>
    </row>
    <row r="12819" spans="1:6" x14ac:dyDescent="0.3">
      <c r="A12819" s="8" t="s">
        <v>25594</v>
      </c>
      <c r="B12819" s="8" t="s">
        <v>66414</v>
      </c>
      <c r="C12819" s="8" t="s">
        <v>25595</v>
      </c>
      <c r="D12819" s="8"/>
      <c r="E12819" s="6"/>
      <c r="F12819" s="6"/>
    </row>
    <row r="12820" spans="1:6" x14ac:dyDescent="0.3">
      <c r="A12820" s="8" t="s">
        <v>25596</v>
      </c>
      <c r="B12820" s="8" t="s">
        <v>66415</v>
      </c>
      <c r="C12820" s="8" t="s">
        <v>25597</v>
      </c>
      <c r="D12820" s="8"/>
      <c r="E12820" s="6"/>
      <c r="F12820" s="6"/>
    </row>
    <row r="12821" spans="1:6" x14ac:dyDescent="0.3">
      <c r="A12821" s="8" t="s">
        <v>25598</v>
      </c>
      <c r="B12821" s="8" t="s">
        <v>66416</v>
      </c>
      <c r="C12821" s="8" t="s">
        <v>25599</v>
      </c>
      <c r="D12821" s="8"/>
      <c r="E12821" s="6"/>
      <c r="F12821" s="6"/>
    </row>
    <row r="12822" spans="1:6" x14ac:dyDescent="0.3">
      <c r="A12822" s="8" t="s">
        <v>25600</v>
      </c>
      <c r="B12822" s="8" t="s">
        <v>66417</v>
      </c>
      <c r="C12822" s="8" t="s">
        <v>25601</v>
      </c>
      <c r="D12822" s="8"/>
      <c r="E12822" s="6"/>
      <c r="F12822" s="6"/>
    </row>
    <row r="12823" spans="1:6" x14ac:dyDescent="0.3">
      <c r="A12823" s="8" t="s">
        <v>25602</v>
      </c>
      <c r="B12823" s="8" t="s">
        <v>66418</v>
      </c>
      <c r="C12823" s="8" t="s">
        <v>25603</v>
      </c>
      <c r="D12823" s="8"/>
      <c r="E12823" s="6"/>
      <c r="F12823" s="6"/>
    </row>
    <row r="12824" spans="1:6" x14ac:dyDescent="0.3">
      <c r="A12824" s="8" t="s">
        <v>25604</v>
      </c>
      <c r="B12824" s="8" t="s">
        <v>66419</v>
      </c>
      <c r="C12824" s="8" t="s">
        <v>25605</v>
      </c>
      <c r="D12824" s="8"/>
      <c r="E12824" s="6"/>
      <c r="F12824" s="6"/>
    </row>
    <row r="12825" spans="1:6" x14ac:dyDescent="0.3">
      <c r="A12825" s="8" t="s">
        <v>25606</v>
      </c>
      <c r="B12825" s="8" t="s">
        <v>66420</v>
      </c>
      <c r="C12825" s="8" t="s">
        <v>25607</v>
      </c>
      <c r="D12825" s="8"/>
      <c r="E12825" s="6"/>
      <c r="F12825" s="6"/>
    </row>
    <row r="12826" spans="1:6" x14ac:dyDescent="0.3">
      <c r="A12826" s="8" t="s">
        <v>25608</v>
      </c>
      <c r="B12826" s="8" t="s">
        <v>66421</v>
      </c>
      <c r="C12826" s="8" t="s">
        <v>25609</v>
      </c>
      <c r="D12826" s="8"/>
      <c r="E12826" s="6"/>
      <c r="F12826" s="6"/>
    </row>
    <row r="12827" spans="1:6" x14ac:dyDescent="0.3">
      <c r="A12827" s="8" t="s">
        <v>25610</v>
      </c>
      <c r="B12827" s="8" t="s">
        <v>66422</v>
      </c>
      <c r="C12827" s="8" t="s">
        <v>25611</v>
      </c>
      <c r="D12827" s="8"/>
      <c r="E12827" s="6"/>
      <c r="F12827" s="6"/>
    </row>
    <row r="12828" spans="1:6" x14ac:dyDescent="0.3">
      <c r="A12828" s="8" t="s">
        <v>25612</v>
      </c>
      <c r="B12828" s="8" t="s">
        <v>66423</v>
      </c>
      <c r="C12828" s="8" t="s">
        <v>25613</v>
      </c>
      <c r="D12828" s="8"/>
      <c r="E12828" s="6"/>
      <c r="F12828" s="6"/>
    </row>
    <row r="12829" spans="1:6" x14ac:dyDescent="0.3">
      <c r="A12829" s="8" t="s">
        <v>25614</v>
      </c>
      <c r="B12829" s="8" t="s">
        <v>66424</v>
      </c>
      <c r="C12829" s="8" t="s">
        <v>25615</v>
      </c>
      <c r="D12829" s="8"/>
      <c r="E12829" s="6"/>
      <c r="F12829" s="6"/>
    </row>
    <row r="12830" spans="1:6" x14ac:dyDescent="0.3">
      <c r="A12830" s="8" t="s">
        <v>25616</v>
      </c>
      <c r="B12830" s="8" t="s">
        <v>66425</v>
      </c>
      <c r="C12830" s="8" t="s">
        <v>25617</v>
      </c>
      <c r="D12830" s="8"/>
      <c r="E12830" s="6"/>
      <c r="F12830" s="6"/>
    </row>
    <row r="12831" spans="1:6" x14ac:dyDescent="0.3">
      <c r="A12831" s="8" t="s">
        <v>25618</v>
      </c>
      <c r="B12831" s="8" t="s">
        <v>66426</v>
      </c>
      <c r="C12831" s="8" t="s">
        <v>25619</v>
      </c>
      <c r="D12831" s="8"/>
      <c r="E12831" s="6"/>
      <c r="F12831" s="6"/>
    </row>
    <row r="12832" spans="1:6" x14ac:dyDescent="0.3">
      <c r="A12832" s="8" t="s">
        <v>25620</v>
      </c>
      <c r="B12832" s="8" t="s">
        <v>66427</v>
      </c>
      <c r="C12832" s="8" t="s">
        <v>25621</v>
      </c>
      <c r="D12832" s="8"/>
      <c r="E12832" s="6"/>
      <c r="F12832" s="6"/>
    </row>
    <row r="12833" spans="1:6" x14ac:dyDescent="0.3">
      <c r="A12833" s="8" t="s">
        <v>25622</v>
      </c>
      <c r="B12833" s="8" t="s">
        <v>66428</v>
      </c>
      <c r="C12833" s="8" t="s">
        <v>25623</v>
      </c>
      <c r="D12833" s="8"/>
      <c r="E12833" s="6"/>
      <c r="F12833" s="6"/>
    </row>
    <row r="12834" spans="1:6" x14ac:dyDescent="0.3">
      <c r="A12834" s="8" t="s">
        <v>25624</v>
      </c>
      <c r="B12834" s="8" t="s">
        <v>66429</v>
      </c>
      <c r="C12834" s="8" t="s">
        <v>25625</v>
      </c>
      <c r="D12834" s="8"/>
      <c r="E12834" s="6"/>
      <c r="F12834" s="6"/>
    </row>
    <row r="12835" spans="1:6" x14ac:dyDescent="0.3">
      <c r="A12835" s="8" t="s">
        <v>25626</v>
      </c>
      <c r="B12835" s="8" t="s">
        <v>66430</v>
      </c>
      <c r="C12835" s="8" t="s">
        <v>25627</v>
      </c>
      <c r="D12835" s="8"/>
      <c r="E12835" s="6"/>
      <c r="F12835" s="6"/>
    </row>
    <row r="12836" spans="1:6" x14ac:dyDescent="0.3">
      <c r="A12836" s="8" t="s">
        <v>25628</v>
      </c>
      <c r="B12836" s="8" t="s">
        <v>66431</v>
      </c>
      <c r="C12836" s="8" t="s">
        <v>25629</v>
      </c>
      <c r="D12836" s="8"/>
      <c r="E12836" s="6"/>
      <c r="F12836" s="6"/>
    </row>
    <row r="12837" spans="1:6" x14ac:dyDescent="0.3">
      <c r="A12837" s="8" t="s">
        <v>25630</v>
      </c>
      <c r="B12837" s="8" t="s">
        <v>66432</v>
      </c>
      <c r="C12837" s="8" t="s">
        <v>25631</v>
      </c>
      <c r="D12837" s="8"/>
      <c r="E12837" s="6"/>
      <c r="F12837" s="6"/>
    </row>
    <row r="12838" spans="1:6" x14ac:dyDescent="0.3">
      <c r="A12838" s="8" t="s">
        <v>25632</v>
      </c>
      <c r="B12838" s="8" t="s">
        <v>66433</v>
      </c>
      <c r="C12838" s="8" t="s">
        <v>25633</v>
      </c>
      <c r="D12838" s="8"/>
      <c r="E12838" s="6"/>
      <c r="F12838" s="6"/>
    </row>
    <row r="12839" spans="1:6" x14ac:dyDescent="0.3">
      <c r="A12839" s="8" t="s">
        <v>25634</v>
      </c>
      <c r="B12839" s="8" t="s">
        <v>66434</v>
      </c>
      <c r="C12839" s="8" t="s">
        <v>25635</v>
      </c>
      <c r="D12839" s="8"/>
      <c r="E12839" s="6"/>
      <c r="F12839" s="6"/>
    </row>
    <row r="12840" spans="1:6" x14ac:dyDescent="0.3">
      <c r="A12840" s="8" t="s">
        <v>25636</v>
      </c>
      <c r="B12840" s="8" t="s">
        <v>66435</v>
      </c>
      <c r="C12840" s="8" t="s">
        <v>25637</v>
      </c>
      <c r="D12840" s="8"/>
      <c r="E12840" s="6"/>
      <c r="F12840" s="6"/>
    </row>
    <row r="12841" spans="1:6" x14ac:dyDescent="0.3">
      <c r="A12841" s="8" t="s">
        <v>25638</v>
      </c>
      <c r="B12841" s="8" t="s">
        <v>66436</v>
      </c>
      <c r="C12841" s="8" t="s">
        <v>25639</v>
      </c>
      <c r="D12841" s="8"/>
      <c r="E12841" s="6"/>
      <c r="F12841" s="6"/>
    </row>
    <row r="12842" spans="1:6" x14ac:dyDescent="0.3">
      <c r="A12842" s="8" t="s">
        <v>25640</v>
      </c>
      <c r="B12842" s="8" t="s">
        <v>66437</v>
      </c>
      <c r="C12842" s="8" t="s">
        <v>25641</v>
      </c>
      <c r="D12842" s="8"/>
      <c r="E12842" s="6"/>
      <c r="F12842" s="6"/>
    </row>
    <row r="12843" spans="1:6" x14ac:dyDescent="0.3">
      <c r="A12843" s="8" t="s">
        <v>25642</v>
      </c>
      <c r="B12843" s="8" t="s">
        <v>66438</v>
      </c>
      <c r="C12843" s="8" t="s">
        <v>25643</v>
      </c>
      <c r="D12843" s="8"/>
      <c r="E12843" s="6"/>
      <c r="F12843" s="6"/>
    </row>
    <row r="12844" spans="1:6" x14ac:dyDescent="0.3">
      <c r="A12844" s="8" t="s">
        <v>25644</v>
      </c>
      <c r="B12844" s="8" t="s">
        <v>66439</v>
      </c>
      <c r="C12844" s="8" t="s">
        <v>25645</v>
      </c>
      <c r="D12844" s="8"/>
      <c r="E12844" s="6"/>
      <c r="F12844" s="6"/>
    </row>
    <row r="12845" spans="1:6" x14ac:dyDescent="0.3">
      <c r="A12845" s="8" t="s">
        <v>25646</v>
      </c>
      <c r="B12845" s="8" t="s">
        <v>66440</v>
      </c>
      <c r="C12845" s="8" t="s">
        <v>25647</v>
      </c>
      <c r="D12845" s="8"/>
      <c r="E12845" s="6"/>
      <c r="F12845" s="6"/>
    </row>
    <row r="12846" spans="1:6" x14ac:dyDescent="0.3">
      <c r="A12846" s="8" t="s">
        <v>25648</v>
      </c>
      <c r="B12846" s="8" t="s">
        <v>66441</v>
      </c>
      <c r="C12846" s="8" t="s">
        <v>25649</v>
      </c>
      <c r="D12846" s="8"/>
      <c r="E12846" s="6"/>
      <c r="F12846" s="6"/>
    </row>
    <row r="12847" spans="1:6" x14ac:dyDescent="0.3">
      <c r="A12847" s="8" t="s">
        <v>25650</v>
      </c>
      <c r="B12847" s="8" t="s">
        <v>66442</v>
      </c>
      <c r="C12847" s="8" t="s">
        <v>25651</v>
      </c>
      <c r="D12847" s="8"/>
      <c r="E12847" s="6"/>
      <c r="F12847" s="6"/>
    </row>
    <row r="12848" spans="1:6" x14ac:dyDescent="0.3">
      <c r="A12848" s="8" t="s">
        <v>25652</v>
      </c>
      <c r="B12848" s="8" t="s">
        <v>66443</v>
      </c>
      <c r="C12848" s="8" t="s">
        <v>25653</v>
      </c>
      <c r="D12848" s="8"/>
      <c r="E12848" s="6"/>
      <c r="F12848" s="6"/>
    </row>
    <row r="12849" spans="1:6" x14ac:dyDescent="0.3">
      <c r="A12849" s="8" t="s">
        <v>25654</v>
      </c>
      <c r="B12849" s="8" t="s">
        <v>66444</v>
      </c>
      <c r="C12849" s="8" t="s">
        <v>25655</v>
      </c>
      <c r="D12849" s="8"/>
      <c r="E12849" s="6"/>
      <c r="F12849" s="6"/>
    </row>
    <row r="12850" spans="1:6" x14ac:dyDescent="0.3">
      <c r="A12850" s="8" t="s">
        <v>25656</v>
      </c>
      <c r="B12850" s="8" t="s">
        <v>66445</v>
      </c>
      <c r="C12850" s="8" t="s">
        <v>25657</v>
      </c>
      <c r="D12850" s="8"/>
      <c r="E12850" s="6"/>
      <c r="F12850" s="6"/>
    </row>
    <row r="12851" spans="1:6" x14ac:dyDescent="0.3">
      <c r="A12851" s="8" t="s">
        <v>25658</v>
      </c>
      <c r="B12851" s="8" t="s">
        <v>66446</v>
      </c>
      <c r="C12851" s="8" t="s">
        <v>25659</v>
      </c>
      <c r="D12851" s="8"/>
      <c r="E12851" s="6"/>
      <c r="F12851" s="6"/>
    </row>
    <row r="12852" spans="1:6" x14ac:dyDescent="0.3">
      <c r="A12852" s="8" t="s">
        <v>25660</v>
      </c>
      <c r="B12852" s="8" t="s">
        <v>66447</v>
      </c>
      <c r="C12852" s="8" t="s">
        <v>25661</v>
      </c>
      <c r="D12852" s="8"/>
      <c r="E12852" s="6"/>
      <c r="F12852" s="6"/>
    </row>
    <row r="12853" spans="1:6" x14ac:dyDescent="0.3">
      <c r="A12853" s="8" t="s">
        <v>25662</v>
      </c>
      <c r="B12853" s="8" t="s">
        <v>66448</v>
      </c>
      <c r="C12853" s="8" t="s">
        <v>25663</v>
      </c>
      <c r="D12853" s="8"/>
      <c r="E12853" s="6"/>
      <c r="F12853" s="6"/>
    </row>
    <row r="12854" spans="1:6" x14ac:dyDescent="0.3">
      <c r="A12854" s="8" t="s">
        <v>25664</v>
      </c>
      <c r="B12854" s="8" t="s">
        <v>66449</v>
      </c>
      <c r="C12854" s="8" t="s">
        <v>25665</v>
      </c>
      <c r="D12854" s="8"/>
      <c r="E12854" s="6"/>
      <c r="F12854" s="6"/>
    </row>
    <row r="12855" spans="1:6" x14ac:dyDescent="0.3">
      <c r="A12855" s="8" t="s">
        <v>25666</v>
      </c>
      <c r="B12855" s="8" t="s">
        <v>66450</v>
      </c>
      <c r="C12855" s="8" t="s">
        <v>25667</v>
      </c>
      <c r="D12855" s="8"/>
      <c r="E12855" s="6"/>
      <c r="F12855" s="6"/>
    </row>
    <row r="12856" spans="1:6" x14ac:dyDescent="0.3">
      <c r="A12856" s="8" t="s">
        <v>25668</v>
      </c>
      <c r="B12856" s="8" t="s">
        <v>66451</v>
      </c>
      <c r="C12856" s="8" t="s">
        <v>25669</v>
      </c>
      <c r="D12856" s="8"/>
      <c r="E12856" s="6"/>
      <c r="F12856" s="6"/>
    </row>
    <row r="12857" spans="1:6" x14ac:dyDescent="0.3">
      <c r="A12857" s="8" t="s">
        <v>25670</v>
      </c>
      <c r="B12857" s="8" t="s">
        <v>66452</v>
      </c>
      <c r="C12857" s="8" t="s">
        <v>25671</v>
      </c>
      <c r="D12857" s="8"/>
      <c r="E12857" s="6"/>
      <c r="F12857" s="6"/>
    </row>
    <row r="12858" spans="1:6" x14ac:dyDescent="0.3">
      <c r="A12858" s="8" t="s">
        <v>25672</v>
      </c>
      <c r="B12858" s="8" t="s">
        <v>66453</v>
      </c>
      <c r="C12858" s="8" t="s">
        <v>25673</v>
      </c>
      <c r="D12858" s="8"/>
      <c r="E12858" s="6"/>
      <c r="F12858" s="6"/>
    </row>
    <row r="12859" spans="1:6" x14ac:dyDescent="0.3">
      <c r="A12859" s="8" t="s">
        <v>25674</v>
      </c>
      <c r="B12859" s="8" t="s">
        <v>66454</v>
      </c>
      <c r="C12859" s="8" t="s">
        <v>25675</v>
      </c>
      <c r="D12859" s="8"/>
      <c r="E12859" s="6"/>
      <c r="F12859" s="6"/>
    </row>
    <row r="12860" spans="1:6" x14ac:dyDescent="0.3">
      <c r="A12860" s="8" t="s">
        <v>25676</v>
      </c>
      <c r="B12860" s="8" t="s">
        <v>66455</v>
      </c>
      <c r="C12860" s="8" t="s">
        <v>25677</v>
      </c>
      <c r="D12860" s="8"/>
      <c r="E12860" s="6"/>
      <c r="F12860" s="6"/>
    </row>
    <row r="12861" spans="1:6" x14ac:dyDescent="0.3">
      <c r="A12861" s="8" t="s">
        <v>25678</v>
      </c>
      <c r="B12861" s="8" t="s">
        <v>66456</v>
      </c>
      <c r="C12861" s="8" t="s">
        <v>25679</v>
      </c>
      <c r="D12861" s="8"/>
      <c r="E12861" s="6"/>
      <c r="F12861" s="6"/>
    </row>
    <row r="12862" spans="1:6" x14ac:dyDescent="0.3">
      <c r="A12862" s="8" t="s">
        <v>25680</v>
      </c>
      <c r="B12862" s="8" t="s">
        <v>66457</v>
      </c>
      <c r="C12862" s="8" t="s">
        <v>25681</v>
      </c>
      <c r="D12862" s="8"/>
      <c r="E12862" s="6"/>
      <c r="F12862" s="6"/>
    </row>
    <row r="12863" spans="1:6" x14ac:dyDescent="0.3">
      <c r="A12863" s="8" t="s">
        <v>25682</v>
      </c>
      <c r="B12863" s="8" t="s">
        <v>66458</v>
      </c>
      <c r="C12863" s="8" t="s">
        <v>25683</v>
      </c>
      <c r="D12863" s="8"/>
      <c r="E12863" s="6"/>
      <c r="F12863" s="6"/>
    </row>
    <row r="12864" spans="1:6" x14ac:dyDescent="0.3">
      <c r="A12864" s="8" t="s">
        <v>25684</v>
      </c>
      <c r="B12864" s="8" t="s">
        <v>66459</v>
      </c>
      <c r="C12864" s="8" t="s">
        <v>25685</v>
      </c>
      <c r="D12864" s="8"/>
      <c r="E12864" s="6"/>
      <c r="F12864" s="6"/>
    </row>
    <row r="12865" spans="1:6" x14ac:dyDescent="0.3">
      <c r="A12865" s="8" t="s">
        <v>25686</v>
      </c>
      <c r="B12865" s="8" t="s">
        <v>66460</v>
      </c>
      <c r="C12865" s="8" t="s">
        <v>25687</v>
      </c>
      <c r="D12865" s="8"/>
      <c r="E12865" s="6"/>
      <c r="F12865" s="6"/>
    </row>
    <row r="12866" spans="1:6" x14ac:dyDescent="0.3">
      <c r="A12866" s="8" t="s">
        <v>25688</v>
      </c>
      <c r="B12866" s="8" t="s">
        <v>66461</v>
      </c>
      <c r="C12866" s="8" t="s">
        <v>25689</v>
      </c>
      <c r="D12866" s="8"/>
      <c r="E12866" s="6"/>
      <c r="F12866" s="6"/>
    </row>
    <row r="12867" spans="1:6" x14ac:dyDescent="0.3">
      <c r="A12867" s="8" t="s">
        <v>25690</v>
      </c>
      <c r="B12867" s="8" t="s">
        <v>66462</v>
      </c>
      <c r="C12867" s="8" t="s">
        <v>25691</v>
      </c>
      <c r="D12867" s="8"/>
      <c r="E12867" s="6"/>
      <c r="F12867" s="6"/>
    </row>
    <row r="12868" spans="1:6" x14ac:dyDescent="0.3">
      <c r="A12868" s="8" t="s">
        <v>25692</v>
      </c>
      <c r="B12868" s="8" t="s">
        <v>66463</v>
      </c>
      <c r="C12868" s="8" t="s">
        <v>25693</v>
      </c>
      <c r="D12868" s="8"/>
      <c r="E12868" s="6"/>
      <c r="F12868" s="6"/>
    </row>
    <row r="12869" spans="1:6" x14ac:dyDescent="0.3">
      <c r="A12869" s="8" t="s">
        <v>25694</v>
      </c>
      <c r="B12869" s="8" t="s">
        <v>66464</v>
      </c>
      <c r="C12869" s="8" t="s">
        <v>25695</v>
      </c>
      <c r="D12869" s="8"/>
      <c r="E12869" s="6"/>
      <c r="F12869" s="6"/>
    </row>
    <row r="12870" spans="1:6" x14ac:dyDescent="0.3">
      <c r="A12870" s="8" t="s">
        <v>25696</v>
      </c>
      <c r="B12870" s="8" t="s">
        <v>66465</v>
      </c>
      <c r="C12870" s="8" t="s">
        <v>25697</v>
      </c>
      <c r="D12870" s="8"/>
      <c r="E12870" s="6"/>
      <c r="F12870" s="6"/>
    </row>
    <row r="12871" spans="1:6" x14ac:dyDescent="0.3">
      <c r="A12871" s="8" t="s">
        <v>25698</v>
      </c>
      <c r="B12871" s="8" t="s">
        <v>66466</v>
      </c>
      <c r="C12871" s="8" t="s">
        <v>25699</v>
      </c>
      <c r="D12871" s="8"/>
      <c r="E12871" s="6"/>
      <c r="F12871" s="6"/>
    </row>
    <row r="12872" spans="1:6" x14ac:dyDescent="0.3">
      <c r="A12872" s="8" t="s">
        <v>25700</v>
      </c>
      <c r="B12872" s="8" t="s">
        <v>66467</v>
      </c>
      <c r="C12872" s="8" t="s">
        <v>25701</v>
      </c>
      <c r="D12872" s="8"/>
      <c r="E12872" s="6"/>
      <c r="F12872" s="6"/>
    </row>
    <row r="12873" spans="1:6" x14ac:dyDescent="0.3">
      <c r="A12873" s="8" t="s">
        <v>25702</v>
      </c>
      <c r="B12873" s="8" t="s">
        <v>66468</v>
      </c>
      <c r="C12873" s="8" t="s">
        <v>25703</v>
      </c>
      <c r="D12873" s="8"/>
      <c r="E12873" s="6"/>
      <c r="F12873" s="6"/>
    </row>
    <row r="12874" spans="1:6" x14ac:dyDescent="0.3">
      <c r="A12874" s="8" t="s">
        <v>25704</v>
      </c>
      <c r="B12874" s="8" t="s">
        <v>66469</v>
      </c>
      <c r="C12874" s="8" t="s">
        <v>25705</v>
      </c>
      <c r="D12874" s="8"/>
      <c r="E12874" s="6"/>
      <c r="F12874" s="6"/>
    </row>
    <row r="12875" spans="1:6" x14ac:dyDescent="0.3">
      <c r="A12875" s="8" t="s">
        <v>25706</v>
      </c>
      <c r="B12875" s="8" t="s">
        <v>66470</v>
      </c>
      <c r="C12875" s="8" t="s">
        <v>25707</v>
      </c>
      <c r="D12875" s="8"/>
      <c r="E12875" s="6"/>
      <c r="F12875" s="6"/>
    </row>
    <row r="12876" spans="1:6" x14ac:dyDescent="0.3">
      <c r="A12876" s="8" t="s">
        <v>25708</v>
      </c>
      <c r="B12876" s="8" t="s">
        <v>66471</v>
      </c>
      <c r="C12876" s="8" t="s">
        <v>25709</v>
      </c>
      <c r="D12876" s="8"/>
      <c r="E12876" s="6"/>
      <c r="F12876" s="6"/>
    </row>
    <row r="12877" spans="1:6" x14ac:dyDescent="0.3">
      <c r="A12877" s="8" t="s">
        <v>25710</v>
      </c>
      <c r="B12877" s="8" t="s">
        <v>66472</v>
      </c>
      <c r="C12877" s="8" t="s">
        <v>25711</v>
      </c>
      <c r="D12877" s="8"/>
      <c r="E12877" s="6"/>
      <c r="F12877" s="6"/>
    </row>
    <row r="12878" spans="1:6" x14ac:dyDescent="0.3">
      <c r="A12878" s="8" t="s">
        <v>25712</v>
      </c>
      <c r="B12878" s="8" t="s">
        <v>66473</v>
      </c>
      <c r="C12878" s="8" t="s">
        <v>25713</v>
      </c>
      <c r="D12878" s="8"/>
      <c r="E12878" s="6"/>
      <c r="F12878" s="6"/>
    </row>
    <row r="12879" spans="1:6" x14ac:dyDescent="0.3">
      <c r="A12879" s="8" t="s">
        <v>25714</v>
      </c>
      <c r="B12879" s="8" t="s">
        <v>66474</v>
      </c>
      <c r="C12879" s="8" t="s">
        <v>25715</v>
      </c>
      <c r="D12879" s="8"/>
      <c r="E12879" s="6"/>
      <c r="F12879" s="6"/>
    </row>
    <row r="12880" spans="1:6" x14ac:dyDescent="0.3">
      <c r="A12880" s="8" t="s">
        <v>25716</v>
      </c>
      <c r="B12880" s="8" t="s">
        <v>66475</v>
      </c>
      <c r="C12880" s="8" t="s">
        <v>25717</v>
      </c>
      <c r="D12880" s="8"/>
      <c r="E12880" s="6"/>
      <c r="F12880" s="6"/>
    </row>
    <row r="12881" spans="1:6" x14ac:dyDescent="0.3">
      <c r="A12881" s="8" t="s">
        <v>25718</v>
      </c>
      <c r="B12881" s="8" t="s">
        <v>66476</v>
      </c>
      <c r="C12881" s="8" t="s">
        <v>25719</v>
      </c>
      <c r="D12881" s="8"/>
      <c r="E12881" s="6"/>
      <c r="F12881" s="6"/>
    </row>
    <row r="12882" spans="1:6" x14ac:dyDescent="0.3">
      <c r="A12882" s="8" t="s">
        <v>25720</v>
      </c>
      <c r="B12882" s="8" t="s">
        <v>66477</v>
      </c>
      <c r="C12882" s="8" t="s">
        <v>25721</v>
      </c>
      <c r="D12882" s="8"/>
      <c r="E12882" s="6"/>
      <c r="F12882" s="6"/>
    </row>
    <row r="12883" spans="1:6" x14ac:dyDescent="0.3">
      <c r="A12883" s="8" t="s">
        <v>25722</v>
      </c>
      <c r="B12883" s="8" t="s">
        <v>66478</v>
      </c>
      <c r="C12883" s="8" t="s">
        <v>25723</v>
      </c>
      <c r="D12883" s="8"/>
      <c r="E12883" s="6"/>
      <c r="F12883" s="6"/>
    </row>
    <row r="12884" spans="1:6" x14ac:dyDescent="0.3">
      <c r="A12884" s="8" t="s">
        <v>25724</v>
      </c>
      <c r="B12884" s="8" t="s">
        <v>66479</v>
      </c>
      <c r="C12884" s="8" t="s">
        <v>25725</v>
      </c>
      <c r="D12884" s="8"/>
      <c r="E12884" s="6"/>
      <c r="F12884" s="6"/>
    </row>
    <row r="12885" spans="1:6" x14ac:dyDescent="0.3">
      <c r="A12885" s="8" t="s">
        <v>25726</v>
      </c>
      <c r="B12885" s="8" t="s">
        <v>66480</v>
      </c>
      <c r="C12885" s="8" t="s">
        <v>25727</v>
      </c>
      <c r="D12885" s="8"/>
      <c r="E12885" s="6"/>
      <c r="F12885" s="6"/>
    </row>
    <row r="12886" spans="1:6" x14ac:dyDescent="0.3">
      <c r="A12886" s="8" t="s">
        <v>25728</v>
      </c>
      <c r="B12886" s="8" t="s">
        <v>66481</v>
      </c>
      <c r="C12886" s="8" t="s">
        <v>25729</v>
      </c>
      <c r="D12886" s="8"/>
      <c r="E12886" s="6"/>
      <c r="F12886" s="6"/>
    </row>
    <row r="12887" spans="1:6" x14ac:dyDescent="0.3">
      <c r="A12887" s="8" t="s">
        <v>25730</v>
      </c>
      <c r="B12887" s="8" t="s">
        <v>66482</v>
      </c>
      <c r="C12887" s="8" t="s">
        <v>25731</v>
      </c>
      <c r="D12887" s="8"/>
      <c r="E12887" s="6"/>
      <c r="F12887" s="6"/>
    </row>
    <row r="12888" spans="1:6" x14ac:dyDescent="0.3">
      <c r="A12888" s="8" t="s">
        <v>25732</v>
      </c>
      <c r="B12888" s="8" t="s">
        <v>66483</v>
      </c>
      <c r="C12888" s="8" t="s">
        <v>25733</v>
      </c>
      <c r="D12888" s="8"/>
      <c r="E12888" s="6"/>
      <c r="F12888" s="6"/>
    </row>
    <row r="12889" spans="1:6" x14ac:dyDescent="0.3">
      <c r="A12889" s="8" t="s">
        <v>25734</v>
      </c>
      <c r="B12889" s="8" t="s">
        <v>66484</v>
      </c>
      <c r="C12889" s="8" t="s">
        <v>25735</v>
      </c>
      <c r="D12889" s="8"/>
      <c r="E12889" s="6"/>
      <c r="F12889" s="6"/>
    </row>
    <row r="12890" spans="1:6" x14ac:dyDescent="0.3">
      <c r="A12890" s="8" t="s">
        <v>25736</v>
      </c>
      <c r="B12890" s="8" t="s">
        <v>66485</v>
      </c>
      <c r="C12890" s="8" t="s">
        <v>25737</v>
      </c>
      <c r="D12890" s="8"/>
      <c r="E12890" s="6"/>
      <c r="F12890" s="6"/>
    </row>
    <row r="12891" spans="1:6" x14ac:dyDescent="0.3">
      <c r="A12891" s="8" t="s">
        <v>25738</v>
      </c>
      <c r="B12891" s="8" t="s">
        <v>66486</v>
      </c>
      <c r="C12891" s="8" t="s">
        <v>25739</v>
      </c>
      <c r="D12891" s="8"/>
      <c r="E12891" s="6"/>
      <c r="F12891" s="6"/>
    </row>
    <row r="12892" spans="1:6" x14ac:dyDescent="0.3">
      <c r="A12892" s="8" t="s">
        <v>25740</v>
      </c>
      <c r="B12892" s="8" t="s">
        <v>66487</v>
      </c>
      <c r="C12892" s="8" t="s">
        <v>25741</v>
      </c>
      <c r="D12892" s="8"/>
      <c r="E12892" s="6"/>
      <c r="F12892" s="6"/>
    </row>
    <row r="12893" spans="1:6" x14ac:dyDescent="0.3">
      <c r="A12893" s="8" t="s">
        <v>25742</v>
      </c>
      <c r="B12893" s="8" t="s">
        <v>66488</v>
      </c>
      <c r="C12893" s="8" t="s">
        <v>25743</v>
      </c>
      <c r="D12893" s="8"/>
      <c r="E12893" s="6"/>
      <c r="F12893" s="6"/>
    </row>
    <row r="12894" spans="1:6" x14ac:dyDescent="0.3">
      <c r="A12894" s="8" t="s">
        <v>25744</v>
      </c>
      <c r="B12894" s="8" t="s">
        <v>66489</v>
      </c>
      <c r="C12894" s="8" t="s">
        <v>25745</v>
      </c>
      <c r="D12894" s="8"/>
      <c r="E12894" s="6"/>
      <c r="F12894" s="6"/>
    </row>
    <row r="12895" spans="1:6" x14ac:dyDescent="0.3">
      <c r="A12895" s="8" t="s">
        <v>25746</v>
      </c>
      <c r="B12895" s="8" t="s">
        <v>66490</v>
      </c>
      <c r="C12895" s="8" t="s">
        <v>25747</v>
      </c>
      <c r="D12895" s="8"/>
      <c r="E12895" s="6"/>
      <c r="F12895" s="6"/>
    </row>
    <row r="12896" spans="1:6" x14ac:dyDescent="0.3">
      <c r="A12896" s="8" t="s">
        <v>25748</v>
      </c>
      <c r="B12896" s="8" t="s">
        <v>66491</v>
      </c>
      <c r="C12896" s="8" t="s">
        <v>25749</v>
      </c>
      <c r="D12896" s="8"/>
      <c r="E12896" s="6"/>
      <c r="F12896" s="6"/>
    </row>
    <row r="12897" spans="1:6" x14ac:dyDescent="0.3">
      <c r="A12897" s="8" t="s">
        <v>25750</v>
      </c>
      <c r="B12897" s="8" t="s">
        <v>66492</v>
      </c>
      <c r="C12897" s="8" t="s">
        <v>25751</v>
      </c>
      <c r="D12897" s="8"/>
      <c r="E12897" s="6"/>
      <c r="F12897" s="6"/>
    </row>
    <row r="12898" spans="1:6" x14ac:dyDescent="0.3">
      <c r="A12898" s="8" t="s">
        <v>25752</v>
      </c>
      <c r="B12898" s="8" t="s">
        <v>66493</v>
      </c>
      <c r="C12898" s="8" t="s">
        <v>25753</v>
      </c>
      <c r="D12898" s="8"/>
      <c r="E12898" s="6"/>
      <c r="F12898" s="6"/>
    </row>
    <row r="12899" spans="1:6" x14ac:dyDescent="0.3">
      <c r="A12899" s="8" t="s">
        <v>25754</v>
      </c>
      <c r="B12899" s="8" t="s">
        <v>66494</v>
      </c>
      <c r="C12899" s="8" t="s">
        <v>25755</v>
      </c>
      <c r="D12899" s="8"/>
      <c r="E12899" s="6"/>
      <c r="F12899" s="6"/>
    </row>
    <row r="12900" spans="1:6" x14ac:dyDescent="0.3">
      <c r="A12900" s="8" t="s">
        <v>25756</v>
      </c>
      <c r="B12900" s="8" t="s">
        <v>66495</v>
      </c>
      <c r="C12900" s="8" t="s">
        <v>25757</v>
      </c>
      <c r="D12900" s="8"/>
      <c r="E12900" s="6"/>
      <c r="F12900" s="6"/>
    </row>
    <row r="12901" spans="1:6" x14ac:dyDescent="0.3">
      <c r="A12901" s="8" t="s">
        <v>25758</v>
      </c>
      <c r="B12901" s="8" t="s">
        <v>66496</v>
      </c>
      <c r="C12901" s="8" t="s">
        <v>25759</v>
      </c>
      <c r="D12901" s="8"/>
      <c r="E12901" s="6"/>
      <c r="F12901" s="6"/>
    </row>
    <row r="12902" spans="1:6" x14ac:dyDescent="0.3">
      <c r="A12902" s="8" t="s">
        <v>25760</v>
      </c>
      <c r="B12902" s="8" t="s">
        <v>66497</v>
      </c>
      <c r="C12902" s="8" t="s">
        <v>25761</v>
      </c>
      <c r="D12902" s="8"/>
      <c r="E12902" s="6"/>
      <c r="F12902" s="6"/>
    </row>
    <row r="12903" spans="1:6" x14ac:dyDescent="0.3">
      <c r="A12903" s="8" t="s">
        <v>25762</v>
      </c>
      <c r="B12903" s="8" t="s">
        <v>66498</v>
      </c>
      <c r="C12903" s="8" t="s">
        <v>25763</v>
      </c>
      <c r="D12903" s="8"/>
      <c r="E12903" s="6"/>
      <c r="F12903" s="6"/>
    </row>
    <row r="12904" spans="1:6" x14ac:dyDescent="0.3">
      <c r="A12904" s="8" t="s">
        <v>25764</v>
      </c>
      <c r="B12904" s="8" t="s">
        <v>66499</v>
      </c>
      <c r="C12904" s="8" t="s">
        <v>25765</v>
      </c>
      <c r="D12904" s="8"/>
      <c r="E12904" s="6"/>
      <c r="F12904" s="6"/>
    </row>
    <row r="12905" spans="1:6" x14ac:dyDescent="0.3">
      <c r="A12905" s="8" t="s">
        <v>25766</v>
      </c>
      <c r="B12905" s="8" t="s">
        <v>66500</v>
      </c>
      <c r="C12905" s="8" t="s">
        <v>25767</v>
      </c>
      <c r="D12905" s="8"/>
      <c r="E12905" s="6"/>
      <c r="F12905" s="6"/>
    </row>
    <row r="12906" spans="1:6" x14ac:dyDescent="0.3">
      <c r="A12906" s="8" t="s">
        <v>25768</v>
      </c>
      <c r="B12906" s="8" t="s">
        <v>66501</v>
      </c>
      <c r="C12906" s="8" t="s">
        <v>25769</v>
      </c>
      <c r="D12906" s="8"/>
      <c r="E12906" s="6"/>
      <c r="F12906" s="6"/>
    </row>
    <row r="12907" spans="1:6" x14ac:dyDescent="0.3">
      <c r="A12907" s="8" t="s">
        <v>25770</v>
      </c>
      <c r="B12907" s="8" t="s">
        <v>66502</v>
      </c>
      <c r="C12907" s="8" t="s">
        <v>25771</v>
      </c>
      <c r="D12907" s="8"/>
      <c r="E12907" s="6"/>
      <c r="F12907" s="6"/>
    </row>
    <row r="12908" spans="1:6" x14ac:dyDescent="0.3">
      <c r="A12908" s="8" t="s">
        <v>25772</v>
      </c>
      <c r="B12908" s="8" t="s">
        <v>66503</v>
      </c>
      <c r="C12908" s="8" t="s">
        <v>25773</v>
      </c>
      <c r="D12908" s="8"/>
      <c r="E12908" s="6"/>
      <c r="F12908" s="6"/>
    </row>
    <row r="12909" spans="1:6" x14ac:dyDescent="0.3">
      <c r="A12909" s="8" t="s">
        <v>25774</v>
      </c>
      <c r="B12909" s="8" t="s">
        <v>66504</v>
      </c>
      <c r="C12909" s="8" t="s">
        <v>25775</v>
      </c>
      <c r="D12909" s="8"/>
      <c r="E12909" s="6"/>
      <c r="F12909" s="6"/>
    </row>
    <row r="12910" spans="1:6" x14ac:dyDescent="0.3">
      <c r="A12910" s="8" t="s">
        <v>25776</v>
      </c>
      <c r="B12910" s="8" t="s">
        <v>66505</v>
      </c>
      <c r="C12910" s="8" t="s">
        <v>25777</v>
      </c>
      <c r="D12910" s="8"/>
      <c r="E12910" s="6"/>
      <c r="F12910" s="6"/>
    </row>
    <row r="12911" spans="1:6" x14ac:dyDescent="0.3">
      <c r="A12911" s="8" t="s">
        <v>25778</v>
      </c>
      <c r="B12911" s="8" t="s">
        <v>66506</v>
      </c>
      <c r="C12911" s="8" t="s">
        <v>25779</v>
      </c>
      <c r="D12911" s="8"/>
      <c r="E12911" s="6"/>
      <c r="F12911" s="6"/>
    </row>
    <row r="12912" spans="1:6" x14ac:dyDescent="0.3">
      <c r="A12912" s="8" t="s">
        <v>25780</v>
      </c>
      <c r="B12912" s="8" t="s">
        <v>66507</v>
      </c>
      <c r="C12912" s="8" t="s">
        <v>25781</v>
      </c>
      <c r="D12912" s="8"/>
      <c r="E12912" s="6"/>
      <c r="F12912" s="6"/>
    </row>
    <row r="12913" spans="1:6" x14ac:dyDescent="0.3">
      <c r="A12913" s="8" t="s">
        <v>25782</v>
      </c>
      <c r="B12913" s="8" t="s">
        <v>66508</v>
      </c>
      <c r="C12913" s="8" t="s">
        <v>25783</v>
      </c>
      <c r="D12913" s="8"/>
      <c r="E12913" s="6"/>
      <c r="F12913" s="6"/>
    </row>
    <row r="12914" spans="1:6" x14ac:dyDescent="0.3">
      <c r="A12914" s="8" t="s">
        <v>25784</v>
      </c>
      <c r="B12914" s="8" t="s">
        <v>66509</v>
      </c>
      <c r="C12914" s="8" t="s">
        <v>25785</v>
      </c>
      <c r="D12914" s="8"/>
      <c r="E12914" s="6"/>
      <c r="F12914" s="6"/>
    </row>
    <row r="12915" spans="1:6" x14ac:dyDescent="0.3">
      <c r="A12915" s="8" t="s">
        <v>25786</v>
      </c>
      <c r="B12915" s="8" t="s">
        <v>66510</v>
      </c>
      <c r="C12915" s="8" t="s">
        <v>25787</v>
      </c>
      <c r="D12915" s="8"/>
      <c r="E12915" s="6"/>
      <c r="F12915" s="6"/>
    </row>
    <row r="12916" spans="1:6" x14ac:dyDescent="0.3">
      <c r="A12916" s="8" t="s">
        <v>25788</v>
      </c>
      <c r="B12916" s="8" t="s">
        <v>66511</v>
      </c>
      <c r="C12916" s="8" t="s">
        <v>25789</v>
      </c>
      <c r="D12916" s="8"/>
      <c r="E12916" s="6"/>
      <c r="F12916" s="6"/>
    </row>
    <row r="12917" spans="1:6" x14ac:dyDescent="0.3">
      <c r="A12917" s="8" t="s">
        <v>25790</v>
      </c>
      <c r="B12917" s="8" t="s">
        <v>66512</v>
      </c>
      <c r="C12917" s="8" t="s">
        <v>25791</v>
      </c>
      <c r="D12917" s="8"/>
      <c r="E12917" s="6"/>
      <c r="F12917" s="6"/>
    </row>
    <row r="12918" spans="1:6" x14ac:dyDescent="0.3">
      <c r="A12918" s="8" t="s">
        <v>25792</v>
      </c>
      <c r="B12918" s="8" t="s">
        <v>66513</v>
      </c>
      <c r="C12918" s="8" t="s">
        <v>25793</v>
      </c>
      <c r="D12918" s="8"/>
      <c r="E12918" s="6"/>
      <c r="F12918" s="6"/>
    </row>
    <row r="12919" spans="1:6" x14ac:dyDescent="0.3">
      <c r="A12919" s="8" t="s">
        <v>25794</v>
      </c>
      <c r="B12919" s="8" t="s">
        <v>66514</v>
      </c>
      <c r="C12919" s="8" t="s">
        <v>25795</v>
      </c>
      <c r="D12919" s="8"/>
      <c r="E12919" s="6"/>
      <c r="F12919" s="6"/>
    </row>
    <row r="12920" spans="1:6" x14ac:dyDescent="0.3">
      <c r="A12920" s="8" t="s">
        <v>25796</v>
      </c>
      <c r="B12920" s="8" t="s">
        <v>66515</v>
      </c>
      <c r="C12920" s="8" t="s">
        <v>25797</v>
      </c>
      <c r="D12920" s="8"/>
      <c r="E12920" s="6"/>
      <c r="F12920" s="6"/>
    </row>
    <row r="12921" spans="1:6" x14ac:dyDescent="0.3">
      <c r="A12921" s="8" t="s">
        <v>25798</v>
      </c>
      <c r="B12921" s="8" t="s">
        <v>66516</v>
      </c>
      <c r="C12921" s="8" t="s">
        <v>25799</v>
      </c>
      <c r="D12921" s="8"/>
      <c r="E12921" s="6"/>
      <c r="F12921" s="6"/>
    </row>
    <row r="12922" spans="1:6" x14ac:dyDescent="0.3">
      <c r="A12922" s="8" t="s">
        <v>25800</v>
      </c>
      <c r="B12922" s="8" t="s">
        <v>66517</v>
      </c>
      <c r="C12922" s="8" t="s">
        <v>25801</v>
      </c>
      <c r="D12922" s="8"/>
      <c r="E12922" s="6"/>
      <c r="F12922" s="6"/>
    </row>
    <row r="12923" spans="1:6" x14ac:dyDescent="0.3">
      <c r="A12923" s="8" t="s">
        <v>25802</v>
      </c>
      <c r="B12923" s="8" t="s">
        <v>66518</v>
      </c>
      <c r="C12923" s="8" t="s">
        <v>25803</v>
      </c>
      <c r="D12923" s="8"/>
      <c r="E12923" s="6"/>
      <c r="F12923" s="6"/>
    </row>
    <row r="12924" spans="1:6" x14ac:dyDescent="0.3">
      <c r="A12924" s="8" t="s">
        <v>25804</v>
      </c>
      <c r="B12924" s="8" t="s">
        <v>66519</v>
      </c>
      <c r="C12924" s="8" t="s">
        <v>25805</v>
      </c>
      <c r="D12924" s="8"/>
      <c r="E12924" s="6"/>
      <c r="F12924" s="6"/>
    </row>
    <row r="12925" spans="1:6" x14ac:dyDescent="0.3">
      <c r="A12925" s="8" t="s">
        <v>25806</v>
      </c>
      <c r="B12925" s="8" t="s">
        <v>66520</v>
      </c>
      <c r="C12925" s="8" t="s">
        <v>25807</v>
      </c>
      <c r="D12925" s="8"/>
      <c r="E12925" s="6"/>
      <c r="F12925" s="6"/>
    </row>
    <row r="12926" spans="1:6" x14ac:dyDescent="0.3">
      <c r="A12926" s="8" t="s">
        <v>25808</v>
      </c>
      <c r="B12926" s="8" t="s">
        <v>66521</v>
      </c>
      <c r="C12926" s="8" t="s">
        <v>25809</v>
      </c>
      <c r="D12926" s="8"/>
      <c r="E12926" s="6"/>
      <c r="F12926" s="6"/>
    </row>
    <row r="12927" spans="1:6" x14ac:dyDescent="0.3">
      <c r="A12927" s="8" t="s">
        <v>25810</v>
      </c>
      <c r="B12927" s="8" t="s">
        <v>66522</v>
      </c>
      <c r="C12927" s="8" t="s">
        <v>25811</v>
      </c>
      <c r="D12927" s="8"/>
      <c r="E12927" s="6"/>
      <c r="F12927" s="6"/>
    </row>
    <row r="12928" spans="1:6" x14ac:dyDescent="0.3">
      <c r="A12928" s="8" t="s">
        <v>25812</v>
      </c>
      <c r="B12928" s="8" t="s">
        <v>66523</v>
      </c>
      <c r="C12928" s="8" t="s">
        <v>25813</v>
      </c>
      <c r="D12928" s="8"/>
      <c r="E12928" s="6"/>
      <c r="F12928" s="6"/>
    </row>
    <row r="12929" spans="1:6" x14ac:dyDescent="0.3">
      <c r="A12929" s="8" t="s">
        <v>25814</v>
      </c>
      <c r="B12929" s="8" t="s">
        <v>66524</v>
      </c>
      <c r="C12929" s="8" t="s">
        <v>25815</v>
      </c>
      <c r="D12929" s="8"/>
      <c r="E12929" s="6"/>
      <c r="F12929" s="6"/>
    </row>
    <row r="12930" spans="1:6" x14ac:dyDescent="0.3">
      <c r="A12930" s="8" t="s">
        <v>25816</v>
      </c>
      <c r="B12930" s="8" t="s">
        <v>66525</v>
      </c>
      <c r="C12930" s="8" t="s">
        <v>25817</v>
      </c>
      <c r="D12930" s="8"/>
      <c r="E12930" s="6"/>
      <c r="F12930" s="6"/>
    </row>
    <row r="12931" spans="1:6" x14ac:dyDescent="0.3">
      <c r="A12931" s="8" t="s">
        <v>25818</v>
      </c>
      <c r="B12931" s="8" t="s">
        <v>66526</v>
      </c>
      <c r="C12931" s="8" t="s">
        <v>25819</v>
      </c>
      <c r="D12931" s="8"/>
      <c r="E12931" s="6"/>
      <c r="F12931" s="6"/>
    </row>
    <row r="12932" spans="1:6" x14ac:dyDescent="0.3">
      <c r="A12932" s="8" t="s">
        <v>25820</v>
      </c>
      <c r="B12932" s="8" t="s">
        <v>66527</v>
      </c>
      <c r="C12932" s="8" t="s">
        <v>25821</v>
      </c>
      <c r="D12932" s="8"/>
      <c r="E12932" s="6"/>
      <c r="F12932" s="6"/>
    </row>
    <row r="12933" spans="1:6" x14ac:dyDescent="0.3">
      <c r="A12933" s="8" t="s">
        <v>25822</v>
      </c>
      <c r="B12933" s="8" t="s">
        <v>66528</v>
      </c>
      <c r="C12933" s="8" t="s">
        <v>25823</v>
      </c>
      <c r="D12933" s="8"/>
      <c r="E12933" s="6"/>
      <c r="F12933" s="6"/>
    </row>
    <row r="12934" spans="1:6" x14ac:dyDescent="0.3">
      <c r="A12934" s="8" t="s">
        <v>25824</v>
      </c>
      <c r="B12934" s="8" t="s">
        <v>66529</v>
      </c>
      <c r="C12934" s="8" t="s">
        <v>25825</v>
      </c>
      <c r="D12934" s="8"/>
      <c r="E12934" s="6"/>
      <c r="F12934" s="6"/>
    </row>
    <row r="12935" spans="1:6" x14ac:dyDescent="0.3">
      <c r="A12935" s="8" t="s">
        <v>25826</v>
      </c>
      <c r="B12935" s="8" t="s">
        <v>66530</v>
      </c>
      <c r="C12935" s="8" t="s">
        <v>25827</v>
      </c>
      <c r="D12935" s="8"/>
      <c r="E12935" s="6"/>
      <c r="F12935" s="6"/>
    </row>
    <row r="12936" spans="1:6" x14ac:dyDescent="0.3">
      <c r="A12936" s="8" t="s">
        <v>25828</v>
      </c>
      <c r="B12936" s="8" t="s">
        <v>66531</v>
      </c>
      <c r="C12936" s="8" t="s">
        <v>25829</v>
      </c>
      <c r="D12936" s="8"/>
      <c r="E12936" s="6"/>
      <c r="F12936" s="6"/>
    </row>
    <row r="12937" spans="1:6" x14ac:dyDescent="0.3">
      <c r="A12937" s="8" t="s">
        <v>25830</v>
      </c>
      <c r="B12937" s="8" t="s">
        <v>66532</v>
      </c>
      <c r="C12937" s="8" t="s">
        <v>25831</v>
      </c>
      <c r="D12937" s="8"/>
      <c r="E12937" s="6"/>
      <c r="F12937" s="6"/>
    </row>
    <row r="12938" spans="1:6" x14ac:dyDescent="0.3">
      <c r="A12938" s="8" t="s">
        <v>25832</v>
      </c>
      <c r="B12938" s="8" t="s">
        <v>66533</v>
      </c>
      <c r="C12938" s="8" t="s">
        <v>25833</v>
      </c>
      <c r="D12938" s="8"/>
      <c r="E12938" s="6"/>
      <c r="F12938" s="6"/>
    </row>
    <row r="12939" spans="1:6" x14ac:dyDescent="0.3">
      <c r="A12939" s="8" t="s">
        <v>25834</v>
      </c>
      <c r="B12939" s="8" t="s">
        <v>66534</v>
      </c>
      <c r="C12939" s="8" t="s">
        <v>25835</v>
      </c>
      <c r="D12939" s="8"/>
      <c r="E12939" s="6"/>
      <c r="F12939" s="6"/>
    </row>
    <row r="12940" spans="1:6" x14ac:dyDescent="0.3">
      <c r="A12940" s="8" t="s">
        <v>25836</v>
      </c>
      <c r="B12940" s="8" t="s">
        <v>66535</v>
      </c>
      <c r="C12940" s="8" t="s">
        <v>25837</v>
      </c>
      <c r="D12940" s="8"/>
      <c r="E12940" s="6"/>
      <c r="F12940" s="6"/>
    </row>
    <row r="12941" spans="1:6" x14ac:dyDescent="0.3">
      <c r="A12941" s="8" t="s">
        <v>25838</v>
      </c>
      <c r="B12941" s="8" t="s">
        <v>66536</v>
      </c>
      <c r="C12941" s="8" t="s">
        <v>25839</v>
      </c>
      <c r="D12941" s="8"/>
      <c r="E12941" s="6"/>
      <c r="F12941" s="6"/>
    </row>
    <row r="12942" spans="1:6" x14ac:dyDescent="0.3">
      <c r="A12942" s="8" t="s">
        <v>25840</v>
      </c>
      <c r="B12942" s="8" t="s">
        <v>66537</v>
      </c>
      <c r="C12942" s="8" t="s">
        <v>25841</v>
      </c>
      <c r="D12942" s="8"/>
      <c r="E12942" s="6"/>
      <c r="F12942" s="6"/>
    </row>
    <row r="12943" spans="1:6" x14ac:dyDescent="0.3">
      <c r="A12943" s="8" t="s">
        <v>25842</v>
      </c>
      <c r="B12943" s="8" t="s">
        <v>66538</v>
      </c>
      <c r="C12943" s="8" t="s">
        <v>25843</v>
      </c>
      <c r="D12943" s="8"/>
      <c r="E12943" s="6"/>
      <c r="F12943" s="6"/>
    </row>
    <row r="12944" spans="1:6" x14ac:dyDescent="0.3">
      <c r="A12944" s="8" t="s">
        <v>25844</v>
      </c>
      <c r="B12944" s="8" t="s">
        <v>66539</v>
      </c>
      <c r="C12944" s="8" t="s">
        <v>25845</v>
      </c>
      <c r="D12944" s="8"/>
      <c r="E12944" s="6"/>
      <c r="F12944" s="6"/>
    </row>
    <row r="12945" spans="1:6" x14ac:dyDescent="0.3">
      <c r="A12945" s="8" t="s">
        <v>25846</v>
      </c>
      <c r="B12945" s="8" t="s">
        <v>66540</v>
      </c>
      <c r="C12945" s="8" t="s">
        <v>25847</v>
      </c>
      <c r="D12945" s="8"/>
      <c r="E12945" s="6"/>
      <c r="F12945" s="6"/>
    </row>
    <row r="12946" spans="1:6" x14ac:dyDescent="0.3">
      <c r="A12946" s="8" t="s">
        <v>25848</v>
      </c>
      <c r="B12946" s="8" t="s">
        <v>66541</v>
      </c>
      <c r="C12946" s="8" t="s">
        <v>25849</v>
      </c>
      <c r="D12946" s="8"/>
      <c r="E12946" s="6"/>
      <c r="F12946" s="6"/>
    </row>
    <row r="12947" spans="1:6" x14ac:dyDescent="0.3">
      <c r="A12947" s="8" t="s">
        <v>25850</v>
      </c>
      <c r="B12947" s="8" t="s">
        <v>66542</v>
      </c>
      <c r="C12947" s="8" t="s">
        <v>25851</v>
      </c>
      <c r="D12947" s="8"/>
      <c r="E12947" s="6"/>
      <c r="F12947" s="6"/>
    </row>
    <row r="12948" spans="1:6" x14ac:dyDescent="0.3">
      <c r="A12948" s="8" t="s">
        <v>25852</v>
      </c>
      <c r="B12948" s="8" t="s">
        <v>66543</v>
      </c>
      <c r="C12948" s="8" t="s">
        <v>25853</v>
      </c>
      <c r="D12948" s="8"/>
      <c r="E12948" s="6"/>
      <c r="F12948" s="6"/>
    </row>
    <row r="12949" spans="1:6" x14ac:dyDescent="0.3">
      <c r="A12949" s="8" t="s">
        <v>25854</v>
      </c>
      <c r="B12949" s="8" t="s">
        <v>66544</v>
      </c>
      <c r="C12949" s="8" t="s">
        <v>25855</v>
      </c>
      <c r="D12949" s="8"/>
      <c r="E12949" s="6"/>
      <c r="F12949" s="6"/>
    </row>
    <row r="12950" spans="1:6" x14ac:dyDescent="0.3">
      <c r="A12950" s="8" t="s">
        <v>25856</v>
      </c>
      <c r="B12950" s="8" t="s">
        <v>66545</v>
      </c>
      <c r="C12950" s="8" t="s">
        <v>25857</v>
      </c>
      <c r="D12950" s="8"/>
      <c r="E12950" s="6"/>
      <c r="F12950" s="6"/>
    </row>
    <row r="12951" spans="1:6" x14ac:dyDescent="0.3">
      <c r="A12951" s="8" t="s">
        <v>25858</v>
      </c>
      <c r="B12951" s="8" t="s">
        <v>66546</v>
      </c>
      <c r="C12951" s="8" t="s">
        <v>25859</v>
      </c>
      <c r="D12951" s="8"/>
      <c r="E12951" s="6"/>
      <c r="F12951" s="6"/>
    </row>
    <row r="12952" spans="1:6" x14ac:dyDescent="0.3">
      <c r="A12952" s="8" t="s">
        <v>25860</v>
      </c>
      <c r="B12952" s="8" t="s">
        <v>66547</v>
      </c>
      <c r="C12952" s="8" t="s">
        <v>25861</v>
      </c>
      <c r="D12952" s="8"/>
      <c r="E12952" s="6"/>
      <c r="F12952" s="6"/>
    </row>
    <row r="12953" spans="1:6" x14ac:dyDescent="0.3">
      <c r="A12953" s="8" t="s">
        <v>25862</v>
      </c>
      <c r="B12953" s="8" t="s">
        <v>66548</v>
      </c>
      <c r="C12953" s="8" t="s">
        <v>25863</v>
      </c>
      <c r="D12953" s="8"/>
      <c r="E12953" s="6"/>
      <c r="F12953" s="6"/>
    </row>
    <row r="12954" spans="1:6" x14ac:dyDescent="0.3">
      <c r="A12954" s="8" t="s">
        <v>25864</v>
      </c>
      <c r="B12954" s="8" t="s">
        <v>66549</v>
      </c>
      <c r="C12954" s="8" t="s">
        <v>25865</v>
      </c>
      <c r="D12954" s="8"/>
      <c r="E12954" s="6"/>
      <c r="F12954" s="6"/>
    </row>
    <row r="12955" spans="1:6" x14ac:dyDescent="0.3">
      <c r="A12955" s="8" t="s">
        <v>25866</v>
      </c>
      <c r="B12955" s="8" t="s">
        <v>66550</v>
      </c>
      <c r="C12955" s="8" t="s">
        <v>25867</v>
      </c>
      <c r="D12955" s="8"/>
      <c r="E12955" s="6"/>
      <c r="F12955" s="6"/>
    </row>
    <row r="12956" spans="1:6" x14ac:dyDescent="0.3">
      <c r="A12956" s="8" t="s">
        <v>25868</v>
      </c>
      <c r="B12956" s="8" t="s">
        <v>66551</v>
      </c>
      <c r="C12956" s="8" t="s">
        <v>25869</v>
      </c>
      <c r="D12956" s="8"/>
      <c r="E12956" s="6"/>
      <c r="F12956" s="6"/>
    </row>
    <row r="12957" spans="1:6" x14ac:dyDescent="0.3">
      <c r="A12957" s="8" t="s">
        <v>25870</v>
      </c>
      <c r="B12957" s="8" t="s">
        <v>66552</v>
      </c>
      <c r="C12957" s="8" t="s">
        <v>25871</v>
      </c>
      <c r="D12957" s="8"/>
      <c r="E12957" s="6"/>
      <c r="F12957" s="6"/>
    </row>
    <row r="12958" spans="1:6" x14ac:dyDescent="0.3">
      <c r="A12958" s="8" t="s">
        <v>25872</v>
      </c>
      <c r="B12958" s="8" t="s">
        <v>66553</v>
      </c>
      <c r="C12958" s="8" t="s">
        <v>25873</v>
      </c>
      <c r="D12958" s="8"/>
      <c r="E12958" s="6"/>
      <c r="F12958" s="6"/>
    </row>
    <row r="12959" spans="1:6" x14ac:dyDescent="0.3">
      <c r="A12959" s="8" t="s">
        <v>25874</v>
      </c>
      <c r="B12959" s="8" t="s">
        <v>66554</v>
      </c>
      <c r="C12959" s="8" t="s">
        <v>25875</v>
      </c>
      <c r="D12959" s="8"/>
      <c r="E12959" s="6"/>
      <c r="F12959" s="6"/>
    </row>
    <row r="12960" spans="1:6" x14ac:dyDescent="0.3">
      <c r="A12960" s="8" t="s">
        <v>25876</v>
      </c>
      <c r="B12960" s="8" t="s">
        <v>66555</v>
      </c>
      <c r="C12960" s="8" t="s">
        <v>25877</v>
      </c>
      <c r="D12960" s="8"/>
      <c r="E12960" s="6"/>
      <c r="F12960" s="6"/>
    </row>
    <row r="12961" spans="1:6" x14ac:dyDescent="0.3">
      <c r="A12961" s="8" t="s">
        <v>25878</v>
      </c>
      <c r="B12961" s="8" t="s">
        <v>66556</v>
      </c>
      <c r="C12961" s="8" t="s">
        <v>25879</v>
      </c>
      <c r="D12961" s="8"/>
      <c r="E12961" s="6"/>
      <c r="F12961" s="6"/>
    </row>
    <row r="12962" spans="1:6" x14ac:dyDescent="0.3">
      <c r="A12962" s="8" t="s">
        <v>25880</v>
      </c>
      <c r="B12962" s="8" t="s">
        <v>66557</v>
      </c>
      <c r="C12962" s="8" t="s">
        <v>25881</v>
      </c>
      <c r="D12962" s="8"/>
      <c r="E12962" s="6"/>
      <c r="F12962" s="6"/>
    </row>
    <row r="12963" spans="1:6" x14ac:dyDescent="0.3">
      <c r="A12963" s="8" t="s">
        <v>25882</v>
      </c>
      <c r="B12963" s="8" t="s">
        <v>66558</v>
      </c>
      <c r="C12963" s="8" t="s">
        <v>25883</v>
      </c>
      <c r="D12963" s="8"/>
      <c r="E12963" s="6"/>
      <c r="F12963" s="6"/>
    </row>
    <row r="12964" spans="1:6" x14ac:dyDescent="0.3">
      <c r="A12964" s="8" t="s">
        <v>25884</v>
      </c>
      <c r="B12964" s="8" t="s">
        <v>66559</v>
      </c>
      <c r="C12964" s="8" t="s">
        <v>25885</v>
      </c>
      <c r="D12964" s="8"/>
      <c r="E12964" s="6"/>
      <c r="F12964" s="6"/>
    </row>
    <row r="12965" spans="1:6" x14ac:dyDescent="0.3">
      <c r="A12965" s="8" t="s">
        <v>25886</v>
      </c>
      <c r="B12965" s="8" t="s">
        <v>66560</v>
      </c>
      <c r="C12965" s="8" t="s">
        <v>25887</v>
      </c>
      <c r="D12965" s="8"/>
      <c r="E12965" s="6"/>
      <c r="F12965" s="6"/>
    </row>
    <row r="12966" spans="1:6" x14ac:dyDescent="0.3">
      <c r="A12966" s="8" t="s">
        <v>25888</v>
      </c>
      <c r="B12966" s="8" t="s">
        <v>66561</v>
      </c>
      <c r="C12966" s="8" t="s">
        <v>25889</v>
      </c>
      <c r="D12966" s="8"/>
      <c r="E12966" s="6"/>
      <c r="F12966" s="6"/>
    </row>
    <row r="12967" spans="1:6" x14ac:dyDescent="0.3">
      <c r="A12967" s="8" t="s">
        <v>25890</v>
      </c>
      <c r="B12967" s="8" t="s">
        <v>66562</v>
      </c>
      <c r="C12967" s="8" t="s">
        <v>25891</v>
      </c>
      <c r="D12967" s="8"/>
      <c r="E12967" s="6"/>
      <c r="F12967" s="6"/>
    </row>
    <row r="12968" spans="1:6" x14ac:dyDescent="0.3">
      <c r="A12968" s="8" t="s">
        <v>25892</v>
      </c>
      <c r="B12968" s="8" t="s">
        <v>66563</v>
      </c>
      <c r="C12968" s="8" t="s">
        <v>25893</v>
      </c>
      <c r="D12968" s="8"/>
      <c r="E12968" s="6"/>
      <c r="F12968" s="6"/>
    </row>
    <row r="12969" spans="1:6" x14ac:dyDescent="0.3">
      <c r="A12969" s="8" t="s">
        <v>25894</v>
      </c>
      <c r="B12969" s="8" t="s">
        <v>66564</v>
      </c>
      <c r="C12969" s="8" t="s">
        <v>25895</v>
      </c>
      <c r="D12969" s="8"/>
      <c r="E12969" s="6"/>
      <c r="F12969" s="6"/>
    </row>
    <row r="12970" spans="1:6" x14ac:dyDescent="0.3">
      <c r="A12970" s="8" t="s">
        <v>25896</v>
      </c>
      <c r="B12970" s="8" t="s">
        <v>66565</v>
      </c>
      <c r="C12970" s="8" t="s">
        <v>25897</v>
      </c>
      <c r="D12970" s="8"/>
      <c r="E12970" s="6"/>
      <c r="F12970" s="6"/>
    </row>
    <row r="12971" spans="1:6" x14ac:dyDescent="0.3">
      <c r="A12971" s="8" t="s">
        <v>25898</v>
      </c>
      <c r="B12971" s="8" t="s">
        <v>66566</v>
      </c>
      <c r="C12971" s="8" t="s">
        <v>25899</v>
      </c>
      <c r="D12971" s="8"/>
      <c r="E12971" s="6"/>
      <c r="F12971" s="6"/>
    </row>
    <row r="12972" spans="1:6" x14ac:dyDescent="0.3">
      <c r="A12972" s="8" t="s">
        <v>25900</v>
      </c>
      <c r="B12972" s="8" t="s">
        <v>66567</v>
      </c>
      <c r="C12972" s="8" t="s">
        <v>25901</v>
      </c>
      <c r="D12972" s="8"/>
      <c r="E12972" s="6"/>
      <c r="F12972" s="6"/>
    </row>
    <row r="12973" spans="1:6" x14ac:dyDescent="0.3">
      <c r="A12973" s="8" t="s">
        <v>25902</v>
      </c>
      <c r="B12973" s="8" t="s">
        <v>66568</v>
      </c>
      <c r="C12973" s="8" t="s">
        <v>25903</v>
      </c>
      <c r="D12973" s="8"/>
      <c r="E12973" s="6"/>
      <c r="F12973" s="6"/>
    </row>
    <row r="12974" spans="1:6" x14ac:dyDescent="0.3">
      <c r="A12974" s="8" t="s">
        <v>25904</v>
      </c>
      <c r="B12974" s="8" t="s">
        <v>66569</v>
      </c>
      <c r="C12974" s="8" t="s">
        <v>25905</v>
      </c>
      <c r="D12974" s="8"/>
      <c r="E12974" s="6"/>
      <c r="F12974" s="6"/>
    </row>
    <row r="12975" spans="1:6" x14ac:dyDescent="0.3">
      <c r="A12975" s="8" t="s">
        <v>25906</v>
      </c>
      <c r="B12975" s="8" t="s">
        <v>66570</v>
      </c>
      <c r="C12975" s="8" t="s">
        <v>25907</v>
      </c>
      <c r="D12975" s="8"/>
      <c r="E12975" s="6"/>
      <c r="F12975" s="6"/>
    </row>
    <row r="12976" spans="1:6" x14ac:dyDescent="0.3">
      <c r="A12976" s="8" t="s">
        <v>25908</v>
      </c>
      <c r="B12976" s="8" t="s">
        <v>66571</v>
      </c>
      <c r="C12976" s="8" t="s">
        <v>25909</v>
      </c>
      <c r="D12976" s="8"/>
      <c r="E12976" s="6"/>
      <c r="F12976" s="6"/>
    </row>
    <row r="12977" spans="1:6" x14ac:dyDescent="0.3">
      <c r="A12977" s="8" t="s">
        <v>25910</v>
      </c>
      <c r="B12977" s="8" t="s">
        <v>66572</v>
      </c>
      <c r="C12977" s="8" t="s">
        <v>25911</v>
      </c>
      <c r="D12977" s="8"/>
      <c r="E12977" s="6"/>
      <c r="F12977" s="6"/>
    </row>
    <row r="12978" spans="1:6" x14ac:dyDescent="0.3">
      <c r="A12978" s="8" t="s">
        <v>25912</v>
      </c>
      <c r="B12978" s="8" t="s">
        <v>66573</v>
      </c>
      <c r="C12978" s="8" t="s">
        <v>25913</v>
      </c>
      <c r="D12978" s="8"/>
      <c r="E12978" s="6"/>
      <c r="F12978" s="6"/>
    </row>
    <row r="12979" spans="1:6" x14ac:dyDescent="0.3">
      <c r="A12979" s="8" t="s">
        <v>25914</v>
      </c>
      <c r="B12979" s="8" t="s">
        <v>66574</v>
      </c>
      <c r="C12979" s="8" t="s">
        <v>25915</v>
      </c>
      <c r="D12979" s="8"/>
      <c r="E12979" s="6"/>
      <c r="F12979" s="6"/>
    </row>
    <row r="12980" spans="1:6" x14ac:dyDescent="0.3">
      <c r="A12980" s="8" t="s">
        <v>25916</v>
      </c>
      <c r="B12980" s="8" t="s">
        <v>66575</v>
      </c>
      <c r="C12980" s="8" t="s">
        <v>25917</v>
      </c>
      <c r="D12980" s="8"/>
      <c r="E12980" s="6"/>
      <c r="F12980" s="6"/>
    </row>
    <row r="12981" spans="1:6" x14ac:dyDescent="0.3">
      <c r="A12981" s="8" t="s">
        <v>25918</v>
      </c>
      <c r="B12981" s="8" t="s">
        <v>66576</v>
      </c>
      <c r="C12981" s="8" t="s">
        <v>25919</v>
      </c>
      <c r="D12981" s="8"/>
      <c r="E12981" s="6"/>
      <c r="F12981" s="6"/>
    </row>
    <row r="12982" spans="1:6" x14ac:dyDescent="0.3">
      <c r="A12982" s="8" t="s">
        <v>25920</v>
      </c>
      <c r="B12982" s="8" t="s">
        <v>66577</v>
      </c>
      <c r="C12982" s="8" t="s">
        <v>25921</v>
      </c>
      <c r="D12982" s="8"/>
      <c r="E12982" s="6"/>
      <c r="F12982" s="6"/>
    </row>
    <row r="12983" spans="1:6" x14ac:dyDescent="0.3">
      <c r="A12983" s="8" t="s">
        <v>25922</v>
      </c>
      <c r="B12983" s="8" t="s">
        <v>66578</v>
      </c>
      <c r="C12983" s="8" t="s">
        <v>25923</v>
      </c>
      <c r="D12983" s="8"/>
      <c r="E12983" s="6"/>
      <c r="F12983" s="6"/>
    </row>
    <row r="12984" spans="1:6" x14ac:dyDescent="0.3">
      <c r="A12984" s="8" t="s">
        <v>25924</v>
      </c>
      <c r="B12984" s="8" t="s">
        <v>66579</v>
      </c>
      <c r="C12984" s="8" t="s">
        <v>25925</v>
      </c>
      <c r="D12984" s="8"/>
      <c r="E12984" s="6"/>
      <c r="F12984" s="6"/>
    </row>
    <row r="12985" spans="1:6" x14ac:dyDescent="0.3">
      <c r="A12985" s="8" t="s">
        <v>25926</v>
      </c>
      <c r="B12985" s="8" t="s">
        <v>66580</v>
      </c>
      <c r="C12985" s="8" t="s">
        <v>25927</v>
      </c>
      <c r="D12985" s="8"/>
      <c r="E12985" s="6"/>
      <c r="F12985" s="6"/>
    </row>
    <row r="12986" spans="1:6" x14ac:dyDescent="0.3">
      <c r="A12986" s="8" t="s">
        <v>25928</v>
      </c>
      <c r="B12986" s="8" t="s">
        <v>66581</v>
      </c>
      <c r="C12986" s="8" t="s">
        <v>25929</v>
      </c>
      <c r="D12986" s="8"/>
      <c r="E12986" s="6"/>
      <c r="F12986" s="6"/>
    </row>
    <row r="12987" spans="1:6" x14ac:dyDescent="0.3">
      <c r="A12987" s="8" t="s">
        <v>25930</v>
      </c>
      <c r="B12987" s="8" t="s">
        <v>66582</v>
      </c>
      <c r="C12987" s="8" t="s">
        <v>25931</v>
      </c>
      <c r="D12987" s="8"/>
      <c r="E12987" s="6"/>
      <c r="F12987" s="6"/>
    </row>
    <row r="12988" spans="1:6" x14ac:dyDescent="0.3">
      <c r="A12988" s="8" t="s">
        <v>25932</v>
      </c>
      <c r="B12988" s="8" t="s">
        <v>66583</v>
      </c>
      <c r="C12988" s="8" t="s">
        <v>25933</v>
      </c>
      <c r="D12988" s="8"/>
      <c r="E12988" s="6"/>
      <c r="F12988" s="6"/>
    </row>
    <row r="12989" spans="1:6" x14ac:dyDescent="0.3">
      <c r="A12989" s="8" t="s">
        <v>25934</v>
      </c>
      <c r="B12989" s="8" t="s">
        <v>66584</v>
      </c>
      <c r="C12989" s="8" t="s">
        <v>25935</v>
      </c>
      <c r="D12989" s="8"/>
      <c r="E12989" s="6"/>
      <c r="F12989" s="6"/>
    </row>
    <row r="12990" spans="1:6" x14ac:dyDescent="0.3">
      <c r="A12990" s="8" t="s">
        <v>25936</v>
      </c>
      <c r="B12990" s="8" t="s">
        <v>66585</v>
      </c>
      <c r="C12990" s="8" t="s">
        <v>25937</v>
      </c>
      <c r="D12990" s="8"/>
      <c r="E12990" s="6"/>
      <c r="F12990" s="6"/>
    </row>
    <row r="12991" spans="1:6" x14ac:dyDescent="0.3">
      <c r="A12991" s="8" t="s">
        <v>25938</v>
      </c>
      <c r="B12991" s="8" t="s">
        <v>66586</v>
      </c>
      <c r="C12991" s="8" t="s">
        <v>25939</v>
      </c>
      <c r="D12991" s="8"/>
      <c r="E12991" s="6"/>
      <c r="F12991" s="6"/>
    </row>
    <row r="12992" spans="1:6" x14ac:dyDescent="0.3">
      <c r="A12992" s="8" t="s">
        <v>25940</v>
      </c>
      <c r="B12992" s="8" t="s">
        <v>66587</v>
      </c>
      <c r="C12992" s="8" t="s">
        <v>25941</v>
      </c>
      <c r="D12992" s="8"/>
      <c r="E12992" s="6"/>
      <c r="F12992" s="6"/>
    </row>
    <row r="12993" spans="1:6" x14ac:dyDescent="0.3">
      <c r="A12993" s="8" t="s">
        <v>25942</v>
      </c>
      <c r="B12993" s="8" t="s">
        <v>66588</v>
      </c>
      <c r="C12993" s="8" t="s">
        <v>25943</v>
      </c>
      <c r="D12993" s="8"/>
      <c r="E12993" s="6"/>
      <c r="F12993" s="6"/>
    </row>
    <row r="12994" spans="1:6" x14ac:dyDescent="0.3">
      <c r="A12994" s="8" t="s">
        <v>25944</v>
      </c>
      <c r="B12994" s="8" t="s">
        <v>66589</v>
      </c>
      <c r="C12994" s="8" t="s">
        <v>25945</v>
      </c>
      <c r="D12994" s="8"/>
      <c r="E12994" s="6"/>
      <c r="F12994" s="6"/>
    </row>
    <row r="12995" spans="1:6" x14ac:dyDescent="0.3">
      <c r="A12995" s="8" t="s">
        <v>25946</v>
      </c>
      <c r="B12995" s="8" t="s">
        <v>66590</v>
      </c>
      <c r="C12995" s="8" t="s">
        <v>25947</v>
      </c>
      <c r="D12995" s="8"/>
      <c r="E12995" s="6"/>
      <c r="F12995" s="6"/>
    </row>
    <row r="12996" spans="1:6" x14ac:dyDescent="0.3">
      <c r="A12996" s="8" t="s">
        <v>25948</v>
      </c>
      <c r="B12996" s="8" t="s">
        <v>66591</v>
      </c>
      <c r="C12996" s="8" t="s">
        <v>25949</v>
      </c>
      <c r="D12996" s="8"/>
      <c r="E12996" s="6"/>
      <c r="F12996" s="6"/>
    </row>
    <row r="12997" spans="1:6" x14ac:dyDescent="0.3">
      <c r="A12997" s="8" t="s">
        <v>25950</v>
      </c>
      <c r="B12997" s="8" t="s">
        <v>66592</v>
      </c>
      <c r="C12997" s="8" t="s">
        <v>25951</v>
      </c>
      <c r="D12997" s="8"/>
      <c r="E12997" s="6"/>
      <c r="F12997" s="6"/>
    </row>
    <row r="12998" spans="1:6" x14ac:dyDescent="0.3">
      <c r="A12998" s="8" t="s">
        <v>25952</v>
      </c>
      <c r="B12998" s="8" t="s">
        <v>66593</v>
      </c>
      <c r="C12998" s="8" t="s">
        <v>25953</v>
      </c>
      <c r="D12998" s="8"/>
      <c r="E12998" s="6"/>
      <c r="F12998" s="6"/>
    </row>
    <row r="12999" spans="1:6" x14ac:dyDescent="0.3">
      <c r="A12999" s="8" t="s">
        <v>25954</v>
      </c>
      <c r="B12999" s="8" t="s">
        <v>66594</v>
      </c>
      <c r="C12999" s="8" t="s">
        <v>25955</v>
      </c>
      <c r="D12999" s="8"/>
      <c r="E12999" s="6"/>
      <c r="F12999" s="6"/>
    </row>
    <row r="13000" spans="1:6" x14ac:dyDescent="0.3">
      <c r="A13000" s="8" t="s">
        <v>25956</v>
      </c>
      <c r="B13000" s="8" t="s">
        <v>66595</v>
      </c>
      <c r="C13000" s="8" t="s">
        <v>25957</v>
      </c>
      <c r="D13000" s="8"/>
      <c r="E13000" s="6"/>
      <c r="F13000" s="6"/>
    </row>
    <row r="13001" spans="1:6" x14ac:dyDescent="0.3">
      <c r="A13001" s="8" t="s">
        <v>25958</v>
      </c>
      <c r="B13001" s="8" t="s">
        <v>66596</v>
      </c>
      <c r="C13001" s="8" t="s">
        <v>25959</v>
      </c>
      <c r="D13001" s="8"/>
      <c r="E13001" s="6"/>
      <c r="F13001" s="6"/>
    </row>
    <row r="13002" spans="1:6" x14ac:dyDescent="0.3">
      <c r="A13002" s="8" t="s">
        <v>25960</v>
      </c>
      <c r="B13002" s="8" t="s">
        <v>66597</v>
      </c>
      <c r="C13002" s="8" t="s">
        <v>25961</v>
      </c>
      <c r="D13002" s="8"/>
      <c r="E13002" s="6"/>
      <c r="F13002" s="6"/>
    </row>
    <row r="13003" spans="1:6" x14ac:dyDescent="0.3">
      <c r="A13003" s="8" t="s">
        <v>25962</v>
      </c>
      <c r="B13003" s="8" t="s">
        <v>66598</v>
      </c>
      <c r="C13003" s="8" t="s">
        <v>25963</v>
      </c>
      <c r="D13003" s="8"/>
      <c r="E13003" s="6"/>
      <c r="F13003" s="6"/>
    </row>
    <row r="13004" spans="1:6" x14ac:dyDescent="0.3">
      <c r="A13004" s="8" t="s">
        <v>25964</v>
      </c>
      <c r="B13004" s="8" t="s">
        <v>66599</v>
      </c>
      <c r="C13004" s="8" t="s">
        <v>25965</v>
      </c>
      <c r="D13004" s="8"/>
      <c r="E13004" s="6"/>
      <c r="F13004" s="6"/>
    </row>
    <row r="13005" spans="1:6" x14ac:dyDescent="0.3">
      <c r="A13005" s="8" t="s">
        <v>25966</v>
      </c>
      <c r="B13005" s="8" t="s">
        <v>66600</v>
      </c>
      <c r="C13005" s="8" t="s">
        <v>25967</v>
      </c>
      <c r="D13005" s="8"/>
      <c r="E13005" s="6"/>
      <c r="F13005" s="6"/>
    </row>
    <row r="13006" spans="1:6" x14ac:dyDescent="0.3">
      <c r="A13006" s="8" t="s">
        <v>25968</v>
      </c>
      <c r="B13006" s="8" t="s">
        <v>66601</v>
      </c>
      <c r="C13006" s="8" t="s">
        <v>25969</v>
      </c>
      <c r="D13006" s="8"/>
      <c r="E13006" s="6"/>
      <c r="F13006" s="6"/>
    </row>
    <row r="13007" spans="1:6" x14ac:dyDescent="0.3">
      <c r="A13007" s="8" t="s">
        <v>25970</v>
      </c>
      <c r="B13007" s="8" t="s">
        <v>66602</v>
      </c>
      <c r="C13007" s="8" t="s">
        <v>25971</v>
      </c>
      <c r="D13007" s="8"/>
      <c r="E13007" s="6"/>
      <c r="F13007" s="6"/>
    </row>
    <row r="13008" spans="1:6" x14ac:dyDescent="0.3">
      <c r="A13008" s="8" t="s">
        <v>25972</v>
      </c>
      <c r="B13008" s="8" t="s">
        <v>66603</v>
      </c>
      <c r="C13008" s="8" t="s">
        <v>25973</v>
      </c>
      <c r="D13008" s="8"/>
      <c r="E13008" s="6"/>
      <c r="F13008" s="6"/>
    </row>
    <row r="13009" spans="1:6" x14ac:dyDescent="0.3">
      <c r="A13009" s="8" t="s">
        <v>25974</v>
      </c>
      <c r="B13009" s="8" t="s">
        <v>66604</v>
      </c>
      <c r="C13009" s="8" t="s">
        <v>25975</v>
      </c>
      <c r="D13009" s="8"/>
      <c r="E13009" s="6"/>
      <c r="F13009" s="6"/>
    </row>
    <row r="13010" spans="1:6" x14ac:dyDescent="0.3">
      <c r="A13010" s="8" t="s">
        <v>25976</v>
      </c>
      <c r="B13010" s="8" t="s">
        <v>66605</v>
      </c>
      <c r="C13010" s="8" t="s">
        <v>25977</v>
      </c>
      <c r="D13010" s="8"/>
      <c r="E13010" s="6"/>
      <c r="F13010" s="6"/>
    </row>
    <row r="13011" spans="1:6" x14ac:dyDescent="0.3">
      <c r="A13011" s="8" t="s">
        <v>25978</v>
      </c>
      <c r="B13011" s="8" t="s">
        <v>66606</v>
      </c>
      <c r="C13011" s="8" t="s">
        <v>25979</v>
      </c>
      <c r="D13011" s="8"/>
      <c r="E13011" s="6"/>
      <c r="F13011" s="6"/>
    </row>
    <row r="13012" spans="1:6" x14ac:dyDescent="0.3">
      <c r="A13012" s="8" t="s">
        <v>25980</v>
      </c>
      <c r="B13012" s="8" t="s">
        <v>66607</v>
      </c>
      <c r="C13012" s="8" t="s">
        <v>25981</v>
      </c>
      <c r="D13012" s="8"/>
      <c r="E13012" s="6"/>
      <c r="F13012" s="6"/>
    </row>
    <row r="13013" spans="1:6" x14ac:dyDescent="0.3">
      <c r="A13013" s="8" t="s">
        <v>25982</v>
      </c>
      <c r="B13013" s="8" t="s">
        <v>66608</v>
      </c>
      <c r="C13013" s="8" t="s">
        <v>25983</v>
      </c>
      <c r="D13013" s="8"/>
      <c r="E13013" s="6"/>
      <c r="F13013" s="6"/>
    </row>
    <row r="13014" spans="1:6" x14ac:dyDescent="0.3">
      <c r="A13014" s="8" t="s">
        <v>25984</v>
      </c>
      <c r="B13014" s="8" t="s">
        <v>66609</v>
      </c>
      <c r="C13014" s="8" t="s">
        <v>25985</v>
      </c>
      <c r="D13014" s="8"/>
      <c r="E13014" s="6"/>
      <c r="F13014" s="6"/>
    </row>
    <row r="13015" spans="1:6" x14ac:dyDescent="0.3">
      <c r="A13015" s="8" t="s">
        <v>25986</v>
      </c>
      <c r="B13015" s="8" t="s">
        <v>66610</v>
      </c>
      <c r="C13015" s="8" t="s">
        <v>25987</v>
      </c>
      <c r="D13015" s="8"/>
      <c r="E13015" s="6"/>
      <c r="F13015" s="6"/>
    </row>
    <row r="13016" spans="1:6" x14ac:dyDescent="0.3">
      <c r="A13016" s="8" t="s">
        <v>25988</v>
      </c>
      <c r="B13016" s="8" t="s">
        <v>66611</v>
      </c>
      <c r="C13016" s="8" t="s">
        <v>25989</v>
      </c>
      <c r="D13016" s="8"/>
      <c r="E13016" s="6"/>
      <c r="F13016" s="6"/>
    </row>
    <row r="13017" spans="1:6" x14ac:dyDescent="0.3">
      <c r="A13017" s="8" t="s">
        <v>25990</v>
      </c>
      <c r="B13017" s="8" t="s">
        <v>66612</v>
      </c>
      <c r="C13017" s="8" t="s">
        <v>25991</v>
      </c>
      <c r="D13017" s="8"/>
      <c r="E13017" s="6"/>
      <c r="F13017" s="6"/>
    </row>
    <row r="13018" spans="1:6" x14ac:dyDescent="0.3">
      <c r="A13018" s="8" t="s">
        <v>25992</v>
      </c>
      <c r="B13018" s="8" t="s">
        <v>66613</v>
      </c>
      <c r="C13018" s="8" t="s">
        <v>25993</v>
      </c>
      <c r="D13018" s="8"/>
      <c r="E13018" s="6"/>
      <c r="F13018" s="6"/>
    </row>
    <row r="13019" spans="1:6" x14ac:dyDescent="0.3">
      <c r="A13019" s="8" t="s">
        <v>25994</v>
      </c>
      <c r="B13019" s="8" t="s">
        <v>66614</v>
      </c>
      <c r="C13019" s="8" t="s">
        <v>25995</v>
      </c>
      <c r="D13019" s="8"/>
      <c r="E13019" s="6"/>
      <c r="F13019" s="6"/>
    </row>
    <row r="13020" spans="1:6" x14ac:dyDescent="0.3">
      <c r="A13020" s="8" t="s">
        <v>25996</v>
      </c>
      <c r="B13020" s="8" t="s">
        <v>66615</v>
      </c>
      <c r="C13020" s="8" t="s">
        <v>25997</v>
      </c>
      <c r="D13020" s="8"/>
      <c r="E13020" s="6"/>
      <c r="F13020" s="6"/>
    </row>
    <row r="13021" spans="1:6" x14ac:dyDescent="0.3">
      <c r="A13021" s="8" t="s">
        <v>25998</v>
      </c>
      <c r="B13021" s="8" t="s">
        <v>66616</v>
      </c>
      <c r="C13021" s="8" t="s">
        <v>25999</v>
      </c>
      <c r="D13021" s="8"/>
      <c r="E13021" s="6"/>
      <c r="F13021" s="6"/>
    </row>
    <row r="13022" spans="1:6" x14ac:dyDescent="0.3">
      <c r="A13022" s="8" t="s">
        <v>26000</v>
      </c>
      <c r="B13022" s="8" t="s">
        <v>66617</v>
      </c>
      <c r="C13022" s="8" t="s">
        <v>26001</v>
      </c>
      <c r="D13022" s="8"/>
      <c r="E13022" s="6"/>
      <c r="F13022" s="6"/>
    </row>
    <row r="13023" spans="1:6" x14ac:dyDescent="0.3">
      <c r="A13023" s="8" t="s">
        <v>26002</v>
      </c>
      <c r="B13023" s="8" t="s">
        <v>66618</v>
      </c>
      <c r="C13023" s="8" t="s">
        <v>26003</v>
      </c>
      <c r="D13023" s="8"/>
      <c r="E13023" s="6"/>
      <c r="F13023" s="6"/>
    </row>
    <row r="13024" spans="1:6" x14ac:dyDescent="0.3">
      <c r="A13024" s="8" t="s">
        <v>26004</v>
      </c>
      <c r="B13024" s="8" t="s">
        <v>66619</v>
      </c>
      <c r="C13024" s="8" t="s">
        <v>26005</v>
      </c>
      <c r="D13024" s="8"/>
      <c r="E13024" s="6"/>
      <c r="F13024" s="6"/>
    </row>
    <row r="13025" spans="1:6" x14ac:dyDescent="0.3">
      <c r="A13025" s="8" t="s">
        <v>26006</v>
      </c>
      <c r="B13025" s="8" t="s">
        <v>66620</v>
      </c>
      <c r="C13025" s="8" t="s">
        <v>26007</v>
      </c>
      <c r="D13025" s="8"/>
      <c r="E13025" s="6"/>
      <c r="F13025" s="6"/>
    </row>
    <row r="13026" spans="1:6" x14ac:dyDescent="0.3">
      <c r="A13026" s="8" t="s">
        <v>26008</v>
      </c>
      <c r="B13026" s="8" t="s">
        <v>66621</v>
      </c>
      <c r="C13026" s="8" t="s">
        <v>26009</v>
      </c>
      <c r="D13026" s="8"/>
      <c r="E13026" s="6"/>
      <c r="F13026" s="6"/>
    </row>
    <row r="13027" spans="1:6" x14ac:dyDescent="0.3">
      <c r="A13027" s="8" t="s">
        <v>26010</v>
      </c>
      <c r="B13027" s="8" t="s">
        <v>66622</v>
      </c>
      <c r="C13027" s="8" t="s">
        <v>26011</v>
      </c>
      <c r="D13027" s="8"/>
      <c r="E13027" s="6"/>
      <c r="F13027" s="6"/>
    </row>
    <row r="13028" spans="1:6" x14ac:dyDescent="0.3">
      <c r="A13028" s="8" t="s">
        <v>26012</v>
      </c>
      <c r="B13028" s="8" t="s">
        <v>66623</v>
      </c>
      <c r="C13028" s="8" t="s">
        <v>26013</v>
      </c>
      <c r="D13028" s="8"/>
      <c r="E13028" s="6"/>
      <c r="F13028" s="6"/>
    </row>
    <row r="13029" spans="1:6" x14ac:dyDescent="0.3">
      <c r="A13029" s="8" t="s">
        <v>26014</v>
      </c>
      <c r="B13029" s="8" t="s">
        <v>66624</v>
      </c>
      <c r="C13029" s="8" t="s">
        <v>26015</v>
      </c>
      <c r="D13029" s="8"/>
      <c r="E13029" s="6"/>
      <c r="F13029" s="6"/>
    </row>
    <row r="13030" spans="1:6" x14ac:dyDescent="0.3">
      <c r="A13030" s="8" t="s">
        <v>26016</v>
      </c>
      <c r="B13030" s="8" t="s">
        <v>66625</v>
      </c>
      <c r="C13030" s="8" t="s">
        <v>26017</v>
      </c>
      <c r="D13030" s="8"/>
      <c r="E13030" s="6"/>
      <c r="F13030" s="6"/>
    </row>
    <row r="13031" spans="1:6" x14ac:dyDescent="0.3">
      <c r="A13031" s="8" t="s">
        <v>26018</v>
      </c>
      <c r="B13031" s="8" t="s">
        <v>66626</v>
      </c>
      <c r="C13031" s="8" t="s">
        <v>26019</v>
      </c>
      <c r="D13031" s="8"/>
      <c r="E13031" s="6"/>
      <c r="F13031" s="6"/>
    </row>
    <row r="13032" spans="1:6" x14ac:dyDescent="0.3">
      <c r="A13032" s="8" t="s">
        <v>26020</v>
      </c>
      <c r="B13032" s="8" t="s">
        <v>66627</v>
      </c>
      <c r="C13032" s="8" t="s">
        <v>26021</v>
      </c>
      <c r="D13032" s="8"/>
      <c r="E13032" s="6"/>
      <c r="F13032" s="6"/>
    </row>
    <row r="13033" spans="1:6" x14ac:dyDescent="0.3">
      <c r="A13033" s="8" t="s">
        <v>26022</v>
      </c>
      <c r="B13033" s="8" t="s">
        <v>66628</v>
      </c>
      <c r="C13033" s="8" t="s">
        <v>26023</v>
      </c>
      <c r="D13033" s="8"/>
      <c r="E13033" s="6"/>
      <c r="F13033" s="6"/>
    </row>
    <row r="13034" spans="1:6" x14ac:dyDescent="0.3">
      <c r="A13034" s="8" t="s">
        <v>26024</v>
      </c>
      <c r="B13034" s="8" t="s">
        <v>66629</v>
      </c>
      <c r="C13034" s="8" t="s">
        <v>26025</v>
      </c>
      <c r="D13034" s="8"/>
      <c r="E13034" s="6"/>
      <c r="F13034" s="6"/>
    </row>
    <row r="13035" spans="1:6" x14ac:dyDescent="0.3">
      <c r="A13035" s="8" t="s">
        <v>26026</v>
      </c>
      <c r="B13035" s="8" t="s">
        <v>66630</v>
      </c>
      <c r="C13035" s="8" t="s">
        <v>26027</v>
      </c>
      <c r="D13035" s="8"/>
      <c r="E13035" s="6"/>
      <c r="F13035" s="6"/>
    </row>
    <row r="13036" spans="1:6" x14ac:dyDescent="0.3">
      <c r="A13036" s="8" t="s">
        <v>26028</v>
      </c>
      <c r="B13036" s="8" t="s">
        <v>66631</v>
      </c>
      <c r="C13036" s="8" t="s">
        <v>26029</v>
      </c>
      <c r="D13036" s="8"/>
      <c r="E13036" s="6"/>
      <c r="F13036" s="6"/>
    </row>
    <row r="13037" spans="1:6" x14ac:dyDescent="0.3">
      <c r="A13037" s="8" t="s">
        <v>26030</v>
      </c>
      <c r="B13037" s="8" t="s">
        <v>66632</v>
      </c>
      <c r="C13037" s="8" t="s">
        <v>26031</v>
      </c>
      <c r="D13037" s="8"/>
      <c r="E13037" s="6"/>
      <c r="F13037" s="6"/>
    </row>
    <row r="13038" spans="1:6" x14ac:dyDescent="0.3">
      <c r="A13038" s="8" t="s">
        <v>26032</v>
      </c>
      <c r="B13038" s="8" t="s">
        <v>66633</v>
      </c>
      <c r="C13038" s="8" t="s">
        <v>26033</v>
      </c>
      <c r="D13038" s="8"/>
      <c r="E13038" s="6"/>
      <c r="F13038" s="6"/>
    </row>
    <row r="13039" spans="1:6" x14ac:dyDescent="0.3">
      <c r="A13039" s="8" t="s">
        <v>26034</v>
      </c>
      <c r="B13039" s="8" t="s">
        <v>66634</v>
      </c>
      <c r="C13039" s="8" t="s">
        <v>26035</v>
      </c>
      <c r="D13039" s="8"/>
      <c r="E13039" s="6"/>
      <c r="F13039" s="6"/>
    </row>
    <row r="13040" spans="1:6" x14ac:dyDescent="0.3">
      <c r="A13040" s="8" t="s">
        <v>26036</v>
      </c>
      <c r="B13040" s="8" t="s">
        <v>66635</v>
      </c>
      <c r="C13040" s="8" t="s">
        <v>26037</v>
      </c>
      <c r="D13040" s="8"/>
      <c r="E13040" s="6"/>
      <c r="F13040" s="6"/>
    </row>
    <row r="13041" spans="1:6" x14ac:dyDescent="0.3">
      <c r="A13041" s="8" t="s">
        <v>26038</v>
      </c>
      <c r="B13041" s="8" t="s">
        <v>66636</v>
      </c>
      <c r="C13041" s="8" t="s">
        <v>26039</v>
      </c>
      <c r="D13041" s="8"/>
      <c r="E13041" s="6"/>
      <c r="F13041" s="6"/>
    </row>
    <row r="13042" spans="1:6" x14ac:dyDescent="0.3">
      <c r="A13042" s="8" t="s">
        <v>26040</v>
      </c>
      <c r="B13042" s="8" t="s">
        <v>66637</v>
      </c>
      <c r="C13042" s="8" t="s">
        <v>26041</v>
      </c>
      <c r="D13042" s="8"/>
      <c r="E13042" s="6"/>
      <c r="F13042" s="6"/>
    </row>
    <row r="13043" spans="1:6" x14ac:dyDescent="0.3">
      <c r="A13043" s="8" t="s">
        <v>26042</v>
      </c>
      <c r="B13043" s="8" t="s">
        <v>66638</v>
      </c>
      <c r="C13043" s="8" t="s">
        <v>26043</v>
      </c>
      <c r="D13043" s="8"/>
      <c r="E13043" s="6"/>
      <c r="F13043" s="6"/>
    </row>
    <row r="13044" spans="1:6" x14ac:dyDescent="0.3">
      <c r="A13044" s="8" t="s">
        <v>26044</v>
      </c>
      <c r="B13044" s="8" t="s">
        <v>66639</v>
      </c>
      <c r="C13044" s="8" t="s">
        <v>26045</v>
      </c>
      <c r="D13044" s="8"/>
      <c r="E13044" s="6"/>
      <c r="F13044" s="6"/>
    </row>
    <row r="13045" spans="1:6" x14ac:dyDescent="0.3">
      <c r="A13045" s="8" t="s">
        <v>26046</v>
      </c>
      <c r="B13045" s="8" t="s">
        <v>66640</v>
      </c>
      <c r="C13045" s="8" t="s">
        <v>26047</v>
      </c>
      <c r="D13045" s="8"/>
      <c r="E13045" s="6"/>
      <c r="F13045" s="6"/>
    </row>
    <row r="13046" spans="1:6" x14ac:dyDescent="0.3">
      <c r="A13046" s="8" t="s">
        <v>26048</v>
      </c>
      <c r="B13046" s="8" t="s">
        <v>66641</v>
      </c>
      <c r="C13046" s="8" t="s">
        <v>26049</v>
      </c>
      <c r="D13046" s="8"/>
      <c r="E13046" s="6"/>
      <c r="F13046" s="6"/>
    </row>
    <row r="13047" spans="1:6" x14ac:dyDescent="0.3">
      <c r="A13047" s="8" t="s">
        <v>26050</v>
      </c>
      <c r="B13047" s="8" t="s">
        <v>66642</v>
      </c>
      <c r="C13047" s="8" t="s">
        <v>26051</v>
      </c>
      <c r="D13047" s="8"/>
      <c r="E13047" s="6"/>
      <c r="F13047" s="6"/>
    </row>
    <row r="13048" spans="1:6" x14ac:dyDescent="0.3">
      <c r="A13048" s="8" t="s">
        <v>26052</v>
      </c>
      <c r="B13048" s="8" t="s">
        <v>66643</v>
      </c>
      <c r="C13048" s="8" t="s">
        <v>26053</v>
      </c>
      <c r="D13048" s="8"/>
      <c r="E13048" s="6"/>
      <c r="F13048" s="6"/>
    </row>
    <row r="13049" spans="1:6" x14ac:dyDescent="0.3">
      <c r="A13049" s="8" t="s">
        <v>26054</v>
      </c>
      <c r="B13049" s="8" t="s">
        <v>66644</v>
      </c>
      <c r="C13049" s="8" t="s">
        <v>26055</v>
      </c>
      <c r="D13049" s="8"/>
      <c r="E13049" s="6"/>
      <c r="F13049" s="6"/>
    </row>
    <row r="13050" spans="1:6" x14ac:dyDescent="0.3">
      <c r="A13050" s="8" t="s">
        <v>26056</v>
      </c>
      <c r="B13050" s="8" t="s">
        <v>66645</v>
      </c>
      <c r="C13050" s="8" t="s">
        <v>26057</v>
      </c>
      <c r="D13050" s="8"/>
      <c r="E13050" s="6"/>
      <c r="F13050" s="6"/>
    </row>
    <row r="13051" spans="1:6" x14ac:dyDescent="0.3">
      <c r="A13051" s="8" t="s">
        <v>26058</v>
      </c>
      <c r="B13051" s="8" t="s">
        <v>66646</v>
      </c>
      <c r="C13051" s="8" t="s">
        <v>26059</v>
      </c>
      <c r="D13051" s="8"/>
      <c r="E13051" s="6"/>
      <c r="F13051" s="6"/>
    </row>
    <row r="13052" spans="1:6" x14ac:dyDescent="0.3">
      <c r="A13052" s="8" t="s">
        <v>26060</v>
      </c>
      <c r="B13052" s="8" t="s">
        <v>66647</v>
      </c>
      <c r="C13052" s="8" t="s">
        <v>26061</v>
      </c>
      <c r="D13052" s="8"/>
      <c r="E13052" s="6"/>
      <c r="F13052" s="6"/>
    </row>
    <row r="13053" spans="1:6" x14ac:dyDescent="0.3">
      <c r="A13053" s="8" t="s">
        <v>26062</v>
      </c>
      <c r="B13053" s="8" t="s">
        <v>66648</v>
      </c>
      <c r="C13053" s="8" t="s">
        <v>26063</v>
      </c>
      <c r="D13053" s="8"/>
      <c r="E13053" s="6"/>
      <c r="F13053" s="6"/>
    </row>
    <row r="13054" spans="1:6" x14ac:dyDescent="0.3">
      <c r="A13054" s="8" t="s">
        <v>26064</v>
      </c>
      <c r="B13054" s="8" t="s">
        <v>66649</v>
      </c>
      <c r="C13054" s="8" t="s">
        <v>26065</v>
      </c>
      <c r="D13054" s="8"/>
      <c r="E13054" s="6"/>
      <c r="F13054" s="6"/>
    </row>
    <row r="13055" spans="1:6" x14ac:dyDescent="0.3">
      <c r="A13055" s="8" t="s">
        <v>26066</v>
      </c>
      <c r="B13055" s="8" t="s">
        <v>66650</v>
      </c>
      <c r="C13055" s="8" t="s">
        <v>26067</v>
      </c>
      <c r="D13055" s="8"/>
      <c r="E13055" s="6"/>
      <c r="F13055" s="6"/>
    </row>
    <row r="13056" spans="1:6" x14ac:dyDescent="0.3">
      <c r="A13056" s="8" t="s">
        <v>26068</v>
      </c>
      <c r="B13056" s="8" t="s">
        <v>66651</v>
      </c>
      <c r="C13056" s="8" t="s">
        <v>26069</v>
      </c>
      <c r="D13056" s="8"/>
      <c r="E13056" s="6"/>
      <c r="F13056" s="6"/>
    </row>
    <row r="13057" spans="1:6" x14ac:dyDescent="0.3">
      <c r="A13057" s="8" t="s">
        <v>26070</v>
      </c>
      <c r="B13057" s="8" t="s">
        <v>66652</v>
      </c>
      <c r="C13057" s="8" t="s">
        <v>26071</v>
      </c>
      <c r="D13057" s="8"/>
      <c r="E13057" s="6"/>
      <c r="F13057" s="6"/>
    </row>
    <row r="13058" spans="1:6" x14ac:dyDescent="0.3">
      <c r="A13058" s="8" t="s">
        <v>26072</v>
      </c>
      <c r="B13058" s="8" t="s">
        <v>66653</v>
      </c>
      <c r="C13058" s="8" t="s">
        <v>26073</v>
      </c>
      <c r="D13058" s="8"/>
      <c r="E13058" s="6"/>
      <c r="F13058" s="6"/>
    </row>
    <row r="13059" spans="1:6" x14ac:dyDescent="0.3">
      <c r="A13059" s="8" t="s">
        <v>26074</v>
      </c>
      <c r="B13059" s="8" t="s">
        <v>66654</v>
      </c>
      <c r="C13059" s="8" t="s">
        <v>26075</v>
      </c>
      <c r="D13059" s="8"/>
      <c r="E13059" s="6"/>
      <c r="F13059" s="6"/>
    </row>
    <row r="13060" spans="1:6" x14ac:dyDescent="0.3">
      <c r="A13060" s="8" t="s">
        <v>26076</v>
      </c>
      <c r="B13060" s="8" t="s">
        <v>66655</v>
      </c>
      <c r="C13060" s="8" t="s">
        <v>26077</v>
      </c>
      <c r="D13060" s="8"/>
      <c r="E13060" s="6"/>
      <c r="F13060" s="6"/>
    </row>
    <row r="13061" spans="1:6" x14ac:dyDescent="0.3">
      <c r="A13061" s="8" t="s">
        <v>26078</v>
      </c>
      <c r="B13061" s="8" t="s">
        <v>66656</v>
      </c>
      <c r="C13061" s="8" t="s">
        <v>26079</v>
      </c>
      <c r="D13061" s="8"/>
      <c r="E13061" s="6"/>
      <c r="F13061" s="6"/>
    </row>
    <row r="13062" spans="1:6" x14ac:dyDescent="0.3">
      <c r="A13062" s="8" t="s">
        <v>26080</v>
      </c>
      <c r="B13062" s="8" t="s">
        <v>66657</v>
      </c>
      <c r="C13062" s="8" t="s">
        <v>26081</v>
      </c>
      <c r="D13062" s="8"/>
      <c r="E13062" s="6"/>
      <c r="F13062" s="6"/>
    </row>
    <row r="13063" spans="1:6" x14ac:dyDescent="0.3">
      <c r="A13063" s="8" t="s">
        <v>26082</v>
      </c>
      <c r="B13063" s="8" t="s">
        <v>66658</v>
      </c>
      <c r="C13063" s="8" t="s">
        <v>26083</v>
      </c>
      <c r="D13063" s="8"/>
      <c r="E13063" s="6"/>
      <c r="F13063" s="6"/>
    </row>
    <row r="13064" spans="1:6" x14ac:dyDescent="0.3">
      <c r="A13064" s="8" t="s">
        <v>26084</v>
      </c>
      <c r="B13064" s="8" t="s">
        <v>66659</v>
      </c>
      <c r="C13064" s="8" t="s">
        <v>26085</v>
      </c>
      <c r="D13064" s="8"/>
      <c r="E13064" s="6"/>
      <c r="F13064" s="6"/>
    </row>
    <row r="13065" spans="1:6" x14ac:dyDescent="0.3">
      <c r="A13065" s="8" t="s">
        <v>26086</v>
      </c>
      <c r="B13065" s="8" t="s">
        <v>66660</v>
      </c>
      <c r="C13065" s="8" t="s">
        <v>26087</v>
      </c>
      <c r="D13065" s="8"/>
      <c r="E13065" s="6"/>
      <c r="F13065" s="6"/>
    </row>
    <row r="13066" spans="1:6" x14ac:dyDescent="0.3">
      <c r="A13066" s="8" t="s">
        <v>26088</v>
      </c>
      <c r="B13066" s="8" t="s">
        <v>66661</v>
      </c>
      <c r="C13066" s="8" t="s">
        <v>26089</v>
      </c>
      <c r="D13066" s="8"/>
      <c r="E13066" s="6"/>
      <c r="F13066" s="6"/>
    </row>
    <row r="13067" spans="1:6" x14ac:dyDescent="0.3">
      <c r="A13067" s="8" t="s">
        <v>26090</v>
      </c>
      <c r="B13067" s="8" t="s">
        <v>66662</v>
      </c>
      <c r="C13067" s="8" t="s">
        <v>26091</v>
      </c>
      <c r="D13067" s="8"/>
      <c r="E13067" s="6"/>
      <c r="F13067" s="6"/>
    </row>
    <row r="13068" spans="1:6" x14ac:dyDescent="0.3">
      <c r="A13068" s="8" t="s">
        <v>26092</v>
      </c>
      <c r="B13068" s="8" t="s">
        <v>66663</v>
      </c>
      <c r="C13068" s="8" t="s">
        <v>26093</v>
      </c>
      <c r="D13068" s="8"/>
      <c r="E13068" s="6"/>
      <c r="F13068" s="6"/>
    </row>
    <row r="13069" spans="1:6" x14ac:dyDescent="0.3">
      <c r="A13069" s="8" t="s">
        <v>26094</v>
      </c>
      <c r="B13069" s="8" t="s">
        <v>66664</v>
      </c>
      <c r="C13069" s="8" t="s">
        <v>26095</v>
      </c>
      <c r="D13069" s="8"/>
      <c r="E13069" s="6"/>
      <c r="F13069" s="6"/>
    </row>
    <row r="13070" spans="1:6" x14ac:dyDescent="0.3">
      <c r="A13070" s="8" t="s">
        <v>26096</v>
      </c>
      <c r="B13070" s="8" t="s">
        <v>66665</v>
      </c>
      <c r="C13070" s="8" t="s">
        <v>26097</v>
      </c>
      <c r="D13070" s="8"/>
      <c r="E13070" s="6"/>
      <c r="F13070" s="6"/>
    </row>
    <row r="13071" spans="1:6" x14ac:dyDescent="0.3">
      <c r="A13071" s="8" t="s">
        <v>26098</v>
      </c>
      <c r="B13071" s="8" t="s">
        <v>66666</v>
      </c>
      <c r="C13071" s="8" t="s">
        <v>26099</v>
      </c>
      <c r="D13071" s="8"/>
      <c r="E13071" s="6"/>
      <c r="F13071" s="6"/>
    </row>
    <row r="13072" spans="1:6" x14ac:dyDescent="0.3">
      <c r="A13072" s="8" t="s">
        <v>26100</v>
      </c>
      <c r="B13072" s="8" t="s">
        <v>66667</v>
      </c>
      <c r="C13072" s="8" t="s">
        <v>26101</v>
      </c>
      <c r="D13072" s="8"/>
      <c r="E13072" s="6"/>
      <c r="F13072" s="6"/>
    </row>
    <row r="13073" spans="1:6" x14ac:dyDescent="0.3">
      <c r="A13073" s="8" t="s">
        <v>26102</v>
      </c>
      <c r="B13073" s="8" t="s">
        <v>66668</v>
      </c>
      <c r="C13073" s="8" t="s">
        <v>26103</v>
      </c>
      <c r="D13073" s="8"/>
      <c r="E13073" s="6"/>
      <c r="F13073" s="6"/>
    </row>
    <row r="13074" spans="1:6" x14ac:dyDescent="0.3">
      <c r="A13074" s="8" t="s">
        <v>26104</v>
      </c>
      <c r="B13074" s="8" t="s">
        <v>66669</v>
      </c>
      <c r="C13074" s="8" t="s">
        <v>26105</v>
      </c>
      <c r="D13074" s="8"/>
      <c r="E13074" s="6"/>
      <c r="F13074" s="6"/>
    </row>
    <row r="13075" spans="1:6" x14ac:dyDescent="0.3">
      <c r="A13075" s="8" t="s">
        <v>26106</v>
      </c>
      <c r="B13075" s="8" t="s">
        <v>66670</v>
      </c>
      <c r="C13075" s="8" t="s">
        <v>26107</v>
      </c>
      <c r="D13075" s="8"/>
      <c r="E13075" s="6"/>
      <c r="F13075" s="6"/>
    </row>
    <row r="13076" spans="1:6" x14ac:dyDescent="0.3">
      <c r="A13076" s="8" t="s">
        <v>26108</v>
      </c>
      <c r="B13076" s="8" t="s">
        <v>66671</v>
      </c>
      <c r="C13076" s="8" t="s">
        <v>26109</v>
      </c>
      <c r="D13076" s="8"/>
      <c r="E13076" s="6"/>
      <c r="F13076" s="6"/>
    </row>
    <row r="13077" spans="1:6" x14ac:dyDescent="0.3">
      <c r="A13077" s="8" t="s">
        <v>26110</v>
      </c>
      <c r="B13077" s="8" t="s">
        <v>66672</v>
      </c>
      <c r="C13077" s="8" t="s">
        <v>26111</v>
      </c>
      <c r="D13077" s="8"/>
      <c r="E13077" s="6"/>
      <c r="F13077" s="6"/>
    </row>
    <row r="13078" spans="1:6" x14ac:dyDescent="0.3">
      <c r="A13078" s="8" t="s">
        <v>26112</v>
      </c>
      <c r="B13078" s="8" t="s">
        <v>66673</v>
      </c>
      <c r="C13078" s="8" t="s">
        <v>26113</v>
      </c>
      <c r="D13078" s="8"/>
      <c r="E13078" s="6"/>
      <c r="F13078" s="6"/>
    </row>
    <row r="13079" spans="1:6" x14ac:dyDescent="0.3">
      <c r="A13079" s="8" t="s">
        <v>26114</v>
      </c>
      <c r="B13079" s="8" t="s">
        <v>66674</v>
      </c>
      <c r="C13079" s="8" t="s">
        <v>26115</v>
      </c>
      <c r="D13079" s="8"/>
      <c r="E13079" s="6"/>
      <c r="F13079" s="6"/>
    </row>
    <row r="13080" spans="1:6" x14ac:dyDescent="0.3">
      <c r="A13080" s="8" t="s">
        <v>26116</v>
      </c>
      <c r="B13080" s="8" t="s">
        <v>66675</v>
      </c>
      <c r="C13080" s="8" t="s">
        <v>26117</v>
      </c>
      <c r="D13080" s="8"/>
      <c r="E13080" s="6"/>
      <c r="F13080" s="6"/>
    </row>
    <row r="13081" spans="1:6" x14ac:dyDescent="0.3">
      <c r="A13081" s="8" t="s">
        <v>26118</v>
      </c>
      <c r="B13081" s="8" t="s">
        <v>66676</v>
      </c>
      <c r="C13081" s="8" t="s">
        <v>26119</v>
      </c>
      <c r="D13081" s="8"/>
      <c r="E13081" s="6"/>
      <c r="F13081" s="6"/>
    </row>
    <row r="13082" spans="1:6" x14ac:dyDescent="0.3">
      <c r="A13082" s="8" t="s">
        <v>26120</v>
      </c>
      <c r="B13082" s="8" t="s">
        <v>66677</v>
      </c>
      <c r="C13082" s="8" t="s">
        <v>26121</v>
      </c>
      <c r="D13082" s="8"/>
      <c r="E13082" s="6"/>
      <c r="F13082" s="6"/>
    </row>
    <row r="13083" spans="1:6" x14ac:dyDescent="0.3">
      <c r="A13083" s="8" t="s">
        <v>26122</v>
      </c>
      <c r="B13083" s="8" t="s">
        <v>66678</v>
      </c>
      <c r="C13083" s="8" t="s">
        <v>26123</v>
      </c>
      <c r="D13083" s="8"/>
      <c r="E13083" s="6"/>
      <c r="F13083" s="6"/>
    </row>
    <row r="13084" spans="1:6" x14ac:dyDescent="0.3">
      <c r="A13084" s="8" t="s">
        <v>26124</v>
      </c>
      <c r="B13084" s="8" t="s">
        <v>66679</v>
      </c>
      <c r="C13084" s="8" t="s">
        <v>26125</v>
      </c>
      <c r="D13084" s="8"/>
      <c r="E13084" s="6"/>
      <c r="F13084" s="6"/>
    </row>
    <row r="13085" spans="1:6" x14ac:dyDescent="0.3">
      <c r="A13085" s="8" t="s">
        <v>26126</v>
      </c>
      <c r="B13085" s="8" t="s">
        <v>66680</v>
      </c>
      <c r="C13085" s="8" t="s">
        <v>26127</v>
      </c>
      <c r="D13085" s="8"/>
      <c r="E13085" s="6"/>
      <c r="F13085" s="6"/>
    </row>
    <row r="13086" spans="1:6" x14ac:dyDescent="0.3">
      <c r="A13086" s="8" t="s">
        <v>26128</v>
      </c>
      <c r="B13086" s="8" t="s">
        <v>66681</v>
      </c>
      <c r="C13086" s="8" t="s">
        <v>26129</v>
      </c>
      <c r="D13086" s="8"/>
      <c r="E13086" s="6"/>
      <c r="F13086" s="6"/>
    </row>
    <row r="13087" spans="1:6" x14ac:dyDescent="0.3">
      <c r="A13087" s="8" t="s">
        <v>26130</v>
      </c>
      <c r="B13087" s="8" t="s">
        <v>66682</v>
      </c>
      <c r="C13087" s="8" t="s">
        <v>26131</v>
      </c>
      <c r="D13087" s="8"/>
      <c r="E13087" s="6"/>
      <c r="F13087" s="6"/>
    </row>
    <row r="13088" spans="1:6" x14ac:dyDescent="0.3">
      <c r="A13088" s="8" t="s">
        <v>26132</v>
      </c>
      <c r="B13088" s="8" t="s">
        <v>66683</v>
      </c>
      <c r="C13088" s="8" t="s">
        <v>26133</v>
      </c>
      <c r="D13088" s="8"/>
      <c r="E13088" s="6"/>
      <c r="F13088" s="6"/>
    </row>
    <row r="13089" spans="1:6" x14ac:dyDescent="0.3">
      <c r="A13089" s="8" t="s">
        <v>26134</v>
      </c>
      <c r="B13089" s="8" t="s">
        <v>66684</v>
      </c>
      <c r="C13089" s="8" t="s">
        <v>26135</v>
      </c>
      <c r="D13089" s="8"/>
      <c r="E13089" s="6"/>
      <c r="F13089" s="6"/>
    </row>
    <row r="13090" spans="1:6" x14ac:dyDescent="0.3">
      <c r="A13090" s="8" t="s">
        <v>26136</v>
      </c>
      <c r="B13090" s="8" t="s">
        <v>66685</v>
      </c>
      <c r="C13090" s="8" t="s">
        <v>26137</v>
      </c>
      <c r="D13090" s="8"/>
      <c r="E13090" s="6"/>
      <c r="F13090" s="6"/>
    </row>
    <row r="13091" spans="1:6" x14ac:dyDescent="0.3">
      <c r="A13091" s="8" t="s">
        <v>26138</v>
      </c>
      <c r="B13091" s="8" t="s">
        <v>66686</v>
      </c>
      <c r="C13091" s="8" t="s">
        <v>26139</v>
      </c>
      <c r="D13091" s="8"/>
      <c r="E13091" s="6"/>
      <c r="F13091" s="6"/>
    </row>
    <row r="13092" spans="1:6" x14ac:dyDescent="0.3">
      <c r="A13092" s="8" t="s">
        <v>26140</v>
      </c>
      <c r="B13092" s="8" t="s">
        <v>66687</v>
      </c>
      <c r="C13092" s="8" t="s">
        <v>26141</v>
      </c>
      <c r="D13092" s="8"/>
      <c r="E13092" s="6"/>
      <c r="F13092" s="6"/>
    </row>
    <row r="13093" spans="1:6" x14ac:dyDescent="0.3">
      <c r="A13093" s="8" t="s">
        <v>26142</v>
      </c>
      <c r="B13093" s="8" t="s">
        <v>66688</v>
      </c>
      <c r="C13093" s="8" t="s">
        <v>26143</v>
      </c>
      <c r="D13093" s="8"/>
      <c r="E13093" s="6"/>
      <c r="F13093" s="6"/>
    </row>
    <row r="13094" spans="1:6" x14ac:dyDescent="0.3">
      <c r="A13094" s="8" t="s">
        <v>26144</v>
      </c>
      <c r="B13094" s="8" t="s">
        <v>66689</v>
      </c>
      <c r="C13094" s="8" t="s">
        <v>26145</v>
      </c>
      <c r="D13094" s="8"/>
      <c r="E13094" s="6"/>
      <c r="F13094" s="6"/>
    </row>
    <row r="13095" spans="1:6" x14ac:dyDescent="0.3">
      <c r="A13095" s="8" t="s">
        <v>26146</v>
      </c>
      <c r="B13095" s="8" t="s">
        <v>66690</v>
      </c>
      <c r="C13095" s="8" t="s">
        <v>26147</v>
      </c>
      <c r="D13095" s="8"/>
      <c r="E13095" s="6"/>
      <c r="F13095" s="6"/>
    </row>
    <row r="13096" spans="1:6" x14ac:dyDescent="0.3">
      <c r="A13096" s="8" t="s">
        <v>26148</v>
      </c>
      <c r="B13096" s="8" t="s">
        <v>66691</v>
      </c>
      <c r="C13096" s="8" t="s">
        <v>26149</v>
      </c>
      <c r="D13096" s="8"/>
      <c r="E13096" s="6"/>
      <c r="F13096" s="6"/>
    </row>
    <row r="13097" spans="1:6" x14ac:dyDescent="0.3">
      <c r="A13097" s="8" t="s">
        <v>26150</v>
      </c>
      <c r="B13097" s="8" t="s">
        <v>66692</v>
      </c>
      <c r="C13097" s="8" t="s">
        <v>26151</v>
      </c>
      <c r="D13097" s="8"/>
      <c r="E13097" s="6"/>
      <c r="F13097" s="6"/>
    </row>
    <row r="13098" spans="1:6" x14ac:dyDescent="0.3">
      <c r="A13098" s="8" t="s">
        <v>26152</v>
      </c>
      <c r="B13098" s="8" t="s">
        <v>66693</v>
      </c>
      <c r="C13098" s="8" t="s">
        <v>26153</v>
      </c>
      <c r="D13098" s="8"/>
      <c r="E13098" s="6"/>
      <c r="F13098" s="6"/>
    </row>
    <row r="13099" spans="1:6" x14ac:dyDescent="0.3">
      <c r="A13099" s="8" t="s">
        <v>26154</v>
      </c>
      <c r="B13099" s="8" t="s">
        <v>66694</v>
      </c>
      <c r="C13099" s="8" t="s">
        <v>26155</v>
      </c>
      <c r="D13099" s="8"/>
      <c r="E13099" s="6"/>
      <c r="F13099" s="6"/>
    </row>
    <row r="13100" spans="1:6" x14ac:dyDescent="0.3">
      <c r="A13100" s="8" t="s">
        <v>26156</v>
      </c>
      <c r="B13100" s="8" t="s">
        <v>66695</v>
      </c>
      <c r="C13100" s="8" t="s">
        <v>26157</v>
      </c>
      <c r="D13100" s="8"/>
      <c r="E13100" s="6"/>
      <c r="F13100" s="6"/>
    </row>
    <row r="13101" spans="1:6" x14ac:dyDescent="0.3">
      <c r="A13101" s="8" t="s">
        <v>26158</v>
      </c>
      <c r="B13101" s="8" t="s">
        <v>66696</v>
      </c>
      <c r="C13101" s="8" t="s">
        <v>26159</v>
      </c>
      <c r="D13101" s="8"/>
      <c r="E13101" s="6"/>
      <c r="F13101" s="6"/>
    </row>
    <row r="13102" spans="1:6" x14ac:dyDescent="0.3">
      <c r="A13102" s="8" t="s">
        <v>26160</v>
      </c>
      <c r="B13102" s="8" t="s">
        <v>66697</v>
      </c>
      <c r="C13102" s="8" t="s">
        <v>26161</v>
      </c>
      <c r="D13102" s="8"/>
      <c r="E13102" s="6"/>
      <c r="F13102" s="6"/>
    </row>
    <row r="13103" spans="1:6" x14ac:dyDescent="0.3">
      <c r="A13103" s="8" t="s">
        <v>26162</v>
      </c>
      <c r="B13103" s="8" t="s">
        <v>66698</v>
      </c>
      <c r="C13103" s="8" t="s">
        <v>26163</v>
      </c>
      <c r="D13103" s="8"/>
      <c r="E13103" s="6"/>
      <c r="F13103" s="6"/>
    </row>
    <row r="13104" spans="1:6" x14ac:dyDescent="0.3">
      <c r="A13104" s="8" t="s">
        <v>26164</v>
      </c>
      <c r="B13104" s="8" t="s">
        <v>66699</v>
      </c>
      <c r="C13104" s="8" t="s">
        <v>26165</v>
      </c>
      <c r="D13104" s="8"/>
      <c r="E13104" s="6"/>
      <c r="F13104" s="6"/>
    </row>
    <row r="13105" spans="1:6" x14ac:dyDescent="0.3">
      <c r="A13105" s="8" t="s">
        <v>26166</v>
      </c>
      <c r="B13105" s="8" t="s">
        <v>66700</v>
      </c>
      <c r="C13105" s="8" t="s">
        <v>26167</v>
      </c>
      <c r="D13105" s="8"/>
      <c r="E13105" s="6"/>
      <c r="F13105" s="6"/>
    </row>
    <row r="13106" spans="1:6" x14ac:dyDescent="0.3">
      <c r="A13106" s="8" t="s">
        <v>26168</v>
      </c>
      <c r="B13106" s="8" t="s">
        <v>66701</v>
      </c>
      <c r="C13106" s="8" t="s">
        <v>26169</v>
      </c>
      <c r="D13106" s="8"/>
      <c r="E13106" s="6"/>
      <c r="F13106" s="6"/>
    </row>
    <row r="13107" spans="1:6" x14ac:dyDescent="0.3">
      <c r="A13107" s="8" t="s">
        <v>26170</v>
      </c>
      <c r="B13107" s="8" t="s">
        <v>66702</v>
      </c>
      <c r="C13107" s="8" t="s">
        <v>26171</v>
      </c>
      <c r="D13107" s="8"/>
      <c r="E13107" s="6"/>
      <c r="F13107" s="6"/>
    </row>
    <row r="13108" spans="1:6" x14ac:dyDescent="0.3">
      <c r="A13108" s="8" t="s">
        <v>26172</v>
      </c>
      <c r="B13108" s="8" t="s">
        <v>66703</v>
      </c>
      <c r="C13108" s="8" t="s">
        <v>26173</v>
      </c>
      <c r="D13108" s="8"/>
      <c r="E13108" s="6"/>
      <c r="F13108" s="6"/>
    </row>
    <row r="13109" spans="1:6" x14ac:dyDescent="0.3">
      <c r="A13109" s="8" t="s">
        <v>26174</v>
      </c>
      <c r="B13109" s="8" t="s">
        <v>66704</v>
      </c>
      <c r="C13109" s="8" t="s">
        <v>26175</v>
      </c>
      <c r="D13109" s="8"/>
      <c r="E13109" s="6"/>
      <c r="F13109" s="6"/>
    </row>
    <row r="13110" spans="1:6" x14ac:dyDescent="0.3">
      <c r="A13110" s="8" t="s">
        <v>26176</v>
      </c>
      <c r="B13110" s="8" t="s">
        <v>66705</v>
      </c>
      <c r="C13110" s="8" t="s">
        <v>26177</v>
      </c>
      <c r="D13110" s="8"/>
      <c r="E13110" s="6"/>
      <c r="F13110" s="6"/>
    </row>
    <row r="13111" spans="1:6" x14ac:dyDescent="0.3">
      <c r="A13111" s="8" t="s">
        <v>26178</v>
      </c>
      <c r="B13111" s="8" t="s">
        <v>66706</v>
      </c>
      <c r="C13111" s="8" t="s">
        <v>26179</v>
      </c>
      <c r="D13111" s="8"/>
      <c r="E13111" s="6"/>
      <c r="F13111" s="6"/>
    </row>
    <row r="13112" spans="1:6" x14ac:dyDescent="0.3">
      <c r="A13112" s="8" t="s">
        <v>26180</v>
      </c>
      <c r="B13112" s="8" t="s">
        <v>66707</v>
      </c>
      <c r="C13112" s="8" t="s">
        <v>26181</v>
      </c>
      <c r="D13112" s="8"/>
      <c r="E13112" s="6"/>
      <c r="F13112" s="6"/>
    </row>
    <row r="13113" spans="1:6" x14ac:dyDescent="0.3">
      <c r="A13113" s="8" t="s">
        <v>26182</v>
      </c>
      <c r="B13113" s="8" t="s">
        <v>66708</v>
      </c>
      <c r="C13113" s="8" t="s">
        <v>26183</v>
      </c>
      <c r="D13113" s="8"/>
      <c r="E13113" s="6"/>
      <c r="F13113" s="6"/>
    </row>
    <row r="13114" spans="1:6" x14ac:dyDescent="0.3">
      <c r="A13114" s="8" t="s">
        <v>26184</v>
      </c>
      <c r="B13114" s="8" t="s">
        <v>66709</v>
      </c>
      <c r="C13114" s="8" t="s">
        <v>26185</v>
      </c>
      <c r="D13114" s="8"/>
      <c r="E13114" s="6"/>
      <c r="F13114" s="6"/>
    </row>
    <row r="13115" spans="1:6" x14ac:dyDescent="0.3">
      <c r="A13115" s="8" t="s">
        <v>26186</v>
      </c>
      <c r="B13115" s="8" t="s">
        <v>66710</v>
      </c>
      <c r="C13115" s="8" t="s">
        <v>26187</v>
      </c>
      <c r="D13115" s="8"/>
      <c r="E13115" s="6"/>
      <c r="F13115" s="6"/>
    </row>
    <row r="13116" spans="1:6" x14ac:dyDescent="0.3">
      <c r="A13116" s="8" t="s">
        <v>26188</v>
      </c>
      <c r="B13116" s="8" t="s">
        <v>66711</v>
      </c>
      <c r="C13116" s="8" t="s">
        <v>26189</v>
      </c>
      <c r="D13116" s="8"/>
      <c r="E13116" s="6"/>
      <c r="F13116" s="6"/>
    </row>
    <row r="13117" spans="1:6" x14ac:dyDescent="0.3">
      <c r="A13117" s="8" t="s">
        <v>26190</v>
      </c>
      <c r="B13117" s="8" t="s">
        <v>66712</v>
      </c>
      <c r="C13117" s="8" t="s">
        <v>26191</v>
      </c>
      <c r="D13117" s="8"/>
      <c r="E13117" s="6"/>
      <c r="F13117" s="6"/>
    </row>
    <row r="13118" spans="1:6" x14ac:dyDescent="0.3">
      <c r="A13118" s="8" t="s">
        <v>26192</v>
      </c>
      <c r="B13118" s="8" t="s">
        <v>66713</v>
      </c>
      <c r="C13118" s="8" t="s">
        <v>26193</v>
      </c>
      <c r="D13118" s="8"/>
      <c r="E13118" s="6"/>
      <c r="F13118" s="6"/>
    </row>
    <row r="13119" spans="1:6" x14ac:dyDescent="0.3">
      <c r="A13119" s="8" t="s">
        <v>26194</v>
      </c>
      <c r="B13119" s="8" t="s">
        <v>66714</v>
      </c>
      <c r="C13119" s="8" t="s">
        <v>26195</v>
      </c>
      <c r="D13119" s="8"/>
      <c r="E13119" s="6"/>
      <c r="F13119" s="6"/>
    </row>
    <row r="13120" spans="1:6" x14ac:dyDescent="0.3">
      <c r="A13120" s="8" t="s">
        <v>26196</v>
      </c>
      <c r="B13120" s="8" t="s">
        <v>66715</v>
      </c>
      <c r="C13120" s="8" t="s">
        <v>26197</v>
      </c>
      <c r="D13120" s="8"/>
      <c r="E13120" s="6"/>
      <c r="F13120" s="6"/>
    </row>
    <row r="13121" spans="1:6" x14ac:dyDescent="0.3">
      <c r="A13121" s="8" t="s">
        <v>26198</v>
      </c>
      <c r="B13121" s="8" t="s">
        <v>66716</v>
      </c>
      <c r="C13121" s="8" t="s">
        <v>26199</v>
      </c>
      <c r="D13121" s="8"/>
      <c r="E13121" s="6"/>
      <c r="F13121" s="6"/>
    </row>
    <row r="13122" spans="1:6" x14ac:dyDescent="0.3">
      <c r="A13122" s="8" t="s">
        <v>26200</v>
      </c>
      <c r="B13122" s="8" t="s">
        <v>66717</v>
      </c>
      <c r="C13122" s="8" t="s">
        <v>26201</v>
      </c>
      <c r="D13122" s="8"/>
      <c r="E13122" s="6"/>
      <c r="F13122" s="6"/>
    </row>
    <row r="13123" spans="1:6" x14ac:dyDescent="0.3">
      <c r="A13123" s="8" t="s">
        <v>26202</v>
      </c>
      <c r="B13123" s="8" t="s">
        <v>66718</v>
      </c>
      <c r="C13123" s="8" t="s">
        <v>26203</v>
      </c>
      <c r="D13123" s="8"/>
      <c r="E13123" s="6"/>
      <c r="F13123" s="6"/>
    </row>
    <row r="13124" spans="1:6" x14ac:dyDescent="0.3">
      <c r="A13124" s="8" t="s">
        <v>26204</v>
      </c>
      <c r="B13124" s="8" t="s">
        <v>66719</v>
      </c>
      <c r="C13124" s="8" t="s">
        <v>26205</v>
      </c>
      <c r="D13124" s="8"/>
      <c r="E13124" s="6"/>
      <c r="F13124" s="6"/>
    </row>
    <row r="13125" spans="1:6" x14ac:dyDescent="0.3">
      <c r="A13125" s="8" t="s">
        <v>26206</v>
      </c>
      <c r="B13125" s="8" t="s">
        <v>66720</v>
      </c>
      <c r="C13125" s="8" t="s">
        <v>26207</v>
      </c>
      <c r="D13125" s="8"/>
      <c r="E13125" s="6"/>
      <c r="F13125" s="6"/>
    </row>
    <row r="13126" spans="1:6" x14ac:dyDescent="0.3">
      <c r="A13126" s="8" t="s">
        <v>26208</v>
      </c>
      <c r="B13126" s="8" t="s">
        <v>66721</v>
      </c>
      <c r="C13126" s="8" t="s">
        <v>26209</v>
      </c>
      <c r="D13126" s="8"/>
      <c r="E13126" s="6"/>
      <c r="F13126" s="6"/>
    </row>
    <row r="13127" spans="1:6" x14ac:dyDescent="0.3">
      <c r="A13127" s="8" t="s">
        <v>26210</v>
      </c>
      <c r="B13127" s="8" t="s">
        <v>66722</v>
      </c>
      <c r="C13127" s="8" t="s">
        <v>26211</v>
      </c>
      <c r="D13127" s="8"/>
      <c r="E13127" s="6"/>
      <c r="F13127" s="6"/>
    </row>
    <row r="13128" spans="1:6" x14ac:dyDescent="0.3">
      <c r="A13128" s="8" t="s">
        <v>26212</v>
      </c>
      <c r="B13128" s="8" t="s">
        <v>66723</v>
      </c>
      <c r="C13128" s="8" t="s">
        <v>26213</v>
      </c>
      <c r="D13128" s="8"/>
      <c r="E13128" s="6"/>
      <c r="F13128" s="6"/>
    </row>
    <row r="13129" spans="1:6" x14ac:dyDescent="0.3">
      <c r="A13129" s="8" t="s">
        <v>26214</v>
      </c>
      <c r="B13129" s="8" t="s">
        <v>66724</v>
      </c>
      <c r="C13129" s="8" t="s">
        <v>26215</v>
      </c>
      <c r="D13129" s="8"/>
      <c r="E13129" s="6"/>
      <c r="F13129" s="6"/>
    </row>
    <row r="13130" spans="1:6" x14ac:dyDescent="0.3">
      <c r="A13130" s="8" t="s">
        <v>26216</v>
      </c>
      <c r="B13130" s="8" t="s">
        <v>66725</v>
      </c>
      <c r="C13130" s="8" t="s">
        <v>26217</v>
      </c>
      <c r="D13130" s="8"/>
      <c r="E13130" s="6"/>
      <c r="F13130" s="6"/>
    </row>
    <row r="13131" spans="1:6" x14ac:dyDescent="0.3">
      <c r="A13131" s="8" t="s">
        <v>26218</v>
      </c>
      <c r="B13131" s="8" t="s">
        <v>66726</v>
      </c>
      <c r="C13131" s="8" t="s">
        <v>26219</v>
      </c>
      <c r="D13131" s="8"/>
      <c r="E13131" s="6"/>
      <c r="F13131" s="6"/>
    </row>
    <row r="13132" spans="1:6" x14ac:dyDescent="0.3">
      <c r="A13132" s="8" t="s">
        <v>26220</v>
      </c>
      <c r="B13132" s="8" t="s">
        <v>66727</v>
      </c>
      <c r="C13132" s="8" t="s">
        <v>26221</v>
      </c>
      <c r="D13132" s="8"/>
      <c r="E13132" s="6"/>
      <c r="F13132" s="6"/>
    </row>
    <row r="13133" spans="1:6" x14ac:dyDescent="0.3">
      <c r="A13133" s="8" t="s">
        <v>26222</v>
      </c>
      <c r="B13133" s="8" t="s">
        <v>66728</v>
      </c>
      <c r="C13133" s="8" t="s">
        <v>26223</v>
      </c>
      <c r="D13133" s="8"/>
      <c r="E13133" s="6"/>
      <c r="F13133" s="6"/>
    </row>
    <row r="13134" spans="1:6" x14ac:dyDescent="0.3">
      <c r="A13134" s="8" t="s">
        <v>26224</v>
      </c>
      <c r="B13134" s="8" t="s">
        <v>66729</v>
      </c>
      <c r="C13134" s="8" t="s">
        <v>26225</v>
      </c>
      <c r="D13134" s="8"/>
      <c r="E13134" s="6"/>
      <c r="F13134" s="6"/>
    </row>
    <row r="13135" spans="1:6" x14ac:dyDescent="0.3">
      <c r="A13135" s="8" t="s">
        <v>26226</v>
      </c>
      <c r="B13135" s="8" t="s">
        <v>66730</v>
      </c>
      <c r="C13135" s="8" t="s">
        <v>26227</v>
      </c>
      <c r="D13135" s="8"/>
      <c r="E13135" s="6"/>
      <c r="F13135" s="6"/>
    </row>
    <row r="13136" spans="1:6" x14ac:dyDescent="0.3">
      <c r="A13136" s="8" t="s">
        <v>26228</v>
      </c>
      <c r="B13136" s="8" t="s">
        <v>66731</v>
      </c>
      <c r="C13136" s="8" t="s">
        <v>26229</v>
      </c>
      <c r="D13136" s="8"/>
      <c r="E13136" s="6"/>
      <c r="F13136" s="6"/>
    </row>
    <row r="13137" spans="1:6" x14ac:dyDescent="0.3">
      <c r="A13137" s="8" t="s">
        <v>26230</v>
      </c>
      <c r="B13137" s="8" t="s">
        <v>66732</v>
      </c>
      <c r="C13137" s="8" t="s">
        <v>26231</v>
      </c>
      <c r="D13137" s="8"/>
      <c r="E13137" s="6"/>
      <c r="F13137" s="6"/>
    </row>
    <row r="13138" spans="1:6" x14ac:dyDescent="0.3">
      <c r="A13138" s="8" t="s">
        <v>26232</v>
      </c>
      <c r="B13138" s="8" t="s">
        <v>66733</v>
      </c>
      <c r="C13138" s="8" t="s">
        <v>26233</v>
      </c>
      <c r="D13138" s="8"/>
      <c r="E13138" s="6"/>
      <c r="F13138" s="6"/>
    </row>
    <row r="13139" spans="1:6" x14ac:dyDescent="0.3">
      <c r="A13139" s="8" t="s">
        <v>26234</v>
      </c>
      <c r="B13139" s="8" t="s">
        <v>66734</v>
      </c>
      <c r="C13139" s="8" t="s">
        <v>26235</v>
      </c>
      <c r="D13139" s="8"/>
      <c r="E13139" s="6"/>
      <c r="F13139" s="6"/>
    </row>
    <row r="13140" spans="1:6" x14ac:dyDescent="0.3">
      <c r="A13140" s="8" t="s">
        <v>26236</v>
      </c>
      <c r="B13140" s="8" t="s">
        <v>66735</v>
      </c>
      <c r="C13140" s="8" t="s">
        <v>26237</v>
      </c>
      <c r="D13140" s="8"/>
      <c r="E13140" s="6"/>
      <c r="F13140" s="6"/>
    </row>
    <row r="13141" spans="1:6" x14ac:dyDescent="0.3">
      <c r="A13141" s="8" t="s">
        <v>26238</v>
      </c>
      <c r="B13141" s="8" t="s">
        <v>66736</v>
      </c>
      <c r="C13141" s="8" t="s">
        <v>26239</v>
      </c>
      <c r="D13141" s="8"/>
      <c r="E13141" s="6"/>
      <c r="F13141" s="6"/>
    </row>
    <row r="13142" spans="1:6" x14ac:dyDescent="0.3">
      <c r="A13142" s="8" t="s">
        <v>26240</v>
      </c>
      <c r="B13142" s="8" t="s">
        <v>66737</v>
      </c>
      <c r="C13142" s="8" t="s">
        <v>26241</v>
      </c>
      <c r="D13142" s="8"/>
      <c r="E13142" s="6"/>
      <c r="F13142" s="6"/>
    </row>
    <row r="13143" spans="1:6" x14ac:dyDescent="0.3">
      <c r="A13143" s="8" t="s">
        <v>26242</v>
      </c>
      <c r="B13143" s="8" t="s">
        <v>66738</v>
      </c>
      <c r="C13143" s="8" t="s">
        <v>26243</v>
      </c>
      <c r="D13143" s="8"/>
      <c r="E13143" s="6"/>
      <c r="F13143" s="6"/>
    </row>
    <row r="13144" spans="1:6" x14ac:dyDescent="0.3">
      <c r="A13144" s="8" t="s">
        <v>26244</v>
      </c>
      <c r="B13144" s="8" t="s">
        <v>66739</v>
      </c>
      <c r="C13144" s="8" t="s">
        <v>26245</v>
      </c>
      <c r="D13144" s="8"/>
      <c r="E13144" s="6"/>
      <c r="F13144" s="6"/>
    </row>
    <row r="13145" spans="1:6" x14ac:dyDescent="0.3">
      <c r="A13145" s="8" t="s">
        <v>26246</v>
      </c>
      <c r="B13145" s="8" t="s">
        <v>66740</v>
      </c>
      <c r="C13145" s="8" t="s">
        <v>26247</v>
      </c>
      <c r="D13145" s="8"/>
      <c r="E13145" s="6"/>
      <c r="F13145" s="6"/>
    </row>
    <row r="13146" spans="1:6" x14ac:dyDescent="0.3">
      <c r="A13146" s="8" t="s">
        <v>26248</v>
      </c>
      <c r="B13146" s="8" t="s">
        <v>66741</v>
      </c>
      <c r="C13146" s="8" t="s">
        <v>26249</v>
      </c>
      <c r="D13146" s="8"/>
      <c r="E13146" s="6"/>
      <c r="F13146" s="6"/>
    </row>
    <row r="13147" spans="1:6" x14ac:dyDescent="0.3">
      <c r="A13147" s="8" t="s">
        <v>26250</v>
      </c>
      <c r="B13147" s="8" t="s">
        <v>66742</v>
      </c>
      <c r="C13147" s="8" t="s">
        <v>26251</v>
      </c>
      <c r="D13147" s="8"/>
      <c r="E13147" s="6"/>
      <c r="F13147" s="6"/>
    </row>
    <row r="13148" spans="1:6" x14ac:dyDescent="0.3">
      <c r="A13148" s="8" t="s">
        <v>26252</v>
      </c>
      <c r="B13148" s="8" t="s">
        <v>66743</v>
      </c>
      <c r="C13148" s="8" t="s">
        <v>26253</v>
      </c>
      <c r="D13148" s="8"/>
      <c r="E13148" s="6"/>
      <c r="F13148" s="6"/>
    </row>
    <row r="13149" spans="1:6" x14ac:dyDescent="0.3">
      <c r="A13149" s="8" t="s">
        <v>26254</v>
      </c>
      <c r="B13149" s="8" t="s">
        <v>66744</v>
      </c>
      <c r="C13149" s="8" t="s">
        <v>26255</v>
      </c>
      <c r="D13149" s="8"/>
      <c r="E13149" s="6"/>
      <c r="F13149" s="6"/>
    </row>
    <row r="13150" spans="1:6" x14ac:dyDescent="0.3">
      <c r="A13150" s="8" t="s">
        <v>26256</v>
      </c>
      <c r="B13150" s="8" t="s">
        <v>66745</v>
      </c>
      <c r="C13150" s="8" t="s">
        <v>26257</v>
      </c>
      <c r="D13150" s="8"/>
      <c r="E13150" s="6"/>
      <c r="F13150" s="6"/>
    </row>
    <row r="13151" spans="1:6" x14ac:dyDescent="0.3">
      <c r="A13151" s="8" t="s">
        <v>26258</v>
      </c>
      <c r="B13151" s="8" t="s">
        <v>66746</v>
      </c>
      <c r="C13151" s="8" t="s">
        <v>26259</v>
      </c>
      <c r="D13151" s="8"/>
      <c r="E13151" s="6"/>
      <c r="F13151" s="6"/>
    </row>
    <row r="13152" spans="1:6" x14ac:dyDescent="0.3">
      <c r="A13152" s="8" t="s">
        <v>26260</v>
      </c>
      <c r="B13152" s="8" t="s">
        <v>66747</v>
      </c>
      <c r="C13152" s="8" t="s">
        <v>26261</v>
      </c>
      <c r="D13152" s="8"/>
      <c r="E13152" s="6"/>
      <c r="F13152" s="6"/>
    </row>
    <row r="13153" spans="1:6" x14ac:dyDescent="0.3">
      <c r="A13153" s="8" t="s">
        <v>26262</v>
      </c>
      <c r="B13153" s="8" t="s">
        <v>66748</v>
      </c>
      <c r="C13153" s="8" t="s">
        <v>26263</v>
      </c>
      <c r="D13153" s="8"/>
      <c r="E13153" s="6"/>
      <c r="F13153" s="6"/>
    </row>
    <row r="13154" spans="1:6" x14ac:dyDescent="0.3">
      <c r="A13154" s="8" t="s">
        <v>26264</v>
      </c>
      <c r="B13154" s="8" t="s">
        <v>66749</v>
      </c>
      <c r="C13154" s="8" t="s">
        <v>26265</v>
      </c>
      <c r="D13154" s="8"/>
      <c r="E13154" s="6"/>
      <c r="F13154" s="6"/>
    </row>
    <row r="13155" spans="1:6" x14ac:dyDescent="0.3">
      <c r="A13155" s="8" t="s">
        <v>26266</v>
      </c>
      <c r="B13155" s="8" t="s">
        <v>66750</v>
      </c>
      <c r="C13155" s="8" t="s">
        <v>26267</v>
      </c>
      <c r="D13155" s="8"/>
      <c r="E13155" s="6"/>
      <c r="F13155" s="6"/>
    </row>
    <row r="13156" spans="1:6" x14ac:dyDescent="0.3">
      <c r="A13156" s="8" t="s">
        <v>26268</v>
      </c>
      <c r="B13156" s="8" t="s">
        <v>66751</v>
      </c>
      <c r="C13156" s="8" t="s">
        <v>26269</v>
      </c>
      <c r="D13156" s="8"/>
      <c r="E13156" s="6"/>
      <c r="F13156" s="6"/>
    </row>
    <row r="13157" spans="1:6" x14ac:dyDescent="0.3">
      <c r="A13157" s="8" t="s">
        <v>26270</v>
      </c>
      <c r="B13157" s="8" t="s">
        <v>66752</v>
      </c>
      <c r="C13157" s="8" t="s">
        <v>26271</v>
      </c>
      <c r="D13157" s="8"/>
      <c r="E13157" s="6"/>
      <c r="F13157" s="6"/>
    </row>
    <row r="13158" spans="1:6" x14ac:dyDescent="0.3">
      <c r="A13158" s="8" t="s">
        <v>26272</v>
      </c>
      <c r="B13158" s="8" t="s">
        <v>66753</v>
      </c>
      <c r="C13158" s="8" t="s">
        <v>26273</v>
      </c>
      <c r="D13158" s="8"/>
      <c r="E13158" s="6"/>
      <c r="F13158" s="6"/>
    </row>
    <row r="13159" spans="1:6" x14ac:dyDescent="0.3">
      <c r="A13159" s="8" t="s">
        <v>26274</v>
      </c>
      <c r="B13159" s="8" t="s">
        <v>66754</v>
      </c>
      <c r="C13159" s="8" t="s">
        <v>26275</v>
      </c>
      <c r="D13159" s="8"/>
      <c r="E13159" s="6"/>
      <c r="F13159" s="6"/>
    </row>
    <row r="13160" spans="1:6" x14ac:dyDescent="0.3">
      <c r="A13160" s="8" t="s">
        <v>26276</v>
      </c>
      <c r="B13160" s="8" t="s">
        <v>66755</v>
      </c>
      <c r="C13160" s="8" t="s">
        <v>26277</v>
      </c>
      <c r="D13160" s="8"/>
      <c r="E13160" s="6"/>
      <c r="F13160" s="6"/>
    </row>
    <row r="13161" spans="1:6" x14ac:dyDescent="0.3">
      <c r="A13161" s="8" t="s">
        <v>26278</v>
      </c>
      <c r="B13161" s="8" t="s">
        <v>66756</v>
      </c>
      <c r="C13161" s="8" t="s">
        <v>26279</v>
      </c>
      <c r="D13161" s="8"/>
      <c r="E13161" s="6"/>
      <c r="F13161" s="6"/>
    </row>
    <row r="13162" spans="1:6" x14ac:dyDescent="0.3">
      <c r="A13162" s="8" t="s">
        <v>26280</v>
      </c>
      <c r="B13162" s="8" t="s">
        <v>66757</v>
      </c>
      <c r="C13162" s="8" t="s">
        <v>26281</v>
      </c>
      <c r="D13162" s="8"/>
      <c r="E13162" s="6"/>
      <c r="F13162" s="6"/>
    </row>
    <row r="13163" spans="1:6" x14ac:dyDescent="0.3">
      <c r="A13163" s="8" t="s">
        <v>26282</v>
      </c>
      <c r="B13163" s="8" t="s">
        <v>66758</v>
      </c>
      <c r="C13163" s="8" t="s">
        <v>26283</v>
      </c>
      <c r="D13163" s="8"/>
      <c r="E13163" s="6"/>
      <c r="F13163" s="6"/>
    </row>
    <row r="13164" spans="1:6" x14ac:dyDescent="0.3">
      <c r="A13164" s="8" t="s">
        <v>26284</v>
      </c>
      <c r="B13164" s="8" t="s">
        <v>66759</v>
      </c>
      <c r="C13164" s="8" t="s">
        <v>26285</v>
      </c>
      <c r="D13164" s="8"/>
      <c r="E13164" s="6"/>
      <c r="F13164" s="6"/>
    </row>
    <row r="13165" spans="1:6" x14ac:dyDescent="0.3">
      <c r="A13165" s="8" t="s">
        <v>26286</v>
      </c>
      <c r="B13165" s="8" t="s">
        <v>66760</v>
      </c>
      <c r="C13165" s="8" t="s">
        <v>26287</v>
      </c>
      <c r="D13165" s="8"/>
      <c r="E13165" s="6"/>
      <c r="F13165" s="6"/>
    </row>
    <row r="13166" spans="1:6" x14ac:dyDescent="0.3">
      <c r="A13166" s="8" t="s">
        <v>26288</v>
      </c>
      <c r="B13166" s="8" t="s">
        <v>66761</v>
      </c>
      <c r="C13166" s="8" t="s">
        <v>26289</v>
      </c>
      <c r="D13166" s="8"/>
      <c r="E13166" s="6"/>
      <c r="F13166" s="6"/>
    </row>
    <row r="13167" spans="1:6" x14ac:dyDescent="0.3">
      <c r="A13167" s="8" t="s">
        <v>26290</v>
      </c>
      <c r="B13167" s="8" t="s">
        <v>66762</v>
      </c>
      <c r="C13167" s="8" t="s">
        <v>26291</v>
      </c>
      <c r="D13167" s="8"/>
      <c r="E13167" s="6"/>
      <c r="F13167" s="6"/>
    </row>
    <row r="13168" spans="1:6" x14ac:dyDescent="0.3">
      <c r="A13168" s="8" t="s">
        <v>26292</v>
      </c>
      <c r="B13168" s="8" t="s">
        <v>66763</v>
      </c>
      <c r="C13168" s="8" t="s">
        <v>26293</v>
      </c>
      <c r="D13168" s="8"/>
      <c r="E13168" s="6"/>
      <c r="F13168" s="6"/>
    </row>
    <row r="13169" spans="1:6" x14ac:dyDescent="0.3">
      <c r="A13169" s="8" t="s">
        <v>26294</v>
      </c>
      <c r="B13169" s="8" t="s">
        <v>66764</v>
      </c>
      <c r="C13169" s="8" t="s">
        <v>26295</v>
      </c>
      <c r="D13169" s="8"/>
      <c r="E13169" s="6"/>
      <c r="F13169" s="6"/>
    </row>
    <row r="13170" spans="1:6" x14ac:dyDescent="0.3">
      <c r="A13170" s="8" t="s">
        <v>26296</v>
      </c>
      <c r="B13170" s="8" t="s">
        <v>66765</v>
      </c>
      <c r="C13170" s="8" t="s">
        <v>26297</v>
      </c>
      <c r="D13170" s="8"/>
      <c r="E13170" s="6"/>
      <c r="F13170" s="6"/>
    </row>
    <row r="13171" spans="1:6" x14ac:dyDescent="0.3">
      <c r="A13171" s="8" t="s">
        <v>26298</v>
      </c>
      <c r="B13171" s="8" t="s">
        <v>66766</v>
      </c>
      <c r="C13171" s="8" t="s">
        <v>26299</v>
      </c>
      <c r="D13171" s="8"/>
      <c r="E13171" s="6"/>
      <c r="F13171" s="6"/>
    </row>
    <row r="13172" spans="1:6" x14ac:dyDescent="0.3">
      <c r="A13172" s="8" t="s">
        <v>26300</v>
      </c>
      <c r="B13172" s="8" t="s">
        <v>66767</v>
      </c>
      <c r="C13172" s="8" t="s">
        <v>26301</v>
      </c>
      <c r="D13172" s="8"/>
      <c r="E13172" s="6"/>
      <c r="F13172" s="6"/>
    </row>
    <row r="13173" spans="1:6" x14ac:dyDescent="0.3">
      <c r="A13173" s="8" t="s">
        <v>26302</v>
      </c>
      <c r="B13173" s="8" t="s">
        <v>66768</v>
      </c>
      <c r="C13173" s="8" t="s">
        <v>26303</v>
      </c>
      <c r="D13173" s="8"/>
      <c r="E13173" s="6"/>
      <c r="F13173" s="6"/>
    </row>
    <row r="13174" spans="1:6" x14ac:dyDescent="0.3">
      <c r="A13174" s="8" t="s">
        <v>26304</v>
      </c>
      <c r="B13174" s="8" t="s">
        <v>66769</v>
      </c>
      <c r="C13174" s="8" t="s">
        <v>26305</v>
      </c>
      <c r="D13174" s="8"/>
      <c r="E13174" s="6"/>
      <c r="F13174" s="6"/>
    </row>
    <row r="13175" spans="1:6" x14ac:dyDescent="0.3">
      <c r="A13175" s="8" t="s">
        <v>26306</v>
      </c>
      <c r="B13175" s="8" t="s">
        <v>66770</v>
      </c>
      <c r="C13175" s="8" t="s">
        <v>26307</v>
      </c>
      <c r="D13175" s="8"/>
      <c r="E13175" s="6"/>
      <c r="F13175" s="6"/>
    </row>
    <row r="13176" spans="1:6" x14ac:dyDescent="0.3">
      <c r="A13176" s="8" t="s">
        <v>26308</v>
      </c>
      <c r="B13176" s="8" t="s">
        <v>66771</v>
      </c>
      <c r="C13176" s="8" t="s">
        <v>26309</v>
      </c>
      <c r="D13176" s="8"/>
      <c r="E13176" s="6"/>
      <c r="F13176" s="6"/>
    </row>
    <row r="13177" spans="1:6" x14ac:dyDescent="0.3">
      <c r="A13177" s="8" t="s">
        <v>26310</v>
      </c>
      <c r="B13177" s="8" t="s">
        <v>66772</v>
      </c>
      <c r="C13177" s="8" t="s">
        <v>26311</v>
      </c>
      <c r="D13177" s="8"/>
      <c r="E13177" s="6"/>
      <c r="F13177" s="6"/>
    </row>
    <row r="13178" spans="1:6" x14ac:dyDescent="0.3">
      <c r="A13178" s="8" t="s">
        <v>26312</v>
      </c>
      <c r="B13178" s="8" t="s">
        <v>66773</v>
      </c>
      <c r="C13178" s="8" t="s">
        <v>26313</v>
      </c>
      <c r="D13178" s="8"/>
      <c r="E13178" s="6"/>
      <c r="F13178" s="6"/>
    </row>
    <row r="13179" spans="1:6" x14ac:dyDescent="0.3">
      <c r="A13179" s="8" t="s">
        <v>26314</v>
      </c>
      <c r="B13179" s="8" t="s">
        <v>66774</v>
      </c>
      <c r="C13179" s="8" t="s">
        <v>26315</v>
      </c>
      <c r="D13179" s="8"/>
      <c r="E13179" s="6"/>
      <c r="F13179" s="6"/>
    </row>
    <row r="13180" spans="1:6" x14ac:dyDescent="0.3">
      <c r="A13180" s="8" t="s">
        <v>26316</v>
      </c>
      <c r="B13180" s="8" t="s">
        <v>66775</v>
      </c>
      <c r="C13180" s="8" t="s">
        <v>26317</v>
      </c>
      <c r="D13180" s="8"/>
      <c r="E13180" s="6"/>
      <c r="F13180" s="6"/>
    </row>
    <row r="13181" spans="1:6" x14ac:dyDescent="0.3">
      <c r="A13181" s="8" t="s">
        <v>26318</v>
      </c>
      <c r="B13181" s="8" t="s">
        <v>66776</v>
      </c>
      <c r="C13181" s="8" t="s">
        <v>26319</v>
      </c>
      <c r="D13181" s="8"/>
      <c r="E13181" s="6"/>
      <c r="F13181" s="6"/>
    </row>
    <row r="13182" spans="1:6" x14ac:dyDescent="0.3">
      <c r="A13182" s="8" t="s">
        <v>26320</v>
      </c>
      <c r="B13182" s="8" t="s">
        <v>66777</v>
      </c>
      <c r="C13182" s="8" t="s">
        <v>26321</v>
      </c>
      <c r="D13182" s="8"/>
      <c r="E13182" s="6"/>
      <c r="F13182" s="6"/>
    </row>
    <row r="13183" spans="1:6" x14ac:dyDescent="0.3">
      <c r="A13183" s="8" t="s">
        <v>26322</v>
      </c>
      <c r="B13183" s="8" t="s">
        <v>66778</v>
      </c>
      <c r="C13183" s="8" t="s">
        <v>26323</v>
      </c>
      <c r="D13183" s="8"/>
      <c r="E13183" s="6"/>
      <c r="F13183" s="6"/>
    </row>
    <row r="13184" spans="1:6" x14ac:dyDescent="0.3">
      <c r="A13184" s="8" t="s">
        <v>26324</v>
      </c>
      <c r="B13184" s="8" t="s">
        <v>66779</v>
      </c>
      <c r="C13184" s="8" t="s">
        <v>26325</v>
      </c>
      <c r="D13184" s="8"/>
      <c r="E13184" s="6"/>
      <c r="F13184" s="6"/>
    </row>
    <row r="13185" spans="1:6" x14ac:dyDescent="0.3">
      <c r="A13185" s="8" t="s">
        <v>26326</v>
      </c>
      <c r="B13185" s="8" t="s">
        <v>66780</v>
      </c>
      <c r="C13185" s="8" t="s">
        <v>26327</v>
      </c>
      <c r="D13185" s="8"/>
      <c r="E13185" s="6"/>
      <c r="F13185" s="6"/>
    </row>
    <row r="13186" spans="1:6" x14ac:dyDescent="0.3">
      <c r="A13186" s="8" t="s">
        <v>26328</v>
      </c>
      <c r="B13186" s="8" t="s">
        <v>66781</v>
      </c>
      <c r="C13186" s="8" t="s">
        <v>26329</v>
      </c>
      <c r="D13186" s="8"/>
      <c r="E13186" s="6"/>
      <c r="F13186" s="6"/>
    </row>
    <row r="13187" spans="1:6" x14ac:dyDescent="0.3">
      <c r="A13187" s="8" t="s">
        <v>26330</v>
      </c>
      <c r="B13187" s="8" t="s">
        <v>66782</v>
      </c>
      <c r="C13187" s="8" t="s">
        <v>26331</v>
      </c>
      <c r="D13187" s="8"/>
      <c r="E13187" s="6"/>
      <c r="F13187" s="6"/>
    </row>
    <row r="13188" spans="1:6" x14ac:dyDescent="0.3">
      <c r="A13188" s="8" t="s">
        <v>26332</v>
      </c>
      <c r="B13188" s="8" t="s">
        <v>66783</v>
      </c>
      <c r="C13188" s="8" t="s">
        <v>26333</v>
      </c>
      <c r="D13188" s="8"/>
      <c r="E13188" s="6"/>
      <c r="F13188" s="6"/>
    </row>
    <row r="13189" spans="1:6" x14ac:dyDescent="0.3">
      <c r="A13189" s="8" t="s">
        <v>26334</v>
      </c>
      <c r="B13189" s="8" t="s">
        <v>66784</v>
      </c>
      <c r="C13189" s="8" t="s">
        <v>26335</v>
      </c>
      <c r="D13189" s="8"/>
      <c r="E13189" s="6"/>
      <c r="F13189" s="6"/>
    </row>
    <row r="13190" spans="1:6" x14ac:dyDescent="0.3">
      <c r="A13190" s="8" t="s">
        <v>26336</v>
      </c>
      <c r="B13190" s="8" t="s">
        <v>66785</v>
      </c>
      <c r="C13190" s="8" t="s">
        <v>26337</v>
      </c>
      <c r="D13190" s="8"/>
      <c r="E13190" s="6"/>
      <c r="F13190" s="6"/>
    </row>
    <row r="13191" spans="1:6" x14ac:dyDescent="0.3">
      <c r="A13191" s="8" t="s">
        <v>26338</v>
      </c>
      <c r="B13191" s="8" t="s">
        <v>66786</v>
      </c>
      <c r="C13191" s="8" t="s">
        <v>26339</v>
      </c>
      <c r="D13191" s="8"/>
      <c r="E13191" s="6"/>
      <c r="F13191" s="6"/>
    </row>
    <row r="13192" spans="1:6" x14ac:dyDescent="0.3">
      <c r="A13192" s="8" t="s">
        <v>26340</v>
      </c>
      <c r="B13192" s="8" t="s">
        <v>66787</v>
      </c>
      <c r="C13192" s="8" t="s">
        <v>26341</v>
      </c>
      <c r="D13192" s="8"/>
      <c r="E13192" s="6"/>
      <c r="F13192" s="6"/>
    </row>
    <row r="13193" spans="1:6" x14ac:dyDescent="0.3">
      <c r="A13193" s="8" t="s">
        <v>26342</v>
      </c>
      <c r="B13193" s="8" t="s">
        <v>66788</v>
      </c>
      <c r="C13193" s="8" t="s">
        <v>26343</v>
      </c>
      <c r="D13193" s="8"/>
      <c r="E13193" s="6"/>
      <c r="F13193" s="6"/>
    </row>
    <row r="13194" spans="1:6" x14ac:dyDescent="0.3">
      <c r="A13194" s="8" t="s">
        <v>26344</v>
      </c>
      <c r="B13194" s="8" t="s">
        <v>66789</v>
      </c>
      <c r="C13194" s="8" t="s">
        <v>26345</v>
      </c>
      <c r="D13194" s="8"/>
      <c r="E13194" s="6"/>
      <c r="F13194" s="6"/>
    </row>
    <row r="13195" spans="1:6" x14ac:dyDescent="0.3">
      <c r="A13195" s="8" t="s">
        <v>26346</v>
      </c>
      <c r="B13195" s="8" t="s">
        <v>66790</v>
      </c>
      <c r="C13195" s="8" t="s">
        <v>26347</v>
      </c>
      <c r="D13195" s="8"/>
      <c r="E13195" s="6"/>
      <c r="F13195" s="6"/>
    </row>
    <row r="13196" spans="1:6" x14ac:dyDescent="0.3">
      <c r="A13196" s="8" t="s">
        <v>26348</v>
      </c>
      <c r="B13196" s="8" t="s">
        <v>66791</v>
      </c>
      <c r="C13196" s="8" t="s">
        <v>26349</v>
      </c>
      <c r="D13196" s="8"/>
      <c r="E13196" s="6"/>
      <c r="F13196" s="6"/>
    </row>
    <row r="13197" spans="1:6" x14ac:dyDescent="0.3">
      <c r="A13197" s="8" t="s">
        <v>26350</v>
      </c>
      <c r="B13197" s="8" t="s">
        <v>66792</v>
      </c>
      <c r="C13197" s="8" t="s">
        <v>26351</v>
      </c>
      <c r="D13197" s="8"/>
      <c r="E13197" s="6"/>
      <c r="F13197" s="6"/>
    </row>
    <row r="13198" spans="1:6" x14ac:dyDescent="0.3">
      <c r="A13198" s="8" t="s">
        <v>26352</v>
      </c>
      <c r="B13198" s="8" t="s">
        <v>66793</v>
      </c>
      <c r="C13198" s="8" t="s">
        <v>26353</v>
      </c>
      <c r="D13198" s="8"/>
      <c r="E13198" s="6"/>
      <c r="F13198" s="6"/>
    </row>
    <row r="13199" spans="1:6" x14ac:dyDescent="0.3">
      <c r="A13199" s="8" t="s">
        <v>26354</v>
      </c>
      <c r="B13199" s="8" t="s">
        <v>66794</v>
      </c>
      <c r="C13199" s="8" t="s">
        <v>26355</v>
      </c>
      <c r="D13199" s="8"/>
      <c r="E13199" s="6"/>
      <c r="F13199" s="6"/>
    </row>
    <row r="13200" spans="1:6" x14ac:dyDescent="0.3">
      <c r="A13200" s="8" t="s">
        <v>26356</v>
      </c>
      <c r="B13200" s="8" t="s">
        <v>66795</v>
      </c>
      <c r="C13200" s="8" t="s">
        <v>26357</v>
      </c>
      <c r="D13200" s="8"/>
      <c r="E13200" s="6"/>
      <c r="F13200" s="6"/>
    </row>
    <row r="13201" spans="1:6" x14ac:dyDescent="0.3">
      <c r="A13201" s="8" t="s">
        <v>26358</v>
      </c>
      <c r="B13201" s="8" t="s">
        <v>66796</v>
      </c>
      <c r="C13201" s="8" t="s">
        <v>26359</v>
      </c>
      <c r="D13201" s="8"/>
      <c r="E13201" s="6"/>
      <c r="F13201" s="6"/>
    </row>
    <row r="13202" spans="1:6" x14ac:dyDescent="0.3">
      <c r="A13202" s="8" t="s">
        <v>26360</v>
      </c>
      <c r="B13202" s="8" t="s">
        <v>66797</v>
      </c>
      <c r="C13202" s="8" t="s">
        <v>26361</v>
      </c>
      <c r="D13202" s="8"/>
      <c r="E13202" s="6"/>
      <c r="F13202" s="6"/>
    </row>
    <row r="13203" spans="1:6" x14ac:dyDescent="0.3">
      <c r="A13203" s="8" t="s">
        <v>26362</v>
      </c>
      <c r="B13203" s="8" t="s">
        <v>66798</v>
      </c>
      <c r="C13203" s="8" t="s">
        <v>26363</v>
      </c>
      <c r="D13203" s="8"/>
      <c r="E13203" s="6"/>
      <c r="F13203" s="6"/>
    </row>
    <row r="13204" spans="1:6" x14ac:dyDescent="0.3">
      <c r="A13204" s="8" t="s">
        <v>26364</v>
      </c>
      <c r="B13204" s="8" t="s">
        <v>66799</v>
      </c>
      <c r="C13204" s="8" t="s">
        <v>26365</v>
      </c>
      <c r="D13204" s="8"/>
      <c r="E13204" s="6"/>
      <c r="F13204" s="6"/>
    </row>
    <row r="13205" spans="1:6" x14ac:dyDescent="0.3">
      <c r="A13205" s="8" t="s">
        <v>26366</v>
      </c>
      <c r="B13205" s="8" t="s">
        <v>66800</v>
      </c>
      <c r="C13205" s="8" t="s">
        <v>26367</v>
      </c>
      <c r="D13205" s="8"/>
      <c r="E13205" s="6"/>
      <c r="F13205" s="6"/>
    </row>
    <row r="13206" spans="1:6" x14ac:dyDescent="0.3">
      <c r="A13206" s="8" t="s">
        <v>26368</v>
      </c>
      <c r="B13206" s="8" t="s">
        <v>66801</v>
      </c>
      <c r="C13206" s="8" t="s">
        <v>26369</v>
      </c>
      <c r="D13206" s="8"/>
      <c r="E13206" s="6"/>
      <c r="F13206" s="6"/>
    </row>
    <row r="13207" spans="1:6" x14ac:dyDescent="0.3">
      <c r="A13207" s="8" t="s">
        <v>26370</v>
      </c>
      <c r="B13207" s="8" t="s">
        <v>66802</v>
      </c>
      <c r="C13207" s="8" t="s">
        <v>26371</v>
      </c>
      <c r="D13207" s="8"/>
      <c r="E13207" s="6"/>
      <c r="F13207" s="6"/>
    </row>
    <row r="13208" spans="1:6" x14ac:dyDescent="0.3">
      <c r="A13208" s="8" t="s">
        <v>26372</v>
      </c>
      <c r="B13208" s="8" t="s">
        <v>66803</v>
      </c>
      <c r="C13208" s="8" t="s">
        <v>26373</v>
      </c>
      <c r="D13208" s="8"/>
      <c r="E13208" s="6"/>
      <c r="F13208" s="6"/>
    </row>
    <row r="13209" spans="1:6" x14ac:dyDescent="0.3">
      <c r="A13209" s="8" t="s">
        <v>26374</v>
      </c>
      <c r="B13209" s="8" t="s">
        <v>66804</v>
      </c>
      <c r="C13209" s="8" t="s">
        <v>26375</v>
      </c>
      <c r="D13209" s="8"/>
      <c r="E13209" s="6"/>
      <c r="F13209" s="6"/>
    </row>
    <row r="13210" spans="1:6" x14ac:dyDescent="0.3">
      <c r="A13210" s="8" t="s">
        <v>26376</v>
      </c>
      <c r="B13210" s="8" t="s">
        <v>66805</v>
      </c>
      <c r="C13210" s="8" t="s">
        <v>26377</v>
      </c>
      <c r="D13210" s="8"/>
      <c r="E13210" s="6"/>
      <c r="F13210" s="6"/>
    </row>
    <row r="13211" spans="1:6" x14ac:dyDescent="0.3">
      <c r="A13211" s="8" t="s">
        <v>26378</v>
      </c>
      <c r="B13211" s="8" t="s">
        <v>66806</v>
      </c>
      <c r="C13211" s="8" t="s">
        <v>26379</v>
      </c>
      <c r="D13211" s="8"/>
      <c r="E13211" s="6"/>
      <c r="F13211" s="6"/>
    </row>
    <row r="13212" spans="1:6" x14ac:dyDescent="0.3">
      <c r="A13212" s="8" t="s">
        <v>26380</v>
      </c>
      <c r="B13212" s="8" t="s">
        <v>66807</v>
      </c>
      <c r="C13212" s="8" t="s">
        <v>26381</v>
      </c>
      <c r="D13212" s="8"/>
      <c r="E13212" s="6"/>
      <c r="F13212" s="6"/>
    </row>
    <row r="13213" spans="1:6" x14ac:dyDescent="0.3">
      <c r="A13213" s="8" t="s">
        <v>26382</v>
      </c>
      <c r="B13213" s="8" t="s">
        <v>66808</v>
      </c>
      <c r="C13213" s="8" t="s">
        <v>26383</v>
      </c>
      <c r="D13213" s="8"/>
      <c r="E13213" s="6"/>
      <c r="F13213" s="6"/>
    </row>
    <row r="13214" spans="1:6" x14ac:dyDescent="0.3">
      <c r="A13214" s="8" t="s">
        <v>26384</v>
      </c>
      <c r="B13214" s="8" t="s">
        <v>66809</v>
      </c>
      <c r="C13214" s="8" t="s">
        <v>26385</v>
      </c>
      <c r="D13214" s="8"/>
      <c r="E13214" s="6"/>
      <c r="F13214" s="6"/>
    </row>
    <row r="13215" spans="1:6" x14ac:dyDescent="0.3">
      <c r="A13215" s="8" t="s">
        <v>26386</v>
      </c>
      <c r="B13215" s="8" t="s">
        <v>66810</v>
      </c>
      <c r="C13215" s="8" t="s">
        <v>26387</v>
      </c>
      <c r="D13215" s="8"/>
      <c r="E13215" s="6"/>
      <c r="F13215" s="6"/>
    </row>
    <row r="13216" spans="1:6" x14ac:dyDescent="0.3">
      <c r="A13216" s="8" t="s">
        <v>26388</v>
      </c>
      <c r="B13216" s="8" t="s">
        <v>66811</v>
      </c>
      <c r="C13216" s="8" t="s">
        <v>26389</v>
      </c>
      <c r="D13216" s="8"/>
      <c r="E13216" s="6"/>
      <c r="F13216" s="6"/>
    </row>
    <row r="13217" spans="1:6" x14ac:dyDescent="0.3">
      <c r="A13217" s="8" t="s">
        <v>26390</v>
      </c>
      <c r="B13217" s="8" t="s">
        <v>66812</v>
      </c>
      <c r="C13217" s="8" t="s">
        <v>26391</v>
      </c>
      <c r="D13217" s="8"/>
      <c r="E13217" s="6"/>
      <c r="F13217" s="6"/>
    </row>
    <row r="13218" spans="1:6" x14ac:dyDescent="0.3">
      <c r="A13218" s="8" t="s">
        <v>26392</v>
      </c>
      <c r="B13218" s="8" t="s">
        <v>66813</v>
      </c>
      <c r="C13218" s="8" t="s">
        <v>26393</v>
      </c>
      <c r="D13218" s="8"/>
      <c r="E13218" s="6"/>
      <c r="F13218" s="6"/>
    </row>
    <row r="13219" spans="1:6" x14ac:dyDescent="0.3">
      <c r="A13219" s="8" t="s">
        <v>26394</v>
      </c>
      <c r="B13219" s="8" t="s">
        <v>66814</v>
      </c>
      <c r="C13219" s="8" t="s">
        <v>26395</v>
      </c>
      <c r="D13219" s="8"/>
      <c r="E13219" s="6"/>
      <c r="F13219" s="6"/>
    </row>
    <row r="13220" spans="1:6" x14ac:dyDescent="0.3">
      <c r="A13220" s="8" t="s">
        <v>26396</v>
      </c>
      <c r="B13220" s="8" t="s">
        <v>66815</v>
      </c>
      <c r="C13220" s="8" t="s">
        <v>26397</v>
      </c>
      <c r="D13220" s="8"/>
      <c r="E13220" s="6"/>
      <c r="F13220" s="6"/>
    </row>
    <row r="13221" spans="1:6" x14ac:dyDescent="0.3">
      <c r="A13221" s="8" t="s">
        <v>26398</v>
      </c>
      <c r="B13221" s="8" t="s">
        <v>66816</v>
      </c>
      <c r="C13221" s="8" t="s">
        <v>26399</v>
      </c>
      <c r="D13221" s="8"/>
      <c r="E13221" s="6"/>
      <c r="F13221" s="6"/>
    </row>
    <row r="13222" spans="1:6" x14ac:dyDescent="0.3">
      <c r="A13222" s="8" t="s">
        <v>26400</v>
      </c>
      <c r="B13222" s="8" t="s">
        <v>66817</v>
      </c>
      <c r="C13222" s="8" t="s">
        <v>26401</v>
      </c>
      <c r="D13222" s="8"/>
      <c r="E13222" s="6"/>
      <c r="F13222" s="6"/>
    </row>
    <row r="13223" spans="1:6" x14ac:dyDescent="0.3">
      <c r="A13223" s="8" t="s">
        <v>26402</v>
      </c>
      <c r="B13223" s="8" t="s">
        <v>66818</v>
      </c>
      <c r="C13223" s="8" t="s">
        <v>26403</v>
      </c>
      <c r="D13223" s="8"/>
      <c r="E13223" s="6"/>
      <c r="F13223" s="6"/>
    </row>
    <row r="13224" spans="1:6" x14ac:dyDescent="0.3">
      <c r="A13224" s="8" t="s">
        <v>26404</v>
      </c>
      <c r="B13224" s="8" t="s">
        <v>66819</v>
      </c>
      <c r="C13224" s="8" t="s">
        <v>26405</v>
      </c>
      <c r="D13224" s="8"/>
      <c r="E13224" s="6"/>
      <c r="F13224" s="6"/>
    </row>
    <row r="13225" spans="1:6" x14ac:dyDescent="0.3">
      <c r="A13225" s="8" t="s">
        <v>26406</v>
      </c>
      <c r="B13225" s="8" t="s">
        <v>66820</v>
      </c>
      <c r="C13225" s="8" t="s">
        <v>26407</v>
      </c>
      <c r="D13225" s="8"/>
      <c r="E13225" s="6"/>
      <c r="F13225" s="6"/>
    </row>
    <row r="13226" spans="1:6" x14ac:dyDescent="0.3">
      <c r="A13226" s="8" t="s">
        <v>26408</v>
      </c>
      <c r="B13226" s="8" t="s">
        <v>66821</v>
      </c>
      <c r="C13226" s="8" t="s">
        <v>26409</v>
      </c>
      <c r="D13226" s="8"/>
      <c r="E13226" s="6"/>
      <c r="F13226" s="6"/>
    </row>
    <row r="13227" spans="1:6" x14ac:dyDescent="0.3">
      <c r="A13227" s="8" t="s">
        <v>26410</v>
      </c>
      <c r="B13227" s="8" t="s">
        <v>66822</v>
      </c>
      <c r="C13227" s="8" t="s">
        <v>26411</v>
      </c>
      <c r="D13227" s="8"/>
      <c r="E13227" s="6"/>
      <c r="F13227" s="6"/>
    </row>
    <row r="13228" spans="1:6" x14ac:dyDescent="0.3">
      <c r="A13228" s="8" t="s">
        <v>26412</v>
      </c>
      <c r="B13228" s="8" t="s">
        <v>66823</v>
      </c>
      <c r="C13228" s="8" t="s">
        <v>26413</v>
      </c>
      <c r="D13228" s="8"/>
      <c r="E13228" s="6"/>
      <c r="F13228" s="6"/>
    </row>
    <row r="13229" spans="1:6" x14ac:dyDescent="0.3">
      <c r="A13229" s="8" t="s">
        <v>26414</v>
      </c>
      <c r="B13229" s="8" t="s">
        <v>66824</v>
      </c>
      <c r="C13229" s="8" t="s">
        <v>26415</v>
      </c>
      <c r="D13229" s="8"/>
      <c r="E13229" s="6"/>
      <c r="F13229" s="6"/>
    </row>
    <row r="13230" spans="1:6" x14ac:dyDescent="0.3">
      <c r="A13230" s="8" t="s">
        <v>26416</v>
      </c>
      <c r="B13230" s="8" t="s">
        <v>66825</v>
      </c>
      <c r="C13230" s="8" t="s">
        <v>26417</v>
      </c>
      <c r="D13230" s="8"/>
      <c r="E13230" s="6"/>
      <c r="F13230" s="6"/>
    </row>
    <row r="13231" spans="1:6" x14ac:dyDescent="0.3">
      <c r="A13231" s="8" t="s">
        <v>26418</v>
      </c>
      <c r="B13231" s="8" t="s">
        <v>66826</v>
      </c>
      <c r="C13231" s="8" t="s">
        <v>26419</v>
      </c>
      <c r="D13231" s="8"/>
      <c r="E13231" s="6"/>
      <c r="F13231" s="6"/>
    </row>
    <row r="13232" spans="1:6" x14ac:dyDescent="0.3">
      <c r="A13232" s="8" t="s">
        <v>26420</v>
      </c>
      <c r="B13232" s="8" t="s">
        <v>66827</v>
      </c>
      <c r="C13232" s="8" t="s">
        <v>26421</v>
      </c>
      <c r="D13232" s="8"/>
      <c r="E13232" s="6"/>
      <c r="F13232" s="6"/>
    </row>
    <row r="13233" spans="1:6" x14ac:dyDescent="0.3">
      <c r="A13233" s="8" t="s">
        <v>26422</v>
      </c>
      <c r="B13233" s="8" t="s">
        <v>66828</v>
      </c>
      <c r="C13233" s="8" t="s">
        <v>26423</v>
      </c>
      <c r="D13233" s="8"/>
      <c r="E13233" s="6"/>
      <c r="F13233" s="6"/>
    </row>
    <row r="13234" spans="1:6" x14ac:dyDescent="0.3">
      <c r="A13234" s="8" t="s">
        <v>26424</v>
      </c>
      <c r="B13234" s="8" t="s">
        <v>66829</v>
      </c>
      <c r="C13234" s="8" t="s">
        <v>26425</v>
      </c>
      <c r="D13234" s="8"/>
      <c r="E13234" s="6"/>
      <c r="F13234" s="6"/>
    </row>
    <row r="13235" spans="1:6" x14ac:dyDescent="0.3">
      <c r="A13235" s="8" t="s">
        <v>26426</v>
      </c>
      <c r="B13235" s="8" t="s">
        <v>66830</v>
      </c>
      <c r="C13235" s="8" t="s">
        <v>26427</v>
      </c>
      <c r="D13235" s="8"/>
      <c r="E13235" s="6"/>
      <c r="F13235" s="6"/>
    </row>
    <row r="13236" spans="1:6" x14ac:dyDescent="0.3">
      <c r="A13236" s="8" t="s">
        <v>26428</v>
      </c>
      <c r="B13236" s="8" t="s">
        <v>66831</v>
      </c>
      <c r="C13236" s="8" t="s">
        <v>26429</v>
      </c>
      <c r="D13236" s="8"/>
      <c r="E13236" s="6"/>
      <c r="F13236" s="6"/>
    </row>
    <row r="13237" spans="1:6" x14ac:dyDescent="0.3">
      <c r="A13237" s="8" t="s">
        <v>26430</v>
      </c>
      <c r="B13237" s="8" t="s">
        <v>66832</v>
      </c>
      <c r="C13237" s="8" t="s">
        <v>26431</v>
      </c>
      <c r="D13237" s="8"/>
      <c r="E13237" s="6"/>
      <c r="F13237" s="6"/>
    </row>
    <row r="13238" spans="1:6" x14ac:dyDescent="0.3">
      <c r="A13238" s="8" t="s">
        <v>26432</v>
      </c>
      <c r="B13238" s="8" t="s">
        <v>66833</v>
      </c>
      <c r="C13238" s="8" t="s">
        <v>26433</v>
      </c>
      <c r="D13238" s="8"/>
      <c r="E13238" s="6"/>
      <c r="F13238" s="6"/>
    </row>
    <row r="13239" spans="1:6" x14ac:dyDescent="0.3">
      <c r="A13239" s="8" t="s">
        <v>26434</v>
      </c>
      <c r="B13239" s="8" t="s">
        <v>66834</v>
      </c>
      <c r="C13239" s="8" t="s">
        <v>26435</v>
      </c>
      <c r="D13239" s="8"/>
      <c r="E13239" s="6"/>
      <c r="F13239" s="6"/>
    </row>
    <row r="13240" spans="1:6" x14ac:dyDescent="0.3">
      <c r="A13240" s="8" t="s">
        <v>26436</v>
      </c>
      <c r="B13240" s="8" t="s">
        <v>66835</v>
      </c>
      <c r="C13240" s="8" t="s">
        <v>26437</v>
      </c>
      <c r="D13240" s="8"/>
      <c r="E13240" s="6"/>
      <c r="F13240" s="6"/>
    </row>
    <row r="13241" spans="1:6" x14ac:dyDescent="0.3">
      <c r="A13241" s="8" t="s">
        <v>26438</v>
      </c>
      <c r="B13241" s="8" t="s">
        <v>66836</v>
      </c>
      <c r="C13241" s="8" t="s">
        <v>26439</v>
      </c>
      <c r="D13241" s="8"/>
      <c r="E13241" s="6"/>
      <c r="F13241" s="6"/>
    </row>
    <row r="13242" spans="1:6" x14ac:dyDescent="0.3">
      <c r="A13242" s="8" t="s">
        <v>26440</v>
      </c>
      <c r="B13242" s="8" t="s">
        <v>66837</v>
      </c>
      <c r="C13242" s="8" t="s">
        <v>26441</v>
      </c>
      <c r="D13242" s="8"/>
      <c r="E13242" s="6"/>
      <c r="F13242" s="6"/>
    </row>
    <row r="13243" spans="1:6" x14ac:dyDescent="0.3">
      <c r="A13243" s="8" t="s">
        <v>26442</v>
      </c>
      <c r="B13243" s="8" t="s">
        <v>66838</v>
      </c>
      <c r="C13243" s="8" t="s">
        <v>26443</v>
      </c>
      <c r="D13243" s="8"/>
      <c r="E13243" s="6"/>
      <c r="F13243" s="6"/>
    </row>
    <row r="13244" spans="1:6" x14ac:dyDescent="0.3">
      <c r="A13244" s="8" t="s">
        <v>26444</v>
      </c>
      <c r="B13244" s="8" t="s">
        <v>66839</v>
      </c>
      <c r="C13244" s="8" t="s">
        <v>26445</v>
      </c>
      <c r="D13244" s="8"/>
      <c r="E13244" s="6"/>
      <c r="F13244" s="6"/>
    </row>
    <row r="13245" spans="1:6" x14ac:dyDescent="0.3">
      <c r="A13245" s="8" t="s">
        <v>26446</v>
      </c>
      <c r="B13245" s="8" t="s">
        <v>66840</v>
      </c>
      <c r="C13245" s="8" t="s">
        <v>26447</v>
      </c>
      <c r="D13245" s="8"/>
      <c r="E13245" s="6"/>
      <c r="F13245" s="6"/>
    </row>
    <row r="13246" spans="1:6" x14ac:dyDescent="0.3">
      <c r="A13246" s="8" t="s">
        <v>26448</v>
      </c>
      <c r="B13246" s="8" t="s">
        <v>66841</v>
      </c>
      <c r="C13246" s="8" t="s">
        <v>26449</v>
      </c>
      <c r="D13246" s="8"/>
      <c r="E13246" s="6"/>
      <c r="F13246" s="6"/>
    </row>
    <row r="13247" spans="1:6" x14ac:dyDescent="0.3">
      <c r="A13247" s="8" t="s">
        <v>26450</v>
      </c>
      <c r="B13247" s="8" t="s">
        <v>66842</v>
      </c>
      <c r="C13247" s="8" t="s">
        <v>26451</v>
      </c>
      <c r="D13247" s="8"/>
      <c r="E13247" s="6"/>
      <c r="F13247" s="6"/>
    </row>
    <row r="13248" spans="1:6" x14ac:dyDescent="0.3">
      <c r="A13248" s="8" t="s">
        <v>26452</v>
      </c>
      <c r="B13248" s="8" t="s">
        <v>66843</v>
      </c>
      <c r="C13248" s="8" t="s">
        <v>26453</v>
      </c>
      <c r="D13248" s="8"/>
      <c r="E13248" s="6"/>
      <c r="F13248" s="6"/>
    </row>
    <row r="13249" spans="1:6" x14ac:dyDescent="0.3">
      <c r="A13249" s="8" t="s">
        <v>26454</v>
      </c>
      <c r="B13249" s="8" t="s">
        <v>66844</v>
      </c>
      <c r="C13249" s="8" t="s">
        <v>26455</v>
      </c>
      <c r="D13249" s="8"/>
      <c r="E13249" s="6"/>
      <c r="F13249" s="6"/>
    </row>
    <row r="13250" spans="1:6" x14ac:dyDescent="0.3">
      <c r="A13250" s="8" t="s">
        <v>26456</v>
      </c>
      <c r="B13250" s="8" t="s">
        <v>66845</v>
      </c>
      <c r="C13250" s="8" t="s">
        <v>26457</v>
      </c>
      <c r="D13250" s="8"/>
      <c r="E13250" s="6"/>
      <c r="F13250" s="6"/>
    </row>
    <row r="13251" spans="1:6" x14ac:dyDescent="0.3">
      <c r="A13251" s="8" t="s">
        <v>26458</v>
      </c>
      <c r="B13251" s="8" t="s">
        <v>66846</v>
      </c>
      <c r="C13251" s="8" t="s">
        <v>26459</v>
      </c>
      <c r="D13251" s="8"/>
      <c r="E13251" s="6"/>
      <c r="F13251" s="6"/>
    </row>
    <row r="13252" spans="1:6" x14ac:dyDescent="0.3">
      <c r="A13252" s="8" t="s">
        <v>26460</v>
      </c>
      <c r="B13252" s="8" t="s">
        <v>66847</v>
      </c>
      <c r="C13252" s="8" t="s">
        <v>26461</v>
      </c>
      <c r="D13252" s="8"/>
      <c r="E13252" s="6"/>
      <c r="F13252" s="6"/>
    </row>
    <row r="13253" spans="1:6" x14ac:dyDescent="0.3">
      <c r="A13253" s="8" t="s">
        <v>26462</v>
      </c>
      <c r="B13253" s="8" t="s">
        <v>66848</v>
      </c>
      <c r="C13253" s="8" t="s">
        <v>26463</v>
      </c>
      <c r="D13253" s="8"/>
      <c r="E13253" s="6"/>
      <c r="F13253" s="6"/>
    </row>
    <row r="13254" spans="1:6" x14ac:dyDescent="0.3">
      <c r="A13254" s="8" t="s">
        <v>26464</v>
      </c>
      <c r="B13254" s="8" t="s">
        <v>66849</v>
      </c>
      <c r="C13254" s="8" t="s">
        <v>26465</v>
      </c>
      <c r="D13254" s="8"/>
      <c r="E13254" s="6"/>
      <c r="F13254" s="6"/>
    </row>
    <row r="13255" spans="1:6" x14ac:dyDescent="0.3">
      <c r="A13255" s="8" t="s">
        <v>26466</v>
      </c>
      <c r="B13255" s="8" t="s">
        <v>66850</v>
      </c>
      <c r="C13255" s="8" t="s">
        <v>26467</v>
      </c>
      <c r="D13255" s="8"/>
      <c r="E13255" s="6"/>
      <c r="F13255" s="6"/>
    </row>
    <row r="13256" spans="1:6" x14ac:dyDescent="0.3">
      <c r="A13256" s="8" t="s">
        <v>26468</v>
      </c>
      <c r="B13256" s="8" t="s">
        <v>66851</v>
      </c>
      <c r="C13256" s="8" t="s">
        <v>26469</v>
      </c>
      <c r="D13256" s="8"/>
      <c r="E13256" s="6"/>
      <c r="F13256" s="6"/>
    </row>
    <row r="13257" spans="1:6" x14ac:dyDescent="0.3">
      <c r="A13257" s="8" t="s">
        <v>26470</v>
      </c>
      <c r="B13257" s="8" t="s">
        <v>66852</v>
      </c>
      <c r="C13257" s="8" t="s">
        <v>26471</v>
      </c>
      <c r="D13257" s="8"/>
      <c r="E13257" s="6"/>
      <c r="F13257" s="6"/>
    </row>
    <row r="13258" spans="1:6" x14ac:dyDescent="0.3">
      <c r="A13258" s="8" t="s">
        <v>26472</v>
      </c>
      <c r="B13258" s="8" t="s">
        <v>66853</v>
      </c>
      <c r="C13258" s="8" t="s">
        <v>26473</v>
      </c>
      <c r="D13258" s="8"/>
      <c r="E13258" s="6"/>
      <c r="F13258" s="6"/>
    </row>
    <row r="13259" spans="1:6" x14ac:dyDescent="0.3">
      <c r="A13259" s="8" t="s">
        <v>26474</v>
      </c>
      <c r="B13259" s="8" t="s">
        <v>66854</v>
      </c>
      <c r="C13259" s="8" t="s">
        <v>26475</v>
      </c>
      <c r="D13259" s="8"/>
      <c r="E13259" s="6"/>
      <c r="F13259" s="6"/>
    </row>
    <row r="13260" spans="1:6" x14ac:dyDescent="0.3">
      <c r="A13260" s="8" t="s">
        <v>26476</v>
      </c>
      <c r="B13260" s="8" t="s">
        <v>66855</v>
      </c>
      <c r="C13260" s="8" t="s">
        <v>26477</v>
      </c>
      <c r="D13260" s="8"/>
      <c r="E13260" s="6"/>
      <c r="F13260" s="6"/>
    </row>
    <row r="13261" spans="1:6" x14ac:dyDescent="0.3">
      <c r="A13261" s="8" t="s">
        <v>26478</v>
      </c>
      <c r="B13261" s="8" t="s">
        <v>66856</v>
      </c>
      <c r="C13261" s="8" t="s">
        <v>26479</v>
      </c>
      <c r="D13261" s="8"/>
      <c r="E13261" s="6"/>
      <c r="F13261" s="6"/>
    </row>
    <row r="13262" spans="1:6" x14ac:dyDescent="0.3">
      <c r="A13262" s="8" t="s">
        <v>26480</v>
      </c>
      <c r="B13262" s="8" t="s">
        <v>66857</v>
      </c>
      <c r="C13262" s="8" t="s">
        <v>26481</v>
      </c>
      <c r="D13262" s="8"/>
      <c r="E13262" s="6"/>
      <c r="F13262" s="6"/>
    </row>
    <row r="13263" spans="1:6" x14ac:dyDescent="0.3">
      <c r="A13263" s="8" t="s">
        <v>26482</v>
      </c>
      <c r="B13263" s="8" t="s">
        <v>66858</v>
      </c>
      <c r="C13263" s="8" t="s">
        <v>26483</v>
      </c>
      <c r="D13263" s="8"/>
      <c r="E13263" s="6"/>
      <c r="F13263" s="6"/>
    </row>
    <row r="13264" spans="1:6" x14ac:dyDescent="0.3">
      <c r="A13264" s="8" t="s">
        <v>26484</v>
      </c>
      <c r="B13264" s="8" t="s">
        <v>66859</v>
      </c>
      <c r="C13264" s="8" t="s">
        <v>26485</v>
      </c>
      <c r="D13264" s="8"/>
      <c r="E13264" s="6"/>
      <c r="F13264" s="6"/>
    </row>
    <row r="13265" spans="1:6" x14ac:dyDescent="0.3">
      <c r="A13265" s="8" t="s">
        <v>26486</v>
      </c>
      <c r="B13265" s="8" t="s">
        <v>66860</v>
      </c>
      <c r="C13265" s="8" t="s">
        <v>26487</v>
      </c>
      <c r="D13265" s="8"/>
      <c r="E13265" s="6"/>
      <c r="F13265" s="6"/>
    </row>
    <row r="13266" spans="1:6" x14ac:dyDescent="0.3">
      <c r="A13266" s="8" t="s">
        <v>26488</v>
      </c>
      <c r="B13266" s="8" t="s">
        <v>66861</v>
      </c>
      <c r="C13266" s="8" t="s">
        <v>26489</v>
      </c>
      <c r="D13266" s="8"/>
      <c r="E13266" s="6"/>
      <c r="F13266" s="6"/>
    </row>
    <row r="13267" spans="1:6" x14ac:dyDescent="0.3">
      <c r="A13267" s="8" t="s">
        <v>26490</v>
      </c>
      <c r="B13267" s="8" t="s">
        <v>66862</v>
      </c>
      <c r="C13267" s="8" t="s">
        <v>26491</v>
      </c>
      <c r="D13267" s="8"/>
      <c r="E13267" s="6"/>
      <c r="F13267" s="6"/>
    </row>
    <row r="13268" spans="1:6" x14ac:dyDescent="0.3">
      <c r="A13268" s="8" t="s">
        <v>26492</v>
      </c>
      <c r="B13268" s="8" t="s">
        <v>66863</v>
      </c>
      <c r="C13268" s="8" t="s">
        <v>26493</v>
      </c>
      <c r="D13268" s="8"/>
      <c r="E13268" s="6"/>
      <c r="F13268" s="6"/>
    </row>
    <row r="13269" spans="1:6" x14ac:dyDescent="0.3">
      <c r="A13269" s="8" t="s">
        <v>26494</v>
      </c>
      <c r="B13269" s="8" t="s">
        <v>66864</v>
      </c>
      <c r="C13269" s="8" t="s">
        <v>26495</v>
      </c>
      <c r="D13269" s="8"/>
      <c r="E13269" s="6"/>
      <c r="F13269" s="6"/>
    </row>
    <row r="13270" spans="1:6" x14ac:dyDescent="0.3">
      <c r="A13270" s="8" t="s">
        <v>26496</v>
      </c>
      <c r="B13270" s="8" t="s">
        <v>66865</v>
      </c>
      <c r="C13270" s="8" t="s">
        <v>26497</v>
      </c>
      <c r="D13270" s="8"/>
      <c r="E13270" s="6"/>
      <c r="F13270" s="6"/>
    </row>
    <row r="13271" spans="1:6" x14ac:dyDescent="0.3">
      <c r="A13271" s="8" t="s">
        <v>26498</v>
      </c>
      <c r="B13271" s="8" t="s">
        <v>66866</v>
      </c>
      <c r="C13271" s="8" t="s">
        <v>26499</v>
      </c>
      <c r="D13271" s="8"/>
      <c r="E13271" s="6"/>
      <c r="F13271" s="6"/>
    </row>
    <row r="13272" spans="1:6" x14ac:dyDescent="0.3">
      <c r="A13272" s="8" t="s">
        <v>26500</v>
      </c>
      <c r="B13272" s="8" t="s">
        <v>66867</v>
      </c>
      <c r="C13272" s="8" t="s">
        <v>26501</v>
      </c>
      <c r="D13272" s="8"/>
      <c r="E13272" s="6"/>
      <c r="F13272" s="6"/>
    </row>
    <row r="13273" spans="1:6" x14ac:dyDescent="0.3">
      <c r="A13273" s="8" t="s">
        <v>26502</v>
      </c>
      <c r="B13273" s="8" t="s">
        <v>66868</v>
      </c>
      <c r="C13273" s="8" t="s">
        <v>26503</v>
      </c>
      <c r="D13273" s="8"/>
      <c r="E13273" s="6"/>
      <c r="F13273" s="6"/>
    </row>
    <row r="13274" spans="1:6" x14ac:dyDescent="0.3">
      <c r="A13274" s="8" t="s">
        <v>26504</v>
      </c>
      <c r="B13274" s="8" t="s">
        <v>66869</v>
      </c>
      <c r="C13274" s="8" t="s">
        <v>26505</v>
      </c>
      <c r="D13274" s="8"/>
      <c r="E13274" s="6"/>
      <c r="F13274" s="6"/>
    </row>
    <row r="13275" spans="1:6" x14ac:dyDescent="0.3">
      <c r="A13275" s="8" t="s">
        <v>26506</v>
      </c>
      <c r="B13275" s="8" t="s">
        <v>66870</v>
      </c>
      <c r="C13275" s="8" t="s">
        <v>26507</v>
      </c>
      <c r="D13275" s="8"/>
      <c r="E13275" s="6"/>
      <c r="F13275" s="6"/>
    </row>
    <row r="13276" spans="1:6" x14ac:dyDescent="0.3">
      <c r="A13276" s="8" t="s">
        <v>26508</v>
      </c>
      <c r="B13276" s="8" t="s">
        <v>66871</v>
      </c>
      <c r="C13276" s="8" t="s">
        <v>26509</v>
      </c>
      <c r="D13276" s="8"/>
      <c r="E13276" s="6"/>
      <c r="F13276" s="6"/>
    </row>
    <row r="13277" spans="1:6" x14ac:dyDescent="0.3">
      <c r="A13277" s="8" t="s">
        <v>26510</v>
      </c>
      <c r="B13277" s="8" t="s">
        <v>66872</v>
      </c>
      <c r="C13277" s="8" t="s">
        <v>26511</v>
      </c>
      <c r="D13277" s="8"/>
      <c r="E13277" s="6"/>
      <c r="F13277" s="6"/>
    </row>
    <row r="13278" spans="1:6" x14ac:dyDescent="0.3">
      <c r="A13278" s="8" t="s">
        <v>26512</v>
      </c>
      <c r="B13278" s="8" t="s">
        <v>66873</v>
      </c>
      <c r="C13278" s="8" t="s">
        <v>26513</v>
      </c>
      <c r="D13278" s="8"/>
      <c r="E13278" s="6"/>
      <c r="F13278" s="6"/>
    </row>
    <row r="13279" spans="1:6" x14ac:dyDescent="0.3">
      <c r="A13279" s="8" t="s">
        <v>26514</v>
      </c>
      <c r="B13279" s="8" t="s">
        <v>66874</v>
      </c>
      <c r="C13279" s="8" t="s">
        <v>26515</v>
      </c>
      <c r="D13279" s="8"/>
      <c r="E13279" s="6"/>
      <c r="F13279" s="6"/>
    </row>
    <row r="13280" spans="1:6" x14ac:dyDescent="0.3">
      <c r="A13280" s="8" t="s">
        <v>26516</v>
      </c>
      <c r="B13280" s="8" t="s">
        <v>66875</v>
      </c>
      <c r="C13280" s="8" t="s">
        <v>26517</v>
      </c>
      <c r="D13280" s="8"/>
      <c r="E13280" s="6"/>
      <c r="F13280" s="6"/>
    </row>
    <row r="13281" spans="1:6" x14ac:dyDescent="0.3">
      <c r="A13281" s="8" t="s">
        <v>26518</v>
      </c>
      <c r="B13281" s="8" t="s">
        <v>66876</v>
      </c>
      <c r="C13281" s="8" t="s">
        <v>26519</v>
      </c>
      <c r="D13281" s="8"/>
      <c r="E13281" s="6"/>
      <c r="F13281" s="6"/>
    </row>
    <row r="13282" spans="1:6" x14ac:dyDescent="0.3">
      <c r="A13282" s="8" t="s">
        <v>26520</v>
      </c>
      <c r="B13282" s="8" t="s">
        <v>66877</v>
      </c>
      <c r="C13282" s="8" t="s">
        <v>26521</v>
      </c>
      <c r="D13282" s="8"/>
      <c r="E13282" s="6"/>
      <c r="F13282" s="6"/>
    </row>
    <row r="13283" spans="1:6" x14ac:dyDescent="0.3">
      <c r="A13283" s="8" t="s">
        <v>26522</v>
      </c>
      <c r="B13283" s="8" t="s">
        <v>66878</v>
      </c>
      <c r="C13283" s="8" t="s">
        <v>26523</v>
      </c>
      <c r="D13283" s="8"/>
      <c r="E13283" s="6"/>
      <c r="F13283" s="6"/>
    </row>
    <row r="13284" spans="1:6" x14ac:dyDescent="0.3">
      <c r="A13284" s="8" t="s">
        <v>26524</v>
      </c>
      <c r="B13284" s="8" t="s">
        <v>66879</v>
      </c>
      <c r="C13284" s="8" t="s">
        <v>26525</v>
      </c>
      <c r="D13284" s="8"/>
      <c r="E13284" s="6"/>
      <c r="F13284" s="6"/>
    </row>
    <row r="13285" spans="1:6" x14ac:dyDescent="0.3">
      <c r="A13285" s="8" t="s">
        <v>26526</v>
      </c>
      <c r="B13285" s="8" t="s">
        <v>66880</v>
      </c>
      <c r="C13285" s="8" t="s">
        <v>26527</v>
      </c>
      <c r="D13285" s="8"/>
      <c r="E13285" s="6"/>
      <c r="F13285" s="6"/>
    </row>
    <row r="13286" spans="1:6" x14ac:dyDescent="0.3">
      <c r="A13286" s="8" t="s">
        <v>26528</v>
      </c>
      <c r="B13286" s="8" t="s">
        <v>66881</v>
      </c>
      <c r="C13286" s="8" t="s">
        <v>26529</v>
      </c>
      <c r="D13286" s="8"/>
      <c r="E13286" s="6"/>
      <c r="F13286" s="6"/>
    </row>
    <row r="13287" spans="1:6" x14ac:dyDescent="0.3">
      <c r="A13287" s="8" t="s">
        <v>26530</v>
      </c>
      <c r="B13287" s="8" t="s">
        <v>66882</v>
      </c>
      <c r="C13287" s="8" t="s">
        <v>26531</v>
      </c>
      <c r="D13287" s="8"/>
      <c r="E13287" s="6"/>
      <c r="F13287" s="6"/>
    </row>
    <row r="13288" spans="1:6" x14ac:dyDescent="0.3">
      <c r="A13288" s="8" t="s">
        <v>26532</v>
      </c>
      <c r="B13288" s="8" t="s">
        <v>66883</v>
      </c>
      <c r="C13288" s="8" t="s">
        <v>26533</v>
      </c>
      <c r="D13288" s="8"/>
      <c r="E13288" s="6"/>
      <c r="F13288" s="6"/>
    </row>
    <row r="13289" spans="1:6" x14ac:dyDescent="0.3">
      <c r="A13289" s="8" t="s">
        <v>26534</v>
      </c>
      <c r="B13289" s="8" t="s">
        <v>66884</v>
      </c>
      <c r="C13289" s="8" t="s">
        <v>26535</v>
      </c>
      <c r="D13289" s="8"/>
      <c r="E13289" s="6"/>
      <c r="F13289" s="6"/>
    </row>
    <row r="13290" spans="1:6" x14ac:dyDescent="0.3">
      <c r="A13290" s="8" t="s">
        <v>26536</v>
      </c>
      <c r="B13290" s="8" t="s">
        <v>66885</v>
      </c>
      <c r="C13290" s="8" t="s">
        <v>26537</v>
      </c>
      <c r="D13290" s="8"/>
      <c r="E13290" s="6"/>
      <c r="F13290" s="6"/>
    </row>
    <row r="13291" spans="1:6" x14ac:dyDescent="0.3">
      <c r="A13291" s="8" t="s">
        <v>26538</v>
      </c>
      <c r="B13291" s="8" t="s">
        <v>66886</v>
      </c>
      <c r="C13291" s="8" t="s">
        <v>26539</v>
      </c>
      <c r="D13291" s="8"/>
      <c r="E13291" s="6"/>
      <c r="F13291" s="6"/>
    </row>
    <row r="13292" spans="1:6" x14ac:dyDescent="0.3">
      <c r="A13292" s="8" t="s">
        <v>26540</v>
      </c>
      <c r="B13292" s="8" t="s">
        <v>66887</v>
      </c>
      <c r="C13292" s="8" t="s">
        <v>26541</v>
      </c>
      <c r="D13292" s="8"/>
      <c r="E13292" s="6"/>
      <c r="F13292" s="6"/>
    </row>
    <row r="13293" spans="1:6" x14ac:dyDescent="0.3">
      <c r="A13293" s="8" t="s">
        <v>26542</v>
      </c>
      <c r="B13293" s="8" t="s">
        <v>66888</v>
      </c>
      <c r="C13293" s="8" t="s">
        <v>26543</v>
      </c>
      <c r="D13293" s="8"/>
      <c r="E13293" s="6"/>
      <c r="F13293" s="6"/>
    </row>
    <row r="13294" spans="1:6" x14ac:dyDescent="0.3">
      <c r="A13294" s="8" t="s">
        <v>26544</v>
      </c>
      <c r="B13294" s="8" t="s">
        <v>66889</v>
      </c>
      <c r="C13294" s="8" t="s">
        <v>26545</v>
      </c>
      <c r="D13294" s="8"/>
      <c r="E13294" s="6"/>
      <c r="F13294" s="6"/>
    </row>
    <row r="13295" spans="1:6" x14ac:dyDescent="0.3">
      <c r="A13295" s="8" t="s">
        <v>26546</v>
      </c>
      <c r="B13295" s="8" t="s">
        <v>66890</v>
      </c>
      <c r="C13295" s="8" t="s">
        <v>26547</v>
      </c>
      <c r="D13295" s="8"/>
      <c r="E13295" s="6"/>
      <c r="F13295" s="6"/>
    </row>
    <row r="13296" spans="1:6" x14ac:dyDescent="0.3">
      <c r="A13296" s="8" t="s">
        <v>26548</v>
      </c>
      <c r="B13296" s="8" t="s">
        <v>66891</v>
      </c>
      <c r="C13296" s="8" t="s">
        <v>26549</v>
      </c>
      <c r="D13296" s="8"/>
      <c r="E13296" s="6"/>
      <c r="F13296" s="6"/>
    </row>
    <row r="13297" spans="1:6" x14ac:dyDescent="0.3">
      <c r="A13297" s="8" t="s">
        <v>26550</v>
      </c>
      <c r="B13297" s="8" t="s">
        <v>66892</v>
      </c>
      <c r="C13297" s="8" t="s">
        <v>26551</v>
      </c>
      <c r="D13297" s="8"/>
      <c r="E13297" s="6"/>
      <c r="F13297" s="6"/>
    </row>
    <row r="13298" spans="1:6" x14ac:dyDescent="0.3">
      <c r="A13298" s="8" t="s">
        <v>26552</v>
      </c>
      <c r="B13298" s="8" t="s">
        <v>66893</v>
      </c>
      <c r="C13298" s="8" t="s">
        <v>26553</v>
      </c>
      <c r="D13298" s="8"/>
      <c r="E13298" s="6"/>
      <c r="F13298" s="6"/>
    </row>
    <row r="13299" spans="1:6" x14ac:dyDescent="0.3">
      <c r="A13299" s="8" t="s">
        <v>26554</v>
      </c>
      <c r="B13299" s="8" t="s">
        <v>66894</v>
      </c>
      <c r="C13299" s="8" t="s">
        <v>26555</v>
      </c>
      <c r="D13299" s="8"/>
      <c r="E13299" s="6"/>
      <c r="F13299" s="6"/>
    </row>
    <row r="13300" spans="1:6" x14ac:dyDescent="0.3">
      <c r="A13300" s="8" t="s">
        <v>26556</v>
      </c>
      <c r="B13300" s="8" t="s">
        <v>66895</v>
      </c>
      <c r="C13300" s="8" t="s">
        <v>26557</v>
      </c>
      <c r="D13300" s="8"/>
      <c r="E13300" s="6"/>
      <c r="F13300" s="6"/>
    </row>
    <row r="13301" spans="1:6" x14ac:dyDescent="0.3">
      <c r="A13301" s="8" t="s">
        <v>26558</v>
      </c>
      <c r="B13301" s="8" t="s">
        <v>66896</v>
      </c>
      <c r="C13301" s="8" t="s">
        <v>26559</v>
      </c>
      <c r="D13301" s="8"/>
      <c r="E13301" s="6"/>
      <c r="F13301" s="6"/>
    </row>
    <row r="13302" spans="1:6" x14ac:dyDescent="0.3">
      <c r="A13302" s="8" t="s">
        <v>26560</v>
      </c>
      <c r="B13302" s="8" t="s">
        <v>66897</v>
      </c>
      <c r="C13302" s="8" t="s">
        <v>26561</v>
      </c>
      <c r="D13302" s="8"/>
      <c r="E13302" s="6"/>
      <c r="F13302" s="6"/>
    </row>
    <row r="13303" spans="1:6" x14ac:dyDescent="0.3">
      <c r="A13303" s="8" t="s">
        <v>26562</v>
      </c>
      <c r="B13303" s="8" t="s">
        <v>66898</v>
      </c>
      <c r="C13303" s="8" t="s">
        <v>26563</v>
      </c>
      <c r="D13303" s="8"/>
      <c r="E13303" s="6"/>
      <c r="F13303" s="6"/>
    </row>
    <row r="13304" spans="1:6" x14ac:dyDescent="0.3">
      <c r="A13304" s="8" t="s">
        <v>26564</v>
      </c>
      <c r="B13304" s="8" t="s">
        <v>66899</v>
      </c>
      <c r="C13304" s="8" t="s">
        <v>26565</v>
      </c>
      <c r="D13304" s="8"/>
      <c r="E13304" s="6"/>
      <c r="F13304" s="6"/>
    </row>
    <row r="13305" spans="1:6" x14ac:dyDescent="0.3">
      <c r="A13305" s="8" t="s">
        <v>26566</v>
      </c>
      <c r="B13305" s="8" t="s">
        <v>66900</v>
      </c>
      <c r="C13305" s="8" t="s">
        <v>26567</v>
      </c>
      <c r="D13305" s="8"/>
      <c r="E13305" s="6"/>
      <c r="F13305" s="6"/>
    </row>
    <row r="13306" spans="1:6" x14ac:dyDescent="0.3">
      <c r="A13306" s="8" t="s">
        <v>26568</v>
      </c>
      <c r="B13306" s="8" t="s">
        <v>66901</v>
      </c>
      <c r="C13306" s="8" t="s">
        <v>26569</v>
      </c>
      <c r="D13306" s="8"/>
      <c r="E13306" s="6"/>
      <c r="F13306" s="6"/>
    </row>
    <row r="13307" spans="1:6" x14ac:dyDescent="0.3">
      <c r="A13307" s="8" t="s">
        <v>26570</v>
      </c>
      <c r="B13307" s="8" t="s">
        <v>66902</v>
      </c>
      <c r="C13307" s="8" t="s">
        <v>26571</v>
      </c>
      <c r="D13307" s="8"/>
      <c r="E13307" s="6"/>
      <c r="F13307" s="6"/>
    </row>
    <row r="13308" spans="1:6" x14ac:dyDescent="0.3">
      <c r="A13308" s="8" t="s">
        <v>26572</v>
      </c>
      <c r="B13308" s="8" t="s">
        <v>66903</v>
      </c>
      <c r="C13308" s="8" t="s">
        <v>26573</v>
      </c>
      <c r="D13308" s="8"/>
      <c r="E13308" s="6"/>
      <c r="F13308" s="6"/>
    </row>
    <row r="13309" spans="1:6" x14ac:dyDescent="0.3">
      <c r="A13309" s="8" t="s">
        <v>26574</v>
      </c>
      <c r="B13309" s="8" t="s">
        <v>66904</v>
      </c>
      <c r="C13309" s="8" t="s">
        <v>26575</v>
      </c>
      <c r="D13309" s="8"/>
      <c r="E13309" s="6"/>
      <c r="F13309" s="6"/>
    </row>
    <row r="13310" spans="1:6" x14ac:dyDescent="0.3">
      <c r="A13310" s="8" t="s">
        <v>26576</v>
      </c>
      <c r="B13310" s="8" t="s">
        <v>66905</v>
      </c>
      <c r="C13310" s="8" t="s">
        <v>26577</v>
      </c>
      <c r="D13310" s="8"/>
      <c r="E13310" s="6"/>
      <c r="F13310" s="6"/>
    </row>
    <row r="13311" spans="1:6" x14ac:dyDescent="0.3">
      <c r="A13311" s="8" t="s">
        <v>26578</v>
      </c>
      <c r="B13311" s="8" t="s">
        <v>66906</v>
      </c>
      <c r="C13311" s="8" t="s">
        <v>26579</v>
      </c>
      <c r="D13311" s="8"/>
      <c r="E13311" s="6"/>
      <c r="F13311" s="6"/>
    </row>
    <row r="13312" spans="1:6" x14ac:dyDescent="0.3">
      <c r="A13312" s="8" t="s">
        <v>26580</v>
      </c>
      <c r="B13312" s="8" t="s">
        <v>66907</v>
      </c>
      <c r="C13312" s="8" t="s">
        <v>26581</v>
      </c>
      <c r="D13312" s="8"/>
      <c r="E13312" s="6"/>
      <c r="F13312" s="6"/>
    </row>
    <row r="13313" spans="1:6" x14ac:dyDescent="0.3">
      <c r="A13313" s="8" t="s">
        <v>26582</v>
      </c>
      <c r="B13313" s="8" t="s">
        <v>66908</v>
      </c>
      <c r="C13313" s="8" t="s">
        <v>26583</v>
      </c>
      <c r="D13313" s="8"/>
      <c r="E13313" s="6"/>
      <c r="F13313" s="6"/>
    </row>
    <row r="13314" spans="1:6" x14ac:dyDescent="0.3">
      <c r="A13314" s="8" t="s">
        <v>26584</v>
      </c>
      <c r="B13314" s="8" t="s">
        <v>66909</v>
      </c>
      <c r="C13314" s="8" t="s">
        <v>26585</v>
      </c>
      <c r="D13314" s="8"/>
      <c r="E13314" s="6"/>
      <c r="F13314" s="6"/>
    </row>
    <row r="13315" spans="1:6" x14ac:dyDescent="0.3">
      <c r="A13315" s="8" t="s">
        <v>26586</v>
      </c>
      <c r="B13315" s="8" t="s">
        <v>66910</v>
      </c>
      <c r="C13315" s="8" t="s">
        <v>26587</v>
      </c>
      <c r="D13315" s="8"/>
      <c r="E13315" s="6"/>
      <c r="F13315" s="6"/>
    </row>
    <row r="13316" spans="1:6" x14ac:dyDescent="0.3">
      <c r="A13316" s="8" t="s">
        <v>26588</v>
      </c>
      <c r="B13316" s="8" t="s">
        <v>66911</v>
      </c>
      <c r="C13316" s="8" t="s">
        <v>26589</v>
      </c>
      <c r="D13316" s="8"/>
      <c r="E13316" s="6"/>
      <c r="F13316" s="6"/>
    </row>
    <row r="13317" spans="1:6" x14ac:dyDescent="0.3">
      <c r="A13317" s="8" t="s">
        <v>26590</v>
      </c>
      <c r="B13317" s="8" t="s">
        <v>66912</v>
      </c>
      <c r="C13317" s="8" t="s">
        <v>26591</v>
      </c>
      <c r="D13317" s="8"/>
      <c r="E13317" s="6"/>
      <c r="F13317" s="6"/>
    </row>
    <row r="13318" spans="1:6" x14ac:dyDescent="0.3">
      <c r="A13318" s="8" t="s">
        <v>26592</v>
      </c>
      <c r="B13318" s="8" t="s">
        <v>66913</v>
      </c>
      <c r="C13318" s="8" t="s">
        <v>26593</v>
      </c>
      <c r="D13318" s="8"/>
      <c r="E13318" s="6"/>
      <c r="F13318" s="6"/>
    </row>
    <row r="13319" spans="1:6" x14ac:dyDescent="0.3">
      <c r="A13319" s="8" t="s">
        <v>26594</v>
      </c>
      <c r="B13319" s="8" t="s">
        <v>66914</v>
      </c>
      <c r="C13319" s="8" t="s">
        <v>26595</v>
      </c>
      <c r="D13319" s="8"/>
      <c r="E13319" s="6"/>
      <c r="F13319" s="6"/>
    </row>
    <row r="13320" spans="1:6" x14ac:dyDescent="0.3">
      <c r="A13320" s="8" t="s">
        <v>26596</v>
      </c>
      <c r="B13320" s="8" t="s">
        <v>66915</v>
      </c>
      <c r="C13320" s="8" t="s">
        <v>26597</v>
      </c>
      <c r="D13320" s="8"/>
      <c r="E13320" s="6"/>
      <c r="F13320" s="6"/>
    </row>
    <row r="13321" spans="1:6" x14ac:dyDescent="0.3">
      <c r="A13321" s="8" t="s">
        <v>26598</v>
      </c>
      <c r="B13321" s="8" t="s">
        <v>66916</v>
      </c>
      <c r="C13321" s="8" t="s">
        <v>26599</v>
      </c>
      <c r="D13321" s="8"/>
      <c r="E13321" s="6"/>
      <c r="F13321" s="6"/>
    </row>
    <row r="13322" spans="1:6" x14ac:dyDescent="0.3">
      <c r="A13322" s="8" t="s">
        <v>26600</v>
      </c>
      <c r="B13322" s="8" t="s">
        <v>66917</v>
      </c>
      <c r="C13322" s="8" t="s">
        <v>26601</v>
      </c>
      <c r="D13322" s="8"/>
      <c r="E13322" s="6"/>
      <c r="F13322" s="6"/>
    </row>
    <row r="13323" spans="1:6" x14ac:dyDescent="0.3">
      <c r="A13323" s="8" t="s">
        <v>26602</v>
      </c>
      <c r="B13323" s="8" t="s">
        <v>66918</v>
      </c>
      <c r="C13323" s="8" t="s">
        <v>26603</v>
      </c>
      <c r="D13323" s="8"/>
      <c r="E13323" s="6"/>
      <c r="F13323" s="6"/>
    </row>
    <row r="13324" spans="1:6" x14ac:dyDescent="0.3">
      <c r="A13324" s="8" t="s">
        <v>26604</v>
      </c>
      <c r="B13324" s="8" t="s">
        <v>66919</v>
      </c>
      <c r="C13324" s="8" t="s">
        <v>26605</v>
      </c>
      <c r="D13324" s="8"/>
      <c r="E13324" s="6"/>
      <c r="F13324" s="6"/>
    </row>
    <row r="13325" spans="1:6" x14ac:dyDescent="0.3">
      <c r="A13325" s="8" t="s">
        <v>26606</v>
      </c>
      <c r="B13325" s="8" t="s">
        <v>66920</v>
      </c>
      <c r="C13325" s="8" t="s">
        <v>26607</v>
      </c>
      <c r="D13325" s="8"/>
      <c r="E13325" s="6"/>
      <c r="F13325" s="6"/>
    </row>
    <row r="13326" spans="1:6" x14ac:dyDescent="0.3">
      <c r="A13326" s="8" t="s">
        <v>26608</v>
      </c>
      <c r="B13326" s="8" t="s">
        <v>66921</v>
      </c>
      <c r="C13326" s="8" t="s">
        <v>26609</v>
      </c>
      <c r="D13326" s="8"/>
      <c r="E13326" s="6"/>
      <c r="F13326" s="6"/>
    </row>
    <row r="13327" spans="1:6" x14ac:dyDescent="0.3">
      <c r="A13327" s="8" t="s">
        <v>26610</v>
      </c>
      <c r="B13327" s="8" t="s">
        <v>66922</v>
      </c>
      <c r="C13327" s="8" t="s">
        <v>26611</v>
      </c>
      <c r="D13327" s="8"/>
      <c r="E13327" s="6"/>
      <c r="F13327" s="6"/>
    </row>
    <row r="13328" spans="1:6" x14ac:dyDescent="0.3">
      <c r="A13328" s="8" t="s">
        <v>26612</v>
      </c>
      <c r="B13328" s="8" t="s">
        <v>66923</v>
      </c>
      <c r="C13328" s="8" t="s">
        <v>26613</v>
      </c>
      <c r="D13328" s="8"/>
      <c r="E13328" s="6"/>
      <c r="F13328" s="6"/>
    </row>
    <row r="13329" spans="1:6" x14ac:dyDescent="0.3">
      <c r="A13329" s="8" t="s">
        <v>26614</v>
      </c>
      <c r="B13329" s="8" t="s">
        <v>66924</v>
      </c>
      <c r="C13329" s="8" t="s">
        <v>26615</v>
      </c>
      <c r="D13329" s="8"/>
      <c r="E13329" s="6"/>
      <c r="F13329" s="6"/>
    </row>
    <row r="13330" spans="1:6" x14ac:dyDescent="0.3">
      <c r="A13330" s="8" t="s">
        <v>26616</v>
      </c>
      <c r="B13330" s="8" t="s">
        <v>66925</v>
      </c>
      <c r="C13330" s="8" t="s">
        <v>26617</v>
      </c>
      <c r="D13330" s="8"/>
      <c r="E13330" s="6"/>
      <c r="F13330" s="6"/>
    </row>
    <row r="13331" spans="1:6" x14ac:dyDescent="0.3">
      <c r="A13331" s="8" t="s">
        <v>26618</v>
      </c>
      <c r="B13331" s="8" t="s">
        <v>66926</v>
      </c>
      <c r="C13331" s="8" t="s">
        <v>26619</v>
      </c>
      <c r="D13331" s="8"/>
      <c r="E13331" s="6"/>
      <c r="F13331" s="6"/>
    </row>
    <row r="13332" spans="1:6" x14ac:dyDescent="0.3">
      <c r="A13332" s="8" t="s">
        <v>26620</v>
      </c>
      <c r="B13332" s="8" t="s">
        <v>66927</v>
      </c>
      <c r="C13332" s="8" t="s">
        <v>26621</v>
      </c>
      <c r="D13332" s="8"/>
      <c r="E13332" s="6"/>
      <c r="F13332" s="6"/>
    </row>
    <row r="13333" spans="1:6" x14ac:dyDescent="0.3">
      <c r="A13333" s="8" t="s">
        <v>26622</v>
      </c>
      <c r="B13333" s="8" t="s">
        <v>66928</v>
      </c>
      <c r="C13333" s="8" t="s">
        <v>26623</v>
      </c>
      <c r="D13333" s="8"/>
      <c r="E13333" s="6"/>
      <c r="F13333" s="6"/>
    </row>
    <row r="13334" spans="1:6" x14ac:dyDescent="0.3">
      <c r="A13334" s="8" t="s">
        <v>26624</v>
      </c>
      <c r="B13334" s="8" t="s">
        <v>66929</v>
      </c>
      <c r="C13334" s="8" t="s">
        <v>26625</v>
      </c>
      <c r="D13334" s="8"/>
      <c r="E13334" s="6"/>
      <c r="F13334" s="6"/>
    </row>
    <row r="13335" spans="1:6" x14ac:dyDescent="0.3">
      <c r="A13335" s="8" t="s">
        <v>26626</v>
      </c>
      <c r="B13335" s="8" t="s">
        <v>66930</v>
      </c>
      <c r="C13335" s="8" t="s">
        <v>26627</v>
      </c>
      <c r="D13335" s="8"/>
      <c r="E13335" s="6"/>
      <c r="F13335" s="6"/>
    </row>
    <row r="13336" spans="1:6" x14ac:dyDescent="0.3">
      <c r="A13336" s="8" t="s">
        <v>26628</v>
      </c>
      <c r="B13336" s="8" t="s">
        <v>66931</v>
      </c>
      <c r="C13336" s="8" t="s">
        <v>26629</v>
      </c>
      <c r="D13336" s="8"/>
      <c r="E13336" s="6"/>
      <c r="F13336" s="6"/>
    </row>
    <row r="13337" spans="1:6" x14ac:dyDescent="0.3">
      <c r="A13337" s="8" t="s">
        <v>26630</v>
      </c>
      <c r="B13337" s="8" t="s">
        <v>66932</v>
      </c>
      <c r="C13337" s="8" t="s">
        <v>26631</v>
      </c>
      <c r="D13337" s="8"/>
      <c r="E13337" s="6"/>
      <c r="F13337" s="6"/>
    </row>
    <row r="13338" spans="1:6" x14ac:dyDescent="0.3">
      <c r="A13338" s="8" t="s">
        <v>26632</v>
      </c>
      <c r="B13338" s="8" t="s">
        <v>66933</v>
      </c>
      <c r="C13338" s="8" t="s">
        <v>26633</v>
      </c>
      <c r="D13338" s="8"/>
      <c r="E13338" s="6"/>
      <c r="F13338" s="6"/>
    </row>
    <row r="13339" spans="1:6" x14ac:dyDescent="0.3">
      <c r="A13339" s="8" t="s">
        <v>26634</v>
      </c>
      <c r="B13339" s="8" t="s">
        <v>66934</v>
      </c>
      <c r="C13339" s="8" t="s">
        <v>26635</v>
      </c>
      <c r="D13339" s="8"/>
      <c r="E13339" s="6"/>
      <c r="F13339" s="6"/>
    </row>
    <row r="13340" spans="1:6" x14ac:dyDescent="0.3">
      <c r="A13340" s="8" t="s">
        <v>26636</v>
      </c>
      <c r="B13340" s="8" t="s">
        <v>66935</v>
      </c>
      <c r="C13340" s="8" t="s">
        <v>26637</v>
      </c>
      <c r="D13340" s="8"/>
      <c r="E13340" s="6"/>
      <c r="F13340" s="6"/>
    </row>
    <row r="13341" spans="1:6" x14ac:dyDescent="0.3">
      <c r="A13341" s="8" t="s">
        <v>26638</v>
      </c>
      <c r="B13341" s="8" t="s">
        <v>66936</v>
      </c>
      <c r="C13341" s="8" t="s">
        <v>26639</v>
      </c>
      <c r="D13341" s="8"/>
      <c r="E13341" s="6"/>
      <c r="F13341" s="6"/>
    </row>
    <row r="13342" spans="1:6" x14ac:dyDescent="0.3">
      <c r="A13342" s="8" t="s">
        <v>26640</v>
      </c>
      <c r="B13342" s="8" t="s">
        <v>66937</v>
      </c>
      <c r="C13342" s="8" t="s">
        <v>26641</v>
      </c>
      <c r="D13342" s="8"/>
      <c r="E13342" s="6"/>
      <c r="F13342" s="6"/>
    </row>
    <row r="13343" spans="1:6" x14ac:dyDescent="0.3">
      <c r="A13343" s="8" t="s">
        <v>26642</v>
      </c>
      <c r="B13343" s="8" t="s">
        <v>66938</v>
      </c>
      <c r="C13343" s="8" t="s">
        <v>26643</v>
      </c>
      <c r="D13343" s="8"/>
      <c r="E13343" s="6"/>
      <c r="F13343" s="6"/>
    </row>
    <row r="13344" spans="1:6" x14ac:dyDescent="0.3">
      <c r="A13344" s="8" t="s">
        <v>26644</v>
      </c>
      <c r="B13344" s="8" t="s">
        <v>66939</v>
      </c>
      <c r="C13344" s="8" t="s">
        <v>26645</v>
      </c>
      <c r="D13344" s="8"/>
      <c r="E13344" s="6"/>
      <c r="F13344" s="6"/>
    </row>
    <row r="13345" spans="1:6" x14ac:dyDescent="0.3">
      <c r="A13345" s="8" t="s">
        <v>26646</v>
      </c>
      <c r="B13345" s="8" t="s">
        <v>66940</v>
      </c>
      <c r="C13345" s="8" t="s">
        <v>26647</v>
      </c>
      <c r="D13345" s="8"/>
      <c r="E13345" s="6"/>
      <c r="F13345" s="6"/>
    </row>
    <row r="13346" spans="1:6" x14ac:dyDescent="0.3">
      <c r="A13346" s="8" t="s">
        <v>26648</v>
      </c>
      <c r="B13346" s="8" t="s">
        <v>66941</v>
      </c>
      <c r="C13346" s="8" t="s">
        <v>26649</v>
      </c>
      <c r="D13346" s="8"/>
      <c r="E13346" s="6"/>
      <c r="F13346" s="6"/>
    </row>
    <row r="13347" spans="1:6" x14ac:dyDescent="0.3">
      <c r="A13347" s="8" t="s">
        <v>26650</v>
      </c>
      <c r="B13347" s="8" t="s">
        <v>66942</v>
      </c>
      <c r="C13347" s="8" t="s">
        <v>26651</v>
      </c>
      <c r="D13347" s="8"/>
      <c r="E13347" s="6"/>
      <c r="F13347" s="6"/>
    </row>
    <row r="13348" spans="1:6" x14ac:dyDescent="0.3">
      <c r="A13348" s="8" t="s">
        <v>26652</v>
      </c>
      <c r="B13348" s="8" t="s">
        <v>66943</v>
      </c>
      <c r="C13348" s="8" t="s">
        <v>26653</v>
      </c>
      <c r="D13348" s="8"/>
      <c r="E13348" s="6"/>
      <c r="F13348" s="6"/>
    </row>
    <row r="13349" spans="1:6" x14ac:dyDescent="0.3">
      <c r="A13349" s="8" t="s">
        <v>26654</v>
      </c>
      <c r="B13349" s="8" t="s">
        <v>66944</v>
      </c>
      <c r="C13349" s="8" t="s">
        <v>26655</v>
      </c>
      <c r="D13349" s="8"/>
      <c r="E13349" s="6"/>
      <c r="F13349" s="6"/>
    </row>
    <row r="13350" spans="1:6" x14ac:dyDescent="0.3">
      <c r="A13350" s="8" t="s">
        <v>26656</v>
      </c>
      <c r="B13350" s="8" t="s">
        <v>66945</v>
      </c>
      <c r="C13350" s="8" t="s">
        <v>26657</v>
      </c>
      <c r="D13350" s="8"/>
      <c r="E13350" s="6"/>
      <c r="F13350" s="6"/>
    </row>
    <row r="13351" spans="1:6" x14ac:dyDescent="0.3">
      <c r="A13351" s="8" t="s">
        <v>26658</v>
      </c>
      <c r="B13351" s="8" t="s">
        <v>66946</v>
      </c>
      <c r="C13351" s="8" t="s">
        <v>26659</v>
      </c>
      <c r="D13351" s="8"/>
      <c r="E13351" s="6"/>
      <c r="F13351" s="6"/>
    </row>
    <row r="13352" spans="1:6" x14ac:dyDescent="0.3">
      <c r="A13352" s="8" t="s">
        <v>26660</v>
      </c>
      <c r="B13352" s="8" t="s">
        <v>66947</v>
      </c>
      <c r="C13352" s="8" t="s">
        <v>26661</v>
      </c>
      <c r="D13352" s="8"/>
      <c r="E13352" s="6"/>
      <c r="F13352" s="6"/>
    </row>
    <row r="13353" spans="1:6" x14ac:dyDescent="0.3">
      <c r="A13353" s="8" t="s">
        <v>26662</v>
      </c>
      <c r="B13353" s="8" t="s">
        <v>66948</v>
      </c>
      <c r="C13353" s="8" t="s">
        <v>26663</v>
      </c>
      <c r="D13353" s="8"/>
      <c r="E13353" s="6"/>
      <c r="F13353" s="6"/>
    </row>
    <row r="13354" spans="1:6" x14ac:dyDescent="0.3">
      <c r="A13354" s="8" t="s">
        <v>26664</v>
      </c>
      <c r="B13354" s="8" t="s">
        <v>66949</v>
      </c>
      <c r="C13354" s="8" t="s">
        <v>26665</v>
      </c>
      <c r="D13354" s="8"/>
      <c r="E13354" s="6"/>
      <c r="F13354" s="6"/>
    </row>
    <row r="13355" spans="1:6" x14ac:dyDescent="0.3">
      <c r="A13355" s="8" t="s">
        <v>26666</v>
      </c>
      <c r="B13355" s="8" t="s">
        <v>66950</v>
      </c>
      <c r="C13355" s="8" t="s">
        <v>26667</v>
      </c>
      <c r="D13355" s="8"/>
      <c r="E13355" s="6"/>
      <c r="F13355" s="6"/>
    </row>
    <row r="13356" spans="1:6" x14ac:dyDescent="0.3">
      <c r="A13356" s="8" t="s">
        <v>26668</v>
      </c>
      <c r="B13356" s="8" t="s">
        <v>66951</v>
      </c>
      <c r="C13356" s="8" t="s">
        <v>26669</v>
      </c>
      <c r="D13356" s="8"/>
      <c r="E13356" s="6"/>
      <c r="F13356" s="6"/>
    </row>
    <row r="13357" spans="1:6" x14ac:dyDescent="0.3">
      <c r="A13357" s="8" t="s">
        <v>26670</v>
      </c>
      <c r="B13357" s="8" t="s">
        <v>66952</v>
      </c>
      <c r="C13357" s="8" t="s">
        <v>26671</v>
      </c>
      <c r="D13357" s="8"/>
      <c r="E13357" s="6"/>
      <c r="F13357" s="6"/>
    </row>
    <row r="13358" spans="1:6" x14ac:dyDescent="0.3">
      <c r="A13358" s="8" t="s">
        <v>26672</v>
      </c>
      <c r="B13358" s="8" t="s">
        <v>66953</v>
      </c>
      <c r="C13358" s="8" t="s">
        <v>26673</v>
      </c>
      <c r="D13358" s="8"/>
      <c r="E13358" s="6"/>
      <c r="F13358" s="6"/>
    </row>
    <row r="13359" spans="1:6" x14ac:dyDescent="0.3">
      <c r="A13359" s="8" t="s">
        <v>26674</v>
      </c>
      <c r="B13359" s="8" t="s">
        <v>66954</v>
      </c>
      <c r="C13359" s="8" t="s">
        <v>26675</v>
      </c>
      <c r="D13359" s="8"/>
      <c r="E13359" s="6"/>
      <c r="F13359" s="6"/>
    </row>
    <row r="13360" spans="1:6" x14ac:dyDescent="0.3">
      <c r="A13360" s="8" t="s">
        <v>26676</v>
      </c>
      <c r="B13360" s="8" t="s">
        <v>66955</v>
      </c>
      <c r="C13360" s="8" t="s">
        <v>26677</v>
      </c>
      <c r="D13360" s="8"/>
      <c r="E13360" s="6"/>
      <c r="F13360" s="6"/>
    </row>
    <row r="13361" spans="1:6" x14ac:dyDescent="0.3">
      <c r="A13361" s="8" t="s">
        <v>26678</v>
      </c>
      <c r="B13361" s="8" t="s">
        <v>66956</v>
      </c>
      <c r="C13361" s="8" t="s">
        <v>26679</v>
      </c>
      <c r="D13361" s="8"/>
      <c r="E13361" s="6"/>
      <c r="F13361" s="6"/>
    </row>
    <row r="13362" spans="1:6" x14ac:dyDescent="0.3">
      <c r="A13362" s="8" t="s">
        <v>26680</v>
      </c>
      <c r="B13362" s="8" t="s">
        <v>66957</v>
      </c>
      <c r="C13362" s="8" t="s">
        <v>26681</v>
      </c>
      <c r="D13362" s="8"/>
      <c r="E13362" s="6"/>
      <c r="F13362" s="6"/>
    </row>
    <row r="13363" spans="1:6" x14ac:dyDescent="0.3">
      <c r="A13363" s="8" t="s">
        <v>26682</v>
      </c>
      <c r="B13363" s="8" t="s">
        <v>66958</v>
      </c>
      <c r="C13363" s="8" t="s">
        <v>26683</v>
      </c>
      <c r="D13363" s="8"/>
      <c r="E13363" s="6"/>
      <c r="F13363" s="6"/>
    </row>
    <row r="13364" spans="1:6" x14ac:dyDescent="0.3">
      <c r="A13364" s="8" t="s">
        <v>26684</v>
      </c>
      <c r="B13364" s="8" t="s">
        <v>66959</v>
      </c>
      <c r="C13364" s="8" t="s">
        <v>26685</v>
      </c>
      <c r="D13364" s="8"/>
      <c r="E13364" s="6"/>
      <c r="F13364" s="6"/>
    </row>
    <row r="13365" spans="1:6" x14ac:dyDescent="0.3">
      <c r="A13365" s="8" t="s">
        <v>26686</v>
      </c>
      <c r="B13365" s="8" t="s">
        <v>66960</v>
      </c>
      <c r="C13365" s="8" t="s">
        <v>26687</v>
      </c>
      <c r="D13365" s="8"/>
      <c r="E13365" s="6"/>
      <c r="F13365" s="6"/>
    </row>
    <row r="13366" spans="1:6" x14ac:dyDescent="0.3">
      <c r="A13366" s="8" t="s">
        <v>26688</v>
      </c>
      <c r="B13366" s="8" t="s">
        <v>66961</v>
      </c>
      <c r="C13366" s="8" t="s">
        <v>26689</v>
      </c>
      <c r="D13366" s="8"/>
      <c r="E13366" s="6"/>
      <c r="F13366" s="6"/>
    </row>
    <row r="13367" spans="1:6" x14ac:dyDescent="0.3">
      <c r="A13367" s="8" t="s">
        <v>26690</v>
      </c>
      <c r="B13367" s="8" t="s">
        <v>66962</v>
      </c>
      <c r="C13367" s="8" t="s">
        <v>26691</v>
      </c>
      <c r="D13367" s="8"/>
      <c r="E13367" s="6"/>
      <c r="F13367" s="6"/>
    </row>
    <row r="13368" spans="1:6" x14ac:dyDescent="0.3">
      <c r="A13368" s="8" t="s">
        <v>26692</v>
      </c>
      <c r="B13368" s="8" t="s">
        <v>66963</v>
      </c>
      <c r="C13368" s="8" t="s">
        <v>26693</v>
      </c>
      <c r="D13368" s="8"/>
      <c r="E13368" s="6"/>
      <c r="F13368" s="6"/>
    </row>
    <row r="13369" spans="1:6" x14ac:dyDescent="0.3">
      <c r="A13369" s="8" t="s">
        <v>26694</v>
      </c>
      <c r="B13369" s="8" t="s">
        <v>66964</v>
      </c>
      <c r="C13369" s="8" t="s">
        <v>26695</v>
      </c>
      <c r="D13369" s="8"/>
      <c r="E13369" s="6"/>
      <c r="F13369" s="6"/>
    </row>
    <row r="13370" spans="1:6" x14ac:dyDescent="0.3">
      <c r="A13370" s="8" t="s">
        <v>26696</v>
      </c>
      <c r="B13370" s="8" t="s">
        <v>66965</v>
      </c>
      <c r="C13370" s="8" t="s">
        <v>26697</v>
      </c>
      <c r="D13370" s="8"/>
      <c r="E13370" s="6"/>
      <c r="F13370" s="6"/>
    </row>
    <row r="13371" spans="1:6" x14ac:dyDescent="0.3">
      <c r="A13371" s="8" t="s">
        <v>26698</v>
      </c>
      <c r="B13371" s="8" t="s">
        <v>66966</v>
      </c>
      <c r="C13371" s="8" t="s">
        <v>26699</v>
      </c>
      <c r="D13371" s="8"/>
      <c r="E13371" s="6"/>
      <c r="F13371" s="6"/>
    </row>
    <row r="13372" spans="1:6" x14ac:dyDescent="0.3">
      <c r="A13372" s="8" t="s">
        <v>26700</v>
      </c>
      <c r="B13372" s="8" t="s">
        <v>66967</v>
      </c>
      <c r="C13372" s="8" t="s">
        <v>26701</v>
      </c>
      <c r="D13372" s="8"/>
      <c r="E13372" s="6"/>
      <c r="F13372" s="6"/>
    </row>
    <row r="13373" spans="1:6" x14ac:dyDescent="0.3">
      <c r="A13373" s="8" t="s">
        <v>26702</v>
      </c>
      <c r="B13373" s="8" t="s">
        <v>66968</v>
      </c>
      <c r="C13373" s="8" t="s">
        <v>26703</v>
      </c>
      <c r="D13373" s="8"/>
      <c r="E13373" s="6"/>
      <c r="F13373" s="6"/>
    </row>
    <row r="13374" spans="1:6" x14ac:dyDescent="0.3">
      <c r="A13374" s="8" t="s">
        <v>26704</v>
      </c>
      <c r="B13374" s="8" t="s">
        <v>66969</v>
      </c>
      <c r="C13374" s="8" t="s">
        <v>26705</v>
      </c>
      <c r="D13374" s="8"/>
      <c r="E13374" s="6"/>
      <c r="F13374" s="6"/>
    </row>
    <row r="13375" spans="1:6" x14ac:dyDescent="0.3">
      <c r="A13375" s="8" t="s">
        <v>26706</v>
      </c>
      <c r="B13375" s="8" t="s">
        <v>66970</v>
      </c>
      <c r="C13375" s="8" t="s">
        <v>26707</v>
      </c>
      <c r="D13375" s="8"/>
      <c r="E13375" s="6"/>
      <c r="F13375" s="6"/>
    </row>
    <row r="13376" spans="1:6" x14ac:dyDescent="0.3">
      <c r="A13376" s="8" t="s">
        <v>26708</v>
      </c>
      <c r="B13376" s="8" t="s">
        <v>66971</v>
      </c>
      <c r="C13376" s="8" t="s">
        <v>26709</v>
      </c>
      <c r="D13376" s="8"/>
      <c r="E13376" s="6"/>
      <c r="F13376" s="6"/>
    </row>
    <row r="13377" spans="1:6" x14ac:dyDescent="0.3">
      <c r="A13377" s="8" t="s">
        <v>26710</v>
      </c>
      <c r="B13377" s="8" t="s">
        <v>66972</v>
      </c>
      <c r="C13377" s="8" t="s">
        <v>26711</v>
      </c>
      <c r="D13377" s="8"/>
      <c r="E13377" s="6"/>
      <c r="F13377" s="6"/>
    </row>
    <row r="13378" spans="1:6" x14ac:dyDescent="0.3">
      <c r="A13378" s="8" t="s">
        <v>26712</v>
      </c>
      <c r="B13378" s="8" t="s">
        <v>66973</v>
      </c>
      <c r="C13378" s="8" t="s">
        <v>26713</v>
      </c>
      <c r="D13378" s="8"/>
      <c r="E13378" s="6"/>
      <c r="F13378" s="6"/>
    </row>
    <row r="13379" spans="1:6" x14ac:dyDescent="0.3">
      <c r="A13379" s="8" t="s">
        <v>26714</v>
      </c>
      <c r="B13379" s="8" t="s">
        <v>66974</v>
      </c>
      <c r="C13379" s="8" t="s">
        <v>26715</v>
      </c>
      <c r="D13379" s="8"/>
      <c r="E13379" s="6"/>
      <c r="F13379" s="6"/>
    </row>
    <row r="13380" spans="1:6" x14ac:dyDescent="0.3">
      <c r="A13380" s="8" t="s">
        <v>26716</v>
      </c>
      <c r="B13380" s="8" t="s">
        <v>66975</v>
      </c>
      <c r="C13380" s="8" t="s">
        <v>26717</v>
      </c>
      <c r="D13380" s="8"/>
      <c r="E13380" s="6"/>
      <c r="F13380" s="6"/>
    </row>
    <row r="13381" spans="1:6" x14ac:dyDescent="0.3">
      <c r="A13381" s="8" t="s">
        <v>26718</v>
      </c>
      <c r="B13381" s="8" t="s">
        <v>66976</v>
      </c>
      <c r="C13381" s="8" t="s">
        <v>26719</v>
      </c>
      <c r="D13381" s="8"/>
      <c r="E13381" s="6"/>
      <c r="F13381" s="6"/>
    </row>
    <row r="13382" spans="1:6" x14ac:dyDescent="0.3">
      <c r="A13382" s="8" t="s">
        <v>26720</v>
      </c>
      <c r="B13382" s="8" t="s">
        <v>66977</v>
      </c>
      <c r="C13382" s="8" t="s">
        <v>26721</v>
      </c>
      <c r="D13382" s="8"/>
      <c r="E13382" s="6"/>
      <c r="F13382" s="6"/>
    </row>
    <row r="13383" spans="1:6" x14ac:dyDescent="0.3">
      <c r="A13383" s="8" t="s">
        <v>26722</v>
      </c>
      <c r="B13383" s="8" t="s">
        <v>66978</v>
      </c>
      <c r="C13383" s="8" t="s">
        <v>26723</v>
      </c>
      <c r="D13383" s="8"/>
      <c r="E13383" s="6"/>
      <c r="F13383" s="6"/>
    </row>
    <row r="13384" spans="1:6" x14ac:dyDescent="0.3">
      <c r="A13384" s="8" t="s">
        <v>26724</v>
      </c>
      <c r="B13384" s="8" t="s">
        <v>66979</v>
      </c>
      <c r="C13384" s="8" t="s">
        <v>26725</v>
      </c>
      <c r="D13384" s="8"/>
      <c r="E13384" s="6"/>
      <c r="F13384" s="6"/>
    </row>
    <row r="13385" spans="1:6" x14ac:dyDescent="0.3">
      <c r="A13385" s="8" t="s">
        <v>26726</v>
      </c>
      <c r="B13385" s="8" t="s">
        <v>66980</v>
      </c>
      <c r="C13385" s="8" t="s">
        <v>26727</v>
      </c>
      <c r="D13385" s="8"/>
      <c r="E13385" s="6"/>
      <c r="F13385" s="6"/>
    </row>
    <row r="13386" spans="1:6" x14ac:dyDescent="0.3">
      <c r="A13386" s="8" t="s">
        <v>26728</v>
      </c>
      <c r="B13386" s="8" t="s">
        <v>66981</v>
      </c>
      <c r="C13386" s="8" t="s">
        <v>26729</v>
      </c>
      <c r="D13386" s="8"/>
      <c r="E13386" s="6"/>
      <c r="F13386" s="6"/>
    </row>
    <row r="13387" spans="1:6" x14ac:dyDescent="0.3">
      <c r="A13387" s="8" t="s">
        <v>26730</v>
      </c>
      <c r="B13387" s="8" t="s">
        <v>66982</v>
      </c>
      <c r="C13387" s="8" t="s">
        <v>26731</v>
      </c>
      <c r="D13387" s="8"/>
      <c r="E13387" s="6"/>
      <c r="F13387" s="6"/>
    </row>
    <row r="13388" spans="1:6" x14ac:dyDescent="0.3">
      <c r="A13388" s="8" t="s">
        <v>26732</v>
      </c>
      <c r="B13388" s="8" t="s">
        <v>66983</v>
      </c>
      <c r="C13388" s="8" t="s">
        <v>26733</v>
      </c>
      <c r="D13388" s="8"/>
      <c r="E13388" s="6"/>
      <c r="F13388" s="6"/>
    </row>
    <row r="13389" spans="1:6" x14ac:dyDescent="0.3">
      <c r="A13389" s="8" t="s">
        <v>26734</v>
      </c>
      <c r="B13389" s="8" t="s">
        <v>66984</v>
      </c>
      <c r="C13389" s="8" t="s">
        <v>26735</v>
      </c>
      <c r="D13389" s="8"/>
      <c r="E13389" s="6"/>
      <c r="F13389" s="6"/>
    </row>
    <row r="13390" spans="1:6" x14ac:dyDescent="0.3">
      <c r="A13390" s="8" t="s">
        <v>26736</v>
      </c>
      <c r="B13390" s="8" t="s">
        <v>66985</v>
      </c>
      <c r="C13390" s="8" t="s">
        <v>26737</v>
      </c>
      <c r="D13390" s="8"/>
      <c r="E13390" s="6"/>
      <c r="F13390" s="6"/>
    </row>
    <row r="13391" spans="1:6" x14ac:dyDescent="0.3">
      <c r="A13391" s="8" t="s">
        <v>26738</v>
      </c>
      <c r="B13391" s="8" t="s">
        <v>66986</v>
      </c>
      <c r="C13391" s="8" t="s">
        <v>26739</v>
      </c>
      <c r="D13391" s="8"/>
      <c r="E13391" s="6"/>
      <c r="F13391" s="6"/>
    </row>
    <row r="13392" spans="1:6" x14ac:dyDescent="0.3">
      <c r="A13392" s="8" t="s">
        <v>26740</v>
      </c>
      <c r="B13392" s="8" t="s">
        <v>66987</v>
      </c>
      <c r="C13392" s="8" t="s">
        <v>26741</v>
      </c>
      <c r="D13392" s="8"/>
      <c r="E13392" s="6"/>
      <c r="F13392" s="6"/>
    </row>
    <row r="13393" spans="1:6" x14ac:dyDescent="0.3">
      <c r="A13393" s="8" t="s">
        <v>26742</v>
      </c>
      <c r="B13393" s="8" t="s">
        <v>66988</v>
      </c>
      <c r="C13393" s="8" t="s">
        <v>26743</v>
      </c>
      <c r="D13393" s="8"/>
      <c r="E13393" s="6"/>
      <c r="F13393" s="6"/>
    </row>
    <row r="13394" spans="1:6" x14ac:dyDescent="0.3">
      <c r="A13394" s="8" t="s">
        <v>26744</v>
      </c>
      <c r="B13394" s="8" t="s">
        <v>66989</v>
      </c>
      <c r="C13394" s="8" t="s">
        <v>26745</v>
      </c>
      <c r="D13394" s="8"/>
      <c r="E13394" s="6"/>
      <c r="F13394" s="6"/>
    </row>
    <row r="13395" spans="1:6" x14ac:dyDescent="0.3">
      <c r="A13395" s="8" t="s">
        <v>26746</v>
      </c>
      <c r="B13395" s="8" t="s">
        <v>66990</v>
      </c>
      <c r="C13395" s="8" t="s">
        <v>26747</v>
      </c>
      <c r="D13395" s="8"/>
      <c r="E13395" s="6"/>
      <c r="F13395" s="6"/>
    </row>
    <row r="13396" spans="1:6" x14ac:dyDescent="0.3">
      <c r="A13396" s="8" t="s">
        <v>26748</v>
      </c>
      <c r="B13396" s="8" t="s">
        <v>66991</v>
      </c>
      <c r="C13396" s="8" t="s">
        <v>26749</v>
      </c>
      <c r="D13396" s="8"/>
      <c r="E13396" s="6"/>
      <c r="F13396" s="6"/>
    </row>
    <row r="13397" spans="1:6" x14ac:dyDescent="0.3">
      <c r="A13397" s="8" t="s">
        <v>26750</v>
      </c>
      <c r="B13397" s="8" t="s">
        <v>66992</v>
      </c>
      <c r="C13397" s="8" t="s">
        <v>26751</v>
      </c>
      <c r="D13397" s="8"/>
      <c r="E13397" s="6"/>
      <c r="F13397" s="6"/>
    </row>
    <row r="13398" spans="1:6" x14ac:dyDescent="0.3">
      <c r="A13398" s="8" t="s">
        <v>26752</v>
      </c>
      <c r="B13398" s="8" t="s">
        <v>66993</v>
      </c>
      <c r="C13398" s="8" t="s">
        <v>26753</v>
      </c>
      <c r="D13398" s="8"/>
      <c r="E13398" s="6"/>
      <c r="F13398" s="6"/>
    </row>
    <row r="13399" spans="1:6" x14ac:dyDescent="0.3">
      <c r="A13399" s="8" t="s">
        <v>26754</v>
      </c>
      <c r="B13399" s="8" t="s">
        <v>66994</v>
      </c>
      <c r="C13399" s="8" t="s">
        <v>26755</v>
      </c>
      <c r="D13399" s="8"/>
      <c r="E13399" s="6"/>
      <c r="F13399" s="6"/>
    </row>
    <row r="13400" spans="1:6" x14ac:dyDescent="0.3">
      <c r="A13400" s="8" t="s">
        <v>26756</v>
      </c>
      <c r="B13400" s="8" t="s">
        <v>66995</v>
      </c>
      <c r="C13400" s="8" t="s">
        <v>26757</v>
      </c>
      <c r="D13400" s="8"/>
      <c r="E13400" s="6"/>
      <c r="F13400" s="6"/>
    </row>
    <row r="13401" spans="1:6" x14ac:dyDescent="0.3">
      <c r="A13401" s="8" t="s">
        <v>26758</v>
      </c>
      <c r="B13401" s="8" t="s">
        <v>66996</v>
      </c>
      <c r="C13401" s="8" t="s">
        <v>26759</v>
      </c>
      <c r="D13401" s="8"/>
      <c r="E13401" s="6"/>
      <c r="F13401" s="6"/>
    </row>
    <row r="13402" spans="1:6" x14ac:dyDescent="0.3">
      <c r="A13402" s="8" t="s">
        <v>26760</v>
      </c>
      <c r="B13402" s="8" t="s">
        <v>66997</v>
      </c>
      <c r="C13402" s="8" t="s">
        <v>26761</v>
      </c>
      <c r="D13402" s="8"/>
      <c r="E13402" s="6"/>
      <c r="F13402" s="6"/>
    </row>
    <row r="13403" spans="1:6" x14ac:dyDescent="0.3">
      <c r="A13403" s="8" t="s">
        <v>26762</v>
      </c>
      <c r="B13403" s="8" t="s">
        <v>66998</v>
      </c>
      <c r="C13403" s="8" t="s">
        <v>26763</v>
      </c>
      <c r="D13403" s="8"/>
      <c r="E13403" s="6"/>
      <c r="F13403" s="6"/>
    </row>
    <row r="13404" spans="1:6" x14ac:dyDescent="0.3">
      <c r="A13404" s="8" t="s">
        <v>26764</v>
      </c>
      <c r="B13404" s="8" t="s">
        <v>66999</v>
      </c>
      <c r="C13404" s="8" t="s">
        <v>26765</v>
      </c>
      <c r="D13404" s="8"/>
      <c r="E13404" s="6"/>
      <c r="F13404" s="6"/>
    </row>
    <row r="13405" spans="1:6" x14ac:dyDescent="0.3">
      <c r="A13405" s="8" t="s">
        <v>26766</v>
      </c>
      <c r="B13405" s="8" t="s">
        <v>67000</v>
      </c>
      <c r="C13405" s="8" t="s">
        <v>26767</v>
      </c>
      <c r="D13405" s="8"/>
      <c r="E13405" s="6"/>
      <c r="F13405" s="6"/>
    </row>
    <row r="13406" spans="1:6" x14ac:dyDescent="0.3">
      <c r="A13406" s="8" t="s">
        <v>26768</v>
      </c>
      <c r="B13406" s="8" t="s">
        <v>67001</v>
      </c>
      <c r="C13406" s="8" t="s">
        <v>26769</v>
      </c>
      <c r="D13406" s="8"/>
      <c r="E13406" s="6"/>
      <c r="F13406" s="6"/>
    </row>
    <row r="13407" spans="1:6" x14ac:dyDescent="0.3">
      <c r="A13407" s="8" t="s">
        <v>26770</v>
      </c>
      <c r="B13407" s="8" t="s">
        <v>67002</v>
      </c>
      <c r="C13407" s="8" t="s">
        <v>26771</v>
      </c>
      <c r="D13407" s="8"/>
      <c r="E13407" s="6"/>
      <c r="F13407" s="6"/>
    </row>
    <row r="13408" spans="1:6" x14ac:dyDescent="0.3">
      <c r="A13408" s="8" t="s">
        <v>26772</v>
      </c>
      <c r="B13408" s="8" t="s">
        <v>67003</v>
      </c>
      <c r="C13408" s="8" t="s">
        <v>26773</v>
      </c>
      <c r="D13408" s="8"/>
      <c r="E13408" s="6"/>
      <c r="F13408" s="6"/>
    </row>
    <row r="13409" spans="1:6" x14ac:dyDescent="0.3">
      <c r="A13409" s="8" t="s">
        <v>26774</v>
      </c>
      <c r="B13409" s="8" t="s">
        <v>67004</v>
      </c>
      <c r="C13409" s="8" t="s">
        <v>26775</v>
      </c>
      <c r="D13409" s="8"/>
      <c r="E13409" s="6"/>
      <c r="F13409" s="6"/>
    </row>
    <row r="13410" spans="1:6" x14ac:dyDescent="0.3">
      <c r="A13410" s="8" t="s">
        <v>26776</v>
      </c>
      <c r="B13410" s="8" t="s">
        <v>67005</v>
      </c>
      <c r="C13410" s="8" t="s">
        <v>26777</v>
      </c>
      <c r="D13410" s="8"/>
      <c r="E13410" s="6"/>
      <c r="F13410" s="6"/>
    </row>
    <row r="13411" spans="1:6" x14ac:dyDescent="0.3">
      <c r="A13411" s="8" t="s">
        <v>26778</v>
      </c>
      <c r="B13411" s="8" t="s">
        <v>67006</v>
      </c>
      <c r="C13411" s="8" t="s">
        <v>26779</v>
      </c>
      <c r="D13411" s="8"/>
      <c r="E13411" s="6"/>
      <c r="F13411" s="6"/>
    </row>
    <row r="13412" spans="1:6" x14ac:dyDescent="0.3">
      <c r="A13412" s="8" t="s">
        <v>26780</v>
      </c>
      <c r="B13412" s="8" t="s">
        <v>67007</v>
      </c>
      <c r="C13412" s="8" t="s">
        <v>26781</v>
      </c>
      <c r="D13412" s="8"/>
      <c r="E13412" s="6"/>
      <c r="F13412" s="6"/>
    </row>
    <row r="13413" spans="1:6" x14ac:dyDescent="0.3">
      <c r="A13413" s="8" t="s">
        <v>26782</v>
      </c>
      <c r="B13413" s="8" t="s">
        <v>67008</v>
      </c>
      <c r="C13413" s="8" t="s">
        <v>26783</v>
      </c>
      <c r="D13413" s="8"/>
      <c r="E13413" s="6"/>
      <c r="F13413" s="6"/>
    </row>
    <row r="13414" spans="1:6" x14ac:dyDescent="0.3">
      <c r="A13414" s="8" t="s">
        <v>26784</v>
      </c>
      <c r="B13414" s="8" t="s">
        <v>67009</v>
      </c>
      <c r="C13414" s="8" t="s">
        <v>26785</v>
      </c>
      <c r="D13414" s="8"/>
      <c r="E13414" s="6"/>
      <c r="F13414" s="6"/>
    </row>
    <row r="13415" spans="1:6" x14ac:dyDescent="0.3">
      <c r="A13415" s="8" t="s">
        <v>26786</v>
      </c>
      <c r="B13415" s="8" t="s">
        <v>67010</v>
      </c>
      <c r="C13415" s="8" t="s">
        <v>26787</v>
      </c>
      <c r="D13415" s="8"/>
      <c r="E13415" s="6"/>
      <c r="F13415" s="6"/>
    </row>
    <row r="13416" spans="1:6" x14ac:dyDescent="0.3">
      <c r="A13416" s="8" t="s">
        <v>26788</v>
      </c>
      <c r="B13416" s="8" t="s">
        <v>67011</v>
      </c>
      <c r="C13416" s="8" t="s">
        <v>26789</v>
      </c>
      <c r="D13416" s="8"/>
      <c r="E13416" s="6"/>
      <c r="F13416" s="6"/>
    </row>
    <row r="13417" spans="1:6" x14ac:dyDescent="0.3">
      <c r="A13417" s="8" t="s">
        <v>26790</v>
      </c>
      <c r="B13417" s="8" t="s">
        <v>67012</v>
      </c>
      <c r="C13417" s="8" t="s">
        <v>26791</v>
      </c>
      <c r="D13417" s="8"/>
      <c r="E13417" s="6"/>
      <c r="F13417" s="6"/>
    </row>
    <row r="13418" spans="1:6" x14ac:dyDescent="0.3">
      <c r="A13418" s="8" t="s">
        <v>26792</v>
      </c>
      <c r="B13418" s="8" t="s">
        <v>67013</v>
      </c>
      <c r="C13418" s="8" t="s">
        <v>26793</v>
      </c>
      <c r="D13418" s="8"/>
      <c r="E13418" s="6"/>
      <c r="F13418" s="6"/>
    </row>
    <row r="13419" spans="1:6" x14ac:dyDescent="0.3">
      <c r="A13419" s="8" t="s">
        <v>26794</v>
      </c>
      <c r="B13419" s="8" t="s">
        <v>67014</v>
      </c>
      <c r="C13419" s="8" t="s">
        <v>26795</v>
      </c>
      <c r="D13419" s="8"/>
      <c r="E13419" s="6"/>
      <c r="F13419" s="6"/>
    </row>
    <row r="13420" spans="1:6" x14ac:dyDescent="0.3">
      <c r="A13420" s="8" t="s">
        <v>26796</v>
      </c>
      <c r="B13420" s="8" t="s">
        <v>67015</v>
      </c>
      <c r="C13420" s="8" t="s">
        <v>26797</v>
      </c>
      <c r="D13420" s="8"/>
      <c r="E13420" s="6"/>
      <c r="F13420" s="6"/>
    </row>
    <row r="13421" spans="1:6" x14ac:dyDescent="0.3">
      <c r="A13421" s="8" t="s">
        <v>26798</v>
      </c>
      <c r="B13421" s="8" t="s">
        <v>67016</v>
      </c>
      <c r="C13421" s="8" t="s">
        <v>26799</v>
      </c>
      <c r="D13421" s="8"/>
      <c r="E13421" s="6"/>
      <c r="F13421" s="6"/>
    </row>
    <row r="13422" spans="1:6" x14ac:dyDescent="0.3">
      <c r="A13422" s="8" t="s">
        <v>26800</v>
      </c>
      <c r="B13422" s="8" t="s">
        <v>67017</v>
      </c>
      <c r="C13422" s="8" t="s">
        <v>26801</v>
      </c>
      <c r="D13422" s="8"/>
      <c r="E13422" s="6"/>
      <c r="F13422" s="6"/>
    </row>
    <row r="13423" spans="1:6" x14ac:dyDescent="0.3">
      <c r="A13423" s="8" t="s">
        <v>26802</v>
      </c>
      <c r="B13423" s="8" t="s">
        <v>67018</v>
      </c>
      <c r="C13423" s="8" t="s">
        <v>26803</v>
      </c>
      <c r="D13423" s="8"/>
      <c r="E13423" s="6"/>
      <c r="F13423" s="6"/>
    </row>
    <row r="13424" spans="1:6" x14ac:dyDescent="0.3">
      <c r="A13424" s="8" t="s">
        <v>26804</v>
      </c>
      <c r="B13424" s="8" t="s">
        <v>67019</v>
      </c>
      <c r="C13424" s="8" t="s">
        <v>26805</v>
      </c>
      <c r="D13424" s="8"/>
      <c r="E13424" s="6"/>
      <c r="F13424" s="6"/>
    </row>
    <row r="13425" spans="1:6" x14ac:dyDescent="0.3">
      <c r="A13425" s="8" t="s">
        <v>26806</v>
      </c>
      <c r="B13425" s="8" t="s">
        <v>67020</v>
      </c>
      <c r="C13425" s="8" t="s">
        <v>26807</v>
      </c>
      <c r="D13425" s="8"/>
      <c r="E13425" s="6"/>
      <c r="F13425" s="6"/>
    </row>
    <row r="13426" spans="1:6" x14ac:dyDescent="0.3">
      <c r="A13426" s="8" t="s">
        <v>26808</v>
      </c>
      <c r="B13426" s="8" t="s">
        <v>67021</v>
      </c>
      <c r="C13426" s="8" t="s">
        <v>26809</v>
      </c>
      <c r="D13426" s="8"/>
      <c r="E13426" s="6"/>
      <c r="F13426" s="6"/>
    </row>
    <row r="13427" spans="1:6" x14ac:dyDescent="0.3">
      <c r="A13427" s="8" t="s">
        <v>26810</v>
      </c>
      <c r="B13427" s="8" t="s">
        <v>67022</v>
      </c>
      <c r="C13427" s="8" t="s">
        <v>26811</v>
      </c>
      <c r="D13427" s="8"/>
      <c r="E13427" s="6"/>
      <c r="F13427" s="6"/>
    </row>
    <row r="13428" spans="1:6" x14ac:dyDescent="0.3">
      <c r="A13428" s="8" t="s">
        <v>26812</v>
      </c>
      <c r="B13428" s="8" t="s">
        <v>67023</v>
      </c>
      <c r="C13428" s="8" t="s">
        <v>26813</v>
      </c>
      <c r="D13428" s="8"/>
      <c r="E13428" s="6"/>
      <c r="F13428" s="6"/>
    </row>
    <row r="13429" spans="1:6" x14ac:dyDescent="0.3">
      <c r="A13429" s="8" t="s">
        <v>26814</v>
      </c>
      <c r="B13429" s="8" t="s">
        <v>67024</v>
      </c>
      <c r="C13429" s="8" t="s">
        <v>26815</v>
      </c>
      <c r="D13429" s="8"/>
      <c r="E13429" s="6"/>
      <c r="F13429" s="6"/>
    </row>
    <row r="13430" spans="1:6" x14ac:dyDescent="0.3">
      <c r="A13430" s="8" t="s">
        <v>26816</v>
      </c>
      <c r="B13430" s="8" t="s">
        <v>67025</v>
      </c>
      <c r="C13430" s="8" t="s">
        <v>26817</v>
      </c>
      <c r="D13430" s="8"/>
      <c r="E13430" s="6"/>
      <c r="F13430" s="6"/>
    </row>
    <row r="13431" spans="1:6" x14ac:dyDescent="0.3">
      <c r="A13431" s="8" t="s">
        <v>26818</v>
      </c>
      <c r="B13431" s="8" t="s">
        <v>67026</v>
      </c>
      <c r="C13431" s="8" t="s">
        <v>26819</v>
      </c>
      <c r="D13431" s="8"/>
      <c r="E13431" s="6"/>
      <c r="F13431" s="6"/>
    </row>
    <row r="13432" spans="1:6" x14ac:dyDescent="0.3">
      <c r="A13432" s="8" t="s">
        <v>26820</v>
      </c>
      <c r="B13432" s="8" t="s">
        <v>67027</v>
      </c>
      <c r="C13432" s="8" t="s">
        <v>26821</v>
      </c>
      <c r="D13432" s="8"/>
      <c r="E13432" s="6"/>
      <c r="F13432" s="6"/>
    </row>
    <row r="13433" spans="1:6" x14ac:dyDescent="0.3">
      <c r="A13433" s="8" t="s">
        <v>26822</v>
      </c>
      <c r="B13433" s="8" t="s">
        <v>67028</v>
      </c>
      <c r="C13433" s="8" t="s">
        <v>26823</v>
      </c>
      <c r="D13433" s="8"/>
      <c r="E13433" s="6"/>
      <c r="F13433" s="6"/>
    </row>
    <row r="13434" spans="1:6" x14ac:dyDescent="0.3">
      <c r="A13434" s="8" t="s">
        <v>26824</v>
      </c>
      <c r="B13434" s="8" t="s">
        <v>67029</v>
      </c>
      <c r="C13434" s="8" t="s">
        <v>26825</v>
      </c>
      <c r="D13434" s="8"/>
      <c r="E13434" s="6"/>
      <c r="F13434" s="6"/>
    </row>
    <row r="13435" spans="1:6" x14ac:dyDescent="0.3">
      <c r="A13435" s="8" t="s">
        <v>26826</v>
      </c>
      <c r="B13435" s="8" t="s">
        <v>67030</v>
      </c>
      <c r="C13435" s="8" t="s">
        <v>26827</v>
      </c>
      <c r="D13435" s="8"/>
      <c r="E13435" s="6"/>
      <c r="F13435" s="6"/>
    </row>
    <row r="13436" spans="1:6" x14ac:dyDescent="0.3">
      <c r="A13436" s="8" t="s">
        <v>26828</v>
      </c>
      <c r="B13436" s="8" t="s">
        <v>67031</v>
      </c>
      <c r="C13436" s="8" t="s">
        <v>26829</v>
      </c>
      <c r="D13436" s="8"/>
      <c r="E13436" s="6"/>
      <c r="F13436" s="6"/>
    </row>
    <row r="13437" spans="1:6" x14ac:dyDescent="0.3">
      <c r="A13437" s="8" t="s">
        <v>26830</v>
      </c>
      <c r="B13437" s="8" t="s">
        <v>67032</v>
      </c>
      <c r="C13437" s="8" t="s">
        <v>26831</v>
      </c>
      <c r="D13437" s="8"/>
      <c r="E13437" s="6"/>
      <c r="F13437" s="6"/>
    </row>
    <row r="13438" spans="1:6" x14ac:dyDescent="0.3">
      <c r="A13438" s="8" t="s">
        <v>26832</v>
      </c>
      <c r="B13438" s="8" t="s">
        <v>67033</v>
      </c>
      <c r="C13438" s="8" t="s">
        <v>26833</v>
      </c>
      <c r="D13438" s="8"/>
      <c r="E13438" s="6"/>
      <c r="F13438" s="6"/>
    </row>
    <row r="13439" spans="1:6" x14ac:dyDescent="0.3">
      <c r="A13439" s="8" t="s">
        <v>26834</v>
      </c>
      <c r="B13439" s="8" t="s">
        <v>67034</v>
      </c>
      <c r="C13439" s="8" t="s">
        <v>26835</v>
      </c>
      <c r="D13439" s="8"/>
      <c r="E13439" s="6"/>
      <c r="F13439" s="6"/>
    </row>
    <row r="13440" spans="1:6" x14ac:dyDescent="0.3">
      <c r="A13440" s="8" t="s">
        <v>26836</v>
      </c>
      <c r="B13440" s="8" t="s">
        <v>67035</v>
      </c>
      <c r="C13440" s="8" t="s">
        <v>26837</v>
      </c>
      <c r="D13440" s="8"/>
      <c r="E13440" s="6"/>
      <c r="F13440" s="6"/>
    </row>
    <row r="13441" spans="1:6" x14ac:dyDescent="0.3">
      <c r="A13441" s="8" t="s">
        <v>26838</v>
      </c>
      <c r="B13441" s="8" t="s">
        <v>67036</v>
      </c>
      <c r="C13441" s="8" t="s">
        <v>26839</v>
      </c>
      <c r="D13441" s="8"/>
      <c r="E13441" s="6"/>
      <c r="F13441" s="6"/>
    </row>
    <row r="13442" spans="1:6" x14ac:dyDescent="0.3">
      <c r="A13442" s="8" t="s">
        <v>26840</v>
      </c>
      <c r="B13442" s="8" t="s">
        <v>67037</v>
      </c>
      <c r="C13442" s="8" t="s">
        <v>26841</v>
      </c>
      <c r="D13442" s="8"/>
      <c r="E13442" s="6"/>
      <c r="F13442" s="6"/>
    </row>
    <row r="13443" spans="1:6" x14ac:dyDescent="0.3">
      <c r="A13443" s="8" t="s">
        <v>26842</v>
      </c>
      <c r="B13443" s="8" t="s">
        <v>67038</v>
      </c>
      <c r="C13443" s="8" t="s">
        <v>26843</v>
      </c>
      <c r="D13443" s="8"/>
      <c r="E13443" s="6"/>
      <c r="F13443" s="6"/>
    </row>
    <row r="13444" spans="1:6" x14ac:dyDescent="0.3">
      <c r="A13444" s="8" t="s">
        <v>26844</v>
      </c>
      <c r="B13444" s="8" t="s">
        <v>67039</v>
      </c>
      <c r="C13444" s="8" t="s">
        <v>26845</v>
      </c>
      <c r="D13444" s="8"/>
      <c r="E13444" s="6"/>
      <c r="F13444" s="6"/>
    </row>
    <row r="13445" spans="1:6" x14ac:dyDescent="0.3">
      <c r="A13445" s="8" t="s">
        <v>26846</v>
      </c>
      <c r="B13445" s="8" t="s">
        <v>67040</v>
      </c>
      <c r="C13445" s="8" t="s">
        <v>26847</v>
      </c>
      <c r="D13445" s="8"/>
      <c r="E13445" s="6"/>
      <c r="F13445" s="6"/>
    </row>
    <row r="13446" spans="1:6" x14ac:dyDescent="0.3">
      <c r="A13446" s="8" t="s">
        <v>26848</v>
      </c>
      <c r="B13446" s="8" t="s">
        <v>67041</v>
      </c>
      <c r="C13446" s="8" t="s">
        <v>26849</v>
      </c>
      <c r="D13446" s="8"/>
      <c r="E13446" s="6"/>
      <c r="F13446" s="6"/>
    </row>
    <row r="13447" spans="1:6" x14ac:dyDescent="0.3">
      <c r="A13447" s="8" t="s">
        <v>26850</v>
      </c>
      <c r="B13447" s="8" t="s">
        <v>67042</v>
      </c>
      <c r="C13447" s="8" t="s">
        <v>26851</v>
      </c>
      <c r="D13447" s="8"/>
      <c r="E13447" s="6"/>
      <c r="F13447" s="6"/>
    </row>
    <row r="13448" spans="1:6" x14ac:dyDescent="0.3">
      <c r="A13448" s="8" t="s">
        <v>26852</v>
      </c>
      <c r="B13448" s="8" t="s">
        <v>67043</v>
      </c>
      <c r="C13448" s="8" t="s">
        <v>26853</v>
      </c>
      <c r="D13448" s="8"/>
      <c r="E13448" s="6"/>
      <c r="F13448" s="6"/>
    </row>
    <row r="13449" spans="1:6" x14ac:dyDescent="0.3">
      <c r="A13449" s="8" t="s">
        <v>26854</v>
      </c>
      <c r="B13449" s="8" t="s">
        <v>67044</v>
      </c>
      <c r="C13449" s="8" t="s">
        <v>26855</v>
      </c>
      <c r="D13449" s="8"/>
      <c r="E13449" s="6"/>
      <c r="F13449" s="6"/>
    </row>
    <row r="13450" spans="1:6" x14ac:dyDescent="0.3">
      <c r="A13450" s="8" t="s">
        <v>26856</v>
      </c>
      <c r="B13450" s="8" t="s">
        <v>67045</v>
      </c>
      <c r="C13450" s="8" t="s">
        <v>26857</v>
      </c>
      <c r="D13450" s="8"/>
      <c r="E13450" s="6"/>
      <c r="F13450" s="6"/>
    </row>
    <row r="13451" spans="1:6" x14ac:dyDescent="0.3">
      <c r="A13451" s="8" t="s">
        <v>26858</v>
      </c>
      <c r="B13451" s="8" t="s">
        <v>67046</v>
      </c>
      <c r="C13451" s="8" t="s">
        <v>26859</v>
      </c>
      <c r="D13451" s="8"/>
      <c r="E13451" s="6"/>
      <c r="F13451" s="6"/>
    </row>
    <row r="13452" spans="1:6" x14ac:dyDescent="0.3">
      <c r="A13452" s="8" t="s">
        <v>26860</v>
      </c>
      <c r="B13452" s="8" t="s">
        <v>67047</v>
      </c>
      <c r="C13452" s="8" t="s">
        <v>26861</v>
      </c>
      <c r="D13452" s="8"/>
      <c r="E13452" s="6"/>
      <c r="F13452" s="6"/>
    </row>
    <row r="13453" spans="1:6" x14ac:dyDescent="0.3">
      <c r="A13453" s="8" t="s">
        <v>26862</v>
      </c>
      <c r="B13453" s="8" t="s">
        <v>67048</v>
      </c>
      <c r="C13453" s="8" t="s">
        <v>26863</v>
      </c>
      <c r="D13453" s="8"/>
      <c r="E13453" s="6"/>
      <c r="F13453" s="6"/>
    </row>
    <row r="13454" spans="1:6" x14ac:dyDescent="0.3">
      <c r="A13454" s="8" t="s">
        <v>26864</v>
      </c>
      <c r="B13454" s="8" t="s">
        <v>67049</v>
      </c>
      <c r="C13454" s="8" t="s">
        <v>26865</v>
      </c>
      <c r="D13454" s="8"/>
      <c r="E13454" s="6"/>
      <c r="F13454" s="6"/>
    </row>
    <row r="13455" spans="1:6" x14ac:dyDescent="0.3">
      <c r="A13455" s="8" t="s">
        <v>26866</v>
      </c>
      <c r="B13455" s="8" t="s">
        <v>67050</v>
      </c>
      <c r="C13455" s="8" t="s">
        <v>26867</v>
      </c>
      <c r="D13455" s="8"/>
      <c r="E13455" s="6"/>
      <c r="F13455" s="6"/>
    </row>
    <row r="13456" spans="1:6" x14ac:dyDescent="0.3">
      <c r="A13456" s="8" t="s">
        <v>26868</v>
      </c>
      <c r="B13456" s="8" t="s">
        <v>67051</v>
      </c>
      <c r="C13456" s="8" t="s">
        <v>26869</v>
      </c>
      <c r="D13456" s="8"/>
      <c r="E13456" s="6"/>
      <c r="F13456" s="6"/>
    </row>
    <row r="13457" spans="1:6" x14ac:dyDescent="0.3">
      <c r="A13457" s="8" t="s">
        <v>26870</v>
      </c>
      <c r="B13457" s="8" t="s">
        <v>67052</v>
      </c>
      <c r="C13457" s="8" t="s">
        <v>26871</v>
      </c>
      <c r="D13457" s="8"/>
      <c r="E13457" s="6"/>
      <c r="F13457" s="6"/>
    </row>
    <row r="13458" spans="1:6" x14ac:dyDescent="0.3">
      <c r="A13458" s="8" t="s">
        <v>26872</v>
      </c>
      <c r="B13458" s="8" t="s">
        <v>67053</v>
      </c>
      <c r="C13458" s="8" t="s">
        <v>26873</v>
      </c>
      <c r="D13458" s="8"/>
      <c r="E13458" s="6"/>
      <c r="F13458" s="6"/>
    </row>
    <row r="13459" spans="1:6" x14ac:dyDescent="0.3">
      <c r="A13459" s="8" t="s">
        <v>26874</v>
      </c>
      <c r="B13459" s="8" t="s">
        <v>67054</v>
      </c>
      <c r="C13459" s="8" t="s">
        <v>26875</v>
      </c>
      <c r="D13459" s="8"/>
      <c r="E13459" s="6"/>
      <c r="F13459" s="6"/>
    </row>
    <row r="13460" spans="1:6" x14ac:dyDescent="0.3">
      <c r="A13460" s="8" t="s">
        <v>26876</v>
      </c>
      <c r="B13460" s="8" t="s">
        <v>67055</v>
      </c>
      <c r="C13460" s="8" t="s">
        <v>26877</v>
      </c>
      <c r="D13460" s="8"/>
      <c r="E13460" s="6"/>
      <c r="F13460" s="6"/>
    </row>
    <row r="13461" spans="1:6" x14ac:dyDescent="0.3">
      <c r="A13461" s="8" t="s">
        <v>26878</v>
      </c>
      <c r="B13461" s="8" t="s">
        <v>67056</v>
      </c>
      <c r="C13461" s="8" t="s">
        <v>26879</v>
      </c>
      <c r="D13461" s="8"/>
      <c r="E13461" s="6"/>
      <c r="F13461" s="6"/>
    </row>
    <row r="13462" spans="1:6" x14ac:dyDescent="0.3">
      <c r="A13462" s="8" t="s">
        <v>26880</v>
      </c>
      <c r="B13462" s="8" t="s">
        <v>67057</v>
      </c>
      <c r="C13462" s="8" t="s">
        <v>26881</v>
      </c>
      <c r="D13462" s="8"/>
      <c r="E13462" s="6"/>
      <c r="F13462" s="6"/>
    </row>
    <row r="13463" spans="1:6" x14ac:dyDescent="0.3">
      <c r="A13463" s="8" t="s">
        <v>26882</v>
      </c>
      <c r="B13463" s="8" t="s">
        <v>67058</v>
      </c>
      <c r="C13463" s="8" t="s">
        <v>26883</v>
      </c>
      <c r="D13463" s="8"/>
      <c r="E13463" s="6"/>
      <c r="F13463" s="6"/>
    </row>
    <row r="13464" spans="1:6" x14ac:dyDescent="0.3">
      <c r="A13464" s="8" t="s">
        <v>26884</v>
      </c>
      <c r="B13464" s="8" t="s">
        <v>67059</v>
      </c>
      <c r="C13464" s="8" t="s">
        <v>26885</v>
      </c>
      <c r="D13464" s="8"/>
      <c r="E13464" s="6"/>
      <c r="F13464" s="6"/>
    </row>
    <row r="13465" spans="1:6" x14ac:dyDescent="0.3">
      <c r="A13465" s="8" t="s">
        <v>26886</v>
      </c>
      <c r="B13465" s="8" t="s">
        <v>67060</v>
      </c>
      <c r="C13465" s="8" t="s">
        <v>26887</v>
      </c>
      <c r="D13465" s="8"/>
      <c r="E13465" s="6"/>
      <c r="F13465" s="6"/>
    </row>
    <row r="13466" spans="1:6" x14ac:dyDescent="0.3">
      <c r="A13466" s="8" t="s">
        <v>26888</v>
      </c>
      <c r="B13466" s="8" t="s">
        <v>67061</v>
      </c>
      <c r="C13466" s="8" t="s">
        <v>26889</v>
      </c>
      <c r="D13466" s="8"/>
      <c r="E13466" s="6"/>
      <c r="F13466" s="6"/>
    </row>
    <row r="13467" spans="1:6" x14ac:dyDescent="0.3">
      <c r="A13467" s="8" t="s">
        <v>26890</v>
      </c>
      <c r="B13467" s="8" t="s">
        <v>67062</v>
      </c>
      <c r="C13467" s="8" t="s">
        <v>26891</v>
      </c>
      <c r="D13467" s="8"/>
      <c r="E13467" s="6"/>
      <c r="F13467" s="6"/>
    </row>
    <row r="13468" spans="1:6" x14ac:dyDescent="0.3">
      <c r="A13468" s="8" t="s">
        <v>26892</v>
      </c>
      <c r="B13468" s="8" t="s">
        <v>67063</v>
      </c>
      <c r="C13468" s="8" t="s">
        <v>26893</v>
      </c>
      <c r="D13468" s="8"/>
      <c r="E13468" s="6"/>
      <c r="F13468" s="6"/>
    </row>
    <row r="13469" spans="1:6" x14ac:dyDescent="0.3">
      <c r="A13469" s="8" t="s">
        <v>26894</v>
      </c>
      <c r="B13469" s="8" t="s">
        <v>67064</v>
      </c>
      <c r="C13469" s="8" t="s">
        <v>26895</v>
      </c>
      <c r="D13469" s="8"/>
      <c r="E13469" s="6"/>
      <c r="F13469" s="6"/>
    </row>
    <row r="13470" spans="1:6" x14ac:dyDescent="0.3">
      <c r="A13470" s="8" t="s">
        <v>26896</v>
      </c>
      <c r="B13470" s="8" t="s">
        <v>67065</v>
      </c>
      <c r="C13470" s="8" t="s">
        <v>26897</v>
      </c>
      <c r="D13470" s="8"/>
      <c r="E13470" s="6"/>
      <c r="F13470" s="6"/>
    </row>
    <row r="13471" spans="1:6" x14ac:dyDescent="0.3">
      <c r="A13471" s="8" t="s">
        <v>26898</v>
      </c>
      <c r="B13471" s="8" t="s">
        <v>67066</v>
      </c>
      <c r="C13471" s="8" t="s">
        <v>26899</v>
      </c>
      <c r="D13471" s="8"/>
      <c r="E13471" s="6"/>
      <c r="F13471" s="6"/>
    </row>
    <row r="13472" spans="1:6" x14ac:dyDescent="0.3">
      <c r="A13472" s="8" t="s">
        <v>26900</v>
      </c>
      <c r="B13472" s="8" t="s">
        <v>67067</v>
      </c>
      <c r="C13472" s="8" t="s">
        <v>26901</v>
      </c>
      <c r="D13472" s="8"/>
      <c r="E13472" s="6"/>
      <c r="F13472" s="6"/>
    </row>
    <row r="13473" spans="1:6" x14ac:dyDescent="0.3">
      <c r="A13473" s="8" t="s">
        <v>26902</v>
      </c>
      <c r="B13473" s="8" t="s">
        <v>67068</v>
      </c>
      <c r="C13473" s="8" t="s">
        <v>26903</v>
      </c>
      <c r="D13473" s="8"/>
      <c r="E13473" s="6"/>
      <c r="F13473" s="6"/>
    </row>
    <row r="13474" spans="1:6" x14ac:dyDescent="0.3">
      <c r="A13474" s="8" t="s">
        <v>26904</v>
      </c>
      <c r="B13474" s="8" t="s">
        <v>67069</v>
      </c>
      <c r="C13474" s="8" t="s">
        <v>26905</v>
      </c>
      <c r="D13474" s="8"/>
      <c r="E13474" s="6"/>
      <c r="F13474" s="6"/>
    </row>
    <row r="13475" spans="1:6" x14ac:dyDescent="0.3">
      <c r="A13475" s="8" t="s">
        <v>26906</v>
      </c>
      <c r="B13475" s="8" t="s">
        <v>67070</v>
      </c>
      <c r="C13475" s="8" t="s">
        <v>26907</v>
      </c>
      <c r="D13475" s="8"/>
      <c r="E13475" s="6"/>
      <c r="F13475" s="6"/>
    </row>
    <row r="13476" spans="1:6" x14ac:dyDescent="0.3">
      <c r="A13476" s="8" t="s">
        <v>26908</v>
      </c>
      <c r="B13476" s="8" t="s">
        <v>67071</v>
      </c>
      <c r="C13476" s="8" t="s">
        <v>26909</v>
      </c>
      <c r="D13476" s="8"/>
      <c r="E13476" s="6"/>
      <c r="F13476" s="6"/>
    </row>
    <row r="13477" spans="1:6" x14ac:dyDescent="0.3">
      <c r="A13477" s="8" t="s">
        <v>26910</v>
      </c>
      <c r="B13477" s="8" t="s">
        <v>67072</v>
      </c>
      <c r="C13477" s="8" t="s">
        <v>26911</v>
      </c>
      <c r="D13477" s="8"/>
      <c r="E13477" s="6"/>
      <c r="F13477" s="6"/>
    </row>
    <row r="13478" spans="1:6" x14ac:dyDescent="0.3">
      <c r="A13478" s="8" t="s">
        <v>26912</v>
      </c>
      <c r="B13478" s="8" t="s">
        <v>67073</v>
      </c>
      <c r="C13478" s="8" t="s">
        <v>26913</v>
      </c>
      <c r="D13478" s="8"/>
      <c r="E13478" s="6"/>
      <c r="F13478" s="6"/>
    </row>
    <row r="13479" spans="1:6" x14ac:dyDescent="0.3">
      <c r="A13479" s="8" t="s">
        <v>26914</v>
      </c>
      <c r="B13479" s="8" t="s">
        <v>67074</v>
      </c>
      <c r="C13479" s="8" t="s">
        <v>26915</v>
      </c>
      <c r="D13479" s="8"/>
      <c r="E13479" s="6"/>
      <c r="F13479" s="6"/>
    </row>
    <row r="13480" spans="1:6" x14ac:dyDescent="0.3">
      <c r="A13480" s="8" t="s">
        <v>26916</v>
      </c>
      <c r="B13480" s="8" t="s">
        <v>67075</v>
      </c>
      <c r="C13480" s="8" t="s">
        <v>26917</v>
      </c>
      <c r="D13480" s="8"/>
      <c r="E13480" s="6"/>
      <c r="F13480" s="6"/>
    </row>
    <row r="13481" spans="1:6" x14ac:dyDescent="0.3">
      <c r="A13481" s="8" t="s">
        <v>26918</v>
      </c>
      <c r="B13481" s="8" t="s">
        <v>67076</v>
      </c>
      <c r="C13481" s="8" t="s">
        <v>26919</v>
      </c>
      <c r="D13481" s="8"/>
      <c r="E13481" s="6"/>
      <c r="F13481" s="6"/>
    </row>
    <row r="13482" spans="1:6" x14ac:dyDescent="0.3">
      <c r="A13482" s="8" t="s">
        <v>26920</v>
      </c>
      <c r="B13482" s="8" t="s">
        <v>67077</v>
      </c>
      <c r="C13482" s="8" t="s">
        <v>26921</v>
      </c>
      <c r="D13482" s="8"/>
      <c r="E13482" s="6"/>
      <c r="F13482" s="6"/>
    </row>
    <row r="13483" spans="1:6" x14ac:dyDescent="0.3">
      <c r="A13483" s="8" t="s">
        <v>26922</v>
      </c>
      <c r="B13483" s="8" t="s">
        <v>67078</v>
      </c>
      <c r="C13483" s="8" t="s">
        <v>26923</v>
      </c>
      <c r="D13483" s="8"/>
      <c r="E13483" s="6"/>
      <c r="F13483" s="6"/>
    </row>
    <row r="13484" spans="1:6" x14ac:dyDescent="0.3">
      <c r="A13484" s="8" t="s">
        <v>26924</v>
      </c>
      <c r="B13484" s="8" t="s">
        <v>67079</v>
      </c>
      <c r="C13484" s="8" t="s">
        <v>26925</v>
      </c>
      <c r="D13484" s="8"/>
      <c r="E13484" s="6"/>
      <c r="F13484" s="6"/>
    </row>
    <row r="13485" spans="1:6" x14ac:dyDescent="0.3">
      <c r="A13485" s="8" t="s">
        <v>26926</v>
      </c>
      <c r="B13485" s="8" t="s">
        <v>67080</v>
      </c>
      <c r="C13485" s="8" t="s">
        <v>26927</v>
      </c>
      <c r="D13485" s="8"/>
      <c r="E13485" s="6"/>
      <c r="F13485" s="6"/>
    </row>
    <row r="13486" spans="1:6" x14ac:dyDescent="0.3">
      <c r="A13486" s="8" t="s">
        <v>26928</v>
      </c>
      <c r="B13486" s="8" t="s">
        <v>67081</v>
      </c>
      <c r="C13486" s="8" t="s">
        <v>26929</v>
      </c>
      <c r="D13486" s="8"/>
      <c r="E13486" s="6"/>
      <c r="F13486" s="6"/>
    </row>
    <row r="13487" spans="1:6" x14ac:dyDescent="0.3">
      <c r="A13487" s="8" t="s">
        <v>26930</v>
      </c>
      <c r="B13487" s="8" t="s">
        <v>67082</v>
      </c>
      <c r="C13487" s="8" t="s">
        <v>26931</v>
      </c>
      <c r="D13487" s="8"/>
      <c r="E13487" s="6"/>
      <c r="F13487" s="6"/>
    </row>
    <row r="13488" spans="1:6" x14ac:dyDescent="0.3">
      <c r="A13488" s="8" t="s">
        <v>26932</v>
      </c>
      <c r="B13488" s="8" t="s">
        <v>67083</v>
      </c>
      <c r="C13488" s="8" t="s">
        <v>26933</v>
      </c>
      <c r="D13488" s="8"/>
      <c r="E13488" s="6"/>
      <c r="F13488" s="6"/>
    </row>
    <row r="13489" spans="1:6" x14ac:dyDescent="0.3">
      <c r="A13489" s="8" t="s">
        <v>26934</v>
      </c>
      <c r="B13489" s="8" t="s">
        <v>67084</v>
      </c>
      <c r="C13489" s="8" t="s">
        <v>26935</v>
      </c>
      <c r="D13489" s="8"/>
      <c r="E13489" s="6"/>
      <c r="F13489" s="6"/>
    </row>
    <row r="13490" spans="1:6" x14ac:dyDescent="0.3">
      <c r="A13490" s="8" t="s">
        <v>26936</v>
      </c>
      <c r="B13490" s="8" t="s">
        <v>67085</v>
      </c>
      <c r="C13490" s="8" t="s">
        <v>26937</v>
      </c>
      <c r="D13490" s="8"/>
      <c r="E13490" s="6"/>
      <c r="F13490" s="6"/>
    </row>
    <row r="13491" spans="1:6" x14ac:dyDescent="0.3">
      <c r="A13491" s="8" t="s">
        <v>26938</v>
      </c>
      <c r="B13491" s="8" t="s">
        <v>67086</v>
      </c>
      <c r="C13491" s="8" t="s">
        <v>26939</v>
      </c>
      <c r="D13491" s="8"/>
      <c r="E13491" s="6"/>
      <c r="F13491" s="6"/>
    </row>
    <row r="13492" spans="1:6" x14ac:dyDescent="0.3">
      <c r="A13492" s="8" t="s">
        <v>26940</v>
      </c>
      <c r="B13492" s="8" t="s">
        <v>67087</v>
      </c>
      <c r="C13492" s="8" t="s">
        <v>26941</v>
      </c>
      <c r="D13492" s="8"/>
      <c r="E13492" s="6"/>
      <c r="F13492" s="6"/>
    </row>
    <row r="13493" spans="1:6" x14ac:dyDescent="0.3">
      <c r="A13493" s="8" t="s">
        <v>26942</v>
      </c>
      <c r="B13493" s="8" t="s">
        <v>67088</v>
      </c>
      <c r="C13493" s="8" t="s">
        <v>26943</v>
      </c>
      <c r="D13493" s="8"/>
      <c r="E13493" s="6"/>
      <c r="F13493" s="6"/>
    </row>
    <row r="13494" spans="1:6" x14ac:dyDescent="0.3">
      <c r="A13494" s="8" t="s">
        <v>26944</v>
      </c>
      <c r="B13494" s="8" t="s">
        <v>67089</v>
      </c>
      <c r="C13494" s="8" t="s">
        <v>26945</v>
      </c>
      <c r="D13494" s="8"/>
      <c r="E13494" s="6"/>
      <c r="F13494" s="6"/>
    </row>
    <row r="13495" spans="1:6" x14ac:dyDescent="0.3">
      <c r="A13495" s="8" t="s">
        <v>26946</v>
      </c>
      <c r="B13495" s="8" t="s">
        <v>67090</v>
      </c>
      <c r="C13495" s="8" t="s">
        <v>26947</v>
      </c>
      <c r="D13495" s="8"/>
      <c r="E13495" s="6"/>
      <c r="F13495" s="6"/>
    </row>
    <row r="13496" spans="1:6" x14ac:dyDescent="0.3">
      <c r="A13496" s="8" t="s">
        <v>26948</v>
      </c>
      <c r="B13496" s="8" t="s">
        <v>67091</v>
      </c>
      <c r="C13496" s="8" t="s">
        <v>26949</v>
      </c>
      <c r="D13496" s="8"/>
      <c r="E13496" s="6"/>
      <c r="F13496" s="6"/>
    </row>
    <row r="13497" spans="1:6" x14ac:dyDescent="0.3">
      <c r="A13497" s="8" t="s">
        <v>26950</v>
      </c>
      <c r="B13497" s="8" t="s">
        <v>67092</v>
      </c>
      <c r="C13497" s="8" t="s">
        <v>26951</v>
      </c>
      <c r="D13497" s="8"/>
      <c r="E13497" s="6"/>
      <c r="F13497" s="6"/>
    </row>
    <row r="13498" spans="1:6" x14ac:dyDescent="0.3">
      <c r="A13498" s="8" t="s">
        <v>26952</v>
      </c>
      <c r="B13498" s="8" t="s">
        <v>67093</v>
      </c>
      <c r="C13498" s="8" t="s">
        <v>26953</v>
      </c>
      <c r="D13498" s="8"/>
      <c r="E13498" s="6"/>
      <c r="F13498" s="6"/>
    </row>
    <row r="13499" spans="1:6" x14ac:dyDescent="0.3">
      <c r="A13499" s="8" t="s">
        <v>26954</v>
      </c>
      <c r="B13499" s="8" t="s">
        <v>67094</v>
      </c>
      <c r="C13499" s="8" t="s">
        <v>26955</v>
      </c>
      <c r="D13499" s="8"/>
      <c r="E13499" s="6"/>
      <c r="F13499" s="6"/>
    </row>
    <row r="13500" spans="1:6" x14ac:dyDescent="0.3">
      <c r="A13500" s="8" t="s">
        <v>26956</v>
      </c>
      <c r="B13500" s="8" t="s">
        <v>67095</v>
      </c>
      <c r="C13500" s="8" t="s">
        <v>26957</v>
      </c>
      <c r="D13500" s="8"/>
      <c r="E13500" s="6"/>
      <c r="F13500" s="6"/>
    </row>
    <row r="13501" spans="1:6" x14ac:dyDescent="0.3">
      <c r="A13501" s="8" t="s">
        <v>26958</v>
      </c>
      <c r="B13501" s="8" t="s">
        <v>67096</v>
      </c>
      <c r="C13501" s="8" t="s">
        <v>26959</v>
      </c>
      <c r="D13501" s="8"/>
      <c r="E13501" s="6"/>
      <c r="F13501" s="6"/>
    </row>
    <row r="13502" spans="1:6" x14ac:dyDescent="0.3">
      <c r="A13502" s="8" t="s">
        <v>26960</v>
      </c>
      <c r="B13502" s="8" t="s">
        <v>67097</v>
      </c>
      <c r="C13502" s="8" t="s">
        <v>26961</v>
      </c>
      <c r="D13502" s="8"/>
      <c r="E13502" s="6"/>
      <c r="F13502" s="6"/>
    </row>
    <row r="13503" spans="1:6" x14ac:dyDescent="0.3">
      <c r="A13503" s="8" t="s">
        <v>26962</v>
      </c>
      <c r="B13503" s="8" t="s">
        <v>67098</v>
      </c>
      <c r="C13503" s="8" t="s">
        <v>26963</v>
      </c>
      <c r="D13503" s="8"/>
      <c r="E13503" s="6"/>
      <c r="F13503" s="6"/>
    </row>
    <row r="13504" spans="1:6" x14ac:dyDescent="0.3">
      <c r="A13504" s="8" t="s">
        <v>26964</v>
      </c>
      <c r="B13504" s="8" t="s">
        <v>67099</v>
      </c>
      <c r="C13504" s="8" t="s">
        <v>26965</v>
      </c>
      <c r="D13504" s="8"/>
      <c r="E13504" s="6"/>
      <c r="F13504" s="6"/>
    </row>
    <row r="13505" spans="1:6" x14ac:dyDescent="0.3">
      <c r="A13505" s="8" t="s">
        <v>26966</v>
      </c>
      <c r="B13505" s="8" t="s">
        <v>67100</v>
      </c>
      <c r="C13505" s="8" t="s">
        <v>26967</v>
      </c>
      <c r="D13505" s="8"/>
      <c r="E13505" s="6"/>
      <c r="F13505" s="6"/>
    </row>
    <row r="13506" spans="1:6" x14ac:dyDescent="0.3">
      <c r="A13506" s="8" t="s">
        <v>26968</v>
      </c>
      <c r="B13506" s="8" t="s">
        <v>67101</v>
      </c>
      <c r="C13506" s="8" t="s">
        <v>26969</v>
      </c>
      <c r="D13506" s="8"/>
      <c r="E13506" s="6"/>
      <c r="F13506" s="6"/>
    </row>
    <row r="13507" spans="1:6" x14ac:dyDescent="0.3">
      <c r="A13507" s="8" t="s">
        <v>26970</v>
      </c>
      <c r="B13507" s="8" t="s">
        <v>67102</v>
      </c>
      <c r="C13507" s="8" t="s">
        <v>26971</v>
      </c>
      <c r="D13507" s="8"/>
      <c r="E13507" s="6"/>
      <c r="F13507" s="6"/>
    </row>
    <row r="13508" spans="1:6" x14ac:dyDescent="0.3">
      <c r="A13508" s="8" t="s">
        <v>26972</v>
      </c>
      <c r="B13508" s="8" t="s">
        <v>67103</v>
      </c>
      <c r="C13508" s="8" t="s">
        <v>26973</v>
      </c>
      <c r="D13508" s="8"/>
      <c r="E13508" s="6"/>
      <c r="F13508" s="6"/>
    </row>
    <row r="13509" spans="1:6" x14ac:dyDescent="0.3">
      <c r="A13509" s="8" t="s">
        <v>26974</v>
      </c>
      <c r="B13509" s="8" t="s">
        <v>67104</v>
      </c>
      <c r="C13509" s="8" t="s">
        <v>26975</v>
      </c>
      <c r="D13509" s="8"/>
      <c r="E13509" s="6"/>
      <c r="F13509" s="6"/>
    </row>
    <row r="13510" spans="1:6" x14ac:dyDescent="0.3">
      <c r="A13510" s="8" t="s">
        <v>26976</v>
      </c>
      <c r="B13510" s="8" t="s">
        <v>67105</v>
      </c>
      <c r="C13510" s="8" t="s">
        <v>26977</v>
      </c>
      <c r="D13510" s="8"/>
      <c r="E13510" s="6"/>
      <c r="F13510" s="6"/>
    </row>
    <row r="13511" spans="1:6" x14ac:dyDescent="0.3">
      <c r="A13511" s="8" t="s">
        <v>26978</v>
      </c>
      <c r="B13511" s="8" t="s">
        <v>67106</v>
      </c>
      <c r="C13511" s="8" t="s">
        <v>26979</v>
      </c>
      <c r="D13511" s="8"/>
      <c r="E13511" s="6"/>
      <c r="F13511" s="6"/>
    </row>
    <row r="13512" spans="1:6" x14ac:dyDescent="0.3">
      <c r="A13512" s="8" t="s">
        <v>26980</v>
      </c>
      <c r="B13512" s="8" t="s">
        <v>67107</v>
      </c>
      <c r="C13512" s="8" t="s">
        <v>26981</v>
      </c>
      <c r="D13512" s="8"/>
      <c r="E13512" s="6"/>
      <c r="F13512" s="6"/>
    </row>
    <row r="13513" spans="1:6" x14ac:dyDescent="0.3">
      <c r="A13513" s="8" t="s">
        <v>26982</v>
      </c>
      <c r="B13513" s="8" t="s">
        <v>67108</v>
      </c>
      <c r="C13513" s="8" t="s">
        <v>26983</v>
      </c>
      <c r="D13513" s="8"/>
      <c r="E13513" s="6"/>
      <c r="F13513" s="6"/>
    </row>
    <row r="13514" spans="1:6" x14ac:dyDescent="0.3">
      <c r="A13514" s="8" t="s">
        <v>26984</v>
      </c>
      <c r="B13514" s="8" t="s">
        <v>67109</v>
      </c>
      <c r="C13514" s="8" t="s">
        <v>26985</v>
      </c>
      <c r="D13514" s="8"/>
      <c r="E13514" s="6"/>
      <c r="F13514" s="6"/>
    </row>
    <row r="13515" spans="1:6" x14ac:dyDescent="0.3">
      <c r="A13515" s="8" t="s">
        <v>26986</v>
      </c>
      <c r="B13515" s="8" t="s">
        <v>67110</v>
      </c>
      <c r="C13515" s="8" t="s">
        <v>26987</v>
      </c>
      <c r="D13515" s="8"/>
      <c r="E13515" s="6"/>
      <c r="F13515" s="6"/>
    </row>
    <row r="13516" spans="1:6" x14ac:dyDescent="0.3">
      <c r="A13516" s="8" t="s">
        <v>26988</v>
      </c>
      <c r="B13516" s="8" t="s">
        <v>67111</v>
      </c>
      <c r="C13516" s="8" t="s">
        <v>26989</v>
      </c>
      <c r="D13516" s="8"/>
      <c r="E13516" s="6"/>
      <c r="F13516" s="6"/>
    </row>
    <row r="13517" spans="1:6" x14ac:dyDescent="0.3">
      <c r="A13517" s="8" t="s">
        <v>26990</v>
      </c>
      <c r="B13517" s="8" t="s">
        <v>67112</v>
      </c>
      <c r="C13517" s="8" t="s">
        <v>26991</v>
      </c>
      <c r="D13517" s="8"/>
      <c r="E13517" s="6"/>
      <c r="F13517" s="6"/>
    </row>
    <row r="13518" spans="1:6" x14ac:dyDescent="0.3">
      <c r="A13518" s="8" t="s">
        <v>26992</v>
      </c>
      <c r="B13518" s="8" t="s">
        <v>67113</v>
      </c>
      <c r="C13518" s="8" t="s">
        <v>26993</v>
      </c>
      <c r="D13518" s="8"/>
      <c r="E13518" s="6"/>
      <c r="F13518" s="6"/>
    </row>
    <row r="13519" spans="1:6" x14ac:dyDescent="0.3">
      <c r="A13519" s="8" t="s">
        <v>26994</v>
      </c>
      <c r="B13519" s="8" t="s">
        <v>67114</v>
      </c>
      <c r="C13519" s="8" t="s">
        <v>26995</v>
      </c>
      <c r="D13519" s="8"/>
      <c r="E13519" s="6"/>
      <c r="F13519" s="6"/>
    </row>
    <row r="13520" spans="1:6" x14ac:dyDescent="0.3">
      <c r="A13520" s="8" t="s">
        <v>26996</v>
      </c>
      <c r="B13520" s="8" t="s">
        <v>67115</v>
      </c>
      <c r="C13520" s="8" t="s">
        <v>26997</v>
      </c>
      <c r="D13520" s="8"/>
      <c r="E13520" s="6"/>
      <c r="F13520" s="6"/>
    </row>
    <row r="13521" spans="1:6" x14ac:dyDescent="0.3">
      <c r="A13521" s="8" t="s">
        <v>26998</v>
      </c>
      <c r="B13521" s="8" t="s">
        <v>67116</v>
      </c>
      <c r="C13521" s="8" t="s">
        <v>26999</v>
      </c>
      <c r="D13521" s="8"/>
      <c r="E13521" s="6"/>
      <c r="F13521" s="6"/>
    </row>
    <row r="13522" spans="1:6" x14ac:dyDescent="0.3">
      <c r="A13522" s="8" t="s">
        <v>27000</v>
      </c>
      <c r="B13522" s="8" t="s">
        <v>67117</v>
      </c>
      <c r="C13522" s="8" t="s">
        <v>27001</v>
      </c>
      <c r="D13522" s="8"/>
      <c r="E13522" s="6"/>
      <c r="F13522" s="6"/>
    </row>
    <row r="13523" spans="1:6" x14ac:dyDescent="0.3">
      <c r="A13523" s="8" t="s">
        <v>27002</v>
      </c>
      <c r="B13523" s="8" t="s">
        <v>67118</v>
      </c>
      <c r="C13523" s="8" t="s">
        <v>27003</v>
      </c>
      <c r="D13523" s="8"/>
      <c r="E13523" s="6"/>
      <c r="F13523" s="6"/>
    </row>
    <row r="13524" spans="1:6" x14ac:dyDescent="0.3">
      <c r="A13524" s="8" t="s">
        <v>27004</v>
      </c>
      <c r="B13524" s="8" t="s">
        <v>67119</v>
      </c>
      <c r="C13524" s="8" t="s">
        <v>27005</v>
      </c>
      <c r="D13524" s="8"/>
      <c r="E13524" s="6"/>
      <c r="F13524" s="6"/>
    </row>
    <row r="13525" spans="1:6" x14ac:dyDescent="0.3">
      <c r="A13525" s="8" t="s">
        <v>27006</v>
      </c>
      <c r="B13525" s="8" t="s">
        <v>67120</v>
      </c>
      <c r="C13525" s="8" t="s">
        <v>27007</v>
      </c>
      <c r="D13525" s="8"/>
      <c r="E13525" s="6"/>
      <c r="F13525" s="6"/>
    </row>
    <row r="13526" spans="1:6" x14ac:dyDescent="0.3">
      <c r="A13526" s="8" t="s">
        <v>27008</v>
      </c>
      <c r="B13526" s="8" t="s">
        <v>67121</v>
      </c>
      <c r="C13526" s="8" t="s">
        <v>27009</v>
      </c>
      <c r="D13526" s="8"/>
      <c r="E13526" s="6"/>
      <c r="F13526" s="6"/>
    </row>
    <row r="13527" spans="1:6" x14ac:dyDescent="0.3">
      <c r="A13527" s="8" t="s">
        <v>27010</v>
      </c>
      <c r="B13527" s="8" t="s">
        <v>67122</v>
      </c>
      <c r="C13527" s="8" t="s">
        <v>27011</v>
      </c>
      <c r="D13527" s="8"/>
      <c r="E13527" s="6"/>
      <c r="F13527" s="6"/>
    </row>
    <row r="13528" spans="1:6" x14ac:dyDescent="0.3">
      <c r="A13528" s="8" t="s">
        <v>27012</v>
      </c>
      <c r="B13528" s="8" t="s">
        <v>67123</v>
      </c>
      <c r="C13528" s="8" t="s">
        <v>27013</v>
      </c>
      <c r="D13528" s="8"/>
      <c r="E13528" s="6"/>
      <c r="F13528" s="6"/>
    </row>
    <row r="13529" spans="1:6" x14ac:dyDescent="0.3">
      <c r="A13529" s="8" t="s">
        <v>27014</v>
      </c>
      <c r="B13529" s="8" t="s">
        <v>67124</v>
      </c>
      <c r="C13529" s="8" t="s">
        <v>27015</v>
      </c>
      <c r="D13529" s="8"/>
      <c r="E13529" s="6"/>
      <c r="F13529" s="6"/>
    </row>
    <row r="13530" spans="1:6" x14ac:dyDescent="0.3">
      <c r="A13530" s="8" t="s">
        <v>27016</v>
      </c>
      <c r="B13530" s="8" t="s">
        <v>67125</v>
      </c>
      <c r="C13530" s="8" t="s">
        <v>27017</v>
      </c>
      <c r="D13530" s="8"/>
      <c r="E13530" s="6"/>
      <c r="F13530" s="6"/>
    </row>
    <row r="13531" spans="1:6" x14ac:dyDescent="0.3">
      <c r="A13531" s="8" t="s">
        <v>27018</v>
      </c>
      <c r="B13531" s="8" t="s">
        <v>67126</v>
      </c>
      <c r="C13531" s="8" t="s">
        <v>27019</v>
      </c>
      <c r="D13531" s="8"/>
      <c r="E13531" s="6"/>
      <c r="F13531" s="6"/>
    </row>
    <row r="13532" spans="1:6" x14ac:dyDescent="0.3">
      <c r="A13532" s="8" t="s">
        <v>27020</v>
      </c>
      <c r="B13532" s="8" t="s">
        <v>67127</v>
      </c>
      <c r="C13532" s="8" t="s">
        <v>27021</v>
      </c>
      <c r="D13532" s="8"/>
      <c r="E13532" s="6"/>
      <c r="F13532" s="6"/>
    </row>
    <row r="13533" spans="1:6" x14ac:dyDescent="0.3">
      <c r="A13533" s="8" t="s">
        <v>27022</v>
      </c>
      <c r="B13533" s="8" t="s">
        <v>67128</v>
      </c>
      <c r="C13533" s="8" t="s">
        <v>27023</v>
      </c>
      <c r="D13533" s="8"/>
      <c r="E13533" s="6"/>
      <c r="F13533" s="6"/>
    </row>
    <row r="13534" spans="1:6" x14ac:dyDescent="0.3">
      <c r="A13534" s="8" t="s">
        <v>27024</v>
      </c>
      <c r="B13534" s="8" t="s">
        <v>67129</v>
      </c>
      <c r="C13534" s="8" t="s">
        <v>27025</v>
      </c>
      <c r="D13534" s="8"/>
      <c r="E13534" s="6"/>
      <c r="F13534" s="6"/>
    </row>
    <row r="13535" spans="1:6" x14ac:dyDescent="0.3">
      <c r="A13535" s="8" t="s">
        <v>27026</v>
      </c>
      <c r="B13535" s="8" t="s">
        <v>67130</v>
      </c>
      <c r="C13535" s="8" t="s">
        <v>27027</v>
      </c>
      <c r="D13535" s="8"/>
      <c r="E13535" s="6"/>
      <c r="F13535" s="6"/>
    </row>
    <row r="13536" spans="1:6" x14ac:dyDescent="0.3">
      <c r="A13536" s="8" t="s">
        <v>27028</v>
      </c>
      <c r="B13536" s="8" t="s">
        <v>67131</v>
      </c>
      <c r="C13536" s="8" t="s">
        <v>27029</v>
      </c>
      <c r="D13536" s="8"/>
      <c r="E13536" s="6"/>
      <c r="F13536" s="6"/>
    </row>
    <row r="13537" spans="1:6" x14ac:dyDescent="0.3">
      <c r="A13537" s="8" t="s">
        <v>27030</v>
      </c>
      <c r="B13537" s="8" t="s">
        <v>67132</v>
      </c>
      <c r="C13537" s="8" t="s">
        <v>27031</v>
      </c>
      <c r="D13537" s="8"/>
      <c r="E13537" s="6"/>
      <c r="F13537" s="6"/>
    </row>
    <row r="13538" spans="1:6" x14ac:dyDescent="0.3">
      <c r="A13538" s="8" t="s">
        <v>27032</v>
      </c>
      <c r="B13538" s="8" t="s">
        <v>67133</v>
      </c>
      <c r="C13538" s="8" t="s">
        <v>27033</v>
      </c>
      <c r="D13538" s="8"/>
      <c r="E13538" s="6"/>
      <c r="F13538" s="6"/>
    </row>
    <row r="13539" spans="1:6" x14ac:dyDescent="0.3">
      <c r="A13539" s="8" t="s">
        <v>27034</v>
      </c>
      <c r="B13539" s="8" t="s">
        <v>67134</v>
      </c>
      <c r="C13539" s="8" t="s">
        <v>27035</v>
      </c>
      <c r="D13539" s="8"/>
      <c r="E13539" s="6"/>
      <c r="F13539" s="6"/>
    </row>
    <row r="13540" spans="1:6" x14ac:dyDescent="0.3">
      <c r="A13540" s="8" t="s">
        <v>27036</v>
      </c>
      <c r="B13540" s="8" t="s">
        <v>67135</v>
      </c>
      <c r="C13540" s="8" t="s">
        <v>27037</v>
      </c>
      <c r="D13540" s="8"/>
      <c r="E13540" s="6"/>
      <c r="F13540" s="6"/>
    </row>
    <row r="13541" spans="1:6" x14ac:dyDescent="0.3">
      <c r="A13541" s="8" t="s">
        <v>27038</v>
      </c>
      <c r="B13541" s="8" t="s">
        <v>67136</v>
      </c>
      <c r="C13541" s="8" t="s">
        <v>27039</v>
      </c>
      <c r="D13541" s="8"/>
      <c r="E13541" s="6"/>
      <c r="F13541" s="6"/>
    </row>
    <row r="13542" spans="1:6" x14ac:dyDescent="0.3">
      <c r="A13542" s="8" t="s">
        <v>27040</v>
      </c>
      <c r="B13542" s="8" t="s">
        <v>67137</v>
      </c>
      <c r="C13542" s="8" t="s">
        <v>27041</v>
      </c>
      <c r="D13542" s="8"/>
      <c r="E13542" s="6"/>
      <c r="F13542" s="6"/>
    </row>
    <row r="13543" spans="1:6" x14ac:dyDescent="0.3">
      <c r="A13543" s="8" t="s">
        <v>27042</v>
      </c>
      <c r="B13543" s="8" t="s">
        <v>67138</v>
      </c>
      <c r="C13543" s="8" t="s">
        <v>27043</v>
      </c>
      <c r="D13543" s="8"/>
      <c r="E13543" s="6"/>
      <c r="F13543" s="6"/>
    </row>
    <row r="13544" spans="1:6" x14ac:dyDescent="0.3">
      <c r="A13544" s="8" t="s">
        <v>27044</v>
      </c>
      <c r="B13544" s="8" t="s">
        <v>67139</v>
      </c>
      <c r="C13544" s="8" t="s">
        <v>27045</v>
      </c>
      <c r="D13544" s="8"/>
      <c r="E13544" s="6"/>
      <c r="F13544" s="6"/>
    </row>
    <row r="13545" spans="1:6" x14ac:dyDescent="0.3">
      <c r="A13545" s="8" t="s">
        <v>27046</v>
      </c>
      <c r="B13545" s="8" t="s">
        <v>67140</v>
      </c>
      <c r="C13545" s="8" t="s">
        <v>27047</v>
      </c>
      <c r="D13545" s="8"/>
      <c r="E13545" s="6"/>
      <c r="F13545" s="6"/>
    </row>
    <row r="13546" spans="1:6" x14ac:dyDescent="0.3">
      <c r="A13546" s="8" t="s">
        <v>27048</v>
      </c>
      <c r="B13546" s="8" t="s">
        <v>67141</v>
      </c>
      <c r="C13546" s="8" t="s">
        <v>27049</v>
      </c>
      <c r="D13546" s="8"/>
      <c r="E13546" s="6"/>
      <c r="F13546" s="6"/>
    </row>
    <row r="13547" spans="1:6" x14ac:dyDescent="0.3">
      <c r="A13547" s="8" t="s">
        <v>27050</v>
      </c>
      <c r="B13547" s="8" t="s">
        <v>67142</v>
      </c>
      <c r="C13547" s="8" t="s">
        <v>27051</v>
      </c>
      <c r="D13547" s="8"/>
      <c r="E13547" s="6"/>
      <c r="F13547" s="6"/>
    </row>
    <row r="13548" spans="1:6" x14ac:dyDescent="0.3">
      <c r="A13548" s="8" t="s">
        <v>27052</v>
      </c>
      <c r="B13548" s="8" t="s">
        <v>67143</v>
      </c>
      <c r="C13548" s="8" t="s">
        <v>27053</v>
      </c>
      <c r="D13548" s="8"/>
      <c r="E13548" s="6"/>
      <c r="F13548" s="6"/>
    </row>
    <row r="13549" spans="1:6" x14ac:dyDescent="0.3">
      <c r="A13549" s="8" t="s">
        <v>27054</v>
      </c>
      <c r="B13549" s="8" t="s">
        <v>67144</v>
      </c>
      <c r="C13549" s="8" t="s">
        <v>27055</v>
      </c>
      <c r="D13549" s="8"/>
      <c r="E13549" s="6"/>
      <c r="F13549" s="6"/>
    </row>
    <row r="13550" spans="1:6" x14ac:dyDescent="0.3">
      <c r="A13550" s="8" t="s">
        <v>27056</v>
      </c>
      <c r="B13550" s="8" t="s">
        <v>67145</v>
      </c>
      <c r="C13550" s="8" t="s">
        <v>27057</v>
      </c>
      <c r="D13550" s="8"/>
      <c r="E13550" s="6"/>
      <c r="F13550" s="6"/>
    </row>
    <row r="13551" spans="1:6" x14ac:dyDescent="0.3">
      <c r="A13551" s="8" t="s">
        <v>27058</v>
      </c>
      <c r="B13551" s="8" t="s">
        <v>67146</v>
      </c>
      <c r="C13551" s="8" t="s">
        <v>27059</v>
      </c>
      <c r="D13551" s="8"/>
      <c r="E13551" s="6"/>
      <c r="F13551" s="6"/>
    </row>
    <row r="13552" spans="1:6" x14ac:dyDescent="0.3">
      <c r="A13552" s="8" t="s">
        <v>27060</v>
      </c>
      <c r="B13552" s="8" t="s">
        <v>67147</v>
      </c>
      <c r="C13552" s="8" t="s">
        <v>27061</v>
      </c>
      <c r="D13552" s="8"/>
      <c r="E13552" s="6"/>
      <c r="F13552" s="6"/>
    </row>
    <row r="13553" spans="1:6" x14ac:dyDescent="0.3">
      <c r="A13553" s="8" t="s">
        <v>27062</v>
      </c>
      <c r="B13553" s="8" t="s">
        <v>67148</v>
      </c>
      <c r="C13553" s="8" t="s">
        <v>27063</v>
      </c>
      <c r="D13553" s="8"/>
      <c r="E13553" s="6"/>
      <c r="F13553" s="6"/>
    </row>
    <row r="13554" spans="1:6" x14ac:dyDescent="0.3">
      <c r="A13554" s="8" t="s">
        <v>27064</v>
      </c>
      <c r="B13554" s="8" t="s">
        <v>67149</v>
      </c>
      <c r="C13554" s="8" t="s">
        <v>27065</v>
      </c>
      <c r="D13554" s="8"/>
      <c r="E13554" s="6"/>
      <c r="F13554" s="6"/>
    </row>
    <row r="13555" spans="1:6" x14ac:dyDescent="0.3">
      <c r="A13555" s="8" t="s">
        <v>27066</v>
      </c>
      <c r="B13555" s="8" t="s">
        <v>67150</v>
      </c>
      <c r="C13555" s="8" t="s">
        <v>27067</v>
      </c>
      <c r="D13555" s="8"/>
      <c r="E13555" s="6"/>
      <c r="F13555" s="6"/>
    </row>
    <row r="13556" spans="1:6" x14ac:dyDescent="0.3">
      <c r="A13556" s="8" t="s">
        <v>27068</v>
      </c>
      <c r="B13556" s="8" t="s">
        <v>67151</v>
      </c>
      <c r="C13556" s="8" t="s">
        <v>27069</v>
      </c>
      <c r="D13556" s="8"/>
      <c r="E13556" s="6"/>
      <c r="F13556" s="6"/>
    </row>
    <row r="13557" spans="1:6" x14ac:dyDescent="0.3">
      <c r="A13557" s="8" t="s">
        <v>27070</v>
      </c>
      <c r="B13557" s="8" t="s">
        <v>67152</v>
      </c>
      <c r="C13557" s="8" t="s">
        <v>27071</v>
      </c>
      <c r="D13557" s="8"/>
      <c r="E13557" s="6"/>
      <c r="F13557" s="6"/>
    </row>
    <row r="13558" spans="1:6" x14ac:dyDescent="0.3">
      <c r="A13558" s="8" t="s">
        <v>27072</v>
      </c>
      <c r="B13558" s="8" t="s">
        <v>67153</v>
      </c>
      <c r="C13558" s="8" t="s">
        <v>27073</v>
      </c>
      <c r="D13558" s="8"/>
      <c r="E13558" s="6"/>
      <c r="F13558" s="6"/>
    </row>
    <row r="13559" spans="1:6" x14ac:dyDescent="0.3">
      <c r="A13559" s="8" t="s">
        <v>27074</v>
      </c>
      <c r="B13559" s="8" t="s">
        <v>67154</v>
      </c>
      <c r="C13559" s="8" t="s">
        <v>27075</v>
      </c>
      <c r="D13559" s="8"/>
      <c r="E13559" s="6"/>
      <c r="F13559" s="6"/>
    </row>
    <row r="13560" spans="1:6" x14ac:dyDescent="0.3">
      <c r="A13560" s="8" t="s">
        <v>27076</v>
      </c>
      <c r="B13560" s="8" t="s">
        <v>67155</v>
      </c>
      <c r="C13560" s="8" t="s">
        <v>27077</v>
      </c>
      <c r="D13560" s="8"/>
      <c r="E13560" s="6"/>
      <c r="F13560" s="6"/>
    </row>
    <row r="13561" spans="1:6" x14ac:dyDescent="0.3">
      <c r="A13561" s="8" t="s">
        <v>27078</v>
      </c>
      <c r="B13561" s="8" t="s">
        <v>67156</v>
      </c>
      <c r="C13561" s="8" t="s">
        <v>27079</v>
      </c>
      <c r="D13561" s="8"/>
      <c r="E13561" s="6"/>
      <c r="F13561" s="6"/>
    </row>
    <row r="13562" spans="1:6" x14ac:dyDescent="0.3">
      <c r="A13562" s="8" t="s">
        <v>27080</v>
      </c>
      <c r="B13562" s="8" t="s">
        <v>67157</v>
      </c>
      <c r="C13562" s="8" t="s">
        <v>27081</v>
      </c>
      <c r="D13562" s="8"/>
      <c r="E13562" s="6"/>
      <c r="F13562" s="6"/>
    </row>
    <row r="13563" spans="1:6" x14ac:dyDescent="0.3">
      <c r="A13563" s="8" t="s">
        <v>27082</v>
      </c>
      <c r="B13563" s="8" t="s">
        <v>67158</v>
      </c>
      <c r="C13563" s="8" t="s">
        <v>27083</v>
      </c>
      <c r="D13563" s="8"/>
      <c r="E13563" s="6"/>
      <c r="F13563" s="6"/>
    </row>
    <row r="13564" spans="1:6" x14ac:dyDescent="0.3">
      <c r="A13564" s="8" t="s">
        <v>27084</v>
      </c>
      <c r="B13564" s="8" t="s">
        <v>67159</v>
      </c>
      <c r="C13564" s="8" t="s">
        <v>27085</v>
      </c>
      <c r="D13564" s="8"/>
      <c r="E13564" s="6"/>
      <c r="F13564" s="6"/>
    </row>
    <row r="13565" spans="1:6" x14ac:dyDescent="0.3">
      <c r="A13565" s="8" t="s">
        <v>27086</v>
      </c>
      <c r="B13565" s="8" t="s">
        <v>67160</v>
      </c>
      <c r="C13565" s="8" t="s">
        <v>27087</v>
      </c>
      <c r="D13565" s="8"/>
      <c r="E13565" s="6"/>
      <c r="F13565" s="6"/>
    </row>
    <row r="13566" spans="1:6" x14ac:dyDescent="0.3">
      <c r="A13566" s="8" t="s">
        <v>27088</v>
      </c>
      <c r="B13566" s="8" t="s">
        <v>67161</v>
      </c>
      <c r="C13566" s="8" t="s">
        <v>27089</v>
      </c>
      <c r="D13566" s="8"/>
      <c r="E13566" s="6"/>
      <c r="F13566" s="6"/>
    </row>
    <row r="13567" spans="1:6" x14ac:dyDescent="0.3">
      <c r="A13567" s="8" t="s">
        <v>27090</v>
      </c>
      <c r="B13567" s="8" t="s">
        <v>67162</v>
      </c>
      <c r="C13567" s="8" t="s">
        <v>27091</v>
      </c>
      <c r="D13567" s="8"/>
      <c r="E13567" s="6"/>
      <c r="F13567" s="6"/>
    </row>
    <row r="13568" spans="1:6" x14ac:dyDescent="0.3">
      <c r="A13568" s="8" t="s">
        <v>27092</v>
      </c>
      <c r="B13568" s="8" t="s">
        <v>67163</v>
      </c>
      <c r="C13568" s="8" t="s">
        <v>27093</v>
      </c>
      <c r="D13568" s="8"/>
      <c r="E13568" s="6"/>
      <c r="F13568" s="6"/>
    </row>
    <row r="13569" spans="1:6" x14ac:dyDescent="0.3">
      <c r="A13569" s="8" t="s">
        <v>27094</v>
      </c>
      <c r="B13569" s="8" t="s">
        <v>67164</v>
      </c>
      <c r="C13569" s="8" t="s">
        <v>27095</v>
      </c>
      <c r="D13569" s="8"/>
      <c r="E13569" s="6"/>
      <c r="F13569" s="6"/>
    </row>
    <row r="13570" spans="1:6" x14ac:dyDescent="0.3">
      <c r="A13570" s="8" t="s">
        <v>27096</v>
      </c>
      <c r="B13570" s="8" t="s">
        <v>67165</v>
      </c>
      <c r="C13570" s="8" t="s">
        <v>27097</v>
      </c>
      <c r="D13570" s="8"/>
      <c r="E13570" s="6"/>
      <c r="F13570" s="6"/>
    </row>
    <row r="13571" spans="1:6" x14ac:dyDescent="0.3">
      <c r="A13571" s="8" t="s">
        <v>27098</v>
      </c>
      <c r="B13571" s="8" t="s">
        <v>67166</v>
      </c>
      <c r="C13571" s="8" t="s">
        <v>27099</v>
      </c>
      <c r="D13571" s="8"/>
      <c r="E13571" s="6"/>
      <c r="F13571" s="6"/>
    </row>
    <row r="13572" spans="1:6" x14ac:dyDescent="0.3">
      <c r="A13572" s="8" t="s">
        <v>27100</v>
      </c>
      <c r="B13572" s="8" t="s">
        <v>67167</v>
      </c>
      <c r="C13572" s="8" t="s">
        <v>27101</v>
      </c>
      <c r="D13572" s="8"/>
      <c r="E13572" s="6"/>
      <c r="F13572" s="6"/>
    </row>
    <row r="13573" spans="1:6" x14ac:dyDescent="0.3">
      <c r="A13573" s="8" t="s">
        <v>27102</v>
      </c>
      <c r="B13573" s="8" t="s">
        <v>67168</v>
      </c>
      <c r="C13573" s="8" t="s">
        <v>27103</v>
      </c>
      <c r="D13573" s="8"/>
      <c r="E13573" s="6"/>
      <c r="F13573" s="6"/>
    </row>
    <row r="13574" spans="1:6" x14ac:dyDescent="0.3">
      <c r="A13574" s="8" t="s">
        <v>27104</v>
      </c>
      <c r="B13574" s="8" t="s">
        <v>67169</v>
      </c>
      <c r="C13574" s="8" t="s">
        <v>27105</v>
      </c>
      <c r="D13574" s="8"/>
      <c r="E13574" s="6"/>
      <c r="F13574" s="6"/>
    </row>
    <row r="13575" spans="1:6" x14ac:dyDescent="0.3">
      <c r="A13575" s="8" t="s">
        <v>27106</v>
      </c>
      <c r="B13575" s="8" t="s">
        <v>67170</v>
      </c>
      <c r="C13575" s="8" t="s">
        <v>27107</v>
      </c>
      <c r="D13575" s="8"/>
      <c r="E13575" s="6"/>
      <c r="F13575" s="6"/>
    </row>
    <row r="13576" spans="1:6" x14ac:dyDescent="0.3">
      <c r="A13576" s="8" t="s">
        <v>27108</v>
      </c>
      <c r="B13576" s="8" t="s">
        <v>67171</v>
      </c>
      <c r="C13576" s="8" t="s">
        <v>27109</v>
      </c>
      <c r="D13576" s="8"/>
      <c r="E13576" s="6"/>
      <c r="F13576" s="6"/>
    </row>
    <row r="13577" spans="1:6" x14ac:dyDescent="0.3">
      <c r="A13577" s="8" t="s">
        <v>27110</v>
      </c>
      <c r="B13577" s="8" t="s">
        <v>67172</v>
      </c>
      <c r="C13577" s="8" t="s">
        <v>27111</v>
      </c>
      <c r="D13577" s="8"/>
      <c r="E13577" s="6"/>
      <c r="F13577" s="6"/>
    </row>
    <row r="13578" spans="1:6" x14ac:dyDescent="0.3">
      <c r="A13578" s="8" t="s">
        <v>27112</v>
      </c>
      <c r="B13578" s="8" t="s">
        <v>67173</v>
      </c>
      <c r="C13578" s="8" t="s">
        <v>27113</v>
      </c>
      <c r="D13578" s="8"/>
      <c r="E13578" s="6"/>
      <c r="F13578" s="6"/>
    </row>
    <row r="13579" spans="1:6" x14ac:dyDescent="0.3">
      <c r="A13579" s="8" t="s">
        <v>27114</v>
      </c>
      <c r="B13579" s="8" t="s">
        <v>67174</v>
      </c>
      <c r="C13579" s="8" t="s">
        <v>27115</v>
      </c>
      <c r="D13579" s="8"/>
      <c r="E13579" s="6"/>
      <c r="F13579" s="6"/>
    </row>
    <row r="13580" spans="1:6" x14ac:dyDescent="0.3">
      <c r="A13580" s="8" t="s">
        <v>27116</v>
      </c>
      <c r="B13580" s="8" t="s">
        <v>67175</v>
      </c>
      <c r="C13580" s="8" t="s">
        <v>27117</v>
      </c>
      <c r="D13580" s="8"/>
      <c r="E13580" s="6"/>
      <c r="F13580" s="6"/>
    </row>
    <row r="13581" spans="1:6" x14ac:dyDescent="0.3">
      <c r="A13581" s="8" t="s">
        <v>27118</v>
      </c>
      <c r="B13581" s="8" t="s">
        <v>67176</v>
      </c>
      <c r="C13581" s="8" t="s">
        <v>27119</v>
      </c>
      <c r="D13581" s="8"/>
      <c r="E13581" s="6"/>
      <c r="F13581" s="6"/>
    </row>
    <row r="13582" spans="1:6" x14ac:dyDescent="0.3">
      <c r="A13582" s="8" t="s">
        <v>27120</v>
      </c>
      <c r="B13582" s="8" t="s">
        <v>67177</v>
      </c>
      <c r="C13582" s="8" t="s">
        <v>27121</v>
      </c>
      <c r="D13582" s="8"/>
      <c r="E13582" s="6"/>
      <c r="F13582" s="6"/>
    </row>
    <row r="13583" spans="1:6" x14ac:dyDescent="0.3">
      <c r="A13583" s="8" t="s">
        <v>27122</v>
      </c>
      <c r="B13583" s="8" t="s">
        <v>67178</v>
      </c>
      <c r="C13583" s="8" t="s">
        <v>27123</v>
      </c>
      <c r="D13583" s="8"/>
      <c r="E13583" s="6"/>
      <c r="F13583" s="6"/>
    </row>
    <row r="13584" spans="1:6" x14ac:dyDescent="0.3">
      <c r="A13584" s="8" t="s">
        <v>27124</v>
      </c>
      <c r="B13584" s="8" t="s">
        <v>67179</v>
      </c>
      <c r="C13584" s="8" t="s">
        <v>27125</v>
      </c>
      <c r="D13584" s="8"/>
      <c r="E13584" s="6"/>
      <c r="F13584" s="6"/>
    </row>
    <row r="13585" spans="1:6" x14ac:dyDescent="0.3">
      <c r="A13585" s="8" t="s">
        <v>27126</v>
      </c>
      <c r="B13585" s="8" t="s">
        <v>67180</v>
      </c>
      <c r="C13585" s="8" t="s">
        <v>27127</v>
      </c>
      <c r="D13585" s="8"/>
      <c r="E13585" s="6"/>
      <c r="F13585" s="6"/>
    </row>
    <row r="13586" spans="1:6" x14ac:dyDescent="0.3">
      <c r="A13586" s="8" t="s">
        <v>27128</v>
      </c>
      <c r="B13586" s="8" t="s">
        <v>67181</v>
      </c>
      <c r="C13586" s="8" t="s">
        <v>27129</v>
      </c>
      <c r="D13586" s="8"/>
      <c r="E13586" s="6"/>
      <c r="F13586" s="6"/>
    </row>
    <row r="13587" spans="1:6" x14ac:dyDescent="0.3">
      <c r="A13587" s="8" t="s">
        <v>27130</v>
      </c>
      <c r="B13587" s="8" t="s">
        <v>67182</v>
      </c>
      <c r="C13587" s="8" t="s">
        <v>27131</v>
      </c>
      <c r="D13587" s="8"/>
      <c r="E13587" s="6"/>
      <c r="F13587" s="6"/>
    </row>
    <row r="13588" spans="1:6" x14ac:dyDescent="0.3">
      <c r="A13588" s="8" t="s">
        <v>27132</v>
      </c>
      <c r="B13588" s="8" t="s">
        <v>67183</v>
      </c>
      <c r="C13588" s="8" t="s">
        <v>27133</v>
      </c>
      <c r="D13588" s="8"/>
      <c r="E13588" s="6"/>
      <c r="F13588" s="6"/>
    </row>
    <row r="13589" spans="1:6" x14ac:dyDescent="0.3">
      <c r="A13589" s="8" t="s">
        <v>27134</v>
      </c>
      <c r="B13589" s="8" t="s">
        <v>67184</v>
      </c>
      <c r="C13589" s="8" t="s">
        <v>27135</v>
      </c>
      <c r="D13589" s="8"/>
      <c r="E13589" s="6"/>
      <c r="F13589" s="6"/>
    </row>
    <row r="13590" spans="1:6" x14ac:dyDescent="0.3">
      <c r="A13590" s="8" t="s">
        <v>27136</v>
      </c>
      <c r="B13590" s="8" t="s">
        <v>67185</v>
      </c>
      <c r="C13590" s="8" t="s">
        <v>27137</v>
      </c>
      <c r="D13590" s="8"/>
      <c r="E13590" s="6"/>
      <c r="F13590" s="6"/>
    </row>
    <row r="13591" spans="1:6" x14ac:dyDescent="0.3">
      <c r="A13591" s="8" t="s">
        <v>27138</v>
      </c>
      <c r="B13591" s="8" t="s">
        <v>67186</v>
      </c>
      <c r="C13591" s="8" t="s">
        <v>27139</v>
      </c>
      <c r="D13591" s="8"/>
      <c r="E13591" s="6"/>
      <c r="F13591" s="6"/>
    </row>
    <row r="13592" spans="1:6" x14ac:dyDescent="0.3">
      <c r="A13592" s="8" t="s">
        <v>27140</v>
      </c>
      <c r="B13592" s="8" t="s">
        <v>67187</v>
      </c>
      <c r="C13592" s="8" t="s">
        <v>27141</v>
      </c>
      <c r="D13592" s="8"/>
      <c r="E13592" s="6"/>
      <c r="F13592" s="6"/>
    </row>
    <row r="13593" spans="1:6" x14ac:dyDescent="0.3">
      <c r="A13593" s="8" t="s">
        <v>27142</v>
      </c>
      <c r="B13593" s="8" t="s">
        <v>67188</v>
      </c>
      <c r="C13593" s="8" t="s">
        <v>27143</v>
      </c>
      <c r="D13593" s="8"/>
      <c r="E13593" s="6"/>
      <c r="F13593" s="6"/>
    </row>
    <row r="13594" spans="1:6" x14ac:dyDescent="0.3">
      <c r="A13594" s="8" t="s">
        <v>27144</v>
      </c>
      <c r="B13594" s="8" t="s">
        <v>67189</v>
      </c>
      <c r="C13594" s="8" t="s">
        <v>27145</v>
      </c>
      <c r="D13594" s="8"/>
      <c r="E13594" s="6"/>
      <c r="F13594" s="6"/>
    </row>
    <row r="13595" spans="1:6" x14ac:dyDescent="0.3">
      <c r="A13595" s="8" t="s">
        <v>27146</v>
      </c>
      <c r="B13595" s="8" t="s">
        <v>67190</v>
      </c>
      <c r="C13595" s="8" t="s">
        <v>27147</v>
      </c>
      <c r="D13595" s="8"/>
      <c r="E13595" s="6"/>
      <c r="F13595" s="6"/>
    </row>
    <row r="13596" spans="1:6" x14ac:dyDescent="0.3">
      <c r="A13596" s="8" t="s">
        <v>27148</v>
      </c>
      <c r="B13596" s="8" t="s">
        <v>67191</v>
      </c>
      <c r="C13596" s="8" t="s">
        <v>27149</v>
      </c>
      <c r="D13596" s="8"/>
      <c r="E13596" s="6"/>
      <c r="F13596" s="6"/>
    </row>
    <row r="13597" spans="1:6" x14ac:dyDescent="0.3">
      <c r="A13597" s="8" t="s">
        <v>27150</v>
      </c>
      <c r="B13597" s="8" t="s">
        <v>67192</v>
      </c>
      <c r="C13597" s="8" t="s">
        <v>27151</v>
      </c>
      <c r="D13597" s="8"/>
      <c r="E13597" s="6"/>
      <c r="F13597" s="6"/>
    </row>
    <row r="13598" spans="1:6" x14ac:dyDescent="0.3">
      <c r="A13598" s="8" t="s">
        <v>27152</v>
      </c>
      <c r="B13598" s="8" t="s">
        <v>67193</v>
      </c>
      <c r="C13598" s="8" t="s">
        <v>27153</v>
      </c>
      <c r="D13598" s="8"/>
      <c r="E13598" s="6"/>
      <c r="F13598" s="6"/>
    </row>
    <row r="13599" spans="1:6" x14ac:dyDescent="0.3">
      <c r="A13599" s="8" t="s">
        <v>27154</v>
      </c>
      <c r="B13599" s="8" t="s">
        <v>67194</v>
      </c>
      <c r="C13599" s="8" t="s">
        <v>27155</v>
      </c>
      <c r="D13599" s="8"/>
      <c r="E13599" s="6"/>
      <c r="F13599" s="6"/>
    </row>
    <row r="13600" spans="1:6" x14ac:dyDescent="0.3">
      <c r="A13600" s="8" t="s">
        <v>27156</v>
      </c>
      <c r="B13600" s="8" t="s">
        <v>67195</v>
      </c>
      <c r="C13600" s="8" t="s">
        <v>27157</v>
      </c>
      <c r="D13600" s="8"/>
      <c r="E13600" s="6"/>
      <c r="F13600" s="6"/>
    </row>
    <row r="13601" spans="1:6" x14ac:dyDescent="0.3">
      <c r="A13601" s="8" t="s">
        <v>27158</v>
      </c>
      <c r="B13601" s="8" t="s">
        <v>67196</v>
      </c>
      <c r="C13601" s="8" t="s">
        <v>27159</v>
      </c>
      <c r="D13601" s="8"/>
      <c r="E13601" s="6"/>
      <c r="F13601" s="6"/>
    </row>
    <row r="13602" spans="1:6" x14ac:dyDescent="0.3">
      <c r="A13602" s="8" t="s">
        <v>27160</v>
      </c>
      <c r="B13602" s="8" t="s">
        <v>67197</v>
      </c>
      <c r="C13602" s="8" t="s">
        <v>27161</v>
      </c>
      <c r="D13602" s="8"/>
      <c r="E13602" s="6"/>
      <c r="F13602" s="6"/>
    </row>
    <row r="13603" spans="1:6" x14ac:dyDescent="0.3">
      <c r="A13603" s="8" t="s">
        <v>27162</v>
      </c>
      <c r="B13603" s="8" t="s">
        <v>67198</v>
      </c>
      <c r="C13603" s="8" t="s">
        <v>27163</v>
      </c>
      <c r="D13603" s="8"/>
      <c r="E13603" s="6"/>
      <c r="F13603" s="6"/>
    </row>
    <row r="13604" spans="1:6" x14ac:dyDescent="0.3">
      <c r="A13604" s="8" t="s">
        <v>27164</v>
      </c>
      <c r="B13604" s="8" t="s">
        <v>67199</v>
      </c>
      <c r="C13604" s="8" t="s">
        <v>27165</v>
      </c>
      <c r="D13604" s="8"/>
      <c r="E13604" s="6"/>
      <c r="F13604" s="6"/>
    </row>
    <row r="13605" spans="1:6" x14ac:dyDescent="0.3">
      <c r="A13605" s="8" t="s">
        <v>27166</v>
      </c>
      <c r="B13605" s="8" t="s">
        <v>67200</v>
      </c>
      <c r="C13605" s="8" t="s">
        <v>27167</v>
      </c>
      <c r="D13605" s="8"/>
      <c r="E13605" s="6"/>
      <c r="F13605" s="6"/>
    </row>
    <row r="13606" spans="1:6" x14ac:dyDescent="0.3">
      <c r="A13606" s="8" t="s">
        <v>27168</v>
      </c>
      <c r="B13606" s="8" t="s">
        <v>67201</v>
      </c>
      <c r="C13606" s="8" t="s">
        <v>27169</v>
      </c>
      <c r="D13606" s="8"/>
      <c r="E13606" s="6"/>
      <c r="F13606" s="6"/>
    </row>
    <row r="13607" spans="1:6" x14ac:dyDescent="0.3">
      <c r="A13607" s="8" t="s">
        <v>27170</v>
      </c>
      <c r="B13607" s="8" t="s">
        <v>67202</v>
      </c>
      <c r="C13607" s="8" t="s">
        <v>27171</v>
      </c>
      <c r="D13607" s="8"/>
      <c r="E13607" s="6"/>
      <c r="F13607" s="6"/>
    </row>
    <row r="13608" spans="1:6" x14ac:dyDescent="0.3">
      <c r="A13608" s="8" t="s">
        <v>27172</v>
      </c>
      <c r="B13608" s="8" t="s">
        <v>67203</v>
      </c>
      <c r="C13608" s="8" t="s">
        <v>27173</v>
      </c>
      <c r="D13608" s="8"/>
      <c r="E13608" s="6"/>
      <c r="F13608" s="6"/>
    </row>
    <row r="13609" spans="1:6" x14ac:dyDescent="0.3">
      <c r="A13609" s="8" t="s">
        <v>27174</v>
      </c>
      <c r="B13609" s="8" t="s">
        <v>67204</v>
      </c>
      <c r="C13609" s="8" t="s">
        <v>27175</v>
      </c>
      <c r="D13609" s="8"/>
      <c r="E13609" s="6"/>
      <c r="F13609" s="6"/>
    </row>
    <row r="13610" spans="1:6" x14ac:dyDescent="0.3">
      <c r="A13610" s="8" t="s">
        <v>27176</v>
      </c>
      <c r="B13610" s="8" t="s">
        <v>67205</v>
      </c>
      <c r="C13610" s="8" t="s">
        <v>27177</v>
      </c>
      <c r="D13610" s="8"/>
      <c r="E13610" s="6"/>
      <c r="F13610" s="6"/>
    </row>
    <row r="13611" spans="1:6" x14ac:dyDescent="0.3">
      <c r="A13611" s="8" t="s">
        <v>27178</v>
      </c>
      <c r="B13611" s="8" t="s">
        <v>67206</v>
      </c>
      <c r="C13611" s="8" t="s">
        <v>27179</v>
      </c>
      <c r="D13611" s="8"/>
      <c r="E13611" s="6"/>
      <c r="F13611" s="6"/>
    </row>
    <row r="13612" spans="1:6" x14ac:dyDescent="0.3">
      <c r="A13612" s="8" t="s">
        <v>27180</v>
      </c>
      <c r="B13612" s="8" t="s">
        <v>67207</v>
      </c>
      <c r="C13612" s="8" t="s">
        <v>27181</v>
      </c>
      <c r="D13612" s="8"/>
      <c r="E13612" s="6"/>
      <c r="F13612" s="6"/>
    </row>
    <row r="13613" spans="1:6" x14ac:dyDescent="0.3">
      <c r="A13613" s="8" t="s">
        <v>27182</v>
      </c>
      <c r="B13613" s="8" t="s">
        <v>67208</v>
      </c>
      <c r="C13613" s="8" t="s">
        <v>27183</v>
      </c>
      <c r="D13613" s="8"/>
      <c r="E13613" s="6"/>
      <c r="F13613" s="6"/>
    </row>
    <row r="13614" spans="1:6" x14ac:dyDescent="0.3">
      <c r="A13614" s="8" t="s">
        <v>27184</v>
      </c>
      <c r="B13614" s="8" t="s">
        <v>67209</v>
      </c>
      <c r="C13614" s="8" t="s">
        <v>27185</v>
      </c>
      <c r="D13614" s="8"/>
      <c r="E13614" s="6"/>
      <c r="F13614" s="6"/>
    </row>
    <row r="13615" spans="1:6" x14ac:dyDescent="0.3">
      <c r="A13615" s="8" t="s">
        <v>27186</v>
      </c>
      <c r="B13615" s="8" t="s">
        <v>67210</v>
      </c>
      <c r="C13615" s="8" t="s">
        <v>27187</v>
      </c>
      <c r="D13615" s="8"/>
      <c r="E13615" s="6"/>
      <c r="F13615" s="6"/>
    </row>
    <row r="13616" spans="1:6" x14ac:dyDescent="0.3">
      <c r="A13616" s="8" t="s">
        <v>27188</v>
      </c>
      <c r="B13616" s="8" t="s">
        <v>67211</v>
      </c>
      <c r="C13616" s="8" t="s">
        <v>27189</v>
      </c>
      <c r="D13616" s="8"/>
      <c r="E13616" s="6"/>
      <c r="F13616" s="6"/>
    </row>
    <row r="13617" spans="1:6" x14ac:dyDescent="0.3">
      <c r="A13617" s="8" t="s">
        <v>27190</v>
      </c>
      <c r="B13617" s="8" t="s">
        <v>67212</v>
      </c>
      <c r="C13617" s="8" t="s">
        <v>27191</v>
      </c>
      <c r="D13617" s="8"/>
      <c r="E13617" s="6"/>
      <c r="F13617" s="6"/>
    </row>
    <row r="13618" spans="1:6" x14ac:dyDescent="0.3">
      <c r="A13618" s="8" t="s">
        <v>27192</v>
      </c>
      <c r="B13618" s="8" t="s">
        <v>67213</v>
      </c>
      <c r="C13618" s="8" t="s">
        <v>27193</v>
      </c>
      <c r="D13618" s="8"/>
      <c r="E13618" s="6"/>
      <c r="F13618" s="6"/>
    </row>
    <row r="13619" spans="1:6" x14ac:dyDescent="0.3">
      <c r="A13619" s="8" t="s">
        <v>27194</v>
      </c>
      <c r="B13619" s="8" t="s">
        <v>67214</v>
      </c>
      <c r="C13619" s="8" t="s">
        <v>27195</v>
      </c>
      <c r="D13619" s="8"/>
      <c r="E13619" s="6"/>
      <c r="F13619" s="6"/>
    </row>
    <row r="13620" spans="1:6" x14ac:dyDescent="0.3">
      <c r="A13620" s="8" t="s">
        <v>27196</v>
      </c>
      <c r="B13620" s="8" t="s">
        <v>67215</v>
      </c>
      <c r="C13620" s="8" t="s">
        <v>27197</v>
      </c>
      <c r="D13620" s="8"/>
      <c r="E13620" s="6"/>
      <c r="F13620" s="6"/>
    </row>
    <row r="13621" spans="1:6" x14ac:dyDescent="0.3">
      <c r="A13621" s="8" t="s">
        <v>27198</v>
      </c>
      <c r="B13621" s="8" t="s">
        <v>67216</v>
      </c>
      <c r="C13621" s="8" t="s">
        <v>27199</v>
      </c>
      <c r="D13621" s="8"/>
      <c r="E13621" s="6"/>
      <c r="F13621" s="6"/>
    </row>
    <row r="13622" spans="1:6" x14ac:dyDescent="0.3">
      <c r="A13622" s="8" t="s">
        <v>27200</v>
      </c>
      <c r="B13622" s="8" t="s">
        <v>67217</v>
      </c>
      <c r="C13622" s="8" t="s">
        <v>27201</v>
      </c>
      <c r="D13622" s="8"/>
      <c r="E13622" s="6"/>
      <c r="F13622" s="6"/>
    </row>
    <row r="13623" spans="1:6" x14ac:dyDescent="0.3">
      <c r="A13623" s="8" t="s">
        <v>27202</v>
      </c>
      <c r="B13623" s="8" t="s">
        <v>67218</v>
      </c>
      <c r="C13623" s="8" t="s">
        <v>27203</v>
      </c>
      <c r="D13623" s="8"/>
      <c r="E13623" s="6"/>
      <c r="F13623" s="6"/>
    </row>
    <row r="13624" spans="1:6" x14ac:dyDescent="0.3">
      <c r="A13624" s="8" t="s">
        <v>27204</v>
      </c>
      <c r="B13624" s="8" t="s">
        <v>67219</v>
      </c>
      <c r="C13624" s="8" t="s">
        <v>27205</v>
      </c>
      <c r="D13624" s="8"/>
      <c r="E13624" s="6"/>
      <c r="F13624" s="6"/>
    </row>
    <row r="13625" spans="1:6" x14ac:dyDescent="0.3">
      <c r="A13625" s="8" t="s">
        <v>27206</v>
      </c>
      <c r="B13625" s="8" t="s">
        <v>67220</v>
      </c>
      <c r="C13625" s="8" t="s">
        <v>27207</v>
      </c>
      <c r="D13625" s="8"/>
      <c r="E13625" s="6"/>
      <c r="F13625" s="6"/>
    </row>
    <row r="13626" spans="1:6" x14ac:dyDescent="0.3">
      <c r="A13626" s="8" t="s">
        <v>27208</v>
      </c>
      <c r="B13626" s="8" t="s">
        <v>67221</v>
      </c>
      <c r="C13626" s="8" t="s">
        <v>27209</v>
      </c>
      <c r="D13626" s="8"/>
      <c r="E13626" s="6"/>
      <c r="F13626" s="6"/>
    </row>
    <row r="13627" spans="1:6" x14ac:dyDescent="0.3">
      <c r="A13627" s="8" t="s">
        <v>27210</v>
      </c>
      <c r="B13627" s="8" t="s">
        <v>67222</v>
      </c>
      <c r="C13627" s="8" t="s">
        <v>27211</v>
      </c>
      <c r="D13627" s="8"/>
      <c r="E13627" s="6"/>
      <c r="F13627" s="6"/>
    </row>
    <row r="13628" spans="1:6" x14ac:dyDescent="0.3">
      <c r="A13628" s="8" t="s">
        <v>27212</v>
      </c>
      <c r="B13628" s="8" t="s">
        <v>67223</v>
      </c>
      <c r="C13628" s="8" t="s">
        <v>27213</v>
      </c>
      <c r="D13628" s="8"/>
      <c r="E13628" s="6"/>
      <c r="F13628" s="6"/>
    </row>
    <row r="13629" spans="1:6" x14ac:dyDescent="0.3">
      <c r="A13629" s="8" t="s">
        <v>27214</v>
      </c>
      <c r="B13629" s="8" t="s">
        <v>67224</v>
      </c>
      <c r="C13629" s="8" t="s">
        <v>27215</v>
      </c>
      <c r="D13629" s="8"/>
      <c r="E13629" s="6"/>
      <c r="F13629" s="6"/>
    </row>
    <row r="13630" spans="1:6" x14ac:dyDescent="0.3">
      <c r="A13630" s="8" t="s">
        <v>27216</v>
      </c>
      <c r="B13630" s="8" t="s">
        <v>67225</v>
      </c>
      <c r="C13630" s="8" t="s">
        <v>27217</v>
      </c>
      <c r="D13630" s="8"/>
      <c r="E13630" s="6"/>
      <c r="F13630" s="6"/>
    </row>
    <row r="13631" spans="1:6" x14ac:dyDescent="0.3">
      <c r="A13631" s="8" t="s">
        <v>27218</v>
      </c>
      <c r="B13631" s="8" t="s">
        <v>67226</v>
      </c>
      <c r="C13631" s="8" t="s">
        <v>27219</v>
      </c>
      <c r="D13631" s="8"/>
      <c r="E13631" s="6"/>
      <c r="F13631" s="6"/>
    </row>
    <row r="13632" spans="1:6" x14ac:dyDescent="0.3">
      <c r="A13632" s="8" t="s">
        <v>27220</v>
      </c>
      <c r="B13632" s="8" t="s">
        <v>67227</v>
      </c>
      <c r="C13632" s="8" t="s">
        <v>27221</v>
      </c>
      <c r="D13632" s="8"/>
      <c r="E13632" s="6"/>
      <c r="F13632" s="6"/>
    </row>
    <row r="13633" spans="1:6" x14ac:dyDescent="0.3">
      <c r="A13633" s="8" t="s">
        <v>27222</v>
      </c>
      <c r="B13633" s="8" t="s">
        <v>67228</v>
      </c>
      <c r="C13633" s="8" t="s">
        <v>27223</v>
      </c>
      <c r="D13633" s="8"/>
      <c r="E13633" s="6"/>
      <c r="F13633" s="6"/>
    </row>
  </sheetData>
  <mergeCells count="11">
    <mergeCell ref="A5:D5"/>
    <mergeCell ref="A13:D13"/>
    <mergeCell ref="A14:D14"/>
    <mergeCell ref="A15:D15"/>
    <mergeCell ref="A16:D16"/>
    <mergeCell ref="A7:D7"/>
    <mergeCell ref="A8:D8"/>
    <mergeCell ref="A9:D9"/>
    <mergeCell ref="A10:D10"/>
    <mergeCell ref="A11:D11"/>
    <mergeCell ref="A12:D12"/>
  </mergeCells>
  <pageMargins left="0.7" right="0.7" top="0.75" bottom="0.75" header="0.3" footer="0.3"/>
  <pageSetup scale="6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A2B74-012B-41CC-B18F-507C4BE77322}">
  <dimension ref="A1:U13620"/>
  <sheetViews>
    <sheetView workbookViewId="0">
      <selection sqref="A1:XFD1048576"/>
    </sheetView>
  </sheetViews>
  <sheetFormatPr defaultRowHeight="14.4" x14ac:dyDescent="0.3"/>
  <cols>
    <col min="1" max="1" width="17.77734375" bestFit="1" customWidth="1"/>
    <col min="2" max="2" width="18.33203125" bestFit="1" customWidth="1"/>
    <col min="3" max="3" width="36.5546875" bestFit="1" customWidth="1"/>
    <col min="4" max="4" width="29.88671875" bestFit="1" customWidth="1"/>
    <col min="6" max="6" width="13.77734375" bestFit="1" customWidth="1"/>
    <col min="7" max="7" width="3.44140625" bestFit="1" customWidth="1"/>
    <col min="9" max="9" width="18.88671875" bestFit="1" customWidth="1"/>
    <col min="10" max="10" width="86.6640625" bestFit="1" customWidth="1"/>
  </cols>
  <sheetData>
    <row r="1" spans="1:21" x14ac:dyDescent="0.3">
      <c r="A1" t="s">
        <v>27224</v>
      </c>
      <c r="B1" t="s">
        <v>27233</v>
      </c>
      <c r="C1" t="s">
        <v>27225</v>
      </c>
      <c r="D1" t="s">
        <v>27226</v>
      </c>
      <c r="E1" t="s">
        <v>27227</v>
      </c>
      <c r="F1" t="s">
        <v>27228</v>
      </c>
      <c r="G1" t="s">
        <v>27229</v>
      </c>
      <c r="H1" t="s">
        <v>27230</v>
      </c>
      <c r="I1" t="s">
        <v>27231</v>
      </c>
      <c r="J1" t="s">
        <v>27232</v>
      </c>
      <c r="L1" t="s">
        <v>27234</v>
      </c>
      <c r="M1" t="s">
        <v>27235</v>
      </c>
      <c r="N1" t="s">
        <v>27236</v>
      </c>
      <c r="O1" t="s">
        <v>27237</v>
      </c>
      <c r="P1" t="s">
        <v>27238</v>
      </c>
      <c r="Q1" t="s">
        <v>27239</v>
      </c>
      <c r="R1" t="s">
        <v>27240</v>
      </c>
      <c r="S1" t="s">
        <v>27241</v>
      </c>
      <c r="T1" t="s">
        <v>27242</v>
      </c>
      <c r="U1" t="s">
        <v>27243</v>
      </c>
    </row>
    <row r="2" spans="1:21" x14ac:dyDescent="0.3">
      <c r="A2" t="str">
        <f>"0611830445100"</f>
        <v>0611830445100</v>
      </c>
      <c r="B2" t="str">
        <f>"LG0011"</f>
        <v>LG0011</v>
      </c>
      <c r="C2" t="s">
        <v>27244</v>
      </c>
      <c r="D2" t="s">
        <v>27245</v>
      </c>
      <c r="E2" t="str">
        <f t="shared" ref="E2:E65" si="0">"001390"</f>
        <v>001390</v>
      </c>
      <c r="F2" t="s">
        <v>27246</v>
      </c>
      <c r="G2" t="s">
        <v>27247</v>
      </c>
      <c r="H2" t="s">
        <v>27248</v>
      </c>
      <c r="I2" t="s">
        <v>27249</v>
      </c>
      <c r="J2" t="s">
        <v>4</v>
      </c>
      <c r="L2" t="s">
        <v>27250</v>
      </c>
      <c r="M2" t="s">
        <v>27251</v>
      </c>
      <c r="N2" t="s">
        <v>27252</v>
      </c>
      <c r="Q2" s="1">
        <v>44538</v>
      </c>
      <c r="R2" t="s">
        <v>27253</v>
      </c>
      <c r="S2" t="s">
        <v>27254</v>
      </c>
      <c r="T2" t="s">
        <v>27255</v>
      </c>
    </row>
    <row r="3" spans="1:21" x14ac:dyDescent="0.3">
      <c r="A3" t="str">
        <f>"0611830446100"</f>
        <v>0611830446100</v>
      </c>
      <c r="B3" t="str">
        <f>"LK1833"</f>
        <v>LK1833</v>
      </c>
      <c r="C3" t="s">
        <v>27256</v>
      </c>
      <c r="D3" t="s">
        <v>27245</v>
      </c>
      <c r="E3" t="str">
        <f t="shared" si="0"/>
        <v>001390</v>
      </c>
      <c r="F3" t="s">
        <v>27246</v>
      </c>
      <c r="G3" t="s">
        <v>27247</v>
      </c>
      <c r="H3" t="s">
        <v>27248</v>
      </c>
      <c r="I3" t="s">
        <v>27257</v>
      </c>
      <c r="J3" t="s">
        <v>6</v>
      </c>
      <c r="L3" t="s">
        <v>27250</v>
      </c>
      <c r="M3" t="s">
        <v>27251</v>
      </c>
      <c r="N3" t="s">
        <v>27252</v>
      </c>
      <c r="Q3" s="1">
        <v>44538</v>
      </c>
      <c r="R3" t="s">
        <v>27253</v>
      </c>
      <c r="S3" t="s">
        <v>27254</v>
      </c>
      <c r="T3" t="s">
        <v>27255</v>
      </c>
    </row>
    <row r="4" spans="1:21" x14ac:dyDescent="0.3">
      <c r="A4" t="str">
        <f>"0611830447100"</f>
        <v>0611830447100</v>
      </c>
      <c r="B4" t="str">
        <f>"LF0240"</f>
        <v>LF0240</v>
      </c>
      <c r="C4" t="s">
        <v>27258</v>
      </c>
      <c r="D4" t="s">
        <v>27245</v>
      </c>
      <c r="E4" t="str">
        <f t="shared" si="0"/>
        <v>001390</v>
      </c>
      <c r="F4" t="s">
        <v>27246</v>
      </c>
      <c r="G4" t="s">
        <v>27247</v>
      </c>
      <c r="H4" t="s">
        <v>27248</v>
      </c>
      <c r="I4" t="s">
        <v>27259</v>
      </c>
      <c r="J4" t="s">
        <v>8</v>
      </c>
      <c r="L4" t="s">
        <v>27250</v>
      </c>
      <c r="M4" t="s">
        <v>27251</v>
      </c>
      <c r="N4" t="s">
        <v>27252</v>
      </c>
      <c r="Q4" s="1">
        <v>44538</v>
      </c>
      <c r="R4" t="s">
        <v>27253</v>
      </c>
      <c r="S4" t="s">
        <v>27254</v>
      </c>
      <c r="T4" t="s">
        <v>27255</v>
      </c>
    </row>
    <row r="5" spans="1:21" x14ac:dyDescent="0.3">
      <c r="A5" t="str">
        <f>"0611830448100"</f>
        <v>0611830448100</v>
      </c>
      <c r="B5" t="str">
        <f>"LK2508"</f>
        <v>LK2508</v>
      </c>
      <c r="C5" t="s">
        <v>27260</v>
      </c>
      <c r="D5" t="s">
        <v>27245</v>
      </c>
      <c r="E5" t="str">
        <f t="shared" si="0"/>
        <v>001390</v>
      </c>
      <c r="F5" t="s">
        <v>27246</v>
      </c>
      <c r="G5" t="s">
        <v>27247</v>
      </c>
      <c r="H5" t="s">
        <v>27248</v>
      </c>
      <c r="I5" t="s">
        <v>27261</v>
      </c>
      <c r="J5" t="s">
        <v>10</v>
      </c>
      <c r="L5" t="s">
        <v>27250</v>
      </c>
      <c r="M5" t="s">
        <v>27251</v>
      </c>
      <c r="N5" t="s">
        <v>27252</v>
      </c>
      <c r="Q5" s="1">
        <v>44538</v>
      </c>
      <c r="R5" t="s">
        <v>27253</v>
      </c>
      <c r="S5" t="s">
        <v>27254</v>
      </c>
      <c r="T5" t="s">
        <v>27255</v>
      </c>
    </row>
    <row r="6" spans="1:21" x14ac:dyDescent="0.3">
      <c r="A6" t="str">
        <f>"0611860398050"</f>
        <v>0611860398050</v>
      </c>
      <c r="B6" t="str">
        <f>"CR3308"</f>
        <v>CR3308</v>
      </c>
      <c r="C6" t="s">
        <v>27262</v>
      </c>
      <c r="D6" t="s">
        <v>27263</v>
      </c>
      <c r="E6" t="str">
        <f t="shared" si="0"/>
        <v>001390</v>
      </c>
      <c r="F6" t="s">
        <v>27246</v>
      </c>
      <c r="G6" t="s">
        <v>27247</v>
      </c>
      <c r="H6" t="s">
        <v>27248</v>
      </c>
      <c r="I6" t="s">
        <v>27264</v>
      </c>
      <c r="J6" t="s">
        <v>12</v>
      </c>
      <c r="L6" t="s">
        <v>27250</v>
      </c>
      <c r="M6" t="s">
        <v>27251</v>
      </c>
      <c r="N6" t="s">
        <v>27252</v>
      </c>
      <c r="Q6" s="1">
        <v>44846</v>
      </c>
      <c r="R6" t="s">
        <v>27253</v>
      </c>
      <c r="S6" t="s">
        <v>27254</v>
      </c>
      <c r="T6" t="s">
        <v>27265</v>
      </c>
    </row>
    <row r="7" spans="1:21" x14ac:dyDescent="0.3">
      <c r="A7" t="str">
        <f>"0611830449025"</f>
        <v>0611830449025</v>
      </c>
      <c r="B7" t="str">
        <f>"MC3093"</f>
        <v>MC3093</v>
      </c>
      <c r="C7" t="s">
        <v>27266</v>
      </c>
      <c r="D7" t="s">
        <v>27267</v>
      </c>
      <c r="E7" t="str">
        <f t="shared" si="0"/>
        <v>001390</v>
      </c>
      <c r="F7" t="s">
        <v>27246</v>
      </c>
      <c r="G7" t="s">
        <v>27247</v>
      </c>
      <c r="H7" t="s">
        <v>27248</v>
      </c>
      <c r="I7" t="s">
        <v>27268</v>
      </c>
      <c r="J7" t="s">
        <v>14</v>
      </c>
      <c r="L7" t="s">
        <v>27250</v>
      </c>
      <c r="M7" t="s">
        <v>27251</v>
      </c>
      <c r="N7" t="s">
        <v>27252</v>
      </c>
      <c r="Q7" s="1">
        <v>44538</v>
      </c>
      <c r="R7" t="s">
        <v>27253</v>
      </c>
      <c r="S7" t="s">
        <v>27254</v>
      </c>
      <c r="T7" t="s">
        <v>27269</v>
      </c>
    </row>
    <row r="8" spans="1:21" x14ac:dyDescent="0.3">
      <c r="A8" t="str">
        <f>"0611860399050"</f>
        <v>0611860399050</v>
      </c>
      <c r="B8" t="str">
        <f>"CR3196"</f>
        <v>CR3196</v>
      </c>
      <c r="C8" t="s">
        <v>27270</v>
      </c>
      <c r="D8" t="s">
        <v>27271</v>
      </c>
      <c r="E8" t="str">
        <f t="shared" si="0"/>
        <v>001390</v>
      </c>
      <c r="F8" t="s">
        <v>27246</v>
      </c>
      <c r="G8" t="s">
        <v>27247</v>
      </c>
      <c r="H8" t="s">
        <v>27248</v>
      </c>
      <c r="I8" t="s">
        <v>27272</v>
      </c>
      <c r="J8" t="s">
        <v>22</v>
      </c>
      <c r="L8" t="s">
        <v>27250</v>
      </c>
      <c r="M8" t="s">
        <v>27251</v>
      </c>
      <c r="N8" t="s">
        <v>27252</v>
      </c>
      <c r="O8">
        <v>150</v>
      </c>
      <c r="Q8" s="1">
        <v>44846</v>
      </c>
      <c r="R8" t="s">
        <v>27253</v>
      </c>
      <c r="S8" t="s">
        <v>27254</v>
      </c>
      <c r="T8" t="s">
        <v>27265</v>
      </c>
    </row>
    <row r="9" spans="1:21" x14ac:dyDescent="0.3">
      <c r="A9" t="str">
        <f>"0611830450100"</f>
        <v>0611830450100</v>
      </c>
      <c r="B9" t="str">
        <f>"MB0250"</f>
        <v>MB0250</v>
      </c>
      <c r="C9" t="s">
        <v>27273</v>
      </c>
      <c r="D9" t="s">
        <v>27274</v>
      </c>
      <c r="E9" t="str">
        <f t="shared" si="0"/>
        <v>001390</v>
      </c>
      <c r="F9" t="s">
        <v>27246</v>
      </c>
      <c r="G9" t="s">
        <v>27247</v>
      </c>
      <c r="H9" t="s">
        <v>27248</v>
      </c>
      <c r="I9" t="s">
        <v>27275</v>
      </c>
      <c r="J9" t="s">
        <v>16</v>
      </c>
      <c r="L9" t="s">
        <v>27250</v>
      </c>
      <c r="M9" t="s">
        <v>27251</v>
      </c>
      <c r="N9" t="s">
        <v>27252</v>
      </c>
      <c r="Q9" s="1">
        <v>44538</v>
      </c>
      <c r="R9" t="s">
        <v>27253</v>
      </c>
      <c r="S9" t="s">
        <v>27254</v>
      </c>
      <c r="T9" t="s">
        <v>27276</v>
      </c>
    </row>
    <row r="10" spans="1:21" x14ac:dyDescent="0.3">
      <c r="A10" t="str">
        <f>"0611830451100"</f>
        <v>0611830451100</v>
      </c>
      <c r="B10" t="str">
        <f>"LG0100"</f>
        <v>LG0100</v>
      </c>
      <c r="C10" t="s">
        <v>27273</v>
      </c>
      <c r="D10" t="s">
        <v>27245</v>
      </c>
      <c r="E10" t="str">
        <f t="shared" si="0"/>
        <v>001390</v>
      </c>
      <c r="F10" t="s">
        <v>27246</v>
      </c>
      <c r="G10" t="s">
        <v>27247</v>
      </c>
      <c r="H10" t="s">
        <v>27248</v>
      </c>
      <c r="I10" t="s">
        <v>27277</v>
      </c>
      <c r="J10" t="s">
        <v>18</v>
      </c>
      <c r="L10" t="s">
        <v>27250</v>
      </c>
      <c r="M10" t="s">
        <v>27251</v>
      </c>
      <c r="N10" t="s">
        <v>27252</v>
      </c>
      <c r="Q10" s="1">
        <v>44538</v>
      </c>
      <c r="R10" t="s">
        <v>27253</v>
      </c>
      <c r="S10" t="s">
        <v>27254</v>
      </c>
      <c r="T10" t="s">
        <v>27255</v>
      </c>
    </row>
    <row r="11" spans="1:21" x14ac:dyDescent="0.3">
      <c r="A11" t="str">
        <f>"0611830452100"</f>
        <v>0611830452100</v>
      </c>
      <c r="B11" t="str">
        <f>"LB0195"</f>
        <v>LB0195</v>
      </c>
      <c r="C11" t="s">
        <v>27278</v>
      </c>
      <c r="D11" t="s">
        <v>27245</v>
      </c>
      <c r="E11" t="str">
        <f t="shared" si="0"/>
        <v>001390</v>
      </c>
      <c r="F11" t="s">
        <v>27246</v>
      </c>
      <c r="G11" t="s">
        <v>27247</v>
      </c>
      <c r="H11" t="s">
        <v>27248</v>
      </c>
      <c r="I11" t="s">
        <v>27279</v>
      </c>
      <c r="J11" t="s">
        <v>20</v>
      </c>
      <c r="L11" t="s">
        <v>27250</v>
      </c>
      <c r="M11" t="s">
        <v>27251</v>
      </c>
      <c r="N11" t="s">
        <v>27252</v>
      </c>
      <c r="Q11" s="1">
        <v>44538</v>
      </c>
      <c r="R11" t="s">
        <v>27253</v>
      </c>
      <c r="S11" t="s">
        <v>27254</v>
      </c>
      <c r="T11" t="s">
        <v>27255</v>
      </c>
    </row>
    <row r="12" spans="1:21" x14ac:dyDescent="0.3">
      <c r="A12" t="str">
        <f>"0611830454025"</f>
        <v>0611830454025</v>
      </c>
      <c r="B12" t="str">
        <f>"MC0825"</f>
        <v>MC0825</v>
      </c>
      <c r="C12" t="s">
        <v>27280</v>
      </c>
      <c r="D12" t="s">
        <v>27267</v>
      </c>
      <c r="E12" t="str">
        <f t="shared" si="0"/>
        <v>001390</v>
      </c>
      <c r="F12" t="s">
        <v>27246</v>
      </c>
      <c r="G12" t="s">
        <v>27247</v>
      </c>
      <c r="H12" t="s">
        <v>27248</v>
      </c>
      <c r="I12" t="s">
        <v>27281</v>
      </c>
      <c r="J12" t="s">
        <v>24</v>
      </c>
      <c r="L12" t="s">
        <v>27250</v>
      </c>
      <c r="M12" t="s">
        <v>27251</v>
      </c>
      <c r="N12" t="s">
        <v>27252</v>
      </c>
      <c r="Q12" s="1">
        <v>44538</v>
      </c>
      <c r="R12" t="s">
        <v>27253</v>
      </c>
      <c r="S12" t="s">
        <v>27254</v>
      </c>
      <c r="T12" t="s">
        <v>27269</v>
      </c>
    </row>
    <row r="13" spans="1:21" x14ac:dyDescent="0.3">
      <c r="A13" t="str">
        <f>"0611830455025"</f>
        <v>0611830455025</v>
      </c>
      <c r="B13" t="str">
        <f>"MC0971"</f>
        <v>MC0971</v>
      </c>
      <c r="C13" t="s">
        <v>27282</v>
      </c>
      <c r="D13" t="s">
        <v>27267</v>
      </c>
      <c r="E13" t="str">
        <f t="shared" si="0"/>
        <v>001390</v>
      </c>
      <c r="F13" t="s">
        <v>27246</v>
      </c>
      <c r="G13" t="s">
        <v>27247</v>
      </c>
      <c r="H13" t="s">
        <v>27248</v>
      </c>
      <c r="I13" t="s">
        <v>27283</v>
      </c>
      <c r="J13" t="s">
        <v>26</v>
      </c>
      <c r="L13" t="s">
        <v>27250</v>
      </c>
      <c r="M13" t="s">
        <v>27251</v>
      </c>
      <c r="N13" t="s">
        <v>27252</v>
      </c>
      <c r="Q13" s="1">
        <v>44538</v>
      </c>
      <c r="R13" t="s">
        <v>27253</v>
      </c>
      <c r="S13" t="s">
        <v>27254</v>
      </c>
      <c r="T13" t="s">
        <v>27269</v>
      </c>
    </row>
    <row r="14" spans="1:21" x14ac:dyDescent="0.3">
      <c r="A14" t="str">
        <f>"0611860400100"</f>
        <v>0611860400100</v>
      </c>
      <c r="B14" t="str">
        <f>"CN5000"</f>
        <v>CN5000</v>
      </c>
      <c r="C14" t="s">
        <v>27284</v>
      </c>
      <c r="D14" t="s">
        <v>27245</v>
      </c>
      <c r="E14" t="str">
        <f t="shared" si="0"/>
        <v>001390</v>
      </c>
      <c r="F14" t="s">
        <v>27246</v>
      </c>
      <c r="G14" t="s">
        <v>27247</v>
      </c>
      <c r="H14" t="s">
        <v>27248</v>
      </c>
      <c r="I14" t="s">
        <v>27285</v>
      </c>
      <c r="J14" t="s">
        <v>28</v>
      </c>
      <c r="L14" t="s">
        <v>27250</v>
      </c>
      <c r="M14" t="s">
        <v>27251</v>
      </c>
      <c r="N14" t="s">
        <v>27252</v>
      </c>
      <c r="Q14" s="1">
        <v>44846</v>
      </c>
      <c r="R14" t="s">
        <v>27253</v>
      </c>
      <c r="S14" t="s">
        <v>27254</v>
      </c>
      <c r="T14" t="s">
        <v>27255</v>
      </c>
    </row>
    <row r="15" spans="1:21" x14ac:dyDescent="0.3">
      <c r="A15" t="str">
        <f>"0611860401050"</f>
        <v>0611860401050</v>
      </c>
      <c r="B15" t="str">
        <f>"CR4148"</f>
        <v>CR4148</v>
      </c>
      <c r="C15" t="s">
        <v>27284</v>
      </c>
      <c r="D15" t="s">
        <v>27286</v>
      </c>
      <c r="E15" t="str">
        <f t="shared" si="0"/>
        <v>001390</v>
      </c>
      <c r="F15" t="s">
        <v>27246</v>
      </c>
      <c r="G15" t="s">
        <v>27247</v>
      </c>
      <c r="H15" t="s">
        <v>27248</v>
      </c>
      <c r="I15" t="s">
        <v>27287</v>
      </c>
      <c r="J15" t="s">
        <v>30</v>
      </c>
      <c r="L15" t="s">
        <v>27250</v>
      </c>
      <c r="M15" t="s">
        <v>27251</v>
      </c>
      <c r="N15" t="s">
        <v>27252</v>
      </c>
      <c r="Q15" s="1">
        <v>44846</v>
      </c>
      <c r="R15" t="s">
        <v>27253</v>
      </c>
      <c r="S15" t="s">
        <v>27254</v>
      </c>
      <c r="T15" t="s">
        <v>27265</v>
      </c>
    </row>
    <row r="16" spans="1:21" x14ac:dyDescent="0.3">
      <c r="A16" t="str">
        <f>"0611830456100"</f>
        <v>0611830456100</v>
      </c>
      <c r="B16" t="str">
        <f>"LH0343"</f>
        <v>LH0343</v>
      </c>
      <c r="C16" t="s">
        <v>27288</v>
      </c>
      <c r="D16" t="s">
        <v>27245</v>
      </c>
      <c r="E16" t="str">
        <f t="shared" si="0"/>
        <v>001390</v>
      </c>
      <c r="F16" t="s">
        <v>27246</v>
      </c>
      <c r="G16" t="s">
        <v>27247</v>
      </c>
      <c r="H16" t="s">
        <v>27248</v>
      </c>
      <c r="I16" t="s">
        <v>27289</v>
      </c>
      <c r="J16" t="s">
        <v>32</v>
      </c>
      <c r="L16" t="s">
        <v>27250</v>
      </c>
      <c r="M16" t="s">
        <v>27251</v>
      </c>
      <c r="N16" t="s">
        <v>27252</v>
      </c>
      <c r="Q16" s="1">
        <v>44538</v>
      </c>
      <c r="R16" t="s">
        <v>27253</v>
      </c>
      <c r="S16" t="s">
        <v>27254</v>
      </c>
      <c r="T16" t="s">
        <v>27255</v>
      </c>
    </row>
    <row r="17" spans="1:20" x14ac:dyDescent="0.3">
      <c r="A17" t="str">
        <f>"0611830457025"</f>
        <v>0611830457025</v>
      </c>
      <c r="B17" t="str">
        <f>"MC0001"</f>
        <v>MC0001</v>
      </c>
      <c r="C17" t="s">
        <v>27290</v>
      </c>
      <c r="D17" t="s">
        <v>27267</v>
      </c>
      <c r="E17" t="str">
        <f t="shared" si="0"/>
        <v>001390</v>
      </c>
      <c r="F17" t="s">
        <v>27246</v>
      </c>
      <c r="G17" t="s">
        <v>27247</v>
      </c>
      <c r="H17" t="s">
        <v>27248</v>
      </c>
      <c r="I17" t="s">
        <v>27291</v>
      </c>
      <c r="J17" t="s">
        <v>34</v>
      </c>
      <c r="L17" t="s">
        <v>27250</v>
      </c>
      <c r="M17" t="s">
        <v>27251</v>
      </c>
      <c r="N17" t="s">
        <v>27252</v>
      </c>
      <c r="Q17" s="1">
        <v>44538</v>
      </c>
      <c r="R17" t="s">
        <v>27253</v>
      </c>
      <c r="S17" t="s">
        <v>27254</v>
      </c>
      <c r="T17" t="s">
        <v>27269</v>
      </c>
    </row>
    <row r="18" spans="1:20" x14ac:dyDescent="0.3">
      <c r="A18" t="str">
        <f>"0611830458025"</f>
        <v>0611830458025</v>
      </c>
      <c r="B18" t="str">
        <f>"MQ3096"</f>
        <v>MQ3096</v>
      </c>
      <c r="C18" t="s">
        <v>27292</v>
      </c>
      <c r="D18" t="s">
        <v>27267</v>
      </c>
      <c r="E18" t="str">
        <f t="shared" si="0"/>
        <v>001390</v>
      </c>
      <c r="F18" t="s">
        <v>27246</v>
      </c>
      <c r="G18" t="s">
        <v>27247</v>
      </c>
      <c r="H18" t="s">
        <v>27248</v>
      </c>
      <c r="I18" t="s">
        <v>27293</v>
      </c>
      <c r="J18" t="s">
        <v>36</v>
      </c>
      <c r="L18" t="s">
        <v>27250</v>
      </c>
      <c r="M18" t="s">
        <v>27251</v>
      </c>
      <c r="N18" t="s">
        <v>27252</v>
      </c>
      <c r="Q18" s="1">
        <v>44538</v>
      </c>
      <c r="R18" t="s">
        <v>27253</v>
      </c>
      <c r="S18" t="s">
        <v>27254</v>
      </c>
      <c r="T18" t="s">
        <v>27269</v>
      </c>
    </row>
    <row r="19" spans="1:20" x14ac:dyDescent="0.3">
      <c r="A19" t="str">
        <f>"0611860402050"</f>
        <v>0611860402050</v>
      </c>
      <c r="B19" t="str">
        <f>"CE0949"</f>
        <v>CE0949</v>
      </c>
      <c r="C19" t="s">
        <v>27292</v>
      </c>
      <c r="D19" t="s">
        <v>27263</v>
      </c>
      <c r="E19" t="str">
        <f t="shared" si="0"/>
        <v>001390</v>
      </c>
      <c r="F19" t="s">
        <v>27246</v>
      </c>
      <c r="G19" t="s">
        <v>27247</v>
      </c>
      <c r="H19" t="s">
        <v>27248</v>
      </c>
      <c r="I19" t="s">
        <v>27294</v>
      </c>
      <c r="J19" t="s">
        <v>38</v>
      </c>
      <c r="L19" t="s">
        <v>27250</v>
      </c>
      <c r="M19" t="s">
        <v>27251</v>
      </c>
      <c r="N19" t="s">
        <v>27252</v>
      </c>
      <c r="Q19" s="1">
        <v>44846</v>
      </c>
      <c r="R19" t="s">
        <v>27253</v>
      </c>
      <c r="S19" t="s">
        <v>27254</v>
      </c>
      <c r="T19" t="s">
        <v>27265</v>
      </c>
    </row>
    <row r="20" spans="1:20" x14ac:dyDescent="0.3">
      <c r="A20" t="str">
        <f>"0611830459025"</f>
        <v>0611830459025</v>
      </c>
      <c r="B20" t="str">
        <f>"MQ3097"</f>
        <v>MQ3097</v>
      </c>
      <c r="C20" t="s">
        <v>27295</v>
      </c>
      <c r="D20" t="s">
        <v>27267</v>
      </c>
      <c r="E20" t="str">
        <f t="shared" si="0"/>
        <v>001390</v>
      </c>
      <c r="F20" t="s">
        <v>27246</v>
      </c>
      <c r="G20" t="s">
        <v>27247</v>
      </c>
      <c r="H20" t="s">
        <v>27248</v>
      </c>
      <c r="I20" t="s">
        <v>27296</v>
      </c>
      <c r="J20" t="s">
        <v>40</v>
      </c>
      <c r="L20" t="s">
        <v>27250</v>
      </c>
      <c r="M20" t="s">
        <v>27251</v>
      </c>
      <c r="N20" t="s">
        <v>27252</v>
      </c>
      <c r="Q20" s="1">
        <v>44538</v>
      </c>
      <c r="R20" t="s">
        <v>27253</v>
      </c>
      <c r="S20" t="s">
        <v>27254</v>
      </c>
      <c r="T20" t="s">
        <v>27269</v>
      </c>
    </row>
    <row r="21" spans="1:20" x14ac:dyDescent="0.3">
      <c r="A21" t="str">
        <f>"0611860403050"</f>
        <v>0611860403050</v>
      </c>
      <c r="B21" t="str">
        <f>"CE0951"</f>
        <v>CE0951</v>
      </c>
      <c r="C21" t="s">
        <v>27295</v>
      </c>
      <c r="D21" t="s">
        <v>27263</v>
      </c>
      <c r="E21" t="str">
        <f t="shared" si="0"/>
        <v>001390</v>
      </c>
      <c r="F21" t="s">
        <v>27246</v>
      </c>
      <c r="G21" t="s">
        <v>27247</v>
      </c>
      <c r="H21" t="s">
        <v>27248</v>
      </c>
      <c r="I21" t="s">
        <v>27297</v>
      </c>
      <c r="J21" t="s">
        <v>42</v>
      </c>
      <c r="L21" t="s">
        <v>27250</v>
      </c>
      <c r="M21" t="s">
        <v>27251</v>
      </c>
      <c r="N21" t="s">
        <v>27252</v>
      </c>
      <c r="Q21" s="1">
        <v>44846</v>
      </c>
      <c r="R21" t="s">
        <v>27253</v>
      </c>
      <c r="S21" t="s">
        <v>27254</v>
      </c>
      <c r="T21" t="s">
        <v>27265</v>
      </c>
    </row>
    <row r="22" spans="1:20" x14ac:dyDescent="0.3">
      <c r="A22" t="str">
        <f>"0611830460025"</f>
        <v>0611830460025</v>
      </c>
      <c r="B22" t="str">
        <f>"MQ3098"</f>
        <v>MQ3098</v>
      </c>
      <c r="C22" t="s">
        <v>27298</v>
      </c>
      <c r="D22" t="s">
        <v>27267</v>
      </c>
      <c r="E22" t="str">
        <f t="shared" si="0"/>
        <v>001390</v>
      </c>
      <c r="F22" t="s">
        <v>27246</v>
      </c>
      <c r="G22" t="s">
        <v>27247</v>
      </c>
      <c r="H22" t="s">
        <v>27248</v>
      </c>
      <c r="I22" t="s">
        <v>27299</v>
      </c>
      <c r="J22" t="s">
        <v>44</v>
      </c>
      <c r="L22" t="s">
        <v>27250</v>
      </c>
      <c r="M22" t="s">
        <v>27251</v>
      </c>
      <c r="N22" t="s">
        <v>27252</v>
      </c>
      <c r="Q22" s="1">
        <v>44538</v>
      </c>
      <c r="R22" t="s">
        <v>27253</v>
      </c>
      <c r="S22" t="s">
        <v>27254</v>
      </c>
      <c r="T22" t="s">
        <v>27269</v>
      </c>
    </row>
    <row r="23" spans="1:20" x14ac:dyDescent="0.3">
      <c r="A23" t="str">
        <f>"0611860404050"</f>
        <v>0611860404050</v>
      </c>
      <c r="B23" t="str">
        <f>"CE0952"</f>
        <v>CE0952</v>
      </c>
      <c r="C23" t="s">
        <v>27298</v>
      </c>
      <c r="D23" t="s">
        <v>27263</v>
      </c>
      <c r="E23" t="str">
        <f t="shared" si="0"/>
        <v>001390</v>
      </c>
      <c r="F23" t="s">
        <v>27246</v>
      </c>
      <c r="G23" t="s">
        <v>27247</v>
      </c>
      <c r="H23" t="s">
        <v>27248</v>
      </c>
      <c r="I23" t="s">
        <v>27300</v>
      </c>
      <c r="J23" t="s">
        <v>46</v>
      </c>
      <c r="L23" t="s">
        <v>27250</v>
      </c>
      <c r="M23" t="s">
        <v>27251</v>
      </c>
      <c r="N23" t="s">
        <v>27252</v>
      </c>
      <c r="Q23" s="1">
        <v>44846</v>
      </c>
      <c r="R23" t="s">
        <v>27253</v>
      </c>
      <c r="S23" t="s">
        <v>27254</v>
      </c>
      <c r="T23" t="s">
        <v>27265</v>
      </c>
    </row>
    <row r="24" spans="1:20" x14ac:dyDescent="0.3">
      <c r="A24" t="str">
        <f>"0611830461025"</f>
        <v>0611830461025</v>
      </c>
      <c r="B24" t="str">
        <f>"MQ3099"</f>
        <v>MQ3099</v>
      </c>
      <c r="C24" t="s">
        <v>27301</v>
      </c>
      <c r="D24" t="s">
        <v>27267</v>
      </c>
      <c r="E24" t="str">
        <f t="shared" si="0"/>
        <v>001390</v>
      </c>
      <c r="F24" t="s">
        <v>27246</v>
      </c>
      <c r="G24" t="s">
        <v>27247</v>
      </c>
      <c r="H24" t="s">
        <v>27248</v>
      </c>
      <c r="I24" t="s">
        <v>27302</v>
      </c>
      <c r="J24" t="s">
        <v>48</v>
      </c>
      <c r="L24" t="s">
        <v>27250</v>
      </c>
      <c r="M24" t="s">
        <v>27251</v>
      </c>
      <c r="N24" t="s">
        <v>27252</v>
      </c>
      <c r="Q24" s="1">
        <v>44538</v>
      </c>
      <c r="R24" t="s">
        <v>27253</v>
      </c>
      <c r="S24" t="s">
        <v>27254</v>
      </c>
      <c r="T24" t="s">
        <v>27269</v>
      </c>
    </row>
    <row r="25" spans="1:20" x14ac:dyDescent="0.3">
      <c r="A25" t="str">
        <f>"0611860405050"</f>
        <v>0611860405050</v>
      </c>
      <c r="B25" t="str">
        <f>"CE0953"</f>
        <v>CE0953</v>
      </c>
      <c r="C25" t="s">
        <v>27301</v>
      </c>
      <c r="D25" t="s">
        <v>27263</v>
      </c>
      <c r="E25" t="str">
        <f t="shared" si="0"/>
        <v>001390</v>
      </c>
      <c r="F25" t="s">
        <v>27246</v>
      </c>
      <c r="G25" t="s">
        <v>27247</v>
      </c>
      <c r="H25" t="s">
        <v>27248</v>
      </c>
      <c r="I25" t="s">
        <v>27303</v>
      </c>
      <c r="J25" t="s">
        <v>50</v>
      </c>
      <c r="L25" t="s">
        <v>27250</v>
      </c>
      <c r="M25" t="s">
        <v>27251</v>
      </c>
      <c r="N25" t="s">
        <v>27252</v>
      </c>
      <c r="Q25" s="1">
        <v>44846</v>
      </c>
      <c r="R25" t="s">
        <v>27253</v>
      </c>
      <c r="S25" t="s">
        <v>27254</v>
      </c>
      <c r="T25" t="s">
        <v>27265</v>
      </c>
    </row>
    <row r="26" spans="1:20" x14ac:dyDescent="0.3">
      <c r="A26" t="str">
        <f>"0611830462025"</f>
        <v>0611830462025</v>
      </c>
      <c r="B26" t="str">
        <f>"MC3332"</f>
        <v>MC3332</v>
      </c>
      <c r="C26" t="s">
        <v>27304</v>
      </c>
      <c r="D26" t="s">
        <v>27267</v>
      </c>
      <c r="E26" t="str">
        <f t="shared" si="0"/>
        <v>001390</v>
      </c>
      <c r="F26" t="s">
        <v>27246</v>
      </c>
      <c r="G26" t="s">
        <v>27247</v>
      </c>
      <c r="H26" t="s">
        <v>27248</v>
      </c>
      <c r="I26" t="s">
        <v>27305</v>
      </c>
      <c r="J26" t="s">
        <v>52</v>
      </c>
      <c r="L26" t="s">
        <v>27250</v>
      </c>
      <c r="M26" t="s">
        <v>27251</v>
      </c>
      <c r="N26" t="s">
        <v>27252</v>
      </c>
      <c r="Q26" s="1">
        <v>44538</v>
      </c>
      <c r="R26" t="s">
        <v>27253</v>
      </c>
      <c r="S26" t="s">
        <v>27254</v>
      </c>
      <c r="T26" t="s">
        <v>27269</v>
      </c>
    </row>
    <row r="27" spans="1:20" x14ac:dyDescent="0.3">
      <c r="A27" t="str">
        <f>"0611860406050"</f>
        <v>0611860406050</v>
      </c>
      <c r="B27" t="str">
        <f>"CR4150"</f>
        <v>CR4150</v>
      </c>
      <c r="C27" t="s">
        <v>27306</v>
      </c>
      <c r="D27" t="s">
        <v>27263</v>
      </c>
      <c r="E27" t="str">
        <f t="shared" si="0"/>
        <v>001390</v>
      </c>
      <c r="F27" t="s">
        <v>27246</v>
      </c>
      <c r="G27" t="s">
        <v>27247</v>
      </c>
      <c r="H27" t="s">
        <v>27248</v>
      </c>
      <c r="I27" t="s">
        <v>27307</v>
      </c>
      <c r="J27" t="s">
        <v>54</v>
      </c>
      <c r="L27" t="s">
        <v>27250</v>
      </c>
      <c r="M27" t="s">
        <v>27251</v>
      </c>
      <c r="N27" t="s">
        <v>27252</v>
      </c>
      <c r="Q27" s="1">
        <v>44846</v>
      </c>
      <c r="R27" t="s">
        <v>27253</v>
      </c>
      <c r="S27" t="s">
        <v>27254</v>
      </c>
      <c r="T27" t="s">
        <v>27265</v>
      </c>
    </row>
    <row r="28" spans="1:20" x14ac:dyDescent="0.3">
      <c r="A28" t="str">
        <f>"0611830463025"</f>
        <v>0611830463025</v>
      </c>
      <c r="B28" t="str">
        <f>"MC4399"</f>
        <v>MC4399</v>
      </c>
      <c r="C28" t="s">
        <v>27308</v>
      </c>
      <c r="D28" t="s">
        <v>27267</v>
      </c>
      <c r="E28" t="str">
        <f t="shared" si="0"/>
        <v>001390</v>
      </c>
      <c r="F28" t="s">
        <v>27246</v>
      </c>
      <c r="G28" t="s">
        <v>27247</v>
      </c>
      <c r="H28" t="s">
        <v>27248</v>
      </c>
      <c r="I28" t="s">
        <v>27309</v>
      </c>
      <c r="J28" t="s">
        <v>56</v>
      </c>
      <c r="L28" t="s">
        <v>27250</v>
      </c>
      <c r="M28" t="s">
        <v>27251</v>
      </c>
      <c r="N28" t="s">
        <v>27252</v>
      </c>
      <c r="Q28" s="1">
        <v>44538</v>
      </c>
      <c r="R28" t="s">
        <v>27253</v>
      </c>
      <c r="S28" t="s">
        <v>27254</v>
      </c>
      <c r="T28" t="s">
        <v>27269</v>
      </c>
    </row>
    <row r="29" spans="1:20" x14ac:dyDescent="0.3">
      <c r="A29" t="str">
        <f>"0611830464025"</f>
        <v>0611830464025</v>
      </c>
      <c r="B29" t="str">
        <f>"MQ7246"</f>
        <v>MQ7246</v>
      </c>
      <c r="C29" t="s">
        <v>27310</v>
      </c>
      <c r="D29" t="s">
        <v>27267</v>
      </c>
      <c r="E29" t="str">
        <f t="shared" si="0"/>
        <v>001390</v>
      </c>
      <c r="F29" t="s">
        <v>27246</v>
      </c>
      <c r="G29" t="s">
        <v>27247</v>
      </c>
      <c r="H29" t="s">
        <v>27248</v>
      </c>
      <c r="I29" t="s">
        <v>27311</v>
      </c>
      <c r="J29" t="s">
        <v>58</v>
      </c>
      <c r="L29" t="s">
        <v>27250</v>
      </c>
      <c r="M29" t="s">
        <v>27251</v>
      </c>
      <c r="N29" t="s">
        <v>27252</v>
      </c>
      <c r="Q29" s="1">
        <v>44538</v>
      </c>
      <c r="R29" t="s">
        <v>27253</v>
      </c>
      <c r="S29" t="s">
        <v>27254</v>
      </c>
      <c r="T29" t="s">
        <v>27269</v>
      </c>
    </row>
    <row r="30" spans="1:20" x14ac:dyDescent="0.3">
      <c r="A30" t="str">
        <f>"0611830465025"</f>
        <v>0611830465025</v>
      </c>
      <c r="B30" t="str">
        <f>"MQ7247"</f>
        <v>MQ7247</v>
      </c>
      <c r="C30" t="s">
        <v>27312</v>
      </c>
      <c r="D30" t="s">
        <v>27267</v>
      </c>
      <c r="E30" t="str">
        <f t="shared" si="0"/>
        <v>001390</v>
      </c>
      <c r="F30" t="s">
        <v>27246</v>
      </c>
      <c r="G30" t="s">
        <v>27247</v>
      </c>
      <c r="H30" t="s">
        <v>27248</v>
      </c>
      <c r="I30" t="s">
        <v>27313</v>
      </c>
      <c r="J30" t="s">
        <v>60</v>
      </c>
      <c r="L30" t="s">
        <v>27250</v>
      </c>
      <c r="M30" t="s">
        <v>27251</v>
      </c>
      <c r="N30" t="s">
        <v>27252</v>
      </c>
      <c r="Q30" s="1">
        <v>44538</v>
      </c>
      <c r="R30" t="s">
        <v>27253</v>
      </c>
      <c r="S30" t="s">
        <v>27254</v>
      </c>
      <c r="T30" t="s">
        <v>27269</v>
      </c>
    </row>
    <row r="31" spans="1:20" x14ac:dyDescent="0.3">
      <c r="A31" t="str">
        <f>"0611856806025"</f>
        <v>0611856806025</v>
      </c>
      <c r="B31" t="str">
        <f>"MQ0813"</f>
        <v>MQ0813</v>
      </c>
      <c r="C31" t="s">
        <v>27314</v>
      </c>
      <c r="D31" t="s">
        <v>27267</v>
      </c>
      <c r="E31" t="str">
        <f t="shared" si="0"/>
        <v>001390</v>
      </c>
      <c r="F31" t="s">
        <v>27246</v>
      </c>
      <c r="G31" t="s">
        <v>27247</v>
      </c>
      <c r="H31" t="s">
        <v>27248</v>
      </c>
      <c r="I31" t="s">
        <v>27315</v>
      </c>
      <c r="J31" t="s">
        <v>64</v>
      </c>
      <c r="L31" t="s">
        <v>27250</v>
      </c>
      <c r="M31" t="s">
        <v>27251</v>
      </c>
      <c r="N31" t="s">
        <v>27252</v>
      </c>
      <c r="Q31" s="1">
        <v>44812</v>
      </c>
      <c r="R31" t="s">
        <v>27253</v>
      </c>
      <c r="S31" t="s">
        <v>27254</v>
      </c>
      <c r="T31" t="s">
        <v>27269</v>
      </c>
    </row>
    <row r="32" spans="1:20" x14ac:dyDescent="0.3">
      <c r="A32" t="str">
        <f>"0611830466025"</f>
        <v>0611830466025</v>
      </c>
      <c r="B32" t="str">
        <f>"MQ0634"</f>
        <v>MQ0634</v>
      </c>
      <c r="C32" t="s">
        <v>27316</v>
      </c>
      <c r="D32" t="s">
        <v>27267</v>
      </c>
      <c r="E32" t="str">
        <f t="shared" si="0"/>
        <v>001390</v>
      </c>
      <c r="F32" t="s">
        <v>27246</v>
      </c>
      <c r="G32" t="s">
        <v>27247</v>
      </c>
      <c r="H32" t="s">
        <v>27248</v>
      </c>
      <c r="I32" t="s">
        <v>27317</v>
      </c>
      <c r="J32" t="s">
        <v>62</v>
      </c>
      <c r="L32" t="s">
        <v>27250</v>
      </c>
      <c r="M32" t="s">
        <v>27251</v>
      </c>
      <c r="N32" t="s">
        <v>27252</v>
      </c>
      <c r="Q32" s="1">
        <v>44538</v>
      </c>
      <c r="R32" t="s">
        <v>27253</v>
      </c>
      <c r="S32" t="s">
        <v>27254</v>
      </c>
      <c r="T32" t="s">
        <v>27269</v>
      </c>
    </row>
    <row r="33" spans="1:20" x14ac:dyDescent="0.3">
      <c r="A33" t="str">
        <f>"0611830467025"</f>
        <v>0611830467025</v>
      </c>
      <c r="B33" t="str">
        <f>"MQ3109"</f>
        <v>MQ3109</v>
      </c>
      <c r="C33" t="s">
        <v>27318</v>
      </c>
      <c r="D33" t="s">
        <v>27267</v>
      </c>
      <c r="E33" t="str">
        <f t="shared" si="0"/>
        <v>001390</v>
      </c>
      <c r="F33" t="s">
        <v>27246</v>
      </c>
      <c r="G33" t="s">
        <v>27247</v>
      </c>
      <c r="H33" t="s">
        <v>27248</v>
      </c>
      <c r="I33" t="s">
        <v>27319</v>
      </c>
      <c r="J33" t="s">
        <v>66</v>
      </c>
      <c r="L33" t="s">
        <v>27250</v>
      </c>
      <c r="M33" t="s">
        <v>27251</v>
      </c>
      <c r="N33" t="s">
        <v>27252</v>
      </c>
      <c r="Q33" s="1">
        <v>44538</v>
      </c>
      <c r="R33" t="s">
        <v>27253</v>
      </c>
      <c r="S33" t="s">
        <v>27254</v>
      </c>
      <c r="T33" t="s">
        <v>27269</v>
      </c>
    </row>
    <row r="34" spans="1:20" x14ac:dyDescent="0.3">
      <c r="A34" t="str">
        <f>"0611830468025"</f>
        <v>0611830468025</v>
      </c>
      <c r="B34" t="str">
        <f>"MC0002"</f>
        <v>MC0002</v>
      </c>
      <c r="C34" t="s">
        <v>27320</v>
      </c>
      <c r="D34" t="s">
        <v>27267</v>
      </c>
      <c r="E34" t="str">
        <f t="shared" si="0"/>
        <v>001390</v>
      </c>
      <c r="F34" t="s">
        <v>27246</v>
      </c>
      <c r="G34" t="s">
        <v>27247</v>
      </c>
      <c r="H34" t="s">
        <v>27248</v>
      </c>
      <c r="I34" t="s">
        <v>27321</v>
      </c>
      <c r="J34" t="s">
        <v>68</v>
      </c>
      <c r="L34" t="s">
        <v>27250</v>
      </c>
      <c r="M34" t="s">
        <v>27251</v>
      </c>
      <c r="N34" t="s">
        <v>27252</v>
      </c>
      <c r="Q34" s="1">
        <v>44538</v>
      </c>
      <c r="R34" t="s">
        <v>27253</v>
      </c>
      <c r="S34" t="s">
        <v>27254</v>
      </c>
      <c r="T34" t="s">
        <v>27269</v>
      </c>
    </row>
    <row r="35" spans="1:20" x14ac:dyDescent="0.3">
      <c r="A35" t="str">
        <f>"0611860407050"</f>
        <v>0611860407050</v>
      </c>
      <c r="B35" t="str">
        <f>"CR4144"</f>
        <v>CR4144</v>
      </c>
      <c r="C35" t="s">
        <v>27320</v>
      </c>
      <c r="D35" t="s">
        <v>27271</v>
      </c>
      <c r="E35" t="str">
        <f t="shared" si="0"/>
        <v>001390</v>
      </c>
      <c r="F35" t="s">
        <v>27246</v>
      </c>
      <c r="G35" t="s">
        <v>27247</v>
      </c>
      <c r="H35" t="s">
        <v>27248</v>
      </c>
      <c r="I35" t="s">
        <v>27322</v>
      </c>
      <c r="J35" t="s">
        <v>70</v>
      </c>
      <c r="L35" t="s">
        <v>27250</v>
      </c>
      <c r="M35" t="s">
        <v>27251</v>
      </c>
      <c r="N35" t="s">
        <v>27252</v>
      </c>
      <c r="Q35" s="1">
        <v>44846</v>
      </c>
      <c r="R35" t="s">
        <v>27253</v>
      </c>
      <c r="S35" t="s">
        <v>27254</v>
      </c>
      <c r="T35" t="s">
        <v>27265</v>
      </c>
    </row>
    <row r="36" spans="1:20" x14ac:dyDescent="0.3">
      <c r="A36" t="str">
        <f>"0611830482025"</f>
        <v>0611830482025</v>
      </c>
      <c r="B36" t="str">
        <f>"MQ3110"</f>
        <v>MQ3110</v>
      </c>
      <c r="C36" t="s">
        <v>27323</v>
      </c>
      <c r="D36" t="s">
        <v>27267</v>
      </c>
      <c r="E36" t="str">
        <f t="shared" si="0"/>
        <v>001390</v>
      </c>
      <c r="F36" t="s">
        <v>27246</v>
      </c>
      <c r="G36" t="s">
        <v>27247</v>
      </c>
      <c r="H36" t="s">
        <v>27248</v>
      </c>
      <c r="I36" t="s">
        <v>27324</v>
      </c>
      <c r="J36" t="s">
        <v>72</v>
      </c>
      <c r="L36" t="s">
        <v>27250</v>
      </c>
      <c r="M36" t="s">
        <v>27251</v>
      </c>
      <c r="N36" t="s">
        <v>27252</v>
      </c>
      <c r="Q36" s="1">
        <v>44538</v>
      </c>
      <c r="R36" t="s">
        <v>27253</v>
      </c>
      <c r="S36" t="s">
        <v>27254</v>
      </c>
      <c r="T36" t="s">
        <v>27269</v>
      </c>
    </row>
    <row r="37" spans="1:20" x14ac:dyDescent="0.3">
      <c r="A37" t="str">
        <f>"0611860408050"</f>
        <v>0611860408050</v>
      </c>
      <c r="B37" t="str">
        <f>"CR4145"</f>
        <v>CR4145</v>
      </c>
      <c r="C37" t="s">
        <v>27323</v>
      </c>
      <c r="D37" t="s">
        <v>27263</v>
      </c>
      <c r="E37" t="str">
        <f t="shared" si="0"/>
        <v>001390</v>
      </c>
      <c r="F37" t="s">
        <v>27246</v>
      </c>
      <c r="G37" t="s">
        <v>27247</v>
      </c>
      <c r="H37" t="s">
        <v>27248</v>
      </c>
      <c r="I37" t="s">
        <v>27325</v>
      </c>
      <c r="J37" t="s">
        <v>74</v>
      </c>
      <c r="L37" t="s">
        <v>27250</v>
      </c>
      <c r="M37" t="s">
        <v>27251</v>
      </c>
      <c r="N37" t="s">
        <v>27252</v>
      </c>
      <c r="Q37" s="1">
        <v>44846</v>
      </c>
      <c r="R37" t="s">
        <v>27253</v>
      </c>
      <c r="S37" t="s">
        <v>27254</v>
      </c>
      <c r="T37" t="s">
        <v>27265</v>
      </c>
    </row>
    <row r="38" spans="1:20" x14ac:dyDescent="0.3">
      <c r="A38" t="str">
        <f>"0611830483025"</f>
        <v>0611830483025</v>
      </c>
      <c r="B38" t="str">
        <f>"MQ3111"</f>
        <v>MQ3111</v>
      </c>
      <c r="C38" t="s">
        <v>27326</v>
      </c>
      <c r="D38" t="s">
        <v>27267</v>
      </c>
      <c r="E38" t="str">
        <f t="shared" si="0"/>
        <v>001390</v>
      </c>
      <c r="F38" t="s">
        <v>27246</v>
      </c>
      <c r="G38" t="s">
        <v>27247</v>
      </c>
      <c r="H38" t="s">
        <v>27248</v>
      </c>
      <c r="I38" t="s">
        <v>27327</v>
      </c>
      <c r="J38" t="s">
        <v>76</v>
      </c>
      <c r="L38" t="s">
        <v>27250</v>
      </c>
      <c r="M38" t="s">
        <v>27251</v>
      </c>
      <c r="N38" t="s">
        <v>27252</v>
      </c>
      <c r="Q38" s="1">
        <v>44538</v>
      </c>
      <c r="R38" t="s">
        <v>27253</v>
      </c>
      <c r="S38" t="s">
        <v>27254</v>
      </c>
      <c r="T38" t="s">
        <v>27269</v>
      </c>
    </row>
    <row r="39" spans="1:20" x14ac:dyDescent="0.3">
      <c r="A39" t="str">
        <f>"0611830484025"</f>
        <v>0611830484025</v>
      </c>
      <c r="B39" t="str">
        <f>"MQ3112"</f>
        <v>MQ3112</v>
      </c>
      <c r="C39" t="s">
        <v>27328</v>
      </c>
      <c r="D39" t="s">
        <v>27267</v>
      </c>
      <c r="E39" t="str">
        <f t="shared" si="0"/>
        <v>001390</v>
      </c>
      <c r="F39" t="s">
        <v>27246</v>
      </c>
      <c r="G39" t="s">
        <v>27247</v>
      </c>
      <c r="H39" t="s">
        <v>27248</v>
      </c>
      <c r="I39" t="s">
        <v>27329</v>
      </c>
      <c r="J39" t="s">
        <v>78</v>
      </c>
      <c r="L39" t="s">
        <v>27250</v>
      </c>
      <c r="M39" t="s">
        <v>27251</v>
      </c>
      <c r="N39" t="s">
        <v>27252</v>
      </c>
      <c r="Q39" s="1">
        <v>44538</v>
      </c>
      <c r="R39" t="s">
        <v>27253</v>
      </c>
      <c r="S39" t="s">
        <v>27254</v>
      </c>
      <c r="T39" t="s">
        <v>27269</v>
      </c>
    </row>
    <row r="40" spans="1:20" x14ac:dyDescent="0.3">
      <c r="A40" t="str">
        <f>"0611860409050"</f>
        <v>0611860409050</v>
      </c>
      <c r="B40" t="str">
        <f>"CR4146"</f>
        <v>CR4146</v>
      </c>
      <c r="C40" t="s">
        <v>27328</v>
      </c>
      <c r="D40" t="s">
        <v>27263</v>
      </c>
      <c r="E40" t="str">
        <f t="shared" si="0"/>
        <v>001390</v>
      </c>
      <c r="F40" t="s">
        <v>27246</v>
      </c>
      <c r="G40" t="s">
        <v>27247</v>
      </c>
      <c r="H40" t="s">
        <v>27248</v>
      </c>
      <c r="I40" t="s">
        <v>27330</v>
      </c>
      <c r="J40" t="s">
        <v>80</v>
      </c>
      <c r="L40" t="s">
        <v>27250</v>
      </c>
      <c r="M40" t="s">
        <v>27251</v>
      </c>
      <c r="N40" t="s">
        <v>27252</v>
      </c>
      <c r="Q40" s="1">
        <v>44846</v>
      </c>
      <c r="R40" t="s">
        <v>27253</v>
      </c>
      <c r="S40" t="s">
        <v>27254</v>
      </c>
      <c r="T40" t="s">
        <v>27265</v>
      </c>
    </row>
    <row r="41" spans="1:20" x14ac:dyDescent="0.3">
      <c r="A41" t="str">
        <f>"0611830485025"</f>
        <v>0611830485025</v>
      </c>
      <c r="B41" t="str">
        <f>"MQ3113"</f>
        <v>MQ3113</v>
      </c>
      <c r="C41" t="s">
        <v>27331</v>
      </c>
      <c r="D41" t="s">
        <v>27267</v>
      </c>
      <c r="E41" t="str">
        <f t="shared" si="0"/>
        <v>001390</v>
      </c>
      <c r="F41" t="s">
        <v>27246</v>
      </c>
      <c r="G41" t="s">
        <v>27247</v>
      </c>
      <c r="H41" t="s">
        <v>27248</v>
      </c>
      <c r="I41" t="s">
        <v>27332</v>
      </c>
      <c r="J41" t="s">
        <v>82</v>
      </c>
      <c r="L41" t="s">
        <v>27250</v>
      </c>
      <c r="M41" t="s">
        <v>27251</v>
      </c>
      <c r="N41" t="s">
        <v>27252</v>
      </c>
      <c r="Q41" s="1">
        <v>44538</v>
      </c>
      <c r="R41" t="s">
        <v>27253</v>
      </c>
      <c r="S41" t="s">
        <v>27254</v>
      </c>
      <c r="T41" t="s">
        <v>27269</v>
      </c>
    </row>
    <row r="42" spans="1:20" x14ac:dyDescent="0.3">
      <c r="A42" t="str">
        <f>"0611830470025"</f>
        <v>0611830470025</v>
      </c>
      <c r="B42" t="str">
        <f>"MC0003"</f>
        <v>MC0003</v>
      </c>
      <c r="C42" t="s">
        <v>27333</v>
      </c>
      <c r="D42" t="s">
        <v>27267</v>
      </c>
      <c r="E42" t="str">
        <f t="shared" si="0"/>
        <v>001390</v>
      </c>
      <c r="F42" t="s">
        <v>27246</v>
      </c>
      <c r="G42" t="s">
        <v>27247</v>
      </c>
      <c r="H42" t="s">
        <v>27248</v>
      </c>
      <c r="I42" t="s">
        <v>27334</v>
      </c>
      <c r="J42" t="s">
        <v>86</v>
      </c>
      <c r="L42" t="s">
        <v>27250</v>
      </c>
      <c r="M42" t="s">
        <v>27251</v>
      </c>
      <c r="N42" t="s">
        <v>27252</v>
      </c>
      <c r="Q42" s="1">
        <v>44538</v>
      </c>
      <c r="R42" t="s">
        <v>27253</v>
      </c>
      <c r="S42" t="s">
        <v>27254</v>
      </c>
      <c r="T42" t="s">
        <v>27269</v>
      </c>
    </row>
    <row r="43" spans="1:20" x14ac:dyDescent="0.3">
      <c r="A43" t="str">
        <f>"0611860410100"</f>
        <v>0611860410100</v>
      </c>
      <c r="B43" t="str">
        <f>"CN5001"</f>
        <v>CN5001</v>
      </c>
      <c r="C43" t="s">
        <v>27333</v>
      </c>
      <c r="D43" t="s">
        <v>27335</v>
      </c>
      <c r="E43" t="str">
        <f t="shared" si="0"/>
        <v>001390</v>
      </c>
      <c r="F43" t="s">
        <v>27246</v>
      </c>
      <c r="G43" t="s">
        <v>27247</v>
      </c>
      <c r="H43" t="s">
        <v>27248</v>
      </c>
      <c r="I43" t="s">
        <v>27336</v>
      </c>
      <c r="J43" t="s">
        <v>84</v>
      </c>
      <c r="L43" t="s">
        <v>27250</v>
      </c>
      <c r="M43" t="s">
        <v>27251</v>
      </c>
      <c r="N43" t="s">
        <v>27252</v>
      </c>
      <c r="Q43" s="1">
        <v>44846</v>
      </c>
      <c r="R43" t="s">
        <v>27253</v>
      </c>
      <c r="S43" t="s">
        <v>27254</v>
      </c>
      <c r="T43" t="s">
        <v>27255</v>
      </c>
    </row>
    <row r="44" spans="1:20" x14ac:dyDescent="0.3">
      <c r="A44" t="str">
        <f>"0611860411050"</f>
        <v>0611860411050</v>
      </c>
      <c r="B44" t="str">
        <f>"CR4147"</f>
        <v>CR4147</v>
      </c>
      <c r="C44" t="s">
        <v>27333</v>
      </c>
      <c r="D44" t="s">
        <v>27263</v>
      </c>
      <c r="E44" t="str">
        <f t="shared" si="0"/>
        <v>001390</v>
      </c>
      <c r="F44" t="s">
        <v>27246</v>
      </c>
      <c r="G44" t="s">
        <v>27247</v>
      </c>
      <c r="H44" t="s">
        <v>27248</v>
      </c>
      <c r="I44" t="s">
        <v>27337</v>
      </c>
      <c r="J44" t="s">
        <v>88</v>
      </c>
      <c r="L44" t="s">
        <v>27250</v>
      </c>
      <c r="M44" t="s">
        <v>27251</v>
      </c>
      <c r="N44" t="s">
        <v>27252</v>
      </c>
      <c r="Q44" s="1">
        <v>44846</v>
      </c>
      <c r="R44" t="s">
        <v>27253</v>
      </c>
      <c r="S44" t="s">
        <v>27254</v>
      </c>
      <c r="T44" t="s">
        <v>27265</v>
      </c>
    </row>
    <row r="45" spans="1:20" x14ac:dyDescent="0.3">
      <c r="A45" t="str">
        <f>"0611860412100"</f>
        <v>0611860412100</v>
      </c>
      <c r="B45" t="str">
        <f>"CN2301"</f>
        <v>CN2301</v>
      </c>
      <c r="C45" t="s">
        <v>27338</v>
      </c>
      <c r="D45" t="s">
        <v>27339</v>
      </c>
      <c r="E45" t="str">
        <f t="shared" si="0"/>
        <v>001390</v>
      </c>
      <c r="F45" t="s">
        <v>27246</v>
      </c>
      <c r="G45" t="s">
        <v>27247</v>
      </c>
      <c r="H45" t="s">
        <v>27248</v>
      </c>
      <c r="I45" t="s">
        <v>27340</v>
      </c>
      <c r="J45" t="s">
        <v>90</v>
      </c>
      <c r="L45" t="s">
        <v>27250</v>
      </c>
      <c r="M45" t="s">
        <v>27251</v>
      </c>
      <c r="N45" t="s">
        <v>27252</v>
      </c>
      <c r="P45" t="s">
        <v>27341</v>
      </c>
      <c r="Q45" s="1">
        <v>44846</v>
      </c>
      <c r="R45" t="s">
        <v>27253</v>
      </c>
      <c r="S45" t="s">
        <v>27254</v>
      </c>
      <c r="T45" t="s">
        <v>27255</v>
      </c>
    </row>
    <row r="46" spans="1:20" x14ac:dyDescent="0.3">
      <c r="A46" t="str">
        <f>"0611860413100"</f>
        <v>0611860413100</v>
      </c>
      <c r="B46" t="str">
        <f>"CN2302"</f>
        <v>CN2302</v>
      </c>
      <c r="C46" t="s">
        <v>27342</v>
      </c>
      <c r="D46" t="s">
        <v>27339</v>
      </c>
      <c r="E46" t="str">
        <f t="shared" si="0"/>
        <v>001390</v>
      </c>
      <c r="F46" t="s">
        <v>27246</v>
      </c>
      <c r="G46" t="s">
        <v>27247</v>
      </c>
      <c r="H46" t="s">
        <v>27248</v>
      </c>
      <c r="I46" t="s">
        <v>27343</v>
      </c>
      <c r="J46" t="s">
        <v>92</v>
      </c>
      <c r="L46" t="s">
        <v>27250</v>
      </c>
      <c r="M46" t="s">
        <v>27251</v>
      </c>
      <c r="N46" t="s">
        <v>27252</v>
      </c>
      <c r="P46" t="s">
        <v>27341</v>
      </c>
      <c r="Q46" s="1">
        <v>44846</v>
      </c>
      <c r="R46" t="s">
        <v>27253</v>
      </c>
      <c r="S46" t="s">
        <v>27254</v>
      </c>
      <c r="T46" t="s">
        <v>27255</v>
      </c>
    </row>
    <row r="47" spans="1:20" x14ac:dyDescent="0.3">
      <c r="A47" t="str">
        <f>"0611860414100"</f>
        <v>0611860414100</v>
      </c>
      <c r="B47" t="str">
        <f>"CN2336"</f>
        <v>CN2336</v>
      </c>
      <c r="C47" t="s">
        <v>27344</v>
      </c>
      <c r="D47" t="s">
        <v>27339</v>
      </c>
      <c r="E47" t="str">
        <f t="shared" si="0"/>
        <v>001390</v>
      </c>
      <c r="F47" t="s">
        <v>27246</v>
      </c>
      <c r="G47" t="s">
        <v>27247</v>
      </c>
      <c r="H47" t="s">
        <v>27248</v>
      </c>
      <c r="I47" t="s">
        <v>27345</v>
      </c>
      <c r="J47" t="s">
        <v>94</v>
      </c>
      <c r="L47" t="s">
        <v>27250</v>
      </c>
      <c r="M47" t="s">
        <v>27251</v>
      </c>
      <c r="N47" t="s">
        <v>27252</v>
      </c>
      <c r="P47" t="s">
        <v>27341</v>
      </c>
      <c r="Q47" s="1">
        <v>44846</v>
      </c>
      <c r="R47" t="s">
        <v>27253</v>
      </c>
      <c r="S47" t="s">
        <v>27254</v>
      </c>
      <c r="T47" t="s">
        <v>27255</v>
      </c>
    </row>
    <row r="48" spans="1:20" x14ac:dyDescent="0.3">
      <c r="A48" t="str">
        <f>"0611830476025"</f>
        <v>0611830476025</v>
      </c>
      <c r="B48" t="str">
        <f>"MC4079"</f>
        <v>MC4079</v>
      </c>
      <c r="C48" t="s">
        <v>27346</v>
      </c>
      <c r="D48" t="s">
        <v>27267</v>
      </c>
      <c r="E48" t="str">
        <f t="shared" si="0"/>
        <v>001390</v>
      </c>
      <c r="F48" t="s">
        <v>27246</v>
      </c>
      <c r="G48" t="s">
        <v>27247</v>
      </c>
      <c r="H48" t="s">
        <v>27248</v>
      </c>
      <c r="I48" t="s">
        <v>27347</v>
      </c>
      <c r="J48" t="s">
        <v>96</v>
      </c>
      <c r="L48" t="s">
        <v>27250</v>
      </c>
      <c r="M48" t="s">
        <v>27251</v>
      </c>
      <c r="N48" t="s">
        <v>27252</v>
      </c>
      <c r="Q48" s="1">
        <v>44538</v>
      </c>
      <c r="R48" t="s">
        <v>27253</v>
      </c>
      <c r="S48" t="s">
        <v>27254</v>
      </c>
      <c r="T48" t="s">
        <v>27269</v>
      </c>
    </row>
    <row r="49" spans="1:20" x14ac:dyDescent="0.3">
      <c r="A49" t="str">
        <f>"0611830477025"</f>
        <v>0611830477025</v>
      </c>
      <c r="B49" t="str">
        <f>"MC4362"</f>
        <v>MC4362</v>
      </c>
      <c r="C49" t="s">
        <v>27348</v>
      </c>
      <c r="D49" t="s">
        <v>27267</v>
      </c>
      <c r="E49" t="str">
        <f t="shared" si="0"/>
        <v>001390</v>
      </c>
      <c r="F49" t="s">
        <v>27246</v>
      </c>
      <c r="G49" t="s">
        <v>27247</v>
      </c>
      <c r="H49" t="s">
        <v>27248</v>
      </c>
      <c r="I49" t="s">
        <v>27349</v>
      </c>
      <c r="J49" t="s">
        <v>98</v>
      </c>
      <c r="L49" t="s">
        <v>27250</v>
      </c>
      <c r="M49" t="s">
        <v>27251</v>
      </c>
      <c r="N49" t="s">
        <v>27252</v>
      </c>
      <c r="Q49" s="1">
        <v>44538</v>
      </c>
      <c r="R49" t="s">
        <v>27253</v>
      </c>
      <c r="S49" t="s">
        <v>27254</v>
      </c>
      <c r="T49" t="s">
        <v>27269</v>
      </c>
    </row>
    <row r="50" spans="1:20" x14ac:dyDescent="0.3">
      <c r="A50" t="str">
        <f>"0611830478100"</f>
        <v>0611830478100</v>
      </c>
      <c r="B50" t="str">
        <f>"LH0370"</f>
        <v>LH0370</v>
      </c>
      <c r="C50" t="s">
        <v>27350</v>
      </c>
      <c r="D50" t="s">
        <v>27245</v>
      </c>
      <c r="E50" t="str">
        <f t="shared" si="0"/>
        <v>001390</v>
      </c>
      <c r="F50" t="s">
        <v>27246</v>
      </c>
      <c r="G50" t="s">
        <v>27247</v>
      </c>
      <c r="H50" t="s">
        <v>27248</v>
      </c>
      <c r="I50" t="s">
        <v>27351</v>
      </c>
      <c r="J50" t="s">
        <v>100</v>
      </c>
      <c r="L50" t="s">
        <v>27250</v>
      </c>
      <c r="M50" t="s">
        <v>27251</v>
      </c>
      <c r="N50" t="s">
        <v>27252</v>
      </c>
      <c r="Q50" s="1">
        <v>44538</v>
      </c>
      <c r="R50" t="s">
        <v>27253</v>
      </c>
      <c r="S50" t="s">
        <v>27254</v>
      </c>
      <c r="T50" t="s">
        <v>27255</v>
      </c>
    </row>
    <row r="51" spans="1:20" x14ac:dyDescent="0.3">
      <c r="A51" t="str">
        <f>"0611830479025"</f>
        <v>0611830479025</v>
      </c>
      <c r="B51" t="str">
        <f>"MC0007"</f>
        <v>MC0007</v>
      </c>
      <c r="C51" t="s">
        <v>27350</v>
      </c>
      <c r="D51" t="s">
        <v>27267</v>
      </c>
      <c r="E51" t="str">
        <f t="shared" si="0"/>
        <v>001390</v>
      </c>
      <c r="F51" t="s">
        <v>27246</v>
      </c>
      <c r="G51" t="s">
        <v>27247</v>
      </c>
      <c r="H51" t="s">
        <v>27248</v>
      </c>
      <c r="I51" t="s">
        <v>27352</v>
      </c>
      <c r="J51" t="s">
        <v>102</v>
      </c>
      <c r="L51" t="s">
        <v>27250</v>
      </c>
      <c r="M51" t="s">
        <v>27251</v>
      </c>
      <c r="N51" t="s">
        <v>27252</v>
      </c>
      <c r="Q51" s="1">
        <v>44538</v>
      </c>
      <c r="R51" t="s">
        <v>27253</v>
      </c>
      <c r="S51" t="s">
        <v>27254</v>
      </c>
      <c r="T51" t="s">
        <v>27269</v>
      </c>
    </row>
    <row r="52" spans="1:20" x14ac:dyDescent="0.3">
      <c r="A52" t="str">
        <f>"0611830480025"</f>
        <v>0611830480025</v>
      </c>
      <c r="B52" t="str">
        <f>"MQ0682"</f>
        <v>MQ0682</v>
      </c>
      <c r="C52" t="s">
        <v>27353</v>
      </c>
      <c r="D52" t="s">
        <v>27267</v>
      </c>
      <c r="E52" t="str">
        <f t="shared" si="0"/>
        <v>001390</v>
      </c>
      <c r="F52" t="s">
        <v>27246</v>
      </c>
      <c r="G52" t="s">
        <v>27247</v>
      </c>
      <c r="H52" t="s">
        <v>27248</v>
      </c>
      <c r="I52" t="s">
        <v>27354</v>
      </c>
      <c r="J52" t="s">
        <v>104</v>
      </c>
      <c r="L52" t="s">
        <v>27250</v>
      </c>
      <c r="M52" t="s">
        <v>27251</v>
      </c>
      <c r="N52" t="s">
        <v>27252</v>
      </c>
      <c r="Q52" s="1">
        <v>44538</v>
      </c>
      <c r="R52" t="s">
        <v>27253</v>
      </c>
      <c r="S52" t="s">
        <v>27254</v>
      </c>
      <c r="T52" t="s">
        <v>27269</v>
      </c>
    </row>
    <row r="53" spans="1:20" x14ac:dyDescent="0.3">
      <c r="A53" t="str">
        <f>"0611856807025"</f>
        <v>0611856807025</v>
      </c>
      <c r="B53" t="str">
        <f>"MQ0749"</f>
        <v>MQ0749</v>
      </c>
      <c r="C53" t="s">
        <v>27355</v>
      </c>
      <c r="D53" t="s">
        <v>27267</v>
      </c>
      <c r="E53" t="str">
        <f t="shared" si="0"/>
        <v>001390</v>
      </c>
      <c r="F53" t="s">
        <v>27246</v>
      </c>
      <c r="G53" t="s">
        <v>27247</v>
      </c>
      <c r="H53" t="s">
        <v>27248</v>
      </c>
      <c r="I53" t="s">
        <v>27356</v>
      </c>
      <c r="J53" t="s">
        <v>106</v>
      </c>
      <c r="L53" t="s">
        <v>27250</v>
      </c>
      <c r="M53" t="s">
        <v>27251</v>
      </c>
      <c r="N53" t="s">
        <v>27252</v>
      </c>
      <c r="Q53" s="1">
        <v>44812</v>
      </c>
      <c r="R53" t="s">
        <v>27253</v>
      </c>
      <c r="S53" t="s">
        <v>27254</v>
      </c>
      <c r="T53" t="s">
        <v>27269</v>
      </c>
    </row>
    <row r="54" spans="1:20" x14ac:dyDescent="0.3">
      <c r="A54" t="str">
        <f>"0611830481025"</f>
        <v>0611830481025</v>
      </c>
      <c r="B54" t="str">
        <f>"MC0826"</f>
        <v>MC0826</v>
      </c>
      <c r="C54" t="s">
        <v>27357</v>
      </c>
      <c r="D54" t="s">
        <v>27267</v>
      </c>
      <c r="E54" t="str">
        <f t="shared" si="0"/>
        <v>001390</v>
      </c>
      <c r="F54" t="s">
        <v>27246</v>
      </c>
      <c r="G54" t="s">
        <v>27247</v>
      </c>
      <c r="H54" t="s">
        <v>27248</v>
      </c>
      <c r="I54" t="s">
        <v>27358</v>
      </c>
      <c r="J54" t="s">
        <v>110</v>
      </c>
      <c r="L54" t="s">
        <v>27250</v>
      </c>
      <c r="M54" t="s">
        <v>27251</v>
      </c>
      <c r="N54" t="s">
        <v>27252</v>
      </c>
      <c r="Q54" s="1">
        <v>44538</v>
      </c>
      <c r="R54" t="s">
        <v>27253</v>
      </c>
      <c r="S54" t="s">
        <v>27254</v>
      </c>
      <c r="T54" t="s">
        <v>27269</v>
      </c>
    </row>
    <row r="55" spans="1:20" x14ac:dyDescent="0.3">
      <c r="A55" t="str">
        <f>"0611860415100"</f>
        <v>0611860415100</v>
      </c>
      <c r="B55" t="str">
        <f>"CN5002"</f>
        <v>CN5002</v>
      </c>
      <c r="C55" t="s">
        <v>27357</v>
      </c>
      <c r="D55" t="s">
        <v>27339</v>
      </c>
      <c r="E55" t="str">
        <f t="shared" si="0"/>
        <v>001390</v>
      </c>
      <c r="F55" t="s">
        <v>27246</v>
      </c>
      <c r="G55" t="s">
        <v>27247</v>
      </c>
      <c r="H55" t="s">
        <v>27248</v>
      </c>
      <c r="I55" t="s">
        <v>27359</v>
      </c>
      <c r="J55" t="s">
        <v>108</v>
      </c>
      <c r="L55" t="s">
        <v>27250</v>
      </c>
      <c r="M55" t="s">
        <v>27251</v>
      </c>
      <c r="N55" t="s">
        <v>27252</v>
      </c>
      <c r="Q55" s="1">
        <v>44846</v>
      </c>
      <c r="R55" t="s">
        <v>27253</v>
      </c>
      <c r="S55" t="s">
        <v>27254</v>
      </c>
      <c r="T55" t="s">
        <v>27255</v>
      </c>
    </row>
    <row r="56" spans="1:20" x14ac:dyDescent="0.3">
      <c r="A56" t="str">
        <f>"0611860416050"</f>
        <v>0611860416050</v>
      </c>
      <c r="B56" t="str">
        <f>"CR4149"</f>
        <v>CR4149</v>
      </c>
      <c r="C56" t="s">
        <v>27357</v>
      </c>
      <c r="D56" t="s">
        <v>27271</v>
      </c>
      <c r="E56" t="str">
        <f t="shared" si="0"/>
        <v>001390</v>
      </c>
      <c r="F56" t="s">
        <v>27246</v>
      </c>
      <c r="G56" t="s">
        <v>27247</v>
      </c>
      <c r="H56" t="s">
        <v>27248</v>
      </c>
      <c r="I56" t="s">
        <v>27360</v>
      </c>
      <c r="J56" t="s">
        <v>112</v>
      </c>
      <c r="L56" t="s">
        <v>27250</v>
      </c>
      <c r="M56" t="s">
        <v>27251</v>
      </c>
      <c r="N56" t="s">
        <v>27252</v>
      </c>
      <c r="Q56" s="1">
        <v>44846</v>
      </c>
      <c r="R56" t="s">
        <v>27253</v>
      </c>
      <c r="S56" t="s">
        <v>27254</v>
      </c>
      <c r="T56" t="s">
        <v>27265</v>
      </c>
    </row>
    <row r="57" spans="1:20" x14ac:dyDescent="0.3">
      <c r="A57" t="str">
        <f>"0611830486025"</f>
        <v>0611830486025</v>
      </c>
      <c r="B57" t="str">
        <f>"MC3668"</f>
        <v>MC3668</v>
      </c>
      <c r="C57" t="s">
        <v>27361</v>
      </c>
      <c r="D57" t="s">
        <v>27267</v>
      </c>
      <c r="E57" t="str">
        <f t="shared" si="0"/>
        <v>001390</v>
      </c>
      <c r="F57" t="s">
        <v>27246</v>
      </c>
      <c r="G57" t="s">
        <v>27247</v>
      </c>
      <c r="H57" t="s">
        <v>27248</v>
      </c>
      <c r="I57" t="s">
        <v>27362</v>
      </c>
      <c r="J57" t="s">
        <v>114</v>
      </c>
      <c r="L57" t="s">
        <v>27250</v>
      </c>
      <c r="M57" t="s">
        <v>27251</v>
      </c>
      <c r="N57" t="s">
        <v>27252</v>
      </c>
      <c r="Q57" s="1">
        <v>44538</v>
      </c>
      <c r="R57" t="s">
        <v>27253</v>
      </c>
      <c r="S57" t="s">
        <v>27254</v>
      </c>
      <c r="T57" t="s">
        <v>27269</v>
      </c>
    </row>
    <row r="58" spans="1:20" x14ac:dyDescent="0.3">
      <c r="A58" t="str">
        <f>"0611830487025"</f>
        <v>0611830487025</v>
      </c>
      <c r="B58" t="str">
        <f>"MC0980"</f>
        <v>MC0980</v>
      </c>
      <c r="C58" t="s">
        <v>27363</v>
      </c>
      <c r="D58" t="s">
        <v>27267</v>
      </c>
      <c r="E58" t="str">
        <f t="shared" si="0"/>
        <v>001390</v>
      </c>
      <c r="F58" t="s">
        <v>27246</v>
      </c>
      <c r="G58" t="s">
        <v>27247</v>
      </c>
      <c r="H58" t="s">
        <v>27248</v>
      </c>
      <c r="I58" t="s">
        <v>27364</v>
      </c>
      <c r="J58" t="s">
        <v>116</v>
      </c>
      <c r="L58" t="s">
        <v>27250</v>
      </c>
      <c r="M58" t="s">
        <v>27251</v>
      </c>
      <c r="N58" t="s">
        <v>27252</v>
      </c>
      <c r="Q58" s="1">
        <v>44538</v>
      </c>
      <c r="R58" t="s">
        <v>27253</v>
      </c>
      <c r="S58" t="s">
        <v>27254</v>
      </c>
      <c r="T58" t="s">
        <v>27269</v>
      </c>
    </row>
    <row r="59" spans="1:20" x14ac:dyDescent="0.3">
      <c r="A59" t="str">
        <f>"0611830489025"</f>
        <v>0611830489025</v>
      </c>
      <c r="B59" t="str">
        <f>"MC0828"</f>
        <v>MC0828</v>
      </c>
      <c r="C59" t="s">
        <v>27365</v>
      </c>
      <c r="D59" t="s">
        <v>27267</v>
      </c>
      <c r="E59" t="str">
        <f t="shared" si="0"/>
        <v>001390</v>
      </c>
      <c r="F59" t="s">
        <v>27246</v>
      </c>
      <c r="G59" t="s">
        <v>27247</v>
      </c>
      <c r="H59" t="s">
        <v>27248</v>
      </c>
      <c r="I59" t="s">
        <v>27366</v>
      </c>
      <c r="J59" t="s">
        <v>118</v>
      </c>
      <c r="L59" t="s">
        <v>27250</v>
      </c>
      <c r="M59" t="s">
        <v>27251</v>
      </c>
      <c r="N59" t="s">
        <v>27252</v>
      </c>
      <c r="Q59" s="1">
        <v>44538</v>
      </c>
      <c r="R59" t="s">
        <v>27253</v>
      </c>
      <c r="S59" t="s">
        <v>27254</v>
      </c>
      <c r="T59" t="s">
        <v>27269</v>
      </c>
    </row>
    <row r="60" spans="1:20" x14ac:dyDescent="0.3">
      <c r="A60" t="str">
        <f>"0611830490025"</f>
        <v>0611830490025</v>
      </c>
      <c r="B60" t="str">
        <f>"MC1901"</f>
        <v>MC1901</v>
      </c>
      <c r="C60" t="s">
        <v>27367</v>
      </c>
      <c r="D60" t="s">
        <v>27267</v>
      </c>
      <c r="E60" t="str">
        <f t="shared" si="0"/>
        <v>001390</v>
      </c>
      <c r="F60" t="s">
        <v>27246</v>
      </c>
      <c r="G60" t="s">
        <v>27247</v>
      </c>
      <c r="H60" t="s">
        <v>27248</v>
      </c>
      <c r="I60" t="s">
        <v>27368</v>
      </c>
      <c r="J60" t="s">
        <v>120</v>
      </c>
      <c r="L60" t="s">
        <v>27250</v>
      </c>
      <c r="M60" t="s">
        <v>27251</v>
      </c>
      <c r="N60" t="s">
        <v>27252</v>
      </c>
      <c r="Q60" s="1">
        <v>44538</v>
      </c>
      <c r="R60" t="s">
        <v>27253</v>
      </c>
      <c r="S60" t="s">
        <v>27254</v>
      </c>
      <c r="T60" t="s">
        <v>27269</v>
      </c>
    </row>
    <row r="61" spans="1:20" x14ac:dyDescent="0.3">
      <c r="A61" t="str">
        <f>"0611860417100"</f>
        <v>0611860417100</v>
      </c>
      <c r="B61" t="str">
        <f>"CN2000"</f>
        <v>CN2000</v>
      </c>
      <c r="C61" t="s">
        <v>27369</v>
      </c>
      <c r="D61" t="s">
        <v>27335</v>
      </c>
      <c r="E61" t="str">
        <f t="shared" si="0"/>
        <v>001390</v>
      </c>
      <c r="F61" t="s">
        <v>27246</v>
      </c>
      <c r="G61" t="s">
        <v>27247</v>
      </c>
      <c r="H61" t="s">
        <v>27248</v>
      </c>
      <c r="I61" t="s">
        <v>27370</v>
      </c>
      <c r="J61" t="s">
        <v>122</v>
      </c>
      <c r="L61" t="s">
        <v>27250</v>
      </c>
      <c r="M61" t="s">
        <v>27251</v>
      </c>
      <c r="N61" t="s">
        <v>27252</v>
      </c>
      <c r="Q61" s="1">
        <v>44846</v>
      </c>
      <c r="R61" t="s">
        <v>27253</v>
      </c>
      <c r="S61" t="s">
        <v>27254</v>
      </c>
      <c r="T61" t="s">
        <v>27255</v>
      </c>
    </row>
    <row r="62" spans="1:20" x14ac:dyDescent="0.3">
      <c r="A62" t="str">
        <f>"0611860418100"</f>
        <v>0611860418100</v>
      </c>
      <c r="B62" t="str">
        <f>"CN2001"</f>
        <v>CN2001</v>
      </c>
      <c r="C62" t="s">
        <v>27371</v>
      </c>
      <c r="D62" t="s">
        <v>27335</v>
      </c>
      <c r="E62" t="str">
        <f t="shared" si="0"/>
        <v>001390</v>
      </c>
      <c r="F62" t="s">
        <v>27246</v>
      </c>
      <c r="G62" t="s">
        <v>27247</v>
      </c>
      <c r="H62" t="s">
        <v>27248</v>
      </c>
      <c r="I62" t="s">
        <v>27372</v>
      </c>
      <c r="J62" t="s">
        <v>124</v>
      </c>
      <c r="L62" t="s">
        <v>27250</v>
      </c>
      <c r="M62" t="s">
        <v>27251</v>
      </c>
      <c r="N62" t="s">
        <v>27252</v>
      </c>
      <c r="Q62" s="1">
        <v>44846</v>
      </c>
      <c r="R62" t="s">
        <v>27253</v>
      </c>
      <c r="S62" t="s">
        <v>27254</v>
      </c>
      <c r="T62" t="s">
        <v>27255</v>
      </c>
    </row>
    <row r="63" spans="1:20" x14ac:dyDescent="0.3">
      <c r="A63" t="str">
        <f>"0611860419100"</f>
        <v>0611860419100</v>
      </c>
      <c r="B63" t="str">
        <f>"CN2002"</f>
        <v>CN2002</v>
      </c>
      <c r="C63" t="s">
        <v>27373</v>
      </c>
      <c r="D63" t="s">
        <v>27335</v>
      </c>
      <c r="E63" t="str">
        <f t="shared" si="0"/>
        <v>001390</v>
      </c>
      <c r="F63" t="s">
        <v>27246</v>
      </c>
      <c r="G63" t="s">
        <v>27247</v>
      </c>
      <c r="H63" t="s">
        <v>27248</v>
      </c>
      <c r="I63" t="s">
        <v>27374</v>
      </c>
      <c r="J63" t="s">
        <v>126</v>
      </c>
      <c r="L63" t="s">
        <v>27250</v>
      </c>
      <c r="M63" t="s">
        <v>27251</v>
      </c>
      <c r="N63" t="s">
        <v>27252</v>
      </c>
      <c r="Q63" s="1">
        <v>44846</v>
      </c>
      <c r="R63" t="s">
        <v>27253</v>
      </c>
      <c r="S63" t="s">
        <v>27254</v>
      </c>
      <c r="T63" t="s">
        <v>27255</v>
      </c>
    </row>
    <row r="64" spans="1:20" x14ac:dyDescent="0.3">
      <c r="A64" t="str">
        <f>"0611830491100"</f>
        <v>0611830491100</v>
      </c>
      <c r="B64" t="str">
        <f>"LH0450"</f>
        <v>LH0450</v>
      </c>
      <c r="C64" t="s">
        <v>27375</v>
      </c>
      <c r="D64" t="s">
        <v>27245</v>
      </c>
      <c r="E64" t="str">
        <f t="shared" si="0"/>
        <v>001390</v>
      </c>
      <c r="F64" t="s">
        <v>27246</v>
      </c>
      <c r="G64" t="s">
        <v>27247</v>
      </c>
      <c r="H64" t="s">
        <v>27248</v>
      </c>
      <c r="I64" t="s">
        <v>27376</v>
      </c>
      <c r="J64" t="s">
        <v>128</v>
      </c>
      <c r="L64" t="s">
        <v>27250</v>
      </c>
      <c r="M64" t="s">
        <v>27251</v>
      </c>
      <c r="N64" t="s">
        <v>27252</v>
      </c>
      <c r="Q64" s="1">
        <v>44538</v>
      </c>
      <c r="R64" t="s">
        <v>27253</v>
      </c>
      <c r="S64" t="s">
        <v>27254</v>
      </c>
      <c r="T64" t="s">
        <v>27255</v>
      </c>
    </row>
    <row r="65" spans="1:20" x14ac:dyDescent="0.3">
      <c r="A65" t="str">
        <f>"0611830492025"</f>
        <v>0611830492025</v>
      </c>
      <c r="B65" t="str">
        <f>"MC0012"</f>
        <v>MC0012</v>
      </c>
      <c r="C65" t="s">
        <v>27375</v>
      </c>
      <c r="D65" t="s">
        <v>27267</v>
      </c>
      <c r="E65" t="str">
        <f t="shared" si="0"/>
        <v>001390</v>
      </c>
      <c r="F65" t="s">
        <v>27246</v>
      </c>
      <c r="G65" t="s">
        <v>27247</v>
      </c>
      <c r="H65" t="s">
        <v>27248</v>
      </c>
      <c r="I65" t="s">
        <v>27377</v>
      </c>
      <c r="J65" t="s">
        <v>130</v>
      </c>
      <c r="L65" t="s">
        <v>27250</v>
      </c>
      <c r="M65" t="s">
        <v>27251</v>
      </c>
      <c r="N65" t="s">
        <v>27252</v>
      </c>
      <c r="Q65" s="1">
        <v>44538</v>
      </c>
      <c r="R65" t="s">
        <v>27253</v>
      </c>
      <c r="S65" t="s">
        <v>27254</v>
      </c>
      <c r="T65" t="s">
        <v>27269</v>
      </c>
    </row>
    <row r="66" spans="1:20" x14ac:dyDescent="0.3">
      <c r="A66" t="str">
        <f>"0611860420100"</f>
        <v>0611860420100</v>
      </c>
      <c r="B66" t="str">
        <f>"CN2003"</f>
        <v>CN2003</v>
      </c>
      <c r="C66" t="s">
        <v>27378</v>
      </c>
      <c r="D66" t="s">
        <v>27335</v>
      </c>
      <c r="E66" t="str">
        <f t="shared" ref="E66:E129" si="1">"001390"</f>
        <v>001390</v>
      </c>
      <c r="F66" t="s">
        <v>27246</v>
      </c>
      <c r="G66" t="s">
        <v>27247</v>
      </c>
      <c r="H66" t="s">
        <v>27248</v>
      </c>
      <c r="I66" t="s">
        <v>27379</v>
      </c>
      <c r="J66" t="s">
        <v>132</v>
      </c>
      <c r="L66" t="s">
        <v>27250</v>
      </c>
      <c r="M66" t="s">
        <v>27251</v>
      </c>
      <c r="N66" t="s">
        <v>27252</v>
      </c>
      <c r="Q66" s="1">
        <v>44846</v>
      </c>
      <c r="R66" t="s">
        <v>27253</v>
      </c>
      <c r="S66" t="s">
        <v>27254</v>
      </c>
      <c r="T66" t="s">
        <v>27255</v>
      </c>
    </row>
    <row r="67" spans="1:20" x14ac:dyDescent="0.3">
      <c r="A67" t="str">
        <f>"0611830493100"</f>
        <v>0611830493100</v>
      </c>
      <c r="B67" t="str">
        <f>"LG1003"</f>
        <v>LG1003</v>
      </c>
      <c r="C67" t="s">
        <v>27380</v>
      </c>
      <c r="D67" t="s">
        <v>27245</v>
      </c>
      <c r="E67" t="str">
        <f t="shared" si="1"/>
        <v>001390</v>
      </c>
      <c r="F67" t="s">
        <v>27246</v>
      </c>
      <c r="G67" t="s">
        <v>27247</v>
      </c>
      <c r="H67" t="s">
        <v>27248</v>
      </c>
      <c r="I67" t="s">
        <v>27381</v>
      </c>
      <c r="J67" t="s">
        <v>134</v>
      </c>
      <c r="L67" t="s">
        <v>27250</v>
      </c>
      <c r="M67" t="s">
        <v>27251</v>
      </c>
      <c r="N67" t="s">
        <v>27252</v>
      </c>
      <c r="Q67" s="1">
        <v>44538</v>
      </c>
      <c r="R67" t="s">
        <v>27253</v>
      </c>
      <c r="S67" t="s">
        <v>27254</v>
      </c>
      <c r="T67" t="s">
        <v>27255</v>
      </c>
    </row>
    <row r="68" spans="1:20" x14ac:dyDescent="0.3">
      <c r="A68" t="str">
        <f>"0611830494100"</f>
        <v>0611830494100</v>
      </c>
      <c r="B68" t="str">
        <f>"LG8030"</f>
        <v>LG8030</v>
      </c>
      <c r="C68" t="s">
        <v>27382</v>
      </c>
      <c r="D68" t="s">
        <v>27245</v>
      </c>
      <c r="E68" t="str">
        <f t="shared" si="1"/>
        <v>001390</v>
      </c>
      <c r="F68" t="s">
        <v>27246</v>
      </c>
      <c r="G68" t="s">
        <v>27247</v>
      </c>
      <c r="H68" t="s">
        <v>27248</v>
      </c>
      <c r="I68" t="s">
        <v>27383</v>
      </c>
      <c r="J68" t="s">
        <v>136</v>
      </c>
      <c r="L68" t="s">
        <v>27250</v>
      </c>
      <c r="M68" t="s">
        <v>27251</v>
      </c>
      <c r="N68" t="s">
        <v>27252</v>
      </c>
      <c r="Q68" s="1">
        <v>44538</v>
      </c>
      <c r="R68" t="s">
        <v>27253</v>
      </c>
      <c r="S68" t="s">
        <v>27254</v>
      </c>
      <c r="T68" t="s">
        <v>27255</v>
      </c>
    </row>
    <row r="69" spans="1:20" x14ac:dyDescent="0.3">
      <c r="A69" t="str">
        <f>"0611860421100"</f>
        <v>0611860421100</v>
      </c>
      <c r="B69" t="str">
        <f>"CN2004"</f>
        <v>CN2004</v>
      </c>
      <c r="C69" t="s">
        <v>27384</v>
      </c>
      <c r="D69" t="s">
        <v>27335</v>
      </c>
      <c r="E69" t="str">
        <f t="shared" si="1"/>
        <v>001390</v>
      </c>
      <c r="F69" t="s">
        <v>27246</v>
      </c>
      <c r="G69" t="s">
        <v>27247</v>
      </c>
      <c r="H69" t="s">
        <v>27248</v>
      </c>
      <c r="I69" t="s">
        <v>27385</v>
      </c>
      <c r="J69" t="s">
        <v>138</v>
      </c>
      <c r="L69" t="s">
        <v>27250</v>
      </c>
      <c r="M69" t="s">
        <v>27251</v>
      </c>
      <c r="N69" t="s">
        <v>27252</v>
      </c>
      <c r="Q69" s="1">
        <v>44846</v>
      </c>
      <c r="R69" t="s">
        <v>27253</v>
      </c>
      <c r="S69" t="s">
        <v>27254</v>
      </c>
      <c r="T69" t="s">
        <v>27255</v>
      </c>
    </row>
    <row r="70" spans="1:20" x14ac:dyDescent="0.3">
      <c r="A70" t="str">
        <f>"0611860422100"</f>
        <v>0611860422100</v>
      </c>
      <c r="B70" t="str">
        <f>"CN2005"</f>
        <v>CN2005</v>
      </c>
      <c r="C70" t="s">
        <v>27386</v>
      </c>
      <c r="D70" t="s">
        <v>27335</v>
      </c>
      <c r="E70" t="str">
        <f t="shared" si="1"/>
        <v>001390</v>
      </c>
      <c r="F70" t="s">
        <v>27246</v>
      </c>
      <c r="G70" t="s">
        <v>27247</v>
      </c>
      <c r="H70" t="s">
        <v>27248</v>
      </c>
      <c r="I70" t="s">
        <v>27387</v>
      </c>
      <c r="J70" t="s">
        <v>140</v>
      </c>
      <c r="L70" t="s">
        <v>27250</v>
      </c>
      <c r="M70" t="s">
        <v>27251</v>
      </c>
      <c r="N70" t="s">
        <v>27252</v>
      </c>
      <c r="Q70" s="1">
        <v>44846</v>
      </c>
      <c r="R70" t="s">
        <v>27253</v>
      </c>
      <c r="S70" t="s">
        <v>27254</v>
      </c>
      <c r="T70" t="s">
        <v>27255</v>
      </c>
    </row>
    <row r="71" spans="1:20" x14ac:dyDescent="0.3">
      <c r="A71" t="str">
        <f>"0611860423100"</f>
        <v>0611860423100</v>
      </c>
      <c r="B71" t="str">
        <f>"CN2006"</f>
        <v>CN2006</v>
      </c>
      <c r="C71" t="s">
        <v>27388</v>
      </c>
      <c r="D71" t="s">
        <v>27335</v>
      </c>
      <c r="E71" t="str">
        <f t="shared" si="1"/>
        <v>001390</v>
      </c>
      <c r="F71" t="s">
        <v>27246</v>
      </c>
      <c r="G71" t="s">
        <v>27247</v>
      </c>
      <c r="H71" t="s">
        <v>27248</v>
      </c>
      <c r="I71" t="s">
        <v>27389</v>
      </c>
      <c r="J71" t="s">
        <v>142</v>
      </c>
      <c r="L71" t="s">
        <v>27250</v>
      </c>
      <c r="M71" t="s">
        <v>27251</v>
      </c>
      <c r="N71" t="s">
        <v>27252</v>
      </c>
      <c r="Q71" s="1">
        <v>44846</v>
      </c>
      <c r="R71" t="s">
        <v>27253</v>
      </c>
      <c r="S71" t="s">
        <v>27254</v>
      </c>
      <c r="T71" t="s">
        <v>27255</v>
      </c>
    </row>
    <row r="72" spans="1:20" x14ac:dyDescent="0.3">
      <c r="A72" t="str">
        <f>"0611830495100"</f>
        <v>0611830495100</v>
      </c>
      <c r="B72" t="str">
        <f>"LF0006"</f>
        <v>LF0006</v>
      </c>
      <c r="C72" t="s">
        <v>27390</v>
      </c>
      <c r="D72" t="s">
        <v>27245</v>
      </c>
      <c r="E72" t="str">
        <f t="shared" si="1"/>
        <v>001390</v>
      </c>
      <c r="F72" t="s">
        <v>27246</v>
      </c>
      <c r="G72" t="s">
        <v>27247</v>
      </c>
      <c r="H72" t="s">
        <v>27248</v>
      </c>
      <c r="I72" t="s">
        <v>27391</v>
      </c>
      <c r="J72" t="s">
        <v>144</v>
      </c>
      <c r="L72" t="s">
        <v>27250</v>
      </c>
      <c r="M72" t="s">
        <v>27251</v>
      </c>
      <c r="N72" t="s">
        <v>27252</v>
      </c>
      <c r="Q72" s="1">
        <v>44538</v>
      </c>
      <c r="R72" t="s">
        <v>27253</v>
      </c>
      <c r="S72" t="s">
        <v>27254</v>
      </c>
      <c r="T72" t="s">
        <v>27255</v>
      </c>
    </row>
    <row r="73" spans="1:20" x14ac:dyDescent="0.3">
      <c r="A73" t="str">
        <f>"0611830498025"</f>
        <v>0611830498025</v>
      </c>
      <c r="B73" t="str">
        <f>"MC4091"</f>
        <v>MC4091</v>
      </c>
      <c r="C73" t="s">
        <v>27392</v>
      </c>
      <c r="D73" t="s">
        <v>27267</v>
      </c>
      <c r="E73" t="str">
        <f t="shared" si="1"/>
        <v>001390</v>
      </c>
      <c r="F73" t="s">
        <v>27246</v>
      </c>
      <c r="G73" t="s">
        <v>27247</v>
      </c>
      <c r="H73" t="s">
        <v>27248</v>
      </c>
      <c r="I73" t="s">
        <v>27393</v>
      </c>
      <c r="J73" t="s">
        <v>146</v>
      </c>
      <c r="L73" t="s">
        <v>27250</v>
      </c>
      <c r="M73" t="s">
        <v>27251</v>
      </c>
      <c r="N73" t="s">
        <v>27252</v>
      </c>
      <c r="Q73" s="1">
        <v>44538</v>
      </c>
      <c r="R73" t="s">
        <v>27253</v>
      </c>
      <c r="S73" t="s">
        <v>27254</v>
      </c>
      <c r="T73" t="s">
        <v>27269</v>
      </c>
    </row>
    <row r="74" spans="1:20" x14ac:dyDescent="0.3">
      <c r="A74" t="str">
        <f>"0611830499100"</f>
        <v>0611830499100</v>
      </c>
      <c r="B74" t="str">
        <f>"LC5105"</f>
        <v>LC5105</v>
      </c>
      <c r="C74" t="s">
        <v>27394</v>
      </c>
      <c r="D74" t="s">
        <v>27245</v>
      </c>
      <c r="E74" t="str">
        <f t="shared" si="1"/>
        <v>001390</v>
      </c>
      <c r="F74" t="s">
        <v>27246</v>
      </c>
      <c r="G74" t="s">
        <v>27247</v>
      </c>
      <c r="H74" t="s">
        <v>27248</v>
      </c>
      <c r="I74" t="s">
        <v>27395</v>
      </c>
      <c r="J74" t="s">
        <v>148</v>
      </c>
      <c r="L74" t="s">
        <v>27250</v>
      </c>
      <c r="M74" t="s">
        <v>27251</v>
      </c>
      <c r="N74" t="s">
        <v>27252</v>
      </c>
      <c r="Q74" s="1">
        <v>44538</v>
      </c>
      <c r="R74" t="s">
        <v>27253</v>
      </c>
      <c r="S74" t="s">
        <v>27254</v>
      </c>
      <c r="T74" t="s">
        <v>27255</v>
      </c>
    </row>
    <row r="75" spans="1:20" x14ac:dyDescent="0.3">
      <c r="A75" t="str">
        <f>"0611830500025"</f>
        <v>0611830500025</v>
      </c>
      <c r="B75" t="str">
        <f>"MC3669"</f>
        <v>MC3669</v>
      </c>
      <c r="C75" t="s">
        <v>27396</v>
      </c>
      <c r="D75" t="s">
        <v>27267</v>
      </c>
      <c r="E75" t="str">
        <f t="shared" si="1"/>
        <v>001390</v>
      </c>
      <c r="F75" t="s">
        <v>27246</v>
      </c>
      <c r="G75" t="s">
        <v>27247</v>
      </c>
      <c r="H75" t="s">
        <v>27248</v>
      </c>
      <c r="I75" t="s">
        <v>27397</v>
      </c>
      <c r="J75" t="s">
        <v>150</v>
      </c>
      <c r="L75" t="s">
        <v>27250</v>
      </c>
      <c r="M75" t="s">
        <v>27251</v>
      </c>
      <c r="N75" t="s">
        <v>27252</v>
      </c>
      <c r="Q75" s="1">
        <v>44538</v>
      </c>
      <c r="R75" t="s">
        <v>27253</v>
      </c>
      <c r="S75" t="s">
        <v>27254</v>
      </c>
      <c r="T75" t="s">
        <v>27269</v>
      </c>
    </row>
    <row r="76" spans="1:20" x14ac:dyDescent="0.3">
      <c r="A76" t="str">
        <f>"0611830501025"</f>
        <v>0611830501025</v>
      </c>
      <c r="B76" t="str">
        <f>"MC3991"</f>
        <v>MC3991</v>
      </c>
      <c r="C76" t="s">
        <v>27398</v>
      </c>
      <c r="D76" t="s">
        <v>27267</v>
      </c>
      <c r="E76" t="str">
        <f t="shared" si="1"/>
        <v>001390</v>
      </c>
      <c r="F76" t="s">
        <v>27246</v>
      </c>
      <c r="G76" t="s">
        <v>27247</v>
      </c>
      <c r="H76" t="s">
        <v>27248</v>
      </c>
      <c r="I76" t="s">
        <v>27399</v>
      </c>
      <c r="J76" t="s">
        <v>152</v>
      </c>
      <c r="L76" t="s">
        <v>27250</v>
      </c>
      <c r="M76" t="s">
        <v>27251</v>
      </c>
      <c r="N76" t="s">
        <v>27252</v>
      </c>
      <c r="Q76" s="1">
        <v>44538</v>
      </c>
      <c r="R76" t="s">
        <v>27253</v>
      </c>
      <c r="S76" t="s">
        <v>27254</v>
      </c>
      <c r="T76" t="s">
        <v>27269</v>
      </c>
    </row>
    <row r="77" spans="1:20" x14ac:dyDescent="0.3">
      <c r="A77" t="str">
        <f>"0611830502100"</f>
        <v>0611830502100</v>
      </c>
      <c r="B77" t="str">
        <f>"LH8878"</f>
        <v>LH8878</v>
      </c>
      <c r="C77" t="s">
        <v>27400</v>
      </c>
      <c r="D77" t="s">
        <v>27245</v>
      </c>
      <c r="E77" t="str">
        <f t="shared" si="1"/>
        <v>001390</v>
      </c>
      <c r="F77" t="s">
        <v>27246</v>
      </c>
      <c r="G77" t="s">
        <v>27247</v>
      </c>
      <c r="H77" t="s">
        <v>27248</v>
      </c>
      <c r="I77" t="s">
        <v>27401</v>
      </c>
      <c r="J77" t="s">
        <v>154</v>
      </c>
      <c r="L77" t="s">
        <v>27250</v>
      </c>
      <c r="M77" t="s">
        <v>27251</v>
      </c>
      <c r="N77" t="s">
        <v>27252</v>
      </c>
      <c r="Q77" s="1">
        <v>44538</v>
      </c>
      <c r="R77" t="s">
        <v>27253</v>
      </c>
      <c r="S77" t="s">
        <v>27254</v>
      </c>
      <c r="T77" t="s">
        <v>27255</v>
      </c>
    </row>
    <row r="78" spans="1:20" x14ac:dyDescent="0.3">
      <c r="A78" t="str">
        <f>"0611830503025"</f>
        <v>0611830503025</v>
      </c>
      <c r="B78" t="str">
        <f>"MC3992"</f>
        <v>MC3992</v>
      </c>
      <c r="C78" t="s">
        <v>27402</v>
      </c>
      <c r="D78" t="s">
        <v>27267</v>
      </c>
      <c r="E78" t="str">
        <f t="shared" si="1"/>
        <v>001390</v>
      </c>
      <c r="F78" t="s">
        <v>27246</v>
      </c>
      <c r="G78" t="s">
        <v>27247</v>
      </c>
      <c r="H78" t="s">
        <v>27248</v>
      </c>
      <c r="I78" t="s">
        <v>27403</v>
      </c>
      <c r="J78" t="s">
        <v>156</v>
      </c>
      <c r="L78" t="s">
        <v>27250</v>
      </c>
      <c r="M78" t="s">
        <v>27251</v>
      </c>
      <c r="N78" t="s">
        <v>27252</v>
      </c>
      <c r="Q78" s="1">
        <v>44538</v>
      </c>
      <c r="R78" t="s">
        <v>27253</v>
      </c>
      <c r="S78" t="s">
        <v>27254</v>
      </c>
      <c r="T78" t="s">
        <v>27269</v>
      </c>
    </row>
    <row r="79" spans="1:20" x14ac:dyDescent="0.3">
      <c r="A79" t="str">
        <f>"0611830504025"</f>
        <v>0611830504025</v>
      </c>
      <c r="B79" t="str">
        <f>"MC3993"</f>
        <v>MC3993</v>
      </c>
      <c r="C79" t="s">
        <v>27404</v>
      </c>
      <c r="D79" t="s">
        <v>27267</v>
      </c>
      <c r="E79" t="str">
        <f t="shared" si="1"/>
        <v>001390</v>
      </c>
      <c r="F79" t="s">
        <v>27246</v>
      </c>
      <c r="G79" t="s">
        <v>27247</v>
      </c>
      <c r="H79" t="s">
        <v>27248</v>
      </c>
      <c r="I79" t="s">
        <v>27405</v>
      </c>
      <c r="J79" t="s">
        <v>158</v>
      </c>
      <c r="L79" t="s">
        <v>27250</v>
      </c>
      <c r="M79" t="s">
        <v>27251</v>
      </c>
      <c r="N79" t="s">
        <v>27252</v>
      </c>
      <c r="Q79" s="1">
        <v>44538</v>
      </c>
      <c r="R79" t="s">
        <v>27253</v>
      </c>
      <c r="S79" t="s">
        <v>27254</v>
      </c>
      <c r="T79" t="s">
        <v>27269</v>
      </c>
    </row>
    <row r="80" spans="1:20" x14ac:dyDescent="0.3">
      <c r="A80" t="str">
        <f>"0611860424100"</f>
        <v>0611860424100</v>
      </c>
      <c r="B80" t="str">
        <f>"CN2404"</f>
        <v>CN2404</v>
      </c>
      <c r="C80" t="s">
        <v>27406</v>
      </c>
      <c r="D80" t="s">
        <v>27339</v>
      </c>
      <c r="E80" t="str">
        <f t="shared" si="1"/>
        <v>001390</v>
      </c>
      <c r="F80" t="s">
        <v>27246</v>
      </c>
      <c r="G80" t="s">
        <v>27247</v>
      </c>
      <c r="H80" t="s">
        <v>27248</v>
      </c>
      <c r="I80" t="s">
        <v>27407</v>
      </c>
      <c r="J80" t="s">
        <v>160</v>
      </c>
      <c r="L80" t="s">
        <v>27250</v>
      </c>
      <c r="M80" t="s">
        <v>27251</v>
      </c>
      <c r="N80" t="s">
        <v>27252</v>
      </c>
      <c r="Q80" s="1">
        <v>44846</v>
      </c>
      <c r="R80" t="s">
        <v>27253</v>
      </c>
      <c r="S80" t="s">
        <v>27254</v>
      </c>
      <c r="T80" t="s">
        <v>27255</v>
      </c>
    </row>
    <row r="81" spans="1:20" x14ac:dyDescent="0.3">
      <c r="A81" t="str">
        <f>"0611860425100"</f>
        <v>0611860425100</v>
      </c>
      <c r="B81" t="str">
        <f>"CN2337"</f>
        <v>CN2337</v>
      </c>
      <c r="C81" t="s">
        <v>27408</v>
      </c>
      <c r="D81" t="s">
        <v>27339</v>
      </c>
      <c r="E81" t="str">
        <f t="shared" si="1"/>
        <v>001390</v>
      </c>
      <c r="F81" t="s">
        <v>27246</v>
      </c>
      <c r="G81" t="s">
        <v>27247</v>
      </c>
      <c r="H81" t="s">
        <v>27248</v>
      </c>
      <c r="I81" t="s">
        <v>27409</v>
      </c>
      <c r="J81" t="s">
        <v>162</v>
      </c>
      <c r="L81" t="s">
        <v>27250</v>
      </c>
      <c r="M81" t="s">
        <v>27251</v>
      </c>
      <c r="N81" t="s">
        <v>27252</v>
      </c>
      <c r="Q81" s="1">
        <v>44846</v>
      </c>
      <c r="R81" t="s">
        <v>27253</v>
      </c>
      <c r="S81" t="s">
        <v>27254</v>
      </c>
      <c r="T81" t="s">
        <v>27255</v>
      </c>
    </row>
    <row r="82" spans="1:20" x14ac:dyDescent="0.3">
      <c r="A82" t="str">
        <f>"0611860426100"</f>
        <v>0611860426100</v>
      </c>
      <c r="B82" t="str">
        <f>"CN2338"</f>
        <v>CN2338</v>
      </c>
      <c r="C82" t="s">
        <v>27410</v>
      </c>
      <c r="D82" t="s">
        <v>27339</v>
      </c>
      <c r="E82" t="str">
        <f t="shared" si="1"/>
        <v>001390</v>
      </c>
      <c r="F82" t="s">
        <v>27246</v>
      </c>
      <c r="G82" t="s">
        <v>27247</v>
      </c>
      <c r="H82" t="s">
        <v>27248</v>
      </c>
      <c r="I82" t="s">
        <v>27411</v>
      </c>
      <c r="J82" t="s">
        <v>164</v>
      </c>
      <c r="L82" t="s">
        <v>27250</v>
      </c>
      <c r="M82" t="s">
        <v>27251</v>
      </c>
      <c r="N82" t="s">
        <v>27252</v>
      </c>
      <c r="Q82" s="1">
        <v>44846</v>
      </c>
      <c r="R82" t="s">
        <v>27253</v>
      </c>
      <c r="S82" t="s">
        <v>27254</v>
      </c>
      <c r="T82" t="s">
        <v>27255</v>
      </c>
    </row>
    <row r="83" spans="1:20" x14ac:dyDescent="0.3">
      <c r="A83" t="str">
        <f>"0611860427100"</f>
        <v>0611860427100</v>
      </c>
      <c r="B83" t="str">
        <f>"CN2339"</f>
        <v>CN2339</v>
      </c>
      <c r="C83" t="s">
        <v>27412</v>
      </c>
      <c r="D83" t="s">
        <v>27339</v>
      </c>
      <c r="E83" t="str">
        <f t="shared" si="1"/>
        <v>001390</v>
      </c>
      <c r="F83" t="s">
        <v>27246</v>
      </c>
      <c r="G83" t="s">
        <v>27247</v>
      </c>
      <c r="H83" t="s">
        <v>27248</v>
      </c>
      <c r="I83" t="s">
        <v>27413</v>
      </c>
      <c r="J83" t="s">
        <v>166</v>
      </c>
      <c r="L83" t="s">
        <v>27250</v>
      </c>
      <c r="M83" t="s">
        <v>27251</v>
      </c>
      <c r="N83" t="s">
        <v>27252</v>
      </c>
      <c r="Q83" s="1">
        <v>44846</v>
      </c>
      <c r="R83" t="s">
        <v>27253</v>
      </c>
      <c r="S83" t="s">
        <v>27254</v>
      </c>
      <c r="T83" t="s">
        <v>27255</v>
      </c>
    </row>
    <row r="84" spans="1:20" x14ac:dyDescent="0.3">
      <c r="A84" t="str">
        <f>"0611830505025"</f>
        <v>0611830505025</v>
      </c>
      <c r="B84" t="str">
        <f>"MC2624"</f>
        <v>MC2624</v>
      </c>
      <c r="C84" t="s">
        <v>27414</v>
      </c>
      <c r="D84" t="s">
        <v>27267</v>
      </c>
      <c r="E84" t="str">
        <f t="shared" si="1"/>
        <v>001390</v>
      </c>
      <c r="F84" t="s">
        <v>27246</v>
      </c>
      <c r="G84" t="s">
        <v>27247</v>
      </c>
      <c r="H84" t="s">
        <v>27248</v>
      </c>
      <c r="I84" t="s">
        <v>27415</v>
      </c>
      <c r="J84" t="s">
        <v>170</v>
      </c>
      <c r="L84" t="s">
        <v>27250</v>
      </c>
      <c r="M84" t="s">
        <v>27251</v>
      </c>
      <c r="N84" t="s">
        <v>27252</v>
      </c>
      <c r="Q84" s="1">
        <v>44538</v>
      </c>
      <c r="R84" t="s">
        <v>27253</v>
      </c>
      <c r="S84" t="s">
        <v>27254</v>
      </c>
      <c r="T84" t="s">
        <v>27269</v>
      </c>
    </row>
    <row r="85" spans="1:20" x14ac:dyDescent="0.3">
      <c r="A85" t="str">
        <f>"0611860428100"</f>
        <v>0611860428100</v>
      </c>
      <c r="B85" t="str">
        <f>"CN5004"</f>
        <v>CN5004</v>
      </c>
      <c r="C85" t="s">
        <v>27414</v>
      </c>
      <c r="D85" t="s">
        <v>27339</v>
      </c>
      <c r="E85" t="str">
        <f t="shared" si="1"/>
        <v>001390</v>
      </c>
      <c r="F85" t="s">
        <v>27246</v>
      </c>
      <c r="G85" t="s">
        <v>27247</v>
      </c>
      <c r="H85" t="s">
        <v>27248</v>
      </c>
      <c r="I85" t="s">
        <v>27416</v>
      </c>
      <c r="J85" t="s">
        <v>168</v>
      </c>
      <c r="L85" t="s">
        <v>27250</v>
      </c>
      <c r="M85" t="s">
        <v>27251</v>
      </c>
      <c r="N85" t="s">
        <v>27252</v>
      </c>
      <c r="Q85" s="1">
        <v>44846</v>
      </c>
      <c r="R85" t="s">
        <v>27253</v>
      </c>
      <c r="S85" t="s">
        <v>27254</v>
      </c>
      <c r="T85" t="s">
        <v>27255</v>
      </c>
    </row>
    <row r="86" spans="1:20" x14ac:dyDescent="0.3">
      <c r="A86" t="str">
        <f>"0611860429050"</f>
        <v>0611860429050</v>
      </c>
      <c r="B86" t="str">
        <f>"CR4152"</f>
        <v>CR4152</v>
      </c>
      <c r="C86" t="s">
        <v>27414</v>
      </c>
      <c r="D86" t="s">
        <v>27271</v>
      </c>
      <c r="E86" t="str">
        <f t="shared" si="1"/>
        <v>001390</v>
      </c>
      <c r="F86" t="s">
        <v>27246</v>
      </c>
      <c r="G86" t="s">
        <v>27247</v>
      </c>
      <c r="H86" t="s">
        <v>27248</v>
      </c>
      <c r="I86" t="s">
        <v>27417</v>
      </c>
      <c r="J86" t="s">
        <v>172</v>
      </c>
      <c r="L86" t="s">
        <v>27250</v>
      </c>
      <c r="M86" t="s">
        <v>27251</v>
      </c>
      <c r="N86" t="s">
        <v>27252</v>
      </c>
      <c r="Q86" s="1">
        <v>44846</v>
      </c>
      <c r="R86" t="s">
        <v>27253</v>
      </c>
      <c r="S86" t="s">
        <v>27254</v>
      </c>
      <c r="T86" t="s">
        <v>27265</v>
      </c>
    </row>
    <row r="87" spans="1:20" x14ac:dyDescent="0.3">
      <c r="A87" t="str">
        <f>"0611856808025"</f>
        <v>0611856808025</v>
      </c>
      <c r="B87" t="str">
        <f>"MQ0750"</f>
        <v>MQ0750</v>
      </c>
      <c r="C87" t="s">
        <v>27418</v>
      </c>
      <c r="D87" t="s">
        <v>27267</v>
      </c>
      <c r="E87" t="str">
        <f t="shared" si="1"/>
        <v>001390</v>
      </c>
      <c r="F87" t="s">
        <v>27246</v>
      </c>
      <c r="G87" t="s">
        <v>27247</v>
      </c>
      <c r="H87" t="s">
        <v>27248</v>
      </c>
      <c r="I87" t="s">
        <v>27419</v>
      </c>
      <c r="J87" t="s">
        <v>174</v>
      </c>
      <c r="L87" t="s">
        <v>27250</v>
      </c>
      <c r="M87" t="s">
        <v>27251</v>
      </c>
      <c r="N87" t="s">
        <v>27252</v>
      </c>
      <c r="Q87" s="1">
        <v>44812</v>
      </c>
      <c r="R87" t="s">
        <v>27253</v>
      </c>
      <c r="S87" t="s">
        <v>27254</v>
      </c>
      <c r="T87" t="s">
        <v>27269</v>
      </c>
    </row>
    <row r="88" spans="1:20" x14ac:dyDescent="0.3">
      <c r="A88" t="str">
        <f>"0611830506025"</f>
        <v>0611830506025</v>
      </c>
      <c r="B88" t="str">
        <f>"MQ0145"</f>
        <v>MQ0145</v>
      </c>
      <c r="C88" t="s">
        <v>27420</v>
      </c>
      <c r="D88" t="s">
        <v>27267</v>
      </c>
      <c r="E88" t="str">
        <f t="shared" si="1"/>
        <v>001390</v>
      </c>
      <c r="F88" t="s">
        <v>27246</v>
      </c>
      <c r="G88" t="s">
        <v>27247</v>
      </c>
      <c r="H88" t="s">
        <v>27248</v>
      </c>
      <c r="I88" t="s">
        <v>27421</v>
      </c>
      <c r="J88" t="s">
        <v>176</v>
      </c>
      <c r="L88" t="s">
        <v>27250</v>
      </c>
      <c r="M88" t="s">
        <v>27251</v>
      </c>
      <c r="N88" t="s">
        <v>27252</v>
      </c>
      <c r="Q88" s="1">
        <v>44538</v>
      </c>
      <c r="R88" t="s">
        <v>27253</v>
      </c>
      <c r="S88" t="s">
        <v>27254</v>
      </c>
      <c r="T88" t="s">
        <v>27269</v>
      </c>
    </row>
    <row r="89" spans="1:20" x14ac:dyDescent="0.3">
      <c r="A89" t="str">
        <f>"0611830507025"</f>
        <v>0611830507025</v>
      </c>
      <c r="B89" t="str">
        <f>"MC1504"</f>
        <v>MC1504</v>
      </c>
      <c r="C89" t="s">
        <v>27422</v>
      </c>
      <c r="D89" t="s">
        <v>27267</v>
      </c>
      <c r="E89" t="str">
        <f t="shared" si="1"/>
        <v>001390</v>
      </c>
      <c r="F89" t="s">
        <v>27246</v>
      </c>
      <c r="G89" t="s">
        <v>27247</v>
      </c>
      <c r="H89" t="s">
        <v>27248</v>
      </c>
      <c r="I89" t="s">
        <v>27423</v>
      </c>
      <c r="J89" t="s">
        <v>180</v>
      </c>
      <c r="L89" t="s">
        <v>27250</v>
      </c>
      <c r="M89" t="s">
        <v>27251</v>
      </c>
      <c r="N89" t="s">
        <v>27252</v>
      </c>
      <c r="Q89" s="1">
        <v>44538</v>
      </c>
      <c r="R89" t="s">
        <v>27253</v>
      </c>
      <c r="S89" t="s">
        <v>27254</v>
      </c>
      <c r="T89" t="s">
        <v>27269</v>
      </c>
    </row>
    <row r="90" spans="1:20" x14ac:dyDescent="0.3">
      <c r="A90" t="str">
        <f>"0611860430100"</f>
        <v>0611860430100</v>
      </c>
      <c r="B90" t="str">
        <f>"CN5003"</f>
        <v>CN5003</v>
      </c>
      <c r="C90" t="s">
        <v>27422</v>
      </c>
      <c r="D90" t="s">
        <v>27339</v>
      </c>
      <c r="E90" t="str">
        <f t="shared" si="1"/>
        <v>001390</v>
      </c>
      <c r="F90" t="s">
        <v>27246</v>
      </c>
      <c r="G90" t="s">
        <v>27247</v>
      </c>
      <c r="H90" t="s">
        <v>27248</v>
      </c>
      <c r="I90" t="s">
        <v>27424</v>
      </c>
      <c r="J90" t="s">
        <v>178</v>
      </c>
      <c r="L90" t="s">
        <v>27250</v>
      </c>
      <c r="M90" t="s">
        <v>27251</v>
      </c>
      <c r="N90" t="s">
        <v>27252</v>
      </c>
      <c r="Q90" s="1">
        <v>44846</v>
      </c>
      <c r="R90" t="s">
        <v>27253</v>
      </c>
      <c r="S90" t="s">
        <v>27254</v>
      </c>
      <c r="T90" t="s">
        <v>27255</v>
      </c>
    </row>
    <row r="91" spans="1:20" x14ac:dyDescent="0.3">
      <c r="A91" t="str">
        <f>"0611860431050"</f>
        <v>0611860431050</v>
      </c>
      <c r="B91" t="str">
        <f>"CR4151"</f>
        <v>CR4151</v>
      </c>
      <c r="C91" t="s">
        <v>27422</v>
      </c>
      <c r="D91" t="s">
        <v>27271</v>
      </c>
      <c r="E91" t="str">
        <f t="shared" si="1"/>
        <v>001390</v>
      </c>
      <c r="F91" t="s">
        <v>27246</v>
      </c>
      <c r="G91" t="s">
        <v>27247</v>
      </c>
      <c r="H91" t="s">
        <v>27248</v>
      </c>
      <c r="I91" t="s">
        <v>27425</v>
      </c>
      <c r="J91" t="s">
        <v>182</v>
      </c>
      <c r="L91" t="s">
        <v>27250</v>
      </c>
      <c r="M91" t="s">
        <v>27251</v>
      </c>
      <c r="N91" t="s">
        <v>27252</v>
      </c>
      <c r="Q91" s="1">
        <v>44846</v>
      </c>
      <c r="R91" t="s">
        <v>27253</v>
      </c>
      <c r="S91" t="s">
        <v>27254</v>
      </c>
      <c r="T91" t="s">
        <v>27265</v>
      </c>
    </row>
    <row r="92" spans="1:20" x14ac:dyDescent="0.3">
      <c r="A92" t="str">
        <f>"0611830509100"</f>
        <v>0611830509100</v>
      </c>
      <c r="B92" t="str">
        <f>"LH0200"</f>
        <v>LH0200</v>
      </c>
      <c r="C92" t="s">
        <v>27426</v>
      </c>
      <c r="D92" t="s">
        <v>27245</v>
      </c>
      <c r="E92" t="str">
        <f t="shared" si="1"/>
        <v>001390</v>
      </c>
      <c r="F92" t="s">
        <v>27246</v>
      </c>
      <c r="G92" t="s">
        <v>27247</v>
      </c>
      <c r="H92" t="s">
        <v>27248</v>
      </c>
      <c r="I92" t="s">
        <v>27427</v>
      </c>
      <c r="J92" t="s">
        <v>184</v>
      </c>
      <c r="L92" t="s">
        <v>27250</v>
      </c>
      <c r="M92" t="s">
        <v>27251</v>
      </c>
      <c r="N92" t="s">
        <v>27252</v>
      </c>
      <c r="Q92" s="1">
        <v>44538</v>
      </c>
      <c r="R92" t="s">
        <v>27253</v>
      </c>
      <c r="S92" t="s">
        <v>27254</v>
      </c>
      <c r="T92" t="s">
        <v>27255</v>
      </c>
    </row>
    <row r="93" spans="1:20" x14ac:dyDescent="0.3">
      <c r="A93" t="str">
        <f>"0611883987025"</f>
        <v>0611883987025</v>
      </c>
      <c r="B93" t="str">
        <f>"MQ0817"</f>
        <v>MQ0817</v>
      </c>
      <c r="C93" t="s">
        <v>27428</v>
      </c>
      <c r="D93" t="s">
        <v>27267</v>
      </c>
      <c r="E93" t="str">
        <f t="shared" si="1"/>
        <v>001390</v>
      </c>
      <c r="F93" t="s">
        <v>27246</v>
      </c>
      <c r="G93" t="s">
        <v>27247</v>
      </c>
      <c r="H93" t="s">
        <v>27248</v>
      </c>
      <c r="I93" t="s">
        <v>27429</v>
      </c>
      <c r="J93" t="s">
        <v>186</v>
      </c>
      <c r="L93" t="s">
        <v>27430</v>
      </c>
      <c r="M93" t="s">
        <v>27251</v>
      </c>
      <c r="N93" t="s">
        <v>27252</v>
      </c>
      <c r="Q93" s="1">
        <v>45250</v>
      </c>
      <c r="R93" t="s">
        <v>27253</v>
      </c>
      <c r="S93" t="s">
        <v>27254</v>
      </c>
      <c r="T93" t="s">
        <v>27269</v>
      </c>
    </row>
    <row r="94" spans="1:20" x14ac:dyDescent="0.3">
      <c r="A94" t="str">
        <f>"0611830511025"</f>
        <v>0611830511025</v>
      </c>
      <c r="B94" t="str">
        <f>"MC4341"</f>
        <v>MC4341</v>
      </c>
      <c r="C94" t="s">
        <v>27431</v>
      </c>
      <c r="D94" t="s">
        <v>27267</v>
      </c>
      <c r="E94" t="str">
        <f t="shared" si="1"/>
        <v>001390</v>
      </c>
      <c r="F94" t="s">
        <v>27246</v>
      </c>
      <c r="G94" t="s">
        <v>27247</v>
      </c>
      <c r="H94" t="s">
        <v>27248</v>
      </c>
      <c r="I94" t="s">
        <v>27432</v>
      </c>
      <c r="J94" t="s">
        <v>188</v>
      </c>
      <c r="L94" t="s">
        <v>27250</v>
      </c>
      <c r="M94" t="s">
        <v>27251</v>
      </c>
      <c r="N94" t="s">
        <v>27252</v>
      </c>
      <c r="Q94" s="1">
        <v>44538</v>
      </c>
      <c r="R94" t="s">
        <v>27253</v>
      </c>
      <c r="S94" t="s">
        <v>27254</v>
      </c>
      <c r="T94" t="s">
        <v>27269</v>
      </c>
    </row>
    <row r="95" spans="1:20" x14ac:dyDescent="0.3">
      <c r="A95" t="str">
        <f>"0611830512025"</f>
        <v>0611830512025</v>
      </c>
      <c r="B95" t="str">
        <f>"MQ0146"</f>
        <v>MQ0146</v>
      </c>
      <c r="C95" t="s">
        <v>27433</v>
      </c>
      <c r="D95" t="s">
        <v>27267</v>
      </c>
      <c r="E95" t="str">
        <f t="shared" si="1"/>
        <v>001390</v>
      </c>
      <c r="F95" t="s">
        <v>27246</v>
      </c>
      <c r="G95" t="s">
        <v>27247</v>
      </c>
      <c r="H95" t="s">
        <v>27248</v>
      </c>
      <c r="I95" t="s">
        <v>27434</v>
      </c>
      <c r="J95" t="s">
        <v>190</v>
      </c>
      <c r="L95" t="s">
        <v>27250</v>
      </c>
      <c r="M95" t="s">
        <v>27251</v>
      </c>
      <c r="N95" t="s">
        <v>27252</v>
      </c>
      <c r="Q95" s="1">
        <v>44538</v>
      </c>
      <c r="R95" t="s">
        <v>27253</v>
      </c>
      <c r="S95" t="s">
        <v>27254</v>
      </c>
      <c r="T95" t="s">
        <v>27269</v>
      </c>
    </row>
    <row r="96" spans="1:20" x14ac:dyDescent="0.3">
      <c r="A96" t="str">
        <f>"0611830513025"</f>
        <v>0611830513025</v>
      </c>
      <c r="B96" t="str">
        <f>"MQ0147"</f>
        <v>MQ0147</v>
      </c>
      <c r="C96" t="s">
        <v>27435</v>
      </c>
      <c r="D96" t="s">
        <v>27267</v>
      </c>
      <c r="E96" t="str">
        <f t="shared" si="1"/>
        <v>001390</v>
      </c>
      <c r="F96" t="s">
        <v>27246</v>
      </c>
      <c r="G96" t="s">
        <v>27247</v>
      </c>
      <c r="H96" t="s">
        <v>27248</v>
      </c>
      <c r="I96" t="s">
        <v>27436</v>
      </c>
      <c r="J96" t="s">
        <v>192</v>
      </c>
      <c r="L96" t="s">
        <v>27250</v>
      </c>
      <c r="M96" t="s">
        <v>27251</v>
      </c>
      <c r="N96" t="s">
        <v>27252</v>
      </c>
      <c r="Q96" s="1">
        <v>44538</v>
      </c>
      <c r="R96" t="s">
        <v>27253</v>
      </c>
      <c r="S96" t="s">
        <v>27254</v>
      </c>
      <c r="T96" t="s">
        <v>27269</v>
      </c>
    </row>
    <row r="97" spans="1:20" x14ac:dyDescent="0.3">
      <c r="A97" t="str">
        <f>"0611830514025"</f>
        <v>0611830514025</v>
      </c>
      <c r="B97" t="str">
        <f>"MQ0148"</f>
        <v>MQ0148</v>
      </c>
      <c r="C97" t="s">
        <v>27437</v>
      </c>
      <c r="D97" t="s">
        <v>27267</v>
      </c>
      <c r="E97" t="str">
        <f t="shared" si="1"/>
        <v>001390</v>
      </c>
      <c r="F97" t="s">
        <v>27246</v>
      </c>
      <c r="G97" t="s">
        <v>27247</v>
      </c>
      <c r="H97" t="s">
        <v>27248</v>
      </c>
      <c r="I97" t="s">
        <v>27438</v>
      </c>
      <c r="J97" t="s">
        <v>194</v>
      </c>
      <c r="L97" t="s">
        <v>27250</v>
      </c>
      <c r="M97" t="s">
        <v>27251</v>
      </c>
      <c r="N97" t="s">
        <v>27252</v>
      </c>
      <c r="Q97" s="1">
        <v>44538</v>
      </c>
      <c r="R97" t="s">
        <v>27253</v>
      </c>
      <c r="S97" t="s">
        <v>27254</v>
      </c>
      <c r="T97" t="s">
        <v>27269</v>
      </c>
    </row>
    <row r="98" spans="1:20" x14ac:dyDescent="0.3">
      <c r="A98" t="str">
        <f>"0611830515025"</f>
        <v>0611830515025</v>
      </c>
      <c r="B98" t="str">
        <f>"MQ0149"</f>
        <v>MQ0149</v>
      </c>
      <c r="C98" t="s">
        <v>27439</v>
      </c>
      <c r="D98" t="s">
        <v>27267</v>
      </c>
      <c r="E98" t="str">
        <f t="shared" si="1"/>
        <v>001390</v>
      </c>
      <c r="F98" t="s">
        <v>27246</v>
      </c>
      <c r="G98" t="s">
        <v>27247</v>
      </c>
      <c r="H98" t="s">
        <v>27248</v>
      </c>
      <c r="I98" t="s">
        <v>27440</v>
      </c>
      <c r="J98" t="s">
        <v>196</v>
      </c>
      <c r="L98" t="s">
        <v>27250</v>
      </c>
      <c r="M98" t="s">
        <v>27251</v>
      </c>
      <c r="N98" t="s">
        <v>27252</v>
      </c>
      <c r="Q98" s="1">
        <v>44538</v>
      </c>
      <c r="R98" t="s">
        <v>27253</v>
      </c>
      <c r="S98" t="s">
        <v>27254</v>
      </c>
      <c r="T98" t="s">
        <v>27269</v>
      </c>
    </row>
    <row r="99" spans="1:20" x14ac:dyDescent="0.3">
      <c r="A99" t="str">
        <f>"0611830516025"</f>
        <v>0611830516025</v>
      </c>
      <c r="B99" t="str">
        <f>"MQ0404"</f>
        <v>MQ0404</v>
      </c>
      <c r="C99" t="s">
        <v>27441</v>
      </c>
      <c r="D99" t="s">
        <v>27267</v>
      </c>
      <c r="E99" t="str">
        <f t="shared" si="1"/>
        <v>001390</v>
      </c>
      <c r="F99" t="s">
        <v>27246</v>
      </c>
      <c r="G99" t="s">
        <v>27247</v>
      </c>
      <c r="H99" t="s">
        <v>27248</v>
      </c>
      <c r="I99" t="s">
        <v>27442</v>
      </c>
      <c r="J99" t="s">
        <v>198</v>
      </c>
      <c r="L99" t="s">
        <v>27250</v>
      </c>
      <c r="M99" t="s">
        <v>27251</v>
      </c>
      <c r="N99" t="s">
        <v>27252</v>
      </c>
      <c r="Q99" s="1">
        <v>44538</v>
      </c>
      <c r="R99" t="s">
        <v>27253</v>
      </c>
      <c r="S99" t="s">
        <v>27254</v>
      </c>
      <c r="T99" t="s">
        <v>27269</v>
      </c>
    </row>
    <row r="100" spans="1:20" x14ac:dyDescent="0.3">
      <c r="A100" t="str">
        <f>"0611860432050"</f>
        <v>0611860432050</v>
      </c>
      <c r="B100" t="str">
        <f>"CR3919"</f>
        <v>CR3919</v>
      </c>
      <c r="C100" t="s">
        <v>27443</v>
      </c>
      <c r="D100" t="s">
        <v>27263</v>
      </c>
      <c r="E100" t="str">
        <f t="shared" si="1"/>
        <v>001390</v>
      </c>
      <c r="F100" t="s">
        <v>27246</v>
      </c>
      <c r="G100" t="s">
        <v>27247</v>
      </c>
      <c r="H100" t="s">
        <v>27248</v>
      </c>
      <c r="I100" t="s">
        <v>27444</v>
      </c>
      <c r="J100" t="s">
        <v>200</v>
      </c>
      <c r="L100" t="s">
        <v>27250</v>
      </c>
      <c r="M100" t="s">
        <v>27251</v>
      </c>
      <c r="N100" t="s">
        <v>27252</v>
      </c>
      <c r="Q100" s="1">
        <v>44846</v>
      </c>
      <c r="R100" t="s">
        <v>27253</v>
      </c>
      <c r="S100" t="s">
        <v>27254</v>
      </c>
      <c r="T100" t="s">
        <v>27265</v>
      </c>
    </row>
    <row r="101" spans="1:20" x14ac:dyDescent="0.3">
      <c r="A101" t="str">
        <f>"0611860433050"</f>
        <v>0611860433050</v>
      </c>
      <c r="B101" t="str">
        <f>"CR3984"</f>
        <v>CR3984</v>
      </c>
      <c r="C101" t="s">
        <v>27445</v>
      </c>
      <c r="D101" t="s">
        <v>27263</v>
      </c>
      <c r="E101" t="str">
        <f t="shared" si="1"/>
        <v>001390</v>
      </c>
      <c r="F101" t="s">
        <v>27246</v>
      </c>
      <c r="G101" t="s">
        <v>27247</v>
      </c>
      <c r="H101" t="s">
        <v>27248</v>
      </c>
      <c r="I101" t="s">
        <v>27446</v>
      </c>
      <c r="J101" t="s">
        <v>202</v>
      </c>
      <c r="L101" t="s">
        <v>27250</v>
      </c>
      <c r="M101" t="s">
        <v>27251</v>
      </c>
      <c r="N101" t="s">
        <v>27252</v>
      </c>
      <c r="Q101" s="1">
        <v>44846</v>
      </c>
      <c r="R101" t="s">
        <v>27253</v>
      </c>
      <c r="S101" t="s">
        <v>27254</v>
      </c>
      <c r="T101" t="s">
        <v>27265</v>
      </c>
    </row>
    <row r="102" spans="1:20" x14ac:dyDescent="0.3">
      <c r="A102" t="str">
        <f>"0611830517025"</f>
        <v>0611830517025</v>
      </c>
      <c r="B102" t="str">
        <f>"MQ0150"</f>
        <v>MQ0150</v>
      </c>
      <c r="C102" t="s">
        <v>27447</v>
      </c>
      <c r="D102" t="s">
        <v>27267</v>
      </c>
      <c r="E102" t="str">
        <f t="shared" si="1"/>
        <v>001390</v>
      </c>
      <c r="F102" t="s">
        <v>27246</v>
      </c>
      <c r="G102" t="s">
        <v>27247</v>
      </c>
      <c r="H102" t="s">
        <v>27248</v>
      </c>
      <c r="I102" t="s">
        <v>27448</v>
      </c>
      <c r="J102" t="s">
        <v>204</v>
      </c>
      <c r="L102" t="s">
        <v>27250</v>
      </c>
      <c r="M102" t="s">
        <v>27251</v>
      </c>
      <c r="N102" t="s">
        <v>27252</v>
      </c>
      <c r="Q102" s="1">
        <v>44538</v>
      </c>
      <c r="R102" t="s">
        <v>27253</v>
      </c>
      <c r="S102" t="s">
        <v>27254</v>
      </c>
      <c r="T102" t="s">
        <v>27269</v>
      </c>
    </row>
    <row r="103" spans="1:20" x14ac:dyDescent="0.3">
      <c r="A103" t="str">
        <f>"0611830518025"</f>
        <v>0611830518025</v>
      </c>
      <c r="B103" t="str">
        <f>"MQ0151"</f>
        <v>MQ0151</v>
      </c>
      <c r="C103" t="s">
        <v>27449</v>
      </c>
      <c r="D103" t="s">
        <v>27267</v>
      </c>
      <c r="E103" t="str">
        <f t="shared" si="1"/>
        <v>001390</v>
      </c>
      <c r="F103" t="s">
        <v>27246</v>
      </c>
      <c r="G103" t="s">
        <v>27247</v>
      </c>
      <c r="H103" t="s">
        <v>27248</v>
      </c>
      <c r="I103" t="s">
        <v>27450</v>
      </c>
      <c r="J103" t="s">
        <v>206</v>
      </c>
      <c r="L103" t="s">
        <v>27250</v>
      </c>
      <c r="M103" t="s">
        <v>27251</v>
      </c>
      <c r="N103" t="s">
        <v>27252</v>
      </c>
      <c r="Q103" s="1">
        <v>44538</v>
      </c>
      <c r="R103" t="s">
        <v>27253</v>
      </c>
      <c r="S103" t="s">
        <v>27254</v>
      </c>
      <c r="T103" t="s">
        <v>27269</v>
      </c>
    </row>
    <row r="104" spans="1:20" x14ac:dyDescent="0.3">
      <c r="A104" t="str">
        <f>"0611830519025"</f>
        <v>0611830519025</v>
      </c>
      <c r="B104" t="str">
        <f>"MQ3116"</f>
        <v>MQ3116</v>
      </c>
      <c r="C104" t="s">
        <v>27451</v>
      </c>
      <c r="D104" t="s">
        <v>27267</v>
      </c>
      <c r="E104" t="str">
        <f t="shared" si="1"/>
        <v>001390</v>
      </c>
      <c r="F104" t="s">
        <v>27246</v>
      </c>
      <c r="G104" t="s">
        <v>27247</v>
      </c>
      <c r="H104" t="s">
        <v>27248</v>
      </c>
      <c r="I104" t="s">
        <v>27452</v>
      </c>
      <c r="J104" t="s">
        <v>208</v>
      </c>
      <c r="L104" t="s">
        <v>27250</v>
      </c>
      <c r="M104" t="s">
        <v>27251</v>
      </c>
      <c r="N104" t="s">
        <v>27252</v>
      </c>
      <c r="Q104" s="1">
        <v>44538</v>
      </c>
      <c r="R104" t="s">
        <v>27253</v>
      </c>
      <c r="S104" t="s">
        <v>27254</v>
      </c>
      <c r="T104" t="s">
        <v>27269</v>
      </c>
    </row>
    <row r="105" spans="1:20" x14ac:dyDescent="0.3">
      <c r="A105" t="str">
        <f>"0611830520025"</f>
        <v>0611830520025</v>
      </c>
      <c r="B105" t="str">
        <f>"MQ5156"</f>
        <v>MQ5156</v>
      </c>
      <c r="C105" t="s">
        <v>27453</v>
      </c>
      <c r="D105" t="s">
        <v>27267</v>
      </c>
      <c r="E105" t="str">
        <f t="shared" si="1"/>
        <v>001390</v>
      </c>
      <c r="F105" t="s">
        <v>27246</v>
      </c>
      <c r="G105" t="s">
        <v>27247</v>
      </c>
      <c r="H105" t="s">
        <v>27248</v>
      </c>
      <c r="I105" t="s">
        <v>27454</v>
      </c>
      <c r="J105" t="s">
        <v>210</v>
      </c>
      <c r="L105" t="s">
        <v>27250</v>
      </c>
      <c r="M105" t="s">
        <v>27251</v>
      </c>
      <c r="N105" t="s">
        <v>27252</v>
      </c>
      <c r="Q105" s="1">
        <v>44538</v>
      </c>
      <c r="R105" t="s">
        <v>27253</v>
      </c>
      <c r="S105" t="s">
        <v>27254</v>
      </c>
      <c r="T105" t="s">
        <v>27269</v>
      </c>
    </row>
    <row r="106" spans="1:20" x14ac:dyDescent="0.3">
      <c r="A106" t="str">
        <f>"0611860434050"</f>
        <v>0611860434050</v>
      </c>
      <c r="B106" t="str">
        <f>"CR3920"</f>
        <v>CR3920</v>
      </c>
      <c r="C106" t="s">
        <v>27455</v>
      </c>
      <c r="D106" t="s">
        <v>27263</v>
      </c>
      <c r="E106" t="str">
        <f t="shared" si="1"/>
        <v>001390</v>
      </c>
      <c r="F106" t="s">
        <v>27246</v>
      </c>
      <c r="G106" t="s">
        <v>27247</v>
      </c>
      <c r="H106" t="s">
        <v>27248</v>
      </c>
      <c r="I106" t="s">
        <v>27456</v>
      </c>
      <c r="J106" t="s">
        <v>212</v>
      </c>
      <c r="L106" t="s">
        <v>27250</v>
      </c>
      <c r="M106" t="s">
        <v>27251</v>
      </c>
      <c r="N106" t="s">
        <v>27252</v>
      </c>
      <c r="Q106" s="1">
        <v>44846</v>
      </c>
      <c r="R106" t="s">
        <v>27253</v>
      </c>
      <c r="S106" t="s">
        <v>27254</v>
      </c>
      <c r="T106" t="s">
        <v>27265</v>
      </c>
    </row>
    <row r="107" spans="1:20" x14ac:dyDescent="0.3">
      <c r="A107" t="str">
        <f>"0611883988025"</f>
        <v>0611883988025</v>
      </c>
      <c r="B107" t="str">
        <f>"MQ0818"</f>
        <v>MQ0818</v>
      </c>
      <c r="C107" t="s">
        <v>27457</v>
      </c>
      <c r="D107" t="s">
        <v>27267</v>
      </c>
      <c r="E107" t="str">
        <f t="shared" si="1"/>
        <v>001390</v>
      </c>
      <c r="F107" t="s">
        <v>27246</v>
      </c>
      <c r="G107" t="s">
        <v>27247</v>
      </c>
      <c r="H107" t="s">
        <v>27248</v>
      </c>
      <c r="I107" t="s">
        <v>27458</v>
      </c>
      <c r="J107" t="s">
        <v>214</v>
      </c>
      <c r="L107" t="s">
        <v>27430</v>
      </c>
      <c r="M107" t="s">
        <v>27251</v>
      </c>
      <c r="N107" t="s">
        <v>27252</v>
      </c>
      <c r="Q107" s="1">
        <v>45250</v>
      </c>
      <c r="R107" t="s">
        <v>27253</v>
      </c>
      <c r="S107" t="s">
        <v>27254</v>
      </c>
      <c r="T107" t="s">
        <v>27269</v>
      </c>
    </row>
    <row r="108" spans="1:20" x14ac:dyDescent="0.3">
      <c r="A108" t="str">
        <f>"0611830521025"</f>
        <v>0611830521025</v>
      </c>
      <c r="B108" t="str">
        <f>"MQ0405"</f>
        <v>MQ0405</v>
      </c>
      <c r="C108" t="s">
        <v>27459</v>
      </c>
      <c r="D108" t="s">
        <v>27267</v>
      </c>
      <c r="E108" t="str">
        <f t="shared" si="1"/>
        <v>001390</v>
      </c>
      <c r="F108" t="s">
        <v>27246</v>
      </c>
      <c r="G108" t="s">
        <v>27247</v>
      </c>
      <c r="H108" t="s">
        <v>27248</v>
      </c>
      <c r="I108" t="s">
        <v>27460</v>
      </c>
      <c r="J108" t="s">
        <v>216</v>
      </c>
      <c r="L108" t="s">
        <v>27250</v>
      </c>
      <c r="M108" t="s">
        <v>27251</v>
      </c>
      <c r="N108" t="s">
        <v>27252</v>
      </c>
      <c r="Q108" s="1">
        <v>44538</v>
      </c>
      <c r="R108" t="s">
        <v>27253</v>
      </c>
      <c r="S108" t="s">
        <v>27254</v>
      </c>
      <c r="T108" t="s">
        <v>27269</v>
      </c>
    </row>
    <row r="109" spans="1:20" x14ac:dyDescent="0.3">
      <c r="A109" t="str">
        <f>"0611860435050"</f>
        <v>0611860435050</v>
      </c>
      <c r="B109" t="str">
        <f>"CR3921"</f>
        <v>CR3921</v>
      </c>
      <c r="C109" t="s">
        <v>27459</v>
      </c>
      <c r="D109" t="s">
        <v>27263</v>
      </c>
      <c r="E109" t="str">
        <f t="shared" si="1"/>
        <v>001390</v>
      </c>
      <c r="F109" t="s">
        <v>27246</v>
      </c>
      <c r="G109" t="s">
        <v>27247</v>
      </c>
      <c r="H109" t="s">
        <v>27248</v>
      </c>
      <c r="I109" t="s">
        <v>27461</v>
      </c>
      <c r="J109" t="s">
        <v>218</v>
      </c>
      <c r="L109" t="s">
        <v>27250</v>
      </c>
      <c r="M109" t="s">
        <v>27251</v>
      </c>
      <c r="N109" t="s">
        <v>27252</v>
      </c>
      <c r="Q109" s="1">
        <v>44846</v>
      </c>
      <c r="R109" t="s">
        <v>27253</v>
      </c>
      <c r="S109" t="s">
        <v>27254</v>
      </c>
      <c r="T109" t="s">
        <v>27265</v>
      </c>
    </row>
    <row r="110" spans="1:20" x14ac:dyDescent="0.3">
      <c r="A110" t="str">
        <f>"0611830522025"</f>
        <v>0611830522025</v>
      </c>
      <c r="B110" t="str">
        <f>"MQ0406"</f>
        <v>MQ0406</v>
      </c>
      <c r="C110" t="s">
        <v>27462</v>
      </c>
      <c r="D110" t="s">
        <v>27267</v>
      </c>
      <c r="E110" t="str">
        <f t="shared" si="1"/>
        <v>001390</v>
      </c>
      <c r="F110" t="s">
        <v>27246</v>
      </c>
      <c r="G110" t="s">
        <v>27247</v>
      </c>
      <c r="H110" t="s">
        <v>27248</v>
      </c>
      <c r="I110" t="s">
        <v>27463</v>
      </c>
      <c r="J110" t="s">
        <v>220</v>
      </c>
      <c r="L110" t="s">
        <v>27250</v>
      </c>
      <c r="M110" t="s">
        <v>27251</v>
      </c>
      <c r="N110" t="s">
        <v>27252</v>
      </c>
      <c r="Q110" s="1">
        <v>44538</v>
      </c>
      <c r="R110" t="s">
        <v>27253</v>
      </c>
      <c r="S110" t="s">
        <v>27254</v>
      </c>
      <c r="T110" t="s">
        <v>27269</v>
      </c>
    </row>
    <row r="111" spans="1:20" x14ac:dyDescent="0.3">
      <c r="A111" t="str">
        <f>"0611860436050"</f>
        <v>0611860436050</v>
      </c>
      <c r="B111" t="str">
        <f>"CR3922"</f>
        <v>CR3922</v>
      </c>
      <c r="C111" t="s">
        <v>27462</v>
      </c>
      <c r="D111" t="s">
        <v>27263</v>
      </c>
      <c r="E111" t="str">
        <f t="shared" si="1"/>
        <v>001390</v>
      </c>
      <c r="F111" t="s">
        <v>27246</v>
      </c>
      <c r="G111" t="s">
        <v>27247</v>
      </c>
      <c r="H111" t="s">
        <v>27248</v>
      </c>
      <c r="I111" t="s">
        <v>27464</v>
      </c>
      <c r="J111" t="s">
        <v>222</v>
      </c>
      <c r="L111" t="s">
        <v>27250</v>
      </c>
      <c r="M111" t="s">
        <v>27251</v>
      </c>
      <c r="N111" t="s">
        <v>27252</v>
      </c>
      <c r="Q111" s="1">
        <v>44846</v>
      </c>
      <c r="R111" t="s">
        <v>27253</v>
      </c>
      <c r="S111" t="s">
        <v>27254</v>
      </c>
      <c r="T111" t="s">
        <v>27265</v>
      </c>
    </row>
    <row r="112" spans="1:20" x14ac:dyDescent="0.3">
      <c r="A112" t="str">
        <f>"0611830523025"</f>
        <v>0611830523025</v>
      </c>
      <c r="B112" t="str">
        <f>"MQ0407"</f>
        <v>MQ0407</v>
      </c>
      <c r="C112" t="s">
        <v>27465</v>
      </c>
      <c r="D112" t="s">
        <v>27267</v>
      </c>
      <c r="E112" t="str">
        <f t="shared" si="1"/>
        <v>001390</v>
      </c>
      <c r="F112" t="s">
        <v>27246</v>
      </c>
      <c r="G112" t="s">
        <v>27247</v>
      </c>
      <c r="H112" t="s">
        <v>27248</v>
      </c>
      <c r="I112" t="s">
        <v>27466</v>
      </c>
      <c r="J112" t="s">
        <v>224</v>
      </c>
      <c r="L112" t="s">
        <v>27250</v>
      </c>
      <c r="M112" t="s">
        <v>27251</v>
      </c>
      <c r="N112" t="s">
        <v>27252</v>
      </c>
      <c r="Q112" s="1">
        <v>44538</v>
      </c>
      <c r="R112" t="s">
        <v>27253</v>
      </c>
      <c r="S112" t="s">
        <v>27254</v>
      </c>
      <c r="T112" t="s">
        <v>27269</v>
      </c>
    </row>
    <row r="113" spans="1:20" x14ac:dyDescent="0.3">
      <c r="A113" t="str">
        <f>"0611860437050"</f>
        <v>0611860437050</v>
      </c>
      <c r="B113" t="str">
        <f>"CR3924"</f>
        <v>CR3924</v>
      </c>
      <c r="C113" t="s">
        <v>27465</v>
      </c>
      <c r="D113" t="s">
        <v>27263</v>
      </c>
      <c r="E113" t="str">
        <f t="shared" si="1"/>
        <v>001390</v>
      </c>
      <c r="F113" t="s">
        <v>27246</v>
      </c>
      <c r="G113" t="s">
        <v>27247</v>
      </c>
      <c r="H113" t="s">
        <v>27248</v>
      </c>
      <c r="I113" t="s">
        <v>27467</v>
      </c>
      <c r="J113" t="s">
        <v>226</v>
      </c>
      <c r="L113" t="s">
        <v>27250</v>
      </c>
      <c r="M113" t="s">
        <v>27251</v>
      </c>
      <c r="N113" t="s">
        <v>27252</v>
      </c>
      <c r="Q113" s="1">
        <v>44846</v>
      </c>
      <c r="R113" t="s">
        <v>27253</v>
      </c>
      <c r="S113" t="s">
        <v>27254</v>
      </c>
      <c r="T113" t="s">
        <v>27265</v>
      </c>
    </row>
    <row r="114" spans="1:20" x14ac:dyDescent="0.3">
      <c r="A114" t="str">
        <f>"0611830524025"</f>
        <v>0611830524025</v>
      </c>
      <c r="B114" t="str">
        <f>"MQ0408"</f>
        <v>MQ0408</v>
      </c>
      <c r="C114" t="s">
        <v>27468</v>
      </c>
      <c r="D114" t="s">
        <v>27267</v>
      </c>
      <c r="E114" t="str">
        <f t="shared" si="1"/>
        <v>001390</v>
      </c>
      <c r="F114" t="s">
        <v>27246</v>
      </c>
      <c r="G114" t="s">
        <v>27247</v>
      </c>
      <c r="H114" t="s">
        <v>27248</v>
      </c>
      <c r="I114" t="s">
        <v>27469</v>
      </c>
      <c r="J114" t="s">
        <v>228</v>
      </c>
      <c r="L114" t="s">
        <v>27250</v>
      </c>
      <c r="M114" t="s">
        <v>27251</v>
      </c>
      <c r="N114" t="s">
        <v>27252</v>
      </c>
      <c r="Q114" s="1">
        <v>44538</v>
      </c>
      <c r="R114" t="s">
        <v>27253</v>
      </c>
      <c r="S114" t="s">
        <v>27254</v>
      </c>
      <c r="T114" t="s">
        <v>27269</v>
      </c>
    </row>
    <row r="115" spans="1:20" x14ac:dyDescent="0.3">
      <c r="A115" t="str">
        <f>"0611860438050"</f>
        <v>0611860438050</v>
      </c>
      <c r="B115" t="str">
        <f>"CR3925"</f>
        <v>CR3925</v>
      </c>
      <c r="C115" t="s">
        <v>27468</v>
      </c>
      <c r="D115" t="s">
        <v>27263</v>
      </c>
      <c r="E115" t="str">
        <f t="shared" si="1"/>
        <v>001390</v>
      </c>
      <c r="F115" t="s">
        <v>27246</v>
      </c>
      <c r="G115" t="s">
        <v>27247</v>
      </c>
      <c r="H115" t="s">
        <v>27248</v>
      </c>
      <c r="I115" t="s">
        <v>27470</v>
      </c>
      <c r="J115" t="s">
        <v>230</v>
      </c>
      <c r="L115" t="s">
        <v>27250</v>
      </c>
      <c r="M115" t="s">
        <v>27251</v>
      </c>
      <c r="N115" t="s">
        <v>27252</v>
      </c>
      <c r="Q115" s="1">
        <v>44846</v>
      </c>
      <c r="R115" t="s">
        <v>27253</v>
      </c>
      <c r="S115" t="s">
        <v>27254</v>
      </c>
      <c r="T115" t="s">
        <v>27265</v>
      </c>
    </row>
    <row r="116" spans="1:20" x14ac:dyDescent="0.3">
      <c r="A116" t="str">
        <f>"0611830525025"</f>
        <v>0611830525025</v>
      </c>
      <c r="B116" t="str">
        <f>"MQ0152"</f>
        <v>MQ0152</v>
      </c>
      <c r="C116" t="s">
        <v>27471</v>
      </c>
      <c r="D116" t="s">
        <v>27267</v>
      </c>
      <c r="E116" t="str">
        <f t="shared" si="1"/>
        <v>001390</v>
      </c>
      <c r="F116" t="s">
        <v>27246</v>
      </c>
      <c r="G116" t="s">
        <v>27247</v>
      </c>
      <c r="H116" t="s">
        <v>27248</v>
      </c>
      <c r="I116" t="s">
        <v>27472</v>
      </c>
      <c r="J116" t="s">
        <v>232</v>
      </c>
      <c r="L116" t="s">
        <v>27250</v>
      </c>
      <c r="M116" t="s">
        <v>27251</v>
      </c>
      <c r="N116" t="s">
        <v>27252</v>
      </c>
      <c r="Q116" s="1">
        <v>44538</v>
      </c>
      <c r="R116" t="s">
        <v>27253</v>
      </c>
      <c r="S116" t="s">
        <v>27254</v>
      </c>
      <c r="T116" t="s">
        <v>27269</v>
      </c>
    </row>
    <row r="117" spans="1:20" x14ac:dyDescent="0.3">
      <c r="A117" t="str">
        <f>"0611830527025"</f>
        <v>0611830527025</v>
      </c>
      <c r="B117" t="str">
        <f>"MQ6000"</f>
        <v>MQ6000</v>
      </c>
      <c r="C117" t="s">
        <v>27473</v>
      </c>
      <c r="D117" t="s">
        <v>27267</v>
      </c>
      <c r="E117" t="str">
        <f t="shared" si="1"/>
        <v>001390</v>
      </c>
      <c r="F117" t="s">
        <v>27246</v>
      </c>
      <c r="G117" t="s">
        <v>27247</v>
      </c>
      <c r="H117" t="s">
        <v>27248</v>
      </c>
      <c r="I117" t="s">
        <v>27474</v>
      </c>
      <c r="J117" t="s">
        <v>234</v>
      </c>
      <c r="L117" t="s">
        <v>27250</v>
      </c>
      <c r="M117" t="s">
        <v>27251</v>
      </c>
      <c r="N117" t="s">
        <v>27252</v>
      </c>
      <c r="Q117" s="1">
        <v>44538</v>
      </c>
      <c r="R117" t="s">
        <v>27253</v>
      </c>
      <c r="S117" t="s">
        <v>27254</v>
      </c>
      <c r="T117" t="s">
        <v>27269</v>
      </c>
    </row>
    <row r="118" spans="1:20" x14ac:dyDescent="0.3">
      <c r="A118" t="str">
        <f>"0611830528025"</f>
        <v>0611830528025</v>
      </c>
      <c r="B118" t="str">
        <f>"MQ0635"</f>
        <v>MQ0635</v>
      </c>
      <c r="C118" t="s">
        <v>27475</v>
      </c>
      <c r="D118" t="s">
        <v>27267</v>
      </c>
      <c r="E118" t="str">
        <f t="shared" si="1"/>
        <v>001390</v>
      </c>
      <c r="F118" t="s">
        <v>27246</v>
      </c>
      <c r="G118" t="s">
        <v>27247</v>
      </c>
      <c r="H118" t="s">
        <v>27248</v>
      </c>
      <c r="I118" t="s">
        <v>27476</v>
      </c>
      <c r="J118" t="s">
        <v>236</v>
      </c>
      <c r="L118" t="s">
        <v>27250</v>
      </c>
      <c r="M118" t="s">
        <v>27251</v>
      </c>
      <c r="N118" t="s">
        <v>27252</v>
      </c>
      <c r="Q118" s="1">
        <v>44538</v>
      </c>
      <c r="R118" t="s">
        <v>27253</v>
      </c>
      <c r="S118" t="s">
        <v>27254</v>
      </c>
      <c r="T118" t="s">
        <v>27269</v>
      </c>
    </row>
    <row r="119" spans="1:20" x14ac:dyDescent="0.3">
      <c r="A119" t="str">
        <f>"0611830529025"</f>
        <v>0611830529025</v>
      </c>
      <c r="B119" t="str">
        <f>"MQ6001"</f>
        <v>MQ6001</v>
      </c>
      <c r="C119" t="s">
        <v>27477</v>
      </c>
      <c r="D119" t="s">
        <v>27267</v>
      </c>
      <c r="E119" t="str">
        <f t="shared" si="1"/>
        <v>001390</v>
      </c>
      <c r="F119" t="s">
        <v>27246</v>
      </c>
      <c r="G119" t="s">
        <v>27247</v>
      </c>
      <c r="H119" t="s">
        <v>27248</v>
      </c>
      <c r="I119" t="s">
        <v>27478</v>
      </c>
      <c r="J119" t="s">
        <v>238</v>
      </c>
      <c r="L119" t="s">
        <v>27250</v>
      </c>
      <c r="M119" t="s">
        <v>27251</v>
      </c>
      <c r="N119" t="s">
        <v>27252</v>
      </c>
      <c r="Q119" s="1">
        <v>44538</v>
      </c>
      <c r="R119" t="s">
        <v>27253</v>
      </c>
      <c r="S119" t="s">
        <v>27254</v>
      </c>
      <c r="T119" t="s">
        <v>27269</v>
      </c>
    </row>
    <row r="120" spans="1:20" x14ac:dyDescent="0.3">
      <c r="A120" t="str">
        <f>"0611830530025"</f>
        <v>0611830530025</v>
      </c>
      <c r="B120" t="str">
        <f>"MQ0683"</f>
        <v>MQ0683</v>
      </c>
      <c r="C120" t="s">
        <v>27479</v>
      </c>
      <c r="D120" t="s">
        <v>27267</v>
      </c>
      <c r="E120" t="str">
        <f t="shared" si="1"/>
        <v>001390</v>
      </c>
      <c r="F120" t="s">
        <v>27246</v>
      </c>
      <c r="G120" t="s">
        <v>27247</v>
      </c>
      <c r="H120" t="s">
        <v>27248</v>
      </c>
      <c r="I120" t="s">
        <v>27480</v>
      </c>
      <c r="J120" t="s">
        <v>240</v>
      </c>
      <c r="L120" t="s">
        <v>27250</v>
      </c>
      <c r="M120" t="s">
        <v>27251</v>
      </c>
      <c r="N120" t="s">
        <v>27252</v>
      </c>
      <c r="Q120" s="1">
        <v>44538</v>
      </c>
      <c r="R120" t="s">
        <v>27253</v>
      </c>
      <c r="S120" t="s">
        <v>27254</v>
      </c>
      <c r="T120" t="s">
        <v>27269</v>
      </c>
    </row>
    <row r="121" spans="1:20" x14ac:dyDescent="0.3">
      <c r="A121" t="str">
        <f>"0611830531025"</f>
        <v>0611830531025</v>
      </c>
      <c r="B121" t="str">
        <f>"MQ0684"</f>
        <v>MQ0684</v>
      </c>
      <c r="C121" t="s">
        <v>27481</v>
      </c>
      <c r="D121" t="s">
        <v>27267</v>
      </c>
      <c r="E121" t="str">
        <f t="shared" si="1"/>
        <v>001390</v>
      </c>
      <c r="F121" t="s">
        <v>27246</v>
      </c>
      <c r="G121" t="s">
        <v>27247</v>
      </c>
      <c r="H121" t="s">
        <v>27248</v>
      </c>
      <c r="I121" t="s">
        <v>27482</v>
      </c>
      <c r="J121" t="s">
        <v>242</v>
      </c>
      <c r="L121" t="s">
        <v>27250</v>
      </c>
      <c r="M121" t="s">
        <v>27251</v>
      </c>
      <c r="N121" t="s">
        <v>27252</v>
      </c>
      <c r="Q121" s="1">
        <v>44538</v>
      </c>
      <c r="R121" t="s">
        <v>27253</v>
      </c>
      <c r="S121" t="s">
        <v>27254</v>
      </c>
      <c r="T121" t="s">
        <v>27269</v>
      </c>
    </row>
    <row r="122" spans="1:20" x14ac:dyDescent="0.3">
      <c r="A122" t="str">
        <f>"0611830532025"</f>
        <v>0611830532025</v>
      </c>
      <c r="B122" t="str">
        <f>"MQ0459"</f>
        <v>MQ0459</v>
      </c>
      <c r="C122" t="s">
        <v>27483</v>
      </c>
      <c r="D122" t="s">
        <v>27267</v>
      </c>
      <c r="E122" t="str">
        <f t="shared" si="1"/>
        <v>001390</v>
      </c>
      <c r="F122" t="s">
        <v>27246</v>
      </c>
      <c r="G122" t="s">
        <v>27247</v>
      </c>
      <c r="H122" t="s">
        <v>27248</v>
      </c>
      <c r="I122" t="s">
        <v>27484</v>
      </c>
      <c r="J122" t="s">
        <v>244</v>
      </c>
      <c r="L122" t="s">
        <v>27250</v>
      </c>
      <c r="M122" t="s">
        <v>27251</v>
      </c>
      <c r="N122" t="s">
        <v>27252</v>
      </c>
      <c r="Q122" s="1">
        <v>44538</v>
      </c>
      <c r="R122" t="s">
        <v>27253</v>
      </c>
      <c r="S122" t="s">
        <v>27254</v>
      </c>
      <c r="T122" t="s">
        <v>27269</v>
      </c>
    </row>
    <row r="123" spans="1:20" x14ac:dyDescent="0.3">
      <c r="A123" t="str">
        <f>"0611830533025"</f>
        <v>0611830533025</v>
      </c>
      <c r="B123" t="str">
        <f>"MQ0461"</f>
        <v>MQ0461</v>
      </c>
      <c r="C123" t="s">
        <v>27485</v>
      </c>
      <c r="D123" t="s">
        <v>27267</v>
      </c>
      <c r="E123" t="str">
        <f t="shared" si="1"/>
        <v>001390</v>
      </c>
      <c r="F123" t="s">
        <v>27246</v>
      </c>
      <c r="G123" t="s">
        <v>27247</v>
      </c>
      <c r="H123" t="s">
        <v>27248</v>
      </c>
      <c r="I123" t="s">
        <v>27486</v>
      </c>
      <c r="J123" t="s">
        <v>246</v>
      </c>
      <c r="L123" t="s">
        <v>27250</v>
      </c>
      <c r="M123" t="s">
        <v>27251</v>
      </c>
      <c r="N123" t="s">
        <v>27252</v>
      </c>
      <c r="Q123" s="1">
        <v>44538</v>
      </c>
      <c r="R123" t="s">
        <v>27253</v>
      </c>
      <c r="S123" t="s">
        <v>27254</v>
      </c>
      <c r="T123" t="s">
        <v>27269</v>
      </c>
    </row>
    <row r="124" spans="1:20" x14ac:dyDescent="0.3">
      <c r="A124" t="str">
        <f>"0611830534025"</f>
        <v>0611830534025</v>
      </c>
      <c r="B124" t="str">
        <f>"MQ0462"</f>
        <v>MQ0462</v>
      </c>
      <c r="C124" t="s">
        <v>27487</v>
      </c>
      <c r="D124" t="s">
        <v>27267</v>
      </c>
      <c r="E124" t="str">
        <f t="shared" si="1"/>
        <v>001390</v>
      </c>
      <c r="F124" t="s">
        <v>27246</v>
      </c>
      <c r="G124" t="s">
        <v>27247</v>
      </c>
      <c r="H124" t="s">
        <v>27248</v>
      </c>
      <c r="I124" t="s">
        <v>27488</v>
      </c>
      <c r="J124" t="s">
        <v>248</v>
      </c>
      <c r="L124" t="s">
        <v>27250</v>
      </c>
      <c r="M124" t="s">
        <v>27251</v>
      </c>
      <c r="N124" t="s">
        <v>27252</v>
      </c>
      <c r="Q124" s="1">
        <v>44538</v>
      </c>
      <c r="R124" t="s">
        <v>27253</v>
      </c>
      <c r="S124" t="s">
        <v>27254</v>
      </c>
      <c r="T124" t="s">
        <v>27269</v>
      </c>
    </row>
    <row r="125" spans="1:20" x14ac:dyDescent="0.3">
      <c r="A125" t="str">
        <f>"0611830535025"</f>
        <v>0611830535025</v>
      </c>
      <c r="B125" t="str">
        <f>"MQ0558"</f>
        <v>MQ0558</v>
      </c>
      <c r="C125" t="s">
        <v>27489</v>
      </c>
      <c r="D125" t="s">
        <v>27267</v>
      </c>
      <c r="E125" t="str">
        <f t="shared" si="1"/>
        <v>001390</v>
      </c>
      <c r="F125" t="s">
        <v>27246</v>
      </c>
      <c r="G125" t="s">
        <v>27247</v>
      </c>
      <c r="H125" t="s">
        <v>27248</v>
      </c>
      <c r="I125" t="s">
        <v>27490</v>
      </c>
      <c r="J125" t="s">
        <v>250</v>
      </c>
      <c r="L125" t="s">
        <v>27250</v>
      </c>
      <c r="M125" t="s">
        <v>27251</v>
      </c>
      <c r="N125" t="s">
        <v>27252</v>
      </c>
      <c r="Q125" s="1">
        <v>44538</v>
      </c>
      <c r="R125" t="s">
        <v>27253</v>
      </c>
      <c r="S125" t="s">
        <v>27254</v>
      </c>
      <c r="T125" t="s">
        <v>27269</v>
      </c>
    </row>
    <row r="126" spans="1:20" x14ac:dyDescent="0.3">
      <c r="A126" t="str">
        <f>"0611830536025"</f>
        <v>0611830536025</v>
      </c>
      <c r="B126" t="str">
        <f>"MQ0463"</f>
        <v>MQ0463</v>
      </c>
      <c r="C126" t="s">
        <v>27491</v>
      </c>
      <c r="D126" t="s">
        <v>27267</v>
      </c>
      <c r="E126" t="str">
        <f t="shared" si="1"/>
        <v>001390</v>
      </c>
      <c r="F126" t="s">
        <v>27246</v>
      </c>
      <c r="G126" t="s">
        <v>27247</v>
      </c>
      <c r="H126" t="s">
        <v>27248</v>
      </c>
      <c r="I126" t="s">
        <v>27492</v>
      </c>
      <c r="J126" t="s">
        <v>252</v>
      </c>
      <c r="L126" t="s">
        <v>27250</v>
      </c>
      <c r="M126" t="s">
        <v>27251</v>
      </c>
      <c r="N126" t="s">
        <v>27252</v>
      </c>
      <c r="Q126" s="1">
        <v>44538</v>
      </c>
      <c r="R126" t="s">
        <v>27253</v>
      </c>
      <c r="S126" t="s">
        <v>27254</v>
      </c>
      <c r="T126" t="s">
        <v>27269</v>
      </c>
    </row>
    <row r="127" spans="1:20" x14ac:dyDescent="0.3">
      <c r="A127" t="str">
        <f>"0611830537025"</f>
        <v>0611830537025</v>
      </c>
      <c r="B127" t="str">
        <f>"MQ6002"</f>
        <v>MQ6002</v>
      </c>
      <c r="C127" t="s">
        <v>27493</v>
      </c>
      <c r="D127" t="s">
        <v>27267</v>
      </c>
      <c r="E127" t="str">
        <f t="shared" si="1"/>
        <v>001390</v>
      </c>
      <c r="F127" t="s">
        <v>27246</v>
      </c>
      <c r="G127" t="s">
        <v>27247</v>
      </c>
      <c r="H127" t="s">
        <v>27248</v>
      </c>
      <c r="I127" t="s">
        <v>27494</v>
      </c>
      <c r="J127" t="s">
        <v>254</v>
      </c>
      <c r="L127" t="s">
        <v>27250</v>
      </c>
      <c r="M127" t="s">
        <v>27251</v>
      </c>
      <c r="N127" t="s">
        <v>27252</v>
      </c>
      <c r="Q127" s="1">
        <v>44538</v>
      </c>
      <c r="R127" t="s">
        <v>27253</v>
      </c>
      <c r="S127" t="s">
        <v>27254</v>
      </c>
      <c r="T127" t="s">
        <v>27269</v>
      </c>
    </row>
    <row r="128" spans="1:20" x14ac:dyDescent="0.3">
      <c r="A128" t="str">
        <f>"0611830538025"</f>
        <v>0611830538025</v>
      </c>
      <c r="B128" t="str">
        <f>"MQ0464"</f>
        <v>MQ0464</v>
      </c>
      <c r="C128" t="s">
        <v>27495</v>
      </c>
      <c r="D128" t="s">
        <v>27267</v>
      </c>
      <c r="E128" t="str">
        <f t="shared" si="1"/>
        <v>001390</v>
      </c>
      <c r="F128" t="s">
        <v>27246</v>
      </c>
      <c r="G128" t="s">
        <v>27247</v>
      </c>
      <c r="H128" t="s">
        <v>27248</v>
      </c>
      <c r="I128" t="s">
        <v>27496</v>
      </c>
      <c r="J128" t="s">
        <v>256</v>
      </c>
      <c r="L128" t="s">
        <v>27250</v>
      </c>
      <c r="M128" t="s">
        <v>27251</v>
      </c>
      <c r="N128" t="s">
        <v>27252</v>
      </c>
      <c r="Q128" s="1">
        <v>44538</v>
      </c>
      <c r="R128" t="s">
        <v>27253</v>
      </c>
      <c r="S128" t="s">
        <v>27254</v>
      </c>
      <c r="T128" t="s">
        <v>27269</v>
      </c>
    </row>
    <row r="129" spans="1:20" x14ac:dyDescent="0.3">
      <c r="A129" t="str">
        <f>"0611830539025"</f>
        <v>0611830539025</v>
      </c>
      <c r="B129" t="str">
        <f>"MQ0465"</f>
        <v>MQ0465</v>
      </c>
      <c r="C129" t="s">
        <v>27497</v>
      </c>
      <c r="D129" t="s">
        <v>27267</v>
      </c>
      <c r="E129" t="str">
        <f t="shared" si="1"/>
        <v>001390</v>
      </c>
      <c r="F129" t="s">
        <v>27246</v>
      </c>
      <c r="G129" t="s">
        <v>27247</v>
      </c>
      <c r="H129" t="s">
        <v>27248</v>
      </c>
      <c r="I129" t="s">
        <v>27498</v>
      </c>
      <c r="J129" t="s">
        <v>258</v>
      </c>
      <c r="L129" t="s">
        <v>27250</v>
      </c>
      <c r="M129" t="s">
        <v>27251</v>
      </c>
      <c r="N129" t="s">
        <v>27252</v>
      </c>
      <c r="Q129" s="1">
        <v>44538</v>
      </c>
      <c r="R129" t="s">
        <v>27253</v>
      </c>
      <c r="S129" t="s">
        <v>27254</v>
      </c>
      <c r="T129" t="s">
        <v>27269</v>
      </c>
    </row>
    <row r="130" spans="1:20" x14ac:dyDescent="0.3">
      <c r="A130" t="str">
        <f>"0611830540025"</f>
        <v>0611830540025</v>
      </c>
      <c r="B130" t="str">
        <f>"MQ0466"</f>
        <v>MQ0466</v>
      </c>
      <c r="C130" t="s">
        <v>27499</v>
      </c>
      <c r="D130" t="s">
        <v>27267</v>
      </c>
      <c r="E130" t="str">
        <f t="shared" ref="E130:E193" si="2">"001390"</f>
        <v>001390</v>
      </c>
      <c r="F130" t="s">
        <v>27246</v>
      </c>
      <c r="G130" t="s">
        <v>27247</v>
      </c>
      <c r="H130" t="s">
        <v>27248</v>
      </c>
      <c r="I130" t="s">
        <v>27500</v>
      </c>
      <c r="J130" t="s">
        <v>260</v>
      </c>
      <c r="L130" t="s">
        <v>27250</v>
      </c>
      <c r="M130" t="s">
        <v>27251</v>
      </c>
      <c r="N130" t="s">
        <v>27252</v>
      </c>
      <c r="Q130" s="1">
        <v>44538</v>
      </c>
      <c r="R130" t="s">
        <v>27253</v>
      </c>
      <c r="S130" t="s">
        <v>27254</v>
      </c>
      <c r="T130" t="s">
        <v>27269</v>
      </c>
    </row>
    <row r="131" spans="1:20" x14ac:dyDescent="0.3">
      <c r="A131" t="str">
        <f>"0611830541025"</f>
        <v>0611830541025</v>
      </c>
      <c r="B131" t="str">
        <f>"MC2837"</f>
        <v>MC2837</v>
      </c>
      <c r="C131" t="s">
        <v>27501</v>
      </c>
      <c r="D131" t="s">
        <v>27267</v>
      </c>
      <c r="E131" t="str">
        <f t="shared" si="2"/>
        <v>001390</v>
      </c>
      <c r="F131" t="s">
        <v>27246</v>
      </c>
      <c r="G131" t="s">
        <v>27247</v>
      </c>
      <c r="H131" t="s">
        <v>27248</v>
      </c>
      <c r="I131" t="s">
        <v>27502</v>
      </c>
      <c r="J131" t="s">
        <v>262</v>
      </c>
      <c r="L131" t="s">
        <v>27250</v>
      </c>
      <c r="M131" t="s">
        <v>27251</v>
      </c>
      <c r="N131" t="s">
        <v>27252</v>
      </c>
      <c r="Q131" s="1">
        <v>44538</v>
      </c>
      <c r="R131" t="s">
        <v>27253</v>
      </c>
      <c r="S131" t="s">
        <v>27254</v>
      </c>
      <c r="T131" t="s">
        <v>27269</v>
      </c>
    </row>
    <row r="132" spans="1:20" x14ac:dyDescent="0.3">
      <c r="A132" t="str">
        <f>"0611830542025"</f>
        <v>0611830542025</v>
      </c>
      <c r="B132" t="str">
        <f>"MC3539"</f>
        <v>MC3539</v>
      </c>
      <c r="C132" t="s">
        <v>27503</v>
      </c>
      <c r="D132" t="s">
        <v>27267</v>
      </c>
      <c r="E132" t="str">
        <f t="shared" si="2"/>
        <v>001390</v>
      </c>
      <c r="F132" t="s">
        <v>27246</v>
      </c>
      <c r="G132" t="s">
        <v>27247</v>
      </c>
      <c r="H132" t="s">
        <v>27248</v>
      </c>
      <c r="I132" t="s">
        <v>27504</v>
      </c>
      <c r="J132" t="s">
        <v>264</v>
      </c>
      <c r="L132" t="s">
        <v>27250</v>
      </c>
      <c r="M132" t="s">
        <v>27251</v>
      </c>
      <c r="N132" t="s">
        <v>27252</v>
      </c>
      <c r="Q132" s="1">
        <v>44538</v>
      </c>
      <c r="R132" t="s">
        <v>27253</v>
      </c>
      <c r="S132" t="s">
        <v>27254</v>
      </c>
      <c r="T132" t="s">
        <v>27269</v>
      </c>
    </row>
    <row r="133" spans="1:20" x14ac:dyDescent="0.3">
      <c r="A133" t="str">
        <f>"0611830544100"</f>
        <v>0611830544100</v>
      </c>
      <c r="B133" t="str">
        <f>"LK6297"</f>
        <v>LK6297</v>
      </c>
      <c r="C133" t="s">
        <v>27505</v>
      </c>
      <c r="D133" t="s">
        <v>27245</v>
      </c>
      <c r="E133" t="str">
        <f t="shared" si="2"/>
        <v>001390</v>
      </c>
      <c r="F133" t="s">
        <v>27246</v>
      </c>
      <c r="G133" t="s">
        <v>27247</v>
      </c>
      <c r="H133" t="s">
        <v>27248</v>
      </c>
      <c r="I133" t="s">
        <v>27506</v>
      </c>
      <c r="J133" t="s">
        <v>266</v>
      </c>
      <c r="L133" t="s">
        <v>27250</v>
      </c>
      <c r="M133" t="s">
        <v>27251</v>
      </c>
      <c r="N133" t="s">
        <v>27252</v>
      </c>
      <c r="Q133" s="1">
        <v>44538</v>
      </c>
      <c r="R133" t="s">
        <v>27253</v>
      </c>
      <c r="S133" t="s">
        <v>27254</v>
      </c>
      <c r="T133" t="s">
        <v>27255</v>
      </c>
    </row>
    <row r="134" spans="1:20" x14ac:dyDescent="0.3">
      <c r="A134" t="str">
        <f>"0611830545100"</f>
        <v>0611830545100</v>
      </c>
      <c r="B134" t="str">
        <f>"LQ6149"</f>
        <v>LQ6149</v>
      </c>
      <c r="C134" t="s">
        <v>27507</v>
      </c>
      <c r="D134" t="s">
        <v>27245</v>
      </c>
      <c r="E134" t="str">
        <f t="shared" si="2"/>
        <v>001390</v>
      </c>
      <c r="F134" t="s">
        <v>27246</v>
      </c>
      <c r="G134" t="s">
        <v>27247</v>
      </c>
      <c r="H134" t="s">
        <v>27248</v>
      </c>
      <c r="I134" t="s">
        <v>27508</v>
      </c>
      <c r="J134" t="s">
        <v>268</v>
      </c>
      <c r="L134" t="s">
        <v>27250</v>
      </c>
      <c r="M134" t="s">
        <v>27251</v>
      </c>
      <c r="N134" t="s">
        <v>27252</v>
      </c>
      <c r="Q134" s="1">
        <v>44538</v>
      </c>
      <c r="R134" t="s">
        <v>27253</v>
      </c>
      <c r="S134" t="s">
        <v>27254</v>
      </c>
      <c r="T134" t="s">
        <v>27255</v>
      </c>
    </row>
    <row r="135" spans="1:20" x14ac:dyDescent="0.3">
      <c r="A135" t="str">
        <f>"0611830547100"</f>
        <v>0611830547100</v>
      </c>
      <c r="B135" t="str">
        <f>"LQ6150"</f>
        <v>LQ6150</v>
      </c>
      <c r="C135" t="s">
        <v>27509</v>
      </c>
      <c r="D135" t="s">
        <v>27245</v>
      </c>
      <c r="E135" t="str">
        <f t="shared" si="2"/>
        <v>001390</v>
      </c>
      <c r="F135" t="s">
        <v>27246</v>
      </c>
      <c r="G135" t="s">
        <v>27247</v>
      </c>
      <c r="H135" t="s">
        <v>27248</v>
      </c>
      <c r="I135" t="s">
        <v>27510</v>
      </c>
      <c r="J135" t="s">
        <v>270</v>
      </c>
      <c r="L135" t="s">
        <v>27250</v>
      </c>
      <c r="M135" t="s">
        <v>27251</v>
      </c>
      <c r="N135" t="s">
        <v>27252</v>
      </c>
      <c r="Q135" s="1">
        <v>44538</v>
      </c>
      <c r="R135" t="s">
        <v>27253</v>
      </c>
      <c r="S135" t="s">
        <v>27254</v>
      </c>
      <c r="T135" t="s">
        <v>27255</v>
      </c>
    </row>
    <row r="136" spans="1:20" x14ac:dyDescent="0.3">
      <c r="A136" t="str">
        <f>"0611830548100"</f>
        <v>0611830548100</v>
      </c>
      <c r="B136" t="str">
        <f>"LQ6049"</f>
        <v>LQ6049</v>
      </c>
      <c r="C136" t="s">
        <v>27511</v>
      </c>
      <c r="D136" t="s">
        <v>27245</v>
      </c>
      <c r="E136" t="str">
        <f t="shared" si="2"/>
        <v>001390</v>
      </c>
      <c r="F136" t="s">
        <v>27246</v>
      </c>
      <c r="G136" t="s">
        <v>27247</v>
      </c>
      <c r="H136" t="s">
        <v>27248</v>
      </c>
      <c r="I136" t="s">
        <v>27512</v>
      </c>
      <c r="J136" t="s">
        <v>272</v>
      </c>
      <c r="L136" t="s">
        <v>27250</v>
      </c>
      <c r="M136" t="s">
        <v>27251</v>
      </c>
      <c r="N136" t="s">
        <v>27252</v>
      </c>
      <c r="Q136" s="1">
        <v>44538</v>
      </c>
      <c r="R136" t="s">
        <v>27253</v>
      </c>
      <c r="S136" t="s">
        <v>27254</v>
      </c>
      <c r="T136" t="s">
        <v>27255</v>
      </c>
    </row>
    <row r="137" spans="1:20" x14ac:dyDescent="0.3">
      <c r="A137" t="str">
        <f>"0611830549100"</f>
        <v>0611830549100</v>
      </c>
      <c r="B137" t="str">
        <f>"LK3768"</f>
        <v>LK3768</v>
      </c>
      <c r="C137" t="s">
        <v>27513</v>
      </c>
      <c r="D137" t="s">
        <v>27245</v>
      </c>
      <c r="E137" t="str">
        <f t="shared" si="2"/>
        <v>001390</v>
      </c>
      <c r="F137" t="s">
        <v>27246</v>
      </c>
      <c r="G137" t="s">
        <v>27247</v>
      </c>
      <c r="H137" t="s">
        <v>27248</v>
      </c>
      <c r="I137" t="s">
        <v>27514</v>
      </c>
      <c r="J137" t="s">
        <v>274</v>
      </c>
      <c r="L137" t="s">
        <v>27250</v>
      </c>
      <c r="M137" t="s">
        <v>27251</v>
      </c>
      <c r="N137" t="s">
        <v>27252</v>
      </c>
      <c r="Q137" s="1">
        <v>44538</v>
      </c>
      <c r="R137" t="s">
        <v>27253</v>
      </c>
      <c r="S137" t="s">
        <v>27254</v>
      </c>
      <c r="T137" t="s">
        <v>27255</v>
      </c>
    </row>
    <row r="138" spans="1:20" x14ac:dyDescent="0.3">
      <c r="A138" t="str">
        <f>"0611830550100"</f>
        <v>0611830550100</v>
      </c>
      <c r="B138" t="str">
        <f>"LQ0776"</f>
        <v>LQ0776</v>
      </c>
      <c r="C138" t="s">
        <v>27515</v>
      </c>
      <c r="D138" t="s">
        <v>27245</v>
      </c>
      <c r="E138" t="str">
        <f t="shared" si="2"/>
        <v>001390</v>
      </c>
      <c r="F138" t="s">
        <v>27246</v>
      </c>
      <c r="G138" t="s">
        <v>27247</v>
      </c>
      <c r="H138" t="s">
        <v>27248</v>
      </c>
      <c r="I138" t="s">
        <v>27516</v>
      </c>
      <c r="J138" t="s">
        <v>276</v>
      </c>
      <c r="L138" t="s">
        <v>27250</v>
      </c>
      <c r="M138" t="s">
        <v>27251</v>
      </c>
      <c r="N138" t="s">
        <v>27252</v>
      </c>
      <c r="Q138" s="1">
        <v>44538</v>
      </c>
      <c r="R138" t="s">
        <v>27253</v>
      </c>
      <c r="S138" t="s">
        <v>27254</v>
      </c>
      <c r="T138" t="s">
        <v>27255</v>
      </c>
    </row>
    <row r="139" spans="1:20" x14ac:dyDescent="0.3">
      <c r="A139" t="str">
        <f>"0611830552100"</f>
        <v>0611830552100</v>
      </c>
      <c r="B139" t="str">
        <f>"LB0245"</f>
        <v>LB0245</v>
      </c>
      <c r="C139" t="s">
        <v>27517</v>
      </c>
      <c r="D139" t="s">
        <v>27245</v>
      </c>
      <c r="E139" t="str">
        <f t="shared" si="2"/>
        <v>001390</v>
      </c>
      <c r="F139" t="s">
        <v>27246</v>
      </c>
      <c r="G139" t="s">
        <v>27247</v>
      </c>
      <c r="H139" t="s">
        <v>27248</v>
      </c>
      <c r="I139" t="s">
        <v>27518</v>
      </c>
      <c r="J139" t="s">
        <v>278</v>
      </c>
      <c r="L139" t="s">
        <v>27250</v>
      </c>
      <c r="M139" t="s">
        <v>27251</v>
      </c>
      <c r="N139" t="s">
        <v>27252</v>
      </c>
      <c r="Q139" s="1">
        <v>44538</v>
      </c>
      <c r="R139" t="s">
        <v>27253</v>
      </c>
      <c r="S139" t="s">
        <v>27254</v>
      </c>
      <c r="T139" t="s">
        <v>27255</v>
      </c>
    </row>
    <row r="140" spans="1:20" x14ac:dyDescent="0.3">
      <c r="A140" t="str">
        <f>"0611830553100"</f>
        <v>0611830553100</v>
      </c>
      <c r="B140" t="str">
        <f>"LB0232"</f>
        <v>LB0232</v>
      </c>
      <c r="C140" t="s">
        <v>27519</v>
      </c>
      <c r="D140" t="s">
        <v>27245</v>
      </c>
      <c r="E140" t="str">
        <f t="shared" si="2"/>
        <v>001390</v>
      </c>
      <c r="F140" t="s">
        <v>27246</v>
      </c>
      <c r="G140" t="s">
        <v>27247</v>
      </c>
      <c r="H140" t="s">
        <v>27248</v>
      </c>
      <c r="I140" t="s">
        <v>27520</v>
      </c>
      <c r="J140" t="s">
        <v>280</v>
      </c>
      <c r="L140" t="s">
        <v>27250</v>
      </c>
      <c r="M140" t="s">
        <v>27251</v>
      </c>
      <c r="N140" t="s">
        <v>27252</v>
      </c>
      <c r="Q140" s="1">
        <v>44538</v>
      </c>
      <c r="R140" t="s">
        <v>27253</v>
      </c>
      <c r="S140" t="s">
        <v>27254</v>
      </c>
      <c r="T140" t="s">
        <v>27255</v>
      </c>
    </row>
    <row r="141" spans="1:20" x14ac:dyDescent="0.3">
      <c r="A141" t="str">
        <f>"0611830555100"</f>
        <v>0611830555100</v>
      </c>
      <c r="B141" t="str">
        <f>"LQ3369"</f>
        <v>LQ3369</v>
      </c>
      <c r="C141" t="s">
        <v>27521</v>
      </c>
      <c r="D141" t="s">
        <v>27245</v>
      </c>
      <c r="E141" t="str">
        <f t="shared" si="2"/>
        <v>001390</v>
      </c>
      <c r="F141" t="s">
        <v>27246</v>
      </c>
      <c r="G141" t="s">
        <v>27247</v>
      </c>
      <c r="H141" t="s">
        <v>27248</v>
      </c>
      <c r="I141" t="s">
        <v>27522</v>
      </c>
      <c r="J141" t="s">
        <v>282</v>
      </c>
      <c r="L141" t="s">
        <v>27250</v>
      </c>
      <c r="M141" t="s">
        <v>27251</v>
      </c>
      <c r="N141" t="s">
        <v>27252</v>
      </c>
      <c r="Q141" s="1">
        <v>44538</v>
      </c>
      <c r="R141" t="s">
        <v>27253</v>
      </c>
      <c r="S141" t="s">
        <v>27254</v>
      </c>
      <c r="T141" t="s">
        <v>27255</v>
      </c>
    </row>
    <row r="142" spans="1:20" x14ac:dyDescent="0.3">
      <c r="A142" t="str">
        <f>"0611830556100"</f>
        <v>0611830556100</v>
      </c>
      <c r="B142" t="str">
        <f>"LQ3370"</f>
        <v>LQ3370</v>
      </c>
      <c r="C142" t="s">
        <v>27523</v>
      </c>
      <c r="D142" t="s">
        <v>27245</v>
      </c>
      <c r="E142" t="str">
        <f t="shared" si="2"/>
        <v>001390</v>
      </c>
      <c r="F142" t="s">
        <v>27246</v>
      </c>
      <c r="G142" t="s">
        <v>27247</v>
      </c>
      <c r="H142" t="s">
        <v>27248</v>
      </c>
      <c r="I142" t="s">
        <v>27524</v>
      </c>
      <c r="J142" t="s">
        <v>284</v>
      </c>
      <c r="L142" t="s">
        <v>27250</v>
      </c>
      <c r="M142" t="s">
        <v>27251</v>
      </c>
      <c r="N142" t="s">
        <v>27252</v>
      </c>
      <c r="Q142" s="1">
        <v>44538</v>
      </c>
      <c r="R142" t="s">
        <v>27253</v>
      </c>
      <c r="S142" t="s">
        <v>27254</v>
      </c>
      <c r="T142" t="s">
        <v>27255</v>
      </c>
    </row>
    <row r="143" spans="1:20" x14ac:dyDescent="0.3">
      <c r="A143" t="str">
        <f>"0611830557100"</f>
        <v>0611830557100</v>
      </c>
      <c r="B143" t="str">
        <f>"LQ3371"</f>
        <v>LQ3371</v>
      </c>
      <c r="C143" t="s">
        <v>27525</v>
      </c>
      <c r="D143" t="s">
        <v>27245</v>
      </c>
      <c r="E143" t="str">
        <f t="shared" si="2"/>
        <v>001390</v>
      </c>
      <c r="F143" t="s">
        <v>27246</v>
      </c>
      <c r="G143" t="s">
        <v>27247</v>
      </c>
      <c r="H143" t="s">
        <v>27248</v>
      </c>
      <c r="I143" t="s">
        <v>27526</v>
      </c>
      <c r="J143" t="s">
        <v>286</v>
      </c>
      <c r="L143" t="s">
        <v>27430</v>
      </c>
      <c r="M143" t="s">
        <v>27251</v>
      </c>
      <c r="N143" t="s">
        <v>27252</v>
      </c>
      <c r="Q143" s="1">
        <v>44538</v>
      </c>
      <c r="R143" t="s">
        <v>27253</v>
      </c>
      <c r="S143" t="s">
        <v>27254</v>
      </c>
      <c r="T143" t="s">
        <v>27255</v>
      </c>
    </row>
    <row r="144" spans="1:20" x14ac:dyDescent="0.3">
      <c r="A144" t="str">
        <f>"0611830558100"</f>
        <v>0611830558100</v>
      </c>
      <c r="B144" t="str">
        <f>"LQ3372"</f>
        <v>LQ3372</v>
      </c>
      <c r="C144" t="s">
        <v>27527</v>
      </c>
      <c r="D144" t="s">
        <v>27245</v>
      </c>
      <c r="E144" t="str">
        <f t="shared" si="2"/>
        <v>001390</v>
      </c>
      <c r="F144" t="s">
        <v>27246</v>
      </c>
      <c r="G144" t="s">
        <v>27247</v>
      </c>
      <c r="H144" t="s">
        <v>27248</v>
      </c>
      <c r="I144" t="s">
        <v>27528</v>
      </c>
      <c r="J144" t="s">
        <v>288</v>
      </c>
      <c r="L144" t="s">
        <v>27430</v>
      </c>
      <c r="M144" t="s">
        <v>27251</v>
      </c>
      <c r="N144" t="s">
        <v>27252</v>
      </c>
      <c r="Q144" s="1">
        <v>44538</v>
      </c>
      <c r="R144" t="s">
        <v>27253</v>
      </c>
      <c r="S144" t="s">
        <v>27254</v>
      </c>
      <c r="T144" t="s">
        <v>27255</v>
      </c>
    </row>
    <row r="145" spans="1:20" x14ac:dyDescent="0.3">
      <c r="A145" t="str">
        <f>"0611830564100"</f>
        <v>0611830564100</v>
      </c>
      <c r="B145" t="str">
        <f>"LS0001"</f>
        <v>LS0001</v>
      </c>
      <c r="C145" t="s">
        <v>27529</v>
      </c>
      <c r="D145" t="s">
        <v>27245</v>
      </c>
      <c r="E145" t="str">
        <f t="shared" si="2"/>
        <v>001390</v>
      </c>
      <c r="F145" t="s">
        <v>27246</v>
      </c>
      <c r="G145" t="s">
        <v>27247</v>
      </c>
      <c r="H145" t="s">
        <v>27248</v>
      </c>
      <c r="I145" t="s">
        <v>27530</v>
      </c>
      <c r="J145" t="s">
        <v>290</v>
      </c>
      <c r="L145" t="s">
        <v>27250</v>
      </c>
      <c r="M145" t="s">
        <v>27251</v>
      </c>
      <c r="N145" t="s">
        <v>27252</v>
      </c>
      <c r="Q145" s="1">
        <v>44538</v>
      </c>
      <c r="R145" t="s">
        <v>27253</v>
      </c>
      <c r="S145" t="s">
        <v>27254</v>
      </c>
      <c r="T145" t="s">
        <v>27255</v>
      </c>
    </row>
    <row r="146" spans="1:20" x14ac:dyDescent="0.3">
      <c r="A146" t="str">
        <f>"0611830565100"</f>
        <v>0611830565100</v>
      </c>
      <c r="B146" t="str">
        <f>"LK5429"</f>
        <v>LK5429</v>
      </c>
      <c r="C146" t="s">
        <v>27531</v>
      </c>
      <c r="D146" t="s">
        <v>27245</v>
      </c>
      <c r="E146" t="str">
        <f t="shared" si="2"/>
        <v>001390</v>
      </c>
      <c r="F146" t="s">
        <v>27246</v>
      </c>
      <c r="G146" t="s">
        <v>27247</v>
      </c>
      <c r="H146" t="s">
        <v>27248</v>
      </c>
      <c r="I146" t="s">
        <v>27532</v>
      </c>
      <c r="J146" t="s">
        <v>292</v>
      </c>
      <c r="L146" t="s">
        <v>27250</v>
      </c>
      <c r="M146" t="s">
        <v>27251</v>
      </c>
      <c r="N146" t="s">
        <v>27252</v>
      </c>
      <c r="Q146" s="1">
        <v>44538</v>
      </c>
      <c r="R146" t="s">
        <v>27253</v>
      </c>
      <c r="S146" t="s">
        <v>27254</v>
      </c>
      <c r="T146" t="s">
        <v>27255</v>
      </c>
    </row>
    <row r="147" spans="1:20" x14ac:dyDescent="0.3">
      <c r="A147" t="str">
        <f>"0611830566100"</f>
        <v>0611830566100</v>
      </c>
      <c r="B147" t="str">
        <f>"LB0280"</f>
        <v>LB0280</v>
      </c>
      <c r="C147" t="s">
        <v>27533</v>
      </c>
      <c r="D147" t="s">
        <v>27245</v>
      </c>
      <c r="E147" t="str">
        <f t="shared" si="2"/>
        <v>001390</v>
      </c>
      <c r="F147" t="s">
        <v>27246</v>
      </c>
      <c r="G147" t="s">
        <v>27247</v>
      </c>
      <c r="H147" t="s">
        <v>27248</v>
      </c>
      <c r="I147" t="s">
        <v>27534</v>
      </c>
      <c r="J147" t="s">
        <v>294</v>
      </c>
      <c r="L147" t="s">
        <v>27250</v>
      </c>
      <c r="M147" t="s">
        <v>27251</v>
      </c>
      <c r="N147" t="s">
        <v>27252</v>
      </c>
      <c r="Q147" s="1">
        <v>44538</v>
      </c>
      <c r="R147" t="s">
        <v>27253</v>
      </c>
      <c r="S147" t="s">
        <v>27254</v>
      </c>
      <c r="T147" t="s">
        <v>27255</v>
      </c>
    </row>
    <row r="148" spans="1:20" x14ac:dyDescent="0.3">
      <c r="A148" t="str">
        <f>"0611830569100"</f>
        <v>0611830569100</v>
      </c>
      <c r="B148" t="str">
        <f>"LK1940"</f>
        <v>LK1940</v>
      </c>
      <c r="C148" t="s">
        <v>27535</v>
      </c>
      <c r="D148" t="s">
        <v>27245</v>
      </c>
      <c r="E148" t="str">
        <f t="shared" si="2"/>
        <v>001390</v>
      </c>
      <c r="F148" t="s">
        <v>27246</v>
      </c>
      <c r="G148" t="s">
        <v>27247</v>
      </c>
      <c r="H148" t="s">
        <v>27248</v>
      </c>
      <c r="I148" t="s">
        <v>27536</v>
      </c>
      <c r="J148" t="s">
        <v>296</v>
      </c>
      <c r="L148" t="s">
        <v>27250</v>
      </c>
      <c r="M148" t="s">
        <v>27251</v>
      </c>
      <c r="N148" t="s">
        <v>27252</v>
      </c>
      <c r="Q148" s="1">
        <v>44538</v>
      </c>
      <c r="R148" t="s">
        <v>27253</v>
      </c>
      <c r="S148" t="s">
        <v>27254</v>
      </c>
      <c r="T148" t="s">
        <v>27255</v>
      </c>
    </row>
    <row r="149" spans="1:20" x14ac:dyDescent="0.3">
      <c r="A149" t="str">
        <f>"0611830570100"</f>
        <v>0611830570100</v>
      </c>
      <c r="B149" t="str">
        <f>"LK1941"</f>
        <v>LK1941</v>
      </c>
      <c r="C149" t="s">
        <v>27537</v>
      </c>
      <c r="D149" t="s">
        <v>27245</v>
      </c>
      <c r="E149" t="str">
        <f t="shared" si="2"/>
        <v>001390</v>
      </c>
      <c r="F149" t="s">
        <v>27246</v>
      </c>
      <c r="G149" t="s">
        <v>27247</v>
      </c>
      <c r="H149" t="s">
        <v>27248</v>
      </c>
      <c r="I149" t="s">
        <v>27538</v>
      </c>
      <c r="J149" t="s">
        <v>298</v>
      </c>
      <c r="L149" t="s">
        <v>27250</v>
      </c>
      <c r="M149" t="s">
        <v>27251</v>
      </c>
      <c r="N149" t="s">
        <v>27252</v>
      </c>
      <c r="Q149" s="1">
        <v>44538</v>
      </c>
      <c r="R149" t="s">
        <v>27253</v>
      </c>
      <c r="S149" t="s">
        <v>27254</v>
      </c>
      <c r="T149" t="s">
        <v>27255</v>
      </c>
    </row>
    <row r="150" spans="1:20" x14ac:dyDescent="0.3">
      <c r="A150" t="str">
        <f>"0611830571100"</f>
        <v>0611830571100</v>
      </c>
      <c r="B150" t="str">
        <f>"LB0231"</f>
        <v>LB0231</v>
      </c>
      <c r="C150" t="s">
        <v>27539</v>
      </c>
      <c r="D150" t="s">
        <v>27245</v>
      </c>
      <c r="E150" t="str">
        <f t="shared" si="2"/>
        <v>001390</v>
      </c>
      <c r="F150" t="s">
        <v>27246</v>
      </c>
      <c r="G150" t="s">
        <v>27247</v>
      </c>
      <c r="H150" t="s">
        <v>27248</v>
      </c>
      <c r="I150" t="s">
        <v>27540</v>
      </c>
      <c r="J150" t="s">
        <v>300</v>
      </c>
      <c r="L150" t="s">
        <v>27250</v>
      </c>
      <c r="M150" t="s">
        <v>27251</v>
      </c>
      <c r="N150" t="s">
        <v>27252</v>
      </c>
      <c r="Q150" s="1">
        <v>44538</v>
      </c>
      <c r="R150" t="s">
        <v>27253</v>
      </c>
      <c r="S150" t="s">
        <v>27254</v>
      </c>
      <c r="T150" t="s">
        <v>27255</v>
      </c>
    </row>
    <row r="151" spans="1:20" x14ac:dyDescent="0.3">
      <c r="A151" t="str">
        <f>"0611830572100"</f>
        <v>0611830572100</v>
      </c>
      <c r="B151" t="str">
        <f>"LB0370"</f>
        <v>LB0370</v>
      </c>
      <c r="C151" t="s">
        <v>27541</v>
      </c>
      <c r="D151" t="s">
        <v>27245</v>
      </c>
      <c r="E151" t="str">
        <f t="shared" si="2"/>
        <v>001390</v>
      </c>
      <c r="F151" t="s">
        <v>27246</v>
      </c>
      <c r="G151" t="s">
        <v>27247</v>
      </c>
      <c r="H151" t="s">
        <v>27248</v>
      </c>
      <c r="I151" t="s">
        <v>27542</v>
      </c>
      <c r="J151" t="s">
        <v>302</v>
      </c>
      <c r="L151" t="s">
        <v>27250</v>
      </c>
      <c r="M151" t="s">
        <v>27251</v>
      </c>
      <c r="N151" t="s">
        <v>27252</v>
      </c>
      <c r="Q151" s="1">
        <v>44538</v>
      </c>
      <c r="R151" t="s">
        <v>27253</v>
      </c>
      <c r="S151" t="s">
        <v>27254</v>
      </c>
      <c r="T151" t="s">
        <v>27255</v>
      </c>
    </row>
    <row r="152" spans="1:20" x14ac:dyDescent="0.3">
      <c r="A152" t="str">
        <f>"0611830573100"</f>
        <v>0611830573100</v>
      </c>
      <c r="B152" t="str">
        <f>"LK5161"</f>
        <v>LK5161</v>
      </c>
      <c r="C152" t="s">
        <v>27543</v>
      </c>
      <c r="D152" t="s">
        <v>27245</v>
      </c>
      <c r="E152" t="str">
        <f t="shared" si="2"/>
        <v>001390</v>
      </c>
      <c r="F152" t="s">
        <v>27246</v>
      </c>
      <c r="G152" t="s">
        <v>27247</v>
      </c>
      <c r="H152" t="s">
        <v>27248</v>
      </c>
      <c r="I152" t="s">
        <v>27544</v>
      </c>
      <c r="J152" t="s">
        <v>304</v>
      </c>
      <c r="L152" t="s">
        <v>27250</v>
      </c>
      <c r="M152" t="s">
        <v>27251</v>
      </c>
      <c r="N152" t="s">
        <v>27252</v>
      </c>
      <c r="Q152" s="1">
        <v>44538</v>
      </c>
      <c r="R152" t="s">
        <v>27253</v>
      </c>
      <c r="S152" t="s">
        <v>27254</v>
      </c>
      <c r="T152" t="s">
        <v>27255</v>
      </c>
    </row>
    <row r="153" spans="1:20" x14ac:dyDescent="0.3">
      <c r="A153" t="str">
        <f>"0611830574100"</f>
        <v>0611830574100</v>
      </c>
      <c r="B153" t="str">
        <f>"LF0369"</f>
        <v>LF0369</v>
      </c>
      <c r="C153" t="s">
        <v>27545</v>
      </c>
      <c r="D153" t="s">
        <v>27245</v>
      </c>
      <c r="E153" t="str">
        <f t="shared" si="2"/>
        <v>001390</v>
      </c>
      <c r="F153" t="s">
        <v>27246</v>
      </c>
      <c r="G153" t="s">
        <v>27247</v>
      </c>
      <c r="H153" t="s">
        <v>27248</v>
      </c>
      <c r="I153" t="s">
        <v>27546</v>
      </c>
      <c r="J153" t="s">
        <v>306</v>
      </c>
      <c r="L153" t="s">
        <v>27250</v>
      </c>
      <c r="M153" t="s">
        <v>27251</v>
      </c>
      <c r="N153" t="s">
        <v>27252</v>
      </c>
      <c r="Q153" s="1">
        <v>44538</v>
      </c>
      <c r="R153" t="s">
        <v>27253</v>
      </c>
      <c r="S153" t="s">
        <v>27254</v>
      </c>
      <c r="T153" t="s">
        <v>27255</v>
      </c>
    </row>
    <row r="154" spans="1:20" x14ac:dyDescent="0.3">
      <c r="A154" t="str">
        <f>"0611830575100"</f>
        <v>0611830575100</v>
      </c>
      <c r="B154" t="str">
        <f>"LF0022"</f>
        <v>LF0022</v>
      </c>
      <c r="C154" t="s">
        <v>27547</v>
      </c>
      <c r="D154" t="s">
        <v>27245</v>
      </c>
      <c r="E154" t="str">
        <f t="shared" si="2"/>
        <v>001390</v>
      </c>
      <c r="F154" t="s">
        <v>27246</v>
      </c>
      <c r="G154" t="s">
        <v>27247</v>
      </c>
      <c r="H154" t="s">
        <v>27248</v>
      </c>
      <c r="I154" t="s">
        <v>27548</v>
      </c>
      <c r="J154" t="s">
        <v>308</v>
      </c>
      <c r="L154" t="s">
        <v>27250</v>
      </c>
      <c r="M154" t="s">
        <v>27251</v>
      </c>
      <c r="N154" t="s">
        <v>27252</v>
      </c>
      <c r="Q154" s="1">
        <v>44538</v>
      </c>
      <c r="R154" t="s">
        <v>27253</v>
      </c>
      <c r="S154" t="s">
        <v>27254</v>
      </c>
      <c r="T154" t="s">
        <v>27255</v>
      </c>
    </row>
    <row r="155" spans="1:20" x14ac:dyDescent="0.3">
      <c r="A155" t="str">
        <f>"0611830576100"</f>
        <v>0611830576100</v>
      </c>
      <c r="B155" t="str">
        <f>"LQ0672"</f>
        <v>LQ0672</v>
      </c>
      <c r="C155" t="s">
        <v>27549</v>
      </c>
      <c r="D155" t="s">
        <v>27245</v>
      </c>
      <c r="E155" t="str">
        <f t="shared" si="2"/>
        <v>001390</v>
      </c>
      <c r="F155" t="s">
        <v>27246</v>
      </c>
      <c r="G155" t="s">
        <v>27247</v>
      </c>
      <c r="H155" t="s">
        <v>27248</v>
      </c>
      <c r="I155" t="s">
        <v>27550</v>
      </c>
      <c r="J155" t="s">
        <v>310</v>
      </c>
      <c r="L155" t="s">
        <v>27250</v>
      </c>
      <c r="M155" t="s">
        <v>27251</v>
      </c>
      <c r="N155" t="s">
        <v>27252</v>
      </c>
      <c r="Q155" s="1">
        <v>44538</v>
      </c>
      <c r="R155" t="s">
        <v>27253</v>
      </c>
      <c r="S155" t="s">
        <v>27254</v>
      </c>
      <c r="T155" t="s">
        <v>27255</v>
      </c>
    </row>
    <row r="156" spans="1:20" x14ac:dyDescent="0.3">
      <c r="A156" t="str">
        <f>"0611830577100"</f>
        <v>0611830577100</v>
      </c>
      <c r="B156" t="str">
        <f>"LQ3254"</f>
        <v>LQ3254</v>
      </c>
      <c r="C156" t="s">
        <v>27551</v>
      </c>
      <c r="D156" t="s">
        <v>27552</v>
      </c>
      <c r="E156" t="str">
        <f t="shared" si="2"/>
        <v>001390</v>
      </c>
      <c r="F156" t="s">
        <v>27246</v>
      </c>
      <c r="G156" t="s">
        <v>27247</v>
      </c>
      <c r="H156" t="s">
        <v>27248</v>
      </c>
      <c r="I156" t="s">
        <v>27553</v>
      </c>
      <c r="J156" t="s">
        <v>312</v>
      </c>
      <c r="L156" t="s">
        <v>27250</v>
      </c>
      <c r="M156" t="s">
        <v>27251</v>
      </c>
      <c r="N156" t="s">
        <v>27252</v>
      </c>
      <c r="Q156" s="1">
        <v>44538</v>
      </c>
      <c r="R156" t="s">
        <v>27253</v>
      </c>
      <c r="S156" t="s">
        <v>27254</v>
      </c>
      <c r="T156" t="s">
        <v>27255</v>
      </c>
    </row>
    <row r="157" spans="1:20" x14ac:dyDescent="0.3">
      <c r="A157" t="str">
        <f>"0611830578025"</f>
        <v>0611830578025</v>
      </c>
      <c r="B157" t="str">
        <f>"MQ3008"</f>
        <v>MQ3008</v>
      </c>
      <c r="C157" t="s">
        <v>27551</v>
      </c>
      <c r="D157" t="s">
        <v>27267</v>
      </c>
      <c r="E157" t="str">
        <f t="shared" si="2"/>
        <v>001390</v>
      </c>
      <c r="F157" t="s">
        <v>27246</v>
      </c>
      <c r="G157" t="s">
        <v>27247</v>
      </c>
      <c r="H157" t="s">
        <v>27248</v>
      </c>
      <c r="I157" t="s">
        <v>27554</v>
      </c>
      <c r="J157" t="s">
        <v>316</v>
      </c>
      <c r="L157" t="s">
        <v>27250</v>
      </c>
      <c r="M157" t="s">
        <v>27251</v>
      </c>
      <c r="N157" t="s">
        <v>27252</v>
      </c>
      <c r="Q157" s="1">
        <v>44538</v>
      </c>
      <c r="R157" t="s">
        <v>27253</v>
      </c>
      <c r="S157" t="s">
        <v>27254</v>
      </c>
      <c r="T157" t="s">
        <v>27269</v>
      </c>
    </row>
    <row r="158" spans="1:20" x14ac:dyDescent="0.3">
      <c r="A158" t="str">
        <f>"0611860439100"</f>
        <v>0611860439100</v>
      </c>
      <c r="B158" t="str">
        <f>"CN5005"</f>
        <v>CN5005</v>
      </c>
      <c r="C158" t="s">
        <v>27551</v>
      </c>
      <c r="D158" t="s">
        <v>27335</v>
      </c>
      <c r="E158" t="str">
        <f t="shared" si="2"/>
        <v>001390</v>
      </c>
      <c r="F158" t="s">
        <v>27246</v>
      </c>
      <c r="G158" t="s">
        <v>27247</v>
      </c>
      <c r="H158" t="s">
        <v>27248</v>
      </c>
      <c r="I158" t="s">
        <v>27555</v>
      </c>
      <c r="J158" t="s">
        <v>314</v>
      </c>
      <c r="L158" t="s">
        <v>27250</v>
      </c>
      <c r="M158" t="s">
        <v>27251</v>
      </c>
      <c r="N158" t="s">
        <v>27252</v>
      </c>
      <c r="Q158" s="1">
        <v>44846</v>
      </c>
      <c r="R158" t="s">
        <v>27253</v>
      </c>
      <c r="S158" t="s">
        <v>27254</v>
      </c>
      <c r="T158" t="s">
        <v>27255</v>
      </c>
    </row>
    <row r="159" spans="1:20" x14ac:dyDescent="0.3">
      <c r="A159" t="str">
        <f>"0611860440050"</f>
        <v>0611860440050</v>
      </c>
      <c r="B159" t="str">
        <f>"CR4157"</f>
        <v>CR4157</v>
      </c>
      <c r="C159" t="s">
        <v>27556</v>
      </c>
      <c r="D159" t="s">
        <v>27263</v>
      </c>
      <c r="E159" t="str">
        <f t="shared" si="2"/>
        <v>001390</v>
      </c>
      <c r="F159" t="s">
        <v>27246</v>
      </c>
      <c r="G159" t="s">
        <v>27247</v>
      </c>
      <c r="H159" t="s">
        <v>27248</v>
      </c>
      <c r="I159" t="s">
        <v>27557</v>
      </c>
      <c r="J159" t="s">
        <v>318</v>
      </c>
      <c r="L159" t="s">
        <v>27250</v>
      </c>
      <c r="M159" t="s">
        <v>27251</v>
      </c>
      <c r="N159" t="s">
        <v>27252</v>
      </c>
      <c r="Q159" s="1">
        <v>44846</v>
      </c>
      <c r="R159" t="s">
        <v>27253</v>
      </c>
      <c r="S159" t="s">
        <v>27254</v>
      </c>
      <c r="T159" t="s">
        <v>27265</v>
      </c>
    </row>
    <row r="160" spans="1:20" x14ac:dyDescent="0.3">
      <c r="A160" t="str">
        <f>"0611830579025"</f>
        <v>0611830579025</v>
      </c>
      <c r="B160" t="str">
        <f>"MQ5157"</f>
        <v>MQ5157</v>
      </c>
      <c r="C160" t="s">
        <v>27558</v>
      </c>
      <c r="D160" t="s">
        <v>27267</v>
      </c>
      <c r="E160" t="str">
        <f t="shared" si="2"/>
        <v>001390</v>
      </c>
      <c r="F160" t="s">
        <v>27246</v>
      </c>
      <c r="G160" t="s">
        <v>27247</v>
      </c>
      <c r="H160" t="s">
        <v>27248</v>
      </c>
      <c r="I160" t="s">
        <v>27559</v>
      </c>
      <c r="J160" t="s">
        <v>320</v>
      </c>
      <c r="L160" t="s">
        <v>27250</v>
      </c>
      <c r="M160" t="s">
        <v>27251</v>
      </c>
      <c r="N160" t="s">
        <v>27252</v>
      </c>
      <c r="Q160" s="1">
        <v>44538</v>
      </c>
      <c r="R160" t="s">
        <v>27253</v>
      </c>
      <c r="S160" t="s">
        <v>27254</v>
      </c>
      <c r="T160" t="s">
        <v>27269</v>
      </c>
    </row>
    <row r="161" spans="1:20" x14ac:dyDescent="0.3">
      <c r="A161" t="str">
        <f>"0611830580100"</f>
        <v>0611830580100</v>
      </c>
      <c r="B161" t="str">
        <f>"LH0507"</f>
        <v>LH0507</v>
      </c>
      <c r="C161" t="s">
        <v>27560</v>
      </c>
      <c r="D161" t="s">
        <v>27552</v>
      </c>
      <c r="E161" t="str">
        <f t="shared" si="2"/>
        <v>001390</v>
      </c>
      <c r="F161" t="s">
        <v>27246</v>
      </c>
      <c r="G161" t="s">
        <v>27247</v>
      </c>
      <c r="H161" t="s">
        <v>27248</v>
      </c>
      <c r="I161" t="s">
        <v>27561</v>
      </c>
      <c r="J161" t="s">
        <v>322</v>
      </c>
      <c r="L161" t="s">
        <v>27250</v>
      </c>
      <c r="M161" t="s">
        <v>27251</v>
      </c>
      <c r="N161" t="s">
        <v>27252</v>
      </c>
      <c r="Q161" s="1">
        <v>44538</v>
      </c>
      <c r="R161" t="s">
        <v>27253</v>
      </c>
      <c r="S161" t="s">
        <v>27254</v>
      </c>
      <c r="T161" t="s">
        <v>27255</v>
      </c>
    </row>
    <row r="162" spans="1:20" x14ac:dyDescent="0.3">
      <c r="A162" t="str">
        <f>"0611830581025"</f>
        <v>0611830581025</v>
      </c>
      <c r="B162" t="str">
        <f>"MC0015"</f>
        <v>MC0015</v>
      </c>
      <c r="C162" t="s">
        <v>27560</v>
      </c>
      <c r="D162" t="s">
        <v>27267</v>
      </c>
      <c r="E162" t="str">
        <f t="shared" si="2"/>
        <v>001390</v>
      </c>
      <c r="F162" t="s">
        <v>27246</v>
      </c>
      <c r="G162" t="s">
        <v>27247</v>
      </c>
      <c r="H162" t="s">
        <v>27248</v>
      </c>
      <c r="I162" t="s">
        <v>27562</v>
      </c>
      <c r="J162" t="s">
        <v>324</v>
      </c>
      <c r="L162" t="s">
        <v>27250</v>
      </c>
      <c r="M162" t="s">
        <v>27251</v>
      </c>
      <c r="N162" t="s">
        <v>27252</v>
      </c>
      <c r="Q162" s="1">
        <v>44538</v>
      </c>
      <c r="R162" t="s">
        <v>27253</v>
      </c>
      <c r="S162" t="s">
        <v>27254</v>
      </c>
      <c r="T162" t="s">
        <v>27269</v>
      </c>
    </row>
    <row r="163" spans="1:20" x14ac:dyDescent="0.3">
      <c r="A163" t="str">
        <f>"0611860441100"</f>
        <v>0611860441100</v>
      </c>
      <c r="B163" t="str">
        <f>"CN5006"</f>
        <v>CN5006</v>
      </c>
      <c r="C163" t="s">
        <v>27563</v>
      </c>
      <c r="D163" t="s">
        <v>27335</v>
      </c>
      <c r="E163" t="str">
        <f t="shared" si="2"/>
        <v>001390</v>
      </c>
      <c r="F163" t="s">
        <v>27246</v>
      </c>
      <c r="G163" t="s">
        <v>27247</v>
      </c>
      <c r="H163" t="s">
        <v>27248</v>
      </c>
      <c r="I163" t="s">
        <v>27564</v>
      </c>
      <c r="J163" t="s">
        <v>326</v>
      </c>
      <c r="L163" t="s">
        <v>27250</v>
      </c>
      <c r="M163" t="s">
        <v>27251</v>
      </c>
      <c r="N163" t="s">
        <v>27252</v>
      </c>
      <c r="Q163" s="1">
        <v>44846</v>
      </c>
      <c r="R163" t="s">
        <v>27253</v>
      </c>
      <c r="S163" t="s">
        <v>27254</v>
      </c>
      <c r="T163" t="s">
        <v>27255</v>
      </c>
    </row>
    <row r="164" spans="1:20" x14ac:dyDescent="0.3">
      <c r="A164" t="str">
        <f>"0611830582100"</f>
        <v>0611830582100</v>
      </c>
      <c r="B164" t="str">
        <f>"LH0510"</f>
        <v>LH0510</v>
      </c>
      <c r="C164" t="s">
        <v>27565</v>
      </c>
      <c r="D164" t="s">
        <v>27552</v>
      </c>
      <c r="E164" t="str">
        <f t="shared" si="2"/>
        <v>001390</v>
      </c>
      <c r="F164" t="s">
        <v>27246</v>
      </c>
      <c r="G164" t="s">
        <v>27247</v>
      </c>
      <c r="H164" t="s">
        <v>27248</v>
      </c>
      <c r="I164" t="s">
        <v>27566</v>
      </c>
      <c r="J164" t="s">
        <v>328</v>
      </c>
      <c r="L164" t="s">
        <v>27250</v>
      </c>
      <c r="M164" t="s">
        <v>27251</v>
      </c>
      <c r="N164" t="s">
        <v>27252</v>
      </c>
      <c r="Q164" s="1">
        <v>44538</v>
      </c>
      <c r="R164" t="s">
        <v>27253</v>
      </c>
      <c r="S164" t="s">
        <v>27254</v>
      </c>
      <c r="T164" t="s">
        <v>27255</v>
      </c>
    </row>
    <row r="165" spans="1:20" x14ac:dyDescent="0.3">
      <c r="A165" t="str">
        <f>"0611830583025"</f>
        <v>0611830583025</v>
      </c>
      <c r="B165" t="str">
        <f>"MC0016"</f>
        <v>MC0016</v>
      </c>
      <c r="C165" t="s">
        <v>27565</v>
      </c>
      <c r="D165" t="s">
        <v>27267</v>
      </c>
      <c r="E165" t="str">
        <f t="shared" si="2"/>
        <v>001390</v>
      </c>
      <c r="F165" t="s">
        <v>27246</v>
      </c>
      <c r="G165" t="s">
        <v>27247</v>
      </c>
      <c r="H165" t="s">
        <v>27248</v>
      </c>
      <c r="I165" t="s">
        <v>27567</v>
      </c>
      <c r="J165" t="s">
        <v>330</v>
      </c>
      <c r="L165" t="s">
        <v>27250</v>
      </c>
      <c r="M165" t="s">
        <v>27251</v>
      </c>
      <c r="N165" t="s">
        <v>27252</v>
      </c>
      <c r="Q165" s="1">
        <v>44538</v>
      </c>
      <c r="R165" t="s">
        <v>27253</v>
      </c>
      <c r="S165" t="s">
        <v>27254</v>
      </c>
      <c r="T165" t="s">
        <v>27269</v>
      </c>
    </row>
    <row r="166" spans="1:20" x14ac:dyDescent="0.3">
      <c r="A166" t="str">
        <f>"0611860442050"</f>
        <v>0611860442050</v>
      </c>
      <c r="B166" t="str">
        <f>"CE0955"</f>
        <v>CE0955</v>
      </c>
      <c r="C166" t="s">
        <v>27565</v>
      </c>
      <c r="D166" t="s">
        <v>27271</v>
      </c>
      <c r="E166" t="str">
        <f t="shared" si="2"/>
        <v>001390</v>
      </c>
      <c r="F166" t="s">
        <v>27246</v>
      </c>
      <c r="G166" t="s">
        <v>27247</v>
      </c>
      <c r="H166" t="s">
        <v>27248</v>
      </c>
      <c r="I166" t="s">
        <v>27568</v>
      </c>
      <c r="J166" t="s">
        <v>332</v>
      </c>
      <c r="L166" t="s">
        <v>27250</v>
      </c>
      <c r="M166" t="s">
        <v>27251</v>
      </c>
      <c r="N166" t="s">
        <v>27252</v>
      </c>
      <c r="Q166" s="1">
        <v>44846</v>
      </c>
      <c r="R166" t="s">
        <v>27253</v>
      </c>
      <c r="S166" t="s">
        <v>27254</v>
      </c>
      <c r="T166" t="s">
        <v>27265</v>
      </c>
    </row>
    <row r="167" spans="1:20" x14ac:dyDescent="0.3">
      <c r="A167" t="str">
        <f>"0611860443100"</f>
        <v>0611860443100</v>
      </c>
      <c r="B167" t="str">
        <f>"CN5007"</f>
        <v>CN5007</v>
      </c>
      <c r="C167" t="s">
        <v>27569</v>
      </c>
      <c r="D167" t="s">
        <v>27335</v>
      </c>
      <c r="E167" t="str">
        <f t="shared" si="2"/>
        <v>001390</v>
      </c>
      <c r="F167" t="s">
        <v>27246</v>
      </c>
      <c r="G167" t="s">
        <v>27247</v>
      </c>
      <c r="H167" t="s">
        <v>27248</v>
      </c>
      <c r="I167" t="s">
        <v>27570</v>
      </c>
      <c r="J167" t="s">
        <v>334</v>
      </c>
      <c r="L167" t="s">
        <v>27250</v>
      </c>
      <c r="M167" t="s">
        <v>27251</v>
      </c>
      <c r="N167" t="s">
        <v>27252</v>
      </c>
      <c r="Q167" s="1">
        <v>44846</v>
      </c>
      <c r="R167" t="s">
        <v>27253</v>
      </c>
      <c r="S167" t="s">
        <v>27254</v>
      </c>
      <c r="T167" t="s">
        <v>27255</v>
      </c>
    </row>
    <row r="168" spans="1:20" x14ac:dyDescent="0.3">
      <c r="A168" t="str">
        <f>"0611830584025"</f>
        <v>0611830584025</v>
      </c>
      <c r="B168" t="str">
        <f>"MC0018"</f>
        <v>MC0018</v>
      </c>
      <c r="C168" t="s">
        <v>27571</v>
      </c>
      <c r="D168" t="s">
        <v>27267</v>
      </c>
      <c r="E168" t="str">
        <f t="shared" si="2"/>
        <v>001390</v>
      </c>
      <c r="F168" t="s">
        <v>27246</v>
      </c>
      <c r="G168" t="s">
        <v>27247</v>
      </c>
      <c r="H168" t="s">
        <v>27248</v>
      </c>
      <c r="I168" t="s">
        <v>27572</v>
      </c>
      <c r="J168" t="s">
        <v>338</v>
      </c>
      <c r="L168" t="s">
        <v>27250</v>
      </c>
      <c r="M168" t="s">
        <v>27251</v>
      </c>
      <c r="N168" t="s">
        <v>27252</v>
      </c>
      <c r="Q168" s="1">
        <v>44538</v>
      </c>
      <c r="R168" t="s">
        <v>27253</v>
      </c>
      <c r="S168" t="s">
        <v>27254</v>
      </c>
      <c r="T168" t="s">
        <v>27269</v>
      </c>
    </row>
    <row r="169" spans="1:20" x14ac:dyDescent="0.3">
      <c r="A169" t="str">
        <f>"0611860444100"</f>
        <v>0611860444100</v>
      </c>
      <c r="B169" t="str">
        <f>"CN5008"</f>
        <v>CN5008</v>
      </c>
      <c r="C169" t="s">
        <v>27571</v>
      </c>
      <c r="D169" t="s">
        <v>27339</v>
      </c>
      <c r="E169" t="str">
        <f t="shared" si="2"/>
        <v>001390</v>
      </c>
      <c r="F169" t="s">
        <v>27246</v>
      </c>
      <c r="G169" t="s">
        <v>27247</v>
      </c>
      <c r="H169" t="s">
        <v>27248</v>
      </c>
      <c r="I169" t="s">
        <v>27573</v>
      </c>
      <c r="J169" t="s">
        <v>336</v>
      </c>
      <c r="L169" t="s">
        <v>27250</v>
      </c>
      <c r="M169" t="s">
        <v>27251</v>
      </c>
      <c r="N169" t="s">
        <v>27252</v>
      </c>
      <c r="Q169" s="1">
        <v>44846</v>
      </c>
      <c r="R169" t="s">
        <v>27253</v>
      </c>
      <c r="S169" t="s">
        <v>27254</v>
      </c>
      <c r="T169" t="s">
        <v>27255</v>
      </c>
    </row>
    <row r="170" spans="1:20" x14ac:dyDescent="0.3">
      <c r="A170" t="str">
        <f>"0611830585025"</f>
        <v>0611830585025</v>
      </c>
      <c r="B170" t="str">
        <f>"MC1605"</f>
        <v>MC1605</v>
      </c>
      <c r="C170" t="s">
        <v>27574</v>
      </c>
      <c r="D170" t="s">
        <v>27267</v>
      </c>
      <c r="E170" t="str">
        <f t="shared" si="2"/>
        <v>001390</v>
      </c>
      <c r="F170" t="s">
        <v>27246</v>
      </c>
      <c r="G170" t="s">
        <v>27247</v>
      </c>
      <c r="H170" t="s">
        <v>27248</v>
      </c>
      <c r="I170" t="s">
        <v>27575</v>
      </c>
      <c r="J170" t="s">
        <v>342</v>
      </c>
      <c r="L170" t="s">
        <v>27250</v>
      </c>
      <c r="M170" t="s">
        <v>27251</v>
      </c>
      <c r="N170" t="s">
        <v>27252</v>
      </c>
      <c r="Q170" s="1">
        <v>44538</v>
      </c>
      <c r="R170" t="s">
        <v>27253</v>
      </c>
      <c r="S170" t="s">
        <v>27254</v>
      </c>
      <c r="T170" t="s">
        <v>27269</v>
      </c>
    </row>
    <row r="171" spans="1:20" x14ac:dyDescent="0.3">
      <c r="A171" t="str">
        <f>"0611860445100"</f>
        <v>0611860445100</v>
      </c>
      <c r="B171" t="str">
        <f>"CN5012"</f>
        <v>CN5012</v>
      </c>
      <c r="C171" t="s">
        <v>27574</v>
      </c>
      <c r="D171" t="s">
        <v>27335</v>
      </c>
      <c r="E171" t="str">
        <f t="shared" si="2"/>
        <v>001390</v>
      </c>
      <c r="F171" t="s">
        <v>27246</v>
      </c>
      <c r="G171" t="s">
        <v>27247</v>
      </c>
      <c r="H171" t="s">
        <v>27248</v>
      </c>
      <c r="I171" t="s">
        <v>27576</v>
      </c>
      <c r="J171" t="s">
        <v>340</v>
      </c>
      <c r="L171" t="s">
        <v>27250</v>
      </c>
      <c r="M171" t="s">
        <v>27251</v>
      </c>
      <c r="N171" t="s">
        <v>27252</v>
      </c>
      <c r="Q171" s="1">
        <v>44846</v>
      </c>
      <c r="R171" t="s">
        <v>27253</v>
      </c>
      <c r="S171" t="s">
        <v>27254</v>
      </c>
      <c r="T171" t="s">
        <v>27255</v>
      </c>
    </row>
    <row r="172" spans="1:20" x14ac:dyDescent="0.3">
      <c r="A172" t="str">
        <f>"0611860446050"</f>
        <v>0611860446050</v>
      </c>
      <c r="B172" t="str">
        <f>"CR4159"</f>
        <v>CR4159</v>
      </c>
      <c r="C172" t="s">
        <v>27574</v>
      </c>
      <c r="D172" t="s">
        <v>27263</v>
      </c>
      <c r="E172" t="str">
        <f t="shared" si="2"/>
        <v>001390</v>
      </c>
      <c r="F172" t="s">
        <v>27246</v>
      </c>
      <c r="G172" t="s">
        <v>27247</v>
      </c>
      <c r="H172" t="s">
        <v>27248</v>
      </c>
      <c r="I172" t="s">
        <v>27577</v>
      </c>
      <c r="J172" t="s">
        <v>344</v>
      </c>
      <c r="L172" t="s">
        <v>27250</v>
      </c>
      <c r="M172" t="s">
        <v>27251</v>
      </c>
      <c r="N172" t="s">
        <v>27252</v>
      </c>
      <c r="Q172" s="1">
        <v>44846</v>
      </c>
      <c r="R172" t="s">
        <v>27253</v>
      </c>
      <c r="S172" t="s">
        <v>27254</v>
      </c>
      <c r="T172" t="s">
        <v>27265</v>
      </c>
    </row>
    <row r="173" spans="1:20" x14ac:dyDescent="0.3">
      <c r="A173" t="str">
        <f>"0611856809025"</f>
        <v>0611856809025</v>
      </c>
      <c r="B173" t="str">
        <f>"MQ0751"</f>
        <v>MQ0751</v>
      </c>
      <c r="C173" t="s">
        <v>27578</v>
      </c>
      <c r="D173" t="s">
        <v>27267</v>
      </c>
      <c r="E173" t="str">
        <f t="shared" si="2"/>
        <v>001390</v>
      </c>
      <c r="F173" t="s">
        <v>27246</v>
      </c>
      <c r="G173" t="s">
        <v>27247</v>
      </c>
      <c r="H173" t="s">
        <v>27248</v>
      </c>
      <c r="I173" t="s">
        <v>27579</v>
      </c>
      <c r="J173" t="s">
        <v>346</v>
      </c>
      <c r="L173" t="s">
        <v>27250</v>
      </c>
      <c r="M173" t="s">
        <v>27251</v>
      </c>
      <c r="N173" t="s">
        <v>27252</v>
      </c>
      <c r="Q173" s="1">
        <v>44812</v>
      </c>
      <c r="R173" t="s">
        <v>27253</v>
      </c>
      <c r="S173" t="s">
        <v>27254</v>
      </c>
      <c r="T173" t="s">
        <v>27269</v>
      </c>
    </row>
    <row r="174" spans="1:20" x14ac:dyDescent="0.3">
      <c r="A174" t="str">
        <f>"0611856810025"</f>
        <v>0611856810025</v>
      </c>
      <c r="B174" t="str">
        <f>"MQ0752"</f>
        <v>MQ0752</v>
      </c>
      <c r="C174" t="s">
        <v>27580</v>
      </c>
      <c r="D174" t="s">
        <v>27267</v>
      </c>
      <c r="E174" t="str">
        <f t="shared" si="2"/>
        <v>001390</v>
      </c>
      <c r="F174" t="s">
        <v>27246</v>
      </c>
      <c r="G174" t="s">
        <v>27247</v>
      </c>
      <c r="H174" t="s">
        <v>27248</v>
      </c>
      <c r="I174" t="s">
        <v>27581</v>
      </c>
      <c r="J174" t="s">
        <v>348</v>
      </c>
      <c r="L174" t="s">
        <v>27250</v>
      </c>
      <c r="M174" t="s">
        <v>27251</v>
      </c>
      <c r="N174" t="s">
        <v>27252</v>
      </c>
      <c r="Q174" s="1">
        <v>44812</v>
      </c>
      <c r="R174" t="s">
        <v>27253</v>
      </c>
      <c r="S174" t="s">
        <v>27254</v>
      </c>
      <c r="T174" t="s">
        <v>27269</v>
      </c>
    </row>
    <row r="175" spans="1:20" x14ac:dyDescent="0.3">
      <c r="A175" t="str">
        <f>"0611856811025"</f>
        <v>0611856811025</v>
      </c>
      <c r="B175" t="str">
        <f>"MQ0753"</f>
        <v>MQ0753</v>
      </c>
      <c r="C175" t="s">
        <v>27582</v>
      </c>
      <c r="D175" t="s">
        <v>27267</v>
      </c>
      <c r="E175" t="str">
        <f t="shared" si="2"/>
        <v>001390</v>
      </c>
      <c r="F175" t="s">
        <v>27246</v>
      </c>
      <c r="G175" t="s">
        <v>27247</v>
      </c>
      <c r="H175" t="s">
        <v>27248</v>
      </c>
      <c r="I175" t="s">
        <v>27583</v>
      </c>
      <c r="J175" t="s">
        <v>350</v>
      </c>
      <c r="L175" t="s">
        <v>27250</v>
      </c>
      <c r="M175" t="s">
        <v>27251</v>
      </c>
      <c r="N175" t="s">
        <v>27252</v>
      </c>
      <c r="Q175" s="1">
        <v>44812</v>
      </c>
      <c r="R175" t="s">
        <v>27253</v>
      </c>
      <c r="S175" t="s">
        <v>27254</v>
      </c>
      <c r="T175" t="s">
        <v>27269</v>
      </c>
    </row>
    <row r="176" spans="1:20" x14ac:dyDescent="0.3">
      <c r="A176" t="str">
        <f>"0611856812025"</f>
        <v>0611856812025</v>
      </c>
      <c r="B176" t="str">
        <f>"MQ0754"</f>
        <v>MQ0754</v>
      </c>
      <c r="C176" t="s">
        <v>27584</v>
      </c>
      <c r="D176" t="s">
        <v>27267</v>
      </c>
      <c r="E176" t="str">
        <f t="shared" si="2"/>
        <v>001390</v>
      </c>
      <c r="F176" t="s">
        <v>27246</v>
      </c>
      <c r="G176" t="s">
        <v>27247</v>
      </c>
      <c r="H176" t="s">
        <v>27248</v>
      </c>
      <c r="I176" t="s">
        <v>27585</v>
      </c>
      <c r="J176" t="s">
        <v>352</v>
      </c>
      <c r="L176" t="s">
        <v>27250</v>
      </c>
      <c r="M176" t="s">
        <v>27251</v>
      </c>
      <c r="N176" t="s">
        <v>27252</v>
      </c>
      <c r="Q176" s="1">
        <v>44812</v>
      </c>
      <c r="R176" t="s">
        <v>27253</v>
      </c>
      <c r="S176" t="s">
        <v>27254</v>
      </c>
      <c r="T176" t="s">
        <v>27269</v>
      </c>
    </row>
    <row r="177" spans="1:20" x14ac:dyDescent="0.3">
      <c r="A177" t="str">
        <f>"0611856813025"</f>
        <v>0611856813025</v>
      </c>
      <c r="B177" t="str">
        <f>"MQ0755"</f>
        <v>MQ0755</v>
      </c>
      <c r="C177" t="s">
        <v>27586</v>
      </c>
      <c r="D177" t="s">
        <v>27267</v>
      </c>
      <c r="E177" t="str">
        <f t="shared" si="2"/>
        <v>001390</v>
      </c>
      <c r="F177" t="s">
        <v>27246</v>
      </c>
      <c r="G177" t="s">
        <v>27247</v>
      </c>
      <c r="H177" t="s">
        <v>27248</v>
      </c>
      <c r="I177" t="s">
        <v>27587</v>
      </c>
      <c r="J177" t="s">
        <v>354</v>
      </c>
      <c r="L177" t="s">
        <v>27250</v>
      </c>
      <c r="M177" t="s">
        <v>27251</v>
      </c>
      <c r="N177" t="s">
        <v>27252</v>
      </c>
      <c r="Q177" s="1">
        <v>44812</v>
      </c>
      <c r="R177" t="s">
        <v>27253</v>
      </c>
      <c r="S177" t="s">
        <v>27254</v>
      </c>
      <c r="T177" t="s">
        <v>27269</v>
      </c>
    </row>
    <row r="178" spans="1:20" x14ac:dyDescent="0.3">
      <c r="A178" t="str">
        <f>"0611856814025"</f>
        <v>0611856814025</v>
      </c>
      <c r="B178" t="str">
        <f>"MQ0756"</f>
        <v>MQ0756</v>
      </c>
      <c r="C178" t="s">
        <v>27588</v>
      </c>
      <c r="D178" t="s">
        <v>27267</v>
      </c>
      <c r="E178" t="str">
        <f t="shared" si="2"/>
        <v>001390</v>
      </c>
      <c r="F178" t="s">
        <v>27246</v>
      </c>
      <c r="G178" t="s">
        <v>27247</v>
      </c>
      <c r="H178" t="s">
        <v>27248</v>
      </c>
      <c r="I178" t="s">
        <v>27589</v>
      </c>
      <c r="J178" t="s">
        <v>356</v>
      </c>
      <c r="L178" t="s">
        <v>27250</v>
      </c>
      <c r="M178" t="s">
        <v>27251</v>
      </c>
      <c r="N178" t="s">
        <v>27252</v>
      </c>
      <c r="Q178" s="1">
        <v>44812</v>
      </c>
      <c r="R178" t="s">
        <v>27253</v>
      </c>
      <c r="S178" t="s">
        <v>27254</v>
      </c>
      <c r="T178" t="s">
        <v>27269</v>
      </c>
    </row>
    <row r="179" spans="1:20" x14ac:dyDescent="0.3">
      <c r="A179" t="str">
        <f>"0611856815025"</f>
        <v>0611856815025</v>
      </c>
      <c r="B179" t="str">
        <f>"MQ0757"</f>
        <v>MQ0757</v>
      </c>
      <c r="C179" t="s">
        <v>27590</v>
      </c>
      <c r="D179" t="s">
        <v>27267</v>
      </c>
      <c r="E179" t="str">
        <f t="shared" si="2"/>
        <v>001390</v>
      </c>
      <c r="F179" t="s">
        <v>27246</v>
      </c>
      <c r="G179" t="s">
        <v>27247</v>
      </c>
      <c r="H179" t="s">
        <v>27248</v>
      </c>
      <c r="I179" t="s">
        <v>27591</v>
      </c>
      <c r="J179" t="s">
        <v>358</v>
      </c>
      <c r="L179" t="s">
        <v>27250</v>
      </c>
      <c r="M179" t="s">
        <v>27251</v>
      </c>
      <c r="N179" t="s">
        <v>27252</v>
      </c>
      <c r="Q179" s="1">
        <v>44812</v>
      </c>
      <c r="R179" t="s">
        <v>27253</v>
      </c>
      <c r="S179" t="s">
        <v>27254</v>
      </c>
      <c r="T179" t="s">
        <v>27269</v>
      </c>
    </row>
    <row r="180" spans="1:20" x14ac:dyDescent="0.3">
      <c r="A180" t="str">
        <f>"0611860447100"</f>
        <v>0611860447100</v>
      </c>
      <c r="B180" t="str">
        <f>"CN5009"</f>
        <v>CN5009</v>
      </c>
      <c r="C180" t="s">
        <v>27592</v>
      </c>
      <c r="D180" t="s">
        <v>27339</v>
      </c>
      <c r="E180" t="str">
        <f t="shared" si="2"/>
        <v>001390</v>
      </c>
      <c r="F180" t="s">
        <v>27246</v>
      </c>
      <c r="G180" t="s">
        <v>27247</v>
      </c>
      <c r="H180" t="s">
        <v>27248</v>
      </c>
      <c r="I180" t="s">
        <v>27593</v>
      </c>
      <c r="J180" t="s">
        <v>360</v>
      </c>
      <c r="L180" t="s">
        <v>27250</v>
      </c>
      <c r="M180" t="s">
        <v>27251</v>
      </c>
      <c r="N180" t="s">
        <v>27252</v>
      </c>
      <c r="Q180" s="1">
        <v>44846</v>
      </c>
      <c r="R180" t="s">
        <v>27253</v>
      </c>
      <c r="S180" t="s">
        <v>27254</v>
      </c>
      <c r="T180" t="s">
        <v>27255</v>
      </c>
    </row>
    <row r="181" spans="1:20" x14ac:dyDescent="0.3">
      <c r="A181" t="str">
        <f>"0611830586025"</f>
        <v>0611830586025</v>
      </c>
      <c r="B181" t="str">
        <f>"MC2838"</f>
        <v>MC2838</v>
      </c>
      <c r="C181" t="s">
        <v>27594</v>
      </c>
      <c r="D181" t="s">
        <v>27267</v>
      </c>
      <c r="E181" t="str">
        <f t="shared" si="2"/>
        <v>001390</v>
      </c>
      <c r="F181" t="s">
        <v>27246</v>
      </c>
      <c r="G181" t="s">
        <v>27247</v>
      </c>
      <c r="H181" t="s">
        <v>27248</v>
      </c>
      <c r="I181" t="s">
        <v>27595</v>
      </c>
      <c r="J181" t="s">
        <v>362</v>
      </c>
      <c r="L181" t="s">
        <v>27250</v>
      </c>
      <c r="M181" t="s">
        <v>27251</v>
      </c>
      <c r="N181" t="s">
        <v>27252</v>
      </c>
      <c r="Q181" s="1">
        <v>44538</v>
      </c>
      <c r="R181" t="s">
        <v>27253</v>
      </c>
      <c r="S181" t="s">
        <v>27254</v>
      </c>
      <c r="T181" t="s">
        <v>27269</v>
      </c>
    </row>
    <row r="182" spans="1:20" x14ac:dyDescent="0.3">
      <c r="A182" t="str">
        <f>"0611830587025"</f>
        <v>0611830587025</v>
      </c>
      <c r="B182" t="str">
        <f>"MC2208"</f>
        <v>MC2208</v>
      </c>
      <c r="C182" t="s">
        <v>27596</v>
      </c>
      <c r="D182" t="s">
        <v>27267</v>
      </c>
      <c r="E182" t="str">
        <f t="shared" si="2"/>
        <v>001390</v>
      </c>
      <c r="F182" t="s">
        <v>27246</v>
      </c>
      <c r="G182" t="s">
        <v>27247</v>
      </c>
      <c r="H182" t="s">
        <v>27248</v>
      </c>
      <c r="I182" t="s">
        <v>27597</v>
      </c>
      <c r="J182" t="s">
        <v>366</v>
      </c>
      <c r="L182" t="s">
        <v>27250</v>
      </c>
      <c r="M182" t="s">
        <v>27251</v>
      </c>
      <c r="N182" t="s">
        <v>27252</v>
      </c>
      <c r="Q182" s="1">
        <v>44538</v>
      </c>
      <c r="R182" t="s">
        <v>27253</v>
      </c>
      <c r="S182" t="s">
        <v>27254</v>
      </c>
      <c r="T182" t="s">
        <v>27269</v>
      </c>
    </row>
    <row r="183" spans="1:20" x14ac:dyDescent="0.3">
      <c r="A183" t="str">
        <f>"0611860448100"</f>
        <v>0611860448100</v>
      </c>
      <c r="B183" t="str">
        <f>"CN5010"</f>
        <v>CN5010</v>
      </c>
      <c r="C183" t="s">
        <v>27596</v>
      </c>
      <c r="D183" t="s">
        <v>27335</v>
      </c>
      <c r="E183" t="str">
        <f t="shared" si="2"/>
        <v>001390</v>
      </c>
      <c r="F183" t="s">
        <v>27246</v>
      </c>
      <c r="G183" t="s">
        <v>27247</v>
      </c>
      <c r="H183" t="s">
        <v>27248</v>
      </c>
      <c r="I183" t="s">
        <v>27598</v>
      </c>
      <c r="J183" t="s">
        <v>364</v>
      </c>
      <c r="L183" t="s">
        <v>27250</v>
      </c>
      <c r="M183" t="s">
        <v>27251</v>
      </c>
      <c r="N183" t="s">
        <v>27252</v>
      </c>
      <c r="Q183" s="1">
        <v>44846</v>
      </c>
      <c r="R183" t="s">
        <v>27253</v>
      </c>
      <c r="S183" t="s">
        <v>27254</v>
      </c>
      <c r="T183" t="s">
        <v>27255</v>
      </c>
    </row>
    <row r="184" spans="1:20" x14ac:dyDescent="0.3">
      <c r="A184" t="str">
        <f>"0611860449050"</f>
        <v>0611860449050</v>
      </c>
      <c r="B184" t="str">
        <f>"CR4156"</f>
        <v>CR4156</v>
      </c>
      <c r="C184" t="s">
        <v>27596</v>
      </c>
      <c r="D184" t="s">
        <v>27263</v>
      </c>
      <c r="E184" t="str">
        <f t="shared" si="2"/>
        <v>001390</v>
      </c>
      <c r="F184" t="s">
        <v>27246</v>
      </c>
      <c r="G184" t="s">
        <v>27247</v>
      </c>
      <c r="H184" t="s">
        <v>27248</v>
      </c>
      <c r="I184" t="s">
        <v>27599</v>
      </c>
      <c r="J184" t="s">
        <v>368</v>
      </c>
      <c r="L184" t="s">
        <v>27250</v>
      </c>
      <c r="M184" t="s">
        <v>27251</v>
      </c>
      <c r="N184" t="s">
        <v>27252</v>
      </c>
      <c r="Q184" s="1">
        <v>44846</v>
      </c>
      <c r="R184" t="s">
        <v>27253</v>
      </c>
      <c r="S184" t="s">
        <v>27254</v>
      </c>
      <c r="T184" t="s">
        <v>27265</v>
      </c>
    </row>
    <row r="185" spans="1:20" x14ac:dyDescent="0.3">
      <c r="A185" t="str">
        <f>"0611860450100"</f>
        <v>0611860450100</v>
      </c>
      <c r="B185" t="str">
        <f>"CN5011"</f>
        <v>CN5011</v>
      </c>
      <c r="C185" t="s">
        <v>27600</v>
      </c>
      <c r="D185" t="s">
        <v>27245</v>
      </c>
      <c r="E185" t="str">
        <f t="shared" si="2"/>
        <v>001390</v>
      </c>
      <c r="F185" t="s">
        <v>27246</v>
      </c>
      <c r="G185" t="s">
        <v>27247</v>
      </c>
      <c r="H185" t="s">
        <v>27248</v>
      </c>
      <c r="I185" t="s">
        <v>27601</v>
      </c>
      <c r="J185" t="s">
        <v>370</v>
      </c>
      <c r="L185" t="s">
        <v>27250</v>
      </c>
      <c r="M185" t="s">
        <v>27251</v>
      </c>
      <c r="N185" t="s">
        <v>27252</v>
      </c>
      <c r="Q185" s="1">
        <v>44846</v>
      </c>
      <c r="R185" t="s">
        <v>27253</v>
      </c>
      <c r="S185" t="s">
        <v>27254</v>
      </c>
      <c r="T185" t="s">
        <v>27255</v>
      </c>
    </row>
    <row r="186" spans="1:20" x14ac:dyDescent="0.3">
      <c r="A186" t="str">
        <f>"0611860451100"</f>
        <v>0611860451100</v>
      </c>
      <c r="B186" t="str">
        <f>"CN2343"</f>
        <v>CN2343</v>
      </c>
      <c r="C186" t="s">
        <v>27602</v>
      </c>
      <c r="D186" t="s">
        <v>27339</v>
      </c>
      <c r="E186" t="str">
        <f t="shared" si="2"/>
        <v>001390</v>
      </c>
      <c r="F186" t="s">
        <v>27246</v>
      </c>
      <c r="G186" t="s">
        <v>27247</v>
      </c>
      <c r="H186" t="s">
        <v>27248</v>
      </c>
      <c r="I186" t="s">
        <v>27603</v>
      </c>
      <c r="J186" t="s">
        <v>372</v>
      </c>
      <c r="L186" t="s">
        <v>27250</v>
      </c>
      <c r="M186" t="s">
        <v>27251</v>
      </c>
      <c r="N186" t="s">
        <v>27252</v>
      </c>
      <c r="Q186" s="1">
        <v>44846</v>
      </c>
      <c r="R186" t="s">
        <v>27253</v>
      </c>
      <c r="S186" t="s">
        <v>27254</v>
      </c>
      <c r="T186" t="s">
        <v>27255</v>
      </c>
    </row>
    <row r="187" spans="1:20" x14ac:dyDescent="0.3">
      <c r="A187" t="str">
        <f>"0611860452100"</f>
        <v>0611860452100</v>
      </c>
      <c r="B187" t="str">
        <f>"CN2341"</f>
        <v>CN2341</v>
      </c>
      <c r="C187" t="s">
        <v>27604</v>
      </c>
      <c r="D187" t="s">
        <v>27339</v>
      </c>
      <c r="E187" t="str">
        <f t="shared" si="2"/>
        <v>001390</v>
      </c>
      <c r="F187" t="s">
        <v>27246</v>
      </c>
      <c r="G187" t="s">
        <v>27247</v>
      </c>
      <c r="H187" t="s">
        <v>27248</v>
      </c>
      <c r="I187" t="s">
        <v>27605</v>
      </c>
      <c r="J187" t="s">
        <v>374</v>
      </c>
      <c r="L187" t="s">
        <v>27250</v>
      </c>
      <c r="M187" t="s">
        <v>27251</v>
      </c>
      <c r="N187" t="s">
        <v>27252</v>
      </c>
      <c r="Q187" s="1">
        <v>44846</v>
      </c>
      <c r="R187" t="s">
        <v>27253</v>
      </c>
      <c r="S187" t="s">
        <v>27254</v>
      </c>
      <c r="T187" t="s">
        <v>27255</v>
      </c>
    </row>
    <row r="188" spans="1:20" x14ac:dyDescent="0.3">
      <c r="A188" t="str">
        <f>"0611860453100"</f>
        <v>0611860453100</v>
      </c>
      <c r="B188" t="str">
        <f>"CN2342"</f>
        <v>CN2342</v>
      </c>
      <c r="C188" t="s">
        <v>27606</v>
      </c>
      <c r="D188" t="s">
        <v>27339</v>
      </c>
      <c r="E188" t="str">
        <f t="shared" si="2"/>
        <v>001390</v>
      </c>
      <c r="F188" t="s">
        <v>27246</v>
      </c>
      <c r="G188" t="s">
        <v>27247</v>
      </c>
      <c r="H188" t="s">
        <v>27248</v>
      </c>
      <c r="I188" t="s">
        <v>27607</v>
      </c>
      <c r="J188" t="s">
        <v>376</v>
      </c>
      <c r="L188" t="s">
        <v>27250</v>
      </c>
      <c r="M188" t="s">
        <v>27251</v>
      </c>
      <c r="N188" t="s">
        <v>27252</v>
      </c>
      <c r="Q188" s="1">
        <v>44846</v>
      </c>
      <c r="R188" t="s">
        <v>27253</v>
      </c>
      <c r="S188" t="s">
        <v>27254</v>
      </c>
      <c r="T188" t="s">
        <v>27255</v>
      </c>
    </row>
    <row r="189" spans="1:20" x14ac:dyDescent="0.3">
      <c r="A189" t="str">
        <f>"0611830593025"</f>
        <v>0611830593025</v>
      </c>
      <c r="B189" t="str">
        <f>"MC0991"</f>
        <v>MC0991</v>
      </c>
      <c r="C189" t="s">
        <v>27608</v>
      </c>
      <c r="D189" t="s">
        <v>27267</v>
      </c>
      <c r="E189" t="str">
        <f t="shared" si="2"/>
        <v>001390</v>
      </c>
      <c r="F189" t="s">
        <v>27246</v>
      </c>
      <c r="G189" t="s">
        <v>27247</v>
      </c>
      <c r="H189" t="s">
        <v>27248</v>
      </c>
      <c r="I189" t="s">
        <v>27609</v>
      </c>
      <c r="J189" t="s">
        <v>378</v>
      </c>
      <c r="L189" t="s">
        <v>27250</v>
      </c>
      <c r="M189" t="s">
        <v>27251</v>
      </c>
      <c r="N189" t="s">
        <v>27252</v>
      </c>
      <c r="Q189" s="1">
        <v>44538</v>
      </c>
      <c r="R189" t="s">
        <v>27253</v>
      </c>
      <c r="S189" t="s">
        <v>27254</v>
      </c>
      <c r="T189" t="s">
        <v>27269</v>
      </c>
    </row>
    <row r="190" spans="1:20" x14ac:dyDescent="0.3">
      <c r="A190" t="str">
        <f>"0611830594100"</f>
        <v>0611830594100</v>
      </c>
      <c r="B190" t="str">
        <f>"LH4730"</f>
        <v>LH4730</v>
      </c>
      <c r="C190" t="s">
        <v>27610</v>
      </c>
      <c r="D190" t="s">
        <v>27245</v>
      </c>
      <c r="E190" t="str">
        <f t="shared" si="2"/>
        <v>001390</v>
      </c>
      <c r="F190" t="s">
        <v>27246</v>
      </c>
      <c r="G190" t="s">
        <v>27247</v>
      </c>
      <c r="H190" t="s">
        <v>27248</v>
      </c>
      <c r="I190" t="s">
        <v>27611</v>
      </c>
      <c r="J190" t="s">
        <v>380</v>
      </c>
      <c r="L190" t="s">
        <v>27250</v>
      </c>
      <c r="M190" t="s">
        <v>27251</v>
      </c>
      <c r="N190" t="s">
        <v>27252</v>
      </c>
      <c r="Q190" s="1">
        <v>44538</v>
      </c>
      <c r="R190" t="s">
        <v>27253</v>
      </c>
      <c r="S190" t="s">
        <v>27254</v>
      </c>
      <c r="T190" t="s">
        <v>27255</v>
      </c>
    </row>
    <row r="191" spans="1:20" x14ac:dyDescent="0.3">
      <c r="A191" t="str">
        <f>"0611830595025"</f>
        <v>0611830595025</v>
      </c>
      <c r="B191" t="str">
        <f>"MC0020"</f>
        <v>MC0020</v>
      </c>
      <c r="C191" t="s">
        <v>27610</v>
      </c>
      <c r="D191" t="s">
        <v>27267</v>
      </c>
      <c r="E191" t="str">
        <f t="shared" si="2"/>
        <v>001390</v>
      </c>
      <c r="F191" t="s">
        <v>27246</v>
      </c>
      <c r="G191" t="s">
        <v>27247</v>
      </c>
      <c r="H191" t="s">
        <v>27248</v>
      </c>
      <c r="I191" t="s">
        <v>27612</v>
      </c>
      <c r="J191" t="s">
        <v>382</v>
      </c>
      <c r="L191" t="s">
        <v>27250</v>
      </c>
      <c r="M191" t="s">
        <v>27251</v>
      </c>
      <c r="N191" t="s">
        <v>27252</v>
      </c>
      <c r="Q191" s="1">
        <v>44538</v>
      </c>
      <c r="R191" t="s">
        <v>27253</v>
      </c>
      <c r="S191" t="s">
        <v>27254</v>
      </c>
      <c r="T191" t="s">
        <v>27269</v>
      </c>
    </row>
    <row r="192" spans="1:20" x14ac:dyDescent="0.3">
      <c r="A192" t="str">
        <f>"0611830596025"</f>
        <v>0611830596025</v>
      </c>
      <c r="B192" t="str">
        <f>"MC0021"</f>
        <v>MC0021</v>
      </c>
      <c r="C192" t="s">
        <v>27613</v>
      </c>
      <c r="D192" t="s">
        <v>27267</v>
      </c>
      <c r="E192" t="str">
        <f t="shared" si="2"/>
        <v>001390</v>
      </c>
      <c r="F192" t="s">
        <v>27246</v>
      </c>
      <c r="G192" t="s">
        <v>27247</v>
      </c>
      <c r="H192" t="s">
        <v>27248</v>
      </c>
      <c r="I192" t="s">
        <v>27614</v>
      </c>
      <c r="J192" t="s">
        <v>384</v>
      </c>
      <c r="L192" t="s">
        <v>27250</v>
      </c>
      <c r="M192" t="s">
        <v>27251</v>
      </c>
      <c r="N192" t="s">
        <v>27252</v>
      </c>
      <c r="Q192" s="1">
        <v>44538</v>
      </c>
      <c r="R192" t="s">
        <v>27253</v>
      </c>
      <c r="S192" t="s">
        <v>27254</v>
      </c>
      <c r="T192" t="s">
        <v>27269</v>
      </c>
    </row>
    <row r="193" spans="1:20" x14ac:dyDescent="0.3">
      <c r="A193" t="str">
        <f>"0611830597025"</f>
        <v>0611830597025</v>
      </c>
      <c r="B193" t="str">
        <f>"MC0024"</f>
        <v>MC0024</v>
      </c>
      <c r="C193" t="s">
        <v>27615</v>
      </c>
      <c r="D193" t="s">
        <v>27267</v>
      </c>
      <c r="E193" t="str">
        <f t="shared" si="2"/>
        <v>001390</v>
      </c>
      <c r="F193" t="s">
        <v>27246</v>
      </c>
      <c r="G193" t="s">
        <v>27247</v>
      </c>
      <c r="H193" t="s">
        <v>27248</v>
      </c>
      <c r="I193" t="s">
        <v>27616</v>
      </c>
      <c r="J193" t="s">
        <v>388</v>
      </c>
      <c r="L193" t="s">
        <v>27250</v>
      </c>
      <c r="M193" t="s">
        <v>27251</v>
      </c>
      <c r="N193" t="s">
        <v>27252</v>
      </c>
      <c r="Q193" s="1">
        <v>44538</v>
      </c>
      <c r="R193" t="s">
        <v>27253</v>
      </c>
      <c r="S193" t="s">
        <v>27254</v>
      </c>
      <c r="T193" t="s">
        <v>27269</v>
      </c>
    </row>
    <row r="194" spans="1:20" x14ac:dyDescent="0.3">
      <c r="A194" t="str">
        <f>"0611830592025"</f>
        <v>0611830592025</v>
      </c>
      <c r="B194" t="str">
        <f>"MC3598"</f>
        <v>MC3598</v>
      </c>
      <c r="C194" t="s">
        <v>27617</v>
      </c>
      <c r="D194" t="s">
        <v>27267</v>
      </c>
      <c r="E194" t="str">
        <f t="shared" ref="E194:E257" si="3">"001390"</f>
        <v>001390</v>
      </c>
      <c r="F194" t="s">
        <v>27246</v>
      </c>
      <c r="G194" t="s">
        <v>27247</v>
      </c>
      <c r="H194" t="s">
        <v>27248</v>
      </c>
      <c r="I194" t="s">
        <v>27618</v>
      </c>
      <c r="J194" t="s">
        <v>386</v>
      </c>
      <c r="L194" t="s">
        <v>27250</v>
      </c>
      <c r="M194" t="s">
        <v>27251</v>
      </c>
      <c r="N194" t="s">
        <v>27252</v>
      </c>
      <c r="Q194" s="1">
        <v>44538</v>
      </c>
      <c r="R194" t="s">
        <v>27253</v>
      </c>
      <c r="S194" t="s">
        <v>27254</v>
      </c>
      <c r="T194" t="s">
        <v>27269</v>
      </c>
    </row>
    <row r="195" spans="1:20" x14ac:dyDescent="0.3">
      <c r="A195" t="str">
        <f>"0611830598025"</f>
        <v>0611830598025</v>
      </c>
      <c r="B195" t="str">
        <f>"MC0025"</f>
        <v>MC0025</v>
      </c>
      <c r="C195" t="s">
        <v>27619</v>
      </c>
      <c r="D195" t="s">
        <v>27267</v>
      </c>
      <c r="E195" t="str">
        <f t="shared" si="3"/>
        <v>001390</v>
      </c>
      <c r="F195" t="s">
        <v>27246</v>
      </c>
      <c r="G195" t="s">
        <v>27247</v>
      </c>
      <c r="H195" t="s">
        <v>27248</v>
      </c>
      <c r="I195" t="s">
        <v>27620</v>
      </c>
      <c r="J195" t="s">
        <v>390</v>
      </c>
      <c r="L195" t="s">
        <v>27250</v>
      </c>
      <c r="M195" t="s">
        <v>27251</v>
      </c>
      <c r="N195" t="s">
        <v>27252</v>
      </c>
      <c r="Q195" s="1">
        <v>44538</v>
      </c>
      <c r="R195" t="s">
        <v>27253</v>
      </c>
      <c r="S195" t="s">
        <v>27254</v>
      </c>
      <c r="T195" t="s">
        <v>27269</v>
      </c>
    </row>
    <row r="196" spans="1:20" x14ac:dyDescent="0.3">
      <c r="A196" t="str">
        <f>"0611830599025"</f>
        <v>0611830599025</v>
      </c>
      <c r="B196" t="str">
        <f>"MC0026"</f>
        <v>MC0026</v>
      </c>
      <c r="C196" t="s">
        <v>27621</v>
      </c>
      <c r="D196" t="s">
        <v>27267</v>
      </c>
      <c r="E196" t="str">
        <f t="shared" si="3"/>
        <v>001390</v>
      </c>
      <c r="F196" t="s">
        <v>27246</v>
      </c>
      <c r="G196" t="s">
        <v>27247</v>
      </c>
      <c r="H196" t="s">
        <v>27248</v>
      </c>
      <c r="I196" t="s">
        <v>27622</v>
      </c>
      <c r="J196" t="s">
        <v>392</v>
      </c>
      <c r="L196" t="s">
        <v>27250</v>
      </c>
      <c r="M196" t="s">
        <v>27251</v>
      </c>
      <c r="N196" t="s">
        <v>27252</v>
      </c>
      <c r="Q196" s="1">
        <v>44538</v>
      </c>
      <c r="R196" t="s">
        <v>27253</v>
      </c>
      <c r="S196" t="s">
        <v>27254</v>
      </c>
      <c r="T196" t="s">
        <v>27269</v>
      </c>
    </row>
    <row r="197" spans="1:20" x14ac:dyDescent="0.3">
      <c r="A197" t="str">
        <f>"0611830600025"</f>
        <v>0611830600025</v>
      </c>
      <c r="B197" t="str">
        <f>"MC1768"</f>
        <v>MC1768</v>
      </c>
      <c r="C197" t="s">
        <v>27623</v>
      </c>
      <c r="D197" t="s">
        <v>27267</v>
      </c>
      <c r="E197" t="str">
        <f t="shared" si="3"/>
        <v>001390</v>
      </c>
      <c r="F197" t="s">
        <v>27246</v>
      </c>
      <c r="G197" t="s">
        <v>27247</v>
      </c>
      <c r="H197" t="s">
        <v>27248</v>
      </c>
      <c r="I197" t="s">
        <v>27624</v>
      </c>
      <c r="J197" t="s">
        <v>394</v>
      </c>
      <c r="L197" t="s">
        <v>27250</v>
      </c>
      <c r="M197" t="s">
        <v>27251</v>
      </c>
      <c r="N197" t="s">
        <v>27252</v>
      </c>
      <c r="Q197" s="1">
        <v>44538</v>
      </c>
      <c r="R197" t="s">
        <v>27253</v>
      </c>
      <c r="S197" t="s">
        <v>27254</v>
      </c>
      <c r="T197" t="s">
        <v>27269</v>
      </c>
    </row>
    <row r="198" spans="1:20" x14ac:dyDescent="0.3">
      <c r="A198" t="str">
        <f>"0611830601025"</f>
        <v>0611830601025</v>
      </c>
      <c r="B198" t="str">
        <f>"MC1767"</f>
        <v>MC1767</v>
      </c>
      <c r="C198" t="s">
        <v>27625</v>
      </c>
      <c r="D198" t="s">
        <v>27267</v>
      </c>
      <c r="E198" t="str">
        <f t="shared" si="3"/>
        <v>001390</v>
      </c>
      <c r="F198" t="s">
        <v>27246</v>
      </c>
      <c r="G198" t="s">
        <v>27247</v>
      </c>
      <c r="H198" t="s">
        <v>27248</v>
      </c>
      <c r="I198" t="s">
        <v>27626</v>
      </c>
      <c r="J198" t="s">
        <v>396</v>
      </c>
      <c r="L198" t="s">
        <v>27250</v>
      </c>
      <c r="M198" t="s">
        <v>27251</v>
      </c>
      <c r="N198" t="s">
        <v>27252</v>
      </c>
      <c r="Q198" s="1">
        <v>44538</v>
      </c>
      <c r="R198" t="s">
        <v>27253</v>
      </c>
      <c r="S198" t="s">
        <v>27254</v>
      </c>
      <c r="T198" t="s">
        <v>27269</v>
      </c>
    </row>
    <row r="199" spans="1:20" x14ac:dyDescent="0.3">
      <c r="A199" t="str">
        <f>"0611830602025"</f>
        <v>0611830602025</v>
      </c>
      <c r="B199" t="str">
        <f>"MC0994"</f>
        <v>MC0994</v>
      </c>
      <c r="C199" t="s">
        <v>27627</v>
      </c>
      <c r="D199" t="s">
        <v>27267</v>
      </c>
      <c r="E199" t="str">
        <f t="shared" si="3"/>
        <v>001390</v>
      </c>
      <c r="F199" t="s">
        <v>27246</v>
      </c>
      <c r="G199" t="s">
        <v>27247</v>
      </c>
      <c r="H199" t="s">
        <v>27248</v>
      </c>
      <c r="I199" t="s">
        <v>27628</v>
      </c>
      <c r="J199" t="s">
        <v>398</v>
      </c>
      <c r="L199" t="s">
        <v>27250</v>
      </c>
      <c r="M199" t="s">
        <v>27251</v>
      </c>
      <c r="N199" t="s">
        <v>27252</v>
      </c>
      <c r="O199">
        <v>25</v>
      </c>
      <c r="Q199" s="1">
        <v>44538</v>
      </c>
      <c r="R199" t="s">
        <v>27253</v>
      </c>
      <c r="S199" t="s">
        <v>27254</v>
      </c>
      <c r="T199" t="s">
        <v>27269</v>
      </c>
    </row>
    <row r="200" spans="1:20" x14ac:dyDescent="0.3">
      <c r="A200" t="str">
        <f>"0611830603025"</f>
        <v>0611830603025</v>
      </c>
      <c r="B200" t="str">
        <f>"MC3670"</f>
        <v>MC3670</v>
      </c>
      <c r="C200" t="s">
        <v>27629</v>
      </c>
      <c r="D200" t="s">
        <v>27267</v>
      </c>
      <c r="E200" t="str">
        <f t="shared" si="3"/>
        <v>001390</v>
      </c>
      <c r="F200" t="s">
        <v>27246</v>
      </c>
      <c r="G200" t="s">
        <v>27247</v>
      </c>
      <c r="H200" t="s">
        <v>27248</v>
      </c>
      <c r="I200" t="s">
        <v>27630</v>
      </c>
      <c r="J200" t="s">
        <v>400</v>
      </c>
      <c r="L200" t="s">
        <v>27250</v>
      </c>
      <c r="M200" t="s">
        <v>27251</v>
      </c>
      <c r="N200" t="s">
        <v>27252</v>
      </c>
      <c r="Q200" s="1">
        <v>44538</v>
      </c>
      <c r="R200" t="s">
        <v>27253</v>
      </c>
      <c r="S200" t="s">
        <v>27254</v>
      </c>
      <c r="T200" t="s">
        <v>27269</v>
      </c>
    </row>
    <row r="201" spans="1:20" x14ac:dyDescent="0.3">
      <c r="A201" t="str">
        <f>"0611830604025"</f>
        <v>0611830604025</v>
      </c>
      <c r="B201" t="str">
        <f>"MC0027"</f>
        <v>MC0027</v>
      </c>
      <c r="C201" t="s">
        <v>27631</v>
      </c>
      <c r="D201" t="s">
        <v>27267</v>
      </c>
      <c r="E201" t="str">
        <f t="shared" si="3"/>
        <v>001390</v>
      </c>
      <c r="F201" t="s">
        <v>27246</v>
      </c>
      <c r="G201" t="s">
        <v>27247</v>
      </c>
      <c r="H201" t="s">
        <v>27248</v>
      </c>
      <c r="I201" t="s">
        <v>27632</v>
      </c>
      <c r="J201" t="s">
        <v>402</v>
      </c>
      <c r="L201" t="s">
        <v>27250</v>
      </c>
      <c r="M201" t="s">
        <v>27251</v>
      </c>
      <c r="N201" t="s">
        <v>27252</v>
      </c>
      <c r="Q201" s="1">
        <v>44538</v>
      </c>
      <c r="R201" t="s">
        <v>27253</v>
      </c>
      <c r="S201" t="s">
        <v>27254</v>
      </c>
      <c r="T201" t="s">
        <v>27269</v>
      </c>
    </row>
    <row r="202" spans="1:20" x14ac:dyDescent="0.3">
      <c r="A202" t="str">
        <f>"0611830605025"</f>
        <v>0611830605025</v>
      </c>
      <c r="B202" t="str">
        <f>"MC1606"</f>
        <v>MC1606</v>
      </c>
      <c r="C202" t="s">
        <v>27633</v>
      </c>
      <c r="D202" t="s">
        <v>27267</v>
      </c>
      <c r="E202" t="str">
        <f t="shared" si="3"/>
        <v>001390</v>
      </c>
      <c r="F202" t="s">
        <v>27246</v>
      </c>
      <c r="G202" t="s">
        <v>27247</v>
      </c>
      <c r="H202" t="s">
        <v>27248</v>
      </c>
      <c r="I202" t="s">
        <v>27634</v>
      </c>
      <c r="J202" t="s">
        <v>404</v>
      </c>
      <c r="L202" t="s">
        <v>27250</v>
      </c>
      <c r="M202" t="s">
        <v>27251</v>
      </c>
      <c r="N202" t="s">
        <v>27252</v>
      </c>
      <c r="O202">
        <v>25</v>
      </c>
      <c r="Q202" s="1">
        <v>44538</v>
      </c>
      <c r="R202" t="s">
        <v>27253</v>
      </c>
      <c r="S202" t="s">
        <v>27254</v>
      </c>
      <c r="T202" t="s">
        <v>27269</v>
      </c>
    </row>
    <row r="203" spans="1:20" x14ac:dyDescent="0.3">
      <c r="A203" t="str">
        <f>"0611830606100"</f>
        <v>0611830606100</v>
      </c>
      <c r="B203" t="str">
        <f>"LK1258"</f>
        <v>LK1258</v>
      </c>
      <c r="C203" t="s">
        <v>27635</v>
      </c>
      <c r="D203" t="s">
        <v>27245</v>
      </c>
      <c r="E203" t="str">
        <f t="shared" si="3"/>
        <v>001390</v>
      </c>
      <c r="F203" t="s">
        <v>27246</v>
      </c>
      <c r="G203" t="s">
        <v>27247</v>
      </c>
      <c r="H203" t="s">
        <v>27248</v>
      </c>
      <c r="I203" t="s">
        <v>27636</v>
      </c>
      <c r="J203" t="s">
        <v>406</v>
      </c>
      <c r="L203" t="s">
        <v>27250</v>
      </c>
      <c r="M203" t="s">
        <v>27251</v>
      </c>
      <c r="N203" t="s">
        <v>27252</v>
      </c>
      <c r="Q203" s="1">
        <v>44538</v>
      </c>
      <c r="R203" t="s">
        <v>27253</v>
      </c>
      <c r="S203" t="s">
        <v>27254</v>
      </c>
      <c r="T203" t="s">
        <v>27255</v>
      </c>
    </row>
    <row r="204" spans="1:20" x14ac:dyDescent="0.3">
      <c r="A204" t="str">
        <f>"0611830607025"</f>
        <v>0611830607025</v>
      </c>
      <c r="B204" t="str">
        <f>"MC0029"</f>
        <v>MC0029</v>
      </c>
      <c r="C204" t="s">
        <v>27637</v>
      </c>
      <c r="D204" t="s">
        <v>27267</v>
      </c>
      <c r="E204" t="str">
        <f t="shared" si="3"/>
        <v>001390</v>
      </c>
      <c r="F204" t="s">
        <v>27246</v>
      </c>
      <c r="G204" t="s">
        <v>27247</v>
      </c>
      <c r="H204" t="s">
        <v>27248</v>
      </c>
      <c r="I204" t="s">
        <v>27638</v>
      </c>
      <c r="J204" t="s">
        <v>408</v>
      </c>
      <c r="L204" t="s">
        <v>27250</v>
      </c>
      <c r="M204" t="s">
        <v>27251</v>
      </c>
      <c r="N204" t="s">
        <v>27252</v>
      </c>
      <c r="Q204" s="1">
        <v>44538</v>
      </c>
      <c r="R204" t="s">
        <v>27253</v>
      </c>
      <c r="S204" t="s">
        <v>27254</v>
      </c>
      <c r="T204" t="s">
        <v>27269</v>
      </c>
    </row>
    <row r="205" spans="1:20" x14ac:dyDescent="0.3">
      <c r="A205" t="str">
        <f>"0611830608025"</f>
        <v>0611830608025</v>
      </c>
      <c r="B205" t="str">
        <f>"MC3467"</f>
        <v>MC3467</v>
      </c>
      <c r="C205" t="s">
        <v>27639</v>
      </c>
      <c r="D205" t="s">
        <v>27267</v>
      </c>
      <c r="E205" t="str">
        <f t="shared" si="3"/>
        <v>001390</v>
      </c>
      <c r="F205" t="s">
        <v>27246</v>
      </c>
      <c r="G205" t="s">
        <v>27247</v>
      </c>
      <c r="H205" t="s">
        <v>27248</v>
      </c>
      <c r="I205" t="s">
        <v>27640</v>
      </c>
      <c r="J205" t="s">
        <v>410</v>
      </c>
      <c r="L205" t="s">
        <v>27250</v>
      </c>
      <c r="M205" t="s">
        <v>27251</v>
      </c>
      <c r="N205" t="s">
        <v>27252</v>
      </c>
      <c r="Q205" s="1">
        <v>44538</v>
      </c>
      <c r="R205" t="s">
        <v>27253</v>
      </c>
      <c r="S205" t="s">
        <v>27254</v>
      </c>
      <c r="T205" t="s">
        <v>27269</v>
      </c>
    </row>
    <row r="206" spans="1:20" x14ac:dyDescent="0.3">
      <c r="A206" t="str">
        <f>"0611830609025"</f>
        <v>0611830609025</v>
      </c>
      <c r="B206" t="str">
        <f>"MC3468"</f>
        <v>MC3468</v>
      </c>
      <c r="C206" t="s">
        <v>27641</v>
      </c>
      <c r="D206" t="s">
        <v>27267</v>
      </c>
      <c r="E206" t="str">
        <f t="shared" si="3"/>
        <v>001390</v>
      </c>
      <c r="F206" t="s">
        <v>27246</v>
      </c>
      <c r="G206" t="s">
        <v>27247</v>
      </c>
      <c r="H206" t="s">
        <v>27248</v>
      </c>
      <c r="I206" t="s">
        <v>27642</v>
      </c>
      <c r="J206" t="s">
        <v>412</v>
      </c>
      <c r="L206" t="s">
        <v>27250</v>
      </c>
      <c r="M206" t="s">
        <v>27251</v>
      </c>
      <c r="N206" t="s">
        <v>27252</v>
      </c>
      <c r="Q206" s="1">
        <v>44538</v>
      </c>
      <c r="R206" t="s">
        <v>27253</v>
      </c>
      <c r="S206" t="s">
        <v>27254</v>
      </c>
      <c r="T206" t="s">
        <v>27269</v>
      </c>
    </row>
    <row r="207" spans="1:20" x14ac:dyDescent="0.3">
      <c r="A207" t="str">
        <f>"0611830611025"</f>
        <v>0611830611025</v>
      </c>
      <c r="B207" t="str">
        <f>"MC3470"</f>
        <v>MC3470</v>
      </c>
      <c r="C207" t="s">
        <v>27643</v>
      </c>
      <c r="D207" t="s">
        <v>27267</v>
      </c>
      <c r="E207" t="str">
        <f t="shared" si="3"/>
        <v>001390</v>
      </c>
      <c r="F207" t="s">
        <v>27246</v>
      </c>
      <c r="G207" t="s">
        <v>27247</v>
      </c>
      <c r="H207" t="s">
        <v>27248</v>
      </c>
      <c r="I207" t="s">
        <v>27644</v>
      </c>
      <c r="J207" t="s">
        <v>414</v>
      </c>
      <c r="L207" t="s">
        <v>27250</v>
      </c>
      <c r="M207" t="s">
        <v>27251</v>
      </c>
      <c r="N207" t="s">
        <v>27252</v>
      </c>
      <c r="Q207" s="1">
        <v>44538</v>
      </c>
      <c r="R207" t="s">
        <v>27253</v>
      </c>
      <c r="S207" t="s">
        <v>27254</v>
      </c>
      <c r="T207" t="s">
        <v>27269</v>
      </c>
    </row>
    <row r="208" spans="1:20" x14ac:dyDescent="0.3">
      <c r="A208" t="str">
        <f>"0611830612025"</f>
        <v>0611830612025</v>
      </c>
      <c r="B208" t="str">
        <f>"MC4040"</f>
        <v>MC4040</v>
      </c>
      <c r="C208" t="s">
        <v>27645</v>
      </c>
      <c r="D208" t="s">
        <v>27267</v>
      </c>
      <c r="E208" t="str">
        <f t="shared" si="3"/>
        <v>001390</v>
      </c>
      <c r="F208" t="s">
        <v>27246</v>
      </c>
      <c r="G208" t="s">
        <v>27247</v>
      </c>
      <c r="H208" t="s">
        <v>27248</v>
      </c>
      <c r="I208" t="s">
        <v>27646</v>
      </c>
      <c r="J208" t="s">
        <v>416</v>
      </c>
      <c r="L208" t="s">
        <v>27250</v>
      </c>
      <c r="M208" t="s">
        <v>27251</v>
      </c>
      <c r="N208" t="s">
        <v>27252</v>
      </c>
      <c r="Q208" s="1">
        <v>44538</v>
      </c>
      <c r="R208" t="s">
        <v>27253</v>
      </c>
      <c r="S208" t="s">
        <v>27254</v>
      </c>
      <c r="T208" t="s">
        <v>27269</v>
      </c>
    </row>
    <row r="209" spans="1:20" x14ac:dyDescent="0.3">
      <c r="A209" t="str">
        <f>"0611830613025"</f>
        <v>0611830613025</v>
      </c>
      <c r="B209" t="str">
        <f>"MC4041"</f>
        <v>MC4041</v>
      </c>
      <c r="C209" t="s">
        <v>27647</v>
      </c>
      <c r="D209" t="s">
        <v>27267</v>
      </c>
      <c r="E209" t="str">
        <f t="shared" si="3"/>
        <v>001390</v>
      </c>
      <c r="F209" t="s">
        <v>27246</v>
      </c>
      <c r="G209" t="s">
        <v>27247</v>
      </c>
      <c r="H209" t="s">
        <v>27248</v>
      </c>
      <c r="I209" t="s">
        <v>27648</v>
      </c>
      <c r="J209" t="s">
        <v>418</v>
      </c>
      <c r="L209" t="s">
        <v>27250</v>
      </c>
      <c r="M209" t="s">
        <v>27251</v>
      </c>
      <c r="N209" t="s">
        <v>27252</v>
      </c>
      <c r="Q209" s="1">
        <v>44538</v>
      </c>
      <c r="R209" t="s">
        <v>27253</v>
      </c>
      <c r="S209" t="s">
        <v>27254</v>
      </c>
      <c r="T209" t="s">
        <v>27269</v>
      </c>
    </row>
    <row r="210" spans="1:20" x14ac:dyDescent="0.3">
      <c r="A210" t="str">
        <f>"0611830614025"</f>
        <v>0611830614025</v>
      </c>
      <c r="B210" t="str">
        <f>"MC4042"</f>
        <v>MC4042</v>
      </c>
      <c r="C210" t="s">
        <v>27649</v>
      </c>
      <c r="D210" t="s">
        <v>27267</v>
      </c>
      <c r="E210" t="str">
        <f t="shared" si="3"/>
        <v>001390</v>
      </c>
      <c r="F210" t="s">
        <v>27246</v>
      </c>
      <c r="G210" t="s">
        <v>27247</v>
      </c>
      <c r="H210" t="s">
        <v>27248</v>
      </c>
      <c r="I210" t="s">
        <v>27650</v>
      </c>
      <c r="J210" t="s">
        <v>420</v>
      </c>
      <c r="L210" t="s">
        <v>27250</v>
      </c>
      <c r="M210" t="s">
        <v>27251</v>
      </c>
      <c r="N210" t="s">
        <v>27252</v>
      </c>
      <c r="Q210" s="1">
        <v>44538</v>
      </c>
      <c r="R210" t="s">
        <v>27253</v>
      </c>
      <c r="S210" t="s">
        <v>27254</v>
      </c>
      <c r="T210" t="s">
        <v>27269</v>
      </c>
    </row>
    <row r="211" spans="1:20" x14ac:dyDescent="0.3">
      <c r="A211" t="str">
        <f>"0611830618025"</f>
        <v>0611830618025</v>
      </c>
      <c r="B211" t="str">
        <f>"MC3383"</f>
        <v>MC3383</v>
      </c>
      <c r="C211" t="s">
        <v>27651</v>
      </c>
      <c r="D211" t="s">
        <v>27267</v>
      </c>
      <c r="E211" t="str">
        <f t="shared" si="3"/>
        <v>001390</v>
      </c>
      <c r="F211" t="s">
        <v>27246</v>
      </c>
      <c r="G211" t="s">
        <v>27247</v>
      </c>
      <c r="H211" t="s">
        <v>27248</v>
      </c>
      <c r="I211" t="s">
        <v>27652</v>
      </c>
      <c r="J211" t="s">
        <v>422</v>
      </c>
      <c r="L211" t="s">
        <v>27250</v>
      </c>
      <c r="M211" t="s">
        <v>27251</v>
      </c>
      <c r="N211" t="s">
        <v>27252</v>
      </c>
      <c r="Q211" s="1">
        <v>44538</v>
      </c>
      <c r="R211" t="s">
        <v>27253</v>
      </c>
      <c r="S211" t="s">
        <v>27254</v>
      </c>
      <c r="T211" t="s">
        <v>27269</v>
      </c>
    </row>
    <row r="212" spans="1:20" x14ac:dyDescent="0.3">
      <c r="A212" t="str">
        <f>"0611830619025"</f>
        <v>0611830619025</v>
      </c>
      <c r="B212" t="str">
        <f>"MC4044"</f>
        <v>MC4044</v>
      </c>
      <c r="C212" t="s">
        <v>27653</v>
      </c>
      <c r="D212" t="s">
        <v>27267</v>
      </c>
      <c r="E212" t="str">
        <f t="shared" si="3"/>
        <v>001390</v>
      </c>
      <c r="F212" t="s">
        <v>27246</v>
      </c>
      <c r="G212" t="s">
        <v>27247</v>
      </c>
      <c r="H212" t="s">
        <v>27248</v>
      </c>
      <c r="I212" t="s">
        <v>27654</v>
      </c>
      <c r="J212" t="s">
        <v>424</v>
      </c>
      <c r="L212" t="s">
        <v>27250</v>
      </c>
      <c r="M212" t="s">
        <v>27251</v>
      </c>
      <c r="N212" t="s">
        <v>27252</v>
      </c>
      <c r="Q212" s="1">
        <v>44538</v>
      </c>
      <c r="R212" t="s">
        <v>27253</v>
      </c>
      <c r="S212" t="s">
        <v>27254</v>
      </c>
      <c r="T212" t="s">
        <v>27269</v>
      </c>
    </row>
    <row r="213" spans="1:20" x14ac:dyDescent="0.3">
      <c r="A213" t="str">
        <f>"0611830616025"</f>
        <v>0611830616025</v>
      </c>
      <c r="B213" t="str">
        <f>"MC4045"</f>
        <v>MC4045</v>
      </c>
      <c r="C213" t="s">
        <v>27655</v>
      </c>
      <c r="D213" t="s">
        <v>27267</v>
      </c>
      <c r="E213" t="str">
        <f t="shared" si="3"/>
        <v>001390</v>
      </c>
      <c r="F213" t="s">
        <v>27246</v>
      </c>
      <c r="G213" t="s">
        <v>27247</v>
      </c>
      <c r="H213" t="s">
        <v>27248</v>
      </c>
      <c r="I213" t="s">
        <v>27656</v>
      </c>
      <c r="J213" t="s">
        <v>426</v>
      </c>
      <c r="L213" t="s">
        <v>27250</v>
      </c>
      <c r="M213" t="s">
        <v>27251</v>
      </c>
      <c r="N213" t="s">
        <v>27252</v>
      </c>
      <c r="Q213" s="1">
        <v>44538</v>
      </c>
      <c r="R213" t="s">
        <v>27253</v>
      </c>
      <c r="S213" t="s">
        <v>27254</v>
      </c>
      <c r="T213" t="s">
        <v>27269</v>
      </c>
    </row>
    <row r="214" spans="1:20" x14ac:dyDescent="0.3">
      <c r="A214" t="str">
        <f>"0611830620100"</f>
        <v>0611830620100</v>
      </c>
      <c r="B214" t="str">
        <f>"LH4799"</f>
        <v>LH4799</v>
      </c>
      <c r="C214" t="s">
        <v>27657</v>
      </c>
      <c r="D214" t="s">
        <v>27245</v>
      </c>
      <c r="E214" t="str">
        <f t="shared" si="3"/>
        <v>001390</v>
      </c>
      <c r="F214" t="s">
        <v>27246</v>
      </c>
      <c r="G214" t="s">
        <v>27247</v>
      </c>
      <c r="H214" t="s">
        <v>27248</v>
      </c>
      <c r="I214" t="s">
        <v>27658</v>
      </c>
      <c r="J214" t="s">
        <v>428</v>
      </c>
      <c r="L214" t="s">
        <v>27250</v>
      </c>
      <c r="M214" t="s">
        <v>27251</v>
      </c>
      <c r="N214" t="s">
        <v>27252</v>
      </c>
      <c r="Q214" s="1">
        <v>44538</v>
      </c>
      <c r="R214" t="s">
        <v>27253</v>
      </c>
      <c r="S214" t="s">
        <v>27254</v>
      </c>
      <c r="T214" t="s">
        <v>27255</v>
      </c>
    </row>
    <row r="215" spans="1:20" x14ac:dyDescent="0.3">
      <c r="A215" t="str">
        <f>"0611830621025"</f>
        <v>0611830621025</v>
      </c>
      <c r="B215" t="str">
        <f>"MC3214"</f>
        <v>MC3214</v>
      </c>
      <c r="C215" t="s">
        <v>27659</v>
      </c>
      <c r="D215" t="s">
        <v>27267</v>
      </c>
      <c r="E215" t="str">
        <f t="shared" si="3"/>
        <v>001390</v>
      </c>
      <c r="F215" t="s">
        <v>27246</v>
      </c>
      <c r="G215" t="s">
        <v>27247</v>
      </c>
      <c r="H215" t="s">
        <v>27248</v>
      </c>
      <c r="I215" t="s">
        <v>27660</v>
      </c>
      <c r="J215" t="s">
        <v>430</v>
      </c>
      <c r="L215" t="s">
        <v>27250</v>
      </c>
      <c r="M215" t="s">
        <v>27251</v>
      </c>
      <c r="N215" t="s">
        <v>27252</v>
      </c>
      <c r="Q215" s="1">
        <v>44538</v>
      </c>
      <c r="R215" t="s">
        <v>27253</v>
      </c>
      <c r="S215" t="s">
        <v>27254</v>
      </c>
      <c r="T215" t="s">
        <v>27269</v>
      </c>
    </row>
    <row r="216" spans="1:20" x14ac:dyDescent="0.3">
      <c r="A216" t="str">
        <f>"0611830622025"</f>
        <v>0611830622025</v>
      </c>
      <c r="B216" t="str">
        <f>"MC4129"</f>
        <v>MC4129</v>
      </c>
      <c r="C216" t="s">
        <v>27661</v>
      </c>
      <c r="D216" t="s">
        <v>27267</v>
      </c>
      <c r="E216" t="str">
        <f t="shared" si="3"/>
        <v>001390</v>
      </c>
      <c r="F216" t="s">
        <v>27246</v>
      </c>
      <c r="G216" t="s">
        <v>27247</v>
      </c>
      <c r="H216" t="s">
        <v>27248</v>
      </c>
      <c r="I216" t="s">
        <v>27662</v>
      </c>
      <c r="J216" t="s">
        <v>432</v>
      </c>
      <c r="L216" t="s">
        <v>27250</v>
      </c>
      <c r="M216" t="s">
        <v>27251</v>
      </c>
      <c r="N216" t="s">
        <v>27252</v>
      </c>
      <c r="Q216" s="1">
        <v>44538</v>
      </c>
      <c r="R216" t="s">
        <v>27253</v>
      </c>
      <c r="S216" t="s">
        <v>27254</v>
      </c>
      <c r="T216" t="s">
        <v>27269</v>
      </c>
    </row>
    <row r="217" spans="1:20" x14ac:dyDescent="0.3">
      <c r="A217" t="str">
        <f>"0611830623025"</f>
        <v>0611830623025</v>
      </c>
      <c r="B217" t="str">
        <f>"MC0997"</f>
        <v>MC0997</v>
      </c>
      <c r="C217" t="s">
        <v>27663</v>
      </c>
      <c r="D217" t="s">
        <v>27267</v>
      </c>
      <c r="E217" t="str">
        <f t="shared" si="3"/>
        <v>001390</v>
      </c>
      <c r="F217" t="s">
        <v>27246</v>
      </c>
      <c r="G217" t="s">
        <v>27247</v>
      </c>
      <c r="H217" t="s">
        <v>27248</v>
      </c>
      <c r="I217" t="s">
        <v>27664</v>
      </c>
      <c r="J217" t="s">
        <v>434</v>
      </c>
      <c r="L217" t="s">
        <v>27250</v>
      </c>
      <c r="M217" t="s">
        <v>27251</v>
      </c>
      <c r="N217" t="s">
        <v>27252</v>
      </c>
      <c r="Q217" s="1">
        <v>44538</v>
      </c>
      <c r="R217" t="s">
        <v>27253</v>
      </c>
      <c r="S217" t="s">
        <v>27254</v>
      </c>
      <c r="T217" t="s">
        <v>27269</v>
      </c>
    </row>
    <row r="218" spans="1:20" x14ac:dyDescent="0.3">
      <c r="A218" t="str">
        <f>"0611830624025"</f>
        <v>0611830624025</v>
      </c>
      <c r="B218" t="str">
        <f>"MC3336"</f>
        <v>MC3336</v>
      </c>
      <c r="C218" t="s">
        <v>27665</v>
      </c>
      <c r="D218" t="s">
        <v>27267</v>
      </c>
      <c r="E218" t="str">
        <f t="shared" si="3"/>
        <v>001390</v>
      </c>
      <c r="F218" t="s">
        <v>27246</v>
      </c>
      <c r="G218" t="s">
        <v>27247</v>
      </c>
      <c r="H218" t="s">
        <v>27248</v>
      </c>
      <c r="I218" t="s">
        <v>27666</v>
      </c>
      <c r="J218" t="s">
        <v>436</v>
      </c>
      <c r="L218" t="s">
        <v>27250</v>
      </c>
      <c r="M218" t="s">
        <v>27251</v>
      </c>
      <c r="N218" t="s">
        <v>27252</v>
      </c>
      <c r="Q218" s="1">
        <v>44538</v>
      </c>
      <c r="R218" t="s">
        <v>27253</v>
      </c>
      <c r="S218" t="s">
        <v>27254</v>
      </c>
      <c r="T218" t="s">
        <v>27269</v>
      </c>
    </row>
    <row r="219" spans="1:20" x14ac:dyDescent="0.3">
      <c r="A219" t="str">
        <f>"0611830625025"</f>
        <v>0611830625025</v>
      </c>
      <c r="B219" t="str">
        <f>"MC0030"</f>
        <v>MC0030</v>
      </c>
      <c r="C219" t="s">
        <v>27667</v>
      </c>
      <c r="D219" t="s">
        <v>27267</v>
      </c>
      <c r="E219" t="str">
        <f t="shared" si="3"/>
        <v>001390</v>
      </c>
      <c r="F219" t="s">
        <v>27246</v>
      </c>
      <c r="G219" t="s">
        <v>27247</v>
      </c>
      <c r="H219" t="s">
        <v>27248</v>
      </c>
      <c r="I219" t="s">
        <v>27668</v>
      </c>
      <c r="J219" t="s">
        <v>438</v>
      </c>
      <c r="L219" t="s">
        <v>27250</v>
      </c>
      <c r="M219" t="s">
        <v>27251</v>
      </c>
      <c r="N219" t="s">
        <v>27252</v>
      </c>
      <c r="Q219" s="1">
        <v>44538</v>
      </c>
      <c r="R219" t="s">
        <v>27253</v>
      </c>
      <c r="S219" t="s">
        <v>27254</v>
      </c>
      <c r="T219" t="s">
        <v>27269</v>
      </c>
    </row>
    <row r="220" spans="1:20" x14ac:dyDescent="0.3">
      <c r="A220" t="str">
        <f>"0611830626100"</f>
        <v>0611830626100</v>
      </c>
      <c r="B220" t="str">
        <f>"LH0460"</f>
        <v>LH0460</v>
      </c>
      <c r="C220" t="s">
        <v>27669</v>
      </c>
      <c r="D220" t="s">
        <v>27245</v>
      </c>
      <c r="E220" t="str">
        <f t="shared" si="3"/>
        <v>001390</v>
      </c>
      <c r="F220" t="s">
        <v>27246</v>
      </c>
      <c r="G220" t="s">
        <v>27247</v>
      </c>
      <c r="H220" t="s">
        <v>27248</v>
      </c>
      <c r="I220" t="s">
        <v>27670</v>
      </c>
      <c r="J220" t="s">
        <v>440</v>
      </c>
      <c r="L220" t="s">
        <v>27250</v>
      </c>
      <c r="M220" t="s">
        <v>27251</v>
      </c>
      <c r="N220" t="s">
        <v>27252</v>
      </c>
      <c r="Q220" s="1">
        <v>44538</v>
      </c>
      <c r="R220" t="s">
        <v>27253</v>
      </c>
      <c r="S220" t="s">
        <v>27254</v>
      </c>
      <c r="T220" t="s">
        <v>27255</v>
      </c>
    </row>
    <row r="221" spans="1:20" x14ac:dyDescent="0.3">
      <c r="A221" t="str">
        <f>"0611830627025"</f>
        <v>0611830627025</v>
      </c>
      <c r="B221" t="str">
        <f>"MC4130"</f>
        <v>MC4130</v>
      </c>
      <c r="C221" t="s">
        <v>27669</v>
      </c>
      <c r="D221" t="s">
        <v>27267</v>
      </c>
      <c r="E221" t="str">
        <f t="shared" si="3"/>
        <v>001390</v>
      </c>
      <c r="F221" t="s">
        <v>27246</v>
      </c>
      <c r="G221" t="s">
        <v>27247</v>
      </c>
      <c r="H221" t="s">
        <v>27248</v>
      </c>
      <c r="I221" t="s">
        <v>27671</v>
      </c>
      <c r="J221" t="s">
        <v>442</v>
      </c>
      <c r="L221" t="s">
        <v>27250</v>
      </c>
      <c r="M221" t="s">
        <v>27251</v>
      </c>
      <c r="N221" t="s">
        <v>27252</v>
      </c>
      <c r="Q221" s="1">
        <v>44538</v>
      </c>
      <c r="R221" t="s">
        <v>27253</v>
      </c>
      <c r="S221" t="s">
        <v>27254</v>
      </c>
      <c r="T221" t="s">
        <v>27269</v>
      </c>
    </row>
    <row r="222" spans="1:20" x14ac:dyDescent="0.3">
      <c r="A222" t="str">
        <f>"0611830628100"</f>
        <v>0611830628100</v>
      </c>
      <c r="B222" t="str">
        <f>"LL2828"</f>
        <v>LL2828</v>
      </c>
      <c r="C222" t="s">
        <v>27672</v>
      </c>
      <c r="D222" t="s">
        <v>27245</v>
      </c>
      <c r="E222" t="str">
        <f t="shared" si="3"/>
        <v>001390</v>
      </c>
      <c r="F222" t="s">
        <v>27246</v>
      </c>
      <c r="G222" t="s">
        <v>27247</v>
      </c>
      <c r="H222" t="s">
        <v>27248</v>
      </c>
      <c r="I222" t="s">
        <v>27673</v>
      </c>
      <c r="J222" t="s">
        <v>444</v>
      </c>
      <c r="L222" t="s">
        <v>27250</v>
      </c>
      <c r="M222" t="s">
        <v>27251</v>
      </c>
      <c r="N222" t="s">
        <v>27252</v>
      </c>
      <c r="Q222" s="1">
        <v>44538</v>
      </c>
      <c r="R222" t="s">
        <v>27253</v>
      </c>
      <c r="S222" t="s">
        <v>27254</v>
      </c>
      <c r="T222" t="s">
        <v>27255</v>
      </c>
    </row>
    <row r="223" spans="1:20" x14ac:dyDescent="0.3">
      <c r="A223" t="str">
        <f>"0611830629100"</f>
        <v>0611830629100</v>
      </c>
      <c r="B223" t="str">
        <f>"LL2776"</f>
        <v>LL2776</v>
      </c>
      <c r="C223" t="s">
        <v>27674</v>
      </c>
      <c r="D223" t="s">
        <v>27245</v>
      </c>
      <c r="E223" t="str">
        <f t="shared" si="3"/>
        <v>001390</v>
      </c>
      <c r="F223" t="s">
        <v>27246</v>
      </c>
      <c r="G223" t="s">
        <v>27247</v>
      </c>
      <c r="H223" t="s">
        <v>27248</v>
      </c>
      <c r="I223" t="s">
        <v>27675</v>
      </c>
      <c r="J223" t="s">
        <v>446</v>
      </c>
      <c r="L223" t="s">
        <v>27250</v>
      </c>
      <c r="M223" t="s">
        <v>27251</v>
      </c>
      <c r="N223" t="s">
        <v>27252</v>
      </c>
      <c r="Q223" s="1">
        <v>44538</v>
      </c>
      <c r="R223" t="s">
        <v>27253</v>
      </c>
      <c r="S223" t="s">
        <v>27254</v>
      </c>
      <c r="T223" t="s">
        <v>27255</v>
      </c>
    </row>
    <row r="224" spans="1:20" x14ac:dyDescent="0.3">
      <c r="A224" t="str">
        <f>"0611830630100"</f>
        <v>0611830630100</v>
      </c>
      <c r="B224" t="str">
        <f>"LL8205"</f>
        <v>LL8205</v>
      </c>
      <c r="C224" t="s">
        <v>27676</v>
      </c>
      <c r="D224" t="s">
        <v>27245</v>
      </c>
      <c r="E224" t="str">
        <f t="shared" si="3"/>
        <v>001390</v>
      </c>
      <c r="F224" t="s">
        <v>27246</v>
      </c>
      <c r="G224" t="s">
        <v>27247</v>
      </c>
      <c r="H224" t="s">
        <v>27248</v>
      </c>
      <c r="I224" t="s">
        <v>27677</v>
      </c>
      <c r="J224" t="s">
        <v>448</v>
      </c>
      <c r="L224" t="s">
        <v>27250</v>
      </c>
      <c r="M224" t="s">
        <v>27251</v>
      </c>
      <c r="N224" t="s">
        <v>27252</v>
      </c>
      <c r="Q224" s="1">
        <v>44538</v>
      </c>
      <c r="R224" t="s">
        <v>27253</v>
      </c>
      <c r="S224" t="s">
        <v>27254</v>
      </c>
      <c r="T224" t="s">
        <v>27255</v>
      </c>
    </row>
    <row r="225" spans="1:20" x14ac:dyDescent="0.3">
      <c r="A225" t="str">
        <f>"0611830631100"</f>
        <v>0611830631100</v>
      </c>
      <c r="B225" t="str">
        <f>"LL2782"</f>
        <v>LL2782</v>
      </c>
      <c r="C225" t="s">
        <v>27678</v>
      </c>
      <c r="D225" t="s">
        <v>27245</v>
      </c>
      <c r="E225" t="str">
        <f t="shared" si="3"/>
        <v>001390</v>
      </c>
      <c r="F225" t="s">
        <v>27246</v>
      </c>
      <c r="G225" t="s">
        <v>27247</v>
      </c>
      <c r="H225" t="s">
        <v>27248</v>
      </c>
      <c r="I225" t="s">
        <v>27679</v>
      </c>
      <c r="J225" t="s">
        <v>450</v>
      </c>
      <c r="L225" t="s">
        <v>27250</v>
      </c>
      <c r="M225" t="s">
        <v>27251</v>
      </c>
      <c r="N225" t="s">
        <v>27252</v>
      </c>
      <c r="Q225" s="1">
        <v>44538</v>
      </c>
      <c r="R225" t="s">
        <v>27253</v>
      </c>
      <c r="S225" t="s">
        <v>27254</v>
      </c>
      <c r="T225" t="s">
        <v>27255</v>
      </c>
    </row>
    <row r="226" spans="1:20" x14ac:dyDescent="0.3">
      <c r="A226" t="str">
        <f>"0611830632100"</f>
        <v>0611830632100</v>
      </c>
      <c r="B226" t="str">
        <f>"LC5850"</f>
        <v>LC5850</v>
      </c>
      <c r="C226" t="s">
        <v>27680</v>
      </c>
      <c r="D226" t="s">
        <v>27245</v>
      </c>
      <c r="E226" t="str">
        <f t="shared" si="3"/>
        <v>001390</v>
      </c>
      <c r="F226" t="s">
        <v>27246</v>
      </c>
      <c r="G226" t="s">
        <v>27247</v>
      </c>
      <c r="H226" t="s">
        <v>27248</v>
      </c>
      <c r="I226" t="s">
        <v>27681</v>
      </c>
      <c r="J226" t="s">
        <v>452</v>
      </c>
      <c r="L226" t="s">
        <v>27250</v>
      </c>
      <c r="M226" t="s">
        <v>27251</v>
      </c>
      <c r="N226" t="s">
        <v>27252</v>
      </c>
      <c r="Q226" s="1">
        <v>44538</v>
      </c>
      <c r="R226" t="s">
        <v>27253</v>
      </c>
      <c r="S226" t="s">
        <v>27254</v>
      </c>
      <c r="T226" t="s">
        <v>27255</v>
      </c>
    </row>
    <row r="227" spans="1:20" x14ac:dyDescent="0.3">
      <c r="A227" t="str">
        <f>"0611830633200"</f>
        <v>0611830633200</v>
      </c>
      <c r="B227" t="str">
        <f>"KP5725"</f>
        <v>KP5725</v>
      </c>
      <c r="C227" t="s">
        <v>27680</v>
      </c>
      <c r="D227" t="s">
        <v>27682</v>
      </c>
      <c r="E227" t="str">
        <f t="shared" si="3"/>
        <v>001390</v>
      </c>
      <c r="F227" t="s">
        <v>27246</v>
      </c>
      <c r="G227" t="s">
        <v>27247</v>
      </c>
      <c r="H227" t="s">
        <v>27248</v>
      </c>
      <c r="I227" t="s">
        <v>27683</v>
      </c>
      <c r="J227" t="s">
        <v>454</v>
      </c>
      <c r="L227" t="s">
        <v>27250</v>
      </c>
      <c r="M227" t="s">
        <v>27251</v>
      </c>
      <c r="N227" t="s">
        <v>27252</v>
      </c>
      <c r="Q227" s="1">
        <v>44538</v>
      </c>
      <c r="R227" t="s">
        <v>27253</v>
      </c>
      <c r="S227" t="s">
        <v>27254</v>
      </c>
      <c r="T227" t="s">
        <v>27684</v>
      </c>
    </row>
    <row r="228" spans="1:20" x14ac:dyDescent="0.3">
      <c r="A228" t="str">
        <f>"0611830634025"</f>
        <v>0611830634025</v>
      </c>
      <c r="B228" t="str">
        <f>"MC0784"</f>
        <v>MC0784</v>
      </c>
      <c r="C228" t="s">
        <v>27680</v>
      </c>
      <c r="D228" t="s">
        <v>27267</v>
      </c>
      <c r="E228" t="str">
        <f t="shared" si="3"/>
        <v>001390</v>
      </c>
      <c r="F228" t="s">
        <v>27246</v>
      </c>
      <c r="G228" t="s">
        <v>27247</v>
      </c>
      <c r="H228" t="s">
        <v>27248</v>
      </c>
      <c r="I228" t="s">
        <v>27685</v>
      </c>
      <c r="J228" t="s">
        <v>456</v>
      </c>
      <c r="L228" t="s">
        <v>27250</v>
      </c>
      <c r="M228" t="s">
        <v>27251</v>
      </c>
      <c r="N228" t="s">
        <v>27252</v>
      </c>
      <c r="Q228" s="1">
        <v>44538</v>
      </c>
      <c r="R228" t="s">
        <v>27253</v>
      </c>
      <c r="S228" t="s">
        <v>27254</v>
      </c>
      <c r="T228" t="s">
        <v>27269</v>
      </c>
    </row>
    <row r="229" spans="1:20" x14ac:dyDescent="0.3">
      <c r="A229" t="str">
        <f>"0611830637100"</f>
        <v>0611830637100</v>
      </c>
      <c r="B229" t="str">
        <f>"LC5851"</f>
        <v>LC5851</v>
      </c>
      <c r="C229" t="s">
        <v>27686</v>
      </c>
      <c r="D229" t="s">
        <v>27245</v>
      </c>
      <c r="E229" t="str">
        <f t="shared" si="3"/>
        <v>001390</v>
      </c>
      <c r="F229" t="s">
        <v>27246</v>
      </c>
      <c r="G229" t="s">
        <v>27247</v>
      </c>
      <c r="H229" t="s">
        <v>27248</v>
      </c>
      <c r="I229" t="s">
        <v>27687</v>
      </c>
      <c r="J229" t="s">
        <v>458</v>
      </c>
      <c r="L229" t="s">
        <v>27250</v>
      </c>
      <c r="M229" t="s">
        <v>27251</v>
      </c>
      <c r="N229" t="s">
        <v>27252</v>
      </c>
      <c r="Q229" s="1">
        <v>44538</v>
      </c>
      <c r="R229" t="s">
        <v>27253</v>
      </c>
      <c r="S229" t="s">
        <v>27254</v>
      </c>
      <c r="T229" t="s">
        <v>27255</v>
      </c>
    </row>
    <row r="230" spans="1:20" x14ac:dyDescent="0.3">
      <c r="A230" t="str">
        <f>"0611830638025"</f>
        <v>0611830638025</v>
      </c>
      <c r="B230" t="str">
        <f>"MC0785"</f>
        <v>MC0785</v>
      </c>
      <c r="C230" t="s">
        <v>27686</v>
      </c>
      <c r="D230" t="s">
        <v>27267</v>
      </c>
      <c r="E230" t="str">
        <f t="shared" si="3"/>
        <v>001390</v>
      </c>
      <c r="F230" t="s">
        <v>27246</v>
      </c>
      <c r="G230" t="s">
        <v>27247</v>
      </c>
      <c r="H230" t="s">
        <v>27248</v>
      </c>
      <c r="I230" t="s">
        <v>27688</v>
      </c>
      <c r="J230" t="s">
        <v>460</v>
      </c>
      <c r="L230" t="s">
        <v>27250</v>
      </c>
      <c r="M230" t="s">
        <v>27251</v>
      </c>
      <c r="N230" t="s">
        <v>27252</v>
      </c>
      <c r="Q230" s="1">
        <v>44538</v>
      </c>
      <c r="R230" t="s">
        <v>27253</v>
      </c>
      <c r="S230" t="s">
        <v>27254</v>
      </c>
      <c r="T230" t="s">
        <v>27269</v>
      </c>
    </row>
    <row r="231" spans="1:20" x14ac:dyDescent="0.3">
      <c r="A231" t="str">
        <f>"0611830639100"</f>
        <v>0611830639100</v>
      </c>
      <c r="B231" t="str">
        <f>"LC6625"</f>
        <v>LC6625</v>
      </c>
      <c r="C231" t="s">
        <v>27689</v>
      </c>
      <c r="D231" t="s">
        <v>27245</v>
      </c>
      <c r="E231" t="str">
        <f t="shared" si="3"/>
        <v>001390</v>
      </c>
      <c r="F231" t="s">
        <v>27246</v>
      </c>
      <c r="G231" t="s">
        <v>27247</v>
      </c>
      <c r="H231" t="s">
        <v>27248</v>
      </c>
      <c r="I231" t="s">
        <v>27690</v>
      </c>
      <c r="J231" t="s">
        <v>464</v>
      </c>
      <c r="L231" t="s">
        <v>27250</v>
      </c>
      <c r="M231" t="s">
        <v>27251</v>
      </c>
      <c r="N231" t="s">
        <v>27252</v>
      </c>
      <c r="Q231" s="1">
        <v>44538</v>
      </c>
      <c r="R231" t="s">
        <v>27253</v>
      </c>
      <c r="S231" t="s">
        <v>27254</v>
      </c>
      <c r="T231" t="s">
        <v>27255</v>
      </c>
    </row>
    <row r="232" spans="1:20" x14ac:dyDescent="0.3">
      <c r="A232" t="str">
        <f>"0611830640100"</f>
        <v>0611830640100</v>
      </c>
      <c r="B232" t="str">
        <f>"LC5855"</f>
        <v>LC5855</v>
      </c>
      <c r="C232" t="s">
        <v>27691</v>
      </c>
      <c r="D232" t="s">
        <v>27245</v>
      </c>
      <c r="E232" t="str">
        <f t="shared" si="3"/>
        <v>001390</v>
      </c>
      <c r="F232" t="s">
        <v>27246</v>
      </c>
      <c r="G232" t="s">
        <v>27247</v>
      </c>
      <c r="H232" t="s">
        <v>27248</v>
      </c>
      <c r="I232" t="s">
        <v>27692</v>
      </c>
      <c r="J232" t="s">
        <v>462</v>
      </c>
      <c r="L232" t="s">
        <v>27250</v>
      </c>
      <c r="M232" t="s">
        <v>27251</v>
      </c>
      <c r="N232" t="s">
        <v>27252</v>
      </c>
      <c r="Q232" s="1">
        <v>44538</v>
      </c>
      <c r="R232" t="s">
        <v>27253</v>
      </c>
      <c r="S232" t="s">
        <v>27254</v>
      </c>
      <c r="T232" t="s">
        <v>27255</v>
      </c>
    </row>
    <row r="233" spans="1:20" x14ac:dyDescent="0.3">
      <c r="A233" t="str">
        <f>"0611883989025"</f>
        <v>0611883989025</v>
      </c>
      <c r="B233" t="str">
        <f>"MC4469"</f>
        <v>MC4469</v>
      </c>
      <c r="C233" t="s">
        <v>27691</v>
      </c>
      <c r="D233" t="s">
        <v>27267</v>
      </c>
      <c r="E233" t="str">
        <f t="shared" si="3"/>
        <v>001390</v>
      </c>
      <c r="F233" t="s">
        <v>27246</v>
      </c>
      <c r="G233" t="s">
        <v>27247</v>
      </c>
      <c r="H233" t="s">
        <v>27248</v>
      </c>
      <c r="I233" t="s">
        <v>27693</v>
      </c>
      <c r="J233" t="s">
        <v>466</v>
      </c>
      <c r="L233" t="s">
        <v>27430</v>
      </c>
      <c r="M233" t="s">
        <v>27251</v>
      </c>
      <c r="N233" t="s">
        <v>27252</v>
      </c>
      <c r="Q233" s="1">
        <v>45250</v>
      </c>
      <c r="R233" t="s">
        <v>27253</v>
      </c>
      <c r="S233" t="s">
        <v>27254</v>
      </c>
      <c r="T233" t="s">
        <v>27269</v>
      </c>
    </row>
    <row r="234" spans="1:20" x14ac:dyDescent="0.3">
      <c r="A234" t="str">
        <f>"0611883990025"</f>
        <v>0611883990025</v>
      </c>
      <c r="B234" t="str">
        <f>"MC4454"</f>
        <v>MC4454</v>
      </c>
      <c r="C234" t="s">
        <v>27694</v>
      </c>
      <c r="D234" t="s">
        <v>27267</v>
      </c>
      <c r="E234" t="str">
        <f t="shared" si="3"/>
        <v>001390</v>
      </c>
      <c r="F234" t="s">
        <v>27246</v>
      </c>
      <c r="G234" t="s">
        <v>27247</v>
      </c>
      <c r="H234" t="s">
        <v>27248</v>
      </c>
      <c r="I234" t="s">
        <v>27695</v>
      </c>
      <c r="J234" t="s">
        <v>468</v>
      </c>
      <c r="L234" t="s">
        <v>27430</v>
      </c>
      <c r="M234" t="s">
        <v>27251</v>
      </c>
      <c r="N234" t="s">
        <v>27252</v>
      </c>
      <c r="Q234" s="1">
        <v>45250</v>
      </c>
      <c r="R234" t="s">
        <v>27253</v>
      </c>
      <c r="S234" t="s">
        <v>27254</v>
      </c>
      <c r="T234" t="s">
        <v>27269</v>
      </c>
    </row>
    <row r="235" spans="1:20" x14ac:dyDescent="0.3">
      <c r="A235" t="str">
        <f>"0611830646025"</f>
        <v>0611830646025</v>
      </c>
      <c r="B235" t="str">
        <f>"MC4276"</f>
        <v>MC4276</v>
      </c>
      <c r="C235" t="s">
        <v>27696</v>
      </c>
      <c r="D235" t="s">
        <v>27267</v>
      </c>
      <c r="E235" t="str">
        <f t="shared" si="3"/>
        <v>001390</v>
      </c>
      <c r="F235" t="s">
        <v>27246</v>
      </c>
      <c r="G235" t="s">
        <v>27247</v>
      </c>
      <c r="H235" t="s">
        <v>27248</v>
      </c>
      <c r="I235" t="s">
        <v>27697</v>
      </c>
      <c r="J235" t="s">
        <v>470</v>
      </c>
      <c r="L235" t="s">
        <v>27250</v>
      </c>
      <c r="M235" t="s">
        <v>27251</v>
      </c>
      <c r="N235" t="s">
        <v>27252</v>
      </c>
      <c r="Q235" s="1">
        <v>44538</v>
      </c>
      <c r="R235" t="s">
        <v>27253</v>
      </c>
      <c r="S235" t="s">
        <v>27254</v>
      </c>
      <c r="T235" t="s">
        <v>27269</v>
      </c>
    </row>
    <row r="236" spans="1:20" x14ac:dyDescent="0.3">
      <c r="A236" t="str">
        <f>"0611830665100"</f>
        <v>0611830665100</v>
      </c>
      <c r="B236" t="str">
        <f>"LF0270"</f>
        <v>LF0270</v>
      </c>
      <c r="C236" t="s">
        <v>27698</v>
      </c>
      <c r="D236" t="s">
        <v>27245</v>
      </c>
      <c r="E236" t="str">
        <f t="shared" si="3"/>
        <v>001390</v>
      </c>
      <c r="F236" t="s">
        <v>27246</v>
      </c>
      <c r="G236" t="s">
        <v>27247</v>
      </c>
      <c r="H236" t="s">
        <v>27248</v>
      </c>
      <c r="I236" t="s">
        <v>27699</v>
      </c>
      <c r="J236" t="s">
        <v>472</v>
      </c>
      <c r="L236" t="s">
        <v>27250</v>
      </c>
      <c r="M236" t="s">
        <v>27251</v>
      </c>
      <c r="N236" t="s">
        <v>27252</v>
      </c>
      <c r="Q236" s="1">
        <v>44538</v>
      </c>
      <c r="R236" t="s">
        <v>27253</v>
      </c>
      <c r="S236" t="s">
        <v>27254</v>
      </c>
      <c r="T236" t="s">
        <v>27255</v>
      </c>
    </row>
    <row r="237" spans="1:20" x14ac:dyDescent="0.3">
      <c r="A237" t="str">
        <f>"0611830666100"</f>
        <v>0611830666100</v>
      </c>
      <c r="B237" t="str">
        <f>"LG8026"</f>
        <v>LG8026</v>
      </c>
      <c r="C237" t="s">
        <v>27700</v>
      </c>
      <c r="D237" t="s">
        <v>27245</v>
      </c>
      <c r="E237" t="str">
        <f t="shared" si="3"/>
        <v>001390</v>
      </c>
      <c r="F237" t="s">
        <v>27246</v>
      </c>
      <c r="G237" t="s">
        <v>27247</v>
      </c>
      <c r="H237" t="s">
        <v>27248</v>
      </c>
      <c r="I237" t="s">
        <v>27701</v>
      </c>
      <c r="J237" t="s">
        <v>474</v>
      </c>
      <c r="L237" t="s">
        <v>27250</v>
      </c>
      <c r="M237" t="s">
        <v>27251</v>
      </c>
      <c r="N237" t="s">
        <v>27252</v>
      </c>
      <c r="Q237" s="1">
        <v>44538</v>
      </c>
      <c r="R237" t="s">
        <v>27253</v>
      </c>
      <c r="S237" t="s">
        <v>27254</v>
      </c>
      <c r="T237" t="s">
        <v>27255</v>
      </c>
    </row>
    <row r="238" spans="1:20" x14ac:dyDescent="0.3">
      <c r="A238" t="str">
        <f>"0611830667100"</f>
        <v>0611830667100</v>
      </c>
      <c r="B238" t="str">
        <f>"LF0027"</f>
        <v>LF0027</v>
      </c>
      <c r="C238" t="s">
        <v>27702</v>
      </c>
      <c r="D238" t="s">
        <v>27245</v>
      </c>
      <c r="E238" t="str">
        <f t="shared" si="3"/>
        <v>001390</v>
      </c>
      <c r="F238" t="s">
        <v>27246</v>
      </c>
      <c r="G238" t="s">
        <v>27247</v>
      </c>
      <c r="H238" t="s">
        <v>27248</v>
      </c>
      <c r="I238" t="s">
        <v>27703</v>
      </c>
      <c r="J238" t="s">
        <v>476</v>
      </c>
      <c r="L238" t="s">
        <v>27250</v>
      </c>
      <c r="M238" t="s">
        <v>27251</v>
      </c>
      <c r="N238" t="s">
        <v>27252</v>
      </c>
      <c r="Q238" s="1">
        <v>44538</v>
      </c>
      <c r="R238" t="s">
        <v>27253</v>
      </c>
      <c r="S238" t="s">
        <v>27254</v>
      </c>
      <c r="T238" t="s">
        <v>27255</v>
      </c>
    </row>
    <row r="239" spans="1:20" x14ac:dyDescent="0.3">
      <c r="A239" t="str">
        <f>"0611830669100"</f>
        <v>0611830669100</v>
      </c>
      <c r="B239" t="str">
        <f>"LC5095"</f>
        <v>LC5095</v>
      </c>
      <c r="C239" t="s">
        <v>27704</v>
      </c>
      <c r="D239" t="s">
        <v>27245</v>
      </c>
      <c r="E239" t="str">
        <f t="shared" si="3"/>
        <v>001390</v>
      </c>
      <c r="F239" t="s">
        <v>27246</v>
      </c>
      <c r="G239" t="s">
        <v>27247</v>
      </c>
      <c r="H239" t="s">
        <v>27248</v>
      </c>
      <c r="I239" t="s">
        <v>27705</v>
      </c>
      <c r="J239" t="s">
        <v>478</v>
      </c>
      <c r="L239" t="s">
        <v>27250</v>
      </c>
      <c r="M239" t="s">
        <v>27251</v>
      </c>
      <c r="N239" t="s">
        <v>27252</v>
      </c>
      <c r="Q239" s="1">
        <v>44538</v>
      </c>
      <c r="R239" t="s">
        <v>27253</v>
      </c>
      <c r="S239" t="s">
        <v>27254</v>
      </c>
      <c r="T239" t="s">
        <v>27255</v>
      </c>
    </row>
    <row r="240" spans="1:20" x14ac:dyDescent="0.3">
      <c r="A240" t="str">
        <f>"0611860455100"</f>
        <v>0611860455100</v>
      </c>
      <c r="B240" t="str">
        <f>"CN2323"</f>
        <v>CN2323</v>
      </c>
      <c r="C240" t="s">
        <v>27706</v>
      </c>
      <c r="D240" t="s">
        <v>27335</v>
      </c>
      <c r="E240" t="str">
        <f t="shared" si="3"/>
        <v>001390</v>
      </c>
      <c r="F240" t="s">
        <v>27246</v>
      </c>
      <c r="G240" t="s">
        <v>27247</v>
      </c>
      <c r="H240" t="s">
        <v>27248</v>
      </c>
      <c r="I240" t="s">
        <v>27707</v>
      </c>
      <c r="J240" t="s">
        <v>480</v>
      </c>
      <c r="L240" t="s">
        <v>27250</v>
      </c>
      <c r="M240" t="s">
        <v>27251</v>
      </c>
      <c r="N240" t="s">
        <v>27252</v>
      </c>
      <c r="Q240" s="1">
        <v>44846</v>
      </c>
      <c r="R240" t="s">
        <v>27253</v>
      </c>
      <c r="S240" t="s">
        <v>27254</v>
      </c>
      <c r="T240" t="s">
        <v>27255</v>
      </c>
    </row>
    <row r="241" spans="1:20" x14ac:dyDescent="0.3">
      <c r="A241" t="str">
        <f>"0611860456100"</f>
        <v>0611860456100</v>
      </c>
      <c r="B241" t="str">
        <f>"CN2007"</f>
        <v>CN2007</v>
      </c>
      <c r="C241" t="s">
        <v>27708</v>
      </c>
      <c r="D241" t="s">
        <v>27245</v>
      </c>
      <c r="E241" t="str">
        <f t="shared" si="3"/>
        <v>001390</v>
      </c>
      <c r="F241" t="s">
        <v>27246</v>
      </c>
      <c r="G241" t="s">
        <v>27247</v>
      </c>
      <c r="H241" t="s">
        <v>27248</v>
      </c>
      <c r="I241" t="s">
        <v>27709</v>
      </c>
      <c r="J241" t="s">
        <v>482</v>
      </c>
      <c r="L241" t="s">
        <v>27250</v>
      </c>
      <c r="M241" t="s">
        <v>27251</v>
      </c>
      <c r="N241" t="s">
        <v>27252</v>
      </c>
      <c r="Q241" s="1">
        <v>44846</v>
      </c>
      <c r="R241" t="s">
        <v>27253</v>
      </c>
      <c r="S241" t="s">
        <v>27254</v>
      </c>
      <c r="T241" t="s">
        <v>27255</v>
      </c>
    </row>
    <row r="242" spans="1:20" x14ac:dyDescent="0.3">
      <c r="A242" t="str">
        <f>"0611860457100"</f>
        <v>0611860457100</v>
      </c>
      <c r="B242" t="str">
        <f>"CN2008"</f>
        <v>CN2008</v>
      </c>
      <c r="C242" t="s">
        <v>27710</v>
      </c>
      <c r="D242" t="s">
        <v>27335</v>
      </c>
      <c r="E242" t="str">
        <f t="shared" si="3"/>
        <v>001390</v>
      </c>
      <c r="F242" t="s">
        <v>27246</v>
      </c>
      <c r="G242" t="s">
        <v>27247</v>
      </c>
      <c r="H242" t="s">
        <v>27248</v>
      </c>
      <c r="I242" t="s">
        <v>27711</v>
      </c>
      <c r="J242" t="s">
        <v>484</v>
      </c>
      <c r="L242" t="s">
        <v>27250</v>
      </c>
      <c r="M242" t="s">
        <v>27251</v>
      </c>
      <c r="N242" t="s">
        <v>27252</v>
      </c>
      <c r="Q242" s="1">
        <v>44846</v>
      </c>
      <c r="R242" t="s">
        <v>27253</v>
      </c>
      <c r="S242" t="s">
        <v>27254</v>
      </c>
      <c r="T242" t="s">
        <v>27255</v>
      </c>
    </row>
    <row r="243" spans="1:20" x14ac:dyDescent="0.3">
      <c r="A243" t="str">
        <f>"0611830670100"</f>
        <v>0611830670100</v>
      </c>
      <c r="B243" t="str">
        <f>"LG0998"</f>
        <v>LG0998</v>
      </c>
      <c r="C243" t="s">
        <v>27712</v>
      </c>
      <c r="D243" t="s">
        <v>27245</v>
      </c>
      <c r="E243" t="str">
        <f t="shared" si="3"/>
        <v>001390</v>
      </c>
      <c r="F243" t="s">
        <v>27246</v>
      </c>
      <c r="G243" t="s">
        <v>27247</v>
      </c>
      <c r="H243" t="s">
        <v>27248</v>
      </c>
      <c r="I243" t="s">
        <v>27713</v>
      </c>
      <c r="J243" t="s">
        <v>486</v>
      </c>
      <c r="L243" t="s">
        <v>27250</v>
      </c>
      <c r="M243" t="s">
        <v>27251</v>
      </c>
      <c r="N243" t="s">
        <v>27252</v>
      </c>
      <c r="Q243" s="1">
        <v>44538</v>
      </c>
      <c r="R243" t="s">
        <v>27253</v>
      </c>
      <c r="S243" t="s">
        <v>27254</v>
      </c>
      <c r="T243" t="s">
        <v>27255</v>
      </c>
    </row>
    <row r="244" spans="1:20" x14ac:dyDescent="0.3">
      <c r="A244" t="str">
        <f>"0611830671100"</f>
        <v>0611830671100</v>
      </c>
      <c r="B244" t="str">
        <f>"LF0479"</f>
        <v>LF0479</v>
      </c>
      <c r="C244" t="s">
        <v>27714</v>
      </c>
      <c r="D244" t="s">
        <v>27245</v>
      </c>
      <c r="E244" t="str">
        <f t="shared" si="3"/>
        <v>001390</v>
      </c>
      <c r="F244" t="s">
        <v>27246</v>
      </c>
      <c r="G244" t="s">
        <v>27247</v>
      </c>
      <c r="H244" t="s">
        <v>27248</v>
      </c>
      <c r="I244" t="s">
        <v>27715</v>
      </c>
      <c r="J244" t="s">
        <v>488</v>
      </c>
      <c r="L244" t="s">
        <v>27250</v>
      </c>
      <c r="M244" t="s">
        <v>27251</v>
      </c>
      <c r="N244" t="s">
        <v>27252</v>
      </c>
      <c r="Q244" s="1">
        <v>44538</v>
      </c>
      <c r="R244" t="s">
        <v>27253</v>
      </c>
      <c r="S244" t="s">
        <v>27254</v>
      </c>
      <c r="T244" t="s">
        <v>27255</v>
      </c>
    </row>
    <row r="245" spans="1:20" x14ac:dyDescent="0.3">
      <c r="A245" t="str">
        <f>"0611860458100"</f>
        <v>0611860458100</v>
      </c>
      <c r="B245" t="str">
        <f>"CN2269"</f>
        <v>CN2269</v>
      </c>
      <c r="C245" t="s">
        <v>27716</v>
      </c>
      <c r="D245" t="s">
        <v>27335</v>
      </c>
      <c r="E245" t="str">
        <f t="shared" si="3"/>
        <v>001390</v>
      </c>
      <c r="F245" t="s">
        <v>27246</v>
      </c>
      <c r="G245" t="s">
        <v>27247</v>
      </c>
      <c r="H245" t="s">
        <v>27248</v>
      </c>
      <c r="I245" t="s">
        <v>27717</v>
      </c>
      <c r="J245" t="s">
        <v>490</v>
      </c>
      <c r="L245" t="s">
        <v>27250</v>
      </c>
      <c r="M245" t="s">
        <v>27251</v>
      </c>
      <c r="N245" t="s">
        <v>27252</v>
      </c>
      <c r="Q245" s="1">
        <v>44846</v>
      </c>
      <c r="R245" t="s">
        <v>27253</v>
      </c>
      <c r="S245" t="s">
        <v>27254</v>
      </c>
      <c r="T245" t="s">
        <v>27255</v>
      </c>
    </row>
    <row r="246" spans="1:20" x14ac:dyDescent="0.3">
      <c r="A246" t="str">
        <f>"0611860459100"</f>
        <v>0611860459100</v>
      </c>
      <c r="B246" t="str">
        <f>"CN5013"</f>
        <v>CN5013</v>
      </c>
      <c r="C246" t="s">
        <v>27718</v>
      </c>
      <c r="D246" t="s">
        <v>27335</v>
      </c>
      <c r="E246" t="str">
        <f t="shared" si="3"/>
        <v>001390</v>
      </c>
      <c r="F246" t="s">
        <v>27246</v>
      </c>
      <c r="G246" t="s">
        <v>27247</v>
      </c>
      <c r="H246" t="s">
        <v>27248</v>
      </c>
      <c r="I246" t="s">
        <v>27719</v>
      </c>
      <c r="J246" t="s">
        <v>492</v>
      </c>
      <c r="L246" t="s">
        <v>27250</v>
      </c>
      <c r="M246" t="s">
        <v>27251</v>
      </c>
      <c r="N246" t="s">
        <v>27252</v>
      </c>
      <c r="Q246" s="1">
        <v>44846</v>
      </c>
      <c r="R246" t="s">
        <v>27253</v>
      </c>
      <c r="S246" t="s">
        <v>27254</v>
      </c>
      <c r="T246" t="s">
        <v>27255</v>
      </c>
    </row>
    <row r="247" spans="1:20" x14ac:dyDescent="0.3">
      <c r="A247" t="str">
        <f>"0611860460050"</f>
        <v>0611860460050</v>
      </c>
      <c r="B247" t="str">
        <f>"CR4160"</f>
        <v>CR4160</v>
      </c>
      <c r="C247" t="s">
        <v>27718</v>
      </c>
      <c r="D247" t="s">
        <v>27263</v>
      </c>
      <c r="E247" t="str">
        <f t="shared" si="3"/>
        <v>001390</v>
      </c>
      <c r="F247" t="s">
        <v>27246</v>
      </c>
      <c r="G247" t="s">
        <v>27247</v>
      </c>
      <c r="H247" t="s">
        <v>27248</v>
      </c>
      <c r="I247" t="s">
        <v>27720</v>
      </c>
      <c r="J247" t="s">
        <v>494</v>
      </c>
      <c r="L247" t="s">
        <v>27250</v>
      </c>
      <c r="M247" t="s">
        <v>27251</v>
      </c>
      <c r="N247" t="s">
        <v>27252</v>
      </c>
      <c r="Q247" s="1">
        <v>44846</v>
      </c>
      <c r="R247" t="s">
        <v>27253</v>
      </c>
      <c r="S247" t="s">
        <v>27254</v>
      </c>
      <c r="T247" t="s">
        <v>27265</v>
      </c>
    </row>
    <row r="248" spans="1:20" x14ac:dyDescent="0.3">
      <c r="A248" t="str">
        <f>"0611860461050"</f>
        <v>0611860461050</v>
      </c>
      <c r="B248" t="str">
        <f>"CR4161"</f>
        <v>CR4161</v>
      </c>
      <c r="C248" t="s">
        <v>27721</v>
      </c>
      <c r="D248" t="s">
        <v>27263</v>
      </c>
      <c r="E248" t="str">
        <f t="shared" si="3"/>
        <v>001390</v>
      </c>
      <c r="F248" t="s">
        <v>27246</v>
      </c>
      <c r="G248" t="s">
        <v>27247</v>
      </c>
      <c r="H248" t="s">
        <v>27248</v>
      </c>
      <c r="I248" t="s">
        <v>27722</v>
      </c>
      <c r="J248" t="s">
        <v>496</v>
      </c>
      <c r="L248" t="s">
        <v>27250</v>
      </c>
      <c r="M248" t="s">
        <v>27251</v>
      </c>
      <c r="N248" t="s">
        <v>27252</v>
      </c>
      <c r="Q248" s="1">
        <v>44846</v>
      </c>
      <c r="R248" t="s">
        <v>27253</v>
      </c>
      <c r="S248" t="s">
        <v>27254</v>
      </c>
      <c r="T248" t="s">
        <v>27265</v>
      </c>
    </row>
    <row r="249" spans="1:20" x14ac:dyDescent="0.3">
      <c r="A249" t="str">
        <f>"0611860462050"</f>
        <v>0611860462050</v>
      </c>
      <c r="B249" t="str">
        <f>"CR4162"</f>
        <v>CR4162</v>
      </c>
      <c r="C249" t="s">
        <v>27723</v>
      </c>
      <c r="D249" t="s">
        <v>27263</v>
      </c>
      <c r="E249" t="str">
        <f t="shared" si="3"/>
        <v>001390</v>
      </c>
      <c r="F249" t="s">
        <v>27246</v>
      </c>
      <c r="G249" t="s">
        <v>27247</v>
      </c>
      <c r="H249" t="s">
        <v>27248</v>
      </c>
      <c r="I249" t="s">
        <v>27724</v>
      </c>
      <c r="J249" t="s">
        <v>498</v>
      </c>
      <c r="L249" t="s">
        <v>27250</v>
      </c>
      <c r="M249" t="s">
        <v>27251</v>
      </c>
      <c r="N249" t="s">
        <v>27252</v>
      </c>
      <c r="Q249" s="1">
        <v>44846</v>
      </c>
      <c r="R249" t="s">
        <v>27253</v>
      </c>
      <c r="S249" t="s">
        <v>27254</v>
      </c>
      <c r="T249" t="s">
        <v>27265</v>
      </c>
    </row>
    <row r="250" spans="1:20" x14ac:dyDescent="0.3">
      <c r="A250" t="str">
        <f>"0611860463050"</f>
        <v>0611860463050</v>
      </c>
      <c r="B250" t="str">
        <f>"CR4163"</f>
        <v>CR4163</v>
      </c>
      <c r="C250" t="s">
        <v>27725</v>
      </c>
      <c r="D250" t="s">
        <v>27263</v>
      </c>
      <c r="E250" t="str">
        <f t="shared" si="3"/>
        <v>001390</v>
      </c>
      <c r="F250" t="s">
        <v>27246</v>
      </c>
      <c r="G250" t="s">
        <v>27247</v>
      </c>
      <c r="H250" t="s">
        <v>27248</v>
      </c>
      <c r="I250" t="s">
        <v>27726</v>
      </c>
      <c r="J250" t="s">
        <v>500</v>
      </c>
      <c r="L250" t="s">
        <v>27250</v>
      </c>
      <c r="M250" t="s">
        <v>27251</v>
      </c>
      <c r="N250" t="s">
        <v>27252</v>
      </c>
      <c r="Q250" s="1">
        <v>44846</v>
      </c>
      <c r="R250" t="s">
        <v>27253</v>
      </c>
      <c r="S250" t="s">
        <v>27254</v>
      </c>
      <c r="T250" t="s">
        <v>27265</v>
      </c>
    </row>
    <row r="251" spans="1:20" x14ac:dyDescent="0.3">
      <c r="A251" t="str">
        <f>"0611830674100"</f>
        <v>0611830674100</v>
      </c>
      <c r="B251" t="str">
        <f>"LH0570"</f>
        <v>LH0570</v>
      </c>
      <c r="C251" t="s">
        <v>27727</v>
      </c>
      <c r="D251" t="s">
        <v>27245</v>
      </c>
      <c r="E251" t="str">
        <f t="shared" si="3"/>
        <v>001390</v>
      </c>
      <c r="F251" t="s">
        <v>27246</v>
      </c>
      <c r="G251" t="s">
        <v>27247</v>
      </c>
      <c r="H251" t="s">
        <v>27248</v>
      </c>
      <c r="I251" t="s">
        <v>27728</v>
      </c>
      <c r="J251" t="s">
        <v>502</v>
      </c>
      <c r="L251" t="s">
        <v>27250</v>
      </c>
      <c r="M251" t="s">
        <v>27251</v>
      </c>
      <c r="N251" t="s">
        <v>27252</v>
      </c>
      <c r="Q251" s="1">
        <v>44538</v>
      </c>
      <c r="R251" t="s">
        <v>27253</v>
      </c>
      <c r="S251" t="s">
        <v>27254</v>
      </c>
      <c r="T251" t="s">
        <v>27255</v>
      </c>
    </row>
    <row r="252" spans="1:20" x14ac:dyDescent="0.3">
      <c r="A252" t="str">
        <f>"0611860464050"</f>
        <v>0611860464050</v>
      </c>
      <c r="B252" t="str">
        <f>"CR4164"</f>
        <v>CR4164</v>
      </c>
      <c r="C252" t="s">
        <v>27729</v>
      </c>
      <c r="D252" t="s">
        <v>27263</v>
      </c>
      <c r="E252" t="str">
        <f t="shared" si="3"/>
        <v>001390</v>
      </c>
      <c r="F252" t="s">
        <v>27246</v>
      </c>
      <c r="G252" t="s">
        <v>27247</v>
      </c>
      <c r="H252" t="s">
        <v>27248</v>
      </c>
      <c r="I252" t="s">
        <v>27730</v>
      </c>
      <c r="J252" t="s">
        <v>504</v>
      </c>
      <c r="L252" t="s">
        <v>27250</v>
      </c>
      <c r="M252" t="s">
        <v>27251</v>
      </c>
      <c r="N252" t="s">
        <v>27252</v>
      </c>
      <c r="Q252" s="1">
        <v>44846</v>
      </c>
      <c r="R252" t="s">
        <v>27253</v>
      </c>
      <c r="S252" t="s">
        <v>27254</v>
      </c>
      <c r="T252" t="s">
        <v>27265</v>
      </c>
    </row>
    <row r="253" spans="1:20" x14ac:dyDescent="0.3">
      <c r="A253" t="str">
        <f>"0611860465050"</f>
        <v>0611860465050</v>
      </c>
      <c r="B253" t="str">
        <f>"CR4165"</f>
        <v>CR4165</v>
      </c>
      <c r="C253" t="s">
        <v>27731</v>
      </c>
      <c r="D253" t="s">
        <v>27263</v>
      </c>
      <c r="E253" t="str">
        <f t="shared" si="3"/>
        <v>001390</v>
      </c>
      <c r="F253" t="s">
        <v>27246</v>
      </c>
      <c r="G253" t="s">
        <v>27247</v>
      </c>
      <c r="H253" t="s">
        <v>27248</v>
      </c>
      <c r="I253" t="s">
        <v>27732</v>
      </c>
      <c r="J253" t="s">
        <v>506</v>
      </c>
      <c r="L253" t="s">
        <v>27250</v>
      </c>
      <c r="M253" t="s">
        <v>27251</v>
      </c>
      <c r="N253" t="s">
        <v>27252</v>
      </c>
      <c r="Q253" s="1">
        <v>44846</v>
      </c>
      <c r="R253" t="s">
        <v>27253</v>
      </c>
      <c r="S253" t="s">
        <v>27254</v>
      </c>
      <c r="T253" t="s">
        <v>27265</v>
      </c>
    </row>
    <row r="254" spans="1:20" x14ac:dyDescent="0.3">
      <c r="A254" t="str">
        <f>"0611860466050"</f>
        <v>0611860466050</v>
      </c>
      <c r="B254" t="str">
        <f>"CR4166"</f>
        <v>CR4166</v>
      </c>
      <c r="C254" t="s">
        <v>27733</v>
      </c>
      <c r="D254" t="s">
        <v>27263</v>
      </c>
      <c r="E254" t="str">
        <f t="shared" si="3"/>
        <v>001390</v>
      </c>
      <c r="F254" t="s">
        <v>27246</v>
      </c>
      <c r="G254" t="s">
        <v>27247</v>
      </c>
      <c r="H254" t="s">
        <v>27248</v>
      </c>
      <c r="I254" t="s">
        <v>27734</v>
      </c>
      <c r="J254" t="s">
        <v>508</v>
      </c>
      <c r="L254" t="s">
        <v>27250</v>
      </c>
      <c r="M254" t="s">
        <v>27251</v>
      </c>
      <c r="N254" t="s">
        <v>27252</v>
      </c>
      <c r="Q254" s="1">
        <v>44846</v>
      </c>
      <c r="R254" t="s">
        <v>27253</v>
      </c>
      <c r="S254" t="s">
        <v>27254</v>
      </c>
      <c r="T254" t="s">
        <v>27265</v>
      </c>
    </row>
    <row r="255" spans="1:20" x14ac:dyDescent="0.3">
      <c r="A255" t="str">
        <f>"0611860467050"</f>
        <v>0611860467050</v>
      </c>
      <c r="B255" t="str">
        <f>"CR4167"</f>
        <v>CR4167</v>
      </c>
      <c r="C255" t="s">
        <v>27735</v>
      </c>
      <c r="D255" t="s">
        <v>27263</v>
      </c>
      <c r="E255" t="str">
        <f t="shared" si="3"/>
        <v>001390</v>
      </c>
      <c r="F255" t="s">
        <v>27246</v>
      </c>
      <c r="G255" t="s">
        <v>27247</v>
      </c>
      <c r="H255" t="s">
        <v>27248</v>
      </c>
      <c r="I255" t="s">
        <v>27736</v>
      </c>
      <c r="J255" t="s">
        <v>510</v>
      </c>
      <c r="L255" t="s">
        <v>27250</v>
      </c>
      <c r="M255" t="s">
        <v>27251</v>
      </c>
      <c r="N255" t="s">
        <v>27252</v>
      </c>
      <c r="Q255" s="1">
        <v>44846</v>
      </c>
      <c r="R255" t="s">
        <v>27253</v>
      </c>
      <c r="S255" t="s">
        <v>27254</v>
      </c>
      <c r="T255" t="s">
        <v>27265</v>
      </c>
    </row>
    <row r="256" spans="1:20" x14ac:dyDescent="0.3">
      <c r="A256" t="str">
        <f>"0611860468050"</f>
        <v>0611860468050</v>
      </c>
      <c r="B256" t="str">
        <f>"CR4168"</f>
        <v>CR4168</v>
      </c>
      <c r="C256" t="s">
        <v>27737</v>
      </c>
      <c r="D256" t="s">
        <v>27263</v>
      </c>
      <c r="E256" t="str">
        <f t="shared" si="3"/>
        <v>001390</v>
      </c>
      <c r="F256" t="s">
        <v>27246</v>
      </c>
      <c r="G256" t="s">
        <v>27247</v>
      </c>
      <c r="H256" t="s">
        <v>27248</v>
      </c>
      <c r="I256" t="s">
        <v>27738</v>
      </c>
      <c r="J256" t="s">
        <v>512</v>
      </c>
      <c r="L256" t="s">
        <v>27250</v>
      </c>
      <c r="M256" t="s">
        <v>27251</v>
      </c>
      <c r="N256" t="s">
        <v>27252</v>
      </c>
      <c r="Q256" s="1">
        <v>44846</v>
      </c>
      <c r="R256" t="s">
        <v>27253</v>
      </c>
      <c r="S256" t="s">
        <v>27254</v>
      </c>
      <c r="T256" t="s">
        <v>27265</v>
      </c>
    </row>
    <row r="257" spans="1:20" x14ac:dyDescent="0.3">
      <c r="A257" t="str">
        <f>"0611860469050"</f>
        <v>0611860469050</v>
      </c>
      <c r="B257" t="str">
        <f>"CR4169"</f>
        <v>CR4169</v>
      </c>
      <c r="C257" t="s">
        <v>27739</v>
      </c>
      <c r="D257" t="s">
        <v>27263</v>
      </c>
      <c r="E257" t="str">
        <f t="shared" si="3"/>
        <v>001390</v>
      </c>
      <c r="F257" t="s">
        <v>27246</v>
      </c>
      <c r="G257" t="s">
        <v>27247</v>
      </c>
      <c r="H257" t="s">
        <v>27248</v>
      </c>
      <c r="I257" t="s">
        <v>27740</v>
      </c>
      <c r="J257" t="s">
        <v>514</v>
      </c>
      <c r="L257" t="s">
        <v>27250</v>
      </c>
      <c r="M257" t="s">
        <v>27251</v>
      </c>
      <c r="N257" t="s">
        <v>27252</v>
      </c>
      <c r="Q257" s="1">
        <v>44846</v>
      </c>
      <c r="R257" t="s">
        <v>27253</v>
      </c>
      <c r="S257" t="s">
        <v>27254</v>
      </c>
      <c r="T257" t="s">
        <v>27265</v>
      </c>
    </row>
    <row r="258" spans="1:20" x14ac:dyDescent="0.3">
      <c r="A258" t="str">
        <f>"0611860470050"</f>
        <v>0611860470050</v>
      </c>
      <c r="B258" t="str">
        <f>"CR4170"</f>
        <v>CR4170</v>
      </c>
      <c r="C258" t="s">
        <v>27741</v>
      </c>
      <c r="D258" t="s">
        <v>27263</v>
      </c>
      <c r="E258" t="str">
        <f t="shared" ref="E258:E321" si="4">"001390"</f>
        <v>001390</v>
      </c>
      <c r="F258" t="s">
        <v>27246</v>
      </c>
      <c r="G258" t="s">
        <v>27247</v>
      </c>
      <c r="H258" t="s">
        <v>27248</v>
      </c>
      <c r="I258" t="s">
        <v>27742</v>
      </c>
      <c r="J258" t="s">
        <v>516</v>
      </c>
      <c r="L258" t="s">
        <v>27250</v>
      </c>
      <c r="M258" t="s">
        <v>27251</v>
      </c>
      <c r="N258" t="s">
        <v>27252</v>
      </c>
      <c r="Q258" s="1">
        <v>44846</v>
      </c>
      <c r="R258" t="s">
        <v>27253</v>
      </c>
      <c r="S258" t="s">
        <v>27254</v>
      </c>
      <c r="T258" t="s">
        <v>27265</v>
      </c>
    </row>
    <row r="259" spans="1:20" x14ac:dyDescent="0.3">
      <c r="A259" t="str">
        <f>"0611860471050"</f>
        <v>0611860471050</v>
      </c>
      <c r="B259" t="str">
        <f>"CR4171"</f>
        <v>CR4171</v>
      </c>
      <c r="C259" t="s">
        <v>27743</v>
      </c>
      <c r="D259" t="s">
        <v>27263</v>
      </c>
      <c r="E259" t="str">
        <f t="shared" si="4"/>
        <v>001390</v>
      </c>
      <c r="F259" t="s">
        <v>27246</v>
      </c>
      <c r="G259" t="s">
        <v>27247</v>
      </c>
      <c r="H259" t="s">
        <v>27248</v>
      </c>
      <c r="I259" t="s">
        <v>27744</v>
      </c>
      <c r="J259" t="s">
        <v>518</v>
      </c>
      <c r="L259" t="s">
        <v>27250</v>
      </c>
      <c r="M259" t="s">
        <v>27251</v>
      </c>
      <c r="N259" t="s">
        <v>27252</v>
      </c>
      <c r="Q259" s="1">
        <v>44846</v>
      </c>
      <c r="R259" t="s">
        <v>27253</v>
      </c>
      <c r="S259" t="s">
        <v>27254</v>
      </c>
      <c r="T259" t="s">
        <v>27265</v>
      </c>
    </row>
    <row r="260" spans="1:20" x14ac:dyDescent="0.3">
      <c r="A260" t="str">
        <f>"0611860472050"</f>
        <v>0611860472050</v>
      </c>
      <c r="B260" t="str">
        <f>"CR4172"</f>
        <v>CR4172</v>
      </c>
      <c r="C260" t="s">
        <v>27745</v>
      </c>
      <c r="D260" t="s">
        <v>27263</v>
      </c>
      <c r="E260" t="str">
        <f t="shared" si="4"/>
        <v>001390</v>
      </c>
      <c r="F260" t="s">
        <v>27246</v>
      </c>
      <c r="G260" t="s">
        <v>27247</v>
      </c>
      <c r="H260" t="s">
        <v>27248</v>
      </c>
      <c r="I260" t="s">
        <v>27746</v>
      </c>
      <c r="J260" t="s">
        <v>520</v>
      </c>
      <c r="L260" t="s">
        <v>27250</v>
      </c>
      <c r="M260" t="s">
        <v>27251</v>
      </c>
      <c r="N260" t="s">
        <v>27252</v>
      </c>
      <c r="Q260" s="1">
        <v>44846</v>
      </c>
      <c r="R260" t="s">
        <v>27253</v>
      </c>
      <c r="S260" t="s">
        <v>27254</v>
      </c>
      <c r="T260" t="s">
        <v>27265</v>
      </c>
    </row>
    <row r="261" spans="1:20" x14ac:dyDescent="0.3">
      <c r="A261" t="str">
        <f>"0611860473050"</f>
        <v>0611860473050</v>
      </c>
      <c r="B261" t="str">
        <f>"CR4180"</f>
        <v>CR4180</v>
      </c>
      <c r="C261" t="s">
        <v>27747</v>
      </c>
      <c r="D261" t="s">
        <v>27263</v>
      </c>
      <c r="E261" t="str">
        <f t="shared" si="4"/>
        <v>001390</v>
      </c>
      <c r="F261" t="s">
        <v>27246</v>
      </c>
      <c r="G261" t="s">
        <v>27247</v>
      </c>
      <c r="H261" t="s">
        <v>27248</v>
      </c>
      <c r="I261" t="s">
        <v>27748</v>
      </c>
      <c r="J261" t="s">
        <v>522</v>
      </c>
      <c r="L261" t="s">
        <v>27250</v>
      </c>
      <c r="M261" t="s">
        <v>27251</v>
      </c>
      <c r="N261" t="s">
        <v>27252</v>
      </c>
      <c r="Q261" s="1">
        <v>44846</v>
      </c>
      <c r="R261" t="s">
        <v>27253</v>
      </c>
      <c r="S261" t="s">
        <v>27254</v>
      </c>
      <c r="T261" t="s">
        <v>27265</v>
      </c>
    </row>
    <row r="262" spans="1:20" x14ac:dyDescent="0.3">
      <c r="A262" t="str">
        <f>"0611860474050"</f>
        <v>0611860474050</v>
      </c>
      <c r="B262" t="str">
        <f>"CR4181"</f>
        <v>CR4181</v>
      </c>
      <c r="C262" t="s">
        <v>27749</v>
      </c>
      <c r="D262" t="s">
        <v>27263</v>
      </c>
      <c r="E262" t="str">
        <f t="shared" si="4"/>
        <v>001390</v>
      </c>
      <c r="F262" t="s">
        <v>27246</v>
      </c>
      <c r="G262" t="s">
        <v>27247</v>
      </c>
      <c r="H262" t="s">
        <v>27248</v>
      </c>
      <c r="I262" t="s">
        <v>27750</v>
      </c>
      <c r="J262" t="s">
        <v>524</v>
      </c>
      <c r="L262" t="s">
        <v>27250</v>
      </c>
      <c r="M262" t="s">
        <v>27251</v>
      </c>
      <c r="N262" t="s">
        <v>27252</v>
      </c>
      <c r="Q262" s="1">
        <v>44846</v>
      </c>
      <c r="R262" t="s">
        <v>27253</v>
      </c>
      <c r="S262" t="s">
        <v>27254</v>
      </c>
      <c r="T262" t="s">
        <v>27265</v>
      </c>
    </row>
    <row r="263" spans="1:20" x14ac:dyDescent="0.3">
      <c r="A263" t="str">
        <f>"0611860475050"</f>
        <v>0611860475050</v>
      </c>
      <c r="B263" t="str">
        <f>"CR4177"</f>
        <v>CR4177</v>
      </c>
      <c r="C263" t="s">
        <v>27751</v>
      </c>
      <c r="D263" t="s">
        <v>27263</v>
      </c>
      <c r="E263" t="str">
        <f t="shared" si="4"/>
        <v>001390</v>
      </c>
      <c r="F263" t="s">
        <v>27246</v>
      </c>
      <c r="G263" t="s">
        <v>27247</v>
      </c>
      <c r="H263" t="s">
        <v>27248</v>
      </c>
      <c r="I263" t="s">
        <v>27752</v>
      </c>
      <c r="J263" t="s">
        <v>526</v>
      </c>
      <c r="L263" t="s">
        <v>27250</v>
      </c>
      <c r="M263" t="s">
        <v>27251</v>
      </c>
      <c r="N263" t="s">
        <v>27252</v>
      </c>
      <c r="Q263" s="1">
        <v>44846</v>
      </c>
      <c r="R263" t="s">
        <v>27253</v>
      </c>
      <c r="S263" t="s">
        <v>27254</v>
      </c>
      <c r="T263" t="s">
        <v>27265</v>
      </c>
    </row>
    <row r="264" spans="1:20" x14ac:dyDescent="0.3">
      <c r="A264" t="str">
        <f>"0611860476050"</f>
        <v>0611860476050</v>
      </c>
      <c r="B264" t="str">
        <f>"CR4178"</f>
        <v>CR4178</v>
      </c>
      <c r="C264" t="s">
        <v>27753</v>
      </c>
      <c r="D264" t="s">
        <v>27263</v>
      </c>
      <c r="E264" t="str">
        <f t="shared" si="4"/>
        <v>001390</v>
      </c>
      <c r="F264" t="s">
        <v>27246</v>
      </c>
      <c r="G264" t="s">
        <v>27247</v>
      </c>
      <c r="H264" t="s">
        <v>27248</v>
      </c>
      <c r="I264" t="s">
        <v>27754</v>
      </c>
      <c r="J264" t="s">
        <v>528</v>
      </c>
      <c r="L264" t="s">
        <v>27250</v>
      </c>
      <c r="M264" t="s">
        <v>27251</v>
      </c>
      <c r="N264" t="s">
        <v>27252</v>
      </c>
      <c r="Q264" s="1">
        <v>44846</v>
      </c>
      <c r="R264" t="s">
        <v>27253</v>
      </c>
      <c r="S264" t="s">
        <v>27254</v>
      </c>
      <c r="T264" t="s">
        <v>27265</v>
      </c>
    </row>
    <row r="265" spans="1:20" x14ac:dyDescent="0.3">
      <c r="A265" t="str">
        <f>"0611860477050"</f>
        <v>0611860477050</v>
      </c>
      <c r="B265" t="str">
        <f>"CR4182"</f>
        <v>CR4182</v>
      </c>
      <c r="C265" t="s">
        <v>27755</v>
      </c>
      <c r="D265" t="s">
        <v>27263</v>
      </c>
      <c r="E265" t="str">
        <f t="shared" si="4"/>
        <v>001390</v>
      </c>
      <c r="F265" t="s">
        <v>27246</v>
      </c>
      <c r="G265" t="s">
        <v>27247</v>
      </c>
      <c r="H265" t="s">
        <v>27248</v>
      </c>
      <c r="I265" t="s">
        <v>27756</v>
      </c>
      <c r="J265" t="s">
        <v>530</v>
      </c>
      <c r="L265" t="s">
        <v>27250</v>
      </c>
      <c r="M265" t="s">
        <v>27251</v>
      </c>
      <c r="N265" t="s">
        <v>27252</v>
      </c>
      <c r="Q265" s="1">
        <v>44846</v>
      </c>
      <c r="R265" t="s">
        <v>27253</v>
      </c>
      <c r="S265" t="s">
        <v>27254</v>
      </c>
      <c r="T265" t="s">
        <v>27265</v>
      </c>
    </row>
    <row r="266" spans="1:20" x14ac:dyDescent="0.3">
      <c r="A266" t="str">
        <f>"0611860478050"</f>
        <v>0611860478050</v>
      </c>
      <c r="B266" t="str">
        <f>"CR4183"</f>
        <v>CR4183</v>
      </c>
      <c r="C266" t="s">
        <v>27757</v>
      </c>
      <c r="D266" t="s">
        <v>27263</v>
      </c>
      <c r="E266" t="str">
        <f t="shared" si="4"/>
        <v>001390</v>
      </c>
      <c r="F266" t="s">
        <v>27246</v>
      </c>
      <c r="G266" t="s">
        <v>27247</v>
      </c>
      <c r="H266" t="s">
        <v>27248</v>
      </c>
      <c r="I266" t="s">
        <v>27758</v>
      </c>
      <c r="J266" t="s">
        <v>532</v>
      </c>
      <c r="L266" t="s">
        <v>27250</v>
      </c>
      <c r="M266" t="s">
        <v>27251</v>
      </c>
      <c r="N266" t="s">
        <v>27252</v>
      </c>
      <c r="Q266" s="1">
        <v>44846</v>
      </c>
      <c r="R266" t="s">
        <v>27253</v>
      </c>
      <c r="S266" t="s">
        <v>27254</v>
      </c>
      <c r="T266" t="s">
        <v>27265</v>
      </c>
    </row>
    <row r="267" spans="1:20" x14ac:dyDescent="0.3">
      <c r="A267" t="str">
        <f>"0611860479050"</f>
        <v>0611860479050</v>
      </c>
      <c r="B267" t="str">
        <f>"CR4184"</f>
        <v>CR4184</v>
      </c>
      <c r="C267" t="s">
        <v>27759</v>
      </c>
      <c r="D267" t="s">
        <v>27263</v>
      </c>
      <c r="E267" t="str">
        <f t="shared" si="4"/>
        <v>001390</v>
      </c>
      <c r="F267" t="s">
        <v>27246</v>
      </c>
      <c r="G267" t="s">
        <v>27247</v>
      </c>
      <c r="H267" t="s">
        <v>27248</v>
      </c>
      <c r="I267" t="s">
        <v>27760</v>
      </c>
      <c r="J267" t="s">
        <v>534</v>
      </c>
      <c r="L267" t="s">
        <v>27250</v>
      </c>
      <c r="M267" t="s">
        <v>27251</v>
      </c>
      <c r="N267" t="s">
        <v>27252</v>
      </c>
      <c r="Q267" s="1">
        <v>44846</v>
      </c>
      <c r="R267" t="s">
        <v>27253</v>
      </c>
      <c r="S267" t="s">
        <v>27254</v>
      </c>
      <c r="T267" t="s">
        <v>27265</v>
      </c>
    </row>
    <row r="268" spans="1:20" x14ac:dyDescent="0.3">
      <c r="A268" t="str">
        <f>"0611860480050"</f>
        <v>0611860480050</v>
      </c>
      <c r="B268" t="str">
        <f>"CR4185"</f>
        <v>CR4185</v>
      </c>
      <c r="C268" t="s">
        <v>27761</v>
      </c>
      <c r="D268" t="s">
        <v>27263</v>
      </c>
      <c r="E268" t="str">
        <f t="shared" si="4"/>
        <v>001390</v>
      </c>
      <c r="F268" t="s">
        <v>27246</v>
      </c>
      <c r="G268" t="s">
        <v>27247</v>
      </c>
      <c r="H268" t="s">
        <v>27248</v>
      </c>
      <c r="I268" t="s">
        <v>27762</v>
      </c>
      <c r="J268" t="s">
        <v>536</v>
      </c>
      <c r="L268" t="s">
        <v>27250</v>
      </c>
      <c r="M268" t="s">
        <v>27251</v>
      </c>
      <c r="N268" t="s">
        <v>27252</v>
      </c>
      <c r="Q268" s="1">
        <v>44846</v>
      </c>
      <c r="R268" t="s">
        <v>27253</v>
      </c>
      <c r="S268" t="s">
        <v>27254</v>
      </c>
      <c r="T268" t="s">
        <v>27265</v>
      </c>
    </row>
    <row r="269" spans="1:20" x14ac:dyDescent="0.3">
      <c r="A269" t="str">
        <f>"0611860481050"</f>
        <v>0611860481050</v>
      </c>
      <c r="B269" t="str">
        <f>"CR4186"</f>
        <v>CR4186</v>
      </c>
      <c r="C269" t="s">
        <v>27763</v>
      </c>
      <c r="D269" t="s">
        <v>27263</v>
      </c>
      <c r="E269" t="str">
        <f t="shared" si="4"/>
        <v>001390</v>
      </c>
      <c r="F269" t="s">
        <v>27246</v>
      </c>
      <c r="G269" t="s">
        <v>27247</v>
      </c>
      <c r="H269" t="s">
        <v>27248</v>
      </c>
      <c r="I269" t="s">
        <v>27764</v>
      </c>
      <c r="J269" t="s">
        <v>538</v>
      </c>
      <c r="L269" t="s">
        <v>27250</v>
      </c>
      <c r="M269" t="s">
        <v>27251</v>
      </c>
      <c r="N269" t="s">
        <v>27252</v>
      </c>
      <c r="Q269" s="1">
        <v>44846</v>
      </c>
      <c r="R269" t="s">
        <v>27253</v>
      </c>
      <c r="S269" t="s">
        <v>27254</v>
      </c>
      <c r="T269" t="s">
        <v>27265</v>
      </c>
    </row>
    <row r="270" spans="1:20" x14ac:dyDescent="0.3">
      <c r="A270" t="str">
        <f>"0611860482050"</f>
        <v>0611860482050</v>
      </c>
      <c r="B270" t="str">
        <f>"CR4179"</f>
        <v>CR4179</v>
      </c>
      <c r="C270" t="s">
        <v>27765</v>
      </c>
      <c r="D270" t="s">
        <v>27263</v>
      </c>
      <c r="E270" t="str">
        <f t="shared" si="4"/>
        <v>001390</v>
      </c>
      <c r="F270" t="s">
        <v>27246</v>
      </c>
      <c r="G270" t="s">
        <v>27247</v>
      </c>
      <c r="H270" t="s">
        <v>27248</v>
      </c>
      <c r="I270" t="s">
        <v>27766</v>
      </c>
      <c r="J270" t="s">
        <v>540</v>
      </c>
      <c r="L270" t="s">
        <v>27250</v>
      </c>
      <c r="M270" t="s">
        <v>27251</v>
      </c>
      <c r="N270" t="s">
        <v>27252</v>
      </c>
      <c r="Q270" s="1">
        <v>44846</v>
      </c>
      <c r="R270" t="s">
        <v>27253</v>
      </c>
      <c r="S270" t="s">
        <v>27254</v>
      </c>
      <c r="T270" t="s">
        <v>27265</v>
      </c>
    </row>
    <row r="271" spans="1:20" x14ac:dyDescent="0.3">
      <c r="A271" t="str">
        <f>"0611860483050"</f>
        <v>0611860483050</v>
      </c>
      <c r="B271" t="str">
        <f>"CR4188"</f>
        <v>CR4188</v>
      </c>
      <c r="C271" t="s">
        <v>27767</v>
      </c>
      <c r="D271" t="s">
        <v>27263</v>
      </c>
      <c r="E271" t="str">
        <f t="shared" si="4"/>
        <v>001390</v>
      </c>
      <c r="F271" t="s">
        <v>27246</v>
      </c>
      <c r="G271" t="s">
        <v>27247</v>
      </c>
      <c r="H271" t="s">
        <v>27248</v>
      </c>
      <c r="I271" t="s">
        <v>27768</v>
      </c>
      <c r="J271" t="s">
        <v>542</v>
      </c>
      <c r="L271" t="s">
        <v>27250</v>
      </c>
      <c r="M271" t="s">
        <v>27251</v>
      </c>
      <c r="N271" t="s">
        <v>27252</v>
      </c>
      <c r="Q271" s="1">
        <v>44846</v>
      </c>
      <c r="R271" t="s">
        <v>27253</v>
      </c>
      <c r="S271" t="s">
        <v>27254</v>
      </c>
      <c r="T271" t="s">
        <v>27265</v>
      </c>
    </row>
    <row r="272" spans="1:20" x14ac:dyDescent="0.3">
      <c r="A272" t="str">
        <f>"0611860484050"</f>
        <v>0611860484050</v>
      </c>
      <c r="B272" t="str">
        <f>"CR4173"</f>
        <v>CR4173</v>
      </c>
      <c r="C272" t="s">
        <v>27769</v>
      </c>
      <c r="D272" t="s">
        <v>27263</v>
      </c>
      <c r="E272" t="str">
        <f t="shared" si="4"/>
        <v>001390</v>
      </c>
      <c r="F272" t="s">
        <v>27246</v>
      </c>
      <c r="G272" t="s">
        <v>27247</v>
      </c>
      <c r="H272" t="s">
        <v>27248</v>
      </c>
      <c r="I272" t="s">
        <v>27770</v>
      </c>
      <c r="J272" t="s">
        <v>544</v>
      </c>
      <c r="L272" t="s">
        <v>27250</v>
      </c>
      <c r="M272" t="s">
        <v>27251</v>
      </c>
      <c r="N272" t="s">
        <v>27252</v>
      </c>
      <c r="Q272" s="1">
        <v>44846</v>
      </c>
      <c r="R272" t="s">
        <v>27253</v>
      </c>
      <c r="S272" t="s">
        <v>27254</v>
      </c>
      <c r="T272" t="s">
        <v>27265</v>
      </c>
    </row>
    <row r="273" spans="1:20" x14ac:dyDescent="0.3">
      <c r="A273" t="str">
        <f>"0611860485050"</f>
        <v>0611860485050</v>
      </c>
      <c r="B273" t="str">
        <f>"CR4174"</f>
        <v>CR4174</v>
      </c>
      <c r="C273" t="s">
        <v>27771</v>
      </c>
      <c r="D273" t="s">
        <v>27263</v>
      </c>
      <c r="E273" t="str">
        <f t="shared" si="4"/>
        <v>001390</v>
      </c>
      <c r="F273" t="s">
        <v>27246</v>
      </c>
      <c r="G273" t="s">
        <v>27247</v>
      </c>
      <c r="H273" t="s">
        <v>27248</v>
      </c>
      <c r="I273" t="s">
        <v>27772</v>
      </c>
      <c r="J273" t="s">
        <v>546</v>
      </c>
      <c r="L273" t="s">
        <v>27250</v>
      </c>
      <c r="M273" t="s">
        <v>27251</v>
      </c>
      <c r="N273" t="s">
        <v>27252</v>
      </c>
      <c r="Q273" s="1">
        <v>44846</v>
      </c>
      <c r="R273" t="s">
        <v>27253</v>
      </c>
      <c r="S273" t="s">
        <v>27254</v>
      </c>
      <c r="T273" t="s">
        <v>27265</v>
      </c>
    </row>
    <row r="274" spans="1:20" x14ac:dyDescent="0.3">
      <c r="A274" t="str">
        <f>"0611860486050"</f>
        <v>0611860486050</v>
      </c>
      <c r="B274" t="str">
        <f>"CR4187"</f>
        <v>CR4187</v>
      </c>
      <c r="C274" t="s">
        <v>27773</v>
      </c>
      <c r="D274" t="s">
        <v>27263</v>
      </c>
      <c r="E274" t="str">
        <f t="shared" si="4"/>
        <v>001390</v>
      </c>
      <c r="F274" t="s">
        <v>27246</v>
      </c>
      <c r="G274" t="s">
        <v>27247</v>
      </c>
      <c r="H274" t="s">
        <v>27248</v>
      </c>
      <c r="I274" t="s">
        <v>27774</v>
      </c>
      <c r="J274" t="s">
        <v>548</v>
      </c>
      <c r="L274" t="s">
        <v>27250</v>
      </c>
      <c r="M274" t="s">
        <v>27251</v>
      </c>
      <c r="N274" t="s">
        <v>27252</v>
      </c>
      <c r="Q274" s="1">
        <v>44846</v>
      </c>
      <c r="R274" t="s">
        <v>27253</v>
      </c>
      <c r="S274" t="s">
        <v>27254</v>
      </c>
      <c r="T274" t="s">
        <v>27265</v>
      </c>
    </row>
    <row r="275" spans="1:20" x14ac:dyDescent="0.3">
      <c r="A275" t="str">
        <f>"0611860487050"</f>
        <v>0611860487050</v>
      </c>
      <c r="B275" t="str">
        <f>"CR4175"</f>
        <v>CR4175</v>
      </c>
      <c r="C275" t="s">
        <v>27775</v>
      </c>
      <c r="D275" t="s">
        <v>27263</v>
      </c>
      <c r="E275" t="str">
        <f t="shared" si="4"/>
        <v>001390</v>
      </c>
      <c r="F275" t="s">
        <v>27246</v>
      </c>
      <c r="G275" t="s">
        <v>27247</v>
      </c>
      <c r="H275" t="s">
        <v>27248</v>
      </c>
      <c r="I275" t="s">
        <v>27776</v>
      </c>
      <c r="J275" t="s">
        <v>550</v>
      </c>
      <c r="L275" t="s">
        <v>27250</v>
      </c>
      <c r="M275" t="s">
        <v>27251</v>
      </c>
      <c r="N275" t="s">
        <v>27252</v>
      </c>
      <c r="Q275" s="1">
        <v>44846</v>
      </c>
      <c r="R275" t="s">
        <v>27253</v>
      </c>
      <c r="S275" t="s">
        <v>27254</v>
      </c>
      <c r="T275" t="s">
        <v>27265</v>
      </c>
    </row>
    <row r="276" spans="1:20" x14ac:dyDescent="0.3">
      <c r="A276" t="str">
        <f>"0611860488050"</f>
        <v>0611860488050</v>
      </c>
      <c r="B276" t="str">
        <f>"CR4176"</f>
        <v>CR4176</v>
      </c>
      <c r="C276" t="s">
        <v>27777</v>
      </c>
      <c r="D276" t="s">
        <v>27263</v>
      </c>
      <c r="E276" t="str">
        <f t="shared" si="4"/>
        <v>001390</v>
      </c>
      <c r="F276" t="s">
        <v>27246</v>
      </c>
      <c r="G276" t="s">
        <v>27247</v>
      </c>
      <c r="H276" t="s">
        <v>27248</v>
      </c>
      <c r="I276" t="s">
        <v>27778</v>
      </c>
      <c r="J276" t="s">
        <v>552</v>
      </c>
      <c r="L276" t="s">
        <v>27250</v>
      </c>
      <c r="M276" t="s">
        <v>27251</v>
      </c>
      <c r="N276" t="s">
        <v>27252</v>
      </c>
      <c r="Q276" s="1">
        <v>44846</v>
      </c>
      <c r="R276" t="s">
        <v>27253</v>
      </c>
      <c r="S276" t="s">
        <v>27254</v>
      </c>
      <c r="T276" t="s">
        <v>27265</v>
      </c>
    </row>
    <row r="277" spans="1:20" x14ac:dyDescent="0.3">
      <c r="A277" t="str">
        <f>"0611830675100"</f>
        <v>0611830675100</v>
      </c>
      <c r="B277" t="str">
        <f>"LK4433"</f>
        <v>LK4433</v>
      </c>
      <c r="C277" t="s">
        <v>27779</v>
      </c>
      <c r="D277" t="s">
        <v>27245</v>
      </c>
      <c r="E277" t="str">
        <f t="shared" si="4"/>
        <v>001390</v>
      </c>
      <c r="F277" t="s">
        <v>27246</v>
      </c>
      <c r="G277" t="s">
        <v>27247</v>
      </c>
      <c r="H277" t="s">
        <v>27248</v>
      </c>
      <c r="I277" t="s">
        <v>27780</v>
      </c>
      <c r="J277" t="s">
        <v>554</v>
      </c>
      <c r="L277" t="s">
        <v>27250</v>
      </c>
      <c r="M277" t="s">
        <v>27251</v>
      </c>
      <c r="N277" t="s">
        <v>27252</v>
      </c>
      <c r="Q277" s="1">
        <v>44538</v>
      </c>
      <c r="R277" t="s">
        <v>27253</v>
      </c>
      <c r="S277" t="s">
        <v>27254</v>
      </c>
      <c r="T277" t="s">
        <v>27255</v>
      </c>
    </row>
    <row r="278" spans="1:20" x14ac:dyDescent="0.3">
      <c r="A278" t="str">
        <f>"0611860489050"</f>
        <v>0611860489050</v>
      </c>
      <c r="B278" t="str">
        <f>"CR2808"</f>
        <v>CR2808</v>
      </c>
      <c r="C278" t="s">
        <v>27779</v>
      </c>
      <c r="D278" t="s">
        <v>27263</v>
      </c>
      <c r="E278" t="str">
        <f t="shared" si="4"/>
        <v>001390</v>
      </c>
      <c r="F278" t="s">
        <v>27246</v>
      </c>
      <c r="G278" t="s">
        <v>27247</v>
      </c>
      <c r="H278" t="s">
        <v>27248</v>
      </c>
      <c r="I278" t="s">
        <v>27781</v>
      </c>
      <c r="J278" t="s">
        <v>556</v>
      </c>
      <c r="L278" t="s">
        <v>27250</v>
      </c>
      <c r="M278" t="s">
        <v>27251</v>
      </c>
      <c r="N278" t="s">
        <v>27252</v>
      </c>
      <c r="Q278" s="1">
        <v>44846</v>
      </c>
      <c r="R278" t="s">
        <v>27253</v>
      </c>
      <c r="S278" t="s">
        <v>27254</v>
      </c>
      <c r="T278" t="s">
        <v>27265</v>
      </c>
    </row>
    <row r="279" spans="1:20" x14ac:dyDescent="0.3">
      <c r="A279" t="str">
        <f>"0611830676100"</f>
        <v>0611830676100</v>
      </c>
      <c r="B279" t="str">
        <f>"LK2511"</f>
        <v>LK2511</v>
      </c>
      <c r="C279" t="s">
        <v>27782</v>
      </c>
      <c r="D279" t="s">
        <v>27245</v>
      </c>
      <c r="E279" t="str">
        <f t="shared" si="4"/>
        <v>001390</v>
      </c>
      <c r="F279" t="s">
        <v>27246</v>
      </c>
      <c r="G279" t="s">
        <v>27247</v>
      </c>
      <c r="H279" t="s">
        <v>27248</v>
      </c>
      <c r="I279" t="s">
        <v>27783</v>
      </c>
      <c r="J279" t="s">
        <v>558</v>
      </c>
      <c r="L279" t="s">
        <v>27250</v>
      </c>
      <c r="M279" t="s">
        <v>27251</v>
      </c>
      <c r="N279" t="s">
        <v>27252</v>
      </c>
      <c r="Q279" s="1">
        <v>44538</v>
      </c>
      <c r="R279" t="s">
        <v>27253</v>
      </c>
      <c r="S279" t="s">
        <v>27254</v>
      </c>
      <c r="T279" t="s">
        <v>27255</v>
      </c>
    </row>
    <row r="280" spans="1:20" x14ac:dyDescent="0.3">
      <c r="A280" t="str">
        <f>"0611830677100"</f>
        <v>0611830677100</v>
      </c>
      <c r="B280" t="str">
        <f>"LK5994"</f>
        <v>LK5994</v>
      </c>
      <c r="C280" t="s">
        <v>27784</v>
      </c>
      <c r="D280" t="s">
        <v>27245</v>
      </c>
      <c r="E280" t="str">
        <f t="shared" si="4"/>
        <v>001390</v>
      </c>
      <c r="F280" t="s">
        <v>27246</v>
      </c>
      <c r="G280" t="s">
        <v>27247</v>
      </c>
      <c r="H280" t="s">
        <v>27248</v>
      </c>
      <c r="I280" t="s">
        <v>27785</v>
      </c>
      <c r="J280" t="s">
        <v>560</v>
      </c>
      <c r="L280" t="s">
        <v>27250</v>
      </c>
      <c r="M280" t="s">
        <v>27251</v>
      </c>
      <c r="N280" t="s">
        <v>27252</v>
      </c>
      <c r="Q280" s="1">
        <v>44538</v>
      </c>
      <c r="R280" t="s">
        <v>27253</v>
      </c>
      <c r="S280" t="s">
        <v>27254</v>
      </c>
      <c r="T280" t="s">
        <v>27255</v>
      </c>
    </row>
    <row r="281" spans="1:20" x14ac:dyDescent="0.3">
      <c r="A281" t="str">
        <f>"0611830678100"</f>
        <v>0611830678100</v>
      </c>
      <c r="B281" t="str">
        <f>"LQ3373"</f>
        <v>LQ3373</v>
      </c>
      <c r="C281" t="s">
        <v>27786</v>
      </c>
      <c r="D281" t="s">
        <v>27245</v>
      </c>
      <c r="E281" t="str">
        <f t="shared" si="4"/>
        <v>001390</v>
      </c>
      <c r="F281" t="s">
        <v>27246</v>
      </c>
      <c r="G281" t="s">
        <v>27247</v>
      </c>
      <c r="H281" t="s">
        <v>27248</v>
      </c>
      <c r="I281" t="s">
        <v>27787</v>
      </c>
      <c r="J281" t="s">
        <v>562</v>
      </c>
      <c r="L281" t="s">
        <v>27250</v>
      </c>
      <c r="M281" t="s">
        <v>27251</v>
      </c>
      <c r="N281" t="s">
        <v>27252</v>
      </c>
      <c r="Q281" s="1">
        <v>44538</v>
      </c>
      <c r="R281" t="s">
        <v>27253</v>
      </c>
      <c r="S281" t="s">
        <v>27254</v>
      </c>
      <c r="T281" t="s">
        <v>27255</v>
      </c>
    </row>
    <row r="282" spans="1:20" x14ac:dyDescent="0.3">
      <c r="A282" t="str">
        <f>"0611830679100"</f>
        <v>0611830679100</v>
      </c>
      <c r="B282" t="str">
        <f>"LS0002"</f>
        <v>LS0002</v>
      </c>
      <c r="C282" t="s">
        <v>27788</v>
      </c>
      <c r="D282" t="s">
        <v>27245</v>
      </c>
      <c r="E282" t="str">
        <f t="shared" si="4"/>
        <v>001390</v>
      </c>
      <c r="F282" t="s">
        <v>27246</v>
      </c>
      <c r="G282" t="s">
        <v>27247</v>
      </c>
      <c r="H282" t="s">
        <v>27248</v>
      </c>
      <c r="I282" t="s">
        <v>27789</v>
      </c>
      <c r="J282" t="s">
        <v>564</v>
      </c>
      <c r="L282" t="s">
        <v>27250</v>
      </c>
      <c r="M282" t="s">
        <v>27251</v>
      </c>
      <c r="N282" t="s">
        <v>27252</v>
      </c>
      <c r="Q282" s="1">
        <v>44538</v>
      </c>
      <c r="R282" t="s">
        <v>27253</v>
      </c>
      <c r="S282" t="s">
        <v>27254</v>
      </c>
      <c r="T282" t="s">
        <v>27255</v>
      </c>
    </row>
    <row r="283" spans="1:20" x14ac:dyDescent="0.3">
      <c r="A283" t="str">
        <f>"0611830680100"</f>
        <v>0611830680100</v>
      </c>
      <c r="B283" t="str">
        <f>"LK1714"</f>
        <v>LK1714</v>
      </c>
      <c r="C283" t="s">
        <v>27790</v>
      </c>
      <c r="D283" t="s">
        <v>27245</v>
      </c>
      <c r="E283" t="str">
        <f t="shared" si="4"/>
        <v>001390</v>
      </c>
      <c r="F283" t="s">
        <v>27246</v>
      </c>
      <c r="G283" t="s">
        <v>27247</v>
      </c>
      <c r="H283" t="s">
        <v>27248</v>
      </c>
      <c r="I283" t="s">
        <v>27791</v>
      </c>
      <c r="J283" t="s">
        <v>566</v>
      </c>
      <c r="L283" t="s">
        <v>27250</v>
      </c>
      <c r="M283" t="s">
        <v>27251</v>
      </c>
      <c r="N283" t="s">
        <v>27252</v>
      </c>
      <c r="Q283" s="1">
        <v>44538</v>
      </c>
      <c r="R283" t="s">
        <v>27253</v>
      </c>
      <c r="S283" t="s">
        <v>27254</v>
      </c>
      <c r="T283" t="s">
        <v>27255</v>
      </c>
    </row>
    <row r="284" spans="1:20" x14ac:dyDescent="0.3">
      <c r="A284" t="str">
        <f>"0611830681100"</f>
        <v>0611830681100</v>
      </c>
      <c r="B284" t="str">
        <f>"LK2513"</f>
        <v>LK2513</v>
      </c>
      <c r="C284" t="s">
        <v>27792</v>
      </c>
      <c r="D284" t="s">
        <v>27245</v>
      </c>
      <c r="E284" t="str">
        <f t="shared" si="4"/>
        <v>001390</v>
      </c>
      <c r="F284" t="s">
        <v>27246</v>
      </c>
      <c r="G284" t="s">
        <v>27247</v>
      </c>
      <c r="H284" t="s">
        <v>27248</v>
      </c>
      <c r="I284" t="s">
        <v>27793</v>
      </c>
      <c r="J284" t="s">
        <v>568</v>
      </c>
      <c r="L284" t="s">
        <v>27250</v>
      </c>
      <c r="M284" t="s">
        <v>27251</v>
      </c>
      <c r="N284" t="s">
        <v>27252</v>
      </c>
      <c r="Q284" s="1">
        <v>44538</v>
      </c>
      <c r="R284" t="s">
        <v>27253</v>
      </c>
      <c r="S284" t="s">
        <v>27254</v>
      </c>
      <c r="T284" t="s">
        <v>27255</v>
      </c>
    </row>
    <row r="285" spans="1:20" x14ac:dyDescent="0.3">
      <c r="A285" t="str">
        <f>"0611830684100"</f>
        <v>0611830684100</v>
      </c>
      <c r="B285" t="str">
        <f>"LK5683"</f>
        <v>LK5683</v>
      </c>
      <c r="C285" t="s">
        <v>27794</v>
      </c>
      <c r="D285" t="s">
        <v>27245</v>
      </c>
      <c r="E285" t="str">
        <f t="shared" si="4"/>
        <v>001390</v>
      </c>
      <c r="F285" t="s">
        <v>27246</v>
      </c>
      <c r="G285" t="s">
        <v>27247</v>
      </c>
      <c r="H285" t="s">
        <v>27248</v>
      </c>
      <c r="I285" t="s">
        <v>27795</v>
      </c>
      <c r="J285" t="s">
        <v>570</v>
      </c>
      <c r="L285" t="s">
        <v>27250</v>
      </c>
      <c r="M285" t="s">
        <v>27251</v>
      </c>
      <c r="N285" t="s">
        <v>27252</v>
      </c>
      <c r="Q285" s="1">
        <v>44538</v>
      </c>
      <c r="R285" t="s">
        <v>27253</v>
      </c>
      <c r="S285" t="s">
        <v>27254</v>
      </c>
      <c r="T285" t="s">
        <v>27255</v>
      </c>
    </row>
    <row r="286" spans="1:20" x14ac:dyDescent="0.3">
      <c r="A286" t="str">
        <f>"0611860490050"</f>
        <v>0611860490050</v>
      </c>
      <c r="B286" t="str">
        <f>"CR3282"</f>
        <v>CR3282</v>
      </c>
      <c r="C286" t="s">
        <v>27794</v>
      </c>
      <c r="D286" t="s">
        <v>27263</v>
      </c>
      <c r="E286" t="str">
        <f t="shared" si="4"/>
        <v>001390</v>
      </c>
      <c r="F286" t="s">
        <v>27246</v>
      </c>
      <c r="G286" t="s">
        <v>27247</v>
      </c>
      <c r="H286" t="s">
        <v>27248</v>
      </c>
      <c r="I286" t="s">
        <v>27796</v>
      </c>
      <c r="J286" t="s">
        <v>572</v>
      </c>
      <c r="L286" t="s">
        <v>27250</v>
      </c>
      <c r="M286" t="s">
        <v>27251</v>
      </c>
      <c r="N286" t="s">
        <v>27252</v>
      </c>
      <c r="Q286" s="1">
        <v>44846</v>
      </c>
      <c r="R286" t="s">
        <v>27253</v>
      </c>
      <c r="S286" t="s">
        <v>27254</v>
      </c>
      <c r="T286" t="s">
        <v>27265</v>
      </c>
    </row>
    <row r="287" spans="1:20" x14ac:dyDescent="0.3">
      <c r="A287" t="str">
        <f>"0611860491050"</f>
        <v>0611860491050</v>
      </c>
      <c r="B287" t="str">
        <f>"CR2605"</f>
        <v>CR2605</v>
      </c>
      <c r="C287" t="s">
        <v>27797</v>
      </c>
      <c r="D287" t="s">
        <v>27263</v>
      </c>
      <c r="E287" t="str">
        <f t="shared" si="4"/>
        <v>001390</v>
      </c>
      <c r="F287" t="s">
        <v>27246</v>
      </c>
      <c r="G287" t="s">
        <v>27247</v>
      </c>
      <c r="H287" t="s">
        <v>27248</v>
      </c>
      <c r="I287" t="s">
        <v>27798</v>
      </c>
      <c r="J287" t="s">
        <v>574</v>
      </c>
      <c r="L287" t="s">
        <v>27250</v>
      </c>
      <c r="M287" t="s">
        <v>27251</v>
      </c>
      <c r="N287" t="s">
        <v>27252</v>
      </c>
      <c r="Q287" s="1">
        <v>44846</v>
      </c>
      <c r="R287" t="s">
        <v>27253</v>
      </c>
      <c r="S287" t="s">
        <v>27254</v>
      </c>
      <c r="T287" t="s">
        <v>27265</v>
      </c>
    </row>
    <row r="288" spans="1:20" x14ac:dyDescent="0.3">
      <c r="A288" t="str">
        <f>"0611830685100"</f>
        <v>0611830685100</v>
      </c>
      <c r="B288" t="str">
        <f>"LK0594"</f>
        <v>LK0594</v>
      </c>
      <c r="C288" t="s">
        <v>27799</v>
      </c>
      <c r="D288" t="s">
        <v>27245</v>
      </c>
      <c r="E288" t="str">
        <f t="shared" si="4"/>
        <v>001390</v>
      </c>
      <c r="F288" t="s">
        <v>27246</v>
      </c>
      <c r="G288" t="s">
        <v>27247</v>
      </c>
      <c r="H288" t="s">
        <v>27248</v>
      </c>
      <c r="I288" t="s">
        <v>27800</v>
      </c>
      <c r="J288" t="s">
        <v>576</v>
      </c>
      <c r="L288" t="s">
        <v>27250</v>
      </c>
      <c r="M288" t="s">
        <v>27251</v>
      </c>
      <c r="N288" t="s">
        <v>27252</v>
      </c>
      <c r="Q288" s="1">
        <v>44538</v>
      </c>
      <c r="R288" t="s">
        <v>27253</v>
      </c>
      <c r="S288" t="s">
        <v>27254</v>
      </c>
      <c r="T288" t="s">
        <v>27255</v>
      </c>
    </row>
    <row r="289" spans="1:20" x14ac:dyDescent="0.3">
      <c r="A289" t="str">
        <f>"0611830686100"</f>
        <v>0611830686100</v>
      </c>
      <c r="B289" t="str">
        <f>"LK6016"</f>
        <v>LK6016</v>
      </c>
      <c r="C289" t="s">
        <v>27801</v>
      </c>
      <c r="D289" t="s">
        <v>27245</v>
      </c>
      <c r="E289" t="str">
        <f t="shared" si="4"/>
        <v>001390</v>
      </c>
      <c r="F289" t="s">
        <v>27246</v>
      </c>
      <c r="G289" t="s">
        <v>27247</v>
      </c>
      <c r="H289" t="s">
        <v>27248</v>
      </c>
      <c r="I289" t="s">
        <v>27802</v>
      </c>
      <c r="J289" t="s">
        <v>578</v>
      </c>
      <c r="L289" t="s">
        <v>27250</v>
      </c>
      <c r="M289" t="s">
        <v>27251</v>
      </c>
      <c r="N289" t="s">
        <v>27252</v>
      </c>
      <c r="Q289" s="1">
        <v>44538</v>
      </c>
      <c r="R289" t="s">
        <v>27253</v>
      </c>
      <c r="S289" t="s">
        <v>27254</v>
      </c>
      <c r="T289" t="s">
        <v>27255</v>
      </c>
    </row>
    <row r="290" spans="1:20" x14ac:dyDescent="0.3">
      <c r="A290" t="str">
        <f>"0611830687100"</f>
        <v>0611830687100</v>
      </c>
      <c r="B290" t="str">
        <f>"LK2514"</f>
        <v>LK2514</v>
      </c>
      <c r="C290" t="s">
        <v>27803</v>
      </c>
      <c r="D290" t="s">
        <v>27245</v>
      </c>
      <c r="E290" t="str">
        <f t="shared" si="4"/>
        <v>001390</v>
      </c>
      <c r="F290" t="s">
        <v>27246</v>
      </c>
      <c r="G290" t="s">
        <v>27247</v>
      </c>
      <c r="H290" t="s">
        <v>27248</v>
      </c>
      <c r="I290" t="s">
        <v>27804</v>
      </c>
      <c r="J290" t="s">
        <v>580</v>
      </c>
      <c r="L290" t="s">
        <v>27250</v>
      </c>
      <c r="M290" t="s">
        <v>27251</v>
      </c>
      <c r="N290" t="s">
        <v>27252</v>
      </c>
      <c r="Q290" s="1">
        <v>44538</v>
      </c>
      <c r="R290" t="s">
        <v>27253</v>
      </c>
      <c r="S290" t="s">
        <v>27254</v>
      </c>
      <c r="T290" t="s">
        <v>27255</v>
      </c>
    </row>
    <row r="291" spans="1:20" x14ac:dyDescent="0.3">
      <c r="A291" t="str">
        <f>"0611860492050"</f>
        <v>0611860492050</v>
      </c>
      <c r="B291" t="str">
        <f>"CR3057"</f>
        <v>CR3057</v>
      </c>
      <c r="C291" t="s">
        <v>27805</v>
      </c>
      <c r="D291" t="s">
        <v>27263</v>
      </c>
      <c r="E291" t="str">
        <f t="shared" si="4"/>
        <v>001390</v>
      </c>
      <c r="F291" t="s">
        <v>27246</v>
      </c>
      <c r="G291" t="s">
        <v>27247</v>
      </c>
      <c r="H291" t="s">
        <v>27248</v>
      </c>
      <c r="I291" t="s">
        <v>27806</v>
      </c>
      <c r="J291" t="s">
        <v>582</v>
      </c>
      <c r="L291" t="s">
        <v>27250</v>
      </c>
      <c r="M291" t="s">
        <v>27251</v>
      </c>
      <c r="N291" t="s">
        <v>27252</v>
      </c>
      <c r="Q291" s="1">
        <v>44846</v>
      </c>
      <c r="R291" t="s">
        <v>27253</v>
      </c>
      <c r="S291" t="s">
        <v>27254</v>
      </c>
      <c r="T291" t="s">
        <v>27265</v>
      </c>
    </row>
    <row r="292" spans="1:20" x14ac:dyDescent="0.3">
      <c r="A292" t="str">
        <f>"0611830688100"</f>
        <v>0611830688100</v>
      </c>
      <c r="B292" t="str">
        <f>"LK6225"</f>
        <v>LK6225</v>
      </c>
      <c r="C292" t="s">
        <v>27807</v>
      </c>
      <c r="D292" t="s">
        <v>27245</v>
      </c>
      <c r="E292" t="str">
        <f t="shared" si="4"/>
        <v>001390</v>
      </c>
      <c r="F292" t="s">
        <v>27246</v>
      </c>
      <c r="G292" t="s">
        <v>27247</v>
      </c>
      <c r="H292" t="s">
        <v>27248</v>
      </c>
      <c r="I292" t="s">
        <v>27808</v>
      </c>
      <c r="J292" t="s">
        <v>584</v>
      </c>
      <c r="L292" t="s">
        <v>27250</v>
      </c>
      <c r="M292" t="s">
        <v>27251</v>
      </c>
      <c r="N292" t="s">
        <v>27252</v>
      </c>
      <c r="Q292" s="1">
        <v>44538</v>
      </c>
      <c r="R292" t="s">
        <v>27253</v>
      </c>
      <c r="S292" t="s">
        <v>27254</v>
      </c>
      <c r="T292" t="s">
        <v>27255</v>
      </c>
    </row>
    <row r="293" spans="1:20" x14ac:dyDescent="0.3">
      <c r="A293" t="str">
        <f>"0611860493050"</f>
        <v>0611860493050</v>
      </c>
      <c r="B293" t="str">
        <f>"CR3309"</f>
        <v>CR3309</v>
      </c>
      <c r="C293" t="s">
        <v>27809</v>
      </c>
      <c r="D293" t="s">
        <v>27263</v>
      </c>
      <c r="E293" t="str">
        <f t="shared" si="4"/>
        <v>001390</v>
      </c>
      <c r="F293" t="s">
        <v>27246</v>
      </c>
      <c r="G293" t="s">
        <v>27247</v>
      </c>
      <c r="H293" t="s">
        <v>27248</v>
      </c>
      <c r="I293" t="s">
        <v>27810</v>
      </c>
      <c r="J293" t="s">
        <v>586</v>
      </c>
      <c r="L293" t="s">
        <v>27250</v>
      </c>
      <c r="M293" t="s">
        <v>27251</v>
      </c>
      <c r="N293" t="s">
        <v>27252</v>
      </c>
      <c r="Q293" s="1">
        <v>44846</v>
      </c>
      <c r="R293" t="s">
        <v>27253</v>
      </c>
      <c r="S293" t="s">
        <v>27254</v>
      </c>
      <c r="T293" t="s">
        <v>27265</v>
      </c>
    </row>
    <row r="294" spans="1:20" x14ac:dyDescent="0.3">
      <c r="A294" t="str">
        <f>"0611830690025"</f>
        <v>0611830690025</v>
      </c>
      <c r="B294" t="str">
        <f>"MC0033"</f>
        <v>MC0033</v>
      </c>
      <c r="C294" t="s">
        <v>27811</v>
      </c>
      <c r="D294" t="s">
        <v>27267</v>
      </c>
      <c r="E294" t="str">
        <f t="shared" si="4"/>
        <v>001390</v>
      </c>
      <c r="F294" t="s">
        <v>27246</v>
      </c>
      <c r="G294" t="s">
        <v>27247</v>
      </c>
      <c r="H294" t="s">
        <v>27248</v>
      </c>
      <c r="I294" t="s">
        <v>27812</v>
      </c>
      <c r="J294" t="s">
        <v>588</v>
      </c>
      <c r="L294" t="s">
        <v>27250</v>
      </c>
      <c r="M294" t="s">
        <v>27251</v>
      </c>
      <c r="N294" t="s">
        <v>27252</v>
      </c>
      <c r="Q294" s="1">
        <v>44538</v>
      </c>
      <c r="R294" t="s">
        <v>27253</v>
      </c>
      <c r="S294" t="s">
        <v>27254</v>
      </c>
      <c r="T294" t="s">
        <v>27269</v>
      </c>
    </row>
    <row r="295" spans="1:20" x14ac:dyDescent="0.3">
      <c r="A295" t="str">
        <f>"0611830691025"</f>
        <v>0611830691025</v>
      </c>
      <c r="B295" t="str">
        <f>"MC3685"</f>
        <v>MC3685</v>
      </c>
      <c r="C295" t="s">
        <v>27813</v>
      </c>
      <c r="D295" t="s">
        <v>27267</v>
      </c>
      <c r="E295" t="str">
        <f t="shared" si="4"/>
        <v>001390</v>
      </c>
      <c r="F295" t="s">
        <v>27246</v>
      </c>
      <c r="G295" t="s">
        <v>27247</v>
      </c>
      <c r="H295" t="s">
        <v>27248</v>
      </c>
      <c r="I295" t="s">
        <v>27814</v>
      </c>
      <c r="J295" t="s">
        <v>590</v>
      </c>
      <c r="L295" t="s">
        <v>27250</v>
      </c>
      <c r="M295" t="s">
        <v>27251</v>
      </c>
      <c r="N295" t="s">
        <v>27252</v>
      </c>
      <c r="Q295" s="1">
        <v>44538</v>
      </c>
      <c r="R295" t="s">
        <v>27253</v>
      </c>
      <c r="S295" t="s">
        <v>27254</v>
      </c>
      <c r="T295" t="s">
        <v>27269</v>
      </c>
    </row>
    <row r="296" spans="1:20" x14ac:dyDescent="0.3">
      <c r="A296" t="str">
        <f>"0611830692025"</f>
        <v>0611830692025</v>
      </c>
      <c r="B296" t="str">
        <f>"MQ3117"</f>
        <v>MQ3117</v>
      </c>
      <c r="C296" t="s">
        <v>27815</v>
      </c>
      <c r="D296" t="s">
        <v>27267</v>
      </c>
      <c r="E296" t="str">
        <f t="shared" si="4"/>
        <v>001390</v>
      </c>
      <c r="F296" t="s">
        <v>27246</v>
      </c>
      <c r="G296" t="s">
        <v>27247</v>
      </c>
      <c r="H296" t="s">
        <v>27248</v>
      </c>
      <c r="I296" t="s">
        <v>27816</v>
      </c>
      <c r="J296" t="s">
        <v>592</v>
      </c>
      <c r="L296" t="s">
        <v>27250</v>
      </c>
      <c r="M296" t="s">
        <v>27251</v>
      </c>
      <c r="N296" t="s">
        <v>27252</v>
      </c>
      <c r="Q296" s="1">
        <v>44538</v>
      </c>
      <c r="R296" t="s">
        <v>27253</v>
      </c>
      <c r="S296" t="s">
        <v>27254</v>
      </c>
      <c r="T296" t="s">
        <v>27269</v>
      </c>
    </row>
    <row r="297" spans="1:20" x14ac:dyDescent="0.3">
      <c r="A297" t="str">
        <f>"0611860494050"</f>
        <v>0611860494050</v>
      </c>
      <c r="B297" t="str">
        <f>"CR4189"</f>
        <v>CR4189</v>
      </c>
      <c r="C297" t="s">
        <v>27815</v>
      </c>
      <c r="D297" t="s">
        <v>27263</v>
      </c>
      <c r="E297" t="str">
        <f t="shared" si="4"/>
        <v>001390</v>
      </c>
      <c r="F297" t="s">
        <v>27246</v>
      </c>
      <c r="G297" t="s">
        <v>27247</v>
      </c>
      <c r="H297" t="s">
        <v>27248</v>
      </c>
      <c r="I297" t="s">
        <v>27817</v>
      </c>
      <c r="J297" t="s">
        <v>594</v>
      </c>
      <c r="L297" t="s">
        <v>27250</v>
      </c>
      <c r="M297" t="s">
        <v>27251</v>
      </c>
      <c r="N297" t="s">
        <v>27252</v>
      </c>
      <c r="Q297" s="1">
        <v>44846</v>
      </c>
      <c r="R297" t="s">
        <v>27253</v>
      </c>
      <c r="S297" t="s">
        <v>27254</v>
      </c>
      <c r="T297" t="s">
        <v>27265</v>
      </c>
    </row>
    <row r="298" spans="1:20" x14ac:dyDescent="0.3">
      <c r="A298" t="str">
        <f>"0611830694025"</f>
        <v>0611830694025</v>
      </c>
      <c r="B298" t="str">
        <f>"MC3881"</f>
        <v>MC3881</v>
      </c>
      <c r="C298" t="s">
        <v>27818</v>
      </c>
      <c r="D298" t="s">
        <v>27267</v>
      </c>
      <c r="E298" t="str">
        <f t="shared" si="4"/>
        <v>001390</v>
      </c>
      <c r="F298" t="s">
        <v>27246</v>
      </c>
      <c r="G298" t="s">
        <v>27247</v>
      </c>
      <c r="H298" t="s">
        <v>27248</v>
      </c>
      <c r="I298" t="s">
        <v>27819</v>
      </c>
      <c r="J298" t="s">
        <v>596</v>
      </c>
      <c r="L298" t="s">
        <v>27250</v>
      </c>
      <c r="M298" t="s">
        <v>27251</v>
      </c>
      <c r="N298" t="s">
        <v>27252</v>
      </c>
      <c r="Q298" s="1">
        <v>44538</v>
      </c>
      <c r="R298" t="s">
        <v>27253</v>
      </c>
      <c r="S298" t="s">
        <v>27254</v>
      </c>
      <c r="T298" t="s">
        <v>27269</v>
      </c>
    </row>
    <row r="299" spans="1:20" x14ac:dyDescent="0.3">
      <c r="A299" t="str">
        <f>"0611856816100"</f>
        <v>0611856816100</v>
      </c>
      <c r="B299" t="str">
        <f>"LB0531"</f>
        <v>LB0531</v>
      </c>
      <c r="C299" t="s">
        <v>27820</v>
      </c>
      <c r="D299" t="s">
        <v>27245</v>
      </c>
      <c r="E299" t="str">
        <f t="shared" si="4"/>
        <v>001390</v>
      </c>
      <c r="F299" t="s">
        <v>27246</v>
      </c>
      <c r="G299" t="s">
        <v>27247</v>
      </c>
      <c r="H299" t="s">
        <v>27248</v>
      </c>
      <c r="I299" t="s">
        <v>27821</v>
      </c>
      <c r="J299" t="s">
        <v>598</v>
      </c>
      <c r="L299" t="s">
        <v>27250</v>
      </c>
      <c r="M299" t="s">
        <v>27251</v>
      </c>
      <c r="N299" t="s">
        <v>27252</v>
      </c>
      <c r="Q299" s="1">
        <v>44812</v>
      </c>
      <c r="R299" t="s">
        <v>27253</v>
      </c>
      <c r="S299" t="s">
        <v>27254</v>
      </c>
      <c r="T299" t="s">
        <v>27255</v>
      </c>
    </row>
    <row r="300" spans="1:20" x14ac:dyDescent="0.3">
      <c r="A300" t="str">
        <f>"0611856817100"</f>
        <v>0611856817100</v>
      </c>
      <c r="B300" t="str">
        <f>"LQ6257"</f>
        <v>LQ6257</v>
      </c>
      <c r="C300" t="s">
        <v>27822</v>
      </c>
      <c r="D300" t="s">
        <v>27245</v>
      </c>
      <c r="E300" t="str">
        <f t="shared" si="4"/>
        <v>001390</v>
      </c>
      <c r="F300" t="s">
        <v>27246</v>
      </c>
      <c r="G300" t="s">
        <v>27247</v>
      </c>
      <c r="H300" t="s">
        <v>27248</v>
      </c>
      <c r="I300" t="s">
        <v>27823</v>
      </c>
      <c r="J300" t="s">
        <v>600</v>
      </c>
      <c r="L300" t="s">
        <v>27250</v>
      </c>
      <c r="M300" t="s">
        <v>27251</v>
      </c>
      <c r="N300" t="s">
        <v>27252</v>
      </c>
      <c r="Q300" s="1">
        <v>44812</v>
      </c>
      <c r="R300" t="s">
        <v>27253</v>
      </c>
      <c r="S300" t="s">
        <v>27254</v>
      </c>
      <c r="T300" t="s">
        <v>27255</v>
      </c>
    </row>
    <row r="301" spans="1:20" x14ac:dyDescent="0.3">
      <c r="A301" t="str">
        <f>"0611856818100"</f>
        <v>0611856818100</v>
      </c>
      <c r="B301" t="str">
        <f>"LQ6258"</f>
        <v>LQ6258</v>
      </c>
      <c r="C301" t="s">
        <v>27824</v>
      </c>
      <c r="D301" t="s">
        <v>27245</v>
      </c>
      <c r="E301" t="str">
        <f t="shared" si="4"/>
        <v>001390</v>
      </c>
      <c r="F301" t="s">
        <v>27246</v>
      </c>
      <c r="G301" t="s">
        <v>27247</v>
      </c>
      <c r="H301" t="s">
        <v>27248</v>
      </c>
      <c r="I301" t="s">
        <v>27825</v>
      </c>
      <c r="J301" t="s">
        <v>602</v>
      </c>
      <c r="L301" t="s">
        <v>27250</v>
      </c>
      <c r="M301" t="s">
        <v>27251</v>
      </c>
      <c r="N301" t="s">
        <v>27252</v>
      </c>
      <c r="Q301" s="1">
        <v>44812</v>
      </c>
      <c r="R301" t="s">
        <v>27253</v>
      </c>
      <c r="S301" t="s">
        <v>27254</v>
      </c>
      <c r="T301" t="s">
        <v>27255</v>
      </c>
    </row>
    <row r="302" spans="1:20" x14ac:dyDescent="0.3">
      <c r="A302" t="str">
        <f>"0611830696100"</f>
        <v>0611830696100</v>
      </c>
      <c r="B302" t="str">
        <f>"LK5673"</f>
        <v>LK5673</v>
      </c>
      <c r="C302" t="s">
        <v>27826</v>
      </c>
      <c r="D302" t="s">
        <v>27245</v>
      </c>
      <c r="E302" t="str">
        <f t="shared" si="4"/>
        <v>001390</v>
      </c>
      <c r="F302" t="s">
        <v>27246</v>
      </c>
      <c r="G302" t="s">
        <v>27247</v>
      </c>
      <c r="H302" t="s">
        <v>27248</v>
      </c>
      <c r="I302" t="s">
        <v>27827</v>
      </c>
      <c r="J302" t="s">
        <v>604</v>
      </c>
      <c r="L302" t="s">
        <v>27250</v>
      </c>
      <c r="M302" t="s">
        <v>27251</v>
      </c>
      <c r="N302" t="s">
        <v>27252</v>
      </c>
      <c r="Q302" s="1">
        <v>44538</v>
      </c>
      <c r="R302" t="s">
        <v>27253</v>
      </c>
      <c r="S302" t="s">
        <v>27254</v>
      </c>
      <c r="T302" t="s">
        <v>27255</v>
      </c>
    </row>
    <row r="303" spans="1:20" x14ac:dyDescent="0.3">
      <c r="A303" t="str">
        <f>"0611830697100"</f>
        <v>0611830697100</v>
      </c>
      <c r="B303" t="str">
        <f>"LB0619"</f>
        <v>LB0619</v>
      </c>
      <c r="C303" t="s">
        <v>27828</v>
      </c>
      <c r="D303" t="s">
        <v>27245</v>
      </c>
      <c r="E303" t="str">
        <f t="shared" si="4"/>
        <v>001390</v>
      </c>
      <c r="F303" t="s">
        <v>27246</v>
      </c>
      <c r="G303" t="s">
        <v>27247</v>
      </c>
      <c r="H303" t="s">
        <v>27248</v>
      </c>
      <c r="I303" t="s">
        <v>27829</v>
      </c>
      <c r="J303" t="s">
        <v>606</v>
      </c>
      <c r="L303" t="s">
        <v>27250</v>
      </c>
      <c r="M303" t="s">
        <v>27251</v>
      </c>
      <c r="N303" t="s">
        <v>27252</v>
      </c>
      <c r="Q303" s="1">
        <v>44538</v>
      </c>
      <c r="R303" t="s">
        <v>27253</v>
      </c>
      <c r="S303" t="s">
        <v>27254</v>
      </c>
      <c r="T303" t="s">
        <v>27255</v>
      </c>
    </row>
    <row r="304" spans="1:20" x14ac:dyDescent="0.3">
      <c r="A304" t="str">
        <f>"0611830695100"</f>
        <v>0611830695100</v>
      </c>
      <c r="B304" t="str">
        <f>"LB0615"</f>
        <v>LB0615</v>
      </c>
      <c r="C304" t="s">
        <v>27830</v>
      </c>
      <c r="D304" t="s">
        <v>27245</v>
      </c>
      <c r="E304" t="str">
        <f t="shared" si="4"/>
        <v>001390</v>
      </c>
      <c r="F304" t="s">
        <v>27246</v>
      </c>
      <c r="G304" t="s">
        <v>27247</v>
      </c>
      <c r="H304" t="s">
        <v>27248</v>
      </c>
      <c r="I304" t="s">
        <v>27831</v>
      </c>
      <c r="J304" t="s">
        <v>608</v>
      </c>
      <c r="L304" t="s">
        <v>27250</v>
      </c>
      <c r="M304" t="s">
        <v>27251</v>
      </c>
      <c r="N304" t="s">
        <v>27252</v>
      </c>
      <c r="Q304" s="1">
        <v>44538</v>
      </c>
      <c r="R304" t="s">
        <v>27253</v>
      </c>
      <c r="S304" t="s">
        <v>27254</v>
      </c>
      <c r="T304" t="s">
        <v>27255</v>
      </c>
    </row>
    <row r="305" spans="1:20" x14ac:dyDescent="0.3">
      <c r="A305" t="str">
        <f>"0611830698100"</f>
        <v>0611830698100</v>
      </c>
      <c r="B305" t="str">
        <f>"LB0617"</f>
        <v>LB0617</v>
      </c>
      <c r="C305" t="s">
        <v>27832</v>
      </c>
      <c r="D305" t="s">
        <v>27245</v>
      </c>
      <c r="E305" t="str">
        <f t="shared" si="4"/>
        <v>001390</v>
      </c>
      <c r="F305" t="s">
        <v>27246</v>
      </c>
      <c r="G305" t="s">
        <v>27247</v>
      </c>
      <c r="H305" t="s">
        <v>27248</v>
      </c>
      <c r="I305" t="s">
        <v>27833</v>
      </c>
      <c r="J305" t="s">
        <v>610</v>
      </c>
      <c r="L305" t="s">
        <v>27250</v>
      </c>
      <c r="M305" t="s">
        <v>27251</v>
      </c>
      <c r="N305" t="s">
        <v>27252</v>
      </c>
      <c r="Q305" s="1">
        <v>44538</v>
      </c>
      <c r="R305" t="s">
        <v>27253</v>
      </c>
      <c r="S305" t="s">
        <v>27254</v>
      </c>
      <c r="T305" t="s">
        <v>27255</v>
      </c>
    </row>
    <row r="306" spans="1:20" x14ac:dyDescent="0.3">
      <c r="A306" t="str">
        <f>"0611830700100"</f>
        <v>0611830700100</v>
      </c>
      <c r="B306" t="str">
        <f>"LB0616"</f>
        <v>LB0616</v>
      </c>
      <c r="C306" t="s">
        <v>27834</v>
      </c>
      <c r="D306" t="s">
        <v>27245</v>
      </c>
      <c r="E306" t="str">
        <f t="shared" si="4"/>
        <v>001390</v>
      </c>
      <c r="F306" t="s">
        <v>27246</v>
      </c>
      <c r="G306" t="s">
        <v>27247</v>
      </c>
      <c r="H306" t="s">
        <v>27248</v>
      </c>
      <c r="I306" t="s">
        <v>27835</v>
      </c>
      <c r="J306" t="s">
        <v>612</v>
      </c>
      <c r="L306" t="s">
        <v>27250</v>
      </c>
      <c r="M306" t="s">
        <v>27251</v>
      </c>
      <c r="N306" t="s">
        <v>27252</v>
      </c>
      <c r="Q306" s="1">
        <v>44538</v>
      </c>
      <c r="R306" t="s">
        <v>27253</v>
      </c>
      <c r="S306" t="s">
        <v>27254</v>
      </c>
      <c r="T306" t="s">
        <v>27255</v>
      </c>
    </row>
    <row r="307" spans="1:20" x14ac:dyDescent="0.3">
      <c r="A307" t="str">
        <f>"0611830701100"</f>
        <v>0611830701100</v>
      </c>
      <c r="B307" t="str">
        <f>"LK6017"</f>
        <v>LK6017</v>
      </c>
      <c r="C307" t="s">
        <v>27836</v>
      </c>
      <c r="D307" t="s">
        <v>27245</v>
      </c>
      <c r="E307" t="str">
        <f t="shared" si="4"/>
        <v>001390</v>
      </c>
      <c r="F307" t="s">
        <v>27246</v>
      </c>
      <c r="G307" t="s">
        <v>27247</v>
      </c>
      <c r="H307" t="s">
        <v>27248</v>
      </c>
      <c r="I307" t="s">
        <v>27837</v>
      </c>
      <c r="J307" t="s">
        <v>614</v>
      </c>
      <c r="L307" t="s">
        <v>27250</v>
      </c>
      <c r="M307" t="s">
        <v>27251</v>
      </c>
      <c r="N307" t="s">
        <v>27252</v>
      </c>
      <c r="Q307" s="1">
        <v>44538</v>
      </c>
      <c r="R307" t="s">
        <v>27253</v>
      </c>
      <c r="S307" t="s">
        <v>27254</v>
      </c>
      <c r="T307" t="s">
        <v>27255</v>
      </c>
    </row>
    <row r="308" spans="1:20" x14ac:dyDescent="0.3">
      <c r="A308" t="str">
        <f>"0611835297100"</f>
        <v>0611835297100</v>
      </c>
      <c r="B308" t="str">
        <f>"LG0250"</f>
        <v>LG0250</v>
      </c>
      <c r="C308" t="s">
        <v>27838</v>
      </c>
      <c r="D308" t="s">
        <v>27245</v>
      </c>
      <c r="E308" t="str">
        <f t="shared" si="4"/>
        <v>001390</v>
      </c>
      <c r="F308" t="s">
        <v>27246</v>
      </c>
      <c r="G308" t="s">
        <v>27247</v>
      </c>
      <c r="H308" t="s">
        <v>27248</v>
      </c>
      <c r="I308" t="s">
        <v>27839</v>
      </c>
      <c r="J308" t="s">
        <v>616</v>
      </c>
      <c r="L308" t="s">
        <v>27250</v>
      </c>
      <c r="M308" t="s">
        <v>27251</v>
      </c>
      <c r="N308" t="s">
        <v>27252</v>
      </c>
      <c r="Q308" s="1">
        <v>44538</v>
      </c>
      <c r="R308" t="s">
        <v>27253</v>
      </c>
      <c r="S308" t="s">
        <v>27254</v>
      </c>
      <c r="T308" t="s">
        <v>27255</v>
      </c>
    </row>
    <row r="309" spans="1:20" x14ac:dyDescent="0.3">
      <c r="A309" t="str">
        <f>"0611830702025"</f>
        <v>0611830702025</v>
      </c>
      <c r="B309" t="str">
        <f>"MC3384"</f>
        <v>MC3384</v>
      </c>
      <c r="C309" t="s">
        <v>27840</v>
      </c>
      <c r="D309" t="s">
        <v>27267</v>
      </c>
      <c r="E309" t="str">
        <f t="shared" si="4"/>
        <v>001390</v>
      </c>
      <c r="F309" t="s">
        <v>27246</v>
      </c>
      <c r="G309" t="s">
        <v>27247</v>
      </c>
      <c r="H309" t="s">
        <v>27248</v>
      </c>
      <c r="I309" t="s">
        <v>27841</v>
      </c>
      <c r="J309" t="s">
        <v>618</v>
      </c>
      <c r="L309" t="s">
        <v>27250</v>
      </c>
      <c r="M309" t="s">
        <v>27251</v>
      </c>
      <c r="N309" t="s">
        <v>27252</v>
      </c>
      <c r="Q309" s="1">
        <v>44538</v>
      </c>
      <c r="R309" t="s">
        <v>27253</v>
      </c>
      <c r="S309" t="s">
        <v>27254</v>
      </c>
      <c r="T309" t="s">
        <v>27269</v>
      </c>
    </row>
    <row r="310" spans="1:20" x14ac:dyDescent="0.3">
      <c r="A310" t="str">
        <f>"0611830703025"</f>
        <v>0611830703025</v>
      </c>
      <c r="B310" t="str">
        <f>"MC1769"</f>
        <v>MC1769</v>
      </c>
      <c r="C310" t="s">
        <v>27842</v>
      </c>
      <c r="D310" t="s">
        <v>27267</v>
      </c>
      <c r="E310" t="str">
        <f t="shared" si="4"/>
        <v>001390</v>
      </c>
      <c r="F310" t="s">
        <v>27246</v>
      </c>
      <c r="G310" t="s">
        <v>27247</v>
      </c>
      <c r="H310" t="s">
        <v>27248</v>
      </c>
      <c r="I310" t="s">
        <v>27843</v>
      </c>
      <c r="J310" t="s">
        <v>620</v>
      </c>
      <c r="L310" t="s">
        <v>27250</v>
      </c>
      <c r="M310" t="s">
        <v>27251</v>
      </c>
      <c r="N310" t="s">
        <v>27252</v>
      </c>
      <c r="Q310" s="1">
        <v>44538</v>
      </c>
      <c r="R310" t="s">
        <v>27253</v>
      </c>
      <c r="S310" t="s">
        <v>27254</v>
      </c>
      <c r="T310" t="s">
        <v>27269</v>
      </c>
    </row>
    <row r="311" spans="1:20" x14ac:dyDescent="0.3">
      <c r="A311" t="str">
        <f>"0611830704025"</f>
        <v>0611830704025</v>
      </c>
      <c r="B311" t="str">
        <f>"MC0034"</f>
        <v>MC0034</v>
      </c>
      <c r="C311" t="s">
        <v>27844</v>
      </c>
      <c r="D311" t="s">
        <v>27267</v>
      </c>
      <c r="E311" t="str">
        <f t="shared" si="4"/>
        <v>001390</v>
      </c>
      <c r="F311" t="s">
        <v>27246</v>
      </c>
      <c r="G311" t="s">
        <v>27247</v>
      </c>
      <c r="H311" t="s">
        <v>27248</v>
      </c>
      <c r="I311" t="s">
        <v>27845</v>
      </c>
      <c r="J311" t="s">
        <v>622</v>
      </c>
      <c r="L311" t="s">
        <v>27250</v>
      </c>
      <c r="M311" t="s">
        <v>27251</v>
      </c>
      <c r="N311" t="s">
        <v>27252</v>
      </c>
      <c r="Q311" s="1">
        <v>44538</v>
      </c>
      <c r="R311" t="s">
        <v>27253</v>
      </c>
      <c r="S311" t="s">
        <v>27254</v>
      </c>
      <c r="T311" t="s">
        <v>27269</v>
      </c>
    </row>
    <row r="312" spans="1:20" x14ac:dyDescent="0.3">
      <c r="A312" t="str">
        <f>"0611830706100"</f>
        <v>0611830706100</v>
      </c>
      <c r="B312" t="str">
        <f>"LK2515"</f>
        <v>LK2515</v>
      </c>
      <c r="C312" t="s">
        <v>27846</v>
      </c>
      <c r="D312" t="s">
        <v>27245</v>
      </c>
      <c r="E312" t="str">
        <f t="shared" si="4"/>
        <v>001390</v>
      </c>
      <c r="F312" t="s">
        <v>27246</v>
      </c>
      <c r="G312" t="s">
        <v>27247</v>
      </c>
      <c r="H312" t="s">
        <v>27248</v>
      </c>
      <c r="I312" t="s">
        <v>27847</v>
      </c>
      <c r="J312" t="s">
        <v>624</v>
      </c>
      <c r="L312" t="s">
        <v>27250</v>
      </c>
      <c r="M312" t="s">
        <v>27251</v>
      </c>
      <c r="N312" t="s">
        <v>27252</v>
      </c>
      <c r="Q312" s="1">
        <v>44538</v>
      </c>
      <c r="R312" t="s">
        <v>27253</v>
      </c>
      <c r="S312" t="s">
        <v>27254</v>
      </c>
      <c r="T312" t="s">
        <v>27255</v>
      </c>
    </row>
    <row r="313" spans="1:20" x14ac:dyDescent="0.3">
      <c r="A313" t="str">
        <f>"0611830707025"</f>
        <v>0611830707025</v>
      </c>
      <c r="B313" t="str">
        <f>"MC2541"</f>
        <v>MC2541</v>
      </c>
      <c r="C313" t="s">
        <v>27848</v>
      </c>
      <c r="D313" t="s">
        <v>27267</v>
      </c>
      <c r="E313" t="str">
        <f t="shared" si="4"/>
        <v>001390</v>
      </c>
      <c r="F313" t="s">
        <v>27246</v>
      </c>
      <c r="G313" t="s">
        <v>27247</v>
      </c>
      <c r="H313" t="s">
        <v>27248</v>
      </c>
      <c r="I313" t="s">
        <v>27849</v>
      </c>
      <c r="J313" t="s">
        <v>626</v>
      </c>
      <c r="L313" t="s">
        <v>27250</v>
      </c>
      <c r="M313" t="s">
        <v>27251</v>
      </c>
      <c r="N313" t="s">
        <v>27252</v>
      </c>
      <c r="Q313" s="1">
        <v>44538</v>
      </c>
      <c r="R313" t="s">
        <v>27253</v>
      </c>
      <c r="S313" t="s">
        <v>27254</v>
      </c>
      <c r="T313" t="s">
        <v>27269</v>
      </c>
    </row>
    <row r="314" spans="1:20" x14ac:dyDescent="0.3">
      <c r="A314" t="str">
        <f>"0611830708025"</f>
        <v>0611830708025</v>
      </c>
      <c r="B314" t="str">
        <f>"MC0036"</f>
        <v>MC0036</v>
      </c>
      <c r="C314" t="s">
        <v>27850</v>
      </c>
      <c r="D314" t="s">
        <v>27267</v>
      </c>
      <c r="E314" t="str">
        <f t="shared" si="4"/>
        <v>001390</v>
      </c>
      <c r="F314" t="s">
        <v>27246</v>
      </c>
      <c r="G314" t="s">
        <v>27247</v>
      </c>
      <c r="H314" t="s">
        <v>27248</v>
      </c>
      <c r="I314" t="s">
        <v>27851</v>
      </c>
      <c r="J314" t="s">
        <v>628</v>
      </c>
      <c r="L314" t="s">
        <v>27250</v>
      </c>
      <c r="M314" t="s">
        <v>27251</v>
      </c>
      <c r="N314" t="s">
        <v>27252</v>
      </c>
      <c r="Q314" s="1">
        <v>44538</v>
      </c>
      <c r="R314" t="s">
        <v>27253</v>
      </c>
      <c r="S314" t="s">
        <v>27254</v>
      </c>
      <c r="T314" t="s">
        <v>27269</v>
      </c>
    </row>
    <row r="315" spans="1:20" x14ac:dyDescent="0.3">
      <c r="A315" t="str">
        <f>"0611830709025"</f>
        <v>0611830709025</v>
      </c>
      <c r="B315" t="str">
        <f>"MC2715"</f>
        <v>MC2715</v>
      </c>
      <c r="C315" t="s">
        <v>27852</v>
      </c>
      <c r="D315" t="s">
        <v>27267</v>
      </c>
      <c r="E315" t="str">
        <f t="shared" si="4"/>
        <v>001390</v>
      </c>
      <c r="F315" t="s">
        <v>27246</v>
      </c>
      <c r="G315" t="s">
        <v>27247</v>
      </c>
      <c r="H315" t="s">
        <v>27248</v>
      </c>
      <c r="I315" t="s">
        <v>27853</v>
      </c>
      <c r="J315" t="s">
        <v>630</v>
      </c>
      <c r="L315" t="s">
        <v>27250</v>
      </c>
      <c r="M315" t="s">
        <v>27251</v>
      </c>
      <c r="N315" t="s">
        <v>27252</v>
      </c>
      <c r="Q315" s="1">
        <v>44538</v>
      </c>
      <c r="R315" t="s">
        <v>27253</v>
      </c>
      <c r="S315" t="s">
        <v>27254</v>
      </c>
      <c r="T315" t="s">
        <v>27269</v>
      </c>
    </row>
    <row r="316" spans="1:20" x14ac:dyDescent="0.3">
      <c r="A316" t="str">
        <f>"0611830710100"</f>
        <v>0611830710100</v>
      </c>
      <c r="B316" t="str">
        <f>"LK0074"</f>
        <v>LK0074</v>
      </c>
      <c r="C316" t="s">
        <v>27854</v>
      </c>
      <c r="D316" t="s">
        <v>27245</v>
      </c>
      <c r="E316" t="str">
        <f t="shared" si="4"/>
        <v>001390</v>
      </c>
      <c r="F316" t="s">
        <v>27246</v>
      </c>
      <c r="G316" t="s">
        <v>27247</v>
      </c>
      <c r="H316" t="s">
        <v>27248</v>
      </c>
      <c r="I316" t="s">
        <v>27855</v>
      </c>
      <c r="J316" t="s">
        <v>632</v>
      </c>
      <c r="L316" t="s">
        <v>27250</v>
      </c>
      <c r="M316" t="s">
        <v>27251</v>
      </c>
      <c r="N316" t="s">
        <v>27252</v>
      </c>
      <c r="Q316" s="1">
        <v>44538</v>
      </c>
      <c r="R316" t="s">
        <v>27253</v>
      </c>
      <c r="S316" t="s">
        <v>27254</v>
      </c>
      <c r="T316" t="s">
        <v>27255</v>
      </c>
    </row>
    <row r="317" spans="1:20" x14ac:dyDescent="0.3">
      <c r="A317" t="str">
        <f>"0611830711100"</f>
        <v>0611830711100</v>
      </c>
      <c r="B317" t="str">
        <f>"LG1007"</f>
        <v>LG1007</v>
      </c>
      <c r="C317" t="s">
        <v>27856</v>
      </c>
      <c r="D317" t="s">
        <v>27245</v>
      </c>
      <c r="E317" t="str">
        <f t="shared" si="4"/>
        <v>001390</v>
      </c>
      <c r="F317" t="s">
        <v>27246</v>
      </c>
      <c r="G317" t="s">
        <v>27247</v>
      </c>
      <c r="H317" t="s">
        <v>27248</v>
      </c>
      <c r="I317" t="s">
        <v>27857</v>
      </c>
      <c r="J317" t="s">
        <v>634</v>
      </c>
      <c r="L317" t="s">
        <v>27250</v>
      </c>
      <c r="M317" t="s">
        <v>27251</v>
      </c>
      <c r="N317" t="s">
        <v>27252</v>
      </c>
      <c r="Q317" s="1">
        <v>44538</v>
      </c>
      <c r="R317" t="s">
        <v>27253</v>
      </c>
      <c r="S317" t="s">
        <v>27254</v>
      </c>
      <c r="T317" t="s">
        <v>27255</v>
      </c>
    </row>
    <row r="318" spans="1:20" x14ac:dyDescent="0.3">
      <c r="A318" t="str">
        <f>"0611830712100"</f>
        <v>0611830712100</v>
      </c>
      <c r="B318" t="str">
        <f>"LG8024"</f>
        <v>LG8024</v>
      </c>
      <c r="C318" t="s">
        <v>27858</v>
      </c>
      <c r="D318" t="s">
        <v>27245</v>
      </c>
      <c r="E318" t="str">
        <f t="shared" si="4"/>
        <v>001390</v>
      </c>
      <c r="F318" t="s">
        <v>27246</v>
      </c>
      <c r="G318" t="s">
        <v>27247</v>
      </c>
      <c r="H318" t="s">
        <v>27248</v>
      </c>
      <c r="I318" t="s">
        <v>27859</v>
      </c>
      <c r="J318" t="s">
        <v>636</v>
      </c>
      <c r="L318" t="s">
        <v>27250</v>
      </c>
      <c r="M318" t="s">
        <v>27251</v>
      </c>
      <c r="N318" t="s">
        <v>27252</v>
      </c>
      <c r="Q318" s="1">
        <v>44538</v>
      </c>
      <c r="R318" t="s">
        <v>27253</v>
      </c>
      <c r="S318" t="s">
        <v>27254</v>
      </c>
      <c r="T318" t="s">
        <v>27255</v>
      </c>
    </row>
    <row r="319" spans="1:20" x14ac:dyDescent="0.3">
      <c r="A319" t="str">
        <f>"0611830713025"</f>
        <v>0611830713025</v>
      </c>
      <c r="B319" t="str">
        <f>"MC1000"</f>
        <v>MC1000</v>
      </c>
      <c r="C319" t="s">
        <v>27860</v>
      </c>
      <c r="D319" t="s">
        <v>27267</v>
      </c>
      <c r="E319" t="str">
        <f t="shared" si="4"/>
        <v>001390</v>
      </c>
      <c r="F319" t="s">
        <v>27246</v>
      </c>
      <c r="G319" t="s">
        <v>27247</v>
      </c>
      <c r="H319" t="s">
        <v>27248</v>
      </c>
      <c r="I319" t="s">
        <v>27861</v>
      </c>
      <c r="J319" t="s">
        <v>638</v>
      </c>
      <c r="L319" t="s">
        <v>27250</v>
      </c>
      <c r="M319" t="s">
        <v>27251</v>
      </c>
      <c r="N319" t="s">
        <v>27252</v>
      </c>
      <c r="Q319" s="1">
        <v>44538</v>
      </c>
      <c r="R319" t="s">
        <v>27253</v>
      </c>
      <c r="S319" t="s">
        <v>27254</v>
      </c>
      <c r="T319" t="s">
        <v>27269</v>
      </c>
    </row>
    <row r="320" spans="1:20" x14ac:dyDescent="0.3">
      <c r="A320" t="str">
        <f>"0611830714100"</f>
        <v>0611830714100</v>
      </c>
      <c r="B320" t="str">
        <f>"LB0628"</f>
        <v>LB0628</v>
      </c>
      <c r="C320" t="s">
        <v>27862</v>
      </c>
      <c r="D320" t="s">
        <v>27245</v>
      </c>
      <c r="E320" t="str">
        <f t="shared" si="4"/>
        <v>001390</v>
      </c>
      <c r="F320" t="s">
        <v>27246</v>
      </c>
      <c r="G320" t="s">
        <v>27247</v>
      </c>
      <c r="H320" t="s">
        <v>27248</v>
      </c>
      <c r="I320" t="s">
        <v>27863</v>
      </c>
      <c r="J320" t="s">
        <v>640</v>
      </c>
      <c r="L320" t="s">
        <v>27250</v>
      </c>
      <c r="M320" t="s">
        <v>27251</v>
      </c>
      <c r="N320" t="s">
        <v>27252</v>
      </c>
      <c r="Q320" s="1">
        <v>44538</v>
      </c>
      <c r="R320" t="s">
        <v>27253</v>
      </c>
      <c r="S320" t="s">
        <v>27254</v>
      </c>
      <c r="T320" t="s">
        <v>27255</v>
      </c>
    </row>
    <row r="321" spans="1:20" x14ac:dyDescent="0.3">
      <c r="A321" t="str">
        <f>"0611830715025"</f>
        <v>0611830715025</v>
      </c>
      <c r="B321" t="str">
        <f>"MC0041"</f>
        <v>MC0041</v>
      </c>
      <c r="C321" t="s">
        <v>27864</v>
      </c>
      <c r="D321" t="s">
        <v>27267</v>
      </c>
      <c r="E321" t="str">
        <f t="shared" si="4"/>
        <v>001390</v>
      </c>
      <c r="F321" t="s">
        <v>27246</v>
      </c>
      <c r="G321" t="s">
        <v>27247</v>
      </c>
      <c r="H321" t="s">
        <v>27248</v>
      </c>
      <c r="I321" t="s">
        <v>27865</v>
      </c>
      <c r="J321" t="s">
        <v>642</v>
      </c>
      <c r="L321" t="s">
        <v>27250</v>
      </c>
      <c r="M321" t="s">
        <v>27251</v>
      </c>
      <c r="N321" t="s">
        <v>27252</v>
      </c>
      <c r="Q321" s="1">
        <v>44538</v>
      </c>
      <c r="R321" t="s">
        <v>27253</v>
      </c>
      <c r="S321" t="s">
        <v>27254</v>
      </c>
      <c r="T321" t="s">
        <v>27269</v>
      </c>
    </row>
    <row r="322" spans="1:20" x14ac:dyDescent="0.3">
      <c r="A322" t="str">
        <f>"0611830716025"</f>
        <v>0611830716025</v>
      </c>
      <c r="B322" t="str">
        <f>"MC1002"</f>
        <v>MC1002</v>
      </c>
      <c r="C322" t="s">
        <v>27866</v>
      </c>
      <c r="D322" t="s">
        <v>27267</v>
      </c>
      <c r="E322" t="str">
        <f t="shared" ref="E322:E385" si="5">"001390"</f>
        <v>001390</v>
      </c>
      <c r="F322" t="s">
        <v>27246</v>
      </c>
      <c r="G322" t="s">
        <v>27247</v>
      </c>
      <c r="H322" t="s">
        <v>27248</v>
      </c>
      <c r="I322" t="s">
        <v>27867</v>
      </c>
      <c r="J322" t="s">
        <v>644</v>
      </c>
      <c r="L322" t="s">
        <v>27250</v>
      </c>
      <c r="M322" t="s">
        <v>27251</v>
      </c>
      <c r="N322" t="s">
        <v>27252</v>
      </c>
      <c r="Q322" s="1">
        <v>44538</v>
      </c>
      <c r="R322" t="s">
        <v>27253</v>
      </c>
      <c r="S322" t="s">
        <v>27254</v>
      </c>
      <c r="T322" t="s">
        <v>27269</v>
      </c>
    </row>
    <row r="323" spans="1:20" x14ac:dyDescent="0.3">
      <c r="A323" t="str">
        <f>"0611830717025"</f>
        <v>0611830717025</v>
      </c>
      <c r="B323" t="str">
        <f>"MC0040"</f>
        <v>MC0040</v>
      </c>
      <c r="C323" t="s">
        <v>27868</v>
      </c>
      <c r="D323" t="s">
        <v>27267</v>
      </c>
      <c r="E323" t="str">
        <f t="shared" si="5"/>
        <v>001390</v>
      </c>
      <c r="F323" t="s">
        <v>27246</v>
      </c>
      <c r="G323" t="s">
        <v>27247</v>
      </c>
      <c r="H323" t="s">
        <v>27248</v>
      </c>
      <c r="I323" t="s">
        <v>27869</v>
      </c>
      <c r="J323" t="s">
        <v>646</v>
      </c>
      <c r="L323" t="s">
        <v>27250</v>
      </c>
      <c r="M323" t="s">
        <v>27251</v>
      </c>
      <c r="N323" t="s">
        <v>27252</v>
      </c>
      <c r="Q323" s="1">
        <v>44538</v>
      </c>
      <c r="R323" t="s">
        <v>27253</v>
      </c>
      <c r="S323" t="s">
        <v>27254</v>
      </c>
      <c r="T323" t="s">
        <v>27269</v>
      </c>
    </row>
    <row r="324" spans="1:20" x14ac:dyDescent="0.3">
      <c r="A324" t="str">
        <f>"0611830718025"</f>
        <v>0611830718025</v>
      </c>
      <c r="B324" t="str">
        <f>"MC4309"</f>
        <v>MC4309</v>
      </c>
      <c r="C324" t="s">
        <v>27870</v>
      </c>
      <c r="D324" t="s">
        <v>27267</v>
      </c>
      <c r="E324" t="str">
        <f t="shared" si="5"/>
        <v>001390</v>
      </c>
      <c r="F324" t="s">
        <v>27246</v>
      </c>
      <c r="G324" t="s">
        <v>27247</v>
      </c>
      <c r="H324" t="s">
        <v>27248</v>
      </c>
      <c r="I324" t="s">
        <v>27871</v>
      </c>
      <c r="J324" t="s">
        <v>648</v>
      </c>
      <c r="L324" t="s">
        <v>27250</v>
      </c>
      <c r="M324" t="s">
        <v>27251</v>
      </c>
      <c r="N324" t="s">
        <v>27252</v>
      </c>
      <c r="Q324" s="1">
        <v>44538</v>
      </c>
      <c r="R324" t="s">
        <v>27253</v>
      </c>
      <c r="S324" t="s">
        <v>27254</v>
      </c>
      <c r="T324" t="s">
        <v>27269</v>
      </c>
    </row>
    <row r="325" spans="1:20" x14ac:dyDescent="0.3">
      <c r="A325" t="str">
        <f>"0611830726100"</f>
        <v>0611830726100</v>
      </c>
      <c r="B325" t="str">
        <f>"LQ6135"</f>
        <v>LQ6135</v>
      </c>
      <c r="C325" t="s">
        <v>27872</v>
      </c>
      <c r="D325" t="s">
        <v>27245</v>
      </c>
      <c r="E325" t="str">
        <f t="shared" si="5"/>
        <v>001390</v>
      </c>
      <c r="F325" t="s">
        <v>27246</v>
      </c>
      <c r="G325" t="s">
        <v>27247</v>
      </c>
      <c r="H325" t="s">
        <v>27248</v>
      </c>
      <c r="I325" t="s">
        <v>27873</v>
      </c>
      <c r="J325" t="s">
        <v>650</v>
      </c>
      <c r="L325" t="s">
        <v>27250</v>
      </c>
      <c r="M325" t="s">
        <v>27251</v>
      </c>
      <c r="N325" t="s">
        <v>27252</v>
      </c>
      <c r="Q325" s="1">
        <v>44538</v>
      </c>
      <c r="R325" t="s">
        <v>27253</v>
      </c>
      <c r="S325" t="s">
        <v>27254</v>
      </c>
      <c r="T325" t="s">
        <v>27255</v>
      </c>
    </row>
    <row r="326" spans="1:20" x14ac:dyDescent="0.3">
      <c r="A326" t="str">
        <f>"0611830727100"</f>
        <v>0611830727100</v>
      </c>
      <c r="B326" t="str">
        <f>"LQ6184"</f>
        <v>LQ6184</v>
      </c>
      <c r="C326" t="s">
        <v>27874</v>
      </c>
      <c r="D326" t="s">
        <v>27245</v>
      </c>
      <c r="E326" t="str">
        <f t="shared" si="5"/>
        <v>001390</v>
      </c>
      <c r="F326" t="s">
        <v>27246</v>
      </c>
      <c r="G326" t="s">
        <v>27247</v>
      </c>
      <c r="H326" t="s">
        <v>27248</v>
      </c>
      <c r="I326" t="s">
        <v>27875</v>
      </c>
      <c r="J326" t="s">
        <v>652</v>
      </c>
      <c r="L326" t="s">
        <v>27250</v>
      </c>
      <c r="M326" t="s">
        <v>27251</v>
      </c>
      <c r="N326" t="s">
        <v>27252</v>
      </c>
      <c r="Q326" s="1">
        <v>44538</v>
      </c>
      <c r="R326" t="s">
        <v>27253</v>
      </c>
      <c r="S326" t="s">
        <v>27254</v>
      </c>
      <c r="T326" t="s">
        <v>27255</v>
      </c>
    </row>
    <row r="327" spans="1:20" x14ac:dyDescent="0.3">
      <c r="A327" t="str">
        <f>"0611830728100"</f>
        <v>0611830728100</v>
      </c>
      <c r="B327" t="str">
        <f>"LQ6185"</f>
        <v>LQ6185</v>
      </c>
      <c r="C327" t="s">
        <v>27876</v>
      </c>
      <c r="D327" t="s">
        <v>27245</v>
      </c>
      <c r="E327" t="str">
        <f t="shared" si="5"/>
        <v>001390</v>
      </c>
      <c r="F327" t="s">
        <v>27246</v>
      </c>
      <c r="G327" t="s">
        <v>27247</v>
      </c>
      <c r="H327" t="s">
        <v>27248</v>
      </c>
      <c r="I327" t="s">
        <v>27877</v>
      </c>
      <c r="J327" t="s">
        <v>654</v>
      </c>
      <c r="L327" t="s">
        <v>27250</v>
      </c>
      <c r="M327" t="s">
        <v>27251</v>
      </c>
      <c r="N327" t="s">
        <v>27252</v>
      </c>
      <c r="Q327" s="1">
        <v>44538</v>
      </c>
      <c r="R327" t="s">
        <v>27253</v>
      </c>
      <c r="S327" t="s">
        <v>27254</v>
      </c>
      <c r="T327" t="s">
        <v>27255</v>
      </c>
    </row>
    <row r="328" spans="1:20" x14ac:dyDescent="0.3">
      <c r="A328" t="str">
        <f>"0611830729100"</f>
        <v>0611830729100</v>
      </c>
      <c r="B328" t="str">
        <f>"LQ5991"</f>
        <v>LQ5991</v>
      </c>
      <c r="C328" t="s">
        <v>27878</v>
      </c>
      <c r="D328" t="s">
        <v>27245</v>
      </c>
      <c r="E328" t="str">
        <f t="shared" si="5"/>
        <v>001390</v>
      </c>
      <c r="F328" t="s">
        <v>27246</v>
      </c>
      <c r="G328" t="s">
        <v>27247</v>
      </c>
      <c r="H328" t="s">
        <v>27248</v>
      </c>
      <c r="I328" t="s">
        <v>27879</v>
      </c>
      <c r="J328" t="s">
        <v>656</v>
      </c>
      <c r="L328" t="s">
        <v>27250</v>
      </c>
      <c r="M328" t="s">
        <v>27251</v>
      </c>
      <c r="N328" t="s">
        <v>27252</v>
      </c>
      <c r="Q328" s="1">
        <v>44538</v>
      </c>
      <c r="R328" t="s">
        <v>27253</v>
      </c>
      <c r="S328" t="s">
        <v>27254</v>
      </c>
      <c r="T328" t="s">
        <v>27255</v>
      </c>
    </row>
    <row r="329" spans="1:20" x14ac:dyDescent="0.3">
      <c r="A329" t="str">
        <f>"0611883991100"</f>
        <v>0611883991100</v>
      </c>
      <c r="B329" t="str">
        <f>"LQ6287"</f>
        <v>LQ6287</v>
      </c>
      <c r="C329" t="s">
        <v>27880</v>
      </c>
      <c r="D329" t="s">
        <v>27245</v>
      </c>
      <c r="E329" t="str">
        <f t="shared" si="5"/>
        <v>001390</v>
      </c>
      <c r="F329" t="s">
        <v>27246</v>
      </c>
      <c r="G329" t="s">
        <v>27247</v>
      </c>
      <c r="H329" t="s">
        <v>27248</v>
      </c>
      <c r="I329" t="s">
        <v>27881</v>
      </c>
      <c r="J329" t="s">
        <v>658</v>
      </c>
      <c r="L329" t="s">
        <v>27430</v>
      </c>
      <c r="M329" t="s">
        <v>27251</v>
      </c>
      <c r="N329" t="s">
        <v>27252</v>
      </c>
      <c r="Q329" s="1">
        <v>45250</v>
      </c>
      <c r="R329" t="s">
        <v>27253</v>
      </c>
      <c r="S329" t="s">
        <v>27254</v>
      </c>
      <c r="T329" t="s">
        <v>27255</v>
      </c>
    </row>
    <row r="330" spans="1:20" x14ac:dyDescent="0.3">
      <c r="A330" t="str">
        <f>"0611830730100"</f>
        <v>0611830730100</v>
      </c>
      <c r="B330" t="str">
        <f>"LQ5908"</f>
        <v>LQ5908</v>
      </c>
      <c r="C330" t="s">
        <v>27882</v>
      </c>
      <c r="D330" t="s">
        <v>27245</v>
      </c>
      <c r="E330" t="str">
        <f t="shared" si="5"/>
        <v>001390</v>
      </c>
      <c r="F330" t="s">
        <v>27246</v>
      </c>
      <c r="G330" t="s">
        <v>27247</v>
      </c>
      <c r="H330" t="s">
        <v>27248</v>
      </c>
      <c r="I330" t="s">
        <v>27883</v>
      </c>
      <c r="J330" t="s">
        <v>660</v>
      </c>
      <c r="L330" t="s">
        <v>27250</v>
      </c>
      <c r="M330" t="s">
        <v>27251</v>
      </c>
      <c r="N330" t="s">
        <v>27252</v>
      </c>
      <c r="Q330" s="1">
        <v>44538</v>
      </c>
      <c r="R330" t="s">
        <v>27253</v>
      </c>
      <c r="S330" t="s">
        <v>27254</v>
      </c>
      <c r="T330" t="s">
        <v>27255</v>
      </c>
    </row>
    <row r="331" spans="1:20" x14ac:dyDescent="0.3">
      <c r="A331" t="str">
        <f>"0611883992100"</f>
        <v>0611883992100</v>
      </c>
      <c r="B331" t="str">
        <f>"LQ6288"</f>
        <v>LQ6288</v>
      </c>
      <c r="C331" t="s">
        <v>27884</v>
      </c>
      <c r="D331" t="s">
        <v>27245</v>
      </c>
      <c r="E331" t="str">
        <f t="shared" si="5"/>
        <v>001390</v>
      </c>
      <c r="F331" t="s">
        <v>27246</v>
      </c>
      <c r="G331" t="s">
        <v>27247</v>
      </c>
      <c r="H331" t="s">
        <v>27248</v>
      </c>
      <c r="I331" t="s">
        <v>27885</v>
      </c>
      <c r="J331" t="s">
        <v>662</v>
      </c>
      <c r="L331" t="s">
        <v>27430</v>
      </c>
      <c r="M331" t="s">
        <v>27251</v>
      </c>
      <c r="N331" t="s">
        <v>27252</v>
      </c>
      <c r="Q331" s="1">
        <v>45250</v>
      </c>
      <c r="R331" t="s">
        <v>27253</v>
      </c>
      <c r="S331" t="s">
        <v>27254</v>
      </c>
      <c r="T331" t="s">
        <v>27255</v>
      </c>
    </row>
    <row r="332" spans="1:20" x14ac:dyDescent="0.3">
      <c r="A332" t="str">
        <f>"0611830731100"</f>
        <v>0611830731100</v>
      </c>
      <c r="B332" t="str">
        <f>"LQ5821"</f>
        <v>LQ5821</v>
      </c>
      <c r="C332" t="s">
        <v>27886</v>
      </c>
      <c r="D332" t="s">
        <v>27245</v>
      </c>
      <c r="E332" t="str">
        <f t="shared" si="5"/>
        <v>001390</v>
      </c>
      <c r="F332" t="s">
        <v>27246</v>
      </c>
      <c r="G332" t="s">
        <v>27247</v>
      </c>
      <c r="H332" t="s">
        <v>27248</v>
      </c>
      <c r="I332" t="s">
        <v>27887</v>
      </c>
      <c r="J332" t="s">
        <v>664</v>
      </c>
      <c r="L332" t="s">
        <v>27250</v>
      </c>
      <c r="M332" t="s">
        <v>27251</v>
      </c>
      <c r="N332" t="s">
        <v>27252</v>
      </c>
      <c r="Q332" s="1">
        <v>44538</v>
      </c>
      <c r="R332" t="s">
        <v>27253</v>
      </c>
      <c r="S332" t="s">
        <v>27254</v>
      </c>
      <c r="T332" t="s">
        <v>27255</v>
      </c>
    </row>
    <row r="333" spans="1:20" x14ac:dyDescent="0.3">
      <c r="A333" t="str">
        <f>"0611830732100"</f>
        <v>0611830732100</v>
      </c>
      <c r="B333" t="str">
        <f>"LQ5822"</f>
        <v>LQ5822</v>
      </c>
      <c r="C333" t="s">
        <v>27888</v>
      </c>
      <c r="D333" t="s">
        <v>27245</v>
      </c>
      <c r="E333" t="str">
        <f t="shared" si="5"/>
        <v>001390</v>
      </c>
      <c r="F333" t="s">
        <v>27246</v>
      </c>
      <c r="G333" t="s">
        <v>27247</v>
      </c>
      <c r="H333" t="s">
        <v>27248</v>
      </c>
      <c r="I333" t="s">
        <v>27889</v>
      </c>
      <c r="J333" t="s">
        <v>666</v>
      </c>
      <c r="L333" t="s">
        <v>27250</v>
      </c>
      <c r="M333" t="s">
        <v>27251</v>
      </c>
      <c r="N333" t="s">
        <v>27252</v>
      </c>
      <c r="Q333" s="1">
        <v>44538</v>
      </c>
      <c r="R333" t="s">
        <v>27253</v>
      </c>
      <c r="S333" t="s">
        <v>27254</v>
      </c>
      <c r="T333" t="s">
        <v>27255</v>
      </c>
    </row>
    <row r="334" spans="1:20" x14ac:dyDescent="0.3">
      <c r="A334" t="str">
        <f>"0611830737100"</f>
        <v>0611830737100</v>
      </c>
      <c r="B334" t="str">
        <f>"LQ5909"</f>
        <v>LQ5909</v>
      </c>
      <c r="C334" t="s">
        <v>27890</v>
      </c>
      <c r="D334" t="s">
        <v>27245</v>
      </c>
      <c r="E334" t="str">
        <f t="shared" si="5"/>
        <v>001390</v>
      </c>
      <c r="F334" t="s">
        <v>27246</v>
      </c>
      <c r="G334" t="s">
        <v>27247</v>
      </c>
      <c r="H334" t="s">
        <v>27248</v>
      </c>
      <c r="I334" t="s">
        <v>27891</v>
      </c>
      <c r="J334" t="s">
        <v>676</v>
      </c>
      <c r="L334" t="s">
        <v>27250</v>
      </c>
      <c r="M334" t="s">
        <v>27251</v>
      </c>
      <c r="N334" t="s">
        <v>27252</v>
      </c>
      <c r="Q334" s="1">
        <v>44538</v>
      </c>
      <c r="R334" t="s">
        <v>27253</v>
      </c>
      <c r="S334" t="s">
        <v>27254</v>
      </c>
      <c r="T334" t="s">
        <v>27255</v>
      </c>
    </row>
    <row r="335" spans="1:20" x14ac:dyDescent="0.3">
      <c r="A335" t="str">
        <f>"0611830733100"</f>
        <v>0611830733100</v>
      </c>
      <c r="B335" t="str">
        <f>"LQ6186"</f>
        <v>LQ6186</v>
      </c>
      <c r="C335" t="s">
        <v>27892</v>
      </c>
      <c r="D335" t="s">
        <v>27245</v>
      </c>
      <c r="E335" t="str">
        <f t="shared" si="5"/>
        <v>001390</v>
      </c>
      <c r="F335" t="s">
        <v>27246</v>
      </c>
      <c r="G335" t="s">
        <v>27247</v>
      </c>
      <c r="H335" t="s">
        <v>27248</v>
      </c>
      <c r="I335" t="s">
        <v>27893</v>
      </c>
      <c r="J335" t="s">
        <v>668</v>
      </c>
      <c r="L335" t="s">
        <v>27250</v>
      </c>
      <c r="M335" t="s">
        <v>27251</v>
      </c>
      <c r="N335" t="s">
        <v>27252</v>
      </c>
      <c r="Q335" s="1">
        <v>44538</v>
      </c>
      <c r="R335" t="s">
        <v>27253</v>
      </c>
      <c r="S335" t="s">
        <v>27254</v>
      </c>
      <c r="T335" t="s">
        <v>27255</v>
      </c>
    </row>
    <row r="336" spans="1:20" x14ac:dyDescent="0.3">
      <c r="A336" t="str">
        <f>"0611830734100"</f>
        <v>0611830734100</v>
      </c>
      <c r="B336" t="str">
        <f>"LQ6086"</f>
        <v>LQ6086</v>
      </c>
      <c r="C336" t="s">
        <v>27894</v>
      </c>
      <c r="D336" t="s">
        <v>27245</v>
      </c>
      <c r="E336" t="str">
        <f t="shared" si="5"/>
        <v>001390</v>
      </c>
      <c r="F336" t="s">
        <v>27246</v>
      </c>
      <c r="G336" t="s">
        <v>27247</v>
      </c>
      <c r="H336" t="s">
        <v>27248</v>
      </c>
      <c r="I336" t="s">
        <v>27895</v>
      </c>
      <c r="J336" t="s">
        <v>670</v>
      </c>
      <c r="L336" t="s">
        <v>27250</v>
      </c>
      <c r="M336" t="s">
        <v>27251</v>
      </c>
      <c r="N336" t="s">
        <v>27252</v>
      </c>
      <c r="Q336" s="1">
        <v>44538</v>
      </c>
      <c r="R336" t="s">
        <v>27253</v>
      </c>
      <c r="S336" t="s">
        <v>27254</v>
      </c>
      <c r="T336" t="s">
        <v>27255</v>
      </c>
    </row>
    <row r="337" spans="1:20" x14ac:dyDescent="0.3">
      <c r="A337" t="str">
        <f>"0611883993100"</f>
        <v>0611883993100</v>
      </c>
      <c r="B337" t="str">
        <f>"LQ5492"</f>
        <v>LQ5492</v>
      </c>
      <c r="C337" t="s">
        <v>27896</v>
      </c>
      <c r="D337" t="s">
        <v>27245</v>
      </c>
      <c r="E337" t="str">
        <f t="shared" si="5"/>
        <v>001390</v>
      </c>
      <c r="F337" t="s">
        <v>27246</v>
      </c>
      <c r="G337" t="s">
        <v>27247</v>
      </c>
      <c r="H337" t="s">
        <v>27248</v>
      </c>
      <c r="I337" t="s">
        <v>27897</v>
      </c>
      <c r="J337" t="s">
        <v>672</v>
      </c>
      <c r="L337" t="s">
        <v>27430</v>
      </c>
      <c r="M337" t="s">
        <v>27251</v>
      </c>
      <c r="N337" t="s">
        <v>27252</v>
      </c>
      <c r="Q337" s="1">
        <v>45250</v>
      </c>
      <c r="R337" t="s">
        <v>27253</v>
      </c>
      <c r="S337" t="s">
        <v>27254</v>
      </c>
      <c r="T337" t="s">
        <v>27255</v>
      </c>
    </row>
    <row r="338" spans="1:20" x14ac:dyDescent="0.3">
      <c r="A338" t="str">
        <f>"0611830736100"</f>
        <v>0611830736100</v>
      </c>
      <c r="B338" t="str">
        <f>"LQ6087"</f>
        <v>LQ6087</v>
      </c>
      <c r="C338" t="s">
        <v>27898</v>
      </c>
      <c r="D338" t="s">
        <v>27245</v>
      </c>
      <c r="E338" t="str">
        <f t="shared" si="5"/>
        <v>001390</v>
      </c>
      <c r="F338" t="s">
        <v>27246</v>
      </c>
      <c r="G338" t="s">
        <v>27247</v>
      </c>
      <c r="H338" t="s">
        <v>27248</v>
      </c>
      <c r="I338" t="s">
        <v>27899</v>
      </c>
      <c r="J338" t="s">
        <v>674</v>
      </c>
      <c r="L338" t="s">
        <v>27250</v>
      </c>
      <c r="M338" t="s">
        <v>27251</v>
      </c>
      <c r="N338" t="s">
        <v>27252</v>
      </c>
      <c r="Q338" s="1">
        <v>44538</v>
      </c>
      <c r="R338" t="s">
        <v>27253</v>
      </c>
      <c r="S338" t="s">
        <v>27254</v>
      </c>
      <c r="T338" t="s">
        <v>27255</v>
      </c>
    </row>
    <row r="339" spans="1:20" x14ac:dyDescent="0.3">
      <c r="A339" t="str">
        <f>"0611830738100"</f>
        <v>0611830738100</v>
      </c>
      <c r="B339" t="str">
        <f>"LQ3812"</f>
        <v>LQ3812</v>
      </c>
      <c r="C339" t="s">
        <v>27900</v>
      </c>
      <c r="D339" t="s">
        <v>27245</v>
      </c>
      <c r="E339" t="str">
        <f t="shared" si="5"/>
        <v>001390</v>
      </c>
      <c r="F339" t="s">
        <v>27246</v>
      </c>
      <c r="G339" t="s">
        <v>27247</v>
      </c>
      <c r="H339" t="s">
        <v>27248</v>
      </c>
      <c r="I339" t="s">
        <v>27901</v>
      </c>
      <c r="J339" t="s">
        <v>678</v>
      </c>
      <c r="L339" t="s">
        <v>27250</v>
      </c>
      <c r="M339" t="s">
        <v>27251</v>
      </c>
      <c r="N339" t="s">
        <v>27252</v>
      </c>
      <c r="Q339" s="1">
        <v>44538</v>
      </c>
      <c r="R339" t="s">
        <v>27253</v>
      </c>
      <c r="S339" t="s">
        <v>27254</v>
      </c>
      <c r="T339" t="s">
        <v>27255</v>
      </c>
    </row>
    <row r="340" spans="1:20" x14ac:dyDescent="0.3">
      <c r="A340" t="str">
        <f>"0611830739100"</f>
        <v>0611830739100</v>
      </c>
      <c r="B340" t="str">
        <f>"LQ3813"</f>
        <v>LQ3813</v>
      </c>
      <c r="C340" t="s">
        <v>27902</v>
      </c>
      <c r="D340" t="s">
        <v>27245</v>
      </c>
      <c r="E340" t="str">
        <f t="shared" si="5"/>
        <v>001390</v>
      </c>
      <c r="F340" t="s">
        <v>27246</v>
      </c>
      <c r="G340" t="s">
        <v>27247</v>
      </c>
      <c r="H340" t="s">
        <v>27248</v>
      </c>
      <c r="I340" t="s">
        <v>27903</v>
      </c>
      <c r="J340" t="s">
        <v>680</v>
      </c>
      <c r="L340" t="s">
        <v>27250</v>
      </c>
      <c r="M340" t="s">
        <v>27251</v>
      </c>
      <c r="N340" t="s">
        <v>27252</v>
      </c>
      <c r="Q340" s="1">
        <v>44538</v>
      </c>
      <c r="R340" t="s">
        <v>27253</v>
      </c>
      <c r="S340" t="s">
        <v>27254</v>
      </c>
      <c r="T340" t="s">
        <v>27255</v>
      </c>
    </row>
    <row r="341" spans="1:20" x14ac:dyDescent="0.3">
      <c r="A341" t="str">
        <f>"0611830740100"</f>
        <v>0611830740100</v>
      </c>
      <c r="B341" t="str">
        <f>"LQ3814"</f>
        <v>LQ3814</v>
      </c>
      <c r="C341" t="s">
        <v>27904</v>
      </c>
      <c r="D341" t="s">
        <v>27245</v>
      </c>
      <c r="E341" t="str">
        <f t="shared" si="5"/>
        <v>001390</v>
      </c>
      <c r="F341" t="s">
        <v>27246</v>
      </c>
      <c r="G341" t="s">
        <v>27247</v>
      </c>
      <c r="H341" t="s">
        <v>27248</v>
      </c>
      <c r="I341" t="s">
        <v>27905</v>
      </c>
      <c r="J341" t="s">
        <v>682</v>
      </c>
      <c r="L341" t="s">
        <v>27250</v>
      </c>
      <c r="M341" t="s">
        <v>27251</v>
      </c>
      <c r="N341" t="s">
        <v>27252</v>
      </c>
      <c r="Q341" s="1">
        <v>44538</v>
      </c>
      <c r="R341" t="s">
        <v>27253</v>
      </c>
      <c r="S341" t="s">
        <v>27254</v>
      </c>
      <c r="T341" t="s">
        <v>27255</v>
      </c>
    </row>
    <row r="342" spans="1:20" x14ac:dyDescent="0.3">
      <c r="A342" t="str">
        <f>"0611860495050"</f>
        <v>0611860495050</v>
      </c>
      <c r="B342" t="str">
        <f>"CR4908"</f>
        <v>CR4908</v>
      </c>
      <c r="C342" t="s">
        <v>27906</v>
      </c>
      <c r="D342" t="s">
        <v>27271</v>
      </c>
      <c r="E342" t="str">
        <f t="shared" si="5"/>
        <v>001390</v>
      </c>
      <c r="F342" t="s">
        <v>27246</v>
      </c>
      <c r="G342" t="s">
        <v>27247</v>
      </c>
      <c r="H342" t="s">
        <v>27248</v>
      </c>
      <c r="I342" t="s">
        <v>27907</v>
      </c>
      <c r="J342" t="s">
        <v>684</v>
      </c>
      <c r="L342" t="s">
        <v>27250</v>
      </c>
      <c r="M342" t="s">
        <v>27251</v>
      </c>
      <c r="N342" t="s">
        <v>27252</v>
      </c>
      <c r="P342" t="s">
        <v>27341</v>
      </c>
      <c r="Q342" s="1">
        <v>44846</v>
      </c>
      <c r="R342" t="s">
        <v>27253</v>
      </c>
      <c r="S342" t="s">
        <v>27254</v>
      </c>
      <c r="T342" t="s">
        <v>27265</v>
      </c>
    </row>
    <row r="343" spans="1:20" x14ac:dyDescent="0.3">
      <c r="A343" t="str">
        <f>"0611860496050"</f>
        <v>0611860496050</v>
      </c>
      <c r="B343" t="str">
        <f>"CR4909"</f>
        <v>CR4909</v>
      </c>
      <c r="C343" t="s">
        <v>27908</v>
      </c>
      <c r="D343" t="s">
        <v>27271</v>
      </c>
      <c r="E343" t="str">
        <f t="shared" si="5"/>
        <v>001390</v>
      </c>
      <c r="F343" t="s">
        <v>27246</v>
      </c>
      <c r="G343" t="s">
        <v>27247</v>
      </c>
      <c r="H343" t="s">
        <v>27248</v>
      </c>
      <c r="I343" t="s">
        <v>27909</v>
      </c>
      <c r="J343" t="s">
        <v>686</v>
      </c>
      <c r="L343" t="s">
        <v>27250</v>
      </c>
      <c r="M343" t="s">
        <v>27251</v>
      </c>
      <c r="N343" t="s">
        <v>27252</v>
      </c>
      <c r="P343" t="s">
        <v>27341</v>
      </c>
      <c r="Q343" s="1">
        <v>44846</v>
      </c>
      <c r="R343" t="s">
        <v>27253</v>
      </c>
      <c r="S343" t="s">
        <v>27254</v>
      </c>
      <c r="T343" t="s">
        <v>27265</v>
      </c>
    </row>
    <row r="344" spans="1:20" x14ac:dyDescent="0.3">
      <c r="A344" t="str">
        <f>"0611860497050"</f>
        <v>0611860497050</v>
      </c>
      <c r="B344" t="str">
        <f>"CR4910"</f>
        <v>CR4910</v>
      </c>
      <c r="C344" t="s">
        <v>27910</v>
      </c>
      <c r="D344" t="s">
        <v>27271</v>
      </c>
      <c r="E344" t="str">
        <f t="shared" si="5"/>
        <v>001390</v>
      </c>
      <c r="F344" t="s">
        <v>27246</v>
      </c>
      <c r="G344" t="s">
        <v>27247</v>
      </c>
      <c r="H344" t="s">
        <v>27248</v>
      </c>
      <c r="I344" t="s">
        <v>27911</v>
      </c>
      <c r="J344" t="s">
        <v>688</v>
      </c>
      <c r="L344" t="s">
        <v>27250</v>
      </c>
      <c r="M344" t="s">
        <v>27251</v>
      </c>
      <c r="N344" t="s">
        <v>27252</v>
      </c>
      <c r="P344" t="s">
        <v>27341</v>
      </c>
      <c r="Q344" s="1">
        <v>44846</v>
      </c>
      <c r="R344" t="s">
        <v>27253</v>
      </c>
      <c r="S344" t="s">
        <v>27254</v>
      </c>
      <c r="T344" t="s">
        <v>27265</v>
      </c>
    </row>
    <row r="345" spans="1:20" x14ac:dyDescent="0.3">
      <c r="A345" t="str">
        <f>"0611860498050"</f>
        <v>0611860498050</v>
      </c>
      <c r="B345" t="str">
        <f>"CR3996"</f>
        <v>CR3996</v>
      </c>
      <c r="C345" t="s">
        <v>27912</v>
      </c>
      <c r="D345" t="s">
        <v>27271</v>
      </c>
      <c r="E345" t="str">
        <f t="shared" si="5"/>
        <v>001390</v>
      </c>
      <c r="F345" t="s">
        <v>27246</v>
      </c>
      <c r="G345" t="s">
        <v>27247</v>
      </c>
      <c r="H345" t="s">
        <v>27248</v>
      </c>
      <c r="I345" t="s">
        <v>27913</v>
      </c>
      <c r="J345" t="s">
        <v>690</v>
      </c>
      <c r="L345" t="s">
        <v>27250</v>
      </c>
      <c r="M345" t="s">
        <v>27251</v>
      </c>
      <c r="N345" t="s">
        <v>27252</v>
      </c>
      <c r="P345" t="s">
        <v>27341</v>
      </c>
      <c r="Q345" s="1">
        <v>44846</v>
      </c>
      <c r="R345" t="s">
        <v>27253</v>
      </c>
      <c r="S345" t="s">
        <v>27254</v>
      </c>
      <c r="T345" t="s">
        <v>27265</v>
      </c>
    </row>
    <row r="346" spans="1:20" x14ac:dyDescent="0.3">
      <c r="A346" t="str">
        <f>"0611883994050"</f>
        <v>0611883994050</v>
      </c>
      <c r="B346" t="str">
        <f>"CR5400"</f>
        <v>CR5400</v>
      </c>
      <c r="C346" t="s">
        <v>27914</v>
      </c>
      <c r="D346" t="s">
        <v>27271</v>
      </c>
      <c r="E346" t="str">
        <f t="shared" si="5"/>
        <v>001390</v>
      </c>
      <c r="F346" t="s">
        <v>27246</v>
      </c>
      <c r="G346" t="s">
        <v>27247</v>
      </c>
      <c r="H346" t="s">
        <v>27248</v>
      </c>
      <c r="I346" t="s">
        <v>27915</v>
      </c>
      <c r="J346" t="s">
        <v>692</v>
      </c>
      <c r="L346" t="s">
        <v>27430</v>
      </c>
      <c r="M346" t="s">
        <v>27251</v>
      </c>
      <c r="N346" t="s">
        <v>27252</v>
      </c>
      <c r="P346" t="s">
        <v>27341</v>
      </c>
      <c r="Q346" s="1">
        <v>45250</v>
      </c>
      <c r="R346" t="s">
        <v>27253</v>
      </c>
      <c r="S346" t="s">
        <v>27254</v>
      </c>
      <c r="T346" t="s">
        <v>27265</v>
      </c>
    </row>
    <row r="347" spans="1:20" x14ac:dyDescent="0.3">
      <c r="A347" t="str">
        <f>"0611860499050"</f>
        <v>0611860499050</v>
      </c>
      <c r="B347" t="str">
        <f>"CR3997"</f>
        <v>CR3997</v>
      </c>
      <c r="C347" t="s">
        <v>27916</v>
      </c>
      <c r="D347" t="s">
        <v>27271</v>
      </c>
      <c r="E347" t="str">
        <f t="shared" si="5"/>
        <v>001390</v>
      </c>
      <c r="F347" t="s">
        <v>27246</v>
      </c>
      <c r="G347" t="s">
        <v>27247</v>
      </c>
      <c r="H347" t="s">
        <v>27248</v>
      </c>
      <c r="I347" t="s">
        <v>27917</v>
      </c>
      <c r="J347" t="s">
        <v>694</v>
      </c>
      <c r="L347" t="s">
        <v>27250</v>
      </c>
      <c r="M347" t="s">
        <v>27251</v>
      </c>
      <c r="N347" t="s">
        <v>27252</v>
      </c>
      <c r="P347" t="s">
        <v>27341</v>
      </c>
      <c r="Q347" s="1">
        <v>44846</v>
      </c>
      <c r="R347" t="s">
        <v>27253</v>
      </c>
      <c r="S347" t="s">
        <v>27254</v>
      </c>
      <c r="T347" t="s">
        <v>27265</v>
      </c>
    </row>
    <row r="348" spans="1:20" x14ac:dyDescent="0.3">
      <c r="A348" t="str">
        <f>"0611860500050"</f>
        <v>0611860500050</v>
      </c>
      <c r="B348" t="str">
        <f>"CR3998"</f>
        <v>CR3998</v>
      </c>
      <c r="C348" t="s">
        <v>27918</v>
      </c>
      <c r="D348" t="s">
        <v>27271</v>
      </c>
      <c r="E348" t="str">
        <f t="shared" si="5"/>
        <v>001390</v>
      </c>
      <c r="F348" t="s">
        <v>27246</v>
      </c>
      <c r="G348" t="s">
        <v>27247</v>
      </c>
      <c r="H348" t="s">
        <v>27248</v>
      </c>
      <c r="I348" t="s">
        <v>27919</v>
      </c>
      <c r="J348" t="s">
        <v>696</v>
      </c>
      <c r="L348" t="s">
        <v>27250</v>
      </c>
      <c r="M348" t="s">
        <v>27251</v>
      </c>
      <c r="N348" t="s">
        <v>27252</v>
      </c>
      <c r="P348" t="s">
        <v>27341</v>
      </c>
      <c r="Q348" s="1">
        <v>44846</v>
      </c>
      <c r="R348" t="s">
        <v>27253</v>
      </c>
      <c r="S348" t="s">
        <v>27254</v>
      </c>
      <c r="T348" t="s">
        <v>27265</v>
      </c>
    </row>
    <row r="349" spans="1:20" x14ac:dyDescent="0.3">
      <c r="A349" t="str">
        <f>"0611860501050"</f>
        <v>0611860501050</v>
      </c>
      <c r="B349" t="str">
        <f>"CR3999"</f>
        <v>CR3999</v>
      </c>
      <c r="C349" t="s">
        <v>27920</v>
      </c>
      <c r="D349" t="s">
        <v>27271</v>
      </c>
      <c r="E349" t="str">
        <f t="shared" si="5"/>
        <v>001390</v>
      </c>
      <c r="F349" t="s">
        <v>27246</v>
      </c>
      <c r="G349" t="s">
        <v>27247</v>
      </c>
      <c r="H349" t="s">
        <v>27248</v>
      </c>
      <c r="I349" t="s">
        <v>27921</v>
      </c>
      <c r="J349" t="s">
        <v>698</v>
      </c>
      <c r="L349" t="s">
        <v>27250</v>
      </c>
      <c r="M349" t="s">
        <v>27251</v>
      </c>
      <c r="N349" t="s">
        <v>27252</v>
      </c>
      <c r="P349" t="s">
        <v>27341</v>
      </c>
      <c r="Q349" s="1">
        <v>44846</v>
      </c>
      <c r="R349" t="s">
        <v>27253</v>
      </c>
      <c r="S349" t="s">
        <v>27254</v>
      </c>
      <c r="T349" t="s">
        <v>27265</v>
      </c>
    </row>
    <row r="350" spans="1:20" x14ac:dyDescent="0.3">
      <c r="A350" t="str">
        <f>"0611860502050"</f>
        <v>0611860502050</v>
      </c>
      <c r="B350" t="str">
        <f>"CE0842"</f>
        <v>CE0842</v>
      </c>
      <c r="C350" t="s">
        <v>27922</v>
      </c>
      <c r="D350" t="s">
        <v>27923</v>
      </c>
      <c r="E350" t="str">
        <f t="shared" si="5"/>
        <v>001390</v>
      </c>
      <c r="F350" t="s">
        <v>27246</v>
      </c>
      <c r="G350" t="s">
        <v>27247</v>
      </c>
      <c r="H350" t="s">
        <v>27248</v>
      </c>
      <c r="I350" t="s">
        <v>27924</v>
      </c>
      <c r="J350" t="s">
        <v>700</v>
      </c>
      <c r="L350" t="s">
        <v>27250</v>
      </c>
      <c r="M350" t="s">
        <v>27251</v>
      </c>
      <c r="N350" t="s">
        <v>27252</v>
      </c>
      <c r="P350" t="s">
        <v>27925</v>
      </c>
      <c r="Q350" s="1">
        <v>44846</v>
      </c>
      <c r="R350" t="s">
        <v>27253</v>
      </c>
      <c r="S350" t="s">
        <v>27254</v>
      </c>
      <c r="T350" t="s">
        <v>27265</v>
      </c>
    </row>
    <row r="351" spans="1:20" x14ac:dyDescent="0.3">
      <c r="A351" t="str">
        <f>"0611860503050"</f>
        <v>0611860503050</v>
      </c>
      <c r="B351" t="str">
        <f>"CE0808"</f>
        <v>CE0808</v>
      </c>
      <c r="C351" t="s">
        <v>27926</v>
      </c>
      <c r="D351" t="s">
        <v>27923</v>
      </c>
      <c r="E351" t="str">
        <f t="shared" si="5"/>
        <v>001390</v>
      </c>
      <c r="F351" t="s">
        <v>27246</v>
      </c>
      <c r="G351" t="s">
        <v>27247</v>
      </c>
      <c r="H351" t="s">
        <v>27248</v>
      </c>
      <c r="I351" t="s">
        <v>27927</v>
      </c>
      <c r="J351" t="s">
        <v>702</v>
      </c>
      <c r="L351" t="s">
        <v>27250</v>
      </c>
      <c r="M351" t="s">
        <v>27251</v>
      </c>
      <c r="N351" t="s">
        <v>27252</v>
      </c>
      <c r="P351" t="s">
        <v>27925</v>
      </c>
      <c r="Q351" s="1">
        <v>44846</v>
      </c>
      <c r="R351" t="s">
        <v>27253</v>
      </c>
      <c r="S351" t="s">
        <v>27254</v>
      </c>
      <c r="T351" t="s">
        <v>27265</v>
      </c>
    </row>
    <row r="352" spans="1:20" x14ac:dyDescent="0.3">
      <c r="A352" t="str">
        <f>"0611860504050"</f>
        <v>0611860504050</v>
      </c>
      <c r="B352" t="str">
        <f>"CE0841"</f>
        <v>CE0841</v>
      </c>
      <c r="C352" t="s">
        <v>27928</v>
      </c>
      <c r="D352" t="s">
        <v>27923</v>
      </c>
      <c r="E352" t="str">
        <f t="shared" si="5"/>
        <v>001390</v>
      </c>
      <c r="F352" t="s">
        <v>27246</v>
      </c>
      <c r="G352" t="s">
        <v>27247</v>
      </c>
      <c r="H352" t="s">
        <v>27248</v>
      </c>
      <c r="I352" t="s">
        <v>27929</v>
      </c>
      <c r="J352" t="s">
        <v>704</v>
      </c>
      <c r="L352" t="s">
        <v>27250</v>
      </c>
      <c r="M352" t="s">
        <v>27251</v>
      </c>
      <c r="N352" t="s">
        <v>27252</v>
      </c>
      <c r="P352" t="s">
        <v>27925</v>
      </c>
      <c r="Q352" s="1">
        <v>44846</v>
      </c>
      <c r="R352" t="s">
        <v>27253</v>
      </c>
      <c r="S352" t="s">
        <v>27254</v>
      </c>
      <c r="T352" t="s">
        <v>27265</v>
      </c>
    </row>
    <row r="353" spans="1:20" x14ac:dyDescent="0.3">
      <c r="A353" t="str">
        <f>"0611860505050"</f>
        <v>0611860505050</v>
      </c>
      <c r="B353" t="str">
        <f>"CE0758"</f>
        <v>CE0758</v>
      </c>
      <c r="C353" t="s">
        <v>27930</v>
      </c>
      <c r="D353" t="s">
        <v>27923</v>
      </c>
      <c r="E353" t="str">
        <f t="shared" si="5"/>
        <v>001390</v>
      </c>
      <c r="F353" t="s">
        <v>27246</v>
      </c>
      <c r="G353" t="s">
        <v>27247</v>
      </c>
      <c r="H353" t="s">
        <v>27248</v>
      </c>
      <c r="I353" t="s">
        <v>27931</v>
      </c>
      <c r="J353" t="s">
        <v>706</v>
      </c>
      <c r="L353" t="s">
        <v>27250</v>
      </c>
      <c r="M353" t="s">
        <v>27251</v>
      </c>
      <c r="N353" t="s">
        <v>27252</v>
      </c>
      <c r="P353" t="s">
        <v>27925</v>
      </c>
      <c r="Q353" s="1">
        <v>44846</v>
      </c>
      <c r="R353" t="s">
        <v>27253</v>
      </c>
      <c r="S353" t="s">
        <v>27254</v>
      </c>
      <c r="T353" t="s">
        <v>27265</v>
      </c>
    </row>
    <row r="354" spans="1:20" x14ac:dyDescent="0.3">
      <c r="A354" t="str">
        <f>"0611860506050"</f>
        <v>0611860506050</v>
      </c>
      <c r="B354" t="str">
        <f>"CE0759"</f>
        <v>CE0759</v>
      </c>
      <c r="C354" t="s">
        <v>27932</v>
      </c>
      <c r="D354" t="s">
        <v>27923</v>
      </c>
      <c r="E354" t="str">
        <f t="shared" si="5"/>
        <v>001390</v>
      </c>
      <c r="F354" t="s">
        <v>27246</v>
      </c>
      <c r="G354" t="s">
        <v>27247</v>
      </c>
      <c r="H354" t="s">
        <v>27248</v>
      </c>
      <c r="I354" t="s">
        <v>27933</v>
      </c>
      <c r="J354" t="s">
        <v>708</v>
      </c>
      <c r="L354" t="s">
        <v>27250</v>
      </c>
      <c r="M354" t="s">
        <v>27251</v>
      </c>
      <c r="N354" t="s">
        <v>27252</v>
      </c>
      <c r="P354" t="s">
        <v>27925</v>
      </c>
      <c r="Q354" s="1">
        <v>44846</v>
      </c>
      <c r="R354" t="s">
        <v>27253</v>
      </c>
      <c r="S354" t="s">
        <v>27254</v>
      </c>
      <c r="T354" t="s">
        <v>27265</v>
      </c>
    </row>
    <row r="355" spans="1:20" x14ac:dyDescent="0.3">
      <c r="A355" t="str">
        <f>"0611860507050"</f>
        <v>0611860507050</v>
      </c>
      <c r="B355" t="str">
        <f>"CE0760"</f>
        <v>CE0760</v>
      </c>
      <c r="C355" t="s">
        <v>27934</v>
      </c>
      <c r="D355" t="s">
        <v>27923</v>
      </c>
      <c r="E355" t="str">
        <f t="shared" si="5"/>
        <v>001390</v>
      </c>
      <c r="F355" t="s">
        <v>27246</v>
      </c>
      <c r="G355" t="s">
        <v>27247</v>
      </c>
      <c r="H355" t="s">
        <v>27248</v>
      </c>
      <c r="I355" t="s">
        <v>27935</v>
      </c>
      <c r="J355" t="s">
        <v>710</v>
      </c>
      <c r="L355" t="s">
        <v>27250</v>
      </c>
      <c r="M355" t="s">
        <v>27251</v>
      </c>
      <c r="N355" t="s">
        <v>27252</v>
      </c>
      <c r="P355" t="s">
        <v>27925</v>
      </c>
      <c r="Q355" s="1">
        <v>44846</v>
      </c>
      <c r="R355" t="s">
        <v>27253</v>
      </c>
      <c r="S355" t="s">
        <v>27254</v>
      </c>
      <c r="T355" t="s">
        <v>27265</v>
      </c>
    </row>
    <row r="356" spans="1:20" x14ac:dyDescent="0.3">
      <c r="A356" t="str">
        <f>"0611830741100"</f>
        <v>0611830741100</v>
      </c>
      <c r="B356" t="str">
        <f>"LK1085"</f>
        <v>LK1085</v>
      </c>
      <c r="C356" t="s">
        <v>27936</v>
      </c>
      <c r="D356" t="s">
        <v>27245</v>
      </c>
      <c r="E356" t="str">
        <f t="shared" si="5"/>
        <v>001390</v>
      </c>
      <c r="F356" t="s">
        <v>27246</v>
      </c>
      <c r="G356" t="s">
        <v>27247</v>
      </c>
      <c r="H356" t="s">
        <v>27248</v>
      </c>
      <c r="I356" t="s">
        <v>27937</v>
      </c>
      <c r="J356" t="s">
        <v>712</v>
      </c>
      <c r="L356" t="s">
        <v>27250</v>
      </c>
      <c r="M356" t="s">
        <v>27251</v>
      </c>
      <c r="N356" t="s">
        <v>27252</v>
      </c>
      <c r="Q356" s="1">
        <v>44538</v>
      </c>
      <c r="R356" t="s">
        <v>27253</v>
      </c>
      <c r="S356" t="s">
        <v>27254</v>
      </c>
      <c r="T356" t="s">
        <v>27255</v>
      </c>
    </row>
    <row r="357" spans="1:20" x14ac:dyDescent="0.3">
      <c r="A357" t="str">
        <f>"0611830749100"</f>
        <v>0611830749100</v>
      </c>
      <c r="B357" t="str">
        <f>"LQ3815"</f>
        <v>LQ3815</v>
      </c>
      <c r="C357" t="s">
        <v>27938</v>
      </c>
      <c r="D357" t="s">
        <v>27245</v>
      </c>
      <c r="E357" t="str">
        <f t="shared" si="5"/>
        <v>001390</v>
      </c>
      <c r="F357" t="s">
        <v>27246</v>
      </c>
      <c r="G357" t="s">
        <v>27247</v>
      </c>
      <c r="H357" t="s">
        <v>27248</v>
      </c>
      <c r="I357" t="s">
        <v>27939</v>
      </c>
      <c r="J357" t="s">
        <v>714</v>
      </c>
      <c r="L357" t="s">
        <v>27250</v>
      </c>
      <c r="M357" t="s">
        <v>27251</v>
      </c>
      <c r="N357" t="s">
        <v>27252</v>
      </c>
      <c r="Q357" s="1">
        <v>44538</v>
      </c>
      <c r="R357" t="s">
        <v>27253</v>
      </c>
      <c r="S357" t="s">
        <v>27254</v>
      </c>
      <c r="T357" t="s">
        <v>27255</v>
      </c>
    </row>
    <row r="358" spans="1:20" x14ac:dyDescent="0.3">
      <c r="A358" t="str">
        <f>"0611830750100"</f>
        <v>0611830750100</v>
      </c>
      <c r="B358" t="str">
        <f>"LQ3816"</f>
        <v>LQ3816</v>
      </c>
      <c r="C358" t="s">
        <v>27940</v>
      </c>
      <c r="D358" t="s">
        <v>27245</v>
      </c>
      <c r="E358" t="str">
        <f t="shared" si="5"/>
        <v>001390</v>
      </c>
      <c r="F358" t="s">
        <v>27246</v>
      </c>
      <c r="G358" t="s">
        <v>27247</v>
      </c>
      <c r="H358" t="s">
        <v>27248</v>
      </c>
      <c r="I358" t="s">
        <v>27941</v>
      </c>
      <c r="J358" t="s">
        <v>716</v>
      </c>
      <c r="L358" t="s">
        <v>27250</v>
      </c>
      <c r="M358" t="s">
        <v>27251</v>
      </c>
      <c r="N358" t="s">
        <v>27252</v>
      </c>
      <c r="Q358" s="1">
        <v>44538</v>
      </c>
      <c r="R358" t="s">
        <v>27253</v>
      </c>
      <c r="S358" t="s">
        <v>27254</v>
      </c>
      <c r="T358" t="s">
        <v>27255</v>
      </c>
    </row>
    <row r="359" spans="1:20" x14ac:dyDescent="0.3">
      <c r="A359" t="str">
        <f>"0611830751100"</f>
        <v>0611830751100</v>
      </c>
      <c r="B359" t="str">
        <f>"LQ3817"</f>
        <v>LQ3817</v>
      </c>
      <c r="C359" t="s">
        <v>27942</v>
      </c>
      <c r="D359" t="s">
        <v>27245</v>
      </c>
      <c r="E359" t="str">
        <f t="shared" si="5"/>
        <v>001390</v>
      </c>
      <c r="F359" t="s">
        <v>27246</v>
      </c>
      <c r="G359" t="s">
        <v>27247</v>
      </c>
      <c r="H359" t="s">
        <v>27248</v>
      </c>
      <c r="I359" t="s">
        <v>27943</v>
      </c>
      <c r="J359" t="s">
        <v>718</v>
      </c>
      <c r="L359" t="s">
        <v>27250</v>
      </c>
      <c r="M359" t="s">
        <v>27251</v>
      </c>
      <c r="N359" t="s">
        <v>27252</v>
      </c>
      <c r="Q359" s="1">
        <v>44538</v>
      </c>
      <c r="R359" t="s">
        <v>27253</v>
      </c>
      <c r="S359" t="s">
        <v>27254</v>
      </c>
      <c r="T359" t="s">
        <v>27255</v>
      </c>
    </row>
    <row r="360" spans="1:20" x14ac:dyDescent="0.3">
      <c r="A360" t="str">
        <f>"0611830752100"</f>
        <v>0611830752100</v>
      </c>
      <c r="B360" t="str">
        <f>"LQ3818"</f>
        <v>LQ3818</v>
      </c>
      <c r="C360" t="s">
        <v>27944</v>
      </c>
      <c r="D360" t="s">
        <v>27245</v>
      </c>
      <c r="E360" t="str">
        <f t="shared" si="5"/>
        <v>001390</v>
      </c>
      <c r="F360" t="s">
        <v>27246</v>
      </c>
      <c r="G360" t="s">
        <v>27247</v>
      </c>
      <c r="H360" t="s">
        <v>27248</v>
      </c>
      <c r="I360" t="s">
        <v>27945</v>
      </c>
      <c r="J360" t="s">
        <v>720</v>
      </c>
      <c r="L360" t="s">
        <v>27250</v>
      </c>
      <c r="M360" t="s">
        <v>27251</v>
      </c>
      <c r="N360" t="s">
        <v>27252</v>
      </c>
      <c r="Q360" s="1">
        <v>44538</v>
      </c>
      <c r="R360" t="s">
        <v>27253</v>
      </c>
      <c r="S360" t="s">
        <v>27254</v>
      </c>
      <c r="T360" t="s">
        <v>27255</v>
      </c>
    </row>
    <row r="361" spans="1:20" x14ac:dyDescent="0.3">
      <c r="A361" t="str">
        <f>"0611830753100"</f>
        <v>0611830753100</v>
      </c>
      <c r="B361" t="str">
        <f>"LQ3819"</f>
        <v>LQ3819</v>
      </c>
      <c r="C361" t="s">
        <v>27946</v>
      </c>
      <c r="D361" t="s">
        <v>27245</v>
      </c>
      <c r="E361" t="str">
        <f t="shared" si="5"/>
        <v>001390</v>
      </c>
      <c r="F361" t="s">
        <v>27246</v>
      </c>
      <c r="G361" t="s">
        <v>27247</v>
      </c>
      <c r="H361" t="s">
        <v>27248</v>
      </c>
      <c r="I361" t="s">
        <v>27947</v>
      </c>
      <c r="J361" t="s">
        <v>722</v>
      </c>
      <c r="L361" t="s">
        <v>27250</v>
      </c>
      <c r="M361" t="s">
        <v>27251</v>
      </c>
      <c r="N361" t="s">
        <v>27252</v>
      </c>
      <c r="Q361" s="1">
        <v>44538</v>
      </c>
      <c r="R361" t="s">
        <v>27253</v>
      </c>
      <c r="S361" t="s">
        <v>27254</v>
      </c>
      <c r="T361" t="s">
        <v>27255</v>
      </c>
    </row>
    <row r="362" spans="1:20" x14ac:dyDescent="0.3">
      <c r="A362" t="str">
        <f>"0611830754100"</f>
        <v>0611830754100</v>
      </c>
      <c r="B362" t="str">
        <f>"LQ3820"</f>
        <v>LQ3820</v>
      </c>
      <c r="C362" t="s">
        <v>27948</v>
      </c>
      <c r="D362" t="s">
        <v>27245</v>
      </c>
      <c r="E362" t="str">
        <f t="shared" si="5"/>
        <v>001390</v>
      </c>
      <c r="F362" t="s">
        <v>27246</v>
      </c>
      <c r="G362" t="s">
        <v>27247</v>
      </c>
      <c r="H362" t="s">
        <v>27248</v>
      </c>
      <c r="I362" t="s">
        <v>27949</v>
      </c>
      <c r="J362" t="s">
        <v>724</v>
      </c>
      <c r="L362" t="s">
        <v>27250</v>
      </c>
      <c r="M362" t="s">
        <v>27251</v>
      </c>
      <c r="N362" t="s">
        <v>27252</v>
      </c>
      <c r="Q362" s="1">
        <v>44538</v>
      </c>
      <c r="R362" t="s">
        <v>27253</v>
      </c>
      <c r="S362" t="s">
        <v>27254</v>
      </c>
      <c r="T362" t="s">
        <v>27255</v>
      </c>
    </row>
    <row r="363" spans="1:20" x14ac:dyDescent="0.3">
      <c r="A363" t="str">
        <f>"0611830755100"</f>
        <v>0611830755100</v>
      </c>
      <c r="B363" t="str">
        <f>"LQ3821"</f>
        <v>LQ3821</v>
      </c>
      <c r="C363" t="s">
        <v>27950</v>
      </c>
      <c r="D363" t="s">
        <v>27245</v>
      </c>
      <c r="E363" t="str">
        <f t="shared" si="5"/>
        <v>001390</v>
      </c>
      <c r="F363" t="s">
        <v>27246</v>
      </c>
      <c r="G363" t="s">
        <v>27247</v>
      </c>
      <c r="H363" t="s">
        <v>27248</v>
      </c>
      <c r="I363" t="s">
        <v>27951</v>
      </c>
      <c r="J363" t="s">
        <v>726</v>
      </c>
      <c r="L363" t="s">
        <v>27250</v>
      </c>
      <c r="M363" t="s">
        <v>27251</v>
      </c>
      <c r="N363" t="s">
        <v>27252</v>
      </c>
      <c r="Q363" s="1">
        <v>44538</v>
      </c>
      <c r="R363" t="s">
        <v>27253</v>
      </c>
      <c r="S363" t="s">
        <v>27254</v>
      </c>
      <c r="T363" t="s">
        <v>27255</v>
      </c>
    </row>
    <row r="364" spans="1:20" x14ac:dyDescent="0.3">
      <c r="A364" t="str">
        <f>"0611830756100"</f>
        <v>0611830756100</v>
      </c>
      <c r="B364" t="str">
        <f>"LK4783"</f>
        <v>LK4783</v>
      </c>
      <c r="C364" t="s">
        <v>27952</v>
      </c>
      <c r="D364" t="s">
        <v>27245</v>
      </c>
      <c r="E364" t="str">
        <f t="shared" si="5"/>
        <v>001390</v>
      </c>
      <c r="F364" t="s">
        <v>27246</v>
      </c>
      <c r="G364" t="s">
        <v>27247</v>
      </c>
      <c r="H364" t="s">
        <v>27248</v>
      </c>
      <c r="I364" t="s">
        <v>27953</v>
      </c>
      <c r="J364" t="s">
        <v>728</v>
      </c>
      <c r="L364" t="s">
        <v>27250</v>
      </c>
      <c r="M364" t="s">
        <v>27251</v>
      </c>
      <c r="N364" t="s">
        <v>27252</v>
      </c>
      <c r="Q364" s="1">
        <v>44538</v>
      </c>
      <c r="R364" t="s">
        <v>27253</v>
      </c>
      <c r="S364" t="s">
        <v>27254</v>
      </c>
      <c r="T364" t="s">
        <v>27255</v>
      </c>
    </row>
    <row r="365" spans="1:20" x14ac:dyDescent="0.3">
      <c r="A365" t="str">
        <f>"0611830757100"</f>
        <v>0611830757100</v>
      </c>
      <c r="B365" t="str">
        <f>"LK1942"</f>
        <v>LK1942</v>
      </c>
      <c r="C365" t="s">
        <v>27954</v>
      </c>
      <c r="D365" t="s">
        <v>27245</v>
      </c>
      <c r="E365" t="str">
        <f t="shared" si="5"/>
        <v>001390</v>
      </c>
      <c r="F365" t="s">
        <v>27246</v>
      </c>
      <c r="G365" t="s">
        <v>27247</v>
      </c>
      <c r="H365" t="s">
        <v>27248</v>
      </c>
      <c r="I365" t="s">
        <v>27955</v>
      </c>
      <c r="J365" t="s">
        <v>730</v>
      </c>
      <c r="L365" t="s">
        <v>27250</v>
      </c>
      <c r="M365" t="s">
        <v>27251</v>
      </c>
      <c r="N365" t="s">
        <v>27252</v>
      </c>
      <c r="Q365" s="1">
        <v>44538</v>
      </c>
      <c r="R365" t="s">
        <v>27253</v>
      </c>
      <c r="S365" t="s">
        <v>27254</v>
      </c>
      <c r="T365" t="s">
        <v>27255</v>
      </c>
    </row>
    <row r="366" spans="1:20" x14ac:dyDescent="0.3">
      <c r="A366" t="str">
        <f>"0611830758100"</f>
        <v>0611830758100</v>
      </c>
      <c r="B366" t="str">
        <f>"LK1943"</f>
        <v>LK1943</v>
      </c>
      <c r="C366" t="s">
        <v>27956</v>
      </c>
      <c r="D366" t="s">
        <v>27245</v>
      </c>
      <c r="E366" t="str">
        <f t="shared" si="5"/>
        <v>001390</v>
      </c>
      <c r="F366" t="s">
        <v>27246</v>
      </c>
      <c r="G366" t="s">
        <v>27247</v>
      </c>
      <c r="H366" t="s">
        <v>27248</v>
      </c>
      <c r="I366" t="s">
        <v>27957</v>
      </c>
      <c r="J366" t="s">
        <v>732</v>
      </c>
      <c r="L366" t="s">
        <v>27250</v>
      </c>
      <c r="M366" t="s">
        <v>27251</v>
      </c>
      <c r="N366" t="s">
        <v>27252</v>
      </c>
      <c r="Q366" s="1">
        <v>44538</v>
      </c>
      <c r="R366" t="s">
        <v>27253</v>
      </c>
      <c r="S366" t="s">
        <v>27254</v>
      </c>
      <c r="T366" t="s">
        <v>27255</v>
      </c>
    </row>
    <row r="367" spans="1:20" x14ac:dyDescent="0.3">
      <c r="A367" t="str">
        <f>"0611830759100"</f>
        <v>0611830759100</v>
      </c>
      <c r="B367" t="str">
        <f>"LK1944"</f>
        <v>LK1944</v>
      </c>
      <c r="C367" t="s">
        <v>27958</v>
      </c>
      <c r="D367" t="s">
        <v>27245</v>
      </c>
      <c r="E367" t="str">
        <f t="shared" si="5"/>
        <v>001390</v>
      </c>
      <c r="F367" t="s">
        <v>27246</v>
      </c>
      <c r="G367" t="s">
        <v>27247</v>
      </c>
      <c r="H367" t="s">
        <v>27248</v>
      </c>
      <c r="I367" t="s">
        <v>27959</v>
      </c>
      <c r="J367" t="s">
        <v>734</v>
      </c>
      <c r="L367" t="s">
        <v>27250</v>
      </c>
      <c r="M367" t="s">
        <v>27251</v>
      </c>
      <c r="N367" t="s">
        <v>27252</v>
      </c>
      <c r="Q367" s="1">
        <v>44538</v>
      </c>
      <c r="R367" t="s">
        <v>27253</v>
      </c>
      <c r="S367" t="s">
        <v>27254</v>
      </c>
      <c r="T367" t="s">
        <v>27255</v>
      </c>
    </row>
    <row r="368" spans="1:20" x14ac:dyDescent="0.3">
      <c r="A368" t="str">
        <f>"0611830760100"</f>
        <v>0611830760100</v>
      </c>
      <c r="B368" t="str">
        <f>"LK1945"</f>
        <v>LK1945</v>
      </c>
      <c r="C368" t="s">
        <v>27960</v>
      </c>
      <c r="D368" t="s">
        <v>27245</v>
      </c>
      <c r="E368" t="str">
        <f t="shared" si="5"/>
        <v>001390</v>
      </c>
      <c r="F368" t="s">
        <v>27246</v>
      </c>
      <c r="G368" t="s">
        <v>27247</v>
      </c>
      <c r="H368" t="s">
        <v>27248</v>
      </c>
      <c r="I368" t="s">
        <v>27961</v>
      </c>
      <c r="J368" t="s">
        <v>736</v>
      </c>
      <c r="L368" t="s">
        <v>27250</v>
      </c>
      <c r="M368" t="s">
        <v>27251</v>
      </c>
      <c r="N368" t="s">
        <v>27252</v>
      </c>
      <c r="Q368" s="1">
        <v>44538</v>
      </c>
      <c r="R368" t="s">
        <v>27253</v>
      </c>
      <c r="S368" t="s">
        <v>27254</v>
      </c>
      <c r="T368" t="s">
        <v>27255</v>
      </c>
    </row>
    <row r="369" spans="1:20" x14ac:dyDescent="0.3">
      <c r="A369" t="str">
        <f>"0611830761100"</f>
        <v>0611830761100</v>
      </c>
      <c r="B369" t="str">
        <f>"LK6536"</f>
        <v>LK6536</v>
      </c>
      <c r="C369" t="s">
        <v>27962</v>
      </c>
      <c r="D369" t="s">
        <v>27245</v>
      </c>
      <c r="E369" t="str">
        <f t="shared" si="5"/>
        <v>001390</v>
      </c>
      <c r="F369" t="s">
        <v>27246</v>
      </c>
      <c r="G369" t="s">
        <v>27247</v>
      </c>
      <c r="H369" t="s">
        <v>27248</v>
      </c>
      <c r="I369" t="s">
        <v>27963</v>
      </c>
      <c r="J369" t="s">
        <v>738</v>
      </c>
      <c r="L369" t="s">
        <v>27250</v>
      </c>
      <c r="M369" t="s">
        <v>27251</v>
      </c>
      <c r="N369" t="s">
        <v>27252</v>
      </c>
      <c r="Q369" s="1">
        <v>44538</v>
      </c>
      <c r="R369" t="s">
        <v>27253</v>
      </c>
      <c r="S369" t="s">
        <v>27254</v>
      </c>
      <c r="T369" t="s">
        <v>27255</v>
      </c>
    </row>
    <row r="370" spans="1:20" x14ac:dyDescent="0.3">
      <c r="A370" t="str">
        <f>"0611830762100"</f>
        <v>0611830762100</v>
      </c>
      <c r="B370" t="str">
        <f>"LK4784"</f>
        <v>LK4784</v>
      </c>
      <c r="C370" t="s">
        <v>27964</v>
      </c>
      <c r="D370" t="s">
        <v>27245</v>
      </c>
      <c r="E370" t="str">
        <f t="shared" si="5"/>
        <v>001390</v>
      </c>
      <c r="F370" t="s">
        <v>27246</v>
      </c>
      <c r="G370" t="s">
        <v>27247</v>
      </c>
      <c r="H370" t="s">
        <v>27248</v>
      </c>
      <c r="I370" t="s">
        <v>27965</v>
      </c>
      <c r="J370" t="s">
        <v>740</v>
      </c>
      <c r="L370" t="s">
        <v>27250</v>
      </c>
      <c r="M370" t="s">
        <v>27251</v>
      </c>
      <c r="N370" t="s">
        <v>27252</v>
      </c>
      <c r="Q370" s="1">
        <v>44538</v>
      </c>
      <c r="R370" t="s">
        <v>27253</v>
      </c>
      <c r="S370" t="s">
        <v>27254</v>
      </c>
      <c r="T370" t="s">
        <v>27255</v>
      </c>
    </row>
    <row r="371" spans="1:20" x14ac:dyDescent="0.3">
      <c r="A371" t="str">
        <f>"0611830763100"</f>
        <v>0611830763100</v>
      </c>
      <c r="B371" t="str">
        <f>"LK1946"</f>
        <v>LK1946</v>
      </c>
      <c r="C371" t="s">
        <v>27966</v>
      </c>
      <c r="D371" t="s">
        <v>27245</v>
      </c>
      <c r="E371" t="str">
        <f t="shared" si="5"/>
        <v>001390</v>
      </c>
      <c r="F371" t="s">
        <v>27246</v>
      </c>
      <c r="G371" t="s">
        <v>27247</v>
      </c>
      <c r="H371" t="s">
        <v>27248</v>
      </c>
      <c r="I371" t="s">
        <v>27967</v>
      </c>
      <c r="J371" t="s">
        <v>742</v>
      </c>
      <c r="L371" t="s">
        <v>27250</v>
      </c>
      <c r="M371" t="s">
        <v>27251</v>
      </c>
      <c r="N371" t="s">
        <v>27252</v>
      </c>
      <c r="Q371" s="1">
        <v>44538</v>
      </c>
      <c r="R371" t="s">
        <v>27253</v>
      </c>
      <c r="S371" t="s">
        <v>27254</v>
      </c>
      <c r="T371" t="s">
        <v>27255</v>
      </c>
    </row>
    <row r="372" spans="1:20" x14ac:dyDescent="0.3">
      <c r="A372" t="str">
        <f>"0611830764100"</f>
        <v>0611830764100</v>
      </c>
      <c r="B372" t="str">
        <f>"LK6839"</f>
        <v>LK6839</v>
      </c>
      <c r="C372" t="s">
        <v>27968</v>
      </c>
      <c r="D372" t="s">
        <v>27245</v>
      </c>
      <c r="E372" t="str">
        <f t="shared" si="5"/>
        <v>001390</v>
      </c>
      <c r="F372" t="s">
        <v>27246</v>
      </c>
      <c r="G372" t="s">
        <v>27247</v>
      </c>
      <c r="H372" t="s">
        <v>27248</v>
      </c>
      <c r="I372" t="s">
        <v>27969</v>
      </c>
      <c r="J372" t="s">
        <v>744</v>
      </c>
      <c r="L372" t="s">
        <v>27250</v>
      </c>
      <c r="M372" t="s">
        <v>27251</v>
      </c>
      <c r="N372" t="s">
        <v>27252</v>
      </c>
      <c r="Q372" s="1">
        <v>44538</v>
      </c>
      <c r="R372" t="s">
        <v>27253</v>
      </c>
      <c r="S372" t="s">
        <v>27254</v>
      </c>
      <c r="T372" t="s">
        <v>27255</v>
      </c>
    </row>
    <row r="373" spans="1:20" x14ac:dyDescent="0.3">
      <c r="A373" t="str">
        <f>"0611830765100"</f>
        <v>0611830765100</v>
      </c>
      <c r="B373" t="str">
        <f>"LK5688"</f>
        <v>LK5688</v>
      </c>
      <c r="C373" t="s">
        <v>27970</v>
      </c>
      <c r="D373" t="s">
        <v>27245</v>
      </c>
      <c r="E373" t="str">
        <f t="shared" si="5"/>
        <v>001390</v>
      </c>
      <c r="F373" t="s">
        <v>27246</v>
      </c>
      <c r="G373" t="s">
        <v>27247</v>
      </c>
      <c r="H373" t="s">
        <v>27248</v>
      </c>
      <c r="I373" t="s">
        <v>27971</v>
      </c>
      <c r="J373" t="s">
        <v>746</v>
      </c>
      <c r="L373" t="s">
        <v>27250</v>
      </c>
      <c r="M373" t="s">
        <v>27251</v>
      </c>
      <c r="N373" t="s">
        <v>27252</v>
      </c>
      <c r="Q373" s="1">
        <v>44538</v>
      </c>
      <c r="R373" t="s">
        <v>27253</v>
      </c>
      <c r="S373" t="s">
        <v>27254</v>
      </c>
      <c r="T373" t="s">
        <v>27255</v>
      </c>
    </row>
    <row r="374" spans="1:20" x14ac:dyDescent="0.3">
      <c r="A374" t="str">
        <f>"0611830766100"</f>
        <v>0611830766100</v>
      </c>
      <c r="B374" t="str">
        <f>"LK5689"</f>
        <v>LK5689</v>
      </c>
      <c r="C374" t="s">
        <v>27972</v>
      </c>
      <c r="D374" t="s">
        <v>27245</v>
      </c>
      <c r="E374" t="str">
        <f t="shared" si="5"/>
        <v>001390</v>
      </c>
      <c r="F374" t="s">
        <v>27246</v>
      </c>
      <c r="G374" t="s">
        <v>27247</v>
      </c>
      <c r="H374" t="s">
        <v>27248</v>
      </c>
      <c r="I374" t="s">
        <v>27973</v>
      </c>
      <c r="J374" t="s">
        <v>748</v>
      </c>
      <c r="L374" t="s">
        <v>27250</v>
      </c>
      <c r="M374" t="s">
        <v>27251</v>
      </c>
      <c r="N374" t="s">
        <v>27252</v>
      </c>
      <c r="Q374" s="1">
        <v>44538</v>
      </c>
      <c r="R374" t="s">
        <v>27253</v>
      </c>
      <c r="S374" t="s">
        <v>27254</v>
      </c>
      <c r="T374" t="s">
        <v>27255</v>
      </c>
    </row>
    <row r="375" spans="1:20" x14ac:dyDescent="0.3">
      <c r="A375" t="str">
        <f>"0611830767100"</f>
        <v>0611830767100</v>
      </c>
      <c r="B375" t="str">
        <f>"LK5544"</f>
        <v>LK5544</v>
      </c>
      <c r="C375" t="s">
        <v>27974</v>
      </c>
      <c r="D375" t="s">
        <v>27245</v>
      </c>
      <c r="E375" t="str">
        <f t="shared" si="5"/>
        <v>001390</v>
      </c>
      <c r="F375" t="s">
        <v>27246</v>
      </c>
      <c r="G375" t="s">
        <v>27247</v>
      </c>
      <c r="H375" t="s">
        <v>27248</v>
      </c>
      <c r="I375" t="s">
        <v>27975</v>
      </c>
      <c r="J375" t="s">
        <v>750</v>
      </c>
      <c r="L375" t="s">
        <v>27250</v>
      </c>
      <c r="M375" t="s">
        <v>27251</v>
      </c>
      <c r="N375" t="s">
        <v>27252</v>
      </c>
      <c r="Q375" s="1">
        <v>44538</v>
      </c>
      <c r="R375" t="s">
        <v>27253</v>
      </c>
      <c r="S375" t="s">
        <v>27254</v>
      </c>
      <c r="T375" t="s">
        <v>27255</v>
      </c>
    </row>
    <row r="376" spans="1:20" x14ac:dyDescent="0.3">
      <c r="A376" t="str">
        <f>"0611830768100"</f>
        <v>0611830768100</v>
      </c>
      <c r="B376" t="str">
        <f>"LK5690"</f>
        <v>LK5690</v>
      </c>
      <c r="C376" t="s">
        <v>27976</v>
      </c>
      <c r="D376" t="s">
        <v>27245</v>
      </c>
      <c r="E376" t="str">
        <f t="shared" si="5"/>
        <v>001390</v>
      </c>
      <c r="F376" t="s">
        <v>27246</v>
      </c>
      <c r="G376" t="s">
        <v>27247</v>
      </c>
      <c r="H376" t="s">
        <v>27248</v>
      </c>
      <c r="I376" t="s">
        <v>27977</v>
      </c>
      <c r="J376" t="s">
        <v>752</v>
      </c>
      <c r="L376" t="s">
        <v>27250</v>
      </c>
      <c r="M376" t="s">
        <v>27251</v>
      </c>
      <c r="N376" t="s">
        <v>27252</v>
      </c>
      <c r="Q376" s="1">
        <v>44538</v>
      </c>
      <c r="R376" t="s">
        <v>27253</v>
      </c>
      <c r="S376" t="s">
        <v>27254</v>
      </c>
      <c r="T376" t="s">
        <v>27255</v>
      </c>
    </row>
    <row r="377" spans="1:20" x14ac:dyDescent="0.3">
      <c r="A377" t="str">
        <f>"0611830769100"</f>
        <v>0611830769100</v>
      </c>
      <c r="B377" t="str">
        <f>"LK5691"</f>
        <v>LK5691</v>
      </c>
      <c r="C377" t="s">
        <v>27978</v>
      </c>
      <c r="D377" t="s">
        <v>27245</v>
      </c>
      <c r="E377" t="str">
        <f t="shared" si="5"/>
        <v>001390</v>
      </c>
      <c r="F377" t="s">
        <v>27246</v>
      </c>
      <c r="G377" t="s">
        <v>27247</v>
      </c>
      <c r="H377" t="s">
        <v>27248</v>
      </c>
      <c r="I377" t="s">
        <v>27979</v>
      </c>
      <c r="J377" t="s">
        <v>754</v>
      </c>
      <c r="L377" t="s">
        <v>27250</v>
      </c>
      <c r="M377" t="s">
        <v>27251</v>
      </c>
      <c r="N377" t="s">
        <v>27252</v>
      </c>
      <c r="Q377" s="1">
        <v>44538</v>
      </c>
      <c r="R377" t="s">
        <v>27253</v>
      </c>
      <c r="S377" t="s">
        <v>27254</v>
      </c>
      <c r="T377" t="s">
        <v>27255</v>
      </c>
    </row>
    <row r="378" spans="1:20" x14ac:dyDescent="0.3">
      <c r="A378" t="str">
        <f>"0611830770100"</f>
        <v>0611830770100</v>
      </c>
      <c r="B378" t="str">
        <f>"LK6591"</f>
        <v>LK6591</v>
      </c>
      <c r="C378" t="s">
        <v>27980</v>
      </c>
      <c r="D378" t="s">
        <v>27245</v>
      </c>
      <c r="E378" t="str">
        <f t="shared" si="5"/>
        <v>001390</v>
      </c>
      <c r="F378" t="s">
        <v>27246</v>
      </c>
      <c r="G378" t="s">
        <v>27247</v>
      </c>
      <c r="H378" t="s">
        <v>27248</v>
      </c>
      <c r="I378" t="s">
        <v>27981</v>
      </c>
      <c r="J378" t="s">
        <v>756</v>
      </c>
      <c r="L378" t="s">
        <v>27250</v>
      </c>
      <c r="M378" t="s">
        <v>27251</v>
      </c>
      <c r="N378" t="s">
        <v>27252</v>
      </c>
      <c r="Q378" s="1">
        <v>44538</v>
      </c>
      <c r="R378" t="s">
        <v>27253</v>
      </c>
      <c r="S378" t="s">
        <v>27254</v>
      </c>
      <c r="T378" t="s">
        <v>27255</v>
      </c>
    </row>
    <row r="379" spans="1:20" x14ac:dyDescent="0.3">
      <c r="A379" t="str">
        <f>"0611830771100"</f>
        <v>0611830771100</v>
      </c>
      <c r="B379" t="str">
        <f>"LK4948"</f>
        <v>LK4948</v>
      </c>
      <c r="C379" t="s">
        <v>27982</v>
      </c>
      <c r="D379" t="s">
        <v>27245</v>
      </c>
      <c r="E379" t="str">
        <f t="shared" si="5"/>
        <v>001390</v>
      </c>
      <c r="F379" t="s">
        <v>27246</v>
      </c>
      <c r="G379" t="s">
        <v>27247</v>
      </c>
      <c r="H379" t="s">
        <v>27248</v>
      </c>
      <c r="I379" t="s">
        <v>27983</v>
      </c>
      <c r="J379" t="s">
        <v>758</v>
      </c>
      <c r="L379" t="s">
        <v>27250</v>
      </c>
      <c r="M379" t="s">
        <v>27251</v>
      </c>
      <c r="N379" t="s">
        <v>27252</v>
      </c>
      <c r="Q379" s="1">
        <v>44538</v>
      </c>
      <c r="R379" t="s">
        <v>27253</v>
      </c>
      <c r="S379" t="s">
        <v>27254</v>
      </c>
      <c r="T379" t="s">
        <v>27255</v>
      </c>
    </row>
    <row r="380" spans="1:20" x14ac:dyDescent="0.3">
      <c r="A380" t="str">
        <f>"0611830772100"</f>
        <v>0611830772100</v>
      </c>
      <c r="B380" t="str">
        <f>"LK5692"</f>
        <v>LK5692</v>
      </c>
      <c r="C380" t="s">
        <v>27984</v>
      </c>
      <c r="D380" t="s">
        <v>27245</v>
      </c>
      <c r="E380" t="str">
        <f t="shared" si="5"/>
        <v>001390</v>
      </c>
      <c r="F380" t="s">
        <v>27246</v>
      </c>
      <c r="G380" t="s">
        <v>27247</v>
      </c>
      <c r="H380" t="s">
        <v>27248</v>
      </c>
      <c r="I380" t="s">
        <v>27985</v>
      </c>
      <c r="J380" t="s">
        <v>760</v>
      </c>
      <c r="L380" t="s">
        <v>27250</v>
      </c>
      <c r="M380" t="s">
        <v>27251</v>
      </c>
      <c r="N380" t="s">
        <v>27252</v>
      </c>
      <c r="Q380" s="1">
        <v>44538</v>
      </c>
      <c r="R380" t="s">
        <v>27253</v>
      </c>
      <c r="S380" t="s">
        <v>27254</v>
      </c>
      <c r="T380" t="s">
        <v>27255</v>
      </c>
    </row>
    <row r="381" spans="1:20" x14ac:dyDescent="0.3">
      <c r="A381" t="str">
        <f>"0611830773100"</f>
        <v>0611830773100</v>
      </c>
      <c r="B381" t="str">
        <f>"LK5693"</f>
        <v>LK5693</v>
      </c>
      <c r="C381" t="s">
        <v>27986</v>
      </c>
      <c r="D381" t="s">
        <v>27245</v>
      </c>
      <c r="E381" t="str">
        <f t="shared" si="5"/>
        <v>001390</v>
      </c>
      <c r="F381" t="s">
        <v>27246</v>
      </c>
      <c r="G381" t="s">
        <v>27247</v>
      </c>
      <c r="H381" t="s">
        <v>27248</v>
      </c>
      <c r="I381" t="s">
        <v>27987</v>
      </c>
      <c r="J381" t="s">
        <v>762</v>
      </c>
      <c r="L381" t="s">
        <v>27250</v>
      </c>
      <c r="M381" t="s">
        <v>27251</v>
      </c>
      <c r="N381" t="s">
        <v>27252</v>
      </c>
      <c r="Q381" s="1">
        <v>44538</v>
      </c>
      <c r="R381" t="s">
        <v>27253</v>
      </c>
      <c r="S381" t="s">
        <v>27254</v>
      </c>
      <c r="T381" t="s">
        <v>27255</v>
      </c>
    </row>
    <row r="382" spans="1:20" x14ac:dyDescent="0.3">
      <c r="A382" t="str">
        <f>"0611838495100"</f>
        <v>0611838495100</v>
      </c>
      <c r="B382" t="str">
        <f>"LC5106"</f>
        <v>LC5106</v>
      </c>
      <c r="C382" t="s">
        <v>27988</v>
      </c>
      <c r="D382" t="s">
        <v>27245</v>
      </c>
      <c r="E382" t="str">
        <f t="shared" si="5"/>
        <v>001390</v>
      </c>
      <c r="F382" t="s">
        <v>27246</v>
      </c>
      <c r="G382" t="s">
        <v>27247</v>
      </c>
      <c r="H382" t="s">
        <v>27248</v>
      </c>
      <c r="I382" t="s">
        <v>27989</v>
      </c>
      <c r="J382" t="s">
        <v>764</v>
      </c>
      <c r="L382" t="s">
        <v>27250</v>
      </c>
      <c r="M382" t="s">
        <v>27251</v>
      </c>
      <c r="N382" t="s">
        <v>27252</v>
      </c>
      <c r="Q382" s="1">
        <v>44538</v>
      </c>
      <c r="R382" t="s">
        <v>27253</v>
      </c>
      <c r="S382" t="s">
        <v>27254</v>
      </c>
      <c r="T382" t="s">
        <v>27255</v>
      </c>
    </row>
    <row r="383" spans="1:20" x14ac:dyDescent="0.3">
      <c r="A383" t="str">
        <f>"0611830775100"</f>
        <v>0611830775100</v>
      </c>
      <c r="B383" t="str">
        <f>"LK6018"</f>
        <v>LK6018</v>
      </c>
      <c r="C383" t="s">
        <v>27990</v>
      </c>
      <c r="D383" t="s">
        <v>27245</v>
      </c>
      <c r="E383" t="str">
        <f t="shared" si="5"/>
        <v>001390</v>
      </c>
      <c r="F383" t="s">
        <v>27246</v>
      </c>
      <c r="G383" t="s">
        <v>27247</v>
      </c>
      <c r="H383" t="s">
        <v>27248</v>
      </c>
      <c r="I383" t="s">
        <v>27991</v>
      </c>
      <c r="J383" t="s">
        <v>766</v>
      </c>
      <c r="L383" t="s">
        <v>27250</v>
      </c>
      <c r="M383" t="s">
        <v>27251</v>
      </c>
      <c r="N383" t="s">
        <v>27252</v>
      </c>
      <c r="Q383" s="1">
        <v>44538</v>
      </c>
      <c r="R383" t="s">
        <v>27253</v>
      </c>
      <c r="S383" t="s">
        <v>27254</v>
      </c>
      <c r="T383" t="s">
        <v>27255</v>
      </c>
    </row>
    <row r="384" spans="1:20" x14ac:dyDescent="0.3">
      <c r="A384" t="str">
        <f>"0611830776100"</f>
        <v>0611830776100</v>
      </c>
      <c r="B384" t="str">
        <f>"LQ9029"</f>
        <v>LQ9029</v>
      </c>
      <c r="C384" t="s">
        <v>27992</v>
      </c>
      <c r="D384" t="s">
        <v>27245</v>
      </c>
      <c r="E384" t="str">
        <f t="shared" si="5"/>
        <v>001390</v>
      </c>
      <c r="F384" t="s">
        <v>27246</v>
      </c>
      <c r="G384" t="s">
        <v>27247</v>
      </c>
      <c r="H384" t="s">
        <v>27248</v>
      </c>
      <c r="I384" t="s">
        <v>27993</v>
      </c>
      <c r="J384" t="s">
        <v>768</v>
      </c>
      <c r="L384" t="s">
        <v>27250</v>
      </c>
      <c r="M384" t="s">
        <v>27251</v>
      </c>
      <c r="N384" t="s">
        <v>27252</v>
      </c>
      <c r="Q384" s="1">
        <v>44538</v>
      </c>
      <c r="R384" t="s">
        <v>27253</v>
      </c>
      <c r="S384" t="s">
        <v>27254</v>
      </c>
      <c r="T384" t="s">
        <v>27255</v>
      </c>
    </row>
    <row r="385" spans="1:20" x14ac:dyDescent="0.3">
      <c r="A385" t="str">
        <f>"0611830777100"</f>
        <v>0611830777100</v>
      </c>
      <c r="B385" t="str">
        <f>"MB0300"</f>
        <v>MB0300</v>
      </c>
      <c r="C385" t="s">
        <v>27994</v>
      </c>
      <c r="D385" t="s">
        <v>27274</v>
      </c>
      <c r="E385" t="str">
        <f t="shared" si="5"/>
        <v>001390</v>
      </c>
      <c r="F385" t="s">
        <v>27246</v>
      </c>
      <c r="G385" t="s">
        <v>27247</v>
      </c>
      <c r="H385" t="s">
        <v>27248</v>
      </c>
      <c r="I385" t="s">
        <v>27995</v>
      </c>
      <c r="J385" t="s">
        <v>770</v>
      </c>
      <c r="L385" t="s">
        <v>27250</v>
      </c>
      <c r="M385" t="s">
        <v>27251</v>
      </c>
      <c r="N385" t="s">
        <v>27252</v>
      </c>
      <c r="Q385" s="1">
        <v>44538</v>
      </c>
      <c r="R385" t="s">
        <v>27253</v>
      </c>
      <c r="S385" t="s">
        <v>27254</v>
      </c>
      <c r="T385" t="s">
        <v>27276</v>
      </c>
    </row>
    <row r="386" spans="1:20" x14ac:dyDescent="0.3">
      <c r="A386" t="str">
        <f>"0611830778100"</f>
        <v>0611830778100</v>
      </c>
      <c r="B386" t="str">
        <f>"LS0004"</f>
        <v>LS0004</v>
      </c>
      <c r="C386" t="s">
        <v>27996</v>
      </c>
      <c r="D386" t="s">
        <v>27245</v>
      </c>
      <c r="E386" t="str">
        <f t="shared" ref="E386:E449" si="6">"001390"</f>
        <v>001390</v>
      </c>
      <c r="F386" t="s">
        <v>27246</v>
      </c>
      <c r="G386" t="s">
        <v>27247</v>
      </c>
      <c r="H386" t="s">
        <v>27248</v>
      </c>
      <c r="I386" t="s">
        <v>27997</v>
      </c>
      <c r="J386" t="s">
        <v>772</v>
      </c>
      <c r="L386" t="s">
        <v>27250</v>
      </c>
      <c r="M386" t="s">
        <v>27251</v>
      </c>
      <c r="N386" t="s">
        <v>27252</v>
      </c>
      <c r="Q386" s="1">
        <v>44538</v>
      </c>
      <c r="R386" t="s">
        <v>27253</v>
      </c>
      <c r="S386" t="s">
        <v>27254</v>
      </c>
      <c r="T386" t="s">
        <v>27255</v>
      </c>
    </row>
    <row r="387" spans="1:20" x14ac:dyDescent="0.3">
      <c r="A387" t="str">
        <f>"0611830779025"</f>
        <v>0611830779025</v>
      </c>
      <c r="B387" t="str">
        <f>"MC4063"</f>
        <v>MC4063</v>
      </c>
      <c r="C387" t="s">
        <v>27998</v>
      </c>
      <c r="D387" t="s">
        <v>27267</v>
      </c>
      <c r="E387" t="str">
        <f t="shared" si="6"/>
        <v>001390</v>
      </c>
      <c r="F387" t="s">
        <v>27246</v>
      </c>
      <c r="G387" t="s">
        <v>27247</v>
      </c>
      <c r="H387" t="s">
        <v>27248</v>
      </c>
      <c r="I387" t="s">
        <v>27999</v>
      </c>
      <c r="J387" t="s">
        <v>774</v>
      </c>
      <c r="L387" t="s">
        <v>27250</v>
      </c>
      <c r="M387" t="s">
        <v>27251</v>
      </c>
      <c r="N387" t="s">
        <v>27252</v>
      </c>
      <c r="Q387" s="1">
        <v>44538</v>
      </c>
      <c r="R387" t="s">
        <v>27253</v>
      </c>
      <c r="S387" t="s">
        <v>27254</v>
      </c>
      <c r="T387" t="s">
        <v>27269</v>
      </c>
    </row>
    <row r="388" spans="1:20" x14ac:dyDescent="0.3">
      <c r="A388" t="str">
        <f>"0611830780100"</f>
        <v>0611830780100</v>
      </c>
      <c r="B388" t="str">
        <f>"LC5480"</f>
        <v>LC5480</v>
      </c>
      <c r="C388" t="s">
        <v>28000</v>
      </c>
      <c r="D388" t="s">
        <v>27245</v>
      </c>
      <c r="E388" t="str">
        <f t="shared" si="6"/>
        <v>001390</v>
      </c>
      <c r="F388" t="s">
        <v>27246</v>
      </c>
      <c r="G388" t="s">
        <v>27247</v>
      </c>
      <c r="H388" t="s">
        <v>27248</v>
      </c>
      <c r="I388" t="s">
        <v>28001</v>
      </c>
      <c r="J388" t="s">
        <v>776</v>
      </c>
      <c r="L388" t="s">
        <v>27250</v>
      </c>
      <c r="M388" t="s">
        <v>27251</v>
      </c>
      <c r="N388" t="s">
        <v>27252</v>
      </c>
      <c r="Q388" s="1">
        <v>44538</v>
      </c>
      <c r="R388" t="s">
        <v>27253</v>
      </c>
      <c r="S388" t="s">
        <v>27254</v>
      </c>
      <c r="T388" t="s">
        <v>27255</v>
      </c>
    </row>
    <row r="389" spans="1:20" x14ac:dyDescent="0.3">
      <c r="A389" t="str">
        <f>"0611883995025"</f>
        <v>0611883995025</v>
      </c>
      <c r="B389" t="str">
        <f>"MC4468"</f>
        <v>MC4468</v>
      </c>
      <c r="C389" t="s">
        <v>28000</v>
      </c>
      <c r="D389" t="s">
        <v>27267</v>
      </c>
      <c r="E389" t="str">
        <f t="shared" si="6"/>
        <v>001390</v>
      </c>
      <c r="F389" t="s">
        <v>27246</v>
      </c>
      <c r="G389" t="s">
        <v>27247</v>
      </c>
      <c r="H389" t="s">
        <v>27248</v>
      </c>
      <c r="I389" t="s">
        <v>28002</v>
      </c>
      <c r="J389" t="s">
        <v>778</v>
      </c>
      <c r="L389" t="s">
        <v>27430</v>
      </c>
      <c r="M389" t="s">
        <v>27251</v>
      </c>
      <c r="N389" t="s">
        <v>27252</v>
      </c>
      <c r="Q389" s="1">
        <v>45250</v>
      </c>
      <c r="R389" t="s">
        <v>27253</v>
      </c>
      <c r="S389" t="s">
        <v>27254</v>
      </c>
      <c r="T389" t="s">
        <v>27269</v>
      </c>
    </row>
    <row r="390" spans="1:20" x14ac:dyDescent="0.3">
      <c r="A390" t="str">
        <f>"0611830781100"</f>
        <v>0611830781100</v>
      </c>
      <c r="B390" t="str">
        <f>"LG0300"</f>
        <v>LG0300</v>
      </c>
      <c r="C390" t="s">
        <v>28003</v>
      </c>
      <c r="D390" t="s">
        <v>27245</v>
      </c>
      <c r="E390" t="str">
        <f t="shared" si="6"/>
        <v>001390</v>
      </c>
      <c r="F390" t="s">
        <v>27246</v>
      </c>
      <c r="G390" t="s">
        <v>27247</v>
      </c>
      <c r="H390" t="s">
        <v>27248</v>
      </c>
      <c r="I390" t="s">
        <v>28004</v>
      </c>
      <c r="J390" t="s">
        <v>780</v>
      </c>
      <c r="L390" t="s">
        <v>27250</v>
      </c>
      <c r="M390" t="s">
        <v>27251</v>
      </c>
      <c r="N390" t="s">
        <v>27252</v>
      </c>
      <c r="Q390" s="1">
        <v>44538</v>
      </c>
      <c r="R390" t="s">
        <v>27253</v>
      </c>
      <c r="S390" t="s">
        <v>27254</v>
      </c>
      <c r="T390" t="s">
        <v>27255</v>
      </c>
    </row>
    <row r="391" spans="1:20" x14ac:dyDescent="0.3">
      <c r="A391" t="str">
        <f>"0611860508050"</f>
        <v>0611860508050</v>
      </c>
      <c r="B391" t="str">
        <f>"CR2785"</f>
        <v>CR2785</v>
      </c>
      <c r="C391" t="s">
        <v>28005</v>
      </c>
      <c r="D391" t="s">
        <v>27263</v>
      </c>
      <c r="E391" t="str">
        <f t="shared" si="6"/>
        <v>001390</v>
      </c>
      <c r="F391" t="s">
        <v>27246</v>
      </c>
      <c r="G391" t="s">
        <v>27247</v>
      </c>
      <c r="H391" t="s">
        <v>27248</v>
      </c>
      <c r="I391" t="s">
        <v>28006</v>
      </c>
      <c r="J391" t="s">
        <v>23426</v>
      </c>
      <c r="L391" t="s">
        <v>27250</v>
      </c>
      <c r="M391" t="s">
        <v>27251</v>
      </c>
      <c r="N391" t="s">
        <v>27252</v>
      </c>
      <c r="Q391" s="1">
        <v>44846</v>
      </c>
      <c r="R391" t="s">
        <v>27253</v>
      </c>
      <c r="S391" t="s">
        <v>27254</v>
      </c>
      <c r="T391" t="s">
        <v>27265</v>
      </c>
    </row>
    <row r="392" spans="1:20" x14ac:dyDescent="0.3">
      <c r="A392" t="str">
        <f>"0611860509050"</f>
        <v>0611860509050</v>
      </c>
      <c r="B392" t="str">
        <f>"CR2000"</f>
        <v>CR2000</v>
      </c>
      <c r="C392" t="s">
        <v>28007</v>
      </c>
      <c r="D392" t="s">
        <v>27263</v>
      </c>
      <c r="E392" t="str">
        <f t="shared" si="6"/>
        <v>001390</v>
      </c>
      <c r="F392" t="s">
        <v>27246</v>
      </c>
      <c r="G392" t="s">
        <v>27247</v>
      </c>
      <c r="H392" t="s">
        <v>27248</v>
      </c>
      <c r="I392" t="s">
        <v>28008</v>
      </c>
      <c r="J392" t="s">
        <v>23526</v>
      </c>
      <c r="L392" t="s">
        <v>27250</v>
      </c>
      <c r="M392" t="s">
        <v>27251</v>
      </c>
      <c r="N392" t="s">
        <v>27252</v>
      </c>
      <c r="Q392" s="1">
        <v>44846</v>
      </c>
      <c r="R392" t="s">
        <v>27253</v>
      </c>
      <c r="S392" t="s">
        <v>27254</v>
      </c>
      <c r="T392" t="s">
        <v>27265</v>
      </c>
    </row>
    <row r="393" spans="1:20" x14ac:dyDescent="0.3">
      <c r="A393" t="str">
        <f>"0611860510050"</f>
        <v>0611860510050</v>
      </c>
      <c r="B393" t="str">
        <f>"CR2786"</f>
        <v>CR2786</v>
      </c>
      <c r="C393" t="s">
        <v>28009</v>
      </c>
      <c r="D393" t="s">
        <v>27263</v>
      </c>
      <c r="E393" t="str">
        <f t="shared" si="6"/>
        <v>001390</v>
      </c>
      <c r="F393" t="s">
        <v>27246</v>
      </c>
      <c r="G393" t="s">
        <v>27247</v>
      </c>
      <c r="H393" t="s">
        <v>27248</v>
      </c>
      <c r="I393" t="s">
        <v>28010</v>
      </c>
      <c r="J393" t="s">
        <v>23550</v>
      </c>
      <c r="L393" t="s">
        <v>27250</v>
      </c>
      <c r="M393" t="s">
        <v>27251</v>
      </c>
      <c r="N393" t="s">
        <v>27252</v>
      </c>
      <c r="Q393" s="1">
        <v>44846</v>
      </c>
      <c r="R393" t="s">
        <v>27253</v>
      </c>
      <c r="S393" t="s">
        <v>27254</v>
      </c>
      <c r="T393" t="s">
        <v>27265</v>
      </c>
    </row>
    <row r="394" spans="1:20" x14ac:dyDescent="0.3">
      <c r="A394" t="str">
        <f>"0611883996025"</f>
        <v>0611883996025</v>
      </c>
      <c r="B394" t="str">
        <f>"MC4452"</f>
        <v>MC4452</v>
      </c>
      <c r="C394" t="s">
        <v>28011</v>
      </c>
      <c r="D394" t="s">
        <v>27267</v>
      </c>
      <c r="E394" t="str">
        <f t="shared" si="6"/>
        <v>001390</v>
      </c>
      <c r="F394" t="s">
        <v>27246</v>
      </c>
      <c r="G394" t="s">
        <v>27247</v>
      </c>
      <c r="H394" t="s">
        <v>27248</v>
      </c>
      <c r="I394" t="s">
        <v>28012</v>
      </c>
      <c r="J394" t="s">
        <v>782</v>
      </c>
      <c r="L394" t="s">
        <v>27430</v>
      </c>
      <c r="M394" t="s">
        <v>27251</v>
      </c>
      <c r="N394" t="s">
        <v>27252</v>
      </c>
      <c r="Q394" s="1">
        <v>45250</v>
      </c>
      <c r="R394" t="s">
        <v>27253</v>
      </c>
      <c r="S394" t="s">
        <v>27254</v>
      </c>
      <c r="T394" t="s">
        <v>27269</v>
      </c>
    </row>
    <row r="395" spans="1:20" x14ac:dyDescent="0.3">
      <c r="A395" t="str">
        <f>"0611830950100"</f>
        <v>0611830950100</v>
      </c>
      <c r="B395" t="str">
        <f>"LK6198"</f>
        <v>LK6198</v>
      </c>
      <c r="C395" t="s">
        <v>28013</v>
      </c>
      <c r="D395" t="s">
        <v>27245</v>
      </c>
      <c r="E395" t="str">
        <f t="shared" si="6"/>
        <v>001390</v>
      </c>
      <c r="F395" t="s">
        <v>27246</v>
      </c>
      <c r="G395" t="s">
        <v>27247</v>
      </c>
      <c r="H395" t="s">
        <v>27248</v>
      </c>
      <c r="I395" t="s">
        <v>28014</v>
      </c>
      <c r="J395" t="s">
        <v>784</v>
      </c>
      <c r="L395" t="s">
        <v>27250</v>
      </c>
      <c r="M395" t="s">
        <v>27251</v>
      </c>
      <c r="N395" t="s">
        <v>27252</v>
      </c>
      <c r="Q395" s="1">
        <v>44538</v>
      </c>
      <c r="R395" t="s">
        <v>27253</v>
      </c>
      <c r="S395" t="s">
        <v>27254</v>
      </c>
      <c r="T395" t="s">
        <v>27255</v>
      </c>
    </row>
    <row r="396" spans="1:20" x14ac:dyDescent="0.3">
      <c r="A396" t="str">
        <f>"0611830951100"</f>
        <v>0611830951100</v>
      </c>
      <c r="B396" t="str">
        <f>"LH0681"</f>
        <v>LH0681</v>
      </c>
      <c r="C396" t="s">
        <v>28015</v>
      </c>
      <c r="D396" t="s">
        <v>27245</v>
      </c>
      <c r="E396" t="str">
        <f t="shared" si="6"/>
        <v>001390</v>
      </c>
      <c r="F396" t="s">
        <v>27246</v>
      </c>
      <c r="G396" t="s">
        <v>27247</v>
      </c>
      <c r="H396" t="s">
        <v>27248</v>
      </c>
      <c r="I396" t="s">
        <v>28016</v>
      </c>
      <c r="J396" t="s">
        <v>786</v>
      </c>
      <c r="L396" t="s">
        <v>27250</v>
      </c>
      <c r="M396" t="s">
        <v>27251</v>
      </c>
      <c r="N396" t="s">
        <v>27252</v>
      </c>
      <c r="Q396" s="1">
        <v>44538</v>
      </c>
      <c r="R396" t="s">
        <v>27253</v>
      </c>
      <c r="S396" t="s">
        <v>27254</v>
      </c>
      <c r="T396" t="s">
        <v>27255</v>
      </c>
    </row>
    <row r="397" spans="1:20" x14ac:dyDescent="0.3">
      <c r="A397" t="str">
        <f>"0611830952100"</f>
        <v>0611830952100</v>
      </c>
      <c r="B397" t="str">
        <f>"LK5553"</f>
        <v>LK5553</v>
      </c>
      <c r="C397" t="s">
        <v>28017</v>
      </c>
      <c r="D397" t="s">
        <v>27245</v>
      </c>
      <c r="E397" t="str">
        <f t="shared" si="6"/>
        <v>001390</v>
      </c>
      <c r="F397" t="s">
        <v>27246</v>
      </c>
      <c r="G397" t="s">
        <v>27247</v>
      </c>
      <c r="H397" t="s">
        <v>27248</v>
      </c>
      <c r="I397" t="s">
        <v>28018</v>
      </c>
      <c r="J397" t="s">
        <v>788</v>
      </c>
      <c r="L397" t="s">
        <v>27250</v>
      </c>
      <c r="M397" t="s">
        <v>27251</v>
      </c>
      <c r="N397" t="s">
        <v>27252</v>
      </c>
      <c r="Q397" s="1">
        <v>44538</v>
      </c>
      <c r="R397" t="s">
        <v>27253</v>
      </c>
      <c r="S397" t="s">
        <v>27254</v>
      </c>
      <c r="T397" t="s">
        <v>27255</v>
      </c>
    </row>
    <row r="398" spans="1:20" x14ac:dyDescent="0.3">
      <c r="A398" t="str">
        <f>"0611830953025"</f>
        <v>0611830953025</v>
      </c>
      <c r="B398" t="str">
        <f>"MC0061"</f>
        <v>MC0061</v>
      </c>
      <c r="C398" t="s">
        <v>28019</v>
      </c>
      <c r="D398" t="s">
        <v>27267</v>
      </c>
      <c r="E398" t="str">
        <f t="shared" si="6"/>
        <v>001390</v>
      </c>
      <c r="F398" t="s">
        <v>27246</v>
      </c>
      <c r="G398" t="s">
        <v>27247</v>
      </c>
      <c r="H398" t="s">
        <v>27248</v>
      </c>
      <c r="I398" t="s">
        <v>28020</v>
      </c>
      <c r="J398" t="s">
        <v>790</v>
      </c>
      <c r="L398" t="s">
        <v>27250</v>
      </c>
      <c r="M398" t="s">
        <v>27251</v>
      </c>
      <c r="N398" t="s">
        <v>27252</v>
      </c>
      <c r="Q398" s="1">
        <v>44538</v>
      </c>
      <c r="R398" t="s">
        <v>27253</v>
      </c>
      <c r="S398" t="s">
        <v>27254</v>
      </c>
      <c r="T398" t="s">
        <v>27269</v>
      </c>
    </row>
    <row r="399" spans="1:20" x14ac:dyDescent="0.3">
      <c r="A399" t="str">
        <f>"0611830954025"</f>
        <v>0611830954025</v>
      </c>
      <c r="B399" t="str">
        <f>"MC0053"</f>
        <v>MC0053</v>
      </c>
      <c r="C399" t="s">
        <v>28021</v>
      </c>
      <c r="D399" t="s">
        <v>27267</v>
      </c>
      <c r="E399" t="str">
        <f t="shared" si="6"/>
        <v>001390</v>
      </c>
      <c r="F399" t="s">
        <v>27246</v>
      </c>
      <c r="G399" t="s">
        <v>27247</v>
      </c>
      <c r="H399" t="s">
        <v>27248</v>
      </c>
      <c r="I399" t="s">
        <v>28022</v>
      </c>
      <c r="J399" t="s">
        <v>792</v>
      </c>
      <c r="L399" t="s">
        <v>27250</v>
      </c>
      <c r="M399" t="s">
        <v>27251</v>
      </c>
      <c r="N399" t="s">
        <v>27252</v>
      </c>
      <c r="Q399" s="1">
        <v>44538</v>
      </c>
      <c r="R399" t="s">
        <v>27253</v>
      </c>
      <c r="S399" t="s">
        <v>27254</v>
      </c>
      <c r="T399" t="s">
        <v>27269</v>
      </c>
    </row>
    <row r="400" spans="1:20" x14ac:dyDescent="0.3">
      <c r="A400" t="str">
        <f>"0611830955100"</f>
        <v>0611830955100</v>
      </c>
      <c r="B400" t="str">
        <f>"LH0939"</f>
        <v>LH0939</v>
      </c>
      <c r="C400" t="s">
        <v>28023</v>
      </c>
      <c r="D400" t="s">
        <v>27245</v>
      </c>
      <c r="E400" t="str">
        <f t="shared" si="6"/>
        <v>001390</v>
      </c>
      <c r="F400" t="s">
        <v>27246</v>
      </c>
      <c r="G400" t="s">
        <v>27247</v>
      </c>
      <c r="H400" t="s">
        <v>27248</v>
      </c>
      <c r="I400" t="s">
        <v>28024</v>
      </c>
      <c r="J400" t="s">
        <v>794</v>
      </c>
      <c r="L400" t="s">
        <v>27250</v>
      </c>
      <c r="M400" t="s">
        <v>27251</v>
      </c>
      <c r="N400" t="s">
        <v>27252</v>
      </c>
      <c r="Q400" s="1">
        <v>44538</v>
      </c>
      <c r="R400" t="s">
        <v>27253</v>
      </c>
      <c r="S400" t="s">
        <v>27254</v>
      </c>
      <c r="T400" t="s">
        <v>27255</v>
      </c>
    </row>
    <row r="401" spans="1:20" x14ac:dyDescent="0.3">
      <c r="A401" t="str">
        <f>"0611830956025"</f>
        <v>0611830956025</v>
      </c>
      <c r="B401" t="str">
        <f>"MC0044"</f>
        <v>MC0044</v>
      </c>
      <c r="C401" t="s">
        <v>28023</v>
      </c>
      <c r="D401" t="s">
        <v>27267</v>
      </c>
      <c r="E401" t="str">
        <f t="shared" si="6"/>
        <v>001390</v>
      </c>
      <c r="F401" t="s">
        <v>27246</v>
      </c>
      <c r="G401" t="s">
        <v>27247</v>
      </c>
      <c r="H401" t="s">
        <v>27248</v>
      </c>
      <c r="I401" t="s">
        <v>28025</v>
      </c>
      <c r="J401" t="s">
        <v>796</v>
      </c>
      <c r="L401" t="s">
        <v>27250</v>
      </c>
      <c r="M401" t="s">
        <v>27251</v>
      </c>
      <c r="N401" t="s">
        <v>27252</v>
      </c>
      <c r="Q401" s="1">
        <v>44538</v>
      </c>
      <c r="R401" t="s">
        <v>27253</v>
      </c>
      <c r="S401" t="s">
        <v>27254</v>
      </c>
      <c r="T401" t="s">
        <v>27269</v>
      </c>
    </row>
    <row r="402" spans="1:20" x14ac:dyDescent="0.3">
      <c r="A402" t="str">
        <f>"0611830957025"</f>
        <v>0611830957025</v>
      </c>
      <c r="B402" t="str">
        <f>"MC0062"</f>
        <v>MC0062</v>
      </c>
      <c r="C402" t="s">
        <v>28026</v>
      </c>
      <c r="D402" t="s">
        <v>27267</v>
      </c>
      <c r="E402" t="str">
        <f t="shared" si="6"/>
        <v>001390</v>
      </c>
      <c r="F402" t="s">
        <v>27246</v>
      </c>
      <c r="G402" t="s">
        <v>27247</v>
      </c>
      <c r="H402" t="s">
        <v>27248</v>
      </c>
      <c r="I402" t="s">
        <v>28027</v>
      </c>
      <c r="J402" t="s">
        <v>798</v>
      </c>
      <c r="L402" t="s">
        <v>27250</v>
      </c>
      <c r="M402" t="s">
        <v>27251</v>
      </c>
      <c r="N402" t="s">
        <v>27252</v>
      </c>
      <c r="Q402" s="1">
        <v>44538</v>
      </c>
      <c r="R402" t="s">
        <v>27253</v>
      </c>
      <c r="S402" t="s">
        <v>27254</v>
      </c>
      <c r="T402" t="s">
        <v>27269</v>
      </c>
    </row>
    <row r="403" spans="1:20" x14ac:dyDescent="0.3">
      <c r="A403" t="str">
        <f>"0611830958025"</f>
        <v>0611830958025</v>
      </c>
      <c r="B403" t="str">
        <f>"MC2676"</f>
        <v>MC2676</v>
      </c>
      <c r="C403" t="s">
        <v>28028</v>
      </c>
      <c r="D403" t="s">
        <v>27267</v>
      </c>
      <c r="E403" t="str">
        <f t="shared" si="6"/>
        <v>001390</v>
      </c>
      <c r="F403" t="s">
        <v>27246</v>
      </c>
      <c r="G403" t="s">
        <v>27247</v>
      </c>
      <c r="H403" t="s">
        <v>27248</v>
      </c>
      <c r="I403" t="s">
        <v>28029</v>
      </c>
      <c r="J403" t="s">
        <v>800</v>
      </c>
      <c r="L403" t="s">
        <v>27250</v>
      </c>
      <c r="M403" t="s">
        <v>27251</v>
      </c>
      <c r="N403" t="s">
        <v>27252</v>
      </c>
      <c r="Q403" s="1">
        <v>44538</v>
      </c>
      <c r="R403" t="s">
        <v>27253</v>
      </c>
      <c r="S403" t="s">
        <v>27254</v>
      </c>
      <c r="T403" t="s">
        <v>27269</v>
      </c>
    </row>
    <row r="404" spans="1:20" x14ac:dyDescent="0.3">
      <c r="A404" t="str">
        <f>"0611830959025"</f>
        <v>0611830959025</v>
      </c>
      <c r="B404" t="str">
        <f>"MC2677"</f>
        <v>MC2677</v>
      </c>
      <c r="C404" t="s">
        <v>28030</v>
      </c>
      <c r="D404" t="s">
        <v>27267</v>
      </c>
      <c r="E404" t="str">
        <f t="shared" si="6"/>
        <v>001390</v>
      </c>
      <c r="F404" t="s">
        <v>27246</v>
      </c>
      <c r="G404" t="s">
        <v>27247</v>
      </c>
      <c r="H404" t="s">
        <v>27248</v>
      </c>
      <c r="I404" t="s">
        <v>28031</v>
      </c>
      <c r="J404" t="s">
        <v>802</v>
      </c>
      <c r="L404" t="s">
        <v>27250</v>
      </c>
      <c r="M404" t="s">
        <v>27251</v>
      </c>
      <c r="N404" t="s">
        <v>27252</v>
      </c>
      <c r="Q404" s="1">
        <v>44538</v>
      </c>
      <c r="R404" t="s">
        <v>27253</v>
      </c>
      <c r="S404" t="s">
        <v>27254</v>
      </c>
      <c r="T404" t="s">
        <v>27269</v>
      </c>
    </row>
    <row r="405" spans="1:20" x14ac:dyDescent="0.3">
      <c r="A405" t="str">
        <f>"0611830960025"</f>
        <v>0611830960025</v>
      </c>
      <c r="B405" t="str">
        <f>"MC2678"</f>
        <v>MC2678</v>
      </c>
      <c r="C405" t="s">
        <v>28032</v>
      </c>
      <c r="D405" t="s">
        <v>27267</v>
      </c>
      <c r="E405" t="str">
        <f t="shared" si="6"/>
        <v>001390</v>
      </c>
      <c r="F405" t="s">
        <v>27246</v>
      </c>
      <c r="G405" t="s">
        <v>27247</v>
      </c>
      <c r="H405" t="s">
        <v>27248</v>
      </c>
      <c r="I405" t="s">
        <v>28033</v>
      </c>
      <c r="J405" t="s">
        <v>804</v>
      </c>
      <c r="L405" t="s">
        <v>27250</v>
      </c>
      <c r="M405" t="s">
        <v>27251</v>
      </c>
      <c r="N405" t="s">
        <v>27252</v>
      </c>
      <c r="Q405" s="1">
        <v>44538</v>
      </c>
      <c r="R405" t="s">
        <v>27253</v>
      </c>
      <c r="S405" t="s">
        <v>27254</v>
      </c>
      <c r="T405" t="s">
        <v>27269</v>
      </c>
    </row>
    <row r="406" spans="1:20" x14ac:dyDescent="0.3">
      <c r="A406" t="str">
        <f>"0611830961025"</f>
        <v>0611830961025</v>
      </c>
      <c r="B406" t="str">
        <f>"MC2679"</f>
        <v>MC2679</v>
      </c>
      <c r="C406" t="s">
        <v>28034</v>
      </c>
      <c r="D406" t="s">
        <v>27267</v>
      </c>
      <c r="E406" t="str">
        <f t="shared" si="6"/>
        <v>001390</v>
      </c>
      <c r="F406" t="s">
        <v>27246</v>
      </c>
      <c r="G406" t="s">
        <v>27247</v>
      </c>
      <c r="H406" t="s">
        <v>27248</v>
      </c>
      <c r="I406" t="s">
        <v>28035</v>
      </c>
      <c r="J406" t="s">
        <v>806</v>
      </c>
      <c r="L406" t="s">
        <v>27250</v>
      </c>
      <c r="M406" t="s">
        <v>27251</v>
      </c>
      <c r="N406" t="s">
        <v>27252</v>
      </c>
      <c r="Q406" s="1">
        <v>44538</v>
      </c>
      <c r="R406" t="s">
        <v>27253</v>
      </c>
      <c r="S406" t="s">
        <v>27254</v>
      </c>
      <c r="T406" t="s">
        <v>27269</v>
      </c>
    </row>
    <row r="407" spans="1:20" x14ac:dyDescent="0.3">
      <c r="A407" t="str">
        <f>"0611830963025"</f>
        <v>0611830963025</v>
      </c>
      <c r="B407" t="str">
        <f>"MC2681"</f>
        <v>MC2681</v>
      </c>
      <c r="C407" t="s">
        <v>28036</v>
      </c>
      <c r="D407" t="s">
        <v>27267</v>
      </c>
      <c r="E407" t="str">
        <f t="shared" si="6"/>
        <v>001390</v>
      </c>
      <c r="F407" t="s">
        <v>27246</v>
      </c>
      <c r="G407" t="s">
        <v>27247</v>
      </c>
      <c r="H407" t="s">
        <v>27248</v>
      </c>
      <c r="I407" t="s">
        <v>28037</v>
      </c>
      <c r="J407" t="s">
        <v>808</v>
      </c>
      <c r="L407" t="s">
        <v>27250</v>
      </c>
      <c r="M407" t="s">
        <v>27251</v>
      </c>
      <c r="N407" t="s">
        <v>27252</v>
      </c>
      <c r="Q407" s="1">
        <v>44538</v>
      </c>
      <c r="R407" t="s">
        <v>27253</v>
      </c>
      <c r="S407" t="s">
        <v>27254</v>
      </c>
      <c r="T407" t="s">
        <v>27269</v>
      </c>
    </row>
    <row r="408" spans="1:20" x14ac:dyDescent="0.3">
      <c r="A408" t="str">
        <f>"0611830965025"</f>
        <v>0611830965025</v>
      </c>
      <c r="B408" t="str">
        <f>"MC4367"</f>
        <v>MC4367</v>
      </c>
      <c r="C408" t="s">
        <v>28038</v>
      </c>
      <c r="D408" t="s">
        <v>27267</v>
      </c>
      <c r="E408" t="str">
        <f t="shared" si="6"/>
        <v>001390</v>
      </c>
      <c r="F408" t="s">
        <v>27246</v>
      </c>
      <c r="G408" t="s">
        <v>27247</v>
      </c>
      <c r="H408" t="s">
        <v>27248</v>
      </c>
      <c r="I408" t="s">
        <v>28039</v>
      </c>
      <c r="J408" t="s">
        <v>810</v>
      </c>
      <c r="L408" t="s">
        <v>27250</v>
      </c>
      <c r="M408" t="s">
        <v>27251</v>
      </c>
      <c r="N408" t="s">
        <v>27252</v>
      </c>
      <c r="Q408" s="1">
        <v>44538</v>
      </c>
      <c r="R408" t="s">
        <v>27253</v>
      </c>
      <c r="S408" t="s">
        <v>27254</v>
      </c>
      <c r="T408" t="s">
        <v>27269</v>
      </c>
    </row>
    <row r="409" spans="1:20" x14ac:dyDescent="0.3">
      <c r="A409" t="str">
        <f>"0611830966025"</f>
        <v>0611830966025</v>
      </c>
      <c r="B409" t="str">
        <f>"MC4368"</f>
        <v>MC4368</v>
      </c>
      <c r="C409" t="s">
        <v>28040</v>
      </c>
      <c r="D409" t="s">
        <v>27267</v>
      </c>
      <c r="E409" t="str">
        <f t="shared" si="6"/>
        <v>001390</v>
      </c>
      <c r="F409" t="s">
        <v>27246</v>
      </c>
      <c r="G409" t="s">
        <v>27247</v>
      </c>
      <c r="H409" t="s">
        <v>27248</v>
      </c>
      <c r="I409" t="s">
        <v>28041</v>
      </c>
      <c r="J409" t="s">
        <v>812</v>
      </c>
      <c r="L409" t="s">
        <v>27250</v>
      </c>
      <c r="M409" t="s">
        <v>27251</v>
      </c>
      <c r="N409" t="s">
        <v>27252</v>
      </c>
      <c r="Q409" s="1">
        <v>44538</v>
      </c>
      <c r="R409" t="s">
        <v>27253</v>
      </c>
      <c r="S409" t="s">
        <v>27254</v>
      </c>
      <c r="T409" t="s">
        <v>27269</v>
      </c>
    </row>
    <row r="410" spans="1:20" x14ac:dyDescent="0.3">
      <c r="A410" t="str">
        <f>"0611830967025"</f>
        <v>0611830967025</v>
      </c>
      <c r="B410" t="str">
        <f>"MC4369"</f>
        <v>MC4369</v>
      </c>
      <c r="C410" t="s">
        <v>28042</v>
      </c>
      <c r="D410" t="s">
        <v>27267</v>
      </c>
      <c r="E410" t="str">
        <f t="shared" si="6"/>
        <v>001390</v>
      </c>
      <c r="F410" t="s">
        <v>27246</v>
      </c>
      <c r="G410" t="s">
        <v>27247</v>
      </c>
      <c r="H410" t="s">
        <v>27248</v>
      </c>
      <c r="I410" t="s">
        <v>28043</v>
      </c>
      <c r="J410" t="s">
        <v>814</v>
      </c>
      <c r="L410" t="s">
        <v>27250</v>
      </c>
      <c r="M410" t="s">
        <v>27251</v>
      </c>
      <c r="N410" t="s">
        <v>27252</v>
      </c>
      <c r="Q410" s="1">
        <v>44538</v>
      </c>
      <c r="R410" t="s">
        <v>27253</v>
      </c>
      <c r="S410" t="s">
        <v>27254</v>
      </c>
      <c r="T410" t="s">
        <v>27269</v>
      </c>
    </row>
    <row r="411" spans="1:20" x14ac:dyDescent="0.3">
      <c r="A411" t="str">
        <f>"0611830968025"</f>
        <v>0611830968025</v>
      </c>
      <c r="B411" t="str">
        <f>"MC4370"</f>
        <v>MC4370</v>
      </c>
      <c r="C411" t="s">
        <v>28044</v>
      </c>
      <c r="D411" t="s">
        <v>27267</v>
      </c>
      <c r="E411" t="str">
        <f t="shared" si="6"/>
        <v>001390</v>
      </c>
      <c r="F411" t="s">
        <v>27246</v>
      </c>
      <c r="G411" t="s">
        <v>27247</v>
      </c>
      <c r="H411" t="s">
        <v>27248</v>
      </c>
      <c r="I411" t="s">
        <v>28045</v>
      </c>
      <c r="J411" t="s">
        <v>816</v>
      </c>
      <c r="L411" t="s">
        <v>27250</v>
      </c>
      <c r="M411" t="s">
        <v>27251</v>
      </c>
      <c r="N411" t="s">
        <v>27252</v>
      </c>
      <c r="Q411" s="1">
        <v>44538</v>
      </c>
      <c r="R411" t="s">
        <v>27253</v>
      </c>
      <c r="S411" t="s">
        <v>27254</v>
      </c>
      <c r="T411" t="s">
        <v>27269</v>
      </c>
    </row>
    <row r="412" spans="1:20" x14ac:dyDescent="0.3">
      <c r="A412" t="str">
        <f>"0611830969025"</f>
        <v>0611830969025</v>
      </c>
      <c r="B412" t="str">
        <f>"MC4371"</f>
        <v>MC4371</v>
      </c>
      <c r="C412" t="s">
        <v>28046</v>
      </c>
      <c r="D412" t="s">
        <v>27267</v>
      </c>
      <c r="E412" t="str">
        <f t="shared" si="6"/>
        <v>001390</v>
      </c>
      <c r="F412" t="s">
        <v>27246</v>
      </c>
      <c r="G412" t="s">
        <v>27247</v>
      </c>
      <c r="H412" t="s">
        <v>27248</v>
      </c>
      <c r="I412" t="s">
        <v>28047</v>
      </c>
      <c r="J412" t="s">
        <v>818</v>
      </c>
      <c r="L412" t="s">
        <v>27250</v>
      </c>
      <c r="M412" t="s">
        <v>27251</v>
      </c>
      <c r="N412" t="s">
        <v>27252</v>
      </c>
      <c r="Q412" s="1">
        <v>44538</v>
      </c>
      <c r="R412" t="s">
        <v>27253</v>
      </c>
      <c r="S412" t="s">
        <v>27254</v>
      </c>
      <c r="T412" t="s">
        <v>27269</v>
      </c>
    </row>
    <row r="413" spans="1:20" x14ac:dyDescent="0.3">
      <c r="A413" t="str">
        <f>"0611830970025"</f>
        <v>0611830970025</v>
      </c>
      <c r="B413" t="str">
        <f>"MC4372"</f>
        <v>MC4372</v>
      </c>
      <c r="C413" t="s">
        <v>28048</v>
      </c>
      <c r="D413" t="s">
        <v>27267</v>
      </c>
      <c r="E413" t="str">
        <f t="shared" si="6"/>
        <v>001390</v>
      </c>
      <c r="F413" t="s">
        <v>27246</v>
      </c>
      <c r="G413" t="s">
        <v>27247</v>
      </c>
      <c r="H413" t="s">
        <v>27248</v>
      </c>
      <c r="I413" t="s">
        <v>28049</v>
      </c>
      <c r="J413" t="s">
        <v>820</v>
      </c>
      <c r="L413" t="s">
        <v>27250</v>
      </c>
      <c r="M413" t="s">
        <v>27251</v>
      </c>
      <c r="N413" t="s">
        <v>27252</v>
      </c>
      <c r="Q413" s="1">
        <v>44538</v>
      </c>
      <c r="R413" t="s">
        <v>27253</v>
      </c>
      <c r="S413" t="s">
        <v>27254</v>
      </c>
      <c r="T413" t="s">
        <v>27269</v>
      </c>
    </row>
    <row r="414" spans="1:20" x14ac:dyDescent="0.3">
      <c r="A414" t="str">
        <f>"0611830971025"</f>
        <v>0611830971025</v>
      </c>
      <c r="B414" t="str">
        <f>"MC4373"</f>
        <v>MC4373</v>
      </c>
      <c r="C414" t="s">
        <v>28050</v>
      </c>
      <c r="D414" t="s">
        <v>27267</v>
      </c>
      <c r="E414" t="str">
        <f t="shared" si="6"/>
        <v>001390</v>
      </c>
      <c r="F414" t="s">
        <v>27246</v>
      </c>
      <c r="G414" t="s">
        <v>27247</v>
      </c>
      <c r="H414" t="s">
        <v>27248</v>
      </c>
      <c r="I414" t="s">
        <v>28051</v>
      </c>
      <c r="J414" t="s">
        <v>822</v>
      </c>
      <c r="L414" t="s">
        <v>27250</v>
      </c>
      <c r="M414" t="s">
        <v>27251</v>
      </c>
      <c r="N414" t="s">
        <v>27252</v>
      </c>
      <c r="Q414" s="1">
        <v>44538</v>
      </c>
      <c r="R414" t="s">
        <v>27253</v>
      </c>
      <c r="S414" t="s">
        <v>27254</v>
      </c>
      <c r="T414" t="s">
        <v>27269</v>
      </c>
    </row>
    <row r="415" spans="1:20" x14ac:dyDescent="0.3">
      <c r="A415" t="str">
        <f>"0611830972025"</f>
        <v>0611830972025</v>
      </c>
      <c r="B415" t="str">
        <f>"MC4374"</f>
        <v>MC4374</v>
      </c>
      <c r="C415" t="s">
        <v>28052</v>
      </c>
      <c r="D415" t="s">
        <v>27267</v>
      </c>
      <c r="E415" t="str">
        <f t="shared" si="6"/>
        <v>001390</v>
      </c>
      <c r="F415" t="s">
        <v>27246</v>
      </c>
      <c r="G415" t="s">
        <v>27247</v>
      </c>
      <c r="H415" t="s">
        <v>27248</v>
      </c>
      <c r="I415" t="s">
        <v>28053</v>
      </c>
      <c r="J415" t="s">
        <v>824</v>
      </c>
      <c r="L415" t="s">
        <v>27250</v>
      </c>
      <c r="M415" t="s">
        <v>27251</v>
      </c>
      <c r="N415" t="s">
        <v>27252</v>
      </c>
      <c r="Q415" s="1">
        <v>44538</v>
      </c>
      <c r="R415" t="s">
        <v>27253</v>
      </c>
      <c r="S415" t="s">
        <v>27254</v>
      </c>
      <c r="T415" t="s">
        <v>27269</v>
      </c>
    </row>
    <row r="416" spans="1:20" x14ac:dyDescent="0.3">
      <c r="A416" t="str">
        <f>"0611830973025"</f>
        <v>0611830973025</v>
      </c>
      <c r="B416" t="str">
        <f>"MC4375"</f>
        <v>MC4375</v>
      </c>
      <c r="C416" t="s">
        <v>28054</v>
      </c>
      <c r="D416" t="s">
        <v>27267</v>
      </c>
      <c r="E416" t="str">
        <f t="shared" si="6"/>
        <v>001390</v>
      </c>
      <c r="F416" t="s">
        <v>27246</v>
      </c>
      <c r="G416" t="s">
        <v>27247</v>
      </c>
      <c r="H416" t="s">
        <v>27248</v>
      </c>
      <c r="I416" t="s">
        <v>28055</v>
      </c>
      <c r="J416" t="s">
        <v>826</v>
      </c>
      <c r="L416" t="s">
        <v>27250</v>
      </c>
      <c r="M416" t="s">
        <v>27251</v>
      </c>
      <c r="N416" t="s">
        <v>27252</v>
      </c>
      <c r="Q416" s="1">
        <v>44538</v>
      </c>
      <c r="R416" t="s">
        <v>27253</v>
      </c>
      <c r="S416" t="s">
        <v>27254</v>
      </c>
      <c r="T416" t="s">
        <v>27269</v>
      </c>
    </row>
    <row r="417" spans="1:20" x14ac:dyDescent="0.3">
      <c r="A417" t="str">
        <f>"0611830974025"</f>
        <v>0611830974025</v>
      </c>
      <c r="B417" t="str">
        <f>"MC4277"</f>
        <v>MC4277</v>
      </c>
      <c r="C417" t="s">
        <v>28056</v>
      </c>
      <c r="D417" t="s">
        <v>28057</v>
      </c>
      <c r="E417" t="str">
        <f t="shared" si="6"/>
        <v>001390</v>
      </c>
      <c r="F417" t="s">
        <v>27246</v>
      </c>
      <c r="G417" t="s">
        <v>27247</v>
      </c>
      <c r="H417" t="s">
        <v>27248</v>
      </c>
      <c r="I417" t="s">
        <v>28058</v>
      </c>
      <c r="J417" t="s">
        <v>828</v>
      </c>
      <c r="L417" t="s">
        <v>27250</v>
      </c>
      <c r="M417" t="s">
        <v>27251</v>
      </c>
      <c r="N417" t="s">
        <v>27252</v>
      </c>
      <c r="P417" t="s">
        <v>27925</v>
      </c>
      <c r="Q417" s="1">
        <v>44538</v>
      </c>
      <c r="R417" t="s">
        <v>27253</v>
      </c>
      <c r="S417" t="s">
        <v>27254</v>
      </c>
      <c r="T417" t="s">
        <v>27269</v>
      </c>
    </row>
    <row r="418" spans="1:20" x14ac:dyDescent="0.3">
      <c r="A418" t="str">
        <f>"0611830975025"</f>
        <v>0611830975025</v>
      </c>
      <c r="B418" t="str">
        <f>"MC4278"</f>
        <v>MC4278</v>
      </c>
      <c r="C418" t="s">
        <v>28059</v>
      </c>
      <c r="D418" t="s">
        <v>28057</v>
      </c>
      <c r="E418" t="str">
        <f t="shared" si="6"/>
        <v>001390</v>
      </c>
      <c r="F418" t="s">
        <v>27246</v>
      </c>
      <c r="G418" t="s">
        <v>27247</v>
      </c>
      <c r="H418" t="s">
        <v>27248</v>
      </c>
      <c r="I418" t="s">
        <v>28060</v>
      </c>
      <c r="J418" t="s">
        <v>830</v>
      </c>
      <c r="L418" t="s">
        <v>27250</v>
      </c>
      <c r="M418" t="s">
        <v>27251</v>
      </c>
      <c r="N418" t="s">
        <v>27252</v>
      </c>
      <c r="P418" t="s">
        <v>27925</v>
      </c>
      <c r="Q418" s="1">
        <v>44538</v>
      </c>
      <c r="R418" t="s">
        <v>27253</v>
      </c>
      <c r="S418" t="s">
        <v>27254</v>
      </c>
      <c r="T418" t="s">
        <v>27269</v>
      </c>
    </row>
    <row r="419" spans="1:20" x14ac:dyDescent="0.3">
      <c r="A419" t="str">
        <f>"0611830976025"</f>
        <v>0611830976025</v>
      </c>
      <c r="B419" t="str">
        <f>"MC4279"</f>
        <v>MC4279</v>
      </c>
      <c r="C419" t="s">
        <v>28061</v>
      </c>
      <c r="D419" t="s">
        <v>28057</v>
      </c>
      <c r="E419" t="str">
        <f t="shared" si="6"/>
        <v>001390</v>
      </c>
      <c r="F419" t="s">
        <v>27246</v>
      </c>
      <c r="G419" t="s">
        <v>27247</v>
      </c>
      <c r="H419" t="s">
        <v>27248</v>
      </c>
      <c r="I419" t="s">
        <v>28062</v>
      </c>
      <c r="J419" t="s">
        <v>832</v>
      </c>
      <c r="L419" t="s">
        <v>27250</v>
      </c>
      <c r="M419" t="s">
        <v>27251</v>
      </c>
      <c r="N419" t="s">
        <v>27252</v>
      </c>
      <c r="P419" t="s">
        <v>27925</v>
      </c>
      <c r="Q419" s="1">
        <v>44538</v>
      </c>
      <c r="R419" t="s">
        <v>27253</v>
      </c>
      <c r="S419" t="s">
        <v>27254</v>
      </c>
      <c r="T419" t="s">
        <v>27269</v>
      </c>
    </row>
    <row r="420" spans="1:20" x14ac:dyDescent="0.3">
      <c r="A420" t="str">
        <f>"0611830977025"</f>
        <v>0611830977025</v>
      </c>
      <c r="B420" t="str">
        <f>"MC4280"</f>
        <v>MC4280</v>
      </c>
      <c r="C420" t="s">
        <v>28063</v>
      </c>
      <c r="D420" t="s">
        <v>28057</v>
      </c>
      <c r="E420" t="str">
        <f t="shared" si="6"/>
        <v>001390</v>
      </c>
      <c r="F420" t="s">
        <v>27246</v>
      </c>
      <c r="G420" t="s">
        <v>27247</v>
      </c>
      <c r="H420" t="s">
        <v>27248</v>
      </c>
      <c r="I420" t="s">
        <v>28064</v>
      </c>
      <c r="J420" t="s">
        <v>834</v>
      </c>
      <c r="L420" t="s">
        <v>27250</v>
      </c>
      <c r="M420" t="s">
        <v>27251</v>
      </c>
      <c r="N420" t="s">
        <v>27252</v>
      </c>
      <c r="P420" t="s">
        <v>27925</v>
      </c>
      <c r="Q420" s="1">
        <v>44538</v>
      </c>
      <c r="R420" t="s">
        <v>27253</v>
      </c>
      <c r="S420" t="s">
        <v>27254</v>
      </c>
      <c r="T420" t="s">
        <v>27269</v>
      </c>
    </row>
    <row r="421" spans="1:20" x14ac:dyDescent="0.3">
      <c r="A421" t="str">
        <f>"0611830978025"</f>
        <v>0611830978025</v>
      </c>
      <c r="B421" t="str">
        <f>"MC4281"</f>
        <v>MC4281</v>
      </c>
      <c r="C421" t="s">
        <v>28065</v>
      </c>
      <c r="D421" t="s">
        <v>28057</v>
      </c>
      <c r="E421" t="str">
        <f t="shared" si="6"/>
        <v>001390</v>
      </c>
      <c r="F421" t="s">
        <v>27246</v>
      </c>
      <c r="G421" t="s">
        <v>27247</v>
      </c>
      <c r="H421" t="s">
        <v>27248</v>
      </c>
      <c r="I421" t="s">
        <v>28066</v>
      </c>
      <c r="J421" t="s">
        <v>836</v>
      </c>
      <c r="L421" t="s">
        <v>27250</v>
      </c>
      <c r="M421" t="s">
        <v>27251</v>
      </c>
      <c r="N421" t="s">
        <v>27252</v>
      </c>
      <c r="P421" t="s">
        <v>27925</v>
      </c>
      <c r="Q421" s="1">
        <v>44538</v>
      </c>
      <c r="R421" t="s">
        <v>27253</v>
      </c>
      <c r="S421" t="s">
        <v>27254</v>
      </c>
      <c r="T421" t="s">
        <v>27269</v>
      </c>
    </row>
    <row r="422" spans="1:20" x14ac:dyDescent="0.3">
      <c r="A422" t="str">
        <f>"0611830979025"</f>
        <v>0611830979025</v>
      </c>
      <c r="B422" t="str">
        <f>"MC4282"</f>
        <v>MC4282</v>
      </c>
      <c r="C422" t="s">
        <v>28067</v>
      </c>
      <c r="D422" t="s">
        <v>28057</v>
      </c>
      <c r="E422" t="str">
        <f t="shared" si="6"/>
        <v>001390</v>
      </c>
      <c r="F422" t="s">
        <v>27246</v>
      </c>
      <c r="G422" t="s">
        <v>27247</v>
      </c>
      <c r="H422" t="s">
        <v>27248</v>
      </c>
      <c r="I422" t="s">
        <v>28068</v>
      </c>
      <c r="J422" t="s">
        <v>838</v>
      </c>
      <c r="L422" t="s">
        <v>27250</v>
      </c>
      <c r="M422" t="s">
        <v>27251</v>
      </c>
      <c r="N422" t="s">
        <v>27252</v>
      </c>
      <c r="P422" t="s">
        <v>27925</v>
      </c>
      <c r="Q422" s="1">
        <v>44538</v>
      </c>
      <c r="R422" t="s">
        <v>27253</v>
      </c>
      <c r="S422" t="s">
        <v>27254</v>
      </c>
      <c r="T422" t="s">
        <v>27269</v>
      </c>
    </row>
    <row r="423" spans="1:20" x14ac:dyDescent="0.3">
      <c r="A423" t="str">
        <f>"0611830980025"</f>
        <v>0611830980025</v>
      </c>
      <c r="B423" t="str">
        <f>"MC4131"</f>
        <v>MC4131</v>
      </c>
      <c r="C423" t="s">
        <v>28069</v>
      </c>
      <c r="D423" t="s">
        <v>27267</v>
      </c>
      <c r="E423" t="str">
        <f t="shared" si="6"/>
        <v>001390</v>
      </c>
      <c r="F423" t="s">
        <v>27246</v>
      </c>
      <c r="G423" t="s">
        <v>27247</v>
      </c>
      <c r="H423" t="s">
        <v>27248</v>
      </c>
      <c r="I423" t="s">
        <v>28070</v>
      </c>
      <c r="J423" t="s">
        <v>840</v>
      </c>
      <c r="L423" t="s">
        <v>27250</v>
      </c>
      <c r="M423" t="s">
        <v>27251</v>
      </c>
      <c r="N423" t="s">
        <v>27252</v>
      </c>
      <c r="Q423" s="1">
        <v>44538</v>
      </c>
      <c r="R423" t="s">
        <v>27253</v>
      </c>
      <c r="S423" t="s">
        <v>27254</v>
      </c>
      <c r="T423" t="s">
        <v>27269</v>
      </c>
    </row>
    <row r="424" spans="1:20" x14ac:dyDescent="0.3">
      <c r="A424" t="str">
        <f>"0611830981100"</f>
        <v>0611830981100</v>
      </c>
      <c r="B424" t="str">
        <f>"LH0955"</f>
        <v>LH0955</v>
      </c>
      <c r="C424" t="s">
        <v>28071</v>
      </c>
      <c r="D424" t="s">
        <v>27245</v>
      </c>
      <c r="E424" t="str">
        <f t="shared" si="6"/>
        <v>001390</v>
      </c>
      <c r="F424" t="s">
        <v>27246</v>
      </c>
      <c r="G424" t="s">
        <v>27247</v>
      </c>
      <c r="H424" t="s">
        <v>27248</v>
      </c>
      <c r="I424" t="s">
        <v>28072</v>
      </c>
      <c r="J424" t="s">
        <v>842</v>
      </c>
      <c r="L424" t="s">
        <v>27250</v>
      </c>
      <c r="M424" t="s">
        <v>27251</v>
      </c>
      <c r="N424" t="s">
        <v>27252</v>
      </c>
      <c r="Q424" s="1">
        <v>44538</v>
      </c>
      <c r="R424" t="s">
        <v>27253</v>
      </c>
      <c r="S424" t="s">
        <v>27254</v>
      </c>
      <c r="T424" t="s">
        <v>27255</v>
      </c>
    </row>
    <row r="425" spans="1:20" x14ac:dyDescent="0.3">
      <c r="A425" t="str">
        <f>"0611830982025"</f>
        <v>0611830982025</v>
      </c>
      <c r="B425" t="str">
        <f>"MC0047"</f>
        <v>MC0047</v>
      </c>
      <c r="C425" t="s">
        <v>28071</v>
      </c>
      <c r="D425" t="s">
        <v>27267</v>
      </c>
      <c r="E425" t="str">
        <f t="shared" si="6"/>
        <v>001390</v>
      </c>
      <c r="F425" t="s">
        <v>27246</v>
      </c>
      <c r="G425" t="s">
        <v>27247</v>
      </c>
      <c r="H425" t="s">
        <v>27248</v>
      </c>
      <c r="I425" t="s">
        <v>28073</v>
      </c>
      <c r="J425" t="s">
        <v>844</v>
      </c>
      <c r="L425" t="s">
        <v>27250</v>
      </c>
      <c r="M425" t="s">
        <v>27251</v>
      </c>
      <c r="N425" t="s">
        <v>27252</v>
      </c>
      <c r="Q425" s="1">
        <v>44538</v>
      </c>
      <c r="R425" t="s">
        <v>27253</v>
      </c>
      <c r="S425" t="s">
        <v>27254</v>
      </c>
      <c r="T425" t="s">
        <v>27269</v>
      </c>
    </row>
    <row r="426" spans="1:20" x14ac:dyDescent="0.3">
      <c r="A426" t="str">
        <f>"0611830983100"</f>
        <v>0611830983100</v>
      </c>
      <c r="B426" t="str">
        <f>"LH0960"</f>
        <v>LH0960</v>
      </c>
      <c r="C426" t="s">
        <v>28074</v>
      </c>
      <c r="D426" t="s">
        <v>27245</v>
      </c>
      <c r="E426" t="str">
        <f t="shared" si="6"/>
        <v>001390</v>
      </c>
      <c r="F426" t="s">
        <v>27246</v>
      </c>
      <c r="G426" t="s">
        <v>27247</v>
      </c>
      <c r="H426" t="s">
        <v>27248</v>
      </c>
      <c r="I426" t="s">
        <v>28075</v>
      </c>
      <c r="J426" t="s">
        <v>846</v>
      </c>
      <c r="L426" t="s">
        <v>27250</v>
      </c>
      <c r="M426" t="s">
        <v>27251</v>
      </c>
      <c r="N426" t="s">
        <v>27252</v>
      </c>
      <c r="Q426" s="1">
        <v>44538</v>
      </c>
      <c r="R426" t="s">
        <v>27253</v>
      </c>
      <c r="S426" t="s">
        <v>27254</v>
      </c>
      <c r="T426" t="s">
        <v>27255</v>
      </c>
    </row>
    <row r="427" spans="1:20" x14ac:dyDescent="0.3">
      <c r="A427" t="str">
        <f>"0611830984025"</f>
        <v>0611830984025</v>
      </c>
      <c r="B427" t="str">
        <f>"MC1021"</f>
        <v>MC1021</v>
      </c>
      <c r="C427" t="s">
        <v>28074</v>
      </c>
      <c r="D427" t="s">
        <v>27267</v>
      </c>
      <c r="E427" t="str">
        <f t="shared" si="6"/>
        <v>001390</v>
      </c>
      <c r="F427" t="s">
        <v>27246</v>
      </c>
      <c r="G427" t="s">
        <v>27247</v>
      </c>
      <c r="H427" t="s">
        <v>27248</v>
      </c>
      <c r="I427" t="s">
        <v>28076</v>
      </c>
      <c r="J427" t="s">
        <v>848</v>
      </c>
      <c r="L427" t="s">
        <v>27250</v>
      </c>
      <c r="M427" t="s">
        <v>27251</v>
      </c>
      <c r="N427" t="s">
        <v>27252</v>
      </c>
      <c r="Q427" s="1">
        <v>44538</v>
      </c>
      <c r="R427" t="s">
        <v>27253</v>
      </c>
      <c r="S427" t="s">
        <v>27254</v>
      </c>
      <c r="T427" t="s">
        <v>27269</v>
      </c>
    </row>
    <row r="428" spans="1:20" x14ac:dyDescent="0.3">
      <c r="A428" t="str">
        <f>"0611830985025"</f>
        <v>0611830985025</v>
      </c>
      <c r="B428" t="str">
        <f>"MC3123"</f>
        <v>MC3123</v>
      </c>
      <c r="C428" t="s">
        <v>28077</v>
      </c>
      <c r="D428" t="s">
        <v>28057</v>
      </c>
      <c r="E428" t="str">
        <f t="shared" si="6"/>
        <v>001390</v>
      </c>
      <c r="F428" t="s">
        <v>27246</v>
      </c>
      <c r="G428" t="s">
        <v>27247</v>
      </c>
      <c r="H428" t="s">
        <v>27248</v>
      </c>
      <c r="I428" t="s">
        <v>28078</v>
      </c>
      <c r="J428" t="s">
        <v>850</v>
      </c>
      <c r="L428" t="s">
        <v>27250</v>
      </c>
      <c r="M428" t="s">
        <v>27251</v>
      </c>
      <c r="N428" t="s">
        <v>27252</v>
      </c>
      <c r="P428" t="s">
        <v>27925</v>
      </c>
      <c r="Q428" s="1">
        <v>44538</v>
      </c>
      <c r="R428" t="s">
        <v>27253</v>
      </c>
      <c r="S428" t="s">
        <v>27254</v>
      </c>
      <c r="T428" t="s">
        <v>27269</v>
      </c>
    </row>
    <row r="429" spans="1:20" x14ac:dyDescent="0.3">
      <c r="A429" t="str">
        <f>"0611830986025"</f>
        <v>0611830986025</v>
      </c>
      <c r="B429" t="str">
        <f>"MC3127"</f>
        <v>MC3127</v>
      </c>
      <c r="C429" t="s">
        <v>28079</v>
      </c>
      <c r="D429" t="s">
        <v>28057</v>
      </c>
      <c r="E429" t="str">
        <f t="shared" si="6"/>
        <v>001390</v>
      </c>
      <c r="F429" t="s">
        <v>27246</v>
      </c>
      <c r="G429" t="s">
        <v>27247</v>
      </c>
      <c r="H429" t="s">
        <v>27248</v>
      </c>
      <c r="I429" t="s">
        <v>28080</v>
      </c>
      <c r="J429" t="s">
        <v>852</v>
      </c>
      <c r="L429" t="s">
        <v>27250</v>
      </c>
      <c r="M429" t="s">
        <v>27251</v>
      </c>
      <c r="N429" t="s">
        <v>27252</v>
      </c>
      <c r="P429" t="s">
        <v>27925</v>
      </c>
      <c r="Q429" s="1">
        <v>44538</v>
      </c>
      <c r="R429" t="s">
        <v>27253</v>
      </c>
      <c r="S429" t="s">
        <v>27254</v>
      </c>
      <c r="T429" t="s">
        <v>27269</v>
      </c>
    </row>
    <row r="430" spans="1:20" x14ac:dyDescent="0.3">
      <c r="A430" t="str">
        <f>"0611830988025"</f>
        <v>0611830988025</v>
      </c>
      <c r="B430" t="str">
        <f>"MC3124"</f>
        <v>MC3124</v>
      </c>
      <c r="C430" t="s">
        <v>28081</v>
      </c>
      <c r="D430" t="s">
        <v>28057</v>
      </c>
      <c r="E430" t="str">
        <f t="shared" si="6"/>
        <v>001390</v>
      </c>
      <c r="F430" t="s">
        <v>27246</v>
      </c>
      <c r="G430" t="s">
        <v>27247</v>
      </c>
      <c r="H430" t="s">
        <v>27248</v>
      </c>
      <c r="I430" t="s">
        <v>28082</v>
      </c>
      <c r="J430" t="s">
        <v>854</v>
      </c>
      <c r="L430" t="s">
        <v>27250</v>
      </c>
      <c r="M430" t="s">
        <v>27251</v>
      </c>
      <c r="N430" t="s">
        <v>27252</v>
      </c>
      <c r="P430" t="s">
        <v>27925</v>
      </c>
      <c r="Q430" s="1">
        <v>44538</v>
      </c>
      <c r="R430" t="s">
        <v>27253</v>
      </c>
      <c r="S430" t="s">
        <v>27254</v>
      </c>
      <c r="T430" t="s">
        <v>27269</v>
      </c>
    </row>
    <row r="431" spans="1:20" x14ac:dyDescent="0.3">
      <c r="A431" t="str">
        <f>"0611830993100"</f>
        <v>0611830993100</v>
      </c>
      <c r="B431" t="str">
        <f>"LH8881"</f>
        <v>LH8881</v>
      </c>
      <c r="C431" t="s">
        <v>28083</v>
      </c>
      <c r="D431" t="s">
        <v>27245</v>
      </c>
      <c r="E431" t="str">
        <f t="shared" si="6"/>
        <v>001390</v>
      </c>
      <c r="F431" t="s">
        <v>27246</v>
      </c>
      <c r="G431" t="s">
        <v>27247</v>
      </c>
      <c r="H431" t="s">
        <v>27248</v>
      </c>
      <c r="I431" t="s">
        <v>28084</v>
      </c>
      <c r="J431" t="s">
        <v>856</v>
      </c>
      <c r="L431" t="s">
        <v>27250</v>
      </c>
      <c r="M431" t="s">
        <v>27251</v>
      </c>
      <c r="N431" t="s">
        <v>27252</v>
      </c>
      <c r="Q431" s="1">
        <v>44538</v>
      </c>
      <c r="R431" t="s">
        <v>27253</v>
      </c>
      <c r="S431" t="s">
        <v>27254</v>
      </c>
      <c r="T431" t="s">
        <v>27255</v>
      </c>
    </row>
    <row r="432" spans="1:20" x14ac:dyDescent="0.3">
      <c r="A432" t="str">
        <f>"0611830995025"</f>
        <v>0611830995025</v>
      </c>
      <c r="B432" t="str">
        <f>"MC0056"</f>
        <v>MC0056</v>
      </c>
      <c r="C432" t="s">
        <v>28085</v>
      </c>
      <c r="D432" t="s">
        <v>27267</v>
      </c>
      <c r="E432" t="str">
        <f t="shared" si="6"/>
        <v>001390</v>
      </c>
      <c r="F432" t="s">
        <v>27246</v>
      </c>
      <c r="G432" t="s">
        <v>27247</v>
      </c>
      <c r="H432" t="s">
        <v>27248</v>
      </c>
      <c r="I432" t="s">
        <v>28086</v>
      </c>
      <c r="J432" t="s">
        <v>858</v>
      </c>
      <c r="L432" t="s">
        <v>27250</v>
      </c>
      <c r="M432" t="s">
        <v>27251</v>
      </c>
      <c r="N432" t="s">
        <v>27252</v>
      </c>
      <c r="Q432" s="1">
        <v>44538</v>
      </c>
      <c r="R432" t="s">
        <v>27253</v>
      </c>
      <c r="S432" t="s">
        <v>27254</v>
      </c>
      <c r="T432" t="s">
        <v>27269</v>
      </c>
    </row>
    <row r="433" spans="1:20" x14ac:dyDescent="0.3">
      <c r="A433" t="str">
        <f>"0611830997025"</f>
        <v>0611830997025</v>
      </c>
      <c r="B433" t="str">
        <f>"MC1015"</f>
        <v>MC1015</v>
      </c>
      <c r="C433" t="s">
        <v>28087</v>
      </c>
      <c r="D433" t="s">
        <v>27267</v>
      </c>
      <c r="E433" t="str">
        <f t="shared" si="6"/>
        <v>001390</v>
      </c>
      <c r="F433" t="s">
        <v>27246</v>
      </c>
      <c r="G433" t="s">
        <v>27247</v>
      </c>
      <c r="H433" t="s">
        <v>27248</v>
      </c>
      <c r="I433" t="s">
        <v>28088</v>
      </c>
      <c r="J433" t="s">
        <v>860</v>
      </c>
      <c r="L433" t="s">
        <v>27250</v>
      </c>
      <c r="M433" t="s">
        <v>27251</v>
      </c>
      <c r="N433" t="s">
        <v>27252</v>
      </c>
      <c r="Q433" s="1">
        <v>44538</v>
      </c>
      <c r="R433" t="s">
        <v>27253</v>
      </c>
      <c r="S433" t="s">
        <v>27254</v>
      </c>
      <c r="T433" t="s">
        <v>27269</v>
      </c>
    </row>
    <row r="434" spans="1:20" x14ac:dyDescent="0.3">
      <c r="A434" t="str">
        <f>"0611830999025"</f>
        <v>0611830999025</v>
      </c>
      <c r="B434" t="str">
        <f>"MC0059"</f>
        <v>MC0059</v>
      </c>
      <c r="C434" t="s">
        <v>28089</v>
      </c>
      <c r="D434" t="s">
        <v>27267</v>
      </c>
      <c r="E434" t="str">
        <f t="shared" si="6"/>
        <v>001390</v>
      </c>
      <c r="F434" t="s">
        <v>27246</v>
      </c>
      <c r="G434" t="s">
        <v>27247</v>
      </c>
      <c r="H434" t="s">
        <v>27248</v>
      </c>
      <c r="I434" t="s">
        <v>28090</v>
      </c>
      <c r="J434" t="s">
        <v>862</v>
      </c>
      <c r="L434" t="s">
        <v>27250</v>
      </c>
      <c r="M434" t="s">
        <v>27251</v>
      </c>
      <c r="N434" t="s">
        <v>27252</v>
      </c>
      <c r="Q434" s="1">
        <v>44538</v>
      </c>
      <c r="R434" t="s">
        <v>27253</v>
      </c>
      <c r="S434" t="s">
        <v>27254</v>
      </c>
      <c r="T434" t="s">
        <v>27269</v>
      </c>
    </row>
    <row r="435" spans="1:20" x14ac:dyDescent="0.3">
      <c r="A435" t="str">
        <f>"0611831000025"</f>
        <v>0611831000025</v>
      </c>
      <c r="B435" t="str">
        <f>"MC2356"</f>
        <v>MC2356</v>
      </c>
      <c r="C435" t="s">
        <v>28091</v>
      </c>
      <c r="D435" t="s">
        <v>27267</v>
      </c>
      <c r="E435" t="str">
        <f t="shared" si="6"/>
        <v>001390</v>
      </c>
      <c r="F435" t="s">
        <v>27246</v>
      </c>
      <c r="G435" t="s">
        <v>27247</v>
      </c>
      <c r="H435" t="s">
        <v>27248</v>
      </c>
      <c r="I435" t="s">
        <v>28092</v>
      </c>
      <c r="J435" t="s">
        <v>864</v>
      </c>
      <c r="L435" t="s">
        <v>27250</v>
      </c>
      <c r="M435" t="s">
        <v>27251</v>
      </c>
      <c r="N435" t="s">
        <v>27252</v>
      </c>
      <c r="Q435" s="1">
        <v>44538</v>
      </c>
      <c r="R435" t="s">
        <v>27253</v>
      </c>
      <c r="S435" t="s">
        <v>27254</v>
      </c>
      <c r="T435" t="s">
        <v>27269</v>
      </c>
    </row>
    <row r="436" spans="1:20" x14ac:dyDescent="0.3">
      <c r="A436" t="str">
        <f>"0611831001025"</f>
        <v>0611831001025</v>
      </c>
      <c r="B436" t="str">
        <f>"MC4092"</f>
        <v>MC4092</v>
      </c>
      <c r="C436" t="s">
        <v>28093</v>
      </c>
      <c r="D436" t="s">
        <v>27267</v>
      </c>
      <c r="E436" t="str">
        <f t="shared" si="6"/>
        <v>001390</v>
      </c>
      <c r="F436" t="s">
        <v>27246</v>
      </c>
      <c r="G436" t="s">
        <v>27247</v>
      </c>
      <c r="H436" t="s">
        <v>27248</v>
      </c>
      <c r="I436" t="s">
        <v>28094</v>
      </c>
      <c r="J436" t="s">
        <v>866</v>
      </c>
      <c r="L436" t="s">
        <v>27250</v>
      </c>
      <c r="M436" t="s">
        <v>27251</v>
      </c>
      <c r="N436" t="s">
        <v>27252</v>
      </c>
      <c r="Q436" s="1">
        <v>44538</v>
      </c>
      <c r="R436" t="s">
        <v>27253</v>
      </c>
      <c r="S436" t="s">
        <v>27254</v>
      </c>
      <c r="T436" t="s">
        <v>27269</v>
      </c>
    </row>
    <row r="437" spans="1:20" x14ac:dyDescent="0.3">
      <c r="A437" t="str">
        <f>"0611831002025"</f>
        <v>0611831002025</v>
      </c>
      <c r="B437" t="str">
        <f>"MC2202"</f>
        <v>MC2202</v>
      </c>
      <c r="C437" t="s">
        <v>28095</v>
      </c>
      <c r="D437" t="s">
        <v>27267</v>
      </c>
      <c r="E437" t="str">
        <f t="shared" si="6"/>
        <v>001390</v>
      </c>
      <c r="F437" t="s">
        <v>27246</v>
      </c>
      <c r="G437" t="s">
        <v>27247</v>
      </c>
      <c r="H437" t="s">
        <v>27248</v>
      </c>
      <c r="I437" t="s">
        <v>28096</v>
      </c>
      <c r="J437" t="s">
        <v>868</v>
      </c>
      <c r="L437" t="s">
        <v>27250</v>
      </c>
      <c r="M437" t="s">
        <v>27251</v>
      </c>
      <c r="N437" t="s">
        <v>27252</v>
      </c>
      <c r="Q437" s="1">
        <v>44538</v>
      </c>
      <c r="R437" t="s">
        <v>27253</v>
      </c>
      <c r="S437" t="s">
        <v>27254</v>
      </c>
      <c r="T437" t="s">
        <v>27269</v>
      </c>
    </row>
    <row r="438" spans="1:20" x14ac:dyDescent="0.3">
      <c r="A438" t="str">
        <f>"0611831003025"</f>
        <v>0611831003025</v>
      </c>
      <c r="B438" t="str">
        <f>"MC2974"</f>
        <v>MC2974</v>
      </c>
      <c r="C438" t="s">
        <v>28097</v>
      </c>
      <c r="D438" t="s">
        <v>27267</v>
      </c>
      <c r="E438" t="str">
        <f t="shared" si="6"/>
        <v>001390</v>
      </c>
      <c r="F438" t="s">
        <v>27246</v>
      </c>
      <c r="G438" t="s">
        <v>27247</v>
      </c>
      <c r="H438" t="s">
        <v>27248</v>
      </c>
      <c r="I438" t="s">
        <v>28098</v>
      </c>
      <c r="J438" t="s">
        <v>870</v>
      </c>
      <c r="L438" t="s">
        <v>27250</v>
      </c>
      <c r="M438" t="s">
        <v>27251</v>
      </c>
      <c r="N438" t="s">
        <v>27252</v>
      </c>
      <c r="Q438" s="1">
        <v>44538</v>
      </c>
      <c r="R438" t="s">
        <v>27253</v>
      </c>
      <c r="S438" t="s">
        <v>27254</v>
      </c>
      <c r="T438" t="s">
        <v>27269</v>
      </c>
    </row>
    <row r="439" spans="1:20" x14ac:dyDescent="0.3">
      <c r="A439" t="str">
        <f>"0611831004025"</f>
        <v>0611831004025</v>
      </c>
      <c r="B439" t="str">
        <f>"MC2357"</f>
        <v>MC2357</v>
      </c>
      <c r="C439" t="s">
        <v>28099</v>
      </c>
      <c r="D439" t="s">
        <v>27267</v>
      </c>
      <c r="E439" t="str">
        <f t="shared" si="6"/>
        <v>001390</v>
      </c>
      <c r="F439" t="s">
        <v>27246</v>
      </c>
      <c r="G439" t="s">
        <v>27247</v>
      </c>
      <c r="H439" t="s">
        <v>27248</v>
      </c>
      <c r="I439" t="s">
        <v>28100</v>
      </c>
      <c r="J439" t="s">
        <v>872</v>
      </c>
      <c r="L439" t="s">
        <v>27250</v>
      </c>
      <c r="M439" t="s">
        <v>27251</v>
      </c>
      <c r="N439" t="s">
        <v>27252</v>
      </c>
      <c r="Q439" s="1">
        <v>44538</v>
      </c>
      <c r="R439" t="s">
        <v>27253</v>
      </c>
      <c r="S439" t="s">
        <v>27254</v>
      </c>
      <c r="T439" t="s">
        <v>27269</v>
      </c>
    </row>
    <row r="440" spans="1:20" x14ac:dyDescent="0.3">
      <c r="A440" t="str">
        <f>"0611831005025"</f>
        <v>0611831005025</v>
      </c>
      <c r="B440" t="str">
        <f>"MC2200"</f>
        <v>MC2200</v>
      </c>
      <c r="C440" t="s">
        <v>28101</v>
      </c>
      <c r="D440" t="s">
        <v>27267</v>
      </c>
      <c r="E440" t="str">
        <f t="shared" si="6"/>
        <v>001390</v>
      </c>
      <c r="F440" t="s">
        <v>27246</v>
      </c>
      <c r="G440" t="s">
        <v>27247</v>
      </c>
      <c r="H440" t="s">
        <v>27248</v>
      </c>
      <c r="I440" t="s">
        <v>28102</v>
      </c>
      <c r="J440" t="s">
        <v>874</v>
      </c>
      <c r="L440" t="s">
        <v>27250</v>
      </c>
      <c r="M440" t="s">
        <v>27251</v>
      </c>
      <c r="N440" t="s">
        <v>27252</v>
      </c>
      <c r="Q440" s="1">
        <v>44538</v>
      </c>
      <c r="R440" t="s">
        <v>27253</v>
      </c>
      <c r="S440" t="s">
        <v>27254</v>
      </c>
      <c r="T440" t="s">
        <v>27269</v>
      </c>
    </row>
    <row r="441" spans="1:20" x14ac:dyDescent="0.3">
      <c r="A441" t="str">
        <f>"0611831006025"</f>
        <v>0611831006025</v>
      </c>
      <c r="B441" t="str">
        <f>"MC3385"</f>
        <v>MC3385</v>
      </c>
      <c r="C441" t="s">
        <v>28103</v>
      </c>
      <c r="D441" t="s">
        <v>27267</v>
      </c>
      <c r="E441" t="str">
        <f t="shared" si="6"/>
        <v>001390</v>
      </c>
      <c r="F441" t="s">
        <v>27246</v>
      </c>
      <c r="G441" t="s">
        <v>27247</v>
      </c>
      <c r="H441" t="s">
        <v>27248</v>
      </c>
      <c r="I441" t="s">
        <v>28104</v>
      </c>
      <c r="J441" t="s">
        <v>876</v>
      </c>
      <c r="L441" t="s">
        <v>27250</v>
      </c>
      <c r="M441" t="s">
        <v>27251</v>
      </c>
      <c r="N441" t="s">
        <v>27252</v>
      </c>
      <c r="Q441" s="1">
        <v>44538</v>
      </c>
      <c r="R441" t="s">
        <v>27253</v>
      </c>
      <c r="S441" t="s">
        <v>27254</v>
      </c>
      <c r="T441" t="s">
        <v>27269</v>
      </c>
    </row>
    <row r="442" spans="1:20" x14ac:dyDescent="0.3">
      <c r="A442" t="str">
        <f>"0611831007025"</f>
        <v>0611831007025</v>
      </c>
      <c r="B442" t="str">
        <f>"MC1017"</f>
        <v>MC1017</v>
      </c>
      <c r="C442" t="s">
        <v>28105</v>
      </c>
      <c r="D442" t="s">
        <v>27267</v>
      </c>
      <c r="E442" t="str">
        <f t="shared" si="6"/>
        <v>001390</v>
      </c>
      <c r="F442" t="s">
        <v>27246</v>
      </c>
      <c r="G442" t="s">
        <v>27247</v>
      </c>
      <c r="H442" t="s">
        <v>27248</v>
      </c>
      <c r="I442" t="s">
        <v>28106</v>
      </c>
      <c r="J442" t="s">
        <v>878</v>
      </c>
      <c r="L442" t="s">
        <v>27250</v>
      </c>
      <c r="M442" t="s">
        <v>27251</v>
      </c>
      <c r="N442" t="s">
        <v>27252</v>
      </c>
      <c r="Q442" s="1">
        <v>44538</v>
      </c>
      <c r="R442" t="s">
        <v>27253</v>
      </c>
      <c r="S442" t="s">
        <v>27254</v>
      </c>
      <c r="T442" t="s">
        <v>27269</v>
      </c>
    </row>
    <row r="443" spans="1:20" x14ac:dyDescent="0.3">
      <c r="A443" t="str">
        <f>"0611831008025"</f>
        <v>0611831008025</v>
      </c>
      <c r="B443" t="str">
        <f>"MC2989"</f>
        <v>MC2989</v>
      </c>
      <c r="C443" t="s">
        <v>28107</v>
      </c>
      <c r="D443" t="s">
        <v>27267</v>
      </c>
      <c r="E443" t="str">
        <f t="shared" si="6"/>
        <v>001390</v>
      </c>
      <c r="F443" t="s">
        <v>27246</v>
      </c>
      <c r="G443" t="s">
        <v>27247</v>
      </c>
      <c r="H443" t="s">
        <v>27248</v>
      </c>
      <c r="I443" t="s">
        <v>28108</v>
      </c>
      <c r="J443" t="s">
        <v>880</v>
      </c>
      <c r="L443" t="s">
        <v>27250</v>
      </c>
      <c r="M443" t="s">
        <v>27251</v>
      </c>
      <c r="N443" t="s">
        <v>27252</v>
      </c>
      <c r="Q443" s="1">
        <v>44538</v>
      </c>
      <c r="R443" t="s">
        <v>27253</v>
      </c>
      <c r="S443" t="s">
        <v>27254</v>
      </c>
      <c r="T443" t="s">
        <v>27269</v>
      </c>
    </row>
    <row r="444" spans="1:20" x14ac:dyDescent="0.3">
      <c r="A444" t="str">
        <f>"0611831009025"</f>
        <v>0611831009025</v>
      </c>
      <c r="B444" t="str">
        <f>"MC3631"</f>
        <v>MC3631</v>
      </c>
      <c r="C444" t="s">
        <v>28109</v>
      </c>
      <c r="D444" t="s">
        <v>27267</v>
      </c>
      <c r="E444" t="str">
        <f t="shared" si="6"/>
        <v>001390</v>
      </c>
      <c r="F444" t="s">
        <v>27246</v>
      </c>
      <c r="G444" t="s">
        <v>27247</v>
      </c>
      <c r="H444" t="s">
        <v>27248</v>
      </c>
      <c r="I444" t="s">
        <v>28110</v>
      </c>
      <c r="J444" t="s">
        <v>882</v>
      </c>
      <c r="L444" t="s">
        <v>27250</v>
      </c>
      <c r="M444" t="s">
        <v>27251</v>
      </c>
      <c r="N444" t="s">
        <v>27252</v>
      </c>
      <c r="Q444" s="1">
        <v>44538</v>
      </c>
      <c r="R444" t="s">
        <v>27253</v>
      </c>
      <c r="S444" t="s">
        <v>27254</v>
      </c>
      <c r="T444" t="s">
        <v>27269</v>
      </c>
    </row>
    <row r="445" spans="1:20" x14ac:dyDescent="0.3">
      <c r="A445" t="str">
        <f>"0611831010025"</f>
        <v>0611831010025</v>
      </c>
      <c r="B445" t="str">
        <f>"MC1782"</f>
        <v>MC1782</v>
      </c>
      <c r="C445" t="s">
        <v>28111</v>
      </c>
      <c r="D445" t="s">
        <v>27267</v>
      </c>
      <c r="E445" t="str">
        <f t="shared" si="6"/>
        <v>001390</v>
      </c>
      <c r="F445" t="s">
        <v>27246</v>
      </c>
      <c r="G445" t="s">
        <v>27247</v>
      </c>
      <c r="H445" t="s">
        <v>27248</v>
      </c>
      <c r="I445" t="s">
        <v>28112</v>
      </c>
      <c r="J445" t="s">
        <v>884</v>
      </c>
      <c r="L445" t="s">
        <v>27250</v>
      </c>
      <c r="M445" t="s">
        <v>27251</v>
      </c>
      <c r="N445" t="s">
        <v>27252</v>
      </c>
      <c r="Q445" s="1">
        <v>44538</v>
      </c>
      <c r="R445" t="s">
        <v>27253</v>
      </c>
      <c r="S445" t="s">
        <v>27254</v>
      </c>
      <c r="T445" t="s">
        <v>27269</v>
      </c>
    </row>
    <row r="446" spans="1:20" x14ac:dyDescent="0.3">
      <c r="A446" t="str">
        <f>"0611831011025"</f>
        <v>0611831011025</v>
      </c>
      <c r="B446" t="str">
        <f>"MC3409"</f>
        <v>MC3409</v>
      </c>
      <c r="C446" t="s">
        <v>28113</v>
      </c>
      <c r="D446" t="s">
        <v>27267</v>
      </c>
      <c r="E446" t="str">
        <f t="shared" si="6"/>
        <v>001390</v>
      </c>
      <c r="F446" t="s">
        <v>27246</v>
      </c>
      <c r="G446" t="s">
        <v>27247</v>
      </c>
      <c r="H446" t="s">
        <v>27248</v>
      </c>
      <c r="I446" t="s">
        <v>28114</v>
      </c>
      <c r="J446" t="s">
        <v>886</v>
      </c>
      <c r="L446" t="s">
        <v>27250</v>
      </c>
      <c r="M446" t="s">
        <v>27251</v>
      </c>
      <c r="N446" t="s">
        <v>27252</v>
      </c>
      <c r="Q446" s="1">
        <v>44538</v>
      </c>
      <c r="R446" t="s">
        <v>27253</v>
      </c>
      <c r="S446" t="s">
        <v>27254</v>
      </c>
      <c r="T446" t="s">
        <v>27269</v>
      </c>
    </row>
    <row r="447" spans="1:20" x14ac:dyDescent="0.3">
      <c r="A447" t="str">
        <f>"0611831012100"</f>
        <v>0611831012100</v>
      </c>
      <c r="B447" t="str">
        <f>"LH8884"</f>
        <v>LH8884</v>
      </c>
      <c r="C447" t="s">
        <v>28115</v>
      </c>
      <c r="D447" t="s">
        <v>27245</v>
      </c>
      <c r="E447" t="str">
        <f t="shared" si="6"/>
        <v>001390</v>
      </c>
      <c r="F447" t="s">
        <v>27246</v>
      </c>
      <c r="G447" t="s">
        <v>27247</v>
      </c>
      <c r="H447" t="s">
        <v>27248</v>
      </c>
      <c r="I447" t="s">
        <v>28116</v>
      </c>
      <c r="J447" t="s">
        <v>888</v>
      </c>
      <c r="L447" t="s">
        <v>27250</v>
      </c>
      <c r="M447" t="s">
        <v>27251</v>
      </c>
      <c r="N447" t="s">
        <v>27252</v>
      </c>
      <c r="Q447" s="1">
        <v>44538</v>
      </c>
      <c r="R447" t="s">
        <v>27253</v>
      </c>
      <c r="S447" t="s">
        <v>27254</v>
      </c>
      <c r="T447" t="s">
        <v>27255</v>
      </c>
    </row>
    <row r="448" spans="1:20" x14ac:dyDescent="0.3">
      <c r="A448" t="str">
        <f>"0611831013025"</f>
        <v>0611831013025</v>
      </c>
      <c r="B448" t="str">
        <f>"MC2140"</f>
        <v>MC2140</v>
      </c>
      <c r="C448" t="s">
        <v>28117</v>
      </c>
      <c r="D448" t="s">
        <v>27267</v>
      </c>
      <c r="E448" t="str">
        <f t="shared" si="6"/>
        <v>001390</v>
      </c>
      <c r="F448" t="s">
        <v>27246</v>
      </c>
      <c r="G448" t="s">
        <v>27247</v>
      </c>
      <c r="H448" t="s">
        <v>27248</v>
      </c>
      <c r="I448" t="s">
        <v>28118</v>
      </c>
      <c r="J448" t="s">
        <v>890</v>
      </c>
      <c r="L448" t="s">
        <v>27250</v>
      </c>
      <c r="M448" t="s">
        <v>27251</v>
      </c>
      <c r="N448" t="s">
        <v>27252</v>
      </c>
      <c r="Q448" s="1">
        <v>44538</v>
      </c>
      <c r="R448" t="s">
        <v>27253</v>
      </c>
      <c r="S448" t="s">
        <v>27254</v>
      </c>
      <c r="T448" t="s">
        <v>27269</v>
      </c>
    </row>
    <row r="449" spans="1:20" x14ac:dyDescent="0.3">
      <c r="A449" t="str">
        <f>"0611831015025"</f>
        <v>0611831015025</v>
      </c>
      <c r="B449" t="str">
        <f>"MC1018"</f>
        <v>MC1018</v>
      </c>
      <c r="C449" t="s">
        <v>28119</v>
      </c>
      <c r="D449" t="s">
        <v>27267</v>
      </c>
      <c r="E449" t="str">
        <f t="shared" si="6"/>
        <v>001390</v>
      </c>
      <c r="F449" t="s">
        <v>27246</v>
      </c>
      <c r="G449" t="s">
        <v>27247</v>
      </c>
      <c r="H449" t="s">
        <v>27248</v>
      </c>
      <c r="I449" t="s">
        <v>28120</v>
      </c>
      <c r="J449" t="s">
        <v>892</v>
      </c>
      <c r="L449" t="s">
        <v>27250</v>
      </c>
      <c r="M449" t="s">
        <v>27251</v>
      </c>
      <c r="N449" t="s">
        <v>27252</v>
      </c>
      <c r="Q449" s="1">
        <v>44538</v>
      </c>
      <c r="R449" t="s">
        <v>27253</v>
      </c>
      <c r="S449" t="s">
        <v>27254</v>
      </c>
      <c r="T449" t="s">
        <v>27269</v>
      </c>
    </row>
    <row r="450" spans="1:20" x14ac:dyDescent="0.3">
      <c r="A450" t="str">
        <f>"0611831016025"</f>
        <v>0611831016025</v>
      </c>
      <c r="B450" t="str">
        <f>"MC1781"</f>
        <v>MC1781</v>
      </c>
      <c r="C450" t="s">
        <v>28121</v>
      </c>
      <c r="D450" t="s">
        <v>27267</v>
      </c>
      <c r="E450" t="str">
        <f t="shared" ref="E450:E513" si="7">"001390"</f>
        <v>001390</v>
      </c>
      <c r="F450" t="s">
        <v>27246</v>
      </c>
      <c r="G450" t="s">
        <v>27247</v>
      </c>
      <c r="H450" t="s">
        <v>27248</v>
      </c>
      <c r="I450" t="s">
        <v>28122</v>
      </c>
      <c r="J450" t="s">
        <v>894</v>
      </c>
      <c r="L450" t="s">
        <v>27250</v>
      </c>
      <c r="M450" t="s">
        <v>27251</v>
      </c>
      <c r="N450" t="s">
        <v>27252</v>
      </c>
      <c r="Q450" s="1">
        <v>44538</v>
      </c>
      <c r="R450" t="s">
        <v>27253</v>
      </c>
      <c r="S450" t="s">
        <v>27254</v>
      </c>
      <c r="T450" t="s">
        <v>27269</v>
      </c>
    </row>
    <row r="451" spans="1:20" x14ac:dyDescent="0.3">
      <c r="A451" t="str">
        <f>"0611831017025"</f>
        <v>0611831017025</v>
      </c>
      <c r="B451" t="str">
        <f>"MC1783"</f>
        <v>MC1783</v>
      </c>
      <c r="C451" t="s">
        <v>28123</v>
      </c>
      <c r="D451" t="s">
        <v>27267</v>
      </c>
      <c r="E451" t="str">
        <f t="shared" si="7"/>
        <v>001390</v>
      </c>
      <c r="F451" t="s">
        <v>27246</v>
      </c>
      <c r="G451" t="s">
        <v>27247</v>
      </c>
      <c r="H451" t="s">
        <v>27248</v>
      </c>
      <c r="I451" t="s">
        <v>28124</v>
      </c>
      <c r="J451" t="s">
        <v>896</v>
      </c>
      <c r="L451" t="s">
        <v>27250</v>
      </c>
      <c r="M451" t="s">
        <v>27251</v>
      </c>
      <c r="N451" t="s">
        <v>27252</v>
      </c>
      <c r="Q451" s="1">
        <v>44538</v>
      </c>
      <c r="R451" t="s">
        <v>27253</v>
      </c>
      <c r="S451" t="s">
        <v>27254</v>
      </c>
      <c r="T451" t="s">
        <v>27269</v>
      </c>
    </row>
    <row r="452" spans="1:20" x14ac:dyDescent="0.3">
      <c r="A452" t="str">
        <f>"0611831019025"</f>
        <v>0611831019025</v>
      </c>
      <c r="B452" t="str">
        <f>"MC4376"</f>
        <v>MC4376</v>
      </c>
      <c r="C452" t="s">
        <v>28125</v>
      </c>
      <c r="D452" t="s">
        <v>27267</v>
      </c>
      <c r="E452" t="str">
        <f t="shared" si="7"/>
        <v>001390</v>
      </c>
      <c r="F452" t="s">
        <v>27246</v>
      </c>
      <c r="G452" t="s">
        <v>27247</v>
      </c>
      <c r="H452" t="s">
        <v>27248</v>
      </c>
      <c r="I452" t="s">
        <v>28126</v>
      </c>
      <c r="J452" t="s">
        <v>898</v>
      </c>
      <c r="L452" t="s">
        <v>27250</v>
      </c>
      <c r="M452" t="s">
        <v>27251</v>
      </c>
      <c r="N452" t="s">
        <v>27252</v>
      </c>
      <c r="Q452" s="1">
        <v>44538</v>
      </c>
      <c r="R452" t="s">
        <v>27253</v>
      </c>
      <c r="S452" t="s">
        <v>27254</v>
      </c>
      <c r="T452" t="s">
        <v>27269</v>
      </c>
    </row>
    <row r="453" spans="1:20" x14ac:dyDescent="0.3">
      <c r="A453" t="str">
        <f>"0611831020025"</f>
        <v>0611831020025</v>
      </c>
      <c r="B453" t="str">
        <f>"MC4377"</f>
        <v>MC4377</v>
      </c>
      <c r="C453" t="s">
        <v>28127</v>
      </c>
      <c r="D453" t="s">
        <v>27267</v>
      </c>
      <c r="E453" t="str">
        <f t="shared" si="7"/>
        <v>001390</v>
      </c>
      <c r="F453" t="s">
        <v>27246</v>
      </c>
      <c r="G453" t="s">
        <v>27247</v>
      </c>
      <c r="H453" t="s">
        <v>27248</v>
      </c>
      <c r="I453" t="s">
        <v>28128</v>
      </c>
      <c r="J453" t="s">
        <v>900</v>
      </c>
      <c r="L453" t="s">
        <v>27250</v>
      </c>
      <c r="M453" t="s">
        <v>27251</v>
      </c>
      <c r="N453" t="s">
        <v>27252</v>
      </c>
      <c r="Q453" s="1">
        <v>44538</v>
      </c>
      <c r="R453" t="s">
        <v>27253</v>
      </c>
      <c r="S453" t="s">
        <v>27254</v>
      </c>
      <c r="T453" t="s">
        <v>27269</v>
      </c>
    </row>
    <row r="454" spans="1:20" x14ac:dyDescent="0.3">
      <c r="A454" t="str">
        <f>"0611883997025"</f>
        <v>0611883997025</v>
      </c>
      <c r="B454" t="str">
        <f>"MC4518"</f>
        <v>MC4518</v>
      </c>
      <c r="C454" t="s">
        <v>28129</v>
      </c>
      <c r="D454" t="s">
        <v>27267</v>
      </c>
      <c r="E454" t="str">
        <f t="shared" si="7"/>
        <v>001390</v>
      </c>
      <c r="F454" t="s">
        <v>27246</v>
      </c>
      <c r="G454" t="s">
        <v>27247</v>
      </c>
      <c r="H454" t="s">
        <v>27248</v>
      </c>
      <c r="I454" t="s">
        <v>28130</v>
      </c>
      <c r="J454" t="s">
        <v>902</v>
      </c>
      <c r="L454" t="s">
        <v>27430</v>
      </c>
      <c r="M454" t="s">
        <v>27251</v>
      </c>
      <c r="N454" t="s">
        <v>27252</v>
      </c>
      <c r="Q454" s="1">
        <v>45250</v>
      </c>
      <c r="R454" t="s">
        <v>27253</v>
      </c>
      <c r="S454" t="s">
        <v>27254</v>
      </c>
      <c r="T454" t="s">
        <v>27269</v>
      </c>
    </row>
    <row r="455" spans="1:20" x14ac:dyDescent="0.3">
      <c r="A455" t="str">
        <f>"0611831021025"</f>
        <v>0611831021025</v>
      </c>
      <c r="B455" t="str">
        <f>"MC4400"</f>
        <v>MC4400</v>
      </c>
      <c r="C455" t="s">
        <v>28131</v>
      </c>
      <c r="D455" t="s">
        <v>27267</v>
      </c>
      <c r="E455" t="str">
        <f t="shared" si="7"/>
        <v>001390</v>
      </c>
      <c r="F455" t="s">
        <v>27246</v>
      </c>
      <c r="G455" t="s">
        <v>27247</v>
      </c>
      <c r="H455" t="s">
        <v>27248</v>
      </c>
      <c r="I455" t="s">
        <v>28132</v>
      </c>
      <c r="J455" t="s">
        <v>904</v>
      </c>
      <c r="L455" t="s">
        <v>27250</v>
      </c>
      <c r="M455" t="s">
        <v>27251</v>
      </c>
      <c r="N455" t="s">
        <v>27252</v>
      </c>
      <c r="Q455" s="1">
        <v>44538</v>
      </c>
      <c r="R455" t="s">
        <v>27253</v>
      </c>
      <c r="S455" t="s">
        <v>27254</v>
      </c>
      <c r="T455" t="s">
        <v>27269</v>
      </c>
    </row>
    <row r="456" spans="1:20" x14ac:dyDescent="0.3">
      <c r="A456" t="str">
        <f>"0611831022100"</f>
        <v>0611831022100</v>
      </c>
      <c r="B456" t="str">
        <f>"LH1009"</f>
        <v>LH1009</v>
      </c>
      <c r="C456" t="s">
        <v>28133</v>
      </c>
      <c r="D456" t="s">
        <v>27245</v>
      </c>
      <c r="E456" t="str">
        <f t="shared" si="7"/>
        <v>001390</v>
      </c>
      <c r="F456" t="s">
        <v>27246</v>
      </c>
      <c r="G456" t="s">
        <v>27247</v>
      </c>
      <c r="H456" t="s">
        <v>27248</v>
      </c>
      <c r="I456" t="s">
        <v>28134</v>
      </c>
      <c r="J456" t="s">
        <v>906</v>
      </c>
      <c r="L456" t="s">
        <v>27250</v>
      </c>
      <c r="M456" t="s">
        <v>27251</v>
      </c>
      <c r="N456" t="s">
        <v>27252</v>
      </c>
      <c r="Q456" s="1">
        <v>44538</v>
      </c>
      <c r="R456" t="s">
        <v>27253</v>
      </c>
      <c r="S456" t="s">
        <v>27254</v>
      </c>
      <c r="T456" t="s">
        <v>27255</v>
      </c>
    </row>
    <row r="457" spans="1:20" x14ac:dyDescent="0.3">
      <c r="A457" t="str">
        <f>"0611831024025"</f>
        <v>0611831024025</v>
      </c>
      <c r="B457" t="str">
        <f>"MQ0409"</f>
        <v>MQ0409</v>
      </c>
      <c r="C457" t="s">
        <v>28135</v>
      </c>
      <c r="D457" t="s">
        <v>28057</v>
      </c>
      <c r="E457" t="str">
        <f t="shared" si="7"/>
        <v>001390</v>
      </c>
      <c r="F457" t="s">
        <v>27246</v>
      </c>
      <c r="G457" t="s">
        <v>27247</v>
      </c>
      <c r="H457" t="s">
        <v>27248</v>
      </c>
      <c r="I457" t="s">
        <v>28136</v>
      </c>
      <c r="J457" t="s">
        <v>908</v>
      </c>
      <c r="L457" t="s">
        <v>27250</v>
      </c>
      <c r="M457" t="s">
        <v>27251</v>
      </c>
      <c r="N457" t="s">
        <v>27252</v>
      </c>
      <c r="P457" t="s">
        <v>27925</v>
      </c>
      <c r="Q457" s="1">
        <v>44538</v>
      </c>
      <c r="R457" t="s">
        <v>27253</v>
      </c>
      <c r="S457" t="s">
        <v>27254</v>
      </c>
      <c r="T457" t="s">
        <v>27269</v>
      </c>
    </row>
    <row r="458" spans="1:20" x14ac:dyDescent="0.3">
      <c r="A458" t="str">
        <f>"0611831025100"</f>
        <v>0611831025100</v>
      </c>
      <c r="B458" t="str">
        <f>"LH8949"</f>
        <v>LH8949</v>
      </c>
      <c r="C458" t="s">
        <v>28137</v>
      </c>
      <c r="D458" t="s">
        <v>28138</v>
      </c>
      <c r="E458" t="str">
        <f t="shared" si="7"/>
        <v>001390</v>
      </c>
      <c r="F458" t="s">
        <v>27246</v>
      </c>
      <c r="G458" t="s">
        <v>27247</v>
      </c>
      <c r="H458" t="s">
        <v>27248</v>
      </c>
      <c r="I458" t="s">
        <v>28139</v>
      </c>
      <c r="J458" t="s">
        <v>910</v>
      </c>
      <c r="L458" t="s">
        <v>27250</v>
      </c>
      <c r="M458" t="s">
        <v>27251</v>
      </c>
      <c r="N458" t="s">
        <v>27252</v>
      </c>
      <c r="P458" t="s">
        <v>27925</v>
      </c>
      <c r="Q458" s="1">
        <v>44538</v>
      </c>
      <c r="R458" t="s">
        <v>27253</v>
      </c>
      <c r="S458" t="s">
        <v>27254</v>
      </c>
      <c r="T458" t="s">
        <v>27255</v>
      </c>
    </row>
    <row r="459" spans="1:20" x14ac:dyDescent="0.3">
      <c r="A459" t="str">
        <f>"0611831026025"</f>
        <v>0611831026025</v>
      </c>
      <c r="B459" t="str">
        <f>"MQ0410"</f>
        <v>MQ0410</v>
      </c>
      <c r="C459" t="s">
        <v>28137</v>
      </c>
      <c r="D459" t="s">
        <v>28057</v>
      </c>
      <c r="E459" t="str">
        <f t="shared" si="7"/>
        <v>001390</v>
      </c>
      <c r="F459" t="s">
        <v>27246</v>
      </c>
      <c r="G459" t="s">
        <v>27247</v>
      </c>
      <c r="H459" t="s">
        <v>27248</v>
      </c>
      <c r="I459" t="s">
        <v>28140</v>
      </c>
      <c r="J459" t="s">
        <v>912</v>
      </c>
      <c r="L459" t="s">
        <v>27250</v>
      </c>
      <c r="M459" t="s">
        <v>27251</v>
      </c>
      <c r="N459" t="s">
        <v>27252</v>
      </c>
      <c r="P459" t="s">
        <v>27925</v>
      </c>
      <c r="Q459" s="1">
        <v>44538</v>
      </c>
      <c r="R459" t="s">
        <v>27253</v>
      </c>
      <c r="S459" t="s">
        <v>27254</v>
      </c>
      <c r="T459" t="s">
        <v>27269</v>
      </c>
    </row>
    <row r="460" spans="1:20" x14ac:dyDescent="0.3">
      <c r="A460" t="str">
        <f>"0611831027025"</f>
        <v>0611831027025</v>
      </c>
      <c r="B460" t="str">
        <f>"MC3542"</f>
        <v>MC3542</v>
      </c>
      <c r="C460" t="s">
        <v>28141</v>
      </c>
      <c r="D460" t="s">
        <v>27267</v>
      </c>
      <c r="E460" t="str">
        <f t="shared" si="7"/>
        <v>001390</v>
      </c>
      <c r="F460" t="s">
        <v>27246</v>
      </c>
      <c r="G460" t="s">
        <v>27247</v>
      </c>
      <c r="H460" t="s">
        <v>27248</v>
      </c>
      <c r="I460" t="s">
        <v>28142</v>
      </c>
      <c r="J460" t="s">
        <v>914</v>
      </c>
      <c r="L460" t="s">
        <v>27250</v>
      </c>
      <c r="M460" t="s">
        <v>27251</v>
      </c>
      <c r="N460" t="s">
        <v>27252</v>
      </c>
      <c r="Q460" s="1">
        <v>44538</v>
      </c>
      <c r="R460" t="s">
        <v>27253</v>
      </c>
      <c r="S460" t="s">
        <v>27254</v>
      </c>
      <c r="T460" t="s">
        <v>27269</v>
      </c>
    </row>
    <row r="461" spans="1:20" x14ac:dyDescent="0.3">
      <c r="A461" t="str">
        <f>"0611831028025"</f>
        <v>0611831028025</v>
      </c>
      <c r="B461" t="str">
        <f>"MC3678"</f>
        <v>MC3678</v>
      </c>
      <c r="C461" t="s">
        <v>28143</v>
      </c>
      <c r="D461" t="s">
        <v>27267</v>
      </c>
      <c r="E461" t="str">
        <f t="shared" si="7"/>
        <v>001390</v>
      </c>
      <c r="F461" t="s">
        <v>27246</v>
      </c>
      <c r="G461" t="s">
        <v>27247</v>
      </c>
      <c r="H461" t="s">
        <v>27248</v>
      </c>
      <c r="I461" t="s">
        <v>28144</v>
      </c>
      <c r="J461" t="s">
        <v>916</v>
      </c>
      <c r="L461" t="s">
        <v>27250</v>
      </c>
      <c r="M461" t="s">
        <v>27251</v>
      </c>
      <c r="N461" t="s">
        <v>27252</v>
      </c>
      <c r="Q461" s="1">
        <v>44538</v>
      </c>
      <c r="R461" t="s">
        <v>27253</v>
      </c>
      <c r="S461" t="s">
        <v>27254</v>
      </c>
      <c r="T461" t="s">
        <v>27269</v>
      </c>
    </row>
    <row r="462" spans="1:20" x14ac:dyDescent="0.3">
      <c r="A462" t="str">
        <f>"0611831029025"</f>
        <v>0611831029025</v>
      </c>
      <c r="B462" t="str">
        <f>"MC2360"</f>
        <v>MC2360</v>
      </c>
      <c r="C462" t="s">
        <v>28145</v>
      </c>
      <c r="D462" t="s">
        <v>27267</v>
      </c>
      <c r="E462" t="str">
        <f t="shared" si="7"/>
        <v>001390</v>
      </c>
      <c r="F462" t="s">
        <v>27246</v>
      </c>
      <c r="G462" t="s">
        <v>27247</v>
      </c>
      <c r="H462" t="s">
        <v>27248</v>
      </c>
      <c r="I462" t="s">
        <v>28146</v>
      </c>
      <c r="J462" t="s">
        <v>918</v>
      </c>
      <c r="L462" t="s">
        <v>27250</v>
      </c>
      <c r="M462" t="s">
        <v>27251</v>
      </c>
      <c r="N462" t="s">
        <v>27252</v>
      </c>
      <c r="Q462" s="1">
        <v>44538</v>
      </c>
      <c r="R462" t="s">
        <v>27253</v>
      </c>
      <c r="S462" t="s">
        <v>27254</v>
      </c>
      <c r="T462" t="s">
        <v>27269</v>
      </c>
    </row>
    <row r="463" spans="1:20" x14ac:dyDescent="0.3">
      <c r="A463" t="str">
        <f>"0611831030100"</f>
        <v>0611831030100</v>
      </c>
      <c r="B463" t="str">
        <f>"LH1016"</f>
        <v>LH1016</v>
      </c>
      <c r="C463" t="s">
        <v>28147</v>
      </c>
      <c r="D463" t="s">
        <v>27245</v>
      </c>
      <c r="E463" t="str">
        <f t="shared" si="7"/>
        <v>001390</v>
      </c>
      <c r="F463" t="s">
        <v>27246</v>
      </c>
      <c r="G463" t="s">
        <v>27247</v>
      </c>
      <c r="H463" t="s">
        <v>27248</v>
      </c>
      <c r="I463" t="s">
        <v>28148</v>
      </c>
      <c r="J463" t="s">
        <v>920</v>
      </c>
      <c r="L463" t="s">
        <v>27250</v>
      </c>
      <c r="M463" t="s">
        <v>27251</v>
      </c>
      <c r="N463" t="s">
        <v>27252</v>
      </c>
      <c r="Q463" s="1">
        <v>44538</v>
      </c>
      <c r="R463" t="s">
        <v>27253</v>
      </c>
      <c r="S463" t="s">
        <v>27254</v>
      </c>
      <c r="T463" t="s">
        <v>27255</v>
      </c>
    </row>
    <row r="464" spans="1:20" x14ac:dyDescent="0.3">
      <c r="A464" t="str">
        <f>"0611831031025"</f>
        <v>0611831031025</v>
      </c>
      <c r="B464" t="str">
        <f>"MC0067"</f>
        <v>MC0067</v>
      </c>
      <c r="C464" t="s">
        <v>28147</v>
      </c>
      <c r="D464" t="s">
        <v>27267</v>
      </c>
      <c r="E464" t="str">
        <f t="shared" si="7"/>
        <v>001390</v>
      </c>
      <c r="F464" t="s">
        <v>27246</v>
      </c>
      <c r="G464" t="s">
        <v>27247</v>
      </c>
      <c r="H464" t="s">
        <v>27248</v>
      </c>
      <c r="I464" t="s">
        <v>28149</v>
      </c>
      <c r="J464" t="s">
        <v>922</v>
      </c>
      <c r="L464" t="s">
        <v>27250</v>
      </c>
      <c r="M464" t="s">
        <v>27251</v>
      </c>
      <c r="N464" t="s">
        <v>27252</v>
      </c>
      <c r="Q464" s="1">
        <v>44538</v>
      </c>
      <c r="R464" t="s">
        <v>27253</v>
      </c>
      <c r="S464" t="s">
        <v>27254</v>
      </c>
      <c r="T464" t="s">
        <v>27269</v>
      </c>
    </row>
    <row r="465" spans="1:20" x14ac:dyDescent="0.3">
      <c r="A465" t="str">
        <f>"0611831033025"</f>
        <v>0611831033025</v>
      </c>
      <c r="B465" t="str">
        <f>"MC0068"</f>
        <v>MC0068</v>
      </c>
      <c r="C465" t="s">
        <v>28150</v>
      </c>
      <c r="D465" t="s">
        <v>27267</v>
      </c>
      <c r="E465" t="str">
        <f t="shared" si="7"/>
        <v>001390</v>
      </c>
      <c r="F465" t="s">
        <v>27246</v>
      </c>
      <c r="G465" t="s">
        <v>27247</v>
      </c>
      <c r="H465" t="s">
        <v>27248</v>
      </c>
      <c r="I465" t="s">
        <v>28151</v>
      </c>
      <c r="J465" t="s">
        <v>924</v>
      </c>
      <c r="L465" t="s">
        <v>27250</v>
      </c>
      <c r="M465" t="s">
        <v>27251</v>
      </c>
      <c r="N465" t="s">
        <v>27252</v>
      </c>
      <c r="Q465" s="1">
        <v>44538</v>
      </c>
      <c r="R465" t="s">
        <v>27253</v>
      </c>
      <c r="S465" t="s">
        <v>27254</v>
      </c>
      <c r="T465" t="s">
        <v>27269</v>
      </c>
    </row>
    <row r="466" spans="1:20" x14ac:dyDescent="0.3">
      <c r="A466" t="str">
        <f>"0611831034025"</f>
        <v>0611831034025</v>
      </c>
      <c r="B466" t="str">
        <f>"MC0069"</f>
        <v>MC0069</v>
      </c>
      <c r="C466" t="s">
        <v>28152</v>
      </c>
      <c r="D466" t="s">
        <v>27267</v>
      </c>
      <c r="E466" t="str">
        <f t="shared" si="7"/>
        <v>001390</v>
      </c>
      <c r="F466" t="s">
        <v>27246</v>
      </c>
      <c r="G466" t="s">
        <v>27247</v>
      </c>
      <c r="H466" t="s">
        <v>27248</v>
      </c>
      <c r="I466" t="s">
        <v>28153</v>
      </c>
      <c r="J466" t="s">
        <v>926</v>
      </c>
      <c r="L466" t="s">
        <v>27250</v>
      </c>
      <c r="M466" t="s">
        <v>27251</v>
      </c>
      <c r="N466" t="s">
        <v>27252</v>
      </c>
      <c r="Q466" s="1">
        <v>44538</v>
      </c>
      <c r="R466" t="s">
        <v>27253</v>
      </c>
      <c r="S466" t="s">
        <v>27254</v>
      </c>
      <c r="T466" t="s">
        <v>27269</v>
      </c>
    </row>
    <row r="467" spans="1:20" x14ac:dyDescent="0.3">
      <c r="A467" t="str">
        <f>"0611838556100"</f>
        <v>0611838556100</v>
      </c>
      <c r="B467" t="str">
        <f>"LF0370"</f>
        <v>LF0370</v>
      </c>
      <c r="C467" t="s">
        <v>28154</v>
      </c>
      <c r="D467" t="s">
        <v>27245</v>
      </c>
      <c r="E467" t="str">
        <f t="shared" si="7"/>
        <v>001390</v>
      </c>
      <c r="F467" t="s">
        <v>27246</v>
      </c>
      <c r="G467" t="s">
        <v>27247</v>
      </c>
      <c r="H467" t="s">
        <v>27248</v>
      </c>
      <c r="I467" t="s">
        <v>28155</v>
      </c>
      <c r="J467" t="s">
        <v>928</v>
      </c>
      <c r="L467" t="s">
        <v>27250</v>
      </c>
      <c r="M467" t="s">
        <v>27251</v>
      </c>
      <c r="N467" t="s">
        <v>27252</v>
      </c>
      <c r="Q467" s="1">
        <v>44538</v>
      </c>
      <c r="R467" t="s">
        <v>27253</v>
      </c>
      <c r="S467" t="s">
        <v>27254</v>
      </c>
      <c r="T467" t="s">
        <v>27255</v>
      </c>
    </row>
    <row r="468" spans="1:20" x14ac:dyDescent="0.3">
      <c r="A468" t="str">
        <f>"0611834089100"</f>
        <v>0611834089100</v>
      </c>
      <c r="B468" t="str">
        <f>"LF1850"</f>
        <v>LF1850</v>
      </c>
      <c r="C468" t="s">
        <v>28156</v>
      </c>
      <c r="D468" t="s">
        <v>27245</v>
      </c>
      <c r="E468" t="str">
        <f t="shared" si="7"/>
        <v>001390</v>
      </c>
      <c r="F468" t="s">
        <v>27246</v>
      </c>
      <c r="G468" t="s">
        <v>27247</v>
      </c>
      <c r="H468" t="s">
        <v>27248</v>
      </c>
      <c r="I468" t="s">
        <v>28157</v>
      </c>
      <c r="J468" t="s">
        <v>930</v>
      </c>
      <c r="L468" t="s">
        <v>27250</v>
      </c>
      <c r="M468" t="s">
        <v>27251</v>
      </c>
      <c r="N468" t="s">
        <v>27252</v>
      </c>
      <c r="Q468" s="1">
        <v>44538</v>
      </c>
      <c r="R468" t="s">
        <v>27253</v>
      </c>
      <c r="S468" t="s">
        <v>27254</v>
      </c>
      <c r="T468" t="s">
        <v>27255</v>
      </c>
    </row>
    <row r="469" spans="1:20" x14ac:dyDescent="0.3">
      <c r="A469" t="str">
        <f>"0611831035025"</f>
        <v>0611831035025</v>
      </c>
      <c r="B469" t="str">
        <f>"MC4345"</f>
        <v>MC4345</v>
      </c>
      <c r="C469" t="s">
        <v>28158</v>
      </c>
      <c r="D469" t="s">
        <v>27267</v>
      </c>
      <c r="E469" t="str">
        <f t="shared" si="7"/>
        <v>001390</v>
      </c>
      <c r="F469" t="s">
        <v>27246</v>
      </c>
      <c r="G469" t="s">
        <v>27247</v>
      </c>
      <c r="H469" t="s">
        <v>27248</v>
      </c>
      <c r="I469" t="s">
        <v>28159</v>
      </c>
      <c r="J469" t="s">
        <v>932</v>
      </c>
      <c r="L469" t="s">
        <v>27250</v>
      </c>
      <c r="M469" t="s">
        <v>27251</v>
      </c>
      <c r="N469" t="s">
        <v>27252</v>
      </c>
      <c r="Q469" s="1">
        <v>44538</v>
      </c>
      <c r="R469" t="s">
        <v>27253</v>
      </c>
      <c r="S469" t="s">
        <v>27254</v>
      </c>
      <c r="T469" t="s">
        <v>27269</v>
      </c>
    </row>
    <row r="470" spans="1:20" x14ac:dyDescent="0.3">
      <c r="A470" t="str">
        <f>"0611860511050"</f>
        <v>0611860511050</v>
      </c>
      <c r="B470" t="str">
        <f>"CR3951"</f>
        <v>CR3951</v>
      </c>
      <c r="C470" t="s">
        <v>28160</v>
      </c>
      <c r="D470" t="s">
        <v>27263</v>
      </c>
      <c r="E470" t="str">
        <f t="shared" si="7"/>
        <v>001390</v>
      </c>
      <c r="F470" t="s">
        <v>27246</v>
      </c>
      <c r="G470" t="s">
        <v>27247</v>
      </c>
      <c r="H470" t="s">
        <v>27248</v>
      </c>
      <c r="I470" t="s">
        <v>28161</v>
      </c>
      <c r="J470" t="s">
        <v>934</v>
      </c>
      <c r="L470" t="s">
        <v>27250</v>
      </c>
      <c r="M470" t="s">
        <v>27251</v>
      </c>
      <c r="N470" t="s">
        <v>27252</v>
      </c>
      <c r="Q470" s="1">
        <v>44846</v>
      </c>
      <c r="R470" t="s">
        <v>27253</v>
      </c>
      <c r="S470" t="s">
        <v>27254</v>
      </c>
      <c r="T470" t="s">
        <v>27265</v>
      </c>
    </row>
    <row r="471" spans="1:20" x14ac:dyDescent="0.3">
      <c r="A471" t="str">
        <f>"0611860512050"</f>
        <v>0611860512050</v>
      </c>
      <c r="B471" t="str">
        <f>"CR3952"</f>
        <v>CR3952</v>
      </c>
      <c r="C471" t="s">
        <v>28162</v>
      </c>
      <c r="D471" t="s">
        <v>27263</v>
      </c>
      <c r="E471" t="str">
        <f t="shared" si="7"/>
        <v>001390</v>
      </c>
      <c r="F471" t="s">
        <v>27246</v>
      </c>
      <c r="G471" t="s">
        <v>27247</v>
      </c>
      <c r="H471" t="s">
        <v>27248</v>
      </c>
      <c r="I471" t="s">
        <v>28163</v>
      </c>
      <c r="J471" t="s">
        <v>936</v>
      </c>
      <c r="L471" t="s">
        <v>27250</v>
      </c>
      <c r="M471" t="s">
        <v>27251</v>
      </c>
      <c r="N471" t="s">
        <v>27252</v>
      </c>
      <c r="Q471" s="1">
        <v>44846</v>
      </c>
      <c r="R471" t="s">
        <v>27253</v>
      </c>
      <c r="S471" t="s">
        <v>27254</v>
      </c>
      <c r="T471" t="s">
        <v>27265</v>
      </c>
    </row>
    <row r="472" spans="1:20" x14ac:dyDescent="0.3">
      <c r="A472" t="str">
        <f>"0611860513050"</f>
        <v>0611860513050</v>
      </c>
      <c r="B472" t="str">
        <f>"CR3953"</f>
        <v>CR3953</v>
      </c>
      <c r="C472" t="s">
        <v>28164</v>
      </c>
      <c r="D472" t="s">
        <v>27263</v>
      </c>
      <c r="E472" t="str">
        <f t="shared" si="7"/>
        <v>001390</v>
      </c>
      <c r="F472" t="s">
        <v>27246</v>
      </c>
      <c r="G472" t="s">
        <v>27247</v>
      </c>
      <c r="H472" t="s">
        <v>27248</v>
      </c>
      <c r="I472" t="s">
        <v>28165</v>
      </c>
      <c r="J472" t="s">
        <v>938</v>
      </c>
      <c r="L472" t="s">
        <v>27250</v>
      </c>
      <c r="M472" t="s">
        <v>27251</v>
      </c>
      <c r="N472" t="s">
        <v>27252</v>
      </c>
      <c r="Q472" s="1">
        <v>44846</v>
      </c>
      <c r="R472" t="s">
        <v>27253</v>
      </c>
      <c r="S472" t="s">
        <v>27254</v>
      </c>
      <c r="T472" t="s">
        <v>27265</v>
      </c>
    </row>
    <row r="473" spans="1:20" x14ac:dyDescent="0.3">
      <c r="A473" t="str">
        <f>"0611860514050"</f>
        <v>0611860514050</v>
      </c>
      <c r="B473" t="str">
        <f>"CR3954"</f>
        <v>CR3954</v>
      </c>
      <c r="C473" t="s">
        <v>28166</v>
      </c>
      <c r="D473" t="s">
        <v>27263</v>
      </c>
      <c r="E473" t="str">
        <f t="shared" si="7"/>
        <v>001390</v>
      </c>
      <c r="F473" t="s">
        <v>27246</v>
      </c>
      <c r="G473" t="s">
        <v>27247</v>
      </c>
      <c r="H473" t="s">
        <v>27248</v>
      </c>
      <c r="I473" t="s">
        <v>28167</v>
      </c>
      <c r="J473" t="s">
        <v>940</v>
      </c>
      <c r="L473" t="s">
        <v>27250</v>
      </c>
      <c r="M473" t="s">
        <v>27251</v>
      </c>
      <c r="N473" t="s">
        <v>27252</v>
      </c>
      <c r="Q473" s="1">
        <v>44846</v>
      </c>
      <c r="R473" t="s">
        <v>27253</v>
      </c>
      <c r="S473" t="s">
        <v>27254</v>
      </c>
      <c r="T473" t="s">
        <v>27265</v>
      </c>
    </row>
    <row r="474" spans="1:20" x14ac:dyDescent="0.3">
      <c r="A474" t="str">
        <f>"0611831037100"</f>
        <v>0611831037100</v>
      </c>
      <c r="B474" t="str">
        <f>"LF0605"</f>
        <v>LF0605</v>
      </c>
      <c r="C474" t="s">
        <v>28168</v>
      </c>
      <c r="D474" t="s">
        <v>27245</v>
      </c>
      <c r="E474" t="str">
        <f t="shared" si="7"/>
        <v>001390</v>
      </c>
      <c r="F474" t="s">
        <v>27246</v>
      </c>
      <c r="G474" t="s">
        <v>27247</v>
      </c>
      <c r="H474" t="s">
        <v>27248</v>
      </c>
      <c r="I474" t="s">
        <v>28169</v>
      </c>
      <c r="J474" t="s">
        <v>942</v>
      </c>
      <c r="L474" t="s">
        <v>27250</v>
      </c>
      <c r="M474" t="s">
        <v>27251</v>
      </c>
      <c r="N474" t="s">
        <v>27252</v>
      </c>
      <c r="Q474" s="1">
        <v>44538</v>
      </c>
      <c r="R474" t="s">
        <v>27253</v>
      </c>
      <c r="S474" t="s">
        <v>27254</v>
      </c>
      <c r="T474" t="s">
        <v>27255</v>
      </c>
    </row>
    <row r="475" spans="1:20" x14ac:dyDescent="0.3">
      <c r="A475" t="str">
        <f>"0611831038025"</f>
        <v>0611831038025</v>
      </c>
      <c r="B475" t="str">
        <f>"MC3882"</f>
        <v>MC3882</v>
      </c>
      <c r="C475" t="s">
        <v>28170</v>
      </c>
      <c r="D475" t="s">
        <v>27267</v>
      </c>
      <c r="E475" t="str">
        <f t="shared" si="7"/>
        <v>001390</v>
      </c>
      <c r="F475" t="s">
        <v>27246</v>
      </c>
      <c r="G475" t="s">
        <v>27247</v>
      </c>
      <c r="H475" t="s">
        <v>27248</v>
      </c>
      <c r="I475" t="s">
        <v>28171</v>
      </c>
      <c r="J475" t="s">
        <v>944</v>
      </c>
      <c r="L475" t="s">
        <v>27250</v>
      </c>
      <c r="M475" t="s">
        <v>27251</v>
      </c>
      <c r="N475" t="s">
        <v>27252</v>
      </c>
      <c r="Q475" s="1">
        <v>44538</v>
      </c>
      <c r="R475" t="s">
        <v>27253</v>
      </c>
      <c r="S475" t="s">
        <v>27254</v>
      </c>
      <c r="T475" t="s">
        <v>27269</v>
      </c>
    </row>
    <row r="476" spans="1:20" x14ac:dyDescent="0.3">
      <c r="A476" t="str">
        <f>"0611831039025"</f>
        <v>0611831039025</v>
      </c>
      <c r="B476" t="str">
        <f>"MC4261"</f>
        <v>MC4261</v>
      </c>
      <c r="C476" t="s">
        <v>28172</v>
      </c>
      <c r="D476" t="s">
        <v>28057</v>
      </c>
      <c r="E476" t="str">
        <f t="shared" si="7"/>
        <v>001390</v>
      </c>
      <c r="F476" t="s">
        <v>27246</v>
      </c>
      <c r="G476" t="s">
        <v>27247</v>
      </c>
      <c r="H476" t="s">
        <v>27248</v>
      </c>
      <c r="I476" t="s">
        <v>28173</v>
      </c>
      <c r="J476" t="s">
        <v>946</v>
      </c>
      <c r="L476" t="s">
        <v>27250</v>
      </c>
      <c r="M476" t="s">
        <v>27251</v>
      </c>
      <c r="N476" t="s">
        <v>27252</v>
      </c>
      <c r="P476" t="s">
        <v>27925</v>
      </c>
      <c r="Q476" s="1">
        <v>44538</v>
      </c>
      <c r="R476" t="s">
        <v>27253</v>
      </c>
      <c r="S476" t="s">
        <v>27254</v>
      </c>
      <c r="T476" t="s">
        <v>27269</v>
      </c>
    </row>
    <row r="477" spans="1:20" x14ac:dyDescent="0.3">
      <c r="A477" t="str">
        <f>"0611831040025"</f>
        <v>0611831040025</v>
      </c>
      <c r="B477" t="str">
        <f>"MC0070"</f>
        <v>MC0070</v>
      </c>
      <c r="C477" t="s">
        <v>28174</v>
      </c>
      <c r="D477" t="s">
        <v>27267</v>
      </c>
      <c r="E477" t="str">
        <f t="shared" si="7"/>
        <v>001390</v>
      </c>
      <c r="F477" t="s">
        <v>27246</v>
      </c>
      <c r="G477" t="s">
        <v>27247</v>
      </c>
      <c r="H477" t="s">
        <v>27248</v>
      </c>
      <c r="I477" t="s">
        <v>28175</v>
      </c>
      <c r="J477" t="s">
        <v>948</v>
      </c>
      <c r="L477" t="s">
        <v>27250</v>
      </c>
      <c r="M477" t="s">
        <v>27251</v>
      </c>
      <c r="N477" t="s">
        <v>27252</v>
      </c>
      <c r="Q477" s="1">
        <v>44538</v>
      </c>
      <c r="R477" t="s">
        <v>27253</v>
      </c>
      <c r="S477" t="s">
        <v>27254</v>
      </c>
      <c r="T477" t="s">
        <v>27269</v>
      </c>
    </row>
    <row r="478" spans="1:20" x14ac:dyDescent="0.3">
      <c r="A478" t="str">
        <f>"0611831041025"</f>
        <v>0611831041025</v>
      </c>
      <c r="B478" t="str">
        <f>"MQ0685"</f>
        <v>MQ0685</v>
      </c>
      <c r="C478" t="s">
        <v>28176</v>
      </c>
      <c r="D478" t="s">
        <v>28057</v>
      </c>
      <c r="E478" t="str">
        <f t="shared" si="7"/>
        <v>001390</v>
      </c>
      <c r="F478" t="s">
        <v>27246</v>
      </c>
      <c r="G478" t="s">
        <v>27247</v>
      </c>
      <c r="H478" t="s">
        <v>27248</v>
      </c>
      <c r="I478" t="s">
        <v>28177</v>
      </c>
      <c r="J478" t="s">
        <v>950</v>
      </c>
      <c r="L478" t="s">
        <v>27250</v>
      </c>
      <c r="M478" t="s">
        <v>27251</v>
      </c>
      <c r="N478" t="s">
        <v>27252</v>
      </c>
      <c r="P478" t="s">
        <v>27925</v>
      </c>
      <c r="Q478" s="1">
        <v>44538</v>
      </c>
      <c r="R478" t="s">
        <v>27253</v>
      </c>
      <c r="S478" t="s">
        <v>27254</v>
      </c>
      <c r="T478" t="s">
        <v>27269</v>
      </c>
    </row>
    <row r="479" spans="1:20" x14ac:dyDescent="0.3">
      <c r="A479" t="str">
        <f>"0611860515050"</f>
        <v>0611860515050</v>
      </c>
      <c r="B479" t="str">
        <f>"CE0956"</f>
        <v>CE0956</v>
      </c>
      <c r="C479" t="s">
        <v>28176</v>
      </c>
      <c r="D479" t="s">
        <v>27923</v>
      </c>
      <c r="E479" t="str">
        <f t="shared" si="7"/>
        <v>001390</v>
      </c>
      <c r="F479" t="s">
        <v>27246</v>
      </c>
      <c r="G479" t="s">
        <v>27247</v>
      </c>
      <c r="H479" t="s">
        <v>27248</v>
      </c>
      <c r="I479" t="s">
        <v>28178</v>
      </c>
      <c r="J479" t="s">
        <v>952</v>
      </c>
      <c r="L479" t="s">
        <v>27250</v>
      </c>
      <c r="M479" t="s">
        <v>27251</v>
      </c>
      <c r="N479" t="s">
        <v>27252</v>
      </c>
      <c r="P479" t="s">
        <v>27925</v>
      </c>
      <c r="Q479" s="1">
        <v>44846</v>
      </c>
      <c r="R479" t="s">
        <v>27253</v>
      </c>
      <c r="S479" t="s">
        <v>27254</v>
      </c>
      <c r="T479" t="s">
        <v>27265</v>
      </c>
    </row>
    <row r="480" spans="1:20" x14ac:dyDescent="0.3">
      <c r="A480" t="str">
        <f>"0611831042025"</f>
        <v>0611831042025</v>
      </c>
      <c r="B480" t="str">
        <f>"MQ0612"</f>
        <v>MQ0612</v>
      </c>
      <c r="C480" t="s">
        <v>28179</v>
      </c>
      <c r="D480" t="s">
        <v>28057</v>
      </c>
      <c r="E480" t="str">
        <f t="shared" si="7"/>
        <v>001390</v>
      </c>
      <c r="F480" t="s">
        <v>27246</v>
      </c>
      <c r="G480" t="s">
        <v>27247</v>
      </c>
      <c r="H480" t="s">
        <v>27248</v>
      </c>
      <c r="I480" t="s">
        <v>28180</v>
      </c>
      <c r="J480" t="s">
        <v>954</v>
      </c>
      <c r="L480" t="s">
        <v>27250</v>
      </c>
      <c r="M480" t="s">
        <v>27251</v>
      </c>
      <c r="N480" t="s">
        <v>27252</v>
      </c>
      <c r="P480" t="s">
        <v>27925</v>
      </c>
      <c r="Q480" s="1">
        <v>44538</v>
      </c>
      <c r="R480" t="s">
        <v>27253</v>
      </c>
      <c r="S480" t="s">
        <v>27254</v>
      </c>
      <c r="T480" t="s">
        <v>27269</v>
      </c>
    </row>
    <row r="481" spans="1:20" x14ac:dyDescent="0.3">
      <c r="A481" t="str">
        <f>"0611831043025"</f>
        <v>0611831043025</v>
      </c>
      <c r="B481" t="str">
        <f>"MQ0613"</f>
        <v>MQ0613</v>
      </c>
      <c r="C481" t="s">
        <v>28181</v>
      </c>
      <c r="D481" t="s">
        <v>28057</v>
      </c>
      <c r="E481" t="str">
        <f t="shared" si="7"/>
        <v>001390</v>
      </c>
      <c r="F481" t="s">
        <v>27246</v>
      </c>
      <c r="G481" t="s">
        <v>27247</v>
      </c>
      <c r="H481" t="s">
        <v>27248</v>
      </c>
      <c r="I481" t="s">
        <v>28182</v>
      </c>
      <c r="J481" t="s">
        <v>956</v>
      </c>
      <c r="L481" t="s">
        <v>27250</v>
      </c>
      <c r="M481" t="s">
        <v>27251</v>
      </c>
      <c r="N481" t="s">
        <v>27252</v>
      </c>
      <c r="P481" t="s">
        <v>27925</v>
      </c>
      <c r="Q481" s="1">
        <v>44538</v>
      </c>
      <c r="R481" t="s">
        <v>27253</v>
      </c>
      <c r="S481" t="s">
        <v>27254</v>
      </c>
      <c r="T481" t="s">
        <v>27269</v>
      </c>
    </row>
    <row r="482" spans="1:20" x14ac:dyDescent="0.3">
      <c r="A482" t="str">
        <f>"0611831044100"</f>
        <v>0611831044100</v>
      </c>
      <c r="B482" t="str">
        <f>"LQ0410"</f>
        <v>LQ0410</v>
      </c>
      <c r="C482" t="s">
        <v>28183</v>
      </c>
      <c r="D482" t="s">
        <v>27245</v>
      </c>
      <c r="E482" t="str">
        <f t="shared" si="7"/>
        <v>001390</v>
      </c>
      <c r="F482" t="s">
        <v>27246</v>
      </c>
      <c r="G482" t="s">
        <v>27247</v>
      </c>
      <c r="H482" t="s">
        <v>27248</v>
      </c>
      <c r="I482" t="s">
        <v>28184</v>
      </c>
      <c r="J482" t="s">
        <v>958</v>
      </c>
      <c r="L482" t="s">
        <v>27250</v>
      </c>
      <c r="M482" t="s">
        <v>27251</v>
      </c>
      <c r="N482" t="s">
        <v>27252</v>
      </c>
      <c r="Q482" s="1">
        <v>44538</v>
      </c>
      <c r="R482" t="s">
        <v>27253</v>
      </c>
      <c r="S482" t="s">
        <v>27254</v>
      </c>
      <c r="T482" t="s">
        <v>27255</v>
      </c>
    </row>
    <row r="483" spans="1:20" x14ac:dyDescent="0.3">
      <c r="A483" t="str">
        <f>"0611860516050"</f>
        <v>0611860516050</v>
      </c>
      <c r="B483" t="str">
        <f>"CR2001"</f>
        <v>CR2001</v>
      </c>
      <c r="C483" t="s">
        <v>28185</v>
      </c>
      <c r="D483" t="s">
        <v>27263</v>
      </c>
      <c r="E483" t="str">
        <f t="shared" si="7"/>
        <v>001390</v>
      </c>
      <c r="F483" t="s">
        <v>27246</v>
      </c>
      <c r="G483" t="s">
        <v>27247</v>
      </c>
      <c r="H483" t="s">
        <v>27248</v>
      </c>
      <c r="I483" t="s">
        <v>28186</v>
      </c>
      <c r="J483" t="s">
        <v>960</v>
      </c>
      <c r="L483" t="s">
        <v>27250</v>
      </c>
      <c r="M483" t="s">
        <v>27251</v>
      </c>
      <c r="N483" t="s">
        <v>27252</v>
      </c>
      <c r="Q483" s="1">
        <v>44846</v>
      </c>
      <c r="R483" t="s">
        <v>27253</v>
      </c>
      <c r="S483" t="s">
        <v>27254</v>
      </c>
      <c r="T483" t="s">
        <v>27265</v>
      </c>
    </row>
    <row r="484" spans="1:20" x14ac:dyDescent="0.3">
      <c r="A484" t="str">
        <f>"0611831045100"</f>
        <v>0611831045100</v>
      </c>
      <c r="B484" t="str">
        <f>"LK2519"</f>
        <v>LK2519</v>
      </c>
      <c r="C484" t="s">
        <v>28187</v>
      </c>
      <c r="D484" t="s">
        <v>27245</v>
      </c>
      <c r="E484" t="str">
        <f t="shared" si="7"/>
        <v>001390</v>
      </c>
      <c r="F484" t="s">
        <v>27246</v>
      </c>
      <c r="G484" t="s">
        <v>27247</v>
      </c>
      <c r="H484" t="s">
        <v>27248</v>
      </c>
      <c r="I484" t="s">
        <v>28188</v>
      </c>
      <c r="J484" t="s">
        <v>962</v>
      </c>
      <c r="L484" t="s">
        <v>27250</v>
      </c>
      <c r="M484" t="s">
        <v>27251</v>
      </c>
      <c r="N484" t="s">
        <v>27252</v>
      </c>
      <c r="Q484" s="1">
        <v>44538</v>
      </c>
      <c r="R484" t="s">
        <v>27253</v>
      </c>
      <c r="S484" t="s">
        <v>27254</v>
      </c>
      <c r="T484" t="s">
        <v>27255</v>
      </c>
    </row>
    <row r="485" spans="1:20" x14ac:dyDescent="0.3">
      <c r="A485" t="str">
        <f>"0611860517050"</f>
        <v>0611860517050</v>
      </c>
      <c r="B485" t="str">
        <f>"CR2002"</f>
        <v>CR2002</v>
      </c>
      <c r="C485" t="s">
        <v>28187</v>
      </c>
      <c r="D485" t="s">
        <v>27263</v>
      </c>
      <c r="E485" t="str">
        <f t="shared" si="7"/>
        <v>001390</v>
      </c>
      <c r="F485" t="s">
        <v>27246</v>
      </c>
      <c r="G485" t="s">
        <v>27247</v>
      </c>
      <c r="H485" t="s">
        <v>27248</v>
      </c>
      <c r="I485" t="s">
        <v>28189</v>
      </c>
      <c r="J485" t="s">
        <v>964</v>
      </c>
      <c r="L485" t="s">
        <v>27250</v>
      </c>
      <c r="M485" t="s">
        <v>27251</v>
      </c>
      <c r="N485" t="s">
        <v>27252</v>
      </c>
      <c r="Q485" s="1">
        <v>44846</v>
      </c>
      <c r="R485" t="s">
        <v>27253</v>
      </c>
      <c r="S485" t="s">
        <v>27254</v>
      </c>
      <c r="T485" t="s">
        <v>27265</v>
      </c>
    </row>
    <row r="486" spans="1:20" x14ac:dyDescent="0.3">
      <c r="A486" t="str">
        <f>"0611860518050"</f>
        <v>0611860518050</v>
      </c>
      <c r="B486" t="str">
        <f>"CR2003"</f>
        <v>CR2003</v>
      </c>
      <c r="C486" t="s">
        <v>28190</v>
      </c>
      <c r="D486" t="s">
        <v>27271</v>
      </c>
      <c r="E486" t="str">
        <f t="shared" si="7"/>
        <v>001390</v>
      </c>
      <c r="F486" t="s">
        <v>27246</v>
      </c>
      <c r="G486" t="s">
        <v>27247</v>
      </c>
      <c r="H486" t="s">
        <v>27248</v>
      </c>
      <c r="I486" t="s">
        <v>28191</v>
      </c>
      <c r="J486" t="s">
        <v>966</v>
      </c>
      <c r="L486" t="s">
        <v>27250</v>
      </c>
      <c r="M486" t="s">
        <v>27251</v>
      </c>
      <c r="N486" t="s">
        <v>27252</v>
      </c>
      <c r="P486" t="s">
        <v>27341</v>
      </c>
      <c r="Q486" s="1">
        <v>44846</v>
      </c>
      <c r="R486" t="s">
        <v>27253</v>
      </c>
      <c r="S486" t="s">
        <v>27254</v>
      </c>
      <c r="T486" t="s">
        <v>27265</v>
      </c>
    </row>
    <row r="487" spans="1:20" x14ac:dyDescent="0.3">
      <c r="A487" t="str">
        <f>"0611860519050"</f>
        <v>0611860519050</v>
      </c>
      <c r="B487" t="str">
        <f>"CR3468"</f>
        <v>CR3468</v>
      </c>
      <c r="C487" t="s">
        <v>28192</v>
      </c>
      <c r="D487" t="s">
        <v>27271</v>
      </c>
      <c r="E487" t="str">
        <f t="shared" si="7"/>
        <v>001390</v>
      </c>
      <c r="F487" t="s">
        <v>27246</v>
      </c>
      <c r="G487" t="s">
        <v>27247</v>
      </c>
      <c r="H487" t="s">
        <v>27248</v>
      </c>
      <c r="I487" t="s">
        <v>28193</v>
      </c>
      <c r="J487" t="s">
        <v>968</v>
      </c>
      <c r="L487" t="s">
        <v>27250</v>
      </c>
      <c r="M487" t="s">
        <v>27251</v>
      </c>
      <c r="N487" t="s">
        <v>27252</v>
      </c>
      <c r="P487" t="s">
        <v>27341</v>
      </c>
      <c r="Q487" s="1">
        <v>44846</v>
      </c>
      <c r="R487" t="s">
        <v>27253</v>
      </c>
      <c r="S487" t="s">
        <v>27254</v>
      </c>
      <c r="T487" t="s">
        <v>27265</v>
      </c>
    </row>
    <row r="488" spans="1:20" x14ac:dyDescent="0.3">
      <c r="A488" t="str">
        <f>"0611860520050"</f>
        <v>0611860520050</v>
      </c>
      <c r="B488" t="str">
        <f>"CR2004"</f>
        <v>CR2004</v>
      </c>
      <c r="C488" t="s">
        <v>28194</v>
      </c>
      <c r="D488" t="s">
        <v>27271</v>
      </c>
      <c r="E488" t="str">
        <f t="shared" si="7"/>
        <v>001390</v>
      </c>
      <c r="F488" t="s">
        <v>27246</v>
      </c>
      <c r="G488" t="s">
        <v>27247</v>
      </c>
      <c r="H488" t="s">
        <v>27248</v>
      </c>
      <c r="I488" t="s">
        <v>28195</v>
      </c>
      <c r="J488" t="s">
        <v>970</v>
      </c>
      <c r="L488" t="s">
        <v>27250</v>
      </c>
      <c r="M488" t="s">
        <v>27251</v>
      </c>
      <c r="N488" t="s">
        <v>27252</v>
      </c>
      <c r="P488" t="s">
        <v>27341</v>
      </c>
      <c r="Q488" s="1">
        <v>44846</v>
      </c>
      <c r="R488" t="s">
        <v>27253</v>
      </c>
      <c r="S488" t="s">
        <v>27254</v>
      </c>
      <c r="T488" t="s">
        <v>27265</v>
      </c>
    </row>
    <row r="489" spans="1:20" x14ac:dyDescent="0.3">
      <c r="A489" t="str">
        <f>"0611860521050"</f>
        <v>0611860521050</v>
      </c>
      <c r="B489" t="str">
        <f>"CR2005"</f>
        <v>CR2005</v>
      </c>
      <c r="C489" t="s">
        <v>28196</v>
      </c>
      <c r="D489" t="s">
        <v>27271</v>
      </c>
      <c r="E489" t="str">
        <f t="shared" si="7"/>
        <v>001390</v>
      </c>
      <c r="F489" t="s">
        <v>27246</v>
      </c>
      <c r="G489" t="s">
        <v>27247</v>
      </c>
      <c r="H489" t="s">
        <v>27248</v>
      </c>
      <c r="I489" t="s">
        <v>28197</v>
      </c>
      <c r="J489" t="s">
        <v>972</v>
      </c>
      <c r="L489" t="s">
        <v>27250</v>
      </c>
      <c r="M489" t="s">
        <v>27251</v>
      </c>
      <c r="N489" t="s">
        <v>27252</v>
      </c>
      <c r="P489" t="s">
        <v>27341</v>
      </c>
      <c r="Q489" s="1">
        <v>44846</v>
      </c>
      <c r="R489" t="s">
        <v>27253</v>
      </c>
      <c r="S489" t="s">
        <v>27254</v>
      </c>
      <c r="T489" t="s">
        <v>27265</v>
      </c>
    </row>
    <row r="490" spans="1:20" x14ac:dyDescent="0.3">
      <c r="A490" t="str">
        <f>"0611860522050"</f>
        <v>0611860522050</v>
      </c>
      <c r="B490" t="str">
        <f>"CR3281"</f>
        <v>CR3281</v>
      </c>
      <c r="C490" t="s">
        <v>28198</v>
      </c>
      <c r="D490" t="s">
        <v>27271</v>
      </c>
      <c r="E490" t="str">
        <f t="shared" si="7"/>
        <v>001390</v>
      </c>
      <c r="F490" t="s">
        <v>27246</v>
      </c>
      <c r="G490" t="s">
        <v>27247</v>
      </c>
      <c r="H490" t="s">
        <v>27248</v>
      </c>
      <c r="I490" t="s">
        <v>28199</v>
      </c>
      <c r="J490" t="s">
        <v>974</v>
      </c>
      <c r="L490" t="s">
        <v>27250</v>
      </c>
      <c r="M490" t="s">
        <v>27251</v>
      </c>
      <c r="N490" t="s">
        <v>27252</v>
      </c>
      <c r="P490" t="s">
        <v>27341</v>
      </c>
      <c r="Q490" s="1">
        <v>44846</v>
      </c>
      <c r="R490" t="s">
        <v>27253</v>
      </c>
      <c r="S490" t="s">
        <v>27254</v>
      </c>
      <c r="T490" t="s">
        <v>27265</v>
      </c>
    </row>
    <row r="491" spans="1:20" x14ac:dyDescent="0.3">
      <c r="A491" t="str">
        <f>"0611831047100"</f>
        <v>0611831047100</v>
      </c>
      <c r="B491" t="str">
        <f>"LQ5823"</f>
        <v>LQ5823</v>
      </c>
      <c r="C491" t="s">
        <v>28200</v>
      </c>
      <c r="D491" t="s">
        <v>27245</v>
      </c>
      <c r="E491" t="str">
        <f t="shared" si="7"/>
        <v>001390</v>
      </c>
      <c r="F491" t="s">
        <v>27246</v>
      </c>
      <c r="G491" t="s">
        <v>27247</v>
      </c>
      <c r="H491" t="s">
        <v>27248</v>
      </c>
      <c r="I491" t="s">
        <v>28201</v>
      </c>
      <c r="J491" t="s">
        <v>976</v>
      </c>
      <c r="L491" t="s">
        <v>27250</v>
      </c>
      <c r="M491" t="s">
        <v>27251</v>
      </c>
      <c r="N491" t="s">
        <v>27252</v>
      </c>
      <c r="Q491" s="1">
        <v>44538</v>
      </c>
      <c r="R491" t="s">
        <v>27253</v>
      </c>
      <c r="S491" t="s">
        <v>27254</v>
      </c>
      <c r="T491" t="s">
        <v>27255</v>
      </c>
    </row>
    <row r="492" spans="1:20" x14ac:dyDescent="0.3">
      <c r="A492" t="str">
        <f>"0611831051100"</f>
        <v>0611831051100</v>
      </c>
      <c r="B492" t="str">
        <f>"LQ0859"</f>
        <v>LQ0859</v>
      </c>
      <c r="C492" t="s">
        <v>28202</v>
      </c>
      <c r="D492" t="s">
        <v>27245</v>
      </c>
      <c r="E492" t="str">
        <f t="shared" si="7"/>
        <v>001390</v>
      </c>
      <c r="F492" t="s">
        <v>27246</v>
      </c>
      <c r="G492" t="s">
        <v>27247</v>
      </c>
      <c r="H492" t="s">
        <v>27248</v>
      </c>
      <c r="I492" t="s">
        <v>28203</v>
      </c>
      <c r="J492" t="s">
        <v>978</v>
      </c>
      <c r="L492" t="s">
        <v>27250</v>
      </c>
      <c r="M492" t="s">
        <v>27251</v>
      </c>
      <c r="N492" t="s">
        <v>27252</v>
      </c>
      <c r="Q492" s="1">
        <v>44538</v>
      </c>
      <c r="R492" t="s">
        <v>27253</v>
      </c>
      <c r="S492" t="s">
        <v>27254</v>
      </c>
      <c r="T492" t="s">
        <v>27255</v>
      </c>
    </row>
    <row r="493" spans="1:20" x14ac:dyDescent="0.3">
      <c r="A493" t="str">
        <f>"0611831053100"</f>
        <v>0611831053100</v>
      </c>
      <c r="B493" t="str">
        <f>"LQ6221"</f>
        <v>LQ6221</v>
      </c>
      <c r="C493" t="s">
        <v>28204</v>
      </c>
      <c r="D493" t="s">
        <v>27245</v>
      </c>
      <c r="E493" t="str">
        <f t="shared" si="7"/>
        <v>001390</v>
      </c>
      <c r="F493" t="s">
        <v>27246</v>
      </c>
      <c r="G493" t="s">
        <v>27247</v>
      </c>
      <c r="H493" t="s">
        <v>27248</v>
      </c>
      <c r="I493" t="s">
        <v>28205</v>
      </c>
      <c r="J493" t="s">
        <v>980</v>
      </c>
      <c r="L493" t="s">
        <v>27250</v>
      </c>
      <c r="M493" t="s">
        <v>27251</v>
      </c>
      <c r="N493" t="s">
        <v>27252</v>
      </c>
      <c r="Q493" s="1">
        <v>44538</v>
      </c>
      <c r="R493" t="s">
        <v>27253</v>
      </c>
      <c r="S493" t="s">
        <v>27254</v>
      </c>
      <c r="T493" t="s">
        <v>27255</v>
      </c>
    </row>
    <row r="494" spans="1:20" x14ac:dyDescent="0.3">
      <c r="A494" t="str">
        <f>"0611831054100"</f>
        <v>0611831054100</v>
      </c>
      <c r="B494" t="str">
        <f>"LH5608"</f>
        <v>LH5608</v>
      </c>
      <c r="C494" t="s">
        <v>28206</v>
      </c>
      <c r="D494" t="s">
        <v>27245</v>
      </c>
      <c r="E494" t="str">
        <f t="shared" si="7"/>
        <v>001390</v>
      </c>
      <c r="F494" t="s">
        <v>27246</v>
      </c>
      <c r="G494" t="s">
        <v>27247</v>
      </c>
      <c r="H494" t="s">
        <v>27248</v>
      </c>
      <c r="I494" t="s">
        <v>28207</v>
      </c>
      <c r="J494" t="s">
        <v>982</v>
      </c>
      <c r="L494" t="s">
        <v>27250</v>
      </c>
      <c r="M494" t="s">
        <v>27251</v>
      </c>
      <c r="N494" t="s">
        <v>27252</v>
      </c>
      <c r="Q494" s="1">
        <v>44538</v>
      </c>
      <c r="R494" t="s">
        <v>27253</v>
      </c>
      <c r="S494" t="s">
        <v>27254</v>
      </c>
      <c r="T494" t="s">
        <v>27255</v>
      </c>
    </row>
    <row r="495" spans="1:20" x14ac:dyDescent="0.3">
      <c r="A495" t="str">
        <f>"0611860524050"</f>
        <v>0611860524050</v>
      </c>
      <c r="B495" t="str">
        <f>"CE1079"</f>
        <v>CE1079</v>
      </c>
      <c r="C495" t="s">
        <v>28208</v>
      </c>
      <c r="D495" t="s">
        <v>27923</v>
      </c>
      <c r="E495" t="str">
        <f t="shared" si="7"/>
        <v>001390</v>
      </c>
      <c r="F495" t="s">
        <v>27246</v>
      </c>
      <c r="G495" t="s">
        <v>27247</v>
      </c>
      <c r="H495" t="s">
        <v>27248</v>
      </c>
      <c r="I495" t="s">
        <v>28209</v>
      </c>
      <c r="J495" t="s">
        <v>984</v>
      </c>
      <c r="L495" t="s">
        <v>27250</v>
      </c>
      <c r="M495" t="s">
        <v>27251</v>
      </c>
      <c r="N495" t="s">
        <v>27252</v>
      </c>
      <c r="P495" t="s">
        <v>27925</v>
      </c>
      <c r="Q495" s="1">
        <v>44846</v>
      </c>
      <c r="R495" t="s">
        <v>27253</v>
      </c>
      <c r="S495" t="s">
        <v>27254</v>
      </c>
      <c r="T495" t="s">
        <v>27265</v>
      </c>
    </row>
    <row r="496" spans="1:20" x14ac:dyDescent="0.3">
      <c r="A496" t="str">
        <f>"0611860525050"</f>
        <v>0611860525050</v>
      </c>
      <c r="B496" t="str">
        <f>"CE0918"</f>
        <v>CE0918</v>
      </c>
      <c r="C496" t="s">
        <v>28210</v>
      </c>
      <c r="D496" t="s">
        <v>27923</v>
      </c>
      <c r="E496" t="str">
        <f t="shared" si="7"/>
        <v>001390</v>
      </c>
      <c r="F496" t="s">
        <v>27246</v>
      </c>
      <c r="G496" t="s">
        <v>27247</v>
      </c>
      <c r="H496" t="s">
        <v>27248</v>
      </c>
      <c r="I496" t="s">
        <v>28211</v>
      </c>
      <c r="J496" t="s">
        <v>986</v>
      </c>
      <c r="L496" t="s">
        <v>27250</v>
      </c>
      <c r="M496" t="s">
        <v>27251</v>
      </c>
      <c r="N496" t="s">
        <v>27252</v>
      </c>
      <c r="P496" t="s">
        <v>27925</v>
      </c>
      <c r="Q496" s="1">
        <v>44846</v>
      </c>
      <c r="R496" t="s">
        <v>27253</v>
      </c>
      <c r="S496" t="s">
        <v>27254</v>
      </c>
      <c r="T496" t="s">
        <v>27265</v>
      </c>
    </row>
    <row r="497" spans="1:20" x14ac:dyDescent="0.3">
      <c r="A497" t="str">
        <f>"0611860526050"</f>
        <v>0611860526050</v>
      </c>
      <c r="B497" t="str">
        <f>"CE0385"</f>
        <v>CE0385</v>
      </c>
      <c r="C497" t="s">
        <v>28212</v>
      </c>
      <c r="D497" t="s">
        <v>27923</v>
      </c>
      <c r="E497" t="str">
        <f t="shared" si="7"/>
        <v>001390</v>
      </c>
      <c r="F497" t="s">
        <v>27246</v>
      </c>
      <c r="G497" t="s">
        <v>27247</v>
      </c>
      <c r="H497" t="s">
        <v>27248</v>
      </c>
      <c r="I497" t="s">
        <v>28213</v>
      </c>
      <c r="J497" t="s">
        <v>988</v>
      </c>
      <c r="L497" t="s">
        <v>27250</v>
      </c>
      <c r="M497" t="s">
        <v>27251</v>
      </c>
      <c r="N497" t="s">
        <v>27252</v>
      </c>
      <c r="P497" t="s">
        <v>27925</v>
      </c>
      <c r="Q497" s="1">
        <v>44846</v>
      </c>
      <c r="R497" t="s">
        <v>27253</v>
      </c>
      <c r="S497" t="s">
        <v>27254</v>
      </c>
      <c r="T497" t="s">
        <v>27265</v>
      </c>
    </row>
    <row r="498" spans="1:20" x14ac:dyDescent="0.3">
      <c r="A498" t="str">
        <f>"0611860527050"</f>
        <v>0611860527050</v>
      </c>
      <c r="B498" t="str">
        <f>"CE1080"</f>
        <v>CE1080</v>
      </c>
      <c r="C498" t="s">
        <v>28214</v>
      </c>
      <c r="D498" t="s">
        <v>27923</v>
      </c>
      <c r="E498" t="str">
        <f t="shared" si="7"/>
        <v>001390</v>
      </c>
      <c r="F498" t="s">
        <v>27246</v>
      </c>
      <c r="G498" t="s">
        <v>27247</v>
      </c>
      <c r="H498" t="s">
        <v>27248</v>
      </c>
      <c r="I498" t="s">
        <v>28215</v>
      </c>
      <c r="J498" t="s">
        <v>990</v>
      </c>
      <c r="L498" t="s">
        <v>27250</v>
      </c>
      <c r="M498" t="s">
        <v>27251</v>
      </c>
      <c r="N498" t="s">
        <v>27252</v>
      </c>
      <c r="P498" t="s">
        <v>27925</v>
      </c>
      <c r="Q498" s="1">
        <v>44846</v>
      </c>
      <c r="R498" t="s">
        <v>27253</v>
      </c>
      <c r="S498" t="s">
        <v>27254</v>
      </c>
      <c r="T498" t="s">
        <v>27265</v>
      </c>
    </row>
    <row r="499" spans="1:20" x14ac:dyDescent="0.3">
      <c r="A499" t="str">
        <f>"0611860528050"</f>
        <v>0611860528050</v>
      </c>
      <c r="B499" t="str">
        <f>"CE1081"</f>
        <v>CE1081</v>
      </c>
      <c r="C499" t="s">
        <v>28216</v>
      </c>
      <c r="D499" t="s">
        <v>27923</v>
      </c>
      <c r="E499" t="str">
        <f t="shared" si="7"/>
        <v>001390</v>
      </c>
      <c r="F499" t="s">
        <v>27246</v>
      </c>
      <c r="G499" t="s">
        <v>27247</v>
      </c>
      <c r="H499" t="s">
        <v>27248</v>
      </c>
      <c r="I499" t="s">
        <v>28217</v>
      </c>
      <c r="J499" t="s">
        <v>992</v>
      </c>
      <c r="L499" t="s">
        <v>27250</v>
      </c>
      <c r="M499" t="s">
        <v>27251</v>
      </c>
      <c r="N499" t="s">
        <v>27252</v>
      </c>
      <c r="P499" t="s">
        <v>27925</v>
      </c>
      <c r="Q499" s="1">
        <v>44846</v>
      </c>
      <c r="R499" t="s">
        <v>27253</v>
      </c>
      <c r="S499" t="s">
        <v>27254</v>
      </c>
      <c r="T499" t="s">
        <v>27265</v>
      </c>
    </row>
    <row r="500" spans="1:20" x14ac:dyDescent="0.3">
      <c r="A500" t="str">
        <f>"0611831055100"</f>
        <v>0611831055100</v>
      </c>
      <c r="B500" t="str">
        <f>"LQ6151"</f>
        <v>LQ6151</v>
      </c>
      <c r="C500" t="s">
        <v>28218</v>
      </c>
      <c r="D500" t="s">
        <v>27245</v>
      </c>
      <c r="E500" t="str">
        <f t="shared" si="7"/>
        <v>001390</v>
      </c>
      <c r="F500" t="s">
        <v>27246</v>
      </c>
      <c r="G500" t="s">
        <v>27247</v>
      </c>
      <c r="H500" t="s">
        <v>27248</v>
      </c>
      <c r="I500" t="s">
        <v>28219</v>
      </c>
      <c r="J500" t="s">
        <v>994</v>
      </c>
      <c r="L500" t="s">
        <v>27250</v>
      </c>
      <c r="M500" t="s">
        <v>27251</v>
      </c>
      <c r="N500" t="s">
        <v>27252</v>
      </c>
      <c r="Q500" s="1">
        <v>44538</v>
      </c>
      <c r="R500" t="s">
        <v>27253</v>
      </c>
      <c r="S500" t="s">
        <v>27254</v>
      </c>
      <c r="T500" t="s">
        <v>27255</v>
      </c>
    </row>
    <row r="501" spans="1:20" x14ac:dyDescent="0.3">
      <c r="A501" t="str">
        <f>"0611831056100"</f>
        <v>0611831056100</v>
      </c>
      <c r="B501" t="str">
        <f>"LK2050"</f>
        <v>LK2050</v>
      </c>
      <c r="C501" t="s">
        <v>28220</v>
      </c>
      <c r="D501" t="s">
        <v>27245</v>
      </c>
      <c r="E501" t="str">
        <f t="shared" si="7"/>
        <v>001390</v>
      </c>
      <c r="F501" t="s">
        <v>27246</v>
      </c>
      <c r="G501" t="s">
        <v>27247</v>
      </c>
      <c r="H501" t="s">
        <v>27248</v>
      </c>
      <c r="I501" t="s">
        <v>28221</v>
      </c>
      <c r="J501" t="s">
        <v>996</v>
      </c>
      <c r="L501" t="s">
        <v>27250</v>
      </c>
      <c r="M501" t="s">
        <v>27251</v>
      </c>
      <c r="N501" t="s">
        <v>27252</v>
      </c>
      <c r="Q501" s="1">
        <v>44538</v>
      </c>
      <c r="R501" t="s">
        <v>27253</v>
      </c>
      <c r="S501" t="s">
        <v>27254</v>
      </c>
      <c r="T501" t="s">
        <v>27255</v>
      </c>
    </row>
    <row r="502" spans="1:20" x14ac:dyDescent="0.3">
      <c r="A502" t="str">
        <f>"0611831057100"</f>
        <v>0611831057100</v>
      </c>
      <c r="B502" t="str">
        <f>"LK2051"</f>
        <v>LK2051</v>
      </c>
      <c r="C502" t="s">
        <v>28222</v>
      </c>
      <c r="D502" t="s">
        <v>27245</v>
      </c>
      <c r="E502" t="str">
        <f t="shared" si="7"/>
        <v>001390</v>
      </c>
      <c r="F502" t="s">
        <v>27246</v>
      </c>
      <c r="G502" t="s">
        <v>27247</v>
      </c>
      <c r="H502" t="s">
        <v>27248</v>
      </c>
      <c r="I502" t="s">
        <v>28223</v>
      </c>
      <c r="J502" t="s">
        <v>998</v>
      </c>
      <c r="L502" t="s">
        <v>27250</v>
      </c>
      <c r="M502" t="s">
        <v>27251</v>
      </c>
      <c r="N502" t="s">
        <v>27252</v>
      </c>
      <c r="Q502" s="1">
        <v>44538</v>
      </c>
      <c r="R502" t="s">
        <v>27253</v>
      </c>
      <c r="S502" t="s">
        <v>27254</v>
      </c>
      <c r="T502" t="s">
        <v>27255</v>
      </c>
    </row>
    <row r="503" spans="1:20" x14ac:dyDescent="0.3">
      <c r="A503" t="str">
        <f>"0611831059025"</f>
        <v>0611831059025</v>
      </c>
      <c r="B503" t="str">
        <f>"MC0075"</f>
        <v>MC0075</v>
      </c>
      <c r="C503" t="s">
        <v>28224</v>
      </c>
      <c r="D503" t="s">
        <v>27267</v>
      </c>
      <c r="E503" t="str">
        <f t="shared" si="7"/>
        <v>001390</v>
      </c>
      <c r="F503" t="s">
        <v>27246</v>
      </c>
      <c r="G503" t="s">
        <v>27247</v>
      </c>
      <c r="H503" t="s">
        <v>27248</v>
      </c>
      <c r="I503" t="s">
        <v>28225</v>
      </c>
      <c r="J503" t="s">
        <v>1000</v>
      </c>
      <c r="L503" t="s">
        <v>27250</v>
      </c>
      <c r="M503" t="s">
        <v>27251</v>
      </c>
      <c r="N503" t="s">
        <v>27252</v>
      </c>
      <c r="Q503" s="1">
        <v>44538</v>
      </c>
      <c r="R503" t="s">
        <v>27253</v>
      </c>
      <c r="S503" t="s">
        <v>27254</v>
      </c>
      <c r="T503" t="s">
        <v>27269</v>
      </c>
    </row>
    <row r="504" spans="1:20" x14ac:dyDescent="0.3">
      <c r="A504" t="str">
        <f>"0611831060025"</f>
        <v>0611831060025</v>
      </c>
      <c r="B504" t="str">
        <f>"MC3543"</f>
        <v>MC3543</v>
      </c>
      <c r="C504" t="s">
        <v>28226</v>
      </c>
      <c r="D504" t="s">
        <v>27267</v>
      </c>
      <c r="E504" t="str">
        <f t="shared" si="7"/>
        <v>001390</v>
      </c>
      <c r="F504" t="s">
        <v>27246</v>
      </c>
      <c r="G504" t="s">
        <v>27247</v>
      </c>
      <c r="H504" t="s">
        <v>27248</v>
      </c>
      <c r="I504" t="s">
        <v>28227</v>
      </c>
      <c r="J504" t="s">
        <v>1002</v>
      </c>
      <c r="L504" t="s">
        <v>27250</v>
      </c>
      <c r="M504" t="s">
        <v>27251</v>
      </c>
      <c r="N504" t="s">
        <v>27252</v>
      </c>
      <c r="Q504" s="1">
        <v>44538</v>
      </c>
      <c r="R504" t="s">
        <v>27253</v>
      </c>
      <c r="S504" t="s">
        <v>27254</v>
      </c>
      <c r="T504" t="s">
        <v>27269</v>
      </c>
    </row>
    <row r="505" spans="1:20" x14ac:dyDescent="0.3">
      <c r="A505" t="str">
        <f>"0611831061025"</f>
        <v>0611831061025</v>
      </c>
      <c r="B505" t="str">
        <f>"MC4093"</f>
        <v>MC4093</v>
      </c>
      <c r="C505" t="s">
        <v>28228</v>
      </c>
      <c r="D505" t="s">
        <v>27267</v>
      </c>
      <c r="E505" t="str">
        <f t="shared" si="7"/>
        <v>001390</v>
      </c>
      <c r="F505" t="s">
        <v>27246</v>
      </c>
      <c r="G505" t="s">
        <v>27247</v>
      </c>
      <c r="H505" t="s">
        <v>27248</v>
      </c>
      <c r="I505" t="s">
        <v>28229</v>
      </c>
      <c r="J505" t="s">
        <v>1004</v>
      </c>
      <c r="L505" t="s">
        <v>27250</v>
      </c>
      <c r="M505" t="s">
        <v>27251</v>
      </c>
      <c r="N505" t="s">
        <v>27252</v>
      </c>
      <c r="Q505" s="1">
        <v>44538</v>
      </c>
      <c r="R505" t="s">
        <v>27253</v>
      </c>
      <c r="S505" t="s">
        <v>27254</v>
      </c>
      <c r="T505" t="s">
        <v>27269</v>
      </c>
    </row>
    <row r="506" spans="1:20" x14ac:dyDescent="0.3">
      <c r="A506" t="str">
        <f>"0611831062025"</f>
        <v>0611831062025</v>
      </c>
      <c r="B506" t="str">
        <f>"MC3281"</f>
        <v>MC3281</v>
      </c>
      <c r="C506" t="s">
        <v>28230</v>
      </c>
      <c r="D506" t="s">
        <v>27267</v>
      </c>
      <c r="E506" t="str">
        <f t="shared" si="7"/>
        <v>001390</v>
      </c>
      <c r="F506" t="s">
        <v>27246</v>
      </c>
      <c r="G506" t="s">
        <v>27247</v>
      </c>
      <c r="H506" t="s">
        <v>27248</v>
      </c>
      <c r="I506" t="s">
        <v>28231</v>
      </c>
      <c r="J506" t="s">
        <v>1006</v>
      </c>
      <c r="L506" t="s">
        <v>27250</v>
      </c>
      <c r="M506" t="s">
        <v>27251</v>
      </c>
      <c r="N506" t="s">
        <v>27252</v>
      </c>
      <c r="Q506" s="1">
        <v>44538</v>
      </c>
      <c r="R506" t="s">
        <v>27253</v>
      </c>
      <c r="S506" t="s">
        <v>27254</v>
      </c>
      <c r="T506" t="s">
        <v>27269</v>
      </c>
    </row>
    <row r="507" spans="1:20" x14ac:dyDescent="0.3">
      <c r="A507" t="str">
        <f>"0611831063025"</f>
        <v>0611831063025</v>
      </c>
      <c r="B507" t="str">
        <f>"MQ0154"</f>
        <v>MQ0154</v>
      </c>
      <c r="C507" t="s">
        <v>28232</v>
      </c>
      <c r="D507" t="s">
        <v>27267</v>
      </c>
      <c r="E507" t="str">
        <f t="shared" si="7"/>
        <v>001390</v>
      </c>
      <c r="F507" t="s">
        <v>27246</v>
      </c>
      <c r="G507" t="s">
        <v>27247</v>
      </c>
      <c r="H507" t="s">
        <v>27248</v>
      </c>
      <c r="I507" t="s">
        <v>28233</v>
      </c>
      <c r="J507" t="s">
        <v>1008</v>
      </c>
      <c r="L507" t="s">
        <v>27250</v>
      </c>
      <c r="M507" t="s">
        <v>27251</v>
      </c>
      <c r="N507" t="s">
        <v>27252</v>
      </c>
      <c r="Q507" s="1">
        <v>44538</v>
      </c>
      <c r="R507" t="s">
        <v>27253</v>
      </c>
      <c r="S507" t="s">
        <v>27254</v>
      </c>
      <c r="T507" t="s">
        <v>27269</v>
      </c>
    </row>
    <row r="508" spans="1:20" x14ac:dyDescent="0.3">
      <c r="A508" t="str">
        <f>"0611831064025"</f>
        <v>0611831064025</v>
      </c>
      <c r="B508" t="str">
        <f>"MQ0636"</f>
        <v>MQ0636</v>
      </c>
      <c r="C508" t="s">
        <v>28234</v>
      </c>
      <c r="D508" t="s">
        <v>27267</v>
      </c>
      <c r="E508" t="str">
        <f t="shared" si="7"/>
        <v>001390</v>
      </c>
      <c r="F508" t="s">
        <v>27246</v>
      </c>
      <c r="G508" t="s">
        <v>27247</v>
      </c>
      <c r="H508" t="s">
        <v>27248</v>
      </c>
      <c r="I508" t="s">
        <v>28235</v>
      </c>
      <c r="J508" t="s">
        <v>1010</v>
      </c>
      <c r="L508" t="s">
        <v>27250</v>
      </c>
      <c r="M508" t="s">
        <v>27251</v>
      </c>
      <c r="N508" t="s">
        <v>27252</v>
      </c>
      <c r="Q508" s="1">
        <v>44538</v>
      </c>
      <c r="R508" t="s">
        <v>27253</v>
      </c>
      <c r="S508" t="s">
        <v>27254</v>
      </c>
      <c r="T508" t="s">
        <v>27269</v>
      </c>
    </row>
    <row r="509" spans="1:20" x14ac:dyDescent="0.3">
      <c r="A509" t="str">
        <f>"0611831065025"</f>
        <v>0611831065025</v>
      </c>
      <c r="B509" t="str">
        <f>"MQ0411"</f>
        <v>MQ0411</v>
      </c>
      <c r="C509" t="s">
        <v>28236</v>
      </c>
      <c r="D509" t="s">
        <v>27267</v>
      </c>
      <c r="E509" t="str">
        <f t="shared" si="7"/>
        <v>001390</v>
      </c>
      <c r="F509" t="s">
        <v>27246</v>
      </c>
      <c r="G509" t="s">
        <v>27247</v>
      </c>
      <c r="H509" t="s">
        <v>27248</v>
      </c>
      <c r="I509" t="s">
        <v>28237</v>
      </c>
      <c r="J509" t="s">
        <v>1012</v>
      </c>
      <c r="L509" t="s">
        <v>27250</v>
      </c>
      <c r="M509" t="s">
        <v>27251</v>
      </c>
      <c r="N509" t="s">
        <v>27252</v>
      </c>
      <c r="Q509" s="1">
        <v>44538</v>
      </c>
      <c r="R509" t="s">
        <v>27253</v>
      </c>
      <c r="S509" t="s">
        <v>27254</v>
      </c>
      <c r="T509" t="s">
        <v>27269</v>
      </c>
    </row>
    <row r="510" spans="1:20" x14ac:dyDescent="0.3">
      <c r="A510" t="str">
        <f>"0611831066025"</f>
        <v>0611831066025</v>
      </c>
      <c r="B510" t="str">
        <f>"MQ0412"</f>
        <v>MQ0412</v>
      </c>
      <c r="C510" t="s">
        <v>28238</v>
      </c>
      <c r="D510" t="s">
        <v>27267</v>
      </c>
      <c r="E510" t="str">
        <f t="shared" si="7"/>
        <v>001390</v>
      </c>
      <c r="F510" t="s">
        <v>27246</v>
      </c>
      <c r="G510" t="s">
        <v>27247</v>
      </c>
      <c r="H510" t="s">
        <v>27248</v>
      </c>
      <c r="I510" t="s">
        <v>28239</v>
      </c>
      <c r="J510" t="s">
        <v>1014</v>
      </c>
      <c r="L510" t="s">
        <v>27250</v>
      </c>
      <c r="M510" t="s">
        <v>27251</v>
      </c>
      <c r="N510" t="s">
        <v>27252</v>
      </c>
      <c r="Q510" s="1">
        <v>44538</v>
      </c>
      <c r="R510" t="s">
        <v>27253</v>
      </c>
      <c r="S510" t="s">
        <v>27254</v>
      </c>
      <c r="T510" t="s">
        <v>27269</v>
      </c>
    </row>
    <row r="511" spans="1:20" x14ac:dyDescent="0.3">
      <c r="A511" t="str">
        <f>"0611831067025"</f>
        <v>0611831067025</v>
      </c>
      <c r="B511" t="str">
        <f>"MQ0155"</f>
        <v>MQ0155</v>
      </c>
      <c r="C511" t="s">
        <v>28240</v>
      </c>
      <c r="D511" t="s">
        <v>27267</v>
      </c>
      <c r="E511" t="str">
        <f t="shared" si="7"/>
        <v>001390</v>
      </c>
      <c r="F511" t="s">
        <v>27246</v>
      </c>
      <c r="G511" t="s">
        <v>27247</v>
      </c>
      <c r="H511" t="s">
        <v>27248</v>
      </c>
      <c r="I511" t="s">
        <v>28241</v>
      </c>
      <c r="J511" t="s">
        <v>1016</v>
      </c>
      <c r="L511" t="s">
        <v>27250</v>
      </c>
      <c r="M511" t="s">
        <v>27251</v>
      </c>
      <c r="N511" t="s">
        <v>27252</v>
      </c>
      <c r="Q511" s="1">
        <v>44538</v>
      </c>
      <c r="R511" t="s">
        <v>27253</v>
      </c>
      <c r="S511" t="s">
        <v>27254</v>
      </c>
      <c r="T511" t="s">
        <v>27269</v>
      </c>
    </row>
    <row r="512" spans="1:20" x14ac:dyDescent="0.3">
      <c r="A512" t="str">
        <f>"0611883998025"</f>
        <v>0611883998025</v>
      </c>
      <c r="B512" t="str">
        <f>"MQ0819"</f>
        <v>MQ0819</v>
      </c>
      <c r="C512" t="s">
        <v>28242</v>
      </c>
      <c r="D512" t="s">
        <v>27267</v>
      </c>
      <c r="E512" t="str">
        <f t="shared" si="7"/>
        <v>001390</v>
      </c>
      <c r="F512" t="s">
        <v>27246</v>
      </c>
      <c r="G512" t="s">
        <v>27247</v>
      </c>
      <c r="H512" t="s">
        <v>27248</v>
      </c>
      <c r="I512" t="s">
        <v>28243</v>
      </c>
      <c r="J512" t="s">
        <v>1018</v>
      </c>
      <c r="L512" t="s">
        <v>27430</v>
      </c>
      <c r="M512" t="s">
        <v>27251</v>
      </c>
      <c r="N512" t="s">
        <v>27252</v>
      </c>
      <c r="Q512" s="1">
        <v>45250</v>
      </c>
      <c r="R512" t="s">
        <v>27253</v>
      </c>
      <c r="S512" t="s">
        <v>27254</v>
      </c>
      <c r="T512" t="s">
        <v>27269</v>
      </c>
    </row>
    <row r="513" spans="1:20" x14ac:dyDescent="0.3">
      <c r="A513" t="str">
        <f>"0611831070025"</f>
        <v>0611831070025</v>
      </c>
      <c r="B513" t="str">
        <f>"MC3283"</f>
        <v>MC3283</v>
      </c>
      <c r="C513" t="s">
        <v>28244</v>
      </c>
      <c r="D513" t="s">
        <v>27267</v>
      </c>
      <c r="E513" t="str">
        <f t="shared" si="7"/>
        <v>001390</v>
      </c>
      <c r="F513" t="s">
        <v>27246</v>
      </c>
      <c r="G513" t="s">
        <v>27247</v>
      </c>
      <c r="H513" t="s">
        <v>27248</v>
      </c>
      <c r="I513" t="s">
        <v>28245</v>
      </c>
      <c r="J513" t="s">
        <v>1020</v>
      </c>
      <c r="L513" t="s">
        <v>27250</v>
      </c>
      <c r="M513" t="s">
        <v>27251</v>
      </c>
      <c r="N513" t="s">
        <v>27252</v>
      </c>
      <c r="Q513" s="1">
        <v>44538</v>
      </c>
      <c r="R513" t="s">
        <v>27253</v>
      </c>
      <c r="S513" t="s">
        <v>27254</v>
      </c>
      <c r="T513" t="s">
        <v>27269</v>
      </c>
    </row>
    <row r="514" spans="1:20" x14ac:dyDescent="0.3">
      <c r="A514" t="str">
        <f>"0611831071025"</f>
        <v>0611831071025</v>
      </c>
      <c r="B514" t="str">
        <f>"MC4133"</f>
        <v>MC4133</v>
      </c>
      <c r="C514" t="s">
        <v>28246</v>
      </c>
      <c r="D514" t="s">
        <v>27267</v>
      </c>
      <c r="E514" t="str">
        <f t="shared" ref="E514:E577" si="8">"001390"</f>
        <v>001390</v>
      </c>
      <c r="F514" t="s">
        <v>27246</v>
      </c>
      <c r="G514" t="s">
        <v>27247</v>
      </c>
      <c r="H514" t="s">
        <v>27248</v>
      </c>
      <c r="I514" t="s">
        <v>28247</v>
      </c>
      <c r="J514" t="s">
        <v>1022</v>
      </c>
      <c r="L514" t="s">
        <v>27250</v>
      </c>
      <c r="M514" t="s">
        <v>27251</v>
      </c>
      <c r="N514" t="s">
        <v>27252</v>
      </c>
      <c r="Q514" s="1">
        <v>44538</v>
      </c>
      <c r="R514" t="s">
        <v>27253</v>
      </c>
      <c r="S514" t="s">
        <v>27254</v>
      </c>
      <c r="T514" t="s">
        <v>27269</v>
      </c>
    </row>
    <row r="515" spans="1:20" x14ac:dyDescent="0.3">
      <c r="A515" t="str">
        <f>"0611831072100"</f>
        <v>0611831072100</v>
      </c>
      <c r="B515" t="str">
        <f>"LH1060"</f>
        <v>LH1060</v>
      </c>
      <c r="C515" t="s">
        <v>28248</v>
      </c>
      <c r="D515" t="s">
        <v>27245</v>
      </c>
      <c r="E515" t="str">
        <f t="shared" si="8"/>
        <v>001390</v>
      </c>
      <c r="F515" t="s">
        <v>27246</v>
      </c>
      <c r="G515" t="s">
        <v>27247</v>
      </c>
      <c r="H515" t="s">
        <v>27248</v>
      </c>
      <c r="I515" t="s">
        <v>28249</v>
      </c>
      <c r="J515" t="s">
        <v>1024</v>
      </c>
      <c r="L515" t="s">
        <v>27250</v>
      </c>
      <c r="M515" t="s">
        <v>27251</v>
      </c>
      <c r="N515" t="s">
        <v>27252</v>
      </c>
      <c r="Q515" s="1">
        <v>44538</v>
      </c>
      <c r="R515" t="s">
        <v>27253</v>
      </c>
      <c r="S515" t="s">
        <v>27254</v>
      </c>
      <c r="T515" t="s">
        <v>27255</v>
      </c>
    </row>
    <row r="516" spans="1:20" x14ac:dyDescent="0.3">
      <c r="A516" t="str">
        <f>"0611831073025"</f>
        <v>0611831073025</v>
      </c>
      <c r="B516" t="str">
        <f>"MC2142"</f>
        <v>MC2142</v>
      </c>
      <c r="C516" t="s">
        <v>28250</v>
      </c>
      <c r="D516" t="s">
        <v>27267</v>
      </c>
      <c r="E516" t="str">
        <f t="shared" si="8"/>
        <v>001390</v>
      </c>
      <c r="F516" t="s">
        <v>27246</v>
      </c>
      <c r="G516" t="s">
        <v>27247</v>
      </c>
      <c r="H516" t="s">
        <v>27248</v>
      </c>
      <c r="I516" t="s">
        <v>28251</v>
      </c>
      <c r="J516" t="s">
        <v>1026</v>
      </c>
      <c r="L516" t="s">
        <v>27250</v>
      </c>
      <c r="M516" t="s">
        <v>27251</v>
      </c>
      <c r="N516" t="s">
        <v>27252</v>
      </c>
      <c r="Q516" s="1">
        <v>44538</v>
      </c>
      <c r="R516" t="s">
        <v>27253</v>
      </c>
      <c r="S516" t="s">
        <v>27254</v>
      </c>
      <c r="T516" t="s">
        <v>27269</v>
      </c>
    </row>
    <row r="517" spans="1:20" x14ac:dyDescent="0.3">
      <c r="A517" t="str">
        <f>"0611831074025"</f>
        <v>0611831074025</v>
      </c>
      <c r="B517" t="str">
        <f>"MC0073"</f>
        <v>MC0073</v>
      </c>
      <c r="C517" t="s">
        <v>28252</v>
      </c>
      <c r="D517" t="s">
        <v>27267</v>
      </c>
      <c r="E517" t="str">
        <f t="shared" si="8"/>
        <v>001390</v>
      </c>
      <c r="F517" t="s">
        <v>27246</v>
      </c>
      <c r="G517" t="s">
        <v>27247</v>
      </c>
      <c r="H517" t="s">
        <v>27248</v>
      </c>
      <c r="I517" t="s">
        <v>28253</v>
      </c>
      <c r="J517" t="s">
        <v>1028</v>
      </c>
      <c r="L517" t="s">
        <v>27250</v>
      </c>
      <c r="M517" t="s">
        <v>27251</v>
      </c>
      <c r="N517" t="s">
        <v>27252</v>
      </c>
      <c r="Q517" s="1">
        <v>44538</v>
      </c>
      <c r="R517" t="s">
        <v>27253</v>
      </c>
      <c r="S517" t="s">
        <v>27254</v>
      </c>
      <c r="T517" t="s">
        <v>27269</v>
      </c>
    </row>
    <row r="518" spans="1:20" x14ac:dyDescent="0.3">
      <c r="A518" t="str">
        <f>"0611831075025"</f>
        <v>0611831075025</v>
      </c>
      <c r="B518" t="str">
        <f>"MC1787"</f>
        <v>MC1787</v>
      </c>
      <c r="C518" t="s">
        <v>28254</v>
      </c>
      <c r="D518" t="s">
        <v>27267</v>
      </c>
      <c r="E518" t="str">
        <f t="shared" si="8"/>
        <v>001390</v>
      </c>
      <c r="F518" t="s">
        <v>27246</v>
      </c>
      <c r="G518" t="s">
        <v>27247</v>
      </c>
      <c r="H518" t="s">
        <v>27248</v>
      </c>
      <c r="I518" t="s">
        <v>28255</v>
      </c>
      <c r="J518" t="s">
        <v>1030</v>
      </c>
      <c r="L518" t="s">
        <v>27250</v>
      </c>
      <c r="M518" t="s">
        <v>27251</v>
      </c>
      <c r="N518" t="s">
        <v>27252</v>
      </c>
      <c r="Q518" s="1">
        <v>44538</v>
      </c>
      <c r="R518" t="s">
        <v>27253</v>
      </c>
      <c r="S518" t="s">
        <v>27254</v>
      </c>
      <c r="T518" t="s">
        <v>27269</v>
      </c>
    </row>
    <row r="519" spans="1:20" x14ac:dyDescent="0.3">
      <c r="A519" t="str">
        <f>"0611831076100"</f>
        <v>0611831076100</v>
      </c>
      <c r="B519" t="str">
        <f>"LL8109"</f>
        <v>LL8109</v>
      </c>
      <c r="C519" t="s">
        <v>28256</v>
      </c>
      <c r="D519" t="s">
        <v>27245</v>
      </c>
      <c r="E519" t="str">
        <f t="shared" si="8"/>
        <v>001390</v>
      </c>
      <c r="F519" t="s">
        <v>27246</v>
      </c>
      <c r="G519" t="s">
        <v>27247</v>
      </c>
      <c r="H519" t="s">
        <v>27248</v>
      </c>
      <c r="I519" t="s">
        <v>28257</v>
      </c>
      <c r="J519" t="s">
        <v>1032</v>
      </c>
      <c r="L519" t="s">
        <v>27250</v>
      </c>
      <c r="M519" t="s">
        <v>27251</v>
      </c>
      <c r="N519" t="s">
        <v>27252</v>
      </c>
      <c r="Q519" s="1">
        <v>44538</v>
      </c>
      <c r="R519" t="s">
        <v>27253</v>
      </c>
      <c r="S519" t="s">
        <v>27254</v>
      </c>
      <c r="T519" t="s">
        <v>27255</v>
      </c>
    </row>
    <row r="520" spans="1:20" x14ac:dyDescent="0.3">
      <c r="A520" t="str">
        <f>"0611831077100"</f>
        <v>0611831077100</v>
      </c>
      <c r="B520" t="str">
        <f>"LC0009"</f>
        <v>LC0009</v>
      </c>
      <c r="C520" t="s">
        <v>28258</v>
      </c>
      <c r="D520" t="s">
        <v>27245</v>
      </c>
      <c r="E520" t="str">
        <f t="shared" si="8"/>
        <v>001390</v>
      </c>
      <c r="F520" t="s">
        <v>27246</v>
      </c>
      <c r="G520" t="s">
        <v>27247</v>
      </c>
      <c r="H520" t="s">
        <v>27248</v>
      </c>
      <c r="I520" t="s">
        <v>28259</v>
      </c>
      <c r="J520" t="s">
        <v>1034</v>
      </c>
      <c r="L520" t="s">
        <v>27250</v>
      </c>
      <c r="M520" t="s">
        <v>27251</v>
      </c>
      <c r="N520" t="s">
        <v>27252</v>
      </c>
      <c r="Q520" s="1">
        <v>44538</v>
      </c>
      <c r="R520" t="s">
        <v>27253</v>
      </c>
      <c r="S520" t="s">
        <v>27254</v>
      </c>
      <c r="T520" t="s">
        <v>27255</v>
      </c>
    </row>
    <row r="521" spans="1:20" x14ac:dyDescent="0.3">
      <c r="A521" t="str">
        <f>"0611860529050"</f>
        <v>0611860529050</v>
      </c>
      <c r="B521" t="str">
        <f>"CR4065"</f>
        <v>CR4065</v>
      </c>
      <c r="C521" t="s">
        <v>28260</v>
      </c>
      <c r="D521" t="s">
        <v>27271</v>
      </c>
      <c r="E521" t="str">
        <f t="shared" si="8"/>
        <v>001390</v>
      </c>
      <c r="F521" t="s">
        <v>27246</v>
      </c>
      <c r="G521" t="s">
        <v>27247</v>
      </c>
      <c r="H521" t="s">
        <v>27248</v>
      </c>
      <c r="I521" t="s">
        <v>28261</v>
      </c>
      <c r="J521" t="s">
        <v>1036</v>
      </c>
      <c r="L521" t="s">
        <v>27250</v>
      </c>
      <c r="M521" t="s">
        <v>27251</v>
      </c>
      <c r="N521" t="s">
        <v>27252</v>
      </c>
      <c r="P521" t="s">
        <v>27341</v>
      </c>
      <c r="Q521" s="1">
        <v>44846</v>
      </c>
      <c r="R521" t="s">
        <v>27253</v>
      </c>
      <c r="S521" t="s">
        <v>27254</v>
      </c>
      <c r="T521" t="s">
        <v>27265</v>
      </c>
    </row>
    <row r="522" spans="1:20" x14ac:dyDescent="0.3">
      <c r="A522" t="str">
        <f>"0611860530100"</f>
        <v>0611860530100</v>
      </c>
      <c r="B522" t="str">
        <f>"CN5014"</f>
        <v>CN5014</v>
      </c>
      <c r="C522" t="s">
        <v>28262</v>
      </c>
      <c r="D522" t="s">
        <v>27335</v>
      </c>
      <c r="E522" t="str">
        <f t="shared" si="8"/>
        <v>001390</v>
      </c>
      <c r="F522" t="s">
        <v>27246</v>
      </c>
      <c r="G522" t="s">
        <v>27247</v>
      </c>
      <c r="H522" t="s">
        <v>27248</v>
      </c>
      <c r="I522" t="s">
        <v>28263</v>
      </c>
      <c r="J522" t="s">
        <v>1038</v>
      </c>
      <c r="L522" t="s">
        <v>27250</v>
      </c>
      <c r="M522" t="s">
        <v>27251</v>
      </c>
      <c r="N522" t="s">
        <v>27252</v>
      </c>
      <c r="Q522" s="1">
        <v>44846</v>
      </c>
      <c r="R522" t="s">
        <v>27253</v>
      </c>
      <c r="S522" t="s">
        <v>27254</v>
      </c>
      <c r="T522" t="s">
        <v>27255</v>
      </c>
    </row>
    <row r="523" spans="1:20" x14ac:dyDescent="0.3">
      <c r="A523" t="str">
        <f>"0611860531050"</f>
        <v>0611860531050</v>
      </c>
      <c r="B523" t="str">
        <f>"CR4191"</f>
        <v>CR4191</v>
      </c>
      <c r="C523" t="s">
        <v>28262</v>
      </c>
      <c r="D523" t="s">
        <v>27263</v>
      </c>
      <c r="E523" t="str">
        <f t="shared" si="8"/>
        <v>001390</v>
      </c>
      <c r="F523" t="s">
        <v>27246</v>
      </c>
      <c r="G523" t="s">
        <v>27247</v>
      </c>
      <c r="H523" t="s">
        <v>27248</v>
      </c>
      <c r="I523" t="s">
        <v>28264</v>
      </c>
      <c r="J523" t="s">
        <v>1040</v>
      </c>
      <c r="L523" t="s">
        <v>27250</v>
      </c>
      <c r="M523" t="s">
        <v>27251</v>
      </c>
      <c r="N523" t="s">
        <v>27252</v>
      </c>
      <c r="Q523" s="1">
        <v>44846</v>
      </c>
      <c r="R523" t="s">
        <v>27253</v>
      </c>
      <c r="S523" t="s">
        <v>27254</v>
      </c>
      <c r="T523" t="s">
        <v>27265</v>
      </c>
    </row>
    <row r="524" spans="1:20" x14ac:dyDescent="0.3">
      <c r="A524" t="str">
        <f>"0611856819025"</f>
        <v>0611856819025</v>
      </c>
      <c r="B524" t="str">
        <f>"MC4413"</f>
        <v>MC4413</v>
      </c>
      <c r="C524" t="s">
        <v>28265</v>
      </c>
      <c r="D524" t="s">
        <v>27267</v>
      </c>
      <c r="E524" t="str">
        <f t="shared" si="8"/>
        <v>001390</v>
      </c>
      <c r="F524" t="s">
        <v>27246</v>
      </c>
      <c r="G524" t="s">
        <v>27247</v>
      </c>
      <c r="H524" t="s">
        <v>27248</v>
      </c>
      <c r="I524" t="s">
        <v>28266</v>
      </c>
      <c r="J524" t="s">
        <v>1042</v>
      </c>
      <c r="L524" t="s">
        <v>27250</v>
      </c>
      <c r="M524" t="s">
        <v>27251</v>
      </c>
      <c r="N524" t="s">
        <v>27252</v>
      </c>
      <c r="Q524" s="1">
        <v>44812</v>
      </c>
      <c r="R524" t="s">
        <v>27253</v>
      </c>
      <c r="S524" t="s">
        <v>27254</v>
      </c>
      <c r="T524" t="s">
        <v>27269</v>
      </c>
    </row>
    <row r="525" spans="1:20" x14ac:dyDescent="0.3">
      <c r="A525" t="str">
        <f>"0611831080025"</f>
        <v>0611831080025</v>
      </c>
      <c r="B525" t="str">
        <f>"MQ0559"</f>
        <v>MQ0559</v>
      </c>
      <c r="C525" t="s">
        <v>28267</v>
      </c>
      <c r="D525" t="s">
        <v>27267</v>
      </c>
      <c r="E525" t="str">
        <f t="shared" si="8"/>
        <v>001390</v>
      </c>
      <c r="F525" t="s">
        <v>27246</v>
      </c>
      <c r="G525" t="s">
        <v>27247</v>
      </c>
      <c r="H525" t="s">
        <v>27248</v>
      </c>
      <c r="I525" t="s">
        <v>28268</v>
      </c>
      <c r="J525" t="s">
        <v>1044</v>
      </c>
      <c r="L525" t="s">
        <v>27250</v>
      </c>
      <c r="M525" t="s">
        <v>27251</v>
      </c>
      <c r="N525" t="s">
        <v>27252</v>
      </c>
      <c r="Q525" s="1">
        <v>44538</v>
      </c>
      <c r="R525" t="s">
        <v>27253</v>
      </c>
      <c r="S525" t="s">
        <v>27254</v>
      </c>
      <c r="T525" t="s">
        <v>27269</v>
      </c>
    </row>
    <row r="526" spans="1:20" x14ac:dyDescent="0.3">
      <c r="A526" t="str">
        <f>"0611860532050"</f>
        <v>0611860532050</v>
      </c>
      <c r="B526" t="str">
        <f>"CR2007"</f>
        <v>CR2007</v>
      </c>
      <c r="C526" t="s">
        <v>28269</v>
      </c>
      <c r="D526" t="s">
        <v>27271</v>
      </c>
      <c r="E526" t="str">
        <f t="shared" si="8"/>
        <v>001390</v>
      </c>
      <c r="F526" t="s">
        <v>27246</v>
      </c>
      <c r="G526" t="s">
        <v>27247</v>
      </c>
      <c r="H526" t="s">
        <v>27248</v>
      </c>
      <c r="I526" t="s">
        <v>28270</v>
      </c>
      <c r="J526" t="s">
        <v>1046</v>
      </c>
      <c r="L526" t="s">
        <v>27250</v>
      </c>
      <c r="M526" t="s">
        <v>27251</v>
      </c>
      <c r="N526" t="s">
        <v>27252</v>
      </c>
      <c r="P526" t="s">
        <v>27341</v>
      </c>
      <c r="Q526" s="1">
        <v>44846</v>
      </c>
      <c r="R526" t="s">
        <v>27253</v>
      </c>
      <c r="S526" t="s">
        <v>27254</v>
      </c>
      <c r="T526" t="s">
        <v>27265</v>
      </c>
    </row>
    <row r="527" spans="1:20" x14ac:dyDescent="0.3">
      <c r="A527" t="str">
        <f>"0611831081100"</f>
        <v>0611831081100</v>
      </c>
      <c r="B527" t="str">
        <f>"LH1088"</f>
        <v>LH1088</v>
      </c>
      <c r="C527" t="s">
        <v>28271</v>
      </c>
      <c r="D527" t="s">
        <v>27245</v>
      </c>
      <c r="E527" t="str">
        <f t="shared" si="8"/>
        <v>001390</v>
      </c>
      <c r="F527" t="s">
        <v>27246</v>
      </c>
      <c r="G527" t="s">
        <v>27247</v>
      </c>
      <c r="H527" t="s">
        <v>27248</v>
      </c>
      <c r="I527" t="s">
        <v>28272</v>
      </c>
      <c r="J527" t="s">
        <v>1048</v>
      </c>
      <c r="L527" t="s">
        <v>27250</v>
      </c>
      <c r="M527" t="s">
        <v>27251</v>
      </c>
      <c r="N527" t="s">
        <v>27252</v>
      </c>
      <c r="Q527" s="1">
        <v>44538</v>
      </c>
      <c r="R527" t="s">
        <v>27253</v>
      </c>
      <c r="S527" t="s">
        <v>27254</v>
      </c>
      <c r="T527" t="s">
        <v>27255</v>
      </c>
    </row>
    <row r="528" spans="1:20" x14ac:dyDescent="0.3">
      <c r="A528" t="str">
        <f>"0611831082025"</f>
        <v>0611831082025</v>
      </c>
      <c r="B528" t="str">
        <f>"MC0076"</f>
        <v>MC0076</v>
      </c>
      <c r="C528" t="s">
        <v>28271</v>
      </c>
      <c r="D528" t="s">
        <v>27267</v>
      </c>
      <c r="E528" t="str">
        <f t="shared" si="8"/>
        <v>001390</v>
      </c>
      <c r="F528" t="s">
        <v>27246</v>
      </c>
      <c r="G528" t="s">
        <v>27247</v>
      </c>
      <c r="H528" t="s">
        <v>27248</v>
      </c>
      <c r="I528" t="s">
        <v>28273</v>
      </c>
      <c r="J528" t="s">
        <v>1050</v>
      </c>
      <c r="L528" t="s">
        <v>27250</v>
      </c>
      <c r="M528" t="s">
        <v>27251</v>
      </c>
      <c r="N528" t="s">
        <v>27252</v>
      </c>
      <c r="Q528" s="1">
        <v>44538</v>
      </c>
      <c r="R528" t="s">
        <v>27253</v>
      </c>
      <c r="S528" t="s">
        <v>27254</v>
      </c>
      <c r="T528" t="s">
        <v>27269</v>
      </c>
    </row>
    <row r="529" spans="1:20" x14ac:dyDescent="0.3">
      <c r="A529" t="str">
        <f>"0611860533050"</f>
        <v>0611860533050</v>
      </c>
      <c r="B529" t="str">
        <f>"CR4190"</f>
        <v>CR4190</v>
      </c>
      <c r="C529" t="s">
        <v>28271</v>
      </c>
      <c r="D529" t="s">
        <v>27263</v>
      </c>
      <c r="E529" t="str">
        <f t="shared" si="8"/>
        <v>001390</v>
      </c>
      <c r="F529" t="s">
        <v>27246</v>
      </c>
      <c r="G529" t="s">
        <v>27247</v>
      </c>
      <c r="H529" t="s">
        <v>27248</v>
      </c>
      <c r="I529" t="s">
        <v>28274</v>
      </c>
      <c r="J529" t="s">
        <v>1052</v>
      </c>
      <c r="L529" t="s">
        <v>27250</v>
      </c>
      <c r="M529" t="s">
        <v>27251</v>
      </c>
      <c r="N529" t="s">
        <v>27252</v>
      </c>
      <c r="Q529" s="1">
        <v>44846</v>
      </c>
      <c r="R529" t="s">
        <v>27253</v>
      </c>
      <c r="S529" t="s">
        <v>27254</v>
      </c>
      <c r="T529" t="s">
        <v>27265</v>
      </c>
    </row>
    <row r="530" spans="1:20" x14ac:dyDescent="0.3">
      <c r="A530" t="str">
        <f>"0611831084100"</f>
        <v>0611831084100</v>
      </c>
      <c r="B530" t="str">
        <f>"LH0033"</f>
        <v>LH0033</v>
      </c>
      <c r="C530" t="s">
        <v>28275</v>
      </c>
      <c r="D530" t="s">
        <v>27245</v>
      </c>
      <c r="E530" t="str">
        <f t="shared" si="8"/>
        <v>001390</v>
      </c>
      <c r="F530" t="s">
        <v>27246</v>
      </c>
      <c r="G530" t="s">
        <v>27247</v>
      </c>
      <c r="H530" t="s">
        <v>27248</v>
      </c>
      <c r="I530" t="s">
        <v>28276</v>
      </c>
      <c r="J530" t="s">
        <v>1054</v>
      </c>
      <c r="L530" t="s">
        <v>27250</v>
      </c>
      <c r="M530" t="s">
        <v>27251</v>
      </c>
      <c r="N530" t="s">
        <v>27252</v>
      </c>
      <c r="Q530" s="1">
        <v>44538</v>
      </c>
      <c r="R530" t="s">
        <v>27253</v>
      </c>
      <c r="S530" t="s">
        <v>27254</v>
      </c>
      <c r="T530" t="s">
        <v>27255</v>
      </c>
    </row>
    <row r="531" spans="1:20" x14ac:dyDescent="0.3">
      <c r="A531" t="str">
        <f>"0611831085025"</f>
        <v>0611831085025</v>
      </c>
      <c r="B531" t="str">
        <f>"MC0077"</f>
        <v>MC0077</v>
      </c>
      <c r="C531" t="s">
        <v>28277</v>
      </c>
      <c r="D531" t="s">
        <v>27267</v>
      </c>
      <c r="E531" t="str">
        <f t="shared" si="8"/>
        <v>001390</v>
      </c>
      <c r="F531" t="s">
        <v>27246</v>
      </c>
      <c r="G531" t="s">
        <v>27247</v>
      </c>
      <c r="H531" t="s">
        <v>27248</v>
      </c>
      <c r="I531" t="s">
        <v>28278</v>
      </c>
      <c r="J531" t="s">
        <v>1058</v>
      </c>
      <c r="L531" t="s">
        <v>27250</v>
      </c>
      <c r="M531" t="s">
        <v>27251</v>
      </c>
      <c r="N531" t="s">
        <v>27252</v>
      </c>
      <c r="Q531" s="1">
        <v>44538</v>
      </c>
      <c r="R531" t="s">
        <v>27253</v>
      </c>
      <c r="S531" t="s">
        <v>27254</v>
      </c>
      <c r="T531" t="s">
        <v>27269</v>
      </c>
    </row>
    <row r="532" spans="1:20" x14ac:dyDescent="0.3">
      <c r="A532" t="str">
        <f>"0611860534100"</f>
        <v>0611860534100</v>
      </c>
      <c r="B532" t="str">
        <f>"CN5016"</f>
        <v>CN5016</v>
      </c>
      <c r="C532" t="s">
        <v>28277</v>
      </c>
      <c r="D532" t="s">
        <v>27335</v>
      </c>
      <c r="E532" t="str">
        <f t="shared" si="8"/>
        <v>001390</v>
      </c>
      <c r="F532" t="s">
        <v>27246</v>
      </c>
      <c r="G532" t="s">
        <v>27247</v>
      </c>
      <c r="H532" t="s">
        <v>27248</v>
      </c>
      <c r="I532" t="s">
        <v>28279</v>
      </c>
      <c r="J532" t="s">
        <v>1056</v>
      </c>
      <c r="L532" t="s">
        <v>27250</v>
      </c>
      <c r="M532" t="s">
        <v>27251</v>
      </c>
      <c r="N532" t="s">
        <v>27252</v>
      </c>
      <c r="Q532" s="1">
        <v>44846</v>
      </c>
      <c r="R532" t="s">
        <v>27253</v>
      </c>
      <c r="S532" t="s">
        <v>27254</v>
      </c>
      <c r="T532" t="s">
        <v>27255</v>
      </c>
    </row>
    <row r="533" spans="1:20" x14ac:dyDescent="0.3">
      <c r="A533" t="str">
        <f>"0611860535050"</f>
        <v>0611860535050</v>
      </c>
      <c r="B533" t="str">
        <f>"CR4193"</f>
        <v>CR4193</v>
      </c>
      <c r="C533" t="s">
        <v>28277</v>
      </c>
      <c r="D533" t="s">
        <v>27263</v>
      </c>
      <c r="E533" t="str">
        <f t="shared" si="8"/>
        <v>001390</v>
      </c>
      <c r="F533" t="s">
        <v>27246</v>
      </c>
      <c r="G533" t="s">
        <v>27247</v>
      </c>
      <c r="H533" t="s">
        <v>27248</v>
      </c>
      <c r="I533" t="s">
        <v>28280</v>
      </c>
      <c r="J533" t="s">
        <v>1060</v>
      </c>
      <c r="L533" t="s">
        <v>27250</v>
      </c>
      <c r="M533" t="s">
        <v>27251</v>
      </c>
      <c r="N533" t="s">
        <v>27252</v>
      </c>
      <c r="Q533" s="1">
        <v>44846</v>
      </c>
      <c r="R533" t="s">
        <v>27253</v>
      </c>
      <c r="S533" t="s">
        <v>27254</v>
      </c>
      <c r="T533" t="s">
        <v>27265</v>
      </c>
    </row>
    <row r="534" spans="1:20" x14ac:dyDescent="0.3">
      <c r="A534" t="str">
        <f>"0611831086100"</f>
        <v>0611831086100</v>
      </c>
      <c r="B534" t="str">
        <f>"LH8955"</f>
        <v>LH8955</v>
      </c>
      <c r="C534" t="s">
        <v>28281</v>
      </c>
      <c r="D534" t="s">
        <v>27245</v>
      </c>
      <c r="E534" t="str">
        <f t="shared" si="8"/>
        <v>001390</v>
      </c>
      <c r="F534" t="s">
        <v>27246</v>
      </c>
      <c r="G534" t="s">
        <v>27247</v>
      </c>
      <c r="H534" t="s">
        <v>27248</v>
      </c>
      <c r="I534" t="s">
        <v>28282</v>
      </c>
      <c r="J534" t="s">
        <v>1062</v>
      </c>
      <c r="L534" t="s">
        <v>27250</v>
      </c>
      <c r="M534" t="s">
        <v>27251</v>
      </c>
      <c r="N534" t="s">
        <v>27252</v>
      </c>
      <c r="Q534" s="1">
        <v>44538</v>
      </c>
      <c r="R534" t="s">
        <v>27253</v>
      </c>
      <c r="S534" t="s">
        <v>27254</v>
      </c>
      <c r="T534" t="s">
        <v>27255</v>
      </c>
    </row>
    <row r="535" spans="1:20" x14ac:dyDescent="0.3">
      <c r="A535" t="str">
        <f>"0611831087100"</f>
        <v>0611831087100</v>
      </c>
      <c r="B535" t="str">
        <f>"LH1087"</f>
        <v>LH1087</v>
      </c>
      <c r="C535" t="s">
        <v>28283</v>
      </c>
      <c r="D535" t="s">
        <v>27245</v>
      </c>
      <c r="E535" t="str">
        <f t="shared" si="8"/>
        <v>001390</v>
      </c>
      <c r="F535" t="s">
        <v>27246</v>
      </c>
      <c r="G535" t="s">
        <v>27247</v>
      </c>
      <c r="H535" t="s">
        <v>27248</v>
      </c>
      <c r="I535" t="s">
        <v>28284</v>
      </c>
      <c r="J535" t="s">
        <v>1064</v>
      </c>
      <c r="L535" t="s">
        <v>27250</v>
      </c>
      <c r="M535" t="s">
        <v>27251</v>
      </c>
      <c r="N535" t="s">
        <v>27252</v>
      </c>
      <c r="Q535" s="1">
        <v>44538</v>
      </c>
      <c r="R535" t="s">
        <v>27253</v>
      </c>
      <c r="S535" t="s">
        <v>27254</v>
      </c>
      <c r="T535" t="s">
        <v>27255</v>
      </c>
    </row>
    <row r="536" spans="1:20" x14ac:dyDescent="0.3">
      <c r="A536" t="str">
        <f>"0611831088025"</f>
        <v>0611831088025</v>
      </c>
      <c r="B536" t="str">
        <f>"MC0079"</f>
        <v>MC0079</v>
      </c>
      <c r="C536" t="s">
        <v>28283</v>
      </c>
      <c r="D536" t="s">
        <v>27267</v>
      </c>
      <c r="E536" t="str">
        <f t="shared" si="8"/>
        <v>001390</v>
      </c>
      <c r="F536" t="s">
        <v>27246</v>
      </c>
      <c r="G536" t="s">
        <v>27247</v>
      </c>
      <c r="H536" t="s">
        <v>27248</v>
      </c>
      <c r="I536" t="s">
        <v>28285</v>
      </c>
      <c r="J536" t="s">
        <v>1066</v>
      </c>
      <c r="L536" t="s">
        <v>27250</v>
      </c>
      <c r="M536" t="s">
        <v>27251</v>
      </c>
      <c r="N536" t="s">
        <v>27252</v>
      </c>
      <c r="Q536" s="1">
        <v>44538</v>
      </c>
      <c r="R536" t="s">
        <v>27253</v>
      </c>
      <c r="S536" t="s">
        <v>27254</v>
      </c>
      <c r="T536" t="s">
        <v>27269</v>
      </c>
    </row>
    <row r="537" spans="1:20" x14ac:dyDescent="0.3">
      <c r="A537" t="str">
        <f>"0611860536050"</f>
        <v>0611860536050</v>
      </c>
      <c r="B537" t="str">
        <f>"CR3358"</f>
        <v>CR3358</v>
      </c>
      <c r="C537" t="s">
        <v>28283</v>
      </c>
      <c r="D537" t="s">
        <v>27263</v>
      </c>
      <c r="E537" t="str">
        <f t="shared" si="8"/>
        <v>001390</v>
      </c>
      <c r="F537" t="s">
        <v>27246</v>
      </c>
      <c r="G537" t="s">
        <v>27247</v>
      </c>
      <c r="H537" t="s">
        <v>27248</v>
      </c>
      <c r="I537" t="s">
        <v>28286</v>
      </c>
      <c r="J537" t="s">
        <v>1068</v>
      </c>
      <c r="L537" t="s">
        <v>27250</v>
      </c>
      <c r="M537" t="s">
        <v>27251</v>
      </c>
      <c r="N537" t="s">
        <v>27252</v>
      </c>
      <c r="Q537" s="1">
        <v>44846</v>
      </c>
      <c r="R537" t="s">
        <v>27253</v>
      </c>
      <c r="S537" t="s">
        <v>27254</v>
      </c>
      <c r="T537" t="s">
        <v>27265</v>
      </c>
    </row>
    <row r="538" spans="1:20" x14ac:dyDescent="0.3">
      <c r="A538" t="str">
        <f>"0611860537100"</f>
        <v>0611860537100</v>
      </c>
      <c r="B538" t="str">
        <f>"CN5015"</f>
        <v>CN5015</v>
      </c>
      <c r="C538" t="s">
        <v>28287</v>
      </c>
      <c r="D538" t="s">
        <v>27335</v>
      </c>
      <c r="E538" t="str">
        <f t="shared" si="8"/>
        <v>001390</v>
      </c>
      <c r="F538" t="s">
        <v>27246</v>
      </c>
      <c r="G538" t="s">
        <v>27247</v>
      </c>
      <c r="H538" t="s">
        <v>27248</v>
      </c>
      <c r="I538" t="s">
        <v>28288</v>
      </c>
      <c r="J538" t="s">
        <v>1070</v>
      </c>
      <c r="L538" t="s">
        <v>27250</v>
      </c>
      <c r="M538" t="s">
        <v>27251</v>
      </c>
      <c r="N538" t="s">
        <v>27252</v>
      </c>
      <c r="Q538" s="1">
        <v>44846</v>
      </c>
      <c r="R538" t="s">
        <v>27253</v>
      </c>
      <c r="S538" t="s">
        <v>27254</v>
      </c>
      <c r="T538" t="s">
        <v>27255</v>
      </c>
    </row>
    <row r="539" spans="1:20" x14ac:dyDescent="0.3">
      <c r="A539" t="str">
        <f>"0611831089025"</f>
        <v>0611831089025</v>
      </c>
      <c r="B539" t="str">
        <f>"MQ0680"</f>
        <v>MQ0680</v>
      </c>
      <c r="C539" t="s">
        <v>28289</v>
      </c>
      <c r="D539" t="s">
        <v>27267</v>
      </c>
      <c r="E539" t="str">
        <f t="shared" si="8"/>
        <v>001390</v>
      </c>
      <c r="F539" t="s">
        <v>27246</v>
      </c>
      <c r="G539" t="s">
        <v>27247</v>
      </c>
      <c r="H539" t="s">
        <v>27248</v>
      </c>
      <c r="I539" t="s">
        <v>28290</v>
      </c>
      <c r="J539" t="s">
        <v>1072</v>
      </c>
      <c r="L539" t="s">
        <v>27250</v>
      </c>
      <c r="M539" t="s">
        <v>27251</v>
      </c>
      <c r="N539" t="s">
        <v>27252</v>
      </c>
      <c r="Q539" s="1">
        <v>44538</v>
      </c>
      <c r="R539" t="s">
        <v>27253</v>
      </c>
      <c r="S539" t="s">
        <v>27254</v>
      </c>
      <c r="T539" t="s">
        <v>27269</v>
      </c>
    </row>
    <row r="540" spans="1:20" x14ac:dyDescent="0.3">
      <c r="A540" t="str">
        <f>"0611831090025"</f>
        <v>0611831090025</v>
      </c>
      <c r="B540" t="str">
        <f>"MQ0681"</f>
        <v>MQ0681</v>
      </c>
      <c r="C540" t="s">
        <v>28291</v>
      </c>
      <c r="D540" t="s">
        <v>27267</v>
      </c>
      <c r="E540" t="str">
        <f t="shared" si="8"/>
        <v>001390</v>
      </c>
      <c r="F540" t="s">
        <v>27246</v>
      </c>
      <c r="G540" t="s">
        <v>27247</v>
      </c>
      <c r="H540" t="s">
        <v>27248</v>
      </c>
      <c r="I540" t="s">
        <v>28292</v>
      </c>
      <c r="J540" t="s">
        <v>1074</v>
      </c>
      <c r="L540" t="s">
        <v>27250</v>
      </c>
      <c r="M540" t="s">
        <v>27251</v>
      </c>
      <c r="N540" t="s">
        <v>27252</v>
      </c>
      <c r="Q540" s="1">
        <v>44538</v>
      </c>
      <c r="R540" t="s">
        <v>27253</v>
      </c>
      <c r="S540" t="s">
        <v>27254</v>
      </c>
      <c r="T540" t="s">
        <v>27269</v>
      </c>
    </row>
    <row r="541" spans="1:20" x14ac:dyDescent="0.3">
      <c r="A541" t="str">
        <f>"0611883999025"</f>
        <v>0611883999025</v>
      </c>
      <c r="B541" t="str">
        <f>"MC4507"</f>
        <v>MC4507</v>
      </c>
      <c r="C541" t="s">
        <v>28293</v>
      </c>
      <c r="D541" t="s">
        <v>27267</v>
      </c>
      <c r="E541" t="str">
        <f t="shared" si="8"/>
        <v>001390</v>
      </c>
      <c r="F541" t="s">
        <v>27246</v>
      </c>
      <c r="G541" t="s">
        <v>27247</v>
      </c>
      <c r="H541" t="s">
        <v>27248</v>
      </c>
      <c r="I541" t="s">
        <v>28294</v>
      </c>
      <c r="J541" t="s">
        <v>1076</v>
      </c>
      <c r="L541" t="s">
        <v>27430</v>
      </c>
      <c r="M541" t="s">
        <v>27251</v>
      </c>
      <c r="N541" t="s">
        <v>27252</v>
      </c>
      <c r="Q541" s="1">
        <v>45250</v>
      </c>
      <c r="R541" t="s">
        <v>27253</v>
      </c>
      <c r="S541" t="s">
        <v>27254</v>
      </c>
      <c r="T541" t="s">
        <v>27269</v>
      </c>
    </row>
    <row r="542" spans="1:20" x14ac:dyDescent="0.3">
      <c r="A542" t="str">
        <f>"0611884000025"</f>
        <v>0611884000025</v>
      </c>
      <c r="B542" t="str">
        <f>"MC4512"</f>
        <v>MC4512</v>
      </c>
      <c r="C542" t="s">
        <v>28295</v>
      </c>
      <c r="D542" t="s">
        <v>27267</v>
      </c>
      <c r="E542" t="str">
        <f t="shared" si="8"/>
        <v>001390</v>
      </c>
      <c r="F542" t="s">
        <v>27246</v>
      </c>
      <c r="G542" t="s">
        <v>27247</v>
      </c>
      <c r="H542" t="s">
        <v>27248</v>
      </c>
      <c r="I542" t="s">
        <v>28296</v>
      </c>
      <c r="J542" t="s">
        <v>1078</v>
      </c>
      <c r="L542" t="s">
        <v>27430</v>
      </c>
      <c r="M542" t="s">
        <v>27251</v>
      </c>
      <c r="N542" t="s">
        <v>27252</v>
      </c>
      <c r="Q542" s="1">
        <v>45250</v>
      </c>
      <c r="R542" t="s">
        <v>27253</v>
      </c>
      <c r="S542" t="s">
        <v>27254</v>
      </c>
      <c r="T542" t="s">
        <v>27269</v>
      </c>
    </row>
    <row r="543" spans="1:20" x14ac:dyDescent="0.3">
      <c r="A543" t="str">
        <f>"0611834189100"</f>
        <v>0611834189100</v>
      </c>
      <c r="B543" t="str">
        <f>"LL0090"</f>
        <v>LL0090</v>
      </c>
      <c r="C543" t="s">
        <v>28297</v>
      </c>
      <c r="D543" t="s">
        <v>27245</v>
      </c>
      <c r="E543" t="str">
        <f t="shared" si="8"/>
        <v>001390</v>
      </c>
      <c r="F543" t="s">
        <v>27246</v>
      </c>
      <c r="G543" t="s">
        <v>27247</v>
      </c>
      <c r="H543" t="s">
        <v>27248</v>
      </c>
      <c r="I543" t="s">
        <v>28298</v>
      </c>
      <c r="J543" t="s">
        <v>1082</v>
      </c>
      <c r="L543" t="s">
        <v>27250</v>
      </c>
      <c r="M543" t="s">
        <v>27251</v>
      </c>
      <c r="N543" t="s">
        <v>27252</v>
      </c>
      <c r="Q543" s="1">
        <v>44538</v>
      </c>
      <c r="R543" t="s">
        <v>27253</v>
      </c>
      <c r="S543" t="s">
        <v>27254</v>
      </c>
      <c r="T543" t="s">
        <v>27255</v>
      </c>
    </row>
    <row r="544" spans="1:20" x14ac:dyDescent="0.3">
      <c r="A544" t="str">
        <f>"0611834190100"</f>
        <v>0611834190100</v>
      </c>
      <c r="B544" t="str">
        <f>"LL5021"</f>
        <v>LL5021</v>
      </c>
      <c r="C544" t="s">
        <v>28299</v>
      </c>
      <c r="D544" t="s">
        <v>27245</v>
      </c>
      <c r="E544" t="str">
        <f t="shared" si="8"/>
        <v>001390</v>
      </c>
      <c r="F544" t="s">
        <v>27246</v>
      </c>
      <c r="G544" t="s">
        <v>27247</v>
      </c>
      <c r="H544" t="s">
        <v>27248</v>
      </c>
      <c r="I544" t="s">
        <v>28300</v>
      </c>
      <c r="J544" t="s">
        <v>1084</v>
      </c>
      <c r="L544" t="s">
        <v>27250</v>
      </c>
      <c r="M544" t="s">
        <v>27251</v>
      </c>
      <c r="N544" t="s">
        <v>27252</v>
      </c>
      <c r="Q544" s="1">
        <v>44538</v>
      </c>
      <c r="R544" t="s">
        <v>27253</v>
      </c>
      <c r="S544" t="s">
        <v>27254</v>
      </c>
      <c r="T544" t="s">
        <v>27255</v>
      </c>
    </row>
    <row r="545" spans="1:20" x14ac:dyDescent="0.3">
      <c r="A545" t="str">
        <f>"0611831092025"</f>
        <v>0611831092025</v>
      </c>
      <c r="B545" t="str">
        <f>"MC0082"</f>
        <v>MC0082</v>
      </c>
      <c r="C545" t="s">
        <v>28301</v>
      </c>
      <c r="D545" t="s">
        <v>27267</v>
      </c>
      <c r="E545" t="str">
        <f t="shared" si="8"/>
        <v>001390</v>
      </c>
      <c r="F545" t="s">
        <v>27246</v>
      </c>
      <c r="G545" t="s">
        <v>27247</v>
      </c>
      <c r="H545" t="s">
        <v>27248</v>
      </c>
      <c r="I545" t="s">
        <v>28302</v>
      </c>
      <c r="J545" t="s">
        <v>1088</v>
      </c>
      <c r="L545" t="s">
        <v>27250</v>
      </c>
      <c r="M545" t="s">
        <v>27251</v>
      </c>
      <c r="N545" t="s">
        <v>27252</v>
      </c>
      <c r="Q545" s="1">
        <v>44538</v>
      </c>
      <c r="R545" t="s">
        <v>27253</v>
      </c>
      <c r="S545" t="s">
        <v>27254</v>
      </c>
      <c r="T545" t="s">
        <v>27269</v>
      </c>
    </row>
    <row r="546" spans="1:20" x14ac:dyDescent="0.3">
      <c r="A546" t="str">
        <f>"0611831093025"</f>
        <v>0611831093025</v>
      </c>
      <c r="B546" t="str">
        <f>"MC0083"</f>
        <v>MC0083</v>
      </c>
      <c r="C546" t="s">
        <v>28303</v>
      </c>
      <c r="D546" t="s">
        <v>27267</v>
      </c>
      <c r="E546" t="str">
        <f t="shared" si="8"/>
        <v>001390</v>
      </c>
      <c r="F546" t="s">
        <v>27246</v>
      </c>
      <c r="G546" t="s">
        <v>27247</v>
      </c>
      <c r="H546" t="s">
        <v>27248</v>
      </c>
      <c r="I546" t="s">
        <v>28304</v>
      </c>
      <c r="J546" t="s">
        <v>1090</v>
      </c>
      <c r="L546" t="s">
        <v>27250</v>
      </c>
      <c r="M546" t="s">
        <v>27251</v>
      </c>
      <c r="N546" t="s">
        <v>27252</v>
      </c>
      <c r="Q546" s="1">
        <v>44538</v>
      </c>
      <c r="R546" t="s">
        <v>27253</v>
      </c>
      <c r="S546" t="s">
        <v>27254</v>
      </c>
      <c r="T546" t="s">
        <v>27269</v>
      </c>
    </row>
    <row r="547" spans="1:20" x14ac:dyDescent="0.3">
      <c r="A547" t="str">
        <f>"0611831094100"</f>
        <v>0611831094100</v>
      </c>
      <c r="B547" t="str">
        <f>"LK5166"</f>
        <v>LK5166</v>
      </c>
      <c r="C547" t="s">
        <v>28305</v>
      </c>
      <c r="D547" t="s">
        <v>27245</v>
      </c>
      <c r="E547" t="str">
        <f t="shared" si="8"/>
        <v>001390</v>
      </c>
      <c r="F547" t="s">
        <v>27246</v>
      </c>
      <c r="G547" t="s">
        <v>27247</v>
      </c>
      <c r="H547" t="s">
        <v>27248</v>
      </c>
      <c r="I547" t="s">
        <v>28306</v>
      </c>
      <c r="J547" t="s">
        <v>1092</v>
      </c>
      <c r="L547" t="s">
        <v>27250</v>
      </c>
      <c r="M547" t="s">
        <v>27251</v>
      </c>
      <c r="N547" t="s">
        <v>27252</v>
      </c>
      <c r="Q547" s="1">
        <v>44538</v>
      </c>
      <c r="R547" t="s">
        <v>27253</v>
      </c>
      <c r="S547" t="s">
        <v>27254</v>
      </c>
      <c r="T547" t="s">
        <v>27255</v>
      </c>
    </row>
    <row r="548" spans="1:20" x14ac:dyDescent="0.3">
      <c r="A548" t="str">
        <f>"0611831095025"</f>
        <v>0611831095025</v>
      </c>
      <c r="B548" t="str">
        <f>"MC0084"</f>
        <v>MC0084</v>
      </c>
      <c r="C548" t="s">
        <v>28307</v>
      </c>
      <c r="D548" t="s">
        <v>27267</v>
      </c>
      <c r="E548" t="str">
        <f t="shared" si="8"/>
        <v>001390</v>
      </c>
      <c r="F548" t="s">
        <v>27246</v>
      </c>
      <c r="G548" t="s">
        <v>27247</v>
      </c>
      <c r="H548" t="s">
        <v>27248</v>
      </c>
      <c r="I548" t="s">
        <v>28308</v>
      </c>
      <c r="J548" t="s">
        <v>1094</v>
      </c>
      <c r="L548" t="s">
        <v>27250</v>
      </c>
      <c r="M548" t="s">
        <v>27251</v>
      </c>
      <c r="N548" t="s">
        <v>27252</v>
      </c>
      <c r="Q548" s="1">
        <v>44538</v>
      </c>
      <c r="R548" t="s">
        <v>27253</v>
      </c>
      <c r="S548" t="s">
        <v>27254</v>
      </c>
      <c r="T548" t="s">
        <v>27269</v>
      </c>
    </row>
    <row r="549" spans="1:20" x14ac:dyDescent="0.3">
      <c r="A549" t="str">
        <f>"0611831096100"</f>
        <v>0611831096100</v>
      </c>
      <c r="B549" t="str">
        <f>"LH1132"</f>
        <v>LH1132</v>
      </c>
      <c r="C549" t="s">
        <v>28309</v>
      </c>
      <c r="D549" t="s">
        <v>27245</v>
      </c>
      <c r="E549" t="str">
        <f t="shared" si="8"/>
        <v>001390</v>
      </c>
      <c r="F549" t="s">
        <v>27246</v>
      </c>
      <c r="G549" t="s">
        <v>27247</v>
      </c>
      <c r="H549" t="s">
        <v>27248</v>
      </c>
      <c r="I549" t="s">
        <v>28310</v>
      </c>
      <c r="J549" t="s">
        <v>1096</v>
      </c>
      <c r="L549" t="s">
        <v>27250</v>
      </c>
      <c r="M549" t="s">
        <v>27251</v>
      </c>
      <c r="N549" t="s">
        <v>27252</v>
      </c>
      <c r="Q549" s="1">
        <v>44538</v>
      </c>
      <c r="R549" t="s">
        <v>27253</v>
      </c>
      <c r="S549" t="s">
        <v>27254</v>
      </c>
      <c r="T549" t="s">
        <v>27255</v>
      </c>
    </row>
    <row r="550" spans="1:20" x14ac:dyDescent="0.3">
      <c r="A550" t="str">
        <f>"0611831097025"</f>
        <v>0611831097025</v>
      </c>
      <c r="B550" t="str">
        <f>"MC1789"</f>
        <v>MC1789</v>
      </c>
      <c r="C550" t="s">
        <v>28311</v>
      </c>
      <c r="D550" t="s">
        <v>27267</v>
      </c>
      <c r="E550" t="str">
        <f t="shared" si="8"/>
        <v>001390</v>
      </c>
      <c r="F550" t="s">
        <v>27246</v>
      </c>
      <c r="G550" t="s">
        <v>27247</v>
      </c>
      <c r="H550" t="s">
        <v>27248</v>
      </c>
      <c r="I550" t="s">
        <v>28312</v>
      </c>
      <c r="J550" t="s">
        <v>1098</v>
      </c>
      <c r="L550" t="s">
        <v>27250</v>
      </c>
      <c r="M550" t="s">
        <v>27251</v>
      </c>
      <c r="N550" t="s">
        <v>27252</v>
      </c>
      <c r="O550">
        <v>25</v>
      </c>
      <c r="Q550" s="1">
        <v>44538</v>
      </c>
      <c r="R550" t="s">
        <v>27253</v>
      </c>
      <c r="S550" t="s">
        <v>27254</v>
      </c>
      <c r="T550" t="s">
        <v>27269</v>
      </c>
    </row>
    <row r="551" spans="1:20" x14ac:dyDescent="0.3">
      <c r="A551" t="str">
        <f>"0611831098025"</f>
        <v>0611831098025</v>
      </c>
      <c r="B551" t="str">
        <f>"MC3386"</f>
        <v>MC3386</v>
      </c>
      <c r="C551" t="s">
        <v>28313</v>
      </c>
      <c r="D551" t="s">
        <v>27267</v>
      </c>
      <c r="E551" t="str">
        <f t="shared" si="8"/>
        <v>001390</v>
      </c>
      <c r="F551" t="s">
        <v>27246</v>
      </c>
      <c r="G551" t="s">
        <v>27247</v>
      </c>
      <c r="H551" t="s">
        <v>27248</v>
      </c>
      <c r="I551" t="s">
        <v>28314</v>
      </c>
      <c r="J551" t="s">
        <v>1100</v>
      </c>
      <c r="L551" t="s">
        <v>27250</v>
      </c>
      <c r="M551" t="s">
        <v>27251</v>
      </c>
      <c r="N551" t="s">
        <v>27252</v>
      </c>
      <c r="Q551" s="1">
        <v>44538</v>
      </c>
      <c r="R551" t="s">
        <v>27253</v>
      </c>
      <c r="S551" t="s">
        <v>27254</v>
      </c>
      <c r="T551" t="s">
        <v>27269</v>
      </c>
    </row>
    <row r="552" spans="1:20" x14ac:dyDescent="0.3">
      <c r="A552" t="str">
        <f>"0611831099025"</f>
        <v>0611831099025</v>
      </c>
      <c r="B552" t="str">
        <f>"MC4378"</f>
        <v>MC4378</v>
      </c>
      <c r="C552" t="s">
        <v>28315</v>
      </c>
      <c r="D552" t="s">
        <v>27267</v>
      </c>
      <c r="E552" t="str">
        <f t="shared" si="8"/>
        <v>001390</v>
      </c>
      <c r="F552" t="s">
        <v>27246</v>
      </c>
      <c r="G552" t="s">
        <v>27247</v>
      </c>
      <c r="H552" t="s">
        <v>27248</v>
      </c>
      <c r="I552" t="s">
        <v>28316</v>
      </c>
      <c r="J552" t="s">
        <v>1102</v>
      </c>
      <c r="L552" t="s">
        <v>27250</v>
      </c>
      <c r="M552" t="s">
        <v>27251</v>
      </c>
      <c r="N552" t="s">
        <v>27252</v>
      </c>
      <c r="Q552" s="1">
        <v>44538</v>
      </c>
      <c r="R552" t="s">
        <v>27253</v>
      </c>
      <c r="S552" t="s">
        <v>27254</v>
      </c>
      <c r="T552" t="s">
        <v>27269</v>
      </c>
    </row>
    <row r="553" spans="1:20" x14ac:dyDescent="0.3">
      <c r="A553" t="str">
        <f>"0611831100100"</f>
        <v>0611831100100</v>
      </c>
      <c r="B553" t="str">
        <f>"LH1130"</f>
        <v>LH1130</v>
      </c>
      <c r="C553" t="s">
        <v>28317</v>
      </c>
      <c r="D553" t="s">
        <v>27245</v>
      </c>
      <c r="E553" t="str">
        <f t="shared" si="8"/>
        <v>001390</v>
      </c>
      <c r="F553" t="s">
        <v>27246</v>
      </c>
      <c r="G553" t="s">
        <v>27247</v>
      </c>
      <c r="H553" t="s">
        <v>27248</v>
      </c>
      <c r="I553" t="s">
        <v>28318</v>
      </c>
      <c r="J553" t="s">
        <v>1104</v>
      </c>
      <c r="L553" t="s">
        <v>27250</v>
      </c>
      <c r="M553" t="s">
        <v>27251</v>
      </c>
      <c r="N553" t="s">
        <v>27252</v>
      </c>
      <c r="Q553" s="1">
        <v>44538</v>
      </c>
      <c r="R553" t="s">
        <v>27253</v>
      </c>
      <c r="S553" t="s">
        <v>27254</v>
      </c>
      <c r="T553" t="s">
        <v>27255</v>
      </c>
    </row>
    <row r="554" spans="1:20" x14ac:dyDescent="0.3">
      <c r="A554" t="str">
        <f>"0611831101025"</f>
        <v>0611831101025</v>
      </c>
      <c r="B554" t="str">
        <f>"MC0086"</f>
        <v>MC0086</v>
      </c>
      <c r="C554" t="s">
        <v>28317</v>
      </c>
      <c r="D554" t="s">
        <v>27267</v>
      </c>
      <c r="E554" t="str">
        <f t="shared" si="8"/>
        <v>001390</v>
      </c>
      <c r="F554" t="s">
        <v>27246</v>
      </c>
      <c r="G554" t="s">
        <v>27247</v>
      </c>
      <c r="H554" t="s">
        <v>27248</v>
      </c>
      <c r="I554" t="s">
        <v>28319</v>
      </c>
      <c r="J554" t="s">
        <v>1106</v>
      </c>
      <c r="L554" t="s">
        <v>27250</v>
      </c>
      <c r="M554" t="s">
        <v>27251</v>
      </c>
      <c r="N554" t="s">
        <v>27252</v>
      </c>
      <c r="Q554" s="1">
        <v>44538</v>
      </c>
      <c r="R554" t="s">
        <v>27253</v>
      </c>
      <c r="S554" t="s">
        <v>27254</v>
      </c>
      <c r="T554" t="s">
        <v>27269</v>
      </c>
    </row>
    <row r="555" spans="1:20" x14ac:dyDescent="0.3">
      <c r="A555" t="str">
        <f>"0611831102100"</f>
        <v>0611831102100</v>
      </c>
      <c r="B555" t="str">
        <f>"LH8952"</f>
        <v>LH8952</v>
      </c>
      <c r="C555" t="s">
        <v>28320</v>
      </c>
      <c r="D555" t="s">
        <v>27245</v>
      </c>
      <c r="E555" t="str">
        <f t="shared" si="8"/>
        <v>001390</v>
      </c>
      <c r="F555" t="s">
        <v>27246</v>
      </c>
      <c r="G555" t="s">
        <v>27247</v>
      </c>
      <c r="H555" t="s">
        <v>27248</v>
      </c>
      <c r="I555" t="s">
        <v>28321</v>
      </c>
      <c r="J555" t="s">
        <v>1108</v>
      </c>
      <c r="L555" t="s">
        <v>27250</v>
      </c>
      <c r="M555" t="s">
        <v>27251</v>
      </c>
      <c r="N555" t="s">
        <v>27252</v>
      </c>
      <c r="Q555" s="1">
        <v>44538</v>
      </c>
      <c r="R555" t="s">
        <v>27253</v>
      </c>
      <c r="S555" t="s">
        <v>27254</v>
      </c>
      <c r="T555" t="s">
        <v>27255</v>
      </c>
    </row>
    <row r="556" spans="1:20" x14ac:dyDescent="0.3">
      <c r="A556" t="str">
        <f>"0611831103100"</f>
        <v>0611831103100</v>
      </c>
      <c r="B556" t="str">
        <f>"LH1131"</f>
        <v>LH1131</v>
      </c>
      <c r="C556" t="s">
        <v>28322</v>
      </c>
      <c r="D556" t="s">
        <v>27245</v>
      </c>
      <c r="E556" t="str">
        <f t="shared" si="8"/>
        <v>001390</v>
      </c>
      <c r="F556" t="s">
        <v>27246</v>
      </c>
      <c r="G556" t="s">
        <v>27247</v>
      </c>
      <c r="H556" t="s">
        <v>27248</v>
      </c>
      <c r="I556" t="s">
        <v>28323</v>
      </c>
      <c r="J556" t="s">
        <v>1110</v>
      </c>
      <c r="L556" t="s">
        <v>27250</v>
      </c>
      <c r="M556" t="s">
        <v>27251</v>
      </c>
      <c r="N556" t="s">
        <v>27252</v>
      </c>
      <c r="Q556" s="1">
        <v>44538</v>
      </c>
      <c r="R556" t="s">
        <v>27253</v>
      </c>
      <c r="S556" t="s">
        <v>27254</v>
      </c>
      <c r="T556" t="s">
        <v>27255</v>
      </c>
    </row>
    <row r="557" spans="1:20" x14ac:dyDescent="0.3">
      <c r="A557" t="str">
        <f>"0611831104100"</f>
        <v>0611831104100</v>
      </c>
      <c r="B557" t="str">
        <f>"LH0004"</f>
        <v>LH0004</v>
      </c>
      <c r="C557" t="s">
        <v>28324</v>
      </c>
      <c r="D557" t="s">
        <v>27245</v>
      </c>
      <c r="E557" t="str">
        <f t="shared" si="8"/>
        <v>001390</v>
      </c>
      <c r="F557" t="s">
        <v>27246</v>
      </c>
      <c r="G557" t="s">
        <v>27247</v>
      </c>
      <c r="H557" t="s">
        <v>27248</v>
      </c>
      <c r="I557" t="s">
        <v>28325</v>
      </c>
      <c r="J557" t="s">
        <v>1112</v>
      </c>
      <c r="L557" t="s">
        <v>27250</v>
      </c>
      <c r="M557" t="s">
        <v>27251</v>
      </c>
      <c r="N557" t="s">
        <v>27252</v>
      </c>
      <c r="Q557" s="1">
        <v>44538</v>
      </c>
      <c r="R557" t="s">
        <v>27253</v>
      </c>
      <c r="S557" t="s">
        <v>27254</v>
      </c>
      <c r="T557" t="s">
        <v>27255</v>
      </c>
    </row>
    <row r="558" spans="1:20" x14ac:dyDescent="0.3">
      <c r="A558" t="str">
        <f>"0611831105100"</f>
        <v>0611831105100</v>
      </c>
      <c r="B558" t="str">
        <f>"LH8828"</f>
        <v>LH8828</v>
      </c>
      <c r="C558" t="s">
        <v>28326</v>
      </c>
      <c r="D558" t="s">
        <v>27245</v>
      </c>
      <c r="E558" t="str">
        <f t="shared" si="8"/>
        <v>001390</v>
      </c>
      <c r="F558" t="s">
        <v>27246</v>
      </c>
      <c r="G558" t="s">
        <v>27247</v>
      </c>
      <c r="H558" t="s">
        <v>27248</v>
      </c>
      <c r="I558" t="s">
        <v>28327</v>
      </c>
      <c r="J558" t="s">
        <v>1114</v>
      </c>
      <c r="L558" t="s">
        <v>27250</v>
      </c>
      <c r="M558" t="s">
        <v>27251</v>
      </c>
      <c r="N558" t="s">
        <v>27252</v>
      </c>
      <c r="Q558" s="1">
        <v>44538</v>
      </c>
      <c r="R558" t="s">
        <v>27253</v>
      </c>
      <c r="S558" t="s">
        <v>27254</v>
      </c>
      <c r="T558" t="s">
        <v>27255</v>
      </c>
    </row>
    <row r="559" spans="1:20" x14ac:dyDescent="0.3">
      <c r="A559" t="str">
        <f>"0611831106100"</f>
        <v>0611831106100</v>
      </c>
      <c r="B559" t="str">
        <f>"LL0200"</f>
        <v>LL0200</v>
      </c>
      <c r="C559" t="s">
        <v>28328</v>
      </c>
      <c r="D559" t="s">
        <v>27245</v>
      </c>
      <c r="E559" t="str">
        <f t="shared" si="8"/>
        <v>001390</v>
      </c>
      <c r="F559" t="s">
        <v>27246</v>
      </c>
      <c r="G559" t="s">
        <v>27247</v>
      </c>
      <c r="H559" t="s">
        <v>27248</v>
      </c>
      <c r="I559" t="s">
        <v>28329</v>
      </c>
      <c r="J559" t="s">
        <v>1128</v>
      </c>
      <c r="L559" t="s">
        <v>27250</v>
      </c>
      <c r="M559" t="s">
        <v>27251</v>
      </c>
      <c r="N559" t="s">
        <v>27252</v>
      </c>
      <c r="Q559" s="1">
        <v>44538</v>
      </c>
      <c r="R559" t="s">
        <v>27253</v>
      </c>
      <c r="S559" t="s">
        <v>27254</v>
      </c>
      <c r="T559" t="s">
        <v>27255</v>
      </c>
    </row>
    <row r="560" spans="1:20" x14ac:dyDescent="0.3">
      <c r="A560" t="str">
        <f>"0611831107025"</f>
        <v>0611831107025</v>
      </c>
      <c r="B560" t="str">
        <f>"MC0945"</f>
        <v>MC0945</v>
      </c>
      <c r="C560" t="s">
        <v>28330</v>
      </c>
      <c r="D560" t="s">
        <v>27267</v>
      </c>
      <c r="E560" t="str">
        <f t="shared" si="8"/>
        <v>001390</v>
      </c>
      <c r="F560" t="s">
        <v>27246</v>
      </c>
      <c r="G560" t="s">
        <v>27247</v>
      </c>
      <c r="H560" t="s">
        <v>27248</v>
      </c>
      <c r="I560" t="s">
        <v>28331</v>
      </c>
      <c r="J560" t="s">
        <v>1130</v>
      </c>
      <c r="L560" t="s">
        <v>27250</v>
      </c>
      <c r="M560" t="s">
        <v>27251</v>
      </c>
      <c r="N560" t="s">
        <v>27252</v>
      </c>
      <c r="Q560" s="1">
        <v>44538</v>
      </c>
      <c r="R560" t="s">
        <v>27253</v>
      </c>
      <c r="S560" t="s">
        <v>27254</v>
      </c>
      <c r="T560" t="s">
        <v>27269</v>
      </c>
    </row>
    <row r="561" spans="1:20" x14ac:dyDescent="0.3">
      <c r="A561" t="str">
        <f>"0611831113100"</f>
        <v>0611831113100</v>
      </c>
      <c r="B561" t="str">
        <f>"LS0005"</f>
        <v>LS0005</v>
      </c>
      <c r="C561" t="s">
        <v>28332</v>
      </c>
      <c r="D561" t="s">
        <v>27245</v>
      </c>
      <c r="E561" t="str">
        <f t="shared" si="8"/>
        <v>001390</v>
      </c>
      <c r="F561" t="s">
        <v>27246</v>
      </c>
      <c r="G561" t="s">
        <v>27247</v>
      </c>
      <c r="H561" t="s">
        <v>27248</v>
      </c>
      <c r="I561" t="s">
        <v>28333</v>
      </c>
      <c r="J561" t="s">
        <v>1126</v>
      </c>
      <c r="L561" t="s">
        <v>27250</v>
      </c>
      <c r="M561" t="s">
        <v>27251</v>
      </c>
      <c r="N561" t="s">
        <v>27252</v>
      </c>
      <c r="Q561" s="1">
        <v>44538</v>
      </c>
      <c r="R561" t="s">
        <v>27253</v>
      </c>
      <c r="S561" t="s">
        <v>27254</v>
      </c>
      <c r="T561" t="s">
        <v>27255</v>
      </c>
    </row>
    <row r="562" spans="1:20" x14ac:dyDescent="0.3">
      <c r="A562" t="str">
        <f>"0611831114100"</f>
        <v>0611831114100</v>
      </c>
      <c r="B562" t="str">
        <f>"LH1186"</f>
        <v>LH1186</v>
      </c>
      <c r="C562" t="s">
        <v>28334</v>
      </c>
      <c r="D562" t="s">
        <v>27245</v>
      </c>
      <c r="E562" t="str">
        <f t="shared" si="8"/>
        <v>001390</v>
      </c>
      <c r="F562" t="s">
        <v>27246</v>
      </c>
      <c r="G562" t="s">
        <v>27247</v>
      </c>
      <c r="H562" t="s">
        <v>27248</v>
      </c>
      <c r="I562" t="s">
        <v>28335</v>
      </c>
      <c r="J562" t="s">
        <v>1132</v>
      </c>
      <c r="L562" t="s">
        <v>27250</v>
      </c>
      <c r="M562" t="s">
        <v>27251</v>
      </c>
      <c r="N562" t="s">
        <v>27252</v>
      </c>
      <c r="Q562" s="1">
        <v>44538</v>
      </c>
      <c r="R562" t="s">
        <v>27253</v>
      </c>
      <c r="S562" t="s">
        <v>27254</v>
      </c>
      <c r="T562" t="s">
        <v>27255</v>
      </c>
    </row>
    <row r="563" spans="1:20" x14ac:dyDescent="0.3">
      <c r="A563" t="str">
        <f>"0611831115025"</f>
        <v>0611831115025</v>
      </c>
      <c r="B563" t="str">
        <f>"MC0095"</f>
        <v>MC0095</v>
      </c>
      <c r="C563" t="s">
        <v>28334</v>
      </c>
      <c r="D563" t="s">
        <v>27267</v>
      </c>
      <c r="E563" t="str">
        <f t="shared" si="8"/>
        <v>001390</v>
      </c>
      <c r="F563" t="s">
        <v>27246</v>
      </c>
      <c r="G563" t="s">
        <v>27247</v>
      </c>
      <c r="H563" t="s">
        <v>27248</v>
      </c>
      <c r="I563" t="s">
        <v>28336</v>
      </c>
      <c r="J563" t="s">
        <v>1134</v>
      </c>
      <c r="L563" t="s">
        <v>27250</v>
      </c>
      <c r="M563" t="s">
        <v>27251</v>
      </c>
      <c r="N563" t="s">
        <v>27252</v>
      </c>
      <c r="Q563" s="1">
        <v>44538</v>
      </c>
      <c r="R563" t="s">
        <v>27253</v>
      </c>
      <c r="S563" t="s">
        <v>27254</v>
      </c>
      <c r="T563" t="s">
        <v>27269</v>
      </c>
    </row>
    <row r="564" spans="1:20" x14ac:dyDescent="0.3">
      <c r="A564" t="str">
        <f>"0611832207100"</f>
        <v>0611832207100</v>
      </c>
      <c r="B564" t="str">
        <f>"LK0075"</f>
        <v>LK0075</v>
      </c>
      <c r="C564" t="s">
        <v>28337</v>
      </c>
      <c r="D564" t="s">
        <v>27245</v>
      </c>
      <c r="E564" t="str">
        <f t="shared" si="8"/>
        <v>001390</v>
      </c>
      <c r="F564" t="s">
        <v>27246</v>
      </c>
      <c r="G564" t="s">
        <v>27247</v>
      </c>
      <c r="H564" t="s">
        <v>27248</v>
      </c>
      <c r="I564" t="s">
        <v>28338</v>
      </c>
      <c r="J564" t="s">
        <v>1136</v>
      </c>
      <c r="L564" t="s">
        <v>27250</v>
      </c>
      <c r="M564" t="s">
        <v>27251</v>
      </c>
      <c r="N564" t="s">
        <v>27252</v>
      </c>
      <c r="Q564" s="1">
        <v>44538</v>
      </c>
      <c r="R564" t="s">
        <v>27253</v>
      </c>
      <c r="S564" t="s">
        <v>27254</v>
      </c>
      <c r="T564" t="s">
        <v>27255</v>
      </c>
    </row>
    <row r="565" spans="1:20" x14ac:dyDescent="0.3">
      <c r="A565" t="str">
        <f>"0611860538050"</f>
        <v>0611860538050</v>
      </c>
      <c r="B565" t="str">
        <f>"CE1082"</f>
        <v>CE1082</v>
      </c>
      <c r="C565" t="s">
        <v>28339</v>
      </c>
      <c r="D565" t="s">
        <v>27263</v>
      </c>
      <c r="E565" t="str">
        <f t="shared" si="8"/>
        <v>001390</v>
      </c>
      <c r="F565" t="s">
        <v>27246</v>
      </c>
      <c r="G565" t="s">
        <v>27247</v>
      </c>
      <c r="H565" t="s">
        <v>27248</v>
      </c>
      <c r="I565" t="s">
        <v>28340</v>
      </c>
      <c r="J565" t="s">
        <v>1138</v>
      </c>
      <c r="L565" t="s">
        <v>27250</v>
      </c>
      <c r="M565" t="s">
        <v>27251</v>
      </c>
      <c r="N565" t="s">
        <v>27252</v>
      </c>
      <c r="Q565" s="1">
        <v>44846</v>
      </c>
      <c r="R565" t="s">
        <v>27253</v>
      </c>
      <c r="S565" t="s">
        <v>27254</v>
      </c>
      <c r="T565" t="s">
        <v>27265</v>
      </c>
    </row>
    <row r="566" spans="1:20" x14ac:dyDescent="0.3">
      <c r="A566" t="str">
        <f>"0611832208100"</f>
        <v>0611832208100</v>
      </c>
      <c r="B566" t="str">
        <f>"LB0641"</f>
        <v>LB0641</v>
      </c>
      <c r="C566" t="s">
        <v>28341</v>
      </c>
      <c r="D566" t="s">
        <v>27245</v>
      </c>
      <c r="E566" t="str">
        <f t="shared" si="8"/>
        <v>001390</v>
      </c>
      <c r="F566" t="s">
        <v>27246</v>
      </c>
      <c r="G566" t="s">
        <v>27247</v>
      </c>
      <c r="H566" t="s">
        <v>27248</v>
      </c>
      <c r="I566" t="s">
        <v>28342</v>
      </c>
      <c r="J566" t="s">
        <v>1140</v>
      </c>
      <c r="L566" t="s">
        <v>27250</v>
      </c>
      <c r="M566" t="s">
        <v>27251</v>
      </c>
      <c r="N566" t="s">
        <v>27252</v>
      </c>
      <c r="Q566" s="1">
        <v>44538</v>
      </c>
      <c r="R566" t="s">
        <v>27253</v>
      </c>
      <c r="S566" t="s">
        <v>27254</v>
      </c>
      <c r="T566" t="s">
        <v>27255</v>
      </c>
    </row>
    <row r="567" spans="1:20" x14ac:dyDescent="0.3">
      <c r="A567" t="str">
        <f>"0611831118100"</f>
        <v>0611831118100</v>
      </c>
      <c r="B567" t="str">
        <f>"LY0243"</f>
        <v>LY0243</v>
      </c>
      <c r="C567" t="s">
        <v>28343</v>
      </c>
      <c r="D567" t="s">
        <v>27245</v>
      </c>
      <c r="E567" t="str">
        <f t="shared" si="8"/>
        <v>001390</v>
      </c>
      <c r="F567" t="s">
        <v>27246</v>
      </c>
      <c r="G567" t="s">
        <v>27247</v>
      </c>
      <c r="H567" t="s">
        <v>27248</v>
      </c>
      <c r="I567" t="s">
        <v>28344</v>
      </c>
      <c r="J567" t="s">
        <v>1142</v>
      </c>
      <c r="L567" t="s">
        <v>27250</v>
      </c>
      <c r="M567" t="s">
        <v>27251</v>
      </c>
      <c r="N567" t="s">
        <v>27252</v>
      </c>
      <c r="Q567" s="1">
        <v>44538</v>
      </c>
      <c r="R567" t="s">
        <v>27253</v>
      </c>
      <c r="S567" t="s">
        <v>27254</v>
      </c>
      <c r="T567" t="s">
        <v>27255</v>
      </c>
    </row>
    <row r="568" spans="1:20" x14ac:dyDescent="0.3">
      <c r="A568" t="str">
        <f>"0611831119100"</f>
        <v>0611831119100</v>
      </c>
      <c r="B568" t="str">
        <f>"LH0031"</f>
        <v>LH0031</v>
      </c>
      <c r="C568" t="s">
        <v>28345</v>
      </c>
      <c r="D568" t="s">
        <v>27245</v>
      </c>
      <c r="E568" t="str">
        <f t="shared" si="8"/>
        <v>001390</v>
      </c>
      <c r="F568" t="s">
        <v>27246</v>
      </c>
      <c r="G568" t="s">
        <v>27247</v>
      </c>
      <c r="H568" t="s">
        <v>27248</v>
      </c>
      <c r="I568" t="s">
        <v>28346</v>
      </c>
      <c r="J568" t="s">
        <v>1144</v>
      </c>
      <c r="L568" t="s">
        <v>27250</v>
      </c>
      <c r="M568" t="s">
        <v>27251</v>
      </c>
      <c r="N568" t="s">
        <v>27252</v>
      </c>
      <c r="Q568" s="1">
        <v>44538</v>
      </c>
      <c r="R568" t="s">
        <v>27253</v>
      </c>
      <c r="S568" t="s">
        <v>27254</v>
      </c>
      <c r="T568" t="s">
        <v>27255</v>
      </c>
    </row>
    <row r="569" spans="1:20" x14ac:dyDescent="0.3">
      <c r="A569" t="str">
        <f>"0611832210100"</f>
        <v>0611832210100</v>
      </c>
      <c r="B569" t="str">
        <f>"LK5554"</f>
        <v>LK5554</v>
      </c>
      <c r="C569" t="s">
        <v>28347</v>
      </c>
      <c r="D569" t="s">
        <v>27245</v>
      </c>
      <c r="E569" t="str">
        <f t="shared" si="8"/>
        <v>001390</v>
      </c>
      <c r="F569" t="s">
        <v>27246</v>
      </c>
      <c r="G569" t="s">
        <v>27247</v>
      </c>
      <c r="H569" t="s">
        <v>27248</v>
      </c>
      <c r="I569" t="s">
        <v>28348</v>
      </c>
      <c r="J569" t="s">
        <v>1146</v>
      </c>
      <c r="L569" t="s">
        <v>27250</v>
      </c>
      <c r="M569" t="s">
        <v>27251</v>
      </c>
      <c r="N569" t="s">
        <v>27252</v>
      </c>
      <c r="Q569" s="1">
        <v>44538</v>
      </c>
      <c r="R569" t="s">
        <v>27253</v>
      </c>
      <c r="S569" t="s">
        <v>27254</v>
      </c>
      <c r="T569" t="s">
        <v>27255</v>
      </c>
    </row>
    <row r="570" spans="1:20" x14ac:dyDescent="0.3">
      <c r="A570" t="str">
        <f>"0611832211100"</f>
        <v>0611832211100</v>
      </c>
      <c r="B570" t="str">
        <f>"LB0645"</f>
        <v>LB0645</v>
      </c>
      <c r="C570" t="s">
        <v>28349</v>
      </c>
      <c r="D570" t="s">
        <v>27245</v>
      </c>
      <c r="E570" t="str">
        <f t="shared" si="8"/>
        <v>001390</v>
      </c>
      <c r="F570" t="s">
        <v>27246</v>
      </c>
      <c r="G570" t="s">
        <v>27247</v>
      </c>
      <c r="H570" t="s">
        <v>27248</v>
      </c>
      <c r="I570" t="s">
        <v>28350</v>
      </c>
      <c r="J570" t="s">
        <v>1148</v>
      </c>
      <c r="L570" t="s">
        <v>27250</v>
      </c>
      <c r="M570" t="s">
        <v>27251</v>
      </c>
      <c r="N570" t="s">
        <v>27252</v>
      </c>
      <c r="Q570" s="1">
        <v>44538</v>
      </c>
      <c r="R570" t="s">
        <v>27253</v>
      </c>
      <c r="S570" t="s">
        <v>27254</v>
      </c>
      <c r="T570" t="s">
        <v>27255</v>
      </c>
    </row>
    <row r="571" spans="1:20" x14ac:dyDescent="0.3">
      <c r="A571" t="str">
        <f>"0611831120025"</f>
        <v>0611831120025</v>
      </c>
      <c r="B571" t="str">
        <f>"MC2143"</f>
        <v>MC2143</v>
      </c>
      <c r="C571" t="s">
        <v>28351</v>
      </c>
      <c r="D571" t="s">
        <v>27267</v>
      </c>
      <c r="E571" t="str">
        <f t="shared" si="8"/>
        <v>001390</v>
      </c>
      <c r="F571" t="s">
        <v>27246</v>
      </c>
      <c r="G571" t="s">
        <v>27247</v>
      </c>
      <c r="H571" t="s">
        <v>27248</v>
      </c>
      <c r="I571" t="s">
        <v>28352</v>
      </c>
      <c r="J571" t="s">
        <v>1150</v>
      </c>
      <c r="L571" t="s">
        <v>27250</v>
      </c>
      <c r="M571" t="s">
        <v>27251</v>
      </c>
      <c r="N571" t="s">
        <v>27252</v>
      </c>
      <c r="Q571" s="1">
        <v>44538</v>
      </c>
      <c r="R571" t="s">
        <v>27253</v>
      </c>
      <c r="S571" t="s">
        <v>27254</v>
      </c>
      <c r="T571" t="s">
        <v>27269</v>
      </c>
    </row>
    <row r="572" spans="1:20" x14ac:dyDescent="0.3">
      <c r="A572" t="str">
        <f>"0611831121100"</f>
        <v>0611831121100</v>
      </c>
      <c r="B572" t="str">
        <f>"LY0245"</f>
        <v>LY0245</v>
      </c>
      <c r="C572" t="s">
        <v>28353</v>
      </c>
      <c r="D572" t="s">
        <v>27245</v>
      </c>
      <c r="E572" t="str">
        <f t="shared" si="8"/>
        <v>001390</v>
      </c>
      <c r="F572" t="s">
        <v>27246</v>
      </c>
      <c r="G572" t="s">
        <v>27247</v>
      </c>
      <c r="H572" t="s">
        <v>27248</v>
      </c>
      <c r="I572" t="s">
        <v>28354</v>
      </c>
      <c r="J572" t="s">
        <v>1152</v>
      </c>
      <c r="L572" t="s">
        <v>27250</v>
      </c>
      <c r="M572" t="s">
        <v>27251</v>
      </c>
      <c r="N572" t="s">
        <v>27252</v>
      </c>
      <c r="Q572" s="1">
        <v>44538</v>
      </c>
      <c r="R572" t="s">
        <v>27253</v>
      </c>
      <c r="S572" t="s">
        <v>27254</v>
      </c>
      <c r="T572" t="s">
        <v>27255</v>
      </c>
    </row>
    <row r="573" spans="1:20" x14ac:dyDescent="0.3">
      <c r="A573" t="str">
        <f>"0611831122100"</f>
        <v>0611831122100</v>
      </c>
      <c r="B573" t="str">
        <f>"LY0246"</f>
        <v>LY0246</v>
      </c>
      <c r="C573" t="s">
        <v>28355</v>
      </c>
      <c r="D573" t="s">
        <v>27245</v>
      </c>
      <c r="E573" t="str">
        <f t="shared" si="8"/>
        <v>001390</v>
      </c>
      <c r="F573" t="s">
        <v>27246</v>
      </c>
      <c r="G573" t="s">
        <v>27247</v>
      </c>
      <c r="H573" t="s">
        <v>27248</v>
      </c>
      <c r="I573" t="s">
        <v>28356</v>
      </c>
      <c r="J573" t="s">
        <v>1154</v>
      </c>
      <c r="L573" t="s">
        <v>27250</v>
      </c>
      <c r="M573" t="s">
        <v>27251</v>
      </c>
      <c r="N573" t="s">
        <v>27252</v>
      </c>
      <c r="Q573" s="1">
        <v>44538</v>
      </c>
      <c r="R573" t="s">
        <v>27253</v>
      </c>
      <c r="S573" t="s">
        <v>27254</v>
      </c>
      <c r="T573" t="s">
        <v>27255</v>
      </c>
    </row>
    <row r="574" spans="1:20" x14ac:dyDescent="0.3">
      <c r="A574" t="str">
        <f>"0611831123100"</f>
        <v>0611831123100</v>
      </c>
      <c r="B574" t="str">
        <f>"LY0247"</f>
        <v>LY0247</v>
      </c>
      <c r="C574" t="s">
        <v>28357</v>
      </c>
      <c r="D574" t="s">
        <v>27245</v>
      </c>
      <c r="E574" t="str">
        <f t="shared" si="8"/>
        <v>001390</v>
      </c>
      <c r="F574" t="s">
        <v>27246</v>
      </c>
      <c r="G574" t="s">
        <v>27247</v>
      </c>
      <c r="H574" t="s">
        <v>27248</v>
      </c>
      <c r="I574" t="s">
        <v>28358</v>
      </c>
      <c r="J574" t="s">
        <v>1156</v>
      </c>
      <c r="L574" t="s">
        <v>27250</v>
      </c>
      <c r="M574" t="s">
        <v>27251</v>
      </c>
      <c r="N574" t="s">
        <v>27252</v>
      </c>
      <c r="Q574" s="1">
        <v>44538</v>
      </c>
      <c r="R574" t="s">
        <v>27253</v>
      </c>
      <c r="S574" t="s">
        <v>27254</v>
      </c>
      <c r="T574" t="s">
        <v>27255</v>
      </c>
    </row>
    <row r="575" spans="1:20" x14ac:dyDescent="0.3">
      <c r="A575" t="str">
        <f>"0611831117025"</f>
        <v>0611831117025</v>
      </c>
      <c r="B575" t="str">
        <f>"MC3679"</f>
        <v>MC3679</v>
      </c>
      <c r="C575" t="s">
        <v>28359</v>
      </c>
      <c r="D575" t="s">
        <v>27267</v>
      </c>
      <c r="E575" t="str">
        <f t="shared" si="8"/>
        <v>001390</v>
      </c>
      <c r="F575" t="s">
        <v>27246</v>
      </c>
      <c r="G575" t="s">
        <v>27247</v>
      </c>
      <c r="H575" t="s">
        <v>27248</v>
      </c>
      <c r="I575" t="s">
        <v>28360</v>
      </c>
      <c r="J575" t="s">
        <v>1158</v>
      </c>
      <c r="L575" t="s">
        <v>27250</v>
      </c>
      <c r="M575" t="s">
        <v>27251</v>
      </c>
      <c r="N575" t="s">
        <v>27252</v>
      </c>
      <c r="Q575" s="1">
        <v>44538</v>
      </c>
      <c r="R575" t="s">
        <v>27253</v>
      </c>
      <c r="S575" t="s">
        <v>27254</v>
      </c>
      <c r="T575" t="s">
        <v>27269</v>
      </c>
    </row>
    <row r="576" spans="1:20" x14ac:dyDescent="0.3">
      <c r="A576" t="str">
        <f>"0611831124100"</f>
        <v>0611831124100</v>
      </c>
      <c r="B576" t="str">
        <f>"LY0249"</f>
        <v>LY0249</v>
      </c>
      <c r="C576" t="s">
        <v>28361</v>
      </c>
      <c r="D576" t="s">
        <v>27245</v>
      </c>
      <c r="E576" t="str">
        <f t="shared" si="8"/>
        <v>001390</v>
      </c>
      <c r="F576" t="s">
        <v>27246</v>
      </c>
      <c r="G576" t="s">
        <v>27247</v>
      </c>
      <c r="H576" t="s">
        <v>27248</v>
      </c>
      <c r="I576" t="s">
        <v>28362</v>
      </c>
      <c r="J576" t="s">
        <v>1160</v>
      </c>
      <c r="L576" t="s">
        <v>27250</v>
      </c>
      <c r="M576" t="s">
        <v>27251</v>
      </c>
      <c r="N576" t="s">
        <v>27252</v>
      </c>
      <c r="Q576" s="1">
        <v>44538</v>
      </c>
      <c r="R576" t="s">
        <v>27253</v>
      </c>
      <c r="S576" t="s">
        <v>27254</v>
      </c>
      <c r="T576" t="s">
        <v>27255</v>
      </c>
    </row>
    <row r="577" spans="1:20" x14ac:dyDescent="0.3">
      <c r="A577" t="str">
        <f>"0611831125100"</f>
        <v>0611831125100</v>
      </c>
      <c r="B577" t="str">
        <f>"LY5655"</f>
        <v>LY5655</v>
      </c>
      <c r="C577" t="s">
        <v>28363</v>
      </c>
      <c r="D577" t="s">
        <v>28138</v>
      </c>
      <c r="E577" t="str">
        <f t="shared" si="8"/>
        <v>001390</v>
      </c>
      <c r="F577" t="s">
        <v>27246</v>
      </c>
      <c r="G577" t="s">
        <v>27247</v>
      </c>
      <c r="H577" t="s">
        <v>27248</v>
      </c>
      <c r="I577" t="s">
        <v>28364</v>
      </c>
      <c r="J577" t="s">
        <v>1162</v>
      </c>
      <c r="L577" t="s">
        <v>27250</v>
      </c>
      <c r="M577" t="s">
        <v>27251</v>
      </c>
      <c r="N577" t="s">
        <v>27252</v>
      </c>
      <c r="P577" t="s">
        <v>27925</v>
      </c>
      <c r="Q577" s="1">
        <v>44538</v>
      </c>
      <c r="R577" t="s">
        <v>27253</v>
      </c>
      <c r="S577" t="s">
        <v>27254</v>
      </c>
      <c r="T577" t="s">
        <v>27255</v>
      </c>
    </row>
    <row r="578" spans="1:20" x14ac:dyDescent="0.3">
      <c r="A578" t="str">
        <f>"0611831126100"</f>
        <v>0611831126100</v>
      </c>
      <c r="B578" t="str">
        <f>"LY5658"</f>
        <v>LY5658</v>
      </c>
      <c r="C578" t="s">
        <v>28365</v>
      </c>
      <c r="D578" t="s">
        <v>28138</v>
      </c>
      <c r="E578" t="str">
        <f t="shared" ref="E578:E641" si="9">"001390"</f>
        <v>001390</v>
      </c>
      <c r="F578" t="s">
        <v>27246</v>
      </c>
      <c r="G578" t="s">
        <v>27247</v>
      </c>
      <c r="H578" t="s">
        <v>27248</v>
      </c>
      <c r="I578" t="s">
        <v>28366</v>
      </c>
      <c r="J578" t="s">
        <v>1164</v>
      </c>
      <c r="L578" t="s">
        <v>27250</v>
      </c>
      <c r="M578" t="s">
        <v>27251</v>
      </c>
      <c r="N578" t="s">
        <v>27252</v>
      </c>
      <c r="P578" t="s">
        <v>27925</v>
      </c>
      <c r="Q578" s="1">
        <v>44538</v>
      </c>
      <c r="R578" t="s">
        <v>27253</v>
      </c>
      <c r="S578" t="s">
        <v>27254</v>
      </c>
      <c r="T578" t="s">
        <v>27255</v>
      </c>
    </row>
    <row r="579" spans="1:20" x14ac:dyDescent="0.3">
      <c r="A579" t="str">
        <f>"0611831128100"</f>
        <v>0611831128100</v>
      </c>
      <c r="B579" t="str">
        <f>"LY5657"</f>
        <v>LY5657</v>
      </c>
      <c r="C579" t="s">
        <v>28367</v>
      </c>
      <c r="D579" t="s">
        <v>28138</v>
      </c>
      <c r="E579" t="str">
        <f t="shared" si="9"/>
        <v>001390</v>
      </c>
      <c r="F579" t="s">
        <v>27246</v>
      </c>
      <c r="G579" t="s">
        <v>27247</v>
      </c>
      <c r="H579" t="s">
        <v>27248</v>
      </c>
      <c r="I579" t="s">
        <v>28368</v>
      </c>
      <c r="J579" t="s">
        <v>1168</v>
      </c>
      <c r="L579" t="s">
        <v>27250</v>
      </c>
      <c r="M579" t="s">
        <v>27251</v>
      </c>
      <c r="N579" t="s">
        <v>27252</v>
      </c>
      <c r="P579" t="s">
        <v>27925</v>
      </c>
      <c r="Q579" s="1">
        <v>44538</v>
      </c>
      <c r="R579" t="s">
        <v>27253</v>
      </c>
      <c r="S579" t="s">
        <v>27254</v>
      </c>
      <c r="T579" t="s">
        <v>27255</v>
      </c>
    </row>
    <row r="580" spans="1:20" x14ac:dyDescent="0.3">
      <c r="A580" t="str">
        <f>"0611831127100"</f>
        <v>0611831127100</v>
      </c>
      <c r="B580" t="str">
        <f>"LY0256"</f>
        <v>LY0256</v>
      </c>
      <c r="C580" t="s">
        <v>28369</v>
      </c>
      <c r="D580" t="s">
        <v>28138</v>
      </c>
      <c r="E580" t="str">
        <f t="shared" si="9"/>
        <v>001390</v>
      </c>
      <c r="F580" t="s">
        <v>27246</v>
      </c>
      <c r="G580" t="s">
        <v>27247</v>
      </c>
      <c r="H580" t="s">
        <v>27248</v>
      </c>
      <c r="I580" t="s">
        <v>28370</v>
      </c>
      <c r="J580" t="s">
        <v>1166</v>
      </c>
      <c r="L580" t="s">
        <v>27250</v>
      </c>
      <c r="M580" t="s">
        <v>27251</v>
      </c>
      <c r="N580" t="s">
        <v>27252</v>
      </c>
      <c r="P580" t="s">
        <v>27925</v>
      </c>
      <c r="Q580" s="1">
        <v>44538</v>
      </c>
      <c r="R580" t="s">
        <v>27253</v>
      </c>
      <c r="S580" t="s">
        <v>27254</v>
      </c>
      <c r="T580" t="s">
        <v>27255</v>
      </c>
    </row>
    <row r="581" spans="1:20" x14ac:dyDescent="0.3">
      <c r="A581" t="str">
        <f>"0611831129100"</f>
        <v>0611831129100</v>
      </c>
      <c r="B581" t="str">
        <f>"LY0250"</f>
        <v>LY0250</v>
      </c>
      <c r="C581" t="s">
        <v>28371</v>
      </c>
      <c r="D581" t="s">
        <v>28138</v>
      </c>
      <c r="E581" t="str">
        <f t="shared" si="9"/>
        <v>001390</v>
      </c>
      <c r="F581" t="s">
        <v>27246</v>
      </c>
      <c r="G581" t="s">
        <v>27247</v>
      </c>
      <c r="H581" t="s">
        <v>27248</v>
      </c>
      <c r="I581" t="s">
        <v>28372</v>
      </c>
      <c r="J581" t="s">
        <v>1170</v>
      </c>
      <c r="L581" t="s">
        <v>27250</v>
      </c>
      <c r="M581" t="s">
        <v>27251</v>
      </c>
      <c r="N581" t="s">
        <v>27252</v>
      </c>
      <c r="P581" t="s">
        <v>27925</v>
      </c>
      <c r="Q581" s="1">
        <v>44538</v>
      </c>
      <c r="R581" t="s">
        <v>27253</v>
      </c>
      <c r="S581" t="s">
        <v>27254</v>
      </c>
      <c r="T581" t="s">
        <v>27255</v>
      </c>
    </row>
    <row r="582" spans="1:20" x14ac:dyDescent="0.3">
      <c r="A582" t="str">
        <f>"0611860539100"</f>
        <v>0611860539100</v>
      </c>
      <c r="B582" t="str">
        <f>"CN5017"</f>
        <v>CN5017</v>
      </c>
      <c r="C582" t="s">
        <v>28373</v>
      </c>
      <c r="D582" t="s">
        <v>27339</v>
      </c>
      <c r="E582" t="str">
        <f t="shared" si="9"/>
        <v>001390</v>
      </c>
      <c r="F582" t="s">
        <v>27246</v>
      </c>
      <c r="G582" t="s">
        <v>27247</v>
      </c>
      <c r="H582" t="s">
        <v>27248</v>
      </c>
      <c r="I582" t="s">
        <v>28374</v>
      </c>
      <c r="J582" t="s">
        <v>1172</v>
      </c>
      <c r="L582" t="s">
        <v>27250</v>
      </c>
      <c r="M582" t="s">
        <v>27251</v>
      </c>
      <c r="N582" t="s">
        <v>27252</v>
      </c>
      <c r="P582" t="s">
        <v>27341</v>
      </c>
      <c r="Q582" s="1">
        <v>44846</v>
      </c>
      <c r="R582" t="s">
        <v>27253</v>
      </c>
      <c r="S582" t="s">
        <v>27254</v>
      </c>
      <c r="T582" t="s">
        <v>27255</v>
      </c>
    </row>
    <row r="583" spans="1:20" x14ac:dyDescent="0.3">
      <c r="A583" t="str">
        <f>"0611860540050"</f>
        <v>0611860540050</v>
      </c>
      <c r="B583" t="str">
        <f>"CR4194"</f>
        <v>CR4194</v>
      </c>
      <c r="C583" t="s">
        <v>28375</v>
      </c>
      <c r="D583" t="s">
        <v>28376</v>
      </c>
      <c r="E583" t="str">
        <f t="shared" si="9"/>
        <v>001390</v>
      </c>
      <c r="F583" t="s">
        <v>27246</v>
      </c>
      <c r="G583" t="s">
        <v>27247</v>
      </c>
      <c r="H583" t="s">
        <v>27248</v>
      </c>
      <c r="I583" t="s">
        <v>28377</v>
      </c>
      <c r="J583" t="s">
        <v>1174</v>
      </c>
      <c r="L583" t="s">
        <v>27250</v>
      </c>
      <c r="M583" t="s">
        <v>27251</v>
      </c>
      <c r="N583" t="s">
        <v>27252</v>
      </c>
      <c r="P583" t="s">
        <v>27341</v>
      </c>
      <c r="Q583" s="1">
        <v>44846</v>
      </c>
      <c r="R583" t="s">
        <v>27253</v>
      </c>
      <c r="S583" t="s">
        <v>27254</v>
      </c>
      <c r="T583" t="s">
        <v>28378</v>
      </c>
    </row>
    <row r="584" spans="1:20" x14ac:dyDescent="0.3">
      <c r="A584" t="str">
        <f>"0611860541100"</f>
        <v>0611860541100</v>
      </c>
      <c r="B584" t="str">
        <f>"CN5018"</f>
        <v>CN5018</v>
      </c>
      <c r="C584" t="s">
        <v>28379</v>
      </c>
      <c r="D584" t="s">
        <v>27339</v>
      </c>
      <c r="E584" t="str">
        <f t="shared" si="9"/>
        <v>001390</v>
      </c>
      <c r="F584" t="s">
        <v>27246</v>
      </c>
      <c r="G584" t="s">
        <v>27247</v>
      </c>
      <c r="H584" t="s">
        <v>27248</v>
      </c>
      <c r="I584" t="s">
        <v>28380</v>
      </c>
      <c r="J584" t="s">
        <v>1176</v>
      </c>
      <c r="L584" t="s">
        <v>27250</v>
      </c>
      <c r="M584" t="s">
        <v>27251</v>
      </c>
      <c r="N584" t="s">
        <v>27252</v>
      </c>
      <c r="P584" t="s">
        <v>27341</v>
      </c>
      <c r="Q584" s="1">
        <v>44846</v>
      </c>
      <c r="R584" t="s">
        <v>27253</v>
      </c>
      <c r="S584" t="s">
        <v>27254</v>
      </c>
      <c r="T584" t="s">
        <v>27255</v>
      </c>
    </row>
    <row r="585" spans="1:20" x14ac:dyDescent="0.3">
      <c r="A585" t="str">
        <f>"0611860542100"</f>
        <v>0611860542100</v>
      </c>
      <c r="B585" t="str">
        <f>"CN5019"</f>
        <v>CN5019</v>
      </c>
      <c r="C585" t="s">
        <v>28381</v>
      </c>
      <c r="D585" t="s">
        <v>27339</v>
      </c>
      <c r="E585" t="str">
        <f t="shared" si="9"/>
        <v>001390</v>
      </c>
      <c r="F585" t="s">
        <v>27246</v>
      </c>
      <c r="G585" t="s">
        <v>27247</v>
      </c>
      <c r="H585" t="s">
        <v>27248</v>
      </c>
      <c r="I585" t="s">
        <v>28382</v>
      </c>
      <c r="J585" t="s">
        <v>1178</v>
      </c>
      <c r="L585" t="s">
        <v>27250</v>
      </c>
      <c r="M585" t="s">
        <v>27251</v>
      </c>
      <c r="N585" t="s">
        <v>27252</v>
      </c>
      <c r="P585" t="s">
        <v>27341</v>
      </c>
      <c r="Q585" s="1">
        <v>44846</v>
      </c>
      <c r="R585" t="s">
        <v>27253</v>
      </c>
      <c r="S585" t="s">
        <v>27254</v>
      </c>
      <c r="T585" t="s">
        <v>27255</v>
      </c>
    </row>
    <row r="586" spans="1:20" x14ac:dyDescent="0.3">
      <c r="A586" t="str">
        <f>"0611860543100"</f>
        <v>0611860543100</v>
      </c>
      <c r="B586" t="str">
        <f>"CN5020"</f>
        <v>CN5020</v>
      </c>
      <c r="C586" t="s">
        <v>28383</v>
      </c>
      <c r="D586" t="s">
        <v>27339</v>
      </c>
      <c r="E586" t="str">
        <f t="shared" si="9"/>
        <v>001390</v>
      </c>
      <c r="F586" t="s">
        <v>27246</v>
      </c>
      <c r="G586" t="s">
        <v>27247</v>
      </c>
      <c r="H586" t="s">
        <v>27248</v>
      </c>
      <c r="I586" t="s">
        <v>28384</v>
      </c>
      <c r="J586" t="s">
        <v>1180</v>
      </c>
      <c r="L586" t="s">
        <v>27250</v>
      </c>
      <c r="M586" t="s">
        <v>27251</v>
      </c>
      <c r="N586" t="s">
        <v>27252</v>
      </c>
      <c r="P586" t="s">
        <v>27341</v>
      </c>
      <c r="Q586" s="1">
        <v>44846</v>
      </c>
      <c r="R586" t="s">
        <v>27253</v>
      </c>
      <c r="S586" t="s">
        <v>27254</v>
      </c>
      <c r="T586" t="s">
        <v>27255</v>
      </c>
    </row>
    <row r="587" spans="1:20" x14ac:dyDescent="0.3">
      <c r="A587" t="str">
        <f>"0611860544050"</f>
        <v>0611860544050</v>
      </c>
      <c r="B587" t="str">
        <f>"CR4197"</f>
        <v>CR4197</v>
      </c>
      <c r="C587" t="s">
        <v>28385</v>
      </c>
      <c r="D587" t="s">
        <v>28376</v>
      </c>
      <c r="E587" t="str">
        <f t="shared" si="9"/>
        <v>001390</v>
      </c>
      <c r="F587" t="s">
        <v>27246</v>
      </c>
      <c r="G587" t="s">
        <v>27247</v>
      </c>
      <c r="H587" t="s">
        <v>27248</v>
      </c>
      <c r="I587" t="s">
        <v>28386</v>
      </c>
      <c r="J587" t="s">
        <v>1182</v>
      </c>
      <c r="L587" t="s">
        <v>27250</v>
      </c>
      <c r="M587" t="s">
        <v>27251</v>
      </c>
      <c r="N587" t="s">
        <v>27252</v>
      </c>
      <c r="P587" t="s">
        <v>27341</v>
      </c>
      <c r="Q587" s="1">
        <v>44846</v>
      </c>
      <c r="R587" t="s">
        <v>27253</v>
      </c>
      <c r="S587" t="s">
        <v>27254</v>
      </c>
      <c r="T587" t="s">
        <v>28378</v>
      </c>
    </row>
    <row r="588" spans="1:20" x14ac:dyDescent="0.3">
      <c r="A588" t="str">
        <f>"0611831130100"</f>
        <v>0611831130100</v>
      </c>
      <c r="B588" t="str">
        <f>"LY0257"</f>
        <v>LY0257</v>
      </c>
      <c r="C588" t="s">
        <v>28387</v>
      </c>
      <c r="D588" t="s">
        <v>28138</v>
      </c>
      <c r="E588" t="str">
        <f t="shared" si="9"/>
        <v>001390</v>
      </c>
      <c r="F588" t="s">
        <v>27246</v>
      </c>
      <c r="G588" t="s">
        <v>27247</v>
      </c>
      <c r="H588" t="s">
        <v>27248</v>
      </c>
      <c r="I588" t="s">
        <v>28388</v>
      </c>
      <c r="J588" t="s">
        <v>1184</v>
      </c>
      <c r="L588" t="s">
        <v>27250</v>
      </c>
      <c r="M588" t="s">
        <v>27251</v>
      </c>
      <c r="N588" t="s">
        <v>27252</v>
      </c>
      <c r="P588" t="s">
        <v>27925</v>
      </c>
      <c r="Q588" s="1">
        <v>44538</v>
      </c>
      <c r="R588" t="s">
        <v>27253</v>
      </c>
      <c r="S588" t="s">
        <v>27254</v>
      </c>
      <c r="T588" t="s">
        <v>27255</v>
      </c>
    </row>
    <row r="589" spans="1:20" x14ac:dyDescent="0.3">
      <c r="A589" t="str">
        <f>"0611831131100"</f>
        <v>0611831131100</v>
      </c>
      <c r="B589" t="str">
        <f>"LY0251"</f>
        <v>LY0251</v>
      </c>
      <c r="C589" t="s">
        <v>28389</v>
      </c>
      <c r="D589" t="s">
        <v>28138</v>
      </c>
      <c r="E589" t="str">
        <f t="shared" si="9"/>
        <v>001390</v>
      </c>
      <c r="F589" t="s">
        <v>27246</v>
      </c>
      <c r="G589" t="s">
        <v>27247</v>
      </c>
      <c r="H589" t="s">
        <v>27248</v>
      </c>
      <c r="I589" t="s">
        <v>28390</v>
      </c>
      <c r="J589" t="s">
        <v>1186</v>
      </c>
      <c r="L589" t="s">
        <v>27250</v>
      </c>
      <c r="M589" t="s">
        <v>27251</v>
      </c>
      <c r="N589" t="s">
        <v>27252</v>
      </c>
      <c r="P589" t="s">
        <v>27925</v>
      </c>
      <c r="Q589" s="1">
        <v>44538</v>
      </c>
      <c r="R589" t="s">
        <v>27253</v>
      </c>
      <c r="S589" t="s">
        <v>27254</v>
      </c>
      <c r="T589" t="s">
        <v>27255</v>
      </c>
    </row>
    <row r="590" spans="1:20" x14ac:dyDescent="0.3">
      <c r="A590" t="str">
        <f>"0611831132100"</f>
        <v>0611831132100</v>
      </c>
      <c r="B590" t="str">
        <f>"LY0252"</f>
        <v>LY0252</v>
      </c>
      <c r="C590" t="s">
        <v>28391</v>
      </c>
      <c r="D590" t="s">
        <v>28138</v>
      </c>
      <c r="E590" t="str">
        <f t="shared" si="9"/>
        <v>001390</v>
      </c>
      <c r="F590" t="s">
        <v>27246</v>
      </c>
      <c r="G590" t="s">
        <v>27247</v>
      </c>
      <c r="H590" t="s">
        <v>27248</v>
      </c>
      <c r="I590" t="s">
        <v>28392</v>
      </c>
      <c r="J590" t="s">
        <v>1188</v>
      </c>
      <c r="L590" t="s">
        <v>27250</v>
      </c>
      <c r="M590" t="s">
        <v>27251</v>
      </c>
      <c r="N590" t="s">
        <v>27252</v>
      </c>
      <c r="P590" t="s">
        <v>27925</v>
      </c>
      <c r="Q590" s="1">
        <v>44538</v>
      </c>
      <c r="R590" t="s">
        <v>27253</v>
      </c>
      <c r="S590" t="s">
        <v>27254</v>
      </c>
      <c r="T590" t="s">
        <v>27255</v>
      </c>
    </row>
    <row r="591" spans="1:20" x14ac:dyDescent="0.3">
      <c r="A591" t="str">
        <f>"0611832214100"</f>
        <v>0611832214100</v>
      </c>
      <c r="B591" t="str">
        <f>"LB0636"</f>
        <v>LB0636</v>
      </c>
      <c r="C591" t="s">
        <v>28393</v>
      </c>
      <c r="D591" t="s">
        <v>27245</v>
      </c>
      <c r="E591" t="str">
        <f t="shared" si="9"/>
        <v>001390</v>
      </c>
      <c r="F591" t="s">
        <v>27246</v>
      </c>
      <c r="G591" t="s">
        <v>27247</v>
      </c>
      <c r="H591" t="s">
        <v>27248</v>
      </c>
      <c r="I591" t="s">
        <v>28394</v>
      </c>
      <c r="J591" t="s">
        <v>1190</v>
      </c>
      <c r="L591" t="s">
        <v>27250</v>
      </c>
      <c r="M591" t="s">
        <v>27251</v>
      </c>
      <c r="N591" t="s">
        <v>27252</v>
      </c>
      <c r="Q591" s="1">
        <v>44538</v>
      </c>
      <c r="R591" t="s">
        <v>27253</v>
      </c>
      <c r="S591" t="s">
        <v>27254</v>
      </c>
      <c r="T591" t="s">
        <v>27255</v>
      </c>
    </row>
    <row r="592" spans="1:20" x14ac:dyDescent="0.3">
      <c r="A592" t="str">
        <f>"0611831133025"</f>
        <v>0611831133025</v>
      </c>
      <c r="B592" t="str">
        <f>"MC0097"</f>
        <v>MC0097</v>
      </c>
      <c r="C592" t="s">
        <v>28395</v>
      </c>
      <c r="D592" t="s">
        <v>27267</v>
      </c>
      <c r="E592" t="str">
        <f t="shared" si="9"/>
        <v>001390</v>
      </c>
      <c r="F592" t="s">
        <v>27246</v>
      </c>
      <c r="G592" t="s">
        <v>27247</v>
      </c>
      <c r="H592" t="s">
        <v>27248</v>
      </c>
      <c r="I592" t="s">
        <v>28396</v>
      </c>
      <c r="J592" t="s">
        <v>1192</v>
      </c>
      <c r="L592" t="s">
        <v>27250</v>
      </c>
      <c r="M592" t="s">
        <v>27251</v>
      </c>
      <c r="N592" t="s">
        <v>27252</v>
      </c>
      <c r="Q592" s="1">
        <v>44538</v>
      </c>
      <c r="R592" t="s">
        <v>27253</v>
      </c>
      <c r="S592" t="s">
        <v>27254</v>
      </c>
      <c r="T592" t="s">
        <v>27269</v>
      </c>
    </row>
    <row r="593" spans="1:20" x14ac:dyDescent="0.3">
      <c r="A593" t="str">
        <f>"0611831116100"</f>
        <v>0611831116100</v>
      </c>
      <c r="B593" t="str">
        <f>"LH0030"</f>
        <v>LH0030</v>
      </c>
      <c r="C593" t="s">
        <v>28397</v>
      </c>
      <c r="D593" t="s">
        <v>27245</v>
      </c>
      <c r="E593" t="str">
        <f t="shared" si="9"/>
        <v>001390</v>
      </c>
      <c r="F593" t="s">
        <v>27246</v>
      </c>
      <c r="G593" t="s">
        <v>27247</v>
      </c>
      <c r="H593" t="s">
        <v>27248</v>
      </c>
      <c r="I593" t="s">
        <v>28398</v>
      </c>
      <c r="J593" t="s">
        <v>1194</v>
      </c>
      <c r="L593" t="s">
        <v>27250</v>
      </c>
      <c r="M593" t="s">
        <v>27251</v>
      </c>
      <c r="N593" t="s">
        <v>27252</v>
      </c>
      <c r="Q593" s="1">
        <v>44538</v>
      </c>
      <c r="R593" t="s">
        <v>27253</v>
      </c>
      <c r="S593" t="s">
        <v>27254</v>
      </c>
      <c r="T593" t="s">
        <v>27255</v>
      </c>
    </row>
    <row r="594" spans="1:20" x14ac:dyDescent="0.3">
      <c r="A594" t="str">
        <f>"0611832216100"</f>
        <v>0611832216100</v>
      </c>
      <c r="B594" t="str">
        <f>"LB0695"</f>
        <v>LB0695</v>
      </c>
      <c r="C594" t="s">
        <v>28399</v>
      </c>
      <c r="D594" t="s">
        <v>27245</v>
      </c>
      <c r="E594" t="str">
        <f t="shared" si="9"/>
        <v>001390</v>
      </c>
      <c r="F594" t="s">
        <v>27246</v>
      </c>
      <c r="G594" t="s">
        <v>27247</v>
      </c>
      <c r="H594" t="s">
        <v>27248</v>
      </c>
      <c r="I594" t="s">
        <v>28400</v>
      </c>
      <c r="J594" t="s">
        <v>1196</v>
      </c>
      <c r="L594" t="s">
        <v>27250</v>
      </c>
      <c r="M594" t="s">
        <v>27251</v>
      </c>
      <c r="N594" t="s">
        <v>27252</v>
      </c>
      <c r="Q594" s="1">
        <v>44538</v>
      </c>
      <c r="R594" t="s">
        <v>27253</v>
      </c>
      <c r="S594" t="s">
        <v>27254</v>
      </c>
      <c r="T594" t="s">
        <v>27255</v>
      </c>
    </row>
    <row r="595" spans="1:20" x14ac:dyDescent="0.3">
      <c r="A595" t="str">
        <f>"0611831134100"</f>
        <v>0611831134100</v>
      </c>
      <c r="B595" t="str">
        <f>"LY0255"</f>
        <v>LY0255</v>
      </c>
      <c r="C595" t="s">
        <v>28401</v>
      </c>
      <c r="D595" t="s">
        <v>27245</v>
      </c>
      <c r="E595" t="str">
        <f t="shared" si="9"/>
        <v>001390</v>
      </c>
      <c r="F595" t="s">
        <v>27246</v>
      </c>
      <c r="G595" t="s">
        <v>27247</v>
      </c>
      <c r="H595" t="s">
        <v>27248</v>
      </c>
      <c r="I595" t="s">
        <v>28402</v>
      </c>
      <c r="J595" t="s">
        <v>1198</v>
      </c>
      <c r="L595" t="s">
        <v>27250</v>
      </c>
      <c r="M595" t="s">
        <v>27251</v>
      </c>
      <c r="N595" t="s">
        <v>27252</v>
      </c>
      <c r="Q595" s="1">
        <v>44538</v>
      </c>
      <c r="R595" t="s">
        <v>27253</v>
      </c>
      <c r="S595" t="s">
        <v>27254</v>
      </c>
      <c r="T595" t="s">
        <v>27255</v>
      </c>
    </row>
    <row r="596" spans="1:20" x14ac:dyDescent="0.3">
      <c r="A596" t="str">
        <f>"0611831135100"</f>
        <v>0611831135100</v>
      </c>
      <c r="B596" t="str">
        <f>"LH0032"</f>
        <v>LH0032</v>
      </c>
      <c r="C596" t="s">
        <v>28403</v>
      </c>
      <c r="D596" t="s">
        <v>27245</v>
      </c>
      <c r="E596" t="str">
        <f t="shared" si="9"/>
        <v>001390</v>
      </c>
      <c r="F596" t="s">
        <v>27246</v>
      </c>
      <c r="G596" t="s">
        <v>27247</v>
      </c>
      <c r="H596" t="s">
        <v>27248</v>
      </c>
      <c r="I596" t="s">
        <v>28404</v>
      </c>
      <c r="J596" t="s">
        <v>1200</v>
      </c>
      <c r="L596" t="s">
        <v>27250</v>
      </c>
      <c r="M596" t="s">
        <v>27251</v>
      </c>
      <c r="N596" t="s">
        <v>27252</v>
      </c>
      <c r="Q596" s="1">
        <v>44538</v>
      </c>
      <c r="R596" t="s">
        <v>27253</v>
      </c>
      <c r="S596" t="s">
        <v>27254</v>
      </c>
      <c r="T596" t="s">
        <v>27255</v>
      </c>
    </row>
    <row r="597" spans="1:20" x14ac:dyDescent="0.3">
      <c r="A597" t="str">
        <f>"0611832217100"</f>
        <v>0611832217100</v>
      </c>
      <c r="B597" t="str">
        <f>"LB0700"</f>
        <v>LB0700</v>
      </c>
      <c r="C597" t="s">
        <v>28405</v>
      </c>
      <c r="D597" t="s">
        <v>27245</v>
      </c>
      <c r="E597" t="str">
        <f t="shared" si="9"/>
        <v>001390</v>
      </c>
      <c r="F597" t="s">
        <v>27246</v>
      </c>
      <c r="G597" t="s">
        <v>27247</v>
      </c>
      <c r="H597" t="s">
        <v>27248</v>
      </c>
      <c r="I597" t="s">
        <v>28406</v>
      </c>
      <c r="J597" t="s">
        <v>1202</v>
      </c>
      <c r="L597" t="s">
        <v>27250</v>
      </c>
      <c r="M597" t="s">
        <v>27251</v>
      </c>
      <c r="N597" t="s">
        <v>27252</v>
      </c>
      <c r="Q597" s="1">
        <v>44538</v>
      </c>
      <c r="R597" t="s">
        <v>27253</v>
      </c>
      <c r="S597" t="s">
        <v>27254</v>
      </c>
      <c r="T597" t="s">
        <v>27255</v>
      </c>
    </row>
    <row r="598" spans="1:20" x14ac:dyDescent="0.3">
      <c r="A598" t="str">
        <f>"0611832218100"</f>
        <v>0611832218100</v>
      </c>
      <c r="B598" t="str">
        <f>"LB0702"</f>
        <v>LB0702</v>
      </c>
      <c r="C598" t="s">
        <v>28407</v>
      </c>
      <c r="D598" t="s">
        <v>27245</v>
      </c>
      <c r="E598" t="str">
        <f t="shared" si="9"/>
        <v>001390</v>
      </c>
      <c r="F598" t="s">
        <v>27246</v>
      </c>
      <c r="G598" t="s">
        <v>27247</v>
      </c>
      <c r="H598" t="s">
        <v>27248</v>
      </c>
      <c r="I598" t="s">
        <v>28408</v>
      </c>
      <c r="J598" t="s">
        <v>1204</v>
      </c>
      <c r="L598" t="s">
        <v>27250</v>
      </c>
      <c r="M598" t="s">
        <v>27251</v>
      </c>
      <c r="N598" t="s">
        <v>27252</v>
      </c>
      <c r="Q598" s="1">
        <v>44538</v>
      </c>
      <c r="R598" t="s">
        <v>27253</v>
      </c>
      <c r="S598" t="s">
        <v>27254</v>
      </c>
      <c r="T598" t="s">
        <v>27255</v>
      </c>
    </row>
    <row r="599" spans="1:20" x14ac:dyDescent="0.3">
      <c r="A599" t="str">
        <f>"0611832219100"</f>
        <v>0611832219100</v>
      </c>
      <c r="B599" t="str">
        <f>"LB0708"</f>
        <v>LB0708</v>
      </c>
      <c r="C599" t="s">
        <v>28409</v>
      </c>
      <c r="D599" t="s">
        <v>27245</v>
      </c>
      <c r="E599" t="str">
        <f t="shared" si="9"/>
        <v>001390</v>
      </c>
      <c r="F599" t="s">
        <v>27246</v>
      </c>
      <c r="G599" t="s">
        <v>27247</v>
      </c>
      <c r="H599" t="s">
        <v>27248</v>
      </c>
      <c r="I599" t="s">
        <v>28410</v>
      </c>
      <c r="J599" t="s">
        <v>1206</v>
      </c>
      <c r="L599" t="s">
        <v>27250</v>
      </c>
      <c r="M599" t="s">
        <v>27251</v>
      </c>
      <c r="N599" t="s">
        <v>27252</v>
      </c>
      <c r="Q599" s="1">
        <v>44538</v>
      </c>
      <c r="R599" t="s">
        <v>27253</v>
      </c>
      <c r="S599" t="s">
        <v>27254</v>
      </c>
      <c r="T599" t="s">
        <v>27255</v>
      </c>
    </row>
    <row r="600" spans="1:20" x14ac:dyDescent="0.3">
      <c r="A600" t="str">
        <f>"0611832220100"</f>
        <v>0611832220100</v>
      </c>
      <c r="B600" t="str">
        <f>"LB0703"</f>
        <v>LB0703</v>
      </c>
      <c r="C600" t="s">
        <v>28411</v>
      </c>
      <c r="D600" t="s">
        <v>27245</v>
      </c>
      <c r="E600" t="str">
        <f t="shared" si="9"/>
        <v>001390</v>
      </c>
      <c r="F600" t="s">
        <v>27246</v>
      </c>
      <c r="G600" t="s">
        <v>27247</v>
      </c>
      <c r="H600" t="s">
        <v>27248</v>
      </c>
      <c r="I600" t="s">
        <v>28412</v>
      </c>
      <c r="J600" t="s">
        <v>1208</v>
      </c>
      <c r="L600" t="s">
        <v>27250</v>
      </c>
      <c r="M600" t="s">
        <v>27251</v>
      </c>
      <c r="N600" t="s">
        <v>27252</v>
      </c>
      <c r="Q600" s="1">
        <v>44538</v>
      </c>
      <c r="R600" t="s">
        <v>27253</v>
      </c>
      <c r="S600" t="s">
        <v>27254</v>
      </c>
      <c r="T600" t="s">
        <v>27255</v>
      </c>
    </row>
    <row r="601" spans="1:20" x14ac:dyDescent="0.3">
      <c r="A601" t="str">
        <f>"0611832221100"</f>
        <v>0611832221100</v>
      </c>
      <c r="B601" t="str">
        <f>"LB0705"</f>
        <v>LB0705</v>
      </c>
      <c r="C601" t="s">
        <v>28413</v>
      </c>
      <c r="D601" t="s">
        <v>27245</v>
      </c>
      <c r="E601" t="str">
        <f t="shared" si="9"/>
        <v>001390</v>
      </c>
      <c r="F601" t="s">
        <v>27246</v>
      </c>
      <c r="G601" t="s">
        <v>27247</v>
      </c>
      <c r="H601" t="s">
        <v>27248</v>
      </c>
      <c r="I601" t="s">
        <v>28414</v>
      </c>
      <c r="J601" t="s">
        <v>1210</v>
      </c>
      <c r="L601" t="s">
        <v>27250</v>
      </c>
      <c r="M601" t="s">
        <v>27251</v>
      </c>
      <c r="N601" t="s">
        <v>27252</v>
      </c>
      <c r="Q601" s="1">
        <v>44538</v>
      </c>
      <c r="R601" t="s">
        <v>27253</v>
      </c>
      <c r="S601" t="s">
        <v>27254</v>
      </c>
      <c r="T601" t="s">
        <v>27255</v>
      </c>
    </row>
    <row r="602" spans="1:20" x14ac:dyDescent="0.3">
      <c r="A602" t="str">
        <f>"0611831136025"</f>
        <v>0611831136025</v>
      </c>
      <c r="B602" t="str">
        <f>"MC0089"</f>
        <v>MC0089</v>
      </c>
      <c r="C602" t="s">
        <v>28415</v>
      </c>
      <c r="D602" t="s">
        <v>27267</v>
      </c>
      <c r="E602" t="str">
        <f t="shared" si="9"/>
        <v>001390</v>
      </c>
      <c r="F602" t="s">
        <v>27246</v>
      </c>
      <c r="G602" t="s">
        <v>27247</v>
      </c>
      <c r="H602" t="s">
        <v>27248</v>
      </c>
      <c r="I602" t="s">
        <v>28416</v>
      </c>
      <c r="J602" t="s">
        <v>1212</v>
      </c>
      <c r="L602" t="s">
        <v>27250</v>
      </c>
      <c r="M602" t="s">
        <v>27251</v>
      </c>
      <c r="N602" t="s">
        <v>27252</v>
      </c>
      <c r="Q602" s="1">
        <v>44538</v>
      </c>
      <c r="R602" t="s">
        <v>27253</v>
      </c>
      <c r="S602" t="s">
        <v>27254</v>
      </c>
      <c r="T602" t="s">
        <v>27269</v>
      </c>
    </row>
    <row r="603" spans="1:20" x14ac:dyDescent="0.3">
      <c r="A603" t="str">
        <f>"0611831137100"</f>
        <v>0611831137100</v>
      </c>
      <c r="B603" t="str">
        <f>"LY0258"</f>
        <v>LY0258</v>
      </c>
      <c r="C603" t="s">
        <v>28417</v>
      </c>
      <c r="D603" t="s">
        <v>28138</v>
      </c>
      <c r="E603" t="str">
        <f t="shared" si="9"/>
        <v>001390</v>
      </c>
      <c r="F603" t="s">
        <v>27246</v>
      </c>
      <c r="G603" t="s">
        <v>27247</v>
      </c>
      <c r="H603" t="s">
        <v>27248</v>
      </c>
      <c r="I603" t="s">
        <v>28418</v>
      </c>
      <c r="J603" t="s">
        <v>1214</v>
      </c>
      <c r="L603" t="s">
        <v>27250</v>
      </c>
      <c r="M603" t="s">
        <v>27251</v>
      </c>
      <c r="N603" t="s">
        <v>27252</v>
      </c>
      <c r="P603" t="s">
        <v>27925</v>
      </c>
      <c r="Q603" s="1">
        <v>44538</v>
      </c>
      <c r="R603" t="s">
        <v>27253</v>
      </c>
      <c r="S603" t="s">
        <v>27254</v>
      </c>
      <c r="T603" t="s">
        <v>27255</v>
      </c>
    </row>
    <row r="604" spans="1:20" x14ac:dyDescent="0.3">
      <c r="A604" t="str">
        <f>"0611831138025"</f>
        <v>0611831138025</v>
      </c>
      <c r="B604" t="str">
        <f>"MC0090"</f>
        <v>MC0090</v>
      </c>
      <c r="C604" t="s">
        <v>28419</v>
      </c>
      <c r="D604" t="s">
        <v>27267</v>
      </c>
      <c r="E604" t="str">
        <f t="shared" si="9"/>
        <v>001390</v>
      </c>
      <c r="F604" t="s">
        <v>27246</v>
      </c>
      <c r="G604" t="s">
        <v>27247</v>
      </c>
      <c r="H604" t="s">
        <v>27248</v>
      </c>
      <c r="I604" t="s">
        <v>28420</v>
      </c>
      <c r="J604" t="s">
        <v>1216</v>
      </c>
      <c r="L604" t="s">
        <v>27250</v>
      </c>
      <c r="M604" t="s">
        <v>27251</v>
      </c>
      <c r="N604" t="s">
        <v>27252</v>
      </c>
      <c r="Q604" s="1">
        <v>44538</v>
      </c>
      <c r="R604" t="s">
        <v>27253</v>
      </c>
      <c r="S604" t="s">
        <v>27254</v>
      </c>
      <c r="T604" t="s">
        <v>27269</v>
      </c>
    </row>
    <row r="605" spans="1:20" x14ac:dyDescent="0.3">
      <c r="A605" t="str">
        <f>"0611831139100"</f>
        <v>0611831139100</v>
      </c>
      <c r="B605" t="str">
        <f>"LH0034"</f>
        <v>LH0034</v>
      </c>
      <c r="C605" t="s">
        <v>28421</v>
      </c>
      <c r="D605" t="s">
        <v>27245</v>
      </c>
      <c r="E605" t="str">
        <f t="shared" si="9"/>
        <v>001390</v>
      </c>
      <c r="F605" t="s">
        <v>27246</v>
      </c>
      <c r="G605" t="s">
        <v>27247</v>
      </c>
      <c r="H605" t="s">
        <v>27248</v>
      </c>
      <c r="I605" t="s">
        <v>28422</v>
      </c>
      <c r="J605" t="s">
        <v>1218</v>
      </c>
      <c r="L605" t="s">
        <v>27250</v>
      </c>
      <c r="M605" t="s">
        <v>27251</v>
      </c>
      <c r="N605" t="s">
        <v>27252</v>
      </c>
      <c r="Q605" s="1">
        <v>44538</v>
      </c>
      <c r="R605" t="s">
        <v>27253</v>
      </c>
      <c r="S605" t="s">
        <v>27254</v>
      </c>
      <c r="T605" t="s">
        <v>27255</v>
      </c>
    </row>
    <row r="606" spans="1:20" x14ac:dyDescent="0.3">
      <c r="A606" t="str">
        <f>"0611860545050"</f>
        <v>0611860545050</v>
      </c>
      <c r="B606" t="str">
        <f>"CE1373"</f>
        <v>CE1373</v>
      </c>
      <c r="C606" t="s">
        <v>28423</v>
      </c>
      <c r="D606" t="s">
        <v>27263</v>
      </c>
      <c r="E606" t="str">
        <f t="shared" si="9"/>
        <v>001390</v>
      </c>
      <c r="F606" t="s">
        <v>27246</v>
      </c>
      <c r="G606" t="s">
        <v>27247</v>
      </c>
      <c r="H606" t="s">
        <v>27248</v>
      </c>
      <c r="I606" t="s">
        <v>28424</v>
      </c>
      <c r="J606" t="s">
        <v>1220</v>
      </c>
      <c r="L606" t="s">
        <v>27250</v>
      </c>
      <c r="M606" t="s">
        <v>27251</v>
      </c>
      <c r="N606" t="s">
        <v>27252</v>
      </c>
      <c r="Q606" s="1">
        <v>44846</v>
      </c>
      <c r="R606" t="s">
        <v>27253</v>
      </c>
      <c r="S606" t="s">
        <v>27254</v>
      </c>
      <c r="T606" t="s">
        <v>27265</v>
      </c>
    </row>
    <row r="607" spans="1:20" x14ac:dyDescent="0.3">
      <c r="A607" t="str">
        <f>"0611860546050"</f>
        <v>0611860546050</v>
      </c>
      <c r="B607" t="str">
        <f>"CE1374"</f>
        <v>CE1374</v>
      </c>
      <c r="C607" t="s">
        <v>28425</v>
      </c>
      <c r="D607" t="s">
        <v>27263</v>
      </c>
      <c r="E607" t="str">
        <f t="shared" si="9"/>
        <v>001390</v>
      </c>
      <c r="F607" t="s">
        <v>27246</v>
      </c>
      <c r="G607" t="s">
        <v>27247</v>
      </c>
      <c r="H607" t="s">
        <v>27248</v>
      </c>
      <c r="I607" t="s">
        <v>28426</v>
      </c>
      <c r="J607" t="s">
        <v>1222</v>
      </c>
      <c r="L607" t="s">
        <v>27250</v>
      </c>
      <c r="M607" t="s">
        <v>27251</v>
      </c>
      <c r="N607" t="s">
        <v>27252</v>
      </c>
      <c r="Q607" s="1">
        <v>44846</v>
      </c>
      <c r="R607" t="s">
        <v>27253</v>
      </c>
      <c r="S607" t="s">
        <v>27254</v>
      </c>
      <c r="T607" t="s">
        <v>27265</v>
      </c>
    </row>
    <row r="608" spans="1:20" x14ac:dyDescent="0.3">
      <c r="A608" t="str">
        <f>"0611832224100"</f>
        <v>0611832224100</v>
      </c>
      <c r="B608" t="str">
        <f>"LB0715"</f>
        <v>LB0715</v>
      </c>
      <c r="C608" t="s">
        <v>28427</v>
      </c>
      <c r="D608" t="s">
        <v>27245</v>
      </c>
      <c r="E608" t="str">
        <f t="shared" si="9"/>
        <v>001390</v>
      </c>
      <c r="F608" t="s">
        <v>27246</v>
      </c>
      <c r="G608" t="s">
        <v>27247</v>
      </c>
      <c r="H608" t="s">
        <v>27248</v>
      </c>
      <c r="I608" t="s">
        <v>28428</v>
      </c>
      <c r="J608" t="s">
        <v>1224</v>
      </c>
      <c r="L608" t="s">
        <v>27250</v>
      </c>
      <c r="M608" t="s">
        <v>27251</v>
      </c>
      <c r="N608" t="s">
        <v>27252</v>
      </c>
      <c r="Q608" s="1">
        <v>44538</v>
      </c>
      <c r="R608" t="s">
        <v>27253</v>
      </c>
      <c r="S608" t="s">
        <v>27254</v>
      </c>
      <c r="T608" t="s">
        <v>27255</v>
      </c>
    </row>
    <row r="609" spans="1:20" x14ac:dyDescent="0.3">
      <c r="A609" t="str">
        <f>"0611831142100"</f>
        <v>0611831142100</v>
      </c>
      <c r="B609" t="str">
        <f>"LH0035"</f>
        <v>LH0035</v>
      </c>
      <c r="C609" t="s">
        <v>28429</v>
      </c>
      <c r="D609" t="s">
        <v>27245</v>
      </c>
      <c r="E609" t="str">
        <f t="shared" si="9"/>
        <v>001390</v>
      </c>
      <c r="F609" t="s">
        <v>27246</v>
      </c>
      <c r="G609" t="s">
        <v>27247</v>
      </c>
      <c r="H609" t="s">
        <v>27248</v>
      </c>
      <c r="I609" t="s">
        <v>28430</v>
      </c>
      <c r="J609" t="s">
        <v>1226</v>
      </c>
      <c r="L609" t="s">
        <v>27250</v>
      </c>
      <c r="M609" t="s">
        <v>27251</v>
      </c>
      <c r="N609" t="s">
        <v>27252</v>
      </c>
      <c r="Q609" s="1">
        <v>44538</v>
      </c>
      <c r="R609" t="s">
        <v>27253</v>
      </c>
      <c r="S609" t="s">
        <v>27254</v>
      </c>
      <c r="T609" t="s">
        <v>27255</v>
      </c>
    </row>
    <row r="610" spans="1:20" x14ac:dyDescent="0.3">
      <c r="A610" t="str">
        <f>"0611831143025"</f>
        <v>0611831143025</v>
      </c>
      <c r="B610" t="str">
        <f>"MC1043"</f>
        <v>MC1043</v>
      </c>
      <c r="C610" t="s">
        <v>28431</v>
      </c>
      <c r="D610" t="s">
        <v>27267</v>
      </c>
      <c r="E610" t="str">
        <f t="shared" si="9"/>
        <v>001390</v>
      </c>
      <c r="F610" t="s">
        <v>27246</v>
      </c>
      <c r="G610" t="s">
        <v>27247</v>
      </c>
      <c r="H610" t="s">
        <v>27248</v>
      </c>
      <c r="I610" t="s">
        <v>28432</v>
      </c>
      <c r="J610" t="s">
        <v>1228</v>
      </c>
      <c r="L610" t="s">
        <v>27250</v>
      </c>
      <c r="M610" t="s">
        <v>27251</v>
      </c>
      <c r="N610" t="s">
        <v>27252</v>
      </c>
      <c r="Q610" s="1">
        <v>44538</v>
      </c>
      <c r="R610" t="s">
        <v>27253</v>
      </c>
      <c r="S610" t="s">
        <v>27254</v>
      </c>
      <c r="T610" t="s">
        <v>27269</v>
      </c>
    </row>
    <row r="611" spans="1:20" x14ac:dyDescent="0.3">
      <c r="A611" t="str">
        <f>"0611831144025"</f>
        <v>0611831144025</v>
      </c>
      <c r="B611" t="str">
        <f>"MC1044"</f>
        <v>MC1044</v>
      </c>
      <c r="C611" t="s">
        <v>28433</v>
      </c>
      <c r="D611" t="s">
        <v>27267</v>
      </c>
      <c r="E611" t="str">
        <f t="shared" si="9"/>
        <v>001390</v>
      </c>
      <c r="F611" t="s">
        <v>27246</v>
      </c>
      <c r="G611" t="s">
        <v>27247</v>
      </c>
      <c r="H611" t="s">
        <v>27248</v>
      </c>
      <c r="I611" t="s">
        <v>28434</v>
      </c>
      <c r="J611" t="s">
        <v>1230</v>
      </c>
      <c r="L611" t="s">
        <v>27250</v>
      </c>
      <c r="M611" t="s">
        <v>27251</v>
      </c>
      <c r="N611" t="s">
        <v>27252</v>
      </c>
      <c r="Q611" s="1">
        <v>44538</v>
      </c>
      <c r="R611" t="s">
        <v>27253</v>
      </c>
      <c r="S611" t="s">
        <v>27254</v>
      </c>
      <c r="T611" t="s">
        <v>27269</v>
      </c>
    </row>
    <row r="612" spans="1:20" x14ac:dyDescent="0.3">
      <c r="A612" t="str">
        <f>"0611831145025"</f>
        <v>0611831145025</v>
      </c>
      <c r="B612" t="str">
        <f>"MC1045"</f>
        <v>MC1045</v>
      </c>
      <c r="C612" t="s">
        <v>28435</v>
      </c>
      <c r="D612" t="s">
        <v>27267</v>
      </c>
      <c r="E612" t="str">
        <f t="shared" si="9"/>
        <v>001390</v>
      </c>
      <c r="F612" t="s">
        <v>27246</v>
      </c>
      <c r="G612" t="s">
        <v>27247</v>
      </c>
      <c r="H612" t="s">
        <v>27248</v>
      </c>
      <c r="I612" t="s">
        <v>28436</v>
      </c>
      <c r="J612" t="s">
        <v>1232</v>
      </c>
      <c r="L612" t="s">
        <v>27250</v>
      </c>
      <c r="M612" t="s">
        <v>27251</v>
      </c>
      <c r="N612" t="s">
        <v>27252</v>
      </c>
      <c r="Q612" s="1">
        <v>44538</v>
      </c>
      <c r="R612" t="s">
        <v>27253</v>
      </c>
      <c r="S612" t="s">
        <v>27254</v>
      </c>
      <c r="T612" t="s">
        <v>27269</v>
      </c>
    </row>
    <row r="613" spans="1:20" x14ac:dyDescent="0.3">
      <c r="A613" t="str">
        <f>"0611831150025"</f>
        <v>0611831150025</v>
      </c>
      <c r="B613" t="str">
        <f>"MC0101"</f>
        <v>MC0101</v>
      </c>
      <c r="C613" t="s">
        <v>28437</v>
      </c>
      <c r="D613" t="s">
        <v>27267</v>
      </c>
      <c r="E613" t="str">
        <f t="shared" si="9"/>
        <v>001390</v>
      </c>
      <c r="F613" t="s">
        <v>27246</v>
      </c>
      <c r="G613" t="s">
        <v>27247</v>
      </c>
      <c r="H613" t="s">
        <v>27248</v>
      </c>
      <c r="I613" t="s">
        <v>28438</v>
      </c>
      <c r="J613" t="s">
        <v>1234</v>
      </c>
      <c r="L613" t="s">
        <v>27250</v>
      </c>
      <c r="M613" t="s">
        <v>27251</v>
      </c>
      <c r="N613" t="s">
        <v>27252</v>
      </c>
      <c r="Q613" s="1">
        <v>44538</v>
      </c>
      <c r="R613" t="s">
        <v>27253</v>
      </c>
      <c r="S613" t="s">
        <v>27254</v>
      </c>
      <c r="T613" t="s">
        <v>27269</v>
      </c>
    </row>
    <row r="614" spans="1:20" x14ac:dyDescent="0.3">
      <c r="A614" t="str">
        <f>"0611831151025"</f>
        <v>0611831151025</v>
      </c>
      <c r="B614" t="str">
        <f>"MC0103"</f>
        <v>MC0103</v>
      </c>
      <c r="C614" t="s">
        <v>28439</v>
      </c>
      <c r="D614" t="s">
        <v>27267</v>
      </c>
      <c r="E614" t="str">
        <f t="shared" si="9"/>
        <v>001390</v>
      </c>
      <c r="F614" t="s">
        <v>27246</v>
      </c>
      <c r="G614" t="s">
        <v>27247</v>
      </c>
      <c r="H614" t="s">
        <v>27248</v>
      </c>
      <c r="I614" t="s">
        <v>28440</v>
      </c>
      <c r="J614" t="s">
        <v>1236</v>
      </c>
      <c r="L614" t="s">
        <v>27250</v>
      </c>
      <c r="M614" t="s">
        <v>27251</v>
      </c>
      <c r="N614" t="s">
        <v>27252</v>
      </c>
      <c r="Q614" s="1">
        <v>44538</v>
      </c>
      <c r="R614" t="s">
        <v>27253</v>
      </c>
      <c r="S614" t="s">
        <v>27254</v>
      </c>
      <c r="T614" t="s">
        <v>27269</v>
      </c>
    </row>
    <row r="615" spans="1:20" x14ac:dyDescent="0.3">
      <c r="A615" t="str">
        <f>"0611831152025"</f>
        <v>0611831152025</v>
      </c>
      <c r="B615" t="str">
        <f>"MC0107"</f>
        <v>MC0107</v>
      </c>
      <c r="C615" t="s">
        <v>28441</v>
      </c>
      <c r="D615" t="s">
        <v>27267</v>
      </c>
      <c r="E615" t="str">
        <f t="shared" si="9"/>
        <v>001390</v>
      </c>
      <c r="F615" t="s">
        <v>27246</v>
      </c>
      <c r="G615" t="s">
        <v>27247</v>
      </c>
      <c r="H615" t="s">
        <v>27248</v>
      </c>
      <c r="I615" t="s">
        <v>28442</v>
      </c>
      <c r="J615" t="s">
        <v>1238</v>
      </c>
      <c r="L615" t="s">
        <v>27250</v>
      </c>
      <c r="M615" t="s">
        <v>27251</v>
      </c>
      <c r="N615" t="s">
        <v>27252</v>
      </c>
      <c r="Q615" s="1">
        <v>44538</v>
      </c>
      <c r="R615" t="s">
        <v>27253</v>
      </c>
      <c r="S615" t="s">
        <v>27254</v>
      </c>
      <c r="T615" t="s">
        <v>27269</v>
      </c>
    </row>
    <row r="616" spans="1:20" x14ac:dyDescent="0.3">
      <c r="A616" t="str">
        <f>"0611831154025"</f>
        <v>0611831154025</v>
      </c>
      <c r="B616" t="str">
        <f>"MC0116"</f>
        <v>MC0116</v>
      </c>
      <c r="C616" t="s">
        <v>28443</v>
      </c>
      <c r="D616" t="s">
        <v>27267</v>
      </c>
      <c r="E616" t="str">
        <f t="shared" si="9"/>
        <v>001390</v>
      </c>
      <c r="F616" t="s">
        <v>27246</v>
      </c>
      <c r="G616" t="s">
        <v>27247</v>
      </c>
      <c r="H616" t="s">
        <v>27248</v>
      </c>
      <c r="I616" t="s">
        <v>28444</v>
      </c>
      <c r="J616" t="s">
        <v>1240</v>
      </c>
      <c r="L616" t="s">
        <v>27250</v>
      </c>
      <c r="M616" t="s">
        <v>27251</v>
      </c>
      <c r="N616" t="s">
        <v>27252</v>
      </c>
      <c r="Q616" s="1">
        <v>44538</v>
      </c>
      <c r="R616" t="s">
        <v>27253</v>
      </c>
      <c r="S616" t="s">
        <v>27254</v>
      </c>
      <c r="T616" t="s">
        <v>27269</v>
      </c>
    </row>
    <row r="617" spans="1:20" x14ac:dyDescent="0.3">
      <c r="A617" t="str">
        <f>"0611831155025"</f>
        <v>0611831155025</v>
      </c>
      <c r="B617" t="str">
        <f>"MC1059"</f>
        <v>MC1059</v>
      </c>
      <c r="C617" t="s">
        <v>28445</v>
      </c>
      <c r="D617" t="s">
        <v>27267</v>
      </c>
      <c r="E617" t="str">
        <f t="shared" si="9"/>
        <v>001390</v>
      </c>
      <c r="F617" t="s">
        <v>27246</v>
      </c>
      <c r="G617" t="s">
        <v>27247</v>
      </c>
      <c r="H617" t="s">
        <v>27248</v>
      </c>
      <c r="I617" t="s">
        <v>28446</v>
      </c>
      <c r="J617" t="s">
        <v>1242</v>
      </c>
      <c r="L617" t="s">
        <v>27250</v>
      </c>
      <c r="M617" t="s">
        <v>27251</v>
      </c>
      <c r="N617" t="s">
        <v>27252</v>
      </c>
      <c r="Q617" s="1">
        <v>44538</v>
      </c>
      <c r="R617" t="s">
        <v>27253</v>
      </c>
      <c r="S617" t="s">
        <v>27254</v>
      </c>
      <c r="T617" t="s">
        <v>27269</v>
      </c>
    </row>
    <row r="618" spans="1:20" x14ac:dyDescent="0.3">
      <c r="A618" t="str">
        <f>"0611831156025"</f>
        <v>0611831156025</v>
      </c>
      <c r="B618" t="str">
        <f>"MC0111"</f>
        <v>MC0111</v>
      </c>
      <c r="C618" t="s">
        <v>28447</v>
      </c>
      <c r="D618" t="s">
        <v>27267</v>
      </c>
      <c r="E618" t="str">
        <f t="shared" si="9"/>
        <v>001390</v>
      </c>
      <c r="F618" t="s">
        <v>27246</v>
      </c>
      <c r="G618" t="s">
        <v>27247</v>
      </c>
      <c r="H618" t="s">
        <v>27248</v>
      </c>
      <c r="I618" t="s">
        <v>28448</v>
      </c>
      <c r="J618" t="s">
        <v>1244</v>
      </c>
      <c r="L618" t="s">
        <v>27250</v>
      </c>
      <c r="M618" t="s">
        <v>27251</v>
      </c>
      <c r="N618" t="s">
        <v>27252</v>
      </c>
      <c r="Q618" s="1">
        <v>44538</v>
      </c>
      <c r="R618" t="s">
        <v>27253</v>
      </c>
      <c r="S618" t="s">
        <v>27254</v>
      </c>
      <c r="T618" t="s">
        <v>27269</v>
      </c>
    </row>
    <row r="619" spans="1:20" x14ac:dyDescent="0.3">
      <c r="A619" t="str">
        <f>"0611831157025"</f>
        <v>0611831157025</v>
      </c>
      <c r="B619" t="str">
        <f>"MC0119"</f>
        <v>MC0119</v>
      </c>
      <c r="C619" t="s">
        <v>28449</v>
      </c>
      <c r="D619" t="s">
        <v>27267</v>
      </c>
      <c r="E619" t="str">
        <f t="shared" si="9"/>
        <v>001390</v>
      </c>
      <c r="F619" t="s">
        <v>27246</v>
      </c>
      <c r="G619" t="s">
        <v>27247</v>
      </c>
      <c r="H619" t="s">
        <v>27248</v>
      </c>
      <c r="I619" t="s">
        <v>28450</v>
      </c>
      <c r="J619" t="s">
        <v>1246</v>
      </c>
      <c r="L619" t="s">
        <v>27250</v>
      </c>
      <c r="M619" t="s">
        <v>27251</v>
      </c>
      <c r="N619" t="s">
        <v>27252</v>
      </c>
      <c r="Q619" s="1">
        <v>44538</v>
      </c>
      <c r="R619" t="s">
        <v>27253</v>
      </c>
      <c r="S619" t="s">
        <v>27254</v>
      </c>
      <c r="T619" t="s">
        <v>27269</v>
      </c>
    </row>
    <row r="620" spans="1:20" x14ac:dyDescent="0.3">
      <c r="A620" t="str">
        <f>"0611856820025"</f>
        <v>0611856820025</v>
      </c>
      <c r="B620" t="str">
        <f>"MC4432"</f>
        <v>MC4432</v>
      </c>
      <c r="C620" t="s">
        <v>28451</v>
      </c>
      <c r="D620" t="s">
        <v>27267</v>
      </c>
      <c r="E620" t="str">
        <f t="shared" si="9"/>
        <v>001390</v>
      </c>
      <c r="F620" t="s">
        <v>27246</v>
      </c>
      <c r="G620" t="s">
        <v>27247</v>
      </c>
      <c r="H620" t="s">
        <v>27248</v>
      </c>
      <c r="I620" t="s">
        <v>28452</v>
      </c>
      <c r="J620" t="s">
        <v>1248</v>
      </c>
      <c r="L620" t="s">
        <v>27250</v>
      </c>
      <c r="M620" t="s">
        <v>27251</v>
      </c>
      <c r="N620" t="s">
        <v>27252</v>
      </c>
      <c r="Q620" s="1">
        <v>44812</v>
      </c>
      <c r="R620" t="s">
        <v>27253</v>
      </c>
      <c r="S620" t="s">
        <v>27254</v>
      </c>
      <c r="T620" t="s">
        <v>27269</v>
      </c>
    </row>
    <row r="621" spans="1:20" x14ac:dyDescent="0.3">
      <c r="A621" t="str">
        <f>"0611831158025"</f>
        <v>0611831158025</v>
      </c>
      <c r="B621" t="str">
        <f>"MC0113"</f>
        <v>MC0113</v>
      </c>
      <c r="C621" t="s">
        <v>28453</v>
      </c>
      <c r="D621" t="s">
        <v>27267</v>
      </c>
      <c r="E621" t="str">
        <f t="shared" si="9"/>
        <v>001390</v>
      </c>
      <c r="F621" t="s">
        <v>27246</v>
      </c>
      <c r="G621" t="s">
        <v>27247</v>
      </c>
      <c r="H621" t="s">
        <v>27248</v>
      </c>
      <c r="I621" t="s">
        <v>28454</v>
      </c>
      <c r="J621" t="s">
        <v>1250</v>
      </c>
      <c r="L621" t="s">
        <v>27250</v>
      </c>
      <c r="M621" t="s">
        <v>27251</v>
      </c>
      <c r="N621" t="s">
        <v>27252</v>
      </c>
      <c r="Q621" s="1">
        <v>44538</v>
      </c>
      <c r="R621" t="s">
        <v>27253</v>
      </c>
      <c r="S621" t="s">
        <v>27254</v>
      </c>
      <c r="T621" t="s">
        <v>27269</v>
      </c>
    </row>
    <row r="622" spans="1:20" x14ac:dyDescent="0.3">
      <c r="A622" t="str">
        <f>"0611831159025"</f>
        <v>0611831159025</v>
      </c>
      <c r="B622" t="str">
        <f>"MC1060"</f>
        <v>MC1060</v>
      </c>
      <c r="C622" t="s">
        <v>28455</v>
      </c>
      <c r="D622" t="s">
        <v>27267</v>
      </c>
      <c r="E622" t="str">
        <f t="shared" si="9"/>
        <v>001390</v>
      </c>
      <c r="F622" t="s">
        <v>27246</v>
      </c>
      <c r="G622" t="s">
        <v>27247</v>
      </c>
      <c r="H622" t="s">
        <v>27248</v>
      </c>
      <c r="I622" t="s">
        <v>28456</v>
      </c>
      <c r="J622" t="s">
        <v>1252</v>
      </c>
      <c r="L622" t="s">
        <v>27250</v>
      </c>
      <c r="M622" t="s">
        <v>27251</v>
      </c>
      <c r="N622" t="s">
        <v>27252</v>
      </c>
      <c r="Q622" s="1">
        <v>44538</v>
      </c>
      <c r="R622" t="s">
        <v>27253</v>
      </c>
      <c r="S622" t="s">
        <v>27254</v>
      </c>
      <c r="T622" t="s">
        <v>27269</v>
      </c>
    </row>
    <row r="623" spans="1:20" x14ac:dyDescent="0.3">
      <c r="A623" t="str">
        <f>"0611831161025"</f>
        <v>0611831161025</v>
      </c>
      <c r="B623" t="str">
        <f>"MC4008"</f>
        <v>MC4008</v>
      </c>
      <c r="C623" t="s">
        <v>28457</v>
      </c>
      <c r="D623" t="s">
        <v>27267</v>
      </c>
      <c r="E623" t="str">
        <f t="shared" si="9"/>
        <v>001390</v>
      </c>
      <c r="F623" t="s">
        <v>27246</v>
      </c>
      <c r="G623" t="s">
        <v>27247</v>
      </c>
      <c r="H623" t="s">
        <v>27248</v>
      </c>
      <c r="I623" t="s">
        <v>28458</v>
      </c>
      <c r="J623" t="s">
        <v>1254</v>
      </c>
      <c r="L623" t="s">
        <v>27250</v>
      </c>
      <c r="M623" t="s">
        <v>27251</v>
      </c>
      <c r="N623" t="s">
        <v>27252</v>
      </c>
      <c r="Q623" s="1">
        <v>44538</v>
      </c>
      <c r="R623" t="s">
        <v>27253</v>
      </c>
      <c r="S623" t="s">
        <v>27254</v>
      </c>
      <c r="T623" t="s">
        <v>27269</v>
      </c>
    </row>
    <row r="624" spans="1:20" x14ac:dyDescent="0.3">
      <c r="A624" t="str">
        <f>"0611831162025"</f>
        <v>0611831162025</v>
      </c>
      <c r="B624" t="str">
        <f>"MC4009"</f>
        <v>MC4009</v>
      </c>
      <c r="C624" t="s">
        <v>28459</v>
      </c>
      <c r="D624" t="s">
        <v>27267</v>
      </c>
      <c r="E624" t="str">
        <f t="shared" si="9"/>
        <v>001390</v>
      </c>
      <c r="F624" t="s">
        <v>27246</v>
      </c>
      <c r="G624" t="s">
        <v>27247</v>
      </c>
      <c r="H624" t="s">
        <v>27248</v>
      </c>
      <c r="I624" t="s">
        <v>28460</v>
      </c>
      <c r="J624" t="s">
        <v>1256</v>
      </c>
      <c r="L624" t="s">
        <v>27250</v>
      </c>
      <c r="M624" t="s">
        <v>27251</v>
      </c>
      <c r="N624" t="s">
        <v>27252</v>
      </c>
      <c r="Q624" s="1">
        <v>44538</v>
      </c>
      <c r="R624" t="s">
        <v>27253</v>
      </c>
      <c r="S624" t="s">
        <v>27254</v>
      </c>
      <c r="T624" t="s">
        <v>27269</v>
      </c>
    </row>
    <row r="625" spans="1:20" x14ac:dyDescent="0.3">
      <c r="A625" t="str">
        <f>"0611831163025"</f>
        <v>0611831163025</v>
      </c>
      <c r="B625" t="str">
        <f>"MC0120"</f>
        <v>MC0120</v>
      </c>
      <c r="C625" t="s">
        <v>28461</v>
      </c>
      <c r="D625" t="s">
        <v>27267</v>
      </c>
      <c r="E625" t="str">
        <f t="shared" si="9"/>
        <v>001390</v>
      </c>
      <c r="F625" t="s">
        <v>27246</v>
      </c>
      <c r="G625" t="s">
        <v>27247</v>
      </c>
      <c r="H625" t="s">
        <v>27248</v>
      </c>
      <c r="I625" t="s">
        <v>28462</v>
      </c>
      <c r="J625" t="s">
        <v>1258</v>
      </c>
      <c r="L625" t="s">
        <v>27250</v>
      </c>
      <c r="M625" t="s">
        <v>27251</v>
      </c>
      <c r="N625" t="s">
        <v>27252</v>
      </c>
      <c r="Q625" s="1">
        <v>44538</v>
      </c>
      <c r="R625" t="s">
        <v>27253</v>
      </c>
      <c r="S625" t="s">
        <v>27254</v>
      </c>
      <c r="T625" t="s">
        <v>27269</v>
      </c>
    </row>
    <row r="626" spans="1:20" x14ac:dyDescent="0.3">
      <c r="A626" t="str">
        <f>"0611831164025"</f>
        <v>0611831164025</v>
      </c>
      <c r="B626" t="str">
        <f>"MC3411"</f>
        <v>MC3411</v>
      </c>
      <c r="C626" t="s">
        <v>28463</v>
      </c>
      <c r="D626" t="s">
        <v>28057</v>
      </c>
      <c r="E626" t="str">
        <f t="shared" si="9"/>
        <v>001390</v>
      </c>
      <c r="F626" t="s">
        <v>27246</v>
      </c>
      <c r="G626" t="s">
        <v>27247</v>
      </c>
      <c r="H626" t="s">
        <v>27248</v>
      </c>
      <c r="I626" t="s">
        <v>28464</v>
      </c>
      <c r="J626" t="s">
        <v>1260</v>
      </c>
      <c r="L626" t="s">
        <v>27250</v>
      </c>
      <c r="M626" t="s">
        <v>27251</v>
      </c>
      <c r="N626" t="s">
        <v>27252</v>
      </c>
      <c r="P626" t="s">
        <v>27925</v>
      </c>
      <c r="Q626" s="1">
        <v>44538</v>
      </c>
      <c r="R626" t="s">
        <v>27253</v>
      </c>
      <c r="S626" t="s">
        <v>27254</v>
      </c>
      <c r="T626" t="s">
        <v>27269</v>
      </c>
    </row>
    <row r="627" spans="1:20" x14ac:dyDescent="0.3">
      <c r="A627" t="str">
        <f>"0611831167025"</f>
        <v>0611831167025</v>
      </c>
      <c r="B627" t="str">
        <f>"MC3934"</f>
        <v>MC3934</v>
      </c>
      <c r="C627" t="s">
        <v>28465</v>
      </c>
      <c r="D627" t="s">
        <v>28057</v>
      </c>
      <c r="E627" t="str">
        <f t="shared" si="9"/>
        <v>001390</v>
      </c>
      <c r="F627" t="s">
        <v>27246</v>
      </c>
      <c r="G627" t="s">
        <v>27247</v>
      </c>
      <c r="H627" t="s">
        <v>27248</v>
      </c>
      <c r="I627" t="s">
        <v>28466</v>
      </c>
      <c r="J627" t="s">
        <v>1262</v>
      </c>
      <c r="L627" t="s">
        <v>27250</v>
      </c>
      <c r="M627" t="s">
        <v>27251</v>
      </c>
      <c r="N627" t="s">
        <v>27252</v>
      </c>
      <c r="P627" t="s">
        <v>27925</v>
      </c>
      <c r="Q627" s="1">
        <v>44538</v>
      </c>
      <c r="R627" t="s">
        <v>27253</v>
      </c>
      <c r="S627" t="s">
        <v>27254</v>
      </c>
      <c r="T627" t="s">
        <v>27269</v>
      </c>
    </row>
    <row r="628" spans="1:20" x14ac:dyDescent="0.3">
      <c r="A628" t="str">
        <f>"0611831169025"</f>
        <v>0611831169025</v>
      </c>
      <c r="B628" t="str">
        <f>"MC4134"</f>
        <v>MC4134</v>
      </c>
      <c r="C628" t="s">
        <v>28467</v>
      </c>
      <c r="D628" t="s">
        <v>28057</v>
      </c>
      <c r="E628" t="str">
        <f t="shared" si="9"/>
        <v>001390</v>
      </c>
      <c r="F628" t="s">
        <v>27246</v>
      </c>
      <c r="G628" t="s">
        <v>27247</v>
      </c>
      <c r="H628" t="s">
        <v>27248</v>
      </c>
      <c r="I628" t="s">
        <v>28468</v>
      </c>
      <c r="J628" t="s">
        <v>1264</v>
      </c>
      <c r="L628" t="s">
        <v>27250</v>
      </c>
      <c r="M628" t="s">
        <v>27251</v>
      </c>
      <c r="N628" t="s">
        <v>27252</v>
      </c>
      <c r="P628" t="s">
        <v>27925</v>
      </c>
      <c r="Q628" s="1">
        <v>44538</v>
      </c>
      <c r="R628" t="s">
        <v>27253</v>
      </c>
      <c r="S628" t="s">
        <v>27254</v>
      </c>
      <c r="T628" t="s">
        <v>27269</v>
      </c>
    </row>
    <row r="629" spans="1:20" x14ac:dyDescent="0.3">
      <c r="A629" t="str">
        <f>"0611860547050"</f>
        <v>0611860547050</v>
      </c>
      <c r="B629" t="str">
        <f>"CE0957"</f>
        <v>CE0957</v>
      </c>
      <c r="C629" t="s">
        <v>28469</v>
      </c>
      <c r="D629" t="s">
        <v>27923</v>
      </c>
      <c r="E629" t="str">
        <f t="shared" si="9"/>
        <v>001390</v>
      </c>
      <c r="F629" t="s">
        <v>27246</v>
      </c>
      <c r="G629" t="s">
        <v>27247</v>
      </c>
      <c r="H629" t="s">
        <v>27248</v>
      </c>
      <c r="I629" t="s">
        <v>28470</v>
      </c>
      <c r="J629" t="s">
        <v>1266</v>
      </c>
      <c r="L629" t="s">
        <v>27250</v>
      </c>
      <c r="M629" t="s">
        <v>27251</v>
      </c>
      <c r="N629" t="s">
        <v>27252</v>
      </c>
      <c r="P629" t="s">
        <v>27925</v>
      </c>
      <c r="Q629" s="1">
        <v>44846</v>
      </c>
      <c r="R629" t="s">
        <v>27253</v>
      </c>
      <c r="S629" t="s">
        <v>27254</v>
      </c>
      <c r="T629" t="s">
        <v>27265</v>
      </c>
    </row>
    <row r="630" spans="1:20" x14ac:dyDescent="0.3">
      <c r="A630" t="str">
        <f>"0611860548050"</f>
        <v>0611860548050</v>
      </c>
      <c r="B630" t="str">
        <f>"CE0958"</f>
        <v>CE0958</v>
      </c>
      <c r="C630" t="s">
        <v>28471</v>
      </c>
      <c r="D630" t="s">
        <v>27923</v>
      </c>
      <c r="E630" t="str">
        <f t="shared" si="9"/>
        <v>001390</v>
      </c>
      <c r="F630" t="s">
        <v>27246</v>
      </c>
      <c r="G630" t="s">
        <v>27247</v>
      </c>
      <c r="H630" t="s">
        <v>27248</v>
      </c>
      <c r="I630" t="s">
        <v>28472</v>
      </c>
      <c r="J630" t="s">
        <v>1268</v>
      </c>
      <c r="L630" t="s">
        <v>27250</v>
      </c>
      <c r="M630" t="s">
        <v>27251</v>
      </c>
      <c r="N630" t="s">
        <v>27252</v>
      </c>
      <c r="P630" t="s">
        <v>27925</v>
      </c>
      <c r="Q630" s="1">
        <v>44846</v>
      </c>
      <c r="R630" t="s">
        <v>27253</v>
      </c>
      <c r="S630" t="s">
        <v>27254</v>
      </c>
      <c r="T630" t="s">
        <v>27265</v>
      </c>
    </row>
    <row r="631" spans="1:20" x14ac:dyDescent="0.3">
      <c r="A631" t="str">
        <f>"0611860549050"</f>
        <v>0611860549050</v>
      </c>
      <c r="B631" t="str">
        <f>"CE0960"</f>
        <v>CE0960</v>
      </c>
      <c r="C631" t="s">
        <v>28473</v>
      </c>
      <c r="D631" t="s">
        <v>27923</v>
      </c>
      <c r="E631" t="str">
        <f t="shared" si="9"/>
        <v>001390</v>
      </c>
      <c r="F631" t="s">
        <v>27246</v>
      </c>
      <c r="G631" t="s">
        <v>27247</v>
      </c>
      <c r="H631" t="s">
        <v>27248</v>
      </c>
      <c r="I631" t="s">
        <v>28474</v>
      </c>
      <c r="J631" t="s">
        <v>1270</v>
      </c>
      <c r="L631" t="s">
        <v>27250</v>
      </c>
      <c r="M631" t="s">
        <v>27251</v>
      </c>
      <c r="N631" t="s">
        <v>27252</v>
      </c>
      <c r="P631" t="s">
        <v>27925</v>
      </c>
      <c r="Q631" s="1">
        <v>44846</v>
      </c>
      <c r="R631" t="s">
        <v>27253</v>
      </c>
      <c r="S631" t="s">
        <v>27254</v>
      </c>
      <c r="T631" t="s">
        <v>27265</v>
      </c>
    </row>
    <row r="632" spans="1:20" x14ac:dyDescent="0.3">
      <c r="A632" t="str">
        <f>"0611860550050"</f>
        <v>0611860550050</v>
      </c>
      <c r="B632" t="str">
        <f>"CE0961"</f>
        <v>CE0961</v>
      </c>
      <c r="C632" t="s">
        <v>28475</v>
      </c>
      <c r="D632" t="s">
        <v>27923</v>
      </c>
      <c r="E632" t="str">
        <f t="shared" si="9"/>
        <v>001390</v>
      </c>
      <c r="F632" t="s">
        <v>27246</v>
      </c>
      <c r="G632" t="s">
        <v>27247</v>
      </c>
      <c r="H632" t="s">
        <v>27248</v>
      </c>
      <c r="I632" t="s">
        <v>28476</v>
      </c>
      <c r="J632" t="s">
        <v>1272</v>
      </c>
      <c r="L632" t="s">
        <v>27250</v>
      </c>
      <c r="M632" t="s">
        <v>27251</v>
      </c>
      <c r="N632" t="s">
        <v>27252</v>
      </c>
      <c r="P632" t="s">
        <v>27925</v>
      </c>
      <c r="Q632" s="1">
        <v>44846</v>
      </c>
      <c r="R632" t="s">
        <v>27253</v>
      </c>
      <c r="S632" t="s">
        <v>27254</v>
      </c>
      <c r="T632" t="s">
        <v>27265</v>
      </c>
    </row>
    <row r="633" spans="1:20" x14ac:dyDescent="0.3">
      <c r="A633" t="str">
        <f>"0611860551050"</f>
        <v>0611860551050</v>
      </c>
      <c r="B633" t="str">
        <f>"CE0963"</f>
        <v>CE0963</v>
      </c>
      <c r="C633" t="s">
        <v>28477</v>
      </c>
      <c r="D633" t="s">
        <v>27923</v>
      </c>
      <c r="E633" t="str">
        <f t="shared" si="9"/>
        <v>001390</v>
      </c>
      <c r="F633" t="s">
        <v>27246</v>
      </c>
      <c r="G633" t="s">
        <v>27247</v>
      </c>
      <c r="H633" t="s">
        <v>27248</v>
      </c>
      <c r="I633" t="s">
        <v>28478</v>
      </c>
      <c r="J633" t="s">
        <v>1274</v>
      </c>
      <c r="L633" t="s">
        <v>27250</v>
      </c>
      <c r="M633" t="s">
        <v>27251</v>
      </c>
      <c r="N633" t="s">
        <v>27252</v>
      </c>
      <c r="P633" t="s">
        <v>27925</v>
      </c>
      <c r="Q633" s="1">
        <v>44846</v>
      </c>
      <c r="R633" t="s">
        <v>27253</v>
      </c>
      <c r="S633" t="s">
        <v>27254</v>
      </c>
      <c r="T633" t="s">
        <v>27265</v>
      </c>
    </row>
    <row r="634" spans="1:20" x14ac:dyDescent="0.3">
      <c r="A634" t="str">
        <f>"0611860552050"</f>
        <v>0611860552050</v>
      </c>
      <c r="B634" t="str">
        <f>"CE0964"</f>
        <v>CE0964</v>
      </c>
      <c r="C634" t="s">
        <v>28479</v>
      </c>
      <c r="D634" t="s">
        <v>27923</v>
      </c>
      <c r="E634" t="str">
        <f t="shared" si="9"/>
        <v>001390</v>
      </c>
      <c r="F634" t="s">
        <v>27246</v>
      </c>
      <c r="G634" t="s">
        <v>27247</v>
      </c>
      <c r="H634" t="s">
        <v>27248</v>
      </c>
      <c r="I634" t="s">
        <v>28480</v>
      </c>
      <c r="J634" t="s">
        <v>1276</v>
      </c>
      <c r="L634" t="s">
        <v>27250</v>
      </c>
      <c r="M634" t="s">
        <v>27251</v>
      </c>
      <c r="N634" t="s">
        <v>27252</v>
      </c>
      <c r="P634" t="s">
        <v>27925</v>
      </c>
      <c r="Q634" s="1">
        <v>44846</v>
      </c>
      <c r="R634" t="s">
        <v>27253</v>
      </c>
      <c r="S634" t="s">
        <v>27254</v>
      </c>
      <c r="T634" t="s">
        <v>27265</v>
      </c>
    </row>
    <row r="635" spans="1:20" x14ac:dyDescent="0.3">
      <c r="A635" t="str">
        <f>"0611831170025"</f>
        <v>0611831170025</v>
      </c>
      <c r="B635" t="str">
        <f>"MQ0686"</f>
        <v>MQ0686</v>
      </c>
      <c r="C635" t="s">
        <v>28481</v>
      </c>
      <c r="D635" t="s">
        <v>28057</v>
      </c>
      <c r="E635" t="str">
        <f t="shared" si="9"/>
        <v>001390</v>
      </c>
      <c r="F635" t="s">
        <v>27246</v>
      </c>
      <c r="G635" t="s">
        <v>27247</v>
      </c>
      <c r="H635" t="s">
        <v>27248</v>
      </c>
      <c r="I635" t="s">
        <v>28482</v>
      </c>
      <c r="J635" t="s">
        <v>1278</v>
      </c>
      <c r="L635" t="s">
        <v>27250</v>
      </c>
      <c r="M635" t="s">
        <v>27251</v>
      </c>
      <c r="N635" t="s">
        <v>27252</v>
      </c>
      <c r="P635" t="s">
        <v>27925</v>
      </c>
      <c r="Q635" s="1">
        <v>44538</v>
      </c>
      <c r="R635" t="s">
        <v>27253</v>
      </c>
      <c r="S635" t="s">
        <v>27254</v>
      </c>
      <c r="T635" t="s">
        <v>27269</v>
      </c>
    </row>
    <row r="636" spans="1:20" x14ac:dyDescent="0.3">
      <c r="A636" t="str">
        <f>"0611860553050"</f>
        <v>0611860553050</v>
      </c>
      <c r="B636" t="str">
        <f>"CE0967"</f>
        <v>CE0967</v>
      </c>
      <c r="C636" t="s">
        <v>28483</v>
      </c>
      <c r="D636" t="s">
        <v>27923</v>
      </c>
      <c r="E636" t="str">
        <f t="shared" si="9"/>
        <v>001390</v>
      </c>
      <c r="F636" t="s">
        <v>27246</v>
      </c>
      <c r="G636" t="s">
        <v>27247</v>
      </c>
      <c r="H636" t="s">
        <v>27248</v>
      </c>
      <c r="I636" t="s">
        <v>28484</v>
      </c>
      <c r="J636" t="s">
        <v>1280</v>
      </c>
      <c r="L636" t="s">
        <v>27250</v>
      </c>
      <c r="M636" t="s">
        <v>27251</v>
      </c>
      <c r="N636" t="s">
        <v>27252</v>
      </c>
      <c r="P636" t="s">
        <v>27925</v>
      </c>
      <c r="Q636" s="1">
        <v>44846</v>
      </c>
      <c r="R636" t="s">
        <v>27253</v>
      </c>
      <c r="S636" t="s">
        <v>27254</v>
      </c>
      <c r="T636" t="s">
        <v>27265</v>
      </c>
    </row>
    <row r="637" spans="1:20" x14ac:dyDescent="0.3">
      <c r="A637" t="str">
        <f>"0611831171100"</f>
        <v>0611831171100</v>
      </c>
      <c r="B637" t="str">
        <f>"LH1362"</f>
        <v>LH1362</v>
      </c>
      <c r="C637" t="s">
        <v>28485</v>
      </c>
      <c r="D637" t="s">
        <v>27245</v>
      </c>
      <c r="E637" t="str">
        <f t="shared" si="9"/>
        <v>001390</v>
      </c>
      <c r="F637" t="s">
        <v>27246</v>
      </c>
      <c r="G637" t="s">
        <v>27247</v>
      </c>
      <c r="H637" t="s">
        <v>27248</v>
      </c>
      <c r="I637" t="s">
        <v>28486</v>
      </c>
      <c r="J637" t="s">
        <v>1282</v>
      </c>
      <c r="L637" t="s">
        <v>27250</v>
      </c>
      <c r="M637" t="s">
        <v>27251</v>
      </c>
      <c r="N637" t="s">
        <v>27252</v>
      </c>
      <c r="Q637" s="1">
        <v>44538</v>
      </c>
      <c r="R637" t="s">
        <v>27253</v>
      </c>
      <c r="S637" t="s">
        <v>27254</v>
      </c>
      <c r="T637" t="s">
        <v>27255</v>
      </c>
    </row>
    <row r="638" spans="1:20" x14ac:dyDescent="0.3">
      <c r="A638" t="str">
        <f>"0611831175100"</f>
        <v>0611831175100</v>
      </c>
      <c r="B638" t="str">
        <f>"LH1363"</f>
        <v>LH1363</v>
      </c>
      <c r="C638" t="s">
        <v>28487</v>
      </c>
      <c r="D638" t="s">
        <v>27245</v>
      </c>
      <c r="E638" t="str">
        <f t="shared" si="9"/>
        <v>001390</v>
      </c>
      <c r="F638" t="s">
        <v>27246</v>
      </c>
      <c r="G638" t="s">
        <v>27247</v>
      </c>
      <c r="H638" t="s">
        <v>27248</v>
      </c>
      <c r="I638" t="s">
        <v>28488</v>
      </c>
      <c r="J638" t="s">
        <v>1296</v>
      </c>
      <c r="L638" t="s">
        <v>27250</v>
      </c>
      <c r="M638" t="s">
        <v>27251</v>
      </c>
      <c r="N638" t="s">
        <v>27252</v>
      </c>
      <c r="Q638" s="1">
        <v>44538</v>
      </c>
      <c r="R638" t="s">
        <v>27253</v>
      </c>
      <c r="S638" t="s">
        <v>27254</v>
      </c>
      <c r="T638" t="s">
        <v>27255</v>
      </c>
    </row>
    <row r="639" spans="1:20" x14ac:dyDescent="0.3">
      <c r="A639" t="str">
        <f>"0611831172025"</f>
        <v>0611831172025</v>
      </c>
      <c r="B639" t="str">
        <f>"MQ6003"</f>
        <v>MQ6003</v>
      </c>
      <c r="C639" t="s">
        <v>28489</v>
      </c>
      <c r="D639" t="s">
        <v>27267</v>
      </c>
      <c r="E639" t="str">
        <f t="shared" si="9"/>
        <v>001390</v>
      </c>
      <c r="F639" t="s">
        <v>27246</v>
      </c>
      <c r="G639" t="s">
        <v>27247</v>
      </c>
      <c r="H639" t="s">
        <v>27248</v>
      </c>
      <c r="I639" t="s">
        <v>28490</v>
      </c>
      <c r="J639" t="s">
        <v>1284</v>
      </c>
      <c r="L639" t="s">
        <v>27250</v>
      </c>
      <c r="M639" t="s">
        <v>27251</v>
      </c>
      <c r="N639" t="s">
        <v>27252</v>
      </c>
      <c r="Q639" s="1">
        <v>44538</v>
      </c>
      <c r="R639" t="s">
        <v>27253</v>
      </c>
      <c r="S639" t="s">
        <v>27254</v>
      </c>
      <c r="T639" t="s">
        <v>27269</v>
      </c>
    </row>
    <row r="640" spans="1:20" x14ac:dyDescent="0.3">
      <c r="A640" t="str">
        <f>"0611860554050"</f>
        <v>0611860554050</v>
      </c>
      <c r="B640" t="str">
        <f>"CE1700"</f>
        <v>CE1700</v>
      </c>
      <c r="C640" t="s">
        <v>28489</v>
      </c>
      <c r="D640" t="s">
        <v>27263</v>
      </c>
      <c r="E640" t="str">
        <f t="shared" si="9"/>
        <v>001390</v>
      </c>
      <c r="F640" t="s">
        <v>27246</v>
      </c>
      <c r="G640" t="s">
        <v>27247</v>
      </c>
      <c r="H640" t="s">
        <v>27248</v>
      </c>
      <c r="I640" t="s">
        <v>28491</v>
      </c>
      <c r="J640" t="s">
        <v>1286</v>
      </c>
      <c r="L640" t="s">
        <v>27250</v>
      </c>
      <c r="M640" t="s">
        <v>27251</v>
      </c>
      <c r="N640" t="s">
        <v>27252</v>
      </c>
      <c r="Q640" s="1">
        <v>44846</v>
      </c>
      <c r="R640" t="s">
        <v>27253</v>
      </c>
      <c r="S640" t="s">
        <v>27254</v>
      </c>
      <c r="T640" t="s">
        <v>27265</v>
      </c>
    </row>
    <row r="641" spans="1:20" x14ac:dyDescent="0.3">
      <c r="A641" t="str">
        <f>"0611831173025"</f>
        <v>0611831173025</v>
      </c>
      <c r="B641" t="str">
        <f>"MQ6004"</f>
        <v>MQ6004</v>
      </c>
      <c r="C641" t="s">
        <v>28492</v>
      </c>
      <c r="D641" t="s">
        <v>27267</v>
      </c>
      <c r="E641" t="str">
        <f t="shared" si="9"/>
        <v>001390</v>
      </c>
      <c r="F641" t="s">
        <v>27246</v>
      </c>
      <c r="G641" t="s">
        <v>27247</v>
      </c>
      <c r="H641" t="s">
        <v>27248</v>
      </c>
      <c r="I641" t="s">
        <v>28493</v>
      </c>
      <c r="J641" t="s">
        <v>1288</v>
      </c>
      <c r="L641" t="s">
        <v>27250</v>
      </c>
      <c r="M641" t="s">
        <v>27251</v>
      </c>
      <c r="N641" t="s">
        <v>27252</v>
      </c>
      <c r="Q641" s="1">
        <v>44538</v>
      </c>
      <c r="R641" t="s">
        <v>27253</v>
      </c>
      <c r="S641" t="s">
        <v>27254</v>
      </c>
      <c r="T641" t="s">
        <v>27269</v>
      </c>
    </row>
    <row r="642" spans="1:20" x14ac:dyDescent="0.3">
      <c r="A642" t="str">
        <f>"0611860555050"</f>
        <v>0611860555050</v>
      </c>
      <c r="B642" t="str">
        <f>"CE1701"</f>
        <v>CE1701</v>
      </c>
      <c r="C642" t="s">
        <v>28492</v>
      </c>
      <c r="D642" t="s">
        <v>27263</v>
      </c>
      <c r="E642" t="str">
        <f t="shared" ref="E642:E705" si="10">"001390"</f>
        <v>001390</v>
      </c>
      <c r="F642" t="s">
        <v>27246</v>
      </c>
      <c r="G642" t="s">
        <v>27247</v>
      </c>
      <c r="H642" t="s">
        <v>27248</v>
      </c>
      <c r="I642" t="s">
        <v>28494</v>
      </c>
      <c r="J642" t="s">
        <v>1290</v>
      </c>
      <c r="L642" t="s">
        <v>27250</v>
      </c>
      <c r="M642" t="s">
        <v>27251</v>
      </c>
      <c r="N642" t="s">
        <v>27252</v>
      </c>
      <c r="Q642" s="1">
        <v>44846</v>
      </c>
      <c r="R642" t="s">
        <v>27253</v>
      </c>
      <c r="S642" t="s">
        <v>27254</v>
      </c>
      <c r="T642" t="s">
        <v>27265</v>
      </c>
    </row>
    <row r="643" spans="1:20" x14ac:dyDescent="0.3">
      <c r="A643" t="str">
        <f>"0611831174025"</f>
        <v>0611831174025</v>
      </c>
      <c r="B643" t="str">
        <f>"MQ6005"</f>
        <v>MQ6005</v>
      </c>
      <c r="C643" t="s">
        <v>28495</v>
      </c>
      <c r="D643" t="s">
        <v>27267</v>
      </c>
      <c r="E643" t="str">
        <f t="shared" si="10"/>
        <v>001390</v>
      </c>
      <c r="F643" t="s">
        <v>27246</v>
      </c>
      <c r="G643" t="s">
        <v>27247</v>
      </c>
      <c r="H643" t="s">
        <v>27248</v>
      </c>
      <c r="I643" t="s">
        <v>28496</v>
      </c>
      <c r="J643" t="s">
        <v>1292</v>
      </c>
      <c r="L643" t="s">
        <v>27250</v>
      </c>
      <c r="M643" t="s">
        <v>27251</v>
      </c>
      <c r="N643" t="s">
        <v>27252</v>
      </c>
      <c r="Q643" s="1">
        <v>44538</v>
      </c>
      <c r="R643" t="s">
        <v>27253</v>
      </c>
      <c r="S643" t="s">
        <v>27254</v>
      </c>
      <c r="T643" t="s">
        <v>27269</v>
      </c>
    </row>
    <row r="644" spans="1:20" x14ac:dyDescent="0.3">
      <c r="A644" t="str">
        <f>"0611860556050"</f>
        <v>0611860556050</v>
      </c>
      <c r="B644" t="str">
        <f>"CE1702"</f>
        <v>CE1702</v>
      </c>
      <c r="C644" t="s">
        <v>28495</v>
      </c>
      <c r="D644" t="s">
        <v>27263</v>
      </c>
      <c r="E644" t="str">
        <f t="shared" si="10"/>
        <v>001390</v>
      </c>
      <c r="F644" t="s">
        <v>27246</v>
      </c>
      <c r="G644" t="s">
        <v>27247</v>
      </c>
      <c r="H644" t="s">
        <v>27248</v>
      </c>
      <c r="I644" t="s">
        <v>28497</v>
      </c>
      <c r="J644" t="s">
        <v>1294</v>
      </c>
      <c r="L644" t="s">
        <v>27250</v>
      </c>
      <c r="M644" t="s">
        <v>27251</v>
      </c>
      <c r="N644" t="s">
        <v>27252</v>
      </c>
      <c r="Q644" s="1">
        <v>44846</v>
      </c>
      <c r="R644" t="s">
        <v>27253</v>
      </c>
      <c r="S644" t="s">
        <v>27254</v>
      </c>
      <c r="T644" t="s">
        <v>27265</v>
      </c>
    </row>
    <row r="645" spans="1:20" x14ac:dyDescent="0.3">
      <c r="A645" t="str">
        <f>"0611831176025"</f>
        <v>0611831176025</v>
      </c>
      <c r="B645" t="str">
        <f>"MC3683"</f>
        <v>MC3683</v>
      </c>
      <c r="C645" t="s">
        <v>28498</v>
      </c>
      <c r="D645" t="s">
        <v>28499</v>
      </c>
      <c r="E645" t="str">
        <f t="shared" si="10"/>
        <v>001390</v>
      </c>
      <c r="F645" t="s">
        <v>27246</v>
      </c>
      <c r="G645" t="s">
        <v>27247</v>
      </c>
      <c r="H645" t="s">
        <v>27248</v>
      </c>
      <c r="I645" t="s">
        <v>28500</v>
      </c>
      <c r="J645" t="s">
        <v>1298</v>
      </c>
      <c r="L645" t="s">
        <v>27250</v>
      </c>
      <c r="M645" t="s">
        <v>27251</v>
      </c>
      <c r="N645" t="s">
        <v>27252</v>
      </c>
      <c r="P645" t="s">
        <v>27341</v>
      </c>
      <c r="Q645" s="1">
        <v>44538</v>
      </c>
      <c r="R645" t="s">
        <v>27253</v>
      </c>
      <c r="S645" t="s">
        <v>27254</v>
      </c>
      <c r="T645" t="s">
        <v>27269</v>
      </c>
    </row>
    <row r="646" spans="1:20" x14ac:dyDescent="0.3">
      <c r="A646" t="str">
        <f>"0611860557100"</f>
        <v>0611860557100</v>
      </c>
      <c r="B646" t="str">
        <f>"CN5021"</f>
        <v>CN5021</v>
      </c>
      <c r="C646" t="s">
        <v>28501</v>
      </c>
      <c r="D646" t="s">
        <v>27339</v>
      </c>
      <c r="E646" t="str">
        <f t="shared" si="10"/>
        <v>001390</v>
      </c>
      <c r="F646" t="s">
        <v>27246</v>
      </c>
      <c r="G646" t="s">
        <v>27247</v>
      </c>
      <c r="H646" t="s">
        <v>27248</v>
      </c>
      <c r="I646" t="s">
        <v>28502</v>
      </c>
      <c r="J646" t="s">
        <v>1300</v>
      </c>
      <c r="L646" t="s">
        <v>27250</v>
      </c>
      <c r="M646" t="s">
        <v>27251</v>
      </c>
      <c r="N646" t="s">
        <v>27252</v>
      </c>
      <c r="P646" t="s">
        <v>27341</v>
      </c>
      <c r="Q646" s="1">
        <v>44846</v>
      </c>
      <c r="R646" t="s">
        <v>27253</v>
      </c>
      <c r="S646" t="s">
        <v>27254</v>
      </c>
      <c r="T646" t="s">
        <v>27255</v>
      </c>
    </row>
    <row r="647" spans="1:20" x14ac:dyDescent="0.3">
      <c r="A647" t="str">
        <f>"0611860558100"</f>
        <v>0611860558100</v>
      </c>
      <c r="B647" t="str">
        <f>"CN5022"</f>
        <v>CN5022</v>
      </c>
      <c r="C647" t="s">
        <v>28503</v>
      </c>
      <c r="D647" t="s">
        <v>27339</v>
      </c>
      <c r="E647" t="str">
        <f t="shared" si="10"/>
        <v>001390</v>
      </c>
      <c r="F647" t="s">
        <v>27246</v>
      </c>
      <c r="G647" t="s">
        <v>27247</v>
      </c>
      <c r="H647" t="s">
        <v>27248</v>
      </c>
      <c r="I647" t="s">
        <v>28504</v>
      </c>
      <c r="J647" t="s">
        <v>1302</v>
      </c>
      <c r="L647" t="s">
        <v>27250</v>
      </c>
      <c r="M647" t="s">
        <v>27251</v>
      </c>
      <c r="N647" t="s">
        <v>27252</v>
      </c>
      <c r="P647" t="s">
        <v>27341</v>
      </c>
      <c r="Q647" s="1">
        <v>44846</v>
      </c>
      <c r="R647" t="s">
        <v>27253</v>
      </c>
      <c r="S647" t="s">
        <v>27254</v>
      </c>
      <c r="T647" t="s">
        <v>27255</v>
      </c>
    </row>
    <row r="648" spans="1:20" x14ac:dyDescent="0.3">
      <c r="A648" t="str">
        <f>"0611860559100"</f>
        <v>0611860559100</v>
      </c>
      <c r="B648" t="str">
        <f>"CN5023"</f>
        <v>CN5023</v>
      </c>
      <c r="C648" t="s">
        <v>28505</v>
      </c>
      <c r="D648" t="s">
        <v>27339</v>
      </c>
      <c r="E648" t="str">
        <f t="shared" si="10"/>
        <v>001390</v>
      </c>
      <c r="F648" t="s">
        <v>27246</v>
      </c>
      <c r="G648" t="s">
        <v>27247</v>
      </c>
      <c r="H648" t="s">
        <v>27248</v>
      </c>
      <c r="I648" t="s">
        <v>28506</v>
      </c>
      <c r="J648" t="s">
        <v>1304</v>
      </c>
      <c r="L648" t="s">
        <v>27250</v>
      </c>
      <c r="M648" t="s">
        <v>27251</v>
      </c>
      <c r="N648" t="s">
        <v>27252</v>
      </c>
      <c r="P648" t="s">
        <v>27341</v>
      </c>
      <c r="Q648" s="1">
        <v>44846</v>
      </c>
      <c r="R648" t="s">
        <v>27253</v>
      </c>
      <c r="S648" t="s">
        <v>27254</v>
      </c>
      <c r="T648" t="s">
        <v>27255</v>
      </c>
    </row>
    <row r="649" spans="1:20" x14ac:dyDescent="0.3">
      <c r="A649" t="str">
        <f>"0611831177025"</f>
        <v>0611831177025</v>
      </c>
      <c r="B649" t="str">
        <f>"MC0127"</f>
        <v>MC0127</v>
      </c>
      <c r="C649" t="s">
        <v>28507</v>
      </c>
      <c r="D649" t="s">
        <v>27267</v>
      </c>
      <c r="E649" t="str">
        <f t="shared" si="10"/>
        <v>001390</v>
      </c>
      <c r="F649" t="s">
        <v>27246</v>
      </c>
      <c r="G649" t="s">
        <v>27247</v>
      </c>
      <c r="H649" t="s">
        <v>27248</v>
      </c>
      <c r="I649" t="s">
        <v>28508</v>
      </c>
      <c r="J649" t="s">
        <v>1306</v>
      </c>
      <c r="L649" t="s">
        <v>27250</v>
      </c>
      <c r="M649" t="s">
        <v>27251</v>
      </c>
      <c r="N649" t="s">
        <v>27252</v>
      </c>
      <c r="Q649" s="1">
        <v>44538</v>
      </c>
      <c r="R649" t="s">
        <v>27253</v>
      </c>
      <c r="S649" t="s">
        <v>27254</v>
      </c>
      <c r="T649" t="s">
        <v>27269</v>
      </c>
    </row>
    <row r="650" spans="1:20" x14ac:dyDescent="0.3">
      <c r="A650" t="str">
        <f>"0611831178100"</f>
        <v>0611831178100</v>
      </c>
      <c r="B650" t="str">
        <f>"LH8836"</f>
        <v>LH8836</v>
      </c>
      <c r="C650" t="s">
        <v>28509</v>
      </c>
      <c r="D650" t="s">
        <v>27245</v>
      </c>
      <c r="E650" t="str">
        <f t="shared" si="10"/>
        <v>001390</v>
      </c>
      <c r="F650" t="s">
        <v>27246</v>
      </c>
      <c r="G650" t="s">
        <v>27247</v>
      </c>
      <c r="H650" t="s">
        <v>27248</v>
      </c>
      <c r="I650" t="s">
        <v>28510</v>
      </c>
      <c r="J650" t="s">
        <v>1308</v>
      </c>
      <c r="L650" t="s">
        <v>27250</v>
      </c>
      <c r="M650" t="s">
        <v>27251</v>
      </c>
      <c r="N650" t="s">
        <v>27252</v>
      </c>
      <c r="Q650" s="1">
        <v>44538</v>
      </c>
      <c r="R650" t="s">
        <v>27253</v>
      </c>
      <c r="S650" t="s">
        <v>27254</v>
      </c>
      <c r="T650" t="s">
        <v>27255</v>
      </c>
    </row>
    <row r="651" spans="1:20" x14ac:dyDescent="0.3">
      <c r="A651" t="str">
        <f>"0611831179100"</f>
        <v>0611831179100</v>
      </c>
      <c r="B651" t="str">
        <f>"LH0626"</f>
        <v>LH0626</v>
      </c>
      <c r="C651" t="s">
        <v>28511</v>
      </c>
      <c r="D651" t="s">
        <v>27245</v>
      </c>
      <c r="E651" t="str">
        <f t="shared" si="10"/>
        <v>001390</v>
      </c>
      <c r="F651" t="s">
        <v>27246</v>
      </c>
      <c r="G651" t="s">
        <v>27247</v>
      </c>
      <c r="H651" t="s">
        <v>27248</v>
      </c>
      <c r="I651" t="s">
        <v>28512</v>
      </c>
      <c r="J651" t="s">
        <v>1310</v>
      </c>
      <c r="L651" t="s">
        <v>27250</v>
      </c>
      <c r="M651" t="s">
        <v>27251</v>
      </c>
      <c r="N651" t="s">
        <v>27252</v>
      </c>
      <c r="Q651" s="1">
        <v>44538</v>
      </c>
      <c r="R651" t="s">
        <v>27253</v>
      </c>
      <c r="S651" t="s">
        <v>27254</v>
      </c>
      <c r="T651" t="s">
        <v>27255</v>
      </c>
    </row>
    <row r="652" spans="1:20" x14ac:dyDescent="0.3">
      <c r="A652" t="str">
        <f>"0611831181025"</f>
        <v>0611831181025</v>
      </c>
      <c r="B652" t="str">
        <f>"MC4379"</f>
        <v>MC4379</v>
      </c>
      <c r="C652" t="s">
        <v>28513</v>
      </c>
      <c r="D652" t="s">
        <v>27267</v>
      </c>
      <c r="E652" t="str">
        <f t="shared" si="10"/>
        <v>001390</v>
      </c>
      <c r="F652" t="s">
        <v>27246</v>
      </c>
      <c r="G652" t="s">
        <v>27247</v>
      </c>
      <c r="H652" t="s">
        <v>27248</v>
      </c>
      <c r="I652" t="s">
        <v>28514</v>
      </c>
      <c r="J652" t="s">
        <v>1312</v>
      </c>
      <c r="L652" t="s">
        <v>27250</v>
      </c>
      <c r="M652" t="s">
        <v>27251</v>
      </c>
      <c r="N652" t="s">
        <v>27252</v>
      </c>
      <c r="Q652" s="1">
        <v>44538</v>
      </c>
      <c r="R652" t="s">
        <v>27253</v>
      </c>
      <c r="S652" t="s">
        <v>27254</v>
      </c>
      <c r="T652" t="s">
        <v>27269</v>
      </c>
    </row>
    <row r="653" spans="1:20" x14ac:dyDescent="0.3">
      <c r="A653" t="str">
        <f>"0611831182025"</f>
        <v>0611831182025</v>
      </c>
      <c r="B653" t="str">
        <f>"MC2688"</f>
        <v>MC2688</v>
      </c>
      <c r="C653" t="s">
        <v>28515</v>
      </c>
      <c r="D653" t="s">
        <v>28057</v>
      </c>
      <c r="E653" t="str">
        <f t="shared" si="10"/>
        <v>001390</v>
      </c>
      <c r="F653" t="s">
        <v>27246</v>
      </c>
      <c r="G653" t="s">
        <v>27247</v>
      </c>
      <c r="H653" t="s">
        <v>27248</v>
      </c>
      <c r="I653" t="s">
        <v>28516</v>
      </c>
      <c r="J653" t="s">
        <v>1314</v>
      </c>
      <c r="L653" t="s">
        <v>27250</v>
      </c>
      <c r="M653" t="s">
        <v>27251</v>
      </c>
      <c r="N653" t="s">
        <v>27252</v>
      </c>
      <c r="P653" t="s">
        <v>27925</v>
      </c>
      <c r="Q653" s="1">
        <v>44538</v>
      </c>
      <c r="R653" t="s">
        <v>27253</v>
      </c>
      <c r="S653" t="s">
        <v>27254</v>
      </c>
      <c r="T653" t="s">
        <v>27269</v>
      </c>
    </row>
    <row r="654" spans="1:20" x14ac:dyDescent="0.3">
      <c r="A654" t="str">
        <f>"0611860560050"</f>
        <v>0611860560050</v>
      </c>
      <c r="B654" t="str">
        <f>"CR2008"</f>
        <v>CR2008</v>
      </c>
      <c r="C654" t="s">
        <v>28517</v>
      </c>
      <c r="D654" t="s">
        <v>27271</v>
      </c>
      <c r="E654" t="str">
        <f t="shared" si="10"/>
        <v>001390</v>
      </c>
      <c r="F654" t="s">
        <v>27246</v>
      </c>
      <c r="G654" t="s">
        <v>27247</v>
      </c>
      <c r="H654" t="s">
        <v>27248</v>
      </c>
      <c r="I654" t="s">
        <v>28518</v>
      </c>
      <c r="J654" t="s">
        <v>1316</v>
      </c>
      <c r="L654" t="s">
        <v>27250</v>
      </c>
      <c r="M654" t="s">
        <v>27251</v>
      </c>
      <c r="N654" t="s">
        <v>27252</v>
      </c>
      <c r="P654" t="s">
        <v>27341</v>
      </c>
      <c r="Q654" s="1">
        <v>44846</v>
      </c>
      <c r="R654" t="s">
        <v>27253</v>
      </c>
      <c r="S654" t="s">
        <v>27254</v>
      </c>
      <c r="T654" t="s">
        <v>27265</v>
      </c>
    </row>
    <row r="655" spans="1:20" x14ac:dyDescent="0.3">
      <c r="A655" t="str">
        <f>"0611860561050"</f>
        <v>0611860561050</v>
      </c>
      <c r="B655" t="str">
        <f>"CR2009"</f>
        <v>CR2009</v>
      </c>
      <c r="C655" t="s">
        <v>28519</v>
      </c>
      <c r="D655" t="s">
        <v>27271</v>
      </c>
      <c r="E655" t="str">
        <f t="shared" si="10"/>
        <v>001390</v>
      </c>
      <c r="F655" t="s">
        <v>27246</v>
      </c>
      <c r="G655" t="s">
        <v>27247</v>
      </c>
      <c r="H655" t="s">
        <v>27248</v>
      </c>
      <c r="I655" t="s">
        <v>28520</v>
      </c>
      <c r="J655" t="s">
        <v>1318</v>
      </c>
      <c r="L655" t="s">
        <v>27250</v>
      </c>
      <c r="M655" t="s">
        <v>27251</v>
      </c>
      <c r="N655" t="s">
        <v>27252</v>
      </c>
      <c r="P655" t="s">
        <v>27341</v>
      </c>
      <c r="Q655" s="1">
        <v>44846</v>
      </c>
      <c r="R655" t="s">
        <v>27253</v>
      </c>
      <c r="S655" t="s">
        <v>27254</v>
      </c>
      <c r="T655" t="s">
        <v>27265</v>
      </c>
    </row>
    <row r="656" spans="1:20" x14ac:dyDescent="0.3">
      <c r="A656" t="str">
        <f>"0611860562050"</f>
        <v>0611860562050</v>
      </c>
      <c r="B656" t="str">
        <f>"CR2010"</f>
        <v>CR2010</v>
      </c>
      <c r="C656" t="s">
        <v>28521</v>
      </c>
      <c r="D656" t="s">
        <v>27271</v>
      </c>
      <c r="E656" t="str">
        <f t="shared" si="10"/>
        <v>001390</v>
      </c>
      <c r="F656" t="s">
        <v>27246</v>
      </c>
      <c r="G656" t="s">
        <v>27247</v>
      </c>
      <c r="H656" t="s">
        <v>27248</v>
      </c>
      <c r="I656" t="s">
        <v>28522</v>
      </c>
      <c r="J656" t="s">
        <v>1320</v>
      </c>
      <c r="L656" t="s">
        <v>27250</v>
      </c>
      <c r="M656" t="s">
        <v>27251</v>
      </c>
      <c r="N656" t="s">
        <v>27252</v>
      </c>
      <c r="P656" t="s">
        <v>27341</v>
      </c>
      <c r="Q656" s="1">
        <v>44846</v>
      </c>
      <c r="R656" t="s">
        <v>27253</v>
      </c>
      <c r="S656" t="s">
        <v>27254</v>
      </c>
      <c r="T656" t="s">
        <v>27265</v>
      </c>
    </row>
    <row r="657" spans="1:20" x14ac:dyDescent="0.3">
      <c r="A657" t="str">
        <f>"0611860563050"</f>
        <v>0611860563050</v>
      </c>
      <c r="B657" t="str">
        <f>"CR3059"</f>
        <v>CR3059</v>
      </c>
      <c r="C657" t="s">
        <v>28523</v>
      </c>
      <c r="D657" t="s">
        <v>27271</v>
      </c>
      <c r="E657" t="str">
        <f t="shared" si="10"/>
        <v>001390</v>
      </c>
      <c r="F657" t="s">
        <v>27246</v>
      </c>
      <c r="G657" t="s">
        <v>27247</v>
      </c>
      <c r="H657" t="s">
        <v>27248</v>
      </c>
      <c r="I657" t="s">
        <v>28524</v>
      </c>
      <c r="J657" t="s">
        <v>1322</v>
      </c>
      <c r="L657" t="s">
        <v>27250</v>
      </c>
      <c r="M657" t="s">
        <v>27251</v>
      </c>
      <c r="N657" t="s">
        <v>27252</v>
      </c>
      <c r="P657" t="s">
        <v>27341</v>
      </c>
      <c r="Q657" s="1">
        <v>44846</v>
      </c>
      <c r="R657" t="s">
        <v>27253</v>
      </c>
      <c r="S657" t="s">
        <v>27254</v>
      </c>
      <c r="T657" t="s">
        <v>27265</v>
      </c>
    </row>
    <row r="658" spans="1:20" x14ac:dyDescent="0.3">
      <c r="A658" t="str">
        <f>"0611860565050"</f>
        <v>0611860565050</v>
      </c>
      <c r="B658" t="str">
        <f>"CR3060"</f>
        <v>CR3060</v>
      </c>
      <c r="C658" t="s">
        <v>28525</v>
      </c>
      <c r="D658" t="s">
        <v>27271</v>
      </c>
      <c r="E658" t="str">
        <f t="shared" si="10"/>
        <v>001390</v>
      </c>
      <c r="F658" t="s">
        <v>27246</v>
      </c>
      <c r="G658" t="s">
        <v>27247</v>
      </c>
      <c r="H658" t="s">
        <v>27248</v>
      </c>
      <c r="I658" t="s">
        <v>28526</v>
      </c>
      <c r="J658" t="s">
        <v>1324</v>
      </c>
      <c r="L658" t="s">
        <v>27250</v>
      </c>
      <c r="M658" t="s">
        <v>27251</v>
      </c>
      <c r="N658" t="s">
        <v>27252</v>
      </c>
      <c r="P658" t="s">
        <v>27341</v>
      </c>
      <c r="Q658" s="1">
        <v>44846</v>
      </c>
      <c r="R658" t="s">
        <v>27253</v>
      </c>
      <c r="S658" t="s">
        <v>27254</v>
      </c>
      <c r="T658" t="s">
        <v>27265</v>
      </c>
    </row>
    <row r="659" spans="1:20" x14ac:dyDescent="0.3">
      <c r="A659" t="str">
        <f>"0611860566050"</f>
        <v>0611860566050</v>
      </c>
      <c r="B659" t="str">
        <f>"CR3061"</f>
        <v>CR3061</v>
      </c>
      <c r="C659" t="s">
        <v>28527</v>
      </c>
      <c r="D659" t="s">
        <v>27271</v>
      </c>
      <c r="E659" t="str">
        <f t="shared" si="10"/>
        <v>001390</v>
      </c>
      <c r="F659" t="s">
        <v>27246</v>
      </c>
      <c r="G659" t="s">
        <v>27247</v>
      </c>
      <c r="H659" t="s">
        <v>27248</v>
      </c>
      <c r="I659" t="s">
        <v>28528</v>
      </c>
      <c r="J659" t="s">
        <v>1326</v>
      </c>
      <c r="L659" t="s">
        <v>27250</v>
      </c>
      <c r="M659" t="s">
        <v>27251</v>
      </c>
      <c r="N659" t="s">
        <v>27252</v>
      </c>
      <c r="P659" t="s">
        <v>27341</v>
      </c>
      <c r="Q659" s="1">
        <v>44846</v>
      </c>
      <c r="R659" t="s">
        <v>27253</v>
      </c>
      <c r="S659" t="s">
        <v>27254</v>
      </c>
      <c r="T659" t="s">
        <v>27265</v>
      </c>
    </row>
    <row r="660" spans="1:20" x14ac:dyDescent="0.3">
      <c r="A660" t="str">
        <f>"0611860567050"</f>
        <v>0611860567050</v>
      </c>
      <c r="B660" t="str">
        <f>"CR3062"</f>
        <v>CR3062</v>
      </c>
      <c r="C660" t="s">
        <v>28529</v>
      </c>
      <c r="D660" t="s">
        <v>27271</v>
      </c>
      <c r="E660" t="str">
        <f t="shared" si="10"/>
        <v>001390</v>
      </c>
      <c r="F660" t="s">
        <v>27246</v>
      </c>
      <c r="G660" t="s">
        <v>27247</v>
      </c>
      <c r="H660" t="s">
        <v>27248</v>
      </c>
      <c r="I660" t="s">
        <v>28530</v>
      </c>
      <c r="J660" t="s">
        <v>1328</v>
      </c>
      <c r="L660" t="s">
        <v>27250</v>
      </c>
      <c r="M660" t="s">
        <v>27251</v>
      </c>
      <c r="N660" t="s">
        <v>27252</v>
      </c>
      <c r="P660" t="s">
        <v>27341</v>
      </c>
      <c r="Q660" s="1">
        <v>44846</v>
      </c>
      <c r="R660" t="s">
        <v>27253</v>
      </c>
      <c r="S660" t="s">
        <v>27254</v>
      </c>
      <c r="T660" t="s">
        <v>27265</v>
      </c>
    </row>
    <row r="661" spans="1:20" x14ac:dyDescent="0.3">
      <c r="A661" t="str">
        <f>"0611860568050"</f>
        <v>0611860568050</v>
      </c>
      <c r="B661" t="str">
        <f>"CR2011"</f>
        <v>CR2011</v>
      </c>
      <c r="C661" t="s">
        <v>28531</v>
      </c>
      <c r="D661" t="s">
        <v>27271</v>
      </c>
      <c r="E661" t="str">
        <f t="shared" si="10"/>
        <v>001390</v>
      </c>
      <c r="F661" t="s">
        <v>27246</v>
      </c>
      <c r="G661" t="s">
        <v>27247</v>
      </c>
      <c r="H661" t="s">
        <v>27248</v>
      </c>
      <c r="I661" t="s">
        <v>28532</v>
      </c>
      <c r="J661" t="s">
        <v>1330</v>
      </c>
      <c r="L661" t="s">
        <v>27250</v>
      </c>
      <c r="M661" t="s">
        <v>27251</v>
      </c>
      <c r="N661" t="s">
        <v>27252</v>
      </c>
      <c r="P661" t="s">
        <v>27341</v>
      </c>
      <c r="Q661" s="1">
        <v>44846</v>
      </c>
      <c r="R661" t="s">
        <v>27253</v>
      </c>
      <c r="S661" t="s">
        <v>27254</v>
      </c>
      <c r="T661" t="s">
        <v>27265</v>
      </c>
    </row>
    <row r="662" spans="1:20" x14ac:dyDescent="0.3">
      <c r="A662" t="str">
        <f>"0611860569050"</f>
        <v>0611860569050</v>
      </c>
      <c r="B662" t="str">
        <f>"CR3063"</f>
        <v>CR3063</v>
      </c>
      <c r="C662" t="s">
        <v>28533</v>
      </c>
      <c r="D662" t="s">
        <v>27271</v>
      </c>
      <c r="E662" t="str">
        <f t="shared" si="10"/>
        <v>001390</v>
      </c>
      <c r="F662" t="s">
        <v>27246</v>
      </c>
      <c r="G662" t="s">
        <v>27247</v>
      </c>
      <c r="H662" t="s">
        <v>27248</v>
      </c>
      <c r="I662" t="s">
        <v>28534</v>
      </c>
      <c r="J662" t="s">
        <v>1332</v>
      </c>
      <c r="L662" t="s">
        <v>27250</v>
      </c>
      <c r="M662" t="s">
        <v>27251</v>
      </c>
      <c r="N662" t="s">
        <v>27252</v>
      </c>
      <c r="P662" t="s">
        <v>27341</v>
      </c>
      <c r="Q662" s="1">
        <v>44846</v>
      </c>
      <c r="R662" t="s">
        <v>27253</v>
      </c>
      <c r="S662" t="s">
        <v>27254</v>
      </c>
      <c r="T662" t="s">
        <v>27265</v>
      </c>
    </row>
    <row r="663" spans="1:20" x14ac:dyDescent="0.3">
      <c r="A663" t="str">
        <f>"0611860570050"</f>
        <v>0611860570050</v>
      </c>
      <c r="B663" t="str">
        <f>"CR2012"</f>
        <v>CR2012</v>
      </c>
      <c r="C663" t="s">
        <v>28535</v>
      </c>
      <c r="D663" t="s">
        <v>27271</v>
      </c>
      <c r="E663" t="str">
        <f t="shared" si="10"/>
        <v>001390</v>
      </c>
      <c r="F663" t="s">
        <v>27246</v>
      </c>
      <c r="G663" t="s">
        <v>27247</v>
      </c>
      <c r="H663" t="s">
        <v>27248</v>
      </c>
      <c r="I663" t="s">
        <v>28536</v>
      </c>
      <c r="J663" t="s">
        <v>1334</v>
      </c>
      <c r="L663" t="s">
        <v>27250</v>
      </c>
      <c r="M663" t="s">
        <v>27251</v>
      </c>
      <c r="N663" t="s">
        <v>27252</v>
      </c>
      <c r="P663" t="s">
        <v>27341</v>
      </c>
      <c r="Q663" s="1">
        <v>44846</v>
      </c>
      <c r="R663" t="s">
        <v>27253</v>
      </c>
      <c r="S663" t="s">
        <v>27254</v>
      </c>
      <c r="T663" t="s">
        <v>27265</v>
      </c>
    </row>
    <row r="664" spans="1:20" x14ac:dyDescent="0.3">
      <c r="A664" t="str">
        <f>"0611860571050"</f>
        <v>0611860571050</v>
      </c>
      <c r="B664" t="str">
        <f>"CR2013"</f>
        <v>CR2013</v>
      </c>
      <c r="C664" t="s">
        <v>28537</v>
      </c>
      <c r="D664" t="s">
        <v>27271</v>
      </c>
      <c r="E664" t="str">
        <f t="shared" si="10"/>
        <v>001390</v>
      </c>
      <c r="F664" t="s">
        <v>27246</v>
      </c>
      <c r="G664" t="s">
        <v>27247</v>
      </c>
      <c r="H664" t="s">
        <v>27248</v>
      </c>
      <c r="I664" t="s">
        <v>28538</v>
      </c>
      <c r="J664" t="s">
        <v>1336</v>
      </c>
      <c r="L664" t="s">
        <v>27250</v>
      </c>
      <c r="M664" t="s">
        <v>27251</v>
      </c>
      <c r="N664" t="s">
        <v>27252</v>
      </c>
      <c r="P664" t="s">
        <v>27341</v>
      </c>
      <c r="Q664" s="1">
        <v>44846</v>
      </c>
      <c r="R664" t="s">
        <v>27253</v>
      </c>
      <c r="S664" t="s">
        <v>27254</v>
      </c>
      <c r="T664" t="s">
        <v>27265</v>
      </c>
    </row>
    <row r="665" spans="1:20" x14ac:dyDescent="0.3">
      <c r="A665" t="str">
        <f>"0611839487100"</f>
        <v>0611839487100</v>
      </c>
      <c r="B665" t="str">
        <f>"LQ3114"</f>
        <v>LQ3114</v>
      </c>
      <c r="C665" t="s">
        <v>28539</v>
      </c>
      <c r="D665" t="s">
        <v>27245</v>
      </c>
      <c r="E665" t="str">
        <f t="shared" si="10"/>
        <v>001390</v>
      </c>
      <c r="F665" t="s">
        <v>27246</v>
      </c>
      <c r="G665" t="s">
        <v>27247</v>
      </c>
      <c r="H665" t="s">
        <v>27248</v>
      </c>
      <c r="I665" t="s">
        <v>28540</v>
      </c>
      <c r="J665" t="s">
        <v>1338</v>
      </c>
      <c r="L665" t="s">
        <v>27250</v>
      </c>
      <c r="M665" t="s">
        <v>27251</v>
      </c>
      <c r="N665" t="s">
        <v>27252</v>
      </c>
      <c r="Q665" s="1">
        <v>44538</v>
      </c>
      <c r="R665" t="s">
        <v>27253</v>
      </c>
      <c r="S665" t="s">
        <v>27254</v>
      </c>
      <c r="T665" t="s">
        <v>27255</v>
      </c>
    </row>
    <row r="666" spans="1:20" x14ac:dyDescent="0.3">
      <c r="A666" t="str">
        <f>"0611839488100"</f>
        <v>0611839488100</v>
      </c>
      <c r="B666" t="str">
        <f>"LQ3782"</f>
        <v>LQ3782</v>
      </c>
      <c r="C666" t="s">
        <v>28541</v>
      </c>
      <c r="D666" t="s">
        <v>27245</v>
      </c>
      <c r="E666" t="str">
        <f t="shared" si="10"/>
        <v>001390</v>
      </c>
      <c r="F666" t="s">
        <v>27246</v>
      </c>
      <c r="G666" t="s">
        <v>27247</v>
      </c>
      <c r="H666" t="s">
        <v>27248</v>
      </c>
      <c r="I666" t="s">
        <v>28542</v>
      </c>
      <c r="J666" t="s">
        <v>1340</v>
      </c>
      <c r="L666" t="s">
        <v>27250</v>
      </c>
      <c r="M666" t="s">
        <v>27251</v>
      </c>
      <c r="N666" t="s">
        <v>27252</v>
      </c>
      <c r="Q666" s="1">
        <v>44538</v>
      </c>
      <c r="R666" t="s">
        <v>27253</v>
      </c>
      <c r="S666" t="s">
        <v>27254</v>
      </c>
      <c r="T666" t="s">
        <v>27255</v>
      </c>
    </row>
    <row r="667" spans="1:20" x14ac:dyDescent="0.3">
      <c r="A667" t="str">
        <f>"0611839489100"</f>
        <v>0611839489100</v>
      </c>
      <c r="B667" t="str">
        <f>"LK1497"</f>
        <v>LK1497</v>
      </c>
      <c r="C667" t="s">
        <v>28543</v>
      </c>
      <c r="D667" t="s">
        <v>27245</v>
      </c>
      <c r="E667" t="str">
        <f t="shared" si="10"/>
        <v>001390</v>
      </c>
      <c r="F667" t="s">
        <v>27246</v>
      </c>
      <c r="G667" t="s">
        <v>27247</v>
      </c>
      <c r="H667" t="s">
        <v>27248</v>
      </c>
      <c r="I667" t="s">
        <v>28544</v>
      </c>
      <c r="J667" t="s">
        <v>1342</v>
      </c>
      <c r="L667" t="s">
        <v>27250</v>
      </c>
      <c r="M667" t="s">
        <v>27251</v>
      </c>
      <c r="N667" t="s">
        <v>27252</v>
      </c>
      <c r="Q667" s="1">
        <v>44538</v>
      </c>
      <c r="R667" t="s">
        <v>27253</v>
      </c>
      <c r="S667" t="s">
        <v>27254</v>
      </c>
      <c r="T667" t="s">
        <v>27255</v>
      </c>
    </row>
    <row r="668" spans="1:20" x14ac:dyDescent="0.3">
      <c r="A668" t="str">
        <f>"0611839490100"</f>
        <v>0611839490100</v>
      </c>
      <c r="B668" t="str">
        <f>"LK3280"</f>
        <v>LK3280</v>
      </c>
      <c r="C668" t="s">
        <v>28545</v>
      </c>
      <c r="D668" t="s">
        <v>27245</v>
      </c>
      <c r="E668" t="str">
        <f t="shared" si="10"/>
        <v>001390</v>
      </c>
      <c r="F668" t="s">
        <v>27246</v>
      </c>
      <c r="G668" t="s">
        <v>27247</v>
      </c>
      <c r="H668" t="s">
        <v>27248</v>
      </c>
      <c r="I668" t="s">
        <v>28546</v>
      </c>
      <c r="J668" t="s">
        <v>1344</v>
      </c>
      <c r="L668" t="s">
        <v>27250</v>
      </c>
      <c r="M668" t="s">
        <v>27251</v>
      </c>
      <c r="N668" t="s">
        <v>27252</v>
      </c>
      <c r="Q668" s="1">
        <v>44538</v>
      </c>
      <c r="R668" t="s">
        <v>27253</v>
      </c>
      <c r="S668" t="s">
        <v>27254</v>
      </c>
      <c r="T668" t="s">
        <v>27255</v>
      </c>
    </row>
    <row r="669" spans="1:20" x14ac:dyDescent="0.3">
      <c r="A669" t="str">
        <f>"0611860572050"</f>
        <v>0611860572050</v>
      </c>
      <c r="B669" t="str">
        <f>"CE0919"</f>
        <v>CE0919</v>
      </c>
      <c r="C669" t="s">
        <v>28547</v>
      </c>
      <c r="D669" t="s">
        <v>27923</v>
      </c>
      <c r="E669" t="str">
        <f t="shared" si="10"/>
        <v>001390</v>
      </c>
      <c r="F669" t="s">
        <v>27246</v>
      </c>
      <c r="G669" t="s">
        <v>27247</v>
      </c>
      <c r="H669" t="s">
        <v>27248</v>
      </c>
      <c r="I669" t="s">
        <v>28548</v>
      </c>
      <c r="J669" t="s">
        <v>1346</v>
      </c>
      <c r="L669" t="s">
        <v>27250</v>
      </c>
      <c r="M669" t="s">
        <v>27251</v>
      </c>
      <c r="N669" t="s">
        <v>27252</v>
      </c>
      <c r="P669" t="s">
        <v>27925</v>
      </c>
      <c r="Q669" s="1">
        <v>44846</v>
      </c>
      <c r="R669" t="s">
        <v>27253</v>
      </c>
      <c r="S669" t="s">
        <v>27254</v>
      </c>
      <c r="T669" t="s">
        <v>27265</v>
      </c>
    </row>
    <row r="670" spans="1:20" x14ac:dyDescent="0.3">
      <c r="A670" t="str">
        <f>"0611860573050"</f>
        <v>0611860573050</v>
      </c>
      <c r="B670" t="str">
        <f>"CE1243"</f>
        <v>CE1243</v>
      </c>
      <c r="C670" t="s">
        <v>28549</v>
      </c>
      <c r="D670" t="s">
        <v>27923</v>
      </c>
      <c r="E670" t="str">
        <f t="shared" si="10"/>
        <v>001390</v>
      </c>
      <c r="F670" t="s">
        <v>27246</v>
      </c>
      <c r="G670" t="s">
        <v>27247</v>
      </c>
      <c r="H670" t="s">
        <v>27248</v>
      </c>
      <c r="I670" t="s">
        <v>28550</v>
      </c>
      <c r="J670" t="s">
        <v>1348</v>
      </c>
      <c r="L670" t="s">
        <v>27250</v>
      </c>
      <c r="M670" t="s">
        <v>27251</v>
      </c>
      <c r="N670" t="s">
        <v>27252</v>
      </c>
      <c r="P670" t="s">
        <v>27925</v>
      </c>
      <c r="Q670" s="1">
        <v>44846</v>
      </c>
      <c r="R670" t="s">
        <v>27253</v>
      </c>
      <c r="S670" t="s">
        <v>27254</v>
      </c>
      <c r="T670" t="s">
        <v>27265</v>
      </c>
    </row>
    <row r="671" spans="1:20" x14ac:dyDescent="0.3">
      <c r="A671" t="str">
        <f>"0611860574050"</f>
        <v>0611860574050</v>
      </c>
      <c r="B671" t="str">
        <f>"CE0920"</f>
        <v>CE0920</v>
      </c>
      <c r="C671" t="s">
        <v>28551</v>
      </c>
      <c r="D671" t="s">
        <v>27923</v>
      </c>
      <c r="E671" t="str">
        <f t="shared" si="10"/>
        <v>001390</v>
      </c>
      <c r="F671" t="s">
        <v>27246</v>
      </c>
      <c r="G671" t="s">
        <v>27247</v>
      </c>
      <c r="H671" t="s">
        <v>27248</v>
      </c>
      <c r="I671" t="s">
        <v>28552</v>
      </c>
      <c r="J671" t="s">
        <v>1350</v>
      </c>
      <c r="L671" t="s">
        <v>27250</v>
      </c>
      <c r="M671" t="s">
        <v>27251</v>
      </c>
      <c r="N671" t="s">
        <v>27252</v>
      </c>
      <c r="P671" t="s">
        <v>27925</v>
      </c>
      <c r="Q671" s="1">
        <v>44846</v>
      </c>
      <c r="R671" t="s">
        <v>27253</v>
      </c>
      <c r="S671" t="s">
        <v>27254</v>
      </c>
      <c r="T671" t="s">
        <v>27265</v>
      </c>
    </row>
    <row r="672" spans="1:20" x14ac:dyDescent="0.3">
      <c r="A672" t="str">
        <f>"0611860575050"</f>
        <v>0611860575050</v>
      </c>
      <c r="B672" t="str">
        <f>"CE1242"</f>
        <v>CE1242</v>
      </c>
      <c r="C672" t="s">
        <v>28553</v>
      </c>
      <c r="D672" t="s">
        <v>27923</v>
      </c>
      <c r="E672" t="str">
        <f t="shared" si="10"/>
        <v>001390</v>
      </c>
      <c r="F672" t="s">
        <v>27246</v>
      </c>
      <c r="G672" t="s">
        <v>27247</v>
      </c>
      <c r="H672" t="s">
        <v>27248</v>
      </c>
      <c r="I672" t="s">
        <v>28554</v>
      </c>
      <c r="J672" t="s">
        <v>1352</v>
      </c>
      <c r="L672" t="s">
        <v>27250</v>
      </c>
      <c r="M672" t="s">
        <v>27251</v>
      </c>
      <c r="N672" t="s">
        <v>27252</v>
      </c>
      <c r="P672" t="s">
        <v>27925</v>
      </c>
      <c r="Q672" s="1">
        <v>44846</v>
      </c>
      <c r="R672" t="s">
        <v>27253</v>
      </c>
      <c r="S672" t="s">
        <v>27254</v>
      </c>
      <c r="T672" t="s">
        <v>27265</v>
      </c>
    </row>
    <row r="673" spans="1:20" x14ac:dyDescent="0.3">
      <c r="A673" t="str">
        <f>"0611860576050"</f>
        <v>0611860576050</v>
      </c>
      <c r="B673" t="str">
        <f>"CE0387"</f>
        <v>CE0387</v>
      </c>
      <c r="C673" t="s">
        <v>28555</v>
      </c>
      <c r="D673" t="s">
        <v>28556</v>
      </c>
      <c r="E673" t="str">
        <f t="shared" si="10"/>
        <v>001390</v>
      </c>
      <c r="F673" t="s">
        <v>27246</v>
      </c>
      <c r="G673" t="s">
        <v>27247</v>
      </c>
      <c r="H673" t="s">
        <v>27248</v>
      </c>
      <c r="I673" t="s">
        <v>28557</v>
      </c>
      <c r="J673" t="s">
        <v>1354</v>
      </c>
      <c r="L673" t="s">
        <v>27250</v>
      </c>
      <c r="M673" t="s">
        <v>27251</v>
      </c>
      <c r="N673" t="s">
        <v>27252</v>
      </c>
      <c r="P673" t="s">
        <v>27925</v>
      </c>
      <c r="Q673" s="1">
        <v>44846</v>
      </c>
      <c r="R673" t="s">
        <v>27253</v>
      </c>
      <c r="S673" t="s">
        <v>27254</v>
      </c>
      <c r="T673" t="s">
        <v>28378</v>
      </c>
    </row>
    <row r="674" spans="1:20" x14ac:dyDescent="0.3">
      <c r="A674" t="str">
        <f>"0611860577050"</f>
        <v>0611860577050</v>
      </c>
      <c r="B674" t="str">
        <f>"CR4911"</f>
        <v>CR4911</v>
      </c>
      <c r="C674" t="s">
        <v>28558</v>
      </c>
      <c r="D674" t="s">
        <v>27263</v>
      </c>
      <c r="E674" t="str">
        <f t="shared" si="10"/>
        <v>001390</v>
      </c>
      <c r="F674" t="s">
        <v>27246</v>
      </c>
      <c r="G674" t="s">
        <v>27247</v>
      </c>
      <c r="H674" t="s">
        <v>27248</v>
      </c>
      <c r="I674" t="s">
        <v>28559</v>
      </c>
      <c r="J674" t="s">
        <v>1356</v>
      </c>
      <c r="L674" t="s">
        <v>27250</v>
      </c>
      <c r="M674" t="s">
        <v>27251</v>
      </c>
      <c r="N674" t="s">
        <v>27252</v>
      </c>
      <c r="Q674" s="1">
        <v>44846</v>
      </c>
      <c r="R674" t="s">
        <v>27253</v>
      </c>
      <c r="S674" t="s">
        <v>27254</v>
      </c>
      <c r="T674" t="s">
        <v>27265</v>
      </c>
    </row>
    <row r="675" spans="1:20" x14ac:dyDescent="0.3">
      <c r="A675" t="str">
        <f>"0611860578050"</f>
        <v>0611860578050</v>
      </c>
      <c r="B675" t="str">
        <f>"CR3400"</f>
        <v>CR3400</v>
      </c>
      <c r="C675" t="s">
        <v>28560</v>
      </c>
      <c r="D675" t="s">
        <v>27263</v>
      </c>
      <c r="E675" t="str">
        <f t="shared" si="10"/>
        <v>001390</v>
      </c>
      <c r="F675" t="s">
        <v>27246</v>
      </c>
      <c r="G675" t="s">
        <v>27247</v>
      </c>
      <c r="H675" t="s">
        <v>27248</v>
      </c>
      <c r="I675" t="s">
        <v>28561</v>
      </c>
      <c r="J675" t="s">
        <v>1358</v>
      </c>
      <c r="L675" t="s">
        <v>27250</v>
      </c>
      <c r="M675" t="s">
        <v>27251</v>
      </c>
      <c r="N675" t="s">
        <v>27252</v>
      </c>
      <c r="Q675" s="1">
        <v>44846</v>
      </c>
      <c r="R675" t="s">
        <v>27253</v>
      </c>
      <c r="S675" t="s">
        <v>27254</v>
      </c>
      <c r="T675" t="s">
        <v>27265</v>
      </c>
    </row>
    <row r="676" spans="1:20" x14ac:dyDescent="0.3">
      <c r="A676" t="str">
        <f>"0611860579050"</f>
        <v>0611860579050</v>
      </c>
      <c r="B676" t="str">
        <f>"CR4912"</f>
        <v>CR4912</v>
      </c>
      <c r="C676" t="s">
        <v>28562</v>
      </c>
      <c r="D676" t="s">
        <v>27263</v>
      </c>
      <c r="E676" t="str">
        <f t="shared" si="10"/>
        <v>001390</v>
      </c>
      <c r="F676" t="s">
        <v>27246</v>
      </c>
      <c r="G676" t="s">
        <v>27247</v>
      </c>
      <c r="H676" t="s">
        <v>27248</v>
      </c>
      <c r="I676" t="s">
        <v>28563</v>
      </c>
      <c r="J676" t="s">
        <v>1360</v>
      </c>
      <c r="L676" t="s">
        <v>27250</v>
      </c>
      <c r="M676" t="s">
        <v>27251</v>
      </c>
      <c r="N676" t="s">
        <v>27252</v>
      </c>
      <c r="Q676" s="1">
        <v>44846</v>
      </c>
      <c r="R676" t="s">
        <v>27253</v>
      </c>
      <c r="S676" t="s">
        <v>27254</v>
      </c>
      <c r="T676" t="s">
        <v>27265</v>
      </c>
    </row>
    <row r="677" spans="1:20" x14ac:dyDescent="0.3">
      <c r="A677" t="str">
        <f>"0611839491100"</f>
        <v>0611839491100</v>
      </c>
      <c r="B677" t="str">
        <f>"LQ0744"</f>
        <v>LQ0744</v>
      </c>
      <c r="C677" t="s">
        <v>28564</v>
      </c>
      <c r="D677" t="s">
        <v>27245</v>
      </c>
      <c r="E677" t="str">
        <f t="shared" si="10"/>
        <v>001390</v>
      </c>
      <c r="F677" t="s">
        <v>27246</v>
      </c>
      <c r="G677" t="s">
        <v>27247</v>
      </c>
      <c r="H677" t="s">
        <v>27248</v>
      </c>
      <c r="I677" t="s">
        <v>28565</v>
      </c>
      <c r="J677" t="s">
        <v>1362</v>
      </c>
      <c r="L677" t="s">
        <v>27250</v>
      </c>
      <c r="M677" t="s">
        <v>27251</v>
      </c>
      <c r="N677" t="s">
        <v>27252</v>
      </c>
      <c r="Q677" s="1">
        <v>44538</v>
      </c>
      <c r="R677" t="s">
        <v>27253</v>
      </c>
      <c r="S677" t="s">
        <v>27254</v>
      </c>
      <c r="T677" t="s">
        <v>27255</v>
      </c>
    </row>
    <row r="678" spans="1:20" x14ac:dyDescent="0.3">
      <c r="A678" t="str">
        <f>"0611860580050"</f>
        <v>0611860580050</v>
      </c>
      <c r="B678" t="str">
        <f>"CR4913"</f>
        <v>CR4913</v>
      </c>
      <c r="C678" t="s">
        <v>28566</v>
      </c>
      <c r="D678" t="s">
        <v>27263</v>
      </c>
      <c r="E678" t="str">
        <f t="shared" si="10"/>
        <v>001390</v>
      </c>
      <c r="F678" t="s">
        <v>27246</v>
      </c>
      <c r="G678" t="s">
        <v>27247</v>
      </c>
      <c r="H678" t="s">
        <v>27248</v>
      </c>
      <c r="I678" t="s">
        <v>28567</v>
      </c>
      <c r="J678" t="s">
        <v>1364</v>
      </c>
      <c r="L678" t="s">
        <v>27250</v>
      </c>
      <c r="M678" t="s">
        <v>27251</v>
      </c>
      <c r="N678" t="s">
        <v>27252</v>
      </c>
      <c r="Q678" s="1">
        <v>44846</v>
      </c>
      <c r="R678" t="s">
        <v>27253</v>
      </c>
      <c r="S678" t="s">
        <v>27254</v>
      </c>
      <c r="T678" t="s">
        <v>27265</v>
      </c>
    </row>
    <row r="679" spans="1:20" x14ac:dyDescent="0.3">
      <c r="A679" t="str">
        <f>"0611860581050"</f>
        <v>0611860581050</v>
      </c>
      <c r="B679" t="str">
        <f>"CR3401"</f>
        <v>CR3401</v>
      </c>
      <c r="C679" t="s">
        <v>28568</v>
      </c>
      <c r="D679" t="s">
        <v>27263</v>
      </c>
      <c r="E679" t="str">
        <f t="shared" si="10"/>
        <v>001390</v>
      </c>
      <c r="F679" t="s">
        <v>27246</v>
      </c>
      <c r="G679" t="s">
        <v>27247</v>
      </c>
      <c r="H679" t="s">
        <v>27248</v>
      </c>
      <c r="I679" t="s">
        <v>28569</v>
      </c>
      <c r="J679" t="s">
        <v>1366</v>
      </c>
      <c r="L679" t="s">
        <v>27250</v>
      </c>
      <c r="M679" t="s">
        <v>27251</v>
      </c>
      <c r="N679" t="s">
        <v>27252</v>
      </c>
      <c r="Q679" s="1">
        <v>44846</v>
      </c>
      <c r="R679" t="s">
        <v>27253</v>
      </c>
      <c r="S679" t="s">
        <v>27254</v>
      </c>
      <c r="T679" t="s">
        <v>27265</v>
      </c>
    </row>
    <row r="680" spans="1:20" x14ac:dyDescent="0.3">
      <c r="A680" t="str">
        <f>"0611839484100"</f>
        <v>0611839484100</v>
      </c>
      <c r="B680" t="str">
        <f>"MB7150"</f>
        <v>MB7150</v>
      </c>
      <c r="C680" t="s">
        <v>28570</v>
      </c>
      <c r="D680" t="s">
        <v>27274</v>
      </c>
      <c r="E680" t="str">
        <f t="shared" si="10"/>
        <v>001390</v>
      </c>
      <c r="F680" t="s">
        <v>27246</v>
      </c>
      <c r="G680" t="s">
        <v>27247</v>
      </c>
      <c r="H680" t="s">
        <v>27248</v>
      </c>
      <c r="I680" t="s">
        <v>28571</v>
      </c>
      <c r="J680" t="s">
        <v>1368</v>
      </c>
      <c r="L680" t="s">
        <v>27250</v>
      </c>
      <c r="M680" t="s">
        <v>27251</v>
      </c>
      <c r="N680" t="s">
        <v>27252</v>
      </c>
      <c r="Q680" s="1">
        <v>44538</v>
      </c>
      <c r="R680" t="s">
        <v>27253</v>
      </c>
      <c r="S680" t="s">
        <v>27254</v>
      </c>
      <c r="T680" t="s">
        <v>27276</v>
      </c>
    </row>
    <row r="681" spans="1:20" x14ac:dyDescent="0.3">
      <c r="A681" t="str">
        <f>"0611839485025"</f>
        <v>0611839485025</v>
      </c>
      <c r="B681" t="str">
        <f>"MC1420"</f>
        <v>MC1420</v>
      </c>
      <c r="C681" t="s">
        <v>28570</v>
      </c>
      <c r="D681" t="s">
        <v>27267</v>
      </c>
      <c r="E681" t="str">
        <f t="shared" si="10"/>
        <v>001390</v>
      </c>
      <c r="F681" t="s">
        <v>27246</v>
      </c>
      <c r="G681" t="s">
        <v>27247</v>
      </c>
      <c r="H681" t="s">
        <v>27248</v>
      </c>
      <c r="I681" t="s">
        <v>28572</v>
      </c>
      <c r="J681" t="s">
        <v>1370</v>
      </c>
      <c r="L681" t="s">
        <v>27250</v>
      </c>
      <c r="M681" t="s">
        <v>27251</v>
      </c>
      <c r="N681" t="s">
        <v>27252</v>
      </c>
      <c r="Q681" s="1">
        <v>44538</v>
      </c>
      <c r="R681" t="s">
        <v>27253</v>
      </c>
      <c r="S681" t="s">
        <v>27254</v>
      </c>
      <c r="T681" t="s">
        <v>27269</v>
      </c>
    </row>
    <row r="682" spans="1:20" x14ac:dyDescent="0.3">
      <c r="A682" t="str">
        <f>"0611839486100"</f>
        <v>0611839486100</v>
      </c>
      <c r="B682" t="str">
        <f>"LS0006"</f>
        <v>LS0006</v>
      </c>
      <c r="C682" t="s">
        <v>28573</v>
      </c>
      <c r="D682" t="s">
        <v>27245</v>
      </c>
      <c r="E682" t="str">
        <f t="shared" si="10"/>
        <v>001390</v>
      </c>
      <c r="F682" t="s">
        <v>27246</v>
      </c>
      <c r="G682" t="s">
        <v>27247</v>
      </c>
      <c r="H682" t="s">
        <v>27248</v>
      </c>
      <c r="I682" t="s">
        <v>28574</v>
      </c>
      <c r="J682" t="s">
        <v>1372</v>
      </c>
      <c r="L682" t="s">
        <v>27250</v>
      </c>
      <c r="M682" t="s">
        <v>27251</v>
      </c>
      <c r="N682" t="s">
        <v>27252</v>
      </c>
      <c r="Q682" s="1">
        <v>44538</v>
      </c>
      <c r="R682" t="s">
        <v>27253</v>
      </c>
      <c r="S682" t="s">
        <v>27254</v>
      </c>
      <c r="T682" t="s">
        <v>27255</v>
      </c>
    </row>
    <row r="683" spans="1:20" x14ac:dyDescent="0.3">
      <c r="A683" t="str">
        <f>"0611839492100"</f>
        <v>0611839492100</v>
      </c>
      <c r="B683" t="str">
        <f>"LQ6172"</f>
        <v>LQ6172</v>
      </c>
      <c r="C683" t="s">
        <v>28575</v>
      </c>
      <c r="D683" t="s">
        <v>27245</v>
      </c>
      <c r="E683" t="str">
        <f t="shared" si="10"/>
        <v>001390</v>
      </c>
      <c r="F683" t="s">
        <v>27246</v>
      </c>
      <c r="G683" t="s">
        <v>27247</v>
      </c>
      <c r="H683" t="s">
        <v>27248</v>
      </c>
      <c r="I683" t="s">
        <v>28576</v>
      </c>
      <c r="J683" t="s">
        <v>1374</v>
      </c>
      <c r="L683" t="s">
        <v>27250</v>
      </c>
      <c r="M683" t="s">
        <v>27251</v>
      </c>
      <c r="N683" t="s">
        <v>27252</v>
      </c>
      <c r="Q683" s="1">
        <v>44538</v>
      </c>
      <c r="R683" t="s">
        <v>27253</v>
      </c>
      <c r="S683" t="s">
        <v>27254</v>
      </c>
      <c r="T683" t="s">
        <v>27255</v>
      </c>
    </row>
    <row r="684" spans="1:20" x14ac:dyDescent="0.3">
      <c r="A684" t="str">
        <f>"0611839493100"</f>
        <v>0611839493100</v>
      </c>
      <c r="B684" t="str">
        <f>"LK1528"</f>
        <v>LK1528</v>
      </c>
      <c r="C684" t="s">
        <v>28577</v>
      </c>
      <c r="D684" t="s">
        <v>27245</v>
      </c>
      <c r="E684" t="str">
        <f t="shared" si="10"/>
        <v>001390</v>
      </c>
      <c r="F684" t="s">
        <v>27246</v>
      </c>
      <c r="G684" t="s">
        <v>27247</v>
      </c>
      <c r="H684" t="s">
        <v>27248</v>
      </c>
      <c r="I684" t="s">
        <v>28578</v>
      </c>
      <c r="J684" t="s">
        <v>1376</v>
      </c>
      <c r="L684" t="s">
        <v>27250</v>
      </c>
      <c r="M684" t="s">
        <v>27251</v>
      </c>
      <c r="N684" t="s">
        <v>27252</v>
      </c>
      <c r="Q684" s="1">
        <v>44538</v>
      </c>
      <c r="R684" t="s">
        <v>27253</v>
      </c>
      <c r="S684" t="s">
        <v>27254</v>
      </c>
      <c r="T684" t="s">
        <v>27255</v>
      </c>
    </row>
    <row r="685" spans="1:20" x14ac:dyDescent="0.3">
      <c r="A685" t="str">
        <f>"0611839494100"</f>
        <v>0611839494100</v>
      </c>
      <c r="B685" t="str">
        <f>"LK6772"</f>
        <v>LK6772</v>
      </c>
      <c r="C685" t="s">
        <v>28579</v>
      </c>
      <c r="D685" t="s">
        <v>27245</v>
      </c>
      <c r="E685" t="str">
        <f t="shared" si="10"/>
        <v>001390</v>
      </c>
      <c r="F685" t="s">
        <v>27246</v>
      </c>
      <c r="G685" t="s">
        <v>27247</v>
      </c>
      <c r="H685" t="s">
        <v>27248</v>
      </c>
      <c r="I685" t="s">
        <v>28580</v>
      </c>
      <c r="J685" t="s">
        <v>1378</v>
      </c>
      <c r="L685" t="s">
        <v>27250</v>
      </c>
      <c r="M685" t="s">
        <v>27251</v>
      </c>
      <c r="N685" t="s">
        <v>27252</v>
      </c>
      <c r="Q685" s="1">
        <v>44538</v>
      </c>
      <c r="R685" t="s">
        <v>27253</v>
      </c>
      <c r="S685" t="s">
        <v>27254</v>
      </c>
      <c r="T685" t="s">
        <v>27255</v>
      </c>
    </row>
    <row r="686" spans="1:20" x14ac:dyDescent="0.3">
      <c r="A686" t="str">
        <f>"0611831189100"</f>
        <v>0611831189100</v>
      </c>
      <c r="B686" t="str">
        <f>"LQ5913"</f>
        <v>LQ5913</v>
      </c>
      <c r="C686" t="s">
        <v>28581</v>
      </c>
      <c r="D686" t="s">
        <v>27245</v>
      </c>
      <c r="E686" t="str">
        <f t="shared" si="10"/>
        <v>001390</v>
      </c>
      <c r="F686" t="s">
        <v>27246</v>
      </c>
      <c r="G686" t="s">
        <v>27247</v>
      </c>
      <c r="H686" t="s">
        <v>27248</v>
      </c>
      <c r="I686" t="s">
        <v>28582</v>
      </c>
      <c r="J686" t="s">
        <v>1380</v>
      </c>
      <c r="L686" t="s">
        <v>27250</v>
      </c>
      <c r="M686" t="s">
        <v>27251</v>
      </c>
      <c r="N686" t="s">
        <v>27252</v>
      </c>
      <c r="Q686" s="1">
        <v>44538</v>
      </c>
      <c r="R686" t="s">
        <v>27253</v>
      </c>
      <c r="S686" t="s">
        <v>27254</v>
      </c>
      <c r="T686" t="s">
        <v>27255</v>
      </c>
    </row>
    <row r="687" spans="1:20" x14ac:dyDescent="0.3">
      <c r="A687" t="str">
        <f>"0611831190100"</f>
        <v>0611831190100</v>
      </c>
      <c r="B687" t="str">
        <f>"LQ5993"</f>
        <v>LQ5993</v>
      </c>
      <c r="C687" t="s">
        <v>28583</v>
      </c>
      <c r="D687" t="s">
        <v>27245</v>
      </c>
      <c r="E687" t="str">
        <f t="shared" si="10"/>
        <v>001390</v>
      </c>
      <c r="F687" t="s">
        <v>27246</v>
      </c>
      <c r="G687" t="s">
        <v>27247</v>
      </c>
      <c r="H687" t="s">
        <v>27248</v>
      </c>
      <c r="I687" t="s">
        <v>28584</v>
      </c>
      <c r="J687" t="s">
        <v>1382</v>
      </c>
      <c r="L687" t="s">
        <v>27250</v>
      </c>
      <c r="M687" t="s">
        <v>27251</v>
      </c>
      <c r="N687" t="s">
        <v>27252</v>
      </c>
      <c r="Q687" s="1">
        <v>44538</v>
      </c>
      <c r="R687" t="s">
        <v>27253</v>
      </c>
      <c r="S687" t="s">
        <v>27254</v>
      </c>
      <c r="T687" t="s">
        <v>27255</v>
      </c>
    </row>
    <row r="688" spans="1:20" x14ac:dyDescent="0.3">
      <c r="A688" t="str">
        <f>"0611831191100"</f>
        <v>0611831191100</v>
      </c>
      <c r="B688" t="str">
        <f>"LQ6177"</f>
        <v>LQ6177</v>
      </c>
      <c r="C688" t="s">
        <v>28585</v>
      </c>
      <c r="D688" t="s">
        <v>27245</v>
      </c>
      <c r="E688" t="str">
        <f t="shared" si="10"/>
        <v>001390</v>
      </c>
      <c r="F688" t="s">
        <v>27246</v>
      </c>
      <c r="G688" t="s">
        <v>27247</v>
      </c>
      <c r="H688" t="s">
        <v>27248</v>
      </c>
      <c r="I688" t="s">
        <v>28586</v>
      </c>
      <c r="J688" t="s">
        <v>1384</v>
      </c>
      <c r="L688" t="s">
        <v>27250</v>
      </c>
      <c r="M688" t="s">
        <v>27251</v>
      </c>
      <c r="N688" t="s">
        <v>27252</v>
      </c>
      <c r="Q688" s="1">
        <v>44538</v>
      </c>
      <c r="R688" t="s">
        <v>27253</v>
      </c>
      <c r="S688" t="s">
        <v>27254</v>
      </c>
      <c r="T688" t="s">
        <v>27255</v>
      </c>
    </row>
    <row r="689" spans="1:20" x14ac:dyDescent="0.3">
      <c r="A689" t="str">
        <f>"0611831192100"</f>
        <v>0611831192100</v>
      </c>
      <c r="B689" t="str">
        <f>"LQ5830"</f>
        <v>LQ5830</v>
      </c>
      <c r="C689" t="s">
        <v>28587</v>
      </c>
      <c r="D689" t="s">
        <v>27245</v>
      </c>
      <c r="E689" t="str">
        <f t="shared" si="10"/>
        <v>001390</v>
      </c>
      <c r="F689" t="s">
        <v>27246</v>
      </c>
      <c r="G689" t="s">
        <v>27247</v>
      </c>
      <c r="H689" t="s">
        <v>27248</v>
      </c>
      <c r="I689" t="s">
        <v>28588</v>
      </c>
      <c r="J689" t="s">
        <v>1386</v>
      </c>
      <c r="L689" t="s">
        <v>27250</v>
      </c>
      <c r="M689" t="s">
        <v>27251</v>
      </c>
      <c r="N689" t="s">
        <v>27252</v>
      </c>
      <c r="Q689" s="1">
        <v>44538</v>
      </c>
      <c r="R689" t="s">
        <v>27253</v>
      </c>
      <c r="S689" t="s">
        <v>27254</v>
      </c>
      <c r="T689" t="s">
        <v>27255</v>
      </c>
    </row>
    <row r="690" spans="1:20" x14ac:dyDescent="0.3">
      <c r="A690" t="str">
        <f>"0611831195100"</f>
        <v>0611831195100</v>
      </c>
      <c r="B690" t="str">
        <f>"LQ5256"</f>
        <v>LQ5256</v>
      </c>
      <c r="C690" t="s">
        <v>28589</v>
      </c>
      <c r="D690" t="s">
        <v>27245</v>
      </c>
      <c r="E690" t="str">
        <f t="shared" si="10"/>
        <v>001390</v>
      </c>
      <c r="F690" t="s">
        <v>27246</v>
      </c>
      <c r="G690" t="s">
        <v>27247</v>
      </c>
      <c r="H690" t="s">
        <v>27248</v>
      </c>
      <c r="I690" t="s">
        <v>28590</v>
      </c>
      <c r="J690" t="s">
        <v>1388</v>
      </c>
      <c r="L690" t="s">
        <v>27250</v>
      </c>
      <c r="M690" t="s">
        <v>27251</v>
      </c>
      <c r="N690" t="s">
        <v>27252</v>
      </c>
      <c r="Q690" s="1">
        <v>44538</v>
      </c>
      <c r="R690" t="s">
        <v>27253</v>
      </c>
      <c r="S690" t="s">
        <v>27254</v>
      </c>
      <c r="T690" t="s">
        <v>27255</v>
      </c>
    </row>
    <row r="691" spans="1:20" x14ac:dyDescent="0.3">
      <c r="A691" t="str">
        <f>"0611831196100"</f>
        <v>0611831196100</v>
      </c>
      <c r="B691" t="str">
        <f>"LQ6122"</f>
        <v>LQ6122</v>
      </c>
      <c r="C691" t="s">
        <v>28591</v>
      </c>
      <c r="D691" t="s">
        <v>27245</v>
      </c>
      <c r="E691" t="str">
        <f t="shared" si="10"/>
        <v>001390</v>
      </c>
      <c r="F691" t="s">
        <v>27246</v>
      </c>
      <c r="G691" t="s">
        <v>27247</v>
      </c>
      <c r="H691" t="s">
        <v>27248</v>
      </c>
      <c r="I691" t="s">
        <v>28592</v>
      </c>
      <c r="J691" t="s">
        <v>1390</v>
      </c>
      <c r="L691" t="s">
        <v>27250</v>
      </c>
      <c r="M691" t="s">
        <v>27251</v>
      </c>
      <c r="N691" t="s">
        <v>27252</v>
      </c>
      <c r="Q691" s="1">
        <v>44538</v>
      </c>
      <c r="R691" t="s">
        <v>27253</v>
      </c>
      <c r="S691" t="s">
        <v>27254</v>
      </c>
      <c r="T691" t="s">
        <v>27255</v>
      </c>
    </row>
    <row r="692" spans="1:20" x14ac:dyDescent="0.3">
      <c r="A692" t="str">
        <f>"0611831199100"</f>
        <v>0611831199100</v>
      </c>
      <c r="B692" t="str">
        <f>"LQ5439"</f>
        <v>LQ5439</v>
      </c>
      <c r="C692" t="s">
        <v>28593</v>
      </c>
      <c r="D692" t="s">
        <v>27245</v>
      </c>
      <c r="E692" t="str">
        <f t="shared" si="10"/>
        <v>001390</v>
      </c>
      <c r="F692" t="s">
        <v>27246</v>
      </c>
      <c r="G692" t="s">
        <v>27247</v>
      </c>
      <c r="H692" t="s">
        <v>27248</v>
      </c>
      <c r="I692" t="s">
        <v>28594</v>
      </c>
      <c r="J692" t="s">
        <v>1392</v>
      </c>
      <c r="L692" t="s">
        <v>27250</v>
      </c>
      <c r="M692" t="s">
        <v>27251</v>
      </c>
      <c r="N692" t="s">
        <v>27252</v>
      </c>
      <c r="Q692" s="1">
        <v>44538</v>
      </c>
      <c r="R692" t="s">
        <v>27253</v>
      </c>
      <c r="S692" t="s">
        <v>27254</v>
      </c>
      <c r="T692" t="s">
        <v>27255</v>
      </c>
    </row>
    <row r="693" spans="1:20" x14ac:dyDescent="0.3">
      <c r="A693" t="str">
        <f>"0611831200100"</f>
        <v>0611831200100</v>
      </c>
      <c r="B693" t="str">
        <f>"LQ5496"</f>
        <v>LQ5496</v>
      </c>
      <c r="C693" t="s">
        <v>28595</v>
      </c>
      <c r="D693" t="s">
        <v>27245</v>
      </c>
      <c r="E693" t="str">
        <f t="shared" si="10"/>
        <v>001390</v>
      </c>
      <c r="F693" t="s">
        <v>27246</v>
      </c>
      <c r="G693" t="s">
        <v>27247</v>
      </c>
      <c r="H693" t="s">
        <v>27248</v>
      </c>
      <c r="I693" t="s">
        <v>28596</v>
      </c>
      <c r="J693" t="s">
        <v>1394</v>
      </c>
      <c r="L693" t="s">
        <v>27250</v>
      </c>
      <c r="M693" t="s">
        <v>27251</v>
      </c>
      <c r="N693" t="s">
        <v>27252</v>
      </c>
      <c r="Q693" s="1">
        <v>44538</v>
      </c>
      <c r="R693" t="s">
        <v>27253</v>
      </c>
      <c r="S693" t="s">
        <v>27254</v>
      </c>
      <c r="T693" t="s">
        <v>27255</v>
      </c>
    </row>
    <row r="694" spans="1:20" x14ac:dyDescent="0.3">
      <c r="A694" t="str">
        <f>"0611831201100"</f>
        <v>0611831201100</v>
      </c>
      <c r="B694" t="str">
        <f>"LQ5994"</f>
        <v>LQ5994</v>
      </c>
      <c r="C694" t="s">
        <v>28597</v>
      </c>
      <c r="D694" t="s">
        <v>27245</v>
      </c>
      <c r="E694" t="str">
        <f t="shared" si="10"/>
        <v>001390</v>
      </c>
      <c r="F694" t="s">
        <v>27246</v>
      </c>
      <c r="G694" t="s">
        <v>27247</v>
      </c>
      <c r="H694" t="s">
        <v>27248</v>
      </c>
      <c r="I694" t="s">
        <v>28598</v>
      </c>
      <c r="J694" t="s">
        <v>1396</v>
      </c>
      <c r="L694" t="s">
        <v>27250</v>
      </c>
      <c r="M694" t="s">
        <v>27251</v>
      </c>
      <c r="N694" t="s">
        <v>27252</v>
      </c>
      <c r="Q694" s="1">
        <v>44538</v>
      </c>
      <c r="R694" t="s">
        <v>27253</v>
      </c>
      <c r="S694" t="s">
        <v>27254</v>
      </c>
      <c r="T694" t="s">
        <v>27255</v>
      </c>
    </row>
    <row r="695" spans="1:20" x14ac:dyDescent="0.3">
      <c r="A695" t="str">
        <f>"0611831202100"</f>
        <v>0611831202100</v>
      </c>
      <c r="B695" t="str">
        <f>"LQ5103"</f>
        <v>LQ5103</v>
      </c>
      <c r="C695" t="s">
        <v>28599</v>
      </c>
      <c r="D695" t="s">
        <v>27245</v>
      </c>
      <c r="E695" t="str">
        <f t="shared" si="10"/>
        <v>001390</v>
      </c>
      <c r="F695" t="s">
        <v>27246</v>
      </c>
      <c r="G695" t="s">
        <v>27247</v>
      </c>
      <c r="H695" t="s">
        <v>27248</v>
      </c>
      <c r="I695" t="s">
        <v>28600</v>
      </c>
      <c r="J695" t="s">
        <v>1398</v>
      </c>
      <c r="L695" t="s">
        <v>27250</v>
      </c>
      <c r="M695" t="s">
        <v>27251</v>
      </c>
      <c r="N695" t="s">
        <v>27252</v>
      </c>
      <c r="Q695" s="1">
        <v>44538</v>
      </c>
      <c r="R695" t="s">
        <v>27253</v>
      </c>
      <c r="S695" t="s">
        <v>27254</v>
      </c>
      <c r="T695" t="s">
        <v>27255</v>
      </c>
    </row>
    <row r="696" spans="1:20" x14ac:dyDescent="0.3">
      <c r="A696" t="str">
        <f>"0611831184100"</f>
        <v>0611831184100</v>
      </c>
      <c r="B696" t="str">
        <f>"LQ5497"</f>
        <v>LQ5497</v>
      </c>
      <c r="C696" t="s">
        <v>28601</v>
      </c>
      <c r="D696" t="s">
        <v>27245</v>
      </c>
      <c r="E696" t="str">
        <f t="shared" si="10"/>
        <v>001390</v>
      </c>
      <c r="F696" t="s">
        <v>27246</v>
      </c>
      <c r="G696" t="s">
        <v>27247</v>
      </c>
      <c r="H696" t="s">
        <v>27248</v>
      </c>
      <c r="I696" t="s">
        <v>28602</v>
      </c>
      <c r="J696" t="s">
        <v>1402</v>
      </c>
      <c r="L696" t="s">
        <v>27250</v>
      </c>
      <c r="M696" t="s">
        <v>27251</v>
      </c>
      <c r="N696" t="s">
        <v>27252</v>
      </c>
      <c r="Q696" s="1">
        <v>44538</v>
      </c>
      <c r="R696" t="s">
        <v>27253</v>
      </c>
      <c r="S696" t="s">
        <v>27254</v>
      </c>
      <c r="T696" t="s">
        <v>27255</v>
      </c>
    </row>
    <row r="697" spans="1:20" x14ac:dyDescent="0.3">
      <c r="A697" t="str">
        <f>"0611831185100"</f>
        <v>0611831185100</v>
      </c>
      <c r="B697" t="str">
        <f>"LQ5678"</f>
        <v>LQ5678</v>
      </c>
      <c r="C697" t="s">
        <v>28603</v>
      </c>
      <c r="D697" t="s">
        <v>27245</v>
      </c>
      <c r="E697" t="str">
        <f t="shared" si="10"/>
        <v>001390</v>
      </c>
      <c r="F697" t="s">
        <v>27246</v>
      </c>
      <c r="G697" t="s">
        <v>27247</v>
      </c>
      <c r="H697" t="s">
        <v>27248</v>
      </c>
      <c r="I697" t="s">
        <v>28604</v>
      </c>
      <c r="J697" t="s">
        <v>1400</v>
      </c>
      <c r="L697" t="s">
        <v>27250</v>
      </c>
      <c r="M697" t="s">
        <v>27251</v>
      </c>
      <c r="N697" t="s">
        <v>27252</v>
      </c>
      <c r="Q697" s="1">
        <v>44538</v>
      </c>
      <c r="R697" t="s">
        <v>27253</v>
      </c>
      <c r="S697" t="s">
        <v>27254</v>
      </c>
      <c r="T697" t="s">
        <v>27255</v>
      </c>
    </row>
    <row r="698" spans="1:20" x14ac:dyDescent="0.3">
      <c r="A698" t="str">
        <f>"0611856821100"</f>
        <v>0611856821100</v>
      </c>
      <c r="B698" t="str">
        <f>"LQ6249"</f>
        <v>LQ6249</v>
      </c>
      <c r="C698" t="s">
        <v>28605</v>
      </c>
      <c r="D698" t="s">
        <v>27245</v>
      </c>
      <c r="E698" t="str">
        <f t="shared" si="10"/>
        <v>001390</v>
      </c>
      <c r="F698" t="s">
        <v>27246</v>
      </c>
      <c r="G698" t="s">
        <v>27247</v>
      </c>
      <c r="H698" t="s">
        <v>27248</v>
      </c>
      <c r="I698" t="s">
        <v>28606</v>
      </c>
      <c r="J698" t="s">
        <v>1404</v>
      </c>
      <c r="L698" t="s">
        <v>27250</v>
      </c>
      <c r="M698" t="s">
        <v>27251</v>
      </c>
      <c r="N698" t="s">
        <v>27252</v>
      </c>
      <c r="Q698" s="1">
        <v>44812</v>
      </c>
      <c r="R698" t="s">
        <v>27253</v>
      </c>
      <c r="S698" t="s">
        <v>27254</v>
      </c>
      <c r="T698" t="s">
        <v>27255</v>
      </c>
    </row>
    <row r="699" spans="1:20" x14ac:dyDescent="0.3">
      <c r="A699" t="str">
        <f>"0611831186100"</f>
        <v>0611831186100</v>
      </c>
      <c r="B699" t="str">
        <f>"LQ6178"</f>
        <v>LQ6178</v>
      </c>
      <c r="C699" t="s">
        <v>28607</v>
      </c>
      <c r="D699" t="s">
        <v>27245</v>
      </c>
      <c r="E699" t="str">
        <f t="shared" si="10"/>
        <v>001390</v>
      </c>
      <c r="F699" t="s">
        <v>27246</v>
      </c>
      <c r="G699" t="s">
        <v>27247</v>
      </c>
      <c r="H699" t="s">
        <v>27248</v>
      </c>
      <c r="I699" t="s">
        <v>28608</v>
      </c>
      <c r="J699" t="s">
        <v>1406</v>
      </c>
      <c r="L699" t="s">
        <v>27250</v>
      </c>
      <c r="M699" t="s">
        <v>27251</v>
      </c>
      <c r="N699" t="s">
        <v>27252</v>
      </c>
      <c r="Q699" s="1">
        <v>44538</v>
      </c>
      <c r="R699" t="s">
        <v>27253</v>
      </c>
      <c r="S699" t="s">
        <v>27254</v>
      </c>
      <c r="T699" t="s">
        <v>27255</v>
      </c>
    </row>
    <row r="700" spans="1:20" x14ac:dyDescent="0.3">
      <c r="A700" t="str">
        <f>"0611856822100"</f>
        <v>0611856822100</v>
      </c>
      <c r="B700" t="str">
        <f>"LQ6250"</f>
        <v>LQ6250</v>
      </c>
      <c r="C700" t="s">
        <v>28609</v>
      </c>
      <c r="D700" t="s">
        <v>27245</v>
      </c>
      <c r="E700" t="str">
        <f t="shared" si="10"/>
        <v>001390</v>
      </c>
      <c r="F700" t="s">
        <v>27246</v>
      </c>
      <c r="G700" t="s">
        <v>27247</v>
      </c>
      <c r="H700" t="s">
        <v>27248</v>
      </c>
      <c r="I700" t="s">
        <v>28610</v>
      </c>
      <c r="J700" t="s">
        <v>1408</v>
      </c>
      <c r="L700" t="s">
        <v>27250</v>
      </c>
      <c r="M700" t="s">
        <v>27251</v>
      </c>
      <c r="N700" t="s">
        <v>27252</v>
      </c>
      <c r="Q700" s="1">
        <v>44812</v>
      </c>
      <c r="R700" t="s">
        <v>27253</v>
      </c>
      <c r="S700" t="s">
        <v>27254</v>
      </c>
      <c r="T700" t="s">
        <v>27255</v>
      </c>
    </row>
    <row r="701" spans="1:20" x14ac:dyDescent="0.3">
      <c r="A701" t="str">
        <f>"0611831187100"</f>
        <v>0611831187100</v>
      </c>
      <c r="B701" t="str">
        <f>"LQ5912"</f>
        <v>LQ5912</v>
      </c>
      <c r="C701" t="s">
        <v>28611</v>
      </c>
      <c r="D701" t="s">
        <v>27245</v>
      </c>
      <c r="E701" t="str">
        <f t="shared" si="10"/>
        <v>001390</v>
      </c>
      <c r="F701" t="s">
        <v>27246</v>
      </c>
      <c r="G701" t="s">
        <v>27247</v>
      </c>
      <c r="H701" t="s">
        <v>27248</v>
      </c>
      <c r="I701" t="s">
        <v>28612</v>
      </c>
      <c r="J701" t="s">
        <v>1410</v>
      </c>
      <c r="L701" t="s">
        <v>27250</v>
      </c>
      <c r="M701" t="s">
        <v>27251</v>
      </c>
      <c r="N701" t="s">
        <v>27252</v>
      </c>
      <c r="Q701" s="1">
        <v>44538</v>
      </c>
      <c r="R701" t="s">
        <v>27253</v>
      </c>
      <c r="S701" t="s">
        <v>27254</v>
      </c>
      <c r="T701" t="s">
        <v>27255</v>
      </c>
    </row>
    <row r="702" spans="1:20" x14ac:dyDescent="0.3">
      <c r="A702" t="str">
        <f>"0611831194100"</f>
        <v>0611831194100</v>
      </c>
      <c r="B702" t="str">
        <f>"LQ6036"</f>
        <v>LQ6036</v>
      </c>
      <c r="C702" t="s">
        <v>28613</v>
      </c>
      <c r="D702" t="s">
        <v>27245</v>
      </c>
      <c r="E702" t="str">
        <f t="shared" si="10"/>
        <v>001390</v>
      </c>
      <c r="F702" t="s">
        <v>27246</v>
      </c>
      <c r="G702" t="s">
        <v>27247</v>
      </c>
      <c r="H702" t="s">
        <v>27248</v>
      </c>
      <c r="I702" t="s">
        <v>28614</v>
      </c>
      <c r="J702" t="s">
        <v>1412</v>
      </c>
      <c r="L702" t="s">
        <v>27250</v>
      </c>
      <c r="M702" t="s">
        <v>27251</v>
      </c>
      <c r="N702" t="s">
        <v>27252</v>
      </c>
      <c r="Q702" s="1">
        <v>44538</v>
      </c>
      <c r="R702" t="s">
        <v>27253</v>
      </c>
      <c r="S702" t="s">
        <v>27254</v>
      </c>
      <c r="T702" t="s">
        <v>27255</v>
      </c>
    </row>
    <row r="703" spans="1:20" x14ac:dyDescent="0.3">
      <c r="A703" t="str">
        <f>"0611831203100"</f>
        <v>0611831203100</v>
      </c>
      <c r="B703" t="str">
        <f>"LQ6088"</f>
        <v>LQ6088</v>
      </c>
      <c r="C703" t="s">
        <v>28615</v>
      </c>
      <c r="D703" t="s">
        <v>27245</v>
      </c>
      <c r="E703" t="str">
        <f t="shared" si="10"/>
        <v>001390</v>
      </c>
      <c r="F703" t="s">
        <v>27246</v>
      </c>
      <c r="G703" t="s">
        <v>27247</v>
      </c>
      <c r="H703" t="s">
        <v>27248</v>
      </c>
      <c r="I703" t="s">
        <v>28616</v>
      </c>
      <c r="J703" t="s">
        <v>1414</v>
      </c>
      <c r="L703" t="s">
        <v>27250</v>
      </c>
      <c r="M703" t="s">
        <v>27251</v>
      </c>
      <c r="N703" t="s">
        <v>27252</v>
      </c>
      <c r="Q703" s="1">
        <v>44538</v>
      </c>
      <c r="R703" t="s">
        <v>27253</v>
      </c>
      <c r="S703" t="s">
        <v>27254</v>
      </c>
      <c r="T703" t="s">
        <v>27255</v>
      </c>
    </row>
    <row r="704" spans="1:20" x14ac:dyDescent="0.3">
      <c r="A704" t="str">
        <f>"0611831204100"</f>
        <v>0611831204100</v>
      </c>
      <c r="B704" t="str">
        <f>"LQ5832"</f>
        <v>LQ5832</v>
      </c>
      <c r="C704" t="s">
        <v>28617</v>
      </c>
      <c r="D704" t="s">
        <v>27245</v>
      </c>
      <c r="E704" t="str">
        <f t="shared" si="10"/>
        <v>001390</v>
      </c>
      <c r="F704" t="s">
        <v>27246</v>
      </c>
      <c r="G704" t="s">
        <v>27247</v>
      </c>
      <c r="H704" t="s">
        <v>27248</v>
      </c>
      <c r="I704" t="s">
        <v>28618</v>
      </c>
      <c r="J704" t="s">
        <v>1416</v>
      </c>
      <c r="L704" t="s">
        <v>27250</v>
      </c>
      <c r="M704" t="s">
        <v>27251</v>
      </c>
      <c r="N704" t="s">
        <v>27252</v>
      </c>
      <c r="Q704" s="1">
        <v>44538</v>
      </c>
      <c r="R704" t="s">
        <v>27253</v>
      </c>
      <c r="S704" t="s">
        <v>27254</v>
      </c>
      <c r="T704" t="s">
        <v>27255</v>
      </c>
    </row>
    <row r="705" spans="1:20" x14ac:dyDescent="0.3">
      <c r="A705" t="str">
        <f>"0611831205100"</f>
        <v>0611831205100</v>
      </c>
      <c r="B705" t="str">
        <f>"LQ5420"</f>
        <v>LQ5420</v>
      </c>
      <c r="C705" t="s">
        <v>28619</v>
      </c>
      <c r="D705" t="s">
        <v>27245</v>
      </c>
      <c r="E705" t="str">
        <f t="shared" si="10"/>
        <v>001390</v>
      </c>
      <c r="F705" t="s">
        <v>27246</v>
      </c>
      <c r="G705" t="s">
        <v>27247</v>
      </c>
      <c r="H705" t="s">
        <v>27248</v>
      </c>
      <c r="I705" t="s">
        <v>28620</v>
      </c>
      <c r="J705" t="s">
        <v>1418</v>
      </c>
      <c r="L705" t="s">
        <v>27250</v>
      </c>
      <c r="M705" t="s">
        <v>27251</v>
      </c>
      <c r="N705" t="s">
        <v>27252</v>
      </c>
      <c r="Q705" s="1">
        <v>44538</v>
      </c>
      <c r="R705" t="s">
        <v>27253</v>
      </c>
      <c r="S705" t="s">
        <v>27254</v>
      </c>
      <c r="T705" t="s">
        <v>27255</v>
      </c>
    </row>
    <row r="706" spans="1:20" x14ac:dyDescent="0.3">
      <c r="A706" t="str">
        <f>"0611831206100"</f>
        <v>0611831206100</v>
      </c>
      <c r="B706" t="str">
        <f>"LQ5915"</f>
        <v>LQ5915</v>
      </c>
      <c r="C706" t="s">
        <v>28621</v>
      </c>
      <c r="D706" t="s">
        <v>27245</v>
      </c>
      <c r="E706" t="str">
        <f t="shared" ref="E706:E769" si="11">"001390"</f>
        <v>001390</v>
      </c>
      <c r="F706" t="s">
        <v>27246</v>
      </c>
      <c r="G706" t="s">
        <v>27247</v>
      </c>
      <c r="H706" t="s">
        <v>27248</v>
      </c>
      <c r="I706" t="s">
        <v>28622</v>
      </c>
      <c r="J706" t="s">
        <v>1420</v>
      </c>
      <c r="L706" t="s">
        <v>27250</v>
      </c>
      <c r="M706" t="s">
        <v>27251</v>
      </c>
      <c r="N706" t="s">
        <v>27252</v>
      </c>
      <c r="Q706" s="1">
        <v>44538</v>
      </c>
      <c r="R706" t="s">
        <v>27253</v>
      </c>
      <c r="S706" t="s">
        <v>27254</v>
      </c>
      <c r="T706" t="s">
        <v>27255</v>
      </c>
    </row>
    <row r="707" spans="1:20" x14ac:dyDescent="0.3">
      <c r="A707" t="str">
        <f>"0611831207100"</f>
        <v>0611831207100</v>
      </c>
      <c r="B707" t="str">
        <f>"LQ5258"</f>
        <v>LQ5258</v>
      </c>
      <c r="C707" t="s">
        <v>28623</v>
      </c>
      <c r="D707" t="s">
        <v>27245</v>
      </c>
      <c r="E707" t="str">
        <f t="shared" si="11"/>
        <v>001390</v>
      </c>
      <c r="F707" t="s">
        <v>27246</v>
      </c>
      <c r="G707" t="s">
        <v>27247</v>
      </c>
      <c r="H707" t="s">
        <v>27248</v>
      </c>
      <c r="I707" t="s">
        <v>28624</v>
      </c>
      <c r="J707" t="s">
        <v>1422</v>
      </c>
      <c r="L707" t="s">
        <v>27250</v>
      </c>
      <c r="M707" t="s">
        <v>27251</v>
      </c>
      <c r="N707" t="s">
        <v>27252</v>
      </c>
      <c r="Q707" s="1">
        <v>44538</v>
      </c>
      <c r="R707" t="s">
        <v>27253</v>
      </c>
      <c r="S707" t="s">
        <v>27254</v>
      </c>
      <c r="T707" t="s">
        <v>27255</v>
      </c>
    </row>
    <row r="708" spans="1:20" x14ac:dyDescent="0.3">
      <c r="A708" t="str">
        <f>"0611839497100"</f>
        <v>0611839497100</v>
      </c>
      <c r="B708" t="str">
        <f>"LQ5592"</f>
        <v>LQ5592</v>
      </c>
      <c r="C708" t="s">
        <v>28625</v>
      </c>
      <c r="D708" t="s">
        <v>27245</v>
      </c>
      <c r="E708" t="str">
        <f t="shared" si="11"/>
        <v>001390</v>
      </c>
      <c r="F708" t="s">
        <v>27246</v>
      </c>
      <c r="G708" t="s">
        <v>27247</v>
      </c>
      <c r="H708" t="s">
        <v>27248</v>
      </c>
      <c r="I708" t="s">
        <v>28626</v>
      </c>
      <c r="J708" t="s">
        <v>1424</v>
      </c>
      <c r="L708" t="s">
        <v>27250</v>
      </c>
      <c r="M708" t="s">
        <v>27251</v>
      </c>
      <c r="N708" t="s">
        <v>27252</v>
      </c>
      <c r="Q708" s="1">
        <v>44538</v>
      </c>
      <c r="R708" t="s">
        <v>27253</v>
      </c>
      <c r="S708" t="s">
        <v>27254</v>
      </c>
      <c r="T708" t="s">
        <v>27255</v>
      </c>
    </row>
    <row r="709" spans="1:20" x14ac:dyDescent="0.3">
      <c r="A709" t="str">
        <f>"0611839498100"</f>
        <v>0611839498100</v>
      </c>
      <c r="B709" t="str">
        <f>"LQ5593"</f>
        <v>LQ5593</v>
      </c>
      <c r="C709" t="s">
        <v>28627</v>
      </c>
      <c r="D709" t="s">
        <v>27245</v>
      </c>
      <c r="E709" t="str">
        <f t="shared" si="11"/>
        <v>001390</v>
      </c>
      <c r="F709" t="s">
        <v>27246</v>
      </c>
      <c r="G709" t="s">
        <v>27247</v>
      </c>
      <c r="H709" t="s">
        <v>27248</v>
      </c>
      <c r="I709" t="s">
        <v>28628</v>
      </c>
      <c r="J709" t="s">
        <v>1426</v>
      </c>
      <c r="L709" t="s">
        <v>27250</v>
      </c>
      <c r="M709" t="s">
        <v>27251</v>
      </c>
      <c r="N709" t="s">
        <v>27252</v>
      </c>
      <c r="Q709" s="1">
        <v>44538</v>
      </c>
      <c r="R709" t="s">
        <v>27253</v>
      </c>
      <c r="S709" t="s">
        <v>27254</v>
      </c>
      <c r="T709" t="s">
        <v>27255</v>
      </c>
    </row>
    <row r="710" spans="1:20" x14ac:dyDescent="0.3">
      <c r="A710" t="str">
        <f>"0611839499100"</f>
        <v>0611839499100</v>
      </c>
      <c r="B710" t="str">
        <f>"LQ5595"</f>
        <v>LQ5595</v>
      </c>
      <c r="C710" t="s">
        <v>28629</v>
      </c>
      <c r="D710" t="s">
        <v>27245</v>
      </c>
      <c r="E710" t="str">
        <f t="shared" si="11"/>
        <v>001390</v>
      </c>
      <c r="F710" t="s">
        <v>27246</v>
      </c>
      <c r="G710" t="s">
        <v>27247</v>
      </c>
      <c r="H710" t="s">
        <v>27248</v>
      </c>
      <c r="I710" t="s">
        <v>28630</v>
      </c>
      <c r="J710" t="s">
        <v>1428</v>
      </c>
      <c r="L710" t="s">
        <v>27250</v>
      </c>
      <c r="M710" t="s">
        <v>27251</v>
      </c>
      <c r="N710" t="s">
        <v>27252</v>
      </c>
      <c r="Q710" s="1">
        <v>44538</v>
      </c>
      <c r="R710" t="s">
        <v>27253</v>
      </c>
      <c r="S710" t="s">
        <v>27254</v>
      </c>
      <c r="T710" t="s">
        <v>27255</v>
      </c>
    </row>
    <row r="711" spans="1:20" x14ac:dyDescent="0.3">
      <c r="A711" t="str">
        <f>"0611839502100"</f>
        <v>0611839502100</v>
      </c>
      <c r="B711" t="str">
        <f>"LK3281"</f>
        <v>LK3281</v>
      </c>
      <c r="C711" t="s">
        <v>28631</v>
      </c>
      <c r="D711" t="s">
        <v>27245</v>
      </c>
      <c r="E711" t="str">
        <f t="shared" si="11"/>
        <v>001390</v>
      </c>
      <c r="F711" t="s">
        <v>27246</v>
      </c>
      <c r="G711" t="s">
        <v>27247</v>
      </c>
      <c r="H711" t="s">
        <v>27248</v>
      </c>
      <c r="I711" t="s">
        <v>28632</v>
      </c>
      <c r="J711" t="s">
        <v>1430</v>
      </c>
      <c r="L711" t="s">
        <v>27250</v>
      </c>
      <c r="M711" t="s">
        <v>27251</v>
      </c>
      <c r="N711" t="s">
        <v>27252</v>
      </c>
      <c r="Q711" s="1">
        <v>44538</v>
      </c>
      <c r="R711" t="s">
        <v>27253</v>
      </c>
      <c r="S711" t="s">
        <v>27254</v>
      </c>
      <c r="T711" t="s">
        <v>27255</v>
      </c>
    </row>
    <row r="712" spans="1:20" x14ac:dyDescent="0.3">
      <c r="A712" t="str">
        <f>"0611839503100"</f>
        <v>0611839503100</v>
      </c>
      <c r="B712" t="str">
        <f>"LQ6222"</f>
        <v>LQ6222</v>
      </c>
      <c r="C712" t="s">
        <v>28633</v>
      </c>
      <c r="D712" t="s">
        <v>27245</v>
      </c>
      <c r="E712" t="str">
        <f t="shared" si="11"/>
        <v>001390</v>
      </c>
      <c r="F712" t="s">
        <v>27246</v>
      </c>
      <c r="G712" t="s">
        <v>27247</v>
      </c>
      <c r="H712" t="s">
        <v>27248</v>
      </c>
      <c r="I712" t="s">
        <v>28634</v>
      </c>
      <c r="J712" t="s">
        <v>1432</v>
      </c>
      <c r="L712" t="s">
        <v>27250</v>
      </c>
      <c r="M712" t="s">
        <v>27251</v>
      </c>
      <c r="N712" t="s">
        <v>27252</v>
      </c>
      <c r="Q712" s="1">
        <v>44538</v>
      </c>
      <c r="R712" t="s">
        <v>27253</v>
      </c>
      <c r="S712" t="s">
        <v>27254</v>
      </c>
      <c r="T712" t="s">
        <v>27255</v>
      </c>
    </row>
    <row r="713" spans="1:20" x14ac:dyDescent="0.3">
      <c r="A713" t="str">
        <f>"0611839504100"</f>
        <v>0611839504100</v>
      </c>
      <c r="B713" t="str">
        <f>"LQ6223"</f>
        <v>LQ6223</v>
      </c>
      <c r="C713" t="s">
        <v>28635</v>
      </c>
      <c r="D713" t="s">
        <v>27245</v>
      </c>
      <c r="E713" t="str">
        <f t="shared" si="11"/>
        <v>001390</v>
      </c>
      <c r="F713" t="s">
        <v>27246</v>
      </c>
      <c r="G713" t="s">
        <v>27247</v>
      </c>
      <c r="H713" t="s">
        <v>27248</v>
      </c>
      <c r="I713" t="s">
        <v>28636</v>
      </c>
      <c r="J713" t="s">
        <v>1434</v>
      </c>
      <c r="L713" t="s">
        <v>27250</v>
      </c>
      <c r="M713" t="s">
        <v>27251</v>
      </c>
      <c r="N713" t="s">
        <v>27252</v>
      </c>
      <c r="Q713" s="1">
        <v>44538</v>
      </c>
      <c r="R713" t="s">
        <v>27253</v>
      </c>
      <c r="S713" t="s">
        <v>27254</v>
      </c>
      <c r="T713" t="s">
        <v>27255</v>
      </c>
    </row>
    <row r="714" spans="1:20" x14ac:dyDescent="0.3">
      <c r="A714" t="str">
        <f>"0611839505100"</f>
        <v>0611839505100</v>
      </c>
      <c r="B714" t="str">
        <f>"LQ6224"</f>
        <v>LQ6224</v>
      </c>
      <c r="C714" t="s">
        <v>28637</v>
      </c>
      <c r="D714" t="s">
        <v>27245</v>
      </c>
      <c r="E714" t="str">
        <f t="shared" si="11"/>
        <v>001390</v>
      </c>
      <c r="F714" t="s">
        <v>27246</v>
      </c>
      <c r="G714" t="s">
        <v>27247</v>
      </c>
      <c r="H714" t="s">
        <v>27248</v>
      </c>
      <c r="I714" t="s">
        <v>28638</v>
      </c>
      <c r="J714" t="s">
        <v>1436</v>
      </c>
      <c r="L714" t="s">
        <v>27250</v>
      </c>
      <c r="M714" t="s">
        <v>27251</v>
      </c>
      <c r="N714" t="s">
        <v>27252</v>
      </c>
      <c r="Q714" s="1">
        <v>44538</v>
      </c>
      <c r="R714" t="s">
        <v>27253</v>
      </c>
      <c r="S714" t="s">
        <v>27254</v>
      </c>
      <c r="T714" t="s">
        <v>27255</v>
      </c>
    </row>
    <row r="715" spans="1:20" x14ac:dyDescent="0.3">
      <c r="A715" t="str">
        <f>"0611856823100"</f>
        <v>0611856823100</v>
      </c>
      <c r="B715" t="str">
        <f>"LQ6259"</f>
        <v>LQ6259</v>
      </c>
      <c r="C715" t="s">
        <v>28639</v>
      </c>
      <c r="D715" t="s">
        <v>27245</v>
      </c>
      <c r="E715" t="str">
        <f t="shared" si="11"/>
        <v>001390</v>
      </c>
      <c r="F715" t="s">
        <v>27246</v>
      </c>
      <c r="G715" t="s">
        <v>27247</v>
      </c>
      <c r="H715" t="s">
        <v>27248</v>
      </c>
      <c r="I715" t="s">
        <v>28640</v>
      </c>
      <c r="J715" t="s">
        <v>1438</v>
      </c>
      <c r="L715" t="s">
        <v>27250</v>
      </c>
      <c r="M715" t="s">
        <v>27251</v>
      </c>
      <c r="N715" t="s">
        <v>27252</v>
      </c>
      <c r="Q715" s="1">
        <v>44812</v>
      </c>
      <c r="R715" t="s">
        <v>27253</v>
      </c>
      <c r="S715" t="s">
        <v>27254</v>
      </c>
      <c r="T715" t="s">
        <v>27255</v>
      </c>
    </row>
    <row r="716" spans="1:20" x14ac:dyDescent="0.3">
      <c r="A716" t="str">
        <f>"0611839506100"</f>
        <v>0611839506100</v>
      </c>
      <c r="B716" t="str">
        <f>"LQ0069"</f>
        <v>LQ0069</v>
      </c>
      <c r="C716" t="s">
        <v>28641</v>
      </c>
      <c r="D716" t="s">
        <v>27245</v>
      </c>
      <c r="E716" t="str">
        <f t="shared" si="11"/>
        <v>001390</v>
      </c>
      <c r="F716" t="s">
        <v>27246</v>
      </c>
      <c r="G716" t="s">
        <v>27247</v>
      </c>
      <c r="H716" t="s">
        <v>27248</v>
      </c>
      <c r="I716" t="s">
        <v>28642</v>
      </c>
      <c r="J716" t="s">
        <v>1440</v>
      </c>
      <c r="L716" t="s">
        <v>27250</v>
      </c>
      <c r="M716" t="s">
        <v>27251</v>
      </c>
      <c r="N716" t="s">
        <v>27252</v>
      </c>
      <c r="Q716" s="1">
        <v>44538</v>
      </c>
      <c r="R716" t="s">
        <v>27253</v>
      </c>
      <c r="S716" t="s">
        <v>27254</v>
      </c>
      <c r="T716" t="s">
        <v>27255</v>
      </c>
    </row>
    <row r="717" spans="1:20" x14ac:dyDescent="0.3">
      <c r="A717" t="str">
        <f>"0611860582050"</f>
        <v>0611860582050</v>
      </c>
      <c r="B717" t="str">
        <f>"CR2014"</f>
        <v>CR2014</v>
      </c>
      <c r="C717" t="s">
        <v>28641</v>
      </c>
      <c r="D717" t="s">
        <v>27263</v>
      </c>
      <c r="E717" t="str">
        <f t="shared" si="11"/>
        <v>001390</v>
      </c>
      <c r="F717" t="s">
        <v>27246</v>
      </c>
      <c r="G717" t="s">
        <v>27247</v>
      </c>
      <c r="H717" t="s">
        <v>27248</v>
      </c>
      <c r="I717" t="s">
        <v>28643</v>
      </c>
      <c r="J717" t="s">
        <v>1442</v>
      </c>
      <c r="L717" t="s">
        <v>27250</v>
      </c>
      <c r="M717" t="s">
        <v>27251</v>
      </c>
      <c r="N717" t="s">
        <v>27252</v>
      </c>
      <c r="Q717" s="1">
        <v>44846</v>
      </c>
      <c r="R717" t="s">
        <v>27253</v>
      </c>
      <c r="S717" t="s">
        <v>27254</v>
      </c>
      <c r="T717" t="s">
        <v>27265</v>
      </c>
    </row>
    <row r="718" spans="1:20" x14ac:dyDescent="0.3">
      <c r="A718" t="str">
        <f>"0611839507100"</f>
        <v>0611839507100</v>
      </c>
      <c r="B718" t="str">
        <f>"LB0731"</f>
        <v>LB0731</v>
      </c>
      <c r="C718" t="s">
        <v>28644</v>
      </c>
      <c r="D718" t="s">
        <v>27245</v>
      </c>
      <c r="E718" t="str">
        <f t="shared" si="11"/>
        <v>001390</v>
      </c>
      <c r="F718" t="s">
        <v>27246</v>
      </c>
      <c r="G718" t="s">
        <v>27247</v>
      </c>
      <c r="H718" t="s">
        <v>27248</v>
      </c>
      <c r="I718" t="s">
        <v>28645</v>
      </c>
      <c r="J718" t="s">
        <v>1444</v>
      </c>
      <c r="L718" t="s">
        <v>27250</v>
      </c>
      <c r="M718" t="s">
        <v>27251</v>
      </c>
      <c r="N718" t="s">
        <v>27252</v>
      </c>
      <c r="Q718" s="1">
        <v>44538</v>
      </c>
      <c r="R718" t="s">
        <v>27253</v>
      </c>
      <c r="S718" t="s">
        <v>27254</v>
      </c>
      <c r="T718" t="s">
        <v>27255</v>
      </c>
    </row>
    <row r="719" spans="1:20" x14ac:dyDescent="0.3">
      <c r="A719" t="str">
        <f>"0611831208025"</f>
        <v>0611831208025</v>
      </c>
      <c r="B719" t="str">
        <f>"MC0132"</f>
        <v>MC0132</v>
      </c>
      <c r="C719" t="s">
        <v>28646</v>
      </c>
      <c r="D719" t="s">
        <v>27267</v>
      </c>
      <c r="E719" t="str">
        <f t="shared" si="11"/>
        <v>001390</v>
      </c>
      <c r="F719" t="s">
        <v>27246</v>
      </c>
      <c r="G719" t="s">
        <v>27247</v>
      </c>
      <c r="H719" t="s">
        <v>27248</v>
      </c>
      <c r="I719" t="s">
        <v>28647</v>
      </c>
      <c r="J719" t="s">
        <v>1446</v>
      </c>
      <c r="L719" t="s">
        <v>27250</v>
      </c>
      <c r="M719" t="s">
        <v>27251</v>
      </c>
      <c r="N719" t="s">
        <v>27252</v>
      </c>
      <c r="Q719" s="1">
        <v>44538</v>
      </c>
      <c r="R719" t="s">
        <v>27253</v>
      </c>
      <c r="S719" t="s">
        <v>27254</v>
      </c>
      <c r="T719" t="s">
        <v>27269</v>
      </c>
    </row>
    <row r="720" spans="1:20" x14ac:dyDescent="0.3">
      <c r="A720" t="str">
        <f>"0611836980100"</f>
        <v>0611836980100</v>
      </c>
      <c r="B720" t="str">
        <f>"LC5231"</f>
        <v>LC5231</v>
      </c>
      <c r="C720" t="s">
        <v>28648</v>
      </c>
      <c r="D720" t="s">
        <v>27245</v>
      </c>
      <c r="E720" t="str">
        <f t="shared" si="11"/>
        <v>001390</v>
      </c>
      <c r="F720" t="s">
        <v>27246</v>
      </c>
      <c r="G720" t="s">
        <v>27247</v>
      </c>
      <c r="H720" t="s">
        <v>27248</v>
      </c>
      <c r="I720" t="s">
        <v>28649</v>
      </c>
      <c r="J720" t="s">
        <v>1448</v>
      </c>
      <c r="L720" t="s">
        <v>27250</v>
      </c>
      <c r="M720" t="s">
        <v>27251</v>
      </c>
      <c r="N720" t="s">
        <v>27252</v>
      </c>
      <c r="Q720" s="1">
        <v>44538</v>
      </c>
      <c r="R720" t="s">
        <v>27253</v>
      </c>
      <c r="S720" t="s">
        <v>27254</v>
      </c>
      <c r="T720" t="s">
        <v>27255</v>
      </c>
    </row>
    <row r="721" spans="1:20" x14ac:dyDescent="0.3">
      <c r="A721" t="str">
        <f>"0611836981100"</f>
        <v>0611836981100</v>
      </c>
      <c r="B721" t="str">
        <f>"LC3378"</f>
        <v>LC3378</v>
      </c>
      <c r="C721" t="s">
        <v>28650</v>
      </c>
      <c r="D721" t="s">
        <v>27245</v>
      </c>
      <c r="E721" t="str">
        <f t="shared" si="11"/>
        <v>001390</v>
      </c>
      <c r="F721" t="s">
        <v>27246</v>
      </c>
      <c r="G721" t="s">
        <v>27247</v>
      </c>
      <c r="H721" t="s">
        <v>27248</v>
      </c>
      <c r="I721" t="s">
        <v>28651</v>
      </c>
      <c r="J721" t="s">
        <v>1450</v>
      </c>
      <c r="L721" t="s">
        <v>27250</v>
      </c>
      <c r="M721" t="s">
        <v>27251</v>
      </c>
      <c r="N721" t="s">
        <v>27252</v>
      </c>
      <c r="Q721" s="1">
        <v>44538</v>
      </c>
      <c r="R721" t="s">
        <v>27253</v>
      </c>
      <c r="S721" t="s">
        <v>27254</v>
      </c>
      <c r="T721" t="s">
        <v>27255</v>
      </c>
    </row>
    <row r="722" spans="1:20" x14ac:dyDescent="0.3">
      <c r="A722" t="str">
        <f>"0611836982100"</f>
        <v>0611836982100</v>
      </c>
      <c r="B722" t="str">
        <f>"LC3376"</f>
        <v>LC3376</v>
      </c>
      <c r="C722" t="s">
        <v>28652</v>
      </c>
      <c r="D722" t="s">
        <v>28138</v>
      </c>
      <c r="E722" t="str">
        <f t="shared" si="11"/>
        <v>001390</v>
      </c>
      <c r="F722" t="s">
        <v>27246</v>
      </c>
      <c r="G722" t="s">
        <v>27247</v>
      </c>
      <c r="H722" t="s">
        <v>27248</v>
      </c>
      <c r="I722" t="s">
        <v>28653</v>
      </c>
      <c r="J722" t="s">
        <v>1452</v>
      </c>
      <c r="L722" t="s">
        <v>27250</v>
      </c>
      <c r="M722" t="s">
        <v>27251</v>
      </c>
      <c r="N722" t="s">
        <v>27252</v>
      </c>
      <c r="P722" t="s">
        <v>27925</v>
      </c>
      <c r="Q722" s="1">
        <v>44538</v>
      </c>
      <c r="R722" t="s">
        <v>27253</v>
      </c>
      <c r="S722" t="s">
        <v>27254</v>
      </c>
      <c r="T722" t="s">
        <v>27255</v>
      </c>
    </row>
    <row r="723" spans="1:20" x14ac:dyDescent="0.3">
      <c r="A723" t="str">
        <f>"0611836983100"</f>
        <v>0611836983100</v>
      </c>
      <c r="B723" t="str">
        <f>"LC9610"</f>
        <v>LC9610</v>
      </c>
      <c r="C723" t="s">
        <v>28654</v>
      </c>
      <c r="D723" t="s">
        <v>27245</v>
      </c>
      <c r="E723" t="str">
        <f t="shared" si="11"/>
        <v>001390</v>
      </c>
      <c r="F723" t="s">
        <v>27246</v>
      </c>
      <c r="G723" t="s">
        <v>27247</v>
      </c>
      <c r="H723" t="s">
        <v>27248</v>
      </c>
      <c r="I723" t="s">
        <v>28655</v>
      </c>
      <c r="J723" t="s">
        <v>1454</v>
      </c>
      <c r="L723" t="s">
        <v>27250</v>
      </c>
      <c r="M723" t="s">
        <v>27251</v>
      </c>
      <c r="N723" t="s">
        <v>27252</v>
      </c>
      <c r="Q723" s="1">
        <v>44538</v>
      </c>
      <c r="R723" t="s">
        <v>27253</v>
      </c>
      <c r="S723" t="s">
        <v>27254</v>
      </c>
      <c r="T723" t="s">
        <v>27255</v>
      </c>
    </row>
    <row r="724" spans="1:20" x14ac:dyDescent="0.3">
      <c r="A724" t="str">
        <f>"0611836984100"</f>
        <v>0611836984100</v>
      </c>
      <c r="B724" t="str">
        <f>"LC5216"</f>
        <v>LC5216</v>
      </c>
      <c r="C724" t="s">
        <v>28656</v>
      </c>
      <c r="D724" t="s">
        <v>27245</v>
      </c>
      <c r="E724" t="str">
        <f t="shared" si="11"/>
        <v>001390</v>
      </c>
      <c r="F724" t="s">
        <v>27246</v>
      </c>
      <c r="G724" t="s">
        <v>27247</v>
      </c>
      <c r="H724" t="s">
        <v>27248</v>
      </c>
      <c r="I724" t="s">
        <v>28657</v>
      </c>
      <c r="J724" t="s">
        <v>1456</v>
      </c>
      <c r="L724" t="s">
        <v>27250</v>
      </c>
      <c r="M724" t="s">
        <v>27251</v>
      </c>
      <c r="N724" t="s">
        <v>27252</v>
      </c>
      <c r="Q724" s="1">
        <v>44538</v>
      </c>
      <c r="R724" t="s">
        <v>27253</v>
      </c>
      <c r="S724" t="s">
        <v>27254</v>
      </c>
      <c r="T724" t="s">
        <v>27255</v>
      </c>
    </row>
    <row r="725" spans="1:20" x14ac:dyDescent="0.3">
      <c r="A725" t="str">
        <f>"0611836985100"</f>
        <v>0611836985100</v>
      </c>
      <c r="B725" t="str">
        <f>"LC9613"</f>
        <v>LC9613</v>
      </c>
      <c r="C725" t="s">
        <v>28658</v>
      </c>
      <c r="D725" t="s">
        <v>27245</v>
      </c>
      <c r="E725" t="str">
        <f t="shared" si="11"/>
        <v>001390</v>
      </c>
      <c r="F725" t="s">
        <v>27246</v>
      </c>
      <c r="G725" t="s">
        <v>27247</v>
      </c>
      <c r="H725" t="s">
        <v>27248</v>
      </c>
      <c r="I725" t="s">
        <v>28659</v>
      </c>
      <c r="J725" t="s">
        <v>1458</v>
      </c>
      <c r="L725" t="s">
        <v>27250</v>
      </c>
      <c r="M725" t="s">
        <v>27251</v>
      </c>
      <c r="N725" t="s">
        <v>27252</v>
      </c>
      <c r="Q725" s="1">
        <v>44538</v>
      </c>
      <c r="R725" t="s">
        <v>27253</v>
      </c>
      <c r="S725" t="s">
        <v>27254</v>
      </c>
      <c r="T725" t="s">
        <v>27255</v>
      </c>
    </row>
    <row r="726" spans="1:20" x14ac:dyDescent="0.3">
      <c r="A726" t="str">
        <f>"0611836986100"</f>
        <v>0611836986100</v>
      </c>
      <c r="B726" t="str">
        <f>"LC5196"</f>
        <v>LC5196</v>
      </c>
      <c r="C726" t="s">
        <v>28660</v>
      </c>
      <c r="D726" t="s">
        <v>27245</v>
      </c>
      <c r="E726" t="str">
        <f t="shared" si="11"/>
        <v>001390</v>
      </c>
      <c r="F726" t="s">
        <v>27246</v>
      </c>
      <c r="G726" t="s">
        <v>27247</v>
      </c>
      <c r="H726" t="s">
        <v>27248</v>
      </c>
      <c r="I726" t="s">
        <v>28661</v>
      </c>
      <c r="J726" t="s">
        <v>1460</v>
      </c>
      <c r="L726" t="s">
        <v>27250</v>
      </c>
      <c r="M726" t="s">
        <v>27251</v>
      </c>
      <c r="N726" t="s">
        <v>27252</v>
      </c>
      <c r="Q726" s="1">
        <v>44538</v>
      </c>
      <c r="R726" t="s">
        <v>27253</v>
      </c>
      <c r="S726" t="s">
        <v>27254</v>
      </c>
      <c r="T726" t="s">
        <v>27255</v>
      </c>
    </row>
    <row r="727" spans="1:20" x14ac:dyDescent="0.3">
      <c r="A727" t="str">
        <f>"0611884001025"</f>
        <v>0611884001025</v>
      </c>
      <c r="B727" t="str">
        <f>"MC0763"</f>
        <v>MC0763</v>
      </c>
      <c r="C727" t="s">
        <v>28660</v>
      </c>
      <c r="D727" t="s">
        <v>27267</v>
      </c>
      <c r="E727" t="str">
        <f t="shared" si="11"/>
        <v>001390</v>
      </c>
      <c r="F727" t="s">
        <v>27246</v>
      </c>
      <c r="G727" t="s">
        <v>27247</v>
      </c>
      <c r="H727" t="s">
        <v>27248</v>
      </c>
      <c r="I727" t="s">
        <v>28662</v>
      </c>
      <c r="J727" t="s">
        <v>1462</v>
      </c>
      <c r="L727" t="s">
        <v>27430</v>
      </c>
      <c r="M727" t="s">
        <v>27251</v>
      </c>
      <c r="N727" t="s">
        <v>27252</v>
      </c>
      <c r="Q727" s="1">
        <v>45250</v>
      </c>
      <c r="R727" t="s">
        <v>27253</v>
      </c>
      <c r="S727" t="s">
        <v>27254</v>
      </c>
      <c r="T727" t="s">
        <v>27269</v>
      </c>
    </row>
    <row r="728" spans="1:20" x14ac:dyDescent="0.3">
      <c r="A728" t="str">
        <f>"0611856969025"</f>
        <v>0611856969025</v>
      </c>
      <c r="B728" t="str">
        <f>"MC4409"</f>
        <v>MC4409</v>
      </c>
      <c r="C728" t="s">
        <v>28663</v>
      </c>
      <c r="D728" t="s">
        <v>27267</v>
      </c>
      <c r="E728" t="str">
        <f t="shared" si="11"/>
        <v>001390</v>
      </c>
      <c r="F728" t="s">
        <v>27246</v>
      </c>
      <c r="G728" t="s">
        <v>27247</v>
      </c>
      <c r="H728" t="s">
        <v>27248</v>
      </c>
      <c r="I728" t="s">
        <v>28664</v>
      </c>
      <c r="J728" t="s">
        <v>1464</v>
      </c>
      <c r="L728" t="s">
        <v>27250</v>
      </c>
      <c r="M728" t="s">
        <v>27251</v>
      </c>
      <c r="N728" t="s">
        <v>27252</v>
      </c>
      <c r="Q728" s="1">
        <v>44812</v>
      </c>
      <c r="R728" t="s">
        <v>27253</v>
      </c>
      <c r="S728" t="s">
        <v>27254</v>
      </c>
      <c r="T728" t="s">
        <v>27269</v>
      </c>
    </row>
    <row r="729" spans="1:20" x14ac:dyDescent="0.3">
      <c r="A729" t="str">
        <f>"0611835014100"</f>
        <v>0611835014100</v>
      </c>
      <c r="B729" t="str">
        <f>"LC5228"</f>
        <v>LC5228</v>
      </c>
      <c r="C729" t="s">
        <v>28665</v>
      </c>
      <c r="D729" t="s">
        <v>27245</v>
      </c>
      <c r="E729" t="str">
        <f t="shared" si="11"/>
        <v>001390</v>
      </c>
      <c r="F729" t="s">
        <v>27246</v>
      </c>
      <c r="G729" t="s">
        <v>27247</v>
      </c>
      <c r="H729" t="s">
        <v>27248</v>
      </c>
      <c r="I729" t="s">
        <v>28666</v>
      </c>
      <c r="J729" t="s">
        <v>1466</v>
      </c>
      <c r="L729" t="s">
        <v>27250</v>
      </c>
      <c r="M729" t="s">
        <v>27251</v>
      </c>
      <c r="N729" t="s">
        <v>27252</v>
      </c>
      <c r="Q729" s="1">
        <v>44538</v>
      </c>
      <c r="R729" t="s">
        <v>27253</v>
      </c>
      <c r="S729" t="s">
        <v>27254</v>
      </c>
      <c r="T729" t="s">
        <v>27255</v>
      </c>
    </row>
    <row r="730" spans="1:20" x14ac:dyDescent="0.3">
      <c r="A730" t="str">
        <f>"0611836987100"</f>
        <v>0611836987100</v>
      </c>
      <c r="B730" t="str">
        <f>"LC5195"</f>
        <v>LC5195</v>
      </c>
      <c r="C730" t="s">
        <v>28667</v>
      </c>
      <c r="D730" t="s">
        <v>27245</v>
      </c>
      <c r="E730" t="str">
        <f t="shared" si="11"/>
        <v>001390</v>
      </c>
      <c r="F730" t="s">
        <v>27246</v>
      </c>
      <c r="G730" t="s">
        <v>27247</v>
      </c>
      <c r="H730" t="s">
        <v>27248</v>
      </c>
      <c r="I730" t="s">
        <v>28668</v>
      </c>
      <c r="J730" t="s">
        <v>1468</v>
      </c>
      <c r="L730" t="s">
        <v>27250</v>
      </c>
      <c r="M730" t="s">
        <v>27251</v>
      </c>
      <c r="N730" t="s">
        <v>27252</v>
      </c>
      <c r="Q730" s="1">
        <v>44538</v>
      </c>
      <c r="R730" t="s">
        <v>27253</v>
      </c>
      <c r="S730" t="s">
        <v>27254</v>
      </c>
      <c r="T730" t="s">
        <v>27255</v>
      </c>
    </row>
    <row r="731" spans="1:20" x14ac:dyDescent="0.3">
      <c r="A731" t="str">
        <f>"0611836988100"</f>
        <v>0611836988100</v>
      </c>
      <c r="B731" t="str">
        <f>"LC9621"</f>
        <v>LC9621</v>
      </c>
      <c r="C731" t="s">
        <v>28669</v>
      </c>
      <c r="D731" t="s">
        <v>27245</v>
      </c>
      <c r="E731" t="str">
        <f t="shared" si="11"/>
        <v>001390</v>
      </c>
      <c r="F731" t="s">
        <v>27246</v>
      </c>
      <c r="G731" t="s">
        <v>27247</v>
      </c>
      <c r="H731" t="s">
        <v>27248</v>
      </c>
      <c r="I731" t="s">
        <v>28670</v>
      </c>
      <c r="J731" t="s">
        <v>1470</v>
      </c>
      <c r="L731" t="s">
        <v>27250</v>
      </c>
      <c r="M731" t="s">
        <v>27251</v>
      </c>
      <c r="N731" t="s">
        <v>27252</v>
      </c>
      <c r="Q731" s="1">
        <v>44538</v>
      </c>
      <c r="R731" t="s">
        <v>27253</v>
      </c>
      <c r="S731" t="s">
        <v>27254</v>
      </c>
      <c r="T731" t="s">
        <v>27255</v>
      </c>
    </row>
    <row r="732" spans="1:20" x14ac:dyDescent="0.3">
      <c r="A732" t="str">
        <f>"0611884002025"</f>
        <v>0611884002025</v>
      </c>
      <c r="B732" t="str">
        <f>"MC4455"</f>
        <v>MC4455</v>
      </c>
      <c r="C732" t="s">
        <v>28669</v>
      </c>
      <c r="D732" t="s">
        <v>27267</v>
      </c>
      <c r="E732" t="str">
        <f t="shared" si="11"/>
        <v>001390</v>
      </c>
      <c r="F732" t="s">
        <v>27246</v>
      </c>
      <c r="G732" t="s">
        <v>27247</v>
      </c>
      <c r="H732" t="s">
        <v>27248</v>
      </c>
      <c r="I732" t="s">
        <v>28671</v>
      </c>
      <c r="J732" t="s">
        <v>1472</v>
      </c>
      <c r="L732" t="s">
        <v>27430</v>
      </c>
      <c r="M732" t="s">
        <v>27251</v>
      </c>
      <c r="N732" t="s">
        <v>27252</v>
      </c>
      <c r="Q732" s="1">
        <v>45250</v>
      </c>
      <c r="R732" t="s">
        <v>27253</v>
      </c>
      <c r="S732" t="s">
        <v>27254</v>
      </c>
      <c r="T732" t="s">
        <v>27269</v>
      </c>
    </row>
    <row r="733" spans="1:20" x14ac:dyDescent="0.3">
      <c r="A733" t="str">
        <f>"0611836989100"</f>
        <v>0611836989100</v>
      </c>
      <c r="B733" t="str">
        <f>"LC0001"</f>
        <v>LC0001</v>
      </c>
      <c r="C733" t="s">
        <v>28672</v>
      </c>
      <c r="D733" t="s">
        <v>27245</v>
      </c>
      <c r="E733" t="str">
        <f t="shared" si="11"/>
        <v>001390</v>
      </c>
      <c r="F733" t="s">
        <v>27246</v>
      </c>
      <c r="G733" t="s">
        <v>27247</v>
      </c>
      <c r="H733" t="s">
        <v>27248</v>
      </c>
      <c r="I733" t="s">
        <v>28673</v>
      </c>
      <c r="J733" t="s">
        <v>1474</v>
      </c>
      <c r="L733" t="s">
        <v>27250</v>
      </c>
      <c r="M733" t="s">
        <v>27251</v>
      </c>
      <c r="N733" t="s">
        <v>27252</v>
      </c>
      <c r="Q733" s="1">
        <v>44538</v>
      </c>
      <c r="R733" t="s">
        <v>27253</v>
      </c>
      <c r="S733" t="s">
        <v>27254</v>
      </c>
      <c r="T733" t="s">
        <v>27255</v>
      </c>
    </row>
    <row r="734" spans="1:20" x14ac:dyDescent="0.3">
      <c r="A734" t="str">
        <f>"0611836990100"</f>
        <v>0611836990100</v>
      </c>
      <c r="B734" t="str">
        <f>"LC3396"</f>
        <v>LC3396</v>
      </c>
      <c r="C734" t="s">
        <v>28674</v>
      </c>
      <c r="D734" t="s">
        <v>27245</v>
      </c>
      <c r="E734" t="str">
        <f t="shared" si="11"/>
        <v>001390</v>
      </c>
      <c r="F734" t="s">
        <v>27246</v>
      </c>
      <c r="G734" t="s">
        <v>27247</v>
      </c>
      <c r="H734" t="s">
        <v>27248</v>
      </c>
      <c r="I734" t="s">
        <v>28675</v>
      </c>
      <c r="J734" t="s">
        <v>1476</v>
      </c>
      <c r="L734" t="s">
        <v>27250</v>
      </c>
      <c r="M734" t="s">
        <v>27251</v>
      </c>
      <c r="N734" t="s">
        <v>27252</v>
      </c>
      <c r="Q734" s="1">
        <v>44538</v>
      </c>
      <c r="R734" t="s">
        <v>27253</v>
      </c>
      <c r="S734" t="s">
        <v>27254</v>
      </c>
      <c r="T734" t="s">
        <v>27255</v>
      </c>
    </row>
    <row r="735" spans="1:20" x14ac:dyDescent="0.3">
      <c r="A735" t="str">
        <f>"0611884003025"</f>
        <v>0611884003025</v>
      </c>
      <c r="B735" t="str">
        <f>"MC4456"</f>
        <v>MC4456</v>
      </c>
      <c r="C735" t="s">
        <v>28674</v>
      </c>
      <c r="D735" t="s">
        <v>27267</v>
      </c>
      <c r="E735" t="str">
        <f t="shared" si="11"/>
        <v>001390</v>
      </c>
      <c r="F735" t="s">
        <v>27246</v>
      </c>
      <c r="G735" t="s">
        <v>27247</v>
      </c>
      <c r="H735" t="s">
        <v>27248</v>
      </c>
      <c r="I735" t="s">
        <v>28676</v>
      </c>
      <c r="J735" t="s">
        <v>1478</v>
      </c>
      <c r="L735" t="s">
        <v>27430</v>
      </c>
      <c r="M735" t="s">
        <v>27251</v>
      </c>
      <c r="N735" t="s">
        <v>27252</v>
      </c>
      <c r="Q735" s="1">
        <v>45250</v>
      </c>
      <c r="R735" t="s">
        <v>27253</v>
      </c>
      <c r="S735" t="s">
        <v>27254</v>
      </c>
      <c r="T735" t="s">
        <v>27269</v>
      </c>
    </row>
    <row r="736" spans="1:20" x14ac:dyDescent="0.3">
      <c r="A736" t="str">
        <f>"0611856970100"</f>
        <v>0611856970100</v>
      </c>
      <c r="B736" t="str">
        <f>"LC3410"</f>
        <v>LC3410</v>
      </c>
      <c r="C736" t="s">
        <v>28677</v>
      </c>
      <c r="D736" t="s">
        <v>27245</v>
      </c>
      <c r="E736" t="str">
        <f t="shared" si="11"/>
        <v>001390</v>
      </c>
      <c r="F736" t="s">
        <v>27246</v>
      </c>
      <c r="G736" t="s">
        <v>27247</v>
      </c>
      <c r="H736" t="s">
        <v>27248</v>
      </c>
      <c r="I736" t="s">
        <v>28678</v>
      </c>
      <c r="J736" t="s">
        <v>1480</v>
      </c>
      <c r="L736" t="s">
        <v>27250</v>
      </c>
      <c r="M736" t="s">
        <v>27251</v>
      </c>
      <c r="N736" t="s">
        <v>27252</v>
      </c>
      <c r="Q736" s="1">
        <v>44812</v>
      </c>
      <c r="R736" t="s">
        <v>27253</v>
      </c>
      <c r="S736" t="s">
        <v>27254</v>
      </c>
      <c r="T736" t="s">
        <v>27255</v>
      </c>
    </row>
    <row r="737" spans="1:20" x14ac:dyDescent="0.3">
      <c r="A737" t="str">
        <f>"0611835016100"</f>
        <v>0611835016100</v>
      </c>
      <c r="B737" t="str">
        <f>"LC5223"</f>
        <v>LC5223</v>
      </c>
      <c r="C737" t="s">
        <v>28679</v>
      </c>
      <c r="D737" t="s">
        <v>27245</v>
      </c>
      <c r="E737" t="str">
        <f t="shared" si="11"/>
        <v>001390</v>
      </c>
      <c r="F737" t="s">
        <v>27246</v>
      </c>
      <c r="G737" t="s">
        <v>27247</v>
      </c>
      <c r="H737" t="s">
        <v>27248</v>
      </c>
      <c r="I737" t="s">
        <v>28680</v>
      </c>
      <c r="J737" t="s">
        <v>1482</v>
      </c>
      <c r="L737" t="s">
        <v>27250</v>
      </c>
      <c r="M737" t="s">
        <v>27251</v>
      </c>
      <c r="N737" t="s">
        <v>27252</v>
      </c>
      <c r="Q737" s="1">
        <v>44538</v>
      </c>
      <c r="R737" t="s">
        <v>27253</v>
      </c>
      <c r="S737" t="s">
        <v>27254</v>
      </c>
      <c r="T737" t="s">
        <v>27255</v>
      </c>
    </row>
    <row r="738" spans="1:20" x14ac:dyDescent="0.3">
      <c r="A738" t="str">
        <f>"0611835017100"</f>
        <v>0611835017100</v>
      </c>
      <c r="B738" t="str">
        <f>"LC5224"</f>
        <v>LC5224</v>
      </c>
      <c r="C738" t="s">
        <v>28681</v>
      </c>
      <c r="D738" t="s">
        <v>27245</v>
      </c>
      <c r="E738" t="str">
        <f t="shared" si="11"/>
        <v>001390</v>
      </c>
      <c r="F738" t="s">
        <v>27246</v>
      </c>
      <c r="G738" t="s">
        <v>27247</v>
      </c>
      <c r="H738" t="s">
        <v>27248</v>
      </c>
      <c r="I738" t="s">
        <v>28682</v>
      </c>
      <c r="J738" t="s">
        <v>1484</v>
      </c>
      <c r="L738" t="s">
        <v>27250</v>
      </c>
      <c r="M738" t="s">
        <v>27251</v>
      </c>
      <c r="N738" t="s">
        <v>27252</v>
      </c>
      <c r="Q738" s="1">
        <v>44538</v>
      </c>
      <c r="R738" t="s">
        <v>27253</v>
      </c>
      <c r="S738" t="s">
        <v>27254</v>
      </c>
      <c r="T738" t="s">
        <v>27255</v>
      </c>
    </row>
    <row r="739" spans="1:20" x14ac:dyDescent="0.3">
      <c r="A739" t="str">
        <f>"0611836997100"</f>
        <v>0611836997100</v>
      </c>
      <c r="B739" t="str">
        <f>"LC9612"</f>
        <v>LC9612</v>
      </c>
      <c r="C739" t="s">
        <v>28683</v>
      </c>
      <c r="D739" t="s">
        <v>27245</v>
      </c>
      <c r="E739" t="str">
        <f t="shared" si="11"/>
        <v>001390</v>
      </c>
      <c r="F739" t="s">
        <v>27246</v>
      </c>
      <c r="G739" t="s">
        <v>27247</v>
      </c>
      <c r="H739" t="s">
        <v>27248</v>
      </c>
      <c r="I739" t="s">
        <v>28684</v>
      </c>
      <c r="J739" t="s">
        <v>1486</v>
      </c>
      <c r="L739" t="s">
        <v>27250</v>
      </c>
      <c r="M739" t="s">
        <v>27251</v>
      </c>
      <c r="N739" t="s">
        <v>27252</v>
      </c>
      <c r="Q739" s="1">
        <v>44538</v>
      </c>
      <c r="R739" t="s">
        <v>27253</v>
      </c>
      <c r="S739" t="s">
        <v>27254</v>
      </c>
      <c r="T739" t="s">
        <v>27255</v>
      </c>
    </row>
    <row r="740" spans="1:20" x14ac:dyDescent="0.3">
      <c r="A740" t="str">
        <f>"0611836998025"</f>
        <v>0611836998025</v>
      </c>
      <c r="B740" t="str">
        <f>"MC2627"</f>
        <v>MC2627</v>
      </c>
      <c r="C740" t="s">
        <v>28683</v>
      </c>
      <c r="D740" t="s">
        <v>27267</v>
      </c>
      <c r="E740" t="str">
        <f t="shared" si="11"/>
        <v>001390</v>
      </c>
      <c r="F740" t="s">
        <v>27246</v>
      </c>
      <c r="G740" t="s">
        <v>27247</v>
      </c>
      <c r="H740" t="s">
        <v>27248</v>
      </c>
      <c r="I740" t="s">
        <v>28685</v>
      </c>
      <c r="J740" t="s">
        <v>1488</v>
      </c>
      <c r="L740" t="s">
        <v>27250</v>
      </c>
      <c r="M740" t="s">
        <v>27251</v>
      </c>
      <c r="N740" t="s">
        <v>27252</v>
      </c>
      <c r="Q740" s="1">
        <v>44538</v>
      </c>
      <c r="R740" t="s">
        <v>27253</v>
      </c>
      <c r="S740" t="s">
        <v>27254</v>
      </c>
      <c r="T740" t="s">
        <v>27269</v>
      </c>
    </row>
    <row r="741" spans="1:20" x14ac:dyDescent="0.3">
      <c r="A741" t="str">
        <f>"0611836992100"</f>
        <v>0611836992100</v>
      </c>
      <c r="B741" t="str">
        <f>"LC5202"</f>
        <v>LC5202</v>
      </c>
      <c r="C741" t="s">
        <v>28686</v>
      </c>
      <c r="D741" t="s">
        <v>27245</v>
      </c>
      <c r="E741" t="str">
        <f t="shared" si="11"/>
        <v>001390</v>
      </c>
      <c r="F741" t="s">
        <v>27246</v>
      </c>
      <c r="G741" t="s">
        <v>27247</v>
      </c>
      <c r="H741" t="s">
        <v>27248</v>
      </c>
      <c r="I741" t="s">
        <v>28687</v>
      </c>
      <c r="J741" t="s">
        <v>1490</v>
      </c>
      <c r="L741" t="s">
        <v>27250</v>
      </c>
      <c r="M741" t="s">
        <v>27251</v>
      </c>
      <c r="N741" t="s">
        <v>27252</v>
      </c>
      <c r="Q741" s="1">
        <v>44538</v>
      </c>
      <c r="R741" t="s">
        <v>27253</v>
      </c>
      <c r="S741" t="s">
        <v>27254</v>
      </c>
      <c r="T741" t="s">
        <v>27255</v>
      </c>
    </row>
    <row r="742" spans="1:20" x14ac:dyDescent="0.3">
      <c r="A742" t="str">
        <f>"0611836993200"</f>
        <v>0611836993200</v>
      </c>
      <c r="B742" t="str">
        <f>"KP5206"</f>
        <v>KP5206</v>
      </c>
      <c r="C742" t="s">
        <v>28686</v>
      </c>
      <c r="D742" t="s">
        <v>27682</v>
      </c>
      <c r="E742" t="str">
        <f t="shared" si="11"/>
        <v>001390</v>
      </c>
      <c r="F742" t="s">
        <v>27246</v>
      </c>
      <c r="G742" t="s">
        <v>27247</v>
      </c>
      <c r="H742" t="s">
        <v>27248</v>
      </c>
      <c r="I742" t="s">
        <v>28688</v>
      </c>
      <c r="J742" t="s">
        <v>1492</v>
      </c>
      <c r="L742" t="s">
        <v>27250</v>
      </c>
      <c r="M742" t="s">
        <v>27251</v>
      </c>
      <c r="N742" t="s">
        <v>27252</v>
      </c>
      <c r="Q742" s="1">
        <v>44538</v>
      </c>
      <c r="R742" t="s">
        <v>27253</v>
      </c>
      <c r="S742" t="s">
        <v>27254</v>
      </c>
      <c r="T742" t="s">
        <v>27684</v>
      </c>
    </row>
    <row r="743" spans="1:20" x14ac:dyDescent="0.3">
      <c r="A743" t="str">
        <f>"0611836994025"</f>
        <v>0611836994025</v>
      </c>
      <c r="B743" t="str">
        <f>"MC0765"</f>
        <v>MC0765</v>
      </c>
      <c r="C743" t="s">
        <v>28686</v>
      </c>
      <c r="D743" t="s">
        <v>27267</v>
      </c>
      <c r="E743" t="str">
        <f t="shared" si="11"/>
        <v>001390</v>
      </c>
      <c r="F743" t="s">
        <v>27246</v>
      </c>
      <c r="G743" t="s">
        <v>27247</v>
      </c>
      <c r="H743" t="s">
        <v>27248</v>
      </c>
      <c r="I743" t="s">
        <v>28689</v>
      </c>
      <c r="J743" t="s">
        <v>1494</v>
      </c>
      <c r="L743" t="s">
        <v>27250</v>
      </c>
      <c r="M743" t="s">
        <v>27251</v>
      </c>
      <c r="N743" t="s">
        <v>27252</v>
      </c>
      <c r="Q743" s="1">
        <v>44538</v>
      </c>
      <c r="R743" t="s">
        <v>27253</v>
      </c>
      <c r="S743" t="s">
        <v>27254</v>
      </c>
      <c r="T743" t="s">
        <v>27269</v>
      </c>
    </row>
    <row r="744" spans="1:20" x14ac:dyDescent="0.3">
      <c r="A744" t="str">
        <f>"0611836995100"</f>
        <v>0611836995100</v>
      </c>
      <c r="B744" t="str">
        <f>"LC3382"</f>
        <v>LC3382</v>
      </c>
      <c r="C744" t="s">
        <v>28690</v>
      </c>
      <c r="D744" t="s">
        <v>27245</v>
      </c>
      <c r="E744" t="str">
        <f t="shared" si="11"/>
        <v>001390</v>
      </c>
      <c r="F744" t="s">
        <v>27246</v>
      </c>
      <c r="G744" t="s">
        <v>27247</v>
      </c>
      <c r="H744" t="s">
        <v>27248</v>
      </c>
      <c r="I744" t="s">
        <v>28691</v>
      </c>
      <c r="J744" t="s">
        <v>1496</v>
      </c>
      <c r="L744" t="s">
        <v>27250</v>
      </c>
      <c r="M744" t="s">
        <v>27251</v>
      </c>
      <c r="N744" t="s">
        <v>27252</v>
      </c>
      <c r="Q744" s="1">
        <v>44538</v>
      </c>
      <c r="R744" t="s">
        <v>27253</v>
      </c>
      <c r="S744" t="s">
        <v>27254</v>
      </c>
      <c r="T744" t="s">
        <v>27255</v>
      </c>
    </row>
    <row r="745" spans="1:20" x14ac:dyDescent="0.3">
      <c r="A745" t="str">
        <f>"0611835018100"</f>
        <v>0611835018100</v>
      </c>
      <c r="B745" t="str">
        <f>"LC5205"</f>
        <v>LC5205</v>
      </c>
      <c r="C745" t="s">
        <v>28692</v>
      </c>
      <c r="D745" t="s">
        <v>27245</v>
      </c>
      <c r="E745" t="str">
        <f t="shared" si="11"/>
        <v>001390</v>
      </c>
      <c r="F745" t="s">
        <v>27246</v>
      </c>
      <c r="G745" t="s">
        <v>27247</v>
      </c>
      <c r="H745" t="s">
        <v>27248</v>
      </c>
      <c r="I745" t="s">
        <v>28693</v>
      </c>
      <c r="J745" t="s">
        <v>1498</v>
      </c>
      <c r="L745" t="s">
        <v>27250</v>
      </c>
      <c r="M745" t="s">
        <v>27251</v>
      </c>
      <c r="N745" t="s">
        <v>27252</v>
      </c>
      <c r="Q745" s="1">
        <v>44538</v>
      </c>
      <c r="R745" t="s">
        <v>27253</v>
      </c>
      <c r="S745" t="s">
        <v>27254</v>
      </c>
      <c r="T745" t="s">
        <v>27255</v>
      </c>
    </row>
    <row r="746" spans="1:20" x14ac:dyDescent="0.3">
      <c r="A746" t="str">
        <f>"0611836999100"</f>
        <v>0611836999100</v>
      </c>
      <c r="B746" t="str">
        <f>"LC5206"</f>
        <v>LC5206</v>
      </c>
      <c r="C746" t="s">
        <v>28694</v>
      </c>
      <c r="D746" t="s">
        <v>27245</v>
      </c>
      <c r="E746" t="str">
        <f t="shared" si="11"/>
        <v>001390</v>
      </c>
      <c r="F746" t="s">
        <v>27246</v>
      </c>
      <c r="G746" t="s">
        <v>27247</v>
      </c>
      <c r="H746" t="s">
        <v>27248</v>
      </c>
      <c r="I746" t="s">
        <v>28695</v>
      </c>
      <c r="J746" t="s">
        <v>1500</v>
      </c>
      <c r="L746" t="s">
        <v>27250</v>
      </c>
      <c r="M746" t="s">
        <v>27251</v>
      </c>
      <c r="N746" t="s">
        <v>27252</v>
      </c>
      <c r="Q746" s="1">
        <v>44538</v>
      </c>
      <c r="R746" t="s">
        <v>27253</v>
      </c>
      <c r="S746" t="s">
        <v>27254</v>
      </c>
      <c r="T746" t="s">
        <v>27255</v>
      </c>
    </row>
    <row r="747" spans="1:20" x14ac:dyDescent="0.3">
      <c r="A747" t="str">
        <f>"0611837000200"</f>
        <v>0611837000200</v>
      </c>
      <c r="B747" t="str">
        <f>"KP5199"</f>
        <v>KP5199</v>
      </c>
      <c r="C747" t="s">
        <v>28694</v>
      </c>
      <c r="D747" t="s">
        <v>27682</v>
      </c>
      <c r="E747" t="str">
        <f t="shared" si="11"/>
        <v>001390</v>
      </c>
      <c r="F747" t="s">
        <v>27246</v>
      </c>
      <c r="G747" t="s">
        <v>27247</v>
      </c>
      <c r="H747" t="s">
        <v>27248</v>
      </c>
      <c r="I747" t="s">
        <v>28696</v>
      </c>
      <c r="J747" t="s">
        <v>1502</v>
      </c>
      <c r="L747" t="s">
        <v>27250</v>
      </c>
      <c r="M747" t="s">
        <v>27251</v>
      </c>
      <c r="N747" t="s">
        <v>27252</v>
      </c>
      <c r="Q747" s="1">
        <v>44538</v>
      </c>
      <c r="R747" t="s">
        <v>27253</v>
      </c>
      <c r="S747" t="s">
        <v>27254</v>
      </c>
      <c r="T747" t="s">
        <v>27684</v>
      </c>
    </row>
    <row r="748" spans="1:20" x14ac:dyDescent="0.3">
      <c r="A748" t="str">
        <f>"0611837001025"</f>
        <v>0611837001025</v>
      </c>
      <c r="B748" t="str">
        <f>"MC0767"</f>
        <v>MC0767</v>
      </c>
      <c r="C748" t="s">
        <v>28694</v>
      </c>
      <c r="D748" t="s">
        <v>27267</v>
      </c>
      <c r="E748" t="str">
        <f t="shared" si="11"/>
        <v>001390</v>
      </c>
      <c r="F748" t="s">
        <v>27246</v>
      </c>
      <c r="G748" t="s">
        <v>27247</v>
      </c>
      <c r="H748" t="s">
        <v>27248</v>
      </c>
      <c r="I748" t="s">
        <v>28697</v>
      </c>
      <c r="J748" t="s">
        <v>1504</v>
      </c>
      <c r="L748" t="s">
        <v>27250</v>
      </c>
      <c r="M748" t="s">
        <v>27251</v>
      </c>
      <c r="N748" t="s">
        <v>27252</v>
      </c>
      <c r="Q748" s="1">
        <v>44538</v>
      </c>
      <c r="R748" t="s">
        <v>27253</v>
      </c>
      <c r="S748" t="s">
        <v>27254</v>
      </c>
      <c r="T748" t="s">
        <v>27269</v>
      </c>
    </row>
    <row r="749" spans="1:20" x14ac:dyDescent="0.3">
      <c r="A749" t="str">
        <f>"0611884004025"</f>
        <v>0611884004025</v>
      </c>
      <c r="B749" t="str">
        <f>"MC4457"</f>
        <v>MC4457</v>
      </c>
      <c r="C749" t="s">
        <v>28698</v>
      </c>
      <c r="D749" t="s">
        <v>27267</v>
      </c>
      <c r="E749" t="str">
        <f t="shared" si="11"/>
        <v>001390</v>
      </c>
      <c r="F749" t="s">
        <v>27246</v>
      </c>
      <c r="G749" t="s">
        <v>27247</v>
      </c>
      <c r="H749" t="s">
        <v>27248</v>
      </c>
      <c r="I749" t="s">
        <v>28699</v>
      </c>
      <c r="J749" t="s">
        <v>1506</v>
      </c>
      <c r="L749" t="s">
        <v>27430</v>
      </c>
      <c r="M749" t="s">
        <v>27251</v>
      </c>
      <c r="N749" t="s">
        <v>27252</v>
      </c>
      <c r="Q749" s="1">
        <v>45250</v>
      </c>
      <c r="R749" t="s">
        <v>27253</v>
      </c>
      <c r="S749" t="s">
        <v>27254</v>
      </c>
      <c r="T749" t="s">
        <v>27269</v>
      </c>
    </row>
    <row r="750" spans="1:20" x14ac:dyDescent="0.3">
      <c r="A750" t="str">
        <f>"0611837002025"</f>
        <v>0611837002025</v>
      </c>
      <c r="B750" t="str">
        <f>"MC2324"</f>
        <v>MC2324</v>
      </c>
      <c r="C750" t="s">
        <v>28700</v>
      </c>
      <c r="D750" t="s">
        <v>27267</v>
      </c>
      <c r="E750" t="str">
        <f t="shared" si="11"/>
        <v>001390</v>
      </c>
      <c r="F750" t="s">
        <v>27246</v>
      </c>
      <c r="G750" t="s">
        <v>27247</v>
      </c>
      <c r="H750" t="s">
        <v>27248</v>
      </c>
      <c r="I750" t="s">
        <v>28701</v>
      </c>
      <c r="J750" t="s">
        <v>1508</v>
      </c>
      <c r="L750" t="s">
        <v>27250</v>
      </c>
      <c r="M750" t="s">
        <v>27251</v>
      </c>
      <c r="N750" t="s">
        <v>27252</v>
      </c>
      <c r="Q750" s="1">
        <v>44538</v>
      </c>
      <c r="R750" t="s">
        <v>27253</v>
      </c>
      <c r="S750" t="s">
        <v>27254</v>
      </c>
      <c r="T750" t="s">
        <v>27269</v>
      </c>
    </row>
    <row r="751" spans="1:20" x14ac:dyDescent="0.3">
      <c r="A751" t="str">
        <f>"0611837003100"</f>
        <v>0611837003100</v>
      </c>
      <c r="B751" t="str">
        <f>"LC5207"</f>
        <v>LC5207</v>
      </c>
      <c r="C751" t="s">
        <v>28702</v>
      </c>
      <c r="D751" t="s">
        <v>27245</v>
      </c>
      <c r="E751" t="str">
        <f t="shared" si="11"/>
        <v>001390</v>
      </c>
      <c r="F751" t="s">
        <v>27246</v>
      </c>
      <c r="G751" t="s">
        <v>27247</v>
      </c>
      <c r="H751" t="s">
        <v>27248</v>
      </c>
      <c r="I751" t="s">
        <v>28703</v>
      </c>
      <c r="J751" t="s">
        <v>1510</v>
      </c>
      <c r="L751" t="s">
        <v>27250</v>
      </c>
      <c r="M751" t="s">
        <v>27251</v>
      </c>
      <c r="N751" t="s">
        <v>27252</v>
      </c>
      <c r="Q751" s="1">
        <v>44538</v>
      </c>
      <c r="R751" t="s">
        <v>27253</v>
      </c>
      <c r="S751" t="s">
        <v>27254</v>
      </c>
      <c r="T751" t="s">
        <v>27255</v>
      </c>
    </row>
    <row r="752" spans="1:20" x14ac:dyDescent="0.3">
      <c r="A752" t="str">
        <f>"0611837004025"</f>
        <v>0611837004025</v>
      </c>
      <c r="B752" t="str">
        <f>"MC0768"</f>
        <v>MC0768</v>
      </c>
      <c r="C752" t="s">
        <v>28702</v>
      </c>
      <c r="D752" t="s">
        <v>27267</v>
      </c>
      <c r="E752" t="str">
        <f t="shared" si="11"/>
        <v>001390</v>
      </c>
      <c r="F752" t="s">
        <v>27246</v>
      </c>
      <c r="G752" t="s">
        <v>27247</v>
      </c>
      <c r="H752" t="s">
        <v>27248</v>
      </c>
      <c r="I752" t="s">
        <v>28704</v>
      </c>
      <c r="J752" t="s">
        <v>1512</v>
      </c>
      <c r="L752" t="s">
        <v>27250</v>
      </c>
      <c r="M752" t="s">
        <v>27251</v>
      </c>
      <c r="N752" t="s">
        <v>27252</v>
      </c>
      <c r="Q752" s="1">
        <v>44538</v>
      </c>
      <c r="R752" t="s">
        <v>27253</v>
      </c>
      <c r="S752" t="s">
        <v>27254</v>
      </c>
      <c r="T752" t="s">
        <v>27269</v>
      </c>
    </row>
    <row r="753" spans="1:20" x14ac:dyDescent="0.3">
      <c r="A753" t="str">
        <f>"0611837005100"</f>
        <v>0611837005100</v>
      </c>
      <c r="B753" t="str">
        <f>"LC5208"</f>
        <v>LC5208</v>
      </c>
      <c r="C753" t="s">
        <v>28705</v>
      </c>
      <c r="D753" t="s">
        <v>27245</v>
      </c>
      <c r="E753" t="str">
        <f t="shared" si="11"/>
        <v>001390</v>
      </c>
      <c r="F753" t="s">
        <v>27246</v>
      </c>
      <c r="G753" t="s">
        <v>27247</v>
      </c>
      <c r="H753" t="s">
        <v>27248</v>
      </c>
      <c r="I753" t="s">
        <v>28706</v>
      </c>
      <c r="J753" t="s">
        <v>1514</v>
      </c>
      <c r="L753" t="s">
        <v>27250</v>
      </c>
      <c r="M753" t="s">
        <v>27251</v>
      </c>
      <c r="N753" t="s">
        <v>27252</v>
      </c>
      <c r="Q753" s="1">
        <v>44538</v>
      </c>
      <c r="R753" t="s">
        <v>27253</v>
      </c>
      <c r="S753" t="s">
        <v>27254</v>
      </c>
      <c r="T753" t="s">
        <v>27255</v>
      </c>
    </row>
    <row r="754" spans="1:20" x14ac:dyDescent="0.3">
      <c r="A754" t="str">
        <f>"0611837006100"</f>
        <v>0611837006100</v>
      </c>
      <c r="B754" t="str">
        <f>"LC5209"</f>
        <v>LC5209</v>
      </c>
      <c r="C754" t="s">
        <v>28707</v>
      </c>
      <c r="D754" t="s">
        <v>27245</v>
      </c>
      <c r="E754" t="str">
        <f t="shared" si="11"/>
        <v>001390</v>
      </c>
      <c r="F754" t="s">
        <v>27246</v>
      </c>
      <c r="G754" t="s">
        <v>27247</v>
      </c>
      <c r="H754" t="s">
        <v>27248</v>
      </c>
      <c r="I754" t="s">
        <v>28708</v>
      </c>
      <c r="J754" t="s">
        <v>1516</v>
      </c>
      <c r="L754" t="s">
        <v>27250</v>
      </c>
      <c r="M754" t="s">
        <v>27251</v>
      </c>
      <c r="N754" t="s">
        <v>27252</v>
      </c>
      <c r="Q754" s="1">
        <v>44538</v>
      </c>
      <c r="R754" t="s">
        <v>27253</v>
      </c>
      <c r="S754" t="s">
        <v>27254</v>
      </c>
      <c r="T754" t="s">
        <v>27255</v>
      </c>
    </row>
    <row r="755" spans="1:20" x14ac:dyDescent="0.3">
      <c r="A755" t="str">
        <f>"0611837007100"</f>
        <v>0611837007100</v>
      </c>
      <c r="B755" t="str">
        <f>"LC5219"</f>
        <v>LC5219</v>
      </c>
      <c r="C755" t="s">
        <v>28709</v>
      </c>
      <c r="D755" t="s">
        <v>27245</v>
      </c>
      <c r="E755" t="str">
        <f t="shared" si="11"/>
        <v>001390</v>
      </c>
      <c r="F755" t="s">
        <v>27246</v>
      </c>
      <c r="G755" t="s">
        <v>27247</v>
      </c>
      <c r="H755" t="s">
        <v>27248</v>
      </c>
      <c r="I755" t="s">
        <v>28710</v>
      </c>
      <c r="J755" t="s">
        <v>1518</v>
      </c>
      <c r="L755" t="s">
        <v>27250</v>
      </c>
      <c r="M755" t="s">
        <v>27251</v>
      </c>
      <c r="N755" t="s">
        <v>27252</v>
      </c>
      <c r="Q755" s="1">
        <v>44538</v>
      </c>
      <c r="R755" t="s">
        <v>27253</v>
      </c>
      <c r="S755" t="s">
        <v>27254</v>
      </c>
      <c r="T755" t="s">
        <v>27255</v>
      </c>
    </row>
    <row r="756" spans="1:20" x14ac:dyDescent="0.3">
      <c r="A756" t="str">
        <f>"0611837008100"</f>
        <v>0611837008100</v>
      </c>
      <c r="B756" t="str">
        <f>"LC5226"</f>
        <v>LC5226</v>
      </c>
      <c r="C756" t="s">
        <v>28711</v>
      </c>
      <c r="D756" t="s">
        <v>27245</v>
      </c>
      <c r="E756" t="str">
        <f t="shared" si="11"/>
        <v>001390</v>
      </c>
      <c r="F756" t="s">
        <v>27246</v>
      </c>
      <c r="G756" t="s">
        <v>27247</v>
      </c>
      <c r="H756" t="s">
        <v>27248</v>
      </c>
      <c r="I756" t="s">
        <v>28712</v>
      </c>
      <c r="J756" t="s">
        <v>1520</v>
      </c>
      <c r="L756" t="s">
        <v>27250</v>
      </c>
      <c r="M756" t="s">
        <v>27251</v>
      </c>
      <c r="N756" t="s">
        <v>27252</v>
      </c>
      <c r="Q756" s="1">
        <v>44538</v>
      </c>
      <c r="R756" t="s">
        <v>27253</v>
      </c>
      <c r="S756" t="s">
        <v>27254</v>
      </c>
      <c r="T756" t="s">
        <v>27255</v>
      </c>
    </row>
    <row r="757" spans="1:20" x14ac:dyDescent="0.3">
      <c r="A757" t="str">
        <f>"0611837009100"</f>
        <v>0611837009100</v>
      </c>
      <c r="B757" t="str">
        <f>"LC5222"</f>
        <v>LC5222</v>
      </c>
      <c r="C757" t="s">
        <v>28713</v>
      </c>
      <c r="D757" t="s">
        <v>27245</v>
      </c>
      <c r="E757" t="str">
        <f t="shared" si="11"/>
        <v>001390</v>
      </c>
      <c r="F757" t="s">
        <v>27246</v>
      </c>
      <c r="G757" t="s">
        <v>27247</v>
      </c>
      <c r="H757" t="s">
        <v>27248</v>
      </c>
      <c r="I757" t="s">
        <v>28714</v>
      </c>
      <c r="J757" t="s">
        <v>1522</v>
      </c>
      <c r="L757" t="s">
        <v>27250</v>
      </c>
      <c r="M757" t="s">
        <v>27251</v>
      </c>
      <c r="N757" t="s">
        <v>27252</v>
      </c>
      <c r="Q757" s="1">
        <v>44538</v>
      </c>
      <c r="R757" t="s">
        <v>27253</v>
      </c>
      <c r="S757" t="s">
        <v>27254</v>
      </c>
      <c r="T757" t="s">
        <v>27255</v>
      </c>
    </row>
    <row r="758" spans="1:20" x14ac:dyDescent="0.3">
      <c r="A758" t="str">
        <f>"0611835019100"</f>
        <v>0611835019100</v>
      </c>
      <c r="B758" t="str">
        <f>"LC3383"</f>
        <v>LC3383</v>
      </c>
      <c r="C758" t="s">
        <v>28715</v>
      </c>
      <c r="D758" t="s">
        <v>27245</v>
      </c>
      <c r="E758" t="str">
        <f t="shared" si="11"/>
        <v>001390</v>
      </c>
      <c r="F758" t="s">
        <v>27246</v>
      </c>
      <c r="G758" t="s">
        <v>27247</v>
      </c>
      <c r="H758" t="s">
        <v>27248</v>
      </c>
      <c r="I758" t="s">
        <v>28716</v>
      </c>
      <c r="J758" t="s">
        <v>1524</v>
      </c>
      <c r="L758" t="s">
        <v>27250</v>
      </c>
      <c r="M758" t="s">
        <v>27251</v>
      </c>
      <c r="N758" t="s">
        <v>27252</v>
      </c>
      <c r="Q758" s="1">
        <v>44538</v>
      </c>
      <c r="R758" t="s">
        <v>27253</v>
      </c>
      <c r="S758" t="s">
        <v>27254</v>
      </c>
      <c r="T758" t="s">
        <v>27255</v>
      </c>
    </row>
    <row r="759" spans="1:20" x14ac:dyDescent="0.3">
      <c r="A759" t="str">
        <f>"0611884005025"</f>
        <v>0611884005025</v>
      </c>
      <c r="B759" t="str">
        <f>"MC4458"</f>
        <v>MC4458</v>
      </c>
      <c r="C759" t="s">
        <v>28715</v>
      </c>
      <c r="D759" t="s">
        <v>27267</v>
      </c>
      <c r="E759" t="str">
        <f t="shared" si="11"/>
        <v>001390</v>
      </c>
      <c r="F759" t="s">
        <v>27246</v>
      </c>
      <c r="G759" t="s">
        <v>27247</v>
      </c>
      <c r="H759" t="s">
        <v>27248</v>
      </c>
      <c r="I759" t="s">
        <v>28717</v>
      </c>
      <c r="J759" t="s">
        <v>1526</v>
      </c>
      <c r="L759" t="s">
        <v>27430</v>
      </c>
      <c r="M759" t="s">
        <v>27251</v>
      </c>
      <c r="N759" t="s">
        <v>27252</v>
      </c>
      <c r="Q759" s="1">
        <v>45250</v>
      </c>
      <c r="R759" t="s">
        <v>27253</v>
      </c>
      <c r="S759" t="s">
        <v>27254</v>
      </c>
      <c r="T759" t="s">
        <v>27269</v>
      </c>
    </row>
    <row r="760" spans="1:20" x14ac:dyDescent="0.3">
      <c r="A760" t="str">
        <f>"0611837010100"</f>
        <v>0611837010100</v>
      </c>
      <c r="B760" t="str">
        <f>"LC3384"</f>
        <v>LC3384</v>
      </c>
      <c r="C760" t="s">
        <v>28718</v>
      </c>
      <c r="D760" t="s">
        <v>27245</v>
      </c>
      <c r="E760" t="str">
        <f t="shared" si="11"/>
        <v>001390</v>
      </c>
      <c r="F760" t="s">
        <v>27246</v>
      </c>
      <c r="G760" t="s">
        <v>27247</v>
      </c>
      <c r="H760" t="s">
        <v>27248</v>
      </c>
      <c r="I760" t="s">
        <v>28719</v>
      </c>
      <c r="J760" t="s">
        <v>1528</v>
      </c>
      <c r="L760" t="s">
        <v>27250</v>
      </c>
      <c r="M760" t="s">
        <v>27251</v>
      </c>
      <c r="N760" t="s">
        <v>27252</v>
      </c>
      <c r="Q760" s="1">
        <v>44538</v>
      </c>
      <c r="R760" t="s">
        <v>27253</v>
      </c>
      <c r="S760" t="s">
        <v>27254</v>
      </c>
      <c r="T760" t="s">
        <v>27255</v>
      </c>
    </row>
    <row r="761" spans="1:20" x14ac:dyDescent="0.3">
      <c r="A761" t="str">
        <f>"0611884006025"</f>
        <v>0611884006025</v>
      </c>
      <c r="B761" t="str">
        <f>"MC4459"</f>
        <v>MC4459</v>
      </c>
      <c r="C761" t="s">
        <v>28718</v>
      </c>
      <c r="D761" t="s">
        <v>27267</v>
      </c>
      <c r="E761" t="str">
        <f t="shared" si="11"/>
        <v>001390</v>
      </c>
      <c r="F761" t="s">
        <v>27246</v>
      </c>
      <c r="G761" t="s">
        <v>27247</v>
      </c>
      <c r="H761" t="s">
        <v>27248</v>
      </c>
      <c r="I761" t="s">
        <v>28720</v>
      </c>
      <c r="J761" t="s">
        <v>1530</v>
      </c>
      <c r="L761" t="s">
        <v>27430</v>
      </c>
      <c r="M761" t="s">
        <v>27251</v>
      </c>
      <c r="N761" t="s">
        <v>27252</v>
      </c>
      <c r="Q761" s="1">
        <v>45250</v>
      </c>
      <c r="R761" t="s">
        <v>27253</v>
      </c>
      <c r="S761" t="s">
        <v>27254</v>
      </c>
      <c r="T761" t="s">
        <v>27269</v>
      </c>
    </row>
    <row r="762" spans="1:20" x14ac:dyDescent="0.3">
      <c r="A762" t="str">
        <f>"0611837011100"</f>
        <v>0611837011100</v>
      </c>
      <c r="B762" t="str">
        <f>"LC9622"</f>
        <v>LC9622</v>
      </c>
      <c r="C762" t="s">
        <v>28721</v>
      </c>
      <c r="D762" t="s">
        <v>27245</v>
      </c>
      <c r="E762" t="str">
        <f t="shared" si="11"/>
        <v>001390</v>
      </c>
      <c r="F762" t="s">
        <v>27246</v>
      </c>
      <c r="G762" t="s">
        <v>27247</v>
      </c>
      <c r="H762" t="s">
        <v>27248</v>
      </c>
      <c r="I762" t="s">
        <v>28722</v>
      </c>
      <c r="J762" t="s">
        <v>1532</v>
      </c>
      <c r="L762" t="s">
        <v>27250</v>
      </c>
      <c r="M762" t="s">
        <v>27251</v>
      </c>
      <c r="N762" t="s">
        <v>27252</v>
      </c>
      <c r="Q762" s="1">
        <v>44538</v>
      </c>
      <c r="R762" t="s">
        <v>27253</v>
      </c>
      <c r="S762" t="s">
        <v>27254</v>
      </c>
      <c r="T762" t="s">
        <v>27255</v>
      </c>
    </row>
    <row r="763" spans="1:20" x14ac:dyDescent="0.3">
      <c r="A763" t="str">
        <f>"0611862532100"</f>
        <v>0611862532100</v>
      </c>
      <c r="B763" t="str">
        <f>"CN2333"</f>
        <v>CN2333</v>
      </c>
      <c r="C763" t="s">
        <v>28723</v>
      </c>
      <c r="D763" t="s">
        <v>27335</v>
      </c>
      <c r="E763" t="str">
        <f t="shared" si="11"/>
        <v>001390</v>
      </c>
      <c r="F763" t="s">
        <v>27246</v>
      </c>
      <c r="G763" t="s">
        <v>27247</v>
      </c>
      <c r="H763" t="s">
        <v>27248</v>
      </c>
      <c r="I763" t="s">
        <v>28724</v>
      </c>
      <c r="J763" t="s">
        <v>1534</v>
      </c>
      <c r="L763" t="s">
        <v>27250</v>
      </c>
      <c r="M763" t="s">
        <v>27251</v>
      </c>
      <c r="N763" t="s">
        <v>27252</v>
      </c>
      <c r="Q763" s="1">
        <v>44846</v>
      </c>
      <c r="R763" t="s">
        <v>27253</v>
      </c>
      <c r="S763" t="s">
        <v>27254</v>
      </c>
      <c r="T763" t="s">
        <v>27255</v>
      </c>
    </row>
    <row r="764" spans="1:20" x14ac:dyDescent="0.3">
      <c r="A764" t="str">
        <f>"0611837012025"</f>
        <v>0611837012025</v>
      </c>
      <c r="B764" t="str">
        <f>"MQ0039"</f>
        <v>MQ0039</v>
      </c>
      <c r="C764" t="s">
        <v>28725</v>
      </c>
      <c r="D764" t="s">
        <v>27267</v>
      </c>
      <c r="E764" t="str">
        <f t="shared" si="11"/>
        <v>001390</v>
      </c>
      <c r="F764" t="s">
        <v>27246</v>
      </c>
      <c r="G764" t="s">
        <v>27247</v>
      </c>
      <c r="H764" t="s">
        <v>27248</v>
      </c>
      <c r="I764" t="s">
        <v>28726</v>
      </c>
      <c r="J764" t="s">
        <v>1536</v>
      </c>
      <c r="L764" t="s">
        <v>27250</v>
      </c>
      <c r="M764" t="s">
        <v>27251</v>
      </c>
      <c r="N764" t="s">
        <v>27252</v>
      </c>
      <c r="Q764" s="1">
        <v>44538</v>
      </c>
      <c r="R764" t="s">
        <v>27253</v>
      </c>
      <c r="S764" t="s">
        <v>27254</v>
      </c>
      <c r="T764" t="s">
        <v>27269</v>
      </c>
    </row>
    <row r="765" spans="1:20" x14ac:dyDescent="0.3">
      <c r="A765" t="str">
        <f>"0611837013100"</f>
        <v>0611837013100</v>
      </c>
      <c r="B765" t="str">
        <f>"LC5233"</f>
        <v>LC5233</v>
      </c>
      <c r="C765" t="s">
        <v>28727</v>
      </c>
      <c r="D765" t="s">
        <v>27245</v>
      </c>
      <c r="E765" t="str">
        <f t="shared" si="11"/>
        <v>001390</v>
      </c>
      <c r="F765" t="s">
        <v>27246</v>
      </c>
      <c r="G765" t="s">
        <v>27247</v>
      </c>
      <c r="H765" t="s">
        <v>27248</v>
      </c>
      <c r="I765" t="s">
        <v>28728</v>
      </c>
      <c r="J765" t="s">
        <v>1538</v>
      </c>
      <c r="L765" t="s">
        <v>27250</v>
      </c>
      <c r="M765" t="s">
        <v>27251</v>
      </c>
      <c r="N765" t="s">
        <v>27252</v>
      </c>
      <c r="Q765" s="1">
        <v>44538</v>
      </c>
      <c r="R765" t="s">
        <v>27253</v>
      </c>
      <c r="S765" t="s">
        <v>27254</v>
      </c>
      <c r="T765" t="s">
        <v>27255</v>
      </c>
    </row>
    <row r="766" spans="1:20" x14ac:dyDescent="0.3">
      <c r="A766" t="str">
        <f>"0611837014100"</f>
        <v>0611837014100</v>
      </c>
      <c r="B766" t="str">
        <f>"LC5217"</f>
        <v>LC5217</v>
      </c>
      <c r="C766" t="s">
        <v>28729</v>
      </c>
      <c r="D766" t="s">
        <v>27245</v>
      </c>
      <c r="E766" t="str">
        <f t="shared" si="11"/>
        <v>001390</v>
      </c>
      <c r="F766" t="s">
        <v>27246</v>
      </c>
      <c r="G766" t="s">
        <v>27247</v>
      </c>
      <c r="H766" t="s">
        <v>27248</v>
      </c>
      <c r="I766" t="s">
        <v>28730</v>
      </c>
      <c r="J766" t="s">
        <v>1540</v>
      </c>
      <c r="L766" t="s">
        <v>27250</v>
      </c>
      <c r="M766" t="s">
        <v>27251</v>
      </c>
      <c r="N766" t="s">
        <v>27252</v>
      </c>
      <c r="O766">
        <v>100</v>
      </c>
      <c r="Q766" s="1">
        <v>44538</v>
      </c>
      <c r="R766" t="s">
        <v>27253</v>
      </c>
      <c r="S766" t="s">
        <v>27254</v>
      </c>
      <c r="T766" t="s">
        <v>27255</v>
      </c>
    </row>
    <row r="767" spans="1:20" x14ac:dyDescent="0.3">
      <c r="A767" t="str">
        <f>"0611837015025"</f>
        <v>0611837015025</v>
      </c>
      <c r="B767" t="str">
        <f>"MC0770"</f>
        <v>MC0770</v>
      </c>
      <c r="C767" t="s">
        <v>28729</v>
      </c>
      <c r="D767" t="s">
        <v>27267</v>
      </c>
      <c r="E767" t="str">
        <f t="shared" si="11"/>
        <v>001390</v>
      </c>
      <c r="F767" t="s">
        <v>27246</v>
      </c>
      <c r="G767" t="s">
        <v>27247</v>
      </c>
      <c r="H767" t="s">
        <v>27248</v>
      </c>
      <c r="I767" t="s">
        <v>28731</v>
      </c>
      <c r="J767" t="s">
        <v>1542</v>
      </c>
      <c r="L767" t="s">
        <v>27250</v>
      </c>
      <c r="M767" t="s">
        <v>27251</v>
      </c>
      <c r="N767" t="s">
        <v>27252</v>
      </c>
      <c r="Q767" s="1">
        <v>44538</v>
      </c>
      <c r="R767" t="s">
        <v>27253</v>
      </c>
      <c r="S767" t="s">
        <v>27254</v>
      </c>
      <c r="T767" t="s">
        <v>27269</v>
      </c>
    </row>
    <row r="768" spans="1:20" x14ac:dyDescent="0.3">
      <c r="A768" t="str">
        <f>"0611837016100"</f>
        <v>0611837016100</v>
      </c>
      <c r="B768" t="str">
        <f>"LK5631"</f>
        <v>LK5631</v>
      </c>
      <c r="C768" t="s">
        <v>28732</v>
      </c>
      <c r="D768" t="s">
        <v>27245</v>
      </c>
      <c r="E768" t="str">
        <f t="shared" si="11"/>
        <v>001390</v>
      </c>
      <c r="F768" t="s">
        <v>27246</v>
      </c>
      <c r="G768" t="s">
        <v>27247</v>
      </c>
      <c r="H768" t="s">
        <v>27248</v>
      </c>
      <c r="I768" t="s">
        <v>28733</v>
      </c>
      <c r="J768" t="s">
        <v>1544</v>
      </c>
      <c r="L768" t="s">
        <v>27250</v>
      </c>
      <c r="M768" t="s">
        <v>27251</v>
      </c>
      <c r="N768" t="s">
        <v>27252</v>
      </c>
      <c r="Q768" s="1">
        <v>44538</v>
      </c>
      <c r="R768" t="s">
        <v>27253</v>
      </c>
      <c r="S768" t="s">
        <v>27254</v>
      </c>
      <c r="T768" t="s">
        <v>27255</v>
      </c>
    </row>
    <row r="769" spans="1:20" x14ac:dyDescent="0.3">
      <c r="A769" t="str">
        <f>"0611856971025"</f>
        <v>0611856971025</v>
      </c>
      <c r="B769" t="str">
        <f>"MC4410"</f>
        <v>MC4410</v>
      </c>
      <c r="C769" t="s">
        <v>28732</v>
      </c>
      <c r="D769" t="s">
        <v>27267</v>
      </c>
      <c r="E769" t="str">
        <f t="shared" si="11"/>
        <v>001390</v>
      </c>
      <c r="F769" t="s">
        <v>27246</v>
      </c>
      <c r="G769" t="s">
        <v>27247</v>
      </c>
      <c r="H769" t="s">
        <v>27248</v>
      </c>
      <c r="I769" t="s">
        <v>28734</v>
      </c>
      <c r="J769" t="s">
        <v>1546</v>
      </c>
      <c r="L769" t="s">
        <v>27250</v>
      </c>
      <c r="M769" t="s">
        <v>27251</v>
      </c>
      <c r="N769" t="s">
        <v>27252</v>
      </c>
      <c r="Q769" s="1">
        <v>44812</v>
      </c>
      <c r="R769" t="s">
        <v>27253</v>
      </c>
      <c r="S769" t="s">
        <v>27254</v>
      </c>
      <c r="T769" t="s">
        <v>27269</v>
      </c>
    </row>
    <row r="770" spans="1:20" x14ac:dyDescent="0.3">
      <c r="A770" t="str">
        <f>"0611837017100"</f>
        <v>0611837017100</v>
      </c>
      <c r="B770" t="str">
        <f>"LC5221"</f>
        <v>LC5221</v>
      </c>
      <c r="C770" t="s">
        <v>28735</v>
      </c>
      <c r="D770" t="s">
        <v>27245</v>
      </c>
      <c r="E770" t="str">
        <f t="shared" ref="E770:E833" si="12">"001390"</f>
        <v>001390</v>
      </c>
      <c r="F770" t="s">
        <v>27246</v>
      </c>
      <c r="G770" t="s">
        <v>27247</v>
      </c>
      <c r="H770" t="s">
        <v>27248</v>
      </c>
      <c r="I770" t="s">
        <v>28736</v>
      </c>
      <c r="J770" t="s">
        <v>1548</v>
      </c>
      <c r="L770" t="s">
        <v>27250</v>
      </c>
      <c r="M770" t="s">
        <v>27251</v>
      </c>
      <c r="N770" t="s">
        <v>27252</v>
      </c>
      <c r="Q770" s="1">
        <v>44538</v>
      </c>
      <c r="R770" t="s">
        <v>27253</v>
      </c>
      <c r="S770" t="s">
        <v>27254</v>
      </c>
      <c r="T770" t="s">
        <v>27255</v>
      </c>
    </row>
    <row r="771" spans="1:20" x14ac:dyDescent="0.3">
      <c r="A771" t="str">
        <f>"0611884007025"</f>
        <v>0611884007025</v>
      </c>
      <c r="B771" t="str">
        <f>"MC4460"</f>
        <v>MC4460</v>
      </c>
      <c r="C771" t="s">
        <v>28735</v>
      </c>
      <c r="D771" t="s">
        <v>27267</v>
      </c>
      <c r="E771" t="str">
        <f t="shared" si="12"/>
        <v>001390</v>
      </c>
      <c r="F771" t="s">
        <v>27246</v>
      </c>
      <c r="G771" t="s">
        <v>27247</v>
      </c>
      <c r="H771" t="s">
        <v>27248</v>
      </c>
      <c r="I771" t="s">
        <v>28737</v>
      </c>
      <c r="J771" t="s">
        <v>1550</v>
      </c>
      <c r="L771" t="s">
        <v>27430</v>
      </c>
      <c r="M771" t="s">
        <v>27251</v>
      </c>
      <c r="N771" t="s">
        <v>27252</v>
      </c>
      <c r="Q771" s="1">
        <v>45250</v>
      </c>
      <c r="R771" t="s">
        <v>27253</v>
      </c>
      <c r="S771" t="s">
        <v>27254</v>
      </c>
      <c r="T771" t="s">
        <v>27269</v>
      </c>
    </row>
    <row r="772" spans="1:20" x14ac:dyDescent="0.3">
      <c r="A772" t="str">
        <f>"0611835020100"</f>
        <v>0611835020100</v>
      </c>
      <c r="B772" t="str">
        <f>"LC0002"</f>
        <v>LC0002</v>
      </c>
      <c r="C772" t="s">
        <v>28738</v>
      </c>
      <c r="D772" t="s">
        <v>27245</v>
      </c>
      <c r="E772" t="str">
        <f t="shared" si="12"/>
        <v>001390</v>
      </c>
      <c r="F772" t="s">
        <v>27246</v>
      </c>
      <c r="G772" t="s">
        <v>27247</v>
      </c>
      <c r="H772" t="s">
        <v>27248</v>
      </c>
      <c r="I772" t="s">
        <v>28739</v>
      </c>
      <c r="J772" t="s">
        <v>1554</v>
      </c>
      <c r="L772" t="s">
        <v>27250</v>
      </c>
      <c r="M772" t="s">
        <v>27251</v>
      </c>
      <c r="N772" t="s">
        <v>27252</v>
      </c>
      <c r="Q772" s="1">
        <v>44538</v>
      </c>
      <c r="R772" t="s">
        <v>27253</v>
      </c>
      <c r="S772" t="s">
        <v>27254</v>
      </c>
      <c r="T772" t="s">
        <v>27255</v>
      </c>
    </row>
    <row r="773" spans="1:20" x14ac:dyDescent="0.3">
      <c r="A773" t="str">
        <f>"0611884008025"</f>
        <v>0611884008025</v>
      </c>
      <c r="B773" t="str">
        <f>"MC4461"</f>
        <v>MC4461</v>
      </c>
      <c r="C773" t="s">
        <v>28738</v>
      </c>
      <c r="D773" t="s">
        <v>27267</v>
      </c>
      <c r="E773" t="str">
        <f t="shared" si="12"/>
        <v>001390</v>
      </c>
      <c r="F773" t="s">
        <v>27246</v>
      </c>
      <c r="G773" t="s">
        <v>27247</v>
      </c>
      <c r="H773" t="s">
        <v>27248</v>
      </c>
      <c r="I773" t="s">
        <v>28740</v>
      </c>
      <c r="J773" t="s">
        <v>1552</v>
      </c>
      <c r="L773" t="s">
        <v>27430</v>
      </c>
      <c r="M773" t="s">
        <v>27251</v>
      </c>
      <c r="N773" t="s">
        <v>27252</v>
      </c>
      <c r="Q773" s="1">
        <v>45250</v>
      </c>
      <c r="R773" t="s">
        <v>27253</v>
      </c>
      <c r="S773" t="s">
        <v>27254</v>
      </c>
      <c r="T773" t="s">
        <v>27269</v>
      </c>
    </row>
    <row r="774" spans="1:20" x14ac:dyDescent="0.3">
      <c r="A774" t="str">
        <f>"0611835021100"</f>
        <v>0611835021100</v>
      </c>
      <c r="B774" t="str">
        <f>"LC0003"</f>
        <v>LC0003</v>
      </c>
      <c r="C774" t="s">
        <v>28741</v>
      </c>
      <c r="D774" t="s">
        <v>27245</v>
      </c>
      <c r="E774" t="str">
        <f t="shared" si="12"/>
        <v>001390</v>
      </c>
      <c r="F774" t="s">
        <v>27246</v>
      </c>
      <c r="G774" t="s">
        <v>27247</v>
      </c>
      <c r="H774" t="s">
        <v>27248</v>
      </c>
      <c r="I774" t="s">
        <v>28742</v>
      </c>
      <c r="J774" t="s">
        <v>1556</v>
      </c>
      <c r="L774" t="s">
        <v>27250</v>
      </c>
      <c r="M774" t="s">
        <v>27251</v>
      </c>
      <c r="N774" t="s">
        <v>27252</v>
      </c>
      <c r="Q774" s="1">
        <v>44538</v>
      </c>
      <c r="R774" t="s">
        <v>27253</v>
      </c>
      <c r="S774" t="s">
        <v>27254</v>
      </c>
      <c r="T774" t="s">
        <v>27255</v>
      </c>
    </row>
    <row r="775" spans="1:20" x14ac:dyDescent="0.3">
      <c r="A775" t="str">
        <f>"0611884009025"</f>
        <v>0611884009025</v>
      </c>
      <c r="B775" t="str">
        <f>"MC4462"</f>
        <v>MC4462</v>
      </c>
      <c r="C775" t="s">
        <v>28741</v>
      </c>
      <c r="D775" t="s">
        <v>27267</v>
      </c>
      <c r="E775" t="str">
        <f t="shared" si="12"/>
        <v>001390</v>
      </c>
      <c r="F775" t="s">
        <v>27246</v>
      </c>
      <c r="G775" t="s">
        <v>27247</v>
      </c>
      <c r="H775" t="s">
        <v>27248</v>
      </c>
      <c r="I775" t="s">
        <v>28743</v>
      </c>
      <c r="J775" t="s">
        <v>1560</v>
      </c>
      <c r="L775" t="s">
        <v>27430</v>
      </c>
      <c r="M775" t="s">
        <v>27251</v>
      </c>
      <c r="N775" t="s">
        <v>27252</v>
      </c>
      <c r="Q775" s="1">
        <v>45250</v>
      </c>
      <c r="R775" t="s">
        <v>27253</v>
      </c>
      <c r="S775" t="s">
        <v>27254</v>
      </c>
      <c r="T775" t="s">
        <v>27269</v>
      </c>
    </row>
    <row r="776" spans="1:20" x14ac:dyDescent="0.3">
      <c r="A776" t="str">
        <f>"0611835022100"</f>
        <v>0611835022100</v>
      </c>
      <c r="B776" t="str">
        <f>"LC0004"</f>
        <v>LC0004</v>
      </c>
      <c r="C776" t="s">
        <v>28744</v>
      </c>
      <c r="D776" t="s">
        <v>27245</v>
      </c>
      <c r="E776" t="str">
        <f t="shared" si="12"/>
        <v>001390</v>
      </c>
      <c r="F776" t="s">
        <v>27246</v>
      </c>
      <c r="G776" t="s">
        <v>27247</v>
      </c>
      <c r="H776" t="s">
        <v>27248</v>
      </c>
      <c r="I776" t="s">
        <v>28745</v>
      </c>
      <c r="J776" t="s">
        <v>1558</v>
      </c>
      <c r="L776" t="s">
        <v>27250</v>
      </c>
      <c r="M776" t="s">
        <v>27251</v>
      </c>
      <c r="N776" t="s">
        <v>27252</v>
      </c>
      <c r="Q776" s="1">
        <v>44538</v>
      </c>
      <c r="R776" t="s">
        <v>27253</v>
      </c>
      <c r="S776" t="s">
        <v>27254</v>
      </c>
      <c r="T776" t="s">
        <v>27255</v>
      </c>
    </row>
    <row r="777" spans="1:20" x14ac:dyDescent="0.3">
      <c r="A777" t="str">
        <f>"0611884010025"</f>
        <v>0611884010025</v>
      </c>
      <c r="B777" t="str">
        <f>"MC4463"</f>
        <v>MC4463</v>
      </c>
      <c r="C777" t="s">
        <v>28744</v>
      </c>
      <c r="D777" t="s">
        <v>27267</v>
      </c>
      <c r="E777" t="str">
        <f t="shared" si="12"/>
        <v>001390</v>
      </c>
      <c r="F777" t="s">
        <v>27246</v>
      </c>
      <c r="G777" t="s">
        <v>27247</v>
      </c>
      <c r="H777" t="s">
        <v>27248</v>
      </c>
      <c r="I777" t="s">
        <v>28746</v>
      </c>
      <c r="J777" t="s">
        <v>1562</v>
      </c>
      <c r="L777" t="s">
        <v>27430</v>
      </c>
      <c r="M777" t="s">
        <v>27251</v>
      </c>
      <c r="N777" t="s">
        <v>27252</v>
      </c>
      <c r="Q777" s="1">
        <v>45250</v>
      </c>
      <c r="R777" t="s">
        <v>27253</v>
      </c>
      <c r="S777" t="s">
        <v>27254</v>
      </c>
      <c r="T777" t="s">
        <v>27269</v>
      </c>
    </row>
    <row r="778" spans="1:20" x14ac:dyDescent="0.3">
      <c r="A778" t="str">
        <f>"0611884011025"</f>
        <v>0611884011025</v>
      </c>
      <c r="B778" t="str">
        <f>"MC4464"</f>
        <v>MC4464</v>
      </c>
      <c r="C778" t="s">
        <v>28747</v>
      </c>
      <c r="D778" t="s">
        <v>27267</v>
      </c>
      <c r="E778" t="str">
        <f t="shared" si="12"/>
        <v>001390</v>
      </c>
      <c r="F778" t="s">
        <v>27246</v>
      </c>
      <c r="G778" t="s">
        <v>27247</v>
      </c>
      <c r="H778" t="s">
        <v>27248</v>
      </c>
      <c r="I778" t="s">
        <v>28748</v>
      </c>
      <c r="J778" t="s">
        <v>1564</v>
      </c>
      <c r="L778" t="s">
        <v>27430</v>
      </c>
      <c r="M778" t="s">
        <v>27251</v>
      </c>
      <c r="N778" t="s">
        <v>27252</v>
      </c>
      <c r="Q778" s="1">
        <v>45250</v>
      </c>
      <c r="R778" t="s">
        <v>27253</v>
      </c>
      <c r="S778" t="s">
        <v>27254</v>
      </c>
      <c r="T778" t="s">
        <v>27269</v>
      </c>
    </row>
    <row r="779" spans="1:20" x14ac:dyDescent="0.3">
      <c r="A779" t="str">
        <f>"0611837018100"</f>
        <v>0611837018100</v>
      </c>
      <c r="B779" t="str">
        <f>"LC5200"</f>
        <v>LC5200</v>
      </c>
      <c r="C779" t="s">
        <v>28749</v>
      </c>
      <c r="D779" t="s">
        <v>27245</v>
      </c>
      <c r="E779" t="str">
        <f t="shared" si="12"/>
        <v>001390</v>
      </c>
      <c r="F779" t="s">
        <v>27246</v>
      </c>
      <c r="G779" t="s">
        <v>27247</v>
      </c>
      <c r="H779" t="s">
        <v>27248</v>
      </c>
      <c r="I779" t="s">
        <v>28750</v>
      </c>
      <c r="J779" t="s">
        <v>1566</v>
      </c>
      <c r="L779" t="s">
        <v>27250</v>
      </c>
      <c r="M779" t="s">
        <v>27251</v>
      </c>
      <c r="N779" t="s">
        <v>27252</v>
      </c>
      <c r="Q779" s="1">
        <v>44538</v>
      </c>
      <c r="R779" t="s">
        <v>27253</v>
      </c>
      <c r="S779" t="s">
        <v>27254</v>
      </c>
      <c r="T779" t="s">
        <v>27255</v>
      </c>
    </row>
    <row r="780" spans="1:20" x14ac:dyDescent="0.3">
      <c r="A780" t="str">
        <f>"0611837019025"</f>
        <v>0611837019025</v>
      </c>
      <c r="B780" t="str">
        <f>"MC0771"</f>
        <v>MC0771</v>
      </c>
      <c r="C780" t="s">
        <v>28749</v>
      </c>
      <c r="D780" t="s">
        <v>27267</v>
      </c>
      <c r="E780" t="str">
        <f t="shared" si="12"/>
        <v>001390</v>
      </c>
      <c r="F780" t="s">
        <v>27246</v>
      </c>
      <c r="G780" t="s">
        <v>27247</v>
      </c>
      <c r="H780" t="s">
        <v>27248</v>
      </c>
      <c r="I780" t="s">
        <v>28751</v>
      </c>
      <c r="J780" t="s">
        <v>1568</v>
      </c>
      <c r="L780" t="s">
        <v>27250</v>
      </c>
      <c r="M780" t="s">
        <v>27251</v>
      </c>
      <c r="N780" t="s">
        <v>27252</v>
      </c>
      <c r="Q780" s="1">
        <v>44538</v>
      </c>
      <c r="R780" t="s">
        <v>27253</v>
      </c>
      <c r="S780" t="s">
        <v>27254</v>
      </c>
      <c r="T780" t="s">
        <v>27269</v>
      </c>
    </row>
    <row r="781" spans="1:20" x14ac:dyDescent="0.3">
      <c r="A781" t="str">
        <f>"0611835023100"</f>
        <v>0611835023100</v>
      </c>
      <c r="B781" t="str">
        <f>"LC5230"</f>
        <v>LC5230</v>
      </c>
      <c r="C781" t="s">
        <v>28752</v>
      </c>
      <c r="D781" t="s">
        <v>27245</v>
      </c>
      <c r="E781" t="str">
        <f t="shared" si="12"/>
        <v>001390</v>
      </c>
      <c r="F781" t="s">
        <v>27246</v>
      </c>
      <c r="G781" t="s">
        <v>27247</v>
      </c>
      <c r="H781" t="s">
        <v>27248</v>
      </c>
      <c r="I781" t="s">
        <v>28753</v>
      </c>
      <c r="J781" t="s">
        <v>1570</v>
      </c>
      <c r="L781" t="s">
        <v>27250</v>
      </c>
      <c r="M781" t="s">
        <v>27251</v>
      </c>
      <c r="N781" t="s">
        <v>27252</v>
      </c>
      <c r="Q781" s="1">
        <v>44538</v>
      </c>
      <c r="R781" t="s">
        <v>27253</v>
      </c>
      <c r="S781" t="s">
        <v>27254</v>
      </c>
      <c r="T781" t="s">
        <v>27255</v>
      </c>
    </row>
    <row r="782" spans="1:20" x14ac:dyDescent="0.3">
      <c r="A782" t="str">
        <f>"0611835024025"</f>
        <v>0611835024025</v>
      </c>
      <c r="B782" t="str">
        <f>"MC0772"</f>
        <v>MC0772</v>
      </c>
      <c r="C782" t="s">
        <v>28752</v>
      </c>
      <c r="D782" t="s">
        <v>27267</v>
      </c>
      <c r="E782" t="str">
        <f t="shared" si="12"/>
        <v>001390</v>
      </c>
      <c r="F782" t="s">
        <v>27246</v>
      </c>
      <c r="G782" t="s">
        <v>27247</v>
      </c>
      <c r="H782" t="s">
        <v>27248</v>
      </c>
      <c r="I782" t="s">
        <v>28754</v>
      </c>
      <c r="J782" t="s">
        <v>1572</v>
      </c>
      <c r="L782" t="s">
        <v>27250</v>
      </c>
      <c r="M782" t="s">
        <v>27251</v>
      </c>
      <c r="N782" t="s">
        <v>27252</v>
      </c>
      <c r="Q782" s="1">
        <v>44538</v>
      </c>
      <c r="R782" t="s">
        <v>27253</v>
      </c>
      <c r="S782" t="s">
        <v>27254</v>
      </c>
      <c r="T782" t="s">
        <v>27269</v>
      </c>
    </row>
    <row r="783" spans="1:20" x14ac:dyDescent="0.3">
      <c r="A783" t="str">
        <f>"0611837020100"</f>
        <v>0611837020100</v>
      </c>
      <c r="B783" t="str">
        <f>"LC5220"</f>
        <v>LC5220</v>
      </c>
      <c r="C783" t="s">
        <v>28755</v>
      </c>
      <c r="D783" t="s">
        <v>27245</v>
      </c>
      <c r="E783" t="str">
        <f t="shared" si="12"/>
        <v>001390</v>
      </c>
      <c r="F783" t="s">
        <v>27246</v>
      </c>
      <c r="G783" t="s">
        <v>27247</v>
      </c>
      <c r="H783" t="s">
        <v>27248</v>
      </c>
      <c r="I783" t="s">
        <v>28756</v>
      </c>
      <c r="J783" t="s">
        <v>1574</v>
      </c>
      <c r="L783" t="s">
        <v>27250</v>
      </c>
      <c r="M783" t="s">
        <v>27251</v>
      </c>
      <c r="N783" t="s">
        <v>27252</v>
      </c>
      <c r="Q783" s="1">
        <v>44538</v>
      </c>
      <c r="R783" t="s">
        <v>27253</v>
      </c>
      <c r="S783" t="s">
        <v>27254</v>
      </c>
      <c r="T783" t="s">
        <v>27255</v>
      </c>
    </row>
    <row r="784" spans="1:20" x14ac:dyDescent="0.3">
      <c r="A784" t="str">
        <f>"0611837021200"</f>
        <v>0611837021200</v>
      </c>
      <c r="B784" t="str">
        <f>"KP5220"</f>
        <v>KP5220</v>
      </c>
      <c r="C784" t="s">
        <v>28755</v>
      </c>
      <c r="D784" t="s">
        <v>27682</v>
      </c>
      <c r="E784" t="str">
        <f t="shared" si="12"/>
        <v>001390</v>
      </c>
      <c r="F784" t="s">
        <v>27246</v>
      </c>
      <c r="G784" t="s">
        <v>27247</v>
      </c>
      <c r="H784" t="s">
        <v>27248</v>
      </c>
      <c r="I784" t="s">
        <v>28757</v>
      </c>
      <c r="J784" t="s">
        <v>1576</v>
      </c>
      <c r="L784" t="s">
        <v>27250</v>
      </c>
      <c r="M784" t="s">
        <v>27251</v>
      </c>
      <c r="N784" t="s">
        <v>27252</v>
      </c>
      <c r="Q784" s="1">
        <v>44538</v>
      </c>
      <c r="R784" t="s">
        <v>27253</v>
      </c>
      <c r="S784" t="s">
        <v>27254</v>
      </c>
      <c r="T784" t="s">
        <v>27684</v>
      </c>
    </row>
    <row r="785" spans="1:20" x14ac:dyDescent="0.3">
      <c r="A785" t="str">
        <f>"0611837022025"</f>
        <v>0611837022025</v>
      </c>
      <c r="B785" t="str">
        <f>"MC0773"</f>
        <v>MC0773</v>
      </c>
      <c r="C785" t="s">
        <v>28755</v>
      </c>
      <c r="D785" t="s">
        <v>27267</v>
      </c>
      <c r="E785" t="str">
        <f t="shared" si="12"/>
        <v>001390</v>
      </c>
      <c r="F785" t="s">
        <v>27246</v>
      </c>
      <c r="G785" t="s">
        <v>27247</v>
      </c>
      <c r="H785" t="s">
        <v>27248</v>
      </c>
      <c r="I785" t="s">
        <v>28758</v>
      </c>
      <c r="J785" t="s">
        <v>1578</v>
      </c>
      <c r="L785" t="s">
        <v>27250</v>
      </c>
      <c r="M785" t="s">
        <v>27251</v>
      </c>
      <c r="N785" t="s">
        <v>27252</v>
      </c>
      <c r="Q785" s="1">
        <v>44538</v>
      </c>
      <c r="R785" t="s">
        <v>27253</v>
      </c>
      <c r="S785" t="s">
        <v>27254</v>
      </c>
      <c r="T785" t="s">
        <v>27269</v>
      </c>
    </row>
    <row r="786" spans="1:20" x14ac:dyDescent="0.3">
      <c r="A786" t="str">
        <f>"0611837023100"</f>
        <v>0611837023100</v>
      </c>
      <c r="B786" t="str">
        <f>"LC5212"</f>
        <v>LC5212</v>
      </c>
      <c r="C786" t="s">
        <v>28759</v>
      </c>
      <c r="D786" t="s">
        <v>27245</v>
      </c>
      <c r="E786" t="str">
        <f t="shared" si="12"/>
        <v>001390</v>
      </c>
      <c r="F786" t="s">
        <v>27246</v>
      </c>
      <c r="G786" t="s">
        <v>27247</v>
      </c>
      <c r="H786" t="s">
        <v>27248</v>
      </c>
      <c r="I786" t="s">
        <v>28760</v>
      </c>
      <c r="J786" t="s">
        <v>1580</v>
      </c>
      <c r="L786" t="s">
        <v>27250</v>
      </c>
      <c r="M786" t="s">
        <v>27251</v>
      </c>
      <c r="N786" t="s">
        <v>27252</v>
      </c>
      <c r="Q786" s="1">
        <v>44538</v>
      </c>
      <c r="R786" t="s">
        <v>27253</v>
      </c>
      <c r="S786" t="s">
        <v>27254</v>
      </c>
      <c r="T786" t="s">
        <v>27255</v>
      </c>
    </row>
    <row r="787" spans="1:20" x14ac:dyDescent="0.3">
      <c r="A787" t="str">
        <f>"0611884012025"</f>
        <v>0611884012025</v>
      </c>
      <c r="B787" t="str">
        <f>"MC4465"</f>
        <v>MC4465</v>
      </c>
      <c r="C787" t="s">
        <v>28761</v>
      </c>
      <c r="D787" t="s">
        <v>27267</v>
      </c>
      <c r="E787" t="str">
        <f t="shared" si="12"/>
        <v>001390</v>
      </c>
      <c r="F787" t="s">
        <v>27246</v>
      </c>
      <c r="G787" t="s">
        <v>27247</v>
      </c>
      <c r="H787" t="s">
        <v>27248</v>
      </c>
      <c r="I787" t="s">
        <v>28762</v>
      </c>
      <c r="J787" t="s">
        <v>1582</v>
      </c>
      <c r="L787" t="s">
        <v>27430</v>
      </c>
      <c r="M787" t="s">
        <v>27251</v>
      </c>
      <c r="N787" t="s">
        <v>27252</v>
      </c>
      <c r="Q787" s="1">
        <v>45250</v>
      </c>
      <c r="R787" t="s">
        <v>27253</v>
      </c>
      <c r="S787" t="s">
        <v>27254</v>
      </c>
      <c r="T787" t="s">
        <v>27269</v>
      </c>
    </row>
    <row r="788" spans="1:20" x14ac:dyDescent="0.3">
      <c r="A788" t="str">
        <f>"0611837024100"</f>
        <v>0611837024100</v>
      </c>
      <c r="B788" t="str">
        <f>"LC5213"</f>
        <v>LC5213</v>
      </c>
      <c r="C788" t="s">
        <v>28763</v>
      </c>
      <c r="D788" t="s">
        <v>27245</v>
      </c>
      <c r="E788" t="str">
        <f t="shared" si="12"/>
        <v>001390</v>
      </c>
      <c r="F788" t="s">
        <v>27246</v>
      </c>
      <c r="G788" t="s">
        <v>27247</v>
      </c>
      <c r="H788" t="s">
        <v>27248</v>
      </c>
      <c r="I788" t="s">
        <v>28764</v>
      </c>
      <c r="J788" t="s">
        <v>1584</v>
      </c>
      <c r="L788" t="s">
        <v>27250</v>
      </c>
      <c r="M788" t="s">
        <v>27251</v>
      </c>
      <c r="N788" t="s">
        <v>27252</v>
      </c>
      <c r="Q788" s="1">
        <v>44538</v>
      </c>
      <c r="R788" t="s">
        <v>27253</v>
      </c>
      <c r="S788" t="s">
        <v>27254</v>
      </c>
      <c r="T788" t="s">
        <v>27255</v>
      </c>
    </row>
    <row r="789" spans="1:20" x14ac:dyDescent="0.3">
      <c r="A789" t="str">
        <f>"0611835025100"</f>
        <v>0611835025100</v>
      </c>
      <c r="B789" t="str">
        <f>"LC0005"</f>
        <v>LC0005</v>
      </c>
      <c r="C789" t="s">
        <v>28765</v>
      </c>
      <c r="D789" t="s">
        <v>27245</v>
      </c>
      <c r="E789" t="str">
        <f t="shared" si="12"/>
        <v>001390</v>
      </c>
      <c r="F789" t="s">
        <v>27246</v>
      </c>
      <c r="G789" t="s">
        <v>27247</v>
      </c>
      <c r="H789" t="s">
        <v>27248</v>
      </c>
      <c r="I789" t="s">
        <v>28766</v>
      </c>
      <c r="J789" t="s">
        <v>1586</v>
      </c>
      <c r="L789" t="s">
        <v>27250</v>
      </c>
      <c r="M789" t="s">
        <v>27251</v>
      </c>
      <c r="N789" t="s">
        <v>27252</v>
      </c>
      <c r="Q789" s="1">
        <v>44538</v>
      </c>
      <c r="R789" t="s">
        <v>27253</v>
      </c>
      <c r="S789" t="s">
        <v>27254</v>
      </c>
      <c r="T789" t="s">
        <v>27255</v>
      </c>
    </row>
    <row r="790" spans="1:20" x14ac:dyDescent="0.3">
      <c r="A790" t="str">
        <f>"0611837025100"</f>
        <v>0611837025100</v>
      </c>
      <c r="B790" t="str">
        <f>"LC3409"</f>
        <v>LC3409</v>
      </c>
      <c r="C790" t="s">
        <v>28767</v>
      </c>
      <c r="D790" t="s">
        <v>27245</v>
      </c>
      <c r="E790" t="str">
        <f t="shared" si="12"/>
        <v>001390</v>
      </c>
      <c r="F790" t="s">
        <v>27246</v>
      </c>
      <c r="G790" t="s">
        <v>27247</v>
      </c>
      <c r="H790" t="s">
        <v>27248</v>
      </c>
      <c r="I790" t="s">
        <v>28768</v>
      </c>
      <c r="J790" t="s">
        <v>1588</v>
      </c>
      <c r="L790" t="s">
        <v>27250</v>
      </c>
      <c r="M790" t="s">
        <v>27251</v>
      </c>
      <c r="N790" t="s">
        <v>27252</v>
      </c>
      <c r="Q790" s="1">
        <v>44538</v>
      </c>
      <c r="R790" t="s">
        <v>27253</v>
      </c>
      <c r="S790" t="s">
        <v>27254</v>
      </c>
      <c r="T790" t="s">
        <v>27255</v>
      </c>
    </row>
    <row r="791" spans="1:20" x14ac:dyDescent="0.3">
      <c r="A791" t="str">
        <f>"0611837026100"</f>
        <v>0611837026100</v>
      </c>
      <c r="B791" t="str">
        <f>"LC5199"</f>
        <v>LC5199</v>
      </c>
      <c r="C791" t="s">
        <v>28769</v>
      </c>
      <c r="D791" t="s">
        <v>27245</v>
      </c>
      <c r="E791" t="str">
        <f t="shared" si="12"/>
        <v>001390</v>
      </c>
      <c r="F791" t="s">
        <v>27246</v>
      </c>
      <c r="G791" t="s">
        <v>27247</v>
      </c>
      <c r="H791" t="s">
        <v>27248</v>
      </c>
      <c r="I791" t="s">
        <v>28770</v>
      </c>
      <c r="J791" t="s">
        <v>1590</v>
      </c>
      <c r="L791" t="s">
        <v>27250</v>
      </c>
      <c r="M791" t="s">
        <v>27251</v>
      </c>
      <c r="N791" t="s">
        <v>27252</v>
      </c>
      <c r="Q791" s="1">
        <v>44538</v>
      </c>
      <c r="R791" t="s">
        <v>27253</v>
      </c>
      <c r="S791" t="s">
        <v>27254</v>
      </c>
      <c r="T791" t="s">
        <v>27255</v>
      </c>
    </row>
    <row r="792" spans="1:20" x14ac:dyDescent="0.3">
      <c r="A792" t="str">
        <f>"0611856972025"</f>
        <v>0611856972025</v>
      </c>
      <c r="B792" t="str">
        <f>"MC4411"</f>
        <v>MC4411</v>
      </c>
      <c r="C792" t="s">
        <v>28771</v>
      </c>
      <c r="D792" t="s">
        <v>27267</v>
      </c>
      <c r="E792" t="str">
        <f t="shared" si="12"/>
        <v>001390</v>
      </c>
      <c r="F792" t="s">
        <v>27246</v>
      </c>
      <c r="G792" t="s">
        <v>27247</v>
      </c>
      <c r="H792" t="s">
        <v>27248</v>
      </c>
      <c r="I792" t="s">
        <v>28772</v>
      </c>
      <c r="J792" t="s">
        <v>1592</v>
      </c>
      <c r="L792" t="s">
        <v>27250</v>
      </c>
      <c r="M792" t="s">
        <v>27251</v>
      </c>
      <c r="N792" t="s">
        <v>27252</v>
      </c>
      <c r="Q792" s="1">
        <v>44812</v>
      </c>
      <c r="R792" t="s">
        <v>27253</v>
      </c>
      <c r="S792" t="s">
        <v>27254</v>
      </c>
      <c r="T792" t="s">
        <v>27269</v>
      </c>
    </row>
    <row r="793" spans="1:20" x14ac:dyDescent="0.3">
      <c r="A793" t="str">
        <f>"0611884013025"</f>
        <v>0611884013025</v>
      </c>
      <c r="B793" t="str">
        <f>"MC0762"</f>
        <v>MC0762</v>
      </c>
      <c r="C793" t="s">
        <v>28773</v>
      </c>
      <c r="D793" t="s">
        <v>27267</v>
      </c>
      <c r="E793" t="str">
        <f t="shared" si="12"/>
        <v>001390</v>
      </c>
      <c r="F793" t="s">
        <v>27246</v>
      </c>
      <c r="G793" t="s">
        <v>27247</v>
      </c>
      <c r="H793" t="s">
        <v>27248</v>
      </c>
      <c r="I793" t="s">
        <v>28774</v>
      </c>
      <c r="J793" t="s">
        <v>1594</v>
      </c>
      <c r="L793" t="s">
        <v>27430</v>
      </c>
      <c r="M793" t="s">
        <v>27251</v>
      </c>
      <c r="N793" t="s">
        <v>27252</v>
      </c>
      <c r="Q793" s="1">
        <v>45250</v>
      </c>
      <c r="R793" t="s">
        <v>27253</v>
      </c>
      <c r="S793" t="s">
        <v>27254</v>
      </c>
      <c r="T793" t="s">
        <v>27269</v>
      </c>
    </row>
    <row r="794" spans="1:20" x14ac:dyDescent="0.3">
      <c r="A794" t="str">
        <f>"0611836044100"</f>
        <v>0611836044100</v>
      </c>
      <c r="B794" t="str">
        <f>"LC5214"</f>
        <v>LC5214</v>
      </c>
      <c r="C794" t="s">
        <v>28775</v>
      </c>
      <c r="D794" t="s">
        <v>27245</v>
      </c>
      <c r="E794" t="str">
        <f t="shared" si="12"/>
        <v>001390</v>
      </c>
      <c r="F794" t="s">
        <v>27246</v>
      </c>
      <c r="G794" t="s">
        <v>27247</v>
      </c>
      <c r="H794" t="s">
        <v>27248</v>
      </c>
      <c r="I794" t="s">
        <v>28776</v>
      </c>
      <c r="J794" t="s">
        <v>1596</v>
      </c>
      <c r="L794" t="s">
        <v>27250</v>
      </c>
      <c r="M794" t="s">
        <v>27251</v>
      </c>
      <c r="N794" t="s">
        <v>27252</v>
      </c>
      <c r="Q794" s="1">
        <v>44538</v>
      </c>
      <c r="R794" t="s">
        <v>27253</v>
      </c>
      <c r="S794" t="s">
        <v>27254</v>
      </c>
      <c r="T794" t="s">
        <v>27255</v>
      </c>
    </row>
    <row r="795" spans="1:20" x14ac:dyDescent="0.3">
      <c r="A795" t="str">
        <f>"0611838332100"</f>
        <v>0611838332100</v>
      </c>
      <c r="B795" t="str">
        <f>"LL0270"</f>
        <v>LL0270</v>
      </c>
      <c r="C795" t="s">
        <v>28777</v>
      </c>
      <c r="D795" t="s">
        <v>27245</v>
      </c>
      <c r="E795" t="str">
        <f t="shared" si="12"/>
        <v>001390</v>
      </c>
      <c r="F795" t="s">
        <v>27246</v>
      </c>
      <c r="G795" t="s">
        <v>27247</v>
      </c>
      <c r="H795" t="s">
        <v>27248</v>
      </c>
      <c r="I795" t="s">
        <v>28778</v>
      </c>
      <c r="J795" t="s">
        <v>1598</v>
      </c>
      <c r="L795" t="s">
        <v>27250</v>
      </c>
      <c r="M795" t="s">
        <v>27251</v>
      </c>
      <c r="N795" t="s">
        <v>27252</v>
      </c>
      <c r="Q795" s="1">
        <v>44538</v>
      </c>
      <c r="R795" t="s">
        <v>27253</v>
      </c>
      <c r="S795" t="s">
        <v>27254</v>
      </c>
      <c r="T795" t="s">
        <v>27255</v>
      </c>
    </row>
    <row r="796" spans="1:20" x14ac:dyDescent="0.3">
      <c r="A796" t="str">
        <f>"0611838333100"</f>
        <v>0611838333100</v>
      </c>
      <c r="B796" t="str">
        <f>"LL0271"</f>
        <v>LL0271</v>
      </c>
      <c r="C796" t="s">
        <v>28779</v>
      </c>
      <c r="D796" t="s">
        <v>27245</v>
      </c>
      <c r="E796" t="str">
        <f t="shared" si="12"/>
        <v>001390</v>
      </c>
      <c r="F796" t="s">
        <v>27246</v>
      </c>
      <c r="G796" t="s">
        <v>27247</v>
      </c>
      <c r="H796" t="s">
        <v>27248</v>
      </c>
      <c r="I796" t="s">
        <v>28780</v>
      </c>
      <c r="J796" t="s">
        <v>1600</v>
      </c>
      <c r="L796" t="s">
        <v>27250</v>
      </c>
      <c r="M796" t="s">
        <v>27251</v>
      </c>
      <c r="N796" t="s">
        <v>27252</v>
      </c>
      <c r="Q796" s="1">
        <v>44538</v>
      </c>
      <c r="R796" t="s">
        <v>27253</v>
      </c>
      <c r="S796" t="s">
        <v>27254</v>
      </c>
      <c r="T796" t="s">
        <v>27255</v>
      </c>
    </row>
    <row r="797" spans="1:20" x14ac:dyDescent="0.3">
      <c r="A797" t="str">
        <f>"0611838331100"</f>
        <v>0611838331100</v>
      </c>
      <c r="B797" t="str">
        <f>"LL0265"</f>
        <v>LL0265</v>
      </c>
      <c r="C797" t="s">
        <v>28781</v>
      </c>
      <c r="D797" t="s">
        <v>27245</v>
      </c>
      <c r="E797" t="str">
        <f t="shared" si="12"/>
        <v>001390</v>
      </c>
      <c r="F797" t="s">
        <v>27246</v>
      </c>
      <c r="G797" t="s">
        <v>27247</v>
      </c>
      <c r="H797" t="s">
        <v>27248</v>
      </c>
      <c r="I797" t="s">
        <v>28782</v>
      </c>
      <c r="J797" t="s">
        <v>1602</v>
      </c>
      <c r="L797" t="s">
        <v>27250</v>
      </c>
      <c r="M797" t="s">
        <v>27251</v>
      </c>
      <c r="N797" t="s">
        <v>27252</v>
      </c>
      <c r="Q797" s="1">
        <v>44538</v>
      </c>
      <c r="R797" t="s">
        <v>27253</v>
      </c>
      <c r="S797" t="s">
        <v>27254</v>
      </c>
      <c r="T797" t="s">
        <v>27255</v>
      </c>
    </row>
    <row r="798" spans="1:20" x14ac:dyDescent="0.3">
      <c r="A798" t="str">
        <f>"0611838336100"</f>
        <v>0611838336100</v>
      </c>
      <c r="B798" t="str">
        <f>"LL8018"</f>
        <v>LL8018</v>
      </c>
      <c r="C798" t="s">
        <v>28783</v>
      </c>
      <c r="D798" t="s">
        <v>27245</v>
      </c>
      <c r="E798" t="str">
        <f t="shared" si="12"/>
        <v>001390</v>
      </c>
      <c r="F798" t="s">
        <v>27246</v>
      </c>
      <c r="G798" t="s">
        <v>27247</v>
      </c>
      <c r="H798" t="s">
        <v>27248</v>
      </c>
      <c r="I798" t="s">
        <v>28784</v>
      </c>
      <c r="J798" t="s">
        <v>1604</v>
      </c>
      <c r="L798" t="s">
        <v>27250</v>
      </c>
      <c r="M798" t="s">
        <v>27251</v>
      </c>
      <c r="N798" t="s">
        <v>27252</v>
      </c>
      <c r="Q798" s="1">
        <v>44538</v>
      </c>
      <c r="R798" t="s">
        <v>27253</v>
      </c>
      <c r="S798" t="s">
        <v>27254</v>
      </c>
      <c r="T798" t="s">
        <v>27255</v>
      </c>
    </row>
    <row r="799" spans="1:20" x14ac:dyDescent="0.3">
      <c r="A799" t="str">
        <f>"0611838337100"</f>
        <v>0611838337100</v>
      </c>
      <c r="B799" t="str">
        <f>"LL0113"</f>
        <v>LL0113</v>
      </c>
      <c r="C799" t="s">
        <v>28785</v>
      </c>
      <c r="D799" t="s">
        <v>27245</v>
      </c>
      <c r="E799" t="str">
        <f t="shared" si="12"/>
        <v>001390</v>
      </c>
      <c r="F799" t="s">
        <v>27246</v>
      </c>
      <c r="G799" t="s">
        <v>27247</v>
      </c>
      <c r="H799" t="s">
        <v>27248</v>
      </c>
      <c r="I799" t="s">
        <v>28786</v>
      </c>
      <c r="J799" t="s">
        <v>1606</v>
      </c>
      <c r="L799" t="s">
        <v>27250</v>
      </c>
      <c r="M799" t="s">
        <v>27251</v>
      </c>
      <c r="N799" t="s">
        <v>27252</v>
      </c>
      <c r="Q799" s="1">
        <v>44538</v>
      </c>
      <c r="R799" t="s">
        <v>27253</v>
      </c>
      <c r="S799" t="s">
        <v>27254</v>
      </c>
      <c r="T799" t="s">
        <v>27255</v>
      </c>
    </row>
    <row r="800" spans="1:20" x14ac:dyDescent="0.3">
      <c r="A800" t="str">
        <f>"0611838338100"</f>
        <v>0611838338100</v>
      </c>
      <c r="B800" t="str">
        <f>"LL8071"</f>
        <v>LL8071</v>
      </c>
      <c r="C800" t="s">
        <v>28787</v>
      </c>
      <c r="D800" t="s">
        <v>27245</v>
      </c>
      <c r="E800" t="str">
        <f t="shared" si="12"/>
        <v>001390</v>
      </c>
      <c r="F800" t="s">
        <v>27246</v>
      </c>
      <c r="G800" t="s">
        <v>27247</v>
      </c>
      <c r="H800" t="s">
        <v>27248</v>
      </c>
      <c r="I800" t="s">
        <v>28788</v>
      </c>
      <c r="J800" t="s">
        <v>1608</v>
      </c>
      <c r="L800" t="s">
        <v>27250</v>
      </c>
      <c r="M800" t="s">
        <v>27251</v>
      </c>
      <c r="N800" t="s">
        <v>27252</v>
      </c>
      <c r="Q800" s="1">
        <v>44538</v>
      </c>
      <c r="R800" t="s">
        <v>27253</v>
      </c>
      <c r="S800" t="s">
        <v>27254</v>
      </c>
      <c r="T800" t="s">
        <v>27255</v>
      </c>
    </row>
    <row r="801" spans="1:20" x14ac:dyDescent="0.3">
      <c r="A801" t="str">
        <f>"0611838339200"</f>
        <v>0611838339200</v>
      </c>
      <c r="B801" t="str">
        <f>"KY0267"</f>
        <v>KY0267</v>
      </c>
      <c r="C801" t="s">
        <v>28787</v>
      </c>
      <c r="D801" t="s">
        <v>27682</v>
      </c>
      <c r="E801" t="str">
        <f t="shared" si="12"/>
        <v>001390</v>
      </c>
      <c r="F801" t="s">
        <v>27246</v>
      </c>
      <c r="G801" t="s">
        <v>27247</v>
      </c>
      <c r="H801" t="s">
        <v>27248</v>
      </c>
      <c r="I801" t="s">
        <v>28789</v>
      </c>
      <c r="J801" t="s">
        <v>1610</v>
      </c>
      <c r="L801" t="s">
        <v>27250</v>
      </c>
      <c r="M801" t="s">
        <v>27251</v>
      </c>
      <c r="N801" t="s">
        <v>27252</v>
      </c>
      <c r="Q801" s="1">
        <v>44538</v>
      </c>
      <c r="R801" t="s">
        <v>27253</v>
      </c>
      <c r="S801" t="s">
        <v>27254</v>
      </c>
      <c r="T801" t="s">
        <v>27684</v>
      </c>
    </row>
    <row r="802" spans="1:20" x14ac:dyDescent="0.3">
      <c r="A802" t="str">
        <f>"0611838340100"</f>
        <v>0611838340100</v>
      </c>
      <c r="B802" t="str">
        <f>"LL8158"</f>
        <v>LL8158</v>
      </c>
      <c r="C802" t="s">
        <v>28790</v>
      </c>
      <c r="D802" t="s">
        <v>27245</v>
      </c>
      <c r="E802" t="str">
        <f t="shared" si="12"/>
        <v>001390</v>
      </c>
      <c r="F802" t="s">
        <v>27246</v>
      </c>
      <c r="G802" t="s">
        <v>27247</v>
      </c>
      <c r="H802" t="s">
        <v>27248</v>
      </c>
      <c r="I802" t="s">
        <v>28791</v>
      </c>
      <c r="J802" t="s">
        <v>1612</v>
      </c>
      <c r="L802" t="s">
        <v>27250</v>
      </c>
      <c r="M802" t="s">
        <v>27251</v>
      </c>
      <c r="N802" t="s">
        <v>27252</v>
      </c>
      <c r="Q802" s="1">
        <v>44538</v>
      </c>
      <c r="R802" t="s">
        <v>27253</v>
      </c>
      <c r="S802" t="s">
        <v>27254</v>
      </c>
      <c r="T802" t="s">
        <v>27255</v>
      </c>
    </row>
    <row r="803" spans="1:20" x14ac:dyDescent="0.3">
      <c r="A803" t="str">
        <f>"0611838341100"</f>
        <v>0611838341100</v>
      </c>
      <c r="B803" t="str">
        <f>"LL0268"</f>
        <v>LL0268</v>
      </c>
      <c r="C803" t="s">
        <v>28792</v>
      </c>
      <c r="D803" t="s">
        <v>27245</v>
      </c>
      <c r="E803" t="str">
        <f t="shared" si="12"/>
        <v>001390</v>
      </c>
      <c r="F803" t="s">
        <v>27246</v>
      </c>
      <c r="G803" t="s">
        <v>27247</v>
      </c>
      <c r="H803" t="s">
        <v>27248</v>
      </c>
      <c r="I803" t="s">
        <v>28793</v>
      </c>
      <c r="J803" t="s">
        <v>1614</v>
      </c>
      <c r="L803" t="s">
        <v>27250</v>
      </c>
      <c r="M803" t="s">
        <v>27251</v>
      </c>
      <c r="N803" t="s">
        <v>27252</v>
      </c>
      <c r="Q803" s="1">
        <v>44538</v>
      </c>
      <c r="R803" t="s">
        <v>27253</v>
      </c>
      <c r="S803" t="s">
        <v>27254</v>
      </c>
      <c r="T803" t="s">
        <v>27255</v>
      </c>
    </row>
    <row r="804" spans="1:20" x14ac:dyDescent="0.3">
      <c r="A804" t="str">
        <f>"0611856824100"</f>
        <v>0611856824100</v>
      </c>
      <c r="B804" t="str">
        <f>"LL5036"</f>
        <v>LL5036</v>
      </c>
      <c r="C804" t="s">
        <v>28794</v>
      </c>
      <c r="D804" t="s">
        <v>27245</v>
      </c>
      <c r="E804" t="str">
        <f t="shared" si="12"/>
        <v>001390</v>
      </c>
      <c r="F804" t="s">
        <v>27246</v>
      </c>
      <c r="G804" t="s">
        <v>27247</v>
      </c>
      <c r="H804" t="s">
        <v>27248</v>
      </c>
      <c r="I804" t="s">
        <v>28795</v>
      </c>
      <c r="J804" t="s">
        <v>1616</v>
      </c>
      <c r="L804" t="s">
        <v>27250</v>
      </c>
      <c r="M804" t="s">
        <v>27251</v>
      </c>
      <c r="N804" t="s">
        <v>27252</v>
      </c>
      <c r="Q804" s="1">
        <v>44812</v>
      </c>
      <c r="R804" t="s">
        <v>27253</v>
      </c>
      <c r="S804" t="s">
        <v>27254</v>
      </c>
      <c r="T804" t="s">
        <v>27255</v>
      </c>
    </row>
    <row r="805" spans="1:20" x14ac:dyDescent="0.3">
      <c r="A805" t="str">
        <f>"0611838342100"</f>
        <v>0611838342100</v>
      </c>
      <c r="B805" t="str">
        <f>"LL8072"</f>
        <v>LL8072</v>
      </c>
      <c r="C805" t="s">
        <v>28796</v>
      </c>
      <c r="D805" t="s">
        <v>27245</v>
      </c>
      <c r="E805" t="str">
        <f t="shared" si="12"/>
        <v>001390</v>
      </c>
      <c r="F805" t="s">
        <v>27246</v>
      </c>
      <c r="G805" t="s">
        <v>27247</v>
      </c>
      <c r="H805" t="s">
        <v>27248</v>
      </c>
      <c r="I805" t="s">
        <v>28797</v>
      </c>
      <c r="J805" t="s">
        <v>1618</v>
      </c>
      <c r="L805" t="s">
        <v>27250</v>
      </c>
      <c r="M805" t="s">
        <v>27251</v>
      </c>
      <c r="N805" t="s">
        <v>27252</v>
      </c>
      <c r="Q805" s="1">
        <v>44538</v>
      </c>
      <c r="R805" t="s">
        <v>27253</v>
      </c>
      <c r="S805" t="s">
        <v>27254</v>
      </c>
      <c r="T805" t="s">
        <v>27255</v>
      </c>
    </row>
    <row r="806" spans="1:20" x14ac:dyDescent="0.3">
      <c r="A806" t="str">
        <f>"0611838343100"</f>
        <v>0611838343100</v>
      </c>
      <c r="B806" t="str">
        <f>"LL8119"</f>
        <v>LL8119</v>
      </c>
      <c r="C806" t="s">
        <v>28798</v>
      </c>
      <c r="D806" t="s">
        <v>27245</v>
      </c>
      <c r="E806" t="str">
        <f t="shared" si="12"/>
        <v>001390</v>
      </c>
      <c r="F806" t="s">
        <v>27246</v>
      </c>
      <c r="G806" t="s">
        <v>27247</v>
      </c>
      <c r="H806" t="s">
        <v>27248</v>
      </c>
      <c r="I806" t="s">
        <v>28799</v>
      </c>
      <c r="J806" t="s">
        <v>1620</v>
      </c>
      <c r="L806" t="s">
        <v>27250</v>
      </c>
      <c r="M806" t="s">
        <v>27251</v>
      </c>
      <c r="N806" t="s">
        <v>27252</v>
      </c>
      <c r="Q806" s="1">
        <v>44538</v>
      </c>
      <c r="R806" t="s">
        <v>27253</v>
      </c>
      <c r="S806" t="s">
        <v>27254</v>
      </c>
      <c r="T806" t="s">
        <v>27255</v>
      </c>
    </row>
    <row r="807" spans="1:20" x14ac:dyDescent="0.3">
      <c r="A807" t="str">
        <f>"0611838344100"</f>
        <v>0611838344100</v>
      </c>
      <c r="B807" t="str">
        <f>"LL5004"</f>
        <v>LL5004</v>
      </c>
      <c r="C807" t="s">
        <v>28800</v>
      </c>
      <c r="D807" t="s">
        <v>27245</v>
      </c>
      <c r="E807" t="str">
        <f t="shared" si="12"/>
        <v>001390</v>
      </c>
      <c r="F807" t="s">
        <v>27246</v>
      </c>
      <c r="G807" t="s">
        <v>27247</v>
      </c>
      <c r="H807" t="s">
        <v>27248</v>
      </c>
      <c r="I807" t="s">
        <v>28801</v>
      </c>
      <c r="J807" t="s">
        <v>1622</v>
      </c>
      <c r="L807" t="s">
        <v>27250</v>
      </c>
      <c r="M807" t="s">
        <v>27251</v>
      </c>
      <c r="N807" t="s">
        <v>27252</v>
      </c>
      <c r="Q807" s="1">
        <v>44538</v>
      </c>
      <c r="R807" t="s">
        <v>27253</v>
      </c>
      <c r="S807" t="s">
        <v>27254</v>
      </c>
      <c r="T807" t="s">
        <v>27255</v>
      </c>
    </row>
    <row r="808" spans="1:20" x14ac:dyDescent="0.3">
      <c r="A808" t="str">
        <f>"0611838345100"</f>
        <v>0611838345100</v>
      </c>
      <c r="B808" t="str">
        <f>"LL5005"</f>
        <v>LL5005</v>
      </c>
      <c r="C808" t="s">
        <v>28802</v>
      </c>
      <c r="D808" t="s">
        <v>27245</v>
      </c>
      <c r="E808" t="str">
        <f t="shared" si="12"/>
        <v>001390</v>
      </c>
      <c r="F808" t="s">
        <v>27246</v>
      </c>
      <c r="G808" t="s">
        <v>27247</v>
      </c>
      <c r="H808" t="s">
        <v>27248</v>
      </c>
      <c r="I808" t="s">
        <v>28803</v>
      </c>
      <c r="J808" t="s">
        <v>1624</v>
      </c>
      <c r="L808" t="s">
        <v>27250</v>
      </c>
      <c r="M808" t="s">
        <v>27251</v>
      </c>
      <c r="N808" t="s">
        <v>27252</v>
      </c>
      <c r="Q808" s="1">
        <v>44538</v>
      </c>
      <c r="R808" t="s">
        <v>27253</v>
      </c>
      <c r="S808" t="s">
        <v>27254</v>
      </c>
      <c r="T808" t="s">
        <v>27255</v>
      </c>
    </row>
    <row r="809" spans="1:20" x14ac:dyDescent="0.3">
      <c r="A809" t="str">
        <f>"0611838346100"</f>
        <v>0611838346100</v>
      </c>
      <c r="B809" t="str">
        <f>"LL0279"</f>
        <v>LL0279</v>
      </c>
      <c r="C809" t="s">
        <v>28804</v>
      </c>
      <c r="D809" t="s">
        <v>27245</v>
      </c>
      <c r="E809" t="str">
        <f t="shared" si="12"/>
        <v>001390</v>
      </c>
      <c r="F809" t="s">
        <v>27246</v>
      </c>
      <c r="G809" t="s">
        <v>27247</v>
      </c>
      <c r="H809" t="s">
        <v>27248</v>
      </c>
      <c r="I809" t="s">
        <v>28805</v>
      </c>
      <c r="J809" t="s">
        <v>1626</v>
      </c>
      <c r="L809" t="s">
        <v>27250</v>
      </c>
      <c r="M809" t="s">
        <v>27251</v>
      </c>
      <c r="N809" t="s">
        <v>27252</v>
      </c>
      <c r="Q809" s="1">
        <v>44538</v>
      </c>
      <c r="R809" t="s">
        <v>27253</v>
      </c>
      <c r="S809" t="s">
        <v>27254</v>
      </c>
      <c r="T809" t="s">
        <v>27255</v>
      </c>
    </row>
    <row r="810" spans="1:20" x14ac:dyDescent="0.3">
      <c r="A810" t="str">
        <f>"0611838347100"</f>
        <v>0611838347100</v>
      </c>
      <c r="B810" t="str">
        <f>"LL8159"</f>
        <v>LL8159</v>
      </c>
      <c r="C810" t="s">
        <v>28806</v>
      </c>
      <c r="D810" t="s">
        <v>27245</v>
      </c>
      <c r="E810" t="str">
        <f t="shared" si="12"/>
        <v>001390</v>
      </c>
      <c r="F810" t="s">
        <v>27246</v>
      </c>
      <c r="G810" t="s">
        <v>27247</v>
      </c>
      <c r="H810" t="s">
        <v>27248</v>
      </c>
      <c r="I810" t="s">
        <v>28807</v>
      </c>
      <c r="J810" t="s">
        <v>1628</v>
      </c>
      <c r="L810" t="s">
        <v>27250</v>
      </c>
      <c r="M810" t="s">
        <v>27251</v>
      </c>
      <c r="N810" t="s">
        <v>27252</v>
      </c>
      <c r="Q810" s="1">
        <v>44538</v>
      </c>
      <c r="R810" t="s">
        <v>27253</v>
      </c>
      <c r="S810" t="s">
        <v>27254</v>
      </c>
      <c r="T810" t="s">
        <v>27255</v>
      </c>
    </row>
    <row r="811" spans="1:20" x14ac:dyDescent="0.3">
      <c r="A811" t="str">
        <f>"0611838348100"</f>
        <v>0611838348100</v>
      </c>
      <c r="B811" t="str">
        <f>"LB8400"</f>
        <v>LB8400</v>
      </c>
      <c r="C811" t="s">
        <v>28808</v>
      </c>
      <c r="D811" t="s">
        <v>27245</v>
      </c>
      <c r="E811" t="str">
        <f t="shared" si="12"/>
        <v>001390</v>
      </c>
      <c r="F811" t="s">
        <v>27246</v>
      </c>
      <c r="G811" t="s">
        <v>27247</v>
      </c>
      <c r="H811" t="s">
        <v>27248</v>
      </c>
      <c r="I811" t="s">
        <v>28809</v>
      </c>
      <c r="J811" t="s">
        <v>1630</v>
      </c>
      <c r="L811" t="s">
        <v>27250</v>
      </c>
      <c r="M811" t="s">
        <v>27251</v>
      </c>
      <c r="N811" t="s">
        <v>27252</v>
      </c>
      <c r="Q811" s="1">
        <v>44538</v>
      </c>
      <c r="R811" t="s">
        <v>27253</v>
      </c>
      <c r="S811" t="s">
        <v>27254</v>
      </c>
      <c r="T811" t="s">
        <v>27255</v>
      </c>
    </row>
    <row r="812" spans="1:20" x14ac:dyDescent="0.3">
      <c r="A812" t="str">
        <f>"0611838349100"</f>
        <v>0611838349100</v>
      </c>
      <c r="B812" t="str">
        <f>"LL8336"</f>
        <v>LL8336</v>
      </c>
      <c r="C812" t="s">
        <v>28810</v>
      </c>
      <c r="D812" t="s">
        <v>27245</v>
      </c>
      <c r="E812" t="str">
        <f t="shared" si="12"/>
        <v>001390</v>
      </c>
      <c r="F812" t="s">
        <v>27246</v>
      </c>
      <c r="G812" t="s">
        <v>27247</v>
      </c>
      <c r="H812" t="s">
        <v>27248</v>
      </c>
      <c r="I812" t="s">
        <v>28811</v>
      </c>
      <c r="J812" t="s">
        <v>1632</v>
      </c>
      <c r="L812" t="s">
        <v>27250</v>
      </c>
      <c r="M812" t="s">
        <v>27251</v>
      </c>
      <c r="N812" t="s">
        <v>27252</v>
      </c>
      <c r="Q812" s="1">
        <v>44538</v>
      </c>
      <c r="R812" t="s">
        <v>27253</v>
      </c>
      <c r="S812" t="s">
        <v>27254</v>
      </c>
      <c r="T812" t="s">
        <v>27255</v>
      </c>
    </row>
    <row r="813" spans="1:20" x14ac:dyDescent="0.3">
      <c r="A813" t="str">
        <f>"0611838350100"</f>
        <v>0611838350100</v>
      </c>
      <c r="B813" t="str">
        <f>"LL5006"</f>
        <v>LL5006</v>
      </c>
      <c r="C813" t="s">
        <v>28812</v>
      </c>
      <c r="D813" t="s">
        <v>27245</v>
      </c>
      <c r="E813" t="str">
        <f t="shared" si="12"/>
        <v>001390</v>
      </c>
      <c r="F813" t="s">
        <v>27246</v>
      </c>
      <c r="G813" t="s">
        <v>27247</v>
      </c>
      <c r="H813" t="s">
        <v>27248</v>
      </c>
      <c r="I813" t="s">
        <v>28813</v>
      </c>
      <c r="J813" t="s">
        <v>1634</v>
      </c>
      <c r="L813" t="s">
        <v>27250</v>
      </c>
      <c r="M813" t="s">
        <v>27251</v>
      </c>
      <c r="N813" t="s">
        <v>27252</v>
      </c>
      <c r="Q813" s="1">
        <v>44538</v>
      </c>
      <c r="R813" t="s">
        <v>27253</v>
      </c>
      <c r="S813" t="s">
        <v>27254</v>
      </c>
      <c r="T813" t="s">
        <v>27255</v>
      </c>
    </row>
    <row r="814" spans="1:20" x14ac:dyDescent="0.3">
      <c r="A814" t="str">
        <f>"0611838351100"</f>
        <v>0611838351100</v>
      </c>
      <c r="B814" t="str">
        <f>"LL5007"</f>
        <v>LL5007</v>
      </c>
      <c r="C814" t="s">
        <v>28814</v>
      </c>
      <c r="D814" t="s">
        <v>27245</v>
      </c>
      <c r="E814" t="str">
        <f t="shared" si="12"/>
        <v>001390</v>
      </c>
      <c r="F814" t="s">
        <v>27246</v>
      </c>
      <c r="G814" t="s">
        <v>27247</v>
      </c>
      <c r="H814" t="s">
        <v>27248</v>
      </c>
      <c r="I814" t="s">
        <v>28815</v>
      </c>
      <c r="J814" t="s">
        <v>1636</v>
      </c>
      <c r="L814" t="s">
        <v>27250</v>
      </c>
      <c r="M814" t="s">
        <v>27251</v>
      </c>
      <c r="N814" t="s">
        <v>27252</v>
      </c>
      <c r="Q814" s="1">
        <v>44538</v>
      </c>
      <c r="R814" t="s">
        <v>27253</v>
      </c>
      <c r="S814" t="s">
        <v>27254</v>
      </c>
      <c r="T814" t="s">
        <v>27255</v>
      </c>
    </row>
    <row r="815" spans="1:20" x14ac:dyDescent="0.3">
      <c r="A815" t="str">
        <f>"0611838352100"</f>
        <v>0611838352100</v>
      </c>
      <c r="B815" t="str">
        <f>"LL8073"</f>
        <v>LL8073</v>
      </c>
      <c r="C815" t="s">
        <v>28816</v>
      </c>
      <c r="D815" t="s">
        <v>27245</v>
      </c>
      <c r="E815" t="str">
        <f t="shared" si="12"/>
        <v>001390</v>
      </c>
      <c r="F815" t="s">
        <v>27246</v>
      </c>
      <c r="G815" t="s">
        <v>27247</v>
      </c>
      <c r="H815" t="s">
        <v>27248</v>
      </c>
      <c r="I815" t="s">
        <v>28817</v>
      </c>
      <c r="J815" t="s">
        <v>1638</v>
      </c>
      <c r="L815" t="s">
        <v>27250</v>
      </c>
      <c r="M815" t="s">
        <v>27251</v>
      </c>
      <c r="N815" t="s">
        <v>27252</v>
      </c>
      <c r="Q815" s="1">
        <v>44538</v>
      </c>
      <c r="R815" t="s">
        <v>27253</v>
      </c>
      <c r="S815" t="s">
        <v>27254</v>
      </c>
      <c r="T815" t="s">
        <v>27255</v>
      </c>
    </row>
    <row r="816" spans="1:20" x14ac:dyDescent="0.3">
      <c r="A816" t="str">
        <f>"0611831210100"</f>
        <v>0611831210100</v>
      </c>
      <c r="B816" t="str">
        <f>"LF0800"</f>
        <v>LF0800</v>
      </c>
      <c r="C816" t="s">
        <v>28818</v>
      </c>
      <c r="D816" t="s">
        <v>27245</v>
      </c>
      <c r="E816" t="str">
        <f t="shared" si="12"/>
        <v>001390</v>
      </c>
      <c r="F816" t="s">
        <v>27246</v>
      </c>
      <c r="G816" t="s">
        <v>27247</v>
      </c>
      <c r="H816" t="s">
        <v>27248</v>
      </c>
      <c r="I816" t="s">
        <v>28819</v>
      </c>
      <c r="J816" t="s">
        <v>1640</v>
      </c>
      <c r="L816" t="s">
        <v>27250</v>
      </c>
      <c r="M816" t="s">
        <v>27251</v>
      </c>
      <c r="N816" t="s">
        <v>27252</v>
      </c>
      <c r="Q816" s="1">
        <v>44538</v>
      </c>
      <c r="R816" t="s">
        <v>27253</v>
      </c>
      <c r="S816" t="s">
        <v>27254</v>
      </c>
      <c r="T816" t="s">
        <v>27255</v>
      </c>
    </row>
    <row r="817" spans="1:20" x14ac:dyDescent="0.3">
      <c r="A817" t="str">
        <f>"0611831752100"</f>
        <v>0611831752100</v>
      </c>
      <c r="B817" t="str">
        <f>"LL8160"</f>
        <v>LL8160</v>
      </c>
      <c r="C817" t="s">
        <v>28820</v>
      </c>
      <c r="D817" t="s">
        <v>27245</v>
      </c>
      <c r="E817" t="str">
        <f t="shared" si="12"/>
        <v>001390</v>
      </c>
      <c r="F817" t="s">
        <v>27246</v>
      </c>
      <c r="G817" t="s">
        <v>27247</v>
      </c>
      <c r="H817" t="s">
        <v>27248</v>
      </c>
      <c r="I817" t="s">
        <v>28821</v>
      </c>
      <c r="J817" t="s">
        <v>1642</v>
      </c>
      <c r="L817" t="s">
        <v>27250</v>
      </c>
      <c r="M817" t="s">
        <v>27251</v>
      </c>
      <c r="N817" t="s">
        <v>27252</v>
      </c>
      <c r="Q817" s="1">
        <v>44538</v>
      </c>
      <c r="R817" t="s">
        <v>27253</v>
      </c>
      <c r="S817" t="s">
        <v>27254</v>
      </c>
      <c r="T817" t="s">
        <v>27255</v>
      </c>
    </row>
    <row r="818" spans="1:20" x14ac:dyDescent="0.3">
      <c r="A818" t="str">
        <f>"0611831750100"</f>
        <v>0611831750100</v>
      </c>
      <c r="B818" t="str">
        <f>"LL0110"</f>
        <v>LL0110</v>
      </c>
      <c r="C818" t="s">
        <v>28822</v>
      </c>
      <c r="D818" t="s">
        <v>27245</v>
      </c>
      <c r="E818" t="str">
        <f t="shared" si="12"/>
        <v>001390</v>
      </c>
      <c r="F818" t="s">
        <v>27246</v>
      </c>
      <c r="G818" t="s">
        <v>27247</v>
      </c>
      <c r="H818" t="s">
        <v>27248</v>
      </c>
      <c r="I818" t="s">
        <v>28823</v>
      </c>
      <c r="J818" t="s">
        <v>1644</v>
      </c>
      <c r="L818" t="s">
        <v>27250</v>
      </c>
      <c r="M818" t="s">
        <v>27251</v>
      </c>
      <c r="N818" t="s">
        <v>27252</v>
      </c>
      <c r="Q818" s="1">
        <v>44538</v>
      </c>
      <c r="R818" t="s">
        <v>27253</v>
      </c>
      <c r="S818" t="s">
        <v>27254</v>
      </c>
      <c r="T818" t="s">
        <v>27255</v>
      </c>
    </row>
    <row r="819" spans="1:20" x14ac:dyDescent="0.3">
      <c r="A819" t="str">
        <f>"0611831211100"</f>
        <v>0611831211100</v>
      </c>
      <c r="B819" t="str">
        <f>"LQ3630"</f>
        <v>LQ3630</v>
      </c>
      <c r="C819" t="s">
        <v>28824</v>
      </c>
      <c r="D819" t="s">
        <v>27245</v>
      </c>
      <c r="E819" t="str">
        <f t="shared" si="12"/>
        <v>001390</v>
      </c>
      <c r="F819" t="s">
        <v>27246</v>
      </c>
      <c r="G819" t="s">
        <v>27247</v>
      </c>
      <c r="H819" t="s">
        <v>27248</v>
      </c>
      <c r="I819" t="s">
        <v>28825</v>
      </c>
      <c r="J819" t="s">
        <v>1646</v>
      </c>
      <c r="L819" t="s">
        <v>27250</v>
      </c>
      <c r="M819" t="s">
        <v>27251</v>
      </c>
      <c r="N819" t="s">
        <v>27252</v>
      </c>
      <c r="Q819" s="1">
        <v>44538</v>
      </c>
      <c r="R819" t="s">
        <v>27253</v>
      </c>
      <c r="S819" t="s">
        <v>27254</v>
      </c>
      <c r="T819" t="s">
        <v>27255</v>
      </c>
    </row>
    <row r="820" spans="1:20" x14ac:dyDescent="0.3">
      <c r="A820" t="str">
        <f>"0611884014050"</f>
        <v>0611884014050</v>
      </c>
      <c r="B820" t="str">
        <f>"CE1745"</f>
        <v>CE1745</v>
      </c>
      <c r="C820" t="s">
        <v>28826</v>
      </c>
      <c r="D820" t="s">
        <v>27923</v>
      </c>
      <c r="E820" t="str">
        <f t="shared" si="12"/>
        <v>001390</v>
      </c>
      <c r="F820" t="s">
        <v>27246</v>
      </c>
      <c r="G820" t="s">
        <v>27247</v>
      </c>
      <c r="H820" t="s">
        <v>27248</v>
      </c>
      <c r="I820" t="s">
        <v>28827</v>
      </c>
      <c r="J820" t="s">
        <v>1648</v>
      </c>
      <c r="L820" t="s">
        <v>27430</v>
      </c>
      <c r="M820" t="s">
        <v>27251</v>
      </c>
      <c r="N820" t="s">
        <v>27252</v>
      </c>
      <c r="P820" t="s">
        <v>27925</v>
      </c>
      <c r="Q820" s="1">
        <v>45250</v>
      </c>
      <c r="R820" t="s">
        <v>27253</v>
      </c>
      <c r="S820" t="s">
        <v>27254</v>
      </c>
      <c r="T820" t="s">
        <v>27265</v>
      </c>
    </row>
    <row r="821" spans="1:20" x14ac:dyDescent="0.3">
      <c r="A821" t="str">
        <f>"0611884015050"</f>
        <v>0611884015050</v>
      </c>
      <c r="B821" t="str">
        <f>"CE1741"</f>
        <v>CE1741</v>
      </c>
      <c r="C821" t="s">
        <v>28828</v>
      </c>
      <c r="D821" t="s">
        <v>27923</v>
      </c>
      <c r="E821" t="str">
        <f t="shared" si="12"/>
        <v>001390</v>
      </c>
      <c r="F821" t="s">
        <v>27246</v>
      </c>
      <c r="G821" t="s">
        <v>27247</v>
      </c>
      <c r="H821" t="s">
        <v>27248</v>
      </c>
      <c r="I821" t="s">
        <v>28829</v>
      </c>
      <c r="J821" t="s">
        <v>1650</v>
      </c>
      <c r="L821" t="s">
        <v>27430</v>
      </c>
      <c r="M821" t="s">
        <v>27251</v>
      </c>
      <c r="N821" t="s">
        <v>27252</v>
      </c>
      <c r="P821" t="s">
        <v>27925</v>
      </c>
      <c r="Q821" s="1">
        <v>45250</v>
      </c>
      <c r="R821" t="s">
        <v>27253</v>
      </c>
      <c r="S821" t="s">
        <v>27254</v>
      </c>
      <c r="T821" t="s">
        <v>27265</v>
      </c>
    </row>
    <row r="822" spans="1:20" x14ac:dyDescent="0.3">
      <c r="A822" t="str">
        <f>"0611884016050"</f>
        <v>0611884016050</v>
      </c>
      <c r="B822" t="str">
        <f>"CE1740"</f>
        <v>CE1740</v>
      </c>
      <c r="C822" t="s">
        <v>28830</v>
      </c>
      <c r="D822" t="s">
        <v>27923</v>
      </c>
      <c r="E822" t="str">
        <f t="shared" si="12"/>
        <v>001390</v>
      </c>
      <c r="F822" t="s">
        <v>27246</v>
      </c>
      <c r="G822" t="s">
        <v>27247</v>
      </c>
      <c r="H822" t="s">
        <v>27248</v>
      </c>
      <c r="I822" t="s">
        <v>28831</v>
      </c>
      <c r="J822" t="s">
        <v>1652</v>
      </c>
      <c r="L822" t="s">
        <v>27430</v>
      </c>
      <c r="M822" t="s">
        <v>27251</v>
      </c>
      <c r="N822" t="s">
        <v>27252</v>
      </c>
      <c r="P822" t="s">
        <v>27925</v>
      </c>
      <c r="Q822" s="1">
        <v>45250</v>
      </c>
      <c r="R822" t="s">
        <v>27253</v>
      </c>
      <c r="S822" t="s">
        <v>27254</v>
      </c>
      <c r="T822" t="s">
        <v>27265</v>
      </c>
    </row>
    <row r="823" spans="1:20" x14ac:dyDescent="0.3">
      <c r="A823" t="str">
        <f>"0611831212100"</f>
        <v>0611831212100</v>
      </c>
      <c r="B823" t="str">
        <f>"LB0820"</f>
        <v>LB0820</v>
      </c>
      <c r="C823" t="s">
        <v>28832</v>
      </c>
      <c r="D823" t="s">
        <v>27245</v>
      </c>
      <c r="E823" t="str">
        <f t="shared" si="12"/>
        <v>001390</v>
      </c>
      <c r="F823" t="s">
        <v>27246</v>
      </c>
      <c r="G823" t="s">
        <v>27247</v>
      </c>
      <c r="H823" t="s">
        <v>27248</v>
      </c>
      <c r="I823" t="s">
        <v>28833</v>
      </c>
      <c r="J823" t="s">
        <v>1654</v>
      </c>
      <c r="L823" t="s">
        <v>27250</v>
      </c>
      <c r="M823" t="s">
        <v>27251</v>
      </c>
      <c r="N823" t="s">
        <v>27252</v>
      </c>
      <c r="Q823" s="1">
        <v>44538</v>
      </c>
      <c r="R823" t="s">
        <v>27253</v>
      </c>
      <c r="S823" t="s">
        <v>27254</v>
      </c>
      <c r="T823" t="s">
        <v>27255</v>
      </c>
    </row>
    <row r="824" spans="1:20" x14ac:dyDescent="0.3">
      <c r="A824" t="str">
        <f>"0611831213100"</f>
        <v>0611831213100</v>
      </c>
      <c r="B824" t="str">
        <f>"LB0902"</f>
        <v>LB0902</v>
      </c>
      <c r="C824" t="s">
        <v>28834</v>
      </c>
      <c r="D824" t="s">
        <v>27245</v>
      </c>
      <c r="E824" t="str">
        <f t="shared" si="12"/>
        <v>001390</v>
      </c>
      <c r="F824" t="s">
        <v>27246</v>
      </c>
      <c r="G824" t="s">
        <v>27247</v>
      </c>
      <c r="H824" t="s">
        <v>27248</v>
      </c>
      <c r="I824" t="s">
        <v>28835</v>
      </c>
      <c r="J824" t="s">
        <v>1656</v>
      </c>
      <c r="L824" t="s">
        <v>27250</v>
      </c>
      <c r="M824" t="s">
        <v>27251</v>
      </c>
      <c r="N824" t="s">
        <v>27252</v>
      </c>
      <c r="Q824" s="1">
        <v>44538</v>
      </c>
      <c r="R824" t="s">
        <v>27253</v>
      </c>
      <c r="S824" t="s">
        <v>27254</v>
      </c>
      <c r="T824" t="s">
        <v>27255</v>
      </c>
    </row>
    <row r="825" spans="1:20" x14ac:dyDescent="0.3">
      <c r="A825" t="str">
        <f>"0611831214100"</f>
        <v>0611831214100</v>
      </c>
      <c r="B825" t="str">
        <f>"LB0821"</f>
        <v>LB0821</v>
      </c>
      <c r="C825" t="s">
        <v>28836</v>
      </c>
      <c r="D825" t="s">
        <v>27245</v>
      </c>
      <c r="E825" t="str">
        <f t="shared" si="12"/>
        <v>001390</v>
      </c>
      <c r="F825" t="s">
        <v>27246</v>
      </c>
      <c r="G825" t="s">
        <v>27247</v>
      </c>
      <c r="H825" t="s">
        <v>27248</v>
      </c>
      <c r="I825" t="s">
        <v>28837</v>
      </c>
      <c r="J825" t="s">
        <v>1658</v>
      </c>
      <c r="L825" t="s">
        <v>27250</v>
      </c>
      <c r="M825" t="s">
        <v>27251</v>
      </c>
      <c r="N825" t="s">
        <v>27252</v>
      </c>
      <c r="Q825" s="1">
        <v>44538</v>
      </c>
      <c r="R825" t="s">
        <v>27253</v>
      </c>
      <c r="S825" t="s">
        <v>27254</v>
      </c>
      <c r="T825" t="s">
        <v>27255</v>
      </c>
    </row>
    <row r="826" spans="1:20" x14ac:dyDescent="0.3">
      <c r="A826" t="str">
        <f>"0611831215100"</f>
        <v>0611831215100</v>
      </c>
      <c r="B826" t="str">
        <f>"LB0822"</f>
        <v>LB0822</v>
      </c>
      <c r="C826" t="s">
        <v>28838</v>
      </c>
      <c r="D826" t="s">
        <v>27245</v>
      </c>
      <c r="E826" t="str">
        <f t="shared" si="12"/>
        <v>001390</v>
      </c>
      <c r="F826" t="s">
        <v>27246</v>
      </c>
      <c r="G826" t="s">
        <v>27247</v>
      </c>
      <c r="H826" t="s">
        <v>27248</v>
      </c>
      <c r="I826" t="s">
        <v>28839</v>
      </c>
      <c r="J826" t="s">
        <v>1660</v>
      </c>
      <c r="L826" t="s">
        <v>27250</v>
      </c>
      <c r="M826" t="s">
        <v>27251</v>
      </c>
      <c r="N826" t="s">
        <v>27252</v>
      </c>
      <c r="Q826" s="1">
        <v>44538</v>
      </c>
      <c r="R826" t="s">
        <v>27253</v>
      </c>
      <c r="S826" t="s">
        <v>27254</v>
      </c>
      <c r="T826" t="s">
        <v>27255</v>
      </c>
    </row>
    <row r="827" spans="1:20" x14ac:dyDescent="0.3">
      <c r="A827" t="str">
        <f>"0611831216100"</f>
        <v>0611831216100</v>
      </c>
      <c r="B827" t="str">
        <f>"LB0823"</f>
        <v>LB0823</v>
      </c>
      <c r="C827" t="s">
        <v>28840</v>
      </c>
      <c r="D827" t="s">
        <v>27245</v>
      </c>
      <c r="E827" t="str">
        <f t="shared" si="12"/>
        <v>001390</v>
      </c>
      <c r="F827" t="s">
        <v>27246</v>
      </c>
      <c r="G827" t="s">
        <v>27247</v>
      </c>
      <c r="H827" t="s">
        <v>27248</v>
      </c>
      <c r="I827" t="s">
        <v>28841</v>
      </c>
      <c r="J827" t="s">
        <v>1662</v>
      </c>
      <c r="L827" t="s">
        <v>27250</v>
      </c>
      <c r="M827" t="s">
        <v>27251</v>
      </c>
      <c r="N827" t="s">
        <v>27252</v>
      </c>
      <c r="Q827" s="1">
        <v>44538</v>
      </c>
      <c r="R827" t="s">
        <v>27253</v>
      </c>
      <c r="S827" t="s">
        <v>27254</v>
      </c>
      <c r="T827" t="s">
        <v>27255</v>
      </c>
    </row>
    <row r="828" spans="1:20" x14ac:dyDescent="0.3">
      <c r="A828" t="str">
        <f>"0611831217100"</f>
        <v>0611831217100</v>
      </c>
      <c r="B828" t="str">
        <f>"LB0824"</f>
        <v>LB0824</v>
      </c>
      <c r="C828" t="s">
        <v>28842</v>
      </c>
      <c r="D828" t="s">
        <v>27245</v>
      </c>
      <c r="E828" t="str">
        <f t="shared" si="12"/>
        <v>001390</v>
      </c>
      <c r="F828" t="s">
        <v>27246</v>
      </c>
      <c r="G828" t="s">
        <v>27247</v>
      </c>
      <c r="H828" t="s">
        <v>27248</v>
      </c>
      <c r="I828" t="s">
        <v>28843</v>
      </c>
      <c r="J828" t="s">
        <v>1664</v>
      </c>
      <c r="L828" t="s">
        <v>27250</v>
      </c>
      <c r="M828" t="s">
        <v>27251</v>
      </c>
      <c r="N828" t="s">
        <v>27252</v>
      </c>
      <c r="Q828" s="1">
        <v>44538</v>
      </c>
      <c r="R828" t="s">
        <v>27253</v>
      </c>
      <c r="S828" t="s">
        <v>27254</v>
      </c>
      <c r="T828" t="s">
        <v>27255</v>
      </c>
    </row>
    <row r="829" spans="1:20" x14ac:dyDescent="0.3">
      <c r="A829" t="str">
        <f>"0611831218100"</f>
        <v>0611831218100</v>
      </c>
      <c r="B829" t="str">
        <f>"LB0826"</f>
        <v>LB0826</v>
      </c>
      <c r="C829" t="s">
        <v>28844</v>
      </c>
      <c r="D829" t="s">
        <v>27245</v>
      </c>
      <c r="E829" t="str">
        <f t="shared" si="12"/>
        <v>001390</v>
      </c>
      <c r="F829" t="s">
        <v>27246</v>
      </c>
      <c r="G829" t="s">
        <v>27247</v>
      </c>
      <c r="H829" t="s">
        <v>27248</v>
      </c>
      <c r="I829" t="s">
        <v>28845</v>
      </c>
      <c r="J829" t="s">
        <v>1666</v>
      </c>
      <c r="L829" t="s">
        <v>27250</v>
      </c>
      <c r="M829" t="s">
        <v>27251</v>
      </c>
      <c r="N829" t="s">
        <v>27252</v>
      </c>
      <c r="Q829" s="1">
        <v>44538</v>
      </c>
      <c r="R829" t="s">
        <v>27253</v>
      </c>
      <c r="S829" t="s">
        <v>27254</v>
      </c>
      <c r="T829" t="s">
        <v>27255</v>
      </c>
    </row>
    <row r="830" spans="1:20" x14ac:dyDescent="0.3">
      <c r="A830" t="str">
        <f>"0611831219100"</f>
        <v>0611831219100</v>
      </c>
      <c r="B830" t="str">
        <f>"LQ3647"</f>
        <v>LQ3647</v>
      </c>
      <c r="C830" t="s">
        <v>28846</v>
      </c>
      <c r="D830" t="s">
        <v>27245</v>
      </c>
      <c r="E830" t="str">
        <f t="shared" si="12"/>
        <v>001390</v>
      </c>
      <c r="F830" t="s">
        <v>27246</v>
      </c>
      <c r="G830" t="s">
        <v>27247</v>
      </c>
      <c r="H830" t="s">
        <v>27248</v>
      </c>
      <c r="I830" t="s">
        <v>28847</v>
      </c>
      <c r="J830" t="s">
        <v>1668</v>
      </c>
      <c r="L830" t="s">
        <v>27250</v>
      </c>
      <c r="M830" t="s">
        <v>27251</v>
      </c>
      <c r="N830" t="s">
        <v>27252</v>
      </c>
      <c r="Q830" s="1">
        <v>44538</v>
      </c>
      <c r="R830" t="s">
        <v>27253</v>
      </c>
      <c r="S830" t="s">
        <v>27254</v>
      </c>
      <c r="T830" t="s">
        <v>27255</v>
      </c>
    </row>
    <row r="831" spans="1:20" x14ac:dyDescent="0.3">
      <c r="A831" t="str">
        <f>"0611884017100"</f>
        <v>0611884017100</v>
      </c>
      <c r="B831" t="str">
        <f>"LK7125"</f>
        <v>LK7125</v>
      </c>
      <c r="C831" t="s">
        <v>28848</v>
      </c>
      <c r="D831" t="s">
        <v>27245</v>
      </c>
      <c r="E831" t="str">
        <f t="shared" si="12"/>
        <v>001390</v>
      </c>
      <c r="F831" t="s">
        <v>27246</v>
      </c>
      <c r="G831" t="s">
        <v>27247</v>
      </c>
      <c r="H831" t="s">
        <v>27248</v>
      </c>
      <c r="I831" t="s">
        <v>28849</v>
      </c>
      <c r="J831" t="s">
        <v>1670</v>
      </c>
      <c r="L831" t="s">
        <v>27430</v>
      </c>
      <c r="M831" t="s">
        <v>27251</v>
      </c>
      <c r="N831" t="s">
        <v>27252</v>
      </c>
      <c r="Q831" s="1">
        <v>45250</v>
      </c>
      <c r="R831" t="s">
        <v>27253</v>
      </c>
      <c r="S831" t="s">
        <v>27254</v>
      </c>
      <c r="T831" t="s">
        <v>27255</v>
      </c>
    </row>
    <row r="832" spans="1:20" x14ac:dyDescent="0.3">
      <c r="A832" t="str">
        <f>"0611831225100"</f>
        <v>0611831225100</v>
      </c>
      <c r="B832" t="str">
        <f>"LK5662"</f>
        <v>LK5662</v>
      </c>
      <c r="C832" t="s">
        <v>28850</v>
      </c>
      <c r="D832" t="s">
        <v>27245</v>
      </c>
      <c r="E832" t="str">
        <f t="shared" si="12"/>
        <v>001390</v>
      </c>
      <c r="F832" t="s">
        <v>27246</v>
      </c>
      <c r="G832" t="s">
        <v>27247</v>
      </c>
      <c r="H832" t="s">
        <v>27248</v>
      </c>
      <c r="I832" t="s">
        <v>28851</v>
      </c>
      <c r="J832" t="s">
        <v>1676</v>
      </c>
      <c r="L832" t="s">
        <v>27250</v>
      </c>
      <c r="M832" t="s">
        <v>27251</v>
      </c>
      <c r="N832" t="s">
        <v>27252</v>
      </c>
      <c r="Q832" s="1">
        <v>44538</v>
      </c>
      <c r="R832" t="s">
        <v>27253</v>
      </c>
      <c r="S832" t="s">
        <v>27254</v>
      </c>
      <c r="T832" t="s">
        <v>27255</v>
      </c>
    </row>
    <row r="833" spans="1:20" x14ac:dyDescent="0.3">
      <c r="A833" t="str">
        <f>"0611831226100"</f>
        <v>0611831226100</v>
      </c>
      <c r="B833" t="str">
        <f>"LK5700"</f>
        <v>LK5700</v>
      </c>
      <c r="C833" t="s">
        <v>28852</v>
      </c>
      <c r="D833" t="s">
        <v>27245</v>
      </c>
      <c r="E833" t="str">
        <f t="shared" si="12"/>
        <v>001390</v>
      </c>
      <c r="F833" t="s">
        <v>27246</v>
      </c>
      <c r="G833" t="s">
        <v>27247</v>
      </c>
      <c r="H833" t="s">
        <v>27248</v>
      </c>
      <c r="I833" t="s">
        <v>28853</v>
      </c>
      <c r="J833" t="s">
        <v>1678</v>
      </c>
      <c r="L833" t="s">
        <v>27250</v>
      </c>
      <c r="M833" t="s">
        <v>27251</v>
      </c>
      <c r="N833" t="s">
        <v>27252</v>
      </c>
      <c r="Q833" s="1">
        <v>44538</v>
      </c>
      <c r="R833" t="s">
        <v>27253</v>
      </c>
      <c r="S833" t="s">
        <v>27254</v>
      </c>
      <c r="T833" t="s">
        <v>27255</v>
      </c>
    </row>
    <row r="834" spans="1:20" x14ac:dyDescent="0.3">
      <c r="A834" t="str">
        <f>"0611831227100"</f>
        <v>0611831227100</v>
      </c>
      <c r="B834" t="str">
        <f>"LK1529"</f>
        <v>LK1529</v>
      </c>
      <c r="C834" t="s">
        <v>28854</v>
      </c>
      <c r="D834" t="s">
        <v>27245</v>
      </c>
      <c r="E834" t="str">
        <f t="shared" ref="E834:E897" si="13">"001390"</f>
        <v>001390</v>
      </c>
      <c r="F834" t="s">
        <v>27246</v>
      </c>
      <c r="G834" t="s">
        <v>27247</v>
      </c>
      <c r="H834" t="s">
        <v>27248</v>
      </c>
      <c r="I834" t="s">
        <v>28855</v>
      </c>
      <c r="J834" t="s">
        <v>1680</v>
      </c>
      <c r="L834" t="s">
        <v>27250</v>
      </c>
      <c r="M834" t="s">
        <v>27251</v>
      </c>
      <c r="N834" t="s">
        <v>27252</v>
      </c>
      <c r="Q834" s="1">
        <v>44538</v>
      </c>
      <c r="R834" t="s">
        <v>27253</v>
      </c>
      <c r="S834" t="s">
        <v>27254</v>
      </c>
      <c r="T834" t="s">
        <v>27255</v>
      </c>
    </row>
    <row r="835" spans="1:20" x14ac:dyDescent="0.3">
      <c r="A835" t="str">
        <f>"0611884018100"</f>
        <v>0611884018100</v>
      </c>
      <c r="B835" t="str">
        <f>"LK7122"</f>
        <v>LK7122</v>
      </c>
      <c r="C835" t="s">
        <v>28856</v>
      </c>
      <c r="D835" t="s">
        <v>27245</v>
      </c>
      <c r="E835" t="str">
        <f t="shared" si="13"/>
        <v>001390</v>
      </c>
      <c r="F835" t="s">
        <v>27246</v>
      </c>
      <c r="G835" t="s">
        <v>27247</v>
      </c>
      <c r="H835" t="s">
        <v>27248</v>
      </c>
      <c r="I835" t="s">
        <v>28857</v>
      </c>
      <c r="J835" t="s">
        <v>1672</v>
      </c>
      <c r="L835" t="s">
        <v>27430</v>
      </c>
      <c r="M835" t="s">
        <v>27251</v>
      </c>
      <c r="N835" t="s">
        <v>27252</v>
      </c>
      <c r="Q835" s="1">
        <v>45250</v>
      </c>
      <c r="R835" t="s">
        <v>27253</v>
      </c>
      <c r="S835" t="s">
        <v>27254</v>
      </c>
      <c r="T835" t="s">
        <v>27255</v>
      </c>
    </row>
    <row r="836" spans="1:20" x14ac:dyDescent="0.3">
      <c r="A836" t="str">
        <f>"0611831228100"</f>
        <v>0611831228100</v>
      </c>
      <c r="B836" t="str">
        <f>"LK5663"</f>
        <v>LK5663</v>
      </c>
      <c r="C836" t="s">
        <v>28858</v>
      </c>
      <c r="D836" t="s">
        <v>27245</v>
      </c>
      <c r="E836" t="str">
        <f t="shared" si="13"/>
        <v>001390</v>
      </c>
      <c r="F836" t="s">
        <v>27246</v>
      </c>
      <c r="G836" t="s">
        <v>27247</v>
      </c>
      <c r="H836" t="s">
        <v>27248</v>
      </c>
      <c r="I836" t="s">
        <v>28859</v>
      </c>
      <c r="J836" t="s">
        <v>1682</v>
      </c>
      <c r="L836" t="s">
        <v>27250</v>
      </c>
      <c r="M836" t="s">
        <v>27251</v>
      </c>
      <c r="N836" t="s">
        <v>27252</v>
      </c>
      <c r="Q836" s="1">
        <v>44538</v>
      </c>
      <c r="R836" t="s">
        <v>27253</v>
      </c>
      <c r="S836" t="s">
        <v>27254</v>
      </c>
      <c r="T836" t="s">
        <v>27255</v>
      </c>
    </row>
    <row r="837" spans="1:20" x14ac:dyDescent="0.3">
      <c r="A837" t="str">
        <f>"0611831229100"</f>
        <v>0611831229100</v>
      </c>
      <c r="B837" t="str">
        <f>"LK5701"</f>
        <v>LK5701</v>
      </c>
      <c r="C837" t="s">
        <v>28860</v>
      </c>
      <c r="D837" t="s">
        <v>27245</v>
      </c>
      <c r="E837" t="str">
        <f t="shared" si="13"/>
        <v>001390</v>
      </c>
      <c r="F837" t="s">
        <v>27246</v>
      </c>
      <c r="G837" t="s">
        <v>27247</v>
      </c>
      <c r="H837" t="s">
        <v>27248</v>
      </c>
      <c r="I837" t="s">
        <v>28861</v>
      </c>
      <c r="J837" t="s">
        <v>1674</v>
      </c>
      <c r="L837" t="s">
        <v>27250</v>
      </c>
      <c r="M837" t="s">
        <v>27251</v>
      </c>
      <c r="N837" t="s">
        <v>27252</v>
      </c>
      <c r="Q837" s="1">
        <v>44538</v>
      </c>
      <c r="R837" t="s">
        <v>27253</v>
      </c>
      <c r="S837" t="s">
        <v>27254</v>
      </c>
      <c r="T837" t="s">
        <v>27255</v>
      </c>
    </row>
    <row r="838" spans="1:20" x14ac:dyDescent="0.3">
      <c r="A838" t="str">
        <f>"0611831230100"</f>
        <v>0611831230100</v>
      </c>
      <c r="B838" t="str">
        <f>"LK2712"</f>
        <v>LK2712</v>
      </c>
      <c r="C838" t="s">
        <v>28862</v>
      </c>
      <c r="D838" t="s">
        <v>27245</v>
      </c>
      <c r="E838" t="str">
        <f t="shared" si="13"/>
        <v>001390</v>
      </c>
      <c r="F838" t="s">
        <v>27246</v>
      </c>
      <c r="G838" t="s">
        <v>27247</v>
      </c>
      <c r="H838" t="s">
        <v>27248</v>
      </c>
      <c r="I838" t="s">
        <v>28863</v>
      </c>
      <c r="J838" t="s">
        <v>1684</v>
      </c>
      <c r="L838" t="s">
        <v>27250</v>
      </c>
      <c r="M838" t="s">
        <v>27251</v>
      </c>
      <c r="N838" t="s">
        <v>27252</v>
      </c>
      <c r="Q838" s="1">
        <v>44538</v>
      </c>
      <c r="R838" t="s">
        <v>27253</v>
      </c>
      <c r="S838" t="s">
        <v>27254</v>
      </c>
      <c r="T838" t="s">
        <v>27255</v>
      </c>
    </row>
    <row r="839" spans="1:20" x14ac:dyDescent="0.3">
      <c r="A839" t="str">
        <f>"0611860583050"</f>
        <v>0611860583050</v>
      </c>
      <c r="B839" t="str">
        <f>"CR5067"</f>
        <v>CR5067</v>
      </c>
      <c r="C839" t="s">
        <v>28864</v>
      </c>
      <c r="D839" t="s">
        <v>27263</v>
      </c>
      <c r="E839" t="str">
        <f t="shared" si="13"/>
        <v>001390</v>
      </c>
      <c r="F839" t="s">
        <v>27246</v>
      </c>
      <c r="G839" t="s">
        <v>27247</v>
      </c>
      <c r="H839" t="s">
        <v>27248</v>
      </c>
      <c r="I839" t="s">
        <v>28865</v>
      </c>
      <c r="J839" t="s">
        <v>1686</v>
      </c>
      <c r="L839" t="s">
        <v>27250</v>
      </c>
      <c r="M839" t="s">
        <v>27251</v>
      </c>
      <c r="N839" t="s">
        <v>27252</v>
      </c>
      <c r="Q839" s="1">
        <v>44846</v>
      </c>
      <c r="R839" t="s">
        <v>27253</v>
      </c>
      <c r="S839" t="s">
        <v>27254</v>
      </c>
      <c r="T839" t="s">
        <v>27265</v>
      </c>
    </row>
    <row r="840" spans="1:20" x14ac:dyDescent="0.3">
      <c r="A840" t="str">
        <f>"0611831231100"</f>
        <v>0611831231100</v>
      </c>
      <c r="B840" t="str">
        <f>"LK3282"</f>
        <v>LK3282</v>
      </c>
      <c r="C840" t="s">
        <v>28866</v>
      </c>
      <c r="D840" t="s">
        <v>28138</v>
      </c>
      <c r="E840" t="str">
        <f t="shared" si="13"/>
        <v>001390</v>
      </c>
      <c r="F840" t="s">
        <v>27246</v>
      </c>
      <c r="G840" t="s">
        <v>27247</v>
      </c>
      <c r="H840" t="s">
        <v>27248</v>
      </c>
      <c r="I840" t="s">
        <v>28867</v>
      </c>
      <c r="J840" t="s">
        <v>1688</v>
      </c>
      <c r="L840" t="s">
        <v>27250</v>
      </c>
      <c r="M840" t="s">
        <v>27251</v>
      </c>
      <c r="N840" t="s">
        <v>27252</v>
      </c>
      <c r="P840" t="s">
        <v>27925</v>
      </c>
      <c r="Q840" s="1">
        <v>44538</v>
      </c>
      <c r="R840" t="s">
        <v>27253</v>
      </c>
      <c r="S840" t="s">
        <v>27254</v>
      </c>
      <c r="T840" t="s">
        <v>27255</v>
      </c>
    </row>
    <row r="841" spans="1:20" x14ac:dyDescent="0.3">
      <c r="A841" t="str">
        <f>"0611831232100"</f>
        <v>0611831232100</v>
      </c>
      <c r="B841" t="str">
        <f>"LK3222"</f>
        <v>LK3222</v>
      </c>
      <c r="C841" t="s">
        <v>28868</v>
      </c>
      <c r="D841" t="s">
        <v>28138</v>
      </c>
      <c r="E841" t="str">
        <f t="shared" si="13"/>
        <v>001390</v>
      </c>
      <c r="F841" t="s">
        <v>27246</v>
      </c>
      <c r="G841" t="s">
        <v>27247</v>
      </c>
      <c r="H841" t="s">
        <v>27248</v>
      </c>
      <c r="I841" t="s">
        <v>28869</v>
      </c>
      <c r="J841" t="s">
        <v>1690</v>
      </c>
      <c r="L841" t="s">
        <v>27250</v>
      </c>
      <c r="M841" t="s">
        <v>27251</v>
      </c>
      <c r="N841" t="s">
        <v>27252</v>
      </c>
      <c r="O841">
        <v>200</v>
      </c>
      <c r="P841" t="s">
        <v>27925</v>
      </c>
      <c r="Q841" s="1">
        <v>44538</v>
      </c>
      <c r="R841" t="s">
        <v>27253</v>
      </c>
      <c r="S841" t="s">
        <v>27254</v>
      </c>
      <c r="T841" t="s">
        <v>27255</v>
      </c>
    </row>
    <row r="842" spans="1:20" x14ac:dyDescent="0.3">
      <c r="A842" t="str">
        <f>"0611831234100"</f>
        <v>0611831234100</v>
      </c>
      <c r="B842" t="str">
        <f>"LK3223"</f>
        <v>LK3223</v>
      </c>
      <c r="C842" t="s">
        <v>28870</v>
      </c>
      <c r="D842" t="s">
        <v>28138</v>
      </c>
      <c r="E842" t="str">
        <f t="shared" si="13"/>
        <v>001390</v>
      </c>
      <c r="F842" t="s">
        <v>27246</v>
      </c>
      <c r="G842" t="s">
        <v>27247</v>
      </c>
      <c r="H842" t="s">
        <v>27248</v>
      </c>
      <c r="I842" t="s">
        <v>28871</v>
      </c>
      <c r="J842" t="s">
        <v>1692</v>
      </c>
      <c r="L842" t="s">
        <v>27250</v>
      </c>
      <c r="M842" t="s">
        <v>27251</v>
      </c>
      <c r="N842" t="s">
        <v>27252</v>
      </c>
      <c r="P842" t="s">
        <v>27925</v>
      </c>
      <c r="Q842" s="1">
        <v>44538</v>
      </c>
      <c r="R842" t="s">
        <v>27253</v>
      </c>
      <c r="S842" t="s">
        <v>27254</v>
      </c>
      <c r="T842" t="s">
        <v>27255</v>
      </c>
    </row>
    <row r="843" spans="1:20" x14ac:dyDescent="0.3">
      <c r="A843" t="str">
        <f>"0611831233100"</f>
        <v>0611831233100</v>
      </c>
      <c r="B843" t="str">
        <f>"LK3283"</f>
        <v>LK3283</v>
      </c>
      <c r="C843" t="s">
        <v>28872</v>
      </c>
      <c r="D843" t="s">
        <v>28138</v>
      </c>
      <c r="E843" t="str">
        <f t="shared" si="13"/>
        <v>001390</v>
      </c>
      <c r="F843" t="s">
        <v>27246</v>
      </c>
      <c r="G843" t="s">
        <v>27247</v>
      </c>
      <c r="H843" t="s">
        <v>27248</v>
      </c>
      <c r="I843" t="s">
        <v>28873</v>
      </c>
      <c r="J843" t="s">
        <v>1694</v>
      </c>
      <c r="L843" t="s">
        <v>27250</v>
      </c>
      <c r="M843" t="s">
        <v>27251</v>
      </c>
      <c r="N843" t="s">
        <v>27252</v>
      </c>
      <c r="P843" t="s">
        <v>27925</v>
      </c>
      <c r="Q843" s="1">
        <v>44538</v>
      </c>
      <c r="R843" t="s">
        <v>27253</v>
      </c>
      <c r="S843" t="s">
        <v>27254</v>
      </c>
      <c r="T843" t="s">
        <v>27255</v>
      </c>
    </row>
    <row r="844" spans="1:20" x14ac:dyDescent="0.3">
      <c r="A844" t="str">
        <f>"0611831235100"</f>
        <v>0611831235100</v>
      </c>
      <c r="B844" t="str">
        <f>"LK3224"</f>
        <v>LK3224</v>
      </c>
      <c r="C844" t="s">
        <v>28874</v>
      </c>
      <c r="D844" t="s">
        <v>28138</v>
      </c>
      <c r="E844" t="str">
        <f t="shared" si="13"/>
        <v>001390</v>
      </c>
      <c r="F844" t="s">
        <v>27246</v>
      </c>
      <c r="G844" t="s">
        <v>27247</v>
      </c>
      <c r="H844" t="s">
        <v>27248</v>
      </c>
      <c r="I844" t="s">
        <v>28875</v>
      </c>
      <c r="J844" t="s">
        <v>1696</v>
      </c>
      <c r="L844" t="s">
        <v>27250</v>
      </c>
      <c r="M844" t="s">
        <v>27251</v>
      </c>
      <c r="N844" t="s">
        <v>27252</v>
      </c>
      <c r="P844" t="s">
        <v>27925</v>
      </c>
      <c r="Q844" s="1">
        <v>44538</v>
      </c>
      <c r="R844" t="s">
        <v>27253</v>
      </c>
      <c r="S844" t="s">
        <v>27254</v>
      </c>
      <c r="T844" t="s">
        <v>27255</v>
      </c>
    </row>
    <row r="845" spans="1:20" x14ac:dyDescent="0.3">
      <c r="A845" t="str">
        <f>"0611831236100"</f>
        <v>0611831236100</v>
      </c>
      <c r="B845" t="str">
        <f>"LK3225"</f>
        <v>LK3225</v>
      </c>
      <c r="C845" t="s">
        <v>28876</v>
      </c>
      <c r="D845" t="s">
        <v>28138</v>
      </c>
      <c r="E845" t="str">
        <f t="shared" si="13"/>
        <v>001390</v>
      </c>
      <c r="F845" t="s">
        <v>27246</v>
      </c>
      <c r="G845" t="s">
        <v>27247</v>
      </c>
      <c r="H845" t="s">
        <v>27248</v>
      </c>
      <c r="I845" t="s">
        <v>28877</v>
      </c>
      <c r="J845" t="s">
        <v>1698</v>
      </c>
      <c r="L845" t="s">
        <v>27250</v>
      </c>
      <c r="M845" t="s">
        <v>27251</v>
      </c>
      <c r="N845" t="s">
        <v>27252</v>
      </c>
      <c r="O845">
        <v>200</v>
      </c>
      <c r="P845" t="s">
        <v>27925</v>
      </c>
      <c r="Q845" s="1">
        <v>44538</v>
      </c>
      <c r="R845" t="s">
        <v>27253</v>
      </c>
      <c r="S845" t="s">
        <v>27254</v>
      </c>
      <c r="T845" t="s">
        <v>27255</v>
      </c>
    </row>
    <row r="846" spans="1:20" x14ac:dyDescent="0.3">
      <c r="A846" t="str">
        <f>"0611831237100"</f>
        <v>0611831237100</v>
      </c>
      <c r="B846" t="str">
        <f>"LK3284"</f>
        <v>LK3284</v>
      </c>
      <c r="C846" t="s">
        <v>28878</v>
      </c>
      <c r="D846" t="s">
        <v>28138</v>
      </c>
      <c r="E846" t="str">
        <f t="shared" si="13"/>
        <v>001390</v>
      </c>
      <c r="F846" t="s">
        <v>27246</v>
      </c>
      <c r="G846" t="s">
        <v>27247</v>
      </c>
      <c r="H846" t="s">
        <v>27248</v>
      </c>
      <c r="I846" t="s">
        <v>28879</v>
      </c>
      <c r="J846" t="s">
        <v>1700</v>
      </c>
      <c r="L846" t="s">
        <v>27250</v>
      </c>
      <c r="M846" t="s">
        <v>27251</v>
      </c>
      <c r="N846" t="s">
        <v>27252</v>
      </c>
      <c r="P846" t="s">
        <v>27925</v>
      </c>
      <c r="Q846" s="1">
        <v>44538</v>
      </c>
      <c r="R846" t="s">
        <v>27253</v>
      </c>
      <c r="S846" t="s">
        <v>27254</v>
      </c>
      <c r="T846" t="s">
        <v>27255</v>
      </c>
    </row>
    <row r="847" spans="1:20" x14ac:dyDescent="0.3">
      <c r="A847" t="str">
        <f>"0611831238100"</f>
        <v>0611831238100</v>
      </c>
      <c r="B847" t="str">
        <f>"LK3226"</f>
        <v>LK3226</v>
      </c>
      <c r="C847" t="s">
        <v>28880</v>
      </c>
      <c r="D847" t="s">
        <v>28138</v>
      </c>
      <c r="E847" t="str">
        <f t="shared" si="13"/>
        <v>001390</v>
      </c>
      <c r="F847" t="s">
        <v>27246</v>
      </c>
      <c r="G847" t="s">
        <v>27247</v>
      </c>
      <c r="H847" t="s">
        <v>27248</v>
      </c>
      <c r="I847" t="s">
        <v>28881</v>
      </c>
      <c r="J847" t="s">
        <v>1702</v>
      </c>
      <c r="L847" t="s">
        <v>27250</v>
      </c>
      <c r="M847" t="s">
        <v>27251</v>
      </c>
      <c r="N847" t="s">
        <v>27252</v>
      </c>
      <c r="P847" t="s">
        <v>27925</v>
      </c>
      <c r="Q847" s="1">
        <v>44538</v>
      </c>
      <c r="R847" t="s">
        <v>27253</v>
      </c>
      <c r="S847" t="s">
        <v>27254</v>
      </c>
      <c r="T847" t="s">
        <v>27255</v>
      </c>
    </row>
    <row r="848" spans="1:20" x14ac:dyDescent="0.3">
      <c r="A848" t="str">
        <f>"0611831240100"</f>
        <v>0611831240100</v>
      </c>
      <c r="B848" t="str">
        <f>"LK3227"</f>
        <v>LK3227</v>
      </c>
      <c r="C848" t="s">
        <v>28882</v>
      </c>
      <c r="D848" t="s">
        <v>28138</v>
      </c>
      <c r="E848" t="str">
        <f t="shared" si="13"/>
        <v>001390</v>
      </c>
      <c r="F848" t="s">
        <v>27246</v>
      </c>
      <c r="G848" t="s">
        <v>27247</v>
      </c>
      <c r="H848" t="s">
        <v>27248</v>
      </c>
      <c r="I848" t="s">
        <v>28883</v>
      </c>
      <c r="J848" t="s">
        <v>1704</v>
      </c>
      <c r="L848" t="s">
        <v>27250</v>
      </c>
      <c r="M848" t="s">
        <v>27251</v>
      </c>
      <c r="N848" t="s">
        <v>27252</v>
      </c>
      <c r="P848" t="s">
        <v>27925</v>
      </c>
      <c r="Q848" s="1">
        <v>44538</v>
      </c>
      <c r="R848" t="s">
        <v>27253</v>
      </c>
      <c r="S848" t="s">
        <v>27254</v>
      </c>
      <c r="T848" t="s">
        <v>27255</v>
      </c>
    </row>
    <row r="849" spans="1:20" x14ac:dyDescent="0.3">
      <c r="A849" t="str">
        <f>"0611831239100"</f>
        <v>0611831239100</v>
      </c>
      <c r="B849" t="str">
        <f>"LK4265"</f>
        <v>LK4265</v>
      </c>
      <c r="C849" t="s">
        <v>28884</v>
      </c>
      <c r="D849" t="s">
        <v>28138</v>
      </c>
      <c r="E849" t="str">
        <f t="shared" si="13"/>
        <v>001390</v>
      </c>
      <c r="F849" t="s">
        <v>27246</v>
      </c>
      <c r="G849" t="s">
        <v>27247</v>
      </c>
      <c r="H849" t="s">
        <v>27248</v>
      </c>
      <c r="I849" t="s">
        <v>28885</v>
      </c>
      <c r="J849" t="s">
        <v>1706</v>
      </c>
      <c r="L849" t="s">
        <v>27250</v>
      </c>
      <c r="M849" t="s">
        <v>27251</v>
      </c>
      <c r="N849" t="s">
        <v>27252</v>
      </c>
      <c r="P849" t="s">
        <v>27925</v>
      </c>
      <c r="Q849" s="1">
        <v>44538</v>
      </c>
      <c r="R849" t="s">
        <v>27253</v>
      </c>
      <c r="S849" t="s">
        <v>27254</v>
      </c>
      <c r="T849" t="s">
        <v>27255</v>
      </c>
    </row>
    <row r="850" spans="1:20" x14ac:dyDescent="0.3">
      <c r="A850" t="str">
        <f>"0611831241100"</f>
        <v>0611831241100</v>
      </c>
      <c r="B850" t="str">
        <f>"LK3228"</f>
        <v>LK3228</v>
      </c>
      <c r="C850" t="s">
        <v>28886</v>
      </c>
      <c r="D850" t="s">
        <v>28138</v>
      </c>
      <c r="E850" t="str">
        <f t="shared" si="13"/>
        <v>001390</v>
      </c>
      <c r="F850" t="s">
        <v>27246</v>
      </c>
      <c r="G850" t="s">
        <v>27247</v>
      </c>
      <c r="H850" t="s">
        <v>27248</v>
      </c>
      <c r="I850" t="s">
        <v>28887</v>
      </c>
      <c r="J850" t="s">
        <v>1708</v>
      </c>
      <c r="L850" t="s">
        <v>27250</v>
      </c>
      <c r="M850" t="s">
        <v>27251</v>
      </c>
      <c r="N850" t="s">
        <v>27252</v>
      </c>
      <c r="P850" t="s">
        <v>27925</v>
      </c>
      <c r="Q850" s="1">
        <v>44538</v>
      </c>
      <c r="R850" t="s">
        <v>27253</v>
      </c>
      <c r="S850" t="s">
        <v>27254</v>
      </c>
      <c r="T850" t="s">
        <v>27255</v>
      </c>
    </row>
    <row r="851" spans="1:20" x14ac:dyDescent="0.3">
      <c r="A851" t="str">
        <f>"0611831242100"</f>
        <v>0611831242100</v>
      </c>
      <c r="B851" t="str">
        <f>"LK3229"</f>
        <v>LK3229</v>
      </c>
      <c r="C851" t="s">
        <v>28888</v>
      </c>
      <c r="D851" t="s">
        <v>28138</v>
      </c>
      <c r="E851" t="str">
        <f t="shared" si="13"/>
        <v>001390</v>
      </c>
      <c r="F851" t="s">
        <v>27246</v>
      </c>
      <c r="G851" t="s">
        <v>27247</v>
      </c>
      <c r="H851" t="s">
        <v>27248</v>
      </c>
      <c r="I851" t="s">
        <v>28889</v>
      </c>
      <c r="J851" t="s">
        <v>1710</v>
      </c>
      <c r="L851" t="s">
        <v>27250</v>
      </c>
      <c r="M851" t="s">
        <v>27251</v>
      </c>
      <c r="N851" t="s">
        <v>27252</v>
      </c>
      <c r="P851" t="s">
        <v>27925</v>
      </c>
      <c r="Q851" s="1">
        <v>44538</v>
      </c>
      <c r="R851" t="s">
        <v>27253</v>
      </c>
      <c r="S851" t="s">
        <v>27254</v>
      </c>
      <c r="T851" t="s">
        <v>27255</v>
      </c>
    </row>
    <row r="852" spans="1:20" x14ac:dyDescent="0.3">
      <c r="A852" t="str">
        <f>"0611831243100"</f>
        <v>0611831243100</v>
      </c>
      <c r="B852" t="str">
        <f>"LK3564"</f>
        <v>LK3564</v>
      </c>
      <c r="C852" t="s">
        <v>28890</v>
      </c>
      <c r="D852" t="s">
        <v>28138</v>
      </c>
      <c r="E852" t="str">
        <f t="shared" si="13"/>
        <v>001390</v>
      </c>
      <c r="F852" t="s">
        <v>27246</v>
      </c>
      <c r="G852" t="s">
        <v>27247</v>
      </c>
      <c r="H852" t="s">
        <v>27248</v>
      </c>
      <c r="I852" t="s">
        <v>28891</v>
      </c>
      <c r="J852" t="s">
        <v>1712</v>
      </c>
      <c r="L852" t="s">
        <v>27250</v>
      </c>
      <c r="M852" t="s">
        <v>27251</v>
      </c>
      <c r="N852" t="s">
        <v>27252</v>
      </c>
      <c r="P852" t="s">
        <v>27925</v>
      </c>
      <c r="Q852" s="1">
        <v>44538</v>
      </c>
      <c r="R852" t="s">
        <v>27253</v>
      </c>
      <c r="S852" t="s">
        <v>27254</v>
      </c>
      <c r="T852" t="s">
        <v>27255</v>
      </c>
    </row>
    <row r="853" spans="1:20" x14ac:dyDescent="0.3">
      <c r="A853" t="str">
        <f>"0611831244100"</f>
        <v>0611831244100</v>
      </c>
      <c r="B853" t="str">
        <f>"LK3285"</f>
        <v>LK3285</v>
      </c>
      <c r="C853" t="s">
        <v>28892</v>
      </c>
      <c r="D853" t="s">
        <v>28138</v>
      </c>
      <c r="E853" t="str">
        <f t="shared" si="13"/>
        <v>001390</v>
      </c>
      <c r="F853" t="s">
        <v>27246</v>
      </c>
      <c r="G853" t="s">
        <v>27247</v>
      </c>
      <c r="H853" t="s">
        <v>27248</v>
      </c>
      <c r="I853" t="s">
        <v>28893</v>
      </c>
      <c r="J853" t="s">
        <v>1714</v>
      </c>
      <c r="L853" t="s">
        <v>27250</v>
      </c>
      <c r="M853" t="s">
        <v>27251</v>
      </c>
      <c r="N853" t="s">
        <v>27252</v>
      </c>
      <c r="P853" t="s">
        <v>27925</v>
      </c>
      <c r="Q853" s="1">
        <v>44538</v>
      </c>
      <c r="R853" t="s">
        <v>27253</v>
      </c>
      <c r="S853" t="s">
        <v>27254</v>
      </c>
      <c r="T853" t="s">
        <v>27255</v>
      </c>
    </row>
    <row r="854" spans="1:20" x14ac:dyDescent="0.3">
      <c r="A854" t="str">
        <f>"0611831245100"</f>
        <v>0611831245100</v>
      </c>
      <c r="B854" t="str">
        <f>"LQ3648"</f>
        <v>LQ3648</v>
      </c>
      <c r="C854" t="s">
        <v>28894</v>
      </c>
      <c r="D854" t="s">
        <v>27245</v>
      </c>
      <c r="E854" t="str">
        <f t="shared" si="13"/>
        <v>001390</v>
      </c>
      <c r="F854" t="s">
        <v>27246</v>
      </c>
      <c r="G854" t="s">
        <v>27247</v>
      </c>
      <c r="H854" t="s">
        <v>27248</v>
      </c>
      <c r="I854" t="s">
        <v>28895</v>
      </c>
      <c r="J854" t="s">
        <v>1716</v>
      </c>
      <c r="L854" t="s">
        <v>27250</v>
      </c>
      <c r="M854" t="s">
        <v>27251</v>
      </c>
      <c r="N854" t="s">
        <v>27252</v>
      </c>
      <c r="Q854" s="1">
        <v>44538</v>
      </c>
      <c r="R854" t="s">
        <v>27253</v>
      </c>
      <c r="S854" t="s">
        <v>27254</v>
      </c>
      <c r="T854" t="s">
        <v>27255</v>
      </c>
    </row>
    <row r="855" spans="1:20" x14ac:dyDescent="0.3">
      <c r="A855" t="str">
        <f>"0611860584050"</f>
        <v>0611860584050</v>
      </c>
      <c r="B855" t="str">
        <f>"CR2611"</f>
        <v>CR2611</v>
      </c>
      <c r="C855" t="s">
        <v>28894</v>
      </c>
      <c r="D855" t="s">
        <v>27263</v>
      </c>
      <c r="E855" t="str">
        <f t="shared" si="13"/>
        <v>001390</v>
      </c>
      <c r="F855" t="s">
        <v>27246</v>
      </c>
      <c r="G855" t="s">
        <v>27247</v>
      </c>
      <c r="H855" t="s">
        <v>27248</v>
      </c>
      <c r="I855" t="s">
        <v>28896</v>
      </c>
      <c r="J855" t="s">
        <v>1718</v>
      </c>
      <c r="L855" t="s">
        <v>27250</v>
      </c>
      <c r="M855" t="s">
        <v>27251</v>
      </c>
      <c r="N855" t="s">
        <v>27252</v>
      </c>
      <c r="Q855" s="1">
        <v>44846</v>
      </c>
      <c r="R855" t="s">
        <v>27253</v>
      </c>
      <c r="S855" t="s">
        <v>27254</v>
      </c>
      <c r="T855" t="s">
        <v>27265</v>
      </c>
    </row>
    <row r="856" spans="1:20" x14ac:dyDescent="0.3">
      <c r="A856" t="str">
        <f>"0611831247100"</f>
        <v>0611831247100</v>
      </c>
      <c r="B856" t="str">
        <f>"LQ3650"</f>
        <v>LQ3650</v>
      </c>
      <c r="C856" t="s">
        <v>28897</v>
      </c>
      <c r="D856" t="s">
        <v>27245</v>
      </c>
      <c r="E856" t="str">
        <f t="shared" si="13"/>
        <v>001390</v>
      </c>
      <c r="F856" t="s">
        <v>27246</v>
      </c>
      <c r="G856" t="s">
        <v>27247</v>
      </c>
      <c r="H856" t="s">
        <v>27248</v>
      </c>
      <c r="I856" t="s">
        <v>28898</v>
      </c>
      <c r="J856" t="s">
        <v>1720</v>
      </c>
      <c r="L856" t="s">
        <v>27250</v>
      </c>
      <c r="M856" t="s">
        <v>27251</v>
      </c>
      <c r="N856" t="s">
        <v>27252</v>
      </c>
      <c r="Q856" s="1">
        <v>44538</v>
      </c>
      <c r="R856" t="s">
        <v>27253</v>
      </c>
      <c r="S856" t="s">
        <v>27254</v>
      </c>
      <c r="T856" t="s">
        <v>27255</v>
      </c>
    </row>
    <row r="857" spans="1:20" x14ac:dyDescent="0.3">
      <c r="A857" t="str">
        <f>"0611831248100"</f>
        <v>0611831248100</v>
      </c>
      <c r="B857" t="str">
        <f>"LQ3651"</f>
        <v>LQ3651</v>
      </c>
      <c r="C857" t="s">
        <v>28899</v>
      </c>
      <c r="D857" t="s">
        <v>27245</v>
      </c>
      <c r="E857" t="str">
        <f t="shared" si="13"/>
        <v>001390</v>
      </c>
      <c r="F857" t="s">
        <v>27246</v>
      </c>
      <c r="G857" t="s">
        <v>27247</v>
      </c>
      <c r="H857" t="s">
        <v>27248</v>
      </c>
      <c r="I857" t="s">
        <v>28900</v>
      </c>
      <c r="J857" t="s">
        <v>1722</v>
      </c>
      <c r="L857" t="s">
        <v>27250</v>
      </c>
      <c r="M857" t="s">
        <v>27251</v>
      </c>
      <c r="N857" t="s">
        <v>27252</v>
      </c>
      <c r="Q857" s="1">
        <v>44538</v>
      </c>
      <c r="R857" t="s">
        <v>27253</v>
      </c>
      <c r="S857" t="s">
        <v>27254</v>
      </c>
      <c r="T857" t="s">
        <v>27255</v>
      </c>
    </row>
    <row r="858" spans="1:20" x14ac:dyDescent="0.3">
      <c r="A858" t="str">
        <f>"0611860585050"</f>
        <v>0611860585050</v>
      </c>
      <c r="B858" t="str">
        <f>"CR2016"</f>
        <v>CR2016</v>
      </c>
      <c r="C858" t="s">
        <v>28899</v>
      </c>
      <c r="D858" t="s">
        <v>27263</v>
      </c>
      <c r="E858" t="str">
        <f t="shared" si="13"/>
        <v>001390</v>
      </c>
      <c r="F858" t="s">
        <v>27246</v>
      </c>
      <c r="G858" t="s">
        <v>27247</v>
      </c>
      <c r="H858" t="s">
        <v>27248</v>
      </c>
      <c r="I858" t="s">
        <v>28901</v>
      </c>
      <c r="J858" t="s">
        <v>1724</v>
      </c>
      <c r="L858" t="s">
        <v>27250</v>
      </c>
      <c r="M858" t="s">
        <v>27251</v>
      </c>
      <c r="N858" t="s">
        <v>27252</v>
      </c>
      <c r="Q858" s="1">
        <v>44846</v>
      </c>
      <c r="R858" t="s">
        <v>27253</v>
      </c>
      <c r="S858" t="s">
        <v>27254</v>
      </c>
      <c r="T858" t="s">
        <v>27265</v>
      </c>
    </row>
    <row r="859" spans="1:20" x14ac:dyDescent="0.3">
      <c r="A859" t="str">
        <f>"0611831249100"</f>
        <v>0611831249100</v>
      </c>
      <c r="B859" t="str">
        <f>"LQ3490"</f>
        <v>LQ3490</v>
      </c>
      <c r="C859" t="s">
        <v>28902</v>
      </c>
      <c r="D859" t="s">
        <v>27245</v>
      </c>
      <c r="E859" t="str">
        <f t="shared" si="13"/>
        <v>001390</v>
      </c>
      <c r="F859" t="s">
        <v>27246</v>
      </c>
      <c r="G859" t="s">
        <v>27247</v>
      </c>
      <c r="H859" t="s">
        <v>27248</v>
      </c>
      <c r="I859" t="s">
        <v>28903</v>
      </c>
      <c r="J859" t="s">
        <v>1726</v>
      </c>
      <c r="L859" t="s">
        <v>27250</v>
      </c>
      <c r="M859" t="s">
        <v>27251</v>
      </c>
      <c r="N859" t="s">
        <v>27252</v>
      </c>
      <c r="Q859" s="1">
        <v>44538</v>
      </c>
      <c r="R859" t="s">
        <v>27253</v>
      </c>
      <c r="S859" t="s">
        <v>27254</v>
      </c>
      <c r="T859" t="s">
        <v>27255</v>
      </c>
    </row>
    <row r="860" spans="1:20" x14ac:dyDescent="0.3">
      <c r="A860" t="str">
        <f>"0611860586050"</f>
        <v>0611860586050</v>
      </c>
      <c r="B860" t="str">
        <f>"CR2017"</f>
        <v>CR2017</v>
      </c>
      <c r="C860" t="s">
        <v>28902</v>
      </c>
      <c r="D860" t="s">
        <v>27263</v>
      </c>
      <c r="E860" t="str">
        <f t="shared" si="13"/>
        <v>001390</v>
      </c>
      <c r="F860" t="s">
        <v>27246</v>
      </c>
      <c r="G860" t="s">
        <v>27247</v>
      </c>
      <c r="H860" t="s">
        <v>27248</v>
      </c>
      <c r="I860" t="s">
        <v>28904</v>
      </c>
      <c r="J860" t="s">
        <v>1728</v>
      </c>
      <c r="L860" t="s">
        <v>27250</v>
      </c>
      <c r="M860" t="s">
        <v>27251</v>
      </c>
      <c r="N860" t="s">
        <v>27252</v>
      </c>
      <c r="Q860" s="1">
        <v>44846</v>
      </c>
      <c r="R860" t="s">
        <v>27253</v>
      </c>
      <c r="S860" t="s">
        <v>27254</v>
      </c>
      <c r="T860" t="s">
        <v>27265</v>
      </c>
    </row>
    <row r="861" spans="1:20" x14ac:dyDescent="0.3">
      <c r="A861" t="str">
        <f>"0611831250100"</f>
        <v>0611831250100</v>
      </c>
      <c r="B861" t="str">
        <f>"LQ3631"</f>
        <v>LQ3631</v>
      </c>
      <c r="C861" t="s">
        <v>28905</v>
      </c>
      <c r="D861" t="s">
        <v>27245</v>
      </c>
      <c r="E861" t="str">
        <f t="shared" si="13"/>
        <v>001390</v>
      </c>
      <c r="F861" t="s">
        <v>27246</v>
      </c>
      <c r="G861" t="s">
        <v>27247</v>
      </c>
      <c r="H861" t="s">
        <v>27248</v>
      </c>
      <c r="I861" t="s">
        <v>28906</v>
      </c>
      <c r="J861" t="s">
        <v>1730</v>
      </c>
      <c r="L861" t="s">
        <v>27250</v>
      </c>
      <c r="M861" t="s">
        <v>27251</v>
      </c>
      <c r="N861" t="s">
        <v>27252</v>
      </c>
      <c r="Q861" s="1">
        <v>44538</v>
      </c>
      <c r="R861" t="s">
        <v>27253</v>
      </c>
      <c r="S861" t="s">
        <v>27254</v>
      </c>
      <c r="T861" t="s">
        <v>27255</v>
      </c>
    </row>
    <row r="862" spans="1:20" x14ac:dyDescent="0.3">
      <c r="A862" t="str">
        <f>"0611884019100"</f>
        <v>0611884019100</v>
      </c>
      <c r="B862" t="str">
        <f>"LQ3907"</f>
        <v>LQ3907</v>
      </c>
      <c r="C862" t="s">
        <v>28907</v>
      </c>
      <c r="D862" t="s">
        <v>27245</v>
      </c>
      <c r="E862" t="str">
        <f t="shared" si="13"/>
        <v>001390</v>
      </c>
      <c r="F862" t="s">
        <v>27246</v>
      </c>
      <c r="G862" t="s">
        <v>27247</v>
      </c>
      <c r="H862" t="s">
        <v>27248</v>
      </c>
      <c r="I862" t="s">
        <v>28908</v>
      </c>
      <c r="J862" t="s">
        <v>1732</v>
      </c>
      <c r="L862" t="s">
        <v>27430</v>
      </c>
      <c r="M862" t="s">
        <v>27251</v>
      </c>
      <c r="N862" t="s">
        <v>27252</v>
      </c>
      <c r="Q862" s="1">
        <v>45250</v>
      </c>
      <c r="R862" t="s">
        <v>27253</v>
      </c>
      <c r="S862" t="s">
        <v>27254</v>
      </c>
      <c r="T862" t="s">
        <v>27255</v>
      </c>
    </row>
    <row r="863" spans="1:20" x14ac:dyDescent="0.3">
      <c r="A863" t="str">
        <f>"0611831251100"</f>
        <v>0611831251100</v>
      </c>
      <c r="B863" t="str">
        <f>"LQ3732"</f>
        <v>LQ3732</v>
      </c>
      <c r="C863" t="s">
        <v>28909</v>
      </c>
      <c r="D863" t="s">
        <v>27245</v>
      </c>
      <c r="E863" t="str">
        <f t="shared" si="13"/>
        <v>001390</v>
      </c>
      <c r="F863" t="s">
        <v>27246</v>
      </c>
      <c r="G863" t="s">
        <v>27247</v>
      </c>
      <c r="H863" t="s">
        <v>27248</v>
      </c>
      <c r="I863" t="s">
        <v>28910</v>
      </c>
      <c r="J863" t="s">
        <v>1734</v>
      </c>
      <c r="L863" t="s">
        <v>27250</v>
      </c>
      <c r="M863" t="s">
        <v>27251</v>
      </c>
      <c r="N863" t="s">
        <v>27252</v>
      </c>
      <c r="Q863" s="1">
        <v>44538</v>
      </c>
      <c r="R863" t="s">
        <v>27253</v>
      </c>
      <c r="S863" t="s">
        <v>27254</v>
      </c>
      <c r="T863" t="s">
        <v>27255</v>
      </c>
    </row>
    <row r="864" spans="1:20" x14ac:dyDescent="0.3">
      <c r="A864" t="str">
        <f>"0611831252100"</f>
        <v>0611831252100</v>
      </c>
      <c r="B864" t="str">
        <f>"LQ3733"</f>
        <v>LQ3733</v>
      </c>
      <c r="C864" t="s">
        <v>28911</v>
      </c>
      <c r="D864" t="s">
        <v>27245</v>
      </c>
      <c r="E864" t="str">
        <f t="shared" si="13"/>
        <v>001390</v>
      </c>
      <c r="F864" t="s">
        <v>27246</v>
      </c>
      <c r="G864" t="s">
        <v>27247</v>
      </c>
      <c r="H864" t="s">
        <v>27248</v>
      </c>
      <c r="I864" t="s">
        <v>28912</v>
      </c>
      <c r="J864" t="s">
        <v>1736</v>
      </c>
      <c r="L864" t="s">
        <v>27250</v>
      </c>
      <c r="M864" t="s">
        <v>27251</v>
      </c>
      <c r="N864" t="s">
        <v>27252</v>
      </c>
      <c r="Q864" s="1">
        <v>44538</v>
      </c>
      <c r="R864" t="s">
        <v>27253</v>
      </c>
      <c r="S864" t="s">
        <v>27254</v>
      </c>
      <c r="T864" t="s">
        <v>27255</v>
      </c>
    </row>
    <row r="865" spans="1:20" x14ac:dyDescent="0.3">
      <c r="A865" t="str">
        <f>"0611831253100"</f>
        <v>0611831253100</v>
      </c>
      <c r="B865" t="str">
        <f>"LQ3487"</f>
        <v>LQ3487</v>
      </c>
      <c r="C865" t="s">
        <v>28913</v>
      </c>
      <c r="D865" t="s">
        <v>27245</v>
      </c>
      <c r="E865" t="str">
        <f t="shared" si="13"/>
        <v>001390</v>
      </c>
      <c r="F865" t="s">
        <v>27246</v>
      </c>
      <c r="G865" t="s">
        <v>27247</v>
      </c>
      <c r="H865" t="s">
        <v>27248</v>
      </c>
      <c r="I865" t="s">
        <v>28914</v>
      </c>
      <c r="J865" t="s">
        <v>1738</v>
      </c>
      <c r="L865" t="s">
        <v>27250</v>
      </c>
      <c r="M865" t="s">
        <v>27251</v>
      </c>
      <c r="N865" t="s">
        <v>27252</v>
      </c>
      <c r="Q865" s="1">
        <v>44538</v>
      </c>
      <c r="R865" t="s">
        <v>27253</v>
      </c>
      <c r="S865" t="s">
        <v>27254</v>
      </c>
      <c r="T865" t="s">
        <v>27255</v>
      </c>
    </row>
    <row r="866" spans="1:20" x14ac:dyDescent="0.3">
      <c r="A866" t="str">
        <f>"0611831254100"</f>
        <v>0611831254100</v>
      </c>
      <c r="B866" t="str">
        <f>"LQ3488"</f>
        <v>LQ3488</v>
      </c>
      <c r="C866" t="s">
        <v>28915</v>
      </c>
      <c r="D866" t="s">
        <v>27245</v>
      </c>
      <c r="E866" t="str">
        <f t="shared" si="13"/>
        <v>001390</v>
      </c>
      <c r="F866" t="s">
        <v>27246</v>
      </c>
      <c r="G866" t="s">
        <v>27247</v>
      </c>
      <c r="H866" t="s">
        <v>27248</v>
      </c>
      <c r="I866" t="s">
        <v>28916</v>
      </c>
      <c r="J866" t="s">
        <v>1740</v>
      </c>
      <c r="L866" t="s">
        <v>27250</v>
      </c>
      <c r="M866" t="s">
        <v>27251</v>
      </c>
      <c r="N866" t="s">
        <v>27252</v>
      </c>
      <c r="Q866" s="1">
        <v>44538</v>
      </c>
      <c r="R866" t="s">
        <v>27253</v>
      </c>
      <c r="S866" t="s">
        <v>27254</v>
      </c>
      <c r="T866" t="s">
        <v>27255</v>
      </c>
    </row>
    <row r="867" spans="1:20" x14ac:dyDescent="0.3">
      <c r="A867" t="str">
        <f>"0611856825100"</f>
        <v>0611856825100</v>
      </c>
      <c r="B867" t="str">
        <f>"LQ3867"</f>
        <v>LQ3867</v>
      </c>
      <c r="C867" t="s">
        <v>28917</v>
      </c>
      <c r="D867" t="s">
        <v>27245</v>
      </c>
      <c r="E867" t="str">
        <f t="shared" si="13"/>
        <v>001390</v>
      </c>
      <c r="F867" t="s">
        <v>27246</v>
      </c>
      <c r="G867" t="s">
        <v>27247</v>
      </c>
      <c r="H867" t="s">
        <v>27248</v>
      </c>
      <c r="I867" t="s">
        <v>28918</v>
      </c>
      <c r="J867" t="s">
        <v>1742</v>
      </c>
      <c r="L867" t="s">
        <v>27250</v>
      </c>
      <c r="M867" t="s">
        <v>27251</v>
      </c>
      <c r="N867" t="s">
        <v>27252</v>
      </c>
      <c r="Q867" s="1">
        <v>44812</v>
      </c>
      <c r="R867" t="s">
        <v>27253</v>
      </c>
      <c r="S867" t="s">
        <v>27254</v>
      </c>
      <c r="T867" t="s">
        <v>27255</v>
      </c>
    </row>
    <row r="868" spans="1:20" x14ac:dyDescent="0.3">
      <c r="A868" t="str">
        <f>"0611831255100"</f>
        <v>0611831255100</v>
      </c>
      <c r="B868" t="str">
        <f>"LK0084"</f>
        <v>LK0084</v>
      </c>
      <c r="C868" t="s">
        <v>28919</v>
      </c>
      <c r="D868" t="s">
        <v>27245</v>
      </c>
      <c r="E868" t="str">
        <f t="shared" si="13"/>
        <v>001390</v>
      </c>
      <c r="F868" t="s">
        <v>27246</v>
      </c>
      <c r="G868" t="s">
        <v>27247</v>
      </c>
      <c r="H868" t="s">
        <v>27248</v>
      </c>
      <c r="I868" t="s">
        <v>28920</v>
      </c>
      <c r="J868" t="s">
        <v>1744</v>
      </c>
      <c r="L868" t="s">
        <v>27250</v>
      </c>
      <c r="M868" t="s">
        <v>27251</v>
      </c>
      <c r="N868" t="s">
        <v>27252</v>
      </c>
      <c r="Q868" s="1">
        <v>44538</v>
      </c>
      <c r="R868" t="s">
        <v>27253</v>
      </c>
      <c r="S868" t="s">
        <v>27254</v>
      </c>
      <c r="T868" t="s">
        <v>27255</v>
      </c>
    </row>
    <row r="869" spans="1:20" x14ac:dyDescent="0.3">
      <c r="A869" t="str">
        <f>"0611831258100"</f>
        <v>0611831258100</v>
      </c>
      <c r="B869" t="str">
        <f>"LQ3432"</f>
        <v>LQ3432</v>
      </c>
      <c r="C869" t="s">
        <v>28921</v>
      </c>
      <c r="D869" t="s">
        <v>27245</v>
      </c>
      <c r="E869" t="str">
        <f t="shared" si="13"/>
        <v>001390</v>
      </c>
      <c r="F869" t="s">
        <v>27246</v>
      </c>
      <c r="G869" t="s">
        <v>27247</v>
      </c>
      <c r="H869" t="s">
        <v>27248</v>
      </c>
      <c r="I869" t="s">
        <v>28922</v>
      </c>
      <c r="J869" t="s">
        <v>1746</v>
      </c>
      <c r="L869" t="s">
        <v>27250</v>
      </c>
      <c r="M869" t="s">
        <v>27251</v>
      </c>
      <c r="N869" t="s">
        <v>27252</v>
      </c>
      <c r="Q869" s="1">
        <v>44538</v>
      </c>
      <c r="R869" t="s">
        <v>27253</v>
      </c>
      <c r="S869" t="s">
        <v>27254</v>
      </c>
      <c r="T869" t="s">
        <v>27255</v>
      </c>
    </row>
    <row r="870" spans="1:20" x14ac:dyDescent="0.3">
      <c r="A870" t="str">
        <f>"0611831259100"</f>
        <v>0611831259100</v>
      </c>
      <c r="B870" t="str">
        <f>"LQ3794"</f>
        <v>LQ3794</v>
      </c>
      <c r="C870" t="s">
        <v>28923</v>
      </c>
      <c r="D870" t="s">
        <v>27245</v>
      </c>
      <c r="E870" t="str">
        <f t="shared" si="13"/>
        <v>001390</v>
      </c>
      <c r="F870" t="s">
        <v>27246</v>
      </c>
      <c r="G870" t="s">
        <v>27247</v>
      </c>
      <c r="H870" t="s">
        <v>27248</v>
      </c>
      <c r="I870" t="s">
        <v>28924</v>
      </c>
      <c r="J870" t="s">
        <v>1748</v>
      </c>
      <c r="L870" t="s">
        <v>27250</v>
      </c>
      <c r="M870" t="s">
        <v>27251</v>
      </c>
      <c r="N870" t="s">
        <v>27252</v>
      </c>
      <c r="Q870" s="1">
        <v>44538</v>
      </c>
      <c r="R870" t="s">
        <v>27253</v>
      </c>
      <c r="S870" t="s">
        <v>27254</v>
      </c>
      <c r="T870" t="s">
        <v>27255</v>
      </c>
    </row>
    <row r="871" spans="1:20" x14ac:dyDescent="0.3">
      <c r="A871" t="str">
        <f>"0611831260100"</f>
        <v>0611831260100</v>
      </c>
      <c r="B871" t="str">
        <f>"LQ3433"</f>
        <v>LQ3433</v>
      </c>
      <c r="C871" t="s">
        <v>28925</v>
      </c>
      <c r="D871" t="s">
        <v>27245</v>
      </c>
      <c r="E871" t="str">
        <f t="shared" si="13"/>
        <v>001390</v>
      </c>
      <c r="F871" t="s">
        <v>27246</v>
      </c>
      <c r="G871" t="s">
        <v>27247</v>
      </c>
      <c r="H871" t="s">
        <v>27248</v>
      </c>
      <c r="I871" t="s">
        <v>28926</v>
      </c>
      <c r="J871" t="s">
        <v>1750</v>
      </c>
      <c r="L871" t="s">
        <v>27250</v>
      </c>
      <c r="M871" t="s">
        <v>27251</v>
      </c>
      <c r="N871" t="s">
        <v>27252</v>
      </c>
      <c r="Q871" s="1">
        <v>44538</v>
      </c>
      <c r="R871" t="s">
        <v>27253</v>
      </c>
      <c r="S871" t="s">
        <v>27254</v>
      </c>
      <c r="T871" t="s">
        <v>27255</v>
      </c>
    </row>
    <row r="872" spans="1:20" x14ac:dyDescent="0.3">
      <c r="A872" t="str">
        <f>"0611884020100"</f>
        <v>0611884020100</v>
      </c>
      <c r="B872" t="str">
        <f>"LQ0971"</f>
        <v>LQ0971</v>
      </c>
      <c r="C872" t="s">
        <v>28927</v>
      </c>
      <c r="D872" t="s">
        <v>27245</v>
      </c>
      <c r="E872" t="str">
        <f t="shared" si="13"/>
        <v>001390</v>
      </c>
      <c r="F872" t="s">
        <v>27246</v>
      </c>
      <c r="G872" t="s">
        <v>27247</v>
      </c>
      <c r="H872" t="s">
        <v>27248</v>
      </c>
      <c r="I872" t="s">
        <v>28928</v>
      </c>
      <c r="J872" t="s">
        <v>1752</v>
      </c>
      <c r="L872" t="s">
        <v>27430</v>
      </c>
      <c r="M872" t="s">
        <v>27251</v>
      </c>
      <c r="N872" t="s">
        <v>27252</v>
      </c>
      <c r="Q872" s="1">
        <v>45250</v>
      </c>
      <c r="R872" t="s">
        <v>27253</v>
      </c>
      <c r="S872" t="s">
        <v>27254</v>
      </c>
      <c r="T872" t="s">
        <v>27255</v>
      </c>
    </row>
    <row r="873" spans="1:20" x14ac:dyDescent="0.3">
      <c r="A873" t="str">
        <f>"0611831261100"</f>
        <v>0611831261100</v>
      </c>
      <c r="B873" t="str">
        <f>"LQ3435"</f>
        <v>LQ3435</v>
      </c>
      <c r="C873" t="s">
        <v>28929</v>
      </c>
      <c r="D873" t="s">
        <v>27245</v>
      </c>
      <c r="E873" t="str">
        <f t="shared" si="13"/>
        <v>001390</v>
      </c>
      <c r="F873" t="s">
        <v>27246</v>
      </c>
      <c r="G873" t="s">
        <v>27247</v>
      </c>
      <c r="H873" t="s">
        <v>27248</v>
      </c>
      <c r="I873" t="s">
        <v>28930</v>
      </c>
      <c r="J873" t="s">
        <v>1754</v>
      </c>
      <c r="L873" t="s">
        <v>27250</v>
      </c>
      <c r="M873" t="s">
        <v>27251</v>
      </c>
      <c r="N873" t="s">
        <v>27252</v>
      </c>
      <c r="Q873" s="1">
        <v>44538</v>
      </c>
      <c r="R873" t="s">
        <v>27253</v>
      </c>
      <c r="S873" t="s">
        <v>27254</v>
      </c>
      <c r="T873" t="s">
        <v>27255</v>
      </c>
    </row>
    <row r="874" spans="1:20" x14ac:dyDescent="0.3">
      <c r="A874" t="str">
        <f>"0611831262100"</f>
        <v>0611831262100</v>
      </c>
      <c r="B874" t="str">
        <f>"LQ3436"</f>
        <v>LQ3436</v>
      </c>
      <c r="C874" t="s">
        <v>28931</v>
      </c>
      <c r="D874" t="s">
        <v>27245</v>
      </c>
      <c r="E874" t="str">
        <f t="shared" si="13"/>
        <v>001390</v>
      </c>
      <c r="F874" t="s">
        <v>27246</v>
      </c>
      <c r="G874" t="s">
        <v>27247</v>
      </c>
      <c r="H874" t="s">
        <v>27248</v>
      </c>
      <c r="I874" t="s">
        <v>28932</v>
      </c>
      <c r="J874" t="s">
        <v>1756</v>
      </c>
      <c r="L874" t="s">
        <v>27250</v>
      </c>
      <c r="M874" t="s">
        <v>27251</v>
      </c>
      <c r="N874" t="s">
        <v>27252</v>
      </c>
      <c r="Q874" s="1">
        <v>44538</v>
      </c>
      <c r="R874" t="s">
        <v>27253</v>
      </c>
      <c r="S874" t="s">
        <v>27254</v>
      </c>
      <c r="T874" t="s">
        <v>27255</v>
      </c>
    </row>
    <row r="875" spans="1:20" x14ac:dyDescent="0.3">
      <c r="A875" t="str">
        <f>"0611831264100"</f>
        <v>0611831264100</v>
      </c>
      <c r="B875" t="str">
        <f>"LQ3652"</f>
        <v>LQ3652</v>
      </c>
      <c r="C875" t="s">
        <v>28933</v>
      </c>
      <c r="D875" t="s">
        <v>27245</v>
      </c>
      <c r="E875" t="str">
        <f t="shared" si="13"/>
        <v>001390</v>
      </c>
      <c r="F875" t="s">
        <v>27246</v>
      </c>
      <c r="G875" t="s">
        <v>27247</v>
      </c>
      <c r="H875" t="s">
        <v>27248</v>
      </c>
      <c r="I875" t="s">
        <v>28934</v>
      </c>
      <c r="J875" t="s">
        <v>1758</v>
      </c>
      <c r="L875" t="s">
        <v>27250</v>
      </c>
      <c r="M875" t="s">
        <v>27251</v>
      </c>
      <c r="N875" t="s">
        <v>27252</v>
      </c>
      <c r="Q875" s="1">
        <v>44538</v>
      </c>
      <c r="R875" t="s">
        <v>27253</v>
      </c>
      <c r="S875" t="s">
        <v>27254</v>
      </c>
      <c r="T875" t="s">
        <v>27255</v>
      </c>
    </row>
    <row r="876" spans="1:20" x14ac:dyDescent="0.3">
      <c r="A876" t="str">
        <f>"0611831265100"</f>
        <v>0611831265100</v>
      </c>
      <c r="B876" t="str">
        <f>"LQ3653"</f>
        <v>LQ3653</v>
      </c>
      <c r="C876" t="s">
        <v>28935</v>
      </c>
      <c r="D876" t="s">
        <v>27245</v>
      </c>
      <c r="E876" t="str">
        <f t="shared" si="13"/>
        <v>001390</v>
      </c>
      <c r="F876" t="s">
        <v>27246</v>
      </c>
      <c r="G876" t="s">
        <v>27247</v>
      </c>
      <c r="H876" t="s">
        <v>27248</v>
      </c>
      <c r="I876" t="s">
        <v>28936</v>
      </c>
      <c r="J876" t="s">
        <v>1760</v>
      </c>
      <c r="L876" t="s">
        <v>27250</v>
      </c>
      <c r="M876" t="s">
        <v>27251</v>
      </c>
      <c r="N876" t="s">
        <v>27252</v>
      </c>
      <c r="Q876" s="1">
        <v>44538</v>
      </c>
      <c r="R876" t="s">
        <v>27253</v>
      </c>
      <c r="S876" t="s">
        <v>27254</v>
      </c>
      <c r="T876" t="s">
        <v>27255</v>
      </c>
    </row>
    <row r="877" spans="1:20" x14ac:dyDescent="0.3">
      <c r="A877" t="str">
        <f>"0611831266100"</f>
        <v>0611831266100</v>
      </c>
      <c r="B877" t="str">
        <f>"LQ3654"</f>
        <v>LQ3654</v>
      </c>
      <c r="C877" t="s">
        <v>28937</v>
      </c>
      <c r="D877" t="s">
        <v>27245</v>
      </c>
      <c r="E877" t="str">
        <f t="shared" si="13"/>
        <v>001390</v>
      </c>
      <c r="F877" t="s">
        <v>27246</v>
      </c>
      <c r="G877" t="s">
        <v>27247</v>
      </c>
      <c r="H877" t="s">
        <v>27248</v>
      </c>
      <c r="I877" t="s">
        <v>28938</v>
      </c>
      <c r="J877" t="s">
        <v>1762</v>
      </c>
      <c r="L877" t="s">
        <v>27250</v>
      </c>
      <c r="M877" t="s">
        <v>27251</v>
      </c>
      <c r="N877" t="s">
        <v>27252</v>
      </c>
      <c r="Q877" s="1">
        <v>44538</v>
      </c>
      <c r="R877" t="s">
        <v>27253</v>
      </c>
      <c r="S877" t="s">
        <v>27254</v>
      </c>
      <c r="T877" t="s">
        <v>27255</v>
      </c>
    </row>
    <row r="878" spans="1:20" x14ac:dyDescent="0.3">
      <c r="A878" t="str">
        <f>"0611831267100"</f>
        <v>0611831267100</v>
      </c>
      <c r="B878" t="str">
        <f>"LQ3822"</f>
        <v>LQ3822</v>
      </c>
      <c r="C878" t="s">
        <v>28939</v>
      </c>
      <c r="D878" t="s">
        <v>27245</v>
      </c>
      <c r="E878" t="str">
        <f t="shared" si="13"/>
        <v>001390</v>
      </c>
      <c r="F878" t="s">
        <v>27246</v>
      </c>
      <c r="G878" t="s">
        <v>27247</v>
      </c>
      <c r="H878" t="s">
        <v>27248</v>
      </c>
      <c r="I878" t="s">
        <v>28940</v>
      </c>
      <c r="J878" t="s">
        <v>1764</v>
      </c>
      <c r="L878" t="s">
        <v>27250</v>
      </c>
      <c r="M878" t="s">
        <v>27251</v>
      </c>
      <c r="N878" t="s">
        <v>27252</v>
      </c>
      <c r="Q878" s="1">
        <v>44538</v>
      </c>
      <c r="R878" t="s">
        <v>27253</v>
      </c>
      <c r="S878" t="s">
        <v>27254</v>
      </c>
      <c r="T878" t="s">
        <v>27255</v>
      </c>
    </row>
    <row r="879" spans="1:20" x14ac:dyDescent="0.3">
      <c r="A879" t="str">
        <f>"0611831268100"</f>
        <v>0611831268100</v>
      </c>
      <c r="B879" t="str">
        <f>"LQ3823"</f>
        <v>LQ3823</v>
      </c>
      <c r="C879" t="s">
        <v>28941</v>
      </c>
      <c r="D879" t="s">
        <v>27245</v>
      </c>
      <c r="E879" t="str">
        <f t="shared" si="13"/>
        <v>001390</v>
      </c>
      <c r="F879" t="s">
        <v>27246</v>
      </c>
      <c r="G879" t="s">
        <v>27247</v>
      </c>
      <c r="H879" t="s">
        <v>27248</v>
      </c>
      <c r="I879" t="s">
        <v>28942</v>
      </c>
      <c r="J879" t="s">
        <v>1766</v>
      </c>
      <c r="L879" t="s">
        <v>27250</v>
      </c>
      <c r="M879" t="s">
        <v>27251</v>
      </c>
      <c r="N879" t="s">
        <v>27252</v>
      </c>
      <c r="Q879" s="1">
        <v>44538</v>
      </c>
      <c r="R879" t="s">
        <v>27253</v>
      </c>
      <c r="S879" t="s">
        <v>27254</v>
      </c>
      <c r="T879" t="s">
        <v>27255</v>
      </c>
    </row>
    <row r="880" spans="1:20" x14ac:dyDescent="0.3">
      <c r="A880" t="str">
        <f>"0611831269100"</f>
        <v>0611831269100</v>
      </c>
      <c r="B880" t="str">
        <f>"LQ3824"</f>
        <v>LQ3824</v>
      </c>
      <c r="C880" t="s">
        <v>28943</v>
      </c>
      <c r="D880" t="s">
        <v>27245</v>
      </c>
      <c r="E880" t="str">
        <f t="shared" si="13"/>
        <v>001390</v>
      </c>
      <c r="F880" t="s">
        <v>27246</v>
      </c>
      <c r="G880" t="s">
        <v>27247</v>
      </c>
      <c r="H880" t="s">
        <v>27248</v>
      </c>
      <c r="I880" t="s">
        <v>28944</v>
      </c>
      <c r="J880" t="s">
        <v>1768</v>
      </c>
      <c r="L880" t="s">
        <v>27250</v>
      </c>
      <c r="M880" t="s">
        <v>27251</v>
      </c>
      <c r="N880" t="s">
        <v>27252</v>
      </c>
      <c r="Q880" s="1">
        <v>44538</v>
      </c>
      <c r="R880" t="s">
        <v>27253</v>
      </c>
      <c r="S880" t="s">
        <v>27254</v>
      </c>
      <c r="T880" t="s">
        <v>27255</v>
      </c>
    </row>
    <row r="881" spans="1:20" x14ac:dyDescent="0.3">
      <c r="A881" t="str">
        <f>"0611831271100"</f>
        <v>0611831271100</v>
      </c>
      <c r="B881" t="str">
        <f>"LQ3655"</f>
        <v>LQ3655</v>
      </c>
      <c r="C881" t="s">
        <v>28945</v>
      </c>
      <c r="D881" t="s">
        <v>27245</v>
      </c>
      <c r="E881" t="str">
        <f t="shared" si="13"/>
        <v>001390</v>
      </c>
      <c r="F881" t="s">
        <v>27246</v>
      </c>
      <c r="G881" t="s">
        <v>27247</v>
      </c>
      <c r="H881" t="s">
        <v>27248</v>
      </c>
      <c r="I881" t="s">
        <v>28946</v>
      </c>
      <c r="J881" t="s">
        <v>1770</v>
      </c>
      <c r="L881" t="s">
        <v>27250</v>
      </c>
      <c r="M881" t="s">
        <v>27251</v>
      </c>
      <c r="N881" t="s">
        <v>27252</v>
      </c>
      <c r="Q881" s="1">
        <v>44538</v>
      </c>
      <c r="R881" t="s">
        <v>27253</v>
      </c>
      <c r="S881" t="s">
        <v>27254</v>
      </c>
      <c r="T881" t="s">
        <v>27255</v>
      </c>
    </row>
    <row r="882" spans="1:20" x14ac:dyDescent="0.3">
      <c r="A882" t="str">
        <f>"0611831270100"</f>
        <v>0611831270100</v>
      </c>
      <c r="B882" t="str">
        <f>"LQ3491"</f>
        <v>LQ3491</v>
      </c>
      <c r="C882" t="s">
        <v>28947</v>
      </c>
      <c r="D882" t="s">
        <v>27245</v>
      </c>
      <c r="E882" t="str">
        <f t="shared" si="13"/>
        <v>001390</v>
      </c>
      <c r="F882" t="s">
        <v>27246</v>
      </c>
      <c r="G882" t="s">
        <v>27247</v>
      </c>
      <c r="H882" t="s">
        <v>27248</v>
      </c>
      <c r="I882" t="s">
        <v>28948</v>
      </c>
      <c r="J882" t="s">
        <v>1772</v>
      </c>
      <c r="L882" t="s">
        <v>27250</v>
      </c>
      <c r="M882" t="s">
        <v>27251</v>
      </c>
      <c r="N882" t="s">
        <v>27252</v>
      </c>
      <c r="Q882" s="1">
        <v>44538</v>
      </c>
      <c r="R882" t="s">
        <v>27253</v>
      </c>
      <c r="S882" t="s">
        <v>27254</v>
      </c>
      <c r="T882" t="s">
        <v>27255</v>
      </c>
    </row>
    <row r="883" spans="1:20" x14ac:dyDescent="0.3">
      <c r="A883" t="str">
        <f>"0611831272100"</f>
        <v>0611831272100</v>
      </c>
      <c r="B883" t="str">
        <f>"LQ3656"</f>
        <v>LQ3656</v>
      </c>
      <c r="C883" t="s">
        <v>28949</v>
      </c>
      <c r="D883" t="s">
        <v>27245</v>
      </c>
      <c r="E883" t="str">
        <f t="shared" si="13"/>
        <v>001390</v>
      </c>
      <c r="F883" t="s">
        <v>27246</v>
      </c>
      <c r="G883" t="s">
        <v>27247</v>
      </c>
      <c r="H883" t="s">
        <v>27248</v>
      </c>
      <c r="I883" t="s">
        <v>28950</v>
      </c>
      <c r="J883" t="s">
        <v>1774</v>
      </c>
      <c r="L883" t="s">
        <v>27250</v>
      </c>
      <c r="M883" t="s">
        <v>27251</v>
      </c>
      <c r="N883" t="s">
        <v>27252</v>
      </c>
      <c r="Q883" s="1">
        <v>44538</v>
      </c>
      <c r="R883" t="s">
        <v>27253</v>
      </c>
      <c r="S883" t="s">
        <v>27254</v>
      </c>
      <c r="T883" t="s">
        <v>27255</v>
      </c>
    </row>
    <row r="884" spans="1:20" x14ac:dyDescent="0.3">
      <c r="A884" t="str">
        <f>"0611860587050"</f>
        <v>0611860587050</v>
      </c>
      <c r="B884" t="str">
        <f>"CR2018"</f>
        <v>CR2018</v>
      </c>
      <c r="C884" t="s">
        <v>28951</v>
      </c>
      <c r="D884" t="s">
        <v>27263</v>
      </c>
      <c r="E884" t="str">
        <f t="shared" si="13"/>
        <v>001390</v>
      </c>
      <c r="F884" t="s">
        <v>27246</v>
      </c>
      <c r="G884" t="s">
        <v>27247</v>
      </c>
      <c r="H884" t="s">
        <v>27248</v>
      </c>
      <c r="I884" t="s">
        <v>28952</v>
      </c>
      <c r="J884" t="s">
        <v>1776</v>
      </c>
      <c r="L884" t="s">
        <v>27250</v>
      </c>
      <c r="M884" t="s">
        <v>27251</v>
      </c>
      <c r="N884" t="s">
        <v>27252</v>
      </c>
      <c r="Q884" s="1">
        <v>44846</v>
      </c>
      <c r="R884" t="s">
        <v>27253</v>
      </c>
      <c r="S884" t="s">
        <v>27254</v>
      </c>
      <c r="T884" t="s">
        <v>27265</v>
      </c>
    </row>
    <row r="885" spans="1:20" x14ac:dyDescent="0.3">
      <c r="A885" t="str">
        <f>"0611884021100"</f>
        <v>0611884021100</v>
      </c>
      <c r="B885" t="str">
        <f>"LQ3903"</f>
        <v>LQ3903</v>
      </c>
      <c r="C885" t="s">
        <v>28953</v>
      </c>
      <c r="D885" t="s">
        <v>27245</v>
      </c>
      <c r="E885" t="str">
        <f t="shared" si="13"/>
        <v>001390</v>
      </c>
      <c r="F885" t="s">
        <v>27246</v>
      </c>
      <c r="G885" t="s">
        <v>27247</v>
      </c>
      <c r="H885" t="s">
        <v>27248</v>
      </c>
      <c r="I885" t="s">
        <v>28954</v>
      </c>
      <c r="J885" t="s">
        <v>1778</v>
      </c>
      <c r="L885" t="s">
        <v>27430</v>
      </c>
      <c r="M885" t="s">
        <v>27251</v>
      </c>
      <c r="N885" t="s">
        <v>27252</v>
      </c>
      <c r="Q885" s="1">
        <v>45250</v>
      </c>
      <c r="R885" t="s">
        <v>27253</v>
      </c>
      <c r="S885" t="s">
        <v>27254</v>
      </c>
      <c r="T885" t="s">
        <v>27255</v>
      </c>
    </row>
    <row r="886" spans="1:20" x14ac:dyDescent="0.3">
      <c r="A886" t="str">
        <f>"0611831273100"</f>
        <v>0611831273100</v>
      </c>
      <c r="B886" t="str">
        <f>"LK6848"</f>
        <v>LK6848</v>
      </c>
      <c r="C886" t="s">
        <v>28955</v>
      </c>
      <c r="D886" t="s">
        <v>27245</v>
      </c>
      <c r="E886" t="str">
        <f t="shared" si="13"/>
        <v>001390</v>
      </c>
      <c r="F886" t="s">
        <v>27246</v>
      </c>
      <c r="G886" t="s">
        <v>27247</v>
      </c>
      <c r="H886" t="s">
        <v>27248</v>
      </c>
      <c r="I886" t="s">
        <v>28956</v>
      </c>
      <c r="J886" t="s">
        <v>1782</v>
      </c>
      <c r="L886" t="s">
        <v>27250</v>
      </c>
      <c r="M886" t="s">
        <v>27251</v>
      </c>
      <c r="N886" t="s">
        <v>27252</v>
      </c>
      <c r="Q886" s="1">
        <v>44538</v>
      </c>
      <c r="R886" t="s">
        <v>27253</v>
      </c>
      <c r="S886" t="s">
        <v>27254</v>
      </c>
      <c r="T886" t="s">
        <v>27255</v>
      </c>
    </row>
    <row r="887" spans="1:20" x14ac:dyDescent="0.3">
      <c r="A887" t="str">
        <f>"0611831274100"</f>
        <v>0611831274100</v>
      </c>
      <c r="B887" t="str">
        <f>"LK6592"</f>
        <v>LK6592</v>
      </c>
      <c r="C887" t="s">
        <v>28957</v>
      </c>
      <c r="D887" t="s">
        <v>27245</v>
      </c>
      <c r="E887" t="str">
        <f t="shared" si="13"/>
        <v>001390</v>
      </c>
      <c r="F887" t="s">
        <v>27246</v>
      </c>
      <c r="G887" t="s">
        <v>27247</v>
      </c>
      <c r="H887" t="s">
        <v>27248</v>
      </c>
      <c r="I887" t="s">
        <v>28958</v>
      </c>
      <c r="J887" t="s">
        <v>1784</v>
      </c>
      <c r="L887" t="s">
        <v>27250</v>
      </c>
      <c r="M887" t="s">
        <v>27251</v>
      </c>
      <c r="N887" t="s">
        <v>27252</v>
      </c>
      <c r="Q887" s="1">
        <v>44538</v>
      </c>
      <c r="R887" t="s">
        <v>27253</v>
      </c>
      <c r="S887" t="s">
        <v>27254</v>
      </c>
      <c r="T887" t="s">
        <v>27255</v>
      </c>
    </row>
    <row r="888" spans="1:20" x14ac:dyDescent="0.3">
      <c r="A888" t="str">
        <f>"0611831276100"</f>
        <v>0611831276100</v>
      </c>
      <c r="B888" t="str">
        <f>"LK4166"</f>
        <v>LK4166</v>
      </c>
      <c r="C888" t="s">
        <v>28959</v>
      </c>
      <c r="D888" t="s">
        <v>27245</v>
      </c>
      <c r="E888" t="str">
        <f t="shared" si="13"/>
        <v>001390</v>
      </c>
      <c r="F888" t="s">
        <v>27246</v>
      </c>
      <c r="G888" t="s">
        <v>27247</v>
      </c>
      <c r="H888" t="s">
        <v>27248</v>
      </c>
      <c r="I888" t="s">
        <v>28960</v>
      </c>
      <c r="J888" t="s">
        <v>1786</v>
      </c>
      <c r="L888" t="s">
        <v>27250</v>
      </c>
      <c r="M888" t="s">
        <v>27251</v>
      </c>
      <c r="N888" t="s">
        <v>27252</v>
      </c>
      <c r="Q888" s="1">
        <v>44538</v>
      </c>
      <c r="R888" t="s">
        <v>27253</v>
      </c>
      <c r="S888" t="s">
        <v>27254</v>
      </c>
      <c r="T888" t="s">
        <v>27255</v>
      </c>
    </row>
    <row r="889" spans="1:20" x14ac:dyDescent="0.3">
      <c r="A889" t="str">
        <f>"0611831278100"</f>
        <v>0611831278100</v>
      </c>
      <c r="B889" t="str">
        <f>"LK4167"</f>
        <v>LK4167</v>
      </c>
      <c r="C889" t="s">
        <v>28961</v>
      </c>
      <c r="D889" t="s">
        <v>27245</v>
      </c>
      <c r="E889" t="str">
        <f t="shared" si="13"/>
        <v>001390</v>
      </c>
      <c r="F889" t="s">
        <v>27246</v>
      </c>
      <c r="G889" t="s">
        <v>27247</v>
      </c>
      <c r="H889" t="s">
        <v>27248</v>
      </c>
      <c r="I889" t="s">
        <v>28962</v>
      </c>
      <c r="J889" t="s">
        <v>1788</v>
      </c>
      <c r="L889" t="s">
        <v>27250</v>
      </c>
      <c r="M889" t="s">
        <v>27251</v>
      </c>
      <c r="N889" t="s">
        <v>27252</v>
      </c>
      <c r="Q889" s="1">
        <v>44538</v>
      </c>
      <c r="R889" t="s">
        <v>27253</v>
      </c>
      <c r="S889" t="s">
        <v>27254</v>
      </c>
      <c r="T889" t="s">
        <v>27255</v>
      </c>
    </row>
    <row r="890" spans="1:20" x14ac:dyDescent="0.3">
      <c r="A890" t="str">
        <f>"0611884022100"</f>
        <v>0611884022100</v>
      </c>
      <c r="B890" t="str">
        <f>"LK7156"</f>
        <v>LK7156</v>
      </c>
      <c r="C890" t="s">
        <v>28963</v>
      </c>
      <c r="D890" t="s">
        <v>27245</v>
      </c>
      <c r="E890" t="str">
        <f t="shared" si="13"/>
        <v>001390</v>
      </c>
      <c r="F890" t="s">
        <v>27246</v>
      </c>
      <c r="G890" t="s">
        <v>27247</v>
      </c>
      <c r="H890" t="s">
        <v>27248</v>
      </c>
      <c r="I890" t="s">
        <v>28964</v>
      </c>
      <c r="J890" t="s">
        <v>1780</v>
      </c>
      <c r="L890" t="s">
        <v>27430</v>
      </c>
      <c r="M890" t="s">
        <v>27251</v>
      </c>
      <c r="N890" t="s">
        <v>27252</v>
      </c>
      <c r="Q890" s="1">
        <v>45250</v>
      </c>
      <c r="R890" t="s">
        <v>27253</v>
      </c>
      <c r="S890" t="s">
        <v>27254</v>
      </c>
      <c r="T890" t="s">
        <v>27255</v>
      </c>
    </row>
    <row r="891" spans="1:20" x14ac:dyDescent="0.3">
      <c r="A891" t="str">
        <f>"0611831275100"</f>
        <v>0611831275100</v>
      </c>
      <c r="B891" t="str">
        <f>"LK5639"</f>
        <v>LK5639</v>
      </c>
      <c r="C891" t="s">
        <v>28965</v>
      </c>
      <c r="D891" t="s">
        <v>27245</v>
      </c>
      <c r="E891" t="str">
        <f t="shared" si="13"/>
        <v>001390</v>
      </c>
      <c r="F891" t="s">
        <v>27246</v>
      </c>
      <c r="G891" t="s">
        <v>27247</v>
      </c>
      <c r="H891" t="s">
        <v>27248</v>
      </c>
      <c r="I891" t="s">
        <v>28966</v>
      </c>
      <c r="J891" t="s">
        <v>1790</v>
      </c>
      <c r="L891" t="s">
        <v>27250</v>
      </c>
      <c r="M891" t="s">
        <v>27251</v>
      </c>
      <c r="N891" t="s">
        <v>27252</v>
      </c>
      <c r="Q891" s="1">
        <v>44538</v>
      </c>
      <c r="R891" t="s">
        <v>27253</v>
      </c>
      <c r="S891" t="s">
        <v>27254</v>
      </c>
      <c r="T891" t="s">
        <v>27255</v>
      </c>
    </row>
    <row r="892" spans="1:20" x14ac:dyDescent="0.3">
      <c r="A892" t="str">
        <f>"0611831277100"</f>
        <v>0611831277100</v>
      </c>
      <c r="B892" t="str">
        <f>"LK4168"</f>
        <v>LK4168</v>
      </c>
      <c r="C892" t="s">
        <v>28967</v>
      </c>
      <c r="D892" t="s">
        <v>27245</v>
      </c>
      <c r="E892" t="str">
        <f t="shared" si="13"/>
        <v>001390</v>
      </c>
      <c r="F892" t="s">
        <v>27246</v>
      </c>
      <c r="G892" t="s">
        <v>27247</v>
      </c>
      <c r="H892" t="s">
        <v>27248</v>
      </c>
      <c r="I892" t="s">
        <v>28968</v>
      </c>
      <c r="J892" t="s">
        <v>1792</v>
      </c>
      <c r="L892" t="s">
        <v>27250</v>
      </c>
      <c r="M892" t="s">
        <v>27251</v>
      </c>
      <c r="N892" t="s">
        <v>27252</v>
      </c>
      <c r="Q892" s="1">
        <v>44538</v>
      </c>
      <c r="R892" t="s">
        <v>27253</v>
      </c>
      <c r="S892" t="s">
        <v>27254</v>
      </c>
      <c r="T892" t="s">
        <v>27255</v>
      </c>
    </row>
    <row r="893" spans="1:20" x14ac:dyDescent="0.3">
      <c r="A893" t="str">
        <f>"0611831279100"</f>
        <v>0611831279100</v>
      </c>
      <c r="B893" t="str">
        <f>"LK5702"</f>
        <v>LK5702</v>
      </c>
      <c r="C893" t="s">
        <v>28969</v>
      </c>
      <c r="D893" t="s">
        <v>27245</v>
      </c>
      <c r="E893" t="str">
        <f t="shared" si="13"/>
        <v>001390</v>
      </c>
      <c r="F893" t="s">
        <v>27246</v>
      </c>
      <c r="G893" t="s">
        <v>27247</v>
      </c>
      <c r="H893" t="s">
        <v>27248</v>
      </c>
      <c r="I893" t="s">
        <v>28970</v>
      </c>
      <c r="J893" t="s">
        <v>1794</v>
      </c>
      <c r="L893" t="s">
        <v>27250</v>
      </c>
      <c r="M893" t="s">
        <v>27251</v>
      </c>
      <c r="N893" t="s">
        <v>27252</v>
      </c>
      <c r="Q893" s="1">
        <v>44538</v>
      </c>
      <c r="R893" t="s">
        <v>27253</v>
      </c>
      <c r="S893" t="s">
        <v>27254</v>
      </c>
      <c r="T893" t="s">
        <v>27255</v>
      </c>
    </row>
    <row r="894" spans="1:20" x14ac:dyDescent="0.3">
      <c r="A894" t="str">
        <f>"0611831281100"</f>
        <v>0611831281100</v>
      </c>
      <c r="B894" t="str">
        <f>"LK6849"</f>
        <v>LK6849</v>
      </c>
      <c r="C894" t="s">
        <v>28971</v>
      </c>
      <c r="D894" t="s">
        <v>27245</v>
      </c>
      <c r="E894" t="str">
        <f t="shared" si="13"/>
        <v>001390</v>
      </c>
      <c r="F894" t="s">
        <v>27246</v>
      </c>
      <c r="G894" t="s">
        <v>27247</v>
      </c>
      <c r="H894" t="s">
        <v>27248</v>
      </c>
      <c r="I894" t="s">
        <v>28972</v>
      </c>
      <c r="J894" t="s">
        <v>1798</v>
      </c>
      <c r="L894" t="s">
        <v>27250</v>
      </c>
      <c r="M894" t="s">
        <v>27251</v>
      </c>
      <c r="N894" t="s">
        <v>27252</v>
      </c>
      <c r="Q894" s="1">
        <v>44538</v>
      </c>
      <c r="R894" t="s">
        <v>27253</v>
      </c>
      <c r="S894" t="s">
        <v>27254</v>
      </c>
      <c r="T894" t="s">
        <v>27255</v>
      </c>
    </row>
    <row r="895" spans="1:20" x14ac:dyDescent="0.3">
      <c r="A895" t="str">
        <f>"0611831280100"</f>
        <v>0611831280100</v>
      </c>
      <c r="B895" t="str">
        <f>"LK3784"</f>
        <v>LK3784</v>
      </c>
      <c r="C895" t="s">
        <v>28973</v>
      </c>
      <c r="D895" t="s">
        <v>27245</v>
      </c>
      <c r="E895" t="str">
        <f t="shared" si="13"/>
        <v>001390</v>
      </c>
      <c r="F895" t="s">
        <v>27246</v>
      </c>
      <c r="G895" t="s">
        <v>27247</v>
      </c>
      <c r="H895" t="s">
        <v>27248</v>
      </c>
      <c r="I895" t="s">
        <v>28974</v>
      </c>
      <c r="J895" t="s">
        <v>1796</v>
      </c>
      <c r="L895" t="s">
        <v>27250</v>
      </c>
      <c r="M895" t="s">
        <v>27251</v>
      </c>
      <c r="N895" t="s">
        <v>27252</v>
      </c>
      <c r="Q895" s="1">
        <v>44538</v>
      </c>
      <c r="R895" t="s">
        <v>27253</v>
      </c>
      <c r="S895" t="s">
        <v>27254</v>
      </c>
      <c r="T895" t="s">
        <v>27255</v>
      </c>
    </row>
    <row r="896" spans="1:20" x14ac:dyDescent="0.3">
      <c r="A896" t="str">
        <f>"0611831283100"</f>
        <v>0611831283100</v>
      </c>
      <c r="B896" t="str">
        <f>"LQ3658"</f>
        <v>LQ3658</v>
      </c>
      <c r="C896" t="s">
        <v>28975</v>
      </c>
      <c r="D896" t="s">
        <v>27245</v>
      </c>
      <c r="E896" t="str">
        <f t="shared" si="13"/>
        <v>001390</v>
      </c>
      <c r="F896" t="s">
        <v>27246</v>
      </c>
      <c r="G896" t="s">
        <v>27247</v>
      </c>
      <c r="H896" t="s">
        <v>27248</v>
      </c>
      <c r="I896" t="s">
        <v>28976</v>
      </c>
      <c r="J896" t="s">
        <v>1800</v>
      </c>
      <c r="L896" t="s">
        <v>27250</v>
      </c>
      <c r="M896" t="s">
        <v>27251</v>
      </c>
      <c r="N896" t="s">
        <v>27252</v>
      </c>
      <c r="Q896" s="1">
        <v>44538</v>
      </c>
      <c r="R896" t="s">
        <v>27253</v>
      </c>
      <c r="S896" t="s">
        <v>27254</v>
      </c>
      <c r="T896" t="s">
        <v>27255</v>
      </c>
    </row>
    <row r="897" spans="1:20" x14ac:dyDescent="0.3">
      <c r="A897" t="str">
        <f>"0611831284100"</f>
        <v>0611831284100</v>
      </c>
      <c r="B897" t="str">
        <f>"LQ3659"</f>
        <v>LQ3659</v>
      </c>
      <c r="C897" t="s">
        <v>28977</v>
      </c>
      <c r="D897" t="s">
        <v>27245</v>
      </c>
      <c r="E897" t="str">
        <f t="shared" si="13"/>
        <v>001390</v>
      </c>
      <c r="F897" t="s">
        <v>27246</v>
      </c>
      <c r="G897" t="s">
        <v>27247</v>
      </c>
      <c r="H897" t="s">
        <v>27248</v>
      </c>
      <c r="I897" t="s">
        <v>28978</v>
      </c>
      <c r="J897" t="s">
        <v>1802</v>
      </c>
      <c r="L897" t="s">
        <v>27250</v>
      </c>
      <c r="M897" t="s">
        <v>27251</v>
      </c>
      <c r="N897" t="s">
        <v>27252</v>
      </c>
      <c r="Q897" s="1">
        <v>44538</v>
      </c>
      <c r="R897" t="s">
        <v>27253</v>
      </c>
      <c r="S897" t="s">
        <v>27254</v>
      </c>
      <c r="T897" t="s">
        <v>27255</v>
      </c>
    </row>
    <row r="898" spans="1:20" x14ac:dyDescent="0.3">
      <c r="A898" t="str">
        <f>"0611856826100"</f>
        <v>0611856826100</v>
      </c>
      <c r="B898" t="str">
        <f>"LK7066"</f>
        <v>LK7066</v>
      </c>
      <c r="C898" t="s">
        <v>28979</v>
      </c>
      <c r="D898" t="s">
        <v>28138</v>
      </c>
      <c r="E898" t="str">
        <f t="shared" ref="E898:E961" si="14">"001390"</f>
        <v>001390</v>
      </c>
      <c r="F898" t="s">
        <v>27246</v>
      </c>
      <c r="G898" t="s">
        <v>27247</v>
      </c>
      <c r="H898" t="s">
        <v>27248</v>
      </c>
      <c r="I898" t="s">
        <v>28980</v>
      </c>
      <c r="J898" t="s">
        <v>1804</v>
      </c>
      <c r="L898" t="s">
        <v>27250</v>
      </c>
      <c r="M898" t="s">
        <v>27251</v>
      </c>
      <c r="N898" t="s">
        <v>27252</v>
      </c>
      <c r="P898" t="s">
        <v>27925</v>
      </c>
      <c r="Q898" s="1">
        <v>44812</v>
      </c>
      <c r="R898" t="s">
        <v>27253</v>
      </c>
      <c r="S898" t="s">
        <v>27254</v>
      </c>
      <c r="T898" t="s">
        <v>27255</v>
      </c>
    </row>
    <row r="899" spans="1:20" x14ac:dyDescent="0.3">
      <c r="A899" t="str">
        <f>"0611856827100"</f>
        <v>0611856827100</v>
      </c>
      <c r="B899" t="str">
        <f>"LK7067"</f>
        <v>LK7067</v>
      </c>
      <c r="C899" t="s">
        <v>28981</v>
      </c>
      <c r="D899" t="s">
        <v>28138</v>
      </c>
      <c r="E899" t="str">
        <f t="shared" si="14"/>
        <v>001390</v>
      </c>
      <c r="F899" t="s">
        <v>27246</v>
      </c>
      <c r="G899" t="s">
        <v>27247</v>
      </c>
      <c r="H899" t="s">
        <v>27248</v>
      </c>
      <c r="I899" t="s">
        <v>28982</v>
      </c>
      <c r="J899" t="s">
        <v>1806</v>
      </c>
      <c r="L899" t="s">
        <v>27250</v>
      </c>
      <c r="M899" t="s">
        <v>27251</v>
      </c>
      <c r="N899" t="s">
        <v>27252</v>
      </c>
      <c r="P899" t="s">
        <v>27925</v>
      </c>
      <c r="Q899" s="1">
        <v>44812</v>
      </c>
      <c r="R899" t="s">
        <v>27253</v>
      </c>
      <c r="S899" t="s">
        <v>27254</v>
      </c>
      <c r="T899" t="s">
        <v>27255</v>
      </c>
    </row>
    <row r="900" spans="1:20" x14ac:dyDescent="0.3">
      <c r="A900" t="str">
        <f>"0611856828100"</f>
        <v>0611856828100</v>
      </c>
      <c r="B900" t="str">
        <f>"LK7068"</f>
        <v>LK7068</v>
      </c>
      <c r="C900" t="s">
        <v>28983</v>
      </c>
      <c r="D900" t="s">
        <v>28138</v>
      </c>
      <c r="E900" t="str">
        <f t="shared" si="14"/>
        <v>001390</v>
      </c>
      <c r="F900" t="s">
        <v>27246</v>
      </c>
      <c r="G900" t="s">
        <v>27247</v>
      </c>
      <c r="H900" t="s">
        <v>27248</v>
      </c>
      <c r="I900" t="s">
        <v>28984</v>
      </c>
      <c r="J900" t="s">
        <v>1808</v>
      </c>
      <c r="L900" t="s">
        <v>27250</v>
      </c>
      <c r="M900" t="s">
        <v>27251</v>
      </c>
      <c r="N900" t="s">
        <v>27252</v>
      </c>
      <c r="P900" t="s">
        <v>27925</v>
      </c>
      <c r="Q900" s="1">
        <v>44812</v>
      </c>
      <c r="R900" t="s">
        <v>27253</v>
      </c>
      <c r="S900" t="s">
        <v>27254</v>
      </c>
      <c r="T900" t="s">
        <v>27255</v>
      </c>
    </row>
    <row r="901" spans="1:20" x14ac:dyDescent="0.3">
      <c r="A901" t="str">
        <f>"0611856829100"</f>
        <v>0611856829100</v>
      </c>
      <c r="B901" t="str">
        <f>"LK7069"</f>
        <v>LK7069</v>
      </c>
      <c r="C901" t="s">
        <v>28985</v>
      </c>
      <c r="D901" t="s">
        <v>28138</v>
      </c>
      <c r="E901" t="str">
        <f t="shared" si="14"/>
        <v>001390</v>
      </c>
      <c r="F901" t="s">
        <v>27246</v>
      </c>
      <c r="G901" t="s">
        <v>27247</v>
      </c>
      <c r="H901" t="s">
        <v>27248</v>
      </c>
      <c r="I901" t="s">
        <v>28986</v>
      </c>
      <c r="J901" t="s">
        <v>1810</v>
      </c>
      <c r="L901" t="s">
        <v>27250</v>
      </c>
      <c r="M901" t="s">
        <v>27251</v>
      </c>
      <c r="N901" t="s">
        <v>27252</v>
      </c>
      <c r="P901" t="s">
        <v>27925</v>
      </c>
      <c r="Q901" s="1">
        <v>44812</v>
      </c>
      <c r="R901" t="s">
        <v>27253</v>
      </c>
      <c r="S901" t="s">
        <v>27254</v>
      </c>
      <c r="T901" t="s">
        <v>27255</v>
      </c>
    </row>
    <row r="902" spans="1:20" x14ac:dyDescent="0.3">
      <c r="A902" t="str">
        <f>"0611831312100"</f>
        <v>0611831312100</v>
      </c>
      <c r="B902" t="str">
        <f>"LK5177"</f>
        <v>LK5177</v>
      </c>
      <c r="C902" t="s">
        <v>28987</v>
      </c>
      <c r="D902" t="s">
        <v>27245</v>
      </c>
      <c r="E902" t="str">
        <f t="shared" si="14"/>
        <v>001390</v>
      </c>
      <c r="F902" t="s">
        <v>27246</v>
      </c>
      <c r="G902" t="s">
        <v>27247</v>
      </c>
      <c r="H902" t="s">
        <v>27248</v>
      </c>
      <c r="I902" t="s">
        <v>28988</v>
      </c>
      <c r="J902" t="s">
        <v>1860</v>
      </c>
      <c r="L902" t="s">
        <v>27250</v>
      </c>
      <c r="M902" t="s">
        <v>27251</v>
      </c>
      <c r="N902" t="s">
        <v>27252</v>
      </c>
      <c r="Q902" s="1">
        <v>44538</v>
      </c>
      <c r="R902" t="s">
        <v>27253</v>
      </c>
      <c r="S902" t="s">
        <v>27254</v>
      </c>
      <c r="T902" t="s">
        <v>27255</v>
      </c>
    </row>
    <row r="903" spans="1:20" x14ac:dyDescent="0.3">
      <c r="A903" t="str">
        <f>"0611831313100"</f>
        <v>0611831313100</v>
      </c>
      <c r="B903" t="str">
        <f>"LB0871"</f>
        <v>LB0871</v>
      </c>
      <c r="C903" t="s">
        <v>28989</v>
      </c>
      <c r="D903" t="s">
        <v>27245</v>
      </c>
      <c r="E903" t="str">
        <f t="shared" si="14"/>
        <v>001390</v>
      </c>
      <c r="F903" t="s">
        <v>27246</v>
      </c>
      <c r="G903" t="s">
        <v>27247</v>
      </c>
      <c r="H903" t="s">
        <v>27248</v>
      </c>
      <c r="I903" t="s">
        <v>28990</v>
      </c>
      <c r="J903" t="s">
        <v>1862</v>
      </c>
      <c r="L903" t="s">
        <v>27250</v>
      </c>
      <c r="M903" t="s">
        <v>27251</v>
      </c>
      <c r="N903" t="s">
        <v>27252</v>
      </c>
      <c r="Q903" s="1">
        <v>44538</v>
      </c>
      <c r="R903" t="s">
        <v>27253</v>
      </c>
      <c r="S903" t="s">
        <v>27254</v>
      </c>
      <c r="T903" t="s">
        <v>27255</v>
      </c>
    </row>
    <row r="904" spans="1:20" x14ac:dyDescent="0.3">
      <c r="A904" t="str">
        <f>"0611831311100"</f>
        <v>0611831311100</v>
      </c>
      <c r="B904" t="str">
        <f>"LB0872"</f>
        <v>LB0872</v>
      </c>
      <c r="C904" t="s">
        <v>28991</v>
      </c>
      <c r="D904" t="s">
        <v>27245</v>
      </c>
      <c r="E904" t="str">
        <f t="shared" si="14"/>
        <v>001390</v>
      </c>
      <c r="F904" t="s">
        <v>27246</v>
      </c>
      <c r="G904" t="s">
        <v>27247</v>
      </c>
      <c r="H904" t="s">
        <v>27248</v>
      </c>
      <c r="I904" t="s">
        <v>28992</v>
      </c>
      <c r="J904" t="s">
        <v>1864</v>
      </c>
      <c r="L904" t="s">
        <v>27250</v>
      </c>
      <c r="M904" t="s">
        <v>27251</v>
      </c>
      <c r="N904" t="s">
        <v>27252</v>
      </c>
      <c r="Q904" s="1">
        <v>44538</v>
      </c>
      <c r="R904" t="s">
        <v>27253</v>
      </c>
      <c r="S904" t="s">
        <v>27254</v>
      </c>
      <c r="T904" t="s">
        <v>27255</v>
      </c>
    </row>
    <row r="905" spans="1:20" x14ac:dyDescent="0.3">
      <c r="A905" t="str">
        <f>"0611831314100"</f>
        <v>0611831314100</v>
      </c>
      <c r="B905" t="str">
        <f>"LB0873"</f>
        <v>LB0873</v>
      </c>
      <c r="C905" t="s">
        <v>28993</v>
      </c>
      <c r="D905" t="s">
        <v>27245</v>
      </c>
      <c r="E905" t="str">
        <f t="shared" si="14"/>
        <v>001390</v>
      </c>
      <c r="F905" t="s">
        <v>27246</v>
      </c>
      <c r="G905" t="s">
        <v>27247</v>
      </c>
      <c r="H905" t="s">
        <v>27248</v>
      </c>
      <c r="I905" t="s">
        <v>28994</v>
      </c>
      <c r="J905" t="s">
        <v>1866</v>
      </c>
      <c r="L905" t="s">
        <v>27250</v>
      </c>
      <c r="M905" t="s">
        <v>27251</v>
      </c>
      <c r="N905" t="s">
        <v>27252</v>
      </c>
      <c r="Q905" s="1">
        <v>44538</v>
      </c>
      <c r="R905" t="s">
        <v>27253</v>
      </c>
      <c r="S905" t="s">
        <v>27254</v>
      </c>
      <c r="T905" t="s">
        <v>27255</v>
      </c>
    </row>
    <row r="906" spans="1:20" x14ac:dyDescent="0.3">
      <c r="A906" t="str">
        <f>"0611831315100"</f>
        <v>0611831315100</v>
      </c>
      <c r="B906" t="str">
        <f>"LB0976"</f>
        <v>LB0976</v>
      </c>
      <c r="C906" t="s">
        <v>28995</v>
      </c>
      <c r="D906" t="s">
        <v>27245</v>
      </c>
      <c r="E906" t="str">
        <f t="shared" si="14"/>
        <v>001390</v>
      </c>
      <c r="F906" t="s">
        <v>27246</v>
      </c>
      <c r="G906" t="s">
        <v>27247</v>
      </c>
      <c r="H906" t="s">
        <v>27248</v>
      </c>
      <c r="I906" t="s">
        <v>28996</v>
      </c>
      <c r="J906" t="s">
        <v>1868</v>
      </c>
      <c r="L906" t="s">
        <v>27250</v>
      </c>
      <c r="M906" t="s">
        <v>27251</v>
      </c>
      <c r="N906" t="s">
        <v>27252</v>
      </c>
      <c r="Q906" s="1">
        <v>44538</v>
      </c>
      <c r="R906" t="s">
        <v>27253</v>
      </c>
      <c r="S906" t="s">
        <v>27254</v>
      </c>
      <c r="T906" t="s">
        <v>27255</v>
      </c>
    </row>
    <row r="907" spans="1:20" x14ac:dyDescent="0.3">
      <c r="A907" t="str">
        <f>"0611831316100"</f>
        <v>0611831316100</v>
      </c>
      <c r="B907" t="str">
        <f>"LB0874"</f>
        <v>LB0874</v>
      </c>
      <c r="C907" t="s">
        <v>28997</v>
      </c>
      <c r="D907" t="s">
        <v>27245</v>
      </c>
      <c r="E907" t="str">
        <f t="shared" si="14"/>
        <v>001390</v>
      </c>
      <c r="F907" t="s">
        <v>27246</v>
      </c>
      <c r="G907" t="s">
        <v>27247</v>
      </c>
      <c r="H907" t="s">
        <v>27248</v>
      </c>
      <c r="I907" t="s">
        <v>28998</v>
      </c>
      <c r="J907" t="s">
        <v>1870</v>
      </c>
      <c r="L907" t="s">
        <v>27250</v>
      </c>
      <c r="M907" t="s">
        <v>27251</v>
      </c>
      <c r="N907" t="s">
        <v>27252</v>
      </c>
      <c r="Q907" s="1">
        <v>44538</v>
      </c>
      <c r="R907" t="s">
        <v>27253</v>
      </c>
      <c r="S907" t="s">
        <v>27254</v>
      </c>
      <c r="T907" t="s">
        <v>27255</v>
      </c>
    </row>
    <row r="908" spans="1:20" x14ac:dyDescent="0.3">
      <c r="A908" t="str">
        <f>"0611831285100"</f>
        <v>0611831285100</v>
      </c>
      <c r="B908" t="str">
        <f>"LK4933"</f>
        <v>LK4933</v>
      </c>
      <c r="C908" t="s">
        <v>28999</v>
      </c>
      <c r="D908" t="s">
        <v>27245</v>
      </c>
      <c r="E908" t="str">
        <f t="shared" si="14"/>
        <v>001390</v>
      </c>
      <c r="F908" t="s">
        <v>27246</v>
      </c>
      <c r="G908" t="s">
        <v>27247</v>
      </c>
      <c r="H908" t="s">
        <v>27248</v>
      </c>
      <c r="I908" t="s">
        <v>29000</v>
      </c>
      <c r="J908" t="s">
        <v>1812</v>
      </c>
      <c r="L908" t="s">
        <v>27250</v>
      </c>
      <c r="M908" t="s">
        <v>27251</v>
      </c>
      <c r="N908" t="s">
        <v>27252</v>
      </c>
      <c r="Q908" s="1">
        <v>44538</v>
      </c>
      <c r="R908" t="s">
        <v>27253</v>
      </c>
      <c r="S908" t="s">
        <v>27254</v>
      </c>
      <c r="T908" t="s">
        <v>27255</v>
      </c>
    </row>
    <row r="909" spans="1:20" x14ac:dyDescent="0.3">
      <c r="A909" t="str">
        <f>"0611831286100"</f>
        <v>0611831286100</v>
      </c>
      <c r="B909" t="str">
        <f>"LK4934"</f>
        <v>LK4934</v>
      </c>
      <c r="C909" t="s">
        <v>29001</v>
      </c>
      <c r="D909" t="s">
        <v>27245</v>
      </c>
      <c r="E909" t="str">
        <f t="shared" si="14"/>
        <v>001390</v>
      </c>
      <c r="F909" t="s">
        <v>27246</v>
      </c>
      <c r="G909" t="s">
        <v>27247</v>
      </c>
      <c r="H909" t="s">
        <v>27248</v>
      </c>
      <c r="I909" t="s">
        <v>29002</v>
      </c>
      <c r="J909" t="s">
        <v>1814</v>
      </c>
      <c r="L909" t="s">
        <v>27250</v>
      </c>
      <c r="M909" t="s">
        <v>27251</v>
      </c>
      <c r="N909" t="s">
        <v>27252</v>
      </c>
      <c r="Q909" s="1">
        <v>44538</v>
      </c>
      <c r="R909" t="s">
        <v>27253</v>
      </c>
      <c r="S909" t="s">
        <v>27254</v>
      </c>
      <c r="T909" t="s">
        <v>27255</v>
      </c>
    </row>
    <row r="910" spans="1:20" x14ac:dyDescent="0.3">
      <c r="A910" t="str">
        <f>"0611831287100"</f>
        <v>0611831287100</v>
      </c>
      <c r="B910" t="str">
        <f>"LK4935"</f>
        <v>LK4935</v>
      </c>
      <c r="C910" t="s">
        <v>29003</v>
      </c>
      <c r="D910" t="s">
        <v>27245</v>
      </c>
      <c r="E910" t="str">
        <f t="shared" si="14"/>
        <v>001390</v>
      </c>
      <c r="F910" t="s">
        <v>27246</v>
      </c>
      <c r="G910" t="s">
        <v>27247</v>
      </c>
      <c r="H910" t="s">
        <v>27248</v>
      </c>
      <c r="I910" t="s">
        <v>29004</v>
      </c>
      <c r="J910" t="s">
        <v>1816</v>
      </c>
      <c r="L910" t="s">
        <v>27250</v>
      </c>
      <c r="M910" t="s">
        <v>27251</v>
      </c>
      <c r="N910" t="s">
        <v>27252</v>
      </c>
      <c r="Q910" s="1">
        <v>44538</v>
      </c>
      <c r="R910" t="s">
        <v>27253</v>
      </c>
      <c r="S910" t="s">
        <v>27254</v>
      </c>
      <c r="T910" t="s">
        <v>27255</v>
      </c>
    </row>
    <row r="911" spans="1:20" x14ac:dyDescent="0.3">
      <c r="A911" t="str">
        <f>"0611831288100"</f>
        <v>0611831288100</v>
      </c>
      <c r="B911" t="str">
        <f>"LK4936"</f>
        <v>LK4936</v>
      </c>
      <c r="C911" t="s">
        <v>29005</v>
      </c>
      <c r="D911" t="s">
        <v>27245</v>
      </c>
      <c r="E911" t="str">
        <f t="shared" si="14"/>
        <v>001390</v>
      </c>
      <c r="F911" t="s">
        <v>27246</v>
      </c>
      <c r="G911" t="s">
        <v>27247</v>
      </c>
      <c r="H911" t="s">
        <v>27248</v>
      </c>
      <c r="I911" t="s">
        <v>29006</v>
      </c>
      <c r="J911" t="s">
        <v>1818</v>
      </c>
      <c r="L911" t="s">
        <v>27250</v>
      </c>
      <c r="M911" t="s">
        <v>27251</v>
      </c>
      <c r="N911" t="s">
        <v>27252</v>
      </c>
      <c r="Q911" s="1">
        <v>44538</v>
      </c>
      <c r="R911" t="s">
        <v>27253</v>
      </c>
      <c r="S911" t="s">
        <v>27254</v>
      </c>
      <c r="T911" t="s">
        <v>27255</v>
      </c>
    </row>
    <row r="912" spans="1:20" x14ac:dyDescent="0.3">
      <c r="A912" t="str">
        <f>"0611831289100"</f>
        <v>0611831289100</v>
      </c>
      <c r="B912" t="str">
        <f>"LK4937"</f>
        <v>LK4937</v>
      </c>
      <c r="C912" t="s">
        <v>29007</v>
      </c>
      <c r="D912" t="s">
        <v>27245</v>
      </c>
      <c r="E912" t="str">
        <f t="shared" si="14"/>
        <v>001390</v>
      </c>
      <c r="F912" t="s">
        <v>27246</v>
      </c>
      <c r="G912" t="s">
        <v>27247</v>
      </c>
      <c r="H912" t="s">
        <v>27248</v>
      </c>
      <c r="I912" t="s">
        <v>29008</v>
      </c>
      <c r="J912" t="s">
        <v>1820</v>
      </c>
      <c r="L912" t="s">
        <v>27250</v>
      </c>
      <c r="M912" t="s">
        <v>27251</v>
      </c>
      <c r="N912" t="s">
        <v>27252</v>
      </c>
      <c r="Q912" s="1">
        <v>44538</v>
      </c>
      <c r="R912" t="s">
        <v>27253</v>
      </c>
      <c r="S912" t="s">
        <v>27254</v>
      </c>
      <c r="T912" t="s">
        <v>27255</v>
      </c>
    </row>
    <row r="913" spans="1:20" x14ac:dyDescent="0.3">
      <c r="A913" t="str">
        <f>"0611831290100"</f>
        <v>0611831290100</v>
      </c>
      <c r="B913" t="str">
        <f>"LK4938"</f>
        <v>LK4938</v>
      </c>
      <c r="C913" t="s">
        <v>29009</v>
      </c>
      <c r="D913" t="s">
        <v>27245</v>
      </c>
      <c r="E913" t="str">
        <f t="shared" si="14"/>
        <v>001390</v>
      </c>
      <c r="F913" t="s">
        <v>27246</v>
      </c>
      <c r="G913" t="s">
        <v>27247</v>
      </c>
      <c r="H913" t="s">
        <v>27248</v>
      </c>
      <c r="I913" t="s">
        <v>29010</v>
      </c>
      <c r="J913" t="s">
        <v>1822</v>
      </c>
      <c r="L913" t="s">
        <v>27250</v>
      </c>
      <c r="M913" t="s">
        <v>27251</v>
      </c>
      <c r="N913" t="s">
        <v>27252</v>
      </c>
      <c r="Q913" s="1">
        <v>44538</v>
      </c>
      <c r="R913" t="s">
        <v>27253</v>
      </c>
      <c r="S913" t="s">
        <v>27254</v>
      </c>
      <c r="T913" t="s">
        <v>27255</v>
      </c>
    </row>
    <row r="914" spans="1:20" x14ac:dyDescent="0.3">
      <c r="A914" t="str">
        <f>"0611831291100"</f>
        <v>0611831291100</v>
      </c>
      <c r="B914" t="str">
        <f>"LK4939"</f>
        <v>LK4939</v>
      </c>
      <c r="C914" t="s">
        <v>29011</v>
      </c>
      <c r="D914" t="s">
        <v>27245</v>
      </c>
      <c r="E914" t="str">
        <f t="shared" si="14"/>
        <v>001390</v>
      </c>
      <c r="F914" t="s">
        <v>27246</v>
      </c>
      <c r="G914" t="s">
        <v>27247</v>
      </c>
      <c r="H914" t="s">
        <v>27248</v>
      </c>
      <c r="I914" t="s">
        <v>29012</v>
      </c>
      <c r="J914" t="s">
        <v>1824</v>
      </c>
      <c r="L914" t="s">
        <v>27250</v>
      </c>
      <c r="M914" t="s">
        <v>27251</v>
      </c>
      <c r="N914" t="s">
        <v>27252</v>
      </c>
      <c r="Q914" s="1">
        <v>44538</v>
      </c>
      <c r="R914" t="s">
        <v>27253</v>
      </c>
      <c r="S914" t="s">
        <v>27254</v>
      </c>
      <c r="T914" t="s">
        <v>27255</v>
      </c>
    </row>
    <row r="915" spans="1:20" x14ac:dyDescent="0.3">
      <c r="A915" t="str">
        <f>"0611831292100"</f>
        <v>0611831292100</v>
      </c>
      <c r="B915" t="str">
        <f>"LQ3492"</f>
        <v>LQ3492</v>
      </c>
      <c r="C915" t="s">
        <v>29013</v>
      </c>
      <c r="D915" t="s">
        <v>27245</v>
      </c>
      <c r="E915" t="str">
        <f t="shared" si="14"/>
        <v>001390</v>
      </c>
      <c r="F915" t="s">
        <v>27246</v>
      </c>
      <c r="G915" t="s">
        <v>27247</v>
      </c>
      <c r="H915" t="s">
        <v>27248</v>
      </c>
      <c r="I915" t="s">
        <v>29014</v>
      </c>
      <c r="J915" t="s">
        <v>1826</v>
      </c>
      <c r="L915" t="s">
        <v>27250</v>
      </c>
      <c r="M915" t="s">
        <v>27251</v>
      </c>
      <c r="N915" t="s">
        <v>27252</v>
      </c>
      <c r="Q915" s="1">
        <v>44538</v>
      </c>
      <c r="R915" t="s">
        <v>27253</v>
      </c>
      <c r="S915" t="s">
        <v>27254</v>
      </c>
      <c r="T915" t="s">
        <v>27255</v>
      </c>
    </row>
    <row r="916" spans="1:20" x14ac:dyDescent="0.3">
      <c r="A916" t="str">
        <f>"0611860588050"</f>
        <v>0611860588050</v>
      </c>
      <c r="B916" t="str">
        <f>"CR2019"</f>
        <v>CR2019</v>
      </c>
      <c r="C916" t="s">
        <v>29013</v>
      </c>
      <c r="D916" t="s">
        <v>27263</v>
      </c>
      <c r="E916" t="str">
        <f t="shared" si="14"/>
        <v>001390</v>
      </c>
      <c r="F916" t="s">
        <v>27246</v>
      </c>
      <c r="G916" t="s">
        <v>27247</v>
      </c>
      <c r="H916" t="s">
        <v>27248</v>
      </c>
      <c r="I916" t="s">
        <v>29015</v>
      </c>
      <c r="J916" t="s">
        <v>1828</v>
      </c>
      <c r="L916" t="s">
        <v>27250</v>
      </c>
      <c r="M916" t="s">
        <v>27251</v>
      </c>
      <c r="N916" t="s">
        <v>27252</v>
      </c>
      <c r="Q916" s="1">
        <v>44846</v>
      </c>
      <c r="R916" t="s">
        <v>27253</v>
      </c>
      <c r="S916" t="s">
        <v>27254</v>
      </c>
      <c r="T916" t="s">
        <v>27265</v>
      </c>
    </row>
    <row r="917" spans="1:20" x14ac:dyDescent="0.3">
      <c r="A917" t="str">
        <f>"0611831297100"</f>
        <v>0611831297100</v>
      </c>
      <c r="B917" t="str">
        <f>"LQ3787"</f>
        <v>LQ3787</v>
      </c>
      <c r="C917" t="s">
        <v>29016</v>
      </c>
      <c r="D917" t="s">
        <v>27245</v>
      </c>
      <c r="E917" t="str">
        <f t="shared" si="14"/>
        <v>001390</v>
      </c>
      <c r="F917" t="s">
        <v>27246</v>
      </c>
      <c r="G917" t="s">
        <v>27247</v>
      </c>
      <c r="H917" t="s">
        <v>27248</v>
      </c>
      <c r="I917" t="s">
        <v>29017</v>
      </c>
      <c r="J917" t="s">
        <v>1830</v>
      </c>
      <c r="L917" t="s">
        <v>27250</v>
      </c>
      <c r="M917" t="s">
        <v>27251</v>
      </c>
      <c r="N917" t="s">
        <v>27252</v>
      </c>
      <c r="Q917" s="1">
        <v>44538</v>
      </c>
      <c r="R917" t="s">
        <v>27253</v>
      </c>
      <c r="S917" t="s">
        <v>27254</v>
      </c>
      <c r="T917" t="s">
        <v>27255</v>
      </c>
    </row>
    <row r="918" spans="1:20" x14ac:dyDescent="0.3">
      <c r="A918" t="str">
        <f>"0611831298100"</f>
        <v>0611831298100</v>
      </c>
      <c r="B918" t="str">
        <f>"LQ3493"</f>
        <v>LQ3493</v>
      </c>
      <c r="C918" t="s">
        <v>29018</v>
      </c>
      <c r="D918" t="s">
        <v>27245</v>
      </c>
      <c r="E918" t="str">
        <f t="shared" si="14"/>
        <v>001390</v>
      </c>
      <c r="F918" t="s">
        <v>27246</v>
      </c>
      <c r="G918" t="s">
        <v>27247</v>
      </c>
      <c r="H918" t="s">
        <v>27248</v>
      </c>
      <c r="I918" t="s">
        <v>29019</v>
      </c>
      <c r="J918" t="s">
        <v>1832</v>
      </c>
      <c r="L918" t="s">
        <v>27250</v>
      </c>
      <c r="M918" t="s">
        <v>27251</v>
      </c>
      <c r="N918" t="s">
        <v>27252</v>
      </c>
      <c r="Q918" s="1">
        <v>44538</v>
      </c>
      <c r="R918" t="s">
        <v>27253</v>
      </c>
      <c r="S918" t="s">
        <v>27254</v>
      </c>
      <c r="T918" t="s">
        <v>27255</v>
      </c>
    </row>
    <row r="919" spans="1:20" x14ac:dyDescent="0.3">
      <c r="A919" t="str">
        <f>"0611831299100"</f>
        <v>0611831299100</v>
      </c>
      <c r="B919" t="str">
        <f>"LQ3636"</f>
        <v>LQ3636</v>
      </c>
      <c r="C919" t="s">
        <v>29020</v>
      </c>
      <c r="D919" t="s">
        <v>27245</v>
      </c>
      <c r="E919" t="str">
        <f t="shared" si="14"/>
        <v>001390</v>
      </c>
      <c r="F919" t="s">
        <v>27246</v>
      </c>
      <c r="G919" t="s">
        <v>27247</v>
      </c>
      <c r="H919" t="s">
        <v>27248</v>
      </c>
      <c r="I919" t="s">
        <v>29021</v>
      </c>
      <c r="J919" t="s">
        <v>1834</v>
      </c>
      <c r="L919" t="s">
        <v>27250</v>
      </c>
      <c r="M919" t="s">
        <v>27251</v>
      </c>
      <c r="N919" t="s">
        <v>27252</v>
      </c>
      <c r="Q919" s="1">
        <v>44538</v>
      </c>
      <c r="R919" t="s">
        <v>27253</v>
      </c>
      <c r="S919" t="s">
        <v>27254</v>
      </c>
      <c r="T919" t="s">
        <v>27255</v>
      </c>
    </row>
    <row r="920" spans="1:20" x14ac:dyDescent="0.3">
      <c r="A920" t="str">
        <f>"0611860589050"</f>
        <v>0611860589050</v>
      </c>
      <c r="B920" t="str">
        <f>"CR3172"</f>
        <v>CR3172</v>
      </c>
      <c r="C920" t="s">
        <v>29022</v>
      </c>
      <c r="D920" t="s">
        <v>27271</v>
      </c>
      <c r="E920" t="str">
        <f t="shared" si="14"/>
        <v>001390</v>
      </c>
      <c r="F920" t="s">
        <v>27246</v>
      </c>
      <c r="G920" t="s">
        <v>27247</v>
      </c>
      <c r="H920" t="s">
        <v>27248</v>
      </c>
      <c r="I920" t="s">
        <v>29023</v>
      </c>
      <c r="J920" t="s">
        <v>1836</v>
      </c>
      <c r="L920" t="s">
        <v>27250</v>
      </c>
      <c r="M920" t="s">
        <v>27251</v>
      </c>
      <c r="N920" t="s">
        <v>27252</v>
      </c>
      <c r="P920" t="s">
        <v>27341</v>
      </c>
      <c r="Q920" s="1">
        <v>44846</v>
      </c>
      <c r="R920" t="s">
        <v>27253</v>
      </c>
      <c r="S920" t="s">
        <v>27254</v>
      </c>
      <c r="T920" t="s">
        <v>27265</v>
      </c>
    </row>
    <row r="921" spans="1:20" x14ac:dyDescent="0.3">
      <c r="A921" t="str">
        <f>"0611831300100"</f>
        <v>0611831300100</v>
      </c>
      <c r="B921" t="str">
        <f>"LK5703"</f>
        <v>LK5703</v>
      </c>
      <c r="C921" t="s">
        <v>29024</v>
      </c>
      <c r="D921" t="s">
        <v>28138</v>
      </c>
      <c r="E921" t="str">
        <f t="shared" si="14"/>
        <v>001390</v>
      </c>
      <c r="F921" t="s">
        <v>27246</v>
      </c>
      <c r="G921" t="s">
        <v>27247</v>
      </c>
      <c r="H921" t="s">
        <v>27248</v>
      </c>
      <c r="I921" t="s">
        <v>29025</v>
      </c>
      <c r="J921" t="s">
        <v>1838</v>
      </c>
      <c r="L921" t="s">
        <v>27250</v>
      </c>
      <c r="M921" t="s">
        <v>27251</v>
      </c>
      <c r="N921" t="s">
        <v>27252</v>
      </c>
      <c r="P921" t="s">
        <v>27925</v>
      </c>
      <c r="Q921" s="1">
        <v>44538</v>
      </c>
      <c r="R921" t="s">
        <v>27253</v>
      </c>
      <c r="S921" t="s">
        <v>27254</v>
      </c>
      <c r="T921" t="s">
        <v>27255</v>
      </c>
    </row>
    <row r="922" spans="1:20" x14ac:dyDescent="0.3">
      <c r="A922" t="str">
        <f>"0611831317100"</f>
        <v>0611831317100</v>
      </c>
      <c r="B922" t="str">
        <f>"LK6777"</f>
        <v>LK6777</v>
      </c>
      <c r="C922" t="s">
        <v>29026</v>
      </c>
      <c r="D922" t="s">
        <v>28138</v>
      </c>
      <c r="E922" t="str">
        <f t="shared" si="14"/>
        <v>001390</v>
      </c>
      <c r="F922" t="s">
        <v>27246</v>
      </c>
      <c r="G922" t="s">
        <v>27247</v>
      </c>
      <c r="H922" t="s">
        <v>27248</v>
      </c>
      <c r="I922" t="s">
        <v>29027</v>
      </c>
      <c r="J922" t="s">
        <v>1840</v>
      </c>
      <c r="L922" t="s">
        <v>27250</v>
      </c>
      <c r="M922" t="s">
        <v>27251</v>
      </c>
      <c r="N922" t="s">
        <v>27252</v>
      </c>
      <c r="P922" t="s">
        <v>27925</v>
      </c>
      <c r="Q922" s="1">
        <v>44538</v>
      </c>
      <c r="R922" t="s">
        <v>27253</v>
      </c>
      <c r="S922" t="s">
        <v>27254</v>
      </c>
      <c r="T922" t="s">
        <v>27255</v>
      </c>
    </row>
    <row r="923" spans="1:20" x14ac:dyDescent="0.3">
      <c r="A923" t="str">
        <f>"0611884023100"</f>
        <v>0611884023100</v>
      </c>
      <c r="B923" t="str">
        <f>"LK7123"</f>
        <v>LK7123</v>
      </c>
      <c r="C923" t="s">
        <v>29028</v>
      </c>
      <c r="D923" t="s">
        <v>27245</v>
      </c>
      <c r="E923" t="str">
        <f t="shared" si="14"/>
        <v>001390</v>
      </c>
      <c r="F923" t="s">
        <v>27246</v>
      </c>
      <c r="G923" t="s">
        <v>27247</v>
      </c>
      <c r="H923" t="s">
        <v>27248</v>
      </c>
      <c r="I923" t="s">
        <v>29029</v>
      </c>
      <c r="J923" t="s">
        <v>1842</v>
      </c>
      <c r="L923" t="s">
        <v>27430</v>
      </c>
      <c r="M923" t="s">
        <v>27251</v>
      </c>
      <c r="N923" t="s">
        <v>27252</v>
      </c>
      <c r="Q923" s="1">
        <v>45250</v>
      </c>
      <c r="R923" t="s">
        <v>27253</v>
      </c>
      <c r="S923" t="s">
        <v>27254</v>
      </c>
      <c r="T923" t="s">
        <v>27255</v>
      </c>
    </row>
    <row r="924" spans="1:20" x14ac:dyDescent="0.3">
      <c r="A924" t="str">
        <f>"0611831301100"</f>
        <v>0611831301100</v>
      </c>
      <c r="B924" t="str">
        <f>"LK5655"</f>
        <v>LK5655</v>
      </c>
      <c r="C924" t="s">
        <v>29030</v>
      </c>
      <c r="D924" t="s">
        <v>28138</v>
      </c>
      <c r="E924" t="str">
        <f t="shared" si="14"/>
        <v>001390</v>
      </c>
      <c r="F924" t="s">
        <v>27246</v>
      </c>
      <c r="G924" t="s">
        <v>27247</v>
      </c>
      <c r="H924" t="s">
        <v>27248</v>
      </c>
      <c r="I924" t="s">
        <v>29031</v>
      </c>
      <c r="J924" t="s">
        <v>1844</v>
      </c>
      <c r="L924" t="s">
        <v>27250</v>
      </c>
      <c r="M924" t="s">
        <v>27251</v>
      </c>
      <c r="N924" t="s">
        <v>27252</v>
      </c>
      <c r="P924" t="s">
        <v>27925</v>
      </c>
      <c r="Q924" s="1">
        <v>44538</v>
      </c>
      <c r="R924" t="s">
        <v>27253</v>
      </c>
      <c r="S924" t="s">
        <v>27254</v>
      </c>
      <c r="T924" t="s">
        <v>27255</v>
      </c>
    </row>
    <row r="925" spans="1:20" x14ac:dyDescent="0.3">
      <c r="A925" t="str">
        <f>"0611831302100"</f>
        <v>0611831302100</v>
      </c>
      <c r="B925" t="str">
        <f>"LK5704"</f>
        <v>LK5704</v>
      </c>
      <c r="C925" t="s">
        <v>29032</v>
      </c>
      <c r="D925" t="s">
        <v>28138</v>
      </c>
      <c r="E925" t="str">
        <f t="shared" si="14"/>
        <v>001390</v>
      </c>
      <c r="F925" t="s">
        <v>27246</v>
      </c>
      <c r="G925" t="s">
        <v>27247</v>
      </c>
      <c r="H925" t="s">
        <v>27248</v>
      </c>
      <c r="I925" t="s">
        <v>29033</v>
      </c>
      <c r="J925" t="s">
        <v>1846</v>
      </c>
      <c r="L925" t="s">
        <v>27250</v>
      </c>
      <c r="M925" t="s">
        <v>27251</v>
      </c>
      <c r="N925" t="s">
        <v>27252</v>
      </c>
      <c r="P925" t="s">
        <v>27925</v>
      </c>
      <c r="Q925" s="1">
        <v>44538</v>
      </c>
      <c r="R925" t="s">
        <v>27253</v>
      </c>
      <c r="S925" t="s">
        <v>27254</v>
      </c>
      <c r="T925" t="s">
        <v>27255</v>
      </c>
    </row>
    <row r="926" spans="1:20" x14ac:dyDescent="0.3">
      <c r="A926" t="str">
        <f>"0611831303100"</f>
        <v>0611831303100</v>
      </c>
      <c r="B926" t="str">
        <f>"LK5705"</f>
        <v>LK5705</v>
      </c>
      <c r="C926" t="s">
        <v>29034</v>
      </c>
      <c r="D926" t="s">
        <v>28138</v>
      </c>
      <c r="E926" t="str">
        <f t="shared" si="14"/>
        <v>001390</v>
      </c>
      <c r="F926" t="s">
        <v>27246</v>
      </c>
      <c r="G926" t="s">
        <v>27247</v>
      </c>
      <c r="H926" t="s">
        <v>27248</v>
      </c>
      <c r="I926" t="s">
        <v>29035</v>
      </c>
      <c r="J926" t="s">
        <v>1848</v>
      </c>
      <c r="L926" t="s">
        <v>27250</v>
      </c>
      <c r="M926" t="s">
        <v>27251</v>
      </c>
      <c r="N926" t="s">
        <v>27252</v>
      </c>
      <c r="P926" t="s">
        <v>27925</v>
      </c>
      <c r="Q926" s="1">
        <v>44538</v>
      </c>
      <c r="R926" t="s">
        <v>27253</v>
      </c>
      <c r="S926" t="s">
        <v>27254</v>
      </c>
      <c r="T926" t="s">
        <v>27255</v>
      </c>
    </row>
    <row r="927" spans="1:20" x14ac:dyDescent="0.3">
      <c r="A927" t="str">
        <f>"0611831304100"</f>
        <v>0611831304100</v>
      </c>
      <c r="B927" t="str">
        <f>"LK5656"</f>
        <v>LK5656</v>
      </c>
      <c r="C927" t="s">
        <v>29036</v>
      </c>
      <c r="D927" t="s">
        <v>28138</v>
      </c>
      <c r="E927" t="str">
        <f t="shared" si="14"/>
        <v>001390</v>
      </c>
      <c r="F927" t="s">
        <v>27246</v>
      </c>
      <c r="G927" t="s">
        <v>27247</v>
      </c>
      <c r="H927" t="s">
        <v>27248</v>
      </c>
      <c r="I927" t="s">
        <v>29037</v>
      </c>
      <c r="J927" t="s">
        <v>1850</v>
      </c>
      <c r="L927" t="s">
        <v>27250</v>
      </c>
      <c r="M927" t="s">
        <v>27251</v>
      </c>
      <c r="N927" t="s">
        <v>27252</v>
      </c>
      <c r="P927" t="s">
        <v>27925</v>
      </c>
      <c r="Q927" s="1">
        <v>44538</v>
      </c>
      <c r="R927" t="s">
        <v>27253</v>
      </c>
      <c r="S927" t="s">
        <v>27254</v>
      </c>
      <c r="T927" t="s">
        <v>27255</v>
      </c>
    </row>
    <row r="928" spans="1:20" x14ac:dyDescent="0.3">
      <c r="A928" t="str">
        <f>"0611831305100"</f>
        <v>0611831305100</v>
      </c>
      <c r="B928" t="str">
        <f>"LK5657"</f>
        <v>LK5657</v>
      </c>
      <c r="C928" t="s">
        <v>29038</v>
      </c>
      <c r="D928" t="s">
        <v>28138</v>
      </c>
      <c r="E928" t="str">
        <f t="shared" si="14"/>
        <v>001390</v>
      </c>
      <c r="F928" t="s">
        <v>27246</v>
      </c>
      <c r="G928" t="s">
        <v>27247</v>
      </c>
      <c r="H928" t="s">
        <v>27248</v>
      </c>
      <c r="I928" t="s">
        <v>29039</v>
      </c>
      <c r="J928" t="s">
        <v>1852</v>
      </c>
      <c r="L928" t="s">
        <v>27250</v>
      </c>
      <c r="M928" t="s">
        <v>27251</v>
      </c>
      <c r="N928" t="s">
        <v>27252</v>
      </c>
      <c r="P928" t="s">
        <v>27925</v>
      </c>
      <c r="Q928" s="1">
        <v>44538</v>
      </c>
      <c r="R928" t="s">
        <v>27253</v>
      </c>
      <c r="S928" t="s">
        <v>27254</v>
      </c>
      <c r="T928" t="s">
        <v>27255</v>
      </c>
    </row>
    <row r="929" spans="1:20" x14ac:dyDescent="0.3">
      <c r="A929" t="str">
        <f>"0611831307100"</f>
        <v>0611831307100</v>
      </c>
      <c r="B929" t="str">
        <f>"LK5658"</f>
        <v>LK5658</v>
      </c>
      <c r="C929" t="s">
        <v>29040</v>
      </c>
      <c r="D929" t="s">
        <v>28138</v>
      </c>
      <c r="E929" t="str">
        <f t="shared" si="14"/>
        <v>001390</v>
      </c>
      <c r="F929" t="s">
        <v>27246</v>
      </c>
      <c r="G929" t="s">
        <v>27247</v>
      </c>
      <c r="H929" t="s">
        <v>27248</v>
      </c>
      <c r="I929" t="s">
        <v>29041</v>
      </c>
      <c r="J929" t="s">
        <v>1854</v>
      </c>
      <c r="L929" t="s">
        <v>27250</v>
      </c>
      <c r="M929" t="s">
        <v>27251</v>
      </c>
      <c r="N929" t="s">
        <v>27252</v>
      </c>
      <c r="P929" t="s">
        <v>27925</v>
      </c>
      <c r="Q929" s="1">
        <v>44538</v>
      </c>
      <c r="R929" t="s">
        <v>27253</v>
      </c>
      <c r="S929" t="s">
        <v>27254</v>
      </c>
      <c r="T929" t="s">
        <v>27255</v>
      </c>
    </row>
    <row r="930" spans="1:20" x14ac:dyDescent="0.3">
      <c r="A930" t="str">
        <f>"0611831308100"</f>
        <v>0611831308100</v>
      </c>
      <c r="B930" t="str">
        <f>"LK6019"</f>
        <v>LK6019</v>
      </c>
      <c r="C930" t="s">
        <v>29042</v>
      </c>
      <c r="D930" t="s">
        <v>28138</v>
      </c>
      <c r="E930" t="str">
        <f t="shared" si="14"/>
        <v>001390</v>
      </c>
      <c r="F930" t="s">
        <v>27246</v>
      </c>
      <c r="G930" t="s">
        <v>27247</v>
      </c>
      <c r="H930" t="s">
        <v>27248</v>
      </c>
      <c r="I930" t="s">
        <v>29043</v>
      </c>
      <c r="J930" t="s">
        <v>1856</v>
      </c>
      <c r="L930" t="s">
        <v>27250</v>
      </c>
      <c r="M930" t="s">
        <v>27251</v>
      </c>
      <c r="N930" t="s">
        <v>27252</v>
      </c>
      <c r="P930" t="s">
        <v>27925</v>
      </c>
      <c r="Q930" s="1">
        <v>44538</v>
      </c>
      <c r="R930" t="s">
        <v>27253</v>
      </c>
      <c r="S930" t="s">
        <v>27254</v>
      </c>
      <c r="T930" t="s">
        <v>27255</v>
      </c>
    </row>
    <row r="931" spans="1:20" x14ac:dyDescent="0.3">
      <c r="A931" t="str">
        <f>"0611831309100"</f>
        <v>0611831309100</v>
      </c>
      <c r="B931" t="str">
        <f>"LK6983"</f>
        <v>LK6983</v>
      </c>
      <c r="C931" t="s">
        <v>29044</v>
      </c>
      <c r="D931" t="s">
        <v>28138</v>
      </c>
      <c r="E931" t="str">
        <f t="shared" si="14"/>
        <v>001390</v>
      </c>
      <c r="F931" t="s">
        <v>27246</v>
      </c>
      <c r="G931" t="s">
        <v>27247</v>
      </c>
      <c r="H931" t="s">
        <v>27248</v>
      </c>
      <c r="I931" t="s">
        <v>29045</v>
      </c>
      <c r="J931" t="s">
        <v>1858</v>
      </c>
      <c r="L931" t="s">
        <v>27250</v>
      </c>
      <c r="M931" t="s">
        <v>27251</v>
      </c>
      <c r="N931" t="s">
        <v>27252</v>
      </c>
      <c r="P931" t="s">
        <v>27925</v>
      </c>
      <c r="Q931" s="1">
        <v>44538</v>
      </c>
      <c r="R931" t="s">
        <v>27253</v>
      </c>
      <c r="S931" t="s">
        <v>27254</v>
      </c>
      <c r="T931" t="s">
        <v>27255</v>
      </c>
    </row>
    <row r="932" spans="1:20" x14ac:dyDescent="0.3">
      <c r="A932" t="str">
        <f>"0611831318100"</f>
        <v>0611831318100</v>
      </c>
      <c r="B932" t="str">
        <f>"LQ3495"</f>
        <v>LQ3495</v>
      </c>
      <c r="C932" t="s">
        <v>29046</v>
      </c>
      <c r="D932" t="s">
        <v>27245</v>
      </c>
      <c r="E932" t="str">
        <f t="shared" si="14"/>
        <v>001390</v>
      </c>
      <c r="F932" t="s">
        <v>27246</v>
      </c>
      <c r="G932" t="s">
        <v>27247</v>
      </c>
      <c r="H932" t="s">
        <v>27248</v>
      </c>
      <c r="I932" t="s">
        <v>29047</v>
      </c>
      <c r="J932" t="s">
        <v>1872</v>
      </c>
      <c r="L932" t="s">
        <v>27250</v>
      </c>
      <c r="M932" t="s">
        <v>27251</v>
      </c>
      <c r="N932" t="s">
        <v>27252</v>
      </c>
      <c r="Q932" s="1">
        <v>44538</v>
      </c>
      <c r="R932" t="s">
        <v>27253</v>
      </c>
      <c r="S932" t="s">
        <v>27254</v>
      </c>
      <c r="T932" t="s">
        <v>27255</v>
      </c>
    </row>
    <row r="933" spans="1:20" x14ac:dyDescent="0.3">
      <c r="A933" t="str">
        <f>"0611831319100"</f>
        <v>0611831319100</v>
      </c>
      <c r="B933" t="str">
        <f>"LK0427"</f>
        <v>LK0427</v>
      </c>
      <c r="C933" t="s">
        <v>29048</v>
      </c>
      <c r="D933" t="s">
        <v>27245</v>
      </c>
      <c r="E933" t="str">
        <f t="shared" si="14"/>
        <v>001390</v>
      </c>
      <c r="F933" t="s">
        <v>27246</v>
      </c>
      <c r="G933" t="s">
        <v>27247</v>
      </c>
      <c r="H933" t="s">
        <v>27248</v>
      </c>
      <c r="I933" t="s">
        <v>29049</v>
      </c>
      <c r="J933" t="s">
        <v>1874</v>
      </c>
      <c r="L933" t="s">
        <v>27250</v>
      </c>
      <c r="M933" t="s">
        <v>27251</v>
      </c>
      <c r="N933" t="s">
        <v>27252</v>
      </c>
      <c r="Q933" s="1">
        <v>44538</v>
      </c>
      <c r="R933" t="s">
        <v>27253</v>
      </c>
      <c r="S933" t="s">
        <v>27254</v>
      </c>
      <c r="T933" t="s">
        <v>27255</v>
      </c>
    </row>
    <row r="934" spans="1:20" x14ac:dyDescent="0.3">
      <c r="A934" t="str">
        <f>"0611831320100"</f>
        <v>0611831320100</v>
      </c>
      <c r="B934" t="str">
        <f>"LQ3661"</f>
        <v>LQ3661</v>
      </c>
      <c r="C934" t="s">
        <v>29050</v>
      </c>
      <c r="D934" t="s">
        <v>27245</v>
      </c>
      <c r="E934" t="str">
        <f t="shared" si="14"/>
        <v>001390</v>
      </c>
      <c r="F934" t="s">
        <v>27246</v>
      </c>
      <c r="G934" t="s">
        <v>27247</v>
      </c>
      <c r="H934" t="s">
        <v>27248</v>
      </c>
      <c r="I934" t="s">
        <v>29051</v>
      </c>
      <c r="J934" t="s">
        <v>1876</v>
      </c>
      <c r="L934" t="s">
        <v>27250</v>
      </c>
      <c r="M934" t="s">
        <v>27251</v>
      </c>
      <c r="N934" t="s">
        <v>27252</v>
      </c>
      <c r="Q934" s="1">
        <v>44538</v>
      </c>
      <c r="R934" t="s">
        <v>27253</v>
      </c>
      <c r="S934" t="s">
        <v>27254</v>
      </c>
      <c r="T934" t="s">
        <v>27255</v>
      </c>
    </row>
    <row r="935" spans="1:20" x14ac:dyDescent="0.3">
      <c r="A935" t="str">
        <f>"0611831321100"</f>
        <v>0611831321100</v>
      </c>
      <c r="B935" t="str">
        <f>"LQ3496"</f>
        <v>LQ3496</v>
      </c>
      <c r="C935" t="s">
        <v>29052</v>
      </c>
      <c r="D935" t="s">
        <v>27245</v>
      </c>
      <c r="E935" t="str">
        <f t="shared" si="14"/>
        <v>001390</v>
      </c>
      <c r="F935" t="s">
        <v>27246</v>
      </c>
      <c r="G935" t="s">
        <v>27247</v>
      </c>
      <c r="H935" t="s">
        <v>27248</v>
      </c>
      <c r="I935" t="s">
        <v>29053</v>
      </c>
      <c r="J935" t="s">
        <v>1878</v>
      </c>
      <c r="L935" t="s">
        <v>27250</v>
      </c>
      <c r="M935" t="s">
        <v>27251</v>
      </c>
      <c r="N935" t="s">
        <v>27252</v>
      </c>
      <c r="Q935" s="1">
        <v>44538</v>
      </c>
      <c r="R935" t="s">
        <v>27253</v>
      </c>
      <c r="S935" t="s">
        <v>27254</v>
      </c>
      <c r="T935" t="s">
        <v>27255</v>
      </c>
    </row>
    <row r="936" spans="1:20" x14ac:dyDescent="0.3">
      <c r="A936" t="str">
        <f>"0611860590050"</f>
        <v>0611860590050</v>
      </c>
      <c r="B936" t="str">
        <f>"CR2021"</f>
        <v>CR2021</v>
      </c>
      <c r="C936" t="s">
        <v>29052</v>
      </c>
      <c r="D936" t="s">
        <v>27263</v>
      </c>
      <c r="E936" t="str">
        <f t="shared" si="14"/>
        <v>001390</v>
      </c>
      <c r="F936" t="s">
        <v>27246</v>
      </c>
      <c r="G936" t="s">
        <v>27247</v>
      </c>
      <c r="H936" t="s">
        <v>27248</v>
      </c>
      <c r="I936" t="s">
        <v>29054</v>
      </c>
      <c r="J936" t="s">
        <v>1880</v>
      </c>
      <c r="L936" t="s">
        <v>27250</v>
      </c>
      <c r="M936" t="s">
        <v>27251</v>
      </c>
      <c r="N936" t="s">
        <v>27252</v>
      </c>
      <c r="Q936" s="1">
        <v>44846</v>
      </c>
      <c r="R936" t="s">
        <v>27253</v>
      </c>
      <c r="S936" t="s">
        <v>27254</v>
      </c>
      <c r="T936" t="s">
        <v>27265</v>
      </c>
    </row>
    <row r="937" spans="1:20" x14ac:dyDescent="0.3">
      <c r="A937" t="str">
        <f>"0611831322100"</f>
        <v>0611831322100</v>
      </c>
      <c r="B937" t="str">
        <f>"LQ3662"</f>
        <v>LQ3662</v>
      </c>
      <c r="C937" t="s">
        <v>29055</v>
      </c>
      <c r="D937" t="s">
        <v>27245</v>
      </c>
      <c r="E937" t="str">
        <f t="shared" si="14"/>
        <v>001390</v>
      </c>
      <c r="F937" t="s">
        <v>27246</v>
      </c>
      <c r="G937" t="s">
        <v>27247</v>
      </c>
      <c r="H937" t="s">
        <v>27248</v>
      </c>
      <c r="I937" t="s">
        <v>29056</v>
      </c>
      <c r="J937" t="s">
        <v>1882</v>
      </c>
      <c r="L937" t="s">
        <v>27250</v>
      </c>
      <c r="M937" t="s">
        <v>27251</v>
      </c>
      <c r="N937" t="s">
        <v>27252</v>
      </c>
      <c r="Q937" s="1">
        <v>44538</v>
      </c>
      <c r="R937" t="s">
        <v>27253</v>
      </c>
      <c r="S937" t="s">
        <v>27254</v>
      </c>
      <c r="T937" t="s">
        <v>27255</v>
      </c>
    </row>
    <row r="938" spans="1:20" x14ac:dyDescent="0.3">
      <c r="A938" t="str">
        <f>"0611831324100"</f>
        <v>0611831324100</v>
      </c>
      <c r="B938" t="str">
        <f>"LB1041"</f>
        <v>LB1041</v>
      </c>
      <c r="C938" t="s">
        <v>29057</v>
      </c>
      <c r="D938" t="s">
        <v>27245</v>
      </c>
      <c r="E938" t="str">
        <f t="shared" si="14"/>
        <v>001390</v>
      </c>
      <c r="F938" t="s">
        <v>27246</v>
      </c>
      <c r="G938" t="s">
        <v>27247</v>
      </c>
      <c r="H938" t="s">
        <v>27248</v>
      </c>
      <c r="I938" t="s">
        <v>29058</v>
      </c>
      <c r="J938" t="s">
        <v>1884</v>
      </c>
      <c r="L938" t="s">
        <v>27250</v>
      </c>
      <c r="M938" t="s">
        <v>27251</v>
      </c>
      <c r="N938" t="s">
        <v>27252</v>
      </c>
      <c r="Q938" s="1">
        <v>44538</v>
      </c>
      <c r="R938" t="s">
        <v>27253</v>
      </c>
      <c r="S938" t="s">
        <v>27254</v>
      </c>
      <c r="T938" t="s">
        <v>27255</v>
      </c>
    </row>
    <row r="939" spans="1:20" x14ac:dyDescent="0.3">
      <c r="A939" t="str">
        <f>"0611831325100"</f>
        <v>0611831325100</v>
      </c>
      <c r="B939" t="str">
        <f>"LB0838"</f>
        <v>LB0838</v>
      </c>
      <c r="C939" t="s">
        <v>29059</v>
      </c>
      <c r="D939" t="s">
        <v>27245</v>
      </c>
      <c r="E939" t="str">
        <f t="shared" si="14"/>
        <v>001390</v>
      </c>
      <c r="F939" t="s">
        <v>27246</v>
      </c>
      <c r="G939" t="s">
        <v>27247</v>
      </c>
      <c r="H939" t="s">
        <v>27248</v>
      </c>
      <c r="I939" t="s">
        <v>29060</v>
      </c>
      <c r="J939" t="s">
        <v>1886</v>
      </c>
      <c r="L939" t="s">
        <v>27250</v>
      </c>
      <c r="M939" t="s">
        <v>27251</v>
      </c>
      <c r="N939" t="s">
        <v>27252</v>
      </c>
      <c r="Q939" s="1">
        <v>44538</v>
      </c>
      <c r="R939" t="s">
        <v>27253</v>
      </c>
      <c r="S939" t="s">
        <v>27254</v>
      </c>
      <c r="T939" t="s">
        <v>27255</v>
      </c>
    </row>
    <row r="940" spans="1:20" x14ac:dyDescent="0.3">
      <c r="A940" t="str">
        <f>"0611831326100"</f>
        <v>0611831326100</v>
      </c>
      <c r="B940" t="str">
        <f>"LQ3497"</f>
        <v>LQ3497</v>
      </c>
      <c r="C940" t="s">
        <v>29061</v>
      </c>
      <c r="D940" t="s">
        <v>27245</v>
      </c>
      <c r="E940" t="str">
        <f t="shared" si="14"/>
        <v>001390</v>
      </c>
      <c r="F940" t="s">
        <v>27246</v>
      </c>
      <c r="G940" t="s">
        <v>27247</v>
      </c>
      <c r="H940" t="s">
        <v>27248</v>
      </c>
      <c r="I940" t="s">
        <v>29062</v>
      </c>
      <c r="J940" t="s">
        <v>1888</v>
      </c>
      <c r="L940" t="s">
        <v>27250</v>
      </c>
      <c r="M940" t="s">
        <v>27251</v>
      </c>
      <c r="N940" t="s">
        <v>27252</v>
      </c>
      <c r="Q940" s="1">
        <v>44538</v>
      </c>
      <c r="R940" t="s">
        <v>27253</v>
      </c>
      <c r="S940" t="s">
        <v>27254</v>
      </c>
      <c r="T940" t="s">
        <v>27255</v>
      </c>
    </row>
    <row r="941" spans="1:20" x14ac:dyDescent="0.3">
      <c r="A941" t="str">
        <f>"0611856830100"</f>
        <v>0611856830100</v>
      </c>
      <c r="B941" t="str">
        <f>"LQ3875"</f>
        <v>LQ3875</v>
      </c>
      <c r="C941" t="s">
        <v>29063</v>
      </c>
      <c r="D941" t="s">
        <v>27245</v>
      </c>
      <c r="E941" t="str">
        <f t="shared" si="14"/>
        <v>001390</v>
      </c>
      <c r="F941" t="s">
        <v>27246</v>
      </c>
      <c r="G941" t="s">
        <v>27247</v>
      </c>
      <c r="H941" t="s">
        <v>27248</v>
      </c>
      <c r="I941" t="s">
        <v>29064</v>
      </c>
      <c r="J941" t="s">
        <v>1890</v>
      </c>
      <c r="L941" t="s">
        <v>27250</v>
      </c>
      <c r="M941" t="s">
        <v>27251</v>
      </c>
      <c r="N941" t="s">
        <v>27252</v>
      </c>
      <c r="Q941" s="1">
        <v>44812</v>
      </c>
      <c r="R941" t="s">
        <v>27253</v>
      </c>
      <c r="S941" t="s">
        <v>27254</v>
      </c>
      <c r="T941" t="s">
        <v>27255</v>
      </c>
    </row>
    <row r="942" spans="1:20" x14ac:dyDescent="0.3">
      <c r="A942" t="str">
        <f>"0611831328100"</f>
        <v>0611831328100</v>
      </c>
      <c r="B942" t="str">
        <f>"LQ3665"</f>
        <v>LQ3665</v>
      </c>
      <c r="C942" t="s">
        <v>29065</v>
      </c>
      <c r="D942" t="s">
        <v>27245</v>
      </c>
      <c r="E942" t="str">
        <f t="shared" si="14"/>
        <v>001390</v>
      </c>
      <c r="F942" t="s">
        <v>27246</v>
      </c>
      <c r="G942" t="s">
        <v>27247</v>
      </c>
      <c r="H942" t="s">
        <v>27248</v>
      </c>
      <c r="I942" t="s">
        <v>29066</v>
      </c>
      <c r="J942" t="s">
        <v>1892</v>
      </c>
      <c r="L942" t="s">
        <v>27250</v>
      </c>
      <c r="M942" t="s">
        <v>27251</v>
      </c>
      <c r="N942" t="s">
        <v>27252</v>
      </c>
      <c r="Q942" s="1">
        <v>44538</v>
      </c>
      <c r="R942" t="s">
        <v>27253</v>
      </c>
      <c r="S942" t="s">
        <v>27254</v>
      </c>
      <c r="T942" t="s">
        <v>27255</v>
      </c>
    </row>
    <row r="943" spans="1:20" x14ac:dyDescent="0.3">
      <c r="A943" t="str">
        <f>"0611860591050"</f>
        <v>0611860591050</v>
      </c>
      <c r="B943" t="str">
        <f>"CR3204"</f>
        <v>CR3204</v>
      </c>
      <c r="C943" t="s">
        <v>29065</v>
      </c>
      <c r="D943" t="s">
        <v>27263</v>
      </c>
      <c r="E943" t="str">
        <f t="shared" si="14"/>
        <v>001390</v>
      </c>
      <c r="F943" t="s">
        <v>27246</v>
      </c>
      <c r="G943" t="s">
        <v>27247</v>
      </c>
      <c r="H943" t="s">
        <v>27248</v>
      </c>
      <c r="I943" t="s">
        <v>29067</v>
      </c>
      <c r="J943" t="s">
        <v>1894</v>
      </c>
      <c r="L943" t="s">
        <v>27250</v>
      </c>
      <c r="M943" t="s">
        <v>27251</v>
      </c>
      <c r="N943" t="s">
        <v>27252</v>
      </c>
      <c r="Q943" s="1">
        <v>44846</v>
      </c>
      <c r="R943" t="s">
        <v>27253</v>
      </c>
      <c r="S943" t="s">
        <v>27254</v>
      </c>
      <c r="T943" t="s">
        <v>27265</v>
      </c>
    </row>
    <row r="944" spans="1:20" x14ac:dyDescent="0.3">
      <c r="A944" t="str">
        <f>"0611831329100"</f>
        <v>0611831329100</v>
      </c>
      <c r="B944" t="str">
        <f>"MB0770"</f>
        <v>MB0770</v>
      </c>
      <c r="C944" t="s">
        <v>29068</v>
      </c>
      <c r="D944" t="s">
        <v>27274</v>
      </c>
      <c r="E944" t="str">
        <f t="shared" si="14"/>
        <v>001390</v>
      </c>
      <c r="F944" t="s">
        <v>27246</v>
      </c>
      <c r="G944" t="s">
        <v>27247</v>
      </c>
      <c r="H944" t="s">
        <v>27248</v>
      </c>
      <c r="I944" t="s">
        <v>29069</v>
      </c>
      <c r="J944" t="s">
        <v>1896</v>
      </c>
      <c r="L944" t="s">
        <v>27250</v>
      </c>
      <c r="M944" t="s">
        <v>27251</v>
      </c>
      <c r="N944" t="s">
        <v>27252</v>
      </c>
      <c r="Q944" s="1">
        <v>44538</v>
      </c>
      <c r="R944" t="s">
        <v>27253</v>
      </c>
      <c r="S944" t="s">
        <v>27254</v>
      </c>
      <c r="T944" t="s">
        <v>27276</v>
      </c>
    </row>
    <row r="945" spans="1:20" x14ac:dyDescent="0.3">
      <c r="A945" t="str">
        <f>"0611831330100"</f>
        <v>0611831330100</v>
      </c>
      <c r="B945" t="str">
        <f>"LG0770"</f>
        <v>LG0770</v>
      </c>
      <c r="C945" t="s">
        <v>29068</v>
      </c>
      <c r="D945" t="s">
        <v>27245</v>
      </c>
      <c r="E945" t="str">
        <f t="shared" si="14"/>
        <v>001390</v>
      </c>
      <c r="F945" t="s">
        <v>27246</v>
      </c>
      <c r="G945" t="s">
        <v>27247</v>
      </c>
      <c r="H945" t="s">
        <v>27248</v>
      </c>
      <c r="I945" t="s">
        <v>29070</v>
      </c>
      <c r="J945" t="s">
        <v>1898</v>
      </c>
      <c r="L945" t="s">
        <v>27250</v>
      </c>
      <c r="M945" t="s">
        <v>27251</v>
      </c>
      <c r="N945" t="s">
        <v>27252</v>
      </c>
      <c r="Q945" s="1">
        <v>44538</v>
      </c>
      <c r="R945" t="s">
        <v>27253</v>
      </c>
      <c r="S945" t="s">
        <v>27254</v>
      </c>
      <c r="T945" t="s">
        <v>27255</v>
      </c>
    </row>
    <row r="946" spans="1:20" x14ac:dyDescent="0.3">
      <c r="A946" t="str">
        <f>"0611831331100"</f>
        <v>0611831331100</v>
      </c>
      <c r="B946" t="str">
        <f>"LB0870"</f>
        <v>LB0870</v>
      </c>
      <c r="C946" t="s">
        <v>29071</v>
      </c>
      <c r="D946" t="s">
        <v>27245</v>
      </c>
      <c r="E946" t="str">
        <f t="shared" si="14"/>
        <v>001390</v>
      </c>
      <c r="F946" t="s">
        <v>27246</v>
      </c>
      <c r="G946" t="s">
        <v>27247</v>
      </c>
      <c r="H946" t="s">
        <v>27248</v>
      </c>
      <c r="I946" t="s">
        <v>29072</v>
      </c>
      <c r="J946" t="s">
        <v>1900</v>
      </c>
      <c r="L946" t="s">
        <v>27250</v>
      </c>
      <c r="M946" t="s">
        <v>27251</v>
      </c>
      <c r="N946" t="s">
        <v>27252</v>
      </c>
      <c r="Q946" s="1">
        <v>44538</v>
      </c>
      <c r="R946" t="s">
        <v>27253</v>
      </c>
      <c r="S946" t="s">
        <v>27254</v>
      </c>
      <c r="T946" t="s">
        <v>27255</v>
      </c>
    </row>
    <row r="947" spans="1:20" x14ac:dyDescent="0.3">
      <c r="A947" t="str">
        <f>"0611831332100"</f>
        <v>0611831332100</v>
      </c>
      <c r="B947" t="str">
        <f>"LB0925"</f>
        <v>LB0925</v>
      </c>
      <c r="C947" t="s">
        <v>29073</v>
      </c>
      <c r="D947" t="s">
        <v>27245</v>
      </c>
      <c r="E947" t="str">
        <f t="shared" si="14"/>
        <v>001390</v>
      </c>
      <c r="F947" t="s">
        <v>27246</v>
      </c>
      <c r="G947" t="s">
        <v>27247</v>
      </c>
      <c r="H947" t="s">
        <v>27248</v>
      </c>
      <c r="I947" t="s">
        <v>29074</v>
      </c>
      <c r="J947" t="s">
        <v>1902</v>
      </c>
      <c r="L947" t="s">
        <v>27250</v>
      </c>
      <c r="M947" t="s">
        <v>27251</v>
      </c>
      <c r="N947" t="s">
        <v>27252</v>
      </c>
      <c r="Q947" s="1">
        <v>44538</v>
      </c>
      <c r="R947" t="s">
        <v>27253</v>
      </c>
      <c r="S947" t="s">
        <v>27254</v>
      </c>
      <c r="T947" t="s">
        <v>27255</v>
      </c>
    </row>
    <row r="948" spans="1:20" x14ac:dyDescent="0.3">
      <c r="A948" t="str">
        <f>"0611831333100"</f>
        <v>0611831333100</v>
      </c>
      <c r="B948" t="str">
        <f>"LB0880"</f>
        <v>LB0880</v>
      </c>
      <c r="C948" t="s">
        <v>29075</v>
      </c>
      <c r="D948" t="s">
        <v>27245</v>
      </c>
      <c r="E948" t="str">
        <f t="shared" si="14"/>
        <v>001390</v>
      </c>
      <c r="F948" t="s">
        <v>27246</v>
      </c>
      <c r="G948" t="s">
        <v>27247</v>
      </c>
      <c r="H948" t="s">
        <v>27248</v>
      </c>
      <c r="I948" t="s">
        <v>29076</v>
      </c>
      <c r="J948" t="s">
        <v>1904</v>
      </c>
      <c r="L948" t="s">
        <v>27250</v>
      </c>
      <c r="M948" t="s">
        <v>27251</v>
      </c>
      <c r="N948" t="s">
        <v>27252</v>
      </c>
      <c r="Q948" s="1">
        <v>44538</v>
      </c>
      <c r="R948" t="s">
        <v>27253</v>
      </c>
      <c r="S948" t="s">
        <v>27254</v>
      </c>
      <c r="T948" t="s">
        <v>27255</v>
      </c>
    </row>
    <row r="949" spans="1:20" x14ac:dyDescent="0.3">
      <c r="A949" t="str">
        <f>"0611831334100"</f>
        <v>0611831334100</v>
      </c>
      <c r="B949" t="str">
        <f>"LB1040"</f>
        <v>LB1040</v>
      </c>
      <c r="C949" t="s">
        <v>29077</v>
      </c>
      <c r="D949" t="s">
        <v>27245</v>
      </c>
      <c r="E949" t="str">
        <f t="shared" si="14"/>
        <v>001390</v>
      </c>
      <c r="F949" t="s">
        <v>27246</v>
      </c>
      <c r="G949" t="s">
        <v>27247</v>
      </c>
      <c r="H949" t="s">
        <v>27248</v>
      </c>
      <c r="I949" t="s">
        <v>29078</v>
      </c>
      <c r="J949" t="s">
        <v>1906</v>
      </c>
      <c r="L949" t="s">
        <v>27250</v>
      </c>
      <c r="M949" t="s">
        <v>27251</v>
      </c>
      <c r="N949" t="s">
        <v>27252</v>
      </c>
      <c r="Q949" s="1">
        <v>44538</v>
      </c>
      <c r="R949" t="s">
        <v>27253</v>
      </c>
      <c r="S949" t="s">
        <v>27254</v>
      </c>
      <c r="T949" t="s">
        <v>27255</v>
      </c>
    </row>
    <row r="950" spans="1:20" x14ac:dyDescent="0.3">
      <c r="A950" t="str">
        <f>"0611831335100"</f>
        <v>0611831335100</v>
      </c>
      <c r="B950" t="str">
        <f>"LK4621"</f>
        <v>LK4621</v>
      </c>
      <c r="C950" t="s">
        <v>29079</v>
      </c>
      <c r="D950" t="s">
        <v>27245</v>
      </c>
      <c r="E950" t="str">
        <f t="shared" si="14"/>
        <v>001390</v>
      </c>
      <c r="F950" t="s">
        <v>27246</v>
      </c>
      <c r="G950" t="s">
        <v>27247</v>
      </c>
      <c r="H950" t="s">
        <v>27248</v>
      </c>
      <c r="I950" t="s">
        <v>29080</v>
      </c>
      <c r="J950" t="s">
        <v>1908</v>
      </c>
      <c r="L950" t="s">
        <v>27250</v>
      </c>
      <c r="M950" t="s">
        <v>27251</v>
      </c>
      <c r="N950" t="s">
        <v>27252</v>
      </c>
      <c r="Q950" s="1">
        <v>44538</v>
      </c>
      <c r="R950" t="s">
        <v>27253</v>
      </c>
      <c r="S950" t="s">
        <v>27254</v>
      </c>
      <c r="T950" t="s">
        <v>27255</v>
      </c>
    </row>
    <row r="951" spans="1:20" x14ac:dyDescent="0.3">
      <c r="A951" t="str">
        <f>"0611831336100"</f>
        <v>0611831336100</v>
      </c>
      <c r="B951" t="str">
        <f>"LB1085"</f>
        <v>LB1085</v>
      </c>
      <c r="C951" t="s">
        <v>29081</v>
      </c>
      <c r="D951" t="s">
        <v>27245</v>
      </c>
      <c r="E951" t="str">
        <f t="shared" si="14"/>
        <v>001390</v>
      </c>
      <c r="F951" t="s">
        <v>27246</v>
      </c>
      <c r="G951" t="s">
        <v>27247</v>
      </c>
      <c r="H951" t="s">
        <v>27248</v>
      </c>
      <c r="I951" t="s">
        <v>29082</v>
      </c>
      <c r="J951" t="s">
        <v>1910</v>
      </c>
      <c r="L951" t="s">
        <v>27250</v>
      </c>
      <c r="M951" t="s">
        <v>27251</v>
      </c>
      <c r="N951" t="s">
        <v>27252</v>
      </c>
      <c r="Q951" s="1">
        <v>44538</v>
      </c>
      <c r="R951" t="s">
        <v>27253</v>
      </c>
      <c r="S951" t="s">
        <v>27254</v>
      </c>
      <c r="T951" t="s">
        <v>27255</v>
      </c>
    </row>
    <row r="952" spans="1:20" x14ac:dyDescent="0.3">
      <c r="A952" t="str">
        <f>"0611831337100"</f>
        <v>0611831337100</v>
      </c>
      <c r="B952" t="str">
        <f>"LB1090"</f>
        <v>LB1090</v>
      </c>
      <c r="C952" t="s">
        <v>29083</v>
      </c>
      <c r="D952" t="s">
        <v>27245</v>
      </c>
      <c r="E952" t="str">
        <f t="shared" si="14"/>
        <v>001390</v>
      </c>
      <c r="F952" t="s">
        <v>27246</v>
      </c>
      <c r="G952" t="s">
        <v>27247</v>
      </c>
      <c r="H952" t="s">
        <v>27248</v>
      </c>
      <c r="I952" t="s">
        <v>29084</v>
      </c>
      <c r="J952" t="s">
        <v>1912</v>
      </c>
      <c r="L952" t="s">
        <v>27250</v>
      </c>
      <c r="M952" t="s">
        <v>27251</v>
      </c>
      <c r="N952" t="s">
        <v>27252</v>
      </c>
      <c r="Q952" s="1">
        <v>44538</v>
      </c>
      <c r="R952" t="s">
        <v>27253</v>
      </c>
      <c r="S952" t="s">
        <v>27254</v>
      </c>
      <c r="T952" t="s">
        <v>27255</v>
      </c>
    </row>
    <row r="953" spans="1:20" x14ac:dyDescent="0.3">
      <c r="A953" t="str">
        <f>"0611831338100"</f>
        <v>0611831338100</v>
      </c>
      <c r="B953" t="str">
        <f>"LK6889"</f>
        <v>LK6889</v>
      </c>
      <c r="C953" t="s">
        <v>29085</v>
      </c>
      <c r="D953" t="s">
        <v>27245</v>
      </c>
      <c r="E953" t="str">
        <f t="shared" si="14"/>
        <v>001390</v>
      </c>
      <c r="F953" t="s">
        <v>27246</v>
      </c>
      <c r="G953" t="s">
        <v>27247</v>
      </c>
      <c r="H953" t="s">
        <v>27248</v>
      </c>
      <c r="I953" t="s">
        <v>29086</v>
      </c>
      <c r="J953" t="s">
        <v>1914</v>
      </c>
      <c r="L953" t="s">
        <v>27250</v>
      </c>
      <c r="M953" t="s">
        <v>27251</v>
      </c>
      <c r="N953" t="s">
        <v>27252</v>
      </c>
      <c r="Q953" s="1">
        <v>44538</v>
      </c>
      <c r="R953" t="s">
        <v>27253</v>
      </c>
      <c r="S953" t="s">
        <v>27254</v>
      </c>
      <c r="T953" t="s">
        <v>27255</v>
      </c>
    </row>
    <row r="954" spans="1:20" x14ac:dyDescent="0.3">
      <c r="A954" t="str">
        <f>"0611831339100"</f>
        <v>0611831339100</v>
      </c>
      <c r="B954" t="str">
        <f>"LG0026"</f>
        <v>LG0026</v>
      </c>
      <c r="C954" t="s">
        <v>29087</v>
      </c>
      <c r="D954" t="s">
        <v>27245</v>
      </c>
      <c r="E954" t="str">
        <f t="shared" si="14"/>
        <v>001390</v>
      </c>
      <c r="F954" t="s">
        <v>27246</v>
      </c>
      <c r="G954" t="s">
        <v>27247</v>
      </c>
      <c r="H954" t="s">
        <v>27248</v>
      </c>
      <c r="I954" t="s">
        <v>29088</v>
      </c>
      <c r="J954" t="s">
        <v>1916</v>
      </c>
      <c r="L954" t="s">
        <v>27250</v>
      </c>
      <c r="M954" t="s">
        <v>27251</v>
      </c>
      <c r="N954" t="s">
        <v>27252</v>
      </c>
      <c r="Q954" s="1">
        <v>44538</v>
      </c>
      <c r="R954" t="s">
        <v>27253</v>
      </c>
      <c r="S954" t="s">
        <v>27254</v>
      </c>
      <c r="T954" t="s">
        <v>27255</v>
      </c>
    </row>
    <row r="955" spans="1:20" x14ac:dyDescent="0.3">
      <c r="A955" t="str">
        <f>"0611884024100"</f>
        <v>0611884024100</v>
      </c>
      <c r="B955" t="str">
        <f>"LQ3904"</f>
        <v>LQ3904</v>
      </c>
      <c r="C955" t="s">
        <v>29089</v>
      </c>
      <c r="D955" t="s">
        <v>27245</v>
      </c>
      <c r="E955" t="str">
        <f t="shared" si="14"/>
        <v>001390</v>
      </c>
      <c r="F955" t="s">
        <v>27246</v>
      </c>
      <c r="G955" t="s">
        <v>27247</v>
      </c>
      <c r="H955" t="s">
        <v>27248</v>
      </c>
      <c r="I955" t="s">
        <v>29090</v>
      </c>
      <c r="J955" t="s">
        <v>1918</v>
      </c>
      <c r="L955" t="s">
        <v>27430</v>
      </c>
      <c r="M955" t="s">
        <v>27251</v>
      </c>
      <c r="N955" t="s">
        <v>27252</v>
      </c>
      <c r="Q955" s="1">
        <v>45250</v>
      </c>
      <c r="R955" t="s">
        <v>27253</v>
      </c>
      <c r="S955" t="s">
        <v>27254</v>
      </c>
      <c r="T955" t="s">
        <v>27255</v>
      </c>
    </row>
    <row r="956" spans="1:20" x14ac:dyDescent="0.3">
      <c r="A956" t="str">
        <f>"0611831340100"</f>
        <v>0611831340100</v>
      </c>
      <c r="B956" t="str">
        <f>"LG0029"</f>
        <v>LG0029</v>
      </c>
      <c r="C956" t="s">
        <v>29091</v>
      </c>
      <c r="D956" t="s">
        <v>27245</v>
      </c>
      <c r="E956" t="str">
        <f t="shared" si="14"/>
        <v>001390</v>
      </c>
      <c r="F956" t="s">
        <v>27246</v>
      </c>
      <c r="G956" t="s">
        <v>27247</v>
      </c>
      <c r="H956" t="s">
        <v>27248</v>
      </c>
      <c r="I956" t="s">
        <v>29092</v>
      </c>
      <c r="J956" t="s">
        <v>1920</v>
      </c>
      <c r="L956" t="s">
        <v>27250</v>
      </c>
      <c r="M956" t="s">
        <v>27251</v>
      </c>
      <c r="N956" t="s">
        <v>27252</v>
      </c>
      <c r="Q956" s="1">
        <v>44538</v>
      </c>
      <c r="R956" t="s">
        <v>27253</v>
      </c>
      <c r="S956" t="s">
        <v>27254</v>
      </c>
      <c r="T956" t="s">
        <v>27255</v>
      </c>
    </row>
    <row r="957" spans="1:20" x14ac:dyDescent="0.3">
      <c r="A957" t="str">
        <f>"0611831341100"</f>
        <v>0611831341100</v>
      </c>
      <c r="B957" t="str">
        <f>"LQ3498"</f>
        <v>LQ3498</v>
      </c>
      <c r="C957" t="s">
        <v>29093</v>
      </c>
      <c r="D957" t="s">
        <v>27245</v>
      </c>
      <c r="E957" t="str">
        <f t="shared" si="14"/>
        <v>001390</v>
      </c>
      <c r="F957" t="s">
        <v>27246</v>
      </c>
      <c r="G957" t="s">
        <v>27247</v>
      </c>
      <c r="H957" t="s">
        <v>27248</v>
      </c>
      <c r="I957" t="s">
        <v>29094</v>
      </c>
      <c r="J957" t="s">
        <v>1922</v>
      </c>
      <c r="L957" t="s">
        <v>27250</v>
      </c>
      <c r="M957" t="s">
        <v>27251</v>
      </c>
      <c r="N957" t="s">
        <v>27252</v>
      </c>
      <c r="Q957" s="1">
        <v>44538</v>
      </c>
      <c r="R957" t="s">
        <v>27253</v>
      </c>
      <c r="S957" t="s">
        <v>27254</v>
      </c>
      <c r="T957" t="s">
        <v>27255</v>
      </c>
    </row>
    <row r="958" spans="1:20" x14ac:dyDescent="0.3">
      <c r="A958" t="str">
        <f>"0611860592050"</f>
        <v>0611860592050</v>
      </c>
      <c r="B958" t="str">
        <f>"CR2607"</f>
        <v>CR2607</v>
      </c>
      <c r="C958" t="s">
        <v>29093</v>
      </c>
      <c r="D958" t="s">
        <v>27263</v>
      </c>
      <c r="E958" t="str">
        <f t="shared" si="14"/>
        <v>001390</v>
      </c>
      <c r="F958" t="s">
        <v>27246</v>
      </c>
      <c r="G958" t="s">
        <v>27247</v>
      </c>
      <c r="H958" t="s">
        <v>27248</v>
      </c>
      <c r="I958" t="s">
        <v>29095</v>
      </c>
      <c r="J958" t="s">
        <v>1924</v>
      </c>
      <c r="L958" t="s">
        <v>27250</v>
      </c>
      <c r="M958" t="s">
        <v>27251</v>
      </c>
      <c r="N958" t="s">
        <v>27252</v>
      </c>
      <c r="Q958" s="1">
        <v>44846</v>
      </c>
      <c r="R958" t="s">
        <v>27253</v>
      </c>
      <c r="S958" t="s">
        <v>27254</v>
      </c>
      <c r="T958" t="s">
        <v>27265</v>
      </c>
    </row>
    <row r="959" spans="1:20" x14ac:dyDescent="0.3">
      <c r="A959" t="str">
        <f>"0611831438100"</f>
        <v>0611831438100</v>
      </c>
      <c r="B959" t="str">
        <f>"LB0905"</f>
        <v>LB0905</v>
      </c>
      <c r="C959" t="s">
        <v>29096</v>
      </c>
      <c r="D959" t="s">
        <v>27245</v>
      </c>
      <c r="E959" t="str">
        <f t="shared" si="14"/>
        <v>001390</v>
      </c>
      <c r="F959" t="s">
        <v>27246</v>
      </c>
      <c r="G959" t="s">
        <v>27247</v>
      </c>
      <c r="H959" t="s">
        <v>27248</v>
      </c>
      <c r="I959" t="s">
        <v>29097</v>
      </c>
      <c r="J959" t="s">
        <v>2212</v>
      </c>
      <c r="L959" t="s">
        <v>27250</v>
      </c>
      <c r="M959" t="s">
        <v>27251</v>
      </c>
      <c r="N959" t="s">
        <v>27252</v>
      </c>
      <c r="Q959" s="1">
        <v>44538</v>
      </c>
      <c r="R959" t="s">
        <v>27253</v>
      </c>
      <c r="S959" t="s">
        <v>27254</v>
      </c>
      <c r="T959" t="s">
        <v>27255</v>
      </c>
    </row>
    <row r="960" spans="1:20" x14ac:dyDescent="0.3">
      <c r="A960" t="str">
        <f>"0611831342100"</f>
        <v>0611831342100</v>
      </c>
      <c r="B960" t="str">
        <f>"LG0027"</f>
        <v>LG0027</v>
      </c>
      <c r="C960" t="s">
        <v>29098</v>
      </c>
      <c r="D960" t="s">
        <v>27245</v>
      </c>
      <c r="E960" t="str">
        <f t="shared" si="14"/>
        <v>001390</v>
      </c>
      <c r="F960" t="s">
        <v>27246</v>
      </c>
      <c r="G960" t="s">
        <v>27247</v>
      </c>
      <c r="H960" t="s">
        <v>27248</v>
      </c>
      <c r="I960" t="s">
        <v>29099</v>
      </c>
      <c r="J960" t="s">
        <v>1926</v>
      </c>
      <c r="L960" t="s">
        <v>27250</v>
      </c>
      <c r="M960" t="s">
        <v>27251</v>
      </c>
      <c r="N960" t="s">
        <v>27252</v>
      </c>
      <c r="Q960" s="1">
        <v>44538</v>
      </c>
      <c r="R960" t="s">
        <v>27253</v>
      </c>
      <c r="S960" t="s">
        <v>27254</v>
      </c>
      <c r="T960" t="s">
        <v>27255</v>
      </c>
    </row>
    <row r="961" spans="1:20" x14ac:dyDescent="0.3">
      <c r="A961" t="str">
        <f>"0611831343100"</f>
        <v>0611831343100</v>
      </c>
      <c r="B961" t="str">
        <f>"LG0028"</f>
        <v>LG0028</v>
      </c>
      <c r="C961" t="s">
        <v>29100</v>
      </c>
      <c r="D961" t="s">
        <v>27245</v>
      </c>
      <c r="E961" t="str">
        <f t="shared" si="14"/>
        <v>001390</v>
      </c>
      <c r="F961" t="s">
        <v>27246</v>
      </c>
      <c r="G961" t="s">
        <v>27247</v>
      </c>
      <c r="H961" t="s">
        <v>27248</v>
      </c>
      <c r="I961" t="s">
        <v>29101</v>
      </c>
      <c r="J961" t="s">
        <v>1928</v>
      </c>
      <c r="L961" t="s">
        <v>27250</v>
      </c>
      <c r="M961" t="s">
        <v>27251</v>
      </c>
      <c r="N961" t="s">
        <v>27252</v>
      </c>
      <c r="Q961" s="1">
        <v>44538</v>
      </c>
      <c r="R961" t="s">
        <v>27253</v>
      </c>
      <c r="S961" t="s">
        <v>27254</v>
      </c>
      <c r="T961" t="s">
        <v>27255</v>
      </c>
    </row>
    <row r="962" spans="1:20" x14ac:dyDescent="0.3">
      <c r="A962" t="str">
        <f>"0611884025100"</f>
        <v>0611884025100</v>
      </c>
      <c r="B962" t="str">
        <f>"LQ3905"</f>
        <v>LQ3905</v>
      </c>
      <c r="C962" t="s">
        <v>29102</v>
      </c>
      <c r="D962" t="s">
        <v>27245</v>
      </c>
      <c r="E962" t="str">
        <f t="shared" ref="E962:E1025" si="15">"001390"</f>
        <v>001390</v>
      </c>
      <c r="F962" t="s">
        <v>27246</v>
      </c>
      <c r="G962" t="s">
        <v>27247</v>
      </c>
      <c r="H962" t="s">
        <v>27248</v>
      </c>
      <c r="I962" t="s">
        <v>29103</v>
      </c>
      <c r="J962" t="s">
        <v>1930</v>
      </c>
      <c r="L962" t="s">
        <v>27430</v>
      </c>
      <c r="M962" t="s">
        <v>27251</v>
      </c>
      <c r="N962" t="s">
        <v>27252</v>
      </c>
      <c r="Q962" s="1">
        <v>45250</v>
      </c>
      <c r="R962" t="s">
        <v>27253</v>
      </c>
      <c r="S962" t="s">
        <v>27254</v>
      </c>
      <c r="T962" t="s">
        <v>27255</v>
      </c>
    </row>
    <row r="963" spans="1:20" x14ac:dyDescent="0.3">
      <c r="A963" t="str">
        <f>"0611831344100"</f>
        <v>0611831344100</v>
      </c>
      <c r="B963" t="str">
        <f>"LQ5793"</f>
        <v>LQ5793</v>
      </c>
      <c r="C963" t="s">
        <v>29104</v>
      </c>
      <c r="D963" t="s">
        <v>27552</v>
      </c>
      <c r="E963" t="str">
        <f t="shared" si="15"/>
        <v>001390</v>
      </c>
      <c r="F963" t="s">
        <v>27246</v>
      </c>
      <c r="G963" t="s">
        <v>27247</v>
      </c>
      <c r="H963" t="s">
        <v>27248</v>
      </c>
      <c r="I963" t="s">
        <v>29105</v>
      </c>
      <c r="J963" t="s">
        <v>1932</v>
      </c>
      <c r="L963" t="s">
        <v>27250</v>
      </c>
      <c r="M963" t="s">
        <v>27251</v>
      </c>
      <c r="N963" t="s">
        <v>27252</v>
      </c>
      <c r="P963" t="s">
        <v>27341</v>
      </c>
      <c r="Q963" s="1">
        <v>44538</v>
      </c>
      <c r="R963" t="s">
        <v>27253</v>
      </c>
      <c r="S963" t="s">
        <v>27254</v>
      </c>
      <c r="T963" t="s">
        <v>27255</v>
      </c>
    </row>
    <row r="964" spans="1:20" x14ac:dyDescent="0.3">
      <c r="A964" t="str">
        <f>"0611860593050"</f>
        <v>0611860593050</v>
      </c>
      <c r="B964" t="str">
        <f>"CR2022"</f>
        <v>CR2022</v>
      </c>
      <c r="C964" t="s">
        <v>29104</v>
      </c>
      <c r="D964" t="s">
        <v>27263</v>
      </c>
      <c r="E964" t="str">
        <f t="shared" si="15"/>
        <v>001390</v>
      </c>
      <c r="F964" t="s">
        <v>27246</v>
      </c>
      <c r="G964" t="s">
        <v>27247</v>
      </c>
      <c r="H964" t="s">
        <v>27248</v>
      </c>
      <c r="I964" t="s">
        <v>29106</v>
      </c>
      <c r="J964" t="s">
        <v>1934</v>
      </c>
      <c r="L964" t="s">
        <v>27250</v>
      </c>
      <c r="M964" t="s">
        <v>27251</v>
      </c>
      <c r="N964" t="s">
        <v>27252</v>
      </c>
      <c r="Q964" s="1">
        <v>44846</v>
      </c>
      <c r="R964" t="s">
        <v>27253</v>
      </c>
      <c r="S964" t="s">
        <v>27254</v>
      </c>
      <c r="T964" t="s">
        <v>27265</v>
      </c>
    </row>
    <row r="965" spans="1:20" x14ac:dyDescent="0.3">
      <c r="A965" t="str">
        <f>"0611831345100"</f>
        <v>0611831345100</v>
      </c>
      <c r="B965" t="str">
        <f>"LQ5794"</f>
        <v>LQ5794</v>
      </c>
      <c r="C965" t="s">
        <v>29107</v>
      </c>
      <c r="D965" t="s">
        <v>27245</v>
      </c>
      <c r="E965" t="str">
        <f t="shared" si="15"/>
        <v>001390</v>
      </c>
      <c r="F965" t="s">
        <v>27246</v>
      </c>
      <c r="G965" t="s">
        <v>27247</v>
      </c>
      <c r="H965" t="s">
        <v>27248</v>
      </c>
      <c r="I965" t="s">
        <v>29108</v>
      </c>
      <c r="J965" t="s">
        <v>1936</v>
      </c>
      <c r="L965" t="s">
        <v>27250</v>
      </c>
      <c r="M965" t="s">
        <v>27251</v>
      </c>
      <c r="N965" t="s">
        <v>27252</v>
      </c>
      <c r="Q965" s="1">
        <v>44538</v>
      </c>
      <c r="R965" t="s">
        <v>27253</v>
      </c>
      <c r="S965" t="s">
        <v>27254</v>
      </c>
      <c r="T965" t="s">
        <v>27255</v>
      </c>
    </row>
    <row r="966" spans="1:20" x14ac:dyDescent="0.3">
      <c r="A966" t="str">
        <f>"0611860594050"</f>
        <v>0611860594050</v>
      </c>
      <c r="B966" t="str">
        <f>"CR2023"</f>
        <v>CR2023</v>
      </c>
      <c r="C966" t="s">
        <v>29107</v>
      </c>
      <c r="D966" t="s">
        <v>27263</v>
      </c>
      <c r="E966" t="str">
        <f t="shared" si="15"/>
        <v>001390</v>
      </c>
      <c r="F966" t="s">
        <v>27246</v>
      </c>
      <c r="G966" t="s">
        <v>27247</v>
      </c>
      <c r="H966" t="s">
        <v>27248</v>
      </c>
      <c r="I966" t="s">
        <v>29109</v>
      </c>
      <c r="J966" t="s">
        <v>1938</v>
      </c>
      <c r="L966" t="s">
        <v>27250</v>
      </c>
      <c r="M966" t="s">
        <v>27251</v>
      </c>
      <c r="N966" t="s">
        <v>27252</v>
      </c>
      <c r="Q966" s="1">
        <v>44846</v>
      </c>
      <c r="R966" t="s">
        <v>27253</v>
      </c>
      <c r="S966" t="s">
        <v>27254</v>
      </c>
      <c r="T966" t="s">
        <v>27265</v>
      </c>
    </row>
    <row r="967" spans="1:20" x14ac:dyDescent="0.3">
      <c r="A967" t="str">
        <f>"0611831346100"</f>
        <v>0611831346100</v>
      </c>
      <c r="B967" t="str">
        <f>"LQ5795"</f>
        <v>LQ5795</v>
      </c>
      <c r="C967" t="s">
        <v>29110</v>
      </c>
      <c r="D967" t="s">
        <v>27245</v>
      </c>
      <c r="E967" t="str">
        <f t="shared" si="15"/>
        <v>001390</v>
      </c>
      <c r="F967" t="s">
        <v>27246</v>
      </c>
      <c r="G967" t="s">
        <v>27247</v>
      </c>
      <c r="H967" t="s">
        <v>27248</v>
      </c>
      <c r="I967" t="s">
        <v>29111</v>
      </c>
      <c r="J967" t="s">
        <v>1940</v>
      </c>
      <c r="L967" t="s">
        <v>27250</v>
      </c>
      <c r="M967" t="s">
        <v>27251</v>
      </c>
      <c r="N967" t="s">
        <v>27252</v>
      </c>
      <c r="Q967" s="1">
        <v>44538</v>
      </c>
      <c r="R967" t="s">
        <v>27253</v>
      </c>
      <c r="S967" t="s">
        <v>27254</v>
      </c>
      <c r="T967" t="s">
        <v>27255</v>
      </c>
    </row>
    <row r="968" spans="1:20" x14ac:dyDescent="0.3">
      <c r="A968" t="str">
        <f>"0611860595050"</f>
        <v>0611860595050</v>
      </c>
      <c r="B968" t="str">
        <f>"CR2024"</f>
        <v>CR2024</v>
      </c>
      <c r="C968" t="s">
        <v>29110</v>
      </c>
      <c r="D968" t="s">
        <v>27263</v>
      </c>
      <c r="E968" t="str">
        <f t="shared" si="15"/>
        <v>001390</v>
      </c>
      <c r="F968" t="s">
        <v>27246</v>
      </c>
      <c r="G968" t="s">
        <v>27247</v>
      </c>
      <c r="H968" t="s">
        <v>27248</v>
      </c>
      <c r="I968" t="s">
        <v>29112</v>
      </c>
      <c r="J968" t="s">
        <v>1942</v>
      </c>
      <c r="L968" t="s">
        <v>27250</v>
      </c>
      <c r="M968" t="s">
        <v>27251</v>
      </c>
      <c r="N968" t="s">
        <v>27252</v>
      </c>
      <c r="Q968" s="1">
        <v>44846</v>
      </c>
      <c r="R968" t="s">
        <v>27253</v>
      </c>
      <c r="S968" t="s">
        <v>27254</v>
      </c>
      <c r="T968" t="s">
        <v>27265</v>
      </c>
    </row>
    <row r="969" spans="1:20" x14ac:dyDescent="0.3">
      <c r="A969" t="str">
        <f>"0611831347100"</f>
        <v>0611831347100</v>
      </c>
      <c r="B969" t="str">
        <f>"LQ5796"</f>
        <v>LQ5796</v>
      </c>
      <c r="C969" t="s">
        <v>29113</v>
      </c>
      <c r="D969" t="s">
        <v>27245</v>
      </c>
      <c r="E969" t="str">
        <f t="shared" si="15"/>
        <v>001390</v>
      </c>
      <c r="F969" t="s">
        <v>27246</v>
      </c>
      <c r="G969" t="s">
        <v>27247</v>
      </c>
      <c r="H969" t="s">
        <v>27248</v>
      </c>
      <c r="I969" t="s">
        <v>29114</v>
      </c>
      <c r="J969" t="s">
        <v>1944</v>
      </c>
      <c r="L969" t="s">
        <v>27250</v>
      </c>
      <c r="M969" t="s">
        <v>27251</v>
      </c>
      <c r="N969" t="s">
        <v>27252</v>
      </c>
      <c r="Q969" s="1">
        <v>44538</v>
      </c>
      <c r="R969" t="s">
        <v>27253</v>
      </c>
      <c r="S969" t="s">
        <v>27254</v>
      </c>
      <c r="T969" t="s">
        <v>27255</v>
      </c>
    </row>
    <row r="970" spans="1:20" x14ac:dyDescent="0.3">
      <c r="A970" t="str">
        <f>"0611860596050"</f>
        <v>0611860596050</v>
      </c>
      <c r="B970" t="str">
        <f>"CR2025"</f>
        <v>CR2025</v>
      </c>
      <c r="C970" t="s">
        <v>29113</v>
      </c>
      <c r="D970" t="s">
        <v>27263</v>
      </c>
      <c r="E970" t="str">
        <f t="shared" si="15"/>
        <v>001390</v>
      </c>
      <c r="F970" t="s">
        <v>27246</v>
      </c>
      <c r="G970" t="s">
        <v>27247</v>
      </c>
      <c r="H970" t="s">
        <v>27248</v>
      </c>
      <c r="I970" t="s">
        <v>29115</v>
      </c>
      <c r="J970" t="s">
        <v>1946</v>
      </c>
      <c r="L970" t="s">
        <v>27250</v>
      </c>
      <c r="M970" t="s">
        <v>27251</v>
      </c>
      <c r="N970" t="s">
        <v>27252</v>
      </c>
      <c r="Q970" s="1">
        <v>44846</v>
      </c>
      <c r="R970" t="s">
        <v>27253</v>
      </c>
      <c r="S970" t="s">
        <v>27254</v>
      </c>
      <c r="T970" t="s">
        <v>27265</v>
      </c>
    </row>
    <row r="971" spans="1:20" x14ac:dyDescent="0.3">
      <c r="A971" t="str">
        <f>"0611831348100"</f>
        <v>0611831348100</v>
      </c>
      <c r="B971" t="str">
        <f>"LG0774"</f>
        <v>LG0774</v>
      </c>
      <c r="C971" t="s">
        <v>29116</v>
      </c>
      <c r="D971" t="s">
        <v>27245</v>
      </c>
      <c r="E971" t="str">
        <f t="shared" si="15"/>
        <v>001390</v>
      </c>
      <c r="F971" t="s">
        <v>27246</v>
      </c>
      <c r="G971" t="s">
        <v>27247</v>
      </c>
      <c r="H971" t="s">
        <v>27248</v>
      </c>
      <c r="I971" t="s">
        <v>29117</v>
      </c>
      <c r="J971" t="s">
        <v>1948</v>
      </c>
      <c r="L971" t="s">
        <v>27250</v>
      </c>
      <c r="M971" t="s">
        <v>27251</v>
      </c>
      <c r="N971" t="s">
        <v>27252</v>
      </c>
      <c r="Q971" s="1">
        <v>44538</v>
      </c>
      <c r="R971" t="s">
        <v>27253</v>
      </c>
      <c r="S971" t="s">
        <v>27254</v>
      </c>
      <c r="T971" t="s">
        <v>27255</v>
      </c>
    </row>
    <row r="972" spans="1:20" x14ac:dyDescent="0.3">
      <c r="A972" t="str">
        <f>"0611831349100"</f>
        <v>0611831349100</v>
      </c>
      <c r="B972" t="str">
        <f>"MB0776"</f>
        <v>MB0776</v>
      </c>
      <c r="C972" t="s">
        <v>29118</v>
      </c>
      <c r="D972" t="s">
        <v>27274</v>
      </c>
      <c r="E972" t="str">
        <f t="shared" si="15"/>
        <v>001390</v>
      </c>
      <c r="F972" t="s">
        <v>27246</v>
      </c>
      <c r="G972" t="s">
        <v>27247</v>
      </c>
      <c r="H972" t="s">
        <v>27248</v>
      </c>
      <c r="I972" t="s">
        <v>29119</v>
      </c>
      <c r="J972" t="s">
        <v>1954</v>
      </c>
      <c r="L972" t="s">
        <v>27250</v>
      </c>
      <c r="M972" t="s">
        <v>27251</v>
      </c>
      <c r="N972" t="s">
        <v>27252</v>
      </c>
      <c r="Q972" s="1">
        <v>44538</v>
      </c>
      <c r="R972" t="s">
        <v>27253</v>
      </c>
      <c r="S972" t="s">
        <v>27254</v>
      </c>
      <c r="T972" t="s">
        <v>27276</v>
      </c>
    </row>
    <row r="973" spans="1:20" x14ac:dyDescent="0.3">
      <c r="A973" t="str">
        <f>"0611831350100"</f>
        <v>0611831350100</v>
      </c>
      <c r="B973" t="str">
        <f>"LK0584"</f>
        <v>LK0584</v>
      </c>
      <c r="C973" t="s">
        <v>29118</v>
      </c>
      <c r="D973" t="s">
        <v>27245</v>
      </c>
      <c r="E973" t="str">
        <f t="shared" si="15"/>
        <v>001390</v>
      </c>
      <c r="F973" t="s">
        <v>27246</v>
      </c>
      <c r="G973" t="s">
        <v>27247</v>
      </c>
      <c r="H973" t="s">
        <v>27248</v>
      </c>
      <c r="I973" t="s">
        <v>29120</v>
      </c>
      <c r="J973" t="s">
        <v>1956</v>
      </c>
      <c r="L973" t="s">
        <v>27250</v>
      </c>
      <c r="M973" t="s">
        <v>27251</v>
      </c>
      <c r="N973" t="s">
        <v>27252</v>
      </c>
      <c r="Q973" s="1">
        <v>44538</v>
      </c>
      <c r="R973" t="s">
        <v>27253</v>
      </c>
      <c r="S973" t="s">
        <v>27254</v>
      </c>
      <c r="T973" t="s">
        <v>27255</v>
      </c>
    </row>
    <row r="974" spans="1:20" x14ac:dyDescent="0.3">
      <c r="A974" t="str">
        <f>"0611831351025"</f>
        <v>0611831351025</v>
      </c>
      <c r="B974" t="str">
        <f>"MC1496"</f>
        <v>MC1496</v>
      </c>
      <c r="C974" t="s">
        <v>29118</v>
      </c>
      <c r="D974" t="s">
        <v>27267</v>
      </c>
      <c r="E974" t="str">
        <f t="shared" si="15"/>
        <v>001390</v>
      </c>
      <c r="F974" t="s">
        <v>27246</v>
      </c>
      <c r="G974" t="s">
        <v>27247</v>
      </c>
      <c r="H974" t="s">
        <v>27248</v>
      </c>
      <c r="I974" t="s">
        <v>29121</v>
      </c>
      <c r="J974" t="s">
        <v>1958</v>
      </c>
      <c r="L974" t="s">
        <v>27250</v>
      </c>
      <c r="M974" t="s">
        <v>27251</v>
      </c>
      <c r="N974" t="s">
        <v>27252</v>
      </c>
      <c r="Q974" s="1">
        <v>44538</v>
      </c>
      <c r="R974" t="s">
        <v>27253</v>
      </c>
      <c r="S974" t="s">
        <v>27254</v>
      </c>
      <c r="T974" t="s">
        <v>27269</v>
      </c>
    </row>
    <row r="975" spans="1:20" x14ac:dyDescent="0.3">
      <c r="A975" t="str">
        <f>"0611884026025"</f>
        <v>0611884026025</v>
      </c>
      <c r="B975" t="str">
        <f>"MC4449"</f>
        <v>MC4449</v>
      </c>
      <c r="C975" t="s">
        <v>29122</v>
      </c>
      <c r="D975" t="s">
        <v>27267</v>
      </c>
      <c r="E975" t="str">
        <f t="shared" si="15"/>
        <v>001390</v>
      </c>
      <c r="F975" t="s">
        <v>27246</v>
      </c>
      <c r="G975" t="s">
        <v>27247</v>
      </c>
      <c r="H975" t="s">
        <v>27248</v>
      </c>
      <c r="I975" t="s">
        <v>29123</v>
      </c>
      <c r="J975" t="s">
        <v>1950</v>
      </c>
      <c r="L975" t="s">
        <v>27430</v>
      </c>
      <c r="M975" t="s">
        <v>27251</v>
      </c>
      <c r="N975" t="s">
        <v>27252</v>
      </c>
      <c r="Q975" s="1">
        <v>45250</v>
      </c>
      <c r="R975" t="s">
        <v>27253</v>
      </c>
      <c r="S975" t="s">
        <v>27254</v>
      </c>
      <c r="T975" t="s">
        <v>27269</v>
      </c>
    </row>
    <row r="976" spans="1:20" x14ac:dyDescent="0.3">
      <c r="A976" t="str">
        <f>"0611831352100"</f>
        <v>0611831352100</v>
      </c>
      <c r="B976" t="str">
        <f>"MB0775"</f>
        <v>MB0775</v>
      </c>
      <c r="C976" t="s">
        <v>29124</v>
      </c>
      <c r="D976" t="s">
        <v>27274</v>
      </c>
      <c r="E976" t="str">
        <f t="shared" si="15"/>
        <v>001390</v>
      </c>
      <c r="F976" t="s">
        <v>27246</v>
      </c>
      <c r="G976" t="s">
        <v>27247</v>
      </c>
      <c r="H976" t="s">
        <v>27248</v>
      </c>
      <c r="I976" t="s">
        <v>29125</v>
      </c>
      <c r="J976" t="s">
        <v>1960</v>
      </c>
      <c r="L976" t="s">
        <v>27250</v>
      </c>
      <c r="M976" t="s">
        <v>27251</v>
      </c>
      <c r="N976" t="s">
        <v>27252</v>
      </c>
      <c r="Q976" s="1">
        <v>44538</v>
      </c>
      <c r="R976" t="s">
        <v>27253</v>
      </c>
      <c r="S976" t="s">
        <v>27254</v>
      </c>
      <c r="T976" t="s">
        <v>27276</v>
      </c>
    </row>
    <row r="977" spans="1:20" x14ac:dyDescent="0.3">
      <c r="A977" t="str">
        <f>"0611831353100"</f>
        <v>0611831353100</v>
      </c>
      <c r="B977" t="str">
        <f>"LK0591"</f>
        <v>LK0591</v>
      </c>
      <c r="C977" t="s">
        <v>29124</v>
      </c>
      <c r="D977" t="s">
        <v>27245</v>
      </c>
      <c r="E977" t="str">
        <f t="shared" si="15"/>
        <v>001390</v>
      </c>
      <c r="F977" t="s">
        <v>27246</v>
      </c>
      <c r="G977" t="s">
        <v>27247</v>
      </c>
      <c r="H977" t="s">
        <v>27248</v>
      </c>
      <c r="I977" t="s">
        <v>29126</v>
      </c>
      <c r="J977" t="s">
        <v>1962</v>
      </c>
      <c r="L977" t="s">
        <v>27250</v>
      </c>
      <c r="M977" t="s">
        <v>27251</v>
      </c>
      <c r="N977" t="s">
        <v>27252</v>
      </c>
      <c r="Q977" s="1">
        <v>44538</v>
      </c>
      <c r="R977" t="s">
        <v>27253</v>
      </c>
      <c r="S977" t="s">
        <v>27254</v>
      </c>
      <c r="T977" t="s">
        <v>27255</v>
      </c>
    </row>
    <row r="978" spans="1:20" x14ac:dyDescent="0.3">
      <c r="A978" t="str">
        <f>"0611831354025"</f>
        <v>0611831354025</v>
      </c>
      <c r="B978" t="str">
        <f>"MC0931"</f>
        <v>MC0931</v>
      </c>
      <c r="C978" t="s">
        <v>29124</v>
      </c>
      <c r="D978" t="s">
        <v>27267</v>
      </c>
      <c r="E978" t="str">
        <f t="shared" si="15"/>
        <v>001390</v>
      </c>
      <c r="F978" t="s">
        <v>27246</v>
      </c>
      <c r="G978" t="s">
        <v>27247</v>
      </c>
      <c r="H978" t="s">
        <v>27248</v>
      </c>
      <c r="I978" t="s">
        <v>29127</v>
      </c>
      <c r="J978" t="s">
        <v>1964</v>
      </c>
      <c r="L978" t="s">
        <v>27250</v>
      </c>
      <c r="M978" t="s">
        <v>27251</v>
      </c>
      <c r="N978" t="s">
        <v>27252</v>
      </c>
      <c r="Q978" s="1">
        <v>44538</v>
      </c>
      <c r="R978" t="s">
        <v>27253</v>
      </c>
      <c r="S978" t="s">
        <v>27254</v>
      </c>
      <c r="T978" t="s">
        <v>27269</v>
      </c>
    </row>
    <row r="979" spans="1:20" x14ac:dyDescent="0.3">
      <c r="A979" t="str">
        <f>"0611884027025"</f>
        <v>0611884027025</v>
      </c>
      <c r="B979" t="str">
        <f>"MC4450"</f>
        <v>MC4450</v>
      </c>
      <c r="C979" t="s">
        <v>29128</v>
      </c>
      <c r="D979" t="s">
        <v>27267</v>
      </c>
      <c r="E979" t="str">
        <f t="shared" si="15"/>
        <v>001390</v>
      </c>
      <c r="F979" t="s">
        <v>27246</v>
      </c>
      <c r="G979" t="s">
        <v>27247</v>
      </c>
      <c r="H979" t="s">
        <v>27248</v>
      </c>
      <c r="I979" t="s">
        <v>29129</v>
      </c>
      <c r="J979" t="s">
        <v>1952</v>
      </c>
      <c r="L979" t="s">
        <v>27430</v>
      </c>
      <c r="M979" t="s">
        <v>27251</v>
      </c>
      <c r="N979" t="s">
        <v>27252</v>
      </c>
      <c r="Q979" s="1">
        <v>45250</v>
      </c>
      <c r="R979" t="s">
        <v>27253</v>
      </c>
      <c r="S979" t="s">
        <v>27254</v>
      </c>
      <c r="T979" t="s">
        <v>27269</v>
      </c>
    </row>
    <row r="980" spans="1:20" x14ac:dyDescent="0.3">
      <c r="A980" t="str">
        <f>"0611856831100"</f>
        <v>0611856831100</v>
      </c>
      <c r="B980" t="str">
        <f>"LK7045"</f>
        <v>LK7045</v>
      </c>
      <c r="C980" t="s">
        <v>29130</v>
      </c>
      <c r="D980" t="s">
        <v>27245</v>
      </c>
      <c r="E980" t="str">
        <f t="shared" si="15"/>
        <v>001390</v>
      </c>
      <c r="F980" t="s">
        <v>27246</v>
      </c>
      <c r="G980" t="s">
        <v>27247</v>
      </c>
      <c r="H980" t="s">
        <v>27248</v>
      </c>
      <c r="I980" t="s">
        <v>29131</v>
      </c>
      <c r="J980" t="s">
        <v>1966</v>
      </c>
      <c r="L980" t="s">
        <v>27250</v>
      </c>
      <c r="M980" t="s">
        <v>27251</v>
      </c>
      <c r="N980" t="s">
        <v>27252</v>
      </c>
      <c r="Q980" s="1">
        <v>44812</v>
      </c>
      <c r="R980" t="s">
        <v>27253</v>
      </c>
      <c r="S980" t="s">
        <v>27254</v>
      </c>
      <c r="T980" t="s">
        <v>27255</v>
      </c>
    </row>
    <row r="981" spans="1:20" x14ac:dyDescent="0.3">
      <c r="A981" t="str">
        <f>"0611856832025"</f>
        <v>0611856832025</v>
      </c>
      <c r="B981" t="str">
        <f>"MC4421"</f>
        <v>MC4421</v>
      </c>
      <c r="C981" t="s">
        <v>29130</v>
      </c>
      <c r="D981" t="s">
        <v>27267</v>
      </c>
      <c r="E981" t="str">
        <f t="shared" si="15"/>
        <v>001390</v>
      </c>
      <c r="F981" t="s">
        <v>27246</v>
      </c>
      <c r="G981" t="s">
        <v>27247</v>
      </c>
      <c r="H981" t="s">
        <v>27248</v>
      </c>
      <c r="I981" t="s">
        <v>29132</v>
      </c>
      <c r="J981" t="s">
        <v>1968</v>
      </c>
      <c r="L981" t="s">
        <v>27250</v>
      </c>
      <c r="M981" t="s">
        <v>27251</v>
      </c>
      <c r="N981" t="s">
        <v>27252</v>
      </c>
      <c r="Q981" s="1">
        <v>44812</v>
      </c>
      <c r="R981" t="s">
        <v>27253</v>
      </c>
      <c r="S981" t="s">
        <v>27254</v>
      </c>
      <c r="T981" t="s">
        <v>27269</v>
      </c>
    </row>
    <row r="982" spans="1:20" x14ac:dyDescent="0.3">
      <c r="A982" t="str">
        <f>"0611860597050"</f>
        <v>0611860597050</v>
      </c>
      <c r="B982" t="str">
        <f>"CR3205"</f>
        <v>CR3205</v>
      </c>
      <c r="C982" t="s">
        <v>29133</v>
      </c>
      <c r="D982" t="s">
        <v>27271</v>
      </c>
      <c r="E982" t="str">
        <f t="shared" si="15"/>
        <v>001390</v>
      </c>
      <c r="F982" t="s">
        <v>27246</v>
      </c>
      <c r="G982" t="s">
        <v>27247</v>
      </c>
      <c r="H982" t="s">
        <v>27248</v>
      </c>
      <c r="I982" t="s">
        <v>29134</v>
      </c>
      <c r="J982" t="s">
        <v>1970</v>
      </c>
      <c r="L982" t="s">
        <v>27250</v>
      </c>
      <c r="M982" t="s">
        <v>27251</v>
      </c>
      <c r="N982" t="s">
        <v>27252</v>
      </c>
      <c r="P982" t="s">
        <v>27341</v>
      </c>
      <c r="Q982" s="1">
        <v>44846</v>
      </c>
      <c r="R982" t="s">
        <v>27253</v>
      </c>
      <c r="S982" t="s">
        <v>27254</v>
      </c>
      <c r="T982" t="s">
        <v>27265</v>
      </c>
    </row>
    <row r="983" spans="1:20" x14ac:dyDescent="0.3">
      <c r="A983" t="str">
        <f>"0611860598050"</f>
        <v>0611860598050</v>
      </c>
      <c r="B983" t="str">
        <f>"CR2026"</f>
        <v>CR2026</v>
      </c>
      <c r="C983" t="s">
        <v>29135</v>
      </c>
      <c r="D983" t="s">
        <v>27271</v>
      </c>
      <c r="E983" t="str">
        <f t="shared" si="15"/>
        <v>001390</v>
      </c>
      <c r="F983" t="s">
        <v>27246</v>
      </c>
      <c r="G983" t="s">
        <v>27247</v>
      </c>
      <c r="H983" t="s">
        <v>27248</v>
      </c>
      <c r="I983" t="s">
        <v>29136</v>
      </c>
      <c r="J983" t="s">
        <v>1972</v>
      </c>
      <c r="L983" t="s">
        <v>27250</v>
      </c>
      <c r="M983" t="s">
        <v>27251</v>
      </c>
      <c r="N983" t="s">
        <v>27252</v>
      </c>
      <c r="P983" t="s">
        <v>27341</v>
      </c>
      <c r="Q983" s="1">
        <v>44846</v>
      </c>
      <c r="R983" t="s">
        <v>27253</v>
      </c>
      <c r="S983" t="s">
        <v>27254</v>
      </c>
      <c r="T983" t="s">
        <v>27265</v>
      </c>
    </row>
    <row r="984" spans="1:20" x14ac:dyDescent="0.3">
      <c r="A984" t="str">
        <f>"0611860599050"</f>
        <v>0611860599050</v>
      </c>
      <c r="B984" t="str">
        <f>"CR2027"</f>
        <v>CR2027</v>
      </c>
      <c r="C984" t="s">
        <v>29137</v>
      </c>
      <c r="D984" t="s">
        <v>27271</v>
      </c>
      <c r="E984" t="str">
        <f t="shared" si="15"/>
        <v>001390</v>
      </c>
      <c r="F984" t="s">
        <v>27246</v>
      </c>
      <c r="G984" t="s">
        <v>27247</v>
      </c>
      <c r="H984" t="s">
        <v>27248</v>
      </c>
      <c r="I984" t="s">
        <v>29138</v>
      </c>
      <c r="J984" t="s">
        <v>1974</v>
      </c>
      <c r="L984" t="s">
        <v>27250</v>
      </c>
      <c r="M984" t="s">
        <v>27251</v>
      </c>
      <c r="N984" t="s">
        <v>27252</v>
      </c>
      <c r="P984" t="s">
        <v>27341</v>
      </c>
      <c r="Q984" s="1">
        <v>44846</v>
      </c>
      <c r="R984" t="s">
        <v>27253</v>
      </c>
      <c r="S984" t="s">
        <v>27254</v>
      </c>
      <c r="T984" t="s">
        <v>27265</v>
      </c>
    </row>
    <row r="985" spans="1:20" x14ac:dyDescent="0.3">
      <c r="A985" t="str">
        <f>"0611860600050"</f>
        <v>0611860600050</v>
      </c>
      <c r="B985" t="str">
        <f>"CR2029"</f>
        <v>CR2029</v>
      </c>
      <c r="C985" t="s">
        <v>29139</v>
      </c>
      <c r="D985" t="s">
        <v>27271</v>
      </c>
      <c r="E985" t="str">
        <f t="shared" si="15"/>
        <v>001390</v>
      </c>
      <c r="F985" t="s">
        <v>27246</v>
      </c>
      <c r="G985" t="s">
        <v>27247</v>
      </c>
      <c r="H985" t="s">
        <v>27248</v>
      </c>
      <c r="I985" t="s">
        <v>29140</v>
      </c>
      <c r="J985" t="s">
        <v>1976</v>
      </c>
      <c r="L985" t="s">
        <v>27250</v>
      </c>
      <c r="M985" t="s">
        <v>27251</v>
      </c>
      <c r="N985" t="s">
        <v>27252</v>
      </c>
      <c r="P985" t="s">
        <v>27341</v>
      </c>
      <c r="Q985" s="1">
        <v>44846</v>
      </c>
      <c r="R985" t="s">
        <v>27253</v>
      </c>
      <c r="S985" t="s">
        <v>27254</v>
      </c>
      <c r="T985" t="s">
        <v>27265</v>
      </c>
    </row>
    <row r="986" spans="1:20" x14ac:dyDescent="0.3">
      <c r="A986" t="str">
        <f>"0611831356100"</f>
        <v>0611831356100</v>
      </c>
      <c r="B986" t="str">
        <f>"LQ3788"</f>
        <v>LQ3788</v>
      </c>
      <c r="C986" t="s">
        <v>29141</v>
      </c>
      <c r="D986" t="s">
        <v>27245</v>
      </c>
      <c r="E986" t="str">
        <f t="shared" si="15"/>
        <v>001390</v>
      </c>
      <c r="F986" t="s">
        <v>27246</v>
      </c>
      <c r="G986" t="s">
        <v>27247</v>
      </c>
      <c r="H986" t="s">
        <v>27248</v>
      </c>
      <c r="I986" t="s">
        <v>29142</v>
      </c>
      <c r="J986" t="s">
        <v>1978</v>
      </c>
      <c r="L986" t="s">
        <v>27250</v>
      </c>
      <c r="M986" t="s">
        <v>27251</v>
      </c>
      <c r="N986" t="s">
        <v>27252</v>
      </c>
      <c r="Q986" s="1">
        <v>44538</v>
      </c>
      <c r="R986" t="s">
        <v>27253</v>
      </c>
      <c r="S986" t="s">
        <v>27254</v>
      </c>
      <c r="T986" t="s">
        <v>27255</v>
      </c>
    </row>
    <row r="987" spans="1:20" x14ac:dyDescent="0.3">
      <c r="A987" t="str">
        <f>"0611831357100"</f>
        <v>0611831357100</v>
      </c>
      <c r="B987" t="str">
        <f>"LQ3789"</f>
        <v>LQ3789</v>
      </c>
      <c r="C987" t="s">
        <v>29143</v>
      </c>
      <c r="D987" t="s">
        <v>27245</v>
      </c>
      <c r="E987" t="str">
        <f t="shared" si="15"/>
        <v>001390</v>
      </c>
      <c r="F987" t="s">
        <v>27246</v>
      </c>
      <c r="G987" t="s">
        <v>27247</v>
      </c>
      <c r="H987" t="s">
        <v>27248</v>
      </c>
      <c r="I987" t="s">
        <v>29144</v>
      </c>
      <c r="J987" t="s">
        <v>1980</v>
      </c>
      <c r="L987" t="s">
        <v>27250</v>
      </c>
      <c r="M987" t="s">
        <v>27251</v>
      </c>
      <c r="N987" t="s">
        <v>27252</v>
      </c>
      <c r="Q987" s="1">
        <v>44538</v>
      </c>
      <c r="R987" t="s">
        <v>27253</v>
      </c>
      <c r="S987" t="s">
        <v>27254</v>
      </c>
      <c r="T987" t="s">
        <v>27255</v>
      </c>
    </row>
    <row r="988" spans="1:20" x14ac:dyDescent="0.3">
      <c r="A988" t="str">
        <f>"0611831358100"</f>
        <v>0611831358100</v>
      </c>
      <c r="B988" t="str">
        <f>"LK6022"</f>
        <v>LK6022</v>
      </c>
      <c r="C988" t="s">
        <v>29145</v>
      </c>
      <c r="D988" t="s">
        <v>27245</v>
      </c>
      <c r="E988" t="str">
        <f t="shared" si="15"/>
        <v>001390</v>
      </c>
      <c r="F988" t="s">
        <v>27246</v>
      </c>
      <c r="G988" t="s">
        <v>27247</v>
      </c>
      <c r="H988" t="s">
        <v>27248</v>
      </c>
      <c r="I988" t="s">
        <v>29146</v>
      </c>
      <c r="J988" t="s">
        <v>1982</v>
      </c>
      <c r="L988" t="s">
        <v>27250</v>
      </c>
      <c r="M988" t="s">
        <v>27251</v>
      </c>
      <c r="N988" t="s">
        <v>27252</v>
      </c>
      <c r="Q988" s="1">
        <v>44538</v>
      </c>
      <c r="R988" t="s">
        <v>27253</v>
      </c>
      <c r="S988" t="s">
        <v>27254</v>
      </c>
      <c r="T988" t="s">
        <v>27255</v>
      </c>
    </row>
    <row r="989" spans="1:20" x14ac:dyDescent="0.3">
      <c r="A989" t="str">
        <f>"0611831359100"</f>
        <v>0611831359100</v>
      </c>
      <c r="B989" t="str">
        <f>"LK5707"</f>
        <v>LK5707</v>
      </c>
      <c r="C989" t="s">
        <v>29147</v>
      </c>
      <c r="D989" t="s">
        <v>27245</v>
      </c>
      <c r="E989" t="str">
        <f t="shared" si="15"/>
        <v>001390</v>
      </c>
      <c r="F989" t="s">
        <v>27246</v>
      </c>
      <c r="G989" t="s">
        <v>27247</v>
      </c>
      <c r="H989" t="s">
        <v>27248</v>
      </c>
      <c r="I989" t="s">
        <v>29148</v>
      </c>
      <c r="J989" t="s">
        <v>1984</v>
      </c>
      <c r="L989" t="s">
        <v>27250</v>
      </c>
      <c r="M989" t="s">
        <v>27251</v>
      </c>
      <c r="N989" t="s">
        <v>27252</v>
      </c>
      <c r="Q989" s="1">
        <v>44538</v>
      </c>
      <c r="R989" t="s">
        <v>27253</v>
      </c>
      <c r="S989" t="s">
        <v>27254</v>
      </c>
      <c r="T989" t="s">
        <v>27255</v>
      </c>
    </row>
    <row r="990" spans="1:20" x14ac:dyDescent="0.3">
      <c r="A990" t="str">
        <f>"0611831360100"</f>
        <v>0611831360100</v>
      </c>
      <c r="B990" t="str">
        <f>"LQ3790"</f>
        <v>LQ3790</v>
      </c>
      <c r="C990" t="s">
        <v>29149</v>
      </c>
      <c r="D990" t="s">
        <v>27245</v>
      </c>
      <c r="E990" t="str">
        <f t="shared" si="15"/>
        <v>001390</v>
      </c>
      <c r="F990" t="s">
        <v>27246</v>
      </c>
      <c r="G990" t="s">
        <v>27247</v>
      </c>
      <c r="H990" t="s">
        <v>27248</v>
      </c>
      <c r="I990" t="s">
        <v>29150</v>
      </c>
      <c r="J990" t="s">
        <v>1986</v>
      </c>
      <c r="L990" t="s">
        <v>27250</v>
      </c>
      <c r="M990" t="s">
        <v>27251</v>
      </c>
      <c r="N990" t="s">
        <v>27252</v>
      </c>
      <c r="Q990" s="1">
        <v>44538</v>
      </c>
      <c r="R990" t="s">
        <v>27253</v>
      </c>
      <c r="S990" t="s">
        <v>27254</v>
      </c>
      <c r="T990" t="s">
        <v>27255</v>
      </c>
    </row>
    <row r="991" spans="1:20" x14ac:dyDescent="0.3">
      <c r="A991" t="str">
        <f>"0611831361100"</f>
        <v>0611831361100</v>
      </c>
      <c r="B991" t="str">
        <f>"LB1042"</f>
        <v>LB1042</v>
      </c>
      <c r="C991" t="s">
        <v>29151</v>
      </c>
      <c r="D991" t="s">
        <v>28138</v>
      </c>
      <c r="E991" t="str">
        <f t="shared" si="15"/>
        <v>001390</v>
      </c>
      <c r="F991" t="s">
        <v>27246</v>
      </c>
      <c r="G991" t="s">
        <v>27247</v>
      </c>
      <c r="H991" t="s">
        <v>27248</v>
      </c>
      <c r="I991" t="s">
        <v>29152</v>
      </c>
      <c r="J991" t="s">
        <v>1988</v>
      </c>
      <c r="L991" t="s">
        <v>27250</v>
      </c>
      <c r="M991" t="s">
        <v>27251</v>
      </c>
      <c r="N991" t="s">
        <v>27252</v>
      </c>
      <c r="P991" t="s">
        <v>27925</v>
      </c>
      <c r="Q991" s="1">
        <v>44538</v>
      </c>
      <c r="R991" t="s">
        <v>27253</v>
      </c>
      <c r="S991" t="s">
        <v>27254</v>
      </c>
      <c r="T991" t="s">
        <v>27255</v>
      </c>
    </row>
    <row r="992" spans="1:20" x14ac:dyDescent="0.3">
      <c r="A992" t="str">
        <f>"0611831362100"</f>
        <v>0611831362100</v>
      </c>
      <c r="B992" t="str">
        <f>"LB1043"</f>
        <v>LB1043</v>
      </c>
      <c r="C992" t="s">
        <v>29153</v>
      </c>
      <c r="D992" t="s">
        <v>28138</v>
      </c>
      <c r="E992" t="str">
        <f t="shared" si="15"/>
        <v>001390</v>
      </c>
      <c r="F992" t="s">
        <v>27246</v>
      </c>
      <c r="G992" t="s">
        <v>27247</v>
      </c>
      <c r="H992" t="s">
        <v>27248</v>
      </c>
      <c r="I992" t="s">
        <v>29154</v>
      </c>
      <c r="J992" t="s">
        <v>1990</v>
      </c>
      <c r="L992" t="s">
        <v>27250</v>
      </c>
      <c r="M992" t="s">
        <v>27251</v>
      </c>
      <c r="N992" t="s">
        <v>27252</v>
      </c>
      <c r="P992" t="s">
        <v>27925</v>
      </c>
      <c r="Q992" s="1">
        <v>44538</v>
      </c>
      <c r="R992" t="s">
        <v>27253</v>
      </c>
      <c r="S992" t="s">
        <v>27254</v>
      </c>
      <c r="T992" t="s">
        <v>27255</v>
      </c>
    </row>
    <row r="993" spans="1:20" x14ac:dyDescent="0.3">
      <c r="A993" t="str">
        <f>"0611831364100"</f>
        <v>0611831364100</v>
      </c>
      <c r="B993" t="str">
        <f>"LB0893"</f>
        <v>LB0893</v>
      </c>
      <c r="C993" t="s">
        <v>29155</v>
      </c>
      <c r="D993" t="s">
        <v>28138</v>
      </c>
      <c r="E993" t="str">
        <f t="shared" si="15"/>
        <v>001390</v>
      </c>
      <c r="F993" t="s">
        <v>27246</v>
      </c>
      <c r="G993" t="s">
        <v>27247</v>
      </c>
      <c r="H993" t="s">
        <v>27248</v>
      </c>
      <c r="I993" t="s">
        <v>29156</v>
      </c>
      <c r="J993" t="s">
        <v>1992</v>
      </c>
      <c r="L993" t="s">
        <v>27250</v>
      </c>
      <c r="M993" t="s">
        <v>27251</v>
      </c>
      <c r="N993" t="s">
        <v>27252</v>
      </c>
      <c r="P993" t="s">
        <v>27925</v>
      </c>
      <c r="Q993" s="1">
        <v>44538</v>
      </c>
      <c r="R993" t="s">
        <v>27253</v>
      </c>
      <c r="S993" t="s">
        <v>27254</v>
      </c>
      <c r="T993" t="s">
        <v>27255</v>
      </c>
    </row>
    <row r="994" spans="1:20" x14ac:dyDescent="0.3">
      <c r="A994" t="str">
        <f>"0611831365100"</f>
        <v>0611831365100</v>
      </c>
      <c r="B994" t="str">
        <f>"LB0792"</f>
        <v>LB0792</v>
      </c>
      <c r="C994" t="s">
        <v>29157</v>
      </c>
      <c r="D994" t="s">
        <v>28138</v>
      </c>
      <c r="E994" t="str">
        <f t="shared" si="15"/>
        <v>001390</v>
      </c>
      <c r="F994" t="s">
        <v>27246</v>
      </c>
      <c r="G994" t="s">
        <v>27247</v>
      </c>
      <c r="H994" t="s">
        <v>27248</v>
      </c>
      <c r="I994" t="s">
        <v>29158</v>
      </c>
      <c r="J994" t="s">
        <v>1994</v>
      </c>
      <c r="L994" t="s">
        <v>27250</v>
      </c>
      <c r="M994" t="s">
        <v>27251</v>
      </c>
      <c r="N994" t="s">
        <v>27252</v>
      </c>
      <c r="P994" t="s">
        <v>27925</v>
      </c>
      <c r="Q994" s="1">
        <v>44538</v>
      </c>
      <c r="R994" t="s">
        <v>27253</v>
      </c>
      <c r="S994" t="s">
        <v>27254</v>
      </c>
      <c r="T994" t="s">
        <v>27255</v>
      </c>
    </row>
    <row r="995" spans="1:20" x14ac:dyDescent="0.3">
      <c r="A995" t="str">
        <f>"0611831366100"</f>
        <v>0611831366100</v>
      </c>
      <c r="B995" t="str">
        <f>"LB0793"</f>
        <v>LB0793</v>
      </c>
      <c r="C995" t="s">
        <v>29159</v>
      </c>
      <c r="D995" t="s">
        <v>28138</v>
      </c>
      <c r="E995" t="str">
        <f t="shared" si="15"/>
        <v>001390</v>
      </c>
      <c r="F995" t="s">
        <v>27246</v>
      </c>
      <c r="G995" t="s">
        <v>27247</v>
      </c>
      <c r="H995" t="s">
        <v>27248</v>
      </c>
      <c r="I995" t="s">
        <v>29160</v>
      </c>
      <c r="J995" t="s">
        <v>1996</v>
      </c>
      <c r="L995" t="s">
        <v>27250</v>
      </c>
      <c r="M995" t="s">
        <v>27251</v>
      </c>
      <c r="N995" t="s">
        <v>27252</v>
      </c>
      <c r="P995" t="s">
        <v>27925</v>
      </c>
      <c r="Q995" s="1">
        <v>44538</v>
      </c>
      <c r="R995" t="s">
        <v>27253</v>
      </c>
      <c r="S995" t="s">
        <v>27254</v>
      </c>
      <c r="T995" t="s">
        <v>27255</v>
      </c>
    </row>
    <row r="996" spans="1:20" x14ac:dyDescent="0.3">
      <c r="A996" t="str">
        <f>"0611831363100"</f>
        <v>0611831363100</v>
      </c>
      <c r="B996" t="str">
        <f>"LB0794"</f>
        <v>LB0794</v>
      </c>
      <c r="C996" t="s">
        <v>29161</v>
      </c>
      <c r="D996" t="s">
        <v>28138</v>
      </c>
      <c r="E996" t="str">
        <f t="shared" si="15"/>
        <v>001390</v>
      </c>
      <c r="F996" t="s">
        <v>27246</v>
      </c>
      <c r="G996" t="s">
        <v>27247</v>
      </c>
      <c r="H996" t="s">
        <v>27248</v>
      </c>
      <c r="I996" t="s">
        <v>29162</v>
      </c>
      <c r="J996" t="s">
        <v>1998</v>
      </c>
      <c r="L996" t="s">
        <v>27250</v>
      </c>
      <c r="M996" t="s">
        <v>27251</v>
      </c>
      <c r="N996" t="s">
        <v>27252</v>
      </c>
      <c r="P996" t="s">
        <v>27925</v>
      </c>
      <c r="Q996" s="1">
        <v>44538</v>
      </c>
      <c r="R996" t="s">
        <v>27253</v>
      </c>
      <c r="S996" t="s">
        <v>27254</v>
      </c>
      <c r="T996" t="s">
        <v>27255</v>
      </c>
    </row>
    <row r="997" spans="1:20" x14ac:dyDescent="0.3">
      <c r="A997" t="str">
        <f>"0611831367100"</f>
        <v>0611831367100</v>
      </c>
      <c r="B997" t="str">
        <f>"LB0795"</f>
        <v>LB0795</v>
      </c>
      <c r="C997" t="s">
        <v>29163</v>
      </c>
      <c r="D997" t="s">
        <v>28138</v>
      </c>
      <c r="E997" t="str">
        <f t="shared" si="15"/>
        <v>001390</v>
      </c>
      <c r="F997" t="s">
        <v>27246</v>
      </c>
      <c r="G997" t="s">
        <v>27247</v>
      </c>
      <c r="H997" t="s">
        <v>27248</v>
      </c>
      <c r="I997" t="s">
        <v>29164</v>
      </c>
      <c r="J997" t="s">
        <v>2000</v>
      </c>
      <c r="L997" t="s">
        <v>27250</v>
      </c>
      <c r="M997" t="s">
        <v>27251</v>
      </c>
      <c r="N997" t="s">
        <v>27252</v>
      </c>
      <c r="P997" t="s">
        <v>27925</v>
      </c>
      <c r="Q997" s="1">
        <v>44538</v>
      </c>
      <c r="R997" t="s">
        <v>27253</v>
      </c>
      <c r="S997" t="s">
        <v>27254</v>
      </c>
      <c r="T997" t="s">
        <v>27255</v>
      </c>
    </row>
    <row r="998" spans="1:20" x14ac:dyDescent="0.3">
      <c r="A998" t="str">
        <f>"0611831368100"</f>
        <v>0611831368100</v>
      </c>
      <c r="B998" t="str">
        <f>"LB0796"</f>
        <v>LB0796</v>
      </c>
      <c r="C998" t="s">
        <v>29165</v>
      </c>
      <c r="D998" t="s">
        <v>28138</v>
      </c>
      <c r="E998" t="str">
        <f t="shared" si="15"/>
        <v>001390</v>
      </c>
      <c r="F998" t="s">
        <v>27246</v>
      </c>
      <c r="G998" t="s">
        <v>27247</v>
      </c>
      <c r="H998" t="s">
        <v>27248</v>
      </c>
      <c r="I998" t="s">
        <v>29166</v>
      </c>
      <c r="J998" t="s">
        <v>2002</v>
      </c>
      <c r="L998" t="s">
        <v>27250</v>
      </c>
      <c r="M998" t="s">
        <v>27251</v>
      </c>
      <c r="N998" t="s">
        <v>27252</v>
      </c>
      <c r="P998" t="s">
        <v>27925</v>
      </c>
      <c r="Q998" s="1">
        <v>44538</v>
      </c>
      <c r="R998" t="s">
        <v>27253</v>
      </c>
      <c r="S998" t="s">
        <v>27254</v>
      </c>
      <c r="T998" t="s">
        <v>27255</v>
      </c>
    </row>
    <row r="999" spans="1:20" x14ac:dyDescent="0.3">
      <c r="A999" t="str">
        <f>"0611831373100"</f>
        <v>0611831373100</v>
      </c>
      <c r="B999" t="str">
        <f>"LB0797"</f>
        <v>LB0797</v>
      </c>
      <c r="C999" t="s">
        <v>29167</v>
      </c>
      <c r="D999" t="s">
        <v>28138</v>
      </c>
      <c r="E999" t="str">
        <f t="shared" si="15"/>
        <v>001390</v>
      </c>
      <c r="F999" t="s">
        <v>27246</v>
      </c>
      <c r="G999" t="s">
        <v>27247</v>
      </c>
      <c r="H999" t="s">
        <v>27248</v>
      </c>
      <c r="I999" t="s">
        <v>29168</v>
      </c>
      <c r="J999" t="s">
        <v>2004</v>
      </c>
      <c r="L999" t="s">
        <v>27250</v>
      </c>
      <c r="M999" t="s">
        <v>27251</v>
      </c>
      <c r="N999" t="s">
        <v>27252</v>
      </c>
      <c r="P999" t="s">
        <v>27925</v>
      </c>
      <c r="Q999" s="1">
        <v>44538</v>
      </c>
      <c r="R999" t="s">
        <v>27253</v>
      </c>
      <c r="S999" t="s">
        <v>27254</v>
      </c>
      <c r="T999" t="s">
        <v>27255</v>
      </c>
    </row>
    <row r="1000" spans="1:20" x14ac:dyDescent="0.3">
      <c r="A1000" t="str">
        <f>"0611831369100"</f>
        <v>0611831369100</v>
      </c>
      <c r="B1000" t="str">
        <f>"LB1044"</f>
        <v>LB1044</v>
      </c>
      <c r="C1000" t="s">
        <v>29169</v>
      </c>
      <c r="D1000" t="s">
        <v>28138</v>
      </c>
      <c r="E1000" t="str">
        <f t="shared" si="15"/>
        <v>001390</v>
      </c>
      <c r="F1000" t="s">
        <v>27246</v>
      </c>
      <c r="G1000" t="s">
        <v>27247</v>
      </c>
      <c r="H1000" t="s">
        <v>27248</v>
      </c>
      <c r="I1000" t="s">
        <v>29170</v>
      </c>
      <c r="J1000" t="s">
        <v>2006</v>
      </c>
      <c r="L1000" t="s">
        <v>27250</v>
      </c>
      <c r="M1000" t="s">
        <v>27251</v>
      </c>
      <c r="N1000" t="s">
        <v>27252</v>
      </c>
      <c r="P1000" t="s">
        <v>27925</v>
      </c>
      <c r="Q1000" s="1">
        <v>44538</v>
      </c>
      <c r="R1000" t="s">
        <v>27253</v>
      </c>
      <c r="S1000" t="s">
        <v>27254</v>
      </c>
      <c r="T1000" t="s">
        <v>27255</v>
      </c>
    </row>
    <row r="1001" spans="1:20" x14ac:dyDescent="0.3">
      <c r="A1001" t="str">
        <f>"0611831370100"</f>
        <v>0611831370100</v>
      </c>
      <c r="B1001" t="str">
        <f>"LB0798"</f>
        <v>LB0798</v>
      </c>
      <c r="C1001" t="s">
        <v>29171</v>
      </c>
      <c r="D1001" t="s">
        <v>28138</v>
      </c>
      <c r="E1001" t="str">
        <f t="shared" si="15"/>
        <v>001390</v>
      </c>
      <c r="F1001" t="s">
        <v>27246</v>
      </c>
      <c r="G1001" t="s">
        <v>27247</v>
      </c>
      <c r="H1001" t="s">
        <v>27248</v>
      </c>
      <c r="I1001" t="s">
        <v>29172</v>
      </c>
      <c r="J1001" t="s">
        <v>2008</v>
      </c>
      <c r="L1001" t="s">
        <v>27250</v>
      </c>
      <c r="M1001" t="s">
        <v>27251</v>
      </c>
      <c r="N1001" t="s">
        <v>27252</v>
      </c>
      <c r="P1001" t="s">
        <v>27925</v>
      </c>
      <c r="Q1001" s="1">
        <v>44538</v>
      </c>
      <c r="R1001" t="s">
        <v>27253</v>
      </c>
      <c r="S1001" t="s">
        <v>27254</v>
      </c>
      <c r="T1001" t="s">
        <v>27255</v>
      </c>
    </row>
    <row r="1002" spans="1:20" x14ac:dyDescent="0.3">
      <c r="A1002" t="str">
        <f>"0611831372100"</f>
        <v>0611831372100</v>
      </c>
      <c r="B1002" t="str">
        <f>"LB0799"</f>
        <v>LB0799</v>
      </c>
      <c r="C1002" t="s">
        <v>29173</v>
      </c>
      <c r="D1002" t="s">
        <v>28138</v>
      </c>
      <c r="E1002" t="str">
        <f t="shared" si="15"/>
        <v>001390</v>
      </c>
      <c r="F1002" t="s">
        <v>27246</v>
      </c>
      <c r="G1002" t="s">
        <v>27247</v>
      </c>
      <c r="H1002" t="s">
        <v>27248</v>
      </c>
      <c r="I1002" t="s">
        <v>29174</v>
      </c>
      <c r="J1002" t="s">
        <v>2010</v>
      </c>
      <c r="L1002" t="s">
        <v>27250</v>
      </c>
      <c r="M1002" t="s">
        <v>27251</v>
      </c>
      <c r="N1002" t="s">
        <v>27252</v>
      </c>
      <c r="P1002" t="s">
        <v>27925</v>
      </c>
      <c r="Q1002" s="1">
        <v>44538</v>
      </c>
      <c r="R1002" t="s">
        <v>27253</v>
      </c>
      <c r="S1002" t="s">
        <v>27254</v>
      </c>
      <c r="T1002" t="s">
        <v>27255</v>
      </c>
    </row>
    <row r="1003" spans="1:20" x14ac:dyDescent="0.3">
      <c r="A1003" t="str">
        <f>"0611831371100"</f>
        <v>0611831371100</v>
      </c>
      <c r="B1003" t="str">
        <f>"LB0800"</f>
        <v>LB0800</v>
      </c>
      <c r="C1003" t="s">
        <v>29175</v>
      </c>
      <c r="D1003" t="s">
        <v>28138</v>
      </c>
      <c r="E1003" t="str">
        <f t="shared" si="15"/>
        <v>001390</v>
      </c>
      <c r="F1003" t="s">
        <v>27246</v>
      </c>
      <c r="G1003" t="s">
        <v>27247</v>
      </c>
      <c r="H1003" t="s">
        <v>27248</v>
      </c>
      <c r="I1003" t="s">
        <v>29176</v>
      </c>
      <c r="J1003" t="s">
        <v>2012</v>
      </c>
      <c r="L1003" t="s">
        <v>27250</v>
      </c>
      <c r="M1003" t="s">
        <v>27251</v>
      </c>
      <c r="N1003" t="s">
        <v>27252</v>
      </c>
      <c r="P1003" t="s">
        <v>27925</v>
      </c>
      <c r="Q1003" s="1">
        <v>44538</v>
      </c>
      <c r="R1003" t="s">
        <v>27253</v>
      </c>
      <c r="S1003" t="s">
        <v>27254</v>
      </c>
      <c r="T1003" t="s">
        <v>27255</v>
      </c>
    </row>
    <row r="1004" spans="1:20" x14ac:dyDescent="0.3">
      <c r="A1004" t="str">
        <f>"0611831374100"</f>
        <v>0611831374100</v>
      </c>
      <c r="B1004" t="str">
        <f>"LQ3501"</f>
        <v>LQ3501</v>
      </c>
      <c r="C1004" t="s">
        <v>29177</v>
      </c>
      <c r="D1004" t="s">
        <v>27245</v>
      </c>
      <c r="E1004" t="str">
        <f t="shared" si="15"/>
        <v>001390</v>
      </c>
      <c r="F1004" t="s">
        <v>27246</v>
      </c>
      <c r="G1004" t="s">
        <v>27247</v>
      </c>
      <c r="H1004" t="s">
        <v>27248</v>
      </c>
      <c r="I1004" t="s">
        <v>29178</v>
      </c>
      <c r="J1004" t="s">
        <v>2014</v>
      </c>
      <c r="L1004" t="s">
        <v>27250</v>
      </c>
      <c r="M1004" t="s">
        <v>27251</v>
      </c>
      <c r="N1004" t="s">
        <v>27252</v>
      </c>
      <c r="Q1004" s="1">
        <v>44538</v>
      </c>
      <c r="R1004" t="s">
        <v>27253</v>
      </c>
      <c r="S1004" t="s">
        <v>27254</v>
      </c>
      <c r="T1004" t="s">
        <v>27255</v>
      </c>
    </row>
    <row r="1005" spans="1:20" x14ac:dyDescent="0.3">
      <c r="A1005" t="str">
        <f>"0611831375100"</f>
        <v>0611831375100</v>
      </c>
      <c r="B1005" t="str">
        <f>"LQ3502"</f>
        <v>LQ3502</v>
      </c>
      <c r="C1005" t="s">
        <v>29179</v>
      </c>
      <c r="D1005" t="s">
        <v>27245</v>
      </c>
      <c r="E1005" t="str">
        <f t="shared" si="15"/>
        <v>001390</v>
      </c>
      <c r="F1005" t="s">
        <v>27246</v>
      </c>
      <c r="G1005" t="s">
        <v>27247</v>
      </c>
      <c r="H1005" t="s">
        <v>27248</v>
      </c>
      <c r="I1005" t="s">
        <v>29180</v>
      </c>
      <c r="J1005" t="s">
        <v>2016</v>
      </c>
      <c r="L1005" t="s">
        <v>27250</v>
      </c>
      <c r="M1005" t="s">
        <v>27251</v>
      </c>
      <c r="N1005" t="s">
        <v>27252</v>
      </c>
      <c r="Q1005" s="1">
        <v>44538</v>
      </c>
      <c r="R1005" t="s">
        <v>27253</v>
      </c>
      <c r="S1005" t="s">
        <v>27254</v>
      </c>
      <c r="T1005" t="s">
        <v>27255</v>
      </c>
    </row>
    <row r="1006" spans="1:20" x14ac:dyDescent="0.3">
      <c r="A1006" t="str">
        <f>"0611831377100"</f>
        <v>0611831377100</v>
      </c>
      <c r="B1006" t="str">
        <f>"LK6890"</f>
        <v>LK6890</v>
      </c>
      <c r="C1006" t="s">
        <v>29181</v>
      </c>
      <c r="D1006" t="s">
        <v>27245</v>
      </c>
      <c r="E1006" t="str">
        <f t="shared" si="15"/>
        <v>001390</v>
      </c>
      <c r="F1006" t="s">
        <v>27246</v>
      </c>
      <c r="G1006" t="s">
        <v>27247</v>
      </c>
      <c r="H1006" t="s">
        <v>27248</v>
      </c>
      <c r="I1006" t="s">
        <v>29182</v>
      </c>
      <c r="J1006" t="s">
        <v>2018</v>
      </c>
      <c r="L1006" t="s">
        <v>27250</v>
      </c>
      <c r="M1006" t="s">
        <v>27251</v>
      </c>
      <c r="N1006" t="s">
        <v>27252</v>
      </c>
      <c r="Q1006" s="1">
        <v>44538</v>
      </c>
      <c r="R1006" t="s">
        <v>27253</v>
      </c>
      <c r="S1006" t="s">
        <v>27254</v>
      </c>
      <c r="T1006" t="s">
        <v>27255</v>
      </c>
    </row>
    <row r="1007" spans="1:20" x14ac:dyDescent="0.3">
      <c r="A1007" t="str">
        <f>"0611831378100"</f>
        <v>0611831378100</v>
      </c>
      <c r="B1007" t="str">
        <f>"LK6593"</f>
        <v>LK6593</v>
      </c>
      <c r="C1007" t="s">
        <v>29183</v>
      </c>
      <c r="D1007" t="s">
        <v>27245</v>
      </c>
      <c r="E1007" t="str">
        <f t="shared" si="15"/>
        <v>001390</v>
      </c>
      <c r="F1007" t="s">
        <v>27246</v>
      </c>
      <c r="G1007" t="s">
        <v>27247</v>
      </c>
      <c r="H1007" t="s">
        <v>27248</v>
      </c>
      <c r="I1007" t="s">
        <v>29184</v>
      </c>
      <c r="J1007" t="s">
        <v>2020</v>
      </c>
      <c r="L1007" t="s">
        <v>27250</v>
      </c>
      <c r="M1007" t="s">
        <v>27251</v>
      </c>
      <c r="N1007" t="s">
        <v>27252</v>
      </c>
      <c r="Q1007" s="1">
        <v>44538</v>
      </c>
      <c r="R1007" t="s">
        <v>27253</v>
      </c>
      <c r="S1007" t="s">
        <v>27254</v>
      </c>
      <c r="T1007" t="s">
        <v>27255</v>
      </c>
    </row>
    <row r="1008" spans="1:20" x14ac:dyDescent="0.3">
      <c r="A1008" t="str">
        <f>"0611831379100"</f>
        <v>0611831379100</v>
      </c>
      <c r="B1008" t="str">
        <f>"LK6594"</f>
        <v>LK6594</v>
      </c>
      <c r="C1008" t="s">
        <v>29185</v>
      </c>
      <c r="D1008" t="s">
        <v>27245</v>
      </c>
      <c r="E1008" t="str">
        <f t="shared" si="15"/>
        <v>001390</v>
      </c>
      <c r="F1008" t="s">
        <v>27246</v>
      </c>
      <c r="G1008" t="s">
        <v>27247</v>
      </c>
      <c r="H1008" t="s">
        <v>27248</v>
      </c>
      <c r="I1008" t="s">
        <v>29186</v>
      </c>
      <c r="J1008" t="s">
        <v>2022</v>
      </c>
      <c r="L1008" t="s">
        <v>27250</v>
      </c>
      <c r="M1008" t="s">
        <v>27251</v>
      </c>
      <c r="N1008" t="s">
        <v>27252</v>
      </c>
      <c r="Q1008" s="1">
        <v>44538</v>
      </c>
      <c r="R1008" t="s">
        <v>27253</v>
      </c>
      <c r="S1008" t="s">
        <v>27254</v>
      </c>
      <c r="T1008" t="s">
        <v>27255</v>
      </c>
    </row>
    <row r="1009" spans="1:20" x14ac:dyDescent="0.3">
      <c r="A1009" t="str">
        <f>"0611831380100"</f>
        <v>0611831380100</v>
      </c>
      <c r="B1009" t="str">
        <f>"LK6891"</f>
        <v>LK6891</v>
      </c>
      <c r="C1009" t="s">
        <v>29187</v>
      </c>
      <c r="D1009" t="s">
        <v>27245</v>
      </c>
      <c r="E1009" t="str">
        <f t="shared" si="15"/>
        <v>001390</v>
      </c>
      <c r="F1009" t="s">
        <v>27246</v>
      </c>
      <c r="G1009" t="s">
        <v>27247</v>
      </c>
      <c r="H1009" t="s">
        <v>27248</v>
      </c>
      <c r="I1009" t="s">
        <v>29188</v>
      </c>
      <c r="J1009" t="s">
        <v>2024</v>
      </c>
      <c r="L1009" t="s">
        <v>27250</v>
      </c>
      <c r="M1009" t="s">
        <v>27251</v>
      </c>
      <c r="N1009" t="s">
        <v>27252</v>
      </c>
      <c r="Q1009" s="1">
        <v>44538</v>
      </c>
      <c r="R1009" t="s">
        <v>27253</v>
      </c>
      <c r="S1009" t="s">
        <v>27254</v>
      </c>
      <c r="T1009" t="s">
        <v>27255</v>
      </c>
    </row>
    <row r="1010" spans="1:20" x14ac:dyDescent="0.3">
      <c r="A1010" t="str">
        <f>"0611860601050"</f>
        <v>0611860601050</v>
      </c>
      <c r="B1010" t="str">
        <f>"CE1589"</f>
        <v>CE1589</v>
      </c>
      <c r="C1010" t="s">
        <v>29189</v>
      </c>
      <c r="D1010" t="s">
        <v>27923</v>
      </c>
      <c r="E1010" t="str">
        <f t="shared" si="15"/>
        <v>001390</v>
      </c>
      <c r="F1010" t="s">
        <v>27246</v>
      </c>
      <c r="G1010" t="s">
        <v>27247</v>
      </c>
      <c r="H1010" t="s">
        <v>27248</v>
      </c>
      <c r="I1010" t="s">
        <v>29190</v>
      </c>
      <c r="J1010" t="s">
        <v>2026</v>
      </c>
      <c r="L1010" t="s">
        <v>27250</v>
      </c>
      <c r="M1010" t="s">
        <v>27251</v>
      </c>
      <c r="N1010" t="s">
        <v>27252</v>
      </c>
      <c r="P1010" t="s">
        <v>27925</v>
      </c>
      <c r="Q1010" s="1">
        <v>44846</v>
      </c>
      <c r="R1010" t="s">
        <v>27253</v>
      </c>
      <c r="S1010" t="s">
        <v>27254</v>
      </c>
      <c r="T1010" t="s">
        <v>27265</v>
      </c>
    </row>
    <row r="1011" spans="1:20" x14ac:dyDescent="0.3">
      <c r="A1011" t="str">
        <f>"0611860602050"</f>
        <v>0611860602050</v>
      </c>
      <c r="B1011" t="str">
        <f>"CE1469"</f>
        <v>CE1469</v>
      </c>
      <c r="C1011" t="s">
        <v>29191</v>
      </c>
      <c r="D1011" t="s">
        <v>27923</v>
      </c>
      <c r="E1011" t="str">
        <f t="shared" si="15"/>
        <v>001390</v>
      </c>
      <c r="F1011" t="s">
        <v>27246</v>
      </c>
      <c r="G1011" t="s">
        <v>27247</v>
      </c>
      <c r="H1011" t="s">
        <v>27248</v>
      </c>
      <c r="I1011" t="s">
        <v>29192</v>
      </c>
      <c r="J1011" t="s">
        <v>2028</v>
      </c>
      <c r="L1011" t="s">
        <v>27250</v>
      </c>
      <c r="M1011" t="s">
        <v>27251</v>
      </c>
      <c r="N1011" t="s">
        <v>27252</v>
      </c>
      <c r="P1011" t="s">
        <v>27925</v>
      </c>
      <c r="Q1011" s="1">
        <v>44846</v>
      </c>
      <c r="R1011" t="s">
        <v>27253</v>
      </c>
      <c r="S1011" t="s">
        <v>27254</v>
      </c>
      <c r="T1011" t="s">
        <v>27265</v>
      </c>
    </row>
    <row r="1012" spans="1:20" x14ac:dyDescent="0.3">
      <c r="A1012" t="str">
        <f>"0611860603050"</f>
        <v>0611860603050</v>
      </c>
      <c r="B1012" t="str">
        <f>"CE1470"</f>
        <v>CE1470</v>
      </c>
      <c r="C1012" t="s">
        <v>29193</v>
      </c>
      <c r="D1012" t="s">
        <v>27923</v>
      </c>
      <c r="E1012" t="str">
        <f t="shared" si="15"/>
        <v>001390</v>
      </c>
      <c r="F1012" t="s">
        <v>27246</v>
      </c>
      <c r="G1012" t="s">
        <v>27247</v>
      </c>
      <c r="H1012" t="s">
        <v>27248</v>
      </c>
      <c r="I1012" t="s">
        <v>29194</v>
      </c>
      <c r="J1012" t="s">
        <v>2030</v>
      </c>
      <c r="L1012" t="s">
        <v>27250</v>
      </c>
      <c r="M1012" t="s">
        <v>27251</v>
      </c>
      <c r="N1012" t="s">
        <v>27252</v>
      </c>
      <c r="P1012" t="s">
        <v>27925</v>
      </c>
      <c r="Q1012" s="1">
        <v>44846</v>
      </c>
      <c r="R1012" t="s">
        <v>27253</v>
      </c>
      <c r="S1012" t="s">
        <v>27254</v>
      </c>
      <c r="T1012" t="s">
        <v>27265</v>
      </c>
    </row>
    <row r="1013" spans="1:20" x14ac:dyDescent="0.3">
      <c r="A1013" t="str">
        <f>"0611860604050"</f>
        <v>0611860604050</v>
      </c>
      <c r="B1013" t="str">
        <f>"CE1471"</f>
        <v>CE1471</v>
      </c>
      <c r="C1013" t="s">
        <v>29195</v>
      </c>
      <c r="D1013" t="s">
        <v>27923</v>
      </c>
      <c r="E1013" t="str">
        <f t="shared" si="15"/>
        <v>001390</v>
      </c>
      <c r="F1013" t="s">
        <v>27246</v>
      </c>
      <c r="G1013" t="s">
        <v>27247</v>
      </c>
      <c r="H1013" t="s">
        <v>27248</v>
      </c>
      <c r="I1013" t="s">
        <v>29196</v>
      </c>
      <c r="J1013" t="s">
        <v>2032</v>
      </c>
      <c r="L1013" t="s">
        <v>27250</v>
      </c>
      <c r="M1013" t="s">
        <v>27251</v>
      </c>
      <c r="N1013" t="s">
        <v>27252</v>
      </c>
      <c r="P1013" t="s">
        <v>27925</v>
      </c>
      <c r="Q1013" s="1">
        <v>44846</v>
      </c>
      <c r="R1013" t="s">
        <v>27253</v>
      </c>
      <c r="S1013" t="s">
        <v>27254</v>
      </c>
      <c r="T1013" t="s">
        <v>27265</v>
      </c>
    </row>
    <row r="1014" spans="1:20" x14ac:dyDescent="0.3">
      <c r="A1014" t="str">
        <f>"0611860605050"</f>
        <v>0611860605050</v>
      </c>
      <c r="B1014" t="str">
        <f>"CE1472"</f>
        <v>CE1472</v>
      </c>
      <c r="C1014" t="s">
        <v>29197</v>
      </c>
      <c r="D1014" t="s">
        <v>27923</v>
      </c>
      <c r="E1014" t="str">
        <f t="shared" si="15"/>
        <v>001390</v>
      </c>
      <c r="F1014" t="s">
        <v>27246</v>
      </c>
      <c r="G1014" t="s">
        <v>27247</v>
      </c>
      <c r="H1014" t="s">
        <v>27248</v>
      </c>
      <c r="I1014" t="s">
        <v>29198</v>
      </c>
      <c r="J1014" t="s">
        <v>2034</v>
      </c>
      <c r="L1014" t="s">
        <v>27250</v>
      </c>
      <c r="M1014" t="s">
        <v>27251</v>
      </c>
      <c r="N1014" t="s">
        <v>27252</v>
      </c>
      <c r="P1014" t="s">
        <v>27925</v>
      </c>
      <c r="Q1014" s="1">
        <v>44846</v>
      </c>
      <c r="R1014" t="s">
        <v>27253</v>
      </c>
      <c r="S1014" t="s">
        <v>27254</v>
      </c>
      <c r="T1014" t="s">
        <v>27265</v>
      </c>
    </row>
    <row r="1015" spans="1:20" x14ac:dyDescent="0.3">
      <c r="A1015" t="str">
        <f>"0611860606050"</f>
        <v>0611860606050</v>
      </c>
      <c r="B1015" t="str">
        <f>"CE1473"</f>
        <v>CE1473</v>
      </c>
      <c r="C1015" t="s">
        <v>29199</v>
      </c>
      <c r="D1015" t="s">
        <v>27923</v>
      </c>
      <c r="E1015" t="str">
        <f t="shared" si="15"/>
        <v>001390</v>
      </c>
      <c r="F1015" t="s">
        <v>27246</v>
      </c>
      <c r="G1015" t="s">
        <v>27247</v>
      </c>
      <c r="H1015" t="s">
        <v>27248</v>
      </c>
      <c r="I1015" t="s">
        <v>29200</v>
      </c>
      <c r="J1015" t="s">
        <v>2036</v>
      </c>
      <c r="L1015" t="s">
        <v>27250</v>
      </c>
      <c r="M1015" t="s">
        <v>27251</v>
      </c>
      <c r="N1015" t="s">
        <v>27252</v>
      </c>
      <c r="P1015" t="s">
        <v>27925</v>
      </c>
      <c r="Q1015" s="1">
        <v>44846</v>
      </c>
      <c r="R1015" t="s">
        <v>27253</v>
      </c>
      <c r="S1015" t="s">
        <v>27254</v>
      </c>
      <c r="T1015" t="s">
        <v>27265</v>
      </c>
    </row>
    <row r="1016" spans="1:20" x14ac:dyDescent="0.3">
      <c r="A1016" t="str">
        <f>"0611831381100"</f>
        <v>0611831381100</v>
      </c>
      <c r="B1016" t="str">
        <f>"LB0842"</f>
        <v>LB0842</v>
      </c>
      <c r="C1016" t="s">
        <v>29201</v>
      </c>
      <c r="D1016" t="s">
        <v>27245</v>
      </c>
      <c r="E1016" t="str">
        <f t="shared" si="15"/>
        <v>001390</v>
      </c>
      <c r="F1016" t="s">
        <v>27246</v>
      </c>
      <c r="G1016" t="s">
        <v>27247</v>
      </c>
      <c r="H1016" t="s">
        <v>27248</v>
      </c>
      <c r="I1016" t="s">
        <v>29202</v>
      </c>
      <c r="J1016" t="s">
        <v>2038</v>
      </c>
      <c r="L1016" t="s">
        <v>27250</v>
      </c>
      <c r="M1016" t="s">
        <v>27251</v>
      </c>
      <c r="N1016" t="s">
        <v>27252</v>
      </c>
      <c r="Q1016" s="1">
        <v>44538</v>
      </c>
      <c r="R1016" t="s">
        <v>27253</v>
      </c>
      <c r="S1016" t="s">
        <v>27254</v>
      </c>
      <c r="T1016" t="s">
        <v>27255</v>
      </c>
    </row>
    <row r="1017" spans="1:20" x14ac:dyDescent="0.3">
      <c r="A1017" t="str">
        <f>"0611831382100"</f>
        <v>0611831382100</v>
      </c>
      <c r="B1017" t="str">
        <f>"LQ3783"</f>
        <v>LQ3783</v>
      </c>
      <c r="C1017" t="s">
        <v>29203</v>
      </c>
      <c r="D1017" t="s">
        <v>27245</v>
      </c>
      <c r="E1017" t="str">
        <f t="shared" si="15"/>
        <v>001390</v>
      </c>
      <c r="F1017" t="s">
        <v>27246</v>
      </c>
      <c r="G1017" t="s">
        <v>27247</v>
      </c>
      <c r="H1017" t="s">
        <v>27248</v>
      </c>
      <c r="I1017" t="s">
        <v>29204</v>
      </c>
      <c r="J1017" t="s">
        <v>2040</v>
      </c>
      <c r="L1017" t="s">
        <v>27250</v>
      </c>
      <c r="M1017" t="s">
        <v>27251</v>
      </c>
      <c r="N1017" t="s">
        <v>27252</v>
      </c>
      <c r="Q1017" s="1">
        <v>44538</v>
      </c>
      <c r="R1017" t="s">
        <v>27253</v>
      </c>
      <c r="S1017" t="s">
        <v>27254</v>
      </c>
      <c r="T1017" t="s">
        <v>27255</v>
      </c>
    </row>
    <row r="1018" spans="1:20" x14ac:dyDescent="0.3">
      <c r="A1018" t="str">
        <f>"0611831383100"</f>
        <v>0611831383100</v>
      </c>
      <c r="B1018" t="str">
        <f>"LQ3784"</f>
        <v>LQ3784</v>
      </c>
      <c r="C1018" t="s">
        <v>29205</v>
      </c>
      <c r="D1018" t="s">
        <v>27245</v>
      </c>
      <c r="E1018" t="str">
        <f t="shared" si="15"/>
        <v>001390</v>
      </c>
      <c r="F1018" t="s">
        <v>27246</v>
      </c>
      <c r="G1018" t="s">
        <v>27247</v>
      </c>
      <c r="H1018" t="s">
        <v>27248</v>
      </c>
      <c r="I1018" t="s">
        <v>29206</v>
      </c>
      <c r="J1018" t="s">
        <v>2042</v>
      </c>
      <c r="L1018" t="s">
        <v>27250</v>
      </c>
      <c r="M1018" t="s">
        <v>27251</v>
      </c>
      <c r="N1018" t="s">
        <v>27252</v>
      </c>
      <c r="Q1018" s="1">
        <v>44538</v>
      </c>
      <c r="R1018" t="s">
        <v>27253</v>
      </c>
      <c r="S1018" t="s">
        <v>27254</v>
      </c>
      <c r="T1018" t="s">
        <v>27255</v>
      </c>
    </row>
    <row r="1019" spans="1:20" x14ac:dyDescent="0.3">
      <c r="A1019" t="str">
        <f>"0611856833100"</f>
        <v>0611856833100</v>
      </c>
      <c r="B1019" t="str">
        <f>"LQ3869"</f>
        <v>LQ3869</v>
      </c>
      <c r="C1019" t="s">
        <v>29207</v>
      </c>
      <c r="D1019" t="s">
        <v>27245</v>
      </c>
      <c r="E1019" t="str">
        <f t="shared" si="15"/>
        <v>001390</v>
      </c>
      <c r="F1019" t="s">
        <v>27246</v>
      </c>
      <c r="G1019" t="s">
        <v>27247</v>
      </c>
      <c r="H1019" t="s">
        <v>27248</v>
      </c>
      <c r="I1019" t="s">
        <v>29208</v>
      </c>
      <c r="J1019" t="s">
        <v>2044</v>
      </c>
      <c r="L1019" t="s">
        <v>27250</v>
      </c>
      <c r="M1019" t="s">
        <v>27251</v>
      </c>
      <c r="N1019" t="s">
        <v>27252</v>
      </c>
      <c r="Q1019" s="1">
        <v>44812</v>
      </c>
      <c r="R1019" t="s">
        <v>27253</v>
      </c>
      <c r="S1019" t="s">
        <v>27254</v>
      </c>
      <c r="T1019" t="s">
        <v>27255</v>
      </c>
    </row>
    <row r="1020" spans="1:20" x14ac:dyDescent="0.3">
      <c r="A1020" t="str">
        <f>"0611831384100"</f>
        <v>0611831384100</v>
      </c>
      <c r="B1020" t="str">
        <f>"LQ3666"</f>
        <v>LQ3666</v>
      </c>
      <c r="C1020" t="s">
        <v>29209</v>
      </c>
      <c r="D1020" t="s">
        <v>27245</v>
      </c>
      <c r="E1020" t="str">
        <f t="shared" si="15"/>
        <v>001390</v>
      </c>
      <c r="F1020" t="s">
        <v>27246</v>
      </c>
      <c r="G1020" t="s">
        <v>27247</v>
      </c>
      <c r="H1020" t="s">
        <v>27248</v>
      </c>
      <c r="I1020" t="s">
        <v>29210</v>
      </c>
      <c r="J1020" t="s">
        <v>2046</v>
      </c>
      <c r="L1020" t="s">
        <v>27250</v>
      </c>
      <c r="M1020" t="s">
        <v>27251</v>
      </c>
      <c r="N1020" t="s">
        <v>27252</v>
      </c>
      <c r="Q1020" s="1">
        <v>44538</v>
      </c>
      <c r="R1020" t="s">
        <v>27253</v>
      </c>
      <c r="S1020" t="s">
        <v>27254</v>
      </c>
      <c r="T1020" t="s">
        <v>27255</v>
      </c>
    </row>
    <row r="1021" spans="1:20" x14ac:dyDescent="0.3">
      <c r="A1021" t="str">
        <f>"0611831385100"</f>
        <v>0611831385100</v>
      </c>
      <c r="B1021" t="str">
        <f>"LK6595"</f>
        <v>LK6595</v>
      </c>
      <c r="C1021" t="s">
        <v>29211</v>
      </c>
      <c r="D1021" t="s">
        <v>27245</v>
      </c>
      <c r="E1021" t="str">
        <f t="shared" si="15"/>
        <v>001390</v>
      </c>
      <c r="F1021" t="s">
        <v>27246</v>
      </c>
      <c r="G1021" t="s">
        <v>27247</v>
      </c>
      <c r="H1021" t="s">
        <v>27248</v>
      </c>
      <c r="I1021" t="s">
        <v>29212</v>
      </c>
      <c r="J1021" t="s">
        <v>2048</v>
      </c>
      <c r="L1021" t="s">
        <v>27250</v>
      </c>
      <c r="M1021" t="s">
        <v>27251</v>
      </c>
      <c r="N1021" t="s">
        <v>27252</v>
      </c>
      <c r="Q1021" s="1">
        <v>44538</v>
      </c>
      <c r="R1021" t="s">
        <v>27253</v>
      </c>
      <c r="S1021" t="s">
        <v>27254</v>
      </c>
      <c r="T1021" t="s">
        <v>27255</v>
      </c>
    </row>
    <row r="1022" spans="1:20" x14ac:dyDescent="0.3">
      <c r="A1022" t="str">
        <f>"0611831386100"</f>
        <v>0611831386100</v>
      </c>
      <c r="B1022" t="str">
        <f>"LK6850"</f>
        <v>LK6850</v>
      </c>
      <c r="C1022" t="s">
        <v>29213</v>
      </c>
      <c r="D1022" t="s">
        <v>27245</v>
      </c>
      <c r="E1022" t="str">
        <f t="shared" si="15"/>
        <v>001390</v>
      </c>
      <c r="F1022" t="s">
        <v>27246</v>
      </c>
      <c r="G1022" t="s">
        <v>27247</v>
      </c>
      <c r="H1022" t="s">
        <v>27248</v>
      </c>
      <c r="I1022" t="s">
        <v>29214</v>
      </c>
      <c r="J1022" t="s">
        <v>2050</v>
      </c>
      <c r="L1022" t="s">
        <v>27250</v>
      </c>
      <c r="M1022" t="s">
        <v>27251</v>
      </c>
      <c r="N1022" t="s">
        <v>27252</v>
      </c>
      <c r="Q1022" s="1">
        <v>44538</v>
      </c>
      <c r="R1022" t="s">
        <v>27253</v>
      </c>
      <c r="S1022" t="s">
        <v>27254</v>
      </c>
      <c r="T1022" t="s">
        <v>27255</v>
      </c>
    </row>
    <row r="1023" spans="1:20" x14ac:dyDescent="0.3">
      <c r="A1023" t="str">
        <f>"0611831387100"</f>
        <v>0611831387100</v>
      </c>
      <c r="B1023" t="str">
        <f>"LK6360"</f>
        <v>LK6360</v>
      </c>
      <c r="C1023" t="s">
        <v>29215</v>
      </c>
      <c r="D1023" t="s">
        <v>27245</v>
      </c>
      <c r="E1023" t="str">
        <f t="shared" si="15"/>
        <v>001390</v>
      </c>
      <c r="F1023" t="s">
        <v>27246</v>
      </c>
      <c r="G1023" t="s">
        <v>27247</v>
      </c>
      <c r="H1023" t="s">
        <v>27248</v>
      </c>
      <c r="I1023" t="s">
        <v>29216</v>
      </c>
      <c r="J1023" t="s">
        <v>2052</v>
      </c>
      <c r="L1023" t="s">
        <v>27250</v>
      </c>
      <c r="M1023" t="s">
        <v>27251</v>
      </c>
      <c r="N1023" t="s">
        <v>27252</v>
      </c>
      <c r="Q1023" s="1">
        <v>44538</v>
      </c>
      <c r="R1023" t="s">
        <v>27253</v>
      </c>
      <c r="S1023" t="s">
        <v>27254</v>
      </c>
      <c r="T1023" t="s">
        <v>27255</v>
      </c>
    </row>
    <row r="1024" spans="1:20" x14ac:dyDescent="0.3">
      <c r="A1024" t="str">
        <f>"0611831388100"</f>
        <v>0611831388100</v>
      </c>
      <c r="B1024" t="str">
        <f>"LK6020"</f>
        <v>LK6020</v>
      </c>
      <c r="C1024" t="s">
        <v>29217</v>
      </c>
      <c r="D1024" t="s">
        <v>27245</v>
      </c>
      <c r="E1024" t="str">
        <f t="shared" si="15"/>
        <v>001390</v>
      </c>
      <c r="F1024" t="s">
        <v>27246</v>
      </c>
      <c r="G1024" t="s">
        <v>27247</v>
      </c>
      <c r="H1024" t="s">
        <v>27248</v>
      </c>
      <c r="I1024" t="s">
        <v>29218</v>
      </c>
      <c r="J1024" t="s">
        <v>2054</v>
      </c>
      <c r="L1024" t="s">
        <v>27250</v>
      </c>
      <c r="M1024" t="s">
        <v>27251</v>
      </c>
      <c r="N1024" t="s">
        <v>27252</v>
      </c>
      <c r="Q1024" s="1">
        <v>44538</v>
      </c>
      <c r="R1024" t="s">
        <v>27253</v>
      </c>
      <c r="S1024" t="s">
        <v>27254</v>
      </c>
      <c r="T1024" t="s">
        <v>27255</v>
      </c>
    </row>
    <row r="1025" spans="1:20" x14ac:dyDescent="0.3">
      <c r="A1025" t="str">
        <f>"0611831389100"</f>
        <v>0611831389100</v>
      </c>
      <c r="B1025" t="str">
        <f>"LK6851"</f>
        <v>LK6851</v>
      </c>
      <c r="C1025" t="s">
        <v>29219</v>
      </c>
      <c r="D1025" t="s">
        <v>27245</v>
      </c>
      <c r="E1025" t="str">
        <f t="shared" si="15"/>
        <v>001390</v>
      </c>
      <c r="F1025" t="s">
        <v>27246</v>
      </c>
      <c r="G1025" t="s">
        <v>27247</v>
      </c>
      <c r="H1025" t="s">
        <v>27248</v>
      </c>
      <c r="I1025" t="s">
        <v>29220</v>
      </c>
      <c r="J1025" t="s">
        <v>2056</v>
      </c>
      <c r="L1025" t="s">
        <v>27250</v>
      </c>
      <c r="M1025" t="s">
        <v>27251</v>
      </c>
      <c r="N1025" t="s">
        <v>27252</v>
      </c>
      <c r="Q1025" s="1">
        <v>44538</v>
      </c>
      <c r="R1025" t="s">
        <v>27253</v>
      </c>
      <c r="S1025" t="s">
        <v>27254</v>
      </c>
      <c r="T1025" t="s">
        <v>27255</v>
      </c>
    </row>
    <row r="1026" spans="1:20" x14ac:dyDescent="0.3">
      <c r="A1026" t="str">
        <f>"0611831390100"</f>
        <v>0611831390100</v>
      </c>
      <c r="B1026" t="str">
        <f>"LK6596"</f>
        <v>LK6596</v>
      </c>
      <c r="C1026" t="s">
        <v>29221</v>
      </c>
      <c r="D1026" t="s">
        <v>27245</v>
      </c>
      <c r="E1026" t="str">
        <f t="shared" ref="E1026:E1089" si="16">"001390"</f>
        <v>001390</v>
      </c>
      <c r="F1026" t="s">
        <v>27246</v>
      </c>
      <c r="G1026" t="s">
        <v>27247</v>
      </c>
      <c r="H1026" t="s">
        <v>27248</v>
      </c>
      <c r="I1026" t="s">
        <v>29222</v>
      </c>
      <c r="J1026" t="s">
        <v>2058</v>
      </c>
      <c r="L1026" t="s">
        <v>27250</v>
      </c>
      <c r="M1026" t="s">
        <v>27251</v>
      </c>
      <c r="N1026" t="s">
        <v>27252</v>
      </c>
      <c r="Q1026" s="1">
        <v>44538</v>
      </c>
      <c r="R1026" t="s">
        <v>27253</v>
      </c>
      <c r="S1026" t="s">
        <v>27254</v>
      </c>
      <c r="T1026" t="s">
        <v>27255</v>
      </c>
    </row>
    <row r="1027" spans="1:20" x14ac:dyDescent="0.3">
      <c r="A1027" t="str">
        <f>"0611831391100"</f>
        <v>0611831391100</v>
      </c>
      <c r="B1027" t="str">
        <f>"LK6361"</f>
        <v>LK6361</v>
      </c>
      <c r="C1027" t="s">
        <v>29223</v>
      </c>
      <c r="D1027" t="s">
        <v>27245</v>
      </c>
      <c r="E1027" t="str">
        <f t="shared" si="16"/>
        <v>001390</v>
      </c>
      <c r="F1027" t="s">
        <v>27246</v>
      </c>
      <c r="G1027" t="s">
        <v>27247</v>
      </c>
      <c r="H1027" t="s">
        <v>27248</v>
      </c>
      <c r="I1027" t="s">
        <v>29224</v>
      </c>
      <c r="J1027" t="s">
        <v>2060</v>
      </c>
      <c r="L1027" t="s">
        <v>27250</v>
      </c>
      <c r="M1027" t="s">
        <v>27251</v>
      </c>
      <c r="N1027" t="s">
        <v>27252</v>
      </c>
      <c r="Q1027" s="1">
        <v>44538</v>
      </c>
      <c r="R1027" t="s">
        <v>27253</v>
      </c>
      <c r="S1027" t="s">
        <v>27254</v>
      </c>
      <c r="T1027" t="s">
        <v>27255</v>
      </c>
    </row>
    <row r="1028" spans="1:20" x14ac:dyDescent="0.3">
      <c r="A1028" t="str">
        <f>"0611831392100"</f>
        <v>0611831392100</v>
      </c>
      <c r="B1028" t="str">
        <f>"MB0850"</f>
        <v>MB0850</v>
      </c>
      <c r="C1028" t="s">
        <v>29225</v>
      </c>
      <c r="D1028" t="s">
        <v>27274</v>
      </c>
      <c r="E1028" t="str">
        <f t="shared" si="16"/>
        <v>001390</v>
      </c>
      <c r="F1028" t="s">
        <v>27246</v>
      </c>
      <c r="G1028" t="s">
        <v>27247</v>
      </c>
      <c r="H1028" t="s">
        <v>27248</v>
      </c>
      <c r="I1028" t="s">
        <v>29226</v>
      </c>
      <c r="J1028" t="s">
        <v>2062</v>
      </c>
      <c r="L1028" t="s">
        <v>27250</v>
      </c>
      <c r="M1028" t="s">
        <v>27251</v>
      </c>
      <c r="N1028" t="s">
        <v>27252</v>
      </c>
      <c r="Q1028" s="1">
        <v>44538</v>
      </c>
      <c r="R1028" t="s">
        <v>27253</v>
      </c>
      <c r="S1028" t="s">
        <v>27254</v>
      </c>
      <c r="T1028" t="s">
        <v>27276</v>
      </c>
    </row>
    <row r="1029" spans="1:20" x14ac:dyDescent="0.3">
      <c r="A1029" t="str">
        <f>"0611831397100"</f>
        <v>0611831397100</v>
      </c>
      <c r="B1029" t="str">
        <f>"LS0007"</f>
        <v>LS0007</v>
      </c>
      <c r="C1029" t="s">
        <v>29227</v>
      </c>
      <c r="D1029" t="s">
        <v>27245</v>
      </c>
      <c r="E1029" t="str">
        <f t="shared" si="16"/>
        <v>001390</v>
      </c>
      <c r="F1029" t="s">
        <v>27246</v>
      </c>
      <c r="G1029" t="s">
        <v>27247</v>
      </c>
      <c r="H1029" t="s">
        <v>27248</v>
      </c>
      <c r="I1029" t="s">
        <v>29228</v>
      </c>
      <c r="J1029" t="s">
        <v>2064</v>
      </c>
      <c r="L1029" t="s">
        <v>27250</v>
      </c>
      <c r="M1029" t="s">
        <v>27251</v>
      </c>
      <c r="N1029" t="s">
        <v>27252</v>
      </c>
      <c r="Q1029" s="1">
        <v>44538</v>
      </c>
      <c r="R1029" t="s">
        <v>27253</v>
      </c>
      <c r="S1029" t="s">
        <v>27254</v>
      </c>
      <c r="T1029" t="s">
        <v>27255</v>
      </c>
    </row>
    <row r="1030" spans="1:20" x14ac:dyDescent="0.3">
      <c r="A1030" t="str">
        <f>"0611831406100"</f>
        <v>0611831406100</v>
      </c>
      <c r="B1030" t="str">
        <f>"LK5178"</f>
        <v>LK5178</v>
      </c>
      <c r="C1030" t="s">
        <v>29229</v>
      </c>
      <c r="D1030" t="s">
        <v>27245</v>
      </c>
      <c r="E1030" t="str">
        <f t="shared" si="16"/>
        <v>001390</v>
      </c>
      <c r="F1030" t="s">
        <v>27246</v>
      </c>
      <c r="G1030" t="s">
        <v>27247</v>
      </c>
      <c r="H1030" t="s">
        <v>27248</v>
      </c>
      <c r="I1030" t="s">
        <v>29230</v>
      </c>
      <c r="J1030" t="s">
        <v>2078</v>
      </c>
      <c r="L1030" t="s">
        <v>27250</v>
      </c>
      <c r="M1030" t="s">
        <v>27251</v>
      </c>
      <c r="N1030" t="s">
        <v>27252</v>
      </c>
      <c r="Q1030" s="1">
        <v>44538</v>
      </c>
      <c r="R1030" t="s">
        <v>27253</v>
      </c>
      <c r="S1030" t="s">
        <v>27254</v>
      </c>
      <c r="T1030" t="s">
        <v>27255</v>
      </c>
    </row>
    <row r="1031" spans="1:20" x14ac:dyDescent="0.3">
      <c r="A1031" t="str">
        <f>"0611831407100"</f>
        <v>0611831407100</v>
      </c>
      <c r="B1031" t="str">
        <f>"LB0930"</f>
        <v>LB0930</v>
      </c>
      <c r="C1031" t="s">
        <v>29231</v>
      </c>
      <c r="D1031" t="s">
        <v>27245</v>
      </c>
      <c r="E1031" t="str">
        <f t="shared" si="16"/>
        <v>001390</v>
      </c>
      <c r="F1031" t="s">
        <v>27246</v>
      </c>
      <c r="G1031" t="s">
        <v>27247</v>
      </c>
      <c r="H1031" t="s">
        <v>27248</v>
      </c>
      <c r="I1031" t="s">
        <v>29232</v>
      </c>
      <c r="J1031" t="s">
        <v>2080</v>
      </c>
      <c r="L1031" t="s">
        <v>27250</v>
      </c>
      <c r="M1031" t="s">
        <v>27251</v>
      </c>
      <c r="N1031" t="s">
        <v>27252</v>
      </c>
      <c r="Q1031" s="1">
        <v>44538</v>
      </c>
      <c r="R1031" t="s">
        <v>27253</v>
      </c>
      <c r="S1031" t="s">
        <v>27254</v>
      </c>
      <c r="T1031" t="s">
        <v>27255</v>
      </c>
    </row>
    <row r="1032" spans="1:20" x14ac:dyDescent="0.3">
      <c r="A1032" t="str">
        <f>"0611831408100"</f>
        <v>0611831408100</v>
      </c>
      <c r="B1032" t="str">
        <f>"LB0932"</f>
        <v>LB0932</v>
      </c>
      <c r="C1032" t="s">
        <v>29233</v>
      </c>
      <c r="D1032" t="s">
        <v>27245</v>
      </c>
      <c r="E1032" t="str">
        <f t="shared" si="16"/>
        <v>001390</v>
      </c>
      <c r="F1032" t="s">
        <v>27246</v>
      </c>
      <c r="G1032" t="s">
        <v>27247</v>
      </c>
      <c r="H1032" t="s">
        <v>27248</v>
      </c>
      <c r="I1032" t="s">
        <v>29234</v>
      </c>
      <c r="J1032" t="s">
        <v>2082</v>
      </c>
      <c r="L1032" t="s">
        <v>27250</v>
      </c>
      <c r="M1032" t="s">
        <v>27251</v>
      </c>
      <c r="N1032" t="s">
        <v>27252</v>
      </c>
      <c r="Q1032" s="1">
        <v>44538</v>
      </c>
      <c r="R1032" t="s">
        <v>27253</v>
      </c>
      <c r="S1032" t="s">
        <v>27254</v>
      </c>
      <c r="T1032" t="s">
        <v>27255</v>
      </c>
    </row>
    <row r="1033" spans="1:20" x14ac:dyDescent="0.3">
      <c r="A1033" t="str">
        <f>"0611831409100"</f>
        <v>0611831409100</v>
      </c>
      <c r="B1033" t="str">
        <f>"LB0934"</f>
        <v>LB0934</v>
      </c>
      <c r="C1033" t="s">
        <v>29235</v>
      </c>
      <c r="D1033" t="s">
        <v>27245</v>
      </c>
      <c r="E1033" t="str">
        <f t="shared" si="16"/>
        <v>001390</v>
      </c>
      <c r="F1033" t="s">
        <v>27246</v>
      </c>
      <c r="G1033" t="s">
        <v>27247</v>
      </c>
      <c r="H1033" t="s">
        <v>27248</v>
      </c>
      <c r="I1033" t="s">
        <v>29236</v>
      </c>
      <c r="J1033" t="s">
        <v>2084</v>
      </c>
      <c r="L1033" t="s">
        <v>27250</v>
      </c>
      <c r="M1033" t="s">
        <v>27251</v>
      </c>
      <c r="N1033" t="s">
        <v>27252</v>
      </c>
      <c r="Q1033" s="1">
        <v>44538</v>
      </c>
      <c r="R1033" t="s">
        <v>27253</v>
      </c>
      <c r="S1033" t="s">
        <v>27254</v>
      </c>
      <c r="T1033" t="s">
        <v>27255</v>
      </c>
    </row>
    <row r="1034" spans="1:20" x14ac:dyDescent="0.3">
      <c r="A1034" t="str">
        <f>"0611831410100"</f>
        <v>0611831410100</v>
      </c>
      <c r="B1034" t="str">
        <f>"LB0977"</f>
        <v>LB0977</v>
      </c>
      <c r="C1034" t="s">
        <v>29237</v>
      </c>
      <c r="D1034" t="s">
        <v>27245</v>
      </c>
      <c r="E1034" t="str">
        <f t="shared" si="16"/>
        <v>001390</v>
      </c>
      <c r="F1034" t="s">
        <v>27246</v>
      </c>
      <c r="G1034" t="s">
        <v>27247</v>
      </c>
      <c r="H1034" t="s">
        <v>27248</v>
      </c>
      <c r="I1034" t="s">
        <v>29238</v>
      </c>
      <c r="J1034" t="s">
        <v>2086</v>
      </c>
      <c r="L1034" t="s">
        <v>27250</v>
      </c>
      <c r="M1034" t="s">
        <v>27251</v>
      </c>
      <c r="N1034" t="s">
        <v>27252</v>
      </c>
      <c r="Q1034" s="1">
        <v>44538</v>
      </c>
      <c r="R1034" t="s">
        <v>27253</v>
      </c>
      <c r="S1034" t="s">
        <v>27254</v>
      </c>
      <c r="T1034" t="s">
        <v>27255</v>
      </c>
    </row>
    <row r="1035" spans="1:20" x14ac:dyDescent="0.3">
      <c r="A1035" t="str">
        <f>"0611831411100"</f>
        <v>0611831411100</v>
      </c>
      <c r="B1035" t="str">
        <f>"LB0936"</f>
        <v>LB0936</v>
      </c>
      <c r="C1035" t="s">
        <v>29239</v>
      </c>
      <c r="D1035" t="s">
        <v>27245</v>
      </c>
      <c r="E1035" t="str">
        <f t="shared" si="16"/>
        <v>001390</v>
      </c>
      <c r="F1035" t="s">
        <v>27246</v>
      </c>
      <c r="G1035" t="s">
        <v>27247</v>
      </c>
      <c r="H1035" t="s">
        <v>27248</v>
      </c>
      <c r="I1035" t="s">
        <v>29240</v>
      </c>
      <c r="J1035" t="s">
        <v>2088</v>
      </c>
      <c r="L1035" t="s">
        <v>27250</v>
      </c>
      <c r="M1035" t="s">
        <v>27251</v>
      </c>
      <c r="N1035" t="s">
        <v>27252</v>
      </c>
      <c r="Q1035" s="1">
        <v>44538</v>
      </c>
      <c r="R1035" t="s">
        <v>27253</v>
      </c>
      <c r="S1035" t="s">
        <v>27254</v>
      </c>
      <c r="T1035" t="s">
        <v>27255</v>
      </c>
    </row>
    <row r="1036" spans="1:20" x14ac:dyDescent="0.3">
      <c r="A1036" t="str">
        <f>"0611831393100"</f>
        <v>0611831393100</v>
      </c>
      <c r="B1036" t="str">
        <f>"LQ3791"</f>
        <v>LQ3791</v>
      </c>
      <c r="C1036" t="s">
        <v>29241</v>
      </c>
      <c r="D1036" t="s">
        <v>27245</v>
      </c>
      <c r="E1036" t="str">
        <f t="shared" si="16"/>
        <v>001390</v>
      </c>
      <c r="F1036" t="s">
        <v>27246</v>
      </c>
      <c r="G1036" t="s">
        <v>27247</v>
      </c>
      <c r="H1036" t="s">
        <v>27248</v>
      </c>
      <c r="I1036" t="s">
        <v>29242</v>
      </c>
      <c r="J1036" t="s">
        <v>2066</v>
      </c>
      <c r="L1036" t="s">
        <v>27250</v>
      </c>
      <c r="M1036" t="s">
        <v>27251</v>
      </c>
      <c r="N1036" t="s">
        <v>27252</v>
      </c>
      <c r="Q1036" s="1">
        <v>44538</v>
      </c>
      <c r="R1036" t="s">
        <v>27253</v>
      </c>
      <c r="S1036" t="s">
        <v>27254</v>
      </c>
      <c r="T1036" t="s">
        <v>27255</v>
      </c>
    </row>
    <row r="1037" spans="1:20" x14ac:dyDescent="0.3">
      <c r="A1037" t="str">
        <f>"0611831395100"</f>
        <v>0611831395100</v>
      </c>
      <c r="B1037" t="str">
        <f>"LK5996"</f>
        <v>LK5996</v>
      </c>
      <c r="C1037" t="s">
        <v>29243</v>
      </c>
      <c r="D1037" t="s">
        <v>27245</v>
      </c>
      <c r="E1037" t="str">
        <f t="shared" si="16"/>
        <v>001390</v>
      </c>
      <c r="F1037" t="s">
        <v>27246</v>
      </c>
      <c r="G1037" t="s">
        <v>27247</v>
      </c>
      <c r="H1037" t="s">
        <v>27248</v>
      </c>
      <c r="I1037" t="s">
        <v>29244</v>
      </c>
      <c r="J1037" t="s">
        <v>2068</v>
      </c>
      <c r="L1037" t="s">
        <v>27250</v>
      </c>
      <c r="M1037" t="s">
        <v>27251</v>
      </c>
      <c r="N1037" t="s">
        <v>27252</v>
      </c>
      <c r="Q1037" s="1">
        <v>44538</v>
      </c>
      <c r="R1037" t="s">
        <v>27253</v>
      </c>
      <c r="S1037" t="s">
        <v>27254</v>
      </c>
      <c r="T1037" t="s">
        <v>27255</v>
      </c>
    </row>
    <row r="1038" spans="1:20" x14ac:dyDescent="0.3">
      <c r="A1038" t="str">
        <f>"0611831396100"</f>
        <v>0611831396100</v>
      </c>
      <c r="B1038" t="str">
        <f>"LK5997"</f>
        <v>LK5997</v>
      </c>
      <c r="C1038" t="s">
        <v>29245</v>
      </c>
      <c r="D1038" t="s">
        <v>27245</v>
      </c>
      <c r="E1038" t="str">
        <f t="shared" si="16"/>
        <v>001390</v>
      </c>
      <c r="F1038" t="s">
        <v>27246</v>
      </c>
      <c r="G1038" t="s">
        <v>27247</v>
      </c>
      <c r="H1038" t="s">
        <v>27248</v>
      </c>
      <c r="I1038" t="s">
        <v>29246</v>
      </c>
      <c r="J1038" t="s">
        <v>2070</v>
      </c>
      <c r="L1038" t="s">
        <v>27250</v>
      </c>
      <c r="M1038" t="s">
        <v>27251</v>
      </c>
      <c r="N1038" t="s">
        <v>27252</v>
      </c>
      <c r="Q1038" s="1">
        <v>44538</v>
      </c>
      <c r="R1038" t="s">
        <v>27253</v>
      </c>
      <c r="S1038" t="s">
        <v>27254</v>
      </c>
      <c r="T1038" t="s">
        <v>27255</v>
      </c>
    </row>
    <row r="1039" spans="1:20" x14ac:dyDescent="0.3">
      <c r="A1039" t="str">
        <f>"0611860607050"</f>
        <v>0611860607050</v>
      </c>
      <c r="B1039" t="str">
        <f>"CE1520"</f>
        <v>CE1520</v>
      </c>
      <c r="C1039" t="s">
        <v>29247</v>
      </c>
      <c r="D1039" t="s">
        <v>27923</v>
      </c>
      <c r="E1039" t="str">
        <f t="shared" si="16"/>
        <v>001390</v>
      </c>
      <c r="F1039" t="s">
        <v>27246</v>
      </c>
      <c r="G1039" t="s">
        <v>27247</v>
      </c>
      <c r="H1039" t="s">
        <v>27248</v>
      </c>
      <c r="I1039" t="s">
        <v>29248</v>
      </c>
      <c r="J1039" t="s">
        <v>2072</v>
      </c>
      <c r="L1039" t="s">
        <v>27250</v>
      </c>
      <c r="M1039" t="s">
        <v>27251</v>
      </c>
      <c r="N1039" t="s">
        <v>27252</v>
      </c>
      <c r="P1039" t="s">
        <v>27925</v>
      </c>
      <c r="Q1039" s="1">
        <v>44846</v>
      </c>
      <c r="R1039" t="s">
        <v>27253</v>
      </c>
      <c r="S1039" t="s">
        <v>27254</v>
      </c>
      <c r="T1039" t="s">
        <v>27265</v>
      </c>
    </row>
    <row r="1040" spans="1:20" x14ac:dyDescent="0.3">
      <c r="A1040" t="str">
        <f>"0611860608050"</f>
        <v>0611860608050</v>
      </c>
      <c r="B1040" t="str">
        <f>"CE1293"</f>
        <v>CE1293</v>
      </c>
      <c r="C1040" t="s">
        <v>29249</v>
      </c>
      <c r="D1040" t="s">
        <v>27923</v>
      </c>
      <c r="E1040" t="str">
        <f t="shared" si="16"/>
        <v>001390</v>
      </c>
      <c r="F1040" t="s">
        <v>27246</v>
      </c>
      <c r="G1040" t="s">
        <v>27247</v>
      </c>
      <c r="H1040" t="s">
        <v>27248</v>
      </c>
      <c r="I1040" t="s">
        <v>29250</v>
      </c>
      <c r="J1040" t="s">
        <v>2074</v>
      </c>
      <c r="L1040" t="s">
        <v>27250</v>
      </c>
      <c r="M1040" t="s">
        <v>27251</v>
      </c>
      <c r="N1040" t="s">
        <v>27252</v>
      </c>
      <c r="P1040" t="s">
        <v>27925</v>
      </c>
      <c r="Q1040" s="1">
        <v>44846</v>
      </c>
      <c r="R1040" t="s">
        <v>27253</v>
      </c>
      <c r="S1040" t="s">
        <v>27254</v>
      </c>
      <c r="T1040" t="s">
        <v>27265</v>
      </c>
    </row>
    <row r="1041" spans="1:20" x14ac:dyDescent="0.3">
      <c r="A1041" t="str">
        <f>"0611860609050"</f>
        <v>0611860609050</v>
      </c>
      <c r="B1041" t="str">
        <f>"CE1294"</f>
        <v>CE1294</v>
      </c>
      <c r="C1041" t="s">
        <v>29251</v>
      </c>
      <c r="D1041" t="s">
        <v>27923</v>
      </c>
      <c r="E1041" t="str">
        <f t="shared" si="16"/>
        <v>001390</v>
      </c>
      <c r="F1041" t="s">
        <v>27246</v>
      </c>
      <c r="G1041" t="s">
        <v>27247</v>
      </c>
      <c r="H1041" t="s">
        <v>27248</v>
      </c>
      <c r="I1041" t="s">
        <v>29252</v>
      </c>
      <c r="J1041" t="s">
        <v>2076</v>
      </c>
      <c r="L1041" t="s">
        <v>27250</v>
      </c>
      <c r="M1041" t="s">
        <v>27251</v>
      </c>
      <c r="N1041" t="s">
        <v>27252</v>
      </c>
      <c r="P1041" t="s">
        <v>27925</v>
      </c>
      <c r="Q1041" s="1">
        <v>44846</v>
      </c>
      <c r="R1041" t="s">
        <v>27253</v>
      </c>
      <c r="S1041" t="s">
        <v>27254</v>
      </c>
      <c r="T1041" t="s">
        <v>27265</v>
      </c>
    </row>
    <row r="1042" spans="1:20" x14ac:dyDescent="0.3">
      <c r="A1042" t="str">
        <f>"0611831412100"</f>
        <v>0611831412100</v>
      </c>
      <c r="B1042" t="str">
        <f>"LK6852"</f>
        <v>LK6852</v>
      </c>
      <c r="C1042" t="s">
        <v>29253</v>
      </c>
      <c r="D1042" t="s">
        <v>27245</v>
      </c>
      <c r="E1042" t="str">
        <f t="shared" si="16"/>
        <v>001390</v>
      </c>
      <c r="F1042" t="s">
        <v>27246</v>
      </c>
      <c r="G1042" t="s">
        <v>27247</v>
      </c>
      <c r="H1042" t="s">
        <v>27248</v>
      </c>
      <c r="I1042" t="s">
        <v>29254</v>
      </c>
      <c r="J1042" t="s">
        <v>2090</v>
      </c>
      <c r="L1042" t="s">
        <v>27250</v>
      </c>
      <c r="M1042" t="s">
        <v>27251</v>
      </c>
      <c r="N1042" t="s">
        <v>27252</v>
      </c>
      <c r="Q1042" s="1">
        <v>44538</v>
      </c>
      <c r="R1042" t="s">
        <v>27253</v>
      </c>
      <c r="S1042" t="s">
        <v>27254</v>
      </c>
      <c r="T1042" t="s">
        <v>27255</v>
      </c>
    </row>
    <row r="1043" spans="1:20" x14ac:dyDescent="0.3">
      <c r="A1043" t="str">
        <f>"0611831413100"</f>
        <v>0611831413100</v>
      </c>
      <c r="B1043" t="str">
        <f>"LK6853"</f>
        <v>LK6853</v>
      </c>
      <c r="C1043" t="s">
        <v>29255</v>
      </c>
      <c r="D1043" t="s">
        <v>27245</v>
      </c>
      <c r="E1043" t="str">
        <f t="shared" si="16"/>
        <v>001390</v>
      </c>
      <c r="F1043" t="s">
        <v>27246</v>
      </c>
      <c r="G1043" t="s">
        <v>27247</v>
      </c>
      <c r="H1043" t="s">
        <v>27248</v>
      </c>
      <c r="I1043" t="s">
        <v>29256</v>
      </c>
      <c r="J1043" t="s">
        <v>2092</v>
      </c>
      <c r="L1043" t="s">
        <v>27250</v>
      </c>
      <c r="M1043" t="s">
        <v>27251</v>
      </c>
      <c r="N1043" t="s">
        <v>27252</v>
      </c>
      <c r="Q1043" s="1">
        <v>44538</v>
      </c>
      <c r="R1043" t="s">
        <v>27253</v>
      </c>
      <c r="S1043" t="s">
        <v>27254</v>
      </c>
      <c r="T1043" t="s">
        <v>27255</v>
      </c>
    </row>
    <row r="1044" spans="1:20" x14ac:dyDescent="0.3">
      <c r="A1044" t="str">
        <f>"0611831414100"</f>
        <v>0611831414100</v>
      </c>
      <c r="B1044" t="str">
        <f>"LK6854"</f>
        <v>LK6854</v>
      </c>
      <c r="C1044" t="s">
        <v>29257</v>
      </c>
      <c r="D1044" t="s">
        <v>27245</v>
      </c>
      <c r="E1044" t="str">
        <f t="shared" si="16"/>
        <v>001390</v>
      </c>
      <c r="F1044" t="s">
        <v>27246</v>
      </c>
      <c r="G1044" t="s">
        <v>27247</v>
      </c>
      <c r="H1044" t="s">
        <v>27248</v>
      </c>
      <c r="I1044" t="s">
        <v>29258</v>
      </c>
      <c r="J1044" t="s">
        <v>2094</v>
      </c>
      <c r="L1044" t="s">
        <v>27250</v>
      </c>
      <c r="M1044" t="s">
        <v>27251</v>
      </c>
      <c r="N1044" t="s">
        <v>27252</v>
      </c>
      <c r="Q1044" s="1">
        <v>44538</v>
      </c>
      <c r="R1044" t="s">
        <v>27253</v>
      </c>
      <c r="S1044" t="s">
        <v>27254</v>
      </c>
      <c r="T1044" t="s">
        <v>27255</v>
      </c>
    </row>
    <row r="1045" spans="1:20" x14ac:dyDescent="0.3">
      <c r="A1045" t="str">
        <f>"0611831415100"</f>
        <v>0611831415100</v>
      </c>
      <c r="B1045" t="str">
        <f>"LK6855"</f>
        <v>LK6855</v>
      </c>
      <c r="C1045" t="s">
        <v>29259</v>
      </c>
      <c r="D1045" t="s">
        <v>27245</v>
      </c>
      <c r="E1045" t="str">
        <f t="shared" si="16"/>
        <v>001390</v>
      </c>
      <c r="F1045" t="s">
        <v>27246</v>
      </c>
      <c r="G1045" t="s">
        <v>27247</v>
      </c>
      <c r="H1045" t="s">
        <v>27248</v>
      </c>
      <c r="I1045" t="s">
        <v>29260</v>
      </c>
      <c r="J1045" t="s">
        <v>2096</v>
      </c>
      <c r="L1045" t="s">
        <v>27250</v>
      </c>
      <c r="M1045" t="s">
        <v>27251</v>
      </c>
      <c r="N1045" t="s">
        <v>27252</v>
      </c>
      <c r="Q1045" s="1">
        <v>44538</v>
      </c>
      <c r="R1045" t="s">
        <v>27253</v>
      </c>
      <c r="S1045" t="s">
        <v>27254</v>
      </c>
      <c r="T1045" t="s">
        <v>27255</v>
      </c>
    </row>
    <row r="1046" spans="1:20" x14ac:dyDescent="0.3">
      <c r="A1046" t="str">
        <f>"0611831416100"</f>
        <v>0611831416100</v>
      </c>
      <c r="B1046" t="str">
        <f>"LK6856"</f>
        <v>LK6856</v>
      </c>
      <c r="C1046" t="s">
        <v>29261</v>
      </c>
      <c r="D1046" t="s">
        <v>27245</v>
      </c>
      <c r="E1046" t="str">
        <f t="shared" si="16"/>
        <v>001390</v>
      </c>
      <c r="F1046" t="s">
        <v>27246</v>
      </c>
      <c r="G1046" t="s">
        <v>27247</v>
      </c>
      <c r="H1046" t="s">
        <v>27248</v>
      </c>
      <c r="I1046" t="s">
        <v>29262</v>
      </c>
      <c r="J1046" t="s">
        <v>2098</v>
      </c>
      <c r="L1046" t="s">
        <v>27250</v>
      </c>
      <c r="M1046" t="s">
        <v>27251</v>
      </c>
      <c r="N1046" t="s">
        <v>27252</v>
      </c>
      <c r="Q1046" s="1">
        <v>44538</v>
      </c>
      <c r="R1046" t="s">
        <v>27253</v>
      </c>
      <c r="S1046" t="s">
        <v>27254</v>
      </c>
      <c r="T1046" t="s">
        <v>27255</v>
      </c>
    </row>
    <row r="1047" spans="1:20" x14ac:dyDescent="0.3">
      <c r="A1047" t="str">
        <f>"0611831417100"</f>
        <v>0611831417100</v>
      </c>
      <c r="B1047" t="str">
        <f>"LK6857"</f>
        <v>LK6857</v>
      </c>
      <c r="C1047" t="s">
        <v>29263</v>
      </c>
      <c r="D1047" t="s">
        <v>27245</v>
      </c>
      <c r="E1047" t="str">
        <f t="shared" si="16"/>
        <v>001390</v>
      </c>
      <c r="F1047" t="s">
        <v>27246</v>
      </c>
      <c r="G1047" t="s">
        <v>27247</v>
      </c>
      <c r="H1047" t="s">
        <v>27248</v>
      </c>
      <c r="I1047" t="s">
        <v>29264</v>
      </c>
      <c r="J1047" t="s">
        <v>2100</v>
      </c>
      <c r="L1047" t="s">
        <v>27250</v>
      </c>
      <c r="M1047" t="s">
        <v>27251</v>
      </c>
      <c r="N1047" t="s">
        <v>27252</v>
      </c>
      <c r="Q1047" s="1">
        <v>44538</v>
      </c>
      <c r="R1047" t="s">
        <v>27253</v>
      </c>
      <c r="S1047" t="s">
        <v>27254</v>
      </c>
      <c r="T1047" t="s">
        <v>27255</v>
      </c>
    </row>
    <row r="1048" spans="1:20" x14ac:dyDescent="0.3">
      <c r="A1048" t="str">
        <f>"0611831418100"</f>
        <v>0611831418100</v>
      </c>
      <c r="B1048" t="str">
        <f>"LK4442"</f>
        <v>LK4442</v>
      </c>
      <c r="C1048" t="s">
        <v>29265</v>
      </c>
      <c r="D1048" t="s">
        <v>27245</v>
      </c>
      <c r="E1048" t="str">
        <f t="shared" si="16"/>
        <v>001390</v>
      </c>
      <c r="F1048" t="s">
        <v>27246</v>
      </c>
      <c r="G1048" t="s">
        <v>27247</v>
      </c>
      <c r="H1048" t="s">
        <v>27248</v>
      </c>
      <c r="I1048" t="s">
        <v>29266</v>
      </c>
      <c r="J1048" t="s">
        <v>2102</v>
      </c>
      <c r="L1048" t="s">
        <v>27250</v>
      </c>
      <c r="M1048" t="s">
        <v>27251</v>
      </c>
      <c r="N1048" t="s">
        <v>27252</v>
      </c>
      <c r="Q1048" s="1">
        <v>44538</v>
      </c>
      <c r="R1048" t="s">
        <v>27253</v>
      </c>
      <c r="S1048" t="s">
        <v>27254</v>
      </c>
      <c r="T1048" t="s">
        <v>27255</v>
      </c>
    </row>
    <row r="1049" spans="1:20" x14ac:dyDescent="0.3">
      <c r="A1049" t="str">
        <f>"0611831419100"</f>
        <v>0611831419100</v>
      </c>
      <c r="B1049" t="str">
        <f>"LB0895"</f>
        <v>LB0895</v>
      </c>
      <c r="C1049" t="s">
        <v>29267</v>
      </c>
      <c r="D1049" t="s">
        <v>27245</v>
      </c>
      <c r="E1049" t="str">
        <f t="shared" si="16"/>
        <v>001390</v>
      </c>
      <c r="F1049" t="s">
        <v>27246</v>
      </c>
      <c r="G1049" t="s">
        <v>27247</v>
      </c>
      <c r="H1049" t="s">
        <v>27248</v>
      </c>
      <c r="I1049" t="s">
        <v>29268</v>
      </c>
      <c r="J1049" t="s">
        <v>2104</v>
      </c>
      <c r="L1049" t="s">
        <v>27250</v>
      </c>
      <c r="M1049" t="s">
        <v>27251</v>
      </c>
      <c r="N1049" t="s">
        <v>27252</v>
      </c>
      <c r="Q1049" s="1">
        <v>44538</v>
      </c>
      <c r="R1049" t="s">
        <v>27253</v>
      </c>
      <c r="S1049" t="s">
        <v>27254</v>
      </c>
      <c r="T1049" t="s">
        <v>27255</v>
      </c>
    </row>
    <row r="1050" spans="1:20" x14ac:dyDescent="0.3">
      <c r="A1050" t="str">
        <f>"0611831420100"</f>
        <v>0611831420100</v>
      </c>
      <c r="B1050" t="str">
        <f>"LB0896"</f>
        <v>LB0896</v>
      </c>
      <c r="C1050" t="s">
        <v>29269</v>
      </c>
      <c r="D1050" t="s">
        <v>27245</v>
      </c>
      <c r="E1050" t="str">
        <f t="shared" si="16"/>
        <v>001390</v>
      </c>
      <c r="F1050" t="s">
        <v>27246</v>
      </c>
      <c r="G1050" t="s">
        <v>27247</v>
      </c>
      <c r="H1050" t="s">
        <v>27248</v>
      </c>
      <c r="I1050" t="s">
        <v>29270</v>
      </c>
      <c r="J1050" t="s">
        <v>2106</v>
      </c>
      <c r="L1050" t="s">
        <v>27250</v>
      </c>
      <c r="M1050" t="s">
        <v>27251</v>
      </c>
      <c r="N1050" t="s">
        <v>27252</v>
      </c>
      <c r="Q1050" s="1">
        <v>44538</v>
      </c>
      <c r="R1050" t="s">
        <v>27253</v>
      </c>
      <c r="S1050" t="s">
        <v>27254</v>
      </c>
      <c r="T1050" t="s">
        <v>27255</v>
      </c>
    </row>
    <row r="1051" spans="1:20" x14ac:dyDescent="0.3">
      <c r="A1051" t="str">
        <f>"0611831421100"</f>
        <v>0611831421100</v>
      </c>
      <c r="B1051" t="str">
        <f>"LB9554"</f>
        <v>LB9554</v>
      </c>
      <c r="C1051" t="s">
        <v>29271</v>
      </c>
      <c r="D1051" t="s">
        <v>27245</v>
      </c>
      <c r="E1051" t="str">
        <f t="shared" si="16"/>
        <v>001390</v>
      </c>
      <c r="F1051" t="s">
        <v>27246</v>
      </c>
      <c r="G1051" t="s">
        <v>27247</v>
      </c>
      <c r="H1051" t="s">
        <v>27248</v>
      </c>
      <c r="I1051" t="s">
        <v>29272</v>
      </c>
      <c r="J1051" t="s">
        <v>2108</v>
      </c>
      <c r="L1051" t="s">
        <v>27250</v>
      </c>
      <c r="M1051" t="s">
        <v>27251</v>
      </c>
      <c r="N1051" t="s">
        <v>27252</v>
      </c>
      <c r="Q1051" s="1">
        <v>44538</v>
      </c>
      <c r="R1051" t="s">
        <v>27253</v>
      </c>
      <c r="S1051" t="s">
        <v>27254</v>
      </c>
      <c r="T1051" t="s">
        <v>27255</v>
      </c>
    </row>
    <row r="1052" spans="1:20" x14ac:dyDescent="0.3">
      <c r="A1052" t="str">
        <f>"0611831422100"</f>
        <v>0611831422100</v>
      </c>
      <c r="B1052" t="str">
        <f>"LB0898"</f>
        <v>LB0898</v>
      </c>
      <c r="C1052" t="s">
        <v>29273</v>
      </c>
      <c r="D1052" t="s">
        <v>27245</v>
      </c>
      <c r="E1052" t="str">
        <f t="shared" si="16"/>
        <v>001390</v>
      </c>
      <c r="F1052" t="s">
        <v>27246</v>
      </c>
      <c r="G1052" t="s">
        <v>27247</v>
      </c>
      <c r="H1052" t="s">
        <v>27248</v>
      </c>
      <c r="I1052" t="s">
        <v>29274</v>
      </c>
      <c r="J1052" t="s">
        <v>2110</v>
      </c>
      <c r="L1052" t="s">
        <v>27250</v>
      </c>
      <c r="M1052" t="s">
        <v>27251</v>
      </c>
      <c r="N1052" t="s">
        <v>27252</v>
      </c>
      <c r="Q1052" s="1">
        <v>44538</v>
      </c>
      <c r="R1052" t="s">
        <v>27253</v>
      </c>
      <c r="S1052" t="s">
        <v>27254</v>
      </c>
      <c r="T1052" t="s">
        <v>27255</v>
      </c>
    </row>
    <row r="1053" spans="1:20" x14ac:dyDescent="0.3">
      <c r="A1053" t="str">
        <f>"0611831423100"</f>
        <v>0611831423100</v>
      </c>
      <c r="B1053" t="str">
        <f>"LB0899"</f>
        <v>LB0899</v>
      </c>
      <c r="C1053" t="s">
        <v>29275</v>
      </c>
      <c r="D1053" t="s">
        <v>27245</v>
      </c>
      <c r="E1053" t="str">
        <f t="shared" si="16"/>
        <v>001390</v>
      </c>
      <c r="F1053" t="s">
        <v>27246</v>
      </c>
      <c r="G1053" t="s">
        <v>27247</v>
      </c>
      <c r="H1053" t="s">
        <v>27248</v>
      </c>
      <c r="I1053" t="s">
        <v>29276</v>
      </c>
      <c r="J1053" t="s">
        <v>2112</v>
      </c>
      <c r="L1053" t="s">
        <v>27250</v>
      </c>
      <c r="M1053" t="s">
        <v>27251</v>
      </c>
      <c r="N1053" t="s">
        <v>27252</v>
      </c>
      <c r="Q1053" s="1">
        <v>44538</v>
      </c>
      <c r="R1053" t="s">
        <v>27253</v>
      </c>
      <c r="S1053" t="s">
        <v>27254</v>
      </c>
      <c r="T1053" t="s">
        <v>27255</v>
      </c>
    </row>
    <row r="1054" spans="1:20" x14ac:dyDescent="0.3">
      <c r="A1054" t="str">
        <f>"0611831424100"</f>
        <v>0611831424100</v>
      </c>
      <c r="B1054" t="str">
        <f>"MB0760"</f>
        <v>MB0760</v>
      </c>
      <c r="C1054" t="s">
        <v>29277</v>
      </c>
      <c r="D1054" t="s">
        <v>27274</v>
      </c>
      <c r="E1054" t="str">
        <f t="shared" si="16"/>
        <v>001390</v>
      </c>
      <c r="F1054" t="s">
        <v>27246</v>
      </c>
      <c r="G1054" t="s">
        <v>27247</v>
      </c>
      <c r="H1054" t="s">
        <v>27248</v>
      </c>
      <c r="I1054" t="s">
        <v>29278</v>
      </c>
      <c r="J1054" t="s">
        <v>2114</v>
      </c>
      <c r="L1054" t="s">
        <v>27250</v>
      </c>
      <c r="M1054" t="s">
        <v>27251</v>
      </c>
      <c r="N1054" t="s">
        <v>27252</v>
      </c>
      <c r="Q1054" s="1">
        <v>44538</v>
      </c>
      <c r="R1054" t="s">
        <v>27253</v>
      </c>
      <c r="S1054" t="s">
        <v>27254</v>
      </c>
      <c r="T1054" t="s">
        <v>27276</v>
      </c>
    </row>
    <row r="1055" spans="1:20" x14ac:dyDescent="0.3">
      <c r="A1055" t="str">
        <f>"0611831425100"</f>
        <v>0611831425100</v>
      </c>
      <c r="B1055" t="str">
        <f>"LG0771"</f>
        <v>LG0771</v>
      </c>
      <c r="C1055" t="s">
        <v>29277</v>
      </c>
      <c r="D1055" t="s">
        <v>27245</v>
      </c>
      <c r="E1055" t="str">
        <f t="shared" si="16"/>
        <v>001390</v>
      </c>
      <c r="F1055" t="s">
        <v>27246</v>
      </c>
      <c r="G1055" t="s">
        <v>27247</v>
      </c>
      <c r="H1055" t="s">
        <v>27248</v>
      </c>
      <c r="I1055" t="s">
        <v>29279</v>
      </c>
      <c r="J1055" t="s">
        <v>2116</v>
      </c>
      <c r="L1055" t="s">
        <v>27250</v>
      </c>
      <c r="M1055" t="s">
        <v>27251</v>
      </c>
      <c r="N1055" t="s">
        <v>27252</v>
      </c>
      <c r="Q1055" s="1">
        <v>44538</v>
      </c>
      <c r="R1055" t="s">
        <v>27253</v>
      </c>
      <c r="S1055" t="s">
        <v>27254</v>
      </c>
      <c r="T1055" t="s">
        <v>27255</v>
      </c>
    </row>
    <row r="1056" spans="1:20" x14ac:dyDescent="0.3">
      <c r="A1056" t="str">
        <f>"0611856834100"</f>
        <v>0611856834100</v>
      </c>
      <c r="B1056" t="str">
        <f>"LK7070"</f>
        <v>LK7070</v>
      </c>
      <c r="C1056" t="s">
        <v>29280</v>
      </c>
      <c r="D1056" t="s">
        <v>27245</v>
      </c>
      <c r="E1056" t="str">
        <f t="shared" si="16"/>
        <v>001390</v>
      </c>
      <c r="F1056" t="s">
        <v>27246</v>
      </c>
      <c r="G1056" t="s">
        <v>27247</v>
      </c>
      <c r="H1056" t="s">
        <v>27248</v>
      </c>
      <c r="I1056" t="s">
        <v>29281</v>
      </c>
      <c r="J1056" t="s">
        <v>2118</v>
      </c>
      <c r="L1056" t="s">
        <v>27250</v>
      </c>
      <c r="M1056" t="s">
        <v>27251</v>
      </c>
      <c r="N1056" t="s">
        <v>27252</v>
      </c>
      <c r="Q1056" s="1">
        <v>44812</v>
      </c>
      <c r="R1056" t="s">
        <v>27253</v>
      </c>
      <c r="S1056" t="s">
        <v>27254</v>
      </c>
      <c r="T1056" t="s">
        <v>27255</v>
      </c>
    </row>
    <row r="1057" spans="1:20" x14ac:dyDescent="0.3">
      <c r="A1057" t="str">
        <f>"0611856835100"</f>
        <v>0611856835100</v>
      </c>
      <c r="B1057" t="str">
        <f>"LK7071"</f>
        <v>LK7071</v>
      </c>
      <c r="C1057" t="s">
        <v>29282</v>
      </c>
      <c r="D1057" t="s">
        <v>27245</v>
      </c>
      <c r="E1057" t="str">
        <f t="shared" si="16"/>
        <v>001390</v>
      </c>
      <c r="F1057" t="s">
        <v>27246</v>
      </c>
      <c r="G1057" t="s">
        <v>27247</v>
      </c>
      <c r="H1057" t="s">
        <v>27248</v>
      </c>
      <c r="I1057" t="s">
        <v>29283</v>
      </c>
      <c r="J1057" t="s">
        <v>2120</v>
      </c>
      <c r="L1057" t="s">
        <v>27250</v>
      </c>
      <c r="M1057" t="s">
        <v>27251</v>
      </c>
      <c r="N1057" t="s">
        <v>27252</v>
      </c>
      <c r="Q1057" s="1">
        <v>44812</v>
      </c>
      <c r="R1057" t="s">
        <v>27253</v>
      </c>
      <c r="S1057" t="s">
        <v>27254</v>
      </c>
      <c r="T1057" t="s">
        <v>27255</v>
      </c>
    </row>
    <row r="1058" spans="1:20" x14ac:dyDescent="0.3">
      <c r="A1058" t="str">
        <f>"0611856836100"</f>
        <v>0611856836100</v>
      </c>
      <c r="B1058" t="str">
        <f>"LK7072"</f>
        <v>LK7072</v>
      </c>
      <c r="C1058" t="s">
        <v>29284</v>
      </c>
      <c r="D1058" t="s">
        <v>27245</v>
      </c>
      <c r="E1058" t="str">
        <f t="shared" si="16"/>
        <v>001390</v>
      </c>
      <c r="F1058" t="s">
        <v>27246</v>
      </c>
      <c r="G1058" t="s">
        <v>27247</v>
      </c>
      <c r="H1058" t="s">
        <v>27248</v>
      </c>
      <c r="I1058" t="s">
        <v>29285</v>
      </c>
      <c r="J1058" t="s">
        <v>2122</v>
      </c>
      <c r="L1058" t="s">
        <v>27250</v>
      </c>
      <c r="M1058" t="s">
        <v>27251</v>
      </c>
      <c r="N1058" t="s">
        <v>27252</v>
      </c>
      <c r="Q1058" s="1">
        <v>44812</v>
      </c>
      <c r="R1058" t="s">
        <v>27253</v>
      </c>
      <c r="S1058" t="s">
        <v>27254</v>
      </c>
      <c r="T1058" t="s">
        <v>27255</v>
      </c>
    </row>
    <row r="1059" spans="1:20" x14ac:dyDescent="0.3">
      <c r="A1059" t="str">
        <f>"0611856837100"</f>
        <v>0611856837100</v>
      </c>
      <c r="B1059" t="str">
        <f>"LK7073"</f>
        <v>LK7073</v>
      </c>
      <c r="C1059" t="s">
        <v>29286</v>
      </c>
      <c r="D1059" t="s">
        <v>27245</v>
      </c>
      <c r="E1059" t="str">
        <f t="shared" si="16"/>
        <v>001390</v>
      </c>
      <c r="F1059" t="s">
        <v>27246</v>
      </c>
      <c r="G1059" t="s">
        <v>27247</v>
      </c>
      <c r="H1059" t="s">
        <v>27248</v>
      </c>
      <c r="I1059" t="s">
        <v>29287</v>
      </c>
      <c r="J1059" t="s">
        <v>2124</v>
      </c>
      <c r="L1059" t="s">
        <v>27250</v>
      </c>
      <c r="M1059" t="s">
        <v>27251</v>
      </c>
      <c r="N1059" t="s">
        <v>27252</v>
      </c>
      <c r="Q1059" s="1">
        <v>44812</v>
      </c>
      <c r="R1059" t="s">
        <v>27253</v>
      </c>
      <c r="S1059" t="s">
        <v>27254</v>
      </c>
      <c r="T1059" t="s">
        <v>27255</v>
      </c>
    </row>
    <row r="1060" spans="1:20" x14ac:dyDescent="0.3">
      <c r="A1060" t="str">
        <f>"0611884028100"</f>
        <v>0611884028100</v>
      </c>
      <c r="B1060" t="str">
        <f>"LK7124"</f>
        <v>LK7124</v>
      </c>
      <c r="C1060" t="s">
        <v>29288</v>
      </c>
      <c r="D1060" t="s">
        <v>27245</v>
      </c>
      <c r="E1060" t="str">
        <f t="shared" si="16"/>
        <v>001390</v>
      </c>
      <c r="F1060" t="s">
        <v>27246</v>
      </c>
      <c r="G1060" t="s">
        <v>27247</v>
      </c>
      <c r="H1060" t="s">
        <v>27248</v>
      </c>
      <c r="I1060" t="s">
        <v>29289</v>
      </c>
      <c r="J1060" t="s">
        <v>2126</v>
      </c>
      <c r="L1060" t="s">
        <v>27430</v>
      </c>
      <c r="M1060" t="s">
        <v>27251</v>
      </c>
      <c r="N1060" t="s">
        <v>27252</v>
      </c>
      <c r="Q1060" s="1">
        <v>45250</v>
      </c>
      <c r="R1060" t="s">
        <v>27253</v>
      </c>
      <c r="S1060" t="s">
        <v>27254</v>
      </c>
      <c r="T1060" t="s">
        <v>27255</v>
      </c>
    </row>
    <row r="1061" spans="1:20" x14ac:dyDescent="0.3">
      <c r="A1061" t="str">
        <f>"0611860610050"</f>
        <v>0611860610050</v>
      </c>
      <c r="B1061" t="str">
        <f>"CR5128"</f>
        <v>CR5128</v>
      </c>
      <c r="C1061" t="s">
        <v>29290</v>
      </c>
      <c r="D1061" t="s">
        <v>27271</v>
      </c>
      <c r="E1061" t="str">
        <f t="shared" si="16"/>
        <v>001390</v>
      </c>
      <c r="F1061" t="s">
        <v>27246</v>
      </c>
      <c r="G1061" t="s">
        <v>27247</v>
      </c>
      <c r="H1061" t="s">
        <v>27248</v>
      </c>
      <c r="I1061" t="s">
        <v>29291</v>
      </c>
      <c r="J1061" t="s">
        <v>2128</v>
      </c>
      <c r="L1061" t="s">
        <v>27250</v>
      </c>
      <c r="M1061" t="s">
        <v>27251</v>
      </c>
      <c r="N1061" t="s">
        <v>27252</v>
      </c>
      <c r="P1061" t="s">
        <v>27341</v>
      </c>
      <c r="Q1061" s="1">
        <v>44846</v>
      </c>
      <c r="R1061" t="s">
        <v>27253</v>
      </c>
      <c r="S1061" t="s">
        <v>27254</v>
      </c>
      <c r="T1061" t="s">
        <v>27265</v>
      </c>
    </row>
    <row r="1062" spans="1:20" x14ac:dyDescent="0.3">
      <c r="A1062" t="str">
        <f>"0611860611050"</f>
        <v>0611860611050</v>
      </c>
      <c r="B1062" t="str">
        <f>"CR4777"</f>
        <v>CR4777</v>
      </c>
      <c r="C1062" t="s">
        <v>29292</v>
      </c>
      <c r="D1062" t="s">
        <v>27271</v>
      </c>
      <c r="E1062" t="str">
        <f t="shared" si="16"/>
        <v>001390</v>
      </c>
      <c r="F1062" t="s">
        <v>27246</v>
      </c>
      <c r="G1062" t="s">
        <v>27247</v>
      </c>
      <c r="H1062" t="s">
        <v>27248</v>
      </c>
      <c r="I1062" t="s">
        <v>29293</v>
      </c>
      <c r="J1062" t="s">
        <v>2130</v>
      </c>
      <c r="L1062" t="s">
        <v>27250</v>
      </c>
      <c r="M1062" t="s">
        <v>27251</v>
      </c>
      <c r="N1062" t="s">
        <v>27252</v>
      </c>
      <c r="P1062" t="s">
        <v>27341</v>
      </c>
      <c r="Q1062" s="1">
        <v>44846</v>
      </c>
      <c r="R1062" t="s">
        <v>27253</v>
      </c>
      <c r="S1062" t="s">
        <v>27254</v>
      </c>
      <c r="T1062" t="s">
        <v>27265</v>
      </c>
    </row>
    <row r="1063" spans="1:20" x14ac:dyDescent="0.3">
      <c r="A1063" t="str">
        <f>"0611860612050"</f>
        <v>0611860612050</v>
      </c>
      <c r="B1063" t="str">
        <f>"CR4778"</f>
        <v>CR4778</v>
      </c>
      <c r="C1063" t="s">
        <v>29294</v>
      </c>
      <c r="D1063" t="s">
        <v>27271</v>
      </c>
      <c r="E1063" t="str">
        <f t="shared" si="16"/>
        <v>001390</v>
      </c>
      <c r="F1063" t="s">
        <v>27246</v>
      </c>
      <c r="G1063" t="s">
        <v>27247</v>
      </c>
      <c r="H1063" t="s">
        <v>27248</v>
      </c>
      <c r="I1063" t="s">
        <v>29295</v>
      </c>
      <c r="J1063" t="s">
        <v>2132</v>
      </c>
      <c r="L1063" t="s">
        <v>27250</v>
      </c>
      <c r="M1063" t="s">
        <v>27251</v>
      </c>
      <c r="N1063" t="s">
        <v>27252</v>
      </c>
      <c r="P1063" t="s">
        <v>27341</v>
      </c>
      <c r="Q1063" s="1">
        <v>44846</v>
      </c>
      <c r="R1063" t="s">
        <v>27253</v>
      </c>
      <c r="S1063" t="s">
        <v>27254</v>
      </c>
      <c r="T1063" t="s">
        <v>27265</v>
      </c>
    </row>
    <row r="1064" spans="1:20" x14ac:dyDescent="0.3">
      <c r="A1064" t="str">
        <f>"0611860613050"</f>
        <v>0611860613050</v>
      </c>
      <c r="B1064" t="str">
        <f>"CR4776"</f>
        <v>CR4776</v>
      </c>
      <c r="C1064" t="s">
        <v>29296</v>
      </c>
      <c r="D1064" t="s">
        <v>27271</v>
      </c>
      <c r="E1064" t="str">
        <f t="shared" si="16"/>
        <v>001390</v>
      </c>
      <c r="F1064" t="s">
        <v>27246</v>
      </c>
      <c r="G1064" t="s">
        <v>27247</v>
      </c>
      <c r="H1064" t="s">
        <v>27248</v>
      </c>
      <c r="I1064" t="s">
        <v>29297</v>
      </c>
      <c r="J1064" t="s">
        <v>2134</v>
      </c>
      <c r="L1064" t="s">
        <v>27250</v>
      </c>
      <c r="M1064" t="s">
        <v>27251</v>
      </c>
      <c r="N1064" t="s">
        <v>27252</v>
      </c>
      <c r="P1064" t="s">
        <v>27341</v>
      </c>
      <c r="Q1064" s="1">
        <v>44846</v>
      </c>
      <c r="R1064" t="s">
        <v>27253</v>
      </c>
      <c r="S1064" t="s">
        <v>27254</v>
      </c>
      <c r="T1064" t="s">
        <v>27265</v>
      </c>
    </row>
    <row r="1065" spans="1:20" x14ac:dyDescent="0.3">
      <c r="A1065" t="str">
        <f>"0611860614050"</f>
        <v>0611860614050</v>
      </c>
      <c r="B1065" t="str">
        <f>"CR4775"</f>
        <v>CR4775</v>
      </c>
      <c r="C1065" t="s">
        <v>29298</v>
      </c>
      <c r="D1065" t="s">
        <v>27271</v>
      </c>
      <c r="E1065" t="str">
        <f t="shared" si="16"/>
        <v>001390</v>
      </c>
      <c r="F1065" t="s">
        <v>27246</v>
      </c>
      <c r="G1065" t="s">
        <v>27247</v>
      </c>
      <c r="H1065" t="s">
        <v>27248</v>
      </c>
      <c r="I1065" t="s">
        <v>29299</v>
      </c>
      <c r="J1065" t="s">
        <v>2136</v>
      </c>
      <c r="L1065" t="s">
        <v>27250</v>
      </c>
      <c r="M1065" t="s">
        <v>27251</v>
      </c>
      <c r="N1065" t="s">
        <v>27252</v>
      </c>
      <c r="P1065" t="s">
        <v>27341</v>
      </c>
      <c r="Q1065" s="1">
        <v>44846</v>
      </c>
      <c r="R1065" t="s">
        <v>27253</v>
      </c>
      <c r="S1065" t="s">
        <v>27254</v>
      </c>
      <c r="T1065" t="s">
        <v>27265</v>
      </c>
    </row>
    <row r="1066" spans="1:20" x14ac:dyDescent="0.3">
      <c r="A1066" t="str">
        <f>"0611860615050"</f>
        <v>0611860615050</v>
      </c>
      <c r="B1066" t="str">
        <f>"CR2046"</f>
        <v>CR2046</v>
      </c>
      <c r="C1066" t="s">
        <v>29300</v>
      </c>
      <c r="D1066" t="s">
        <v>27271</v>
      </c>
      <c r="E1066" t="str">
        <f t="shared" si="16"/>
        <v>001390</v>
      </c>
      <c r="F1066" t="s">
        <v>27246</v>
      </c>
      <c r="G1066" t="s">
        <v>27247</v>
      </c>
      <c r="H1066" t="s">
        <v>27248</v>
      </c>
      <c r="I1066" t="s">
        <v>29301</v>
      </c>
      <c r="J1066" t="s">
        <v>2138</v>
      </c>
      <c r="L1066" t="s">
        <v>27250</v>
      </c>
      <c r="M1066" t="s">
        <v>27251</v>
      </c>
      <c r="N1066" t="s">
        <v>27252</v>
      </c>
      <c r="P1066" t="s">
        <v>27341</v>
      </c>
      <c r="Q1066" s="1">
        <v>44846</v>
      </c>
      <c r="R1066" t="s">
        <v>27253</v>
      </c>
      <c r="S1066" t="s">
        <v>27254</v>
      </c>
      <c r="T1066" t="s">
        <v>27265</v>
      </c>
    </row>
    <row r="1067" spans="1:20" x14ac:dyDescent="0.3">
      <c r="A1067" t="str">
        <f>"0611884029050"</f>
        <v>0611884029050</v>
      </c>
      <c r="B1067" t="str">
        <f>"CR5345"</f>
        <v>CR5345</v>
      </c>
      <c r="C1067" t="s">
        <v>29302</v>
      </c>
      <c r="D1067" t="s">
        <v>27263</v>
      </c>
      <c r="E1067" t="str">
        <f t="shared" si="16"/>
        <v>001390</v>
      </c>
      <c r="F1067" t="s">
        <v>27246</v>
      </c>
      <c r="G1067" t="s">
        <v>27247</v>
      </c>
      <c r="H1067" t="s">
        <v>27248</v>
      </c>
      <c r="I1067" t="s">
        <v>29303</v>
      </c>
      <c r="J1067" t="s">
        <v>2142</v>
      </c>
      <c r="L1067" t="s">
        <v>27430</v>
      </c>
      <c r="M1067" t="s">
        <v>27251</v>
      </c>
      <c r="N1067" t="s">
        <v>27252</v>
      </c>
      <c r="Q1067" s="1">
        <v>45250</v>
      </c>
      <c r="R1067" t="s">
        <v>27253</v>
      </c>
      <c r="S1067" t="s">
        <v>27254</v>
      </c>
      <c r="T1067" t="s">
        <v>27265</v>
      </c>
    </row>
    <row r="1068" spans="1:20" x14ac:dyDescent="0.3">
      <c r="A1068" t="str">
        <f>"0611860616050"</f>
        <v>0611860616050</v>
      </c>
      <c r="B1068" t="str">
        <f>"CR5251"</f>
        <v>CR5251</v>
      </c>
      <c r="C1068" t="s">
        <v>29304</v>
      </c>
      <c r="D1068" t="s">
        <v>27271</v>
      </c>
      <c r="E1068" t="str">
        <f t="shared" si="16"/>
        <v>001390</v>
      </c>
      <c r="F1068" t="s">
        <v>27246</v>
      </c>
      <c r="G1068" t="s">
        <v>27247</v>
      </c>
      <c r="H1068" t="s">
        <v>27248</v>
      </c>
      <c r="I1068" t="s">
        <v>29305</v>
      </c>
      <c r="J1068" t="s">
        <v>2140</v>
      </c>
      <c r="L1068" t="s">
        <v>27250</v>
      </c>
      <c r="M1068" t="s">
        <v>27251</v>
      </c>
      <c r="N1068" t="s">
        <v>27252</v>
      </c>
      <c r="P1068" t="s">
        <v>27341</v>
      </c>
      <c r="Q1068" s="1">
        <v>44846</v>
      </c>
      <c r="R1068" t="s">
        <v>27253</v>
      </c>
      <c r="S1068" t="s">
        <v>27254</v>
      </c>
      <c r="T1068" t="s">
        <v>27265</v>
      </c>
    </row>
    <row r="1069" spans="1:20" x14ac:dyDescent="0.3">
      <c r="A1069" t="str">
        <f>"0611860617050"</f>
        <v>0611860617050</v>
      </c>
      <c r="B1069" t="str">
        <f>"CR5126"</f>
        <v>CR5126</v>
      </c>
      <c r="C1069" t="s">
        <v>29306</v>
      </c>
      <c r="D1069" t="s">
        <v>27271</v>
      </c>
      <c r="E1069" t="str">
        <f t="shared" si="16"/>
        <v>001390</v>
      </c>
      <c r="F1069" t="s">
        <v>27246</v>
      </c>
      <c r="G1069" t="s">
        <v>27247</v>
      </c>
      <c r="H1069" t="s">
        <v>27248</v>
      </c>
      <c r="I1069" t="s">
        <v>29307</v>
      </c>
      <c r="J1069" t="s">
        <v>2144</v>
      </c>
      <c r="L1069" t="s">
        <v>27250</v>
      </c>
      <c r="M1069" t="s">
        <v>27251</v>
      </c>
      <c r="N1069" t="s">
        <v>27252</v>
      </c>
      <c r="P1069" t="s">
        <v>27341</v>
      </c>
      <c r="Q1069" s="1">
        <v>44846</v>
      </c>
      <c r="R1069" t="s">
        <v>27253</v>
      </c>
      <c r="S1069" t="s">
        <v>27254</v>
      </c>
      <c r="T1069" t="s">
        <v>27265</v>
      </c>
    </row>
    <row r="1070" spans="1:20" x14ac:dyDescent="0.3">
      <c r="A1070" t="str">
        <f>"0611860618050"</f>
        <v>0611860618050</v>
      </c>
      <c r="B1070" t="str">
        <f>"CR4915"</f>
        <v>CR4915</v>
      </c>
      <c r="C1070" t="s">
        <v>29308</v>
      </c>
      <c r="D1070" t="s">
        <v>27271</v>
      </c>
      <c r="E1070" t="str">
        <f t="shared" si="16"/>
        <v>001390</v>
      </c>
      <c r="F1070" t="s">
        <v>27246</v>
      </c>
      <c r="G1070" t="s">
        <v>27247</v>
      </c>
      <c r="H1070" t="s">
        <v>27248</v>
      </c>
      <c r="I1070" t="s">
        <v>29309</v>
      </c>
      <c r="J1070" t="s">
        <v>2146</v>
      </c>
      <c r="L1070" t="s">
        <v>27250</v>
      </c>
      <c r="M1070" t="s">
        <v>27251</v>
      </c>
      <c r="N1070" t="s">
        <v>27252</v>
      </c>
      <c r="P1070" t="s">
        <v>27341</v>
      </c>
      <c r="Q1070" s="1">
        <v>44846</v>
      </c>
      <c r="R1070" t="s">
        <v>27253</v>
      </c>
      <c r="S1070" t="s">
        <v>27254</v>
      </c>
      <c r="T1070" t="s">
        <v>27265</v>
      </c>
    </row>
    <row r="1071" spans="1:20" x14ac:dyDescent="0.3">
      <c r="A1071" t="str">
        <f>"0611860619050"</f>
        <v>0611860619050</v>
      </c>
      <c r="B1071" t="str">
        <f>"CR2047"</f>
        <v>CR2047</v>
      </c>
      <c r="C1071" t="s">
        <v>29310</v>
      </c>
      <c r="D1071" t="s">
        <v>27271</v>
      </c>
      <c r="E1071" t="str">
        <f t="shared" si="16"/>
        <v>001390</v>
      </c>
      <c r="F1071" t="s">
        <v>27246</v>
      </c>
      <c r="G1071" t="s">
        <v>27247</v>
      </c>
      <c r="H1071" t="s">
        <v>27248</v>
      </c>
      <c r="I1071" t="s">
        <v>29311</v>
      </c>
      <c r="J1071" t="s">
        <v>2148</v>
      </c>
      <c r="L1071" t="s">
        <v>27250</v>
      </c>
      <c r="M1071" t="s">
        <v>27251</v>
      </c>
      <c r="N1071" t="s">
        <v>27252</v>
      </c>
      <c r="P1071" t="s">
        <v>27341</v>
      </c>
      <c r="Q1071" s="1">
        <v>44846</v>
      </c>
      <c r="R1071" t="s">
        <v>27253</v>
      </c>
      <c r="S1071" t="s">
        <v>27254</v>
      </c>
      <c r="T1071" t="s">
        <v>27265</v>
      </c>
    </row>
    <row r="1072" spans="1:20" x14ac:dyDescent="0.3">
      <c r="A1072" t="str">
        <f>"0611860620050"</f>
        <v>0611860620050</v>
      </c>
      <c r="B1072" t="str">
        <f>"CR3700"</f>
        <v>CR3700</v>
      </c>
      <c r="C1072" t="s">
        <v>29312</v>
      </c>
      <c r="D1072" t="s">
        <v>27271</v>
      </c>
      <c r="E1072" t="str">
        <f t="shared" si="16"/>
        <v>001390</v>
      </c>
      <c r="F1072" t="s">
        <v>27246</v>
      </c>
      <c r="G1072" t="s">
        <v>27247</v>
      </c>
      <c r="H1072" t="s">
        <v>27248</v>
      </c>
      <c r="I1072" t="s">
        <v>29313</v>
      </c>
      <c r="J1072" t="s">
        <v>2150</v>
      </c>
      <c r="L1072" t="s">
        <v>27250</v>
      </c>
      <c r="M1072" t="s">
        <v>27251</v>
      </c>
      <c r="N1072" t="s">
        <v>27252</v>
      </c>
      <c r="P1072" t="s">
        <v>27341</v>
      </c>
      <c r="Q1072" s="1">
        <v>44846</v>
      </c>
      <c r="R1072" t="s">
        <v>27253</v>
      </c>
      <c r="S1072" t="s">
        <v>27254</v>
      </c>
      <c r="T1072" t="s">
        <v>27265</v>
      </c>
    </row>
    <row r="1073" spans="1:20" x14ac:dyDescent="0.3">
      <c r="A1073" t="str">
        <f>"0611860621050"</f>
        <v>0611860621050</v>
      </c>
      <c r="B1073" t="str">
        <f>"CR4779"</f>
        <v>CR4779</v>
      </c>
      <c r="C1073" t="s">
        <v>29314</v>
      </c>
      <c r="D1073" t="s">
        <v>27271</v>
      </c>
      <c r="E1073" t="str">
        <f t="shared" si="16"/>
        <v>001390</v>
      </c>
      <c r="F1073" t="s">
        <v>27246</v>
      </c>
      <c r="G1073" t="s">
        <v>27247</v>
      </c>
      <c r="H1073" t="s">
        <v>27248</v>
      </c>
      <c r="I1073" t="s">
        <v>29315</v>
      </c>
      <c r="J1073" t="s">
        <v>2152</v>
      </c>
      <c r="L1073" t="s">
        <v>27250</v>
      </c>
      <c r="M1073" t="s">
        <v>27251</v>
      </c>
      <c r="N1073" t="s">
        <v>27252</v>
      </c>
      <c r="P1073" t="s">
        <v>27341</v>
      </c>
      <c r="Q1073" s="1">
        <v>44846</v>
      </c>
      <c r="R1073" t="s">
        <v>27253</v>
      </c>
      <c r="S1073" t="s">
        <v>27254</v>
      </c>
      <c r="T1073" t="s">
        <v>27265</v>
      </c>
    </row>
    <row r="1074" spans="1:20" x14ac:dyDescent="0.3">
      <c r="A1074" t="str">
        <f>"0611860622050"</f>
        <v>0611860622050</v>
      </c>
      <c r="B1074" t="str">
        <f>"CR3583"</f>
        <v>CR3583</v>
      </c>
      <c r="C1074" t="s">
        <v>29316</v>
      </c>
      <c r="D1074" t="s">
        <v>27271</v>
      </c>
      <c r="E1074" t="str">
        <f t="shared" si="16"/>
        <v>001390</v>
      </c>
      <c r="F1074" t="s">
        <v>27246</v>
      </c>
      <c r="G1074" t="s">
        <v>27247</v>
      </c>
      <c r="H1074" t="s">
        <v>27248</v>
      </c>
      <c r="I1074" t="s">
        <v>29317</v>
      </c>
      <c r="J1074" t="s">
        <v>2154</v>
      </c>
      <c r="L1074" t="s">
        <v>27250</v>
      </c>
      <c r="M1074" t="s">
        <v>27251</v>
      </c>
      <c r="N1074" t="s">
        <v>27252</v>
      </c>
      <c r="P1074" t="s">
        <v>27341</v>
      </c>
      <c r="Q1074" s="1">
        <v>44846</v>
      </c>
      <c r="R1074" t="s">
        <v>27253</v>
      </c>
      <c r="S1074" t="s">
        <v>27254</v>
      </c>
      <c r="T1074" t="s">
        <v>27265</v>
      </c>
    </row>
    <row r="1075" spans="1:20" x14ac:dyDescent="0.3">
      <c r="A1075" t="str">
        <f>"0611860623050"</f>
        <v>0611860623050</v>
      </c>
      <c r="B1075" t="str">
        <f>"CR4916"</f>
        <v>CR4916</v>
      </c>
      <c r="C1075" t="s">
        <v>29318</v>
      </c>
      <c r="D1075" t="s">
        <v>27271</v>
      </c>
      <c r="E1075" t="str">
        <f t="shared" si="16"/>
        <v>001390</v>
      </c>
      <c r="F1075" t="s">
        <v>27246</v>
      </c>
      <c r="G1075" t="s">
        <v>27247</v>
      </c>
      <c r="H1075" t="s">
        <v>27248</v>
      </c>
      <c r="I1075" t="s">
        <v>29319</v>
      </c>
      <c r="J1075" t="s">
        <v>2156</v>
      </c>
      <c r="L1075" t="s">
        <v>27250</v>
      </c>
      <c r="M1075" t="s">
        <v>27251</v>
      </c>
      <c r="N1075" t="s">
        <v>27252</v>
      </c>
      <c r="P1075" t="s">
        <v>27341</v>
      </c>
      <c r="Q1075" s="1">
        <v>44846</v>
      </c>
      <c r="R1075" t="s">
        <v>27253</v>
      </c>
      <c r="S1075" t="s">
        <v>27254</v>
      </c>
      <c r="T1075" t="s">
        <v>27265</v>
      </c>
    </row>
    <row r="1076" spans="1:20" x14ac:dyDescent="0.3">
      <c r="A1076" t="str">
        <f>"0611860624050"</f>
        <v>0611860624050</v>
      </c>
      <c r="B1076" t="str">
        <f>"CR3843"</f>
        <v>CR3843</v>
      </c>
      <c r="C1076" t="s">
        <v>29320</v>
      </c>
      <c r="D1076" t="s">
        <v>27271</v>
      </c>
      <c r="E1076" t="str">
        <f t="shared" si="16"/>
        <v>001390</v>
      </c>
      <c r="F1076" t="s">
        <v>27246</v>
      </c>
      <c r="G1076" t="s">
        <v>27247</v>
      </c>
      <c r="H1076" t="s">
        <v>27248</v>
      </c>
      <c r="I1076" t="s">
        <v>29321</v>
      </c>
      <c r="J1076" t="s">
        <v>2158</v>
      </c>
      <c r="L1076" t="s">
        <v>27250</v>
      </c>
      <c r="M1076" t="s">
        <v>27251</v>
      </c>
      <c r="N1076" t="s">
        <v>27252</v>
      </c>
      <c r="P1076" t="s">
        <v>27341</v>
      </c>
      <c r="Q1076" s="1">
        <v>44846</v>
      </c>
      <c r="R1076" t="s">
        <v>27253</v>
      </c>
      <c r="S1076" t="s">
        <v>27254</v>
      </c>
      <c r="T1076" t="s">
        <v>27265</v>
      </c>
    </row>
    <row r="1077" spans="1:20" x14ac:dyDescent="0.3">
      <c r="A1077" t="str">
        <f>"0611860625050"</f>
        <v>0611860625050</v>
      </c>
      <c r="B1077" t="str">
        <f>"CR3846"</f>
        <v>CR3846</v>
      </c>
      <c r="C1077" t="s">
        <v>29322</v>
      </c>
      <c r="D1077" t="s">
        <v>27271</v>
      </c>
      <c r="E1077" t="str">
        <f t="shared" si="16"/>
        <v>001390</v>
      </c>
      <c r="F1077" t="s">
        <v>27246</v>
      </c>
      <c r="G1077" t="s">
        <v>27247</v>
      </c>
      <c r="H1077" t="s">
        <v>27248</v>
      </c>
      <c r="I1077" t="s">
        <v>29323</v>
      </c>
      <c r="J1077" t="s">
        <v>2160</v>
      </c>
      <c r="L1077" t="s">
        <v>27250</v>
      </c>
      <c r="M1077" t="s">
        <v>27251</v>
      </c>
      <c r="N1077" t="s">
        <v>27252</v>
      </c>
      <c r="P1077" t="s">
        <v>27341</v>
      </c>
      <c r="Q1077" s="1">
        <v>44846</v>
      </c>
      <c r="R1077" t="s">
        <v>27253</v>
      </c>
      <c r="S1077" t="s">
        <v>27254</v>
      </c>
      <c r="T1077" t="s">
        <v>27265</v>
      </c>
    </row>
    <row r="1078" spans="1:20" x14ac:dyDescent="0.3">
      <c r="A1078" t="str">
        <f>"0611884030050"</f>
        <v>0611884030050</v>
      </c>
      <c r="B1078" t="str">
        <f>"CR5338"</f>
        <v>CR5338</v>
      </c>
      <c r="C1078" t="s">
        <v>29324</v>
      </c>
      <c r="D1078" t="s">
        <v>27271</v>
      </c>
      <c r="E1078" t="str">
        <f t="shared" si="16"/>
        <v>001390</v>
      </c>
      <c r="F1078" t="s">
        <v>27246</v>
      </c>
      <c r="G1078" t="s">
        <v>27247</v>
      </c>
      <c r="H1078" t="s">
        <v>27248</v>
      </c>
      <c r="I1078" t="s">
        <v>29325</v>
      </c>
      <c r="J1078" t="s">
        <v>2162</v>
      </c>
      <c r="L1078" t="s">
        <v>27430</v>
      </c>
      <c r="M1078" t="s">
        <v>27251</v>
      </c>
      <c r="N1078" t="s">
        <v>27252</v>
      </c>
      <c r="P1078" t="s">
        <v>27341</v>
      </c>
      <c r="Q1078" s="1">
        <v>45250</v>
      </c>
      <c r="R1078" t="s">
        <v>27253</v>
      </c>
      <c r="S1078" t="s">
        <v>27254</v>
      </c>
      <c r="T1078" t="s">
        <v>27265</v>
      </c>
    </row>
    <row r="1079" spans="1:20" x14ac:dyDescent="0.3">
      <c r="A1079" t="str">
        <f>"0611860626050"</f>
        <v>0611860626050</v>
      </c>
      <c r="B1079" t="str">
        <f>"CR3848"</f>
        <v>CR3848</v>
      </c>
      <c r="C1079" t="s">
        <v>29326</v>
      </c>
      <c r="D1079" t="s">
        <v>27271</v>
      </c>
      <c r="E1079" t="str">
        <f t="shared" si="16"/>
        <v>001390</v>
      </c>
      <c r="F1079" t="s">
        <v>27246</v>
      </c>
      <c r="G1079" t="s">
        <v>27247</v>
      </c>
      <c r="H1079" t="s">
        <v>27248</v>
      </c>
      <c r="I1079" t="s">
        <v>29327</v>
      </c>
      <c r="J1079" t="s">
        <v>2164</v>
      </c>
      <c r="L1079" t="s">
        <v>27250</v>
      </c>
      <c r="M1079" t="s">
        <v>27251</v>
      </c>
      <c r="N1079" t="s">
        <v>27252</v>
      </c>
      <c r="P1079" t="s">
        <v>27341</v>
      </c>
      <c r="Q1079" s="1">
        <v>44846</v>
      </c>
      <c r="R1079" t="s">
        <v>27253</v>
      </c>
      <c r="S1079" t="s">
        <v>27254</v>
      </c>
      <c r="T1079" t="s">
        <v>27265</v>
      </c>
    </row>
    <row r="1080" spans="1:20" x14ac:dyDescent="0.3">
      <c r="A1080" t="str">
        <f>"0611860627050"</f>
        <v>0611860627050</v>
      </c>
      <c r="B1080" t="str">
        <f>"CR3847"</f>
        <v>CR3847</v>
      </c>
      <c r="C1080" t="s">
        <v>29328</v>
      </c>
      <c r="D1080" t="s">
        <v>27271</v>
      </c>
      <c r="E1080" t="str">
        <f t="shared" si="16"/>
        <v>001390</v>
      </c>
      <c r="F1080" t="s">
        <v>27246</v>
      </c>
      <c r="G1080" t="s">
        <v>27247</v>
      </c>
      <c r="H1080" t="s">
        <v>27248</v>
      </c>
      <c r="I1080" t="s">
        <v>29329</v>
      </c>
      <c r="J1080" t="s">
        <v>2166</v>
      </c>
      <c r="L1080" t="s">
        <v>27250</v>
      </c>
      <c r="M1080" t="s">
        <v>27251</v>
      </c>
      <c r="N1080" t="s">
        <v>27252</v>
      </c>
      <c r="P1080" t="s">
        <v>27341</v>
      </c>
      <c r="Q1080" s="1">
        <v>44846</v>
      </c>
      <c r="R1080" t="s">
        <v>27253</v>
      </c>
      <c r="S1080" t="s">
        <v>27254</v>
      </c>
      <c r="T1080" t="s">
        <v>27265</v>
      </c>
    </row>
    <row r="1081" spans="1:20" x14ac:dyDescent="0.3">
      <c r="A1081" t="str">
        <f>"0611860628050"</f>
        <v>0611860628050</v>
      </c>
      <c r="B1081" t="str">
        <f>"CR3845"</f>
        <v>CR3845</v>
      </c>
      <c r="C1081" t="s">
        <v>29330</v>
      </c>
      <c r="D1081" t="s">
        <v>27271</v>
      </c>
      <c r="E1081" t="str">
        <f t="shared" si="16"/>
        <v>001390</v>
      </c>
      <c r="F1081" t="s">
        <v>27246</v>
      </c>
      <c r="G1081" t="s">
        <v>27247</v>
      </c>
      <c r="H1081" t="s">
        <v>27248</v>
      </c>
      <c r="I1081" t="s">
        <v>29331</v>
      </c>
      <c r="J1081" t="s">
        <v>2168</v>
      </c>
      <c r="L1081" t="s">
        <v>27250</v>
      </c>
      <c r="M1081" t="s">
        <v>27251</v>
      </c>
      <c r="N1081" t="s">
        <v>27252</v>
      </c>
      <c r="P1081" t="s">
        <v>27341</v>
      </c>
      <c r="Q1081" s="1">
        <v>44846</v>
      </c>
      <c r="R1081" t="s">
        <v>27253</v>
      </c>
      <c r="S1081" t="s">
        <v>27254</v>
      </c>
      <c r="T1081" t="s">
        <v>27265</v>
      </c>
    </row>
    <row r="1082" spans="1:20" x14ac:dyDescent="0.3">
      <c r="A1082" t="str">
        <f>"0611860629050"</f>
        <v>0611860629050</v>
      </c>
      <c r="B1082" t="str">
        <f>"CR3844"</f>
        <v>CR3844</v>
      </c>
      <c r="C1082" t="s">
        <v>29332</v>
      </c>
      <c r="D1082" t="s">
        <v>27271</v>
      </c>
      <c r="E1082" t="str">
        <f t="shared" si="16"/>
        <v>001390</v>
      </c>
      <c r="F1082" t="s">
        <v>27246</v>
      </c>
      <c r="G1082" t="s">
        <v>27247</v>
      </c>
      <c r="H1082" t="s">
        <v>27248</v>
      </c>
      <c r="I1082" t="s">
        <v>29333</v>
      </c>
      <c r="J1082" t="s">
        <v>2170</v>
      </c>
      <c r="L1082" t="s">
        <v>27250</v>
      </c>
      <c r="M1082" t="s">
        <v>27251</v>
      </c>
      <c r="N1082" t="s">
        <v>27252</v>
      </c>
      <c r="P1082" t="s">
        <v>27341</v>
      </c>
      <c r="Q1082" s="1">
        <v>44846</v>
      </c>
      <c r="R1082" t="s">
        <v>27253</v>
      </c>
      <c r="S1082" t="s">
        <v>27254</v>
      </c>
      <c r="T1082" t="s">
        <v>27265</v>
      </c>
    </row>
    <row r="1083" spans="1:20" x14ac:dyDescent="0.3">
      <c r="A1083" t="str">
        <f>"0611860630050"</f>
        <v>0611860630050</v>
      </c>
      <c r="B1083" t="str">
        <f>"CR3849"</f>
        <v>CR3849</v>
      </c>
      <c r="C1083" t="s">
        <v>29334</v>
      </c>
      <c r="D1083" t="s">
        <v>27271</v>
      </c>
      <c r="E1083" t="str">
        <f t="shared" si="16"/>
        <v>001390</v>
      </c>
      <c r="F1083" t="s">
        <v>27246</v>
      </c>
      <c r="G1083" t="s">
        <v>27247</v>
      </c>
      <c r="H1083" t="s">
        <v>27248</v>
      </c>
      <c r="I1083" t="s">
        <v>29335</v>
      </c>
      <c r="J1083" t="s">
        <v>2172</v>
      </c>
      <c r="L1083" t="s">
        <v>27250</v>
      </c>
      <c r="M1083" t="s">
        <v>27251</v>
      </c>
      <c r="N1083" t="s">
        <v>27252</v>
      </c>
      <c r="P1083" t="s">
        <v>27341</v>
      </c>
      <c r="Q1083" s="1">
        <v>44846</v>
      </c>
      <c r="R1083" t="s">
        <v>27253</v>
      </c>
      <c r="S1083" t="s">
        <v>27254</v>
      </c>
      <c r="T1083" t="s">
        <v>27265</v>
      </c>
    </row>
    <row r="1084" spans="1:20" x14ac:dyDescent="0.3">
      <c r="A1084" t="str">
        <f>"0611860631050"</f>
        <v>0611860631050</v>
      </c>
      <c r="B1084" t="str">
        <f>"CR3968"</f>
        <v>CR3968</v>
      </c>
      <c r="C1084" t="s">
        <v>29336</v>
      </c>
      <c r="D1084" t="s">
        <v>27271</v>
      </c>
      <c r="E1084" t="str">
        <f t="shared" si="16"/>
        <v>001390</v>
      </c>
      <c r="F1084" t="s">
        <v>27246</v>
      </c>
      <c r="G1084" t="s">
        <v>27247</v>
      </c>
      <c r="H1084" t="s">
        <v>27248</v>
      </c>
      <c r="I1084" t="s">
        <v>29337</v>
      </c>
      <c r="J1084" t="s">
        <v>2174</v>
      </c>
      <c r="L1084" t="s">
        <v>27250</v>
      </c>
      <c r="M1084" t="s">
        <v>27251</v>
      </c>
      <c r="N1084" t="s">
        <v>27252</v>
      </c>
      <c r="P1084" t="s">
        <v>27341</v>
      </c>
      <c r="Q1084" s="1">
        <v>44846</v>
      </c>
      <c r="R1084" t="s">
        <v>27253</v>
      </c>
      <c r="S1084" t="s">
        <v>27254</v>
      </c>
      <c r="T1084" t="s">
        <v>27265</v>
      </c>
    </row>
    <row r="1085" spans="1:20" x14ac:dyDescent="0.3">
      <c r="A1085" t="str">
        <f>"0611860632050"</f>
        <v>0611860632050</v>
      </c>
      <c r="B1085" t="str">
        <f>"CR5127"</f>
        <v>CR5127</v>
      </c>
      <c r="C1085" t="s">
        <v>29338</v>
      </c>
      <c r="D1085" t="s">
        <v>27271</v>
      </c>
      <c r="E1085" t="str">
        <f t="shared" si="16"/>
        <v>001390</v>
      </c>
      <c r="F1085" t="s">
        <v>27246</v>
      </c>
      <c r="G1085" t="s">
        <v>27247</v>
      </c>
      <c r="H1085" t="s">
        <v>27248</v>
      </c>
      <c r="I1085" t="s">
        <v>29339</v>
      </c>
      <c r="J1085" t="s">
        <v>2176</v>
      </c>
      <c r="L1085" t="s">
        <v>27250</v>
      </c>
      <c r="M1085" t="s">
        <v>27251</v>
      </c>
      <c r="N1085" t="s">
        <v>27252</v>
      </c>
      <c r="P1085" t="s">
        <v>27341</v>
      </c>
      <c r="Q1085" s="1">
        <v>44846</v>
      </c>
      <c r="R1085" t="s">
        <v>27253</v>
      </c>
      <c r="S1085" t="s">
        <v>27254</v>
      </c>
      <c r="T1085" t="s">
        <v>27265</v>
      </c>
    </row>
    <row r="1086" spans="1:20" x14ac:dyDescent="0.3">
      <c r="A1086" t="str">
        <f>"0611860633050"</f>
        <v>0611860633050</v>
      </c>
      <c r="B1086" t="str">
        <f>"CR2787"</f>
        <v>CR2787</v>
      </c>
      <c r="C1086" t="s">
        <v>29340</v>
      </c>
      <c r="D1086" t="s">
        <v>27271</v>
      </c>
      <c r="E1086" t="str">
        <f t="shared" si="16"/>
        <v>001390</v>
      </c>
      <c r="F1086" t="s">
        <v>27246</v>
      </c>
      <c r="G1086" t="s">
        <v>27247</v>
      </c>
      <c r="H1086" t="s">
        <v>27248</v>
      </c>
      <c r="I1086" t="s">
        <v>29341</v>
      </c>
      <c r="J1086" t="s">
        <v>2178</v>
      </c>
      <c r="L1086" t="s">
        <v>27250</v>
      </c>
      <c r="M1086" t="s">
        <v>27251</v>
      </c>
      <c r="N1086" t="s">
        <v>27252</v>
      </c>
      <c r="P1086" t="s">
        <v>27341</v>
      </c>
      <c r="Q1086" s="1">
        <v>44846</v>
      </c>
      <c r="R1086" t="s">
        <v>27253</v>
      </c>
      <c r="S1086" t="s">
        <v>27254</v>
      </c>
      <c r="T1086" t="s">
        <v>27265</v>
      </c>
    </row>
    <row r="1087" spans="1:20" x14ac:dyDescent="0.3">
      <c r="A1087" t="str">
        <f>"0611884031050"</f>
        <v>0611884031050</v>
      </c>
      <c r="B1087" t="str">
        <f>"CR5424"</f>
        <v>CR5424</v>
      </c>
      <c r="C1087" t="s">
        <v>29342</v>
      </c>
      <c r="D1087" t="s">
        <v>27271</v>
      </c>
      <c r="E1087" t="str">
        <f t="shared" si="16"/>
        <v>001390</v>
      </c>
      <c r="F1087" t="s">
        <v>27246</v>
      </c>
      <c r="G1087" t="s">
        <v>27247</v>
      </c>
      <c r="H1087" t="s">
        <v>27248</v>
      </c>
      <c r="I1087" t="s">
        <v>29343</v>
      </c>
      <c r="J1087" t="s">
        <v>2180</v>
      </c>
      <c r="L1087" t="s">
        <v>27430</v>
      </c>
      <c r="M1087" t="s">
        <v>27251</v>
      </c>
      <c r="N1087" t="s">
        <v>27252</v>
      </c>
      <c r="P1087" t="s">
        <v>27341</v>
      </c>
      <c r="Q1087" s="1">
        <v>45250</v>
      </c>
      <c r="R1087" t="s">
        <v>27253</v>
      </c>
      <c r="S1087" t="s">
        <v>27254</v>
      </c>
      <c r="T1087" t="s">
        <v>27265</v>
      </c>
    </row>
    <row r="1088" spans="1:20" x14ac:dyDescent="0.3">
      <c r="A1088" t="str">
        <f>"0611860634050"</f>
        <v>0611860634050</v>
      </c>
      <c r="B1088" t="str">
        <f>"CR3969"</f>
        <v>CR3969</v>
      </c>
      <c r="C1088" t="s">
        <v>29344</v>
      </c>
      <c r="D1088" t="s">
        <v>27271</v>
      </c>
      <c r="E1088" t="str">
        <f t="shared" si="16"/>
        <v>001390</v>
      </c>
      <c r="F1088" t="s">
        <v>27246</v>
      </c>
      <c r="G1088" t="s">
        <v>27247</v>
      </c>
      <c r="H1088" t="s">
        <v>27248</v>
      </c>
      <c r="I1088" t="s">
        <v>29345</v>
      </c>
      <c r="J1088" t="s">
        <v>2182</v>
      </c>
      <c r="L1088" t="s">
        <v>27250</v>
      </c>
      <c r="M1088" t="s">
        <v>27251</v>
      </c>
      <c r="N1088" t="s">
        <v>27252</v>
      </c>
      <c r="P1088" t="s">
        <v>27341</v>
      </c>
      <c r="Q1088" s="1">
        <v>44846</v>
      </c>
      <c r="R1088" t="s">
        <v>27253</v>
      </c>
      <c r="S1088" t="s">
        <v>27254</v>
      </c>
      <c r="T1088" t="s">
        <v>27265</v>
      </c>
    </row>
    <row r="1089" spans="1:20" x14ac:dyDescent="0.3">
      <c r="A1089" t="str">
        <f>"0611884032050"</f>
        <v>0611884032050</v>
      </c>
      <c r="B1089" t="str">
        <f>"CR5386"</f>
        <v>CR5386</v>
      </c>
      <c r="C1089" t="s">
        <v>29346</v>
      </c>
      <c r="D1089" t="s">
        <v>27263</v>
      </c>
      <c r="E1089" t="str">
        <f t="shared" si="16"/>
        <v>001390</v>
      </c>
      <c r="F1089" t="s">
        <v>27246</v>
      </c>
      <c r="G1089" t="s">
        <v>27247</v>
      </c>
      <c r="H1089" t="s">
        <v>27248</v>
      </c>
      <c r="I1089" t="s">
        <v>29347</v>
      </c>
      <c r="J1089" t="s">
        <v>2184</v>
      </c>
      <c r="L1089" t="s">
        <v>27430</v>
      </c>
      <c r="M1089" t="s">
        <v>27251</v>
      </c>
      <c r="N1089" t="s">
        <v>27252</v>
      </c>
      <c r="Q1089" s="1">
        <v>45250</v>
      </c>
      <c r="R1089" t="s">
        <v>27253</v>
      </c>
      <c r="S1089" t="s">
        <v>27254</v>
      </c>
      <c r="T1089" t="s">
        <v>27265</v>
      </c>
    </row>
    <row r="1090" spans="1:20" x14ac:dyDescent="0.3">
      <c r="A1090" t="str">
        <f>"0611860635050"</f>
        <v>0611860635050</v>
      </c>
      <c r="B1090" t="str">
        <f>"CR2788"</f>
        <v>CR2788</v>
      </c>
      <c r="C1090" t="s">
        <v>29348</v>
      </c>
      <c r="D1090" t="s">
        <v>27271</v>
      </c>
      <c r="E1090" t="str">
        <f t="shared" ref="E1090:E1153" si="17">"001390"</f>
        <v>001390</v>
      </c>
      <c r="F1090" t="s">
        <v>27246</v>
      </c>
      <c r="G1090" t="s">
        <v>27247</v>
      </c>
      <c r="H1090" t="s">
        <v>27248</v>
      </c>
      <c r="I1090" t="s">
        <v>29349</v>
      </c>
      <c r="J1090" t="s">
        <v>2186</v>
      </c>
      <c r="L1090" t="s">
        <v>27250</v>
      </c>
      <c r="M1090" t="s">
        <v>27251</v>
      </c>
      <c r="N1090" t="s">
        <v>27252</v>
      </c>
      <c r="P1090" t="s">
        <v>27341</v>
      </c>
      <c r="Q1090" s="1">
        <v>44846</v>
      </c>
      <c r="R1090" t="s">
        <v>27253</v>
      </c>
      <c r="S1090" t="s">
        <v>27254</v>
      </c>
      <c r="T1090" t="s">
        <v>27265</v>
      </c>
    </row>
    <row r="1091" spans="1:20" x14ac:dyDescent="0.3">
      <c r="A1091" t="str">
        <f>"0611860636050"</f>
        <v>0611860636050</v>
      </c>
      <c r="B1091" t="str">
        <f>"CR4774"</f>
        <v>CR4774</v>
      </c>
      <c r="C1091" t="s">
        <v>29350</v>
      </c>
      <c r="D1091" t="s">
        <v>27271</v>
      </c>
      <c r="E1091" t="str">
        <f t="shared" si="17"/>
        <v>001390</v>
      </c>
      <c r="F1091" t="s">
        <v>27246</v>
      </c>
      <c r="G1091" t="s">
        <v>27247</v>
      </c>
      <c r="H1091" t="s">
        <v>27248</v>
      </c>
      <c r="I1091" t="s">
        <v>29351</v>
      </c>
      <c r="J1091" t="s">
        <v>2188</v>
      </c>
      <c r="L1091" t="s">
        <v>27250</v>
      </c>
      <c r="M1091" t="s">
        <v>27251</v>
      </c>
      <c r="N1091" t="s">
        <v>27252</v>
      </c>
      <c r="P1091" t="s">
        <v>27341</v>
      </c>
      <c r="Q1091" s="1">
        <v>44846</v>
      </c>
      <c r="R1091" t="s">
        <v>27253</v>
      </c>
      <c r="S1091" t="s">
        <v>27254</v>
      </c>
      <c r="T1091" t="s">
        <v>27265</v>
      </c>
    </row>
    <row r="1092" spans="1:20" x14ac:dyDescent="0.3">
      <c r="A1092" t="str">
        <f>"0611860637050"</f>
        <v>0611860637050</v>
      </c>
      <c r="B1092" t="str">
        <f>"CR2050"</f>
        <v>CR2050</v>
      </c>
      <c r="C1092" t="s">
        <v>29352</v>
      </c>
      <c r="D1092" t="s">
        <v>27271</v>
      </c>
      <c r="E1092" t="str">
        <f t="shared" si="17"/>
        <v>001390</v>
      </c>
      <c r="F1092" t="s">
        <v>27246</v>
      </c>
      <c r="G1092" t="s">
        <v>27247</v>
      </c>
      <c r="H1092" t="s">
        <v>27248</v>
      </c>
      <c r="I1092" t="s">
        <v>29353</v>
      </c>
      <c r="J1092" t="s">
        <v>2190</v>
      </c>
      <c r="L1092" t="s">
        <v>27250</v>
      </c>
      <c r="M1092" t="s">
        <v>27251</v>
      </c>
      <c r="N1092" t="s">
        <v>27252</v>
      </c>
      <c r="P1092" t="s">
        <v>27341</v>
      </c>
      <c r="Q1092" s="1">
        <v>44846</v>
      </c>
      <c r="R1092" t="s">
        <v>27253</v>
      </c>
      <c r="S1092" t="s">
        <v>27254</v>
      </c>
      <c r="T1092" t="s">
        <v>27265</v>
      </c>
    </row>
    <row r="1093" spans="1:20" x14ac:dyDescent="0.3">
      <c r="A1093" t="str">
        <f>"0611831428100"</f>
        <v>0611831428100</v>
      </c>
      <c r="B1093" t="str">
        <f>"LB1020"</f>
        <v>LB1020</v>
      </c>
      <c r="C1093" t="s">
        <v>29354</v>
      </c>
      <c r="D1093" t="s">
        <v>27245</v>
      </c>
      <c r="E1093" t="str">
        <f t="shared" si="17"/>
        <v>001390</v>
      </c>
      <c r="F1093" t="s">
        <v>27246</v>
      </c>
      <c r="G1093" t="s">
        <v>27247</v>
      </c>
      <c r="H1093" t="s">
        <v>27248</v>
      </c>
      <c r="I1093" t="s">
        <v>29355</v>
      </c>
      <c r="J1093" t="s">
        <v>2192</v>
      </c>
      <c r="L1093" t="s">
        <v>27250</v>
      </c>
      <c r="M1093" t="s">
        <v>27251</v>
      </c>
      <c r="N1093" t="s">
        <v>27252</v>
      </c>
      <c r="Q1093" s="1">
        <v>44538</v>
      </c>
      <c r="R1093" t="s">
        <v>27253</v>
      </c>
      <c r="S1093" t="s">
        <v>27254</v>
      </c>
      <c r="T1093" t="s">
        <v>27255</v>
      </c>
    </row>
    <row r="1094" spans="1:20" x14ac:dyDescent="0.3">
      <c r="A1094" t="str">
        <f>"0611831426100"</f>
        <v>0611831426100</v>
      </c>
      <c r="B1094" t="str">
        <f>"LK4444"</f>
        <v>LK4444</v>
      </c>
      <c r="C1094" t="s">
        <v>29356</v>
      </c>
      <c r="D1094" t="s">
        <v>27245</v>
      </c>
      <c r="E1094" t="str">
        <f t="shared" si="17"/>
        <v>001390</v>
      </c>
      <c r="F1094" t="s">
        <v>27246</v>
      </c>
      <c r="G1094" t="s">
        <v>27247</v>
      </c>
      <c r="H1094" t="s">
        <v>27248</v>
      </c>
      <c r="I1094" t="s">
        <v>29357</v>
      </c>
      <c r="J1094" t="s">
        <v>2194</v>
      </c>
      <c r="L1094" t="s">
        <v>27250</v>
      </c>
      <c r="M1094" t="s">
        <v>27251</v>
      </c>
      <c r="N1094" t="s">
        <v>27252</v>
      </c>
      <c r="Q1094" s="1">
        <v>44538</v>
      </c>
      <c r="R1094" t="s">
        <v>27253</v>
      </c>
      <c r="S1094" t="s">
        <v>27254</v>
      </c>
      <c r="T1094" t="s">
        <v>27255</v>
      </c>
    </row>
    <row r="1095" spans="1:20" x14ac:dyDescent="0.3">
      <c r="A1095" t="str">
        <f>"0611831429100"</f>
        <v>0611831429100</v>
      </c>
      <c r="B1095" t="str">
        <f>"LK5721"</f>
        <v>LK5721</v>
      </c>
      <c r="C1095" t="s">
        <v>29358</v>
      </c>
      <c r="D1095" t="s">
        <v>27245</v>
      </c>
      <c r="E1095" t="str">
        <f t="shared" si="17"/>
        <v>001390</v>
      </c>
      <c r="F1095" t="s">
        <v>27246</v>
      </c>
      <c r="G1095" t="s">
        <v>27247</v>
      </c>
      <c r="H1095" t="s">
        <v>27248</v>
      </c>
      <c r="I1095" t="s">
        <v>29359</v>
      </c>
      <c r="J1095" t="s">
        <v>2196</v>
      </c>
      <c r="L1095" t="s">
        <v>27250</v>
      </c>
      <c r="M1095" t="s">
        <v>27251</v>
      </c>
      <c r="N1095" t="s">
        <v>27252</v>
      </c>
      <c r="Q1095" s="1">
        <v>44538</v>
      </c>
      <c r="R1095" t="s">
        <v>27253</v>
      </c>
      <c r="S1095" t="s">
        <v>27254</v>
      </c>
      <c r="T1095" t="s">
        <v>27255</v>
      </c>
    </row>
    <row r="1096" spans="1:20" x14ac:dyDescent="0.3">
      <c r="A1096" t="str">
        <f>"0611831430100"</f>
        <v>0611831430100</v>
      </c>
      <c r="B1096" t="str">
        <f>"LB1184"</f>
        <v>LB1184</v>
      </c>
      <c r="C1096" t="s">
        <v>29360</v>
      </c>
      <c r="D1096" t="s">
        <v>27245</v>
      </c>
      <c r="E1096" t="str">
        <f t="shared" si="17"/>
        <v>001390</v>
      </c>
      <c r="F1096" t="s">
        <v>27246</v>
      </c>
      <c r="G1096" t="s">
        <v>27247</v>
      </c>
      <c r="H1096" t="s">
        <v>27248</v>
      </c>
      <c r="I1096" t="s">
        <v>29361</v>
      </c>
      <c r="J1096" t="s">
        <v>2198</v>
      </c>
      <c r="L1096" t="s">
        <v>27250</v>
      </c>
      <c r="M1096" t="s">
        <v>27251</v>
      </c>
      <c r="N1096" t="s">
        <v>27252</v>
      </c>
      <c r="Q1096" s="1">
        <v>44538</v>
      </c>
      <c r="R1096" t="s">
        <v>27253</v>
      </c>
      <c r="S1096" t="s">
        <v>27254</v>
      </c>
      <c r="T1096" t="s">
        <v>27255</v>
      </c>
    </row>
    <row r="1097" spans="1:20" x14ac:dyDescent="0.3">
      <c r="A1097" t="str">
        <f>"0611831431100"</f>
        <v>0611831431100</v>
      </c>
      <c r="B1097" t="str">
        <f>"LB0944"</f>
        <v>LB0944</v>
      </c>
      <c r="C1097" t="s">
        <v>29362</v>
      </c>
      <c r="D1097" t="s">
        <v>27245</v>
      </c>
      <c r="E1097" t="str">
        <f t="shared" si="17"/>
        <v>001390</v>
      </c>
      <c r="F1097" t="s">
        <v>27246</v>
      </c>
      <c r="G1097" t="s">
        <v>27247</v>
      </c>
      <c r="H1097" t="s">
        <v>27248</v>
      </c>
      <c r="I1097" t="s">
        <v>29363</v>
      </c>
      <c r="J1097" t="s">
        <v>2200</v>
      </c>
      <c r="L1097" t="s">
        <v>27250</v>
      </c>
      <c r="M1097" t="s">
        <v>27251</v>
      </c>
      <c r="N1097" t="s">
        <v>27252</v>
      </c>
      <c r="Q1097" s="1">
        <v>44538</v>
      </c>
      <c r="R1097" t="s">
        <v>27253</v>
      </c>
      <c r="S1097" t="s">
        <v>27254</v>
      </c>
      <c r="T1097" t="s">
        <v>27255</v>
      </c>
    </row>
    <row r="1098" spans="1:20" x14ac:dyDescent="0.3">
      <c r="A1098" t="str">
        <f>"0611831432100"</f>
        <v>0611831432100</v>
      </c>
      <c r="B1098" t="str">
        <f>"LB1183"</f>
        <v>LB1183</v>
      </c>
      <c r="C1098" t="s">
        <v>29364</v>
      </c>
      <c r="D1098" t="s">
        <v>27245</v>
      </c>
      <c r="E1098" t="str">
        <f t="shared" si="17"/>
        <v>001390</v>
      </c>
      <c r="F1098" t="s">
        <v>27246</v>
      </c>
      <c r="G1098" t="s">
        <v>27247</v>
      </c>
      <c r="H1098" t="s">
        <v>27248</v>
      </c>
      <c r="I1098" t="s">
        <v>29365</v>
      </c>
      <c r="J1098" t="s">
        <v>2202</v>
      </c>
      <c r="L1098" t="s">
        <v>27250</v>
      </c>
      <c r="M1098" t="s">
        <v>27251</v>
      </c>
      <c r="N1098" t="s">
        <v>27252</v>
      </c>
      <c r="Q1098" s="1">
        <v>44538</v>
      </c>
      <c r="R1098" t="s">
        <v>27253</v>
      </c>
      <c r="S1098" t="s">
        <v>27254</v>
      </c>
      <c r="T1098" t="s">
        <v>27255</v>
      </c>
    </row>
    <row r="1099" spans="1:20" x14ac:dyDescent="0.3">
      <c r="A1099" t="str">
        <f>"0611831433100"</f>
        <v>0611831433100</v>
      </c>
      <c r="B1099" t="str">
        <f>"LK3293"</f>
        <v>LK3293</v>
      </c>
      <c r="C1099" t="s">
        <v>29366</v>
      </c>
      <c r="D1099" t="s">
        <v>27245</v>
      </c>
      <c r="E1099" t="str">
        <f t="shared" si="17"/>
        <v>001390</v>
      </c>
      <c r="F1099" t="s">
        <v>27246</v>
      </c>
      <c r="G1099" t="s">
        <v>27247</v>
      </c>
      <c r="H1099" t="s">
        <v>27248</v>
      </c>
      <c r="I1099" t="s">
        <v>29367</v>
      </c>
      <c r="J1099" t="s">
        <v>2204</v>
      </c>
      <c r="L1099" t="s">
        <v>27250</v>
      </c>
      <c r="M1099" t="s">
        <v>27251</v>
      </c>
      <c r="N1099" t="s">
        <v>27252</v>
      </c>
      <c r="Q1099" s="1">
        <v>44538</v>
      </c>
      <c r="R1099" t="s">
        <v>27253</v>
      </c>
      <c r="S1099" t="s">
        <v>27254</v>
      </c>
      <c r="T1099" t="s">
        <v>27255</v>
      </c>
    </row>
    <row r="1100" spans="1:20" x14ac:dyDescent="0.3">
      <c r="A1100" t="str">
        <f>"0611831434100"</f>
        <v>0611831434100</v>
      </c>
      <c r="B1100" t="str">
        <f>"LB0909"</f>
        <v>LB0909</v>
      </c>
      <c r="C1100" t="s">
        <v>29368</v>
      </c>
      <c r="D1100" t="s">
        <v>27245</v>
      </c>
      <c r="E1100" t="str">
        <f t="shared" si="17"/>
        <v>001390</v>
      </c>
      <c r="F1100" t="s">
        <v>27246</v>
      </c>
      <c r="G1100" t="s">
        <v>27247</v>
      </c>
      <c r="H1100" t="s">
        <v>27248</v>
      </c>
      <c r="I1100" t="s">
        <v>29369</v>
      </c>
      <c r="J1100" t="s">
        <v>2206</v>
      </c>
      <c r="L1100" t="s">
        <v>27250</v>
      </c>
      <c r="M1100" t="s">
        <v>27251</v>
      </c>
      <c r="N1100" t="s">
        <v>27252</v>
      </c>
      <c r="Q1100" s="1">
        <v>44538</v>
      </c>
      <c r="R1100" t="s">
        <v>27253</v>
      </c>
      <c r="S1100" t="s">
        <v>27254</v>
      </c>
      <c r="T1100" t="s">
        <v>27255</v>
      </c>
    </row>
    <row r="1101" spans="1:20" x14ac:dyDescent="0.3">
      <c r="A1101" t="str">
        <f>"0611831436100"</f>
        <v>0611831436100</v>
      </c>
      <c r="B1101" t="str">
        <f>"LQ3667"</f>
        <v>LQ3667</v>
      </c>
      <c r="C1101" t="s">
        <v>29370</v>
      </c>
      <c r="D1101" t="s">
        <v>27245</v>
      </c>
      <c r="E1101" t="str">
        <f t="shared" si="17"/>
        <v>001390</v>
      </c>
      <c r="F1101" t="s">
        <v>27246</v>
      </c>
      <c r="G1101" t="s">
        <v>27247</v>
      </c>
      <c r="H1101" t="s">
        <v>27248</v>
      </c>
      <c r="I1101" t="s">
        <v>29371</v>
      </c>
      <c r="J1101" t="s">
        <v>2208</v>
      </c>
      <c r="L1101" t="s">
        <v>27250</v>
      </c>
      <c r="M1101" t="s">
        <v>27251</v>
      </c>
      <c r="N1101" t="s">
        <v>27252</v>
      </c>
      <c r="Q1101" s="1">
        <v>44538</v>
      </c>
      <c r="R1101" t="s">
        <v>27253</v>
      </c>
      <c r="S1101" t="s">
        <v>27254</v>
      </c>
      <c r="T1101" t="s">
        <v>27255</v>
      </c>
    </row>
    <row r="1102" spans="1:20" x14ac:dyDescent="0.3">
      <c r="A1102" t="str">
        <f>"0611831437100"</f>
        <v>0611831437100</v>
      </c>
      <c r="B1102" t="str">
        <f>"LB1045"</f>
        <v>LB1045</v>
      </c>
      <c r="C1102" t="s">
        <v>29372</v>
      </c>
      <c r="D1102" t="s">
        <v>27245</v>
      </c>
      <c r="E1102" t="str">
        <f t="shared" si="17"/>
        <v>001390</v>
      </c>
      <c r="F1102" t="s">
        <v>27246</v>
      </c>
      <c r="G1102" t="s">
        <v>27247</v>
      </c>
      <c r="H1102" t="s">
        <v>27248</v>
      </c>
      <c r="I1102" t="s">
        <v>29373</v>
      </c>
      <c r="J1102" t="s">
        <v>2210</v>
      </c>
      <c r="L1102" t="s">
        <v>27250</v>
      </c>
      <c r="M1102" t="s">
        <v>27251</v>
      </c>
      <c r="N1102" t="s">
        <v>27252</v>
      </c>
      <c r="Q1102" s="1">
        <v>44538</v>
      </c>
      <c r="R1102" t="s">
        <v>27253</v>
      </c>
      <c r="S1102" t="s">
        <v>27254</v>
      </c>
      <c r="T1102" t="s">
        <v>27255</v>
      </c>
    </row>
    <row r="1103" spans="1:20" x14ac:dyDescent="0.3">
      <c r="A1103" t="str">
        <f>"0611884033100"</f>
        <v>0611884033100</v>
      </c>
      <c r="B1103" t="str">
        <f>"LK7146"</f>
        <v>LK7146</v>
      </c>
      <c r="C1103" t="s">
        <v>29374</v>
      </c>
      <c r="D1103" t="s">
        <v>27245</v>
      </c>
      <c r="E1103" t="str">
        <f t="shared" si="17"/>
        <v>001390</v>
      </c>
      <c r="F1103" t="s">
        <v>27246</v>
      </c>
      <c r="G1103" t="s">
        <v>27247</v>
      </c>
      <c r="H1103" t="s">
        <v>27248</v>
      </c>
      <c r="I1103" t="s">
        <v>29375</v>
      </c>
      <c r="J1103" t="s">
        <v>2214</v>
      </c>
      <c r="L1103" t="s">
        <v>27430</v>
      </c>
      <c r="M1103" t="s">
        <v>27251</v>
      </c>
      <c r="N1103" t="s">
        <v>27252</v>
      </c>
      <c r="Q1103" s="1">
        <v>45250</v>
      </c>
      <c r="R1103" t="s">
        <v>27253</v>
      </c>
      <c r="S1103" t="s">
        <v>27254</v>
      </c>
      <c r="T1103" t="s">
        <v>27255</v>
      </c>
    </row>
    <row r="1104" spans="1:20" x14ac:dyDescent="0.3">
      <c r="A1104" t="str">
        <f>"0611884034100"</f>
        <v>0611884034100</v>
      </c>
      <c r="B1104" t="str">
        <f>"LK7147"</f>
        <v>LK7147</v>
      </c>
      <c r="C1104" t="s">
        <v>29376</v>
      </c>
      <c r="D1104" t="s">
        <v>27245</v>
      </c>
      <c r="E1104" t="str">
        <f t="shared" si="17"/>
        <v>001390</v>
      </c>
      <c r="F1104" t="s">
        <v>27246</v>
      </c>
      <c r="G1104" t="s">
        <v>27247</v>
      </c>
      <c r="H1104" t="s">
        <v>27248</v>
      </c>
      <c r="I1104" t="s">
        <v>29377</v>
      </c>
      <c r="J1104" t="s">
        <v>2216</v>
      </c>
      <c r="L1104" t="s">
        <v>27430</v>
      </c>
      <c r="M1104" t="s">
        <v>27251</v>
      </c>
      <c r="N1104" t="s">
        <v>27252</v>
      </c>
      <c r="Q1104" s="1">
        <v>45250</v>
      </c>
      <c r="R1104" t="s">
        <v>27253</v>
      </c>
      <c r="S1104" t="s">
        <v>27254</v>
      </c>
      <c r="T1104" t="s">
        <v>27255</v>
      </c>
    </row>
    <row r="1105" spans="1:20" x14ac:dyDescent="0.3">
      <c r="A1105" t="str">
        <f>"0611884035100"</f>
        <v>0611884035100</v>
      </c>
      <c r="B1105" t="str">
        <f>"LK7148"</f>
        <v>LK7148</v>
      </c>
      <c r="C1105" t="s">
        <v>29378</v>
      </c>
      <c r="D1105" t="s">
        <v>27245</v>
      </c>
      <c r="E1105" t="str">
        <f t="shared" si="17"/>
        <v>001390</v>
      </c>
      <c r="F1105" t="s">
        <v>27246</v>
      </c>
      <c r="G1105" t="s">
        <v>27247</v>
      </c>
      <c r="H1105" t="s">
        <v>27248</v>
      </c>
      <c r="I1105" t="s">
        <v>29379</v>
      </c>
      <c r="J1105" t="s">
        <v>2218</v>
      </c>
      <c r="L1105" t="s">
        <v>27430</v>
      </c>
      <c r="M1105" t="s">
        <v>27251</v>
      </c>
      <c r="N1105" t="s">
        <v>27252</v>
      </c>
      <c r="Q1105" s="1">
        <v>45250</v>
      </c>
      <c r="R1105" t="s">
        <v>27253</v>
      </c>
      <c r="S1105" t="s">
        <v>27254</v>
      </c>
      <c r="T1105" t="s">
        <v>27255</v>
      </c>
    </row>
    <row r="1106" spans="1:20" x14ac:dyDescent="0.3">
      <c r="A1106" t="str">
        <f>"0611884036100"</f>
        <v>0611884036100</v>
      </c>
      <c r="B1106" t="str">
        <f>"LK7154"</f>
        <v>LK7154</v>
      </c>
      <c r="C1106" t="s">
        <v>29380</v>
      </c>
      <c r="D1106" t="s">
        <v>27245</v>
      </c>
      <c r="E1106" t="str">
        <f t="shared" si="17"/>
        <v>001390</v>
      </c>
      <c r="F1106" t="s">
        <v>27246</v>
      </c>
      <c r="G1106" t="s">
        <v>27247</v>
      </c>
      <c r="H1106" t="s">
        <v>27248</v>
      </c>
      <c r="I1106" t="s">
        <v>29381</v>
      </c>
      <c r="J1106" t="s">
        <v>2220</v>
      </c>
      <c r="L1106" t="s">
        <v>27430</v>
      </c>
      <c r="M1106" t="s">
        <v>27251</v>
      </c>
      <c r="N1106" t="s">
        <v>27252</v>
      </c>
      <c r="Q1106" s="1">
        <v>45250</v>
      </c>
      <c r="R1106" t="s">
        <v>27253</v>
      </c>
      <c r="S1106" t="s">
        <v>27254</v>
      </c>
      <c r="T1106" t="s">
        <v>27255</v>
      </c>
    </row>
    <row r="1107" spans="1:20" x14ac:dyDescent="0.3">
      <c r="A1107" t="str">
        <f>"0611884037100"</f>
        <v>0611884037100</v>
      </c>
      <c r="B1107" t="str">
        <f>"LK7149"</f>
        <v>LK7149</v>
      </c>
      <c r="C1107" t="s">
        <v>29382</v>
      </c>
      <c r="D1107" t="s">
        <v>27245</v>
      </c>
      <c r="E1107" t="str">
        <f t="shared" si="17"/>
        <v>001390</v>
      </c>
      <c r="F1107" t="s">
        <v>27246</v>
      </c>
      <c r="G1107" t="s">
        <v>27247</v>
      </c>
      <c r="H1107" t="s">
        <v>27248</v>
      </c>
      <c r="I1107" t="s">
        <v>29383</v>
      </c>
      <c r="J1107" t="s">
        <v>2222</v>
      </c>
      <c r="L1107" t="s">
        <v>27430</v>
      </c>
      <c r="M1107" t="s">
        <v>27251</v>
      </c>
      <c r="N1107" t="s">
        <v>27252</v>
      </c>
      <c r="Q1107" s="1">
        <v>45250</v>
      </c>
      <c r="R1107" t="s">
        <v>27253</v>
      </c>
      <c r="S1107" t="s">
        <v>27254</v>
      </c>
      <c r="T1107" t="s">
        <v>27255</v>
      </c>
    </row>
    <row r="1108" spans="1:20" x14ac:dyDescent="0.3">
      <c r="A1108" t="str">
        <f>"0611884038100"</f>
        <v>0611884038100</v>
      </c>
      <c r="B1108" t="str">
        <f>"LK7150"</f>
        <v>LK7150</v>
      </c>
      <c r="C1108" t="s">
        <v>29384</v>
      </c>
      <c r="D1108" t="s">
        <v>27245</v>
      </c>
      <c r="E1108" t="str">
        <f t="shared" si="17"/>
        <v>001390</v>
      </c>
      <c r="F1108" t="s">
        <v>27246</v>
      </c>
      <c r="G1108" t="s">
        <v>27247</v>
      </c>
      <c r="H1108" t="s">
        <v>27248</v>
      </c>
      <c r="I1108" t="s">
        <v>29385</v>
      </c>
      <c r="J1108" t="s">
        <v>2224</v>
      </c>
      <c r="L1108" t="s">
        <v>27430</v>
      </c>
      <c r="M1108" t="s">
        <v>27251</v>
      </c>
      <c r="N1108" t="s">
        <v>27252</v>
      </c>
      <c r="Q1108" s="1">
        <v>45250</v>
      </c>
      <c r="R1108" t="s">
        <v>27253</v>
      </c>
      <c r="S1108" t="s">
        <v>27254</v>
      </c>
      <c r="T1108" t="s">
        <v>27255</v>
      </c>
    </row>
    <row r="1109" spans="1:20" x14ac:dyDescent="0.3">
      <c r="A1109" t="str">
        <f>"0611884039100"</f>
        <v>0611884039100</v>
      </c>
      <c r="B1109" t="str">
        <f>"LK7151"</f>
        <v>LK7151</v>
      </c>
      <c r="C1109" t="s">
        <v>29386</v>
      </c>
      <c r="D1109" t="s">
        <v>27245</v>
      </c>
      <c r="E1109" t="str">
        <f t="shared" si="17"/>
        <v>001390</v>
      </c>
      <c r="F1109" t="s">
        <v>27246</v>
      </c>
      <c r="G1109" t="s">
        <v>27247</v>
      </c>
      <c r="H1109" t="s">
        <v>27248</v>
      </c>
      <c r="I1109" t="s">
        <v>29387</v>
      </c>
      <c r="J1109" t="s">
        <v>2226</v>
      </c>
      <c r="L1109" t="s">
        <v>27430</v>
      </c>
      <c r="M1109" t="s">
        <v>27251</v>
      </c>
      <c r="N1109" t="s">
        <v>27252</v>
      </c>
      <c r="Q1109" s="1">
        <v>45250</v>
      </c>
      <c r="R1109" t="s">
        <v>27253</v>
      </c>
      <c r="S1109" t="s">
        <v>27254</v>
      </c>
      <c r="T1109" t="s">
        <v>27255</v>
      </c>
    </row>
    <row r="1110" spans="1:20" x14ac:dyDescent="0.3">
      <c r="A1110" t="str">
        <f>"0611884040100"</f>
        <v>0611884040100</v>
      </c>
      <c r="B1110" t="str">
        <f>"LK7152"</f>
        <v>LK7152</v>
      </c>
      <c r="C1110" t="s">
        <v>29388</v>
      </c>
      <c r="D1110" t="s">
        <v>27245</v>
      </c>
      <c r="E1110" t="str">
        <f t="shared" si="17"/>
        <v>001390</v>
      </c>
      <c r="F1110" t="s">
        <v>27246</v>
      </c>
      <c r="G1110" t="s">
        <v>27247</v>
      </c>
      <c r="H1110" t="s">
        <v>27248</v>
      </c>
      <c r="I1110" t="s">
        <v>29389</v>
      </c>
      <c r="J1110" t="s">
        <v>2228</v>
      </c>
      <c r="L1110" t="s">
        <v>27430</v>
      </c>
      <c r="M1110" t="s">
        <v>27251</v>
      </c>
      <c r="N1110" t="s">
        <v>27252</v>
      </c>
      <c r="Q1110" s="1">
        <v>45250</v>
      </c>
      <c r="R1110" t="s">
        <v>27253</v>
      </c>
      <c r="S1110" t="s">
        <v>27254</v>
      </c>
      <c r="T1110" t="s">
        <v>27255</v>
      </c>
    </row>
    <row r="1111" spans="1:20" x14ac:dyDescent="0.3">
      <c r="A1111" t="str">
        <f>"0611884041100"</f>
        <v>0611884041100</v>
      </c>
      <c r="B1111" t="str">
        <f>"LK7153"</f>
        <v>LK7153</v>
      </c>
      <c r="C1111" t="s">
        <v>29390</v>
      </c>
      <c r="D1111" t="s">
        <v>27245</v>
      </c>
      <c r="E1111" t="str">
        <f t="shared" si="17"/>
        <v>001390</v>
      </c>
      <c r="F1111" t="s">
        <v>27246</v>
      </c>
      <c r="G1111" t="s">
        <v>27247</v>
      </c>
      <c r="H1111" t="s">
        <v>27248</v>
      </c>
      <c r="I1111" t="s">
        <v>29391</v>
      </c>
      <c r="J1111" t="s">
        <v>2230</v>
      </c>
      <c r="L1111" t="s">
        <v>27430</v>
      </c>
      <c r="M1111" t="s">
        <v>27251</v>
      </c>
      <c r="N1111" t="s">
        <v>27252</v>
      </c>
      <c r="Q1111" s="1">
        <v>45250</v>
      </c>
      <c r="R1111" t="s">
        <v>27253</v>
      </c>
      <c r="S1111" t="s">
        <v>27254</v>
      </c>
      <c r="T1111" t="s">
        <v>27255</v>
      </c>
    </row>
    <row r="1112" spans="1:20" x14ac:dyDescent="0.3">
      <c r="A1112" t="str">
        <f>"0611831440100"</f>
        <v>0611831440100</v>
      </c>
      <c r="B1112" t="str">
        <f>"LK0436"</f>
        <v>LK0436</v>
      </c>
      <c r="C1112" t="s">
        <v>29392</v>
      </c>
      <c r="D1112" t="s">
        <v>27245</v>
      </c>
      <c r="E1112" t="str">
        <f t="shared" si="17"/>
        <v>001390</v>
      </c>
      <c r="F1112" t="s">
        <v>27246</v>
      </c>
      <c r="G1112" t="s">
        <v>27247</v>
      </c>
      <c r="H1112" t="s">
        <v>27248</v>
      </c>
      <c r="I1112" t="s">
        <v>29393</v>
      </c>
      <c r="J1112" t="s">
        <v>2232</v>
      </c>
      <c r="L1112" t="s">
        <v>27250</v>
      </c>
      <c r="M1112" t="s">
        <v>27251</v>
      </c>
      <c r="N1112" t="s">
        <v>27252</v>
      </c>
      <c r="Q1112" s="1">
        <v>44538</v>
      </c>
      <c r="R1112" t="s">
        <v>27253</v>
      </c>
      <c r="S1112" t="s">
        <v>27254</v>
      </c>
      <c r="T1112" t="s">
        <v>27255</v>
      </c>
    </row>
    <row r="1113" spans="1:20" x14ac:dyDescent="0.3">
      <c r="A1113" t="str">
        <f>"0611831441100"</f>
        <v>0611831441100</v>
      </c>
      <c r="B1113" t="str">
        <f>"LK6023"</f>
        <v>LK6023</v>
      </c>
      <c r="C1113" t="s">
        <v>29394</v>
      </c>
      <c r="D1113" t="s">
        <v>27245</v>
      </c>
      <c r="E1113" t="str">
        <f t="shared" si="17"/>
        <v>001390</v>
      </c>
      <c r="F1113" t="s">
        <v>27246</v>
      </c>
      <c r="G1113" t="s">
        <v>27247</v>
      </c>
      <c r="H1113" t="s">
        <v>27248</v>
      </c>
      <c r="I1113" t="s">
        <v>29395</v>
      </c>
      <c r="J1113" t="s">
        <v>2234</v>
      </c>
      <c r="L1113" t="s">
        <v>27250</v>
      </c>
      <c r="M1113" t="s">
        <v>27251</v>
      </c>
      <c r="N1113" t="s">
        <v>27252</v>
      </c>
      <c r="Q1113" s="1">
        <v>44538</v>
      </c>
      <c r="R1113" t="s">
        <v>27253</v>
      </c>
      <c r="S1113" t="s">
        <v>27254</v>
      </c>
      <c r="T1113" t="s">
        <v>27255</v>
      </c>
    </row>
    <row r="1114" spans="1:20" x14ac:dyDescent="0.3">
      <c r="A1114" t="str">
        <f>"0611831442100"</f>
        <v>0611831442100</v>
      </c>
      <c r="B1114" t="str">
        <f>"LK6199"</f>
        <v>LK6199</v>
      </c>
      <c r="C1114" t="s">
        <v>29396</v>
      </c>
      <c r="D1114" t="s">
        <v>27245</v>
      </c>
      <c r="E1114" t="str">
        <f t="shared" si="17"/>
        <v>001390</v>
      </c>
      <c r="F1114" t="s">
        <v>27246</v>
      </c>
      <c r="G1114" t="s">
        <v>27247</v>
      </c>
      <c r="H1114" t="s">
        <v>27248</v>
      </c>
      <c r="I1114" t="s">
        <v>29397</v>
      </c>
      <c r="J1114" t="s">
        <v>2236</v>
      </c>
      <c r="L1114" t="s">
        <v>27250</v>
      </c>
      <c r="M1114" t="s">
        <v>27251</v>
      </c>
      <c r="N1114" t="s">
        <v>27252</v>
      </c>
      <c r="Q1114" s="1">
        <v>44538</v>
      </c>
      <c r="R1114" t="s">
        <v>27253</v>
      </c>
      <c r="S1114" t="s">
        <v>27254</v>
      </c>
      <c r="T1114" t="s">
        <v>27255</v>
      </c>
    </row>
    <row r="1115" spans="1:20" x14ac:dyDescent="0.3">
      <c r="A1115" t="str">
        <f>"0611831443100"</f>
        <v>0611831443100</v>
      </c>
      <c r="B1115" t="str">
        <f>"LK6024"</f>
        <v>LK6024</v>
      </c>
      <c r="C1115" t="s">
        <v>29398</v>
      </c>
      <c r="D1115" t="s">
        <v>27245</v>
      </c>
      <c r="E1115" t="str">
        <f t="shared" si="17"/>
        <v>001390</v>
      </c>
      <c r="F1115" t="s">
        <v>27246</v>
      </c>
      <c r="G1115" t="s">
        <v>27247</v>
      </c>
      <c r="H1115" t="s">
        <v>27248</v>
      </c>
      <c r="I1115" t="s">
        <v>29399</v>
      </c>
      <c r="J1115" t="s">
        <v>2238</v>
      </c>
      <c r="L1115" t="s">
        <v>27250</v>
      </c>
      <c r="M1115" t="s">
        <v>27251</v>
      </c>
      <c r="N1115" t="s">
        <v>27252</v>
      </c>
      <c r="Q1115" s="1">
        <v>44538</v>
      </c>
      <c r="R1115" t="s">
        <v>27253</v>
      </c>
      <c r="S1115" t="s">
        <v>27254</v>
      </c>
      <c r="T1115" t="s">
        <v>27255</v>
      </c>
    </row>
    <row r="1116" spans="1:20" x14ac:dyDescent="0.3">
      <c r="A1116" t="str">
        <f>"0611831446100"</f>
        <v>0611831446100</v>
      </c>
      <c r="B1116" t="str">
        <f>"LK6324"</f>
        <v>LK6324</v>
      </c>
      <c r="C1116" t="s">
        <v>29400</v>
      </c>
      <c r="D1116" t="s">
        <v>27245</v>
      </c>
      <c r="E1116" t="str">
        <f t="shared" si="17"/>
        <v>001390</v>
      </c>
      <c r="F1116" t="s">
        <v>27246</v>
      </c>
      <c r="G1116" t="s">
        <v>27247</v>
      </c>
      <c r="H1116" t="s">
        <v>27248</v>
      </c>
      <c r="I1116" t="s">
        <v>29401</v>
      </c>
      <c r="J1116" t="s">
        <v>2240</v>
      </c>
      <c r="L1116" t="s">
        <v>27250</v>
      </c>
      <c r="M1116" t="s">
        <v>27251</v>
      </c>
      <c r="N1116" t="s">
        <v>27252</v>
      </c>
      <c r="Q1116" s="1">
        <v>44538</v>
      </c>
      <c r="R1116" t="s">
        <v>27253</v>
      </c>
      <c r="S1116" t="s">
        <v>27254</v>
      </c>
      <c r="T1116" t="s">
        <v>27255</v>
      </c>
    </row>
    <row r="1117" spans="1:20" x14ac:dyDescent="0.3">
      <c r="A1117" t="str">
        <f>"0611831444100"</f>
        <v>0611831444100</v>
      </c>
      <c r="B1117" t="str">
        <f>"LK5999"</f>
        <v>LK5999</v>
      </c>
      <c r="C1117" t="s">
        <v>29402</v>
      </c>
      <c r="D1117" t="s">
        <v>27245</v>
      </c>
      <c r="E1117" t="str">
        <f t="shared" si="17"/>
        <v>001390</v>
      </c>
      <c r="F1117" t="s">
        <v>27246</v>
      </c>
      <c r="G1117" t="s">
        <v>27247</v>
      </c>
      <c r="H1117" t="s">
        <v>27248</v>
      </c>
      <c r="I1117" t="s">
        <v>29403</v>
      </c>
      <c r="J1117" t="s">
        <v>2242</v>
      </c>
      <c r="L1117" t="s">
        <v>27250</v>
      </c>
      <c r="M1117" t="s">
        <v>27251</v>
      </c>
      <c r="N1117" t="s">
        <v>27252</v>
      </c>
      <c r="Q1117" s="1">
        <v>44538</v>
      </c>
      <c r="R1117" t="s">
        <v>27253</v>
      </c>
      <c r="S1117" t="s">
        <v>27254</v>
      </c>
      <c r="T1117" t="s">
        <v>27255</v>
      </c>
    </row>
    <row r="1118" spans="1:20" x14ac:dyDescent="0.3">
      <c r="A1118" t="str">
        <f>"0611831445100"</f>
        <v>0611831445100</v>
      </c>
      <c r="B1118" t="str">
        <f>"LK6000"</f>
        <v>LK6000</v>
      </c>
      <c r="C1118" t="s">
        <v>29404</v>
      </c>
      <c r="D1118" t="s">
        <v>27245</v>
      </c>
      <c r="E1118" t="str">
        <f t="shared" si="17"/>
        <v>001390</v>
      </c>
      <c r="F1118" t="s">
        <v>27246</v>
      </c>
      <c r="G1118" t="s">
        <v>27247</v>
      </c>
      <c r="H1118" t="s">
        <v>27248</v>
      </c>
      <c r="I1118" t="s">
        <v>29405</v>
      </c>
      <c r="J1118" t="s">
        <v>2244</v>
      </c>
      <c r="L1118" t="s">
        <v>27250</v>
      </c>
      <c r="M1118" t="s">
        <v>27251</v>
      </c>
      <c r="N1118" t="s">
        <v>27252</v>
      </c>
      <c r="Q1118" s="1">
        <v>44538</v>
      </c>
      <c r="R1118" t="s">
        <v>27253</v>
      </c>
      <c r="S1118" t="s">
        <v>27254</v>
      </c>
      <c r="T1118" t="s">
        <v>27255</v>
      </c>
    </row>
    <row r="1119" spans="1:20" x14ac:dyDescent="0.3">
      <c r="A1119" t="str">
        <f>"0611856838100"</f>
        <v>0611856838100</v>
      </c>
      <c r="B1119" t="str">
        <f>"LK7046"</f>
        <v>LK7046</v>
      </c>
      <c r="C1119" t="s">
        <v>29406</v>
      </c>
      <c r="D1119" t="s">
        <v>27245</v>
      </c>
      <c r="E1119" t="str">
        <f t="shared" si="17"/>
        <v>001390</v>
      </c>
      <c r="F1119" t="s">
        <v>27246</v>
      </c>
      <c r="G1119" t="s">
        <v>27247</v>
      </c>
      <c r="H1119" t="s">
        <v>27248</v>
      </c>
      <c r="I1119" t="s">
        <v>29407</v>
      </c>
      <c r="J1119" t="s">
        <v>2246</v>
      </c>
      <c r="L1119" t="s">
        <v>27250</v>
      </c>
      <c r="M1119" t="s">
        <v>27251</v>
      </c>
      <c r="N1119" t="s">
        <v>27252</v>
      </c>
      <c r="Q1119" s="1">
        <v>44812</v>
      </c>
      <c r="R1119" t="s">
        <v>27253</v>
      </c>
      <c r="S1119" t="s">
        <v>27254</v>
      </c>
      <c r="T1119" t="s">
        <v>27255</v>
      </c>
    </row>
    <row r="1120" spans="1:20" x14ac:dyDescent="0.3">
      <c r="A1120" t="str">
        <f>"0611860638050"</f>
        <v>0611860638050</v>
      </c>
      <c r="B1120" t="str">
        <f>"CR5129"</f>
        <v>CR5129</v>
      </c>
      <c r="C1120" t="s">
        <v>29408</v>
      </c>
      <c r="D1120" t="s">
        <v>27271</v>
      </c>
      <c r="E1120" t="str">
        <f t="shared" si="17"/>
        <v>001390</v>
      </c>
      <c r="F1120" t="s">
        <v>27246</v>
      </c>
      <c r="G1120" t="s">
        <v>27247</v>
      </c>
      <c r="H1120" t="s">
        <v>27248</v>
      </c>
      <c r="I1120" t="s">
        <v>29409</v>
      </c>
      <c r="J1120" t="s">
        <v>2248</v>
      </c>
      <c r="L1120" t="s">
        <v>27250</v>
      </c>
      <c r="M1120" t="s">
        <v>27251</v>
      </c>
      <c r="N1120" t="s">
        <v>27252</v>
      </c>
      <c r="P1120" t="s">
        <v>27341</v>
      </c>
      <c r="Q1120" s="1">
        <v>44846</v>
      </c>
      <c r="R1120" t="s">
        <v>27253</v>
      </c>
      <c r="S1120" t="s">
        <v>27254</v>
      </c>
      <c r="T1120" t="s">
        <v>27265</v>
      </c>
    </row>
    <row r="1121" spans="1:20" x14ac:dyDescent="0.3">
      <c r="A1121" t="str">
        <f>"0611884042050"</f>
        <v>0611884042050</v>
      </c>
      <c r="B1121" t="str">
        <f>"CR5331"</f>
        <v>CR5331</v>
      </c>
      <c r="C1121" t="s">
        <v>29410</v>
      </c>
      <c r="D1121" t="s">
        <v>27271</v>
      </c>
      <c r="E1121" t="str">
        <f t="shared" si="17"/>
        <v>001390</v>
      </c>
      <c r="F1121" t="s">
        <v>27246</v>
      </c>
      <c r="G1121" t="s">
        <v>27247</v>
      </c>
      <c r="H1121" t="s">
        <v>27248</v>
      </c>
      <c r="I1121" t="s">
        <v>29411</v>
      </c>
      <c r="J1121" t="s">
        <v>2250</v>
      </c>
      <c r="L1121" t="s">
        <v>27430</v>
      </c>
      <c r="M1121" t="s">
        <v>27251</v>
      </c>
      <c r="N1121" t="s">
        <v>27252</v>
      </c>
      <c r="P1121" t="s">
        <v>27341</v>
      </c>
      <c r="Q1121" s="1">
        <v>45250</v>
      </c>
      <c r="R1121" t="s">
        <v>27253</v>
      </c>
      <c r="S1121" t="s">
        <v>27254</v>
      </c>
      <c r="T1121" t="s">
        <v>27265</v>
      </c>
    </row>
    <row r="1122" spans="1:20" x14ac:dyDescent="0.3">
      <c r="A1122" t="str">
        <f>"0611860639050"</f>
        <v>0611860639050</v>
      </c>
      <c r="B1122" t="str">
        <f>"CR4085"</f>
        <v>CR4085</v>
      </c>
      <c r="C1122" t="s">
        <v>29412</v>
      </c>
      <c r="D1122" t="s">
        <v>27271</v>
      </c>
      <c r="E1122" t="str">
        <f t="shared" si="17"/>
        <v>001390</v>
      </c>
      <c r="F1122" t="s">
        <v>27246</v>
      </c>
      <c r="G1122" t="s">
        <v>27247</v>
      </c>
      <c r="H1122" t="s">
        <v>27248</v>
      </c>
      <c r="I1122" t="s">
        <v>29413</v>
      </c>
      <c r="J1122" t="s">
        <v>2252</v>
      </c>
      <c r="L1122" t="s">
        <v>27250</v>
      </c>
      <c r="M1122" t="s">
        <v>27251</v>
      </c>
      <c r="N1122" t="s">
        <v>27252</v>
      </c>
      <c r="P1122" t="s">
        <v>27341</v>
      </c>
      <c r="Q1122" s="1">
        <v>44846</v>
      </c>
      <c r="R1122" t="s">
        <v>27253</v>
      </c>
      <c r="S1122" t="s">
        <v>27254</v>
      </c>
      <c r="T1122" t="s">
        <v>27265</v>
      </c>
    </row>
    <row r="1123" spans="1:20" x14ac:dyDescent="0.3">
      <c r="A1123" t="str">
        <f>"0611884043050"</f>
        <v>0611884043050</v>
      </c>
      <c r="B1123" t="str">
        <f>"CR5332"</f>
        <v>CR5332</v>
      </c>
      <c r="C1123" t="s">
        <v>29414</v>
      </c>
      <c r="D1123" t="s">
        <v>27271</v>
      </c>
      <c r="E1123" t="str">
        <f t="shared" si="17"/>
        <v>001390</v>
      </c>
      <c r="F1123" t="s">
        <v>27246</v>
      </c>
      <c r="G1123" t="s">
        <v>27247</v>
      </c>
      <c r="H1123" t="s">
        <v>27248</v>
      </c>
      <c r="I1123" t="s">
        <v>29415</v>
      </c>
      <c r="J1123" t="s">
        <v>2254</v>
      </c>
      <c r="L1123" t="s">
        <v>27430</v>
      </c>
      <c r="M1123" t="s">
        <v>27251</v>
      </c>
      <c r="N1123" t="s">
        <v>27252</v>
      </c>
      <c r="P1123" t="s">
        <v>27341</v>
      </c>
      <c r="Q1123" s="1">
        <v>45250</v>
      </c>
      <c r="R1123" t="s">
        <v>27253</v>
      </c>
      <c r="S1123" t="s">
        <v>27254</v>
      </c>
      <c r="T1123" t="s">
        <v>27265</v>
      </c>
    </row>
    <row r="1124" spans="1:20" x14ac:dyDescent="0.3">
      <c r="A1124" t="str">
        <f>"0611860640050"</f>
        <v>0611860640050</v>
      </c>
      <c r="B1124" t="str">
        <f>"CR4086"</f>
        <v>CR4086</v>
      </c>
      <c r="C1124" t="s">
        <v>29416</v>
      </c>
      <c r="D1124" t="s">
        <v>27271</v>
      </c>
      <c r="E1124" t="str">
        <f t="shared" si="17"/>
        <v>001390</v>
      </c>
      <c r="F1124" t="s">
        <v>27246</v>
      </c>
      <c r="G1124" t="s">
        <v>27247</v>
      </c>
      <c r="H1124" t="s">
        <v>27248</v>
      </c>
      <c r="I1124" t="s">
        <v>29417</v>
      </c>
      <c r="J1124" t="s">
        <v>2256</v>
      </c>
      <c r="L1124" t="s">
        <v>27250</v>
      </c>
      <c r="M1124" t="s">
        <v>27251</v>
      </c>
      <c r="N1124" t="s">
        <v>27252</v>
      </c>
      <c r="P1124" t="s">
        <v>27341</v>
      </c>
      <c r="Q1124" s="1">
        <v>44846</v>
      </c>
      <c r="R1124" t="s">
        <v>27253</v>
      </c>
      <c r="S1124" t="s">
        <v>27254</v>
      </c>
      <c r="T1124" t="s">
        <v>27265</v>
      </c>
    </row>
    <row r="1125" spans="1:20" x14ac:dyDescent="0.3">
      <c r="A1125" t="str">
        <f>"0611860641050"</f>
        <v>0611860641050</v>
      </c>
      <c r="B1125" t="str">
        <f>"CR5130"</f>
        <v>CR5130</v>
      </c>
      <c r="C1125" t="s">
        <v>29418</v>
      </c>
      <c r="D1125" t="s">
        <v>27271</v>
      </c>
      <c r="E1125" t="str">
        <f t="shared" si="17"/>
        <v>001390</v>
      </c>
      <c r="F1125" t="s">
        <v>27246</v>
      </c>
      <c r="G1125" t="s">
        <v>27247</v>
      </c>
      <c r="H1125" t="s">
        <v>27248</v>
      </c>
      <c r="I1125" t="s">
        <v>29419</v>
      </c>
      <c r="J1125" t="s">
        <v>2258</v>
      </c>
      <c r="L1125" t="s">
        <v>27250</v>
      </c>
      <c r="M1125" t="s">
        <v>27251</v>
      </c>
      <c r="N1125" t="s">
        <v>27252</v>
      </c>
      <c r="P1125" t="s">
        <v>27341</v>
      </c>
      <c r="Q1125" s="1">
        <v>44846</v>
      </c>
      <c r="R1125" t="s">
        <v>27253</v>
      </c>
      <c r="S1125" t="s">
        <v>27254</v>
      </c>
      <c r="T1125" t="s">
        <v>27265</v>
      </c>
    </row>
    <row r="1126" spans="1:20" x14ac:dyDescent="0.3">
      <c r="A1126" t="str">
        <f>"0611860642050"</f>
        <v>0611860642050</v>
      </c>
      <c r="B1126" t="str">
        <f>"CR4087"</f>
        <v>CR4087</v>
      </c>
      <c r="C1126" t="s">
        <v>29420</v>
      </c>
      <c r="D1126" t="s">
        <v>27271</v>
      </c>
      <c r="E1126" t="str">
        <f t="shared" si="17"/>
        <v>001390</v>
      </c>
      <c r="F1126" t="s">
        <v>27246</v>
      </c>
      <c r="G1126" t="s">
        <v>27247</v>
      </c>
      <c r="H1126" t="s">
        <v>27248</v>
      </c>
      <c r="I1126" t="s">
        <v>29421</v>
      </c>
      <c r="J1126" t="s">
        <v>2260</v>
      </c>
      <c r="L1126" t="s">
        <v>27250</v>
      </c>
      <c r="M1126" t="s">
        <v>27251</v>
      </c>
      <c r="N1126" t="s">
        <v>27252</v>
      </c>
      <c r="P1126" t="s">
        <v>27341</v>
      </c>
      <c r="Q1126" s="1">
        <v>44846</v>
      </c>
      <c r="R1126" t="s">
        <v>27253</v>
      </c>
      <c r="S1126" t="s">
        <v>27254</v>
      </c>
      <c r="T1126" t="s">
        <v>27265</v>
      </c>
    </row>
    <row r="1127" spans="1:20" x14ac:dyDescent="0.3">
      <c r="A1127" t="str">
        <f>"0611860643050"</f>
        <v>0611860643050</v>
      </c>
      <c r="B1127" t="str">
        <f>"CR5131"</f>
        <v>CR5131</v>
      </c>
      <c r="C1127" t="s">
        <v>29422</v>
      </c>
      <c r="D1127" t="s">
        <v>27271</v>
      </c>
      <c r="E1127" t="str">
        <f t="shared" si="17"/>
        <v>001390</v>
      </c>
      <c r="F1127" t="s">
        <v>27246</v>
      </c>
      <c r="G1127" t="s">
        <v>27247</v>
      </c>
      <c r="H1127" t="s">
        <v>27248</v>
      </c>
      <c r="I1127" t="s">
        <v>29423</v>
      </c>
      <c r="J1127" t="s">
        <v>2262</v>
      </c>
      <c r="L1127" t="s">
        <v>27250</v>
      </c>
      <c r="M1127" t="s">
        <v>27251</v>
      </c>
      <c r="N1127" t="s">
        <v>27252</v>
      </c>
      <c r="P1127" t="s">
        <v>27341</v>
      </c>
      <c r="Q1127" s="1">
        <v>44846</v>
      </c>
      <c r="R1127" t="s">
        <v>27253</v>
      </c>
      <c r="S1127" t="s">
        <v>27254</v>
      </c>
      <c r="T1127" t="s">
        <v>27265</v>
      </c>
    </row>
    <row r="1128" spans="1:20" x14ac:dyDescent="0.3">
      <c r="A1128" t="str">
        <f>"0611884044050"</f>
        <v>0611884044050</v>
      </c>
      <c r="B1128" t="str">
        <f>"CR5330"</f>
        <v>CR5330</v>
      </c>
      <c r="C1128" t="s">
        <v>29424</v>
      </c>
      <c r="D1128" t="s">
        <v>27271</v>
      </c>
      <c r="E1128" t="str">
        <f t="shared" si="17"/>
        <v>001390</v>
      </c>
      <c r="F1128" t="s">
        <v>27246</v>
      </c>
      <c r="G1128" t="s">
        <v>27247</v>
      </c>
      <c r="H1128" t="s">
        <v>27248</v>
      </c>
      <c r="I1128" t="s">
        <v>29425</v>
      </c>
      <c r="J1128" t="s">
        <v>2264</v>
      </c>
      <c r="L1128" t="s">
        <v>27430</v>
      </c>
      <c r="M1128" t="s">
        <v>27251</v>
      </c>
      <c r="N1128" t="s">
        <v>27252</v>
      </c>
      <c r="P1128" t="s">
        <v>27341</v>
      </c>
      <c r="Q1128" s="1">
        <v>45250</v>
      </c>
      <c r="R1128" t="s">
        <v>27253</v>
      </c>
      <c r="S1128" t="s">
        <v>27254</v>
      </c>
      <c r="T1128" t="s">
        <v>27265</v>
      </c>
    </row>
    <row r="1129" spans="1:20" x14ac:dyDescent="0.3">
      <c r="A1129" t="str">
        <f>"0611831447100"</f>
        <v>0611831447100</v>
      </c>
      <c r="B1129" t="str">
        <f>"LQ3504"</f>
        <v>LQ3504</v>
      </c>
      <c r="C1129" t="s">
        <v>29426</v>
      </c>
      <c r="D1129" t="s">
        <v>27245</v>
      </c>
      <c r="E1129" t="str">
        <f t="shared" si="17"/>
        <v>001390</v>
      </c>
      <c r="F1129" t="s">
        <v>27246</v>
      </c>
      <c r="G1129" t="s">
        <v>27247</v>
      </c>
      <c r="H1129" t="s">
        <v>27248</v>
      </c>
      <c r="I1129" t="s">
        <v>29427</v>
      </c>
      <c r="J1129" t="s">
        <v>2266</v>
      </c>
      <c r="L1129" t="s">
        <v>27250</v>
      </c>
      <c r="M1129" t="s">
        <v>27251</v>
      </c>
      <c r="N1129" t="s">
        <v>27252</v>
      </c>
      <c r="Q1129" s="1">
        <v>44538</v>
      </c>
      <c r="R1129" t="s">
        <v>27253</v>
      </c>
      <c r="S1129" t="s">
        <v>27254</v>
      </c>
      <c r="T1129" t="s">
        <v>27255</v>
      </c>
    </row>
    <row r="1130" spans="1:20" x14ac:dyDescent="0.3">
      <c r="A1130" t="str">
        <f>"0611860644050"</f>
        <v>0611860644050</v>
      </c>
      <c r="B1130" t="str">
        <f>"CR2031"</f>
        <v>CR2031</v>
      </c>
      <c r="C1130" t="s">
        <v>29428</v>
      </c>
      <c r="D1130" t="s">
        <v>27271</v>
      </c>
      <c r="E1130" t="str">
        <f t="shared" si="17"/>
        <v>001390</v>
      </c>
      <c r="F1130" t="s">
        <v>27246</v>
      </c>
      <c r="G1130" t="s">
        <v>27247</v>
      </c>
      <c r="H1130" t="s">
        <v>27248</v>
      </c>
      <c r="I1130" t="s">
        <v>29429</v>
      </c>
      <c r="J1130" t="s">
        <v>2268</v>
      </c>
      <c r="L1130" t="s">
        <v>27250</v>
      </c>
      <c r="M1130" t="s">
        <v>27251</v>
      </c>
      <c r="N1130" t="s">
        <v>27252</v>
      </c>
      <c r="P1130" t="s">
        <v>27341</v>
      </c>
      <c r="Q1130" s="1">
        <v>44846</v>
      </c>
      <c r="R1130" t="s">
        <v>27253</v>
      </c>
      <c r="S1130" t="s">
        <v>27254</v>
      </c>
      <c r="T1130" t="s">
        <v>27265</v>
      </c>
    </row>
    <row r="1131" spans="1:20" x14ac:dyDescent="0.3">
      <c r="A1131" t="str">
        <f>"0611831448100"</f>
        <v>0611831448100</v>
      </c>
      <c r="B1131" t="str">
        <f>"LQ3505"</f>
        <v>LQ3505</v>
      </c>
      <c r="C1131" t="s">
        <v>29430</v>
      </c>
      <c r="D1131" t="s">
        <v>27245</v>
      </c>
      <c r="E1131" t="str">
        <f t="shared" si="17"/>
        <v>001390</v>
      </c>
      <c r="F1131" t="s">
        <v>27246</v>
      </c>
      <c r="G1131" t="s">
        <v>27247</v>
      </c>
      <c r="H1131" t="s">
        <v>27248</v>
      </c>
      <c r="I1131" t="s">
        <v>29431</v>
      </c>
      <c r="J1131" t="s">
        <v>2270</v>
      </c>
      <c r="L1131" t="s">
        <v>27250</v>
      </c>
      <c r="M1131" t="s">
        <v>27251</v>
      </c>
      <c r="N1131" t="s">
        <v>27252</v>
      </c>
      <c r="Q1131" s="1">
        <v>44538</v>
      </c>
      <c r="R1131" t="s">
        <v>27253</v>
      </c>
      <c r="S1131" t="s">
        <v>27254</v>
      </c>
      <c r="T1131" t="s">
        <v>27255</v>
      </c>
    </row>
    <row r="1132" spans="1:20" x14ac:dyDescent="0.3">
      <c r="A1132" t="str">
        <f>"0611831449100"</f>
        <v>0611831449100</v>
      </c>
      <c r="B1132" t="str">
        <f>"LQ3506"</f>
        <v>LQ3506</v>
      </c>
      <c r="C1132" t="s">
        <v>29432</v>
      </c>
      <c r="D1132" t="s">
        <v>27245</v>
      </c>
      <c r="E1132" t="str">
        <f t="shared" si="17"/>
        <v>001390</v>
      </c>
      <c r="F1132" t="s">
        <v>27246</v>
      </c>
      <c r="G1132" t="s">
        <v>27247</v>
      </c>
      <c r="H1132" t="s">
        <v>27248</v>
      </c>
      <c r="I1132" t="s">
        <v>29433</v>
      </c>
      <c r="J1132" t="s">
        <v>2272</v>
      </c>
      <c r="L1132" t="s">
        <v>27250</v>
      </c>
      <c r="M1132" t="s">
        <v>27251</v>
      </c>
      <c r="N1132" t="s">
        <v>27252</v>
      </c>
      <c r="Q1132" s="1">
        <v>44538</v>
      </c>
      <c r="R1132" t="s">
        <v>27253</v>
      </c>
      <c r="S1132" t="s">
        <v>27254</v>
      </c>
      <c r="T1132" t="s">
        <v>27255</v>
      </c>
    </row>
    <row r="1133" spans="1:20" x14ac:dyDescent="0.3">
      <c r="A1133" t="str">
        <f>"0611860645050"</f>
        <v>0611860645050</v>
      </c>
      <c r="B1133" t="str">
        <f>"CR2032"</f>
        <v>CR2032</v>
      </c>
      <c r="C1133" t="s">
        <v>29432</v>
      </c>
      <c r="D1133" t="s">
        <v>27263</v>
      </c>
      <c r="E1133" t="str">
        <f t="shared" si="17"/>
        <v>001390</v>
      </c>
      <c r="F1133" t="s">
        <v>27246</v>
      </c>
      <c r="G1133" t="s">
        <v>27247</v>
      </c>
      <c r="H1133" t="s">
        <v>27248</v>
      </c>
      <c r="I1133" t="s">
        <v>29434</v>
      </c>
      <c r="J1133" t="s">
        <v>2274</v>
      </c>
      <c r="L1133" t="s">
        <v>27250</v>
      </c>
      <c r="M1133" t="s">
        <v>27251</v>
      </c>
      <c r="N1133" t="s">
        <v>27252</v>
      </c>
      <c r="Q1133" s="1">
        <v>44846</v>
      </c>
      <c r="R1133" t="s">
        <v>27253</v>
      </c>
      <c r="S1133" t="s">
        <v>27254</v>
      </c>
      <c r="T1133" t="s">
        <v>27265</v>
      </c>
    </row>
    <row r="1134" spans="1:20" x14ac:dyDescent="0.3">
      <c r="A1134" t="str">
        <f>"0611831450100"</f>
        <v>0611831450100</v>
      </c>
      <c r="B1134" t="str">
        <f>"LQ3637"</f>
        <v>LQ3637</v>
      </c>
      <c r="C1134" t="s">
        <v>29435</v>
      </c>
      <c r="D1134" t="s">
        <v>27245</v>
      </c>
      <c r="E1134" t="str">
        <f t="shared" si="17"/>
        <v>001390</v>
      </c>
      <c r="F1134" t="s">
        <v>27246</v>
      </c>
      <c r="G1134" t="s">
        <v>27247</v>
      </c>
      <c r="H1134" t="s">
        <v>27248</v>
      </c>
      <c r="I1134" t="s">
        <v>29436</v>
      </c>
      <c r="J1134" t="s">
        <v>2276</v>
      </c>
      <c r="L1134" t="s">
        <v>27250</v>
      </c>
      <c r="M1134" t="s">
        <v>27251</v>
      </c>
      <c r="N1134" t="s">
        <v>27252</v>
      </c>
      <c r="Q1134" s="1">
        <v>44538</v>
      </c>
      <c r="R1134" t="s">
        <v>27253</v>
      </c>
      <c r="S1134" t="s">
        <v>27254</v>
      </c>
      <c r="T1134" t="s">
        <v>27255</v>
      </c>
    </row>
    <row r="1135" spans="1:20" x14ac:dyDescent="0.3">
      <c r="A1135" t="str">
        <f>"0611831625100"</f>
        <v>0611831625100</v>
      </c>
      <c r="B1135" t="str">
        <f>"LK4446"</f>
        <v>LK4446</v>
      </c>
      <c r="C1135" t="s">
        <v>29437</v>
      </c>
      <c r="D1135" t="s">
        <v>27245</v>
      </c>
      <c r="E1135" t="str">
        <f t="shared" si="17"/>
        <v>001390</v>
      </c>
      <c r="F1135" t="s">
        <v>27246</v>
      </c>
      <c r="G1135" t="s">
        <v>27247</v>
      </c>
      <c r="H1135" t="s">
        <v>27248</v>
      </c>
      <c r="I1135" t="s">
        <v>29438</v>
      </c>
      <c r="J1135" t="s">
        <v>2278</v>
      </c>
      <c r="L1135" t="s">
        <v>27250</v>
      </c>
      <c r="M1135" t="s">
        <v>27251</v>
      </c>
      <c r="N1135" t="s">
        <v>27252</v>
      </c>
      <c r="Q1135" s="1">
        <v>44538</v>
      </c>
      <c r="R1135" t="s">
        <v>27253</v>
      </c>
      <c r="S1135" t="s">
        <v>27254</v>
      </c>
      <c r="T1135" t="s">
        <v>27255</v>
      </c>
    </row>
    <row r="1136" spans="1:20" x14ac:dyDescent="0.3">
      <c r="A1136" t="str">
        <f>"0611831626100"</f>
        <v>0611831626100</v>
      </c>
      <c r="B1136" t="str">
        <f>"LK4635"</f>
        <v>LK4635</v>
      </c>
      <c r="C1136" t="s">
        <v>29439</v>
      </c>
      <c r="D1136" t="s">
        <v>27245</v>
      </c>
      <c r="E1136" t="str">
        <f t="shared" si="17"/>
        <v>001390</v>
      </c>
      <c r="F1136" t="s">
        <v>27246</v>
      </c>
      <c r="G1136" t="s">
        <v>27247</v>
      </c>
      <c r="H1136" t="s">
        <v>27248</v>
      </c>
      <c r="I1136" t="s">
        <v>29440</v>
      </c>
      <c r="J1136" t="s">
        <v>2280</v>
      </c>
      <c r="L1136" t="s">
        <v>27250</v>
      </c>
      <c r="M1136" t="s">
        <v>27251</v>
      </c>
      <c r="N1136" t="s">
        <v>27252</v>
      </c>
      <c r="Q1136" s="1">
        <v>44538</v>
      </c>
      <c r="R1136" t="s">
        <v>27253</v>
      </c>
      <c r="S1136" t="s">
        <v>27254</v>
      </c>
      <c r="T1136" t="s">
        <v>27255</v>
      </c>
    </row>
    <row r="1137" spans="1:20" x14ac:dyDescent="0.3">
      <c r="A1137" t="str">
        <f>"0611831627100"</f>
        <v>0611831627100</v>
      </c>
      <c r="B1137" t="str">
        <f>"LK4445"</f>
        <v>LK4445</v>
      </c>
      <c r="C1137" t="s">
        <v>29441</v>
      </c>
      <c r="D1137" t="s">
        <v>27245</v>
      </c>
      <c r="E1137" t="str">
        <f t="shared" si="17"/>
        <v>001390</v>
      </c>
      <c r="F1137" t="s">
        <v>27246</v>
      </c>
      <c r="G1137" t="s">
        <v>27247</v>
      </c>
      <c r="H1137" t="s">
        <v>27248</v>
      </c>
      <c r="I1137" t="s">
        <v>29442</v>
      </c>
      <c r="J1137" t="s">
        <v>2282</v>
      </c>
      <c r="L1137" t="s">
        <v>27250</v>
      </c>
      <c r="M1137" t="s">
        <v>27251</v>
      </c>
      <c r="N1137" t="s">
        <v>27252</v>
      </c>
      <c r="Q1137" s="1">
        <v>44538</v>
      </c>
      <c r="R1137" t="s">
        <v>27253</v>
      </c>
      <c r="S1137" t="s">
        <v>27254</v>
      </c>
      <c r="T1137" t="s">
        <v>27255</v>
      </c>
    </row>
    <row r="1138" spans="1:20" x14ac:dyDescent="0.3">
      <c r="A1138" t="str">
        <f>"0611831628100"</f>
        <v>0611831628100</v>
      </c>
      <c r="B1138" t="str">
        <f>"LK4637"</f>
        <v>LK4637</v>
      </c>
      <c r="C1138" t="s">
        <v>29443</v>
      </c>
      <c r="D1138" t="s">
        <v>27245</v>
      </c>
      <c r="E1138" t="str">
        <f t="shared" si="17"/>
        <v>001390</v>
      </c>
      <c r="F1138" t="s">
        <v>27246</v>
      </c>
      <c r="G1138" t="s">
        <v>27247</v>
      </c>
      <c r="H1138" t="s">
        <v>27248</v>
      </c>
      <c r="I1138" t="s">
        <v>29444</v>
      </c>
      <c r="J1138" t="s">
        <v>2284</v>
      </c>
      <c r="L1138" t="s">
        <v>27250</v>
      </c>
      <c r="M1138" t="s">
        <v>27251</v>
      </c>
      <c r="N1138" t="s">
        <v>27252</v>
      </c>
      <c r="Q1138" s="1">
        <v>44538</v>
      </c>
      <c r="R1138" t="s">
        <v>27253</v>
      </c>
      <c r="S1138" t="s">
        <v>27254</v>
      </c>
      <c r="T1138" t="s">
        <v>27255</v>
      </c>
    </row>
    <row r="1139" spans="1:20" x14ac:dyDescent="0.3">
      <c r="A1139" t="str">
        <f>"0611831451100"</f>
        <v>0611831451100</v>
      </c>
      <c r="B1139" t="str">
        <f>"LQ3669"</f>
        <v>LQ3669</v>
      </c>
      <c r="C1139" t="s">
        <v>29445</v>
      </c>
      <c r="D1139" t="s">
        <v>27245</v>
      </c>
      <c r="E1139" t="str">
        <f t="shared" si="17"/>
        <v>001390</v>
      </c>
      <c r="F1139" t="s">
        <v>27246</v>
      </c>
      <c r="G1139" t="s">
        <v>27247</v>
      </c>
      <c r="H1139" t="s">
        <v>27248</v>
      </c>
      <c r="I1139" t="s">
        <v>29446</v>
      </c>
      <c r="J1139" t="s">
        <v>2286</v>
      </c>
      <c r="L1139" t="s">
        <v>27250</v>
      </c>
      <c r="M1139" t="s">
        <v>27251</v>
      </c>
      <c r="N1139" t="s">
        <v>27252</v>
      </c>
      <c r="Q1139" s="1">
        <v>44538</v>
      </c>
      <c r="R1139" t="s">
        <v>27253</v>
      </c>
      <c r="S1139" t="s">
        <v>27254</v>
      </c>
      <c r="T1139" t="s">
        <v>27255</v>
      </c>
    </row>
    <row r="1140" spans="1:20" x14ac:dyDescent="0.3">
      <c r="A1140" t="str">
        <f>"0611831452100"</f>
        <v>0611831452100</v>
      </c>
      <c r="B1140" t="str">
        <f>"LK4624"</f>
        <v>LK4624</v>
      </c>
      <c r="C1140" t="s">
        <v>29447</v>
      </c>
      <c r="D1140" t="s">
        <v>27245</v>
      </c>
      <c r="E1140" t="str">
        <f t="shared" si="17"/>
        <v>001390</v>
      </c>
      <c r="F1140" t="s">
        <v>27246</v>
      </c>
      <c r="G1140" t="s">
        <v>27247</v>
      </c>
      <c r="H1140" t="s">
        <v>27248</v>
      </c>
      <c r="I1140" t="s">
        <v>29448</v>
      </c>
      <c r="J1140" t="s">
        <v>2288</v>
      </c>
      <c r="L1140" t="s">
        <v>27250</v>
      </c>
      <c r="M1140" t="s">
        <v>27251</v>
      </c>
      <c r="N1140" t="s">
        <v>27252</v>
      </c>
      <c r="Q1140" s="1">
        <v>44538</v>
      </c>
      <c r="R1140" t="s">
        <v>27253</v>
      </c>
      <c r="S1140" t="s">
        <v>27254</v>
      </c>
      <c r="T1140" t="s">
        <v>27255</v>
      </c>
    </row>
    <row r="1141" spans="1:20" x14ac:dyDescent="0.3">
      <c r="A1141" t="str">
        <f>"0611831453100"</f>
        <v>0611831453100</v>
      </c>
      <c r="B1141" t="str">
        <f>"LK2745"</f>
        <v>LK2745</v>
      </c>
      <c r="C1141" t="s">
        <v>29449</v>
      </c>
      <c r="D1141" t="s">
        <v>27245</v>
      </c>
      <c r="E1141" t="str">
        <f t="shared" si="17"/>
        <v>001390</v>
      </c>
      <c r="F1141" t="s">
        <v>27246</v>
      </c>
      <c r="G1141" t="s">
        <v>27247</v>
      </c>
      <c r="H1141" t="s">
        <v>27248</v>
      </c>
      <c r="I1141" t="s">
        <v>29450</v>
      </c>
      <c r="J1141" t="s">
        <v>2290</v>
      </c>
      <c r="L1141" t="s">
        <v>27250</v>
      </c>
      <c r="M1141" t="s">
        <v>27251</v>
      </c>
      <c r="N1141" t="s">
        <v>27252</v>
      </c>
      <c r="Q1141" s="1">
        <v>44538</v>
      </c>
      <c r="R1141" t="s">
        <v>27253</v>
      </c>
      <c r="S1141" t="s">
        <v>27254</v>
      </c>
      <c r="T1141" t="s">
        <v>27255</v>
      </c>
    </row>
    <row r="1142" spans="1:20" x14ac:dyDescent="0.3">
      <c r="A1142" t="str">
        <f>"0611831454100"</f>
        <v>0611831454100</v>
      </c>
      <c r="B1142" t="str">
        <f>"LK2746"</f>
        <v>LK2746</v>
      </c>
      <c r="C1142" t="s">
        <v>29451</v>
      </c>
      <c r="D1142" t="s">
        <v>27245</v>
      </c>
      <c r="E1142" t="str">
        <f t="shared" si="17"/>
        <v>001390</v>
      </c>
      <c r="F1142" t="s">
        <v>27246</v>
      </c>
      <c r="G1142" t="s">
        <v>27247</v>
      </c>
      <c r="H1142" t="s">
        <v>27248</v>
      </c>
      <c r="I1142" t="s">
        <v>29452</v>
      </c>
      <c r="J1142" t="s">
        <v>2292</v>
      </c>
      <c r="L1142" t="s">
        <v>27250</v>
      </c>
      <c r="M1142" t="s">
        <v>27251</v>
      </c>
      <c r="N1142" t="s">
        <v>27252</v>
      </c>
      <c r="Q1142" s="1">
        <v>44538</v>
      </c>
      <c r="R1142" t="s">
        <v>27253</v>
      </c>
      <c r="S1142" t="s">
        <v>27254</v>
      </c>
      <c r="T1142" t="s">
        <v>27255</v>
      </c>
    </row>
    <row r="1143" spans="1:20" x14ac:dyDescent="0.3">
      <c r="A1143" t="str">
        <f>"0611831455100"</f>
        <v>0611831455100</v>
      </c>
      <c r="B1143" t="str">
        <f>"LK3287"</f>
        <v>LK3287</v>
      </c>
      <c r="C1143" t="s">
        <v>29453</v>
      </c>
      <c r="D1143" t="s">
        <v>27245</v>
      </c>
      <c r="E1143" t="str">
        <f t="shared" si="17"/>
        <v>001390</v>
      </c>
      <c r="F1143" t="s">
        <v>27246</v>
      </c>
      <c r="G1143" t="s">
        <v>27247</v>
      </c>
      <c r="H1143" t="s">
        <v>27248</v>
      </c>
      <c r="I1143" t="s">
        <v>29454</v>
      </c>
      <c r="J1143" t="s">
        <v>2294</v>
      </c>
      <c r="L1143" t="s">
        <v>27250</v>
      </c>
      <c r="M1143" t="s">
        <v>27251</v>
      </c>
      <c r="N1143" t="s">
        <v>27252</v>
      </c>
      <c r="Q1143" s="1">
        <v>44538</v>
      </c>
      <c r="R1143" t="s">
        <v>27253</v>
      </c>
      <c r="S1143" t="s">
        <v>27254</v>
      </c>
      <c r="T1143" t="s">
        <v>27255</v>
      </c>
    </row>
    <row r="1144" spans="1:20" x14ac:dyDescent="0.3">
      <c r="A1144" t="str">
        <f>"0611831456100"</f>
        <v>0611831456100</v>
      </c>
      <c r="B1144" t="str">
        <f>"LK2747"</f>
        <v>LK2747</v>
      </c>
      <c r="C1144" t="s">
        <v>29455</v>
      </c>
      <c r="D1144" t="s">
        <v>27245</v>
      </c>
      <c r="E1144" t="str">
        <f t="shared" si="17"/>
        <v>001390</v>
      </c>
      <c r="F1144" t="s">
        <v>27246</v>
      </c>
      <c r="G1144" t="s">
        <v>27247</v>
      </c>
      <c r="H1144" t="s">
        <v>27248</v>
      </c>
      <c r="I1144" t="s">
        <v>29456</v>
      </c>
      <c r="J1144" t="s">
        <v>2296</v>
      </c>
      <c r="L1144" t="s">
        <v>27250</v>
      </c>
      <c r="M1144" t="s">
        <v>27251</v>
      </c>
      <c r="N1144" t="s">
        <v>27252</v>
      </c>
      <c r="Q1144" s="1">
        <v>44538</v>
      </c>
      <c r="R1144" t="s">
        <v>27253</v>
      </c>
      <c r="S1144" t="s">
        <v>27254</v>
      </c>
      <c r="T1144" t="s">
        <v>27255</v>
      </c>
    </row>
    <row r="1145" spans="1:20" x14ac:dyDescent="0.3">
      <c r="A1145" t="str">
        <f>"0611831457100"</f>
        <v>0611831457100</v>
      </c>
      <c r="B1145" t="str">
        <f>"LK2748"</f>
        <v>LK2748</v>
      </c>
      <c r="C1145" t="s">
        <v>29457</v>
      </c>
      <c r="D1145" t="s">
        <v>27245</v>
      </c>
      <c r="E1145" t="str">
        <f t="shared" si="17"/>
        <v>001390</v>
      </c>
      <c r="F1145" t="s">
        <v>27246</v>
      </c>
      <c r="G1145" t="s">
        <v>27247</v>
      </c>
      <c r="H1145" t="s">
        <v>27248</v>
      </c>
      <c r="I1145" t="s">
        <v>29458</v>
      </c>
      <c r="J1145" t="s">
        <v>2298</v>
      </c>
      <c r="L1145" t="s">
        <v>27250</v>
      </c>
      <c r="M1145" t="s">
        <v>27251</v>
      </c>
      <c r="N1145" t="s">
        <v>27252</v>
      </c>
      <c r="Q1145" s="1">
        <v>44538</v>
      </c>
      <c r="R1145" t="s">
        <v>27253</v>
      </c>
      <c r="S1145" t="s">
        <v>27254</v>
      </c>
      <c r="T1145" t="s">
        <v>27255</v>
      </c>
    </row>
    <row r="1146" spans="1:20" x14ac:dyDescent="0.3">
      <c r="A1146" t="str">
        <f>"0611831458100"</f>
        <v>0611831458100</v>
      </c>
      <c r="B1146" t="str">
        <f>"LK2749"</f>
        <v>LK2749</v>
      </c>
      <c r="C1146" t="s">
        <v>29459</v>
      </c>
      <c r="D1146" t="s">
        <v>27245</v>
      </c>
      <c r="E1146" t="str">
        <f t="shared" si="17"/>
        <v>001390</v>
      </c>
      <c r="F1146" t="s">
        <v>27246</v>
      </c>
      <c r="G1146" t="s">
        <v>27247</v>
      </c>
      <c r="H1146" t="s">
        <v>27248</v>
      </c>
      <c r="I1146" t="s">
        <v>29460</v>
      </c>
      <c r="J1146" t="s">
        <v>2300</v>
      </c>
      <c r="L1146" t="s">
        <v>27250</v>
      </c>
      <c r="M1146" t="s">
        <v>27251</v>
      </c>
      <c r="N1146" t="s">
        <v>27252</v>
      </c>
      <c r="Q1146" s="1">
        <v>44538</v>
      </c>
      <c r="R1146" t="s">
        <v>27253</v>
      </c>
      <c r="S1146" t="s">
        <v>27254</v>
      </c>
      <c r="T1146" t="s">
        <v>27255</v>
      </c>
    </row>
    <row r="1147" spans="1:20" x14ac:dyDescent="0.3">
      <c r="A1147" t="str">
        <f>"0611831459100"</f>
        <v>0611831459100</v>
      </c>
      <c r="B1147" t="str">
        <f>"LB1021"</f>
        <v>LB1021</v>
      </c>
      <c r="C1147" t="s">
        <v>29461</v>
      </c>
      <c r="D1147" t="s">
        <v>27245</v>
      </c>
      <c r="E1147" t="str">
        <f t="shared" si="17"/>
        <v>001390</v>
      </c>
      <c r="F1147" t="s">
        <v>27246</v>
      </c>
      <c r="G1147" t="s">
        <v>27247</v>
      </c>
      <c r="H1147" t="s">
        <v>27248</v>
      </c>
      <c r="I1147" t="s">
        <v>29462</v>
      </c>
      <c r="J1147" t="s">
        <v>2302</v>
      </c>
      <c r="L1147" t="s">
        <v>27250</v>
      </c>
      <c r="M1147" t="s">
        <v>27251</v>
      </c>
      <c r="N1147" t="s">
        <v>27252</v>
      </c>
      <c r="Q1147" s="1">
        <v>44538</v>
      </c>
      <c r="R1147" t="s">
        <v>27253</v>
      </c>
      <c r="S1147" t="s">
        <v>27254</v>
      </c>
      <c r="T1147" t="s">
        <v>27255</v>
      </c>
    </row>
    <row r="1148" spans="1:20" x14ac:dyDescent="0.3">
      <c r="A1148" t="str">
        <f>"0611831460100"</f>
        <v>0611831460100</v>
      </c>
      <c r="B1148" t="str">
        <f>"LB1169"</f>
        <v>LB1169</v>
      </c>
      <c r="C1148" t="s">
        <v>29463</v>
      </c>
      <c r="D1148" t="s">
        <v>27245</v>
      </c>
      <c r="E1148" t="str">
        <f t="shared" si="17"/>
        <v>001390</v>
      </c>
      <c r="F1148" t="s">
        <v>27246</v>
      </c>
      <c r="G1148" t="s">
        <v>27247</v>
      </c>
      <c r="H1148" t="s">
        <v>27248</v>
      </c>
      <c r="I1148" t="s">
        <v>29464</v>
      </c>
      <c r="J1148" t="s">
        <v>2304</v>
      </c>
      <c r="L1148" t="s">
        <v>27250</v>
      </c>
      <c r="M1148" t="s">
        <v>27251</v>
      </c>
      <c r="N1148" t="s">
        <v>27252</v>
      </c>
      <c r="Q1148" s="1">
        <v>44538</v>
      </c>
      <c r="R1148" t="s">
        <v>27253</v>
      </c>
      <c r="S1148" t="s">
        <v>27254</v>
      </c>
      <c r="T1148" t="s">
        <v>27255</v>
      </c>
    </row>
    <row r="1149" spans="1:20" x14ac:dyDescent="0.3">
      <c r="A1149" t="str">
        <f>"0611831461100"</f>
        <v>0611831461100</v>
      </c>
      <c r="B1149" t="str">
        <f>"LB1170"</f>
        <v>LB1170</v>
      </c>
      <c r="C1149" t="s">
        <v>29465</v>
      </c>
      <c r="D1149" t="s">
        <v>27245</v>
      </c>
      <c r="E1149" t="str">
        <f t="shared" si="17"/>
        <v>001390</v>
      </c>
      <c r="F1149" t="s">
        <v>27246</v>
      </c>
      <c r="G1149" t="s">
        <v>27247</v>
      </c>
      <c r="H1149" t="s">
        <v>27248</v>
      </c>
      <c r="I1149" t="s">
        <v>29466</v>
      </c>
      <c r="J1149" t="s">
        <v>2306</v>
      </c>
      <c r="L1149" t="s">
        <v>27250</v>
      </c>
      <c r="M1149" t="s">
        <v>27251</v>
      </c>
      <c r="N1149" t="s">
        <v>27252</v>
      </c>
      <c r="Q1149" s="1">
        <v>44538</v>
      </c>
      <c r="R1149" t="s">
        <v>27253</v>
      </c>
      <c r="S1149" t="s">
        <v>27254</v>
      </c>
      <c r="T1149" t="s">
        <v>27255</v>
      </c>
    </row>
    <row r="1150" spans="1:20" x14ac:dyDescent="0.3">
      <c r="A1150" t="str">
        <f>"0611831463100"</f>
        <v>0611831463100</v>
      </c>
      <c r="B1150" t="str">
        <f>"LK1534"</f>
        <v>LK1534</v>
      </c>
      <c r="C1150" t="s">
        <v>29467</v>
      </c>
      <c r="D1150" t="s">
        <v>27245</v>
      </c>
      <c r="E1150" t="str">
        <f t="shared" si="17"/>
        <v>001390</v>
      </c>
      <c r="F1150" t="s">
        <v>27246</v>
      </c>
      <c r="G1150" t="s">
        <v>27247</v>
      </c>
      <c r="H1150" t="s">
        <v>27248</v>
      </c>
      <c r="I1150" t="s">
        <v>29468</v>
      </c>
      <c r="J1150" t="s">
        <v>2308</v>
      </c>
      <c r="L1150" t="s">
        <v>27250</v>
      </c>
      <c r="M1150" t="s">
        <v>27251</v>
      </c>
      <c r="N1150" t="s">
        <v>27252</v>
      </c>
      <c r="Q1150" s="1">
        <v>44538</v>
      </c>
      <c r="R1150" t="s">
        <v>27253</v>
      </c>
      <c r="S1150" t="s">
        <v>27254</v>
      </c>
      <c r="T1150" t="s">
        <v>27255</v>
      </c>
    </row>
    <row r="1151" spans="1:20" x14ac:dyDescent="0.3">
      <c r="A1151" t="str">
        <f>"0611831464100"</f>
        <v>0611831464100</v>
      </c>
      <c r="B1151" t="str">
        <f>"LK4785"</f>
        <v>LK4785</v>
      </c>
      <c r="C1151" t="s">
        <v>29469</v>
      </c>
      <c r="D1151" t="s">
        <v>27245</v>
      </c>
      <c r="E1151" t="str">
        <f t="shared" si="17"/>
        <v>001390</v>
      </c>
      <c r="F1151" t="s">
        <v>27246</v>
      </c>
      <c r="G1151" t="s">
        <v>27247</v>
      </c>
      <c r="H1151" t="s">
        <v>27248</v>
      </c>
      <c r="I1151" t="s">
        <v>29470</v>
      </c>
      <c r="J1151" t="s">
        <v>2310</v>
      </c>
      <c r="L1151" t="s">
        <v>27250</v>
      </c>
      <c r="M1151" t="s">
        <v>27251</v>
      </c>
      <c r="N1151" t="s">
        <v>27252</v>
      </c>
      <c r="Q1151" s="1">
        <v>44538</v>
      </c>
      <c r="R1151" t="s">
        <v>27253</v>
      </c>
      <c r="S1151" t="s">
        <v>27254</v>
      </c>
      <c r="T1151" t="s">
        <v>27255</v>
      </c>
    </row>
    <row r="1152" spans="1:20" x14ac:dyDescent="0.3">
      <c r="A1152" t="str">
        <f>"0611831465100"</f>
        <v>0611831465100</v>
      </c>
      <c r="B1152" t="str">
        <f>"LK3296"</f>
        <v>LK3296</v>
      </c>
      <c r="C1152" t="s">
        <v>29471</v>
      </c>
      <c r="D1152" t="s">
        <v>27245</v>
      </c>
      <c r="E1152" t="str">
        <f t="shared" si="17"/>
        <v>001390</v>
      </c>
      <c r="F1152" t="s">
        <v>27246</v>
      </c>
      <c r="G1152" t="s">
        <v>27247</v>
      </c>
      <c r="H1152" t="s">
        <v>27248</v>
      </c>
      <c r="I1152" t="s">
        <v>29472</v>
      </c>
      <c r="J1152" t="s">
        <v>2312</v>
      </c>
      <c r="L1152" t="s">
        <v>27250</v>
      </c>
      <c r="M1152" t="s">
        <v>27251</v>
      </c>
      <c r="N1152" t="s">
        <v>27252</v>
      </c>
      <c r="Q1152" s="1">
        <v>44538</v>
      </c>
      <c r="R1152" t="s">
        <v>27253</v>
      </c>
      <c r="S1152" t="s">
        <v>27254</v>
      </c>
      <c r="T1152" t="s">
        <v>27255</v>
      </c>
    </row>
    <row r="1153" spans="1:20" x14ac:dyDescent="0.3">
      <c r="A1153" t="str">
        <f>"0611831466100"</f>
        <v>0611831466100</v>
      </c>
      <c r="B1153" t="str">
        <f>"LK6895"</f>
        <v>LK6895</v>
      </c>
      <c r="C1153" t="s">
        <v>29473</v>
      </c>
      <c r="D1153" t="s">
        <v>27245</v>
      </c>
      <c r="E1153" t="str">
        <f t="shared" si="17"/>
        <v>001390</v>
      </c>
      <c r="F1153" t="s">
        <v>27246</v>
      </c>
      <c r="G1153" t="s">
        <v>27247</v>
      </c>
      <c r="H1153" t="s">
        <v>27248</v>
      </c>
      <c r="I1153" t="s">
        <v>29474</v>
      </c>
      <c r="J1153" t="s">
        <v>2314</v>
      </c>
      <c r="L1153" t="s">
        <v>27250</v>
      </c>
      <c r="M1153" t="s">
        <v>27251</v>
      </c>
      <c r="N1153" t="s">
        <v>27252</v>
      </c>
      <c r="Q1153" s="1">
        <v>44538</v>
      </c>
      <c r="R1153" t="s">
        <v>27253</v>
      </c>
      <c r="S1153" t="s">
        <v>27254</v>
      </c>
      <c r="T1153" t="s">
        <v>27255</v>
      </c>
    </row>
    <row r="1154" spans="1:20" x14ac:dyDescent="0.3">
      <c r="A1154" t="str">
        <f>"0611831468100"</f>
        <v>0611831468100</v>
      </c>
      <c r="B1154" t="str">
        <f>"LK6986"</f>
        <v>LK6986</v>
      </c>
      <c r="C1154" t="s">
        <v>29475</v>
      </c>
      <c r="D1154" t="s">
        <v>27245</v>
      </c>
      <c r="E1154" t="str">
        <f t="shared" ref="E1154:E1217" si="18">"001390"</f>
        <v>001390</v>
      </c>
      <c r="F1154" t="s">
        <v>27246</v>
      </c>
      <c r="G1154" t="s">
        <v>27247</v>
      </c>
      <c r="H1154" t="s">
        <v>27248</v>
      </c>
      <c r="I1154" t="s">
        <v>29476</v>
      </c>
      <c r="J1154" t="s">
        <v>2316</v>
      </c>
      <c r="L1154" t="s">
        <v>27250</v>
      </c>
      <c r="M1154" t="s">
        <v>27251</v>
      </c>
      <c r="N1154" t="s">
        <v>27252</v>
      </c>
      <c r="Q1154" s="1">
        <v>44538</v>
      </c>
      <c r="R1154" t="s">
        <v>27253</v>
      </c>
      <c r="S1154" t="s">
        <v>27254</v>
      </c>
      <c r="T1154" t="s">
        <v>27255</v>
      </c>
    </row>
    <row r="1155" spans="1:20" x14ac:dyDescent="0.3">
      <c r="A1155" t="str">
        <f>"0611884045100"</f>
        <v>0611884045100</v>
      </c>
      <c r="B1155" t="str">
        <f>"LK7160"</f>
        <v>LK7160</v>
      </c>
      <c r="C1155" t="s">
        <v>29477</v>
      </c>
      <c r="D1155" t="s">
        <v>27245</v>
      </c>
      <c r="E1155" t="str">
        <f t="shared" si="18"/>
        <v>001390</v>
      </c>
      <c r="F1155" t="s">
        <v>27246</v>
      </c>
      <c r="G1155" t="s">
        <v>27247</v>
      </c>
      <c r="H1155" t="s">
        <v>27248</v>
      </c>
      <c r="I1155" t="s">
        <v>29478</v>
      </c>
      <c r="J1155" t="s">
        <v>2318</v>
      </c>
      <c r="L1155" t="s">
        <v>27430</v>
      </c>
      <c r="M1155" t="s">
        <v>27251</v>
      </c>
      <c r="N1155" t="s">
        <v>27252</v>
      </c>
      <c r="Q1155" s="1">
        <v>45250</v>
      </c>
      <c r="R1155" t="s">
        <v>27253</v>
      </c>
      <c r="S1155" t="s">
        <v>27254</v>
      </c>
      <c r="T1155" t="s">
        <v>27255</v>
      </c>
    </row>
    <row r="1156" spans="1:20" x14ac:dyDescent="0.3">
      <c r="A1156" t="str">
        <f>"0611831469100"</f>
        <v>0611831469100</v>
      </c>
      <c r="B1156" t="str">
        <f>"LK0551"</f>
        <v>LK0551</v>
      </c>
      <c r="C1156" t="s">
        <v>29479</v>
      </c>
      <c r="D1156" t="s">
        <v>27245</v>
      </c>
      <c r="E1156" t="str">
        <f t="shared" si="18"/>
        <v>001390</v>
      </c>
      <c r="F1156" t="s">
        <v>27246</v>
      </c>
      <c r="G1156" t="s">
        <v>27247</v>
      </c>
      <c r="H1156" t="s">
        <v>27248</v>
      </c>
      <c r="I1156" t="s">
        <v>29480</v>
      </c>
      <c r="J1156" t="s">
        <v>2320</v>
      </c>
      <c r="L1156" t="s">
        <v>27250</v>
      </c>
      <c r="M1156" t="s">
        <v>27251</v>
      </c>
      <c r="N1156" t="s">
        <v>27252</v>
      </c>
      <c r="Q1156" s="1">
        <v>44538</v>
      </c>
      <c r="R1156" t="s">
        <v>27253</v>
      </c>
      <c r="S1156" t="s">
        <v>27254</v>
      </c>
      <c r="T1156" t="s">
        <v>27255</v>
      </c>
    </row>
    <row r="1157" spans="1:20" x14ac:dyDescent="0.3">
      <c r="A1157" t="str">
        <f>"0611831470100"</f>
        <v>0611831470100</v>
      </c>
      <c r="B1157" t="str">
        <f>"LK6893"</f>
        <v>LK6893</v>
      </c>
      <c r="C1157" t="s">
        <v>29481</v>
      </c>
      <c r="D1157" t="s">
        <v>27245</v>
      </c>
      <c r="E1157" t="str">
        <f t="shared" si="18"/>
        <v>001390</v>
      </c>
      <c r="F1157" t="s">
        <v>27246</v>
      </c>
      <c r="G1157" t="s">
        <v>27247</v>
      </c>
      <c r="H1157" t="s">
        <v>27248</v>
      </c>
      <c r="I1157" t="s">
        <v>29482</v>
      </c>
      <c r="J1157" t="s">
        <v>2322</v>
      </c>
      <c r="L1157" t="s">
        <v>27250</v>
      </c>
      <c r="M1157" t="s">
        <v>27251</v>
      </c>
      <c r="N1157" t="s">
        <v>27252</v>
      </c>
      <c r="Q1157" s="1">
        <v>44538</v>
      </c>
      <c r="R1157" t="s">
        <v>27253</v>
      </c>
      <c r="S1157" t="s">
        <v>27254</v>
      </c>
      <c r="T1157" t="s">
        <v>27255</v>
      </c>
    </row>
    <row r="1158" spans="1:20" x14ac:dyDescent="0.3">
      <c r="A1158" t="str">
        <f>"0611831471100"</f>
        <v>0611831471100</v>
      </c>
      <c r="B1158" t="str">
        <f>"LK6894"</f>
        <v>LK6894</v>
      </c>
      <c r="C1158" t="s">
        <v>29483</v>
      </c>
      <c r="D1158" t="s">
        <v>27245</v>
      </c>
      <c r="E1158" t="str">
        <f t="shared" si="18"/>
        <v>001390</v>
      </c>
      <c r="F1158" t="s">
        <v>27246</v>
      </c>
      <c r="G1158" t="s">
        <v>27247</v>
      </c>
      <c r="H1158" t="s">
        <v>27248</v>
      </c>
      <c r="I1158" t="s">
        <v>29484</v>
      </c>
      <c r="J1158" t="s">
        <v>2324</v>
      </c>
      <c r="L1158" t="s">
        <v>27250</v>
      </c>
      <c r="M1158" t="s">
        <v>27251</v>
      </c>
      <c r="N1158" t="s">
        <v>27252</v>
      </c>
      <c r="Q1158" s="1">
        <v>44538</v>
      </c>
      <c r="R1158" t="s">
        <v>27253</v>
      </c>
      <c r="S1158" t="s">
        <v>27254</v>
      </c>
      <c r="T1158" t="s">
        <v>27255</v>
      </c>
    </row>
    <row r="1159" spans="1:20" x14ac:dyDescent="0.3">
      <c r="A1159" t="str">
        <f>"0611831472100"</f>
        <v>0611831472100</v>
      </c>
      <c r="B1159" t="str">
        <f>"LK6987"</f>
        <v>LK6987</v>
      </c>
      <c r="C1159" t="s">
        <v>29485</v>
      </c>
      <c r="D1159" t="s">
        <v>27245</v>
      </c>
      <c r="E1159" t="str">
        <f t="shared" si="18"/>
        <v>001390</v>
      </c>
      <c r="F1159" t="s">
        <v>27246</v>
      </c>
      <c r="G1159" t="s">
        <v>27247</v>
      </c>
      <c r="H1159" t="s">
        <v>27248</v>
      </c>
      <c r="I1159" t="s">
        <v>29486</v>
      </c>
      <c r="J1159" t="s">
        <v>2326</v>
      </c>
      <c r="L1159" t="s">
        <v>27250</v>
      </c>
      <c r="M1159" t="s">
        <v>27251</v>
      </c>
      <c r="N1159" t="s">
        <v>27252</v>
      </c>
      <c r="Q1159" s="1">
        <v>44538</v>
      </c>
      <c r="R1159" t="s">
        <v>27253</v>
      </c>
      <c r="S1159" t="s">
        <v>27254</v>
      </c>
      <c r="T1159" t="s">
        <v>27255</v>
      </c>
    </row>
    <row r="1160" spans="1:20" x14ac:dyDescent="0.3">
      <c r="A1160" t="str">
        <f>"0611831473100"</f>
        <v>0611831473100</v>
      </c>
      <c r="B1160" t="str">
        <f>"LK5664"</f>
        <v>LK5664</v>
      </c>
      <c r="C1160" t="s">
        <v>29487</v>
      </c>
      <c r="D1160" t="s">
        <v>27245</v>
      </c>
      <c r="E1160" t="str">
        <f t="shared" si="18"/>
        <v>001390</v>
      </c>
      <c r="F1160" t="s">
        <v>27246</v>
      </c>
      <c r="G1160" t="s">
        <v>27247</v>
      </c>
      <c r="H1160" t="s">
        <v>27248</v>
      </c>
      <c r="I1160" t="s">
        <v>29488</v>
      </c>
      <c r="J1160" t="s">
        <v>2328</v>
      </c>
      <c r="L1160" t="s">
        <v>27250</v>
      </c>
      <c r="M1160" t="s">
        <v>27251</v>
      </c>
      <c r="N1160" t="s">
        <v>27252</v>
      </c>
      <c r="Q1160" s="1">
        <v>44538</v>
      </c>
      <c r="R1160" t="s">
        <v>27253</v>
      </c>
      <c r="S1160" t="s">
        <v>27254</v>
      </c>
      <c r="T1160" t="s">
        <v>27255</v>
      </c>
    </row>
    <row r="1161" spans="1:20" x14ac:dyDescent="0.3">
      <c r="A1161" t="str">
        <f>"0611831474100"</f>
        <v>0611831474100</v>
      </c>
      <c r="B1161" t="str">
        <f>"LB1174"</f>
        <v>LB1174</v>
      </c>
      <c r="C1161" t="s">
        <v>29489</v>
      </c>
      <c r="D1161" t="s">
        <v>27245</v>
      </c>
      <c r="E1161" t="str">
        <f t="shared" si="18"/>
        <v>001390</v>
      </c>
      <c r="F1161" t="s">
        <v>27246</v>
      </c>
      <c r="G1161" t="s">
        <v>27247</v>
      </c>
      <c r="H1161" t="s">
        <v>27248</v>
      </c>
      <c r="I1161" t="s">
        <v>29490</v>
      </c>
      <c r="J1161" t="s">
        <v>2330</v>
      </c>
      <c r="L1161" t="s">
        <v>27250</v>
      </c>
      <c r="M1161" t="s">
        <v>27251</v>
      </c>
      <c r="N1161" t="s">
        <v>27252</v>
      </c>
      <c r="Q1161" s="1">
        <v>44538</v>
      </c>
      <c r="R1161" t="s">
        <v>27253</v>
      </c>
      <c r="S1161" t="s">
        <v>27254</v>
      </c>
      <c r="T1161" t="s">
        <v>27255</v>
      </c>
    </row>
    <row r="1162" spans="1:20" x14ac:dyDescent="0.3">
      <c r="A1162" t="str">
        <f>"0611831475100"</f>
        <v>0611831475100</v>
      </c>
      <c r="B1162" t="str">
        <f>"LK5723"</f>
        <v>LK5723</v>
      </c>
      <c r="C1162" t="s">
        <v>29491</v>
      </c>
      <c r="D1162" t="s">
        <v>27245</v>
      </c>
      <c r="E1162" t="str">
        <f t="shared" si="18"/>
        <v>001390</v>
      </c>
      <c r="F1162" t="s">
        <v>27246</v>
      </c>
      <c r="G1162" t="s">
        <v>27247</v>
      </c>
      <c r="H1162" t="s">
        <v>27248</v>
      </c>
      <c r="I1162" t="s">
        <v>29492</v>
      </c>
      <c r="J1162" t="s">
        <v>2332</v>
      </c>
      <c r="L1162" t="s">
        <v>27250</v>
      </c>
      <c r="M1162" t="s">
        <v>27251</v>
      </c>
      <c r="N1162" t="s">
        <v>27252</v>
      </c>
      <c r="Q1162" s="1">
        <v>44538</v>
      </c>
      <c r="R1162" t="s">
        <v>27253</v>
      </c>
      <c r="S1162" t="s">
        <v>27254</v>
      </c>
      <c r="T1162" t="s">
        <v>27255</v>
      </c>
    </row>
    <row r="1163" spans="1:20" x14ac:dyDescent="0.3">
      <c r="A1163" t="str">
        <f>"0611831476100"</f>
        <v>0611831476100</v>
      </c>
      <c r="B1163" t="str">
        <f>"LK5436"</f>
        <v>LK5436</v>
      </c>
      <c r="C1163" t="s">
        <v>29493</v>
      </c>
      <c r="D1163" t="s">
        <v>27245</v>
      </c>
      <c r="E1163" t="str">
        <f t="shared" si="18"/>
        <v>001390</v>
      </c>
      <c r="F1163" t="s">
        <v>27246</v>
      </c>
      <c r="G1163" t="s">
        <v>27247</v>
      </c>
      <c r="H1163" t="s">
        <v>27248</v>
      </c>
      <c r="I1163" t="s">
        <v>29494</v>
      </c>
      <c r="J1163" t="s">
        <v>2334</v>
      </c>
      <c r="L1163" t="s">
        <v>27250</v>
      </c>
      <c r="M1163" t="s">
        <v>27251</v>
      </c>
      <c r="N1163" t="s">
        <v>27252</v>
      </c>
      <c r="Q1163" s="1">
        <v>44538</v>
      </c>
      <c r="R1163" t="s">
        <v>27253</v>
      </c>
      <c r="S1163" t="s">
        <v>27254</v>
      </c>
      <c r="T1163" t="s">
        <v>27255</v>
      </c>
    </row>
    <row r="1164" spans="1:20" x14ac:dyDescent="0.3">
      <c r="A1164" t="str">
        <f>"0611831477100"</f>
        <v>0611831477100</v>
      </c>
      <c r="B1164" t="str">
        <f>"LK6897"</f>
        <v>LK6897</v>
      </c>
      <c r="C1164" t="s">
        <v>29495</v>
      </c>
      <c r="D1164" t="s">
        <v>27245</v>
      </c>
      <c r="E1164" t="str">
        <f t="shared" si="18"/>
        <v>001390</v>
      </c>
      <c r="F1164" t="s">
        <v>27246</v>
      </c>
      <c r="G1164" t="s">
        <v>27247</v>
      </c>
      <c r="H1164" t="s">
        <v>27248</v>
      </c>
      <c r="I1164" t="s">
        <v>29496</v>
      </c>
      <c r="J1164" t="s">
        <v>2338</v>
      </c>
      <c r="L1164" t="s">
        <v>27250</v>
      </c>
      <c r="M1164" t="s">
        <v>27251</v>
      </c>
      <c r="N1164" t="s">
        <v>27252</v>
      </c>
      <c r="Q1164" s="1">
        <v>44538</v>
      </c>
      <c r="R1164" t="s">
        <v>27253</v>
      </c>
      <c r="S1164" t="s">
        <v>27254</v>
      </c>
      <c r="T1164" t="s">
        <v>27255</v>
      </c>
    </row>
    <row r="1165" spans="1:20" x14ac:dyDescent="0.3">
      <c r="A1165" t="str">
        <f>"0611831478100"</f>
        <v>0611831478100</v>
      </c>
      <c r="B1165" t="str">
        <f>"LK2760"</f>
        <v>LK2760</v>
      </c>
      <c r="C1165" t="s">
        <v>29497</v>
      </c>
      <c r="D1165" t="s">
        <v>27245</v>
      </c>
      <c r="E1165" t="str">
        <f t="shared" si="18"/>
        <v>001390</v>
      </c>
      <c r="F1165" t="s">
        <v>27246</v>
      </c>
      <c r="G1165" t="s">
        <v>27247</v>
      </c>
      <c r="H1165" t="s">
        <v>27248</v>
      </c>
      <c r="I1165" t="s">
        <v>29498</v>
      </c>
      <c r="J1165" t="s">
        <v>2336</v>
      </c>
      <c r="L1165" t="s">
        <v>27250</v>
      </c>
      <c r="M1165" t="s">
        <v>27251</v>
      </c>
      <c r="N1165" t="s">
        <v>27252</v>
      </c>
      <c r="Q1165" s="1">
        <v>44538</v>
      </c>
      <c r="R1165" t="s">
        <v>27253</v>
      </c>
      <c r="S1165" t="s">
        <v>27254</v>
      </c>
      <c r="T1165" t="s">
        <v>27255</v>
      </c>
    </row>
    <row r="1166" spans="1:20" x14ac:dyDescent="0.3">
      <c r="A1166" t="str">
        <f>"0611831479100"</f>
        <v>0611831479100</v>
      </c>
      <c r="B1166" t="str">
        <f>"LK2761"</f>
        <v>LK2761</v>
      </c>
      <c r="C1166" t="s">
        <v>29499</v>
      </c>
      <c r="D1166" t="s">
        <v>27245</v>
      </c>
      <c r="E1166" t="str">
        <f t="shared" si="18"/>
        <v>001390</v>
      </c>
      <c r="F1166" t="s">
        <v>27246</v>
      </c>
      <c r="G1166" t="s">
        <v>27247</v>
      </c>
      <c r="H1166" t="s">
        <v>27248</v>
      </c>
      <c r="I1166" t="s">
        <v>29500</v>
      </c>
      <c r="J1166" t="s">
        <v>2340</v>
      </c>
      <c r="L1166" t="s">
        <v>27250</v>
      </c>
      <c r="M1166" t="s">
        <v>27251</v>
      </c>
      <c r="N1166" t="s">
        <v>27252</v>
      </c>
      <c r="Q1166" s="1">
        <v>44538</v>
      </c>
      <c r="R1166" t="s">
        <v>27253</v>
      </c>
      <c r="S1166" t="s">
        <v>27254</v>
      </c>
      <c r="T1166" t="s">
        <v>27255</v>
      </c>
    </row>
    <row r="1167" spans="1:20" x14ac:dyDescent="0.3">
      <c r="A1167" t="str">
        <f>"0611831480100"</f>
        <v>0611831480100</v>
      </c>
      <c r="B1167" t="str">
        <f>"LK2762"</f>
        <v>LK2762</v>
      </c>
      <c r="C1167" t="s">
        <v>29501</v>
      </c>
      <c r="D1167" t="s">
        <v>27245</v>
      </c>
      <c r="E1167" t="str">
        <f t="shared" si="18"/>
        <v>001390</v>
      </c>
      <c r="F1167" t="s">
        <v>27246</v>
      </c>
      <c r="G1167" t="s">
        <v>27247</v>
      </c>
      <c r="H1167" t="s">
        <v>27248</v>
      </c>
      <c r="I1167" t="s">
        <v>29502</v>
      </c>
      <c r="J1167" t="s">
        <v>2342</v>
      </c>
      <c r="L1167" t="s">
        <v>27250</v>
      </c>
      <c r="M1167" t="s">
        <v>27251</v>
      </c>
      <c r="N1167" t="s">
        <v>27252</v>
      </c>
      <c r="Q1167" s="1">
        <v>44538</v>
      </c>
      <c r="R1167" t="s">
        <v>27253</v>
      </c>
      <c r="S1167" t="s">
        <v>27254</v>
      </c>
      <c r="T1167" t="s">
        <v>27255</v>
      </c>
    </row>
    <row r="1168" spans="1:20" x14ac:dyDescent="0.3">
      <c r="A1168" t="str">
        <f>"0611831481100"</f>
        <v>0611831481100</v>
      </c>
      <c r="B1168" t="str">
        <f>"LK3297"</f>
        <v>LK3297</v>
      </c>
      <c r="C1168" t="s">
        <v>29503</v>
      </c>
      <c r="D1168" t="s">
        <v>27245</v>
      </c>
      <c r="E1168" t="str">
        <f t="shared" si="18"/>
        <v>001390</v>
      </c>
      <c r="F1168" t="s">
        <v>27246</v>
      </c>
      <c r="G1168" t="s">
        <v>27247</v>
      </c>
      <c r="H1168" t="s">
        <v>27248</v>
      </c>
      <c r="I1168" t="s">
        <v>29504</v>
      </c>
      <c r="J1168" t="s">
        <v>2344</v>
      </c>
      <c r="L1168" t="s">
        <v>27250</v>
      </c>
      <c r="M1168" t="s">
        <v>27251</v>
      </c>
      <c r="N1168" t="s">
        <v>27252</v>
      </c>
      <c r="Q1168" s="1">
        <v>44538</v>
      </c>
      <c r="R1168" t="s">
        <v>27253</v>
      </c>
      <c r="S1168" t="s">
        <v>27254</v>
      </c>
      <c r="T1168" t="s">
        <v>27255</v>
      </c>
    </row>
    <row r="1169" spans="1:20" x14ac:dyDescent="0.3">
      <c r="A1169" t="str">
        <f>"0611831482100"</f>
        <v>0611831482100</v>
      </c>
      <c r="B1169" t="str">
        <f>"LK0738"</f>
        <v>LK0738</v>
      </c>
      <c r="C1169" t="s">
        <v>29505</v>
      </c>
      <c r="D1169" t="s">
        <v>27245</v>
      </c>
      <c r="E1169" t="str">
        <f t="shared" si="18"/>
        <v>001390</v>
      </c>
      <c r="F1169" t="s">
        <v>27246</v>
      </c>
      <c r="G1169" t="s">
        <v>27247</v>
      </c>
      <c r="H1169" t="s">
        <v>27248</v>
      </c>
      <c r="I1169" t="s">
        <v>29506</v>
      </c>
      <c r="J1169" t="s">
        <v>2346</v>
      </c>
      <c r="L1169" t="s">
        <v>27250</v>
      </c>
      <c r="M1169" t="s">
        <v>27251</v>
      </c>
      <c r="N1169" t="s">
        <v>27252</v>
      </c>
      <c r="Q1169" s="1">
        <v>44538</v>
      </c>
      <c r="R1169" t="s">
        <v>27253</v>
      </c>
      <c r="S1169" t="s">
        <v>27254</v>
      </c>
      <c r="T1169" t="s">
        <v>27255</v>
      </c>
    </row>
    <row r="1170" spans="1:20" x14ac:dyDescent="0.3">
      <c r="A1170" t="str">
        <f>"0611831483100"</f>
        <v>0611831483100</v>
      </c>
      <c r="B1170" t="str">
        <f>"LK2763"</f>
        <v>LK2763</v>
      </c>
      <c r="C1170" t="s">
        <v>29507</v>
      </c>
      <c r="D1170" t="s">
        <v>27245</v>
      </c>
      <c r="E1170" t="str">
        <f t="shared" si="18"/>
        <v>001390</v>
      </c>
      <c r="F1170" t="s">
        <v>27246</v>
      </c>
      <c r="G1170" t="s">
        <v>27247</v>
      </c>
      <c r="H1170" t="s">
        <v>27248</v>
      </c>
      <c r="I1170" t="s">
        <v>29508</v>
      </c>
      <c r="J1170" t="s">
        <v>2348</v>
      </c>
      <c r="L1170" t="s">
        <v>27250</v>
      </c>
      <c r="M1170" t="s">
        <v>27251</v>
      </c>
      <c r="N1170" t="s">
        <v>27252</v>
      </c>
      <c r="Q1170" s="1">
        <v>44538</v>
      </c>
      <c r="R1170" t="s">
        <v>27253</v>
      </c>
      <c r="S1170" t="s">
        <v>27254</v>
      </c>
      <c r="T1170" t="s">
        <v>27255</v>
      </c>
    </row>
    <row r="1171" spans="1:20" x14ac:dyDescent="0.3">
      <c r="A1171" t="str">
        <f>"0611831484100"</f>
        <v>0611831484100</v>
      </c>
      <c r="B1171" t="str">
        <f>"LK2764"</f>
        <v>LK2764</v>
      </c>
      <c r="C1171" t="s">
        <v>29509</v>
      </c>
      <c r="D1171" t="s">
        <v>27245</v>
      </c>
      <c r="E1171" t="str">
        <f t="shared" si="18"/>
        <v>001390</v>
      </c>
      <c r="F1171" t="s">
        <v>27246</v>
      </c>
      <c r="G1171" t="s">
        <v>27247</v>
      </c>
      <c r="H1171" t="s">
        <v>27248</v>
      </c>
      <c r="I1171" t="s">
        <v>29510</v>
      </c>
      <c r="J1171" t="s">
        <v>2350</v>
      </c>
      <c r="L1171" t="s">
        <v>27250</v>
      </c>
      <c r="M1171" t="s">
        <v>27251</v>
      </c>
      <c r="N1171" t="s">
        <v>27252</v>
      </c>
      <c r="Q1171" s="1">
        <v>44538</v>
      </c>
      <c r="R1171" t="s">
        <v>27253</v>
      </c>
      <c r="S1171" t="s">
        <v>27254</v>
      </c>
      <c r="T1171" t="s">
        <v>27255</v>
      </c>
    </row>
    <row r="1172" spans="1:20" x14ac:dyDescent="0.3">
      <c r="A1172" t="str">
        <f>"0611831485100"</f>
        <v>0611831485100</v>
      </c>
      <c r="B1172" t="str">
        <f>"LK2765"</f>
        <v>LK2765</v>
      </c>
      <c r="C1172" t="s">
        <v>29511</v>
      </c>
      <c r="D1172" t="s">
        <v>27245</v>
      </c>
      <c r="E1172" t="str">
        <f t="shared" si="18"/>
        <v>001390</v>
      </c>
      <c r="F1172" t="s">
        <v>27246</v>
      </c>
      <c r="G1172" t="s">
        <v>27247</v>
      </c>
      <c r="H1172" t="s">
        <v>27248</v>
      </c>
      <c r="I1172" t="s">
        <v>29512</v>
      </c>
      <c r="J1172" t="s">
        <v>2352</v>
      </c>
      <c r="L1172" t="s">
        <v>27250</v>
      </c>
      <c r="M1172" t="s">
        <v>27251</v>
      </c>
      <c r="N1172" t="s">
        <v>27252</v>
      </c>
      <c r="Q1172" s="1">
        <v>44538</v>
      </c>
      <c r="R1172" t="s">
        <v>27253</v>
      </c>
      <c r="S1172" t="s">
        <v>27254</v>
      </c>
      <c r="T1172" t="s">
        <v>27255</v>
      </c>
    </row>
    <row r="1173" spans="1:20" x14ac:dyDescent="0.3">
      <c r="A1173" t="str">
        <f>"0611831486100"</f>
        <v>0611831486100</v>
      </c>
      <c r="B1173" t="str">
        <f>"LB1175"</f>
        <v>LB1175</v>
      </c>
      <c r="C1173" t="s">
        <v>29513</v>
      </c>
      <c r="D1173" t="s">
        <v>27245</v>
      </c>
      <c r="E1173" t="str">
        <f t="shared" si="18"/>
        <v>001390</v>
      </c>
      <c r="F1173" t="s">
        <v>27246</v>
      </c>
      <c r="G1173" t="s">
        <v>27247</v>
      </c>
      <c r="H1173" t="s">
        <v>27248</v>
      </c>
      <c r="I1173" t="s">
        <v>29514</v>
      </c>
      <c r="J1173" t="s">
        <v>2354</v>
      </c>
      <c r="L1173" t="s">
        <v>27250</v>
      </c>
      <c r="M1173" t="s">
        <v>27251</v>
      </c>
      <c r="N1173" t="s">
        <v>27252</v>
      </c>
      <c r="Q1173" s="1">
        <v>44538</v>
      </c>
      <c r="R1173" t="s">
        <v>27253</v>
      </c>
      <c r="S1173" t="s">
        <v>27254</v>
      </c>
      <c r="T1173" t="s">
        <v>27255</v>
      </c>
    </row>
    <row r="1174" spans="1:20" x14ac:dyDescent="0.3">
      <c r="A1174" t="str">
        <f>"0611831487100"</f>
        <v>0611831487100</v>
      </c>
      <c r="B1174" t="str">
        <f>"LB1176"</f>
        <v>LB1176</v>
      </c>
      <c r="C1174" t="s">
        <v>29515</v>
      </c>
      <c r="D1174" t="s">
        <v>27245</v>
      </c>
      <c r="E1174" t="str">
        <f t="shared" si="18"/>
        <v>001390</v>
      </c>
      <c r="F1174" t="s">
        <v>27246</v>
      </c>
      <c r="G1174" t="s">
        <v>27247</v>
      </c>
      <c r="H1174" t="s">
        <v>27248</v>
      </c>
      <c r="I1174" t="s">
        <v>29516</v>
      </c>
      <c r="J1174" t="s">
        <v>2356</v>
      </c>
      <c r="L1174" t="s">
        <v>27250</v>
      </c>
      <c r="M1174" t="s">
        <v>27251</v>
      </c>
      <c r="N1174" t="s">
        <v>27252</v>
      </c>
      <c r="Q1174" s="1">
        <v>44538</v>
      </c>
      <c r="R1174" t="s">
        <v>27253</v>
      </c>
      <c r="S1174" t="s">
        <v>27254</v>
      </c>
      <c r="T1174" t="s">
        <v>27255</v>
      </c>
    </row>
    <row r="1175" spans="1:20" x14ac:dyDescent="0.3">
      <c r="A1175" t="str">
        <f>"0611831488100"</f>
        <v>0611831488100</v>
      </c>
      <c r="B1175" t="str">
        <f>"LK5722"</f>
        <v>LK5722</v>
      </c>
      <c r="C1175" t="s">
        <v>29517</v>
      </c>
      <c r="D1175" t="s">
        <v>27245</v>
      </c>
      <c r="E1175" t="str">
        <f t="shared" si="18"/>
        <v>001390</v>
      </c>
      <c r="F1175" t="s">
        <v>27246</v>
      </c>
      <c r="G1175" t="s">
        <v>27247</v>
      </c>
      <c r="H1175" t="s">
        <v>27248</v>
      </c>
      <c r="I1175" t="s">
        <v>29518</v>
      </c>
      <c r="J1175" t="s">
        <v>2358</v>
      </c>
      <c r="L1175" t="s">
        <v>27250</v>
      </c>
      <c r="M1175" t="s">
        <v>27251</v>
      </c>
      <c r="N1175" t="s">
        <v>27252</v>
      </c>
      <c r="Q1175" s="1">
        <v>44538</v>
      </c>
      <c r="R1175" t="s">
        <v>27253</v>
      </c>
      <c r="S1175" t="s">
        <v>27254</v>
      </c>
      <c r="T1175" t="s">
        <v>27255</v>
      </c>
    </row>
    <row r="1176" spans="1:20" x14ac:dyDescent="0.3">
      <c r="A1176" t="str">
        <f>"0611831489100"</f>
        <v>0611831489100</v>
      </c>
      <c r="B1176" t="str">
        <f>"LB0913"</f>
        <v>LB0913</v>
      </c>
      <c r="C1176" t="s">
        <v>29519</v>
      </c>
      <c r="D1176" t="s">
        <v>27245</v>
      </c>
      <c r="E1176" t="str">
        <f t="shared" si="18"/>
        <v>001390</v>
      </c>
      <c r="F1176" t="s">
        <v>27246</v>
      </c>
      <c r="G1176" t="s">
        <v>27247</v>
      </c>
      <c r="H1176" t="s">
        <v>27248</v>
      </c>
      <c r="I1176" t="s">
        <v>29520</v>
      </c>
      <c r="J1176" t="s">
        <v>2360</v>
      </c>
      <c r="L1176" t="s">
        <v>27250</v>
      </c>
      <c r="M1176" t="s">
        <v>27251</v>
      </c>
      <c r="N1176" t="s">
        <v>27252</v>
      </c>
      <c r="Q1176" s="1">
        <v>44538</v>
      </c>
      <c r="R1176" t="s">
        <v>27253</v>
      </c>
      <c r="S1176" t="s">
        <v>27254</v>
      </c>
      <c r="T1176" t="s">
        <v>27255</v>
      </c>
    </row>
    <row r="1177" spans="1:20" x14ac:dyDescent="0.3">
      <c r="A1177" t="str">
        <f>"0611831490100"</f>
        <v>0611831490100</v>
      </c>
      <c r="B1177" t="str">
        <f>"LK6988"</f>
        <v>LK6988</v>
      </c>
      <c r="C1177" t="s">
        <v>29521</v>
      </c>
      <c r="D1177" t="s">
        <v>27245</v>
      </c>
      <c r="E1177" t="str">
        <f t="shared" si="18"/>
        <v>001390</v>
      </c>
      <c r="F1177" t="s">
        <v>27246</v>
      </c>
      <c r="G1177" t="s">
        <v>27247</v>
      </c>
      <c r="H1177" t="s">
        <v>27248</v>
      </c>
      <c r="I1177" t="s">
        <v>29522</v>
      </c>
      <c r="J1177" t="s">
        <v>2362</v>
      </c>
      <c r="L1177" t="s">
        <v>27250</v>
      </c>
      <c r="M1177" t="s">
        <v>27251</v>
      </c>
      <c r="N1177" t="s">
        <v>27252</v>
      </c>
      <c r="Q1177" s="1">
        <v>44538</v>
      </c>
      <c r="R1177" t="s">
        <v>27253</v>
      </c>
      <c r="S1177" t="s">
        <v>27254</v>
      </c>
      <c r="T1177" t="s">
        <v>27255</v>
      </c>
    </row>
    <row r="1178" spans="1:20" x14ac:dyDescent="0.3">
      <c r="A1178" t="str">
        <f>"0611831491100"</f>
        <v>0611831491100</v>
      </c>
      <c r="B1178" t="str">
        <f>"LB1177"</f>
        <v>LB1177</v>
      </c>
      <c r="C1178" t="s">
        <v>29523</v>
      </c>
      <c r="D1178" t="s">
        <v>27245</v>
      </c>
      <c r="E1178" t="str">
        <f t="shared" si="18"/>
        <v>001390</v>
      </c>
      <c r="F1178" t="s">
        <v>27246</v>
      </c>
      <c r="G1178" t="s">
        <v>27247</v>
      </c>
      <c r="H1178" t="s">
        <v>27248</v>
      </c>
      <c r="I1178" t="s">
        <v>29524</v>
      </c>
      <c r="J1178" t="s">
        <v>2364</v>
      </c>
      <c r="L1178" t="s">
        <v>27250</v>
      </c>
      <c r="M1178" t="s">
        <v>27251</v>
      </c>
      <c r="N1178" t="s">
        <v>27252</v>
      </c>
      <c r="Q1178" s="1">
        <v>44538</v>
      </c>
      <c r="R1178" t="s">
        <v>27253</v>
      </c>
      <c r="S1178" t="s">
        <v>27254</v>
      </c>
      <c r="T1178" t="s">
        <v>27255</v>
      </c>
    </row>
    <row r="1179" spans="1:20" x14ac:dyDescent="0.3">
      <c r="A1179" t="str">
        <f>"0611831492100"</f>
        <v>0611831492100</v>
      </c>
      <c r="B1179" t="str">
        <f>"LB1172"</f>
        <v>LB1172</v>
      </c>
      <c r="C1179" t="s">
        <v>29525</v>
      </c>
      <c r="D1179" t="s">
        <v>27245</v>
      </c>
      <c r="E1179" t="str">
        <f t="shared" si="18"/>
        <v>001390</v>
      </c>
      <c r="F1179" t="s">
        <v>27246</v>
      </c>
      <c r="G1179" t="s">
        <v>27247</v>
      </c>
      <c r="H1179" t="s">
        <v>27248</v>
      </c>
      <c r="I1179" t="s">
        <v>29526</v>
      </c>
      <c r="J1179" t="s">
        <v>2366</v>
      </c>
      <c r="L1179" t="s">
        <v>27250</v>
      </c>
      <c r="M1179" t="s">
        <v>27251</v>
      </c>
      <c r="N1179" t="s">
        <v>27252</v>
      </c>
      <c r="Q1179" s="1">
        <v>44538</v>
      </c>
      <c r="R1179" t="s">
        <v>27253</v>
      </c>
      <c r="S1179" t="s">
        <v>27254</v>
      </c>
      <c r="T1179" t="s">
        <v>27255</v>
      </c>
    </row>
    <row r="1180" spans="1:20" x14ac:dyDescent="0.3">
      <c r="A1180" t="str">
        <f>"0611831494100"</f>
        <v>0611831494100</v>
      </c>
      <c r="B1180" t="str">
        <f>"MB0830"</f>
        <v>MB0830</v>
      </c>
      <c r="C1180" t="s">
        <v>29527</v>
      </c>
      <c r="D1180" t="s">
        <v>27274</v>
      </c>
      <c r="E1180" t="str">
        <f t="shared" si="18"/>
        <v>001390</v>
      </c>
      <c r="F1180" t="s">
        <v>27246</v>
      </c>
      <c r="G1180" t="s">
        <v>27247</v>
      </c>
      <c r="H1180" t="s">
        <v>27248</v>
      </c>
      <c r="I1180" t="s">
        <v>29528</v>
      </c>
      <c r="J1180" t="s">
        <v>2368</v>
      </c>
      <c r="L1180" t="s">
        <v>27250</v>
      </c>
      <c r="M1180" t="s">
        <v>27251</v>
      </c>
      <c r="N1180" t="s">
        <v>27252</v>
      </c>
      <c r="Q1180" s="1">
        <v>44538</v>
      </c>
      <c r="R1180" t="s">
        <v>27253</v>
      </c>
      <c r="S1180" t="s">
        <v>27254</v>
      </c>
      <c r="T1180" t="s">
        <v>27276</v>
      </c>
    </row>
    <row r="1181" spans="1:20" x14ac:dyDescent="0.3">
      <c r="A1181" t="str">
        <f>"0611831495100"</f>
        <v>0611831495100</v>
      </c>
      <c r="B1181" t="str">
        <f>"LK3298"</f>
        <v>LK3298</v>
      </c>
      <c r="C1181" t="s">
        <v>29527</v>
      </c>
      <c r="D1181" t="s">
        <v>27245</v>
      </c>
      <c r="E1181" t="str">
        <f t="shared" si="18"/>
        <v>001390</v>
      </c>
      <c r="F1181" t="s">
        <v>27246</v>
      </c>
      <c r="G1181" t="s">
        <v>27247</v>
      </c>
      <c r="H1181" t="s">
        <v>27248</v>
      </c>
      <c r="I1181" t="s">
        <v>29529</v>
      </c>
      <c r="J1181" t="s">
        <v>2370</v>
      </c>
      <c r="L1181" t="s">
        <v>27250</v>
      </c>
      <c r="M1181" t="s">
        <v>27251</v>
      </c>
      <c r="N1181" t="s">
        <v>27252</v>
      </c>
      <c r="Q1181" s="1">
        <v>44538</v>
      </c>
      <c r="R1181" t="s">
        <v>27253</v>
      </c>
      <c r="S1181" t="s">
        <v>27254</v>
      </c>
      <c r="T1181" t="s">
        <v>27255</v>
      </c>
    </row>
    <row r="1182" spans="1:20" x14ac:dyDescent="0.3">
      <c r="A1182" t="str">
        <f>"0611831496100"</f>
        <v>0611831496100</v>
      </c>
      <c r="B1182" t="str">
        <f>"LK6896"</f>
        <v>LK6896</v>
      </c>
      <c r="C1182" t="s">
        <v>29530</v>
      </c>
      <c r="D1182" t="s">
        <v>27245</v>
      </c>
      <c r="E1182" t="str">
        <f t="shared" si="18"/>
        <v>001390</v>
      </c>
      <c r="F1182" t="s">
        <v>27246</v>
      </c>
      <c r="G1182" t="s">
        <v>27247</v>
      </c>
      <c r="H1182" t="s">
        <v>27248</v>
      </c>
      <c r="I1182" t="s">
        <v>29531</v>
      </c>
      <c r="J1182" t="s">
        <v>2372</v>
      </c>
      <c r="L1182" t="s">
        <v>27250</v>
      </c>
      <c r="M1182" t="s">
        <v>27251</v>
      </c>
      <c r="N1182" t="s">
        <v>27252</v>
      </c>
      <c r="Q1182" s="1">
        <v>44538</v>
      </c>
      <c r="R1182" t="s">
        <v>27253</v>
      </c>
      <c r="S1182" t="s">
        <v>27254</v>
      </c>
      <c r="T1182" t="s">
        <v>27255</v>
      </c>
    </row>
    <row r="1183" spans="1:20" x14ac:dyDescent="0.3">
      <c r="A1183" t="str">
        <f>"0611831497100"</f>
        <v>0611831497100</v>
      </c>
      <c r="B1183" t="str">
        <f>"LB1180"</f>
        <v>LB1180</v>
      </c>
      <c r="C1183" t="s">
        <v>29532</v>
      </c>
      <c r="D1183" t="s">
        <v>27245</v>
      </c>
      <c r="E1183" t="str">
        <f t="shared" si="18"/>
        <v>001390</v>
      </c>
      <c r="F1183" t="s">
        <v>27246</v>
      </c>
      <c r="G1183" t="s">
        <v>27247</v>
      </c>
      <c r="H1183" t="s">
        <v>27248</v>
      </c>
      <c r="I1183" t="s">
        <v>29533</v>
      </c>
      <c r="J1183" t="s">
        <v>2374</v>
      </c>
      <c r="L1183" t="s">
        <v>27250</v>
      </c>
      <c r="M1183" t="s">
        <v>27251</v>
      </c>
      <c r="N1183" t="s">
        <v>27252</v>
      </c>
      <c r="Q1183" s="1">
        <v>44538</v>
      </c>
      <c r="R1183" t="s">
        <v>27253</v>
      </c>
      <c r="S1183" t="s">
        <v>27254</v>
      </c>
      <c r="T1183" t="s">
        <v>27255</v>
      </c>
    </row>
    <row r="1184" spans="1:20" x14ac:dyDescent="0.3">
      <c r="A1184" t="str">
        <f>"0611831498100"</f>
        <v>0611831498100</v>
      </c>
      <c r="B1184" t="str">
        <f>"LK4786"</f>
        <v>LK4786</v>
      </c>
      <c r="C1184" t="s">
        <v>29534</v>
      </c>
      <c r="D1184" t="s">
        <v>27245</v>
      </c>
      <c r="E1184" t="str">
        <f t="shared" si="18"/>
        <v>001390</v>
      </c>
      <c r="F1184" t="s">
        <v>27246</v>
      </c>
      <c r="G1184" t="s">
        <v>27247</v>
      </c>
      <c r="H1184" t="s">
        <v>27248</v>
      </c>
      <c r="I1184" t="s">
        <v>29535</v>
      </c>
      <c r="J1184" t="s">
        <v>2378</v>
      </c>
      <c r="L1184" t="s">
        <v>27250</v>
      </c>
      <c r="M1184" t="s">
        <v>27251</v>
      </c>
      <c r="N1184" t="s">
        <v>27252</v>
      </c>
      <c r="Q1184" s="1">
        <v>44538</v>
      </c>
      <c r="R1184" t="s">
        <v>27253</v>
      </c>
      <c r="S1184" t="s">
        <v>27254</v>
      </c>
      <c r="T1184" t="s">
        <v>27255</v>
      </c>
    </row>
    <row r="1185" spans="1:20" x14ac:dyDescent="0.3">
      <c r="A1185" t="str">
        <f>"0611831499100"</f>
        <v>0611831499100</v>
      </c>
      <c r="B1185" t="str">
        <f>"LB1179"</f>
        <v>LB1179</v>
      </c>
      <c r="C1185" t="s">
        <v>29536</v>
      </c>
      <c r="D1185" t="s">
        <v>27245</v>
      </c>
      <c r="E1185" t="str">
        <f t="shared" si="18"/>
        <v>001390</v>
      </c>
      <c r="F1185" t="s">
        <v>27246</v>
      </c>
      <c r="G1185" t="s">
        <v>27247</v>
      </c>
      <c r="H1185" t="s">
        <v>27248</v>
      </c>
      <c r="I1185" t="s">
        <v>29537</v>
      </c>
      <c r="J1185" t="s">
        <v>2376</v>
      </c>
      <c r="L1185" t="s">
        <v>27250</v>
      </c>
      <c r="M1185" t="s">
        <v>27251</v>
      </c>
      <c r="N1185" t="s">
        <v>27252</v>
      </c>
      <c r="Q1185" s="1">
        <v>44538</v>
      </c>
      <c r="R1185" t="s">
        <v>27253</v>
      </c>
      <c r="S1185" t="s">
        <v>27254</v>
      </c>
      <c r="T1185" t="s">
        <v>27255</v>
      </c>
    </row>
    <row r="1186" spans="1:20" x14ac:dyDescent="0.3">
      <c r="A1186" t="str">
        <f>"0611831500100"</f>
        <v>0611831500100</v>
      </c>
      <c r="B1186" t="str">
        <f>"LQ3507"</f>
        <v>LQ3507</v>
      </c>
      <c r="C1186" t="s">
        <v>29538</v>
      </c>
      <c r="D1186" t="s">
        <v>27552</v>
      </c>
      <c r="E1186" t="str">
        <f t="shared" si="18"/>
        <v>001390</v>
      </c>
      <c r="F1186" t="s">
        <v>27246</v>
      </c>
      <c r="G1186" t="s">
        <v>27247</v>
      </c>
      <c r="H1186" t="s">
        <v>27248</v>
      </c>
      <c r="I1186" t="s">
        <v>29539</v>
      </c>
      <c r="J1186" t="s">
        <v>2380</v>
      </c>
      <c r="L1186" t="s">
        <v>27250</v>
      </c>
      <c r="M1186" t="s">
        <v>27251</v>
      </c>
      <c r="N1186" t="s">
        <v>27252</v>
      </c>
      <c r="P1186" t="s">
        <v>27341</v>
      </c>
      <c r="Q1186" s="1">
        <v>44538</v>
      </c>
      <c r="R1186" t="s">
        <v>27253</v>
      </c>
      <c r="S1186" t="s">
        <v>27254</v>
      </c>
      <c r="T1186" t="s">
        <v>27255</v>
      </c>
    </row>
    <row r="1187" spans="1:20" x14ac:dyDescent="0.3">
      <c r="A1187" t="str">
        <f>"0611860646050"</f>
        <v>0611860646050</v>
      </c>
      <c r="B1187" t="str">
        <f>"CR2034"</f>
        <v>CR2034</v>
      </c>
      <c r="C1187" t="s">
        <v>29538</v>
      </c>
      <c r="D1187" t="s">
        <v>27271</v>
      </c>
      <c r="E1187" t="str">
        <f t="shared" si="18"/>
        <v>001390</v>
      </c>
      <c r="F1187" t="s">
        <v>27246</v>
      </c>
      <c r="G1187" t="s">
        <v>27247</v>
      </c>
      <c r="H1187" t="s">
        <v>27248</v>
      </c>
      <c r="I1187" t="s">
        <v>29540</v>
      </c>
      <c r="J1187" t="s">
        <v>2382</v>
      </c>
      <c r="L1187" t="s">
        <v>27250</v>
      </c>
      <c r="M1187" t="s">
        <v>27251</v>
      </c>
      <c r="N1187" t="s">
        <v>27252</v>
      </c>
      <c r="P1187" t="s">
        <v>27341</v>
      </c>
      <c r="Q1187" s="1">
        <v>44846</v>
      </c>
      <c r="R1187" t="s">
        <v>27253</v>
      </c>
      <c r="S1187" t="s">
        <v>27254</v>
      </c>
      <c r="T1187" t="s">
        <v>27265</v>
      </c>
    </row>
    <row r="1188" spans="1:20" x14ac:dyDescent="0.3">
      <c r="A1188" t="str">
        <f>"0611831501100"</f>
        <v>0611831501100</v>
      </c>
      <c r="B1188" t="str">
        <f>"LK6564"</f>
        <v>LK6564</v>
      </c>
      <c r="C1188" t="s">
        <v>29541</v>
      </c>
      <c r="D1188" t="s">
        <v>27245</v>
      </c>
      <c r="E1188" t="str">
        <f t="shared" si="18"/>
        <v>001390</v>
      </c>
      <c r="F1188" t="s">
        <v>27246</v>
      </c>
      <c r="G1188" t="s">
        <v>27247</v>
      </c>
      <c r="H1188" t="s">
        <v>27248</v>
      </c>
      <c r="I1188" t="s">
        <v>29542</v>
      </c>
      <c r="J1188" t="s">
        <v>2384</v>
      </c>
      <c r="L1188" t="s">
        <v>27250</v>
      </c>
      <c r="M1188" t="s">
        <v>27251</v>
      </c>
      <c r="N1188" t="s">
        <v>27252</v>
      </c>
      <c r="Q1188" s="1">
        <v>44538</v>
      </c>
      <c r="R1188" t="s">
        <v>27253</v>
      </c>
      <c r="S1188" t="s">
        <v>27254</v>
      </c>
      <c r="T1188" t="s">
        <v>27255</v>
      </c>
    </row>
    <row r="1189" spans="1:20" x14ac:dyDescent="0.3">
      <c r="A1189" t="str">
        <f>"0611831502100"</f>
        <v>0611831502100</v>
      </c>
      <c r="B1189" t="str">
        <f>"LK6565"</f>
        <v>LK6565</v>
      </c>
      <c r="C1189" t="s">
        <v>29543</v>
      </c>
      <c r="D1189" t="s">
        <v>27245</v>
      </c>
      <c r="E1189" t="str">
        <f t="shared" si="18"/>
        <v>001390</v>
      </c>
      <c r="F1189" t="s">
        <v>27246</v>
      </c>
      <c r="G1189" t="s">
        <v>27247</v>
      </c>
      <c r="H1189" t="s">
        <v>27248</v>
      </c>
      <c r="I1189" t="s">
        <v>29544</v>
      </c>
      <c r="J1189" t="s">
        <v>2386</v>
      </c>
      <c r="L1189" t="s">
        <v>27250</v>
      </c>
      <c r="M1189" t="s">
        <v>27251</v>
      </c>
      <c r="N1189" t="s">
        <v>27252</v>
      </c>
      <c r="Q1189" s="1">
        <v>44538</v>
      </c>
      <c r="R1189" t="s">
        <v>27253</v>
      </c>
      <c r="S1189" t="s">
        <v>27254</v>
      </c>
      <c r="T1189" t="s">
        <v>27255</v>
      </c>
    </row>
    <row r="1190" spans="1:20" x14ac:dyDescent="0.3">
      <c r="A1190" t="str">
        <f>"0611831503100"</f>
        <v>0611831503100</v>
      </c>
      <c r="B1190" t="str">
        <f>"LK6566"</f>
        <v>LK6566</v>
      </c>
      <c r="C1190" t="s">
        <v>29545</v>
      </c>
      <c r="D1190" t="s">
        <v>27245</v>
      </c>
      <c r="E1190" t="str">
        <f t="shared" si="18"/>
        <v>001390</v>
      </c>
      <c r="F1190" t="s">
        <v>27246</v>
      </c>
      <c r="G1190" t="s">
        <v>27247</v>
      </c>
      <c r="H1190" t="s">
        <v>27248</v>
      </c>
      <c r="I1190" t="s">
        <v>29546</v>
      </c>
      <c r="J1190" t="s">
        <v>2388</v>
      </c>
      <c r="L1190" t="s">
        <v>27250</v>
      </c>
      <c r="M1190" t="s">
        <v>27251</v>
      </c>
      <c r="N1190" t="s">
        <v>27252</v>
      </c>
      <c r="Q1190" s="1">
        <v>44538</v>
      </c>
      <c r="R1190" t="s">
        <v>27253</v>
      </c>
      <c r="S1190" t="s">
        <v>27254</v>
      </c>
      <c r="T1190" t="s">
        <v>27255</v>
      </c>
    </row>
    <row r="1191" spans="1:20" x14ac:dyDescent="0.3">
      <c r="A1191" t="str">
        <f>"0611884046100"</f>
        <v>0611884046100</v>
      </c>
      <c r="B1191" t="str">
        <f>"LK7126"</f>
        <v>LK7126</v>
      </c>
      <c r="C1191" t="s">
        <v>29547</v>
      </c>
      <c r="D1191" t="s">
        <v>27245</v>
      </c>
      <c r="E1191" t="str">
        <f t="shared" si="18"/>
        <v>001390</v>
      </c>
      <c r="F1191" t="s">
        <v>27246</v>
      </c>
      <c r="G1191" t="s">
        <v>27247</v>
      </c>
      <c r="H1191" t="s">
        <v>27248</v>
      </c>
      <c r="I1191" t="s">
        <v>29548</v>
      </c>
      <c r="J1191" t="s">
        <v>2390</v>
      </c>
      <c r="L1191" t="s">
        <v>27430</v>
      </c>
      <c r="M1191" t="s">
        <v>27251</v>
      </c>
      <c r="N1191" t="s">
        <v>27252</v>
      </c>
      <c r="Q1191" s="1">
        <v>45250</v>
      </c>
      <c r="R1191" t="s">
        <v>27253</v>
      </c>
      <c r="S1191" t="s">
        <v>27254</v>
      </c>
      <c r="T1191" t="s">
        <v>27255</v>
      </c>
    </row>
    <row r="1192" spans="1:20" x14ac:dyDescent="0.3">
      <c r="A1192" t="str">
        <f>"0611831504100"</f>
        <v>0611831504100</v>
      </c>
      <c r="B1192" t="str">
        <f>"LK6567"</f>
        <v>LK6567</v>
      </c>
      <c r="C1192" t="s">
        <v>29549</v>
      </c>
      <c r="D1192" t="s">
        <v>27245</v>
      </c>
      <c r="E1192" t="str">
        <f t="shared" si="18"/>
        <v>001390</v>
      </c>
      <c r="F1192" t="s">
        <v>27246</v>
      </c>
      <c r="G1192" t="s">
        <v>27247</v>
      </c>
      <c r="H1192" t="s">
        <v>27248</v>
      </c>
      <c r="I1192" t="s">
        <v>29550</v>
      </c>
      <c r="J1192" t="s">
        <v>2392</v>
      </c>
      <c r="L1192" t="s">
        <v>27250</v>
      </c>
      <c r="M1192" t="s">
        <v>27251</v>
      </c>
      <c r="N1192" t="s">
        <v>27252</v>
      </c>
      <c r="Q1192" s="1">
        <v>44538</v>
      </c>
      <c r="R1192" t="s">
        <v>27253</v>
      </c>
      <c r="S1192" t="s">
        <v>27254</v>
      </c>
      <c r="T1192" t="s">
        <v>27255</v>
      </c>
    </row>
    <row r="1193" spans="1:20" x14ac:dyDescent="0.3">
      <c r="A1193" t="str">
        <f>"0611831505100"</f>
        <v>0611831505100</v>
      </c>
      <c r="B1193" t="str">
        <f>"LK6568"</f>
        <v>LK6568</v>
      </c>
      <c r="C1193" t="s">
        <v>29551</v>
      </c>
      <c r="D1193" t="s">
        <v>27245</v>
      </c>
      <c r="E1193" t="str">
        <f t="shared" si="18"/>
        <v>001390</v>
      </c>
      <c r="F1193" t="s">
        <v>27246</v>
      </c>
      <c r="G1193" t="s">
        <v>27247</v>
      </c>
      <c r="H1193" t="s">
        <v>27248</v>
      </c>
      <c r="I1193" t="s">
        <v>29552</v>
      </c>
      <c r="J1193" t="s">
        <v>2394</v>
      </c>
      <c r="L1193" t="s">
        <v>27250</v>
      </c>
      <c r="M1193" t="s">
        <v>27251</v>
      </c>
      <c r="N1193" t="s">
        <v>27252</v>
      </c>
      <c r="Q1193" s="1">
        <v>44538</v>
      </c>
      <c r="R1193" t="s">
        <v>27253</v>
      </c>
      <c r="S1193" t="s">
        <v>27254</v>
      </c>
      <c r="T1193" t="s">
        <v>27255</v>
      </c>
    </row>
    <row r="1194" spans="1:20" x14ac:dyDescent="0.3">
      <c r="A1194" t="str">
        <f>"0611884047100"</f>
        <v>0611884047100</v>
      </c>
      <c r="B1194" t="str">
        <f>"LK7127"</f>
        <v>LK7127</v>
      </c>
      <c r="C1194" t="s">
        <v>29553</v>
      </c>
      <c r="D1194" t="s">
        <v>27245</v>
      </c>
      <c r="E1194" t="str">
        <f t="shared" si="18"/>
        <v>001390</v>
      </c>
      <c r="F1194" t="s">
        <v>27246</v>
      </c>
      <c r="G1194" t="s">
        <v>27247</v>
      </c>
      <c r="H1194" t="s">
        <v>27248</v>
      </c>
      <c r="I1194" t="s">
        <v>29554</v>
      </c>
      <c r="J1194" t="s">
        <v>2396</v>
      </c>
      <c r="L1194" t="s">
        <v>27430</v>
      </c>
      <c r="M1194" t="s">
        <v>27251</v>
      </c>
      <c r="N1194" t="s">
        <v>27252</v>
      </c>
      <c r="Q1194" s="1">
        <v>45250</v>
      </c>
      <c r="R1194" t="s">
        <v>27253</v>
      </c>
      <c r="S1194" t="s">
        <v>27254</v>
      </c>
      <c r="T1194" t="s">
        <v>27255</v>
      </c>
    </row>
    <row r="1195" spans="1:20" x14ac:dyDescent="0.3">
      <c r="A1195" t="str">
        <f>"0611831506100"</f>
        <v>0611831506100</v>
      </c>
      <c r="B1195" t="str">
        <f>"LQ3670"</f>
        <v>LQ3670</v>
      </c>
      <c r="C1195" t="s">
        <v>29555</v>
      </c>
      <c r="D1195" t="s">
        <v>27245</v>
      </c>
      <c r="E1195" t="str">
        <f t="shared" si="18"/>
        <v>001390</v>
      </c>
      <c r="F1195" t="s">
        <v>27246</v>
      </c>
      <c r="G1195" t="s">
        <v>27247</v>
      </c>
      <c r="H1195" t="s">
        <v>27248</v>
      </c>
      <c r="I1195" t="s">
        <v>29556</v>
      </c>
      <c r="J1195" t="s">
        <v>2398</v>
      </c>
      <c r="L1195" t="s">
        <v>27250</v>
      </c>
      <c r="M1195" t="s">
        <v>27251</v>
      </c>
      <c r="N1195" t="s">
        <v>27252</v>
      </c>
      <c r="Q1195" s="1">
        <v>44538</v>
      </c>
      <c r="R1195" t="s">
        <v>27253</v>
      </c>
      <c r="S1195" t="s">
        <v>27254</v>
      </c>
      <c r="T1195" t="s">
        <v>27255</v>
      </c>
    </row>
    <row r="1196" spans="1:20" x14ac:dyDescent="0.3">
      <c r="A1196" t="str">
        <f>"0611831507100"</f>
        <v>0611831507100</v>
      </c>
      <c r="B1196" t="str">
        <f>"LQ3508"</f>
        <v>LQ3508</v>
      </c>
      <c r="C1196" t="s">
        <v>29557</v>
      </c>
      <c r="D1196" t="s">
        <v>27245</v>
      </c>
      <c r="E1196" t="str">
        <f t="shared" si="18"/>
        <v>001390</v>
      </c>
      <c r="F1196" t="s">
        <v>27246</v>
      </c>
      <c r="G1196" t="s">
        <v>27247</v>
      </c>
      <c r="H1196" t="s">
        <v>27248</v>
      </c>
      <c r="I1196" t="s">
        <v>29558</v>
      </c>
      <c r="J1196" t="s">
        <v>2400</v>
      </c>
      <c r="L1196" t="s">
        <v>27250</v>
      </c>
      <c r="M1196" t="s">
        <v>27251</v>
      </c>
      <c r="N1196" t="s">
        <v>27252</v>
      </c>
      <c r="Q1196" s="1">
        <v>44538</v>
      </c>
      <c r="R1196" t="s">
        <v>27253</v>
      </c>
      <c r="S1196" t="s">
        <v>27254</v>
      </c>
      <c r="T1196" t="s">
        <v>27255</v>
      </c>
    </row>
    <row r="1197" spans="1:20" x14ac:dyDescent="0.3">
      <c r="A1197" t="str">
        <f>"0611831508100"</f>
        <v>0611831508100</v>
      </c>
      <c r="B1197" t="str">
        <f>"LB1027"</f>
        <v>LB1027</v>
      </c>
      <c r="C1197" t="s">
        <v>29559</v>
      </c>
      <c r="D1197" t="s">
        <v>27245</v>
      </c>
      <c r="E1197" t="str">
        <f t="shared" si="18"/>
        <v>001390</v>
      </c>
      <c r="F1197" t="s">
        <v>27246</v>
      </c>
      <c r="G1197" t="s">
        <v>27247</v>
      </c>
      <c r="H1197" t="s">
        <v>27248</v>
      </c>
      <c r="I1197" t="s">
        <v>29560</v>
      </c>
      <c r="J1197" t="s">
        <v>2402</v>
      </c>
      <c r="L1197" t="s">
        <v>27250</v>
      </c>
      <c r="M1197" t="s">
        <v>27251</v>
      </c>
      <c r="N1197" t="s">
        <v>27252</v>
      </c>
      <c r="Q1197" s="1">
        <v>44538</v>
      </c>
      <c r="R1197" t="s">
        <v>27253</v>
      </c>
      <c r="S1197" t="s">
        <v>27254</v>
      </c>
      <c r="T1197" t="s">
        <v>27255</v>
      </c>
    </row>
    <row r="1198" spans="1:20" x14ac:dyDescent="0.3">
      <c r="A1198" t="str">
        <f>"0611831509100"</f>
        <v>0611831509100</v>
      </c>
      <c r="B1198" t="str">
        <f>"LK6598"</f>
        <v>LK6598</v>
      </c>
      <c r="C1198" t="s">
        <v>29561</v>
      </c>
      <c r="D1198" t="s">
        <v>27245</v>
      </c>
      <c r="E1198" t="str">
        <f t="shared" si="18"/>
        <v>001390</v>
      </c>
      <c r="F1198" t="s">
        <v>27246</v>
      </c>
      <c r="G1198" t="s">
        <v>27247</v>
      </c>
      <c r="H1198" t="s">
        <v>27248</v>
      </c>
      <c r="I1198" t="s">
        <v>29562</v>
      </c>
      <c r="J1198" t="s">
        <v>2404</v>
      </c>
      <c r="L1198" t="s">
        <v>27250</v>
      </c>
      <c r="M1198" t="s">
        <v>27251</v>
      </c>
      <c r="N1198" t="s">
        <v>27252</v>
      </c>
      <c r="Q1198" s="1">
        <v>44538</v>
      </c>
      <c r="R1198" t="s">
        <v>27253</v>
      </c>
      <c r="S1198" t="s">
        <v>27254</v>
      </c>
      <c r="T1198" t="s">
        <v>27255</v>
      </c>
    </row>
    <row r="1199" spans="1:20" x14ac:dyDescent="0.3">
      <c r="A1199" t="str">
        <f>"0611831510100"</f>
        <v>0611831510100</v>
      </c>
      <c r="B1199" t="str">
        <f>"LK6599"</f>
        <v>LK6599</v>
      </c>
      <c r="C1199" t="s">
        <v>29563</v>
      </c>
      <c r="D1199" t="s">
        <v>27245</v>
      </c>
      <c r="E1199" t="str">
        <f t="shared" si="18"/>
        <v>001390</v>
      </c>
      <c r="F1199" t="s">
        <v>27246</v>
      </c>
      <c r="G1199" t="s">
        <v>27247</v>
      </c>
      <c r="H1199" t="s">
        <v>27248</v>
      </c>
      <c r="I1199" t="s">
        <v>29564</v>
      </c>
      <c r="J1199" t="s">
        <v>2406</v>
      </c>
      <c r="L1199" t="s">
        <v>27250</v>
      </c>
      <c r="M1199" t="s">
        <v>27251</v>
      </c>
      <c r="N1199" t="s">
        <v>27252</v>
      </c>
      <c r="Q1199" s="1">
        <v>44538</v>
      </c>
      <c r="R1199" t="s">
        <v>27253</v>
      </c>
      <c r="S1199" t="s">
        <v>27254</v>
      </c>
      <c r="T1199" t="s">
        <v>27255</v>
      </c>
    </row>
    <row r="1200" spans="1:20" x14ac:dyDescent="0.3">
      <c r="A1200" t="str">
        <f>"0611831511100"</f>
        <v>0611831511100</v>
      </c>
      <c r="B1200" t="str">
        <f>"LK6600"</f>
        <v>LK6600</v>
      </c>
      <c r="C1200" t="s">
        <v>29565</v>
      </c>
      <c r="D1200" t="s">
        <v>27245</v>
      </c>
      <c r="E1200" t="str">
        <f t="shared" si="18"/>
        <v>001390</v>
      </c>
      <c r="F1200" t="s">
        <v>27246</v>
      </c>
      <c r="G1200" t="s">
        <v>27247</v>
      </c>
      <c r="H1200" t="s">
        <v>27248</v>
      </c>
      <c r="I1200" t="s">
        <v>29566</v>
      </c>
      <c r="J1200" t="s">
        <v>2408</v>
      </c>
      <c r="L1200" t="s">
        <v>27250</v>
      </c>
      <c r="M1200" t="s">
        <v>27251</v>
      </c>
      <c r="N1200" t="s">
        <v>27252</v>
      </c>
      <c r="Q1200" s="1">
        <v>44538</v>
      </c>
      <c r="R1200" t="s">
        <v>27253</v>
      </c>
      <c r="S1200" t="s">
        <v>27254</v>
      </c>
      <c r="T1200" t="s">
        <v>27255</v>
      </c>
    </row>
    <row r="1201" spans="1:20" x14ac:dyDescent="0.3">
      <c r="A1201" t="str">
        <f>"0611831512100"</f>
        <v>0611831512100</v>
      </c>
      <c r="B1201" t="str">
        <f>"LK6601"</f>
        <v>LK6601</v>
      </c>
      <c r="C1201" t="s">
        <v>29567</v>
      </c>
      <c r="D1201" t="s">
        <v>27245</v>
      </c>
      <c r="E1201" t="str">
        <f t="shared" si="18"/>
        <v>001390</v>
      </c>
      <c r="F1201" t="s">
        <v>27246</v>
      </c>
      <c r="G1201" t="s">
        <v>27247</v>
      </c>
      <c r="H1201" t="s">
        <v>27248</v>
      </c>
      <c r="I1201" t="s">
        <v>29568</v>
      </c>
      <c r="J1201" t="s">
        <v>2410</v>
      </c>
      <c r="L1201" t="s">
        <v>27250</v>
      </c>
      <c r="M1201" t="s">
        <v>27251</v>
      </c>
      <c r="N1201" t="s">
        <v>27252</v>
      </c>
      <c r="Q1201" s="1">
        <v>44538</v>
      </c>
      <c r="R1201" t="s">
        <v>27253</v>
      </c>
      <c r="S1201" t="s">
        <v>27254</v>
      </c>
      <c r="T1201" t="s">
        <v>27255</v>
      </c>
    </row>
    <row r="1202" spans="1:20" x14ac:dyDescent="0.3">
      <c r="A1202" t="str">
        <f>"0611831513100"</f>
        <v>0611831513100</v>
      </c>
      <c r="B1202" t="str">
        <f>"LK6602"</f>
        <v>LK6602</v>
      </c>
      <c r="C1202" t="s">
        <v>29569</v>
      </c>
      <c r="D1202" t="s">
        <v>27245</v>
      </c>
      <c r="E1202" t="str">
        <f t="shared" si="18"/>
        <v>001390</v>
      </c>
      <c r="F1202" t="s">
        <v>27246</v>
      </c>
      <c r="G1202" t="s">
        <v>27247</v>
      </c>
      <c r="H1202" t="s">
        <v>27248</v>
      </c>
      <c r="I1202" t="s">
        <v>29570</v>
      </c>
      <c r="J1202" t="s">
        <v>2412</v>
      </c>
      <c r="L1202" t="s">
        <v>27250</v>
      </c>
      <c r="M1202" t="s">
        <v>27251</v>
      </c>
      <c r="N1202" t="s">
        <v>27252</v>
      </c>
      <c r="Q1202" s="1">
        <v>44538</v>
      </c>
      <c r="R1202" t="s">
        <v>27253</v>
      </c>
      <c r="S1202" t="s">
        <v>27254</v>
      </c>
      <c r="T1202" t="s">
        <v>27255</v>
      </c>
    </row>
    <row r="1203" spans="1:20" x14ac:dyDescent="0.3">
      <c r="A1203" t="str">
        <f>"0611831514100"</f>
        <v>0611831514100</v>
      </c>
      <c r="B1203" t="str">
        <f>"LK6603"</f>
        <v>LK6603</v>
      </c>
      <c r="C1203" t="s">
        <v>29571</v>
      </c>
      <c r="D1203" t="s">
        <v>27245</v>
      </c>
      <c r="E1203" t="str">
        <f t="shared" si="18"/>
        <v>001390</v>
      </c>
      <c r="F1203" t="s">
        <v>27246</v>
      </c>
      <c r="G1203" t="s">
        <v>27247</v>
      </c>
      <c r="H1203" t="s">
        <v>27248</v>
      </c>
      <c r="I1203" t="s">
        <v>29572</v>
      </c>
      <c r="J1203" t="s">
        <v>2414</v>
      </c>
      <c r="L1203" t="s">
        <v>27250</v>
      </c>
      <c r="M1203" t="s">
        <v>27251</v>
      </c>
      <c r="N1203" t="s">
        <v>27252</v>
      </c>
      <c r="Q1203" s="1">
        <v>44538</v>
      </c>
      <c r="R1203" t="s">
        <v>27253</v>
      </c>
      <c r="S1203" t="s">
        <v>27254</v>
      </c>
      <c r="T1203" t="s">
        <v>27255</v>
      </c>
    </row>
    <row r="1204" spans="1:20" x14ac:dyDescent="0.3">
      <c r="A1204" t="str">
        <f>"0611831515100"</f>
        <v>0611831515100</v>
      </c>
      <c r="B1204" t="str">
        <f>"LK6604"</f>
        <v>LK6604</v>
      </c>
      <c r="C1204" t="s">
        <v>29573</v>
      </c>
      <c r="D1204" t="s">
        <v>27245</v>
      </c>
      <c r="E1204" t="str">
        <f t="shared" si="18"/>
        <v>001390</v>
      </c>
      <c r="F1204" t="s">
        <v>27246</v>
      </c>
      <c r="G1204" t="s">
        <v>27247</v>
      </c>
      <c r="H1204" t="s">
        <v>27248</v>
      </c>
      <c r="I1204" t="s">
        <v>29574</v>
      </c>
      <c r="J1204" t="s">
        <v>2416</v>
      </c>
      <c r="L1204" t="s">
        <v>27250</v>
      </c>
      <c r="M1204" t="s">
        <v>27251</v>
      </c>
      <c r="N1204" t="s">
        <v>27252</v>
      </c>
      <c r="Q1204" s="1">
        <v>44538</v>
      </c>
      <c r="R1204" t="s">
        <v>27253</v>
      </c>
      <c r="S1204" t="s">
        <v>27254</v>
      </c>
      <c r="T1204" t="s">
        <v>27255</v>
      </c>
    </row>
    <row r="1205" spans="1:20" x14ac:dyDescent="0.3">
      <c r="A1205" t="str">
        <f>"0611831516100"</f>
        <v>0611831516100</v>
      </c>
      <c r="B1205" t="str">
        <f>"LK6605"</f>
        <v>LK6605</v>
      </c>
      <c r="C1205" t="s">
        <v>29575</v>
      </c>
      <c r="D1205" t="s">
        <v>27245</v>
      </c>
      <c r="E1205" t="str">
        <f t="shared" si="18"/>
        <v>001390</v>
      </c>
      <c r="F1205" t="s">
        <v>27246</v>
      </c>
      <c r="G1205" t="s">
        <v>27247</v>
      </c>
      <c r="H1205" t="s">
        <v>27248</v>
      </c>
      <c r="I1205" t="s">
        <v>29576</v>
      </c>
      <c r="J1205" t="s">
        <v>2418</v>
      </c>
      <c r="L1205" t="s">
        <v>27250</v>
      </c>
      <c r="M1205" t="s">
        <v>27251</v>
      </c>
      <c r="N1205" t="s">
        <v>27252</v>
      </c>
      <c r="Q1205" s="1">
        <v>44538</v>
      </c>
      <c r="R1205" t="s">
        <v>27253</v>
      </c>
      <c r="S1205" t="s">
        <v>27254</v>
      </c>
      <c r="T1205" t="s">
        <v>27255</v>
      </c>
    </row>
    <row r="1206" spans="1:20" x14ac:dyDescent="0.3">
      <c r="A1206" t="str">
        <f>"0611831518100"</f>
        <v>0611831518100</v>
      </c>
      <c r="B1206" t="str">
        <f>"LB1191"</f>
        <v>LB1191</v>
      </c>
      <c r="C1206" t="s">
        <v>29577</v>
      </c>
      <c r="D1206" t="s">
        <v>27245</v>
      </c>
      <c r="E1206" t="str">
        <f t="shared" si="18"/>
        <v>001390</v>
      </c>
      <c r="F1206" t="s">
        <v>27246</v>
      </c>
      <c r="G1206" t="s">
        <v>27247</v>
      </c>
      <c r="H1206" t="s">
        <v>27248</v>
      </c>
      <c r="I1206" t="s">
        <v>29578</v>
      </c>
      <c r="J1206" t="s">
        <v>2420</v>
      </c>
      <c r="L1206" t="s">
        <v>27250</v>
      </c>
      <c r="M1206" t="s">
        <v>27251</v>
      </c>
      <c r="N1206" t="s">
        <v>27252</v>
      </c>
      <c r="Q1206" s="1">
        <v>44538</v>
      </c>
      <c r="R1206" t="s">
        <v>27253</v>
      </c>
      <c r="S1206" t="s">
        <v>27254</v>
      </c>
      <c r="T1206" t="s">
        <v>27255</v>
      </c>
    </row>
    <row r="1207" spans="1:20" x14ac:dyDescent="0.3">
      <c r="A1207" t="str">
        <f>"0611831522100"</f>
        <v>0611831522100</v>
      </c>
      <c r="B1207" t="str">
        <f>"LS0008"</f>
        <v>LS0008</v>
      </c>
      <c r="C1207" t="s">
        <v>29579</v>
      </c>
      <c r="D1207" t="s">
        <v>27245</v>
      </c>
      <c r="E1207" t="str">
        <f t="shared" si="18"/>
        <v>001390</v>
      </c>
      <c r="F1207" t="s">
        <v>27246</v>
      </c>
      <c r="G1207" t="s">
        <v>27247</v>
      </c>
      <c r="H1207" t="s">
        <v>27248</v>
      </c>
      <c r="I1207" t="s">
        <v>29580</v>
      </c>
      <c r="J1207" t="s">
        <v>2422</v>
      </c>
      <c r="L1207" t="s">
        <v>27250</v>
      </c>
      <c r="M1207" t="s">
        <v>27251</v>
      </c>
      <c r="N1207" t="s">
        <v>27252</v>
      </c>
      <c r="Q1207" s="1">
        <v>44538</v>
      </c>
      <c r="R1207" t="s">
        <v>27253</v>
      </c>
      <c r="S1207" t="s">
        <v>27254</v>
      </c>
      <c r="T1207" t="s">
        <v>27255</v>
      </c>
    </row>
    <row r="1208" spans="1:20" x14ac:dyDescent="0.3">
      <c r="A1208" t="str">
        <f>"0611831524100"</f>
        <v>0611831524100</v>
      </c>
      <c r="B1208" t="str">
        <f>"LB1005"</f>
        <v>LB1005</v>
      </c>
      <c r="C1208" t="s">
        <v>29581</v>
      </c>
      <c r="D1208" t="s">
        <v>27245</v>
      </c>
      <c r="E1208" t="str">
        <f t="shared" si="18"/>
        <v>001390</v>
      </c>
      <c r="F1208" t="s">
        <v>27246</v>
      </c>
      <c r="G1208" t="s">
        <v>27247</v>
      </c>
      <c r="H1208" t="s">
        <v>27248</v>
      </c>
      <c r="I1208" t="s">
        <v>29582</v>
      </c>
      <c r="J1208" t="s">
        <v>2424</v>
      </c>
      <c r="L1208" t="s">
        <v>27250</v>
      </c>
      <c r="M1208" t="s">
        <v>27251</v>
      </c>
      <c r="N1208" t="s">
        <v>27252</v>
      </c>
      <c r="Q1208" s="1">
        <v>44538</v>
      </c>
      <c r="R1208" t="s">
        <v>27253</v>
      </c>
      <c r="S1208" t="s">
        <v>27254</v>
      </c>
      <c r="T1208" t="s">
        <v>27255</v>
      </c>
    </row>
    <row r="1209" spans="1:20" x14ac:dyDescent="0.3">
      <c r="A1209" t="str">
        <f>"0611831525100"</f>
        <v>0611831525100</v>
      </c>
      <c r="B1209" t="str">
        <f>"LB1006"</f>
        <v>LB1006</v>
      </c>
      <c r="C1209" t="s">
        <v>29583</v>
      </c>
      <c r="D1209" t="s">
        <v>27245</v>
      </c>
      <c r="E1209" t="str">
        <f t="shared" si="18"/>
        <v>001390</v>
      </c>
      <c r="F1209" t="s">
        <v>27246</v>
      </c>
      <c r="G1209" t="s">
        <v>27247</v>
      </c>
      <c r="H1209" t="s">
        <v>27248</v>
      </c>
      <c r="I1209" t="s">
        <v>29584</v>
      </c>
      <c r="J1209" t="s">
        <v>2426</v>
      </c>
      <c r="L1209" t="s">
        <v>27250</v>
      </c>
      <c r="M1209" t="s">
        <v>27251</v>
      </c>
      <c r="N1209" t="s">
        <v>27252</v>
      </c>
      <c r="Q1209" s="1">
        <v>44538</v>
      </c>
      <c r="R1209" t="s">
        <v>27253</v>
      </c>
      <c r="S1209" t="s">
        <v>27254</v>
      </c>
      <c r="T1209" t="s">
        <v>27255</v>
      </c>
    </row>
    <row r="1210" spans="1:20" x14ac:dyDescent="0.3">
      <c r="A1210" t="str">
        <f>"0611831526100"</f>
        <v>0611831526100</v>
      </c>
      <c r="B1210" t="str">
        <f>"LB1007"</f>
        <v>LB1007</v>
      </c>
      <c r="C1210" t="s">
        <v>29585</v>
      </c>
      <c r="D1210" t="s">
        <v>27245</v>
      </c>
      <c r="E1210" t="str">
        <f t="shared" si="18"/>
        <v>001390</v>
      </c>
      <c r="F1210" t="s">
        <v>27246</v>
      </c>
      <c r="G1210" t="s">
        <v>27247</v>
      </c>
      <c r="H1210" t="s">
        <v>27248</v>
      </c>
      <c r="I1210" t="s">
        <v>29586</v>
      </c>
      <c r="J1210" t="s">
        <v>2428</v>
      </c>
      <c r="L1210" t="s">
        <v>27250</v>
      </c>
      <c r="M1210" t="s">
        <v>27251</v>
      </c>
      <c r="N1210" t="s">
        <v>27252</v>
      </c>
      <c r="Q1210" s="1">
        <v>44538</v>
      </c>
      <c r="R1210" t="s">
        <v>27253</v>
      </c>
      <c r="S1210" t="s">
        <v>27254</v>
      </c>
      <c r="T1210" t="s">
        <v>27255</v>
      </c>
    </row>
    <row r="1211" spans="1:20" x14ac:dyDescent="0.3">
      <c r="A1211" t="str">
        <f>"0611831527100"</f>
        <v>0611831527100</v>
      </c>
      <c r="B1211" t="str">
        <f>"LB1008"</f>
        <v>LB1008</v>
      </c>
      <c r="C1211" t="s">
        <v>29587</v>
      </c>
      <c r="D1211" t="s">
        <v>27245</v>
      </c>
      <c r="E1211" t="str">
        <f t="shared" si="18"/>
        <v>001390</v>
      </c>
      <c r="F1211" t="s">
        <v>27246</v>
      </c>
      <c r="G1211" t="s">
        <v>27247</v>
      </c>
      <c r="H1211" t="s">
        <v>27248</v>
      </c>
      <c r="I1211" t="s">
        <v>29588</v>
      </c>
      <c r="J1211" t="s">
        <v>2430</v>
      </c>
      <c r="L1211" t="s">
        <v>27250</v>
      </c>
      <c r="M1211" t="s">
        <v>27251</v>
      </c>
      <c r="N1211" t="s">
        <v>27252</v>
      </c>
      <c r="Q1211" s="1">
        <v>44538</v>
      </c>
      <c r="R1211" t="s">
        <v>27253</v>
      </c>
      <c r="S1211" t="s">
        <v>27254</v>
      </c>
      <c r="T1211" t="s">
        <v>27255</v>
      </c>
    </row>
    <row r="1212" spans="1:20" x14ac:dyDescent="0.3">
      <c r="A1212" t="str">
        <f>"0611831528100"</f>
        <v>0611831528100</v>
      </c>
      <c r="B1212" t="str">
        <f>"LB1009"</f>
        <v>LB1009</v>
      </c>
      <c r="C1212" t="s">
        <v>29589</v>
      </c>
      <c r="D1212" t="s">
        <v>27245</v>
      </c>
      <c r="E1212" t="str">
        <f t="shared" si="18"/>
        <v>001390</v>
      </c>
      <c r="F1212" t="s">
        <v>27246</v>
      </c>
      <c r="G1212" t="s">
        <v>27247</v>
      </c>
      <c r="H1212" t="s">
        <v>27248</v>
      </c>
      <c r="I1212" t="s">
        <v>29590</v>
      </c>
      <c r="J1212" t="s">
        <v>2432</v>
      </c>
      <c r="L1212" t="s">
        <v>27250</v>
      </c>
      <c r="M1212" t="s">
        <v>27251</v>
      </c>
      <c r="N1212" t="s">
        <v>27252</v>
      </c>
      <c r="Q1212" s="1">
        <v>44538</v>
      </c>
      <c r="R1212" t="s">
        <v>27253</v>
      </c>
      <c r="S1212" t="s">
        <v>27254</v>
      </c>
      <c r="T1212" t="s">
        <v>27255</v>
      </c>
    </row>
    <row r="1213" spans="1:20" x14ac:dyDescent="0.3">
      <c r="A1213" t="str">
        <f>"0611831539100"</f>
        <v>0611831539100</v>
      </c>
      <c r="B1213" t="str">
        <f>"LQ3638"</f>
        <v>LQ3638</v>
      </c>
      <c r="C1213" t="s">
        <v>29591</v>
      </c>
      <c r="D1213" t="s">
        <v>27245</v>
      </c>
      <c r="E1213" t="str">
        <f t="shared" si="18"/>
        <v>001390</v>
      </c>
      <c r="F1213" t="s">
        <v>27246</v>
      </c>
      <c r="G1213" t="s">
        <v>27247</v>
      </c>
      <c r="H1213" t="s">
        <v>27248</v>
      </c>
      <c r="I1213" t="s">
        <v>29592</v>
      </c>
      <c r="J1213" t="s">
        <v>2434</v>
      </c>
      <c r="L1213" t="s">
        <v>27250</v>
      </c>
      <c r="M1213" t="s">
        <v>27251</v>
      </c>
      <c r="N1213" t="s">
        <v>27252</v>
      </c>
      <c r="Q1213" s="1">
        <v>44538</v>
      </c>
      <c r="R1213" t="s">
        <v>27253</v>
      </c>
      <c r="S1213" t="s">
        <v>27254</v>
      </c>
      <c r="T1213" t="s">
        <v>27255</v>
      </c>
    </row>
    <row r="1214" spans="1:20" x14ac:dyDescent="0.3">
      <c r="A1214" t="str">
        <f>"0611831541100"</f>
        <v>0611831541100</v>
      </c>
      <c r="B1214" t="str">
        <f>"LB1200"</f>
        <v>LB1200</v>
      </c>
      <c r="C1214" t="s">
        <v>29593</v>
      </c>
      <c r="D1214" t="s">
        <v>27245</v>
      </c>
      <c r="E1214" t="str">
        <f t="shared" si="18"/>
        <v>001390</v>
      </c>
      <c r="F1214" t="s">
        <v>27246</v>
      </c>
      <c r="G1214" t="s">
        <v>27247</v>
      </c>
      <c r="H1214" t="s">
        <v>27248</v>
      </c>
      <c r="I1214" t="s">
        <v>29594</v>
      </c>
      <c r="J1214" t="s">
        <v>2436</v>
      </c>
      <c r="L1214" t="s">
        <v>27250</v>
      </c>
      <c r="M1214" t="s">
        <v>27251</v>
      </c>
      <c r="N1214" t="s">
        <v>27252</v>
      </c>
      <c r="Q1214" s="1">
        <v>44538</v>
      </c>
      <c r="R1214" t="s">
        <v>27253</v>
      </c>
      <c r="S1214" t="s">
        <v>27254</v>
      </c>
      <c r="T1214" t="s">
        <v>27255</v>
      </c>
    </row>
    <row r="1215" spans="1:20" x14ac:dyDescent="0.3">
      <c r="A1215" t="str">
        <f>"0611831542100"</f>
        <v>0611831542100</v>
      </c>
      <c r="B1215" t="str">
        <f>"LS0009"</f>
        <v>LS0009</v>
      </c>
      <c r="C1215" t="s">
        <v>29595</v>
      </c>
      <c r="D1215" t="s">
        <v>27245</v>
      </c>
      <c r="E1215" t="str">
        <f t="shared" si="18"/>
        <v>001390</v>
      </c>
      <c r="F1215" t="s">
        <v>27246</v>
      </c>
      <c r="G1215" t="s">
        <v>27247</v>
      </c>
      <c r="H1215" t="s">
        <v>27248</v>
      </c>
      <c r="I1215" t="s">
        <v>29596</v>
      </c>
      <c r="J1215" t="s">
        <v>2438</v>
      </c>
      <c r="L1215" t="s">
        <v>27250</v>
      </c>
      <c r="M1215" t="s">
        <v>27251</v>
      </c>
      <c r="N1215" t="s">
        <v>27252</v>
      </c>
      <c r="Q1215" s="1">
        <v>44538</v>
      </c>
      <c r="R1215" t="s">
        <v>27253</v>
      </c>
      <c r="S1215" t="s">
        <v>27254</v>
      </c>
      <c r="T1215" t="s">
        <v>27255</v>
      </c>
    </row>
    <row r="1216" spans="1:20" x14ac:dyDescent="0.3">
      <c r="A1216" t="str">
        <f>"0611831544100"</f>
        <v>0611831544100</v>
      </c>
      <c r="B1216" t="str">
        <f>"LQ3639"</f>
        <v>LQ3639</v>
      </c>
      <c r="C1216" t="s">
        <v>29597</v>
      </c>
      <c r="D1216" t="s">
        <v>27245</v>
      </c>
      <c r="E1216" t="str">
        <f t="shared" si="18"/>
        <v>001390</v>
      </c>
      <c r="F1216" t="s">
        <v>27246</v>
      </c>
      <c r="G1216" t="s">
        <v>27247</v>
      </c>
      <c r="H1216" t="s">
        <v>27248</v>
      </c>
      <c r="I1216" t="s">
        <v>29598</v>
      </c>
      <c r="J1216" t="s">
        <v>2440</v>
      </c>
      <c r="L1216" t="s">
        <v>27250</v>
      </c>
      <c r="M1216" t="s">
        <v>27251</v>
      </c>
      <c r="N1216" t="s">
        <v>27252</v>
      </c>
      <c r="Q1216" s="1">
        <v>44538</v>
      </c>
      <c r="R1216" t="s">
        <v>27253</v>
      </c>
      <c r="S1216" t="s">
        <v>27254</v>
      </c>
      <c r="T1216" t="s">
        <v>27255</v>
      </c>
    </row>
    <row r="1217" spans="1:20" x14ac:dyDescent="0.3">
      <c r="A1217" t="str">
        <f>"0611831545100"</f>
        <v>0611831545100</v>
      </c>
      <c r="B1217" t="str">
        <f>"LQ3672"</f>
        <v>LQ3672</v>
      </c>
      <c r="C1217" t="s">
        <v>29599</v>
      </c>
      <c r="D1217" t="s">
        <v>27245</v>
      </c>
      <c r="E1217" t="str">
        <f t="shared" si="18"/>
        <v>001390</v>
      </c>
      <c r="F1217" t="s">
        <v>27246</v>
      </c>
      <c r="G1217" t="s">
        <v>27247</v>
      </c>
      <c r="H1217" t="s">
        <v>27248</v>
      </c>
      <c r="I1217" t="s">
        <v>29600</v>
      </c>
      <c r="J1217" t="s">
        <v>2442</v>
      </c>
      <c r="L1217" t="s">
        <v>27250</v>
      </c>
      <c r="M1217" t="s">
        <v>27251</v>
      </c>
      <c r="N1217" t="s">
        <v>27252</v>
      </c>
      <c r="Q1217" s="1">
        <v>44538</v>
      </c>
      <c r="R1217" t="s">
        <v>27253</v>
      </c>
      <c r="S1217" t="s">
        <v>27254</v>
      </c>
      <c r="T1217" t="s">
        <v>27255</v>
      </c>
    </row>
    <row r="1218" spans="1:20" x14ac:dyDescent="0.3">
      <c r="A1218" t="str">
        <f>"0611831546100"</f>
        <v>0611831546100</v>
      </c>
      <c r="B1218" t="str">
        <f>"LQ3640"</f>
        <v>LQ3640</v>
      </c>
      <c r="C1218" t="s">
        <v>29601</v>
      </c>
      <c r="D1218" t="s">
        <v>27245</v>
      </c>
      <c r="E1218" t="str">
        <f t="shared" ref="E1218:E1281" si="19">"001390"</f>
        <v>001390</v>
      </c>
      <c r="F1218" t="s">
        <v>27246</v>
      </c>
      <c r="G1218" t="s">
        <v>27247</v>
      </c>
      <c r="H1218" t="s">
        <v>27248</v>
      </c>
      <c r="I1218" t="s">
        <v>29602</v>
      </c>
      <c r="J1218" t="s">
        <v>2444</v>
      </c>
      <c r="L1218" t="s">
        <v>27250</v>
      </c>
      <c r="M1218" t="s">
        <v>27251</v>
      </c>
      <c r="N1218" t="s">
        <v>27252</v>
      </c>
      <c r="Q1218" s="1">
        <v>44538</v>
      </c>
      <c r="R1218" t="s">
        <v>27253</v>
      </c>
      <c r="S1218" t="s">
        <v>27254</v>
      </c>
      <c r="T1218" t="s">
        <v>27255</v>
      </c>
    </row>
    <row r="1219" spans="1:20" x14ac:dyDescent="0.3">
      <c r="A1219" t="str">
        <f>"0611831547100"</f>
        <v>0611831547100</v>
      </c>
      <c r="B1219" t="str">
        <f>"LF0833"</f>
        <v>LF0833</v>
      </c>
      <c r="C1219" t="s">
        <v>29603</v>
      </c>
      <c r="D1219" t="s">
        <v>27245</v>
      </c>
      <c r="E1219" t="str">
        <f t="shared" si="19"/>
        <v>001390</v>
      </c>
      <c r="F1219" t="s">
        <v>27246</v>
      </c>
      <c r="G1219" t="s">
        <v>27247</v>
      </c>
      <c r="H1219" t="s">
        <v>27248</v>
      </c>
      <c r="I1219" t="s">
        <v>29604</v>
      </c>
      <c r="J1219" t="s">
        <v>2446</v>
      </c>
      <c r="L1219" t="s">
        <v>27250</v>
      </c>
      <c r="M1219" t="s">
        <v>27251</v>
      </c>
      <c r="N1219" t="s">
        <v>27252</v>
      </c>
      <c r="Q1219" s="1">
        <v>44538</v>
      </c>
      <c r="R1219" t="s">
        <v>27253</v>
      </c>
      <c r="S1219" t="s">
        <v>27254</v>
      </c>
      <c r="T1219" t="s">
        <v>27255</v>
      </c>
    </row>
    <row r="1220" spans="1:20" x14ac:dyDescent="0.3">
      <c r="A1220" t="str">
        <f>"0611831549100"</f>
        <v>0611831549100</v>
      </c>
      <c r="B1220" t="str">
        <f>"LQ3792"</f>
        <v>LQ3792</v>
      </c>
      <c r="C1220" t="s">
        <v>29605</v>
      </c>
      <c r="D1220" t="s">
        <v>27245</v>
      </c>
      <c r="E1220" t="str">
        <f t="shared" si="19"/>
        <v>001390</v>
      </c>
      <c r="F1220" t="s">
        <v>27246</v>
      </c>
      <c r="G1220" t="s">
        <v>27247</v>
      </c>
      <c r="H1220" t="s">
        <v>27248</v>
      </c>
      <c r="I1220" t="s">
        <v>29606</v>
      </c>
      <c r="J1220" t="s">
        <v>2448</v>
      </c>
      <c r="L1220" t="s">
        <v>27250</v>
      </c>
      <c r="M1220" t="s">
        <v>27251</v>
      </c>
      <c r="N1220" t="s">
        <v>27252</v>
      </c>
      <c r="Q1220" s="1">
        <v>44538</v>
      </c>
      <c r="R1220" t="s">
        <v>27253</v>
      </c>
      <c r="S1220" t="s">
        <v>27254</v>
      </c>
      <c r="T1220" t="s">
        <v>27255</v>
      </c>
    </row>
    <row r="1221" spans="1:20" x14ac:dyDescent="0.3">
      <c r="A1221" t="str">
        <f>"0611831550100"</f>
        <v>0611831550100</v>
      </c>
      <c r="B1221" t="str">
        <f>"LB1030"</f>
        <v>LB1030</v>
      </c>
      <c r="C1221" t="s">
        <v>29607</v>
      </c>
      <c r="D1221" t="s">
        <v>27245</v>
      </c>
      <c r="E1221" t="str">
        <f t="shared" si="19"/>
        <v>001390</v>
      </c>
      <c r="F1221" t="s">
        <v>27246</v>
      </c>
      <c r="G1221" t="s">
        <v>27247</v>
      </c>
      <c r="H1221" t="s">
        <v>27248</v>
      </c>
      <c r="I1221" t="s">
        <v>29608</v>
      </c>
      <c r="J1221" t="s">
        <v>2450</v>
      </c>
      <c r="L1221" t="s">
        <v>27250</v>
      </c>
      <c r="M1221" t="s">
        <v>27251</v>
      </c>
      <c r="N1221" t="s">
        <v>27252</v>
      </c>
      <c r="Q1221" s="1">
        <v>44538</v>
      </c>
      <c r="R1221" t="s">
        <v>27253</v>
      </c>
      <c r="S1221" t="s">
        <v>27254</v>
      </c>
      <c r="T1221" t="s">
        <v>27255</v>
      </c>
    </row>
    <row r="1222" spans="1:20" x14ac:dyDescent="0.3">
      <c r="A1222" t="str">
        <f>"0611831551100"</f>
        <v>0611831551100</v>
      </c>
      <c r="B1222" t="str">
        <f>"LQ3374"</f>
        <v>LQ3374</v>
      </c>
      <c r="C1222" t="s">
        <v>29609</v>
      </c>
      <c r="D1222" t="s">
        <v>27245</v>
      </c>
      <c r="E1222" t="str">
        <f t="shared" si="19"/>
        <v>001390</v>
      </c>
      <c r="F1222" t="s">
        <v>27246</v>
      </c>
      <c r="G1222" t="s">
        <v>27247</v>
      </c>
      <c r="H1222" t="s">
        <v>27248</v>
      </c>
      <c r="I1222" t="s">
        <v>29610</v>
      </c>
      <c r="J1222" t="s">
        <v>2452</v>
      </c>
      <c r="L1222" t="s">
        <v>27250</v>
      </c>
      <c r="M1222" t="s">
        <v>27251</v>
      </c>
      <c r="N1222" t="s">
        <v>27252</v>
      </c>
      <c r="Q1222" s="1">
        <v>44538</v>
      </c>
      <c r="R1222" t="s">
        <v>27253</v>
      </c>
      <c r="S1222" t="s">
        <v>27254</v>
      </c>
      <c r="T1222" t="s">
        <v>27255</v>
      </c>
    </row>
    <row r="1223" spans="1:20" x14ac:dyDescent="0.3">
      <c r="A1223" t="str">
        <f>"0611860647050"</f>
        <v>0611860647050</v>
      </c>
      <c r="B1223" t="str">
        <f>"CR3478"</f>
        <v>CR3478</v>
      </c>
      <c r="C1223" t="s">
        <v>29609</v>
      </c>
      <c r="D1223" t="s">
        <v>27263</v>
      </c>
      <c r="E1223" t="str">
        <f t="shared" si="19"/>
        <v>001390</v>
      </c>
      <c r="F1223" t="s">
        <v>27246</v>
      </c>
      <c r="G1223" t="s">
        <v>27247</v>
      </c>
      <c r="H1223" t="s">
        <v>27248</v>
      </c>
      <c r="I1223" t="s">
        <v>29611</v>
      </c>
      <c r="J1223" t="s">
        <v>2454</v>
      </c>
      <c r="L1223" t="s">
        <v>27250</v>
      </c>
      <c r="M1223" t="s">
        <v>27251</v>
      </c>
      <c r="N1223" t="s">
        <v>27252</v>
      </c>
      <c r="Q1223" s="1">
        <v>44846</v>
      </c>
      <c r="R1223" t="s">
        <v>27253</v>
      </c>
      <c r="S1223" t="s">
        <v>27254</v>
      </c>
      <c r="T1223" t="s">
        <v>27265</v>
      </c>
    </row>
    <row r="1224" spans="1:20" x14ac:dyDescent="0.3">
      <c r="A1224" t="str">
        <f>"0611884048100"</f>
        <v>0611884048100</v>
      </c>
      <c r="B1224" t="str">
        <f>"LQ0972"</f>
        <v>LQ0972</v>
      </c>
      <c r="C1224" t="s">
        <v>29612</v>
      </c>
      <c r="D1224" t="s">
        <v>27245</v>
      </c>
      <c r="E1224" t="str">
        <f t="shared" si="19"/>
        <v>001390</v>
      </c>
      <c r="F1224" t="s">
        <v>27246</v>
      </c>
      <c r="G1224" t="s">
        <v>27247</v>
      </c>
      <c r="H1224" t="s">
        <v>27248</v>
      </c>
      <c r="I1224" t="s">
        <v>29613</v>
      </c>
      <c r="J1224" t="s">
        <v>2456</v>
      </c>
      <c r="L1224" t="s">
        <v>27430</v>
      </c>
      <c r="M1224" t="s">
        <v>27251</v>
      </c>
      <c r="N1224" t="s">
        <v>27252</v>
      </c>
      <c r="Q1224" s="1">
        <v>45250</v>
      </c>
      <c r="R1224" t="s">
        <v>27253</v>
      </c>
      <c r="S1224" t="s">
        <v>27254</v>
      </c>
      <c r="T1224" t="s">
        <v>27255</v>
      </c>
    </row>
    <row r="1225" spans="1:20" x14ac:dyDescent="0.3">
      <c r="A1225" t="str">
        <f>"0611831563100"</f>
        <v>0611831563100</v>
      </c>
      <c r="B1225" t="str">
        <f>"LQ3641"</f>
        <v>LQ3641</v>
      </c>
      <c r="C1225" t="s">
        <v>29614</v>
      </c>
      <c r="D1225" t="s">
        <v>27245</v>
      </c>
      <c r="E1225" t="str">
        <f t="shared" si="19"/>
        <v>001390</v>
      </c>
      <c r="F1225" t="s">
        <v>27246</v>
      </c>
      <c r="G1225" t="s">
        <v>27247</v>
      </c>
      <c r="H1225" t="s">
        <v>27248</v>
      </c>
      <c r="I1225" t="s">
        <v>29615</v>
      </c>
      <c r="J1225" t="s">
        <v>2458</v>
      </c>
      <c r="L1225" t="s">
        <v>27250</v>
      </c>
      <c r="M1225" t="s">
        <v>27251</v>
      </c>
      <c r="N1225" t="s">
        <v>27252</v>
      </c>
      <c r="Q1225" s="1">
        <v>44538</v>
      </c>
      <c r="R1225" t="s">
        <v>27253</v>
      </c>
      <c r="S1225" t="s">
        <v>27254</v>
      </c>
      <c r="T1225" t="s">
        <v>27255</v>
      </c>
    </row>
    <row r="1226" spans="1:20" x14ac:dyDescent="0.3">
      <c r="A1226" t="str">
        <f>"0611831564100"</f>
        <v>0611831564100</v>
      </c>
      <c r="B1226" t="str">
        <f>"LQ3642"</f>
        <v>LQ3642</v>
      </c>
      <c r="C1226" t="s">
        <v>29616</v>
      </c>
      <c r="D1226" t="s">
        <v>27245</v>
      </c>
      <c r="E1226" t="str">
        <f t="shared" si="19"/>
        <v>001390</v>
      </c>
      <c r="F1226" t="s">
        <v>27246</v>
      </c>
      <c r="G1226" t="s">
        <v>27247</v>
      </c>
      <c r="H1226" t="s">
        <v>27248</v>
      </c>
      <c r="I1226" t="s">
        <v>29617</v>
      </c>
      <c r="J1226" t="s">
        <v>2460</v>
      </c>
      <c r="L1226" t="s">
        <v>27250</v>
      </c>
      <c r="M1226" t="s">
        <v>27251</v>
      </c>
      <c r="N1226" t="s">
        <v>27252</v>
      </c>
      <c r="Q1226" s="1">
        <v>44538</v>
      </c>
      <c r="R1226" t="s">
        <v>27253</v>
      </c>
      <c r="S1226" t="s">
        <v>27254</v>
      </c>
      <c r="T1226" t="s">
        <v>27255</v>
      </c>
    </row>
    <row r="1227" spans="1:20" x14ac:dyDescent="0.3">
      <c r="A1227" t="str">
        <f>"0611831565100"</f>
        <v>0611831565100</v>
      </c>
      <c r="B1227" t="str">
        <f>"LK6606"</f>
        <v>LK6606</v>
      </c>
      <c r="C1227" t="s">
        <v>29618</v>
      </c>
      <c r="D1227" t="s">
        <v>27245</v>
      </c>
      <c r="E1227" t="str">
        <f t="shared" si="19"/>
        <v>001390</v>
      </c>
      <c r="F1227" t="s">
        <v>27246</v>
      </c>
      <c r="G1227" t="s">
        <v>27247</v>
      </c>
      <c r="H1227" t="s">
        <v>27248</v>
      </c>
      <c r="I1227" t="s">
        <v>29619</v>
      </c>
      <c r="J1227" t="s">
        <v>2462</v>
      </c>
      <c r="L1227" t="s">
        <v>27250</v>
      </c>
      <c r="M1227" t="s">
        <v>27251</v>
      </c>
      <c r="N1227" t="s">
        <v>27252</v>
      </c>
      <c r="Q1227" s="1">
        <v>44538</v>
      </c>
      <c r="R1227" t="s">
        <v>27253</v>
      </c>
      <c r="S1227" t="s">
        <v>27254</v>
      </c>
      <c r="T1227" t="s">
        <v>27255</v>
      </c>
    </row>
    <row r="1228" spans="1:20" x14ac:dyDescent="0.3">
      <c r="A1228" t="str">
        <f>"0611831220100"</f>
        <v>0611831220100</v>
      </c>
      <c r="B1228" t="str">
        <f>"LK6607"</f>
        <v>LK6607</v>
      </c>
      <c r="C1228" t="s">
        <v>29620</v>
      </c>
      <c r="D1228" t="s">
        <v>27245</v>
      </c>
      <c r="E1228" t="str">
        <f t="shared" si="19"/>
        <v>001390</v>
      </c>
      <c r="F1228" t="s">
        <v>27246</v>
      </c>
      <c r="G1228" t="s">
        <v>27247</v>
      </c>
      <c r="H1228" t="s">
        <v>27248</v>
      </c>
      <c r="I1228" t="s">
        <v>29621</v>
      </c>
      <c r="J1228" t="s">
        <v>2464</v>
      </c>
      <c r="L1228" t="s">
        <v>27250</v>
      </c>
      <c r="M1228" t="s">
        <v>27251</v>
      </c>
      <c r="N1228" t="s">
        <v>27252</v>
      </c>
      <c r="Q1228" s="1">
        <v>44538</v>
      </c>
      <c r="R1228" t="s">
        <v>27253</v>
      </c>
      <c r="S1228" t="s">
        <v>27254</v>
      </c>
      <c r="T1228" t="s">
        <v>27255</v>
      </c>
    </row>
    <row r="1229" spans="1:20" x14ac:dyDescent="0.3">
      <c r="A1229" t="str">
        <f>"0611831221100"</f>
        <v>0611831221100</v>
      </c>
      <c r="B1229" t="str">
        <f>"LK6613"</f>
        <v>LK6613</v>
      </c>
      <c r="C1229" t="s">
        <v>29622</v>
      </c>
      <c r="D1229" t="s">
        <v>27245</v>
      </c>
      <c r="E1229" t="str">
        <f t="shared" si="19"/>
        <v>001390</v>
      </c>
      <c r="F1229" t="s">
        <v>27246</v>
      </c>
      <c r="G1229" t="s">
        <v>27247</v>
      </c>
      <c r="H1229" t="s">
        <v>27248</v>
      </c>
      <c r="I1229" t="s">
        <v>29623</v>
      </c>
      <c r="J1229" t="s">
        <v>2466</v>
      </c>
      <c r="L1229" t="s">
        <v>27250</v>
      </c>
      <c r="M1229" t="s">
        <v>27251</v>
      </c>
      <c r="N1229" t="s">
        <v>27252</v>
      </c>
      <c r="Q1229" s="1">
        <v>44538</v>
      </c>
      <c r="R1229" t="s">
        <v>27253</v>
      </c>
      <c r="S1229" t="s">
        <v>27254</v>
      </c>
      <c r="T1229" t="s">
        <v>27255</v>
      </c>
    </row>
    <row r="1230" spans="1:20" x14ac:dyDescent="0.3">
      <c r="A1230" t="str">
        <f>"0611831222100"</f>
        <v>0611831222100</v>
      </c>
      <c r="B1230" t="str">
        <f>"LK6608"</f>
        <v>LK6608</v>
      </c>
      <c r="C1230" t="s">
        <v>29624</v>
      </c>
      <c r="D1230" t="s">
        <v>27245</v>
      </c>
      <c r="E1230" t="str">
        <f t="shared" si="19"/>
        <v>001390</v>
      </c>
      <c r="F1230" t="s">
        <v>27246</v>
      </c>
      <c r="G1230" t="s">
        <v>27247</v>
      </c>
      <c r="H1230" t="s">
        <v>27248</v>
      </c>
      <c r="I1230" t="s">
        <v>29625</v>
      </c>
      <c r="J1230" t="s">
        <v>2468</v>
      </c>
      <c r="L1230" t="s">
        <v>27250</v>
      </c>
      <c r="M1230" t="s">
        <v>27251</v>
      </c>
      <c r="N1230" t="s">
        <v>27252</v>
      </c>
      <c r="Q1230" s="1">
        <v>44538</v>
      </c>
      <c r="R1230" t="s">
        <v>27253</v>
      </c>
      <c r="S1230" t="s">
        <v>27254</v>
      </c>
      <c r="T1230" t="s">
        <v>27255</v>
      </c>
    </row>
    <row r="1231" spans="1:20" x14ac:dyDescent="0.3">
      <c r="A1231" t="str">
        <f>"0611831224100"</f>
        <v>0611831224100</v>
      </c>
      <c r="B1231" t="str">
        <f>"LK6618"</f>
        <v>LK6618</v>
      </c>
      <c r="C1231" t="s">
        <v>29626</v>
      </c>
      <c r="D1231" t="s">
        <v>27245</v>
      </c>
      <c r="E1231" t="str">
        <f t="shared" si="19"/>
        <v>001390</v>
      </c>
      <c r="F1231" t="s">
        <v>27246</v>
      </c>
      <c r="G1231" t="s">
        <v>27247</v>
      </c>
      <c r="H1231" t="s">
        <v>27248</v>
      </c>
      <c r="I1231" t="s">
        <v>29627</v>
      </c>
      <c r="J1231" t="s">
        <v>2470</v>
      </c>
      <c r="L1231" t="s">
        <v>27250</v>
      </c>
      <c r="M1231" t="s">
        <v>27251</v>
      </c>
      <c r="N1231" t="s">
        <v>27252</v>
      </c>
      <c r="Q1231" s="1">
        <v>44538</v>
      </c>
      <c r="R1231" t="s">
        <v>27253</v>
      </c>
      <c r="S1231" t="s">
        <v>27254</v>
      </c>
      <c r="T1231" t="s">
        <v>27255</v>
      </c>
    </row>
    <row r="1232" spans="1:20" x14ac:dyDescent="0.3">
      <c r="A1232" t="str">
        <f>"0611831566100"</f>
        <v>0611831566100</v>
      </c>
      <c r="B1232" t="str">
        <f>"LK6609"</f>
        <v>LK6609</v>
      </c>
      <c r="C1232" t="s">
        <v>29628</v>
      </c>
      <c r="D1232" t="s">
        <v>27245</v>
      </c>
      <c r="E1232" t="str">
        <f t="shared" si="19"/>
        <v>001390</v>
      </c>
      <c r="F1232" t="s">
        <v>27246</v>
      </c>
      <c r="G1232" t="s">
        <v>27247</v>
      </c>
      <c r="H1232" t="s">
        <v>27248</v>
      </c>
      <c r="I1232" t="s">
        <v>29629</v>
      </c>
      <c r="J1232" t="s">
        <v>2472</v>
      </c>
      <c r="L1232" t="s">
        <v>27250</v>
      </c>
      <c r="M1232" t="s">
        <v>27251</v>
      </c>
      <c r="N1232" t="s">
        <v>27252</v>
      </c>
      <c r="Q1232" s="1">
        <v>44538</v>
      </c>
      <c r="R1232" t="s">
        <v>27253</v>
      </c>
      <c r="S1232" t="s">
        <v>27254</v>
      </c>
      <c r="T1232" t="s">
        <v>27255</v>
      </c>
    </row>
    <row r="1233" spans="1:20" x14ac:dyDescent="0.3">
      <c r="A1233" t="str">
        <f>"0611831567100"</f>
        <v>0611831567100</v>
      </c>
      <c r="B1233" t="str">
        <f>"LK6610"</f>
        <v>LK6610</v>
      </c>
      <c r="C1233" t="s">
        <v>29630</v>
      </c>
      <c r="D1233" t="s">
        <v>27245</v>
      </c>
      <c r="E1233" t="str">
        <f t="shared" si="19"/>
        <v>001390</v>
      </c>
      <c r="F1233" t="s">
        <v>27246</v>
      </c>
      <c r="G1233" t="s">
        <v>27247</v>
      </c>
      <c r="H1233" t="s">
        <v>27248</v>
      </c>
      <c r="I1233" t="s">
        <v>29631</v>
      </c>
      <c r="J1233" t="s">
        <v>2474</v>
      </c>
      <c r="L1233" t="s">
        <v>27250</v>
      </c>
      <c r="M1233" t="s">
        <v>27251</v>
      </c>
      <c r="N1233" t="s">
        <v>27252</v>
      </c>
      <c r="Q1233" s="1">
        <v>44538</v>
      </c>
      <c r="R1233" t="s">
        <v>27253</v>
      </c>
      <c r="S1233" t="s">
        <v>27254</v>
      </c>
      <c r="T1233" t="s">
        <v>27255</v>
      </c>
    </row>
    <row r="1234" spans="1:20" x14ac:dyDescent="0.3">
      <c r="A1234" t="str">
        <f>"0611831568100"</f>
        <v>0611831568100</v>
      </c>
      <c r="B1234" t="str">
        <f>"LK6611"</f>
        <v>LK6611</v>
      </c>
      <c r="C1234" t="s">
        <v>29632</v>
      </c>
      <c r="D1234" t="s">
        <v>27245</v>
      </c>
      <c r="E1234" t="str">
        <f t="shared" si="19"/>
        <v>001390</v>
      </c>
      <c r="F1234" t="s">
        <v>27246</v>
      </c>
      <c r="G1234" t="s">
        <v>27247</v>
      </c>
      <c r="H1234" t="s">
        <v>27248</v>
      </c>
      <c r="I1234" t="s">
        <v>29633</v>
      </c>
      <c r="J1234" t="s">
        <v>2476</v>
      </c>
      <c r="L1234" t="s">
        <v>27250</v>
      </c>
      <c r="M1234" t="s">
        <v>27251</v>
      </c>
      <c r="N1234" t="s">
        <v>27252</v>
      </c>
      <c r="Q1234" s="1">
        <v>44538</v>
      </c>
      <c r="R1234" t="s">
        <v>27253</v>
      </c>
      <c r="S1234" t="s">
        <v>27254</v>
      </c>
      <c r="T1234" t="s">
        <v>27255</v>
      </c>
    </row>
    <row r="1235" spans="1:20" x14ac:dyDescent="0.3">
      <c r="A1235" t="str">
        <f>"0611831223100"</f>
        <v>0611831223100</v>
      </c>
      <c r="B1235" t="str">
        <f>"LK6612"</f>
        <v>LK6612</v>
      </c>
      <c r="C1235" t="s">
        <v>29634</v>
      </c>
      <c r="D1235" t="s">
        <v>27245</v>
      </c>
      <c r="E1235" t="str">
        <f t="shared" si="19"/>
        <v>001390</v>
      </c>
      <c r="F1235" t="s">
        <v>27246</v>
      </c>
      <c r="G1235" t="s">
        <v>27247</v>
      </c>
      <c r="H1235" t="s">
        <v>27248</v>
      </c>
      <c r="I1235" t="s">
        <v>29635</v>
      </c>
      <c r="J1235" t="s">
        <v>2478</v>
      </c>
      <c r="L1235" t="s">
        <v>27250</v>
      </c>
      <c r="M1235" t="s">
        <v>27251</v>
      </c>
      <c r="N1235" t="s">
        <v>27252</v>
      </c>
      <c r="Q1235" s="1">
        <v>44538</v>
      </c>
      <c r="R1235" t="s">
        <v>27253</v>
      </c>
      <c r="S1235" t="s">
        <v>27254</v>
      </c>
      <c r="T1235" t="s">
        <v>27255</v>
      </c>
    </row>
    <row r="1236" spans="1:20" x14ac:dyDescent="0.3">
      <c r="A1236" t="str">
        <f>"0611831569100"</f>
        <v>0611831569100</v>
      </c>
      <c r="B1236" t="str">
        <f>"LK6614"</f>
        <v>LK6614</v>
      </c>
      <c r="C1236" t="s">
        <v>29636</v>
      </c>
      <c r="D1236" t="s">
        <v>27245</v>
      </c>
      <c r="E1236" t="str">
        <f t="shared" si="19"/>
        <v>001390</v>
      </c>
      <c r="F1236" t="s">
        <v>27246</v>
      </c>
      <c r="G1236" t="s">
        <v>27247</v>
      </c>
      <c r="H1236" t="s">
        <v>27248</v>
      </c>
      <c r="I1236" t="s">
        <v>29637</v>
      </c>
      <c r="J1236" t="s">
        <v>2480</v>
      </c>
      <c r="L1236" t="s">
        <v>27250</v>
      </c>
      <c r="M1236" t="s">
        <v>27251</v>
      </c>
      <c r="N1236" t="s">
        <v>27252</v>
      </c>
      <c r="Q1236" s="1">
        <v>44538</v>
      </c>
      <c r="R1236" t="s">
        <v>27253</v>
      </c>
      <c r="S1236" t="s">
        <v>27254</v>
      </c>
      <c r="T1236" t="s">
        <v>27255</v>
      </c>
    </row>
    <row r="1237" spans="1:20" x14ac:dyDescent="0.3">
      <c r="A1237" t="str">
        <f>"0611831570100"</f>
        <v>0611831570100</v>
      </c>
      <c r="B1237" t="str">
        <f>"LK6615"</f>
        <v>LK6615</v>
      </c>
      <c r="C1237" t="s">
        <v>29638</v>
      </c>
      <c r="D1237" t="s">
        <v>27245</v>
      </c>
      <c r="E1237" t="str">
        <f t="shared" si="19"/>
        <v>001390</v>
      </c>
      <c r="F1237" t="s">
        <v>27246</v>
      </c>
      <c r="G1237" t="s">
        <v>27247</v>
      </c>
      <c r="H1237" t="s">
        <v>27248</v>
      </c>
      <c r="I1237" t="s">
        <v>29639</v>
      </c>
      <c r="J1237" t="s">
        <v>2482</v>
      </c>
      <c r="L1237" t="s">
        <v>27250</v>
      </c>
      <c r="M1237" t="s">
        <v>27251</v>
      </c>
      <c r="N1237" t="s">
        <v>27252</v>
      </c>
      <c r="Q1237" s="1">
        <v>44538</v>
      </c>
      <c r="R1237" t="s">
        <v>27253</v>
      </c>
      <c r="S1237" t="s">
        <v>27254</v>
      </c>
      <c r="T1237" t="s">
        <v>27255</v>
      </c>
    </row>
    <row r="1238" spans="1:20" x14ac:dyDescent="0.3">
      <c r="A1238" t="str">
        <f>"0611831571100"</f>
        <v>0611831571100</v>
      </c>
      <c r="B1238" t="str">
        <f>"LK6616"</f>
        <v>LK6616</v>
      </c>
      <c r="C1238" t="s">
        <v>29640</v>
      </c>
      <c r="D1238" t="s">
        <v>27245</v>
      </c>
      <c r="E1238" t="str">
        <f t="shared" si="19"/>
        <v>001390</v>
      </c>
      <c r="F1238" t="s">
        <v>27246</v>
      </c>
      <c r="G1238" t="s">
        <v>27247</v>
      </c>
      <c r="H1238" t="s">
        <v>27248</v>
      </c>
      <c r="I1238" t="s">
        <v>29641</v>
      </c>
      <c r="J1238" t="s">
        <v>2484</v>
      </c>
      <c r="L1238" t="s">
        <v>27250</v>
      </c>
      <c r="M1238" t="s">
        <v>27251</v>
      </c>
      <c r="N1238" t="s">
        <v>27252</v>
      </c>
      <c r="Q1238" s="1">
        <v>44538</v>
      </c>
      <c r="R1238" t="s">
        <v>27253</v>
      </c>
      <c r="S1238" t="s">
        <v>27254</v>
      </c>
      <c r="T1238" t="s">
        <v>27255</v>
      </c>
    </row>
    <row r="1239" spans="1:20" x14ac:dyDescent="0.3">
      <c r="A1239" t="str">
        <f>"0611831572100"</f>
        <v>0611831572100</v>
      </c>
      <c r="B1239" t="str">
        <f>"LK6617"</f>
        <v>LK6617</v>
      </c>
      <c r="C1239" t="s">
        <v>29642</v>
      </c>
      <c r="D1239" t="s">
        <v>27245</v>
      </c>
      <c r="E1239" t="str">
        <f t="shared" si="19"/>
        <v>001390</v>
      </c>
      <c r="F1239" t="s">
        <v>27246</v>
      </c>
      <c r="G1239" t="s">
        <v>27247</v>
      </c>
      <c r="H1239" t="s">
        <v>27248</v>
      </c>
      <c r="I1239" t="s">
        <v>29643</v>
      </c>
      <c r="J1239" t="s">
        <v>2486</v>
      </c>
      <c r="L1239" t="s">
        <v>27250</v>
      </c>
      <c r="M1239" t="s">
        <v>27251</v>
      </c>
      <c r="N1239" t="s">
        <v>27252</v>
      </c>
      <c r="Q1239" s="1">
        <v>44538</v>
      </c>
      <c r="R1239" t="s">
        <v>27253</v>
      </c>
      <c r="S1239" t="s">
        <v>27254</v>
      </c>
      <c r="T1239" t="s">
        <v>27255</v>
      </c>
    </row>
    <row r="1240" spans="1:20" x14ac:dyDescent="0.3">
      <c r="A1240" t="str">
        <f>"0611831573100"</f>
        <v>0611831573100</v>
      </c>
      <c r="B1240" t="str">
        <f>"LK6619"</f>
        <v>LK6619</v>
      </c>
      <c r="C1240" t="s">
        <v>29644</v>
      </c>
      <c r="D1240" t="s">
        <v>27245</v>
      </c>
      <c r="E1240" t="str">
        <f t="shared" si="19"/>
        <v>001390</v>
      </c>
      <c r="F1240" t="s">
        <v>27246</v>
      </c>
      <c r="G1240" t="s">
        <v>27247</v>
      </c>
      <c r="H1240" t="s">
        <v>27248</v>
      </c>
      <c r="I1240" t="s">
        <v>29645</v>
      </c>
      <c r="J1240" t="s">
        <v>2488</v>
      </c>
      <c r="L1240" t="s">
        <v>27250</v>
      </c>
      <c r="M1240" t="s">
        <v>27251</v>
      </c>
      <c r="N1240" t="s">
        <v>27252</v>
      </c>
      <c r="Q1240" s="1">
        <v>44538</v>
      </c>
      <c r="R1240" t="s">
        <v>27253</v>
      </c>
      <c r="S1240" t="s">
        <v>27254</v>
      </c>
      <c r="T1240" t="s">
        <v>27255</v>
      </c>
    </row>
    <row r="1241" spans="1:20" x14ac:dyDescent="0.3">
      <c r="A1241" t="str">
        <f>"0611831574100"</f>
        <v>0611831574100</v>
      </c>
      <c r="B1241" t="str">
        <f>"LK6620"</f>
        <v>LK6620</v>
      </c>
      <c r="C1241" t="s">
        <v>29646</v>
      </c>
      <c r="D1241" t="s">
        <v>27245</v>
      </c>
      <c r="E1241" t="str">
        <f t="shared" si="19"/>
        <v>001390</v>
      </c>
      <c r="F1241" t="s">
        <v>27246</v>
      </c>
      <c r="G1241" t="s">
        <v>27247</v>
      </c>
      <c r="H1241" t="s">
        <v>27248</v>
      </c>
      <c r="I1241" t="s">
        <v>29647</v>
      </c>
      <c r="J1241" t="s">
        <v>2490</v>
      </c>
      <c r="L1241" t="s">
        <v>27250</v>
      </c>
      <c r="M1241" t="s">
        <v>27251</v>
      </c>
      <c r="N1241" t="s">
        <v>27252</v>
      </c>
      <c r="Q1241" s="1">
        <v>44538</v>
      </c>
      <c r="R1241" t="s">
        <v>27253</v>
      </c>
      <c r="S1241" t="s">
        <v>27254</v>
      </c>
      <c r="T1241" t="s">
        <v>27255</v>
      </c>
    </row>
    <row r="1242" spans="1:20" x14ac:dyDescent="0.3">
      <c r="A1242" t="str">
        <f>"0611831575100"</f>
        <v>0611831575100</v>
      </c>
      <c r="B1242" t="str">
        <f>"LK6621"</f>
        <v>LK6621</v>
      </c>
      <c r="C1242" t="s">
        <v>29648</v>
      </c>
      <c r="D1242" t="s">
        <v>27245</v>
      </c>
      <c r="E1242" t="str">
        <f t="shared" si="19"/>
        <v>001390</v>
      </c>
      <c r="F1242" t="s">
        <v>27246</v>
      </c>
      <c r="G1242" t="s">
        <v>27247</v>
      </c>
      <c r="H1242" t="s">
        <v>27248</v>
      </c>
      <c r="I1242" t="s">
        <v>29649</v>
      </c>
      <c r="J1242" t="s">
        <v>2492</v>
      </c>
      <c r="L1242" t="s">
        <v>27250</v>
      </c>
      <c r="M1242" t="s">
        <v>27251</v>
      </c>
      <c r="N1242" t="s">
        <v>27252</v>
      </c>
      <c r="Q1242" s="1">
        <v>44538</v>
      </c>
      <c r="R1242" t="s">
        <v>27253</v>
      </c>
      <c r="S1242" t="s">
        <v>27254</v>
      </c>
      <c r="T1242" t="s">
        <v>27255</v>
      </c>
    </row>
    <row r="1243" spans="1:20" x14ac:dyDescent="0.3">
      <c r="A1243" t="str">
        <f>"0611831576100"</f>
        <v>0611831576100</v>
      </c>
      <c r="B1243" t="str">
        <f>"LB1208"</f>
        <v>LB1208</v>
      </c>
      <c r="C1243" t="s">
        <v>29650</v>
      </c>
      <c r="D1243" t="s">
        <v>27245</v>
      </c>
      <c r="E1243" t="str">
        <f t="shared" si="19"/>
        <v>001390</v>
      </c>
      <c r="F1243" t="s">
        <v>27246</v>
      </c>
      <c r="G1243" t="s">
        <v>27247</v>
      </c>
      <c r="H1243" t="s">
        <v>27248</v>
      </c>
      <c r="I1243" t="s">
        <v>29651</v>
      </c>
      <c r="J1243" t="s">
        <v>2494</v>
      </c>
      <c r="L1243" t="s">
        <v>27250</v>
      </c>
      <c r="M1243" t="s">
        <v>27251</v>
      </c>
      <c r="N1243" t="s">
        <v>27252</v>
      </c>
      <c r="Q1243" s="1">
        <v>44538</v>
      </c>
      <c r="R1243" t="s">
        <v>27253</v>
      </c>
      <c r="S1243" t="s">
        <v>27254</v>
      </c>
      <c r="T1243" t="s">
        <v>27255</v>
      </c>
    </row>
    <row r="1244" spans="1:20" x14ac:dyDescent="0.3">
      <c r="A1244" t="str">
        <f>"0611831578100"</f>
        <v>0611831578100</v>
      </c>
      <c r="B1244" t="str">
        <f>"LK5715"</f>
        <v>LK5715</v>
      </c>
      <c r="C1244" t="s">
        <v>29652</v>
      </c>
      <c r="D1244" t="s">
        <v>27245</v>
      </c>
      <c r="E1244" t="str">
        <f t="shared" si="19"/>
        <v>001390</v>
      </c>
      <c r="F1244" t="s">
        <v>27246</v>
      </c>
      <c r="G1244" t="s">
        <v>27247</v>
      </c>
      <c r="H1244" t="s">
        <v>27248</v>
      </c>
      <c r="I1244" t="s">
        <v>29653</v>
      </c>
      <c r="J1244" t="s">
        <v>2496</v>
      </c>
      <c r="L1244" t="s">
        <v>27250</v>
      </c>
      <c r="M1244" t="s">
        <v>27251</v>
      </c>
      <c r="N1244" t="s">
        <v>27252</v>
      </c>
      <c r="Q1244" s="1">
        <v>44538</v>
      </c>
      <c r="R1244" t="s">
        <v>27253</v>
      </c>
      <c r="S1244" t="s">
        <v>27254</v>
      </c>
      <c r="T1244" t="s">
        <v>27255</v>
      </c>
    </row>
    <row r="1245" spans="1:20" x14ac:dyDescent="0.3">
      <c r="A1245" t="str">
        <f>"0611831579100"</f>
        <v>0611831579100</v>
      </c>
      <c r="B1245" t="str">
        <f>"LQ3674"</f>
        <v>LQ3674</v>
      </c>
      <c r="C1245" t="s">
        <v>29654</v>
      </c>
      <c r="D1245" t="s">
        <v>27245</v>
      </c>
      <c r="E1245" t="str">
        <f t="shared" si="19"/>
        <v>001390</v>
      </c>
      <c r="F1245" t="s">
        <v>27246</v>
      </c>
      <c r="G1245" t="s">
        <v>27247</v>
      </c>
      <c r="H1245" t="s">
        <v>27248</v>
      </c>
      <c r="I1245" t="s">
        <v>29655</v>
      </c>
      <c r="J1245" t="s">
        <v>2498</v>
      </c>
      <c r="L1245" t="s">
        <v>27250</v>
      </c>
      <c r="M1245" t="s">
        <v>27251</v>
      </c>
      <c r="N1245" t="s">
        <v>27252</v>
      </c>
      <c r="Q1245" s="1">
        <v>44538</v>
      </c>
      <c r="R1245" t="s">
        <v>27253</v>
      </c>
      <c r="S1245" t="s">
        <v>27254</v>
      </c>
      <c r="T1245" t="s">
        <v>27255</v>
      </c>
    </row>
    <row r="1246" spans="1:20" x14ac:dyDescent="0.3">
      <c r="A1246" t="str">
        <f>"0611831580100"</f>
        <v>0611831580100</v>
      </c>
      <c r="B1246" t="str">
        <f>"LK6021"</f>
        <v>LK6021</v>
      </c>
      <c r="C1246" t="s">
        <v>29656</v>
      </c>
      <c r="D1246" t="s">
        <v>27245</v>
      </c>
      <c r="E1246" t="str">
        <f t="shared" si="19"/>
        <v>001390</v>
      </c>
      <c r="F1246" t="s">
        <v>27246</v>
      </c>
      <c r="G1246" t="s">
        <v>27247</v>
      </c>
      <c r="H1246" t="s">
        <v>27248</v>
      </c>
      <c r="I1246" t="s">
        <v>29657</v>
      </c>
      <c r="J1246" t="s">
        <v>2500</v>
      </c>
      <c r="L1246" t="s">
        <v>27250</v>
      </c>
      <c r="M1246" t="s">
        <v>27251</v>
      </c>
      <c r="N1246" t="s">
        <v>27252</v>
      </c>
      <c r="Q1246" s="1">
        <v>44538</v>
      </c>
      <c r="R1246" t="s">
        <v>27253</v>
      </c>
      <c r="S1246" t="s">
        <v>27254</v>
      </c>
      <c r="T1246" t="s">
        <v>27255</v>
      </c>
    </row>
    <row r="1247" spans="1:20" x14ac:dyDescent="0.3">
      <c r="A1247" t="str">
        <f>"0611831581100"</f>
        <v>0611831581100</v>
      </c>
      <c r="B1247" t="str">
        <f>"LK4952"</f>
        <v>LK4952</v>
      </c>
      <c r="C1247" t="s">
        <v>29658</v>
      </c>
      <c r="D1247" t="s">
        <v>27245</v>
      </c>
      <c r="E1247" t="str">
        <f t="shared" si="19"/>
        <v>001390</v>
      </c>
      <c r="F1247" t="s">
        <v>27246</v>
      </c>
      <c r="G1247" t="s">
        <v>27247</v>
      </c>
      <c r="H1247" t="s">
        <v>27248</v>
      </c>
      <c r="I1247" t="s">
        <v>29659</v>
      </c>
      <c r="J1247" t="s">
        <v>2502</v>
      </c>
      <c r="L1247" t="s">
        <v>27250</v>
      </c>
      <c r="M1247" t="s">
        <v>27251</v>
      </c>
      <c r="N1247" t="s">
        <v>27252</v>
      </c>
      <c r="Q1247" s="1">
        <v>44538</v>
      </c>
      <c r="R1247" t="s">
        <v>27253</v>
      </c>
      <c r="S1247" t="s">
        <v>27254</v>
      </c>
      <c r="T1247" t="s">
        <v>27255</v>
      </c>
    </row>
    <row r="1248" spans="1:20" x14ac:dyDescent="0.3">
      <c r="A1248" t="str">
        <f>"0611860648050"</f>
        <v>0611860648050</v>
      </c>
      <c r="B1248" t="str">
        <f>"CR4100"</f>
        <v>CR4100</v>
      </c>
      <c r="C1248" t="s">
        <v>29660</v>
      </c>
      <c r="D1248" t="s">
        <v>27263</v>
      </c>
      <c r="E1248" t="str">
        <f t="shared" si="19"/>
        <v>001390</v>
      </c>
      <c r="F1248" t="s">
        <v>27246</v>
      </c>
      <c r="G1248" t="s">
        <v>27247</v>
      </c>
      <c r="H1248" t="s">
        <v>27248</v>
      </c>
      <c r="I1248" t="s">
        <v>29661</v>
      </c>
      <c r="J1248" t="s">
        <v>2504</v>
      </c>
      <c r="L1248" t="s">
        <v>27250</v>
      </c>
      <c r="M1248" t="s">
        <v>27251</v>
      </c>
      <c r="N1248" t="s">
        <v>27252</v>
      </c>
      <c r="Q1248" s="1">
        <v>44846</v>
      </c>
      <c r="R1248" t="s">
        <v>27253</v>
      </c>
      <c r="S1248" t="s">
        <v>27254</v>
      </c>
      <c r="T1248" t="s">
        <v>27265</v>
      </c>
    </row>
    <row r="1249" spans="1:20" x14ac:dyDescent="0.3">
      <c r="A1249" t="str">
        <f>"0611860649050"</f>
        <v>0611860649050</v>
      </c>
      <c r="B1249" t="str">
        <f>"CR4101"</f>
        <v>CR4101</v>
      </c>
      <c r="C1249" t="s">
        <v>29662</v>
      </c>
      <c r="D1249" t="s">
        <v>27263</v>
      </c>
      <c r="E1249" t="str">
        <f t="shared" si="19"/>
        <v>001390</v>
      </c>
      <c r="F1249" t="s">
        <v>27246</v>
      </c>
      <c r="G1249" t="s">
        <v>27247</v>
      </c>
      <c r="H1249" t="s">
        <v>27248</v>
      </c>
      <c r="I1249" t="s">
        <v>29663</v>
      </c>
      <c r="J1249" t="s">
        <v>2506</v>
      </c>
      <c r="L1249" t="s">
        <v>27250</v>
      </c>
      <c r="M1249" t="s">
        <v>27251</v>
      </c>
      <c r="N1249" t="s">
        <v>27252</v>
      </c>
      <c r="Q1249" s="1">
        <v>44846</v>
      </c>
      <c r="R1249" t="s">
        <v>27253</v>
      </c>
      <c r="S1249" t="s">
        <v>27254</v>
      </c>
      <c r="T1249" t="s">
        <v>27265</v>
      </c>
    </row>
    <row r="1250" spans="1:20" x14ac:dyDescent="0.3">
      <c r="A1250" t="str">
        <f>"0611831582100"</f>
        <v>0611831582100</v>
      </c>
      <c r="B1250" t="str">
        <f>"LB0935"</f>
        <v>LB0935</v>
      </c>
      <c r="C1250" t="s">
        <v>29664</v>
      </c>
      <c r="D1250" t="s">
        <v>27245</v>
      </c>
      <c r="E1250" t="str">
        <f t="shared" si="19"/>
        <v>001390</v>
      </c>
      <c r="F1250" t="s">
        <v>27246</v>
      </c>
      <c r="G1250" t="s">
        <v>27247</v>
      </c>
      <c r="H1250" t="s">
        <v>27248</v>
      </c>
      <c r="I1250" t="s">
        <v>29665</v>
      </c>
      <c r="J1250" t="s">
        <v>2508</v>
      </c>
      <c r="L1250" t="s">
        <v>27250</v>
      </c>
      <c r="M1250" t="s">
        <v>27251</v>
      </c>
      <c r="N1250" t="s">
        <v>27252</v>
      </c>
      <c r="Q1250" s="1">
        <v>44538</v>
      </c>
      <c r="R1250" t="s">
        <v>27253</v>
      </c>
      <c r="S1250" t="s">
        <v>27254</v>
      </c>
      <c r="T1250" t="s">
        <v>27255</v>
      </c>
    </row>
    <row r="1251" spans="1:20" x14ac:dyDescent="0.3">
      <c r="A1251" t="str">
        <f>"0611831583100"</f>
        <v>0611831583100</v>
      </c>
      <c r="B1251" t="str">
        <f>"LK6362"</f>
        <v>LK6362</v>
      </c>
      <c r="C1251" t="s">
        <v>29666</v>
      </c>
      <c r="D1251" t="s">
        <v>27245</v>
      </c>
      <c r="E1251" t="str">
        <f t="shared" si="19"/>
        <v>001390</v>
      </c>
      <c r="F1251" t="s">
        <v>27246</v>
      </c>
      <c r="G1251" t="s">
        <v>27247</v>
      </c>
      <c r="H1251" t="s">
        <v>27248</v>
      </c>
      <c r="I1251" t="s">
        <v>29667</v>
      </c>
      <c r="J1251" t="s">
        <v>2510</v>
      </c>
      <c r="L1251" t="s">
        <v>27250</v>
      </c>
      <c r="M1251" t="s">
        <v>27251</v>
      </c>
      <c r="N1251" t="s">
        <v>27252</v>
      </c>
      <c r="Q1251" s="1">
        <v>44538</v>
      </c>
      <c r="R1251" t="s">
        <v>27253</v>
      </c>
      <c r="S1251" t="s">
        <v>27254</v>
      </c>
      <c r="T1251" t="s">
        <v>27255</v>
      </c>
    </row>
    <row r="1252" spans="1:20" x14ac:dyDescent="0.3">
      <c r="A1252" t="str">
        <f>"0611831584100"</f>
        <v>0611831584100</v>
      </c>
      <c r="B1252" t="str">
        <f>"LK6892"</f>
        <v>LK6892</v>
      </c>
      <c r="C1252" t="s">
        <v>29668</v>
      </c>
      <c r="D1252" t="s">
        <v>27245</v>
      </c>
      <c r="E1252" t="str">
        <f t="shared" si="19"/>
        <v>001390</v>
      </c>
      <c r="F1252" t="s">
        <v>27246</v>
      </c>
      <c r="G1252" t="s">
        <v>27247</v>
      </c>
      <c r="H1252" t="s">
        <v>27248</v>
      </c>
      <c r="I1252" t="s">
        <v>29669</v>
      </c>
      <c r="J1252" t="s">
        <v>2512</v>
      </c>
      <c r="L1252" t="s">
        <v>27250</v>
      </c>
      <c r="M1252" t="s">
        <v>27251</v>
      </c>
      <c r="N1252" t="s">
        <v>27252</v>
      </c>
      <c r="Q1252" s="1">
        <v>44538</v>
      </c>
      <c r="R1252" t="s">
        <v>27253</v>
      </c>
      <c r="S1252" t="s">
        <v>27254</v>
      </c>
      <c r="T1252" t="s">
        <v>27255</v>
      </c>
    </row>
    <row r="1253" spans="1:20" x14ac:dyDescent="0.3">
      <c r="A1253" t="str">
        <f>"0611831585100"</f>
        <v>0611831585100</v>
      </c>
      <c r="B1253" t="str">
        <f>"LK6363"</f>
        <v>LK6363</v>
      </c>
      <c r="C1253" t="s">
        <v>29670</v>
      </c>
      <c r="D1253" t="s">
        <v>27245</v>
      </c>
      <c r="E1253" t="str">
        <f t="shared" si="19"/>
        <v>001390</v>
      </c>
      <c r="F1253" t="s">
        <v>27246</v>
      </c>
      <c r="G1253" t="s">
        <v>27247</v>
      </c>
      <c r="H1253" t="s">
        <v>27248</v>
      </c>
      <c r="I1253" t="s">
        <v>29671</v>
      </c>
      <c r="J1253" t="s">
        <v>2514</v>
      </c>
      <c r="L1253" t="s">
        <v>27250</v>
      </c>
      <c r="M1253" t="s">
        <v>27251</v>
      </c>
      <c r="N1253" t="s">
        <v>27252</v>
      </c>
      <c r="Q1253" s="1">
        <v>44538</v>
      </c>
      <c r="R1253" t="s">
        <v>27253</v>
      </c>
      <c r="S1253" t="s">
        <v>27254</v>
      </c>
      <c r="T1253" t="s">
        <v>27255</v>
      </c>
    </row>
    <row r="1254" spans="1:20" x14ac:dyDescent="0.3">
      <c r="A1254" t="str">
        <f>"0611831586100"</f>
        <v>0611831586100</v>
      </c>
      <c r="B1254" t="str">
        <f>"LK6364"</f>
        <v>LK6364</v>
      </c>
      <c r="C1254" t="s">
        <v>29672</v>
      </c>
      <c r="D1254" t="s">
        <v>27245</v>
      </c>
      <c r="E1254" t="str">
        <f t="shared" si="19"/>
        <v>001390</v>
      </c>
      <c r="F1254" t="s">
        <v>27246</v>
      </c>
      <c r="G1254" t="s">
        <v>27247</v>
      </c>
      <c r="H1254" t="s">
        <v>27248</v>
      </c>
      <c r="I1254" t="s">
        <v>29673</v>
      </c>
      <c r="J1254" t="s">
        <v>2516</v>
      </c>
      <c r="L1254" t="s">
        <v>27250</v>
      </c>
      <c r="M1254" t="s">
        <v>27251</v>
      </c>
      <c r="N1254" t="s">
        <v>27252</v>
      </c>
      <c r="Q1254" s="1">
        <v>44538</v>
      </c>
      <c r="R1254" t="s">
        <v>27253</v>
      </c>
      <c r="S1254" t="s">
        <v>27254</v>
      </c>
      <c r="T1254" t="s">
        <v>27255</v>
      </c>
    </row>
    <row r="1255" spans="1:20" x14ac:dyDescent="0.3">
      <c r="A1255" t="str">
        <f>"0611831587100"</f>
        <v>0611831587100</v>
      </c>
      <c r="B1255" t="str">
        <f>"LK6365"</f>
        <v>LK6365</v>
      </c>
      <c r="C1255" t="s">
        <v>29674</v>
      </c>
      <c r="D1255" t="s">
        <v>27245</v>
      </c>
      <c r="E1255" t="str">
        <f t="shared" si="19"/>
        <v>001390</v>
      </c>
      <c r="F1255" t="s">
        <v>27246</v>
      </c>
      <c r="G1255" t="s">
        <v>27247</v>
      </c>
      <c r="H1255" t="s">
        <v>27248</v>
      </c>
      <c r="I1255" t="s">
        <v>29675</v>
      </c>
      <c r="J1255" t="s">
        <v>2518</v>
      </c>
      <c r="L1255" t="s">
        <v>27250</v>
      </c>
      <c r="M1255" t="s">
        <v>27251</v>
      </c>
      <c r="N1255" t="s">
        <v>27252</v>
      </c>
      <c r="Q1255" s="1">
        <v>44538</v>
      </c>
      <c r="R1255" t="s">
        <v>27253</v>
      </c>
      <c r="S1255" t="s">
        <v>27254</v>
      </c>
      <c r="T1255" t="s">
        <v>27255</v>
      </c>
    </row>
    <row r="1256" spans="1:20" x14ac:dyDescent="0.3">
      <c r="A1256" t="str">
        <f>"0611831588100"</f>
        <v>0611831588100</v>
      </c>
      <c r="B1256" t="str">
        <f>"LK6366"</f>
        <v>LK6366</v>
      </c>
      <c r="C1256" t="s">
        <v>29676</v>
      </c>
      <c r="D1256" t="s">
        <v>27245</v>
      </c>
      <c r="E1256" t="str">
        <f t="shared" si="19"/>
        <v>001390</v>
      </c>
      <c r="F1256" t="s">
        <v>27246</v>
      </c>
      <c r="G1256" t="s">
        <v>27247</v>
      </c>
      <c r="H1256" t="s">
        <v>27248</v>
      </c>
      <c r="I1256" t="s">
        <v>29677</v>
      </c>
      <c r="J1256" t="s">
        <v>2520</v>
      </c>
      <c r="L1256" t="s">
        <v>27250</v>
      </c>
      <c r="M1256" t="s">
        <v>27251</v>
      </c>
      <c r="N1256" t="s">
        <v>27252</v>
      </c>
      <c r="Q1256" s="1">
        <v>44538</v>
      </c>
      <c r="R1256" t="s">
        <v>27253</v>
      </c>
      <c r="S1256" t="s">
        <v>27254</v>
      </c>
      <c r="T1256" t="s">
        <v>27255</v>
      </c>
    </row>
    <row r="1257" spans="1:20" x14ac:dyDescent="0.3">
      <c r="A1257" t="str">
        <f>"0611831589100"</f>
        <v>0611831589100</v>
      </c>
      <c r="B1257" t="str">
        <f>"LK6367"</f>
        <v>LK6367</v>
      </c>
      <c r="C1257" t="s">
        <v>29678</v>
      </c>
      <c r="D1257" t="s">
        <v>27245</v>
      </c>
      <c r="E1257" t="str">
        <f t="shared" si="19"/>
        <v>001390</v>
      </c>
      <c r="F1257" t="s">
        <v>27246</v>
      </c>
      <c r="G1257" t="s">
        <v>27247</v>
      </c>
      <c r="H1257" t="s">
        <v>27248</v>
      </c>
      <c r="I1257" t="s">
        <v>29679</v>
      </c>
      <c r="J1257" t="s">
        <v>2522</v>
      </c>
      <c r="L1257" t="s">
        <v>27250</v>
      </c>
      <c r="M1257" t="s">
        <v>27251</v>
      </c>
      <c r="N1257" t="s">
        <v>27252</v>
      </c>
      <c r="Q1257" s="1">
        <v>44538</v>
      </c>
      <c r="R1257" t="s">
        <v>27253</v>
      </c>
      <c r="S1257" t="s">
        <v>27254</v>
      </c>
      <c r="T1257" t="s">
        <v>27255</v>
      </c>
    </row>
    <row r="1258" spans="1:20" x14ac:dyDescent="0.3">
      <c r="A1258" t="str">
        <f>"0611831590100"</f>
        <v>0611831590100</v>
      </c>
      <c r="B1258" t="str">
        <f>"LB0818"</f>
        <v>LB0818</v>
      </c>
      <c r="C1258" t="s">
        <v>29680</v>
      </c>
      <c r="D1258" t="s">
        <v>27245</v>
      </c>
      <c r="E1258" t="str">
        <f t="shared" si="19"/>
        <v>001390</v>
      </c>
      <c r="F1258" t="s">
        <v>27246</v>
      </c>
      <c r="G1258" t="s">
        <v>27247</v>
      </c>
      <c r="H1258" t="s">
        <v>27248</v>
      </c>
      <c r="I1258" t="s">
        <v>29681</v>
      </c>
      <c r="J1258" t="s">
        <v>2524</v>
      </c>
      <c r="L1258" t="s">
        <v>27250</v>
      </c>
      <c r="M1258" t="s">
        <v>27251</v>
      </c>
      <c r="N1258" t="s">
        <v>27252</v>
      </c>
      <c r="Q1258" s="1">
        <v>44538</v>
      </c>
      <c r="R1258" t="s">
        <v>27253</v>
      </c>
      <c r="S1258" t="s">
        <v>27254</v>
      </c>
      <c r="T1258" t="s">
        <v>27255</v>
      </c>
    </row>
    <row r="1259" spans="1:20" x14ac:dyDescent="0.3">
      <c r="A1259" t="str">
        <f>"0611831591100"</f>
        <v>0611831591100</v>
      </c>
      <c r="B1259" t="str">
        <f>"LB0910"</f>
        <v>LB0910</v>
      </c>
      <c r="C1259" t="s">
        <v>29682</v>
      </c>
      <c r="D1259" t="s">
        <v>27245</v>
      </c>
      <c r="E1259" t="str">
        <f t="shared" si="19"/>
        <v>001390</v>
      </c>
      <c r="F1259" t="s">
        <v>27246</v>
      </c>
      <c r="G1259" t="s">
        <v>27247</v>
      </c>
      <c r="H1259" t="s">
        <v>27248</v>
      </c>
      <c r="I1259" t="s">
        <v>29683</v>
      </c>
      <c r="J1259" t="s">
        <v>2526</v>
      </c>
      <c r="L1259" t="s">
        <v>27250</v>
      </c>
      <c r="M1259" t="s">
        <v>27251</v>
      </c>
      <c r="N1259" t="s">
        <v>27252</v>
      </c>
      <c r="Q1259" s="1">
        <v>44538</v>
      </c>
      <c r="R1259" t="s">
        <v>27253</v>
      </c>
      <c r="S1259" t="s">
        <v>27254</v>
      </c>
      <c r="T1259" t="s">
        <v>27255</v>
      </c>
    </row>
    <row r="1260" spans="1:20" x14ac:dyDescent="0.3">
      <c r="A1260" t="str">
        <f>"0611831592100"</f>
        <v>0611831592100</v>
      </c>
      <c r="B1260" t="str">
        <f>"LB0978"</f>
        <v>LB0978</v>
      </c>
      <c r="C1260" t="s">
        <v>29684</v>
      </c>
      <c r="D1260" t="s">
        <v>27245</v>
      </c>
      <c r="E1260" t="str">
        <f t="shared" si="19"/>
        <v>001390</v>
      </c>
      <c r="F1260" t="s">
        <v>27246</v>
      </c>
      <c r="G1260" t="s">
        <v>27247</v>
      </c>
      <c r="H1260" t="s">
        <v>27248</v>
      </c>
      <c r="I1260" t="s">
        <v>29685</v>
      </c>
      <c r="J1260" t="s">
        <v>2528</v>
      </c>
      <c r="L1260" t="s">
        <v>27250</v>
      </c>
      <c r="M1260" t="s">
        <v>27251</v>
      </c>
      <c r="N1260" t="s">
        <v>27252</v>
      </c>
      <c r="Q1260" s="1">
        <v>44538</v>
      </c>
      <c r="R1260" t="s">
        <v>27253</v>
      </c>
      <c r="S1260" t="s">
        <v>27254</v>
      </c>
      <c r="T1260" t="s">
        <v>27255</v>
      </c>
    </row>
    <row r="1261" spans="1:20" x14ac:dyDescent="0.3">
      <c r="A1261" t="str">
        <f>"0611831593100"</f>
        <v>0611831593100</v>
      </c>
      <c r="B1261" t="str">
        <f>"LB0911"</f>
        <v>LB0911</v>
      </c>
      <c r="C1261" t="s">
        <v>29686</v>
      </c>
      <c r="D1261" t="s">
        <v>27245</v>
      </c>
      <c r="E1261" t="str">
        <f t="shared" si="19"/>
        <v>001390</v>
      </c>
      <c r="F1261" t="s">
        <v>27246</v>
      </c>
      <c r="G1261" t="s">
        <v>27247</v>
      </c>
      <c r="H1261" t="s">
        <v>27248</v>
      </c>
      <c r="I1261" t="s">
        <v>29687</v>
      </c>
      <c r="J1261" t="s">
        <v>2530</v>
      </c>
      <c r="L1261" t="s">
        <v>27250</v>
      </c>
      <c r="M1261" t="s">
        <v>27251</v>
      </c>
      <c r="N1261" t="s">
        <v>27252</v>
      </c>
      <c r="Q1261" s="1">
        <v>44538</v>
      </c>
      <c r="R1261" t="s">
        <v>27253</v>
      </c>
      <c r="S1261" t="s">
        <v>27254</v>
      </c>
      <c r="T1261" t="s">
        <v>27255</v>
      </c>
    </row>
    <row r="1262" spans="1:20" x14ac:dyDescent="0.3">
      <c r="A1262" t="str">
        <f>"0611831594100"</f>
        <v>0611831594100</v>
      </c>
      <c r="B1262" t="str">
        <f>"LB0979"</f>
        <v>LB0979</v>
      </c>
      <c r="C1262" t="s">
        <v>29688</v>
      </c>
      <c r="D1262" t="s">
        <v>27245</v>
      </c>
      <c r="E1262" t="str">
        <f t="shared" si="19"/>
        <v>001390</v>
      </c>
      <c r="F1262" t="s">
        <v>27246</v>
      </c>
      <c r="G1262" t="s">
        <v>27247</v>
      </c>
      <c r="H1262" t="s">
        <v>27248</v>
      </c>
      <c r="I1262" t="s">
        <v>29689</v>
      </c>
      <c r="J1262" t="s">
        <v>2532</v>
      </c>
      <c r="L1262" t="s">
        <v>27250</v>
      </c>
      <c r="M1262" t="s">
        <v>27251</v>
      </c>
      <c r="N1262" t="s">
        <v>27252</v>
      </c>
      <c r="Q1262" s="1">
        <v>44538</v>
      </c>
      <c r="R1262" t="s">
        <v>27253</v>
      </c>
      <c r="S1262" t="s">
        <v>27254</v>
      </c>
      <c r="T1262" t="s">
        <v>27255</v>
      </c>
    </row>
    <row r="1263" spans="1:20" x14ac:dyDescent="0.3">
      <c r="A1263" t="str">
        <f>"0611831595100"</f>
        <v>0611831595100</v>
      </c>
      <c r="B1263" t="str">
        <f>"LG0030"</f>
        <v>LG0030</v>
      </c>
      <c r="C1263" t="s">
        <v>29690</v>
      </c>
      <c r="D1263" t="s">
        <v>27245</v>
      </c>
      <c r="E1263" t="str">
        <f t="shared" si="19"/>
        <v>001390</v>
      </c>
      <c r="F1263" t="s">
        <v>27246</v>
      </c>
      <c r="G1263" t="s">
        <v>27247</v>
      </c>
      <c r="H1263" t="s">
        <v>27248</v>
      </c>
      <c r="I1263" t="s">
        <v>29691</v>
      </c>
      <c r="J1263" t="s">
        <v>2534</v>
      </c>
      <c r="L1263" t="s">
        <v>27250</v>
      </c>
      <c r="M1263" t="s">
        <v>27251</v>
      </c>
      <c r="N1263" t="s">
        <v>27252</v>
      </c>
      <c r="Q1263" s="1">
        <v>44538</v>
      </c>
      <c r="R1263" t="s">
        <v>27253</v>
      </c>
      <c r="S1263" t="s">
        <v>27254</v>
      </c>
      <c r="T1263" t="s">
        <v>27255</v>
      </c>
    </row>
    <row r="1264" spans="1:20" x14ac:dyDescent="0.3">
      <c r="A1264" t="str">
        <f>"0611831596100"</f>
        <v>0611831596100</v>
      </c>
      <c r="B1264" t="str">
        <f>"LG0031"</f>
        <v>LG0031</v>
      </c>
      <c r="C1264" t="s">
        <v>29692</v>
      </c>
      <c r="D1264" t="s">
        <v>27245</v>
      </c>
      <c r="E1264" t="str">
        <f t="shared" si="19"/>
        <v>001390</v>
      </c>
      <c r="F1264" t="s">
        <v>27246</v>
      </c>
      <c r="G1264" t="s">
        <v>27247</v>
      </c>
      <c r="H1264" t="s">
        <v>27248</v>
      </c>
      <c r="I1264" t="s">
        <v>29693</v>
      </c>
      <c r="J1264" t="s">
        <v>2536</v>
      </c>
      <c r="L1264" t="s">
        <v>27250</v>
      </c>
      <c r="M1264" t="s">
        <v>27251</v>
      </c>
      <c r="N1264" t="s">
        <v>27252</v>
      </c>
      <c r="Q1264" s="1">
        <v>44538</v>
      </c>
      <c r="R1264" t="s">
        <v>27253</v>
      </c>
      <c r="S1264" t="s">
        <v>27254</v>
      </c>
      <c r="T1264" t="s">
        <v>27255</v>
      </c>
    </row>
    <row r="1265" spans="1:20" x14ac:dyDescent="0.3">
      <c r="A1265" t="str">
        <f>"0611831597100"</f>
        <v>0611831597100</v>
      </c>
      <c r="B1265" t="str">
        <f>"LG0032"</f>
        <v>LG0032</v>
      </c>
      <c r="C1265" t="s">
        <v>29694</v>
      </c>
      <c r="D1265" t="s">
        <v>27245</v>
      </c>
      <c r="E1265" t="str">
        <f t="shared" si="19"/>
        <v>001390</v>
      </c>
      <c r="F1265" t="s">
        <v>27246</v>
      </c>
      <c r="G1265" t="s">
        <v>27247</v>
      </c>
      <c r="H1265" t="s">
        <v>27248</v>
      </c>
      <c r="I1265" t="s">
        <v>29695</v>
      </c>
      <c r="J1265" t="s">
        <v>2538</v>
      </c>
      <c r="L1265" t="s">
        <v>27250</v>
      </c>
      <c r="M1265" t="s">
        <v>27251</v>
      </c>
      <c r="N1265" t="s">
        <v>27252</v>
      </c>
      <c r="Q1265" s="1">
        <v>44538</v>
      </c>
      <c r="R1265" t="s">
        <v>27253</v>
      </c>
      <c r="S1265" t="s">
        <v>27254</v>
      </c>
      <c r="T1265" t="s">
        <v>27255</v>
      </c>
    </row>
    <row r="1266" spans="1:20" x14ac:dyDescent="0.3">
      <c r="A1266" t="str">
        <f>"0611831598100"</f>
        <v>0611831598100</v>
      </c>
      <c r="B1266" t="str">
        <f>"LG0033"</f>
        <v>LG0033</v>
      </c>
      <c r="C1266" t="s">
        <v>29696</v>
      </c>
      <c r="D1266" t="s">
        <v>27245</v>
      </c>
      <c r="E1266" t="str">
        <f t="shared" si="19"/>
        <v>001390</v>
      </c>
      <c r="F1266" t="s">
        <v>27246</v>
      </c>
      <c r="G1266" t="s">
        <v>27247</v>
      </c>
      <c r="H1266" t="s">
        <v>27248</v>
      </c>
      <c r="I1266" t="s">
        <v>29697</v>
      </c>
      <c r="J1266" t="s">
        <v>2540</v>
      </c>
      <c r="L1266" t="s">
        <v>27250</v>
      </c>
      <c r="M1266" t="s">
        <v>27251</v>
      </c>
      <c r="N1266" t="s">
        <v>27252</v>
      </c>
      <c r="Q1266" s="1">
        <v>44538</v>
      </c>
      <c r="R1266" t="s">
        <v>27253</v>
      </c>
      <c r="S1266" t="s">
        <v>27254</v>
      </c>
      <c r="T1266" t="s">
        <v>27255</v>
      </c>
    </row>
    <row r="1267" spans="1:20" x14ac:dyDescent="0.3">
      <c r="A1267" t="str">
        <f>"0611884049100"</f>
        <v>0611884049100</v>
      </c>
      <c r="B1267" t="str">
        <f>"LQ3906"</f>
        <v>LQ3906</v>
      </c>
      <c r="C1267" t="s">
        <v>29698</v>
      </c>
      <c r="D1267" t="s">
        <v>27245</v>
      </c>
      <c r="E1267" t="str">
        <f t="shared" si="19"/>
        <v>001390</v>
      </c>
      <c r="F1267" t="s">
        <v>27246</v>
      </c>
      <c r="G1267" t="s">
        <v>27247</v>
      </c>
      <c r="H1267" t="s">
        <v>27248</v>
      </c>
      <c r="I1267" t="s">
        <v>29699</v>
      </c>
      <c r="J1267" t="s">
        <v>2542</v>
      </c>
      <c r="L1267" t="s">
        <v>27430</v>
      </c>
      <c r="M1267" t="s">
        <v>27251</v>
      </c>
      <c r="N1267" t="s">
        <v>27252</v>
      </c>
      <c r="Q1267" s="1">
        <v>45250</v>
      </c>
      <c r="R1267" t="s">
        <v>27253</v>
      </c>
      <c r="S1267" t="s">
        <v>27254</v>
      </c>
      <c r="T1267" t="s">
        <v>27255</v>
      </c>
    </row>
    <row r="1268" spans="1:20" x14ac:dyDescent="0.3">
      <c r="A1268" t="str">
        <f>"0611831599100"</f>
        <v>0611831599100</v>
      </c>
      <c r="B1268" t="str">
        <f>"LG0034"</f>
        <v>LG0034</v>
      </c>
      <c r="C1268" t="s">
        <v>29700</v>
      </c>
      <c r="D1268" t="s">
        <v>27245</v>
      </c>
      <c r="E1268" t="str">
        <f t="shared" si="19"/>
        <v>001390</v>
      </c>
      <c r="F1268" t="s">
        <v>27246</v>
      </c>
      <c r="G1268" t="s">
        <v>27247</v>
      </c>
      <c r="H1268" t="s">
        <v>27248</v>
      </c>
      <c r="I1268" t="s">
        <v>29701</v>
      </c>
      <c r="J1268" t="s">
        <v>2544</v>
      </c>
      <c r="L1268" t="s">
        <v>27250</v>
      </c>
      <c r="M1268" t="s">
        <v>27251</v>
      </c>
      <c r="N1268" t="s">
        <v>27252</v>
      </c>
      <c r="Q1268" s="1">
        <v>44538</v>
      </c>
      <c r="R1268" t="s">
        <v>27253</v>
      </c>
      <c r="S1268" t="s">
        <v>27254</v>
      </c>
      <c r="T1268" t="s">
        <v>27255</v>
      </c>
    </row>
    <row r="1269" spans="1:20" x14ac:dyDescent="0.3">
      <c r="A1269" t="str">
        <f>"0611860650050"</f>
        <v>0611860650050</v>
      </c>
      <c r="B1269" t="str">
        <f>"CR2036"</f>
        <v>CR2036</v>
      </c>
      <c r="C1269" t="s">
        <v>29702</v>
      </c>
      <c r="D1269" t="s">
        <v>27263</v>
      </c>
      <c r="E1269" t="str">
        <f t="shared" si="19"/>
        <v>001390</v>
      </c>
      <c r="F1269" t="s">
        <v>27246</v>
      </c>
      <c r="G1269" t="s">
        <v>27247</v>
      </c>
      <c r="H1269" t="s">
        <v>27248</v>
      </c>
      <c r="I1269" t="s">
        <v>29703</v>
      </c>
      <c r="J1269" t="s">
        <v>2546</v>
      </c>
      <c r="L1269" t="s">
        <v>27250</v>
      </c>
      <c r="M1269" t="s">
        <v>27251</v>
      </c>
      <c r="N1269" t="s">
        <v>27252</v>
      </c>
      <c r="Q1269" s="1">
        <v>44846</v>
      </c>
      <c r="R1269" t="s">
        <v>27253</v>
      </c>
      <c r="S1269" t="s">
        <v>27254</v>
      </c>
      <c r="T1269" t="s">
        <v>27265</v>
      </c>
    </row>
    <row r="1270" spans="1:20" x14ac:dyDescent="0.3">
      <c r="A1270" t="str">
        <f>"0611860651050"</f>
        <v>0611860651050</v>
      </c>
      <c r="B1270" t="str">
        <f>"CR2037"</f>
        <v>CR2037</v>
      </c>
      <c r="C1270" t="s">
        <v>29704</v>
      </c>
      <c r="D1270" t="s">
        <v>27263</v>
      </c>
      <c r="E1270" t="str">
        <f t="shared" si="19"/>
        <v>001390</v>
      </c>
      <c r="F1270" t="s">
        <v>27246</v>
      </c>
      <c r="G1270" t="s">
        <v>27247</v>
      </c>
      <c r="H1270" t="s">
        <v>27248</v>
      </c>
      <c r="I1270" t="s">
        <v>29705</v>
      </c>
      <c r="J1270" t="s">
        <v>2548</v>
      </c>
      <c r="L1270" t="s">
        <v>27250</v>
      </c>
      <c r="M1270" t="s">
        <v>27251</v>
      </c>
      <c r="N1270" t="s">
        <v>27252</v>
      </c>
      <c r="Q1270" s="1">
        <v>44846</v>
      </c>
      <c r="R1270" t="s">
        <v>27253</v>
      </c>
      <c r="S1270" t="s">
        <v>27254</v>
      </c>
      <c r="T1270" t="s">
        <v>27265</v>
      </c>
    </row>
    <row r="1271" spans="1:20" x14ac:dyDescent="0.3">
      <c r="A1271" t="str">
        <f>"0611831605100"</f>
        <v>0611831605100</v>
      </c>
      <c r="B1271" t="str">
        <f>"LQ3675"</f>
        <v>LQ3675</v>
      </c>
      <c r="C1271" t="s">
        <v>29706</v>
      </c>
      <c r="D1271" t="s">
        <v>27245</v>
      </c>
      <c r="E1271" t="str">
        <f t="shared" si="19"/>
        <v>001390</v>
      </c>
      <c r="F1271" t="s">
        <v>27246</v>
      </c>
      <c r="G1271" t="s">
        <v>27247</v>
      </c>
      <c r="H1271" t="s">
        <v>27248</v>
      </c>
      <c r="I1271" t="s">
        <v>29707</v>
      </c>
      <c r="J1271" t="s">
        <v>2550</v>
      </c>
      <c r="L1271" t="s">
        <v>27250</v>
      </c>
      <c r="M1271" t="s">
        <v>27251</v>
      </c>
      <c r="N1271" t="s">
        <v>27252</v>
      </c>
      <c r="Q1271" s="1">
        <v>44538</v>
      </c>
      <c r="R1271" t="s">
        <v>27253</v>
      </c>
      <c r="S1271" t="s">
        <v>27254</v>
      </c>
      <c r="T1271" t="s">
        <v>27255</v>
      </c>
    </row>
    <row r="1272" spans="1:20" x14ac:dyDescent="0.3">
      <c r="A1272" t="str">
        <f>"0611860652050"</f>
        <v>0611860652050</v>
      </c>
      <c r="B1272" t="str">
        <f>"CR2038"</f>
        <v>CR2038</v>
      </c>
      <c r="C1272" t="s">
        <v>29708</v>
      </c>
      <c r="D1272" t="s">
        <v>27263</v>
      </c>
      <c r="E1272" t="str">
        <f t="shared" si="19"/>
        <v>001390</v>
      </c>
      <c r="F1272" t="s">
        <v>27246</v>
      </c>
      <c r="G1272" t="s">
        <v>27247</v>
      </c>
      <c r="H1272" t="s">
        <v>27248</v>
      </c>
      <c r="I1272" t="s">
        <v>29709</v>
      </c>
      <c r="J1272" t="s">
        <v>2552</v>
      </c>
      <c r="L1272" t="s">
        <v>27250</v>
      </c>
      <c r="M1272" t="s">
        <v>27251</v>
      </c>
      <c r="N1272" t="s">
        <v>27252</v>
      </c>
      <c r="Q1272" s="1">
        <v>44846</v>
      </c>
      <c r="R1272" t="s">
        <v>27253</v>
      </c>
      <c r="S1272" t="s">
        <v>27254</v>
      </c>
      <c r="T1272" t="s">
        <v>27265</v>
      </c>
    </row>
    <row r="1273" spans="1:20" x14ac:dyDescent="0.3">
      <c r="A1273" t="str">
        <f>"0611860653050"</f>
        <v>0611860653050</v>
      </c>
      <c r="B1273" t="str">
        <f>"CR4102"</f>
        <v>CR4102</v>
      </c>
      <c r="C1273" t="s">
        <v>29710</v>
      </c>
      <c r="D1273" t="s">
        <v>27263</v>
      </c>
      <c r="E1273" t="str">
        <f t="shared" si="19"/>
        <v>001390</v>
      </c>
      <c r="F1273" t="s">
        <v>27246</v>
      </c>
      <c r="G1273" t="s">
        <v>27247</v>
      </c>
      <c r="H1273" t="s">
        <v>27248</v>
      </c>
      <c r="I1273" t="s">
        <v>29711</v>
      </c>
      <c r="J1273" t="s">
        <v>2554</v>
      </c>
      <c r="L1273" t="s">
        <v>27250</v>
      </c>
      <c r="M1273" t="s">
        <v>27251</v>
      </c>
      <c r="N1273" t="s">
        <v>27252</v>
      </c>
      <c r="Q1273" s="1">
        <v>44846</v>
      </c>
      <c r="R1273" t="s">
        <v>27253</v>
      </c>
      <c r="S1273" t="s">
        <v>27254</v>
      </c>
      <c r="T1273" t="s">
        <v>27265</v>
      </c>
    </row>
    <row r="1274" spans="1:20" x14ac:dyDescent="0.3">
      <c r="A1274" t="str">
        <f>"0611860654050"</f>
        <v>0611860654050</v>
      </c>
      <c r="B1274" t="str">
        <f>"CR2039"</f>
        <v>CR2039</v>
      </c>
      <c r="C1274" t="s">
        <v>29712</v>
      </c>
      <c r="D1274" t="s">
        <v>27263</v>
      </c>
      <c r="E1274" t="str">
        <f t="shared" si="19"/>
        <v>001390</v>
      </c>
      <c r="F1274" t="s">
        <v>27246</v>
      </c>
      <c r="G1274" t="s">
        <v>27247</v>
      </c>
      <c r="H1274" t="s">
        <v>27248</v>
      </c>
      <c r="I1274" t="s">
        <v>29713</v>
      </c>
      <c r="J1274" t="s">
        <v>2556</v>
      </c>
      <c r="L1274" t="s">
        <v>27250</v>
      </c>
      <c r="M1274" t="s">
        <v>27251</v>
      </c>
      <c r="N1274" t="s">
        <v>27252</v>
      </c>
      <c r="Q1274" s="1">
        <v>44846</v>
      </c>
      <c r="R1274" t="s">
        <v>27253</v>
      </c>
      <c r="S1274" t="s">
        <v>27254</v>
      </c>
      <c r="T1274" t="s">
        <v>27265</v>
      </c>
    </row>
    <row r="1275" spans="1:20" x14ac:dyDescent="0.3">
      <c r="A1275" t="str">
        <f>"0611860655050"</f>
        <v>0611860655050</v>
      </c>
      <c r="B1275" t="str">
        <f>"CR2040"</f>
        <v>CR2040</v>
      </c>
      <c r="C1275" t="s">
        <v>29714</v>
      </c>
      <c r="D1275" t="s">
        <v>27263</v>
      </c>
      <c r="E1275" t="str">
        <f t="shared" si="19"/>
        <v>001390</v>
      </c>
      <c r="F1275" t="s">
        <v>27246</v>
      </c>
      <c r="G1275" t="s">
        <v>27247</v>
      </c>
      <c r="H1275" t="s">
        <v>27248</v>
      </c>
      <c r="I1275" t="s">
        <v>29715</v>
      </c>
      <c r="J1275" t="s">
        <v>2558</v>
      </c>
      <c r="L1275" t="s">
        <v>27250</v>
      </c>
      <c r="M1275" t="s">
        <v>27251</v>
      </c>
      <c r="N1275" t="s">
        <v>27252</v>
      </c>
      <c r="Q1275" s="1">
        <v>44846</v>
      </c>
      <c r="R1275" t="s">
        <v>27253</v>
      </c>
      <c r="S1275" t="s">
        <v>27254</v>
      </c>
      <c r="T1275" t="s">
        <v>27265</v>
      </c>
    </row>
    <row r="1276" spans="1:20" x14ac:dyDescent="0.3">
      <c r="A1276" t="str">
        <f>"0611860656050"</f>
        <v>0611860656050</v>
      </c>
      <c r="B1276" t="str">
        <f>"CR2041"</f>
        <v>CR2041</v>
      </c>
      <c r="C1276" t="s">
        <v>29716</v>
      </c>
      <c r="D1276" t="s">
        <v>27263</v>
      </c>
      <c r="E1276" t="str">
        <f t="shared" si="19"/>
        <v>001390</v>
      </c>
      <c r="F1276" t="s">
        <v>27246</v>
      </c>
      <c r="G1276" t="s">
        <v>27247</v>
      </c>
      <c r="H1276" t="s">
        <v>27248</v>
      </c>
      <c r="I1276" t="s">
        <v>29717</v>
      </c>
      <c r="J1276" t="s">
        <v>2560</v>
      </c>
      <c r="L1276" t="s">
        <v>27250</v>
      </c>
      <c r="M1276" t="s">
        <v>27251</v>
      </c>
      <c r="N1276" t="s">
        <v>27252</v>
      </c>
      <c r="Q1276" s="1">
        <v>44846</v>
      </c>
      <c r="R1276" t="s">
        <v>27253</v>
      </c>
      <c r="S1276" t="s">
        <v>27254</v>
      </c>
      <c r="T1276" t="s">
        <v>27265</v>
      </c>
    </row>
    <row r="1277" spans="1:20" x14ac:dyDescent="0.3">
      <c r="A1277" t="str">
        <f>"0611860657050"</f>
        <v>0611860657050</v>
      </c>
      <c r="B1277" t="str">
        <f>"CR2042"</f>
        <v>CR2042</v>
      </c>
      <c r="C1277" t="s">
        <v>29718</v>
      </c>
      <c r="D1277" t="s">
        <v>27263</v>
      </c>
      <c r="E1277" t="str">
        <f t="shared" si="19"/>
        <v>001390</v>
      </c>
      <c r="F1277" t="s">
        <v>27246</v>
      </c>
      <c r="G1277" t="s">
        <v>27247</v>
      </c>
      <c r="H1277" t="s">
        <v>27248</v>
      </c>
      <c r="I1277" t="s">
        <v>29719</v>
      </c>
      <c r="J1277" t="s">
        <v>2562</v>
      </c>
      <c r="L1277" t="s">
        <v>27250</v>
      </c>
      <c r="M1277" t="s">
        <v>27251</v>
      </c>
      <c r="N1277" t="s">
        <v>27252</v>
      </c>
      <c r="Q1277" s="1">
        <v>44846</v>
      </c>
      <c r="R1277" t="s">
        <v>27253</v>
      </c>
      <c r="S1277" t="s">
        <v>27254</v>
      </c>
      <c r="T1277" t="s">
        <v>27265</v>
      </c>
    </row>
    <row r="1278" spans="1:20" x14ac:dyDescent="0.3">
      <c r="A1278" t="str">
        <f>"0611860658050"</f>
        <v>0611860658050</v>
      </c>
      <c r="B1278" t="str">
        <f>"CR2043"</f>
        <v>CR2043</v>
      </c>
      <c r="C1278" t="s">
        <v>29720</v>
      </c>
      <c r="D1278" t="s">
        <v>27263</v>
      </c>
      <c r="E1278" t="str">
        <f t="shared" si="19"/>
        <v>001390</v>
      </c>
      <c r="F1278" t="s">
        <v>27246</v>
      </c>
      <c r="G1278" t="s">
        <v>27247</v>
      </c>
      <c r="H1278" t="s">
        <v>27248</v>
      </c>
      <c r="I1278" t="s">
        <v>29721</v>
      </c>
      <c r="J1278" t="s">
        <v>2564</v>
      </c>
      <c r="L1278" t="s">
        <v>27250</v>
      </c>
      <c r="M1278" t="s">
        <v>27251</v>
      </c>
      <c r="N1278" t="s">
        <v>27252</v>
      </c>
      <c r="Q1278" s="1">
        <v>44846</v>
      </c>
      <c r="R1278" t="s">
        <v>27253</v>
      </c>
      <c r="S1278" t="s">
        <v>27254</v>
      </c>
      <c r="T1278" t="s">
        <v>27265</v>
      </c>
    </row>
    <row r="1279" spans="1:20" x14ac:dyDescent="0.3">
      <c r="A1279" t="str">
        <f>"0611831607100"</f>
        <v>0611831607100</v>
      </c>
      <c r="B1279" t="str">
        <f>"LQ3677"</f>
        <v>LQ3677</v>
      </c>
      <c r="C1279" t="s">
        <v>29722</v>
      </c>
      <c r="D1279" t="s">
        <v>27245</v>
      </c>
      <c r="E1279" t="str">
        <f t="shared" si="19"/>
        <v>001390</v>
      </c>
      <c r="F1279" t="s">
        <v>27246</v>
      </c>
      <c r="G1279" t="s">
        <v>27247</v>
      </c>
      <c r="H1279" t="s">
        <v>27248</v>
      </c>
      <c r="I1279" t="s">
        <v>29723</v>
      </c>
      <c r="J1279" t="s">
        <v>2566</v>
      </c>
      <c r="L1279" t="s">
        <v>27250</v>
      </c>
      <c r="M1279" t="s">
        <v>27251</v>
      </c>
      <c r="N1279" t="s">
        <v>27252</v>
      </c>
      <c r="Q1279" s="1">
        <v>44538</v>
      </c>
      <c r="R1279" t="s">
        <v>27253</v>
      </c>
      <c r="S1279" t="s">
        <v>27254</v>
      </c>
      <c r="T1279" t="s">
        <v>27255</v>
      </c>
    </row>
    <row r="1280" spans="1:20" x14ac:dyDescent="0.3">
      <c r="A1280" t="str">
        <f>"0611860659050"</f>
        <v>0611860659050</v>
      </c>
      <c r="B1280" t="str">
        <f>"CR4103"</f>
        <v>CR4103</v>
      </c>
      <c r="C1280" t="s">
        <v>29722</v>
      </c>
      <c r="D1280" t="s">
        <v>27263</v>
      </c>
      <c r="E1280" t="str">
        <f t="shared" si="19"/>
        <v>001390</v>
      </c>
      <c r="F1280" t="s">
        <v>27246</v>
      </c>
      <c r="G1280" t="s">
        <v>27247</v>
      </c>
      <c r="H1280" t="s">
        <v>27248</v>
      </c>
      <c r="I1280" t="s">
        <v>29724</v>
      </c>
      <c r="J1280" t="s">
        <v>2568</v>
      </c>
      <c r="L1280" t="s">
        <v>27250</v>
      </c>
      <c r="M1280" t="s">
        <v>27251</v>
      </c>
      <c r="N1280" t="s">
        <v>27252</v>
      </c>
      <c r="Q1280" s="1">
        <v>44846</v>
      </c>
      <c r="R1280" t="s">
        <v>27253</v>
      </c>
      <c r="S1280" t="s">
        <v>27254</v>
      </c>
      <c r="T1280" t="s">
        <v>27265</v>
      </c>
    </row>
    <row r="1281" spans="1:20" x14ac:dyDescent="0.3">
      <c r="A1281" t="str">
        <f>"0611860660050"</f>
        <v>0611860660050</v>
      </c>
      <c r="B1281" t="str">
        <f>"CR2045"</f>
        <v>CR2045</v>
      </c>
      <c r="C1281" t="s">
        <v>29725</v>
      </c>
      <c r="D1281" t="s">
        <v>27263</v>
      </c>
      <c r="E1281" t="str">
        <f t="shared" si="19"/>
        <v>001390</v>
      </c>
      <c r="F1281" t="s">
        <v>27246</v>
      </c>
      <c r="G1281" t="s">
        <v>27247</v>
      </c>
      <c r="H1281" t="s">
        <v>27248</v>
      </c>
      <c r="I1281" t="s">
        <v>29726</v>
      </c>
      <c r="J1281" t="s">
        <v>2570</v>
      </c>
      <c r="L1281" t="s">
        <v>27250</v>
      </c>
      <c r="M1281" t="s">
        <v>27251</v>
      </c>
      <c r="N1281" t="s">
        <v>27252</v>
      </c>
      <c r="Q1281" s="1">
        <v>44846</v>
      </c>
      <c r="R1281" t="s">
        <v>27253</v>
      </c>
      <c r="S1281" t="s">
        <v>27254</v>
      </c>
      <c r="T1281" t="s">
        <v>27265</v>
      </c>
    </row>
    <row r="1282" spans="1:20" x14ac:dyDescent="0.3">
      <c r="A1282" t="str">
        <f>"0611860661050"</f>
        <v>0611860661050</v>
      </c>
      <c r="B1282" t="str">
        <f>"CR2044"</f>
        <v>CR2044</v>
      </c>
      <c r="C1282" t="s">
        <v>29727</v>
      </c>
      <c r="D1282" t="s">
        <v>27263</v>
      </c>
      <c r="E1282" t="str">
        <f t="shared" ref="E1282:E1345" si="20">"001390"</f>
        <v>001390</v>
      </c>
      <c r="F1282" t="s">
        <v>27246</v>
      </c>
      <c r="G1282" t="s">
        <v>27247</v>
      </c>
      <c r="H1282" t="s">
        <v>27248</v>
      </c>
      <c r="I1282" t="s">
        <v>29728</v>
      </c>
      <c r="J1282" t="s">
        <v>2572</v>
      </c>
      <c r="L1282" t="s">
        <v>27250</v>
      </c>
      <c r="M1282" t="s">
        <v>27251</v>
      </c>
      <c r="N1282" t="s">
        <v>27252</v>
      </c>
      <c r="Q1282" s="1">
        <v>44846</v>
      </c>
      <c r="R1282" t="s">
        <v>27253</v>
      </c>
      <c r="S1282" t="s">
        <v>27254</v>
      </c>
      <c r="T1282" t="s">
        <v>27265</v>
      </c>
    </row>
    <row r="1283" spans="1:20" x14ac:dyDescent="0.3">
      <c r="A1283" t="str">
        <f>"0611831608100"</f>
        <v>0611831608100</v>
      </c>
      <c r="B1283" t="str">
        <f>"LQ3678"</f>
        <v>LQ3678</v>
      </c>
      <c r="C1283" t="s">
        <v>29729</v>
      </c>
      <c r="D1283" t="s">
        <v>27245</v>
      </c>
      <c r="E1283" t="str">
        <f t="shared" si="20"/>
        <v>001390</v>
      </c>
      <c r="F1283" t="s">
        <v>27246</v>
      </c>
      <c r="G1283" t="s">
        <v>27247</v>
      </c>
      <c r="H1283" t="s">
        <v>27248</v>
      </c>
      <c r="I1283" t="s">
        <v>29730</v>
      </c>
      <c r="J1283" t="s">
        <v>2574</v>
      </c>
      <c r="L1283" t="s">
        <v>27250</v>
      </c>
      <c r="M1283" t="s">
        <v>27251</v>
      </c>
      <c r="N1283" t="s">
        <v>27252</v>
      </c>
      <c r="Q1283" s="1">
        <v>44538</v>
      </c>
      <c r="R1283" t="s">
        <v>27253</v>
      </c>
      <c r="S1283" t="s">
        <v>27254</v>
      </c>
      <c r="T1283" t="s">
        <v>27255</v>
      </c>
    </row>
    <row r="1284" spans="1:20" x14ac:dyDescent="0.3">
      <c r="A1284" t="str">
        <f>"0611831609100"</f>
        <v>0611831609100</v>
      </c>
      <c r="B1284" t="str">
        <f>"LQ3679"</f>
        <v>LQ3679</v>
      </c>
      <c r="C1284" t="s">
        <v>29731</v>
      </c>
      <c r="D1284" t="s">
        <v>27245</v>
      </c>
      <c r="E1284" t="str">
        <f t="shared" si="20"/>
        <v>001390</v>
      </c>
      <c r="F1284" t="s">
        <v>27246</v>
      </c>
      <c r="G1284" t="s">
        <v>27247</v>
      </c>
      <c r="H1284" t="s">
        <v>27248</v>
      </c>
      <c r="I1284" t="s">
        <v>29732</v>
      </c>
      <c r="J1284" t="s">
        <v>2576</v>
      </c>
      <c r="L1284" t="s">
        <v>27250</v>
      </c>
      <c r="M1284" t="s">
        <v>27251</v>
      </c>
      <c r="N1284" t="s">
        <v>27252</v>
      </c>
      <c r="Q1284" s="1">
        <v>44538</v>
      </c>
      <c r="R1284" t="s">
        <v>27253</v>
      </c>
      <c r="S1284" t="s">
        <v>27254</v>
      </c>
      <c r="T1284" t="s">
        <v>27255</v>
      </c>
    </row>
    <row r="1285" spans="1:20" x14ac:dyDescent="0.3">
      <c r="A1285" t="str">
        <f>"0611860662050"</f>
        <v>0611860662050</v>
      </c>
      <c r="B1285" t="str">
        <f>"CR3850"</f>
        <v>CR3850</v>
      </c>
      <c r="C1285" t="s">
        <v>29733</v>
      </c>
      <c r="D1285" t="s">
        <v>27263</v>
      </c>
      <c r="E1285" t="str">
        <f t="shared" si="20"/>
        <v>001390</v>
      </c>
      <c r="F1285" t="s">
        <v>27246</v>
      </c>
      <c r="G1285" t="s">
        <v>27247</v>
      </c>
      <c r="H1285" t="s">
        <v>27248</v>
      </c>
      <c r="I1285" t="s">
        <v>29734</v>
      </c>
      <c r="J1285" t="s">
        <v>2578</v>
      </c>
      <c r="L1285" t="s">
        <v>27250</v>
      </c>
      <c r="M1285" t="s">
        <v>27251</v>
      </c>
      <c r="N1285" t="s">
        <v>27252</v>
      </c>
      <c r="Q1285" s="1">
        <v>44846</v>
      </c>
      <c r="R1285" t="s">
        <v>27253</v>
      </c>
      <c r="S1285" t="s">
        <v>27254</v>
      </c>
      <c r="T1285" t="s">
        <v>27265</v>
      </c>
    </row>
    <row r="1286" spans="1:20" x14ac:dyDescent="0.3">
      <c r="A1286" t="str">
        <f>"0611860663050"</f>
        <v>0611860663050</v>
      </c>
      <c r="B1286" t="str">
        <f>"CR3851"</f>
        <v>CR3851</v>
      </c>
      <c r="C1286" t="s">
        <v>29735</v>
      </c>
      <c r="D1286" t="s">
        <v>27263</v>
      </c>
      <c r="E1286" t="str">
        <f t="shared" si="20"/>
        <v>001390</v>
      </c>
      <c r="F1286" t="s">
        <v>27246</v>
      </c>
      <c r="G1286" t="s">
        <v>27247</v>
      </c>
      <c r="H1286" t="s">
        <v>27248</v>
      </c>
      <c r="I1286" t="s">
        <v>29736</v>
      </c>
      <c r="J1286" t="s">
        <v>2580</v>
      </c>
      <c r="L1286" t="s">
        <v>27250</v>
      </c>
      <c r="M1286" t="s">
        <v>27251</v>
      </c>
      <c r="N1286" t="s">
        <v>27252</v>
      </c>
      <c r="Q1286" s="1">
        <v>44846</v>
      </c>
      <c r="R1286" t="s">
        <v>27253</v>
      </c>
      <c r="S1286" t="s">
        <v>27254</v>
      </c>
      <c r="T1286" t="s">
        <v>27265</v>
      </c>
    </row>
    <row r="1287" spans="1:20" x14ac:dyDescent="0.3">
      <c r="A1287" t="str">
        <f>"0611831612100"</f>
        <v>0611831612100</v>
      </c>
      <c r="B1287" t="str">
        <f>"LK2753"</f>
        <v>LK2753</v>
      </c>
      <c r="C1287" t="s">
        <v>29737</v>
      </c>
      <c r="D1287" t="s">
        <v>27245</v>
      </c>
      <c r="E1287" t="str">
        <f t="shared" si="20"/>
        <v>001390</v>
      </c>
      <c r="F1287" t="s">
        <v>27246</v>
      </c>
      <c r="G1287" t="s">
        <v>27247</v>
      </c>
      <c r="H1287" t="s">
        <v>27248</v>
      </c>
      <c r="I1287" t="s">
        <v>29738</v>
      </c>
      <c r="J1287" t="s">
        <v>2582</v>
      </c>
      <c r="L1287" t="s">
        <v>27250</v>
      </c>
      <c r="M1287" t="s">
        <v>27251</v>
      </c>
      <c r="N1287" t="s">
        <v>27252</v>
      </c>
      <c r="Q1287" s="1">
        <v>44538</v>
      </c>
      <c r="R1287" t="s">
        <v>27253</v>
      </c>
      <c r="S1287" t="s">
        <v>27254</v>
      </c>
      <c r="T1287" t="s">
        <v>27255</v>
      </c>
    </row>
    <row r="1288" spans="1:20" x14ac:dyDescent="0.3">
      <c r="A1288" t="str">
        <f>"0611831615100"</f>
        <v>0611831615100</v>
      </c>
      <c r="B1288" t="str">
        <f>"LK6368"</f>
        <v>LK6368</v>
      </c>
      <c r="C1288" t="s">
        <v>29739</v>
      </c>
      <c r="D1288" t="s">
        <v>27245</v>
      </c>
      <c r="E1288" t="str">
        <f t="shared" si="20"/>
        <v>001390</v>
      </c>
      <c r="F1288" t="s">
        <v>27246</v>
      </c>
      <c r="G1288" t="s">
        <v>27247</v>
      </c>
      <c r="H1288" t="s">
        <v>27248</v>
      </c>
      <c r="I1288" t="s">
        <v>29740</v>
      </c>
      <c r="J1288" t="s">
        <v>2584</v>
      </c>
      <c r="L1288" t="s">
        <v>27250</v>
      </c>
      <c r="M1288" t="s">
        <v>27251</v>
      </c>
      <c r="N1288" t="s">
        <v>27252</v>
      </c>
      <c r="Q1288" s="1">
        <v>44538</v>
      </c>
      <c r="R1288" t="s">
        <v>27253</v>
      </c>
      <c r="S1288" t="s">
        <v>27254</v>
      </c>
      <c r="T1288" t="s">
        <v>27255</v>
      </c>
    </row>
    <row r="1289" spans="1:20" x14ac:dyDescent="0.3">
      <c r="A1289" t="str">
        <f>"0611831616100"</f>
        <v>0611831616100</v>
      </c>
      <c r="B1289" t="str">
        <f>"LK6027"</f>
        <v>LK6027</v>
      </c>
      <c r="C1289" t="s">
        <v>29741</v>
      </c>
      <c r="D1289" t="s">
        <v>27245</v>
      </c>
      <c r="E1289" t="str">
        <f t="shared" si="20"/>
        <v>001390</v>
      </c>
      <c r="F1289" t="s">
        <v>27246</v>
      </c>
      <c r="G1289" t="s">
        <v>27247</v>
      </c>
      <c r="H1289" t="s">
        <v>27248</v>
      </c>
      <c r="I1289" t="s">
        <v>29742</v>
      </c>
      <c r="J1289" t="s">
        <v>2586</v>
      </c>
      <c r="L1289" t="s">
        <v>27250</v>
      </c>
      <c r="M1289" t="s">
        <v>27251</v>
      </c>
      <c r="N1289" t="s">
        <v>27252</v>
      </c>
      <c r="Q1289" s="1">
        <v>44538</v>
      </c>
      <c r="R1289" t="s">
        <v>27253</v>
      </c>
      <c r="S1289" t="s">
        <v>27254</v>
      </c>
      <c r="T1289" t="s">
        <v>27255</v>
      </c>
    </row>
    <row r="1290" spans="1:20" x14ac:dyDescent="0.3">
      <c r="A1290" t="str">
        <f>"0611831617100"</f>
        <v>0611831617100</v>
      </c>
      <c r="B1290" t="str">
        <f>"LK6028"</f>
        <v>LK6028</v>
      </c>
      <c r="C1290" t="s">
        <v>29743</v>
      </c>
      <c r="D1290" t="s">
        <v>27245</v>
      </c>
      <c r="E1290" t="str">
        <f t="shared" si="20"/>
        <v>001390</v>
      </c>
      <c r="F1290" t="s">
        <v>27246</v>
      </c>
      <c r="G1290" t="s">
        <v>27247</v>
      </c>
      <c r="H1290" t="s">
        <v>27248</v>
      </c>
      <c r="I1290" t="s">
        <v>29744</v>
      </c>
      <c r="J1290" t="s">
        <v>2588</v>
      </c>
      <c r="L1290" t="s">
        <v>27250</v>
      </c>
      <c r="M1290" t="s">
        <v>27251</v>
      </c>
      <c r="N1290" t="s">
        <v>27252</v>
      </c>
      <c r="Q1290" s="1">
        <v>44538</v>
      </c>
      <c r="R1290" t="s">
        <v>27253</v>
      </c>
      <c r="S1290" t="s">
        <v>27254</v>
      </c>
      <c r="T1290" t="s">
        <v>27255</v>
      </c>
    </row>
    <row r="1291" spans="1:20" x14ac:dyDescent="0.3">
      <c r="A1291" t="str">
        <f>"0611831619100"</f>
        <v>0611831619100</v>
      </c>
      <c r="B1291" t="str">
        <f>"LK6029"</f>
        <v>LK6029</v>
      </c>
      <c r="C1291" t="s">
        <v>29745</v>
      </c>
      <c r="D1291" t="s">
        <v>27245</v>
      </c>
      <c r="E1291" t="str">
        <f t="shared" si="20"/>
        <v>001390</v>
      </c>
      <c r="F1291" t="s">
        <v>27246</v>
      </c>
      <c r="G1291" t="s">
        <v>27247</v>
      </c>
      <c r="H1291" t="s">
        <v>27248</v>
      </c>
      <c r="I1291" t="s">
        <v>29746</v>
      </c>
      <c r="J1291" t="s">
        <v>2590</v>
      </c>
      <c r="L1291" t="s">
        <v>27250</v>
      </c>
      <c r="M1291" t="s">
        <v>27251</v>
      </c>
      <c r="N1291" t="s">
        <v>27252</v>
      </c>
      <c r="Q1291" s="1">
        <v>44538</v>
      </c>
      <c r="R1291" t="s">
        <v>27253</v>
      </c>
      <c r="S1291" t="s">
        <v>27254</v>
      </c>
      <c r="T1291" t="s">
        <v>27255</v>
      </c>
    </row>
    <row r="1292" spans="1:20" x14ac:dyDescent="0.3">
      <c r="A1292" t="str">
        <f>"0611831620100"</f>
        <v>0611831620100</v>
      </c>
      <c r="B1292" t="str">
        <f>"LK6030"</f>
        <v>LK6030</v>
      </c>
      <c r="C1292" t="s">
        <v>29747</v>
      </c>
      <c r="D1292" t="s">
        <v>27245</v>
      </c>
      <c r="E1292" t="str">
        <f t="shared" si="20"/>
        <v>001390</v>
      </c>
      <c r="F1292" t="s">
        <v>27246</v>
      </c>
      <c r="G1292" t="s">
        <v>27247</v>
      </c>
      <c r="H1292" t="s">
        <v>27248</v>
      </c>
      <c r="I1292" t="s">
        <v>29748</v>
      </c>
      <c r="J1292" t="s">
        <v>2592</v>
      </c>
      <c r="L1292" t="s">
        <v>27250</v>
      </c>
      <c r="M1292" t="s">
        <v>27251</v>
      </c>
      <c r="N1292" t="s">
        <v>27252</v>
      </c>
      <c r="Q1292" s="1">
        <v>44538</v>
      </c>
      <c r="R1292" t="s">
        <v>27253</v>
      </c>
      <c r="S1292" t="s">
        <v>27254</v>
      </c>
      <c r="T1292" t="s">
        <v>27255</v>
      </c>
    </row>
    <row r="1293" spans="1:20" x14ac:dyDescent="0.3">
      <c r="A1293" t="str">
        <f>"0611831621100"</f>
        <v>0611831621100</v>
      </c>
      <c r="B1293" t="str">
        <f>"LK6031"</f>
        <v>LK6031</v>
      </c>
      <c r="C1293" t="s">
        <v>29749</v>
      </c>
      <c r="D1293" t="s">
        <v>27245</v>
      </c>
      <c r="E1293" t="str">
        <f t="shared" si="20"/>
        <v>001390</v>
      </c>
      <c r="F1293" t="s">
        <v>27246</v>
      </c>
      <c r="G1293" t="s">
        <v>27247</v>
      </c>
      <c r="H1293" t="s">
        <v>27248</v>
      </c>
      <c r="I1293" t="s">
        <v>29750</v>
      </c>
      <c r="J1293" t="s">
        <v>2594</v>
      </c>
      <c r="L1293" t="s">
        <v>27250</v>
      </c>
      <c r="M1293" t="s">
        <v>27251</v>
      </c>
      <c r="N1293" t="s">
        <v>27252</v>
      </c>
      <c r="Q1293" s="1">
        <v>44538</v>
      </c>
      <c r="R1293" t="s">
        <v>27253</v>
      </c>
      <c r="S1293" t="s">
        <v>27254</v>
      </c>
      <c r="T1293" t="s">
        <v>27255</v>
      </c>
    </row>
    <row r="1294" spans="1:20" x14ac:dyDescent="0.3">
      <c r="A1294" t="str">
        <f>"0611831622100"</f>
        <v>0611831622100</v>
      </c>
      <c r="B1294" t="str">
        <f>"LK6032"</f>
        <v>LK6032</v>
      </c>
      <c r="C1294" t="s">
        <v>29751</v>
      </c>
      <c r="D1294" t="s">
        <v>27245</v>
      </c>
      <c r="E1294" t="str">
        <f t="shared" si="20"/>
        <v>001390</v>
      </c>
      <c r="F1294" t="s">
        <v>27246</v>
      </c>
      <c r="G1294" t="s">
        <v>27247</v>
      </c>
      <c r="H1294" t="s">
        <v>27248</v>
      </c>
      <c r="I1294" t="s">
        <v>29752</v>
      </c>
      <c r="J1294" t="s">
        <v>2596</v>
      </c>
      <c r="L1294" t="s">
        <v>27250</v>
      </c>
      <c r="M1294" t="s">
        <v>27251</v>
      </c>
      <c r="N1294" t="s">
        <v>27252</v>
      </c>
      <c r="Q1294" s="1">
        <v>44538</v>
      </c>
      <c r="R1294" t="s">
        <v>27253</v>
      </c>
      <c r="S1294" t="s">
        <v>27254</v>
      </c>
      <c r="T1294" t="s">
        <v>27255</v>
      </c>
    </row>
    <row r="1295" spans="1:20" x14ac:dyDescent="0.3">
      <c r="A1295" t="str">
        <f>"0611884050100"</f>
        <v>0611884050100</v>
      </c>
      <c r="B1295" t="str">
        <f>"LK7157"</f>
        <v>LK7157</v>
      </c>
      <c r="C1295" t="s">
        <v>29753</v>
      </c>
      <c r="D1295" t="s">
        <v>27245</v>
      </c>
      <c r="E1295" t="str">
        <f t="shared" si="20"/>
        <v>001390</v>
      </c>
      <c r="F1295" t="s">
        <v>27246</v>
      </c>
      <c r="G1295" t="s">
        <v>27247</v>
      </c>
      <c r="H1295" t="s">
        <v>27248</v>
      </c>
      <c r="I1295" t="s">
        <v>29754</v>
      </c>
      <c r="J1295" t="s">
        <v>2598</v>
      </c>
      <c r="L1295" t="s">
        <v>27430</v>
      </c>
      <c r="M1295" t="s">
        <v>27251</v>
      </c>
      <c r="N1295" t="s">
        <v>27252</v>
      </c>
      <c r="Q1295" s="1">
        <v>45250</v>
      </c>
      <c r="R1295" t="s">
        <v>27253</v>
      </c>
      <c r="S1295" t="s">
        <v>27254</v>
      </c>
      <c r="T1295" t="s">
        <v>27255</v>
      </c>
    </row>
    <row r="1296" spans="1:20" x14ac:dyDescent="0.3">
      <c r="A1296" t="str">
        <f>"0611884051100"</f>
        <v>0611884051100</v>
      </c>
      <c r="B1296" t="str">
        <f>"LK7158"</f>
        <v>LK7158</v>
      </c>
      <c r="C1296" t="s">
        <v>29755</v>
      </c>
      <c r="D1296" t="s">
        <v>27245</v>
      </c>
      <c r="E1296" t="str">
        <f t="shared" si="20"/>
        <v>001390</v>
      </c>
      <c r="F1296" t="s">
        <v>27246</v>
      </c>
      <c r="G1296" t="s">
        <v>27247</v>
      </c>
      <c r="H1296" t="s">
        <v>27248</v>
      </c>
      <c r="I1296" t="s">
        <v>29756</v>
      </c>
      <c r="J1296" t="s">
        <v>2600</v>
      </c>
      <c r="L1296" t="s">
        <v>27430</v>
      </c>
      <c r="M1296" t="s">
        <v>27251</v>
      </c>
      <c r="N1296" t="s">
        <v>27252</v>
      </c>
      <c r="Q1296" s="1">
        <v>45250</v>
      </c>
      <c r="R1296" t="s">
        <v>27253</v>
      </c>
      <c r="S1296" t="s">
        <v>27254</v>
      </c>
      <c r="T1296" t="s">
        <v>27255</v>
      </c>
    </row>
    <row r="1297" spans="1:20" x14ac:dyDescent="0.3">
      <c r="A1297" t="str">
        <f>"0611831636100"</f>
        <v>0611831636100</v>
      </c>
      <c r="B1297" t="str">
        <f>"LQ3785"</f>
        <v>LQ3785</v>
      </c>
      <c r="C1297" t="s">
        <v>29757</v>
      </c>
      <c r="D1297" t="s">
        <v>27245</v>
      </c>
      <c r="E1297" t="str">
        <f t="shared" si="20"/>
        <v>001390</v>
      </c>
      <c r="F1297" t="s">
        <v>27246</v>
      </c>
      <c r="G1297" t="s">
        <v>27247</v>
      </c>
      <c r="H1297" t="s">
        <v>27248</v>
      </c>
      <c r="I1297" t="s">
        <v>29758</v>
      </c>
      <c r="J1297" t="s">
        <v>2602</v>
      </c>
      <c r="L1297" t="s">
        <v>27250</v>
      </c>
      <c r="M1297" t="s">
        <v>27251</v>
      </c>
      <c r="N1297" t="s">
        <v>27252</v>
      </c>
      <c r="Q1297" s="1">
        <v>44538</v>
      </c>
      <c r="R1297" t="s">
        <v>27253</v>
      </c>
      <c r="S1297" t="s">
        <v>27254</v>
      </c>
      <c r="T1297" t="s">
        <v>27255</v>
      </c>
    </row>
    <row r="1298" spans="1:20" x14ac:dyDescent="0.3">
      <c r="A1298" t="str">
        <f>"0611831638100"</f>
        <v>0611831638100</v>
      </c>
      <c r="B1298" t="str">
        <f>"LK6888"</f>
        <v>LK6888</v>
      </c>
      <c r="C1298" t="s">
        <v>29759</v>
      </c>
      <c r="D1298" t="s">
        <v>27245</v>
      </c>
      <c r="E1298" t="str">
        <f t="shared" si="20"/>
        <v>001390</v>
      </c>
      <c r="F1298" t="s">
        <v>27246</v>
      </c>
      <c r="G1298" t="s">
        <v>27247</v>
      </c>
      <c r="H1298" t="s">
        <v>27248</v>
      </c>
      <c r="I1298" t="s">
        <v>29760</v>
      </c>
      <c r="J1298" t="s">
        <v>2604</v>
      </c>
      <c r="L1298" t="s">
        <v>27250</v>
      </c>
      <c r="M1298" t="s">
        <v>27251</v>
      </c>
      <c r="N1298" t="s">
        <v>27252</v>
      </c>
      <c r="Q1298" s="1">
        <v>44538</v>
      </c>
      <c r="R1298" t="s">
        <v>27253</v>
      </c>
      <c r="S1298" t="s">
        <v>27254</v>
      </c>
      <c r="T1298" t="s">
        <v>27255</v>
      </c>
    </row>
    <row r="1299" spans="1:20" x14ac:dyDescent="0.3">
      <c r="A1299" t="str">
        <f>"0611831640100"</f>
        <v>0611831640100</v>
      </c>
      <c r="B1299" t="str">
        <f>"LK6622"</f>
        <v>LK6622</v>
      </c>
      <c r="C1299" t="s">
        <v>29761</v>
      </c>
      <c r="D1299" t="s">
        <v>27245</v>
      </c>
      <c r="E1299" t="str">
        <f t="shared" si="20"/>
        <v>001390</v>
      </c>
      <c r="F1299" t="s">
        <v>27246</v>
      </c>
      <c r="G1299" t="s">
        <v>27247</v>
      </c>
      <c r="H1299" t="s">
        <v>27248</v>
      </c>
      <c r="I1299" t="s">
        <v>29762</v>
      </c>
      <c r="J1299" t="s">
        <v>2606</v>
      </c>
      <c r="L1299" t="s">
        <v>27250</v>
      </c>
      <c r="M1299" t="s">
        <v>27251</v>
      </c>
      <c r="N1299" t="s">
        <v>27252</v>
      </c>
      <c r="Q1299" s="1">
        <v>44538</v>
      </c>
      <c r="R1299" t="s">
        <v>27253</v>
      </c>
      <c r="S1299" t="s">
        <v>27254</v>
      </c>
      <c r="T1299" t="s">
        <v>27255</v>
      </c>
    </row>
    <row r="1300" spans="1:20" x14ac:dyDescent="0.3">
      <c r="A1300" t="str">
        <f>"0611831641100"</f>
        <v>0611831641100</v>
      </c>
      <c r="B1300" t="str">
        <f>"LK6623"</f>
        <v>LK6623</v>
      </c>
      <c r="C1300" t="s">
        <v>29763</v>
      </c>
      <c r="D1300" t="s">
        <v>27245</v>
      </c>
      <c r="E1300" t="str">
        <f t="shared" si="20"/>
        <v>001390</v>
      </c>
      <c r="F1300" t="s">
        <v>27246</v>
      </c>
      <c r="G1300" t="s">
        <v>27247</v>
      </c>
      <c r="H1300" t="s">
        <v>27248</v>
      </c>
      <c r="I1300" t="s">
        <v>29764</v>
      </c>
      <c r="J1300" t="s">
        <v>2608</v>
      </c>
      <c r="L1300" t="s">
        <v>27250</v>
      </c>
      <c r="M1300" t="s">
        <v>27251</v>
      </c>
      <c r="N1300" t="s">
        <v>27252</v>
      </c>
      <c r="Q1300" s="1">
        <v>44538</v>
      </c>
      <c r="R1300" t="s">
        <v>27253</v>
      </c>
      <c r="S1300" t="s">
        <v>27254</v>
      </c>
      <c r="T1300" t="s">
        <v>27255</v>
      </c>
    </row>
    <row r="1301" spans="1:20" x14ac:dyDescent="0.3">
      <c r="A1301" t="str">
        <f>"0611831642100"</f>
        <v>0611831642100</v>
      </c>
      <c r="B1301" t="str">
        <f>"LK6624"</f>
        <v>LK6624</v>
      </c>
      <c r="C1301" t="s">
        <v>29765</v>
      </c>
      <c r="D1301" t="s">
        <v>27245</v>
      </c>
      <c r="E1301" t="str">
        <f t="shared" si="20"/>
        <v>001390</v>
      </c>
      <c r="F1301" t="s">
        <v>27246</v>
      </c>
      <c r="G1301" t="s">
        <v>27247</v>
      </c>
      <c r="H1301" t="s">
        <v>27248</v>
      </c>
      <c r="I1301" t="s">
        <v>29766</v>
      </c>
      <c r="J1301" t="s">
        <v>2610</v>
      </c>
      <c r="L1301" t="s">
        <v>27250</v>
      </c>
      <c r="M1301" t="s">
        <v>27251</v>
      </c>
      <c r="N1301" t="s">
        <v>27252</v>
      </c>
      <c r="Q1301" s="1">
        <v>44538</v>
      </c>
      <c r="R1301" t="s">
        <v>27253</v>
      </c>
      <c r="S1301" t="s">
        <v>27254</v>
      </c>
      <c r="T1301" t="s">
        <v>27255</v>
      </c>
    </row>
    <row r="1302" spans="1:20" x14ac:dyDescent="0.3">
      <c r="A1302" t="str">
        <f>"0611831643100"</f>
        <v>0611831643100</v>
      </c>
      <c r="B1302" t="str">
        <f>"LK6625"</f>
        <v>LK6625</v>
      </c>
      <c r="C1302" t="s">
        <v>29767</v>
      </c>
      <c r="D1302" t="s">
        <v>27245</v>
      </c>
      <c r="E1302" t="str">
        <f t="shared" si="20"/>
        <v>001390</v>
      </c>
      <c r="F1302" t="s">
        <v>27246</v>
      </c>
      <c r="G1302" t="s">
        <v>27247</v>
      </c>
      <c r="H1302" t="s">
        <v>27248</v>
      </c>
      <c r="I1302" t="s">
        <v>29768</v>
      </c>
      <c r="J1302" t="s">
        <v>2612</v>
      </c>
      <c r="L1302" t="s">
        <v>27250</v>
      </c>
      <c r="M1302" t="s">
        <v>27251</v>
      </c>
      <c r="N1302" t="s">
        <v>27252</v>
      </c>
      <c r="Q1302" s="1">
        <v>44538</v>
      </c>
      <c r="R1302" t="s">
        <v>27253</v>
      </c>
      <c r="S1302" t="s">
        <v>27254</v>
      </c>
      <c r="T1302" t="s">
        <v>27255</v>
      </c>
    </row>
    <row r="1303" spans="1:20" x14ac:dyDescent="0.3">
      <c r="A1303" t="str">
        <f>"0611831644100"</f>
        <v>0611831644100</v>
      </c>
      <c r="B1303" t="str">
        <f>"LK6626"</f>
        <v>LK6626</v>
      </c>
      <c r="C1303" t="s">
        <v>29769</v>
      </c>
      <c r="D1303" t="s">
        <v>27245</v>
      </c>
      <c r="E1303" t="str">
        <f t="shared" si="20"/>
        <v>001390</v>
      </c>
      <c r="F1303" t="s">
        <v>27246</v>
      </c>
      <c r="G1303" t="s">
        <v>27247</v>
      </c>
      <c r="H1303" t="s">
        <v>27248</v>
      </c>
      <c r="I1303" t="s">
        <v>29770</v>
      </c>
      <c r="J1303" t="s">
        <v>2614</v>
      </c>
      <c r="L1303" t="s">
        <v>27250</v>
      </c>
      <c r="M1303" t="s">
        <v>27251</v>
      </c>
      <c r="N1303" t="s">
        <v>27252</v>
      </c>
      <c r="Q1303" s="1">
        <v>44538</v>
      </c>
      <c r="R1303" t="s">
        <v>27253</v>
      </c>
      <c r="S1303" t="s">
        <v>27254</v>
      </c>
      <c r="T1303" t="s">
        <v>27255</v>
      </c>
    </row>
    <row r="1304" spans="1:20" x14ac:dyDescent="0.3">
      <c r="A1304" t="str">
        <f>"0611831645100"</f>
        <v>0611831645100</v>
      </c>
      <c r="B1304" t="str">
        <f>"LK6627"</f>
        <v>LK6627</v>
      </c>
      <c r="C1304" t="s">
        <v>29771</v>
      </c>
      <c r="D1304" t="s">
        <v>27245</v>
      </c>
      <c r="E1304" t="str">
        <f t="shared" si="20"/>
        <v>001390</v>
      </c>
      <c r="F1304" t="s">
        <v>27246</v>
      </c>
      <c r="G1304" t="s">
        <v>27247</v>
      </c>
      <c r="H1304" t="s">
        <v>27248</v>
      </c>
      <c r="I1304" t="s">
        <v>29772</v>
      </c>
      <c r="J1304" t="s">
        <v>2616</v>
      </c>
      <c r="L1304" t="s">
        <v>27250</v>
      </c>
      <c r="M1304" t="s">
        <v>27251</v>
      </c>
      <c r="N1304" t="s">
        <v>27252</v>
      </c>
      <c r="Q1304" s="1">
        <v>44538</v>
      </c>
      <c r="R1304" t="s">
        <v>27253</v>
      </c>
      <c r="S1304" t="s">
        <v>27254</v>
      </c>
      <c r="T1304" t="s">
        <v>27255</v>
      </c>
    </row>
    <row r="1305" spans="1:20" x14ac:dyDescent="0.3">
      <c r="A1305" t="str">
        <f>"0611831639100"</f>
        <v>0611831639100</v>
      </c>
      <c r="B1305" t="str">
        <f>"LK6628"</f>
        <v>LK6628</v>
      </c>
      <c r="C1305" t="s">
        <v>29773</v>
      </c>
      <c r="D1305" t="s">
        <v>27245</v>
      </c>
      <c r="E1305" t="str">
        <f t="shared" si="20"/>
        <v>001390</v>
      </c>
      <c r="F1305" t="s">
        <v>27246</v>
      </c>
      <c r="G1305" t="s">
        <v>27247</v>
      </c>
      <c r="H1305" t="s">
        <v>27248</v>
      </c>
      <c r="I1305" t="s">
        <v>29774</v>
      </c>
      <c r="J1305" t="s">
        <v>2618</v>
      </c>
      <c r="L1305" t="s">
        <v>27250</v>
      </c>
      <c r="M1305" t="s">
        <v>27251</v>
      </c>
      <c r="N1305" t="s">
        <v>27252</v>
      </c>
      <c r="Q1305" s="1">
        <v>44538</v>
      </c>
      <c r="R1305" t="s">
        <v>27253</v>
      </c>
      <c r="S1305" t="s">
        <v>27254</v>
      </c>
      <c r="T1305" t="s">
        <v>27255</v>
      </c>
    </row>
    <row r="1306" spans="1:20" x14ac:dyDescent="0.3">
      <c r="A1306" t="str">
        <f>"0611831604100"</f>
        <v>0611831604100</v>
      </c>
      <c r="B1306" t="str">
        <f>"LK6630"</f>
        <v>LK6630</v>
      </c>
      <c r="C1306" t="s">
        <v>29775</v>
      </c>
      <c r="D1306" t="s">
        <v>27245</v>
      </c>
      <c r="E1306" t="str">
        <f t="shared" si="20"/>
        <v>001390</v>
      </c>
      <c r="F1306" t="s">
        <v>27246</v>
      </c>
      <c r="G1306" t="s">
        <v>27247</v>
      </c>
      <c r="H1306" t="s">
        <v>27248</v>
      </c>
      <c r="I1306" t="s">
        <v>29776</v>
      </c>
      <c r="J1306" t="s">
        <v>2622</v>
      </c>
      <c r="L1306" t="s">
        <v>27250</v>
      </c>
      <c r="M1306" t="s">
        <v>27251</v>
      </c>
      <c r="N1306" t="s">
        <v>27252</v>
      </c>
      <c r="Q1306" s="1">
        <v>44538</v>
      </c>
      <c r="R1306" t="s">
        <v>27253</v>
      </c>
      <c r="S1306" t="s">
        <v>27254</v>
      </c>
      <c r="T1306" t="s">
        <v>27255</v>
      </c>
    </row>
    <row r="1307" spans="1:20" x14ac:dyDescent="0.3">
      <c r="A1307" t="str">
        <f>"0611831646100"</f>
        <v>0611831646100</v>
      </c>
      <c r="B1307" t="str">
        <f>"LK6629"</f>
        <v>LK6629</v>
      </c>
      <c r="C1307" t="s">
        <v>29777</v>
      </c>
      <c r="D1307" t="s">
        <v>27245</v>
      </c>
      <c r="E1307" t="str">
        <f t="shared" si="20"/>
        <v>001390</v>
      </c>
      <c r="F1307" t="s">
        <v>27246</v>
      </c>
      <c r="G1307" t="s">
        <v>27247</v>
      </c>
      <c r="H1307" t="s">
        <v>27248</v>
      </c>
      <c r="I1307" t="s">
        <v>29778</v>
      </c>
      <c r="J1307" t="s">
        <v>2620</v>
      </c>
      <c r="L1307" t="s">
        <v>27250</v>
      </c>
      <c r="M1307" t="s">
        <v>27251</v>
      </c>
      <c r="N1307" t="s">
        <v>27252</v>
      </c>
      <c r="Q1307" s="1">
        <v>44538</v>
      </c>
      <c r="R1307" t="s">
        <v>27253</v>
      </c>
      <c r="S1307" t="s">
        <v>27254</v>
      </c>
      <c r="T1307" t="s">
        <v>27255</v>
      </c>
    </row>
    <row r="1308" spans="1:20" x14ac:dyDescent="0.3">
      <c r="A1308" t="str">
        <f>"0611831647100"</f>
        <v>0611831647100</v>
      </c>
      <c r="B1308" t="str">
        <f>"LK6814"</f>
        <v>LK6814</v>
      </c>
      <c r="C1308" t="s">
        <v>29779</v>
      </c>
      <c r="D1308" t="s">
        <v>27245</v>
      </c>
      <c r="E1308" t="str">
        <f t="shared" si="20"/>
        <v>001390</v>
      </c>
      <c r="F1308" t="s">
        <v>27246</v>
      </c>
      <c r="G1308" t="s">
        <v>27247</v>
      </c>
      <c r="H1308" t="s">
        <v>27248</v>
      </c>
      <c r="I1308" t="s">
        <v>29780</v>
      </c>
      <c r="J1308" t="s">
        <v>2624</v>
      </c>
      <c r="L1308" t="s">
        <v>27250</v>
      </c>
      <c r="M1308" t="s">
        <v>27251</v>
      </c>
      <c r="N1308" t="s">
        <v>27252</v>
      </c>
      <c r="Q1308" s="1">
        <v>44538</v>
      </c>
      <c r="R1308" t="s">
        <v>27253</v>
      </c>
      <c r="S1308" t="s">
        <v>27254</v>
      </c>
      <c r="T1308" t="s">
        <v>27255</v>
      </c>
    </row>
    <row r="1309" spans="1:20" x14ac:dyDescent="0.3">
      <c r="A1309" t="str">
        <f>"0611884052100"</f>
        <v>0611884052100</v>
      </c>
      <c r="B1309" t="str">
        <f>"LK7159"</f>
        <v>LK7159</v>
      </c>
      <c r="C1309" t="s">
        <v>29781</v>
      </c>
      <c r="D1309" t="s">
        <v>27245</v>
      </c>
      <c r="E1309" t="str">
        <f t="shared" si="20"/>
        <v>001390</v>
      </c>
      <c r="F1309" t="s">
        <v>27246</v>
      </c>
      <c r="G1309" t="s">
        <v>27247</v>
      </c>
      <c r="H1309" t="s">
        <v>27248</v>
      </c>
      <c r="I1309" t="s">
        <v>29782</v>
      </c>
      <c r="J1309" t="s">
        <v>2626</v>
      </c>
      <c r="L1309" t="s">
        <v>27430</v>
      </c>
      <c r="M1309" t="s">
        <v>27251</v>
      </c>
      <c r="N1309" t="s">
        <v>27252</v>
      </c>
      <c r="Q1309" s="1">
        <v>45250</v>
      </c>
      <c r="R1309" t="s">
        <v>27253</v>
      </c>
      <c r="S1309" t="s">
        <v>27254</v>
      </c>
      <c r="T1309" t="s">
        <v>27255</v>
      </c>
    </row>
    <row r="1310" spans="1:20" x14ac:dyDescent="0.3">
      <c r="A1310" t="str">
        <f>"0611831648100"</f>
        <v>0611831648100</v>
      </c>
      <c r="B1310" t="str">
        <f>"LK6815"</f>
        <v>LK6815</v>
      </c>
      <c r="C1310" t="s">
        <v>29783</v>
      </c>
      <c r="D1310" t="s">
        <v>27245</v>
      </c>
      <c r="E1310" t="str">
        <f t="shared" si="20"/>
        <v>001390</v>
      </c>
      <c r="F1310" t="s">
        <v>27246</v>
      </c>
      <c r="G1310" t="s">
        <v>27247</v>
      </c>
      <c r="H1310" t="s">
        <v>27248</v>
      </c>
      <c r="I1310" t="s">
        <v>29784</v>
      </c>
      <c r="J1310" t="s">
        <v>2628</v>
      </c>
      <c r="L1310" t="s">
        <v>27250</v>
      </c>
      <c r="M1310" t="s">
        <v>27251</v>
      </c>
      <c r="N1310" t="s">
        <v>27252</v>
      </c>
      <c r="Q1310" s="1">
        <v>44538</v>
      </c>
      <c r="R1310" t="s">
        <v>27253</v>
      </c>
      <c r="S1310" t="s">
        <v>27254</v>
      </c>
      <c r="T1310" t="s">
        <v>27255</v>
      </c>
    </row>
    <row r="1311" spans="1:20" x14ac:dyDescent="0.3">
      <c r="A1311" t="str">
        <f>"0611831649100"</f>
        <v>0611831649100</v>
      </c>
      <c r="B1311" t="str">
        <f>"LK6816"</f>
        <v>LK6816</v>
      </c>
      <c r="C1311" t="s">
        <v>29785</v>
      </c>
      <c r="D1311" t="s">
        <v>27245</v>
      </c>
      <c r="E1311" t="str">
        <f t="shared" si="20"/>
        <v>001390</v>
      </c>
      <c r="F1311" t="s">
        <v>27246</v>
      </c>
      <c r="G1311" t="s">
        <v>27247</v>
      </c>
      <c r="H1311" t="s">
        <v>27248</v>
      </c>
      <c r="I1311" t="s">
        <v>29786</v>
      </c>
      <c r="J1311" t="s">
        <v>2630</v>
      </c>
      <c r="L1311" t="s">
        <v>27250</v>
      </c>
      <c r="M1311" t="s">
        <v>27251</v>
      </c>
      <c r="N1311" t="s">
        <v>27252</v>
      </c>
      <c r="Q1311" s="1">
        <v>44538</v>
      </c>
      <c r="R1311" t="s">
        <v>27253</v>
      </c>
      <c r="S1311" t="s">
        <v>27254</v>
      </c>
      <c r="T1311" t="s">
        <v>27255</v>
      </c>
    </row>
    <row r="1312" spans="1:20" x14ac:dyDescent="0.3">
      <c r="A1312" t="str">
        <f>"0611831650100"</f>
        <v>0611831650100</v>
      </c>
      <c r="B1312" t="str">
        <f>"LK6817"</f>
        <v>LK6817</v>
      </c>
      <c r="C1312" t="s">
        <v>29787</v>
      </c>
      <c r="D1312" t="s">
        <v>27245</v>
      </c>
      <c r="E1312" t="str">
        <f t="shared" si="20"/>
        <v>001390</v>
      </c>
      <c r="F1312" t="s">
        <v>27246</v>
      </c>
      <c r="G1312" t="s">
        <v>27247</v>
      </c>
      <c r="H1312" t="s">
        <v>27248</v>
      </c>
      <c r="I1312" t="s">
        <v>29788</v>
      </c>
      <c r="J1312" t="s">
        <v>2632</v>
      </c>
      <c r="L1312" t="s">
        <v>27250</v>
      </c>
      <c r="M1312" t="s">
        <v>27251</v>
      </c>
      <c r="N1312" t="s">
        <v>27252</v>
      </c>
      <c r="Q1312" s="1">
        <v>44538</v>
      </c>
      <c r="R1312" t="s">
        <v>27253</v>
      </c>
      <c r="S1312" t="s">
        <v>27254</v>
      </c>
      <c r="T1312" t="s">
        <v>27255</v>
      </c>
    </row>
    <row r="1313" spans="1:20" x14ac:dyDescent="0.3">
      <c r="A1313" t="str">
        <f>"0611831651100"</f>
        <v>0611831651100</v>
      </c>
      <c r="B1313" t="str">
        <f>"LK6818"</f>
        <v>LK6818</v>
      </c>
      <c r="C1313" t="s">
        <v>29789</v>
      </c>
      <c r="D1313" t="s">
        <v>27245</v>
      </c>
      <c r="E1313" t="str">
        <f t="shared" si="20"/>
        <v>001390</v>
      </c>
      <c r="F1313" t="s">
        <v>27246</v>
      </c>
      <c r="G1313" t="s">
        <v>27247</v>
      </c>
      <c r="H1313" t="s">
        <v>27248</v>
      </c>
      <c r="I1313" t="s">
        <v>29790</v>
      </c>
      <c r="J1313" t="s">
        <v>2634</v>
      </c>
      <c r="L1313" t="s">
        <v>27250</v>
      </c>
      <c r="M1313" t="s">
        <v>27251</v>
      </c>
      <c r="N1313" t="s">
        <v>27252</v>
      </c>
      <c r="Q1313" s="1">
        <v>44538</v>
      </c>
      <c r="R1313" t="s">
        <v>27253</v>
      </c>
      <c r="S1313" t="s">
        <v>27254</v>
      </c>
      <c r="T1313" t="s">
        <v>27255</v>
      </c>
    </row>
    <row r="1314" spans="1:20" x14ac:dyDescent="0.3">
      <c r="A1314" t="str">
        <f>"0611831652100"</f>
        <v>0611831652100</v>
      </c>
      <c r="B1314" t="str">
        <f>"LK4268"</f>
        <v>LK4268</v>
      </c>
      <c r="C1314" t="s">
        <v>29791</v>
      </c>
      <c r="D1314" t="s">
        <v>27245</v>
      </c>
      <c r="E1314" t="str">
        <f t="shared" si="20"/>
        <v>001390</v>
      </c>
      <c r="F1314" t="s">
        <v>27246</v>
      </c>
      <c r="G1314" t="s">
        <v>27247</v>
      </c>
      <c r="H1314" t="s">
        <v>27248</v>
      </c>
      <c r="I1314" t="s">
        <v>29792</v>
      </c>
      <c r="J1314" t="s">
        <v>2636</v>
      </c>
      <c r="L1314" t="s">
        <v>27250</v>
      </c>
      <c r="M1314" t="s">
        <v>27251</v>
      </c>
      <c r="N1314" t="s">
        <v>27252</v>
      </c>
      <c r="Q1314" s="1">
        <v>44538</v>
      </c>
      <c r="R1314" t="s">
        <v>27253</v>
      </c>
      <c r="S1314" t="s">
        <v>27254</v>
      </c>
      <c r="T1314" t="s">
        <v>27255</v>
      </c>
    </row>
    <row r="1315" spans="1:20" x14ac:dyDescent="0.3">
      <c r="A1315" t="str">
        <f>"0611831653100"</f>
        <v>0611831653100</v>
      </c>
      <c r="B1315" t="str">
        <f>"LB0805"</f>
        <v>LB0805</v>
      </c>
      <c r="C1315" t="s">
        <v>29793</v>
      </c>
      <c r="D1315" t="s">
        <v>27245</v>
      </c>
      <c r="E1315" t="str">
        <f t="shared" si="20"/>
        <v>001390</v>
      </c>
      <c r="F1315" t="s">
        <v>27246</v>
      </c>
      <c r="G1315" t="s">
        <v>27247</v>
      </c>
      <c r="H1315" t="s">
        <v>27248</v>
      </c>
      <c r="I1315" t="s">
        <v>29794</v>
      </c>
      <c r="J1315" t="s">
        <v>2638</v>
      </c>
      <c r="L1315" t="s">
        <v>27250</v>
      </c>
      <c r="M1315" t="s">
        <v>27251</v>
      </c>
      <c r="N1315" t="s">
        <v>27252</v>
      </c>
      <c r="Q1315" s="1">
        <v>44538</v>
      </c>
      <c r="R1315" t="s">
        <v>27253</v>
      </c>
      <c r="S1315" t="s">
        <v>27254</v>
      </c>
      <c r="T1315" t="s">
        <v>27255</v>
      </c>
    </row>
    <row r="1316" spans="1:20" x14ac:dyDescent="0.3">
      <c r="A1316" t="str">
        <f>"0611831654100"</f>
        <v>0611831654100</v>
      </c>
      <c r="B1316" t="str">
        <f>"LB0806"</f>
        <v>LB0806</v>
      </c>
      <c r="C1316" t="s">
        <v>29795</v>
      </c>
      <c r="D1316" t="s">
        <v>27245</v>
      </c>
      <c r="E1316" t="str">
        <f t="shared" si="20"/>
        <v>001390</v>
      </c>
      <c r="F1316" t="s">
        <v>27246</v>
      </c>
      <c r="G1316" t="s">
        <v>27247</v>
      </c>
      <c r="H1316" t="s">
        <v>27248</v>
      </c>
      <c r="I1316" t="s">
        <v>29796</v>
      </c>
      <c r="J1316" t="s">
        <v>2640</v>
      </c>
      <c r="L1316" t="s">
        <v>27250</v>
      </c>
      <c r="M1316" t="s">
        <v>27251</v>
      </c>
      <c r="N1316" t="s">
        <v>27252</v>
      </c>
      <c r="Q1316" s="1">
        <v>44538</v>
      </c>
      <c r="R1316" t="s">
        <v>27253</v>
      </c>
      <c r="S1316" t="s">
        <v>27254</v>
      </c>
      <c r="T1316" t="s">
        <v>27255</v>
      </c>
    </row>
    <row r="1317" spans="1:20" x14ac:dyDescent="0.3">
      <c r="A1317" t="str">
        <f>"0611831655100"</f>
        <v>0611831655100</v>
      </c>
      <c r="B1317" t="str">
        <f>"LB0807"</f>
        <v>LB0807</v>
      </c>
      <c r="C1317" t="s">
        <v>29797</v>
      </c>
      <c r="D1317" t="s">
        <v>27245</v>
      </c>
      <c r="E1317" t="str">
        <f t="shared" si="20"/>
        <v>001390</v>
      </c>
      <c r="F1317" t="s">
        <v>27246</v>
      </c>
      <c r="G1317" t="s">
        <v>27247</v>
      </c>
      <c r="H1317" t="s">
        <v>27248</v>
      </c>
      <c r="I1317" t="s">
        <v>29798</v>
      </c>
      <c r="J1317" t="s">
        <v>2642</v>
      </c>
      <c r="L1317" t="s">
        <v>27250</v>
      </c>
      <c r="M1317" t="s">
        <v>27251</v>
      </c>
      <c r="N1317" t="s">
        <v>27252</v>
      </c>
      <c r="Q1317" s="1">
        <v>44538</v>
      </c>
      <c r="R1317" t="s">
        <v>27253</v>
      </c>
      <c r="S1317" t="s">
        <v>27254</v>
      </c>
      <c r="T1317" t="s">
        <v>27255</v>
      </c>
    </row>
    <row r="1318" spans="1:20" x14ac:dyDescent="0.3">
      <c r="A1318" t="str">
        <f>"0611831656100"</f>
        <v>0611831656100</v>
      </c>
      <c r="B1318" t="str">
        <f>"LB0808"</f>
        <v>LB0808</v>
      </c>
      <c r="C1318" t="s">
        <v>29799</v>
      </c>
      <c r="D1318" t="s">
        <v>27245</v>
      </c>
      <c r="E1318" t="str">
        <f t="shared" si="20"/>
        <v>001390</v>
      </c>
      <c r="F1318" t="s">
        <v>27246</v>
      </c>
      <c r="G1318" t="s">
        <v>27247</v>
      </c>
      <c r="H1318" t="s">
        <v>27248</v>
      </c>
      <c r="I1318" t="s">
        <v>29800</v>
      </c>
      <c r="J1318" t="s">
        <v>2644</v>
      </c>
      <c r="L1318" t="s">
        <v>27250</v>
      </c>
      <c r="M1318" t="s">
        <v>27251</v>
      </c>
      <c r="N1318" t="s">
        <v>27252</v>
      </c>
      <c r="Q1318" s="1">
        <v>44538</v>
      </c>
      <c r="R1318" t="s">
        <v>27253</v>
      </c>
      <c r="S1318" t="s">
        <v>27254</v>
      </c>
      <c r="T1318" t="s">
        <v>27255</v>
      </c>
    </row>
    <row r="1319" spans="1:20" x14ac:dyDescent="0.3">
      <c r="A1319" t="str">
        <f>"0611831657100"</f>
        <v>0611831657100</v>
      </c>
      <c r="B1319" t="str">
        <f>"LB0906"</f>
        <v>LB0906</v>
      </c>
      <c r="C1319" t="s">
        <v>29801</v>
      </c>
      <c r="D1319" t="s">
        <v>27245</v>
      </c>
      <c r="E1319" t="str">
        <f t="shared" si="20"/>
        <v>001390</v>
      </c>
      <c r="F1319" t="s">
        <v>27246</v>
      </c>
      <c r="G1319" t="s">
        <v>27247</v>
      </c>
      <c r="H1319" t="s">
        <v>27248</v>
      </c>
      <c r="I1319" t="s">
        <v>29802</v>
      </c>
      <c r="J1319" t="s">
        <v>2646</v>
      </c>
      <c r="L1319" t="s">
        <v>27250</v>
      </c>
      <c r="M1319" t="s">
        <v>27251</v>
      </c>
      <c r="N1319" t="s">
        <v>27252</v>
      </c>
      <c r="Q1319" s="1">
        <v>44538</v>
      </c>
      <c r="R1319" t="s">
        <v>27253</v>
      </c>
      <c r="S1319" t="s">
        <v>27254</v>
      </c>
      <c r="T1319" t="s">
        <v>27255</v>
      </c>
    </row>
    <row r="1320" spans="1:20" x14ac:dyDescent="0.3">
      <c r="A1320" t="str">
        <f>"0611831658100"</f>
        <v>0611831658100</v>
      </c>
      <c r="B1320" t="str">
        <f>"LK2061"</f>
        <v>LK2061</v>
      </c>
      <c r="C1320" t="s">
        <v>29803</v>
      </c>
      <c r="D1320" t="s">
        <v>27245</v>
      </c>
      <c r="E1320" t="str">
        <f t="shared" si="20"/>
        <v>001390</v>
      </c>
      <c r="F1320" t="s">
        <v>27246</v>
      </c>
      <c r="G1320" t="s">
        <v>27247</v>
      </c>
      <c r="H1320" t="s">
        <v>27248</v>
      </c>
      <c r="I1320" t="s">
        <v>29804</v>
      </c>
      <c r="J1320" t="s">
        <v>2648</v>
      </c>
      <c r="L1320" t="s">
        <v>27250</v>
      </c>
      <c r="M1320" t="s">
        <v>27251</v>
      </c>
      <c r="N1320" t="s">
        <v>27252</v>
      </c>
      <c r="Q1320" s="1">
        <v>44538</v>
      </c>
      <c r="R1320" t="s">
        <v>27253</v>
      </c>
      <c r="S1320" t="s">
        <v>27254</v>
      </c>
      <c r="T1320" t="s">
        <v>27255</v>
      </c>
    </row>
    <row r="1321" spans="1:20" x14ac:dyDescent="0.3">
      <c r="A1321" t="str">
        <f>"0611831660100"</f>
        <v>0611831660100</v>
      </c>
      <c r="B1321" t="str">
        <f>"LK0641"</f>
        <v>LK0641</v>
      </c>
      <c r="C1321" t="s">
        <v>29805</v>
      </c>
      <c r="D1321" t="s">
        <v>27245</v>
      </c>
      <c r="E1321" t="str">
        <f t="shared" si="20"/>
        <v>001390</v>
      </c>
      <c r="F1321" t="s">
        <v>27246</v>
      </c>
      <c r="G1321" t="s">
        <v>27247</v>
      </c>
      <c r="H1321" t="s">
        <v>27248</v>
      </c>
      <c r="I1321" t="s">
        <v>29806</v>
      </c>
      <c r="J1321" t="s">
        <v>2650</v>
      </c>
      <c r="L1321" t="s">
        <v>27250</v>
      </c>
      <c r="M1321" t="s">
        <v>27251</v>
      </c>
      <c r="N1321" t="s">
        <v>27252</v>
      </c>
      <c r="Q1321" s="1">
        <v>44538</v>
      </c>
      <c r="R1321" t="s">
        <v>27253</v>
      </c>
      <c r="S1321" t="s">
        <v>27254</v>
      </c>
      <c r="T1321" t="s">
        <v>27255</v>
      </c>
    </row>
    <row r="1322" spans="1:20" x14ac:dyDescent="0.3">
      <c r="A1322" t="str">
        <f>"0611831661100"</f>
        <v>0611831661100</v>
      </c>
      <c r="B1322" t="str">
        <f>"LK0642"</f>
        <v>LK0642</v>
      </c>
      <c r="C1322" t="s">
        <v>29807</v>
      </c>
      <c r="D1322" t="s">
        <v>27245</v>
      </c>
      <c r="E1322" t="str">
        <f t="shared" si="20"/>
        <v>001390</v>
      </c>
      <c r="F1322" t="s">
        <v>27246</v>
      </c>
      <c r="G1322" t="s">
        <v>27247</v>
      </c>
      <c r="H1322" t="s">
        <v>27248</v>
      </c>
      <c r="I1322" t="s">
        <v>29808</v>
      </c>
      <c r="J1322" t="s">
        <v>2652</v>
      </c>
      <c r="L1322" t="s">
        <v>27250</v>
      </c>
      <c r="M1322" t="s">
        <v>27251</v>
      </c>
      <c r="N1322" t="s">
        <v>27252</v>
      </c>
      <c r="Q1322" s="1">
        <v>44538</v>
      </c>
      <c r="R1322" t="s">
        <v>27253</v>
      </c>
      <c r="S1322" t="s">
        <v>27254</v>
      </c>
      <c r="T1322" t="s">
        <v>27255</v>
      </c>
    </row>
    <row r="1323" spans="1:20" x14ac:dyDescent="0.3">
      <c r="A1323" t="str">
        <f>"0611831662100"</f>
        <v>0611831662100</v>
      </c>
      <c r="B1323" t="str">
        <f>"LK0643"</f>
        <v>LK0643</v>
      </c>
      <c r="C1323" t="s">
        <v>29809</v>
      </c>
      <c r="D1323" t="s">
        <v>27245</v>
      </c>
      <c r="E1323" t="str">
        <f t="shared" si="20"/>
        <v>001390</v>
      </c>
      <c r="F1323" t="s">
        <v>27246</v>
      </c>
      <c r="G1323" t="s">
        <v>27247</v>
      </c>
      <c r="H1323" t="s">
        <v>27248</v>
      </c>
      <c r="I1323" t="s">
        <v>29810</v>
      </c>
      <c r="J1323" t="s">
        <v>2654</v>
      </c>
      <c r="L1323" t="s">
        <v>27250</v>
      </c>
      <c r="M1323" t="s">
        <v>27251</v>
      </c>
      <c r="N1323" t="s">
        <v>27252</v>
      </c>
      <c r="Q1323" s="1">
        <v>44538</v>
      </c>
      <c r="R1323" t="s">
        <v>27253</v>
      </c>
      <c r="S1323" t="s">
        <v>27254</v>
      </c>
      <c r="T1323" t="s">
        <v>27255</v>
      </c>
    </row>
    <row r="1324" spans="1:20" x14ac:dyDescent="0.3">
      <c r="A1324" t="str">
        <f>"0611831664100"</f>
        <v>0611831664100</v>
      </c>
      <c r="B1324" t="str">
        <f>"LK6597"</f>
        <v>LK6597</v>
      </c>
      <c r="C1324" t="s">
        <v>29811</v>
      </c>
      <c r="D1324" t="s">
        <v>28138</v>
      </c>
      <c r="E1324" t="str">
        <f t="shared" si="20"/>
        <v>001390</v>
      </c>
      <c r="F1324" t="s">
        <v>27246</v>
      </c>
      <c r="G1324" t="s">
        <v>27247</v>
      </c>
      <c r="H1324" t="s">
        <v>27248</v>
      </c>
      <c r="I1324" t="s">
        <v>29812</v>
      </c>
      <c r="J1324" t="s">
        <v>2658</v>
      </c>
      <c r="L1324" t="s">
        <v>27250</v>
      </c>
      <c r="M1324" t="s">
        <v>27251</v>
      </c>
      <c r="N1324" t="s">
        <v>27252</v>
      </c>
      <c r="P1324" t="s">
        <v>27925</v>
      </c>
      <c r="Q1324" s="1">
        <v>44538</v>
      </c>
      <c r="R1324" t="s">
        <v>27253</v>
      </c>
      <c r="S1324" t="s">
        <v>27254</v>
      </c>
      <c r="T1324" t="s">
        <v>27255</v>
      </c>
    </row>
    <row r="1325" spans="1:20" x14ac:dyDescent="0.3">
      <c r="A1325" t="str">
        <f>"0611831663100"</f>
        <v>0611831663100</v>
      </c>
      <c r="B1325" t="str">
        <f>"LK6357"</f>
        <v>LK6357</v>
      </c>
      <c r="C1325" t="s">
        <v>29813</v>
      </c>
      <c r="D1325" t="s">
        <v>28138</v>
      </c>
      <c r="E1325" t="str">
        <f t="shared" si="20"/>
        <v>001390</v>
      </c>
      <c r="F1325" t="s">
        <v>27246</v>
      </c>
      <c r="G1325" t="s">
        <v>27247</v>
      </c>
      <c r="H1325" t="s">
        <v>27248</v>
      </c>
      <c r="I1325" t="s">
        <v>29814</v>
      </c>
      <c r="J1325" t="s">
        <v>2656</v>
      </c>
      <c r="L1325" t="s">
        <v>27250</v>
      </c>
      <c r="M1325" t="s">
        <v>27251</v>
      </c>
      <c r="N1325" t="s">
        <v>27252</v>
      </c>
      <c r="P1325" t="s">
        <v>27925</v>
      </c>
      <c r="Q1325" s="1">
        <v>44538</v>
      </c>
      <c r="R1325" t="s">
        <v>27253</v>
      </c>
      <c r="S1325" t="s">
        <v>27254</v>
      </c>
      <c r="T1325" t="s">
        <v>27255</v>
      </c>
    </row>
    <row r="1326" spans="1:20" x14ac:dyDescent="0.3">
      <c r="A1326" t="str">
        <f>"0611831665100"</f>
        <v>0611831665100</v>
      </c>
      <c r="B1326" t="str">
        <f>"LK6358"</f>
        <v>LK6358</v>
      </c>
      <c r="C1326" t="s">
        <v>29815</v>
      </c>
      <c r="D1326" t="s">
        <v>28138</v>
      </c>
      <c r="E1326" t="str">
        <f t="shared" si="20"/>
        <v>001390</v>
      </c>
      <c r="F1326" t="s">
        <v>27246</v>
      </c>
      <c r="G1326" t="s">
        <v>27247</v>
      </c>
      <c r="H1326" t="s">
        <v>27248</v>
      </c>
      <c r="I1326" t="s">
        <v>29816</v>
      </c>
      <c r="J1326" t="s">
        <v>2660</v>
      </c>
      <c r="L1326" t="s">
        <v>27250</v>
      </c>
      <c r="M1326" t="s">
        <v>27251</v>
      </c>
      <c r="N1326" t="s">
        <v>27252</v>
      </c>
      <c r="P1326" t="s">
        <v>27925</v>
      </c>
      <c r="Q1326" s="1">
        <v>44538</v>
      </c>
      <c r="R1326" t="s">
        <v>27253</v>
      </c>
      <c r="S1326" t="s">
        <v>27254</v>
      </c>
      <c r="T1326" t="s">
        <v>27255</v>
      </c>
    </row>
    <row r="1327" spans="1:20" x14ac:dyDescent="0.3">
      <c r="A1327" t="str">
        <f>"0611831666100"</f>
        <v>0611831666100</v>
      </c>
      <c r="B1327" t="str">
        <f>"LK6359"</f>
        <v>LK6359</v>
      </c>
      <c r="C1327" t="s">
        <v>29817</v>
      </c>
      <c r="D1327" t="s">
        <v>28138</v>
      </c>
      <c r="E1327" t="str">
        <f t="shared" si="20"/>
        <v>001390</v>
      </c>
      <c r="F1327" t="s">
        <v>27246</v>
      </c>
      <c r="G1327" t="s">
        <v>27247</v>
      </c>
      <c r="H1327" t="s">
        <v>27248</v>
      </c>
      <c r="I1327" t="s">
        <v>29818</v>
      </c>
      <c r="J1327" t="s">
        <v>2662</v>
      </c>
      <c r="L1327" t="s">
        <v>27250</v>
      </c>
      <c r="M1327" t="s">
        <v>27251</v>
      </c>
      <c r="N1327" t="s">
        <v>27252</v>
      </c>
      <c r="P1327" t="s">
        <v>27925</v>
      </c>
      <c r="Q1327" s="1">
        <v>44538</v>
      </c>
      <c r="R1327" t="s">
        <v>27253</v>
      </c>
      <c r="S1327" t="s">
        <v>27254</v>
      </c>
      <c r="T1327" t="s">
        <v>27255</v>
      </c>
    </row>
    <row r="1328" spans="1:20" x14ac:dyDescent="0.3">
      <c r="A1328" t="str">
        <f>"0611831667100"</f>
        <v>0611831667100</v>
      </c>
      <c r="B1328" t="str">
        <f>"LK6033"</f>
        <v>LK6033</v>
      </c>
      <c r="C1328" t="s">
        <v>29819</v>
      </c>
      <c r="D1328" t="s">
        <v>28138</v>
      </c>
      <c r="E1328" t="str">
        <f t="shared" si="20"/>
        <v>001390</v>
      </c>
      <c r="F1328" t="s">
        <v>27246</v>
      </c>
      <c r="G1328" t="s">
        <v>27247</v>
      </c>
      <c r="H1328" t="s">
        <v>27248</v>
      </c>
      <c r="I1328" t="s">
        <v>29820</v>
      </c>
      <c r="J1328" t="s">
        <v>2664</v>
      </c>
      <c r="L1328" t="s">
        <v>27250</v>
      </c>
      <c r="M1328" t="s">
        <v>27251</v>
      </c>
      <c r="N1328" t="s">
        <v>27252</v>
      </c>
      <c r="P1328" t="s">
        <v>27925</v>
      </c>
      <c r="Q1328" s="1">
        <v>44538</v>
      </c>
      <c r="R1328" t="s">
        <v>27253</v>
      </c>
      <c r="S1328" t="s">
        <v>27254</v>
      </c>
      <c r="T1328" t="s">
        <v>27255</v>
      </c>
    </row>
    <row r="1329" spans="1:20" x14ac:dyDescent="0.3">
      <c r="A1329" t="str">
        <f>"0611831668100"</f>
        <v>0611831668100</v>
      </c>
      <c r="B1329" t="str">
        <f>"LK6034"</f>
        <v>LK6034</v>
      </c>
      <c r="C1329" t="s">
        <v>29821</v>
      </c>
      <c r="D1329" t="s">
        <v>28138</v>
      </c>
      <c r="E1329" t="str">
        <f t="shared" si="20"/>
        <v>001390</v>
      </c>
      <c r="F1329" t="s">
        <v>27246</v>
      </c>
      <c r="G1329" t="s">
        <v>27247</v>
      </c>
      <c r="H1329" t="s">
        <v>27248</v>
      </c>
      <c r="I1329" t="s">
        <v>29822</v>
      </c>
      <c r="J1329" t="s">
        <v>2666</v>
      </c>
      <c r="L1329" t="s">
        <v>27250</v>
      </c>
      <c r="M1329" t="s">
        <v>27251</v>
      </c>
      <c r="N1329" t="s">
        <v>27252</v>
      </c>
      <c r="P1329" t="s">
        <v>27925</v>
      </c>
      <c r="Q1329" s="1">
        <v>44538</v>
      </c>
      <c r="R1329" t="s">
        <v>27253</v>
      </c>
      <c r="S1329" t="s">
        <v>27254</v>
      </c>
      <c r="T1329" t="s">
        <v>27255</v>
      </c>
    </row>
    <row r="1330" spans="1:20" x14ac:dyDescent="0.3">
      <c r="A1330" t="str">
        <f>"0611831669100"</f>
        <v>0611831669100</v>
      </c>
      <c r="B1330" t="str">
        <f>"LK6035"</f>
        <v>LK6035</v>
      </c>
      <c r="C1330" t="s">
        <v>29823</v>
      </c>
      <c r="D1330" t="s">
        <v>28138</v>
      </c>
      <c r="E1330" t="str">
        <f t="shared" si="20"/>
        <v>001390</v>
      </c>
      <c r="F1330" t="s">
        <v>27246</v>
      </c>
      <c r="G1330" t="s">
        <v>27247</v>
      </c>
      <c r="H1330" t="s">
        <v>27248</v>
      </c>
      <c r="I1330" t="s">
        <v>29824</v>
      </c>
      <c r="J1330" t="s">
        <v>2668</v>
      </c>
      <c r="L1330" t="s">
        <v>27250</v>
      </c>
      <c r="M1330" t="s">
        <v>27251</v>
      </c>
      <c r="N1330" t="s">
        <v>27252</v>
      </c>
      <c r="P1330" t="s">
        <v>27925</v>
      </c>
      <c r="Q1330" s="1">
        <v>44538</v>
      </c>
      <c r="R1330" t="s">
        <v>27253</v>
      </c>
      <c r="S1330" t="s">
        <v>27254</v>
      </c>
      <c r="T1330" t="s">
        <v>27255</v>
      </c>
    </row>
    <row r="1331" spans="1:20" x14ac:dyDescent="0.3">
      <c r="A1331" t="str">
        <f>"0611831670100"</f>
        <v>0611831670100</v>
      </c>
      <c r="B1331" t="str">
        <f>"LK6036"</f>
        <v>LK6036</v>
      </c>
      <c r="C1331" t="s">
        <v>29825</v>
      </c>
      <c r="D1331" t="s">
        <v>28138</v>
      </c>
      <c r="E1331" t="str">
        <f t="shared" si="20"/>
        <v>001390</v>
      </c>
      <c r="F1331" t="s">
        <v>27246</v>
      </c>
      <c r="G1331" t="s">
        <v>27247</v>
      </c>
      <c r="H1331" t="s">
        <v>27248</v>
      </c>
      <c r="I1331" t="s">
        <v>29826</v>
      </c>
      <c r="J1331" t="s">
        <v>2670</v>
      </c>
      <c r="L1331" t="s">
        <v>27250</v>
      </c>
      <c r="M1331" t="s">
        <v>27251</v>
      </c>
      <c r="N1331" t="s">
        <v>27252</v>
      </c>
      <c r="P1331" t="s">
        <v>27925</v>
      </c>
      <c r="Q1331" s="1">
        <v>44538</v>
      </c>
      <c r="R1331" t="s">
        <v>27253</v>
      </c>
      <c r="S1331" t="s">
        <v>27254</v>
      </c>
      <c r="T1331" t="s">
        <v>27255</v>
      </c>
    </row>
    <row r="1332" spans="1:20" x14ac:dyDescent="0.3">
      <c r="A1332" t="str">
        <f>"0611831671100"</f>
        <v>0611831671100</v>
      </c>
      <c r="B1332" t="str">
        <f>"LK6037"</f>
        <v>LK6037</v>
      </c>
      <c r="C1332" t="s">
        <v>29827</v>
      </c>
      <c r="D1332" t="s">
        <v>28138</v>
      </c>
      <c r="E1332" t="str">
        <f t="shared" si="20"/>
        <v>001390</v>
      </c>
      <c r="F1332" t="s">
        <v>27246</v>
      </c>
      <c r="G1332" t="s">
        <v>27247</v>
      </c>
      <c r="H1332" t="s">
        <v>27248</v>
      </c>
      <c r="I1332" t="s">
        <v>29828</v>
      </c>
      <c r="J1332" t="s">
        <v>2672</v>
      </c>
      <c r="L1332" t="s">
        <v>27250</v>
      </c>
      <c r="M1332" t="s">
        <v>27251</v>
      </c>
      <c r="N1332" t="s">
        <v>27252</v>
      </c>
      <c r="P1332" t="s">
        <v>27925</v>
      </c>
      <c r="Q1332" s="1">
        <v>44538</v>
      </c>
      <c r="R1332" t="s">
        <v>27253</v>
      </c>
      <c r="S1332" t="s">
        <v>27254</v>
      </c>
      <c r="T1332" t="s">
        <v>27255</v>
      </c>
    </row>
    <row r="1333" spans="1:20" x14ac:dyDescent="0.3">
      <c r="A1333" t="str">
        <f>"0611831672100"</f>
        <v>0611831672100</v>
      </c>
      <c r="B1333" t="str">
        <f>"LK5699"</f>
        <v>LK5699</v>
      </c>
      <c r="C1333" t="s">
        <v>29829</v>
      </c>
      <c r="D1333" t="s">
        <v>27245</v>
      </c>
      <c r="E1333" t="str">
        <f t="shared" si="20"/>
        <v>001390</v>
      </c>
      <c r="F1333" t="s">
        <v>27246</v>
      </c>
      <c r="G1333" t="s">
        <v>27247</v>
      </c>
      <c r="H1333" t="s">
        <v>27248</v>
      </c>
      <c r="I1333" t="s">
        <v>29830</v>
      </c>
      <c r="J1333" t="s">
        <v>2674</v>
      </c>
      <c r="L1333" t="s">
        <v>27250</v>
      </c>
      <c r="M1333" t="s">
        <v>27251</v>
      </c>
      <c r="N1333" t="s">
        <v>27252</v>
      </c>
      <c r="Q1333" s="1">
        <v>44538</v>
      </c>
      <c r="R1333" t="s">
        <v>27253</v>
      </c>
      <c r="S1333" t="s">
        <v>27254</v>
      </c>
      <c r="T1333" t="s">
        <v>27255</v>
      </c>
    </row>
    <row r="1334" spans="1:20" x14ac:dyDescent="0.3">
      <c r="A1334" t="str">
        <f>"0611860664050"</f>
        <v>0611860664050</v>
      </c>
      <c r="B1334" t="str">
        <f>"CR2048"</f>
        <v>CR2048</v>
      </c>
      <c r="C1334" t="s">
        <v>29831</v>
      </c>
      <c r="D1334" t="s">
        <v>27263</v>
      </c>
      <c r="E1334" t="str">
        <f t="shared" si="20"/>
        <v>001390</v>
      </c>
      <c r="F1334" t="s">
        <v>27246</v>
      </c>
      <c r="G1334" t="s">
        <v>27247</v>
      </c>
      <c r="H1334" t="s">
        <v>27248</v>
      </c>
      <c r="I1334" t="s">
        <v>29832</v>
      </c>
      <c r="J1334" t="s">
        <v>2676</v>
      </c>
      <c r="L1334" t="s">
        <v>27250</v>
      </c>
      <c r="M1334" t="s">
        <v>27251</v>
      </c>
      <c r="N1334" t="s">
        <v>27252</v>
      </c>
      <c r="Q1334" s="1">
        <v>44846</v>
      </c>
      <c r="R1334" t="s">
        <v>27253</v>
      </c>
      <c r="S1334" t="s">
        <v>27254</v>
      </c>
      <c r="T1334" t="s">
        <v>27265</v>
      </c>
    </row>
    <row r="1335" spans="1:20" x14ac:dyDescent="0.3">
      <c r="A1335" t="str">
        <f>"0611860665050"</f>
        <v>0611860665050</v>
      </c>
      <c r="B1335" t="str">
        <f>"CR3667"</f>
        <v>CR3667</v>
      </c>
      <c r="C1335" t="s">
        <v>29833</v>
      </c>
      <c r="D1335" t="s">
        <v>27263</v>
      </c>
      <c r="E1335" t="str">
        <f t="shared" si="20"/>
        <v>001390</v>
      </c>
      <c r="F1335" t="s">
        <v>27246</v>
      </c>
      <c r="G1335" t="s">
        <v>27247</v>
      </c>
      <c r="H1335" t="s">
        <v>27248</v>
      </c>
      <c r="I1335" t="s">
        <v>29834</v>
      </c>
      <c r="J1335" t="s">
        <v>2678</v>
      </c>
      <c r="L1335" t="s">
        <v>27250</v>
      </c>
      <c r="M1335" t="s">
        <v>27251</v>
      </c>
      <c r="N1335" t="s">
        <v>27252</v>
      </c>
      <c r="Q1335" s="1">
        <v>44846</v>
      </c>
      <c r="R1335" t="s">
        <v>27253</v>
      </c>
      <c r="S1335" t="s">
        <v>27254</v>
      </c>
      <c r="T1335" t="s">
        <v>27265</v>
      </c>
    </row>
    <row r="1336" spans="1:20" x14ac:dyDescent="0.3">
      <c r="A1336" t="str">
        <f>"0611860666050"</f>
        <v>0611860666050</v>
      </c>
      <c r="B1336" t="str">
        <f>"CR2049"</f>
        <v>CR2049</v>
      </c>
      <c r="C1336" t="s">
        <v>29835</v>
      </c>
      <c r="D1336" t="s">
        <v>27263</v>
      </c>
      <c r="E1336" t="str">
        <f t="shared" si="20"/>
        <v>001390</v>
      </c>
      <c r="F1336" t="s">
        <v>27246</v>
      </c>
      <c r="G1336" t="s">
        <v>27247</v>
      </c>
      <c r="H1336" t="s">
        <v>27248</v>
      </c>
      <c r="I1336" t="s">
        <v>29836</v>
      </c>
      <c r="J1336" t="s">
        <v>2680</v>
      </c>
      <c r="L1336" t="s">
        <v>27250</v>
      </c>
      <c r="M1336" t="s">
        <v>27251</v>
      </c>
      <c r="N1336" t="s">
        <v>27252</v>
      </c>
      <c r="Q1336" s="1">
        <v>44846</v>
      </c>
      <c r="R1336" t="s">
        <v>27253</v>
      </c>
      <c r="S1336" t="s">
        <v>27254</v>
      </c>
      <c r="T1336" t="s">
        <v>27265</v>
      </c>
    </row>
    <row r="1337" spans="1:20" x14ac:dyDescent="0.3">
      <c r="A1337" t="str">
        <f>"0611831673100"</f>
        <v>0611831673100</v>
      </c>
      <c r="B1337" t="str">
        <f>"LK3290"</f>
        <v>LK3290</v>
      </c>
      <c r="C1337" t="s">
        <v>29837</v>
      </c>
      <c r="D1337" t="s">
        <v>27245</v>
      </c>
      <c r="E1337" t="str">
        <f t="shared" si="20"/>
        <v>001390</v>
      </c>
      <c r="F1337" t="s">
        <v>27246</v>
      </c>
      <c r="G1337" t="s">
        <v>27247</v>
      </c>
      <c r="H1337" t="s">
        <v>27248</v>
      </c>
      <c r="I1337" t="s">
        <v>29838</v>
      </c>
      <c r="J1337" t="s">
        <v>2682</v>
      </c>
      <c r="L1337" t="s">
        <v>27250</v>
      </c>
      <c r="M1337" t="s">
        <v>27251</v>
      </c>
      <c r="N1337" t="s">
        <v>27252</v>
      </c>
      <c r="Q1337" s="1">
        <v>44538</v>
      </c>
      <c r="R1337" t="s">
        <v>27253</v>
      </c>
      <c r="S1337" t="s">
        <v>27254</v>
      </c>
      <c r="T1337" t="s">
        <v>27255</v>
      </c>
    </row>
    <row r="1338" spans="1:20" x14ac:dyDescent="0.3">
      <c r="A1338" t="str">
        <f>"0611831674100"</f>
        <v>0611831674100</v>
      </c>
      <c r="B1338" t="str">
        <f>"LB0788"</f>
        <v>LB0788</v>
      </c>
      <c r="C1338" t="s">
        <v>29839</v>
      </c>
      <c r="D1338" t="s">
        <v>27245</v>
      </c>
      <c r="E1338" t="str">
        <f t="shared" si="20"/>
        <v>001390</v>
      </c>
      <c r="F1338" t="s">
        <v>27246</v>
      </c>
      <c r="G1338" t="s">
        <v>27247</v>
      </c>
      <c r="H1338" t="s">
        <v>27248</v>
      </c>
      <c r="I1338" t="s">
        <v>29840</v>
      </c>
      <c r="J1338" t="s">
        <v>2684</v>
      </c>
      <c r="L1338" t="s">
        <v>27250</v>
      </c>
      <c r="M1338" t="s">
        <v>27251</v>
      </c>
      <c r="N1338" t="s">
        <v>27252</v>
      </c>
      <c r="Q1338" s="1">
        <v>44538</v>
      </c>
      <c r="R1338" t="s">
        <v>27253</v>
      </c>
      <c r="S1338" t="s">
        <v>27254</v>
      </c>
      <c r="T1338" t="s">
        <v>27255</v>
      </c>
    </row>
    <row r="1339" spans="1:20" x14ac:dyDescent="0.3">
      <c r="A1339" t="str">
        <f>"0611831675100"</f>
        <v>0611831675100</v>
      </c>
      <c r="B1339" t="str">
        <f>"LB0789"</f>
        <v>LB0789</v>
      </c>
      <c r="C1339" t="s">
        <v>29841</v>
      </c>
      <c r="D1339" t="s">
        <v>27245</v>
      </c>
      <c r="E1339" t="str">
        <f t="shared" si="20"/>
        <v>001390</v>
      </c>
      <c r="F1339" t="s">
        <v>27246</v>
      </c>
      <c r="G1339" t="s">
        <v>27247</v>
      </c>
      <c r="H1339" t="s">
        <v>27248</v>
      </c>
      <c r="I1339" t="s">
        <v>29842</v>
      </c>
      <c r="J1339" t="s">
        <v>2686</v>
      </c>
      <c r="L1339" t="s">
        <v>27250</v>
      </c>
      <c r="M1339" t="s">
        <v>27251</v>
      </c>
      <c r="N1339" t="s">
        <v>27252</v>
      </c>
      <c r="Q1339" s="1">
        <v>44538</v>
      </c>
      <c r="R1339" t="s">
        <v>27253</v>
      </c>
      <c r="S1339" t="s">
        <v>27254</v>
      </c>
      <c r="T1339" t="s">
        <v>27255</v>
      </c>
    </row>
    <row r="1340" spans="1:20" x14ac:dyDescent="0.3">
      <c r="A1340" t="str">
        <f>"0611860667050"</f>
        <v>0611860667050</v>
      </c>
      <c r="B1340" t="str">
        <f>"CR2035"</f>
        <v>CR2035</v>
      </c>
      <c r="C1340" t="s">
        <v>29843</v>
      </c>
      <c r="D1340" t="s">
        <v>27271</v>
      </c>
      <c r="E1340" t="str">
        <f t="shared" si="20"/>
        <v>001390</v>
      </c>
      <c r="F1340" t="s">
        <v>27246</v>
      </c>
      <c r="G1340" t="s">
        <v>27247</v>
      </c>
      <c r="H1340" t="s">
        <v>27248</v>
      </c>
      <c r="I1340" t="s">
        <v>29844</v>
      </c>
      <c r="J1340" t="s">
        <v>2688</v>
      </c>
      <c r="L1340" t="s">
        <v>27250</v>
      </c>
      <c r="M1340" t="s">
        <v>27251</v>
      </c>
      <c r="N1340" t="s">
        <v>27252</v>
      </c>
      <c r="P1340" t="s">
        <v>27341</v>
      </c>
      <c r="Q1340" s="1">
        <v>44846</v>
      </c>
      <c r="R1340" t="s">
        <v>27253</v>
      </c>
      <c r="S1340" t="s">
        <v>27254</v>
      </c>
      <c r="T1340" t="s">
        <v>27265</v>
      </c>
    </row>
    <row r="1341" spans="1:20" x14ac:dyDescent="0.3">
      <c r="A1341" t="str">
        <f>"0611831676100"</f>
        <v>0611831676100</v>
      </c>
      <c r="B1341" t="str">
        <f>"LB0791"</f>
        <v>LB0791</v>
      </c>
      <c r="C1341" t="s">
        <v>29845</v>
      </c>
      <c r="D1341" t="s">
        <v>27245</v>
      </c>
      <c r="E1341" t="str">
        <f t="shared" si="20"/>
        <v>001390</v>
      </c>
      <c r="F1341" t="s">
        <v>27246</v>
      </c>
      <c r="G1341" t="s">
        <v>27247</v>
      </c>
      <c r="H1341" t="s">
        <v>27248</v>
      </c>
      <c r="I1341" t="s">
        <v>29846</v>
      </c>
      <c r="J1341" t="s">
        <v>2690</v>
      </c>
      <c r="L1341" t="s">
        <v>27250</v>
      </c>
      <c r="M1341" t="s">
        <v>27251</v>
      </c>
      <c r="N1341" t="s">
        <v>27252</v>
      </c>
      <c r="Q1341" s="1">
        <v>44538</v>
      </c>
      <c r="R1341" t="s">
        <v>27253</v>
      </c>
      <c r="S1341" t="s">
        <v>27254</v>
      </c>
      <c r="T1341" t="s">
        <v>27255</v>
      </c>
    </row>
    <row r="1342" spans="1:20" x14ac:dyDescent="0.3">
      <c r="A1342" t="str">
        <f>"0611831677100"</f>
        <v>0611831677100</v>
      </c>
      <c r="B1342" t="str">
        <f>"LB0790"</f>
        <v>LB0790</v>
      </c>
      <c r="C1342" t="s">
        <v>29847</v>
      </c>
      <c r="D1342" t="s">
        <v>27245</v>
      </c>
      <c r="E1342" t="str">
        <f t="shared" si="20"/>
        <v>001390</v>
      </c>
      <c r="F1342" t="s">
        <v>27246</v>
      </c>
      <c r="G1342" t="s">
        <v>27247</v>
      </c>
      <c r="H1342" t="s">
        <v>27248</v>
      </c>
      <c r="I1342" t="s">
        <v>29848</v>
      </c>
      <c r="J1342" t="s">
        <v>2692</v>
      </c>
      <c r="L1342" t="s">
        <v>27250</v>
      </c>
      <c r="M1342" t="s">
        <v>27251</v>
      </c>
      <c r="N1342" t="s">
        <v>27252</v>
      </c>
      <c r="Q1342" s="1">
        <v>44538</v>
      </c>
      <c r="R1342" t="s">
        <v>27253</v>
      </c>
      <c r="S1342" t="s">
        <v>27254</v>
      </c>
      <c r="T1342" t="s">
        <v>27255</v>
      </c>
    </row>
    <row r="1343" spans="1:20" x14ac:dyDescent="0.3">
      <c r="A1343" t="str">
        <f>"0611831678100"</f>
        <v>0611831678100</v>
      </c>
      <c r="B1343" t="str">
        <f>"LQ3643"</f>
        <v>LQ3643</v>
      </c>
      <c r="C1343" t="s">
        <v>29849</v>
      </c>
      <c r="D1343" t="s">
        <v>27245</v>
      </c>
      <c r="E1343" t="str">
        <f t="shared" si="20"/>
        <v>001390</v>
      </c>
      <c r="F1343" t="s">
        <v>27246</v>
      </c>
      <c r="G1343" t="s">
        <v>27247</v>
      </c>
      <c r="H1343" t="s">
        <v>27248</v>
      </c>
      <c r="I1343" t="s">
        <v>29850</v>
      </c>
      <c r="J1343" t="s">
        <v>2694</v>
      </c>
      <c r="L1343" t="s">
        <v>27250</v>
      </c>
      <c r="M1343" t="s">
        <v>27251</v>
      </c>
      <c r="N1343" t="s">
        <v>27252</v>
      </c>
      <c r="Q1343" s="1">
        <v>44538</v>
      </c>
      <c r="R1343" t="s">
        <v>27253</v>
      </c>
      <c r="S1343" t="s">
        <v>27254</v>
      </c>
      <c r="T1343" t="s">
        <v>27255</v>
      </c>
    </row>
    <row r="1344" spans="1:20" x14ac:dyDescent="0.3">
      <c r="A1344" t="str">
        <f>"0611831679100"</f>
        <v>0611831679100</v>
      </c>
      <c r="B1344" t="str">
        <f>"LQ3680"</f>
        <v>LQ3680</v>
      </c>
      <c r="C1344" t="s">
        <v>29851</v>
      </c>
      <c r="D1344" t="s">
        <v>27245</v>
      </c>
      <c r="E1344" t="str">
        <f t="shared" si="20"/>
        <v>001390</v>
      </c>
      <c r="F1344" t="s">
        <v>27246</v>
      </c>
      <c r="G1344" t="s">
        <v>27247</v>
      </c>
      <c r="H1344" t="s">
        <v>27248</v>
      </c>
      <c r="I1344" t="s">
        <v>29852</v>
      </c>
      <c r="J1344" t="s">
        <v>2696</v>
      </c>
      <c r="L1344" t="s">
        <v>27250</v>
      </c>
      <c r="M1344" t="s">
        <v>27251</v>
      </c>
      <c r="N1344" t="s">
        <v>27252</v>
      </c>
      <c r="Q1344" s="1">
        <v>44538</v>
      </c>
      <c r="R1344" t="s">
        <v>27253</v>
      </c>
      <c r="S1344" t="s">
        <v>27254</v>
      </c>
      <c r="T1344" t="s">
        <v>27255</v>
      </c>
    </row>
    <row r="1345" spans="1:20" x14ac:dyDescent="0.3">
      <c r="A1345" t="str">
        <f>"0611831682100"</f>
        <v>0611831682100</v>
      </c>
      <c r="B1345" t="str">
        <f>"LQ3793"</f>
        <v>LQ3793</v>
      </c>
      <c r="C1345" t="s">
        <v>29853</v>
      </c>
      <c r="D1345" t="s">
        <v>27245</v>
      </c>
      <c r="E1345" t="str">
        <f t="shared" si="20"/>
        <v>001390</v>
      </c>
      <c r="F1345" t="s">
        <v>27246</v>
      </c>
      <c r="G1345" t="s">
        <v>27247</v>
      </c>
      <c r="H1345" t="s">
        <v>27248</v>
      </c>
      <c r="I1345" t="s">
        <v>29854</v>
      </c>
      <c r="J1345" t="s">
        <v>2698</v>
      </c>
      <c r="L1345" t="s">
        <v>27250</v>
      </c>
      <c r="M1345" t="s">
        <v>27251</v>
      </c>
      <c r="N1345" t="s">
        <v>27252</v>
      </c>
      <c r="Q1345" s="1">
        <v>44538</v>
      </c>
      <c r="R1345" t="s">
        <v>27253</v>
      </c>
      <c r="S1345" t="s">
        <v>27254</v>
      </c>
      <c r="T1345" t="s">
        <v>27255</v>
      </c>
    </row>
    <row r="1346" spans="1:20" x14ac:dyDescent="0.3">
      <c r="A1346" t="str">
        <f>"0611831683100"</f>
        <v>0611831683100</v>
      </c>
      <c r="B1346" t="str">
        <f>"LK5998"</f>
        <v>LK5998</v>
      </c>
      <c r="C1346" t="s">
        <v>29855</v>
      </c>
      <c r="D1346" t="s">
        <v>27245</v>
      </c>
      <c r="E1346" t="str">
        <f t="shared" ref="E1346:E1409" si="21">"001390"</f>
        <v>001390</v>
      </c>
      <c r="F1346" t="s">
        <v>27246</v>
      </c>
      <c r="G1346" t="s">
        <v>27247</v>
      </c>
      <c r="H1346" t="s">
        <v>27248</v>
      </c>
      <c r="I1346" t="s">
        <v>29856</v>
      </c>
      <c r="J1346" t="s">
        <v>2700</v>
      </c>
      <c r="L1346" t="s">
        <v>27250</v>
      </c>
      <c r="M1346" t="s">
        <v>27251</v>
      </c>
      <c r="N1346" t="s">
        <v>27252</v>
      </c>
      <c r="Q1346" s="1">
        <v>44538</v>
      </c>
      <c r="R1346" t="s">
        <v>27253</v>
      </c>
      <c r="S1346" t="s">
        <v>27254</v>
      </c>
      <c r="T1346" t="s">
        <v>27255</v>
      </c>
    </row>
    <row r="1347" spans="1:20" x14ac:dyDescent="0.3">
      <c r="A1347" t="str">
        <f>"0611831684100"</f>
        <v>0611831684100</v>
      </c>
      <c r="B1347" t="str">
        <f>"LQ3511"</f>
        <v>LQ3511</v>
      </c>
      <c r="C1347" t="s">
        <v>29857</v>
      </c>
      <c r="D1347" t="s">
        <v>27245</v>
      </c>
      <c r="E1347" t="str">
        <f t="shared" si="21"/>
        <v>001390</v>
      </c>
      <c r="F1347" t="s">
        <v>27246</v>
      </c>
      <c r="G1347" t="s">
        <v>27247</v>
      </c>
      <c r="H1347" t="s">
        <v>27248</v>
      </c>
      <c r="I1347" t="s">
        <v>29858</v>
      </c>
      <c r="J1347" t="s">
        <v>2702</v>
      </c>
      <c r="L1347" t="s">
        <v>27250</v>
      </c>
      <c r="M1347" t="s">
        <v>27251</v>
      </c>
      <c r="N1347" t="s">
        <v>27252</v>
      </c>
      <c r="Q1347" s="1">
        <v>44538</v>
      </c>
      <c r="R1347" t="s">
        <v>27253</v>
      </c>
      <c r="S1347" t="s">
        <v>27254</v>
      </c>
      <c r="T1347" t="s">
        <v>27255</v>
      </c>
    </row>
    <row r="1348" spans="1:20" x14ac:dyDescent="0.3">
      <c r="A1348" t="str">
        <f>"0611860668050"</f>
        <v>0611860668050</v>
      </c>
      <c r="B1348" t="str">
        <f>"CR2051"</f>
        <v>CR2051</v>
      </c>
      <c r="C1348" t="s">
        <v>29859</v>
      </c>
      <c r="D1348" t="s">
        <v>27263</v>
      </c>
      <c r="E1348" t="str">
        <f t="shared" si="21"/>
        <v>001390</v>
      </c>
      <c r="F1348" t="s">
        <v>27246</v>
      </c>
      <c r="G1348" t="s">
        <v>27247</v>
      </c>
      <c r="H1348" t="s">
        <v>27248</v>
      </c>
      <c r="I1348" t="s">
        <v>29860</v>
      </c>
      <c r="J1348" t="s">
        <v>2704</v>
      </c>
      <c r="L1348" t="s">
        <v>27250</v>
      </c>
      <c r="M1348" t="s">
        <v>27251</v>
      </c>
      <c r="N1348" t="s">
        <v>27252</v>
      </c>
      <c r="Q1348" s="1">
        <v>44846</v>
      </c>
      <c r="R1348" t="s">
        <v>27253</v>
      </c>
      <c r="S1348" t="s">
        <v>27254</v>
      </c>
      <c r="T1348" t="s">
        <v>27265</v>
      </c>
    </row>
    <row r="1349" spans="1:20" x14ac:dyDescent="0.3">
      <c r="A1349" t="str">
        <f>"0611831686100"</f>
        <v>0611831686100</v>
      </c>
      <c r="B1349" t="str">
        <f>"LK6675"</f>
        <v>LK6675</v>
      </c>
      <c r="C1349" t="s">
        <v>29861</v>
      </c>
      <c r="D1349" t="s">
        <v>27245</v>
      </c>
      <c r="E1349" t="str">
        <f t="shared" si="21"/>
        <v>001390</v>
      </c>
      <c r="F1349" t="s">
        <v>27246</v>
      </c>
      <c r="G1349" t="s">
        <v>27247</v>
      </c>
      <c r="H1349" t="s">
        <v>27248</v>
      </c>
      <c r="I1349" t="s">
        <v>29862</v>
      </c>
      <c r="J1349" t="s">
        <v>2706</v>
      </c>
      <c r="L1349" t="s">
        <v>27250</v>
      </c>
      <c r="M1349" t="s">
        <v>27251</v>
      </c>
      <c r="N1349" t="s">
        <v>27252</v>
      </c>
      <c r="Q1349" s="1">
        <v>44538</v>
      </c>
      <c r="R1349" t="s">
        <v>27253</v>
      </c>
      <c r="S1349" t="s">
        <v>27254</v>
      </c>
      <c r="T1349" t="s">
        <v>27255</v>
      </c>
    </row>
    <row r="1350" spans="1:20" x14ac:dyDescent="0.3">
      <c r="A1350" t="str">
        <f>"0611831685100"</f>
        <v>0611831685100</v>
      </c>
      <c r="B1350" t="str">
        <f>"LK6676"</f>
        <v>LK6676</v>
      </c>
      <c r="C1350" t="s">
        <v>29863</v>
      </c>
      <c r="D1350" t="s">
        <v>27245</v>
      </c>
      <c r="E1350" t="str">
        <f t="shared" si="21"/>
        <v>001390</v>
      </c>
      <c r="F1350" t="s">
        <v>27246</v>
      </c>
      <c r="G1350" t="s">
        <v>27247</v>
      </c>
      <c r="H1350" t="s">
        <v>27248</v>
      </c>
      <c r="I1350" t="s">
        <v>29864</v>
      </c>
      <c r="J1350" t="s">
        <v>2708</v>
      </c>
      <c r="L1350" t="s">
        <v>27250</v>
      </c>
      <c r="M1350" t="s">
        <v>27251</v>
      </c>
      <c r="N1350" t="s">
        <v>27252</v>
      </c>
      <c r="Q1350" s="1">
        <v>44538</v>
      </c>
      <c r="R1350" t="s">
        <v>27253</v>
      </c>
      <c r="S1350" t="s">
        <v>27254</v>
      </c>
      <c r="T1350" t="s">
        <v>27255</v>
      </c>
    </row>
    <row r="1351" spans="1:20" x14ac:dyDescent="0.3">
      <c r="A1351" t="str">
        <f>"0611831689100"</f>
        <v>0611831689100</v>
      </c>
      <c r="B1351" t="str">
        <f>"LK6984"</f>
        <v>LK6984</v>
      </c>
      <c r="C1351" t="s">
        <v>29865</v>
      </c>
      <c r="D1351" t="s">
        <v>27245</v>
      </c>
      <c r="E1351" t="str">
        <f t="shared" si="21"/>
        <v>001390</v>
      </c>
      <c r="F1351" t="s">
        <v>27246</v>
      </c>
      <c r="G1351" t="s">
        <v>27247</v>
      </c>
      <c r="H1351" t="s">
        <v>27248</v>
      </c>
      <c r="I1351" t="s">
        <v>29866</v>
      </c>
      <c r="J1351" t="s">
        <v>2718</v>
      </c>
      <c r="L1351" t="s">
        <v>27250</v>
      </c>
      <c r="M1351" t="s">
        <v>27251</v>
      </c>
      <c r="N1351" t="s">
        <v>27252</v>
      </c>
      <c r="Q1351" s="1">
        <v>44538</v>
      </c>
      <c r="R1351" t="s">
        <v>27253</v>
      </c>
      <c r="S1351" t="s">
        <v>27254</v>
      </c>
      <c r="T1351" t="s">
        <v>27255</v>
      </c>
    </row>
    <row r="1352" spans="1:20" x14ac:dyDescent="0.3">
      <c r="A1352" t="str">
        <f>"0611831687100"</f>
        <v>0611831687100</v>
      </c>
      <c r="B1352" t="str">
        <f>"LK6678"</f>
        <v>LK6678</v>
      </c>
      <c r="C1352" t="s">
        <v>29867</v>
      </c>
      <c r="D1352" t="s">
        <v>27245</v>
      </c>
      <c r="E1352" t="str">
        <f t="shared" si="21"/>
        <v>001390</v>
      </c>
      <c r="F1352" t="s">
        <v>27246</v>
      </c>
      <c r="G1352" t="s">
        <v>27247</v>
      </c>
      <c r="H1352" t="s">
        <v>27248</v>
      </c>
      <c r="I1352" t="s">
        <v>29868</v>
      </c>
      <c r="J1352" t="s">
        <v>2712</v>
      </c>
      <c r="L1352" t="s">
        <v>27250</v>
      </c>
      <c r="M1352" t="s">
        <v>27251</v>
      </c>
      <c r="N1352" t="s">
        <v>27252</v>
      </c>
      <c r="Q1352" s="1">
        <v>44538</v>
      </c>
      <c r="R1352" t="s">
        <v>27253</v>
      </c>
      <c r="S1352" t="s">
        <v>27254</v>
      </c>
      <c r="T1352" t="s">
        <v>27255</v>
      </c>
    </row>
    <row r="1353" spans="1:20" x14ac:dyDescent="0.3">
      <c r="A1353" t="str">
        <f>"0611831688100"</f>
        <v>0611831688100</v>
      </c>
      <c r="B1353" t="str">
        <f>"LK6677"</f>
        <v>LK6677</v>
      </c>
      <c r="C1353" t="s">
        <v>29869</v>
      </c>
      <c r="D1353" t="s">
        <v>27245</v>
      </c>
      <c r="E1353" t="str">
        <f t="shared" si="21"/>
        <v>001390</v>
      </c>
      <c r="F1353" t="s">
        <v>27246</v>
      </c>
      <c r="G1353" t="s">
        <v>27247</v>
      </c>
      <c r="H1353" t="s">
        <v>27248</v>
      </c>
      <c r="I1353" t="s">
        <v>29870</v>
      </c>
      <c r="J1353" t="s">
        <v>2710</v>
      </c>
      <c r="L1353" t="s">
        <v>27250</v>
      </c>
      <c r="M1353" t="s">
        <v>27251</v>
      </c>
      <c r="N1353" t="s">
        <v>27252</v>
      </c>
      <c r="Q1353" s="1">
        <v>44538</v>
      </c>
      <c r="R1353" t="s">
        <v>27253</v>
      </c>
      <c r="S1353" t="s">
        <v>27254</v>
      </c>
      <c r="T1353" t="s">
        <v>27255</v>
      </c>
    </row>
    <row r="1354" spans="1:20" x14ac:dyDescent="0.3">
      <c r="A1354" t="str">
        <f>"0611831690100"</f>
        <v>0611831690100</v>
      </c>
      <c r="B1354" t="str">
        <f>"LK6679"</f>
        <v>LK6679</v>
      </c>
      <c r="C1354" t="s">
        <v>29871</v>
      </c>
      <c r="D1354" t="s">
        <v>27245</v>
      </c>
      <c r="E1354" t="str">
        <f t="shared" si="21"/>
        <v>001390</v>
      </c>
      <c r="F1354" t="s">
        <v>27246</v>
      </c>
      <c r="G1354" t="s">
        <v>27247</v>
      </c>
      <c r="H1354" t="s">
        <v>27248</v>
      </c>
      <c r="I1354" t="s">
        <v>29872</v>
      </c>
      <c r="J1354" t="s">
        <v>2714</v>
      </c>
      <c r="L1354" t="s">
        <v>27250</v>
      </c>
      <c r="M1354" t="s">
        <v>27251</v>
      </c>
      <c r="N1354" t="s">
        <v>27252</v>
      </c>
      <c r="Q1354" s="1">
        <v>44538</v>
      </c>
      <c r="R1354" t="s">
        <v>27253</v>
      </c>
      <c r="S1354" t="s">
        <v>27254</v>
      </c>
      <c r="T1354" t="s">
        <v>27255</v>
      </c>
    </row>
    <row r="1355" spans="1:20" x14ac:dyDescent="0.3">
      <c r="A1355" t="str">
        <f>"0611831691100"</f>
        <v>0611831691100</v>
      </c>
      <c r="B1355" t="str">
        <f>"LK6680"</f>
        <v>LK6680</v>
      </c>
      <c r="C1355" t="s">
        <v>29873</v>
      </c>
      <c r="D1355" t="s">
        <v>27245</v>
      </c>
      <c r="E1355" t="str">
        <f t="shared" si="21"/>
        <v>001390</v>
      </c>
      <c r="F1355" t="s">
        <v>27246</v>
      </c>
      <c r="G1355" t="s">
        <v>27247</v>
      </c>
      <c r="H1355" t="s">
        <v>27248</v>
      </c>
      <c r="I1355" t="s">
        <v>29874</v>
      </c>
      <c r="J1355" t="s">
        <v>2716</v>
      </c>
      <c r="L1355" t="s">
        <v>27250</v>
      </c>
      <c r="M1355" t="s">
        <v>27251</v>
      </c>
      <c r="N1355" t="s">
        <v>27252</v>
      </c>
      <c r="Q1355" s="1">
        <v>44538</v>
      </c>
      <c r="R1355" t="s">
        <v>27253</v>
      </c>
      <c r="S1355" t="s">
        <v>27254</v>
      </c>
      <c r="T1355" t="s">
        <v>27255</v>
      </c>
    </row>
    <row r="1356" spans="1:20" x14ac:dyDescent="0.3">
      <c r="A1356" t="str">
        <f>"0611831692100"</f>
        <v>0611831692100</v>
      </c>
      <c r="B1356" t="str">
        <f>"LK6681"</f>
        <v>LK6681</v>
      </c>
      <c r="C1356" t="s">
        <v>29875</v>
      </c>
      <c r="D1356" t="s">
        <v>27245</v>
      </c>
      <c r="E1356" t="str">
        <f t="shared" si="21"/>
        <v>001390</v>
      </c>
      <c r="F1356" t="s">
        <v>27246</v>
      </c>
      <c r="G1356" t="s">
        <v>27247</v>
      </c>
      <c r="H1356" t="s">
        <v>27248</v>
      </c>
      <c r="I1356" t="s">
        <v>29876</v>
      </c>
      <c r="J1356" t="s">
        <v>2718</v>
      </c>
      <c r="L1356" t="s">
        <v>27250</v>
      </c>
      <c r="M1356" t="s">
        <v>27251</v>
      </c>
      <c r="N1356" t="s">
        <v>27252</v>
      </c>
      <c r="Q1356" s="1">
        <v>44538</v>
      </c>
      <c r="R1356" t="s">
        <v>27253</v>
      </c>
      <c r="S1356" t="s">
        <v>27254</v>
      </c>
      <c r="T1356" t="s">
        <v>27255</v>
      </c>
    </row>
    <row r="1357" spans="1:20" x14ac:dyDescent="0.3">
      <c r="A1357" t="str">
        <f>"0611831693100"</f>
        <v>0611831693100</v>
      </c>
      <c r="B1357" t="str">
        <f>"LK6682"</f>
        <v>LK6682</v>
      </c>
      <c r="C1357" t="s">
        <v>29877</v>
      </c>
      <c r="D1357" t="s">
        <v>27245</v>
      </c>
      <c r="E1357" t="str">
        <f t="shared" si="21"/>
        <v>001390</v>
      </c>
      <c r="F1357" t="s">
        <v>27246</v>
      </c>
      <c r="G1357" t="s">
        <v>27247</v>
      </c>
      <c r="H1357" t="s">
        <v>27248</v>
      </c>
      <c r="I1357" t="s">
        <v>29878</v>
      </c>
      <c r="J1357" t="s">
        <v>2721</v>
      </c>
      <c r="L1357" t="s">
        <v>27250</v>
      </c>
      <c r="M1357" t="s">
        <v>27251</v>
      </c>
      <c r="N1357" t="s">
        <v>27252</v>
      </c>
      <c r="Q1357" s="1">
        <v>44538</v>
      </c>
      <c r="R1357" t="s">
        <v>27253</v>
      </c>
      <c r="S1357" t="s">
        <v>27254</v>
      </c>
      <c r="T1357" t="s">
        <v>27255</v>
      </c>
    </row>
    <row r="1358" spans="1:20" x14ac:dyDescent="0.3">
      <c r="A1358" t="str">
        <f>"0611831694100"</f>
        <v>0611831694100</v>
      </c>
      <c r="B1358" t="str">
        <f>"LK6985"</f>
        <v>LK6985</v>
      </c>
      <c r="C1358" t="s">
        <v>29879</v>
      </c>
      <c r="D1358" t="s">
        <v>27245</v>
      </c>
      <c r="E1358" t="str">
        <f t="shared" si="21"/>
        <v>001390</v>
      </c>
      <c r="F1358" t="s">
        <v>27246</v>
      </c>
      <c r="G1358" t="s">
        <v>27247</v>
      </c>
      <c r="H1358" t="s">
        <v>27248</v>
      </c>
      <c r="I1358" t="s">
        <v>29880</v>
      </c>
      <c r="J1358" t="s">
        <v>2723</v>
      </c>
      <c r="L1358" t="s">
        <v>27250</v>
      </c>
      <c r="M1358" t="s">
        <v>27251</v>
      </c>
      <c r="N1358" t="s">
        <v>27252</v>
      </c>
      <c r="Q1358" s="1">
        <v>44538</v>
      </c>
      <c r="R1358" t="s">
        <v>27253</v>
      </c>
      <c r="S1358" t="s">
        <v>27254</v>
      </c>
      <c r="T1358" t="s">
        <v>27255</v>
      </c>
    </row>
    <row r="1359" spans="1:20" x14ac:dyDescent="0.3">
      <c r="A1359" t="str">
        <f>"0611831695100"</f>
        <v>0611831695100</v>
      </c>
      <c r="B1359" t="str">
        <f>"LK6683"</f>
        <v>LK6683</v>
      </c>
      <c r="C1359" t="s">
        <v>29881</v>
      </c>
      <c r="D1359" t="s">
        <v>27245</v>
      </c>
      <c r="E1359" t="str">
        <f t="shared" si="21"/>
        <v>001390</v>
      </c>
      <c r="F1359" t="s">
        <v>27246</v>
      </c>
      <c r="G1359" t="s">
        <v>27247</v>
      </c>
      <c r="H1359" t="s">
        <v>27248</v>
      </c>
      <c r="I1359" t="s">
        <v>29882</v>
      </c>
      <c r="J1359" t="s">
        <v>2725</v>
      </c>
      <c r="L1359" t="s">
        <v>27250</v>
      </c>
      <c r="M1359" t="s">
        <v>27251</v>
      </c>
      <c r="N1359" t="s">
        <v>27252</v>
      </c>
      <c r="Q1359" s="1">
        <v>44538</v>
      </c>
      <c r="R1359" t="s">
        <v>27253</v>
      </c>
      <c r="S1359" t="s">
        <v>27254</v>
      </c>
      <c r="T1359" t="s">
        <v>27255</v>
      </c>
    </row>
    <row r="1360" spans="1:20" x14ac:dyDescent="0.3">
      <c r="A1360" t="str">
        <f>"0611831696100"</f>
        <v>0611831696100</v>
      </c>
      <c r="B1360" t="str">
        <f>"LK6563"</f>
        <v>LK6563</v>
      </c>
      <c r="C1360" t="s">
        <v>29883</v>
      </c>
      <c r="D1360" t="s">
        <v>27245</v>
      </c>
      <c r="E1360" t="str">
        <f t="shared" si="21"/>
        <v>001390</v>
      </c>
      <c r="F1360" t="s">
        <v>27246</v>
      </c>
      <c r="G1360" t="s">
        <v>27247</v>
      </c>
      <c r="H1360" t="s">
        <v>27248</v>
      </c>
      <c r="I1360" t="s">
        <v>29884</v>
      </c>
      <c r="J1360" t="s">
        <v>2727</v>
      </c>
      <c r="L1360" t="s">
        <v>27250</v>
      </c>
      <c r="M1360" t="s">
        <v>27251</v>
      </c>
      <c r="N1360" t="s">
        <v>27252</v>
      </c>
      <c r="Q1360" s="1">
        <v>44538</v>
      </c>
      <c r="R1360" t="s">
        <v>27253</v>
      </c>
      <c r="S1360" t="s">
        <v>27254</v>
      </c>
      <c r="T1360" t="s">
        <v>27255</v>
      </c>
    </row>
    <row r="1361" spans="1:20" x14ac:dyDescent="0.3">
      <c r="A1361" t="str">
        <f>"0611831697100"</f>
        <v>0611831697100</v>
      </c>
      <c r="B1361" t="str">
        <f>"LK6684"</f>
        <v>LK6684</v>
      </c>
      <c r="C1361" t="s">
        <v>29885</v>
      </c>
      <c r="D1361" t="s">
        <v>27245</v>
      </c>
      <c r="E1361" t="str">
        <f t="shared" si="21"/>
        <v>001390</v>
      </c>
      <c r="F1361" t="s">
        <v>27246</v>
      </c>
      <c r="G1361" t="s">
        <v>27247</v>
      </c>
      <c r="H1361" t="s">
        <v>27248</v>
      </c>
      <c r="I1361" t="s">
        <v>29886</v>
      </c>
      <c r="J1361" t="s">
        <v>2729</v>
      </c>
      <c r="L1361" t="s">
        <v>27250</v>
      </c>
      <c r="M1361" t="s">
        <v>27251</v>
      </c>
      <c r="N1361" t="s">
        <v>27252</v>
      </c>
      <c r="Q1361" s="1">
        <v>44538</v>
      </c>
      <c r="R1361" t="s">
        <v>27253</v>
      </c>
      <c r="S1361" t="s">
        <v>27254</v>
      </c>
      <c r="T1361" t="s">
        <v>27255</v>
      </c>
    </row>
    <row r="1362" spans="1:20" x14ac:dyDescent="0.3">
      <c r="A1362" t="str">
        <f>"0611831698100"</f>
        <v>0611831698100</v>
      </c>
      <c r="B1362" t="str">
        <f>"LK6685"</f>
        <v>LK6685</v>
      </c>
      <c r="C1362" t="s">
        <v>29887</v>
      </c>
      <c r="D1362" t="s">
        <v>27245</v>
      </c>
      <c r="E1362" t="str">
        <f t="shared" si="21"/>
        <v>001390</v>
      </c>
      <c r="F1362" t="s">
        <v>27246</v>
      </c>
      <c r="G1362" t="s">
        <v>27247</v>
      </c>
      <c r="H1362" t="s">
        <v>27248</v>
      </c>
      <c r="I1362" t="s">
        <v>29888</v>
      </c>
      <c r="J1362" t="s">
        <v>2731</v>
      </c>
      <c r="L1362" t="s">
        <v>27250</v>
      </c>
      <c r="M1362" t="s">
        <v>27251</v>
      </c>
      <c r="N1362" t="s">
        <v>27252</v>
      </c>
      <c r="Q1362" s="1">
        <v>44538</v>
      </c>
      <c r="R1362" t="s">
        <v>27253</v>
      </c>
      <c r="S1362" t="s">
        <v>27254</v>
      </c>
      <c r="T1362" t="s">
        <v>27255</v>
      </c>
    </row>
    <row r="1363" spans="1:20" x14ac:dyDescent="0.3">
      <c r="A1363" t="str">
        <f>"0611831699100"</f>
        <v>0611831699100</v>
      </c>
      <c r="B1363" t="str">
        <f>"LK3787"</f>
        <v>LK3787</v>
      </c>
      <c r="C1363" t="s">
        <v>29889</v>
      </c>
      <c r="D1363" t="s">
        <v>28138</v>
      </c>
      <c r="E1363" t="str">
        <f t="shared" si="21"/>
        <v>001390</v>
      </c>
      <c r="F1363" t="s">
        <v>27246</v>
      </c>
      <c r="G1363" t="s">
        <v>27247</v>
      </c>
      <c r="H1363" t="s">
        <v>27248</v>
      </c>
      <c r="I1363" t="s">
        <v>29890</v>
      </c>
      <c r="J1363" t="s">
        <v>2733</v>
      </c>
      <c r="L1363" t="s">
        <v>27250</v>
      </c>
      <c r="M1363" t="s">
        <v>27251</v>
      </c>
      <c r="N1363" t="s">
        <v>27252</v>
      </c>
      <c r="P1363" t="s">
        <v>27925</v>
      </c>
      <c r="Q1363" s="1">
        <v>44538</v>
      </c>
      <c r="R1363" t="s">
        <v>27253</v>
      </c>
      <c r="S1363" t="s">
        <v>27254</v>
      </c>
      <c r="T1363" t="s">
        <v>27255</v>
      </c>
    </row>
    <row r="1364" spans="1:20" x14ac:dyDescent="0.3">
      <c r="A1364" t="str">
        <f>"0611831700100"</f>
        <v>0611831700100</v>
      </c>
      <c r="B1364" t="str">
        <f>"LK3788"</f>
        <v>LK3788</v>
      </c>
      <c r="C1364" t="s">
        <v>29891</v>
      </c>
      <c r="D1364" t="s">
        <v>28138</v>
      </c>
      <c r="E1364" t="str">
        <f t="shared" si="21"/>
        <v>001390</v>
      </c>
      <c r="F1364" t="s">
        <v>27246</v>
      </c>
      <c r="G1364" t="s">
        <v>27247</v>
      </c>
      <c r="H1364" t="s">
        <v>27248</v>
      </c>
      <c r="I1364" t="s">
        <v>29892</v>
      </c>
      <c r="J1364" t="s">
        <v>2735</v>
      </c>
      <c r="L1364" t="s">
        <v>27250</v>
      </c>
      <c r="M1364" t="s">
        <v>27251</v>
      </c>
      <c r="N1364" t="s">
        <v>27252</v>
      </c>
      <c r="P1364" t="s">
        <v>27925</v>
      </c>
      <c r="Q1364" s="1">
        <v>44538</v>
      </c>
      <c r="R1364" t="s">
        <v>27253</v>
      </c>
      <c r="S1364" t="s">
        <v>27254</v>
      </c>
      <c r="T1364" t="s">
        <v>27255</v>
      </c>
    </row>
    <row r="1365" spans="1:20" x14ac:dyDescent="0.3">
      <c r="A1365" t="str">
        <f>"0611831701100"</f>
        <v>0611831701100</v>
      </c>
      <c r="B1365" t="str">
        <f>"LK3789"</f>
        <v>LK3789</v>
      </c>
      <c r="C1365" t="s">
        <v>29893</v>
      </c>
      <c r="D1365" t="s">
        <v>28138</v>
      </c>
      <c r="E1365" t="str">
        <f t="shared" si="21"/>
        <v>001390</v>
      </c>
      <c r="F1365" t="s">
        <v>27246</v>
      </c>
      <c r="G1365" t="s">
        <v>27247</v>
      </c>
      <c r="H1365" t="s">
        <v>27248</v>
      </c>
      <c r="I1365" t="s">
        <v>29894</v>
      </c>
      <c r="J1365" t="s">
        <v>2737</v>
      </c>
      <c r="L1365" t="s">
        <v>27250</v>
      </c>
      <c r="M1365" t="s">
        <v>27251</v>
      </c>
      <c r="N1365" t="s">
        <v>27252</v>
      </c>
      <c r="P1365" t="s">
        <v>27925</v>
      </c>
      <c r="Q1365" s="1">
        <v>44538</v>
      </c>
      <c r="R1365" t="s">
        <v>27253</v>
      </c>
      <c r="S1365" t="s">
        <v>27254</v>
      </c>
      <c r="T1365" t="s">
        <v>27255</v>
      </c>
    </row>
    <row r="1366" spans="1:20" x14ac:dyDescent="0.3">
      <c r="A1366" t="str">
        <f>"0611831702100"</f>
        <v>0611831702100</v>
      </c>
      <c r="B1366" t="str">
        <f>"LK3790"</f>
        <v>LK3790</v>
      </c>
      <c r="C1366" t="s">
        <v>29895</v>
      </c>
      <c r="D1366" t="s">
        <v>28138</v>
      </c>
      <c r="E1366" t="str">
        <f t="shared" si="21"/>
        <v>001390</v>
      </c>
      <c r="F1366" t="s">
        <v>27246</v>
      </c>
      <c r="G1366" t="s">
        <v>27247</v>
      </c>
      <c r="H1366" t="s">
        <v>27248</v>
      </c>
      <c r="I1366" t="s">
        <v>29896</v>
      </c>
      <c r="J1366" t="s">
        <v>2739</v>
      </c>
      <c r="L1366" t="s">
        <v>27250</v>
      </c>
      <c r="M1366" t="s">
        <v>27251</v>
      </c>
      <c r="N1366" t="s">
        <v>27252</v>
      </c>
      <c r="P1366" t="s">
        <v>27925</v>
      </c>
      <c r="Q1366" s="1">
        <v>44538</v>
      </c>
      <c r="R1366" t="s">
        <v>27253</v>
      </c>
      <c r="S1366" t="s">
        <v>27254</v>
      </c>
      <c r="T1366" t="s">
        <v>27255</v>
      </c>
    </row>
    <row r="1367" spans="1:20" x14ac:dyDescent="0.3">
      <c r="A1367" t="str">
        <f>"0611831703100"</f>
        <v>0611831703100</v>
      </c>
      <c r="B1367" t="str">
        <f>"LQ3489"</f>
        <v>LQ3489</v>
      </c>
      <c r="C1367" t="s">
        <v>29897</v>
      </c>
      <c r="D1367" t="s">
        <v>27245</v>
      </c>
      <c r="E1367" t="str">
        <f t="shared" si="21"/>
        <v>001390</v>
      </c>
      <c r="F1367" t="s">
        <v>27246</v>
      </c>
      <c r="G1367" t="s">
        <v>27247</v>
      </c>
      <c r="H1367" t="s">
        <v>27248</v>
      </c>
      <c r="I1367" t="s">
        <v>29898</v>
      </c>
      <c r="J1367" t="s">
        <v>2741</v>
      </c>
      <c r="L1367" t="s">
        <v>27250</v>
      </c>
      <c r="M1367" t="s">
        <v>27251</v>
      </c>
      <c r="N1367" t="s">
        <v>27252</v>
      </c>
      <c r="Q1367" s="1">
        <v>44538</v>
      </c>
      <c r="R1367" t="s">
        <v>27253</v>
      </c>
      <c r="S1367" t="s">
        <v>27254</v>
      </c>
      <c r="T1367" t="s">
        <v>27255</v>
      </c>
    </row>
    <row r="1368" spans="1:20" x14ac:dyDescent="0.3">
      <c r="A1368" t="str">
        <f>"0611831704100"</f>
        <v>0611831704100</v>
      </c>
      <c r="B1368" t="str">
        <f>"LQ3786"</f>
        <v>LQ3786</v>
      </c>
      <c r="C1368" t="s">
        <v>29899</v>
      </c>
      <c r="D1368" t="s">
        <v>27245</v>
      </c>
      <c r="E1368" t="str">
        <f t="shared" si="21"/>
        <v>001390</v>
      </c>
      <c r="F1368" t="s">
        <v>27246</v>
      </c>
      <c r="G1368" t="s">
        <v>27247</v>
      </c>
      <c r="H1368" t="s">
        <v>27248</v>
      </c>
      <c r="I1368" t="s">
        <v>29900</v>
      </c>
      <c r="J1368" t="s">
        <v>2743</v>
      </c>
      <c r="L1368" t="s">
        <v>27250</v>
      </c>
      <c r="M1368" t="s">
        <v>27251</v>
      </c>
      <c r="N1368" t="s">
        <v>27252</v>
      </c>
      <c r="Q1368" s="1">
        <v>44538</v>
      </c>
      <c r="R1368" t="s">
        <v>27253</v>
      </c>
      <c r="S1368" t="s">
        <v>27254</v>
      </c>
      <c r="T1368" t="s">
        <v>27255</v>
      </c>
    </row>
    <row r="1369" spans="1:20" x14ac:dyDescent="0.3">
      <c r="A1369" t="str">
        <f>"0611831705100"</f>
        <v>0611831705100</v>
      </c>
      <c r="B1369" t="str">
        <f>"LQ0629"</f>
        <v>LQ0629</v>
      </c>
      <c r="C1369" t="s">
        <v>29901</v>
      </c>
      <c r="D1369" t="s">
        <v>27245</v>
      </c>
      <c r="E1369" t="str">
        <f t="shared" si="21"/>
        <v>001390</v>
      </c>
      <c r="F1369" t="s">
        <v>27246</v>
      </c>
      <c r="G1369" t="s">
        <v>27247</v>
      </c>
      <c r="H1369" t="s">
        <v>27248</v>
      </c>
      <c r="I1369" t="s">
        <v>29902</v>
      </c>
      <c r="J1369" t="s">
        <v>2745</v>
      </c>
      <c r="L1369" t="s">
        <v>27250</v>
      </c>
      <c r="M1369" t="s">
        <v>27251</v>
      </c>
      <c r="N1369" t="s">
        <v>27252</v>
      </c>
      <c r="Q1369" s="1">
        <v>44538</v>
      </c>
      <c r="R1369" t="s">
        <v>27253</v>
      </c>
      <c r="S1369" t="s">
        <v>27254</v>
      </c>
      <c r="T1369" t="s">
        <v>27255</v>
      </c>
    </row>
    <row r="1370" spans="1:20" x14ac:dyDescent="0.3">
      <c r="A1370" t="str">
        <f>"0611856839100"</f>
        <v>0611856839100</v>
      </c>
      <c r="B1370" t="str">
        <f>"LQ3868"</f>
        <v>LQ3868</v>
      </c>
      <c r="C1370" t="s">
        <v>29903</v>
      </c>
      <c r="D1370" t="s">
        <v>27245</v>
      </c>
      <c r="E1370" t="str">
        <f t="shared" si="21"/>
        <v>001390</v>
      </c>
      <c r="F1370" t="s">
        <v>27246</v>
      </c>
      <c r="G1370" t="s">
        <v>27247</v>
      </c>
      <c r="H1370" t="s">
        <v>27248</v>
      </c>
      <c r="I1370" t="s">
        <v>29904</v>
      </c>
      <c r="J1370" t="s">
        <v>2747</v>
      </c>
      <c r="L1370" t="s">
        <v>27250</v>
      </c>
      <c r="M1370" t="s">
        <v>27251</v>
      </c>
      <c r="N1370" t="s">
        <v>27252</v>
      </c>
      <c r="Q1370" s="1">
        <v>44812</v>
      </c>
      <c r="R1370" t="s">
        <v>27253</v>
      </c>
      <c r="S1370" t="s">
        <v>27254</v>
      </c>
      <c r="T1370" t="s">
        <v>27255</v>
      </c>
    </row>
    <row r="1371" spans="1:20" x14ac:dyDescent="0.3">
      <c r="A1371" t="str">
        <f>"0611831706100"</f>
        <v>0611831706100</v>
      </c>
      <c r="B1371" t="str">
        <f>"LQ5596"</f>
        <v>LQ5596</v>
      </c>
      <c r="C1371" t="s">
        <v>29905</v>
      </c>
      <c r="D1371" t="s">
        <v>27245</v>
      </c>
      <c r="E1371" t="str">
        <f t="shared" si="21"/>
        <v>001390</v>
      </c>
      <c r="F1371" t="s">
        <v>27246</v>
      </c>
      <c r="G1371" t="s">
        <v>27247</v>
      </c>
      <c r="H1371" t="s">
        <v>27248</v>
      </c>
      <c r="I1371" t="s">
        <v>29906</v>
      </c>
      <c r="J1371" t="s">
        <v>29907</v>
      </c>
      <c r="L1371" t="s">
        <v>27250</v>
      </c>
      <c r="M1371" t="s">
        <v>27251</v>
      </c>
      <c r="N1371" t="s">
        <v>27252</v>
      </c>
      <c r="Q1371" s="1">
        <v>44538</v>
      </c>
      <c r="R1371" t="s">
        <v>27253</v>
      </c>
      <c r="S1371" t="s">
        <v>27254</v>
      </c>
      <c r="T1371" t="s">
        <v>27255</v>
      </c>
    </row>
    <row r="1372" spans="1:20" x14ac:dyDescent="0.3">
      <c r="A1372" t="str">
        <f>"0611831707100"</f>
        <v>0611831707100</v>
      </c>
      <c r="B1372" t="str">
        <f>"LQ3741"</f>
        <v>LQ3741</v>
      </c>
      <c r="C1372" t="s">
        <v>29908</v>
      </c>
      <c r="D1372" t="s">
        <v>27245</v>
      </c>
      <c r="E1372" t="str">
        <f t="shared" si="21"/>
        <v>001390</v>
      </c>
      <c r="F1372" t="s">
        <v>27246</v>
      </c>
      <c r="G1372" t="s">
        <v>27247</v>
      </c>
      <c r="H1372" t="s">
        <v>27248</v>
      </c>
      <c r="I1372" t="s">
        <v>29909</v>
      </c>
      <c r="J1372" t="s">
        <v>2751</v>
      </c>
      <c r="L1372" t="s">
        <v>27250</v>
      </c>
      <c r="M1372" t="s">
        <v>27251</v>
      </c>
      <c r="N1372" t="s">
        <v>27252</v>
      </c>
      <c r="Q1372" s="1">
        <v>44538</v>
      </c>
      <c r="R1372" t="s">
        <v>27253</v>
      </c>
      <c r="S1372" t="s">
        <v>27254</v>
      </c>
      <c r="T1372" t="s">
        <v>27255</v>
      </c>
    </row>
    <row r="1373" spans="1:20" x14ac:dyDescent="0.3">
      <c r="A1373" t="str">
        <f>"0611831708100"</f>
        <v>0611831708100</v>
      </c>
      <c r="B1373" t="str">
        <f>"LQ0631"</f>
        <v>LQ0631</v>
      </c>
      <c r="C1373" t="s">
        <v>29910</v>
      </c>
      <c r="D1373" t="s">
        <v>27245</v>
      </c>
      <c r="E1373" t="str">
        <f t="shared" si="21"/>
        <v>001390</v>
      </c>
      <c r="F1373" t="s">
        <v>27246</v>
      </c>
      <c r="G1373" t="s">
        <v>27247</v>
      </c>
      <c r="H1373" t="s">
        <v>27248</v>
      </c>
      <c r="I1373" t="s">
        <v>29911</v>
      </c>
      <c r="J1373" t="s">
        <v>2753</v>
      </c>
      <c r="L1373" t="s">
        <v>27250</v>
      </c>
      <c r="M1373" t="s">
        <v>27251</v>
      </c>
      <c r="N1373" t="s">
        <v>27252</v>
      </c>
      <c r="Q1373" s="1">
        <v>44538</v>
      </c>
      <c r="R1373" t="s">
        <v>27253</v>
      </c>
      <c r="S1373" t="s">
        <v>27254</v>
      </c>
      <c r="T1373" t="s">
        <v>27255</v>
      </c>
    </row>
    <row r="1374" spans="1:20" x14ac:dyDescent="0.3">
      <c r="A1374" t="str">
        <f>"0611831709100"</f>
        <v>0611831709100</v>
      </c>
      <c r="B1374" t="str">
        <f>"LQ3742"</f>
        <v>LQ3742</v>
      </c>
      <c r="C1374" t="s">
        <v>29912</v>
      </c>
      <c r="D1374" t="s">
        <v>27245</v>
      </c>
      <c r="E1374" t="str">
        <f t="shared" si="21"/>
        <v>001390</v>
      </c>
      <c r="F1374" t="s">
        <v>27246</v>
      </c>
      <c r="G1374" t="s">
        <v>27247</v>
      </c>
      <c r="H1374" t="s">
        <v>27248</v>
      </c>
      <c r="I1374" t="s">
        <v>29913</v>
      </c>
      <c r="J1374" t="s">
        <v>2755</v>
      </c>
      <c r="L1374" t="s">
        <v>27250</v>
      </c>
      <c r="M1374" t="s">
        <v>27251</v>
      </c>
      <c r="N1374" t="s">
        <v>27252</v>
      </c>
      <c r="Q1374" s="1">
        <v>44538</v>
      </c>
      <c r="R1374" t="s">
        <v>27253</v>
      </c>
      <c r="S1374" t="s">
        <v>27254</v>
      </c>
      <c r="T1374" t="s">
        <v>27255</v>
      </c>
    </row>
    <row r="1375" spans="1:20" x14ac:dyDescent="0.3">
      <c r="A1375" t="str">
        <f>"0611831710100"</f>
        <v>0611831710100</v>
      </c>
      <c r="B1375" t="str">
        <f>"MB0810"</f>
        <v>MB0810</v>
      </c>
      <c r="C1375" t="s">
        <v>29914</v>
      </c>
      <c r="D1375" t="s">
        <v>27274</v>
      </c>
      <c r="E1375" t="str">
        <f t="shared" si="21"/>
        <v>001390</v>
      </c>
      <c r="F1375" t="s">
        <v>27246</v>
      </c>
      <c r="G1375" t="s">
        <v>27247</v>
      </c>
      <c r="H1375" t="s">
        <v>27248</v>
      </c>
      <c r="I1375" t="s">
        <v>29915</v>
      </c>
      <c r="J1375" t="s">
        <v>2757</v>
      </c>
      <c r="L1375" t="s">
        <v>27250</v>
      </c>
      <c r="M1375" t="s">
        <v>27251</v>
      </c>
      <c r="N1375" t="s">
        <v>27252</v>
      </c>
      <c r="Q1375" s="1">
        <v>44538</v>
      </c>
      <c r="R1375" t="s">
        <v>27253</v>
      </c>
      <c r="S1375" t="s">
        <v>27254</v>
      </c>
      <c r="T1375" t="s">
        <v>27276</v>
      </c>
    </row>
    <row r="1376" spans="1:20" x14ac:dyDescent="0.3">
      <c r="A1376" t="str">
        <f>"0611831712100"</f>
        <v>0611831712100</v>
      </c>
      <c r="B1376" t="str">
        <f>"LB1215"</f>
        <v>LB1215</v>
      </c>
      <c r="C1376" t="s">
        <v>29916</v>
      </c>
      <c r="D1376" t="s">
        <v>27245</v>
      </c>
      <c r="E1376" t="str">
        <f t="shared" si="21"/>
        <v>001390</v>
      </c>
      <c r="F1376" t="s">
        <v>27246</v>
      </c>
      <c r="G1376" t="s">
        <v>27247</v>
      </c>
      <c r="H1376" t="s">
        <v>27248</v>
      </c>
      <c r="I1376" t="s">
        <v>29917</v>
      </c>
      <c r="J1376" t="s">
        <v>2759</v>
      </c>
      <c r="L1376" t="s">
        <v>27250</v>
      </c>
      <c r="M1376" t="s">
        <v>27251</v>
      </c>
      <c r="N1376" t="s">
        <v>27252</v>
      </c>
      <c r="Q1376" s="1">
        <v>44538</v>
      </c>
      <c r="R1376" t="s">
        <v>27253</v>
      </c>
      <c r="S1376" t="s">
        <v>27254</v>
      </c>
      <c r="T1376" t="s">
        <v>27255</v>
      </c>
    </row>
    <row r="1377" spans="1:20" x14ac:dyDescent="0.3">
      <c r="A1377" t="str">
        <f>"0611831711100"</f>
        <v>0611831711100</v>
      </c>
      <c r="B1377" t="str">
        <f>"LS0010"</f>
        <v>LS0010</v>
      </c>
      <c r="C1377" t="s">
        <v>29918</v>
      </c>
      <c r="D1377" t="s">
        <v>27245</v>
      </c>
      <c r="E1377" t="str">
        <f t="shared" si="21"/>
        <v>001390</v>
      </c>
      <c r="F1377" t="s">
        <v>27246</v>
      </c>
      <c r="G1377" t="s">
        <v>27247</v>
      </c>
      <c r="H1377" t="s">
        <v>27248</v>
      </c>
      <c r="I1377" t="s">
        <v>29919</v>
      </c>
      <c r="J1377" t="s">
        <v>2761</v>
      </c>
      <c r="L1377" t="s">
        <v>27250</v>
      </c>
      <c r="M1377" t="s">
        <v>27251</v>
      </c>
      <c r="N1377" t="s">
        <v>27252</v>
      </c>
      <c r="Q1377" s="1">
        <v>44538</v>
      </c>
      <c r="R1377" t="s">
        <v>27253</v>
      </c>
      <c r="S1377" t="s">
        <v>27254</v>
      </c>
      <c r="T1377" t="s">
        <v>27255</v>
      </c>
    </row>
    <row r="1378" spans="1:20" x14ac:dyDescent="0.3">
      <c r="A1378" t="str">
        <f>"0611831713100"</f>
        <v>0611831713100</v>
      </c>
      <c r="B1378" t="str">
        <f>"LK4919"</f>
        <v>LK4919</v>
      </c>
      <c r="C1378" t="s">
        <v>29920</v>
      </c>
      <c r="D1378" t="s">
        <v>27245</v>
      </c>
      <c r="E1378" t="str">
        <f t="shared" si="21"/>
        <v>001390</v>
      </c>
      <c r="F1378" t="s">
        <v>27246</v>
      </c>
      <c r="G1378" t="s">
        <v>27247</v>
      </c>
      <c r="H1378" t="s">
        <v>27248</v>
      </c>
      <c r="I1378" t="s">
        <v>29921</v>
      </c>
      <c r="J1378" t="s">
        <v>2763</v>
      </c>
      <c r="L1378" t="s">
        <v>27250</v>
      </c>
      <c r="M1378" t="s">
        <v>27251</v>
      </c>
      <c r="N1378" t="s">
        <v>27252</v>
      </c>
      <c r="Q1378" s="1">
        <v>44538</v>
      </c>
      <c r="R1378" t="s">
        <v>27253</v>
      </c>
      <c r="S1378" t="s">
        <v>27254</v>
      </c>
      <c r="T1378" t="s">
        <v>27255</v>
      </c>
    </row>
    <row r="1379" spans="1:20" x14ac:dyDescent="0.3">
      <c r="A1379" t="str">
        <f>"0611831714100"</f>
        <v>0611831714100</v>
      </c>
      <c r="B1379" t="str">
        <f>"LK4921"</f>
        <v>LK4921</v>
      </c>
      <c r="C1379" t="s">
        <v>29922</v>
      </c>
      <c r="D1379" t="s">
        <v>27245</v>
      </c>
      <c r="E1379" t="str">
        <f t="shared" si="21"/>
        <v>001390</v>
      </c>
      <c r="F1379" t="s">
        <v>27246</v>
      </c>
      <c r="G1379" t="s">
        <v>27247</v>
      </c>
      <c r="H1379" t="s">
        <v>27248</v>
      </c>
      <c r="I1379" t="s">
        <v>29923</v>
      </c>
      <c r="J1379" t="s">
        <v>2765</v>
      </c>
      <c r="L1379" t="s">
        <v>27250</v>
      </c>
      <c r="M1379" t="s">
        <v>27251</v>
      </c>
      <c r="N1379" t="s">
        <v>27252</v>
      </c>
      <c r="Q1379" s="1">
        <v>44538</v>
      </c>
      <c r="R1379" t="s">
        <v>27253</v>
      </c>
      <c r="S1379" t="s">
        <v>27254</v>
      </c>
      <c r="T1379" t="s">
        <v>27255</v>
      </c>
    </row>
    <row r="1380" spans="1:20" x14ac:dyDescent="0.3">
      <c r="A1380" t="str">
        <f>"0611831715100"</f>
        <v>0611831715100</v>
      </c>
      <c r="B1380" t="str">
        <f>"LK4920"</f>
        <v>LK4920</v>
      </c>
      <c r="C1380" t="s">
        <v>29924</v>
      </c>
      <c r="D1380" t="s">
        <v>27245</v>
      </c>
      <c r="E1380" t="str">
        <f t="shared" si="21"/>
        <v>001390</v>
      </c>
      <c r="F1380" t="s">
        <v>27246</v>
      </c>
      <c r="G1380" t="s">
        <v>27247</v>
      </c>
      <c r="H1380" t="s">
        <v>27248</v>
      </c>
      <c r="I1380" t="s">
        <v>29925</v>
      </c>
      <c r="J1380" t="s">
        <v>2767</v>
      </c>
      <c r="L1380" t="s">
        <v>27250</v>
      </c>
      <c r="M1380" t="s">
        <v>27251</v>
      </c>
      <c r="N1380" t="s">
        <v>27252</v>
      </c>
      <c r="Q1380" s="1">
        <v>44538</v>
      </c>
      <c r="R1380" t="s">
        <v>27253</v>
      </c>
      <c r="S1380" t="s">
        <v>27254</v>
      </c>
      <c r="T1380" t="s">
        <v>27255</v>
      </c>
    </row>
    <row r="1381" spans="1:20" x14ac:dyDescent="0.3">
      <c r="A1381" t="str">
        <f>"0611831716100"</f>
        <v>0611831716100</v>
      </c>
      <c r="B1381" t="str">
        <f>"LK4922"</f>
        <v>LK4922</v>
      </c>
      <c r="C1381" t="s">
        <v>29926</v>
      </c>
      <c r="D1381" t="s">
        <v>27245</v>
      </c>
      <c r="E1381" t="str">
        <f t="shared" si="21"/>
        <v>001390</v>
      </c>
      <c r="F1381" t="s">
        <v>27246</v>
      </c>
      <c r="G1381" t="s">
        <v>27247</v>
      </c>
      <c r="H1381" t="s">
        <v>27248</v>
      </c>
      <c r="I1381" t="s">
        <v>29927</v>
      </c>
      <c r="J1381" t="s">
        <v>2769</v>
      </c>
      <c r="L1381" t="s">
        <v>27250</v>
      </c>
      <c r="M1381" t="s">
        <v>27251</v>
      </c>
      <c r="N1381" t="s">
        <v>27252</v>
      </c>
      <c r="Q1381" s="1">
        <v>44538</v>
      </c>
      <c r="R1381" t="s">
        <v>27253</v>
      </c>
      <c r="S1381" t="s">
        <v>27254</v>
      </c>
      <c r="T1381" t="s">
        <v>27255</v>
      </c>
    </row>
    <row r="1382" spans="1:20" x14ac:dyDescent="0.3">
      <c r="A1382" t="str">
        <f>"0611831720100"</f>
        <v>0611831720100</v>
      </c>
      <c r="B1382" t="str">
        <f>"LB1225"</f>
        <v>LB1225</v>
      </c>
      <c r="C1382" t="s">
        <v>29928</v>
      </c>
      <c r="D1382" t="s">
        <v>27245</v>
      </c>
      <c r="E1382" t="str">
        <f t="shared" si="21"/>
        <v>001390</v>
      </c>
      <c r="F1382" t="s">
        <v>27246</v>
      </c>
      <c r="G1382" t="s">
        <v>27247</v>
      </c>
      <c r="H1382" t="s">
        <v>27248</v>
      </c>
      <c r="I1382" t="s">
        <v>29929</v>
      </c>
      <c r="J1382" t="s">
        <v>2771</v>
      </c>
      <c r="L1382" t="s">
        <v>27250</v>
      </c>
      <c r="M1382" t="s">
        <v>27251</v>
      </c>
      <c r="N1382" t="s">
        <v>27252</v>
      </c>
      <c r="Q1382" s="1">
        <v>44538</v>
      </c>
      <c r="R1382" t="s">
        <v>27253</v>
      </c>
      <c r="S1382" t="s">
        <v>27254</v>
      </c>
      <c r="T1382" t="s">
        <v>27255</v>
      </c>
    </row>
    <row r="1383" spans="1:20" x14ac:dyDescent="0.3">
      <c r="A1383" t="str">
        <f>"0611831721100"</f>
        <v>0611831721100</v>
      </c>
      <c r="B1383" t="str">
        <f>"LQ3681"</f>
        <v>LQ3681</v>
      </c>
      <c r="C1383" t="s">
        <v>29930</v>
      </c>
      <c r="D1383" t="s">
        <v>27245</v>
      </c>
      <c r="E1383" t="str">
        <f t="shared" si="21"/>
        <v>001390</v>
      </c>
      <c r="F1383" t="s">
        <v>27246</v>
      </c>
      <c r="G1383" t="s">
        <v>27247</v>
      </c>
      <c r="H1383" t="s">
        <v>27248</v>
      </c>
      <c r="I1383" t="s">
        <v>29931</v>
      </c>
      <c r="J1383" t="s">
        <v>2773</v>
      </c>
      <c r="L1383" t="s">
        <v>27250</v>
      </c>
      <c r="M1383" t="s">
        <v>27251</v>
      </c>
      <c r="N1383" t="s">
        <v>27252</v>
      </c>
      <c r="Q1383" s="1">
        <v>44538</v>
      </c>
      <c r="R1383" t="s">
        <v>27253</v>
      </c>
      <c r="S1383" t="s">
        <v>27254</v>
      </c>
      <c r="T1383" t="s">
        <v>27255</v>
      </c>
    </row>
    <row r="1384" spans="1:20" x14ac:dyDescent="0.3">
      <c r="A1384" t="str">
        <f>"0611831724025"</f>
        <v>0611831724025</v>
      </c>
      <c r="B1384" t="str">
        <f>"MC3686"</f>
        <v>MC3686</v>
      </c>
      <c r="C1384" t="s">
        <v>29932</v>
      </c>
      <c r="D1384" t="s">
        <v>27267</v>
      </c>
      <c r="E1384" t="str">
        <f t="shared" si="21"/>
        <v>001390</v>
      </c>
      <c r="F1384" t="s">
        <v>27246</v>
      </c>
      <c r="G1384" t="s">
        <v>27247</v>
      </c>
      <c r="H1384" t="s">
        <v>27248</v>
      </c>
      <c r="I1384" t="s">
        <v>29933</v>
      </c>
      <c r="J1384" t="s">
        <v>2775</v>
      </c>
      <c r="L1384" t="s">
        <v>27250</v>
      </c>
      <c r="M1384" t="s">
        <v>27251</v>
      </c>
      <c r="N1384" t="s">
        <v>27252</v>
      </c>
      <c r="Q1384" s="1">
        <v>44538</v>
      </c>
      <c r="R1384" t="s">
        <v>27253</v>
      </c>
      <c r="S1384" t="s">
        <v>27254</v>
      </c>
      <c r="T1384" t="s">
        <v>27269</v>
      </c>
    </row>
    <row r="1385" spans="1:20" x14ac:dyDescent="0.3">
      <c r="A1385" t="str">
        <f>"0611831725025"</f>
        <v>0611831725025</v>
      </c>
      <c r="B1385" t="str">
        <f>"MC4321"</f>
        <v>MC4321</v>
      </c>
      <c r="C1385" t="s">
        <v>29934</v>
      </c>
      <c r="D1385" t="s">
        <v>28057</v>
      </c>
      <c r="E1385" t="str">
        <f t="shared" si="21"/>
        <v>001390</v>
      </c>
      <c r="F1385" t="s">
        <v>27246</v>
      </c>
      <c r="G1385" t="s">
        <v>27247</v>
      </c>
      <c r="H1385" t="s">
        <v>27248</v>
      </c>
      <c r="I1385" t="s">
        <v>29935</v>
      </c>
      <c r="J1385" t="s">
        <v>2777</v>
      </c>
      <c r="L1385" t="s">
        <v>27250</v>
      </c>
      <c r="M1385" t="s">
        <v>27251</v>
      </c>
      <c r="N1385" t="s">
        <v>27252</v>
      </c>
      <c r="P1385" t="s">
        <v>27925</v>
      </c>
      <c r="Q1385" s="1">
        <v>44538</v>
      </c>
      <c r="R1385" t="s">
        <v>27253</v>
      </c>
      <c r="S1385" t="s">
        <v>27254</v>
      </c>
      <c r="T1385" t="s">
        <v>27269</v>
      </c>
    </row>
    <row r="1386" spans="1:20" x14ac:dyDescent="0.3">
      <c r="A1386" t="str">
        <f>"0611831726025"</f>
        <v>0611831726025</v>
      </c>
      <c r="B1386" t="str">
        <f>"MC4322"</f>
        <v>MC4322</v>
      </c>
      <c r="C1386" t="s">
        <v>29936</v>
      </c>
      <c r="D1386" t="s">
        <v>28057</v>
      </c>
      <c r="E1386" t="str">
        <f t="shared" si="21"/>
        <v>001390</v>
      </c>
      <c r="F1386" t="s">
        <v>27246</v>
      </c>
      <c r="G1386" t="s">
        <v>27247</v>
      </c>
      <c r="H1386" t="s">
        <v>27248</v>
      </c>
      <c r="I1386" t="s">
        <v>29937</v>
      </c>
      <c r="J1386" t="s">
        <v>2779</v>
      </c>
      <c r="L1386" t="s">
        <v>27250</v>
      </c>
      <c r="M1386" t="s">
        <v>27251</v>
      </c>
      <c r="N1386" t="s">
        <v>27252</v>
      </c>
      <c r="P1386" t="s">
        <v>27925</v>
      </c>
      <c r="Q1386" s="1">
        <v>44538</v>
      </c>
      <c r="R1386" t="s">
        <v>27253</v>
      </c>
      <c r="S1386" t="s">
        <v>27254</v>
      </c>
      <c r="T1386" t="s">
        <v>27269</v>
      </c>
    </row>
    <row r="1387" spans="1:20" x14ac:dyDescent="0.3">
      <c r="A1387" t="str">
        <f>"0611831727025"</f>
        <v>0611831727025</v>
      </c>
      <c r="B1387" t="str">
        <f>"MC4323"</f>
        <v>MC4323</v>
      </c>
      <c r="C1387" t="s">
        <v>29938</v>
      </c>
      <c r="D1387" t="s">
        <v>28057</v>
      </c>
      <c r="E1387" t="str">
        <f t="shared" si="21"/>
        <v>001390</v>
      </c>
      <c r="F1387" t="s">
        <v>27246</v>
      </c>
      <c r="G1387" t="s">
        <v>27247</v>
      </c>
      <c r="H1387" t="s">
        <v>27248</v>
      </c>
      <c r="I1387" t="s">
        <v>29939</v>
      </c>
      <c r="J1387" t="s">
        <v>2781</v>
      </c>
      <c r="L1387" t="s">
        <v>27250</v>
      </c>
      <c r="M1387" t="s">
        <v>27251</v>
      </c>
      <c r="N1387" t="s">
        <v>27252</v>
      </c>
      <c r="P1387" t="s">
        <v>27925</v>
      </c>
      <c r="Q1387" s="1">
        <v>44538</v>
      </c>
      <c r="R1387" t="s">
        <v>27253</v>
      </c>
      <c r="S1387" t="s">
        <v>27254</v>
      </c>
      <c r="T1387" t="s">
        <v>27269</v>
      </c>
    </row>
    <row r="1388" spans="1:20" x14ac:dyDescent="0.3">
      <c r="A1388" t="str">
        <f>"0611831728025"</f>
        <v>0611831728025</v>
      </c>
      <c r="B1388" t="str">
        <f>"MC4401"</f>
        <v>MC4401</v>
      </c>
      <c r="C1388" t="s">
        <v>29940</v>
      </c>
      <c r="D1388" t="s">
        <v>27267</v>
      </c>
      <c r="E1388" t="str">
        <f t="shared" si="21"/>
        <v>001390</v>
      </c>
      <c r="F1388" t="s">
        <v>27246</v>
      </c>
      <c r="G1388" t="s">
        <v>27247</v>
      </c>
      <c r="H1388" t="s">
        <v>27248</v>
      </c>
      <c r="I1388" t="s">
        <v>29941</v>
      </c>
      <c r="J1388" t="s">
        <v>2783</v>
      </c>
      <c r="L1388" t="s">
        <v>27250</v>
      </c>
      <c r="M1388" t="s">
        <v>27251</v>
      </c>
      <c r="N1388" t="s">
        <v>27252</v>
      </c>
      <c r="Q1388" s="1">
        <v>44538</v>
      </c>
      <c r="R1388" t="s">
        <v>27253</v>
      </c>
      <c r="S1388" t="s">
        <v>27254</v>
      </c>
      <c r="T1388" t="s">
        <v>27269</v>
      </c>
    </row>
    <row r="1389" spans="1:20" x14ac:dyDescent="0.3">
      <c r="A1389" t="str">
        <f>"0611831729025"</f>
        <v>0611831729025</v>
      </c>
      <c r="B1389" t="str">
        <f>"MC2654"</f>
        <v>MC2654</v>
      </c>
      <c r="C1389" t="s">
        <v>29942</v>
      </c>
      <c r="D1389" t="s">
        <v>27267</v>
      </c>
      <c r="E1389" t="str">
        <f t="shared" si="21"/>
        <v>001390</v>
      </c>
      <c r="F1389" t="s">
        <v>27246</v>
      </c>
      <c r="G1389" t="s">
        <v>27247</v>
      </c>
      <c r="H1389" t="s">
        <v>27248</v>
      </c>
      <c r="I1389" t="s">
        <v>29943</v>
      </c>
      <c r="J1389" t="s">
        <v>2785</v>
      </c>
      <c r="L1389" t="s">
        <v>27250</v>
      </c>
      <c r="M1389" t="s">
        <v>27251</v>
      </c>
      <c r="N1389" t="s">
        <v>27252</v>
      </c>
      <c r="Q1389" s="1">
        <v>44538</v>
      </c>
      <c r="R1389" t="s">
        <v>27253</v>
      </c>
      <c r="S1389" t="s">
        <v>27254</v>
      </c>
      <c r="T1389" t="s">
        <v>27269</v>
      </c>
    </row>
    <row r="1390" spans="1:20" x14ac:dyDescent="0.3">
      <c r="A1390" t="str">
        <f>"0611831730025"</f>
        <v>0611831730025</v>
      </c>
      <c r="B1390" t="str">
        <f>"MC2655"</f>
        <v>MC2655</v>
      </c>
      <c r="C1390" t="s">
        <v>29944</v>
      </c>
      <c r="D1390" t="s">
        <v>27267</v>
      </c>
      <c r="E1390" t="str">
        <f t="shared" si="21"/>
        <v>001390</v>
      </c>
      <c r="F1390" t="s">
        <v>27246</v>
      </c>
      <c r="G1390" t="s">
        <v>27247</v>
      </c>
      <c r="H1390" t="s">
        <v>27248</v>
      </c>
      <c r="I1390" t="s">
        <v>29945</v>
      </c>
      <c r="J1390" t="s">
        <v>2787</v>
      </c>
      <c r="L1390" t="s">
        <v>27250</v>
      </c>
      <c r="M1390" t="s">
        <v>27251</v>
      </c>
      <c r="N1390" t="s">
        <v>27252</v>
      </c>
      <c r="Q1390" s="1">
        <v>44538</v>
      </c>
      <c r="R1390" t="s">
        <v>27253</v>
      </c>
      <c r="S1390" t="s">
        <v>27254</v>
      </c>
      <c r="T1390" t="s">
        <v>27269</v>
      </c>
    </row>
    <row r="1391" spans="1:20" x14ac:dyDescent="0.3">
      <c r="A1391" t="str">
        <f>"0611831731025"</f>
        <v>0611831731025</v>
      </c>
      <c r="B1391" t="str">
        <f>"MC4310"</f>
        <v>MC4310</v>
      </c>
      <c r="C1391" t="s">
        <v>29946</v>
      </c>
      <c r="D1391" t="s">
        <v>27267</v>
      </c>
      <c r="E1391" t="str">
        <f t="shared" si="21"/>
        <v>001390</v>
      </c>
      <c r="F1391" t="s">
        <v>27246</v>
      </c>
      <c r="G1391" t="s">
        <v>27247</v>
      </c>
      <c r="H1391" t="s">
        <v>27248</v>
      </c>
      <c r="I1391" t="s">
        <v>29947</v>
      </c>
      <c r="J1391" t="s">
        <v>2789</v>
      </c>
      <c r="L1391" t="s">
        <v>27250</v>
      </c>
      <c r="M1391" t="s">
        <v>27251</v>
      </c>
      <c r="N1391" t="s">
        <v>27252</v>
      </c>
      <c r="Q1391" s="1">
        <v>44538</v>
      </c>
      <c r="R1391" t="s">
        <v>27253</v>
      </c>
      <c r="S1391" t="s">
        <v>27254</v>
      </c>
      <c r="T1391" t="s">
        <v>27269</v>
      </c>
    </row>
    <row r="1392" spans="1:20" x14ac:dyDescent="0.3">
      <c r="A1392" t="str">
        <f>"0611831733025"</f>
        <v>0611831733025</v>
      </c>
      <c r="B1392" t="str">
        <f>"MC4311"</f>
        <v>MC4311</v>
      </c>
      <c r="C1392" t="s">
        <v>29948</v>
      </c>
      <c r="D1392" t="s">
        <v>27267</v>
      </c>
      <c r="E1392" t="str">
        <f t="shared" si="21"/>
        <v>001390</v>
      </c>
      <c r="F1392" t="s">
        <v>27246</v>
      </c>
      <c r="G1392" t="s">
        <v>27247</v>
      </c>
      <c r="H1392" t="s">
        <v>27248</v>
      </c>
      <c r="I1392" t="s">
        <v>29949</v>
      </c>
      <c r="J1392" t="s">
        <v>2791</v>
      </c>
      <c r="L1392" t="s">
        <v>27250</v>
      </c>
      <c r="M1392" t="s">
        <v>27251</v>
      </c>
      <c r="N1392" t="s">
        <v>27252</v>
      </c>
      <c r="Q1392" s="1">
        <v>44538</v>
      </c>
      <c r="R1392" t="s">
        <v>27253</v>
      </c>
      <c r="S1392" t="s">
        <v>27254</v>
      </c>
      <c r="T1392" t="s">
        <v>27269</v>
      </c>
    </row>
    <row r="1393" spans="1:20" x14ac:dyDescent="0.3">
      <c r="A1393" t="str">
        <f>"0611831734100"</f>
        <v>0611831734100</v>
      </c>
      <c r="B1393" t="str">
        <f>"LH3050"</f>
        <v>LH3050</v>
      </c>
      <c r="C1393" t="s">
        <v>29950</v>
      </c>
      <c r="D1393" t="s">
        <v>27245</v>
      </c>
      <c r="E1393" t="str">
        <f t="shared" si="21"/>
        <v>001390</v>
      </c>
      <c r="F1393" t="s">
        <v>27246</v>
      </c>
      <c r="G1393" t="s">
        <v>27247</v>
      </c>
      <c r="H1393" t="s">
        <v>27248</v>
      </c>
      <c r="I1393" t="s">
        <v>29951</v>
      </c>
      <c r="J1393" t="s">
        <v>2793</v>
      </c>
      <c r="L1393" t="s">
        <v>27250</v>
      </c>
      <c r="M1393" t="s">
        <v>27251</v>
      </c>
      <c r="N1393" t="s">
        <v>27252</v>
      </c>
      <c r="Q1393" s="1">
        <v>44538</v>
      </c>
      <c r="R1393" t="s">
        <v>27253</v>
      </c>
      <c r="S1393" t="s">
        <v>27254</v>
      </c>
      <c r="T1393" t="s">
        <v>27255</v>
      </c>
    </row>
    <row r="1394" spans="1:20" x14ac:dyDescent="0.3">
      <c r="A1394" t="str">
        <f>"0611831735025"</f>
        <v>0611831735025</v>
      </c>
      <c r="B1394" t="str">
        <f>"MC0136"</f>
        <v>MC0136</v>
      </c>
      <c r="C1394" t="s">
        <v>29950</v>
      </c>
      <c r="D1394" t="s">
        <v>27267</v>
      </c>
      <c r="E1394" t="str">
        <f t="shared" si="21"/>
        <v>001390</v>
      </c>
      <c r="F1394" t="s">
        <v>27246</v>
      </c>
      <c r="G1394" t="s">
        <v>27247</v>
      </c>
      <c r="H1394" t="s">
        <v>27248</v>
      </c>
      <c r="I1394" t="s">
        <v>29952</v>
      </c>
      <c r="J1394" t="s">
        <v>2795</v>
      </c>
      <c r="L1394" t="s">
        <v>27250</v>
      </c>
      <c r="M1394" t="s">
        <v>27251</v>
      </c>
      <c r="N1394" t="s">
        <v>27252</v>
      </c>
      <c r="Q1394" s="1">
        <v>44538</v>
      </c>
      <c r="R1394" t="s">
        <v>27253</v>
      </c>
      <c r="S1394" t="s">
        <v>27254</v>
      </c>
      <c r="T1394" t="s">
        <v>27269</v>
      </c>
    </row>
    <row r="1395" spans="1:20" x14ac:dyDescent="0.3">
      <c r="A1395" t="str">
        <f>"0611831736100"</f>
        <v>0611831736100</v>
      </c>
      <c r="B1395" t="str">
        <f>"LH3082"</f>
        <v>LH3082</v>
      </c>
      <c r="C1395" t="s">
        <v>29953</v>
      </c>
      <c r="D1395" t="s">
        <v>27245</v>
      </c>
      <c r="E1395" t="str">
        <f t="shared" si="21"/>
        <v>001390</v>
      </c>
      <c r="F1395" t="s">
        <v>27246</v>
      </c>
      <c r="G1395" t="s">
        <v>27247</v>
      </c>
      <c r="H1395" t="s">
        <v>27248</v>
      </c>
      <c r="I1395" t="s">
        <v>29954</v>
      </c>
      <c r="J1395" t="s">
        <v>2797</v>
      </c>
      <c r="L1395" t="s">
        <v>27250</v>
      </c>
      <c r="M1395" t="s">
        <v>27251</v>
      </c>
      <c r="N1395" t="s">
        <v>27252</v>
      </c>
      <c r="Q1395" s="1">
        <v>44538</v>
      </c>
      <c r="R1395" t="s">
        <v>27253</v>
      </c>
      <c r="S1395" t="s">
        <v>27254</v>
      </c>
      <c r="T1395" t="s">
        <v>27255</v>
      </c>
    </row>
    <row r="1396" spans="1:20" x14ac:dyDescent="0.3">
      <c r="A1396" t="str">
        <f>"0611831737025"</f>
        <v>0611831737025</v>
      </c>
      <c r="B1396" t="str">
        <f>"MC4135"</f>
        <v>MC4135</v>
      </c>
      <c r="C1396" t="s">
        <v>29953</v>
      </c>
      <c r="D1396" t="s">
        <v>27267</v>
      </c>
      <c r="E1396" t="str">
        <f t="shared" si="21"/>
        <v>001390</v>
      </c>
      <c r="F1396" t="s">
        <v>27246</v>
      </c>
      <c r="G1396" t="s">
        <v>27247</v>
      </c>
      <c r="H1396" t="s">
        <v>27248</v>
      </c>
      <c r="I1396" t="s">
        <v>29955</v>
      </c>
      <c r="J1396" t="s">
        <v>2799</v>
      </c>
      <c r="L1396" t="s">
        <v>27250</v>
      </c>
      <c r="M1396" t="s">
        <v>27251</v>
      </c>
      <c r="N1396" t="s">
        <v>27252</v>
      </c>
      <c r="Q1396" s="1">
        <v>44538</v>
      </c>
      <c r="R1396" t="s">
        <v>27253</v>
      </c>
      <c r="S1396" t="s">
        <v>27254</v>
      </c>
      <c r="T1396" t="s">
        <v>27269</v>
      </c>
    </row>
    <row r="1397" spans="1:20" x14ac:dyDescent="0.3">
      <c r="A1397" t="str">
        <f>"0611831740100"</f>
        <v>0611831740100</v>
      </c>
      <c r="B1397" t="str">
        <f>"LH3087"</f>
        <v>LH3087</v>
      </c>
      <c r="C1397" t="s">
        <v>29956</v>
      </c>
      <c r="D1397" t="s">
        <v>27245</v>
      </c>
      <c r="E1397" t="str">
        <f t="shared" si="21"/>
        <v>001390</v>
      </c>
      <c r="F1397" t="s">
        <v>27246</v>
      </c>
      <c r="G1397" t="s">
        <v>27247</v>
      </c>
      <c r="H1397" t="s">
        <v>27248</v>
      </c>
      <c r="I1397" t="s">
        <v>29957</v>
      </c>
      <c r="J1397" t="s">
        <v>2801</v>
      </c>
      <c r="L1397" t="s">
        <v>27250</v>
      </c>
      <c r="M1397" t="s">
        <v>27251</v>
      </c>
      <c r="N1397" t="s">
        <v>27252</v>
      </c>
      <c r="Q1397" s="1">
        <v>44538</v>
      </c>
      <c r="R1397" t="s">
        <v>27253</v>
      </c>
      <c r="S1397" t="s">
        <v>27254</v>
      </c>
      <c r="T1397" t="s">
        <v>27255</v>
      </c>
    </row>
    <row r="1398" spans="1:20" x14ac:dyDescent="0.3">
      <c r="A1398" t="str">
        <f>"0611831741025"</f>
        <v>0611831741025</v>
      </c>
      <c r="B1398" t="str">
        <f>"MC1452"</f>
        <v>MC1452</v>
      </c>
      <c r="C1398" t="s">
        <v>29956</v>
      </c>
      <c r="D1398" t="s">
        <v>27267</v>
      </c>
      <c r="E1398" t="str">
        <f t="shared" si="21"/>
        <v>001390</v>
      </c>
      <c r="F1398" t="s">
        <v>27246</v>
      </c>
      <c r="G1398" t="s">
        <v>27247</v>
      </c>
      <c r="H1398" t="s">
        <v>27248</v>
      </c>
      <c r="I1398" t="s">
        <v>29958</v>
      </c>
      <c r="J1398" t="s">
        <v>2803</v>
      </c>
      <c r="L1398" t="s">
        <v>27250</v>
      </c>
      <c r="M1398" t="s">
        <v>27251</v>
      </c>
      <c r="N1398" t="s">
        <v>27252</v>
      </c>
      <c r="Q1398" s="1">
        <v>44538</v>
      </c>
      <c r="R1398" t="s">
        <v>27253</v>
      </c>
      <c r="S1398" t="s">
        <v>27254</v>
      </c>
      <c r="T1398" t="s">
        <v>27269</v>
      </c>
    </row>
    <row r="1399" spans="1:20" x14ac:dyDescent="0.3">
      <c r="A1399" t="str">
        <f>"0611831742025"</f>
        <v>0611831742025</v>
      </c>
      <c r="B1399" t="str">
        <f>"MC0134"</f>
        <v>MC0134</v>
      </c>
      <c r="C1399" t="s">
        <v>29959</v>
      </c>
      <c r="D1399" t="s">
        <v>27267</v>
      </c>
      <c r="E1399" t="str">
        <f t="shared" si="21"/>
        <v>001390</v>
      </c>
      <c r="F1399" t="s">
        <v>27246</v>
      </c>
      <c r="G1399" t="s">
        <v>27247</v>
      </c>
      <c r="H1399" t="s">
        <v>27248</v>
      </c>
      <c r="I1399" t="s">
        <v>29960</v>
      </c>
      <c r="J1399" t="s">
        <v>2805</v>
      </c>
      <c r="L1399" t="s">
        <v>27250</v>
      </c>
      <c r="M1399" t="s">
        <v>27251</v>
      </c>
      <c r="N1399" t="s">
        <v>27252</v>
      </c>
      <c r="Q1399" s="1">
        <v>44538</v>
      </c>
      <c r="R1399" t="s">
        <v>27253</v>
      </c>
      <c r="S1399" t="s">
        <v>27254</v>
      </c>
      <c r="T1399" t="s">
        <v>27269</v>
      </c>
    </row>
    <row r="1400" spans="1:20" x14ac:dyDescent="0.3">
      <c r="A1400" t="str">
        <f>"0611831743025"</f>
        <v>0611831743025</v>
      </c>
      <c r="B1400" t="str">
        <f>"MC3286"</f>
        <v>MC3286</v>
      </c>
      <c r="C1400" t="s">
        <v>29961</v>
      </c>
      <c r="D1400" t="s">
        <v>27267</v>
      </c>
      <c r="E1400" t="str">
        <f t="shared" si="21"/>
        <v>001390</v>
      </c>
      <c r="F1400" t="s">
        <v>27246</v>
      </c>
      <c r="G1400" t="s">
        <v>27247</v>
      </c>
      <c r="H1400" t="s">
        <v>27248</v>
      </c>
      <c r="I1400" t="s">
        <v>29962</v>
      </c>
      <c r="J1400" t="s">
        <v>2807</v>
      </c>
      <c r="L1400" t="s">
        <v>27250</v>
      </c>
      <c r="M1400" t="s">
        <v>27251</v>
      </c>
      <c r="N1400" t="s">
        <v>27252</v>
      </c>
      <c r="Q1400" s="1">
        <v>44538</v>
      </c>
      <c r="R1400" t="s">
        <v>27253</v>
      </c>
      <c r="S1400" t="s">
        <v>27254</v>
      </c>
      <c r="T1400" t="s">
        <v>27269</v>
      </c>
    </row>
    <row r="1401" spans="1:20" x14ac:dyDescent="0.3">
      <c r="A1401" t="str">
        <f>"0611831744025"</f>
        <v>0611831744025</v>
      </c>
      <c r="B1401" t="str">
        <f>"MC1797"</f>
        <v>MC1797</v>
      </c>
      <c r="C1401" t="s">
        <v>29963</v>
      </c>
      <c r="D1401" t="s">
        <v>27267</v>
      </c>
      <c r="E1401" t="str">
        <f t="shared" si="21"/>
        <v>001390</v>
      </c>
      <c r="F1401" t="s">
        <v>27246</v>
      </c>
      <c r="G1401" t="s">
        <v>27247</v>
      </c>
      <c r="H1401" t="s">
        <v>27248</v>
      </c>
      <c r="I1401" t="s">
        <v>29964</v>
      </c>
      <c r="J1401" t="s">
        <v>2809</v>
      </c>
      <c r="L1401" t="s">
        <v>27250</v>
      </c>
      <c r="M1401" t="s">
        <v>27251</v>
      </c>
      <c r="N1401" t="s">
        <v>27252</v>
      </c>
      <c r="Q1401" s="1">
        <v>44538</v>
      </c>
      <c r="R1401" t="s">
        <v>27253</v>
      </c>
      <c r="S1401" t="s">
        <v>27254</v>
      </c>
      <c r="T1401" t="s">
        <v>27269</v>
      </c>
    </row>
    <row r="1402" spans="1:20" x14ac:dyDescent="0.3">
      <c r="A1402" t="str">
        <f>"0611831745025"</f>
        <v>0611831745025</v>
      </c>
      <c r="B1402" t="str">
        <f>"MC3884"</f>
        <v>MC3884</v>
      </c>
      <c r="C1402" t="s">
        <v>29965</v>
      </c>
      <c r="D1402" t="s">
        <v>27267</v>
      </c>
      <c r="E1402" t="str">
        <f t="shared" si="21"/>
        <v>001390</v>
      </c>
      <c r="F1402" t="s">
        <v>27246</v>
      </c>
      <c r="G1402" t="s">
        <v>27247</v>
      </c>
      <c r="H1402" t="s">
        <v>27248</v>
      </c>
      <c r="I1402" t="s">
        <v>29966</v>
      </c>
      <c r="J1402" t="s">
        <v>2811</v>
      </c>
      <c r="L1402" t="s">
        <v>27250</v>
      </c>
      <c r="M1402" t="s">
        <v>27251</v>
      </c>
      <c r="N1402" t="s">
        <v>27252</v>
      </c>
      <c r="Q1402" s="1">
        <v>44538</v>
      </c>
      <c r="R1402" t="s">
        <v>27253</v>
      </c>
      <c r="S1402" t="s">
        <v>27254</v>
      </c>
      <c r="T1402" t="s">
        <v>27269</v>
      </c>
    </row>
    <row r="1403" spans="1:20" x14ac:dyDescent="0.3">
      <c r="A1403" t="str">
        <f>"0611831746025"</f>
        <v>0611831746025</v>
      </c>
      <c r="B1403" t="str">
        <f>"MC0138"</f>
        <v>MC0138</v>
      </c>
      <c r="C1403" t="s">
        <v>29967</v>
      </c>
      <c r="D1403" t="s">
        <v>27267</v>
      </c>
      <c r="E1403" t="str">
        <f t="shared" si="21"/>
        <v>001390</v>
      </c>
      <c r="F1403" t="s">
        <v>27246</v>
      </c>
      <c r="G1403" t="s">
        <v>27247</v>
      </c>
      <c r="H1403" t="s">
        <v>27248</v>
      </c>
      <c r="I1403" t="s">
        <v>29968</v>
      </c>
      <c r="J1403" t="s">
        <v>2813</v>
      </c>
      <c r="L1403" t="s">
        <v>27250</v>
      </c>
      <c r="M1403" t="s">
        <v>27251</v>
      </c>
      <c r="N1403" t="s">
        <v>27252</v>
      </c>
      <c r="Q1403" s="1">
        <v>44538</v>
      </c>
      <c r="R1403" t="s">
        <v>27253</v>
      </c>
      <c r="S1403" t="s">
        <v>27254</v>
      </c>
      <c r="T1403" t="s">
        <v>27269</v>
      </c>
    </row>
    <row r="1404" spans="1:20" x14ac:dyDescent="0.3">
      <c r="A1404" t="str">
        <f>"0611831747025"</f>
        <v>0611831747025</v>
      </c>
      <c r="B1404" t="str">
        <f>"MC2632"</f>
        <v>MC2632</v>
      </c>
      <c r="C1404" t="s">
        <v>29969</v>
      </c>
      <c r="D1404" t="s">
        <v>27267</v>
      </c>
      <c r="E1404" t="str">
        <f t="shared" si="21"/>
        <v>001390</v>
      </c>
      <c r="F1404" t="s">
        <v>27246</v>
      </c>
      <c r="G1404" t="s">
        <v>27247</v>
      </c>
      <c r="H1404" t="s">
        <v>27248</v>
      </c>
      <c r="I1404" t="s">
        <v>29970</v>
      </c>
      <c r="J1404" t="s">
        <v>2815</v>
      </c>
      <c r="L1404" t="s">
        <v>27250</v>
      </c>
      <c r="M1404" t="s">
        <v>27251</v>
      </c>
      <c r="N1404" t="s">
        <v>27252</v>
      </c>
      <c r="Q1404" s="1">
        <v>44538</v>
      </c>
      <c r="R1404" t="s">
        <v>27253</v>
      </c>
      <c r="S1404" t="s">
        <v>27254</v>
      </c>
      <c r="T1404" t="s">
        <v>27269</v>
      </c>
    </row>
    <row r="1405" spans="1:20" x14ac:dyDescent="0.3">
      <c r="A1405" t="str">
        <f>"0611831748025"</f>
        <v>0611831748025</v>
      </c>
      <c r="B1405" t="str">
        <f>"MC4137"</f>
        <v>MC4137</v>
      </c>
      <c r="C1405" t="s">
        <v>29971</v>
      </c>
      <c r="D1405" t="s">
        <v>28057</v>
      </c>
      <c r="E1405" t="str">
        <f t="shared" si="21"/>
        <v>001390</v>
      </c>
      <c r="F1405" t="s">
        <v>27246</v>
      </c>
      <c r="G1405" t="s">
        <v>27247</v>
      </c>
      <c r="H1405" t="s">
        <v>27248</v>
      </c>
      <c r="I1405" t="s">
        <v>29972</v>
      </c>
      <c r="J1405" t="s">
        <v>2817</v>
      </c>
      <c r="L1405" t="s">
        <v>27250</v>
      </c>
      <c r="M1405" t="s">
        <v>27251</v>
      </c>
      <c r="N1405" t="s">
        <v>27252</v>
      </c>
      <c r="P1405" t="s">
        <v>27925</v>
      </c>
      <c r="Q1405" s="1">
        <v>44538</v>
      </c>
      <c r="R1405" t="s">
        <v>27253</v>
      </c>
      <c r="S1405" t="s">
        <v>27254</v>
      </c>
      <c r="T1405" t="s">
        <v>27269</v>
      </c>
    </row>
    <row r="1406" spans="1:20" x14ac:dyDescent="0.3">
      <c r="A1406" t="str">
        <f>"0611831749025"</f>
        <v>0611831749025</v>
      </c>
      <c r="B1406" t="str">
        <f>"MC1801"</f>
        <v>MC1801</v>
      </c>
      <c r="C1406" t="s">
        <v>29973</v>
      </c>
      <c r="D1406" t="s">
        <v>27267</v>
      </c>
      <c r="E1406" t="str">
        <f t="shared" si="21"/>
        <v>001390</v>
      </c>
      <c r="F1406" t="s">
        <v>27246</v>
      </c>
      <c r="G1406" t="s">
        <v>27247</v>
      </c>
      <c r="H1406" t="s">
        <v>27248</v>
      </c>
      <c r="I1406" t="s">
        <v>29974</v>
      </c>
      <c r="J1406" t="s">
        <v>2819</v>
      </c>
      <c r="L1406" t="s">
        <v>27250</v>
      </c>
      <c r="M1406" t="s">
        <v>27251</v>
      </c>
      <c r="N1406" t="s">
        <v>27252</v>
      </c>
      <c r="Q1406" s="1">
        <v>44538</v>
      </c>
      <c r="R1406" t="s">
        <v>27253</v>
      </c>
      <c r="S1406" t="s">
        <v>27254</v>
      </c>
      <c r="T1406" t="s">
        <v>27269</v>
      </c>
    </row>
    <row r="1407" spans="1:20" x14ac:dyDescent="0.3">
      <c r="A1407" t="str">
        <f>"0611884053025"</f>
        <v>0611884053025</v>
      </c>
      <c r="B1407" t="str">
        <f>"MC4453"</f>
        <v>MC4453</v>
      </c>
      <c r="C1407" t="s">
        <v>29975</v>
      </c>
      <c r="D1407" t="s">
        <v>27267</v>
      </c>
      <c r="E1407" t="str">
        <f t="shared" si="21"/>
        <v>001390</v>
      </c>
      <c r="F1407" t="s">
        <v>27246</v>
      </c>
      <c r="G1407" t="s">
        <v>27247</v>
      </c>
      <c r="H1407" t="s">
        <v>27248</v>
      </c>
      <c r="I1407" t="s">
        <v>29976</v>
      </c>
      <c r="J1407" t="s">
        <v>24101</v>
      </c>
      <c r="L1407" t="s">
        <v>27430</v>
      </c>
      <c r="M1407" t="s">
        <v>27251</v>
      </c>
      <c r="N1407" t="s">
        <v>27252</v>
      </c>
      <c r="Q1407" s="1">
        <v>45250</v>
      </c>
      <c r="R1407" t="s">
        <v>27253</v>
      </c>
      <c r="S1407" t="s">
        <v>27254</v>
      </c>
      <c r="T1407" t="s">
        <v>27269</v>
      </c>
    </row>
    <row r="1408" spans="1:20" x14ac:dyDescent="0.3">
      <c r="A1408" t="str">
        <f>"0611831763100"</f>
        <v>0611831763100</v>
      </c>
      <c r="B1408" t="str">
        <f>"LK5575"</f>
        <v>LK5575</v>
      </c>
      <c r="C1408" t="s">
        <v>29977</v>
      </c>
      <c r="D1408" t="s">
        <v>27245</v>
      </c>
      <c r="E1408" t="str">
        <f t="shared" si="21"/>
        <v>001390</v>
      </c>
      <c r="F1408" t="s">
        <v>27246</v>
      </c>
      <c r="G1408" t="s">
        <v>27247</v>
      </c>
      <c r="H1408" t="s">
        <v>27248</v>
      </c>
      <c r="I1408" t="s">
        <v>29978</v>
      </c>
      <c r="J1408" t="s">
        <v>2821</v>
      </c>
      <c r="L1408" t="s">
        <v>27250</v>
      </c>
      <c r="M1408" t="s">
        <v>27251</v>
      </c>
      <c r="N1408" t="s">
        <v>27252</v>
      </c>
      <c r="Q1408" s="1">
        <v>44538</v>
      </c>
      <c r="R1408" t="s">
        <v>27253</v>
      </c>
      <c r="S1408" t="s">
        <v>27254</v>
      </c>
      <c r="T1408" t="s">
        <v>27255</v>
      </c>
    </row>
    <row r="1409" spans="1:20" x14ac:dyDescent="0.3">
      <c r="A1409" t="str">
        <f>"0611831766100"</f>
        <v>0611831766100</v>
      </c>
      <c r="B1409" t="str">
        <f>"LQ0633"</f>
        <v>LQ0633</v>
      </c>
      <c r="C1409" t="s">
        <v>29979</v>
      </c>
      <c r="D1409" t="s">
        <v>27245</v>
      </c>
      <c r="E1409" t="str">
        <f t="shared" si="21"/>
        <v>001390</v>
      </c>
      <c r="F1409" t="s">
        <v>27246</v>
      </c>
      <c r="G1409" t="s">
        <v>27247</v>
      </c>
      <c r="H1409" t="s">
        <v>27248</v>
      </c>
      <c r="I1409" t="s">
        <v>29980</v>
      </c>
      <c r="J1409" t="s">
        <v>2823</v>
      </c>
      <c r="L1409" t="s">
        <v>27250</v>
      </c>
      <c r="M1409" t="s">
        <v>27251</v>
      </c>
      <c r="N1409" t="s">
        <v>27252</v>
      </c>
      <c r="Q1409" s="1">
        <v>44538</v>
      </c>
      <c r="R1409" t="s">
        <v>27253</v>
      </c>
      <c r="S1409" t="s">
        <v>27254</v>
      </c>
      <c r="T1409" t="s">
        <v>27255</v>
      </c>
    </row>
    <row r="1410" spans="1:20" x14ac:dyDescent="0.3">
      <c r="A1410" t="str">
        <f>"0611860669050"</f>
        <v>0611860669050</v>
      </c>
      <c r="B1410" t="str">
        <f>"CR3586"</f>
        <v>CR3586</v>
      </c>
      <c r="C1410" t="s">
        <v>29981</v>
      </c>
      <c r="D1410" t="s">
        <v>27271</v>
      </c>
      <c r="E1410" t="str">
        <f t="shared" ref="E1410:E1473" si="22">"001390"</f>
        <v>001390</v>
      </c>
      <c r="F1410" t="s">
        <v>27246</v>
      </c>
      <c r="G1410" t="s">
        <v>27247</v>
      </c>
      <c r="H1410" t="s">
        <v>27248</v>
      </c>
      <c r="I1410" t="s">
        <v>29982</v>
      </c>
      <c r="J1410" t="s">
        <v>2825</v>
      </c>
      <c r="L1410" t="s">
        <v>27250</v>
      </c>
      <c r="M1410" t="s">
        <v>27251</v>
      </c>
      <c r="N1410" t="s">
        <v>27252</v>
      </c>
      <c r="P1410" t="s">
        <v>27341</v>
      </c>
      <c r="Q1410" s="1">
        <v>44846</v>
      </c>
      <c r="R1410" t="s">
        <v>27253</v>
      </c>
      <c r="S1410" t="s">
        <v>27254</v>
      </c>
      <c r="T1410" t="s">
        <v>27265</v>
      </c>
    </row>
    <row r="1411" spans="1:20" x14ac:dyDescent="0.3">
      <c r="A1411" t="str">
        <f>"0611860670050"</f>
        <v>0611860670050</v>
      </c>
      <c r="B1411" t="str">
        <f>"CR4001"</f>
        <v>CR4001</v>
      </c>
      <c r="C1411" t="s">
        <v>29983</v>
      </c>
      <c r="D1411" t="s">
        <v>27271</v>
      </c>
      <c r="E1411" t="str">
        <f t="shared" si="22"/>
        <v>001390</v>
      </c>
      <c r="F1411" t="s">
        <v>27246</v>
      </c>
      <c r="G1411" t="s">
        <v>27247</v>
      </c>
      <c r="H1411" t="s">
        <v>27248</v>
      </c>
      <c r="I1411" t="s">
        <v>29984</v>
      </c>
      <c r="J1411" t="s">
        <v>2827</v>
      </c>
      <c r="L1411" t="s">
        <v>27250</v>
      </c>
      <c r="M1411" t="s">
        <v>27251</v>
      </c>
      <c r="N1411" t="s">
        <v>27252</v>
      </c>
      <c r="P1411" t="s">
        <v>27341</v>
      </c>
      <c r="Q1411" s="1">
        <v>44846</v>
      </c>
      <c r="R1411" t="s">
        <v>27253</v>
      </c>
      <c r="S1411" t="s">
        <v>27254</v>
      </c>
      <c r="T1411" t="s">
        <v>27265</v>
      </c>
    </row>
    <row r="1412" spans="1:20" x14ac:dyDescent="0.3">
      <c r="A1412" t="str">
        <f>"0611860671050"</f>
        <v>0611860671050</v>
      </c>
      <c r="B1412" t="str">
        <f>"CR3955"</f>
        <v>CR3955</v>
      </c>
      <c r="C1412" t="s">
        <v>29985</v>
      </c>
      <c r="D1412" t="s">
        <v>27271</v>
      </c>
      <c r="E1412" t="str">
        <f t="shared" si="22"/>
        <v>001390</v>
      </c>
      <c r="F1412" t="s">
        <v>27246</v>
      </c>
      <c r="G1412" t="s">
        <v>27247</v>
      </c>
      <c r="H1412" t="s">
        <v>27248</v>
      </c>
      <c r="I1412" t="s">
        <v>29986</v>
      </c>
      <c r="J1412" t="s">
        <v>2829</v>
      </c>
      <c r="L1412" t="s">
        <v>27250</v>
      </c>
      <c r="M1412" t="s">
        <v>27251</v>
      </c>
      <c r="N1412" t="s">
        <v>27252</v>
      </c>
      <c r="P1412" t="s">
        <v>27341</v>
      </c>
      <c r="Q1412" s="1">
        <v>44846</v>
      </c>
      <c r="R1412" t="s">
        <v>27253</v>
      </c>
      <c r="S1412" t="s">
        <v>27254</v>
      </c>
      <c r="T1412" t="s">
        <v>27265</v>
      </c>
    </row>
    <row r="1413" spans="1:20" x14ac:dyDescent="0.3">
      <c r="A1413" t="str">
        <f>"0611860672050"</f>
        <v>0611860672050</v>
      </c>
      <c r="B1413" t="str">
        <f>"CR2052"</f>
        <v>CR2052</v>
      </c>
      <c r="C1413" t="s">
        <v>29987</v>
      </c>
      <c r="D1413" t="s">
        <v>27271</v>
      </c>
      <c r="E1413" t="str">
        <f t="shared" si="22"/>
        <v>001390</v>
      </c>
      <c r="F1413" t="s">
        <v>27246</v>
      </c>
      <c r="G1413" t="s">
        <v>27247</v>
      </c>
      <c r="H1413" t="s">
        <v>27248</v>
      </c>
      <c r="I1413" t="s">
        <v>29988</v>
      </c>
      <c r="J1413" t="s">
        <v>2831</v>
      </c>
      <c r="L1413" t="s">
        <v>27250</v>
      </c>
      <c r="M1413" t="s">
        <v>27251</v>
      </c>
      <c r="N1413" t="s">
        <v>27252</v>
      </c>
      <c r="P1413" t="s">
        <v>27341</v>
      </c>
      <c r="Q1413" s="1">
        <v>44846</v>
      </c>
      <c r="R1413" t="s">
        <v>27253</v>
      </c>
      <c r="S1413" t="s">
        <v>27254</v>
      </c>
      <c r="T1413" t="s">
        <v>27265</v>
      </c>
    </row>
    <row r="1414" spans="1:20" x14ac:dyDescent="0.3">
      <c r="A1414" t="str">
        <f>"0611860673050"</f>
        <v>0611860673050</v>
      </c>
      <c r="B1414" t="str">
        <f>"CR2053"</f>
        <v>CR2053</v>
      </c>
      <c r="C1414" t="s">
        <v>29989</v>
      </c>
      <c r="D1414" t="s">
        <v>27271</v>
      </c>
      <c r="E1414" t="str">
        <f t="shared" si="22"/>
        <v>001390</v>
      </c>
      <c r="F1414" t="s">
        <v>27246</v>
      </c>
      <c r="G1414" t="s">
        <v>27247</v>
      </c>
      <c r="H1414" t="s">
        <v>27248</v>
      </c>
      <c r="I1414" t="s">
        <v>29990</v>
      </c>
      <c r="J1414" t="s">
        <v>2833</v>
      </c>
      <c r="L1414" t="s">
        <v>27250</v>
      </c>
      <c r="M1414" t="s">
        <v>27251</v>
      </c>
      <c r="N1414" t="s">
        <v>27252</v>
      </c>
      <c r="P1414" t="s">
        <v>27341</v>
      </c>
      <c r="Q1414" s="1">
        <v>44846</v>
      </c>
      <c r="R1414" t="s">
        <v>27253</v>
      </c>
      <c r="S1414" t="s">
        <v>27254</v>
      </c>
      <c r="T1414" t="s">
        <v>27265</v>
      </c>
    </row>
    <row r="1415" spans="1:20" x14ac:dyDescent="0.3">
      <c r="A1415" t="str">
        <f>"0611860674050"</f>
        <v>0611860674050</v>
      </c>
      <c r="B1415" t="str">
        <f>"CR3064"</f>
        <v>CR3064</v>
      </c>
      <c r="C1415" t="s">
        <v>29991</v>
      </c>
      <c r="D1415" t="s">
        <v>27271</v>
      </c>
      <c r="E1415" t="str">
        <f t="shared" si="22"/>
        <v>001390</v>
      </c>
      <c r="F1415" t="s">
        <v>27246</v>
      </c>
      <c r="G1415" t="s">
        <v>27247</v>
      </c>
      <c r="H1415" t="s">
        <v>27248</v>
      </c>
      <c r="I1415" t="s">
        <v>29992</v>
      </c>
      <c r="J1415" t="s">
        <v>2835</v>
      </c>
      <c r="L1415" t="s">
        <v>27250</v>
      </c>
      <c r="M1415" t="s">
        <v>27251</v>
      </c>
      <c r="N1415" t="s">
        <v>27252</v>
      </c>
      <c r="P1415" t="s">
        <v>27341</v>
      </c>
      <c r="Q1415" s="1">
        <v>44846</v>
      </c>
      <c r="R1415" t="s">
        <v>27253</v>
      </c>
      <c r="S1415" t="s">
        <v>27254</v>
      </c>
      <c r="T1415" t="s">
        <v>27265</v>
      </c>
    </row>
    <row r="1416" spans="1:20" x14ac:dyDescent="0.3">
      <c r="A1416" t="str">
        <f>"0611860675050"</f>
        <v>0611860675050</v>
      </c>
      <c r="B1416" t="str">
        <f>"CR2054"</f>
        <v>CR2054</v>
      </c>
      <c r="C1416" t="s">
        <v>29993</v>
      </c>
      <c r="D1416" t="s">
        <v>27271</v>
      </c>
      <c r="E1416" t="str">
        <f t="shared" si="22"/>
        <v>001390</v>
      </c>
      <c r="F1416" t="s">
        <v>27246</v>
      </c>
      <c r="G1416" t="s">
        <v>27247</v>
      </c>
      <c r="H1416" t="s">
        <v>27248</v>
      </c>
      <c r="I1416" t="s">
        <v>29994</v>
      </c>
      <c r="J1416" t="s">
        <v>2837</v>
      </c>
      <c r="L1416" t="s">
        <v>27250</v>
      </c>
      <c r="M1416" t="s">
        <v>27251</v>
      </c>
      <c r="N1416" t="s">
        <v>27252</v>
      </c>
      <c r="P1416" t="s">
        <v>27341</v>
      </c>
      <c r="Q1416" s="1">
        <v>44846</v>
      </c>
      <c r="R1416" t="s">
        <v>27253</v>
      </c>
      <c r="S1416" t="s">
        <v>27254</v>
      </c>
      <c r="T1416" t="s">
        <v>27265</v>
      </c>
    </row>
    <row r="1417" spans="1:20" x14ac:dyDescent="0.3">
      <c r="A1417" t="str">
        <f>"0611860676050"</f>
        <v>0611860676050</v>
      </c>
      <c r="B1417" t="str">
        <f>"CR3585"</f>
        <v>CR3585</v>
      </c>
      <c r="C1417" t="s">
        <v>29995</v>
      </c>
      <c r="D1417" t="s">
        <v>27271</v>
      </c>
      <c r="E1417" t="str">
        <f t="shared" si="22"/>
        <v>001390</v>
      </c>
      <c r="F1417" t="s">
        <v>27246</v>
      </c>
      <c r="G1417" t="s">
        <v>27247</v>
      </c>
      <c r="H1417" t="s">
        <v>27248</v>
      </c>
      <c r="I1417" t="s">
        <v>29996</v>
      </c>
      <c r="J1417" t="s">
        <v>2839</v>
      </c>
      <c r="L1417" t="s">
        <v>27250</v>
      </c>
      <c r="M1417" t="s">
        <v>27251</v>
      </c>
      <c r="N1417" t="s">
        <v>27252</v>
      </c>
      <c r="P1417" t="s">
        <v>27341</v>
      </c>
      <c r="Q1417" s="1">
        <v>44846</v>
      </c>
      <c r="R1417" t="s">
        <v>27253</v>
      </c>
      <c r="S1417" t="s">
        <v>27254</v>
      </c>
      <c r="T1417" t="s">
        <v>27265</v>
      </c>
    </row>
    <row r="1418" spans="1:20" x14ac:dyDescent="0.3">
      <c r="A1418" t="str">
        <f>"0611831768100"</f>
        <v>0611831768100</v>
      </c>
      <c r="B1418" t="str">
        <f>"LQ6152"</f>
        <v>LQ6152</v>
      </c>
      <c r="C1418" t="s">
        <v>29997</v>
      </c>
      <c r="D1418" t="s">
        <v>27552</v>
      </c>
      <c r="E1418" t="str">
        <f t="shared" si="22"/>
        <v>001390</v>
      </c>
      <c r="F1418" t="s">
        <v>27246</v>
      </c>
      <c r="G1418" t="s">
        <v>27247</v>
      </c>
      <c r="H1418" t="s">
        <v>27248</v>
      </c>
      <c r="I1418" t="s">
        <v>29998</v>
      </c>
      <c r="J1418" t="s">
        <v>2841</v>
      </c>
      <c r="L1418" t="s">
        <v>27250</v>
      </c>
      <c r="M1418" t="s">
        <v>27251</v>
      </c>
      <c r="N1418" t="s">
        <v>27252</v>
      </c>
      <c r="P1418" t="s">
        <v>27341</v>
      </c>
      <c r="Q1418" s="1">
        <v>44538</v>
      </c>
      <c r="R1418" t="s">
        <v>27253</v>
      </c>
      <c r="S1418" t="s">
        <v>27254</v>
      </c>
      <c r="T1418" t="s">
        <v>27255</v>
      </c>
    </row>
    <row r="1419" spans="1:20" x14ac:dyDescent="0.3">
      <c r="A1419" t="str">
        <f>"0611831769100"</f>
        <v>0611831769100</v>
      </c>
      <c r="B1419" t="str">
        <f>"LQ6089"</f>
        <v>LQ6089</v>
      </c>
      <c r="C1419" t="s">
        <v>29999</v>
      </c>
      <c r="D1419" t="s">
        <v>27552</v>
      </c>
      <c r="E1419" t="str">
        <f t="shared" si="22"/>
        <v>001390</v>
      </c>
      <c r="F1419" t="s">
        <v>27246</v>
      </c>
      <c r="G1419" t="s">
        <v>27247</v>
      </c>
      <c r="H1419" t="s">
        <v>27248</v>
      </c>
      <c r="I1419" t="s">
        <v>30000</v>
      </c>
      <c r="J1419" t="s">
        <v>2843</v>
      </c>
      <c r="L1419" t="s">
        <v>27250</v>
      </c>
      <c r="M1419" t="s">
        <v>27251</v>
      </c>
      <c r="N1419" t="s">
        <v>27252</v>
      </c>
      <c r="P1419" t="s">
        <v>27341</v>
      </c>
      <c r="Q1419" s="1">
        <v>44538</v>
      </c>
      <c r="R1419" t="s">
        <v>27253</v>
      </c>
      <c r="S1419" t="s">
        <v>27254</v>
      </c>
      <c r="T1419" t="s">
        <v>27255</v>
      </c>
    </row>
    <row r="1420" spans="1:20" x14ac:dyDescent="0.3">
      <c r="A1420" t="str">
        <f>"0611831770100"</f>
        <v>0611831770100</v>
      </c>
      <c r="B1420" t="str">
        <f>"LQ6052"</f>
        <v>LQ6052</v>
      </c>
      <c r="C1420" t="s">
        <v>30001</v>
      </c>
      <c r="D1420" t="s">
        <v>27552</v>
      </c>
      <c r="E1420" t="str">
        <f t="shared" si="22"/>
        <v>001390</v>
      </c>
      <c r="F1420" t="s">
        <v>27246</v>
      </c>
      <c r="G1420" t="s">
        <v>27247</v>
      </c>
      <c r="H1420" t="s">
        <v>27248</v>
      </c>
      <c r="I1420" t="s">
        <v>30002</v>
      </c>
      <c r="J1420" t="s">
        <v>2845</v>
      </c>
      <c r="L1420" t="s">
        <v>27250</v>
      </c>
      <c r="M1420" t="s">
        <v>27251</v>
      </c>
      <c r="N1420" t="s">
        <v>27252</v>
      </c>
      <c r="P1420" t="s">
        <v>27341</v>
      </c>
      <c r="Q1420" s="1">
        <v>44538</v>
      </c>
      <c r="R1420" t="s">
        <v>27253</v>
      </c>
      <c r="S1420" t="s">
        <v>27254</v>
      </c>
      <c r="T1420" t="s">
        <v>27255</v>
      </c>
    </row>
    <row r="1421" spans="1:20" x14ac:dyDescent="0.3">
      <c r="A1421" t="str">
        <f>"0611884054100"</f>
        <v>0611884054100</v>
      </c>
      <c r="B1421" t="str">
        <f>"LQ6289"</f>
        <v>LQ6289</v>
      </c>
      <c r="C1421" t="s">
        <v>30003</v>
      </c>
      <c r="D1421" t="s">
        <v>27552</v>
      </c>
      <c r="E1421" t="str">
        <f t="shared" si="22"/>
        <v>001390</v>
      </c>
      <c r="F1421" t="s">
        <v>27246</v>
      </c>
      <c r="G1421" t="s">
        <v>27247</v>
      </c>
      <c r="H1421" t="s">
        <v>27248</v>
      </c>
      <c r="I1421" t="s">
        <v>30004</v>
      </c>
      <c r="J1421" t="s">
        <v>2847</v>
      </c>
      <c r="L1421" t="s">
        <v>27430</v>
      </c>
      <c r="M1421" t="s">
        <v>27251</v>
      </c>
      <c r="N1421" t="s">
        <v>27252</v>
      </c>
      <c r="P1421" t="s">
        <v>27341</v>
      </c>
      <c r="Q1421" s="1">
        <v>45250</v>
      </c>
      <c r="R1421" t="s">
        <v>27253</v>
      </c>
      <c r="S1421" t="s">
        <v>27254</v>
      </c>
      <c r="T1421" t="s">
        <v>27255</v>
      </c>
    </row>
    <row r="1422" spans="1:20" x14ac:dyDescent="0.3">
      <c r="A1422" t="str">
        <f>"0611860677050"</f>
        <v>0611860677050</v>
      </c>
      <c r="B1422" t="str">
        <f>"CE1637"</f>
        <v>CE1637</v>
      </c>
      <c r="C1422" t="s">
        <v>30005</v>
      </c>
      <c r="D1422" t="s">
        <v>27923</v>
      </c>
      <c r="E1422" t="str">
        <f t="shared" si="22"/>
        <v>001390</v>
      </c>
      <c r="F1422" t="s">
        <v>27246</v>
      </c>
      <c r="G1422" t="s">
        <v>27247</v>
      </c>
      <c r="H1422" t="s">
        <v>27248</v>
      </c>
      <c r="I1422" t="s">
        <v>30006</v>
      </c>
      <c r="J1422" t="s">
        <v>2849</v>
      </c>
      <c r="L1422" t="s">
        <v>27250</v>
      </c>
      <c r="M1422" t="s">
        <v>27251</v>
      </c>
      <c r="N1422" t="s">
        <v>27252</v>
      </c>
      <c r="P1422" t="s">
        <v>27925</v>
      </c>
      <c r="Q1422" s="1">
        <v>44846</v>
      </c>
      <c r="R1422" t="s">
        <v>27253</v>
      </c>
      <c r="S1422" t="s">
        <v>27254</v>
      </c>
      <c r="T1422" t="s">
        <v>27265</v>
      </c>
    </row>
    <row r="1423" spans="1:20" x14ac:dyDescent="0.3">
      <c r="A1423" t="str">
        <f>"0611884055050"</f>
        <v>0611884055050</v>
      </c>
      <c r="B1423" t="str">
        <f>"CE1747"</f>
        <v>CE1747</v>
      </c>
      <c r="C1423" t="s">
        <v>30007</v>
      </c>
      <c r="D1423" t="s">
        <v>27923</v>
      </c>
      <c r="E1423" t="str">
        <f t="shared" si="22"/>
        <v>001390</v>
      </c>
      <c r="F1423" t="s">
        <v>27246</v>
      </c>
      <c r="G1423" t="s">
        <v>27247</v>
      </c>
      <c r="H1423" t="s">
        <v>27248</v>
      </c>
      <c r="I1423" t="s">
        <v>30008</v>
      </c>
      <c r="J1423" t="s">
        <v>2851</v>
      </c>
      <c r="L1423" t="s">
        <v>27430</v>
      </c>
      <c r="M1423" t="s">
        <v>27251</v>
      </c>
      <c r="N1423" t="s">
        <v>27252</v>
      </c>
      <c r="P1423" t="s">
        <v>27925</v>
      </c>
      <c r="Q1423" s="1">
        <v>45250</v>
      </c>
      <c r="R1423" t="s">
        <v>27253</v>
      </c>
      <c r="S1423" t="s">
        <v>27254</v>
      </c>
      <c r="T1423" t="s">
        <v>27265</v>
      </c>
    </row>
    <row r="1424" spans="1:20" x14ac:dyDescent="0.3">
      <c r="A1424" t="str">
        <f>"0611860678050"</f>
        <v>0611860678050</v>
      </c>
      <c r="B1424" t="str">
        <f>"CE1638"</f>
        <v>CE1638</v>
      </c>
      <c r="C1424" t="s">
        <v>30009</v>
      </c>
      <c r="D1424" t="s">
        <v>27923</v>
      </c>
      <c r="E1424" t="str">
        <f t="shared" si="22"/>
        <v>001390</v>
      </c>
      <c r="F1424" t="s">
        <v>27246</v>
      </c>
      <c r="G1424" t="s">
        <v>27247</v>
      </c>
      <c r="H1424" t="s">
        <v>27248</v>
      </c>
      <c r="I1424" t="s">
        <v>30010</v>
      </c>
      <c r="J1424" t="s">
        <v>2855</v>
      </c>
      <c r="L1424" t="s">
        <v>27250</v>
      </c>
      <c r="M1424" t="s">
        <v>27251</v>
      </c>
      <c r="N1424" t="s">
        <v>27252</v>
      </c>
      <c r="P1424" t="s">
        <v>27925</v>
      </c>
      <c r="Q1424" s="1">
        <v>44846</v>
      </c>
      <c r="R1424" t="s">
        <v>27253</v>
      </c>
      <c r="S1424" t="s">
        <v>27254</v>
      </c>
      <c r="T1424" t="s">
        <v>27265</v>
      </c>
    </row>
    <row r="1425" spans="1:20" x14ac:dyDescent="0.3">
      <c r="A1425" t="str">
        <f>"0611860679050"</f>
        <v>0611860679050</v>
      </c>
      <c r="B1425" t="str">
        <f>"CE1639"</f>
        <v>CE1639</v>
      </c>
      <c r="C1425" t="s">
        <v>30011</v>
      </c>
      <c r="D1425" t="s">
        <v>27923</v>
      </c>
      <c r="E1425" t="str">
        <f t="shared" si="22"/>
        <v>001390</v>
      </c>
      <c r="F1425" t="s">
        <v>27246</v>
      </c>
      <c r="G1425" t="s">
        <v>27247</v>
      </c>
      <c r="H1425" t="s">
        <v>27248</v>
      </c>
      <c r="I1425" t="s">
        <v>30012</v>
      </c>
      <c r="J1425" t="s">
        <v>2859</v>
      </c>
      <c r="L1425" t="s">
        <v>27250</v>
      </c>
      <c r="M1425" t="s">
        <v>27251</v>
      </c>
      <c r="N1425" t="s">
        <v>27252</v>
      </c>
      <c r="P1425" t="s">
        <v>27925</v>
      </c>
      <c r="Q1425" s="1">
        <v>44846</v>
      </c>
      <c r="R1425" t="s">
        <v>27253</v>
      </c>
      <c r="S1425" t="s">
        <v>27254</v>
      </c>
      <c r="T1425" t="s">
        <v>27265</v>
      </c>
    </row>
    <row r="1426" spans="1:20" x14ac:dyDescent="0.3">
      <c r="A1426" t="str">
        <f>"0611860680050"</f>
        <v>0611860680050</v>
      </c>
      <c r="B1426" t="str">
        <f>"CE1590"</f>
        <v>CE1590</v>
      </c>
      <c r="C1426" t="s">
        <v>30013</v>
      </c>
      <c r="D1426" t="s">
        <v>27923</v>
      </c>
      <c r="E1426" t="str">
        <f t="shared" si="22"/>
        <v>001390</v>
      </c>
      <c r="F1426" t="s">
        <v>27246</v>
      </c>
      <c r="G1426" t="s">
        <v>27247</v>
      </c>
      <c r="H1426" t="s">
        <v>27248</v>
      </c>
      <c r="I1426" t="s">
        <v>30014</v>
      </c>
      <c r="J1426" t="s">
        <v>2861</v>
      </c>
      <c r="L1426" t="s">
        <v>27250</v>
      </c>
      <c r="M1426" t="s">
        <v>27251</v>
      </c>
      <c r="N1426" t="s">
        <v>27252</v>
      </c>
      <c r="P1426" t="s">
        <v>27925</v>
      </c>
      <c r="Q1426" s="1">
        <v>44846</v>
      </c>
      <c r="R1426" t="s">
        <v>27253</v>
      </c>
      <c r="S1426" t="s">
        <v>27254</v>
      </c>
      <c r="T1426" t="s">
        <v>27265</v>
      </c>
    </row>
    <row r="1427" spans="1:20" x14ac:dyDescent="0.3">
      <c r="A1427" t="str">
        <f>"0611856840100"</f>
        <v>0611856840100</v>
      </c>
      <c r="B1427" t="str">
        <f>"LQ3876"</f>
        <v>LQ3876</v>
      </c>
      <c r="C1427" t="s">
        <v>30015</v>
      </c>
      <c r="D1427" t="s">
        <v>27245</v>
      </c>
      <c r="E1427" t="str">
        <f t="shared" si="22"/>
        <v>001390</v>
      </c>
      <c r="F1427" t="s">
        <v>27246</v>
      </c>
      <c r="G1427" t="s">
        <v>27247</v>
      </c>
      <c r="H1427" t="s">
        <v>27248</v>
      </c>
      <c r="I1427" t="s">
        <v>30016</v>
      </c>
      <c r="J1427" t="s">
        <v>2863</v>
      </c>
      <c r="L1427" t="s">
        <v>27250</v>
      </c>
      <c r="M1427" t="s">
        <v>27251</v>
      </c>
      <c r="N1427" t="s">
        <v>27252</v>
      </c>
      <c r="Q1427" s="1">
        <v>44812</v>
      </c>
      <c r="R1427" t="s">
        <v>27253</v>
      </c>
      <c r="S1427" t="s">
        <v>27254</v>
      </c>
      <c r="T1427" t="s">
        <v>27255</v>
      </c>
    </row>
    <row r="1428" spans="1:20" x14ac:dyDescent="0.3">
      <c r="A1428" t="str">
        <f>"0611856841100"</f>
        <v>0611856841100</v>
      </c>
      <c r="B1428" t="str">
        <f>"LQ3877"</f>
        <v>LQ3877</v>
      </c>
      <c r="C1428" t="s">
        <v>30017</v>
      </c>
      <c r="D1428" t="s">
        <v>27245</v>
      </c>
      <c r="E1428" t="str">
        <f t="shared" si="22"/>
        <v>001390</v>
      </c>
      <c r="F1428" t="s">
        <v>27246</v>
      </c>
      <c r="G1428" t="s">
        <v>27247</v>
      </c>
      <c r="H1428" t="s">
        <v>27248</v>
      </c>
      <c r="I1428" t="s">
        <v>30018</v>
      </c>
      <c r="J1428" t="s">
        <v>2865</v>
      </c>
      <c r="L1428" t="s">
        <v>27250</v>
      </c>
      <c r="M1428" t="s">
        <v>27251</v>
      </c>
      <c r="N1428" t="s">
        <v>27252</v>
      </c>
      <c r="Q1428" s="1">
        <v>44812</v>
      </c>
      <c r="R1428" t="s">
        <v>27253</v>
      </c>
      <c r="S1428" t="s">
        <v>27254</v>
      </c>
      <c r="T1428" t="s">
        <v>27255</v>
      </c>
    </row>
    <row r="1429" spans="1:20" x14ac:dyDescent="0.3">
      <c r="A1429" t="str">
        <f>"0611831771100"</f>
        <v>0611831771100</v>
      </c>
      <c r="B1429" t="str">
        <f>"LQ0860"</f>
        <v>LQ0860</v>
      </c>
      <c r="C1429" t="s">
        <v>30019</v>
      </c>
      <c r="D1429" t="s">
        <v>27245</v>
      </c>
      <c r="E1429" t="str">
        <f t="shared" si="22"/>
        <v>001390</v>
      </c>
      <c r="F1429" t="s">
        <v>27246</v>
      </c>
      <c r="G1429" t="s">
        <v>27247</v>
      </c>
      <c r="H1429" t="s">
        <v>27248</v>
      </c>
      <c r="I1429" t="s">
        <v>30020</v>
      </c>
      <c r="J1429" t="s">
        <v>2867</v>
      </c>
      <c r="L1429" t="s">
        <v>27250</v>
      </c>
      <c r="M1429" t="s">
        <v>27251</v>
      </c>
      <c r="N1429" t="s">
        <v>27252</v>
      </c>
      <c r="Q1429" s="1">
        <v>44538</v>
      </c>
      <c r="R1429" t="s">
        <v>27253</v>
      </c>
      <c r="S1429" t="s">
        <v>27254</v>
      </c>
      <c r="T1429" t="s">
        <v>27255</v>
      </c>
    </row>
    <row r="1430" spans="1:20" x14ac:dyDescent="0.3">
      <c r="A1430" t="str">
        <f>"0611831773100"</f>
        <v>0611831773100</v>
      </c>
      <c r="B1430" t="str">
        <f>"LQ3743"</f>
        <v>LQ3743</v>
      </c>
      <c r="C1430" t="s">
        <v>30021</v>
      </c>
      <c r="D1430" t="s">
        <v>27245</v>
      </c>
      <c r="E1430" t="str">
        <f t="shared" si="22"/>
        <v>001390</v>
      </c>
      <c r="F1430" t="s">
        <v>27246</v>
      </c>
      <c r="G1430" t="s">
        <v>27247</v>
      </c>
      <c r="H1430" t="s">
        <v>27248</v>
      </c>
      <c r="I1430" t="s">
        <v>30022</v>
      </c>
      <c r="J1430" t="s">
        <v>2869</v>
      </c>
      <c r="L1430" t="s">
        <v>27250</v>
      </c>
      <c r="M1430" t="s">
        <v>27251</v>
      </c>
      <c r="N1430" t="s">
        <v>27252</v>
      </c>
      <c r="Q1430" s="1">
        <v>44538</v>
      </c>
      <c r="R1430" t="s">
        <v>27253</v>
      </c>
      <c r="S1430" t="s">
        <v>27254</v>
      </c>
      <c r="T1430" t="s">
        <v>27255</v>
      </c>
    </row>
    <row r="1431" spans="1:20" x14ac:dyDescent="0.3">
      <c r="A1431" t="str">
        <f>"0611831774100"</f>
        <v>0611831774100</v>
      </c>
      <c r="B1431" t="str">
        <f>"LQ3388"</f>
        <v>LQ3388</v>
      </c>
      <c r="C1431" t="s">
        <v>30023</v>
      </c>
      <c r="D1431" t="s">
        <v>27245</v>
      </c>
      <c r="E1431" t="str">
        <f t="shared" si="22"/>
        <v>001390</v>
      </c>
      <c r="F1431" t="s">
        <v>27246</v>
      </c>
      <c r="G1431" t="s">
        <v>27247</v>
      </c>
      <c r="H1431" t="s">
        <v>27248</v>
      </c>
      <c r="I1431" t="s">
        <v>30024</v>
      </c>
      <c r="J1431" t="s">
        <v>2871</v>
      </c>
      <c r="L1431" t="s">
        <v>27250</v>
      </c>
      <c r="M1431" t="s">
        <v>27251</v>
      </c>
      <c r="N1431" t="s">
        <v>27252</v>
      </c>
      <c r="Q1431" s="1">
        <v>44538</v>
      </c>
      <c r="R1431" t="s">
        <v>27253</v>
      </c>
      <c r="S1431" t="s">
        <v>27254</v>
      </c>
      <c r="T1431" t="s">
        <v>27255</v>
      </c>
    </row>
    <row r="1432" spans="1:20" x14ac:dyDescent="0.3">
      <c r="A1432" t="str">
        <f>"0611831775100"</f>
        <v>0611831775100</v>
      </c>
      <c r="B1432" t="str">
        <f>"LQ0861"</f>
        <v>LQ0861</v>
      </c>
      <c r="C1432" t="s">
        <v>30025</v>
      </c>
      <c r="D1432" t="s">
        <v>27245</v>
      </c>
      <c r="E1432" t="str">
        <f t="shared" si="22"/>
        <v>001390</v>
      </c>
      <c r="F1432" t="s">
        <v>27246</v>
      </c>
      <c r="G1432" t="s">
        <v>27247</v>
      </c>
      <c r="H1432" t="s">
        <v>27248</v>
      </c>
      <c r="I1432" t="s">
        <v>30026</v>
      </c>
      <c r="J1432" t="s">
        <v>2873</v>
      </c>
      <c r="L1432" t="s">
        <v>27250</v>
      </c>
      <c r="M1432" t="s">
        <v>27251</v>
      </c>
      <c r="N1432" t="s">
        <v>27252</v>
      </c>
      <c r="Q1432" s="1">
        <v>44538</v>
      </c>
      <c r="R1432" t="s">
        <v>27253</v>
      </c>
      <c r="S1432" t="s">
        <v>27254</v>
      </c>
      <c r="T1432" t="s">
        <v>27255</v>
      </c>
    </row>
    <row r="1433" spans="1:20" x14ac:dyDescent="0.3">
      <c r="A1433" t="str">
        <f>"0611831776100"</f>
        <v>0611831776100</v>
      </c>
      <c r="B1433" t="str">
        <f>"LQ6053"</f>
        <v>LQ6053</v>
      </c>
      <c r="C1433" t="s">
        <v>30027</v>
      </c>
      <c r="D1433" t="s">
        <v>27245</v>
      </c>
      <c r="E1433" t="str">
        <f t="shared" si="22"/>
        <v>001390</v>
      </c>
      <c r="F1433" t="s">
        <v>27246</v>
      </c>
      <c r="G1433" t="s">
        <v>27247</v>
      </c>
      <c r="H1433" t="s">
        <v>27248</v>
      </c>
      <c r="I1433" t="s">
        <v>30028</v>
      </c>
      <c r="J1433" t="s">
        <v>2875</v>
      </c>
      <c r="L1433" t="s">
        <v>27250</v>
      </c>
      <c r="M1433" t="s">
        <v>27251</v>
      </c>
      <c r="N1433" t="s">
        <v>27252</v>
      </c>
      <c r="Q1433" s="1">
        <v>44538</v>
      </c>
      <c r="R1433" t="s">
        <v>27253</v>
      </c>
      <c r="S1433" t="s">
        <v>27254</v>
      </c>
      <c r="T1433" t="s">
        <v>27255</v>
      </c>
    </row>
    <row r="1434" spans="1:20" x14ac:dyDescent="0.3">
      <c r="A1434" t="str">
        <f>"0611831777100"</f>
        <v>0611831777100</v>
      </c>
      <c r="B1434" t="str">
        <f>"LQ6054"</f>
        <v>LQ6054</v>
      </c>
      <c r="C1434" t="s">
        <v>30029</v>
      </c>
      <c r="D1434" t="s">
        <v>27245</v>
      </c>
      <c r="E1434" t="str">
        <f t="shared" si="22"/>
        <v>001390</v>
      </c>
      <c r="F1434" t="s">
        <v>27246</v>
      </c>
      <c r="G1434" t="s">
        <v>27247</v>
      </c>
      <c r="H1434" t="s">
        <v>27248</v>
      </c>
      <c r="I1434" t="s">
        <v>30030</v>
      </c>
      <c r="J1434" t="s">
        <v>2877</v>
      </c>
      <c r="L1434" t="s">
        <v>27250</v>
      </c>
      <c r="M1434" t="s">
        <v>27251</v>
      </c>
      <c r="N1434" t="s">
        <v>27252</v>
      </c>
      <c r="Q1434" s="1">
        <v>44538</v>
      </c>
      <c r="R1434" t="s">
        <v>27253</v>
      </c>
      <c r="S1434" t="s">
        <v>27254</v>
      </c>
      <c r="T1434" t="s">
        <v>27255</v>
      </c>
    </row>
    <row r="1435" spans="1:20" x14ac:dyDescent="0.3">
      <c r="A1435" t="str">
        <f>"0611860681050"</f>
        <v>0611860681050</v>
      </c>
      <c r="B1435" t="str">
        <f>"CE0388"</f>
        <v>CE0388</v>
      </c>
      <c r="C1435" t="s">
        <v>30031</v>
      </c>
      <c r="D1435" t="s">
        <v>27923</v>
      </c>
      <c r="E1435" t="str">
        <f t="shared" si="22"/>
        <v>001390</v>
      </c>
      <c r="F1435" t="s">
        <v>27246</v>
      </c>
      <c r="G1435" t="s">
        <v>27247</v>
      </c>
      <c r="H1435" t="s">
        <v>27248</v>
      </c>
      <c r="I1435" t="s">
        <v>30032</v>
      </c>
      <c r="J1435" t="s">
        <v>2879</v>
      </c>
      <c r="L1435" t="s">
        <v>27250</v>
      </c>
      <c r="M1435" t="s">
        <v>27251</v>
      </c>
      <c r="N1435" t="s">
        <v>27252</v>
      </c>
      <c r="P1435" t="s">
        <v>27925</v>
      </c>
      <c r="Q1435" s="1">
        <v>44846</v>
      </c>
      <c r="R1435" t="s">
        <v>27253</v>
      </c>
      <c r="S1435" t="s">
        <v>27254</v>
      </c>
      <c r="T1435" t="s">
        <v>27265</v>
      </c>
    </row>
    <row r="1436" spans="1:20" x14ac:dyDescent="0.3">
      <c r="A1436" t="str">
        <f>"0611860682050"</f>
        <v>0611860682050</v>
      </c>
      <c r="B1436" t="str">
        <f>"CE0764"</f>
        <v>CE0764</v>
      </c>
      <c r="C1436" t="s">
        <v>30033</v>
      </c>
      <c r="D1436" t="s">
        <v>27923</v>
      </c>
      <c r="E1436" t="str">
        <f t="shared" si="22"/>
        <v>001390</v>
      </c>
      <c r="F1436" t="s">
        <v>27246</v>
      </c>
      <c r="G1436" t="s">
        <v>27247</v>
      </c>
      <c r="H1436" t="s">
        <v>27248</v>
      </c>
      <c r="I1436" t="s">
        <v>30034</v>
      </c>
      <c r="J1436" t="s">
        <v>2881</v>
      </c>
      <c r="L1436" t="s">
        <v>27250</v>
      </c>
      <c r="M1436" t="s">
        <v>27251</v>
      </c>
      <c r="N1436" t="s">
        <v>27252</v>
      </c>
      <c r="P1436" t="s">
        <v>27925</v>
      </c>
      <c r="Q1436" s="1">
        <v>44846</v>
      </c>
      <c r="R1436" t="s">
        <v>27253</v>
      </c>
      <c r="S1436" t="s">
        <v>27254</v>
      </c>
      <c r="T1436" t="s">
        <v>27265</v>
      </c>
    </row>
    <row r="1437" spans="1:20" x14ac:dyDescent="0.3">
      <c r="A1437" t="str">
        <f>"0611860683050"</f>
        <v>0611860683050</v>
      </c>
      <c r="B1437" t="str">
        <f>"CE1298"</f>
        <v>CE1298</v>
      </c>
      <c r="C1437" t="s">
        <v>30035</v>
      </c>
      <c r="D1437" t="s">
        <v>27923</v>
      </c>
      <c r="E1437" t="str">
        <f t="shared" si="22"/>
        <v>001390</v>
      </c>
      <c r="F1437" t="s">
        <v>27246</v>
      </c>
      <c r="G1437" t="s">
        <v>27247</v>
      </c>
      <c r="H1437" t="s">
        <v>27248</v>
      </c>
      <c r="I1437" t="s">
        <v>30036</v>
      </c>
      <c r="J1437" t="s">
        <v>2883</v>
      </c>
      <c r="L1437" t="s">
        <v>27250</v>
      </c>
      <c r="M1437" t="s">
        <v>27251</v>
      </c>
      <c r="N1437" t="s">
        <v>27252</v>
      </c>
      <c r="P1437" t="s">
        <v>27925</v>
      </c>
      <c r="Q1437" s="1">
        <v>44846</v>
      </c>
      <c r="R1437" t="s">
        <v>27253</v>
      </c>
      <c r="S1437" t="s">
        <v>27254</v>
      </c>
      <c r="T1437" t="s">
        <v>27265</v>
      </c>
    </row>
    <row r="1438" spans="1:20" x14ac:dyDescent="0.3">
      <c r="A1438" t="str">
        <f>"0611860684050"</f>
        <v>0611860684050</v>
      </c>
      <c r="B1438" t="str">
        <f>"CE0843"</f>
        <v>CE0843</v>
      </c>
      <c r="C1438" t="s">
        <v>30037</v>
      </c>
      <c r="D1438" t="s">
        <v>27923</v>
      </c>
      <c r="E1438" t="str">
        <f t="shared" si="22"/>
        <v>001390</v>
      </c>
      <c r="F1438" t="s">
        <v>27246</v>
      </c>
      <c r="G1438" t="s">
        <v>27247</v>
      </c>
      <c r="H1438" t="s">
        <v>27248</v>
      </c>
      <c r="I1438" t="s">
        <v>30038</v>
      </c>
      <c r="J1438" t="s">
        <v>2885</v>
      </c>
      <c r="L1438" t="s">
        <v>27250</v>
      </c>
      <c r="M1438" t="s">
        <v>27251</v>
      </c>
      <c r="N1438" t="s">
        <v>27252</v>
      </c>
      <c r="P1438" t="s">
        <v>27925</v>
      </c>
      <c r="Q1438" s="1">
        <v>44846</v>
      </c>
      <c r="R1438" t="s">
        <v>27253</v>
      </c>
      <c r="S1438" t="s">
        <v>27254</v>
      </c>
      <c r="T1438" t="s">
        <v>27265</v>
      </c>
    </row>
    <row r="1439" spans="1:20" x14ac:dyDescent="0.3">
      <c r="A1439" t="str">
        <f>"0611831778100"</f>
        <v>0611831778100</v>
      </c>
      <c r="B1439" t="str">
        <f>"LQ3290"</f>
        <v>LQ3290</v>
      </c>
      <c r="C1439" t="s">
        <v>30039</v>
      </c>
      <c r="D1439" t="s">
        <v>27245</v>
      </c>
      <c r="E1439" t="str">
        <f t="shared" si="22"/>
        <v>001390</v>
      </c>
      <c r="F1439" t="s">
        <v>27246</v>
      </c>
      <c r="G1439" t="s">
        <v>27247</v>
      </c>
      <c r="H1439" t="s">
        <v>27248</v>
      </c>
      <c r="I1439" t="s">
        <v>30040</v>
      </c>
      <c r="J1439" t="s">
        <v>2887</v>
      </c>
      <c r="L1439" t="s">
        <v>27250</v>
      </c>
      <c r="M1439" t="s">
        <v>27251</v>
      </c>
      <c r="N1439" t="s">
        <v>27252</v>
      </c>
      <c r="Q1439" s="1">
        <v>44538</v>
      </c>
      <c r="R1439" t="s">
        <v>27253</v>
      </c>
      <c r="S1439" t="s">
        <v>27254</v>
      </c>
      <c r="T1439" t="s">
        <v>27255</v>
      </c>
    </row>
    <row r="1440" spans="1:20" x14ac:dyDescent="0.3">
      <c r="A1440" t="str">
        <f>"0611831779100"</f>
        <v>0611831779100</v>
      </c>
      <c r="B1440" t="str">
        <f>"LQ6090"</f>
        <v>LQ6090</v>
      </c>
      <c r="C1440" t="s">
        <v>30041</v>
      </c>
      <c r="D1440" t="s">
        <v>27245</v>
      </c>
      <c r="E1440" t="str">
        <f t="shared" si="22"/>
        <v>001390</v>
      </c>
      <c r="F1440" t="s">
        <v>27246</v>
      </c>
      <c r="G1440" t="s">
        <v>27247</v>
      </c>
      <c r="H1440" t="s">
        <v>27248</v>
      </c>
      <c r="I1440" t="s">
        <v>30042</v>
      </c>
      <c r="J1440" t="s">
        <v>2889</v>
      </c>
      <c r="L1440" t="s">
        <v>27250</v>
      </c>
      <c r="M1440" t="s">
        <v>27251</v>
      </c>
      <c r="N1440" t="s">
        <v>27252</v>
      </c>
      <c r="Q1440" s="1">
        <v>44538</v>
      </c>
      <c r="R1440" t="s">
        <v>27253</v>
      </c>
      <c r="S1440" t="s">
        <v>27254</v>
      </c>
      <c r="T1440" t="s">
        <v>27255</v>
      </c>
    </row>
    <row r="1441" spans="1:20" x14ac:dyDescent="0.3">
      <c r="A1441" t="str">
        <f>"0611831780100"</f>
        <v>0611831780100</v>
      </c>
      <c r="B1441" t="str">
        <f>"LK6990"</f>
        <v>LK6990</v>
      </c>
      <c r="C1441" t="s">
        <v>30043</v>
      </c>
      <c r="D1441" t="s">
        <v>27245</v>
      </c>
      <c r="E1441" t="str">
        <f t="shared" si="22"/>
        <v>001390</v>
      </c>
      <c r="F1441" t="s">
        <v>27246</v>
      </c>
      <c r="G1441" t="s">
        <v>27247</v>
      </c>
      <c r="H1441" t="s">
        <v>27248</v>
      </c>
      <c r="I1441" t="s">
        <v>30044</v>
      </c>
      <c r="J1441" t="s">
        <v>2891</v>
      </c>
      <c r="L1441" t="s">
        <v>27250</v>
      </c>
      <c r="M1441" t="s">
        <v>27251</v>
      </c>
      <c r="N1441" t="s">
        <v>27252</v>
      </c>
      <c r="Q1441" s="1">
        <v>44538</v>
      </c>
      <c r="R1441" t="s">
        <v>27253</v>
      </c>
      <c r="S1441" t="s">
        <v>27254</v>
      </c>
      <c r="T1441" t="s">
        <v>27255</v>
      </c>
    </row>
    <row r="1442" spans="1:20" x14ac:dyDescent="0.3">
      <c r="A1442" t="str">
        <f>"0611860685050"</f>
        <v>0611860685050</v>
      </c>
      <c r="B1442" t="str">
        <f>"CR4917"</f>
        <v>CR4917</v>
      </c>
      <c r="C1442" t="s">
        <v>30045</v>
      </c>
      <c r="D1442" t="s">
        <v>27263</v>
      </c>
      <c r="E1442" t="str">
        <f t="shared" si="22"/>
        <v>001390</v>
      </c>
      <c r="F1442" t="s">
        <v>27246</v>
      </c>
      <c r="G1442" t="s">
        <v>27247</v>
      </c>
      <c r="H1442" t="s">
        <v>27248</v>
      </c>
      <c r="I1442" t="s">
        <v>30046</v>
      </c>
      <c r="J1442" t="s">
        <v>2893</v>
      </c>
      <c r="L1442" t="s">
        <v>27250</v>
      </c>
      <c r="M1442" t="s">
        <v>27251</v>
      </c>
      <c r="N1442" t="s">
        <v>27252</v>
      </c>
      <c r="Q1442" s="1">
        <v>44846</v>
      </c>
      <c r="R1442" t="s">
        <v>27253</v>
      </c>
      <c r="S1442" t="s">
        <v>27254</v>
      </c>
      <c r="T1442" t="s">
        <v>27265</v>
      </c>
    </row>
    <row r="1443" spans="1:20" x14ac:dyDescent="0.3">
      <c r="A1443" t="str">
        <f>"0611860686050"</f>
        <v>0611860686050</v>
      </c>
      <c r="B1443" t="str">
        <f>"CR4919"</f>
        <v>CR4919</v>
      </c>
      <c r="C1443" t="s">
        <v>30047</v>
      </c>
      <c r="D1443" t="s">
        <v>27263</v>
      </c>
      <c r="E1443" t="str">
        <f t="shared" si="22"/>
        <v>001390</v>
      </c>
      <c r="F1443" t="s">
        <v>27246</v>
      </c>
      <c r="G1443" t="s">
        <v>27247</v>
      </c>
      <c r="H1443" t="s">
        <v>27248</v>
      </c>
      <c r="I1443" t="s">
        <v>30048</v>
      </c>
      <c r="J1443" t="s">
        <v>2895</v>
      </c>
      <c r="L1443" t="s">
        <v>27250</v>
      </c>
      <c r="M1443" t="s">
        <v>27251</v>
      </c>
      <c r="N1443" t="s">
        <v>27252</v>
      </c>
      <c r="Q1443" s="1">
        <v>44846</v>
      </c>
      <c r="R1443" t="s">
        <v>27253</v>
      </c>
      <c r="S1443" t="s">
        <v>27254</v>
      </c>
      <c r="T1443" t="s">
        <v>27265</v>
      </c>
    </row>
    <row r="1444" spans="1:20" x14ac:dyDescent="0.3">
      <c r="A1444" t="str">
        <f>"0611860687050"</f>
        <v>0611860687050</v>
      </c>
      <c r="B1444" t="str">
        <f>"CR4918"</f>
        <v>CR4918</v>
      </c>
      <c r="C1444" t="s">
        <v>30049</v>
      </c>
      <c r="D1444" t="s">
        <v>27263</v>
      </c>
      <c r="E1444" t="str">
        <f t="shared" si="22"/>
        <v>001390</v>
      </c>
      <c r="F1444" t="s">
        <v>27246</v>
      </c>
      <c r="G1444" t="s">
        <v>27247</v>
      </c>
      <c r="H1444" t="s">
        <v>27248</v>
      </c>
      <c r="I1444" t="s">
        <v>30050</v>
      </c>
      <c r="J1444" t="s">
        <v>2897</v>
      </c>
      <c r="L1444" t="s">
        <v>27250</v>
      </c>
      <c r="M1444" t="s">
        <v>27251</v>
      </c>
      <c r="N1444" t="s">
        <v>27252</v>
      </c>
      <c r="Q1444" s="1">
        <v>44846</v>
      </c>
      <c r="R1444" t="s">
        <v>27253</v>
      </c>
      <c r="S1444" t="s">
        <v>27254</v>
      </c>
      <c r="T1444" t="s">
        <v>27265</v>
      </c>
    </row>
    <row r="1445" spans="1:20" x14ac:dyDescent="0.3">
      <c r="A1445" t="str">
        <f>"0611860688050"</f>
        <v>0611860688050</v>
      </c>
      <c r="B1445" t="str">
        <f>"CR4920"</f>
        <v>CR4920</v>
      </c>
      <c r="C1445" t="s">
        <v>30051</v>
      </c>
      <c r="D1445" t="s">
        <v>27263</v>
      </c>
      <c r="E1445" t="str">
        <f t="shared" si="22"/>
        <v>001390</v>
      </c>
      <c r="F1445" t="s">
        <v>27246</v>
      </c>
      <c r="G1445" t="s">
        <v>27247</v>
      </c>
      <c r="H1445" t="s">
        <v>27248</v>
      </c>
      <c r="I1445" t="s">
        <v>30052</v>
      </c>
      <c r="J1445" t="s">
        <v>2899</v>
      </c>
      <c r="L1445" t="s">
        <v>27250</v>
      </c>
      <c r="M1445" t="s">
        <v>27251</v>
      </c>
      <c r="N1445" t="s">
        <v>27252</v>
      </c>
      <c r="Q1445" s="1">
        <v>44846</v>
      </c>
      <c r="R1445" t="s">
        <v>27253</v>
      </c>
      <c r="S1445" t="s">
        <v>27254</v>
      </c>
      <c r="T1445" t="s">
        <v>27265</v>
      </c>
    </row>
    <row r="1446" spans="1:20" x14ac:dyDescent="0.3">
      <c r="A1446" t="str">
        <f>"0611831781100"</f>
        <v>0611831781100</v>
      </c>
      <c r="B1446" t="str">
        <f>"LQ3825"</f>
        <v>LQ3825</v>
      </c>
      <c r="C1446" t="s">
        <v>30053</v>
      </c>
      <c r="D1446" t="s">
        <v>27245</v>
      </c>
      <c r="E1446" t="str">
        <f t="shared" si="22"/>
        <v>001390</v>
      </c>
      <c r="F1446" t="s">
        <v>27246</v>
      </c>
      <c r="G1446" t="s">
        <v>27247</v>
      </c>
      <c r="H1446" t="s">
        <v>27248</v>
      </c>
      <c r="I1446" t="s">
        <v>30054</v>
      </c>
      <c r="J1446" t="s">
        <v>2901</v>
      </c>
      <c r="L1446" t="s">
        <v>27250</v>
      </c>
      <c r="M1446" t="s">
        <v>27251</v>
      </c>
      <c r="N1446" t="s">
        <v>27252</v>
      </c>
      <c r="Q1446" s="1">
        <v>44538</v>
      </c>
      <c r="R1446" t="s">
        <v>27253</v>
      </c>
      <c r="S1446" t="s">
        <v>27254</v>
      </c>
      <c r="T1446" t="s">
        <v>27255</v>
      </c>
    </row>
    <row r="1447" spans="1:20" x14ac:dyDescent="0.3">
      <c r="A1447" t="str">
        <f>"0611856842100"</f>
        <v>0611856842100</v>
      </c>
      <c r="B1447" t="str">
        <f>"LQ6251"</f>
        <v>LQ6251</v>
      </c>
      <c r="C1447" t="s">
        <v>30055</v>
      </c>
      <c r="D1447" t="s">
        <v>27245</v>
      </c>
      <c r="E1447" t="str">
        <f t="shared" si="22"/>
        <v>001390</v>
      </c>
      <c r="F1447" t="s">
        <v>27246</v>
      </c>
      <c r="G1447" t="s">
        <v>27247</v>
      </c>
      <c r="H1447" t="s">
        <v>27248</v>
      </c>
      <c r="I1447" t="s">
        <v>30056</v>
      </c>
      <c r="J1447" t="s">
        <v>2903</v>
      </c>
      <c r="L1447" t="s">
        <v>27250</v>
      </c>
      <c r="M1447" t="s">
        <v>27251</v>
      </c>
      <c r="N1447" t="s">
        <v>27252</v>
      </c>
      <c r="Q1447" s="1">
        <v>44812</v>
      </c>
      <c r="R1447" t="s">
        <v>27253</v>
      </c>
      <c r="S1447" t="s">
        <v>27254</v>
      </c>
      <c r="T1447" t="s">
        <v>27255</v>
      </c>
    </row>
    <row r="1448" spans="1:20" x14ac:dyDescent="0.3">
      <c r="A1448" t="str">
        <f>"0611831767100"</f>
        <v>0611831767100</v>
      </c>
      <c r="B1448" t="str">
        <f>"LK6370"</f>
        <v>LK6370</v>
      </c>
      <c r="C1448" t="s">
        <v>30057</v>
      </c>
      <c r="D1448" t="s">
        <v>27245</v>
      </c>
      <c r="E1448" t="str">
        <f t="shared" si="22"/>
        <v>001390</v>
      </c>
      <c r="F1448" t="s">
        <v>27246</v>
      </c>
      <c r="G1448" t="s">
        <v>27247</v>
      </c>
      <c r="H1448" t="s">
        <v>27248</v>
      </c>
      <c r="I1448" t="s">
        <v>30058</v>
      </c>
      <c r="J1448" t="s">
        <v>2905</v>
      </c>
      <c r="L1448" t="s">
        <v>27250</v>
      </c>
      <c r="M1448" t="s">
        <v>27251</v>
      </c>
      <c r="N1448" t="s">
        <v>27252</v>
      </c>
      <c r="Q1448" s="1">
        <v>44538</v>
      </c>
      <c r="R1448" t="s">
        <v>27253</v>
      </c>
      <c r="S1448" t="s">
        <v>27254</v>
      </c>
      <c r="T1448" t="s">
        <v>27255</v>
      </c>
    </row>
    <row r="1449" spans="1:20" x14ac:dyDescent="0.3">
      <c r="A1449" t="str">
        <f>"0611831782100"</f>
        <v>0611831782100</v>
      </c>
      <c r="B1449" t="str">
        <f>"LQ6091"</f>
        <v>LQ6091</v>
      </c>
      <c r="C1449" t="s">
        <v>30059</v>
      </c>
      <c r="D1449" t="s">
        <v>27245</v>
      </c>
      <c r="E1449" t="str">
        <f t="shared" si="22"/>
        <v>001390</v>
      </c>
      <c r="F1449" t="s">
        <v>27246</v>
      </c>
      <c r="G1449" t="s">
        <v>27247</v>
      </c>
      <c r="H1449" t="s">
        <v>27248</v>
      </c>
      <c r="I1449" t="s">
        <v>30060</v>
      </c>
      <c r="J1449" t="s">
        <v>2907</v>
      </c>
      <c r="L1449" t="s">
        <v>27250</v>
      </c>
      <c r="M1449" t="s">
        <v>27251</v>
      </c>
      <c r="N1449" t="s">
        <v>27252</v>
      </c>
      <c r="Q1449" s="1">
        <v>44538</v>
      </c>
      <c r="R1449" t="s">
        <v>27253</v>
      </c>
      <c r="S1449" t="s">
        <v>27254</v>
      </c>
      <c r="T1449" t="s">
        <v>27255</v>
      </c>
    </row>
    <row r="1450" spans="1:20" x14ac:dyDescent="0.3">
      <c r="A1450" t="str">
        <f>"0611831783100"</f>
        <v>0611831783100</v>
      </c>
      <c r="B1450" t="str">
        <f>"LQ5499"</f>
        <v>LQ5499</v>
      </c>
      <c r="C1450" t="s">
        <v>30061</v>
      </c>
      <c r="D1450" t="s">
        <v>27245</v>
      </c>
      <c r="E1450" t="str">
        <f t="shared" si="22"/>
        <v>001390</v>
      </c>
      <c r="F1450" t="s">
        <v>27246</v>
      </c>
      <c r="G1450" t="s">
        <v>27247</v>
      </c>
      <c r="H1450" t="s">
        <v>27248</v>
      </c>
      <c r="I1450" t="s">
        <v>30062</v>
      </c>
      <c r="J1450" t="s">
        <v>2909</v>
      </c>
      <c r="L1450" t="s">
        <v>27250</v>
      </c>
      <c r="M1450" t="s">
        <v>27251</v>
      </c>
      <c r="N1450" t="s">
        <v>27252</v>
      </c>
      <c r="Q1450" s="1">
        <v>44538</v>
      </c>
      <c r="R1450" t="s">
        <v>27253</v>
      </c>
      <c r="S1450" t="s">
        <v>27254</v>
      </c>
      <c r="T1450" t="s">
        <v>27255</v>
      </c>
    </row>
    <row r="1451" spans="1:20" x14ac:dyDescent="0.3">
      <c r="A1451" t="str">
        <f>"0611831784100"</f>
        <v>0611831784100</v>
      </c>
      <c r="B1451" t="str">
        <f>"LQ5996"</f>
        <v>LQ5996</v>
      </c>
      <c r="C1451" t="s">
        <v>30063</v>
      </c>
      <c r="D1451" t="s">
        <v>27245</v>
      </c>
      <c r="E1451" t="str">
        <f t="shared" si="22"/>
        <v>001390</v>
      </c>
      <c r="F1451" t="s">
        <v>27246</v>
      </c>
      <c r="G1451" t="s">
        <v>27247</v>
      </c>
      <c r="H1451" t="s">
        <v>27248</v>
      </c>
      <c r="I1451" t="s">
        <v>30064</v>
      </c>
      <c r="J1451" t="s">
        <v>2911</v>
      </c>
      <c r="L1451" t="s">
        <v>27250</v>
      </c>
      <c r="M1451" t="s">
        <v>27251</v>
      </c>
      <c r="N1451" t="s">
        <v>27252</v>
      </c>
      <c r="Q1451" s="1">
        <v>44538</v>
      </c>
      <c r="R1451" t="s">
        <v>27253</v>
      </c>
      <c r="S1451" t="s">
        <v>27254</v>
      </c>
      <c r="T1451" t="s">
        <v>27255</v>
      </c>
    </row>
    <row r="1452" spans="1:20" x14ac:dyDescent="0.3">
      <c r="A1452" t="str">
        <f>"0611831785100"</f>
        <v>0611831785100</v>
      </c>
      <c r="B1452" t="str">
        <f>"LB1230"</f>
        <v>LB1230</v>
      </c>
      <c r="C1452" t="s">
        <v>30065</v>
      </c>
      <c r="D1452" t="s">
        <v>27245</v>
      </c>
      <c r="E1452" t="str">
        <f t="shared" si="22"/>
        <v>001390</v>
      </c>
      <c r="F1452" t="s">
        <v>27246</v>
      </c>
      <c r="G1452" t="s">
        <v>27247</v>
      </c>
      <c r="H1452" t="s">
        <v>27248</v>
      </c>
      <c r="I1452" t="s">
        <v>30066</v>
      </c>
      <c r="J1452" t="s">
        <v>2913</v>
      </c>
      <c r="L1452" t="s">
        <v>27250</v>
      </c>
      <c r="M1452" t="s">
        <v>27251</v>
      </c>
      <c r="N1452" t="s">
        <v>27252</v>
      </c>
      <c r="Q1452" s="1">
        <v>44538</v>
      </c>
      <c r="R1452" t="s">
        <v>27253</v>
      </c>
      <c r="S1452" t="s">
        <v>27254</v>
      </c>
      <c r="T1452" t="s">
        <v>27255</v>
      </c>
    </row>
    <row r="1453" spans="1:20" x14ac:dyDescent="0.3">
      <c r="A1453" t="str">
        <f>"0611831786100"</f>
        <v>0611831786100</v>
      </c>
      <c r="B1453" t="str">
        <f>"LQ6153"</f>
        <v>LQ6153</v>
      </c>
      <c r="C1453" t="s">
        <v>30067</v>
      </c>
      <c r="D1453" t="s">
        <v>27245</v>
      </c>
      <c r="E1453" t="str">
        <f t="shared" si="22"/>
        <v>001390</v>
      </c>
      <c r="F1453" t="s">
        <v>27246</v>
      </c>
      <c r="G1453" t="s">
        <v>27247</v>
      </c>
      <c r="H1453" t="s">
        <v>27248</v>
      </c>
      <c r="I1453" t="s">
        <v>30068</v>
      </c>
      <c r="J1453" t="s">
        <v>2915</v>
      </c>
      <c r="L1453" t="s">
        <v>27250</v>
      </c>
      <c r="M1453" t="s">
        <v>27251</v>
      </c>
      <c r="N1453" t="s">
        <v>27252</v>
      </c>
      <c r="Q1453" s="1">
        <v>44538</v>
      </c>
      <c r="R1453" t="s">
        <v>27253</v>
      </c>
      <c r="S1453" t="s">
        <v>27254</v>
      </c>
      <c r="T1453" t="s">
        <v>27255</v>
      </c>
    </row>
    <row r="1454" spans="1:20" x14ac:dyDescent="0.3">
      <c r="A1454" t="str">
        <f>"0611831787100"</f>
        <v>0611831787100</v>
      </c>
      <c r="B1454" t="str">
        <f>"LQ5833"</f>
        <v>LQ5833</v>
      </c>
      <c r="C1454" t="s">
        <v>30069</v>
      </c>
      <c r="D1454" t="s">
        <v>27245</v>
      </c>
      <c r="E1454" t="str">
        <f t="shared" si="22"/>
        <v>001390</v>
      </c>
      <c r="F1454" t="s">
        <v>27246</v>
      </c>
      <c r="G1454" t="s">
        <v>27247</v>
      </c>
      <c r="H1454" t="s">
        <v>27248</v>
      </c>
      <c r="I1454" t="s">
        <v>30070</v>
      </c>
      <c r="J1454" t="s">
        <v>2917</v>
      </c>
      <c r="L1454" t="s">
        <v>27250</v>
      </c>
      <c r="M1454" t="s">
        <v>27251</v>
      </c>
      <c r="N1454" t="s">
        <v>27252</v>
      </c>
      <c r="Q1454" s="1">
        <v>44538</v>
      </c>
      <c r="R1454" t="s">
        <v>27253</v>
      </c>
      <c r="S1454" t="s">
        <v>27254</v>
      </c>
      <c r="T1454" t="s">
        <v>27255</v>
      </c>
    </row>
    <row r="1455" spans="1:20" x14ac:dyDescent="0.3">
      <c r="A1455" t="str">
        <f>"0611839511100"</f>
        <v>0611839511100</v>
      </c>
      <c r="B1455" t="str">
        <f>"MB0010"</f>
        <v>MB0010</v>
      </c>
      <c r="C1455" t="s">
        <v>30071</v>
      </c>
      <c r="D1455" t="s">
        <v>27274</v>
      </c>
      <c r="E1455" t="str">
        <f t="shared" si="22"/>
        <v>001390</v>
      </c>
      <c r="F1455" t="s">
        <v>27246</v>
      </c>
      <c r="G1455" t="s">
        <v>27247</v>
      </c>
      <c r="H1455" t="s">
        <v>27248</v>
      </c>
      <c r="I1455" t="s">
        <v>30072</v>
      </c>
      <c r="J1455" t="s">
        <v>2919</v>
      </c>
      <c r="L1455" t="s">
        <v>27250</v>
      </c>
      <c r="M1455" t="s">
        <v>27251</v>
      </c>
      <c r="N1455" t="s">
        <v>27252</v>
      </c>
      <c r="Q1455" s="1">
        <v>44538</v>
      </c>
      <c r="R1455" t="s">
        <v>27253</v>
      </c>
      <c r="S1455" t="s">
        <v>27254</v>
      </c>
      <c r="T1455" t="s">
        <v>27276</v>
      </c>
    </row>
    <row r="1456" spans="1:20" x14ac:dyDescent="0.3">
      <c r="A1456" t="str">
        <f>"0611839512100"</f>
        <v>0611839512100</v>
      </c>
      <c r="B1456" t="str">
        <f>"LA0010"</f>
        <v>LA0010</v>
      </c>
      <c r="C1456" t="s">
        <v>30073</v>
      </c>
      <c r="D1456" t="s">
        <v>27245</v>
      </c>
      <c r="E1456" t="str">
        <f t="shared" si="22"/>
        <v>001390</v>
      </c>
      <c r="F1456" t="s">
        <v>27246</v>
      </c>
      <c r="G1456" t="s">
        <v>27247</v>
      </c>
      <c r="H1456" t="s">
        <v>27248</v>
      </c>
      <c r="I1456" t="s">
        <v>30074</v>
      </c>
      <c r="J1456" t="s">
        <v>2921</v>
      </c>
      <c r="L1456" t="s">
        <v>27250</v>
      </c>
      <c r="M1456" t="s">
        <v>27251</v>
      </c>
      <c r="N1456" t="s">
        <v>27252</v>
      </c>
      <c r="Q1456" s="1">
        <v>44538</v>
      </c>
      <c r="R1456" t="s">
        <v>27253</v>
      </c>
      <c r="S1456" t="s">
        <v>27254</v>
      </c>
      <c r="T1456" t="s">
        <v>27255</v>
      </c>
    </row>
    <row r="1457" spans="1:20" x14ac:dyDescent="0.3">
      <c r="A1457" t="str">
        <f>"0611839513025"</f>
        <v>0611839513025</v>
      </c>
      <c r="B1457" t="str">
        <f>"MC0753"</f>
        <v>MC0753</v>
      </c>
      <c r="C1457" t="s">
        <v>30075</v>
      </c>
      <c r="D1457" t="s">
        <v>27267</v>
      </c>
      <c r="E1457" t="str">
        <f t="shared" si="22"/>
        <v>001390</v>
      </c>
      <c r="F1457" t="s">
        <v>27246</v>
      </c>
      <c r="G1457" t="s">
        <v>27247</v>
      </c>
      <c r="H1457" t="s">
        <v>27248</v>
      </c>
      <c r="I1457" t="s">
        <v>30076</v>
      </c>
      <c r="J1457" t="s">
        <v>2923</v>
      </c>
      <c r="L1457" t="s">
        <v>27250</v>
      </c>
      <c r="M1457" t="s">
        <v>27251</v>
      </c>
      <c r="N1457" t="s">
        <v>27252</v>
      </c>
      <c r="Q1457" s="1">
        <v>44538</v>
      </c>
      <c r="R1457" t="s">
        <v>27253</v>
      </c>
      <c r="S1457" t="s">
        <v>27254</v>
      </c>
      <c r="T1457" t="s">
        <v>27269</v>
      </c>
    </row>
    <row r="1458" spans="1:20" x14ac:dyDescent="0.3">
      <c r="A1458" t="str">
        <f>"0611839897025"</f>
        <v>0611839897025</v>
      </c>
      <c r="B1458" t="str">
        <f>"MC3664"</f>
        <v>MC3664</v>
      </c>
      <c r="C1458" t="s">
        <v>30077</v>
      </c>
      <c r="D1458" t="s">
        <v>27267</v>
      </c>
      <c r="E1458" t="str">
        <f t="shared" si="22"/>
        <v>001390</v>
      </c>
      <c r="F1458" t="s">
        <v>27246</v>
      </c>
      <c r="G1458" t="s">
        <v>27247</v>
      </c>
      <c r="H1458" t="s">
        <v>27248</v>
      </c>
      <c r="I1458" t="s">
        <v>30078</v>
      </c>
      <c r="J1458" t="s">
        <v>2925</v>
      </c>
      <c r="L1458" t="s">
        <v>27250</v>
      </c>
      <c r="M1458" t="s">
        <v>27251</v>
      </c>
      <c r="N1458" t="s">
        <v>27252</v>
      </c>
      <c r="Q1458" s="1">
        <v>44538</v>
      </c>
      <c r="R1458" t="s">
        <v>27253</v>
      </c>
      <c r="S1458" t="s">
        <v>27254</v>
      </c>
      <c r="T1458" t="s">
        <v>27269</v>
      </c>
    </row>
    <row r="1459" spans="1:20" x14ac:dyDescent="0.3">
      <c r="A1459" t="str">
        <f>"0611831788100"</f>
        <v>0611831788100</v>
      </c>
      <c r="B1459" t="str">
        <f>"LF2023"</f>
        <v>LF2023</v>
      </c>
      <c r="C1459" t="s">
        <v>30079</v>
      </c>
      <c r="D1459" t="s">
        <v>27245</v>
      </c>
      <c r="E1459" t="str">
        <f t="shared" si="22"/>
        <v>001390</v>
      </c>
      <c r="F1459" t="s">
        <v>27246</v>
      </c>
      <c r="G1459" t="s">
        <v>27247</v>
      </c>
      <c r="H1459" t="s">
        <v>27248</v>
      </c>
      <c r="I1459" t="s">
        <v>30080</v>
      </c>
      <c r="J1459" t="s">
        <v>2927</v>
      </c>
      <c r="L1459" t="s">
        <v>27250</v>
      </c>
      <c r="M1459" t="s">
        <v>27251</v>
      </c>
      <c r="N1459" t="s">
        <v>27252</v>
      </c>
      <c r="Q1459" s="1">
        <v>44538</v>
      </c>
      <c r="R1459" t="s">
        <v>27253</v>
      </c>
      <c r="S1459" t="s">
        <v>27254</v>
      </c>
      <c r="T1459" t="s">
        <v>27255</v>
      </c>
    </row>
    <row r="1460" spans="1:20" x14ac:dyDescent="0.3">
      <c r="A1460" t="str">
        <f>"0611831789100"</f>
        <v>0611831789100</v>
      </c>
      <c r="B1460" t="str">
        <f>"LC5340"</f>
        <v>LC5340</v>
      </c>
      <c r="C1460" t="s">
        <v>30081</v>
      </c>
      <c r="D1460" t="s">
        <v>27245</v>
      </c>
      <c r="E1460" t="str">
        <f t="shared" si="22"/>
        <v>001390</v>
      </c>
      <c r="F1460" t="s">
        <v>27246</v>
      </c>
      <c r="G1460" t="s">
        <v>27247</v>
      </c>
      <c r="H1460" t="s">
        <v>27248</v>
      </c>
      <c r="I1460" t="s">
        <v>30082</v>
      </c>
      <c r="J1460" t="s">
        <v>2929</v>
      </c>
      <c r="L1460" t="s">
        <v>27250</v>
      </c>
      <c r="M1460" t="s">
        <v>27251</v>
      </c>
      <c r="N1460" t="s">
        <v>27252</v>
      </c>
      <c r="Q1460" s="1">
        <v>44538</v>
      </c>
      <c r="R1460" t="s">
        <v>27253</v>
      </c>
      <c r="S1460" t="s">
        <v>27254</v>
      </c>
      <c r="T1460" t="s">
        <v>27255</v>
      </c>
    </row>
    <row r="1461" spans="1:20" x14ac:dyDescent="0.3">
      <c r="A1461" t="str">
        <f>"0611884056025"</f>
        <v>0611884056025</v>
      </c>
      <c r="B1461" t="str">
        <f>"MC4467"</f>
        <v>MC4467</v>
      </c>
      <c r="C1461" t="s">
        <v>30083</v>
      </c>
      <c r="D1461" t="s">
        <v>27267</v>
      </c>
      <c r="E1461" t="str">
        <f t="shared" si="22"/>
        <v>001390</v>
      </c>
      <c r="F1461" t="s">
        <v>27246</v>
      </c>
      <c r="G1461" t="s">
        <v>27247</v>
      </c>
      <c r="H1461" t="s">
        <v>27248</v>
      </c>
      <c r="I1461" t="s">
        <v>30084</v>
      </c>
      <c r="J1461" t="s">
        <v>2931</v>
      </c>
      <c r="L1461" t="s">
        <v>27430</v>
      </c>
      <c r="M1461" t="s">
        <v>27251</v>
      </c>
      <c r="N1461" t="s">
        <v>27252</v>
      </c>
      <c r="Q1461" s="1">
        <v>45250</v>
      </c>
      <c r="R1461" t="s">
        <v>27253</v>
      </c>
      <c r="S1461" t="s">
        <v>27254</v>
      </c>
      <c r="T1461" t="s">
        <v>27269</v>
      </c>
    </row>
    <row r="1462" spans="1:20" x14ac:dyDescent="0.3">
      <c r="A1462" t="str">
        <f>"0611831790100"</f>
        <v>0611831790100</v>
      </c>
      <c r="B1462" t="str">
        <f>"MB1200"</f>
        <v>MB1200</v>
      </c>
      <c r="C1462" t="s">
        <v>30085</v>
      </c>
      <c r="D1462" t="s">
        <v>27274</v>
      </c>
      <c r="E1462" t="str">
        <f t="shared" si="22"/>
        <v>001390</v>
      </c>
      <c r="F1462" t="s">
        <v>27246</v>
      </c>
      <c r="G1462" t="s">
        <v>27247</v>
      </c>
      <c r="H1462" t="s">
        <v>27248</v>
      </c>
      <c r="I1462" t="s">
        <v>30086</v>
      </c>
      <c r="J1462" t="s">
        <v>2933</v>
      </c>
      <c r="L1462" t="s">
        <v>27250</v>
      </c>
      <c r="M1462" t="s">
        <v>27251</v>
      </c>
      <c r="N1462" t="s">
        <v>27252</v>
      </c>
      <c r="Q1462" s="1">
        <v>44538</v>
      </c>
      <c r="R1462" t="s">
        <v>27253</v>
      </c>
      <c r="S1462" t="s">
        <v>27254</v>
      </c>
      <c r="T1462" t="s">
        <v>27276</v>
      </c>
    </row>
    <row r="1463" spans="1:20" x14ac:dyDescent="0.3">
      <c r="A1463" t="str">
        <f>"0611831791100"</f>
        <v>0611831791100</v>
      </c>
      <c r="B1463" t="str">
        <f>"LK5438"</f>
        <v>LK5438</v>
      </c>
      <c r="C1463" t="s">
        <v>30085</v>
      </c>
      <c r="D1463" t="s">
        <v>27245</v>
      </c>
      <c r="E1463" t="str">
        <f t="shared" si="22"/>
        <v>001390</v>
      </c>
      <c r="F1463" t="s">
        <v>27246</v>
      </c>
      <c r="G1463" t="s">
        <v>27247</v>
      </c>
      <c r="H1463" t="s">
        <v>27248</v>
      </c>
      <c r="I1463" t="s">
        <v>30087</v>
      </c>
      <c r="J1463" t="s">
        <v>2935</v>
      </c>
      <c r="L1463" t="s">
        <v>27250</v>
      </c>
      <c r="M1463" t="s">
        <v>27251</v>
      </c>
      <c r="N1463" t="s">
        <v>27252</v>
      </c>
      <c r="Q1463" s="1">
        <v>44538</v>
      </c>
      <c r="R1463" t="s">
        <v>27253</v>
      </c>
      <c r="S1463" t="s">
        <v>27254</v>
      </c>
      <c r="T1463" t="s">
        <v>27255</v>
      </c>
    </row>
    <row r="1464" spans="1:20" x14ac:dyDescent="0.3">
      <c r="A1464" t="str">
        <f>"0611856843100"</f>
        <v>0611856843100</v>
      </c>
      <c r="B1464" t="str">
        <f>"LG0850"</f>
        <v>LG0850</v>
      </c>
      <c r="C1464" t="s">
        <v>30088</v>
      </c>
      <c r="D1464" t="s">
        <v>27245</v>
      </c>
      <c r="E1464" t="str">
        <f t="shared" si="22"/>
        <v>001390</v>
      </c>
      <c r="F1464" t="s">
        <v>27246</v>
      </c>
      <c r="G1464" t="s">
        <v>27247</v>
      </c>
      <c r="H1464" t="s">
        <v>27248</v>
      </c>
      <c r="I1464" t="s">
        <v>30089</v>
      </c>
      <c r="J1464" t="s">
        <v>2937</v>
      </c>
      <c r="L1464" t="s">
        <v>27250</v>
      </c>
      <c r="M1464" t="s">
        <v>27251</v>
      </c>
      <c r="N1464" t="s">
        <v>27252</v>
      </c>
      <c r="Q1464" s="1">
        <v>44812</v>
      </c>
      <c r="R1464" t="s">
        <v>27253</v>
      </c>
      <c r="S1464" t="s">
        <v>27254</v>
      </c>
      <c r="T1464" t="s">
        <v>27255</v>
      </c>
    </row>
    <row r="1465" spans="1:20" x14ac:dyDescent="0.3">
      <c r="A1465" t="str">
        <f>"0611831794100"</f>
        <v>0611831794100</v>
      </c>
      <c r="B1465" t="str">
        <f>"LK2528"</f>
        <v>LK2528</v>
      </c>
      <c r="C1465" t="s">
        <v>30090</v>
      </c>
      <c r="D1465" t="s">
        <v>27245</v>
      </c>
      <c r="E1465" t="str">
        <f t="shared" si="22"/>
        <v>001390</v>
      </c>
      <c r="F1465" t="s">
        <v>27246</v>
      </c>
      <c r="G1465" t="s">
        <v>27247</v>
      </c>
      <c r="H1465" t="s">
        <v>27248</v>
      </c>
      <c r="I1465" t="s">
        <v>30091</v>
      </c>
      <c r="J1465" t="s">
        <v>2939</v>
      </c>
      <c r="L1465" t="s">
        <v>27250</v>
      </c>
      <c r="M1465" t="s">
        <v>27251</v>
      </c>
      <c r="N1465" t="s">
        <v>27252</v>
      </c>
      <c r="Q1465" s="1">
        <v>44538</v>
      </c>
      <c r="R1465" t="s">
        <v>27253</v>
      </c>
      <c r="S1465" t="s">
        <v>27254</v>
      </c>
      <c r="T1465" t="s">
        <v>27255</v>
      </c>
    </row>
    <row r="1466" spans="1:20" x14ac:dyDescent="0.3">
      <c r="A1466" t="str">
        <f>"0611831795100"</f>
        <v>0611831795100</v>
      </c>
      <c r="B1466" t="str">
        <f>"LQ5683"</f>
        <v>LQ5683</v>
      </c>
      <c r="C1466" t="s">
        <v>30092</v>
      </c>
      <c r="D1466" t="s">
        <v>27245</v>
      </c>
      <c r="E1466" t="str">
        <f t="shared" si="22"/>
        <v>001390</v>
      </c>
      <c r="F1466" t="s">
        <v>27246</v>
      </c>
      <c r="G1466" t="s">
        <v>27247</v>
      </c>
      <c r="H1466" t="s">
        <v>27248</v>
      </c>
      <c r="I1466" t="s">
        <v>30093</v>
      </c>
      <c r="J1466" t="s">
        <v>2941</v>
      </c>
      <c r="L1466" t="s">
        <v>27250</v>
      </c>
      <c r="M1466" t="s">
        <v>27251</v>
      </c>
      <c r="N1466" t="s">
        <v>27252</v>
      </c>
      <c r="Q1466" s="1">
        <v>44538</v>
      </c>
      <c r="R1466" t="s">
        <v>27253</v>
      </c>
      <c r="S1466" t="s">
        <v>27254</v>
      </c>
      <c r="T1466" t="s">
        <v>27255</v>
      </c>
    </row>
    <row r="1467" spans="1:20" x14ac:dyDescent="0.3">
      <c r="A1467" t="str">
        <f>"0611831796100"</f>
        <v>0611831796100</v>
      </c>
      <c r="B1467" t="str">
        <f>"LQ6093"</f>
        <v>LQ6093</v>
      </c>
      <c r="C1467" t="s">
        <v>30094</v>
      </c>
      <c r="D1467" t="s">
        <v>27245</v>
      </c>
      <c r="E1467" t="str">
        <f t="shared" si="22"/>
        <v>001390</v>
      </c>
      <c r="F1467" t="s">
        <v>27246</v>
      </c>
      <c r="G1467" t="s">
        <v>27247</v>
      </c>
      <c r="H1467" t="s">
        <v>27248</v>
      </c>
      <c r="I1467" t="s">
        <v>30095</v>
      </c>
      <c r="J1467" t="s">
        <v>2943</v>
      </c>
      <c r="L1467" t="s">
        <v>27250</v>
      </c>
      <c r="M1467" t="s">
        <v>27251</v>
      </c>
      <c r="N1467" t="s">
        <v>27252</v>
      </c>
      <c r="Q1467" s="1">
        <v>44538</v>
      </c>
      <c r="R1467" t="s">
        <v>27253</v>
      </c>
      <c r="S1467" t="s">
        <v>27254</v>
      </c>
      <c r="T1467" t="s">
        <v>27255</v>
      </c>
    </row>
    <row r="1468" spans="1:20" x14ac:dyDescent="0.3">
      <c r="A1468" t="str">
        <f>"0611831797100"</f>
        <v>0611831797100</v>
      </c>
      <c r="B1468" t="str">
        <f>"LQ6136"</f>
        <v>LQ6136</v>
      </c>
      <c r="C1468" t="s">
        <v>30096</v>
      </c>
      <c r="D1468" t="s">
        <v>27245</v>
      </c>
      <c r="E1468" t="str">
        <f t="shared" si="22"/>
        <v>001390</v>
      </c>
      <c r="F1468" t="s">
        <v>27246</v>
      </c>
      <c r="G1468" t="s">
        <v>27247</v>
      </c>
      <c r="H1468" t="s">
        <v>27248</v>
      </c>
      <c r="I1468" t="s">
        <v>30097</v>
      </c>
      <c r="J1468" t="s">
        <v>2945</v>
      </c>
      <c r="L1468" t="s">
        <v>27250</v>
      </c>
      <c r="M1468" t="s">
        <v>27251</v>
      </c>
      <c r="N1468" t="s">
        <v>27252</v>
      </c>
      <c r="Q1468" s="1">
        <v>44538</v>
      </c>
      <c r="R1468" t="s">
        <v>27253</v>
      </c>
      <c r="S1468" t="s">
        <v>27254</v>
      </c>
      <c r="T1468" t="s">
        <v>27255</v>
      </c>
    </row>
    <row r="1469" spans="1:20" x14ac:dyDescent="0.3">
      <c r="A1469" t="str">
        <f>"0611831799100"</f>
        <v>0611831799100</v>
      </c>
      <c r="B1469" t="str">
        <f>"LQ5684"</f>
        <v>LQ5684</v>
      </c>
      <c r="C1469" t="s">
        <v>30098</v>
      </c>
      <c r="D1469" t="s">
        <v>27245</v>
      </c>
      <c r="E1469" t="str">
        <f t="shared" si="22"/>
        <v>001390</v>
      </c>
      <c r="F1469" t="s">
        <v>27246</v>
      </c>
      <c r="G1469" t="s">
        <v>27247</v>
      </c>
      <c r="H1469" t="s">
        <v>27248</v>
      </c>
      <c r="I1469" t="s">
        <v>30099</v>
      </c>
      <c r="J1469" t="s">
        <v>2947</v>
      </c>
      <c r="L1469" t="s">
        <v>27250</v>
      </c>
      <c r="M1469" t="s">
        <v>27251</v>
      </c>
      <c r="N1469" t="s">
        <v>27252</v>
      </c>
      <c r="Q1469" s="1">
        <v>44538</v>
      </c>
      <c r="R1469" t="s">
        <v>27253</v>
      </c>
      <c r="S1469" t="s">
        <v>27254</v>
      </c>
      <c r="T1469" t="s">
        <v>27255</v>
      </c>
    </row>
    <row r="1470" spans="1:20" x14ac:dyDescent="0.3">
      <c r="A1470" t="str">
        <f>"0611860689050"</f>
        <v>0611860689050</v>
      </c>
      <c r="B1470" t="str">
        <f>"CR2612"</f>
        <v>CR2612</v>
      </c>
      <c r="C1470" t="s">
        <v>30098</v>
      </c>
      <c r="D1470" t="s">
        <v>27263</v>
      </c>
      <c r="E1470" t="str">
        <f t="shared" si="22"/>
        <v>001390</v>
      </c>
      <c r="F1470" t="s">
        <v>27246</v>
      </c>
      <c r="G1470" t="s">
        <v>27247</v>
      </c>
      <c r="H1470" t="s">
        <v>27248</v>
      </c>
      <c r="I1470" t="s">
        <v>30100</v>
      </c>
      <c r="J1470" t="s">
        <v>2949</v>
      </c>
      <c r="L1470" t="s">
        <v>27250</v>
      </c>
      <c r="M1470" t="s">
        <v>27251</v>
      </c>
      <c r="N1470" t="s">
        <v>27252</v>
      </c>
      <c r="Q1470" s="1">
        <v>44846</v>
      </c>
      <c r="R1470" t="s">
        <v>27253</v>
      </c>
      <c r="S1470" t="s">
        <v>27254</v>
      </c>
      <c r="T1470" t="s">
        <v>27265</v>
      </c>
    </row>
    <row r="1471" spans="1:20" x14ac:dyDescent="0.3">
      <c r="A1471" t="str">
        <f>"0611831800100"</f>
        <v>0611831800100</v>
      </c>
      <c r="B1471" t="str">
        <f>"LB1290"</f>
        <v>LB1290</v>
      </c>
      <c r="C1471" t="s">
        <v>30101</v>
      </c>
      <c r="D1471" t="s">
        <v>27245</v>
      </c>
      <c r="E1471" t="str">
        <f t="shared" si="22"/>
        <v>001390</v>
      </c>
      <c r="F1471" t="s">
        <v>27246</v>
      </c>
      <c r="G1471" t="s">
        <v>27247</v>
      </c>
      <c r="H1471" t="s">
        <v>27248</v>
      </c>
      <c r="I1471" t="s">
        <v>30102</v>
      </c>
      <c r="J1471" t="s">
        <v>2951</v>
      </c>
      <c r="L1471" t="s">
        <v>27250</v>
      </c>
      <c r="M1471" t="s">
        <v>27251</v>
      </c>
      <c r="N1471" t="s">
        <v>27252</v>
      </c>
      <c r="Q1471" s="1">
        <v>44538</v>
      </c>
      <c r="R1471" t="s">
        <v>27253</v>
      </c>
      <c r="S1471" t="s">
        <v>27254</v>
      </c>
      <c r="T1471" t="s">
        <v>27255</v>
      </c>
    </row>
    <row r="1472" spans="1:20" x14ac:dyDescent="0.3">
      <c r="A1472" t="str">
        <f>"0611831801100"</f>
        <v>0611831801100</v>
      </c>
      <c r="B1472" t="str">
        <f>"LB3089"</f>
        <v>LB3089</v>
      </c>
      <c r="C1472" t="s">
        <v>30103</v>
      </c>
      <c r="D1472" t="s">
        <v>27245</v>
      </c>
      <c r="E1472" t="str">
        <f t="shared" si="22"/>
        <v>001390</v>
      </c>
      <c r="F1472" t="s">
        <v>27246</v>
      </c>
      <c r="G1472" t="s">
        <v>27247</v>
      </c>
      <c r="H1472" t="s">
        <v>27248</v>
      </c>
      <c r="I1472" t="s">
        <v>30104</v>
      </c>
      <c r="J1472" t="s">
        <v>2953</v>
      </c>
      <c r="L1472" t="s">
        <v>27250</v>
      </c>
      <c r="M1472" t="s">
        <v>27251</v>
      </c>
      <c r="N1472" t="s">
        <v>27252</v>
      </c>
      <c r="Q1472" s="1">
        <v>44538</v>
      </c>
      <c r="R1472" t="s">
        <v>27253</v>
      </c>
      <c r="S1472" t="s">
        <v>27254</v>
      </c>
      <c r="T1472" t="s">
        <v>27255</v>
      </c>
    </row>
    <row r="1473" spans="1:20" x14ac:dyDescent="0.3">
      <c r="A1473" t="str">
        <f>"0611860690050"</f>
        <v>0611860690050</v>
      </c>
      <c r="B1473" t="str">
        <f>"CR4040"</f>
        <v>CR4040</v>
      </c>
      <c r="C1473" t="s">
        <v>30105</v>
      </c>
      <c r="D1473" t="s">
        <v>27263</v>
      </c>
      <c r="E1473" t="str">
        <f t="shared" si="22"/>
        <v>001390</v>
      </c>
      <c r="F1473" t="s">
        <v>27246</v>
      </c>
      <c r="G1473" t="s">
        <v>27247</v>
      </c>
      <c r="H1473" t="s">
        <v>27248</v>
      </c>
      <c r="I1473" t="s">
        <v>30106</v>
      </c>
      <c r="J1473" t="s">
        <v>2955</v>
      </c>
      <c r="L1473" t="s">
        <v>27250</v>
      </c>
      <c r="M1473" t="s">
        <v>27251</v>
      </c>
      <c r="N1473" t="s">
        <v>27252</v>
      </c>
      <c r="Q1473" s="1">
        <v>44846</v>
      </c>
      <c r="R1473" t="s">
        <v>27253</v>
      </c>
      <c r="S1473" t="s">
        <v>27254</v>
      </c>
      <c r="T1473" t="s">
        <v>27265</v>
      </c>
    </row>
    <row r="1474" spans="1:20" x14ac:dyDescent="0.3">
      <c r="A1474" t="str">
        <f>"0611860691050"</f>
        <v>0611860691050</v>
      </c>
      <c r="B1474" t="str">
        <f>"CR4041"</f>
        <v>CR4041</v>
      </c>
      <c r="C1474" t="s">
        <v>30107</v>
      </c>
      <c r="D1474" t="s">
        <v>27263</v>
      </c>
      <c r="E1474" t="str">
        <f t="shared" ref="E1474:E1537" si="23">"001390"</f>
        <v>001390</v>
      </c>
      <c r="F1474" t="s">
        <v>27246</v>
      </c>
      <c r="G1474" t="s">
        <v>27247</v>
      </c>
      <c r="H1474" t="s">
        <v>27248</v>
      </c>
      <c r="I1474" t="s">
        <v>30108</v>
      </c>
      <c r="J1474" t="s">
        <v>2957</v>
      </c>
      <c r="L1474" t="s">
        <v>27250</v>
      </c>
      <c r="M1474" t="s">
        <v>27251</v>
      </c>
      <c r="N1474" t="s">
        <v>27252</v>
      </c>
      <c r="Q1474" s="1">
        <v>44846</v>
      </c>
      <c r="R1474" t="s">
        <v>27253</v>
      </c>
      <c r="S1474" t="s">
        <v>27254</v>
      </c>
      <c r="T1474" t="s">
        <v>27265</v>
      </c>
    </row>
    <row r="1475" spans="1:20" x14ac:dyDescent="0.3">
      <c r="A1475" t="str">
        <f>"0611860692050"</f>
        <v>0611860692050</v>
      </c>
      <c r="B1475" t="str">
        <f>"CR4042"</f>
        <v>CR4042</v>
      </c>
      <c r="C1475" t="s">
        <v>30109</v>
      </c>
      <c r="D1475" t="s">
        <v>27263</v>
      </c>
      <c r="E1475" t="str">
        <f t="shared" si="23"/>
        <v>001390</v>
      </c>
      <c r="F1475" t="s">
        <v>27246</v>
      </c>
      <c r="G1475" t="s">
        <v>27247</v>
      </c>
      <c r="H1475" t="s">
        <v>27248</v>
      </c>
      <c r="I1475" t="s">
        <v>30110</v>
      </c>
      <c r="J1475" t="s">
        <v>2959</v>
      </c>
      <c r="L1475" t="s">
        <v>27250</v>
      </c>
      <c r="M1475" t="s">
        <v>27251</v>
      </c>
      <c r="N1475" t="s">
        <v>27252</v>
      </c>
      <c r="Q1475" s="1">
        <v>44846</v>
      </c>
      <c r="R1475" t="s">
        <v>27253</v>
      </c>
      <c r="S1475" t="s">
        <v>27254</v>
      </c>
      <c r="T1475" t="s">
        <v>27265</v>
      </c>
    </row>
    <row r="1476" spans="1:20" x14ac:dyDescent="0.3">
      <c r="A1476" t="str">
        <f>"0611860693050"</f>
        <v>0611860693050</v>
      </c>
      <c r="B1476" t="str">
        <f>"CR5029"</f>
        <v>CR5029</v>
      </c>
      <c r="C1476" t="s">
        <v>30111</v>
      </c>
      <c r="D1476" t="s">
        <v>27263</v>
      </c>
      <c r="E1476" t="str">
        <f t="shared" si="23"/>
        <v>001390</v>
      </c>
      <c r="F1476" t="s">
        <v>27246</v>
      </c>
      <c r="G1476" t="s">
        <v>27247</v>
      </c>
      <c r="H1476" t="s">
        <v>27248</v>
      </c>
      <c r="I1476" t="s">
        <v>30112</v>
      </c>
      <c r="J1476" t="s">
        <v>2961</v>
      </c>
      <c r="L1476" t="s">
        <v>27250</v>
      </c>
      <c r="M1476" t="s">
        <v>27251</v>
      </c>
      <c r="N1476" t="s">
        <v>27252</v>
      </c>
      <c r="Q1476" s="1">
        <v>44846</v>
      </c>
      <c r="R1476" t="s">
        <v>27253</v>
      </c>
      <c r="S1476" t="s">
        <v>27254</v>
      </c>
      <c r="T1476" t="s">
        <v>27265</v>
      </c>
    </row>
    <row r="1477" spans="1:20" x14ac:dyDescent="0.3">
      <c r="A1477" t="str">
        <f>"0611860695050"</f>
        <v>0611860695050</v>
      </c>
      <c r="B1477" t="str">
        <f>"CR4043"</f>
        <v>CR4043</v>
      </c>
      <c r="C1477" t="s">
        <v>30113</v>
      </c>
      <c r="D1477" t="s">
        <v>27263</v>
      </c>
      <c r="E1477" t="str">
        <f t="shared" si="23"/>
        <v>001390</v>
      </c>
      <c r="F1477" t="s">
        <v>27246</v>
      </c>
      <c r="G1477" t="s">
        <v>27247</v>
      </c>
      <c r="H1477" t="s">
        <v>27248</v>
      </c>
      <c r="I1477" t="s">
        <v>30114</v>
      </c>
      <c r="J1477" t="s">
        <v>2963</v>
      </c>
      <c r="L1477" t="s">
        <v>27250</v>
      </c>
      <c r="M1477" t="s">
        <v>27251</v>
      </c>
      <c r="N1477" t="s">
        <v>27252</v>
      </c>
      <c r="Q1477" s="1">
        <v>44846</v>
      </c>
      <c r="R1477" t="s">
        <v>27253</v>
      </c>
      <c r="S1477" t="s">
        <v>27254</v>
      </c>
      <c r="T1477" t="s">
        <v>27265</v>
      </c>
    </row>
    <row r="1478" spans="1:20" x14ac:dyDescent="0.3">
      <c r="A1478" t="str">
        <f>"0611831802100"</f>
        <v>0611831802100</v>
      </c>
      <c r="B1478" t="str">
        <f>"LQ0750"</f>
        <v>LQ0750</v>
      </c>
      <c r="C1478" t="s">
        <v>30115</v>
      </c>
      <c r="D1478" t="s">
        <v>27245</v>
      </c>
      <c r="E1478" t="str">
        <f t="shared" si="23"/>
        <v>001390</v>
      </c>
      <c r="F1478" t="s">
        <v>27246</v>
      </c>
      <c r="G1478" t="s">
        <v>27247</v>
      </c>
      <c r="H1478" t="s">
        <v>27248</v>
      </c>
      <c r="I1478" t="s">
        <v>30116</v>
      </c>
      <c r="J1478" t="s">
        <v>2965</v>
      </c>
      <c r="L1478" t="s">
        <v>27250</v>
      </c>
      <c r="M1478" t="s">
        <v>27251</v>
      </c>
      <c r="N1478" t="s">
        <v>27252</v>
      </c>
      <c r="Q1478" s="1">
        <v>44538</v>
      </c>
      <c r="R1478" t="s">
        <v>27253</v>
      </c>
      <c r="S1478" t="s">
        <v>27254</v>
      </c>
      <c r="T1478" t="s">
        <v>27255</v>
      </c>
    </row>
    <row r="1479" spans="1:20" x14ac:dyDescent="0.3">
      <c r="A1479" t="str">
        <f>"0611860696050"</f>
        <v>0611860696050</v>
      </c>
      <c r="B1479" t="str">
        <f>"CR4090"</f>
        <v>CR4090</v>
      </c>
      <c r="C1479" t="s">
        <v>30117</v>
      </c>
      <c r="D1479" t="s">
        <v>27263</v>
      </c>
      <c r="E1479" t="str">
        <f t="shared" si="23"/>
        <v>001390</v>
      </c>
      <c r="F1479" t="s">
        <v>27246</v>
      </c>
      <c r="G1479" t="s">
        <v>27247</v>
      </c>
      <c r="H1479" t="s">
        <v>27248</v>
      </c>
      <c r="I1479" t="s">
        <v>30118</v>
      </c>
      <c r="J1479" t="s">
        <v>2967</v>
      </c>
      <c r="L1479" t="s">
        <v>27250</v>
      </c>
      <c r="M1479" t="s">
        <v>27251</v>
      </c>
      <c r="N1479" t="s">
        <v>27252</v>
      </c>
      <c r="Q1479" s="1">
        <v>44846</v>
      </c>
      <c r="R1479" t="s">
        <v>27253</v>
      </c>
      <c r="S1479" t="s">
        <v>27254</v>
      </c>
      <c r="T1479" t="s">
        <v>27265</v>
      </c>
    </row>
    <row r="1480" spans="1:20" x14ac:dyDescent="0.3">
      <c r="A1480" t="str">
        <f>"0611860697050"</f>
        <v>0611860697050</v>
      </c>
      <c r="B1480" t="str">
        <f>"CE0389"</f>
        <v>CE0389</v>
      </c>
      <c r="C1480" t="s">
        <v>30119</v>
      </c>
      <c r="D1480" t="s">
        <v>27263</v>
      </c>
      <c r="E1480" t="str">
        <f t="shared" si="23"/>
        <v>001390</v>
      </c>
      <c r="F1480" t="s">
        <v>27246</v>
      </c>
      <c r="G1480" t="s">
        <v>27247</v>
      </c>
      <c r="H1480" t="s">
        <v>27248</v>
      </c>
      <c r="I1480" t="s">
        <v>30120</v>
      </c>
      <c r="J1480" t="s">
        <v>2969</v>
      </c>
      <c r="L1480" t="s">
        <v>27250</v>
      </c>
      <c r="M1480" t="s">
        <v>27251</v>
      </c>
      <c r="N1480" t="s">
        <v>27252</v>
      </c>
      <c r="Q1480" s="1">
        <v>44846</v>
      </c>
      <c r="R1480" t="s">
        <v>27253</v>
      </c>
      <c r="S1480" t="s">
        <v>27254</v>
      </c>
      <c r="T1480" t="s">
        <v>27265</v>
      </c>
    </row>
    <row r="1481" spans="1:20" x14ac:dyDescent="0.3">
      <c r="A1481" t="str">
        <f>"0611831805100"</f>
        <v>0611831805100</v>
      </c>
      <c r="B1481" t="str">
        <f>"MB2730"</f>
        <v>MB2730</v>
      </c>
      <c r="C1481" t="s">
        <v>30121</v>
      </c>
      <c r="D1481" t="s">
        <v>27274</v>
      </c>
      <c r="E1481" t="str">
        <f t="shared" si="23"/>
        <v>001390</v>
      </c>
      <c r="F1481" t="s">
        <v>27246</v>
      </c>
      <c r="G1481" t="s">
        <v>27247</v>
      </c>
      <c r="H1481" t="s">
        <v>27248</v>
      </c>
      <c r="I1481" t="s">
        <v>30122</v>
      </c>
      <c r="J1481" t="s">
        <v>2971</v>
      </c>
      <c r="L1481" t="s">
        <v>27250</v>
      </c>
      <c r="M1481" t="s">
        <v>27251</v>
      </c>
      <c r="N1481" t="s">
        <v>27252</v>
      </c>
      <c r="Q1481" s="1">
        <v>44538</v>
      </c>
      <c r="R1481" t="s">
        <v>27253</v>
      </c>
      <c r="S1481" t="s">
        <v>27254</v>
      </c>
      <c r="T1481" t="s">
        <v>27276</v>
      </c>
    </row>
    <row r="1482" spans="1:20" x14ac:dyDescent="0.3">
      <c r="A1482" t="str">
        <f>"0611831806100"</f>
        <v>0611831806100</v>
      </c>
      <c r="B1482" t="str">
        <f>"LK0410"</f>
        <v>LK0410</v>
      </c>
      <c r="C1482" t="s">
        <v>30121</v>
      </c>
      <c r="D1482" t="s">
        <v>27245</v>
      </c>
      <c r="E1482" t="str">
        <f t="shared" si="23"/>
        <v>001390</v>
      </c>
      <c r="F1482" t="s">
        <v>27246</v>
      </c>
      <c r="G1482" t="s">
        <v>27247</v>
      </c>
      <c r="H1482" t="s">
        <v>27248</v>
      </c>
      <c r="I1482" t="s">
        <v>30123</v>
      </c>
      <c r="J1482" t="s">
        <v>2973</v>
      </c>
      <c r="L1482" t="s">
        <v>27250</v>
      </c>
      <c r="M1482" t="s">
        <v>27251</v>
      </c>
      <c r="N1482" t="s">
        <v>27252</v>
      </c>
      <c r="Q1482" s="1">
        <v>44538</v>
      </c>
      <c r="R1482" t="s">
        <v>27253</v>
      </c>
      <c r="S1482" t="s">
        <v>27254</v>
      </c>
      <c r="T1482" t="s">
        <v>27255</v>
      </c>
    </row>
    <row r="1483" spans="1:20" x14ac:dyDescent="0.3">
      <c r="A1483" t="str">
        <f>"0611860698050"</f>
        <v>0611860698050</v>
      </c>
      <c r="B1483" t="str">
        <f>"CE1641"</f>
        <v>CE1641</v>
      </c>
      <c r="C1483" t="s">
        <v>30124</v>
      </c>
      <c r="D1483" t="s">
        <v>27263</v>
      </c>
      <c r="E1483" t="str">
        <f t="shared" si="23"/>
        <v>001390</v>
      </c>
      <c r="F1483" t="s">
        <v>27246</v>
      </c>
      <c r="G1483" t="s">
        <v>27247</v>
      </c>
      <c r="H1483" t="s">
        <v>27248</v>
      </c>
      <c r="I1483" t="s">
        <v>30125</v>
      </c>
      <c r="J1483" t="s">
        <v>2853</v>
      </c>
      <c r="L1483" t="s">
        <v>27250</v>
      </c>
      <c r="M1483" t="s">
        <v>27251</v>
      </c>
      <c r="N1483" t="s">
        <v>27252</v>
      </c>
      <c r="Q1483" s="1">
        <v>44846</v>
      </c>
      <c r="R1483" t="s">
        <v>27253</v>
      </c>
      <c r="S1483" t="s">
        <v>27254</v>
      </c>
      <c r="T1483" t="s">
        <v>27265</v>
      </c>
    </row>
    <row r="1484" spans="1:20" x14ac:dyDescent="0.3">
      <c r="A1484" t="str">
        <f>"0611860699050"</f>
        <v>0611860699050</v>
      </c>
      <c r="B1484" t="str">
        <f>"CE1642"</f>
        <v>CE1642</v>
      </c>
      <c r="C1484" t="s">
        <v>30126</v>
      </c>
      <c r="D1484" t="s">
        <v>27263</v>
      </c>
      <c r="E1484" t="str">
        <f t="shared" si="23"/>
        <v>001390</v>
      </c>
      <c r="F1484" t="s">
        <v>27246</v>
      </c>
      <c r="G1484" t="s">
        <v>27247</v>
      </c>
      <c r="H1484" t="s">
        <v>27248</v>
      </c>
      <c r="I1484" t="s">
        <v>30127</v>
      </c>
      <c r="J1484" t="s">
        <v>2857</v>
      </c>
      <c r="L1484" t="s">
        <v>27250</v>
      </c>
      <c r="M1484" t="s">
        <v>27251</v>
      </c>
      <c r="N1484" t="s">
        <v>27252</v>
      </c>
      <c r="Q1484" s="1">
        <v>44846</v>
      </c>
      <c r="R1484" t="s">
        <v>27253</v>
      </c>
      <c r="S1484" t="s">
        <v>27254</v>
      </c>
      <c r="T1484" t="s">
        <v>27265</v>
      </c>
    </row>
    <row r="1485" spans="1:20" x14ac:dyDescent="0.3">
      <c r="A1485" t="str">
        <f>"0611831810100"</f>
        <v>0611831810100</v>
      </c>
      <c r="B1485" t="str">
        <f>"LL0286"</f>
        <v>LL0286</v>
      </c>
      <c r="C1485" t="s">
        <v>30128</v>
      </c>
      <c r="D1485" t="s">
        <v>27245</v>
      </c>
      <c r="E1485" t="str">
        <f t="shared" si="23"/>
        <v>001390</v>
      </c>
      <c r="F1485" t="s">
        <v>27246</v>
      </c>
      <c r="G1485" t="s">
        <v>27247</v>
      </c>
      <c r="H1485" t="s">
        <v>27248</v>
      </c>
      <c r="I1485" t="s">
        <v>30129</v>
      </c>
      <c r="J1485" t="s">
        <v>2975</v>
      </c>
      <c r="L1485" t="s">
        <v>27250</v>
      </c>
      <c r="M1485" t="s">
        <v>27251</v>
      </c>
      <c r="N1485" t="s">
        <v>27252</v>
      </c>
      <c r="Q1485" s="1">
        <v>44538</v>
      </c>
      <c r="R1485" t="s">
        <v>27253</v>
      </c>
      <c r="S1485" t="s">
        <v>27254</v>
      </c>
      <c r="T1485" t="s">
        <v>27255</v>
      </c>
    </row>
    <row r="1486" spans="1:20" x14ac:dyDescent="0.3">
      <c r="A1486" t="str">
        <f>"0611831811100"</f>
        <v>0611831811100</v>
      </c>
      <c r="B1486" t="str">
        <f>"LL8157"</f>
        <v>LL8157</v>
      </c>
      <c r="C1486" t="s">
        <v>30130</v>
      </c>
      <c r="D1486" t="s">
        <v>27245</v>
      </c>
      <c r="E1486" t="str">
        <f t="shared" si="23"/>
        <v>001390</v>
      </c>
      <c r="F1486" t="s">
        <v>27246</v>
      </c>
      <c r="G1486" t="s">
        <v>27247</v>
      </c>
      <c r="H1486" t="s">
        <v>27248</v>
      </c>
      <c r="I1486" t="s">
        <v>30131</v>
      </c>
      <c r="J1486" t="s">
        <v>2977</v>
      </c>
      <c r="L1486" t="s">
        <v>27250</v>
      </c>
      <c r="M1486" t="s">
        <v>27251</v>
      </c>
      <c r="N1486" t="s">
        <v>27252</v>
      </c>
      <c r="Q1486" s="1">
        <v>44538</v>
      </c>
      <c r="R1486" t="s">
        <v>27253</v>
      </c>
      <c r="S1486" t="s">
        <v>27254</v>
      </c>
      <c r="T1486" t="s">
        <v>27255</v>
      </c>
    </row>
    <row r="1487" spans="1:20" x14ac:dyDescent="0.3">
      <c r="A1487" t="str">
        <f>"0611831821100"</f>
        <v>0611831821100</v>
      </c>
      <c r="B1487" t="str">
        <f>"LL0114"</f>
        <v>LL0114</v>
      </c>
      <c r="C1487" t="s">
        <v>30132</v>
      </c>
      <c r="D1487" t="s">
        <v>27245</v>
      </c>
      <c r="E1487" t="str">
        <f t="shared" si="23"/>
        <v>001390</v>
      </c>
      <c r="F1487" t="s">
        <v>27246</v>
      </c>
      <c r="G1487" t="s">
        <v>27247</v>
      </c>
      <c r="H1487" t="s">
        <v>27248</v>
      </c>
      <c r="I1487" t="s">
        <v>30133</v>
      </c>
      <c r="J1487" t="s">
        <v>2979</v>
      </c>
      <c r="L1487" t="s">
        <v>27250</v>
      </c>
      <c r="M1487" t="s">
        <v>27251</v>
      </c>
      <c r="N1487" t="s">
        <v>27252</v>
      </c>
      <c r="Q1487" s="1">
        <v>44538</v>
      </c>
      <c r="R1487" t="s">
        <v>27253</v>
      </c>
      <c r="S1487" t="s">
        <v>27254</v>
      </c>
      <c r="T1487" t="s">
        <v>27255</v>
      </c>
    </row>
    <row r="1488" spans="1:20" x14ac:dyDescent="0.3">
      <c r="A1488" t="str">
        <f>"0611831827100"</f>
        <v>0611831827100</v>
      </c>
      <c r="B1488" t="str">
        <f>"LL8161"</f>
        <v>LL8161</v>
      </c>
      <c r="C1488" t="s">
        <v>30134</v>
      </c>
      <c r="D1488" t="s">
        <v>27245</v>
      </c>
      <c r="E1488" t="str">
        <f t="shared" si="23"/>
        <v>001390</v>
      </c>
      <c r="F1488" t="s">
        <v>27246</v>
      </c>
      <c r="G1488" t="s">
        <v>27247</v>
      </c>
      <c r="H1488" t="s">
        <v>27248</v>
      </c>
      <c r="I1488" t="s">
        <v>30135</v>
      </c>
      <c r="J1488" t="s">
        <v>2981</v>
      </c>
      <c r="L1488" t="s">
        <v>27250</v>
      </c>
      <c r="M1488" t="s">
        <v>27251</v>
      </c>
      <c r="N1488" t="s">
        <v>27252</v>
      </c>
      <c r="Q1488" s="1">
        <v>44538</v>
      </c>
      <c r="R1488" t="s">
        <v>27253</v>
      </c>
      <c r="S1488" t="s">
        <v>27254</v>
      </c>
      <c r="T1488" t="s">
        <v>27255</v>
      </c>
    </row>
    <row r="1489" spans="1:20" x14ac:dyDescent="0.3">
      <c r="A1489" t="str">
        <f>"0611831848100"</f>
        <v>0611831848100</v>
      </c>
      <c r="B1489" t="str">
        <f>"LL8162"</f>
        <v>LL8162</v>
      </c>
      <c r="C1489" t="s">
        <v>30136</v>
      </c>
      <c r="D1489" t="s">
        <v>27245</v>
      </c>
      <c r="E1489" t="str">
        <f t="shared" si="23"/>
        <v>001390</v>
      </c>
      <c r="F1489" t="s">
        <v>27246</v>
      </c>
      <c r="G1489" t="s">
        <v>27247</v>
      </c>
      <c r="H1489" t="s">
        <v>27248</v>
      </c>
      <c r="I1489" t="s">
        <v>30137</v>
      </c>
      <c r="J1489" t="s">
        <v>2983</v>
      </c>
      <c r="L1489" t="s">
        <v>27250</v>
      </c>
      <c r="M1489" t="s">
        <v>27251</v>
      </c>
      <c r="N1489" t="s">
        <v>27252</v>
      </c>
      <c r="O1489">
        <v>100</v>
      </c>
      <c r="Q1489" s="1">
        <v>44538</v>
      </c>
      <c r="R1489" t="s">
        <v>27253</v>
      </c>
      <c r="S1489" t="s">
        <v>27254</v>
      </c>
      <c r="T1489" t="s">
        <v>27255</v>
      </c>
    </row>
    <row r="1490" spans="1:20" x14ac:dyDescent="0.3">
      <c r="A1490" t="str">
        <f>"0611831854100"</f>
        <v>0611831854100</v>
      </c>
      <c r="B1490" t="str">
        <f>"LL0401"</f>
        <v>LL0401</v>
      </c>
      <c r="C1490" t="s">
        <v>30138</v>
      </c>
      <c r="D1490" t="s">
        <v>27245</v>
      </c>
      <c r="E1490" t="str">
        <f t="shared" si="23"/>
        <v>001390</v>
      </c>
      <c r="F1490" t="s">
        <v>27246</v>
      </c>
      <c r="G1490" t="s">
        <v>27247</v>
      </c>
      <c r="H1490" t="s">
        <v>27248</v>
      </c>
      <c r="I1490" t="s">
        <v>30139</v>
      </c>
      <c r="J1490" t="s">
        <v>2985</v>
      </c>
      <c r="L1490" t="s">
        <v>27250</v>
      </c>
      <c r="M1490" t="s">
        <v>27251</v>
      </c>
      <c r="N1490" t="s">
        <v>27252</v>
      </c>
      <c r="Q1490" s="1">
        <v>44538</v>
      </c>
      <c r="R1490" t="s">
        <v>27253</v>
      </c>
      <c r="S1490" t="s">
        <v>27254</v>
      </c>
      <c r="T1490" t="s">
        <v>27255</v>
      </c>
    </row>
    <row r="1491" spans="1:20" x14ac:dyDescent="0.3">
      <c r="A1491" t="str">
        <f>"0611831862100"</f>
        <v>0611831862100</v>
      </c>
      <c r="B1491" t="str">
        <f>"LL8303"</f>
        <v>LL8303</v>
      </c>
      <c r="C1491" t="s">
        <v>30140</v>
      </c>
      <c r="D1491" t="s">
        <v>27245</v>
      </c>
      <c r="E1491" t="str">
        <f t="shared" si="23"/>
        <v>001390</v>
      </c>
      <c r="F1491" t="s">
        <v>27246</v>
      </c>
      <c r="G1491" t="s">
        <v>27247</v>
      </c>
      <c r="H1491" t="s">
        <v>27248</v>
      </c>
      <c r="I1491" t="s">
        <v>30141</v>
      </c>
      <c r="J1491" t="s">
        <v>2987</v>
      </c>
      <c r="L1491" t="s">
        <v>27250</v>
      </c>
      <c r="M1491" t="s">
        <v>27251</v>
      </c>
      <c r="N1491" t="s">
        <v>27252</v>
      </c>
      <c r="Q1491" s="1">
        <v>44538</v>
      </c>
      <c r="R1491" t="s">
        <v>27253</v>
      </c>
      <c r="S1491" t="s">
        <v>27254</v>
      </c>
      <c r="T1491" t="s">
        <v>27255</v>
      </c>
    </row>
    <row r="1492" spans="1:20" x14ac:dyDescent="0.3">
      <c r="A1492" t="str">
        <f>"0611831865100"</f>
        <v>0611831865100</v>
      </c>
      <c r="B1492" t="str">
        <f>"LL8163"</f>
        <v>LL8163</v>
      </c>
      <c r="C1492" t="s">
        <v>30142</v>
      </c>
      <c r="D1492" t="s">
        <v>27245</v>
      </c>
      <c r="E1492" t="str">
        <f t="shared" si="23"/>
        <v>001390</v>
      </c>
      <c r="F1492" t="s">
        <v>27246</v>
      </c>
      <c r="G1492" t="s">
        <v>27247</v>
      </c>
      <c r="H1492" t="s">
        <v>27248</v>
      </c>
      <c r="I1492" t="s">
        <v>30143</v>
      </c>
      <c r="J1492" t="s">
        <v>2989</v>
      </c>
      <c r="L1492" t="s">
        <v>27250</v>
      </c>
      <c r="M1492" t="s">
        <v>27251</v>
      </c>
      <c r="N1492" t="s">
        <v>27252</v>
      </c>
      <c r="Q1492" s="1">
        <v>44538</v>
      </c>
      <c r="R1492" t="s">
        <v>27253</v>
      </c>
      <c r="S1492" t="s">
        <v>27254</v>
      </c>
      <c r="T1492" t="s">
        <v>27255</v>
      </c>
    </row>
    <row r="1493" spans="1:20" x14ac:dyDescent="0.3">
      <c r="A1493" t="str">
        <f>"0611831819100"</f>
        <v>0611831819100</v>
      </c>
      <c r="B1493" t="str">
        <f>"LL0280"</f>
        <v>LL0280</v>
      </c>
      <c r="C1493" t="s">
        <v>30144</v>
      </c>
      <c r="D1493" t="s">
        <v>27245</v>
      </c>
      <c r="E1493" t="str">
        <f t="shared" si="23"/>
        <v>001390</v>
      </c>
      <c r="F1493" t="s">
        <v>27246</v>
      </c>
      <c r="G1493" t="s">
        <v>27247</v>
      </c>
      <c r="H1493" t="s">
        <v>27248</v>
      </c>
      <c r="I1493" t="s">
        <v>30145</v>
      </c>
      <c r="J1493" t="s">
        <v>2991</v>
      </c>
      <c r="L1493" t="s">
        <v>27250</v>
      </c>
      <c r="M1493" t="s">
        <v>27251</v>
      </c>
      <c r="N1493" t="s">
        <v>27252</v>
      </c>
      <c r="Q1493" s="1">
        <v>44538</v>
      </c>
      <c r="R1493" t="s">
        <v>27253</v>
      </c>
      <c r="S1493" t="s">
        <v>27254</v>
      </c>
      <c r="T1493" t="s">
        <v>27255</v>
      </c>
    </row>
    <row r="1494" spans="1:20" x14ac:dyDescent="0.3">
      <c r="A1494" t="str">
        <f>"0611831820200"</f>
        <v>0611831820200</v>
      </c>
      <c r="B1494" t="str">
        <f>"KY0280"</f>
        <v>KY0280</v>
      </c>
      <c r="C1494" t="s">
        <v>30144</v>
      </c>
      <c r="D1494" t="s">
        <v>27682</v>
      </c>
      <c r="E1494" t="str">
        <f t="shared" si="23"/>
        <v>001390</v>
      </c>
      <c r="F1494" t="s">
        <v>27246</v>
      </c>
      <c r="G1494" t="s">
        <v>27247</v>
      </c>
      <c r="H1494" t="s">
        <v>27248</v>
      </c>
      <c r="I1494" t="s">
        <v>30146</v>
      </c>
      <c r="J1494" t="s">
        <v>2993</v>
      </c>
      <c r="L1494" t="s">
        <v>27250</v>
      </c>
      <c r="M1494" t="s">
        <v>27251</v>
      </c>
      <c r="N1494" t="s">
        <v>27252</v>
      </c>
      <c r="Q1494" s="1">
        <v>44538</v>
      </c>
      <c r="R1494" t="s">
        <v>27253</v>
      </c>
      <c r="S1494" t="s">
        <v>27254</v>
      </c>
      <c r="T1494" t="s">
        <v>27684</v>
      </c>
    </row>
    <row r="1495" spans="1:20" x14ac:dyDescent="0.3">
      <c r="A1495" t="str">
        <f>"0611831882100"</f>
        <v>0611831882100</v>
      </c>
      <c r="B1495" t="str">
        <f>"LL0320"</f>
        <v>LL0320</v>
      </c>
      <c r="C1495" t="s">
        <v>30147</v>
      </c>
      <c r="D1495" t="s">
        <v>27245</v>
      </c>
      <c r="E1495" t="str">
        <f t="shared" si="23"/>
        <v>001390</v>
      </c>
      <c r="F1495" t="s">
        <v>27246</v>
      </c>
      <c r="G1495" t="s">
        <v>27247</v>
      </c>
      <c r="H1495" t="s">
        <v>27248</v>
      </c>
      <c r="I1495" t="s">
        <v>30148</v>
      </c>
      <c r="J1495" t="s">
        <v>2995</v>
      </c>
      <c r="L1495" t="s">
        <v>27250</v>
      </c>
      <c r="M1495" t="s">
        <v>27251</v>
      </c>
      <c r="N1495" t="s">
        <v>27252</v>
      </c>
      <c r="Q1495" s="1">
        <v>44538</v>
      </c>
      <c r="R1495" t="s">
        <v>27253</v>
      </c>
      <c r="S1495" t="s">
        <v>27254</v>
      </c>
      <c r="T1495" t="s">
        <v>27255</v>
      </c>
    </row>
    <row r="1496" spans="1:20" x14ac:dyDescent="0.3">
      <c r="A1496" t="str">
        <f>"0611831883100"</f>
        <v>0611831883100</v>
      </c>
      <c r="B1496" t="str">
        <f>"LL0402"</f>
        <v>LL0402</v>
      </c>
      <c r="C1496" t="s">
        <v>30149</v>
      </c>
      <c r="D1496" t="s">
        <v>27245</v>
      </c>
      <c r="E1496" t="str">
        <f t="shared" si="23"/>
        <v>001390</v>
      </c>
      <c r="F1496" t="s">
        <v>27246</v>
      </c>
      <c r="G1496" t="s">
        <v>27247</v>
      </c>
      <c r="H1496" t="s">
        <v>27248</v>
      </c>
      <c r="I1496" t="s">
        <v>30150</v>
      </c>
      <c r="J1496" t="s">
        <v>2997</v>
      </c>
      <c r="L1496" t="s">
        <v>27250</v>
      </c>
      <c r="M1496" t="s">
        <v>27251</v>
      </c>
      <c r="N1496" t="s">
        <v>27252</v>
      </c>
      <c r="Q1496" s="1">
        <v>44538</v>
      </c>
      <c r="R1496" t="s">
        <v>27253</v>
      </c>
      <c r="S1496" t="s">
        <v>27254</v>
      </c>
      <c r="T1496" t="s">
        <v>27255</v>
      </c>
    </row>
    <row r="1497" spans="1:20" x14ac:dyDescent="0.3">
      <c r="A1497" t="str">
        <f>"0611831884100"</f>
        <v>0611831884100</v>
      </c>
      <c r="B1497" t="str">
        <f>"LL8164"</f>
        <v>LL8164</v>
      </c>
      <c r="C1497" t="s">
        <v>30151</v>
      </c>
      <c r="D1497" t="s">
        <v>27245</v>
      </c>
      <c r="E1497" t="str">
        <f t="shared" si="23"/>
        <v>001390</v>
      </c>
      <c r="F1497" t="s">
        <v>27246</v>
      </c>
      <c r="G1497" t="s">
        <v>27247</v>
      </c>
      <c r="H1497" t="s">
        <v>27248</v>
      </c>
      <c r="I1497" t="s">
        <v>30152</v>
      </c>
      <c r="J1497" t="s">
        <v>2999</v>
      </c>
      <c r="L1497" t="s">
        <v>27250</v>
      </c>
      <c r="M1497" t="s">
        <v>27251</v>
      </c>
      <c r="N1497" t="s">
        <v>27252</v>
      </c>
      <c r="Q1497" s="1">
        <v>44538</v>
      </c>
      <c r="R1497" t="s">
        <v>27253</v>
      </c>
      <c r="S1497" t="s">
        <v>27254</v>
      </c>
      <c r="T1497" t="s">
        <v>27255</v>
      </c>
    </row>
    <row r="1498" spans="1:20" x14ac:dyDescent="0.3">
      <c r="A1498" t="str">
        <f>"0611831891100"</f>
        <v>0611831891100</v>
      </c>
      <c r="B1498" t="str">
        <f>"LL8165"</f>
        <v>LL8165</v>
      </c>
      <c r="C1498" t="s">
        <v>30153</v>
      </c>
      <c r="D1498" t="s">
        <v>27245</v>
      </c>
      <c r="E1498" t="str">
        <f t="shared" si="23"/>
        <v>001390</v>
      </c>
      <c r="F1498" t="s">
        <v>27246</v>
      </c>
      <c r="G1498" t="s">
        <v>27247</v>
      </c>
      <c r="H1498" t="s">
        <v>27248</v>
      </c>
      <c r="I1498" t="s">
        <v>30154</v>
      </c>
      <c r="J1498" t="s">
        <v>3001</v>
      </c>
      <c r="L1498" t="s">
        <v>27250</v>
      </c>
      <c r="M1498" t="s">
        <v>27251</v>
      </c>
      <c r="N1498" t="s">
        <v>27252</v>
      </c>
      <c r="Q1498" s="1">
        <v>44538</v>
      </c>
      <c r="R1498" t="s">
        <v>27253</v>
      </c>
      <c r="S1498" t="s">
        <v>27254</v>
      </c>
      <c r="T1498" t="s">
        <v>27255</v>
      </c>
    </row>
    <row r="1499" spans="1:20" x14ac:dyDescent="0.3">
      <c r="A1499" t="str">
        <f>"0611831892100"</f>
        <v>0611831892100</v>
      </c>
      <c r="B1499" t="str">
        <f>"LL0330"</f>
        <v>LL0330</v>
      </c>
      <c r="C1499" t="s">
        <v>30155</v>
      </c>
      <c r="D1499" t="s">
        <v>27245</v>
      </c>
      <c r="E1499" t="str">
        <f t="shared" si="23"/>
        <v>001390</v>
      </c>
      <c r="F1499" t="s">
        <v>27246</v>
      </c>
      <c r="G1499" t="s">
        <v>27247</v>
      </c>
      <c r="H1499" t="s">
        <v>27248</v>
      </c>
      <c r="I1499" t="s">
        <v>30156</v>
      </c>
      <c r="J1499" t="s">
        <v>3003</v>
      </c>
      <c r="L1499" t="s">
        <v>27250</v>
      </c>
      <c r="M1499" t="s">
        <v>27251</v>
      </c>
      <c r="N1499" t="s">
        <v>27252</v>
      </c>
      <c r="Q1499" s="1">
        <v>44538</v>
      </c>
      <c r="R1499" t="s">
        <v>27253</v>
      </c>
      <c r="S1499" t="s">
        <v>27254</v>
      </c>
      <c r="T1499" t="s">
        <v>27255</v>
      </c>
    </row>
    <row r="1500" spans="1:20" x14ac:dyDescent="0.3">
      <c r="A1500" t="str">
        <f>"0611831923100"</f>
        <v>0611831923100</v>
      </c>
      <c r="B1500" t="str">
        <f>"LL0345"</f>
        <v>LL0345</v>
      </c>
      <c r="C1500" t="s">
        <v>30157</v>
      </c>
      <c r="D1500" t="s">
        <v>27245</v>
      </c>
      <c r="E1500" t="str">
        <f t="shared" si="23"/>
        <v>001390</v>
      </c>
      <c r="F1500" t="s">
        <v>27246</v>
      </c>
      <c r="G1500" t="s">
        <v>27247</v>
      </c>
      <c r="H1500" t="s">
        <v>27248</v>
      </c>
      <c r="I1500" t="s">
        <v>30158</v>
      </c>
      <c r="J1500" t="s">
        <v>3005</v>
      </c>
      <c r="L1500" t="s">
        <v>27250</v>
      </c>
      <c r="M1500" t="s">
        <v>27251</v>
      </c>
      <c r="N1500" t="s">
        <v>27252</v>
      </c>
      <c r="Q1500" s="1">
        <v>44538</v>
      </c>
      <c r="R1500" t="s">
        <v>27253</v>
      </c>
      <c r="S1500" t="s">
        <v>27254</v>
      </c>
      <c r="T1500" t="s">
        <v>27255</v>
      </c>
    </row>
    <row r="1501" spans="1:20" x14ac:dyDescent="0.3">
      <c r="A1501" t="str">
        <f>"0611831934100"</f>
        <v>0611831934100</v>
      </c>
      <c r="B1501" t="str">
        <f>"LL0350"</f>
        <v>LL0350</v>
      </c>
      <c r="C1501" t="s">
        <v>30159</v>
      </c>
      <c r="D1501" t="s">
        <v>27245</v>
      </c>
      <c r="E1501" t="str">
        <f t="shared" si="23"/>
        <v>001390</v>
      </c>
      <c r="F1501" t="s">
        <v>27246</v>
      </c>
      <c r="G1501" t="s">
        <v>27247</v>
      </c>
      <c r="H1501" t="s">
        <v>27248</v>
      </c>
      <c r="I1501" t="s">
        <v>30160</v>
      </c>
      <c r="J1501" t="s">
        <v>3007</v>
      </c>
      <c r="L1501" t="s">
        <v>27250</v>
      </c>
      <c r="M1501" t="s">
        <v>27251</v>
      </c>
      <c r="N1501" t="s">
        <v>27252</v>
      </c>
      <c r="Q1501" s="1">
        <v>44538</v>
      </c>
      <c r="R1501" t="s">
        <v>27253</v>
      </c>
      <c r="S1501" t="s">
        <v>27254</v>
      </c>
      <c r="T1501" t="s">
        <v>27255</v>
      </c>
    </row>
    <row r="1502" spans="1:20" x14ac:dyDescent="0.3">
      <c r="A1502" t="str">
        <f>"0611831935200"</f>
        <v>0611831935200</v>
      </c>
      <c r="B1502" t="str">
        <f>"KY0350"</f>
        <v>KY0350</v>
      </c>
      <c r="C1502" t="s">
        <v>30159</v>
      </c>
      <c r="D1502" t="s">
        <v>27682</v>
      </c>
      <c r="E1502" t="str">
        <f t="shared" si="23"/>
        <v>001390</v>
      </c>
      <c r="F1502" t="s">
        <v>27246</v>
      </c>
      <c r="G1502" t="s">
        <v>27247</v>
      </c>
      <c r="H1502" t="s">
        <v>27248</v>
      </c>
      <c r="I1502" t="s">
        <v>30161</v>
      </c>
      <c r="J1502" t="s">
        <v>3009</v>
      </c>
      <c r="L1502" t="s">
        <v>27250</v>
      </c>
      <c r="M1502" t="s">
        <v>27251</v>
      </c>
      <c r="N1502" t="s">
        <v>27252</v>
      </c>
      <c r="Q1502" s="1">
        <v>44538</v>
      </c>
      <c r="R1502" t="s">
        <v>27253</v>
      </c>
      <c r="S1502" t="s">
        <v>27254</v>
      </c>
      <c r="T1502" t="s">
        <v>27684</v>
      </c>
    </row>
    <row r="1503" spans="1:20" x14ac:dyDescent="0.3">
      <c r="A1503" t="str">
        <f>"0611831982100"</f>
        <v>0611831982100</v>
      </c>
      <c r="B1503" t="str">
        <f>"LL0400"</f>
        <v>LL0400</v>
      </c>
      <c r="C1503" t="s">
        <v>30162</v>
      </c>
      <c r="D1503" t="s">
        <v>27245</v>
      </c>
      <c r="E1503" t="str">
        <f t="shared" si="23"/>
        <v>001390</v>
      </c>
      <c r="F1503" t="s">
        <v>27246</v>
      </c>
      <c r="G1503" t="s">
        <v>27247</v>
      </c>
      <c r="H1503" t="s">
        <v>27248</v>
      </c>
      <c r="I1503" t="s">
        <v>30163</v>
      </c>
      <c r="J1503" t="s">
        <v>3011</v>
      </c>
      <c r="L1503" t="s">
        <v>27250</v>
      </c>
      <c r="M1503" t="s">
        <v>27251</v>
      </c>
      <c r="N1503" t="s">
        <v>27252</v>
      </c>
      <c r="Q1503" s="1">
        <v>44538</v>
      </c>
      <c r="R1503" t="s">
        <v>27253</v>
      </c>
      <c r="S1503" t="s">
        <v>27254</v>
      </c>
      <c r="T1503" t="s">
        <v>27255</v>
      </c>
    </row>
    <row r="1504" spans="1:20" x14ac:dyDescent="0.3">
      <c r="A1504" t="str">
        <f>"0611831991100"</f>
        <v>0611831991100</v>
      </c>
      <c r="B1504" t="str">
        <f>"LG0990"</f>
        <v>LG0990</v>
      </c>
      <c r="C1504" t="s">
        <v>30164</v>
      </c>
      <c r="D1504" t="s">
        <v>27245</v>
      </c>
      <c r="E1504" t="str">
        <f t="shared" si="23"/>
        <v>001390</v>
      </c>
      <c r="F1504" t="s">
        <v>27246</v>
      </c>
      <c r="G1504" t="s">
        <v>27247</v>
      </c>
      <c r="H1504" t="s">
        <v>27248</v>
      </c>
      <c r="I1504" t="s">
        <v>30165</v>
      </c>
      <c r="J1504" t="s">
        <v>3013</v>
      </c>
      <c r="L1504" t="s">
        <v>27250</v>
      </c>
      <c r="M1504" t="s">
        <v>27251</v>
      </c>
      <c r="N1504" t="s">
        <v>27252</v>
      </c>
      <c r="Q1504" s="1">
        <v>44538</v>
      </c>
      <c r="R1504" t="s">
        <v>27253</v>
      </c>
      <c r="S1504" t="s">
        <v>27254</v>
      </c>
      <c r="T1504" t="s">
        <v>27255</v>
      </c>
    </row>
    <row r="1505" spans="1:20" x14ac:dyDescent="0.3">
      <c r="A1505" t="str">
        <f>"0611831992100"</f>
        <v>0611831992100</v>
      </c>
      <c r="B1505" t="str">
        <f>"LB1315"</f>
        <v>LB1315</v>
      </c>
      <c r="C1505" t="s">
        <v>30166</v>
      </c>
      <c r="D1505" t="s">
        <v>27245</v>
      </c>
      <c r="E1505" t="str">
        <f t="shared" si="23"/>
        <v>001390</v>
      </c>
      <c r="F1505" t="s">
        <v>27246</v>
      </c>
      <c r="G1505" t="s">
        <v>27247</v>
      </c>
      <c r="H1505" t="s">
        <v>27248</v>
      </c>
      <c r="I1505" t="s">
        <v>30167</v>
      </c>
      <c r="J1505" t="s">
        <v>3015</v>
      </c>
      <c r="L1505" t="s">
        <v>27250</v>
      </c>
      <c r="M1505" t="s">
        <v>27251</v>
      </c>
      <c r="N1505" t="s">
        <v>27252</v>
      </c>
      <c r="Q1505" s="1">
        <v>44538</v>
      </c>
      <c r="R1505" t="s">
        <v>27253</v>
      </c>
      <c r="S1505" t="s">
        <v>27254</v>
      </c>
      <c r="T1505" t="s">
        <v>27255</v>
      </c>
    </row>
    <row r="1506" spans="1:20" x14ac:dyDescent="0.3">
      <c r="A1506" t="str">
        <f>"0611831993100"</f>
        <v>0611831993100</v>
      </c>
      <c r="B1506" t="str">
        <f>"LB1316"</f>
        <v>LB1316</v>
      </c>
      <c r="C1506" t="s">
        <v>30168</v>
      </c>
      <c r="D1506" t="s">
        <v>27245</v>
      </c>
      <c r="E1506" t="str">
        <f t="shared" si="23"/>
        <v>001390</v>
      </c>
      <c r="F1506" t="s">
        <v>27246</v>
      </c>
      <c r="G1506" t="s">
        <v>27247</v>
      </c>
      <c r="H1506" t="s">
        <v>27248</v>
      </c>
      <c r="I1506" t="s">
        <v>30169</v>
      </c>
      <c r="J1506" t="s">
        <v>3017</v>
      </c>
      <c r="L1506" t="s">
        <v>27250</v>
      </c>
      <c r="M1506" t="s">
        <v>27251</v>
      </c>
      <c r="N1506" t="s">
        <v>27252</v>
      </c>
      <c r="Q1506" s="1">
        <v>44538</v>
      </c>
      <c r="R1506" t="s">
        <v>27253</v>
      </c>
      <c r="S1506" t="s">
        <v>27254</v>
      </c>
      <c r="T1506" t="s">
        <v>27255</v>
      </c>
    </row>
    <row r="1507" spans="1:20" x14ac:dyDescent="0.3">
      <c r="A1507" t="str">
        <f>"0611856844025"</f>
        <v>0611856844025</v>
      </c>
      <c r="B1507" t="str">
        <f>"MQ0758"</f>
        <v>MQ0758</v>
      </c>
      <c r="C1507" t="s">
        <v>30170</v>
      </c>
      <c r="D1507" t="s">
        <v>27267</v>
      </c>
      <c r="E1507" t="str">
        <f t="shared" si="23"/>
        <v>001390</v>
      </c>
      <c r="F1507" t="s">
        <v>27246</v>
      </c>
      <c r="G1507" t="s">
        <v>27247</v>
      </c>
      <c r="H1507" t="s">
        <v>27248</v>
      </c>
      <c r="I1507" t="s">
        <v>30171</v>
      </c>
      <c r="J1507" t="s">
        <v>3019</v>
      </c>
      <c r="L1507" t="s">
        <v>27250</v>
      </c>
      <c r="M1507" t="s">
        <v>27251</v>
      </c>
      <c r="N1507" t="s">
        <v>27252</v>
      </c>
      <c r="Q1507" s="1">
        <v>44812</v>
      </c>
      <c r="R1507" t="s">
        <v>27253</v>
      </c>
      <c r="S1507" t="s">
        <v>27254</v>
      </c>
      <c r="T1507" t="s">
        <v>27269</v>
      </c>
    </row>
    <row r="1508" spans="1:20" x14ac:dyDescent="0.3">
      <c r="A1508" t="str">
        <f>"0611884057025"</f>
        <v>0611884057025</v>
      </c>
      <c r="B1508" t="str">
        <f>"MQ0820"</f>
        <v>MQ0820</v>
      </c>
      <c r="C1508" t="s">
        <v>30172</v>
      </c>
      <c r="D1508" t="s">
        <v>27267</v>
      </c>
      <c r="E1508" t="str">
        <f t="shared" si="23"/>
        <v>001390</v>
      </c>
      <c r="F1508" t="s">
        <v>27246</v>
      </c>
      <c r="G1508" t="s">
        <v>27247</v>
      </c>
      <c r="H1508" t="s">
        <v>27248</v>
      </c>
      <c r="I1508" t="s">
        <v>30173</v>
      </c>
      <c r="J1508" t="s">
        <v>3021</v>
      </c>
      <c r="L1508" t="s">
        <v>27430</v>
      </c>
      <c r="M1508" t="s">
        <v>27251</v>
      </c>
      <c r="N1508" t="s">
        <v>27252</v>
      </c>
      <c r="Q1508" s="1">
        <v>45250</v>
      </c>
      <c r="R1508" t="s">
        <v>27253</v>
      </c>
      <c r="S1508" t="s">
        <v>27254</v>
      </c>
      <c r="T1508" t="s">
        <v>27269</v>
      </c>
    </row>
    <row r="1509" spans="1:20" x14ac:dyDescent="0.3">
      <c r="A1509" t="str">
        <f>"0611831996025"</f>
        <v>0611831996025</v>
      </c>
      <c r="B1509" t="str">
        <f>"MC1804"</f>
        <v>MC1804</v>
      </c>
      <c r="C1509" t="s">
        <v>30174</v>
      </c>
      <c r="D1509" t="s">
        <v>27267</v>
      </c>
      <c r="E1509" t="str">
        <f t="shared" si="23"/>
        <v>001390</v>
      </c>
      <c r="F1509" t="s">
        <v>27246</v>
      </c>
      <c r="G1509" t="s">
        <v>27247</v>
      </c>
      <c r="H1509" t="s">
        <v>27248</v>
      </c>
      <c r="I1509" t="s">
        <v>30175</v>
      </c>
      <c r="J1509" t="s">
        <v>3023</v>
      </c>
      <c r="L1509" t="s">
        <v>27250</v>
      </c>
      <c r="M1509" t="s">
        <v>27251</v>
      </c>
      <c r="N1509" t="s">
        <v>27252</v>
      </c>
      <c r="Q1509" s="1">
        <v>44538</v>
      </c>
      <c r="R1509" t="s">
        <v>27253</v>
      </c>
      <c r="S1509" t="s">
        <v>27254</v>
      </c>
      <c r="T1509" t="s">
        <v>27269</v>
      </c>
    </row>
    <row r="1510" spans="1:20" x14ac:dyDescent="0.3">
      <c r="A1510" t="str">
        <f>"0611831997025"</f>
        <v>0611831997025</v>
      </c>
      <c r="B1510" t="str">
        <f>"MC0144"</f>
        <v>MC0144</v>
      </c>
      <c r="C1510" t="s">
        <v>30176</v>
      </c>
      <c r="D1510" t="s">
        <v>27267</v>
      </c>
      <c r="E1510" t="str">
        <f t="shared" si="23"/>
        <v>001390</v>
      </c>
      <c r="F1510" t="s">
        <v>27246</v>
      </c>
      <c r="G1510" t="s">
        <v>27247</v>
      </c>
      <c r="H1510" t="s">
        <v>27248</v>
      </c>
      <c r="I1510" t="s">
        <v>30177</v>
      </c>
      <c r="J1510" t="s">
        <v>3025</v>
      </c>
      <c r="L1510" t="s">
        <v>27250</v>
      </c>
      <c r="M1510" t="s">
        <v>27251</v>
      </c>
      <c r="N1510" t="s">
        <v>27252</v>
      </c>
      <c r="Q1510" s="1">
        <v>44538</v>
      </c>
      <c r="R1510" t="s">
        <v>27253</v>
      </c>
      <c r="S1510" t="s">
        <v>27254</v>
      </c>
      <c r="T1510" t="s">
        <v>27269</v>
      </c>
    </row>
    <row r="1511" spans="1:20" x14ac:dyDescent="0.3">
      <c r="A1511" t="str">
        <f>"0611884058025"</f>
        <v>0611884058025</v>
      </c>
      <c r="B1511" t="str">
        <f>"MQ0821"</f>
        <v>MQ0821</v>
      </c>
      <c r="C1511" t="s">
        <v>30178</v>
      </c>
      <c r="D1511" t="s">
        <v>27267</v>
      </c>
      <c r="E1511" t="str">
        <f t="shared" si="23"/>
        <v>001390</v>
      </c>
      <c r="F1511" t="s">
        <v>27246</v>
      </c>
      <c r="G1511" t="s">
        <v>27247</v>
      </c>
      <c r="H1511" t="s">
        <v>27248</v>
      </c>
      <c r="I1511" t="s">
        <v>30179</v>
      </c>
      <c r="J1511" t="s">
        <v>3027</v>
      </c>
      <c r="L1511" t="s">
        <v>27430</v>
      </c>
      <c r="M1511" t="s">
        <v>27251</v>
      </c>
      <c r="N1511" t="s">
        <v>27252</v>
      </c>
      <c r="Q1511" s="1">
        <v>45250</v>
      </c>
      <c r="R1511" t="s">
        <v>27253</v>
      </c>
      <c r="S1511" t="s">
        <v>27254</v>
      </c>
      <c r="T1511" t="s">
        <v>27269</v>
      </c>
    </row>
    <row r="1512" spans="1:20" x14ac:dyDescent="0.3">
      <c r="A1512" t="str">
        <f>"0611831886100"</f>
        <v>0611831886100</v>
      </c>
      <c r="B1512" t="str">
        <f>"LL8166"</f>
        <v>LL8166</v>
      </c>
      <c r="C1512" t="s">
        <v>30180</v>
      </c>
      <c r="D1512" t="s">
        <v>27245</v>
      </c>
      <c r="E1512" t="str">
        <f t="shared" si="23"/>
        <v>001390</v>
      </c>
      <c r="F1512" t="s">
        <v>27246</v>
      </c>
      <c r="G1512" t="s">
        <v>27247</v>
      </c>
      <c r="H1512" t="s">
        <v>27248</v>
      </c>
      <c r="I1512" t="s">
        <v>30181</v>
      </c>
      <c r="J1512" t="s">
        <v>3033</v>
      </c>
      <c r="L1512" t="s">
        <v>27250</v>
      </c>
      <c r="M1512" t="s">
        <v>27251</v>
      </c>
      <c r="N1512" t="s">
        <v>27252</v>
      </c>
      <c r="Q1512" s="1">
        <v>44538</v>
      </c>
      <c r="R1512" t="s">
        <v>27253</v>
      </c>
      <c r="S1512" t="s">
        <v>27254</v>
      </c>
      <c r="T1512" t="s">
        <v>27255</v>
      </c>
    </row>
    <row r="1513" spans="1:20" x14ac:dyDescent="0.3">
      <c r="A1513" t="str">
        <f>"0611831889100"</f>
        <v>0611831889100</v>
      </c>
      <c r="B1513" t="str">
        <f>"LL8136"</f>
        <v>LL8136</v>
      </c>
      <c r="C1513" t="s">
        <v>30182</v>
      </c>
      <c r="D1513" t="s">
        <v>27245</v>
      </c>
      <c r="E1513" t="str">
        <f t="shared" si="23"/>
        <v>001390</v>
      </c>
      <c r="F1513" t="s">
        <v>27246</v>
      </c>
      <c r="G1513" t="s">
        <v>27247</v>
      </c>
      <c r="H1513" t="s">
        <v>27248</v>
      </c>
      <c r="I1513" t="s">
        <v>30183</v>
      </c>
      <c r="J1513" t="s">
        <v>3035</v>
      </c>
      <c r="L1513" t="s">
        <v>27250</v>
      </c>
      <c r="M1513" t="s">
        <v>27251</v>
      </c>
      <c r="N1513" t="s">
        <v>27252</v>
      </c>
      <c r="Q1513" s="1">
        <v>44538</v>
      </c>
      <c r="R1513" t="s">
        <v>27253</v>
      </c>
      <c r="S1513" t="s">
        <v>27254</v>
      </c>
      <c r="T1513" t="s">
        <v>27255</v>
      </c>
    </row>
    <row r="1514" spans="1:20" x14ac:dyDescent="0.3">
      <c r="A1514" t="str">
        <f>"0611831893100"</f>
        <v>0611831893100</v>
      </c>
      <c r="B1514" t="str">
        <f>"LL0490"</f>
        <v>LL0490</v>
      </c>
      <c r="C1514" t="s">
        <v>30184</v>
      </c>
      <c r="D1514" t="s">
        <v>27245</v>
      </c>
      <c r="E1514" t="str">
        <f t="shared" si="23"/>
        <v>001390</v>
      </c>
      <c r="F1514" t="s">
        <v>27246</v>
      </c>
      <c r="G1514" t="s">
        <v>27247</v>
      </c>
      <c r="H1514" t="s">
        <v>27248</v>
      </c>
      <c r="I1514" t="s">
        <v>30185</v>
      </c>
      <c r="J1514" t="s">
        <v>3037</v>
      </c>
      <c r="L1514" t="s">
        <v>27250</v>
      </c>
      <c r="M1514" t="s">
        <v>27251</v>
      </c>
      <c r="N1514" t="s">
        <v>27252</v>
      </c>
      <c r="Q1514" s="1">
        <v>44538</v>
      </c>
      <c r="R1514" t="s">
        <v>27253</v>
      </c>
      <c r="S1514" t="s">
        <v>27254</v>
      </c>
      <c r="T1514" t="s">
        <v>27255</v>
      </c>
    </row>
    <row r="1515" spans="1:20" x14ac:dyDescent="0.3">
      <c r="A1515" t="str">
        <f>"0611831894100"</f>
        <v>0611831894100</v>
      </c>
      <c r="B1515" t="str">
        <f>"LL0492"</f>
        <v>LL0492</v>
      </c>
      <c r="C1515" t="s">
        <v>30186</v>
      </c>
      <c r="D1515" t="s">
        <v>27245</v>
      </c>
      <c r="E1515" t="str">
        <f t="shared" si="23"/>
        <v>001390</v>
      </c>
      <c r="F1515" t="s">
        <v>27246</v>
      </c>
      <c r="G1515" t="s">
        <v>27247</v>
      </c>
      <c r="H1515" t="s">
        <v>27248</v>
      </c>
      <c r="I1515" t="s">
        <v>30187</v>
      </c>
      <c r="J1515" t="s">
        <v>3039</v>
      </c>
      <c r="L1515" t="s">
        <v>27250</v>
      </c>
      <c r="M1515" t="s">
        <v>27251</v>
      </c>
      <c r="N1515" t="s">
        <v>27252</v>
      </c>
      <c r="Q1515" s="1">
        <v>44538</v>
      </c>
      <c r="R1515" t="s">
        <v>27253</v>
      </c>
      <c r="S1515" t="s">
        <v>27254</v>
      </c>
      <c r="T1515" t="s">
        <v>27255</v>
      </c>
    </row>
    <row r="1516" spans="1:20" x14ac:dyDescent="0.3">
      <c r="A1516" t="str">
        <f>"0611831906100"</f>
        <v>0611831906100</v>
      </c>
      <c r="B1516" t="str">
        <f>"LL0530"</f>
        <v>LL0530</v>
      </c>
      <c r="C1516" t="s">
        <v>30188</v>
      </c>
      <c r="D1516" t="s">
        <v>27245</v>
      </c>
      <c r="E1516" t="str">
        <f t="shared" si="23"/>
        <v>001390</v>
      </c>
      <c r="F1516" t="s">
        <v>27246</v>
      </c>
      <c r="G1516" t="s">
        <v>27247</v>
      </c>
      <c r="H1516" t="s">
        <v>27248</v>
      </c>
      <c r="I1516" t="s">
        <v>30189</v>
      </c>
      <c r="J1516" t="s">
        <v>3041</v>
      </c>
      <c r="L1516" t="s">
        <v>27250</v>
      </c>
      <c r="M1516" t="s">
        <v>27251</v>
      </c>
      <c r="N1516" t="s">
        <v>27252</v>
      </c>
      <c r="Q1516" s="1">
        <v>44538</v>
      </c>
      <c r="R1516" t="s">
        <v>27253</v>
      </c>
      <c r="S1516" t="s">
        <v>27254</v>
      </c>
      <c r="T1516" t="s">
        <v>27255</v>
      </c>
    </row>
    <row r="1517" spans="1:20" x14ac:dyDescent="0.3">
      <c r="A1517" t="str">
        <f>"0611831946100"</f>
        <v>0611831946100</v>
      </c>
      <c r="B1517" t="str">
        <f>"LL0153"</f>
        <v>LL0153</v>
      </c>
      <c r="C1517" t="s">
        <v>30190</v>
      </c>
      <c r="D1517" t="s">
        <v>27245</v>
      </c>
      <c r="E1517" t="str">
        <f t="shared" si="23"/>
        <v>001390</v>
      </c>
      <c r="F1517" t="s">
        <v>27246</v>
      </c>
      <c r="G1517" t="s">
        <v>27247</v>
      </c>
      <c r="H1517" t="s">
        <v>27248</v>
      </c>
      <c r="I1517" t="s">
        <v>30191</v>
      </c>
      <c r="J1517" t="s">
        <v>3043</v>
      </c>
      <c r="L1517" t="s">
        <v>27250</v>
      </c>
      <c r="M1517" t="s">
        <v>27251</v>
      </c>
      <c r="N1517" t="s">
        <v>27252</v>
      </c>
      <c r="Q1517" s="1">
        <v>44538</v>
      </c>
      <c r="R1517" t="s">
        <v>27253</v>
      </c>
      <c r="S1517" t="s">
        <v>27254</v>
      </c>
      <c r="T1517" t="s">
        <v>27255</v>
      </c>
    </row>
    <row r="1518" spans="1:20" x14ac:dyDescent="0.3">
      <c r="A1518" t="str">
        <f>"0611831998025"</f>
        <v>0611831998025</v>
      </c>
      <c r="B1518" t="str">
        <f>"MC0145"</f>
        <v>MC0145</v>
      </c>
      <c r="C1518" t="s">
        <v>30192</v>
      </c>
      <c r="D1518" t="s">
        <v>27267</v>
      </c>
      <c r="E1518" t="str">
        <f t="shared" si="23"/>
        <v>001390</v>
      </c>
      <c r="F1518" t="s">
        <v>27246</v>
      </c>
      <c r="G1518" t="s">
        <v>27247</v>
      </c>
      <c r="H1518" t="s">
        <v>27248</v>
      </c>
      <c r="I1518" t="s">
        <v>30193</v>
      </c>
      <c r="J1518" t="s">
        <v>3045</v>
      </c>
      <c r="L1518" t="s">
        <v>27250</v>
      </c>
      <c r="M1518" t="s">
        <v>27251</v>
      </c>
      <c r="N1518" t="s">
        <v>27252</v>
      </c>
      <c r="Q1518" s="1">
        <v>44538</v>
      </c>
      <c r="R1518" t="s">
        <v>27253</v>
      </c>
      <c r="S1518" t="s">
        <v>27254</v>
      </c>
      <c r="T1518" t="s">
        <v>27269</v>
      </c>
    </row>
    <row r="1519" spans="1:20" x14ac:dyDescent="0.3">
      <c r="A1519" t="str">
        <f>"0611860700050"</f>
        <v>0611860700050</v>
      </c>
      <c r="B1519" t="str">
        <f>"CR4204"</f>
        <v>CR4204</v>
      </c>
      <c r="C1519" t="s">
        <v>30192</v>
      </c>
      <c r="D1519" t="s">
        <v>27263</v>
      </c>
      <c r="E1519" t="str">
        <f t="shared" si="23"/>
        <v>001390</v>
      </c>
      <c r="F1519" t="s">
        <v>27246</v>
      </c>
      <c r="G1519" t="s">
        <v>27247</v>
      </c>
      <c r="H1519" t="s">
        <v>27248</v>
      </c>
      <c r="I1519" t="s">
        <v>30194</v>
      </c>
      <c r="J1519" t="s">
        <v>3047</v>
      </c>
      <c r="L1519" t="s">
        <v>27250</v>
      </c>
      <c r="M1519" t="s">
        <v>27251</v>
      </c>
      <c r="N1519" t="s">
        <v>27252</v>
      </c>
      <c r="Q1519" s="1">
        <v>44846</v>
      </c>
      <c r="R1519" t="s">
        <v>27253</v>
      </c>
      <c r="S1519" t="s">
        <v>27254</v>
      </c>
      <c r="T1519" t="s">
        <v>27265</v>
      </c>
    </row>
    <row r="1520" spans="1:20" x14ac:dyDescent="0.3">
      <c r="A1520" t="str">
        <f>"0611831999100"</f>
        <v>0611831999100</v>
      </c>
      <c r="B1520" t="str">
        <f>"LH1502"</f>
        <v>LH1502</v>
      </c>
      <c r="C1520" t="s">
        <v>30195</v>
      </c>
      <c r="D1520" t="s">
        <v>27245</v>
      </c>
      <c r="E1520" t="str">
        <f t="shared" si="23"/>
        <v>001390</v>
      </c>
      <c r="F1520" t="s">
        <v>27246</v>
      </c>
      <c r="G1520" t="s">
        <v>27247</v>
      </c>
      <c r="H1520" t="s">
        <v>27248</v>
      </c>
      <c r="I1520" t="s">
        <v>30196</v>
      </c>
      <c r="J1520" t="s">
        <v>3049</v>
      </c>
      <c r="L1520" t="s">
        <v>27250</v>
      </c>
      <c r="M1520" t="s">
        <v>27251</v>
      </c>
      <c r="N1520" t="s">
        <v>27252</v>
      </c>
      <c r="Q1520" s="1">
        <v>44538</v>
      </c>
      <c r="R1520" t="s">
        <v>27253</v>
      </c>
      <c r="S1520" t="s">
        <v>27254</v>
      </c>
      <c r="T1520" t="s">
        <v>27255</v>
      </c>
    </row>
    <row r="1521" spans="1:20" x14ac:dyDescent="0.3">
      <c r="A1521" t="str">
        <f>"0611832000025"</f>
        <v>0611832000025</v>
      </c>
      <c r="B1521" t="str">
        <f>"MC0148"</f>
        <v>MC0148</v>
      </c>
      <c r="C1521" t="s">
        <v>30195</v>
      </c>
      <c r="D1521" t="s">
        <v>27267</v>
      </c>
      <c r="E1521" t="str">
        <f t="shared" si="23"/>
        <v>001390</v>
      </c>
      <c r="F1521" t="s">
        <v>27246</v>
      </c>
      <c r="G1521" t="s">
        <v>27247</v>
      </c>
      <c r="H1521" t="s">
        <v>27248</v>
      </c>
      <c r="I1521" t="s">
        <v>30197</v>
      </c>
      <c r="J1521" t="s">
        <v>3051</v>
      </c>
      <c r="L1521" t="s">
        <v>27250</v>
      </c>
      <c r="M1521" t="s">
        <v>27251</v>
      </c>
      <c r="N1521" t="s">
        <v>27252</v>
      </c>
      <c r="Q1521" s="1">
        <v>44538</v>
      </c>
      <c r="R1521" t="s">
        <v>27253</v>
      </c>
      <c r="S1521" t="s">
        <v>27254</v>
      </c>
      <c r="T1521" t="s">
        <v>27269</v>
      </c>
    </row>
    <row r="1522" spans="1:20" x14ac:dyDescent="0.3">
      <c r="A1522" t="str">
        <f>"0611856845025"</f>
        <v>0611856845025</v>
      </c>
      <c r="B1522" t="str">
        <f>"MQ0759"</f>
        <v>MQ0759</v>
      </c>
      <c r="C1522" t="s">
        <v>30198</v>
      </c>
      <c r="D1522" t="s">
        <v>27267</v>
      </c>
      <c r="E1522" t="str">
        <f t="shared" si="23"/>
        <v>001390</v>
      </c>
      <c r="F1522" t="s">
        <v>27246</v>
      </c>
      <c r="G1522" t="s">
        <v>27247</v>
      </c>
      <c r="H1522" t="s">
        <v>27248</v>
      </c>
      <c r="I1522" t="s">
        <v>30199</v>
      </c>
      <c r="J1522" t="s">
        <v>3053</v>
      </c>
      <c r="L1522" t="s">
        <v>27250</v>
      </c>
      <c r="M1522" t="s">
        <v>27251</v>
      </c>
      <c r="N1522" t="s">
        <v>27252</v>
      </c>
      <c r="Q1522" s="1">
        <v>44812</v>
      </c>
      <c r="R1522" t="s">
        <v>27253</v>
      </c>
      <c r="S1522" t="s">
        <v>27254</v>
      </c>
      <c r="T1522" t="s">
        <v>27269</v>
      </c>
    </row>
    <row r="1523" spans="1:20" x14ac:dyDescent="0.3">
      <c r="A1523" t="str">
        <f>"0611832001025"</f>
        <v>0611832001025</v>
      </c>
      <c r="B1523" t="str">
        <f>"MQ0156"</f>
        <v>MQ0156</v>
      </c>
      <c r="C1523" t="s">
        <v>30200</v>
      </c>
      <c r="D1523" t="s">
        <v>27267</v>
      </c>
      <c r="E1523" t="str">
        <f t="shared" si="23"/>
        <v>001390</v>
      </c>
      <c r="F1523" t="s">
        <v>27246</v>
      </c>
      <c r="G1523" t="s">
        <v>27247</v>
      </c>
      <c r="H1523" t="s">
        <v>27248</v>
      </c>
      <c r="I1523" t="s">
        <v>30201</v>
      </c>
      <c r="J1523" t="s">
        <v>3055</v>
      </c>
      <c r="L1523" t="s">
        <v>27250</v>
      </c>
      <c r="M1523" t="s">
        <v>27251</v>
      </c>
      <c r="N1523" t="s">
        <v>27252</v>
      </c>
      <c r="Q1523" s="1">
        <v>44538</v>
      </c>
      <c r="R1523" t="s">
        <v>27253</v>
      </c>
      <c r="S1523" t="s">
        <v>27254</v>
      </c>
      <c r="T1523" t="s">
        <v>27269</v>
      </c>
    </row>
    <row r="1524" spans="1:20" x14ac:dyDescent="0.3">
      <c r="A1524" t="str">
        <f>"0611860701050"</f>
        <v>0611860701050</v>
      </c>
      <c r="B1524" t="str">
        <f>"CR4200"</f>
        <v>CR4200</v>
      </c>
      <c r="C1524" t="s">
        <v>30200</v>
      </c>
      <c r="D1524" t="s">
        <v>27263</v>
      </c>
      <c r="E1524" t="str">
        <f t="shared" si="23"/>
        <v>001390</v>
      </c>
      <c r="F1524" t="s">
        <v>27246</v>
      </c>
      <c r="G1524" t="s">
        <v>27247</v>
      </c>
      <c r="H1524" t="s">
        <v>27248</v>
      </c>
      <c r="I1524" t="s">
        <v>30202</v>
      </c>
      <c r="J1524" t="s">
        <v>3057</v>
      </c>
      <c r="L1524" t="s">
        <v>27250</v>
      </c>
      <c r="M1524" t="s">
        <v>27251</v>
      </c>
      <c r="N1524" t="s">
        <v>27252</v>
      </c>
      <c r="Q1524" s="1">
        <v>44846</v>
      </c>
      <c r="R1524" t="s">
        <v>27253</v>
      </c>
      <c r="S1524" t="s">
        <v>27254</v>
      </c>
      <c r="T1524" t="s">
        <v>27265</v>
      </c>
    </row>
    <row r="1525" spans="1:20" x14ac:dyDescent="0.3">
      <c r="A1525" t="str">
        <f>"0611832002025"</f>
        <v>0611832002025</v>
      </c>
      <c r="B1525" t="str">
        <f>"MQ3046"</f>
        <v>MQ3046</v>
      </c>
      <c r="C1525" t="s">
        <v>30203</v>
      </c>
      <c r="D1525" t="s">
        <v>27267</v>
      </c>
      <c r="E1525" t="str">
        <f t="shared" si="23"/>
        <v>001390</v>
      </c>
      <c r="F1525" t="s">
        <v>27246</v>
      </c>
      <c r="G1525" t="s">
        <v>27247</v>
      </c>
      <c r="H1525" t="s">
        <v>27248</v>
      </c>
      <c r="I1525" t="s">
        <v>30204</v>
      </c>
      <c r="J1525" t="s">
        <v>3059</v>
      </c>
      <c r="L1525" t="s">
        <v>27250</v>
      </c>
      <c r="M1525" t="s">
        <v>27251</v>
      </c>
      <c r="N1525" t="s">
        <v>27252</v>
      </c>
      <c r="Q1525" s="1">
        <v>44538</v>
      </c>
      <c r="R1525" t="s">
        <v>27253</v>
      </c>
      <c r="S1525" t="s">
        <v>27254</v>
      </c>
      <c r="T1525" t="s">
        <v>27269</v>
      </c>
    </row>
    <row r="1526" spans="1:20" x14ac:dyDescent="0.3">
      <c r="A1526" t="str">
        <f>"0611832003025"</f>
        <v>0611832003025</v>
      </c>
      <c r="B1526" t="str">
        <f>"MQ3047"</f>
        <v>MQ3047</v>
      </c>
      <c r="C1526" t="s">
        <v>30205</v>
      </c>
      <c r="D1526" t="s">
        <v>27267</v>
      </c>
      <c r="E1526" t="str">
        <f t="shared" si="23"/>
        <v>001390</v>
      </c>
      <c r="F1526" t="s">
        <v>27246</v>
      </c>
      <c r="G1526" t="s">
        <v>27247</v>
      </c>
      <c r="H1526" t="s">
        <v>27248</v>
      </c>
      <c r="I1526" t="s">
        <v>30206</v>
      </c>
      <c r="J1526" t="s">
        <v>3061</v>
      </c>
      <c r="L1526" t="s">
        <v>27250</v>
      </c>
      <c r="M1526" t="s">
        <v>27251</v>
      </c>
      <c r="N1526" t="s">
        <v>27252</v>
      </c>
      <c r="Q1526" s="1">
        <v>44538</v>
      </c>
      <c r="R1526" t="s">
        <v>27253</v>
      </c>
      <c r="S1526" t="s">
        <v>27254</v>
      </c>
      <c r="T1526" t="s">
        <v>27269</v>
      </c>
    </row>
    <row r="1527" spans="1:20" x14ac:dyDescent="0.3">
      <c r="A1527" t="str">
        <f>"0611860702050"</f>
        <v>0611860702050</v>
      </c>
      <c r="B1527" t="str">
        <f>"CR4201"</f>
        <v>CR4201</v>
      </c>
      <c r="C1527" t="s">
        <v>30207</v>
      </c>
      <c r="D1527" t="s">
        <v>27263</v>
      </c>
      <c r="E1527" t="str">
        <f t="shared" si="23"/>
        <v>001390</v>
      </c>
      <c r="F1527" t="s">
        <v>27246</v>
      </c>
      <c r="G1527" t="s">
        <v>27247</v>
      </c>
      <c r="H1527" t="s">
        <v>27248</v>
      </c>
      <c r="I1527" t="s">
        <v>30208</v>
      </c>
      <c r="J1527" t="s">
        <v>3063</v>
      </c>
      <c r="L1527" t="s">
        <v>27250</v>
      </c>
      <c r="M1527" t="s">
        <v>27251</v>
      </c>
      <c r="N1527" t="s">
        <v>27252</v>
      </c>
      <c r="Q1527" s="1">
        <v>44846</v>
      </c>
      <c r="R1527" t="s">
        <v>27253</v>
      </c>
      <c r="S1527" t="s">
        <v>27254</v>
      </c>
      <c r="T1527" t="s">
        <v>27265</v>
      </c>
    </row>
    <row r="1528" spans="1:20" x14ac:dyDescent="0.3">
      <c r="A1528" t="str">
        <f>"0611832005025"</f>
        <v>0611832005025</v>
      </c>
      <c r="B1528" t="str">
        <f>"MQ3049"</f>
        <v>MQ3049</v>
      </c>
      <c r="C1528" t="s">
        <v>30209</v>
      </c>
      <c r="D1528" t="s">
        <v>27267</v>
      </c>
      <c r="E1528" t="str">
        <f t="shared" si="23"/>
        <v>001390</v>
      </c>
      <c r="F1528" t="s">
        <v>27246</v>
      </c>
      <c r="G1528" t="s">
        <v>27247</v>
      </c>
      <c r="H1528" t="s">
        <v>27248</v>
      </c>
      <c r="I1528" t="s">
        <v>30210</v>
      </c>
      <c r="J1528" t="s">
        <v>3065</v>
      </c>
      <c r="L1528" t="s">
        <v>27250</v>
      </c>
      <c r="M1528" t="s">
        <v>27251</v>
      </c>
      <c r="N1528" t="s">
        <v>27252</v>
      </c>
      <c r="Q1528" s="1">
        <v>44538</v>
      </c>
      <c r="R1528" t="s">
        <v>27253</v>
      </c>
      <c r="S1528" t="s">
        <v>27254</v>
      </c>
      <c r="T1528" t="s">
        <v>27269</v>
      </c>
    </row>
    <row r="1529" spans="1:20" x14ac:dyDescent="0.3">
      <c r="A1529" t="str">
        <f>"0611860703050"</f>
        <v>0611860703050</v>
      </c>
      <c r="B1529" t="str">
        <f>"CR4202"</f>
        <v>CR4202</v>
      </c>
      <c r="C1529" t="s">
        <v>30209</v>
      </c>
      <c r="D1529" t="s">
        <v>27263</v>
      </c>
      <c r="E1529" t="str">
        <f t="shared" si="23"/>
        <v>001390</v>
      </c>
      <c r="F1529" t="s">
        <v>27246</v>
      </c>
      <c r="G1529" t="s">
        <v>27247</v>
      </c>
      <c r="H1529" t="s">
        <v>27248</v>
      </c>
      <c r="I1529" t="s">
        <v>30211</v>
      </c>
      <c r="J1529" t="s">
        <v>3067</v>
      </c>
      <c r="L1529" t="s">
        <v>27250</v>
      </c>
      <c r="M1529" t="s">
        <v>27251</v>
      </c>
      <c r="N1529" t="s">
        <v>27252</v>
      </c>
      <c r="Q1529" s="1">
        <v>44846</v>
      </c>
      <c r="R1529" t="s">
        <v>27253</v>
      </c>
      <c r="S1529" t="s">
        <v>27254</v>
      </c>
      <c r="T1529" t="s">
        <v>27265</v>
      </c>
    </row>
    <row r="1530" spans="1:20" x14ac:dyDescent="0.3">
      <c r="A1530" t="str">
        <f>"0611832006025"</f>
        <v>0611832006025</v>
      </c>
      <c r="B1530" t="str">
        <f>"MQ3050"</f>
        <v>MQ3050</v>
      </c>
      <c r="C1530" t="s">
        <v>30212</v>
      </c>
      <c r="D1530" t="s">
        <v>27267</v>
      </c>
      <c r="E1530" t="str">
        <f t="shared" si="23"/>
        <v>001390</v>
      </c>
      <c r="F1530" t="s">
        <v>27246</v>
      </c>
      <c r="G1530" t="s">
        <v>27247</v>
      </c>
      <c r="H1530" t="s">
        <v>27248</v>
      </c>
      <c r="I1530" t="s">
        <v>30213</v>
      </c>
      <c r="J1530" t="s">
        <v>3069</v>
      </c>
      <c r="L1530" t="s">
        <v>27250</v>
      </c>
      <c r="M1530" t="s">
        <v>27251</v>
      </c>
      <c r="N1530" t="s">
        <v>27252</v>
      </c>
      <c r="Q1530" s="1">
        <v>44538</v>
      </c>
      <c r="R1530" t="s">
        <v>27253</v>
      </c>
      <c r="S1530" t="s">
        <v>27254</v>
      </c>
      <c r="T1530" t="s">
        <v>27269</v>
      </c>
    </row>
    <row r="1531" spans="1:20" x14ac:dyDescent="0.3">
      <c r="A1531" t="str">
        <f>"0611832007025"</f>
        <v>0611832007025</v>
      </c>
      <c r="B1531" t="str">
        <f>"MQ3051"</f>
        <v>MQ3051</v>
      </c>
      <c r="C1531" t="s">
        <v>30214</v>
      </c>
      <c r="D1531" t="s">
        <v>27267</v>
      </c>
      <c r="E1531" t="str">
        <f t="shared" si="23"/>
        <v>001390</v>
      </c>
      <c r="F1531" t="s">
        <v>27246</v>
      </c>
      <c r="G1531" t="s">
        <v>27247</v>
      </c>
      <c r="H1531" t="s">
        <v>27248</v>
      </c>
      <c r="I1531" t="s">
        <v>30215</v>
      </c>
      <c r="J1531" t="s">
        <v>3071</v>
      </c>
      <c r="L1531" t="s">
        <v>27250</v>
      </c>
      <c r="M1531" t="s">
        <v>27251</v>
      </c>
      <c r="N1531" t="s">
        <v>27252</v>
      </c>
      <c r="Q1531" s="1">
        <v>44538</v>
      </c>
      <c r="R1531" t="s">
        <v>27253</v>
      </c>
      <c r="S1531" t="s">
        <v>27254</v>
      </c>
      <c r="T1531" t="s">
        <v>27269</v>
      </c>
    </row>
    <row r="1532" spans="1:20" x14ac:dyDescent="0.3">
      <c r="A1532" t="str">
        <f>"0611860704050"</f>
        <v>0611860704050</v>
      </c>
      <c r="B1532" t="str">
        <f>"CR4203"</f>
        <v>CR4203</v>
      </c>
      <c r="C1532" t="s">
        <v>30214</v>
      </c>
      <c r="D1532" t="s">
        <v>27263</v>
      </c>
      <c r="E1532" t="str">
        <f t="shared" si="23"/>
        <v>001390</v>
      </c>
      <c r="F1532" t="s">
        <v>27246</v>
      </c>
      <c r="G1532" t="s">
        <v>27247</v>
      </c>
      <c r="H1532" t="s">
        <v>27248</v>
      </c>
      <c r="I1532" t="s">
        <v>30216</v>
      </c>
      <c r="J1532" t="s">
        <v>3073</v>
      </c>
      <c r="L1532" t="s">
        <v>27250</v>
      </c>
      <c r="M1532" t="s">
        <v>27251</v>
      </c>
      <c r="N1532" t="s">
        <v>27252</v>
      </c>
      <c r="Q1532" s="1">
        <v>44846</v>
      </c>
      <c r="R1532" t="s">
        <v>27253</v>
      </c>
      <c r="S1532" t="s">
        <v>27254</v>
      </c>
      <c r="T1532" t="s">
        <v>27265</v>
      </c>
    </row>
    <row r="1533" spans="1:20" x14ac:dyDescent="0.3">
      <c r="A1533" t="str">
        <f>"0611860705100"</f>
        <v>0611860705100</v>
      </c>
      <c r="B1533" t="str">
        <f>"CN2344"</f>
        <v>CN2344</v>
      </c>
      <c r="C1533" t="s">
        <v>30217</v>
      </c>
      <c r="D1533" t="s">
        <v>27335</v>
      </c>
      <c r="E1533" t="str">
        <f t="shared" si="23"/>
        <v>001390</v>
      </c>
      <c r="F1533" t="s">
        <v>27246</v>
      </c>
      <c r="G1533" t="s">
        <v>27247</v>
      </c>
      <c r="H1533" t="s">
        <v>27248</v>
      </c>
      <c r="I1533" t="s">
        <v>30218</v>
      </c>
      <c r="J1533" t="s">
        <v>3075</v>
      </c>
      <c r="L1533" t="s">
        <v>27250</v>
      </c>
      <c r="M1533" t="s">
        <v>27251</v>
      </c>
      <c r="N1533" t="s">
        <v>27252</v>
      </c>
      <c r="Q1533" s="1">
        <v>44846</v>
      </c>
      <c r="R1533" t="s">
        <v>27253</v>
      </c>
      <c r="S1533" t="s">
        <v>27254</v>
      </c>
      <c r="T1533" t="s">
        <v>27255</v>
      </c>
    </row>
    <row r="1534" spans="1:20" x14ac:dyDescent="0.3">
      <c r="A1534" t="str">
        <f>"0611832009025"</f>
        <v>0611832009025</v>
      </c>
      <c r="B1534" t="str">
        <f>"MQ0158"</f>
        <v>MQ0158</v>
      </c>
      <c r="C1534" t="s">
        <v>30219</v>
      </c>
      <c r="D1534" t="s">
        <v>27267</v>
      </c>
      <c r="E1534" t="str">
        <f t="shared" si="23"/>
        <v>001390</v>
      </c>
      <c r="F1534" t="s">
        <v>27246</v>
      </c>
      <c r="G1534" t="s">
        <v>27247</v>
      </c>
      <c r="H1534" t="s">
        <v>27248</v>
      </c>
      <c r="I1534" t="s">
        <v>30220</v>
      </c>
      <c r="J1534" t="s">
        <v>3077</v>
      </c>
      <c r="L1534" t="s">
        <v>27250</v>
      </c>
      <c r="M1534" t="s">
        <v>27251</v>
      </c>
      <c r="N1534" t="s">
        <v>27252</v>
      </c>
      <c r="Q1534" s="1">
        <v>44538</v>
      </c>
      <c r="R1534" t="s">
        <v>27253</v>
      </c>
      <c r="S1534" t="s">
        <v>27254</v>
      </c>
      <c r="T1534" t="s">
        <v>27269</v>
      </c>
    </row>
    <row r="1535" spans="1:20" x14ac:dyDescent="0.3">
      <c r="A1535" t="str">
        <f>"0611832010025"</f>
        <v>0611832010025</v>
      </c>
      <c r="B1535" t="str">
        <f>"MQ0687"</f>
        <v>MQ0687</v>
      </c>
      <c r="C1535" t="s">
        <v>30221</v>
      </c>
      <c r="D1535" t="s">
        <v>27267</v>
      </c>
      <c r="E1535" t="str">
        <f t="shared" si="23"/>
        <v>001390</v>
      </c>
      <c r="F1535" t="s">
        <v>27246</v>
      </c>
      <c r="G1535" t="s">
        <v>27247</v>
      </c>
      <c r="H1535" t="s">
        <v>27248</v>
      </c>
      <c r="I1535" t="s">
        <v>30222</v>
      </c>
      <c r="J1535" t="s">
        <v>3079</v>
      </c>
      <c r="L1535" t="s">
        <v>27250</v>
      </c>
      <c r="M1535" t="s">
        <v>27251</v>
      </c>
      <c r="N1535" t="s">
        <v>27252</v>
      </c>
      <c r="Q1535" s="1">
        <v>44538</v>
      </c>
      <c r="R1535" t="s">
        <v>27253</v>
      </c>
      <c r="S1535" t="s">
        <v>27254</v>
      </c>
      <c r="T1535" t="s">
        <v>27269</v>
      </c>
    </row>
    <row r="1536" spans="1:20" x14ac:dyDescent="0.3">
      <c r="A1536" t="str">
        <f>"0611832011025"</f>
        <v>0611832011025</v>
      </c>
      <c r="B1536" t="str">
        <f>"MQ0688"</f>
        <v>MQ0688</v>
      </c>
      <c r="C1536" t="s">
        <v>30223</v>
      </c>
      <c r="D1536" t="s">
        <v>27267</v>
      </c>
      <c r="E1536" t="str">
        <f t="shared" si="23"/>
        <v>001390</v>
      </c>
      <c r="F1536" t="s">
        <v>27246</v>
      </c>
      <c r="G1536" t="s">
        <v>27247</v>
      </c>
      <c r="H1536" t="s">
        <v>27248</v>
      </c>
      <c r="I1536" t="s">
        <v>30224</v>
      </c>
      <c r="J1536" t="s">
        <v>3081</v>
      </c>
      <c r="L1536" t="s">
        <v>27250</v>
      </c>
      <c r="M1536" t="s">
        <v>27251</v>
      </c>
      <c r="N1536" t="s">
        <v>27252</v>
      </c>
      <c r="Q1536" s="1">
        <v>44538</v>
      </c>
      <c r="R1536" t="s">
        <v>27253</v>
      </c>
      <c r="S1536" t="s">
        <v>27254</v>
      </c>
      <c r="T1536" t="s">
        <v>27269</v>
      </c>
    </row>
    <row r="1537" spans="1:20" x14ac:dyDescent="0.3">
      <c r="A1537" t="str">
        <f>"0611832012025"</f>
        <v>0611832012025</v>
      </c>
      <c r="B1537" t="str">
        <f>"MQ0689"</f>
        <v>MQ0689</v>
      </c>
      <c r="C1537" t="s">
        <v>30225</v>
      </c>
      <c r="D1537" t="s">
        <v>27267</v>
      </c>
      <c r="E1537" t="str">
        <f t="shared" si="23"/>
        <v>001390</v>
      </c>
      <c r="F1537" t="s">
        <v>27246</v>
      </c>
      <c r="G1537" t="s">
        <v>27247</v>
      </c>
      <c r="H1537" t="s">
        <v>27248</v>
      </c>
      <c r="I1537" t="s">
        <v>30226</v>
      </c>
      <c r="J1537" t="s">
        <v>3083</v>
      </c>
      <c r="L1537" t="s">
        <v>27250</v>
      </c>
      <c r="M1537" t="s">
        <v>27251</v>
      </c>
      <c r="N1537" t="s">
        <v>27252</v>
      </c>
      <c r="Q1537" s="1">
        <v>44538</v>
      </c>
      <c r="R1537" t="s">
        <v>27253</v>
      </c>
      <c r="S1537" t="s">
        <v>27254</v>
      </c>
      <c r="T1537" t="s">
        <v>27269</v>
      </c>
    </row>
    <row r="1538" spans="1:20" x14ac:dyDescent="0.3">
      <c r="A1538" t="str">
        <f>"0611832013025"</f>
        <v>0611832013025</v>
      </c>
      <c r="B1538" t="str">
        <f>"MQ0690"</f>
        <v>MQ0690</v>
      </c>
      <c r="C1538" t="s">
        <v>30227</v>
      </c>
      <c r="D1538" t="s">
        <v>27267</v>
      </c>
      <c r="E1538" t="str">
        <f t="shared" ref="E1538:E1601" si="24">"001390"</f>
        <v>001390</v>
      </c>
      <c r="F1538" t="s">
        <v>27246</v>
      </c>
      <c r="G1538" t="s">
        <v>27247</v>
      </c>
      <c r="H1538" t="s">
        <v>27248</v>
      </c>
      <c r="I1538" t="s">
        <v>30228</v>
      </c>
      <c r="J1538" t="s">
        <v>3085</v>
      </c>
      <c r="L1538" t="s">
        <v>27250</v>
      </c>
      <c r="M1538" t="s">
        <v>27251</v>
      </c>
      <c r="N1538" t="s">
        <v>27252</v>
      </c>
      <c r="Q1538" s="1">
        <v>44538</v>
      </c>
      <c r="R1538" t="s">
        <v>27253</v>
      </c>
      <c r="S1538" t="s">
        <v>27254</v>
      </c>
      <c r="T1538" t="s">
        <v>27269</v>
      </c>
    </row>
    <row r="1539" spans="1:20" x14ac:dyDescent="0.3">
      <c r="A1539" t="str">
        <f>"0611832014025"</f>
        <v>0611832014025</v>
      </c>
      <c r="B1539" t="str">
        <f>"MQ0691"</f>
        <v>MQ0691</v>
      </c>
      <c r="C1539" t="s">
        <v>30229</v>
      </c>
      <c r="D1539" t="s">
        <v>27267</v>
      </c>
      <c r="E1539" t="str">
        <f t="shared" si="24"/>
        <v>001390</v>
      </c>
      <c r="F1539" t="s">
        <v>27246</v>
      </c>
      <c r="G1539" t="s">
        <v>27247</v>
      </c>
      <c r="H1539" t="s">
        <v>27248</v>
      </c>
      <c r="I1539" t="s">
        <v>30230</v>
      </c>
      <c r="J1539" t="s">
        <v>3087</v>
      </c>
      <c r="L1539" t="s">
        <v>27250</v>
      </c>
      <c r="M1539" t="s">
        <v>27251</v>
      </c>
      <c r="N1539" t="s">
        <v>27252</v>
      </c>
      <c r="Q1539" s="1">
        <v>44538</v>
      </c>
      <c r="R1539" t="s">
        <v>27253</v>
      </c>
      <c r="S1539" t="s">
        <v>27254</v>
      </c>
      <c r="T1539" t="s">
        <v>27269</v>
      </c>
    </row>
    <row r="1540" spans="1:20" x14ac:dyDescent="0.3">
      <c r="A1540" t="str">
        <f>"0611832015025"</f>
        <v>0611832015025</v>
      </c>
      <c r="B1540" t="str">
        <f>"MQ0692"</f>
        <v>MQ0692</v>
      </c>
      <c r="C1540" t="s">
        <v>30231</v>
      </c>
      <c r="D1540" t="s">
        <v>27267</v>
      </c>
      <c r="E1540" t="str">
        <f t="shared" si="24"/>
        <v>001390</v>
      </c>
      <c r="F1540" t="s">
        <v>27246</v>
      </c>
      <c r="G1540" t="s">
        <v>27247</v>
      </c>
      <c r="H1540" t="s">
        <v>27248</v>
      </c>
      <c r="I1540" t="s">
        <v>30232</v>
      </c>
      <c r="J1540" t="s">
        <v>3089</v>
      </c>
      <c r="L1540" t="s">
        <v>27250</v>
      </c>
      <c r="M1540" t="s">
        <v>27251</v>
      </c>
      <c r="N1540" t="s">
        <v>27252</v>
      </c>
      <c r="Q1540" s="1">
        <v>44538</v>
      </c>
      <c r="R1540" t="s">
        <v>27253</v>
      </c>
      <c r="S1540" t="s">
        <v>27254</v>
      </c>
      <c r="T1540" t="s">
        <v>27269</v>
      </c>
    </row>
    <row r="1541" spans="1:20" x14ac:dyDescent="0.3">
      <c r="A1541" t="str">
        <f>"0611832017025"</f>
        <v>0611832017025</v>
      </c>
      <c r="B1541" t="str">
        <f>"MQ0587"</f>
        <v>MQ0587</v>
      </c>
      <c r="C1541" t="s">
        <v>30233</v>
      </c>
      <c r="D1541" t="s">
        <v>27267</v>
      </c>
      <c r="E1541" t="str">
        <f t="shared" si="24"/>
        <v>001390</v>
      </c>
      <c r="F1541" t="s">
        <v>27246</v>
      </c>
      <c r="G1541" t="s">
        <v>27247</v>
      </c>
      <c r="H1541" t="s">
        <v>27248</v>
      </c>
      <c r="I1541" t="s">
        <v>30234</v>
      </c>
      <c r="J1541" t="s">
        <v>3091</v>
      </c>
      <c r="L1541" t="s">
        <v>27250</v>
      </c>
      <c r="M1541" t="s">
        <v>27251</v>
      </c>
      <c r="N1541" t="s">
        <v>27252</v>
      </c>
      <c r="Q1541" s="1">
        <v>44538</v>
      </c>
      <c r="R1541" t="s">
        <v>27253</v>
      </c>
      <c r="S1541" t="s">
        <v>27254</v>
      </c>
      <c r="T1541" t="s">
        <v>27269</v>
      </c>
    </row>
    <row r="1542" spans="1:20" x14ac:dyDescent="0.3">
      <c r="A1542" t="str">
        <f>"0611832018025"</f>
        <v>0611832018025</v>
      </c>
      <c r="B1542" t="str">
        <f>"MQ0693"</f>
        <v>MQ0693</v>
      </c>
      <c r="C1542" t="s">
        <v>30235</v>
      </c>
      <c r="D1542" t="s">
        <v>27267</v>
      </c>
      <c r="E1542" t="str">
        <f t="shared" si="24"/>
        <v>001390</v>
      </c>
      <c r="F1542" t="s">
        <v>27246</v>
      </c>
      <c r="G1542" t="s">
        <v>27247</v>
      </c>
      <c r="H1542" t="s">
        <v>27248</v>
      </c>
      <c r="I1542" t="s">
        <v>30236</v>
      </c>
      <c r="J1542" t="s">
        <v>3093</v>
      </c>
      <c r="L1542" t="s">
        <v>27250</v>
      </c>
      <c r="M1542" t="s">
        <v>27251</v>
      </c>
      <c r="N1542" t="s">
        <v>27252</v>
      </c>
      <c r="Q1542" s="1">
        <v>44538</v>
      </c>
      <c r="R1542" t="s">
        <v>27253</v>
      </c>
      <c r="S1542" t="s">
        <v>27254</v>
      </c>
      <c r="T1542" t="s">
        <v>27269</v>
      </c>
    </row>
    <row r="1543" spans="1:20" x14ac:dyDescent="0.3">
      <c r="A1543" t="str">
        <f>"0611856846025"</f>
        <v>0611856846025</v>
      </c>
      <c r="B1543" t="str">
        <f>"MQ0760"</f>
        <v>MQ0760</v>
      </c>
      <c r="C1543" t="s">
        <v>30237</v>
      </c>
      <c r="D1543" t="s">
        <v>27267</v>
      </c>
      <c r="E1543" t="str">
        <f t="shared" si="24"/>
        <v>001390</v>
      </c>
      <c r="F1543" t="s">
        <v>27246</v>
      </c>
      <c r="G1543" t="s">
        <v>27247</v>
      </c>
      <c r="H1543" t="s">
        <v>27248</v>
      </c>
      <c r="I1543" t="s">
        <v>30238</v>
      </c>
      <c r="J1543" t="s">
        <v>3095</v>
      </c>
      <c r="L1543" t="s">
        <v>27250</v>
      </c>
      <c r="M1543" t="s">
        <v>27251</v>
      </c>
      <c r="N1543" t="s">
        <v>27252</v>
      </c>
      <c r="Q1543" s="1">
        <v>44812</v>
      </c>
      <c r="R1543" t="s">
        <v>27253</v>
      </c>
      <c r="S1543" t="s">
        <v>27254</v>
      </c>
      <c r="T1543" t="s">
        <v>27269</v>
      </c>
    </row>
    <row r="1544" spans="1:20" x14ac:dyDescent="0.3">
      <c r="A1544" t="str">
        <f>"0611832019025"</f>
        <v>0611832019025</v>
      </c>
      <c r="B1544" t="str">
        <f>"MQ6006"</f>
        <v>MQ6006</v>
      </c>
      <c r="C1544" t="s">
        <v>30239</v>
      </c>
      <c r="D1544" t="s">
        <v>27267</v>
      </c>
      <c r="E1544" t="str">
        <f t="shared" si="24"/>
        <v>001390</v>
      </c>
      <c r="F1544" t="s">
        <v>27246</v>
      </c>
      <c r="G1544" t="s">
        <v>27247</v>
      </c>
      <c r="H1544" t="s">
        <v>27248</v>
      </c>
      <c r="I1544" t="s">
        <v>30240</v>
      </c>
      <c r="J1544" t="s">
        <v>3097</v>
      </c>
      <c r="L1544" t="s">
        <v>27250</v>
      </c>
      <c r="M1544" t="s">
        <v>27251</v>
      </c>
      <c r="N1544" t="s">
        <v>27252</v>
      </c>
      <c r="Q1544" s="1">
        <v>44538</v>
      </c>
      <c r="R1544" t="s">
        <v>27253</v>
      </c>
      <c r="S1544" t="s">
        <v>27254</v>
      </c>
      <c r="T1544" t="s">
        <v>27269</v>
      </c>
    </row>
    <row r="1545" spans="1:20" x14ac:dyDescent="0.3">
      <c r="A1545" t="str">
        <f>"0611832020025"</f>
        <v>0611832020025</v>
      </c>
      <c r="B1545" t="str">
        <f>"MQ0588"</f>
        <v>MQ0588</v>
      </c>
      <c r="C1545" t="s">
        <v>30241</v>
      </c>
      <c r="D1545" t="s">
        <v>27267</v>
      </c>
      <c r="E1545" t="str">
        <f t="shared" si="24"/>
        <v>001390</v>
      </c>
      <c r="F1545" t="s">
        <v>27246</v>
      </c>
      <c r="G1545" t="s">
        <v>27247</v>
      </c>
      <c r="H1545" t="s">
        <v>27248</v>
      </c>
      <c r="I1545" t="s">
        <v>30242</v>
      </c>
      <c r="J1545" t="s">
        <v>3099</v>
      </c>
      <c r="L1545" t="s">
        <v>27250</v>
      </c>
      <c r="M1545" t="s">
        <v>27251</v>
      </c>
      <c r="N1545" t="s">
        <v>27252</v>
      </c>
      <c r="Q1545" s="1">
        <v>44538</v>
      </c>
      <c r="R1545" t="s">
        <v>27253</v>
      </c>
      <c r="S1545" t="s">
        <v>27254</v>
      </c>
      <c r="T1545" t="s">
        <v>27269</v>
      </c>
    </row>
    <row r="1546" spans="1:20" x14ac:dyDescent="0.3">
      <c r="A1546" t="str">
        <f>"0611856847025"</f>
        <v>0611856847025</v>
      </c>
      <c r="B1546" t="str">
        <f>"MQ0761"</f>
        <v>MQ0761</v>
      </c>
      <c r="C1546" t="s">
        <v>30243</v>
      </c>
      <c r="D1546" t="s">
        <v>27267</v>
      </c>
      <c r="E1546" t="str">
        <f t="shared" si="24"/>
        <v>001390</v>
      </c>
      <c r="F1546" t="s">
        <v>27246</v>
      </c>
      <c r="G1546" t="s">
        <v>27247</v>
      </c>
      <c r="H1546" t="s">
        <v>27248</v>
      </c>
      <c r="I1546" t="s">
        <v>30244</v>
      </c>
      <c r="J1546" t="s">
        <v>3101</v>
      </c>
      <c r="L1546" t="s">
        <v>27250</v>
      </c>
      <c r="M1546" t="s">
        <v>27251</v>
      </c>
      <c r="N1546" t="s">
        <v>27252</v>
      </c>
      <c r="Q1546" s="1">
        <v>44812</v>
      </c>
      <c r="R1546" t="s">
        <v>27253</v>
      </c>
      <c r="S1546" t="s">
        <v>27254</v>
      </c>
      <c r="T1546" t="s">
        <v>27269</v>
      </c>
    </row>
    <row r="1547" spans="1:20" x14ac:dyDescent="0.3">
      <c r="A1547" t="str">
        <f>"0611856848025"</f>
        <v>0611856848025</v>
      </c>
      <c r="B1547" t="str">
        <f>"MQ0762"</f>
        <v>MQ0762</v>
      </c>
      <c r="C1547" t="s">
        <v>30245</v>
      </c>
      <c r="D1547" t="s">
        <v>27267</v>
      </c>
      <c r="E1547" t="str">
        <f t="shared" si="24"/>
        <v>001390</v>
      </c>
      <c r="F1547" t="s">
        <v>27246</v>
      </c>
      <c r="G1547" t="s">
        <v>27247</v>
      </c>
      <c r="H1547" t="s">
        <v>27248</v>
      </c>
      <c r="I1547" t="s">
        <v>30246</v>
      </c>
      <c r="J1547" t="s">
        <v>3103</v>
      </c>
      <c r="L1547" t="s">
        <v>27250</v>
      </c>
      <c r="M1547" t="s">
        <v>27251</v>
      </c>
      <c r="N1547" t="s">
        <v>27252</v>
      </c>
      <c r="Q1547" s="1">
        <v>44812</v>
      </c>
      <c r="R1547" t="s">
        <v>27253</v>
      </c>
      <c r="S1547" t="s">
        <v>27254</v>
      </c>
      <c r="T1547" t="s">
        <v>27269</v>
      </c>
    </row>
    <row r="1548" spans="1:20" x14ac:dyDescent="0.3">
      <c r="A1548" t="str">
        <f>"0611832021025"</f>
        <v>0611832021025</v>
      </c>
      <c r="B1548" t="str">
        <f>"MC0149"</f>
        <v>MC0149</v>
      </c>
      <c r="C1548" t="s">
        <v>30247</v>
      </c>
      <c r="D1548" t="s">
        <v>27267</v>
      </c>
      <c r="E1548" t="str">
        <f t="shared" si="24"/>
        <v>001390</v>
      </c>
      <c r="F1548" t="s">
        <v>27246</v>
      </c>
      <c r="G1548" t="s">
        <v>27247</v>
      </c>
      <c r="H1548" t="s">
        <v>27248</v>
      </c>
      <c r="I1548" t="s">
        <v>30248</v>
      </c>
      <c r="J1548" t="s">
        <v>3105</v>
      </c>
      <c r="L1548" t="s">
        <v>27250</v>
      </c>
      <c r="M1548" t="s">
        <v>27251</v>
      </c>
      <c r="N1548" t="s">
        <v>27252</v>
      </c>
      <c r="Q1548" s="1">
        <v>44538</v>
      </c>
      <c r="R1548" t="s">
        <v>27253</v>
      </c>
      <c r="S1548" t="s">
        <v>27254</v>
      </c>
      <c r="T1548" t="s">
        <v>27269</v>
      </c>
    </row>
    <row r="1549" spans="1:20" x14ac:dyDescent="0.3">
      <c r="A1549" t="str">
        <f>"0611860706050"</f>
        <v>0611860706050</v>
      </c>
      <c r="B1549" t="str">
        <f>"CR4205"</f>
        <v>CR4205</v>
      </c>
      <c r="C1549" t="s">
        <v>30247</v>
      </c>
      <c r="D1549" t="s">
        <v>27263</v>
      </c>
      <c r="E1549" t="str">
        <f t="shared" si="24"/>
        <v>001390</v>
      </c>
      <c r="F1549" t="s">
        <v>27246</v>
      </c>
      <c r="G1549" t="s">
        <v>27247</v>
      </c>
      <c r="H1549" t="s">
        <v>27248</v>
      </c>
      <c r="I1549" t="s">
        <v>30249</v>
      </c>
      <c r="J1549" t="s">
        <v>3107</v>
      </c>
      <c r="L1549" t="s">
        <v>27250</v>
      </c>
      <c r="M1549" t="s">
        <v>27251</v>
      </c>
      <c r="N1549" t="s">
        <v>27252</v>
      </c>
      <c r="Q1549" s="1">
        <v>44846</v>
      </c>
      <c r="R1549" t="s">
        <v>27253</v>
      </c>
      <c r="S1549" t="s">
        <v>27254</v>
      </c>
      <c r="T1549" t="s">
        <v>27265</v>
      </c>
    </row>
    <row r="1550" spans="1:20" x14ac:dyDescent="0.3">
      <c r="A1550" t="str">
        <f>"0611832022025"</f>
        <v>0611832022025</v>
      </c>
      <c r="B1550" t="str">
        <f>"MC1519"</f>
        <v>MC1519</v>
      </c>
      <c r="C1550" t="s">
        <v>30250</v>
      </c>
      <c r="D1550" t="s">
        <v>27267</v>
      </c>
      <c r="E1550" t="str">
        <f t="shared" si="24"/>
        <v>001390</v>
      </c>
      <c r="F1550" t="s">
        <v>27246</v>
      </c>
      <c r="G1550" t="s">
        <v>27247</v>
      </c>
      <c r="H1550" t="s">
        <v>27248</v>
      </c>
      <c r="I1550" t="s">
        <v>30251</v>
      </c>
      <c r="J1550" t="s">
        <v>3109</v>
      </c>
      <c r="L1550" t="s">
        <v>27250</v>
      </c>
      <c r="M1550" t="s">
        <v>27251</v>
      </c>
      <c r="N1550" t="s">
        <v>27252</v>
      </c>
      <c r="Q1550" s="1">
        <v>44538</v>
      </c>
      <c r="R1550" t="s">
        <v>27253</v>
      </c>
      <c r="S1550" t="s">
        <v>27254</v>
      </c>
      <c r="T1550" t="s">
        <v>27269</v>
      </c>
    </row>
    <row r="1551" spans="1:20" x14ac:dyDescent="0.3">
      <c r="A1551" t="str">
        <f>"0611860707050"</f>
        <v>0611860707050</v>
      </c>
      <c r="B1551" t="str">
        <f>"CR4207"</f>
        <v>CR4207</v>
      </c>
      <c r="C1551" t="s">
        <v>30250</v>
      </c>
      <c r="D1551" t="s">
        <v>27263</v>
      </c>
      <c r="E1551" t="str">
        <f t="shared" si="24"/>
        <v>001390</v>
      </c>
      <c r="F1551" t="s">
        <v>27246</v>
      </c>
      <c r="G1551" t="s">
        <v>27247</v>
      </c>
      <c r="H1551" t="s">
        <v>27248</v>
      </c>
      <c r="I1551" t="s">
        <v>30252</v>
      </c>
      <c r="J1551" t="s">
        <v>3111</v>
      </c>
      <c r="L1551" t="s">
        <v>27250</v>
      </c>
      <c r="M1551" t="s">
        <v>27251</v>
      </c>
      <c r="N1551" t="s">
        <v>27252</v>
      </c>
      <c r="Q1551" s="1">
        <v>44846</v>
      </c>
      <c r="R1551" t="s">
        <v>27253</v>
      </c>
      <c r="S1551" t="s">
        <v>27254</v>
      </c>
      <c r="T1551" t="s">
        <v>27265</v>
      </c>
    </row>
    <row r="1552" spans="1:20" x14ac:dyDescent="0.3">
      <c r="A1552" t="str">
        <f>"0611856849025"</f>
        <v>0611856849025</v>
      </c>
      <c r="B1552" t="str">
        <f>"MQ0763"</f>
        <v>MQ0763</v>
      </c>
      <c r="C1552" t="s">
        <v>30253</v>
      </c>
      <c r="D1552" t="s">
        <v>27267</v>
      </c>
      <c r="E1552" t="str">
        <f t="shared" si="24"/>
        <v>001390</v>
      </c>
      <c r="F1552" t="s">
        <v>27246</v>
      </c>
      <c r="G1552" t="s">
        <v>27247</v>
      </c>
      <c r="H1552" t="s">
        <v>27248</v>
      </c>
      <c r="I1552" t="s">
        <v>30254</v>
      </c>
      <c r="J1552" t="s">
        <v>3113</v>
      </c>
      <c r="L1552" t="s">
        <v>27250</v>
      </c>
      <c r="M1552" t="s">
        <v>27251</v>
      </c>
      <c r="N1552" t="s">
        <v>27252</v>
      </c>
      <c r="Q1552" s="1">
        <v>44812</v>
      </c>
      <c r="R1552" t="s">
        <v>27253</v>
      </c>
      <c r="S1552" t="s">
        <v>27254</v>
      </c>
      <c r="T1552" t="s">
        <v>27269</v>
      </c>
    </row>
    <row r="1553" spans="1:20" x14ac:dyDescent="0.3">
      <c r="A1553" t="str">
        <f>"0611832023025"</f>
        <v>0611832023025</v>
      </c>
      <c r="B1553" t="str">
        <f>"MC0146"</f>
        <v>MC0146</v>
      </c>
      <c r="C1553" t="s">
        <v>30255</v>
      </c>
      <c r="D1553" t="s">
        <v>27267</v>
      </c>
      <c r="E1553" t="str">
        <f t="shared" si="24"/>
        <v>001390</v>
      </c>
      <c r="F1553" t="s">
        <v>27246</v>
      </c>
      <c r="G1553" t="s">
        <v>27247</v>
      </c>
      <c r="H1553" t="s">
        <v>27248</v>
      </c>
      <c r="I1553" t="s">
        <v>30256</v>
      </c>
      <c r="J1553" t="s">
        <v>3115</v>
      </c>
      <c r="L1553" t="s">
        <v>27250</v>
      </c>
      <c r="M1553" t="s">
        <v>27251</v>
      </c>
      <c r="N1553" t="s">
        <v>27252</v>
      </c>
      <c r="Q1553" s="1">
        <v>44538</v>
      </c>
      <c r="R1553" t="s">
        <v>27253</v>
      </c>
      <c r="S1553" t="s">
        <v>27254</v>
      </c>
      <c r="T1553" t="s">
        <v>27269</v>
      </c>
    </row>
    <row r="1554" spans="1:20" x14ac:dyDescent="0.3">
      <c r="A1554" t="str">
        <f>"0611856850025"</f>
        <v>0611856850025</v>
      </c>
      <c r="B1554" t="str">
        <f>"MQ0764"</f>
        <v>MQ0764</v>
      </c>
      <c r="C1554" t="s">
        <v>30257</v>
      </c>
      <c r="D1554" t="s">
        <v>27267</v>
      </c>
      <c r="E1554" t="str">
        <f t="shared" si="24"/>
        <v>001390</v>
      </c>
      <c r="F1554" t="s">
        <v>27246</v>
      </c>
      <c r="G1554" t="s">
        <v>27247</v>
      </c>
      <c r="H1554" t="s">
        <v>27248</v>
      </c>
      <c r="I1554" t="s">
        <v>30258</v>
      </c>
      <c r="J1554" t="s">
        <v>3117</v>
      </c>
      <c r="L1554" t="s">
        <v>27250</v>
      </c>
      <c r="M1554" t="s">
        <v>27251</v>
      </c>
      <c r="N1554" t="s">
        <v>27252</v>
      </c>
      <c r="Q1554" s="1">
        <v>44812</v>
      </c>
      <c r="R1554" t="s">
        <v>27253</v>
      </c>
      <c r="S1554" t="s">
        <v>27254</v>
      </c>
      <c r="T1554" t="s">
        <v>27269</v>
      </c>
    </row>
    <row r="1555" spans="1:20" x14ac:dyDescent="0.3">
      <c r="A1555" t="str">
        <f>"0611832024025"</f>
        <v>0611832024025</v>
      </c>
      <c r="B1555" t="str">
        <f>"MC1073"</f>
        <v>MC1073</v>
      </c>
      <c r="C1555" t="s">
        <v>30259</v>
      </c>
      <c r="D1555" t="s">
        <v>27267</v>
      </c>
      <c r="E1555" t="str">
        <f t="shared" si="24"/>
        <v>001390</v>
      </c>
      <c r="F1555" t="s">
        <v>27246</v>
      </c>
      <c r="G1555" t="s">
        <v>27247</v>
      </c>
      <c r="H1555" t="s">
        <v>27248</v>
      </c>
      <c r="I1555" t="s">
        <v>30260</v>
      </c>
      <c r="J1555" t="s">
        <v>3119</v>
      </c>
      <c r="L1555" t="s">
        <v>27250</v>
      </c>
      <c r="M1555" t="s">
        <v>27251</v>
      </c>
      <c r="N1555" t="s">
        <v>27252</v>
      </c>
      <c r="Q1555" s="1">
        <v>44538</v>
      </c>
      <c r="R1555" t="s">
        <v>27253</v>
      </c>
      <c r="S1555" t="s">
        <v>27254</v>
      </c>
      <c r="T1555" t="s">
        <v>27269</v>
      </c>
    </row>
    <row r="1556" spans="1:20" x14ac:dyDescent="0.3">
      <c r="A1556" t="str">
        <f>"0611860708050"</f>
        <v>0611860708050</v>
      </c>
      <c r="B1556" t="str">
        <f>"CR4206"</f>
        <v>CR4206</v>
      </c>
      <c r="C1556" t="s">
        <v>30259</v>
      </c>
      <c r="D1556" t="s">
        <v>27263</v>
      </c>
      <c r="E1556" t="str">
        <f t="shared" si="24"/>
        <v>001390</v>
      </c>
      <c r="F1556" t="s">
        <v>27246</v>
      </c>
      <c r="G1556" t="s">
        <v>27247</v>
      </c>
      <c r="H1556" t="s">
        <v>27248</v>
      </c>
      <c r="I1556" t="s">
        <v>30261</v>
      </c>
      <c r="J1556" t="s">
        <v>3121</v>
      </c>
      <c r="L1556" t="s">
        <v>27250</v>
      </c>
      <c r="M1556" t="s">
        <v>27251</v>
      </c>
      <c r="N1556" t="s">
        <v>27252</v>
      </c>
      <c r="Q1556" s="1">
        <v>44846</v>
      </c>
      <c r="R1556" t="s">
        <v>27253</v>
      </c>
      <c r="S1556" t="s">
        <v>27254</v>
      </c>
      <c r="T1556" t="s">
        <v>27265</v>
      </c>
    </row>
    <row r="1557" spans="1:20" x14ac:dyDescent="0.3">
      <c r="A1557" t="str">
        <f>"0611832025025"</f>
        <v>0611832025025</v>
      </c>
      <c r="B1557" t="str">
        <f>"MQ0694"</f>
        <v>MQ0694</v>
      </c>
      <c r="C1557" t="s">
        <v>30262</v>
      </c>
      <c r="D1557" t="s">
        <v>27267</v>
      </c>
      <c r="E1557" t="str">
        <f t="shared" si="24"/>
        <v>001390</v>
      </c>
      <c r="F1557" t="s">
        <v>27246</v>
      </c>
      <c r="G1557" t="s">
        <v>27247</v>
      </c>
      <c r="H1557" t="s">
        <v>27248</v>
      </c>
      <c r="I1557" t="s">
        <v>30263</v>
      </c>
      <c r="J1557" t="s">
        <v>3123</v>
      </c>
      <c r="L1557" t="s">
        <v>27250</v>
      </c>
      <c r="M1557" t="s">
        <v>27251</v>
      </c>
      <c r="N1557" t="s">
        <v>27252</v>
      </c>
      <c r="Q1557" s="1">
        <v>44538</v>
      </c>
      <c r="R1557" t="s">
        <v>27253</v>
      </c>
      <c r="S1557" t="s">
        <v>27254</v>
      </c>
      <c r="T1557" t="s">
        <v>27269</v>
      </c>
    </row>
    <row r="1558" spans="1:20" x14ac:dyDescent="0.3">
      <c r="A1558" t="str">
        <f>"0611832026025"</f>
        <v>0611832026025</v>
      </c>
      <c r="B1558" t="str">
        <f>"MQ0695"</f>
        <v>MQ0695</v>
      </c>
      <c r="C1558" t="s">
        <v>30264</v>
      </c>
      <c r="D1558" t="s">
        <v>27267</v>
      </c>
      <c r="E1558" t="str">
        <f t="shared" si="24"/>
        <v>001390</v>
      </c>
      <c r="F1558" t="s">
        <v>27246</v>
      </c>
      <c r="G1558" t="s">
        <v>27247</v>
      </c>
      <c r="H1558" t="s">
        <v>27248</v>
      </c>
      <c r="I1558" t="s">
        <v>30265</v>
      </c>
      <c r="J1558" t="s">
        <v>3125</v>
      </c>
      <c r="L1558" t="s">
        <v>27250</v>
      </c>
      <c r="M1558" t="s">
        <v>27251</v>
      </c>
      <c r="N1558" t="s">
        <v>27252</v>
      </c>
      <c r="Q1558" s="1">
        <v>44538</v>
      </c>
      <c r="R1558" t="s">
        <v>27253</v>
      </c>
      <c r="S1558" t="s">
        <v>27254</v>
      </c>
      <c r="T1558" t="s">
        <v>27269</v>
      </c>
    </row>
    <row r="1559" spans="1:20" x14ac:dyDescent="0.3">
      <c r="A1559" t="str">
        <f>"0611831808100"</f>
        <v>0611831808100</v>
      </c>
      <c r="B1559" t="str">
        <f>"LL0605"</f>
        <v>LL0605</v>
      </c>
      <c r="C1559" t="s">
        <v>30266</v>
      </c>
      <c r="D1559" t="s">
        <v>27245</v>
      </c>
      <c r="E1559" t="str">
        <f t="shared" si="24"/>
        <v>001390</v>
      </c>
      <c r="F1559" t="s">
        <v>27246</v>
      </c>
      <c r="G1559" t="s">
        <v>27247</v>
      </c>
      <c r="H1559" t="s">
        <v>27248</v>
      </c>
      <c r="I1559" t="s">
        <v>30267</v>
      </c>
      <c r="J1559" t="s">
        <v>3127</v>
      </c>
      <c r="L1559" t="s">
        <v>27250</v>
      </c>
      <c r="M1559" t="s">
        <v>27251</v>
      </c>
      <c r="N1559" t="s">
        <v>27252</v>
      </c>
      <c r="Q1559" s="1">
        <v>44538</v>
      </c>
      <c r="R1559" t="s">
        <v>27253</v>
      </c>
      <c r="S1559" t="s">
        <v>27254</v>
      </c>
      <c r="T1559" t="s">
        <v>27255</v>
      </c>
    </row>
    <row r="1560" spans="1:20" x14ac:dyDescent="0.3">
      <c r="A1560" t="str">
        <f>"0611831814100"</f>
        <v>0611831814100</v>
      </c>
      <c r="B1560" t="str">
        <f>"LL8168"</f>
        <v>LL8168</v>
      </c>
      <c r="C1560" t="s">
        <v>30268</v>
      </c>
      <c r="D1560" t="s">
        <v>27245</v>
      </c>
      <c r="E1560" t="str">
        <f t="shared" si="24"/>
        <v>001390</v>
      </c>
      <c r="F1560" t="s">
        <v>27246</v>
      </c>
      <c r="G1560" t="s">
        <v>27247</v>
      </c>
      <c r="H1560" t="s">
        <v>27248</v>
      </c>
      <c r="I1560" t="s">
        <v>30269</v>
      </c>
      <c r="J1560" t="s">
        <v>3129</v>
      </c>
      <c r="L1560" t="s">
        <v>27250</v>
      </c>
      <c r="M1560" t="s">
        <v>27251</v>
      </c>
      <c r="N1560" t="s">
        <v>27252</v>
      </c>
      <c r="Q1560" s="1">
        <v>44538</v>
      </c>
      <c r="R1560" t="s">
        <v>27253</v>
      </c>
      <c r="S1560" t="s">
        <v>27254</v>
      </c>
      <c r="T1560" t="s">
        <v>27255</v>
      </c>
    </row>
    <row r="1561" spans="1:20" x14ac:dyDescent="0.3">
      <c r="A1561" t="str">
        <f>"0611831815100"</f>
        <v>0611831815100</v>
      </c>
      <c r="B1561" t="str">
        <f>"LL8169"</f>
        <v>LL8169</v>
      </c>
      <c r="C1561" t="s">
        <v>30270</v>
      </c>
      <c r="D1561" t="s">
        <v>27245</v>
      </c>
      <c r="E1561" t="str">
        <f t="shared" si="24"/>
        <v>001390</v>
      </c>
      <c r="F1561" t="s">
        <v>27246</v>
      </c>
      <c r="G1561" t="s">
        <v>27247</v>
      </c>
      <c r="H1561" t="s">
        <v>27248</v>
      </c>
      <c r="I1561" t="s">
        <v>30271</v>
      </c>
      <c r="J1561" t="s">
        <v>3131</v>
      </c>
      <c r="L1561" t="s">
        <v>27250</v>
      </c>
      <c r="M1561" t="s">
        <v>27251</v>
      </c>
      <c r="N1561" t="s">
        <v>27252</v>
      </c>
      <c r="Q1561" s="1">
        <v>44538</v>
      </c>
      <c r="R1561" t="s">
        <v>27253</v>
      </c>
      <c r="S1561" t="s">
        <v>27254</v>
      </c>
      <c r="T1561" t="s">
        <v>27255</v>
      </c>
    </row>
    <row r="1562" spans="1:20" x14ac:dyDescent="0.3">
      <c r="A1562" t="str">
        <f>"0611831817100"</f>
        <v>0611831817100</v>
      </c>
      <c r="B1562" t="str">
        <f>"LL0634"</f>
        <v>LL0634</v>
      </c>
      <c r="C1562" t="s">
        <v>30272</v>
      </c>
      <c r="D1562" t="s">
        <v>27245</v>
      </c>
      <c r="E1562" t="str">
        <f t="shared" si="24"/>
        <v>001390</v>
      </c>
      <c r="F1562" t="s">
        <v>27246</v>
      </c>
      <c r="G1562" t="s">
        <v>27247</v>
      </c>
      <c r="H1562" t="s">
        <v>27248</v>
      </c>
      <c r="I1562" t="s">
        <v>30273</v>
      </c>
      <c r="J1562" t="s">
        <v>3133</v>
      </c>
      <c r="L1562" t="s">
        <v>27250</v>
      </c>
      <c r="M1562" t="s">
        <v>27251</v>
      </c>
      <c r="N1562" t="s">
        <v>27252</v>
      </c>
      <c r="Q1562" s="1">
        <v>44538</v>
      </c>
      <c r="R1562" t="s">
        <v>27253</v>
      </c>
      <c r="S1562" t="s">
        <v>27254</v>
      </c>
      <c r="T1562" t="s">
        <v>27255</v>
      </c>
    </row>
    <row r="1563" spans="1:20" x14ac:dyDescent="0.3">
      <c r="A1563" t="str">
        <f>"0611831831100"</f>
        <v>0611831831100</v>
      </c>
      <c r="B1563" t="str">
        <f>"LL0609"</f>
        <v>LL0609</v>
      </c>
      <c r="C1563" t="s">
        <v>30274</v>
      </c>
      <c r="D1563" t="s">
        <v>27245</v>
      </c>
      <c r="E1563" t="str">
        <f t="shared" si="24"/>
        <v>001390</v>
      </c>
      <c r="F1563" t="s">
        <v>27246</v>
      </c>
      <c r="G1563" t="s">
        <v>27247</v>
      </c>
      <c r="H1563" t="s">
        <v>27248</v>
      </c>
      <c r="I1563" t="s">
        <v>30275</v>
      </c>
      <c r="J1563" t="s">
        <v>3135</v>
      </c>
      <c r="L1563" t="s">
        <v>27250</v>
      </c>
      <c r="M1563" t="s">
        <v>27251</v>
      </c>
      <c r="N1563" t="s">
        <v>27252</v>
      </c>
      <c r="Q1563" s="1">
        <v>44538</v>
      </c>
      <c r="R1563" t="s">
        <v>27253</v>
      </c>
      <c r="S1563" t="s">
        <v>27254</v>
      </c>
      <c r="T1563" t="s">
        <v>27255</v>
      </c>
    </row>
    <row r="1564" spans="1:20" x14ac:dyDescent="0.3">
      <c r="A1564" t="str">
        <f>"0611831834100"</f>
        <v>0611831834100</v>
      </c>
      <c r="B1564" t="str">
        <f>"LL8208"</f>
        <v>LL8208</v>
      </c>
      <c r="C1564" t="s">
        <v>30276</v>
      </c>
      <c r="D1564" t="s">
        <v>27245</v>
      </c>
      <c r="E1564" t="str">
        <f t="shared" si="24"/>
        <v>001390</v>
      </c>
      <c r="F1564" t="s">
        <v>27246</v>
      </c>
      <c r="G1564" t="s">
        <v>27247</v>
      </c>
      <c r="H1564" t="s">
        <v>27248</v>
      </c>
      <c r="I1564" t="s">
        <v>30277</v>
      </c>
      <c r="J1564" t="s">
        <v>3137</v>
      </c>
      <c r="L1564" t="s">
        <v>27250</v>
      </c>
      <c r="M1564" t="s">
        <v>27251</v>
      </c>
      <c r="N1564" t="s">
        <v>27252</v>
      </c>
      <c r="Q1564" s="1">
        <v>44538</v>
      </c>
      <c r="R1564" t="s">
        <v>27253</v>
      </c>
      <c r="S1564" t="s">
        <v>27254</v>
      </c>
      <c r="T1564" t="s">
        <v>27255</v>
      </c>
    </row>
    <row r="1565" spans="1:20" x14ac:dyDescent="0.3">
      <c r="A1565" t="str">
        <f>"0611831835100"</f>
        <v>0611831835100</v>
      </c>
      <c r="B1565" t="str">
        <f>"LL0002"</f>
        <v>LL0002</v>
      </c>
      <c r="C1565" t="s">
        <v>30278</v>
      </c>
      <c r="D1565" t="s">
        <v>27245</v>
      </c>
      <c r="E1565" t="str">
        <f t="shared" si="24"/>
        <v>001390</v>
      </c>
      <c r="F1565" t="s">
        <v>27246</v>
      </c>
      <c r="G1565" t="s">
        <v>27247</v>
      </c>
      <c r="H1565" t="s">
        <v>27248</v>
      </c>
      <c r="I1565" t="s">
        <v>30279</v>
      </c>
      <c r="J1565" t="s">
        <v>3139</v>
      </c>
      <c r="L1565" t="s">
        <v>27250</v>
      </c>
      <c r="M1565" t="s">
        <v>27251</v>
      </c>
      <c r="N1565" t="s">
        <v>27252</v>
      </c>
      <c r="Q1565" s="1">
        <v>44538</v>
      </c>
      <c r="R1565" t="s">
        <v>27253</v>
      </c>
      <c r="S1565" t="s">
        <v>27254</v>
      </c>
      <c r="T1565" t="s">
        <v>27255</v>
      </c>
    </row>
    <row r="1566" spans="1:20" x14ac:dyDescent="0.3">
      <c r="A1566" t="str">
        <f>"0611831876100"</f>
        <v>0611831876100</v>
      </c>
      <c r="B1566" t="str">
        <f>"LL2872"</f>
        <v>LL2872</v>
      </c>
      <c r="C1566" t="s">
        <v>30280</v>
      </c>
      <c r="D1566" t="s">
        <v>27245</v>
      </c>
      <c r="E1566" t="str">
        <f t="shared" si="24"/>
        <v>001390</v>
      </c>
      <c r="F1566" t="s">
        <v>27246</v>
      </c>
      <c r="G1566" t="s">
        <v>27247</v>
      </c>
      <c r="H1566" t="s">
        <v>27248</v>
      </c>
      <c r="I1566" t="s">
        <v>30281</v>
      </c>
      <c r="J1566" t="s">
        <v>3169</v>
      </c>
      <c r="L1566" t="s">
        <v>27250</v>
      </c>
      <c r="M1566" t="s">
        <v>27251</v>
      </c>
      <c r="N1566" t="s">
        <v>27252</v>
      </c>
      <c r="Q1566" s="1">
        <v>44538</v>
      </c>
      <c r="R1566" t="s">
        <v>27253</v>
      </c>
      <c r="S1566" t="s">
        <v>27254</v>
      </c>
      <c r="T1566" t="s">
        <v>27255</v>
      </c>
    </row>
    <row r="1567" spans="1:20" x14ac:dyDescent="0.3">
      <c r="A1567" t="str">
        <f>"0611831841100"</f>
        <v>0611831841100</v>
      </c>
      <c r="B1567" t="str">
        <f>"LL0610"</f>
        <v>LL0610</v>
      </c>
      <c r="C1567" t="s">
        <v>30282</v>
      </c>
      <c r="D1567" t="s">
        <v>27245</v>
      </c>
      <c r="E1567" t="str">
        <f t="shared" si="24"/>
        <v>001390</v>
      </c>
      <c r="F1567" t="s">
        <v>27246</v>
      </c>
      <c r="G1567" t="s">
        <v>27247</v>
      </c>
      <c r="H1567" t="s">
        <v>27248</v>
      </c>
      <c r="I1567" t="s">
        <v>30283</v>
      </c>
      <c r="J1567" t="s">
        <v>3141</v>
      </c>
      <c r="L1567" t="s">
        <v>27250</v>
      </c>
      <c r="M1567" t="s">
        <v>27251</v>
      </c>
      <c r="N1567" t="s">
        <v>27252</v>
      </c>
      <c r="Q1567" s="1">
        <v>44538</v>
      </c>
      <c r="R1567" t="s">
        <v>27253</v>
      </c>
      <c r="S1567" t="s">
        <v>27254</v>
      </c>
      <c r="T1567" t="s">
        <v>27255</v>
      </c>
    </row>
    <row r="1568" spans="1:20" x14ac:dyDescent="0.3">
      <c r="A1568" t="str">
        <f>"0611831842100"</f>
        <v>0611831842100</v>
      </c>
      <c r="B1568" t="str">
        <f>"LL0613"</f>
        <v>LL0613</v>
      </c>
      <c r="C1568" t="s">
        <v>30284</v>
      </c>
      <c r="D1568" t="s">
        <v>27245</v>
      </c>
      <c r="E1568" t="str">
        <f t="shared" si="24"/>
        <v>001390</v>
      </c>
      <c r="F1568" t="s">
        <v>27246</v>
      </c>
      <c r="G1568" t="s">
        <v>27247</v>
      </c>
      <c r="H1568" t="s">
        <v>27248</v>
      </c>
      <c r="I1568" t="s">
        <v>30285</v>
      </c>
      <c r="J1568" t="s">
        <v>3143</v>
      </c>
      <c r="L1568" t="s">
        <v>27250</v>
      </c>
      <c r="M1568" t="s">
        <v>27251</v>
      </c>
      <c r="N1568" t="s">
        <v>27252</v>
      </c>
      <c r="Q1568" s="1">
        <v>44538</v>
      </c>
      <c r="R1568" t="s">
        <v>27253</v>
      </c>
      <c r="S1568" t="s">
        <v>27254</v>
      </c>
      <c r="T1568" t="s">
        <v>27255</v>
      </c>
    </row>
    <row r="1569" spans="1:20" x14ac:dyDescent="0.3">
      <c r="A1569" t="str">
        <f>"0611831847100"</f>
        <v>0611831847100</v>
      </c>
      <c r="B1569" t="str">
        <f>"LL0623"</f>
        <v>LL0623</v>
      </c>
      <c r="C1569" t="s">
        <v>30286</v>
      </c>
      <c r="D1569" t="s">
        <v>27245</v>
      </c>
      <c r="E1569" t="str">
        <f t="shared" si="24"/>
        <v>001390</v>
      </c>
      <c r="F1569" t="s">
        <v>27246</v>
      </c>
      <c r="G1569" t="s">
        <v>27247</v>
      </c>
      <c r="H1569" t="s">
        <v>27248</v>
      </c>
      <c r="I1569" t="s">
        <v>30287</v>
      </c>
      <c r="J1569" t="s">
        <v>3145</v>
      </c>
      <c r="L1569" t="s">
        <v>27250</v>
      </c>
      <c r="M1569" t="s">
        <v>27251</v>
      </c>
      <c r="N1569" t="s">
        <v>27252</v>
      </c>
      <c r="Q1569" s="1">
        <v>44538</v>
      </c>
      <c r="R1569" t="s">
        <v>27253</v>
      </c>
      <c r="S1569" t="s">
        <v>27254</v>
      </c>
      <c r="T1569" t="s">
        <v>27255</v>
      </c>
    </row>
    <row r="1570" spans="1:20" x14ac:dyDescent="0.3">
      <c r="A1570" t="str">
        <f>"0611831849100"</f>
        <v>0611831849100</v>
      </c>
      <c r="B1570" t="str">
        <f>"LL0626"</f>
        <v>LL0626</v>
      </c>
      <c r="C1570" t="s">
        <v>30288</v>
      </c>
      <c r="D1570" t="s">
        <v>27245</v>
      </c>
      <c r="E1570" t="str">
        <f t="shared" si="24"/>
        <v>001390</v>
      </c>
      <c r="F1570" t="s">
        <v>27246</v>
      </c>
      <c r="G1570" t="s">
        <v>27247</v>
      </c>
      <c r="H1570" t="s">
        <v>27248</v>
      </c>
      <c r="I1570" t="s">
        <v>30289</v>
      </c>
      <c r="J1570" t="s">
        <v>3147</v>
      </c>
      <c r="L1570" t="s">
        <v>27250</v>
      </c>
      <c r="M1570" t="s">
        <v>27251</v>
      </c>
      <c r="N1570" t="s">
        <v>27252</v>
      </c>
      <c r="Q1570" s="1">
        <v>44538</v>
      </c>
      <c r="R1570" t="s">
        <v>27253</v>
      </c>
      <c r="S1570" t="s">
        <v>27254</v>
      </c>
      <c r="T1570" t="s">
        <v>27255</v>
      </c>
    </row>
    <row r="1571" spans="1:20" x14ac:dyDescent="0.3">
      <c r="A1571" t="str">
        <f>"0611831850100"</f>
        <v>0611831850100</v>
      </c>
      <c r="B1571" t="str">
        <f>"LL0627"</f>
        <v>LL0627</v>
      </c>
      <c r="C1571" t="s">
        <v>30290</v>
      </c>
      <c r="D1571" t="s">
        <v>27245</v>
      </c>
      <c r="E1571" t="str">
        <f t="shared" si="24"/>
        <v>001390</v>
      </c>
      <c r="F1571" t="s">
        <v>27246</v>
      </c>
      <c r="G1571" t="s">
        <v>27247</v>
      </c>
      <c r="H1571" t="s">
        <v>27248</v>
      </c>
      <c r="I1571" t="s">
        <v>30291</v>
      </c>
      <c r="J1571" t="s">
        <v>3149</v>
      </c>
      <c r="L1571" t="s">
        <v>27250</v>
      </c>
      <c r="M1571" t="s">
        <v>27251</v>
      </c>
      <c r="N1571" t="s">
        <v>27252</v>
      </c>
      <c r="Q1571" s="1">
        <v>44538</v>
      </c>
      <c r="R1571" t="s">
        <v>27253</v>
      </c>
      <c r="S1571" t="s">
        <v>27254</v>
      </c>
      <c r="T1571" t="s">
        <v>27255</v>
      </c>
    </row>
    <row r="1572" spans="1:20" x14ac:dyDescent="0.3">
      <c r="A1572" t="str">
        <f>"0611831853100"</f>
        <v>0611831853100</v>
      </c>
      <c r="B1572" t="str">
        <f>"LL0633"</f>
        <v>LL0633</v>
      </c>
      <c r="C1572" t="s">
        <v>30292</v>
      </c>
      <c r="D1572" t="s">
        <v>27245</v>
      </c>
      <c r="E1572" t="str">
        <f t="shared" si="24"/>
        <v>001390</v>
      </c>
      <c r="F1572" t="s">
        <v>27246</v>
      </c>
      <c r="G1572" t="s">
        <v>27247</v>
      </c>
      <c r="H1572" t="s">
        <v>27248</v>
      </c>
      <c r="I1572" t="s">
        <v>30293</v>
      </c>
      <c r="J1572" t="s">
        <v>3151</v>
      </c>
      <c r="L1572" t="s">
        <v>27250</v>
      </c>
      <c r="M1572" t="s">
        <v>27251</v>
      </c>
      <c r="N1572" t="s">
        <v>27252</v>
      </c>
      <c r="Q1572" s="1">
        <v>44538</v>
      </c>
      <c r="R1572" t="s">
        <v>27253</v>
      </c>
      <c r="S1572" t="s">
        <v>27254</v>
      </c>
      <c r="T1572" t="s">
        <v>27255</v>
      </c>
    </row>
    <row r="1573" spans="1:20" x14ac:dyDescent="0.3">
      <c r="A1573" t="str">
        <f>"0611831855100"</f>
        <v>0611831855100</v>
      </c>
      <c r="B1573" t="str">
        <f>"LL0635"</f>
        <v>LL0635</v>
      </c>
      <c r="C1573" t="s">
        <v>30294</v>
      </c>
      <c r="D1573" t="s">
        <v>27245</v>
      </c>
      <c r="E1573" t="str">
        <f t="shared" si="24"/>
        <v>001390</v>
      </c>
      <c r="F1573" t="s">
        <v>27246</v>
      </c>
      <c r="G1573" t="s">
        <v>27247</v>
      </c>
      <c r="H1573" t="s">
        <v>27248</v>
      </c>
      <c r="I1573" t="s">
        <v>30295</v>
      </c>
      <c r="J1573" t="s">
        <v>3153</v>
      </c>
      <c r="L1573" t="s">
        <v>27250</v>
      </c>
      <c r="M1573" t="s">
        <v>27251</v>
      </c>
      <c r="N1573" t="s">
        <v>27252</v>
      </c>
      <c r="Q1573" s="1">
        <v>44538</v>
      </c>
      <c r="R1573" t="s">
        <v>27253</v>
      </c>
      <c r="S1573" t="s">
        <v>27254</v>
      </c>
      <c r="T1573" t="s">
        <v>27255</v>
      </c>
    </row>
    <row r="1574" spans="1:20" x14ac:dyDescent="0.3">
      <c r="A1574" t="str">
        <f>"0611831856100"</f>
        <v>0611831856100</v>
      </c>
      <c r="B1574" t="str">
        <f>"LL0638"</f>
        <v>LL0638</v>
      </c>
      <c r="C1574" t="s">
        <v>30296</v>
      </c>
      <c r="D1574" t="s">
        <v>27245</v>
      </c>
      <c r="E1574" t="str">
        <f t="shared" si="24"/>
        <v>001390</v>
      </c>
      <c r="F1574" t="s">
        <v>27246</v>
      </c>
      <c r="G1574" t="s">
        <v>27247</v>
      </c>
      <c r="H1574" t="s">
        <v>27248</v>
      </c>
      <c r="I1574" t="s">
        <v>30297</v>
      </c>
      <c r="J1574" t="s">
        <v>3155</v>
      </c>
      <c r="L1574" t="s">
        <v>27250</v>
      </c>
      <c r="M1574" t="s">
        <v>27251</v>
      </c>
      <c r="N1574" t="s">
        <v>27252</v>
      </c>
      <c r="Q1574" s="1">
        <v>44538</v>
      </c>
      <c r="R1574" t="s">
        <v>27253</v>
      </c>
      <c r="S1574" t="s">
        <v>27254</v>
      </c>
      <c r="T1574" t="s">
        <v>27255</v>
      </c>
    </row>
    <row r="1575" spans="1:20" x14ac:dyDescent="0.3">
      <c r="A1575" t="str">
        <f>"0611831861100"</f>
        <v>0611831861100</v>
      </c>
      <c r="B1575" t="str">
        <f>"LL0640"</f>
        <v>LL0640</v>
      </c>
      <c r="C1575" t="s">
        <v>30298</v>
      </c>
      <c r="D1575" t="s">
        <v>27245</v>
      </c>
      <c r="E1575" t="str">
        <f t="shared" si="24"/>
        <v>001390</v>
      </c>
      <c r="F1575" t="s">
        <v>27246</v>
      </c>
      <c r="G1575" t="s">
        <v>27247</v>
      </c>
      <c r="H1575" t="s">
        <v>27248</v>
      </c>
      <c r="I1575" t="s">
        <v>30299</v>
      </c>
      <c r="J1575" t="s">
        <v>3157</v>
      </c>
      <c r="L1575" t="s">
        <v>27250</v>
      </c>
      <c r="M1575" t="s">
        <v>27251</v>
      </c>
      <c r="N1575" t="s">
        <v>27252</v>
      </c>
      <c r="Q1575" s="1">
        <v>44538</v>
      </c>
      <c r="R1575" t="s">
        <v>27253</v>
      </c>
      <c r="S1575" t="s">
        <v>27254</v>
      </c>
      <c r="T1575" t="s">
        <v>27255</v>
      </c>
    </row>
    <row r="1576" spans="1:20" x14ac:dyDescent="0.3">
      <c r="A1576" t="str">
        <f>"0611831866100"</f>
        <v>0611831866100</v>
      </c>
      <c r="B1576" t="str">
        <f>"LL8170"</f>
        <v>LL8170</v>
      </c>
      <c r="C1576" t="s">
        <v>30300</v>
      </c>
      <c r="D1576" t="s">
        <v>27245</v>
      </c>
      <c r="E1576" t="str">
        <f t="shared" si="24"/>
        <v>001390</v>
      </c>
      <c r="F1576" t="s">
        <v>27246</v>
      </c>
      <c r="G1576" t="s">
        <v>27247</v>
      </c>
      <c r="H1576" t="s">
        <v>27248</v>
      </c>
      <c r="I1576" t="s">
        <v>30301</v>
      </c>
      <c r="J1576" t="s">
        <v>3159</v>
      </c>
      <c r="L1576" t="s">
        <v>27250</v>
      </c>
      <c r="M1576" t="s">
        <v>27251</v>
      </c>
      <c r="N1576" t="s">
        <v>27252</v>
      </c>
      <c r="Q1576" s="1">
        <v>44538</v>
      </c>
      <c r="R1576" t="s">
        <v>27253</v>
      </c>
      <c r="S1576" t="s">
        <v>27254</v>
      </c>
      <c r="T1576" t="s">
        <v>27255</v>
      </c>
    </row>
    <row r="1577" spans="1:20" x14ac:dyDescent="0.3">
      <c r="A1577" t="str">
        <f>"0611831824100"</f>
        <v>0611831824100</v>
      </c>
      <c r="B1577" t="str">
        <f>"LL0600"</f>
        <v>LL0600</v>
      </c>
      <c r="C1577" t="s">
        <v>30302</v>
      </c>
      <c r="D1577" t="s">
        <v>27245</v>
      </c>
      <c r="E1577" t="str">
        <f t="shared" si="24"/>
        <v>001390</v>
      </c>
      <c r="F1577" t="s">
        <v>27246</v>
      </c>
      <c r="G1577" t="s">
        <v>27247</v>
      </c>
      <c r="H1577" t="s">
        <v>27248</v>
      </c>
      <c r="I1577" t="s">
        <v>30303</v>
      </c>
      <c r="J1577" t="s">
        <v>3161</v>
      </c>
      <c r="L1577" t="s">
        <v>27250</v>
      </c>
      <c r="M1577" t="s">
        <v>27251</v>
      </c>
      <c r="N1577" t="s">
        <v>27252</v>
      </c>
      <c r="Q1577" s="1">
        <v>44538</v>
      </c>
      <c r="R1577" t="s">
        <v>27253</v>
      </c>
      <c r="S1577" t="s">
        <v>27254</v>
      </c>
      <c r="T1577" t="s">
        <v>27255</v>
      </c>
    </row>
    <row r="1578" spans="1:20" x14ac:dyDescent="0.3">
      <c r="A1578" t="str">
        <f>"0611831825200"</f>
        <v>0611831825200</v>
      </c>
      <c r="B1578" t="str">
        <f>"KY0600"</f>
        <v>KY0600</v>
      </c>
      <c r="C1578" t="s">
        <v>30302</v>
      </c>
      <c r="D1578" t="s">
        <v>27682</v>
      </c>
      <c r="E1578" t="str">
        <f t="shared" si="24"/>
        <v>001390</v>
      </c>
      <c r="F1578" t="s">
        <v>27246</v>
      </c>
      <c r="G1578" t="s">
        <v>27247</v>
      </c>
      <c r="H1578" t="s">
        <v>27248</v>
      </c>
      <c r="I1578" t="s">
        <v>30304</v>
      </c>
      <c r="J1578" t="s">
        <v>3163</v>
      </c>
      <c r="L1578" t="s">
        <v>27250</v>
      </c>
      <c r="M1578" t="s">
        <v>27251</v>
      </c>
      <c r="N1578" t="s">
        <v>27252</v>
      </c>
      <c r="Q1578" s="1">
        <v>44538</v>
      </c>
      <c r="R1578" t="s">
        <v>27253</v>
      </c>
      <c r="S1578" t="s">
        <v>27254</v>
      </c>
      <c r="T1578" t="s">
        <v>27684</v>
      </c>
    </row>
    <row r="1579" spans="1:20" x14ac:dyDescent="0.3">
      <c r="A1579" t="str">
        <f>"0611831874100"</f>
        <v>0611831874100</v>
      </c>
      <c r="B1579" t="str">
        <f>"LL0662"</f>
        <v>LL0662</v>
      </c>
      <c r="C1579" t="s">
        <v>30305</v>
      </c>
      <c r="D1579" t="s">
        <v>27245</v>
      </c>
      <c r="E1579" t="str">
        <f t="shared" si="24"/>
        <v>001390</v>
      </c>
      <c r="F1579" t="s">
        <v>27246</v>
      </c>
      <c r="G1579" t="s">
        <v>27247</v>
      </c>
      <c r="H1579" t="s">
        <v>27248</v>
      </c>
      <c r="I1579" t="s">
        <v>30306</v>
      </c>
      <c r="J1579" t="s">
        <v>3165</v>
      </c>
      <c r="L1579" t="s">
        <v>27250</v>
      </c>
      <c r="M1579" t="s">
        <v>27251</v>
      </c>
      <c r="N1579" t="s">
        <v>27252</v>
      </c>
      <c r="Q1579" s="1">
        <v>44538</v>
      </c>
      <c r="R1579" t="s">
        <v>27253</v>
      </c>
      <c r="S1579" t="s">
        <v>27254</v>
      </c>
      <c r="T1579" t="s">
        <v>27255</v>
      </c>
    </row>
    <row r="1580" spans="1:20" x14ac:dyDescent="0.3">
      <c r="A1580" t="str">
        <f>"0611831875100"</f>
        <v>0611831875100</v>
      </c>
      <c r="B1580" t="str">
        <f>"LL0670"</f>
        <v>LL0670</v>
      </c>
      <c r="C1580" t="s">
        <v>30307</v>
      </c>
      <c r="D1580" t="s">
        <v>27245</v>
      </c>
      <c r="E1580" t="str">
        <f t="shared" si="24"/>
        <v>001390</v>
      </c>
      <c r="F1580" t="s">
        <v>27246</v>
      </c>
      <c r="G1580" t="s">
        <v>27247</v>
      </c>
      <c r="H1580" t="s">
        <v>27248</v>
      </c>
      <c r="I1580" t="s">
        <v>30308</v>
      </c>
      <c r="J1580" t="s">
        <v>3167</v>
      </c>
      <c r="L1580" t="s">
        <v>27250</v>
      </c>
      <c r="M1580" t="s">
        <v>27251</v>
      </c>
      <c r="N1580" t="s">
        <v>27252</v>
      </c>
      <c r="Q1580" s="1">
        <v>44538</v>
      </c>
      <c r="R1580" t="s">
        <v>27253</v>
      </c>
      <c r="S1580" t="s">
        <v>27254</v>
      </c>
      <c r="T1580" t="s">
        <v>27255</v>
      </c>
    </row>
    <row r="1581" spans="1:20" x14ac:dyDescent="0.3">
      <c r="A1581" t="str">
        <f>"0611831885100"</f>
        <v>0611831885100</v>
      </c>
      <c r="B1581" t="str">
        <f>"LL8171"</f>
        <v>LL8171</v>
      </c>
      <c r="C1581" t="s">
        <v>30309</v>
      </c>
      <c r="D1581" t="s">
        <v>27245</v>
      </c>
      <c r="E1581" t="str">
        <f t="shared" si="24"/>
        <v>001390</v>
      </c>
      <c r="F1581" t="s">
        <v>27246</v>
      </c>
      <c r="G1581" t="s">
        <v>27247</v>
      </c>
      <c r="H1581" t="s">
        <v>27248</v>
      </c>
      <c r="I1581" t="s">
        <v>30310</v>
      </c>
      <c r="J1581" t="s">
        <v>3171</v>
      </c>
      <c r="L1581" t="s">
        <v>27250</v>
      </c>
      <c r="M1581" t="s">
        <v>27251</v>
      </c>
      <c r="N1581" t="s">
        <v>27252</v>
      </c>
      <c r="Q1581" s="1">
        <v>44538</v>
      </c>
      <c r="R1581" t="s">
        <v>27253</v>
      </c>
      <c r="S1581" t="s">
        <v>27254</v>
      </c>
      <c r="T1581" t="s">
        <v>27255</v>
      </c>
    </row>
    <row r="1582" spans="1:20" x14ac:dyDescent="0.3">
      <c r="A1582" t="str">
        <f>"0611831887100"</f>
        <v>0611831887100</v>
      </c>
      <c r="B1582" t="str">
        <f>"LL0154"</f>
        <v>LL0154</v>
      </c>
      <c r="C1582" t="s">
        <v>30311</v>
      </c>
      <c r="D1582" t="s">
        <v>27245</v>
      </c>
      <c r="E1582" t="str">
        <f t="shared" si="24"/>
        <v>001390</v>
      </c>
      <c r="F1582" t="s">
        <v>27246</v>
      </c>
      <c r="G1582" t="s">
        <v>27247</v>
      </c>
      <c r="H1582" t="s">
        <v>27248</v>
      </c>
      <c r="I1582" t="s">
        <v>30312</v>
      </c>
      <c r="J1582" t="s">
        <v>3173</v>
      </c>
      <c r="L1582" t="s">
        <v>27250</v>
      </c>
      <c r="M1582" t="s">
        <v>27251</v>
      </c>
      <c r="N1582" t="s">
        <v>27252</v>
      </c>
      <c r="Q1582" s="1">
        <v>44538</v>
      </c>
      <c r="R1582" t="s">
        <v>27253</v>
      </c>
      <c r="S1582" t="s">
        <v>27254</v>
      </c>
      <c r="T1582" t="s">
        <v>27255</v>
      </c>
    </row>
    <row r="1583" spans="1:20" x14ac:dyDescent="0.3">
      <c r="A1583" t="str">
        <f>"0611831890100"</f>
        <v>0611831890100</v>
      </c>
      <c r="B1583" t="str">
        <f>"LL0680"</f>
        <v>LL0680</v>
      </c>
      <c r="C1583" t="s">
        <v>30313</v>
      </c>
      <c r="D1583" t="s">
        <v>27245</v>
      </c>
      <c r="E1583" t="str">
        <f t="shared" si="24"/>
        <v>001390</v>
      </c>
      <c r="F1583" t="s">
        <v>27246</v>
      </c>
      <c r="G1583" t="s">
        <v>27247</v>
      </c>
      <c r="H1583" t="s">
        <v>27248</v>
      </c>
      <c r="I1583" t="s">
        <v>30314</v>
      </c>
      <c r="J1583" t="s">
        <v>3175</v>
      </c>
      <c r="L1583" t="s">
        <v>27250</v>
      </c>
      <c r="M1583" t="s">
        <v>27251</v>
      </c>
      <c r="N1583" t="s">
        <v>27252</v>
      </c>
      <c r="Q1583" s="1">
        <v>44538</v>
      </c>
      <c r="R1583" t="s">
        <v>27253</v>
      </c>
      <c r="S1583" t="s">
        <v>27254</v>
      </c>
      <c r="T1583" t="s">
        <v>27255</v>
      </c>
    </row>
    <row r="1584" spans="1:20" x14ac:dyDescent="0.3">
      <c r="A1584" t="str">
        <f>"0611831896100"</f>
        <v>0611831896100</v>
      </c>
      <c r="B1584" t="str">
        <f>"LL8172"</f>
        <v>LL8172</v>
      </c>
      <c r="C1584" t="s">
        <v>30315</v>
      </c>
      <c r="D1584" t="s">
        <v>27245</v>
      </c>
      <c r="E1584" t="str">
        <f t="shared" si="24"/>
        <v>001390</v>
      </c>
      <c r="F1584" t="s">
        <v>27246</v>
      </c>
      <c r="G1584" t="s">
        <v>27247</v>
      </c>
      <c r="H1584" t="s">
        <v>27248</v>
      </c>
      <c r="I1584" t="s">
        <v>30316</v>
      </c>
      <c r="J1584" t="s">
        <v>3177</v>
      </c>
      <c r="L1584" t="s">
        <v>27250</v>
      </c>
      <c r="M1584" t="s">
        <v>27251</v>
      </c>
      <c r="N1584" t="s">
        <v>27252</v>
      </c>
      <c r="Q1584" s="1">
        <v>44538</v>
      </c>
      <c r="R1584" t="s">
        <v>27253</v>
      </c>
      <c r="S1584" t="s">
        <v>27254</v>
      </c>
      <c r="T1584" t="s">
        <v>27255</v>
      </c>
    </row>
    <row r="1585" spans="1:20" x14ac:dyDescent="0.3">
      <c r="A1585" t="str">
        <f>"0611831901100"</f>
        <v>0611831901100</v>
      </c>
      <c r="B1585" t="str">
        <f>"LL8305"</f>
        <v>LL8305</v>
      </c>
      <c r="C1585" t="s">
        <v>30317</v>
      </c>
      <c r="D1585" t="s">
        <v>27245</v>
      </c>
      <c r="E1585" t="str">
        <f t="shared" si="24"/>
        <v>001390</v>
      </c>
      <c r="F1585" t="s">
        <v>27246</v>
      </c>
      <c r="G1585" t="s">
        <v>27247</v>
      </c>
      <c r="H1585" t="s">
        <v>27248</v>
      </c>
      <c r="I1585" t="s">
        <v>30318</v>
      </c>
      <c r="J1585" t="s">
        <v>3179</v>
      </c>
      <c r="L1585" t="s">
        <v>27250</v>
      </c>
      <c r="M1585" t="s">
        <v>27251</v>
      </c>
      <c r="N1585" t="s">
        <v>27252</v>
      </c>
      <c r="Q1585" s="1">
        <v>44538</v>
      </c>
      <c r="R1585" t="s">
        <v>27253</v>
      </c>
      <c r="S1585" t="s">
        <v>27254</v>
      </c>
      <c r="T1585" t="s">
        <v>27255</v>
      </c>
    </row>
    <row r="1586" spans="1:20" x14ac:dyDescent="0.3">
      <c r="A1586" t="str">
        <f>"0611831904100"</f>
        <v>0611831904100</v>
      </c>
      <c r="B1586" t="str">
        <f>"LL0707"</f>
        <v>LL0707</v>
      </c>
      <c r="C1586" t="s">
        <v>30319</v>
      </c>
      <c r="D1586" t="s">
        <v>27245</v>
      </c>
      <c r="E1586" t="str">
        <f t="shared" si="24"/>
        <v>001390</v>
      </c>
      <c r="F1586" t="s">
        <v>27246</v>
      </c>
      <c r="G1586" t="s">
        <v>27247</v>
      </c>
      <c r="H1586" t="s">
        <v>27248</v>
      </c>
      <c r="I1586" t="s">
        <v>30320</v>
      </c>
      <c r="J1586" t="s">
        <v>3181</v>
      </c>
      <c r="L1586" t="s">
        <v>27250</v>
      </c>
      <c r="M1586" t="s">
        <v>27251</v>
      </c>
      <c r="N1586" t="s">
        <v>27252</v>
      </c>
      <c r="Q1586" s="1">
        <v>44538</v>
      </c>
      <c r="R1586" t="s">
        <v>27253</v>
      </c>
      <c r="S1586" t="s">
        <v>27254</v>
      </c>
      <c r="T1586" t="s">
        <v>27255</v>
      </c>
    </row>
    <row r="1587" spans="1:20" x14ac:dyDescent="0.3">
      <c r="A1587" t="str">
        <f>"0611831905100"</f>
        <v>0611831905100</v>
      </c>
      <c r="B1587" t="str">
        <f>"LL0710"</f>
        <v>LL0710</v>
      </c>
      <c r="C1587" t="s">
        <v>30321</v>
      </c>
      <c r="D1587" t="s">
        <v>27245</v>
      </c>
      <c r="E1587" t="str">
        <f t="shared" si="24"/>
        <v>001390</v>
      </c>
      <c r="F1587" t="s">
        <v>27246</v>
      </c>
      <c r="G1587" t="s">
        <v>27247</v>
      </c>
      <c r="H1587" t="s">
        <v>27248</v>
      </c>
      <c r="I1587" t="s">
        <v>30322</v>
      </c>
      <c r="J1587" t="s">
        <v>3183</v>
      </c>
      <c r="L1587" t="s">
        <v>27250</v>
      </c>
      <c r="M1587" t="s">
        <v>27251</v>
      </c>
      <c r="N1587" t="s">
        <v>27252</v>
      </c>
      <c r="Q1587" s="1">
        <v>44538</v>
      </c>
      <c r="R1587" t="s">
        <v>27253</v>
      </c>
      <c r="S1587" t="s">
        <v>27254</v>
      </c>
      <c r="T1587" t="s">
        <v>27255</v>
      </c>
    </row>
    <row r="1588" spans="1:20" x14ac:dyDescent="0.3">
      <c r="A1588" t="str">
        <f>"0611831907100"</f>
        <v>0611831907100</v>
      </c>
      <c r="B1588" t="str">
        <f>"LL0730"</f>
        <v>LL0730</v>
      </c>
      <c r="C1588" t="s">
        <v>30323</v>
      </c>
      <c r="D1588" t="s">
        <v>27245</v>
      </c>
      <c r="E1588" t="str">
        <f t="shared" si="24"/>
        <v>001390</v>
      </c>
      <c r="F1588" t="s">
        <v>27246</v>
      </c>
      <c r="G1588" t="s">
        <v>27247</v>
      </c>
      <c r="H1588" t="s">
        <v>27248</v>
      </c>
      <c r="I1588" t="s">
        <v>30324</v>
      </c>
      <c r="J1588" t="s">
        <v>3185</v>
      </c>
      <c r="L1588" t="s">
        <v>27250</v>
      </c>
      <c r="M1588" t="s">
        <v>27251</v>
      </c>
      <c r="N1588" t="s">
        <v>27252</v>
      </c>
      <c r="Q1588" s="1">
        <v>44538</v>
      </c>
      <c r="R1588" t="s">
        <v>27253</v>
      </c>
      <c r="S1588" t="s">
        <v>27254</v>
      </c>
      <c r="T1588" t="s">
        <v>27255</v>
      </c>
    </row>
    <row r="1589" spans="1:20" x14ac:dyDescent="0.3">
      <c r="A1589" t="str">
        <f>"0611831909100"</f>
        <v>0611831909100</v>
      </c>
      <c r="B1589" t="str">
        <f>"LL0735"</f>
        <v>LL0735</v>
      </c>
      <c r="C1589" t="s">
        <v>30325</v>
      </c>
      <c r="D1589" t="s">
        <v>27245</v>
      </c>
      <c r="E1589" t="str">
        <f t="shared" si="24"/>
        <v>001390</v>
      </c>
      <c r="F1589" t="s">
        <v>27246</v>
      </c>
      <c r="G1589" t="s">
        <v>27247</v>
      </c>
      <c r="H1589" t="s">
        <v>27248</v>
      </c>
      <c r="I1589" t="s">
        <v>30326</v>
      </c>
      <c r="J1589" t="s">
        <v>3187</v>
      </c>
      <c r="L1589" t="s">
        <v>27250</v>
      </c>
      <c r="M1589" t="s">
        <v>27251</v>
      </c>
      <c r="N1589" t="s">
        <v>27252</v>
      </c>
      <c r="Q1589" s="1">
        <v>44538</v>
      </c>
      <c r="R1589" t="s">
        <v>27253</v>
      </c>
      <c r="S1589" t="s">
        <v>27254</v>
      </c>
      <c r="T1589" t="s">
        <v>27255</v>
      </c>
    </row>
    <row r="1590" spans="1:20" x14ac:dyDescent="0.3">
      <c r="A1590" t="str">
        <f>"0611831816100"</f>
        <v>0611831816100</v>
      </c>
      <c r="B1590" t="str">
        <f>"LL8141"</f>
        <v>LL8141</v>
      </c>
      <c r="C1590" t="s">
        <v>30327</v>
      </c>
      <c r="D1590" t="s">
        <v>27245</v>
      </c>
      <c r="E1590" t="str">
        <f t="shared" si="24"/>
        <v>001390</v>
      </c>
      <c r="F1590" t="s">
        <v>27246</v>
      </c>
      <c r="G1590" t="s">
        <v>27247</v>
      </c>
      <c r="H1590" t="s">
        <v>27248</v>
      </c>
      <c r="I1590" t="s">
        <v>30328</v>
      </c>
      <c r="J1590" t="s">
        <v>3189</v>
      </c>
      <c r="L1590" t="s">
        <v>27250</v>
      </c>
      <c r="M1590" t="s">
        <v>27251</v>
      </c>
      <c r="N1590" t="s">
        <v>27252</v>
      </c>
      <c r="Q1590" s="1">
        <v>44538</v>
      </c>
      <c r="R1590" t="s">
        <v>27253</v>
      </c>
      <c r="S1590" t="s">
        <v>27254</v>
      </c>
      <c r="T1590" t="s">
        <v>27255</v>
      </c>
    </row>
    <row r="1591" spans="1:20" x14ac:dyDescent="0.3">
      <c r="A1591" t="str">
        <f>"0611831812100"</f>
        <v>0611831812100</v>
      </c>
      <c r="B1591" t="str">
        <f>"LL0034"</f>
        <v>LL0034</v>
      </c>
      <c r="C1591" t="s">
        <v>30329</v>
      </c>
      <c r="D1591" t="s">
        <v>27245</v>
      </c>
      <c r="E1591" t="str">
        <f t="shared" si="24"/>
        <v>001390</v>
      </c>
      <c r="F1591" t="s">
        <v>27246</v>
      </c>
      <c r="G1591" t="s">
        <v>27247</v>
      </c>
      <c r="H1591" t="s">
        <v>27248</v>
      </c>
      <c r="I1591" t="s">
        <v>30330</v>
      </c>
      <c r="J1591" t="s">
        <v>3191</v>
      </c>
      <c r="L1591" t="s">
        <v>27250</v>
      </c>
      <c r="M1591" t="s">
        <v>27251</v>
      </c>
      <c r="N1591" t="s">
        <v>27252</v>
      </c>
      <c r="Q1591" s="1">
        <v>44538</v>
      </c>
      <c r="R1591" t="s">
        <v>27253</v>
      </c>
      <c r="S1591" t="s">
        <v>27254</v>
      </c>
      <c r="T1591" t="s">
        <v>27255</v>
      </c>
    </row>
    <row r="1592" spans="1:20" x14ac:dyDescent="0.3">
      <c r="A1592" t="str">
        <f>"0611831879100"</f>
        <v>0611831879100</v>
      </c>
      <c r="B1592" t="str">
        <f>"LL2887"</f>
        <v>LL2887</v>
      </c>
      <c r="C1592" t="s">
        <v>30331</v>
      </c>
      <c r="D1592" t="s">
        <v>27245</v>
      </c>
      <c r="E1592" t="str">
        <f t="shared" si="24"/>
        <v>001390</v>
      </c>
      <c r="F1592" t="s">
        <v>27246</v>
      </c>
      <c r="G1592" t="s">
        <v>27247</v>
      </c>
      <c r="H1592" t="s">
        <v>27248</v>
      </c>
      <c r="I1592" t="s">
        <v>30332</v>
      </c>
      <c r="J1592" t="s">
        <v>3193</v>
      </c>
      <c r="L1592" t="s">
        <v>27250</v>
      </c>
      <c r="M1592" t="s">
        <v>27251</v>
      </c>
      <c r="N1592" t="s">
        <v>27252</v>
      </c>
      <c r="Q1592" s="1">
        <v>44538</v>
      </c>
      <c r="R1592" t="s">
        <v>27253</v>
      </c>
      <c r="S1592" t="s">
        <v>27254</v>
      </c>
      <c r="T1592" t="s">
        <v>27255</v>
      </c>
    </row>
    <row r="1593" spans="1:20" x14ac:dyDescent="0.3">
      <c r="A1593" t="str">
        <f>"0611831895100"</f>
        <v>0611831895100</v>
      </c>
      <c r="B1593" t="str">
        <f>"LL2871"</f>
        <v>LL2871</v>
      </c>
      <c r="C1593" t="s">
        <v>30333</v>
      </c>
      <c r="D1593" t="s">
        <v>27245</v>
      </c>
      <c r="E1593" t="str">
        <f t="shared" si="24"/>
        <v>001390</v>
      </c>
      <c r="F1593" t="s">
        <v>27246</v>
      </c>
      <c r="G1593" t="s">
        <v>27247</v>
      </c>
      <c r="H1593" t="s">
        <v>27248</v>
      </c>
      <c r="I1593" t="s">
        <v>30334</v>
      </c>
      <c r="J1593" t="s">
        <v>3195</v>
      </c>
      <c r="L1593" t="s">
        <v>27250</v>
      </c>
      <c r="M1593" t="s">
        <v>27251</v>
      </c>
      <c r="N1593" t="s">
        <v>27252</v>
      </c>
      <c r="Q1593" s="1">
        <v>44538</v>
      </c>
      <c r="R1593" t="s">
        <v>27253</v>
      </c>
      <c r="S1593" t="s">
        <v>27254</v>
      </c>
      <c r="T1593" t="s">
        <v>27255</v>
      </c>
    </row>
    <row r="1594" spans="1:20" x14ac:dyDescent="0.3">
      <c r="A1594" t="str">
        <f>"0611831908100"</f>
        <v>0611831908100</v>
      </c>
      <c r="B1594" t="str">
        <f>"LL2874"</f>
        <v>LL2874</v>
      </c>
      <c r="C1594" t="s">
        <v>30335</v>
      </c>
      <c r="D1594" t="s">
        <v>27245</v>
      </c>
      <c r="E1594" t="str">
        <f t="shared" si="24"/>
        <v>001390</v>
      </c>
      <c r="F1594" t="s">
        <v>27246</v>
      </c>
      <c r="G1594" t="s">
        <v>27247</v>
      </c>
      <c r="H1594" t="s">
        <v>27248</v>
      </c>
      <c r="I1594" t="s">
        <v>30336</v>
      </c>
      <c r="J1594" t="s">
        <v>3197</v>
      </c>
      <c r="L1594" t="s">
        <v>27250</v>
      </c>
      <c r="M1594" t="s">
        <v>27251</v>
      </c>
      <c r="N1594" t="s">
        <v>27252</v>
      </c>
      <c r="Q1594" s="1">
        <v>44538</v>
      </c>
      <c r="R1594" t="s">
        <v>27253</v>
      </c>
      <c r="S1594" t="s">
        <v>27254</v>
      </c>
      <c r="T1594" t="s">
        <v>27255</v>
      </c>
    </row>
    <row r="1595" spans="1:20" x14ac:dyDescent="0.3">
      <c r="A1595" t="str">
        <f>"0611831932100"</f>
        <v>0611831932100</v>
      </c>
      <c r="B1595" t="str">
        <f>"LB5789"</f>
        <v>LB5789</v>
      </c>
      <c r="C1595" t="s">
        <v>30337</v>
      </c>
      <c r="D1595" t="s">
        <v>27245</v>
      </c>
      <c r="E1595" t="str">
        <f t="shared" si="24"/>
        <v>001390</v>
      </c>
      <c r="F1595" t="s">
        <v>27246</v>
      </c>
      <c r="G1595" t="s">
        <v>27247</v>
      </c>
      <c r="H1595" t="s">
        <v>27248</v>
      </c>
      <c r="I1595" t="s">
        <v>30338</v>
      </c>
      <c r="J1595" t="s">
        <v>3199</v>
      </c>
      <c r="L1595" t="s">
        <v>27250</v>
      </c>
      <c r="M1595" t="s">
        <v>27251</v>
      </c>
      <c r="N1595" t="s">
        <v>27252</v>
      </c>
      <c r="Q1595" s="1">
        <v>44538</v>
      </c>
      <c r="R1595" t="s">
        <v>27253</v>
      </c>
      <c r="S1595" t="s">
        <v>27254</v>
      </c>
      <c r="T1595" t="s">
        <v>27255</v>
      </c>
    </row>
    <row r="1596" spans="1:20" x14ac:dyDescent="0.3">
      <c r="A1596" t="str">
        <f>"0611831938100"</f>
        <v>0611831938100</v>
      </c>
      <c r="B1596" t="str">
        <f>"LL0765"</f>
        <v>LL0765</v>
      </c>
      <c r="C1596" t="s">
        <v>30339</v>
      </c>
      <c r="D1596" t="s">
        <v>27245</v>
      </c>
      <c r="E1596" t="str">
        <f t="shared" si="24"/>
        <v>001390</v>
      </c>
      <c r="F1596" t="s">
        <v>27246</v>
      </c>
      <c r="G1596" t="s">
        <v>27247</v>
      </c>
      <c r="H1596" t="s">
        <v>27248</v>
      </c>
      <c r="I1596" t="s">
        <v>30340</v>
      </c>
      <c r="J1596" t="s">
        <v>3201</v>
      </c>
      <c r="L1596" t="s">
        <v>27250</v>
      </c>
      <c r="M1596" t="s">
        <v>27251</v>
      </c>
      <c r="N1596" t="s">
        <v>27252</v>
      </c>
      <c r="Q1596" s="1">
        <v>44538</v>
      </c>
      <c r="R1596" t="s">
        <v>27253</v>
      </c>
      <c r="S1596" t="s">
        <v>27254</v>
      </c>
      <c r="T1596" t="s">
        <v>27255</v>
      </c>
    </row>
    <row r="1597" spans="1:20" x14ac:dyDescent="0.3">
      <c r="A1597" t="str">
        <f>"0611831939100"</f>
        <v>0611831939100</v>
      </c>
      <c r="B1597" t="str">
        <f>"LL0766"</f>
        <v>LL0766</v>
      </c>
      <c r="C1597" t="s">
        <v>30341</v>
      </c>
      <c r="D1597" t="s">
        <v>27245</v>
      </c>
      <c r="E1597" t="str">
        <f t="shared" si="24"/>
        <v>001390</v>
      </c>
      <c r="F1597" t="s">
        <v>27246</v>
      </c>
      <c r="G1597" t="s">
        <v>27247</v>
      </c>
      <c r="H1597" t="s">
        <v>27248</v>
      </c>
      <c r="I1597" t="s">
        <v>30342</v>
      </c>
      <c r="J1597" t="s">
        <v>3203</v>
      </c>
      <c r="L1597" t="s">
        <v>27250</v>
      </c>
      <c r="M1597" t="s">
        <v>27251</v>
      </c>
      <c r="N1597" t="s">
        <v>27252</v>
      </c>
      <c r="Q1597" s="1">
        <v>44538</v>
      </c>
      <c r="R1597" t="s">
        <v>27253</v>
      </c>
      <c r="S1597" t="s">
        <v>27254</v>
      </c>
      <c r="T1597" t="s">
        <v>27255</v>
      </c>
    </row>
    <row r="1598" spans="1:20" x14ac:dyDescent="0.3">
      <c r="A1598" t="str">
        <f>"0611831940100"</f>
        <v>0611831940100</v>
      </c>
      <c r="B1598" t="str">
        <f>"LB5791"</f>
        <v>LB5791</v>
      </c>
      <c r="C1598" t="s">
        <v>30343</v>
      </c>
      <c r="D1598" t="s">
        <v>27245</v>
      </c>
      <c r="E1598" t="str">
        <f t="shared" si="24"/>
        <v>001390</v>
      </c>
      <c r="F1598" t="s">
        <v>27246</v>
      </c>
      <c r="G1598" t="s">
        <v>27247</v>
      </c>
      <c r="H1598" t="s">
        <v>27248</v>
      </c>
      <c r="I1598" t="s">
        <v>30344</v>
      </c>
      <c r="J1598" t="s">
        <v>3205</v>
      </c>
      <c r="L1598" t="s">
        <v>27250</v>
      </c>
      <c r="M1598" t="s">
        <v>27251</v>
      </c>
      <c r="N1598" t="s">
        <v>27252</v>
      </c>
      <c r="Q1598" s="1">
        <v>44538</v>
      </c>
      <c r="R1598" t="s">
        <v>27253</v>
      </c>
      <c r="S1598" t="s">
        <v>27254</v>
      </c>
      <c r="T1598" t="s">
        <v>27255</v>
      </c>
    </row>
    <row r="1599" spans="1:20" x14ac:dyDescent="0.3">
      <c r="A1599" t="str">
        <f>"0611831942100"</f>
        <v>0611831942100</v>
      </c>
      <c r="B1599" t="str">
        <f>"LL8174"</f>
        <v>LL8174</v>
      </c>
      <c r="C1599" t="s">
        <v>30345</v>
      </c>
      <c r="D1599" t="s">
        <v>27245</v>
      </c>
      <c r="E1599" t="str">
        <f t="shared" si="24"/>
        <v>001390</v>
      </c>
      <c r="F1599" t="s">
        <v>27246</v>
      </c>
      <c r="G1599" t="s">
        <v>27247</v>
      </c>
      <c r="H1599" t="s">
        <v>27248</v>
      </c>
      <c r="I1599" t="s">
        <v>30346</v>
      </c>
      <c r="J1599" t="s">
        <v>3207</v>
      </c>
      <c r="L1599" t="s">
        <v>27250</v>
      </c>
      <c r="M1599" t="s">
        <v>27251</v>
      </c>
      <c r="N1599" t="s">
        <v>27252</v>
      </c>
      <c r="Q1599" s="1">
        <v>44538</v>
      </c>
      <c r="R1599" t="s">
        <v>27253</v>
      </c>
      <c r="S1599" t="s">
        <v>27254</v>
      </c>
      <c r="T1599" t="s">
        <v>27255</v>
      </c>
    </row>
    <row r="1600" spans="1:20" x14ac:dyDescent="0.3">
      <c r="A1600" t="str">
        <f>"0611831948100"</f>
        <v>0611831948100</v>
      </c>
      <c r="B1600" t="str">
        <f>"LL0636"</f>
        <v>LL0636</v>
      </c>
      <c r="C1600" t="s">
        <v>30347</v>
      </c>
      <c r="D1600" t="s">
        <v>27245</v>
      </c>
      <c r="E1600" t="str">
        <f t="shared" si="24"/>
        <v>001390</v>
      </c>
      <c r="F1600" t="s">
        <v>27246</v>
      </c>
      <c r="G1600" t="s">
        <v>27247</v>
      </c>
      <c r="H1600" t="s">
        <v>27248</v>
      </c>
      <c r="I1600" t="s">
        <v>30348</v>
      </c>
      <c r="J1600" t="s">
        <v>3209</v>
      </c>
      <c r="L1600" t="s">
        <v>27250</v>
      </c>
      <c r="M1600" t="s">
        <v>27251</v>
      </c>
      <c r="N1600" t="s">
        <v>27252</v>
      </c>
      <c r="Q1600" s="1">
        <v>44538</v>
      </c>
      <c r="R1600" t="s">
        <v>27253</v>
      </c>
      <c r="S1600" t="s">
        <v>27254</v>
      </c>
      <c r="T1600" t="s">
        <v>27255</v>
      </c>
    </row>
    <row r="1601" spans="1:20" x14ac:dyDescent="0.3">
      <c r="A1601" t="str">
        <f>"0611831949100"</f>
        <v>0611831949100</v>
      </c>
      <c r="B1601" t="str">
        <f>"LL0770"</f>
        <v>LL0770</v>
      </c>
      <c r="C1601" t="s">
        <v>30349</v>
      </c>
      <c r="D1601" t="s">
        <v>27245</v>
      </c>
      <c r="E1601" t="str">
        <f t="shared" si="24"/>
        <v>001390</v>
      </c>
      <c r="F1601" t="s">
        <v>27246</v>
      </c>
      <c r="G1601" t="s">
        <v>27247</v>
      </c>
      <c r="H1601" t="s">
        <v>27248</v>
      </c>
      <c r="I1601" t="s">
        <v>30350</v>
      </c>
      <c r="J1601" t="s">
        <v>3211</v>
      </c>
      <c r="L1601" t="s">
        <v>27250</v>
      </c>
      <c r="M1601" t="s">
        <v>27251</v>
      </c>
      <c r="N1601" t="s">
        <v>27252</v>
      </c>
      <c r="Q1601" s="1">
        <v>44538</v>
      </c>
      <c r="R1601" t="s">
        <v>27253</v>
      </c>
      <c r="S1601" t="s">
        <v>27254</v>
      </c>
      <c r="T1601" t="s">
        <v>27255</v>
      </c>
    </row>
    <row r="1602" spans="1:20" x14ac:dyDescent="0.3">
      <c r="A1602" t="str">
        <f>"0611831950100"</f>
        <v>0611831950100</v>
      </c>
      <c r="B1602" t="str">
        <f>"LL0775"</f>
        <v>LL0775</v>
      </c>
      <c r="C1602" t="s">
        <v>30351</v>
      </c>
      <c r="D1602" t="s">
        <v>27245</v>
      </c>
      <c r="E1602" t="str">
        <f t="shared" ref="E1602:E1665" si="25">"001390"</f>
        <v>001390</v>
      </c>
      <c r="F1602" t="s">
        <v>27246</v>
      </c>
      <c r="G1602" t="s">
        <v>27247</v>
      </c>
      <c r="H1602" t="s">
        <v>27248</v>
      </c>
      <c r="I1602" t="s">
        <v>30352</v>
      </c>
      <c r="J1602" t="s">
        <v>3213</v>
      </c>
      <c r="L1602" t="s">
        <v>27250</v>
      </c>
      <c r="M1602" t="s">
        <v>27251</v>
      </c>
      <c r="N1602" t="s">
        <v>27252</v>
      </c>
      <c r="Q1602" s="1">
        <v>44538</v>
      </c>
      <c r="R1602" t="s">
        <v>27253</v>
      </c>
      <c r="S1602" t="s">
        <v>27254</v>
      </c>
      <c r="T1602" t="s">
        <v>27255</v>
      </c>
    </row>
    <row r="1603" spans="1:20" x14ac:dyDescent="0.3">
      <c r="A1603" t="str">
        <f>"0611831952100"</f>
        <v>0611831952100</v>
      </c>
      <c r="B1603" t="str">
        <f>"LL0787"</f>
        <v>LL0787</v>
      </c>
      <c r="C1603" t="s">
        <v>30353</v>
      </c>
      <c r="D1603" t="s">
        <v>27245</v>
      </c>
      <c r="E1603" t="str">
        <f t="shared" si="25"/>
        <v>001390</v>
      </c>
      <c r="F1603" t="s">
        <v>27246</v>
      </c>
      <c r="G1603" t="s">
        <v>27247</v>
      </c>
      <c r="H1603" t="s">
        <v>27248</v>
      </c>
      <c r="I1603" t="s">
        <v>30354</v>
      </c>
      <c r="J1603" t="s">
        <v>3215</v>
      </c>
      <c r="L1603" t="s">
        <v>27250</v>
      </c>
      <c r="M1603" t="s">
        <v>27251</v>
      </c>
      <c r="N1603" t="s">
        <v>27252</v>
      </c>
      <c r="Q1603" s="1">
        <v>44538</v>
      </c>
      <c r="R1603" t="s">
        <v>27253</v>
      </c>
      <c r="S1603" t="s">
        <v>27254</v>
      </c>
      <c r="T1603" t="s">
        <v>27255</v>
      </c>
    </row>
    <row r="1604" spans="1:20" x14ac:dyDescent="0.3">
      <c r="A1604" t="str">
        <f>"0611831953100"</f>
        <v>0611831953100</v>
      </c>
      <c r="B1604" t="str">
        <f>"LL0791"</f>
        <v>LL0791</v>
      </c>
      <c r="C1604" t="s">
        <v>30355</v>
      </c>
      <c r="D1604" t="s">
        <v>27245</v>
      </c>
      <c r="E1604" t="str">
        <f t="shared" si="25"/>
        <v>001390</v>
      </c>
      <c r="F1604" t="s">
        <v>27246</v>
      </c>
      <c r="G1604" t="s">
        <v>27247</v>
      </c>
      <c r="H1604" t="s">
        <v>27248</v>
      </c>
      <c r="I1604" t="s">
        <v>30356</v>
      </c>
      <c r="J1604" t="s">
        <v>3217</v>
      </c>
      <c r="L1604" t="s">
        <v>27250</v>
      </c>
      <c r="M1604" t="s">
        <v>27251</v>
      </c>
      <c r="N1604" t="s">
        <v>27252</v>
      </c>
      <c r="Q1604" s="1">
        <v>44538</v>
      </c>
      <c r="R1604" t="s">
        <v>27253</v>
      </c>
      <c r="S1604" t="s">
        <v>27254</v>
      </c>
      <c r="T1604" t="s">
        <v>27255</v>
      </c>
    </row>
    <row r="1605" spans="1:20" x14ac:dyDescent="0.3">
      <c r="A1605" t="str">
        <f>"0611831954100"</f>
        <v>0611831954100</v>
      </c>
      <c r="B1605" t="str">
        <f>"LL0790"</f>
        <v>LL0790</v>
      </c>
      <c r="C1605" t="s">
        <v>30357</v>
      </c>
      <c r="D1605" t="s">
        <v>27245</v>
      </c>
      <c r="E1605" t="str">
        <f t="shared" si="25"/>
        <v>001390</v>
      </c>
      <c r="F1605" t="s">
        <v>27246</v>
      </c>
      <c r="G1605" t="s">
        <v>27247</v>
      </c>
      <c r="H1605" t="s">
        <v>27248</v>
      </c>
      <c r="I1605" t="s">
        <v>30358</v>
      </c>
      <c r="J1605" t="s">
        <v>3219</v>
      </c>
      <c r="L1605" t="s">
        <v>27250</v>
      </c>
      <c r="M1605" t="s">
        <v>27251</v>
      </c>
      <c r="N1605" t="s">
        <v>27252</v>
      </c>
      <c r="Q1605" s="1">
        <v>44538</v>
      </c>
      <c r="R1605" t="s">
        <v>27253</v>
      </c>
      <c r="S1605" t="s">
        <v>27254</v>
      </c>
      <c r="T1605" t="s">
        <v>27255</v>
      </c>
    </row>
    <row r="1606" spans="1:20" x14ac:dyDescent="0.3">
      <c r="A1606" t="str">
        <f>"0611831968100"</f>
        <v>0611831968100</v>
      </c>
      <c r="B1606" t="str">
        <f>"LL0800"</f>
        <v>LL0800</v>
      </c>
      <c r="C1606" t="s">
        <v>30359</v>
      </c>
      <c r="D1606" t="s">
        <v>27245</v>
      </c>
      <c r="E1606" t="str">
        <f t="shared" si="25"/>
        <v>001390</v>
      </c>
      <c r="F1606" t="s">
        <v>27246</v>
      </c>
      <c r="G1606" t="s">
        <v>27247</v>
      </c>
      <c r="H1606" t="s">
        <v>27248</v>
      </c>
      <c r="I1606" t="s">
        <v>30360</v>
      </c>
      <c r="J1606" t="s">
        <v>3221</v>
      </c>
      <c r="L1606" t="s">
        <v>27250</v>
      </c>
      <c r="M1606" t="s">
        <v>27251</v>
      </c>
      <c r="N1606" t="s">
        <v>27252</v>
      </c>
      <c r="Q1606" s="1">
        <v>44538</v>
      </c>
      <c r="R1606" t="s">
        <v>27253</v>
      </c>
      <c r="S1606" t="s">
        <v>27254</v>
      </c>
      <c r="T1606" t="s">
        <v>27255</v>
      </c>
    </row>
    <row r="1607" spans="1:20" x14ac:dyDescent="0.3">
      <c r="A1607" t="str">
        <f>"0611831969200"</f>
        <v>0611831969200</v>
      </c>
      <c r="B1607" t="str">
        <f>"KY0800"</f>
        <v>KY0800</v>
      </c>
      <c r="C1607" t="s">
        <v>30359</v>
      </c>
      <c r="D1607" t="s">
        <v>27682</v>
      </c>
      <c r="E1607" t="str">
        <f t="shared" si="25"/>
        <v>001390</v>
      </c>
      <c r="F1607" t="s">
        <v>27246</v>
      </c>
      <c r="G1607" t="s">
        <v>27247</v>
      </c>
      <c r="H1607" t="s">
        <v>27248</v>
      </c>
      <c r="I1607" t="s">
        <v>30361</v>
      </c>
      <c r="J1607" t="s">
        <v>3223</v>
      </c>
      <c r="L1607" t="s">
        <v>27250</v>
      </c>
      <c r="M1607" t="s">
        <v>27251</v>
      </c>
      <c r="N1607" t="s">
        <v>27252</v>
      </c>
      <c r="Q1607" s="1">
        <v>44538</v>
      </c>
      <c r="R1607" t="s">
        <v>27253</v>
      </c>
      <c r="S1607" t="s">
        <v>27254</v>
      </c>
      <c r="T1607" t="s">
        <v>27684</v>
      </c>
    </row>
    <row r="1608" spans="1:20" x14ac:dyDescent="0.3">
      <c r="A1608" t="str">
        <f>"0611831970100"</f>
        <v>0611831970100</v>
      </c>
      <c r="B1608" t="str">
        <f>"LL8175"</f>
        <v>LL8175</v>
      </c>
      <c r="C1608" t="s">
        <v>30362</v>
      </c>
      <c r="D1608" t="s">
        <v>27245</v>
      </c>
      <c r="E1608" t="str">
        <f t="shared" si="25"/>
        <v>001390</v>
      </c>
      <c r="F1608" t="s">
        <v>27246</v>
      </c>
      <c r="G1608" t="s">
        <v>27247</v>
      </c>
      <c r="H1608" t="s">
        <v>27248</v>
      </c>
      <c r="I1608" t="s">
        <v>30363</v>
      </c>
      <c r="J1608" t="s">
        <v>3225</v>
      </c>
      <c r="L1608" t="s">
        <v>27250</v>
      </c>
      <c r="M1608" t="s">
        <v>27251</v>
      </c>
      <c r="N1608" t="s">
        <v>27252</v>
      </c>
      <c r="Q1608" s="1">
        <v>44538</v>
      </c>
      <c r="R1608" t="s">
        <v>27253</v>
      </c>
      <c r="S1608" t="s">
        <v>27254</v>
      </c>
      <c r="T1608" t="s">
        <v>27255</v>
      </c>
    </row>
    <row r="1609" spans="1:20" x14ac:dyDescent="0.3">
      <c r="A1609" t="str">
        <f>"0611831972100"</f>
        <v>0611831972100</v>
      </c>
      <c r="B1609" t="str">
        <f>"LL5008"</f>
        <v>LL5008</v>
      </c>
      <c r="C1609" t="s">
        <v>30364</v>
      </c>
      <c r="D1609" t="s">
        <v>27245</v>
      </c>
      <c r="E1609" t="str">
        <f t="shared" si="25"/>
        <v>001390</v>
      </c>
      <c r="F1609" t="s">
        <v>27246</v>
      </c>
      <c r="G1609" t="s">
        <v>27247</v>
      </c>
      <c r="H1609" t="s">
        <v>27248</v>
      </c>
      <c r="I1609" t="s">
        <v>30365</v>
      </c>
      <c r="J1609" t="s">
        <v>3227</v>
      </c>
      <c r="L1609" t="s">
        <v>27250</v>
      </c>
      <c r="M1609" t="s">
        <v>27251</v>
      </c>
      <c r="N1609" t="s">
        <v>27252</v>
      </c>
      <c r="Q1609" s="1">
        <v>44538</v>
      </c>
      <c r="R1609" t="s">
        <v>27253</v>
      </c>
      <c r="S1609" t="s">
        <v>27254</v>
      </c>
      <c r="T1609" t="s">
        <v>27255</v>
      </c>
    </row>
    <row r="1610" spans="1:20" x14ac:dyDescent="0.3">
      <c r="A1610" t="str">
        <f>"0611831973100"</f>
        <v>0611831973100</v>
      </c>
      <c r="B1610" t="str">
        <f>"LL5009"</f>
        <v>LL5009</v>
      </c>
      <c r="C1610" t="s">
        <v>30366</v>
      </c>
      <c r="D1610" t="s">
        <v>27245</v>
      </c>
      <c r="E1610" t="str">
        <f t="shared" si="25"/>
        <v>001390</v>
      </c>
      <c r="F1610" t="s">
        <v>27246</v>
      </c>
      <c r="G1610" t="s">
        <v>27247</v>
      </c>
      <c r="H1610" t="s">
        <v>27248</v>
      </c>
      <c r="I1610" t="s">
        <v>30367</v>
      </c>
      <c r="J1610" t="s">
        <v>3229</v>
      </c>
      <c r="L1610" t="s">
        <v>27250</v>
      </c>
      <c r="M1610" t="s">
        <v>27251</v>
      </c>
      <c r="N1610" t="s">
        <v>27252</v>
      </c>
      <c r="Q1610" s="1">
        <v>44538</v>
      </c>
      <c r="R1610" t="s">
        <v>27253</v>
      </c>
      <c r="S1610" t="s">
        <v>27254</v>
      </c>
      <c r="T1610" t="s">
        <v>27255</v>
      </c>
    </row>
    <row r="1611" spans="1:20" x14ac:dyDescent="0.3">
      <c r="A1611" t="str">
        <f>"0611831983100"</f>
        <v>0611831983100</v>
      </c>
      <c r="B1611" t="str">
        <f>"LB5792"</f>
        <v>LB5792</v>
      </c>
      <c r="C1611" t="s">
        <v>30368</v>
      </c>
      <c r="D1611" t="s">
        <v>27245</v>
      </c>
      <c r="E1611" t="str">
        <f t="shared" si="25"/>
        <v>001390</v>
      </c>
      <c r="F1611" t="s">
        <v>27246</v>
      </c>
      <c r="G1611" t="s">
        <v>27247</v>
      </c>
      <c r="H1611" t="s">
        <v>27248</v>
      </c>
      <c r="I1611" t="s">
        <v>30369</v>
      </c>
      <c r="J1611" t="s">
        <v>3231</v>
      </c>
      <c r="L1611" t="s">
        <v>27250</v>
      </c>
      <c r="M1611" t="s">
        <v>27251</v>
      </c>
      <c r="N1611" t="s">
        <v>27252</v>
      </c>
      <c r="Q1611" s="1">
        <v>44538</v>
      </c>
      <c r="R1611" t="s">
        <v>27253</v>
      </c>
      <c r="S1611" t="s">
        <v>27254</v>
      </c>
      <c r="T1611" t="s">
        <v>27255</v>
      </c>
    </row>
    <row r="1612" spans="1:20" x14ac:dyDescent="0.3">
      <c r="A1612" t="str">
        <f>"0611832028100"</f>
        <v>0611832028100</v>
      </c>
      <c r="B1612" t="str">
        <f>"LG6625"</f>
        <v>LG6625</v>
      </c>
      <c r="C1612" t="s">
        <v>30370</v>
      </c>
      <c r="D1612" t="s">
        <v>27245</v>
      </c>
      <c r="E1612" t="str">
        <f t="shared" si="25"/>
        <v>001390</v>
      </c>
      <c r="F1612" t="s">
        <v>27246</v>
      </c>
      <c r="G1612" t="s">
        <v>27247</v>
      </c>
      <c r="H1612" t="s">
        <v>27248</v>
      </c>
      <c r="I1612" t="s">
        <v>30371</v>
      </c>
      <c r="J1612" t="s">
        <v>3233</v>
      </c>
      <c r="L1612" t="s">
        <v>27250</v>
      </c>
      <c r="M1612" t="s">
        <v>27251</v>
      </c>
      <c r="N1612" t="s">
        <v>27252</v>
      </c>
      <c r="Q1612" s="1">
        <v>44538</v>
      </c>
      <c r="R1612" t="s">
        <v>27253</v>
      </c>
      <c r="S1612" t="s">
        <v>27254</v>
      </c>
      <c r="T1612" t="s">
        <v>27255</v>
      </c>
    </row>
    <row r="1613" spans="1:20" x14ac:dyDescent="0.3">
      <c r="A1613" t="str">
        <f>"0611832029100"</f>
        <v>0611832029100</v>
      </c>
      <c r="B1613" t="str">
        <f>"LF8530"</f>
        <v>LF8530</v>
      </c>
      <c r="C1613" t="s">
        <v>30372</v>
      </c>
      <c r="D1613" t="s">
        <v>27245</v>
      </c>
      <c r="E1613" t="str">
        <f t="shared" si="25"/>
        <v>001390</v>
      </c>
      <c r="F1613" t="s">
        <v>27246</v>
      </c>
      <c r="G1613" t="s">
        <v>27247</v>
      </c>
      <c r="H1613" t="s">
        <v>27248</v>
      </c>
      <c r="I1613" t="s">
        <v>30373</v>
      </c>
      <c r="J1613" t="s">
        <v>3235</v>
      </c>
      <c r="L1613" t="s">
        <v>27250</v>
      </c>
      <c r="M1613" t="s">
        <v>27251</v>
      </c>
      <c r="N1613" t="s">
        <v>27252</v>
      </c>
      <c r="Q1613" s="1">
        <v>44538</v>
      </c>
      <c r="R1613" t="s">
        <v>27253</v>
      </c>
      <c r="S1613" t="s">
        <v>27254</v>
      </c>
      <c r="T1613" t="s">
        <v>27255</v>
      </c>
    </row>
    <row r="1614" spans="1:20" x14ac:dyDescent="0.3">
      <c r="A1614" t="str">
        <f>"0611832030100"</f>
        <v>0611832030100</v>
      </c>
      <c r="B1614" t="str">
        <f>"LK2767"</f>
        <v>LK2767</v>
      </c>
      <c r="C1614" t="s">
        <v>30374</v>
      </c>
      <c r="D1614" t="s">
        <v>27245</v>
      </c>
      <c r="E1614" t="str">
        <f t="shared" si="25"/>
        <v>001390</v>
      </c>
      <c r="F1614" t="s">
        <v>27246</v>
      </c>
      <c r="G1614" t="s">
        <v>27247</v>
      </c>
      <c r="H1614" t="s">
        <v>27248</v>
      </c>
      <c r="I1614" t="s">
        <v>30375</v>
      </c>
      <c r="J1614" t="s">
        <v>3237</v>
      </c>
      <c r="L1614" t="s">
        <v>27250</v>
      </c>
      <c r="M1614" t="s">
        <v>27251</v>
      </c>
      <c r="N1614" t="s">
        <v>27252</v>
      </c>
      <c r="Q1614" s="1">
        <v>44538</v>
      </c>
      <c r="R1614" t="s">
        <v>27253</v>
      </c>
      <c r="S1614" t="s">
        <v>27254</v>
      </c>
      <c r="T1614" t="s">
        <v>27255</v>
      </c>
    </row>
    <row r="1615" spans="1:20" x14ac:dyDescent="0.3">
      <c r="A1615" t="str">
        <f>"0611832031100"</f>
        <v>0611832031100</v>
      </c>
      <c r="B1615" t="str">
        <f>"LF1110"</f>
        <v>LF1110</v>
      </c>
      <c r="C1615" t="s">
        <v>30376</v>
      </c>
      <c r="D1615" t="s">
        <v>27245</v>
      </c>
      <c r="E1615" t="str">
        <f t="shared" si="25"/>
        <v>001390</v>
      </c>
      <c r="F1615" t="s">
        <v>27246</v>
      </c>
      <c r="G1615" t="s">
        <v>27247</v>
      </c>
      <c r="H1615" t="s">
        <v>27248</v>
      </c>
      <c r="I1615" t="s">
        <v>30377</v>
      </c>
      <c r="J1615" t="s">
        <v>3239</v>
      </c>
      <c r="L1615" t="s">
        <v>27250</v>
      </c>
      <c r="M1615" t="s">
        <v>27251</v>
      </c>
      <c r="N1615" t="s">
        <v>27252</v>
      </c>
      <c r="Q1615" s="1">
        <v>44538</v>
      </c>
      <c r="R1615" t="s">
        <v>27253</v>
      </c>
      <c r="S1615" t="s">
        <v>27254</v>
      </c>
      <c r="T1615" t="s">
        <v>27255</v>
      </c>
    </row>
    <row r="1616" spans="1:20" x14ac:dyDescent="0.3">
      <c r="A1616" t="str">
        <f>"0611832032025"</f>
        <v>0611832032025</v>
      </c>
      <c r="B1616" t="str">
        <f>"MC1422"</f>
        <v>MC1422</v>
      </c>
      <c r="C1616" t="s">
        <v>30376</v>
      </c>
      <c r="D1616" t="s">
        <v>27267</v>
      </c>
      <c r="E1616" t="str">
        <f t="shared" si="25"/>
        <v>001390</v>
      </c>
      <c r="F1616" t="s">
        <v>27246</v>
      </c>
      <c r="G1616" t="s">
        <v>27247</v>
      </c>
      <c r="H1616" t="s">
        <v>27248</v>
      </c>
      <c r="I1616" t="s">
        <v>30378</v>
      </c>
      <c r="J1616" t="s">
        <v>3241</v>
      </c>
      <c r="L1616" t="s">
        <v>27250</v>
      </c>
      <c r="M1616" t="s">
        <v>27251</v>
      </c>
      <c r="N1616" t="s">
        <v>27252</v>
      </c>
      <c r="Q1616" s="1">
        <v>44538</v>
      </c>
      <c r="R1616" t="s">
        <v>27253</v>
      </c>
      <c r="S1616" t="s">
        <v>27254</v>
      </c>
      <c r="T1616" t="s">
        <v>27269</v>
      </c>
    </row>
    <row r="1617" spans="1:20" x14ac:dyDescent="0.3">
      <c r="A1617" t="str">
        <f>"0611832034100"</f>
        <v>0611832034100</v>
      </c>
      <c r="B1617" t="str">
        <f>"LB1430"</f>
        <v>LB1430</v>
      </c>
      <c r="C1617" t="s">
        <v>30379</v>
      </c>
      <c r="D1617" t="s">
        <v>27245</v>
      </c>
      <c r="E1617" t="str">
        <f t="shared" si="25"/>
        <v>001390</v>
      </c>
      <c r="F1617" t="s">
        <v>27246</v>
      </c>
      <c r="G1617" t="s">
        <v>27247</v>
      </c>
      <c r="H1617" t="s">
        <v>27248</v>
      </c>
      <c r="I1617" t="s">
        <v>30380</v>
      </c>
      <c r="J1617" t="s">
        <v>3243</v>
      </c>
      <c r="L1617" t="s">
        <v>27250</v>
      </c>
      <c r="M1617" t="s">
        <v>27251</v>
      </c>
      <c r="N1617" t="s">
        <v>27252</v>
      </c>
      <c r="Q1617" s="1">
        <v>44538</v>
      </c>
      <c r="R1617" t="s">
        <v>27253</v>
      </c>
      <c r="S1617" t="s">
        <v>27254</v>
      </c>
      <c r="T1617" t="s">
        <v>27255</v>
      </c>
    </row>
    <row r="1618" spans="1:20" x14ac:dyDescent="0.3">
      <c r="A1618" t="str">
        <f>"0611832035100"</f>
        <v>0611832035100</v>
      </c>
      <c r="B1618" t="str">
        <f>"LK1087"</f>
        <v>LK1087</v>
      </c>
      <c r="C1618" t="s">
        <v>30381</v>
      </c>
      <c r="D1618" t="s">
        <v>27245</v>
      </c>
      <c r="E1618" t="str">
        <f t="shared" si="25"/>
        <v>001390</v>
      </c>
      <c r="F1618" t="s">
        <v>27246</v>
      </c>
      <c r="G1618" t="s">
        <v>27247</v>
      </c>
      <c r="H1618" t="s">
        <v>27248</v>
      </c>
      <c r="I1618" t="s">
        <v>30382</v>
      </c>
      <c r="J1618" t="s">
        <v>3245</v>
      </c>
      <c r="L1618" t="s">
        <v>27250</v>
      </c>
      <c r="M1618" t="s">
        <v>27251</v>
      </c>
      <c r="N1618" t="s">
        <v>27252</v>
      </c>
      <c r="Q1618" s="1">
        <v>44538</v>
      </c>
      <c r="R1618" t="s">
        <v>27253</v>
      </c>
      <c r="S1618" t="s">
        <v>27254</v>
      </c>
      <c r="T1618" t="s">
        <v>27255</v>
      </c>
    </row>
    <row r="1619" spans="1:20" x14ac:dyDescent="0.3">
      <c r="A1619" t="str">
        <f>"0611832036100"</f>
        <v>0611832036100</v>
      </c>
      <c r="B1619" t="str">
        <f>"LK0472"</f>
        <v>LK0472</v>
      </c>
      <c r="C1619" t="s">
        <v>30383</v>
      </c>
      <c r="D1619" t="s">
        <v>27245</v>
      </c>
      <c r="E1619" t="str">
        <f t="shared" si="25"/>
        <v>001390</v>
      </c>
      <c r="F1619" t="s">
        <v>27246</v>
      </c>
      <c r="G1619" t="s">
        <v>27247</v>
      </c>
      <c r="H1619" t="s">
        <v>27248</v>
      </c>
      <c r="I1619" t="s">
        <v>30384</v>
      </c>
      <c r="J1619" t="s">
        <v>3247</v>
      </c>
      <c r="L1619" t="s">
        <v>27250</v>
      </c>
      <c r="M1619" t="s">
        <v>27251</v>
      </c>
      <c r="N1619" t="s">
        <v>27252</v>
      </c>
      <c r="Q1619" s="1">
        <v>44538</v>
      </c>
      <c r="R1619" t="s">
        <v>27253</v>
      </c>
      <c r="S1619" t="s">
        <v>27254</v>
      </c>
      <c r="T1619" t="s">
        <v>27255</v>
      </c>
    </row>
    <row r="1620" spans="1:20" x14ac:dyDescent="0.3">
      <c r="A1620" t="str">
        <f>"0611832037100"</f>
        <v>0611832037100</v>
      </c>
      <c r="B1620" t="str">
        <f>"LK0473"</f>
        <v>LK0473</v>
      </c>
      <c r="C1620" t="s">
        <v>30385</v>
      </c>
      <c r="D1620" t="s">
        <v>27245</v>
      </c>
      <c r="E1620" t="str">
        <f t="shared" si="25"/>
        <v>001390</v>
      </c>
      <c r="F1620" t="s">
        <v>27246</v>
      </c>
      <c r="G1620" t="s">
        <v>27247</v>
      </c>
      <c r="H1620" t="s">
        <v>27248</v>
      </c>
      <c r="I1620" t="s">
        <v>30386</v>
      </c>
      <c r="J1620" t="s">
        <v>3249</v>
      </c>
      <c r="L1620" t="s">
        <v>27250</v>
      </c>
      <c r="M1620" t="s">
        <v>27251</v>
      </c>
      <c r="N1620" t="s">
        <v>27252</v>
      </c>
      <c r="Q1620" s="1">
        <v>44538</v>
      </c>
      <c r="R1620" t="s">
        <v>27253</v>
      </c>
      <c r="S1620" t="s">
        <v>27254</v>
      </c>
      <c r="T1620" t="s">
        <v>27255</v>
      </c>
    </row>
    <row r="1621" spans="1:20" x14ac:dyDescent="0.3">
      <c r="A1621" t="str">
        <f>"0611832038100"</f>
        <v>0611832038100</v>
      </c>
      <c r="B1621" t="str">
        <f>"LK0005"</f>
        <v>LK0005</v>
      </c>
      <c r="C1621" t="s">
        <v>30387</v>
      </c>
      <c r="D1621" t="s">
        <v>27245</v>
      </c>
      <c r="E1621" t="str">
        <f t="shared" si="25"/>
        <v>001390</v>
      </c>
      <c r="F1621" t="s">
        <v>27246</v>
      </c>
      <c r="G1621" t="s">
        <v>27247</v>
      </c>
      <c r="H1621" t="s">
        <v>27248</v>
      </c>
      <c r="I1621" t="s">
        <v>30388</v>
      </c>
      <c r="J1621" t="s">
        <v>3251</v>
      </c>
      <c r="L1621" t="s">
        <v>27250</v>
      </c>
      <c r="M1621" t="s">
        <v>27251</v>
      </c>
      <c r="N1621" t="s">
        <v>27252</v>
      </c>
      <c r="Q1621" s="1">
        <v>44538</v>
      </c>
      <c r="R1621" t="s">
        <v>27253</v>
      </c>
      <c r="S1621" t="s">
        <v>27254</v>
      </c>
      <c r="T1621" t="s">
        <v>27255</v>
      </c>
    </row>
    <row r="1622" spans="1:20" x14ac:dyDescent="0.3">
      <c r="A1622" t="str">
        <f>"0611832039100"</f>
        <v>0611832039100</v>
      </c>
      <c r="B1622" t="str">
        <f>"LS0011"</f>
        <v>LS0011</v>
      </c>
      <c r="C1622" t="s">
        <v>30389</v>
      </c>
      <c r="D1622" t="s">
        <v>27245</v>
      </c>
      <c r="E1622" t="str">
        <f t="shared" si="25"/>
        <v>001390</v>
      </c>
      <c r="F1622" t="s">
        <v>27246</v>
      </c>
      <c r="G1622" t="s">
        <v>27247</v>
      </c>
      <c r="H1622" t="s">
        <v>27248</v>
      </c>
      <c r="I1622" t="s">
        <v>30390</v>
      </c>
      <c r="J1622" t="s">
        <v>3253</v>
      </c>
      <c r="L1622" t="s">
        <v>27250</v>
      </c>
      <c r="M1622" t="s">
        <v>27251</v>
      </c>
      <c r="N1622" t="s">
        <v>27252</v>
      </c>
      <c r="Q1622" s="1">
        <v>44538</v>
      </c>
      <c r="R1622" t="s">
        <v>27253</v>
      </c>
      <c r="S1622" t="s">
        <v>27254</v>
      </c>
      <c r="T1622" t="s">
        <v>27255</v>
      </c>
    </row>
    <row r="1623" spans="1:20" x14ac:dyDescent="0.3">
      <c r="A1623" t="str">
        <f>"0611832040100"</f>
        <v>0611832040100</v>
      </c>
      <c r="B1623" t="str">
        <f>"LK0474"</f>
        <v>LK0474</v>
      </c>
      <c r="C1623" t="s">
        <v>30391</v>
      </c>
      <c r="D1623" t="s">
        <v>27245</v>
      </c>
      <c r="E1623" t="str">
        <f t="shared" si="25"/>
        <v>001390</v>
      </c>
      <c r="F1623" t="s">
        <v>27246</v>
      </c>
      <c r="G1623" t="s">
        <v>27247</v>
      </c>
      <c r="H1623" t="s">
        <v>27248</v>
      </c>
      <c r="I1623" t="s">
        <v>30392</v>
      </c>
      <c r="J1623" t="s">
        <v>3255</v>
      </c>
      <c r="L1623" t="s">
        <v>27250</v>
      </c>
      <c r="M1623" t="s">
        <v>27251</v>
      </c>
      <c r="N1623" t="s">
        <v>27252</v>
      </c>
      <c r="Q1623" s="1">
        <v>44538</v>
      </c>
      <c r="R1623" t="s">
        <v>27253</v>
      </c>
      <c r="S1623" t="s">
        <v>27254</v>
      </c>
      <c r="T1623" t="s">
        <v>27255</v>
      </c>
    </row>
    <row r="1624" spans="1:20" x14ac:dyDescent="0.3">
      <c r="A1624" t="str">
        <f>"0611832041100"</f>
        <v>0611832041100</v>
      </c>
      <c r="B1624" t="str">
        <f>"LK1089"</f>
        <v>LK1089</v>
      </c>
      <c r="C1624" t="s">
        <v>30393</v>
      </c>
      <c r="D1624" t="s">
        <v>27245</v>
      </c>
      <c r="E1624" t="str">
        <f t="shared" si="25"/>
        <v>001390</v>
      </c>
      <c r="F1624" t="s">
        <v>27246</v>
      </c>
      <c r="G1624" t="s">
        <v>27247</v>
      </c>
      <c r="H1624" t="s">
        <v>27248</v>
      </c>
      <c r="I1624" t="s">
        <v>30394</v>
      </c>
      <c r="J1624" t="s">
        <v>3257</v>
      </c>
      <c r="L1624" t="s">
        <v>27250</v>
      </c>
      <c r="M1624" t="s">
        <v>27251</v>
      </c>
      <c r="N1624" t="s">
        <v>27252</v>
      </c>
      <c r="Q1624" s="1">
        <v>44538</v>
      </c>
      <c r="R1624" t="s">
        <v>27253</v>
      </c>
      <c r="S1624" t="s">
        <v>27254</v>
      </c>
      <c r="T1624" t="s">
        <v>27255</v>
      </c>
    </row>
    <row r="1625" spans="1:20" x14ac:dyDescent="0.3">
      <c r="A1625" t="str">
        <f>"0611832042100"</f>
        <v>0611832042100</v>
      </c>
      <c r="B1625" t="str">
        <f>"LK2768"</f>
        <v>LK2768</v>
      </c>
      <c r="C1625" t="s">
        <v>30395</v>
      </c>
      <c r="D1625" t="s">
        <v>27245</v>
      </c>
      <c r="E1625" t="str">
        <f t="shared" si="25"/>
        <v>001390</v>
      </c>
      <c r="F1625" t="s">
        <v>27246</v>
      </c>
      <c r="G1625" t="s">
        <v>27247</v>
      </c>
      <c r="H1625" t="s">
        <v>27248</v>
      </c>
      <c r="I1625" t="s">
        <v>30396</v>
      </c>
      <c r="J1625" t="s">
        <v>3259</v>
      </c>
      <c r="L1625" t="s">
        <v>27250</v>
      </c>
      <c r="M1625" t="s">
        <v>27251</v>
      </c>
      <c r="N1625" t="s">
        <v>27252</v>
      </c>
      <c r="Q1625" s="1">
        <v>44538</v>
      </c>
      <c r="R1625" t="s">
        <v>27253</v>
      </c>
      <c r="S1625" t="s">
        <v>27254</v>
      </c>
      <c r="T1625" t="s">
        <v>27255</v>
      </c>
    </row>
    <row r="1626" spans="1:20" x14ac:dyDescent="0.3">
      <c r="A1626" t="str">
        <f>"0611832033025"</f>
        <v>0611832033025</v>
      </c>
      <c r="B1626" t="str">
        <f>"MC4125"</f>
        <v>MC4125</v>
      </c>
      <c r="C1626" t="s">
        <v>30397</v>
      </c>
      <c r="D1626" t="s">
        <v>27267</v>
      </c>
      <c r="E1626" t="str">
        <f t="shared" si="25"/>
        <v>001390</v>
      </c>
      <c r="F1626" t="s">
        <v>27246</v>
      </c>
      <c r="G1626" t="s">
        <v>27247</v>
      </c>
      <c r="H1626" t="s">
        <v>27248</v>
      </c>
      <c r="I1626" t="s">
        <v>30398</v>
      </c>
      <c r="J1626" t="s">
        <v>3261</v>
      </c>
      <c r="L1626" t="s">
        <v>27250</v>
      </c>
      <c r="M1626" t="s">
        <v>27251</v>
      </c>
      <c r="N1626" t="s">
        <v>27252</v>
      </c>
      <c r="Q1626" s="1">
        <v>44538</v>
      </c>
      <c r="R1626" t="s">
        <v>27253</v>
      </c>
      <c r="S1626" t="s">
        <v>27254</v>
      </c>
      <c r="T1626" t="s">
        <v>27269</v>
      </c>
    </row>
    <row r="1627" spans="1:20" x14ac:dyDescent="0.3">
      <c r="A1627" t="str">
        <f>"0611832043100"</f>
        <v>0611832043100</v>
      </c>
      <c r="B1627" t="str">
        <f>"LK2769"</f>
        <v>LK2769</v>
      </c>
      <c r="C1627" t="s">
        <v>30399</v>
      </c>
      <c r="D1627" t="s">
        <v>27245</v>
      </c>
      <c r="E1627" t="str">
        <f t="shared" si="25"/>
        <v>001390</v>
      </c>
      <c r="F1627" t="s">
        <v>27246</v>
      </c>
      <c r="G1627" t="s">
        <v>27247</v>
      </c>
      <c r="H1627" t="s">
        <v>27248</v>
      </c>
      <c r="I1627" t="s">
        <v>30400</v>
      </c>
      <c r="J1627" t="s">
        <v>3263</v>
      </c>
      <c r="L1627" t="s">
        <v>27250</v>
      </c>
      <c r="M1627" t="s">
        <v>27251</v>
      </c>
      <c r="N1627" t="s">
        <v>27252</v>
      </c>
      <c r="Q1627" s="1">
        <v>44538</v>
      </c>
      <c r="R1627" t="s">
        <v>27253</v>
      </c>
      <c r="S1627" t="s">
        <v>27254</v>
      </c>
      <c r="T1627" t="s">
        <v>27255</v>
      </c>
    </row>
    <row r="1628" spans="1:20" x14ac:dyDescent="0.3">
      <c r="A1628" t="str">
        <f>"0611832044025"</f>
        <v>0611832044025</v>
      </c>
      <c r="B1628" t="str">
        <f>"MC3223"</f>
        <v>MC3223</v>
      </c>
      <c r="C1628" t="s">
        <v>30401</v>
      </c>
      <c r="D1628" t="s">
        <v>27267</v>
      </c>
      <c r="E1628" t="str">
        <f t="shared" si="25"/>
        <v>001390</v>
      </c>
      <c r="F1628" t="s">
        <v>27246</v>
      </c>
      <c r="G1628" t="s">
        <v>27247</v>
      </c>
      <c r="H1628" t="s">
        <v>27248</v>
      </c>
      <c r="I1628" t="s">
        <v>30402</v>
      </c>
      <c r="J1628" t="s">
        <v>3265</v>
      </c>
      <c r="L1628" t="s">
        <v>27250</v>
      </c>
      <c r="M1628" t="s">
        <v>27251</v>
      </c>
      <c r="N1628" t="s">
        <v>27252</v>
      </c>
      <c r="Q1628" s="1">
        <v>44538</v>
      </c>
      <c r="R1628" t="s">
        <v>27253</v>
      </c>
      <c r="S1628" t="s">
        <v>27254</v>
      </c>
      <c r="T1628" t="s">
        <v>27269</v>
      </c>
    </row>
    <row r="1629" spans="1:20" x14ac:dyDescent="0.3">
      <c r="A1629" t="str">
        <f>"0611832045025"</f>
        <v>0611832045025</v>
      </c>
      <c r="B1629" t="str">
        <f>"MC1903"</f>
        <v>MC1903</v>
      </c>
      <c r="C1629" t="s">
        <v>30403</v>
      </c>
      <c r="D1629" t="s">
        <v>27267</v>
      </c>
      <c r="E1629" t="str">
        <f t="shared" si="25"/>
        <v>001390</v>
      </c>
      <c r="F1629" t="s">
        <v>27246</v>
      </c>
      <c r="G1629" t="s">
        <v>27247</v>
      </c>
      <c r="H1629" t="s">
        <v>27248</v>
      </c>
      <c r="I1629" t="s">
        <v>30404</v>
      </c>
      <c r="J1629" t="s">
        <v>3267</v>
      </c>
      <c r="L1629" t="s">
        <v>27250</v>
      </c>
      <c r="M1629" t="s">
        <v>27251</v>
      </c>
      <c r="N1629" t="s">
        <v>27252</v>
      </c>
      <c r="Q1629" s="1">
        <v>44538</v>
      </c>
      <c r="R1629" t="s">
        <v>27253</v>
      </c>
      <c r="S1629" t="s">
        <v>27254</v>
      </c>
      <c r="T1629" t="s">
        <v>27269</v>
      </c>
    </row>
    <row r="1630" spans="1:20" x14ac:dyDescent="0.3">
      <c r="A1630" t="str">
        <f>"0611832046025"</f>
        <v>0611832046025</v>
      </c>
      <c r="B1630" t="str">
        <f>"MQ0224"</f>
        <v>MQ0224</v>
      </c>
      <c r="C1630" t="s">
        <v>30405</v>
      </c>
      <c r="D1630" t="s">
        <v>27267</v>
      </c>
      <c r="E1630" t="str">
        <f t="shared" si="25"/>
        <v>001390</v>
      </c>
      <c r="F1630" t="s">
        <v>27246</v>
      </c>
      <c r="G1630" t="s">
        <v>27247</v>
      </c>
      <c r="H1630" t="s">
        <v>27248</v>
      </c>
      <c r="I1630" t="s">
        <v>30406</v>
      </c>
      <c r="J1630" t="s">
        <v>3269</v>
      </c>
      <c r="L1630" t="s">
        <v>27250</v>
      </c>
      <c r="M1630" t="s">
        <v>27251</v>
      </c>
      <c r="N1630" t="s">
        <v>27252</v>
      </c>
      <c r="Q1630" s="1">
        <v>44538</v>
      </c>
      <c r="R1630" t="s">
        <v>27253</v>
      </c>
      <c r="S1630" t="s">
        <v>27254</v>
      </c>
      <c r="T1630" t="s">
        <v>27269</v>
      </c>
    </row>
    <row r="1631" spans="1:20" x14ac:dyDescent="0.3">
      <c r="A1631" t="str">
        <f>"0611832047025"</f>
        <v>0611832047025</v>
      </c>
      <c r="B1631" t="str">
        <f>"MC0150"</f>
        <v>MC0150</v>
      </c>
      <c r="C1631" t="s">
        <v>30407</v>
      </c>
      <c r="D1631" t="s">
        <v>27267</v>
      </c>
      <c r="E1631" t="str">
        <f t="shared" si="25"/>
        <v>001390</v>
      </c>
      <c r="F1631" t="s">
        <v>27246</v>
      </c>
      <c r="G1631" t="s">
        <v>27247</v>
      </c>
      <c r="H1631" t="s">
        <v>27248</v>
      </c>
      <c r="I1631" t="s">
        <v>30408</v>
      </c>
      <c r="J1631" t="s">
        <v>3271</v>
      </c>
      <c r="L1631" t="s">
        <v>27250</v>
      </c>
      <c r="M1631" t="s">
        <v>27251</v>
      </c>
      <c r="N1631" t="s">
        <v>27252</v>
      </c>
      <c r="Q1631" s="1">
        <v>44538</v>
      </c>
      <c r="R1631" t="s">
        <v>27253</v>
      </c>
      <c r="S1631" t="s">
        <v>27254</v>
      </c>
      <c r="T1631" t="s">
        <v>27269</v>
      </c>
    </row>
    <row r="1632" spans="1:20" x14ac:dyDescent="0.3">
      <c r="A1632" t="str">
        <f>"0611832048025"</f>
        <v>0611832048025</v>
      </c>
      <c r="B1632" t="str">
        <f>"MC1540"</f>
        <v>MC1540</v>
      </c>
      <c r="C1632" t="s">
        <v>30409</v>
      </c>
      <c r="D1632" t="s">
        <v>27267</v>
      </c>
      <c r="E1632" t="str">
        <f t="shared" si="25"/>
        <v>001390</v>
      </c>
      <c r="F1632" t="s">
        <v>27246</v>
      </c>
      <c r="G1632" t="s">
        <v>27247</v>
      </c>
      <c r="H1632" t="s">
        <v>27248</v>
      </c>
      <c r="I1632" t="s">
        <v>30410</v>
      </c>
      <c r="J1632" t="s">
        <v>3273</v>
      </c>
      <c r="L1632" t="s">
        <v>27250</v>
      </c>
      <c r="M1632" t="s">
        <v>27251</v>
      </c>
      <c r="N1632" t="s">
        <v>27252</v>
      </c>
      <c r="Q1632" s="1">
        <v>44538</v>
      </c>
      <c r="R1632" t="s">
        <v>27253</v>
      </c>
      <c r="S1632" t="s">
        <v>27254</v>
      </c>
      <c r="T1632" t="s">
        <v>27269</v>
      </c>
    </row>
    <row r="1633" spans="1:20" x14ac:dyDescent="0.3">
      <c r="A1633" t="str">
        <f>"0611832049025"</f>
        <v>0611832049025</v>
      </c>
      <c r="B1633" t="str">
        <f>"MC4138"</f>
        <v>MC4138</v>
      </c>
      <c r="C1633" t="s">
        <v>30411</v>
      </c>
      <c r="D1633" t="s">
        <v>27267</v>
      </c>
      <c r="E1633" t="str">
        <f t="shared" si="25"/>
        <v>001390</v>
      </c>
      <c r="F1633" t="s">
        <v>27246</v>
      </c>
      <c r="G1633" t="s">
        <v>27247</v>
      </c>
      <c r="H1633" t="s">
        <v>27248</v>
      </c>
      <c r="I1633" t="s">
        <v>30412</v>
      </c>
      <c r="J1633" t="s">
        <v>3275</v>
      </c>
      <c r="L1633" t="s">
        <v>27250</v>
      </c>
      <c r="M1633" t="s">
        <v>27251</v>
      </c>
      <c r="N1633" t="s">
        <v>27252</v>
      </c>
      <c r="Q1633" s="1">
        <v>44538</v>
      </c>
      <c r="R1633" t="s">
        <v>27253</v>
      </c>
      <c r="S1633" t="s">
        <v>27254</v>
      </c>
      <c r="T1633" t="s">
        <v>27269</v>
      </c>
    </row>
    <row r="1634" spans="1:20" x14ac:dyDescent="0.3">
      <c r="A1634" t="str">
        <f>"0611832050025"</f>
        <v>0611832050025</v>
      </c>
      <c r="B1634" t="str">
        <f>"MC3691"</f>
        <v>MC3691</v>
      </c>
      <c r="C1634" t="s">
        <v>30413</v>
      </c>
      <c r="D1634" t="s">
        <v>27267</v>
      </c>
      <c r="E1634" t="str">
        <f t="shared" si="25"/>
        <v>001390</v>
      </c>
      <c r="F1634" t="s">
        <v>27246</v>
      </c>
      <c r="G1634" t="s">
        <v>27247</v>
      </c>
      <c r="H1634" t="s">
        <v>27248</v>
      </c>
      <c r="I1634" t="s">
        <v>30414</v>
      </c>
      <c r="J1634" t="s">
        <v>3277</v>
      </c>
      <c r="L1634" t="s">
        <v>27250</v>
      </c>
      <c r="M1634" t="s">
        <v>27251</v>
      </c>
      <c r="N1634" t="s">
        <v>27252</v>
      </c>
      <c r="Q1634" s="1">
        <v>44538</v>
      </c>
      <c r="R1634" t="s">
        <v>27253</v>
      </c>
      <c r="S1634" t="s">
        <v>27254</v>
      </c>
      <c r="T1634" t="s">
        <v>27269</v>
      </c>
    </row>
    <row r="1635" spans="1:20" x14ac:dyDescent="0.3">
      <c r="A1635" t="str">
        <f>"0611832051025"</f>
        <v>0611832051025</v>
      </c>
      <c r="B1635" t="str">
        <f>"MC0151"</f>
        <v>MC0151</v>
      </c>
      <c r="C1635" t="s">
        <v>30415</v>
      </c>
      <c r="D1635" t="s">
        <v>27267</v>
      </c>
      <c r="E1635" t="str">
        <f t="shared" si="25"/>
        <v>001390</v>
      </c>
      <c r="F1635" t="s">
        <v>27246</v>
      </c>
      <c r="G1635" t="s">
        <v>27247</v>
      </c>
      <c r="H1635" t="s">
        <v>27248</v>
      </c>
      <c r="I1635" t="s">
        <v>30416</v>
      </c>
      <c r="J1635" t="s">
        <v>3279</v>
      </c>
      <c r="L1635" t="s">
        <v>27250</v>
      </c>
      <c r="M1635" t="s">
        <v>27251</v>
      </c>
      <c r="N1635" t="s">
        <v>27252</v>
      </c>
      <c r="Q1635" s="1">
        <v>44538</v>
      </c>
      <c r="R1635" t="s">
        <v>27253</v>
      </c>
      <c r="S1635" t="s">
        <v>27254</v>
      </c>
      <c r="T1635" t="s">
        <v>27269</v>
      </c>
    </row>
    <row r="1636" spans="1:20" x14ac:dyDescent="0.3">
      <c r="A1636" t="str">
        <f>"0611832052100"</f>
        <v>0611832052100</v>
      </c>
      <c r="B1636" t="str">
        <f>"LF1111"</f>
        <v>LF1111</v>
      </c>
      <c r="C1636" t="s">
        <v>30417</v>
      </c>
      <c r="D1636" t="s">
        <v>27245</v>
      </c>
      <c r="E1636" t="str">
        <f t="shared" si="25"/>
        <v>001390</v>
      </c>
      <c r="F1636" t="s">
        <v>27246</v>
      </c>
      <c r="G1636" t="s">
        <v>27247</v>
      </c>
      <c r="H1636" t="s">
        <v>27248</v>
      </c>
      <c r="I1636" t="s">
        <v>30418</v>
      </c>
      <c r="J1636" t="s">
        <v>3281</v>
      </c>
      <c r="L1636" t="s">
        <v>27250</v>
      </c>
      <c r="M1636" t="s">
        <v>27251</v>
      </c>
      <c r="N1636" t="s">
        <v>27252</v>
      </c>
      <c r="Q1636" s="1">
        <v>44538</v>
      </c>
      <c r="R1636" t="s">
        <v>27253</v>
      </c>
      <c r="S1636" t="s">
        <v>27254</v>
      </c>
      <c r="T1636" t="s">
        <v>27255</v>
      </c>
    </row>
    <row r="1637" spans="1:20" x14ac:dyDescent="0.3">
      <c r="A1637" t="str">
        <f>"0611832053100"</f>
        <v>0611832053100</v>
      </c>
      <c r="B1637" t="str">
        <f>"LF0023"</f>
        <v>LF0023</v>
      </c>
      <c r="C1637" t="s">
        <v>30419</v>
      </c>
      <c r="D1637" t="s">
        <v>27245</v>
      </c>
      <c r="E1637" t="str">
        <f t="shared" si="25"/>
        <v>001390</v>
      </c>
      <c r="F1637" t="s">
        <v>27246</v>
      </c>
      <c r="G1637" t="s">
        <v>27247</v>
      </c>
      <c r="H1637" t="s">
        <v>27248</v>
      </c>
      <c r="I1637" t="s">
        <v>30420</v>
      </c>
      <c r="J1637" t="s">
        <v>3283</v>
      </c>
      <c r="L1637" t="s">
        <v>27250</v>
      </c>
      <c r="M1637" t="s">
        <v>27251</v>
      </c>
      <c r="N1637" t="s">
        <v>27252</v>
      </c>
      <c r="Q1637" s="1">
        <v>44538</v>
      </c>
      <c r="R1637" t="s">
        <v>27253</v>
      </c>
      <c r="S1637" t="s">
        <v>27254</v>
      </c>
      <c r="T1637" t="s">
        <v>27255</v>
      </c>
    </row>
    <row r="1638" spans="1:20" x14ac:dyDescent="0.3">
      <c r="A1638" t="str">
        <f>"0611832054100"</f>
        <v>0611832054100</v>
      </c>
      <c r="B1638" t="str">
        <f>"LF0024"</f>
        <v>LF0024</v>
      </c>
      <c r="C1638" t="s">
        <v>30421</v>
      </c>
      <c r="D1638" t="s">
        <v>27245</v>
      </c>
      <c r="E1638" t="str">
        <f t="shared" si="25"/>
        <v>001390</v>
      </c>
      <c r="F1638" t="s">
        <v>27246</v>
      </c>
      <c r="G1638" t="s">
        <v>27247</v>
      </c>
      <c r="H1638" t="s">
        <v>27248</v>
      </c>
      <c r="I1638" t="s">
        <v>30422</v>
      </c>
      <c r="J1638" t="s">
        <v>3285</v>
      </c>
      <c r="L1638" t="s">
        <v>27250</v>
      </c>
      <c r="M1638" t="s">
        <v>27251</v>
      </c>
      <c r="N1638" t="s">
        <v>27252</v>
      </c>
      <c r="Q1638" s="1">
        <v>44538</v>
      </c>
      <c r="R1638" t="s">
        <v>27253</v>
      </c>
      <c r="S1638" t="s">
        <v>27254</v>
      </c>
      <c r="T1638" t="s">
        <v>27255</v>
      </c>
    </row>
    <row r="1639" spans="1:20" x14ac:dyDescent="0.3">
      <c r="A1639" t="str">
        <f>"0611832055100"</f>
        <v>0611832055100</v>
      </c>
      <c r="B1639" t="str">
        <f>"LF0025"</f>
        <v>LF0025</v>
      </c>
      <c r="C1639" t="s">
        <v>30423</v>
      </c>
      <c r="D1639" t="s">
        <v>27245</v>
      </c>
      <c r="E1639" t="str">
        <f t="shared" si="25"/>
        <v>001390</v>
      </c>
      <c r="F1639" t="s">
        <v>27246</v>
      </c>
      <c r="G1639" t="s">
        <v>27247</v>
      </c>
      <c r="H1639" t="s">
        <v>27248</v>
      </c>
      <c r="I1639" t="s">
        <v>30424</v>
      </c>
      <c r="J1639" t="s">
        <v>3287</v>
      </c>
      <c r="L1639" t="s">
        <v>27250</v>
      </c>
      <c r="M1639" t="s">
        <v>27251</v>
      </c>
      <c r="N1639" t="s">
        <v>27252</v>
      </c>
      <c r="Q1639" s="1">
        <v>44538</v>
      </c>
      <c r="R1639" t="s">
        <v>27253</v>
      </c>
      <c r="S1639" t="s">
        <v>27254</v>
      </c>
      <c r="T1639" t="s">
        <v>27255</v>
      </c>
    </row>
    <row r="1640" spans="1:20" x14ac:dyDescent="0.3">
      <c r="A1640" t="str">
        <f>"0611832056100"</f>
        <v>0611832056100</v>
      </c>
      <c r="B1640" t="str">
        <f>"LF0026"</f>
        <v>LF0026</v>
      </c>
      <c r="C1640" t="s">
        <v>30425</v>
      </c>
      <c r="D1640" t="s">
        <v>27245</v>
      </c>
      <c r="E1640" t="str">
        <f t="shared" si="25"/>
        <v>001390</v>
      </c>
      <c r="F1640" t="s">
        <v>27246</v>
      </c>
      <c r="G1640" t="s">
        <v>27247</v>
      </c>
      <c r="H1640" t="s">
        <v>27248</v>
      </c>
      <c r="I1640" t="s">
        <v>30426</v>
      </c>
      <c r="J1640" t="s">
        <v>3289</v>
      </c>
      <c r="L1640" t="s">
        <v>27250</v>
      </c>
      <c r="M1640" t="s">
        <v>27251</v>
      </c>
      <c r="N1640" t="s">
        <v>27252</v>
      </c>
      <c r="Q1640" s="1">
        <v>44538</v>
      </c>
      <c r="R1640" t="s">
        <v>27253</v>
      </c>
      <c r="S1640" t="s">
        <v>27254</v>
      </c>
      <c r="T1640" t="s">
        <v>27255</v>
      </c>
    </row>
    <row r="1641" spans="1:20" x14ac:dyDescent="0.3">
      <c r="A1641" t="str">
        <f>"0611832057100"</f>
        <v>0611832057100</v>
      </c>
      <c r="B1641" t="str">
        <f>"LB1411"</f>
        <v>LB1411</v>
      </c>
      <c r="C1641" t="s">
        <v>30427</v>
      </c>
      <c r="D1641" t="s">
        <v>27245</v>
      </c>
      <c r="E1641" t="str">
        <f t="shared" si="25"/>
        <v>001390</v>
      </c>
      <c r="F1641" t="s">
        <v>27246</v>
      </c>
      <c r="G1641" t="s">
        <v>27247</v>
      </c>
      <c r="H1641" t="s">
        <v>27248</v>
      </c>
      <c r="I1641" t="s">
        <v>30428</v>
      </c>
      <c r="J1641" t="s">
        <v>3291</v>
      </c>
      <c r="L1641" t="s">
        <v>27250</v>
      </c>
      <c r="M1641" t="s">
        <v>27251</v>
      </c>
      <c r="N1641" t="s">
        <v>27252</v>
      </c>
      <c r="Q1641" s="1">
        <v>44538</v>
      </c>
      <c r="R1641" t="s">
        <v>27253</v>
      </c>
      <c r="S1641" t="s">
        <v>27254</v>
      </c>
      <c r="T1641" t="s">
        <v>27255</v>
      </c>
    </row>
    <row r="1642" spans="1:20" x14ac:dyDescent="0.3">
      <c r="A1642" t="str">
        <f>"0611884059025"</f>
        <v>0611884059025</v>
      </c>
      <c r="B1642" t="str">
        <f>"MC4451"</f>
        <v>MC4451</v>
      </c>
      <c r="C1642" t="s">
        <v>30429</v>
      </c>
      <c r="D1642" t="s">
        <v>27267</v>
      </c>
      <c r="E1642" t="str">
        <f t="shared" si="25"/>
        <v>001390</v>
      </c>
      <c r="F1642" t="s">
        <v>27246</v>
      </c>
      <c r="G1642" t="s">
        <v>27247</v>
      </c>
      <c r="H1642" t="s">
        <v>27248</v>
      </c>
      <c r="I1642" t="s">
        <v>30430</v>
      </c>
      <c r="J1642" t="s">
        <v>3293</v>
      </c>
      <c r="L1642" t="s">
        <v>27430</v>
      </c>
      <c r="M1642" t="s">
        <v>27251</v>
      </c>
      <c r="N1642" t="s">
        <v>27252</v>
      </c>
      <c r="Q1642" s="1">
        <v>45250</v>
      </c>
      <c r="R1642" t="s">
        <v>27253</v>
      </c>
      <c r="S1642" t="s">
        <v>27254</v>
      </c>
      <c r="T1642" t="s">
        <v>27269</v>
      </c>
    </row>
    <row r="1643" spans="1:20" x14ac:dyDescent="0.3">
      <c r="A1643" t="str">
        <f>"0611832058100"</f>
        <v>0611832058100</v>
      </c>
      <c r="B1643" t="str">
        <f>"LB1470"</f>
        <v>LB1470</v>
      </c>
      <c r="C1643" t="s">
        <v>30431</v>
      </c>
      <c r="D1643" t="s">
        <v>27245</v>
      </c>
      <c r="E1643" t="str">
        <f t="shared" si="25"/>
        <v>001390</v>
      </c>
      <c r="F1643" t="s">
        <v>27246</v>
      </c>
      <c r="G1643" t="s">
        <v>27247</v>
      </c>
      <c r="H1643" t="s">
        <v>27248</v>
      </c>
      <c r="I1643" t="s">
        <v>30432</v>
      </c>
      <c r="J1643" t="s">
        <v>3295</v>
      </c>
      <c r="L1643" t="s">
        <v>27250</v>
      </c>
      <c r="M1643" t="s">
        <v>27251</v>
      </c>
      <c r="N1643" t="s">
        <v>27252</v>
      </c>
      <c r="Q1643" s="1">
        <v>44538</v>
      </c>
      <c r="R1643" t="s">
        <v>27253</v>
      </c>
      <c r="S1643" t="s">
        <v>27254</v>
      </c>
      <c r="T1643" t="s">
        <v>27255</v>
      </c>
    </row>
    <row r="1644" spans="1:20" x14ac:dyDescent="0.3">
      <c r="A1644" t="str">
        <f>"0611832059100"</f>
        <v>0611832059100</v>
      </c>
      <c r="B1644" t="str">
        <f>"LB1471"</f>
        <v>LB1471</v>
      </c>
      <c r="C1644" t="s">
        <v>30433</v>
      </c>
      <c r="D1644" t="s">
        <v>27245</v>
      </c>
      <c r="E1644" t="str">
        <f t="shared" si="25"/>
        <v>001390</v>
      </c>
      <c r="F1644" t="s">
        <v>27246</v>
      </c>
      <c r="G1644" t="s">
        <v>27247</v>
      </c>
      <c r="H1644" t="s">
        <v>27248</v>
      </c>
      <c r="I1644" t="s">
        <v>30434</v>
      </c>
      <c r="J1644" t="s">
        <v>3297</v>
      </c>
      <c r="L1644" t="s">
        <v>27250</v>
      </c>
      <c r="M1644" t="s">
        <v>27251</v>
      </c>
      <c r="N1644" t="s">
        <v>27252</v>
      </c>
      <c r="Q1644" s="1">
        <v>44538</v>
      </c>
      <c r="R1644" t="s">
        <v>27253</v>
      </c>
      <c r="S1644" t="s">
        <v>27254</v>
      </c>
      <c r="T1644" t="s">
        <v>27255</v>
      </c>
    </row>
    <row r="1645" spans="1:20" x14ac:dyDescent="0.3">
      <c r="A1645" t="str">
        <f>"0611832060100"</f>
        <v>0611832060100</v>
      </c>
      <c r="B1645" t="str">
        <f>"LB1473"</f>
        <v>LB1473</v>
      </c>
      <c r="C1645" t="s">
        <v>30435</v>
      </c>
      <c r="D1645" t="s">
        <v>27245</v>
      </c>
      <c r="E1645" t="str">
        <f t="shared" si="25"/>
        <v>001390</v>
      </c>
      <c r="F1645" t="s">
        <v>27246</v>
      </c>
      <c r="G1645" t="s">
        <v>27247</v>
      </c>
      <c r="H1645" t="s">
        <v>27248</v>
      </c>
      <c r="I1645" t="s">
        <v>30436</v>
      </c>
      <c r="J1645" t="s">
        <v>3299</v>
      </c>
      <c r="L1645" t="s">
        <v>27250</v>
      </c>
      <c r="M1645" t="s">
        <v>27251</v>
      </c>
      <c r="N1645" t="s">
        <v>27252</v>
      </c>
      <c r="Q1645" s="1">
        <v>44538</v>
      </c>
      <c r="R1645" t="s">
        <v>27253</v>
      </c>
      <c r="S1645" t="s">
        <v>27254</v>
      </c>
      <c r="T1645" t="s">
        <v>27255</v>
      </c>
    </row>
    <row r="1646" spans="1:20" x14ac:dyDescent="0.3">
      <c r="A1646" t="str">
        <f>"0611832061100"</f>
        <v>0611832061100</v>
      </c>
      <c r="B1646" t="str">
        <f>"LB1451"</f>
        <v>LB1451</v>
      </c>
      <c r="C1646" t="s">
        <v>30437</v>
      </c>
      <c r="D1646" t="s">
        <v>27245</v>
      </c>
      <c r="E1646" t="str">
        <f t="shared" si="25"/>
        <v>001390</v>
      </c>
      <c r="F1646" t="s">
        <v>27246</v>
      </c>
      <c r="G1646" t="s">
        <v>27247</v>
      </c>
      <c r="H1646" t="s">
        <v>27248</v>
      </c>
      <c r="I1646" t="s">
        <v>30438</v>
      </c>
      <c r="J1646" t="s">
        <v>3301</v>
      </c>
      <c r="L1646" t="s">
        <v>27250</v>
      </c>
      <c r="M1646" t="s">
        <v>27251</v>
      </c>
      <c r="N1646" t="s">
        <v>27252</v>
      </c>
      <c r="O1646">
        <v>100</v>
      </c>
      <c r="Q1646" s="1">
        <v>44538</v>
      </c>
      <c r="R1646" t="s">
        <v>27253</v>
      </c>
      <c r="S1646" t="s">
        <v>27254</v>
      </c>
      <c r="T1646" t="s">
        <v>27255</v>
      </c>
    </row>
    <row r="1647" spans="1:20" x14ac:dyDescent="0.3">
      <c r="A1647" t="str">
        <f>"0611860709050"</f>
        <v>0611860709050</v>
      </c>
      <c r="B1647" t="str">
        <f>"CE1083"</f>
        <v>CE1083</v>
      </c>
      <c r="C1647" t="s">
        <v>30439</v>
      </c>
      <c r="D1647" t="s">
        <v>27923</v>
      </c>
      <c r="E1647" t="str">
        <f t="shared" si="25"/>
        <v>001390</v>
      </c>
      <c r="F1647" t="s">
        <v>27246</v>
      </c>
      <c r="G1647" t="s">
        <v>27247</v>
      </c>
      <c r="H1647" t="s">
        <v>27248</v>
      </c>
      <c r="I1647" t="s">
        <v>30440</v>
      </c>
      <c r="J1647" t="s">
        <v>3303</v>
      </c>
      <c r="L1647" t="s">
        <v>27250</v>
      </c>
      <c r="M1647" t="s">
        <v>27251</v>
      </c>
      <c r="N1647" t="s">
        <v>27252</v>
      </c>
      <c r="P1647" t="s">
        <v>27925</v>
      </c>
      <c r="Q1647" s="1">
        <v>44846</v>
      </c>
      <c r="R1647" t="s">
        <v>27253</v>
      </c>
      <c r="S1647" t="s">
        <v>27254</v>
      </c>
      <c r="T1647" t="s">
        <v>27265</v>
      </c>
    </row>
    <row r="1648" spans="1:20" x14ac:dyDescent="0.3">
      <c r="A1648" t="str">
        <f>"0611860710050"</f>
        <v>0611860710050</v>
      </c>
      <c r="B1648" t="str">
        <f>"CE1084"</f>
        <v>CE1084</v>
      </c>
      <c r="C1648" t="s">
        <v>30441</v>
      </c>
      <c r="D1648" t="s">
        <v>27923</v>
      </c>
      <c r="E1648" t="str">
        <f t="shared" si="25"/>
        <v>001390</v>
      </c>
      <c r="F1648" t="s">
        <v>27246</v>
      </c>
      <c r="G1648" t="s">
        <v>27247</v>
      </c>
      <c r="H1648" t="s">
        <v>27248</v>
      </c>
      <c r="I1648" t="s">
        <v>30442</v>
      </c>
      <c r="J1648" t="s">
        <v>3305</v>
      </c>
      <c r="L1648" t="s">
        <v>27250</v>
      </c>
      <c r="M1648" t="s">
        <v>27251</v>
      </c>
      <c r="N1648" t="s">
        <v>27252</v>
      </c>
      <c r="P1648" t="s">
        <v>27925</v>
      </c>
      <c r="Q1648" s="1">
        <v>44846</v>
      </c>
      <c r="R1648" t="s">
        <v>27253</v>
      </c>
      <c r="S1648" t="s">
        <v>27254</v>
      </c>
      <c r="T1648" t="s">
        <v>27265</v>
      </c>
    </row>
    <row r="1649" spans="1:20" x14ac:dyDescent="0.3">
      <c r="A1649" t="str">
        <f>"0611832063100"</f>
        <v>0611832063100</v>
      </c>
      <c r="B1649" t="str">
        <f>"LQ3795"</f>
        <v>LQ3795</v>
      </c>
      <c r="C1649" t="s">
        <v>30443</v>
      </c>
      <c r="D1649" t="s">
        <v>27245</v>
      </c>
      <c r="E1649" t="str">
        <f t="shared" si="25"/>
        <v>001390</v>
      </c>
      <c r="F1649" t="s">
        <v>27246</v>
      </c>
      <c r="G1649" t="s">
        <v>27247</v>
      </c>
      <c r="H1649" t="s">
        <v>27248</v>
      </c>
      <c r="I1649" t="s">
        <v>30444</v>
      </c>
      <c r="J1649" t="s">
        <v>3307</v>
      </c>
      <c r="L1649" t="s">
        <v>27250</v>
      </c>
      <c r="M1649" t="s">
        <v>27251</v>
      </c>
      <c r="N1649" t="s">
        <v>27252</v>
      </c>
      <c r="Q1649" s="1">
        <v>44538</v>
      </c>
      <c r="R1649" t="s">
        <v>27253</v>
      </c>
      <c r="S1649" t="s">
        <v>27254</v>
      </c>
      <c r="T1649" t="s">
        <v>27255</v>
      </c>
    </row>
    <row r="1650" spans="1:20" x14ac:dyDescent="0.3">
      <c r="A1650" t="str">
        <f>"0611832064100"</f>
        <v>0611832064100</v>
      </c>
      <c r="B1650" t="str">
        <f>"LQ6055"</f>
        <v>LQ6055</v>
      </c>
      <c r="C1650" t="s">
        <v>30445</v>
      </c>
      <c r="D1650" t="s">
        <v>27245</v>
      </c>
      <c r="E1650" t="str">
        <f t="shared" si="25"/>
        <v>001390</v>
      </c>
      <c r="F1650" t="s">
        <v>27246</v>
      </c>
      <c r="G1650" t="s">
        <v>27247</v>
      </c>
      <c r="H1650" t="s">
        <v>27248</v>
      </c>
      <c r="I1650" t="s">
        <v>30446</v>
      </c>
      <c r="J1650" t="s">
        <v>3309</v>
      </c>
      <c r="L1650" t="s">
        <v>27250</v>
      </c>
      <c r="M1650" t="s">
        <v>27251</v>
      </c>
      <c r="N1650" t="s">
        <v>27252</v>
      </c>
      <c r="Q1650" s="1">
        <v>44538</v>
      </c>
      <c r="R1650" t="s">
        <v>27253</v>
      </c>
      <c r="S1650" t="s">
        <v>27254</v>
      </c>
      <c r="T1650" t="s">
        <v>27255</v>
      </c>
    </row>
    <row r="1651" spans="1:20" x14ac:dyDescent="0.3">
      <c r="A1651" t="str">
        <f>"0611832065100"</f>
        <v>0611832065100</v>
      </c>
      <c r="B1651" t="str">
        <f>"LK6994"</f>
        <v>LK6994</v>
      </c>
      <c r="C1651" t="s">
        <v>30447</v>
      </c>
      <c r="D1651" t="s">
        <v>28138</v>
      </c>
      <c r="E1651" t="str">
        <f t="shared" si="25"/>
        <v>001390</v>
      </c>
      <c r="F1651" t="s">
        <v>27246</v>
      </c>
      <c r="G1651" t="s">
        <v>27247</v>
      </c>
      <c r="H1651" t="s">
        <v>27248</v>
      </c>
      <c r="I1651" t="s">
        <v>30448</v>
      </c>
      <c r="J1651" t="s">
        <v>3311</v>
      </c>
      <c r="L1651" t="s">
        <v>27250</v>
      </c>
      <c r="M1651" t="s">
        <v>27251</v>
      </c>
      <c r="N1651" t="s">
        <v>27252</v>
      </c>
      <c r="P1651" t="s">
        <v>27925</v>
      </c>
      <c r="Q1651" s="1">
        <v>44538</v>
      </c>
      <c r="R1651" t="s">
        <v>27253</v>
      </c>
      <c r="S1651" t="s">
        <v>27254</v>
      </c>
      <c r="T1651" t="s">
        <v>27255</v>
      </c>
    </row>
    <row r="1652" spans="1:20" x14ac:dyDescent="0.3">
      <c r="A1652" t="str">
        <f>"0611832066100"</f>
        <v>0611832066100</v>
      </c>
      <c r="B1652" t="str">
        <f>"LK6995"</f>
        <v>LK6995</v>
      </c>
      <c r="C1652" t="s">
        <v>30449</v>
      </c>
      <c r="D1652" t="s">
        <v>28138</v>
      </c>
      <c r="E1652" t="str">
        <f t="shared" si="25"/>
        <v>001390</v>
      </c>
      <c r="F1652" t="s">
        <v>27246</v>
      </c>
      <c r="G1652" t="s">
        <v>27247</v>
      </c>
      <c r="H1652" t="s">
        <v>27248</v>
      </c>
      <c r="I1652" t="s">
        <v>30450</v>
      </c>
      <c r="J1652" t="s">
        <v>3313</v>
      </c>
      <c r="L1652" t="s">
        <v>27250</v>
      </c>
      <c r="M1652" t="s">
        <v>27251</v>
      </c>
      <c r="N1652" t="s">
        <v>27252</v>
      </c>
      <c r="P1652" t="s">
        <v>27925</v>
      </c>
      <c r="Q1652" s="1">
        <v>44538</v>
      </c>
      <c r="R1652" t="s">
        <v>27253</v>
      </c>
      <c r="S1652" t="s">
        <v>27254</v>
      </c>
      <c r="T1652" t="s">
        <v>27255</v>
      </c>
    </row>
    <row r="1653" spans="1:20" x14ac:dyDescent="0.3">
      <c r="A1653" t="str">
        <f>"0611832067100"</f>
        <v>0611832067100</v>
      </c>
      <c r="B1653" t="str">
        <f>"LK6996"</f>
        <v>LK6996</v>
      </c>
      <c r="C1653" t="s">
        <v>30451</v>
      </c>
      <c r="D1653" t="s">
        <v>28138</v>
      </c>
      <c r="E1653" t="str">
        <f t="shared" si="25"/>
        <v>001390</v>
      </c>
      <c r="F1653" t="s">
        <v>27246</v>
      </c>
      <c r="G1653" t="s">
        <v>27247</v>
      </c>
      <c r="H1653" t="s">
        <v>27248</v>
      </c>
      <c r="I1653" t="s">
        <v>30452</v>
      </c>
      <c r="J1653" t="s">
        <v>3315</v>
      </c>
      <c r="L1653" t="s">
        <v>27250</v>
      </c>
      <c r="M1653" t="s">
        <v>27251</v>
      </c>
      <c r="N1653" t="s">
        <v>27252</v>
      </c>
      <c r="P1653" t="s">
        <v>27925</v>
      </c>
      <c r="Q1653" s="1">
        <v>44538</v>
      </c>
      <c r="R1653" t="s">
        <v>27253</v>
      </c>
      <c r="S1653" t="s">
        <v>27254</v>
      </c>
      <c r="T1653" t="s">
        <v>27255</v>
      </c>
    </row>
    <row r="1654" spans="1:20" x14ac:dyDescent="0.3">
      <c r="A1654" t="str">
        <f>"0611832069100"</f>
        <v>0611832069100</v>
      </c>
      <c r="B1654" t="str">
        <f>"LQ3447"</f>
        <v>LQ3447</v>
      </c>
      <c r="C1654" t="s">
        <v>30453</v>
      </c>
      <c r="D1654" t="s">
        <v>27245</v>
      </c>
      <c r="E1654" t="str">
        <f t="shared" si="25"/>
        <v>001390</v>
      </c>
      <c r="F1654" t="s">
        <v>27246</v>
      </c>
      <c r="G1654" t="s">
        <v>27247</v>
      </c>
      <c r="H1654" t="s">
        <v>27248</v>
      </c>
      <c r="I1654" t="s">
        <v>30454</v>
      </c>
      <c r="J1654" t="s">
        <v>3317</v>
      </c>
      <c r="L1654" t="s">
        <v>27250</v>
      </c>
      <c r="M1654" t="s">
        <v>27251</v>
      </c>
      <c r="N1654" t="s">
        <v>27252</v>
      </c>
      <c r="Q1654" s="1">
        <v>44538</v>
      </c>
      <c r="R1654" t="s">
        <v>27253</v>
      </c>
      <c r="S1654" t="s">
        <v>27254</v>
      </c>
      <c r="T1654" t="s">
        <v>27255</v>
      </c>
    </row>
    <row r="1655" spans="1:20" x14ac:dyDescent="0.3">
      <c r="A1655" t="str">
        <f>"0611860711050"</f>
        <v>0611860711050</v>
      </c>
      <c r="B1655" t="str">
        <f>"CR2055"</f>
        <v>CR2055</v>
      </c>
      <c r="C1655" t="s">
        <v>30455</v>
      </c>
      <c r="D1655" t="s">
        <v>27271</v>
      </c>
      <c r="E1655" t="str">
        <f t="shared" si="25"/>
        <v>001390</v>
      </c>
      <c r="F1655" t="s">
        <v>27246</v>
      </c>
      <c r="G1655" t="s">
        <v>27247</v>
      </c>
      <c r="H1655" t="s">
        <v>27248</v>
      </c>
      <c r="I1655" t="s">
        <v>30456</v>
      </c>
      <c r="J1655" t="s">
        <v>3319</v>
      </c>
      <c r="L1655" t="s">
        <v>27250</v>
      </c>
      <c r="M1655" t="s">
        <v>27251</v>
      </c>
      <c r="N1655" t="s">
        <v>27252</v>
      </c>
      <c r="P1655" t="s">
        <v>27341</v>
      </c>
      <c r="Q1655" s="1">
        <v>44846</v>
      </c>
      <c r="R1655" t="s">
        <v>27253</v>
      </c>
      <c r="S1655" t="s">
        <v>27254</v>
      </c>
      <c r="T1655" t="s">
        <v>27265</v>
      </c>
    </row>
    <row r="1656" spans="1:20" x14ac:dyDescent="0.3">
      <c r="A1656" t="str">
        <f>"0611860712050"</f>
        <v>0611860712050</v>
      </c>
      <c r="B1656" t="str">
        <f>"CR3989"</f>
        <v>CR3989</v>
      </c>
      <c r="C1656" t="s">
        <v>30457</v>
      </c>
      <c r="D1656" t="s">
        <v>27271</v>
      </c>
      <c r="E1656" t="str">
        <f t="shared" si="25"/>
        <v>001390</v>
      </c>
      <c r="F1656" t="s">
        <v>27246</v>
      </c>
      <c r="G1656" t="s">
        <v>27247</v>
      </c>
      <c r="H1656" t="s">
        <v>27248</v>
      </c>
      <c r="I1656" t="s">
        <v>30458</v>
      </c>
      <c r="J1656" t="s">
        <v>3321</v>
      </c>
      <c r="L1656" t="s">
        <v>27250</v>
      </c>
      <c r="M1656" t="s">
        <v>27251</v>
      </c>
      <c r="N1656" t="s">
        <v>27252</v>
      </c>
      <c r="P1656" t="s">
        <v>27341</v>
      </c>
      <c r="Q1656" s="1">
        <v>44846</v>
      </c>
      <c r="R1656" t="s">
        <v>27253</v>
      </c>
      <c r="S1656" t="s">
        <v>27254</v>
      </c>
      <c r="T1656" t="s">
        <v>27265</v>
      </c>
    </row>
    <row r="1657" spans="1:20" x14ac:dyDescent="0.3">
      <c r="A1657" t="str">
        <f>"0611860713050"</f>
        <v>0611860713050</v>
      </c>
      <c r="B1657" t="str">
        <f>"CR2056"</f>
        <v>CR2056</v>
      </c>
      <c r="C1657" t="s">
        <v>30459</v>
      </c>
      <c r="D1657" t="s">
        <v>27271</v>
      </c>
      <c r="E1657" t="str">
        <f t="shared" si="25"/>
        <v>001390</v>
      </c>
      <c r="F1657" t="s">
        <v>27246</v>
      </c>
      <c r="G1657" t="s">
        <v>27247</v>
      </c>
      <c r="H1657" t="s">
        <v>27248</v>
      </c>
      <c r="I1657" t="s">
        <v>30460</v>
      </c>
      <c r="J1657" t="s">
        <v>3323</v>
      </c>
      <c r="L1657" t="s">
        <v>27250</v>
      </c>
      <c r="M1657" t="s">
        <v>27251</v>
      </c>
      <c r="N1657" t="s">
        <v>27252</v>
      </c>
      <c r="P1657" t="s">
        <v>27341</v>
      </c>
      <c r="Q1657" s="1">
        <v>44846</v>
      </c>
      <c r="R1657" t="s">
        <v>27253</v>
      </c>
      <c r="S1657" t="s">
        <v>27254</v>
      </c>
      <c r="T1657" t="s">
        <v>27265</v>
      </c>
    </row>
    <row r="1658" spans="1:20" x14ac:dyDescent="0.3">
      <c r="A1658" t="str">
        <f>"0611860714050"</f>
        <v>0611860714050</v>
      </c>
      <c r="B1658" t="str">
        <f>"CR2057"</f>
        <v>CR2057</v>
      </c>
      <c r="C1658" t="s">
        <v>30461</v>
      </c>
      <c r="D1658" t="s">
        <v>27271</v>
      </c>
      <c r="E1658" t="str">
        <f t="shared" si="25"/>
        <v>001390</v>
      </c>
      <c r="F1658" t="s">
        <v>27246</v>
      </c>
      <c r="G1658" t="s">
        <v>27247</v>
      </c>
      <c r="H1658" t="s">
        <v>27248</v>
      </c>
      <c r="I1658" t="s">
        <v>30462</v>
      </c>
      <c r="J1658" t="s">
        <v>3325</v>
      </c>
      <c r="L1658" t="s">
        <v>27250</v>
      </c>
      <c r="M1658" t="s">
        <v>27251</v>
      </c>
      <c r="N1658" t="s">
        <v>27252</v>
      </c>
      <c r="P1658" t="s">
        <v>27341</v>
      </c>
      <c r="Q1658" s="1">
        <v>44846</v>
      </c>
      <c r="R1658" t="s">
        <v>27253</v>
      </c>
      <c r="S1658" t="s">
        <v>27254</v>
      </c>
      <c r="T1658" t="s">
        <v>27265</v>
      </c>
    </row>
    <row r="1659" spans="1:20" x14ac:dyDescent="0.3">
      <c r="A1659" t="str">
        <f>"0611860715050"</f>
        <v>0611860715050</v>
      </c>
      <c r="B1659" t="str">
        <f>"CR3990"</f>
        <v>CR3990</v>
      </c>
      <c r="C1659" t="s">
        <v>30463</v>
      </c>
      <c r="D1659" t="s">
        <v>27271</v>
      </c>
      <c r="E1659" t="str">
        <f t="shared" si="25"/>
        <v>001390</v>
      </c>
      <c r="F1659" t="s">
        <v>27246</v>
      </c>
      <c r="G1659" t="s">
        <v>27247</v>
      </c>
      <c r="H1659" t="s">
        <v>27248</v>
      </c>
      <c r="I1659" t="s">
        <v>30464</v>
      </c>
      <c r="J1659" t="s">
        <v>3327</v>
      </c>
      <c r="L1659" t="s">
        <v>27250</v>
      </c>
      <c r="M1659" t="s">
        <v>27251</v>
      </c>
      <c r="N1659" t="s">
        <v>27252</v>
      </c>
      <c r="P1659" t="s">
        <v>27341</v>
      </c>
      <c r="Q1659" s="1">
        <v>44846</v>
      </c>
      <c r="R1659" t="s">
        <v>27253</v>
      </c>
      <c r="S1659" t="s">
        <v>27254</v>
      </c>
      <c r="T1659" t="s">
        <v>27265</v>
      </c>
    </row>
    <row r="1660" spans="1:20" x14ac:dyDescent="0.3">
      <c r="A1660" t="str">
        <f>"0611860716050"</f>
        <v>0611860716050</v>
      </c>
      <c r="B1660" t="str">
        <f>"CR5132"</f>
        <v>CR5132</v>
      </c>
      <c r="C1660" t="s">
        <v>30465</v>
      </c>
      <c r="D1660" t="s">
        <v>27271</v>
      </c>
      <c r="E1660" t="str">
        <f t="shared" si="25"/>
        <v>001390</v>
      </c>
      <c r="F1660" t="s">
        <v>27246</v>
      </c>
      <c r="G1660" t="s">
        <v>27247</v>
      </c>
      <c r="H1660" t="s">
        <v>27248</v>
      </c>
      <c r="I1660" t="s">
        <v>30466</v>
      </c>
      <c r="J1660" t="s">
        <v>3329</v>
      </c>
      <c r="L1660" t="s">
        <v>27250</v>
      </c>
      <c r="M1660" t="s">
        <v>27251</v>
      </c>
      <c r="N1660" t="s">
        <v>27252</v>
      </c>
      <c r="P1660" t="s">
        <v>27341</v>
      </c>
      <c r="Q1660" s="1">
        <v>44846</v>
      </c>
      <c r="R1660" t="s">
        <v>27253</v>
      </c>
      <c r="S1660" t="s">
        <v>27254</v>
      </c>
      <c r="T1660" t="s">
        <v>27265</v>
      </c>
    </row>
    <row r="1661" spans="1:20" x14ac:dyDescent="0.3">
      <c r="A1661" t="str">
        <f>"0611860717050"</f>
        <v>0611860717050</v>
      </c>
      <c r="B1661" t="str">
        <f>"CR5134"</f>
        <v>CR5134</v>
      </c>
      <c r="C1661" t="s">
        <v>30467</v>
      </c>
      <c r="D1661" t="s">
        <v>27271</v>
      </c>
      <c r="E1661" t="str">
        <f t="shared" si="25"/>
        <v>001390</v>
      </c>
      <c r="F1661" t="s">
        <v>27246</v>
      </c>
      <c r="G1661" t="s">
        <v>27247</v>
      </c>
      <c r="H1661" t="s">
        <v>27248</v>
      </c>
      <c r="I1661" t="s">
        <v>30468</v>
      </c>
      <c r="J1661" t="s">
        <v>3331</v>
      </c>
      <c r="L1661" t="s">
        <v>27250</v>
      </c>
      <c r="M1661" t="s">
        <v>27251</v>
      </c>
      <c r="N1661" t="s">
        <v>27252</v>
      </c>
      <c r="P1661" t="s">
        <v>27341</v>
      </c>
      <c r="Q1661" s="1">
        <v>44846</v>
      </c>
      <c r="R1661" t="s">
        <v>27253</v>
      </c>
      <c r="S1661" t="s">
        <v>27254</v>
      </c>
      <c r="T1661" t="s">
        <v>27265</v>
      </c>
    </row>
    <row r="1662" spans="1:20" x14ac:dyDescent="0.3">
      <c r="A1662" t="str">
        <f>"0611860718050"</f>
        <v>0611860718050</v>
      </c>
      <c r="B1662" t="str">
        <f>"CR5135"</f>
        <v>CR5135</v>
      </c>
      <c r="C1662" t="s">
        <v>30469</v>
      </c>
      <c r="D1662" t="s">
        <v>27271</v>
      </c>
      <c r="E1662" t="str">
        <f t="shared" si="25"/>
        <v>001390</v>
      </c>
      <c r="F1662" t="s">
        <v>27246</v>
      </c>
      <c r="G1662" t="s">
        <v>27247</v>
      </c>
      <c r="H1662" t="s">
        <v>27248</v>
      </c>
      <c r="I1662" t="s">
        <v>30470</v>
      </c>
      <c r="J1662" t="s">
        <v>3333</v>
      </c>
      <c r="L1662" t="s">
        <v>27250</v>
      </c>
      <c r="M1662" t="s">
        <v>27251</v>
      </c>
      <c r="N1662" t="s">
        <v>27252</v>
      </c>
      <c r="P1662" t="s">
        <v>27341</v>
      </c>
      <c r="Q1662" s="1">
        <v>44846</v>
      </c>
      <c r="R1662" t="s">
        <v>27253</v>
      </c>
      <c r="S1662" t="s">
        <v>27254</v>
      </c>
      <c r="T1662" t="s">
        <v>27265</v>
      </c>
    </row>
    <row r="1663" spans="1:20" x14ac:dyDescent="0.3">
      <c r="A1663" t="str">
        <f>"0611860719050"</f>
        <v>0611860719050</v>
      </c>
      <c r="B1663" t="str">
        <f>"CR5136"</f>
        <v>CR5136</v>
      </c>
      <c r="C1663" t="s">
        <v>30471</v>
      </c>
      <c r="D1663" t="s">
        <v>27271</v>
      </c>
      <c r="E1663" t="str">
        <f t="shared" si="25"/>
        <v>001390</v>
      </c>
      <c r="F1663" t="s">
        <v>27246</v>
      </c>
      <c r="G1663" t="s">
        <v>27247</v>
      </c>
      <c r="H1663" t="s">
        <v>27248</v>
      </c>
      <c r="I1663" t="s">
        <v>30472</v>
      </c>
      <c r="J1663" t="s">
        <v>3335</v>
      </c>
      <c r="L1663" t="s">
        <v>27250</v>
      </c>
      <c r="M1663" t="s">
        <v>27251</v>
      </c>
      <c r="N1663" t="s">
        <v>27252</v>
      </c>
      <c r="P1663" t="s">
        <v>27341</v>
      </c>
      <c r="Q1663" s="1">
        <v>44846</v>
      </c>
      <c r="R1663" t="s">
        <v>27253</v>
      </c>
      <c r="S1663" t="s">
        <v>27254</v>
      </c>
      <c r="T1663" t="s">
        <v>27265</v>
      </c>
    </row>
    <row r="1664" spans="1:20" x14ac:dyDescent="0.3">
      <c r="A1664" t="str">
        <f>"0611860720050"</f>
        <v>0611860720050</v>
      </c>
      <c r="B1664" t="str">
        <f>"CR5137"</f>
        <v>CR5137</v>
      </c>
      <c r="C1664" t="s">
        <v>30473</v>
      </c>
      <c r="D1664" t="s">
        <v>27271</v>
      </c>
      <c r="E1664" t="str">
        <f t="shared" si="25"/>
        <v>001390</v>
      </c>
      <c r="F1664" t="s">
        <v>27246</v>
      </c>
      <c r="G1664" t="s">
        <v>27247</v>
      </c>
      <c r="H1664" t="s">
        <v>27248</v>
      </c>
      <c r="I1664" t="s">
        <v>30474</v>
      </c>
      <c r="J1664" t="s">
        <v>3337</v>
      </c>
      <c r="L1664" t="s">
        <v>27250</v>
      </c>
      <c r="M1664" t="s">
        <v>27251</v>
      </c>
      <c r="N1664" t="s">
        <v>27252</v>
      </c>
      <c r="P1664" t="s">
        <v>27341</v>
      </c>
      <c r="Q1664" s="1">
        <v>44846</v>
      </c>
      <c r="R1664" t="s">
        <v>27253</v>
      </c>
      <c r="S1664" t="s">
        <v>27254</v>
      </c>
      <c r="T1664" t="s">
        <v>27265</v>
      </c>
    </row>
    <row r="1665" spans="1:20" x14ac:dyDescent="0.3">
      <c r="A1665" t="str">
        <f>"0611884060050"</f>
        <v>0611884060050</v>
      </c>
      <c r="B1665" t="str">
        <f>"CR5417"</f>
        <v>CR5417</v>
      </c>
      <c r="C1665" t="s">
        <v>30475</v>
      </c>
      <c r="D1665" t="s">
        <v>27271</v>
      </c>
      <c r="E1665" t="str">
        <f t="shared" si="25"/>
        <v>001390</v>
      </c>
      <c r="F1665" t="s">
        <v>27246</v>
      </c>
      <c r="G1665" t="s">
        <v>27247</v>
      </c>
      <c r="H1665" t="s">
        <v>27248</v>
      </c>
      <c r="I1665" t="s">
        <v>30476</v>
      </c>
      <c r="J1665" t="s">
        <v>3339</v>
      </c>
      <c r="L1665" t="s">
        <v>27430</v>
      </c>
      <c r="M1665" t="s">
        <v>27251</v>
      </c>
      <c r="N1665" t="s">
        <v>27252</v>
      </c>
      <c r="P1665" t="s">
        <v>27341</v>
      </c>
      <c r="Q1665" s="1">
        <v>45250</v>
      </c>
      <c r="R1665" t="s">
        <v>27253</v>
      </c>
      <c r="S1665" t="s">
        <v>27254</v>
      </c>
      <c r="T1665" t="s">
        <v>27265</v>
      </c>
    </row>
    <row r="1666" spans="1:20" x14ac:dyDescent="0.3">
      <c r="A1666" t="str">
        <f>"0611860721050"</f>
        <v>0611860721050</v>
      </c>
      <c r="B1666" t="str">
        <f>"CR5138"</f>
        <v>CR5138</v>
      </c>
      <c r="C1666" t="s">
        <v>30477</v>
      </c>
      <c r="D1666" t="s">
        <v>27271</v>
      </c>
      <c r="E1666" t="str">
        <f t="shared" ref="E1666:E1729" si="26">"001390"</f>
        <v>001390</v>
      </c>
      <c r="F1666" t="s">
        <v>27246</v>
      </c>
      <c r="G1666" t="s">
        <v>27247</v>
      </c>
      <c r="H1666" t="s">
        <v>27248</v>
      </c>
      <c r="I1666" t="s">
        <v>30478</v>
      </c>
      <c r="J1666" t="s">
        <v>3341</v>
      </c>
      <c r="L1666" t="s">
        <v>27250</v>
      </c>
      <c r="M1666" t="s">
        <v>27251</v>
      </c>
      <c r="N1666" t="s">
        <v>27252</v>
      </c>
      <c r="P1666" t="s">
        <v>27341</v>
      </c>
      <c r="Q1666" s="1">
        <v>44846</v>
      </c>
      <c r="R1666" t="s">
        <v>27253</v>
      </c>
      <c r="S1666" t="s">
        <v>27254</v>
      </c>
      <c r="T1666" t="s">
        <v>27265</v>
      </c>
    </row>
    <row r="1667" spans="1:20" x14ac:dyDescent="0.3">
      <c r="A1667" t="str">
        <f>"0611860722050"</f>
        <v>0611860722050</v>
      </c>
      <c r="B1667" t="str">
        <f>"CR5139"</f>
        <v>CR5139</v>
      </c>
      <c r="C1667" t="s">
        <v>30479</v>
      </c>
      <c r="D1667" t="s">
        <v>27271</v>
      </c>
      <c r="E1667" t="str">
        <f t="shared" si="26"/>
        <v>001390</v>
      </c>
      <c r="F1667" t="s">
        <v>27246</v>
      </c>
      <c r="G1667" t="s">
        <v>27247</v>
      </c>
      <c r="H1667" t="s">
        <v>27248</v>
      </c>
      <c r="I1667" t="s">
        <v>30480</v>
      </c>
      <c r="J1667" t="s">
        <v>3343</v>
      </c>
      <c r="L1667" t="s">
        <v>27250</v>
      </c>
      <c r="M1667" t="s">
        <v>27251</v>
      </c>
      <c r="N1667" t="s">
        <v>27252</v>
      </c>
      <c r="P1667" t="s">
        <v>27341</v>
      </c>
      <c r="Q1667" s="1">
        <v>44846</v>
      </c>
      <c r="R1667" t="s">
        <v>27253</v>
      </c>
      <c r="S1667" t="s">
        <v>27254</v>
      </c>
      <c r="T1667" t="s">
        <v>27265</v>
      </c>
    </row>
    <row r="1668" spans="1:20" x14ac:dyDescent="0.3">
      <c r="A1668" t="str">
        <f>"0611860723050"</f>
        <v>0611860723050</v>
      </c>
      <c r="B1668" t="str">
        <f>"CR5140"</f>
        <v>CR5140</v>
      </c>
      <c r="C1668" t="s">
        <v>30481</v>
      </c>
      <c r="D1668" t="s">
        <v>27271</v>
      </c>
      <c r="E1668" t="str">
        <f t="shared" si="26"/>
        <v>001390</v>
      </c>
      <c r="F1668" t="s">
        <v>27246</v>
      </c>
      <c r="G1668" t="s">
        <v>27247</v>
      </c>
      <c r="H1668" t="s">
        <v>27248</v>
      </c>
      <c r="I1668" t="s">
        <v>30482</v>
      </c>
      <c r="J1668" t="s">
        <v>3345</v>
      </c>
      <c r="L1668" t="s">
        <v>27250</v>
      </c>
      <c r="M1668" t="s">
        <v>27251</v>
      </c>
      <c r="N1668" t="s">
        <v>27252</v>
      </c>
      <c r="P1668" t="s">
        <v>27341</v>
      </c>
      <c r="Q1668" s="1">
        <v>44846</v>
      </c>
      <c r="R1668" t="s">
        <v>27253</v>
      </c>
      <c r="S1668" t="s">
        <v>27254</v>
      </c>
      <c r="T1668" t="s">
        <v>27265</v>
      </c>
    </row>
    <row r="1669" spans="1:20" x14ac:dyDescent="0.3">
      <c r="A1669" t="str">
        <f>"0611860724050"</f>
        <v>0611860724050</v>
      </c>
      <c r="B1669" t="str">
        <f>"CR5141"</f>
        <v>CR5141</v>
      </c>
      <c r="C1669" t="s">
        <v>30483</v>
      </c>
      <c r="D1669" t="s">
        <v>27271</v>
      </c>
      <c r="E1669" t="str">
        <f t="shared" si="26"/>
        <v>001390</v>
      </c>
      <c r="F1669" t="s">
        <v>27246</v>
      </c>
      <c r="G1669" t="s">
        <v>27247</v>
      </c>
      <c r="H1669" t="s">
        <v>27248</v>
      </c>
      <c r="I1669" t="s">
        <v>30484</v>
      </c>
      <c r="J1669" t="s">
        <v>3347</v>
      </c>
      <c r="L1669" t="s">
        <v>27250</v>
      </c>
      <c r="M1669" t="s">
        <v>27251</v>
      </c>
      <c r="N1669" t="s">
        <v>27252</v>
      </c>
      <c r="P1669" t="s">
        <v>27341</v>
      </c>
      <c r="Q1669" s="1">
        <v>44846</v>
      </c>
      <c r="R1669" t="s">
        <v>27253</v>
      </c>
      <c r="S1669" t="s">
        <v>27254</v>
      </c>
      <c r="T1669" t="s">
        <v>27265</v>
      </c>
    </row>
    <row r="1670" spans="1:20" x14ac:dyDescent="0.3">
      <c r="A1670" t="str">
        <f>"0611884061050"</f>
        <v>0611884061050</v>
      </c>
      <c r="B1670" t="str">
        <f>"CR5410"</f>
        <v>CR5410</v>
      </c>
      <c r="C1670" t="s">
        <v>30485</v>
      </c>
      <c r="D1670" t="s">
        <v>27271</v>
      </c>
      <c r="E1670" t="str">
        <f t="shared" si="26"/>
        <v>001390</v>
      </c>
      <c r="F1670" t="s">
        <v>27246</v>
      </c>
      <c r="G1670" t="s">
        <v>27247</v>
      </c>
      <c r="H1670" t="s">
        <v>27248</v>
      </c>
      <c r="I1670" t="s">
        <v>30486</v>
      </c>
      <c r="J1670" t="s">
        <v>3349</v>
      </c>
      <c r="L1670" t="s">
        <v>27430</v>
      </c>
      <c r="M1670" t="s">
        <v>27251</v>
      </c>
      <c r="N1670" t="s">
        <v>27252</v>
      </c>
      <c r="P1670" t="s">
        <v>27341</v>
      </c>
      <c r="Q1670" s="1">
        <v>45250</v>
      </c>
      <c r="R1670" t="s">
        <v>27253</v>
      </c>
      <c r="S1670" t="s">
        <v>27254</v>
      </c>
      <c r="T1670" t="s">
        <v>27265</v>
      </c>
    </row>
    <row r="1671" spans="1:20" x14ac:dyDescent="0.3">
      <c r="A1671" t="str">
        <f>"0611860726050"</f>
        <v>0611860726050</v>
      </c>
      <c r="B1671" t="str">
        <f>"CR4904"</f>
        <v>CR4904</v>
      </c>
      <c r="C1671" t="s">
        <v>30487</v>
      </c>
      <c r="D1671" t="s">
        <v>27271</v>
      </c>
      <c r="E1671" t="str">
        <f t="shared" si="26"/>
        <v>001390</v>
      </c>
      <c r="F1671" t="s">
        <v>27246</v>
      </c>
      <c r="G1671" t="s">
        <v>27247</v>
      </c>
      <c r="H1671" t="s">
        <v>27248</v>
      </c>
      <c r="I1671" t="s">
        <v>30488</v>
      </c>
      <c r="J1671" t="s">
        <v>3351</v>
      </c>
      <c r="L1671" t="s">
        <v>27250</v>
      </c>
      <c r="M1671" t="s">
        <v>27251</v>
      </c>
      <c r="N1671" t="s">
        <v>27252</v>
      </c>
      <c r="P1671" t="s">
        <v>27341</v>
      </c>
      <c r="Q1671" s="1">
        <v>44846</v>
      </c>
      <c r="R1671" t="s">
        <v>27253</v>
      </c>
      <c r="S1671" t="s">
        <v>27254</v>
      </c>
      <c r="T1671" t="s">
        <v>27265</v>
      </c>
    </row>
    <row r="1672" spans="1:20" x14ac:dyDescent="0.3">
      <c r="A1672" t="str">
        <f>"0611860727050"</f>
        <v>0611860727050</v>
      </c>
      <c r="B1672" t="str">
        <f>"CR3587"</f>
        <v>CR3587</v>
      </c>
      <c r="C1672" t="s">
        <v>30489</v>
      </c>
      <c r="D1672" t="s">
        <v>27271</v>
      </c>
      <c r="E1672" t="str">
        <f t="shared" si="26"/>
        <v>001390</v>
      </c>
      <c r="F1672" t="s">
        <v>27246</v>
      </c>
      <c r="G1672" t="s">
        <v>27247</v>
      </c>
      <c r="H1672" t="s">
        <v>27248</v>
      </c>
      <c r="I1672" t="s">
        <v>30490</v>
      </c>
      <c r="J1672" t="s">
        <v>3353</v>
      </c>
      <c r="L1672" t="s">
        <v>27250</v>
      </c>
      <c r="M1672" t="s">
        <v>27251</v>
      </c>
      <c r="N1672" t="s">
        <v>27252</v>
      </c>
      <c r="P1672" t="s">
        <v>27341</v>
      </c>
      <c r="Q1672" s="1">
        <v>44846</v>
      </c>
      <c r="R1672" t="s">
        <v>27253</v>
      </c>
      <c r="S1672" t="s">
        <v>27254</v>
      </c>
      <c r="T1672" t="s">
        <v>27265</v>
      </c>
    </row>
    <row r="1673" spans="1:20" x14ac:dyDescent="0.3">
      <c r="A1673" t="str">
        <f>"0611860728050"</f>
        <v>0611860728050</v>
      </c>
      <c r="B1673" t="str">
        <f>"CR3177"</f>
        <v>CR3177</v>
      </c>
      <c r="C1673" t="s">
        <v>30491</v>
      </c>
      <c r="D1673" t="s">
        <v>27271</v>
      </c>
      <c r="E1673" t="str">
        <f t="shared" si="26"/>
        <v>001390</v>
      </c>
      <c r="F1673" t="s">
        <v>27246</v>
      </c>
      <c r="G1673" t="s">
        <v>27247</v>
      </c>
      <c r="H1673" t="s">
        <v>27248</v>
      </c>
      <c r="I1673" t="s">
        <v>30492</v>
      </c>
      <c r="J1673" t="s">
        <v>3355</v>
      </c>
      <c r="L1673" t="s">
        <v>27250</v>
      </c>
      <c r="M1673" t="s">
        <v>27251</v>
      </c>
      <c r="N1673" t="s">
        <v>27252</v>
      </c>
      <c r="P1673" t="s">
        <v>27341</v>
      </c>
      <c r="Q1673" s="1">
        <v>44846</v>
      </c>
      <c r="R1673" t="s">
        <v>27253</v>
      </c>
      <c r="S1673" t="s">
        <v>27254</v>
      </c>
      <c r="T1673" t="s">
        <v>27265</v>
      </c>
    </row>
    <row r="1674" spans="1:20" x14ac:dyDescent="0.3">
      <c r="A1674" t="str">
        <f>"0611860729050"</f>
        <v>0611860729050</v>
      </c>
      <c r="B1674" t="str">
        <f>"CR3588"</f>
        <v>CR3588</v>
      </c>
      <c r="C1674" t="s">
        <v>30493</v>
      </c>
      <c r="D1674" t="s">
        <v>27271</v>
      </c>
      <c r="E1674" t="str">
        <f t="shared" si="26"/>
        <v>001390</v>
      </c>
      <c r="F1674" t="s">
        <v>27246</v>
      </c>
      <c r="G1674" t="s">
        <v>27247</v>
      </c>
      <c r="H1674" t="s">
        <v>27248</v>
      </c>
      <c r="I1674" t="s">
        <v>30494</v>
      </c>
      <c r="J1674" t="s">
        <v>3359</v>
      </c>
      <c r="L1674" t="s">
        <v>27250</v>
      </c>
      <c r="M1674" t="s">
        <v>27251</v>
      </c>
      <c r="N1674" t="s">
        <v>27252</v>
      </c>
      <c r="P1674" t="s">
        <v>27341</v>
      </c>
      <c r="Q1674" s="1">
        <v>44846</v>
      </c>
      <c r="R1674" t="s">
        <v>27253</v>
      </c>
      <c r="S1674" t="s">
        <v>27254</v>
      </c>
      <c r="T1674" t="s">
        <v>27265</v>
      </c>
    </row>
    <row r="1675" spans="1:20" x14ac:dyDescent="0.3">
      <c r="A1675" t="str">
        <f>"0611860731050"</f>
        <v>0611860731050</v>
      </c>
      <c r="B1675" t="str">
        <f>"CR2058"</f>
        <v>CR2058</v>
      </c>
      <c r="C1675" t="s">
        <v>30495</v>
      </c>
      <c r="D1675" t="s">
        <v>27271</v>
      </c>
      <c r="E1675" t="str">
        <f t="shared" si="26"/>
        <v>001390</v>
      </c>
      <c r="F1675" t="s">
        <v>27246</v>
      </c>
      <c r="G1675" t="s">
        <v>27247</v>
      </c>
      <c r="H1675" t="s">
        <v>27248</v>
      </c>
      <c r="I1675" t="s">
        <v>30496</v>
      </c>
      <c r="J1675" t="s">
        <v>3357</v>
      </c>
      <c r="L1675" t="s">
        <v>27250</v>
      </c>
      <c r="M1675" t="s">
        <v>27251</v>
      </c>
      <c r="N1675" t="s">
        <v>27252</v>
      </c>
      <c r="P1675" t="s">
        <v>27341</v>
      </c>
      <c r="Q1675" s="1">
        <v>44846</v>
      </c>
      <c r="R1675" t="s">
        <v>27253</v>
      </c>
      <c r="S1675" t="s">
        <v>27254</v>
      </c>
      <c r="T1675" t="s">
        <v>27265</v>
      </c>
    </row>
    <row r="1676" spans="1:20" x14ac:dyDescent="0.3">
      <c r="A1676" t="str">
        <f>"0611860730050"</f>
        <v>0611860730050</v>
      </c>
      <c r="B1676" t="str">
        <f>"CR2059"</f>
        <v>CR2059</v>
      </c>
      <c r="C1676" t="s">
        <v>30497</v>
      </c>
      <c r="D1676" t="s">
        <v>27271</v>
      </c>
      <c r="E1676" t="str">
        <f t="shared" si="26"/>
        <v>001390</v>
      </c>
      <c r="F1676" t="s">
        <v>27246</v>
      </c>
      <c r="G1676" t="s">
        <v>27247</v>
      </c>
      <c r="H1676" t="s">
        <v>27248</v>
      </c>
      <c r="I1676" t="s">
        <v>30498</v>
      </c>
      <c r="J1676" t="s">
        <v>3361</v>
      </c>
      <c r="L1676" t="s">
        <v>27250</v>
      </c>
      <c r="M1676" t="s">
        <v>27251</v>
      </c>
      <c r="N1676" t="s">
        <v>27252</v>
      </c>
      <c r="P1676" t="s">
        <v>27341</v>
      </c>
      <c r="Q1676" s="1">
        <v>44846</v>
      </c>
      <c r="R1676" t="s">
        <v>27253</v>
      </c>
      <c r="S1676" t="s">
        <v>27254</v>
      </c>
      <c r="T1676" t="s">
        <v>27265</v>
      </c>
    </row>
    <row r="1677" spans="1:20" x14ac:dyDescent="0.3">
      <c r="A1677" t="str">
        <f>"0611860732050"</f>
        <v>0611860732050</v>
      </c>
      <c r="B1677" t="str">
        <f>"CR3696"</f>
        <v>CR3696</v>
      </c>
      <c r="C1677" t="s">
        <v>30499</v>
      </c>
      <c r="D1677" t="s">
        <v>27271</v>
      </c>
      <c r="E1677" t="str">
        <f t="shared" si="26"/>
        <v>001390</v>
      </c>
      <c r="F1677" t="s">
        <v>27246</v>
      </c>
      <c r="G1677" t="s">
        <v>27247</v>
      </c>
      <c r="H1677" t="s">
        <v>27248</v>
      </c>
      <c r="I1677" t="s">
        <v>30500</v>
      </c>
      <c r="J1677" t="s">
        <v>3363</v>
      </c>
      <c r="L1677" t="s">
        <v>27250</v>
      </c>
      <c r="M1677" t="s">
        <v>27251</v>
      </c>
      <c r="N1677" t="s">
        <v>27252</v>
      </c>
      <c r="P1677" t="s">
        <v>27341</v>
      </c>
      <c r="Q1677" s="1">
        <v>44846</v>
      </c>
      <c r="R1677" t="s">
        <v>27253</v>
      </c>
      <c r="S1677" t="s">
        <v>27254</v>
      </c>
      <c r="T1677" t="s">
        <v>27265</v>
      </c>
    </row>
    <row r="1678" spans="1:20" x14ac:dyDescent="0.3">
      <c r="A1678" t="str">
        <f>"0611860733050"</f>
        <v>0611860733050</v>
      </c>
      <c r="B1678" t="str">
        <f>"CR3862"</f>
        <v>CR3862</v>
      </c>
      <c r="C1678" t="s">
        <v>30501</v>
      </c>
      <c r="D1678" t="s">
        <v>27271</v>
      </c>
      <c r="E1678" t="str">
        <f t="shared" si="26"/>
        <v>001390</v>
      </c>
      <c r="F1678" t="s">
        <v>27246</v>
      </c>
      <c r="G1678" t="s">
        <v>27247</v>
      </c>
      <c r="H1678" t="s">
        <v>27248</v>
      </c>
      <c r="I1678" t="s">
        <v>30502</v>
      </c>
      <c r="J1678" t="s">
        <v>3365</v>
      </c>
      <c r="L1678" t="s">
        <v>27250</v>
      </c>
      <c r="M1678" t="s">
        <v>27251</v>
      </c>
      <c r="N1678" t="s">
        <v>27252</v>
      </c>
      <c r="P1678" t="s">
        <v>27341</v>
      </c>
      <c r="Q1678" s="1">
        <v>44846</v>
      </c>
      <c r="R1678" t="s">
        <v>27253</v>
      </c>
      <c r="S1678" t="s">
        <v>27254</v>
      </c>
      <c r="T1678" t="s">
        <v>27265</v>
      </c>
    </row>
    <row r="1679" spans="1:20" x14ac:dyDescent="0.3">
      <c r="A1679" t="str">
        <f>"0611860734050"</f>
        <v>0611860734050</v>
      </c>
      <c r="B1679" t="str">
        <f>"CR3591"</f>
        <v>CR3591</v>
      </c>
      <c r="C1679" t="s">
        <v>30503</v>
      </c>
      <c r="D1679" t="s">
        <v>27271</v>
      </c>
      <c r="E1679" t="str">
        <f t="shared" si="26"/>
        <v>001390</v>
      </c>
      <c r="F1679" t="s">
        <v>27246</v>
      </c>
      <c r="G1679" t="s">
        <v>27247</v>
      </c>
      <c r="H1679" t="s">
        <v>27248</v>
      </c>
      <c r="I1679" t="s">
        <v>30504</v>
      </c>
      <c r="J1679" t="s">
        <v>3367</v>
      </c>
      <c r="L1679" t="s">
        <v>27250</v>
      </c>
      <c r="M1679" t="s">
        <v>27251</v>
      </c>
      <c r="N1679" t="s">
        <v>27252</v>
      </c>
      <c r="P1679" t="s">
        <v>27341</v>
      </c>
      <c r="Q1679" s="1">
        <v>44846</v>
      </c>
      <c r="R1679" t="s">
        <v>27253</v>
      </c>
      <c r="S1679" t="s">
        <v>27254</v>
      </c>
      <c r="T1679" t="s">
        <v>27265</v>
      </c>
    </row>
    <row r="1680" spans="1:20" x14ac:dyDescent="0.3">
      <c r="A1680" t="str">
        <f>"0611860735050"</f>
        <v>0611860735050</v>
      </c>
      <c r="B1680" t="str">
        <f>"CR3717"</f>
        <v>CR3717</v>
      </c>
      <c r="C1680" t="s">
        <v>30505</v>
      </c>
      <c r="D1680" t="s">
        <v>27271</v>
      </c>
      <c r="E1680" t="str">
        <f t="shared" si="26"/>
        <v>001390</v>
      </c>
      <c r="F1680" t="s">
        <v>27246</v>
      </c>
      <c r="G1680" t="s">
        <v>27247</v>
      </c>
      <c r="H1680" t="s">
        <v>27248</v>
      </c>
      <c r="I1680" t="s">
        <v>30506</v>
      </c>
      <c r="J1680" t="s">
        <v>3369</v>
      </c>
      <c r="L1680" t="s">
        <v>27250</v>
      </c>
      <c r="M1680" t="s">
        <v>27251</v>
      </c>
      <c r="N1680" t="s">
        <v>27252</v>
      </c>
      <c r="P1680" t="s">
        <v>27341</v>
      </c>
      <c r="Q1680" s="1">
        <v>44846</v>
      </c>
      <c r="R1680" t="s">
        <v>27253</v>
      </c>
      <c r="S1680" t="s">
        <v>27254</v>
      </c>
      <c r="T1680" t="s">
        <v>27265</v>
      </c>
    </row>
    <row r="1681" spans="1:20" x14ac:dyDescent="0.3">
      <c r="A1681" t="str">
        <f>"0611860736050"</f>
        <v>0611860736050</v>
      </c>
      <c r="B1681" t="str">
        <f>"CR2064"</f>
        <v>CR2064</v>
      </c>
      <c r="C1681" t="s">
        <v>30507</v>
      </c>
      <c r="D1681" t="s">
        <v>27271</v>
      </c>
      <c r="E1681" t="str">
        <f t="shared" si="26"/>
        <v>001390</v>
      </c>
      <c r="F1681" t="s">
        <v>27246</v>
      </c>
      <c r="G1681" t="s">
        <v>27247</v>
      </c>
      <c r="H1681" t="s">
        <v>27248</v>
      </c>
      <c r="I1681" t="s">
        <v>30508</v>
      </c>
      <c r="J1681" t="s">
        <v>3371</v>
      </c>
      <c r="L1681" t="s">
        <v>27250</v>
      </c>
      <c r="M1681" t="s">
        <v>27251</v>
      </c>
      <c r="N1681" t="s">
        <v>27252</v>
      </c>
      <c r="P1681" t="s">
        <v>27341</v>
      </c>
      <c r="Q1681" s="1">
        <v>44846</v>
      </c>
      <c r="R1681" t="s">
        <v>27253</v>
      </c>
      <c r="S1681" t="s">
        <v>27254</v>
      </c>
      <c r="T1681" t="s">
        <v>27265</v>
      </c>
    </row>
    <row r="1682" spans="1:20" x14ac:dyDescent="0.3">
      <c r="A1682" t="str">
        <f>"0611860737050"</f>
        <v>0611860737050</v>
      </c>
      <c r="B1682" t="str">
        <f>"CR2063"</f>
        <v>CR2063</v>
      </c>
      <c r="C1682" t="s">
        <v>30509</v>
      </c>
      <c r="D1682" t="s">
        <v>27271</v>
      </c>
      <c r="E1682" t="str">
        <f t="shared" si="26"/>
        <v>001390</v>
      </c>
      <c r="F1682" t="s">
        <v>27246</v>
      </c>
      <c r="G1682" t="s">
        <v>27247</v>
      </c>
      <c r="H1682" t="s">
        <v>27248</v>
      </c>
      <c r="I1682" t="s">
        <v>30510</v>
      </c>
      <c r="J1682" t="s">
        <v>3373</v>
      </c>
      <c r="L1682" t="s">
        <v>27250</v>
      </c>
      <c r="M1682" t="s">
        <v>27251</v>
      </c>
      <c r="N1682" t="s">
        <v>27252</v>
      </c>
      <c r="P1682" t="s">
        <v>27341</v>
      </c>
      <c r="Q1682" s="1">
        <v>44846</v>
      </c>
      <c r="R1682" t="s">
        <v>27253</v>
      </c>
      <c r="S1682" t="s">
        <v>27254</v>
      </c>
      <c r="T1682" t="s">
        <v>27265</v>
      </c>
    </row>
    <row r="1683" spans="1:20" x14ac:dyDescent="0.3">
      <c r="A1683" t="str">
        <f>"0611860738050"</f>
        <v>0611860738050</v>
      </c>
      <c r="B1683" t="str">
        <f>"CR2067"</f>
        <v>CR2067</v>
      </c>
      <c r="C1683" t="s">
        <v>30511</v>
      </c>
      <c r="D1683" t="s">
        <v>27271</v>
      </c>
      <c r="E1683" t="str">
        <f t="shared" si="26"/>
        <v>001390</v>
      </c>
      <c r="F1683" t="s">
        <v>27246</v>
      </c>
      <c r="G1683" t="s">
        <v>27247</v>
      </c>
      <c r="H1683" t="s">
        <v>27248</v>
      </c>
      <c r="I1683" t="s">
        <v>30512</v>
      </c>
      <c r="J1683" t="s">
        <v>3377</v>
      </c>
      <c r="L1683" t="s">
        <v>27250</v>
      </c>
      <c r="M1683" t="s">
        <v>27251</v>
      </c>
      <c r="N1683" t="s">
        <v>27252</v>
      </c>
      <c r="P1683" t="s">
        <v>27341</v>
      </c>
      <c r="Q1683" s="1">
        <v>44846</v>
      </c>
      <c r="R1683" t="s">
        <v>27253</v>
      </c>
      <c r="S1683" t="s">
        <v>27254</v>
      </c>
      <c r="T1683" t="s">
        <v>27265</v>
      </c>
    </row>
    <row r="1684" spans="1:20" x14ac:dyDescent="0.3">
      <c r="A1684" t="str">
        <f>"0611860739050"</f>
        <v>0611860739050</v>
      </c>
      <c r="B1684" t="str">
        <f>"CR2068"</f>
        <v>CR2068</v>
      </c>
      <c r="C1684" t="s">
        <v>30513</v>
      </c>
      <c r="D1684" t="s">
        <v>27271</v>
      </c>
      <c r="E1684" t="str">
        <f t="shared" si="26"/>
        <v>001390</v>
      </c>
      <c r="F1684" t="s">
        <v>27246</v>
      </c>
      <c r="G1684" t="s">
        <v>27247</v>
      </c>
      <c r="H1684" t="s">
        <v>27248</v>
      </c>
      <c r="I1684" t="s">
        <v>30514</v>
      </c>
      <c r="J1684" t="s">
        <v>3379</v>
      </c>
      <c r="L1684" t="s">
        <v>27250</v>
      </c>
      <c r="M1684" t="s">
        <v>27251</v>
      </c>
      <c r="N1684" t="s">
        <v>27252</v>
      </c>
      <c r="P1684" t="s">
        <v>27341</v>
      </c>
      <c r="Q1684" s="1">
        <v>44846</v>
      </c>
      <c r="R1684" t="s">
        <v>27253</v>
      </c>
      <c r="S1684" t="s">
        <v>27254</v>
      </c>
      <c r="T1684" t="s">
        <v>27265</v>
      </c>
    </row>
    <row r="1685" spans="1:20" x14ac:dyDescent="0.3">
      <c r="A1685" t="str">
        <f>"0611884062050"</f>
        <v>0611884062050</v>
      </c>
      <c r="B1685" t="str">
        <f>"CR3066"</f>
        <v>CR3066</v>
      </c>
      <c r="C1685" t="s">
        <v>30515</v>
      </c>
      <c r="D1685" t="s">
        <v>27271</v>
      </c>
      <c r="E1685" t="str">
        <f t="shared" si="26"/>
        <v>001390</v>
      </c>
      <c r="F1685" t="s">
        <v>27246</v>
      </c>
      <c r="G1685" t="s">
        <v>27247</v>
      </c>
      <c r="H1685" t="s">
        <v>27248</v>
      </c>
      <c r="I1685" t="s">
        <v>30516</v>
      </c>
      <c r="J1685" t="s">
        <v>3381</v>
      </c>
      <c r="L1685" t="s">
        <v>27430</v>
      </c>
      <c r="M1685" t="s">
        <v>27251</v>
      </c>
      <c r="N1685" t="s">
        <v>27252</v>
      </c>
      <c r="P1685" t="s">
        <v>27341</v>
      </c>
      <c r="Q1685" s="1">
        <v>45250</v>
      </c>
      <c r="R1685" t="s">
        <v>27253</v>
      </c>
      <c r="S1685" t="s">
        <v>27254</v>
      </c>
      <c r="T1685" t="s">
        <v>27265</v>
      </c>
    </row>
    <row r="1686" spans="1:20" x14ac:dyDescent="0.3">
      <c r="A1686" t="str">
        <f>"0611884063050"</f>
        <v>0611884063050</v>
      </c>
      <c r="B1686" t="str">
        <f>"CR2613"</f>
        <v>CR2613</v>
      </c>
      <c r="C1686" t="s">
        <v>30517</v>
      </c>
      <c r="D1686" t="s">
        <v>27271</v>
      </c>
      <c r="E1686" t="str">
        <f t="shared" si="26"/>
        <v>001390</v>
      </c>
      <c r="F1686" t="s">
        <v>27246</v>
      </c>
      <c r="G1686" t="s">
        <v>27247</v>
      </c>
      <c r="H1686" t="s">
        <v>27248</v>
      </c>
      <c r="I1686" t="s">
        <v>30518</v>
      </c>
      <c r="J1686" t="s">
        <v>3375</v>
      </c>
      <c r="L1686" t="s">
        <v>27430</v>
      </c>
      <c r="M1686" t="s">
        <v>27251</v>
      </c>
      <c r="N1686" t="s">
        <v>27252</v>
      </c>
      <c r="P1686" t="s">
        <v>27341</v>
      </c>
      <c r="Q1686" s="1">
        <v>45250</v>
      </c>
      <c r="R1686" t="s">
        <v>27253</v>
      </c>
      <c r="S1686" t="s">
        <v>27254</v>
      </c>
      <c r="T1686" t="s">
        <v>27265</v>
      </c>
    </row>
    <row r="1687" spans="1:20" x14ac:dyDescent="0.3">
      <c r="A1687" t="str">
        <f>"0611860740050"</f>
        <v>0611860740050</v>
      </c>
      <c r="B1687" t="str">
        <f>"CR3863"</f>
        <v>CR3863</v>
      </c>
      <c r="C1687" t="s">
        <v>30519</v>
      </c>
      <c r="D1687" t="s">
        <v>27271</v>
      </c>
      <c r="E1687" t="str">
        <f t="shared" si="26"/>
        <v>001390</v>
      </c>
      <c r="F1687" t="s">
        <v>27246</v>
      </c>
      <c r="G1687" t="s">
        <v>27247</v>
      </c>
      <c r="H1687" t="s">
        <v>27248</v>
      </c>
      <c r="I1687" t="s">
        <v>30520</v>
      </c>
      <c r="J1687" t="s">
        <v>3383</v>
      </c>
      <c r="L1687" t="s">
        <v>27250</v>
      </c>
      <c r="M1687" t="s">
        <v>27251</v>
      </c>
      <c r="N1687" t="s">
        <v>27252</v>
      </c>
      <c r="P1687" t="s">
        <v>27341</v>
      </c>
      <c r="Q1687" s="1">
        <v>44846</v>
      </c>
      <c r="R1687" t="s">
        <v>27253</v>
      </c>
      <c r="S1687" t="s">
        <v>27254</v>
      </c>
      <c r="T1687" t="s">
        <v>27265</v>
      </c>
    </row>
    <row r="1688" spans="1:20" x14ac:dyDescent="0.3">
      <c r="A1688" t="str">
        <f>"0611860741050"</f>
        <v>0611860741050</v>
      </c>
      <c r="B1688" t="str">
        <f>"CR3067"</f>
        <v>CR3067</v>
      </c>
      <c r="C1688" t="s">
        <v>30521</v>
      </c>
      <c r="D1688" t="s">
        <v>27271</v>
      </c>
      <c r="E1688" t="str">
        <f t="shared" si="26"/>
        <v>001390</v>
      </c>
      <c r="F1688" t="s">
        <v>27246</v>
      </c>
      <c r="G1688" t="s">
        <v>27247</v>
      </c>
      <c r="H1688" t="s">
        <v>27248</v>
      </c>
      <c r="I1688" t="s">
        <v>30522</v>
      </c>
      <c r="J1688" t="s">
        <v>3385</v>
      </c>
      <c r="L1688" t="s">
        <v>27250</v>
      </c>
      <c r="M1688" t="s">
        <v>27251</v>
      </c>
      <c r="N1688" t="s">
        <v>27252</v>
      </c>
      <c r="P1688" t="s">
        <v>27341</v>
      </c>
      <c r="Q1688" s="1">
        <v>44846</v>
      </c>
      <c r="R1688" t="s">
        <v>27253</v>
      </c>
      <c r="S1688" t="s">
        <v>27254</v>
      </c>
      <c r="T1688" t="s">
        <v>27265</v>
      </c>
    </row>
    <row r="1689" spans="1:20" x14ac:dyDescent="0.3">
      <c r="A1689" t="str">
        <f>"0611884064050"</f>
        <v>0611884064050</v>
      </c>
      <c r="B1689" t="str">
        <f>"CR5312"</f>
        <v>CR5312</v>
      </c>
      <c r="C1689" t="s">
        <v>30523</v>
      </c>
      <c r="D1689" t="s">
        <v>27271</v>
      </c>
      <c r="E1689" t="str">
        <f t="shared" si="26"/>
        <v>001390</v>
      </c>
      <c r="F1689" t="s">
        <v>27246</v>
      </c>
      <c r="G1689" t="s">
        <v>27247</v>
      </c>
      <c r="H1689" t="s">
        <v>27248</v>
      </c>
      <c r="I1689" t="s">
        <v>30524</v>
      </c>
      <c r="J1689" t="s">
        <v>3387</v>
      </c>
      <c r="L1689" t="s">
        <v>27430</v>
      </c>
      <c r="M1689" t="s">
        <v>27251</v>
      </c>
      <c r="N1689" t="s">
        <v>27252</v>
      </c>
      <c r="P1689" t="s">
        <v>27341</v>
      </c>
      <c r="Q1689" s="1">
        <v>45250</v>
      </c>
      <c r="R1689" t="s">
        <v>27253</v>
      </c>
      <c r="S1689" t="s">
        <v>27254</v>
      </c>
      <c r="T1689" t="s">
        <v>27265</v>
      </c>
    </row>
    <row r="1690" spans="1:20" x14ac:dyDescent="0.3">
      <c r="A1690" t="str">
        <f>"0611860742050"</f>
        <v>0611860742050</v>
      </c>
      <c r="B1690" t="str">
        <f>"CR4780"</f>
        <v>CR4780</v>
      </c>
      <c r="C1690" t="s">
        <v>30525</v>
      </c>
      <c r="D1690" t="s">
        <v>27271</v>
      </c>
      <c r="E1690" t="str">
        <f t="shared" si="26"/>
        <v>001390</v>
      </c>
      <c r="F1690" t="s">
        <v>27246</v>
      </c>
      <c r="G1690" t="s">
        <v>27247</v>
      </c>
      <c r="H1690" t="s">
        <v>27248</v>
      </c>
      <c r="I1690" t="s">
        <v>30526</v>
      </c>
      <c r="J1690" t="s">
        <v>3389</v>
      </c>
      <c r="L1690" t="s">
        <v>27250</v>
      </c>
      <c r="M1690" t="s">
        <v>27251</v>
      </c>
      <c r="N1690" t="s">
        <v>27252</v>
      </c>
      <c r="P1690" t="s">
        <v>27341</v>
      </c>
      <c r="Q1690" s="1">
        <v>44846</v>
      </c>
      <c r="R1690" t="s">
        <v>27253</v>
      </c>
      <c r="S1690" t="s">
        <v>27254</v>
      </c>
      <c r="T1690" t="s">
        <v>27265</v>
      </c>
    </row>
    <row r="1691" spans="1:20" x14ac:dyDescent="0.3">
      <c r="A1691" t="str">
        <f>"0611860743050"</f>
        <v>0611860743050</v>
      </c>
      <c r="B1691" t="str">
        <f>"CR2069"</f>
        <v>CR2069</v>
      </c>
      <c r="C1691" t="s">
        <v>30527</v>
      </c>
      <c r="D1691" t="s">
        <v>27271</v>
      </c>
      <c r="E1691" t="str">
        <f t="shared" si="26"/>
        <v>001390</v>
      </c>
      <c r="F1691" t="s">
        <v>27246</v>
      </c>
      <c r="G1691" t="s">
        <v>27247</v>
      </c>
      <c r="H1691" t="s">
        <v>27248</v>
      </c>
      <c r="I1691" t="s">
        <v>30528</v>
      </c>
      <c r="J1691" t="s">
        <v>3391</v>
      </c>
      <c r="L1691" t="s">
        <v>27250</v>
      </c>
      <c r="M1691" t="s">
        <v>27251</v>
      </c>
      <c r="N1691" t="s">
        <v>27252</v>
      </c>
      <c r="P1691" t="s">
        <v>27341</v>
      </c>
      <c r="Q1691" s="1">
        <v>44846</v>
      </c>
      <c r="R1691" t="s">
        <v>27253</v>
      </c>
      <c r="S1691" t="s">
        <v>27254</v>
      </c>
      <c r="T1691" t="s">
        <v>27265</v>
      </c>
    </row>
    <row r="1692" spans="1:20" x14ac:dyDescent="0.3">
      <c r="A1692" t="str">
        <f>"0611884065050"</f>
        <v>0611884065050</v>
      </c>
      <c r="B1692" t="str">
        <f>"CR5313"</f>
        <v>CR5313</v>
      </c>
      <c r="C1692" t="s">
        <v>30529</v>
      </c>
      <c r="D1692" t="s">
        <v>27271</v>
      </c>
      <c r="E1692" t="str">
        <f t="shared" si="26"/>
        <v>001390</v>
      </c>
      <c r="F1692" t="s">
        <v>27246</v>
      </c>
      <c r="G1692" t="s">
        <v>27247</v>
      </c>
      <c r="H1692" t="s">
        <v>27248</v>
      </c>
      <c r="I1692" t="s">
        <v>30530</v>
      </c>
      <c r="J1692" t="s">
        <v>3393</v>
      </c>
      <c r="L1692" t="s">
        <v>27430</v>
      </c>
      <c r="M1692" t="s">
        <v>27251</v>
      </c>
      <c r="N1692" t="s">
        <v>27252</v>
      </c>
      <c r="P1692" t="s">
        <v>27341</v>
      </c>
      <c r="Q1692" s="1">
        <v>45250</v>
      </c>
      <c r="R1692" t="s">
        <v>27253</v>
      </c>
      <c r="S1692" t="s">
        <v>27254</v>
      </c>
      <c r="T1692" t="s">
        <v>27265</v>
      </c>
    </row>
    <row r="1693" spans="1:20" x14ac:dyDescent="0.3">
      <c r="A1693" t="str">
        <f>"0611860744050"</f>
        <v>0611860744050</v>
      </c>
      <c r="B1693" t="str">
        <f>"CR3458"</f>
        <v>CR3458</v>
      </c>
      <c r="C1693" t="s">
        <v>30531</v>
      </c>
      <c r="D1693" t="s">
        <v>27271</v>
      </c>
      <c r="E1693" t="str">
        <f t="shared" si="26"/>
        <v>001390</v>
      </c>
      <c r="F1693" t="s">
        <v>27246</v>
      </c>
      <c r="G1693" t="s">
        <v>27247</v>
      </c>
      <c r="H1693" t="s">
        <v>27248</v>
      </c>
      <c r="I1693" t="s">
        <v>30532</v>
      </c>
      <c r="J1693" t="s">
        <v>3395</v>
      </c>
      <c r="L1693" t="s">
        <v>27250</v>
      </c>
      <c r="M1693" t="s">
        <v>27251</v>
      </c>
      <c r="N1693" t="s">
        <v>27252</v>
      </c>
      <c r="P1693" t="s">
        <v>27341</v>
      </c>
      <c r="Q1693" s="1">
        <v>44846</v>
      </c>
      <c r="R1693" t="s">
        <v>27253</v>
      </c>
      <c r="S1693" t="s">
        <v>27254</v>
      </c>
      <c r="T1693" t="s">
        <v>27265</v>
      </c>
    </row>
    <row r="1694" spans="1:20" x14ac:dyDescent="0.3">
      <c r="A1694" t="str">
        <f>"0611860745050"</f>
        <v>0611860745050</v>
      </c>
      <c r="B1694" t="str">
        <f>"CR2065"</f>
        <v>CR2065</v>
      </c>
      <c r="C1694" t="s">
        <v>30533</v>
      </c>
      <c r="D1694" t="s">
        <v>27271</v>
      </c>
      <c r="E1694" t="str">
        <f t="shared" si="26"/>
        <v>001390</v>
      </c>
      <c r="F1694" t="s">
        <v>27246</v>
      </c>
      <c r="G1694" t="s">
        <v>27247</v>
      </c>
      <c r="H1694" t="s">
        <v>27248</v>
      </c>
      <c r="I1694" t="s">
        <v>30534</v>
      </c>
      <c r="J1694" t="s">
        <v>3397</v>
      </c>
      <c r="L1694" t="s">
        <v>27250</v>
      </c>
      <c r="M1694" t="s">
        <v>27251</v>
      </c>
      <c r="N1694" t="s">
        <v>27252</v>
      </c>
      <c r="P1694" t="s">
        <v>27341</v>
      </c>
      <c r="Q1694" s="1">
        <v>44846</v>
      </c>
      <c r="R1694" t="s">
        <v>27253</v>
      </c>
      <c r="S1694" t="s">
        <v>27254</v>
      </c>
      <c r="T1694" t="s">
        <v>27265</v>
      </c>
    </row>
    <row r="1695" spans="1:20" x14ac:dyDescent="0.3">
      <c r="A1695" t="str">
        <f>"0611860746050"</f>
        <v>0611860746050</v>
      </c>
      <c r="B1695" t="str">
        <f>"CR3697"</f>
        <v>CR3697</v>
      </c>
      <c r="C1695" t="s">
        <v>30535</v>
      </c>
      <c r="D1695" t="s">
        <v>27271</v>
      </c>
      <c r="E1695" t="str">
        <f t="shared" si="26"/>
        <v>001390</v>
      </c>
      <c r="F1695" t="s">
        <v>27246</v>
      </c>
      <c r="G1695" t="s">
        <v>27247</v>
      </c>
      <c r="H1695" t="s">
        <v>27248</v>
      </c>
      <c r="I1695" t="s">
        <v>30536</v>
      </c>
      <c r="J1695" t="s">
        <v>3399</v>
      </c>
      <c r="L1695" t="s">
        <v>27250</v>
      </c>
      <c r="M1695" t="s">
        <v>27251</v>
      </c>
      <c r="N1695" t="s">
        <v>27252</v>
      </c>
      <c r="P1695" t="s">
        <v>27341</v>
      </c>
      <c r="Q1695" s="1">
        <v>44846</v>
      </c>
      <c r="R1695" t="s">
        <v>27253</v>
      </c>
      <c r="S1695" t="s">
        <v>27254</v>
      </c>
      <c r="T1695" t="s">
        <v>27265</v>
      </c>
    </row>
    <row r="1696" spans="1:20" x14ac:dyDescent="0.3">
      <c r="A1696" t="str">
        <f>"0611884066050"</f>
        <v>0611884066050</v>
      </c>
      <c r="B1696" t="str">
        <f>"CR5314"</f>
        <v>CR5314</v>
      </c>
      <c r="C1696" t="s">
        <v>30537</v>
      </c>
      <c r="D1696" t="s">
        <v>27271</v>
      </c>
      <c r="E1696" t="str">
        <f t="shared" si="26"/>
        <v>001390</v>
      </c>
      <c r="F1696" t="s">
        <v>27246</v>
      </c>
      <c r="G1696" t="s">
        <v>27247</v>
      </c>
      <c r="H1696" t="s">
        <v>27248</v>
      </c>
      <c r="I1696" t="s">
        <v>30538</v>
      </c>
      <c r="J1696" t="s">
        <v>3401</v>
      </c>
      <c r="L1696" t="s">
        <v>27430</v>
      </c>
      <c r="M1696" t="s">
        <v>27251</v>
      </c>
      <c r="N1696" t="s">
        <v>27252</v>
      </c>
      <c r="P1696" t="s">
        <v>27341</v>
      </c>
      <c r="Q1696" s="1">
        <v>45250</v>
      </c>
      <c r="R1696" t="s">
        <v>27253</v>
      </c>
      <c r="S1696" t="s">
        <v>27254</v>
      </c>
      <c r="T1696" t="s">
        <v>27265</v>
      </c>
    </row>
    <row r="1697" spans="1:20" x14ac:dyDescent="0.3">
      <c r="A1697" t="str">
        <f>"0611884067050"</f>
        <v>0611884067050</v>
      </c>
      <c r="B1697" t="str">
        <f>"CR5315"</f>
        <v>CR5315</v>
      </c>
      <c r="C1697" t="s">
        <v>30539</v>
      </c>
      <c r="D1697" t="s">
        <v>27271</v>
      </c>
      <c r="E1697" t="str">
        <f t="shared" si="26"/>
        <v>001390</v>
      </c>
      <c r="F1697" t="s">
        <v>27246</v>
      </c>
      <c r="G1697" t="s">
        <v>27247</v>
      </c>
      <c r="H1697" t="s">
        <v>27248</v>
      </c>
      <c r="I1697" t="s">
        <v>30540</v>
      </c>
      <c r="J1697" t="s">
        <v>3403</v>
      </c>
      <c r="L1697" t="s">
        <v>27430</v>
      </c>
      <c r="M1697" t="s">
        <v>27251</v>
      </c>
      <c r="N1697" t="s">
        <v>27252</v>
      </c>
      <c r="P1697" t="s">
        <v>27341</v>
      </c>
      <c r="Q1697" s="1">
        <v>45250</v>
      </c>
      <c r="R1697" t="s">
        <v>27253</v>
      </c>
      <c r="S1697" t="s">
        <v>27254</v>
      </c>
      <c r="T1697" t="s">
        <v>27265</v>
      </c>
    </row>
    <row r="1698" spans="1:20" x14ac:dyDescent="0.3">
      <c r="A1698" t="str">
        <f>"0611860747050"</f>
        <v>0611860747050</v>
      </c>
      <c r="B1698" t="str">
        <f>"CR2070"</f>
        <v>CR2070</v>
      </c>
      <c r="C1698" t="s">
        <v>30541</v>
      </c>
      <c r="D1698" t="s">
        <v>27271</v>
      </c>
      <c r="E1698" t="str">
        <f t="shared" si="26"/>
        <v>001390</v>
      </c>
      <c r="F1698" t="s">
        <v>27246</v>
      </c>
      <c r="G1698" t="s">
        <v>27247</v>
      </c>
      <c r="H1698" t="s">
        <v>27248</v>
      </c>
      <c r="I1698" t="s">
        <v>30542</v>
      </c>
      <c r="J1698" t="s">
        <v>3405</v>
      </c>
      <c r="L1698" t="s">
        <v>27250</v>
      </c>
      <c r="M1698" t="s">
        <v>27251</v>
      </c>
      <c r="N1698" t="s">
        <v>27252</v>
      </c>
      <c r="P1698" t="s">
        <v>27341</v>
      </c>
      <c r="Q1698" s="1">
        <v>44846</v>
      </c>
      <c r="R1698" t="s">
        <v>27253</v>
      </c>
      <c r="S1698" t="s">
        <v>27254</v>
      </c>
      <c r="T1698" t="s">
        <v>27265</v>
      </c>
    </row>
    <row r="1699" spans="1:20" x14ac:dyDescent="0.3">
      <c r="A1699" t="str">
        <f>"0611860748050"</f>
        <v>0611860748050</v>
      </c>
      <c r="B1699" t="str">
        <f>"CR2084"</f>
        <v>CR2084</v>
      </c>
      <c r="C1699" t="s">
        <v>30543</v>
      </c>
      <c r="D1699" t="s">
        <v>28376</v>
      </c>
      <c r="E1699" t="str">
        <f t="shared" si="26"/>
        <v>001390</v>
      </c>
      <c r="F1699" t="s">
        <v>27246</v>
      </c>
      <c r="G1699" t="s">
        <v>27247</v>
      </c>
      <c r="H1699" t="s">
        <v>27248</v>
      </c>
      <c r="I1699" t="s">
        <v>30544</v>
      </c>
      <c r="J1699" t="s">
        <v>3409</v>
      </c>
      <c r="L1699" t="s">
        <v>27250</v>
      </c>
      <c r="M1699" t="s">
        <v>27251</v>
      </c>
      <c r="N1699" t="s">
        <v>27252</v>
      </c>
      <c r="P1699" t="s">
        <v>27341</v>
      </c>
      <c r="Q1699" s="1">
        <v>44846</v>
      </c>
      <c r="R1699" t="s">
        <v>27253</v>
      </c>
      <c r="S1699" t="s">
        <v>27254</v>
      </c>
      <c r="T1699" t="s">
        <v>28378</v>
      </c>
    </row>
    <row r="1700" spans="1:20" x14ac:dyDescent="0.3">
      <c r="A1700" t="str">
        <f>"0611860749050"</f>
        <v>0611860749050</v>
      </c>
      <c r="B1700" t="str">
        <f>"CR3589"</f>
        <v>CR3589</v>
      </c>
      <c r="C1700" t="s">
        <v>30545</v>
      </c>
      <c r="D1700" t="s">
        <v>27271</v>
      </c>
      <c r="E1700" t="str">
        <f t="shared" si="26"/>
        <v>001390</v>
      </c>
      <c r="F1700" t="s">
        <v>27246</v>
      </c>
      <c r="G1700" t="s">
        <v>27247</v>
      </c>
      <c r="H1700" t="s">
        <v>27248</v>
      </c>
      <c r="I1700" t="s">
        <v>30546</v>
      </c>
      <c r="J1700" t="s">
        <v>3407</v>
      </c>
      <c r="L1700" t="s">
        <v>27250</v>
      </c>
      <c r="M1700" t="s">
        <v>27251</v>
      </c>
      <c r="N1700" t="s">
        <v>27252</v>
      </c>
      <c r="P1700" t="s">
        <v>27341</v>
      </c>
      <c r="Q1700" s="1">
        <v>44846</v>
      </c>
      <c r="R1700" t="s">
        <v>27253</v>
      </c>
      <c r="S1700" t="s">
        <v>27254</v>
      </c>
      <c r="T1700" t="s">
        <v>27265</v>
      </c>
    </row>
    <row r="1701" spans="1:20" x14ac:dyDescent="0.3">
      <c r="A1701" t="str">
        <f>"0611860750050"</f>
        <v>0611860750050</v>
      </c>
      <c r="B1701" t="str">
        <f>"CR2071"</f>
        <v>CR2071</v>
      </c>
      <c r="C1701" t="s">
        <v>30547</v>
      </c>
      <c r="D1701" t="s">
        <v>27271</v>
      </c>
      <c r="E1701" t="str">
        <f t="shared" si="26"/>
        <v>001390</v>
      </c>
      <c r="F1701" t="s">
        <v>27246</v>
      </c>
      <c r="G1701" t="s">
        <v>27247</v>
      </c>
      <c r="H1701" t="s">
        <v>27248</v>
      </c>
      <c r="I1701" t="s">
        <v>30548</v>
      </c>
      <c r="J1701" t="s">
        <v>3411</v>
      </c>
      <c r="L1701" t="s">
        <v>27250</v>
      </c>
      <c r="M1701" t="s">
        <v>27251</v>
      </c>
      <c r="N1701" t="s">
        <v>27252</v>
      </c>
      <c r="P1701" t="s">
        <v>27341</v>
      </c>
      <c r="Q1701" s="1">
        <v>44846</v>
      </c>
      <c r="R1701" t="s">
        <v>27253</v>
      </c>
      <c r="S1701" t="s">
        <v>27254</v>
      </c>
      <c r="T1701" t="s">
        <v>27265</v>
      </c>
    </row>
    <row r="1702" spans="1:20" x14ac:dyDescent="0.3">
      <c r="A1702" t="str">
        <f>"0611860751050"</f>
        <v>0611860751050</v>
      </c>
      <c r="B1702" t="str">
        <f>"CR3718"</f>
        <v>CR3718</v>
      </c>
      <c r="C1702" t="s">
        <v>30549</v>
      </c>
      <c r="D1702" t="s">
        <v>27271</v>
      </c>
      <c r="E1702" t="str">
        <f t="shared" si="26"/>
        <v>001390</v>
      </c>
      <c r="F1702" t="s">
        <v>27246</v>
      </c>
      <c r="G1702" t="s">
        <v>27247</v>
      </c>
      <c r="H1702" t="s">
        <v>27248</v>
      </c>
      <c r="I1702" t="s">
        <v>30550</v>
      </c>
      <c r="J1702" t="s">
        <v>3413</v>
      </c>
      <c r="L1702" t="s">
        <v>27250</v>
      </c>
      <c r="M1702" t="s">
        <v>27251</v>
      </c>
      <c r="N1702" t="s">
        <v>27252</v>
      </c>
      <c r="P1702" t="s">
        <v>27341</v>
      </c>
      <c r="Q1702" s="1">
        <v>44846</v>
      </c>
      <c r="R1702" t="s">
        <v>27253</v>
      </c>
      <c r="S1702" t="s">
        <v>27254</v>
      </c>
      <c r="T1702" t="s">
        <v>27265</v>
      </c>
    </row>
    <row r="1703" spans="1:20" x14ac:dyDescent="0.3">
      <c r="A1703" t="str">
        <f>"0611860752050"</f>
        <v>0611860752050</v>
      </c>
      <c r="B1703" t="str">
        <f>"CR2072"</f>
        <v>CR2072</v>
      </c>
      <c r="C1703" t="s">
        <v>30551</v>
      </c>
      <c r="D1703" t="s">
        <v>27271</v>
      </c>
      <c r="E1703" t="str">
        <f t="shared" si="26"/>
        <v>001390</v>
      </c>
      <c r="F1703" t="s">
        <v>27246</v>
      </c>
      <c r="G1703" t="s">
        <v>27247</v>
      </c>
      <c r="H1703" t="s">
        <v>27248</v>
      </c>
      <c r="I1703" t="s">
        <v>30552</v>
      </c>
      <c r="J1703" t="s">
        <v>3415</v>
      </c>
      <c r="L1703" t="s">
        <v>27250</v>
      </c>
      <c r="M1703" t="s">
        <v>27251</v>
      </c>
      <c r="N1703" t="s">
        <v>27252</v>
      </c>
      <c r="P1703" t="s">
        <v>27341</v>
      </c>
      <c r="Q1703" s="1">
        <v>44846</v>
      </c>
      <c r="R1703" t="s">
        <v>27253</v>
      </c>
      <c r="S1703" t="s">
        <v>27254</v>
      </c>
      <c r="T1703" t="s">
        <v>27265</v>
      </c>
    </row>
    <row r="1704" spans="1:20" x14ac:dyDescent="0.3">
      <c r="A1704" t="str">
        <f>"0611860753050"</f>
        <v>0611860753050</v>
      </c>
      <c r="B1704" t="str">
        <f>"CR3993"</f>
        <v>CR3993</v>
      </c>
      <c r="C1704" t="s">
        <v>30553</v>
      </c>
      <c r="D1704" t="s">
        <v>27271</v>
      </c>
      <c r="E1704" t="str">
        <f t="shared" si="26"/>
        <v>001390</v>
      </c>
      <c r="F1704" t="s">
        <v>27246</v>
      </c>
      <c r="G1704" t="s">
        <v>27247</v>
      </c>
      <c r="H1704" t="s">
        <v>27248</v>
      </c>
      <c r="I1704" t="s">
        <v>30554</v>
      </c>
      <c r="J1704" t="s">
        <v>3417</v>
      </c>
      <c r="L1704" t="s">
        <v>27250</v>
      </c>
      <c r="M1704" t="s">
        <v>27251</v>
      </c>
      <c r="N1704" t="s">
        <v>27252</v>
      </c>
      <c r="P1704" t="s">
        <v>27341</v>
      </c>
      <c r="Q1704" s="1">
        <v>44846</v>
      </c>
      <c r="R1704" t="s">
        <v>27253</v>
      </c>
      <c r="S1704" t="s">
        <v>27254</v>
      </c>
      <c r="T1704" t="s">
        <v>27265</v>
      </c>
    </row>
    <row r="1705" spans="1:20" x14ac:dyDescent="0.3">
      <c r="A1705" t="str">
        <f>"0611860754050"</f>
        <v>0611860754050</v>
      </c>
      <c r="B1705" t="str">
        <f>"CR5142"</f>
        <v>CR5142</v>
      </c>
      <c r="C1705" t="s">
        <v>30555</v>
      </c>
      <c r="D1705" t="s">
        <v>27271</v>
      </c>
      <c r="E1705" t="str">
        <f t="shared" si="26"/>
        <v>001390</v>
      </c>
      <c r="F1705" t="s">
        <v>27246</v>
      </c>
      <c r="G1705" t="s">
        <v>27247</v>
      </c>
      <c r="H1705" t="s">
        <v>27248</v>
      </c>
      <c r="I1705" t="s">
        <v>30556</v>
      </c>
      <c r="J1705" t="s">
        <v>3419</v>
      </c>
      <c r="L1705" t="s">
        <v>27250</v>
      </c>
      <c r="M1705" t="s">
        <v>27251</v>
      </c>
      <c r="N1705" t="s">
        <v>27252</v>
      </c>
      <c r="P1705" t="s">
        <v>27341</v>
      </c>
      <c r="Q1705" s="1">
        <v>44846</v>
      </c>
      <c r="R1705" t="s">
        <v>27253</v>
      </c>
      <c r="S1705" t="s">
        <v>27254</v>
      </c>
      <c r="T1705" t="s">
        <v>27265</v>
      </c>
    </row>
    <row r="1706" spans="1:20" x14ac:dyDescent="0.3">
      <c r="A1706" t="str">
        <f>"0611860755050"</f>
        <v>0611860755050</v>
      </c>
      <c r="B1706" t="str">
        <f>"CR3994"</f>
        <v>CR3994</v>
      </c>
      <c r="C1706" t="s">
        <v>30557</v>
      </c>
      <c r="D1706" t="s">
        <v>27271</v>
      </c>
      <c r="E1706" t="str">
        <f t="shared" si="26"/>
        <v>001390</v>
      </c>
      <c r="F1706" t="s">
        <v>27246</v>
      </c>
      <c r="G1706" t="s">
        <v>27247</v>
      </c>
      <c r="H1706" t="s">
        <v>27248</v>
      </c>
      <c r="I1706" t="s">
        <v>30558</v>
      </c>
      <c r="J1706" t="s">
        <v>3421</v>
      </c>
      <c r="L1706" t="s">
        <v>27250</v>
      </c>
      <c r="M1706" t="s">
        <v>27251</v>
      </c>
      <c r="N1706" t="s">
        <v>27252</v>
      </c>
      <c r="P1706" t="s">
        <v>27341</v>
      </c>
      <c r="Q1706" s="1">
        <v>44846</v>
      </c>
      <c r="R1706" t="s">
        <v>27253</v>
      </c>
      <c r="S1706" t="s">
        <v>27254</v>
      </c>
      <c r="T1706" t="s">
        <v>27265</v>
      </c>
    </row>
    <row r="1707" spans="1:20" x14ac:dyDescent="0.3">
      <c r="A1707" t="str">
        <f>"0611860756050"</f>
        <v>0611860756050</v>
      </c>
      <c r="B1707" t="str">
        <f>"CR3070"</f>
        <v>CR3070</v>
      </c>
      <c r="C1707" t="s">
        <v>30559</v>
      </c>
      <c r="D1707" t="s">
        <v>27271</v>
      </c>
      <c r="E1707" t="str">
        <f t="shared" si="26"/>
        <v>001390</v>
      </c>
      <c r="F1707" t="s">
        <v>27246</v>
      </c>
      <c r="G1707" t="s">
        <v>27247</v>
      </c>
      <c r="H1707" t="s">
        <v>27248</v>
      </c>
      <c r="I1707" t="s">
        <v>30560</v>
      </c>
      <c r="J1707" t="s">
        <v>3423</v>
      </c>
      <c r="L1707" t="s">
        <v>27250</v>
      </c>
      <c r="M1707" t="s">
        <v>27251</v>
      </c>
      <c r="N1707" t="s">
        <v>27252</v>
      </c>
      <c r="P1707" t="s">
        <v>27341</v>
      </c>
      <c r="Q1707" s="1">
        <v>44846</v>
      </c>
      <c r="R1707" t="s">
        <v>27253</v>
      </c>
      <c r="S1707" t="s">
        <v>27254</v>
      </c>
      <c r="T1707" t="s">
        <v>27265</v>
      </c>
    </row>
    <row r="1708" spans="1:20" x14ac:dyDescent="0.3">
      <c r="A1708" t="str">
        <f>"0611860757050"</f>
        <v>0611860757050</v>
      </c>
      <c r="B1708" t="str">
        <f>"CR5143"</f>
        <v>CR5143</v>
      </c>
      <c r="C1708" t="s">
        <v>30561</v>
      </c>
      <c r="D1708" t="s">
        <v>27271</v>
      </c>
      <c r="E1708" t="str">
        <f t="shared" si="26"/>
        <v>001390</v>
      </c>
      <c r="F1708" t="s">
        <v>27246</v>
      </c>
      <c r="G1708" t="s">
        <v>27247</v>
      </c>
      <c r="H1708" t="s">
        <v>27248</v>
      </c>
      <c r="I1708" t="s">
        <v>30562</v>
      </c>
      <c r="J1708" t="s">
        <v>3425</v>
      </c>
      <c r="L1708" t="s">
        <v>27250</v>
      </c>
      <c r="M1708" t="s">
        <v>27251</v>
      </c>
      <c r="N1708" t="s">
        <v>27252</v>
      </c>
      <c r="P1708" t="s">
        <v>27341</v>
      </c>
      <c r="Q1708" s="1">
        <v>44846</v>
      </c>
      <c r="R1708" t="s">
        <v>27253</v>
      </c>
      <c r="S1708" t="s">
        <v>27254</v>
      </c>
      <c r="T1708" t="s">
        <v>27265</v>
      </c>
    </row>
    <row r="1709" spans="1:20" x14ac:dyDescent="0.3">
      <c r="A1709" t="str">
        <f>"0611860758050"</f>
        <v>0611860758050</v>
      </c>
      <c r="B1709" t="str">
        <f>"CR2881"</f>
        <v>CR2881</v>
      </c>
      <c r="C1709" t="s">
        <v>30563</v>
      </c>
      <c r="D1709" t="s">
        <v>27271</v>
      </c>
      <c r="E1709" t="str">
        <f t="shared" si="26"/>
        <v>001390</v>
      </c>
      <c r="F1709" t="s">
        <v>27246</v>
      </c>
      <c r="G1709" t="s">
        <v>27247</v>
      </c>
      <c r="H1709" t="s">
        <v>27248</v>
      </c>
      <c r="I1709" t="s">
        <v>30564</v>
      </c>
      <c r="J1709" t="s">
        <v>3427</v>
      </c>
      <c r="L1709" t="s">
        <v>27250</v>
      </c>
      <c r="M1709" t="s">
        <v>27251</v>
      </c>
      <c r="N1709" t="s">
        <v>27252</v>
      </c>
      <c r="P1709" t="s">
        <v>27341</v>
      </c>
      <c r="Q1709" s="1">
        <v>44846</v>
      </c>
      <c r="R1709" t="s">
        <v>27253</v>
      </c>
      <c r="S1709" t="s">
        <v>27254</v>
      </c>
      <c r="T1709" t="s">
        <v>27265</v>
      </c>
    </row>
    <row r="1710" spans="1:20" x14ac:dyDescent="0.3">
      <c r="A1710" t="str">
        <f>"0611860759050"</f>
        <v>0611860759050</v>
      </c>
      <c r="B1710" t="str">
        <f>"CR3864"</f>
        <v>CR3864</v>
      </c>
      <c r="C1710" t="s">
        <v>30565</v>
      </c>
      <c r="D1710" t="s">
        <v>27271</v>
      </c>
      <c r="E1710" t="str">
        <f t="shared" si="26"/>
        <v>001390</v>
      </c>
      <c r="F1710" t="s">
        <v>27246</v>
      </c>
      <c r="G1710" t="s">
        <v>27247</v>
      </c>
      <c r="H1710" t="s">
        <v>27248</v>
      </c>
      <c r="I1710" t="s">
        <v>30566</v>
      </c>
      <c r="J1710" t="s">
        <v>3429</v>
      </c>
      <c r="L1710" t="s">
        <v>27250</v>
      </c>
      <c r="M1710" t="s">
        <v>27251</v>
      </c>
      <c r="N1710" t="s">
        <v>27252</v>
      </c>
      <c r="P1710" t="s">
        <v>27341</v>
      </c>
      <c r="Q1710" s="1">
        <v>44846</v>
      </c>
      <c r="R1710" t="s">
        <v>27253</v>
      </c>
      <c r="S1710" t="s">
        <v>27254</v>
      </c>
      <c r="T1710" t="s">
        <v>27265</v>
      </c>
    </row>
    <row r="1711" spans="1:20" x14ac:dyDescent="0.3">
      <c r="A1711" t="str">
        <f>"0611860760050"</f>
        <v>0611860760050</v>
      </c>
      <c r="B1711" t="str">
        <f>"CR4781"</f>
        <v>CR4781</v>
      </c>
      <c r="C1711" t="s">
        <v>30567</v>
      </c>
      <c r="D1711" t="s">
        <v>27271</v>
      </c>
      <c r="E1711" t="str">
        <f t="shared" si="26"/>
        <v>001390</v>
      </c>
      <c r="F1711" t="s">
        <v>27246</v>
      </c>
      <c r="G1711" t="s">
        <v>27247</v>
      </c>
      <c r="H1711" t="s">
        <v>27248</v>
      </c>
      <c r="I1711" t="s">
        <v>30568</v>
      </c>
      <c r="J1711" t="s">
        <v>3431</v>
      </c>
      <c r="L1711" t="s">
        <v>27250</v>
      </c>
      <c r="M1711" t="s">
        <v>27251</v>
      </c>
      <c r="N1711" t="s">
        <v>27252</v>
      </c>
      <c r="P1711" t="s">
        <v>27341</v>
      </c>
      <c r="Q1711" s="1">
        <v>44846</v>
      </c>
      <c r="R1711" t="s">
        <v>27253</v>
      </c>
      <c r="S1711" t="s">
        <v>27254</v>
      </c>
      <c r="T1711" t="s">
        <v>27265</v>
      </c>
    </row>
    <row r="1712" spans="1:20" x14ac:dyDescent="0.3">
      <c r="A1712" t="str">
        <f>"0611860761050"</f>
        <v>0611860761050</v>
      </c>
      <c r="B1712" t="str">
        <f>"CR2883"</f>
        <v>CR2883</v>
      </c>
      <c r="C1712" t="s">
        <v>30569</v>
      </c>
      <c r="D1712" t="s">
        <v>27271</v>
      </c>
      <c r="E1712" t="str">
        <f t="shared" si="26"/>
        <v>001390</v>
      </c>
      <c r="F1712" t="s">
        <v>27246</v>
      </c>
      <c r="G1712" t="s">
        <v>27247</v>
      </c>
      <c r="H1712" t="s">
        <v>27248</v>
      </c>
      <c r="I1712" t="s">
        <v>30570</v>
      </c>
      <c r="J1712" t="s">
        <v>3433</v>
      </c>
      <c r="L1712" t="s">
        <v>27250</v>
      </c>
      <c r="M1712" t="s">
        <v>27251</v>
      </c>
      <c r="N1712" t="s">
        <v>27252</v>
      </c>
      <c r="P1712" t="s">
        <v>27341</v>
      </c>
      <c r="Q1712" s="1">
        <v>44846</v>
      </c>
      <c r="R1712" t="s">
        <v>27253</v>
      </c>
      <c r="S1712" t="s">
        <v>27254</v>
      </c>
      <c r="T1712" t="s">
        <v>27265</v>
      </c>
    </row>
    <row r="1713" spans="1:20" x14ac:dyDescent="0.3">
      <c r="A1713" t="str">
        <f>"0611860762050"</f>
        <v>0611860762050</v>
      </c>
      <c r="B1713" t="str">
        <f>"CR3069"</f>
        <v>CR3069</v>
      </c>
      <c r="C1713" t="s">
        <v>30571</v>
      </c>
      <c r="D1713" t="s">
        <v>27271</v>
      </c>
      <c r="E1713" t="str">
        <f t="shared" si="26"/>
        <v>001390</v>
      </c>
      <c r="F1713" t="s">
        <v>27246</v>
      </c>
      <c r="G1713" t="s">
        <v>27247</v>
      </c>
      <c r="H1713" t="s">
        <v>27248</v>
      </c>
      <c r="I1713" t="s">
        <v>30572</v>
      </c>
      <c r="J1713" t="s">
        <v>3435</v>
      </c>
      <c r="L1713" t="s">
        <v>27250</v>
      </c>
      <c r="M1713" t="s">
        <v>27251</v>
      </c>
      <c r="N1713" t="s">
        <v>27252</v>
      </c>
      <c r="P1713" t="s">
        <v>27341</v>
      </c>
      <c r="Q1713" s="1">
        <v>44846</v>
      </c>
      <c r="R1713" t="s">
        <v>27253</v>
      </c>
      <c r="S1713" t="s">
        <v>27254</v>
      </c>
      <c r="T1713" t="s">
        <v>27265</v>
      </c>
    </row>
    <row r="1714" spans="1:20" x14ac:dyDescent="0.3">
      <c r="A1714" t="str">
        <f>"0611860763050"</f>
        <v>0611860763050</v>
      </c>
      <c r="B1714" t="str">
        <f>"CR2884"</f>
        <v>CR2884</v>
      </c>
      <c r="C1714" t="s">
        <v>30573</v>
      </c>
      <c r="D1714" t="s">
        <v>27271</v>
      </c>
      <c r="E1714" t="str">
        <f t="shared" si="26"/>
        <v>001390</v>
      </c>
      <c r="F1714" t="s">
        <v>27246</v>
      </c>
      <c r="G1714" t="s">
        <v>27247</v>
      </c>
      <c r="H1714" t="s">
        <v>27248</v>
      </c>
      <c r="I1714" t="s">
        <v>30574</v>
      </c>
      <c r="J1714" t="s">
        <v>3437</v>
      </c>
      <c r="L1714" t="s">
        <v>27250</v>
      </c>
      <c r="M1714" t="s">
        <v>27251</v>
      </c>
      <c r="N1714" t="s">
        <v>27252</v>
      </c>
      <c r="P1714" t="s">
        <v>27341</v>
      </c>
      <c r="Q1714" s="1">
        <v>44846</v>
      </c>
      <c r="R1714" t="s">
        <v>27253</v>
      </c>
      <c r="S1714" t="s">
        <v>27254</v>
      </c>
      <c r="T1714" t="s">
        <v>27265</v>
      </c>
    </row>
    <row r="1715" spans="1:20" x14ac:dyDescent="0.3">
      <c r="A1715" t="str">
        <f>"0611860764050"</f>
        <v>0611860764050</v>
      </c>
      <c r="B1715" t="str">
        <f>"CR3949"</f>
        <v>CR3949</v>
      </c>
      <c r="C1715" t="s">
        <v>30575</v>
      </c>
      <c r="D1715" t="s">
        <v>27271</v>
      </c>
      <c r="E1715" t="str">
        <f t="shared" si="26"/>
        <v>001390</v>
      </c>
      <c r="F1715" t="s">
        <v>27246</v>
      </c>
      <c r="G1715" t="s">
        <v>27247</v>
      </c>
      <c r="H1715" t="s">
        <v>27248</v>
      </c>
      <c r="I1715" t="s">
        <v>30576</v>
      </c>
      <c r="J1715" t="s">
        <v>3439</v>
      </c>
      <c r="L1715" t="s">
        <v>27250</v>
      </c>
      <c r="M1715" t="s">
        <v>27251</v>
      </c>
      <c r="N1715" t="s">
        <v>27252</v>
      </c>
      <c r="P1715" t="s">
        <v>27341</v>
      </c>
      <c r="Q1715" s="1">
        <v>44846</v>
      </c>
      <c r="R1715" t="s">
        <v>27253</v>
      </c>
      <c r="S1715" t="s">
        <v>27254</v>
      </c>
      <c r="T1715" t="s">
        <v>27265</v>
      </c>
    </row>
    <row r="1716" spans="1:20" x14ac:dyDescent="0.3">
      <c r="A1716" t="str">
        <f>"0611860765050"</f>
        <v>0611860765050</v>
      </c>
      <c r="B1716" t="str">
        <f>"CR3071"</f>
        <v>CR3071</v>
      </c>
      <c r="C1716" t="s">
        <v>30577</v>
      </c>
      <c r="D1716" t="s">
        <v>27271</v>
      </c>
      <c r="E1716" t="str">
        <f t="shared" si="26"/>
        <v>001390</v>
      </c>
      <c r="F1716" t="s">
        <v>27246</v>
      </c>
      <c r="G1716" t="s">
        <v>27247</v>
      </c>
      <c r="H1716" t="s">
        <v>27248</v>
      </c>
      <c r="I1716" t="s">
        <v>30578</v>
      </c>
      <c r="J1716" t="s">
        <v>3441</v>
      </c>
      <c r="L1716" t="s">
        <v>27250</v>
      </c>
      <c r="M1716" t="s">
        <v>27251</v>
      </c>
      <c r="N1716" t="s">
        <v>27252</v>
      </c>
      <c r="P1716" t="s">
        <v>27341</v>
      </c>
      <c r="Q1716" s="1">
        <v>44846</v>
      </c>
      <c r="R1716" t="s">
        <v>27253</v>
      </c>
      <c r="S1716" t="s">
        <v>27254</v>
      </c>
      <c r="T1716" t="s">
        <v>27265</v>
      </c>
    </row>
    <row r="1717" spans="1:20" x14ac:dyDescent="0.3">
      <c r="A1717" t="str">
        <f>"0611860766050"</f>
        <v>0611860766050</v>
      </c>
      <c r="B1717" t="str">
        <f>"CR2075"</f>
        <v>CR2075</v>
      </c>
      <c r="C1717" t="s">
        <v>30579</v>
      </c>
      <c r="D1717" t="s">
        <v>27271</v>
      </c>
      <c r="E1717" t="str">
        <f t="shared" si="26"/>
        <v>001390</v>
      </c>
      <c r="F1717" t="s">
        <v>27246</v>
      </c>
      <c r="G1717" t="s">
        <v>27247</v>
      </c>
      <c r="H1717" t="s">
        <v>27248</v>
      </c>
      <c r="I1717" t="s">
        <v>30580</v>
      </c>
      <c r="J1717" t="s">
        <v>3443</v>
      </c>
      <c r="L1717" t="s">
        <v>27250</v>
      </c>
      <c r="M1717" t="s">
        <v>27251</v>
      </c>
      <c r="N1717" t="s">
        <v>27252</v>
      </c>
      <c r="P1717" t="s">
        <v>27341</v>
      </c>
      <c r="Q1717" s="1">
        <v>44846</v>
      </c>
      <c r="R1717" t="s">
        <v>27253</v>
      </c>
      <c r="S1717" t="s">
        <v>27254</v>
      </c>
      <c r="T1717" t="s">
        <v>27265</v>
      </c>
    </row>
    <row r="1718" spans="1:20" x14ac:dyDescent="0.3">
      <c r="A1718" t="str">
        <f>"0611860767050"</f>
        <v>0611860767050</v>
      </c>
      <c r="B1718" t="str">
        <f>"CR2076"</f>
        <v>CR2076</v>
      </c>
      <c r="C1718" t="s">
        <v>30581</v>
      </c>
      <c r="D1718" t="s">
        <v>27271</v>
      </c>
      <c r="E1718" t="str">
        <f t="shared" si="26"/>
        <v>001390</v>
      </c>
      <c r="F1718" t="s">
        <v>27246</v>
      </c>
      <c r="G1718" t="s">
        <v>27247</v>
      </c>
      <c r="H1718" t="s">
        <v>27248</v>
      </c>
      <c r="I1718" t="s">
        <v>30582</v>
      </c>
      <c r="J1718" t="s">
        <v>3445</v>
      </c>
      <c r="L1718" t="s">
        <v>27250</v>
      </c>
      <c r="M1718" t="s">
        <v>27251</v>
      </c>
      <c r="N1718" t="s">
        <v>27252</v>
      </c>
      <c r="P1718" t="s">
        <v>27341</v>
      </c>
      <c r="Q1718" s="1">
        <v>44846</v>
      </c>
      <c r="R1718" t="s">
        <v>27253</v>
      </c>
      <c r="S1718" t="s">
        <v>27254</v>
      </c>
      <c r="T1718" t="s">
        <v>27265</v>
      </c>
    </row>
    <row r="1719" spans="1:20" x14ac:dyDescent="0.3">
      <c r="A1719" t="str">
        <f>"0611860768050"</f>
        <v>0611860768050</v>
      </c>
      <c r="B1719" t="str">
        <f>"CR2077"</f>
        <v>CR2077</v>
      </c>
      <c r="C1719" t="s">
        <v>30583</v>
      </c>
      <c r="D1719" t="s">
        <v>27271</v>
      </c>
      <c r="E1719" t="str">
        <f t="shared" si="26"/>
        <v>001390</v>
      </c>
      <c r="F1719" t="s">
        <v>27246</v>
      </c>
      <c r="G1719" t="s">
        <v>27247</v>
      </c>
      <c r="H1719" t="s">
        <v>27248</v>
      </c>
      <c r="I1719" t="s">
        <v>30584</v>
      </c>
      <c r="J1719" t="s">
        <v>3447</v>
      </c>
      <c r="L1719" t="s">
        <v>27250</v>
      </c>
      <c r="M1719" t="s">
        <v>27251</v>
      </c>
      <c r="N1719" t="s">
        <v>27252</v>
      </c>
      <c r="P1719" t="s">
        <v>27341</v>
      </c>
      <c r="Q1719" s="1">
        <v>44846</v>
      </c>
      <c r="R1719" t="s">
        <v>27253</v>
      </c>
      <c r="S1719" t="s">
        <v>27254</v>
      </c>
      <c r="T1719" t="s">
        <v>27265</v>
      </c>
    </row>
    <row r="1720" spans="1:20" x14ac:dyDescent="0.3">
      <c r="A1720" t="str">
        <f>"0611860769050"</f>
        <v>0611860769050</v>
      </c>
      <c r="B1720" t="str">
        <f>"CR2614"</f>
        <v>CR2614</v>
      </c>
      <c r="C1720" t="s">
        <v>30585</v>
      </c>
      <c r="D1720" t="s">
        <v>27271</v>
      </c>
      <c r="E1720" t="str">
        <f t="shared" si="26"/>
        <v>001390</v>
      </c>
      <c r="F1720" t="s">
        <v>27246</v>
      </c>
      <c r="G1720" t="s">
        <v>27247</v>
      </c>
      <c r="H1720" t="s">
        <v>27248</v>
      </c>
      <c r="I1720" t="s">
        <v>30586</v>
      </c>
      <c r="J1720" t="s">
        <v>3449</v>
      </c>
      <c r="L1720" t="s">
        <v>27250</v>
      </c>
      <c r="M1720" t="s">
        <v>27251</v>
      </c>
      <c r="N1720" t="s">
        <v>27252</v>
      </c>
      <c r="P1720" t="s">
        <v>27341</v>
      </c>
      <c r="Q1720" s="1">
        <v>44846</v>
      </c>
      <c r="R1720" t="s">
        <v>27253</v>
      </c>
      <c r="S1720" t="s">
        <v>27254</v>
      </c>
      <c r="T1720" t="s">
        <v>27265</v>
      </c>
    </row>
    <row r="1721" spans="1:20" x14ac:dyDescent="0.3">
      <c r="A1721" t="str">
        <f>"0611860770050"</f>
        <v>0611860770050</v>
      </c>
      <c r="B1721" t="str">
        <f>"CR2079"</f>
        <v>CR2079</v>
      </c>
      <c r="C1721" t="s">
        <v>30587</v>
      </c>
      <c r="D1721" t="s">
        <v>27271</v>
      </c>
      <c r="E1721" t="str">
        <f t="shared" si="26"/>
        <v>001390</v>
      </c>
      <c r="F1721" t="s">
        <v>27246</v>
      </c>
      <c r="G1721" t="s">
        <v>27247</v>
      </c>
      <c r="H1721" t="s">
        <v>27248</v>
      </c>
      <c r="I1721" t="s">
        <v>30588</v>
      </c>
      <c r="J1721" t="s">
        <v>3451</v>
      </c>
      <c r="L1721" t="s">
        <v>27250</v>
      </c>
      <c r="M1721" t="s">
        <v>27251</v>
      </c>
      <c r="N1721" t="s">
        <v>27252</v>
      </c>
      <c r="P1721" t="s">
        <v>27341</v>
      </c>
      <c r="Q1721" s="1">
        <v>44846</v>
      </c>
      <c r="R1721" t="s">
        <v>27253</v>
      </c>
      <c r="S1721" t="s">
        <v>27254</v>
      </c>
      <c r="T1721" t="s">
        <v>27265</v>
      </c>
    </row>
    <row r="1722" spans="1:20" x14ac:dyDescent="0.3">
      <c r="A1722" t="str">
        <f>"0611860771050"</f>
        <v>0611860771050</v>
      </c>
      <c r="B1722" t="str">
        <f>"CR2080"</f>
        <v>CR2080</v>
      </c>
      <c r="C1722" t="s">
        <v>30589</v>
      </c>
      <c r="D1722" t="s">
        <v>27271</v>
      </c>
      <c r="E1722" t="str">
        <f t="shared" si="26"/>
        <v>001390</v>
      </c>
      <c r="F1722" t="s">
        <v>27246</v>
      </c>
      <c r="G1722" t="s">
        <v>27247</v>
      </c>
      <c r="H1722" t="s">
        <v>27248</v>
      </c>
      <c r="I1722" t="s">
        <v>30590</v>
      </c>
      <c r="J1722" t="s">
        <v>3453</v>
      </c>
      <c r="L1722" t="s">
        <v>27250</v>
      </c>
      <c r="M1722" t="s">
        <v>27251</v>
      </c>
      <c r="N1722" t="s">
        <v>27252</v>
      </c>
      <c r="P1722" t="s">
        <v>27341</v>
      </c>
      <c r="Q1722" s="1">
        <v>44846</v>
      </c>
      <c r="R1722" t="s">
        <v>27253</v>
      </c>
      <c r="S1722" t="s">
        <v>27254</v>
      </c>
      <c r="T1722" t="s">
        <v>27265</v>
      </c>
    </row>
    <row r="1723" spans="1:20" x14ac:dyDescent="0.3">
      <c r="A1723" t="str">
        <f>"0611860772050"</f>
        <v>0611860772050</v>
      </c>
      <c r="B1723" t="str">
        <f>"CR3970"</f>
        <v>CR3970</v>
      </c>
      <c r="C1723" t="s">
        <v>30591</v>
      </c>
      <c r="D1723" t="s">
        <v>27271</v>
      </c>
      <c r="E1723" t="str">
        <f t="shared" si="26"/>
        <v>001390</v>
      </c>
      <c r="F1723" t="s">
        <v>27246</v>
      </c>
      <c r="G1723" t="s">
        <v>27247</v>
      </c>
      <c r="H1723" t="s">
        <v>27248</v>
      </c>
      <c r="I1723" t="s">
        <v>30592</v>
      </c>
      <c r="J1723" t="s">
        <v>3455</v>
      </c>
      <c r="L1723" t="s">
        <v>27250</v>
      </c>
      <c r="M1723" t="s">
        <v>27251</v>
      </c>
      <c r="N1723" t="s">
        <v>27252</v>
      </c>
      <c r="P1723" t="s">
        <v>27341</v>
      </c>
      <c r="Q1723" s="1">
        <v>44846</v>
      </c>
      <c r="R1723" t="s">
        <v>27253</v>
      </c>
      <c r="S1723" t="s">
        <v>27254</v>
      </c>
      <c r="T1723" t="s">
        <v>27265</v>
      </c>
    </row>
    <row r="1724" spans="1:20" x14ac:dyDescent="0.3">
      <c r="A1724" t="str">
        <f>"0611860773050"</f>
        <v>0611860773050</v>
      </c>
      <c r="B1724" t="str">
        <f>"CR2081"</f>
        <v>CR2081</v>
      </c>
      <c r="C1724" t="s">
        <v>30593</v>
      </c>
      <c r="D1724" t="s">
        <v>27271</v>
      </c>
      <c r="E1724" t="str">
        <f t="shared" si="26"/>
        <v>001390</v>
      </c>
      <c r="F1724" t="s">
        <v>27246</v>
      </c>
      <c r="G1724" t="s">
        <v>27247</v>
      </c>
      <c r="H1724" t="s">
        <v>27248</v>
      </c>
      <c r="I1724" t="s">
        <v>30594</v>
      </c>
      <c r="J1724" t="s">
        <v>3457</v>
      </c>
      <c r="L1724" t="s">
        <v>27250</v>
      </c>
      <c r="M1724" t="s">
        <v>27251</v>
      </c>
      <c r="N1724" t="s">
        <v>27252</v>
      </c>
      <c r="P1724" t="s">
        <v>27341</v>
      </c>
      <c r="Q1724" s="1">
        <v>44846</v>
      </c>
      <c r="R1724" t="s">
        <v>27253</v>
      </c>
      <c r="S1724" t="s">
        <v>27254</v>
      </c>
      <c r="T1724" t="s">
        <v>27265</v>
      </c>
    </row>
    <row r="1725" spans="1:20" x14ac:dyDescent="0.3">
      <c r="A1725" t="str">
        <f>"0611860774050"</f>
        <v>0611860774050</v>
      </c>
      <c r="B1725" t="str">
        <f>"CR2082"</f>
        <v>CR2082</v>
      </c>
      <c r="C1725" t="s">
        <v>30595</v>
      </c>
      <c r="D1725" t="s">
        <v>27271</v>
      </c>
      <c r="E1725" t="str">
        <f t="shared" si="26"/>
        <v>001390</v>
      </c>
      <c r="F1725" t="s">
        <v>27246</v>
      </c>
      <c r="G1725" t="s">
        <v>27247</v>
      </c>
      <c r="H1725" t="s">
        <v>27248</v>
      </c>
      <c r="I1725" t="s">
        <v>30596</v>
      </c>
      <c r="J1725" t="s">
        <v>3459</v>
      </c>
      <c r="L1725" t="s">
        <v>27250</v>
      </c>
      <c r="M1725" t="s">
        <v>27251</v>
      </c>
      <c r="N1725" t="s">
        <v>27252</v>
      </c>
      <c r="P1725" t="s">
        <v>27341</v>
      </c>
      <c r="Q1725" s="1">
        <v>44846</v>
      </c>
      <c r="R1725" t="s">
        <v>27253</v>
      </c>
      <c r="S1725" t="s">
        <v>27254</v>
      </c>
      <c r="T1725" t="s">
        <v>27265</v>
      </c>
    </row>
    <row r="1726" spans="1:20" x14ac:dyDescent="0.3">
      <c r="A1726" t="str">
        <f>"0611860775050"</f>
        <v>0611860775050</v>
      </c>
      <c r="B1726" t="str">
        <f>"CR2083"</f>
        <v>CR2083</v>
      </c>
      <c r="C1726" t="s">
        <v>30597</v>
      </c>
      <c r="D1726" t="s">
        <v>27271</v>
      </c>
      <c r="E1726" t="str">
        <f t="shared" si="26"/>
        <v>001390</v>
      </c>
      <c r="F1726" t="s">
        <v>27246</v>
      </c>
      <c r="G1726" t="s">
        <v>27247</v>
      </c>
      <c r="H1726" t="s">
        <v>27248</v>
      </c>
      <c r="I1726" t="s">
        <v>30598</v>
      </c>
      <c r="J1726" t="s">
        <v>3461</v>
      </c>
      <c r="L1726" t="s">
        <v>27250</v>
      </c>
      <c r="M1726" t="s">
        <v>27251</v>
      </c>
      <c r="N1726" t="s">
        <v>27252</v>
      </c>
      <c r="P1726" t="s">
        <v>27341</v>
      </c>
      <c r="Q1726" s="1">
        <v>44846</v>
      </c>
      <c r="R1726" t="s">
        <v>27253</v>
      </c>
      <c r="S1726" t="s">
        <v>27254</v>
      </c>
      <c r="T1726" t="s">
        <v>27265</v>
      </c>
    </row>
    <row r="1727" spans="1:20" x14ac:dyDescent="0.3">
      <c r="A1727" t="str">
        <f>"0611860776050"</f>
        <v>0611860776050</v>
      </c>
      <c r="B1727" t="str">
        <f>"CR2085"</f>
        <v>CR2085</v>
      </c>
      <c r="C1727" t="s">
        <v>30599</v>
      </c>
      <c r="D1727" t="s">
        <v>27271</v>
      </c>
      <c r="E1727" t="str">
        <f t="shared" si="26"/>
        <v>001390</v>
      </c>
      <c r="F1727" t="s">
        <v>27246</v>
      </c>
      <c r="G1727" t="s">
        <v>27247</v>
      </c>
      <c r="H1727" t="s">
        <v>27248</v>
      </c>
      <c r="I1727" t="s">
        <v>30600</v>
      </c>
      <c r="J1727" t="s">
        <v>3463</v>
      </c>
      <c r="L1727" t="s">
        <v>27250</v>
      </c>
      <c r="M1727" t="s">
        <v>27251</v>
      </c>
      <c r="N1727" t="s">
        <v>27252</v>
      </c>
      <c r="P1727" t="s">
        <v>27341</v>
      </c>
      <c r="Q1727" s="1">
        <v>44846</v>
      </c>
      <c r="R1727" t="s">
        <v>27253</v>
      </c>
      <c r="S1727" t="s">
        <v>27254</v>
      </c>
      <c r="T1727" t="s">
        <v>27265</v>
      </c>
    </row>
    <row r="1728" spans="1:20" x14ac:dyDescent="0.3">
      <c r="A1728" t="str">
        <f>"0611860777050"</f>
        <v>0611860777050</v>
      </c>
      <c r="B1728" t="str">
        <f>"CR2086"</f>
        <v>CR2086</v>
      </c>
      <c r="C1728" t="s">
        <v>30601</v>
      </c>
      <c r="D1728" t="s">
        <v>27271</v>
      </c>
      <c r="E1728" t="str">
        <f t="shared" si="26"/>
        <v>001390</v>
      </c>
      <c r="F1728" t="s">
        <v>27246</v>
      </c>
      <c r="G1728" t="s">
        <v>27247</v>
      </c>
      <c r="H1728" t="s">
        <v>27248</v>
      </c>
      <c r="I1728" t="s">
        <v>30602</v>
      </c>
      <c r="J1728" t="s">
        <v>3465</v>
      </c>
      <c r="L1728" t="s">
        <v>27250</v>
      </c>
      <c r="M1728" t="s">
        <v>27251</v>
      </c>
      <c r="N1728" t="s">
        <v>27252</v>
      </c>
      <c r="P1728" t="s">
        <v>27341</v>
      </c>
      <c r="Q1728" s="1">
        <v>44846</v>
      </c>
      <c r="R1728" t="s">
        <v>27253</v>
      </c>
      <c r="S1728" t="s">
        <v>27254</v>
      </c>
      <c r="T1728" t="s">
        <v>27265</v>
      </c>
    </row>
    <row r="1729" spans="1:20" x14ac:dyDescent="0.3">
      <c r="A1729" t="str">
        <f>"0611884068050"</f>
        <v>0611884068050</v>
      </c>
      <c r="B1729" t="str">
        <f>"CR5317"</f>
        <v>CR5317</v>
      </c>
      <c r="C1729" t="s">
        <v>30603</v>
      </c>
      <c r="D1729" t="s">
        <v>27271</v>
      </c>
      <c r="E1729" t="str">
        <f t="shared" si="26"/>
        <v>001390</v>
      </c>
      <c r="F1729" t="s">
        <v>27246</v>
      </c>
      <c r="G1729" t="s">
        <v>27247</v>
      </c>
      <c r="H1729" t="s">
        <v>27248</v>
      </c>
      <c r="I1729" t="s">
        <v>30604</v>
      </c>
      <c r="J1729" t="s">
        <v>3467</v>
      </c>
      <c r="L1729" t="s">
        <v>27430</v>
      </c>
      <c r="M1729" t="s">
        <v>27251</v>
      </c>
      <c r="N1729" t="s">
        <v>27252</v>
      </c>
      <c r="P1729" t="s">
        <v>27341</v>
      </c>
      <c r="Q1729" s="1">
        <v>45250</v>
      </c>
      <c r="R1729" t="s">
        <v>27253</v>
      </c>
      <c r="S1729" t="s">
        <v>27254</v>
      </c>
      <c r="T1729" t="s">
        <v>27265</v>
      </c>
    </row>
    <row r="1730" spans="1:20" x14ac:dyDescent="0.3">
      <c r="A1730" t="str">
        <f>"0611860778050"</f>
        <v>0611860778050</v>
      </c>
      <c r="B1730" t="str">
        <f>"CR3853"</f>
        <v>CR3853</v>
      </c>
      <c r="C1730" t="s">
        <v>30605</v>
      </c>
      <c r="D1730" t="s">
        <v>27271</v>
      </c>
      <c r="E1730" t="str">
        <f t="shared" ref="E1730:E1793" si="27">"001390"</f>
        <v>001390</v>
      </c>
      <c r="F1730" t="s">
        <v>27246</v>
      </c>
      <c r="G1730" t="s">
        <v>27247</v>
      </c>
      <c r="H1730" t="s">
        <v>27248</v>
      </c>
      <c r="I1730" t="s">
        <v>30606</v>
      </c>
      <c r="J1730" t="s">
        <v>3469</v>
      </c>
      <c r="L1730" t="s">
        <v>27250</v>
      </c>
      <c r="M1730" t="s">
        <v>27251</v>
      </c>
      <c r="N1730" t="s">
        <v>27252</v>
      </c>
      <c r="P1730" t="s">
        <v>27341</v>
      </c>
      <c r="Q1730" s="1">
        <v>44846</v>
      </c>
      <c r="R1730" t="s">
        <v>27253</v>
      </c>
      <c r="S1730" t="s">
        <v>27254</v>
      </c>
      <c r="T1730" t="s">
        <v>27265</v>
      </c>
    </row>
    <row r="1731" spans="1:20" x14ac:dyDescent="0.3">
      <c r="A1731" t="str">
        <f>"0611860779050"</f>
        <v>0611860779050</v>
      </c>
      <c r="B1731" t="str">
        <f>"CR4782"</f>
        <v>CR4782</v>
      </c>
      <c r="C1731" t="s">
        <v>30607</v>
      </c>
      <c r="D1731" t="s">
        <v>27271</v>
      </c>
      <c r="E1731" t="str">
        <f t="shared" si="27"/>
        <v>001390</v>
      </c>
      <c r="F1731" t="s">
        <v>27246</v>
      </c>
      <c r="G1731" t="s">
        <v>27247</v>
      </c>
      <c r="H1731" t="s">
        <v>27248</v>
      </c>
      <c r="I1731" t="s">
        <v>30608</v>
      </c>
      <c r="J1731" t="s">
        <v>3471</v>
      </c>
      <c r="L1731" t="s">
        <v>27250</v>
      </c>
      <c r="M1731" t="s">
        <v>27251</v>
      </c>
      <c r="N1731" t="s">
        <v>27252</v>
      </c>
      <c r="P1731" t="s">
        <v>27341</v>
      </c>
      <c r="Q1731" s="1">
        <v>44846</v>
      </c>
      <c r="R1731" t="s">
        <v>27253</v>
      </c>
      <c r="S1731" t="s">
        <v>27254</v>
      </c>
      <c r="T1731" t="s">
        <v>27265</v>
      </c>
    </row>
    <row r="1732" spans="1:20" x14ac:dyDescent="0.3">
      <c r="A1732" t="str">
        <f>"0611884069050"</f>
        <v>0611884069050</v>
      </c>
      <c r="B1732" t="str">
        <f>"CR5318"</f>
        <v>CR5318</v>
      </c>
      <c r="C1732" t="s">
        <v>30609</v>
      </c>
      <c r="D1732" t="s">
        <v>27271</v>
      </c>
      <c r="E1732" t="str">
        <f t="shared" si="27"/>
        <v>001390</v>
      </c>
      <c r="F1732" t="s">
        <v>27246</v>
      </c>
      <c r="G1732" t="s">
        <v>27247</v>
      </c>
      <c r="H1732" t="s">
        <v>27248</v>
      </c>
      <c r="I1732" t="s">
        <v>30610</v>
      </c>
      <c r="J1732" t="s">
        <v>3473</v>
      </c>
      <c r="L1732" t="s">
        <v>27430</v>
      </c>
      <c r="M1732" t="s">
        <v>27251</v>
      </c>
      <c r="N1732" t="s">
        <v>27252</v>
      </c>
      <c r="P1732" t="s">
        <v>27341</v>
      </c>
      <c r="Q1732" s="1">
        <v>45250</v>
      </c>
      <c r="R1732" t="s">
        <v>27253</v>
      </c>
      <c r="S1732" t="s">
        <v>27254</v>
      </c>
      <c r="T1732" t="s">
        <v>27265</v>
      </c>
    </row>
    <row r="1733" spans="1:20" x14ac:dyDescent="0.3">
      <c r="A1733" t="str">
        <f>"0611860780050"</f>
        <v>0611860780050</v>
      </c>
      <c r="B1733" t="str">
        <f>"CR5144"</f>
        <v>CR5144</v>
      </c>
      <c r="C1733" t="s">
        <v>30611</v>
      </c>
      <c r="D1733" t="s">
        <v>27271</v>
      </c>
      <c r="E1733" t="str">
        <f t="shared" si="27"/>
        <v>001390</v>
      </c>
      <c r="F1733" t="s">
        <v>27246</v>
      </c>
      <c r="G1733" t="s">
        <v>27247</v>
      </c>
      <c r="H1733" t="s">
        <v>27248</v>
      </c>
      <c r="I1733" t="s">
        <v>30612</v>
      </c>
      <c r="J1733" t="s">
        <v>3475</v>
      </c>
      <c r="L1733" t="s">
        <v>27250</v>
      </c>
      <c r="M1733" t="s">
        <v>27251</v>
      </c>
      <c r="N1733" t="s">
        <v>27252</v>
      </c>
      <c r="P1733" t="s">
        <v>27341</v>
      </c>
      <c r="Q1733" s="1">
        <v>44846</v>
      </c>
      <c r="R1733" t="s">
        <v>27253</v>
      </c>
      <c r="S1733" t="s">
        <v>27254</v>
      </c>
      <c r="T1733" t="s">
        <v>27265</v>
      </c>
    </row>
    <row r="1734" spans="1:20" x14ac:dyDescent="0.3">
      <c r="A1734" t="str">
        <f>"0611884070050"</f>
        <v>0611884070050</v>
      </c>
      <c r="B1734" t="str">
        <f>"CR5319"</f>
        <v>CR5319</v>
      </c>
      <c r="C1734" t="s">
        <v>30613</v>
      </c>
      <c r="D1734" t="s">
        <v>27271</v>
      </c>
      <c r="E1734" t="str">
        <f t="shared" si="27"/>
        <v>001390</v>
      </c>
      <c r="F1734" t="s">
        <v>27246</v>
      </c>
      <c r="G1734" t="s">
        <v>27247</v>
      </c>
      <c r="H1734" t="s">
        <v>27248</v>
      </c>
      <c r="I1734" t="s">
        <v>30614</v>
      </c>
      <c r="J1734" t="s">
        <v>3477</v>
      </c>
      <c r="L1734" t="s">
        <v>27430</v>
      </c>
      <c r="M1734" t="s">
        <v>27251</v>
      </c>
      <c r="N1734" t="s">
        <v>27252</v>
      </c>
      <c r="P1734" t="s">
        <v>27341</v>
      </c>
      <c r="Q1734" s="1">
        <v>45250</v>
      </c>
      <c r="R1734" t="s">
        <v>27253</v>
      </c>
      <c r="S1734" t="s">
        <v>27254</v>
      </c>
      <c r="T1734" t="s">
        <v>27265</v>
      </c>
    </row>
    <row r="1735" spans="1:20" x14ac:dyDescent="0.3">
      <c r="A1735" t="str">
        <f>"0611860781050"</f>
        <v>0611860781050</v>
      </c>
      <c r="B1735" t="str">
        <f>"CR3719"</f>
        <v>CR3719</v>
      </c>
      <c r="C1735" t="s">
        <v>30615</v>
      </c>
      <c r="D1735" t="s">
        <v>27271</v>
      </c>
      <c r="E1735" t="str">
        <f t="shared" si="27"/>
        <v>001390</v>
      </c>
      <c r="F1735" t="s">
        <v>27246</v>
      </c>
      <c r="G1735" t="s">
        <v>27247</v>
      </c>
      <c r="H1735" t="s">
        <v>27248</v>
      </c>
      <c r="I1735" t="s">
        <v>30616</v>
      </c>
      <c r="J1735" t="s">
        <v>3479</v>
      </c>
      <c r="L1735" t="s">
        <v>27250</v>
      </c>
      <c r="M1735" t="s">
        <v>27251</v>
      </c>
      <c r="N1735" t="s">
        <v>27252</v>
      </c>
      <c r="P1735" t="s">
        <v>27341</v>
      </c>
      <c r="Q1735" s="1">
        <v>44846</v>
      </c>
      <c r="R1735" t="s">
        <v>27253</v>
      </c>
      <c r="S1735" t="s">
        <v>27254</v>
      </c>
      <c r="T1735" t="s">
        <v>27265</v>
      </c>
    </row>
    <row r="1736" spans="1:20" x14ac:dyDescent="0.3">
      <c r="A1736" t="str">
        <f>"0611860782050"</f>
        <v>0611860782050</v>
      </c>
      <c r="B1736" t="str">
        <f>"CR4783"</f>
        <v>CR4783</v>
      </c>
      <c r="C1736" t="s">
        <v>30617</v>
      </c>
      <c r="D1736" t="s">
        <v>27271</v>
      </c>
      <c r="E1736" t="str">
        <f t="shared" si="27"/>
        <v>001390</v>
      </c>
      <c r="F1736" t="s">
        <v>27246</v>
      </c>
      <c r="G1736" t="s">
        <v>27247</v>
      </c>
      <c r="H1736" t="s">
        <v>27248</v>
      </c>
      <c r="I1736" t="s">
        <v>30618</v>
      </c>
      <c r="J1736" t="s">
        <v>3481</v>
      </c>
      <c r="L1736" t="s">
        <v>27250</v>
      </c>
      <c r="M1736" t="s">
        <v>27251</v>
      </c>
      <c r="N1736" t="s">
        <v>27252</v>
      </c>
      <c r="P1736" t="s">
        <v>27341</v>
      </c>
      <c r="Q1736" s="1">
        <v>44846</v>
      </c>
      <c r="R1736" t="s">
        <v>27253</v>
      </c>
      <c r="S1736" t="s">
        <v>27254</v>
      </c>
      <c r="T1736" t="s">
        <v>27265</v>
      </c>
    </row>
    <row r="1737" spans="1:20" x14ac:dyDescent="0.3">
      <c r="A1737" t="str">
        <f>"0611860783050"</f>
        <v>0611860783050</v>
      </c>
      <c r="B1737" t="str">
        <f>"CR5145"</f>
        <v>CR5145</v>
      </c>
      <c r="C1737" t="s">
        <v>30619</v>
      </c>
      <c r="D1737" t="s">
        <v>27271</v>
      </c>
      <c r="E1737" t="str">
        <f t="shared" si="27"/>
        <v>001390</v>
      </c>
      <c r="F1737" t="s">
        <v>27246</v>
      </c>
      <c r="G1737" t="s">
        <v>27247</v>
      </c>
      <c r="H1737" t="s">
        <v>27248</v>
      </c>
      <c r="I1737" t="s">
        <v>30620</v>
      </c>
      <c r="J1737" t="s">
        <v>3483</v>
      </c>
      <c r="L1737" t="s">
        <v>27250</v>
      </c>
      <c r="M1737" t="s">
        <v>27251</v>
      </c>
      <c r="N1737" t="s">
        <v>27252</v>
      </c>
      <c r="P1737" t="s">
        <v>27341</v>
      </c>
      <c r="Q1737" s="1">
        <v>44846</v>
      </c>
      <c r="R1737" t="s">
        <v>27253</v>
      </c>
      <c r="S1737" t="s">
        <v>27254</v>
      </c>
      <c r="T1737" t="s">
        <v>27265</v>
      </c>
    </row>
    <row r="1738" spans="1:20" x14ac:dyDescent="0.3">
      <c r="A1738" t="str">
        <f>"0611860784050"</f>
        <v>0611860784050</v>
      </c>
      <c r="B1738" t="str">
        <f>"CR3713"</f>
        <v>CR3713</v>
      </c>
      <c r="C1738" t="s">
        <v>30621</v>
      </c>
      <c r="D1738" t="s">
        <v>27271</v>
      </c>
      <c r="E1738" t="str">
        <f t="shared" si="27"/>
        <v>001390</v>
      </c>
      <c r="F1738" t="s">
        <v>27246</v>
      </c>
      <c r="G1738" t="s">
        <v>27247</v>
      </c>
      <c r="H1738" t="s">
        <v>27248</v>
      </c>
      <c r="I1738" t="s">
        <v>30622</v>
      </c>
      <c r="J1738" t="s">
        <v>3485</v>
      </c>
      <c r="L1738" t="s">
        <v>27250</v>
      </c>
      <c r="M1738" t="s">
        <v>27251</v>
      </c>
      <c r="N1738" t="s">
        <v>27252</v>
      </c>
      <c r="P1738" t="s">
        <v>27341</v>
      </c>
      <c r="Q1738" s="1">
        <v>44846</v>
      </c>
      <c r="R1738" t="s">
        <v>27253</v>
      </c>
      <c r="S1738" t="s">
        <v>27254</v>
      </c>
      <c r="T1738" t="s">
        <v>27265</v>
      </c>
    </row>
    <row r="1739" spans="1:20" x14ac:dyDescent="0.3">
      <c r="A1739" t="str">
        <f>"0611860785050"</f>
        <v>0611860785050</v>
      </c>
      <c r="B1739" t="str">
        <f>"CR3714"</f>
        <v>CR3714</v>
      </c>
      <c r="C1739" t="s">
        <v>30623</v>
      </c>
      <c r="D1739" t="s">
        <v>27271</v>
      </c>
      <c r="E1739" t="str">
        <f t="shared" si="27"/>
        <v>001390</v>
      </c>
      <c r="F1739" t="s">
        <v>27246</v>
      </c>
      <c r="G1739" t="s">
        <v>27247</v>
      </c>
      <c r="H1739" t="s">
        <v>27248</v>
      </c>
      <c r="I1739" t="s">
        <v>30624</v>
      </c>
      <c r="J1739" t="s">
        <v>3487</v>
      </c>
      <c r="L1739" t="s">
        <v>27250</v>
      </c>
      <c r="M1739" t="s">
        <v>27251</v>
      </c>
      <c r="N1739" t="s">
        <v>27252</v>
      </c>
      <c r="P1739" t="s">
        <v>27341</v>
      </c>
      <c r="Q1739" s="1">
        <v>44846</v>
      </c>
      <c r="R1739" t="s">
        <v>27253</v>
      </c>
      <c r="S1739" t="s">
        <v>27254</v>
      </c>
      <c r="T1739" t="s">
        <v>27265</v>
      </c>
    </row>
    <row r="1740" spans="1:20" x14ac:dyDescent="0.3">
      <c r="A1740" t="str">
        <f>"0611860786050"</f>
        <v>0611860786050</v>
      </c>
      <c r="B1740" t="str">
        <f>"CR4006"</f>
        <v>CR4006</v>
      </c>
      <c r="C1740" t="s">
        <v>30625</v>
      </c>
      <c r="D1740" t="s">
        <v>27271</v>
      </c>
      <c r="E1740" t="str">
        <f t="shared" si="27"/>
        <v>001390</v>
      </c>
      <c r="F1740" t="s">
        <v>27246</v>
      </c>
      <c r="G1740" t="s">
        <v>27247</v>
      </c>
      <c r="H1740" t="s">
        <v>27248</v>
      </c>
      <c r="I1740" t="s">
        <v>30626</v>
      </c>
      <c r="J1740" t="s">
        <v>3489</v>
      </c>
      <c r="L1740" t="s">
        <v>27250</v>
      </c>
      <c r="M1740" t="s">
        <v>27251</v>
      </c>
      <c r="N1740" t="s">
        <v>27252</v>
      </c>
      <c r="P1740" t="s">
        <v>27341</v>
      </c>
      <c r="Q1740" s="1">
        <v>44846</v>
      </c>
      <c r="R1740" t="s">
        <v>27253</v>
      </c>
      <c r="S1740" t="s">
        <v>27254</v>
      </c>
      <c r="T1740" t="s">
        <v>27265</v>
      </c>
    </row>
    <row r="1741" spans="1:20" x14ac:dyDescent="0.3">
      <c r="A1741" t="str">
        <f>"0611860787050"</f>
        <v>0611860787050</v>
      </c>
      <c r="B1741" t="str">
        <f>"CR4007"</f>
        <v>CR4007</v>
      </c>
      <c r="C1741" t="s">
        <v>30627</v>
      </c>
      <c r="D1741" t="s">
        <v>27271</v>
      </c>
      <c r="E1741" t="str">
        <f t="shared" si="27"/>
        <v>001390</v>
      </c>
      <c r="F1741" t="s">
        <v>27246</v>
      </c>
      <c r="G1741" t="s">
        <v>27247</v>
      </c>
      <c r="H1741" t="s">
        <v>27248</v>
      </c>
      <c r="I1741" t="s">
        <v>30628</v>
      </c>
      <c r="J1741" t="s">
        <v>3491</v>
      </c>
      <c r="L1741" t="s">
        <v>27250</v>
      </c>
      <c r="M1741" t="s">
        <v>27251</v>
      </c>
      <c r="N1741" t="s">
        <v>27252</v>
      </c>
      <c r="P1741" t="s">
        <v>27341</v>
      </c>
      <c r="Q1741" s="1">
        <v>44846</v>
      </c>
      <c r="R1741" t="s">
        <v>27253</v>
      </c>
      <c r="S1741" t="s">
        <v>27254</v>
      </c>
      <c r="T1741" t="s">
        <v>27265</v>
      </c>
    </row>
    <row r="1742" spans="1:20" x14ac:dyDescent="0.3">
      <c r="A1742" t="str">
        <f>"0611860788050"</f>
        <v>0611860788050</v>
      </c>
      <c r="B1742" t="str">
        <f>"CE1171"</f>
        <v>CE1171</v>
      </c>
      <c r="C1742" t="s">
        <v>30629</v>
      </c>
      <c r="D1742" t="s">
        <v>27923</v>
      </c>
      <c r="E1742" t="str">
        <f t="shared" si="27"/>
        <v>001390</v>
      </c>
      <c r="F1742" t="s">
        <v>27246</v>
      </c>
      <c r="G1742" t="s">
        <v>27247</v>
      </c>
      <c r="H1742" t="s">
        <v>27248</v>
      </c>
      <c r="I1742" t="s">
        <v>30630</v>
      </c>
      <c r="J1742" t="s">
        <v>3493</v>
      </c>
      <c r="L1742" t="s">
        <v>27250</v>
      </c>
      <c r="M1742" t="s">
        <v>27251</v>
      </c>
      <c r="N1742" t="s">
        <v>27252</v>
      </c>
      <c r="P1742" t="s">
        <v>27925</v>
      </c>
      <c r="Q1742" s="1">
        <v>44846</v>
      </c>
      <c r="R1742" t="s">
        <v>27253</v>
      </c>
      <c r="S1742" t="s">
        <v>27254</v>
      </c>
      <c r="T1742" t="s">
        <v>27265</v>
      </c>
    </row>
    <row r="1743" spans="1:20" x14ac:dyDescent="0.3">
      <c r="A1743" t="str">
        <f>"0611860789050"</f>
        <v>0611860789050</v>
      </c>
      <c r="B1743" t="str">
        <f>"CE1172"</f>
        <v>CE1172</v>
      </c>
      <c r="C1743" t="s">
        <v>30631</v>
      </c>
      <c r="D1743" t="s">
        <v>27923</v>
      </c>
      <c r="E1743" t="str">
        <f t="shared" si="27"/>
        <v>001390</v>
      </c>
      <c r="F1743" t="s">
        <v>27246</v>
      </c>
      <c r="G1743" t="s">
        <v>27247</v>
      </c>
      <c r="H1743" t="s">
        <v>27248</v>
      </c>
      <c r="I1743" t="s">
        <v>30632</v>
      </c>
      <c r="J1743" t="s">
        <v>3495</v>
      </c>
      <c r="L1743" t="s">
        <v>27250</v>
      </c>
      <c r="M1743" t="s">
        <v>27251</v>
      </c>
      <c r="N1743" t="s">
        <v>27252</v>
      </c>
      <c r="P1743" t="s">
        <v>27925</v>
      </c>
      <c r="Q1743" s="1">
        <v>44846</v>
      </c>
      <c r="R1743" t="s">
        <v>27253</v>
      </c>
      <c r="S1743" t="s">
        <v>27254</v>
      </c>
      <c r="T1743" t="s">
        <v>27265</v>
      </c>
    </row>
    <row r="1744" spans="1:20" x14ac:dyDescent="0.3">
      <c r="A1744" t="str">
        <f>"0611860790050"</f>
        <v>0611860790050</v>
      </c>
      <c r="B1744" t="str">
        <f>"CE1173"</f>
        <v>CE1173</v>
      </c>
      <c r="C1744" t="s">
        <v>30633</v>
      </c>
      <c r="D1744" t="s">
        <v>27923</v>
      </c>
      <c r="E1744" t="str">
        <f t="shared" si="27"/>
        <v>001390</v>
      </c>
      <c r="F1744" t="s">
        <v>27246</v>
      </c>
      <c r="G1744" t="s">
        <v>27247</v>
      </c>
      <c r="H1744" t="s">
        <v>27248</v>
      </c>
      <c r="I1744" t="s">
        <v>30634</v>
      </c>
      <c r="J1744" t="s">
        <v>3499</v>
      </c>
      <c r="L1744" t="s">
        <v>27250</v>
      </c>
      <c r="M1744" t="s">
        <v>27251</v>
      </c>
      <c r="N1744" t="s">
        <v>27252</v>
      </c>
      <c r="P1744" t="s">
        <v>27925</v>
      </c>
      <c r="Q1744" s="1">
        <v>44846</v>
      </c>
      <c r="R1744" t="s">
        <v>27253</v>
      </c>
      <c r="S1744" t="s">
        <v>27254</v>
      </c>
      <c r="T1744" t="s">
        <v>27265</v>
      </c>
    </row>
    <row r="1745" spans="1:20" x14ac:dyDescent="0.3">
      <c r="A1745" t="str">
        <f>"0611860791050"</f>
        <v>0611860791050</v>
      </c>
      <c r="B1745" t="str">
        <f>"CE1643"</f>
        <v>CE1643</v>
      </c>
      <c r="C1745" t="s">
        <v>30635</v>
      </c>
      <c r="D1745" t="s">
        <v>27923</v>
      </c>
      <c r="E1745" t="str">
        <f t="shared" si="27"/>
        <v>001390</v>
      </c>
      <c r="F1745" t="s">
        <v>27246</v>
      </c>
      <c r="G1745" t="s">
        <v>27247</v>
      </c>
      <c r="H1745" t="s">
        <v>27248</v>
      </c>
      <c r="I1745" t="s">
        <v>30636</v>
      </c>
      <c r="J1745" t="s">
        <v>3497</v>
      </c>
      <c r="L1745" t="s">
        <v>27250</v>
      </c>
      <c r="M1745" t="s">
        <v>27251</v>
      </c>
      <c r="N1745" t="s">
        <v>27252</v>
      </c>
      <c r="P1745" t="s">
        <v>27925</v>
      </c>
      <c r="Q1745" s="1">
        <v>44846</v>
      </c>
      <c r="R1745" t="s">
        <v>27253</v>
      </c>
      <c r="S1745" t="s">
        <v>27254</v>
      </c>
      <c r="T1745" t="s">
        <v>27265</v>
      </c>
    </row>
    <row r="1746" spans="1:20" x14ac:dyDescent="0.3">
      <c r="A1746" t="str">
        <f>"0611860792050"</f>
        <v>0611860792050</v>
      </c>
      <c r="B1746" t="str">
        <f>"CE1266"</f>
        <v>CE1266</v>
      </c>
      <c r="C1746" t="s">
        <v>30637</v>
      </c>
      <c r="D1746" t="s">
        <v>27923</v>
      </c>
      <c r="E1746" t="str">
        <f t="shared" si="27"/>
        <v>001390</v>
      </c>
      <c r="F1746" t="s">
        <v>27246</v>
      </c>
      <c r="G1746" t="s">
        <v>27247</v>
      </c>
      <c r="H1746" t="s">
        <v>27248</v>
      </c>
      <c r="I1746" t="s">
        <v>30638</v>
      </c>
      <c r="J1746" t="s">
        <v>3501</v>
      </c>
      <c r="L1746" t="s">
        <v>27250</v>
      </c>
      <c r="M1746" t="s">
        <v>27251</v>
      </c>
      <c r="N1746" t="s">
        <v>27252</v>
      </c>
      <c r="P1746" t="s">
        <v>27925</v>
      </c>
      <c r="Q1746" s="1">
        <v>44846</v>
      </c>
      <c r="R1746" t="s">
        <v>27253</v>
      </c>
      <c r="S1746" t="s">
        <v>27254</v>
      </c>
      <c r="T1746" t="s">
        <v>27265</v>
      </c>
    </row>
    <row r="1747" spans="1:20" x14ac:dyDescent="0.3">
      <c r="A1747" t="str">
        <f>"0611860793050"</f>
        <v>0611860793050</v>
      </c>
      <c r="B1747" t="str">
        <f>"CE1174"</f>
        <v>CE1174</v>
      </c>
      <c r="C1747" t="s">
        <v>30639</v>
      </c>
      <c r="D1747" t="s">
        <v>27923</v>
      </c>
      <c r="E1747" t="str">
        <f t="shared" si="27"/>
        <v>001390</v>
      </c>
      <c r="F1747" t="s">
        <v>27246</v>
      </c>
      <c r="G1747" t="s">
        <v>27247</v>
      </c>
      <c r="H1747" t="s">
        <v>27248</v>
      </c>
      <c r="I1747" t="s">
        <v>30640</v>
      </c>
      <c r="J1747" t="s">
        <v>3503</v>
      </c>
      <c r="L1747" t="s">
        <v>27250</v>
      </c>
      <c r="M1747" t="s">
        <v>27251</v>
      </c>
      <c r="N1747" t="s">
        <v>27252</v>
      </c>
      <c r="P1747" t="s">
        <v>27925</v>
      </c>
      <c r="Q1747" s="1">
        <v>44846</v>
      </c>
      <c r="R1747" t="s">
        <v>27253</v>
      </c>
      <c r="S1747" t="s">
        <v>27254</v>
      </c>
      <c r="T1747" t="s">
        <v>27265</v>
      </c>
    </row>
    <row r="1748" spans="1:20" x14ac:dyDescent="0.3">
      <c r="A1748" t="str">
        <f>"0611860795050"</f>
        <v>0611860795050</v>
      </c>
      <c r="B1748" t="str">
        <f>"CE1267"</f>
        <v>CE1267</v>
      </c>
      <c r="C1748" t="s">
        <v>30641</v>
      </c>
      <c r="D1748" t="s">
        <v>27923</v>
      </c>
      <c r="E1748" t="str">
        <f t="shared" si="27"/>
        <v>001390</v>
      </c>
      <c r="F1748" t="s">
        <v>27246</v>
      </c>
      <c r="G1748" t="s">
        <v>27247</v>
      </c>
      <c r="H1748" t="s">
        <v>27248</v>
      </c>
      <c r="I1748" t="s">
        <v>30642</v>
      </c>
      <c r="J1748" t="s">
        <v>3505</v>
      </c>
      <c r="L1748" t="s">
        <v>27250</v>
      </c>
      <c r="M1748" t="s">
        <v>27251</v>
      </c>
      <c r="N1748" t="s">
        <v>27252</v>
      </c>
      <c r="P1748" t="s">
        <v>27925</v>
      </c>
      <c r="Q1748" s="1">
        <v>44846</v>
      </c>
      <c r="R1748" t="s">
        <v>27253</v>
      </c>
      <c r="S1748" t="s">
        <v>27254</v>
      </c>
      <c r="T1748" t="s">
        <v>27265</v>
      </c>
    </row>
    <row r="1749" spans="1:20" x14ac:dyDescent="0.3">
      <c r="A1749" t="str">
        <f>"0611860796050"</f>
        <v>0611860796050</v>
      </c>
      <c r="B1749" t="str">
        <f>"CE1268"</f>
        <v>CE1268</v>
      </c>
      <c r="C1749" t="s">
        <v>30643</v>
      </c>
      <c r="D1749" t="s">
        <v>27923</v>
      </c>
      <c r="E1749" t="str">
        <f t="shared" si="27"/>
        <v>001390</v>
      </c>
      <c r="F1749" t="s">
        <v>27246</v>
      </c>
      <c r="G1749" t="s">
        <v>27247</v>
      </c>
      <c r="H1749" t="s">
        <v>27248</v>
      </c>
      <c r="I1749" t="s">
        <v>30644</v>
      </c>
      <c r="J1749" t="s">
        <v>3507</v>
      </c>
      <c r="L1749" t="s">
        <v>27250</v>
      </c>
      <c r="M1749" t="s">
        <v>27251</v>
      </c>
      <c r="N1749" t="s">
        <v>27252</v>
      </c>
      <c r="P1749" t="s">
        <v>27925</v>
      </c>
      <c r="Q1749" s="1">
        <v>44846</v>
      </c>
      <c r="R1749" t="s">
        <v>27253</v>
      </c>
      <c r="S1749" t="s">
        <v>27254</v>
      </c>
      <c r="T1749" t="s">
        <v>27265</v>
      </c>
    </row>
    <row r="1750" spans="1:20" x14ac:dyDescent="0.3">
      <c r="A1750" t="str">
        <f>"0611860797050"</f>
        <v>0611860797050</v>
      </c>
      <c r="B1750" t="str">
        <f>"CE1176"</f>
        <v>CE1176</v>
      </c>
      <c r="C1750" t="s">
        <v>30645</v>
      </c>
      <c r="D1750" t="s">
        <v>27923</v>
      </c>
      <c r="E1750" t="str">
        <f t="shared" si="27"/>
        <v>001390</v>
      </c>
      <c r="F1750" t="s">
        <v>27246</v>
      </c>
      <c r="G1750" t="s">
        <v>27247</v>
      </c>
      <c r="H1750" t="s">
        <v>27248</v>
      </c>
      <c r="I1750" t="s">
        <v>30646</v>
      </c>
      <c r="J1750" t="s">
        <v>3509</v>
      </c>
      <c r="L1750" t="s">
        <v>27250</v>
      </c>
      <c r="M1750" t="s">
        <v>27251</v>
      </c>
      <c r="N1750" t="s">
        <v>27252</v>
      </c>
      <c r="P1750" t="s">
        <v>27925</v>
      </c>
      <c r="Q1750" s="1">
        <v>44846</v>
      </c>
      <c r="R1750" t="s">
        <v>27253</v>
      </c>
      <c r="S1750" t="s">
        <v>27254</v>
      </c>
      <c r="T1750" t="s">
        <v>27265</v>
      </c>
    </row>
    <row r="1751" spans="1:20" x14ac:dyDescent="0.3">
      <c r="A1751" t="str">
        <f>"0611832071100"</f>
        <v>0611832071100</v>
      </c>
      <c r="B1751" t="str">
        <f>"LQ0864"</f>
        <v>LQ0864</v>
      </c>
      <c r="C1751" t="s">
        <v>30647</v>
      </c>
      <c r="D1751" t="s">
        <v>27245</v>
      </c>
      <c r="E1751" t="str">
        <f t="shared" si="27"/>
        <v>001390</v>
      </c>
      <c r="F1751" t="s">
        <v>27246</v>
      </c>
      <c r="G1751" t="s">
        <v>27247</v>
      </c>
      <c r="H1751" t="s">
        <v>27248</v>
      </c>
      <c r="I1751" t="s">
        <v>30648</v>
      </c>
      <c r="J1751" t="s">
        <v>3511</v>
      </c>
      <c r="L1751" t="s">
        <v>27250</v>
      </c>
      <c r="M1751" t="s">
        <v>27251</v>
      </c>
      <c r="N1751" t="s">
        <v>27252</v>
      </c>
      <c r="Q1751" s="1">
        <v>44538</v>
      </c>
      <c r="R1751" t="s">
        <v>27253</v>
      </c>
      <c r="S1751" t="s">
        <v>27254</v>
      </c>
      <c r="T1751" t="s">
        <v>27255</v>
      </c>
    </row>
    <row r="1752" spans="1:20" x14ac:dyDescent="0.3">
      <c r="A1752" t="str">
        <f>"0611832072100"</f>
        <v>0611832072100</v>
      </c>
      <c r="B1752" t="str">
        <f>"MB1202"</f>
        <v>MB1202</v>
      </c>
      <c r="C1752" t="s">
        <v>30649</v>
      </c>
      <c r="D1752" t="s">
        <v>27274</v>
      </c>
      <c r="E1752" t="str">
        <f t="shared" si="27"/>
        <v>001390</v>
      </c>
      <c r="F1752" t="s">
        <v>27246</v>
      </c>
      <c r="G1752" t="s">
        <v>27247</v>
      </c>
      <c r="H1752" t="s">
        <v>27248</v>
      </c>
      <c r="I1752" t="s">
        <v>30650</v>
      </c>
      <c r="J1752" t="s">
        <v>3513</v>
      </c>
      <c r="L1752" t="s">
        <v>27250</v>
      </c>
      <c r="M1752" t="s">
        <v>27251</v>
      </c>
      <c r="N1752" t="s">
        <v>27252</v>
      </c>
      <c r="Q1752" s="1">
        <v>44538</v>
      </c>
      <c r="R1752" t="s">
        <v>27253</v>
      </c>
      <c r="S1752" t="s">
        <v>27254</v>
      </c>
      <c r="T1752" t="s">
        <v>27276</v>
      </c>
    </row>
    <row r="1753" spans="1:20" x14ac:dyDescent="0.3">
      <c r="A1753" t="str">
        <f>"0611832073025"</f>
        <v>0611832073025</v>
      </c>
      <c r="B1753" t="str">
        <f>"MC1423"</f>
        <v>MC1423</v>
      </c>
      <c r="C1753" t="s">
        <v>30649</v>
      </c>
      <c r="D1753" t="s">
        <v>27267</v>
      </c>
      <c r="E1753" t="str">
        <f t="shared" si="27"/>
        <v>001390</v>
      </c>
      <c r="F1753" t="s">
        <v>27246</v>
      </c>
      <c r="G1753" t="s">
        <v>27247</v>
      </c>
      <c r="H1753" t="s">
        <v>27248</v>
      </c>
      <c r="I1753" t="s">
        <v>30651</v>
      </c>
      <c r="J1753" t="s">
        <v>3515</v>
      </c>
      <c r="L1753" t="s">
        <v>27250</v>
      </c>
      <c r="M1753" t="s">
        <v>27251</v>
      </c>
      <c r="N1753" t="s">
        <v>27252</v>
      </c>
      <c r="Q1753" s="1">
        <v>44538</v>
      </c>
      <c r="R1753" t="s">
        <v>27253</v>
      </c>
      <c r="S1753" t="s">
        <v>27254</v>
      </c>
      <c r="T1753" t="s">
        <v>27269</v>
      </c>
    </row>
    <row r="1754" spans="1:20" x14ac:dyDescent="0.3">
      <c r="A1754" t="str">
        <f>"0611884071100"</f>
        <v>0611884071100</v>
      </c>
      <c r="B1754" t="str">
        <f>"LQ3910"</f>
        <v>LQ3910</v>
      </c>
      <c r="C1754" t="s">
        <v>30652</v>
      </c>
      <c r="D1754" t="s">
        <v>27245</v>
      </c>
      <c r="E1754" t="str">
        <f t="shared" si="27"/>
        <v>001390</v>
      </c>
      <c r="F1754" t="s">
        <v>27246</v>
      </c>
      <c r="G1754" t="s">
        <v>27247</v>
      </c>
      <c r="H1754" t="s">
        <v>27248</v>
      </c>
      <c r="I1754" t="s">
        <v>30653</v>
      </c>
      <c r="J1754" t="s">
        <v>3517</v>
      </c>
      <c r="L1754" t="s">
        <v>27430</v>
      </c>
      <c r="M1754" t="s">
        <v>27251</v>
      </c>
      <c r="N1754" t="s">
        <v>27252</v>
      </c>
      <c r="Q1754" s="1">
        <v>45250</v>
      </c>
      <c r="R1754" t="s">
        <v>27253</v>
      </c>
      <c r="S1754" t="s">
        <v>27254</v>
      </c>
      <c r="T1754" t="s">
        <v>27255</v>
      </c>
    </row>
    <row r="1755" spans="1:20" x14ac:dyDescent="0.3">
      <c r="A1755" t="str">
        <f>"0611832074100"</f>
        <v>0611832074100</v>
      </c>
      <c r="B1755" t="str">
        <f>"LQ3319"</f>
        <v>LQ3319</v>
      </c>
      <c r="C1755" t="s">
        <v>30654</v>
      </c>
      <c r="D1755" t="s">
        <v>27245</v>
      </c>
      <c r="E1755" t="str">
        <f t="shared" si="27"/>
        <v>001390</v>
      </c>
      <c r="F1755" t="s">
        <v>27246</v>
      </c>
      <c r="G1755" t="s">
        <v>27247</v>
      </c>
      <c r="H1755" t="s">
        <v>27248</v>
      </c>
      <c r="I1755" t="s">
        <v>30655</v>
      </c>
      <c r="J1755" t="s">
        <v>3519</v>
      </c>
      <c r="L1755" t="s">
        <v>27250</v>
      </c>
      <c r="M1755" t="s">
        <v>27251</v>
      </c>
      <c r="N1755" t="s">
        <v>27252</v>
      </c>
      <c r="Q1755" s="1">
        <v>44538</v>
      </c>
      <c r="R1755" t="s">
        <v>27253</v>
      </c>
      <c r="S1755" t="s">
        <v>27254</v>
      </c>
      <c r="T1755" t="s">
        <v>27255</v>
      </c>
    </row>
    <row r="1756" spans="1:20" x14ac:dyDescent="0.3">
      <c r="A1756" t="str">
        <f>"0611832075100"</f>
        <v>0611832075100</v>
      </c>
      <c r="B1756" t="str">
        <f>"LQ3291"</f>
        <v>LQ3291</v>
      </c>
      <c r="C1756" t="s">
        <v>30656</v>
      </c>
      <c r="D1756" t="s">
        <v>27245</v>
      </c>
      <c r="E1756" t="str">
        <f t="shared" si="27"/>
        <v>001390</v>
      </c>
      <c r="F1756" t="s">
        <v>27246</v>
      </c>
      <c r="G1756" t="s">
        <v>27247</v>
      </c>
      <c r="H1756" t="s">
        <v>27248</v>
      </c>
      <c r="I1756" t="s">
        <v>30657</v>
      </c>
      <c r="J1756" t="s">
        <v>3521</v>
      </c>
      <c r="L1756" t="s">
        <v>27250</v>
      </c>
      <c r="M1756" t="s">
        <v>27251</v>
      </c>
      <c r="N1756" t="s">
        <v>27252</v>
      </c>
      <c r="Q1756" s="1">
        <v>44538</v>
      </c>
      <c r="R1756" t="s">
        <v>27253</v>
      </c>
      <c r="S1756" t="s">
        <v>27254</v>
      </c>
      <c r="T1756" t="s">
        <v>27255</v>
      </c>
    </row>
    <row r="1757" spans="1:20" x14ac:dyDescent="0.3">
      <c r="A1757" t="str">
        <f>"0611832076100"</f>
        <v>0611832076100</v>
      </c>
      <c r="B1757" t="str">
        <f>"LQ3292"</f>
        <v>LQ3292</v>
      </c>
      <c r="C1757" t="s">
        <v>30658</v>
      </c>
      <c r="D1757" t="s">
        <v>27245</v>
      </c>
      <c r="E1757" t="str">
        <f t="shared" si="27"/>
        <v>001390</v>
      </c>
      <c r="F1757" t="s">
        <v>27246</v>
      </c>
      <c r="G1757" t="s">
        <v>27247</v>
      </c>
      <c r="H1757" t="s">
        <v>27248</v>
      </c>
      <c r="I1757" t="s">
        <v>30659</v>
      </c>
      <c r="J1757" t="s">
        <v>3523</v>
      </c>
      <c r="L1757" t="s">
        <v>27250</v>
      </c>
      <c r="M1757" t="s">
        <v>27251</v>
      </c>
      <c r="N1757" t="s">
        <v>27252</v>
      </c>
      <c r="Q1757" s="1">
        <v>44538</v>
      </c>
      <c r="R1757" t="s">
        <v>27253</v>
      </c>
      <c r="S1757" t="s">
        <v>27254</v>
      </c>
      <c r="T1757" t="s">
        <v>27255</v>
      </c>
    </row>
    <row r="1758" spans="1:20" x14ac:dyDescent="0.3">
      <c r="A1758" t="str">
        <f>"0611832077100"</f>
        <v>0611832077100</v>
      </c>
      <c r="B1758" t="str">
        <f>"LQ3320"</f>
        <v>LQ3320</v>
      </c>
      <c r="C1758" t="s">
        <v>30660</v>
      </c>
      <c r="D1758" t="s">
        <v>27245</v>
      </c>
      <c r="E1758" t="str">
        <f t="shared" si="27"/>
        <v>001390</v>
      </c>
      <c r="F1758" t="s">
        <v>27246</v>
      </c>
      <c r="G1758" t="s">
        <v>27247</v>
      </c>
      <c r="H1758" t="s">
        <v>27248</v>
      </c>
      <c r="I1758" t="s">
        <v>30661</v>
      </c>
      <c r="J1758" t="s">
        <v>3525</v>
      </c>
      <c r="L1758" t="s">
        <v>27250</v>
      </c>
      <c r="M1758" t="s">
        <v>27251</v>
      </c>
      <c r="N1758" t="s">
        <v>27252</v>
      </c>
      <c r="Q1758" s="1">
        <v>44538</v>
      </c>
      <c r="R1758" t="s">
        <v>27253</v>
      </c>
      <c r="S1758" t="s">
        <v>27254</v>
      </c>
      <c r="T1758" t="s">
        <v>27255</v>
      </c>
    </row>
    <row r="1759" spans="1:20" x14ac:dyDescent="0.3">
      <c r="A1759" t="str">
        <f>"0611884072100"</f>
        <v>0611884072100</v>
      </c>
      <c r="B1759" t="str">
        <f>"LQ3911"</f>
        <v>LQ3911</v>
      </c>
      <c r="C1759" t="s">
        <v>30662</v>
      </c>
      <c r="D1759" t="s">
        <v>27245</v>
      </c>
      <c r="E1759" t="str">
        <f t="shared" si="27"/>
        <v>001390</v>
      </c>
      <c r="F1759" t="s">
        <v>27246</v>
      </c>
      <c r="G1759" t="s">
        <v>27247</v>
      </c>
      <c r="H1759" t="s">
        <v>27248</v>
      </c>
      <c r="I1759" t="s">
        <v>30663</v>
      </c>
      <c r="J1759" t="s">
        <v>3527</v>
      </c>
      <c r="L1759" t="s">
        <v>27430</v>
      </c>
      <c r="M1759" t="s">
        <v>27251</v>
      </c>
      <c r="N1759" t="s">
        <v>27252</v>
      </c>
      <c r="Q1759" s="1">
        <v>45250</v>
      </c>
      <c r="R1759" t="s">
        <v>27253</v>
      </c>
      <c r="S1759" t="s">
        <v>27254</v>
      </c>
      <c r="T1759" t="s">
        <v>27255</v>
      </c>
    </row>
    <row r="1760" spans="1:20" x14ac:dyDescent="0.3">
      <c r="A1760" t="str">
        <f>"0611832078100"</f>
        <v>0611832078100</v>
      </c>
      <c r="B1760" t="str">
        <f>"LQ3322"</f>
        <v>LQ3322</v>
      </c>
      <c r="C1760" t="s">
        <v>30664</v>
      </c>
      <c r="D1760" t="s">
        <v>27245</v>
      </c>
      <c r="E1760" t="str">
        <f t="shared" si="27"/>
        <v>001390</v>
      </c>
      <c r="F1760" t="s">
        <v>27246</v>
      </c>
      <c r="G1760" t="s">
        <v>27247</v>
      </c>
      <c r="H1760" t="s">
        <v>27248</v>
      </c>
      <c r="I1760" t="s">
        <v>30665</v>
      </c>
      <c r="J1760" t="s">
        <v>3529</v>
      </c>
      <c r="L1760" t="s">
        <v>27250</v>
      </c>
      <c r="M1760" t="s">
        <v>27251</v>
      </c>
      <c r="N1760" t="s">
        <v>27252</v>
      </c>
      <c r="Q1760" s="1">
        <v>44538</v>
      </c>
      <c r="R1760" t="s">
        <v>27253</v>
      </c>
      <c r="S1760" t="s">
        <v>27254</v>
      </c>
      <c r="T1760" t="s">
        <v>27255</v>
      </c>
    </row>
    <row r="1761" spans="1:20" x14ac:dyDescent="0.3">
      <c r="A1761" t="str">
        <f>"0611832079100"</f>
        <v>0611832079100</v>
      </c>
      <c r="B1761" t="str">
        <f>"LQ3323"</f>
        <v>LQ3323</v>
      </c>
      <c r="C1761" t="s">
        <v>30666</v>
      </c>
      <c r="D1761" t="s">
        <v>27245</v>
      </c>
      <c r="E1761" t="str">
        <f t="shared" si="27"/>
        <v>001390</v>
      </c>
      <c r="F1761" t="s">
        <v>27246</v>
      </c>
      <c r="G1761" t="s">
        <v>27247</v>
      </c>
      <c r="H1761" t="s">
        <v>27248</v>
      </c>
      <c r="I1761" t="s">
        <v>30667</v>
      </c>
      <c r="J1761" t="s">
        <v>3531</v>
      </c>
      <c r="L1761" t="s">
        <v>27250</v>
      </c>
      <c r="M1761" t="s">
        <v>27251</v>
      </c>
      <c r="N1761" t="s">
        <v>27252</v>
      </c>
      <c r="Q1761" s="1">
        <v>44538</v>
      </c>
      <c r="R1761" t="s">
        <v>27253</v>
      </c>
      <c r="S1761" t="s">
        <v>27254</v>
      </c>
      <c r="T1761" t="s">
        <v>27255</v>
      </c>
    </row>
    <row r="1762" spans="1:20" x14ac:dyDescent="0.3">
      <c r="A1762" t="str">
        <f>"0611860799050"</f>
        <v>0611860799050</v>
      </c>
      <c r="B1762" t="str">
        <f>"CR4010"</f>
        <v>CR4010</v>
      </c>
      <c r="C1762" t="s">
        <v>30668</v>
      </c>
      <c r="D1762" t="s">
        <v>27263</v>
      </c>
      <c r="E1762" t="str">
        <f t="shared" si="27"/>
        <v>001390</v>
      </c>
      <c r="F1762" t="s">
        <v>27246</v>
      </c>
      <c r="G1762" t="s">
        <v>27247</v>
      </c>
      <c r="H1762" t="s">
        <v>27248</v>
      </c>
      <c r="I1762" t="s">
        <v>30669</v>
      </c>
      <c r="J1762" t="s">
        <v>3533</v>
      </c>
      <c r="L1762" t="s">
        <v>27250</v>
      </c>
      <c r="M1762" t="s">
        <v>27251</v>
      </c>
      <c r="N1762" t="s">
        <v>27252</v>
      </c>
      <c r="Q1762" s="1">
        <v>44846</v>
      </c>
      <c r="R1762" t="s">
        <v>27253</v>
      </c>
      <c r="S1762" t="s">
        <v>27254</v>
      </c>
      <c r="T1762" t="s">
        <v>27265</v>
      </c>
    </row>
    <row r="1763" spans="1:20" x14ac:dyDescent="0.3">
      <c r="A1763" t="str">
        <f>"0611860800050"</f>
        <v>0611860800050</v>
      </c>
      <c r="B1763" t="str">
        <f>"CR4785"</f>
        <v>CR4785</v>
      </c>
      <c r="C1763" t="s">
        <v>30670</v>
      </c>
      <c r="D1763" t="s">
        <v>27263</v>
      </c>
      <c r="E1763" t="str">
        <f t="shared" si="27"/>
        <v>001390</v>
      </c>
      <c r="F1763" t="s">
        <v>27246</v>
      </c>
      <c r="G1763" t="s">
        <v>27247</v>
      </c>
      <c r="H1763" t="s">
        <v>27248</v>
      </c>
      <c r="I1763" t="s">
        <v>30671</v>
      </c>
      <c r="J1763" t="s">
        <v>3535</v>
      </c>
      <c r="L1763" t="s">
        <v>27250</v>
      </c>
      <c r="M1763" t="s">
        <v>27251</v>
      </c>
      <c r="N1763" t="s">
        <v>27252</v>
      </c>
      <c r="Q1763" s="1">
        <v>44846</v>
      </c>
      <c r="R1763" t="s">
        <v>27253</v>
      </c>
      <c r="S1763" t="s">
        <v>27254</v>
      </c>
      <c r="T1763" t="s">
        <v>27265</v>
      </c>
    </row>
    <row r="1764" spans="1:20" x14ac:dyDescent="0.3">
      <c r="A1764" t="str">
        <f>"0611860801050"</f>
        <v>0611860801050</v>
      </c>
      <c r="B1764" t="str">
        <f>"CR4922"</f>
        <v>CR4922</v>
      </c>
      <c r="C1764" t="s">
        <v>30672</v>
      </c>
      <c r="D1764" t="s">
        <v>27263</v>
      </c>
      <c r="E1764" t="str">
        <f t="shared" si="27"/>
        <v>001390</v>
      </c>
      <c r="F1764" t="s">
        <v>27246</v>
      </c>
      <c r="G1764" t="s">
        <v>27247</v>
      </c>
      <c r="H1764" t="s">
        <v>27248</v>
      </c>
      <c r="I1764" t="s">
        <v>30673</v>
      </c>
      <c r="J1764" t="s">
        <v>3537</v>
      </c>
      <c r="L1764" t="s">
        <v>27250</v>
      </c>
      <c r="M1764" t="s">
        <v>27251</v>
      </c>
      <c r="N1764" t="s">
        <v>27252</v>
      </c>
      <c r="O1764">
        <v>250</v>
      </c>
      <c r="Q1764" s="1">
        <v>44846</v>
      </c>
      <c r="R1764" t="s">
        <v>27253</v>
      </c>
      <c r="S1764" t="s">
        <v>27254</v>
      </c>
      <c r="T1764" t="s">
        <v>27265</v>
      </c>
    </row>
    <row r="1765" spans="1:20" x14ac:dyDescent="0.3">
      <c r="A1765" t="str">
        <f>"0611860802050"</f>
        <v>0611860802050</v>
      </c>
      <c r="B1765" t="str">
        <f>"CR5146"</f>
        <v>CR5146</v>
      </c>
      <c r="C1765" t="s">
        <v>30674</v>
      </c>
      <c r="D1765" t="s">
        <v>27263</v>
      </c>
      <c r="E1765" t="str">
        <f t="shared" si="27"/>
        <v>001390</v>
      </c>
      <c r="F1765" t="s">
        <v>27246</v>
      </c>
      <c r="G1765" t="s">
        <v>27247</v>
      </c>
      <c r="H1765" t="s">
        <v>27248</v>
      </c>
      <c r="I1765" t="s">
        <v>30675</v>
      </c>
      <c r="J1765" t="s">
        <v>3539</v>
      </c>
      <c r="L1765" t="s">
        <v>27250</v>
      </c>
      <c r="M1765" t="s">
        <v>27251</v>
      </c>
      <c r="N1765" t="s">
        <v>27252</v>
      </c>
      <c r="Q1765" s="1">
        <v>44846</v>
      </c>
      <c r="R1765" t="s">
        <v>27253</v>
      </c>
      <c r="S1765" t="s">
        <v>27254</v>
      </c>
      <c r="T1765" t="s">
        <v>27265</v>
      </c>
    </row>
    <row r="1766" spans="1:20" x14ac:dyDescent="0.3">
      <c r="A1766" t="str">
        <f>"0611860803050"</f>
        <v>0611860803050</v>
      </c>
      <c r="B1766" t="str">
        <f>"CR5147"</f>
        <v>CR5147</v>
      </c>
      <c r="C1766" t="s">
        <v>30676</v>
      </c>
      <c r="D1766" t="s">
        <v>27263</v>
      </c>
      <c r="E1766" t="str">
        <f t="shared" si="27"/>
        <v>001390</v>
      </c>
      <c r="F1766" t="s">
        <v>27246</v>
      </c>
      <c r="G1766" t="s">
        <v>27247</v>
      </c>
      <c r="H1766" t="s">
        <v>27248</v>
      </c>
      <c r="I1766" t="s">
        <v>30677</v>
      </c>
      <c r="J1766" t="s">
        <v>3541</v>
      </c>
      <c r="L1766" t="s">
        <v>27250</v>
      </c>
      <c r="M1766" t="s">
        <v>27251</v>
      </c>
      <c r="N1766" t="s">
        <v>27252</v>
      </c>
      <c r="Q1766" s="1">
        <v>44846</v>
      </c>
      <c r="R1766" t="s">
        <v>27253</v>
      </c>
      <c r="S1766" t="s">
        <v>27254</v>
      </c>
      <c r="T1766" t="s">
        <v>27265</v>
      </c>
    </row>
    <row r="1767" spans="1:20" x14ac:dyDescent="0.3">
      <c r="A1767" t="str">
        <f>"0611860804050"</f>
        <v>0611860804050</v>
      </c>
      <c r="B1767" t="str">
        <f>"CR5148"</f>
        <v>CR5148</v>
      </c>
      <c r="C1767" t="s">
        <v>30678</v>
      </c>
      <c r="D1767" t="s">
        <v>27263</v>
      </c>
      <c r="E1767" t="str">
        <f t="shared" si="27"/>
        <v>001390</v>
      </c>
      <c r="F1767" t="s">
        <v>27246</v>
      </c>
      <c r="G1767" t="s">
        <v>27247</v>
      </c>
      <c r="H1767" t="s">
        <v>27248</v>
      </c>
      <c r="I1767" t="s">
        <v>30679</v>
      </c>
      <c r="J1767" t="s">
        <v>3543</v>
      </c>
      <c r="L1767" t="s">
        <v>27250</v>
      </c>
      <c r="M1767" t="s">
        <v>27251</v>
      </c>
      <c r="N1767" t="s">
        <v>27252</v>
      </c>
      <c r="Q1767" s="1">
        <v>44846</v>
      </c>
      <c r="R1767" t="s">
        <v>27253</v>
      </c>
      <c r="S1767" t="s">
        <v>27254</v>
      </c>
      <c r="T1767" t="s">
        <v>27265</v>
      </c>
    </row>
    <row r="1768" spans="1:20" x14ac:dyDescent="0.3">
      <c r="A1768" t="str">
        <f>"0611860805050"</f>
        <v>0611860805050</v>
      </c>
      <c r="B1768" t="str">
        <f>"CR4923"</f>
        <v>CR4923</v>
      </c>
      <c r="C1768" t="s">
        <v>30680</v>
      </c>
      <c r="D1768" t="s">
        <v>27263</v>
      </c>
      <c r="E1768" t="str">
        <f t="shared" si="27"/>
        <v>001390</v>
      </c>
      <c r="F1768" t="s">
        <v>27246</v>
      </c>
      <c r="G1768" t="s">
        <v>27247</v>
      </c>
      <c r="H1768" t="s">
        <v>27248</v>
      </c>
      <c r="I1768" t="s">
        <v>30681</v>
      </c>
      <c r="J1768" t="s">
        <v>3545</v>
      </c>
      <c r="L1768" t="s">
        <v>27250</v>
      </c>
      <c r="M1768" t="s">
        <v>27251</v>
      </c>
      <c r="N1768" t="s">
        <v>27252</v>
      </c>
      <c r="Q1768" s="1">
        <v>44846</v>
      </c>
      <c r="R1768" t="s">
        <v>27253</v>
      </c>
      <c r="S1768" t="s">
        <v>27254</v>
      </c>
      <c r="T1768" t="s">
        <v>27265</v>
      </c>
    </row>
    <row r="1769" spans="1:20" x14ac:dyDescent="0.3">
      <c r="A1769" t="str">
        <f>"0611860807050"</f>
        <v>0611860807050</v>
      </c>
      <c r="B1769" t="str">
        <f>"CR4012"</f>
        <v>CR4012</v>
      </c>
      <c r="C1769" t="s">
        <v>30682</v>
      </c>
      <c r="D1769" t="s">
        <v>27263</v>
      </c>
      <c r="E1769" t="str">
        <f t="shared" si="27"/>
        <v>001390</v>
      </c>
      <c r="F1769" t="s">
        <v>27246</v>
      </c>
      <c r="G1769" t="s">
        <v>27247</v>
      </c>
      <c r="H1769" t="s">
        <v>27248</v>
      </c>
      <c r="I1769" t="s">
        <v>30683</v>
      </c>
      <c r="J1769" t="s">
        <v>3547</v>
      </c>
      <c r="L1769" t="s">
        <v>27250</v>
      </c>
      <c r="M1769" t="s">
        <v>27251</v>
      </c>
      <c r="N1769" t="s">
        <v>27252</v>
      </c>
      <c r="Q1769" s="1">
        <v>44846</v>
      </c>
      <c r="R1769" t="s">
        <v>27253</v>
      </c>
      <c r="S1769" t="s">
        <v>27254</v>
      </c>
      <c r="T1769" t="s">
        <v>27265</v>
      </c>
    </row>
    <row r="1770" spans="1:20" x14ac:dyDescent="0.3">
      <c r="A1770" t="str">
        <f>"0611860808050"</f>
        <v>0611860808050</v>
      </c>
      <c r="B1770" t="str">
        <f>"CR4013"</f>
        <v>CR4013</v>
      </c>
      <c r="C1770" t="s">
        <v>30684</v>
      </c>
      <c r="D1770" t="s">
        <v>27263</v>
      </c>
      <c r="E1770" t="str">
        <f t="shared" si="27"/>
        <v>001390</v>
      </c>
      <c r="F1770" t="s">
        <v>27246</v>
      </c>
      <c r="G1770" t="s">
        <v>27247</v>
      </c>
      <c r="H1770" t="s">
        <v>27248</v>
      </c>
      <c r="I1770" t="s">
        <v>30685</v>
      </c>
      <c r="J1770" t="s">
        <v>3549</v>
      </c>
      <c r="L1770" t="s">
        <v>27250</v>
      </c>
      <c r="M1770" t="s">
        <v>27251</v>
      </c>
      <c r="N1770" t="s">
        <v>27252</v>
      </c>
      <c r="Q1770" s="1">
        <v>44846</v>
      </c>
      <c r="R1770" t="s">
        <v>27253</v>
      </c>
      <c r="S1770" t="s">
        <v>27254</v>
      </c>
      <c r="T1770" t="s">
        <v>27265</v>
      </c>
    </row>
    <row r="1771" spans="1:20" x14ac:dyDescent="0.3">
      <c r="A1771" t="str">
        <f>"0611860810050"</f>
        <v>0611860810050</v>
      </c>
      <c r="B1771" t="str">
        <f>"CR4014"</f>
        <v>CR4014</v>
      </c>
      <c r="C1771" t="s">
        <v>30686</v>
      </c>
      <c r="D1771" t="s">
        <v>27263</v>
      </c>
      <c r="E1771" t="str">
        <f t="shared" si="27"/>
        <v>001390</v>
      </c>
      <c r="F1771" t="s">
        <v>27246</v>
      </c>
      <c r="G1771" t="s">
        <v>27247</v>
      </c>
      <c r="H1771" t="s">
        <v>27248</v>
      </c>
      <c r="I1771" t="s">
        <v>30687</v>
      </c>
      <c r="J1771" t="s">
        <v>3551</v>
      </c>
      <c r="L1771" t="s">
        <v>27250</v>
      </c>
      <c r="M1771" t="s">
        <v>27251</v>
      </c>
      <c r="N1771" t="s">
        <v>27252</v>
      </c>
      <c r="Q1771" s="1">
        <v>44846</v>
      </c>
      <c r="R1771" t="s">
        <v>27253</v>
      </c>
      <c r="S1771" t="s">
        <v>27254</v>
      </c>
      <c r="T1771" t="s">
        <v>27265</v>
      </c>
    </row>
    <row r="1772" spans="1:20" x14ac:dyDescent="0.3">
      <c r="A1772" t="str">
        <f>"0611860811050"</f>
        <v>0611860811050</v>
      </c>
      <c r="B1772" t="str">
        <f>"CR4015"</f>
        <v>CR4015</v>
      </c>
      <c r="C1772" t="s">
        <v>30688</v>
      </c>
      <c r="D1772" t="s">
        <v>27263</v>
      </c>
      <c r="E1772" t="str">
        <f t="shared" si="27"/>
        <v>001390</v>
      </c>
      <c r="F1772" t="s">
        <v>27246</v>
      </c>
      <c r="G1772" t="s">
        <v>27247</v>
      </c>
      <c r="H1772" t="s">
        <v>27248</v>
      </c>
      <c r="I1772" t="s">
        <v>30689</v>
      </c>
      <c r="J1772" t="s">
        <v>3553</v>
      </c>
      <c r="L1772" t="s">
        <v>27250</v>
      </c>
      <c r="M1772" t="s">
        <v>27251</v>
      </c>
      <c r="N1772" t="s">
        <v>27252</v>
      </c>
      <c r="Q1772" s="1">
        <v>44846</v>
      </c>
      <c r="R1772" t="s">
        <v>27253</v>
      </c>
      <c r="S1772" t="s">
        <v>27254</v>
      </c>
      <c r="T1772" t="s">
        <v>27265</v>
      </c>
    </row>
    <row r="1773" spans="1:20" x14ac:dyDescent="0.3">
      <c r="A1773" t="str">
        <f>"0611860812050"</f>
        <v>0611860812050</v>
      </c>
      <c r="B1773" t="str">
        <f>"CR4016"</f>
        <v>CR4016</v>
      </c>
      <c r="C1773" t="s">
        <v>30690</v>
      </c>
      <c r="D1773" t="s">
        <v>27263</v>
      </c>
      <c r="E1773" t="str">
        <f t="shared" si="27"/>
        <v>001390</v>
      </c>
      <c r="F1773" t="s">
        <v>27246</v>
      </c>
      <c r="G1773" t="s">
        <v>27247</v>
      </c>
      <c r="H1773" t="s">
        <v>27248</v>
      </c>
      <c r="I1773" t="s">
        <v>30691</v>
      </c>
      <c r="J1773" t="s">
        <v>3555</v>
      </c>
      <c r="L1773" t="s">
        <v>27250</v>
      </c>
      <c r="M1773" t="s">
        <v>27251</v>
      </c>
      <c r="N1773" t="s">
        <v>27252</v>
      </c>
      <c r="Q1773" s="1">
        <v>44846</v>
      </c>
      <c r="R1773" t="s">
        <v>27253</v>
      </c>
      <c r="S1773" t="s">
        <v>27254</v>
      </c>
      <c r="T1773" t="s">
        <v>27265</v>
      </c>
    </row>
    <row r="1774" spans="1:20" x14ac:dyDescent="0.3">
      <c r="A1774" t="str">
        <f>"0611860813050"</f>
        <v>0611860813050</v>
      </c>
      <c r="B1774" t="str">
        <f>"CR4017"</f>
        <v>CR4017</v>
      </c>
      <c r="C1774" t="s">
        <v>30692</v>
      </c>
      <c r="D1774" t="s">
        <v>27263</v>
      </c>
      <c r="E1774" t="str">
        <f t="shared" si="27"/>
        <v>001390</v>
      </c>
      <c r="F1774" t="s">
        <v>27246</v>
      </c>
      <c r="G1774" t="s">
        <v>27247</v>
      </c>
      <c r="H1774" t="s">
        <v>27248</v>
      </c>
      <c r="I1774" t="s">
        <v>30693</v>
      </c>
      <c r="J1774" t="s">
        <v>3557</v>
      </c>
      <c r="L1774" t="s">
        <v>27250</v>
      </c>
      <c r="M1774" t="s">
        <v>27251</v>
      </c>
      <c r="N1774" t="s">
        <v>27252</v>
      </c>
      <c r="Q1774" s="1">
        <v>44846</v>
      </c>
      <c r="R1774" t="s">
        <v>27253</v>
      </c>
      <c r="S1774" t="s">
        <v>27254</v>
      </c>
      <c r="T1774" t="s">
        <v>27265</v>
      </c>
    </row>
    <row r="1775" spans="1:20" x14ac:dyDescent="0.3">
      <c r="A1775" t="str">
        <f>"0611860814050"</f>
        <v>0611860814050</v>
      </c>
      <c r="B1775" t="str">
        <f>"CR5149"</f>
        <v>CR5149</v>
      </c>
      <c r="C1775" t="s">
        <v>30694</v>
      </c>
      <c r="D1775" t="s">
        <v>27263</v>
      </c>
      <c r="E1775" t="str">
        <f t="shared" si="27"/>
        <v>001390</v>
      </c>
      <c r="F1775" t="s">
        <v>27246</v>
      </c>
      <c r="G1775" t="s">
        <v>27247</v>
      </c>
      <c r="H1775" t="s">
        <v>27248</v>
      </c>
      <c r="I1775" t="s">
        <v>30695</v>
      </c>
      <c r="J1775" t="s">
        <v>3559</v>
      </c>
      <c r="L1775" t="s">
        <v>27250</v>
      </c>
      <c r="M1775" t="s">
        <v>27251</v>
      </c>
      <c r="N1775" t="s">
        <v>27252</v>
      </c>
      <c r="Q1775" s="1">
        <v>44846</v>
      </c>
      <c r="R1775" t="s">
        <v>27253</v>
      </c>
      <c r="S1775" t="s">
        <v>27254</v>
      </c>
      <c r="T1775" t="s">
        <v>27265</v>
      </c>
    </row>
    <row r="1776" spans="1:20" x14ac:dyDescent="0.3">
      <c r="A1776" t="str">
        <f>"0611860815050"</f>
        <v>0611860815050</v>
      </c>
      <c r="B1776" t="str">
        <f>"CR4924"</f>
        <v>CR4924</v>
      </c>
      <c r="C1776" t="s">
        <v>30696</v>
      </c>
      <c r="D1776" t="s">
        <v>27263</v>
      </c>
      <c r="E1776" t="str">
        <f t="shared" si="27"/>
        <v>001390</v>
      </c>
      <c r="F1776" t="s">
        <v>27246</v>
      </c>
      <c r="G1776" t="s">
        <v>27247</v>
      </c>
      <c r="H1776" t="s">
        <v>27248</v>
      </c>
      <c r="I1776" t="s">
        <v>30697</v>
      </c>
      <c r="J1776" t="s">
        <v>3561</v>
      </c>
      <c r="L1776" t="s">
        <v>27250</v>
      </c>
      <c r="M1776" t="s">
        <v>27251</v>
      </c>
      <c r="N1776" t="s">
        <v>27252</v>
      </c>
      <c r="Q1776" s="1">
        <v>44846</v>
      </c>
      <c r="R1776" t="s">
        <v>27253</v>
      </c>
      <c r="S1776" t="s">
        <v>27254</v>
      </c>
      <c r="T1776" t="s">
        <v>27265</v>
      </c>
    </row>
    <row r="1777" spans="1:20" x14ac:dyDescent="0.3">
      <c r="A1777" t="str">
        <f>"0611860816050"</f>
        <v>0611860816050</v>
      </c>
      <c r="B1777" t="str">
        <f>"CR4018"</f>
        <v>CR4018</v>
      </c>
      <c r="C1777" t="s">
        <v>30698</v>
      </c>
      <c r="D1777" t="s">
        <v>27263</v>
      </c>
      <c r="E1777" t="str">
        <f t="shared" si="27"/>
        <v>001390</v>
      </c>
      <c r="F1777" t="s">
        <v>27246</v>
      </c>
      <c r="G1777" t="s">
        <v>27247</v>
      </c>
      <c r="H1777" t="s">
        <v>27248</v>
      </c>
      <c r="I1777" t="s">
        <v>30699</v>
      </c>
      <c r="J1777" t="s">
        <v>3563</v>
      </c>
      <c r="L1777" t="s">
        <v>27250</v>
      </c>
      <c r="M1777" t="s">
        <v>27251</v>
      </c>
      <c r="N1777" t="s">
        <v>27252</v>
      </c>
      <c r="Q1777" s="1">
        <v>44846</v>
      </c>
      <c r="R1777" t="s">
        <v>27253</v>
      </c>
      <c r="S1777" t="s">
        <v>27254</v>
      </c>
      <c r="T1777" t="s">
        <v>27265</v>
      </c>
    </row>
    <row r="1778" spans="1:20" x14ac:dyDescent="0.3">
      <c r="A1778" t="str">
        <f>"0611860818050"</f>
        <v>0611860818050</v>
      </c>
      <c r="B1778" t="str">
        <f>"CR4020"</f>
        <v>CR4020</v>
      </c>
      <c r="C1778" t="s">
        <v>30700</v>
      </c>
      <c r="D1778" t="s">
        <v>27263</v>
      </c>
      <c r="E1778" t="str">
        <f t="shared" si="27"/>
        <v>001390</v>
      </c>
      <c r="F1778" t="s">
        <v>27246</v>
      </c>
      <c r="G1778" t="s">
        <v>27247</v>
      </c>
      <c r="H1778" t="s">
        <v>27248</v>
      </c>
      <c r="I1778" t="s">
        <v>30701</v>
      </c>
      <c r="J1778" t="s">
        <v>3565</v>
      </c>
      <c r="L1778" t="s">
        <v>27250</v>
      </c>
      <c r="M1778" t="s">
        <v>27251</v>
      </c>
      <c r="N1778" t="s">
        <v>27252</v>
      </c>
      <c r="Q1778" s="1">
        <v>44846</v>
      </c>
      <c r="R1778" t="s">
        <v>27253</v>
      </c>
      <c r="S1778" t="s">
        <v>27254</v>
      </c>
      <c r="T1778" t="s">
        <v>27265</v>
      </c>
    </row>
    <row r="1779" spans="1:20" x14ac:dyDescent="0.3">
      <c r="A1779" t="str">
        <f>"0611860820050"</f>
        <v>0611860820050</v>
      </c>
      <c r="B1779" t="str">
        <f>"CR4787"</f>
        <v>CR4787</v>
      </c>
      <c r="C1779" t="s">
        <v>30702</v>
      </c>
      <c r="D1779" t="s">
        <v>27263</v>
      </c>
      <c r="E1779" t="str">
        <f t="shared" si="27"/>
        <v>001390</v>
      </c>
      <c r="F1779" t="s">
        <v>27246</v>
      </c>
      <c r="G1779" t="s">
        <v>27247</v>
      </c>
      <c r="H1779" t="s">
        <v>27248</v>
      </c>
      <c r="I1779" t="s">
        <v>30703</v>
      </c>
      <c r="J1779" t="s">
        <v>3567</v>
      </c>
      <c r="L1779" t="s">
        <v>27250</v>
      </c>
      <c r="M1779" t="s">
        <v>27251</v>
      </c>
      <c r="N1779" t="s">
        <v>27252</v>
      </c>
      <c r="Q1779" s="1">
        <v>44846</v>
      </c>
      <c r="R1779" t="s">
        <v>27253</v>
      </c>
      <c r="S1779" t="s">
        <v>27254</v>
      </c>
      <c r="T1779" t="s">
        <v>27265</v>
      </c>
    </row>
    <row r="1780" spans="1:20" x14ac:dyDescent="0.3">
      <c r="A1780" t="str">
        <f>"0611860821050"</f>
        <v>0611860821050</v>
      </c>
      <c r="B1780" t="str">
        <f>"CR4022"</f>
        <v>CR4022</v>
      </c>
      <c r="C1780" t="s">
        <v>30704</v>
      </c>
      <c r="D1780" t="s">
        <v>27263</v>
      </c>
      <c r="E1780" t="str">
        <f t="shared" si="27"/>
        <v>001390</v>
      </c>
      <c r="F1780" t="s">
        <v>27246</v>
      </c>
      <c r="G1780" t="s">
        <v>27247</v>
      </c>
      <c r="H1780" t="s">
        <v>27248</v>
      </c>
      <c r="I1780" t="s">
        <v>30705</v>
      </c>
      <c r="J1780" t="s">
        <v>3569</v>
      </c>
      <c r="L1780" t="s">
        <v>27250</v>
      </c>
      <c r="M1780" t="s">
        <v>27251</v>
      </c>
      <c r="N1780" t="s">
        <v>27252</v>
      </c>
      <c r="Q1780" s="1">
        <v>44846</v>
      </c>
      <c r="R1780" t="s">
        <v>27253</v>
      </c>
      <c r="S1780" t="s">
        <v>27254</v>
      </c>
      <c r="T1780" t="s">
        <v>27265</v>
      </c>
    </row>
    <row r="1781" spans="1:20" x14ac:dyDescent="0.3">
      <c r="A1781" t="str">
        <f>"0611832081100"</f>
        <v>0611832081100</v>
      </c>
      <c r="B1781" t="str">
        <f>"LQ0865"</f>
        <v>LQ0865</v>
      </c>
      <c r="C1781" t="s">
        <v>30706</v>
      </c>
      <c r="D1781" t="s">
        <v>27245</v>
      </c>
      <c r="E1781" t="str">
        <f t="shared" si="27"/>
        <v>001390</v>
      </c>
      <c r="F1781" t="s">
        <v>27246</v>
      </c>
      <c r="G1781" t="s">
        <v>27247</v>
      </c>
      <c r="H1781" t="s">
        <v>27248</v>
      </c>
      <c r="I1781" t="s">
        <v>30707</v>
      </c>
      <c r="J1781" t="s">
        <v>3571</v>
      </c>
      <c r="L1781" t="s">
        <v>27250</v>
      </c>
      <c r="M1781" t="s">
        <v>27251</v>
      </c>
      <c r="N1781" t="s">
        <v>27252</v>
      </c>
      <c r="Q1781" s="1">
        <v>44538</v>
      </c>
      <c r="R1781" t="s">
        <v>27253</v>
      </c>
      <c r="S1781" t="s">
        <v>27254</v>
      </c>
      <c r="T1781" t="s">
        <v>27255</v>
      </c>
    </row>
    <row r="1782" spans="1:20" x14ac:dyDescent="0.3">
      <c r="A1782" t="str">
        <f>"0611860822050"</f>
        <v>0611860822050</v>
      </c>
      <c r="B1782" t="str">
        <f>"CR4023"</f>
        <v>CR4023</v>
      </c>
      <c r="C1782" t="s">
        <v>30708</v>
      </c>
      <c r="D1782" t="s">
        <v>27263</v>
      </c>
      <c r="E1782" t="str">
        <f t="shared" si="27"/>
        <v>001390</v>
      </c>
      <c r="F1782" t="s">
        <v>27246</v>
      </c>
      <c r="G1782" t="s">
        <v>27247</v>
      </c>
      <c r="H1782" t="s">
        <v>27248</v>
      </c>
      <c r="I1782" t="s">
        <v>30709</v>
      </c>
      <c r="J1782" t="s">
        <v>3573</v>
      </c>
      <c r="L1782" t="s">
        <v>27250</v>
      </c>
      <c r="M1782" t="s">
        <v>27251</v>
      </c>
      <c r="N1782" t="s">
        <v>27252</v>
      </c>
      <c r="Q1782" s="1">
        <v>44846</v>
      </c>
      <c r="R1782" t="s">
        <v>27253</v>
      </c>
      <c r="S1782" t="s">
        <v>27254</v>
      </c>
      <c r="T1782" t="s">
        <v>27265</v>
      </c>
    </row>
    <row r="1783" spans="1:20" x14ac:dyDescent="0.3">
      <c r="A1783" t="str">
        <f>"0611860823050"</f>
        <v>0611860823050</v>
      </c>
      <c r="B1783" t="str">
        <f>"CR5150"</f>
        <v>CR5150</v>
      </c>
      <c r="C1783" t="s">
        <v>30710</v>
      </c>
      <c r="D1783" t="s">
        <v>27263</v>
      </c>
      <c r="E1783" t="str">
        <f t="shared" si="27"/>
        <v>001390</v>
      </c>
      <c r="F1783" t="s">
        <v>27246</v>
      </c>
      <c r="G1783" t="s">
        <v>27247</v>
      </c>
      <c r="H1783" t="s">
        <v>27248</v>
      </c>
      <c r="I1783" t="s">
        <v>30711</v>
      </c>
      <c r="J1783" t="s">
        <v>3575</v>
      </c>
      <c r="L1783" t="s">
        <v>27250</v>
      </c>
      <c r="M1783" t="s">
        <v>27251</v>
      </c>
      <c r="N1783" t="s">
        <v>27252</v>
      </c>
      <c r="Q1783" s="1">
        <v>44846</v>
      </c>
      <c r="R1783" t="s">
        <v>27253</v>
      </c>
      <c r="S1783" t="s">
        <v>27254</v>
      </c>
      <c r="T1783" t="s">
        <v>27265</v>
      </c>
    </row>
    <row r="1784" spans="1:20" x14ac:dyDescent="0.3">
      <c r="A1784" t="str">
        <f>"0611860824050"</f>
        <v>0611860824050</v>
      </c>
      <c r="B1784" t="str">
        <f>"CR5151"</f>
        <v>CR5151</v>
      </c>
      <c r="C1784" t="s">
        <v>30712</v>
      </c>
      <c r="D1784" t="s">
        <v>27263</v>
      </c>
      <c r="E1784" t="str">
        <f t="shared" si="27"/>
        <v>001390</v>
      </c>
      <c r="F1784" t="s">
        <v>27246</v>
      </c>
      <c r="G1784" t="s">
        <v>27247</v>
      </c>
      <c r="H1784" t="s">
        <v>27248</v>
      </c>
      <c r="I1784" t="s">
        <v>30713</v>
      </c>
      <c r="J1784" t="s">
        <v>3577</v>
      </c>
      <c r="L1784" t="s">
        <v>27250</v>
      </c>
      <c r="M1784" t="s">
        <v>27251</v>
      </c>
      <c r="N1784" t="s">
        <v>27252</v>
      </c>
      <c r="Q1784" s="1">
        <v>44846</v>
      </c>
      <c r="R1784" t="s">
        <v>27253</v>
      </c>
      <c r="S1784" t="s">
        <v>27254</v>
      </c>
      <c r="T1784" t="s">
        <v>27265</v>
      </c>
    </row>
    <row r="1785" spans="1:20" x14ac:dyDescent="0.3">
      <c r="A1785" t="str">
        <f>"0611860825050"</f>
        <v>0611860825050</v>
      </c>
      <c r="B1785" t="str">
        <f>"CR5152"</f>
        <v>CR5152</v>
      </c>
      <c r="C1785" t="s">
        <v>30714</v>
      </c>
      <c r="D1785" t="s">
        <v>27263</v>
      </c>
      <c r="E1785" t="str">
        <f t="shared" si="27"/>
        <v>001390</v>
      </c>
      <c r="F1785" t="s">
        <v>27246</v>
      </c>
      <c r="G1785" t="s">
        <v>27247</v>
      </c>
      <c r="H1785" t="s">
        <v>27248</v>
      </c>
      <c r="I1785" t="s">
        <v>30715</v>
      </c>
      <c r="J1785" t="s">
        <v>3579</v>
      </c>
      <c r="L1785" t="s">
        <v>27250</v>
      </c>
      <c r="M1785" t="s">
        <v>27251</v>
      </c>
      <c r="N1785" t="s">
        <v>27252</v>
      </c>
      <c r="Q1785" s="1">
        <v>44846</v>
      </c>
      <c r="R1785" t="s">
        <v>27253</v>
      </c>
      <c r="S1785" t="s">
        <v>27254</v>
      </c>
      <c r="T1785" t="s">
        <v>27265</v>
      </c>
    </row>
    <row r="1786" spans="1:20" x14ac:dyDescent="0.3">
      <c r="A1786" t="str">
        <f>"0611860827050"</f>
        <v>0611860827050</v>
      </c>
      <c r="B1786" t="str">
        <f>"CR4025"</f>
        <v>CR4025</v>
      </c>
      <c r="C1786" t="s">
        <v>30716</v>
      </c>
      <c r="D1786" t="s">
        <v>27263</v>
      </c>
      <c r="E1786" t="str">
        <f t="shared" si="27"/>
        <v>001390</v>
      </c>
      <c r="F1786" t="s">
        <v>27246</v>
      </c>
      <c r="G1786" t="s">
        <v>27247</v>
      </c>
      <c r="H1786" t="s">
        <v>27248</v>
      </c>
      <c r="I1786" t="s">
        <v>30717</v>
      </c>
      <c r="J1786" t="s">
        <v>3581</v>
      </c>
      <c r="L1786" t="s">
        <v>27250</v>
      </c>
      <c r="M1786" t="s">
        <v>27251</v>
      </c>
      <c r="N1786" t="s">
        <v>27252</v>
      </c>
      <c r="Q1786" s="1">
        <v>44846</v>
      </c>
      <c r="R1786" t="s">
        <v>27253</v>
      </c>
      <c r="S1786" t="s">
        <v>27254</v>
      </c>
      <c r="T1786" t="s">
        <v>27265</v>
      </c>
    </row>
    <row r="1787" spans="1:20" x14ac:dyDescent="0.3">
      <c r="A1787" t="str">
        <f>"0611860828050"</f>
        <v>0611860828050</v>
      </c>
      <c r="B1787" t="str">
        <f>"CR5153"</f>
        <v>CR5153</v>
      </c>
      <c r="C1787" t="s">
        <v>30718</v>
      </c>
      <c r="D1787" t="s">
        <v>27263</v>
      </c>
      <c r="E1787" t="str">
        <f t="shared" si="27"/>
        <v>001390</v>
      </c>
      <c r="F1787" t="s">
        <v>27246</v>
      </c>
      <c r="G1787" t="s">
        <v>27247</v>
      </c>
      <c r="H1787" t="s">
        <v>27248</v>
      </c>
      <c r="I1787" t="s">
        <v>30719</v>
      </c>
      <c r="J1787" t="s">
        <v>3583</v>
      </c>
      <c r="L1787" t="s">
        <v>27250</v>
      </c>
      <c r="M1787" t="s">
        <v>27251</v>
      </c>
      <c r="N1787" t="s">
        <v>27252</v>
      </c>
      <c r="Q1787" s="1">
        <v>44846</v>
      </c>
      <c r="R1787" t="s">
        <v>27253</v>
      </c>
      <c r="S1787" t="s">
        <v>27254</v>
      </c>
      <c r="T1787" t="s">
        <v>27265</v>
      </c>
    </row>
    <row r="1788" spans="1:20" x14ac:dyDescent="0.3">
      <c r="A1788" t="str">
        <f>"0611860829050"</f>
        <v>0611860829050</v>
      </c>
      <c r="B1788" t="str">
        <f>"CE0809"</f>
        <v>CE0809</v>
      </c>
      <c r="C1788" t="s">
        <v>30720</v>
      </c>
      <c r="D1788" t="s">
        <v>27923</v>
      </c>
      <c r="E1788" t="str">
        <f t="shared" si="27"/>
        <v>001390</v>
      </c>
      <c r="F1788" t="s">
        <v>27246</v>
      </c>
      <c r="G1788" t="s">
        <v>27247</v>
      </c>
      <c r="H1788" t="s">
        <v>27248</v>
      </c>
      <c r="I1788" t="s">
        <v>30721</v>
      </c>
      <c r="J1788" t="s">
        <v>3585</v>
      </c>
      <c r="L1788" t="s">
        <v>27250</v>
      </c>
      <c r="M1788" t="s">
        <v>27251</v>
      </c>
      <c r="N1788" t="s">
        <v>27252</v>
      </c>
      <c r="P1788" t="s">
        <v>27925</v>
      </c>
      <c r="Q1788" s="1">
        <v>44846</v>
      </c>
      <c r="R1788" t="s">
        <v>27253</v>
      </c>
      <c r="S1788" t="s">
        <v>27254</v>
      </c>
      <c r="T1788" t="s">
        <v>27265</v>
      </c>
    </row>
    <row r="1789" spans="1:20" x14ac:dyDescent="0.3">
      <c r="A1789" t="str">
        <f>"0611860830050"</f>
        <v>0611860830050</v>
      </c>
      <c r="B1789" t="str">
        <f>"CE1269"</f>
        <v>CE1269</v>
      </c>
      <c r="C1789" t="s">
        <v>30722</v>
      </c>
      <c r="D1789" t="s">
        <v>27923</v>
      </c>
      <c r="E1789" t="str">
        <f t="shared" si="27"/>
        <v>001390</v>
      </c>
      <c r="F1789" t="s">
        <v>27246</v>
      </c>
      <c r="G1789" t="s">
        <v>27247</v>
      </c>
      <c r="H1789" t="s">
        <v>27248</v>
      </c>
      <c r="I1789" t="s">
        <v>30723</v>
      </c>
      <c r="J1789" t="s">
        <v>3587</v>
      </c>
      <c r="L1789" t="s">
        <v>27250</v>
      </c>
      <c r="M1789" t="s">
        <v>27251</v>
      </c>
      <c r="N1789" t="s">
        <v>27252</v>
      </c>
      <c r="P1789" t="s">
        <v>27925</v>
      </c>
      <c r="Q1789" s="1">
        <v>44846</v>
      </c>
      <c r="R1789" t="s">
        <v>27253</v>
      </c>
      <c r="S1789" t="s">
        <v>27254</v>
      </c>
      <c r="T1789" t="s">
        <v>27265</v>
      </c>
    </row>
    <row r="1790" spans="1:20" x14ac:dyDescent="0.3">
      <c r="A1790" t="str">
        <f>"0611860831050"</f>
        <v>0611860831050</v>
      </c>
      <c r="B1790" t="str">
        <f>"CE0810"</f>
        <v>CE0810</v>
      </c>
      <c r="C1790" t="s">
        <v>30724</v>
      </c>
      <c r="D1790" t="s">
        <v>27923</v>
      </c>
      <c r="E1790" t="str">
        <f t="shared" si="27"/>
        <v>001390</v>
      </c>
      <c r="F1790" t="s">
        <v>27246</v>
      </c>
      <c r="G1790" t="s">
        <v>27247</v>
      </c>
      <c r="H1790" t="s">
        <v>27248</v>
      </c>
      <c r="I1790" t="s">
        <v>30725</v>
      </c>
      <c r="J1790" t="s">
        <v>3589</v>
      </c>
      <c r="L1790" t="s">
        <v>27250</v>
      </c>
      <c r="M1790" t="s">
        <v>27251</v>
      </c>
      <c r="N1790" t="s">
        <v>27252</v>
      </c>
      <c r="P1790" t="s">
        <v>27925</v>
      </c>
      <c r="Q1790" s="1">
        <v>44846</v>
      </c>
      <c r="R1790" t="s">
        <v>27253</v>
      </c>
      <c r="S1790" t="s">
        <v>27254</v>
      </c>
      <c r="T1790" t="s">
        <v>27265</v>
      </c>
    </row>
    <row r="1791" spans="1:20" x14ac:dyDescent="0.3">
      <c r="A1791" t="str">
        <f>"0611860832050"</f>
        <v>0611860832050</v>
      </c>
      <c r="B1791" t="str">
        <f>"CE1214"</f>
        <v>CE1214</v>
      </c>
      <c r="C1791" t="s">
        <v>30726</v>
      </c>
      <c r="D1791" t="s">
        <v>27923</v>
      </c>
      <c r="E1791" t="str">
        <f t="shared" si="27"/>
        <v>001390</v>
      </c>
      <c r="F1791" t="s">
        <v>27246</v>
      </c>
      <c r="G1791" t="s">
        <v>27247</v>
      </c>
      <c r="H1791" t="s">
        <v>27248</v>
      </c>
      <c r="I1791" t="s">
        <v>30727</v>
      </c>
      <c r="J1791" t="s">
        <v>3591</v>
      </c>
      <c r="L1791" t="s">
        <v>27250</v>
      </c>
      <c r="M1791" t="s">
        <v>27251</v>
      </c>
      <c r="N1791" t="s">
        <v>27252</v>
      </c>
      <c r="P1791" t="s">
        <v>27925</v>
      </c>
      <c r="Q1791" s="1">
        <v>44846</v>
      </c>
      <c r="R1791" t="s">
        <v>27253</v>
      </c>
      <c r="S1791" t="s">
        <v>27254</v>
      </c>
      <c r="T1791" t="s">
        <v>27265</v>
      </c>
    </row>
    <row r="1792" spans="1:20" x14ac:dyDescent="0.3">
      <c r="A1792" t="str">
        <f>"0611884073050"</f>
        <v>0611884073050</v>
      </c>
      <c r="B1792" t="str">
        <f>"CE0397"</f>
        <v>CE0397</v>
      </c>
      <c r="C1792" t="s">
        <v>30728</v>
      </c>
      <c r="D1792" t="s">
        <v>27923</v>
      </c>
      <c r="E1792" t="str">
        <f t="shared" si="27"/>
        <v>001390</v>
      </c>
      <c r="F1792" t="s">
        <v>27246</v>
      </c>
      <c r="G1792" t="s">
        <v>27247</v>
      </c>
      <c r="H1792" t="s">
        <v>27248</v>
      </c>
      <c r="I1792" t="s">
        <v>30729</v>
      </c>
      <c r="J1792" t="s">
        <v>3593</v>
      </c>
      <c r="L1792" t="s">
        <v>27430</v>
      </c>
      <c r="M1792" t="s">
        <v>27251</v>
      </c>
      <c r="N1792" t="s">
        <v>27252</v>
      </c>
      <c r="P1792" t="s">
        <v>27925</v>
      </c>
      <c r="Q1792" s="1">
        <v>45250</v>
      </c>
      <c r="R1792" t="s">
        <v>27253</v>
      </c>
      <c r="S1792" t="s">
        <v>27254</v>
      </c>
      <c r="T1792" t="s">
        <v>27265</v>
      </c>
    </row>
    <row r="1793" spans="1:20" x14ac:dyDescent="0.3">
      <c r="A1793" t="str">
        <f>"0611860833050"</f>
        <v>0611860833050</v>
      </c>
      <c r="B1793" t="str">
        <f>"CE1085"</f>
        <v>CE1085</v>
      </c>
      <c r="C1793" t="s">
        <v>30730</v>
      </c>
      <c r="D1793" t="s">
        <v>27923</v>
      </c>
      <c r="E1793" t="str">
        <f t="shared" si="27"/>
        <v>001390</v>
      </c>
      <c r="F1793" t="s">
        <v>27246</v>
      </c>
      <c r="G1793" t="s">
        <v>27247</v>
      </c>
      <c r="H1793" t="s">
        <v>27248</v>
      </c>
      <c r="I1793" t="s">
        <v>30731</v>
      </c>
      <c r="J1793" t="s">
        <v>3595</v>
      </c>
      <c r="L1793" t="s">
        <v>27250</v>
      </c>
      <c r="M1793" t="s">
        <v>27251</v>
      </c>
      <c r="N1793" t="s">
        <v>27252</v>
      </c>
      <c r="P1793" t="s">
        <v>27925</v>
      </c>
      <c r="Q1793" s="1">
        <v>44846</v>
      </c>
      <c r="R1793" t="s">
        <v>27253</v>
      </c>
      <c r="S1793" t="s">
        <v>27254</v>
      </c>
      <c r="T1793" t="s">
        <v>27265</v>
      </c>
    </row>
    <row r="1794" spans="1:20" x14ac:dyDescent="0.3">
      <c r="A1794" t="str">
        <f>"0611884074050"</f>
        <v>0611884074050</v>
      </c>
      <c r="B1794" t="str">
        <f>"CE1727"</f>
        <v>CE1727</v>
      </c>
      <c r="C1794" t="s">
        <v>30732</v>
      </c>
      <c r="D1794" t="s">
        <v>27923</v>
      </c>
      <c r="E1794" t="str">
        <f t="shared" ref="E1794:E1857" si="28">"001390"</f>
        <v>001390</v>
      </c>
      <c r="F1794" t="s">
        <v>27246</v>
      </c>
      <c r="G1794" t="s">
        <v>27247</v>
      </c>
      <c r="H1794" t="s">
        <v>27248</v>
      </c>
      <c r="I1794" t="s">
        <v>30733</v>
      </c>
      <c r="J1794" t="s">
        <v>3597</v>
      </c>
      <c r="L1794" t="s">
        <v>27430</v>
      </c>
      <c r="M1794" t="s">
        <v>27251</v>
      </c>
      <c r="N1794" t="s">
        <v>27252</v>
      </c>
      <c r="P1794" t="s">
        <v>27925</v>
      </c>
      <c r="Q1794" s="1">
        <v>45250</v>
      </c>
      <c r="R1794" t="s">
        <v>27253</v>
      </c>
      <c r="S1794" t="s">
        <v>27254</v>
      </c>
      <c r="T1794" t="s">
        <v>27265</v>
      </c>
    </row>
    <row r="1795" spans="1:20" x14ac:dyDescent="0.3">
      <c r="A1795" t="str">
        <f>"0611860834050"</f>
        <v>0611860834050</v>
      </c>
      <c r="B1795" t="str">
        <f>"CE1177"</f>
        <v>CE1177</v>
      </c>
      <c r="C1795" t="s">
        <v>30734</v>
      </c>
      <c r="D1795" t="s">
        <v>27923</v>
      </c>
      <c r="E1795" t="str">
        <f t="shared" si="28"/>
        <v>001390</v>
      </c>
      <c r="F1795" t="s">
        <v>27246</v>
      </c>
      <c r="G1795" t="s">
        <v>27247</v>
      </c>
      <c r="H1795" t="s">
        <v>27248</v>
      </c>
      <c r="I1795" t="s">
        <v>30735</v>
      </c>
      <c r="J1795" t="s">
        <v>3599</v>
      </c>
      <c r="L1795" t="s">
        <v>27250</v>
      </c>
      <c r="M1795" t="s">
        <v>27251</v>
      </c>
      <c r="N1795" t="s">
        <v>27252</v>
      </c>
      <c r="P1795" t="s">
        <v>27925</v>
      </c>
      <c r="Q1795" s="1">
        <v>44846</v>
      </c>
      <c r="R1795" t="s">
        <v>27253</v>
      </c>
      <c r="S1795" t="s">
        <v>27254</v>
      </c>
      <c r="T1795" t="s">
        <v>27265</v>
      </c>
    </row>
    <row r="1796" spans="1:20" x14ac:dyDescent="0.3">
      <c r="A1796" t="str">
        <f>"0611860835050"</f>
        <v>0611860835050</v>
      </c>
      <c r="B1796" t="str">
        <f>"CE1299"</f>
        <v>CE1299</v>
      </c>
      <c r="C1796" t="s">
        <v>30736</v>
      </c>
      <c r="D1796" t="s">
        <v>27923</v>
      </c>
      <c r="E1796" t="str">
        <f t="shared" si="28"/>
        <v>001390</v>
      </c>
      <c r="F1796" t="s">
        <v>27246</v>
      </c>
      <c r="G1796" t="s">
        <v>27247</v>
      </c>
      <c r="H1796" t="s">
        <v>27248</v>
      </c>
      <c r="I1796" t="s">
        <v>30737</v>
      </c>
      <c r="J1796" t="s">
        <v>3601</v>
      </c>
      <c r="L1796" t="s">
        <v>27250</v>
      </c>
      <c r="M1796" t="s">
        <v>27251</v>
      </c>
      <c r="N1796" t="s">
        <v>27252</v>
      </c>
      <c r="P1796" t="s">
        <v>27925</v>
      </c>
      <c r="Q1796" s="1">
        <v>44846</v>
      </c>
      <c r="R1796" t="s">
        <v>27253</v>
      </c>
      <c r="S1796" t="s">
        <v>27254</v>
      </c>
      <c r="T1796" t="s">
        <v>27265</v>
      </c>
    </row>
    <row r="1797" spans="1:20" x14ac:dyDescent="0.3">
      <c r="A1797" t="str">
        <f>"0611860836050"</f>
        <v>0611860836050</v>
      </c>
      <c r="B1797" t="str">
        <f>"CE1270"</f>
        <v>CE1270</v>
      </c>
      <c r="C1797" t="s">
        <v>30738</v>
      </c>
      <c r="D1797" t="s">
        <v>27923</v>
      </c>
      <c r="E1797" t="str">
        <f t="shared" si="28"/>
        <v>001390</v>
      </c>
      <c r="F1797" t="s">
        <v>27246</v>
      </c>
      <c r="G1797" t="s">
        <v>27247</v>
      </c>
      <c r="H1797" t="s">
        <v>27248</v>
      </c>
      <c r="I1797" t="s">
        <v>30739</v>
      </c>
      <c r="J1797" t="s">
        <v>3603</v>
      </c>
      <c r="L1797" t="s">
        <v>27250</v>
      </c>
      <c r="M1797" t="s">
        <v>27251</v>
      </c>
      <c r="N1797" t="s">
        <v>27252</v>
      </c>
      <c r="P1797" t="s">
        <v>27925</v>
      </c>
      <c r="Q1797" s="1">
        <v>44846</v>
      </c>
      <c r="R1797" t="s">
        <v>27253</v>
      </c>
      <c r="S1797" t="s">
        <v>27254</v>
      </c>
      <c r="T1797" t="s">
        <v>27265</v>
      </c>
    </row>
    <row r="1798" spans="1:20" x14ac:dyDescent="0.3">
      <c r="A1798" t="str">
        <f>"0611860837050"</f>
        <v>0611860837050</v>
      </c>
      <c r="B1798" t="str">
        <f>"CE1271"</f>
        <v>CE1271</v>
      </c>
      <c r="C1798" t="s">
        <v>30740</v>
      </c>
      <c r="D1798" t="s">
        <v>27923</v>
      </c>
      <c r="E1798" t="str">
        <f t="shared" si="28"/>
        <v>001390</v>
      </c>
      <c r="F1798" t="s">
        <v>27246</v>
      </c>
      <c r="G1798" t="s">
        <v>27247</v>
      </c>
      <c r="H1798" t="s">
        <v>27248</v>
      </c>
      <c r="I1798" t="s">
        <v>30741</v>
      </c>
      <c r="J1798" t="s">
        <v>3605</v>
      </c>
      <c r="L1798" t="s">
        <v>27250</v>
      </c>
      <c r="M1798" t="s">
        <v>27251</v>
      </c>
      <c r="N1798" t="s">
        <v>27252</v>
      </c>
      <c r="P1798" t="s">
        <v>27925</v>
      </c>
      <c r="Q1798" s="1">
        <v>44846</v>
      </c>
      <c r="R1798" t="s">
        <v>27253</v>
      </c>
      <c r="S1798" t="s">
        <v>27254</v>
      </c>
      <c r="T1798" t="s">
        <v>27265</v>
      </c>
    </row>
    <row r="1799" spans="1:20" x14ac:dyDescent="0.3">
      <c r="A1799" t="str">
        <f>"0611860838050"</f>
        <v>0611860838050</v>
      </c>
      <c r="B1799" t="str">
        <f>"CE0399"</f>
        <v>CE0399</v>
      </c>
      <c r="C1799" t="s">
        <v>30742</v>
      </c>
      <c r="D1799" t="s">
        <v>27923</v>
      </c>
      <c r="E1799" t="str">
        <f t="shared" si="28"/>
        <v>001390</v>
      </c>
      <c r="F1799" t="s">
        <v>27246</v>
      </c>
      <c r="G1799" t="s">
        <v>27247</v>
      </c>
      <c r="H1799" t="s">
        <v>27248</v>
      </c>
      <c r="I1799" t="s">
        <v>30743</v>
      </c>
      <c r="J1799" t="s">
        <v>3607</v>
      </c>
      <c r="L1799" t="s">
        <v>27250</v>
      </c>
      <c r="M1799" t="s">
        <v>27251</v>
      </c>
      <c r="N1799" t="s">
        <v>27252</v>
      </c>
      <c r="P1799" t="s">
        <v>27925</v>
      </c>
      <c r="Q1799" s="1">
        <v>44846</v>
      </c>
      <c r="R1799" t="s">
        <v>27253</v>
      </c>
      <c r="S1799" t="s">
        <v>27254</v>
      </c>
      <c r="T1799" t="s">
        <v>27265</v>
      </c>
    </row>
    <row r="1800" spans="1:20" x14ac:dyDescent="0.3">
      <c r="A1800" t="str">
        <f>"0611860839050"</f>
        <v>0611860839050</v>
      </c>
      <c r="B1800" t="str">
        <f>"CE1644"</f>
        <v>CE1644</v>
      </c>
      <c r="C1800" t="s">
        <v>30744</v>
      </c>
      <c r="D1800" t="s">
        <v>27923</v>
      </c>
      <c r="E1800" t="str">
        <f t="shared" si="28"/>
        <v>001390</v>
      </c>
      <c r="F1800" t="s">
        <v>27246</v>
      </c>
      <c r="G1800" t="s">
        <v>27247</v>
      </c>
      <c r="H1800" t="s">
        <v>27248</v>
      </c>
      <c r="I1800" t="s">
        <v>30745</v>
      </c>
      <c r="J1800" t="s">
        <v>3609</v>
      </c>
      <c r="L1800" t="s">
        <v>27250</v>
      </c>
      <c r="M1800" t="s">
        <v>27251</v>
      </c>
      <c r="N1800" t="s">
        <v>27252</v>
      </c>
      <c r="P1800" t="s">
        <v>27925</v>
      </c>
      <c r="Q1800" s="1">
        <v>44846</v>
      </c>
      <c r="R1800" t="s">
        <v>27253</v>
      </c>
      <c r="S1800" t="s">
        <v>27254</v>
      </c>
      <c r="T1800" t="s">
        <v>27265</v>
      </c>
    </row>
    <row r="1801" spans="1:20" x14ac:dyDescent="0.3">
      <c r="A1801" t="str">
        <f>"0611860840050"</f>
        <v>0611860840050</v>
      </c>
      <c r="B1801" t="str">
        <f>"CE1645"</f>
        <v>CE1645</v>
      </c>
      <c r="C1801" t="s">
        <v>30746</v>
      </c>
      <c r="D1801" t="s">
        <v>27923</v>
      </c>
      <c r="E1801" t="str">
        <f t="shared" si="28"/>
        <v>001390</v>
      </c>
      <c r="F1801" t="s">
        <v>27246</v>
      </c>
      <c r="G1801" t="s">
        <v>27247</v>
      </c>
      <c r="H1801" t="s">
        <v>27248</v>
      </c>
      <c r="I1801" t="s">
        <v>30747</v>
      </c>
      <c r="J1801" t="s">
        <v>3611</v>
      </c>
      <c r="L1801" t="s">
        <v>27250</v>
      </c>
      <c r="M1801" t="s">
        <v>27251</v>
      </c>
      <c r="N1801" t="s">
        <v>27252</v>
      </c>
      <c r="P1801" t="s">
        <v>27925</v>
      </c>
      <c r="Q1801" s="1">
        <v>44846</v>
      </c>
      <c r="R1801" t="s">
        <v>27253</v>
      </c>
      <c r="S1801" t="s">
        <v>27254</v>
      </c>
      <c r="T1801" t="s">
        <v>27265</v>
      </c>
    </row>
    <row r="1802" spans="1:20" x14ac:dyDescent="0.3">
      <c r="A1802" t="str">
        <f>"0611860841050"</f>
        <v>0611860841050</v>
      </c>
      <c r="B1802" t="str">
        <f>"CE1591"</f>
        <v>CE1591</v>
      </c>
      <c r="C1802" t="s">
        <v>30748</v>
      </c>
      <c r="D1802" t="s">
        <v>27923</v>
      </c>
      <c r="E1802" t="str">
        <f t="shared" si="28"/>
        <v>001390</v>
      </c>
      <c r="F1802" t="s">
        <v>27246</v>
      </c>
      <c r="G1802" t="s">
        <v>27247</v>
      </c>
      <c r="H1802" t="s">
        <v>27248</v>
      </c>
      <c r="I1802" t="s">
        <v>30749</v>
      </c>
      <c r="J1802" t="s">
        <v>3613</v>
      </c>
      <c r="L1802" t="s">
        <v>27250</v>
      </c>
      <c r="M1802" t="s">
        <v>27251</v>
      </c>
      <c r="N1802" t="s">
        <v>27252</v>
      </c>
      <c r="P1802" t="s">
        <v>27925</v>
      </c>
      <c r="Q1802" s="1">
        <v>44846</v>
      </c>
      <c r="R1802" t="s">
        <v>27253</v>
      </c>
      <c r="S1802" t="s">
        <v>27254</v>
      </c>
      <c r="T1802" t="s">
        <v>27265</v>
      </c>
    </row>
    <row r="1803" spans="1:20" x14ac:dyDescent="0.3">
      <c r="A1803" t="str">
        <f>"0611860842050"</f>
        <v>0611860842050</v>
      </c>
      <c r="B1803" t="str">
        <f>"CE0400"</f>
        <v>CE0400</v>
      </c>
      <c r="C1803" t="s">
        <v>30750</v>
      </c>
      <c r="D1803" t="s">
        <v>27923</v>
      </c>
      <c r="E1803" t="str">
        <f t="shared" si="28"/>
        <v>001390</v>
      </c>
      <c r="F1803" t="s">
        <v>27246</v>
      </c>
      <c r="G1803" t="s">
        <v>27247</v>
      </c>
      <c r="H1803" t="s">
        <v>27248</v>
      </c>
      <c r="I1803" t="s">
        <v>30751</v>
      </c>
      <c r="J1803" t="s">
        <v>3615</v>
      </c>
      <c r="L1803" t="s">
        <v>27250</v>
      </c>
      <c r="M1803" t="s">
        <v>27251</v>
      </c>
      <c r="N1803" t="s">
        <v>27252</v>
      </c>
      <c r="P1803" t="s">
        <v>27925</v>
      </c>
      <c r="Q1803" s="1">
        <v>44846</v>
      </c>
      <c r="R1803" t="s">
        <v>27253</v>
      </c>
      <c r="S1803" t="s">
        <v>27254</v>
      </c>
      <c r="T1803" t="s">
        <v>27265</v>
      </c>
    </row>
    <row r="1804" spans="1:20" x14ac:dyDescent="0.3">
      <c r="A1804" t="str">
        <f>"0611860843050"</f>
        <v>0611860843050</v>
      </c>
      <c r="B1804" t="str">
        <f>"CE0401"</f>
        <v>CE0401</v>
      </c>
      <c r="C1804" t="s">
        <v>30752</v>
      </c>
      <c r="D1804" t="s">
        <v>27923</v>
      </c>
      <c r="E1804" t="str">
        <f t="shared" si="28"/>
        <v>001390</v>
      </c>
      <c r="F1804" t="s">
        <v>27246</v>
      </c>
      <c r="G1804" t="s">
        <v>27247</v>
      </c>
      <c r="H1804" t="s">
        <v>27248</v>
      </c>
      <c r="I1804" t="s">
        <v>30753</v>
      </c>
      <c r="J1804" t="s">
        <v>3617</v>
      </c>
      <c r="L1804" t="s">
        <v>27250</v>
      </c>
      <c r="M1804" t="s">
        <v>27251</v>
      </c>
      <c r="N1804" t="s">
        <v>27252</v>
      </c>
      <c r="P1804" t="s">
        <v>27925</v>
      </c>
      <c r="Q1804" s="1">
        <v>44846</v>
      </c>
      <c r="R1804" t="s">
        <v>27253</v>
      </c>
      <c r="S1804" t="s">
        <v>27254</v>
      </c>
      <c r="T1804" t="s">
        <v>27265</v>
      </c>
    </row>
    <row r="1805" spans="1:20" x14ac:dyDescent="0.3">
      <c r="A1805" t="str">
        <f>"0611860844050"</f>
        <v>0611860844050</v>
      </c>
      <c r="B1805" t="str">
        <f>"CE0402"</f>
        <v>CE0402</v>
      </c>
      <c r="C1805" t="s">
        <v>30754</v>
      </c>
      <c r="D1805" t="s">
        <v>27923</v>
      </c>
      <c r="E1805" t="str">
        <f t="shared" si="28"/>
        <v>001390</v>
      </c>
      <c r="F1805" t="s">
        <v>27246</v>
      </c>
      <c r="G1805" t="s">
        <v>27247</v>
      </c>
      <c r="H1805" t="s">
        <v>27248</v>
      </c>
      <c r="I1805" t="s">
        <v>30755</v>
      </c>
      <c r="J1805" t="s">
        <v>3619</v>
      </c>
      <c r="L1805" t="s">
        <v>27250</v>
      </c>
      <c r="M1805" t="s">
        <v>27251</v>
      </c>
      <c r="N1805" t="s">
        <v>27252</v>
      </c>
      <c r="P1805" t="s">
        <v>27925</v>
      </c>
      <c r="Q1805" s="1">
        <v>44846</v>
      </c>
      <c r="R1805" t="s">
        <v>27253</v>
      </c>
      <c r="S1805" t="s">
        <v>27254</v>
      </c>
      <c r="T1805" t="s">
        <v>27265</v>
      </c>
    </row>
    <row r="1806" spans="1:20" x14ac:dyDescent="0.3">
      <c r="A1806" t="str">
        <f>"0611860845050"</f>
        <v>0611860845050</v>
      </c>
      <c r="B1806" t="str">
        <f>"CE0403"</f>
        <v>CE0403</v>
      </c>
      <c r="C1806" t="s">
        <v>30756</v>
      </c>
      <c r="D1806" t="s">
        <v>27923</v>
      </c>
      <c r="E1806" t="str">
        <f t="shared" si="28"/>
        <v>001390</v>
      </c>
      <c r="F1806" t="s">
        <v>27246</v>
      </c>
      <c r="G1806" t="s">
        <v>27247</v>
      </c>
      <c r="H1806" t="s">
        <v>27248</v>
      </c>
      <c r="I1806" t="s">
        <v>30757</v>
      </c>
      <c r="J1806" t="s">
        <v>3621</v>
      </c>
      <c r="L1806" t="s">
        <v>27250</v>
      </c>
      <c r="M1806" t="s">
        <v>27251</v>
      </c>
      <c r="N1806" t="s">
        <v>27252</v>
      </c>
      <c r="P1806" t="s">
        <v>27925</v>
      </c>
      <c r="Q1806" s="1">
        <v>44846</v>
      </c>
      <c r="R1806" t="s">
        <v>27253</v>
      </c>
      <c r="S1806" t="s">
        <v>27254</v>
      </c>
      <c r="T1806" t="s">
        <v>27265</v>
      </c>
    </row>
    <row r="1807" spans="1:20" x14ac:dyDescent="0.3">
      <c r="A1807" t="str">
        <f>"0611860846050"</f>
        <v>0611860846050</v>
      </c>
      <c r="B1807" t="str">
        <f>"CE1086"</f>
        <v>CE1086</v>
      </c>
      <c r="C1807" t="s">
        <v>30758</v>
      </c>
      <c r="D1807" t="s">
        <v>27923</v>
      </c>
      <c r="E1807" t="str">
        <f t="shared" si="28"/>
        <v>001390</v>
      </c>
      <c r="F1807" t="s">
        <v>27246</v>
      </c>
      <c r="G1807" t="s">
        <v>27247</v>
      </c>
      <c r="H1807" t="s">
        <v>27248</v>
      </c>
      <c r="I1807" t="s">
        <v>30759</v>
      </c>
      <c r="J1807" t="s">
        <v>3623</v>
      </c>
      <c r="L1807" t="s">
        <v>27250</v>
      </c>
      <c r="M1807" t="s">
        <v>27251</v>
      </c>
      <c r="N1807" t="s">
        <v>27252</v>
      </c>
      <c r="P1807" t="s">
        <v>27925</v>
      </c>
      <c r="Q1807" s="1">
        <v>44846</v>
      </c>
      <c r="R1807" t="s">
        <v>27253</v>
      </c>
      <c r="S1807" t="s">
        <v>27254</v>
      </c>
      <c r="T1807" t="s">
        <v>27265</v>
      </c>
    </row>
    <row r="1808" spans="1:20" x14ac:dyDescent="0.3">
      <c r="A1808" t="str">
        <f>"0611860847050"</f>
        <v>0611860847050</v>
      </c>
      <c r="B1808" t="str">
        <f>"CE0811"</f>
        <v>CE0811</v>
      </c>
      <c r="C1808" t="s">
        <v>30760</v>
      </c>
      <c r="D1808" t="s">
        <v>27923</v>
      </c>
      <c r="E1808" t="str">
        <f t="shared" si="28"/>
        <v>001390</v>
      </c>
      <c r="F1808" t="s">
        <v>27246</v>
      </c>
      <c r="G1808" t="s">
        <v>27247</v>
      </c>
      <c r="H1808" t="s">
        <v>27248</v>
      </c>
      <c r="I1808" t="s">
        <v>30761</v>
      </c>
      <c r="J1808" t="s">
        <v>3625</v>
      </c>
      <c r="L1808" t="s">
        <v>27250</v>
      </c>
      <c r="M1808" t="s">
        <v>27251</v>
      </c>
      <c r="N1808" t="s">
        <v>27252</v>
      </c>
      <c r="P1808" t="s">
        <v>27925</v>
      </c>
      <c r="Q1808" s="1">
        <v>44846</v>
      </c>
      <c r="R1808" t="s">
        <v>27253</v>
      </c>
      <c r="S1808" t="s">
        <v>27254</v>
      </c>
      <c r="T1808" t="s">
        <v>27265</v>
      </c>
    </row>
    <row r="1809" spans="1:20" x14ac:dyDescent="0.3">
      <c r="A1809" t="str">
        <f>"0611860848050"</f>
        <v>0611860848050</v>
      </c>
      <c r="B1809" t="str">
        <f>"CE1476"</f>
        <v>CE1476</v>
      </c>
      <c r="C1809" t="s">
        <v>30762</v>
      </c>
      <c r="D1809" t="s">
        <v>27923</v>
      </c>
      <c r="E1809" t="str">
        <f t="shared" si="28"/>
        <v>001390</v>
      </c>
      <c r="F1809" t="s">
        <v>27246</v>
      </c>
      <c r="G1809" t="s">
        <v>27247</v>
      </c>
      <c r="H1809" t="s">
        <v>27248</v>
      </c>
      <c r="I1809" t="s">
        <v>30763</v>
      </c>
      <c r="J1809" t="s">
        <v>3627</v>
      </c>
      <c r="L1809" t="s">
        <v>27250</v>
      </c>
      <c r="M1809" t="s">
        <v>27251</v>
      </c>
      <c r="N1809" t="s">
        <v>27252</v>
      </c>
      <c r="P1809" t="s">
        <v>27925</v>
      </c>
      <c r="Q1809" s="1">
        <v>44846</v>
      </c>
      <c r="R1809" t="s">
        <v>27253</v>
      </c>
      <c r="S1809" t="s">
        <v>27254</v>
      </c>
      <c r="T1809" t="s">
        <v>27265</v>
      </c>
    </row>
    <row r="1810" spans="1:20" x14ac:dyDescent="0.3">
      <c r="A1810" t="str">
        <f>"0611860849050"</f>
        <v>0611860849050</v>
      </c>
      <c r="B1810" t="str">
        <f>"CE0405"</f>
        <v>CE0405</v>
      </c>
      <c r="C1810" t="s">
        <v>30764</v>
      </c>
      <c r="D1810" t="s">
        <v>27923</v>
      </c>
      <c r="E1810" t="str">
        <f t="shared" si="28"/>
        <v>001390</v>
      </c>
      <c r="F1810" t="s">
        <v>27246</v>
      </c>
      <c r="G1810" t="s">
        <v>27247</v>
      </c>
      <c r="H1810" t="s">
        <v>27248</v>
      </c>
      <c r="I1810" t="s">
        <v>30765</v>
      </c>
      <c r="J1810" t="s">
        <v>3629</v>
      </c>
      <c r="L1810" t="s">
        <v>27250</v>
      </c>
      <c r="M1810" t="s">
        <v>27251</v>
      </c>
      <c r="N1810" t="s">
        <v>27252</v>
      </c>
      <c r="P1810" t="s">
        <v>27925</v>
      </c>
      <c r="Q1810" s="1">
        <v>44846</v>
      </c>
      <c r="R1810" t="s">
        <v>27253</v>
      </c>
      <c r="S1810" t="s">
        <v>27254</v>
      </c>
      <c r="T1810" t="s">
        <v>27265</v>
      </c>
    </row>
    <row r="1811" spans="1:20" x14ac:dyDescent="0.3">
      <c r="A1811" t="str">
        <f>"0611860850050"</f>
        <v>0611860850050</v>
      </c>
      <c r="B1811" t="str">
        <f>"CE0406"</f>
        <v>CE0406</v>
      </c>
      <c r="C1811" t="s">
        <v>30766</v>
      </c>
      <c r="D1811" t="s">
        <v>27923</v>
      </c>
      <c r="E1811" t="str">
        <f t="shared" si="28"/>
        <v>001390</v>
      </c>
      <c r="F1811" t="s">
        <v>27246</v>
      </c>
      <c r="G1811" t="s">
        <v>27247</v>
      </c>
      <c r="H1811" t="s">
        <v>27248</v>
      </c>
      <c r="I1811" t="s">
        <v>30767</v>
      </c>
      <c r="J1811" t="s">
        <v>3631</v>
      </c>
      <c r="L1811" t="s">
        <v>27250</v>
      </c>
      <c r="M1811" t="s">
        <v>27251</v>
      </c>
      <c r="N1811" t="s">
        <v>27252</v>
      </c>
      <c r="P1811" t="s">
        <v>27925</v>
      </c>
      <c r="Q1811" s="1">
        <v>44846</v>
      </c>
      <c r="R1811" t="s">
        <v>27253</v>
      </c>
      <c r="S1811" t="s">
        <v>27254</v>
      </c>
      <c r="T1811" t="s">
        <v>27265</v>
      </c>
    </row>
    <row r="1812" spans="1:20" x14ac:dyDescent="0.3">
      <c r="A1812" t="str">
        <f>"0611860851050"</f>
        <v>0611860851050</v>
      </c>
      <c r="B1812" t="str">
        <f>"CE1592"</f>
        <v>CE1592</v>
      </c>
      <c r="C1812" t="s">
        <v>30768</v>
      </c>
      <c r="D1812" t="s">
        <v>27923</v>
      </c>
      <c r="E1812" t="str">
        <f t="shared" si="28"/>
        <v>001390</v>
      </c>
      <c r="F1812" t="s">
        <v>27246</v>
      </c>
      <c r="G1812" t="s">
        <v>27247</v>
      </c>
      <c r="H1812" t="s">
        <v>27248</v>
      </c>
      <c r="I1812" t="s">
        <v>30769</v>
      </c>
      <c r="J1812" t="s">
        <v>3633</v>
      </c>
      <c r="L1812" t="s">
        <v>27250</v>
      </c>
      <c r="M1812" t="s">
        <v>27251</v>
      </c>
      <c r="N1812" t="s">
        <v>27252</v>
      </c>
      <c r="P1812" t="s">
        <v>27925</v>
      </c>
      <c r="Q1812" s="1">
        <v>44846</v>
      </c>
      <c r="R1812" t="s">
        <v>27253</v>
      </c>
      <c r="S1812" t="s">
        <v>27254</v>
      </c>
      <c r="T1812" t="s">
        <v>27265</v>
      </c>
    </row>
    <row r="1813" spans="1:20" x14ac:dyDescent="0.3">
      <c r="A1813" t="str">
        <f>"0611860853050"</f>
        <v>0611860853050</v>
      </c>
      <c r="B1813" t="str">
        <f>"CE1300"</f>
        <v>CE1300</v>
      </c>
      <c r="C1813" t="s">
        <v>30770</v>
      </c>
      <c r="D1813" t="s">
        <v>27923</v>
      </c>
      <c r="E1813" t="str">
        <f t="shared" si="28"/>
        <v>001390</v>
      </c>
      <c r="F1813" t="s">
        <v>27246</v>
      </c>
      <c r="G1813" t="s">
        <v>27247</v>
      </c>
      <c r="H1813" t="s">
        <v>27248</v>
      </c>
      <c r="I1813" t="s">
        <v>30771</v>
      </c>
      <c r="J1813" t="s">
        <v>3637</v>
      </c>
      <c r="L1813" t="s">
        <v>27250</v>
      </c>
      <c r="M1813" t="s">
        <v>27251</v>
      </c>
      <c r="N1813" t="s">
        <v>27252</v>
      </c>
      <c r="P1813" t="s">
        <v>27925</v>
      </c>
      <c r="Q1813" s="1">
        <v>44846</v>
      </c>
      <c r="R1813" t="s">
        <v>27253</v>
      </c>
      <c r="S1813" t="s">
        <v>27254</v>
      </c>
      <c r="T1813" t="s">
        <v>27265</v>
      </c>
    </row>
    <row r="1814" spans="1:20" x14ac:dyDescent="0.3">
      <c r="A1814" t="str">
        <f>"0611860854050"</f>
        <v>0611860854050</v>
      </c>
      <c r="B1814" t="str">
        <f>"CE1178"</f>
        <v>CE1178</v>
      </c>
      <c r="C1814" t="s">
        <v>30772</v>
      </c>
      <c r="D1814" t="s">
        <v>27923</v>
      </c>
      <c r="E1814" t="str">
        <f t="shared" si="28"/>
        <v>001390</v>
      </c>
      <c r="F1814" t="s">
        <v>27246</v>
      </c>
      <c r="G1814" t="s">
        <v>27247</v>
      </c>
      <c r="H1814" t="s">
        <v>27248</v>
      </c>
      <c r="I1814" t="s">
        <v>30773</v>
      </c>
      <c r="J1814" t="s">
        <v>3639</v>
      </c>
      <c r="L1814" t="s">
        <v>27250</v>
      </c>
      <c r="M1814" t="s">
        <v>27251</v>
      </c>
      <c r="N1814" t="s">
        <v>27252</v>
      </c>
      <c r="P1814" t="s">
        <v>27925</v>
      </c>
      <c r="Q1814" s="1">
        <v>44846</v>
      </c>
      <c r="R1814" t="s">
        <v>27253</v>
      </c>
      <c r="S1814" t="s">
        <v>27254</v>
      </c>
      <c r="T1814" t="s">
        <v>27265</v>
      </c>
    </row>
    <row r="1815" spans="1:20" x14ac:dyDescent="0.3">
      <c r="A1815" t="str">
        <f>"0611860855050"</f>
        <v>0611860855050</v>
      </c>
      <c r="B1815" t="str">
        <f>"CE0409"</f>
        <v>CE0409</v>
      </c>
      <c r="C1815" t="s">
        <v>30774</v>
      </c>
      <c r="D1815" t="s">
        <v>27923</v>
      </c>
      <c r="E1815" t="str">
        <f t="shared" si="28"/>
        <v>001390</v>
      </c>
      <c r="F1815" t="s">
        <v>27246</v>
      </c>
      <c r="G1815" t="s">
        <v>27247</v>
      </c>
      <c r="H1815" t="s">
        <v>27248</v>
      </c>
      <c r="I1815" t="s">
        <v>30775</v>
      </c>
      <c r="J1815" t="s">
        <v>3641</v>
      </c>
      <c r="L1815" t="s">
        <v>27250</v>
      </c>
      <c r="M1815" t="s">
        <v>27251</v>
      </c>
      <c r="N1815" t="s">
        <v>27252</v>
      </c>
      <c r="P1815" t="s">
        <v>27925</v>
      </c>
      <c r="Q1815" s="1">
        <v>44846</v>
      </c>
      <c r="R1815" t="s">
        <v>27253</v>
      </c>
      <c r="S1815" t="s">
        <v>27254</v>
      </c>
      <c r="T1815" t="s">
        <v>27265</v>
      </c>
    </row>
    <row r="1816" spans="1:20" x14ac:dyDescent="0.3">
      <c r="A1816" t="str">
        <f>"0611860852050"</f>
        <v>0611860852050</v>
      </c>
      <c r="B1816" t="str">
        <f>"CE1629"</f>
        <v>CE1629</v>
      </c>
      <c r="C1816" t="s">
        <v>30776</v>
      </c>
      <c r="D1816" t="s">
        <v>27923</v>
      </c>
      <c r="E1816" t="str">
        <f t="shared" si="28"/>
        <v>001390</v>
      </c>
      <c r="F1816" t="s">
        <v>27246</v>
      </c>
      <c r="G1816" t="s">
        <v>27247</v>
      </c>
      <c r="H1816" t="s">
        <v>27248</v>
      </c>
      <c r="I1816" t="s">
        <v>30777</v>
      </c>
      <c r="J1816" t="s">
        <v>3635</v>
      </c>
      <c r="L1816" t="s">
        <v>27250</v>
      </c>
      <c r="M1816" t="s">
        <v>27251</v>
      </c>
      <c r="N1816" t="s">
        <v>27252</v>
      </c>
      <c r="P1816" t="s">
        <v>27925</v>
      </c>
      <c r="Q1816" s="1">
        <v>44846</v>
      </c>
      <c r="R1816" t="s">
        <v>27253</v>
      </c>
      <c r="S1816" t="s">
        <v>27254</v>
      </c>
      <c r="T1816" t="s">
        <v>27265</v>
      </c>
    </row>
    <row r="1817" spans="1:20" x14ac:dyDescent="0.3">
      <c r="A1817" t="str">
        <f>"0611860856050"</f>
        <v>0611860856050</v>
      </c>
      <c r="B1817" t="str">
        <f>"CE1272"</f>
        <v>CE1272</v>
      </c>
      <c r="C1817" t="s">
        <v>30778</v>
      </c>
      <c r="D1817" t="s">
        <v>27923</v>
      </c>
      <c r="E1817" t="str">
        <f t="shared" si="28"/>
        <v>001390</v>
      </c>
      <c r="F1817" t="s">
        <v>27246</v>
      </c>
      <c r="G1817" t="s">
        <v>27247</v>
      </c>
      <c r="H1817" t="s">
        <v>27248</v>
      </c>
      <c r="I1817" t="s">
        <v>30779</v>
      </c>
      <c r="J1817" t="s">
        <v>3643</v>
      </c>
      <c r="L1817" t="s">
        <v>27250</v>
      </c>
      <c r="M1817" t="s">
        <v>27251</v>
      </c>
      <c r="N1817" t="s">
        <v>27252</v>
      </c>
      <c r="P1817" t="s">
        <v>27925</v>
      </c>
      <c r="Q1817" s="1">
        <v>44846</v>
      </c>
      <c r="R1817" t="s">
        <v>27253</v>
      </c>
      <c r="S1817" t="s">
        <v>27254</v>
      </c>
      <c r="T1817" t="s">
        <v>27265</v>
      </c>
    </row>
    <row r="1818" spans="1:20" x14ac:dyDescent="0.3">
      <c r="A1818" t="str">
        <f>"0611860857050"</f>
        <v>0611860857050</v>
      </c>
      <c r="B1818" t="str">
        <f>"CE1273"</f>
        <v>CE1273</v>
      </c>
      <c r="C1818" t="s">
        <v>30780</v>
      </c>
      <c r="D1818" t="s">
        <v>27923</v>
      </c>
      <c r="E1818" t="str">
        <f t="shared" si="28"/>
        <v>001390</v>
      </c>
      <c r="F1818" t="s">
        <v>27246</v>
      </c>
      <c r="G1818" t="s">
        <v>27247</v>
      </c>
      <c r="H1818" t="s">
        <v>27248</v>
      </c>
      <c r="I1818" t="s">
        <v>30781</v>
      </c>
      <c r="J1818" t="s">
        <v>3645</v>
      </c>
      <c r="L1818" t="s">
        <v>27250</v>
      </c>
      <c r="M1818" t="s">
        <v>27251</v>
      </c>
      <c r="N1818" t="s">
        <v>27252</v>
      </c>
      <c r="P1818" t="s">
        <v>27925</v>
      </c>
      <c r="Q1818" s="1">
        <v>44846</v>
      </c>
      <c r="R1818" t="s">
        <v>27253</v>
      </c>
      <c r="S1818" t="s">
        <v>27254</v>
      </c>
      <c r="T1818" t="s">
        <v>27265</v>
      </c>
    </row>
    <row r="1819" spans="1:20" x14ac:dyDescent="0.3">
      <c r="A1819" t="str">
        <f>"0611860858050"</f>
        <v>0611860858050</v>
      </c>
      <c r="B1819" t="str">
        <f>"CE0410"</f>
        <v>CE0410</v>
      </c>
      <c r="C1819" t="s">
        <v>30782</v>
      </c>
      <c r="D1819" t="s">
        <v>27923</v>
      </c>
      <c r="E1819" t="str">
        <f t="shared" si="28"/>
        <v>001390</v>
      </c>
      <c r="F1819" t="s">
        <v>27246</v>
      </c>
      <c r="G1819" t="s">
        <v>27247</v>
      </c>
      <c r="H1819" t="s">
        <v>27248</v>
      </c>
      <c r="I1819" t="s">
        <v>30783</v>
      </c>
      <c r="J1819" t="s">
        <v>3647</v>
      </c>
      <c r="L1819" t="s">
        <v>27250</v>
      </c>
      <c r="M1819" t="s">
        <v>27251</v>
      </c>
      <c r="N1819" t="s">
        <v>27252</v>
      </c>
      <c r="P1819" t="s">
        <v>27925</v>
      </c>
      <c r="Q1819" s="1">
        <v>44846</v>
      </c>
      <c r="R1819" t="s">
        <v>27253</v>
      </c>
      <c r="S1819" t="s">
        <v>27254</v>
      </c>
      <c r="T1819" t="s">
        <v>27265</v>
      </c>
    </row>
    <row r="1820" spans="1:20" x14ac:dyDescent="0.3">
      <c r="A1820" t="str">
        <f>"0611860859050"</f>
        <v>0611860859050</v>
      </c>
      <c r="B1820" t="str">
        <f>"CE0411"</f>
        <v>CE0411</v>
      </c>
      <c r="C1820" t="s">
        <v>30784</v>
      </c>
      <c r="D1820" t="s">
        <v>27923</v>
      </c>
      <c r="E1820" t="str">
        <f t="shared" si="28"/>
        <v>001390</v>
      </c>
      <c r="F1820" t="s">
        <v>27246</v>
      </c>
      <c r="G1820" t="s">
        <v>27247</v>
      </c>
      <c r="H1820" t="s">
        <v>27248</v>
      </c>
      <c r="I1820" t="s">
        <v>30785</v>
      </c>
      <c r="J1820" t="s">
        <v>3649</v>
      </c>
      <c r="L1820" t="s">
        <v>27250</v>
      </c>
      <c r="M1820" t="s">
        <v>27251</v>
      </c>
      <c r="N1820" t="s">
        <v>27252</v>
      </c>
      <c r="P1820" t="s">
        <v>27925</v>
      </c>
      <c r="Q1820" s="1">
        <v>44846</v>
      </c>
      <c r="R1820" t="s">
        <v>27253</v>
      </c>
      <c r="S1820" t="s">
        <v>27254</v>
      </c>
      <c r="T1820" t="s">
        <v>27265</v>
      </c>
    </row>
    <row r="1821" spans="1:20" x14ac:dyDescent="0.3">
      <c r="A1821" t="str">
        <f>"0611860860050"</f>
        <v>0611860860050</v>
      </c>
      <c r="B1821" t="str">
        <f>"CE0398"</f>
        <v>CE0398</v>
      </c>
      <c r="C1821" t="s">
        <v>30786</v>
      </c>
      <c r="D1821" t="s">
        <v>27923</v>
      </c>
      <c r="E1821" t="str">
        <f t="shared" si="28"/>
        <v>001390</v>
      </c>
      <c r="F1821" t="s">
        <v>27246</v>
      </c>
      <c r="G1821" t="s">
        <v>27247</v>
      </c>
      <c r="H1821" t="s">
        <v>27248</v>
      </c>
      <c r="I1821" t="s">
        <v>30787</v>
      </c>
      <c r="J1821" t="s">
        <v>3651</v>
      </c>
      <c r="L1821" t="s">
        <v>27250</v>
      </c>
      <c r="M1821" t="s">
        <v>27251</v>
      </c>
      <c r="N1821" t="s">
        <v>27252</v>
      </c>
      <c r="P1821" t="s">
        <v>27925</v>
      </c>
      <c r="Q1821" s="1">
        <v>44846</v>
      </c>
      <c r="R1821" t="s">
        <v>27253</v>
      </c>
      <c r="S1821" t="s">
        <v>27254</v>
      </c>
      <c r="T1821" t="s">
        <v>27265</v>
      </c>
    </row>
    <row r="1822" spans="1:20" x14ac:dyDescent="0.3">
      <c r="A1822" t="str">
        <f>"0611832085100"</f>
        <v>0611832085100</v>
      </c>
      <c r="B1822" t="str">
        <f>"LQ3826"</f>
        <v>LQ3826</v>
      </c>
      <c r="C1822" t="s">
        <v>30788</v>
      </c>
      <c r="D1822" t="s">
        <v>27245</v>
      </c>
      <c r="E1822" t="str">
        <f t="shared" si="28"/>
        <v>001390</v>
      </c>
      <c r="F1822" t="s">
        <v>27246</v>
      </c>
      <c r="G1822" t="s">
        <v>27247</v>
      </c>
      <c r="H1822" t="s">
        <v>27248</v>
      </c>
      <c r="I1822" t="s">
        <v>30789</v>
      </c>
      <c r="J1822" t="s">
        <v>3653</v>
      </c>
      <c r="L1822" t="s">
        <v>27250</v>
      </c>
      <c r="M1822" t="s">
        <v>27251</v>
      </c>
      <c r="N1822" t="s">
        <v>27252</v>
      </c>
      <c r="Q1822" s="1">
        <v>44538</v>
      </c>
      <c r="R1822" t="s">
        <v>27253</v>
      </c>
      <c r="S1822" t="s">
        <v>27254</v>
      </c>
      <c r="T1822" t="s">
        <v>27255</v>
      </c>
    </row>
    <row r="1823" spans="1:20" x14ac:dyDescent="0.3">
      <c r="A1823" t="str">
        <f>"0611860861050"</f>
        <v>0611860861050</v>
      </c>
      <c r="B1823" t="str">
        <f>"CR4925"</f>
        <v>CR4925</v>
      </c>
      <c r="C1823" t="s">
        <v>30788</v>
      </c>
      <c r="D1823" t="s">
        <v>27263</v>
      </c>
      <c r="E1823" t="str">
        <f t="shared" si="28"/>
        <v>001390</v>
      </c>
      <c r="F1823" t="s">
        <v>27246</v>
      </c>
      <c r="G1823" t="s">
        <v>27247</v>
      </c>
      <c r="H1823" t="s">
        <v>27248</v>
      </c>
      <c r="I1823" t="s">
        <v>30790</v>
      </c>
      <c r="J1823" t="s">
        <v>3655</v>
      </c>
      <c r="L1823" t="s">
        <v>27250</v>
      </c>
      <c r="M1823" t="s">
        <v>27251</v>
      </c>
      <c r="N1823" t="s">
        <v>27252</v>
      </c>
      <c r="Q1823" s="1">
        <v>44846</v>
      </c>
      <c r="R1823" t="s">
        <v>27253</v>
      </c>
      <c r="S1823" t="s">
        <v>27254</v>
      </c>
      <c r="T1823" t="s">
        <v>27265</v>
      </c>
    </row>
    <row r="1824" spans="1:20" x14ac:dyDescent="0.3">
      <c r="A1824" t="str">
        <f>"0611832118100"</f>
        <v>0611832118100</v>
      </c>
      <c r="B1824" t="str">
        <f>"LQ0785"</f>
        <v>LQ0785</v>
      </c>
      <c r="C1824" t="s">
        <v>30791</v>
      </c>
      <c r="D1824" t="s">
        <v>27245</v>
      </c>
      <c r="E1824" t="str">
        <f t="shared" si="28"/>
        <v>001390</v>
      </c>
      <c r="F1824" t="s">
        <v>27246</v>
      </c>
      <c r="G1824" t="s">
        <v>27247</v>
      </c>
      <c r="H1824" t="s">
        <v>27248</v>
      </c>
      <c r="I1824" t="s">
        <v>30792</v>
      </c>
      <c r="J1824" t="s">
        <v>3657</v>
      </c>
      <c r="L1824" t="s">
        <v>27250</v>
      </c>
      <c r="M1824" t="s">
        <v>27251</v>
      </c>
      <c r="N1824" t="s">
        <v>27252</v>
      </c>
      <c r="Q1824" s="1">
        <v>44538</v>
      </c>
      <c r="R1824" t="s">
        <v>27253</v>
      </c>
      <c r="S1824" t="s">
        <v>27254</v>
      </c>
      <c r="T1824" t="s">
        <v>27255</v>
      </c>
    </row>
    <row r="1825" spans="1:20" x14ac:dyDescent="0.3">
      <c r="A1825" t="str">
        <f>"0611860862050"</f>
        <v>0611860862050</v>
      </c>
      <c r="B1825" t="str">
        <f>"CR3487"</f>
        <v>CR3487</v>
      </c>
      <c r="C1825" t="s">
        <v>30791</v>
      </c>
      <c r="D1825" t="s">
        <v>27263</v>
      </c>
      <c r="E1825" t="str">
        <f t="shared" si="28"/>
        <v>001390</v>
      </c>
      <c r="F1825" t="s">
        <v>27246</v>
      </c>
      <c r="G1825" t="s">
        <v>27247</v>
      </c>
      <c r="H1825" t="s">
        <v>27248</v>
      </c>
      <c r="I1825" t="s">
        <v>30793</v>
      </c>
      <c r="J1825" t="s">
        <v>3659</v>
      </c>
      <c r="L1825" t="s">
        <v>27250</v>
      </c>
      <c r="M1825" t="s">
        <v>27251</v>
      </c>
      <c r="N1825" t="s">
        <v>27252</v>
      </c>
      <c r="Q1825" s="1">
        <v>44846</v>
      </c>
      <c r="R1825" t="s">
        <v>27253</v>
      </c>
      <c r="S1825" t="s">
        <v>27254</v>
      </c>
      <c r="T1825" t="s">
        <v>27265</v>
      </c>
    </row>
    <row r="1826" spans="1:20" x14ac:dyDescent="0.3">
      <c r="A1826" t="str">
        <f>"0611832086100"</f>
        <v>0611832086100</v>
      </c>
      <c r="B1826" t="str">
        <f>"LQ3390"</f>
        <v>LQ3390</v>
      </c>
      <c r="C1826" t="s">
        <v>30794</v>
      </c>
      <c r="D1826" t="s">
        <v>27245</v>
      </c>
      <c r="E1826" t="str">
        <f t="shared" si="28"/>
        <v>001390</v>
      </c>
      <c r="F1826" t="s">
        <v>27246</v>
      </c>
      <c r="G1826" t="s">
        <v>27247</v>
      </c>
      <c r="H1826" t="s">
        <v>27248</v>
      </c>
      <c r="I1826" t="s">
        <v>30795</v>
      </c>
      <c r="J1826" t="s">
        <v>3661</v>
      </c>
      <c r="L1826" t="s">
        <v>27250</v>
      </c>
      <c r="M1826" t="s">
        <v>27251</v>
      </c>
      <c r="N1826" t="s">
        <v>27252</v>
      </c>
      <c r="Q1826" s="1">
        <v>44538</v>
      </c>
      <c r="R1826" t="s">
        <v>27253</v>
      </c>
      <c r="S1826" t="s">
        <v>27254</v>
      </c>
      <c r="T1826" t="s">
        <v>27255</v>
      </c>
    </row>
    <row r="1827" spans="1:20" x14ac:dyDescent="0.3">
      <c r="A1827" t="str">
        <f>"0611860863050"</f>
        <v>0611860863050</v>
      </c>
      <c r="B1827" t="str">
        <f>"CR3488"</f>
        <v>CR3488</v>
      </c>
      <c r="C1827" t="s">
        <v>30794</v>
      </c>
      <c r="D1827" t="s">
        <v>27263</v>
      </c>
      <c r="E1827" t="str">
        <f t="shared" si="28"/>
        <v>001390</v>
      </c>
      <c r="F1827" t="s">
        <v>27246</v>
      </c>
      <c r="G1827" t="s">
        <v>27247</v>
      </c>
      <c r="H1827" t="s">
        <v>27248</v>
      </c>
      <c r="I1827" t="s">
        <v>30796</v>
      </c>
      <c r="J1827" t="s">
        <v>3663</v>
      </c>
      <c r="L1827" t="s">
        <v>27250</v>
      </c>
      <c r="M1827" t="s">
        <v>27251</v>
      </c>
      <c r="N1827" t="s">
        <v>27252</v>
      </c>
      <c r="Q1827" s="1">
        <v>44846</v>
      </c>
      <c r="R1827" t="s">
        <v>27253</v>
      </c>
      <c r="S1827" t="s">
        <v>27254</v>
      </c>
      <c r="T1827" t="s">
        <v>27265</v>
      </c>
    </row>
    <row r="1828" spans="1:20" x14ac:dyDescent="0.3">
      <c r="A1828" t="str">
        <f>"0611832087100"</f>
        <v>0611832087100</v>
      </c>
      <c r="B1828" t="str">
        <f>"LQ3734"</f>
        <v>LQ3734</v>
      </c>
      <c r="C1828" t="s">
        <v>30797</v>
      </c>
      <c r="D1828" t="s">
        <v>27245</v>
      </c>
      <c r="E1828" t="str">
        <f t="shared" si="28"/>
        <v>001390</v>
      </c>
      <c r="F1828" t="s">
        <v>27246</v>
      </c>
      <c r="G1828" t="s">
        <v>27247</v>
      </c>
      <c r="H1828" t="s">
        <v>27248</v>
      </c>
      <c r="I1828" t="s">
        <v>30798</v>
      </c>
      <c r="J1828" t="s">
        <v>3665</v>
      </c>
      <c r="L1828" t="s">
        <v>27250</v>
      </c>
      <c r="M1828" t="s">
        <v>27251</v>
      </c>
      <c r="N1828" t="s">
        <v>27252</v>
      </c>
      <c r="Q1828" s="1">
        <v>44538</v>
      </c>
      <c r="R1828" t="s">
        <v>27253</v>
      </c>
      <c r="S1828" t="s">
        <v>27254</v>
      </c>
      <c r="T1828" t="s">
        <v>27255</v>
      </c>
    </row>
    <row r="1829" spans="1:20" x14ac:dyDescent="0.3">
      <c r="A1829" t="str">
        <f>"0611860864050"</f>
        <v>0611860864050</v>
      </c>
      <c r="B1829" t="str">
        <f>"CR4788"</f>
        <v>CR4788</v>
      </c>
      <c r="C1829" t="s">
        <v>30797</v>
      </c>
      <c r="D1829" t="s">
        <v>27263</v>
      </c>
      <c r="E1829" t="str">
        <f t="shared" si="28"/>
        <v>001390</v>
      </c>
      <c r="F1829" t="s">
        <v>27246</v>
      </c>
      <c r="G1829" t="s">
        <v>27247</v>
      </c>
      <c r="H1829" t="s">
        <v>27248</v>
      </c>
      <c r="I1829" t="s">
        <v>30799</v>
      </c>
      <c r="J1829" t="s">
        <v>3667</v>
      </c>
      <c r="L1829" t="s">
        <v>27250</v>
      </c>
      <c r="M1829" t="s">
        <v>27251</v>
      </c>
      <c r="N1829" t="s">
        <v>27252</v>
      </c>
      <c r="Q1829" s="1">
        <v>44846</v>
      </c>
      <c r="R1829" t="s">
        <v>27253</v>
      </c>
      <c r="S1829" t="s">
        <v>27254</v>
      </c>
      <c r="T1829" t="s">
        <v>27265</v>
      </c>
    </row>
    <row r="1830" spans="1:20" x14ac:dyDescent="0.3">
      <c r="A1830" t="str">
        <f>"0611832119100"</f>
        <v>0611832119100</v>
      </c>
      <c r="B1830" t="str">
        <f>"LQ3735"</f>
        <v>LQ3735</v>
      </c>
      <c r="C1830" t="s">
        <v>30800</v>
      </c>
      <c r="D1830" t="s">
        <v>27245</v>
      </c>
      <c r="E1830" t="str">
        <f t="shared" si="28"/>
        <v>001390</v>
      </c>
      <c r="F1830" t="s">
        <v>27246</v>
      </c>
      <c r="G1830" t="s">
        <v>27247</v>
      </c>
      <c r="H1830" t="s">
        <v>27248</v>
      </c>
      <c r="I1830" t="s">
        <v>30801</v>
      </c>
      <c r="J1830" t="s">
        <v>3669</v>
      </c>
      <c r="L1830" t="s">
        <v>27250</v>
      </c>
      <c r="M1830" t="s">
        <v>27251</v>
      </c>
      <c r="N1830" t="s">
        <v>27252</v>
      </c>
      <c r="Q1830" s="1">
        <v>44538</v>
      </c>
      <c r="R1830" t="s">
        <v>27253</v>
      </c>
      <c r="S1830" t="s">
        <v>27254</v>
      </c>
      <c r="T1830" t="s">
        <v>27255</v>
      </c>
    </row>
    <row r="1831" spans="1:20" x14ac:dyDescent="0.3">
      <c r="A1831" t="str">
        <f>"0611832088100"</f>
        <v>0611832088100</v>
      </c>
      <c r="B1831" t="str">
        <f>"LQ3391"</f>
        <v>LQ3391</v>
      </c>
      <c r="C1831" t="s">
        <v>30802</v>
      </c>
      <c r="D1831" t="s">
        <v>27245</v>
      </c>
      <c r="E1831" t="str">
        <f t="shared" si="28"/>
        <v>001390</v>
      </c>
      <c r="F1831" t="s">
        <v>27246</v>
      </c>
      <c r="G1831" t="s">
        <v>27247</v>
      </c>
      <c r="H1831" t="s">
        <v>27248</v>
      </c>
      <c r="I1831" t="s">
        <v>30803</v>
      </c>
      <c r="J1831" t="s">
        <v>3671</v>
      </c>
      <c r="L1831" t="s">
        <v>27250</v>
      </c>
      <c r="M1831" t="s">
        <v>27251</v>
      </c>
      <c r="N1831" t="s">
        <v>27252</v>
      </c>
      <c r="Q1831" s="1">
        <v>44538</v>
      </c>
      <c r="R1831" t="s">
        <v>27253</v>
      </c>
      <c r="S1831" t="s">
        <v>27254</v>
      </c>
      <c r="T1831" t="s">
        <v>27255</v>
      </c>
    </row>
    <row r="1832" spans="1:20" x14ac:dyDescent="0.3">
      <c r="A1832" t="str">
        <f>"0611860865050"</f>
        <v>0611860865050</v>
      </c>
      <c r="B1832" t="str">
        <f>"CR3489"</f>
        <v>CR3489</v>
      </c>
      <c r="C1832" t="s">
        <v>30802</v>
      </c>
      <c r="D1832" t="s">
        <v>27263</v>
      </c>
      <c r="E1832" t="str">
        <f t="shared" si="28"/>
        <v>001390</v>
      </c>
      <c r="F1832" t="s">
        <v>27246</v>
      </c>
      <c r="G1832" t="s">
        <v>27247</v>
      </c>
      <c r="H1832" t="s">
        <v>27248</v>
      </c>
      <c r="I1832" t="s">
        <v>30804</v>
      </c>
      <c r="J1832" t="s">
        <v>3673</v>
      </c>
      <c r="L1832" t="s">
        <v>27250</v>
      </c>
      <c r="M1832" t="s">
        <v>27251</v>
      </c>
      <c r="N1832" t="s">
        <v>27252</v>
      </c>
      <c r="Q1832" s="1">
        <v>44846</v>
      </c>
      <c r="R1832" t="s">
        <v>27253</v>
      </c>
      <c r="S1832" t="s">
        <v>27254</v>
      </c>
      <c r="T1832" t="s">
        <v>27265</v>
      </c>
    </row>
    <row r="1833" spans="1:20" x14ac:dyDescent="0.3">
      <c r="A1833" t="str">
        <f>"0611832089100"</f>
        <v>0611832089100</v>
      </c>
      <c r="B1833" t="str">
        <f>"LQ3574"</f>
        <v>LQ3574</v>
      </c>
      <c r="C1833" t="s">
        <v>30805</v>
      </c>
      <c r="D1833" t="s">
        <v>27245</v>
      </c>
      <c r="E1833" t="str">
        <f t="shared" si="28"/>
        <v>001390</v>
      </c>
      <c r="F1833" t="s">
        <v>27246</v>
      </c>
      <c r="G1833" t="s">
        <v>27247</v>
      </c>
      <c r="H1833" t="s">
        <v>27248</v>
      </c>
      <c r="I1833" t="s">
        <v>30806</v>
      </c>
      <c r="J1833" t="s">
        <v>3675</v>
      </c>
      <c r="L1833" t="s">
        <v>27250</v>
      </c>
      <c r="M1833" t="s">
        <v>27251</v>
      </c>
      <c r="N1833" t="s">
        <v>27252</v>
      </c>
      <c r="Q1833" s="1">
        <v>44538</v>
      </c>
      <c r="R1833" t="s">
        <v>27253</v>
      </c>
      <c r="S1833" t="s">
        <v>27254</v>
      </c>
      <c r="T1833" t="s">
        <v>27255</v>
      </c>
    </row>
    <row r="1834" spans="1:20" x14ac:dyDescent="0.3">
      <c r="A1834" t="str">
        <f>"0611860866050"</f>
        <v>0611860866050</v>
      </c>
      <c r="B1834" t="str">
        <f>"CR3854"</f>
        <v>CR3854</v>
      </c>
      <c r="C1834" t="s">
        <v>30805</v>
      </c>
      <c r="D1834" t="s">
        <v>27263</v>
      </c>
      <c r="E1834" t="str">
        <f t="shared" si="28"/>
        <v>001390</v>
      </c>
      <c r="F1834" t="s">
        <v>27246</v>
      </c>
      <c r="G1834" t="s">
        <v>27247</v>
      </c>
      <c r="H1834" t="s">
        <v>27248</v>
      </c>
      <c r="I1834" t="s">
        <v>30807</v>
      </c>
      <c r="J1834" t="s">
        <v>3677</v>
      </c>
      <c r="L1834" t="s">
        <v>27250</v>
      </c>
      <c r="M1834" t="s">
        <v>27251</v>
      </c>
      <c r="N1834" t="s">
        <v>27252</v>
      </c>
      <c r="Q1834" s="1">
        <v>44846</v>
      </c>
      <c r="R1834" t="s">
        <v>27253</v>
      </c>
      <c r="S1834" t="s">
        <v>27254</v>
      </c>
      <c r="T1834" t="s">
        <v>27265</v>
      </c>
    </row>
    <row r="1835" spans="1:20" x14ac:dyDescent="0.3">
      <c r="A1835" t="str">
        <f>"0611832090100"</f>
        <v>0611832090100</v>
      </c>
      <c r="B1835" t="str">
        <f>"LQ3739"</f>
        <v>LQ3739</v>
      </c>
      <c r="C1835" t="s">
        <v>30808</v>
      </c>
      <c r="D1835" t="s">
        <v>27245</v>
      </c>
      <c r="E1835" t="str">
        <f t="shared" si="28"/>
        <v>001390</v>
      </c>
      <c r="F1835" t="s">
        <v>27246</v>
      </c>
      <c r="G1835" t="s">
        <v>27247</v>
      </c>
      <c r="H1835" t="s">
        <v>27248</v>
      </c>
      <c r="I1835" t="s">
        <v>30809</v>
      </c>
      <c r="J1835" t="s">
        <v>3679</v>
      </c>
      <c r="L1835" t="s">
        <v>27250</v>
      </c>
      <c r="M1835" t="s">
        <v>27251</v>
      </c>
      <c r="N1835" t="s">
        <v>27252</v>
      </c>
      <c r="Q1835" s="1">
        <v>44538</v>
      </c>
      <c r="R1835" t="s">
        <v>27253</v>
      </c>
      <c r="S1835" t="s">
        <v>27254</v>
      </c>
      <c r="T1835" t="s">
        <v>27255</v>
      </c>
    </row>
    <row r="1836" spans="1:20" x14ac:dyDescent="0.3">
      <c r="A1836" t="str">
        <f>"0611832120100"</f>
        <v>0611832120100</v>
      </c>
      <c r="B1836" t="str">
        <f>"LQ3575"</f>
        <v>LQ3575</v>
      </c>
      <c r="C1836" t="s">
        <v>30810</v>
      </c>
      <c r="D1836" t="s">
        <v>27245</v>
      </c>
      <c r="E1836" t="str">
        <f t="shared" si="28"/>
        <v>001390</v>
      </c>
      <c r="F1836" t="s">
        <v>27246</v>
      </c>
      <c r="G1836" t="s">
        <v>27247</v>
      </c>
      <c r="H1836" t="s">
        <v>27248</v>
      </c>
      <c r="I1836" t="s">
        <v>30811</v>
      </c>
      <c r="J1836" t="s">
        <v>3681</v>
      </c>
      <c r="L1836" t="s">
        <v>27250</v>
      </c>
      <c r="M1836" t="s">
        <v>27251</v>
      </c>
      <c r="N1836" t="s">
        <v>27252</v>
      </c>
      <c r="Q1836" s="1">
        <v>44538</v>
      </c>
      <c r="R1836" t="s">
        <v>27253</v>
      </c>
      <c r="S1836" t="s">
        <v>27254</v>
      </c>
      <c r="T1836" t="s">
        <v>27255</v>
      </c>
    </row>
    <row r="1837" spans="1:20" x14ac:dyDescent="0.3">
      <c r="A1837" t="str">
        <f>"0611860867050"</f>
        <v>0611860867050</v>
      </c>
      <c r="B1837" t="str">
        <f>"CR4091"</f>
        <v>CR4091</v>
      </c>
      <c r="C1837" t="s">
        <v>30810</v>
      </c>
      <c r="D1837" t="s">
        <v>27263</v>
      </c>
      <c r="E1837" t="str">
        <f t="shared" si="28"/>
        <v>001390</v>
      </c>
      <c r="F1837" t="s">
        <v>27246</v>
      </c>
      <c r="G1837" t="s">
        <v>27247</v>
      </c>
      <c r="H1837" t="s">
        <v>27248</v>
      </c>
      <c r="I1837" t="s">
        <v>30812</v>
      </c>
      <c r="J1837" t="s">
        <v>3683</v>
      </c>
      <c r="L1837" t="s">
        <v>27250</v>
      </c>
      <c r="M1837" t="s">
        <v>27251</v>
      </c>
      <c r="N1837" t="s">
        <v>27252</v>
      </c>
      <c r="Q1837" s="1">
        <v>44846</v>
      </c>
      <c r="R1837" t="s">
        <v>27253</v>
      </c>
      <c r="S1837" t="s">
        <v>27254</v>
      </c>
      <c r="T1837" t="s">
        <v>27265</v>
      </c>
    </row>
    <row r="1838" spans="1:20" x14ac:dyDescent="0.3">
      <c r="A1838" t="str">
        <f>"0611832091100"</f>
        <v>0611832091100</v>
      </c>
      <c r="B1838" t="str">
        <f>"LQ0869"</f>
        <v>LQ0869</v>
      </c>
      <c r="C1838" t="s">
        <v>30813</v>
      </c>
      <c r="D1838" t="s">
        <v>27245</v>
      </c>
      <c r="E1838" t="str">
        <f t="shared" si="28"/>
        <v>001390</v>
      </c>
      <c r="F1838" t="s">
        <v>27246</v>
      </c>
      <c r="G1838" t="s">
        <v>27247</v>
      </c>
      <c r="H1838" t="s">
        <v>27248</v>
      </c>
      <c r="I1838" t="s">
        <v>30814</v>
      </c>
      <c r="J1838" t="s">
        <v>3685</v>
      </c>
      <c r="L1838" t="s">
        <v>27250</v>
      </c>
      <c r="M1838" t="s">
        <v>27251</v>
      </c>
      <c r="N1838" t="s">
        <v>27252</v>
      </c>
      <c r="Q1838" s="1">
        <v>44538</v>
      </c>
      <c r="R1838" t="s">
        <v>27253</v>
      </c>
      <c r="S1838" t="s">
        <v>27254</v>
      </c>
      <c r="T1838" t="s">
        <v>27255</v>
      </c>
    </row>
    <row r="1839" spans="1:20" x14ac:dyDescent="0.3">
      <c r="A1839" t="str">
        <f>"0611860868050"</f>
        <v>0611860868050</v>
      </c>
      <c r="B1839" t="str">
        <f>"CR4926"</f>
        <v>CR4926</v>
      </c>
      <c r="C1839" t="s">
        <v>30813</v>
      </c>
      <c r="D1839" t="s">
        <v>27263</v>
      </c>
      <c r="E1839" t="str">
        <f t="shared" si="28"/>
        <v>001390</v>
      </c>
      <c r="F1839" t="s">
        <v>27246</v>
      </c>
      <c r="G1839" t="s">
        <v>27247</v>
      </c>
      <c r="H1839" t="s">
        <v>27248</v>
      </c>
      <c r="I1839" t="s">
        <v>30815</v>
      </c>
      <c r="J1839" t="s">
        <v>3687</v>
      </c>
      <c r="L1839" t="s">
        <v>27250</v>
      </c>
      <c r="M1839" t="s">
        <v>27251</v>
      </c>
      <c r="N1839" t="s">
        <v>27252</v>
      </c>
      <c r="Q1839" s="1">
        <v>44846</v>
      </c>
      <c r="R1839" t="s">
        <v>27253</v>
      </c>
      <c r="S1839" t="s">
        <v>27254</v>
      </c>
      <c r="T1839" t="s">
        <v>27265</v>
      </c>
    </row>
    <row r="1840" spans="1:20" x14ac:dyDescent="0.3">
      <c r="A1840" t="str">
        <f>"0611860869050"</f>
        <v>0611860869050</v>
      </c>
      <c r="B1840" t="str">
        <f>"CR3490"</f>
        <v>CR3490</v>
      </c>
      <c r="C1840" t="s">
        <v>30816</v>
      </c>
      <c r="D1840" t="s">
        <v>27263</v>
      </c>
      <c r="E1840" t="str">
        <f t="shared" si="28"/>
        <v>001390</v>
      </c>
      <c r="F1840" t="s">
        <v>27246</v>
      </c>
      <c r="G1840" t="s">
        <v>27247</v>
      </c>
      <c r="H1840" t="s">
        <v>27248</v>
      </c>
      <c r="I1840" t="s">
        <v>30817</v>
      </c>
      <c r="J1840" t="s">
        <v>3689</v>
      </c>
      <c r="L1840" t="s">
        <v>27250</v>
      </c>
      <c r="M1840" t="s">
        <v>27251</v>
      </c>
      <c r="N1840" t="s">
        <v>27252</v>
      </c>
      <c r="Q1840" s="1">
        <v>44846</v>
      </c>
      <c r="R1840" t="s">
        <v>27253</v>
      </c>
      <c r="S1840" t="s">
        <v>27254</v>
      </c>
      <c r="T1840" t="s">
        <v>27265</v>
      </c>
    </row>
    <row r="1841" spans="1:20" x14ac:dyDescent="0.3">
      <c r="A1841" t="str">
        <f>"0611856851100"</f>
        <v>0611856851100</v>
      </c>
      <c r="B1841" t="str">
        <f>"LQ3878"</f>
        <v>LQ3878</v>
      </c>
      <c r="C1841" t="s">
        <v>30818</v>
      </c>
      <c r="D1841" t="s">
        <v>27245</v>
      </c>
      <c r="E1841" t="str">
        <f t="shared" si="28"/>
        <v>001390</v>
      </c>
      <c r="F1841" t="s">
        <v>27246</v>
      </c>
      <c r="G1841" t="s">
        <v>27247</v>
      </c>
      <c r="H1841" t="s">
        <v>27248</v>
      </c>
      <c r="I1841" t="s">
        <v>30819</v>
      </c>
      <c r="J1841" t="s">
        <v>3691</v>
      </c>
      <c r="L1841" t="s">
        <v>27250</v>
      </c>
      <c r="M1841" t="s">
        <v>27251</v>
      </c>
      <c r="N1841" t="s">
        <v>27252</v>
      </c>
      <c r="Q1841" s="1">
        <v>44812</v>
      </c>
      <c r="R1841" t="s">
        <v>27253</v>
      </c>
      <c r="S1841" t="s">
        <v>27254</v>
      </c>
      <c r="T1841" t="s">
        <v>27255</v>
      </c>
    </row>
    <row r="1842" spans="1:20" x14ac:dyDescent="0.3">
      <c r="A1842" t="str">
        <f>"0611860870050"</f>
        <v>0611860870050</v>
      </c>
      <c r="B1842" t="str">
        <f>"CR2588"</f>
        <v>CR2588</v>
      </c>
      <c r="C1842" t="s">
        <v>30820</v>
      </c>
      <c r="D1842" t="s">
        <v>27263</v>
      </c>
      <c r="E1842" t="str">
        <f t="shared" si="28"/>
        <v>001390</v>
      </c>
      <c r="F1842" t="s">
        <v>27246</v>
      </c>
      <c r="G1842" t="s">
        <v>27247</v>
      </c>
      <c r="H1842" t="s">
        <v>27248</v>
      </c>
      <c r="I1842" t="s">
        <v>30821</v>
      </c>
      <c r="J1842" t="s">
        <v>3693</v>
      </c>
      <c r="L1842" t="s">
        <v>27250</v>
      </c>
      <c r="M1842" t="s">
        <v>27251</v>
      </c>
      <c r="N1842" t="s">
        <v>27252</v>
      </c>
      <c r="Q1842" s="1">
        <v>44846</v>
      </c>
      <c r="R1842" t="s">
        <v>27253</v>
      </c>
      <c r="S1842" t="s">
        <v>27254</v>
      </c>
      <c r="T1842" t="s">
        <v>27265</v>
      </c>
    </row>
    <row r="1843" spans="1:20" x14ac:dyDescent="0.3">
      <c r="A1843" t="str">
        <f>"0611832096100"</f>
        <v>0611832096100</v>
      </c>
      <c r="B1843" t="str">
        <f>"LQ3576"</f>
        <v>LQ3576</v>
      </c>
      <c r="C1843" t="s">
        <v>30822</v>
      </c>
      <c r="D1843" t="s">
        <v>27245</v>
      </c>
      <c r="E1843" t="str">
        <f t="shared" si="28"/>
        <v>001390</v>
      </c>
      <c r="F1843" t="s">
        <v>27246</v>
      </c>
      <c r="G1843" t="s">
        <v>27247</v>
      </c>
      <c r="H1843" t="s">
        <v>27248</v>
      </c>
      <c r="I1843" t="s">
        <v>30823</v>
      </c>
      <c r="J1843" t="s">
        <v>3695</v>
      </c>
      <c r="L1843" t="s">
        <v>27250</v>
      </c>
      <c r="M1843" t="s">
        <v>27251</v>
      </c>
      <c r="N1843" t="s">
        <v>27252</v>
      </c>
      <c r="Q1843" s="1">
        <v>44538</v>
      </c>
      <c r="R1843" t="s">
        <v>27253</v>
      </c>
      <c r="S1843" t="s">
        <v>27254</v>
      </c>
      <c r="T1843" t="s">
        <v>27255</v>
      </c>
    </row>
    <row r="1844" spans="1:20" x14ac:dyDescent="0.3">
      <c r="A1844" t="str">
        <f>"0611860872050"</f>
        <v>0611860872050</v>
      </c>
      <c r="B1844" t="str">
        <f>"CR4033"</f>
        <v>CR4033</v>
      </c>
      <c r="C1844" t="s">
        <v>30822</v>
      </c>
      <c r="D1844" t="s">
        <v>27263</v>
      </c>
      <c r="E1844" t="str">
        <f t="shared" si="28"/>
        <v>001390</v>
      </c>
      <c r="F1844" t="s">
        <v>27246</v>
      </c>
      <c r="G1844" t="s">
        <v>27247</v>
      </c>
      <c r="H1844" t="s">
        <v>27248</v>
      </c>
      <c r="I1844" t="s">
        <v>30824</v>
      </c>
      <c r="J1844" t="s">
        <v>3697</v>
      </c>
      <c r="L1844" t="s">
        <v>27250</v>
      </c>
      <c r="M1844" t="s">
        <v>27251</v>
      </c>
      <c r="N1844" t="s">
        <v>27252</v>
      </c>
      <c r="Q1844" s="1">
        <v>44846</v>
      </c>
      <c r="R1844" t="s">
        <v>27253</v>
      </c>
      <c r="S1844" t="s">
        <v>27254</v>
      </c>
      <c r="T1844" t="s">
        <v>27265</v>
      </c>
    </row>
    <row r="1845" spans="1:20" x14ac:dyDescent="0.3">
      <c r="A1845" t="str">
        <f>"0611832097100"</f>
        <v>0611832097100</v>
      </c>
      <c r="B1845" t="str">
        <f>"LQ3828"</f>
        <v>LQ3828</v>
      </c>
      <c r="C1845" t="s">
        <v>30825</v>
      </c>
      <c r="D1845" t="s">
        <v>27245</v>
      </c>
      <c r="E1845" t="str">
        <f t="shared" si="28"/>
        <v>001390</v>
      </c>
      <c r="F1845" t="s">
        <v>27246</v>
      </c>
      <c r="G1845" t="s">
        <v>27247</v>
      </c>
      <c r="H1845" t="s">
        <v>27248</v>
      </c>
      <c r="I1845" t="s">
        <v>30826</v>
      </c>
      <c r="J1845" t="s">
        <v>3699</v>
      </c>
      <c r="L1845" t="s">
        <v>27250</v>
      </c>
      <c r="M1845" t="s">
        <v>27251</v>
      </c>
      <c r="N1845" t="s">
        <v>27252</v>
      </c>
      <c r="Q1845" s="1">
        <v>44538</v>
      </c>
      <c r="R1845" t="s">
        <v>27253</v>
      </c>
      <c r="S1845" t="s">
        <v>27254</v>
      </c>
      <c r="T1845" t="s">
        <v>27255</v>
      </c>
    </row>
    <row r="1846" spans="1:20" x14ac:dyDescent="0.3">
      <c r="A1846" t="str">
        <f>"0611860873050"</f>
        <v>0611860873050</v>
      </c>
      <c r="B1846" t="str">
        <f>"CR4927"</f>
        <v>CR4927</v>
      </c>
      <c r="C1846" t="s">
        <v>30825</v>
      </c>
      <c r="D1846" t="s">
        <v>27263</v>
      </c>
      <c r="E1846" t="str">
        <f t="shared" si="28"/>
        <v>001390</v>
      </c>
      <c r="F1846" t="s">
        <v>27246</v>
      </c>
      <c r="G1846" t="s">
        <v>27247</v>
      </c>
      <c r="H1846" t="s">
        <v>27248</v>
      </c>
      <c r="I1846" t="s">
        <v>30827</v>
      </c>
      <c r="J1846" t="s">
        <v>3701</v>
      </c>
      <c r="L1846" t="s">
        <v>27250</v>
      </c>
      <c r="M1846" t="s">
        <v>27251</v>
      </c>
      <c r="N1846" t="s">
        <v>27252</v>
      </c>
      <c r="Q1846" s="1">
        <v>44846</v>
      </c>
      <c r="R1846" t="s">
        <v>27253</v>
      </c>
      <c r="S1846" t="s">
        <v>27254</v>
      </c>
      <c r="T1846" t="s">
        <v>27265</v>
      </c>
    </row>
    <row r="1847" spans="1:20" x14ac:dyDescent="0.3">
      <c r="A1847" t="str">
        <f>"0611832099100"</f>
        <v>0611832099100</v>
      </c>
      <c r="B1847" t="str">
        <f>"LQ3736"</f>
        <v>LQ3736</v>
      </c>
      <c r="C1847" t="s">
        <v>30828</v>
      </c>
      <c r="D1847" t="s">
        <v>27245</v>
      </c>
      <c r="E1847" t="str">
        <f t="shared" si="28"/>
        <v>001390</v>
      </c>
      <c r="F1847" t="s">
        <v>27246</v>
      </c>
      <c r="G1847" t="s">
        <v>27247</v>
      </c>
      <c r="H1847" t="s">
        <v>27248</v>
      </c>
      <c r="I1847" t="s">
        <v>30829</v>
      </c>
      <c r="J1847" t="s">
        <v>3703</v>
      </c>
      <c r="L1847" t="s">
        <v>27250</v>
      </c>
      <c r="M1847" t="s">
        <v>27251</v>
      </c>
      <c r="N1847" t="s">
        <v>27252</v>
      </c>
      <c r="Q1847" s="1">
        <v>44538</v>
      </c>
      <c r="R1847" t="s">
        <v>27253</v>
      </c>
      <c r="S1847" t="s">
        <v>27254</v>
      </c>
      <c r="T1847" t="s">
        <v>27255</v>
      </c>
    </row>
    <row r="1848" spans="1:20" x14ac:dyDescent="0.3">
      <c r="A1848" t="str">
        <f>"0611860874050"</f>
        <v>0611860874050</v>
      </c>
      <c r="B1848" t="str">
        <f>"CR4789"</f>
        <v>CR4789</v>
      </c>
      <c r="C1848" t="s">
        <v>30828</v>
      </c>
      <c r="D1848" t="s">
        <v>27263</v>
      </c>
      <c r="E1848" t="str">
        <f t="shared" si="28"/>
        <v>001390</v>
      </c>
      <c r="F1848" t="s">
        <v>27246</v>
      </c>
      <c r="G1848" t="s">
        <v>27247</v>
      </c>
      <c r="H1848" t="s">
        <v>27248</v>
      </c>
      <c r="I1848" t="s">
        <v>30830</v>
      </c>
      <c r="J1848" t="s">
        <v>3705</v>
      </c>
      <c r="L1848" t="s">
        <v>27250</v>
      </c>
      <c r="M1848" t="s">
        <v>27251</v>
      </c>
      <c r="N1848" t="s">
        <v>27252</v>
      </c>
      <c r="Q1848" s="1">
        <v>44846</v>
      </c>
      <c r="R1848" t="s">
        <v>27253</v>
      </c>
      <c r="S1848" t="s">
        <v>27254</v>
      </c>
      <c r="T1848" t="s">
        <v>27265</v>
      </c>
    </row>
    <row r="1849" spans="1:20" x14ac:dyDescent="0.3">
      <c r="A1849" t="str">
        <f>"0611860875050"</f>
        <v>0611860875050</v>
      </c>
      <c r="B1849" t="str">
        <f>"CR4928"</f>
        <v>CR4928</v>
      </c>
      <c r="C1849" t="s">
        <v>30831</v>
      </c>
      <c r="D1849" t="s">
        <v>27263</v>
      </c>
      <c r="E1849" t="str">
        <f t="shared" si="28"/>
        <v>001390</v>
      </c>
      <c r="F1849" t="s">
        <v>27246</v>
      </c>
      <c r="G1849" t="s">
        <v>27247</v>
      </c>
      <c r="H1849" t="s">
        <v>27248</v>
      </c>
      <c r="I1849" t="s">
        <v>30832</v>
      </c>
      <c r="J1849" t="s">
        <v>3707</v>
      </c>
      <c r="L1849" t="s">
        <v>27250</v>
      </c>
      <c r="M1849" t="s">
        <v>27251</v>
      </c>
      <c r="N1849" t="s">
        <v>27252</v>
      </c>
      <c r="Q1849" s="1">
        <v>44846</v>
      </c>
      <c r="R1849" t="s">
        <v>27253</v>
      </c>
      <c r="S1849" t="s">
        <v>27254</v>
      </c>
      <c r="T1849" t="s">
        <v>27265</v>
      </c>
    </row>
    <row r="1850" spans="1:20" x14ac:dyDescent="0.3">
      <c r="A1850" t="str">
        <f>"0611832100100"</f>
        <v>0611832100100</v>
      </c>
      <c r="B1850" t="str">
        <f>"LQ3514"</f>
        <v>LQ3514</v>
      </c>
      <c r="C1850" t="s">
        <v>30833</v>
      </c>
      <c r="D1850" t="s">
        <v>27245</v>
      </c>
      <c r="E1850" t="str">
        <f t="shared" si="28"/>
        <v>001390</v>
      </c>
      <c r="F1850" t="s">
        <v>27246</v>
      </c>
      <c r="G1850" t="s">
        <v>27247</v>
      </c>
      <c r="H1850" t="s">
        <v>27248</v>
      </c>
      <c r="I1850" t="s">
        <v>30834</v>
      </c>
      <c r="J1850" t="s">
        <v>3709</v>
      </c>
      <c r="L1850" t="s">
        <v>27250</v>
      </c>
      <c r="M1850" t="s">
        <v>27251</v>
      </c>
      <c r="N1850" t="s">
        <v>27252</v>
      </c>
      <c r="Q1850" s="1">
        <v>44538</v>
      </c>
      <c r="R1850" t="s">
        <v>27253</v>
      </c>
      <c r="S1850" t="s">
        <v>27254</v>
      </c>
      <c r="T1850" t="s">
        <v>27255</v>
      </c>
    </row>
    <row r="1851" spans="1:20" x14ac:dyDescent="0.3">
      <c r="A1851" t="str">
        <f>"0611832101100"</f>
        <v>0611832101100</v>
      </c>
      <c r="B1851" t="str">
        <f>"LQ3515"</f>
        <v>LQ3515</v>
      </c>
      <c r="C1851" t="s">
        <v>30835</v>
      </c>
      <c r="D1851" t="s">
        <v>27245</v>
      </c>
      <c r="E1851" t="str">
        <f t="shared" si="28"/>
        <v>001390</v>
      </c>
      <c r="F1851" t="s">
        <v>27246</v>
      </c>
      <c r="G1851" t="s">
        <v>27247</v>
      </c>
      <c r="H1851" t="s">
        <v>27248</v>
      </c>
      <c r="I1851" t="s">
        <v>30836</v>
      </c>
      <c r="J1851" t="s">
        <v>3711</v>
      </c>
      <c r="L1851" t="s">
        <v>27250</v>
      </c>
      <c r="M1851" t="s">
        <v>27251</v>
      </c>
      <c r="N1851" t="s">
        <v>27252</v>
      </c>
      <c r="Q1851" s="1">
        <v>44538</v>
      </c>
      <c r="R1851" t="s">
        <v>27253</v>
      </c>
      <c r="S1851" t="s">
        <v>27254</v>
      </c>
      <c r="T1851" t="s">
        <v>27255</v>
      </c>
    </row>
    <row r="1852" spans="1:20" x14ac:dyDescent="0.3">
      <c r="A1852" t="str">
        <f>"0611860876050"</f>
        <v>0611860876050</v>
      </c>
      <c r="B1852" t="str">
        <f>"CR2093"</f>
        <v>CR2093</v>
      </c>
      <c r="C1852" t="s">
        <v>30835</v>
      </c>
      <c r="D1852" t="s">
        <v>27263</v>
      </c>
      <c r="E1852" t="str">
        <f t="shared" si="28"/>
        <v>001390</v>
      </c>
      <c r="F1852" t="s">
        <v>27246</v>
      </c>
      <c r="G1852" t="s">
        <v>27247</v>
      </c>
      <c r="H1852" t="s">
        <v>27248</v>
      </c>
      <c r="I1852" t="s">
        <v>30837</v>
      </c>
      <c r="J1852" t="s">
        <v>3713</v>
      </c>
      <c r="L1852" t="s">
        <v>27250</v>
      </c>
      <c r="M1852" t="s">
        <v>27251</v>
      </c>
      <c r="N1852" t="s">
        <v>27252</v>
      </c>
      <c r="Q1852" s="1">
        <v>44846</v>
      </c>
      <c r="R1852" t="s">
        <v>27253</v>
      </c>
      <c r="S1852" t="s">
        <v>27254</v>
      </c>
      <c r="T1852" t="s">
        <v>27265</v>
      </c>
    </row>
    <row r="1853" spans="1:20" x14ac:dyDescent="0.3">
      <c r="A1853" t="str">
        <f>"0611832102100"</f>
        <v>0611832102100</v>
      </c>
      <c r="B1853" t="str">
        <f>"LQ3737"</f>
        <v>LQ3737</v>
      </c>
      <c r="C1853" t="s">
        <v>30838</v>
      </c>
      <c r="D1853" t="s">
        <v>27245</v>
      </c>
      <c r="E1853" t="str">
        <f t="shared" si="28"/>
        <v>001390</v>
      </c>
      <c r="F1853" t="s">
        <v>27246</v>
      </c>
      <c r="G1853" t="s">
        <v>27247</v>
      </c>
      <c r="H1853" t="s">
        <v>27248</v>
      </c>
      <c r="I1853" t="s">
        <v>30839</v>
      </c>
      <c r="J1853" t="s">
        <v>3715</v>
      </c>
      <c r="L1853" t="s">
        <v>27250</v>
      </c>
      <c r="M1853" t="s">
        <v>27251</v>
      </c>
      <c r="N1853" t="s">
        <v>27252</v>
      </c>
      <c r="Q1853" s="1">
        <v>44538</v>
      </c>
      <c r="R1853" t="s">
        <v>27253</v>
      </c>
      <c r="S1853" t="s">
        <v>27254</v>
      </c>
      <c r="T1853" t="s">
        <v>27255</v>
      </c>
    </row>
    <row r="1854" spans="1:20" x14ac:dyDescent="0.3">
      <c r="A1854" t="str">
        <f>"0611860877050"</f>
        <v>0611860877050</v>
      </c>
      <c r="B1854" t="str">
        <f>"CR4790"</f>
        <v>CR4790</v>
      </c>
      <c r="C1854" t="s">
        <v>30838</v>
      </c>
      <c r="D1854" t="s">
        <v>27263</v>
      </c>
      <c r="E1854" t="str">
        <f t="shared" si="28"/>
        <v>001390</v>
      </c>
      <c r="F1854" t="s">
        <v>27246</v>
      </c>
      <c r="G1854" t="s">
        <v>27247</v>
      </c>
      <c r="H1854" t="s">
        <v>27248</v>
      </c>
      <c r="I1854" t="s">
        <v>30840</v>
      </c>
      <c r="J1854" t="s">
        <v>3717</v>
      </c>
      <c r="L1854" t="s">
        <v>27250</v>
      </c>
      <c r="M1854" t="s">
        <v>27251</v>
      </c>
      <c r="N1854" t="s">
        <v>27252</v>
      </c>
      <c r="Q1854" s="1">
        <v>44846</v>
      </c>
      <c r="R1854" t="s">
        <v>27253</v>
      </c>
      <c r="S1854" t="s">
        <v>27254</v>
      </c>
      <c r="T1854" t="s">
        <v>27265</v>
      </c>
    </row>
    <row r="1855" spans="1:20" x14ac:dyDescent="0.3">
      <c r="A1855" t="str">
        <f>"0611832103100"</f>
        <v>0611832103100</v>
      </c>
      <c r="B1855" t="str">
        <f>"LQ3829"</f>
        <v>LQ3829</v>
      </c>
      <c r="C1855" t="s">
        <v>30841</v>
      </c>
      <c r="D1855" t="s">
        <v>27245</v>
      </c>
      <c r="E1855" t="str">
        <f t="shared" si="28"/>
        <v>001390</v>
      </c>
      <c r="F1855" t="s">
        <v>27246</v>
      </c>
      <c r="G1855" t="s">
        <v>27247</v>
      </c>
      <c r="H1855" t="s">
        <v>27248</v>
      </c>
      <c r="I1855" t="s">
        <v>30842</v>
      </c>
      <c r="J1855" t="s">
        <v>3719</v>
      </c>
      <c r="L1855" t="s">
        <v>27250</v>
      </c>
      <c r="M1855" t="s">
        <v>27251</v>
      </c>
      <c r="N1855" t="s">
        <v>27252</v>
      </c>
      <c r="Q1855" s="1">
        <v>44538</v>
      </c>
      <c r="R1855" t="s">
        <v>27253</v>
      </c>
      <c r="S1855" t="s">
        <v>27254</v>
      </c>
      <c r="T1855" t="s">
        <v>27255</v>
      </c>
    </row>
    <row r="1856" spans="1:20" x14ac:dyDescent="0.3">
      <c r="A1856" t="str">
        <f>"0611860878050"</f>
        <v>0611860878050</v>
      </c>
      <c r="B1856" t="str">
        <f>"CR4929"</f>
        <v>CR4929</v>
      </c>
      <c r="C1856" t="s">
        <v>30841</v>
      </c>
      <c r="D1856" t="s">
        <v>27263</v>
      </c>
      <c r="E1856" t="str">
        <f t="shared" si="28"/>
        <v>001390</v>
      </c>
      <c r="F1856" t="s">
        <v>27246</v>
      </c>
      <c r="G1856" t="s">
        <v>27247</v>
      </c>
      <c r="H1856" t="s">
        <v>27248</v>
      </c>
      <c r="I1856" t="s">
        <v>30843</v>
      </c>
      <c r="J1856" t="s">
        <v>3721</v>
      </c>
      <c r="L1856" t="s">
        <v>27250</v>
      </c>
      <c r="M1856" t="s">
        <v>27251</v>
      </c>
      <c r="N1856" t="s">
        <v>27252</v>
      </c>
      <c r="Q1856" s="1">
        <v>44846</v>
      </c>
      <c r="R1856" t="s">
        <v>27253</v>
      </c>
      <c r="S1856" t="s">
        <v>27254</v>
      </c>
      <c r="T1856" t="s">
        <v>27265</v>
      </c>
    </row>
    <row r="1857" spans="1:20" x14ac:dyDescent="0.3">
      <c r="A1857" t="str">
        <f>"0611832104100"</f>
        <v>0611832104100</v>
      </c>
      <c r="B1857" t="str">
        <f>"LQ3578"</f>
        <v>LQ3578</v>
      </c>
      <c r="C1857" t="s">
        <v>30844</v>
      </c>
      <c r="D1857" t="s">
        <v>27245</v>
      </c>
      <c r="E1857" t="str">
        <f t="shared" si="28"/>
        <v>001390</v>
      </c>
      <c r="F1857" t="s">
        <v>27246</v>
      </c>
      <c r="G1857" t="s">
        <v>27247</v>
      </c>
      <c r="H1857" t="s">
        <v>27248</v>
      </c>
      <c r="I1857" t="s">
        <v>30845</v>
      </c>
      <c r="J1857" t="s">
        <v>3723</v>
      </c>
      <c r="L1857" t="s">
        <v>27250</v>
      </c>
      <c r="M1857" t="s">
        <v>27251</v>
      </c>
      <c r="N1857" t="s">
        <v>27252</v>
      </c>
      <c r="Q1857" s="1">
        <v>44538</v>
      </c>
      <c r="R1857" t="s">
        <v>27253</v>
      </c>
      <c r="S1857" t="s">
        <v>27254</v>
      </c>
      <c r="T1857" t="s">
        <v>27255</v>
      </c>
    </row>
    <row r="1858" spans="1:20" x14ac:dyDescent="0.3">
      <c r="A1858" t="str">
        <f>"0611860879050"</f>
        <v>0611860879050</v>
      </c>
      <c r="B1858" t="str">
        <f>"CR3042"</f>
        <v>CR3042</v>
      </c>
      <c r="C1858" t="s">
        <v>30844</v>
      </c>
      <c r="D1858" t="s">
        <v>27263</v>
      </c>
      <c r="E1858" t="str">
        <f t="shared" ref="E1858:E1921" si="29">"001390"</f>
        <v>001390</v>
      </c>
      <c r="F1858" t="s">
        <v>27246</v>
      </c>
      <c r="G1858" t="s">
        <v>27247</v>
      </c>
      <c r="H1858" t="s">
        <v>27248</v>
      </c>
      <c r="I1858" t="s">
        <v>30846</v>
      </c>
      <c r="J1858" t="s">
        <v>3725</v>
      </c>
      <c r="L1858" t="s">
        <v>27250</v>
      </c>
      <c r="M1858" t="s">
        <v>27251</v>
      </c>
      <c r="N1858" t="s">
        <v>27252</v>
      </c>
      <c r="Q1858" s="1">
        <v>44846</v>
      </c>
      <c r="R1858" t="s">
        <v>27253</v>
      </c>
      <c r="S1858" t="s">
        <v>27254</v>
      </c>
      <c r="T1858" t="s">
        <v>27265</v>
      </c>
    </row>
    <row r="1859" spans="1:20" x14ac:dyDescent="0.3">
      <c r="A1859" t="str">
        <f>"0611832105100"</f>
        <v>0611832105100</v>
      </c>
      <c r="B1859" t="str">
        <f>"LQ0934"</f>
        <v>LQ0934</v>
      </c>
      <c r="C1859" t="s">
        <v>30847</v>
      </c>
      <c r="D1859" t="s">
        <v>27245</v>
      </c>
      <c r="E1859" t="str">
        <f t="shared" si="29"/>
        <v>001390</v>
      </c>
      <c r="F1859" t="s">
        <v>27246</v>
      </c>
      <c r="G1859" t="s">
        <v>27247</v>
      </c>
      <c r="H1859" t="s">
        <v>27248</v>
      </c>
      <c r="I1859" t="s">
        <v>30848</v>
      </c>
      <c r="J1859" t="s">
        <v>3727</v>
      </c>
      <c r="L1859" t="s">
        <v>27250</v>
      </c>
      <c r="M1859" t="s">
        <v>27251</v>
      </c>
      <c r="N1859" t="s">
        <v>27252</v>
      </c>
      <c r="Q1859" s="1">
        <v>44538</v>
      </c>
      <c r="R1859" t="s">
        <v>27253</v>
      </c>
      <c r="S1859" t="s">
        <v>27254</v>
      </c>
      <c r="T1859" t="s">
        <v>27255</v>
      </c>
    </row>
    <row r="1860" spans="1:20" x14ac:dyDescent="0.3">
      <c r="A1860" t="str">
        <f>"0611860880050"</f>
        <v>0611860880050</v>
      </c>
      <c r="B1860" t="str">
        <f>"CR4930"</f>
        <v>CR4930</v>
      </c>
      <c r="C1860" t="s">
        <v>30849</v>
      </c>
      <c r="D1860" t="s">
        <v>27263</v>
      </c>
      <c r="E1860" t="str">
        <f t="shared" si="29"/>
        <v>001390</v>
      </c>
      <c r="F1860" t="s">
        <v>27246</v>
      </c>
      <c r="G1860" t="s">
        <v>27247</v>
      </c>
      <c r="H1860" t="s">
        <v>27248</v>
      </c>
      <c r="I1860" t="s">
        <v>30850</v>
      </c>
      <c r="J1860" t="s">
        <v>3729</v>
      </c>
      <c r="L1860" t="s">
        <v>27250</v>
      </c>
      <c r="M1860" t="s">
        <v>27251</v>
      </c>
      <c r="N1860" t="s">
        <v>27252</v>
      </c>
      <c r="Q1860" s="1">
        <v>44846</v>
      </c>
      <c r="R1860" t="s">
        <v>27253</v>
      </c>
      <c r="S1860" t="s">
        <v>27254</v>
      </c>
      <c r="T1860" t="s">
        <v>27265</v>
      </c>
    </row>
    <row r="1861" spans="1:20" x14ac:dyDescent="0.3">
      <c r="A1861" t="str">
        <f>"0611860881050"</f>
        <v>0611860881050</v>
      </c>
      <c r="B1861" t="str">
        <f>"CR4034"</f>
        <v>CR4034</v>
      </c>
      <c r="C1861" t="s">
        <v>30851</v>
      </c>
      <c r="D1861" t="s">
        <v>27263</v>
      </c>
      <c r="E1861" t="str">
        <f t="shared" si="29"/>
        <v>001390</v>
      </c>
      <c r="F1861" t="s">
        <v>27246</v>
      </c>
      <c r="G1861" t="s">
        <v>27247</v>
      </c>
      <c r="H1861" t="s">
        <v>27248</v>
      </c>
      <c r="I1861" t="s">
        <v>30852</v>
      </c>
      <c r="J1861" t="s">
        <v>3731</v>
      </c>
      <c r="L1861" t="s">
        <v>27250</v>
      </c>
      <c r="M1861" t="s">
        <v>27251</v>
      </c>
      <c r="N1861" t="s">
        <v>27252</v>
      </c>
      <c r="Q1861" s="1">
        <v>44846</v>
      </c>
      <c r="R1861" t="s">
        <v>27253</v>
      </c>
      <c r="S1861" t="s">
        <v>27254</v>
      </c>
      <c r="T1861" t="s">
        <v>27265</v>
      </c>
    </row>
    <row r="1862" spans="1:20" x14ac:dyDescent="0.3">
      <c r="A1862" t="str">
        <f>"0611832107100"</f>
        <v>0611832107100</v>
      </c>
      <c r="B1862" t="str">
        <f>"LQ3738"</f>
        <v>LQ3738</v>
      </c>
      <c r="C1862" t="s">
        <v>30853</v>
      </c>
      <c r="D1862" t="s">
        <v>27245</v>
      </c>
      <c r="E1862" t="str">
        <f t="shared" si="29"/>
        <v>001390</v>
      </c>
      <c r="F1862" t="s">
        <v>27246</v>
      </c>
      <c r="G1862" t="s">
        <v>27247</v>
      </c>
      <c r="H1862" t="s">
        <v>27248</v>
      </c>
      <c r="I1862" t="s">
        <v>30854</v>
      </c>
      <c r="J1862" t="s">
        <v>3733</v>
      </c>
      <c r="L1862" t="s">
        <v>27250</v>
      </c>
      <c r="M1862" t="s">
        <v>27251</v>
      </c>
      <c r="N1862" t="s">
        <v>27252</v>
      </c>
      <c r="Q1862" s="1">
        <v>44538</v>
      </c>
      <c r="R1862" t="s">
        <v>27253</v>
      </c>
      <c r="S1862" t="s">
        <v>27254</v>
      </c>
      <c r="T1862" t="s">
        <v>27255</v>
      </c>
    </row>
    <row r="1863" spans="1:20" x14ac:dyDescent="0.3">
      <c r="A1863" t="str">
        <f>"0611860882050"</f>
        <v>0611860882050</v>
      </c>
      <c r="B1863" t="str">
        <f>"CR4791"</f>
        <v>CR4791</v>
      </c>
      <c r="C1863" t="s">
        <v>30853</v>
      </c>
      <c r="D1863" t="s">
        <v>27263</v>
      </c>
      <c r="E1863" t="str">
        <f t="shared" si="29"/>
        <v>001390</v>
      </c>
      <c r="F1863" t="s">
        <v>27246</v>
      </c>
      <c r="G1863" t="s">
        <v>27247</v>
      </c>
      <c r="H1863" t="s">
        <v>27248</v>
      </c>
      <c r="I1863" t="s">
        <v>30855</v>
      </c>
      <c r="J1863" t="s">
        <v>3735</v>
      </c>
      <c r="L1863" t="s">
        <v>27250</v>
      </c>
      <c r="M1863" t="s">
        <v>27251</v>
      </c>
      <c r="N1863" t="s">
        <v>27252</v>
      </c>
      <c r="Q1863" s="1">
        <v>44846</v>
      </c>
      <c r="R1863" t="s">
        <v>27253</v>
      </c>
      <c r="S1863" t="s">
        <v>27254</v>
      </c>
      <c r="T1863" t="s">
        <v>27265</v>
      </c>
    </row>
    <row r="1864" spans="1:20" x14ac:dyDescent="0.3">
      <c r="A1864" t="str">
        <f>"0611832108100"</f>
        <v>0611832108100</v>
      </c>
      <c r="B1864" t="str">
        <f>"LQ3516"</f>
        <v>LQ3516</v>
      </c>
      <c r="C1864" t="s">
        <v>30856</v>
      </c>
      <c r="D1864" t="s">
        <v>27245</v>
      </c>
      <c r="E1864" t="str">
        <f t="shared" si="29"/>
        <v>001390</v>
      </c>
      <c r="F1864" t="s">
        <v>27246</v>
      </c>
      <c r="G1864" t="s">
        <v>27247</v>
      </c>
      <c r="H1864" t="s">
        <v>27248</v>
      </c>
      <c r="I1864" t="s">
        <v>30857</v>
      </c>
      <c r="J1864" t="s">
        <v>3737</v>
      </c>
      <c r="L1864" t="s">
        <v>27250</v>
      </c>
      <c r="M1864" t="s">
        <v>27251</v>
      </c>
      <c r="N1864" t="s">
        <v>27252</v>
      </c>
      <c r="Q1864" s="1">
        <v>44538</v>
      </c>
      <c r="R1864" t="s">
        <v>27253</v>
      </c>
      <c r="S1864" t="s">
        <v>27254</v>
      </c>
      <c r="T1864" t="s">
        <v>27255</v>
      </c>
    </row>
    <row r="1865" spans="1:20" x14ac:dyDescent="0.3">
      <c r="A1865" t="str">
        <f>"0611860883050"</f>
        <v>0611860883050</v>
      </c>
      <c r="B1865" t="str">
        <f>"CR3491"</f>
        <v>CR3491</v>
      </c>
      <c r="C1865" t="s">
        <v>30856</v>
      </c>
      <c r="D1865" t="s">
        <v>27263</v>
      </c>
      <c r="E1865" t="str">
        <f t="shared" si="29"/>
        <v>001390</v>
      </c>
      <c r="F1865" t="s">
        <v>27246</v>
      </c>
      <c r="G1865" t="s">
        <v>27247</v>
      </c>
      <c r="H1865" t="s">
        <v>27248</v>
      </c>
      <c r="I1865" t="s">
        <v>30858</v>
      </c>
      <c r="J1865" t="s">
        <v>3739</v>
      </c>
      <c r="L1865" t="s">
        <v>27250</v>
      </c>
      <c r="M1865" t="s">
        <v>27251</v>
      </c>
      <c r="N1865" t="s">
        <v>27252</v>
      </c>
      <c r="Q1865" s="1">
        <v>44846</v>
      </c>
      <c r="R1865" t="s">
        <v>27253</v>
      </c>
      <c r="S1865" t="s">
        <v>27254</v>
      </c>
      <c r="T1865" t="s">
        <v>27265</v>
      </c>
    </row>
    <row r="1866" spans="1:20" x14ac:dyDescent="0.3">
      <c r="A1866" t="str">
        <f>"0611860884050"</f>
        <v>0611860884050</v>
      </c>
      <c r="B1866" t="str">
        <f>"CR2589"</f>
        <v>CR2589</v>
      </c>
      <c r="C1866" t="s">
        <v>30859</v>
      </c>
      <c r="D1866" t="s">
        <v>27263</v>
      </c>
      <c r="E1866" t="str">
        <f t="shared" si="29"/>
        <v>001390</v>
      </c>
      <c r="F1866" t="s">
        <v>27246</v>
      </c>
      <c r="G1866" t="s">
        <v>27247</v>
      </c>
      <c r="H1866" t="s">
        <v>27248</v>
      </c>
      <c r="I1866" t="s">
        <v>30860</v>
      </c>
      <c r="J1866" t="s">
        <v>3741</v>
      </c>
      <c r="L1866" t="s">
        <v>27250</v>
      </c>
      <c r="M1866" t="s">
        <v>27251</v>
      </c>
      <c r="N1866" t="s">
        <v>27252</v>
      </c>
      <c r="Q1866" s="1">
        <v>44846</v>
      </c>
      <c r="R1866" t="s">
        <v>27253</v>
      </c>
      <c r="S1866" t="s">
        <v>27254</v>
      </c>
      <c r="T1866" t="s">
        <v>27265</v>
      </c>
    </row>
    <row r="1867" spans="1:20" x14ac:dyDescent="0.3">
      <c r="A1867" t="str">
        <f>"0611832110100"</f>
        <v>0611832110100</v>
      </c>
      <c r="B1867" t="str">
        <f>"LQ3518"</f>
        <v>LQ3518</v>
      </c>
      <c r="C1867" t="s">
        <v>30861</v>
      </c>
      <c r="D1867" t="s">
        <v>27245</v>
      </c>
      <c r="E1867" t="str">
        <f t="shared" si="29"/>
        <v>001390</v>
      </c>
      <c r="F1867" t="s">
        <v>27246</v>
      </c>
      <c r="G1867" t="s">
        <v>27247</v>
      </c>
      <c r="H1867" t="s">
        <v>27248</v>
      </c>
      <c r="I1867" t="s">
        <v>30862</v>
      </c>
      <c r="J1867" t="s">
        <v>3743</v>
      </c>
      <c r="L1867" t="s">
        <v>27250</v>
      </c>
      <c r="M1867" t="s">
        <v>27251</v>
      </c>
      <c r="N1867" t="s">
        <v>27252</v>
      </c>
      <c r="Q1867" s="1">
        <v>44538</v>
      </c>
      <c r="R1867" t="s">
        <v>27253</v>
      </c>
      <c r="S1867" t="s">
        <v>27254</v>
      </c>
      <c r="T1867" t="s">
        <v>27255</v>
      </c>
    </row>
    <row r="1868" spans="1:20" x14ac:dyDescent="0.3">
      <c r="A1868" t="str">
        <f>"0611860885050"</f>
        <v>0611860885050</v>
      </c>
      <c r="B1868" t="str">
        <f>"CR3492"</f>
        <v>CR3492</v>
      </c>
      <c r="C1868" t="s">
        <v>30861</v>
      </c>
      <c r="D1868" t="s">
        <v>27263</v>
      </c>
      <c r="E1868" t="str">
        <f t="shared" si="29"/>
        <v>001390</v>
      </c>
      <c r="F1868" t="s">
        <v>27246</v>
      </c>
      <c r="G1868" t="s">
        <v>27247</v>
      </c>
      <c r="H1868" t="s">
        <v>27248</v>
      </c>
      <c r="I1868" t="s">
        <v>30863</v>
      </c>
      <c r="J1868" t="s">
        <v>3745</v>
      </c>
      <c r="L1868" t="s">
        <v>27250</v>
      </c>
      <c r="M1868" t="s">
        <v>27251</v>
      </c>
      <c r="N1868" t="s">
        <v>27252</v>
      </c>
      <c r="Q1868" s="1">
        <v>44846</v>
      </c>
      <c r="R1868" t="s">
        <v>27253</v>
      </c>
      <c r="S1868" t="s">
        <v>27254</v>
      </c>
      <c r="T1868" t="s">
        <v>27265</v>
      </c>
    </row>
    <row r="1869" spans="1:20" x14ac:dyDescent="0.3">
      <c r="A1869" t="str">
        <f>"0611860886050"</f>
        <v>0611860886050</v>
      </c>
      <c r="B1869" t="str">
        <f>"CR5155"</f>
        <v>CR5155</v>
      </c>
      <c r="C1869" t="s">
        <v>30864</v>
      </c>
      <c r="D1869" t="s">
        <v>27263</v>
      </c>
      <c r="E1869" t="str">
        <f t="shared" si="29"/>
        <v>001390</v>
      </c>
      <c r="F1869" t="s">
        <v>27246</v>
      </c>
      <c r="G1869" t="s">
        <v>27247</v>
      </c>
      <c r="H1869" t="s">
        <v>27248</v>
      </c>
      <c r="I1869" t="s">
        <v>30865</v>
      </c>
      <c r="J1869" t="s">
        <v>3747</v>
      </c>
      <c r="L1869" t="s">
        <v>27250</v>
      </c>
      <c r="M1869" t="s">
        <v>27251</v>
      </c>
      <c r="N1869" t="s">
        <v>27252</v>
      </c>
      <c r="Q1869" s="1">
        <v>44846</v>
      </c>
      <c r="R1869" t="s">
        <v>27253</v>
      </c>
      <c r="S1869" t="s">
        <v>27254</v>
      </c>
      <c r="T1869" t="s">
        <v>27265</v>
      </c>
    </row>
    <row r="1870" spans="1:20" x14ac:dyDescent="0.3">
      <c r="A1870" t="str">
        <f>"0611832112100"</f>
        <v>0611832112100</v>
      </c>
      <c r="B1870" t="str">
        <f>"LQ3582"</f>
        <v>LQ3582</v>
      </c>
      <c r="C1870" t="s">
        <v>30866</v>
      </c>
      <c r="D1870" t="s">
        <v>27245</v>
      </c>
      <c r="E1870" t="str">
        <f t="shared" si="29"/>
        <v>001390</v>
      </c>
      <c r="F1870" t="s">
        <v>27246</v>
      </c>
      <c r="G1870" t="s">
        <v>27247</v>
      </c>
      <c r="H1870" t="s">
        <v>27248</v>
      </c>
      <c r="I1870" t="s">
        <v>30867</v>
      </c>
      <c r="J1870" t="s">
        <v>3749</v>
      </c>
      <c r="L1870" t="s">
        <v>27250</v>
      </c>
      <c r="M1870" t="s">
        <v>27251</v>
      </c>
      <c r="N1870" t="s">
        <v>27252</v>
      </c>
      <c r="Q1870" s="1">
        <v>44538</v>
      </c>
      <c r="R1870" t="s">
        <v>27253</v>
      </c>
      <c r="S1870" t="s">
        <v>27254</v>
      </c>
      <c r="T1870" t="s">
        <v>27255</v>
      </c>
    </row>
    <row r="1871" spans="1:20" x14ac:dyDescent="0.3">
      <c r="A1871" t="str">
        <f>"0611860887050"</f>
        <v>0611860887050</v>
      </c>
      <c r="B1871" t="str">
        <f>"CR2094"</f>
        <v>CR2094</v>
      </c>
      <c r="C1871" t="s">
        <v>30866</v>
      </c>
      <c r="D1871" t="s">
        <v>27263</v>
      </c>
      <c r="E1871" t="str">
        <f t="shared" si="29"/>
        <v>001390</v>
      </c>
      <c r="F1871" t="s">
        <v>27246</v>
      </c>
      <c r="G1871" t="s">
        <v>27247</v>
      </c>
      <c r="H1871" t="s">
        <v>27248</v>
      </c>
      <c r="I1871" t="s">
        <v>30868</v>
      </c>
      <c r="J1871" t="s">
        <v>3751</v>
      </c>
      <c r="L1871" t="s">
        <v>27250</v>
      </c>
      <c r="M1871" t="s">
        <v>27251</v>
      </c>
      <c r="N1871" t="s">
        <v>27252</v>
      </c>
      <c r="Q1871" s="1">
        <v>44846</v>
      </c>
      <c r="R1871" t="s">
        <v>27253</v>
      </c>
      <c r="S1871" t="s">
        <v>27254</v>
      </c>
      <c r="T1871" t="s">
        <v>27265</v>
      </c>
    </row>
    <row r="1872" spans="1:20" x14ac:dyDescent="0.3">
      <c r="A1872" t="str">
        <f>"0611860888050"</f>
        <v>0611860888050</v>
      </c>
      <c r="B1872" t="str">
        <f>"CR2095"</f>
        <v>CR2095</v>
      </c>
      <c r="C1872" t="s">
        <v>30869</v>
      </c>
      <c r="D1872" t="s">
        <v>27263</v>
      </c>
      <c r="E1872" t="str">
        <f t="shared" si="29"/>
        <v>001390</v>
      </c>
      <c r="F1872" t="s">
        <v>27246</v>
      </c>
      <c r="G1872" t="s">
        <v>27247</v>
      </c>
      <c r="H1872" t="s">
        <v>27248</v>
      </c>
      <c r="I1872" t="s">
        <v>30870</v>
      </c>
      <c r="J1872" t="s">
        <v>3753</v>
      </c>
      <c r="L1872" t="s">
        <v>27250</v>
      </c>
      <c r="M1872" t="s">
        <v>27251</v>
      </c>
      <c r="N1872" t="s">
        <v>27252</v>
      </c>
      <c r="Q1872" s="1">
        <v>44846</v>
      </c>
      <c r="R1872" t="s">
        <v>27253</v>
      </c>
      <c r="S1872" t="s">
        <v>27254</v>
      </c>
      <c r="T1872" t="s">
        <v>27265</v>
      </c>
    </row>
    <row r="1873" spans="1:20" x14ac:dyDescent="0.3">
      <c r="A1873" t="str">
        <f>"0611856852100"</f>
        <v>0611856852100</v>
      </c>
      <c r="B1873" t="str">
        <f>"LQ3879"</f>
        <v>LQ3879</v>
      </c>
      <c r="C1873" t="s">
        <v>30871</v>
      </c>
      <c r="D1873" t="s">
        <v>27245</v>
      </c>
      <c r="E1873" t="str">
        <f t="shared" si="29"/>
        <v>001390</v>
      </c>
      <c r="F1873" t="s">
        <v>27246</v>
      </c>
      <c r="G1873" t="s">
        <v>27247</v>
      </c>
      <c r="H1873" t="s">
        <v>27248</v>
      </c>
      <c r="I1873" t="s">
        <v>30872</v>
      </c>
      <c r="J1873" t="s">
        <v>3755</v>
      </c>
      <c r="L1873" t="s">
        <v>27250</v>
      </c>
      <c r="M1873" t="s">
        <v>27251</v>
      </c>
      <c r="N1873" t="s">
        <v>27252</v>
      </c>
      <c r="Q1873" s="1">
        <v>44812</v>
      </c>
      <c r="R1873" t="s">
        <v>27253</v>
      </c>
      <c r="S1873" t="s">
        <v>27254</v>
      </c>
      <c r="T1873" t="s">
        <v>27255</v>
      </c>
    </row>
    <row r="1874" spans="1:20" x14ac:dyDescent="0.3">
      <c r="A1874" t="str">
        <f>"0611860889050"</f>
        <v>0611860889050</v>
      </c>
      <c r="B1874" t="str">
        <f>"CR5156"</f>
        <v>CR5156</v>
      </c>
      <c r="C1874" t="s">
        <v>30871</v>
      </c>
      <c r="D1874" t="s">
        <v>27263</v>
      </c>
      <c r="E1874" t="str">
        <f t="shared" si="29"/>
        <v>001390</v>
      </c>
      <c r="F1874" t="s">
        <v>27246</v>
      </c>
      <c r="G1874" t="s">
        <v>27247</v>
      </c>
      <c r="H1874" t="s">
        <v>27248</v>
      </c>
      <c r="I1874" t="s">
        <v>30873</v>
      </c>
      <c r="J1874" t="s">
        <v>3757</v>
      </c>
      <c r="L1874" t="s">
        <v>27250</v>
      </c>
      <c r="M1874" t="s">
        <v>27251</v>
      </c>
      <c r="N1874" t="s">
        <v>27252</v>
      </c>
      <c r="Q1874" s="1">
        <v>44846</v>
      </c>
      <c r="R1874" t="s">
        <v>27253</v>
      </c>
      <c r="S1874" t="s">
        <v>27254</v>
      </c>
      <c r="T1874" t="s">
        <v>27265</v>
      </c>
    </row>
    <row r="1875" spans="1:20" x14ac:dyDescent="0.3">
      <c r="A1875" t="str">
        <f>"0611832115100"</f>
        <v>0611832115100</v>
      </c>
      <c r="B1875" t="str">
        <f>"LQ3583"</f>
        <v>LQ3583</v>
      </c>
      <c r="C1875" t="s">
        <v>30874</v>
      </c>
      <c r="D1875" t="s">
        <v>27245</v>
      </c>
      <c r="E1875" t="str">
        <f t="shared" si="29"/>
        <v>001390</v>
      </c>
      <c r="F1875" t="s">
        <v>27246</v>
      </c>
      <c r="G1875" t="s">
        <v>27247</v>
      </c>
      <c r="H1875" t="s">
        <v>27248</v>
      </c>
      <c r="I1875" t="s">
        <v>30875</v>
      </c>
      <c r="J1875" t="s">
        <v>3759</v>
      </c>
      <c r="L1875" t="s">
        <v>27250</v>
      </c>
      <c r="M1875" t="s">
        <v>27251</v>
      </c>
      <c r="N1875" t="s">
        <v>27252</v>
      </c>
      <c r="Q1875" s="1">
        <v>44538</v>
      </c>
      <c r="R1875" t="s">
        <v>27253</v>
      </c>
      <c r="S1875" t="s">
        <v>27254</v>
      </c>
      <c r="T1875" t="s">
        <v>27255</v>
      </c>
    </row>
    <row r="1876" spans="1:20" x14ac:dyDescent="0.3">
      <c r="A1876" t="str">
        <f>"0611860890050"</f>
        <v>0611860890050</v>
      </c>
      <c r="B1876" t="str">
        <f>"CR4035"</f>
        <v>CR4035</v>
      </c>
      <c r="C1876" t="s">
        <v>30874</v>
      </c>
      <c r="D1876" t="s">
        <v>27263</v>
      </c>
      <c r="E1876" t="str">
        <f t="shared" si="29"/>
        <v>001390</v>
      </c>
      <c r="F1876" t="s">
        <v>27246</v>
      </c>
      <c r="G1876" t="s">
        <v>27247</v>
      </c>
      <c r="H1876" t="s">
        <v>27248</v>
      </c>
      <c r="I1876" t="s">
        <v>30876</v>
      </c>
      <c r="J1876" t="s">
        <v>3761</v>
      </c>
      <c r="L1876" t="s">
        <v>27250</v>
      </c>
      <c r="M1876" t="s">
        <v>27251</v>
      </c>
      <c r="N1876" t="s">
        <v>27252</v>
      </c>
      <c r="Q1876" s="1">
        <v>44846</v>
      </c>
      <c r="R1876" t="s">
        <v>27253</v>
      </c>
      <c r="S1876" t="s">
        <v>27254</v>
      </c>
      <c r="T1876" t="s">
        <v>27265</v>
      </c>
    </row>
    <row r="1877" spans="1:20" x14ac:dyDescent="0.3">
      <c r="A1877" t="str">
        <f>"0611860891050"</f>
        <v>0611860891050</v>
      </c>
      <c r="B1877" t="str">
        <f>"CR2096"</f>
        <v>CR2096</v>
      </c>
      <c r="C1877" t="s">
        <v>30877</v>
      </c>
      <c r="D1877" t="s">
        <v>27263</v>
      </c>
      <c r="E1877" t="str">
        <f t="shared" si="29"/>
        <v>001390</v>
      </c>
      <c r="F1877" t="s">
        <v>27246</v>
      </c>
      <c r="G1877" t="s">
        <v>27247</v>
      </c>
      <c r="H1877" t="s">
        <v>27248</v>
      </c>
      <c r="I1877" t="s">
        <v>30878</v>
      </c>
      <c r="J1877" t="s">
        <v>3763</v>
      </c>
      <c r="L1877" t="s">
        <v>27250</v>
      </c>
      <c r="M1877" t="s">
        <v>27251</v>
      </c>
      <c r="N1877" t="s">
        <v>27252</v>
      </c>
      <c r="Q1877" s="1">
        <v>44846</v>
      </c>
      <c r="R1877" t="s">
        <v>27253</v>
      </c>
      <c r="S1877" t="s">
        <v>27254</v>
      </c>
      <c r="T1877" t="s">
        <v>27265</v>
      </c>
    </row>
    <row r="1878" spans="1:20" x14ac:dyDescent="0.3">
      <c r="A1878" t="str">
        <f>"0611832114100"</f>
        <v>0611832114100</v>
      </c>
      <c r="B1878" t="str">
        <f>"LQ3520"</f>
        <v>LQ3520</v>
      </c>
      <c r="C1878" t="s">
        <v>30879</v>
      </c>
      <c r="D1878" t="s">
        <v>27245</v>
      </c>
      <c r="E1878" t="str">
        <f t="shared" si="29"/>
        <v>001390</v>
      </c>
      <c r="F1878" t="s">
        <v>27246</v>
      </c>
      <c r="G1878" t="s">
        <v>27247</v>
      </c>
      <c r="H1878" t="s">
        <v>27248</v>
      </c>
      <c r="I1878" t="s">
        <v>30880</v>
      </c>
      <c r="J1878" t="s">
        <v>3765</v>
      </c>
      <c r="L1878" t="s">
        <v>27250</v>
      </c>
      <c r="M1878" t="s">
        <v>27251</v>
      </c>
      <c r="N1878" t="s">
        <v>27252</v>
      </c>
      <c r="Q1878" s="1">
        <v>44538</v>
      </c>
      <c r="R1878" t="s">
        <v>27253</v>
      </c>
      <c r="S1878" t="s">
        <v>27254</v>
      </c>
      <c r="T1878" t="s">
        <v>27255</v>
      </c>
    </row>
    <row r="1879" spans="1:20" x14ac:dyDescent="0.3">
      <c r="A1879" t="str">
        <f>"0611860892050"</f>
        <v>0611860892050</v>
      </c>
      <c r="B1879" t="str">
        <f>"CR4931"</f>
        <v>CR4931</v>
      </c>
      <c r="C1879" t="s">
        <v>30879</v>
      </c>
      <c r="D1879" t="s">
        <v>27263</v>
      </c>
      <c r="E1879" t="str">
        <f t="shared" si="29"/>
        <v>001390</v>
      </c>
      <c r="F1879" t="s">
        <v>27246</v>
      </c>
      <c r="G1879" t="s">
        <v>27247</v>
      </c>
      <c r="H1879" t="s">
        <v>27248</v>
      </c>
      <c r="I1879" t="s">
        <v>30881</v>
      </c>
      <c r="J1879" t="s">
        <v>3767</v>
      </c>
      <c r="L1879" t="s">
        <v>27250</v>
      </c>
      <c r="M1879" t="s">
        <v>27251</v>
      </c>
      <c r="N1879" t="s">
        <v>27252</v>
      </c>
      <c r="Q1879" s="1">
        <v>44846</v>
      </c>
      <c r="R1879" t="s">
        <v>27253</v>
      </c>
      <c r="S1879" t="s">
        <v>27254</v>
      </c>
      <c r="T1879" t="s">
        <v>27265</v>
      </c>
    </row>
    <row r="1880" spans="1:20" x14ac:dyDescent="0.3">
      <c r="A1880" t="str">
        <f>"0611832116100"</f>
        <v>0611832116100</v>
      </c>
      <c r="B1880" t="str">
        <f>"LQ0935"</f>
        <v>LQ0935</v>
      </c>
      <c r="C1880" t="s">
        <v>30882</v>
      </c>
      <c r="D1880" t="s">
        <v>27245</v>
      </c>
      <c r="E1880" t="str">
        <f t="shared" si="29"/>
        <v>001390</v>
      </c>
      <c r="F1880" t="s">
        <v>27246</v>
      </c>
      <c r="G1880" t="s">
        <v>27247</v>
      </c>
      <c r="H1880" t="s">
        <v>27248</v>
      </c>
      <c r="I1880" t="s">
        <v>30883</v>
      </c>
      <c r="J1880" t="s">
        <v>3769</v>
      </c>
      <c r="L1880" t="s">
        <v>27250</v>
      </c>
      <c r="M1880" t="s">
        <v>27251</v>
      </c>
      <c r="N1880" t="s">
        <v>27252</v>
      </c>
      <c r="Q1880" s="1">
        <v>44538</v>
      </c>
      <c r="R1880" t="s">
        <v>27253</v>
      </c>
      <c r="S1880" t="s">
        <v>27254</v>
      </c>
      <c r="T1880" t="s">
        <v>27255</v>
      </c>
    </row>
    <row r="1881" spans="1:20" x14ac:dyDescent="0.3">
      <c r="A1881" t="str">
        <f>"0611860893050"</f>
        <v>0611860893050</v>
      </c>
      <c r="B1881" t="str">
        <f>"CR4036"</f>
        <v>CR4036</v>
      </c>
      <c r="C1881" t="s">
        <v>30882</v>
      </c>
      <c r="D1881" t="s">
        <v>27263</v>
      </c>
      <c r="E1881" t="str">
        <f t="shared" si="29"/>
        <v>001390</v>
      </c>
      <c r="F1881" t="s">
        <v>27246</v>
      </c>
      <c r="G1881" t="s">
        <v>27247</v>
      </c>
      <c r="H1881" t="s">
        <v>27248</v>
      </c>
      <c r="I1881" t="s">
        <v>30884</v>
      </c>
      <c r="J1881" t="s">
        <v>3771</v>
      </c>
      <c r="L1881" t="s">
        <v>27250</v>
      </c>
      <c r="M1881" t="s">
        <v>27251</v>
      </c>
      <c r="N1881" t="s">
        <v>27252</v>
      </c>
      <c r="Q1881" s="1">
        <v>44846</v>
      </c>
      <c r="R1881" t="s">
        <v>27253</v>
      </c>
      <c r="S1881" t="s">
        <v>27254</v>
      </c>
      <c r="T1881" t="s">
        <v>27265</v>
      </c>
    </row>
    <row r="1882" spans="1:20" x14ac:dyDescent="0.3">
      <c r="A1882" t="str">
        <f>"0611832121100"</f>
        <v>0611832121100</v>
      </c>
      <c r="B1882" t="str">
        <f>"LQ6225"</f>
        <v>LQ6225</v>
      </c>
      <c r="C1882" t="s">
        <v>30885</v>
      </c>
      <c r="D1882" t="s">
        <v>27245</v>
      </c>
      <c r="E1882" t="str">
        <f t="shared" si="29"/>
        <v>001390</v>
      </c>
      <c r="F1882" t="s">
        <v>27246</v>
      </c>
      <c r="G1882" t="s">
        <v>27247</v>
      </c>
      <c r="H1882" t="s">
        <v>27248</v>
      </c>
      <c r="I1882" t="s">
        <v>30886</v>
      </c>
      <c r="J1882" t="s">
        <v>3773</v>
      </c>
      <c r="L1882" t="s">
        <v>27250</v>
      </c>
      <c r="M1882" t="s">
        <v>27251</v>
      </c>
      <c r="N1882" t="s">
        <v>27252</v>
      </c>
      <c r="Q1882" s="1">
        <v>44538</v>
      </c>
      <c r="R1882" t="s">
        <v>27253</v>
      </c>
      <c r="S1882" t="s">
        <v>27254</v>
      </c>
      <c r="T1882" t="s">
        <v>27255</v>
      </c>
    </row>
    <row r="1883" spans="1:20" x14ac:dyDescent="0.3">
      <c r="A1883" t="str">
        <f>"0611832122100"</f>
        <v>0611832122100</v>
      </c>
      <c r="B1883" t="str">
        <f>"LQ6154"</f>
        <v>LQ6154</v>
      </c>
      <c r="C1883" t="s">
        <v>30887</v>
      </c>
      <c r="D1883" t="s">
        <v>27245</v>
      </c>
      <c r="E1883" t="str">
        <f t="shared" si="29"/>
        <v>001390</v>
      </c>
      <c r="F1883" t="s">
        <v>27246</v>
      </c>
      <c r="G1883" t="s">
        <v>27247</v>
      </c>
      <c r="H1883" t="s">
        <v>27248</v>
      </c>
      <c r="I1883" t="s">
        <v>30888</v>
      </c>
      <c r="J1883" t="s">
        <v>3775</v>
      </c>
      <c r="L1883" t="s">
        <v>27250</v>
      </c>
      <c r="M1883" t="s">
        <v>27251</v>
      </c>
      <c r="N1883" t="s">
        <v>27252</v>
      </c>
      <c r="Q1883" s="1">
        <v>44538</v>
      </c>
      <c r="R1883" t="s">
        <v>27253</v>
      </c>
      <c r="S1883" t="s">
        <v>27254</v>
      </c>
      <c r="T1883" t="s">
        <v>27255</v>
      </c>
    </row>
    <row r="1884" spans="1:20" x14ac:dyDescent="0.3">
      <c r="A1884" t="str">
        <f>"0611832123100"</f>
        <v>0611832123100</v>
      </c>
      <c r="B1884" t="str">
        <f>"LQ6226"</f>
        <v>LQ6226</v>
      </c>
      <c r="C1884" t="s">
        <v>30889</v>
      </c>
      <c r="D1884" t="s">
        <v>27245</v>
      </c>
      <c r="E1884" t="str">
        <f t="shared" si="29"/>
        <v>001390</v>
      </c>
      <c r="F1884" t="s">
        <v>27246</v>
      </c>
      <c r="G1884" t="s">
        <v>27247</v>
      </c>
      <c r="H1884" t="s">
        <v>27248</v>
      </c>
      <c r="I1884" t="s">
        <v>30890</v>
      </c>
      <c r="J1884" t="s">
        <v>3777</v>
      </c>
      <c r="L1884" t="s">
        <v>27250</v>
      </c>
      <c r="M1884" t="s">
        <v>27251</v>
      </c>
      <c r="N1884" t="s">
        <v>27252</v>
      </c>
      <c r="Q1884" s="1">
        <v>44538</v>
      </c>
      <c r="R1884" t="s">
        <v>27253</v>
      </c>
      <c r="S1884" t="s">
        <v>27254</v>
      </c>
      <c r="T1884" t="s">
        <v>27255</v>
      </c>
    </row>
    <row r="1885" spans="1:20" x14ac:dyDescent="0.3">
      <c r="A1885" t="str">
        <f>"0611832124100"</f>
        <v>0611832124100</v>
      </c>
      <c r="B1885" t="str">
        <f>"LQ6056"</f>
        <v>LQ6056</v>
      </c>
      <c r="C1885" t="s">
        <v>30891</v>
      </c>
      <c r="D1885" t="s">
        <v>27245</v>
      </c>
      <c r="E1885" t="str">
        <f t="shared" si="29"/>
        <v>001390</v>
      </c>
      <c r="F1885" t="s">
        <v>27246</v>
      </c>
      <c r="G1885" t="s">
        <v>27247</v>
      </c>
      <c r="H1885" t="s">
        <v>27248</v>
      </c>
      <c r="I1885" t="s">
        <v>30892</v>
      </c>
      <c r="J1885" t="s">
        <v>3779</v>
      </c>
      <c r="L1885" t="s">
        <v>27250</v>
      </c>
      <c r="M1885" t="s">
        <v>27251</v>
      </c>
      <c r="N1885" t="s">
        <v>27252</v>
      </c>
      <c r="Q1885" s="1">
        <v>44538</v>
      </c>
      <c r="R1885" t="s">
        <v>27253</v>
      </c>
      <c r="S1885" t="s">
        <v>27254</v>
      </c>
      <c r="T1885" t="s">
        <v>27255</v>
      </c>
    </row>
    <row r="1886" spans="1:20" x14ac:dyDescent="0.3">
      <c r="A1886" t="str">
        <f>"0611856853100"</f>
        <v>0611856853100</v>
      </c>
      <c r="B1886" t="str">
        <f>"LQ6260"</f>
        <v>LQ6260</v>
      </c>
      <c r="C1886" t="s">
        <v>30893</v>
      </c>
      <c r="D1886" t="s">
        <v>27245</v>
      </c>
      <c r="E1886" t="str">
        <f t="shared" si="29"/>
        <v>001390</v>
      </c>
      <c r="F1886" t="s">
        <v>27246</v>
      </c>
      <c r="G1886" t="s">
        <v>27247</v>
      </c>
      <c r="H1886" t="s">
        <v>27248</v>
      </c>
      <c r="I1886" t="s">
        <v>30894</v>
      </c>
      <c r="J1886" t="s">
        <v>3781</v>
      </c>
      <c r="L1886" t="s">
        <v>27250</v>
      </c>
      <c r="M1886" t="s">
        <v>27251</v>
      </c>
      <c r="N1886" t="s">
        <v>27252</v>
      </c>
      <c r="Q1886" s="1">
        <v>44812</v>
      </c>
      <c r="R1886" t="s">
        <v>27253</v>
      </c>
      <c r="S1886" t="s">
        <v>27254</v>
      </c>
      <c r="T1886" t="s">
        <v>27255</v>
      </c>
    </row>
    <row r="1887" spans="1:20" x14ac:dyDescent="0.3">
      <c r="A1887" t="str">
        <f>"0611832125100"</f>
        <v>0611832125100</v>
      </c>
      <c r="B1887" t="str">
        <f>"LQ6155"</f>
        <v>LQ6155</v>
      </c>
      <c r="C1887" t="s">
        <v>30895</v>
      </c>
      <c r="D1887" t="s">
        <v>27245</v>
      </c>
      <c r="E1887" t="str">
        <f t="shared" si="29"/>
        <v>001390</v>
      </c>
      <c r="F1887" t="s">
        <v>27246</v>
      </c>
      <c r="G1887" t="s">
        <v>27247</v>
      </c>
      <c r="H1887" t="s">
        <v>27248</v>
      </c>
      <c r="I1887" t="s">
        <v>30896</v>
      </c>
      <c r="J1887" t="s">
        <v>3783</v>
      </c>
      <c r="L1887" t="s">
        <v>27250</v>
      </c>
      <c r="M1887" t="s">
        <v>27251</v>
      </c>
      <c r="N1887" t="s">
        <v>27252</v>
      </c>
      <c r="Q1887" s="1">
        <v>44538</v>
      </c>
      <c r="R1887" t="s">
        <v>27253</v>
      </c>
      <c r="S1887" t="s">
        <v>27254</v>
      </c>
      <c r="T1887" t="s">
        <v>27255</v>
      </c>
    </row>
    <row r="1888" spans="1:20" x14ac:dyDescent="0.3">
      <c r="A1888" t="str">
        <f>"0611832126100"</f>
        <v>0611832126100</v>
      </c>
      <c r="B1888" t="str">
        <f>"LQ6227"</f>
        <v>LQ6227</v>
      </c>
      <c r="C1888" t="s">
        <v>30897</v>
      </c>
      <c r="D1888" t="s">
        <v>27245</v>
      </c>
      <c r="E1888" t="str">
        <f t="shared" si="29"/>
        <v>001390</v>
      </c>
      <c r="F1888" t="s">
        <v>27246</v>
      </c>
      <c r="G1888" t="s">
        <v>27247</v>
      </c>
      <c r="H1888" t="s">
        <v>27248</v>
      </c>
      <c r="I1888" t="s">
        <v>30898</v>
      </c>
      <c r="J1888" t="s">
        <v>3785</v>
      </c>
      <c r="L1888" t="s">
        <v>27250</v>
      </c>
      <c r="M1888" t="s">
        <v>27251</v>
      </c>
      <c r="N1888" t="s">
        <v>27252</v>
      </c>
      <c r="Q1888" s="1">
        <v>44538</v>
      </c>
      <c r="R1888" t="s">
        <v>27253</v>
      </c>
      <c r="S1888" t="s">
        <v>27254</v>
      </c>
      <c r="T1888" t="s">
        <v>27255</v>
      </c>
    </row>
    <row r="1889" spans="1:20" x14ac:dyDescent="0.3">
      <c r="A1889" t="str">
        <f>"0611832127100"</f>
        <v>0611832127100</v>
      </c>
      <c r="B1889" t="str">
        <f>"LQ6156"</f>
        <v>LQ6156</v>
      </c>
      <c r="C1889" t="s">
        <v>30899</v>
      </c>
      <c r="D1889" t="s">
        <v>27245</v>
      </c>
      <c r="E1889" t="str">
        <f t="shared" si="29"/>
        <v>001390</v>
      </c>
      <c r="F1889" t="s">
        <v>27246</v>
      </c>
      <c r="G1889" t="s">
        <v>27247</v>
      </c>
      <c r="H1889" t="s">
        <v>27248</v>
      </c>
      <c r="I1889" t="s">
        <v>30900</v>
      </c>
      <c r="J1889" t="s">
        <v>3787</v>
      </c>
      <c r="L1889" t="s">
        <v>27250</v>
      </c>
      <c r="M1889" t="s">
        <v>27251</v>
      </c>
      <c r="N1889" t="s">
        <v>27252</v>
      </c>
      <c r="Q1889" s="1">
        <v>44538</v>
      </c>
      <c r="R1889" t="s">
        <v>27253</v>
      </c>
      <c r="S1889" t="s">
        <v>27254</v>
      </c>
      <c r="T1889" t="s">
        <v>27255</v>
      </c>
    </row>
    <row r="1890" spans="1:20" x14ac:dyDescent="0.3">
      <c r="A1890" t="str">
        <f>"0611856854100"</f>
        <v>0611856854100</v>
      </c>
      <c r="B1890" t="str">
        <f>"LQ6261"</f>
        <v>LQ6261</v>
      </c>
      <c r="C1890" t="s">
        <v>30901</v>
      </c>
      <c r="D1890" t="s">
        <v>27245</v>
      </c>
      <c r="E1890" t="str">
        <f t="shared" si="29"/>
        <v>001390</v>
      </c>
      <c r="F1890" t="s">
        <v>27246</v>
      </c>
      <c r="G1890" t="s">
        <v>27247</v>
      </c>
      <c r="H1890" t="s">
        <v>27248</v>
      </c>
      <c r="I1890" t="s">
        <v>30902</v>
      </c>
      <c r="J1890" t="s">
        <v>3789</v>
      </c>
      <c r="L1890" t="s">
        <v>27250</v>
      </c>
      <c r="M1890" t="s">
        <v>27251</v>
      </c>
      <c r="N1890" t="s">
        <v>27252</v>
      </c>
      <c r="Q1890" s="1">
        <v>44812</v>
      </c>
      <c r="R1890" t="s">
        <v>27253</v>
      </c>
      <c r="S1890" t="s">
        <v>27254</v>
      </c>
      <c r="T1890" t="s">
        <v>27255</v>
      </c>
    </row>
    <row r="1891" spans="1:20" x14ac:dyDescent="0.3">
      <c r="A1891" t="str">
        <f>"0611832128100"</f>
        <v>0611832128100</v>
      </c>
      <c r="B1891" t="str">
        <f>"LQ6137"</f>
        <v>LQ6137</v>
      </c>
      <c r="C1891" t="s">
        <v>30903</v>
      </c>
      <c r="D1891" t="s">
        <v>27245</v>
      </c>
      <c r="E1891" t="str">
        <f t="shared" si="29"/>
        <v>001390</v>
      </c>
      <c r="F1891" t="s">
        <v>27246</v>
      </c>
      <c r="G1891" t="s">
        <v>27247</v>
      </c>
      <c r="H1891" t="s">
        <v>27248</v>
      </c>
      <c r="I1891" t="s">
        <v>30904</v>
      </c>
      <c r="J1891" t="s">
        <v>3791</v>
      </c>
      <c r="L1891" t="s">
        <v>27250</v>
      </c>
      <c r="M1891" t="s">
        <v>27251</v>
      </c>
      <c r="N1891" t="s">
        <v>27252</v>
      </c>
      <c r="Q1891" s="1">
        <v>44538</v>
      </c>
      <c r="R1891" t="s">
        <v>27253</v>
      </c>
      <c r="S1891" t="s">
        <v>27254</v>
      </c>
      <c r="T1891" t="s">
        <v>27255</v>
      </c>
    </row>
    <row r="1892" spans="1:20" x14ac:dyDescent="0.3">
      <c r="A1892" t="str">
        <f>"0611832129100"</f>
        <v>0611832129100</v>
      </c>
      <c r="B1892" t="str">
        <f>"LQ6179"</f>
        <v>LQ6179</v>
      </c>
      <c r="C1892" t="s">
        <v>30905</v>
      </c>
      <c r="D1892" t="s">
        <v>27245</v>
      </c>
      <c r="E1892" t="str">
        <f t="shared" si="29"/>
        <v>001390</v>
      </c>
      <c r="F1892" t="s">
        <v>27246</v>
      </c>
      <c r="G1892" t="s">
        <v>27247</v>
      </c>
      <c r="H1892" t="s">
        <v>27248</v>
      </c>
      <c r="I1892" t="s">
        <v>30906</v>
      </c>
      <c r="J1892" t="s">
        <v>3793</v>
      </c>
      <c r="L1892" t="s">
        <v>27250</v>
      </c>
      <c r="M1892" t="s">
        <v>27251</v>
      </c>
      <c r="N1892" t="s">
        <v>27252</v>
      </c>
      <c r="Q1892" s="1">
        <v>44538</v>
      </c>
      <c r="R1892" t="s">
        <v>27253</v>
      </c>
      <c r="S1892" t="s">
        <v>27254</v>
      </c>
      <c r="T1892" t="s">
        <v>27255</v>
      </c>
    </row>
    <row r="1893" spans="1:20" x14ac:dyDescent="0.3">
      <c r="A1893" t="str">
        <f>"0611832130100"</f>
        <v>0611832130100</v>
      </c>
      <c r="B1893" t="str">
        <f>"LQ6180"</f>
        <v>LQ6180</v>
      </c>
      <c r="C1893" t="s">
        <v>30907</v>
      </c>
      <c r="D1893" t="s">
        <v>27245</v>
      </c>
      <c r="E1893" t="str">
        <f t="shared" si="29"/>
        <v>001390</v>
      </c>
      <c r="F1893" t="s">
        <v>27246</v>
      </c>
      <c r="G1893" t="s">
        <v>27247</v>
      </c>
      <c r="H1893" t="s">
        <v>27248</v>
      </c>
      <c r="I1893" t="s">
        <v>30908</v>
      </c>
      <c r="J1893" t="s">
        <v>3795</v>
      </c>
      <c r="L1893" t="s">
        <v>27250</v>
      </c>
      <c r="M1893" t="s">
        <v>27251</v>
      </c>
      <c r="N1893" t="s">
        <v>27252</v>
      </c>
      <c r="Q1893" s="1">
        <v>44538</v>
      </c>
      <c r="R1893" t="s">
        <v>27253</v>
      </c>
      <c r="S1893" t="s">
        <v>27254</v>
      </c>
      <c r="T1893" t="s">
        <v>27255</v>
      </c>
    </row>
    <row r="1894" spans="1:20" x14ac:dyDescent="0.3">
      <c r="A1894" t="str">
        <f>"0611832131100"</f>
        <v>0611832131100</v>
      </c>
      <c r="B1894" t="str">
        <f>"LQ6058"</f>
        <v>LQ6058</v>
      </c>
      <c r="C1894" t="s">
        <v>30909</v>
      </c>
      <c r="D1894" t="s">
        <v>27245</v>
      </c>
      <c r="E1894" t="str">
        <f t="shared" si="29"/>
        <v>001390</v>
      </c>
      <c r="F1894" t="s">
        <v>27246</v>
      </c>
      <c r="G1894" t="s">
        <v>27247</v>
      </c>
      <c r="H1894" t="s">
        <v>27248</v>
      </c>
      <c r="I1894" t="s">
        <v>30910</v>
      </c>
      <c r="J1894" t="s">
        <v>3797</v>
      </c>
      <c r="L1894" t="s">
        <v>27250</v>
      </c>
      <c r="M1894" t="s">
        <v>27251</v>
      </c>
      <c r="N1894" t="s">
        <v>27252</v>
      </c>
      <c r="Q1894" s="1">
        <v>44538</v>
      </c>
      <c r="R1894" t="s">
        <v>27253</v>
      </c>
      <c r="S1894" t="s">
        <v>27254</v>
      </c>
      <c r="T1894" t="s">
        <v>27255</v>
      </c>
    </row>
    <row r="1895" spans="1:20" x14ac:dyDescent="0.3">
      <c r="A1895" t="str">
        <f>"0611832133100"</f>
        <v>0611832133100</v>
      </c>
      <c r="B1895" t="str">
        <f>"LQ6228"</f>
        <v>LQ6228</v>
      </c>
      <c r="C1895" t="s">
        <v>30911</v>
      </c>
      <c r="D1895" t="s">
        <v>27245</v>
      </c>
      <c r="E1895" t="str">
        <f t="shared" si="29"/>
        <v>001390</v>
      </c>
      <c r="F1895" t="s">
        <v>27246</v>
      </c>
      <c r="G1895" t="s">
        <v>27247</v>
      </c>
      <c r="H1895" t="s">
        <v>27248</v>
      </c>
      <c r="I1895" t="s">
        <v>30912</v>
      </c>
      <c r="J1895" t="s">
        <v>3799</v>
      </c>
      <c r="L1895" t="s">
        <v>27250</v>
      </c>
      <c r="M1895" t="s">
        <v>27251</v>
      </c>
      <c r="N1895" t="s">
        <v>27252</v>
      </c>
      <c r="Q1895" s="1">
        <v>44538</v>
      </c>
      <c r="R1895" t="s">
        <v>27253</v>
      </c>
      <c r="S1895" t="s">
        <v>27254</v>
      </c>
      <c r="T1895" t="s">
        <v>27255</v>
      </c>
    </row>
    <row r="1896" spans="1:20" x14ac:dyDescent="0.3">
      <c r="A1896" t="str">
        <f>"0611832134100"</f>
        <v>0611832134100</v>
      </c>
      <c r="B1896" t="str">
        <f>"LQ6157"</f>
        <v>LQ6157</v>
      </c>
      <c r="C1896" t="s">
        <v>30913</v>
      </c>
      <c r="D1896" t="s">
        <v>27245</v>
      </c>
      <c r="E1896" t="str">
        <f t="shared" si="29"/>
        <v>001390</v>
      </c>
      <c r="F1896" t="s">
        <v>27246</v>
      </c>
      <c r="G1896" t="s">
        <v>27247</v>
      </c>
      <c r="H1896" t="s">
        <v>27248</v>
      </c>
      <c r="I1896" t="s">
        <v>30914</v>
      </c>
      <c r="J1896" t="s">
        <v>3801</v>
      </c>
      <c r="L1896" t="s">
        <v>27250</v>
      </c>
      <c r="M1896" t="s">
        <v>27251</v>
      </c>
      <c r="N1896" t="s">
        <v>27252</v>
      </c>
      <c r="Q1896" s="1">
        <v>44538</v>
      </c>
      <c r="R1896" t="s">
        <v>27253</v>
      </c>
      <c r="S1896" t="s">
        <v>27254</v>
      </c>
      <c r="T1896" t="s">
        <v>27255</v>
      </c>
    </row>
    <row r="1897" spans="1:20" x14ac:dyDescent="0.3">
      <c r="A1897" t="str">
        <f>"0611832135100"</f>
        <v>0611832135100</v>
      </c>
      <c r="B1897" t="str">
        <f>"LQ6059"</f>
        <v>LQ6059</v>
      </c>
      <c r="C1897" t="s">
        <v>30915</v>
      </c>
      <c r="D1897" t="s">
        <v>27245</v>
      </c>
      <c r="E1897" t="str">
        <f t="shared" si="29"/>
        <v>001390</v>
      </c>
      <c r="F1897" t="s">
        <v>27246</v>
      </c>
      <c r="G1897" t="s">
        <v>27247</v>
      </c>
      <c r="H1897" t="s">
        <v>27248</v>
      </c>
      <c r="I1897" t="s">
        <v>30916</v>
      </c>
      <c r="J1897" t="s">
        <v>3803</v>
      </c>
      <c r="L1897" t="s">
        <v>27250</v>
      </c>
      <c r="M1897" t="s">
        <v>27251</v>
      </c>
      <c r="N1897" t="s">
        <v>27252</v>
      </c>
      <c r="Q1897" s="1">
        <v>44538</v>
      </c>
      <c r="R1897" t="s">
        <v>27253</v>
      </c>
      <c r="S1897" t="s">
        <v>27254</v>
      </c>
      <c r="T1897" t="s">
        <v>27255</v>
      </c>
    </row>
    <row r="1898" spans="1:20" x14ac:dyDescent="0.3">
      <c r="A1898" t="str">
        <f>"0611832136100"</f>
        <v>0611832136100</v>
      </c>
      <c r="B1898" t="str">
        <f>"LQ6095"</f>
        <v>LQ6095</v>
      </c>
      <c r="C1898" t="s">
        <v>30917</v>
      </c>
      <c r="D1898" t="s">
        <v>27245</v>
      </c>
      <c r="E1898" t="str">
        <f t="shared" si="29"/>
        <v>001390</v>
      </c>
      <c r="F1898" t="s">
        <v>27246</v>
      </c>
      <c r="G1898" t="s">
        <v>27247</v>
      </c>
      <c r="H1898" t="s">
        <v>27248</v>
      </c>
      <c r="I1898" t="s">
        <v>30918</v>
      </c>
      <c r="J1898" t="s">
        <v>3805</v>
      </c>
      <c r="L1898" t="s">
        <v>27250</v>
      </c>
      <c r="M1898" t="s">
        <v>27251</v>
      </c>
      <c r="N1898" t="s">
        <v>27252</v>
      </c>
      <c r="Q1898" s="1">
        <v>44538</v>
      </c>
      <c r="R1898" t="s">
        <v>27253</v>
      </c>
      <c r="S1898" t="s">
        <v>27254</v>
      </c>
      <c r="T1898" t="s">
        <v>27255</v>
      </c>
    </row>
    <row r="1899" spans="1:20" x14ac:dyDescent="0.3">
      <c r="A1899" t="str">
        <f>"0611856855100"</f>
        <v>0611856855100</v>
      </c>
      <c r="B1899" t="str">
        <f>"LQ6262"</f>
        <v>LQ6262</v>
      </c>
      <c r="C1899" t="s">
        <v>30919</v>
      </c>
      <c r="D1899" t="s">
        <v>27245</v>
      </c>
      <c r="E1899" t="str">
        <f t="shared" si="29"/>
        <v>001390</v>
      </c>
      <c r="F1899" t="s">
        <v>27246</v>
      </c>
      <c r="G1899" t="s">
        <v>27247</v>
      </c>
      <c r="H1899" t="s">
        <v>27248</v>
      </c>
      <c r="I1899" t="s">
        <v>30920</v>
      </c>
      <c r="J1899" t="s">
        <v>3807</v>
      </c>
      <c r="L1899" t="s">
        <v>27250</v>
      </c>
      <c r="M1899" t="s">
        <v>27251</v>
      </c>
      <c r="N1899" t="s">
        <v>27252</v>
      </c>
      <c r="Q1899" s="1">
        <v>44812</v>
      </c>
      <c r="R1899" t="s">
        <v>27253</v>
      </c>
      <c r="S1899" t="s">
        <v>27254</v>
      </c>
      <c r="T1899" t="s">
        <v>27255</v>
      </c>
    </row>
    <row r="1900" spans="1:20" x14ac:dyDescent="0.3">
      <c r="A1900" t="str">
        <f>"0611832137100"</f>
        <v>0611832137100</v>
      </c>
      <c r="B1900" t="str">
        <f>"LQ6229"</f>
        <v>LQ6229</v>
      </c>
      <c r="C1900" t="s">
        <v>30921</v>
      </c>
      <c r="D1900" t="s">
        <v>27245</v>
      </c>
      <c r="E1900" t="str">
        <f t="shared" si="29"/>
        <v>001390</v>
      </c>
      <c r="F1900" t="s">
        <v>27246</v>
      </c>
      <c r="G1900" t="s">
        <v>27247</v>
      </c>
      <c r="H1900" t="s">
        <v>27248</v>
      </c>
      <c r="I1900" t="s">
        <v>30922</v>
      </c>
      <c r="J1900" t="s">
        <v>3809</v>
      </c>
      <c r="L1900" t="s">
        <v>27250</v>
      </c>
      <c r="M1900" t="s">
        <v>27251</v>
      </c>
      <c r="N1900" t="s">
        <v>27252</v>
      </c>
      <c r="Q1900" s="1">
        <v>44538</v>
      </c>
      <c r="R1900" t="s">
        <v>27253</v>
      </c>
      <c r="S1900" t="s">
        <v>27254</v>
      </c>
      <c r="T1900" t="s">
        <v>27255</v>
      </c>
    </row>
    <row r="1901" spans="1:20" x14ac:dyDescent="0.3">
      <c r="A1901" t="str">
        <f>"0611832138100"</f>
        <v>0611832138100</v>
      </c>
      <c r="B1901" t="str">
        <f>"LQ6060"</f>
        <v>LQ6060</v>
      </c>
      <c r="C1901" t="s">
        <v>30923</v>
      </c>
      <c r="D1901" t="s">
        <v>27245</v>
      </c>
      <c r="E1901" t="str">
        <f t="shared" si="29"/>
        <v>001390</v>
      </c>
      <c r="F1901" t="s">
        <v>27246</v>
      </c>
      <c r="G1901" t="s">
        <v>27247</v>
      </c>
      <c r="H1901" t="s">
        <v>27248</v>
      </c>
      <c r="I1901" t="s">
        <v>30924</v>
      </c>
      <c r="J1901" t="s">
        <v>3811</v>
      </c>
      <c r="L1901" t="s">
        <v>27250</v>
      </c>
      <c r="M1901" t="s">
        <v>27251</v>
      </c>
      <c r="N1901" t="s">
        <v>27252</v>
      </c>
      <c r="Q1901" s="1">
        <v>44538</v>
      </c>
      <c r="R1901" t="s">
        <v>27253</v>
      </c>
      <c r="S1901" t="s">
        <v>27254</v>
      </c>
      <c r="T1901" t="s">
        <v>27255</v>
      </c>
    </row>
    <row r="1902" spans="1:20" x14ac:dyDescent="0.3">
      <c r="A1902" t="str">
        <f>"0611884075100"</f>
        <v>0611884075100</v>
      </c>
      <c r="B1902" t="str">
        <f>"LQ6290"</f>
        <v>LQ6290</v>
      </c>
      <c r="C1902" t="s">
        <v>30925</v>
      </c>
      <c r="D1902" t="s">
        <v>27245</v>
      </c>
      <c r="E1902" t="str">
        <f t="shared" si="29"/>
        <v>001390</v>
      </c>
      <c r="F1902" t="s">
        <v>27246</v>
      </c>
      <c r="G1902" t="s">
        <v>27247</v>
      </c>
      <c r="H1902" t="s">
        <v>27248</v>
      </c>
      <c r="I1902" t="s">
        <v>30926</v>
      </c>
      <c r="J1902" t="s">
        <v>3813</v>
      </c>
      <c r="L1902" t="s">
        <v>27430</v>
      </c>
      <c r="M1902" t="s">
        <v>27251</v>
      </c>
      <c r="N1902" t="s">
        <v>27252</v>
      </c>
      <c r="Q1902" s="1">
        <v>45250</v>
      </c>
      <c r="R1902" t="s">
        <v>27253</v>
      </c>
      <c r="S1902" t="s">
        <v>27254</v>
      </c>
      <c r="T1902" t="s">
        <v>27255</v>
      </c>
    </row>
    <row r="1903" spans="1:20" x14ac:dyDescent="0.3">
      <c r="A1903" t="str">
        <f>"0611884076100"</f>
        <v>0611884076100</v>
      </c>
      <c r="B1903" t="str">
        <f>"LQ6291"</f>
        <v>LQ6291</v>
      </c>
      <c r="C1903" t="s">
        <v>30927</v>
      </c>
      <c r="D1903" t="s">
        <v>27245</v>
      </c>
      <c r="E1903" t="str">
        <f t="shared" si="29"/>
        <v>001390</v>
      </c>
      <c r="F1903" t="s">
        <v>27246</v>
      </c>
      <c r="G1903" t="s">
        <v>27247</v>
      </c>
      <c r="H1903" t="s">
        <v>27248</v>
      </c>
      <c r="I1903" t="s">
        <v>30928</v>
      </c>
      <c r="J1903" t="s">
        <v>3815</v>
      </c>
      <c r="L1903" t="s">
        <v>27430</v>
      </c>
      <c r="M1903" t="s">
        <v>27251</v>
      </c>
      <c r="N1903" t="s">
        <v>27252</v>
      </c>
      <c r="Q1903" s="1">
        <v>45250</v>
      </c>
      <c r="R1903" t="s">
        <v>27253</v>
      </c>
      <c r="S1903" t="s">
        <v>27254</v>
      </c>
      <c r="T1903" t="s">
        <v>27255</v>
      </c>
    </row>
    <row r="1904" spans="1:20" x14ac:dyDescent="0.3">
      <c r="A1904" t="str">
        <f>"0611832139100"</f>
        <v>0611832139100</v>
      </c>
      <c r="B1904" t="str">
        <f>"LQ6174"</f>
        <v>LQ6174</v>
      </c>
      <c r="C1904" t="s">
        <v>30929</v>
      </c>
      <c r="D1904" t="s">
        <v>27245</v>
      </c>
      <c r="E1904" t="str">
        <f t="shared" si="29"/>
        <v>001390</v>
      </c>
      <c r="F1904" t="s">
        <v>27246</v>
      </c>
      <c r="G1904" t="s">
        <v>27247</v>
      </c>
      <c r="H1904" t="s">
        <v>27248</v>
      </c>
      <c r="I1904" t="s">
        <v>30930</v>
      </c>
      <c r="J1904" t="s">
        <v>3817</v>
      </c>
      <c r="L1904" t="s">
        <v>27250</v>
      </c>
      <c r="M1904" t="s">
        <v>27251</v>
      </c>
      <c r="N1904" t="s">
        <v>27252</v>
      </c>
      <c r="Q1904" s="1">
        <v>44538</v>
      </c>
      <c r="R1904" t="s">
        <v>27253</v>
      </c>
      <c r="S1904" t="s">
        <v>27254</v>
      </c>
      <c r="T1904" t="s">
        <v>27255</v>
      </c>
    </row>
    <row r="1905" spans="1:20" x14ac:dyDescent="0.3">
      <c r="A1905" t="str">
        <f>"0611832140100"</f>
        <v>0611832140100</v>
      </c>
      <c r="B1905" t="str">
        <f>"LK6200"</f>
        <v>LK6200</v>
      </c>
      <c r="C1905" t="s">
        <v>30931</v>
      </c>
      <c r="D1905" t="s">
        <v>27245</v>
      </c>
      <c r="E1905" t="str">
        <f t="shared" si="29"/>
        <v>001390</v>
      </c>
      <c r="F1905" t="s">
        <v>27246</v>
      </c>
      <c r="G1905" t="s">
        <v>27247</v>
      </c>
      <c r="H1905" t="s">
        <v>27248</v>
      </c>
      <c r="I1905" t="s">
        <v>30932</v>
      </c>
      <c r="J1905" t="s">
        <v>3819</v>
      </c>
      <c r="L1905" t="s">
        <v>27250</v>
      </c>
      <c r="M1905" t="s">
        <v>27251</v>
      </c>
      <c r="N1905" t="s">
        <v>27252</v>
      </c>
      <c r="Q1905" s="1">
        <v>44538</v>
      </c>
      <c r="R1905" t="s">
        <v>27253</v>
      </c>
      <c r="S1905" t="s">
        <v>27254</v>
      </c>
      <c r="T1905" t="s">
        <v>27255</v>
      </c>
    </row>
    <row r="1906" spans="1:20" x14ac:dyDescent="0.3">
      <c r="A1906" t="str">
        <f>"0611856856100"</f>
        <v>0611856856100</v>
      </c>
      <c r="B1906" t="str">
        <f>"LQ3880"</f>
        <v>LQ3880</v>
      </c>
      <c r="C1906" t="s">
        <v>30933</v>
      </c>
      <c r="D1906" t="s">
        <v>27245</v>
      </c>
      <c r="E1906" t="str">
        <f t="shared" si="29"/>
        <v>001390</v>
      </c>
      <c r="F1906" t="s">
        <v>27246</v>
      </c>
      <c r="G1906" t="s">
        <v>27247</v>
      </c>
      <c r="H1906" t="s">
        <v>27248</v>
      </c>
      <c r="I1906" t="s">
        <v>30934</v>
      </c>
      <c r="J1906" t="s">
        <v>3821</v>
      </c>
      <c r="L1906" t="s">
        <v>27250</v>
      </c>
      <c r="M1906" t="s">
        <v>27251</v>
      </c>
      <c r="N1906" t="s">
        <v>27252</v>
      </c>
      <c r="Q1906" s="1">
        <v>44812</v>
      </c>
      <c r="R1906" t="s">
        <v>27253</v>
      </c>
      <c r="S1906" t="s">
        <v>27254</v>
      </c>
      <c r="T1906" t="s">
        <v>27255</v>
      </c>
    </row>
    <row r="1907" spans="1:20" x14ac:dyDescent="0.3">
      <c r="A1907" t="str">
        <f>"0611860894050"</f>
        <v>0611860894050</v>
      </c>
      <c r="B1907" t="str">
        <f>"CR5163"</f>
        <v>CR5163</v>
      </c>
      <c r="C1907" t="s">
        <v>30933</v>
      </c>
      <c r="D1907" t="s">
        <v>27263</v>
      </c>
      <c r="E1907" t="str">
        <f t="shared" si="29"/>
        <v>001390</v>
      </c>
      <c r="F1907" t="s">
        <v>27246</v>
      </c>
      <c r="G1907" t="s">
        <v>27247</v>
      </c>
      <c r="H1907" t="s">
        <v>27248</v>
      </c>
      <c r="I1907" t="s">
        <v>30935</v>
      </c>
      <c r="J1907" t="s">
        <v>3823</v>
      </c>
      <c r="L1907" t="s">
        <v>27250</v>
      </c>
      <c r="M1907" t="s">
        <v>27251</v>
      </c>
      <c r="N1907" t="s">
        <v>27252</v>
      </c>
      <c r="Q1907" s="1">
        <v>44846</v>
      </c>
      <c r="R1907" t="s">
        <v>27253</v>
      </c>
      <c r="S1907" t="s">
        <v>27254</v>
      </c>
      <c r="T1907" t="s">
        <v>27265</v>
      </c>
    </row>
    <row r="1908" spans="1:20" x14ac:dyDescent="0.3">
      <c r="A1908" t="str">
        <f>"0611856857100"</f>
        <v>0611856857100</v>
      </c>
      <c r="B1908" t="str">
        <f>"LQ6263"</f>
        <v>LQ6263</v>
      </c>
      <c r="C1908" t="s">
        <v>30936</v>
      </c>
      <c r="D1908" t="s">
        <v>27245</v>
      </c>
      <c r="E1908" t="str">
        <f t="shared" si="29"/>
        <v>001390</v>
      </c>
      <c r="F1908" t="s">
        <v>27246</v>
      </c>
      <c r="G1908" t="s">
        <v>27247</v>
      </c>
      <c r="H1908" t="s">
        <v>27248</v>
      </c>
      <c r="I1908" t="s">
        <v>30937</v>
      </c>
      <c r="J1908" t="s">
        <v>3825</v>
      </c>
      <c r="L1908" t="s">
        <v>27250</v>
      </c>
      <c r="M1908" t="s">
        <v>27251</v>
      </c>
      <c r="N1908" t="s">
        <v>27252</v>
      </c>
      <c r="Q1908" s="1">
        <v>44812</v>
      </c>
      <c r="R1908" t="s">
        <v>27253</v>
      </c>
      <c r="S1908" t="s">
        <v>27254</v>
      </c>
      <c r="T1908" t="s">
        <v>27255</v>
      </c>
    </row>
    <row r="1909" spans="1:20" x14ac:dyDescent="0.3">
      <c r="A1909" t="str">
        <f>"0611832143100"</f>
        <v>0611832143100</v>
      </c>
      <c r="B1909" t="str">
        <f>"LQ6230"</f>
        <v>LQ6230</v>
      </c>
      <c r="C1909" t="s">
        <v>30938</v>
      </c>
      <c r="D1909" t="s">
        <v>27245</v>
      </c>
      <c r="E1909" t="str">
        <f t="shared" si="29"/>
        <v>001390</v>
      </c>
      <c r="F1909" t="s">
        <v>27246</v>
      </c>
      <c r="G1909" t="s">
        <v>27247</v>
      </c>
      <c r="H1909" t="s">
        <v>27248</v>
      </c>
      <c r="I1909" t="s">
        <v>30939</v>
      </c>
      <c r="J1909" t="s">
        <v>3827</v>
      </c>
      <c r="L1909" t="s">
        <v>27250</v>
      </c>
      <c r="M1909" t="s">
        <v>27251</v>
      </c>
      <c r="N1909" t="s">
        <v>27252</v>
      </c>
      <c r="Q1909" s="1">
        <v>44538</v>
      </c>
      <c r="R1909" t="s">
        <v>27253</v>
      </c>
      <c r="S1909" t="s">
        <v>27254</v>
      </c>
      <c r="T1909" t="s">
        <v>27255</v>
      </c>
    </row>
    <row r="1910" spans="1:20" x14ac:dyDescent="0.3">
      <c r="A1910" t="str">
        <f>"0611832144100"</f>
        <v>0611832144100</v>
      </c>
      <c r="B1910" t="str">
        <f>"LQ6231"</f>
        <v>LQ6231</v>
      </c>
      <c r="C1910" t="s">
        <v>30940</v>
      </c>
      <c r="D1910" t="s">
        <v>27245</v>
      </c>
      <c r="E1910" t="str">
        <f t="shared" si="29"/>
        <v>001390</v>
      </c>
      <c r="F1910" t="s">
        <v>27246</v>
      </c>
      <c r="G1910" t="s">
        <v>27247</v>
      </c>
      <c r="H1910" t="s">
        <v>27248</v>
      </c>
      <c r="I1910" t="s">
        <v>30941</v>
      </c>
      <c r="J1910" t="s">
        <v>3829</v>
      </c>
      <c r="L1910" t="s">
        <v>27250</v>
      </c>
      <c r="M1910" t="s">
        <v>27251</v>
      </c>
      <c r="N1910" t="s">
        <v>27252</v>
      </c>
      <c r="Q1910" s="1">
        <v>44538</v>
      </c>
      <c r="R1910" t="s">
        <v>27253</v>
      </c>
      <c r="S1910" t="s">
        <v>27254</v>
      </c>
      <c r="T1910" t="s">
        <v>27255</v>
      </c>
    </row>
    <row r="1911" spans="1:20" x14ac:dyDescent="0.3">
      <c r="A1911" t="str">
        <f>"0611832145100"</f>
        <v>0611832145100</v>
      </c>
      <c r="B1911" t="str">
        <f>"LQ6232"</f>
        <v>LQ6232</v>
      </c>
      <c r="C1911" t="s">
        <v>30942</v>
      </c>
      <c r="D1911" t="s">
        <v>27245</v>
      </c>
      <c r="E1911" t="str">
        <f t="shared" si="29"/>
        <v>001390</v>
      </c>
      <c r="F1911" t="s">
        <v>27246</v>
      </c>
      <c r="G1911" t="s">
        <v>27247</v>
      </c>
      <c r="H1911" t="s">
        <v>27248</v>
      </c>
      <c r="I1911" t="s">
        <v>30943</v>
      </c>
      <c r="J1911" t="s">
        <v>3831</v>
      </c>
      <c r="L1911" t="s">
        <v>27250</v>
      </c>
      <c r="M1911" t="s">
        <v>27251</v>
      </c>
      <c r="N1911" t="s">
        <v>27252</v>
      </c>
      <c r="Q1911" s="1">
        <v>44538</v>
      </c>
      <c r="R1911" t="s">
        <v>27253</v>
      </c>
      <c r="S1911" t="s">
        <v>27254</v>
      </c>
      <c r="T1911" t="s">
        <v>27255</v>
      </c>
    </row>
    <row r="1912" spans="1:20" x14ac:dyDescent="0.3">
      <c r="A1912" t="str">
        <f>"0611832146100"</f>
        <v>0611832146100</v>
      </c>
      <c r="B1912" t="str">
        <f>"LQ6158"</f>
        <v>LQ6158</v>
      </c>
      <c r="C1912" t="s">
        <v>30944</v>
      </c>
      <c r="D1912" t="s">
        <v>27245</v>
      </c>
      <c r="E1912" t="str">
        <f t="shared" si="29"/>
        <v>001390</v>
      </c>
      <c r="F1912" t="s">
        <v>27246</v>
      </c>
      <c r="G1912" t="s">
        <v>27247</v>
      </c>
      <c r="H1912" t="s">
        <v>27248</v>
      </c>
      <c r="I1912" t="s">
        <v>30945</v>
      </c>
      <c r="J1912" t="s">
        <v>3833</v>
      </c>
      <c r="L1912" t="s">
        <v>27250</v>
      </c>
      <c r="M1912" t="s">
        <v>27251</v>
      </c>
      <c r="N1912" t="s">
        <v>27252</v>
      </c>
      <c r="Q1912" s="1">
        <v>44538</v>
      </c>
      <c r="R1912" t="s">
        <v>27253</v>
      </c>
      <c r="S1912" t="s">
        <v>27254</v>
      </c>
      <c r="T1912" t="s">
        <v>27255</v>
      </c>
    </row>
    <row r="1913" spans="1:20" x14ac:dyDescent="0.3">
      <c r="A1913" t="str">
        <f>"0611856858100"</f>
        <v>0611856858100</v>
      </c>
      <c r="B1913" t="str">
        <f>"LQ6264"</f>
        <v>LQ6264</v>
      </c>
      <c r="C1913" t="s">
        <v>30946</v>
      </c>
      <c r="D1913" t="s">
        <v>27245</v>
      </c>
      <c r="E1913" t="str">
        <f t="shared" si="29"/>
        <v>001390</v>
      </c>
      <c r="F1913" t="s">
        <v>27246</v>
      </c>
      <c r="G1913" t="s">
        <v>27247</v>
      </c>
      <c r="H1913" t="s">
        <v>27248</v>
      </c>
      <c r="I1913" t="s">
        <v>30947</v>
      </c>
      <c r="J1913" t="s">
        <v>3835</v>
      </c>
      <c r="L1913" t="s">
        <v>27250</v>
      </c>
      <c r="M1913" t="s">
        <v>27251</v>
      </c>
      <c r="N1913" t="s">
        <v>27252</v>
      </c>
      <c r="Q1913" s="1">
        <v>44812</v>
      </c>
      <c r="R1913" t="s">
        <v>27253</v>
      </c>
      <c r="S1913" t="s">
        <v>27254</v>
      </c>
      <c r="T1913" t="s">
        <v>27255</v>
      </c>
    </row>
    <row r="1914" spans="1:20" x14ac:dyDescent="0.3">
      <c r="A1914" t="str">
        <f>"0611832147100"</f>
        <v>0611832147100</v>
      </c>
      <c r="B1914" t="str">
        <f>"LQ6181"</f>
        <v>LQ6181</v>
      </c>
      <c r="C1914" t="s">
        <v>30948</v>
      </c>
      <c r="D1914" t="s">
        <v>27245</v>
      </c>
      <c r="E1914" t="str">
        <f t="shared" si="29"/>
        <v>001390</v>
      </c>
      <c r="F1914" t="s">
        <v>27246</v>
      </c>
      <c r="G1914" t="s">
        <v>27247</v>
      </c>
      <c r="H1914" t="s">
        <v>27248</v>
      </c>
      <c r="I1914" t="s">
        <v>30949</v>
      </c>
      <c r="J1914" t="s">
        <v>3837</v>
      </c>
      <c r="L1914" t="s">
        <v>27250</v>
      </c>
      <c r="M1914" t="s">
        <v>27251</v>
      </c>
      <c r="N1914" t="s">
        <v>27252</v>
      </c>
      <c r="Q1914" s="1">
        <v>44538</v>
      </c>
      <c r="R1914" t="s">
        <v>27253</v>
      </c>
      <c r="S1914" t="s">
        <v>27254</v>
      </c>
      <c r="T1914" t="s">
        <v>27255</v>
      </c>
    </row>
    <row r="1915" spans="1:20" x14ac:dyDescent="0.3">
      <c r="A1915" t="str">
        <f>"0611832148100"</f>
        <v>0611832148100</v>
      </c>
      <c r="B1915" t="str">
        <f>"LQ3796"</f>
        <v>LQ3796</v>
      </c>
      <c r="C1915" t="s">
        <v>30950</v>
      </c>
      <c r="D1915" t="s">
        <v>27245</v>
      </c>
      <c r="E1915" t="str">
        <f t="shared" si="29"/>
        <v>001390</v>
      </c>
      <c r="F1915" t="s">
        <v>27246</v>
      </c>
      <c r="G1915" t="s">
        <v>27247</v>
      </c>
      <c r="H1915" t="s">
        <v>27248</v>
      </c>
      <c r="I1915" t="s">
        <v>30951</v>
      </c>
      <c r="J1915" t="s">
        <v>3839</v>
      </c>
      <c r="L1915" t="s">
        <v>27250</v>
      </c>
      <c r="M1915" t="s">
        <v>27251</v>
      </c>
      <c r="N1915" t="s">
        <v>27252</v>
      </c>
      <c r="Q1915" s="1">
        <v>44538</v>
      </c>
      <c r="R1915" t="s">
        <v>27253</v>
      </c>
      <c r="S1915" t="s">
        <v>27254</v>
      </c>
      <c r="T1915" t="s">
        <v>27255</v>
      </c>
    </row>
    <row r="1916" spans="1:20" x14ac:dyDescent="0.3">
      <c r="A1916" t="str">
        <f>"0611832149100"</f>
        <v>0611832149100</v>
      </c>
      <c r="B1916" t="str">
        <f>"LS0012"</f>
        <v>LS0012</v>
      </c>
      <c r="C1916" t="s">
        <v>30952</v>
      </c>
      <c r="D1916" t="s">
        <v>27245</v>
      </c>
      <c r="E1916" t="str">
        <f t="shared" si="29"/>
        <v>001390</v>
      </c>
      <c r="F1916" t="s">
        <v>27246</v>
      </c>
      <c r="G1916" t="s">
        <v>27247</v>
      </c>
      <c r="H1916" t="s">
        <v>27248</v>
      </c>
      <c r="I1916" t="s">
        <v>30953</v>
      </c>
      <c r="J1916" t="s">
        <v>3841</v>
      </c>
      <c r="L1916" t="s">
        <v>27250</v>
      </c>
      <c r="M1916" t="s">
        <v>27251</v>
      </c>
      <c r="N1916" t="s">
        <v>27252</v>
      </c>
      <c r="Q1916" s="1">
        <v>44538</v>
      </c>
      <c r="R1916" t="s">
        <v>27253</v>
      </c>
      <c r="S1916" t="s">
        <v>27254</v>
      </c>
      <c r="T1916" t="s">
        <v>27255</v>
      </c>
    </row>
    <row r="1917" spans="1:20" x14ac:dyDescent="0.3">
      <c r="A1917" t="str">
        <f>"0611884077050"</f>
        <v>0611884077050</v>
      </c>
      <c r="B1917" t="str">
        <f>"CR5267"</f>
        <v>CR5267</v>
      </c>
      <c r="C1917" t="s">
        <v>30954</v>
      </c>
      <c r="D1917" t="s">
        <v>27263</v>
      </c>
      <c r="E1917" t="str">
        <f t="shared" si="29"/>
        <v>001390</v>
      </c>
      <c r="F1917" t="s">
        <v>27246</v>
      </c>
      <c r="G1917" t="s">
        <v>27247</v>
      </c>
      <c r="H1917" t="s">
        <v>27248</v>
      </c>
      <c r="I1917" t="s">
        <v>30955</v>
      </c>
      <c r="J1917" t="s">
        <v>3843</v>
      </c>
      <c r="L1917" t="s">
        <v>27430</v>
      </c>
      <c r="M1917" t="s">
        <v>27251</v>
      </c>
      <c r="N1917" t="s">
        <v>27252</v>
      </c>
      <c r="Q1917" s="1">
        <v>45250</v>
      </c>
      <c r="R1917" t="s">
        <v>27253</v>
      </c>
      <c r="S1917" t="s">
        <v>27254</v>
      </c>
      <c r="T1917" t="s">
        <v>27265</v>
      </c>
    </row>
    <row r="1918" spans="1:20" x14ac:dyDescent="0.3">
      <c r="A1918" t="str">
        <f>"0611884078050"</f>
        <v>0611884078050</v>
      </c>
      <c r="B1918" t="str">
        <f>"CR5268"</f>
        <v>CR5268</v>
      </c>
      <c r="C1918" t="s">
        <v>30956</v>
      </c>
      <c r="D1918" t="s">
        <v>27263</v>
      </c>
      <c r="E1918" t="str">
        <f t="shared" si="29"/>
        <v>001390</v>
      </c>
      <c r="F1918" t="s">
        <v>27246</v>
      </c>
      <c r="G1918" t="s">
        <v>27247</v>
      </c>
      <c r="H1918" t="s">
        <v>27248</v>
      </c>
      <c r="I1918" t="s">
        <v>30957</v>
      </c>
      <c r="J1918" t="s">
        <v>3845</v>
      </c>
      <c r="L1918" t="s">
        <v>27430</v>
      </c>
      <c r="M1918" t="s">
        <v>27251</v>
      </c>
      <c r="N1918" t="s">
        <v>27252</v>
      </c>
      <c r="Q1918" s="1">
        <v>45250</v>
      </c>
      <c r="R1918" t="s">
        <v>27253</v>
      </c>
      <c r="S1918" t="s">
        <v>27254</v>
      </c>
      <c r="T1918" t="s">
        <v>27265</v>
      </c>
    </row>
    <row r="1919" spans="1:20" x14ac:dyDescent="0.3">
      <c r="A1919" t="str">
        <f>"0611860895050"</f>
        <v>0611860895050</v>
      </c>
      <c r="B1919" t="str">
        <f>"CR3590"</f>
        <v>CR3590</v>
      </c>
      <c r="C1919" t="s">
        <v>30958</v>
      </c>
      <c r="D1919" t="s">
        <v>27271</v>
      </c>
      <c r="E1919" t="str">
        <f t="shared" si="29"/>
        <v>001390</v>
      </c>
      <c r="F1919" t="s">
        <v>27246</v>
      </c>
      <c r="G1919" t="s">
        <v>27247</v>
      </c>
      <c r="H1919" t="s">
        <v>27248</v>
      </c>
      <c r="I1919" t="s">
        <v>30959</v>
      </c>
      <c r="J1919" t="s">
        <v>3847</v>
      </c>
      <c r="L1919" t="s">
        <v>27250</v>
      </c>
      <c r="M1919" t="s">
        <v>27251</v>
      </c>
      <c r="N1919" t="s">
        <v>27252</v>
      </c>
      <c r="P1919" t="s">
        <v>27341</v>
      </c>
      <c r="Q1919" s="1">
        <v>44846</v>
      </c>
      <c r="R1919" t="s">
        <v>27253</v>
      </c>
      <c r="S1919" t="s">
        <v>27254</v>
      </c>
      <c r="T1919" t="s">
        <v>27265</v>
      </c>
    </row>
    <row r="1920" spans="1:20" x14ac:dyDescent="0.3">
      <c r="A1920" t="str">
        <f>"0611860896050"</f>
        <v>0611860896050</v>
      </c>
      <c r="B1920" t="str">
        <f>"CR2097"</f>
        <v>CR2097</v>
      </c>
      <c r="C1920" t="s">
        <v>30960</v>
      </c>
      <c r="D1920" t="s">
        <v>27271</v>
      </c>
      <c r="E1920" t="str">
        <f t="shared" si="29"/>
        <v>001390</v>
      </c>
      <c r="F1920" t="s">
        <v>27246</v>
      </c>
      <c r="G1920" t="s">
        <v>27247</v>
      </c>
      <c r="H1920" t="s">
        <v>27248</v>
      </c>
      <c r="I1920" t="s">
        <v>30961</v>
      </c>
      <c r="J1920" t="s">
        <v>3849</v>
      </c>
      <c r="L1920" t="s">
        <v>27250</v>
      </c>
      <c r="M1920" t="s">
        <v>27251</v>
      </c>
      <c r="N1920" t="s">
        <v>27252</v>
      </c>
      <c r="P1920" t="s">
        <v>27341</v>
      </c>
      <c r="Q1920" s="1">
        <v>44846</v>
      </c>
      <c r="R1920" t="s">
        <v>27253</v>
      </c>
      <c r="S1920" t="s">
        <v>27254</v>
      </c>
      <c r="T1920" t="s">
        <v>27265</v>
      </c>
    </row>
    <row r="1921" spans="1:20" x14ac:dyDescent="0.3">
      <c r="A1921" t="str">
        <f>"0611860897050"</f>
        <v>0611860897050</v>
      </c>
      <c r="B1921" t="str">
        <f>"CR2886"</f>
        <v>CR2886</v>
      </c>
      <c r="C1921" t="s">
        <v>30962</v>
      </c>
      <c r="D1921" t="s">
        <v>27271</v>
      </c>
      <c r="E1921" t="str">
        <f t="shared" si="29"/>
        <v>001390</v>
      </c>
      <c r="F1921" t="s">
        <v>27246</v>
      </c>
      <c r="G1921" t="s">
        <v>27247</v>
      </c>
      <c r="H1921" t="s">
        <v>27248</v>
      </c>
      <c r="I1921" t="s">
        <v>30963</v>
      </c>
      <c r="J1921" t="s">
        <v>3851</v>
      </c>
      <c r="L1921" t="s">
        <v>27250</v>
      </c>
      <c r="M1921" t="s">
        <v>27251</v>
      </c>
      <c r="N1921" t="s">
        <v>27252</v>
      </c>
      <c r="P1921" t="s">
        <v>27341</v>
      </c>
      <c r="Q1921" s="1">
        <v>44846</v>
      </c>
      <c r="R1921" t="s">
        <v>27253</v>
      </c>
      <c r="S1921" t="s">
        <v>27254</v>
      </c>
      <c r="T1921" t="s">
        <v>27265</v>
      </c>
    </row>
    <row r="1922" spans="1:20" x14ac:dyDescent="0.3">
      <c r="A1922" t="str">
        <f>"0611860898050"</f>
        <v>0611860898050</v>
      </c>
      <c r="B1922" t="str">
        <f>"CR2100"</f>
        <v>CR2100</v>
      </c>
      <c r="C1922" t="s">
        <v>30964</v>
      </c>
      <c r="D1922" t="s">
        <v>27271</v>
      </c>
      <c r="E1922" t="str">
        <f t="shared" ref="E1922:E1985" si="30">"001390"</f>
        <v>001390</v>
      </c>
      <c r="F1922" t="s">
        <v>27246</v>
      </c>
      <c r="G1922" t="s">
        <v>27247</v>
      </c>
      <c r="H1922" t="s">
        <v>27248</v>
      </c>
      <c r="I1922" t="s">
        <v>30965</v>
      </c>
      <c r="J1922" t="s">
        <v>3853</v>
      </c>
      <c r="L1922" t="s">
        <v>27250</v>
      </c>
      <c r="M1922" t="s">
        <v>27251</v>
      </c>
      <c r="N1922" t="s">
        <v>27252</v>
      </c>
      <c r="P1922" t="s">
        <v>27341</v>
      </c>
      <c r="Q1922" s="1">
        <v>44846</v>
      </c>
      <c r="R1922" t="s">
        <v>27253</v>
      </c>
      <c r="S1922" t="s">
        <v>27254</v>
      </c>
      <c r="T1922" t="s">
        <v>27265</v>
      </c>
    </row>
    <row r="1923" spans="1:20" x14ac:dyDescent="0.3">
      <c r="A1923" t="str">
        <f>"0611860899050"</f>
        <v>0611860899050</v>
      </c>
      <c r="B1923" t="str">
        <f>"CR4792"</f>
        <v>CR4792</v>
      </c>
      <c r="C1923" t="s">
        <v>30966</v>
      </c>
      <c r="D1923" t="s">
        <v>27271</v>
      </c>
      <c r="E1923" t="str">
        <f t="shared" si="30"/>
        <v>001390</v>
      </c>
      <c r="F1923" t="s">
        <v>27246</v>
      </c>
      <c r="G1923" t="s">
        <v>27247</v>
      </c>
      <c r="H1923" t="s">
        <v>27248</v>
      </c>
      <c r="I1923" t="s">
        <v>30967</v>
      </c>
      <c r="J1923" t="s">
        <v>3855</v>
      </c>
      <c r="L1923" t="s">
        <v>27250</v>
      </c>
      <c r="M1923" t="s">
        <v>27251</v>
      </c>
      <c r="N1923" t="s">
        <v>27252</v>
      </c>
      <c r="P1923" t="s">
        <v>27341</v>
      </c>
      <c r="Q1923" s="1">
        <v>44846</v>
      </c>
      <c r="R1923" t="s">
        <v>27253</v>
      </c>
      <c r="S1923" t="s">
        <v>27254</v>
      </c>
      <c r="T1923" t="s">
        <v>27265</v>
      </c>
    </row>
    <row r="1924" spans="1:20" x14ac:dyDescent="0.3">
      <c r="A1924" t="str">
        <f>"0611860900050"</f>
        <v>0611860900050</v>
      </c>
      <c r="B1924" t="str">
        <f>"CR2101"</f>
        <v>CR2101</v>
      </c>
      <c r="C1924" t="s">
        <v>30968</v>
      </c>
      <c r="D1924" t="s">
        <v>27271</v>
      </c>
      <c r="E1924" t="str">
        <f t="shared" si="30"/>
        <v>001390</v>
      </c>
      <c r="F1924" t="s">
        <v>27246</v>
      </c>
      <c r="G1924" t="s">
        <v>27247</v>
      </c>
      <c r="H1924" t="s">
        <v>27248</v>
      </c>
      <c r="I1924" t="s">
        <v>30969</v>
      </c>
      <c r="J1924" t="s">
        <v>3857</v>
      </c>
      <c r="L1924" t="s">
        <v>27250</v>
      </c>
      <c r="M1924" t="s">
        <v>27251</v>
      </c>
      <c r="N1924" t="s">
        <v>27252</v>
      </c>
      <c r="P1924" t="s">
        <v>27341</v>
      </c>
      <c r="Q1924" s="1">
        <v>44846</v>
      </c>
      <c r="R1924" t="s">
        <v>27253</v>
      </c>
      <c r="S1924" t="s">
        <v>27254</v>
      </c>
      <c r="T1924" t="s">
        <v>27265</v>
      </c>
    </row>
    <row r="1925" spans="1:20" x14ac:dyDescent="0.3">
      <c r="A1925" t="str">
        <f>"0611860901050"</f>
        <v>0611860901050</v>
      </c>
      <c r="B1925" t="str">
        <f>"CR2102"</f>
        <v>CR2102</v>
      </c>
      <c r="C1925" t="s">
        <v>30970</v>
      </c>
      <c r="D1925" t="s">
        <v>27271</v>
      </c>
      <c r="E1925" t="str">
        <f t="shared" si="30"/>
        <v>001390</v>
      </c>
      <c r="F1925" t="s">
        <v>27246</v>
      </c>
      <c r="G1925" t="s">
        <v>27247</v>
      </c>
      <c r="H1925" t="s">
        <v>27248</v>
      </c>
      <c r="I1925" t="s">
        <v>30971</v>
      </c>
      <c r="J1925" t="s">
        <v>3859</v>
      </c>
      <c r="L1925" t="s">
        <v>27250</v>
      </c>
      <c r="M1925" t="s">
        <v>27251</v>
      </c>
      <c r="N1925" t="s">
        <v>27252</v>
      </c>
      <c r="P1925" t="s">
        <v>27341</v>
      </c>
      <c r="Q1925" s="1">
        <v>44846</v>
      </c>
      <c r="R1925" t="s">
        <v>27253</v>
      </c>
      <c r="S1925" t="s">
        <v>27254</v>
      </c>
      <c r="T1925" t="s">
        <v>27265</v>
      </c>
    </row>
    <row r="1926" spans="1:20" x14ac:dyDescent="0.3">
      <c r="A1926" t="str">
        <f>"0611860902050"</f>
        <v>0611860902050</v>
      </c>
      <c r="B1926" t="str">
        <f>"CR2103"</f>
        <v>CR2103</v>
      </c>
      <c r="C1926" t="s">
        <v>30972</v>
      </c>
      <c r="D1926" t="s">
        <v>27271</v>
      </c>
      <c r="E1926" t="str">
        <f t="shared" si="30"/>
        <v>001390</v>
      </c>
      <c r="F1926" t="s">
        <v>27246</v>
      </c>
      <c r="G1926" t="s">
        <v>27247</v>
      </c>
      <c r="H1926" t="s">
        <v>27248</v>
      </c>
      <c r="I1926" t="s">
        <v>30973</v>
      </c>
      <c r="J1926" t="s">
        <v>3861</v>
      </c>
      <c r="L1926" t="s">
        <v>27250</v>
      </c>
      <c r="M1926" t="s">
        <v>27251</v>
      </c>
      <c r="N1926" t="s">
        <v>27252</v>
      </c>
      <c r="P1926" t="s">
        <v>27341</v>
      </c>
      <c r="Q1926" s="1">
        <v>44846</v>
      </c>
      <c r="R1926" t="s">
        <v>27253</v>
      </c>
      <c r="S1926" t="s">
        <v>27254</v>
      </c>
      <c r="T1926" t="s">
        <v>27265</v>
      </c>
    </row>
    <row r="1927" spans="1:20" x14ac:dyDescent="0.3">
      <c r="A1927" t="str">
        <f>"0611860903050"</f>
        <v>0611860903050</v>
      </c>
      <c r="B1927" t="str">
        <f>"CR4074"</f>
        <v>CR4074</v>
      </c>
      <c r="C1927" t="s">
        <v>30974</v>
      </c>
      <c r="D1927" t="s">
        <v>27271</v>
      </c>
      <c r="E1927" t="str">
        <f t="shared" si="30"/>
        <v>001390</v>
      </c>
      <c r="F1927" t="s">
        <v>27246</v>
      </c>
      <c r="G1927" t="s">
        <v>27247</v>
      </c>
      <c r="H1927" t="s">
        <v>27248</v>
      </c>
      <c r="I1927" t="s">
        <v>30975</v>
      </c>
      <c r="J1927" t="s">
        <v>3863</v>
      </c>
      <c r="L1927" t="s">
        <v>27250</v>
      </c>
      <c r="M1927" t="s">
        <v>27251</v>
      </c>
      <c r="N1927" t="s">
        <v>27252</v>
      </c>
      <c r="P1927" t="s">
        <v>27341</v>
      </c>
      <c r="Q1927" s="1">
        <v>44846</v>
      </c>
      <c r="R1927" t="s">
        <v>27253</v>
      </c>
      <c r="S1927" t="s">
        <v>27254</v>
      </c>
      <c r="T1927" t="s">
        <v>27265</v>
      </c>
    </row>
    <row r="1928" spans="1:20" x14ac:dyDescent="0.3">
      <c r="A1928" t="str">
        <f>"0611860904050"</f>
        <v>0611860904050</v>
      </c>
      <c r="B1928" t="str">
        <f>"CR2104"</f>
        <v>CR2104</v>
      </c>
      <c r="C1928" t="s">
        <v>30976</v>
      </c>
      <c r="D1928" t="s">
        <v>27271</v>
      </c>
      <c r="E1928" t="str">
        <f t="shared" si="30"/>
        <v>001390</v>
      </c>
      <c r="F1928" t="s">
        <v>27246</v>
      </c>
      <c r="G1928" t="s">
        <v>27247</v>
      </c>
      <c r="H1928" t="s">
        <v>27248</v>
      </c>
      <c r="I1928" t="s">
        <v>30977</v>
      </c>
      <c r="J1928" t="s">
        <v>3865</v>
      </c>
      <c r="L1928" t="s">
        <v>27250</v>
      </c>
      <c r="M1928" t="s">
        <v>27251</v>
      </c>
      <c r="N1928" t="s">
        <v>27252</v>
      </c>
      <c r="P1928" t="s">
        <v>27341</v>
      </c>
      <c r="Q1928" s="1">
        <v>44846</v>
      </c>
      <c r="R1928" t="s">
        <v>27253</v>
      </c>
      <c r="S1928" t="s">
        <v>27254</v>
      </c>
      <c r="T1928" t="s">
        <v>27265</v>
      </c>
    </row>
    <row r="1929" spans="1:20" x14ac:dyDescent="0.3">
      <c r="A1929" t="str">
        <f>"0611856859100"</f>
        <v>0611856859100</v>
      </c>
      <c r="B1929" t="str">
        <f>"LQ3881"</f>
        <v>LQ3881</v>
      </c>
      <c r="C1929" t="s">
        <v>30978</v>
      </c>
      <c r="D1929" t="s">
        <v>27245</v>
      </c>
      <c r="E1929" t="str">
        <f t="shared" si="30"/>
        <v>001390</v>
      </c>
      <c r="F1929" t="s">
        <v>27246</v>
      </c>
      <c r="G1929" t="s">
        <v>27247</v>
      </c>
      <c r="H1929" t="s">
        <v>27248</v>
      </c>
      <c r="I1929" t="s">
        <v>30979</v>
      </c>
      <c r="J1929" t="s">
        <v>3867</v>
      </c>
      <c r="L1929" t="s">
        <v>27250</v>
      </c>
      <c r="M1929" t="s">
        <v>27251</v>
      </c>
      <c r="N1929" t="s">
        <v>27252</v>
      </c>
      <c r="Q1929" s="1">
        <v>44812</v>
      </c>
      <c r="R1929" t="s">
        <v>27253</v>
      </c>
      <c r="S1929" t="s">
        <v>27254</v>
      </c>
      <c r="T1929" t="s">
        <v>27255</v>
      </c>
    </row>
    <row r="1930" spans="1:20" x14ac:dyDescent="0.3">
      <c r="A1930" t="str">
        <f>"0611860905050"</f>
        <v>0611860905050</v>
      </c>
      <c r="B1930" t="str">
        <f>"CR5164"</f>
        <v>CR5164</v>
      </c>
      <c r="C1930" t="s">
        <v>30978</v>
      </c>
      <c r="D1930" t="s">
        <v>27263</v>
      </c>
      <c r="E1930" t="str">
        <f t="shared" si="30"/>
        <v>001390</v>
      </c>
      <c r="F1930" t="s">
        <v>27246</v>
      </c>
      <c r="G1930" t="s">
        <v>27247</v>
      </c>
      <c r="H1930" t="s">
        <v>27248</v>
      </c>
      <c r="I1930" t="s">
        <v>30980</v>
      </c>
      <c r="J1930" t="s">
        <v>3869</v>
      </c>
      <c r="L1930" t="s">
        <v>27250</v>
      </c>
      <c r="M1930" t="s">
        <v>27251</v>
      </c>
      <c r="N1930" t="s">
        <v>27252</v>
      </c>
      <c r="Q1930" s="1">
        <v>44846</v>
      </c>
      <c r="R1930" t="s">
        <v>27253</v>
      </c>
      <c r="S1930" t="s">
        <v>27254</v>
      </c>
      <c r="T1930" t="s">
        <v>27265</v>
      </c>
    </row>
    <row r="1931" spans="1:20" x14ac:dyDescent="0.3">
      <c r="A1931" t="str">
        <f>"0611832150100"</f>
        <v>0611832150100</v>
      </c>
      <c r="B1931" t="str">
        <f>"LK6631"</f>
        <v>LK6631</v>
      </c>
      <c r="C1931" t="s">
        <v>30981</v>
      </c>
      <c r="D1931" t="s">
        <v>27245</v>
      </c>
      <c r="E1931" t="str">
        <f t="shared" si="30"/>
        <v>001390</v>
      </c>
      <c r="F1931" t="s">
        <v>27246</v>
      </c>
      <c r="G1931" t="s">
        <v>27247</v>
      </c>
      <c r="H1931" t="s">
        <v>27248</v>
      </c>
      <c r="I1931" t="s">
        <v>30982</v>
      </c>
      <c r="J1931" t="s">
        <v>3871</v>
      </c>
      <c r="L1931" t="s">
        <v>27250</v>
      </c>
      <c r="M1931" t="s">
        <v>27251</v>
      </c>
      <c r="N1931" t="s">
        <v>27252</v>
      </c>
      <c r="Q1931" s="1">
        <v>44538</v>
      </c>
      <c r="R1931" t="s">
        <v>27253</v>
      </c>
      <c r="S1931" t="s">
        <v>27254</v>
      </c>
      <c r="T1931" t="s">
        <v>27255</v>
      </c>
    </row>
    <row r="1932" spans="1:20" x14ac:dyDescent="0.3">
      <c r="A1932" t="str">
        <f>"0611832151100"</f>
        <v>0611832151100</v>
      </c>
      <c r="B1932" t="str">
        <f>"LK6632"</f>
        <v>LK6632</v>
      </c>
      <c r="C1932" t="s">
        <v>30983</v>
      </c>
      <c r="D1932" t="s">
        <v>27245</v>
      </c>
      <c r="E1932" t="str">
        <f t="shared" si="30"/>
        <v>001390</v>
      </c>
      <c r="F1932" t="s">
        <v>27246</v>
      </c>
      <c r="G1932" t="s">
        <v>27247</v>
      </c>
      <c r="H1932" t="s">
        <v>27248</v>
      </c>
      <c r="I1932" t="s">
        <v>30984</v>
      </c>
      <c r="J1932" t="s">
        <v>3873</v>
      </c>
      <c r="L1932" t="s">
        <v>27250</v>
      </c>
      <c r="M1932" t="s">
        <v>27251</v>
      </c>
      <c r="N1932" t="s">
        <v>27252</v>
      </c>
      <c r="Q1932" s="1">
        <v>44538</v>
      </c>
      <c r="R1932" t="s">
        <v>27253</v>
      </c>
      <c r="S1932" t="s">
        <v>27254</v>
      </c>
      <c r="T1932" t="s">
        <v>27255</v>
      </c>
    </row>
    <row r="1933" spans="1:20" x14ac:dyDescent="0.3">
      <c r="A1933" t="str">
        <f>"0611832152100"</f>
        <v>0611832152100</v>
      </c>
      <c r="B1933" t="str">
        <f>"LK6633"</f>
        <v>LK6633</v>
      </c>
      <c r="C1933" t="s">
        <v>30985</v>
      </c>
      <c r="D1933" t="s">
        <v>27245</v>
      </c>
      <c r="E1933" t="str">
        <f t="shared" si="30"/>
        <v>001390</v>
      </c>
      <c r="F1933" t="s">
        <v>27246</v>
      </c>
      <c r="G1933" t="s">
        <v>27247</v>
      </c>
      <c r="H1933" t="s">
        <v>27248</v>
      </c>
      <c r="I1933" t="s">
        <v>30986</v>
      </c>
      <c r="J1933" t="s">
        <v>3875</v>
      </c>
      <c r="L1933" t="s">
        <v>27250</v>
      </c>
      <c r="M1933" t="s">
        <v>27251</v>
      </c>
      <c r="N1933" t="s">
        <v>27252</v>
      </c>
      <c r="Q1933" s="1">
        <v>44538</v>
      </c>
      <c r="R1933" t="s">
        <v>27253</v>
      </c>
      <c r="S1933" t="s">
        <v>27254</v>
      </c>
      <c r="T1933" t="s">
        <v>27255</v>
      </c>
    </row>
    <row r="1934" spans="1:20" x14ac:dyDescent="0.3">
      <c r="A1934" t="str">
        <f>"0611832154100"</f>
        <v>0611832154100</v>
      </c>
      <c r="B1934" t="str">
        <f>"LK5642"</f>
        <v>LK5642</v>
      </c>
      <c r="C1934" t="s">
        <v>30987</v>
      </c>
      <c r="D1934" t="s">
        <v>27245</v>
      </c>
      <c r="E1934" t="str">
        <f t="shared" si="30"/>
        <v>001390</v>
      </c>
      <c r="F1934" t="s">
        <v>27246</v>
      </c>
      <c r="G1934" t="s">
        <v>27247</v>
      </c>
      <c r="H1934" t="s">
        <v>27248</v>
      </c>
      <c r="I1934" t="s">
        <v>30988</v>
      </c>
      <c r="J1934" t="s">
        <v>3877</v>
      </c>
      <c r="L1934" t="s">
        <v>27250</v>
      </c>
      <c r="M1934" t="s">
        <v>27251</v>
      </c>
      <c r="N1934" t="s">
        <v>27252</v>
      </c>
      <c r="Q1934" s="1">
        <v>44538</v>
      </c>
      <c r="R1934" t="s">
        <v>27253</v>
      </c>
      <c r="S1934" t="s">
        <v>27254</v>
      </c>
      <c r="T1934" t="s">
        <v>27255</v>
      </c>
    </row>
    <row r="1935" spans="1:20" x14ac:dyDescent="0.3">
      <c r="A1935" t="str">
        <f>"0611832155100"</f>
        <v>0611832155100</v>
      </c>
      <c r="B1935" t="str">
        <f>"LK6325"</f>
        <v>LK6325</v>
      </c>
      <c r="C1935" t="s">
        <v>30989</v>
      </c>
      <c r="D1935" t="s">
        <v>27245</v>
      </c>
      <c r="E1935" t="str">
        <f t="shared" si="30"/>
        <v>001390</v>
      </c>
      <c r="F1935" t="s">
        <v>27246</v>
      </c>
      <c r="G1935" t="s">
        <v>27247</v>
      </c>
      <c r="H1935" t="s">
        <v>27248</v>
      </c>
      <c r="I1935" t="s">
        <v>30990</v>
      </c>
      <c r="J1935" t="s">
        <v>3879</v>
      </c>
      <c r="L1935" t="s">
        <v>27250</v>
      </c>
      <c r="M1935" t="s">
        <v>27251</v>
      </c>
      <c r="N1935" t="s">
        <v>27252</v>
      </c>
      <c r="Q1935" s="1">
        <v>44538</v>
      </c>
      <c r="R1935" t="s">
        <v>27253</v>
      </c>
      <c r="S1935" t="s">
        <v>27254</v>
      </c>
      <c r="T1935" t="s">
        <v>27255</v>
      </c>
    </row>
    <row r="1936" spans="1:20" x14ac:dyDescent="0.3">
      <c r="A1936" t="str">
        <f>"0611832156100"</f>
        <v>0611832156100</v>
      </c>
      <c r="B1936" t="str">
        <f>"LK6634"</f>
        <v>LK6634</v>
      </c>
      <c r="C1936" t="s">
        <v>30991</v>
      </c>
      <c r="D1936" t="s">
        <v>27245</v>
      </c>
      <c r="E1936" t="str">
        <f t="shared" si="30"/>
        <v>001390</v>
      </c>
      <c r="F1936" t="s">
        <v>27246</v>
      </c>
      <c r="G1936" t="s">
        <v>27247</v>
      </c>
      <c r="H1936" t="s">
        <v>27248</v>
      </c>
      <c r="I1936" t="s">
        <v>30992</v>
      </c>
      <c r="J1936" t="s">
        <v>3881</v>
      </c>
      <c r="L1936" t="s">
        <v>27250</v>
      </c>
      <c r="M1936" t="s">
        <v>27251</v>
      </c>
      <c r="N1936" t="s">
        <v>27252</v>
      </c>
      <c r="Q1936" s="1">
        <v>44538</v>
      </c>
      <c r="R1936" t="s">
        <v>27253</v>
      </c>
      <c r="S1936" t="s">
        <v>27254</v>
      </c>
      <c r="T1936" t="s">
        <v>27255</v>
      </c>
    </row>
    <row r="1937" spans="1:20" x14ac:dyDescent="0.3">
      <c r="A1937" t="str">
        <f>"0611832157100"</f>
        <v>0611832157100</v>
      </c>
      <c r="B1937" t="str">
        <f>"LK6635"</f>
        <v>LK6635</v>
      </c>
      <c r="C1937" t="s">
        <v>30993</v>
      </c>
      <c r="D1937" t="s">
        <v>27245</v>
      </c>
      <c r="E1937" t="str">
        <f t="shared" si="30"/>
        <v>001390</v>
      </c>
      <c r="F1937" t="s">
        <v>27246</v>
      </c>
      <c r="G1937" t="s">
        <v>27247</v>
      </c>
      <c r="H1937" t="s">
        <v>27248</v>
      </c>
      <c r="I1937" t="s">
        <v>30994</v>
      </c>
      <c r="J1937" t="s">
        <v>3883</v>
      </c>
      <c r="L1937" t="s">
        <v>27250</v>
      </c>
      <c r="M1937" t="s">
        <v>27251</v>
      </c>
      <c r="N1937" t="s">
        <v>27252</v>
      </c>
      <c r="Q1937" s="1">
        <v>44538</v>
      </c>
      <c r="R1937" t="s">
        <v>27253</v>
      </c>
      <c r="S1937" t="s">
        <v>27254</v>
      </c>
      <c r="T1937" t="s">
        <v>27255</v>
      </c>
    </row>
    <row r="1938" spans="1:20" x14ac:dyDescent="0.3">
      <c r="A1938" t="str">
        <f>"0611832158100"</f>
        <v>0611832158100</v>
      </c>
      <c r="B1938" t="str">
        <f>"LK6636"</f>
        <v>LK6636</v>
      </c>
      <c r="C1938" t="s">
        <v>30995</v>
      </c>
      <c r="D1938" t="s">
        <v>27245</v>
      </c>
      <c r="E1938" t="str">
        <f t="shared" si="30"/>
        <v>001390</v>
      </c>
      <c r="F1938" t="s">
        <v>27246</v>
      </c>
      <c r="G1938" t="s">
        <v>27247</v>
      </c>
      <c r="H1938" t="s">
        <v>27248</v>
      </c>
      <c r="I1938" t="s">
        <v>30996</v>
      </c>
      <c r="J1938" t="s">
        <v>3885</v>
      </c>
      <c r="L1938" t="s">
        <v>27250</v>
      </c>
      <c r="M1938" t="s">
        <v>27251</v>
      </c>
      <c r="N1938" t="s">
        <v>27252</v>
      </c>
      <c r="Q1938" s="1">
        <v>44538</v>
      </c>
      <c r="R1938" t="s">
        <v>27253</v>
      </c>
      <c r="S1938" t="s">
        <v>27254</v>
      </c>
      <c r="T1938" t="s">
        <v>27255</v>
      </c>
    </row>
    <row r="1939" spans="1:20" x14ac:dyDescent="0.3">
      <c r="A1939" t="str">
        <f>"0611832160100"</f>
        <v>0611832160100</v>
      </c>
      <c r="B1939" t="str">
        <f>"LQ6176"</f>
        <v>LQ6176</v>
      </c>
      <c r="C1939" t="s">
        <v>30997</v>
      </c>
      <c r="D1939" t="s">
        <v>27245</v>
      </c>
      <c r="E1939" t="str">
        <f t="shared" si="30"/>
        <v>001390</v>
      </c>
      <c r="F1939" t="s">
        <v>27246</v>
      </c>
      <c r="G1939" t="s">
        <v>27247</v>
      </c>
      <c r="H1939" t="s">
        <v>27248</v>
      </c>
      <c r="I1939" t="s">
        <v>30998</v>
      </c>
      <c r="J1939" t="s">
        <v>3887</v>
      </c>
      <c r="L1939" t="s">
        <v>27250</v>
      </c>
      <c r="M1939" t="s">
        <v>27251</v>
      </c>
      <c r="N1939" t="s">
        <v>27252</v>
      </c>
      <c r="Q1939" s="1">
        <v>44538</v>
      </c>
      <c r="R1939" t="s">
        <v>27253</v>
      </c>
      <c r="S1939" t="s">
        <v>27254</v>
      </c>
      <c r="T1939" t="s">
        <v>27255</v>
      </c>
    </row>
    <row r="1940" spans="1:20" x14ac:dyDescent="0.3">
      <c r="A1940" t="str">
        <f>"0611832161100"</f>
        <v>0611832161100</v>
      </c>
      <c r="B1940" t="str">
        <f>"LK5645"</f>
        <v>LK5645</v>
      </c>
      <c r="C1940" t="s">
        <v>30999</v>
      </c>
      <c r="D1940" t="s">
        <v>27245</v>
      </c>
      <c r="E1940" t="str">
        <f t="shared" si="30"/>
        <v>001390</v>
      </c>
      <c r="F1940" t="s">
        <v>27246</v>
      </c>
      <c r="G1940" t="s">
        <v>27247</v>
      </c>
      <c r="H1940" t="s">
        <v>27248</v>
      </c>
      <c r="I1940" t="s">
        <v>31000</v>
      </c>
      <c r="J1940" t="s">
        <v>3889</v>
      </c>
      <c r="L1940" t="s">
        <v>27250</v>
      </c>
      <c r="M1940" t="s">
        <v>27251</v>
      </c>
      <c r="N1940" t="s">
        <v>27252</v>
      </c>
      <c r="Q1940" s="1">
        <v>44538</v>
      </c>
      <c r="R1940" t="s">
        <v>27253</v>
      </c>
      <c r="S1940" t="s">
        <v>27254</v>
      </c>
      <c r="T1940" t="s">
        <v>27255</v>
      </c>
    </row>
    <row r="1941" spans="1:20" x14ac:dyDescent="0.3">
      <c r="A1941" t="str">
        <f>"0611832162100"</f>
        <v>0611832162100</v>
      </c>
      <c r="B1941" t="str">
        <f>"LK5646"</f>
        <v>LK5646</v>
      </c>
      <c r="C1941" t="s">
        <v>31001</v>
      </c>
      <c r="D1941" t="s">
        <v>27245</v>
      </c>
      <c r="E1941" t="str">
        <f t="shared" si="30"/>
        <v>001390</v>
      </c>
      <c r="F1941" t="s">
        <v>27246</v>
      </c>
      <c r="G1941" t="s">
        <v>27247</v>
      </c>
      <c r="H1941" t="s">
        <v>27248</v>
      </c>
      <c r="I1941" t="s">
        <v>31002</v>
      </c>
      <c r="J1941" t="s">
        <v>3891</v>
      </c>
      <c r="L1941" t="s">
        <v>27250</v>
      </c>
      <c r="M1941" t="s">
        <v>27251</v>
      </c>
      <c r="N1941" t="s">
        <v>27252</v>
      </c>
      <c r="Q1941" s="1">
        <v>44538</v>
      </c>
      <c r="R1941" t="s">
        <v>27253</v>
      </c>
      <c r="S1941" t="s">
        <v>27254</v>
      </c>
      <c r="T1941" t="s">
        <v>27255</v>
      </c>
    </row>
    <row r="1942" spans="1:20" x14ac:dyDescent="0.3">
      <c r="A1942" t="str">
        <f>"0611860906050"</f>
        <v>0611860906050</v>
      </c>
      <c r="B1942" t="str">
        <f>"CR3410"</f>
        <v>CR3410</v>
      </c>
      <c r="C1942" t="s">
        <v>31003</v>
      </c>
      <c r="D1942" t="s">
        <v>27263</v>
      </c>
      <c r="E1942" t="str">
        <f t="shared" si="30"/>
        <v>001390</v>
      </c>
      <c r="F1942" t="s">
        <v>27246</v>
      </c>
      <c r="G1942" t="s">
        <v>27247</v>
      </c>
      <c r="H1942" t="s">
        <v>27248</v>
      </c>
      <c r="I1942" t="s">
        <v>31004</v>
      </c>
      <c r="J1942" t="s">
        <v>3893</v>
      </c>
      <c r="L1942" t="s">
        <v>27250</v>
      </c>
      <c r="M1942" t="s">
        <v>27251</v>
      </c>
      <c r="N1942" t="s">
        <v>27252</v>
      </c>
      <c r="Q1942" s="1">
        <v>44846</v>
      </c>
      <c r="R1942" t="s">
        <v>27253</v>
      </c>
      <c r="S1942" t="s">
        <v>27254</v>
      </c>
      <c r="T1942" t="s">
        <v>27265</v>
      </c>
    </row>
    <row r="1943" spans="1:20" x14ac:dyDescent="0.3">
      <c r="A1943" t="str">
        <f>"0611832163100"</f>
        <v>0611832163100</v>
      </c>
      <c r="B1943" t="str">
        <f>"LQ6138"</f>
        <v>LQ6138</v>
      </c>
      <c r="C1943" t="s">
        <v>31005</v>
      </c>
      <c r="D1943" t="s">
        <v>27245</v>
      </c>
      <c r="E1943" t="str">
        <f t="shared" si="30"/>
        <v>001390</v>
      </c>
      <c r="F1943" t="s">
        <v>27246</v>
      </c>
      <c r="G1943" t="s">
        <v>27247</v>
      </c>
      <c r="H1943" t="s">
        <v>27248</v>
      </c>
      <c r="I1943" t="s">
        <v>31006</v>
      </c>
      <c r="J1943" t="s">
        <v>3895</v>
      </c>
      <c r="L1943" t="s">
        <v>27250</v>
      </c>
      <c r="M1943" t="s">
        <v>27251</v>
      </c>
      <c r="N1943" t="s">
        <v>27252</v>
      </c>
      <c r="Q1943" s="1">
        <v>44538</v>
      </c>
      <c r="R1943" t="s">
        <v>27253</v>
      </c>
      <c r="S1943" t="s">
        <v>27254</v>
      </c>
      <c r="T1943" t="s">
        <v>27255</v>
      </c>
    </row>
    <row r="1944" spans="1:20" x14ac:dyDescent="0.3">
      <c r="A1944" t="str">
        <f>"0611860912050"</f>
        <v>0611860912050</v>
      </c>
      <c r="B1944" t="str">
        <f>"CR2619"</f>
        <v>CR2619</v>
      </c>
      <c r="C1944" t="s">
        <v>31007</v>
      </c>
      <c r="D1944" t="s">
        <v>27263</v>
      </c>
      <c r="E1944" t="str">
        <f t="shared" si="30"/>
        <v>001390</v>
      </c>
      <c r="F1944" t="s">
        <v>27246</v>
      </c>
      <c r="G1944" t="s">
        <v>27247</v>
      </c>
      <c r="H1944" t="s">
        <v>27248</v>
      </c>
      <c r="I1944" t="s">
        <v>31008</v>
      </c>
      <c r="J1944" t="s">
        <v>3897</v>
      </c>
      <c r="L1944" t="s">
        <v>27250</v>
      </c>
      <c r="M1944" t="s">
        <v>27251</v>
      </c>
      <c r="N1944" t="s">
        <v>27252</v>
      </c>
      <c r="Q1944" s="1">
        <v>44846</v>
      </c>
      <c r="R1944" t="s">
        <v>27253</v>
      </c>
      <c r="S1944" t="s">
        <v>27254</v>
      </c>
      <c r="T1944" t="s">
        <v>27265</v>
      </c>
    </row>
    <row r="1945" spans="1:20" x14ac:dyDescent="0.3">
      <c r="A1945" t="str">
        <f>"0611860916050"</f>
        <v>0611860916050</v>
      </c>
      <c r="B1945" t="str">
        <f>"CR2791"</f>
        <v>CR2791</v>
      </c>
      <c r="C1945" t="s">
        <v>31009</v>
      </c>
      <c r="D1945" t="s">
        <v>27263</v>
      </c>
      <c r="E1945" t="str">
        <f t="shared" si="30"/>
        <v>001390</v>
      </c>
      <c r="F1945" t="s">
        <v>27246</v>
      </c>
      <c r="G1945" t="s">
        <v>27247</v>
      </c>
      <c r="H1945" t="s">
        <v>27248</v>
      </c>
      <c r="I1945" t="s">
        <v>31010</v>
      </c>
      <c r="J1945" t="s">
        <v>3899</v>
      </c>
      <c r="L1945" t="s">
        <v>27250</v>
      </c>
      <c r="M1945" t="s">
        <v>27251</v>
      </c>
      <c r="N1945" t="s">
        <v>27252</v>
      </c>
      <c r="Q1945" s="1">
        <v>44846</v>
      </c>
      <c r="R1945" t="s">
        <v>27253</v>
      </c>
      <c r="S1945" t="s">
        <v>27254</v>
      </c>
      <c r="T1945" t="s">
        <v>27265</v>
      </c>
    </row>
    <row r="1946" spans="1:20" x14ac:dyDescent="0.3">
      <c r="A1946" t="str">
        <f>"0611832164100"</f>
        <v>0611832164100</v>
      </c>
      <c r="B1946" t="str">
        <f>"LQ0425"</f>
        <v>LQ0425</v>
      </c>
      <c r="C1946" t="s">
        <v>31011</v>
      </c>
      <c r="D1946" t="s">
        <v>27245</v>
      </c>
      <c r="E1946" t="str">
        <f t="shared" si="30"/>
        <v>001390</v>
      </c>
      <c r="F1946" t="s">
        <v>27246</v>
      </c>
      <c r="G1946" t="s">
        <v>27247</v>
      </c>
      <c r="H1946" t="s">
        <v>27248</v>
      </c>
      <c r="I1946" t="s">
        <v>31012</v>
      </c>
      <c r="J1946" t="s">
        <v>3901</v>
      </c>
      <c r="L1946" t="s">
        <v>27250</v>
      </c>
      <c r="M1946" t="s">
        <v>27251</v>
      </c>
      <c r="N1946" t="s">
        <v>27252</v>
      </c>
      <c r="Q1946" s="1">
        <v>44538</v>
      </c>
      <c r="R1946" t="s">
        <v>27253</v>
      </c>
      <c r="S1946" t="s">
        <v>27254</v>
      </c>
      <c r="T1946" t="s">
        <v>27255</v>
      </c>
    </row>
    <row r="1947" spans="1:20" x14ac:dyDescent="0.3">
      <c r="A1947" t="str">
        <f>"0611832167100"</f>
        <v>0611832167100</v>
      </c>
      <c r="B1947" t="str">
        <f>"LQ5302"</f>
        <v>LQ5302</v>
      </c>
      <c r="C1947" t="s">
        <v>31013</v>
      </c>
      <c r="D1947" t="s">
        <v>27245</v>
      </c>
      <c r="E1947" t="str">
        <f t="shared" si="30"/>
        <v>001390</v>
      </c>
      <c r="F1947" t="s">
        <v>27246</v>
      </c>
      <c r="G1947" t="s">
        <v>27247</v>
      </c>
      <c r="H1947" t="s">
        <v>27248</v>
      </c>
      <c r="I1947" t="s">
        <v>31014</v>
      </c>
      <c r="J1947" t="s">
        <v>3903</v>
      </c>
      <c r="L1947" t="s">
        <v>27250</v>
      </c>
      <c r="M1947" t="s">
        <v>27251</v>
      </c>
      <c r="N1947" t="s">
        <v>27252</v>
      </c>
      <c r="Q1947" s="1">
        <v>44538</v>
      </c>
      <c r="R1947" t="s">
        <v>27253</v>
      </c>
      <c r="S1947" t="s">
        <v>27254</v>
      </c>
      <c r="T1947" t="s">
        <v>27255</v>
      </c>
    </row>
    <row r="1948" spans="1:20" x14ac:dyDescent="0.3">
      <c r="A1948" t="str">
        <f>"0611832171100"</f>
        <v>0611832171100</v>
      </c>
      <c r="B1948" t="str">
        <f>"LQ5835"</f>
        <v>LQ5835</v>
      </c>
      <c r="C1948" t="s">
        <v>31015</v>
      </c>
      <c r="D1948" t="s">
        <v>27245</v>
      </c>
      <c r="E1948" t="str">
        <f t="shared" si="30"/>
        <v>001390</v>
      </c>
      <c r="F1948" t="s">
        <v>27246</v>
      </c>
      <c r="G1948" t="s">
        <v>27247</v>
      </c>
      <c r="H1948" t="s">
        <v>27248</v>
      </c>
      <c r="I1948" t="s">
        <v>31016</v>
      </c>
      <c r="J1948" t="s">
        <v>3909</v>
      </c>
      <c r="L1948" t="s">
        <v>27250</v>
      </c>
      <c r="M1948" t="s">
        <v>27251</v>
      </c>
      <c r="N1948" t="s">
        <v>27252</v>
      </c>
      <c r="Q1948" s="1">
        <v>44538</v>
      </c>
      <c r="R1948" t="s">
        <v>27253</v>
      </c>
      <c r="S1948" t="s">
        <v>27254</v>
      </c>
      <c r="T1948" t="s">
        <v>27255</v>
      </c>
    </row>
    <row r="1949" spans="1:20" x14ac:dyDescent="0.3">
      <c r="A1949" t="str">
        <f>"0611832169100"</f>
        <v>0611832169100</v>
      </c>
      <c r="B1949" t="str">
        <f>"LQ0426"</f>
        <v>LQ0426</v>
      </c>
      <c r="C1949" t="s">
        <v>31017</v>
      </c>
      <c r="D1949" t="s">
        <v>27245</v>
      </c>
      <c r="E1949" t="str">
        <f t="shared" si="30"/>
        <v>001390</v>
      </c>
      <c r="F1949" t="s">
        <v>27246</v>
      </c>
      <c r="G1949" t="s">
        <v>27247</v>
      </c>
      <c r="H1949" t="s">
        <v>27248</v>
      </c>
      <c r="I1949" t="s">
        <v>31018</v>
      </c>
      <c r="J1949" t="s">
        <v>3905</v>
      </c>
      <c r="L1949" t="s">
        <v>27250</v>
      </c>
      <c r="M1949" t="s">
        <v>27251</v>
      </c>
      <c r="N1949" t="s">
        <v>27252</v>
      </c>
      <c r="Q1949" s="1">
        <v>44538</v>
      </c>
      <c r="R1949" t="s">
        <v>27253</v>
      </c>
      <c r="S1949" t="s">
        <v>27254</v>
      </c>
      <c r="T1949" t="s">
        <v>27255</v>
      </c>
    </row>
    <row r="1950" spans="1:20" x14ac:dyDescent="0.3">
      <c r="A1950" t="str">
        <f>"0611832170100"</f>
        <v>0611832170100</v>
      </c>
      <c r="B1950" t="str">
        <f>"LQ5012"</f>
        <v>LQ5012</v>
      </c>
      <c r="C1950" t="s">
        <v>31019</v>
      </c>
      <c r="D1950" t="s">
        <v>27245</v>
      </c>
      <c r="E1950" t="str">
        <f t="shared" si="30"/>
        <v>001390</v>
      </c>
      <c r="F1950" t="s">
        <v>27246</v>
      </c>
      <c r="G1950" t="s">
        <v>27247</v>
      </c>
      <c r="H1950" t="s">
        <v>27248</v>
      </c>
      <c r="I1950" t="s">
        <v>31020</v>
      </c>
      <c r="J1950" t="s">
        <v>3907</v>
      </c>
      <c r="L1950" t="s">
        <v>27250</v>
      </c>
      <c r="M1950" t="s">
        <v>27251</v>
      </c>
      <c r="N1950" t="s">
        <v>27252</v>
      </c>
      <c r="Q1950" s="1">
        <v>44538</v>
      </c>
      <c r="R1950" t="s">
        <v>27253</v>
      </c>
      <c r="S1950" t="s">
        <v>27254</v>
      </c>
      <c r="T1950" t="s">
        <v>27255</v>
      </c>
    </row>
    <row r="1951" spans="1:20" x14ac:dyDescent="0.3">
      <c r="A1951" t="str">
        <f>"0611832172100"</f>
        <v>0611832172100</v>
      </c>
      <c r="B1951" t="str">
        <f>"LQ5501"</f>
        <v>LQ5501</v>
      </c>
      <c r="C1951" t="s">
        <v>31021</v>
      </c>
      <c r="D1951" t="s">
        <v>27245</v>
      </c>
      <c r="E1951" t="str">
        <f t="shared" si="30"/>
        <v>001390</v>
      </c>
      <c r="F1951" t="s">
        <v>27246</v>
      </c>
      <c r="G1951" t="s">
        <v>27247</v>
      </c>
      <c r="H1951" t="s">
        <v>27248</v>
      </c>
      <c r="I1951" t="s">
        <v>31022</v>
      </c>
      <c r="J1951" t="s">
        <v>3911</v>
      </c>
      <c r="L1951" t="s">
        <v>27250</v>
      </c>
      <c r="M1951" t="s">
        <v>27251</v>
      </c>
      <c r="N1951" t="s">
        <v>27252</v>
      </c>
      <c r="Q1951" s="1">
        <v>44538</v>
      </c>
      <c r="R1951" t="s">
        <v>27253</v>
      </c>
      <c r="S1951" t="s">
        <v>27254</v>
      </c>
      <c r="T1951" t="s">
        <v>27255</v>
      </c>
    </row>
    <row r="1952" spans="1:20" x14ac:dyDescent="0.3">
      <c r="A1952" t="str">
        <f>"0611832173100"</f>
        <v>0611832173100</v>
      </c>
      <c r="B1952" t="str">
        <f>"LQ5502"</f>
        <v>LQ5502</v>
      </c>
      <c r="C1952" t="s">
        <v>31023</v>
      </c>
      <c r="D1952" t="s">
        <v>27245</v>
      </c>
      <c r="E1952" t="str">
        <f t="shared" si="30"/>
        <v>001390</v>
      </c>
      <c r="F1952" t="s">
        <v>27246</v>
      </c>
      <c r="G1952" t="s">
        <v>27247</v>
      </c>
      <c r="H1952" t="s">
        <v>27248</v>
      </c>
      <c r="I1952" t="s">
        <v>31024</v>
      </c>
      <c r="J1952" t="s">
        <v>3913</v>
      </c>
      <c r="L1952" t="s">
        <v>27250</v>
      </c>
      <c r="M1952" t="s">
        <v>27251</v>
      </c>
      <c r="N1952" t="s">
        <v>27252</v>
      </c>
      <c r="Q1952" s="1">
        <v>44538</v>
      </c>
      <c r="R1952" t="s">
        <v>27253</v>
      </c>
      <c r="S1952" t="s">
        <v>27254</v>
      </c>
      <c r="T1952" t="s">
        <v>27255</v>
      </c>
    </row>
    <row r="1953" spans="1:20" x14ac:dyDescent="0.3">
      <c r="A1953" t="str">
        <f>"0611832175100"</f>
        <v>0611832175100</v>
      </c>
      <c r="B1953" t="str">
        <f>"LQ5307"</f>
        <v>LQ5307</v>
      </c>
      <c r="C1953" t="s">
        <v>31025</v>
      </c>
      <c r="D1953" t="s">
        <v>27245</v>
      </c>
      <c r="E1953" t="str">
        <f t="shared" si="30"/>
        <v>001390</v>
      </c>
      <c r="F1953" t="s">
        <v>27246</v>
      </c>
      <c r="G1953" t="s">
        <v>27247</v>
      </c>
      <c r="H1953" t="s">
        <v>27248</v>
      </c>
      <c r="I1953" t="s">
        <v>31026</v>
      </c>
      <c r="J1953" t="s">
        <v>3915</v>
      </c>
      <c r="L1953" t="s">
        <v>27250</v>
      </c>
      <c r="M1953" t="s">
        <v>27251</v>
      </c>
      <c r="N1953" t="s">
        <v>27252</v>
      </c>
      <c r="Q1953" s="1">
        <v>44538</v>
      </c>
      <c r="R1953" t="s">
        <v>27253</v>
      </c>
      <c r="S1953" t="s">
        <v>27254</v>
      </c>
      <c r="T1953" t="s">
        <v>27255</v>
      </c>
    </row>
    <row r="1954" spans="1:20" x14ac:dyDescent="0.3">
      <c r="A1954" t="str">
        <f>"0611832176100"</f>
        <v>0611832176100</v>
      </c>
      <c r="B1954" t="str">
        <f>"LQ5918"</f>
        <v>LQ5918</v>
      </c>
      <c r="C1954" t="s">
        <v>31027</v>
      </c>
      <c r="D1954" t="s">
        <v>27245</v>
      </c>
      <c r="E1954" t="str">
        <f t="shared" si="30"/>
        <v>001390</v>
      </c>
      <c r="F1954" t="s">
        <v>27246</v>
      </c>
      <c r="G1954" t="s">
        <v>27247</v>
      </c>
      <c r="H1954" t="s">
        <v>27248</v>
      </c>
      <c r="I1954" t="s">
        <v>31028</v>
      </c>
      <c r="J1954" t="s">
        <v>3917</v>
      </c>
      <c r="L1954" t="s">
        <v>27250</v>
      </c>
      <c r="M1954" t="s">
        <v>27251</v>
      </c>
      <c r="N1954" t="s">
        <v>27252</v>
      </c>
      <c r="Q1954" s="1">
        <v>44538</v>
      </c>
      <c r="R1954" t="s">
        <v>27253</v>
      </c>
      <c r="S1954" t="s">
        <v>27254</v>
      </c>
      <c r="T1954" t="s">
        <v>27255</v>
      </c>
    </row>
    <row r="1955" spans="1:20" x14ac:dyDescent="0.3">
      <c r="A1955" t="str">
        <f>"0611832177100"</f>
        <v>0611832177100</v>
      </c>
      <c r="B1955" t="str">
        <f>"LQ0428"</f>
        <v>LQ0428</v>
      </c>
      <c r="C1955" t="s">
        <v>31029</v>
      </c>
      <c r="D1955" t="s">
        <v>27245</v>
      </c>
      <c r="E1955" t="str">
        <f t="shared" si="30"/>
        <v>001390</v>
      </c>
      <c r="F1955" t="s">
        <v>27246</v>
      </c>
      <c r="G1955" t="s">
        <v>27247</v>
      </c>
      <c r="H1955" t="s">
        <v>27248</v>
      </c>
      <c r="I1955" t="s">
        <v>31030</v>
      </c>
      <c r="J1955" t="s">
        <v>3919</v>
      </c>
      <c r="L1955" t="s">
        <v>27250</v>
      </c>
      <c r="M1955" t="s">
        <v>27251</v>
      </c>
      <c r="N1955" t="s">
        <v>27252</v>
      </c>
      <c r="Q1955" s="1">
        <v>44538</v>
      </c>
      <c r="R1955" t="s">
        <v>27253</v>
      </c>
      <c r="S1955" t="s">
        <v>27254</v>
      </c>
      <c r="T1955" t="s">
        <v>27255</v>
      </c>
    </row>
    <row r="1956" spans="1:20" x14ac:dyDescent="0.3">
      <c r="A1956" t="str">
        <f>"0611832178100"</f>
        <v>0611832178100</v>
      </c>
      <c r="B1956" t="str">
        <f>"LQ5309"</f>
        <v>LQ5309</v>
      </c>
      <c r="C1956" t="s">
        <v>31031</v>
      </c>
      <c r="D1956" t="s">
        <v>27245</v>
      </c>
      <c r="E1956" t="str">
        <f t="shared" si="30"/>
        <v>001390</v>
      </c>
      <c r="F1956" t="s">
        <v>27246</v>
      </c>
      <c r="G1956" t="s">
        <v>27247</v>
      </c>
      <c r="H1956" t="s">
        <v>27248</v>
      </c>
      <c r="I1956" t="s">
        <v>31032</v>
      </c>
      <c r="J1956" t="s">
        <v>3921</v>
      </c>
      <c r="L1956" t="s">
        <v>27250</v>
      </c>
      <c r="M1956" t="s">
        <v>27251</v>
      </c>
      <c r="N1956" t="s">
        <v>27252</v>
      </c>
      <c r="Q1956" s="1">
        <v>44538</v>
      </c>
      <c r="R1956" t="s">
        <v>27253</v>
      </c>
      <c r="S1956" t="s">
        <v>27254</v>
      </c>
      <c r="T1956" t="s">
        <v>27255</v>
      </c>
    </row>
    <row r="1957" spans="1:20" x14ac:dyDescent="0.3">
      <c r="A1957" t="str">
        <f>"0611832179100"</f>
        <v>0611832179100</v>
      </c>
      <c r="B1957" t="str">
        <f>"LQ5311"</f>
        <v>LQ5311</v>
      </c>
      <c r="C1957" t="s">
        <v>31033</v>
      </c>
      <c r="D1957" t="s">
        <v>27245</v>
      </c>
      <c r="E1957" t="str">
        <f t="shared" si="30"/>
        <v>001390</v>
      </c>
      <c r="F1957" t="s">
        <v>27246</v>
      </c>
      <c r="G1957" t="s">
        <v>27247</v>
      </c>
      <c r="H1957" t="s">
        <v>27248</v>
      </c>
      <c r="I1957" t="s">
        <v>31034</v>
      </c>
      <c r="J1957" t="s">
        <v>3923</v>
      </c>
      <c r="L1957" t="s">
        <v>27250</v>
      </c>
      <c r="M1957" t="s">
        <v>27251</v>
      </c>
      <c r="N1957" t="s">
        <v>27252</v>
      </c>
      <c r="Q1957" s="1">
        <v>44538</v>
      </c>
      <c r="R1957" t="s">
        <v>27253</v>
      </c>
      <c r="S1957" t="s">
        <v>27254</v>
      </c>
      <c r="T1957" t="s">
        <v>27255</v>
      </c>
    </row>
    <row r="1958" spans="1:20" x14ac:dyDescent="0.3">
      <c r="A1958" t="str">
        <f>"0611832180100"</f>
        <v>0611832180100</v>
      </c>
      <c r="B1958" t="str">
        <f>"LQ5689"</f>
        <v>LQ5689</v>
      </c>
      <c r="C1958" t="s">
        <v>31035</v>
      </c>
      <c r="D1958" t="s">
        <v>27245</v>
      </c>
      <c r="E1958" t="str">
        <f t="shared" si="30"/>
        <v>001390</v>
      </c>
      <c r="F1958" t="s">
        <v>27246</v>
      </c>
      <c r="G1958" t="s">
        <v>27247</v>
      </c>
      <c r="H1958" t="s">
        <v>27248</v>
      </c>
      <c r="I1958" t="s">
        <v>31036</v>
      </c>
      <c r="J1958" t="s">
        <v>3925</v>
      </c>
      <c r="L1958" t="s">
        <v>27250</v>
      </c>
      <c r="M1958" t="s">
        <v>27251</v>
      </c>
      <c r="N1958" t="s">
        <v>27252</v>
      </c>
      <c r="Q1958" s="1">
        <v>44538</v>
      </c>
      <c r="R1958" t="s">
        <v>27253</v>
      </c>
      <c r="S1958" t="s">
        <v>27254</v>
      </c>
      <c r="T1958" t="s">
        <v>27255</v>
      </c>
    </row>
    <row r="1959" spans="1:20" x14ac:dyDescent="0.3">
      <c r="A1959" t="str">
        <f>"0611832181100"</f>
        <v>0611832181100</v>
      </c>
      <c r="B1959" t="str">
        <f>"LQ0424"</f>
        <v>LQ0424</v>
      </c>
      <c r="C1959" t="s">
        <v>31037</v>
      </c>
      <c r="D1959" t="s">
        <v>27245</v>
      </c>
      <c r="E1959" t="str">
        <f t="shared" si="30"/>
        <v>001390</v>
      </c>
      <c r="F1959" t="s">
        <v>27246</v>
      </c>
      <c r="G1959" t="s">
        <v>27247</v>
      </c>
      <c r="H1959" t="s">
        <v>27248</v>
      </c>
      <c r="I1959" t="s">
        <v>31038</v>
      </c>
      <c r="J1959" t="s">
        <v>3927</v>
      </c>
      <c r="L1959" t="s">
        <v>27250</v>
      </c>
      <c r="M1959" t="s">
        <v>27251</v>
      </c>
      <c r="N1959" t="s">
        <v>27252</v>
      </c>
      <c r="Q1959" s="1">
        <v>44538</v>
      </c>
      <c r="R1959" t="s">
        <v>27253</v>
      </c>
      <c r="S1959" t="s">
        <v>27254</v>
      </c>
      <c r="T1959" t="s">
        <v>27255</v>
      </c>
    </row>
    <row r="1960" spans="1:20" x14ac:dyDescent="0.3">
      <c r="A1960" t="str">
        <f>"0611832182100"</f>
        <v>0611832182100</v>
      </c>
      <c r="B1960" t="str">
        <f>"LQ5919"</f>
        <v>LQ5919</v>
      </c>
      <c r="C1960" t="s">
        <v>31039</v>
      </c>
      <c r="D1960" t="s">
        <v>27245</v>
      </c>
      <c r="E1960" t="str">
        <f t="shared" si="30"/>
        <v>001390</v>
      </c>
      <c r="F1960" t="s">
        <v>27246</v>
      </c>
      <c r="G1960" t="s">
        <v>27247</v>
      </c>
      <c r="H1960" t="s">
        <v>27248</v>
      </c>
      <c r="I1960" t="s">
        <v>31040</v>
      </c>
      <c r="J1960" t="s">
        <v>3929</v>
      </c>
      <c r="L1960" t="s">
        <v>27250</v>
      </c>
      <c r="M1960" t="s">
        <v>27251</v>
      </c>
      <c r="N1960" t="s">
        <v>27252</v>
      </c>
      <c r="Q1960" s="1">
        <v>44538</v>
      </c>
      <c r="R1960" t="s">
        <v>27253</v>
      </c>
      <c r="S1960" t="s">
        <v>27254</v>
      </c>
      <c r="T1960" t="s">
        <v>27255</v>
      </c>
    </row>
    <row r="1961" spans="1:20" x14ac:dyDescent="0.3">
      <c r="A1961" t="str">
        <f>"0611832184100"</f>
        <v>0611832184100</v>
      </c>
      <c r="B1961" t="str">
        <f>"LQ5692"</f>
        <v>LQ5692</v>
      </c>
      <c r="C1961" t="s">
        <v>31041</v>
      </c>
      <c r="D1961" t="s">
        <v>27245</v>
      </c>
      <c r="E1961" t="str">
        <f t="shared" si="30"/>
        <v>001390</v>
      </c>
      <c r="F1961" t="s">
        <v>27246</v>
      </c>
      <c r="G1961" t="s">
        <v>27247</v>
      </c>
      <c r="H1961" t="s">
        <v>27248</v>
      </c>
      <c r="I1961" t="s">
        <v>31042</v>
      </c>
      <c r="J1961" t="s">
        <v>3931</v>
      </c>
      <c r="L1961" t="s">
        <v>27250</v>
      </c>
      <c r="M1961" t="s">
        <v>27251</v>
      </c>
      <c r="N1961" t="s">
        <v>27252</v>
      </c>
      <c r="Q1961" s="1">
        <v>44538</v>
      </c>
      <c r="R1961" t="s">
        <v>27253</v>
      </c>
      <c r="S1961" t="s">
        <v>27254</v>
      </c>
      <c r="T1961" t="s">
        <v>27255</v>
      </c>
    </row>
    <row r="1962" spans="1:20" x14ac:dyDescent="0.3">
      <c r="A1962" t="str">
        <f>"0611832186100"</f>
        <v>0611832186100</v>
      </c>
      <c r="B1962" t="str">
        <f>"LQ5314"</f>
        <v>LQ5314</v>
      </c>
      <c r="C1962" t="s">
        <v>31043</v>
      </c>
      <c r="D1962" t="s">
        <v>27245</v>
      </c>
      <c r="E1962" t="str">
        <f t="shared" si="30"/>
        <v>001390</v>
      </c>
      <c r="F1962" t="s">
        <v>27246</v>
      </c>
      <c r="G1962" t="s">
        <v>27247</v>
      </c>
      <c r="H1962" t="s">
        <v>27248</v>
      </c>
      <c r="I1962" t="s">
        <v>31044</v>
      </c>
      <c r="J1962" t="s">
        <v>3933</v>
      </c>
      <c r="L1962" t="s">
        <v>27250</v>
      </c>
      <c r="M1962" t="s">
        <v>27251</v>
      </c>
      <c r="N1962" t="s">
        <v>27252</v>
      </c>
      <c r="Q1962" s="1">
        <v>44538</v>
      </c>
      <c r="R1962" t="s">
        <v>27253</v>
      </c>
      <c r="S1962" t="s">
        <v>27254</v>
      </c>
      <c r="T1962" t="s">
        <v>27255</v>
      </c>
    </row>
    <row r="1963" spans="1:20" x14ac:dyDescent="0.3">
      <c r="A1963" t="str">
        <f>"0611832187100"</f>
        <v>0611832187100</v>
      </c>
      <c r="B1963" t="str">
        <f>"LQ5444"</f>
        <v>LQ5444</v>
      </c>
      <c r="C1963" t="s">
        <v>31045</v>
      </c>
      <c r="D1963" t="s">
        <v>27245</v>
      </c>
      <c r="E1963" t="str">
        <f t="shared" si="30"/>
        <v>001390</v>
      </c>
      <c r="F1963" t="s">
        <v>27246</v>
      </c>
      <c r="G1963" t="s">
        <v>27247</v>
      </c>
      <c r="H1963" t="s">
        <v>27248</v>
      </c>
      <c r="I1963" t="s">
        <v>31046</v>
      </c>
      <c r="J1963" t="s">
        <v>3935</v>
      </c>
      <c r="L1963" t="s">
        <v>27250</v>
      </c>
      <c r="M1963" t="s">
        <v>27251</v>
      </c>
      <c r="N1963" t="s">
        <v>27252</v>
      </c>
      <c r="Q1963" s="1">
        <v>44538</v>
      </c>
      <c r="R1963" t="s">
        <v>27253</v>
      </c>
      <c r="S1963" t="s">
        <v>27254</v>
      </c>
      <c r="T1963" t="s">
        <v>27255</v>
      </c>
    </row>
    <row r="1964" spans="1:20" x14ac:dyDescent="0.3">
      <c r="A1964" t="str">
        <f>"0611832188100"</f>
        <v>0611832188100</v>
      </c>
      <c r="B1964" t="str">
        <f>"LQ6187"</f>
        <v>LQ6187</v>
      </c>
      <c r="C1964" t="s">
        <v>31047</v>
      </c>
      <c r="D1964" t="s">
        <v>27245</v>
      </c>
      <c r="E1964" t="str">
        <f t="shared" si="30"/>
        <v>001390</v>
      </c>
      <c r="F1964" t="s">
        <v>27246</v>
      </c>
      <c r="G1964" t="s">
        <v>27247</v>
      </c>
      <c r="H1964" t="s">
        <v>27248</v>
      </c>
      <c r="I1964" t="s">
        <v>31048</v>
      </c>
      <c r="J1964" t="s">
        <v>3937</v>
      </c>
      <c r="L1964" t="s">
        <v>27250</v>
      </c>
      <c r="M1964" t="s">
        <v>27251</v>
      </c>
      <c r="N1964" t="s">
        <v>27252</v>
      </c>
      <c r="Q1964" s="1">
        <v>44538</v>
      </c>
      <c r="R1964" t="s">
        <v>27253</v>
      </c>
      <c r="S1964" t="s">
        <v>27254</v>
      </c>
      <c r="T1964" t="s">
        <v>27255</v>
      </c>
    </row>
    <row r="1965" spans="1:20" x14ac:dyDescent="0.3">
      <c r="A1965" t="str">
        <f>"0611832189100"</f>
        <v>0611832189100</v>
      </c>
      <c r="B1965" t="str">
        <f>"LQ6188"</f>
        <v>LQ6188</v>
      </c>
      <c r="C1965" t="s">
        <v>31049</v>
      </c>
      <c r="D1965" t="s">
        <v>27245</v>
      </c>
      <c r="E1965" t="str">
        <f t="shared" si="30"/>
        <v>001390</v>
      </c>
      <c r="F1965" t="s">
        <v>27246</v>
      </c>
      <c r="G1965" t="s">
        <v>27247</v>
      </c>
      <c r="H1965" t="s">
        <v>27248</v>
      </c>
      <c r="I1965" t="s">
        <v>31050</v>
      </c>
      <c r="J1965" t="s">
        <v>3939</v>
      </c>
      <c r="L1965" t="s">
        <v>27250</v>
      </c>
      <c r="M1965" t="s">
        <v>27251</v>
      </c>
      <c r="N1965" t="s">
        <v>27252</v>
      </c>
      <c r="Q1965" s="1">
        <v>44538</v>
      </c>
      <c r="R1965" t="s">
        <v>27253</v>
      </c>
      <c r="S1965" t="s">
        <v>27254</v>
      </c>
      <c r="T1965" t="s">
        <v>27255</v>
      </c>
    </row>
    <row r="1966" spans="1:20" x14ac:dyDescent="0.3">
      <c r="A1966" t="str">
        <f>"0611832190100"</f>
        <v>0611832190100</v>
      </c>
      <c r="B1966" t="str">
        <f>"LQ6189"</f>
        <v>LQ6189</v>
      </c>
      <c r="C1966" t="s">
        <v>31051</v>
      </c>
      <c r="D1966" t="s">
        <v>27245</v>
      </c>
      <c r="E1966" t="str">
        <f t="shared" si="30"/>
        <v>001390</v>
      </c>
      <c r="F1966" t="s">
        <v>27246</v>
      </c>
      <c r="G1966" t="s">
        <v>27247</v>
      </c>
      <c r="H1966" t="s">
        <v>27248</v>
      </c>
      <c r="I1966" t="s">
        <v>31052</v>
      </c>
      <c r="J1966" t="s">
        <v>3941</v>
      </c>
      <c r="L1966" t="s">
        <v>27250</v>
      </c>
      <c r="M1966" t="s">
        <v>27251</v>
      </c>
      <c r="N1966" t="s">
        <v>27252</v>
      </c>
      <c r="Q1966" s="1">
        <v>44538</v>
      </c>
      <c r="R1966" t="s">
        <v>27253</v>
      </c>
      <c r="S1966" t="s">
        <v>27254</v>
      </c>
      <c r="T1966" t="s">
        <v>27255</v>
      </c>
    </row>
    <row r="1967" spans="1:20" x14ac:dyDescent="0.3">
      <c r="A1967" t="str">
        <f>"0611884079100"</f>
        <v>0611884079100</v>
      </c>
      <c r="B1967" t="str">
        <f>"LQ6292"</f>
        <v>LQ6292</v>
      </c>
      <c r="C1967" t="s">
        <v>31053</v>
      </c>
      <c r="D1967" t="s">
        <v>27245</v>
      </c>
      <c r="E1967" t="str">
        <f t="shared" si="30"/>
        <v>001390</v>
      </c>
      <c r="F1967" t="s">
        <v>27246</v>
      </c>
      <c r="G1967" t="s">
        <v>27247</v>
      </c>
      <c r="H1967" t="s">
        <v>27248</v>
      </c>
      <c r="I1967" t="s">
        <v>31054</v>
      </c>
      <c r="J1967" t="s">
        <v>3943</v>
      </c>
      <c r="L1967" t="s">
        <v>27430</v>
      </c>
      <c r="M1967" t="s">
        <v>27251</v>
      </c>
      <c r="N1967" t="s">
        <v>27252</v>
      </c>
      <c r="Q1967" s="1">
        <v>45250</v>
      </c>
      <c r="R1967" t="s">
        <v>27253</v>
      </c>
      <c r="S1967" t="s">
        <v>27254</v>
      </c>
      <c r="T1967" t="s">
        <v>27255</v>
      </c>
    </row>
    <row r="1968" spans="1:20" x14ac:dyDescent="0.3">
      <c r="A1968" t="str">
        <f>"0611884080100"</f>
        <v>0611884080100</v>
      </c>
      <c r="B1968" t="str">
        <f>"LK7128"</f>
        <v>LK7128</v>
      </c>
      <c r="C1968" t="s">
        <v>31055</v>
      </c>
      <c r="D1968" t="s">
        <v>27245</v>
      </c>
      <c r="E1968" t="str">
        <f t="shared" si="30"/>
        <v>001390</v>
      </c>
      <c r="F1968" t="s">
        <v>27246</v>
      </c>
      <c r="G1968" t="s">
        <v>27247</v>
      </c>
      <c r="H1968" t="s">
        <v>27248</v>
      </c>
      <c r="I1968" t="s">
        <v>31056</v>
      </c>
      <c r="J1968" t="s">
        <v>3945</v>
      </c>
      <c r="L1968" t="s">
        <v>27430</v>
      </c>
      <c r="M1968" t="s">
        <v>27251</v>
      </c>
      <c r="N1968" t="s">
        <v>27252</v>
      </c>
      <c r="Q1968" s="1">
        <v>45250</v>
      </c>
      <c r="R1968" t="s">
        <v>27253</v>
      </c>
      <c r="S1968" t="s">
        <v>27254</v>
      </c>
      <c r="T1968" t="s">
        <v>27255</v>
      </c>
    </row>
    <row r="1969" spans="1:20" x14ac:dyDescent="0.3">
      <c r="A1969" t="str">
        <f>"0611832191100"</f>
        <v>0611832191100</v>
      </c>
      <c r="B1969" t="str">
        <f>"LQ6190"</f>
        <v>LQ6190</v>
      </c>
      <c r="C1969" t="s">
        <v>31057</v>
      </c>
      <c r="D1969" t="s">
        <v>27245</v>
      </c>
      <c r="E1969" t="str">
        <f t="shared" si="30"/>
        <v>001390</v>
      </c>
      <c r="F1969" t="s">
        <v>27246</v>
      </c>
      <c r="G1969" t="s">
        <v>27247</v>
      </c>
      <c r="H1969" t="s">
        <v>27248</v>
      </c>
      <c r="I1969" t="s">
        <v>31058</v>
      </c>
      <c r="J1969" t="s">
        <v>3947</v>
      </c>
      <c r="L1969" t="s">
        <v>27250</v>
      </c>
      <c r="M1969" t="s">
        <v>27251</v>
      </c>
      <c r="N1969" t="s">
        <v>27252</v>
      </c>
      <c r="Q1969" s="1">
        <v>44538</v>
      </c>
      <c r="R1969" t="s">
        <v>27253</v>
      </c>
      <c r="S1969" t="s">
        <v>27254</v>
      </c>
      <c r="T1969" t="s">
        <v>27255</v>
      </c>
    </row>
    <row r="1970" spans="1:20" x14ac:dyDescent="0.3">
      <c r="A1970" t="str">
        <f>"0611832192025"</f>
        <v>0611832192025</v>
      </c>
      <c r="B1970" t="str">
        <f>"MC4089"</f>
        <v>MC4089</v>
      </c>
      <c r="C1970" t="s">
        <v>31059</v>
      </c>
      <c r="D1970" t="s">
        <v>27267</v>
      </c>
      <c r="E1970" t="str">
        <f t="shared" si="30"/>
        <v>001390</v>
      </c>
      <c r="F1970" t="s">
        <v>27246</v>
      </c>
      <c r="G1970" t="s">
        <v>27247</v>
      </c>
      <c r="H1970" t="s">
        <v>27248</v>
      </c>
      <c r="I1970" t="s">
        <v>31060</v>
      </c>
      <c r="J1970" t="s">
        <v>3949</v>
      </c>
      <c r="L1970" t="s">
        <v>27250</v>
      </c>
      <c r="M1970" t="s">
        <v>27251</v>
      </c>
      <c r="N1970" t="s">
        <v>27252</v>
      </c>
      <c r="Q1970" s="1">
        <v>44538</v>
      </c>
      <c r="R1970" t="s">
        <v>27253</v>
      </c>
      <c r="S1970" t="s">
        <v>27254</v>
      </c>
      <c r="T1970" t="s">
        <v>27269</v>
      </c>
    </row>
    <row r="1971" spans="1:20" x14ac:dyDescent="0.3">
      <c r="A1971" t="str">
        <f>"0611832193100"</f>
        <v>0611832193100</v>
      </c>
      <c r="B1971" t="str">
        <f>"LQ3797"</f>
        <v>LQ3797</v>
      </c>
      <c r="C1971" t="s">
        <v>31061</v>
      </c>
      <c r="D1971" t="s">
        <v>27245</v>
      </c>
      <c r="E1971" t="str">
        <f t="shared" si="30"/>
        <v>001390</v>
      </c>
      <c r="F1971" t="s">
        <v>27246</v>
      </c>
      <c r="G1971" t="s">
        <v>27247</v>
      </c>
      <c r="H1971" t="s">
        <v>27248</v>
      </c>
      <c r="I1971" t="s">
        <v>31062</v>
      </c>
      <c r="J1971" t="s">
        <v>3953</v>
      </c>
      <c r="L1971" t="s">
        <v>27250</v>
      </c>
      <c r="M1971" t="s">
        <v>27251</v>
      </c>
      <c r="N1971" t="s">
        <v>27252</v>
      </c>
      <c r="Q1971" s="1">
        <v>44538</v>
      </c>
      <c r="R1971" t="s">
        <v>27253</v>
      </c>
      <c r="S1971" t="s">
        <v>27254</v>
      </c>
      <c r="T1971" t="s">
        <v>27255</v>
      </c>
    </row>
    <row r="1972" spans="1:20" x14ac:dyDescent="0.3">
      <c r="A1972" t="str">
        <f>"0611860920050"</f>
        <v>0611860920050</v>
      </c>
      <c r="B1972" t="str">
        <f>"CR4932"</f>
        <v>CR4932</v>
      </c>
      <c r="C1972" t="s">
        <v>31063</v>
      </c>
      <c r="D1972" t="s">
        <v>27271</v>
      </c>
      <c r="E1972" t="str">
        <f t="shared" si="30"/>
        <v>001390</v>
      </c>
      <c r="F1972" t="s">
        <v>27246</v>
      </c>
      <c r="G1972" t="s">
        <v>27247</v>
      </c>
      <c r="H1972" t="s">
        <v>27248</v>
      </c>
      <c r="I1972" t="s">
        <v>31064</v>
      </c>
      <c r="J1972" t="s">
        <v>3955</v>
      </c>
      <c r="L1972" t="s">
        <v>27250</v>
      </c>
      <c r="M1972" t="s">
        <v>27251</v>
      </c>
      <c r="N1972" t="s">
        <v>27252</v>
      </c>
      <c r="P1972" t="s">
        <v>27341</v>
      </c>
      <c r="Q1972" s="1">
        <v>44846</v>
      </c>
      <c r="R1972" t="s">
        <v>27253</v>
      </c>
      <c r="S1972" t="s">
        <v>27254</v>
      </c>
      <c r="T1972" t="s">
        <v>27265</v>
      </c>
    </row>
    <row r="1973" spans="1:20" x14ac:dyDescent="0.3">
      <c r="A1973" t="str">
        <f>"0611860921050"</f>
        <v>0611860921050</v>
      </c>
      <c r="B1973" t="str">
        <f>"CR4933"</f>
        <v>CR4933</v>
      </c>
      <c r="C1973" t="s">
        <v>31065</v>
      </c>
      <c r="D1973" t="s">
        <v>27271</v>
      </c>
      <c r="E1973" t="str">
        <f t="shared" si="30"/>
        <v>001390</v>
      </c>
      <c r="F1973" t="s">
        <v>27246</v>
      </c>
      <c r="G1973" t="s">
        <v>27247</v>
      </c>
      <c r="H1973" t="s">
        <v>27248</v>
      </c>
      <c r="I1973" t="s">
        <v>31066</v>
      </c>
      <c r="J1973" t="s">
        <v>3957</v>
      </c>
      <c r="L1973" t="s">
        <v>27250</v>
      </c>
      <c r="M1973" t="s">
        <v>27251</v>
      </c>
      <c r="N1973" t="s">
        <v>27252</v>
      </c>
      <c r="P1973" t="s">
        <v>27341</v>
      </c>
      <c r="Q1973" s="1">
        <v>44846</v>
      </c>
      <c r="R1973" t="s">
        <v>27253</v>
      </c>
      <c r="S1973" t="s">
        <v>27254</v>
      </c>
      <c r="T1973" t="s">
        <v>27265</v>
      </c>
    </row>
    <row r="1974" spans="1:20" x14ac:dyDescent="0.3">
      <c r="A1974" t="str">
        <f>"0611860922050"</f>
        <v>0611860922050</v>
      </c>
      <c r="B1974" t="str">
        <f>"CR4934"</f>
        <v>CR4934</v>
      </c>
      <c r="C1974" t="s">
        <v>31067</v>
      </c>
      <c r="D1974" t="s">
        <v>27271</v>
      </c>
      <c r="E1974" t="str">
        <f t="shared" si="30"/>
        <v>001390</v>
      </c>
      <c r="F1974" t="s">
        <v>27246</v>
      </c>
      <c r="G1974" t="s">
        <v>27247</v>
      </c>
      <c r="H1974" t="s">
        <v>27248</v>
      </c>
      <c r="I1974" t="s">
        <v>31068</v>
      </c>
      <c r="J1974" t="s">
        <v>3959</v>
      </c>
      <c r="L1974" t="s">
        <v>27250</v>
      </c>
      <c r="M1974" t="s">
        <v>27251</v>
      </c>
      <c r="N1974" t="s">
        <v>27252</v>
      </c>
      <c r="P1974" t="s">
        <v>27341</v>
      </c>
      <c r="Q1974" s="1">
        <v>44846</v>
      </c>
      <c r="R1974" t="s">
        <v>27253</v>
      </c>
      <c r="S1974" t="s">
        <v>27254</v>
      </c>
      <c r="T1974" t="s">
        <v>27265</v>
      </c>
    </row>
    <row r="1975" spans="1:20" x14ac:dyDescent="0.3">
      <c r="A1975" t="str">
        <f>"0611860923050"</f>
        <v>0611860923050</v>
      </c>
      <c r="B1975" t="str">
        <f>"CR5158"</f>
        <v>CR5158</v>
      </c>
      <c r="C1975" t="s">
        <v>31069</v>
      </c>
      <c r="D1975" t="s">
        <v>27271</v>
      </c>
      <c r="E1975" t="str">
        <f t="shared" si="30"/>
        <v>001390</v>
      </c>
      <c r="F1975" t="s">
        <v>27246</v>
      </c>
      <c r="G1975" t="s">
        <v>27247</v>
      </c>
      <c r="H1975" t="s">
        <v>27248</v>
      </c>
      <c r="I1975" t="s">
        <v>31070</v>
      </c>
      <c r="J1975" t="s">
        <v>3961</v>
      </c>
      <c r="L1975" t="s">
        <v>27250</v>
      </c>
      <c r="M1975" t="s">
        <v>27251</v>
      </c>
      <c r="N1975" t="s">
        <v>27252</v>
      </c>
      <c r="P1975" t="s">
        <v>27341</v>
      </c>
      <c r="Q1975" s="1">
        <v>44846</v>
      </c>
      <c r="R1975" t="s">
        <v>27253</v>
      </c>
      <c r="S1975" t="s">
        <v>27254</v>
      </c>
      <c r="T1975" t="s">
        <v>27265</v>
      </c>
    </row>
    <row r="1976" spans="1:20" x14ac:dyDescent="0.3">
      <c r="A1976" t="str">
        <f>"0611860924050"</f>
        <v>0611860924050</v>
      </c>
      <c r="B1976" t="str">
        <f>"CR4935"</f>
        <v>CR4935</v>
      </c>
      <c r="C1976" t="s">
        <v>31071</v>
      </c>
      <c r="D1976" t="s">
        <v>27271</v>
      </c>
      <c r="E1976" t="str">
        <f t="shared" si="30"/>
        <v>001390</v>
      </c>
      <c r="F1976" t="s">
        <v>27246</v>
      </c>
      <c r="G1976" t="s">
        <v>27247</v>
      </c>
      <c r="H1976" t="s">
        <v>27248</v>
      </c>
      <c r="I1976" t="s">
        <v>31072</v>
      </c>
      <c r="J1976" t="s">
        <v>3963</v>
      </c>
      <c r="L1976" t="s">
        <v>27250</v>
      </c>
      <c r="M1976" t="s">
        <v>27251</v>
      </c>
      <c r="N1976" t="s">
        <v>27252</v>
      </c>
      <c r="P1976" t="s">
        <v>27341</v>
      </c>
      <c r="Q1976" s="1">
        <v>44846</v>
      </c>
      <c r="R1976" t="s">
        <v>27253</v>
      </c>
      <c r="S1976" t="s">
        <v>27254</v>
      </c>
      <c r="T1976" t="s">
        <v>27265</v>
      </c>
    </row>
    <row r="1977" spans="1:20" x14ac:dyDescent="0.3">
      <c r="A1977" t="str">
        <f>"0611860927050"</f>
        <v>0611860927050</v>
      </c>
      <c r="B1977" t="str">
        <f>"CR5159"</f>
        <v>CR5159</v>
      </c>
      <c r="C1977" t="s">
        <v>31073</v>
      </c>
      <c r="D1977" t="s">
        <v>27271</v>
      </c>
      <c r="E1977" t="str">
        <f t="shared" si="30"/>
        <v>001390</v>
      </c>
      <c r="F1977" t="s">
        <v>27246</v>
      </c>
      <c r="G1977" t="s">
        <v>27247</v>
      </c>
      <c r="H1977" t="s">
        <v>27248</v>
      </c>
      <c r="I1977" t="s">
        <v>31074</v>
      </c>
      <c r="J1977" t="s">
        <v>3969</v>
      </c>
      <c r="L1977" t="s">
        <v>27250</v>
      </c>
      <c r="M1977" t="s">
        <v>27251</v>
      </c>
      <c r="N1977" t="s">
        <v>27252</v>
      </c>
      <c r="P1977" t="s">
        <v>27341</v>
      </c>
      <c r="Q1977" s="1">
        <v>44846</v>
      </c>
      <c r="R1977" t="s">
        <v>27253</v>
      </c>
      <c r="S1977" t="s">
        <v>27254</v>
      </c>
      <c r="T1977" t="s">
        <v>27265</v>
      </c>
    </row>
    <row r="1978" spans="1:20" x14ac:dyDescent="0.3">
      <c r="A1978" t="str">
        <f>"0611860925050"</f>
        <v>0611860925050</v>
      </c>
      <c r="B1978" t="str">
        <f>"CR4936"</f>
        <v>CR4936</v>
      </c>
      <c r="C1978" t="s">
        <v>31075</v>
      </c>
      <c r="D1978" t="s">
        <v>27271</v>
      </c>
      <c r="E1978" t="str">
        <f t="shared" si="30"/>
        <v>001390</v>
      </c>
      <c r="F1978" t="s">
        <v>27246</v>
      </c>
      <c r="G1978" t="s">
        <v>27247</v>
      </c>
      <c r="H1978" t="s">
        <v>27248</v>
      </c>
      <c r="I1978" t="s">
        <v>31076</v>
      </c>
      <c r="J1978" t="s">
        <v>3965</v>
      </c>
      <c r="L1978" t="s">
        <v>27250</v>
      </c>
      <c r="M1978" t="s">
        <v>27251</v>
      </c>
      <c r="N1978" t="s">
        <v>27252</v>
      </c>
      <c r="P1978" t="s">
        <v>27341</v>
      </c>
      <c r="Q1978" s="1">
        <v>44846</v>
      </c>
      <c r="R1978" t="s">
        <v>27253</v>
      </c>
      <c r="S1978" t="s">
        <v>27254</v>
      </c>
      <c r="T1978" t="s">
        <v>27265</v>
      </c>
    </row>
    <row r="1979" spans="1:20" x14ac:dyDescent="0.3">
      <c r="A1979" t="str">
        <f>"0611860926050"</f>
        <v>0611860926050</v>
      </c>
      <c r="B1979" t="str">
        <f>"CR5160"</f>
        <v>CR5160</v>
      </c>
      <c r="C1979" t="s">
        <v>31077</v>
      </c>
      <c r="D1979" t="s">
        <v>27271</v>
      </c>
      <c r="E1979" t="str">
        <f t="shared" si="30"/>
        <v>001390</v>
      </c>
      <c r="F1979" t="s">
        <v>27246</v>
      </c>
      <c r="G1979" t="s">
        <v>27247</v>
      </c>
      <c r="H1979" t="s">
        <v>27248</v>
      </c>
      <c r="I1979" t="s">
        <v>31078</v>
      </c>
      <c r="J1979" t="s">
        <v>3967</v>
      </c>
      <c r="L1979" t="s">
        <v>27250</v>
      </c>
      <c r="M1979" t="s">
        <v>27251</v>
      </c>
      <c r="N1979" t="s">
        <v>27252</v>
      </c>
      <c r="P1979" t="s">
        <v>27341</v>
      </c>
      <c r="Q1979" s="1">
        <v>44846</v>
      </c>
      <c r="R1979" t="s">
        <v>27253</v>
      </c>
      <c r="S1979" t="s">
        <v>27254</v>
      </c>
      <c r="T1979" t="s">
        <v>27265</v>
      </c>
    </row>
    <row r="1980" spans="1:20" x14ac:dyDescent="0.3">
      <c r="A1980" t="str">
        <f>"0611860928050"</f>
        <v>0611860928050</v>
      </c>
      <c r="B1980" t="str">
        <f>"CR4937"</f>
        <v>CR4937</v>
      </c>
      <c r="C1980" t="s">
        <v>31079</v>
      </c>
      <c r="D1980" t="s">
        <v>27271</v>
      </c>
      <c r="E1980" t="str">
        <f t="shared" si="30"/>
        <v>001390</v>
      </c>
      <c r="F1980" t="s">
        <v>27246</v>
      </c>
      <c r="G1980" t="s">
        <v>27247</v>
      </c>
      <c r="H1980" t="s">
        <v>27248</v>
      </c>
      <c r="I1980" t="s">
        <v>31080</v>
      </c>
      <c r="J1980" t="s">
        <v>3971</v>
      </c>
      <c r="L1980" t="s">
        <v>27250</v>
      </c>
      <c r="M1980" t="s">
        <v>27251</v>
      </c>
      <c r="N1980" t="s">
        <v>27252</v>
      </c>
      <c r="P1980" t="s">
        <v>27341</v>
      </c>
      <c r="Q1980" s="1">
        <v>44846</v>
      </c>
      <c r="R1980" t="s">
        <v>27253</v>
      </c>
      <c r="S1980" t="s">
        <v>27254</v>
      </c>
      <c r="T1980" t="s">
        <v>27265</v>
      </c>
    </row>
    <row r="1981" spans="1:20" x14ac:dyDescent="0.3">
      <c r="A1981" t="str">
        <f>"0611860929050"</f>
        <v>0611860929050</v>
      </c>
      <c r="B1981" t="str">
        <f>"CR4938"</f>
        <v>CR4938</v>
      </c>
      <c r="C1981" t="s">
        <v>31081</v>
      </c>
      <c r="D1981" t="s">
        <v>27271</v>
      </c>
      <c r="E1981" t="str">
        <f t="shared" si="30"/>
        <v>001390</v>
      </c>
      <c r="F1981" t="s">
        <v>27246</v>
      </c>
      <c r="G1981" t="s">
        <v>27247</v>
      </c>
      <c r="H1981" t="s">
        <v>27248</v>
      </c>
      <c r="I1981" t="s">
        <v>31082</v>
      </c>
      <c r="J1981" t="s">
        <v>3973</v>
      </c>
      <c r="L1981" t="s">
        <v>27250</v>
      </c>
      <c r="M1981" t="s">
        <v>27251</v>
      </c>
      <c r="N1981" t="s">
        <v>27252</v>
      </c>
      <c r="P1981" t="s">
        <v>27341</v>
      </c>
      <c r="Q1981" s="1">
        <v>44846</v>
      </c>
      <c r="R1981" t="s">
        <v>27253</v>
      </c>
      <c r="S1981" t="s">
        <v>27254</v>
      </c>
      <c r="T1981" t="s">
        <v>27265</v>
      </c>
    </row>
    <row r="1982" spans="1:20" x14ac:dyDescent="0.3">
      <c r="A1982" t="str">
        <f>"0611832194100"</f>
        <v>0611832194100</v>
      </c>
      <c r="B1982" t="str">
        <f>"LQ3585"</f>
        <v>LQ3585</v>
      </c>
      <c r="C1982" t="s">
        <v>31083</v>
      </c>
      <c r="D1982" t="s">
        <v>27245</v>
      </c>
      <c r="E1982" t="str">
        <f t="shared" si="30"/>
        <v>001390</v>
      </c>
      <c r="F1982" t="s">
        <v>27246</v>
      </c>
      <c r="G1982" t="s">
        <v>27247</v>
      </c>
      <c r="H1982" t="s">
        <v>27248</v>
      </c>
      <c r="I1982" t="s">
        <v>31084</v>
      </c>
      <c r="J1982" t="s">
        <v>3975</v>
      </c>
      <c r="L1982" t="s">
        <v>27250</v>
      </c>
      <c r="M1982" t="s">
        <v>27251</v>
      </c>
      <c r="N1982" t="s">
        <v>27252</v>
      </c>
      <c r="Q1982" s="1">
        <v>44538</v>
      </c>
      <c r="R1982" t="s">
        <v>27253</v>
      </c>
      <c r="S1982" t="s">
        <v>27254</v>
      </c>
      <c r="T1982" t="s">
        <v>27255</v>
      </c>
    </row>
    <row r="1983" spans="1:20" x14ac:dyDescent="0.3">
      <c r="A1983" t="str">
        <f>"0611860930050"</f>
        <v>0611860930050</v>
      </c>
      <c r="B1983" t="str">
        <f>"CR3855"</f>
        <v>CR3855</v>
      </c>
      <c r="C1983" t="s">
        <v>31083</v>
      </c>
      <c r="D1983" t="s">
        <v>27263</v>
      </c>
      <c r="E1983" t="str">
        <f t="shared" si="30"/>
        <v>001390</v>
      </c>
      <c r="F1983" t="s">
        <v>27246</v>
      </c>
      <c r="G1983" t="s">
        <v>27247</v>
      </c>
      <c r="H1983" t="s">
        <v>27248</v>
      </c>
      <c r="I1983" t="s">
        <v>31085</v>
      </c>
      <c r="J1983" t="s">
        <v>3977</v>
      </c>
      <c r="L1983" t="s">
        <v>27250</v>
      </c>
      <c r="M1983" t="s">
        <v>27251</v>
      </c>
      <c r="N1983" t="s">
        <v>27252</v>
      </c>
      <c r="Q1983" s="1">
        <v>44846</v>
      </c>
      <c r="R1983" t="s">
        <v>27253</v>
      </c>
      <c r="S1983" t="s">
        <v>27254</v>
      </c>
      <c r="T1983" t="s">
        <v>27265</v>
      </c>
    </row>
    <row r="1984" spans="1:20" x14ac:dyDescent="0.3">
      <c r="A1984" t="str">
        <f>"0611860931050"</f>
        <v>0611860931050</v>
      </c>
      <c r="B1984" t="str">
        <f>"CR5021"</f>
        <v>CR5021</v>
      </c>
      <c r="C1984" t="s">
        <v>31086</v>
      </c>
      <c r="D1984" t="s">
        <v>27271</v>
      </c>
      <c r="E1984" t="str">
        <f t="shared" si="30"/>
        <v>001390</v>
      </c>
      <c r="F1984" t="s">
        <v>27246</v>
      </c>
      <c r="G1984" t="s">
        <v>27247</v>
      </c>
      <c r="H1984" t="s">
        <v>27248</v>
      </c>
      <c r="I1984" t="s">
        <v>31087</v>
      </c>
      <c r="J1984" t="s">
        <v>3979</v>
      </c>
      <c r="L1984" t="s">
        <v>27250</v>
      </c>
      <c r="M1984" t="s">
        <v>27251</v>
      </c>
      <c r="N1984" t="s">
        <v>27252</v>
      </c>
      <c r="P1984" t="s">
        <v>27341</v>
      </c>
      <c r="Q1984" s="1">
        <v>44846</v>
      </c>
      <c r="R1984" t="s">
        <v>27253</v>
      </c>
      <c r="S1984" t="s">
        <v>27254</v>
      </c>
      <c r="T1984" t="s">
        <v>27265</v>
      </c>
    </row>
    <row r="1985" spans="1:20" x14ac:dyDescent="0.3">
      <c r="A1985" t="str">
        <f>"0611860932050"</f>
        <v>0611860932050</v>
      </c>
      <c r="B1985" t="str">
        <f>"CR4795"</f>
        <v>CR4795</v>
      </c>
      <c r="C1985" t="s">
        <v>31088</v>
      </c>
      <c r="D1985" t="s">
        <v>27271</v>
      </c>
      <c r="E1985" t="str">
        <f t="shared" si="30"/>
        <v>001390</v>
      </c>
      <c r="F1985" t="s">
        <v>27246</v>
      </c>
      <c r="G1985" t="s">
        <v>27247</v>
      </c>
      <c r="H1985" t="s">
        <v>27248</v>
      </c>
      <c r="I1985" t="s">
        <v>31089</v>
      </c>
      <c r="J1985" t="s">
        <v>3983</v>
      </c>
      <c r="L1985" t="s">
        <v>27250</v>
      </c>
      <c r="M1985" t="s">
        <v>27251</v>
      </c>
      <c r="N1985" t="s">
        <v>27252</v>
      </c>
      <c r="P1985" t="s">
        <v>27341</v>
      </c>
      <c r="Q1985" s="1">
        <v>44846</v>
      </c>
      <c r="R1985" t="s">
        <v>27253</v>
      </c>
      <c r="S1985" t="s">
        <v>27254</v>
      </c>
      <c r="T1985" t="s">
        <v>27265</v>
      </c>
    </row>
    <row r="1986" spans="1:20" x14ac:dyDescent="0.3">
      <c r="A1986" t="str">
        <f>"0611860933050"</f>
        <v>0611860933050</v>
      </c>
      <c r="B1986" t="str">
        <f>"CR5161"</f>
        <v>CR5161</v>
      </c>
      <c r="C1986" t="s">
        <v>31090</v>
      </c>
      <c r="D1986" t="s">
        <v>27271</v>
      </c>
      <c r="E1986" t="str">
        <f t="shared" ref="E1986:E2049" si="31">"001390"</f>
        <v>001390</v>
      </c>
      <c r="F1986" t="s">
        <v>27246</v>
      </c>
      <c r="G1986" t="s">
        <v>27247</v>
      </c>
      <c r="H1986" t="s">
        <v>27248</v>
      </c>
      <c r="I1986" t="s">
        <v>31091</v>
      </c>
      <c r="J1986" t="s">
        <v>3985</v>
      </c>
      <c r="L1986" t="s">
        <v>27250</v>
      </c>
      <c r="M1986" t="s">
        <v>27251</v>
      </c>
      <c r="N1986" t="s">
        <v>27252</v>
      </c>
      <c r="P1986" t="s">
        <v>27341</v>
      </c>
      <c r="Q1986" s="1">
        <v>44846</v>
      </c>
      <c r="R1986" t="s">
        <v>27253</v>
      </c>
      <c r="S1986" t="s">
        <v>27254</v>
      </c>
      <c r="T1986" t="s">
        <v>27265</v>
      </c>
    </row>
    <row r="1987" spans="1:20" x14ac:dyDescent="0.3">
      <c r="A1987" t="str">
        <f>"0611860934050"</f>
        <v>0611860934050</v>
      </c>
      <c r="B1987" t="str">
        <f>"CR5162"</f>
        <v>CR5162</v>
      </c>
      <c r="C1987" t="s">
        <v>31092</v>
      </c>
      <c r="D1987" t="s">
        <v>27271</v>
      </c>
      <c r="E1987" t="str">
        <f t="shared" si="31"/>
        <v>001390</v>
      </c>
      <c r="F1987" t="s">
        <v>27246</v>
      </c>
      <c r="G1987" t="s">
        <v>27247</v>
      </c>
      <c r="H1987" t="s">
        <v>27248</v>
      </c>
      <c r="I1987" t="s">
        <v>31093</v>
      </c>
      <c r="J1987" t="s">
        <v>3987</v>
      </c>
      <c r="L1987" t="s">
        <v>27250</v>
      </c>
      <c r="M1987" t="s">
        <v>27251</v>
      </c>
      <c r="N1987" t="s">
        <v>27252</v>
      </c>
      <c r="P1987" t="s">
        <v>27341</v>
      </c>
      <c r="Q1987" s="1">
        <v>44846</v>
      </c>
      <c r="R1987" t="s">
        <v>27253</v>
      </c>
      <c r="S1987" t="s">
        <v>27254</v>
      </c>
      <c r="T1987" t="s">
        <v>27265</v>
      </c>
    </row>
    <row r="1988" spans="1:20" x14ac:dyDescent="0.3">
      <c r="A1988" t="str">
        <f>"0611860935050"</f>
        <v>0611860935050</v>
      </c>
      <c r="B1988" t="str">
        <f>"CR4794"</f>
        <v>CR4794</v>
      </c>
      <c r="C1988" t="s">
        <v>31094</v>
      </c>
      <c r="D1988" t="s">
        <v>27271</v>
      </c>
      <c r="E1988" t="str">
        <f t="shared" si="31"/>
        <v>001390</v>
      </c>
      <c r="F1988" t="s">
        <v>27246</v>
      </c>
      <c r="G1988" t="s">
        <v>27247</v>
      </c>
      <c r="H1988" t="s">
        <v>27248</v>
      </c>
      <c r="I1988" t="s">
        <v>31095</v>
      </c>
      <c r="J1988" t="s">
        <v>3989</v>
      </c>
      <c r="L1988" t="s">
        <v>27250</v>
      </c>
      <c r="M1988" t="s">
        <v>27251</v>
      </c>
      <c r="N1988" t="s">
        <v>27252</v>
      </c>
      <c r="P1988" t="s">
        <v>27341</v>
      </c>
      <c r="Q1988" s="1">
        <v>44846</v>
      </c>
      <c r="R1988" t="s">
        <v>27253</v>
      </c>
      <c r="S1988" t="s">
        <v>27254</v>
      </c>
      <c r="T1988" t="s">
        <v>27265</v>
      </c>
    </row>
    <row r="1989" spans="1:20" x14ac:dyDescent="0.3">
      <c r="A1989" t="str">
        <f>"0611860936050"</f>
        <v>0611860936050</v>
      </c>
      <c r="B1989" t="str">
        <f>"CR4793"</f>
        <v>CR4793</v>
      </c>
      <c r="C1989" t="s">
        <v>31096</v>
      </c>
      <c r="D1989" t="s">
        <v>27271</v>
      </c>
      <c r="E1989" t="str">
        <f t="shared" si="31"/>
        <v>001390</v>
      </c>
      <c r="F1989" t="s">
        <v>27246</v>
      </c>
      <c r="G1989" t="s">
        <v>27247</v>
      </c>
      <c r="H1989" t="s">
        <v>27248</v>
      </c>
      <c r="I1989" t="s">
        <v>31097</v>
      </c>
      <c r="J1989" t="s">
        <v>3993</v>
      </c>
      <c r="L1989" t="s">
        <v>27250</v>
      </c>
      <c r="M1989" t="s">
        <v>27251</v>
      </c>
      <c r="N1989" t="s">
        <v>27252</v>
      </c>
      <c r="P1989" t="s">
        <v>27341</v>
      </c>
      <c r="Q1989" s="1">
        <v>44846</v>
      </c>
      <c r="R1989" t="s">
        <v>27253</v>
      </c>
      <c r="S1989" t="s">
        <v>27254</v>
      </c>
      <c r="T1989" t="s">
        <v>27265</v>
      </c>
    </row>
    <row r="1990" spans="1:20" x14ac:dyDescent="0.3">
      <c r="A1990" t="str">
        <f>"0611884081050"</f>
        <v>0611884081050</v>
      </c>
      <c r="B1990" t="str">
        <f>"CR5320"</f>
        <v>CR5320</v>
      </c>
      <c r="C1990" t="s">
        <v>31098</v>
      </c>
      <c r="D1990" t="s">
        <v>27271</v>
      </c>
      <c r="E1990" t="str">
        <f t="shared" si="31"/>
        <v>001390</v>
      </c>
      <c r="F1990" t="s">
        <v>27246</v>
      </c>
      <c r="G1990" t="s">
        <v>27247</v>
      </c>
      <c r="H1990" t="s">
        <v>27248</v>
      </c>
      <c r="I1990" t="s">
        <v>31099</v>
      </c>
      <c r="J1990" t="s">
        <v>3981</v>
      </c>
      <c r="L1990" t="s">
        <v>27430</v>
      </c>
      <c r="M1990" t="s">
        <v>27251</v>
      </c>
      <c r="N1990" t="s">
        <v>27252</v>
      </c>
      <c r="P1990" t="s">
        <v>27341</v>
      </c>
      <c r="Q1990" s="1">
        <v>45250</v>
      </c>
      <c r="R1990" t="s">
        <v>27253</v>
      </c>
      <c r="S1990" t="s">
        <v>27254</v>
      </c>
      <c r="T1990" t="s">
        <v>27265</v>
      </c>
    </row>
    <row r="1991" spans="1:20" x14ac:dyDescent="0.3">
      <c r="A1991" t="str">
        <f>"0611884082050"</f>
        <v>0611884082050</v>
      </c>
      <c r="B1991" t="str">
        <f>"CR5316"</f>
        <v>CR5316</v>
      </c>
      <c r="C1991" t="s">
        <v>31100</v>
      </c>
      <c r="D1991" t="s">
        <v>27271</v>
      </c>
      <c r="E1991" t="str">
        <f t="shared" si="31"/>
        <v>001390</v>
      </c>
      <c r="F1991" t="s">
        <v>27246</v>
      </c>
      <c r="G1991" t="s">
        <v>27247</v>
      </c>
      <c r="H1991" t="s">
        <v>27248</v>
      </c>
      <c r="I1991" t="s">
        <v>31101</v>
      </c>
      <c r="J1991" t="s">
        <v>3991</v>
      </c>
      <c r="L1991" t="s">
        <v>27430</v>
      </c>
      <c r="M1991" t="s">
        <v>27251</v>
      </c>
      <c r="N1991" t="s">
        <v>27252</v>
      </c>
      <c r="P1991" t="s">
        <v>27341</v>
      </c>
      <c r="Q1991" s="1">
        <v>45250</v>
      </c>
      <c r="R1991" t="s">
        <v>27253</v>
      </c>
      <c r="S1991" t="s">
        <v>27254</v>
      </c>
      <c r="T1991" t="s">
        <v>27265</v>
      </c>
    </row>
    <row r="1992" spans="1:20" x14ac:dyDescent="0.3">
      <c r="A1992" t="str">
        <f>"0611832196100"</f>
        <v>0611832196100</v>
      </c>
      <c r="B1992" t="str">
        <f>"LQ3798"</f>
        <v>LQ3798</v>
      </c>
      <c r="C1992" t="s">
        <v>31102</v>
      </c>
      <c r="D1992" t="s">
        <v>27245</v>
      </c>
      <c r="E1992" t="str">
        <f t="shared" si="31"/>
        <v>001390</v>
      </c>
      <c r="F1992" t="s">
        <v>27246</v>
      </c>
      <c r="G1992" t="s">
        <v>27247</v>
      </c>
      <c r="H1992" t="s">
        <v>27248</v>
      </c>
      <c r="I1992" t="s">
        <v>31103</v>
      </c>
      <c r="J1992" t="s">
        <v>3995</v>
      </c>
      <c r="L1992" t="s">
        <v>27250</v>
      </c>
      <c r="M1992" t="s">
        <v>27251</v>
      </c>
      <c r="N1992" t="s">
        <v>27252</v>
      </c>
      <c r="Q1992" s="1">
        <v>44538</v>
      </c>
      <c r="R1992" t="s">
        <v>27253</v>
      </c>
      <c r="S1992" t="s">
        <v>27254</v>
      </c>
      <c r="T1992" t="s">
        <v>27255</v>
      </c>
    </row>
    <row r="1993" spans="1:20" x14ac:dyDescent="0.3">
      <c r="A1993" t="str">
        <f>"0611832197100"</f>
        <v>0611832197100</v>
      </c>
      <c r="B1993" t="str">
        <f>"LQ3449"</f>
        <v>LQ3449</v>
      </c>
      <c r="C1993" t="s">
        <v>31104</v>
      </c>
      <c r="D1993" t="s">
        <v>27245</v>
      </c>
      <c r="E1993" t="str">
        <f t="shared" si="31"/>
        <v>001390</v>
      </c>
      <c r="F1993" t="s">
        <v>27246</v>
      </c>
      <c r="G1993" t="s">
        <v>27247</v>
      </c>
      <c r="H1993" t="s">
        <v>27248</v>
      </c>
      <c r="I1993" t="s">
        <v>31105</v>
      </c>
      <c r="J1993" t="s">
        <v>3997</v>
      </c>
      <c r="L1993" t="s">
        <v>27250</v>
      </c>
      <c r="M1993" t="s">
        <v>27251</v>
      </c>
      <c r="N1993" t="s">
        <v>27252</v>
      </c>
      <c r="Q1993" s="1">
        <v>44538</v>
      </c>
      <c r="R1993" t="s">
        <v>27253</v>
      </c>
      <c r="S1993" t="s">
        <v>27254</v>
      </c>
      <c r="T1993" t="s">
        <v>27255</v>
      </c>
    </row>
    <row r="1994" spans="1:20" x14ac:dyDescent="0.3">
      <c r="A1994" t="str">
        <f>"0611832198100"</f>
        <v>0611832198100</v>
      </c>
      <c r="B1994" t="str">
        <f>"LQ3450"</f>
        <v>LQ3450</v>
      </c>
      <c r="C1994" t="s">
        <v>31106</v>
      </c>
      <c r="D1994" t="s">
        <v>27245</v>
      </c>
      <c r="E1994" t="str">
        <f t="shared" si="31"/>
        <v>001390</v>
      </c>
      <c r="F1994" t="s">
        <v>27246</v>
      </c>
      <c r="G1994" t="s">
        <v>27247</v>
      </c>
      <c r="H1994" t="s">
        <v>27248</v>
      </c>
      <c r="I1994" t="s">
        <v>31107</v>
      </c>
      <c r="J1994" t="s">
        <v>3999</v>
      </c>
      <c r="L1994" t="s">
        <v>27250</v>
      </c>
      <c r="M1994" t="s">
        <v>27251</v>
      </c>
      <c r="N1994" t="s">
        <v>27252</v>
      </c>
      <c r="Q1994" s="1">
        <v>44538</v>
      </c>
      <c r="R1994" t="s">
        <v>27253</v>
      </c>
      <c r="S1994" t="s">
        <v>27254</v>
      </c>
      <c r="T1994" t="s">
        <v>27255</v>
      </c>
    </row>
    <row r="1995" spans="1:20" x14ac:dyDescent="0.3">
      <c r="A1995" t="str">
        <f>"0611832199100"</f>
        <v>0611832199100</v>
      </c>
      <c r="B1995" t="str">
        <f>"LQ3451"</f>
        <v>LQ3451</v>
      </c>
      <c r="C1995" t="s">
        <v>31108</v>
      </c>
      <c r="D1995" t="s">
        <v>27245</v>
      </c>
      <c r="E1995" t="str">
        <f t="shared" si="31"/>
        <v>001390</v>
      </c>
      <c r="F1995" t="s">
        <v>27246</v>
      </c>
      <c r="G1995" t="s">
        <v>27247</v>
      </c>
      <c r="H1995" t="s">
        <v>27248</v>
      </c>
      <c r="I1995" t="s">
        <v>31109</v>
      </c>
      <c r="J1995" t="s">
        <v>4001</v>
      </c>
      <c r="L1995" t="s">
        <v>27250</v>
      </c>
      <c r="M1995" t="s">
        <v>27251</v>
      </c>
      <c r="N1995" t="s">
        <v>27252</v>
      </c>
      <c r="Q1995" s="1">
        <v>44538</v>
      </c>
      <c r="R1995" t="s">
        <v>27253</v>
      </c>
      <c r="S1995" t="s">
        <v>27254</v>
      </c>
      <c r="T1995" t="s">
        <v>27255</v>
      </c>
    </row>
    <row r="1996" spans="1:20" x14ac:dyDescent="0.3">
      <c r="A1996" t="str">
        <f>"0611832200100"</f>
        <v>0611832200100</v>
      </c>
      <c r="B1996" t="str">
        <f>"LQ3452"</f>
        <v>LQ3452</v>
      </c>
      <c r="C1996" t="s">
        <v>31110</v>
      </c>
      <c r="D1996" t="s">
        <v>27245</v>
      </c>
      <c r="E1996" t="str">
        <f t="shared" si="31"/>
        <v>001390</v>
      </c>
      <c r="F1996" t="s">
        <v>27246</v>
      </c>
      <c r="G1996" t="s">
        <v>27247</v>
      </c>
      <c r="H1996" t="s">
        <v>27248</v>
      </c>
      <c r="I1996" t="s">
        <v>31111</v>
      </c>
      <c r="J1996" t="s">
        <v>4003</v>
      </c>
      <c r="L1996" t="s">
        <v>27250</v>
      </c>
      <c r="M1996" t="s">
        <v>27251</v>
      </c>
      <c r="N1996" t="s">
        <v>27252</v>
      </c>
      <c r="Q1996" s="1">
        <v>44538</v>
      </c>
      <c r="R1996" t="s">
        <v>27253</v>
      </c>
      <c r="S1996" t="s">
        <v>27254</v>
      </c>
      <c r="T1996" t="s">
        <v>27255</v>
      </c>
    </row>
    <row r="1997" spans="1:20" x14ac:dyDescent="0.3">
      <c r="A1997" t="str">
        <f>"0611832201100"</f>
        <v>0611832201100</v>
      </c>
      <c r="B1997" t="str">
        <f>"LQ3453"</f>
        <v>LQ3453</v>
      </c>
      <c r="C1997" t="s">
        <v>31112</v>
      </c>
      <c r="D1997" t="s">
        <v>27245</v>
      </c>
      <c r="E1997" t="str">
        <f t="shared" si="31"/>
        <v>001390</v>
      </c>
      <c r="F1997" t="s">
        <v>27246</v>
      </c>
      <c r="G1997" t="s">
        <v>27247</v>
      </c>
      <c r="H1997" t="s">
        <v>27248</v>
      </c>
      <c r="I1997" t="s">
        <v>31113</v>
      </c>
      <c r="J1997" t="s">
        <v>4005</v>
      </c>
      <c r="L1997" t="s">
        <v>27250</v>
      </c>
      <c r="M1997" t="s">
        <v>27251</v>
      </c>
      <c r="N1997" t="s">
        <v>27252</v>
      </c>
      <c r="Q1997" s="1">
        <v>44538</v>
      </c>
      <c r="R1997" t="s">
        <v>27253</v>
      </c>
      <c r="S1997" t="s">
        <v>27254</v>
      </c>
      <c r="T1997" t="s">
        <v>27255</v>
      </c>
    </row>
    <row r="1998" spans="1:20" x14ac:dyDescent="0.3">
      <c r="A1998" t="str">
        <f>"0611832202100"</f>
        <v>0611832202100</v>
      </c>
      <c r="B1998" t="str">
        <f>"LQ3455"</f>
        <v>LQ3455</v>
      </c>
      <c r="C1998" t="s">
        <v>31114</v>
      </c>
      <c r="D1998" t="s">
        <v>27245</v>
      </c>
      <c r="E1998" t="str">
        <f t="shared" si="31"/>
        <v>001390</v>
      </c>
      <c r="F1998" t="s">
        <v>27246</v>
      </c>
      <c r="G1998" t="s">
        <v>27247</v>
      </c>
      <c r="H1998" t="s">
        <v>27248</v>
      </c>
      <c r="I1998" t="s">
        <v>31115</v>
      </c>
      <c r="J1998" t="s">
        <v>4007</v>
      </c>
      <c r="L1998" t="s">
        <v>27250</v>
      </c>
      <c r="M1998" t="s">
        <v>27251</v>
      </c>
      <c r="N1998" t="s">
        <v>27252</v>
      </c>
      <c r="Q1998" s="1">
        <v>44538</v>
      </c>
      <c r="R1998" t="s">
        <v>27253</v>
      </c>
      <c r="S1998" t="s">
        <v>27254</v>
      </c>
      <c r="T1998" t="s">
        <v>27255</v>
      </c>
    </row>
    <row r="1999" spans="1:20" x14ac:dyDescent="0.3">
      <c r="A1999" t="str">
        <f>"0611832203100"</f>
        <v>0611832203100</v>
      </c>
      <c r="B1999" t="str">
        <f>"LQ3457"</f>
        <v>LQ3457</v>
      </c>
      <c r="C1999" t="s">
        <v>31116</v>
      </c>
      <c r="D1999" t="s">
        <v>27245</v>
      </c>
      <c r="E1999" t="str">
        <f t="shared" si="31"/>
        <v>001390</v>
      </c>
      <c r="F1999" t="s">
        <v>27246</v>
      </c>
      <c r="G1999" t="s">
        <v>27247</v>
      </c>
      <c r="H1999" t="s">
        <v>27248</v>
      </c>
      <c r="I1999" t="s">
        <v>31117</v>
      </c>
      <c r="J1999" t="s">
        <v>4009</v>
      </c>
      <c r="L1999" t="s">
        <v>27250</v>
      </c>
      <c r="M1999" t="s">
        <v>27251</v>
      </c>
      <c r="N1999" t="s">
        <v>27252</v>
      </c>
      <c r="Q1999" s="1">
        <v>44538</v>
      </c>
      <c r="R1999" t="s">
        <v>27253</v>
      </c>
      <c r="S1999" t="s">
        <v>27254</v>
      </c>
      <c r="T1999" t="s">
        <v>27255</v>
      </c>
    </row>
    <row r="2000" spans="1:20" x14ac:dyDescent="0.3">
      <c r="A2000" t="str">
        <f>"0611832204100"</f>
        <v>0611832204100</v>
      </c>
      <c r="B2000" t="str">
        <f>"LQ3799"</f>
        <v>LQ3799</v>
      </c>
      <c r="C2000" t="s">
        <v>31118</v>
      </c>
      <c r="D2000" t="s">
        <v>27245</v>
      </c>
      <c r="E2000" t="str">
        <f t="shared" si="31"/>
        <v>001390</v>
      </c>
      <c r="F2000" t="s">
        <v>27246</v>
      </c>
      <c r="G2000" t="s">
        <v>27247</v>
      </c>
      <c r="H2000" t="s">
        <v>27248</v>
      </c>
      <c r="I2000" t="s">
        <v>31119</v>
      </c>
      <c r="J2000" t="s">
        <v>4011</v>
      </c>
      <c r="L2000" t="s">
        <v>27250</v>
      </c>
      <c r="M2000" t="s">
        <v>27251</v>
      </c>
      <c r="N2000" t="s">
        <v>27252</v>
      </c>
      <c r="Q2000" s="1">
        <v>44538</v>
      </c>
      <c r="R2000" t="s">
        <v>27253</v>
      </c>
      <c r="S2000" t="s">
        <v>27254</v>
      </c>
      <c r="T2000" t="s">
        <v>27255</v>
      </c>
    </row>
    <row r="2001" spans="1:20" x14ac:dyDescent="0.3">
      <c r="A2001" t="str">
        <f>"0611832205100"</f>
        <v>0611832205100</v>
      </c>
      <c r="B2001" t="str">
        <f>"LQ3458"</f>
        <v>LQ3458</v>
      </c>
      <c r="C2001" t="s">
        <v>31120</v>
      </c>
      <c r="D2001" t="s">
        <v>27245</v>
      </c>
      <c r="E2001" t="str">
        <f t="shared" si="31"/>
        <v>001390</v>
      </c>
      <c r="F2001" t="s">
        <v>27246</v>
      </c>
      <c r="G2001" t="s">
        <v>27247</v>
      </c>
      <c r="H2001" t="s">
        <v>27248</v>
      </c>
      <c r="I2001" t="s">
        <v>31121</v>
      </c>
      <c r="J2001" t="s">
        <v>4013</v>
      </c>
      <c r="L2001" t="s">
        <v>27250</v>
      </c>
      <c r="M2001" t="s">
        <v>27251</v>
      </c>
      <c r="N2001" t="s">
        <v>27252</v>
      </c>
      <c r="Q2001" s="1">
        <v>44538</v>
      </c>
      <c r="R2001" t="s">
        <v>27253</v>
      </c>
      <c r="S2001" t="s">
        <v>27254</v>
      </c>
      <c r="T2001" t="s">
        <v>27255</v>
      </c>
    </row>
    <row r="2002" spans="1:20" x14ac:dyDescent="0.3">
      <c r="A2002" t="str">
        <f>"0611832206100"</f>
        <v>0611832206100</v>
      </c>
      <c r="B2002" t="str">
        <f>"LQ3459"</f>
        <v>LQ3459</v>
      </c>
      <c r="C2002" t="s">
        <v>31122</v>
      </c>
      <c r="D2002" t="s">
        <v>27245</v>
      </c>
      <c r="E2002" t="str">
        <f t="shared" si="31"/>
        <v>001390</v>
      </c>
      <c r="F2002" t="s">
        <v>27246</v>
      </c>
      <c r="G2002" t="s">
        <v>27247</v>
      </c>
      <c r="H2002" t="s">
        <v>27248</v>
      </c>
      <c r="I2002" t="s">
        <v>31123</v>
      </c>
      <c r="J2002" t="s">
        <v>4015</v>
      </c>
      <c r="L2002" t="s">
        <v>27250</v>
      </c>
      <c r="M2002" t="s">
        <v>27251</v>
      </c>
      <c r="N2002" t="s">
        <v>27252</v>
      </c>
      <c r="Q2002" s="1">
        <v>44538</v>
      </c>
      <c r="R2002" t="s">
        <v>27253</v>
      </c>
      <c r="S2002" t="s">
        <v>27254</v>
      </c>
      <c r="T2002" t="s">
        <v>27255</v>
      </c>
    </row>
    <row r="2003" spans="1:20" x14ac:dyDescent="0.3">
      <c r="A2003" t="str">
        <f>"0611860937050"</f>
        <v>0611860937050</v>
      </c>
      <c r="B2003" t="str">
        <f>"CR3072"</f>
        <v>CR3072</v>
      </c>
      <c r="C2003" t="s">
        <v>31124</v>
      </c>
      <c r="D2003" t="s">
        <v>27271</v>
      </c>
      <c r="E2003" t="str">
        <f t="shared" si="31"/>
        <v>001390</v>
      </c>
      <c r="F2003" t="s">
        <v>27246</v>
      </c>
      <c r="G2003" t="s">
        <v>27247</v>
      </c>
      <c r="H2003" t="s">
        <v>27248</v>
      </c>
      <c r="I2003" t="s">
        <v>31125</v>
      </c>
      <c r="J2003" t="s">
        <v>4017</v>
      </c>
      <c r="L2003" t="s">
        <v>27250</v>
      </c>
      <c r="M2003" t="s">
        <v>27251</v>
      </c>
      <c r="N2003" t="s">
        <v>27252</v>
      </c>
      <c r="P2003" t="s">
        <v>27341</v>
      </c>
      <c r="Q2003" s="1">
        <v>44846</v>
      </c>
      <c r="R2003" t="s">
        <v>27253</v>
      </c>
      <c r="S2003" t="s">
        <v>27254</v>
      </c>
      <c r="T2003" t="s">
        <v>27265</v>
      </c>
    </row>
    <row r="2004" spans="1:20" x14ac:dyDescent="0.3">
      <c r="A2004" t="str">
        <f>"0611860938050"</f>
        <v>0611860938050</v>
      </c>
      <c r="B2004" t="str">
        <f>"CR3073"</f>
        <v>CR3073</v>
      </c>
      <c r="C2004" t="s">
        <v>31126</v>
      </c>
      <c r="D2004" t="s">
        <v>27271</v>
      </c>
      <c r="E2004" t="str">
        <f t="shared" si="31"/>
        <v>001390</v>
      </c>
      <c r="F2004" t="s">
        <v>27246</v>
      </c>
      <c r="G2004" t="s">
        <v>27247</v>
      </c>
      <c r="H2004" t="s">
        <v>27248</v>
      </c>
      <c r="I2004" t="s">
        <v>31127</v>
      </c>
      <c r="J2004" t="s">
        <v>4019</v>
      </c>
      <c r="L2004" t="s">
        <v>27250</v>
      </c>
      <c r="M2004" t="s">
        <v>27251</v>
      </c>
      <c r="N2004" t="s">
        <v>27252</v>
      </c>
      <c r="P2004" t="s">
        <v>27341</v>
      </c>
      <c r="Q2004" s="1">
        <v>44846</v>
      </c>
      <c r="R2004" t="s">
        <v>27253</v>
      </c>
      <c r="S2004" t="s">
        <v>27254</v>
      </c>
      <c r="T2004" t="s">
        <v>27265</v>
      </c>
    </row>
    <row r="2005" spans="1:20" x14ac:dyDescent="0.3">
      <c r="A2005" t="str">
        <f>"0611860919050"</f>
        <v>0611860919050</v>
      </c>
      <c r="B2005" t="str">
        <f>"CR2625"</f>
        <v>CR2625</v>
      </c>
      <c r="C2005" t="s">
        <v>31128</v>
      </c>
      <c r="D2005" t="s">
        <v>27271</v>
      </c>
      <c r="E2005" t="str">
        <f t="shared" si="31"/>
        <v>001390</v>
      </c>
      <c r="F2005" t="s">
        <v>27246</v>
      </c>
      <c r="G2005" t="s">
        <v>27247</v>
      </c>
      <c r="H2005" t="s">
        <v>27248</v>
      </c>
      <c r="I2005" t="s">
        <v>31129</v>
      </c>
      <c r="J2005" t="s">
        <v>3951</v>
      </c>
      <c r="L2005" t="s">
        <v>27250</v>
      </c>
      <c r="M2005" t="s">
        <v>27251</v>
      </c>
      <c r="N2005" t="s">
        <v>27252</v>
      </c>
      <c r="P2005" t="s">
        <v>27341</v>
      </c>
      <c r="Q2005" s="1">
        <v>44846</v>
      </c>
      <c r="R2005" t="s">
        <v>27253</v>
      </c>
      <c r="S2005" t="s">
        <v>27254</v>
      </c>
      <c r="T2005" t="s">
        <v>27265</v>
      </c>
    </row>
    <row r="2006" spans="1:20" x14ac:dyDescent="0.3">
      <c r="A2006" t="str">
        <f>"0611860939050"</f>
        <v>0611860939050</v>
      </c>
      <c r="B2006" t="str">
        <f>"CR2105"</f>
        <v>CR2105</v>
      </c>
      <c r="C2006" t="s">
        <v>31130</v>
      </c>
      <c r="D2006" t="s">
        <v>27271</v>
      </c>
      <c r="E2006" t="str">
        <f t="shared" si="31"/>
        <v>001390</v>
      </c>
      <c r="F2006" t="s">
        <v>27246</v>
      </c>
      <c r="G2006" t="s">
        <v>27247</v>
      </c>
      <c r="H2006" t="s">
        <v>27248</v>
      </c>
      <c r="I2006" t="s">
        <v>31131</v>
      </c>
      <c r="J2006" t="s">
        <v>4021</v>
      </c>
      <c r="L2006" t="s">
        <v>27250</v>
      </c>
      <c r="M2006" t="s">
        <v>27251</v>
      </c>
      <c r="N2006" t="s">
        <v>27252</v>
      </c>
      <c r="P2006" t="s">
        <v>27341</v>
      </c>
      <c r="Q2006" s="1">
        <v>44846</v>
      </c>
      <c r="R2006" t="s">
        <v>27253</v>
      </c>
      <c r="S2006" t="s">
        <v>27254</v>
      </c>
      <c r="T2006" t="s">
        <v>27265</v>
      </c>
    </row>
    <row r="2007" spans="1:20" x14ac:dyDescent="0.3">
      <c r="A2007" t="str">
        <f>"0611860940050"</f>
        <v>0611860940050</v>
      </c>
      <c r="B2007" t="str">
        <f>"CR3698"</f>
        <v>CR3698</v>
      </c>
      <c r="C2007" t="s">
        <v>31132</v>
      </c>
      <c r="D2007" t="s">
        <v>28376</v>
      </c>
      <c r="E2007" t="str">
        <f t="shared" si="31"/>
        <v>001390</v>
      </c>
      <c r="F2007" t="s">
        <v>27246</v>
      </c>
      <c r="G2007" t="s">
        <v>27247</v>
      </c>
      <c r="H2007" t="s">
        <v>27248</v>
      </c>
      <c r="I2007" t="s">
        <v>31133</v>
      </c>
      <c r="J2007" t="s">
        <v>4023</v>
      </c>
      <c r="L2007" t="s">
        <v>27250</v>
      </c>
      <c r="M2007" t="s">
        <v>27251</v>
      </c>
      <c r="N2007" t="s">
        <v>27252</v>
      </c>
      <c r="P2007" t="s">
        <v>27341</v>
      </c>
      <c r="Q2007" s="1">
        <v>44846</v>
      </c>
      <c r="R2007" t="s">
        <v>27253</v>
      </c>
      <c r="S2007" t="s">
        <v>27254</v>
      </c>
      <c r="T2007" t="s">
        <v>28378</v>
      </c>
    </row>
    <row r="2008" spans="1:20" x14ac:dyDescent="0.3">
      <c r="A2008" t="str">
        <f>"0611860941050"</f>
        <v>0611860941050</v>
      </c>
      <c r="B2008" t="str">
        <f>"CR3074"</f>
        <v>CR3074</v>
      </c>
      <c r="C2008" t="s">
        <v>31134</v>
      </c>
      <c r="D2008" t="s">
        <v>27271</v>
      </c>
      <c r="E2008" t="str">
        <f t="shared" si="31"/>
        <v>001390</v>
      </c>
      <c r="F2008" t="s">
        <v>27246</v>
      </c>
      <c r="G2008" t="s">
        <v>27247</v>
      </c>
      <c r="H2008" t="s">
        <v>27248</v>
      </c>
      <c r="I2008" t="s">
        <v>31135</v>
      </c>
      <c r="J2008" t="s">
        <v>4025</v>
      </c>
      <c r="L2008" t="s">
        <v>27250</v>
      </c>
      <c r="M2008" t="s">
        <v>27251</v>
      </c>
      <c r="N2008" t="s">
        <v>27252</v>
      </c>
      <c r="P2008" t="s">
        <v>27341</v>
      </c>
      <c r="Q2008" s="1">
        <v>44846</v>
      </c>
      <c r="R2008" t="s">
        <v>27253</v>
      </c>
      <c r="S2008" t="s">
        <v>27254</v>
      </c>
      <c r="T2008" t="s">
        <v>27265</v>
      </c>
    </row>
    <row r="2009" spans="1:20" x14ac:dyDescent="0.3">
      <c r="A2009" t="str">
        <f>"0611832209100"</f>
        <v>0611832209100</v>
      </c>
      <c r="B2009" t="str">
        <f>"MB1115"</f>
        <v>MB1115</v>
      </c>
      <c r="C2009" t="s">
        <v>31136</v>
      </c>
      <c r="D2009" t="s">
        <v>27274</v>
      </c>
      <c r="E2009" t="str">
        <f t="shared" si="31"/>
        <v>001390</v>
      </c>
      <c r="F2009" t="s">
        <v>27246</v>
      </c>
      <c r="G2009" t="s">
        <v>27247</v>
      </c>
      <c r="H2009" t="s">
        <v>27248</v>
      </c>
      <c r="I2009" t="s">
        <v>31137</v>
      </c>
      <c r="J2009" t="s">
        <v>4027</v>
      </c>
      <c r="L2009" t="s">
        <v>27250</v>
      </c>
      <c r="M2009" t="s">
        <v>27251</v>
      </c>
      <c r="N2009" t="s">
        <v>27252</v>
      </c>
      <c r="Q2009" s="1">
        <v>44538</v>
      </c>
      <c r="R2009" t="s">
        <v>27253</v>
      </c>
      <c r="S2009" t="s">
        <v>27254</v>
      </c>
      <c r="T2009" t="s">
        <v>27276</v>
      </c>
    </row>
    <row r="2010" spans="1:20" x14ac:dyDescent="0.3">
      <c r="A2010" t="str">
        <f>"0611832226100"</f>
        <v>0611832226100</v>
      </c>
      <c r="B2010" t="str">
        <f>"LF1115"</f>
        <v>LF1115</v>
      </c>
      <c r="C2010" t="s">
        <v>31136</v>
      </c>
      <c r="D2010" t="s">
        <v>27245</v>
      </c>
      <c r="E2010" t="str">
        <f t="shared" si="31"/>
        <v>001390</v>
      </c>
      <c r="F2010" t="s">
        <v>27246</v>
      </c>
      <c r="G2010" t="s">
        <v>27247</v>
      </c>
      <c r="H2010" t="s">
        <v>27248</v>
      </c>
      <c r="I2010" t="s">
        <v>31138</v>
      </c>
      <c r="J2010" t="s">
        <v>4029</v>
      </c>
      <c r="L2010" t="s">
        <v>27250</v>
      </c>
      <c r="M2010" t="s">
        <v>27251</v>
      </c>
      <c r="N2010" t="s">
        <v>27252</v>
      </c>
      <c r="Q2010" s="1">
        <v>44538</v>
      </c>
      <c r="R2010" t="s">
        <v>27253</v>
      </c>
      <c r="S2010" t="s">
        <v>27254</v>
      </c>
      <c r="T2010" t="s">
        <v>27255</v>
      </c>
    </row>
    <row r="2011" spans="1:20" x14ac:dyDescent="0.3">
      <c r="A2011" t="str">
        <f>"0611832225100"</f>
        <v>0611832225100</v>
      </c>
      <c r="B2011" t="str">
        <f>"LF0032"</f>
        <v>LF0032</v>
      </c>
      <c r="C2011" t="s">
        <v>31139</v>
      </c>
      <c r="D2011" t="s">
        <v>27245</v>
      </c>
      <c r="E2011" t="str">
        <f t="shared" si="31"/>
        <v>001390</v>
      </c>
      <c r="F2011" t="s">
        <v>27246</v>
      </c>
      <c r="G2011" t="s">
        <v>27247</v>
      </c>
      <c r="H2011" t="s">
        <v>27248</v>
      </c>
      <c r="I2011" t="s">
        <v>31140</v>
      </c>
      <c r="J2011" t="s">
        <v>4031</v>
      </c>
      <c r="L2011" t="s">
        <v>27250</v>
      </c>
      <c r="M2011" t="s">
        <v>27251</v>
      </c>
      <c r="N2011" t="s">
        <v>27252</v>
      </c>
      <c r="Q2011" s="1">
        <v>44538</v>
      </c>
      <c r="R2011" t="s">
        <v>27253</v>
      </c>
      <c r="S2011" t="s">
        <v>27254</v>
      </c>
      <c r="T2011" t="s">
        <v>27255</v>
      </c>
    </row>
    <row r="2012" spans="1:20" x14ac:dyDescent="0.3">
      <c r="A2012" t="str">
        <f>"0611832228100"</f>
        <v>0611832228100</v>
      </c>
      <c r="B2012" t="str">
        <f>"LK6898"</f>
        <v>LK6898</v>
      </c>
      <c r="C2012" t="s">
        <v>31141</v>
      </c>
      <c r="D2012" t="s">
        <v>27245</v>
      </c>
      <c r="E2012" t="str">
        <f t="shared" si="31"/>
        <v>001390</v>
      </c>
      <c r="F2012" t="s">
        <v>27246</v>
      </c>
      <c r="G2012" t="s">
        <v>27247</v>
      </c>
      <c r="H2012" t="s">
        <v>27248</v>
      </c>
      <c r="I2012" t="s">
        <v>31142</v>
      </c>
      <c r="J2012" t="s">
        <v>4033</v>
      </c>
      <c r="L2012" t="s">
        <v>27250</v>
      </c>
      <c r="M2012" t="s">
        <v>27251</v>
      </c>
      <c r="N2012" t="s">
        <v>27252</v>
      </c>
      <c r="Q2012" s="1">
        <v>44538</v>
      </c>
      <c r="R2012" t="s">
        <v>27253</v>
      </c>
      <c r="S2012" t="s">
        <v>27254</v>
      </c>
      <c r="T2012" t="s">
        <v>27255</v>
      </c>
    </row>
    <row r="2013" spans="1:20" x14ac:dyDescent="0.3">
      <c r="A2013" t="str">
        <f>"0611832229100"</f>
        <v>0611832229100</v>
      </c>
      <c r="B2013" t="str">
        <f>"LK4791"</f>
        <v>LK4791</v>
      </c>
      <c r="C2013" t="s">
        <v>31143</v>
      </c>
      <c r="D2013" t="s">
        <v>27245</v>
      </c>
      <c r="E2013" t="str">
        <f t="shared" si="31"/>
        <v>001390</v>
      </c>
      <c r="F2013" t="s">
        <v>27246</v>
      </c>
      <c r="G2013" t="s">
        <v>27247</v>
      </c>
      <c r="H2013" t="s">
        <v>27248</v>
      </c>
      <c r="I2013" t="s">
        <v>31144</v>
      </c>
      <c r="J2013" t="s">
        <v>4035</v>
      </c>
      <c r="L2013" t="s">
        <v>27250</v>
      </c>
      <c r="M2013" t="s">
        <v>27251</v>
      </c>
      <c r="N2013" t="s">
        <v>27252</v>
      </c>
      <c r="Q2013" s="1">
        <v>44538</v>
      </c>
      <c r="R2013" t="s">
        <v>27253</v>
      </c>
      <c r="S2013" t="s">
        <v>27254</v>
      </c>
      <c r="T2013" t="s">
        <v>27255</v>
      </c>
    </row>
    <row r="2014" spans="1:20" x14ac:dyDescent="0.3">
      <c r="A2014" t="str">
        <f>"0611861080050"</f>
        <v>0611861080050</v>
      </c>
      <c r="B2014" t="str">
        <f>"CE1301"</f>
        <v>CE1301</v>
      </c>
      <c r="C2014" t="s">
        <v>31145</v>
      </c>
      <c r="D2014" t="s">
        <v>27923</v>
      </c>
      <c r="E2014" t="str">
        <f t="shared" si="31"/>
        <v>001390</v>
      </c>
      <c r="F2014" t="s">
        <v>27246</v>
      </c>
      <c r="G2014" t="s">
        <v>27247</v>
      </c>
      <c r="H2014" t="s">
        <v>27248</v>
      </c>
      <c r="I2014" t="s">
        <v>31146</v>
      </c>
      <c r="J2014" t="s">
        <v>4037</v>
      </c>
      <c r="L2014" t="s">
        <v>27250</v>
      </c>
      <c r="M2014" t="s">
        <v>27251</v>
      </c>
      <c r="N2014" t="s">
        <v>27252</v>
      </c>
      <c r="P2014" t="s">
        <v>27925</v>
      </c>
      <c r="Q2014" s="1">
        <v>44846</v>
      </c>
      <c r="R2014" t="s">
        <v>27253</v>
      </c>
      <c r="S2014" t="s">
        <v>27254</v>
      </c>
      <c r="T2014" t="s">
        <v>27265</v>
      </c>
    </row>
    <row r="2015" spans="1:20" x14ac:dyDescent="0.3">
      <c r="A2015" t="str">
        <f>"0611861081050"</f>
        <v>0611861081050</v>
      </c>
      <c r="B2015" t="str">
        <f>"CE0968"</f>
        <v>CE0968</v>
      </c>
      <c r="C2015" t="s">
        <v>31147</v>
      </c>
      <c r="D2015" t="s">
        <v>27263</v>
      </c>
      <c r="E2015" t="str">
        <f t="shared" si="31"/>
        <v>001390</v>
      </c>
      <c r="F2015" t="s">
        <v>27246</v>
      </c>
      <c r="G2015" t="s">
        <v>27247</v>
      </c>
      <c r="H2015" t="s">
        <v>27248</v>
      </c>
      <c r="I2015" t="s">
        <v>31148</v>
      </c>
      <c r="J2015" t="s">
        <v>4039</v>
      </c>
      <c r="L2015" t="s">
        <v>27250</v>
      </c>
      <c r="M2015" t="s">
        <v>27251</v>
      </c>
      <c r="N2015" t="s">
        <v>27252</v>
      </c>
      <c r="Q2015" s="1">
        <v>44846</v>
      </c>
      <c r="R2015" t="s">
        <v>27253</v>
      </c>
      <c r="S2015" t="s">
        <v>27254</v>
      </c>
      <c r="T2015" t="s">
        <v>27265</v>
      </c>
    </row>
    <row r="2016" spans="1:20" x14ac:dyDescent="0.3">
      <c r="A2016" t="str">
        <f>"0611832237025"</f>
        <v>0611832237025</v>
      </c>
      <c r="B2016" t="str">
        <f>"MC1521"</f>
        <v>MC1521</v>
      </c>
      <c r="C2016" t="s">
        <v>31149</v>
      </c>
      <c r="D2016" t="s">
        <v>27267</v>
      </c>
      <c r="E2016" t="str">
        <f t="shared" si="31"/>
        <v>001390</v>
      </c>
      <c r="F2016" t="s">
        <v>27246</v>
      </c>
      <c r="G2016" t="s">
        <v>27247</v>
      </c>
      <c r="H2016" t="s">
        <v>27248</v>
      </c>
      <c r="I2016" t="s">
        <v>31150</v>
      </c>
      <c r="J2016" t="s">
        <v>4041</v>
      </c>
      <c r="L2016" t="s">
        <v>27250</v>
      </c>
      <c r="M2016" t="s">
        <v>27251</v>
      </c>
      <c r="N2016" t="s">
        <v>27252</v>
      </c>
      <c r="Q2016" s="1">
        <v>44538</v>
      </c>
      <c r="R2016" t="s">
        <v>27253</v>
      </c>
      <c r="S2016" t="s">
        <v>27254</v>
      </c>
      <c r="T2016" t="s">
        <v>27269</v>
      </c>
    </row>
    <row r="2017" spans="1:20" x14ac:dyDescent="0.3">
      <c r="A2017" t="str">
        <f>"0611832238025"</f>
        <v>0611832238025</v>
      </c>
      <c r="B2017" t="str">
        <f>"MC0162"</f>
        <v>MC0162</v>
      </c>
      <c r="C2017" t="s">
        <v>31151</v>
      </c>
      <c r="D2017" t="s">
        <v>27267</v>
      </c>
      <c r="E2017" t="str">
        <f t="shared" si="31"/>
        <v>001390</v>
      </c>
      <c r="F2017" t="s">
        <v>27246</v>
      </c>
      <c r="G2017" t="s">
        <v>27247</v>
      </c>
      <c r="H2017" t="s">
        <v>27248</v>
      </c>
      <c r="I2017" t="s">
        <v>31152</v>
      </c>
      <c r="J2017" t="s">
        <v>4043</v>
      </c>
      <c r="L2017" t="s">
        <v>27250</v>
      </c>
      <c r="M2017" t="s">
        <v>27251</v>
      </c>
      <c r="N2017" t="s">
        <v>27252</v>
      </c>
      <c r="Q2017" s="1">
        <v>44538</v>
      </c>
      <c r="R2017" t="s">
        <v>27253</v>
      </c>
      <c r="S2017" t="s">
        <v>27254</v>
      </c>
      <c r="T2017" t="s">
        <v>27269</v>
      </c>
    </row>
    <row r="2018" spans="1:20" x14ac:dyDescent="0.3">
      <c r="A2018" t="str">
        <f>"0611832239100"</f>
        <v>0611832239100</v>
      </c>
      <c r="B2018" t="str">
        <f>"LH1536"</f>
        <v>LH1536</v>
      </c>
      <c r="C2018" t="s">
        <v>31153</v>
      </c>
      <c r="D2018" t="s">
        <v>27245</v>
      </c>
      <c r="E2018" t="str">
        <f t="shared" si="31"/>
        <v>001390</v>
      </c>
      <c r="F2018" t="s">
        <v>27246</v>
      </c>
      <c r="G2018" t="s">
        <v>27247</v>
      </c>
      <c r="H2018" t="s">
        <v>27248</v>
      </c>
      <c r="I2018" t="s">
        <v>31154</v>
      </c>
      <c r="J2018" t="s">
        <v>4045</v>
      </c>
      <c r="L2018" t="s">
        <v>27250</v>
      </c>
      <c r="M2018" t="s">
        <v>27251</v>
      </c>
      <c r="N2018" t="s">
        <v>27252</v>
      </c>
      <c r="Q2018" s="1">
        <v>44538</v>
      </c>
      <c r="R2018" t="s">
        <v>27253</v>
      </c>
      <c r="S2018" t="s">
        <v>27254</v>
      </c>
      <c r="T2018" t="s">
        <v>27255</v>
      </c>
    </row>
    <row r="2019" spans="1:20" x14ac:dyDescent="0.3">
      <c r="A2019" t="str">
        <f>"0611832240025"</f>
        <v>0611832240025</v>
      </c>
      <c r="B2019" t="str">
        <f>"MC0159"</f>
        <v>MC0159</v>
      </c>
      <c r="C2019" t="s">
        <v>31153</v>
      </c>
      <c r="D2019" t="s">
        <v>27267</v>
      </c>
      <c r="E2019" t="str">
        <f t="shared" si="31"/>
        <v>001390</v>
      </c>
      <c r="F2019" t="s">
        <v>27246</v>
      </c>
      <c r="G2019" t="s">
        <v>27247</v>
      </c>
      <c r="H2019" t="s">
        <v>27248</v>
      </c>
      <c r="I2019" t="s">
        <v>31155</v>
      </c>
      <c r="J2019" t="s">
        <v>4047</v>
      </c>
      <c r="L2019" t="s">
        <v>27250</v>
      </c>
      <c r="M2019" t="s">
        <v>27251</v>
      </c>
      <c r="N2019" t="s">
        <v>27252</v>
      </c>
      <c r="Q2019" s="1">
        <v>44538</v>
      </c>
      <c r="R2019" t="s">
        <v>27253</v>
      </c>
      <c r="S2019" t="s">
        <v>27254</v>
      </c>
      <c r="T2019" t="s">
        <v>27269</v>
      </c>
    </row>
    <row r="2020" spans="1:20" x14ac:dyDescent="0.3">
      <c r="A2020" t="str">
        <f>"0611832243100"</f>
        <v>0611832243100</v>
      </c>
      <c r="B2020" t="str">
        <f>"LG0025"</f>
        <v>LG0025</v>
      </c>
      <c r="C2020" t="s">
        <v>31156</v>
      </c>
      <c r="D2020" t="s">
        <v>27245</v>
      </c>
      <c r="E2020" t="str">
        <f t="shared" si="31"/>
        <v>001390</v>
      </c>
      <c r="F2020" t="s">
        <v>27246</v>
      </c>
      <c r="G2020" t="s">
        <v>27247</v>
      </c>
      <c r="H2020" t="s">
        <v>27248</v>
      </c>
      <c r="I2020" t="s">
        <v>31157</v>
      </c>
      <c r="J2020" t="s">
        <v>4049</v>
      </c>
      <c r="L2020" t="s">
        <v>27250</v>
      </c>
      <c r="M2020" t="s">
        <v>27251</v>
      </c>
      <c r="N2020" t="s">
        <v>27252</v>
      </c>
      <c r="Q2020" s="1">
        <v>44538</v>
      </c>
      <c r="R2020" t="s">
        <v>27253</v>
      </c>
      <c r="S2020" t="s">
        <v>27254</v>
      </c>
      <c r="T2020" t="s">
        <v>27255</v>
      </c>
    </row>
    <row r="2021" spans="1:20" x14ac:dyDescent="0.3">
      <c r="A2021" t="str">
        <f>"0611832244100"</f>
        <v>0611832244100</v>
      </c>
      <c r="B2021" t="str">
        <f>"LK6686"</f>
        <v>LK6686</v>
      </c>
      <c r="C2021" t="s">
        <v>31158</v>
      </c>
      <c r="D2021" t="s">
        <v>27245</v>
      </c>
      <c r="E2021" t="str">
        <f t="shared" si="31"/>
        <v>001390</v>
      </c>
      <c r="F2021" t="s">
        <v>27246</v>
      </c>
      <c r="G2021" t="s">
        <v>27247</v>
      </c>
      <c r="H2021" t="s">
        <v>27248</v>
      </c>
      <c r="I2021" t="s">
        <v>31159</v>
      </c>
      <c r="J2021" t="s">
        <v>4051</v>
      </c>
      <c r="L2021" t="s">
        <v>27250</v>
      </c>
      <c r="M2021" t="s">
        <v>27251</v>
      </c>
      <c r="N2021" t="s">
        <v>27252</v>
      </c>
      <c r="Q2021" s="1">
        <v>44538</v>
      </c>
      <c r="R2021" t="s">
        <v>27253</v>
      </c>
      <c r="S2021" t="s">
        <v>27254</v>
      </c>
      <c r="T2021" t="s">
        <v>27255</v>
      </c>
    </row>
    <row r="2022" spans="1:20" x14ac:dyDescent="0.3">
      <c r="A2022" t="str">
        <f>"0611832245025"</f>
        <v>0611832245025</v>
      </c>
      <c r="B2022" t="str">
        <f>"MQ0614"</f>
        <v>MQ0614</v>
      </c>
      <c r="C2022" t="s">
        <v>31160</v>
      </c>
      <c r="D2022" t="s">
        <v>28057</v>
      </c>
      <c r="E2022" t="str">
        <f t="shared" si="31"/>
        <v>001390</v>
      </c>
      <c r="F2022" t="s">
        <v>27246</v>
      </c>
      <c r="G2022" t="s">
        <v>27247</v>
      </c>
      <c r="H2022" t="s">
        <v>27248</v>
      </c>
      <c r="I2022" t="s">
        <v>31161</v>
      </c>
      <c r="J2022" t="s">
        <v>4053</v>
      </c>
      <c r="L2022" t="s">
        <v>27250</v>
      </c>
      <c r="M2022" t="s">
        <v>27251</v>
      </c>
      <c r="N2022" t="s">
        <v>27252</v>
      </c>
      <c r="P2022" t="s">
        <v>27925</v>
      </c>
      <c r="Q2022" s="1">
        <v>44538</v>
      </c>
      <c r="R2022" t="s">
        <v>27253</v>
      </c>
      <c r="S2022" t="s">
        <v>27254</v>
      </c>
      <c r="T2022" t="s">
        <v>27269</v>
      </c>
    </row>
    <row r="2023" spans="1:20" x14ac:dyDescent="0.3">
      <c r="A2023" t="str">
        <f>"0611832246025"</f>
        <v>0611832246025</v>
      </c>
      <c r="B2023" t="str">
        <f>"MC4380"</f>
        <v>MC4380</v>
      </c>
      <c r="C2023" t="s">
        <v>31162</v>
      </c>
      <c r="D2023" t="s">
        <v>28057</v>
      </c>
      <c r="E2023" t="str">
        <f t="shared" si="31"/>
        <v>001390</v>
      </c>
      <c r="F2023" t="s">
        <v>27246</v>
      </c>
      <c r="G2023" t="s">
        <v>27247</v>
      </c>
      <c r="H2023" t="s">
        <v>27248</v>
      </c>
      <c r="I2023" t="s">
        <v>31163</v>
      </c>
      <c r="J2023" t="s">
        <v>4055</v>
      </c>
      <c r="L2023" t="s">
        <v>27250</v>
      </c>
      <c r="M2023" t="s">
        <v>27251</v>
      </c>
      <c r="N2023" t="s">
        <v>27252</v>
      </c>
      <c r="P2023" t="s">
        <v>27925</v>
      </c>
      <c r="Q2023" s="1">
        <v>44538</v>
      </c>
      <c r="R2023" t="s">
        <v>27253</v>
      </c>
      <c r="S2023" t="s">
        <v>27254</v>
      </c>
      <c r="T2023" t="s">
        <v>27269</v>
      </c>
    </row>
    <row r="2024" spans="1:20" x14ac:dyDescent="0.3">
      <c r="A2024" t="str">
        <f>"0611832247025"</f>
        <v>0611832247025</v>
      </c>
      <c r="B2024" t="str">
        <f>"MC3695"</f>
        <v>MC3695</v>
      </c>
      <c r="C2024" t="s">
        <v>31164</v>
      </c>
      <c r="D2024" t="s">
        <v>27267</v>
      </c>
      <c r="E2024" t="str">
        <f t="shared" si="31"/>
        <v>001390</v>
      </c>
      <c r="F2024" t="s">
        <v>27246</v>
      </c>
      <c r="G2024" t="s">
        <v>27247</v>
      </c>
      <c r="H2024" t="s">
        <v>27248</v>
      </c>
      <c r="I2024" t="s">
        <v>31165</v>
      </c>
      <c r="J2024" t="s">
        <v>4057</v>
      </c>
      <c r="L2024" t="s">
        <v>27250</v>
      </c>
      <c r="M2024" t="s">
        <v>27251</v>
      </c>
      <c r="N2024" t="s">
        <v>27252</v>
      </c>
      <c r="Q2024" s="1">
        <v>44538</v>
      </c>
      <c r="R2024" t="s">
        <v>27253</v>
      </c>
      <c r="S2024" t="s">
        <v>27254</v>
      </c>
      <c r="T2024" t="s">
        <v>27269</v>
      </c>
    </row>
    <row r="2025" spans="1:20" x14ac:dyDescent="0.3">
      <c r="A2025" t="str">
        <f>"0611832249100"</f>
        <v>0611832249100</v>
      </c>
      <c r="B2025" t="str">
        <f>"LH1534"</f>
        <v>LH1534</v>
      </c>
      <c r="C2025" t="s">
        <v>31166</v>
      </c>
      <c r="D2025" t="s">
        <v>27245</v>
      </c>
      <c r="E2025" t="str">
        <f t="shared" si="31"/>
        <v>001390</v>
      </c>
      <c r="F2025" t="s">
        <v>27246</v>
      </c>
      <c r="G2025" t="s">
        <v>27247</v>
      </c>
      <c r="H2025" t="s">
        <v>27248</v>
      </c>
      <c r="I2025" t="s">
        <v>31167</v>
      </c>
      <c r="J2025" t="s">
        <v>4059</v>
      </c>
      <c r="L2025" t="s">
        <v>27250</v>
      </c>
      <c r="M2025" t="s">
        <v>27251</v>
      </c>
      <c r="N2025" t="s">
        <v>27252</v>
      </c>
      <c r="Q2025" s="1">
        <v>44538</v>
      </c>
      <c r="R2025" t="s">
        <v>27253</v>
      </c>
      <c r="S2025" t="s">
        <v>27254</v>
      </c>
      <c r="T2025" t="s">
        <v>27255</v>
      </c>
    </row>
    <row r="2026" spans="1:20" x14ac:dyDescent="0.3">
      <c r="A2026" t="str">
        <f>"0611832250025"</f>
        <v>0611832250025</v>
      </c>
      <c r="B2026" t="str">
        <f>"MC0154"</f>
        <v>MC0154</v>
      </c>
      <c r="C2026" t="s">
        <v>31166</v>
      </c>
      <c r="D2026" t="s">
        <v>27267</v>
      </c>
      <c r="E2026" t="str">
        <f t="shared" si="31"/>
        <v>001390</v>
      </c>
      <c r="F2026" t="s">
        <v>27246</v>
      </c>
      <c r="G2026" t="s">
        <v>27247</v>
      </c>
      <c r="H2026" t="s">
        <v>27248</v>
      </c>
      <c r="I2026" t="s">
        <v>31168</v>
      </c>
      <c r="J2026" t="s">
        <v>4061</v>
      </c>
      <c r="L2026" t="s">
        <v>27250</v>
      </c>
      <c r="M2026" t="s">
        <v>27251</v>
      </c>
      <c r="N2026" t="s">
        <v>27252</v>
      </c>
      <c r="Q2026" s="1">
        <v>44538</v>
      </c>
      <c r="R2026" t="s">
        <v>27253</v>
      </c>
      <c r="S2026" t="s">
        <v>27254</v>
      </c>
      <c r="T2026" t="s">
        <v>27269</v>
      </c>
    </row>
    <row r="2027" spans="1:20" x14ac:dyDescent="0.3">
      <c r="A2027" t="str">
        <f>"0611832251100"</f>
        <v>0611832251100</v>
      </c>
      <c r="B2027" t="str">
        <f>"LH1544"</f>
        <v>LH1544</v>
      </c>
      <c r="C2027" t="s">
        <v>31169</v>
      </c>
      <c r="D2027" t="s">
        <v>27245</v>
      </c>
      <c r="E2027" t="str">
        <f t="shared" si="31"/>
        <v>001390</v>
      </c>
      <c r="F2027" t="s">
        <v>27246</v>
      </c>
      <c r="G2027" t="s">
        <v>27247</v>
      </c>
      <c r="H2027" t="s">
        <v>27248</v>
      </c>
      <c r="I2027" t="s">
        <v>31170</v>
      </c>
      <c r="J2027" t="s">
        <v>4063</v>
      </c>
      <c r="L2027" t="s">
        <v>27250</v>
      </c>
      <c r="M2027" t="s">
        <v>27251</v>
      </c>
      <c r="N2027" t="s">
        <v>27252</v>
      </c>
      <c r="Q2027" s="1">
        <v>44538</v>
      </c>
      <c r="R2027" t="s">
        <v>27253</v>
      </c>
      <c r="S2027" t="s">
        <v>27254</v>
      </c>
      <c r="T2027" t="s">
        <v>27255</v>
      </c>
    </row>
    <row r="2028" spans="1:20" x14ac:dyDescent="0.3">
      <c r="A2028" t="str">
        <f>"0611832252025"</f>
        <v>0611832252025</v>
      </c>
      <c r="B2028" t="str">
        <f>"MC0842"</f>
        <v>MC0842</v>
      </c>
      <c r="C2028" t="s">
        <v>31169</v>
      </c>
      <c r="D2028" t="s">
        <v>27267</v>
      </c>
      <c r="E2028" t="str">
        <f t="shared" si="31"/>
        <v>001390</v>
      </c>
      <c r="F2028" t="s">
        <v>27246</v>
      </c>
      <c r="G2028" t="s">
        <v>27247</v>
      </c>
      <c r="H2028" t="s">
        <v>27248</v>
      </c>
      <c r="I2028" t="s">
        <v>31171</v>
      </c>
      <c r="J2028" t="s">
        <v>4065</v>
      </c>
      <c r="L2028" t="s">
        <v>27250</v>
      </c>
      <c r="M2028" t="s">
        <v>27251</v>
      </c>
      <c r="N2028" t="s">
        <v>27252</v>
      </c>
      <c r="Q2028" s="1">
        <v>44538</v>
      </c>
      <c r="R2028" t="s">
        <v>27253</v>
      </c>
      <c r="S2028" t="s">
        <v>27254</v>
      </c>
      <c r="T2028" t="s">
        <v>27269</v>
      </c>
    </row>
    <row r="2029" spans="1:20" x14ac:dyDescent="0.3">
      <c r="A2029" t="str">
        <f>"0611832253100"</f>
        <v>0611832253100</v>
      </c>
      <c r="B2029" t="str">
        <f>"LH1547"</f>
        <v>LH1547</v>
      </c>
      <c r="C2029" t="s">
        <v>31172</v>
      </c>
      <c r="D2029" t="s">
        <v>27245</v>
      </c>
      <c r="E2029" t="str">
        <f t="shared" si="31"/>
        <v>001390</v>
      </c>
      <c r="F2029" t="s">
        <v>27246</v>
      </c>
      <c r="G2029" t="s">
        <v>27247</v>
      </c>
      <c r="H2029" t="s">
        <v>27248</v>
      </c>
      <c r="I2029" t="s">
        <v>31173</v>
      </c>
      <c r="J2029" t="s">
        <v>4067</v>
      </c>
      <c r="L2029" t="s">
        <v>27250</v>
      </c>
      <c r="M2029" t="s">
        <v>27251</v>
      </c>
      <c r="N2029" t="s">
        <v>27252</v>
      </c>
      <c r="Q2029" s="1">
        <v>44538</v>
      </c>
      <c r="R2029" t="s">
        <v>27253</v>
      </c>
      <c r="S2029" t="s">
        <v>27254</v>
      </c>
      <c r="T2029" t="s">
        <v>27255</v>
      </c>
    </row>
    <row r="2030" spans="1:20" x14ac:dyDescent="0.3">
      <c r="A2030" t="str">
        <f>"0611832254025"</f>
        <v>0611832254025</v>
      </c>
      <c r="B2030" t="str">
        <f>"MC0155"</f>
        <v>MC0155</v>
      </c>
      <c r="C2030" t="s">
        <v>31172</v>
      </c>
      <c r="D2030" t="s">
        <v>27267</v>
      </c>
      <c r="E2030" t="str">
        <f t="shared" si="31"/>
        <v>001390</v>
      </c>
      <c r="F2030" t="s">
        <v>27246</v>
      </c>
      <c r="G2030" t="s">
        <v>27247</v>
      </c>
      <c r="H2030" t="s">
        <v>27248</v>
      </c>
      <c r="I2030" t="s">
        <v>31174</v>
      </c>
      <c r="J2030" t="s">
        <v>4069</v>
      </c>
      <c r="L2030" t="s">
        <v>27250</v>
      </c>
      <c r="M2030" t="s">
        <v>27251</v>
      </c>
      <c r="N2030" t="s">
        <v>27252</v>
      </c>
      <c r="Q2030" s="1">
        <v>44538</v>
      </c>
      <c r="R2030" t="s">
        <v>27253</v>
      </c>
      <c r="S2030" t="s">
        <v>27254</v>
      </c>
      <c r="T2030" t="s">
        <v>27269</v>
      </c>
    </row>
    <row r="2031" spans="1:20" x14ac:dyDescent="0.3">
      <c r="A2031" t="str">
        <f>"0611832256025"</f>
        <v>0611832256025</v>
      </c>
      <c r="B2031" t="str">
        <f>"MC4142"</f>
        <v>MC4142</v>
      </c>
      <c r="C2031" t="s">
        <v>31175</v>
      </c>
      <c r="D2031" t="s">
        <v>27267</v>
      </c>
      <c r="E2031" t="str">
        <f t="shared" si="31"/>
        <v>001390</v>
      </c>
      <c r="F2031" t="s">
        <v>27246</v>
      </c>
      <c r="G2031" t="s">
        <v>27247</v>
      </c>
      <c r="H2031" t="s">
        <v>27248</v>
      </c>
      <c r="I2031" t="s">
        <v>31176</v>
      </c>
      <c r="J2031" t="s">
        <v>4071</v>
      </c>
      <c r="L2031" t="s">
        <v>27250</v>
      </c>
      <c r="M2031" t="s">
        <v>27251</v>
      </c>
      <c r="N2031" t="s">
        <v>27252</v>
      </c>
      <c r="Q2031" s="1">
        <v>44538</v>
      </c>
      <c r="R2031" t="s">
        <v>27253</v>
      </c>
      <c r="S2031" t="s">
        <v>27254</v>
      </c>
      <c r="T2031" t="s">
        <v>27269</v>
      </c>
    </row>
    <row r="2032" spans="1:20" x14ac:dyDescent="0.3">
      <c r="A2032" t="str">
        <f>"0611861082100"</f>
        <v>0611861082100</v>
      </c>
      <c r="B2032" t="str">
        <f>"CN5024"</f>
        <v>CN5024</v>
      </c>
      <c r="C2032" t="s">
        <v>31177</v>
      </c>
      <c r="D2032" t="s">
        <v>27245</v>
      </c>
      <c r="E2032" t="str">
        <f t="shared" si="31"/>
        <v>001390</v>
      </c>
      <c r="F2032" t="s">
        <v>27246</v>
      </c>
      <c r="G2032" t="s">
        <v>27247</v>
      </c>
      <c r="H2032" t="s">
        <v>27248</v>
      </c>
      <c r="I2032" t="s">
        <v>31178</v>
      </c>
      <c r="J2032" t="s">
        <v>4073</v>
      </c>
      <c r="L2032" t="s">
        <v>27250</v>
      </c>
      <c r="M2032" t="s">
        <v>27251</v>
      </c>
      <c r="N2032" t="s">
        <v>27252</v>
      </c>
      <c r="Q2032" s="1">
        <v>44846</v>
      </c>
      <c r="R2032" t="s">
        <v>27253</v>
      </c>
      <c r="S2032" t="s">
        <v>27254</v>
      </c>
      <c r="T2032" t="s">
        <v>27255</v>
      </c>
    </row>
    <row r="2033" spans="1:20" x14ac:dyDescent="0.3">
      <c r="A2033" t="str">
        <f>"0611861083050"</f>
        <v>0611861083050</v>
      </c>
      <c r="B2033" t="str">
        <f>"CR4208"</f>
        <v>CR4208</v>
      </c>
      <c r="C2033" t="s">
        <v>31177</v>
      </c>
      <c r="D2033" t="s">
        <v>27286</v>
      </c>
      <c r="E2033" t="str">
        <f t="shared" si="31"/>
        <v>001390</v>
      </c>
      <c r="F2033" t="s">
        <v>27246</v>
      </c>
      <c r="G2033" t="s">
        <v>27247</v>
      </c>
      <c r="H2033" t="s">
        <v>27248</v>
      </c>
      <c r="I2033" t="s">
        <v>31179</v>
      </c>
      <c r="J2033" t="s">
        <v>4075</v>
      </c>
      <c r="L2033" t="s">
        <v>27250</v>
      </c>
      <c r="M2033" t="s">
        <v>27251</v>
      </c>
      <c r="N2033" t="s">
        <v>27252</v>
      </c>
      <c r="Q2033" s="1">
        <v>44846</v>
      </c>
      <c r="R2033" t="s">
        <v>27253</v>
      </c>
      <c r="S2033" t="s">
        <v>27254</v>
      </c>
      <c r="T2033" t="s">
        <v>27265</v>
      </c>
    </row>
    <row r="2034" spans="1:20" x14ac:dyDescent="0.3">
      <c r="A2034" t="str">
        <f>"0611832259025"</f>
        <v>0611832259025</v>
      </c>
      <c r="B2034" t="str">
        <f>"MC3129"</f>
        <v>MC3129</v>
      </c>
      <c r="C2034" t="s">
        <v>31180</v>
      </c>
      <c r="D2034" t="s">
        <v>27267</v>
      </c>
      <c r="E2034" t="str">
        <f t="shared" si="31"/>
        <v>001390</v>
      </c>
      <c r="F2034" t="s">
        <v>27246</v>
      </c>
      <c r="G2034" t="s">
        <v>27247</v>
      </c>
      <c r="H2034" t="s">
        <v>27248</v>
      </c>
      <c r="I2034" t="s">
        <v>31181</v>
      </c>
      <c r="J2034" t="s">
        <v>4077</v>
      </c>
      <c r="L2034" t="s">
        <v>27250</v>
      </c>
      <c r="M2034" t="s">
        <v>27251</v>
      </c>
      <c r="N2034" t="s">
        <v>27252</v>
      </c>
      <c r="Q2034" s="1">
        <v>44538</v>
      </c>
      <c r="R2034" t="s">
        <v>27253</v>
      </c>
      <c r="S2034" t="s">
        <v>27254</v>
      </c>
      <c r="T2034" t="s">
        <v>27269</v>
      </c>
    </row>
    <row r="2035" spans="1:20" x14ac:dyDescent="0.3">
      <c r="A2035" t="str">
        <f>"0611832260025"</f>
        <v>0611832260025</v>
      </c>
      <c r="B2035" t="str">
        <f>"MQ0160"</f>
        <v>MQ0160</v>
      </c>
      <c r="C2035" t="s">
        <v>31182</v>
      </c>
      <c r="D2035" t="s">
        <v>27267</v>
      </c>
      <c r="E2035" t="str">
        <f t="shared" si="31"/>
        <v>001390</v>
      </c>
      <c r="F2035" t="s">
        <v>27246</v>
      </c>
      <c r="G2035" t="s">
        <v>27247</v>
      </c>
      <c r="H2035" t="s">
        <v>27248</v>
      </c>
      <c r="I2035" t="s">
        <v>31183</v>
      </c>
      <c r="J2035" t="s">
        <v>4079</v>
      </c>
      <c r="L2035" t="s">
        <v>27250</v>
      </c>
      <c r="M2035" t="s">
        <v>27251</v>
      </c>
      <c r="N2035" t="s">
        <v>27252</v>
      </c>
      <c r="Q2035" s="1">
        <v>44538</v>
      </c>
      <c r="R2035" t="s">
        <v>27253</v>
      </c>
      <c r="S2035" t="s">
        <v>27254</v>
      </c>
      <c r="T2035" t="s">
        <v>27269</v>
      </c>
    </row>
    <row r="2036" spans="1:20" x14ac:dyDescent="0.3">
      <c r="A2036" t="str">
        <f>"0611832261025"</f>
        <v>0611832261025</v>
      </c>
      <c r="B2036" t="str">
        <f>"MQ0161"</f>
        <v>MQ0161</v>
      </c>
      <c r="C2036" t="s">
        <v>31184</v>
      </c>
      <c r="D2036" t="s">
        <v>27267</v>
      </c>
      <c r="E2036" t="str">
        <f t="shared" si="31"/>
        <v>001390</v>
      </c>
      <c r="F2036" t="s">
        <v>27246</v>
      </c>
      <c r="G2036" t="s">
        <v>27247</v>
      </c>
      <c r="H2036" t="s">
        <v>27248</v>
      </c>
      <c r="I2036" t="s">
        <v>31185</v>
      </c>
      <c r="J2036" t="s">
        <v>4081</v>
      </c>
      <c r="L2036" t="s">
        <v>27250</v>
      </c>
      <c r="M2036" t="s">
        <v>27251</v>
      </c>
      <c r="N2036" t="s">
        <v>27252</v>
      </c>
      <c r="Q2036" s="1">
        <v>44538</v>
      </c>
      <c r="R2036" t="s">
        <v>27253</v>
      </c>
      <c r="S2036" t="s">
        <v>27254</v>
      </c>
      <c r="T2036" t="s">
        <v>27269</v>
      </c>
    </row>
    <row r="2037" spans="1:20" x14ac:dyDescent="0.3">
      <c r="A2037" t="str">
        <f>"0611832262025"</f>
        <v>0611832262025</v>
      </c>
      <c r="B2037" t="str">
        <f>"MQ0162"</f>
        <v>MQ0162</v>
      </c>
      <c r="C2037" t="s">
        <v>31186</v>
      </c>
      <c r="D2037" t="s">
        <v>27267</v>
      </c>
      <c r="E2037" t="str">
        <f t="shared" si="31"/>
        <v>001390</v>
      </c>
      <c r="F2037" t="s">
        <v>27246</v>
      </c>
      <c r="G2037" t="s">
        <v>27247</v>
      </c>
      <c r="H2037" t="s">
        <v>27248</v>
      </c>
      <c r="I2037" t="s">
        <v>31187</v>
      </c>
      <c r="J2037" t="s">
        <v>4083</v>
      </c>
      <c r="L2037" t="s">
        <v>27250</v>
      </c>
      <c r="M2037" t="s">
        <v>27251</v>
      </c>
      <c r="N2037" t="s">
        <v>27252</v>
      </c>
      <c r="Q2037" s="1">
        <v>44538</v>
      </c>
      <c r="R2037" t="s">
        <v>27253</v>
      </c>
      <c r="S2037" t="s">
        <v>27254</v>
      </c>
      <c r="T2037" t="s">
        <v>27269</v>
      </c>
    </row>
    <row r="2038" spans="1:20" x14ac:dyDescent="0.3">
      <c r="A2038" t="str">
        <f>"0611832264025"</f>
        <v>0611832264025</v>
      </c>
      <c r="B2038" t="str">
        <f>"MQ0163"</f>
        <v>MQ0163</v>
      </c>
      <c r="C2038" t="s">
        <v>31188</v>
      </c>
      <c r="D2038" t="s">
        <v>27267</v>
      </c>
      <c r="E2038" t="str">
        <f t="shared" si="31"/>
        <v>001390</v>
      </c>
      <c r="F2038" t="s">
        <v>27246</v>
      </c>
      <c r="G2038" t="s">
        <v>27247</v>
      </c>
      <c r="H2038" t="s">
        <v>27248</v>
      </c>
      <c r="I2038" t="s">
        <v>31189</v>
      </c>
      <c r="J2038" t="s">
        <v>4085</v>
      </c>
      <c r="L2038" t="s">
        <v>27250</v>
      </c>
      <c r="M2038" t="s">
        <v>27251</v>
      </c>
      <c r="N2038" t="s">
        <v>27252</v>
      </c>
      <c r="Q2038" s="1">
        <v>44538</v>
      </c>
      <c r="R2038" t="s">
        <v>27253</v>
      </c>
      <c r="S2038" t="s">
        <v>27254</v>
      </c>
      <c r="T2038" t="s">
        <v>27269</v>
      </c>
    </row>
    <row r="2039" spans="1:20" x14ac:dyDescent="0.3">
      <c r="A2039" t="str">
        <f>"0611832266025"</f>
        <v>0611832266025</v>
      </c>
      <c r="B2039" t="str">
        <f>"MC4139"</f>
        <v>MC4139</v>
      </c>
      <c r="C2039" t="s">
        <v>31190</v>
      </c>
      <c r="D2039" t="s">
        <v>27267</v>
      </c>
      <c r="E2039" t="str">
        <f t="shared" si="31"/>
        <v>001390</v>
      </c>
      <c r="F2039" t="s">
        <v>27246</v>
      </c>
      <c r="G2039" t="s">
        <v>27247</v>
      </c>
      <c r="H2039" t="s">
        <v>27248</v>
      </c>
      <c r="I2039" t="s">
        <v>31191</v>
      </c>
      <c r="J2039" t="s">
        <v>4087</v>
      </c>
      <c r="L2039" t="s">
        <v>27250</v>
      </c>
      <c r="M2039" t="s">
        <v>27251</v>
      </c>
      <c r="N2039" t="s">
        <v>27252</v>
      </c>
      <c r="Q2039" s="1">
        <v>44538</v>
      </c>
      <c r="R2039" t="s">
        <v>27253</v>
      </c>
      <c r="S2039" t="s">
        <v>27254</v>
      </c>
      <c r="T2039" t="s">
        <v>27269</v>
      </c>
    </row>
    <row r="2040" spans="1:20" x14ac:dyDescent="0.3">
      <c r="A2040" t="str">
        <f>"0611832267100"</f>
        <v>0611832267100</v>
      </c>
      <c r="B2040" t="str">
        <f>"LH1540"</f>
        <v>LH1540</v>
      </c>
      <c r="C2040" t="s">
        <v>31192</v>
      </c>
      <c r="D2040" t="s">
        <v>27245</v>
      </c>
      <c r="E2040" t="str">
        <f t="shared" si="31"/>
        <v>001390</v>
      </c>
      <c r="F2040" t="s">
        <v>27246</v>
      </c>
      <c r="G2040" t="s">
        <v>27247</v>
      </c>
      <c r="H2040" t="s">
        <v>27248</v>
      </c>
      <c r="I2040" t="s">
        <v>31193</v>
      </c>
      <c r="J2040" t="s">
        <v>4089</v>
      </c>
      <c r="L2040" t="s">
        <v>27250</v>
      </c>
      <c r="M2040" t="s">
        <v>27251</v>
      </c>
      <c r="N2040" t="s">
        <v>27252</v>
      </c>
      <c r="Q2040" s="1">
        <v>44538</v>
      </c>
      <c r="R2040" t="s">
        <v>27253</v>
      </c>
      <c r="S2040" t="s">
        <v>27254</v>
      </c>
      <c r="T2040" t="s">
        <v>27255</v>
      </c>
    </row>
    <row r="2041" spans="1:20" x14ac:dyDescent="0.3">
      <c r="A2041" t="str">
        <f>"0611832268100"</f>
        <v>0611832268100</v>
      </c>
      <c r="B2041" t="str">
        <f>"LH8888"</f>
        <v>LH8888</v>
      </c>
      <c r="C2041" t="s">
        <v>31194</v>
      </c>
      <c r="D2041" t="s">
        <v>27245</v>
      </c>
      <c r="E2041" t="str">
        <f t="shared" si="31"/>
        <v>001390</v>
      </c>
      <c r="F2041" t="s">
        <v>27246</v>
      </c>
      <c r="G2041" t="s">
        <v>27247</v>
      </c>
      <c r="H2041" t="s">
        <v>27248</v>
      </c>
      <c r="I2041" t="s">
        <v>31195</v>
      </c>
      <c r="J2041" t="s">
        <v>4091</v>
      </c>
      <c r="L2041" t="s">
        <v>27250</v>
      </c>
      <c r="M2041" t="s">
        <v>27251</v>
      </c>
      <c r="N2041" t="s">
        <v>27252</v>
      </c>
      <c r="Q2041" s="1">
        <v>44538</v>
      </c>
      <c r="R2041" t="s">
        <v>27253</v>
      </c>
      <c r="S2041" t="s">
        <v>27254</v>
      </c>
      <c r="T2041" t="s">
        <v>27255</v>
      </c>
    </row>
    <row r="2042" spans="1:20" x14ac:dyDescent="0.3">
      <c r="A2042" t="str">
        <f>"0611832269025"</f>
        <v>0611832269025</v>
      </c>
      <c r="B2042" t="str">
        <f>"MC4264"</f>
        <v>MC4264</v>
      </c>
      <c r="C2042" t="s">
        <v>31194</v>
      </c>
      <c r="D2042" t="s">
        <v>27267</v>
      </c>
      <c r="E2042" t="str">
        <f t="shared" si="31"/>
        <v>001390</v>
      </c>
      <c r="F2042" t="s">
        <v>27246</v>
      </c>
      <c r="G2042" t="s">
        <v>27247</v>
      </c>
      <c r="H2042" t="s">
        <v>27248</v>
      </c>
      <c r="I2042" t="s">
        <v>31196</v>
      </c>
      <c r="J2042" t="s">
        <v>4093</v>
      </c>
      <c r="L2042" t="s">
        <v>27250</v>
      </c>
      <c r="M2042" t="s">
        <v>27251</v>
      </c>
      <c r="N2042" t="s">
        <v>27252</v>
      </c>
      <c r="Q2042" s="1">
        <v>44538</v>
      </c>
      <c r="R2042" t="s">
        <v>27253</v>
      </c>
      <c r="S2042" t="s">
        <v>27254</v>
      </c>
      <c r="T2042" t="s">
        <v>27269</v>
      </c>
    </row>
    <row r="2043" spans="1:20" x14ac:dyDescent="0.3">
      <c r="A2043" t="str">
        <f>"0611832270100"</f>
        <v>0611832270100</v>
      </c>
      <c r="B2043" t="str">
        <f>"LH8889"</f>
        <v>LH8889</v>
      </c>
      <c r="C2043" t="s">
        <v>31197</v>
      </c>
      <c r="D2043" t="s">
        <v>27245</v>
      </c>
      <c r="E2043" t="str">
        <f t="shared" si="31"/>
        <v>001390</v>
      </c>
      <c r="F2043" t="s">
        <v>27246</v>
      </c>
      <c r="G2043" t="s">
        <v>27247</v>
      </c>
      <c r="H2043" t="s">
        <v>27248</v>
      </c>
      <c r="I2043" t="s">
        <v>31198</v>
      </c>
      <c r="J2043" t="s">
        <v>4095</v>
      </c>
      <c r="L2043" t="s">
        <v>27250</v>
      </c>
      <c r="M2043" t="s">
        <v>27251</v>
      </c>
      <c r="N2043" t="s">
        <v>27252</v>
      </c>
      <c r="Q2043" s="1">
        <v>44538</v>
      </c>
      <c r="R2043" t="s">
        <v>27253</v>
      </c>
      <c r="S2043" t="s">
        <v>27254</v>
      </c>
      <c r="T2043" t="s">
        <v>27255</v>
      </c>
    </row>
    <row r="2044" spans="1:20" x14ac:dyDescent="0.3">
      <c r="A2044" t="str">
        <f>"0611832271025"</f>
        <v>0611832271025</v>
      </c>
      <c r="B2044" t="str">
        <f>"MC4265"</f>
        <v>MC4265</v>
      </c>
      <c r="C2044" t="s">
        <v>31197</v>
      </c>
      <c r="D2044" t="s">
        <v>27267</v>
      </c>
      <c r="E2044" t="str">
        <f t="shared" si="31"/>
        <v>001390</v>
      </c>
      <c r="F2044" t="s">
        <v>27246</v>
      </c>
      <c r="G2044" t="s">
        <v>27247</v>
      </c>
      <c r="H2044" t="s">
        <v>27248</v>
      </c>
      <c r="I2044" t="s">
        <v>31199</v>
      </c>
      <c r="J2044" t="s">
        <v>4097</v>
      </c>
      <c r="L2044" t="s">
        <v>27250</v>
      </c>
      <c r="M2044" t="s">
        <v>27251</v>
      </c>
      <c r="N2044" t="s">
        <v>27252</v>
      </c>
      <c r="Q2044" s="1">
        <v>44538</v>
      </c>
      <c r="R2044" t="s">
        <v>27253</v>
      </c>
      <c r="S2044" t="s">
        <v>27254</v>
      </c>
      <c r="T2044" t="s">
        <v>27269</v>
      </c>
    </row>
    <row r="2045" spans="1:20" x14ac:dyDescent="0.3">
      <c r="A2045" t="str">
        <f>"0611832272025"</f>
        <v>0611832272025</v>
      </c>
      <c r="B2045" t="str">
        <f>"MC0163"</f>
        <v>MC0163</v>
      </c>
      <c r="C2045" t="s">
        <v>31200</v>
      </c>
      <c r="D2045" t="s">
        <v>27267</v>
      </c>
      <c r="E2045" t="str">
        <f t="shared" si="31"/>
        <v>001390</v>
      </c>
      <c r="F2045" t="s">
        <v>27246</v>
      </c>
      <c r="G2045" t="s">
        <v>27247</v>
      </c>
      <c r="H2045" t="s">
        <v>27248</v>
      </c>
      <c r="I2045" t="s">
        <v>31201</v>
      </c>
      <c r="J2045" t="s">
        <v>4099</v>
      </c>
      <c r="L2045" t="s">
        <v>27250</v>
      </c>
      <c r="M2045" t="s">
        <v>27251</v>
      </c>
      <c r="N2045" t="s">
        <v>27252</v>
      </c>
      <c r="Q2045" s="1">
        <v>44538</v>
      </c>
      <c r="R2045" t="s">
        <v>27253</v>
      </c>
      <c r="S2045" t="s">
        <v>27254</v>
      </c>
      <c r="T2045" t="s">
        <v>27269</v>
      </c>
    </row>
    <row r="2046" spans="1:20" x14ac:dyDescent="0.3">
      <c r="A2046" t="str">
        <f>"0611832274025"</f>
        <v>0611832274025</v>
      </c>
      <c r="B2046" t="str">
        <f>"MC4143"</f>
        <v>MC4143</v>
      </c>
      <c r="C2046" t="s">
        <v>31202</v>
      </c>
      <c r="D2046" t="s">
        <v>27267</v>
      </c>
      <c r="E2046" t="str">
        <f t="shared" si="31"/>
        <v>001390</v>
      </c>
      <c r="F2046" t="s">
        <v>27246</v>
      </c>
      <c r="G2046" t="s">
        <v>27247</v>
      </c>
      <c r="H2046" t="s">
        <v>27248</v>
      </c>
      <c r="I2046" t="s">
        <v>31203</v>
      </c>
      <c r="J2046" t="s">
        <v>4101</v>
      </c>
      <c r="L2046" t="s">
        <v>27250</v>
      </c>
      <c r="M2046" t="s">
        <v>27251</v>
      </c>
      <c r="N2046" t="s">
        <v>27252</v>
      </c>
      <c r="Q2046" s="1">
        <v>44538</v>
      </c>
      <c r="R2046" t="s">
        <v>27253</v>
      </c>
      <c r="S2046" t="s">
        <v>27254</v>
      </c>
      <c r="T2046" t="s">
        <v>27269</v>
      </c>
    </row>
    <row r="2047" spans="1:20" x14ac:dyDescent="0.3">
      <c r="A2047" t="str">
        <f>"0611832275025"</f>
        <v>0611832275025</v>
      </c>
      <c r="B2047" t="str">
        <f>"MC4144"</f>
        <v>MC4144</v>
      </c>
      <c r="C2047" t="s">
        <v>31204</v>
      </c>
      <c r="D2047" t="s">
        <v>28057</v>
      </c>
      <c r="E2047" t="str">
        <f t="shared" si="31"/>
        <v>001390</v>
      </c>
      <c r="F2047" t="s">
        <v>27246</v>
      </c>
      <c r="G2047" t="s">
        <v>27247</v>
      </c>
      <c r="H2047" t="s">
        <v>27248</v>
      </c>
      <c r="I2047" t="s">
        <v>31205</v>
      </c>
      <c r="J2047" t="s">
        <v>4103</v>
      </c>
      <c r="L2047" t="s">
        <v>27250</v>
      </c>
      <c r="M2047" t="s">
        <v>27251</v>
      </c>
      <c r="N2047" t="s">
        <v>27252</v>
      </c>
      <c r="P2047" t="s">
        <v>27925</v>
      </c>
      <c r="Q2047" s="1">
        <v>44538</v>
      </c>
      <c r="R2047" t="s">
        <v>27253</v>
      </c>
      <c r="S2047" t="s">
        <v>27254</v>
      </c>
      <c r="T2047" t="s">
        <v>27269</v>
      </c>
    </row>
    <row r="2048" spans="1:20" x14ac:dyDescent="0.3">
      <c r="A2048" t="str">
        <f>"0611832276025"</f>
        <v>0611832276025</v>
      </c>
      <c r="B2048" t="str">
        <f>"MC4145"</f>
        <v>MC4145</v>
      </c>
      <c r="C2048" t="s">
        <v>31206</v>
      </c>
      <c r="D2048" t="s">
        <v>28057</v>
      </c>
      <c r="E2048" t="str">
        <f t="shared" si="31"/>
        <v>001390</v>
      </c>
      <c r="F2048" t="s">
        <v>27246</v>
      </c>
      <c r="G2048" t="s">
        <v>27247</v>
      </c>
      <c r="H2048" t="s">
        <v>27248</v>
      </c>
      <c r="I2048" t="s">
        <v>31207</v>
      </c>
      <c r="J2048" t="s">
        <v>4105</v>
      </c>
      <c r="L2048" t="s">
        <v>27250</v>
      </c>
      <c r="M2048" t="s">
        <v>27251</v>
      </c>
      <c r="N2048" t="s">
        <v>27252</v>
      </c>
      <c r="P2048" t="s">
        <v>27925</v>
      </c>
      <c r="Q2048" s="1">
        <v>44538</v>
      </c>
      <c r="R2048" t="s">
        <v>27253</v>
      </c>
      <c r="S2048" t="s">
        <v>27254</v>
      </c>
      <c r="T2048" t="s">
        <v>27269</v>
      </c>
    </row>
    <row r="2049" spans="1:20" x14ac:dyDescent="0.3">
      <c r="A2049" t="str">
        <f>"0611832277100"</f>
        <v>0611832277100</v>
      </c>
      <c r="B2049" t="str">
        <f>"LH8890"</f>
        <v>LH8890</v>
      </c>
      <c r="C2049" t="s">
        <v>31208</v>
      </c>
      <c r="D2049" t="s">
        <v>27245</v>
      </c>
      <c r="E2049" t="str">
        <f t="shared" si="31"/>
        <v>001390</v>
      </c>
      <c r="F2049" t="s">
        <v>27246</v>
      </c>
      <c r="G2049" t="s">
        <v>27247</v>
      </c>
      <c r="H2049" t="s">
        <v>27248</v>
      </c>
      <c r="I2049" t="s">
        <v>31209</v>
      </c>
      <c r="J2049" t="s">
        <v>4107</v>
      </c>
      <c r="L2049" t="s">
        <v>27250</v>
      </c>
      <c r="M2049" t="s">
        <v>27251</v>
      </c>
      <c r="N2049" t="s">
        <v>27252</v>
      </c>
      <c r="Q2049" s="1">
        <v>44538</v>
      </c>
      <c r="R2049" t="s">
        <v>27253</v>
      </c>
      <c r="S2049" t="s">
        <v>27254</v>
      </c>
      <c r="T2049" t="s">
        <v>27255</v>
      </c>
    </row>
    <row r="2050" spans="1:20" x14ac:dyDescent="0.3">
      <c r="A2050" t="str">
        <f>"0611832278025"</f>
        <v>0611832278025</v>
      </c>
      <c r="B2050" t="str">
        <f>"MC4146"</f>
        <v>MC4146</v>
      </c>
      <c r="C2050" t="s">
        <v>31208</v>
      </c>
      <c r="D2050" t="s">
        <v>27267</v>
      </c>
      <c r="E2050" t="str">
        <f t="shared" ref="E2050:E2113" si="32">"001390"</f>
        <v>001390</v>
      </c>
      <c r="F2050" t="s">
        <v>27246</v>
      </c>
      <c r="G2050" t="s">
        <v>27247</v>
      </c>
      <c r="H2050" t="s">
        <v>27248</v>
      </c>
      <c r="I2050" t="s">
        <v>31210</v>
      </c>
      <c r="J2050" t="s">
        <v>4109</v>
      </c>
      <c r="L2050" t="s">
        <v>27250</v>
      </c>
      <c r="M2050" t="s">
        <v>27251</v>
      </c>
      <c r="N2050" t="s">
        <v>27252</v>
      </c>
      <c r="Q2050" s="1">
        <v>44538</v>
      </c>
      <c r="R2050" t="s">
        <v>27253</v>
      </c>
      <c r="S2050" t="s">
        <v>27254</v>
      </c>
      <c r="T2050" t="s">
        <v>27269</v>
      </c>
    </row>
    <row r="2051" spans="1:20" x14ac:dyDescent="0.3">
      <c r="A2051" t="str">
        <f>"0611832279100"</f>
        <v>0611832279100</v>
      </c>
      <c r="B2051" t="str">
        <f>"LH8891"</f>
        <v>LH8891</v>
      </c>
      <c r="C2051" t="s">
        <v>31211</v>
      </c>
      <c r="D2051" t="s">
        <v>27245</v>
      </c>
      <c r="E2051" t="str">
        <f t="shared" si="32"/>
        <v>001390</v>
      </c>
      <c r="F2051" t="s">
        <v>27246</v>
      </c>
      <c r="G2051" t="s">
        <v>27247</v>
      </c>
      <c r="H2051" t="s">
        <v>27248</v>
      </c>
      <c r="I2051" t="s">
        <v>31212</v>
      </c>
      <c r="J2051" t="s">
        <v>4111</v>
      </c>
      <c r="L2051" t="s">
        <v>27250</v>
      </c>
      <c r="M2051" t="s">
        <v>27251</v>
      </c>
      <c r="N2051" t="s">
        <v>27252</v>
      </c>
      <c r="Q2051" s="1">
        <v>44538</v>
      </c>
      <c r="R2051" t="s">
        <v>27253</v>
      </c>
      <c r="S2051" t="s">
        <v>27254</v>
      </c>
      <c r="T2051" t="s">
        <v>27255</v>
      </c>
    </row>
    <row r="2052" spans="1:20" x14ac:dyDescent="0.3">
      <c r="A2052" t="str">
        <f>"0611832280025"</f>
        <v>0611832280025</v>
      </c>
      <c r="B2052" t="str">
        <f>"MC4147"</f>
        <v>MC4147</v>
      </c>
      <c r="C2052" t="s">
        <v>31211</v>
      </c>
      <c r="D2052" t="s">
        <v>27267</v>
      </c>
      <c r="E2052" t="str">
        <f t="shared" si="32"/>
        <v>001390</v>
      </c>
      <c r="F2052" t="s">
        <v>27246</v>
      </c>
      <c r="G2052" t="s">
        <v>27247</v>
      </c>
      <c r="H2052" t="s">
        <v>27248</v>
      </c>
      <c r="I2052" t="s">
        <v>31213</v>
      </c>
      <c r="J2052" t="s">
        <v>4113</v>
      </c>
      <c r="L2052" t="s">
        <v>27250</v>
      </c>
      <c r="M2052" t="s">
        <v>27251</v>
      </c>
      <c r="N2052" t="s">
        <v>27252</v>
      </c>
      <c r="Q2052" s="1">
        <v>44538</v>
      </c>
      <c r="R2052" t="s">
        <v>27253</v>
      </c>
      <c r="S2052" t="s">
        <v>27254</v>
      </c>
      <c r="T2052" t="s">
        <v>27269</v>
      </c>
    </row>
    <row r="2053" spans="1:20" x14ac:dyDescent="0.3">
      <c r="A2053" t="str">
        <f>"0611832281025"</f>
        <v>0611832281025</v>
      </c>
      <c r="B2053" t="str">
        <f>"MC3001"</f>
        <v>MC3001</v>
      </c>
      <c r="C2053" t="s">
        <v>31214</v>
      </c>
      <c r="D2053" t="s">
        <v>27267</v>
      </c>
      <c r="E2053" t="str">
        <f t="shared" si="32"/>
        <v>001390</v>
      </c>
      <c r="F2053" t="s">
        <v>27246</v>
      </c>
      <c r="G2053" t="s">
        <v>27247</v>
      </c>
      <c r="H2053" t="s">
        <v>27248</v>
      </c>
      <c r="I2053" t="s">
        <v>31215</v>
      </c>
      <c r="J2053" t="s">
        <v>4115</v>
      </c>
      <c r="L2053" t="s">
        <v>27250</v>
      </c>
      <c r="M2053" t="s">
        <v>27251</v>
      </c>
      <c r="N2053" t="s">
        <v>27252</v>
      </c>
      <c r="Q2053" s="1">
        <v>44538</v>
      </c>
      <c r="R2053" t="s">
        <v>27253</v>
      </c>
      <c r="S2053" t="s">
        <v>27254</v>
      </c>
      <c r="T2053" t="s">
        <v>27269</v>
      </c>
    </row>
    <row r="2054" spans="1:20" x14ac:dyDescent="0.3">
      <c r="A2054" t="str">
        <f>"0611832282025"</f>
        <v>0611832282025</v>
      </c>
      <c r="B2054" t="str">
        <f>"MC4381"</f>
        <v>MC4381</v>
      </c>
      <c r="C2054" t="s">
        <v>31216</v>
      </c>
      <c r="D2054" t="s">
        <v>28057</v>
      </c>
      <c r="E2054" t="str">
        <f t="shared" si="32"/>
        <v>001390</v>
      </c>
      <c r="F2054" t="s">
        <v>27246</v>
      </c>
      <c r="G2054" t="s">
        <v>27247</v>
      </c>
      <c r="H2054" t="s">
        <v>27248</v>
      </c>
      <c r="I2054" t="s">
        <v>31217</v>
      </c>
      <c r="J2054" t="s">
        <v>4117</v>
      </c>
      <c r="L2054" t="s">
        <v>27250</v>
      </c>
      <c r="M2054" t="s">
        <v>27251</v>
      </c>
      <c r="N2054" t="s">
        <v>27252</v>
      </c>
      <c r="P2054" t="s">
        <v>27925</v>
      </c>
      <c r="Q2054" s="1">
        <v>44538</v>
      </c>
      <c r="R2054" t="s">
        <v>27253</v>
      </c>
      <c r="S2054" t="s">
        <v>27254</v>
      </c>
      <c r="T2054" t="s">
        <v>27269</v>
      </c>
    </row>
    <row r="2055" spans="1:20" x14ac:dyDescent="0.3">
      <c r="A2055" t="str">
        <f>"0611861084050"</f>
        <v>0611861084050</v>
      </c>
      <c r="B2055" t="str">
        <f>"CE1710"</f>
        <v>CE1710</v>
      </c>
      <c r="C2055" t="s">
        <v>31216</v>
      </c>
      <c r="D2055" t="s">
        <v>27923</v>
      </c>
      <c r="E2055" t="str">
        <f t="shared" si="32"/>
        <v>001390</v>
      </c>
      <c r="F2055" t="s">
        <v>27246</v>
      </c>
      <c r="G2055" t="s">
        <v>27247</v>
      </c>
      <c r="H2055" t="s">
        <v>27248</v>
      </c>
      <c r="I2055" t="s">
        <v>31218</v>
      </c>
      <c r="J2055" t="s">
        <v>4119</v>
      </c>
      <c r="L2055" t="s">
        <v>27250</v>
      </c>
      <c r="M2055" t="s">
        <v>27251</v>
      </c>
      <c r="N2055" t="s">
        <v>27252</v>
      </c>
      <c r="P2055" t="s">
        <v>27925</v>
      </c>
      <c r="Q2055" s="1">
        <v>44846</v>
      </c>
      <c r="R2055" t="s">
        <v>27253</v>
      </c>
      <c r="S2055" t="s">
        <v>27254</v>
      </c>
      <c r="T2055" t="s">
        <v>27265</v>
      </c>
    </row>
    <row r="2056" spans="1:20" x14ac:dyDescent="0.3">
      <c r="A2056" t="str">
        <f>"0611832283025"</f>
        <v>0611832283025</v>
      </c>
      <c r="B2056" t="str">
        <f>"MC4382"</f>
        <v>MC4382</v>
      </c>
      <c r="C2056" t="s">
        <v>31219</v>
      </c>
      <c r="D2056" t="s">
        <v>28057</v>
      </c>
      <c r="E2056" t="str">
        <f t="shared" si="32"/>
        <v>001390</v>
      </c>
      <c r="F2056" t="s">
        <v>27246</v>
      </c>
      <c r="G2056" t="s">
        <v>27247</v>
      </c>
      <c r="H2056" t="s">
        <v>27248</v>
      </c>
      <c r="I2056" t="s">
        <v>31220</v>
      </c>
      <c r="J2056" t="s">
        <v>4121</v>
      </c>
      <c r="L2056" t="s">
        <v>27250</v>
      </c>
      <c r="M2056" t="s">
        <v>27251</v>
      </c>
      <c r="N2056" t="s">
        <v>27252</v>
      </c>
      <c r="P2056" t="s">
        <v>27925</v>
      </c>
      <c r="Q2056" s="1">
        <v>44538</v>
      </c>
      <c r="R2056" t="s">
        <v>27253</v>
      </c>
      <c r="S2056" t="s">
        <v>27254</v>
      </c>
      <c r="T2056" t="s">
        <v>27269</v>
      </c>
    </row>
    <row r="2057" spans="1:20" x14ac:dyDescent="0.3">
      <c r="A2057" t="str">
        <f>"0611861085050"</f>
        <v>0611861085050</v>
      </c>
      <c r="B2057" t="str">
        <f>"CE1711"</f>
        <v>CE1711</v>
      </c>
      <c r="C2057" t="s">
        <v>31219</v>
      </c>
      <c r="D2057" t="s">
        <v>27923</v>
      </c>
      <c r="E2057" t="str">
        <f t="shared" si="32"/>
        <v>001390</v>
      </c>
      <c r="F2057" t="s">
        <v>27246</v>
      </c>
      <c r="G2057" t="s">
        <v>27247</v>
      </c>
      <c r="H2057" t="s">
        <v>27248</v>
      </c>
      <c r="I2057" t="s">
        <v>31221</v>
      </c>
      <c r="J2057" t="s">
        <v>4123</v>
      </c>
      <c r="L2057" t="s">
        <v>27250</v>
      </c>
      <c r="M2057" t="s">
        <v>27251</v>
      </c>
      <c r="N2057" t="s">
        <v>27252</v>
      </c>
      <c r="P2057" t="s">
        <v>27925</v>
      </c>
      <c r="Q2057" s="1">
        <v>44846</v>
      </c>
      <c r="R2057" t="s">
        <v>27253</v>
      </c>
      <c r="S2057" t="s">
        <v>27254</v>
      </c>
      <c r="T2057" t="s">
        <v>27265</v>
      </c>
    </row>
    <row r="2058" spans="1:20" x14ac:dyDescent="0.3">
      <c r="A2058" t="str">
        <f>"0611832284025"</f>
        <v>0611832284025</v>
      </c>
      <c r="B2058" t="str">
        <f>"MC4383"</f>
        <v>MC4383</v>
      </c>
      <c r="C2058" t="s">
        <v>31222</v>
      </c>
      <c r="D2058" t="s">
        <v>28057</v>
      </c>
      <c r="E2058" t="str">
        <f t="shared" si="32"/>
        <v>001390</v>
      </c>
      <c r="F2058" t="s">
        <v>27246</v>
      </c>
      <c r="G2058" t="s">
        <v>27247</v>
      </c>
      <c r="H2058" t="s">
        <v>27248</v>
      </c>
      <c r="I2058" t="s">
        <v>31223</v>
      </c>
      <c r="J2058" t="s">
        <v>4125</v>
      </c>
      <c r="L2058" t="s">
        <v>27250</v>
      </c>
      <c r="M2058" t="s">
        <v>27251</v>
      </c>
      <c r="N2058" t="s">
        <v>27252</v>
      </c>
      <c r="P2058" t="s">
        <v>27925</v>
      </c>
      <c r="Q2058" s="1">
        <v>44538</v>
      </c>
      <c r="R2058" t="s">
        <v>27253</v>
      </c>
      <c r="S2058" t="s">
        <v>27254</v>
      </c>
      <c r="T2058" t="s">
        <v>27269</v>
      </c>
    </row>
    <row r="2059" spans="1:20" x14ac:dyDescent="0.3">
      <c r="A2059" t="str">
        <f>"0611861086050"</f>
        <v>0611861086050</v>
      </c>
      <c r="B2059" t="str">
        <f>"CE1712"</f>
        <v>CE1712</v>
      </c>
      <c r="C2059" t="s">
        <v>31222</v>
      </c>
      <c r="D2059" t="s">
        <v>27923</v>
      </c>
      <c r="E2059" t="str">
        <f t="shared" si="32"/>
        <v>001390</v>
      </c>
      <c r="F2059" t="s">
        <v>27246</v>
      </c>
      <c r="G2059" t="s">
        <v>27247</v>
      </c>
      <c r="H2059" t="s">
        <v>27248</v>
      </c>
      <c r="I2059" t="s">
        <v>31224</v>
      </c>
      <c r="J2059" t="s">
        <v>4127</v>
      </c>
      <c r="L2059" t="s">
        <v>27250</v>
      </c>
      <c r="M2059" t="s">
        <v>27251</v>
      </c>
      <c r="N2059" t="s">
        <v>27252</v>
      </c>
      <c r="P2059" t="s">
        <v>27925</v>
      </c>
      <c r="Q2059" s="1">
        <v>44846</v>
      </c>
      <c r="R2059" t="s">
        <v>27253</v>
      </c>
      <c r="S2059" t="s">
        <v>27254</v>
      </c>
      <c r="T2059" t="s">
        <v>27265</v>
      </c>
    </row>
    <row r="2060" spans="1:20" x14ac:dyDescent="0.3">
      <c r="A2060" t="str">
        <f>"0611832285025"</f>
        <v>0611832285025</v>
      </c>
      <c r="B2060" t="str">
        <f>"MC0157"</f>
        <v>MC0157</v>
      </c>
      <c r="C2060" t="s">
        <v>31225</v>
      </c>
      <c r="D2060" t="s">
        <v>27267</v>
      </c>
      <c r="E2060" t="str">
        <f t="shared" si="32"/>
        <v>001390</v>
      </c>
      <c r="F2060" t="s">
        <v>27246</v>
      </c>
      <c r="G2060" t="s">
        <v>27247</v>
      </c>
      <c r="H2060" t="s">
        <v>27248</v>
      </c>
      <c r="I2060" t="s">
        <v>31226</v>
      </c>
      <c r="J2060" t="s">
        <v>4129</v>
      </c>
      <c r="L2060" t="s">
        <v>27250</v>
      </c>
      <c r="M2060" t="s">
        <v>27251</v>
      </c>
      <c r="N2060" t="s">
        <v>27252</v>
      </c>
      <c r="Q2060" s="1">
        <v>44538</v>
      </c>
      <c r="R2060" t="s">
        <v>27253</v>
      </c>
      <c r="S2060" t="s">
        <v>27254</v>
      </c>
      <c r="T2060" t="s">
        <v>27269</v>
      </c>
    </row>
    <row r="2061" spans="1:20" x14ac:dyDescent="0.3">
      <c r="A2061" t="str">
        <f>"0611832288025"</f>
        <v>0611832288025</v>
      </c>
      <c r="B2061" t="str">
        <f>"MC4010"</f>
        <v>MC4010</v>
      </c>
      <c r="C2061" t="s">
        <v>31227</v>
      </c>
      <c r="D2061" t="s">
        <v>27267</v>
      </c>
      <c r="E2061" t="str">
        <f t="shared" si="32"/>
        <v>001390</v>
      </c>
      <c r="F2061" t="s">
        <v>27246</v>
      </c>
      <c r="G2061" t="s">
        <v>27247</v>
      </c>
      <c r="H2061" t="s">
        <v>27248</v>
      </c>
      <c r="I2061" t="s">
        <v>31228</v>
      </c>
      <c r="J2061" t="s">
        <v>4131</v>
      </c>
      <c r="L2061" t="s">
        <v>27250</v>
      </c>
      <c r="M2061" t="s">
        <v>27251</v>
      </c>
      <c r="N2061" t="s">
        <v>27252</v>
      </c>
      <c r="Q2061" s="1">
        <v>44538</v>
      </c>
      <c r="R2061" t="s">
        <v>27253</v>
      </c>
      <c r="S2061" t="s">
        <v>27254</v>
      </c>
      <c r="T2061" t="s">
        <v>27269</v>
      </c>
    </row>
    <row r="2062" spans="1:20" x14ac:dyDescent="0.3">
      <c r="A2062" t="str">
        <f>"0611832289025"</f>
        <v>0611832289025</v>
      </c>
      <c r="B2062" t="str">
        <f>"MC2696"</f>
        <v>MC2696</v>
      </c>
      <c r="C2062" t="s">
        <v>31229</v>
      </c>
      <c r="D2062" t="s">
        <v>27267</v>
      </c>
      <c r="E2062" t="str">
        <f t="shared" si="32"/>
        <v>001390</v>
      </c>
      <c r="F2062" t="s">
        <v>27246</v>
      </c>
      <c r="G2062" t="s">
        <v>27247</v>
      </c>
      <c r="H2062" t="s">
        <v>27248</v>
      </c>
      <c r="I2062" t="s">
        <v>31230</v>
      </c>
      <c r="J2062" t="s">
        <v>4133</v>
      </c>
      <c r="L2062" t="s">
        <v>27250</v>
      </c>
      <c r="M2062" t="s">
        <v>27251</v>
      </c>
      <c r="N2062" t="s">
        <v>27252</v>
      </c>
      <c r="Q2062" s="1">
        <v>44538</v>
      </c>
      <c r="R2062" t="s">
        <v>27253</v>
      </c>
      <c r="S2062" t="s">
        <v>27254</v>
      </c>
      <c r="T2062" t="s">
        <v>27269</v>
      </c>
    </row>
    <row r="2063" spans="1:20" x14ac:dyDescent="0.3">
      <c r="A2063" t="str">
        <f>"0611861087050"</f>
        <v>0611861087050</v>
      </c>
      <c r="B2063" t="str">
        <f>"CR4029"</f>
        <v>CR4029</v>
      </c>
      <c r="C2063" t="s">
        <v>31231</v>
      </c>
      <c r="D2063" t="s">
        <v>27263</v>
      </c>
      <c r="E2063" t="str">
        <f t="shared" si="32"/>
        <v>001390</v>
      </c>
      <c r="F2063" t="s">
        <v>27246</v>
      </c>
      <c r="G2063" t="s">
        <v>27247</v>
      </c>
      <c r="H2063" t="s">
        <v>27248</v>
      </c>
      <c r="I2063" t="s">
        <v>31232</v>
      </c>
      <c r="J2063" t="s">
        <v>4135</v>
      </c>
      <c r="L2063" t="s">
        <v>27250</v>
      </c>
      <c r="M2063" t="s">
        <v>27251</v>
      </c>
      <c r="N2063" t="s">
        <v>27252</v>
      </c>
      <c r="Q2063" s="1">
        <v>44846</v>
      </c>
      <c r="R2063" t="s">
        <v>27253</v>
      </c>
      <c r="S2063" t="s">
        <v>27254</v>
      </c>
      <c r="T2063" t="s">
        <v>27265</v>
      </c>
    </row>
    <row r="2064" spans="1:20" x14ac:dyDescent="0.3">
      <c r="A2064" t="str">
        <f>"0611861088050"</f>
        <v>0611861088050</v>
      </c>
      <c r="B2064" t="str">
        <f>"CR4030"</f>
        <v>CR4030</v>
      </c>
      <c r="C2064" t="s">
        <v>31233</v>
      </c>
      <c r="D2064" t="s">
        <v>27263</v>
      </c>
      <c r="E2064" t="str">
        <f t="shared" si="32"/>
        <v>001390</v>
      </c>
      <c r="F2064" t="s">
        <v>27246</v>
      </c>
      <c r="G2064" t="s">
        <v>27247</v>
      </c>
      <c r="H2064" t="s">
        <v>27248</v>
      </c>
      <c r="I2064" t="s">
        <v>31234</v>
      </c>
      <c r="J2064" t="s">
        <v>4137</v>
      </c>
      <c r="L2064" t="s">
        <v>27250</v>
      </c>
      <c r="M2064" t="s">
        <v>27251</v>
      </c>
      <c r="N2064" t="s">
        <v>27252</v>
      </c>
      <c r="Q2064" s="1">
        <v>44846</v>
      </c>
      <c r="R2064" t="s">
        <v>27253</v>
      </c>
      <c r="S2064" t="s">
        <v>27254</v>
      </c>
      <c r="T2064" t="s">
        <v>27265</v>
      </c>
    </row>
    <row r="2065" spans="1:20" x14ac:dyDescent="0.3">
      <c r="A2065" t="str">
        <f>"0611861089050"</f>
        <v>0611861089050</v>
      </c>
      <c r="B2065" t="str">
        <f>"CR4031"</f>
        <v>CR4031</v>
      </c>
      <c r="C2065" t="s">
        <v>31235</v>
      </c>
      <c r="D2065" t="s">
        <v>27263</v>
      </c>
      <c r="E2065" t="str">
        <f t="shared" si="32"/>
        <v>001390</v>
      </c>
      <c r="F2065" t="s">
        <v>27246</v>
      </c>
      <c r="G2065" t="s">
        <v>27247</v>
      </c>
      <c r="H2065" t="s">
        <v>27248</v>
      </c>
      <c r="I2065" t="s">
        <v>31236</v>
      </c>
      <c r="J2065" t="s">
        <v>4139</v>
      </c>
      <c r="L2065" t="s">
        <v>27250</v>
      </c>
      <c r="M2065" t="s">
        <v>27251</v>
      </c>
      <c r="N2065" t="s">
        <v>27252</v>
      </c>
      <c r="Q2065" s="1">
        <v>44846</v>
      </c>
      <c r="R2065" t="s">
        <v>27253</v>
      </c>
      <c r="S2065" t="s">
        <v>27254</v>
      </c>
      <c r="T2065" t="s">
        <v>27265</v>
      </c>
    </row>
    <row r="2066" spans="1:20" x14ac:dyDescent="0.3">
      <c r="A2066" t="str">
        <f>"0611861090050"</f>
        <v>0611861090050</v>
      </c>
      <c r="B2066" t="str">
        <f>"CR4032"</f>
        <v>CR4032</v>
      </c>
      <c r="C2066" t="s">
        <v>31237</v>
      </c>
      <c r="D2066" t="s">
        <v>27263</v>
      </c>
      <c r="E2066" t="str">
        <f t="shared" si="32"/>
        <v>001390</v>
      </c>
      <c r="F2066" t="s">
        <v>27246</v>
      </c>
      <c r="G2066" t="s">
        <v>27247</v>
      </c>
      <c r="H2066" t="s">
        <v>27248</v>
      </c>
      <c r="I2066" t="s">
        <v>31238</v>
      </c>
      <c r="J2066" t="s">
        <v>4141</v>
      </c>
      <c r="L2066" t="s">
        <v>27250</v>
      </c>
      <c r="M2066" t="s">
        <v>27251</v>
      </c>
      <c r="N2066" t="s">
        <v>27252</v>
      </c>
      <c r="Q2066" s="1">
        <v>44846</v>
      </c>
      <c r="R2066" t="s">
        <v>27253</v>
      </c>
      <c r="S2066" t="s">
        <v>27254</v>
      </c>
      <c r="T2066" t="s">
        <v>27265</v>
      </c>
    </row>
    <row r="2067" spans="1:20" x14ac:dyDescent="0.3">
      <c r="A2067" t="str">
        <f>"0611832294025"</f>
        <v>0611832294025</v>
      </c>
      <c r="B2067" t="str">
        <f>"MC4148"</f>
        <v>MC4148</v>
      </c>
      <c r="C2067" t="s">
        <v>31239</v>
      </c>
      <c r="D2067" t="s">
        <v>27267</v>
      </c>
      <c r="E2067" t="str">
        <f t="shared" si="32"/>
        <v>001390</v>
      </c>
      <c r="F2067" t="s">
        <v>27246</v>
      </c>
      <c r="G2067" t="s">
        <v>27247</v>
      </c>
      <c r="H2067" t="s">
        <v>27248</v>
      </c>
      <c r="I2067" t="s">
        <v>31240</v>
      </c>
      <c r="J2067" t="s">
        <v>4145</v>
      </c>
      <c r="L2067" t="s">
        <v>27250</v>
      </c>
      <c r="M2067" t="s">
        <v>27251</v>
      </c>
      <c r="N2067" t="s">
        <v>27252</v>
      </c>
      <c r="Q2067" s="1">
        <v>44538</v>
      </c>
      <c r="R2067" t="s">
        <v>27253</v>
      </c>
      <c r="S2067" t="s">
        <v>27254</v>
      </c>
      <c r="T2067" t="s">
        <v>27269</v>
      </c>
    </row>
    <row r="2068" spans="1:20" x14ac:dyDescent="0.3">
      <c r="A2068" t="str">
        <f>"0611832295100"</f>
        <v>0611832295100</v>
      </c>
      <c r="B2068" t="str">
        <f>"LK2603"</f>
        <v>LK2603</v>
      </c>
      <c r="C2068" t="s">
        <v>31241</v>
      </c>
      <c r="D2068" t="s">
        <v>27245</v>
      </c>
      <c r="E2068" t="str">
        <f t="shared" si="32"/>
        <v>001390</v>
      </c>
      <c r="F2068" t="s">
        <v>27246</v>
      </c>
      <c r="G2068" t="s">
        <v>27247</v>
      </c>
      <c r="H2068" t="s">
        <v>27248</v>
      </c>
      <c r="I2068" t="s">
        <v>31242</v>
      </c>
      <c r="J2068" t="s">
        <v>4147</v>
      </c>
      <c r="L2068" t="s">
        <v>27250</v>
      </c>
      <c r="M2068" t="s">
        <v>27251</v>
      </c>
      <c r="N2068" t="s">
        <v>27252</v>
      </c>
      <c r="Q2068" s="1">
        <v>44538</v>
      </c>
      <c r="R2068" t="s">
        <v>27253</v>
      </c>
      <c r="S2068" t="s">
        <v>27254</v>
      </c>
      <c r="T2068" t="s">
        <v>27255</v>
      </c>
    </row>
    <row r="2069" spans="1:20" x14ac:dyDescent="0.3">
      <c r="A2069" t="str">
        <f>"0611832296100"</f>
        <v>0611832296100</v>
      </c>
      <c r="B2069" t="str">
        <f>"LK6997"</f>
        <v>LK6997</v>
      </c>
      <c r="C2069" t="s">
        <v>31243</v>
      </c>
      <c r="D2069" t="s">
        <v>27245</v>
      </c>
      <c r="E2069" t="str">
        <f t="shared" si="32"/>
        <v>001390</v>
      </c>
      <c r="F2069" t="s">
        <v>27246</v>
      </c>
      <c r="G2069" t="s">
        <v>27247</v>
      </c>
      <c r="H2069" t="s">
        <v>27248</v>
      </c>
      <c r="I2069" t="s">
        <v>31244</v>
      </c>
      <c r="J2069" t="s">
        <v>4149</v>
      </c>
      <c r="L2069" t="s">
        <v>27250</v>
      </c>
      <c r="M2069" t="s">
        <v>27251</v>
      </c>
      <c r="N2069" t="s">
        <v>27252</v>
      </c>
      <c r="Q2069" s="1">
        <v>44538</v>
      </c>
      <c r="R2069" t="s">
        <v>27253</v>
      </c>
      <c r="S2069" t="s">
        <v>27254</v>
      </c>
      <c r="T2069" t="s">
        <v>27255</v>
      </c>
    </row>
    <row r="2070" spans="1:20" x14ac:dyDescent="0.3">
      <c r="A2070" t="str">
        <f>"0611832293100"</f>
        <v>0611832293100</v>
      </c>
      <c r="B2070" t="str">
        <f>"LK5665"</f>
        <v>LK5665</v>
      </c>
      <c r="C2070" t="s">
        <v>31245</v>
      </c>
      <c r="D2070" t="s">
        <v>27245</v>
      </c>
      <c r="E2070" t="str">
        <f t="shared" si="32"/>
        <v>001390</v>
      </c>
      <c r="F2070" t="s">
        <v>27246</v>
      </c>
      <c r="G2070" t="s">
        <v>27247</v>
      </c>
      <c r="H2070" t="s">
        <v>27248</v>
      </c>
      <c r="I2070" t="s">
        <v>31246</v>
      </c>
      <c r="J2070" t="s">
        <v>4143</v>
      </c>
      <c r="L2070" t="s">
        <v>27250</v>
      </c>
      <c r="M2070" t="s">
        <v>27251</v>
      </c>
      <c r="N2070" t="s">
        <v>27252</v>
      </c>
      <c r="Q2070" s="1">
        <v>44538</v>
      </c>
      <c r="R2070" t="s">
        <v>27253</v>
      </c>
      <c r="S2070" t="s">
        <v>27254</v>
      </c>
      <c r="T2070" t="s">
        <v>27255</v>
      </c>
    </row>
    <row r="2071" spans="1:20" x14ac:dyDescent="0.3">
      <c r="A2071" t="str">
        <f>"0611832297100"</f>
        <v>0611832297100</v>
      </c>
      <c r="B2071" t="str">
        <f>"LK6001"</f>
        <v>LK6001</v>
      </c>
      <c r="C2071" t="s">
        <v>31247</v>
      </c>
      <c r="D2071" t="s">
        <v>27245</v>
      </c>
      <c r="E2071" t="str">
        <f t="shared" si="32"/>
        <v>001390</v>
      </c>
      <c r="F2071" t="s">
        <v>27246</v>
      </c>
      <c r="G2071" t="s">
        <v>27247</v>
      </c>
      <c r="H2071" t="s">
        <v>27248</v>
      </c>
      <c r="I2071" t="s">
        <v>31248</v>
      </c>
      <c r="J2071" t="s">
        <v>4151</v>
      </c>
      <c r="L2071" t="s">
        <v>27250</v>
      </c>
      <c r="M2071" t="s">
        <v>27251</v>
      </c>
      <c r="N2071" t="s">
        <v>27252</v>
      </c>
      <c r="Q2071" s="1">
        <v>44538</v>
      </c>
      <c r="R2071" t="s">
        <v>27253</v>
      </c>
      <c r="S2071" t="s">
        <v>27254</v>
      </c>
      <c r="T2071" t="s">
        <v>27255</v>
      </c>
    </row>
    <row r="2072" spans="1:20" x14ac:dyDescent="0.3">
      <c r="A2072" t="str">
        <f>"0611832298100"</f>
        <v>0611832298100</v>
      </c>
      <c r="B2072" t="str">
        <f>"LK6002"</f>
        <v>LK6002</v>
      </c>
      <c r="C2072" t="s">
        <v>31249</v>
      </c>
      <c r="D2072" t="s">
        <v>27245</v>
      </c>
      <c r="E2072" t="str">
        <f t="shared" si="32"/>
        <v>001390</v>
      </c>
      <c r="F2072" t="s">
        <v>27246</v>
      </c>
      <c r="G2072" t="s">
        <v>27247</v>
      </c>
      <c r="H2072" t="s">
        <v>27248</v>
      </c>
      <c r="I2072" t="s">
        <v>31250</v>
      </c>
      <c r="J2072" t="s">
        <v>4153</v>
      </c>
      <c r="L2072" t="s">
        <v>27250</v>
      </c>
      <c r="M2072" t="s">
        <v>27251</v>
      </c>
      <c r="N2072" t="s">
        <v>27252</v>
      </c>
      <c r="Q2072" s="1">
        <v>44538</v>
      </c>
      <c r="R2072" t="s">
        <v>27253</v>
      </c>
      <c r="S2072" t="s">
        <v>27254</v>
      </c>
      <c r="T2072" t="s">
        <v>27255</v>
      </c>
    </row>
    <row r="2073" spans="1:20" x14ac:dyDescent="0.3">
      <c r="A2073" t="str">
        <f>"0611832299100"</f>
        <v>0611832299100</v>
      </c>
      <c r="B2073" t="str">
        <f>"LK6041"</f>
        <v>LK6041</v>
      </c>
      <c r="C2073" t="s">
        <v>31251</v>
      </c>
      <c r="D2073" t="s">
        <v>27245</v>
      </c>
      <c r="E2073" t="str">
        <f t="shared" si="32"/>
        <v>001390</v>
      </c>
      <c r="F2073" t="s">
        <v>27246</v>
      </c>
      <c r="G2073" t="s">
        <v>27247</v>
      </c>
      <c r="H2073" t="s">
        <v>27248</v>
      </c>
      <c r="I2073" t="s">
        <v>31252</v>
      </c>
      <c r="J2073" t="s">
        <v>4155</v>
      </c>
      <c r="L2073" t="s">
        <v>27250</v>
      </c>
      <c r="M2073" t="s">
        <v>27251</v>
      </c>
      <c r="N2073" t="s">
        <v>27252</v>
      </c>
      <c r="Q2073" s="1">
        <v>44538</v>
      </c>
      <c r="R2073" t="s">
        <v>27253</v>
      </c>
      <c r="S2073" t="s">
        <v>27254</v>
      </c>
      <c r="T2073" t="s">
        <v>27255</v>
      </c>
    </row>
    <row r="2074" spans="1:20" x14ac:dyDescent="0.3">
      <c r="A2074" t="str">
        <f>"0611832300100"</f>
        <v>0611832300100</v>
      </c>
      <c r="B2074" t="str">
        <f>"LK6352"</f>
        <v>LK6352</v>
      </c>
      <c r="C2074" t="s">
        <v>31253</v>
      </c>
      <c r="D2074" t="s">
        <v>27245</v>
      </c>
      <c r="E2074" t="str">
        <f t="shared" si="32"/>
        <v>001390</v>
      </c>
      <c r="F2074" t="s">
        <v>27246</v>
      </c>
      <c r="G2074" t="s">
        <v>27247</v>
      </c>
      <c r="H2074" t="s">
        <v>27248</v>
      </c>
      <c r="I2074" t="s">
        <v>31254</v>
      </c>
      <c r="J2074" t="s">
        <v>4157</v>
      </c>
      <c r="L2074" t="s">
        <v>27250</v>
      </c>
      <c r="M2074" t="s">
        <v>27251</v>
      </c>
      <c r="N2074" t="s">
        <v>27252</v>
      </c>
      <c r="Q2074" s="1">
        <v>44538</v>
      </c>
      <c r="R2074" t="s">
        <v>27253</v>
      </c>
      <c r="S2074" t="s">
        <v>27254</v>
      </c>
      <c r="T2074" t="s">
        <v>27255</v>
      </c>
    </row>
    <row r="2075" spans="1:20" x14ac:dyDescent="0.3">
      <c r="A2075" t="str">
        <f>"0611856860100"</f>
        <v>0611856860100</v>
      </c>
      <c r="B2075" t="str">
        <f>"LK7047"</f>
        <v>LK7047</v>
      </c>
      <c r="C2075" t="s">
        <v>31255</v>
      </c>
      <c r="D2075" t="s">
        <v>27245</v>
      </c>
      <c r="E2075" t="str">
        <f t="shared" si="32"/>
        <v>001390</v>
      </c>
      <c r="F2075" t="s">
        <v>27246</v>
      </c>
      <c r="G2075" t="s">
        <v>27247</v>
      </c>
      <c r="H2075" t="s">
        <v>27248</v>
      </c>
      <c r="I2075" t="s">
        <v>31256</v>
      </c>
      <c r="J2075" t="s">
        <v>4159</v>
      </c>
      <c r="L2075" t="s">
        <v>27250</v>
      </c>
      <c r="M2075" t="s">
        <v>27251</v>
      </c>
      <c r="N2075" t="s">
        <v>27252</v>
      </c>
      <c r="Q2075" s="1">
        <v>44812</v>
      </c>
      <c r="R2075" t="s">
        <v>27253</v>
      </c>
      <c r="S2075" t="s">
        <v>27254</v>
      </c>
      <c r="T2075" t="s">
        <v>27255</v>
      </c>
    </row>
    <row r="2076" spans="1:20" x14ac:dyDescent="0.3">
      <c r="A2076" t="str">
        <f>"0611832301100"</f>
        <v>0611832301100</v>
      </c>
      <c r="B2076" t="str">
        <f>"LK5541"</f>
        <v>LK5541</v>
      </c>
      <c r="C2076" t="s">
        <v>31257</v>
      </c>
      <c r="D2076" t="s">
        <v>27245</v>
      </c>
      <c r="E2076" t="str">
        <f t="shared" si="32"/>
        <v>001390</v>
      </c>
      <c r="F2076" t="s">
        <v>27246</v>
      </c>
      <c r="G2076" t="s">
        <v>27247</v>
      </c>
      <c r="H2076" t="s">
        <v>27248</v>
      </c>
      <c r="I2076" t="s">
        <v>31258</v>
      </c>
      <c r="J2076" t="s">
        <v>4161</v>
      </c>
      <c r="L2076" t="s">
        <v>27250</v>
      </c>
      <c r="M2076" t="s">
        <v>27251</v>
      </c>
      <c r="N2076" t="s">
        <v>27252</v>
      </c>
      <c r="Q2076" s="1">
        <v>44538</v>
      </c>
      <c r="R2076" t="s">
        <v>27253</v>
      </c>
      <c r="S2076" t="s">
        <v>27254</v>
      </c>
      <c r="T2076" t="s">
        <v>27255</v>
      </c>
    </row>
    <row r="2077" spans="1:20" x14ac:dyDescent="0.3">
      <c r="A2077" t="str">
        <f>"0611832302025"</f>
        <v>0611832302025</v>
      </c>
      <c r="B2077" t="str">
        <f>"MC4149"</f>
        <v>MC4149</v>
      </c>
      <c r="C2077" t="s">
        <v>31257</v>
      </c>
      <c r="D2077" t="s">
        <v>27267</v>
      </c>
      <c r="E2077" t="str">
        <f t="shared" si="32"/>
        <v>001390</v>
      </c>
      <c r="F2077" t="s">
        <v>27246</v>
      </c>
      <c r="G2077" t="s">
        <v>27247</v>
      </c>
      <c r="H2077" t="s">
        <v>27248</v>
      </c>
      <c r="I2077" t="s">
        <v>31259</v>
      </c>
      <c r="J2077" t="s">
        <v>4163</v>
      </c>
      <c r="L2077" t="s">
        <v>27250</v>
      </c>
      <c r="M2077" t="s">
        <v>27251</v>
      </c>
      <c r="N2077" t="s">
        <v>27252</v>
      </c>
      <c r="Q2077" s="1">
        <v>44538</v>
      </c>
      <c r="R2077" t="s">
        <v>27253</v>
      </c>
      <c r="S2077" t="s">
        <v>27254</v>
      </c>
      <c r="T2077" t="s">
        <v>27269</v>
      </c>
    </row>
    <row r="2078" spans="1:20" x14ac:dyDescent="0.3">
      <c r="A2078" t="str">
        <f>"0611832303100"</f>
        <v>0611832303100</v>
      </c>
      <c r="B2078" t="str">
        <f>"LK5542"</f>
        <v>LK5542</v>
      </c>
      <c r="C2078" t="s">
        <v>31260</v>
      </c>
      <c r="D2078" t="s">
        <v>27245</v>
      </c>
      <c r="E2078" t="str">
        <f t="shared" si="32"/>
        <v>001390</v>
      </c>
      <c r="F2078" t="s">
        <v>27246</v>
      </c>
      <c r="G2078" t="s">
        <v>27247</v>
      </c>
      <c r="H2078" t="s">
        <v>27248</v>
      </c>
      <c r="I2078" t="s">
        <v>31261</v>
      </c>
      <c r="J2078" t="s">
        <v>4165</v>
      </c>
      <c r="L2078" t="s">
        <v>27250</v>
      </c>
      <c r="M2078" t="s">
        <v>27251</v>
      </c>
      <c r="N2078" t="s">
        <v>27252</v>
      </c>
      <c r="Q2078" s="1">
        <v>44538</v>
      </c>
      <c r="R2078" t="s">
        <v>27253</v>
      </c>
      <c r="S2078" t="s">
        <v>27254</v>
      </c>
      <c r="T2078" t="s">
        <v>27255</v>
      </c>
    </row>
    <row r="2079" spans="1:20" x14ac:dyDescent="0.3">
      <c r="A2079" t="str">
        <f>"0611832305100"</f>
        <v>0611832305100</v>
      </c>
      <c r="B2079" t="str">
        <f>"LK6637"</f>
        <v>LK6637</v>
      </c>
      <c r="C2079" t="s">
        <v>31262</v>
      </c>
      <c r="D2079" t="s">
        <v>27245</v>
      </c>
      <c r="E2079" t="str">
        <f t="shared" si="32"/>
        <v>001390</v>
      </c>
      <c r="F2079" t="s">
        <v>27246</v>
      </c>
      <c r="G2079" t="s">
        <v>27247</v>
      </c>
      <c r="H2079" t="s">
        <v>27248</v>
      </c>
      <c r="I2079" t="s">
        <v>31263</v>
      </c>
      <c r="J2079" t="s">
        <v>4167</v>
      </c>
      <c r="L2079" t="s">
        <v>27250</v>
      </c>
      <c r="M2079" t="s">
        <v>27251</v>
      </c>
      <c r="N2079" t="s">
        <v>27252</v>
      </c>
      <c r="Q2079" s="1">
        <v>44538</v>
      </c>
      <c r="R2079" t="s">
        <v>27253</v>
      </c>
      <c r="S2079" t="s">
        <v>27254</v>
      </c>
      <c r="T2079" t="s">
        <v>27255</v>
      </c>
    </row>
    <row r="2080" spans="1:20" x14ac:dyDescent="0.3">
      <c r="A2080" t="str">
        <f>"0611832306100"</f>
        <v>0611832306100</v>
      </c>
      <c r="B2080" t="str">
        <f>"LK5543"</f>
        <v>LK5543</v>
      </c>
      <c r="C2080" t="s">
        <v>31264</v>
      </c>
      <c r="D2080" t="s">
        <v>27245</v>
      </c>
      <c r="E2080" t="str">
        <f t="shared" si="32"/>
        <v>001390</v>
      </c>
      <c r="F2080" t="s">
        <v>27246</v>
      </c>
      <c r="G2080" t="s">
        <v>27247</v>
      </c>
      <c r="H2080" t="s">
        <v>27248</v>
      </c>
      <c r="I2080" t="s">
        <v>31265</v>
      </c>
      <c r="J2080" t="s">
        <v>4169</v>
      </c>
      <c r="L2080" t="s">
        <v>27250</v>
      </c>
      <c r="M2080" t="s">
        <v>27251</v>
      </c>
      <c r="N2080" t="s">
        <v>27252</v>
      </c>
      <c r="Q2080" s="1">
        <v>44538</v>
      </c>
      <c r="R2080" t="s">
        <v>27253</v>
      </c>
      <c r="S2080" t="s">
        <v>27254</v>
      </c>
      <c r="T2080" t="s">
        <v>27255</v>
      </c>
    </row>
    <row r="2081" spans="1:20" x14ac:dyDescent="0.3">
      <c r="A2081" t="str">
        <f>"0611832307025"</f>
        <v>0611832307025</v>
      </c>
      <c r="B2081" t="str">
        <f>"MC4151"</f>
        <v>MC4151</v>
      </c>
      <c r="C2081" t="s">
        <v>31264</v>
      </c>
      <c r="D2081" t="s">
        <v>27267</v>
      </c>
      <c r="E2081" t="str">
        <f t="shared" si="32"/>
        <v>001390</v>
      </c>
      <c r="F2081" t="s">
        <v>27246</v>
      </c>
      <c r="G2081" t="s">
        <v>27247</v>
      </c>
      <c r="H2081" t="s">
        <v>27248</v>
      </c>
      <c r="I2081" t="s">
        <v>31266</v>
      </c>
      <c r="J2081" t="s">
        <v>4171</v>
      </c>
      <c r="L2081" t="s">
        <v>27250</v>
      </c>
      <c r="M2081" t="s">
        <v>27251</v>
      </c>
      <c r="N2081" t="s">
        <v>27252</v>
      </c>
      <c r="Q2081" s="1">
        <v>44538</v>
      </c>
      <c r="R2081" t="s">
        <v>27253</v>
      </c>
      <c r="S2081" t="s">
        <v>27254</v>
      </c>
      <c r="T2081" t="s">
        <v>27269</v>
      </c>
    </row>
    <row r="2082" spans="1:20" x14ac:dyDescent="0.3">
      <c r="A2082" t="str">
        <f>"0611832291100"</f>
        <v>0611832291100</v>
      </c>
      <c r="B2082" t="str">
        <f>"LK0099"</f>
        <v>LK0099</v>
      </c>
      <c r="C2082" t="s">
        <v>31267</v>
      </c>
      <c r="D2082" t="s">
        <v>27245</v>
      </c>
      <c r="E2082" t="str">
        <f t="shared" si="32"/>
        <v>001390</v>
      </c>
      <c r="F2082" t="s">
        <v>27246</v>
      </c>
      <c r="G2082" t="s">
        <v>27247</v>
      </c>
      <c r="H2082" t="s">
        <v>27248</v>
      </c>
      <c r="I2082" t="s">
        <v>31268</v>
      </c>
      <c r="J2082" t="s">
        <v>4173</v>
      </c>
      <c r="L2082" t="s">
        <v>27250</v>
      </c>
      <c r="M2082" t="s">
        <v>27251</v>
      </c>
      <c r="N2082" t="s">
        <v>27252</v>
      </c>
      <c r="Q2082" s="1">
        <v>44538</v>
      </c>
      <c r="R2082" t="s">
        <v>27253</v>
      </c>
      <c r="S2082" t="s">
        <v>27254</v>
      </c>
      <c r="T2082" t="s">
        <v>27255</v>
      </c>
    </row>
    <row r="2083" spans="1:20" x14ac:dyDescent="0.3">
      <c r="A2083" t="str">
        <f>"0611832292025"</f>
        <v>0611832292025</v>
      </c>
      <c r="B2083" t="str">
        <f>"MC0845"</f>
        <v>MC0845</v>
      </c>
      <c r="C2083" t="s">
        <v>31267</v>
      </c>
      <c r="D2083" t="s">
        <v>27267</v>
      </c>
      <c r="E2083" t="str">
        <f t="shared" si="32"/>
        <v>001390</v>
      </c>
      <c r="F2083" t="s">
        <v>27246</v>
      </c>
      <c r="G2083" t="s">
        <v>27247</v>
      </c>
      <c r="H2083" t="s">
        <v>27248</v>
      </c>
      <c r="I2083" t="s">
        <v>31269</v>
      </c>
      <c r="J2083" t="s">
        <v>4175</v>
      </c>
      <c r="L2083" t="s">
        <v>27250</v>
      </c>
      <c r="M2083" t="s">
        <v>27251</v>
      </c>
      <c r="N2083" t="s">
        <v>27252</v>
      </c>
      <c r="Q2083" s="1">
        <v>44538</v>
      </c>
      <c r="R2083" t="s">
        <v>27253</v>
      </c>
      <c r="S2083" t="s">
        <v>27254</v>
      </c>
      <c r="T2083" t="s">
        <v>27269</v>
      </c>
    </row>
    <row r="2084" spans="1:20" x14ac:dyDescent="0.3">
      <c r="A2084" t="str">
        <f>"0611832308100"</f>
        <v>0611832308100</v>
      </c>
      <c r="B2084" t="str">
        <f>"LK5647"</f>
        <v>LK5647</v>
      </c>
      <c r="C2084" t="s">
        <v>31270</v>
      </c>
      <c r="D2084" t="s">
        <v>27245</v>
      </c>
      <c r="E2084" t="str">
        <f t="shared" si="32"/>
        <v>001390</v>
      </c>
      <c r="F2084" t="s">
        <v>27246</v>
      </c>
      <c r="G2084" t="s">
        <v>27247</v>
      </c>
      <c r="H2084" t="s">
        <v>27248</v>
      </c>
      <c r="I2084" t="s">
        <v>31271</v>
      </c>
      <c r="J2084" t="s">
        <v>4177</v>
      </c>
      <c r="L2084" t="s">
        <v>27250</v>
      </c>
      <c r="M2084" t="s">
        <v>27251</v>
      </c>
      <c r="N2084" t="s">
        <v>27252</v>
      </c>
      <c r="Q2084" s="1">
        <v>44538</v>
      </c>
      <c r="R2084" t="s">
        <v>27253</v>
      </c>
      <c r="S2084" t="s">
        <v>27254</v>
      </c>
      <c r="T2084" t="s">
        <v>27255</v>
      </c>
    </row>
    <row r="2085" spans="1:20" x14ac:dyDescent="0.3">
      <c r="A2085" t="str">
        <f>"0611832309100"</f>
        <v>0611832309100</v>
      </c>
      <c r="B2085" t="str">
        <f>"LK6371"</f>
        <v>LK6371</v>
      </c>
      <c r="C2085" t="s">
        <v>31272</v>
      </c>
      <c r="D2085" t="s">
        <v>27245</v>
      </c>
      <c r="E2085" t="str">
        <f t="shared" si="32"/>
        <v>001390</v>
      </c>
      <c r="F2085" t="s">
        <v>27246</v>
      </c>
      <c r="G2085" t="s">
        <v>27247</v>
      </c>
      <c r="H2085" t="s">
        <v>27248</v>
      </c>
      <c r="I2085" t="s">
        <v>31273</v>
      </c>
      <c r="J2085" t="s">
        <v>4179</v>
      </c>
      <c r="L2085" t="s">
        <v>27250</v>
      </c>
      <c r="M2085" t="s">
        <v>27251</v>
      </c>
      <c r="N2085" t="s">
        <v>27252</v>
      </c>
      <c r="Q2085" s="1">
        <v>44538</v>
      </c>
      <c r="R2085" t="s">
        <v>27253</v>
      </c>
      <c r="S2085" t="s">
        <v>27254</v>
      </c>
      <c r="T2085" t="s">
        <v>27255</v>
      </c>
    </row>
    <row r="2086" spans="1:20" x14ac:dyDescent="0.3">
      <c r="A2086" t="str">
        <f>"0611832310100"</f>
        <v>0611832310100</v>
      </c>
      <c r="B2086" t="str">
        <f>"LK6326"</f>
        <v>LK6326</v>
      </c>
      <c r="C2086" t="s">
        <v>31274</v>
      </c>
      <c r="D2086" t="s">
        <v>27245</v>
      </c>
      <c r="E2086" t="str">
        <f t="shared" si="32"/>
        <v>001390</v>
      </c>
      <c r="F2086" t="s">
        <v>27246</v>
      </c>
      <c r="G2086" t="s">
        <v>27247</v>
      </c>
      <c r="H2086" t="s">
        <v>27248</v>
      </c>
      <c r="I2086" t="s">
        <v>31275</v>
      </c>
      <c r="J2086" t="s">
        <v>4181</v>
      </c>
      <c r="L2086" t="s">
        <v>27250</v>
      </c>
      <c r="M2086" t="s">
        <v>27251</v>
      </c>
      <c r="N2086" t="s">
        <v>27252</v>
      </c>
      <c r="Q2086" s="1">
        <v>44538</v>
      </c>
      <c r="R2086" t="s">
        <v>27253</v>
      </c>
      <c r="S2086" t="s">
        <v>27254</v>
      </c>
      <c r="T2086" t="s">
        <v>27255</v>
      </c>
    </row>
    <row r="2087" spans="1:20" x14ac:dyDescent="0.3">
      <c r="A2087" t="str">
        <f>"0611832311100"</f>
        <v>0611832311100</v>
      </c>
      <c r="B2087" t="str">
        <f>"LK6372"</f>
        <v>LK6372</v>
      </c>
      <c r="C2087" t="s">
        <v>31276</v>
      </c>
      <c r="D2087" t="s">
        <v>27245</v>
      </c>
      <c r="E2087" t="str">
        <f t="shared" si="32"/>
        <v>001390</v>
      </c>
      <c r="F2087" t="s">
        <v>27246</v>
      </c>
      <c r="G2087" t="s">
        <v>27247</v>
      </c>
      <c r="H2087" t="s">
        <v>27248</v>
      </c>
      <c r="I2087" t="s">
        <v>31277</v>
      </c>
      <c r="J2087" t="s">
        <v>4183</v>
      </c>
      <c r="L2087" t="s">
        <v>27250</v>
      </c>
      <c r="M2087" t="s">
        <v>27251</v>
      </c>
      <c r="N2087" t="s">
        <v>27252</v>
      </c>
      <c r="Q2087" s="1">
        <v>44538</v>
      </c>
      <c r="R2087" t="s">
        <v>27253</v>
      </c>
      <c r="S2087" t="s">
        <v>27254</v>
      </c>
      <c r="T2087" t="s">
        <v>27255</v>
      </c>
    </row>
    <row r="2088" spans="1:20" x14ac:dyDescent="0.3">
      <c r="A2088" t="str">
        <f>"0611832312100"</f>
        <v>0611832312100</v>
      </c>
      <c r="B2088" t="str">
        <f>"LK5428"</f>
        <v>LK5428</v>
      </c>
      <c r="C2088" t="s">
        <v>31278</v>
      </c>
      <c r="D2088" t="s">
        <v>27245</v>
      </c>
      <c r="E2088" t="str">
        <f t="shared" si="32"/>
        <v>001390</v>
      </c>
      <c r="F2088" t="s">
        <v>27246</v>
      </c>
      <c r="G2088" t="s">
        <v>27247</v>
      </c>
      <c r="H2088" t="s">
        <v>27248</v>
      </c>
      <c r="I2088" t="s">
        <v>31279</v>
      </c>
      <c r="J2088" t="s">
        <v>4185</v>
      </c>
      <c r="L2088" t="s">
        <v>27250</v>
      </c>
      <c r="M2088" t="s">
        <v>27251</v>
      </c>
      <c r="N2088" t="s">
        <v>27252</v>
      </c>
      <c r="Q2088" s="1">
        <v>44538</v>
      </c>
      <c r="R2088" t="s">
        <v>27253</v>
      </c>
      <c r="S2088" t="s">
        <v>27254</v>
      </c>
      <c r="T2088" t="s">
        <v>27255</v>
      </c>
    </row>
    <row r="2089" spans="1:20" x14ac:dyDescent="0.3">
      <c r="A2089" t="str">
        <f>"0611832313100"</f>
        <v>0611832313100</v>
      </c>
      <c r="B2089" t="str">
        <f>"LK4644"</f>
        <v>LK4644</v>
      </c>
      <c r="C2089" t="s">
        <v>31280</v>
      </c>
      <c r="D2089" t="s">
        <v>27245</v>
      </c>
      <c r="E2089" t="str">
        <f t="shared" si="32"/>
        <v>001390</v>
      </c>
      <c r="F2089" t="s">
        <v>27246</v>
      </c>
      <c r="G2089" t="s">
        <v>27247</v>
      </c>
      <c r="H2089" t="s">
        <v>27248</v>
      </c>
      <c r="I2089" t="s">
        <v>31281</v>
      </c>
      <c r="J2089" t="s">
        <v>4187</v>
      </c>
      <c r="L2089" t="s">
        <v>27250</v>
      </c>
      <c r="M2089" t="s">
        <v>27251</v>
      </c>
      <c r="N2089" t="s">
        <v>27252</v>
      </c>
      <c r="Q2089" s="1">
        <v>44538</v>
      </c>
      <c r="R2089" t="s">
        <v>27253</v>
      </c>
      <c r="S2089" t="s">
        <v>27254</v>
      </c>
      <c r="T2089" t="s">
        <v>27255</v>
      </c>
    </row>
    <row r="2090" spans="1:20" x14ac:dyDescent="0.3">
      <c r="A2090" t="str">
        <f>"0611832314100"</f>
        <v>0611832314100</v>
      </c>
      <c r="B2090" t="str">
        <f>"LK0665"</f>
        <v>LK0665</v>
      </c>
      <c r="C2090" t="s">
        <v>31282</v>
      </c>
      <c r="D2090" t="s">
        <v>27245</v>
      </c>
      <c r="E2090" t="str">
        <f t="shared" si="32"/>
        <v>001390</v>
      </c>
      <c r="F2090" t="s">
        <v>27246</v>
      </c>
      <c r="G2090" t="s">
        <v>27247</v>
      </c>
      <c r="H2090" t="s">
        <v>27248</v>
      </c>
      <c r="I2090" t="s">
        <v>31283</v>
      </c>
      <c r="J2090" t="s">
        <v>4189</v>
      </c>
      <c r="L2090" t="s">
        <v>27250</v>
      </c>
      <c r="M2090" t="s">
        <v>27251</v>
      </c>
      <c r="N2090" t="s">
        <v>27252</v>
      </c>
      <c r="Q2090" s="1">
        <v>44538</v>
      </c>
      <c r="R2090" t="s">
        <v>27253</v>
      </c>
      <c r="S2090" t="s">
        <v>27254</v>
      </c>
      <c r="T2090" t="s">
        <v>27255</v>
      </c>
    </row>
    <row r="2091" spans="1:20" x14ac:dyDescent="0.3">
      <c r="A2091" t="str">
        <f>"0611832315100"</f>
        <v>0611832315100</v>
      </c>
      <c r="B2091" t="str">
        <f>"LB1600"</f>
        <v>LB1600</v>
      </c>
      <c r="C2091" t="s">
        <v>31284</v>
      </c>
      <c r="D2091" t="s">
        <v>27245</v>
      </c>
      <c r="E2091" t="str">
        <f t="shared" si="32"/>
        <v>001390</v>
      </c>
      <c r="F2091" t="s">
        <v>27246</v>
      </c>
      <c r="G2091" t="s">
        <v>27247</v>
      </c>
      <c r="H2091" t="s">
        <v>27248</v>
      </c>
      <c r="I2091" t="s">
        <v>31285</v>
      </c>
      <c r="J2091" t="s">
        <v>4191</v>
      </c>
      <c r="L2091" t="s">
        <v>27250</v>
      </c>
      <c r="M2091" t="s">
        <v>27251</v>
      </c>
      <c r="N2091" t="s">
        <v>27252</v>
      </c>
      <c r="Q2091" s="1">
        <v>44538</v>
      </c>
      <c r="R2091" t="s">
        <v>27253</v>
      </c>
      <c r="S2091" t="s">
        <v>27254</v>
      </c>
      <c r="T2091" t="s">
        <v>27255</v>
      </c>
    </row>
    <row r="2092" spans="1:20" x14ac:dyDescent="0.3">
      <c r="A2092" t="str">
        <f>"0611832316100"</f>
        <v>0611832316100</v>
      </c>
      <c r="B2092" t="str">
        <f>"LB1601"</f>
        <v>LB1601</v>
      </c>
      <c r="C2092" t="s">
        <v>31286</v>
      </c>
      <c r="D2092" t="s">
        <v>27245</v>
      </c>
      <c r="E2092" t="str">
        <f t="shared" si="32"/>
        <v>001390</v>
      </c>
      <c r="F2092" t="s">
        <v>27246</v>
      </c>
      <c r="G2092" t="s">
        <v>27247</v>
      </c>
      <c r="H2092" t="s">
        <v>27248</v>
      </c>
      <c r="I2092" t="s">
        <v>31287</v>
      </c>
      <c r="J2092" t="s">
        <v>4193</v>
      </c>
      <c r="L2092" t="s">
        <v>27250</v>
      </c>
      <c r="M2092" t="s">
        <v>27251</v>
      </c>
      <c r="N2092" t="s">
        <v>27252</v>
      </c>
      <c r="Q2092" s="1">
        <v>44538</v>
      </c>
      <c r="R2092" t="s">
        <v>27253</v>
      </c>
      <c r="S2092" t="s">
        <v>27254</v>
      </c>
      <c r="T2092" t="s">
        <v>27255</v>
      </c>
    </row>
    <row r="2093" spans="1:20" x14ac:dyDescent="0.3">
      <c r="A2093" t="str">
        <f>"0611832317100"</f>
        <v>0611832317100</v>
      </c>
      <c r="B2093" t="str">
        <f>"LK2770"</f>
        <v>LK2770</v>
      </c>
      <c r="C2093" t="s">
        <v>31288</v>
      </c>
      <c r="D2093" t="s">
        <v>27245</v>
      </c>
      <c r="E2093" t="str">
        <f t="shared" si="32"/>
        <v>001390</v>
      </c>
      <c r="F2093" t="s">
        <v>27246</v>
      </c>
      <c r="G2093" t="s">
        <v>27247</v>
      </c>
      <c r="H2093" t="s">
        <v>27248</v>
      </c>
      <c r="I2093" t="s">
        <v>31289</v>
      </c>
      <c r="J2093" t="s">
        <v>4195</v>
      </c>
      <c r="L2093" t="s">
        <v>27250</v>
      </c>
      <c r="M2093" t="s">
        <v>27251</v>
      </c>
      <c r="N2093" t="s">
        <v>27252</v>
      </c>
      <c r="Q2093" s="1">
        <v>44538</v>
      </c>
      <c r="R2093" t="s">
        <v>27253</v>
      </c>
      <c r="S2093" t="s">
        <v>27254</v>
      </c>
      <c r="T2093" t="s">
        <v>27255</v>
      </c>
    </row>
    <row r="2094" spans="1:20" x14ac:dyDescent="0.3">
      <c r="A2094" t="str">
        <f>"0611832318100"</f>
        <v>0611832318100</v>
      </c>
      <c r="B2094" t="str">
        <f>"LK0664"</f>
        <v>LK0664</v>
      </c>
      <c r="C2094" t="s">
        <v>31290</v>
      </c>
      <c r="D2094" t="s">
        <v>27245</v>
      </c>
      <c r="E2094" t="str">
        <f t="shared" si="32"/>
        <v>001390</v>
      </c>
      <c r="F2094" t="s">
        <v>27246</v>
      </c>
      <c r="G2094" t="s">
        <v>27247</v>
      </c>
      <c r="H2094" t="s">
        <v>27248</v>
      </c>
      <c r="I2094" t="s">
        <v>31291</v>
      </c>
      <c r="J2094" t="s">
        <v>4197</v>
      </c>
      <c r="L2094" t="s">
        <v>27250</v>
      </c>
      <c r="M2094" t="s">
        <v>27251</v>
      </c>
      <c r="N2094" t="s">
        <v>27252</v>
      </c>
      <c r="Q2094" s="1">
        <v>44538</v>
      </c>
      <c r="R2094" t="s">
        <v>27253</v>
      </c>
      <c r="S2094" t="s">
        <v>27254</v>
      </c>
      <c r="T2094" t="s">
        <v>27255</v>
      </c>
    </row>
    <row r="2095" spans="1:20" x14ac:dyDescent="0.3">
      <c r="A2095" t="str">
        <f>"0611832570025"</f>
        <v>0611832570025</v>
      </c>
      <c r="B2095" t="str">
        <f>"MC2665"</f>
        <v>MC2665</v>
      </c>
      <c r="C2095" t="s">
        <v>31292</v>
      </c>
      <c r="D2095" t="s">
        <v>27267</v>
      </c>
      <c r="E2095" t="str">
        <f t="shared" si="32"/>
        <v>001390</v>
      </c>
      <c r="F2095" t="s">
        <v>27246</v>
      </c>
      <c r="G2095" t="s">
        <v>27247</v>
      </c>
      <c r="H2095" t="s">
        <v>27248</v>
      </c>
      <c r="I2095" t="s">
        <v>31293</v>
      </c>
      <c r="J2095" t="s">
        <v>4203</v>
      </c>
      <c r="L2095" t="s">
        <v>27250</v>
      </c>
      <c r="M2095" t="s">
        <v>27251</v>
      </c>
      <c r="N2095" t="s">
        <v>27252</v>
      </c>
      <c r="Q2095" s="1">
        <v>44538</v>
      </c>
      <c r="R2095" t="s">
        <v>27253</v>
      </c>
      <c r="S2095" t="s">
        <v>27254</v>
      </c>
      <c r="T2095" t="s">
        <v>27269</v>
      </c>
    </row>
    <row r="2096" spans="1:20" x14ac:dyDescent="0.3">
      <c r="A2096" t="str">
        <f>"0611832571025"</f>
        <v>0611832571025</v>
      </c>
      <c r="B2096" t="str">
        <f>"MC2664"</f>
        <v>MC2664</v>
      </c>
      <c r="C2096" t="s">
        <v>31294</v>
      </c>
      <c r="D2096" t="s">
        <v>27267</v>
      </c>
      <c r="E2096" t="str">
        <f t="shared" si="32"/>
        <v>001390</v>
      </c>
      <c r="F2096" t="s">
        <v>27246</v>
      </c>
      <c r="G2096" t="s">
        <v>27247</v>
      </c>
      <c r="H2096" t="s">
        <v>27248</v>
      </c>
      <c r="I2096" t="s">
        <v>31295</v>
      </c>
      <c r="J2096" t="s">
        <v>4205</v>
      </c>
      <c r="L2096" t="s">
        <v>27250</v>
      </c>
      <c r="M2096" t="s">
        <v>27251</v>
      </c>
      <c r="N2096" t="s">
        <v>27252</v>
      </c>
      <c r="Q2096" s="1">
        <v>44538</v>
      </c>
      <c r="R2096" t="s">
        <v>27253</v>
      </c>
      <c r="S2096" t="s">
        <v>27254</v>
      </c>
      <c r="T2096" t="s">
        <v>27269</v>
      </c>
    </row>
    <row r="2097" spans="1:20" x14ac:dyDescent="0.3">
      <c r="A2097" t="str">
        <f>"0611832574025"</f>
        <v>0611832574025</v>
      </c>
      <c r="B2097" t="str">
        <f>"MC3888"</f>
        <v>MC3888</v>
      </c>
      <c r="C2097" t="s">
        <v>31296</v>
      </c>
      <c r="D2097" t="s">
        <v>27267</v>
      </c>
      <c r="E2097" t="str">
        <f t="shared" si="32"/>
        <v>001390</v>
      </c>
      <c r="F2097" t="s">
        <v>27246</v>
      </c>
      <c r="G2097" t="s">
        <v>27247</v>
      </c>
      <c r="H2097" t="s">
        <v>27248</v>
      </c>
      <c r="I2097" t="s">
        <v>31297</v>
      </c>
      <c r="J2097" t="s">
        <v>4207</v>
      </c>
      <c r="L2097" t="s">
        <v>27250</v>
      </c>
      <c r="M2097" t="s">
        <v>27251</v>
      </c>
      <c r="N2097" t="s">
        <v>27252</v>
      </c>
      <c r="Q2097" s="1">
        <v>44538</v>
      </c>
      <c r="R2097" t="s">
        <v>27253</v>
      </c>
      <c r="S2097" t="s">
        <v>27254</v>
      </c>
      <c r="T2097" t="s">
        <v>27269</v>
      </c>
    </row>
    <row r="2098" spans="1:20" x14ac:dyDescent="0.3">
      <c r="A2098" t="str">
        <f>"0611832575025"</f>
        <v>0611832575025</v>
      </c>
      <c r="B2098" t="str">
        <f>"MC1907"</f>
        <v>MC1907</v>
      </c>
      <c r="C2098" t="s">
        <v>31298</v>
      </c>
      <c r="D2098" t="s">
        <v>27267</v>
      </c>
      <c r="E2098" t="str">
        <f t="shared" si="32"/>
        <v>001390</v>
      </c>
      <c r="F2098" t="s">
        <v>27246</v>
      </c>
      <c r="G2098" t="s">
        <v>27247</v>
      </c>
      <c r="H2098" t="s">
        <v>27248</v>
      </c>
      <c r="I2098" t="s">
        <v>31299</v>
      </c>
      <c r="J2098" t="s">
        <v>4209</v>
      </c>
      <c r="L2098" t="s">
        <v>27250</v>
      </c>
      <c r="M2098" t="s">
        <v>27251</v>
      </c>
      <c r="N2098" t="s">
        <v>27252</v>
      </c>
      <c r="Q2098" s="1">
        <v>44538</v>
      </c>
      <c r="R2098" t="s">
        <v>27253</v>
      </c>
      <c r="S2098" t="s">
        <v>27254</v>
      </c>
      <c r="T2098" t="s">
        <v>27269</v>
      </c>
    </row>
    <row r="2099" spans="1:20" x14ac:dyDescent="0.3">
      <c r="A2099" t="str">
        <f>"0611832576025"</f>
        <v>0611832576025</v>
      </c>
      <c r="B2099" t="str">
        <f>"MC3395"</f>
        <v>MC3395</v>
      </c>
      <c r="C2099" t="s">
        <v>31300</v>
      </c>
      <c r="D2099" t="s">
        <v>27267</v>
      </c>
      <c r="E2099" t="str">
        <f t="shared" si="32"/>
        <v>001390</v>
      </c>
      <c r="F2099" t="s">
        <v>27246</v>
      </c>
      <c r="G2099" t="s">
        <v>27247</v>
      </c>
      <c r="H2099" t="s">
        <v>27248</v>
      </c>
      <c r="I2099" t="s">
        <v>31301</v>
      </c>
      <c r="J2099" t="s">
        <v>4211</v>
      </c>
      <c r="L2099" t="s">
        <v>27250</v>
      </c>
      <c r="M2099" t="s">
        <v>27251</v>
      </c>
      <c r="N2099" t="s">
        <v>27252</v>
      </c>
      <c r="Q2099" s="1">
        <v>44538</v>
      </c>
      <c r="R2099" t="s">
        <v>27253</v>
      </c>
      <c r="S2099" t="s">
        <v>27254</v>
      </c>
      <c r="T2099" t="s">
        <v>27269</v>
      </c>
    </row>
    <row r="2100" spans="1:20" x14ac:dyDescent="0.3">
      <c r="A2100" t="str">
        <f>"0611832577025"</f>
        <v>0611832577025</v>
      </c>
      <c r="B2100" t="str">
        <f>"MC3351"</f>
        <v>MC3351</v>
      </c>
      <c r="C2100" t="s">
        <v>31302</v>
      </c>
      <c r="D2100" t="s">
        <v>27267</v>
      </c>
      <c r="E2100" t="str">
        <f t="shared" si="32"/>
        <v>001390</v>
      </c>
      <c r="F2100" t="s">
        <v>27246</v>
      </c>
      <c r="G2100" t="s">
        <v>27247</v>
      </c>
      <c r="H2100" t="s">
        <v>27248</v>
      </c>
      <c r="I2100" t="s">
        <v>31303</v>
      </c>
      <c r="J2100" t="s">
        <v>4213</v>
      </c>
      <c r="L2100" t="s">
        <v>27250</v>
      </c>
      <c r="M2100" t="s">
        <v>27251</v>
      </c>
      <c r="N2100" t="s">
        <v>27252</v>
      </c>
      <c r="Q2100" s="1">
        <v>44538</v>
      </c>
      <c r="R2100" t="s">
        <v>27253</v>
      </c>
      <c r="S2100" t="s">
        <v>27254</v>
      </c>
      <c r="T2100" t="s">
        <v>27269</v>
      </c>
    </row>
    <row r="2101" spans="1:20" x14ac:dyDescent="0.3">
      <c r="A2101" t="str">
        <f>"0611832578025"</f>
        <v>0611832578025</v>
      </c>
      <c r="B2101" t="str">
        <f>"MC2663"</f>
        <v>MC2663</v>
      </c>
      <c r="C2101" t="s">
        <v>31304</v>
      </c>
      <c r="D2101" t="s">
        <v>27267</v>
      </c>
      <c r="E2101" t="str">
        <f t="shared" si="32"/>
        <v>001390</v>
      </c>
      <c r="F2101" t="s">
        <v>27246</v>
      </c>
      <c r="G2101" t="s">
        <v>27247</v>
      </c>
      <c r="H2101" t="s">
        <v>27248</v>
      </c>
      <c r="I2101" t="s">
        <v>31305</v>
      </c>
      <c r="J2101" t="s">
        <v>4215</v>
      </c>
      <c r="L2101" t="s">
        <v>27250</v>
      </c>
      <c r="M2101" t="s">
        <v>27251</v>
      </c>
      <c r="N2101" t="s">
        <v>27252</v>
      </c>
      <c r="Q2101" s="1">
        <v>44538</v>
      </c>
      <c r="R2101" t="s">
        <v>27253</v>
      </c>
      <c r="S2101" t="s">
        <v>27254</v>
      </c>
      <c r="T2101" t="s">
        <v>27269</v>
      </c>
    </row>
    <row r="2102" spans="1:20" x14ac:dyDescent="0.3">
      <c r="A2102" t="str">
        <f>"0611833716100"</f>
        <v>0611833716100</v>
      </c>
      <c r="B2102" t="str">
        <f>"LL0890"</f>
        <v>LL0890</v>
      </c>
      <c r="C2102" t="s">
        <v>31306</v>
      </c>
      <c r="D2102" t="s">
        <v>27245</v>
      </c>
      <c r="E2102" t="str">
        <f t="shared" si="32"/>
        <v>001390</v>
      </c>
      <c r="F2102" t="s">
        <v>27246</v>
      </c>
      <c r="G2102" t="s">
        <v>27247</v>
      </c>
      <c r="H2102" t="s">
        <v>27248</v>
      </c>
      <c r="I2102" t="s">
        <v>31307</v>
      </c>
      <c r="J2102" t="s">
        <v>4217</v>
      </c>
      <c r="L2102" t="s">
        <v>27250</v>
      </c>
      <c r="M2102" t="s">
        <v>27251</v>
      </c>
      <c r="N2102" t="s">
        <v>27252</v>
      </c>
      <c r="Q2102" s="1">
        <v>44538</v>
      </c>
      <c r="R2102" t="s">
        <v>27253</v>
      </c>
      <c r="S2102" t="s">
        <v>27254</v>
      </c>
      <c r="T2102" t="s">
        <v>27255</v>
      </c>
    </row>
    <row r="2103" spans="1:20" x14ac:dyDescent="0.3">
      <c r="A2103" t="str">
        <f>"0611833718100"</f>
        <v>0611833718100</v>
      </c>
      <c r="B2103" t="str">
        <f>"LL5010"</f>
        <v>LL5010</v>
      </c>
      <c r="C2103" t="s">
        <v>31308</v>
      </c>
      <c r="D2103" t="s">
        <v>27245</v>
      </c>
      <c r="E2103" t="str">
        <f t="shared" si="32"/>
        <v>001390</v>
      </c>
      <c r="F2103" t="s">
        <v>27246</v>
      </c>
      <c r="G2103" t="s">
        <v>27247</v>
      </c>
      <c r="H2103" t="s">
        <v>27248</v>
      </c>
      <c r="I2103" t="s">
        <v>31309</v>
      </c>
      <c r="J2103" t="s">
        <v>4219</v>
      </c>
      <c r="L2103" t="s">
        <v>27250</v>
      </c>
      <c r="M2103" t="s">
        <v>27251</v>
      </c>
      <c r="N2103" t="s">
        <v>27252</v>
      </c>
      <c r="Q2103" s="1">
        <v>44538</v>
      </c>
      <c r="R2103" t="s">
        <v>27253</v>
      </c>
      <c r="S2103" t="s">
        <v>27254</v>
      </c>
      <c r="T2103" t="s">
        <v>27255</v>
      </c>
    </row>
    <row r="2104" spans="1:20" x14ac:dyDescent="0.3">
      <c r="A2104" t="str">
        <f>"0611833717100"</f>
        <v>0611833717100</v>
      </c>
      <c r="B2104" t="str">
        <f>"LL0115"</f>
        <v>LL0115</v>
      </c>
      <c r="C2104" t="s">
        <v>31310</v>
      </c>
      <c r="D2104" t="s">
        <v>27245</v>
      </c>
      <c r="E2104" t="str">
        <f t="shared" si="32"/>
        <v>001390</v>
      </c>
      <c r="F2104" t="s">
        <v>27246</v>
      </c>
      <c r="G2104" t="s">
        <v>27247</v>
      </c>
      <c r="H2104" t="s">
        <v>27248</v>
      </c>
      <c r="I2104" t="s">
        <v>31311</v>
      </c>
      <c r="J2104" t="s">
        <v>4221</v>
      </c>
      <c r="L2104" t="s">
        <v>27250</v>
      </c>
      <c r="M2104" t="s">
        <v>27251</v>
      </c>
      <c r="N2104" t="s">
        <v>27252</v>
      </c>
      <c r="Q2104" s="1">
        <v>44538</v>
      </c>
      <c r="R2104" t="s">
        <v>27253</v>
      </c>
      <c r="S2104" t="s">
        <v>27254</v>
      </c>
      <c r="T2104" t="s">
        <v>27255</v>
      </c>
    </row>
    <row r="2105" spans="1:20" x14ac:dyDescent="0.3">
      <c r="A2105" t="str">
        <f>"0611832579100"</f>
        <v>0611832579100</v>
      </c>
      <c r="B2105" t="str">
        <f>"LC5400"</f>
        <v>LC5400</v>
      </c>
      <c r="C2105" t="s">
        <v>31312</v>
      </c>
      <c r="D2105" t="s">
        <v>27245</v>
      </c>
      <c r="E2105" t="str">
        <f t="shared" si="32"/>
        <v>001390</v>
      </c>
      <c r="F2105" t="s">
        <v>27246</v>
      </c>
      <c r="G2105" t="s">
        <v>27247</v>
      </c>
      <c r="H2105" t="s">
        <v>27248</v>
      </c>
      <c r="I2105" t="s">
        <v>31313</v>
      </c>
      <c r="J2105" t="s">
        <v>4199</v>
      </c>
      <c r="L2105" t="s">
        <v>27250</v>
      </c>
      <c r="M2105" t="s">
        <v>27251</v>
      </c>
      <c r="N2105" t="s">
        <v>27252</v>
      </c>
      <c r="Q2105" s="1">
        <v>44538</v>
      </c>
      <c r="R2105" t="s">
        <v>27253</v>
      </c>
      <c r="S2105" t="s">
        <v>27254</v>
      </c>
      <c r="T2105" t="s">
        <v>27255</v>
      </c>
    </row>
    <row r="2106" spans="1:20" x14ac:dyDescent="0.3">
      <c r="A2106" t="str">
        <f>"0611832580025"</f>
        <v>0611832580025</v>
      </c>
      <c r="B2106" t="str">
        <f>"MQ3214"</f>
        <v>MQ3214</v>
      </c>
      <c r="C2106" t="s">
        <v>31314</v>
      </c>
      <c r="D2106" t="s">
        <v>27267</v>
      </c>
      <c r="E2106" t="str">
        <f t="shared" si="32"/>
        <v>001390</v>
      </c>
      <c r="F2106" t="s">
        <v>27246</v>
      </c>
      <c r="G2106" t="s">
        <v>27247</v>
      </c>
      <c r="H2106" t="s">
        <v>27248</v>
      </c>
      <c r="I2106" t="s">
        <v>31315</v>
      </c>
      <c r="J2106" t="s">
        <v>4223</v>
      </c>
      <c r="L2106" t="s">
        <v>27250</v>
      </c>
      <c r="M2106" t="s">
        <v>27251</v>
      </c>
      <c r="N2106" t="s">
        <v>27252</v>
      </c>
      <c r="Q2106" s="1">
        <v>44538</v>
      </c>
      <c r="R2106" t="s">
        <v>27253</v>
      </c>
      <c r="S2106" t="s">
        <v>27254</v>
      </c>
      <c r="T2106" t="s">
        <v>27269</v>
      </c>
    </row>
    <row r="2107" spans="1:20" x14ac:dyDescent="0.3">
      <c r="A2107" t="str">
        <f>"0611832581025"</f>
        <v>0611832581025</v>
      </c>
      <c r="B2107" t="str">
        <f>"MC1094"</f>
        <v>MC1094</v>
      </c>
      <c r="C2107" t="s">
        <v>31316</v>
      </c>
      <c r="D2107" t="s">
        <v>27267</v>
      </c>
      <c r="E2107" t="str">
        <f t="shared" si="32"/>
        <v>001390</v>
      </c>
      <c r="F2107" t="s">
        <v>27246</v>
      </c>
      <c r="G2107" t="s">
        <v>27247</v>
      </c>
      <c r="H2107" t="s">
        <v>27248</v>
      </c>
      <c r="I2107" t="s">
        <v>31317</v>
      </c>
      <c r="J2107" t="s">
        <v>4227</v>
      </c>
      <c r="L2107" t="s">
        <v>27250</v>
      </c>
      <c r="M2107" t="s">
        <v>27251</v>
      </c>
      <c r="N2107" t="s">
        <v>27252</v>
      </c>
      <c r="Q2107" s="1">
        <v>44538</v>
      </c>
      <c r="R2107" t="s">
        <v>27253</v>
      </c>
      <c r="S2107" t="s">
        <v>27254</v>
      </c>
      <c r="T2107" t="s">
        <v>27269</v>
      </c>
    </row>
    <row r="2108" spans="1:20" x14ac:dyDescent="0.3">
      <c r="A2108" t="str">
        <f>"0611861091100"</f>
        <v>0611861091100</v>
      </c>
      <c r="B2108" t="str">
        <f>"CN5025"</f>
        <v>CN5025</v>
      </c>
      <c r="C2108" t="s">
        <v>31316</v>
      </c>
      <c r="D2108" t="s">
        <v>27335</v>
      </c>
      <c r="E2108" t="str">
        <f t="shared" si="32"/>
        <v>001390</v>
      </c>
      <c r="F2108" t="s">
        <v>27246</v>
      </c>
      <c r="G2108" t="s">
        <v>27247</v>
      </c>
      <c r="H2108" t="s">
        <v>27248</v>
      </c>
      <c r="I2108" t="s">
        <v>31318</v>
      </c>
      <c r="J2108" t="s">
        <v>4225</v>
      </c>
      <c r="L2108" t="s">
        <v>27250</v>
      </c>
      <c r="M2108" t="s">
        <v>27251</v>
      </c>
      <c r="N2108" t="s">
        <v>27252</v>
      </c>
      <c r="Q2108" s="1">
        <v>44846</v>
      </c>
      <c r="R2108" t="s">
        <v>27253</v>
      </c>
      <c r="S2108" t="s">
        <v>27254</v>
      </c>
      <c r="T2108" t="s">
        <v>27255</v>
      </c>
    </row>
    <row r="2109" spans="1:20" x14ac:dyDescent="0.3">
      <c r="A2109" t="str">
        <f>"0611861092050"</f>
        <v>0611861092050</v>
      </c>
      <c r="B2109" t="str">
        <f>"CR4209"</f>
        <v>CR4209</v>
      </c>
      <c r="C2109" t="s">
        <v>31319</v>
      </c>
      <c r="D2109" t="s">
        <v>27286</v>
      </c>
      <c r="E2109" t="str">
        <f t="shared" si="32"/>
        <v>001390</v>
      </c>
      <c r="F2109" t="s">
        <v>27246</v>
      </c>
      <c r="G2109" t="s">
        <v>27247</v>
      </c>
      <c r="H2109" t="s">
        <v>27248</v>
      </c>
      <c r="I2109" t="s">
        <v>31320</v>
      </c>
      <c r="J2109" t="s">
        <v>4229</v>
      </c>
      <c r="L2109" t="s">
        <v>27250</v>
      </c>
      <c r="M2109" t="s">
        <v>27251</v>
      </c>
      <c r="N2109" t="s">
        <v>27252</v>
      </c>
      <c r="Q2109" s="1">
        <v>44846</v>
      </c>
      <c r="R2109" t="s">
        <v>27253</v>
      </c>
      <c r="S2109" t="s">
        <v>27254</v>
      </c>
      <c r="T2109" t="s">
        <v>27265</v>
      </c>
    </row>
    <row r="2110" spans="1:20" x14ac:dyDescent="0.3">
      <c r="A2110" t="str">
        <f>"0611884083025"</f>
        <v>0611884083025</v>
      </c>
      <c r="B2110" t="str">
        <f>"MQ0822"</f>
        <v>MQ0822</v>
      </c>
      <c r="C2110" t="s">
        <v>31321</v>
      </c>
      <c r="D2110" t="s">
        <v>27267</v>
      </c>
      <c r="E2110" t="str">
        <f t="shared" si="32"/>
        <v>001390</v>
      </c>
      <c r="F2110" t="s">
        <v>27246</v>
      </c>
      <c r="G2110" t="s">
        <v>27247</v>
      </c>
      <c r="H2110" t="s">
        <v>27248</v>
      </c>
      <c r="I2110" t="s">
        <v>31322</v>
      </c>
      <c r="J2110" t="s">
        <v>4231</v>
      </c>
      <c r="L2110" t="s">
        <v>27430</v>
      </c>
      <c r="M2110" t="s">
        <v>27251</v>
      </c>
      <c r="N2110" t="s">
        <v>27252</v>
      </c>
      <c r="Q2110" s="1">
        <v>45250</v>
      </c>
      <c r="R2110" t="s">
        <v>27253</v>
      </c>
      <c r="S2110" t="s">
        <v>27254</v>
      </c>
      <c r="T2110" t="s">
        <v>27269</v>
      </c>
    </row>
    <row r="2111" spans="1:20" x14ac:dyDescent="0.3">
      <c r="A2111" t="str">
        <f>"0611861093100"</f>
        <v>0611861093100</v>
      </c>
      <c r="B2111" t="str">
        <f>"CN5026"</f>
        <v>CN5026</v>
      </c>
      <c r="C2111" t="s">
        <v>31323</v>
      </c>
      <c r="D2111" t="s">
        <v>27245</v>
      </c>
      <c r="E2111" t="str">
        <f t="shared" si="32"/>
        <v>001390</v>
      </c>
      <c r="F2111" t="s">
        <v>27246</v>
      </c>
      <c r="G2111" t="s">
        <v>27247</v>
      </c>
      <c r="H2111" t="s">
        <v>27248</v>
      </c>
      <c r="I2111" t="s">
        <v>31324</v>
      </c>
      <c r="J2111" t="s">
        <v>4233</v>
      </c>
      <c r="L2111" t="s">
        <v>27250</v>
      </c>
      <c r="M2111" t="s">
        <v>27251</v>
      </c>
      <c r="N2111" t="s">
        <v>27252</v>
      </c>
      <c r="Q2111" s="1">
        <v>44846</v>
      </c>
      <c r="R2111" t="s">
        <v>27253</v>
      </c>
      <c r="S2111" t="s">
        <v>27254</v>
      </c>
      <c r="T2111" t="s">
        <v>27255</v>
      </c>
    </row>
    <row r="2112" spans="1:20" x14ac:dyDescent="0.3">
      <c r="A2112" t="str">
        <f>"0611861094050"</f>
        <v>0611861094050</v>
      </c>
      <c r="B2112" t="str">
        <f>"CR4210"</f>
        <v>CR4210</v>
      </c>
      <c r="C2112" t="s">
        <v>31323</v>
      </c>
      <c r="D2112" t="s">
        <v>27286</v>
      </c>
      <c r="E2112" t="str">
        <f t="shared" si="32"/>
        <v>001390</v>
      </c>
      <c r="F2112" t="s">
        <v>27246</v>
      </c>
      <c r="G2112" t="s">
        <v>27247</v>
      </c>
      <c r="H2112" t="s">
        <v>27248</v>
      </c>
      <c r="I2112" t="s">
        <v>31325</v>
      </c>
      <c r="J2112" t="s">
        <v>4235</v>
      </c>
      <c r="L2112" t="s">
        <v>27250</v>
      </c>
      <c r="M2112" t="s">
        <v>27251</v>
      </c>
      <c r="N2112" t="s">
        <v>27252</v>
      </c>
      <c r="Q2112" s="1">
        <v>44846</v>
      </c>
      <c r="R2112" t="s">
        <v>27253</v>
      </c>
      <c r="S2112" t="s">
        <v>27254</v>
      </c>
      <c r="T2112" t="s">
        <v>27265</v>
      </c>
    </row>
    <row r="2113" spans="1:20" x14ac:dyDescent="0.3">
      <c r="A2113" t="str">
        <f>"0611832583025"</f>
        <v>0611832583025</v>
      </c>
      <c r="B2113" t="str">
        <f>"MQ0548"</f>
        <v>MQ0548</v>
      </c>
      <c r="C2113" t="s">
        <v>31326</v>
      </c>
      <c r="D2113" t="s">
        <v>27267</v>
      </c>
      <c r="E2113" t="str">
        <f t="shared" si="32"/>
        <v>001390</v>
      </c>
      <c r="F2113" t="s">
        <v>27246</v>
      </c>
      <c r="G2113" t="s">
        <v>27247</v>
      </c>
      <c r="H2113" t="s">
        <v>27248</v>
      </c>
      <c r="I2113" t="s">
        <v>31327</v>
      </c>
      <c r="J2113" t="s">
        <v>4239</v>
      </c>
      <c r="L2113" t="s">
        <v>27250</v>
      </c>
      <c r="M2113" t="s">
        <v>27251</v>
      </c>
      <c r="N2113" t="s">
        <v>27252</v>
      </c>
      <c r="Q2113" s="1">
        <v>44538</v>
      </c>
      <c r="R2113" t="s">
        <v>27253</v>
      </c>
      <c r="S2113" t="s">
        <v>27254</v>
      </c>
      <c r="T2113" t="s">
        <v>27269</v>
      </c>
    </row>
    <row r="2114" spans="1:20" x14ac:dyDescent="0.3">
      <c r="A2114" t="str">
        <f>"0611861095100"</f>
        <v>0611861095100</v>
      </c>
      <c r="B2114" t="str">
        <f>"CN2345"</f>
        <v>CN2345</v>
      </c>
      <c r="C2114" t="s">
        <v>31326</v>
      </c>
      <c r="D2114" t="s">
        <v>27335</v>
      </c>
      <c r="E2114" t="str">
        <f t="shared" ref="E2114:E2177" si="33">"001390"</f>
        <v>001390</v>
      </c>
      <c r="F2114" t="s">
        <v>27246</v>
      </c>
      <c r="G2114" t="s">
        <v>27247</v>
      </c>
      <c r="H2114" t="s">
        <v>27248</v>
      </c>
      <c r="I2114" t="s">
        <v>31328</v>
      </c>
      <c r="J2114" t="s">
        <v>4237</v>
      </c>
      <c r="L2114" t="s">
        <v>27250</v>
      </c>
      <c r="M2114" t="s">
        <v>27251</v>
      </c>
      <c r="N2114" t="s">
        <v>27252</v>
      </c>
      <c r="Q2114" s="1">
        <v>44846</v>
      </c>
      <c r="R2114" t="s">
        <v>27253</v>
      </c>
      <c r="S2114" t="s">
        <v>27254</v>
      </c>
      <c r="T2114" t="s">
        <v>27255</v>
      </c>
    </row>
    <row r="2115" spans="1:20" x14ac:dyDescent="0.3">
      <c r="A2115" t="str">
        <f>"0611832584025"</f>
        <v>0611832584025</v>
      </c>
      <c r="B2115" t="str">
        <f>"MQ6007"</f>
        <v>MQ6007</v>
      </c>
      <c r="C2115" t="s">
        <v>31329</v>
      </c>
      <c r="D2115" t="s">
        <v>27267</v>
      </c>
      <c r="E2115" t="str">
        <f t="shared" si="33"/>
        <v>001390</v>
      </c>
      <c r="F2115" t="s">
        <v>27246</v>
      </c>
      <c r="G2115" t="s">
        <v>27247</v>
      </c>
      <c r="H2115" t="s">
        <v>27248</v>
      </c>
      <c r="I2115" t="s">
        <v>31330</v>
      </c>
      <c r="J2115" t="s">
        <v>4241</v>
      </c>
      <c r="L2115" t="s">
        <v>27250</v>
      </c>
      <c r="M2115" t="s">
        <v>27251</v>
      </c>
      <c r="N2115" t="s">
        <v>27252</v>
      </c>
      <c r="Q2115" s="1">
        <v>44538</v>
      </c>
      <c r="R2115" t="s">
        <v>27253</v>
      </c>
      <c r="S2115" t="s">
        <v>27254</v>
      </c>
      <c r="T2115" t="s">
        <v>27269</v>
      </c>
    </row>
    <row r="2116" spans="1:20" x14ac:dyDescent="0.3">
      <c r="A2116" t="str">
        <f>"0611832585025"</f>
        <v>0611832585025</v>
      </c>
      <c r="B2116" t="str">
        <f>"MQ0414"</f>
        <v>MQ0414</v>
      </c>
      <c r="C2116" t="s">
        <v>31331</v>
      </c>
      <c r="D2116" t="s">
        <v>27267</v>
      </c>
      <c r="E2116" t="str">
        <f t="shared" si="33"/>
        <v>001390</v>
      </c>
      <c r="F2116" t="s">
        <v>27246</v>
      </c>
      <c r="G2116" t="s">
        <v>27247</v>
      </c>
      <c r="H2116" t="s">
        <v>27248</v>
      </c>
      <c r="I2116" t="s">
        <v>31332</v>
      </c>
      <c r="J2116" t="s">
        <v>4243</v>
      </c>
      <c r="L2116" t="s">
        <v>27250</v>
      </c>
      <c r="M2116" t="s">
        <v>27251</v>
      </c>
      <c r="N2116" t="s">
        <v>27252</v>
      </c>
      <c r="Q2116" s="1">
        <v>44538</v>
      </c>
      <c r="R2116" t="s">
        <v>27253</v>
      </c>
      <c r="S2116" t="s">
        <v>27254</v>
      </c>
      <c r="T2116" t="s">
        <v>27269</v>
      </c>
    </row>
    <row r="2117" spans="1:20" x14ac:dyDescent="0.3">
      <c r="A2117" t="str">
        <f>"0611832586025"</f>
        <v>0611832586025</v>
      </c>
      <c r="B2117" t="str">
        <f>"MQ6008"</f>
        <v>MQ6008</v>
      </c>
      <c r="C2117" t="s">
        <v>31333</v>
      </c>
      <c r="D2117" t="s">
        <v>27267</v>
      </c>
      <c r="E2117" t="str">
        <f t="shared" si="33"/>
        <v>001390</v>
      </c>
      <c r="F2117" t="s">
        <v>27246</v>
      </c>
      <c r="G2117" t="s">
        <v>27247</v>
      </c>
      <c r="H2117" t="s">
        <v>27248</v>
      </c>
      <c r="I2117" t="s">
        <v>31334</v>
      </c>
      <c r="J2117" t="s">
        <v>4245</v>
      </c>
      <c r="L2117" t="s">
        <v>27250</v>
      </c>
      <c r="M2117" t="s">
        <v>27251</v>
      </c>
      <c r="N2117" t="s">
        <v>27252</v>
      </c>
      <c r="Q2117" s="1">
        <v>44538</v>
      </c>
      <c r="R2117" t="s">
        <v>27253</v>
      </c>
      <c r="S2117" t="s">
        <v>27254</v>
      </c>
      <c r="T2117" t="s">
        <v>27269</v>
      </c>
    </row>
    <row r="2118" spans="1:20" x14ac:dyDescent="0.3">
      <c r="A2118" t="str">
        <f>"0611832587025"</f>
        <v>0611832587025</v>
      </c>
      <c r="B2118" t="str">
        <f>"MC3885"</f>
        <v>MC3885</v>
      </c>
      <c r="C2118" t="s">
        <v>31335</v>
      </c>
      <c r="D2118" t="s">
        <v>27267</v>
      </c>
      <c r="E2118" t="str">
        <f t="shared" si="33"/>
        <v>001390</v>
      </c>
      <c r="F2118" t="s">
        <v>27246</v>
      </c>
      <c r="G2118" t="s">
        <v>27247</v>
      </c>
      <c r="H2118" t="s">
        <v>27248</v>
      </c>
      <c r="I2118" t="s">
        <v>31336</v>
      </c>
      <c r="J2118" t="s">
        <v>4247</v>
      </c>
      <c r="L2118" t="s">
        <v>27250</v>
      </c>
      <c r="M2118" t="s">
        <v>27251</v>
      </c>
      <c r="N2118" t="s">
        <v>27252</v>
      </c>
      <c r="Q2118" s="1">
        <v>44538</v>
      </c>
      <c r="R2118" t="s">
        <v>27253</v>
      </c>
      <c r="S2118" t="s">
        <v>27254</v>
      </c>
      <c r="T2118" t="s">
        <v>27269</v>
      </c>
    </row>
    <row r="2119" spans="1:20" x14ac:dyDescent="0.3">
      <c r="A2119" t="str">
        <f>"0611832588100"</f>
        <v>0611832588100</v>
      </c>
      <c r="B2119" t="str">
        <f>"LH1746"</f>
        <v>LH1746</v>
      </c>
      <c r="C2119" t="s">
        <v>31337</v>
      </c>
      <c r="D2119" t="s">
        <v>27245</v>
      </c>
      <c r="E2119" t="str">
        <f t="shared" si="33"/>
        <v>001390</v>
      </c>
      <c r="F2119" t="s">
        <v>27246</v>
      </c>
      <c r="G2119" t="s">
        <v>27247</v>
      </c>
      <c r="H2119" t="s">
        <v>27248</v>
      </c>
      <c r="I2119" t="s">
        <v>31338</v>
      </c>
      <c r="J2119" t="s">
        <v>4249</v>
      </c>
      <c r="L2119" t="s">
        <v>27250</v>
      </c>
      <c r="M2119" t="s">
        <v>27251</v>
      </c>
      <c r="N2119" t="s">
        <v>27252</v>
      </c>
      <c r="Q2119" s="1">
        <v>44538</v>
      </c>
      <c r="R2119" t="s">
        <v>27253</v>
      </c>
      <c r="S2119" t="s">
        <v>27254</v>
      </c>
      <c r="T2119" t="s">
        <v>27255</v>
      </c>
    </row>
    <row r="2120" spans="1:20" x14ac:dyDescent="0.3">
      <c r="A2120" t="str">
        <f>"0611832589025"</f>
        <v>0611832589025</v>
      </c>
      <c r="B2120" t="str">
        <f>"MC0167"</f>
        <v>MC0167</v>
      </c>
      <c r="C2120" t="s">
        <v>31337</v>
      </c>
      <c r="D2120" t="s">
        <v>27267</v>
      </c>
      <c r="E2120" t="str">
        <f t="shared" si="33"/>
        <v>001390</v>
      </c>
      <c r="F2120" t="s">
        <v>27246</v>
      </c>
      <c r="G2120" t="s">
        <v>27247</v>
      </c>
      <c r="H2120" t="s">
        <v>27248</v>
      </c>
      <c r="I2120" t="s">
        <v>31339</v>
      </c>
      <c r="J2120" t="s">
        <v>4251</v>
      </c>
      <c r="L2120" t="s">
        <v>27250</v>
      </c>
      <c r="M2120" t="s">
        <v>27251</v>
      </c>
      <c r="N2120" t="s">
        <v>27252</v>
      </c>
      <c r="Q2120" s="1">
        <v>44538</v>
      </c>
      <c r="R2120" t="s">
        <v>27253</v>
      </c>
      <c r="S2120" t="s">
        <v>27254</v>
      </c>
      <c r="T2120" t="s">
        <v>27269</v>
      </c>
    </row>
    <row r="2121" spans="1:20" x14ac:dyDescent="0.3">
      <c r="A2121" t="str">
        <f>"0611831809100"</f>
        <v>0611831809100</v>
      </c>
      <c r="B2121" t="str">
        <f>"LL1709"</f>
        <v>LL1709</v>
      </c>
      <c r="C2121" t="s">
        <v>31340</v>
      </c>
      <c r="D2121" t="s">
        <v>27245</v>
      </c>
      <c r="E2121" t="str">
        <f t="shared" si="33"/>
        <v>001390</v>
      </c>
      <c r="F2121" t="s">
        <v>27246</v>
      </c>
      <c r="G2121" t="s">
        <v>27247</v>
      </c>
      <c r="H2121" t="s">
        <v>27248</v>
      </c>
      <c r="I2121" t="s">
        <v>31341</v>
      </c>
      <c r="J2121" t="s">
        <v>4253</v>
      </c>
      <c r="L2121" t="s">
        <v>27250</v>
      </c>
      <c r="M2121" t="s">
        <v>27251</v>
      </c>
      <c r="N2121" t="s">
        <v>27252</v>
      </c>
      <c r="O2121">
        <v>100</v>
      </c>
      <c r="Q2121" s="1">
        <v>44538</v>
      </c>
      <c r="R2121" t="s">
        <v>27253</v>
      </c>
      <c r="S2121" t="s">
        <v>27254</v>
      </c>
      <c r="T2121" t="s">
        <v>27255</v>
      </c>
    </row>
    <row r="2122" spans="1:20" x14ac:dyDescent="0.3">
      <c r="A2122" t="str">
        <f>"0611831826100"</f>
        <v>0611831826100</v>
      </c>
      <c r="B2122" t="str">
        <f>"LL1004"</f>
        <v>LL1004</v>
      </c>
      <c r="C2122" t="s">
        <v>31342</v>
      </c>
      <c r="D2122" t="s">
        <v>27245</v>
      </c>
      <c r="E2122" t="str">
        <f t="shared" si="33"/>
        <v>001390</v>
      </c>
      <c r="F2122" t="s">
        <v>27246</v>
      </c>
      <c r="G2122" t="s">
        <v>27247</v>
      </c>
      <c r="H2122" t="s">
        <v>27248</v>
      </c>
      <c r="I2122" t="s">
        <v>31343</v>
      </c>
      <c r="J2122" t="s">
        <v>4255</v>
      </c>
      <c r="L2122" t="s">
        <v>27250</v>
      </c>
      <c r="M2122" t="s">
        <v>27251</v>
      </c>
      <c r="N2122" t="s">
        <v>27252</v>
      </c>
      <c r="Q2122" s="1">
        <v>44538</v>
      </c>
      <c r="R2122" t="s">
        <v>27253</v>
      </c>
      <c r="S2122" t="s">
        <v>27254</v>
      </c>
      <c r="T2122" t="s">
        <v>27255</v>
      </c>
    </row>
    <row r="2123" spans="1:20" x14ac:dyDescent="0.3">
      <c r="A2123" t="str">
        <f>"0611831830100"</f>
        <v>0611831830100</v>
      </c>
      <c r="B2123" t="str">
        <f>"LL1133"</f>
        <v>LL1133</v>
      </c>
      <c r="C2123" t="s">
        <v>31344</v>
      </c>
      <c r="D2123" t="s">
        <v>27245</v>
      </c>
      <c r="E2123" t="str">
        <f t="shared" si="33"/>
        <v>001390</v>
      </c>
      <c r="F2123" t="s">
        <v>27246</v>
      </c>
      <c r="G2123" t="s">
        <v>27247</v>
      </c>
      <c r="H2123" t="s">
        <v>27248</v>
      </c>
      <c r="I2123" t="s">
        <v>31345</v>
      </c>
      <c r="J2123" t="s">
        <v>4257</v>
      </c>
      <c r="L2123" t="s">
        <v>27250</v>
      </c>
      <c r="M2123" t="s">
        <v>27251</v>
      </c>
      <c r="N2123" t="s">
        <v>27252</v>
      </c>
      <c r="Q2123" s="1">
        <v>44538</v>
      </c>
      <c r="R2123" t="s">
        <v>27253</v>
      </c>
      <c r="S2123" t="s">
        <v>27254</v>
      </c>
      <c r="T2123" t="s">
        <v>27255</v>
      </c>
    </row>
    <row r="2124" spans="1:20" x14ac:dyDescent="0.3">
      <c r="A2124" t="str">
        <f>"0611831858100"</f>
        <v>0611831858100</v>
      </c>
      <c r="B2124" t="str">
        <f>"LL1108"</f>
        <v>LL1108</v>
      </c>
      <c r="C2124" t="s">
        <v>31346</v>
      </c>
      <c r="D2124" t="s">
        <v>27245</v>
      </c>
      <c r="E2124" t="str">
        <f t="shared" si="33"/>
        <v>001390</v>
      </c>
      <c r="F2124" t="s">
        <v>27246</v>
      </c>
      <c r="G2124" t="s">
        <v>27247</v>
      </c>
      <c r="H2124" t="s">
        <v>27248</v>
      </c>
      <c r="I2124" t="s">
        <v>31347</v>
      </c>
      <c r="J2124" t="s">
        <v>4259</v>
      </c>
      <c r="L2124" t="s">
        <v>27250</v>
      </c>
      <c r="M2124" t="s">
        <v>27251</v>
      </c>
      <c r="N2124" t="s">
        <v>27252</v>
      </c>
      <c r="Q2124" s="1">
        <v>44538</v>
      </c>
      <c r="R2124" t="s">
        <v>27253</v>
      </c>
      <c r="S2124" t="s">
        <v>27254</v>
      </c>
      <c r="T2124" t="s">
        <v>27255</v>
      </c>
    </row>
    <row r="2125" spans="1:20" x14ac:dyDescent="0.3">
      <c r="A2125" t="str">
        <f>"0611831867100"</f>
        <v>0611831867100</v>
      </c>
      <c r="B2125" t="str">
        <f>"LL0155"</f>
        <v>LL0155</v>
      </c>
      <c r="C2125" t="s">
        <v>31348</v>
      </c>
      <c r="D2125" t="s">
        <v>27245</v>
      </c>
      <c r="E2125" t="str">
        <f t="shared" si="33"/>
        <v>001390</v>
      </c>
      <c r="F2125" t="s">
        <v>27246</v>
      </c>
      <c r="G2125" t="s">
        <v>27247</v>
      </c>
      <c r="H2125" t="s">
        <v>27248</v>
      </c>
      <c r="I2125" t="s">
        <v>31349</v>
      </c>
      <c r="J2125" t="s">
        <v>4261</v>
      </c>
      <c r="L2125" t="s">
        <v>27250</v>
      </c>
      <c r="M2125" t="s">
        <v>27251</v>
      </c>
      <c r="N2125" t="s">
        <v>27252</v>
      </c>
      <c r="Q2125" s="1">
        <v>44538</v>
      </c>
      <c r="R2125" t="s">
        <v>27253</v>
      </c>
      <c r="S2125" t="s">
        <v>27254</v>
      </c>
      <c r="T2125" t="s">
        <v>27255</v>
      </c>
    </row>
    <row r="2126" spans="1:20" x14ac:dyDescent="0.3">
      <c r="A2126" t="str">
        <f>"0611831828100"</f>
        <v>0611831828100</v>
      </c>
      <c r="B2126" t="str">
        <f>"LL1000"</f>
        <v>LL1000</v>
      </c>
      <c r="C2126" t="s">
        <v>31350</v>
      </c>
      <c r="D2126" t="s">
        <v>27245</v>
      </c>
      <c r="E2126" t="str">
        <f t="shared" si="33"/>
        <v>001390</v>
      </c>
      <c r="F2126" t="s">
        <v>27246</v>
      </c>
      <c r="G2126" t="s">
        <v>27247</v>
      </c>
      <c r="H2126" t="s">
        <v>27248</v>
      </c>
      <c r="I2126" t="s">
        <v>31351</v>
      </c>
      <c r="J2126" t="s">
        <v>4263</v>
      </c>
      <c r="L2126" t="s">
        <v>27250</v>
      </c>
      <c r="M2126" t="s">
        <v>27251</v>
      </c>
      <c r="N2126" t="s">
        <v>27252</v>
      </c>
      <c r="Q2126" s="1">
        <v>44538</v>
      </c>
      <c r="R2126" t="s">
        <v>27253</v>
      </c>
      <c r="S2126" t="s">
        <v>27254</v>
      </c>
      <c r="T2126" t="s">
        <v>27255</v>
      </c>
    </row>
    <row r="2127" spans="1:20" x14ac:dyDescent="0.3">
      <c r="A2127" t="str">
        <f>"0611831829200"</f>
        <v>0611831829200</v>
      </c>
      <c r="B2127" t="str">
        <f>"KY1000"</f>
        <v>KY1000</v>
      </c>
      <c r="C2127" t="s">
        <v>31350</v>
      </c>
      <c r="D2127" t="s">
        <v>27682</v>
      </c>
      <c r="E2127" t="str">
        <f t="shared" si="33"/>
        <v>001390</v>
      </c>
      <c r="F2127" t="s">
        <v>27246</v>
      </c>
      <c r="G2127" t="s">
        <v>27247</v>
      </c>
      <c r="H2127" t="s">
        <v>27248</v>
      </c>
      <c r="I2127" t="s">
        <v>31352</v>
      </c>
      <c r="J2127" t="s">
        <v>4265</v>
      </c>
      <c r="L2127" t="s">
        <v>27250</v>
      </c>
      <c r="M2127" t="s">
        <v>27251</v>
      </c>
      <c r="N2127" t="s">
        <v>27252</v>
      </c>
      <c r="Q2127" s="1">
        <v>44538</v>
      </c>
      <c r="R2127" t="s">
        <v>27253</v>
      </c>
      <c r="S2127" t="s">
        <v>27254</v>
      </c>
      <c r="T2127" t="s">
        <v>27684</v>
      </c>
    </row>
    <row r="2128" spans="1:20" x14ac:dyDescent="0.3">
      <c r="A2128" t="str">
        <f>"0611831880100"</f>
        <v>0611831880100</v>
      </c>
      <c r="B2128" t="str">
        <f>"LL8047"</f>
        <v>LL8047</v>
      </c>
      <c r="C2128" t="s">
        <v>31353</v>
      </c>
      <c r="D2128" t="s">
        <v>27245</v>
      </c>
      <c r="E2128" t="str">
        <f t="shared" si="33"/>
        <v>001390</v>
      </c>
      <c r="F2128" t="s">
        <v>27246</v>
      </c>
      <c r="G2128" t="s">
        <v>27247</v>
      </c>
      <c r="H2128" t="s">
        <v>27248</v>
      </c>
      <c r="I2128" t="s">
        <v>31354</v>
      </c>
      <c r="J2128" t="s">
        <v>4267</v>
      </c>
      <c r="L2128" t="s">
        <v>27250</v>
      </c>
      <c r="M2128" t="s">
        <v>27251</v>
      </c>
      <c r="N2128" t="s">
        <v>27252</v>
      </c>
      <c r="Q2128" s="1">
        <v>44538</v>
      </c>
      <c r="R2128" t="s">
        <v>27253</v>
      </c>
      <c r="S2128" t="s">
        <v>27254</v>
      </c>
      <c r="T2128" t="s">
        <v>27255</v>
      </c>
    </row>
    <row r="2129" spans="1:20" x14ac:dyDescent="0.3">
      <c r="A2129" t="str">
        <f>"0611831917100"</f>
        <v>0611831917100</v>
      </c>
      <c r="B2129" t="str">
        <f>"LL0116"</f>
        <v>LL0116</v>
      </c>
      <c r="C2129" t="s">
        <v>31355</v>
      </c>
      <c r="D2129" t="s">
        <v>27245</v>
      </c>
      <c r="E2129" t="str">
        <f t="shared" si="33"/>
        <v>001390</v>
      </c>
      <c r="F2129" t="s">
        <v>27246</v>
      </c>
      <c r="G2129" t="s">
        <v>27247</v>
      </c>
      <c r="H2129" t="s">
        <v>27248</v>
      </c>
      <c r="I2129" t="s">
        <v>31356</v>
      </c>
      <c r="J2129" t="s">
        <v>4269</v>
      </c>
      <c r="L2129" t="s">
        <v>27250</v>
      </c>
      <c r="M2129" t="s">
        <v>27251</v>
      </c>
      <c r="N2129" t="s">
        <v>27252</v>
      </c>
      <c r="Q2129" s="1">
        <v>44538</v>
      </c>
      <c r="R2129" t="s">
        <v>27253</v>
      </c>
      <c r="S2129" t="s">
        <v>27254</v>
      </c>
      <c r="T2129" t="s">
        <v>27255</v>
      </c>
    </row>
    <row r="2130" spans="1:20" x14ac:dyDescent="0.3">
      <c r="A2130" t="str">
        <f>"0611831957100"</f>
        <v>0611831957100</v>
      </c>
      <c r="B2130" t="str">
        <f>"LL1090"</f>
        <v>LL1090</v>
      </c>
      <c r="C2130" t="s">
        <v>31357</v>
      </c>
      <c r="D2130" t="s">
        <v>27245</v>
      </c>
      <c r="E2130" t="str">
        <f t="shared" si="33"/>
        <v>001390</v>
      </c>
      <c r="F2130" t="s">
        <v>27246</v>
      </c>
      <c r="G2130" t="s">
        <v>27247</v>
      </c>
      <c r="H2130" t="s">
        <v>27248</v>
      </c>
      <c r="I2130" t="s">
        <v>31358</v>
      </c>
      <c r="J2130" t="s">
        <v>4271</v>
      </c>
      <c r="L2130" t="s">
        <v>27250</v>
      </c>
      <c r="M2130" t="s">
        <v>27251</v>
      </c>
      <c r="N2130" t="s">
        <v>27252</v>
      </c>
      <c r="Q2130" s="1">
        <v>44538</v>
      </c>
      <c r="R2130" t="s">
        <v>27253</v>
      </c>
      <c r="S2130" t="s">
        <v>27254</v>
      </c>
      <c r="T2130" t="s">
        <v>27255</v>
      </c>
    </row>
    <row r="2131" spans="1:20" x14ac:dyDescent="0.3">
      <c r="A2131" t="str">
        <f>"0611831960100"</f>
        <v>0611831960100</v>
      </c>
      <c r="B2131" t="str">
        <f>"LL1115"</f>
        <v>LL1115</v>
      </c>
      <c r="C2131" t="s">
        <v>31359</v>
      </c>
      <c r="D2131" t="s">
        <v>27245</v>
      </c>
      <c r="E2131" t="str">
        <f t="shared" si="33"/>
        <v>001390</v>
      </c>
      <c r="F2131" t="s">
        <v>27246</v>
      </c>
      <c r="G2131" t="s">
        <v>27247</v>
      </c>
      <c r="H2131" t="s">
        <v>27248</v>
      </c>
      <c r="I2131" t="s">
        <v>31360</v>
      </c>
      <c r="J2131" t="s">
        <v>4273</v>
      </c>
      <c r="L2131" t="s">
        <v>27250</v>
      </c>
      <c r="M2131" t="s">
        <v>27251</v>
      </c>
      <c r="N2131" t="s">
        <v>27252</v>
      </c>
      <c r="Q2131" s="1">
        <v>44538</v>
      </c>
      <c r="R2131" t="s">
        <v>27253</v>
      </c>
      <c r="S2131" t="s">
        <v>27254</v>
      </c>
      <c r="T2131" t="s">
        <v>27255</v>
      </c>
    </row>
    <row r="2132" spans="1:20" x14ac:dyDescent="0.3">
      <c r="A2132" t="str">
        <f>"0611831962100"</f>
        <v>0611831962100</v>
      </c>
      <c r="B2132" t="str">
        <f>"LL1105"</f>
        <v>LL1105</v>
      </c>
      <c r="C2132" t="s">
        <v>31361</v>
      </c>
      <c r="D2132" t="s">
        <v>27245</v>
      </c>
      <c r="E2132" t="str">
        <f t="shared" si="33"/>
        <v>001390</v>
      </c>
      <c r="F2132" t="s">
        <v>27246</v>
      </c>
      <c r="G2132" t="s">
        <v>27247</v>
      </c>
      <c r="H2132" t="s">
        <v>27248</v>
      </c>
      <c r="I2132" t="s">
        <v>31362</v>
      </c>
      <c r="J2132" t="s">
        <v>4275</v>
      </c>
      <c r="L2132" t="s">
        <v>27250</v>
      </c>
      <c r="M2132" t="s">
        <v>27251</v>
      </c>
      <c r="N2132" t="s">
        <v>27252</v>
      </c>
      <c r="Q2132" s="1">
        <v>44538</v>
      </c>
      <c r="R2132" t="s">
        <v>27253</v>
      </c>
      <c r="S2132" t="s">
        <v>27254</v>
      </c>
      <c r="T2132" t="s">
        <v>27255</v>
      </c>
    </row>
    <row r="2133" spans="1:20" x14ac:dyDescent="0.3">
      <c r="A2133" t="str">
        <f>"0611831967100"</f>
        <v>0611831967100</v>
      </c>
      <c r="B2133" t="str">
        <f>"LL0020"</f>
        <v>LL0020</v>
      </c>
      <c r="C2133" t="s">
        <v>31363</v>
      </c>
      <c r="D2133" t="s">
        <v>27245</v>
      </c>
      <c r="E2133" t="str">
        <f t="shared" si="33"/>
        <v>001390</v>
      </c>
      <c r="F2133" t="s">
        <v>27246</v>
      </c>
      <c r="G2133" t="s">
        <v>27247</v>
      </c>
      <c r="H2133" t="s">
        <v>27248</v>
      </c>
      <c r="I2133" t="s">
        <v>31364</v>
      </c>
      <c r="J2133" t="s">
        <v>4277</v>
      </c>
      <c r="L2133" t="s">
        <v>27250</v>
      </c>
      <c r="M2133" t="s">
        <v>27251</v>
      </c>
      <c r="N2133" t="s">
        <v>27252</v>
      </c>
      <c r="Q2133" s="1">
        <v>44538</v>
      </c>
      <c r="R2133" t="s">
        <v>27253</v>
      </c>
      <c r="S2133" t="s">
        <v>27254</v>
      </c>
      <c r="T2133" t="s">
        <v>27255</v>
      </c>
    </row>
    <row r="2134" spans="1:20" x14ac:dyDescent="0.3">
      <c r="A2134" t="str">
        <f>"0611831979100"</f>
        <v>0611831979100</v>
      </c>
      <c r="B2134" t="str">
        <f>"LL0156"</f>
        <v>LL0156</v>
      </c>
      <c r="C2134" t="s">
        <v>31365</v>
      </c>
      <c r="D2134" t="s">
        <v>27245</v>
      </c>
      <c r="E2134" t="str">
        <f t="shared" si="33"/>
        <v>001390</v>
      </c>
      <c r="F2134" t="s">
        <v>27246</v>
      </c>
      <c r="G2134" t="s">
        <v>27247</v>
      </c>
      <c r="H2134" t="s">
        <v>27248</v>
      </c>
      <c r="I2134" t="s">
        <v>31366</v>
      </c>
      <c r="J2134" t="s">
        <v>4279</v>
      </c>
      <c r="L2134" t="s">
        <v>27250</v>
      </c>
      <c r="M2134" t="s">
        <v>27251</v>
      </c>
      <c r="N2134" t="s">
        <v>27252</v>
      </c>
      <c r="Q2134" s="1">
        <v>44538</v>
      </c>
      <c r="R2134" t="s">
        <v>27253</v>
      </c>
      <c r="S2134" t="s">
        <v>27254</v>
      </c>
      <c r="T2134" t="s">
        <v>27255</v>
      </c>
    </row>
    <row r="2135" spans="1:20" x14ac:dyDescent="0.3">
      <c r="A2135" t="str">
        <f>"0611830943100"</f>
        <v>0611830943100</v>
      </c>
      <c r="B2135" t="str">
        <f>"LL1250"</f>
        <v>LL1250</v>
      </c>
      <c r="C2135" t="s">
        <v>31367</v>
      </c>
      <c r="D2135" t="s">
        <v>27245</v>
      </c>
      <c r="E2135" t="str">
        <f t="shared" si="33"/>
        <v>001390</v>
      </c>
      <c r="F2135" t="s">
        <v>27246</v>
      </c>
      <c r="G2135" t="s">
        <v>27247</v>
      </c>
      <c r="H2135" t="s">
        <v>27248</v>
      </c>
      <c r="I2135" t="s">
        <v>31368</v>
      </c>
      <c r="J2135" t="s">
        <v>4281</v>
      </c>
      <c r="L2135" t="s">
        <v>27250</v>
      </c>
      <c r="M2135" t="s">
        <v>27251</v>
      </c>
      <c r="N2135" t="s">
        <v>27252</v>
      </c>
      <c r="Q2135" s="1">
        <v>44538</v>
      </c>
      <c r="R2135" t="s">
        <v>27253</v>
      </c>
      <c r="S2135" t="s">
        <v>27254</v>
      </c>
      <c r="T2135" t="s">
        <v>27255</v>
      </c>
    </row>
    <row r="2136" spans="1:20" x14ac:dyDescent="0.3">
      <c r="A2136" t="str">
        <f>"0611830944100"</f>
        <v>0611830944100</v>
      </c>
      <c r="B2136" t="str">
        <f>"LL1195"</f>
        <v>LL1195</v>
      </c>
      <c r="C2136" t="s">
        <v>31369</v>
      </c>
      <c r="D2136" t="s">
        <v>27245</v>
      </c>
      <c r="E2136" t="str">
        <f t="shared" si="33"/>
        <v>001390</v>
      </c>
      <c r="F2136" t="s">
        <v>27246</v>
      </c>
      <c r="G2136" t="s">
        <v>27247</v>
      </c>
      <c r="H2136" t="s">
        <v>27248</v>
      </c>
      <c r="I2136" t="s">
        <v>31370</v>
      </c>
      <c r="J2136" t="s">
        <v>4283</v>
      </c>
      <c r="L2136" t="s">
        <v>27250</v>
      </c>
      <c r="M2136" t="s">
        <v>27251</v>
      </c>
      <c r="N2136" t="s">
        <v>27252</v>
      </c>
      <c r="Q2136" s="1">
        <v>44538</v>
      </c>
      <c r="R2136" t="s">
        <v>27253</v>
      </c>
      <c r="S2136" t="s">
        <v>27254</v>
      </c>
      <c r="T2136" t="s">
        <v>27255</v>
      </c>
    </row>
    <row r="2137" spans="1:20" x14ac:dyDescent="0.3">
      <c r="A2137" t="str">
        <f>"0611830945100"</f>
        <v>0611830945100</v>
      </c>
      <c r="B2137" t="str">
        <f>"LL8179"</f>
        <v>LL8179</v>
      </c>
      <c r="C2137" t="s">
        <v>31371</v>
      </c>
      <c r="D2137" t="s">
        <v>27245</v>
      </c>
      <c r="E2137" t="str">
        <f t="shared" si="33"/>
        <v>001390</v>
      </c>
      <c r="F2137" t="s">
        <v>27246</v>
      </c>
      <c r="G2137" t="s">
        <v>27247</v>
      </c>
      <c r="H2137" t="s">
        <v>27248</v>
      </c>
      <c r="I2137" t="s">
        <v>31372</v>
      </c>
      <c r="J2137" t="s">
        <v>4285</v>
      </c>
      <c r="L2137" t="s">
        <v>27250</v>
      </c>
      <c r="M2137" t="s">
        <v>27251</v>
      </c>
      <c r="N2137" t="s">
        <v>27252</v>
      </c>
      <c r="Q2137" s="1">
        <v>44538</v>
      </c>
      <c r="R2137" t="s">
        <v>27253</v>
      </c>
      <c r="S2137" t="s">
        <v>27254</v>
      </c>
      <c r="T2137" t="s">
        <v>27255</v>
      </c>
    </row>
    <row r="2138" spans="1:20" x14ac:dyDescent="0.3">
      <c r="A2138" t="str">
        <f>"0611830946100"</f>
        <v>0611830946100</v>
      </c>
      <c r="B2138" t="str">
        <f>"LL1210"</f>
        <v>LL1210</v>
      </c>
      <c r="C2138" t="s">
        <v>31373</v>
      </c>
      <c r="D2138" t="s">
        <v>27245</v>
      </c>
      <c r="E2138" t="str">
        <f t="shared" si="33"/>
        <v>001390</v>
      </c>
      <c r="F2138" t="s">
        <v>27246</v>
      </c>
      <c r="G2138" t="s">
        <v>27247</v>
      </c>
      <c r="H2138" t="s">
        <v>27248</v>
      </c>
      <c r="I2138" t="s">
        <v>31374</v>
      </c>
      <c r="J2138" t="s">
        <v>4287</v>
      </c>
      <c r="L2138" t="s">
        <v>27250</v>
      </c>
      <c r="M2138" t="s">
        <v>27251</v>
      </c>
      <c r="N2138" t="s">
        <v>27252</v>
      </c>
      <c r="Q2138" s="1">
        <v>44538</v>
      </c>
      <c r="R2138" t="s">
        <v>27253</v>
      </c>
      <c r="S2138" t="s">
        <v>27254</v>
      </c>
      <c r="T2138" t="s">
        <v>27255</v>
      </c>
    </row>
    <row r="2139" spans="1:20" x14ac:dyDescent="0.3">
      <c r="A2139" t="str">
        <f>"0611830947100"</f>
        <v>0611830947100</v>
      </c>
      <c r="B2139" t="str">
        <f>"LL1217"</f>
        <v>LL1217</v>
      </c>
      <c r="C2139" t="s">
        <v>31375</v>
      </c>
      <c r="D2139" t="s">
        <v>27245</v>
      </c>
      <c r="E2139" t="str">
        <f t="shared" si="33"/>
        <v>001390</v>
      </c>
      <c r="F2139" t="s">
        <v>27246</v>
      </c>
      <c r="G2139" t="s">
        <v>27247</v>
      </c>
      <c r="H2139" t="s">
        <v>27248</v>
      </c>
      <c r="I2139" t="s">
        <v>31376</v>
      </c>
      <c r="J2139" t="s">
        <v>4289</v>
      </c>
      <c r="L2139" t="s">
        <v>27250</v>
      </c>
      <c r="M2139" t="s">
        <v>27251</v>
      </c>
      <c r="N2139" t="s">
        <v>27252</v>
      </c>
      <c r="Q2139" s="1">
        <v>44538</v>
      </c>
      <c r="R2139" t="s">
        <v>27253</v>
      </c>
      <c r="S2139" t="s">
        <v>27254</v>
      </c>
      <c r="T2139" t="s">
        <v>27255</v>
      </c>
    </row>
    <row r="2140" spans="1:20" x14ac:dyDescent="0.3">
      <c r="A2140" t="str">
        <f>"0611830948100"</f>
        <v>0611830948100</v>
      </c>
      <c r="B2140" t="str">
        <f>"LL1220"</f>
        <v>LL1220</v>
      </c>
      <c r="C2140" t="s">
        <v>31377</v>
      </c>
      <c r="D2140" t="s">
        <v>27245</v>
      </c>
      <c r="E2140" t="str">
        <f t="shared" si="33"/>
        <v>001390</v>
      </c>
      <c r="F2140" t="s">
        <v>27246</v>
      </c>
      <c r="G2140" t="s">
        <v>27247</v>
      </c>
      <c r="H2140" t="s">
        <v>27248</v>
      </c>
      <c r="I2140" t="s">
        <v>31378</v>
      </c>
      <c r="J2140" t="s">
        <v>4291</v>
      </c>
      <c r="L2140" t="s">
        <v>27250</v>
      </c>
      <c r="M2140" t="s">
        <v>27251</v>
      </c>
      <c r="N2140" t="s">
        <v>27252</v>
      </c>
      <c r="Q2140" s="1">
        <v>44538</v>
      </c>
      <c r="R2140" t="s">
        <v>27253</v>
      </c>
      <c r="S2140" t="s">
        <v>27254</v>
      </c>
      <c r="T2140" t="s">
        <v>27255</v>
      </c>
    </row>
    <row r="2141" spans="1:20" x14ac:dyDescent="0.3">
      <c r="A2141" t="str">
        <f>"0611830949100"</f>
        <v>0611830949100</v>
      </c>
      <c r="B2141" t="str">
        <f>"LL1240"</f>
        <v>LL1240</v>
      </c>
      <c r="C2141" t="s">
        <v>31379</v>
      </c>
      <c r="D2141" t="s">
        <v>27245</v>
      </c>
      <c r="E2141" t="str">
        <f t="shared" si="33"/>
        <v>001390</v>
      </c>
      <c r="F2141" t="s">
        <v>27246</v>
      </c>
      <c r="G2141" t="s">
        <v>27247</v>
      </c>
      <c r="H2141" t="s">
        <v>27248</v>
      </c>
      <c r="I2141" t="s">
        <v>31380</v>
      </c>
      <c r="J2141" t="s">
        <v>4293</v>
      </c>
      <c r="L2141" t="s">
        <v>27250</v>
      </c>
      <c r="M2141" t="s">
        <v>27251</v>
      </c>
      <c r="N2141" t="s">
        <v>27252</v>
      </c>
      <c r="Q2141" s="1">
        <v>44538</v>
      </c>
      <c r="R2141" t="s">
        <v>27253</v>
      </c>
      <c r="S2141" t="s">
        <v>27254</v>
      </c>
      <c r="T2141" t="s">
        <v>27255</v>
      </c>
    </row>
    <row r="2142" spans="1:20" x14ac:dyDescent="0.3">
      <c r="A2142" t="str">
        <f>"0611832804100"</f>
        <v>0611832804100</v>
      </c>
      <c r="B2142" t="str">
        <f>"LB1703"</f>
        <v>LB1703</v>
      </c>
      <c r="C2142" t="s">
        <v>31381</v>
      </c>
      <c r="D2142" t="s">
        <v>27245</v>
      </c>
      <c r="E2142" t="str">
        <f t="shared" si="33"/>
        <v>001390</v>
      </c>
      <c r="F2142" t="s">
        <v>27246</v>
      </c>
      <c r="G2142" t="s">
        <v>27247</v>
      </c>
      <c r="H2142" t="s">
        <v>27248</v>
      </c>
      <c r="I2142" t="s">
        <v>31382</v>
      </c>
      <c r="J2142" t="s">
        <v>4295</v>
      </c>
      <c r="L2142" t="s">
        <v>27250</v>
      </c>
      <c r="M2142" t="s">
        <v>27251</v>
      </c>
      <c r="N2142" t="s">
        <v>27252</v>
      </c>
      <c r="Q2142" s="1">
        <v>44538</v>
      </c>
      <c r="R2142" t="s">
        <v>27253</v>
      </c>
      <c r="S2142" t="s">
        <v>27254</v>
      </c>
      <c r="T2142" t="s">
        <v>27255</v>
      </c>
    </row>
    <row r="2143" spans="1:20" x14ac:dyDescent="0.3">
      <c r="A2143" t="str">
        <f>"0611832806100"</f>
        <v>0611832806100</v>
      </c>
      <c r="B2143" t="str">
        <f>"LK4277"</f>
        <v>LK4277</v>
      </c>
      <c r="C2143" t="s">
        <v>31383</v>
      </c>
      <c r="D2143" t="s">
        <v>27245</v>
      </c>
      <c r="E2143" t="str">
        <f t="shared" si="33"/>
        <v>001390</v>
      </c>
      <c r="F2143" t="s">
        <v>27246</v>
      </c>
      <c r="G2143" t="s">
        <v>27247</v>
      </c>
      <c r="H2143" t="s">
        <v>27248</v>
      </c>
      <c r="I2143" t="s">
        <v>31384</v>
      </c>
      <c r="J2143" t="s">
        <v>4297</v>
      </c>
      <c r="L2143" t="s">
        <v>27250</v>
      </c>
      <c r="M2143" t="s">
        <v>27251</v>
      </c>
      <c r="N2143" t="s">
        <v>27252</v>
      </c>
      <c r="Q2143" s="1">
        <v>44538</v>
      </c>
      <c r="R2143" t="s">
        <v>27253</v>
      </c>
      <c r="S2143" t="s">
        <v>27254</v>
      </c>
      <c r="T2143" t="s">
        <v>27255</v>
      </c>
    </row>
    <row r="2144" spans="1:20" x14ac:dyDescent="0.3">
      <c r="A2144" t="str">
        <f>"0611832809100"</f>
        <v>0611832809100</v>
      </c>
      <c r="B2144" t="str">
        <f>"LK6201"</f>
        <v>LK6201</v>
      </c>
      <c r="C2144" t="s">
        <v>31385</v>
      </c>
      <c r="D2144" t="s">
        <v>27245</v>
      </c>
      <c r="E2144" t="str">
        <f t="shared" si="33"/>
        <v>001390</v>
      </c>
      <c r="F2144" t="s">
        <v>27246</v>
      </c>
      <c r="G2144" t="s">
        <v>27247</v>
      </c>
      <c r="H2144" t="s">
        <v>27248</v>
      </c>
      <c r="I2144" t="s">
        <v>31386</v>
      </c>
      <c r="J2144" t="s">
        <v>4299</v>
      </c>
      <c r="L2144" t="s">
        <v>27250</v>
      </c>
      <c r="M2144" t="s">
        <v>27251</v>
      </c>
      <c r="N2144" t="s">
        <v>27252</v>
      </c>
      <c r="Q2144" s="1">
        <v>44538</v>
      </c>
      <c r="R2144" t="s">
        <v>27253</v>
      </c>
      <c r="S2144" t="s">
        <v>27254</v>
      </c>
      <c r="T2144" t="s">
        <v>27255</v>
      </c>
    </row>
    <row r="2145" spans="1:20" x14ac:dyDescent="0.3">
      <c r="A2145" t="str">
        <f>"0611832810100"</f>
        <v>0611832810100</v>
      </c>
      <c r="B2145" t="str">
        <f>"LK6858"</f>
        <v>LK6858</v>
      </c>
      <c r="C2145" t="s">
        <v>31387</v>
      </c>
      <c r="D2145" t="s">
        <v>27245</v>
      </c>
      <c r="E2145" t="str">
        <f t="shared" si="33"/>
        <v>001390</v>
      </c>
      <c r="F2145" t="s">
        <v>27246</v>
      </c>
      <c r="G2145" t="s">
        <v>27247</v>
      </c>
      <c r="H2145" t="s">
        <v>27248</v>
      </c>
      <c r="I2145" t="s">
        <v>31388</v>
      </c>
      <c r="J2145" t="s">
        <v>4301</v>
      </c>
      <c r="L2145" t="s">
        <v>27250</v>
      </c>
      <c r="M2145" t="s">
        <v>27251</v>
      </c>
      <c r="N2145" t="s">
        <v>27252</v>
      </c>
      <c r="Q2145" s="1">
        <v>44538</v>
      </c>
      <c r="R2145" t="s">
        <v>27253</v>
      </c>
      <c r="S2145" t="s">
        <v>27254</v>
      </c>
      <c r="T2145" t="s">
        <v>27255</v>
      </c>
    </row>
    <row r="2146" spans="1:20" x14ac:dyDescent="0.3">
      <c r="A2146" t="str">
        <f>"0611832811100"</f>
        <v>0611832811100</v>
      </c>
      <c r="B2146" t="str">
        <f>"LK6859"</f>
        <v>LK6859</v>
      </c>
      <c r="C2146" t="s">
        <v>31389</v>
      </c>
      <c r="D2146" t="s">
        <v>27245</v>
      </c>
      <c r="E2146" t="str">
        <f t="shared" si="33"/>
        <v>001390</v>
      </c>
      <c r="F2146" t="s">
        <v>27246</v>
      </c>
      <c r="G2146" t="s">
        <v>27247</v>
      </c>
      <c r="H2146" t="s">
        <v>27248</v>
      </c>
      <c r="I2146" t="s">
        <v>31390</v>
      </c>
      <c r="J2146" t="s">
        <v>4303</v>
      </c>
      <c r="L2146" t="s">
        <v>27250</v>
      </c>
      <c r="M2146" t="s">
        <v>27251</v>
      </c>
      <c r="N2146" t="s">
        <v>27252</v>
      </c>
      <c r="Q2146" s="1">
        <v>44538</v>
      </c>
      <c r="R2146" t="s">
        <v>27253</v>
      </c>
      <c r="S2146" t="s">
        <v>27254</v>
      </c>
      <c r="T2146" t="s">
        <v>27255</v>
      </c>
    </row>
    <row r="2147" spans="1:20" x14ac:dyDescent="0.3">
      <c r="A2147" t="str">
        <f>"0611832812100"</f>
        <v>0611832812100</v>
      </c>
      <c r="B2147" t="str">
        <f>"LK6860"</f>
        <v>LK6860</v>
      </c>
      <c r="C2147" t="s">
        <v>31391</v>
      </c>
      <c r="D2147" t="s">
        <v>27245</v>
      </c>
      <c r="E2147" t="str">
        <f t="shared" si="33"/>
        <v>001390</v>
      </c>
      <c r="F2147" t="s">
        <v>27246</v>
      </c>
      <c r="G2147" t="s">
        <v>27247</v>
      </c>
      <c r="H2147" t="s">
        <v>27248</v>
      </c>
      <c r="I2147" t="s">
        <v>31392</v>
      </c>
      <c r="J2147" t="s">
        <v>4305</v>
      </c>
      <c r="L2147" t="s">
        <v>27250</v>
      </c>
      <c r="M2147" t="s">
        <v>27251</v>
      </c>
      <c r="N2147" t="s">
        <v>27252</v>
      </c>
      <c r="Q2147" s="1">
        <v>44538</v>
      </c>
      <c r="R2147" t="s">
        <v>27253</v>
      </c>
      <c r="S2147" t="s">
        <v>27254</v>
      </c>
      <c r="T2147" t="s">
        <v>27255</v>
      </c>
    </row>
    <row r="2148" spans="1:20" x14ac:dyDescent="0.3">
      <c r="A2148" t="str">
        <f>"0611832813100"</f>
        <v>0611832813100</v>
      </c>
      <c r="B2148" t="str">
        <f>"LK6861"</f>
        <v>LK6861</v>
      </c>
      <c r="C2148" t="s">
        <v>31393</v>
      </c>
      <c r="D2148" t="s">
        <v>27245</v>
      </c>
      <c r="E2148" t="str">
        <f t="shared" si="33"/>
        <v>001390</v>
      </c>
      <c r="F2148" t="s">
        <v>27246</v>
      </c>
      <c r="G2148" t="s">
        <v>27247</v>
      </c>
      <c r="H2148" t="s">
        <v>27248</v>
      </c>
      <c r="I2148" t="s">
        <v>31394</v>
      </c>
      <c r="J2148" t="s">
        <v>4307</v>
      </c>
      <c r="L2148" t="s">
        <v>27250</v>
      </c>
      <c r="M2148" t="s">
        <v>27251</v>
      </c>
      <c r="N2148" t="s">
        <v>27252</v>
      </c>
      <c r="Q2148" s="1">
        <v>44538</v>
      </c>
      <c r="R2148" t="s">
        <v>27253</v>
      </c>
      <c r="S2148" t="s">
        <v>27254</v>
      </c>
      <c r="T2148" t="s">
        <v>27255</v>
      </c>
    </row>
    <row r="2149" spans="1:20" x14ac:dyDescent="0.3">
      <c r="A2149" t="str">
        <f>"0611832815100"</f>
        <v>0611832815100</v>
      </c>
      <c r="B2149" t="str">
        <f>"LK6999"</f>
        <v>LK6999</v>
      </c>
      <c r="C2149" t="s">
        <v>31395</v>
      </c>
      <c r="D2149" t="s">
        <v>27245</v>
      </c>
      <c r="E2149" t="str">
        <f t="shared" si="33"/>
        <v>001390</v>
      </c>
      <c r="F2149" t="s">
        <v>27246</v>
      </c>
      <c r="G2149" t="s">
        <v>27247</v>
      </c>
      <c r="H2149" t="s">
        <v>27248</v>
      </c>
      <c r="I2149" t="s">
        <v>31396</v>
      </c>
      <c r="J2149" t="s">
        <v>4309</v>
      </c>
      <c r="L2149" t="s">
        <v>27250</v>
      </c>
      <c r="M2149" t="s">
        <v>27251</v>
      </c>
      <c r="N2149" t="s">
        <v>27252</v>
      </c>
      <c r="Q2149" s="1">
        <v>44538</v>
      </c>
      <c r="R2149" t="s">
        <v>27253</v>
      </c>
      <c r="S2149" t="s">
        <v>27254</v>
      </c>
      <c r="T2149" t="s">
        <v>27255</v>
      </c>
    </row>
    <row r="2150" spans="1:20" x14ac:dyDescent="0.3">
      <c r="A2150" t="str">
        <f>"0611832816100"</f>
        <v>0611832816100</v>
      </c>
      <c r="B2150" t="str">
        <f>"LK6862"</f>
        <v>LK6862</v>
      </c>
      <c r="C2150" t="s">
        <v>31397</v>
      </c>
      <c r="D2150" t="s">
        <v>27245</v>
      </c>
      <c r="E2150" t="str">
        <f t="shared" si="33"/>
        <v>001390</v>
      </c>
      <c r="F2150" t="s">
        <v>27246</v>
      </c>
      <c r="G2150" t="s">
        <v>27247</v>
      </c>
      <c r="H2150" t="s">
        <v>27248</v>
      </c>
      <c r="I2150" t="s">
        <v>31398</v>
      </c>
      <c r="J2150" t="s">
        <v>4311</v>
      </c>
      <c r="L2150" t="s">
        <v>27250</v>
      </c>
      <c r="M2150" t="s">
        <v>27251</v>
      </c>
      <c r="N2150" t="s">
        <v>27252</v>
      </c>
      <c r="Q2150" s="1">
        <v>44538</v>
      </c>
      <c r="R2150" t="s">
        <v>27253</v>
      </c>
      <c r="S2150" t="s">
        <v>27254</v>
      </c>
      <c r="T2150" t="s">
        <v>27255</v>
      </c>
    </row>
    <row r="2151" spans="1:20" x14ac:dyDescent="0.3">
      <c r="A2151" t="str">
        <f>"0611832817100"</f>
        <v>0611832817100</v>
      </c>
      <c r="B2151" t="str">
        <f>"LK6374"</f>
        <v>LK6374</v>
      </c>
      <c r="C2151" t="s">
        <v>31399</v>
      </c>
      <c r="D2151" t="s">
        <v>28138</v>
      </c>
      <c r="E2151" t="str">
        <f t="shared" si="33"/>
        <v>001390</v>
      </c>
      <c r="F2151" t="s">
        <v>27246</v>
      </c>
      <c r="G2151" t="s">
        <v>27247</v>
      </c>
      <c r="H2151" t="s">
        <v>27248</v>
      </c>
      <c r="I2151" t="s">
        <v>31400</v>
      </c>
      <c r="J2151" t="s">
        <v>4313</v>
      </c>
      <c r="L2151" t="s">
        <v>27250</v>
      </c>
      <c r="M2151" t="s">
        <v>27251</v>
      </c>
      <c r="N2151" t="s">
        <v>27252</v>
      </c>
      <c r="P2151" t="s">
        <v>27925</v>
      </c>
      <c r="Q2151" s="1">
        <v>44538</v>
      </c>
      <c r="R2151" t="s">
        <v>27253</v>
      </c>
      <c r="S2151" t="s">
        <v>27254</v>
      </c>
      <c r="T2151" t="s">
        <v>27255</v>
      </c>
    </row>
    <row r="2152" spans="1:20" x14ac:dyDescent="0.3">
      <c r="A2152" t="str">
        <f>"0611832818100"</f>
        <v>0611832818100</v>
      </c>
      <c r="B2152" t="str">
        <f>"LK6375"</f>
        <v>LK6375</v>
      </c>
      <c r="C2152" t="s">
        <v>31401</v>
      </c>
      <c r="D2152" t="s">
        <v>28138</v>
      </c>
      <c r="E2152" t="str">
        <f t="shared" si="33"/>
        <v>001390</v>
      </c>
      <c r="F2152" t="s">
        <v>27246</v>
      </c>
      <c r="G2152" t="s">
        <v>27247</v>
      </c>
      <c r="H2152" t="s">
        <v>27248</v>
      </c>
      <c r="I2152" t="s">
        <v>31402</v>
      </c>
      <c r="J2152" t="s">
        <v>4315</v>
      </c>
      <c r="L2152" t="s">
        <v>27250</v>
      </c>
      <c r="M2152" t="s">
        <v>27251</v>
      </c>
      <c r="N2152" t="s">
        <v>27252</v>
      </c>
      <c r="P2152" t="s">
        <v>27925</v>
      </c>
      <c r="Q2152" s="1">
        <v>44538</v>
      </c>
      <c r="R2152" t="s">
        <v>27253</v>
      </c>
      <c r="S2152" t="s">
        <v>27254</v>
      </c>
      <c r="T2152" t="s">
        <v>27255</v>
      </c>
    </row>
    <row r="2153" spans="1:20" x14ac:dyDescent="0.3">
      <c r="A2153" t="str">
        <f>"0611832819100"</f>
        <v>0611832819100</v>
      </c>
      <c r="B2153" t="str">
        <f>"LK6376"</f>
        <v>LK6376</v>
      </c>
      <c r="C2153" t="s">
        <v>31403</v>
      </c>
      <c r="D2153" t="s">
        <v>28138</v>
      </c>
      <c r="E2153" t="str">
        <f t="shared" si="33"/>
        <v>001390</v>
      </c>
      <c r="F2153" t="s">
        <v>27246</v>
      </c>
      <c r="G2153" t="s">
        <v>27247</v>
      </c>
      <c r="H2153" t="s">
        <v>27248</v>
      </c>
      <c r="I2153" t="s">
        <v>31404</v>
      </c>
      <c r="J2153" t="s">
        <v>4317</v>
      </c>
      <c r="L2153" t="s">
        <v>27250</v>
      </c>
      <c r="M2153" t="s">
        <v>27251</v>
      </c>
      <c r="N2153" t="s">
        <v>27252</v>
      </c>
      <c r="P2153" t="s">
        <v>27925</v>
      </c>
      <c r="Q2153" s="1">
        <v>44538</v>
      </c>
      <c r="R2153" t="s">
        <v>27253</v>
      </c>
      <c r="S2153" t="s">
        <v>27254</v>
      </c>
      <c r="T2153" t="s">
        <v>27255</v>
      </c>
    </row>
    <row r="2154" spans="1:20" x14ac:dyDescent="0.3">
      <c r="A2154" t="str">
        <f>"0611832820100"</f>
        <v>0611832820100</v>
      </c>
      <c r="B2154" t="str">
        <f>"LK6377"</f>
        <v>LK6377</v>
      </c>
      <c r="C2154" t="s">
        <v>31405</v>
      </c>
      <c r="D2154" t="s">
        <v>28138</v>
      </c>
      <c r="E2154" t="str">
        <f t="shared" si="33"/>
        <v>001390</v>
      </c>
      <c r="F2154" t="s">
        <v>27246</v>
      </c>
      <c r="G2154" t="s">
        <v>27247</v>
      </c>
      <c r="H2154" t="s">
        <v>27248</v>
      </c>
      <c r="I2154" t="s">
        <v>31406</v>
      </c>
      <c r="J2154" t="s">
        <v>4319</v>
      </c>
      <c r="L2154" t="s">
        <v>27250</v>
      </c>
      <c r="M2154" t="s">
        <v>27251</v>
      </c>
      <c r="N2154" t="s">
        <v>27252</v>
      </c>
      <c r="P2154" t="s">
        <v>27925</v>
      </c>
      <c r="Q2154" s="1">
        <v>44538</v>
      </c>
      <c r="R2154" t="s">
        <v>27253</v>
      </c>
      <c r="S2154" t="s">
        <v>27254</v>
      </c>
      <c r="T2154" t="s">
        <v>27255</v>
      </c>
    </row>
    <row r="2155" spans="1:20" x14ac:dyDescent="0.3">
      <c r="A2155" t="str">
        <f>"0611832903100"</f>
        <v>0611832903100</v>
      </c>
      <c r="B2155" t="str">
        <f>"LK6373"</f>
        <v>LK6373</v>
      </c>
      <c r="C2155" t="s">
        <v>31407</v>
      </c>
      <c r="D2155" t="s">
        <v>28138</v>
      </c>
      <c r="E2155" t="str">
        <f t="shared" si="33"/>
        <v>001390</v>
      </c>
      <c r="F2155" t="s">
        <v>27246</v>
      </c>
      <c r="G2155" t="s">
        <v>27247</v>
      </c>
      <c r="H2155" t="s">
        <v>27248</v>
      </c>
      <c r="I2155" t="s">
        <v>31408</v>
      </c>
      <c r="J2155" t="s">
        <v>4485</v>
      </c>
      <c r="L2155" t="s">
        <v>27250</v>
      </c>
      <c r="M2155" t="s">
        <v>27251</v>
      </c>
      <c r="N2155" t="s">
        <v>27252</v>
      </c>
      <c r="P2155" t="s">
        <v>27925</v>
      </c>
      <c r="Q2155" s="1">
        <v>44538</v>
      </c>
      <c r="R2155" t="s">
        <v>27253</v>
      </c>
      <c r="S2155" t="s">
        <v>27254</v>
      </c>
      <c r="T2155" t="s">
        <v>27255</v>
      </c>
    </row>
    <row r="2156" spans="1:20" x14ac:dyDescent="0.3">
      <c r="A2156" t="str">
        <f>"0611832821100"</f>
        <v>0611832821100</v>
      </c>
      <c r="B2156" t="str">
        <f>"LB1642"</f>
        <v>LB1642</v>
      </c>
      <c r="C2156" t="s">
        <v>31409</v>
      </c>
      <c r="D2156" t="s">
        <v>27245</v>
      </c>
      <c r="E2156" t="str">
        <f t="shared" si="33"/>
        <v>001390</v>
      </c>
      <c r="F2156" t="s">
        <v>27246</v>
      </c>
      <c r="G2156" t="s">
        <v>27247</v>
      </c>
      <c r="H2156" t="s">
        <v>27248</v>
      </c>
      <c r="I2156" t="s">
        <v>31410</v>
      </c>
      <c r="J2156" t="s">
        <v>4321</v>
      </c>
      <c r="L2156" t="s">
        <v>27250</v>
      </c>
      <c r="M2156" t="s">
        <v>27251</v>
      </c>
      <c r="N2156" t="s">
        <v>27252</v>
      </c>
      <c r="Q2156" s="1">
        <v>44538</v>
      </c>
      <c r="R2156" t="s">
        <v>27253</v>
      </c>
      <c r="S2156" t="s">
        <v>27254</v>
      </c>
      <c r="T2156" t="s">
        <v>27255</v>
      </c>
    </row>
    <row r="2157" spans="1:20" x14ac:dyDescent="0.3">
      <c r="A2157" t="str">
        <f>"0611832822100"</f>
        <v>0611832822100</v>
      </c>
      <c r="B2157" t="str">
        <f>"LB1648"</f>
        <v>LB1648</v>
      </c>
      <c r="C2157" t="s">
        <v>31411</v>
      </c>
      <c r="D2157" t="s">
        <v>27245</v>
      </c>
      <c r="E2157" t="str">
        <f t="shared" si="33"/>
        <v>001390</v>
      </c>
      <c r="F2157" t="s">
        <v>27246</v>
      </c>
      <c r="G2157" t="s">
        <v>27247</v>
      </c>
      <c r="H2157" t="s">
        <v>27248</v>
      </c>
      <c r="I2157" t="s">
        <v>31412</v>
      </c>
      <c r="J2157" t="s">
        <v>4323</v>
      </c>
      <c r="L2157" t="s">
        <v>27250</v>
      </c>
      <c r="M2157" t="s">
        <v>27251</v>
      </c>
      <c r="N2157" t="s">
        <v>27252</v>
      </c>
      <c r="Q2157" s="1">
        <v>44538</v>
      </c>
      <c r="R2157" t="s">
        <v>27253</v>
      </c>
      <c r="S2157" t="s">
        <v>27254</v>
      </c>
      <c r="T2157" t="s">
        <v>27255</v>
      </c>
    </row>
    <row r="2158" spans="1:20" x14ac:dyDescent="0.3">
      <c r="A2158" t="str">
        <f>"0611832823100"</f>
        <v>0611832823100</v>
      </c>
      <c r="B2158" t="str">
        <f>"LB1643"</f>
        <v>LB1643</v>
      </c>
      <c r="C2158" t="s">
        <v>31413</v>
      </c>
      <c r="D2158" t="s">
        <v>27245</v>
      </c>
      <c r="E2158" t="str">
        <f t="shared" si="33"/>
        <v>001390</v>
      </c>
      <c r="F2158" t="s">
        <v>27246</v>
      </c>
      <c r="G2158" t="s">
        <v>27247</v>
      </c>
      <c r="H2158" t="s">
        <v>27248</v>
      </c>
      <c r="I2158" t="s">
        <v>31414</v>
      </c>
      <c r="J2158" t="s">
        <v>4325</v>
      </c>
      <c r="L2158" t="s">
        <v>27250</v>
      </c>
      <c r="M2158" t="s">
        <v>27251</v>
      </c>
      <c r="N2158" t="s">
        <v>27252</v>
      </c>
      <c r="Q2158" s="1">
        <v>44538</v>
      </c>
      <c r="R2158" t="s">
        <v>27253</v>
      </c>
      <c r="S2158" t="s">
        <v>27254</v>
      </c>
      <c r="T2158" t="s">
        <v>27255</v>
      </c>
    </row>
    <row r="2159" spans="1:20" x14ac:dyDescent="0.3">
      <c r="A2159" t="str">
        <f>"0611832824100"</f>
        <v>0611832824100</v>
      </c>
      <c r="B2159" t="str">
        <f>"LB1646"</f>
        <v>LB1646</v>
      </c>
      <c r="C2159" t="s">
        <v>31415</v>
      </c>
      <c r="D2159" t="s">
        <v>27245</v>
      </c>
      <c r="E2159" t="str">
        <f t="shared" si="33"/>
        <v>001390</v>
      </c>
      <c r="F2159" t="s">
        <v>27246</v>
      </c>
      <c r="G2159" t="s">
        <v>27247</v>
      </c>
      <c r="H2159" t="s">
        <v>27248</v>
      </c>
      <c r="I2159" t="s">
        <v>31416</v>
      </c>
      <c r="J2159" t="s">
        <v>4327</v>
      </c>
      <c r="L2159" t="s">
        <v>27250</v>
      </c>
      <c r="M2159" t="s">
        <v>27251</v>
      </c>
      <c r="N2159" t="s">
        <v>27252</v>
      </c>
      <c r="Q2159" s="1">
        <v>44538</v>
      </c>
      <c r="R2159" t="s">
        <v>27253</v>
      </c>
      <c r="S2159" t="s">
        <v>27254</v>
      </c>
      <c r="T2159" t="s">
        <v>27255</v>
      </c>
    </row>
    <row r="2160" spans="1:20" x14ac:dyDescent="0.3">
      <c r="A2160" t="str">
        <f>"0611832825100"</f>
        <v>0611832825100</v>
      </c>
      <c r="B2160" t="str">
        <f>"LB1659"</f>
        <v>LB1659</v>
      </c>
      <c r="C2160" t="s">
        <v>31417</v>
      </c>
      <c r="D2160" t="s">
        <v>27245</v>
      </c>
      <c r="E2160" t="str">
        <f t="shared" si="33"/>
        <v>001390</v>
      </c>
      <c r="F2160" t="s">
        <v>27246</v>
      </c>
      <c r="G2160" t="s">
        <v>27247</v>
      </c>
      <c r="H2160" t="s">
        <v>27248</v>
      </c>
      <c r="I2160" t="s">
        <v>31418</v>
      </c>
      <c r="J2160" t="s">
        <v>4329</v>
      </c>
      <c r="L2160" t="s">
        <v>27250</v>
      </c>
      <c r="M2160" t="s">
        <v>27251</v>
      </c>
      <c r="N2160" t="s">
        <v>27252</v>
      </c>
      <c r="Q2160" s="1">
        <v>44538</v>
      </c>
      <c r="R2160" t="s">
        <v>27253</v>
      </c>
      <c r="S2160" t="s">
        <v>27254</v>
      </c>
      <c r="T2160" t="s">
        <v>27255</v>
      </c>
    </row>
    <row r="2161" spans="1:20" x14ac:dyDescent="0.3">
      <c r="A2161" t="str">
        <f>"0611832826100"</f>
        <v>0611832826100</v>
      </c>
      <c r="B2161" t="str">
        <f>"LK5729"</f>
        <v>LK5729</v>
      </c>
      <c r="C2161" t="s">
        <v>31419</v>
      </c>
      <c r="D2161" t="s">
        <v>27245</v>
      </c>
      <c r="E2161" t="str">
        <f t="shared" si="33"/>
        <v>001390</v>
      </c>
      <c r="F2161" t="s">
        <v>27246</v>
      </c>
      <c r="G2161" t="s">
        <v>27247</v>
      </c>
      <c r="H2161" t="s">
        <v>27248</v>
      </c>
      <c r="I2161" t="s">
        <v>31420</v>
      </c>
      <c r="J2161" t="s">
        <v>4331</v>
      </c>
      <c r="L2161" t="s">
        <v>27250</v>
      </c>
      <c r="M2161" t="s">
        <v>27251</v>
      </c>
      <c r="N2161" t="s">
        <v>27252</v>
      </c>
      <c r="Q2161" s="1">
        <v>44538</v>
      </c>
      <c r="R2161" t="s">
        <v>27253</v>
      </c>
      <c r="S2161" t="s">
        <v>27254</v>
      </c>
      <c r="T2161" t="s">
        <v>27255</v>
      </c>
    </row>
    <row r="2162" spans="1:20" x14ac:dyDescent="0.3">
      <c r="A2162" t="str">
        <f>"0611832827100"</f>
        <v>0611832827100</v>
      </c>
      <c r="B2162" t="str">
        <f>"LB1655"</f>
        <v>LB1655</v>
      </c>
      <c r="C2162" t="s">
        <v>31421</v>
      </c>
      <c r="D2162" t="s">
        <v>27245</v>
      </c>
      <c r="E2162" t="str">
        <f t="shared" si="33"/>
        <v>001390</v>
      </c>
      <c r="F2162" t="s">
        <v>27246</v>
      </c>
      <c r="G2162" t="s">
        <v>27247</v>
      </c>
      <c r="H2162" t="s">
        <v>27248</v>
      </c>
      <c r="I2162" t="s">
        <v>31422</v>
      </c>
      <c r="J2162" t="s">
        <v>4333</v>
      </c>
      <c r="L2162" t="s">
        <v>27250</v>
      </c>
      <c r="M2162" t="s">
        <v>27251</v>
      </c>
      <c r="N2162" t="s">
        <v>27252</v>
      </c>
      <c r="Q2162" s="1">
        <v>44538</v>
      </c>
      <c r="R2162" t="s">
        <v>27253</v>
      </c>
      <c r="S2162" t="s">
        <v>27254</v>
      </c>
      <c r="T2162" t="s">
        <v>27255</v>
      </c>
    </row>
    <row r="2163" spans="1:20" x14ac:dyDescent="0.3">
      <c r="A2163" t="str">
        <f>"0611832828100"</f>
        <v>0611832828100</v>
      </c>
      <c r="B2163" t="str">
        <f>"LK2992"</f>
        <v>LK2992</v>
      </c>
      <c r="C2163" t="s">
        <v>31423</v>
      </c>
      <c r="D2163" t="s">
        <v>27245</v>
      </c>
      <c r="E2163" t="str">
        <f t="shared" si="33"/>
        <v>001390</v>
      </c>
      <c r="F2163" t="s">
        <v>27246</v>
      </c>
      <c r="G2163" t="s">
        <v>27247</v>
      </c>
      <c r="H2163" t="s">
        <v>27248</v>
      </c>
      <c r="I2163" t="s">
        <v>31424</v>
      </c>
      <c r="J2163" t="s">
        <v>4335</v>
      </c>
      <c r="L2163" t="s">
        <v>27250</v>
      </c>
      <c r="M2163" t="s">
        <v>27251</v>
      </c>
      <c r="N2163" t="s">
        <v>27252</v>
      </c>
      <c r="Q2163" s="1">
        <v>44538</v>
      </c>
      <c r="R2163" t="s">
        <v>27253</v>
      </c>
      <c r="S2163" t="s">
        <v>27254</v>
      </c>
      <c r="T2163" t="s">
        <v>27255</v>
      </c>
    </row>
    <row r="2164" spans="1:20" x14ac:dyDescent="0.3">
      <c r="A2164" t="str">
        <f>"0611832829100"</f>
        <v>0611832829100</v>
      </c>
      <c r="B2164" t="str">
        <f>"LB1653"</f>
        <v>LB1653</v>
      </c>
      <c r="C2164" t="s">
        <v>31425</v>
      </c>
      <c r="D2164" t="s">
        <v>27245</v>
      </c>
      <c r="E2164" t="str">
        <f t="shared" si="33"/>
        <v>001390</v>
      </c>
      <c r="F2164" t="s">
        <v>27246</v>
      </c>
      <c r="G2164" t="s">
        <v>27247</v>
      </c>
      <c r="H2164" t="s">
        <v>27248</v>
      </c>
      <c r="I2164" t="s">
        <v>31426</v>
      </c>
      <c r="J2164" t="s">
        <v>4337</v>
      </c>
      <c r="L2164" t="s">
        <v>27250</v>
      </c>
      <c r="M2164" t="s">
        <v>27251</v>
      </c>
      <c r="N2164" t="s">
        <v>27252</v>
      </c>
      <c r="Q2164" s="1">
        <v>44538</v>
      </c>
      <c r="R2164" t="s">
        <v>27253</v>
      </c>
      <c r="S2164" t="s">
        <v>27254</v>
      </c>
      <c r="T2164" t="s">
        <v>27255</v>
      </c>
    </row>
    <row r="2165" spans="1:20" x14ac:dyDescent="0.3">
      <c r="A2165" t="str">
        <f>"0611832830100"</f>
        <v>0611832830100</v>
      </c>
      <c r="B2165" t="str">
        <f>"LB1656"</f>
        <v>LB1656</v>
      </c>
      <c r="C2165" t="s">
        <v>31427</v>
      </c>
      <c r="D2165" t="s">
        <v>27245</v>
      </c>
      <c r="E2165" t="str">
        <f t="shared" si="33"/>
        <v>001390</v>
      </c>
      <c r="F2165" t="s">
        <v>27246</v>
      </c>
      <c r="G2165" t="s">
        <v>27247</v>
      </c>
      <c r="H2165" t="s">
        <v>27248</v>
      </c>
      <c r="I2165" t="s">
        <v>31428</v>
      </c>
      <c r="J2165" t="s">
        <v>4339</v>
      </c>
      <c r="L2165" t="s">
        <v>27250</v>
      </c>
      <c r="M2165" t="s">
        <v>27251</v>
      </c>
      <c r="N2165" t="s">
        <v>27252</v>
      </c>
      <c r="Q2165" s="1">
        <v>44538</v>
      </c>
      <c r="R2165" t="s">
        <v>27253</v>
      </c>
      <c r="S2165" t="s">
        <v>27254</v>
      </c>
      <c r="T2165" t="s">
        <v>27255</v>
      </c>
    </row>
    <row r="2166" spans="1:20" x14ac:dyDescent="0.3">
      <c r="A2166" t="str">
        <f>"0611832832100"</f>
        <v>0611832832100</v>
      </c>
      <c r="B2166" t="str">
        <f>"LB1658"</f>
        <v>LB1658</v>
      </c>
      <c r="C2166" t="s">
        <v>31429</v>
      </c>
      <c r="D2166" t="s">
        <v>27245</v>
      </c>
      <c r="E2166" t="str">
        <f t="shared" si="33"/>
        <v>001390</v>
      </c>
      <c r="F2166" t="s">
        <v>27246</v>
      </c>
      <c r="G2166" t="s">
        <v>27247</v>
      </c>
      <c r="H2166" t="s">
        <v>27248</v>
      </c>
      <c r="I2166" t="s">
        <v>31430</v>
      </c>
      <c r="J2166" t="s">
        <v>4341</v>
      </c>
      <c r="L2166" t="s">
        <v>27250</v>
      </c>
      <c r="M2166" t="s">
        <v>27251</v>
      </c>
      <c r="N2166" t="s">
        <v>27252</v>
      </c>
      <c r="Q2166" s="1">
        <v>44538</v>
      </c>
      <c r="R2166" t="s">
        <v>27253</v>
      </c>
      <c r="S2166" t="s">
        <v>27254</v>
      </c>
      <c r="T2166" t="s">
        <v>27255</v>
      </c>
    </row>
    <row r="2167" spans="1:20" x14ac:dyDescent="0.3">
      <c r="A2167" t="str">
        <f>"0611832833100"</f>
        <v>0611832833100</v>
      </c>
      <c r="B2167" t="str">
        <f>"LB1674"</f>
        <v>LB1674</v>
      </c>
      <c r="C2167" t="s">
        <v>31431</v>
      </c>
      <c r="D2167" t="s">
        <v>27245</v>
      </c>
      <c r="E2167" t="str">
        <f t="shared" si="33"/>
        <v>001390</v>
      </c>
      <c r="F2167" t="s">
        <v>27246</v>
      </c>
      <c r="G2167" t="s">
        <v>27247</v>
      </c>
      <c r="H2167" t="s">
        <v>27248</v>
      </c>
      <c r="I2167" t="s">
        <v>31432</v>
      </c>
      <c r="J2167" t="s">
        <v>4343</v>
      </c>
      <c r="L2167" t="s">
        <v>27250</v>
      </c>
      <c r="M2167" t="s">
        <v>27251</v>
      </c>
      <c r="N2167" t="s">
        <v>27252</v>
      </c>
      <c r="Q2167" s="1">
        <v>44538</v>
      </c>
      <c r="R2167" t="s">
        <v>27253</v>
      </c>
      <c r="S2167" t="s">
        <v>27254</v>
      </c>
      <c r="T2167" t="s">
        <v>27255</v>
      </c>
    </row>
    <row r="2168" spans="1:20" x14ac:dyDescent="0.3">
      <c r="A2168" t="str">
        <f>"0611832834100"</f>
        <v>0611832834100</v>
      </c>
      <c r="B2168" t="str">
        <f>"LK6687"</f>
        <v>LK6687</v>
      </c>
      <c r="C2168" t="s">
        <v>31433</v>
      </c>
      <c r="D2168" t="s">
        <v>27245</v>
      </c>
      <c r="E2168" t="str">
        <f t="shared" si="33"/>
        <v>001390</v>
      </c>
      <c r="F2168" t="s">
        <v>27246</v>
      </c>
      <c r="G2168" t="s">
        <v>27247</v>
      </c>
      <c r="H2168" t="s">
        <v>27248</v>
      </c>
      <c r="I2168" t="s">
        <v>31434</v>
      </c>
      <c r="J2168" t="s">
        <v>4345</v>
      </c>
      <c r="L2168" t="s">
        <v>27250</v>
      </c>
      <c r="M2168" t="s">
        <v>27251</v>
      </c>
      <c r="N2168" t="s">
        <v>27252</v>
      </c>
      <c r="Q2168" s="1">
        <v>44538</v>
      </c>
      <c r="R2168" t="s">
        <v>27253</v>
      </c>
      <c r="S2168" t="s">
        <v>27254</v>
      </c>
      <c r="T2168" t="s">
        <v>27255</v>
      </c>
    </row>
    <row r="2169" spans="1:20" x14ac:dyDescent="0.3">
      <c r="A2169" t="str">
        <f>"0611832835100"</f>
        <v>0611832835100</v>
      </c>
      <c r="B2169" t="str">
        <f>"LK6688"</f>
        <v>LK6688</v>
      </c>
      <c r="C2169" t="s">
        <v>31435</v>
      </c>
      <c r="D2169" t="s">
        <v>27245</v>
      </c>
      <c r="E2169" t="str">
        <f t="shared" si="33"/>
        <v>001390</v>
      </c>
      <c r="F2169" t="s">
        <v>27246</v>
      </c>
      <c r="G2169" t="s">
        <v>27247</v>
      </c>
      <c r="H2169" t="s">
        <v>27248</v>
      </c>
      <c r="I2169" t="s">
        <v>31436</v>
      </c>
      <c r="J2169" t="s">
        <v>4347</v>
      </c>
      <c r="L2169" t="s">
        <v>27250</v>
      </c>
      <c r="M2169" t="s">
        <v>27251</v>
      </c>
      <c r="N2169" t="s">
        <v>27252</v>
      </c>
      <c r="Q2169" s="1">
        <v>44538</v>
      </c>
      <c r="R2169" t="s">
        <v>27253</v>
      </c>
      <c r="S2169" t="s">
        <v>27254</v>
      </c>
      <c r="T2169" t="s">
        <v>27255</v>
      </c>
    </row>
    <row r="2170" spans="1:20" x14ac:dyDescent="0.3">
      <c r="A2170" t="str">
        <f>"0611832836100"</f>
        <v>0611832836100</v>
      </c>
      <c r="B2170" t="str">
        <f>"LK6689"</f>
        <v>LK6689</v>
      </c>
      <c r="C2170" t="s">
        <v>31437</v>
      </c>
      <c r="D2170" t="s">
        <v>27245</v>
      </c>
      <c r="E2170" t="str">
        <f t="shared" si="33"/>
        <v>001390</v>
      </c>
      <c r="F2170" t="s">
        <v>27246</v>
      </c>
      <c r="G2170" t="s">
        <v>27247</v>
      </c>
      <c r="H2170" t="s">
        <v>27248</v>
      </c>
      <c r="I2170" t="s">
        <v>31438</v>
      </c>
      <c r="J2170" t="s">
        <v>4349</v>
      </c>
      <c r="L2170" t="s">
        <v>27250</v>
      </c>
      <c r="M2170" t="s">
        <v>27251</v>
      </c>
      <c r="N2170" t="s">
        <v>27252</v>
      </c>
      <c r="Q2170" s="1">
        <v>44538</v>
      </c>
      <c r="R2170" t="s">
        <v>27253</v>
      </c>
      <c r="S2170" t="s">
        <v>27254</v>
      </c>
      <c r="T2170" t="s">
        <v>27255</v>
      </c>
    </row>
    <row r="2171" spans="1:20" x14ac:dyDescent="0.3">
      <c r="A2171" t="str">
        <f>"0611832837100"</f>
        <v>0611832837100</v>
      </c>
      <c r="B2171" t="str">
        <f>"LK6690"</f>
        <v>LK6690</v>
      </c>
      <c r="C2171" t="s">
        <v>31439</v>
      </c>
      <c r="D2171" t="s">
        <v>27245</v>
      </c>
      <c r="E2171" t="str">
        <f t="shared" si="33"/>
        <v>001390</v>
      </c>
      <c r="F2171" t="s">
        <v>27246</v>
      </c>
      <c r="G2171" t="s">
        <v>27247</v>
      </c>
      <c r="H2171" t="s">
        <v>27248</v>
      </c>
      <c r="I2171" t="s">
        <v>31440</v>
      </c>
      <c r="J2171" t="s">
        <v>4351</v>
      </c>
      <c r="L2171" t="s">
        <v>27250</v>
      </c>
      <c r="M2171" t="s">
        <v>27251</v>
      </c>
      <c r="N2171" t="s">
        <v>27252</v>
      </c>
      <c r="Q2171" s="1">
        <v>44538</v>
      </c>
      <c r="R2171" t="s">
        <v>27253</v>
      </c>
      <c r="S2171" t="s">
        <v>27254</v>
      </c>
      <c r="T2171" t="s">
        <v>27255</v>
      </c>
    </row>
    <row r="2172" spans="1:20" x14ac:dyDescent="0.3">
      <c r="A2172" t="str">
        <f>"0611832838100"</f>
        <v>0611832838100</v>
      </c>
      <c r="B2172" t="str">
        <f>"LK6691"</f>
        <v>LK6691</v>
      </c>
      <c r="C2172" t="s">
        <v>31441</v>
      </c>
      <c r="D2172" t="s">
        <v>27245</v>
      </c>
      <c r="E2172" t="str">
        <f t="shared" si="33"/>
        <v>001390</v>
      </c>
      <c r="F2172" t="s">
        <v>27246</v>
      </c>
      <c r="G2172" t="s">
        <v>27247</v>
      </c>
      <c r="H2172" t="s">
        <v>27248</v>
      </c>
      <c r="I2172" t="s">
        <v>31442</v>
      </c>
      <c r="J2172" t="s">
        <v>4353</v>
      </c>
      <c r="L2172" t="s">
        <v>27250</v>
      </c>
      <c r="M2172" t="s">
        <v>27251</v>
      </c>
      <c r="N2172" t="s">
        <v>27252</v>
      </c>
      <c r="Q2172" s="1">
        <v>44538</v>
      </c>
      <c r="R2172" t="s">
        <v>27253</v>
      </c>
      <c r="S2172" t="s">
        <v>27254</v>
      </c>
      <c r="T2172" t="s">
        <v>27255</v>
      </c>
    </row>
    <row r="2173" spans="1:20" x14ac:dyDescent="0.3">
      <c r="A2173" t="str">
        <f>"0611832839100"</f>
        <v>0611832839100</v>
      </c>
      <c r="B2173" t="str">
        <f>"LK6692"</f>
        <v>LK6692</v>
      </c>
      <c r="C2173" t="s">
        <v>31443</v>
      </c>
      <c r="D2173" t="s">
        <v>27245</v>
      </c>
      <c r="E2173" t="str">
        <f t="shared" si="33"/>
        <v>001390</v>
      </c>
      <c r="F2173" t="s">
        <v>27246</v>
      </c>
      <c r="G2173" t="s">
        <v>27247</v>
      </c>
      <c r="H2173" t="s">
        <v>27248</v>
      </c>
      <c r="I2173" t="s">
        <v>31444</v>
      </c>
      <c r="J2173" t="s">
        <v>4355</v>
      </c>
      <c r="L2173" t="s">
        <v>27250</v>
      </c>
      <c r="M2173" t="s">
        <v>27251</v>
      </c>
      <c r="N2173" t="s">
        <v>27252</v>
      </c>
      <c r="Q2173" s="1">
        <v>44538</v>
      </c>
      <c r="R2173" t="s">
        <v>27253</v>
      </c>
      <c r="S2173" t="s">
        <v>27254</v>
      </c>
      <c r="T2173" t="s">
        <v>27255</v>
      </c>
    </row>
    <row r="2174" spans="1:20" x14ac:dyDescent="0.3">
      <c r="A2174" t="str">
        <f>"0611832840100"</f>
        <v>0611832840100</v>
      </c>
      <c r="B2174" t="str">
        <f>"LK6512"</f>
        <v>LK6512</v>
      </c>
      <c r="C2174" t="s">
        <v>31445</v>
      </c>
      <c r="D2174" t="s">
        <v>27245</v>
      </c>
      <c r="E2174" t="str">
        <f t="shared" si="33"/>
        <v>001390</v>
      </c>
      <c r="F2174" t="s">
        <v>27246</v>
      </c>
      <c r="G2174" t="s">
        <v>27247</v>
      </c>
      <c r="H2174" t="s">
        <v>27248</v>
      </c>
      <c r="I2174" t="s">
        <v>31446</v>
      </c>
      <c r="J2174" t="s">
        <v>4357</v>
      </c>
      <c r="L2174" t="s">
        <v>27250</v>
      </c>
      <c r="M2174" t="s">
        <v>27251</v>
      </c>
      <c r="N2174" t="s">
        <v>27252</v>
      </c>
      <c r="Q2174" s="1">
        <v>44538</v>
      </c>
      <c r="R2174" t="s">
        <v>27253</v>
      </c>
      <c r="S2174" t="s">
        <v>27254</v>
      </c>
      <c r="T2174" t="s">
        <v>27255</v>
      </c>
    </row>
    <row r="2175" spans="1:20" x14ac:dyDescent="0.3">
      <c r="A2175" t="str">
        <f>"0611832841100"</f>
        <v>0611832841100</v>
      </c>
      <c r="B2175" t="str">
        <f>"LK6042"</f>
        <v>LK6042</v>
      </c>
      <c r="C2175" t="s">
        <v>31447</v>
      </c>
      <c r="D2175" t="s">
        <v>27245</v>
      </c>
      <c r="E2175" t="str">
        <f t="shared" si="33"/>
        <v>001390</v>
      </c>
      <c r="F2175" t="s">
        <v>27246</v>
      </c>
      <c r="G2175" t="s">
        <v>27247</v>
      </c>
      <c r="H2175" t="s">
        <v>27248</v>
      </c>
      <c r="I2175" t="s">
        <v>31448</v>
      </c>
      <c r="J2175" t="s">
        <v>4359</v>
      </c>
      <c r="L2175" t="s">
        <v>27250</v>
      </c>
      <c r="M2175" t="s">
        <v>27251</v>
      </c>
      <c r="N2175" t="s">
        <v>27252</v>
      </c>
      <c r="Q2175" s="1">
        <v>44538</v>
      </c>
      <c r="R2175" t="s">
        <v>27253</v>
      </c>
      <c r="S2175" t="s">
        <v>27254</v>
      </c>
      <c r="T2175" t="s">
        <v>27255</v>
      </c>
    </row>
    <row r="2176" spans="1:20" x14ac:dyDescent="0.3">
      <c r="A2176" t="str">
        <f>"0611832842100"</f>
        <v>0611832842100</v>
      </c>
      <c r="B2176" t="str">
        <f>"LK5730"</f>
        <v>LK5730</v>
      </c>
      <c r="C2176" t="s">
        <v>31449</v>
      </c>
      <c r="D2176" t="s">
        <v>27245</v>
      </c>
      <c r="E2176" t="str">
        <f t="shared" si="33"/>
        <v>001390</v>
      </c>
      <c r="F2176" t="s">
        <v>27246</v>
      </c>
      <c r="G2176" t="s">
        <v>27247</v>
      </c>
      <c r="H2176" t="s">
        <v>27248</v>
      </c>
      <c r="I2176" t="s">
        <v>31450</v>
      </c>
      <c r="J2176" t="s">
        <v>4361</v>
      </c>
      <c r="L2176" t="s">
        <v>27250</v>
      </c>
      <c r="M2176" t="s">
        <v>27251</v>
      </c>
      <c r="N2176" t="s">
        <v>27252</v>
      </c>
      <c r="Q2176" s="1">
        <v>44538</v>
      </c>
      <c r="R2176" t="s">
        <v>27253</v>
      </c>
      <c r="S2176" t="s">
        <v>27254</v>
      </c>
      <c r="T2176" t="s">
        <v>27255</v>
      </c>
    </row>
    <row r="2177" spans="1:20" x14ac:dyDescent="0.3">
      <c r="A2177" t="str">
        <f>"0611832843025"</f>
        <v>0611832843025</v>
      </c>
      <c r="B2177" t="str">
        <f>"MC4001"</f>
        <v>MC4001</v>
      </c>
      <c r="C2177" t="s">
        <v>31449</v>
      </c>
      <c r="D2177" t="s">
        <v>27267</v>
      </c>
      <c r="E2177" t="str">
        <f t="shared" si="33"/>
        <v>001390</v>
      </c>
      <c r="F2177" t="s">
        <v>27246</v>
      </c>
      <c r="G2177" t="s">
        <v>27247</v>
      </c>
      <c r="H2177" t="s">
        <v>27248</v>
      </c>
      <c r="I2177" t="s">
        <v>31451</v>
      </c>
      <c r="J2177" t="s">
        <v>4363</v>
      </c>
      <c r="L2177" t="s">
        <v>27250</v>
      </c>
      <c r="M2177" t="s">
        <v>27251</v>
      </c>
      <c r="N2177" t="s">
        <v>27252</v>
      </c>
      <c r="Q2177" s="1">
        <v>44538</v>
      </c>
      <c r="R2177" t="s">
        <v>27253</v>
      </c>
      <c r="S2177" t="s">
        <v>27254</v>
      </c>
      <c r="T2177" t="s">
        <v>27269</v>
      </c>
    </row>
    <row r="2178" spans="1:20" x14ac:dyDescent="0.3">
      <c r="A2178" t="str">
        <f>"0611832844100"</f>
        <v>0611832844100</v>
      </c>
      <c r="B2178" t="str">
        <f>"LK3304"</f>
        <v>LK3304</v>
      </c>
      <c r="C2178" t="s">
        <v>31452</v>
      </c>
      <c r="D2178" t="s">
        <v>27245</v>
      </c>
      <c r="E2178" t="str">
        <f t="shared" ref="E2178:E2241" si="34">"001390"</f>
        <v>001390</v>
      </c>
      <c r="F2178" t="s">
        <v>27246</v>
      </c>
      <c r="G2178" t="s">
        <v>27247</v>
      </c>
      <c r="H2178" t="s">
        <v>27248</v>
      </c>
      <c r="I2178" t="s">
        <v>31453</v>
      </c>
      <c r="J2178" t="s">
        <v>4365</v>
      </c>
      <c r="L2178" t="s">
        <v>27250</v>
      </c>
      <c r="M2178" t="s">
        <v>27251</v>
      </c>
      <c r="N2178" t="s">
        <v>27252</v>
      </c>
      <c r="Q2178" s="1">
        <v>44538</v>
      </c>
      <c r="R2178" t="s">
        <v>27253</v>
      </c>
      <c r="S2178" t="s">
        <v>27254</v>
      </c>
      <c r="T2178" t="s">
        <v>27255</v>
      </c>
    </row>
    <row r="2179" spans="1:20" x14ac:dyDescent="0.3">
      <c r="A2179" t="str">
        <f>"0611832845100"</f>
        <v>0611832845100</v>
      </c>
      <c r="B2179" t="str">
        <f>"LK6230"</f>
        <v>LK6230</v>
      </c>
      <c r="C2179" t="s">
        <v>31454</v>
      </c>
      <c r="D2179" t="s">
        <v>27245</v>
      </c>
      <c r="E2179" t="str">
        <f t="shared" si="34"/>
        <v>001390</v>
      </c>
      <c r="F2179" t="s">
        <v>27246</v>
      </c>
      <c r="G2179" t="s">
        <v>27247</v>
      </c>
      <c r="H2179" t="s">
        <v>27248</v>
      </c>
      <c r="I2179" t="s">
        <v>31455</v>
      </c>
      <c r="J2179" t="s">
        <v>4367</v>
      </c>
      <c r="L2179" t="s">
        <v>27250</v>
      </c>
      <c r="M2179" t="s">
        <v>27251</v>
      </c>
      <c r="N2179" t="s">
        <v>27252</v>
      </c>
      <c r="Q2179" s="1">
        <v>44538</v>
      </c>
      <c r="R2179" t="s">
        <v>27253</v>
      </c>
      <c r="S2179" t="s">
        <v>27254</v>
      </c>
      <c r="T2179" t="s">
        <v>27255</v>
      </c>
    </row>
    <row r="2180" spans="1:20" x14ac:dyDescent="0.3">
      <c r="A2180" t="str">
        <f>"0611832846100"</f>
        <v>0611832846100</v>
      </c>
      <c r="B2180" t="str">
        <f>"LK5444"</f>
        <v>LK5444</v>
      </c>
      <c r="C2180" t="s">
        <v>31456</v>
      </c>
      <c r="D2180" t="s">
        <v>27245</v>
      </c>
      <c r="E2180" t="str">
        <f t="shared" si="34"/>
        <v>001390</v>
      </c>
      <c r="F2180" t="s">
        <v>27246</v>
      </c>
      <c r="G2180" t="s">
        <v>27247</v>
      </c>
      <c r="H2180" t="s">
        <v>27248</v>
      </c>
      <c r="I2180" t="s">
        <v>31457</v>
      </c>
      <c r="J2180" t="s">
        <v>4369</v>
      </c>
      <c r="L2180" t="s">
        <v>27250</v>
      </c>
      <c r="M2180" t="s">
        <v>27251</v>
      </c>
      <c r="N2180" t="s">
        <v>27252</v>
      </c>
      <c r="Q2180" s="1">
        <v>44538</v>
      </c>
      <c r="R2180" t="s">
        <v>27253</v>
      </c>
      <c r="S2180" t="s">
        <v>27254</v>
      </c>
      <c r="T2180" t="s">
        <v>27255</v>
      </c>
    </row>
    <row r="2181" spans="1:20" x14ac:dyDescent="0.3">
      <c r="A2181" t="str">
        <f>"0611832847100"</f>
        <v>0611832847100</v>
      </c>
      <c r="B2181" t="str">
        <f>"LK6379"</f>
        <v>LK6379</v>
      </c>
      <c r="C2181" t="s">
        <v>31458</v>
      </c>
      <c r="D2181" t="s">
        <v>27245</v>
      </c>
      <c r="E2181" t="str">
        <f t="shared" si="34"/>
        <v>001390</v>
      </c>
      <c r="F2181" t="s">
        <v>27246</v>
      </c>
      <c r="G2181" t="s">
        <v>27247</v>
      </c>
      <c r="H2181" t="s">
        <v>27248</v>
      </c>
      <c r="I2181" t="s">
        <v>31459</v>
      </c>
      <c r="J2181" t="s">
        <v>4371</v>
      </c>
      <c r="L2181" t="s">
        <v>27250</v>
      </c>
      <c r="M2181" t="s">
        <v>27251</v>
      </c>
      <c r="N2181" t="s">
        <v>27252</v>
      </c>
      <c r="Q2181" s="1">
        <v>44538</v>
      </c>
      <c r="R2181" t="s">
        <v>27253</v>
      </c>
      <c r="S2181" t="s">
        <v>27254</v>
      </c>
      <c r="T2181" t="s">
        <v>27255</v>
      </c>
    </row>
    <row r="2182" spans="1:20" x14ac:dyDescent="0.3">
      <c r="A2182" t="str">
        <f>"0611832848100"</f>
        <v>0611832848100</v>
      </c>
      <c r="B2182" t="str">
        <f>"LK5445"</f>
        <v>LK5445</v>
      </c>
      <c r="C2182" t="s">
        <v>31460</v>
      </c>
      <c r="D2182" t="s">
        <v>27245</v>
      </c>
      <c r="E2182" t="str">
        <f t="shared" si="34"/>
        <v>001390</v>
      </c>
      <c r="F2182" t="s">
        <v>27246</v>
      </c>
      <c r="G2182" t="s">
        <v>27247</v>
      </c>
      <c r="H2182" t="s">
        <v>27248</v>
      </c>
      <c r="I2182" t="s">
        <v>31461</v>
      </c>
      <c r="J2182" t="s">
        <v>4373</v>
      </c>
      <c r="L2182" t="s">
        <v>27250</v>
      </c>
      <c r="M2182" t="s">
        <v>27251</v>
      </c>
      <c r="N2182" t="s">
        <v>27252</v>
      </c>
      <c r="Q2182" s="1">
        <v>44538</v>
      </c>
      <c r="R2182" t="s">
        <v>27253</v>
      </c>
      <c r="S2182" t="s">
        <v>27254</v>
      </c>
      <c r="T2182" t="s">
        <v>27255</v>
      </c>
    </row>
    <row r="2183" spans="1:20" x14ac:dyDescent="0.3">
      <c r="A2183" t="str">
        <f>"0611832849100"</f>
        <v>0611832849100</v>
      </c>
      <c r="B2183" t="str">
        <f>"LK6231"</f>
        <v>LK6231</v>
      </c>
      <c r="C2183" t="s">
        <v>31462</v>
      </c>
      <c r="D2183" t="s">
        <v>27245</v>
      </c>
      <c r="E2183" t="str">
        <f t="shared" si="34"/>
        <v>001390</v>
      </c>
      <c r="F2183" t="s">
        <v>27246</v>
      </c>
      <c r="G2183" t="s">
        <v>27247</v>
      </c>
      <c r="H2183" t="s">
        <v>27248</v>
      </c>
      <c r="I2183" t="s">
        <v>31463</v>
      </c>
      <c r="J2183" t="s">
        <v>4375</v>
      </c>
      <c r="L2183" t="s">
        <v>27250</v>
      </c>
      <c r="M2183" t="s">
        <v>27251</v>
      </c>
      <c r="N2183" t="s">
        <v>27252</v>
      </c>
      <c r="Q2183" s="1">
        <v>44538</v>
      </c>
      <c r="R2183" t="s">
        <v>27253</v>
      </c>
      <c r="S2183" t="s">
        <v>27254</v>
      </c>
      <c r="T2183" t="s">
        <v>27255</v>
      </c>
    </row>
    <row r="2184" spans="1:20" x14ac:dyDescent="0.3">
      <c r="A2184" t="str">
        <f>"0611832850100"</f>
        <v>0611832850100</v>
      </c>
      <c r="B2184" t="str">
        <f>"LK5446"</f>
        <v>LK5446</v>
      </c>
      <c r="C2184" t="s">
        <v>31464</v>
      </c>
      <c r="D2184" t="s">
        <v>27245</v>
      </c>
      <c r="E2184" t="str">
        <f t="shared" si="34"/>
        <v>001390</v>
      </c>
      <c r="F2184" t="s">
        <v>27246</v>
      </c>
      <c r="G2184" t="s">
        <v>27247</v>
      </c>
      <c r="H2184" t="s">
        <v>27248</v>
      </c>
      <c r="I2184" t="s">
        <v>31465</v>
      </c>
      <c r="J2184" t="s">
        <v>4377</v>
      </c>
      <c r="L2184" t="s">
        <v>27250</v>
      </c>
      <c r="M2184" t="s">
        <v>27251</v>
      </c>
      <c r="N2184" t="s">
        <v>27252</v>
      </c>
      <c r="Q2184" s="1">
        <v>44538</v>
      </c>
      <c r="R2184" t="s">
        <v>27253</v>
      </c>
      <c r="S2184" t="s">
        <v>27254</v>
      </c>
      <c r="T2184" t="s">
        <v>27255</v>
      </c>
    </row>
    <row r="2185" spans="1:20" x14ac:dyDescent="0.3">
      <c r="A2185" t="str">
        <f>"0611832851100"</f>
        <v>0611832851100</v>
      </c>
      <c r="B2185" t="str">
        <f>"LB1657"</f>
        <v>LB1657</v>
      </c>
      <c r="C2185" t="s">
        <v>31466</v>
      </c>
      <c r="D2185" t="s">
        <v>27245</v>
      </c>
      <c r="E2185" t="str">
        <f t="shared" si="34"/>
        <v>001390</v>
      </c>
      <c r="F2185" t="s">
        <v>27246</v>
      </c>
      <c r="G2185" t="s">
        <v>27247</v>
      </c>
      <c r="H2185" t="s">
        <v>27248</v>
      </c>
      <c r="I2185" t="s">
        <v>31467</v>
      </c>
      <c r="J2185" t="s">
        <v>4379</v>
      </c>
      <c r="L2185" t="s">
        <v>27250</v>
      </c>
      <c r="M2185" t="s">
        <v>27251</v>
      </c>
      <c r="N2185" t="s">
        <v>27252</v>
      </c>
      <c r="Q2185" s="1">
        <v>44538</v>
      </c>
      <c r="R2185" t="s">
        <v>27253</v>
      </c>
      <c r="S2185" t="s">
        <v>27254</v>
      </c>
      <c r="T2185" t="s">
        <v>27255</v>
      </c>
    </row>
    <row r="2186" spans="1:20" x14ac:dyDescent="0.3">
      <c r="A2186" t="str">
        <f>"0611832852100"</f>
        <v>0611832852100</v>
      </c>
      <c r="B2186" t="str">
        <f>"LB1739"</f>
        <v>LB1739</v>
      </c>
      <c r="C2186" t="s">
        <v>31468</v>
      </c>
      <c r="D2186" t="s">
        <v>27245</v>
      </c>
      <c r="E2186" t="str">
        <f t="shared" si="34"/>
        <v>001390</v>
      </c>
      <c r="F2186" t="s">
        <v>27246</v>
      </c>
      <c r="G2186" t="s">
        <v>27247</v>
      </c>
      <c r="H2186" t="s">
        <v>27248</v>
      </c>
      <c r="I2186" t="s">
        <v>31469</v>
      </c>
      <c r="J2186" t="s">
        <v>4381</v>
      </c>
      <c r="L2186" t="s">
        <v>27250</v>
      </c>
      <c r="M2186" t="s">
        <v>27251</v>
      </c>
      <c r="N2186" t="s">
        <v>27252</v>
      </c>
      <c r="Q2186" s="1">
        <v>44538</v>
      </c>
      <c r="R2186" t="s">
        <v>27253</v>
      </c>
      <c r="S2186" t="s">
        <v>27254</v>
      </c>
      <c r="T2186" t="s">
        <v>27255</v>
      </c>
    </row>
    <row r="2187" spans="1:20" x14ac:dyDescent="0.3">
      <c r="A2187" t="str">
        <f>"0611856861100"</f>
        <v>0611856861100</v>
      </c>
      <c r="B2187" t="str">
        <f>"LK7079"</f>
        <v>LK7079</v>
      </c>
      <c r="C2187" t="s">
        <v>31470</v>
      </c>
      <c r="D2187" t="s">
        <v>27245</v>
      </c>
      <c r="E2187" t="str">
        <f t="shared" si="34"/>
        <v>001390</v>
      </c>
      <c r="F2187" t="s">
        <v>27246</v>
      </c>
      <c r="G2187" t="s">
        <v>27247</v>
      </c>
      <c r="H2187" t="s">
        <v>27248</v>
      </c>
      <c r="I2187" t="s">
        <v>31471</v>
      </c>
      <c r="J2187" t="s">
        <v>4383</v>
      </c>
      <c r="L2187" t="s">
        <v>27250</v>
      </c>
      <c r="M2187" t="s">
        <v>27251</v>
      </c>
      <c r="N2187" t="s">
        <v>27252</v>
      </c>
      <c r="Q2187" s="1">
        <v>44812</v>
      </c>
      <c r="R2187" t="s">
        <v>27253</v>
      </c>
      <c r="S2187" t="s">
        <v>27254</v>
      </c>
      <c r="T2187" t="s">
        <v>27255</v>
      </c>
    </row>
    <row r="2188" spans="1:20" x14ac:dyDescent="0.3">
      <c r="A2188" t="str">
        <f>"0611856862100"</f>
        <v>0611856862100</v>
      </c>
      <c r="B2188" t="str">
        <f>"LK7080"</f>
        <v>LK7080</v>
      </c>
      <c r="C2188" t="s">
        <v>31472</v>
      </c>
      <c r="D2188" t="s">
        <v>27245</v>
      </c>
      <c r="E2188" t="str">
        <f t="shared" si="34"/>
        <v>001390</v>
      </c>
      <c r="F2188" t="s">
        <v>27246</v>
      </c>
      <c r="G2188" t="s">
        <v>27247</v>
      </c>
      <c r="H2188" t="s">
        <v>27248</v>
      </c>
      <c r="I2188" t="s">
        <v>31473</v>
      </c>
      <c r="J2188" t="s">
        <v>4385</v>
      </c>
      <c r="L2188" t="s">
        <v>27250</v>
      </c>
      <c r="M2188" t="s">
        <v>27251</v>
      </c>
      <c r="N2188" t="s">
        <v>27252</v>
      </c>
      <c r="Q2188" s="1">
        <v>44812</v>
      </c>
      <c r="R2188" t="s">
        <v>27253</v>
      </c>
      <c r="S2188" t="s">
        <v>27254</v>
      </c>
      <c r="T2188" t="s">
        <v>27255</v>
      </c>
    </row>
    <row r="2189" spans="1:20" x14ac:dyDescent="0.3">
      <c r="A2189" t="str">
        <f>"0611856863100"</f>
        <v>0611856863100</v>
      </c>
      <c r="B2189" t="str">
        <f>"LK7081"</f>
        <v>LK7081</v>
      </c>
      <c r="C2189" t="s">
        <v>31474</v>
      </c>
      <c r="D2189" t="s">
        <v>27245</v>
      </c>
      <c r="E2189" t="str">
        <f t="shared" si="34"/>
        <v>001390</v>
      </c>
      <c r="F2189" t="s">
        <v>27246</v>
      </c>
      <c r="G2189" t="s">
        <v>27247</v>
      </c>
      <c r="H2189" t="s">
        <v>27248</v>
      </c>
      <c r="I2189" t="s">
        <v>31475</v>
      </c>
      <c r="J2189" t="s">
        <v>4387</v>
      </c>
      <c r="L2189" t="s">
        <v>27250</v>
      </c>
      <c r="M2189" t="s">
        <v>27251</v>
      </c>
      <c r="N2189" t="s">
        <v>27252</v>
      </c>
      <c r="Q2189" s="1">
        <v>44812</v>
      </c>
      <c r="R2189" t="s">
        <v>27253</v>
      </c>
      <c r="S2189" t="s">
        <v>27254</v>
      </c>
      <c r="T2189" t="s">
        <v>27255</v>
      </c>
    </row>
    <row r="2190" spans="1:20" x14ac:dyDescent="0.3">
      <c r="A2190" t="str">
        <f>"0611856864100"</f>
        <v>0611856864100</v>
      </c>
      <c r="B2190" t="str">
        <f>"LK7062"</f>
        <v>LK7062</v>
      </c>
      <c r="C2190" t="s">
        <v>31476</v>
      </c>
      <c r="D2190" t="s">
        <v>27245</v>
      </c>
      <c r="E2190" t="str">
        <f t="shared" si="34"/>
        <v>001390</v>
      </c>
      <c r="F2190" t="s">
        <v>27246</v>
      </c>
      <c r="G2190" t="s">
        <v>27247</v>
      </c>
      <c r="H2190" t="s">
        <v>27248</v>
      </c>
      <c r="I2190" t="s">
        <v>31477</v>
      </c>
      <c r="J2190" t="s">
        <v>4389</v>
      </c>
      <c r="L2190" t="s">
        <v>27250</v>
      </c>
      <c r="M2190" t="s">
        <v>27251</v>
      </c>
      <c r="N2190" t="s">
        <v>27252</v>
      </c>
      <c r="Q2190" s="1">
        <v>44812</v>
      </c>
      <c r="R2190" t="s">
        <v>27253</v>
      </c>
      <c r="S2190" t="s">
        <v>27254</v>
      </c>
      <c r="T2190" t="s">
        <v>27255</v>
      </c>
    </row>
    <row r="2191" spans="1:20" x14ac:dyDescent="0.3">
      <c r="A2191" t="str">
        <f>"0611856865100"</f>
        <v>0611856865100</v>
      </c>
      <c r="B2191" t="str">
        <f>"LK7082"</f>
        <v>LK7082</v>
      </c>
      <c r="C2191" t="s">
        <v>31478</v>
      </c>
      <c r="D2191" t="s">
        <v>27245</v>
      </c>
      <c r="E2191" t="str">
        <f t="shared" si="34"/>
        <v>001390</v>
      </c>
      <c r="F2191" t="s">
        <v>27246</v>
      </c>
      <c r="G2191" t="s">
        <v>27247</v>
      </c>
      <c r="H2191" t="s">
        <v>27248</v>
      </c>
      <c r="I2191" t="s">
        <v>31479</v>
      </c>
      <c r="J2191" t="s">
        <v>4391</v>
      </c>
      <c r="L2191" t="s">
        <v>27250</v>
      </c>
      <c r="M2191" t="s">
        <v>27251</v>
      </c>
      <c r="N2191" t="s">
        <v>27252</v>
      </c>
      <c r="Q2191" s="1">
        <v>44812</v>
      </c>
      <c r="R2191" t="s">
        <v>27253</v>
      </c>
      <c r="S2191" t="s">
        <v>27254</v>
      </c>
      <c r="T2191" t="s">
        <v>27255</v>
      </c>
    </row>
    <row r="2192" spans="1:20" x14ac:dyDescent="0.3">
      <c r="A2192" t="str">
        <f>"0611856866100"</f>
        <v>0611856866100</v>
      </c>
      <c r="B2192" t="str">
        <f>"LK7083"</f>
        <v>LK7083</v>
      </c>
      <c r="C2192" t="s">
        <v>31480</v>
      </c>
      <c r="D2192" t="s">
        <v>27245</v>
      </c>
      <c r="E2192" t="str">
        <f t="shared" si="34"/>
        <v>001390</v>
      </c>
      <c r="F2192" t="s">
        <v>27246</v>
      </c>
      <c r="G2192" t="s">
        <v>27247</v>
      </c>
      <c r="H2192" t="s">
        <v>27248</v>
      </c>
      <c r="I2192" t="s">
        <v>31481</v>
      </c>
      <c r="J2192" t="s">
        <v>4393</v>
      </c>
      <c r="L2192" t="s">
        <v>27250</v>
      </c>
      <c r="M2192" t="s">
        <v>27251</v>
      </c>
      <c r="N2192" t="s">
        <v>27252</v>
      </c>
      <c r="Q2192" s="1">
        <v>44812</v>
      </c>
      <c r="R2192" t="s">
        <v>27253</v>
      </c>
      <c r="S2192" t="s">
        <v>27254</v>
      </c>
      <c r="T2192" t="s">
        <v>27255</v>
      </c>
    </row>
    <row r="2193" spans="1:20" x14ac:dyDescent="0.3">
      <c r="A2193" t="str">
        <f>"0611832853100"</f>
        <v>0611832853100</v>
      </c>
      <c r="B2193" t="str">
        <f>"LK2771"</f>
        <v>LK2771</v>
      </c>
      <c r="C2193" t="s">
        <v>31482</v>
      </c>
      <c r="D2193" t="s">
        <v>27245</v>
      </c>
      <c r="E2193" t="str">
        <f t="shared" si="34"/>
        <v>001390</v>
      </c>
      <c r="F2193" t="s">
        <v>27246</v>
      </c>
      <c r="G2193" t="s">
        <v>27247</v>
      </c>
      <c r="H2193" t="s">
        <v>27248</v>
      </c>
      <c r="I2193" t="s">
        <v>31483</v>
      </c>
      <c r="J2193" t="s">
        <v>4395</v>
      </c>
      <c r="L2193" t="s">
        <v>27250</v>
      </c>
      <c r="M2193" t="s">
        <v>27251</v>
      </c>
      <c r="N2193" t="s">
        <v>27252</v>
      </c>
      <c r="Q2193" s="1">
        <v>44538</v>
      </c>
      <c r="R2193" t="s">
        <v>27253</v>
      </c>
      <c r="S2193" t="s">
        <v>27254</v>
      </c>
      <c r="T2193" t="s">
        <v>27255</v>
      </c>
    </row>
    <row r="2194" spans="1:20" x14ac:dyDescent="0.3">
      <c r="A2194" t="str">
        <f>"0611832854100"</f>
        <v>0611832854100</v>
      </c>
      <c r="B2194" t="str">
        <f>"LK3305"</f>
        <v>LK3305</v>
      </c>
      <c r="C2194" t="s">
        <v>31484</v>
      </c>
      <c r="D2194" t="s">
        <v>27245</v>
      </c>
      <c r="E2194" t="str">
        <f t="shared" si="34"/>
        <v>001390</v>
      </c>
      <c r="F2194" t="s">
        <v>27246</v>
      </c>
      <c r="G2194" t="s">
        <v>27247</v>
      </c>
      <c r="H2194" t="s">
        <v>27248</v>
      </c>
      <c r="I2194" t="s">
        <v>31485</v>
      </c>
      <c r="J2194" t="s">
        <v>4397</v>
      </c>
      <c r="L2194" t="s">
        <v>27250</v>
      </c>
      <c r="M2194" t="s">
        <v>27251</v>
      </c>
      <c r="N2194" t="s">
        <v>27252</v>
      </c>
      <c r="Q2194" s="1">
        <v>44538</v>
      </c>
      <c r="R2194" t="s">
        <v>27253</v>
      </c>
      <c r="S2194" t="s">
        <v>27254</v>
      </c>
      <c r="T2194" t="s">
        <v>27255</v>
      </c>
    </row>
    <row r="2195" spans="1:20" x14ac:dyDescent="0.3">
      <c r="A2195" t="str">
        <f>"0611832855100"</f>
        <v>0611832855100</v>
      </c>
      <c r="B2195" t="str">
        <f>"LK2772"</f>
        <v>LK2772</v>
      </c>
      <c r="C2195" t="s">
        <v>31486</v>
      </c>
      <c r="D2195" t="s">
        <v>27245</v>
      </c>
      <c r="E2195" t="str">
        <f t="shared" si="34"/>
        <v>001390</v>
      </c>
      <c r="F2195" t="s">
        <v>27246</v>
      </c>
      <c r="G2195" t="s">
        <v>27247</v>
      </c>
      <c r="H2195" t="s">
        <v>27248</v>
      </c>
      <c r="I2195" t="s">
        <v>31487</v>
      </c>
      <c r="J2195" t="s">
        <v>4399</v>
      </c>
      <c r="L2195" t="s">
        <v>27250</v>
      </c>
      <c r="M2195" t="s">
        <v>27251</v>
      </c>
      <c r="N2195" t="s">
        <v>27252</v>
      </c>
      <c r="Q2195" s="1">
        <v>44538</v>
      </c>
      <c r="R2195" t="s">
        <v>27253</v>
      </c>
      <c r="S2195" t="s">
        <v>27254</v>
      </c>
      <c r="T2195" t="s">
        <v>27255</v>
      </c>
    </row>
    <row r="2196" spans="1:20" x14ac:dyDescent="0.3">
      <c r="A2196" t="str">
        <f>"0611832856100"</f>
        <v>0611832856100</v>
      </c>
      <c r="B2196" t="str">
        <f>"LK1205"</f>
        <v>LK1205</v>
      </c>
      <c r="C2196" t="s">
        <v>31488</v>
      </c>
      <c r="D2196" t="s">
        <v>27245</v>
      </c>
      <c r="E2196" t="str">
        <f t="shared" si="34"/>
        <v>001390</v>
      </c>
      <c r="F2196" t="s">
        <v>27246</v>
      </c>
      <c r="G2196" t="s">
        <v>27247</v>
      </c>
      <c r="H2196" t="s">
        <v>27248</v>
      </c>
      <c r="I2196" t="s">
        <v>31489</v>
      </c>
      <c r="J2196" t="s">
        <v>4401</v>
      </c>
      <c r="L2196" t="s">
        <v>27250</v>
      </c>
      <c r="M2196" t="s">
        <v>27251</v>
      </c>
      <c r="N2196" t="s">
        <v>27252</v>
      </c>
      <c r="Q2196" s="1">
        <v>44538</v>
      </c>
      <c r="R2196" t="s">
        <v>27253</v>
      </c>
      <c r="S2196" t="s">
        <v>27254</v>
      </c>
      <c r="T2196" t="s">
        <v>27255</v>
      </c>
    </row>
    <row r="2197" spans="1:20" x14ac:dyDescent="0.3">
      <c r="A2197" t="str">
        <f>"0611832857100"</f>
        <v>0611832857100</v>
      </c>
      <c r="B2197" t="str">
        <f>"LK1206"</f>
        <v>LK1206</v>
      </c>
      <c r="C2197" t="s">
        <v>31490</v>
      </c>
      <c r="D2197" t="s">
        <v>27245</v>
      </c>
      <c r="E2197" t="str">
        <f t="shared" si="34"/>
        <v>001390</v>
      </c>
      <c r="F2197" t="s">
        <v>27246</v>
      </c>
      <c r="G2197" t="s">
        <v>27247</v>
      </c>
      <c r="H2197" t="s">
        <v>27248</v>
      </c>
      <c r="I2197" t="s">
        <v>31491</v>
      </c>
      <c r="J2197" t="s">
        <v>4403</v>
      </c>
      <c r="L2197" t="s">
        <v>27250</v>
      </c>
      <c r="M2197" t="s">
        <v>27251</v>
      </c>
      <c r="N2197" t="s">
        <v>27252</v>
      </c>
      <c r="Q2197" s="1">
        <v>44538</v>
      </c>
      <c r="R2197" t="s">
        <v>27253</v>
      </c>
      <c r="S2197" t="s">
        <v>27254</v>
      </c>
      <c r="T2197" t="s">
        <v>27255</v>
      </c>
    </row>
    <row r="2198" spans="1:20" x14ac:dyDescent="0.3">
      <c r="A2198" t="str">
        <f>"0611832858100"</f>
        <v>0611832858100</v>
      </c>
      <c r="B2198" t="str">
        <f>"LB1677"</f>
        <v>LB1677</v>
      </c>
      <c r="C2198" t="s">
        <v>31492</v>
      </c>
      <c r="D2198" t="s">
        <v>27245</v>
      </c>
      <c r="E2198" t="str">
        <f t="shared" si="34"/>
        <v>001390</v>
      </c>
      <c r="F2198" t="s">
        <v>27246</v>
      </c>
      <c r="G2198" t="s">
        <v>27247</v>
      </c>
      <c r="H2198" t="s">
        <v>27248</v>
      </c>
      <c r="I2198" t="s">
        <v>31493</v>
      </c>
      <c r="J2198" t="s">
        <v>4407</v>
      </c>
      <c r="L2198" t="s">
        <v>27250</v>
      </c>
      <c r="M2198" t="s">
        <v>27251</v>
      </c>
      <c r="N2198" t="s">
        <v>27252</v>
      </c>
      <c r="Q2198" s="1">
        <v>44538</v>
      </c>
      <c r="R2198" t="s">
        <v>27253</v>
      </c>
      <c r="S2198" t="s">
        <v>27254</v>
      </c>
      <c r="T2198" t="s">
        <v>27255</v>
      </c>
    </row>
    <row r="2199" spans="1:20" x14ac:dyDescent="0.3">
      <c r="A2199" t="str">
        <f>"0611832859100"</f>
        <v>0611832859100</v>
      </c>
      <c r="B2199" t="str">
        <f>"LK4448"</f>
        <v>LK4448</v>
      </c>
      <c r="C2199" t="s">
        <v>31494</v>
      </c>
      <c r="D2199" t="s">
        <v>27245</v>
      </c>
      <c r="E2199" t="str">
        <f t="shared" si="34"/>
        <v>001390</v>
      </c>
      <c r="F2199" t="s">
        <v>27246</v>
      </c>
      <c r="G2199" t="s">
        <v>27247</v>
      </c>
      <c r="H2199" t="s">
        <v>27248</v>
      </c>
      <c r="I2199" t="s">
        <v>31495</v>
      </c>
      <c r="J2199" t="s">
        <v>4409</v>
      </c>
      <c r="L2199" t="s">
        <v>27250</v>
      </c>
      <c r="M2199" t="s">
        <v>27251</v>
      </c>
      <c r="N2199" t="s">
        <v>27252</v>
      </c>
      <c r="Q2199" s="1">
        <v>44538</v>
      </c>
      <c r="R2199" t="s">
        <v>27253</v>
      </c>
      <c r="S2199" t="s">
        <v>27254</v>
      </c>
      <c r="T2199" t="s">
        <v>27255</v>
      </c>
    </row>
    <row r="2200" spans="1:20" x14ac:dyDescent="0.3">
      <c r="A2200" t="str">
        <f>"0611832860100"</f>
        <v>0611832860100</v>
      </c>
      <c r="B2200" t="str">
        <f>"LK4449"</f>
        <v>LK4449</v>
      </c>
      <c r="C2200" t="s">
        <v>31496</v>
      </c>
      <c r="D2200" t="s">
        <v>27245</v>
      </c>
      <c r="E2200" t="str">
        <f t="shared" si="34"/>
        <v>001390</v>
      </c>
      <c r="F2200" t="s">
        <v>27246</v>
      </c>
      <c r="G2200" t="s">
        <v>27247</v>
      </c>
      <c r="H2200" t="s">
        <v>27248</v>
      </c>
      <c r="I2200" t="s">
        <v>31497</v>
      </c>
      <c r="J2200" t="s">
        <v>4411</v>
      </c>
      <c r="L2200" t="s">
        <v>27250</v>
      </c>
      <c r="M2200" t="s">
        <v>27251</v>
      </c>
      <c r="N2200" t="s">
        <v>27252</v>
      </c>
      <c r="Q2200" s="1">
        <v>44538</v>
      </c>
      <c r="R2200" t="s">
        <v>27253</v>
      </c>
      <c r="S2200" t="s">
        <v>27254</v>
      </c>
      <c r="T2200" t="s">
        <v>27255</v>
      </c>
    </row>
    <row r="2201" spans="1:20" x14ac:dyDescent="0.3">
      <c r="A2201" t="str">
        <f>"0611832861100"</f>
        <v>0611832861100</v>
      </c>
      <c r="B2201" t="str">
        <f>"LK4450"</f>
        <v>LK4450</v>
      </c>
      <c r="C2201" t="s">
        <v>31498</v>
      </c>
      <c r="D2201" t="s">
        <v>27245</v>
      </c>
      <c r="E2201" t="str">
        <f t="shared" si="34"/>
        <v>001390</v>
      </c>
      <c r="F2201" t="s">
        <v>27246</v>
      </c>
      <c r="G2201" t="s">
        <v>27247</v>
      </c>
      <c r="H2201" t="s">
        <v>27248</v>
      </c>
      <c r="I2201" t="s">
        <v>31499</v>
      </c>
      <c r="J2201" t="s">
        <v>4413</v>
      </c>
      <c r="L2201" t="s">
        <v>27250</v>
      </c>
      <c r="M2201" t="s">
        <v>27251</v>
      </c>
      <c r="N2201" t="s">
        <v>27252</v>
      </c>
      <c r="Q2201" s="1">
        <v>44538</v>
      </c>
      <c r="R2201" t="s">
        <v>27253</v>
      </c>
      <c r="S2201" t="s">
        <v>27254</v>
      </c>
      <c r="T2201" t="s">
        <v>27255</v>
      </c>
    </row>
    <row r="2202" spans="1:20" x14ac:dyDescent="0.3">
      <c r="A2202" t="str">
        <f>"0611832862100"</f>
        <v>0611832862100</v>
      </c>
      <c r="B2202" t="str">
        <f>"LK4451"</f>
        <v>LK4451</v>
      </c>
      <c r="C2202" t="s">
        <v>31500</v>
      </c>
      <c r="D2202" t="s">
        <v>27245</v>
      </c>
      <c r="E2202" t="str">
        <f t="shared" si="34"/>
        <v>001390</v>
      </c>
      <c r="F2202" t="s">
        <v>27246</v>
      </c>
      <c r="G2202" t="s">
        <v>27247</v>
      </c>
      <c r="H2202" t="s">
        <v>27248</v>
      </c>
      <c r="I2202" t="s">
        <v>31501</v>
      </c>
      <c r="J2202" t="s">
        <v>4415</v>
      </c>
      <c r="L2202" t="s">
        <v>27250</v>
      </c>
      <c r="M2202" t="s">
        <v>27251</v>
      </c>
      <c r="N2202" t="s">
        <v>27252</v>
      </c>
      <c r="Q2202" s="1">
        <v>44538</v>
      </c>
      <c r="R2202" t="s">
        <v>27253</v>
      </c>
      <c r="S2202" t="s">
        <v>27254</v>
      </c>
      <c r="T2202" t="s">
        <v>27255</v>
      </c>
    </row>
    <row r="2203" spans="1:20" x14ac:dyDescent="0.3">
      <c r="A2203" t="str">
        <f>"0611832863100"</f>
        <v>0611832863100</v>
      </c>
      <c r="B2203" t="str">
        <f>"LK4452"</f>
        <v>LK4452</v>
      </c>
      <c r="C2203" t="s">
        <v>31502</v>
      </c>
      <c r="D2203" t="s">
        <v>27245</v>
      </c>
      <c r="E2203" t="str">
        <f t="shared" si="34"/>
        <v>001390</v>
      </c>
      <c r="F2203" t="s">
        <v>27246</v>
      </c>
      <c r="G2203" t="s">
        <v>27247</v>
      </c>
      <c r="H2203" t="s">
        <v>27248</v>
      </c>
      <c r="I2203" t="s">
        <v>31503</v>
      </c>
      <c r="J2203" t="s">
        <v>4417</v>
      </c>
      <c r="L2203" t="s">
        <v>27250</v>
      </c>
      <c r="M2203" t="s">
        <v>27251</v>
      </c>
      <c r="N2203" t="s">
        <v>27252</v>
      </c>
      <c r="Q2203" s="1">
        <v>44538</v>
      </c>
      <c r="R2203" t="s">
        <v>27253</v>
      </c>
      <c r="S2203" t="s">
        <v>27254</v>
      </c>
      <c r="T2203" t="s">
        <v>27255</v>
      </c>
    </row>
    <row r="2204" spans="1:20" x14ac:dyDescent="0.3">
      <c r="A2204" t="str">
        <f>"0611832864100"</f>
        <v>0611832864100</v>
      </c>
      <c r="B2204" t="str">
        <f>"LS0013"</f>
        <v>LS0013</v>
      </c>
      <c r="C2204" t="s">
        <v>31504</v>
      </c>
      <c r="D2204" t="s">
        <v>27245</v>
      </c>
      <c r="E2204" t="str">
        <f t="shared" si="34"/>
        <v>001390</v>
      </c>
      <c r="F2204" t="s">
        <v>27246</v>
      </c>
      <c r="G2204" t="s">
        <v>27247</v>
      </c>
      <c r="H2204" t="s">
        <v>27248</v>
      </c>
      <c r="I2204" t="s">
        <v>31505</v>
      </c>
      <c r="J2204" t="s">
        <v>4405</v>
      </c>
      <c r="L2204" t="s">
        <v>27250</v>
      </c>
      <c r="M2204" t="s">
        <v>27251</v>
      </c>
      <c r="N2204" t="s">
        <v>27252</v>
      </c>
      <c r="Q2204" s="1">
        <v>44538</v>
      </c>
      <c r="R2204" t="s">
        <v>27253</v>
      </c>
      <c r="S2204" t="s">
        <v>27254</v>
      </c>
      <c r="T2204" t="s">
        <v>27255</v>
      </c>
    </row>
    <row r="2205" spans="1:20" x14ac:dyDescent="0.3">
      <c r="A2205" t="str">
        <f>"0611832865100"</f>
        <v>0611832865100</v>
      </c>
      <c r="B2205" t="str">
        <f>"LK2069"</f>
        <v>LK2069</v>
      </c>
      <c r="C2205" t="s">
        <v>31506</v>
      </c>
      <c r="D2205" t="s">
        <v>27245</v>
      </c>
      <c r="E2205" t="str">
        <f t="shared" si="34"/>
        <v>001390</v>
      </c>
      <c r="F2205" t="s">
        <v>27246</v>
      </c>
      <c r="G2205" t="s">
        <v>27247</v>
      </c>
      <c r="H2205" t="s">
        <v>27248</v>
      </c>
      <c r="I2205" t="s">
        <v>31507</v>
      </c>
      <c r="J2205" t="s">
        <v>4419</v>
      </c>
      <c r="L2205" t="s">
        <v>27250</v>
      </c>
      <c r="M2205" t="s">
        <v>27251</v>
      </c>
      <c r="N2205" t="s">
        <v>27252</v>
      </c>
      <c r="Q2205" s="1">
        <v>44538</v>
      </c>
      <c r="R2205" t="s">
        <v>27253</v>
      </c>
      <c r="S2205" t="s">
        <v>27254</v>
      </c>
      <c r="T2205" t="s">
        <v>27255</v>
      </c>
    </row>
    <row r="2206" spans="1:20" x14ac:dyDescent="0.3">
      <c r="A2206" t="str">
        <f>"0611832866100"</f>
        <v>0611832866100</v>
      </c>
      <c r="B2206" t="str">
        <f>"LK2070"</f>
        <v>LK2070</v>
      </c>
      <c r="C2206" t="s">
        <v>31508</v>
      </c>
      <c r="D2206" t="s">
        <v>27245</v>
      </c>
      <c r="E2206" t="str">
        <f t="shared" si="34"/>
        <v>001390</v>
      </c>
      <c r="F2206" t="s">
        <v>27246</v>
      </c>
      <c r="G2206" t="s">
        <v>27247</v>
      </c>
      <c r="H2206" t="s">
        <v>27248</v>
      </c>
      <c r="I2206" t="s">
        <v>31509</v>
      </c>
      <c r="J2206" t="s">
        <v>4421</v>
      </c>
      <c r="L2206" t="s">
        <v>27250</v>
      </c>
      <c r="M2206" t="s">
        <v>27251</v>
      </c>
      <c r="N2206" t="s">
        <v>27252</v>
      </c>
      <c r="Q2206" s="1">
        <v>44538</v>
      </c>
      <c r="R2206" t="s">
        <v>27253</v>
      </c>
      <c r="S2206" t="s">
        <v>27254</v>
      </c>
      <c r="T2206" t="s">
        <v>27255</v>
      </c>
    </row>
    <row r="2207" spans="1:20" x14ac:dyDescent="0.3">
      <c r="A2207" t="str">
        <f>"0611832867100"</f>
        <v>0611832867100</v>
      </c>
      <c r="B2207" t="str">
        <f>"LK2073"</f>
        <v>LK2073</v>
      </c>
      <c r="C2207" t="s">
        <v>31510</v>
      </c>
      <c r="D2207" t="s">
        <v>27245</v>
      </c>
      <c r="E2207" t="str">
        <f t="shared" si="34"/>
        <v>001390</v>
      </c>
      <c r="F2207" t="s">
        <v>27246</v>
      </c>
      <c r="G2207" t="s">
        <v>27247</v>
      </c>
      <c r="H2207" t="s">
        <v>27248</v>
      </c>
      <c r="I2207" t="s">
        <v>31511</v>
      </c>
      <c r="J2207" t="s">
        <v>4423</v>
      </c>
      <c r="L2207" t="s">
        <v>27250</v>
      </c>
      <c r="M2207" t="s">
        <v>27251</v>
      </c>
      <c r="N2207" t="s">
        <v>27252</v>
      </c>
      <c r="Q2207" s="1">
        <v>44538</v>
      </c>
      <c r="R2207" t="s">
        <v>27253</v>
      </c>
      <c r="S2207" t="s">
        <v>27254</v>
      </c>
      <c r="T2207" t="s">
        <v>27255</v>
      </c>
    </row>
    <row r="2208" spans="1:20" x14ac:dyDescent="0.3">
      <c r="A2208" t="str">
        <f>"0611832868100"</f>
        <v>0611832868100</v>
      </c>
      <c r="B2208" t="str">
        <f>"LK2071"</f>
        <v>LK2071</v>
      </c>
      <c r="C2208" t="s">
        <v>31512</v>
      </c>
      <c r="D2208" t="s">
        <v>27245</v>
      </c>
      <c r="E2208" t="str">
        <f t="shared" si="34"/>
        <v>001390</v>
      </c>
      <c r="F2208" t="s">
        <v>27246</v>
      </c>
      <c r="G2208" t="s">
        <v>27247</v>
      </c>
      <c r="H2208" t="s">
        <v>27248</v>
      </c>
      <c r="I2208" t="s">
        <v>31513</v>
      </c>
      <c r="J2208" t="s">
        <v>4425</v>
      </c>
      <c r="L2208" t="s">
        <v>27250</v>
      </c>
      <c r="M2208" t="s">
        <v>27251</v>
      </c>
      <c r="N2208" t="s">
        <v>27252</v>
      </c>
      <c r="Q2208" s="1">
        <v>44538</v>
      </c>
      <c r="R2208" t="s">
        <v>27253</v>
      </c>
      <c r="S2208" t="s">
        <v>27254</v>
      </c>
      <c r="T2208" t="s">
        <v>27255</v>
      </c>
    </row>
    <row r="2209" spans="1:20" x14ac:dyDescent="0.3">
      <c r="A2209" t="str">
        <f>"0611832869100"</f>
        <v>0611832869100</v>
      </c>
      <c r="B2209" t="str">
        <f>"LK2074"</f>
        <v>LK2074</v>
      </c>
      <c r="C2209" t="s">
        <v>31514</v>
      </c>
      <c r="D2209" t="s">
        <v>27245</v>
      </c>
      <c r="E2209" t="str">
        <f t="shared" si="34"/>
        <v>001390</v>
      </c>
      <c r="F2209" t="s">
        <v>27246</v>
      </c>
      <c r="G2209" t="s">
        <v>27247</v>
      </c>
      <c r="H2209" t="s">
        <v>27248</v>
      </c>
      <c r="I2209" t="s">
        <v>31515</v>
      </c>
      <c r="J2209" t="s">
        <v>4427</v>
      </c>
      <c r="L2209" t="s">
        <v>27250</v>
      </c>
      <c r="M2209" t="s">
        <v>27251</v>
      </c>
      <c r="N2209" t="s">
        <v>27252</v>
      </c>
      <c r="Q2209" s="1">
        <v>44538</v>
      </c>
      <c r="R2209" t="s">
        <v>27253</v>
      </c>
      <c r="S2209" t="s">
        <v>27254</v>
      </c>
      <c r="T2209" t="s">
        <v>27255</v>
      </c>
    </row>
    <row r="2210" spans="1:20" x14ac:dyDescent="0.3">
      <c r="A2210" t="str">
        <f>"0611832871100"</f>
        <v>0611832871100</v>
      </c>
      <c r="B2210" t="str">
        <f>"LK6232"</f>
        <v>LK6232</v>
      </c>
      <c r="C2210" t="s">
        <v>31516</v>
      </c>
      <c r="D2210" t="s">
        <v>27245</v>
      </c>
      <c r="E2210" t="str">
        <f t="shared" si="34"/>
        <v>001390</v>
      </c>
      <c r="F2210" t="s">
        <v>27246</v>
      </c>
      <c r="G2210" t="s">
        <v>27247</v>
      </c>
      <c r="H2210" t="s">
        <v>27248</v>
      </c>
      <c r="I2210" t="s">
        <v>31517</v>
      </c>
      <c r="J2210" t="s">
        <v>4429</v>
      </c>
      <c r="L2210" t="s">
        <v>27250</v>
      </c>
      <c r="M2210" t="s">
        <v>27251</v>
      </c>
      <c r="N2210" t="s">
        <v>27252</v>
      </c>
      <c r="Q2210" s="1">
        <v>44538</v>
      </c>
      <c r="R2210" t="s">
        <v>27253</v>
      </c>
      <c r="S2210" t="s">
        <v>27254</v>
      </c>
      <c r="T2210" t="s">
        <v>27255</v>
      </c>
    </row>
    <row r="2211" spans="1:20" x14ac:dyDescent="0.3">
      <c r="A2211" t="str">
        <f>"0611832873100"</f>
        <v>0611832873100</v>
      </c>
      <c r="B2211" t="str">
        <f>"LK6639"</f>
        <v>LK6639</v>
      </c>
      <c r="C2211" t="s">
        <v>31518</v>
      </c>
      <c r="D2211" t="s">
        <v>27245</v>
      </c>
      <c r="E2211" t="str">
        <f t="shared" si="34"/>
        <v>001390</v>
      </c>
      <c r="F2211" t="s">
        <v>27246</v>
      </c>
      <c r="G2211" t="s">
        <v>27247</v>
      </c>
      <c r="H2211" t="s">
        <v>27248</v>
      </c>
      <c r="I2211" t="s">
        <v>31519</v>
      </c>
      <c r="J2211" t="s">
        <v>4431</v>
      </c>
      <c r="L2211" t="s">
        <v>27250</v>
      </c>
      <c r="M2211" t="s">
        <v>27251</v>
      </c>
      <c r="N2211" t="s">
        <v>27252</v>
      </c>
      <c r="Q2211" s="1">
        <v>44538</v>
      </c>
      <c r="R2211" t="s">
        <v>27253</v>
      </c>
      <c r="S2211" t="s">
        <v>27254</v>
      </c>
      <c r="T2211" t="s">
        <v>27255</v>
      </c>
    </row>
    <row r="2212" spans="1:20" x14ac:dyDescent="0.3">
      <c r="A2212" t="str">
        <f>"0611832874100"</f>
        <v>0611832874100</v>
      </c>
      <c r="B2212" t="str">
        <f>"LK5731"</f>
        <v>LK5731</v>
      </c>
      <c r="C2212" t="s">
        <v>31520</v>
      </c>
      <c r="D2212" t="s">
        <v>27245</v>
      </c>
      <c r="E2212" t="str">
        <f t="shared" si="34"/>
        <v>001390</v>
      </c>
      <c r="F2212" t="s">
        <v>27246</v>
      </c>
      <c r="G2212" t="s">
        <v>27247</v>
      </c>
      <c r="H2212" t="s">
        <v>27248</v>
      </c>
      <c r="I2212" t="s">
        <v>31521</v>
      </c>
      <c r="J2212" t="s">
        <v>4433</v>
      </c>
      <c r="L2212" t="s">
        <v>27250</v>
      </c>
      <c r="M2212" t="s">
        <v>27251</v>
      </c>
      <c r="N2212" t="s">
        <v>27252</v>
      </c>
      <c r="Q2212" s="1">
        <v>44538</v>
      </c>
      <c r="R2212" t="s">
        <v>27253</v>
      </c>
      <c r="S2212" t="s">
        <v>27254</v>
      </c>
      <c r="T2212" t="s">
        <v>27255</v>
      </c>
    </row>
    <row r="2213" spans="1:20" x14ac:dyDescent="0.3">
      <c r="A2213" t="str">
        <f>"0611884084100"</f>
        <v>0611884084100</v>
      </c>
      <c r="B2213" t="str">
        <f>"LK7129"</f>
        <v>LK7129</v>
      </c>
      <c r="C2213" t="s">
        <v>31522</v>
      </c>
      <c r="D2213" t="s">
        <v>27245</v>
      </c>
      <c r="E2213" t="str">
        <f t="shared" si="34"/>
        <v>001390</v>
      </c>
      <c r="F2213" t="s">
        <v>27246</v>
      </c>
      <c r="G2213" t="s">
        <v>27247</v>
      </c>
      <c r="H2213" t="s">
        <v>27248</v>
      </c>
      <c r="I2213" t="s">
        <v>31523</v>
      </c>
      <c r="J2213" t="s">
        <v>4435</v>
      </c>
      <c r="L2213" t="s">
        <v>27430</v>
      </c>
      <c r="M2213" t="s">
        <v>27251</v>
      </c>
      <c r="N2213" t="s">
        <v>27252</v>
      </c>
      <c r="Q2213" s="1">
        <v>45250</v>
      </c>
      <c r="R2213" t="s">
        <v>27253</v>
      </c>
      <c r="S2213" t="s">
        <v>27254</v>
      </c>
      <c r="T2213" t="s">
        <v>27255</v>
      </c>
    </row>
    <row r="2214" spans="1:20" x14ac:dyDescent="0.3">
      <c r="A2214" t="str">
        <f>"0611832875100"</f>
        <v>0611832875100</v>
      </c>
      <c r="B2214" t="str">
        <f>"LB1670"</f>
        <v>LB1670</v>
      </c>
      <c r="C2214" t="s">
        <v>31524</v>
      </c>
      <c r="D2214" t="s">
        <v>27245</v>
      </c>
      <c r="E2214" t="str">
        <f t="shared" si="34"/>
        <v>001390</v>
      </c>
      <c r="F2214" t="s">
        <v>27246</v>
      </c>
      <c r="G2214" t="s">
        <v>27247</v>
      </c>
      <c r="H2214" t="s">
        <v>27248</v>
      </c>
      <c r="I2214" t="s">
        <v>31525</v>
      </c>
      <c r="J2214" t="s">
        <v>4437</v>
      </c>
      <c r="L2214" t="s">
        <v>27250</v>
      </c>
      <c r="M2214" t="s">
        <v>27251</v>
      </c>
      <c r="N2214" t="s">
        <v>27252</v>
      </c>
      <c r="Q2214" s="1">
        <v>44538</v>
      </c>
      <c r="R2214" t="s">
        <v>27253</v>
      </c>
      <c r="S2214" t="s">
        <v>27254</v>
      </c>
      <c r="T2214" t="s">
        <v>27255</v>
      </c>
    </row>
    <row r="2215" spans="1:20" x14ac:dyDescent="0.3">
      <c r="A2215" t="str">
        <f>"0611832876100"</f>
        <v>0611832876100</v>
      </c>
      <c r="B2215" t="str">
        <f>"LK6962"</f>
        <v>LK6962</v>
      </c>
      <c r="C2215" t="s">
        <v>31526</v>
      </c>
      <c r="D2215" t="s">
        <v>27245</v>
      </c>
      <c r="E2215" t="str">
        <f t="shared" si="34"/>
        <v>001390</v>
      </c>
      <c r="F2215" t="s">
        <v>27246</v>
      </c>
      <c r="G2215" t="s">
        <v>27247</v>
      </c>
      <c r="H2215" t="s">
        <v>27248</v>
      </c>
      <c r="I2215" t="s">
        <v>31527</v>
      </c>
      <c r="J2215" t="s">
        <v>4439</v>
      </c>
      <c r="L2215" t="s">
        <v>27250</v>
      </c>
      <c r="M2215" t="s">
        <v>27251</v>
      </c>
      <c r="N2215" t="s">
        <v>27252</v>
      </c>
      <c r="Q2215" s="1">
        <v>44538</v>
      </c>
      <c r="R2215" t="s">
        <v>27253</v>
      </c>
      <c r="S2215" t="s">
        <v>27254</v>
      </c>
      <c r="T2215" t="s">
        <v>27255</v>
      </c>
    </row>
    <row r="2216" spans="1:20" x14ac:dyDescent="0.3">
      <c r="A2216" t="str">
        <f>"0611832878100"</f>
        <v>0611832878100</v>
      </c>
      <c r="B2216" t="str">
        <f>"LQ6002"</f>
        <v>LQ6002</v>
      </c>
      <c r="C2216" t="s">
        <v>31528</v>
      </c>
      <c r="D2216" t="s">
        <v>27245</v>
      </c>
      <c r="E2216" t="str">
        <f t="shared" si="34"/>
        <v>001390</v>
      </c>
      <c r="F2216" t="s">
        <v>27246</v>
      </c>
      <c r="G2216" t="s">
        <v>27247</v>
      </c>
      <c r="H2216" t="s">
        <v>27248</v>
      </c>
      <c r="I2216" t="s">
        <v>31529</v>
      </c>
      <c r="J2216" t="s">
        <v>4441</v>
      </c>
      <c r="L2216" t="s">
        <v>27250</v>
      </c>
      <c r="M2216" t="s">
        <v>27251</v>
      </c>
      <c r="N2216" t="s">
        <v>27252</v>
      </c>
      <c r="Q2216" s="1">
        <v>44538</v>
      </c>
      <c r="R2216" t="s">
        <v>27253</v>
      </c>
      <c r="S2216" t="s">
        <v>27254</v>
      </c>
      <c r="T2216" t="s">
        <v>27255</v>
      </c>
    </row>
    <row r="2217" spans="1:20" x14ac:dyDescent="0.3">
      <c r="A2217" t="str">
        <f>"0611832879100"</f>
        <v>0611832879100</v>
      </c>
      <c r="B2217" t="str">
        <f>"LB1664"</f>
        <v>LB1664</v>
      </c>
      <c r="C2217" t="s">
        <v>31530</v>
      </c>
      <c r="D2217" t="s">
        <v>27245</v>
      </c>
      <c r="E2217" t="str">
        <f t="shared" si="34"/>
        <v>001390</v>
      </c>
      <c r="F2217" t="s">
        <v>27246</v>
      </c>
      <c r="G2217" t="s">
        <v>27247</v>
      </c>
      <c r="H2217" t="s">
        <v>27248</v>
      </c>
      <c r="I2217" t="s">
        <v>31531</v>
      </c>
      <c r="J2217" t="s">
        <v>4443</v>
      </c>
      <c r="L2217" t="s">
        <v>27250</v>
      </c>
      <c r="M2217" t="s">
        <v>27251</v>
      </c>
      <c r="N2217" t="s">
        <v>27252</v>
      </c>
      <c r="Q2217" s="1">
        <v>44538</v>
      </c>
      <c r="R2217" t="s">
        <v>27253</v>
      </c>
      <c r="S2217" t="s">
        <v>27254</v>
      </c>
      <c r="T2217" t="s">
        <v>27255</v>
      </c>
    </row>
    <row r="2218" spans="1:20" x14ac:dyDescent="0.3">
      <c r="A2218" t="str">
        <f>"0611832880100"</f>
        <v>0611832880100</v>
      </c>
      <c r="B2218" t="str">
        <f>"LB1654"</f>
        <v>LB1654</v>
      </c>
      <c r="C2218" t="s">
        <v>31532</v>
      </c>
      <c r="D2218" t="s">
        <v>27245</v>
      </c>
      <c r="E2218" t="str">
        <f t="shared" si="34"/>
        <v>001390</v>
      </c>
      <c r="F2218" t="s">
        <v>27246</v>
      </c>
      <c r="G2218" t="s">
        <v>27247</v>
      </c>
      <c r="H2218" t="s">
        <v>27248</v>
      </c>
      <c r="I2218" t="s">
        <v>31533</v>
      </c>
      <c r="J2218" t="s">
        <v>4445</v>
      </c>
      <c r="L2218" t="s">
        <v>27250</v>
      </c>
      <c r="M2218" t="s">
        <v>27251</v>
      </c>
      <c r="N2218" t="s">
        <v>27252</v>
      </c>
      <c r="Q2218" s="1">
        <v>44538</v>
      </c>
      <c r="R2218" t="s">
        <v>27253</v>
      </c>
      <c r="S2218" t="s">
        <v>27254</v>
      </c>
      <c r="T2218" t="s">
        <v>27255</v>
      </c>
    </row>
    <row r="2219" spans="1:20" x14ac:dyDescent="0.3">
      <c r="A2219" t="str">
        <f>"0611832881100"</f>
        <v>0611832881100</v>
      </c>
      <c r="B2219" t="str">
        <f>"LB1666"</f>
        <v>LB1666</v>
      </c>
      <c r="C2219" t="s">
        <v>31534</v>
      </c>
      <c r="D2219" t="s">
        <v>27245</v>
      </c>
      <c r="E2219" t="str">
        <f t="shared" si="34"/>
        <v>001390</v>
      </c>
      <c r="F2219" t="s">
        <v>27246</v>
      </c>
      <c r="G2219" t="s">
        <v>27247</v>
      </c>
      <c r="H2219" t="s">
        <v>27248</v>
      </c>
      <c r="I2219" t="s">
        <v>31535</v>
      </c>
      <c r="J2219" t="s">
        <v>4447</v>
      </c>
      <c r="L2219" t="s">
        <v>27250</v>
      </c>
      <c r="M2219" t="s">
        <v>27251</v>
      </c>
      <c r="N2219" t="s">
        <v>27252</v>
      </c>
      <c r="Q2219" s="1">
        <v>44538</v>
      </c>
      <c r="R2219" t="s">
        <v>27253</v>
      </c>
      <c r="S2219" t="s">
        <v>27254</v>
      </c>
      <c r="T2219" t="s">
        <v>27255</v>
      </c>
    </row>
    <row r="2220" spans="1:20" x14ac:dyDescent="0.3">
      <c r="A2220" t="str">
        <f>"0611832882100"</f>
        <v>0611832882100</v>
      </c>
      <c r="B2220" t="str">
        <f>"LB1667"</f>
        <v>LB1667</v>
      </c>
      <c r="C2220" t="s">
        <v>31536</v>
      </c>
      <c r="D2220" t="s">
        <v>27245</v>
      </c>
      <c r="E2220" t="str">
        <f t="shared" si="34"/>
        <v>001390</v>
      </c>
      <c r="F2220" t="s">
        <v>27246</v>
      </c>
      <c r="G2220" t="s">
        <v>27247</v>
      </c>
      <c r="H2220" t="s">
        <v>27248</v>
      </c>
      <c r="I2220" t="s">
        <v>31537</v>
      </c>
      <c r="J2220" t="s">
        <v>4449</v>
      </c>
      <c r="L2220" t="s">
        <v>27250</v>
      </c>
      <c r="M2220" t="s">
        <v>27251</v>
      </c>
      <c r="N2220" t="s">
        <v>27252</v>
      </c>
      <c r="Q2220" s="1">
        <v>44538</v>
      </c>
      <c r="R2220" t="s">
        <v>27253</v>
      </c>
      <c r="S2220" t="s">
        <v>27254</v>
      </c>
      <c r="T2220" t="s">
        <v>27255</v>
      </c>
    </row>
    <row r="2221" spans="1:20" x14ac:dyDescent="0.3">
      <c r="A2221" t="str">
        <f>"0611832883100"</f>
        <v>0611832883100</v>
      </c>
      <c r="B2221" t="str">
        <f>"LB1668"</f>
        <v>LB1668</v>
      </c>
      <c r="C2221" t="s">
        <v>31538</v>
      </c>
      <c r="D2221" t="s">
        <v>27245</v>
      </c>
      <c r="E2221" t="str">
        <f t="shared" si="34"/>
        <v>001390</v>
      </c>
      <c r="F2221" t="s">
        <v>27246</v>
      </c>
      <c r="G2221" t="s">
        <v>27247</v>
      </c>
      <c r="H2221" t="s">
        <v>27248</v>
      </c>
      <c r="I2221" t="s">
        <v>31539</v>
      </c>
      <c r="J2221" t="s">
        <v>4451</v>
      </c>
      <c r="L2221" t="s">
        <v>27250</v>
      </c>
      <c r="M2221" t="s">
        <v>27251</v>
      </c>
      <c r="N2221" t="s">
        <v>27252</v>
      </c>
      <c r="Q2221" s="1">
        <v>44538</v>
      </c>
      <c r="R2221" t="s">
        <v>27253</v>
      </c>
      <c r="S2221" t="s">
        <v>27254</v>
      </c>
      <c r="T2221" t="s">
        <v>27255</v>
      </c>
    </row>
    <row r="2222" spans="1:20" x14ac:dyDescent="0.3">
      <c r="A2222" t="str">
        <f>"0611832884100"</f>
        <v>0611832884100</v>
      </c>
      <c r="B2222" t="str">
        <f>"LB1671"</f>
        <v>LB1671</v>
      </c>
      <c r="C2222" t="s">
        <v>31540</v>
      </c>
      <c r="D2222" t="s">
        <v>27245</v>
      </c>
      <c r="E2222" t="str">
        <f t="shared" si="34"/>
        <v>001390</v>
      </c>
      <c r="F2222" t="s">
        <v>27246</v>
      </c>
      <c r="G2222" t="s">
        <v>27247</v>
      </c>
      <c r="H2222" t="s">
        <v>27248</v>
      </c>
      <c r="I2222" t="s">
        <v>31541</v>
      </c>
      <c r="J2222" t="s">
        <v>4453</v>
      </c>
      <c r="L2222" t="s">
        <v>27250</v>
      </c>
      <c r="M2222" t="s">
        <v>27251</v>
      </c>
      <c r="N2222" t="s">
        <v>27252</v>
      </c>
      <c r="Q2222" s="1">
        <v>44538</v>
      </c>
      <c r="R2222" t="s">
        <v>27253</v>
      </c>
      <c r="S2222" t="s">
        <v>27254</v>
      </c>
      <c r="T2222" t="s">
        <v>27255</v>
      </c>
    </row>
    <row r="2223" spans="1:20" x14ac:dyDescent="0.3">
      <c r="A2223" t="str">
        <f>"0611832885100"</f>
        <v>0611832885100</v>
      </c>
      <c r="B2223" t="str">
        <f>"LB1672"</f>
        <v>LB1672</v>
      </c>
      <c r="C2223" t="s">
        <v>31542</v>
      </c>
      <c r="D2223" t="s">
        <v>27245</v>
      </c>
      <c r="E2223" t="str">
        <f t="shared" si="34"/>
        <v>001390</v>
      </c>
      <c r="F2223" t="s">
        <v>27246</v>
      </c>
      <c r="G2223" t="s">
        <v>27247</v>
      </c>
      <c r="H2223" t="s">
        <v>27248</v>
      </c>
      <c r="I2223" t="s">
        <v>31543</v>
      </c>
      <c r="J2223" t="s">
        <v>4455</v>
      </c>
      <c r="L2223" t="s">
        <v>27250</v>
      </c>
      <c r="M2223" t="s">
        <v>27251</v>
      </c>
      <c r="N2223" t="s">
        <v>27252</v>
      </c>
      <c r="Q2223" s="1">
        <v>44538</v>
      </c>
      <c r="R2223" t="s">
        <v>27253</v>
      </c>
      <c r="S2223" t="s">
        <v>27254</v>
      </c>
      <c r="T2223" t="s">
        <v>27255</v>
      </c>
    </row>
    <row r="2224" spans="1:20" x14ac:dyDescent="0.3">
      <c r="A2224" t="str">
        <f>"0611832886100"</f>
        <v>0611832886100</v>
      </c>
      <c r="B2224" t="str">
        <f>"LB1673"</f>
        <v>LB1673</v>
      </c>
      <c r="C2224" t="s">
        <v>31544</v>
      </c>
      <c r="D2224" t="s">
        <v>27245</v>
      </c>
      <c r="E2224" t="str">
        <f t="shared" si="34"/>
        <v>001390</v>
      </c>
      <c r="F2224" t="s">
        <v>27246</v>
      </c>
      <c r="G2224" t="s">
        <v>27247</v>
      </c>
      <c r="H2224" t="s">
        <v>27248</v>
      </c>
      <c r="I2224" t="s">
        <v>31545</v>
      </c>
      <c r="J2224" t="s">
        <v>4457</v>
      </c>
      <c r="L2224" t="s">
        <v>27250</v>
      </c>
      <c r="M2224" t="s">
        <v>27251</v>
      </c>
      <c r="N2224" t="s">
        <v>27252</v>
      </c>
      <c r="Q2224" s="1">
        <v>44538</v>
      </c>
      <c r="R2224" t="s">
        <v>27253</v>
      </c>
      <c r="S2224" t="s">
        <v>27254</v>
      </c>
      <c r="T2224" t="s">
        <v>27255</v>
      </c>
    </row>
    <row r="2225" spans="1:20" x14ac:dyDescent="0.3">
      <c r="A2225" t="str">
        <f>"0611832887100"</f>
        <v>0611832887100</v>
      </c>
      <c r="B2225" t="str">
        <f>"LK6202"</f>
        <v>LK6202</v>
      </c>
      <c r="C2225" t="s">
        <v>31546</v>
      </c>
      <c r="D2225" t="s">
        <v>27245</v>
      </c>
      <c r="E2225" t="str">
        <f t="shared" si="34"/>
        <v>001390</v>
      </c>
      <c r="F2225" t="s">
        <v>27246</v>
      </c>
      <c r="G2225" t="s">
        <v>27247</v>
      </c>
      <c r="H2225" t="s">
        <v>27248</v>
      </c>
      <c r="I2225" t="s">
        <v>31547</v>
      </c>
      <c r="J2225" t="s">
        <v>4459</v>
      </c>
      <c r="L2225" t="s">
        <v>27250</v>
      </c>
      <c r="M2225" t="s">
        <v>27251</v>
      </c>
      <c r="N2225" t="s">
        <v>27252</v>
      </c>
      <c r="Q2225" s="1">
        <v>44538</v>
      </c>
      <c r="R2225" t="s">
        <v>27253</v>
      </c>
      <c r="S2225" t="s">
        <v>27254</v>
      </c>
      <c r="T2225" t="s">
        <v>27255</v>
      </c>
    </row>
    <row r="2226" spans="1:20" x14ac:dyDescent="0.3">
      <c r="A2226" t="str">
        <f>"0611832888100"</f>
        <v>0611832888100</v>
      </c>
      <c r="B2226" t="str">
        <f>"LK5447"</f>
        <v>LK5447</v>
      </c>
      <c r="C2226" t="s">
        <v>31548</v>
      </c>
      <c r="D2226" t="s">
        <v>27245</v>
      </c>
      <c r="E2226" t="str">
        <f t="shared" si="34"/>
        <v>001390</v>
      </c>
      <c r="F2226" t="s">
        <v>27246</v>
      </c>
      <c r="G2226" t="s">
        <v>27247</v>
      </c>
      <c r="H2226" t="s">
        <v>27248</v>
      </c>
      <c r="I2226" t="s">
        <v>31549</v>
      </c>
      <c r="J2226" t="s">
        <v>4461</v>
      </c>
      <c r="L2226" t="s">
        <v>27250</v>
      </c>
      <c r="M2226" t="s">
        <v>27251</v>
      </c>
      <c r="N2226" t="s">
        <v>27252</v>
      </c>
      <c r="Q2226" s="1">
        <v>44538</v>
      </c>
      <c r="R2226" t="s">
        <v>27253</v>
      </c>
      <c r="S2226" t="s">
        <v>27254</v>
      </c>
      <c r="T2226" t="s">
        <v>27255</v>
      </c>
    </row>
    <row r="2227" spans="1:20" x14ac:dyDescent="0.3">
      <c r="A2227" t="str">
        <f>"0611832889100"</f>
        <v>0611832889100</v>
      </c>
      <c r="B2227" t="str">
        <f>"LK6842"</f>
        <v>LK6842</v>
      </c>
      <c r="C2227" t="s">
        <v>31550</v>
      </c>
      <c r="D2227" t="s">
        <v>27245</v>
      </c>
      <c r="E2227" t="str">
        <f t="shared" si="34"/>
        <v>001390</v>
      </c>
      <c r="F2227" t="s">
        <v>27246</v>
      </c>
      <c r="G2227" t="s">
        <v>27247</v>
      </c>
      <c r="H2227" t="s">
        <v>27248</v>
      </c>
      <c r="I2227" t="s">
        <v>31551</v>
      </c>
      <c r="J2227" t="s">
        <v>4463</v>
      </c>
      <c r="L2227" t="s">
        <v>27250</v>
      </c>
      <c r="M2227" t="s">
        <v>27251</v>
      </c>
      <c r="N2227" t="s">
        <v>27252</v>
      </c>
      <c r="Q2227" s="1">
        <v>44538</v>
      </c>
      <c r="R2227" t="s">
        <v>27253</v>
      </c>
      <c r="S2227" t="s">
        <v>27254</v>
      </c>
      <c r="T2227" t="s">
        <v>27255</v>
      </c>
    </row>
    <row r="2228" spans="1:20" x14ac:dyDescent="0.3">
      <c r="A2228" t="str">
        <f>"0611832890100"</f>
        <v>0611832890100</v>
      </c>
      <c r="B2228" t="str">
        <f>"LK0669"</f>
        <v>LK0669</v>
      </c>
      <c r="C2228" t="s">
        <v>31552</v>
      </c>
      <c r="D2228" t="s">
        <v>27245</v>
      </c>
      <c r="E2228" t="str">
        <f t="shared" si="34"/>
        <v>001390</v>
      </c>
      <c r="F2228" t="s">
        <v>27246</v>
      </c>
      <c r="G2228" t="s">
        <v>27247</v>
      </c>
      <c r="H2228" t="s">
        <v>27248</v>
      </c>
      <c r="I2228" t="s">
        <v>31553</v>
      </c>
      <c r="J2228" t="s">
        <v>4465</v>
      </c>
      <c r="L2228" t="s">
        <v>27250</v>
      </c>
      <c r="M2228" t="s">
        <v>27251</v>
      </c>
      <c r="N2228" t="s">
        <v>27252</v>
      </c>
      <c r="Q2228" s="1">
        <v>44538</v>
      </c>
      <c r="R2228" t="s">
        <v>27253</v>
      </c>
      <c r="S2228" t="s">
        <v>27254</v>
      </c>
      <c r="T2228" t="s">
        <v>27255</v>
      </c>
    </row>
    <row r="2229" spans="1:20" x14ac:dyDescent="0.3">
      <c r="A2229" t="str">
        <f>"0611832893100"</f>
        <v>0611832893100</v>
      </c>
      <c r="B2229" t="str">
        <f>"LB1760"</f>
        <v>LB1760</v>
      </c>
      <c r="C2229" t="s">
        <v>31554</v>
      </c>
      <c r="D2229" t="s">
        <v>27245</v>
      </c>
      <c r="E2229" t="str">
        <f t="shared" si="34"/>
        <v>001390</v>
      </c>
      <c r="F2229" t="s">
        <v>27246</v>
      </c>
      <c r="G2229" t="s">
        <v>27247</v>
      </c>
      <c r="H2229" t="s">
        <v>27248</v>
      </c>
      <c r="I2229" t="s">
        <v>31555</v>
      </c>
      <c r="J2229" t="s">
        <v>4467</v>
      </c>
      <c r="L2229" t="s">
        <v>27250</v>
      </c>
      <c r="M2229" t="s">
        <v>27251</v>
      </c>
      <c r="N2229" t="s">
        <v>27252</v>
      </c>
      <c r="Q2229" s="1">
        <v>44538</v>
      </c>
      <c r="R2229" t="s">
        <v>27253</v>
      </c>
      <c r="S2229" t="s">
        <v>27254</v>
      </c>
      <c r="T2229" t="s">
        <v>27255</v>
      </c>
    </row>
    <row r="2230" spans="1:20" x14ac:dyDescent="0.3">
      <c r="A2230" t="str">
        <f>"0611832894100"</f>
        <v>0611832894100</v>
      </c>
      <c r="B2230" t="str">
        <f>"LB1793"</f>
        <v>LB1793</v>
      </c>
      <c r="C2230" t="s">
        <v>31556</v>
      </c>
      <c r="D2230" t="s">
        <v>27245</v>
      </c>
      <c r="E2230" t="str">
        <f t="shared" si="34"/>
        <v>001390</v>
      </c>
      <c r="F2230" t="s">
        <v>27246</v>
      </c>
      <c r="G2230" t="s">
        <v>27247</v>
      </c>
      <c r="H2230" t="s">
        <v>27248</v>
      </c>
      <c r="I2230" t="s">
        <v>31557</v>
      </c>
      <c r="J2230" t="s">
        <v>4469</v>
      </c>
      <c r="L2230" t="s">
        <v>27250</v>
      </c>
      <c r="M2230" t="s">
        <v>27251</v>
      </c>
      <c r="N2230" t="s">
        <v>27252</v>
      </c>
      <c r="Q2230" s="1">
        <v>44538</v>
      </c>
      <c r="R2230" t="s">
        <v>27253</v>
      </c>
      <c r="S2230" t="s">
        <v>27254</v>
      </c>
      <c r="T2230" t="s">
        <v>27255</v>
      </c>
    </row>
    <row r="2231" spans="1:20" x14ac:dyDescent="0.3">
      <c r="A2231" t="str">
        <f>"0611832895100"</f>
        <v>0611832895100</v>
      </c>
      <c r="B2231" t="str">
        <f>"LB1651"</f>
        <v>LB1651</v>
      </c>
      <c r="C2231" t="s">
        <v>31558</v>
      </c>
      <c r="D2231" t="s">
        <v>27245</v>
      </c>
      <c r="E2231" t="str">
        <f t="shared" si="34"/>
        <v>001390</v>
      </c>
      <c r="F2231" t="s">
        <v>27246</v>
      </c>
      <c r="G2231" t="s">
        <v>27247</v>
      </c>
      <c r="H2231" t="s">
        <v>27248</v>
      </c>
      <c r="I2231" t="s">
        <v>31559</v>
      </c>
      <c r="J2231" t="s">
        <v>4471</v>
      </c>
      <c r="L2231" t="s">
        <v>27250</v>
      </c>
      <c r="M2231" t="s">
        <v>27251</v>
      </c>
      <c r="N2231" t="s">
        <v>27252</v>
      </c>
      <c r="Q2231" s="1">
        <v>44538</v>
      </c>
      <c r="R2231" t="s">
        <v>27253</v>
      </c>
      <c r="S2231" t="s">
        <v>27254</v>
      </c>
      <c r="T2231" t="s">
        <v>27255</v>
      </c>
    </row>
    <row r="2232" spans="1:20" x14ac:dyDescent="0.3">
      <c r="A2232" t="str">
        <f>"0611832896100"</f>
        <v>0611832896100</v>
      </c>
      <c r="B2232" t="str">
        <f>"LB1795"</f>
        <v>LB1795</v>
      </c>
      <c r="C2232" t="s">
        <v>31560</v>
      </c>
      <c r="D2232" t="s">
        <v>27245</v>
      </c>
      <c r="E2232" t="str">
        <f t="shared" si="34"/>
        <v>001390</v>
      </c>
      <c r="F2232" t="s">
        <v>27246</v>
      </c>
      <c r="G2232" t="s">
        <v>27247</v>
      </c>
      <c r="H2232" t="s">
        <v>27248</v>
      </c>
      <c r="I2232" t="s">
        <v>31561</v>
      </c>
      <c r="J2232" t="s">
        <v>4473</v>
      </c>
      <c r="L2232" t="s">
        <v>27250</v>
      </c>
      <c r="M2232" t="s">
        <v>27251</v>
      </c>
      <c r="N2232" t="s">
        <v>27252</v>
      </c>
      <c r="Q2232" s="1">
        <v>44538</v>
      </c>
      <c r="R2232" t="s">
        <v>27253</v>
      </c>
      <c r="S2232" t="s">
        <v>27254</v>
      </c>
      <c r="T2232" t="s">
        <v>27255</v>
      </c>
    </row>
    <row r="2233" spans="1:20" x14ac:dyDescent="0.3">
      <c r="A2233" t="str">
        <f>"0611832897100"</f>
        <v>0611832897100</v>
      </c>
      <c r="B2233" t="str">
        <f>"LK5188"</f>
        <v>LK5188</v>
      </c>
      <c r="C2233" t="s">
        <v>31562</v>
      </c>
      <c r="D2233" t="s">
        <v>27245</v>
      </c>
      <c r="E2233" t="str">
        <f t="shared" si="34"/>
        <v>001390</v>
      </c>
      <c r="F2233" t="s">
        <v>27246</v>
      </c>
      <c r="G2233" t="s">
        <v>27247</v>
      </c>
      <c r="H2233" t="s">
        <v>27248</v>
      </c>
      <c r="I2233" t="s">
        <v>31563</v>
      </c>
      <c r="J2233" t="s">
        <v>4475</v>
      </c>
      <c r="L2233" t="s">
        <v>27250</v>
      </c>
      <c r="M2233" t="s">
        <v>27251</v>
      </c>
      <c r="N2233" t="s">
        <v>27252</v>
      </c>
      <c r="Q2233" s="1">
        <v>44538</v>
      </c>
      <c r="R2233" t="s">
        <v>27253</v>
      </c>
      <c r="S2233" t="s">
        <v>27254</v>
      </c>
      <c r="T2233" t="s">
        <v>27255</v>
      </c>
    </row>
    <row r="2234" spans="1:20" x14ac:dyDescent="0.3">
      <c r="A2234" t="str">
        <f>"0611832898100"</f>
        <v>0611832898100</v>
      </c>
      <c r="B2234" t="str">
        <f>"LK3307"</f>
        <v>LK3307</v>
      </c>
      <c r="C2234" t="s">
        <v>31564</v>
      </c>
      <c r="D2234" t="s">
        <v>27245</v>
      </c>
      <c r="E2234" t="str">
        <f t="shared" si="34"/>
        <v>001390</v>
      </c>
      <c r="F2234" t="s">
        <v>27246</v>
      </c>
      <c r="G2234" t="s">
        <v>27247</v>
      </c>
      <c r="H2234" t="s">
        <v>27248</v>
      </c>
      <c r="I2234" t="s">
        <v>31565</v>
      </c>
      <c r="J2234" t="s">
        <v>4477</v>
      </c>
      <c r="L2234" t="s">
        <v>27250</v>
      </c>
      <c r="M2234" t="s">
        <v>27251</v>
      </c>
      <c r="N2234" t="s">
        <v>27252</v>
      </c>
      <c r="Q2234" s="1">
        <v>44538</v>
      </c>
      <c r="R2234" t="s">
        <v>27253</v>
      </c>
      <c r="S2234" t="s">
        <v>27254</v>
      </c>
      <c r="T2234" t="s">
        <v>27255</v>
      </c>
    </row>
    <row r="2235" spans="1:20" x14ac:dyDescent="0.3">
      <c r="A2235" t="str">
        <f>"0611832899100"</f>
        <v>0611832899100</v>
      </c>
      <c r="B2235" t="str">
        <f>"LK4453"</f>
        <v>LK4453</v>
      </c>
      <c r="C2235" t="s">
        <v>31566</v>
      </c>
      <c r="D2235" t="s">
        <v>27245</v>
      </c>
      <c r="E2235" t="str">
        <f t="shared" si="34"/>
        <v>001390</v>
      </c>
      <c r="F2235" t="s">
        <v>27246</v>
      </c>
      <c r="G2235" t="s">
        <v>27247</v>
      </c>
      <c r="H2235" t="s">
        <v>27248</v>
      </c>
      <c r="I2235" t="s">
        <v>31567</v>
      </c>
      <c r="J2235" t="s">
        <v>4479</v>
      </c>
      <c r="L2235" t="s">
        <v>27250</v>
      </c>
      <c r="M2235" t="s">
        <v>27251</v>
      </c>
      <c r="N2235" t="s">
        <v>27252</v>
      </c>
      <c r="Q2235" s="1">
        <v>44538</v>
      </c>
      <c r="R2235" t="s">
        <v>27253</v>
      </c>
      <c r="S2235" t="s">
        <v>27254</v>
      </c>
      <c r="T2235" t="s">
        <v>27255</v>
      </c>
    </row>
    <row r="2236" spans="1:20" x14ac:dyDescent="0.3">
      <c r="A2236" t="str">
        <f>"0611832900100"</f>
        <v>0611832900100</v>
      </c>
      <c r="B2236" t="str">
        <f>"LK6863"</f>
        <v>LK6863</v>
      </c>
      <c r="C2236" t="s">
        <v>31568</v>
      </c>
      <c r="D2236" t="s">
        <v>27245</v>
      </c>
      <c r="E2236" t="str">
        <f t="shared" si="34"/>
        <v>001390</v>
      </c>
      <c r="F2236" t="s">
        <v>27246</v>
      </c>
      <c r="G2236" t="s">
        <v>27247</v>
      </c>
      <c r="H2236" t="s">
        <v>27248</v>
      </c>
      <c r="I2236" t="s">
        <v>31569</v>
      </c>
      <c r="J2236" t="s">
        <v>4481</v>
      </c>
      <c r="L2236" t="s">
        <v>27250</v>
      </c>
      <c r="M2236" t="s">
        <v>27251</v>
      </c>
      <c r="N2236" t="s">
        <v>27252</v>
      </c>
      <c r="Q2236" s="1">
        <v>44538</v>
      </c>
      <c r="R2236" t="s">
        <v>27253</v>
      </c>
      <c r="S2236" t="s">
        <v>27254</v>
      </c>
      <c r="T2236" t="s">
        <v>27255</v>
      </c>
    </row>
    <row r="2237" spans="1:20" x14ac:dyDescent="0.3">
      <c r="A2237" t="str">
        <f>"0611832901100"</f>
        <v>0611832901100</v>
      </c>
      <c r="B2237" t="str">
        <f>"LK6864"</f>
        <v>LK6864</v>
      </c>
      <c r="C2237" t="s">
        <v>31570</v>
      </c>
      <c r="D2237" t="s">
        <v>27245</v>
      </c>
      <c r="E2237" t="str">
        <f t="shared" si="34"/>
        <v>001390</v>
      </c>
      <c r="F2237" t="s">
        <v>27246</v>
      </c>
      <c r="G2237" t="s">
        <v>27247</v>
      </c>
      <c r="H2237" t="s">
        <v>27248</v>
      </c>
      <c r="I2237" t="s">
        <v>31571</v>
      </c>
      <c r="J2237" t="s">
        <v>4483</v>
      </c>
      <c r="L2237" t="s">
        <v>27250</v>
      </c>
      <c r="M2237" t="s">
        <v>27251</v>
      </c>
      <c r="N2237" t="s">
        <v>27252</v>
      </c>
      <c r="Q2237" s="1">
        <v>44538</v>
      </c>
      <c r="R2237" t="s">
        <v>27253</v>
      </c>
      <c r="S2237" t="s">
        <v>27254</v>
      </c>
      <c r="T2237" t="s">
        <v>27255</v>
      </c>
    </row>
    <row r="2238" spans="1:20" x14ac:dyDescent="0.3">
      <c r="A2238" t="str">
        <f>"0611832904100"</f>
        <v>0611832904100</v>
      </c>
      <c r="B2238" t="str">
        <f>"LK6513"</f>
        <v>LK6513</v>
      </c>
      <c r="C2238" t="s">
        <v>31572</v>
      </c>
      <c r="D2238" t="s">
        <v>27245</v>
      </c>
      <c r="E2238" t="str">
        <f t="shared" si="34"/>
        <v>001390</v>
      </c>
      <c r="F2238" t="s">
        <v>27246</v>
      </c>
      <c r="G2238" t="s">
        <v>27247</v>
      </c>
      <c r="H2238" t="s">
        <v>27248</v>
      </c>
      <c r="I2238" t="s">
        <v>31573</v>
      </c>
      <c r="J2238" t="s">
        <v>4487</v>
      </c>
      <c r="L2238" t="s">
        <v>27250</v>
      </c>
      <c r="M2238" t="s">
        <v>27251</v>
      </c>
      <c r="N2238" t="s">
        <v>27252</v>
      </c>
      <c r="Q2238" s="1">
        <v>44538</v>
      </c>
      <c r="R2238" t="s">
        <v>27253</v>
      </c>
      <c r="S2238" t="s">
        <v>27254</v>
      </c>
      <c r="T2238" t="s">
        <v>27255</v>
      </c>
    </row>
    <row r="2239" spans="1:20" x14ac:dyDescent="0.3">
      <c r="A2239" t="str">
        <f>"0611832905100"</f>
        <v>0611832905100</v>
      </c>
      <c r="B2239" t="str">
        <f>"LB1836"</f>
        <v>LB1836</v>
      </c>
      <c r="C2239" t="s">
        <v>31574</v>
      </c>
      <c r="D2239" t="s">
        <v>27245</v>
      </c>
      <c r="E2239" t="str">
        <f t="shared" si="34"/>
        <v>001390</v>
      </c>
      <c r="F2239" t="s">
        <v>27246</v>
      </c>
      <c r="G2239" t="s">
        <v>27247</v>
      </c>
      <c r="H2239" t="s">
        <v>27248</v>
      </c>
      <c r="I2239" t="s">
        <v>31575</v>
      </c>
      <c r="J2239" t="s">
        <v>4489</v>
      </c>
      <c r="L2239" t="s">
        <v>27250</v>
      </c>
      <c r="M2239" t="s">
        <v>27251</v>
      </c>
      <c r="N2239" t="s">
        <v>27252</v>
      </c>
      <c r="Q2239" s="1">
        <v>44538</v>
      </c>
      <c r="R2239" t="s">
        <v>27253</v>
      </c>
      <c r="S2239" t="s">
        <v>27254</v>
      </c>
      <c r="T2239" t="s">
        <v>27255</v>
      </c>
    </row>
    <row r="2240" spans="1:20" x14ac:dyDescent="0.3">
      <c r="A2240" t="str">
        <f>"0611832906100"</f>
        <v>0611832906100</v>
      </c>
      <c r="B2240" t="str">
        <f>"LB1837"</f>
        <v>LB1837</v>
      </c>
      <c r="C2240" t="s">
        <v>31576</v>
      </c>
      <c r="D2240" t="s">
        <v>27245</v>
      </c>
      <c r="E2240" t="str">
        <f t="shared" si="34"/>
        <v>001390</v>
      </c>
      <c r="F2240" t="s">
        <v>27246</v>
      </c>
      <c r="G2240" t="s">
        <v>27247</v>
      </c>
      <c r="H2240" t="s">
        <v>27248</v>
      </c>
      <c r="I2240" t="s">
        <v>31577</v>
      </c>
      <c r="J2240" t="s">
        <v>4491</v>
      </c>
      <c r="L2240" t="s">
        <v>27250</v>
      </c>
      <c r="M2240" t="s">
        <v>27251</v>
      </c>
      <c r="N2240" t="s">
        <v>27252</v>
      </c>
      <c r="Q2240" s="1">
        <v>44538</v>
      </c>
      <c r="R2240" t="s">
        <v>27253</v>
      </c>
      <c r="S2240" t="s">
        <v>27254</v>
      </c>
      <c r="T2240" t="s">
        <v>27255</v>
      </c>
    </row>
    <row r="2241" spans="1:20" x14ac:dyDescent="0.3">
      <c r="A2241" t="str">
        <f>"0611832907100"</f>
        <v>0611832907100</v>
      </c>
      <c r="B2241" t="str">
        <f>"LH1838"</f>
        <v>LH1838</v>
      </c>
      <c r="C2241" t="s">
        <v>31578</v>
      </c>
      <c r="D2241" t="s">
        <v>27245</v>
      </c>
      <c r="E2241" t="str">
        <f t="shared" si="34"/>
        <v>001390</v>
      </c>
      <c r="F2241" t="s">
        <v>27246</v>
      </c>
      <c r="G2241" t="s">
        <v>27247</v>
      </c>
      <c r="H2241" t="s">
        <v>27248</v>
      </c>
      <c r="I2241" t="s">
        <v>31579</v>
      </c>
      <c r="J2241" t="s">
        <v>4493</v>
      </c>
      <c r="L2241" t="s">
        <v>27250</v>
      </c>
      <c r="M2241" t="s">
        <v>27251</v>
      </c>
      <c r="N2241" t="s">
        <v>27252</v>
      </c>
      <c r="Q2241" s="1">
        <v>44538</v>
      </c>
      <c r="R2241" t="s">
        <v>27253</v>
      </c>
      <c r="S2241" t="s">
        <v>27254</v>
      </c>
      <c r="T2241" t="s">
        <v>27255</v>
      </c>
    </row>
    <row r="2242" spans="1:20" x14ac:dyDescent="0.3">
      <c r="A2242" t="str">
        <f>"0611832908025"</f>
        <v>0611832908025</v>
      </c>
      <c r="B2242" t="str">
        <f>"MC0170"</f>
        <v>MC0170</v>
      </c>
      <c r="C2242" t="s">
        <v>31578</v>
      </c>
      <c r="D2242" t="s">
        <v>27267</v>
      </c>
      <c r="E2242" t="str">
        <f t="shared" ref="E2242:E2305" si="35">"001390"</f>
        <v>001390</v>
      </c>
      <c r="F2242" t="s">
        <v>27246</v>
      </c>
      <c r="G2242" t="s">
        <v>27247</v>
      </c>
      <c r="H2242" t="s">
        <v>27248</v>
      </c>
      <c r="I2242" t="s">
        <v>31580</v>
      </c>
      <c r="J2242" t="s">
        <v>4495</v>
      </c>
      <c r="L2242" t="s">
        <v>27250</v>
      </c>
      <c r="M2242" t="s">
        <v>27251</v>
      </c>
      <c r="N2242" t="s">
        <v>27252</v>
      </c>
      <c r="Q2242" s="1">
        <v>44538</v>
      </c>
      <c r="R2242" t="s">
        <v>27253</v>
      </c>
      <c r="S2242" t="s">
        <v>27254</v>
      </c>
      <c r="T2242" t="s">
        <v>27269</v>
      </c>
    </row>
    <row r="2243" spans="1:20" x14ac:dyDescent="0.3">
      <c r="A2243" t="str">
        <f>"0611832909100"</f>
        <v>0611832909100</v>
      </c>
      <c r="B2243" t="str">
        <f>"LQ3835"</f>
        <v>LQ3835</v>
      </c>
      <c r="C2243" t="s">
        <v>31581</v>
      </c>
      <c r="D2243" t="s">
        <v>27245</v>
      </c>
      <c r="E2243" t="str">
        <f t="shared" si="35"/>
        <v>001390</v>
      </c>
      <c r="F2243" t="s">
        <v>27246</v>
      </c>
      <c r="G2243" t="s">
        <v>27247</v>
      </c>
      <c r="H2243" t="s">
        <v>27248</v>
      </c>
      <c r="I2243" t="s">
        <v>31582</v>
      </c>
      <c r="J2243" t="s">
        <v>4497</v>
      </c>
      <c r="L2243" t="s">
        <v>27250</v>
      </c>
      <c r="M2243" t="s">
        <v>27251</v>
      </c>
      <c r="N2243" t="s">
        <v>27252</v>
      </c>
      <c r="Q2243" s="1">
        <v>44538</v>
      </c>
      <c r="R2243" t="s">
        <v>27253</v>
      </c>
      <c r="S2243" t="s">
        <v>27254</v>
      </c>
      <c r="T2243" t="s">
        <v>27255</v>
      </c>
    </row>
    <row r="2244" spans="1:20" x14ac:dyDescent="0.3">
      <c r="A2244" t="str">
        <f>"0611861097050"</f>
        <v>0611861097050</v>
      </c>
      <c r="B2244" t="str">
        <f>"CR4939"</f>
        <v>CR4939</v>
      </c>
      <c r="C2244" t="s">
        <v>31581</v>
      </c>
      <c r="D2244" t="s">
        <v>27263</v>
      </c>
      <c r="E2244" t="str">
        <f t="shared" si="35"/>
        <v>001390</v>
      </c>
      <c r="F2244" t="s">
        <v>27246</v>
      </c>
      <c r="G2244" t="s">
        <v>27247</v>
      </c>
      <c r="H2244" t="s">
        <v>27248</v>
      </c>
      <c r="I2244" t="s">
        <v>31583</v>
      </c>
      <c r="J2244" t="s">
        <v>4499</v>
      </c>
      <c r="L2244" t="s">
        <v>27250</v>
      </c>
      <c r="M2244" t="s">
        <v>27251</v>
      </c>
      <c r="N2244" t="s">
        <v>27252</v>
      </c>
      <c r="Q2244" s="1">
        <v>44846</v>
      </c>
      <c r="R2244" t="s">
        <v>27253</v>
      </c>
      <c r="S2244" t="s">
        <v>27254</v>
      </c>
      <c r="T2244" t="s">
        <v>27265</v>
      </c>
    </row>
    <row r="2245" spans="1:20" x14ac:dyDescent="0.3">
      <c r="A2245" t="str">
        <f>"0611832910025"</f>
        <v>0611832910025</v>
      </c>
      <c r="B2245" t="str">
        <f>"MC0168"</f>
        <v>MC0168</v>
      </c>
      <c r="C2245" t="s">
        <v>31584</v>
      </c>
      <c r="D2245" t="s">
        <v>27267</v>
      </c>
      <c r="E2245" t="str">
        <f t="shared" si="35"/>
        <v>001390</v>
      </c>
      <c r="F2245" t="s">
        <v>27246</v>
      </c>
      <c r="G2245" t="s">
        <v>27247</v>
      </c>
      <c r="H2245" t="s">
        <v>27248</v>
      </c>
      <c r="I2245" t="s">
        <v>31585</v>
      </c>
      <c r="J2245" t="s">
        <v>4501</v>
      </c>
      <c r="L2245" t="s">
        <v>27250</v>
      </c>
      <c r="M2245" t="s">
        <v>27251</v>
      </c>
      <c r="N2245" t="s">
        <v>27252</v>
      </c>
      <c r="Q2245" s="1">
        <v>44538</v>
      </c>
      <c r="R2245" t="s">
        <v>27253</v>
      </c>
      <c r="S2245" t="s">
        <v>27254</v>
      </c>
      <c r="T2245" t="s">
        <v>27269</v>
      </c>
    </row>
    <row r="2246" spans="1:20" x14ac:dyDescent="0.3">
      <c r="A2246" t="str">
        <f>"0611884085100"</f>
        <v>0611884085100</v>
      </c>
      <c r="B2246" t="str">
        <f>"LQ3914"</f>
        <v>LQ3914</v>
      </c>
      <c r="C2246" t="s">
        <v>31586</v>
      </c>
      <c r="D2246" t="s">
        <v>27245</v>
      </c>
      <c r="E2246" t="str">
        <f t="shared" si="35"/>
        <v>001390</v>
      </c>
      <c r="F2246" t="s">
        <v>27246</v>
      </c>
      <c r="G2246" t="s">
        <v>27247</v>
      </c>
      <c r="H2246" t="s">
        <v>27248</v>
      </c>
      <c r="I2246" t="s">
        <v>31587</v>
      </c>
      <c r="J2246" t="s">
        <v>4503</v>
      </c>
      <c r="L2246" t="s">
        <v>27430</v>
      </c>
      <c r="M2246" t="s">
        <v>27251</v>
      </c>
      <c r="N2246" t="s">
        <v>27252</v>
      </c>
      <c r="Q2246" s="1">
        <v>45250</v>
      </c>
      <c r="R2246" t="s">
        <v>27253</v>
      </c>
      <c r="S2246" t="s">
        <v>27254</v>
      </c>
      <c r="T2246" t="s">
        <v>27255</v>
      </c>
    </row>
    <row r="2247" spans="1:20" x14ac:dyDescent="0.3">
      <c r="A2247" t="str">
        <f>"0611884086025"</f>
        <v>0611884086025</v>
      </c>
      <c r="B2247" t="str">
        <f>"MQ0823"</f>
        <v>MQ0823</v>
      </c>
      <c r="C2247" t="s">
        <v>31588</v>
      </c>
      <c r="D2247" t="s">
        <v>27267</v>
      </c>
      <c r="E2247" t="str">
        <f t="shared" si="35"/>
        <v>001390</v>
      </c>
      <c r="F2247" t="s">
        <v>27246</v>
      </c>
      <c r="G2247" t="s">
        <v>27247</v>
      </c>
      <c r="H2247" t="s">
        <v>27248</v>
      </c>
      <c r="I2247" t="s">
        <v>31589</v>
      </c>
      <c r="J2247" t="s">
        <v>4505</v>
      </c>
      <c r="L2247" t="s">
        <v>27430</v>
      </c>
      <c r="M2247" t="s">
        <v>27251</v>
      </c>
      <c r="N2247" t="s">
        <v>27252</v>
      </c>
      <c r="Q2247" s="1">
        <v>45250</v>
      </c>
      <c r="R2247" t="s">
        <v>27253</v>
      </c>
      <c r="S2247" t="s">
        <v>27254</v>
      </c>
      <c r="T2247" t="s">
        <v>27269</v>
      </c>
    </row>
    <row r="2248" spans="1:20" x14ac:dyDescent="0.3">
      <c r="A2248" t="str">
        <f>"0611832911100"</f>
        <v>0611832911100</v>
      </c>
      <c r="B2248" t="str">
        <f>"LH8837"</f>
        <v>LH8837</v>
      </c>
      <c r="C2248" t="s">
        <v>31590</v>
      </c>
      <c r="D2248" t="s">
        <v>27245</v>
      </c>
      <c r="E2248" t="str">
        <f t="shared" si="35"/>
        <v>001390</v>
      </c>
      <c r="F2248" t="s">
        <v>27246</v>
      </c>
      <c r="G2248" t="s">
        <v>27247</v>
      </c>
      <c r="H2248" t="s">
        <v>27248</v>
      </c>
      <c r="I2248" t="s">
        <v>31591</v>
      </c>
      <c r="J2248" t="s">
        <v>4507</v>
      </c>
      <c r="L2248" t="s">
        <v>27250</v>
      </c>
      <c r="M2248" t="s">
        <v>27251</v>
      </c>
      <c r="N2248" t="s">
        <v>27252</v>
      </c>
      <c r="Q2248" s="1">
        <v>44538</v>
      </c>
      <c r="R2248" t="s">
        <v>27253</v>
      </c>
      <c r="S2248" t="s">
        <v>27254</v>
      </c>
      <c r="T2248" t="s">
        <v>27255</v>
      </c>
    </row>
    <row r="2249" spans="1:20" x14ac:dyDescent="0.3">
      <c r="A2249" t="str">
        <f>"0611832912100"</f>
        <v>0611832912100</v>
      </c>
      <c r="B2249" t="str">
        <f>"LK2533"</f>
        <v>LK2533</v>
      </c>
      <c r="C2249" t="s">
        <v>31592</v>
      </c>
      <c r="D2249" t="s">
        <v>27245</v>
      </c>
      <c r="E2249" t="str">
        <f t="shared" si="35"/>
        <v>001390</v>
      </c>
      <c r="F2249" t="s">
        <v>27246</v>
      </c>
      <c r="G2249" t="s">
        <v>27247</v>
      </c>
      <c r="H2249" t="s">
        <v>27248</v>
      </c>
      <c r="I2249" t="s">
        <v>31593</v>
      </c>
      <c r="J2249" t="s">
        <v>4509</v>
      </c>
      <c r="L2249" t="s">
        <v>27250</v>
      </c>
      <c r="M2249" t="s">
        <v>27251</v>
      </c>
      <c r="N2249" t="s">
        <v>27252</v>
      </c>
      <c r="Q2249" s="1">
        <v>44538</v>
      </c>
      <c r="R2249" t="s">
        <v>27253</v>
      </c>
      <c r="S2249" t="s">
        <v>27254</v>
      </c>
      <c r="T2249" t="s">
        <v>27255</v>
      </c>
    </row>
    <row r="2250" spans="1:20" x14ac:dyDescent="0.3">
      <c r="A2250" t="str">
        <f>"0611832913025"</f>
        <v>0611832913025</v>
      </c>
      <c r="B2250" t="str">
        <f>"MC4152"</f>
        <v>MC4152</v>
      </c>
      <c r="C2250" t="s">
        <v>31594</v>
      </c>
      <c r="D2250" t="s">
        <v>27267</v>
      </c>
      <c r="E2250" t="str">
        <f t="shared" si="35"/>
        <v>001390</v>
      </c>
      <c r="F2250" t="s">
        <v>27246</v>
      </c>
      <c r="G2250" t="s">
        <v>27247</v>
      </c>
      <c r="H2250" t="s">
        <v>27248</v>
      </c>
      <c r="I2250" t="s">
        <v>31595</v>
      </c>
      <c r="J2250" t="s">
        <v>4511</v>
      </c>
      <c r="L2250" t="s">
        <v>27250</v>
      </c>
      <c r="M2250" t="s">
        <v>27251</v>
      </c>
      <c r="N2250" t="s">
        <v>27252</v>
      </c>
      <c r="Q2250" s="1">
        <v>44538</v>
      </c>
      <c r="R2250" t="s">
        <v>27253</v>
      </c>
      <c r="S2250" t="s">
        <v>27254</v>
      </c>
      <c r="T2250" t="s">
        <v>27269</v>
      </c>
    </row>
    <row r="2251" spans="1:20" x14ac:dyDescent="0.3">
      <c r="A2251" t="str">
        <f>"0611832914025"</f>
        <v>0611832914025</v>
      </c>
      <c r="B2251" t="str">
        <f>"MC0171"</f>
        <v>MC0171</v>
      </c>
      <c r="C2251" t="s">
        <v>31596</v>
      </c>
      <c r="D2251" t="s">
        <v>27267</v>
      </c>
      <c r="E2251" t="str">
        <f t="shared" si="35"/>
        <v>001390</v>
      </c>
      <c r="F2251" t="s">
        <v>27246</v>
      </c>
      <c r="G2251" t="s">
        <v>27247</v>
      </c>
      <c r="H2251" t="s">
        <v>27248</v>
      </c>
      <c r="I2251" t="s">
        <v>31597</v>
      </c>
      <c r="J2251" t="s">
        <v>4513</v>
      </c>
      <c r="L2251" t="s">
        <v>27250</v>
      </c>
      <c r="M2251" t="s">
        <v>27251</v>
      </c>
      <c r="N2251" t="s">
        <v>27252</v>
      </c>
      <c r="Q2251" s="1">
        <v>44538</v>
      </c>
      <c r="R2251" t="s">
        <v>27253</v>
      </c>
      <c r="S2251" t="s">
        <v>27254</v>
      </c>
      <c r="T2251" t="s">
        <v>27269</v>
      </c>
    </row>
    <row r="2252" spans="1:20" x14ac:dyDescent="0.3">
      <c r="A2252" t="str">
        <f>"0611832915025"</f>
        <v>0611832915025</v>
      </c>
      <c r="B2252" t="str">
        <f>"MC4266"</f>
        <v>MC4266</v>
      </c>
      <c r="C2252" t="s">
        <v>31598</v>
      </c>
      <c r="D2252" t="s">
        <v>27267</v>
      </c>
      <c r="E2252" t="str">
        <f t="shared" si="35"/>
        <v>001390</v>
      </c>
      <c r="F2252" t="s">
        <v>27246</v>
      </c>
      <c r="G2252" t="s">
        <v>27247</v>
      </c>
      <c r="H2252" t="s">
        <v>27248</v>
      </c>
      <c r="I2252" t="s">
        <v>31599</v>
      </c>
      <c r="J2252" t="s">
        <v>4515</v>
      </c>
      <c r="L2252" t="s">
        <v>27250</v>
      </c>
      <c r="M2252" t="s">
        <v>27251</v>
      </c>
      <c r="N2252" t="s">
        <v>27252</v>
      </c>
      <c r="Q2252" s="1">
        <v>44538</v>
      </c>
      <c r="R2252" t="s">
        <v>27253</v>
      </c>
      <c r="S2252" t="s">
        <v>27254</v>
      </c>
      <c r="T2252" t="s">
        <v>27269</v>
      </c>
    </row>
    <row r="2253" spans="1:20" x14ac:dyDescent="0.3">
      <c r="A2253" t="str">
        <f>"0611832916025"</f>
        <v>0611832916025</v>
      </c>
      <c r="B2253" t="str">
        <f>"MC1827"</f>
        <v>MC1827</v>
      </c>
      <c r="C2253" t="s">
        <v>31600</v>
      </c>
      <c r="D2253" t="s">
        <v>27267</v>
      </c>
      <c r="E2253" t="str">
        <f t="shared" si="35"/>
        <v>001390</v>
      </c>
      <c r="F2253" t="s">
        <v>27246</v>
      </c>
      <c r="G2253" t="s">
        <v>27247</v>
      </c>
      <c r="H2253" t="s">
        <v>27248</v>
      </c>
      <c r="I2253" t="s">
        <v>31601</v>
      </c>
      <c r="J2253" t="s">
        <v>4517</v>
      </c>
      <c r="L2253" t="s">
        <v>27250</v>
      </c>
      <c r="M2253" t="s">
        <v>27251</v>
      </c>
      <c r="N2253" t="s">
        <v>27252</v>
      </c>
      <c r="Q2253" s="1">
        <v>44538</v>
      </c>
      <c r="R2253" t="s">
        <v>27253</v>
      </c>
      <c r="S2253" t="s">
        <v>27254</v>
      </c>
      <c r="T2253" t="s">
        <v>27269</v>
      </c>
    </row>
    <row r="2254" spans="1:20" x14ac:dyDescent="0.3">
      <c r="A2254" t="str">
        <f>"0611832917100"</f>
        <v>0611832917100</v>
      </c>
      <c r="B2254" t="str">
        <f>"LH1800"</f>
        <v>LH1800</v>
      </c>
      <c r="C2254" t="s">
        <v>31602</v>
      </c>
      <c r="D2254" t="s">
        <v>27245</v>
      </c>
      <c r="E2254" t="str">
        <f t="shared" si="35"/>
        <v>001390</v>
      </c>
      <c r="F2254" t="s">
        <v>27246</v>
      </c>
      <c r="G2254" t="s">
        <v>27247</v>
      </c>
      <c r="H2254" t="s">
        <v>27248</v>
      </c>
      <c r="I2254" t="s">
        <v>31603</v>
      </c>
      <c r="J2254" t="s">
        <v>4519</v>
      </c>
      <c r="L2254" t="s">
        <v>27250</v>
      </c>
      <c r="M2254" t="s">
        <v>27251</v>
      </c>
      <c r="N2254" t="s">
        <v>27252</v>
      </c>
      <c r="Q2254" s="1">
        <v>44538</v>
      </c>
      <c r="R2254" t="s">
        <v>27253</v>
      </c>
      <c r="S2254" t="s">
        <v>27254</v>
      </c>
      <c r="T2254" t="s">
        <v>27255</v>
      </c>
    </row>
    <row r="2255" spans="1:20" x14ac:dyDescent="0.3">
      <c r="A2255" t="str">
        <f>"0611832918025"</f>
        <v>0611832918025</v>
      </c>
      <c r="B2255" t="str">
        <f>"MC0173"</f>
        <v>MC0173</v>
      </c>
      <c r="C2255" t="s">
        <v>31602</v>
      </c>
      <c r="D2255" t="s">
        <v>27267</v>
      </c>
      <c r="E2255" t="str">
        <f t="shared" si="35"/>
        <v>001390</v>
      </c>
      <c r="F2255" t="s">
        <v>27246</v>
      </c>
      <c r="G2255" t="s">
        <v>27247</v>
      </c>
      <c r="H2255" t="s">
        <v>27248</v>
      </c>
      <c r="I2255" t="s">
        <v>31604</v>
      </c>
      <c r="J2255" t="s">
        <v>4521</v>
      </c>
      <c r="L2255" t="s">
        <v>27250</v>
      </c>
      <c r="M2255" t="s">
        <v>27251</v>
      </c>
      <c r="N2255" t="s">
        <v>27252</v>
      </c>
      <c r="Q2255" s="1">
        <v>44538</v>
      </c>
      <c r="R2255" t="s">
        <v>27253</v>
      </c>
      <c r="S2255" t="s">
        <v>27254</v>
      </c>
      <c r="T2255" t="s">
        <v>27269</v>
      </c>
    </row>
    <row r="2256" spans="1:20" x14ac:dyDescent="0.3">
      <c r="A2256" t="str">
        <f>"0611832919025"</f>
        <v>0611832919025</v>
      </c>
      <c r="B2256" t="str">
        <f>"MC0174"</f>
        <v>MC0174</v>
      </c>
      <c r="C2256" t="s">
        <v>31605</v>
      </c>
      <c r="D2256" t="s">
        <v>27267</v>
      </c>
      <c r="E2256" t="str">
        <f t="shared" si="35"/>
        <v>001390</v>
      </c>
      <c r="F2256" t="s">
        <v>27246</v>
      </c>
      <c r="G2256" t="s">
        <v>27247</v>
      </c>
      <c r="H2256" t="s">
        <v>27248</v>
      </c>
      <c r="I2256" t="s">
        <v>31606</v>
      </c>
      <c r="J2256" t="s">
        <v>4525</v>
      </c>
      <c r="L2256" t="s">
        <v>27250</v>
      </c>
      <c r="M2256" t="s">
        <v>27251</v>
      </c>
      <c r="N2256" t="s">
        <v>27252</v>
      </c>
      <c r="Q2256" s="1">
        <v>44538</v>
      </c>
      <c r="R2256" t="s">
        <v>27253</v>
      </c>
      <c r="S2256" t="s">
        <v>27254</v>
      </c>
      <c r="T2256" t="s">
        <v>27269</v>
      </c>
    </row>
    <row r="2257" spans="1:20" x14ac:dyDescent="0.3">
      <c r="A2257" t="str">
        <f>"0611861098100"</f>
        <v>0611861098100</v>
      </c>
      <c r="B2257" t="str">
        <f>"CN5027"</f>
        <v>CN5027</v>
      </c>
      <c r="C2257" t="s">
        <v>31605</v>
      </c>
      <c r="D2257" t="s">
        <v>27335</v>
      </c>
      <c r="E2257" t="str">
        <f t="shared" si="35"/>
        <v>001390</v>
      </c>
      <c r="F2257" t="s">
        <v>27246</v>
      </c>
      <c r="G2257" t="s">
        <v>27247</v>
      </c>
      <c r="H2257" t="s">
        <v>27248</v>
      </c>
      <c r="I2257" t="s">
        <v>31607</v>
      </c>
      <c r="J2257" t="s">
        <v>4523</v>
      </c>
      <c r="L2257" t="s">
        <v>27250</v>
      </c>
      <c r="M2257" t="s">
        <v>27251</v>
      </c>
      <c r="N2257" t="s">
        <v>27252</v>
      </c>
      <c r="Q2257" s="1">
        <v>44846</v>
      </c>
      <c r="R2257" t="s">
        <v>27253</v>
      </c>
      <c r="S2257" t="s">
        <v>27254</v>
      </c>
      <c r="T2257" t="s">
        <v>27255</v>
      </c>
    </row>
    <row r="2258" spans="1:20" x14ac:dyDescent="0.3">
      <c r="A2258" t="str">
        <f>"0611861099050"</f>
        <v>0611861099050</v>
      </c>
      <c r="B2258" t="str">
        <f>"CE0972"</f>
        <v>CE0972</v>
      </c>
      <c r="C2258" t="s">
        <v>31605</v>
      </c>
      <c r="D2258" t="s">
        <v>27263</v>
      </c>
      <c r="E2258" t="str">
        <f t="shared" si="35"/>
        <v>001390</v>
      </c>
      <c r="F2258" t="s">
        <v>27246</v>
      </c>
      <c r="G2258" t="s">
        <v>27247</v>
      </c>
      <c r="H2258" t="s">
        <v>27248</v>
      </c>
      <c r="I2258" t="s">
        <v>31608</v>
      </c>
      <c r="J2258" t="s">
        <v>4527</v>
      </c>
      <c r="L2258" t="s">
        <v>27250</v>
      </c>
      <c r="M2258" t="s">
        <v>27251</v>
      </c>
      <c r="N2258" t="s">
        <v>27252</v>
      </c>
      <c r="Q2258" s="1">
        <v>44846</v>
      </c>
      <c r="R2258" t="s">
        <v>27253</v>
      </c>
      <c r="S2258" t="s">
        <v>27254</v>
      </c>
      <c r="T2258" t="s">
        <v>27265</v>
      </c>
    </row>
    <row r="2259" spans="1:20" x14ac:dyDescent="0.3">
      <c r="A2259" t="str">
        <f>"0611861100050"</f>
        <v>0611861100050</v>
      </c>
      <c r="B2259" t="str">
        <f>"CR4211"</f>
        <v>CR4211</v>
      </c>
      <c r="C2259" t="s">
        <v>31609</v>
      </c>
      <c r="D2259" t="s">
        <v>27286</v>
      </c>
      <c r="E2259" t="str">
        <f t="shared" si="35"/>
        <v>001390</v>
      </c>
      <c r="F2259" t="s">
        <v>27246</v>
      </c>
      <c r="G2259" t="s">
        <v>27247</v>
      </c>
      <c r="H2259" t="s">
        <v>27248</v>
      </c>
      <c r="I2259" t="s">
        <v>31610</v>
      </c>
      <c r="J2259" t="s">
        <v>4529</v>
      </c>
      <c r="L2259" t="s">
        <v>27250</v>
      </c>
      <c r="M2259" t="s">
        <v>27251</v>
      </c>
      <c r="N2259" t="s">
        <v>27252</v>
      </c>
      <c r="Q2259" s="1">
        <v>44846</v>
      </c>
      <c r="R2259" t="s">
        <v>27253</v>
      </c>
      <c r="S2259" t="s">
        <v>27254</v>
      </c>
      <c r="T2259" t="s">
        <v>27265</v>
      </c>
    </row>
    <row r="2260" spans="1:20" x14ac:dyDescent="0.3">
      <c r="A2260" t="str">
        <f>"0611832920100"</f>
        <v>0611832920100</v>
      </c>
      <c r="B2260" t="str">
        <f>"LF0043"</f>
        <v>LF0043</v>
      </c>
      <c r="C2260" t="s">
        <v>31611</v>
      </c>
      <c r="D2260" t="s">
        <v>27245</v>
      </c>
      <c r="E2260" t="str">
        <f t="shared" si="35"/>
        <v>001390</v>
      </c>
      <c r="F2260" t="s">
        <v>27246</v>
      </c>
      <c r="G2260" t="s">
        <v>27247</v>
      </c>
      <c r="H2260" t="s">
        <v>27248</v>
      </c>
      <c r="I2260" t="s">
        <v>31612</v>
      </c>
      <c r="J2260" t="s">
        <v>4531</v>
      </c>
      <c r="L2260" t="s">
        <v>27250</v>
      </c>
      <c r="M2260" t="s">
        <v>27251</v>
      </c>
      <c r="N2260" t="s">
        <v>27252</v>
      </c>
      <c r="Q2260" s="1">
        <v>44538</v>
      </c>
      <c r="R2260" t="s">
        <v>27253</v>
      </c>
      <c r="S2260" t="s">
        <v>27254</v>
      </c>
      <c r="T2260" t="s">
        <v>27255</v>
      </c>
    </row>
    <row r="2261" spans="1:20" x14ac:dyDescent="0.3">
      <c r="A2261" t="str">
        <f>"0611832921100"</f>
        <v>0611832921100</v>
      </c>
      <c r="B2261" t="str">
        <f>"LF1200"</f>
        <v>LF1200</v>
      </c>
      <c r="C2261" t="s">
        <v>31613</v>
      </c>
      <c r="D2261" t="s">
        <v>27245</v>
      </c>
      <c r="E2261" t="str">
        <f t="shared" si="35"/>
        <v>001390</v>
      </c>
      <c r="F2261" t="s">
        <v>27246</v>
      </c>
      <c r="G2261" t="s">
        <v>27247</v>
      </c>
      <c r="H2261" t="s">
        <v>27248</v>
      </c>
      <c r="I2261" t="s">
        <v>31614</v>
      </c>
      <c r="J2261" t="s">
        <v>4533</v>
      </c>
      <c r="L2261" t="s">
        <v>27250</v>
      </c>
      <c r="M2261" t="s">
        <v>27251</v>
      </c>
      <c r="N2261" t="s">
        <v>27252</v>
      </c>
      <c r="Q2261" s="1">
        <v>44538</v>
      </c>
      <c r="R2261" t="s">
        <v>27253</v>
      </c>
      <c r="S2261" t="s">
        <v>27254</v>
      </c>
      <c r="T2261" t="s">
        <v>27255</v>
      </c>
    </row>
    <row r="2262" spans="1:20" x14ac:dyDescent="0.3">
      <c r="A2262" t="str">
        <f>"0611884087025"</f>
        <v>0611884087025</v>
      </c>
      <c r="B2262" t="str">
        <f>"MC2127"</f>
        <v>MC2127</v>
      </c>
      <c r="C2262" t="s">
        <v>31615</v>
      </c>
      <c r="D2262" t="s">
        <v>27267</v>
      </c>
      <c r="E2262" t="str">
        <f t="shared" si="35"/>
        <v>001390</v>
      </c>
      <c r="F2262" t="s">
        <v>27246</v>
      </c>
      <c r="G2262" t="s">
        <v>27247</v>
      </c>
      <c r="H2262" t="s">
        <v>27248</v>
      </c>
      <c r="I2262" t="s">
        <v>31616</v>
      </c>
      <c r="J2262" t="s">
        <v>4535</v>
      </c>
      <c r="L2262" t="s">
        <v>27430</v>
      </c>
      <c r="M2262" t="s">
        <v>27251</v>
      </c>
      <c r="N2262" t="s">
        <v>27252</v>
      </c>
      <c r="Q2262" s="1">
        <v>45250</v>
      </c>
      <c r="R2262" t="s">
        <v>27253</v>
      </c>
      <c r="S2262" t="s">
        <v>27254</v>
      </c>
      <c r="T2262" t="s">
        <v>27269</v>
      </c>
    </row>
    <row r="2263" spans="1:20" x14ac:dyDescent="0.3">
      <c r="A2263" t="str">
        <f>"0611861101050"</f>
        <v>0611861101050</v>
      </c>
      <c r="B2263" t="str">
        <f>"CR4796"</f>
        <v>CR4796</v>
      </c>
      <c r="C2263" t="s">
        <v>31617</v>
      </c>
      <c r="D2263" t="s">
        <v>27271</v>
      </c>
      <c r="E2263" t="str">
        <f t="shared" si="35"/>
        <v>001390</v>
      </c>
      <c r="F2263" t="s">
        <v>27246</v>
      </c>
      <c r="G2263" t="s">
        <v>27247</v>
      </c>
      <c r="H2263" t="s">
        <v>27248</v>
      </c>
      <c r="I2263" t="s">
        <v>31618</v>
      </c>
      <c r="J2263" t="s">
        <v>4537</v>
      </c>
      <c r="L2263" t="s">
        <v>27250</v>
      </c>
      <c r="M2263" t="s">
        <v>27251</v>
      </c>
      <c r="N2263" t="s">
        <v>27252</v>
      </c>
      <c r="P2263" t="s">
        <v>27341</v>
      </c>
      <c r="Q2263" s="1">
        <v>44846</v>
      </c>
      <c r="R2263" t="s">
        <v>27253</v>
      </c>
      <c r="S2263" t="s">
        <v>27254</v>
      </c>
      <c r="T2263" t="s">
        <v>27265</v>
      </c>
    </row>
    <row r="2264" spans="1:20" x14ac:dyDescent="0.3">
      <c r="A2264" t="str">
        <f>"0611832922100"</f>
        <v>0611832922100</v>
      </c>
      <c r="B2264" t="str">
        <f>"LC5460"</f>
        <v>LC5460</v>
      </c>
      <c r="C2264" t="s">
        <v>31619</v>
      </c>
      <c r="D2264" t="s">
        <v>27245</v>
      </c>
      <c r="E2264" t="str">
        <f t="shared" si="35"/>
        <v>001390</v>
      </c>
      <c r="F2264" t="s">
        <v>27246</v>
      </c>
      <c r="G2264" t="s">
        <v>27247</v>
      </c>
      <c r="H2264" t="s">
        <v>27248</v>
      </c>
      <c r="I2264" t="s">
        <v>31620</v>
      </c>
      <c r="J2264" t="s">
        <v>4539</v>
      </c>
      <c r="L2264" t="s">
        <v>27250</v>
      </c>
      <c r="M2264" t="s">
        <v>27251</v>
      </c>
      <c r="N2264" t="s">
        <v>27252</v>
      </c>
      <c r="Q2264" s="1">
        <v>44538</v>
      </c>
      <c r="R2264" t="s">
        <v>27253</v>
      </c>
      <c r="S2264" t="s">
        <v>27254</v>
      </c>
      <c r="T2264" t="s">
        <v>27255</v>
      </c>
    </row>
    <row r="2265" spans="1:20" x14ac:dyDescent="0.3">
      <c r="A2265" t="str">
        <f>"0611832923100"</f>
        <v>0611832923100</v>
      </c>
      <c r="B2265" t="str">
        <f>"LC5461"</f>
        <v>LC5461</v>
      </c>
      <c r="C2265" t="s">
        <v>31621</v>
      </c>
      <c r="D2265" t="s">
        <v>27245</v>
      </c>
      <c r="E2265" t="str">
        <f t="shared" si="35"/>
        <v>001390</v>
      </c>
      <c r="F2265" t="s">
        <v>27246</v>
      </c>
      <c r="G2265" t="s">
        <v>27247</v>
      </c>
      <c r="H2265" t="s">
        <v>27248</v>
      </c>
      <c r="I2265" t="s">
        <v>31622</v>
      </c>
      <c r="J2265" t="s">
        <v>4541</v>
      </c>
      <c r="L2265" t="s">
        <v>27250</v>
      </c>
      <c r="M2265" t="s">
        <v>27251</v>
      </c>
      <c r="N2265" t="s">
        <v>27252</v>
      </c>
      <c r="Q2265" s="1">
        <v>44538</v>
      </c>
      <c r="R2265" t="s">
        <v>27253</v>
      </c>
      <c r="S2265" t="s">
        <v>27254</v>
      </c>
      <c r="T2265" t="s">
        <v>27255</v>
      </c>
    </row>
    <row r="2266" spans="1:20" x14ac:dyDescent="0.3">
      <c r="A2266" t="str">
        <f>"0611836713025"</f>
        <v>0611836713025</v>
      </c>
      <c r="B2266" t="str">
        <f>"MC0781"</f>
        <v>MC0781</v>
      </c>
      <c r="C2266" t="s">
        <v>31621</v>
      </c>
      <c r="D2266" t="s">
        <v>27267</v>
      </c>
      <c r="E2266" t="str">
        <f t="shared" si="35"/>
        <v>001390</v>
      </c>
      <c r="F2266" t="s">
        <v>27246</v>
      </c>
      <c r="G2266" t="s">
        <v>27247</v>
      </c>
      <c r="H2266" t="s">
        <v>27248</v>
      </c>
      <c r="I2266" t="s">
        <v>31623</v>
      </c>
      <c r="J2266" t="s">
        <v>4543</v>
      </c>
      <c r="L2266" t="s">
        <v>27250</v>
      </c>
      <c r="M2266" t="s">
        <v>27251</v>
      </c>
      <c r="N2266" t="s">
        <v>27252</v>
      </c>
      <c r="Q2266" s="1">
        <v>44538</v>
      </c>
      <c r="R2266" t="s">
        <v>27253</v>
      </c>
      <c r="S2266" t="s">
        <v>27254</v>
      </c>
      <c r="T2266" t="s">
        <v>27269</v>
      </c>
    </row>
    <row r="2267" spans="1:20" x14ac:dyDescent="0.3">
      <c r="A2267" t="str">
        <f>"0611832924100"</f>
        <v>0611832924100</v>
      </c>
      <c r="B2267" t="str">
        <f>"LC5462"</f>
        <v>LC5462</v>
      </c>
      <c r="C2267" t="s">
        <v>31624</v>
      </c>
      <c r="D2267" t="s">
        <v>27245</v>
      </c>
      <c r="E2267" t="str">
        <f t="shared" si="35"/>
        <v>001390</v>
      </c>
      <c r="F2267" t="s">
        <v>27246</v>
      </c>
      <c r="G2267" t="s">
        <v>27247</v>
      </c>
      <c r="H2267" t="s">
        <v>27248</v>
      </c>
      <c r="I2267" t="s">
        <v>31625</v>
      </c>
      <c r="J2267" t="s">
        <v>4545</v>
      </c>
      <c r="L2267" t="s">
        <v>27250</v>
      </c>
      <c r="M2267" t="s">
        <v>27251</v>
      </c>
      <c r="N2267" t="s">
        <v>27252</v>
      </c>
      <c r="Q2267" s="1">
        <v>44538</v>
      </c>
      <c r="R2267" t="s">
        <v>27253</v>
      </c>
      <c r="S2267" t="s">
        <v>27254</v>
      </c>
      <c r="T2267" t="s">
        <v>27255</v>
      </c>
    </row>
    <row r="2268" spans="1:20" x14ac:dyDescent="0.3">
      <c r="A2268" t="str">
        <f>"0611832925025"</f>
        <v>0611832925025</v>
      </c>
      <c r="B2268" t="str">
        <f>"MC1542"</f>
        <v>MC1542</v>
      </c>
      <c r="C2268" t="s">
        <v>31626</v>
      </c>
      <c r="D2268" t="s">
        <v>27267</v>
      </c>
      <c r="E2268" t="str">
        <f t="shared" si="35"/>
        <v>001390</v>
      </c>
      <c r="F2268" t="s">
        <v>27246</v>
      </c>
      <c r="G2268" t="s">
        <v>27247</v>
      </c>
      <c r="H2268" t="s">
        <v>27248</v>
      </c>
      <c r="I2268" t="s">
        <v>31627</v>
      </c>
      <c r="J2268" t="s">
        <v>4547</v>
      </c>
      <c r="L2268" t="s">
        <v>27250</v>
      </c>
      <c r="M2268" t="s">
        <v>27251</v>
      </c>
      <c r="N2268" t="s">
        <v>27252</v>
      </c>
      <c r="Q2268" s="1">
        <v>44538</v>
      </c>
      <c r="R2268" t="s">
        <v>27253</v>
      </c>
      <c r="S2268" t="s">
        <v>27254</v>
      </c>
      <c r="T2268" t="s">
        <v>27269</v>
      </c>
    </row>
    <row r="2269" spans="1:20" x14ac:dyDescent="0.3">
      <c r="A2269" t="str">
        <f>"0611832926025"</f>
        <v>0611832926025</v>
      </c>
      <c r="B2269" t="str">
        <f>"MC1523"</f>
        <v>MC1523</v>
      </c>
      <c r="C2269" t="s">
        <v>31628</v>
      </c>
      <c r="D2269" t="s">
        <v>27267</v>
      </c>
      <c r="E2269" t="str">
        <f t="shared" si="35"/>
        <v>001390</v>
      </c>
      <c r="F2269" t="s">
        <v>27246</v>
      </c>
      <c r="G2269" t="s">
        <v>27247</v>
      </c>
      <c r="H2269" t="s">
        <v>27248</v>
      </c>
      <c r="I2269" t="s">
        <v>31629</v>
      </c>
      <c r="J2269" t="s">
        <v>4549</v>
      </c>
      <c r="L2269" t="s">
        <v>27250</v>
      </c>
      <c r="M2269" t="s">
        <v>27251</v>
      </c>
      <c r="N2269" t="s">
        <v>27252</v>
      </c>
      <c r="Q2269" s="1">
        <v>44538</v>
      </c>
      <c r="R2269" t="s">
        <v>27253</v>
      </c>
      <c r="S2269" t="s">
        <v>27254</v>
      </c>
      <c r="T2269" t="s">
        <v>27269</v>
      </c>
    </row>
    <row r="2270" spans="1:20" x14ac:dyDescent="0.3">
      <c r="A2270" t="str">
        <f>"0611832927025"</f>
        <v>0611832927025</v>
      </c>
      <c r="B2270" t="str">
        <f>"MC3004"</f>
        <v>MC3004</v>
      </c>
      <c r="C2270" t="s">
        <v>31630</v>
      </c>
      <c r="D2270" t="s">
        <v>27267</v>
      </c>
      <c r="E2270" t="str">
        <f t="shared" si="35"/>
        <v>001390</v>
      </c>
      <c r="F2270" t="s">
        <v>27246</v>
      </c>
      <c r="G2270" t="s">
        <v>27247</v>
      </c>
      <c r="H2270" t="s">
        <v>27248</v>
      </c>
      <c r="I2270" t="s">
        <v>31631</v>
      </c>
      <c r="J2270" t="s">
        <v>4551</v>
      </c>
      <c r="L2270" t="s">
        <v>27250</v>
      </c>
      <c r="M2270" t="s">
        <v>27251</v>
      </c>
      <c r="N2270" t="s">
        <v>27252</v>
      </c>
      <c r="Q2270" s="1">
        <v>44538</v>
      </c>
      <c r="R2270" t="s">
        <v>27253</v>
      </c>
      <c r="S2270" t="s">
        <v>27254</v>
      </c>
      <c r="T2270" t="s">
        <v>27269</v>
      </c>
    </row>
    <row r="2271" spans="1:20" x14ac:dyDescent="0.3">
      <c r="A2271" t="str">
        <f>"0611861102050"</f>
        <v>0611861102050</v>
      </c>
      <c r="B2271" t="str">
        <f>"CR4212"</f>
        <v>CR4212</v>
      </c>
      <c r="C2271" t="s">
        <v>31632</v>
      </c>
      <c r="D2271" t="s">
        <v>27263</v>
      </c>
      <c r="E2271" t="str">
        <f t="shared" si="35"/>
        <v>001390</v>
      </c>
      <c r="F2271" t="s">
        <v>27246</v>
      </c>
      <c r="G2271" t="s">
        <v>27247</v>
      </c>
      <c r="H2271" t="s">
        <v>27248</v>
      </c>
      <c r="I2271" t="s">
        <v>31633</v>
      </c>
      <c r="J2271" t="s">
        <v>4553</v>
      </c>
      <c r="L2271" t="s">
        <v>27250</v>
      </c>
      <c r="M2271" t="s">
        <v>27251</v>
      </c>
      <c r="N2271" t="s">
        <v>27252</v>
      </c>
      <c r="Q2271" s="1">
        <v>44846</v>
      </c>
      <c r="R2271" t="s">
        <v>27253</v>
      </c>
      <c r="S2271" t="s">
        <v>27254</v>
      </c>
      <c r="T2271" t="s">
        <v>27265</v>
      </c>
    </row>
    <row r="2272" spans="1:20" x14ac:dyDescent="0.3">
      <c r="A2272" t="str">
        <f>"0611832933100"</f>
        <v>0611832933100</v>
      </c>
      <c r="B2272" t="str">
        <f>"LF0005"</f>
        <v>LF0005</v>
      </c>
      <c r="C2272" t="s">
        <v>31634</v>
      </c>
      <c r="D2272" t="s">
        <v>27245</v>
      </c>
      <c r="E2272" t="str">
        <f t="shared" si="35"/>
        <v>001390</v>
      </c>
      <c r="F2272" t="s">
        <v>27246</v>
      </c>
      <c r="G2272" t="s">
        <v>27247</v>
      </c>
      <c r="H2272" t="s">
        <v>27248</v>
      </c>
      <c r="I2272" t="s">
        <v>31635</v>
      </c>
      <c r="J2272" t="s">
        <v>4555</v>
      </c>
      <c r="L2272" t="s">
        <v>27250</v>
      </c>
      <c r="M2272" t="s">
        <v>27251</v>
      </c>
      <c r="N2272" t="s">
        <v>27252</v>
      </c>
      <c r="Q2272" s="1">
        <v>44538</v>
      </c>
      <c r="R2272" t="s">
        <v>27253</v>
      </c>
      <c r="S2272" t="s">
        <v>27254</v>
      </c>
      <c r="T2272" t="s">
        <v>27255</v>
      </c>
    </row>
    <row r="2273" spans="1:20" x14ac:dyDescent="0.3">
      <c r="A2273" t="str">
        <f>"0611832929100"</f>
        <v>0611832929100</v>
      </c>
      <c r="B2273" t="str">
        <f>"LF1239"</f>
        <v>LF1239</v>
      </c>
      <c r="C2273" t="s">
        <v>31636</v>
      </c>
      <c r="D2273" t="s">
        <v>27245</v>
      </c>
      <c r="E2273" t="str">
        <f t="shared" si="35"/>
        <v>001390</v>
      </c>
      <c r="F2273" t="s">
        <v>27246</v>
      </c>
      <c r="G2273" t="s">
        <v>27247</v>
      </c>
      <c r="H2273" t="s">
        <v>27248</v>
      </c>
      <c r="I2273" t="s">
        <v>31637</v>
      </c>
      <c r="J2273" t="s">
        <v>4557</v>
      </c>
      <c r="L2273" t="s">
        <v>27250</v>
      </c>
      <c r="M2273" t="s">
        <v>27251</v>
      </c>
      <c r="N2273" t="s">
        <v>27252</v>
      </c>
      <c r="Q2273" s="1">
        <v>44538</v>
      </c>
      <c r="R2273" t="s">
        <v>27253</v>
      </c>
      <c r="S2273" t="s">
        <v>27254</v>
      </c>
      <c r="T2273" t="s">
        <v>27255</v>
      </c>
    </row>
    <row r="2274" spans="1:20" x14ac:dyDescent="0.3">
      <c r="A2274" t="str">
        <f>"0611832930100"</f>
        <v>0611832930100</v>
      </c>
      <c r="B2274" t="str">
        <f>"MB1240"</f>
        <v>MB1240</v>
      </c>
      <c r="C2274" t="s">
        <v>31638</v>
      </c>
      <c r="D2274" t="s">
        <v>27274</v>
      </c>
      <c r="E2274" t="str">
        <f t="shared" si="35"/>
        <v>001390</v>
      </c>
      <c r="F2274" t="s">
        <v>27246</v>
      </c>
      <c r="G2274" t="s">
        <v>27247</v>
      </c>
      <c r="H2274" t="s">
        <v>27248</v>
      </c>
      <c r="I2274" t="s">
        <v>31639</v>
      </c>
      <c r="J2274" t="s">
        <v>4559</v>
      </c>
      <c r="L2274" t="s">
        <v>27250</v>
      </c>
      <c r="M2274" t="s">
        <v>27251</v>
      </c>
      <c r="N2274" t="s">
        <v>27252</v>
      </c>
      <c r="Q2274" s="1">
        <v>44538</v>
      </c>
      <c r="R2274" t="s">
        <v>27253</v>
      </c>
      <c r="S2274" t="s">
        <v>27254</v>
      </c>
      <c r="T2274" t="s">
        <v>27276</v>
      </c>
    </row>
    <row r="2275" spans="1:20" x14ac:dyDescent="0.3">
      <c r="A2275" t="str">
        <f>"0611832931100"</f>
        <v>0611832931100</v>
      </c>
      <c r="B2275" t="str">
        <f>"MB1243"</f>
        <v>MB1243</v>
      </c>
      <c r="C2275" t="s">
        <v>31640</v>
      </c>
      <c r="D2275" t="s">
        <v>27274</v>
      </c>
      <c r="E2275" t="str">
        <f t="shared" si="35"/>
        <v>001390</v>
      </c>
      <c r="F2275" t="s">
        <v>27246</v>
      </c>
      <c r="G2275" t="s">
        <v>27247</v>
      </c>
      <c r="H2275" t="s">
        <v>27248</v>
      </c>
      <c r="I2275" t="s">
        <v>31641</v>
      </c>
      <c r="J2275" t="s">
        <v>4561</v>
      </c>
      <c r="L2275" t="s">
        <v>27250</v>
      </c>
      <c r="M2275" t="s">
        <v>27251</v>
      </c>
      <c r="N2275" t="s">
        <v>27252</v>
      </c>
      <c r="Q2275" s="1">
        <v>44538</v>
      </c>
      <c r="R2275" t="s">
        <v>27253</v>
      </c>
      <c r="S2275" t="s">
        <v>27254</v>
      </c>
      <c r="T2275" t="s">
        <v>27276</v>
      </c>
    </row>
    <row r="2276" spans="1:20" x14ac:dyDescent="0.3">
      <c r="A2276" t="str">
        <f>"0611832932100"</f>
        <v>0611832932100</v>
      </c>
      <c r="B2276" t="str">
        <f>"LF1243"</f>
        <v>LF1243</v>
      </c>
      <c r="C2276" t="s">
        <v>31640</v>
      </c>
      <c r="D2276" t="s">
        <v>27245</v>
      </c>
      <c r="E2276" t="str">
        <f t="shared" si="35"/>
        <v>001390</v>
      </c>
      <c r="F2276" t="s">
        <v>27246</v>
      </c>
      <c r="G2276" t="s">
        <v>27247</v>
      </c>
      <c r="H2276" t="s">
        <v>27248</v>
      </c>
      <c r="I2276" t="s">
        <v>31642</v>
      </c>
      <c r="J2276" t="s">
        <v>4563</v>
      </c>
      <c r="L2276" t="s">
        <v>27250</v>
      </c>
      <c r="M2276" t="s">
        <v>27251</v>
      </c>
      <c r="N2276" t="s">
        <v>27252</v>
      </c>
      <c r="Q2276" s="1">
        <v>44538</v>
      </c>
      <c r="R2276" t="s">
        <v>27253</v>
      </c>
      <c r="S2276" t="s">
        <v>27254</v>
      </c>
      <c r="T2276" t="s">
        <v>27255</v>
      </c>
    </row>
    <row r="2277" spans="1:20" x14ac:dyDescent="0.3">
      <c r="A2277" t="str">
        <f>"0611861103050"</f>
        <v>0611861103050</v>
      </c>
      <c r="B2277" t="str">
        <f>"CR3975"</f>
        <v>CR3975</v>
      </c>
      <c r="C2277" t="s">
        <v>31643</v>
      </c>
      <c r="D2277" t="s">
        <v>27271</v>
      </c>
      <c r="E2277" t="str">
        <f t="shared" si="35"/>
        <v>001390</v>
      </c>
      <c r="F2277" t="s">
        <v>27246</v>
      </c>
      <c r="G2277" t="s">
        <v>27247</v>
      </c>
      <c r="H2277" t="s">
        <v>27248</v>
      </c>
      <c r="I2277" t="s">
        <v>31644</v>
      </c>
      <c r="J2277" t="s">
        <v>4565</v>
      </c>
      <c r="L2277" t="s">
        <v>27250</v>
      </c>
      <c r="M2277" t="s">
        <v>27251</v>
      </c>
      <c r="N2277" t="s">
        <v>27252</v>
      </c>
      <c r="P2277" t="s">
        <v>27341</v>
      </c>
      <c r="Q2277" s="1">
        <v>44846</v>
      </c>
      <c r="R2277" t="s">
        <v>27253</v>
      </c>
      <c r="S2277" t="s">
        <v>27254</v>
      </c>
      <c r="T2277" t="s">
        <v>27265</v>
      </c>
    </row>
    <row r="2278" spans="1:20" x14ac:dyDescent="0.3">
      <c r="A2278" t="str">
        <f>"0611861104050"</f>
        <v>0611861104050</v>
      </c>
      <c r="B2278" t="str">
        <f>"CR4528"</f>
        <v>CR4528</v>
      </c>
      <c r="C2278" t="s">
        <v>31645</v>
      </c>
      <c r="D2278" t="s">
        <v>27271</v>
      </c>
      <c r="E2278" t="str">
        <f t="shared" si="35"/>
        <v>001390</v>
      </c>
      <c r="F2278" t="s">
        <v>27246</v>
      </c>
      <c r="G2278" t="s">
        <v>27247</v>
      </c>
      <c r="H2278" t="s">
        <v>27248</v>
      </c>
      <c r="I2278" t="s">
        <v>31646</v>
      </c>
      <c r="J2278" t="s">
        <v>4567</v>
      </c>
      <c r="L2278" t="s">
        <v>27250</v>
      </c>
      <c r="M2278" t="s">
        <v>27251</v>
      </c>
      <c r="N2278" t="s">
        <v>27252</v>
      </c>
      <c r="P2278" t="s">
        <v>27341</v>
      </c>
      <c r="Q2278" s="1">
        <v>44846</v>
      </c>
      <c r="R2278" t="s">
        <v>27253</v>
      </c>
      <c r="S2278" t="s">
        <v>27254</v>
      </c>
      <c r="T2278" t="s">
        <v>27265</v>
      </c>
    </row>
    <row r="2279" spans="1:20" x14ac:dyDescent="0.3">
      <c r="A2279" t="str">
        <f>"0611832934100"</f>
        <v>0611832934100</v>
      </c>
      <c r="B2279" t="str">
        <f>"LY0014"</f>
        <v>LY0014</v>
      </c>
      <c r="C2279" t="s">
        <v>31647</v>
      </c>
      <c r="D2279" t="s">
        <v>28138</v>
      </c>
      <c r="E2279" t="str">
        <f t="shared" si="35"/>
        <v>001390</v>
      </c>
      <c r="F2279" t="s">
        <v>27246</v>
      </c>
      <c r="G2279" t="s">
        <v>27247</v>
      </c>
      <c r="H2279" t="s">
        <v>27248</v>
      </c>
      <c r="I2279" t="s">
        <v>31648</v>
      </c>
      <c r="J2279" t="s">
        <v>4569</v>
      </c>
      <c r="L2279" t="s">
        <v>27250</v>
      </c>
      <c r="M2279" t="s">
        <v>27251</v>
      </c>
      <c r="N2279" t="s">
        <v>27252</v>
      </c>
      <c r="P2279" t="s">
        <v>27925</v>
      </c>
      <c r="Q2279" s="1">
        <v>44538</v>
      </c>
      <c r="R2279" t="s">
        <v>27253</v>
      </c>
      <c r="S2279" t="s">
        <v>27254</v>
      </c>
      <c r="T2279" t="s">
        <v>27255</v>
      </c>
    </row>
    <row r="2280" spans="1:20" x14ac:dyDescent="0.3">
      <c r="A2280" t="str">
        <f>"0611832935100"</f>
        <v>0611832935100</v>
      </c>
      <c r="B2280" t="str">
        <f>"LY0022"</f>
        <v>LY0022</v>
      </c>
      <c r="C2280" t="s">
        <v>31649</v>
      </c>
      <c r="D2280" t="s">
        <v>28138</v>
      </c>
      <c r="E2280" t="str">
        <f t="shared" si="35"/>
        <v>001390</v>
      </c>
      <c r="F2280" t="s">
        <v>27246</v>
      </c>
      <c r="G2280" t="s">
        <v>27247</v>
      </c>
      <c r="H2280" t="s">
        <v>27248</v>
      </c>
      <c r="I2280" t="s">
        <v>31650</v>
      </c>
      <c r="J2280" t="s">
        <v>4571</v>
      </c>
      <c r="L2280" t="s">
        <v>27250</v>
      </c>
      <c r="M2280" t="s">
        <v>27251</v>
      </c>
      <c r="N2280" t="s">
        <v>27252</v>
      </c>
      <c r="P2280" t="s">
        <v>27925</v>
      </c>
      <c r="Q2280" s="1">
        <v>44538</v>
      </c>
      <c r="R2280" t="s">
        <v>27253</v>
      </c>
      <c r="S2280" t="s">
        <v>27254</v>
      </c>
      <c r="T2280" t="s">
        <v>27255</v>
      </c>
    </row>
    <row r="2281" spans="1:20" x14ac:dyDescent="0.3">
      <c r="A2281" t="str">
        <f>"0611832936100"</f>
        <v>0611832936100</v>
      </c>
      <c r="B2281" t="str">
        <f>"LY5670"</f>
        <v>LY5670</v>
      </c>
      <c r="C2281" t="s">
        <v>31651</v>
      </c>
      <c r="D2281" t="s">
        <v>28138</v>
      </c>
      <c r="E2281" t="str">
        <f t="shared" si="35"/>
        <v>001390</v>
      </c>
      <c r="F2281" t="s">
        <v>27246</v>
      </c>
      <c r="G2281" t="s">
        <v>27247</v>
      </c>
      <c r="H2281" t="s">
        <v>27248</v>
      </c>
      <c r="I2281" t="s">
        <v>31652</v>
      </c>
      <c r="J2281" t="s">
        <v>4573</v>
      </c>
      <c r="L2281" t="s">
        <v>27250</v>
      </c>
      <c r="M2281" t="s">
        <v>27251</v>
      </c>
      <c r="N2281" t="s">
        <v>27252</v>
      </c>
      <c r="P2281" t="s">
        <v>27925</v>
      </c>
      <c r="Q2281" s="1">
        <v>44538</v>
      </c>
      <c r="R2281" t="s">
        <v>27253</v>
      </c>
      <c r="S2281" t="s">
        <v>27254</v>
      </c>
      <c r="T2281" t="s">
        <v>27255</v>
      </c>
    </row>
    <row r="2282" spans="1:20" x14ac:dyDescent="0.3">
      <c r="A2282" t="str">
        <f>"0611861105050"</f>
        <v>0611861105050</v>
      </c>
      <c r="B2282" t="str">
        <f>"CR4529"</f>
        <v>CR4529</v>
      </c>
      <c r="C2282" t="s">
        <v>31653</v>
      </c>
      <c r="D2282" t="s">
        <v>27271</v>
      </c>
      <c r="E2282" t="str">
        <f t="shared" si="35"/>
        <v>001390</v>
      </c>
      <c r="F2282" t="s">
        <v>27246</v>
      </c>
      <c r="G2282" t="s">
        <v>27247</v>
      </c>
      <c r="H2282" t="s">
        <v>27248</v>
      </c>
      <c r="I2282" t="s">
        <v>31654</v>
      </c>
      <c r="J2282" t="s">
        <v>4575</v>
      </c>
      <c r="L2282" t="s">
        <v>27250</v>
      </c>
      <c r="M2282" t="s">
        <v>27251</v>
      </c>
      <c r="N2282" t="s">
        <v>27252</v>
      </c>
      <c r="P2282" t="s">
        <v>27341</v>
      </c>
      <c r="Q2282" s="1">
        <v>44846</v>
      </c>
      <c r="R2282" t="s">
        <v>27253</v>
      </c>
      <c r="S2282" t="s">
        <v>27254</v>
      </c>
      <c r="T2282" t="s">
        <v>27265</v>
      </c>
    </row>
    <row r="2283" spans="1:20" x14ac:dyDescent="0.3">
      <c r="A2283" t="str">
        <f>"0611832938100"</f>
        <v>0611832938100</v>
      </c>
      <c r="B2283" t="str">
        <f>"LY5714"</f>
        <v>LY5714</v>
      </c>
      <c r="C2283" t="s">
        <v>31655</v>
      </c>
      <c r="D2283" t="s">
        <v>27552</v>
      </c>
      <c r="E2283" t="str">
        <f t="shared" si="35"/>
        <v>001390</v>
      </c>
      <c r="F2283" t="s">
        <v>27246</v>
      </c>
      <c r="G2283" t="s">
        <v>27247</v>
      </c>
      <c r="H2283" t="s">
        <v>27248</v>
      </c>
      <c r="I2283" t="s">
        <v>31656</v>
      </c>
      <c r="J2283" t="s">
        <v>4577</v>
      </c>
      <c r="L2283" t="s">
        <v>27250</v>
      </c>
      <c r="M2283" t="s">
        <v>27251</v>
      </c>
      <c r="N2283" t="s">
        <v>27252</v>
      </c>
      <c r="P2283" t="s">
        <v>27341</v>
      </c>
      <c r="Q2283" s="1">
        <v>44538</v>
      </c>
      <c r="R2283" t="s">
        <v>27253</v>
      </c>
      <c r="S2283" t="s">
        <v>27254</v>
      </c>
      <c r="T2283" t="s">
        <v>27255</v>
      </c>
    </row>
    <row r="2284" spans="1:20" x14ac:dyDescent="0.3">
      <c r="A2284" t="str">
        <f>"0611832940100"</f>
        <v>0611832940100</v>
      </c>
      <c r="B2284" t="str">
        <f>"LY5715"</f>
        <v>LY5715</v>
      </c>
      <c r="C2284" t="s">
        <v>31657</v>
      </c>
      <c r="D2284" t="s">
        <v>27552</v>
      </c>
      <c r="E2284" t="str">
        <f t="shared" si="35"/>
        <v>001390</v>
      </c>
      <c r="F2284" t="s">
        <v>27246</v>
      </c>
      <c r="G2284" t="s">
        <v>27247</v>
      </c>
      <c r="H2284" t="s">
        <v>27248</v>
      </c>
      <c r="I2284" t="s">
        <v>31658</v>
      </c>
      <c r="J2284" t="s">
        <v>4579</v>
      </c>
      <c r="L2284" t="s">
        <v>27250</v>
      </c>
      <c r="M2284" t="s">
        <v>27251</v>
      </c>
      <c r="N2284" t="s">
        <v>27252</v>
      </c>
      <c r="P2284" t="s">
        <v>27341</v>
      </c>
      <c r="Q2284" s="1">
        <v>44538</v>
      </c>
      <c r="R2284" t="s">
        <v>27253</v>
      </c>
      <c r="S2284" t="s">
        <v>27254</v>
      </c>
      <c r="T2284" t="s">
        <v>27255</v>
      </c>
    </row>
    <row r="2285" spans="1:20" x14ac:dyDescent="0.3">
      <c r="A2285" t="str">
        <f>"0611832941100"</f>
        <v>0611832941100</v>
      </c>
      <c r="B2285" t="str">
        <f>"LY5671"</f>
        <v>LY5671</v>
      </c>
      <c r="C2285" t="s">
        <v>31659</v>
      </c>
      <c r="D2285" t="s">
        <v>27552</v>
      </c>
      <c r="E2285" t="str">
        <f t="shared" si="35"/>
        <v>001390</v>
      </c>
      <c r="F2285" t="s">
        <v>27246</v>
      </c>
      <c r="G2285" t="s">
        <v>27247</v>
      </c>
      <c r="H2285" t="s">
        <v>27248</v>
      </c>
      <c r="I2285" t="s">
        <v>31660</v>
      </c>
      <c r="J2285" t="s">
        <v>4581</v>
      </c>
      <c r="L2285" t="s">
        <v>27250</v>
      </c>
      <c r="M2285" t="s">
        <v>27251</v>
      </c>
      <c r="N2285" t="s">
        <v>27252</v>
      </c>
      <c r="P2285" t="s">
        <v>27341</v>
      </c>
      <c r="Q2285" s="1">
        <v>44538</v>
      </c>
      <c r="R2285" t="s">
        <v>27253</v>
      </c>
      <c r="S2285" t="s">
        <v>27254</v>
      </c>
      <c r="T2285" t="s">
        <v>27255</v>
      </c>
    </row>
    <row r="2286" spans="1:20" x14ac:dyDescent="0.3">
      <c r="A2286" t="str">
        <f>"0611856867100"</f>
        <v>0611856867100</v>
      </c>
      <c r="B2286" t="str">
        <f>"LY5730"</f>
        <v>LY5730</v>
      </c>
      <c r="C2286" t="s">
        <v>31661</v>
      </c>
      <c r="D2286" t="s">
        <v>27552</v>
      </c>
      <c r="E2286" t="str">
        <f t="shared" si="35"/>
        <v>001390</v>
      </c>
      <c r="F2286" t="s">
        <v>27246</v>
      </c>
      <c r="G2286" t="s">
        <v>27247</v>
      </c>
      <c r="H2286" t="s">
        <v>27248</v>
      </c>
      <c r="I2286" t="s">
        <v>31662</v>
      </c>
      <c r="J2286" t="s">
        <v>4583</v>
      </c>
      <c r="L2286" t="s">
        <v>27250</v>
      </c>
      <c r="M2286" t="s">
        <v>27251</v>
      </c>
      <c r="N2286" t="s">
        <v>27252</v>
      </c>
      <c r="P2286" t="s">
        <v>27341</v>
      </c>
      <c r="Q2286" s="1">
        <v>44812</v>
      </c>
      <c r="R2286" t="s">
        <v>27253</v>
      </c>
      <c r="S2286" t="s">
        <v>27254</v>
      </c>
      <c r="T2286" t="s">
        <v>27255</v>
      </c>
    </row>
    <row r="2287" spans="1:20" x14ac:dyDescent="0.3">
      <c r="A2287" t="str">
        <f>"0611861106050"</f>
        <v>0611861106050</v>
      </c>
      <c r="B2287" t="str">
        <f>"CR4530"</f>
        <v>CR4530</v>
      </c>
      <c r="C2287" t="s">
        <v>31663</v>
      </c>
      <c r="D2287" t="s">
        <v>27271</v>
      </c>
      <c r="E2287" t="str">
        <f t="shared" si="35"/>
        <v>001390</v>
      </c>
      <c r="F2287" t="s">
        <v>27246</v>
      </c>
      <c r="G2287" t="s">
        <v>27247</v>
      </c>
      <c r="H2287" t="s">
        <v>27248</v>
      </c>
      <c r="I2287" t="s">
        <v>31664</v>
      </c>
      <c r="J2287" t="s">
        <v>4585</v>
      </c>
      <c r="L2287" t="s">
        <v>27250</v>
      </c>
      <c r="M2287" t="s">
        <v>27251</v>
      </c>
      <c r="N2287" t="s">
        <v>27252</v>
      </c>
      <c r="P2287" t="s">
        <v>27341</v>
      </c>
      <c r="Q2287" s="1">
        <v>44846</v>
      </c>
      <c r="R2287" t="s">
        <v>27253</v>
      </c>
      <c r="S2287" t="s">
        <v>27254</v>
      </c>
      <c r="T2287" t="s">
        <v>27265</v>
      </c>
    </row>
    <row r="2288" spans="1:20" x14ac:dyDescent="0.3">
      <c r="A2288" t="str">
        <f>"0611861107050"</f>
        <v>0611861107050</v>
      </c>
      <c r="B2288" t="str">
        <f>"CR5050"</f>
        <v>CR5050</v>
      </c>
      <c r="C2288" t="s">
        <v>31665</v>
      </c>
      <c r="D2288" t="s">
        <v>27271</v>
      </c>
      <c r="E2288" t="str">
        <f t="shared" si="35"/>
        <v>001390</v>
      </c>
      <c r="F2288" t="s">
        <v>27246</v>
      </c>
      <c r="G2288" t="s">
        <v>27247</v>
      </c>
      <c r="H2288" t="s">
        <v>27248</v>
      </c>
      <c r="I2288" t="s">
        <v>31666</v>
      </c>
      <c r="J2288" t="s">
        <v>4587</v>
      </c>
      <c r="L2288" t="s">
        <v>27250</v>
      </c>
      <c r="M2288" t="s">
        <v>27251</v>
      </c>
      <c r="N2288" t="s">
        <v>27252</v>
      </c>
      <c r="P2288" t="s">
        <v>27341</v>
      </c>
      <c r="Q2288" s="1">
        <v>44846</v>
      </c>
      <c r="R2288" t="s">
        <v>27253</v>
      </c>
      <c r="S2288" t="s">
        <v>27254</v>
      </c>
      <c r="T2288" t="s">
        <v>27265</v>
      </c>
    </row>
    <row r="2289" spans="1:20" x14ac:dyDescent="0.3">
      <c r="A2289" t="str">
        <f>"0611861108050"</f>
        <v>0611861108050</v>
      </c>
      <c r="B2289" t="str">
        <f>"CR5051"</f>
        <v>CR5051</v>
      </c>
      <c r="C2289" t="s">
        <v>31667</v>
      </c>
      <c r="D2289" t="s">
        <v>27271</v>
      </c>
      <c r="E2289" t="str">
        <f t="shared" si="35"/>
        <v>001390</v>
      </c>
      <c r="F2289" t="s">
        <v>27246</v>
      </c>
      <c r="G2289" t="s">
        <v>27247</v>
      </c>
      <c r="H2289" t="s">
        <v>27248</v>
      </c>
      <c r="I2289" t="s">
        <v>31668</v>
      </c>
      <c r="J2289" t="s">
        <v>4589</v>
      </c>
      <c r="L2289" t="s">
        <v>27250</v>
      </c>
      <c r="M2289" t="s">
        <v>27251</v>
      </c>
      <c r="N2289" t="s">
        <v>27252</v>
      </c>
      <c r="P2289" t="s">
        <v>27341</v>
      </c>
      <c r="Q2289" s="1">
        <v>44846</v>
      </c>
      <c r="R2289" t="s">
        <v>27253</v>
      </c>
      <c r="S2289" t="s">
        <v>27254</v>
      </c>
      <c r="T2289" t="s">
        <v>27265</v>
      </c>
    </row>
    <row r="2290" spans="1:20" x14ac:dyDescent="0.3">
      <c r="A2290" t="str">
        <f>"0611861109050"</f>
        <v>0611861109050</v>
      </c>
      <c r="B2290" t="str">
        <f>"CR5052"</f>
        <v>CR5052</v>
      </c>
      <c r="C2290" t="s">
        <v>31669</v>
      </c>
      <c r="D2290" t="s">
        <v>27271</v>
      </c>
      <c r="E2290" t="str">
        <f t="shared" si="35"/>
        <v>001390</v>
      </c>
      <c r="F2290" t="s">
        <v>27246</v>
      </c>
      <c r="G2290" t="s">
        <v>27247</v>
      </c>
      <c r="H2290" t="s">
        <v>27248</v>
      </c>
      <c r="I2290" t="s">
        <v>31670</v>
      </c>
      <c r="J2290" t="s">
        <v>4591</v>
      </c>
      <c r="L2290" t="s">
        <v>27250</v>
      </c>
      <c r="M2290" t="s">
        <v>27251</v>
      </c>
      <c r="N2290" t="s">
        <v>27252</v>
      </c>
      <c r="P2290" t="s">
        <v>27341</v>
      </c>
      <c r="Q2290" s="1">
        <v>44846</v>
      </c>
      <c r="R2290" t="s">
        <v>27253</v>
      </c>
      <c r="S2290" t="s">
        <v>27254</v>
      </c>
      <c r="T2290" t="s">
        <v>27265</v>
      </c>
    </row>
    <row r="2291" spans="1:20" x14ac:dyDescent="0.3">
      <c r="A2291" t="str">
        <f>"0611861110050"</f>
        <v>0611861110050</v>
      </c>
      <c r="B2291" t="str">
        <f>"CR5053"</f>
        <v>CR5053</v>
      </c>
      <c r="C2291" t="s">
        <v>31671</v>
      </c>
      <c r="D2291" t="s">
        <v>27271</v>
      </c>
      <c r="E2291" t="str">
        <f t="shared" si="35"/>
        <v>001390</v>
      </c>
      <c r="F2291" t="s">
        <v>27246</v>
      </c>
      <c r="G2291" t="s">
        <v>27247</v>
      </c>
      <c r="H2291" t="s">
        <v>27248</v>
      </c>
      <c r="I2291" t="s">
        <v>31672</v>
      </c>
      <c r="J2291" t="s">
        <v>4593</v>
      </c>
      <c r="L2291" t="s">
        <v>27250</v>
      </c>
      <c r="M2291" t="s">
        <v>27251</v>
      </c>
      <c r="N2291" t="s">
        <v>27252</v>
      </c>
      <c r="P2291" t="s">
        <v>27341</v>
      </c>
      <c r="Q2291" s="1">
        <v>44846</v>
      </c>
      <c r="R2291" t="s">
        <v>27253</v>
      </c>
      <c r="S2291" t="s">
        <v>27254</v>
      </c>
      <c r="T2291" t="s">
        <v>27265</v>
      </c>
    </row>
    <row r="2292" spans="1:20" x14ac:dyDescent="0.3">
      <c r="A2292" t="str">
        <f>"0611861111050"</f>
        <v>0611861111050</v>
      </c>
      <c r="B2292" t="str">
        <f>"CR4531"</f>
        <v>CR4531</v>
      </c>
      <c r="C2292" t="s">
        <v>31673</v>
      </c>
      <c r="D2292" t="s">
        <v>27271</v>
      </c>
      <c r="E2292" t="str">
        <f t="shared" si="35"/>
        <v>001390</v>
      </c>
      <c r="F2292" t="s">
        <v>27246</v>
      </c>
      <c r="G2292" t="s">
        <v>27247</v>
      </c>
      <c r="H2292" t="s">
        <v>27248</v>
      </c>
      <c r="I2292" t="s">
        <v>31674</v>
      </c>
      <c r="J2292" t="s">
        <v>4595</v>
      </c>
      <c r="L2292" t="s">
        <v>27250</v>
      </c>
      <c r="M2292" t="s">
        <v>27251</v>
      </c>
      <c r="N2292" t="s">
        <v>27252</v>
      </c>
      <c r="P2292" t="s">
        <v>27341</v>
      </c>
      <c r="Q2292" s="1">
        <v>44846</v>
      </c>
      <c r="R2292" t="s">
        <v>27253</v>
      </c>
      <c r="S2292" t="s">
        <v>27254</v>
      </c>
      <c r="T2292" t="s">
        <v>27265</v>
      </c>
    </row>
    <row r="2293" spans="1:20" x14ac:dyDescent="0.3">
      <c r="A2293" t="str">
        <f>"0611884088100"</f>
        <v>0611884088100</v>
      </c>
      <c r="B2293" t="str">
        <f>"LY5739"</f>
        <v>LY5739</v>
      </c>
      <c r="C2293" t="s">
        <v>31675</v>
      </c>
      <c r="D2293" t="s">
        <v>28138</v>
      </c>
      <c r="E2293" t="str">
        <f t="shared" si="35"/>
        <v>001390</v>
      </c>
      <c r="F2293" t="s">
        <v>27246</v>
      </c>
      <c r="G2293" t="s">
        <v>27247</v>
      </c>
      <c r="H2293" t="s">
        <v>27248</v>
      </c>
      <c r="I2293" t="s">
        <v>31676</v>
      </c>
      <c r="J2293" t="s">
        <v>4597</v>
      </c>
      <c r="L2293" t="s">
        <v>27430</v>
      </c>
      <c r="M2293" t="s">
        <v>27251</v>
      </c>
      <c r="N2293" t="s">
        <v>27252</v>
      </c>
      <c r="P2293" t="s">
        <v>27925</v>
      </c>
      <c r="Q2293" s="1">
        <v>45250</v>
      </c>
      <c r="R2293" t="s">
        <v>27253</v>
      </c>
      <c r="S2293" t="s">
        <v>27254</v>
      </c>
      <c r="T2293" t="s">
        <v>27255</v>
      </c>
    </row>
    <row r="2294" spans="1:20" x14ac:dyDescent="0.3">
      <c r="A2294" t="str">
        <f>"0611832942100"</f>
        <v>0611832942100</v>
      </c>
      <c r="B2294" t="str">
        <f>"LY5681"</f>
        <v>LY5681</v>
      </c>
      <c r="C2294" t="s">
        <v>31677</v>
      </c>
      <c r="D2294" t="s">
        <v>28138</v>
      </c>
      <c r="E2294" t="str">
        <f t="shared" si="35"/>
        <v>001390</v>
      </c>
      <c r="F2294" t="s">
        <v>27246</v>
      </c>
      <c r="G2294" t="s">
        <v>27247</v>
      </c>
      <c r="H2294" t="s">
        <v>27248</v>
      </c>
      <c r="I2294" t="s">
        <v>31678</v>
      </c>
      <c r="J2294" t="s">
        <v>4599</v>
      </c>
      <c r="L2294" t="s">
        <v>27250</v>
      </c>
      <c r="M2294" t="s">
        <v>27251</v>
      </c>
      <c r="N2294" t="s">
        <v>27252</v>
      </c>
      <c r="P2294" t="s">
        <v>27925</v>
      </c>
      <c r="Q2294" s="1">
        <v>44538</v>
      </c>
      <c r="R2294" t="s">
        <v>27253</v>
      </c>
      <c r="S2294" t="s">
        <v>27254</v>
      </c>
      <c r="T2294" t="s">
        <v>27255</v>
      </c>
    </row>
    <row r="2295" spans="1:20" x14ac:dyDescent="0.3">
      <c r="A2295" t="str">
        <f>"0611832944100"</f>
        <v>0611832944100</v>
      </c>
      <c r="B2295" t="str">
        <f>"LY5622"</f>
        <v>LY5622</v>
      </c>
      <c r="C2295" t="s">
        <v>31679</v>
      </c>
      <c r="D2295" t="s">
        <v>28138</v>
      </c>
      <c r="E2295" t="str">
        <f t="shared" si="35"/>
        <v>001390</v>
      </c>
      <c r="F2295" t="s">
        <v>27246</v>
      </c>
      <c r="G2295" t="s">
        <v>27247</v>
      </c>
      <c r="H2295" t="s">
        <v>27248</v>
      </c>
      <c r="I2295" t="s">
        <v>31680</v>
      </c>
      <c r="J2295" t="s">
        <v>4601</v>
      </c>
      <c r="L2295" t="s">
        <v>27250</v>
      </c>
      <c r="M2295" t="s">
        <v>27251</v>
      </c>
      <c r="N2295" t="s">
        <v>27252</v>
      </c>
      <c r="P2295" t="s">
        <v>27925</v>
      </c>
      <c r="Q2295" s="1">
        <v>44538</v>
      </c>
      <c r="R2295" t="s">
        <v>27253</v>
      </c>
      <c r="S2295" t="s">
        <v>27254</v>
      </c>
      <c r="T2295" t="s">
        <v>27255</v>
      </c>
    </row>
    <row r="2296" spans="1:20" x14ac:dyDescent="0.3">
      <c r="A2296" t="str">
        <f>"0611832945100"</f>
        <v>0611832945100</v>
      </c>
      <c r="B2296" t="str">
        <f>"LY5709"</f>
        <v>LY5709</v>
      </c>
      <c r="C2296" t="s">
        <v>31681</v>
      </c>
      <c r="D2296" t="s">
        <v>28138</v>
      </c>
      <c r="E2296" t="str">
        <f t="shared" si="35"/>
        <v>001390</v>
      </c>
      <c r="F2296" t="s">
        <v>27246</v>
      </c>
      <c r="G2296" t="s">
        <v>27247</v>
      </c>
      <c r="H2296" t="s">
        <v>27248</v>
      </c>
      <c r="I2296" t="s">
        <v>31682</v>
      </c>
      <c r="J2296" t="s">
        <v>4603</v>
      </c>
      <c r="L2296" t="s">
        <v>27250</v>
      </c>
      <c r="M2296" t="s">
        <v>27251</v>
      </c>
      <c r="N2296" t="s">
        <v>27252</v>
      </c>
      <c r="P2296" t="s">
        <v>27925</v>
      </c>
      <c r="Q2296" s="1">
        <v>44538</v>
      </c>
      <c r="R2296" t="s">
        <v>27253</v>
      </c>
      <c r="S2296" t="s">
        <v>27254</v>
      </c>
      <c r="T2296" t="s">
        <v>27255</v>
      </c>
    </row>
    <row r="2297" spans="1:20" x14ac:dyDescent="0.3">
      <c r="A2297" t="str">
        <f>"0611832946100"</f>
        <v>0611832946100</v>
      </c>
      <c r="B2297" t="str">
        <f>"LY0001"</f>
        <v>LY0001</v>
      </c>
      <c r="C2297" t="s">
        <v>31683</v>
      </c>
      <c r="D2297" t="s">
        <v>28138</v>
      </c>
      <c r="E2297" t="str">
        <f t="shared" si="35"/>
        <v>001390</v>
      </c>
      <c r="F2297" t="s">
        <v>27246</v>
      </c>
      <c r="G2297" t="s">
        <v>27247</v>
      </c>
      <c r="H2297" t="s">
        <v>27248</v>
      </c>
      <c r="I2297" t="s">
        <v>31684</v>
      </c>
      <c r="J2297" t="s">
        <v>4605</v>
      </c>
      <c r="L2297" t="s">
        <v>27250</v>
      </c>
      <c r="M2297" t="s">
        <v>27251</v>
      </c>
      <c r="N2297" t="s">
        <v>27252</v>
      </c>
      <c r="P2297" t="s">
        <v>27925</v>
      </c>
      <c r="Q2297" s="1">
        <v>44538</v>
      </c>
      <c r="R2297" t="s">
        <v>27253</v>
      </c>
      <c r="S2297" t="s">
        <v>27254</v>
      </c>
      <c r="T2297" t="s">
        <v>27255</v>
      </c>
    </row>
    <row r="2298" spans="1:20" x14ac:dyDescent="0.3">
      <c r="A2298" t="str">
        <f>"0611832947100"</f>
        <v>0611832947100</v>
      </c>
      <c r="B2298" t="str">
        <f>"LY0015"</f>
        <v>LY0015</v>
      </c>
      <c r="C2298" t="s">
        <v>31685</v>
      </c>
      <c r="D2298" t="s">
        <v>28138</v>
      </c>
      <c r="E2298" t="str">
        <f t="shared" si="35"/>
        <v>001390</v>
      </c>
      <c r="F2298" t="s">
        <v>27246</v>
      </c>
      <c r="G2298" t="s">
        <v>27247</v>
      </c>
      <c r="H2298" t="s">
        <v>27248</v>
      </c>
      <c r="I2298" t="s">
        <v>31686</v>
      </c>
      <c r="J2298" t="s">
        <v>4607</v>
      </c>
      <c r="L2298" t="s">
        <v>27250</v>
      </c>
      <c r="M2298" t="s">
        <v>27251</v>
      </c>
      <c r="N2298" t="s">
        <v>27252</v>
      </c>
      <c r="P2298" t="s">
        <v>27925</v>
      </c>
      <c r="Q2298" s="1">
        <v>44538</v>
      </c>
      <c r="R2298" t="s">
        <v>27253</v>
      </c>
      <c r="S2298" t="s">
        <v>27254</v>
      </c>
      <c r="T2298" t="s">
        <v>27255</v>
      </c>
    </row>
    <row r="2299" spans="1:20" x14ac:dyDescent="0.3">
      <c r="A2299" t="str">
        <f>"0611832948100"</f>
        <v>0611832948100</v>
      </c>
      <c r="B2299" t="str">
        <f>"LY5716"</f>
        <v>LY5716</v>
      </c>
      <c r="C2299" t="s">
        <v>31687</v>
      </c>
      <c r="D2299" t="s">
        <v>28138</v>
      </c>
      <c r="E2299" t="str">
        <f t="shared" si="35"/>
        <v>001390</v>
      </c>
      <c r="F2299" t="s">
        <v>27246</v>
      </c>
      <c r="G2299" t="s">
        <v>27247</v>
      </c>
      <c r="H2299" t="s">
        <v>27248</v>
      </c>
      <c r="I2299" t="s">
        <v>31688</v>
      </c>
      <c r="J2299" t="s">
        <v>4609</v>
      </c>
      <c r="L2299" t="s">
        <v>27250</v>
      </c>
      <c r="M2299" t="s">
        <v>27251</v>
      </c>
      <c r="N2299" t="s">
        <v>27252</v>
      </c>
      <c r="P2299" t="s">
        <v>27925</v>
      </c>
      <c r="Q2299" s="1">
        <v>44538</v>
      </c>
      <c r="R2299" t="s">
        <v>27253</v>
      </c>
      <c r="S2299" t="s">
        <v>27254</v>
      </c>
      <c r="T2299" t="s">
        <v>27255</v>
      </c>
    </row>
    <row r="2300" spans="1:20" x14ac:dyDescent="0.3">
      <c r="A2300" t="str">
        <f>"0611861112050"</f>
        <v>0611861112050</v>
      </c>
      <c r="B2300" t="str">
        <f>"CR4532"</f>
        <v>CR4532</v>
      </c>
      <c r="C2300" t="s">
        <v>31689</v>
      </c>
      <c r="D2300" t="s">
        <v>27271</v>
      </c>
      <c r="E2300" t="str">
        <f t="shared" si="35"/>
        <v>001390</v>
      </c>
      <c r="F2300" t="s">
        <v>27246</v>
      </c>
      <c r="G2300" t="s">
        <v>27247</v>
      </c>
      <c r="H2300" t="s">
        <v>27248</v>
      </c>
      <c r="I2300" t="s">
        <v>31690</v>
      </c>
      <c r="J2300" t="s">
        <v>4611</v>
      </c>
      <c r="L2300" t="s">
        <v>27250</v>
      </c>
      <c r="M2300" t="s">
        <v>27251</v>
      </c>
      <c r="N2300" t="s">
        <v>27252</v>
      </c>
      <c r="P2300" t="s">
        <v>27341</v>
      </c>
      <c r="Q2300" s="1">
        <v>44846</v>
      </c>
      <c r="R2300" t="s">
        <v>27253</v>
      </c>
      <c r="S2300" t="s">
        <v>27254</v>
      </c>
      <c r="T2300" t="s">
        <v>27265</v>
      </c>
    </row>
    <row r="2301" spans="1:20" x14ac:dyDescent="0.3">
      <c r="A2301" t="str">
        <f>"0611861113050"</f>
        <v>0611861113050</v>
      </c>
      <c r="B2301" t="str">
        <f>"CR4533"</f>
        <v>CR4533</v>
      </c>
      <c r="C2301" t="s">
        <v>31691</v>
      </c>
      <c r="D2301" t="s">
        <v>27271</v>
      </c>
      <c r="E2301" t="str">
        <f t="shared" si="35"/>
        <v>001390</v>
      </c>
      <c r="F2301" t="s">
        <v>27246</v>
      </c>
      <c r="G2301" t="s">
        <v>27247</v>
      </c>
      <c r="H2301" t="s">
        <v>27248</v>
      </c>
      <c r="I2301" t="s">
        <v>31692</v>
      </c>
      <c r="J2301" t="s">
        <v>4613</v>
      </c>
      <c r="L2301" t="s">
        <v>27250</v>
      </c>
      <c r="M2301" t="s">
        <v>27251</v>
      </c>
      <c r="N2301" t="s">
        <v>27252</v>
      </c>
      <c r="P2301" t="s">
        <v>27341</v>
      </c>
      <c r="Q2301" s="1">
        <v>44846</v>
      </c>
      <c r="R2301" t="s">
        <v>27253</v>
      </c>
      <c r="S2301" t="s">
        <v>27254</v>
      </c>
      <c r="T2301" t="s">
        <v>27265</v>
      </c>
    </row>
    <row r="2302" spans="1:20" x14ac:dyDescent="0.3">
      <c r="A2302" t="str">
        <f>"0611832949100"</f>
        <v>0611832949100</v>
      </c>
      <c r="B2302" t="str">
        <f>"LY5636"</f>
        <v>LY5636</v>
      </c>
      <c r="C2302" t="s">
        <v>31693</v>
      </c>
      <c r="D2302" t="s">
        <v>28138</v>
      </c>
      <c r="E2302" t="str">
        <f t="shared" si="35"/>
        <v>001390</v>
      </c>
      <c r="F2302" t="s">
        <v>27246</v>
      </c>
      <c r="G2302" t="s">
        <v>27247</v>
      </c>
      <c r="H2302" t="s">
        <v>27248</v>
      </c>
      <c r="I2302" t="s">
        <v>31694</v>
      </c>
      <c r="J2302" t="s">
        <v>4615</v>
      </c>
      <c r="L2302" t="s">
        <v>27250</v>
      </c>
      <c r="M2302" t="s">
        <v>27251</v>
      </c>
      <c r="N2302" t="s">
        <v>27252</v>
      </c>
      <c r="P2302" t="s">
        <v>27925</v>
      </c>
      <c r="Q2302" s="1">
        <v>44538</v>
      </c>
      <c r="R2302" t="s">
        <v>27253</v>
      </c>
      <c r="S2302" t="s">
        <v>27254</v>
      </c>
      <c r="T2302" t="s">
        <v>27255</v>
      </c>
    </row>
    <row r="2303" spans="1:20" x14ac:dyDescent="0.3">
      <c r="A2303" t="str">
        <f>"0611832950100"</f>
        <v>0611832950100</v>
      </c>
      <c r="B2303" t="str">
        <f>"LY5593"</f>
        <v>LY5593</v>
      </c>
      <c r="C2303" t="s">
        <v>31695</v>
      </c>
      <c r="D2303" t="s">
        <v>28138</v>
      </c>
      <c r="E2303" t="str">
        <f t="shared" si="35"/>
        <v>001390</v>
      </c>
      <c r="F2303" t="s">
        <v>27246</v>
      </c>
      <c r="G2303" t="s">
        <v>27247</v>
      </c>
      <c r="H2303" t="s">
        <v>27248</v>
      </c>
      <c r="I2303" t="s">
        <v>31696</v>
      </c>
      <c r="J2303" t="s">
        <v>4617</v>
      </c>
      <c r="L2303" t="s">
        <v>27250</v>
      </c>
      <c r="M2303" t="s">
        <v>27251</v>
      </c>
      <c r="N2303" t="s">
        <v>27252</v>
      </c>
      <c r="P2303" t="s">
        <v>27925</v>
      </c>
      <c r="Q2303" s="1">
        <v>44538</v>
      </c>
      <c r="R2303" t="s">
        <v>27253</v>
      </c>
      <c r="S2303" t="s">
        <v>27254</v>
      </c>
      <c r="T2303" t="s">
        <v>27255</v>
      </c>
    </row>
    <row r="2304" spans="1:20" x14ac:dyDescent="0.3">
      <c r="A2304" t="str">
        <f>"0611832951100"</f>
        <v>0611832951100</v>
      </c>
      <c r="B2304" t="str">
        <f>"LY5699"</f>
        <v>LY5699</v>
      </c>
      <c r="C2304" t="s">
        <v>31697</v>
      </c>
      <c r="D2304" t="s">
        <v>28138</v>
      </c>
      <c r="E2304" t="str">
        <f t="shared" si="35"/>
        <v>001390</v>
      </c>
      <c r="F2304" t="s">
        <v>27246</v>
      </c>
      <c r="G2304" t="s">
        <v>27247</v>
      </c>
      <c r="H2304" t="s">
        <v>27248</v>
      </c>
      <c r="I2304" t="s">
        <v>31698</v>
      </c>
      <c r="J2304" t="s">
        <v>4619</v>
      </c>
      <c r="L2304" t="s">
        <v>27250</v>
      </c>
      <c r="M2304" t="s">
        <v>27251</v>
      </c>
      <c r="N2304" t="s">
        <v>27252</v>
      </c>
      <c r="P2304" t="s">
        <v>27925</v>
      </c>
      <c r="Q2304" s="1">
        <v>44538</v>
      </c>
      <c r="R2304" t="s">
        <v>27253</v>
      </c>
      <c r="S2304" t="s">
        <v>27254</v>
      </c>
      <c r="T2304" t="s">
        <v>27255</v>
      </c>
    </row>
    <row r="2305" spans="1:20" x14ac:dyDescent="0.3">
      <c r="A2305" t="str">
        <f>"0611832952100"</f>
        <v>0611832952100</v>
      </c>
      <c r="B2305" t="str">
        <f>"LH2013"</f>
        <v>LH2013</v>
      </c>
      <c r="C2305" t="s">
        <v>31699</v>
      </c>
      <c r="D2305" t="s">
        <v>27245</v>
      </c>
      <c r="E2305" t="str">
        <f t="shared" si="35"/>
        <v>001390</v>
      </c>
      <c r="F2305" t="s">
        <v>27246</v>
      </c>
      <c r="G2305" t="s">
        <v>27247</v>
      </c>
      <c r="H2305" t="s">
        <v>27248</v>
      </c>
      <c r="I2305" t="s">
        <v>31700</v>
      </c>
      <c r="J2305" t="s">
        <v>4621</v>
      </c>
      <c r="L2305" t="s">
        <v>27250</v>
      </c>
      <c r="M2305" t="s">
        <v>27251</v>
      </c>
      <c r="N2305" t="s">
        <v>27252</v>
      </c>
      <c r="Q2305" s="1">
        <v>44538</v>
      </c>
      <c r="R2305" t="s">
        <v>27253</v>
      </c>
      <c r="S2305" t="s">
        <v>27254</v>
      </c>
      <c r="T2305" t="s">
        <v>27255</v>
      </c>
    </row>
    <row r="2306" spans="1:20" x14ac:dyDescent="0.3">
      <c r="A2306" t="str">
        <f>"0611861114100"</f>
        <v>0611861114100</v>
      </c>
      <c r="B2306" t="str">
        <f>"LK6044"</f>
        <v>LK6044</v>
      </c>
      <c r="C2306" t="s">
        <v>31701</v>
      </c>
      <c r="D2306" t="s">
        <v>27245</v>
      </c>
      <c r="E2306" t="str">
        <f t="shared" ref="E2306:E2369" si="36">"001390"</f>
        <v>001390</v>
      </c>
      <c r="F2306" t="s">
        <v>27246</v>
      </c>
      <c r="G2306" t="s">
        <v>27247</v>
      </c>
      <c r="H2306" t="s">
        <v>27248</v>
      </c>
      <c r="I2306" t="s">
        <v>31702</v>
      </c>
      <c r="J2306" t="s">
        <v>4623</v>
      </c>
      <c r="L2306" t="s">
        <v>27250</v>
      </c>
      <c r="M2306" t="s">
        <v>27251</v>
      </c>
      <c r="N2306" t="s">
        <v>27252</v>
      </c>
      <c r="Q2306" s="1">
        <v>44846</v>
      </c>
      <c r="R2306" t="s">
        <v>27253</v>
      </c>
      <c r="S2306" t="s">
        <v>27254</v>
      </c>
      <c r="T2306" t="s">
        <v>27255</v>
      </c>
    </row>
    <row r="2307" spans="1:20" x14ac:dyDescent="0.3">
      <c r="A2307" t="str">
        <f>"0611832954100"</f>
        <v>0611832954100</v>
      </c>
      <c r="B2307" t="str">
        <f>"LY0002"</f>
        <v>LY0002</v>
      </c>
      <c r="C2307" t="s">
        <v>31703</v>
      </c>
      <c r="D2307" t="s">
        <v>28138</v>
      </c>
      <c r="E2307" t="str">
        <f t="shared" si="36"/>
        <v>001390</v>
      </c>
      <c r="F2307" t="s">
        <v>27246</v>
      </c>
      <c r="G2307" t="s">
        <v>27247</v>
      </c>
      <c r="H2307" t="s">
        <v>27248</v>
      </c>
      <c r="I2307" t="s">
        <v>31704</v>
      </c>
      <c r="J2307" t="s">
        <v>4625</v>
      </c>
      <c r="L2307" t="s">
        <v>27250</v>
      </c>
      <c r="M2307" t="s">
        <v>27251</v>
      </c>
      <c r="N2307" t="s">
        <v>27252</v>
      </c>
      <c r="P2307" t="s">
        <v>27925</v>
      </c>
      <c r="Q2307" s="1">
        <v>44538</v>
      </c>
      <c r="R2307" t="s">
        <v>27253</v>
      </c>
      <c r="S2307" t="s">
        <v>27254</v>
      </c>
      <c r="T2307" t="s">
        <v>27255</v>
      </c>
    </row>
    <row r="2308" spans="1:20" x14ac:dyDescent="0.3">
      <c r="A2308" t="str">
        <f>"0611861115050"</f>
        <v>0611861115050</v>
      </c>
      <c r="B2308" t="str">
        <f>"CR4881"</f>
        <v>CR4881</v>
      </c>
      <c r="C2308" t="s">
        <v>31705</v>
      </c>
      <c r="D2308" t="s">
        <v>27271</v>
      </c>
      <c r="E2308" t="str">
        <f t="shared" si="36"/>
        <v>001390</v>
      </c>
      <c r="F2308" t="s">
        <v>27246</v>
      </c>
      <c r="G2308" t="s">
        <v>27247</v>
      </c>
      <c r="H2308" t="s">
        <v>27248</v>
      </c>
      <c r="I2308" t="s">
        <v>31706</v>
      </c>
      <c r="J2308" t="s">
        <v>4627</v>
      </c>
      <c r="L2308" t="s">
        <v>27250</v>
      </c>
      <c r="M2308" t="s">
        <v>27251</v>
      </c>
      <c r="N2308" t="s">
        <v>27252</v>
      </c>
      <c r="P2308" t="s">
        <v>27341</v>
      </c>
      <c r="Q2308" s="1">
        <v>44846</v>
      </c>
      <c r="R2308" t="s">
        <v>27253</v>
      </c>
      <c r="S2308" t="s">
        <v>27254</v>
      </c>
      <c r="T2308" t="s">
        <v>27265</v>
      </c>
    </row>
    <row r="2309" spans="1:20" x14ac:dyDescent="0.3">
      <c r="A2309" t="str">
        <f>"0611861116050"</f>
        <v>0611861116050</v>
      </c>
      <c r="B2309" t="str">
        <f>"CR4880"</f>
        <v>CR4880</v>
      </c>
      <c r="C2309" t="s">
        <v>31707</v>
      </c>
      <c r="D2309" t="s">
        <v>27271</v>
      </c>
      <c r="E2309" t="str">
        <f t="shared" si="36"/>
        <v>001390</v>
      </c>
      <c r="F2309" t="s">
        <v>27246</v>
      </c>
      <c r="G2309" t="s">
        <v>27247</v>
      </c>
      <c r="H2309" t="s">
        <v>27248</v>
      </c>
      <c r="I2309" t="s">
        <v>31708</v>
      </c>
      <c r="J2309" t="s">
        <v>4629</v>
      </c>
      <c r="L2309" t="s">
        <v>27250</v>
      </c>
      <c r="M2309" t="s">
        <v>27251</v>
      </c>
      <c r="N2309" t="s">
        <v>27252</v>
      </c>
      <c r="P2309" t="s">
        <v>27341</v>
      </c>
      <c r="Q2309" s="1">
        <v>44846</v>
      </c>
      <c r="R2309" t="s">
        <v>27253</v>
      </c>
      <c r="S2309" t="s">
        <v>27254</v>
      </c>
      <c r="T2309" t="s">
        <v>27265</v>
      </c>
    </row>
    <row r="2310" spans="1:20" x14ac:dyDescent="0.3">
      <c r="A2310" t="str">
        <f>"0611861117050"</f>
        <v>0611861117050</v>
      </c>
      <c r="B2310" t="str">
        <f>"CR4534"</f>
        <v>CR4534</v>
      </c>
      <c r="C2310" t="s">
        <v>31709</v>
      </c>
      <c r="D2310" t="s">
        <v>27271</v>
      </c>
      <c r="E2310" t="str">
        <f t="shared" si="36"/>
        <v>001390</v>
      </c>
      <c r="F2310" t="s">
        <v>27246</v>
      </c>
      <c r="G2310" t="s">
        <v>27247</v>
      </c>
      <c r="H2310" t="s">
        <v>27248</v>
      </c>
      <c r="I2310" t="s">
        <v>31710</v>
      </c>
      <c r="J2310" t="s">
        <v>4631</v>
      </c>
      <c r="L2310" t="s">
        <v>27250</v>
      </c>
      <c r="M2310" t="s">
        <v>27251</v>
      </c>
      <c r="N2310" t="s">
        <v>27252</v>
      </c>
      <c r="P2310" t="s">
        <v>27341</v>
      </c>
      <c r="Q2310" s="1">
        <v>44846</v>
      </c>
      <c r="R2310" t="s">
        <v>27253</v>
      </c>
      <c r="S2310" t="s">
        <v>27254</v>
      </c>
      <c r="T2310" t="s">
        <v>27265</v>
      </c>
    </row>
    <row r="2311" spans="1:20" x14ac:dyDescent="0.3">
      <c r="A2311" t="str">
        <f>"0611861118050"</f>
        <v>0611861118050</v>
      </c>
      <c r="B2311" t="str">
        <f>"CR4535"</f>
        <v>CR4535</v>
      </c>
      <c r="C2311" t="s">
        <v>31711</v>
      </c>
      <c r="D2311" t="s">
        <v>27271</v>
      </c>
      <c r="E2311" t="str">
        <f t="shared" si="36"/>
        <v>001390</v>
      </c>
      <c r="F2311" t="s">
        <v>27246</v>
      </c>
      <c r="G2311" t="s">
        <v>27247</v>
      </c>
      <c r="H2311" t="s">
        <v>27248</v>
      </c>
      <c r="I2311" t="s">
        <v>31712</v>
      </c>
      <c r="J2311" t="s">
        <v>4633</v>
      </c>
      <c r="L2311" t="s">
        <v>27250</v>
      </c>
      <c r="M2311" t="s">
        <v>27251</v>
      </c>
      <c r="N2311" t="s">
        <v>27252</v>
      </c>
      <c r="P2311" t="s">
        <v>27341</v>
      </c>
      <c r="Q2311" s="1">
        <v>44846</v>
      </c>
      <c r="R2311" t="s">
        <v>27253</v>
      </c>
      <c r="S2311" t="s">
        <v>27254</v>
      </c>
      <c r="T2311" t="s">
        <v>27265</v>
      </c>
    </row>
    <row r="2312" spans="1:20" x14ac:dyDescent="0.3">
      <c r="A2312" t="str">
        <f>"0611861119050"</f>
        <v>0611861119050</v>
      </c>
      <c r="B2312" t="str">
        <f>"CR4536"</f>
        <v>CR4536</v>
      </c>
      <c r="C2312" t="s">
        <v>31713</v>
      </c>
      <c r="D2312" t="s">
        <v>27271</v>
      </c>
      <c r="E2312" t="str">
        <f t="shared" si="36"/>
        <v>001390</v>
      </c>
      <c r="F2312" t="s">
        <v>27246</v>
      </c>
      <c r="G2312" t="s">
        <v>27247</v>
      </c>
      <c r="H2312" t="s">
        <v>27248</v>
      </c>
      <c r="I2312" t="s">
        <v>31714</v>
      </c>
      <c r="J2312" t="s">
        <v>4635</v>
      </c>
      <c r="L2312" t="s">
        <v>27250</v>
      </c>
      <c r="M2312" t="s">
        <v>27251</v>
      </c>
      <c r="N2312" t="s">
        <v>27252</v>
      </c>
      <c r="P2312" t="s">
        <v>27341</v>
      </c>
      <c r="Q2312" s="1">
        <v>44846</v>
      </c>
      <c r="R2312" t="s">
        <v>27253</v>
      </c>
      <c r="S2312" t="s">
        <v>27254</v>
      </c>
      <c r="T2312" t="s">
        <v>27265</v>
      </c>
    </row>
    <row r="2313" spans="1:20" x14ac:dyDescent="0.3">
      <c r="A2313" t="str">
        <f>"0611861120050"</f>
        <v>0611861120050</v>
      </c>
      <c r="B2313" t="str">
        <f>"CR4883"</f>
        <v>CR4883</v>
      </c>
      <c r="C2313" t="s">
        <v>31715</v>
      </c>
      <c r="D2313" t="s">
        <v>27271</v>
      </c>
      <c r="E2313" t="str">
        <f t="shared" si="36"/>
        <v>001390</v>
      </c>
      <c r="F2313" t="s">
        <v>27246</v>
      </c>
      <c r="G2313" t="s">
        <v>27247</v>
      </c>
      <c r="H2313" t="s">
        <v>27248</v>
      </c>
      <c r="I2313" t="s">
        <v>31716</v>
      </c>
      <c r="J2313" t="s">
        <v>4637</v>
      </c>
      <c r="L2313" t="s">
        <v>27250</v>
      </c>
      <c r="M2313" t="s">
        <v>27251</v>
      </c>
      <c r="N2313" t="s">
        <v>27252</v>
      </c>
      <c r="P2313" t="s">
        <v>27341</v>
      </c>
      <c r="Q2313" s="1">
        <v>44846</v>
      </c>
      <c r="R2313" t="s">
        <v>27253</v>
      </c>
      <c r="S2313" t="s">
        <v>27254</v>
      </c>
      <c r="T2313" t="s">
        <v>27265</v>
      </c>
    </row>
    <row r="2314" spans="1:20" x14ac:dyDescent="0.3">
      <c r="A2314" t="str">
        <f>"0611861121050"</f>
        <v>0611861121050</v>
      </c>
      <c r="B2314" t="str">
        <f>"CR4537"</f>
        <v>CR4537</v>
      </c>
      <c r="C2314" t="s">
        <v>31717</v>
      </c>
      <c r="D2314" t="s">
        <v>27271</v>
      </c>
      <c r="E2314" t="str">
        <f t="shared" si="36"/>
        <v>001390</v>
      </c>
      <c r="F2314" t="s">
        <v>27246</v>
      </c>
      <c r="G2314" t="s">
        <v>27247</v>
      </c>
      <c r="H2314" t="s">
        <v>27248</v>
      </c>
      <c r="I2314" t="s">
        <v>31718</v>
      </c>
      <c r="J2314" t="s">
        <v>4639</v>
      </c>
      <c r="L2314" t="s">
        <v>27250</v>
      </c>
      <c r="M2314" t="s">
        <v>27251</v>
      </c>
      <c r="N2314" t="s">
        <v>27252</v>
      </c>
      <c r="P2314" t="s">
        <v>27341</v>
      </c>
      <c r="Q2314" s="1">
        <v>44846</v>
      </c>
      <c r="R2314" t="s">
        <v>27253</v>
      </c>
      <c r="S2314" t="s">
        <v>27254</v>
      </c>
      <c r="T2314" t="s">
        <v>27265</v>
      </c>
    </row>
    <row r="2315" spans="1:20" x14ac:dyDescent="0.3">
      <c r="A2315" t="str">
        <f>"0611832955100"</f>
        <v>0611832955100</v>
      </c>
      <c r="B2315" t="str">
        <f>"LY5692"</f>
        <v>LY5692</v>
      </c>
      <c r="C2315" t="s">
        <v>31719</v>
      </c>
      <c r="D2315" t="s">
        <v>28138</v>
      </c>
      <c r="E2315" t="str">
        <f t="shared" si="36"/>
        <v>001390</v>
      </c>
      <c r="F2315" t="s">
        <v>27246</v>
      </c>
      <c r="G2315" t="s">
        <v>27247</v>
      </c>
      <c r="H2315" t="s">
        <v>27248</v>
      </c>
      <c r="I2315" t="s">
        <v>31720</v>
      </c>
      <c r="J2315" t="s">
        <v>4641</v>
      </c>
      <c r="L2315" t="s">
        <v>27250</v>
      </c>
      <c r="M2315" t="s">
        <v>27251</v>
      </c>
      <c r="N2315" t="s">
        <v>27252</v>
      </c>
      <c r="P2315" t="s">
        <v>27925</v>
      </c>
      <c r="Q2315" s="1">
        <v>44538</v>
      </c>
      <c r="R2315" t="s">
        <v>27253</v>
      </c>
      <c r="S2315" t="s">
        <v>27254</v>
      </c>
      <c r="T2315" t="s">
        <v>27255</v>
      </c>
    </row>
    <row r="2316" spans="1:20" x14ac:dyDescent="0.3">
      <c r="A2316" t="str">
        <f>"0611832956100"</f>
        <v>0611832956100</v>
      </c>
      <c r="B2316" t="str">
        <f>"LY5693"</f>
        <v>LY5693</v>
      </c>
      <c r="C2316" t="s">
        <v>31721</v>
      </c>
      <c r="D2316" t="s">
        <v>28138</v>
      </c>
      <c r="E2316" t="str">
        <f t="shared" si="36"/>
        <v>001390</v>
      </c>
      <c r="F2316" t="s">
        <v>27246</v>
      </c>
      <c r="G2316" t="s">
        <v>27247</v>
      </c>
      <c r="H2316" t="s">
        <v>27248</v>
      </c>
      <c r="I2316" t="s">
        <v>31722</v>
      </c>
      <c r="J2316" t="s">
        <v>4643</v>
      </c>
      <c r="L2316" t="s">
        <v>27250</v>
      </c>
      <c r="M2316" t="s">
        <v>27251</v>
      </c>
      <c r="N2316" t="s">
        <v>27252</v>
      </c>
      <c r="P2316" t="s">
        <v>27925</v>
      </c>
      <c r="Q2316" s="1">
        <v>44538</v>
      </c>
      <c r="R2316" t="s">
        <v>27253</v>
      </c>
      <c r="S2316" t="s">
        <v>27254</v>
      </c>
      <c r="T2316" t="s">
        <v>27255</v>
      </c>
    </row>
    <row r="2317" spans="1:20" x14ac:dyDescent="0.3">
      <c r="A2317" t="str">
        <f>"0611832957100"</f>
        <v>0611832957100</v>
      </c>
      <c r="B2317" t="str">
        <f>"LY5694"</f>
        <v>LY5694</v>
      </c>
      <c r="C2317" t="s">
        <v>31723</v>
      </c>
      <c r="D2317" t="s">
        <v>28138</v>
      </c>
      <c r="E2317" t="str">
        <f t="shared" si="36"/>
        <v>001390</v>
      </c>
      <c r="F2317" t="s">
        <v>27246</v>
      </c>
      <c r="G2317" t="s">
        <v>27247</v>
      </c>
      <c r="H2317" t="s">
        <v>27248</v>
      </c>
      <c r="I2317" t="s">
        <v>31724</v>
      </c>
      <c r="J2317" t="s">
        <v>4645</v>
      </c>
      <c r="L2317" t="s">
        <v>27250</v>
      </c>
      <c r="M2317" t="s">
        <v>27251</v>
      </c>
      <c r="N2317" t="s">
        <v>27252</v>
      </c>
      <c r="P2317" t="s">
        <v>27925</v>
      </c>
      <c r="Q2317" s="1">
        <v>44538</v>
      </c>
      <c r="R2317" t="s">
        <v>27253</v>
      </c>
      <c r="S2317" t="s">
        <v>27254</v>
      </c>
      <c r="T2317" t="s">
        <v>27255</v>
      </c>
    </row>
    <row r="2318" spans="1:20" x14ac:dyDescent="0.3">
      <c r="A2318" t="str">
        <f>"0611832958100"</f>
        <v>0611832958100</v>
      </c>
      <c r="B2318" t="str">
        <f>"LY5695"</f>
        <v>LY5695</v>
      </c>
      <c r="C2318" t="s">
        <v>31725</v>
      </c>
      <c r="D2318" t="s">
        <v>28138</v>
      </c>
      <c r="E2318" t="str">
        <f t="shared" si="36"/>
        <v>001390</v>
      </c>
      <c r="F2318" t="s">
        <v>27246</v>
      </c>
      <c r="G2318" t="s">
        <v>27247</v>
      </c>
      <c r="H2318" t="s">
        <v>27248</v>
      </c>
      <c r="I2318" t="s">
        <v>31726</v>
      </c>
      <c r="J2318" t="s">
        <v>4647</v>
      </c>
      <c r="L2318" t="s">
        <v>27250</v>
      </c>
      <c r="M2318" t="s">
        <v>27251</v>
      </c>
      <c r="N2318" t="s">
        <v>27252</v>
      </c>
      <c r="P2318" t="s">
        <v>27925</v>
      </c>
      <c r="Q2318" s="1">
        <v>44538</v>
      </c>
      <c r="R2318" t="s">
        <v>27253</v>
      </c>
      <c r="S2318" t="s">
        <v>27254</v>
      </c>
      <c r="T2318" t="s">
        <v>27255</v>
      </c>
    </row>
    <row r="2319" spans="1:20" x14ac:dyDescent="0.3">
      <c r="A2319" t="str">
        <f>"0611861123050"</f>
        <v>0611861123050</v>
      </c>
      <c r="B2319" t="str">
        <f>"CR4538"</f>
        <v>CR4538</v>
      </c>
      <c r="C2319" t="s">
        <v>31727</v>
      </c>
      <c r="D2319" t="s">
        <v>27271</v>
      </c>
      <c r="E2319" t="str">
        <f t="shared" si="36"/>
        <v>001390</v>
      </c>
      <c r="F2319" t="s">
        <v>27246</v>
      </c>
      <c r="G2319" t="s">
        <v>27247</v>
      </c>
      <c r="H2319" t="s">
        <v>27248</v>
      </c>
      <c r="I2319" t="s">
        <v>31728</v>
      </c>
      <c r="J2319" t="s">
        <v>4649</v>
      </c>
      <c r="L2319" t="s">
        <v>27250</v>
      </c>
      <c r="M2319" t="s">
        <v>27251</v>
      </c>
      <c r="N2319" t="s">
        <v>27252</v>
      </c>
      <c r="P2319" t="s">
        <v>27341</v>
      </c>
      <c r="Q2319" s="1">
        <v>44846</v>
      </c>
      <c r="R2319" t="s">
        <v>27253</v>
      </c>
      <c r="S2319" t="s">
        <v>27254</v>
      </c>
      <c r="T2319" t="s">
        <v>27265</v>
      </c>
    </row>
    <row r="2320" spans="1:20" x14ac:dyDescent="0.3">
      <c r="A2320" t="str">
        <f>"0611861124050"</f>
        <v>0611861124050</v>
      </c>
      <c r="B2320" t="str">
        <f>"CR4539"</f>
        <v>CR4539</v>
      </c>
      <c r="C2320" t="s">
        <v>31729</v>
      </c>
      <c r="D2320" t="s">
        <v>27271</v>
      </c>
      <c r="E2320" t="str">
        <f t="shared" si="36"/>
        <v>001390</v>
      </c>
      <c r="F2320" t="s">
        <v>27246</v>
      </c>
      <c r="G2320" t="s">
        <v>27247</v>
      </c>
      <c r="H2320" t="s">
        <v>27248</v>
      </c>
      <c r="I2320" t="s">
        <v>31730</v>
      </c>
      <c r="J2320" t="s">
        <v>4651</v>
      </c>
      <c r="L2320" t="s">
        <v>27250</v>
      </c>
      <c r="M2320" t="s">
        <v>27251</v>
      </c>
      <c r="N2320" t="s">
        <v>27252</v>
      </c>
      <c r="P2320" t="s">
        <v>27341</v>
      </c>
      <c r="Q2320" s="1">
        <v>44846</v>
      </c>
      <c r="R2320" t="s">
        <v>27253</v>
      </c>
      <c r="S2320" t="s">
        <v>27254</v>
      </c>
      <c r="T2320" t="s">
        <v>27265</v>
      </c>
    </row>
    <row r="2321" spans="1:20" x14ac:dyDescent="0.3">
      <c r="A2321" t="str">
        <f>"0611832959100"</f>
        <v>0611832959100</v>
      </c>
      <c r="B2321" t="str">
        <f>"LY5661"</f>
        <v>LY5661</v>
      </c>
      <c r="C2321" t="s">
        <v>31731</v>
      </c>
      <c r="D2321" t="s">
        <v>28138</v>
      </c>
      <c r="E2321" t="str">
        <f t="shared" si="36"/>
        <v>001390</v>
      </c>
      <c r="F2321" t="s">
        <v>27246</v>
      </c>
      <c r="G2321" t="s">
        <v>27247</v>
      </c>
      <c r="H2321" t="s">
        <v>27248</v>
      </c>
      <c r="I2321" t="s">
        <v>31732</v>
      </c>
      <c r="J2321" t="s">
        <v>4653</v>
      </c>
      <c r="L2321" t="s">
        <v>27250</v>
      </c>
      <c r="M2321" t="s">
        <v>27251</v>
      </c>
      <c r="N2321" t="s">
        <v>27252</v>
      </c>
      <c r="P2321" t="s">
        <v>27925</v>
      </c>
      <c r="Q2321" s="1">
        <v>44538</v>
      </c>
      <c r="R2321" t="s">
        <v>27253</v>
      </c>
      <c r="S2321" t="s">
        <v>27254</v>
      </c>
      <c r="T2321" t="s">
        <v>27255</v>
      </c>
    </row>
    <row r="2322" spans="1:20" x14ac:dyDescent="0.3">
      <c r="A2322" t="str">
        <f>"0611832960100"</f>
        <v>0611832960100</v>
      </c>
      <c r="B2322" t="str">
        <f>"LY5594"</f>
        <v>LY5594</v>
      </c>
      <c r="C2322" t="s">
        <v>31733</v>
      </c>
      <c r="D2322" t="s">
        <v>28138</v>
      </c>
      <c r="E2322" t="str">
        <f t="shared" si="36"/>
        <v>001390</v>
      </c>
      <c r="F2322" t="s">
        <v>27246</v>
      </c>
      <c r="G2322" t="s">
        <v>27247</v>
      </c>
      <c r="H2322" t="s">
        <v>27248</v>
      </c>
      <c r="I2322" t="s">
        <v>31734</v>
      </c>
      <c r="J2322" t="s">
        <v>4655</v>
      </c>
      <c r="L2322" t="s">
        <v>27250</v>
      </c>
      <c r="M2322" t="s">
        <v>27251</v>
      </c>
      <c r="N2322" t="s">
        <v>27252</v>
      </c>
      <c r="P2322" t="s">
        <v>27925</v>
      </c>
      <c r="Q2322" s="1">
        <v>44538</v>
      </c>
      <c r="R2322" t="s">
        <v>27253</v>
      </c>
      <c r="S2322" t="s">
        <v>27254</v>
      </c>
      <c r="T2322" t="s">
        <v>27255</v>
      </c>
    </row>
    <row r="2323" spans="1:20" x14ac:dyDescent="0.3">
      <c r="A2323" t="str">
        <f>"0611832964100"</f>
        <v>0611832964100</v>
      </c>
      <c r="B2323" t="str">
        <f>"LY5641"</f>
        <v>LY5641</v>
      </c>
      <c r="C2323" t="s">
        <v>31735</v>
      </c>
      <c r="D2323" t="s">
        <v>28138</v>
      </c>
      <c r="E2323" t="str">
        <f t="shared" si="36"/>
        <v>001390</v>
      </c>
      <c r="F2323" t="s">
        <v>27246</v>
      </c>
      <c r="G2323" t="s">
        <v>27247</v>
      </c>
      <c r="H2323" t="s">
        <v>27248</v>
      </c>
      <c r="I2323" t="s">
        <v>31736</v>
      </c>
      <c r="J2323" t="s">
        <v>4663</v>
      </c>
      <c r="L2323" t="s">
        <v>27250</v>
      </c>
      <c r="M2323" t="s">
        <v>27251</v>
      </c>
      <c r="N2323" t="s">
        <v>27252</v>
      </c>
      <c r="P2323" t="s">
        <v>27925</v>
      </c>
      <c r="Q2323" s="1">
        <v>44538</v>
      </c>
      <c r="R2323" t="s">
        <v>27253</v>
      </c>
      <c r="S2323" t="s">
        <v>27254</v>
      </c>
      <c r="T2323" t="s">
        <v>27255</v>
      </c>
    </row>
    <row r="2324" spans="1:20" x14ac:dyDescent="0.3">
      <c r="A2324" t="str">
        <f>"0611832962100"</f>
        <v>0611832962100</v>
      </c>
      <c r="B2324" t="str">
        <f>"LY0872"</f>
        <v>LY0872</v>
      </c>
      <c r="C2324" t="s">
        <v>31737</v>
      </c>
      <c r="D2324" t="s">
        <v>28138</v>
      </c>
      <c r="E2324" t="str">
        <f t="shared" si="36"/>
        <v>001390</v>
      </c>
      <c r="F2324" t="s">
        <v>27246</v>
      </c>
      <c r="G2324" t="s">
        <v>27247</v>
      </c>
      <c r="H2324" t="s">
        <v>27248</v>
      </c>
      <c r="I2324" t="s">
        <v>31738</v>
      </c>
      <c r="J2324" t="s">
        <v>4659</v>
      </c>
      <c r="L2324" t="s">
        <v>27250</v>
      </c>
      <c r="M2324" t="s">
        <v>27251</v>
      </c>
      <c r="N2324" t="s">
        <v>27252</v>
      </c>
      <c r="P2324" t="s">
        <v>27925</v>
      </c>
      <c r="Q2324" s="1">
        <v>44538</v>
      </c>
      <c r="R2324" t="s">
        <v>27253</v>
      </c>
      <c r="S2324" t="s">
        <v>27254</v>
      </c>
      <c r="T2324" t="s">
        <v>27255</v>
      </c>
    </row>
    <row r="2325" spans="1:20" x14ac:dyDescent="0.3">
      <c r="A2325" t="str">
        <f>"0611832963100"</f>
        <v>0611832963100</v>
      </c>
      <c r="B2325" t="str">
        <f>"LY3958"</f>
        <v>LY3958</v>
      </c>
      <c r="C2325" t="s">
        <v>31739</v>
      </c>
      <c r="D2325" t="s">
        <v>28138</v>
      </c>
      <c r="E2325" t="str">
        <f t="shared" si="36"/>
        <v>001390</v>
      </c>
      <c r="F2325" t="s">
        <v>27246</v>
      </c>
      <c r="G2325" t="s">
        <v>27247</v>
      </c>
      <c r="H2325" t="s">
        <v>27248</v>
      </c>
      <c r="I2325" t="s">
        <v>31740</v>
      </c>
      <c r="J2325" t="s">
        <v>4661</v>
      </c>
      <c r="L2325" t="s">
        <v>27250</v>
      </c>
      <c r="M2325" t="s">
        <v>27251</v>
      </c>
      <c r="N2325" t="s">
        <v>27252</v>
      </c>
      <c r="P2325" t="s">
        <v>27925</v>
      </c>
      <c r="Q2325" s="1">
        <v>44538</v>
      </c>
      <c r="R2325" t="s">
        <v>27253</v>
      </c>
      <c r="S2325" t="s">
        <v>27254</v>
      </c>
      <c r="T2325" t="s">
        <v>27255</v>
      </c>
    </row>
    <row r="2326" spans="1:20" x14ac:dyDescent="0.3">
      <c r="A2326" t="str">
        <f>"0611832965100"</f>
        <v>0611832965100</v>
      </c>
      <c r="B2326" t="str">
        <f>"LY5645"</f>
        <v>LY5645</v>
      </c>
      <c r="C2326" t="s">
        <v>31741</v>
      </c>
      <c r="D2326" t="s">
        <v>28138</v>
      </c>
      <c r="E2326" t="str">
        <f t="shared" si="36"/>
        <v>001390</v>
      </c>
      <c r="F2326" t="s">
        <v>27246</v>
      </c>
      <c r="G2326" t="s">
        <v>27247</v>
      </c>
      <c r="H2326" t="s">
        <v>27248</v>
      </c>
      <c r="I2326" t="s">
        <v>31742</v>
      </c>
      <c r="J2326" t="s">
        <v>4665</v>
      </c>
      <c r="L2326" t="s">
        <v>27250</v>
      </c>
      <c r="M2326" t="s">
        <v>27251</v>
      </c>
      <c r="N2326" t="s">
        <v>27252</v>
      </c>
      <c r="P2326" t="s">
        <v>27925</v>
      </c>
      <c r="Q2326" s="1">
        <v>44538</v>
      </c>
      <c r="R2326" t="s">
        <v>27253</v>
      </c>
      <c r="S2326" t="s">
        <v>27254</v>
      </c>
      <c r="T2326" t="s">
        <v>27255</v>
      </c>
    </row>
    <row r="2327" spans="1:20" x14ac:dyDescent="0.3">
      <c r="A2327" t="str">
        <f>"0611832961100"</f>
        <v>0611832961100</v>
      </c>
      <c r="B2327" t="str">
        <f>"LY4512"</f>
        <v>LY4512</v>
      </c>
      <c r="C2327" t="s">
        <v>31743</v>
      </c>
      <c r="D2327" t="s">
        <v>28138</v>
      </c>
      <c r="E2327" t="str">
        <f t="shared" si="36"/>
        <v>001390</v>
      </c>
      <c r="F2327" t="s">
        <v>27246</v>
      </c>
      <c r="G2327" t="s">
        <v>27247</v>
      </c>
      <c r="H2327" t="s">
        <v>27248</v>
      </c>
      <c r="I2327" t="s">
        <v>31744</v>
      </c>
      <c r="J2327" t="s">
        <v>4657</v>
      </c>
      <c r="L2327" t="s">
        <v>27250</v>
      </c>
      <c r="M2327" t="s">
        <v>27251</v>
      </c>
      <c r="N2327" t="s">
        <v>27252</v>
      </c>
      <c r="P2327" t="s">
        <v>27925</v>
      </c>
      <c r="Q2327" s="1">
        <v>44538</v>
      </c>
      <c r="R2327" t="s">
        <v>27253</v>
      </c>
      <c r="S2327" t="s">
        <v>27254</v>
      </c>
      <c r="T2327" t="s">
        <v>27255</v>
      </c>
    </row>
    <row r="2328" spans="1:20" x14ac:dyDescent="0.3">
      <c r="A2328" t="str">
        <f>"0611861125050"</f>
        <v>0611861125050</v>
      </c>
      <c r="B2328" t="str">
        <f>"CR3430"</f>
        <v>CR3430</v>
      </c>
      <c r="C2328" t="s">
        <v>31745</v>
      </c>
      <c r="D2328" t="s">
        <v>27271</v>
      </c>
      <c r="E2328" t="str">
        <f t="shared" si="36"/>
        <v>001390</v>
      </c>
      <c r="F2328" t="s">
        <v>27246</v>
      </c>
      <c r="G2328" t="s">
        <v>27247</v>
      </c>
      <c r="H2328" t="s">
        <v>27248</v>
      </c>
      <c r="I2328" t="s">
        <v>31746</v>
      </c>
      <c r="J2328" t="s">
        <v>4667</v>
      </c>
      <c r="L2328" t="s">
        <v>27250</v>
      </c>
      <c r="M2328" t="s">
        <v>27251</v>
      </c>
      <c r="N2328" t="s">
        <v>27252</v>
      </c>
      <c r="P2328" t="s">
        <v>27341</v>
      </c>
      <c r="Q2328" s="1">
        <v>44846</v>
      </c>
      <c r="R2328" t="s">
        <v>27253</v>
      </c>
      <c r="S2328" t="s">
        <v>27254</v>
      </c>
      <c r="T2328" t="s">
        <v>27265</v>
      </c>
    </row>
    <row r="2329" spans="1:20" x14ac:dyDescent="0.3">
      <c r="A2329" t="str">
        <f>"0611832966100"</f>
        <v>0611832966100</v>
      </c>
      <c r="B2329" t="str">
        <f>"LY0016"</f>
        <v>LY0016</v>
      </c>
      <c r="C2329" t="s">
        <v>31747</v>
      </c>
      <c r="D2329" t="s">
        <v>28138</v>
      </c>
      <c r="E2329" t="str">
        <f t="shared" si="36"/>
        <v>001390</v>
      </c>
      <c r="F2329" t="s">
        <v>27246</v>
      </c>
      <c r="G2329" t="s">
        <v>27247</v>
      </c>
      <c r="H2329" t="s">
        <v>27248</v>
      </c>
      <c r="I2329" t="s">
        <v>31748</v>
      </c>
      <c r="J2329" t="s">
        <v>4669</v>
      </c>
      <c r="L2329" t="s">
        <v>27250</v>
      </c>
      <c r="M2329" t="s">
        <v>27251</v>
      </c>
      <c r="N2329" t="s">
        <v>27252</v>
      </c>
      <c r="P2329" t="s">
        <v>27925</v>
      </c>
      <c r="Q2329" s="1">
        <v>44538</v>
      </c>
      <c r="R2329" t="s">
        <v>27253</v>
      </c>
      <c r="S2329" t="s">
        <v>27254</v>
      </c>
      <c r="T2329" t="s">
        <v>27255</v>
      </c>
    </row>
    <row r="2330" spans="1:20" x14ac:dyDescent="0.3">
      <c r="A2330" t="str">
        <f>"0611832967100"</f>
        <v>0611832967100</v>
      </c>
      <c r="B2330" t="str">
        <f>"LY5717"</f>
        <v>LY5717</v>
      </c>
      <c r="C2330" t="s">
        <v>31749</v>
      </c>
      <c r="D2330" t="s">
        <v>28138</v>
      </c>
      <c r="E2330" t="str">
        <f t="shared" si="36"/>
        <v>001390</v>
      </c>
      <c r="F2330" t="s">
        <v>27246</v>
      </c>
      <c r="G2330" t="s">
        <v>27247</v>
      </c>
      <c r="H2330" t="s">
        <v>27248</v>
      </c>
      <c r="I2330" t="s">
        <v>31750</v>
      </c>
      <c r="J2330" t="s">
        <v>4671</v>
      </c>
      <c r="L2330" t="s">
        <v>27250</v>
      </c>
      <c r="M2330" t="s">
        <v>27251</v>
      </c>
      <c r="N2330" t="s">
        <v>27252</v>
      </c>
      <c r="P2330" t="s">
        <v>27925</v>
      </c>
      <c r="Q2330" s="1">
        <v>44538</v>
      </c>
      <c r="R2330" t="s">
        <v>27253</v>
      </c>
      <c r="S2330" t="s">
        <v>27254</v>
      </c>
      <c r="T2330" t="s">
        <v>27255</v>
      </c>
    </row>
    <row r="2331" spans="1:20" x14ac:dyDescent="0.3">
      <c r="A2331" t="str">
        <f>"0611832968100"</f>
        <v>0611832968100</v>
      </c>
      <c r="B2331" t="str">
        <f>"LB1848"</f>
        <v>LB1848</v>
      </c>
      <c r="C2331" t="s">
        <v>31751</v>
      </c>
      <c r="D2331" t="s">
        <v>27245</v>
      </c>
      <c r="E2331" t="str">
        <f t="shared" si="36"/>
        <v>001390</v>
      </c>
      <c r="F2331" t="s">
        <v>27246</v>
      </c>
      <c r="G2331" t="s">
        <v>27247</v>
      </c>
      <c r="H2331" t="s">
        <v>27248</v>
      </c>
      <c r="I2331" t="s">
        <v>31752</v>
      </c>
      <c r="J2331" t="s">
        <v>4673</v>
      </c>
      <c r="L2331" t="s">
        <v>27250</v>
      </c>
      <c r="M2331" t="s">
        <v>27251</v>
      </c>
      <c r="N2331" t="s">
        <v>27252</v>
      </c>
      <c r="Q2331" s="1">
        <v>44538</v>
      </c>
      <c r="R2331" t="s">
        <v>27253</v>
      </c>
      <c r="S2331" t="s">
        <v>27254</v>
      </c>
      <c r="T2331" t="s">
        <v>27255</v>
      </c>
    </row>
    <row r="2332" spans="1:20" x14ac:dyDescent="0.3">
      <c r="A2332" t="str">
        <f>"0611861126050"</f>
        <v>0611861126050</v>
      </c>
      <c r="B2332" t="str">
        <f>"CR4541"</f>
        <v>CR4541</v>
      </c>
      <c r="C2332" t="s">
        <v>31753</v>
      </c>
      <c r="D2332" t="s">
        <v>27271</v>
      </c>
      <c r="E2332" t="str">
        <f t="shared" si="36"/>
        <v>001390</v>
      </c>
      <c r="F2332" t="s">
        <v>27246</v>
      </c>
      <c r="G2332" t="s">
        <v>27247</v>
      </c>
      <c r="H2332" t="s">
        <v>27248</v>
      </c>
      <c r="I2332" t="s">
        <v>31754</v>
      </c>
      <c r="J2332" t="s">
        <v>4675</v>
      </c>
      <c r="L2332" t="s">
        <v>27250</v>
      </c>
      <c r="M2332" t="s">
        <v>27251</v>
      </c>
      <c r="N2332" t="s">
        <v>27252</v>
      </c>
      <c r="P2332" t="s">
        <v>27341</v>
      </c>
      <c r="Q2332" s="1">
        <v>44846</v>
      </c>
      <c r="R2332" t="s">
        <v>27253</v>
      </c>
      <c r="S2332" t="s">
        <v>27254</v>
      </c>
      <c r="T2332" t="s">
        <v>27265</v>
      </c>
    </row>
    <row r="2333" spans="1:20" x14ac:dyDescent="0.3">
      <c r="A2333" t="str">
        <f>"0611832969100"</f>
        <v>0611832969100</v>
      </c>
      <c r="B2333" t="str">
        <f>"LH8948"</f>
        <v>LH8948</v>
      </c>
      <c r="C2333" t="s">
        <v>31755</v>
      </c>
      <c r="D2333" t="s">
        <v>27245</v>
      </c>
      <c r="E2333" t="str">
        <f t="shared" si="36"/>
        <v>001390</v>
      </c>
      <c r="F2333" t="s">
        <v>27246</v>
      </c>
      <c r="G2333" t="s">
        <v>27247</v>
      </c>
      <c r="H2333" t="s">
        <v>27248</v>
      </c>
      <c r="I2333" t="s">
        <v>31756</v>
      </c>
      <c r="J2333" t="s">
        <v>4677</v>
      </c>
      <c r="L2333" t="s">
        <v>27250</v>
      </c>
      <c r="M2333" t="s">
        <v>27251</v>
      </c>
      <c r="N2333" t="s">
        <v>27252</v>
      </c>
      <c r="Q2333" s="1">
        <v>44538</v>
      </c>
      <c r="R2333" t="s">
        <v>27253</v>
      </c>
      <c r="S2333" t="s">
        <v>27254</v>
      </c>
      <c r="T2333" t="s">
        <v>27255</v>
      </c>
    </row>
    <row r="2334" spans="1:20" x14ac:dyDescent="0.3">
      <c r="A2334" t="str">
        <f>"0611861127050"</f>
        <v>0611861127050</v>
      </c>
      <c r="B2334" t="str">
        <f>"CR4542"</f>
        <v>CR4542</v>
      </c>
      <c r="C2334" t="s">
        <v>31757</v>
      </c>
      <c r="D2334" t="s">
        <v>27271</v>
      </c>
      <c r="E2334" t="str">
        <f t="shared" si="36"/>
        <v>001390</v>
      </c>
      <c r="F2334" t="s">
        <v>27246</v>
      </c>
      <c r="G2334" t="s">
        <v>27247</v>
      </c>
      <c r="H2334" t="s">
        <v>27248</v>
      </c>
      <c r="I2334" t="s">
        <v>31758</v>
      </c>
      <c r="J2334" t="s">
        <v>4679</v>
      </c>
      <c r="L2334" t="s">
        <v>27250</v>
      </c>
      <c r="M2334" t="s">
        <v>27251</v>
      </c>
      <c r="N2334" t="s">
        <v>27252</v>
      </c>
      <c r="P2334" t="s">
        <v>27341</v>
      </c>
      <c r="Q2334" s="1">
        <v>44846</v>
      </c>
      <c r="R2334" t="s">
        <v>27253</v>
      </c>
      <c r="S2334" t="s">
        <v>27254</v>
      </c>
      <c r="T2334" t="s">
        <v>27265</v>
      </c>
    </row>
    <row r="2335" spans="1:20" x14ac:dyDescent="0.3">
      <c r="A2335" t="str">
        <f>"0611861128050"</f>
        <v>0611861128050</v>
      </c>
      <c r="B2335" t="str">
        <f>"CR4543"</f>
        <v>CR4543</v>
      </c>
      <c r="C2335" t="s">
        <v>31759</v>
      </c>
      <c r="D2335" t="s">
        <v>27271</v>
      </c>
      <c r="E2335" t="str">
        <f t="shared" si="36"/>
        <v>001390</v>
      </c>
      <c r="F2335" t="s">
        <v>27246</v>
      </c>
      <c r="G2335" t="s">
        <v>27247</v>
      </c>
      <c r="H2335" t="s">
        <v>27248</v>
      </c>
      <c r="I2335" t="s">
        <v>31760</v>
      </c>
      <c r="J2335" t="s">
        <v>4681</v>
      </c>
      <c r="L2335" t="s">
        <v>27250</v>
      </c>
      <c r="M2335" t="s">
        <v>27251</v>
      </c>
      <c r="N2335" t="s">
        <v>27252</v>
      </c>
      <c r="P2335" t="s">
        <v>27341</v>
      </c>
      <c r="Q2335" s="1">
        <v>44846</v>
      </c>
      <c r="R2335" t="s">
        <v>27253</v>
      </c>
      <c r="S2335" t="s">
        <v>27254</v>
      </c>
      <c r="T2335" t="s">
        <v>27265</v>
      </c>
    </row>
    <row r="2336" spans="1:20" x14ac:dyDescent="0.3">
      <c r="A2336" t="str">
        <f>"0611832970100"</f>
        <v>0611832970100</v>
      </c>
      <c r="B2336" t="str">
        <f>"LY0008"</f>
        <v>LY0008</v>
      </c>
      <c r="C2336" t="s">
        <v>31761</v>
      </c>
      <c r="D2336" t="s">
        <v>28138</v>
      </c>
      <c r="E2336" t="str">
        <f t="shared" si="36"/>
        <v>001390</v>
      </c>
      <c r="F2336" t="s">
        <v>27246</v>
      </c>
      <c r="G2336" t="s">
        <v>27247</v>
      </c>
      <c r="H2336" t="s">
        <v>27248</v>
      </c>
      <c r="I2336" t="s">
        <v>31762</v>
      </c>
      <c r="J2336" t="s">
        <v>4683</v>
      </c>
      <c r="L2336" t="s">
        <v>27250</v>
      </c>
      <c r="M2336" t="s">
        <v>27251</v>
      </c>
      <c r="N2336" t="s">
        <v>27252</v>
      </c>
      <c r="P2336" t="s">
        <v>27925</v>
      </c>
      <c r="Q2336" s="1">
        <v>44538</v>
      </c>
      <c r="R2336" t="s">
        <v>27253</v>
      </c>
      <c r="S2336" t="s">
        <v>27254</v>
      </c>
      <c r="T2336" t="s">
        <v>27255</v>
      </c>
    </row>
    <row r="2337" spans="1:20" x14ac:dyDescent="0.3">
      <c r="A2337" t="str">
        <f>"0611832971100"</f>
        <v>0611832971100</v>
      </c>
      <c r="B2337" t="str">
        <f>"LY5696"</f>
        <v>LY5696</v>
      </c>
      <c r="C2337" t="s">
        <v>31763</v>
      </c>
      <c r="D2337" t="s">
        <v>28138</v>
      </c>
      <c r="E2337" t="str">
        <f t="shared" si="36"/>
        <v>001390</v>
      </c>
      <c r="F2337" t="s">
        <v>27246</v>
      </c>
      <c r="G2337" t="s">
        <v>27247</v>
      </c>
      <c r="H2337" t="s">
        <v>27248</v>
      </c>
      <c r="I2337" t="s">
        <v>31764</v>
      </c>
      <c r="J2337" t="s">
        <v>4685</v>
      </c>
      <c r="L2337" t="s">
        <v>27250</v>
      </c>
      <c r="M2337" t="s">
        <v>27251</v>
      </c>
      <c r="N2337" t="s">
        <v>27252</v>
      </c>
      <c r="P2337" t="s">
        <v>27925</v>
      </c>
      <c r="Q2337" s="1">
        <v>44538</v>
      </c>
      <c r="R2337" t="s">
        <v>27253</v>
      </c>
      <c r="S2337" t="s">
        <v>27254</v>
      </c>
      <c r="T2337" t="s">
        <v>27255</v>
      </c>
    </row>
    <row r="2338" spans="1:20" x14ac:dyDescent="0.3">
      <c r="A2338" t="str">
        <f>"0611832972100"</f>
        <v>0611832972100</v>
      </c>
      <c r="B2338" t="str">
        <f>"LY5697"</f>
        <v>LY5697</v>
      </c>
      <c r="C2338" t="s">
        <v>31765</v>
      </c>
      <c r="D2338" t="s">
        <v>28138</v>
      </c>
      <c r="E2338" t="str">
        <f t="shared" si="36"/>
        <v>001390</v>
      </c>
      <c r="F2338" t="s">
        <v>27246</v>
      </c>
      <c r="G2338" t="s">
        <v>27247</v>
      </c>
      <c r="H2338" t="s">
        <v>27248</v>
      </c>
      <c r="I2338" t="s">
        <v>31766</v>
      </c>
      <c r="J2338" t="s">
        <v>4687</v>
      </c>
      <c r="L2338" t="s">
        <v>27250</v>
      </c>
      <c r="M2338" t="s">
        <v>27251</v>
      </c>
      <c r="N2338" t="s">
        <v>27252</v>
      </c>
      <c r="P2338" t="s">
        <v>27925</v>
      </c>
      <c r="Q2338" s="1">
        <v>44538</v>
      </c>
      <c r="R2338" t="s">
        <v>27253</v>
      </c>
      <c r="S2338" t="s">
        <v>27254</v>
      </c>
      <c r="T2338" t="s">
        <v>27255</v>
      </c>
    </row>
    <row r="2339" spans="1:20" x14ac:dyDescent="0.3">
      <c r="A2339" t="str">
        <f>"0611861129050"</f>
        <v>0611861129050</v>
      </c>
      <c r="B2339" t="str">
        <f>"CR4544"</f>
        <v>CR4544</v>
      </c>
      <c r="C2339" t="s">
        <v>31767</v>
      </c>
      <c r="D2339" t="s">
        <v>27271</v>
      </c>
      <c r="E2339" t="str">
        <f t="shared" si="36"/>
        <v>001390</v>
      </c>
      <c r="F2339" t="s">
        <v>27246</v>
      </c>
      <c r="G2339" t="s">
        <v>27247</v>
      </c>
      <c r="H2339" t="s">
        <v>27248</v>
      </c>
      <c r="I2339" t="s">
        <v>31768</v>
      </c>
      <c r="J2339" t="s">
        <v>4689</v>
      </c>
      <c r="L2339" t="s">
        <v>27250</v>
      </c>
      <c r="M2339" t="s">
        <v>27251</v>
      </c>
      <c r="N2339" t="s">
        <v>27252</v>
      </c>
      <c r="P2339" t="s">
        <v>27341</v>
      </c>
      <c r="Q2339" s="1">
        <v>44846</v>
      </c>
      <c r="R2339" t="s">
        <v>27253</v>
      </c>
      <c r="S2339" t="s">
        <v>27254</v>
      </c>
      <c r="T2339" t="s">
        <v>27265</v>
      </c>
    </row>
    <row r="2340" spans="1:20" x14ac:dyDescent="0.3">
      <c r="A2340" t="str">
        <f>"0611832973100"</f>
        <v>0611832973100</v>
      </c>
      <c r="B2340" t="str">
        <f>"LY5620"</f>
        <v>LY5620</v>
      </c>
      <c r="C2340" t="s">
        <v>31769</v>
      </c>
      <c r="D2340" t="s">
        <v>28138</v>
      </c>
      <c r="E2340" t="str">
        <f t="shared" si="36"/>
        <v>001390</v>
      </c>
      <c r="F2340" t="s">
        <v>27246</v>
      </c>
      <c r="G2340" t="s">
        <v>27247</v>
      </c>
      <c r="H2340" t="s">
        <v>27248</v>
      </c>
      <c r="I2340" t="s">
        <v>31770</v>
      </c>
      <c r="J2340" t="s">
        <v>4691</v>
      </c>
      <c r="L2340" t="s">
        <v>27250</v>
      </c>
      <c r="M2340" t="s">
        <v>27251</v>
      </c>
      <c r="N2340" t="s">
        <v>27252</v>
      </c>
      <c r="P2340" t="s">
        <v>27925</v>
      </c>
      <c r="Q2340" s="1">
        <v>44538</v>
      </c>
      <c r="R2340" t="s">
        <v>27253</v>
      </c>
      <c r="S2340" t="s">
        <v>27254</v>
      </c>
      <c r="T2340" t="s">
        <v>27255</v>
      </c>
    </row>
    <row r="2341" spans="1:20" x14ac:dyDescent="0.3">
      <c r="A2341" t="str">
        <f>"0611832974100"</f>
        <v>0611832974100</v>
      </c>
      <c r="B2341" t="str">
        <f>"LY0009"</f>
        <v>LY0009</v>
      </c>
      <c r="C2341" t="s">
        <v>31771</v>
      </c>
      <c r="D2341" t="s">
        <v>28138</v>
      </c>
      <c r="E2341" t="str">
        <f t="shared" si="36"/>
        <v>001390</v>
      </c>
      <c r="F2341" t="s">
        <v>27246</v>
      </c>
      <c r="G2341" t="s">
        <v>27247</v>
      </c>
      <c r="H2341" t="s">
        <v>27248</v>
      </c>
      <c r="I2341" t="s">
        <v>31772</v>
      </c>
      <c r="J2341" t="s">
        <v>4693</v>
      </c>
      <c r="L2341" t="s">
        <v>27250</v>
      </c>
      <c r="M2341" t="s">
        <v>27251</v>
      </c>
      <c r="N2341" t="s">
        <v>27252</v>
      </c>
      <c r="P2341" t="s">
        <v>27925</v>
      </c>
      <c r="Q2341" s="1">
        <v>44538</v>
      </c>
      <c r="R2341" t="s">
        <v>27253</v>
      </c>
      <c r="S2341" t="s">
        <v>27254</v>
      </c>
      <c r="T2341" t="s">
        <v>27255</v>
      </c>
    </row>
    <row r="2342" spans="1:20" x14ac:dyDescent="0.3">
      <c r="A2342" t="str">
        <f>"0611832975100"</f>
        <v>0611832975100</v>
      </c>
      <c r="B2342" t="str">
        <f>"LY0023"</f>
        <v>LY0023</v>
      </c>
      <c r="C2342" t="s">
        <v>31773</v>
      </c>
      <c r="D2342" t="s">
        <v>28138</v>
      </c>
      <c r="E2342" t="str">
        <f t="shared" si="36"/>
        <v>001390</v>
      </c>
      <c r="F2342" t="s">
        <v>27246</v>
      </c>
      <c r="G2342" t="s">
        <v>27247</v>
      </c>
      <c r="H2342" t="s">
        <v>27248</v>
      </c>
      <c r="I2342" t="s">
        <v>31774</v>
      </c>
      <c r="J2342" t="s">
        <v>4695</v>
      </c>
      <c r="L2342" t="s">
        <v>27250</v>
      </c>
      <c r="M2342" t="s">
        <v>27251</v>
      </c>
      <c r="N2342" t="s">
        <v>27252</v>
      </c>
      <c r="P2342" t="s">
        <v>27925</v>
      </c>
      <c r="Q2342" s="1">
        <v>44538</v>
      </c>
      <c r="R2342" t="s">
        <v>27253</v>
      </c>
      <c r="S2342" t="s">
        <v>27254</v>
      </c>
      <c r="T2342" t="s">
        <v>27255</v>
      </c>
    </row>
    <row r="2343" spans="1:20" x14ac:dyDescent="0.3">
      <c r="A2343" t="str">
        <f>"0611861130050"</f>
        <v>0611861130050</v>
      </c>
      <c r="B2343" t="str">
        <f>"CR4545"</f>
        <v>CR4545</v>
      </c>
      <c r="C2343" t="s">
        <v>31775</v>
      </c>
      <c r="D2343" t="s">
        <v>27271</v>
      </c>
      <c r="E2343" t="str">
        <f t="shared" si="36"/>
        <v>001390</v>
      </c>
      <c r="F2343" t="s">
        <v>27246</v>
      </c>
      <c r="G2343" t="s">
        <v>27247</v>
      </c>
      <c r="H2343" t="s">
        <v>27248</v>
      </c>
      <c r="I2343" t="s">
        <v>31776</v>
      </c>
      <c r="J2343" t="s">
        <v>4697</v>
      </c>
      <c r="L2343" t="s">
        <v>27250</v>
      </c>
      <c r="M2343" t="s">
        <v>27251</v>
      </c>
      <c r="N2343" t="s">
        <v>27252</v>
      </c>
      <c r="P2343" t="s">
        <v>27341</v>
      </c>
      <c r="Q2343" s="1">
        <v>44846</v>
      </c>
      <c r="R2343" t="s">
        <v>27253</v>
      </c>
      <c r="S2343" t="s">
        <v>27254</v>
      </c>
      <c r="T2343" t="s">
        <v>27265</v>
      </c>
    </row>
    <row r="2344" spans="1:20" x14ac:dyDescent="0.3">
      <c r="A2344" t="str">
        <f>"0611861131050"</f>
        <v>0611861131050</v>
      </c>
      <c r="B2344" t="str">
        <f>"CR4546"</f>
        <v>CR4546</v>
      </c>
      <c r="C2344" t="s">
        <v>31777</v>
      </c>
      <c r="D2344" t="s">
        <v>27271</v>
      </c>
      <c r="E2344" t="str">
        <f t="shared" si="36"/>
        <v>001390</v>
      </c>
      <c r="F2344" t="s">
        <v>27246</v>
      </c>
      <c r="G2344" t="s">
        <v>27247</v>
      </c>
      <c r="H2344" t="s">
        <v>27248</v>
      </c>
      <c r="I2344" t="s">
        <v>31778</v>
      </c>
      <c r="J2344" t="s">
        <v>4699</v>
      </c>
      <c r="L2344" t="s">
        <v>27250</v>
      </c>
      <c r="M2344" t="s">
        <v>27251</v>
      </c>
      <c r="N2344" t="s">
        <v>27252</v>
      </c>
      <c r="P2344" t="s">
        <v>27341</v>
      </c>
      <c r="Q2344" s="1">
        <v>44846</v>
      </c>
      <c r="R2344" t="s">
        <v>27253</v>
      </c>
      <c r="S2344" t="s">
        <v>27254</v>
      </c>
      <c r="T2344" t="s">
        <v>27265</v>
      </c>
    </row>
    <row r="2345" spans="1:20" x14ac:dyDescent="0.3">
      <c r="A2345" t="str">
        <f>"0611861132050"</f>
        <v>0611861132050</v>
      </c>
      <c r="B2345" t="str">
        <f>"CR4547"</f>
        <v>CR4547</v>
      </c>
      <c r="C2345" t="s">
        <v>31779</v>
      </c>
      <c r="D2345" t="s">
        <v>27271</v>
      </c>
      <c r="E2345" t="str">
        <f t="shared" si="36"/>
        <v>001390</v>
      </c>
      <c r="F2345" t="s">
        <v>27246</v>
      </c>
      <c r="G2345" t="s">
        <v>27247</v>
      </c>
      <c r="H2345" t="s">
        <v>27248</v>
      </c>
      <c r="I2345" t="s">
        <v>31780</v>
      </c>
      <c r="J2345" t="s">
        <v>4701</v>
      </c>
      <c r="L2345" t="s">
        <v>27250</v>
      </c>
      <c r="M2345" t="s">
        <v>27251</v>
      </c>
      <c r="N2345" t="s">
        <v>27252</v>
      </c>
      <c r="P2345" t="s">
        <v>27341</v>
      </c>
      <c r="Q2345" s="1">
        <v>44846</v>
      </c>
      <c r="R2345" t="s">
        <v>27253</v>
      </c>
      <c r="S2345" t="s">
        <v>27254</v>
      </c>
      <c r="T2345" t="s">
        <v>27265</v>
      </c>
    </row>
    <row r="2346" spans="1:20" x14ac:dyDescent="0.3">
      <c r="A2346" t="str">
        <f>"0611861134050"</f>
        <v>0611861134050</v>
      </c>
      <c r="B2346" t="str">
        <f>"CR3979"</f>
        <v>CR3979</v>
      </c>
      <c r="C2346" t="s">
        <v>31781</v>
      </c>
      <c r="D2346" t="s">
        <v>27271</v>
      </c>
      <c r="E2346" t="str">
        <f t="shared" si="36"/>
        <v>001390</v>
      </c>
      <c r="F2346" t="s">
        <v>27246</v>
      </c>
      <c r="G2346" t="s">
        <v>27247</v>
      </c>
      <c r="H2346" t="s">
        <v>27248</v>
      </c>
      <c r="I2346" t="s">
        <v>31782</v>
      </c>
      <c r="J2346" t="s">
        <v>4703</v>
      </c>
      <c r="L2346" t="s">
        <v>27250</v>
      </c>
      <c r="M2346" t="s">
        <v>27251</v>
      </c>
      <c r="N2346" t="s">
        <v>27252</v>
      </c>
      <c r="P2346" t="s">
        <v>27341</v>
      </c>
      <c r="Q2346" s="1">
        <v>44846</v>
      </c>
      <c r="R2346" t="s">
        <v>27253</v>
      </c>
      <c r="S2346" t="s">
        <v>27254</v>
      </c>
      <c r="T2346" t="s">
        <v>27265</v>
      </c>
    </row>
    <row r="2347" spans="1:20" x14ac:dyDescent="0.3">
      <c r="A2347" t="str">
        <f>"0611861135050"</f>
        <v>0611861135050</v>
      </c>
      <c r="B2347" t="str">
        <f>"CR3980"</f>
        <v>CR3980</v>
      </c>
      <c r="C2347" t="s">
        <v>31783</v>
      </c>
      <c r="D2347" t="s">
        <v>27271</v>
      </c>
      <c r="E2347" t="str">
        <f t="shared" si="36"/>
        <v>001390</v>
      </c>
      <c r="F2347" t="s">
        <v>27246</v>
      </c>
      <c r="G2347" t="s">
        <v>27247</v>
      </c>
      <c r="H2347" t="s">
        <v>27248</v>
      </c>
      <c r="I2347" t="s">
        <v>31784</v>
      </c>
      <c r="J2347" t="s">
        <v>4705</v>
      </c>
      <c r="L2347" t="s">
        <v>27250</v>
      </c>
      <c r="M2347" t="s">
        <v>27251</v>
      </c>
      <c r="N2347" t="s">
        <v>27252</v>
      </c>
      <c r="P2347" t="s">
        <v>27341</v>
      </c>
      <c r="Q2347" s="1">
        <v>44846</v>
      </c>
      <c r="R2347" t="s">
        <v>27253</v>
      </c>
      <c r="S2347" t="s">
        <v>27254</v>
      </c>
      <c r="T2347" t="s">
        <v>27265</v>
      </c>
    </row>
    <row r="2348" spans="1:20" x14ac:dyDescent="0.3">
      <c r="A2348" t="str">
        <f>"0611861136050"</f>
        <v>0611861136050</v>
      </c>
      <c r="B2348" t="str">
        <f>"CR5047"</f>
        <v>CR5047</v>
      </c>
      <c r="C2348" t="s">
        <v>31785</v>
      </c>
      <c r="D2348" t="s">
        <v>27271</v>
      </c>
      <c r="E2348" t="str">
        <f t="shared" si="36"/>
        <v>001390</v>
      </c>
      <c r="F2348" t="s">
        <v>27246</v>
      </c>
      <c r="G2348" t="s">
        <v>27247</v>
      </c>
      <c r="H2348" t="s">
        <v>27248</v>
      </c>
      <c r="I2348" t="s">
        <v>31786</v>
      </c>
      <c r="J2348" t="s">
        <v>4707</v>
      </c>
      <c r="L2348" t="s">
        <v>27250</v>
      </c>
      <c r="M2348" t="s">
        <v>27251</v>
      </c>
      <c r="N2348" t="s">
        <v>27252</v>
      </c>
      <c r="P2348" t="s">
        <v>27341</v>
      </c>
      <c r="Q2348" s="1">
        <v>44846</v>
      </c>
      <c r="R2348" t="s">
        <v>27253</v>
      </c>
      <c r="S2348" t="s">
        <v>27254</v>
      </c>
      <c r="T2348" t="s">
        <v>27265</v>
      </c>
    </row>
    <row r="2349" spans="1:20" x14ac:dyDescent="0.3">
      <c r="A2349" t="str">
        <f>"0611884089100"</f>
        <v>0611884089100</v>
      </c>
      <c r="B2349" t="str">
        <f>"LY5740"</f>
        <v>LY5740</v>
      </c>
      <c r="C2349" t="s">
        <v>31787</v>
      </c>
      <c r="D2349" t="s">
        <v>28138</v>
      </c>
      <c r="E2349" t="str">
        <f t="shared" si="36"/>
        <v>001390</v>
      </c>
      <c r="F2349" t="s">
        <v>27246</v>
      </c>
      <c r="G2349" t="s">
        <v>27247</v>
      </c>
      <c r="H2349" t="s">
        <v>27248</v>
      </c>
      <c r="I2349" t="s">
        <v>31788</v>
      </c>
      <c r="J2349" t="s">
        <v>4709</v>
      </c>
      <c r="L2349" t="s">
        <v>27430</v>
      </c>
      <c r="M2349" t="s">
        <v>27251</v>
      </c>
      <c r="N2349" t="s">
        <v>27252</v>
      </c>
      <c r="P2349" t="s">
        <v>27925</v>
      </c>
      <c r="Q2349" s="1">
        <v>45250</v>
      </c>
      <c r="R2349" t="s">
        <v>27253</v>
      </c>
      <c r="S2349" t="s">
        <v>27254</v>
      </c>
      <c r="T2349" t="s">
        <v>27255</v>
      </c>
    </row>
    <row r="2350" spans="1:20" x14ac:dyDescent="0.3">
      <c r="A2350" t="str">
        <f>"0611861137050"</f>
        <v>0611861137050</v>
      </c>
      <c r="B2350" t="str">
        <f>"CR4549"</f>
        <v>CR4549</v>
      </c>
      <c r="C2350" t="s">
        <v>31789</v>
      </c>
      <c r="D2350" t="s">
        <v>27271</v>
      </c>
      <c r="E2350" t="str">
        <f t="shared" si="36"/>
        <v>001390</v>
      </c>
      <c r="F2350" t="s">
        <v>27246</v>
      </c>
      <c r="G2350" t="s">
        <v>27247</v>
      </c>
      <c r="H2350" t="s">
        <v>27248</v>
      </c>
      <c r="I2350" t="s">
        <v>31790</v>
      </c>
      <c r="J2350" t="s">
        <v>4711</v>
      </c>
      <c r="L2350" t="s">
        <v>27250</v>
      </c>
      <c r="M2350" t="s">
        <v>27251</v>
      </c>
      <c r="N2350" t="s">
        <v>27252</v>
      </c>
      <c r="P2350" t="s">
        <v>27341</v>
      </c>
      <c r="Q2350" s="1">
        <v>44846</v>
      </c>
      <c r="R2350" t="s">
        <v>27253</v>
      </c>
      <c r="S2350" t="s">
        <v>27254</v>
      </c>
      <c r="T2350" t="s">
        <v>27265</v>
      </c>
    </row>
    <row r="2351" spans="1:20" x14ac:dyDescent="0.3">
      <c r="A2351" t="str">
        <f>"0611832976100"</f>
        <v>0611832976100</v>
      </c>
      <c r="B2351" t="str">
        <f>"LY5673"</f>
        <v>LY5673</v>
      </c>
      <c r="C2351" t="s">
        <v>31791</v>
      </c>
      <c r="D2351" t="s">
        <v>28138</v>
      </c>
      <c r="E2351" t="str">
        <f t="shared" si="36"/>
        <v>001390</v>
      </c>
      <c r="F2351" t="s">
        <v>27246</v>
      </c>
      <c r="G2351" t="s">
        <v>27247</v>
      </c>
      <c r="H2351" t="s">
        <v>27248</v>
      </c>
      <c r="I2351" t="s">
        <v>31792</v>
      </c>
      <c r="J2351" t="s">
        <v>4713</v>
      </c>
      <c r="L2351" t="s">
        <v>27250</v>
      </c>
      <c r="M2351" t="s">
        <v>27251</v>
      </c>
      <c r="N2351" t="s">
        <v>27252</v>
      </c>
      <c r="P2351" t="s">
        <v>27925</v>
      </c>
      <c r="Q2351" s="1">
        <v>44538</v>
      </c>
      <c r="R2351" t="s">
        <v>27253</v>
      </c>
      <c r="S2351" t="s">
        <v>27254</v>
      </c>
      <c r="T2351" t="s">
        <v>27255</v>
      </c>
    </row>
    <row r="2352" spans="1:20" x14ac:dyDescent="0.3">
      <c r="A2352" t="str">
        <f>"0611832977100"</f>
        <v>0611832977100</v>
      </c>
      <c r="B2352" t="str">
        <f>"LY5707"</f>
        <v>LY5707</v>
      </c>
      <c r="C2352" t="s">
        <v>31793</v>
      </c>
      <c r="D2352" t="s">
        <v>28138</v>
      </c>
      <c r="E2352" t="str">
        <f t="shared" si="36"/>
        <v>001390</v>
      </c>
      <c r="F2352" t="s">
        <v>27246</v>
      </c>
      <c r="G2352" t="s">
        <v>27247</v>
      </c>
      <c r="H2352" t="s">
        <v>27248</v>
      </c>
      <c r="I2352" t="s">
        <v>31794</v>
      </c>
      <c r="J2352" t="s">
        <v>4715</v>
      </c>
      <c r="L2352" t="s">
        <v>27250</v>
      </c>
      <c r="M2352" t="s">
        <v>27251</v>
      </c>
      <c r="N2352" t="s">
        <v>27252</v>
      </c>
      <c r="P2352" t="s">
        <v>27925</v>
      </c>
      <c r="Q2352" s="1">
        <v>44538</v>
      </c>
      <c r="R2352" t="s">
        <v>27253</v>
      </c>
      <c r="S2352" t="s">
        <v>27254</v>
      </c>
      <c r="T2352" t="s">
        <v>27255</v>
      </c>
    </row>
    <row r="2353" spans="1:20" x14ac:dyDescent="0.3">
      <c r="A2353" t="str">
        <f>"0611861138050"</f>
        <v>0611861138050</v>
      </c>
      <c r="B2353" t="str">
        <f>"CR4550"</f>
        <v>CR4550</v>
      </c>
      <c r="C2353" t="s">
        <v>31795</v>
      </c>
      <c r="D2353" t="s">
        <v>27271</v>
      </c>
      <c r="E2353" t="str">
        <f t="shared" si="36"/>
        <v>001390</v>
      </c>
      <c r="F2353" t="s">
        <v>27246</v>
      </c>
      <c r="G2353" t="s">
        <v>27247</v>
      </c>
      <c r="H2353" t="s">
        <v>27248</v>
      </c>
      <c r="I2353" t="s">
        <v>31796</v>
      </c>
      <c r="J2353" t="s">
        <v>4717</v>
      </c>
      <c r="L2353" t="s">
        <v>27250</v>
      </c>
      <c r="M2353" t="s">
        <v>27251</v>
      </c>
      <c r="N2353" t="s">
        <v>27252</v>
      </c>
      <c r="P2353" t="s">
        <v>27341</v>
      </c>
      <c r="Q2353" s="1">
        <v>44846</v>
      </c>
      <c r="R2353" t="s">
        <v>27253</v>
      </c>
      <c r="S2353" t="s">
        <v>27254</v>
      </c>
      <c r="T2353" t="s">
        <v>27265</v>
      </c>
    </row>
    <row r="2354" spans="1:20" x14ac:dyDescent="0.3">
      <c r="A2354" t="str">
        <f>"0611832978100"</f>
        <v>0611832978100</v>
      </c>
      <c r="B2354" t="str">
        <f>"LY5674"</f>
        <v>LY5674</v>
      </c>
      <c r="C2354" t="s">
        <v>31797</v>
      </c>
      <c r="D2354" t="s">
        <v>28138</v>
      </c>
      <c r="E2354" t="str">
        <f t="shared" si="36"/>
        <v>001390</v>
      </c>
      <c r="F2354" t="s">
        <v>27246</v>
      </c>
      <c r="G2354" t="s">
        <v>27247</v>
      </c>
      <c r="H2354" t="s">
        <v>27248</v>
      </c>
      <c r="I2354" t="s">
        <v>31798</v>
      </c>
      <c r="J2354" t="s">
        <v>4719</v>
      </c>
      <c r="L2354" t="s">
        <v>27250</v>
      </c>
      <c r="M2354" t="s">
        <v>27251</v>
      </c>
      <c r="N2354" t="s">
        <v>27252</v>
      </c>
      <c r="P2354" t="s">
        <v>27925</v>
      </c>
      <c r="Q2354" s="1">
        <v>44538</v>
      </c>
      <c r="R2354" t="s">
        <v>27253</v>
      </c>
      <c r="S2354" t="s">
        <v>27254</v>
      </c>
      <c r="T2354" t="s">
        <v>27255</v>
      </c>
    </row>
    <row r="2355" spans="1:20" x14ac:dyDescent="0.3">
      <c r="A2355" t="str">
        <f>"0611832979100"</f>
        <v>0611832979100</v>
      </c>
      <c r="B2355" t="str">
        <f>"LY0232"</f>
        <v>LY0232</v>
      </c>
      <c r="C2355" t="s">
        <v>31799</v>
      </c>
      <c r="D2355" t="s">
        <v>28138</v>
      </c>
      <c r="E2355" t="str">
        <f t="shared" si="36"/>
        <v>001390</v>
      </c>
      <c r="F2355" t="s">
        <v>27246</v>
      </c>
      <c r="G2355" t="s">
        <v>27247</v>
      </c>
      <c r="H2355" t="s">
        <v>27248</v>
      </c>
      <c r="I2355" t="s">
        <v>31800</v>
      </c>
      <c r="J2355" t="s">
        <v>4721</v>
      </c>
      <c r="L2355" t="s">
        <v>27250</v>
      </c>
      <c r="M2355" t="s">
        <v>27251</v>
      </c>
      <c r="N2355" t="s">
        <v>27252</v>
      </c>
      <c r="P2355" t="s">
        <v>27925</v>
      </c>
      <c r="Q2355" s="1">
        <v>44538</v>
      </c>
      <c r="R2355" t="s">
        <v>27253</v>
      </c>
      <c r="S2355" t="s">
        <v>27254</v>
      </c>
      <c r="T2355" t="s">
        <v>27255</v>
      </c>
    </row>
    <row r="2356" spans="1:20" x14ac:dyDescent="0.3">
      <c r="A2356" t="str">
        <f>"0611856868100"</f>
        <v>0611856868100</v>
      </c>
      <c r="B2356" t="str">
        <f>"LY5731"</f>
        <v>LY5731</v>
      </c>
      <c r="C2356" t="s">
        <v>31801</v>
      </c>
      <c r="D2356" t="s">
        <v>28138</v>
      </c>
      <c r="E2356" t="str">
        <f t="shared" si="36"/>
        <v>001390</v>
      </c>
      <c r="F2356" t="s">
        <v>27246</v>
      </c>
      <c r="G2356" t="s">
        <v>27247</v>
      </c>
      <c r="H2356" t="s">
        <v>27248</v>
      </c>
      <c r="I2356" t="s">
        <v>31802</v>
      </c>
      <c r="J2356" t="s">
        <v>4723</v>
      </c>
      <c r="L2356" t="s">
        <v>27250</v>
      </c>
      <c r="M2356" t="s">
        <v>27251</v>
      </c>
      <c r="N2356" t="s">
        <v>27252</v>
      </c>
      <c r="P2356" t="s">
        <v>27925</v>
      </c>
      <c r="Q2356" s="1">
        <v>44812</v>
      </c>
      <c r="R2356" t="s">
        <v>27253</v>
      </c>
      <c r="S2356" t="s">
        <v>27254</v>
      </c>
      <c r="T2356" t="s">
        <v>27255</v>
      </c>
    </row>
    <row r="2357" spans="1:20" x14ac:dyDescent="0.3">
      <c r="A2357" t="str">
        <f>"0611884090100"</f>
        <v>0611884090100</v>
      </c>
      <c r="B2357" t="str">
        <f>"LY5741"</f>
        <v>LY5741</v>
      </c>
      <c r="C2357" t="s">
        <v>31803</v>
      </c>
      <c r="D2357" t="s">
        <v>28138</v>
      </c>
      <c r="E2357" t="str">
        <f t="shared" si="36"/>
        <v>001390</v>
      </c>
      <c r="F2357" t="s">
        <v>27246</v>
      </c>
      <c r="G2357" t="s">
        <v>27247</v>
      </c>
      <c r="H2357" t="s">
        <v>27248</v>
      </c>
      <c r="I2357" t="s">
        <v>31804</v>
      </c>
      <c r="J2357" t="s">
        <v>4725</v>
      </c>
      <c r="L2357" t="s">
        <v>27430</v>
      </c>
      <c r="M2357" t="s">
        <v>27251</v>
      </c>
      <c r="N2357" t="s">
        <v>27252</v>
      </c>
      <c r="P2357" t="s">
        <v>27925</v>
      </c>
      <c r="Q2357" s="1">
        <v>45250</v>
      </c>
      <c r="R2357" t="s">
        <v>27253</v>
      </c>
      <c r="S2357" t="s">
        <v>27254</v>
      </c>
      <c r="T2357" t="s">
        <v>27255</v>
      </c>
    </row>
    <row r="2358" spans="1:20" x14ac:dyDescent="0.3">
      <c r="A2358" t="str">
        <f>"0611832980100"</f>
        <v>0611832980100</v>
      </c>
      <c r="B2358" t="str">
        <f>"LY5700"</f>
        <v>LY5700</v>
      </c>
      <c r="C2358" t="s">
        <v>31805</v>
      </c>
      <c r="D2358" t="s">
        <v>28138</v>
      </c>
      <c r="E2358" t="str">
        <f t="shared" si="36"/>
        <v>001390</v>
      </c>
      <c r="F2358" t="s">
        <v>27246</v>
      </c>
      <c r="G2358" t="s">
        <v>27247</v>
      </c>
      <c r="H2358" t="s">
        <v>27248</v>
      </c>
      <c r="I2358" t="s">
        <v>31806</v>
      </c>
      <c r="J2358" t="s">
        <v>4727</v>
      </c>
      <c r="L2358" t="s">
        <v>27250</v>
      </c>
      <c r="M2358" t="s">
        <v>27251</v>
      </c>
      <c r="N2358" t="s">
        <v>27252</v>
      </c>
      <c r="P2358" t="s">
        <v>27925</v>
      </c>
      <c r="Q2358" s="1">
        <v>44538</v>
      </c>
      <c r="R2358" t="s">
        <v>27253</v>
      </c>
      <c r="S2358" t="s">
        <v>27254</v>
      </c>
      <c r="T2358" t="s">
        <v>27255</v>
      </c>
    </row>
    <row r="2359" spans="1:20" x14ac:dyDescent="0.3">
      <c r="A2359" t="str">
        <f>"0611861139050"</f>
        <v>0611861139050</v>
      </c>
      <c r="B2359" t="str">
        <f>"CR4551"</f>
        <v>CR4551</v>
      </c>
      <c r="C2359" t="s">
        <v>31807</v>
      </c>
      <c r="D2359" t="s">
        <v>27271</v>
      </c>
      <c r="E2359" t="str">
        <f t="shared" si="36"/>
        <v>001390</v>
      </c>
      <c r="F2359" t="s">
        <v>27246</v>
      </c>
      <c r="G2359" t="s">
        <v>27247</v>
      </c>
      <c r="H2359" t="s">
        <v>27248</v>
      </c>
      <c r="I2359" t="s">
        <v>31808</v>
      </c>
      <c r="J2359" t="s">
        <v>4729</v>
      </c>
      <c r="L2359" t="s">
        <v>27250</v>
      </c>
      <c r="M2359" t="s">
        <v>27251</v>
      </c>
      <c r="N2359" t="s">
        <v>27252</v>
      </c>
      <c r="P2359" t="s">
        <v>27341</v>
      </c>
      <c r="Q2359" s="1">
        <v>44846</v>
      </c>
      <c r="R2359" t="s">
        <v>27253</v>
      </c>
      <c r="S2359" t="s">
        <v>27254</v>
      </c>
      <c r="T2359" t="s">
        <v>27265</v>
      </c>
    </row>
    <row r="2360" spans="1:20" x14ac:dyDescent="0.3">
      <c r="A2360" t="str">
        <f>"0611861140050"</f>
        <v>0611861140050</v>
      </c>
      <c r="B2360" t="str">
        <f>"CR4552"</f>
        <v>CR4552</v>
      </c>
      <c r="C2360" t="s">
        <v>31809</v>
      </c>
      <c r="D2360" t="s">
        <v>27271</v>
      </c>
      <c r="E2360" t="str">
        <f t="shared" si="36"/>
        <v>001390</v>
      </c>
      <c r="F2360" t="s">
        <v>27246</v>
      </c>
      <c r="G2360" t="s">
        <v>27247</v>
      </c>
      <c r="H2360" t="s">
        <v>27248</v>
      </c>
      <c r="I2360" t="s">
        <v>31810</v>
      </c>
      <c r="J2360" t="s">
        <v>4731</v>
      </c>
      <c r="L2360" t="s">
        <v>27250</v>
      </c>
      <c r="M2360" t="s">
        <v>27251</v>
      </c>
      <c r="N2360" t="s">
        <v>27252</v>
      </c>
      <c r="P2360" t="s">
        <v>27341</v>
      </c>
      <c r="Q2360" s="1">
        <v>44846</v>
      </c>
      <c r="R2360" t="s">
        <v>27253</v>
      </c>
      <c r="S2360" t="s">
        <v>27254</v>
      </c>
      <c r="T2360" t="s">
        <v>27265</v>
      </c>
    </row>
    <row r="2361" spans="1:20" x14ac:dyDescent="0.3">
      <c r="A2361" t="str">
        <f>"0611832981100"</f>
        <v>0611832981100</v>
      </c>
      <c r="B2361" t="str">
        <f>"LC6400"</f>
        <v>LC6400</v>
      </c>
      <c r="C2361" t="s">
        <v>31811</v>
      </c>
      <c r="D2361" t="s">
        <v>27245</v>
      </c>
      <c r="E2361" t="str">
        <f t="shared" si="36"/>
        <v>001390</v>
      </c>
      <c r="F2361" t="s">
        <v>27246</v>
      </c>
      <c r="G2361" t="s">
        <v>27247</v>
      </c>
      <c r="H2361" t="s">
        <v>27248</v>
      </c>
      <c r="I2361" t="s">
        <v>31812</v>
      </c>
      <c r="J2361" t="s">
        <v>4733</v>
      </c>
      <c r="L2361" t="s">
        <v>27250</v>
      </c>
      <c r="M2361" t="s">
        <v>27251</v>
      </c>
      <c r="N2361" t="s">
        <v>27252</v>
      </c>
      <c r="Q2361" s="1">
        <v>44538</v>
      </c>
      <c r="R2361" t="s">
        <v>27253</v>
      </c>
      <c r="S2361" t="s">
        <v>27254</v>
      </c>
      <c r="T2361" t="s">
        <v>27255</v>
      </c>
    </row>
    <row r="2362" spans="1:20" x14ac:dyDescent="0.3">
      <c r="A2362" t="str">
        <f>"0611861141050"</f>
        <v>0611861141050</v>
      </c>
      <c r="B2362" t="str">
        <f>"CR4885"</f>
        <v>CR4885</v>
      </c>
      <c r="C2362" t="s">
        <v>31813</v>
      </c>
      <c r="D2362" t="s">
        <v>27271</v>
      </c>
      <c r="E2362" t="str">
        <f t="shared" si="36"/>
        <v>001390</v>
      </c>
      <c r="F2362" t="s">
        <v>27246</v>
      </c>
      <c r="G2362" t="s">
        <v>27247</v>
      </c>
      <c r="H2362" t="s">
        <v>27248</v>
      </c>
      <c r="I2362" t="s">
        <v>31814</v>
      </c>
      <c r="J2362" t="s">
        <v>4735</v>
      </c>
      <c r="L2362" t="s">
        <v>27250</v>
      </c>
      <c r="M2362" t="s">
        <v>27251</v>
      </c>
      <c r="N2362" t="s">
        <v>27252</v>
      </c>
      <c r="P2362" t="s">
        <v>27341</v>
      </c>
      <c r="Q2362" s="1">
        <v>44846</v>
      </c>
      <c r="R2362" t="s">
        <v>27253</v>
      </c>
      <c r="S2362" t="s">
        <v>27254</v>
      </c>
      <c r="T2362" t="s">
        <v>27265</v>
      </c>
    </row>
    <row r="2363" spans="1:20" x14ac:dyDescent="0.3">
      <c r="A2363" t="str">
        <f>"0611861142050"</f>
        <v>0611861142050</v>
      </c>
      <c r="B2363" t="str">
        <f>"CR4553"</f>
        <v>CR4553</v>
      </c>
      <c r="C2363" t="s">
        <v>31815</v>
      </c>
      <c r="D2363" t="s">
        <v>27271</v>
      </c>
      <c r="E2363" t="str">
        <f t="shared" si="36"/>
        <v>001390</v>
      </c>
      <c r="F2363" t="s">
        <v>27246</v>
      </c>
      <c r="G2363" t="s">
        <v>27247</v>
      </c>
      <c r="H2363" t="s">
        <v>27248</v>
      </c>
      <c r="I2363" t="s">
        <v>31816</v>
      </c>
      <c r="J2363" t="s">
        <v>4737</v>
      </c>
      <c r="L2363" t="s">
        <v>27250</v>
      </c>
      <c r="M2363" t="s">
        <v>27251</v>
      </c>
      <c r="N2363" t="s">
        <v>27252</v>
      </c>
      <c r="P2363" t="s">
        <v>27341</v>
      </c>
      <c r="Q2363" s="1">
        <v>44846</v>
      </c>
      <c r="R2363" t="s">
        <v>27253</v>
      </c>
      <c r="S2363" t="s">
        <v>27254</v>
      </c>
      <c r="T2363" t="s">
        <v>27265</v>
      </c>
    </row>
    <row r="2364" spans="1:20" x14ac:dyDescent="0.3">
      <c r="A2364" t="str">
        <f>"0611861143050"</f>
        <v>0611861143050</v>
      </c>
      <c r="B2364" t="str">
        <f>"CR4554"</f>
        <v>CR4554</v>
      </c>
      <c r="C2364" t="s">
        <v>31817</v>
      </c>
      <c r="D2364" t="s">
        <v>27271</v>
      </c>
      <c r="E2364" t="str">
        <f t="shared" si="36"/>
        <v>001390</v>
      </c>
      <c r="F2364" t="s">
        <v>27246</v>
      </c>
      <c r="G2364" t="s">
        <v>27247</v>
      </c>
      <c r="H2364" t="s">
        <v>27248</v>
      </c>
      <c r="I2364" t="s">
        <v>31818</v>
      </c>
      <c r="J2364" t="s">
        <v>4739</v>
      </c>
      <c r="L2364" t="s">
        <v>27250</v>
      </c>
      <c r="M2364" t="s">
        <v>27251</v>
      </c>
      <c r="N2364" t="s">
        <v>27252</v>
      </c>
      <c r="P2364" t="s">
        <v>27341</v>
      </c>
      <c r="Q2364" s="1">
        <v>44846</v>
      </c>
      <c r="R2364" t="s">
        <v>27253</v>
      </c>
      <c r="S2364" t="s">
        <v>27254</v>
      </c>
      <c r="T2364" t="s">
        <v>27265</v>
      </c>
    </row>
    <row r="2365" spans="1:20" x14ac:dyDescent="0.3">
      <c r="A2365" t="str">
        <f>"0611832982100"</f>
        <v>0611832982100</v>
      </c>
      <c r="B2365" t="str">
        <f>"LY5683"</f>
        <v>LY5683</v>
      </c>
      <c r="C2365" t="s">
        <v>31819</v>
      </c>
      <c r="D2365" t="s">
        <v>28138</v>
      </c>
      <c r="E2365" t="str">
        <f t="shared" si="36"/>
        <v>001390</v>
      </c>
      <c r="F2365" t="s">
        <v>27246</v>
      </c>
      <c r="G2365" t="s">
        <v>27247</v>
      </c>
      <c r="H2365" t="s">
        <v>27248</v>
      </c>
      <c r="I2365" t="s">
        <v>31820</v>
      </c>
      <c r="J2365" t="s">
        <v>4741</v>
      </c>
      <c r="L2365" t="s">
        <v>27250</v>
      </c>
      <c r="M2365" t="s">
        <v>27251</v>
      </c>
      <c r="N2365" t="s">
        <v>27252</v>
      </c>
      <c r="P2365" t="s">
        <v>27925</v>
      </c>
      <c r="Q2365" s="1">
        <v>44538</v>
      </c>
      <c r="R2365" t="s">
        <v>27253</v>
      </c>
      <c r="S2365" t="s">
        <v>27254</v>
      </c>
      <c r="T2365" t="s">
        <v>27255</v>
      </c>
    </row>
    <row r="2366" spans="1:20" x14ac:dyDescent="0.3">
      <c r="A2366" t="str">
        <f>"0611832983100"</f>
        <v>0611832983100</v>
      </c>
      <c r="B2366" t="str">
        <f>"LY5684"</f>
        <v>LY5684</v>
      </c>
      <c r="C2366" t="s">
        <v>31821</v>
      </c>
      <c r="D2366" t="s">
        <v>28138</v>
      </c>
      <c r="E2366" t="str">
        <f t="shared" si="36"/>
        <v>001390</v>
      </c>
      <c r="F2366" t="s">
        <v>27246</v>
      </c>
      <c r="G2366" t="s">
        <v>27247</v>
      </c>
      <c r="H2366" t="s">
        <v>27248</v>
      </c>
      <c r="I2366" t="s">
        <v>31822</v>
      </c>
      <c r="J2366" t="s">
        <v>4743</v>
      </c>
      <c r="L2366" t="s">
        <v>27250</v>
      </c>
      <c r="M2366" t="s">
        <v>27251</v>
      </c>
      <c r="N2366" t="s">
        <v>27252</v>
      </c>
      <c r="P2366" t="s">
        <v>27925</v>
      </c>
      <c r="Q2366" s="1">
        <v>44538</v>
      </c>
      <c r="R2366" t="s">
        <v>27253</v>
      </c>
      <c r="S2366" t="s">
        <v>27254</v>
      </c>
      <c r="T2366" t="s">
        <v>27255</v>
      </c>
    </row>
    <row r="2367" spans="1:20" x14ac:dyDescent="0.3">
      <c r="A2367" t="str">
        <f>"0611832984100"</f>
        <v>0611832984100</v>
      </c>
      <c r="B2367" t="str">
        <f>"LY0235"</f>
        <v>LY0235</v>
      </c>
      <c r="C2367" t="s">
        <v>31823</v>
      </c>
      <c r="D2367" t="s">
        <v>28138</v>
      </c>
      <c r="E2367" t="str">
        <f t="shared" si="36"/>
        <v>001390</v>
      </c>
      <c r="F2367" t="s">
        <v>27246</v>
      </c>
      <c r="G2367" t="s">
        <v>27247</v>
      </c>
      <c r="H2367" t="s">
        <v>27248</v>
      </c>
      <c r="I2367" t="s">
        <v>31824</v>
      </c>
      <c r="J2367" t="s">
        <v>4745</v>
      </c>
      <c r="L2367" t="s">
        <v>27250</v>
      </c>
      <c r="M2367" t="s">
        <v>27251</v>
      </c>
      <c r="N2367" t="s">
        <v>27252</v>
      </c>
      <c r="P2367" t="s">
        <v>27925</v>
      </c>
      <c r="Q2367" s="1">
        <v>44538</v>
      </c>
      <c r="R2367" t="s">
        <v>27253</v>
      </c>
      <c r="S2367" t="s">
        <v>27254</v>
      </c>
      <c r="T2367" t="s">
        <v>27255</v>
      </c>
    </row>
    <row r="2368" spans="1:20" x14ac:dyDescent="0.3">
      <c r="A2368" t="str">
        <f>"0611832985100"</f>
        <v>0611832985100</v>
      </c>
      <c r="B2368" t="str">
        <f>"LY5685"</f>
        <v>LY5685</v>
      </c>
      <c r="C2368" t="s">
        <v>31825</v>
      </c>
      <c r="D2368" t="s">
        <v>28138</v>
      </c>
      <c r="E2368" t="str">
        <f t="shared" si="36"/>
        <v>001390</v>
      </c>
      <c r="F2368" t="s">
        <v>27246</v>
      </c>
      <c r="G2368" t="s">
        <v>27247</v>
      </c>
      <c r="H2368" t="s">
        <v>27248</v>
      </c>
      <c r="I2368" t="s">
        <v>31826</v>
      </c>
      <c r="J2368" t="s">
        <v>4747</v>
      </c>
      <c r="L2368" t="s">
        <v>27250</v>
      </c>
      <c r="M2368" t="s">
        <v>27251</v>
      </c>
      <c r="N2368" t="s">
        <v>27252</v>
      </c>
      <c r="P2368" t="s">
        <v>27925</v>
      </c>
      <c r="Q2368" s="1">
        <v>44538</v>
      </c>
      <c r="R2368" t="s">
        <v>27253</v>
      </c>
      <c r="S2368" t="s">
        <v>27254</v>
      </c>
      <c r="T2368" t="s">
        <v>27255</v>
      </c>
    </row>
    <row r="2369" spans="1:20" x14ac:dyDescent="0.3">
      <c r="A2369" t="str">
        <f>"0611832986100"</f>
        <v>0611832986100</v>
      </c>
      <c r="B2369" t="str">
        <f>"LY5686"</f>
        <v>LY5686</v>
      </c>
      <c r="C2369" t="s">
        <v>31827</v>
      </c>
      <c r="D2369" t="s">
        <v>28138</v>
      </c>
      <c r="E2369" t="str">
        <f t="shared" si="36"/>
        <v>001390</v>
      </c>
      <c r="F2369" t="s">
        <v>27246</v>
      </c>
      <c r="G2369" t="s">
        <v>27247</v>
      </c>
      <c r="H2369" t="s">
        <v>27248</v>
      </c>
      <c r="I2369" t="s">
        <v>31828</v>
      </c>
      <c r="J2369" t="s">
        <v>4749</v>
      </c>
      <c r="L2369" t="s">
        <v>27250</v>
      </c>
      <c r="M2369" t="s">
        <v>27251</v>
      </c>
      <c r="N2369" t="s">
        <v>27252</v>
      </c>
      <c r="P2369" t="s">
        <v>27925</v>
      </c>
      <c r="Q2369" s="1">
        <v>44538</v>
      </c>
      <c r="R2369" t="s">
        <v>27253</v>
      </c>
      <c r="S2369" t="s">
        <v>27254</v>
      </c>
      <c r="T2369" t="s">
        <v>27255</v>
      </c>
    </row>
    <row r="2370" spans="1:20" x14ac:dyDescent="0.3">
      <c r="A2370" t="str">
        <f>"0611832987100"</f>
        <v>0611832987100</v>
      </c>
      <c r="B2370" t="str">
        <f>"LY5687"</f>
        <v>LY5687</v>
      </c>
      <c r="C2370" t="s">
        <v>31829</v>
      </c>
      <c r="D2370" t="s">
        <v>28138</v>
      </c>
      <c r="E2370" t="str">
        <f t="shared" ref="E2370:E2433" si="37">"001390"</f>
        <v>001390</v>
      </c>
      <c r="F2370" t="s">
        <v>27246</v>
      </c>
      <c r="G2370" t="s">
        <v>27247</v>
      </c>
      <c r="H2370" t="s">
        <v>27248</v>
      </c>
      <c r="I2370" t="s">
        <v>31830</v>
      </c>
      <c r="J2370" t="s">
        <v>4751</v>
      </c>
      <c r="L2370" t="s">
        <v>27250</v>
      </c>
      <c r="M2370" t="s">
        <v>27251</v>
      </c>
      <c r="N2370" t="s">
        <v>27252</v>
      </c>
      <c r="P2370" t="s">
        <v>27925</v>
      </c>
      <c r="Q2370" s="1">
        <v>44538</v>
      </c>
      <c r="R2370" t="s">
        <v>27253</v>
      </c>
      <c r="S2370" t="s">
        <v>27254</v>
      </c>
      <c r="T2370" t="s">
        <v>27255</v>
      </c>
    </row>
    <row r="2371" spans="1:20" x14ac:dyDescent="0.3">
      <c r="A2371" t="str">
        <f>"0611861144050"</f>
        <v>0611861144050</v>
      </c>
      <c r="B2371" t="str">
        <f>"CR4555"</f>
        <v>CR4555</v>
      </c>
      <c r="C2371" t="s">
        <v>31831</v>
      </c>
      <c r="D2371" t="s">
        <v>27271</v>
      </c>
      <c r="E2371" t="str">
        <f t="shared" si="37"/>
        <v>001390</v>
      </c>
      <c r="F2371" t="s">
        <v>27246</v>
      </c>
      <c r="G2371" t="s">
        <v>27247</v>
      </c>
      <c r="H2371" t="s">
        <v>27248</v>
      </c>
      <c r="I2371" t="s">
        <v>31832</v>
      </c>
      <c r="J2371" t="s">
        <v>4753</v>
      </c>
      <c r="L2371" t="s">
        <v>27250</v>
      </c>
      <c r="M2371" t="s">
        <v>27251</v>
      </c>
      <c r="N2371" t="s">
        <v>27252</v>
      </c>
      <c r="P2371" t="s">
        <v>27341</v>
      </c>
      <c r="Q2371" s="1">
        <v>44846</v>
      </c>
      <c r="R2371" t="s">
        <v>27253</v>
      </c>
      <c r="S2371" t="s">
        <v>27254</v>
      </c>
      <c r="T2371" t="s">
        <v>27265</v>
      </c>
    </row>
    <row r="2372" spans="1:20" x14ac:dyDescent="0.3">
      <c r="A2372" t="str">
        <f>"0611861145050"</f>
        <v>0611861145050</v>
      </c>
      <c r="B2372" t="str">
        <f>"CR4556"</f>
        <v>CR4556</v>
      </c>
      <c r="C2372" t="s">
        <v>31833</v>
      </c>
      <c r="D2372" t="s">
        <v>27271</v>
      </c>
      <c r="E2372" t="str">
        <f t="shared" si="37"/>
        <v>001390</v>
      </c>
      <c r="F2372" t="s">
        <v>27246</v>
      </c>
      <c r="G2372" t="s">
        <v>27247</v>
      </c>
      <c r="H2372" t="s">
        <v>27248</v>
      </c>
      <c r="I2372" t="s">
        <v>31834</v>
      </c>
      <c r="J2372" t="s">
        <v>4755</v>
      </c>
      <c r="L2372" t="s">
        <v>27250</v>
      </c>
      <c r="M2372" t="s">
        <v>27251</v>
      </c>
      <c r="N2372" t="s">
        <v>27252</v>
      </c>
      <c r="P2372" t="s">
        <v>27341</v>
      </c>
      <c r="Q2372" s="1">
        <v>44846</v>
      </c>
      <c r="R2372" t="s">
        <v>27253</v>
      </c>
      <c r="S2372" t="s">
        <v>27254</v>
      </c>
      <c r="T2372" t="s">
        <v>27265</v>
      </c>
    </row>
    <row r="2373" spans="1:20" x14ac:dyDescent="0.3">
      <c r="A2373" t="str">
        <f>"0611861146050"</f>
        <v>0611861146050</v>
      </c>
      <c r="B2373" t="str">
        <f>"CR4557"</f>
        <v>CR4557</v>
      </c>
      <c r="C2373" t="s">
        <v>31835</v>
      </c>
      <c r="D2373" t="s">
        <v>27271</v>
      </c>
      <c r="E2373" t="str">
        <f t="shared" si="37"/>
        <v>001390</v>
      </c>
      <c r="F2373" t="s">
        <v>27246</v>
      </c>
      <c r="G2373" t="s">
        <v>27247</v>
      </c>
      <c r="H2373" t="s">
        <v>27248</v>
      </c>
      <c r="I2373" t="s">
        <v>31836</v>
      </c>
      <c r="J2373" t="s">
        <v>4757</v>
      </c>
      <c r="L2373" t="s">
        <v>27250</v>
      </c>
      <c r="M2373" t="s">
        <v>27251</v>
      </c>
      <c r="N2373" t="s">
        <v>27252</v>
      </c>
      <c r="P2373" t="s">
        <v>27341</v>
      </c>
      <c r="Q2373" s="1">
        <v>44846</v>
      </c>
      <c r="R2373" t="s">
        <v>27253</v>
      </c>
      <c r="S2373" t="s">
        <v>27254</v>
      </c>
      <c r="T2373" t="s">
        <v>27265</v>
      </c>
    </row>
    <row r="2374" spans="1:20" x14ac:dyDescent="0.3">
      <c r="A2374" t="str">
        <f>"0611832988100"</f>
        <v>0611832988100</v>
      </c>
      <c r="B2374" t="str">
        <f>"LY0010"</f>
        <v>LY0010</v>
      </c>
      <c r="C2374" t="s">
        <v>31837</v>
      </c>
      <c r="D2374" t="s">
        <v>28138</v>
      </c>
      <c r="E2374" t="str">
        <f t="shared" si="37"/>
        <v>001390</v>
      </c>
      <c r="F2374" t="s">
        <v>27246</v>
      </c>
      <c r="G2374" t="s">
        <v>27247</v>
      </c>
      <c r="H2374" t="s">
        <v>27248</v>
      </c>
      <c r="I2374" t="s">
        <v>31838</v>
      </c>
      <c r="J2374" t="s">
        <v>4759</v>
      </c>
      <c r="L2374" t="s">
        <v>27250</v>
      </c>
      <c r="M2374" t="s">
        <v>27251</v>
      </c>
      <c r="N2374" t="s">
        <v>27252</v>
      </c>
      <c r="P2374" t="s">
        <v>27925</v>
      </c>
      <c r="Q2374" s="1">
        <v>44538</v>
      </c>
      <c r="R2374" t="s">
        <v>27253</v>
      </c>
      <c r="S2374" t="s">
        <v>27254</v>
      </c>
      <c r="T2374" t="s">
        <v>27255</v>
      </c>
    </row>
    <row r="2375" spans="1:20" x14ac:dyDescent="0.3">
      <c r="A2375" t="str">
        <f>"0611832989100"</f>
        <v>0611832989100</v>
      </c>
      <c r="B2375" t="str">
        <f>"LY5688"</f>
        <v>LY5688</v>
      </c>
      <c r="C2375" t="s">
        <v>31839</v>
      </c>
      <c r="D2375" t="s">
        <v>28138</v>
      </c>
      <c r="E2375" t="str">
        <f t="shared" si="37"/>
        <v>001390</v>
      </c>
      <c r="F2375" t="s">
        <v>27246</v>
      </c>
      <c r="G2375" t="s">
        <v>27247</v>
      </c>
      <c r="H2375" t="s">
        <v>27248</v>
      </c>
      <c r="I2375" t="s">
        <v>31840</v>
      </c>
      <c r="J2375" t="s">
        <v>4761</v>
      </c>
      <c r="L2375" t="s">
        <v>27250</v>
      </c>
      <c r="M2375" t="s">
        <v>27251</v>
      </c>
      <c r="N2375" t="s">
        <v>27252</v>
      </c>
      <c r="P2375" t="s">
        <v>27925</v>
      </c>
      <c r="Q2375" s="1">
        <v>44538</v>
      </c>
      <c r="R2375" t="s">
        <v>27253</v>
      </c>
      <c r="S2375" t="s">
        <v>27254</v>
      </c>
      <c r="T2375" t="s">
        <v>27255</v>
      </c>
    </row>
    <row r="2376" spans="1:20" x14ac:dyDescent="0.3">
      <c r="A2376" t="str">
        <f>"0611832990100"</f>
        <v>0611832990100</v>
      </c>
      <c r="B2376" t="str">
        <f>"LY0011"</f>
        <v>LY0011</v>
      </c>
      <c r="C2376" t="s">
        <v>31841</v>
      </c>
      <c r="D2376" t="s">
        <v>28138</v>
      </c>
      <c r="E2376" t="str">
        <f t="shared" si="37"/>
        <v>001390</v>
      </c>
      <c r="F2376" t="s">
        <v>27246</v>
      </c>
      <c r="G2376" t="s">
        <v>27247</v>
      </c>
      <c r="H2376" t="s">
        <v>27248</v>
      </c>
      <c r="I2376" t="s">
        <v>31842</v>
      </c>
      <c r="J2376" t="s">
        <v>4763</v>
      </c>
      <c r="L2376" t="s">
        <v>27250</v>
      </c>
      <c r="M2376" t="s">
        <v>27251</v>
      </c>
      <c r="N2376" t="s">
        <v>27252</v>
      </c>
      <c r="P2376" t="s">
        <v>27925</v>
      </c>
      <c r="Q2376" s="1">
        <v>44538</v>
      </c>
      <c r="R2376" t="s">
        <v>27253</v>
      </c>
      <c r="S2376" t="s">
        <v>27254</v>
      </c>
      <c r="T2376" t="s">
        <v>27255</v>
      </c>
    </row>
    <row r="2377" spans="1:20" x14ac:dyDescent="0.3">
      <c r="A2377" t="str">
        <f>"0611832991100"</f>
        <v>0611832991100</v>
      </c>
      <c r="B2377" t="str">
        <f>"LY5629"</f>
        <v>LY5629</v>
      </c>
      <c r="C2377" t="s">
        <v>31843</v>
      </c>
      <c r="D2377" t="s">
        <v>28138</v>
      </c>
      <c r="E2377" t="str">
        <f t="shared" si="37"/>
        <v>001390</v>
      </c>
      <c r="F2377" t="s">
        <v>27246</v>
      </c>
      <c r="G2377" t="s">
        <v>27247</v>
      </c>
      <c r="H2377" t="s">
        <v>27248</v>
      </c>
      <c r="I2377" t="s">
        <v>31844</v>
      </c>
      <c r="J2377" t="s">
        <v>4765</v>
      </c>
      <c r="L2377" t="s">
        <v>27250</v>
      </c>
      <c r="M2377" t="s">
        <v>27251</v>
      </c>
      <c r="N2377" t="s">
        <v>27252</v>
      </c>
      <c r="P2377" t="s">
        <v>27925</v>
      </c>
      <c r="Q2377" s="1">
        <v>44538</v>
      </c>
      <c r="R2377" t="s">
        <v>27253</v>
      </c>
      <c r="S2377" t="s">
        <v>27254</v>
      </c>
      <c r="T2377" t="s">
        <v>27255</v>
      </c>
    </row>
    <row r="2378" spans="1:20" x14ac:dyDescent="0.3">
      <c r="A2378" t="str">
        <f>"0611832992100"</f>
        <v>0611832992100</v>
      </c>
      <c r="B2378" t="str">
        <f>"LY5600"</f>
        <v>LY5600</v>
      </c>
      <c r="C2378" t="s">
        <v>31845</v>
      </c>
      <c r="D2378" t="s">
        <v>28138</v>
      </c>
      <c r="E2378" t="str">
        <f t="shared" si="37"/>
        <v>001390</v>
      </c>
      <c r="F2378" t="s">
        <v>27246</v>
      </c>
      <c r="G2378" t="s">
        <v>27247</v>
      </c>
      <c r="H2378" t="s">
        <v>27248</v>
      </c>
      <c r="I2378" t="s">
        <v>31846</v>
      </c>
      <c r="J2378" t="s">
        <v>4767</v>
      </c>
      <c r="L2378" t="s">
        <v>27250</v>
      </c>
      <c r="M2378" t="s">
        <v>27251</v>
      </c>
      <c r="N2378" t="s">
        <v>27252</v>
      </c>
      <c r="P2378" t="s">
        <v>27925</v>
      </c>
      <c r="Q2378" s="1">
        <v>44538</v>
      </c>
      <c r="R2378" t="s">
        <v>27253</v>
      </c>
      <c r="S2378" t="s">
        <v>27254</v>
      </c>
      <c r="T2378" t="s">
        <v>27255</v>
      </c>
    </row>
    <row r="2379" spans="1:20" x14ac:dyDescent="0.3">
      <c r="A2379" t="str">
        <f>"0611832993100"</f>
        <v>0611832993100</v>
      </c>
      <c r="B2379" t="str">
        <f>"LH2002"</f>
        <v>LH2002</v>
      </c>
      <c r="C2379" t="s">
        <v>31847</v>
      </c>
      <c r="D2379" t="s">
        <v>27245</v>
      </c>
      <c r="E2379" t="str">
        <f t="shared" si="37"/>
        <v>001390</v>
      </c>
      <c r="F2379" t="s">
        <v>27246</v>
      </c>
      <c r="G2379" t="s">
        <v>27247</v>
      </c>
      <c r="H2379" t="s">
        <v>27248</v>
      </c>
      <c r="I2379" t="s">
        <v>31848</v>
      </c>
      <c r="J2379" t="s">
        <v>4769</v>
      </c>
      <c r="L2379" t="s">
        <v>27250</v>
      </c>
      <c r="M2379" t="s">
        <v>27251</v>
      </c>
      <c r="N2379" t="s">
        <v>27252</v>
      </c>
      <c r="Q2379" s="1">
        <v>44538</v>
      </c>
      <c r="R2379" t="s">
        <v>27253</v>
      </c>
      <c r="S2379" t="s">
        <v>27254</v>
      </c>
      <c r="T2379" t="s">
        <v>27255</v>
      </c>
    </row>
    <row r="2380" spans="1:20" x14ac:dyDescent="0.3">
      <c r="A2380" t="str">
        <f>"0611832994025"</f>
        <v>0611832994025</v>
      </c>
      <c r="B2380" t="str">
        <f>"MC3387"</f>
        <v>MC3387</v>
      </c>
      <c r="C2380" t="s">
        <v>31847</v>
      </c>
      <c r="D2380" t="s">
        <v>27267</v>
      </c>
      <c r="E2380" t="str">
        <f t="shared" si="37"/>
        <v>001390</v>
      </c>
      <c r="F2380" t="s">
        <v>27246</v>
      </c>
      <c r="G2380" t="s">
        <v>27247</v>
      </c>
      <c r="H2380" t="s">
        <v>27248</v>
      </c>
      <c r="I2380" t="s">
        <v>31849</v>
      </c>
      <c r="J2380" t="s">
        <v>4771</v>
      </c>
      <c r="L2380" t="s">
        <v>27250</v>
      </c>
      <c r="M2380" t="s">
        <v>27251</v>
      </c>
      <c r="N2380" t="s">
        <v>27252</v>
      </c>
      <c r="Q2380" s="1">
        <v>44538</v>
      </c>
      <c r="R2380" t="s">
        <v>27253</v>
      </c>
      <c r="S2380" t="s">
        <v>27254</v>
      </c>
      <c r="T2380" t="s">
        <v>27269</v>
      </c>
    </row>
    <row r="2381" spans="1:20" x14ac:dyDescent="0.3">
      <c r="A2381" t="str">
        <f>"0611832995100"</f>
        <v>0611832995100</v>
      </c>
      <c r="B2381" t="str">
        <f>"LY5677"</f>
        <v>LY5677</v>
      </c>
      <c r="C2381" t="s">
        <v>31850</v>
      </c>
      <c r="D2381" t="s">
        <v>28138</v>
      </c>
      <c r="E2381" t="str">
        <f t="shared" si="37"/>
        <v>001390</v>
      </c>
      <c r="F2381" t="s">
        <v>27246</v>
      </c>
      <c r="G2381" t="s">
        <v>27247</v>
      </c>
      <c r="H2381" t="s">
        <v>27248</v>
      </c>
      <c r="I2381" t="s">
        <v>31851</v>
      </c>
      <c r="J2381" t="s">
        <v>4773</v>
      </c>
      <c r="L2381" t="s">
        <v>27250</v>
      </c>
      <c r="M2381" t="s">
        <v>27251</v>
      </c>
      <c r="N2381" t="s">
        <v>27252</v>
      </c>
      <c r="P2381" t="s">
        <v>27925</v>
      </c>
      <c r="Q2381" s="1">
        <v>44538</v>
      </c>
      <c r="R2381" t="s">
        <v>27253</v>
      </c>
      <c r="S2381" t="s">
        <v>27254</v>
      </c>
      <c r="T2381" t="s">
        <v>27255</v>
      </c>
    </row>
    <row r="2382" spans="1:20" x14ac:dyDescent="0.3">
      <c r="A2382" t="str">
        <f>"0611861147050"</f>
        <v>0611861147050</v>
      </c>
      <c r="B2382" t="str">
        <f>"CR4558"</f>
        <v>CR4558</v>
      </c>
      <c r="C2382" t="s">
        <v>31852</v>
      </c>
      <c r="D2382" t="s">
        <v>27271</v>
      </c>
      <c r="E2382" t="str">
        <f t="shared" si="37"/>
        <v>001390</v>
      </c>
      <c r="F2382" t="s">
        <v>27246</v>
      </c>
      <c r="G2382" t="s">
        <v>27247</v>
      </c>
      <c r="H2382" t="s">
        <v>27248</v>
      </c>
      <c r="I2382" t="s">
        <v>31853</v>
      </c>
      <c r="J2382" t="s">
        <v>4775</v>
      </c>
      <c r="L2382" t="s">
        <v>27250</v>
      </c>
      <c r="M2382" t="s">
        <v>27251</v>
      </c>
      <c r="N2382" t="s">
        <v>27252</v>
      </c>
      <c r="P2382" t="s">
        <v>27341</v>
      </c>
      <c r="Q2382" s="1">
        <v>44846</v>
      </c>
      <c r="R2382" t="s">
        <v>27253</v>
      </c>
      <c r="S2382" t="s">
        <v>27254</v>
      </c>
      <c r="T2382" t="s">
        <v>27265</v>
      </c>
    </row>
    <row r="2383" spans="1:20" x14ac:dyDescent="0.3">
      <c r="A2383" t="str">
        <f>"0611861148050"</f>
        <v>0611861148050</v>
      </c>
      <c r="B2383" t="str">
        <f>"CR4559"</f>
        <v>CR4559</v>
      </c>
      <c r="C2383" t="s">
        <v>31854</v>
      </c>
      <c r="D2383" t="s">
        <v>27271</v>
      </c>
      <c r="E2383" t="str">
        <f t="shared" si="37"/>
        <v>001390</v>
      </c>
      <c r="F2383" t="s">
        <v>27246</v>
      </c>
      <c r="G2383" t="s">
        <v>27247</v>
      </c>
      <c r="H2383" t="s">
        <v>27248</v>
      </c>
      <c r="I2383" t="s">
        <v>31855</v>
      </c>
      <c r="J2383" t="s">
        <v>4777</v>
      </c>
      <c r="L2383" t="s">
        <v>27250</v>
      </c>
      <c r="M2383" t="s">
        <v>27251</v>
      </c>
      <c r="N2383" t="s">
        <v>27252</v>
      </c>
      <c r="P2383" t="s">
        <v>27341</v>
      </c>
      <c r="Q2383" s="1">
        <v>44846</v>
      </c>
      <c r="R2383" t="s">
        <v>27253</v>
      </c>
      <c r="S2383" t="s">
        <v>27254</v>
      </c>
      <c r="T2383" t="s">
        <v>27265</v>
      </c>
    </row>
    <row r="2384" spans="1:20" x14ac:dyDescent="0.3">
      <c r="A2384" t="str">
        <f>"0611861149050"</f>
        <v>0611861149050</v>
      </c>
      <c r="B2384" t="str">
        <f>"CR5054"</f>
        <v>CR5054</v>
      </c>
      <c r="C2384" t="s">
        <v>31856</v>
      </c>
      <c r="D2384" t="s">
        <v>27271</v>
      </c>
      <c r="E2384" t="str">
        <f t="shared" si="37"/>
        <v>001390</v>
      </c>
      <c r="F2384" t="s">
        <v>27246</v>
      </c>
      <c r="G2384" t="s">
        <v>27247</v>
      </c>
      <c r="H2384" t="s">
        <v>27248</v>
      </c>
      <c r="I2384" t="s">
        <v>31857</v>
      </c>
      <c r="J2384" t="s">
        <v>4779</v>
      </c>
      <c r="L2384" t="s">
        <v>27250</v>
      </c>
      <c r="M2384" t="s">
        <v>27251</v>
      </c>
      <c r="N2384" t="s">
        <v>27252</v>
      </c>
      <c r="P2384" t="s">
        <v>27341</v>
      </c>
      <c r="Q2384" s="1">
        <v>44846</v>
      </c>
      <c r="R2384" t="s">
        <v>27253</v>
      </c>
      <c r="S2384" t="s">
        <v>27254</v>
      </c>
      <c r="T2384" t="s">
        <v>27265</v>
      </c>
    </row>
    <row r="2385" spans="1:20" x14ac:dyDescent="0.3">
      <c r="A2385" t="str">
        <f>"0611861150050"</f>
        <v>0611861150050</v>
      </c>
      <c r="B2385" t="str">
        <f>"CR4560"</f>
        <v>CR4560</v>
      </c>
      <c r="C2385" t="s">
        <v>31858</v>
      </c>
      <c r="D2385" t="s">
        <v>27271</v>
      </c>
      <c r="E2385" t="str">
        <f t="shared" si="37"/>
        <v>001390</v>
      </c>
      <c r="F2385" t="s">
        <v>27246</v>
      </c>
      <c r="G2385" t="s">
        <v>27247</v>
      </c>
      <c r="H2385" t="s">
        <v>27248</v>
      </c>
      <c r="I2385" t="s">
        <v>31859</v>
      </c>
      <c r="J2385" t="s">
        <v>4781</v>
      </c>
      <c r="L2385" t="s">
        <v>27250</v>
      </c>
      <c r="M2385" t="s">
        <v>27251</v>
      </c>
      <c r="N2385" t="s">
        <v>27252</v>
      </c>
      <c r="P2385" t="s">
        <v>27341</v>
      </c>
      <c r="Q2385" s="1">
        <v>44846</v>
      </c>
      <c r="R2385" t="s">
        <v>27253</v>
      </c>
      <c r="S2385" t="s">
        <v>27254</v>
      </c>
      <c r="T2385" t="s">
        <v>27265</v>
      </c>
    </row>
    <row r="2386" spans="1:20" x14ac:dyDescent="0.3">
      <c r="A2386" t="str">
        <f>"0611861151050"</f>
        <v>0611861151050</v>
      </c>
      <c r="B2386" t="str">
        <f>"CR4561"</f>
        <v>CR4561</v>
      </c>
      <c r="C2386" t="s">
        <v>31860</v>
      </c>
      <c r="D2386" t="s">
        <v>27271</v>
      </c>
      <c r="E2386" t="str">
        <f t="shared" si="37"/>
        <v>001390</v>
      </c>
      <c r="F2386" t="s">
        <v>27246</v>
      </c>
      <c r="G2386" t="s">
        <v>27247</v>
      </c>
      <c r="H2386" t="s">
        <v>27248</v>
      </c>
      <c r="I2386" t="s">
        <v>31861</v>
      </c>
      <c r="J2386" t="s">
        <v>4783</v>
      </c>
      <c r="L2386" t="s">
        <v>27250</v>
      </c>
      <c r="M2386" t="s">
        <v>27251</v>
      </c>
      <c r="N2386" t="s">
        <v>27252</v>
      </c>
      <c r="P2386" t="s">
        <v>27341</v>
      </c>
      <c r="Q2386" s="1">
        <v>44846</v>
      </c>
      <c r="R2386" t="s">
        <v>27253</v>
      </c>
      <c r="S2386" t="s">
        <v>27254</v>
      </c>
      <c r="T2386" t="s">
        <v>27265</v>
      </c>
    </row>
    <row r="2387" spans="1:20" x14ac:dyDescent="0.3">
      <c r="A2387" t="str">
        <f>"0611832996100"</f>
        <v>0611832996100</v>
      </c>
      <c r="B2387" t="str">
        <f>"LY5662"</f>
        <v>LY5662</v>
      </c>
      <c r="C2387" t="s">
        <v>31862</v>
      </c>
      <c r="D2387" t="s">
        <v>28138</v>
      </c>
      <c r="E2387" t="str">
        <f t="shared" si="37"/>
        <v>001390</v>
      </c>
      <c r="F2387" t="s">
        <v>27246</v>
      </c>
      <c r="G2387" t="s">
        <v>27247</v>
      </c>
      <c r="H2387" t="s">
        <v>27248</v>
      </c>
      <c r="I2387" t="s">
        <v>31863</v>
      </c>
      <c r="J2387" t="s">
        <v>4785</v>
      </c>
      <c r="L2387" t="s">
        <v>27250</v>
      </c>
      <c r="M2387" t="s">
        <v>27251</v>
      </c>
      <c r="N2387" t="s">
        <v>27252</v>
      </c>
      <c r="P2387" t="s">
        <v>27925</v>
      </c>
      <c r="Q2387" s="1">
        <v>44538</v>
      </c>
      <c r="R2387" t="s">
        <v>27253</v>
      </c>
      <c r="S2387" t="s">
        <v>27254</v>
      </c>
      <c r="T2387" t="s">
        <v>27255</v>
      </c>
    </row>
    <row r="2388" spans="1:20" x14ac:dyDescent="0.3">
      <c r="A2388" t="str">
        <f>"0611832997100"</f>
        <v>0611832997100</v>
      </c>
      <c r="B2388" t="str">
        <f>"LY5663"</f>
        <v>LY5663</v>
      </c>
      <c r="C2388" t="s">
        <v>31864</v>
      </c>
      <c r="D2388" t="s">
        <v>28138</v>
      </c>
      <c r="E2388" t="str">
        <f t="shared" si="37"/>
        <v>001390</v>
      </c>
      <c r="F2388" t="s">
        <v>27246</v>
      </c>
      <c r="G2388" t="s">
        <v>27247</v>
      </c>
      <c r="H2388" t="s">
        <v>27248</v>
      </c>
      <c r="I2388" t="s">
        <v>31865</v>
      </c>
      <c r="J2388" t="s">
        <v>4787</v>
      </c>
      <c r="L2388" t="s">
        <v>27250</v>
      </c>
      <c r="M2388" t="s">
        <v>27251</v>
      </c>
      <c r="N2388" t="s">
        <v>27252</v>
      </c>
      <c r="P2388" t="s">
        <v>27925</v>
      </c>
      <c r="Q2388" s="1">
        <v>44538</v>
      </c>
      <c r="R2388" t="s">
        <v>27253</v>
      </c>
      <c r="S2388" t="s">
        <v>27254</v>
      </c>
      <c r="T2388" t="s">
        <v>27255</v>
      </c>
    </row>
    <row r="2389" spans="1:20" x14ac:dyDescent="0.3">
      <c r="A2389" t="str">
        <f>"0611832998100"</f>
        <v>0611832998100</v>
      </c>
      <c r="B2389" t="str">
        <f>"LY5664"</f>
        <v>LY5664</v>
      </c>
      <c r="C2389" t="s">
        <v>31866</v>
      </c>
      <c r="D2389" t="s">
        <v>28138</v>
      </c>
      <c r="E2389" t="str">
        <f t="shared" si="37"/>
        <v>001390</v>
      </c>
      <c r="F2389" t="s">
        <v>27246</v>
      </c>
      <c r="G2389" t="s">
        <v>27247</v>
      </c>
      <c r="H2389" t="s">
        <v>27248</v>
      </c>
      <c r="I2389" t="s">
        <v>31867</v>
      </c>
      <c r="J2389" t="s">
        <v>4789</v>
      </c>
      <c r="L2389" t="s">
        <v>27250</v>
      </c>
      <c r="M2389" t="s">
        <v>27251</v>
      </c>
      <c r="N2389" t="s">
        <v>27252</v>
      </c>
      <c r="P2389" t="s">
        <v>27925</v>
      </c>
      <c r="Q2389" s="1">
        <v>44538</v>
      </c>
      <c r="R2389" t="s">
        <v>27253</v>
      </c>
      <c r="S2389" t="s">
        <v>27254</v>
      </c>
      <c r="T2389" t="s">
        <v>27255</v>
      </c>
    </row>
    <row r="2390" spans="1:20" x14ac:dyDescent="0.3">
      <c r="A2390" t="str">
        <f>"0611832999100"</f>
        <v>0611832999100</v>
      </c>
      <c r="B2390" t="str">
        <f>"LY5665"</f>
        <v>LY5665</v>
      </c>
      <c r="C2390" t="s">
        <v>31868</v>
      </c>
      <c r="D2390" t="s">
        <v>28138</v>
      </c>
      <c r="E2390" t="str">
        <f t="shared" si="37"/>
        <v>001390</v>
      </c>
      <c r="F2390" t="s">
        <v>27246</v>
      </c>
      <c r="G2390" t="s">
        <v>27247</v>
      </c>
      <c r="H2390" t="s">
        <v>27248</v>
      </c>
      <c r="I2390" t="s">
        <v>31869</v>
      </c>
      <c r="J2390" t="s">
        <v>4791</v>
      </c>
      <c r="L2390" t="s">
        <v>27250</v>
      </c>
      <c r="M2390" t="s">
        <v>27251</v>
      </c>
      <c r="N2390" t="s">
        <v>27252</v>
      </c>
      <c r="P2390" t="s">
        <v>27925</v>
      </c>
      <c r="Q2390" s="1">
        <v>44538</v>
      </c>
      <c r="R2390" t="s">
        <v>27253</v>
      </c>
      <c r="S2390" t="s">
        <v>27254</v>
      </c>
      <c r="T2390" t="s">
        <v>27255</v>
      </c>
    </row>
    <row r="2391" spans="1:20" x14ac:dyDescent="0.3">
      <c r="A2391" t="str">
        <f>"0611833000100"</f>
        <v>0611833000100</v>
      </c>
      <c r="B2391" t="str">
        <f>"LY0004"</f>
        <v>LY0004</v>
      </c>
      <c r="C2391" t="s">
        <v>31870</v>
      </c>
      <c r="D2391" t="s">
        <v>28138</v>
      </c>
      <c r="E2391" t="str">
        <f t="shared" si="37"/>
        <v>001390</v>
      </c>
      <c r="F2391" t="s">
        <v>27246</v>
      </c>
      <c r="G2391" t="s">
        <v>27247</v>
      </c>
      <c r="H2391" t="s">
        <v>27248</v>
      </c>
      <c r="I2391" t="s">
        <v>31871</v>
      </c>
      <c r="J2391" t="s">
        <v>4793</v>
      </c>
      <c r="L2391" t="s">
        <v>27250</v>
      </c>
      <c r="M2391" t="s">
        <v>27251</v>
      </c>
      <c r="N2391" t="s">
        <v>27252</v>
      </c>
      <c r="P2391" t="s">
        <v>27925</v>
      </c>
      <c r="Q2391" s="1">
        <v>44538</v>
      </c>
      <c r="R2391" t="s">
        <v>27253</v>
      </c>
      <c r="S2391" t="s">
        <v>27254</v>
      </c>
      <c r="T2391" t="s">
        <v>27255</v>
      </c>
    </row>
    <row r="2392" spans="1:20" x14ac:dyDescent="0.3">
      <c r="A2392" t="str">
        <f>"0611833001100"</f>
        <v>0611833001100</v>
      </c>
      <c r="B2392" t="str">
        <f>"LY5666"</f>
        <v>LY5666</v>
      </c>
      <c r="C2392" t="s">
        <v>31872</v>
      </c>
      <c r="D2392" t="s">
        <v>28138</v>
      </c>
      <c r="E2392" t="str">
        <f t="shared" si="37"/>
        <v>001390</v>
      </c>
      <c r="F2392" t="s">
        <v>27246</v>
      </c>
      <c r="G2392" t="s">
        <v>27247</v>
      </c>
      <c r="H2392" t="s">
        <v>27248</v>
      </c>
      <c r="I2392" t="s">
        <v>31873</v>
      </c>
      <c r="J2392" t="s">
        <v>4795</v>
      </c>
      <c r="L2392" t="s">
        <v>27250</v>
      </c>
      <c r="M2392" t="s">
        <v>27251</v>
      </c>
      <c r="N2392" t="s">
        <v>27252</v>
      </c>
      <c r="P2392" t="s">
        <v>27925</v>
      </c>
      <c r="Q2392" s="1">
        <v>44538</v>
      </c>
      <c r="R2392" t="s">
        <v>27253</v>
      </c>
      <c r="S2392" t="s">
        <v>27254</v>
      </c>
      <c r="T2392" t="s">
        <v>27255</v>
      </c>
    </row>
    <row r="2393" spans="1:20" x14ac:dyDescent="0.3">
      <c r="A2393" t="str">
        <f>"0611861152050"</f>
        <v>0611861152050</v>
      </c>
      <c r="B2393" t="str">
        <f>"CR5055"</f>
        <v>CR5055</v>
      </c>
      <c r="C2393" t="s">
        <v>31874</v>
      </c>
      <c r="D2393" t="s">
        <v>27271</v>
      </c>
      <c r="E2393" t="str">
        <f t="shared" si="37"/>
        <v>001390</v>
      </c>
      <c r="F2393" t="s">
        <v>27246</v>
      </c>
      <c r="G2393" t="s">
        <v>27247</v>
      </c>
      <c r="H2393" t="s">
        <v>27248</v>
      </c>
      <c r="I2393" t="s">
        <v>31875</v>
      </c>
      <c r="J2393" t="s">
        <v>4797</v>
      </c>
      <c r="L2393" t="s">
        <v>27250</v>
      </c>
      <c r="M2393" t="s">
        <v>27251</v>
      </c>
      <c r="N2393" t="s">
        <v>27252</v>
      </c>
      <c r="P2393" t="s">
        <v>27341</v>
      </c>
      <c r="Q2393" s="1">
        <v>44846</v>
      </c>
      <c r="R2393" t="s">
        <v>27253</v>
      </c>
      <c r="S2393" t="s">
        <v>27254</v>
      </c>
      <c r="T2393" t="s">
        <v>27265</v>
      </c>
    </row>
    <row r="2394" spans="1:20" x14ac:dyDescent="0.3">
      <c r="A2394" t="str">
        <f>"0611861153050"</f>
        <v>0611861153050</v>
      </c>
      <c r="B2394" t="str">
        <f>"CR5056"</f>
        <v>CR5056</v>
      </c>
      <c r="C2394" t="s">
        <v>31876</v>
      </c>
      <c r="D2394" t="s">
        <v>27271</v>
      </c>
      <c r="E2394" t="str">
        <f t="shared" si="37"/>
        <v>001390</v>
      </c>
      <c r="F2394" t="s">
        <v>27246</v>
      </c>
      <c r="G2394" t="s">
        <v>27247</v>
      </c>
      <c r="H2394" t="s">
        <v>27248</v>
      </c>
      <c r="I2394" t="s">
        <v>31877</v>
      </c>
      <c r="J2394" t="s">
        <v>4799</v>
      </c>
      <c r="L2394" t="s">
        <v>27250</v>
      </c>
      <c r="M2394" t="s">
        <v>27251</v>
      </c>
      <c r="N2394" t="s">
        <v>27252</v>
      </c>
      <c r="P2394" t="s">
        <v>27341</v>
      </c>
      <c r="Q2394" s="1">
        <v>44846</v>
      </c>
      <c r="R2394" t="s">
        <v>27253</v>
      </c>
      <c r="S2394" t="s">
        <v>27254</v>
      </c>
      <c r="T2394" t="s">
        <v>27265</v>
      </c>
    </row>
    <row r="2395" spans="1:20" x14ac:dyDescent="0.3">
      <c r="A2395" t="str">
        <f>"0611861154050"</f>
        <v>0611861154050</v>
      </c>
      <c r="B2395" t="str">
        <f>"CR5057"</f>
        <v>CR5057</v>
      </c>
      <c r="C2395" t="s">
        <v>31878</v>
      </c>
      <c r="D2395" t="s">
        <v>27271</v>
      </c>
      <c r="E2395" t="str">
        <f t="shared" si="37"/>
        <v>001390</v>
      </c>
      <c r="F2395" t="s">
        <v>27246</v>
      </c>
      <c r="G2395" t="s">
        <v>27247</v>
      </c>
      <c r="H2395" t="s">
        <v>27248</v>
      </c>
      <c r="I2395" t="s">
        <v>31879</v>
      </c>
      <c r="J2395" t="s">
        <v>4801</v>
      </c>
      <c r="L2395" t="s">
        <v>27250</v>
      </c>
      <c r="M2395" t="s">
        <v>27251</v>
      </c>
      <c r="N2395" t="s">
        <v>27252</v>
      </c>
      <c r="P2395" t="s">
        <v>27341</v>
      </c>
      <c r="Q2395" s="1">
        <v>44846</v>
      </c>
      <c r="R2395" t="s">
        <v>27253</v>
      </c>
      <c r="S2395" t="s">
        <v>27254</v>
      </c>
      <c r="T2395" t="s">
        <v>27265</v>
      </c>
    </row>
    <row r="2396" spans="1:20" x14ac:dyDescent="0.3">
      <c r="A2396" t="str">
        <f>"0611856869100"</f>
        <v>0611856869100</v>
      </c>
      <c r="B2396" t="str">
        <f>"LY5733"</f>
        <v>LY5733</v>
      </c>
      <c r="C2396" t="s">
        <v>31880</v>
      </c>
      <c r="D2396" t="s">
        <v>28138</v>
      </c>
      <c r="E2396" t="str">
        <f t="shared" si="37"/>
        <v>001390</v>
      </c>
      <c r="F2396" t="s">
        <v>27246</v>
      </c>
      <c r="G2396" t="s">
        <v>27247</v>
      </c>
      <c r="H2396" t="s">
        <v>27248</v>
      </c>
      <c r="I2396" t="s">
        <v>31881</v>
      </c>
      <c r="J2396" t="s">
        <v>4803</v>
      </c>
      <c r="L2396" t="s">
        <v>27250</v>
      </c>
      <c r="M2396" t="s">
        <v>27251</v>
      </c>
      <c r="N2396" t="s">
        <v>27252</v>
      </c>
      <c r="P2396" t="s">
        <v>27925</v>
      </c>
      <c r="Q2396" s="1">
        <v>44812</v>
      </c>
      <c r="R2396" t="s">
        <v>27253</v>
      </c>
      <c r="S2396" t="s">
        <v>27254</v>
      </c>
      <c r="T2396" t="s">
        <v>27255</v>
      </c>
    </row>
    <row r="2397" spans="1:20" x14ac:dyDescent="0.3">
      <c r="A2397" t="str">
        <f>"0611856870100"</f>
        <v>0611856870100</v>
      </c>
      <c r="B2397" t="str">
        <f>"LY5734"</f>
        <v>LY5734</v>
      </c>
      <c r="C2397" t="s">
        <v>31882</v>
      </c>
      <c r="D2397" t="s">
        <v>28138</v>
      </c>
      <c r="E2397" t="str">
        <f t="shared" si="37"/>
        <v>001390</v>
      </c>
      <c r="F2397" t="s">
        <v>27246</v>
      </c>
      <c r="G2397" t="s">
        <v>27247</v>
      </c>
      <c r="H2397" t="s">
        <v>27248</v>
      </c>
      <c r="I2397" t="s">
        <v>31883</v>
      </c>
      <c r="J2397" t="s">
        <v>4805</v>
      </c>
      <c r="L2397" t="s">
        <v>27250</v>
      </c>
      <c r="M2397" t="s">
        <v>27251</v>
      </c>
      <c r="N2397" t="s">
        <v>27252</v>
      </c>
      <c r="P2397" t="s">
        <v>27925</v>
      </c>
      <c r="Q2397" s="1">
        <v>44812</v>
      </c>
      <c r="R2397" t="s">
        <v>27253</v>
      </c>
      <c r="S2397" t="s">
        <v>27254</v>
      </c>
      <c r="T2397" t="s">
        <v>27255</v>
      </c>
    </row>
    <row r="2398" spans="1:20" x14ac:dyDescent="0.3">
      <c r="A2398" t="str">
        <f>"0611861156050"</f>
        <v>0611861156050</v>
      </c>
      <c r="B2398" t="str">
        <f>"CR4562"</f>
        <v>CR4562</v>
      </c>
      <c r="C2398" t="s">
        <v>31884</v>
      </c>
      <c r="D2398" t="s">
        <v>27271</v>
      </c>
      <c r="E2398" t="str">
        <f t="shared" si="37"/>
        <v>001390</v>
      </c>
      <c r="F2398" t="s">
        <v>27246</v>
      </c>
      <c r="G2398" t="s">
        <v>27247</v>
      </c>
      <c r="H2398" t="s">
        <v>27248</v>
      </c>
      <c r="I2398" t="s">
        <v>31885</v>
      </c>
      <c r="J2398" t="s">
        <v>4807</v>
      </c>
      <c r="L2398" t="s">
        <v>27250</v>
      </c>
      <c r="M2398" t="s">
        <v>27251</v>
      </c>
      <c r="N2398" t="s">
        <v>27252</v>
      </c>
      <c r="P2398" t="s">
        <v>27341</v>
      </c>
      <c r="Q2398" s="1">
        <v>44846</v>
      </c>
      <c r="R2398" t="s">
        <v>27253</v>
      </c>
      <c r="S2398" t="s">
        <v>27254</v>
      </c>
      <c r="T2398" t="s">
        <v>27265</v>
      </c>
    </row>
    <row r="2399" spans="1:20" x14ac:dyDescent="0.3">
      <c r="A2399" t="str">
        <f>"0611856871100"</f>
        <v>0611856871100</v>
      </c>
      <c r="B2399" t="str">
        <f>"LY5735"</f>
        <v>LY5735</v>
      </c>
      <c r="C2399" t="s">
        <v>31886</v>
      </c>
      <c r="D2399" t="s">
        <v>28138</v>
      </c>
      <c r="E2399" t="str">
        <f t="shared" si="37"/>
        <v>001390</v>
      </c>
      <c r="F2399" t="s">
        <v>27246</v>
      </c>
      <c r="G2399" t="s">
        <v>27247</v>
      </c>
      <c r="H2399" t="s">
        <v>27248</v>
      </c>
      <c r="I2399" t="s">
        <v>31887</v>
      </c>
      <c r="J2399" t="s">
        <v>4809</v>
      </c>
      <c r="L2399" t="s">
        <v>27250</v>
      </c>
      <c r="M2399" t="s">
        <v>27251</v>
      </c>
      <c r="N2399" t="s">
        <v>27252</v>
      </c>
      <c r="P2399" t="s">
        <v>27925</v>
      </c>
      <c r="Q2399" s="1">
        <v>44812</v>
      </c>
      <c r="R2399" t="s">
        <v>27253</v>
      </c>
      <c r="S2399" t="s">
        <v>27254</v>
      </c>
      <c r="T2399" t="s">
        <v>27255</v>
      </c>
    </row>
    <row r="2400" spans="1:20" x14ac:dyDescent="0.3">
      <c r="A2400" t="str">
        <f>"0611861157050"</f>
        <v>0611861157050</v>
      </c>
      <c r="B2400" t="str">
        <f>"CR4563"</f>
        <v>CR4563</v>
      </c>
      <c r="C2400" t="s">
        <v>31888</v>
      </c>
      <c r="D2400" t="s">
        <v>27271</v>
      </c>
      <c r="E2400" t="str">
        <f t="shared" si="37"/>
        <v>001390</v>
      </c>
      <c r="F2400" t="s">
        <v>27246</v>
      </c>
      <c r="G2400" t="s">
        <v>27247</v>
      </c>
      <c r="H2400" t="s">
        <v>27248</v>
      </c>
      <c r="I2400" t="s">
        <v>31889</v>
      </c>
      <c r="J2400" t="s">
        <v>4811</v>
      </c>
      <c r="L2400" t="s">
        <v>27250</v>
      </c>
      <c r="M2400" t="s">
        <v>27251</v>
      </c>
      <c r="N2400" t="s">
        <v>27252</v>
      </c>
      <c r="P2400" t="s">
        <v>27341</v>
      </c>
      <c r="Q2400" s="1">
        <v>44846</v>
      </c>
      <c r="R2400" t="s">
        <v>27253</v>
      </c>
      <c r="S2400" t="s">
        <v>27254</v>
      </c>
      <c r="T2400" t="s">
        <v>27265</v>
      </c>
    </row>
    <row r="2401" spans="1:20" x14ac:dyDescent="0.3">
      <c r="A2401" t="str">
        <f>"0611856872100"</f>
        <v>0611856872100</v>
      </c>
      <c r="B2401" t="str">
        <f>"LY5736"</f>
        <v>LY5736</v>
      </c>
      <c r="C2401" t="s">
        <v>31890</v>
      </c>
      <c r="D2401" t="s">
        <v>28138</v>
      </c>
      <c r="E2401" t="str">
        <f t="shared" si="37"/>
        <v>001390</v>
      </c>
      <c r="F2401" t="s">
        <v>27246</v>
      </c>
      <c r="G2401" t="s">
        <v>27247</v>
      </c>
      <c r="H2401" t="s">
        <v>27248</v>
      </c>
      <c r="I2401" t="s">
        <v>31891</v>
      </c>
      <c r="J2401" t="s">
        <v>4813</v>
      </c>
      <c r="L2401" t="s">
        <v>27250</v>
      </c>
      <c r="M2401" t="s">
        <v>27251</v>
      </c>
      <c r="N2401" t="s">
        <v>27252</v>
      </c>
      <c r="P2401" t="s">
        <v>27925</v>
      </c>
      <c r="Q2401" s="1">
        <v>44812</v>
      </c>
      <c r="R2401" t="s">
        <v>27253</v>
      </c>
      <c r="S2401" t="s">
        <v>27254</v>
      </c>
      <c r="T2401" t="s">
        <v>27255</v>
      </c>
    </row>
    <row r="2402" spans="1:20" x14ac:dyDescent="0.3">
      <c r="A2402" t="str">
        <f>"0611861158050"</f>
        <v>0611861158050</v>
      </c>
      <c r="B2402" t="str">
        <f>"CR4564"</f>
        <v>CR4564</v>
      </c>
      <c r="C2402" t="s">
        <v>31892</v>
      </c>
      <c r="D2402" t="s">
        <v>27271</v>
      </c>
      <c r="E2402" t="str">
        <f t="shared" si="37"/>
        <v>001390</v>
      </c>
      <c r="F2402" t="s">
        <v>27246</v>
      </c>
      <c r="G2402" t="s">
        <v>27247</v>
      </c>
      <c r="H2402" t="s">
        <v>27248</v>
      </c>
      <c r="I2402" t="s">
        <v>31893</v>
      </c>
      <c r="J2402" t="s">
        <v>4815</v>
      </c>
      <c r="L2402" t="s">
        <v>27250</v>
      </c>
      <c r="M2402" t="s">
        <v>27251</v>
      </c>
      <c r="N2402" t="s">
        <v>27252</v>
      </c>
      <c r="P2402" t="s">
        <v>27341</v>
      </c>
      <c r="Q2402" s="1">
        <v>44846</v>
      </c>
      <c r="R2402" t="s">
        <v>27253</v>
      </c>
      <c r="S2402" t="s">
        <v>27254</v>
      </c>
      <c r="T2402" t="s">
        <v>27265</v>
      </c>
    </row>
    <row r="2403" spans="1:20" x14ac:dyDescent="0.3">
      <c r="A2403" t="str">
        <f>"0611833002100"</f>
        <v>0611833002100</v>
      </c>
      <c r="B2403" t="str">
        <f>"LY5689"</f>
        <v>LY5689</v>
      </c>
      <c r="C2403" t="s">
        <v>31894</v>
      </c>
      <c r="D2403" t="s">
        <v>28138</v>
      </c>
      <c r="E2403" t="str">
        <f t="shared" si="37"/>
        <v>001390</v>
      </c>
      <c r="F2403" t="s">
        <v>27246</v>
      </c>
      <c r="G2403" t="s">
        <v>27247</v>
      </c>
      <c r="H2403" t="s">
        <v>27248</v>
      </c>
      <c r="I2403" t="s">
        <v>31895</v>
      </c>
      <c r="J2403" t="s">
        <v>4817</v>
      </c>
      <c r="L2403" t="s">
        <v>27250</v>
      </c>
      <c r="M2403" t="s">
        <v>27251</v>
      </c>
      <c r="N2403" t="s">
        <v>27252</v>
      </c>
      <c r="P2403" t="s">
        <v>27925</v>
      </c>
      <c r="Q2403" s="1">
        <v>44538</v>
      </c>
      <c r="R2403" t="s">
        <v>27253</v>
      </c>
      <c r="S2403" t="s">
        <v>27254</v>
      </c>
      <c r="T2403" t="s">
        <v>27255</v>
      </c>
    </row>
    <row r="2404" spans="1:20" x14ac:dyDescent="0.3">
      <c r="A2404" t="str">
        <f>"0611833003100"</f>
        <v>0611833003100</v>
      </c>
      <c r="B2404" t="str">
        <f>"LY0012"</f>
        <v>LY0012</v>
      </c>
      <c r="C2404" t="s">
        <v>31896</v>
      </c>
      <c r="D2404" t="s">
        <v>28138</v>
      </c>
      <c r="E2404" t="str">
        <f t="shared" si="37"/>
        <v>001390</v>
      </c>
      <c r="F2404" t="s">
        <v>27246</v>
      </c>
      <c r="G2404" t="s">
        <v>27247</v>
      </c>
      <c r="H2404" t="s">
        <v>27248</v>
      </c>
      <c r="I2404" t="s">
        <v>31897</v>
      </c>
      <c r="J2404" t="s">
        <v>4819</v>
      </c>
      <c r="L2404" t="s">
        <v>27250</v>
      </c>
      <c r="M2404" t="s">
        <v>27251</v>
      </c>
      <c r="N2404" t="s">
        <v>27252</v>
      </c>
      <c r="P2404" t="s">
        <v>27925</v>
      </c>
      <c r="Q2404" s="1">
        <v>44538</v>
      </c>
      <c r="R2404" t="s">
        <v>27253</v>
      </c>
      <c r="S2404" t="s">
        <v>27254</v>
      </c>
      <c r="T2404" t="s">
        <v>27255</v>
      </c>
    </row>
    <row r="2405" spans="1:20" x14ac:dyDescent="0.3">
      <c r="A2405" t="str">
        <f>"0611833004100"</f>
        <v>0611833004100</v>
      </c>
      <c r="B2405" t="str">
        <f>"LY5718"</f>
        <v>LY5718</v>
      </c>
      <c r="C2405" t="s">
        <v>31898</v>
      </c>
      <c r="D2405" t="s">
        <v>28138</v>
      </c>
      <c r="E2405" t="str">
        <f t="shared" si="37"/>
        <v>001390</v>
      </c>
      <c r="F2405" t="s">
        <v>27246</v>
      </c>
      <c r="G2405" t="s">
        <v>27247</v>
      </c>
      <c r="H2405" t="s">
        <v>27248</v>
      </c>
      <c r="I2405" t="s">
        <v>31899</v>
      </c>
      <c r="J2405" t="s">
        <v>4821</v>
      </c>
      <c r="L2405" t="s">
        <v>27250</v>
      </c>
      <c r="M2405" t="s">
        <v>27251</v>
      </c>
      <c r="N2405" t="s">
        <v>27252</v>
      </c>
      <c r="P2405" t="s">
        <v>27925</v>
      </c>
      <c r="Q2405" s="1">
        <v>44538</v>
      </c>
      <c r="R2405" t="s">
        <v>27253</v>
      </c>
      <c r="S2405" t="s">
        <v>27254</v>
      </c>
      <c r="T2405" t="s">
        <v>27255</v>
      </c>
    </row>
    <row r="2406" spans="1:20" x14ac:dyDescent="0.3">
      <c r="A2406" t="str">
        <f>"0611861159050"</f>
        <v>0611861159050</v>
      </c>
      <c r="B2406" t="str">
        <f>"CR4565"</f>
        <v>CR4565</v>
      </c>
      <c r="C2406" t="s">
        <v>31900</v>
      </c>
      <c r="D2406" t="s">
        <v>27271</v>
      </c>
      <c r="E2406" t="str">
        <f t="shared" si="37"/>
        <v>001390</v>
      </c>
      <c r="F2406" t="s">
        <v>27246</v>
      </c>
      <c r="G2406" t="s">
        <v>27247</v>
      </c>
      <c r="H2406" t="s">
        <v>27248</v>
      </c>
      <c r="I2406" t="s">
        <v>31901</v>
      </c>
      <c r="J2406" t="s">
        <v>4823</v>
      </c>
      <c r="L2406" t="s">
        <v>27250</v>
      </c>
      <c r="M2406" t="s">
        <v>27251</v>
      </c>
      <c r="N2406" t="s">
        <v>27252</v>
      </c>
      <c r="P2406" t="s">
        <v>27341</v>
      </c>
      <c r="Q2406" s="1">
        <v>44846</v>
      </c>
      <c r="R2406" t="s">
        <v>27253</v>
      </c>
      <c r="S2406" t="s">
        <v>27254</v>
      </c>
      <c r="T2406" t="s">
        <v>27265</v>
      </c>
    </row>
    <row r="2407" spans="1:20" x14ac:dyDescent="0.3">
      <c r="A2407" t="str">
        <f>"0611861160050"</f>
        <v>0611861160050</v>
      </c>
      <c r="B2407" t="str">
        <f>"CR4566"</f>
        <v>CR4566</v>
      </c>
      <c r="C2407" t="s">
        <v>31902</v>
      </c>
      <c r="D2407" t="s">
        <v>27271</v>
      </c>
      <c r="E2407" t="str">
        <f t="shared" si="37"/>
        <v>001390</v>
      </c>
      <c r="F2407" t="s">
        <v>27246</v>
      </c>
      <c r="G2407" t="s">
        <v>27247</v>
      </c>
      <c r="H2407" t="s">
        <v>27248</v>
      </c>
      <c r="I2407" t="s">
        <v>31903</v>
      </c>
      <c r="J2407" t="s">
        <v>4825</v>
      </c>
      <c r="L2407" t="s">
        <v>27250</v>
      </c>
      <c r="M2407" t="s">
        <v>27251</v>
      </c>
      <c r="N2407" t="s">
        <v>27252</v>
      </c>
      <c r="P2407" t="s">
        <v>27341</v>
      </c>
      <c r="Q2407" s="1">
        <v>44846</v>
      </c>
      <c r="R2407" t="s">
        <v>27253</v>
      </c>
      <c r="S2407" t="s">
        <v>27254</v>
      </c>
      <c r="T2407" t="s">
        <v>27265</v>
      </c>
    </row>
    <row r="2408" spans="1:20" x14ac:dyDescent="0.3">
      <c r="A2408" t="str">
        <f>"0611861161050"</f>
        <v>0611861161050</v>
      </c>
      <c r="B2408" t="str">
        <f>"CR4567"</f>
        <v>CR4567</v>
      </c>
      <c r="C2408" t="s">
        <v>31904</v>
      </c>
      <c r="D2408" t="s">
        <v>27271</v>
      </c>
      <c r="E2408" t="str">
        <f t="shared" si="37"/>
        <v>001390</v>
      </c>
      <c r="F2408" t="s">
        <v>27246</v>
      </c>
      <c r="G2408" t="s">
        <v>27247</v>
      </c>
      <c r="H2408" t="s">
        <v>27248</v>
      </c>
      <c r="I2408" t="s">
        <v>31905</v>
      </c>
      <c r="J2408" t="s">
        <v>4827</v>
      </c>
      <c r="L2408" t="s">
        <v>27250</v>
      </c>
      <c r="M2408" t="s">
        <v>27251</v>
      </c>
      <c r="N2408" t="s">
        <v>27252</v>
      </c>
      <c r="P2408" t="s">
        <v>27341</v>
      </c>
      <c r="Q2408" s="1">
        <v>44846</v>
      </c>
      <c r="R2408" t="s">
        <v>27253</v>
      </c>
      <c r="S2408" t="s">
        <v>27254</v>
      </c>
      <c r="T2408" t="s">
        <v>27265</v>
      </c>
    </row>
    <row r="2409" spans="1:20" x14ac:dyDescent="0.3">
      <c r="A2409" t="str">
        <f>"0611861162050"</f>
        <v>0611861162050</v>
      </c>
      <c r="B2409" t="str">
        <f>"CR4568"</f>
        <v>CR4568</v>
      </c>
      <c r="C2409" t="s">
        <v>31906</v>
      </c>
      <c r="D2409" t="s">
        <v>27271</v>
      </c>
      <c r="E2409" t="str">
        <f t="shared" si="37"/>
        <v>001390</v>
      </c>
      <c r="F2409" t="s">
        <v>27246</v>
      </c>
      <c r="G2409" t="s">
        <v>27247</v>
      </c>
      <c r="H2409" t="s">
        <v>27248</v>
      </c>
      <c r="I2409" t="s">
        <v>31907</v>
      </c>
      <c r="J2409" t="s">
        <v>4829</v>
      </c>
      <c r="L2409" t="s">
        <v>27250</v>
      </c>
      <c r="M2409" t="s">
        <v>27251</v>
      </c>
      <c r="N2409" t="s">
        <v>27252</v>
      </c>
      <c r="P2409" t="s">
        <v>27341</v>
      </c>
      <c r="Q2409" s="1">
        <v>44846</v>
      </c>
      <c r="R2409" t="s">
        <v>27253</v>
      </c>
      <c r="S2409" t="s">
        <v>27254</v>
      </c>
      <c r="T2409" t="s">
        <v>27265</v>
      </c>
    </row>
    <row r="2410" spans="1:20" x14ac:dyDescent="0.3">
      <c r="A2410" t="str">
        <f>"0611861163050"</f>
        <v>0611861163050</v>
      </c>
      <c r="B2410" t="str">
        <f>"CR4569"</f>
        <v>CR4569</v>
      </c>
      <c r="C2410" t="s">
        <v>31908</v>
      </c>
      <c r="D2410" t="s">
        <v>27271</v>
      </c>
      <c r="E2410" t="str">
        <f t="shared" si="37"/>
        <v>001390</v>
      </c>
      <c r="F2410" t="s">
        <v>27246</v>
      </c>
      <c r="G2410" t="s">
        <v>27247</v>
      </c>
      <c r="H2410" t="s">
        <v>27248</v>
      </c>
      <c r="I2410" t="s">
        <v>31909</v>
      </c>
      <c r="J2410" t="s">
        <v>4831</v>
      </c>
      <c r="L2410" t="s">
        <v>27250</v>
      </c>
      <c r="M2410" t="s">
        <v>27251</v>
      </c>
      <c r="N2410" t="s">
        <v>27252</v>
      </c>
      <c r="P2410" t="s">
        <v>27341</v>
      </c>
      <c r="Q2410" s="1">
        <v>44846</v>
      </c>
      <c r="R2410" t="s">
        <v>27253</v>
      </c>
      <c r="S2410" t="s">
        <v>27254</v>
      </c>
      <c r="T2410" t="s">
        <v>27265</v>
      </c>
    </row>
    <row r="2411" spans="1:20" x14ac:dyDescent="0.3">
      <c r="A2411" t="str">
        <f>"0611861164050"</f>
        <v>0611861164050</v>
      </c>
      <c r="B2411" t="str">
        <f>"CR4570"</f>
        <v>CR4570</v>
      </c>
      <c r="C2411" t="s">
        <v>31910</v>
      </c>
      <c r="D2411" t="s">
        <v>27271</v>
      </c>
      <c r="E2411" t="str">
        <f t="shared" si="37"/>
        <v>001390</v>
      </c>
      <c r="F2411" t="s">
        <v>27246</v>
      </c>
      <c r="G2411" t="s">
        <v>27247</v>
      </c>
      <c r="H2411" t="s">
        <v>27248</v>
      </c>
      <c r="I2411" t="s">
        <v>31911</v>
      </c>
      <c r="J2411" t="s">
        <v>4833</v>
      </c>
      <c r="L2411" t="s">
        <v>27250</v>
      </c>
      <c r="M2411" t="s">
        <v>27251</v>
      </c>
      <c r="N2411" t="s">
        <v>27252</v>
      </c>
      <c r="P2411" t="s">
        <v>27341</v>
      </c>
      <c r="Q2411" s="1">
        <v>44846</v>
      </c>
      <c r="R2411" t="s">
        <v>27253</v>
      </c>
      <c r="S2411" t="s">
        <v>27254</v>
      </c>
      <c r="T2411" t="s">
        <v>27265</v>
      </c>
    </row>
    <row r="2412" spans="1:20" x14ac:dyDescent="0.3">
      <c r="A2412" t="str">
        <f>"0611884091100"</f>
        <v>0611884091100</v>
      </c>
      <c r="B2412" t="str">
        <f>"LY5742"</f>
        <v>LY5742</v>
      </c>
      <c r="C2412" t="s">
        <v>31912</v>
      </c>
      <c r="D2412" t="s">
        <v>28138</v>
      </c>
      <c r="E2412" t="str">
        <f t="shared" si="37"/>
        <v>001390</v>
      </c>
      <c r="F2412" t="s">
        <v>27246</v>
      </c>
      <c r="G2412" t="s">
        <v>27247</v>
      </c>
      <c r="H2412" t="s">
        <v>27248</v>
      </c>
      <c r="I2412" t="s">
        <v>31913</v>
      </c>
      <c r="J2412" t="s">
        <v>4835</v>
      </c>
      <c r="L2412" t="s">
        <v>27430</v>
      </c>
      <c r="M2412" t="s">
        <v>27251</v>
      </c>
      <c r="N2412" t="s">
        <v>27252</v>
      </c>
      <c r="P2412" t="s">
        <v>27925</v>
      </c>
      <c r="Q2412" s="1">
        <v>45250</v>
      </c>
      <c r="R2412" t="s">
        <v>27253</v>
      </c>
      <c r="S2412" t="s">
        <v>27254</v>
      </c>
      <c r="T2412" t="s">
        <v>27255</v>
      </c>
    </row>
    <row r="2413" spans="1:20" x14ac:dyDescent="0.3">
      <c r="A2413" t="str">
        <f>"0611833005100"</f>
        <v>0611833005100</v>
      </c>
      <c r="B2413" t="str">
        <f>"LY5701"</f>
        <v>LY5701</v>
      </c>
      <c r="C2413" t="s">
        <v>31914</v>
      </c>
      <c r="D2413" t="s">
        <v>28138</v>
      </c>
      <c r="E2413" t="str">
        <f t="shared" si="37"/>
        <v>001390</v>
      </c>
      <c r="F2413" t="s">
        <v>27246</v>
      </c>
      <c r="G2413" t="s">
        <v>27247</v>
      </c>
      <c r="H2413" t="s">
        <v>27248</v>
      </c>
      <c r="I2413" t="s">
        <v>31915</v>
      </c>
      <c r="J2413" t="s">
        <v>4837</v>
      </c>
      <c r="L2413" t="s">
        <v>27250</v>
      </c>
      <c r="M2413" t="s">
        <v>27251</v>
      </c>
      <c r="N2413" t="s">
        <v>27252</v>
      </c>
      <c r="P2413" t="s">
        <v>27925</v>
      </c>
      <c r="Q2413" s="1">
        <v>44538</v>
      </c>
      <c r="R2413" t="s">
        <v>27253</v>
      </c>
      <c r="S2413" t="s">
        <v>27254</v>
      </c>
      <c r="T2413" t="s">
        <v>27255</v>
      </c>
    </row>
    <row r="2414" spans="1:20" x14ac:dyDescent="0.3">
      <c r="A2414" t="str">
        <f>"0611833006100"</f>
        <v>0611833006100</v>
      </c>
      <c r="B2414" t="str">
        <f>"LY5702"</f>
        <v>LY5702</v>
      </c>
      <c r="C2414" t="s">
        <v>31916</v>
      </c>
      <c r="D2414" t="s">
        <v>28138</v>
      </c>
      <c r="E2414" t="str">
        <f t="shared" si="37"/>
        <v>001390</v>
      </c>
      <c r="F2414" t="s">
        <v>27246</v>
      </c>
      <c r="G2414" t="s">
        <v>27247</v>
      </c>
      <c r="H2414" t="s">
        <v>27248</v>
      </c>
      <c r="I2414" t="s">
        <v>31917</v>
      </c>
      <c r="J2414" t="s">
        <v>4839</v>
      </c>
      <c r="L2414" t="s">
        <v>27250</v>
      </c>
      <c r="M2414" t="s">
        <v>27251</v>
      </c>
      <c r="N2414" t="s">
        <v>27252</v>
      </c>
      <c r="P2414" t="s">
        <v>27925</v>
      </c>
      <c r="Q2414" s="1">
        <v>44538</v>
      </c>
      <c r="R2414" t="s">
        <v>27253</v>
      </c>
      <c r="S2414" t="s">
        <v>27254</v>
      </c>
      <c r="T2414" t="s">
        <v>27255</v>
      </c>
    </row>
    <row r="2415" spans="1:20" x14ac:dyDescent="0.3">
      <c r="A2415" t="str">
        <f>"0611833007100"</f>
        <v>0611833007100</v>
      </c>
      <c r="B2415" t="str">
        <f>"LY5703"</f>
        <v>LY5703</v>
      </c>
      <c r="C2415" t="s">
        <v>31918</v>
      </c>
      <c r="D2415" t="s">
        <v>28138</v>
      </c>
      <c r="E2415" t="str">
        <f t="shared" si="37"/>
        <v>001390</v>
      </c>
      <c r="F2415" t="s">
        <v>27246</v>
      </c>
      <c r="G2415" t="s">
        <v>27247</v>
      </c>
      <c r="H2415" t="s">
        <v>27248</v>
      </c>
      <c r="I2415" t="s">
        <v>31919</v>
      </c>
      <c r="J2415" t="s">
        <v>4841</v>
      </c>
      <c r="L2415" t="s">
        <v>27250</v>
      </c>
      <c r="M2415" t="s">
        <v>27251</v>
      </c>
      <c r="N2415" t="s">
        <v>27252</v>
      </c>
      <c r="P2415" t="s">
        <v>27925</v>
      </c>
      <c r="Q2415" s="1">
        <v>44538</v>
      </c>
      <c r="R2415" t="s">
        <v>27253</v>
      </c>
      <c r="S2415" t="s">
        <v>27254</v>
      </c>
      <c r="T2415" t="s">
        <v>27255</v>
      </c>
    </row>
    <row r="2416" spans="1:20" x14ac:dyDescent="0.3">
      <c r="A2416" t="str">
        <f>"0611833008100"</f>
        <v>0611833008100</v>
      </c>
      <c r="B2416" t="str">
        <f>"LY5668"</f>
        <v>LY5668</v>
      </c>
      <c r="C2416" t="s">
        <v>31920</v>
      </c>
      <c r="D2416" t="s">
        <v>28138</v>
      </c>
      <c r="E2416" t="str">
        <f t="shared" si="37"/>
        <v>001390</v>
      </c>
      <c r="F2416" t="s">
        <v>27246</v>
      </c>
      <c r="G2416" t="s">
        <v>27247</v>
      </c>
      <c r="H2416" t="s">
        <v>27248</v>
      </c>
      <c r="I2416" t="s">
        <v>31921</v>
      </c>
      <c r="J2416" t="s">
        <v>4843</v>
      </c>
      <c r="L2416" t="s">
        <v>27250</v>
      </c>
      <c r="M2416" t="s">
        <v>27251</v>
      </c>
      <c r="N2416" t="s">
        <v>27252</v>
      </c>
      <c r="P2416" t="s">
        <v>27925</v>
      </c>
      <c r="Q2416" s="1">
        <v>44538</v>
      </c>
      <c r="R2416" t="s">
        <v>27253</v>
      </c>
      <c r="S2416" t="s">
        <v>27254</v>
      </c>
      <c r="T2416" t="s">
        <v>27255</v>
      </c>
    </row>
    <row r="2417" spans="1:20" x14ac:dyDescent="0.3">
      <c r="A2417" t="str">
        <f>"0611833009100"</f>
        <v>0611833009100</v>
      </c>
      <c r="B2417" t="str">
        <f>"LY5642"</f>
        <v>LY5642</v>
      </c>
      <c r="C2417" t="s">
        <v>31922</v>
      </c>
      <c r="D2417" t="s">
        <v>28138</v>
      </c>
      <c r="E2417" t="str">
        <f t="shared" si="37"/>
        <v>001390</v>
      </c>
      <c r="F2417" t="s">
        <v>27246</v>
      </c>
      <c r="G2417" t="s">
        <v>27247</v>
      </c>
      <c r="H2417" t="s">
        <v>27248</v>
      </c>
      <c r="I2417" t="s">
        <v>31923</v>
      </c>
      <c r="J2417" t="s">
        <v>4845</v>
      </c>
      <c r="L2417" t="s">
        <v>27250</v>
      </c>
      <c r="M2417" t="s">
        <v>27251</v>
      </c>
      <c r="N2417" t="s">
        <v>27252</v>
      </c>
      <c r="P2417" t="s">
        <v>27925</v>
      </c>
      <c r="Q2417" s="1">
        <v>44538</v>
      </c>
      <c r="R2417" t="s">
        <v>27253</v>
      </c>
      <c r="S2417" t="s">
        <v>27254</v>
      </c>
      <c r="T2417" t="s">
        <v>27255</v>
      </c>
    </row>
    <row r="2418" spans="1:20" x14ac:dyDescent="0.3">
      <c r="A2418" t="str">
        <f>"0611861165050"</f>
        <v>0611861165050</v>
      </c>
      <c r="B2418" t="str">
        <f>"CR4571"</f>
        <v>CR4571</v>
      </c>
      <c r="C2418" t="s">
        <v>31924</v>
      </c>
      <c r="D2418" t="s">
        <v>27271</v>
      </c>
      <c r="E2418" t="str">
        <f t="shared" si="37"/>
        <v>001390</v>
      </c>
      <c r="F2418" t="s">
        <v>27246</v>
      </c>
      <c r="G2418" t="s">
        <v>27247</v>
      </c>
      <c r="H2418" t="s">
        <v>27248</v>
      </c>
      <c r="I2418" t="s">
        <v>31925</v>
      </c>
      <c r="J2418" t="s">
        <v>4847</v>
      </c>
      <c r="L2418" t="s">
        <v>27250</v>
      </c>
      <c r="M2418" t="s">
        <v>27251</v>
      </c>
      <c r="N2418" t="s">
        <v>27252</v>
      </c>
      <c r="P2418" t="s">
        <v>27341</v>
      </c>
      <c r="Q2418" s="1">
        <v>44846</v>
      </c>
      <c r="R2418" t="s">
        <v>27253</v>
      </c>
      <c r="S2418" t="s">
        <v>27254</v>
      </c>
      <c r="T2418" t="s">
        <v>27265</v>
      </c>
    </row>
    <row r="2419" spans="1:20" x14ac:dyDescent="0.3">
      <c r="A2419" t="str">
        <f>"0611861166050"</f>
        <v>0611861166050</v>
      </c>
      <c r="B2419" t="str">
        <f>"CR2689"</f>
        <v>CR2689</v>
      </c>
      <c r="C2419" t="s">
        <v>31926</v>
      </c>
      <c r="D2419" t="s">
        <v>27271</v>
      </c>
      <c r="E2419" t="str">
        <f t="shared" si="37"/>
        <v>001390</v>
      </c>
      <c r="F2419" t="s">
        <v>27246</v>
      </c>
      <c r="G2419" t="s">
        <v>27247</v>
      </c>
      <c r="H2419" t="s">
        <v>27248</v>
      </c>
      <c r="I2419" t="s">
        <v>31927</v>
      </c>
      <c r="J2419" t="s">
        <v>4849</v>
      </c>
      <c r="L2419" t="s">
        <v>27250</v>
      </c>
      <c r="M2419" t="s">
        <v>27251</v>
      </c>
      <c r="N2419" t="s">
        <v>27252</v>
      </c>
      <c r="P2419" t="s">
        <v>27341</v>
      </c>
      <c r="Q2419" s="1">
        <v>44846</v>
      </c>
      <c r="R2419" t="s">
        <v>27253</v>
      </c>
      <c r="S2419" t="s">
        <v>27254</v>
      </c>
      <c r="T2419" t="s">
        <v>27265</v>
      </c>
    </row>
    <row r="2420" spans="1:20" x14ac:dyDescent="0.3">
      <c r="A2420" t="str">
        <f>"0611861167050"</f>
        <v>0611861167050</v>
      </c>
      <c r="B2420" t="str">
        <f>"CR4572"</f>
        <v>CR4572</v>
      </c>
      <c r="C2420" t="s">
        <v>31928</v>
      </c>
      <c r="D2420" t="s">
        <v>27271</v>
      </c>
      <c r="E2420" t="str">
        <f t="shared" si="37"/>
        <v>001390</v>
      </c>
      <c r="F2420" t="s">
        <v>27246</v>
      </c>
      <c r="G2420" t="s">
        <v>27247</v>
      </c>
      <c r="H2420" t="s">
        <v>27248</v>
      </c>
      <c r="I2420" t="s">
        <v>31929</v>
      </c>
      <c r="J2420" t="s">
        <v>4851</v>
      </c>
      <c r="L2420" t="s">
        <v>27250</v>
      </c>
      <c r="M2420" t="s">
        <v>27251</v>
      </c>
      <c r="N2420" t="s">
        <v>27252</v>
      </c>
      <c r="P2420" t="s">
        <v>27341</v>
      </c>
      <c r="Q2420" s="1">
        <v>44846</v>
      </c>
      <c r="R2420" t="s">
        <v>27253</v>
      </c>
      <c r="S2420" t="s">
        <v>27254</v>
      </c>
      <c r="T2420" t="s">
        <v>27265</v>
      </c>
    </row>
    <row r="2421" spans="1:20" x14ac:dyDescent="0.3">
      <c r="A2421" t="str">
        <f>"0611833010100"</f>
        <v>0611833010100</v>
      </c>
      <c r="B2421" t="str">
        <f>"LY5616"</f>
        <v>LY5616</v>
      </c>
      <c r="C2421" t="s">
        <v>31930</v>
      </c>
      <c r="D2421" t="s">
        <v>28138</v>
      </c>
      <c r="E2421" t="str">
        <f t="shared" si="37"/>
        <v>001390</v>
      </c>
      <c r="F2421" t="s">
        <v>27246</v>
      </c>
      <c r="G2421" t="s">
        <v>27247</v>
      </c>
      <c r="H2421" t="s">
        <v>27248</v>
      </c>
      <c r="I2421" t="s">
        <v>31931</v>
      </c>
      <c r="J2421" t="s">
        <v>4853</v>
      </c>
      <c r="L2421" t="s">
        <v>27250</v>
      </c>
      <c r="M2421" t="s">
        <v>27251</v>
      </c>
      <c r="N2421" t="s">
        <v>27252</v>
      </c>
      <c r="P2421" t="s">
        <v>27925</v>
      </c>
      <c r="Q2421" s="1">
        <v>44538</v>
      </c>
      <c r="R2421" t="s">
        <v>27253</v>
      </c>
      <c r="S2421" t="s">
        <v>27254</v>
      </c>
      <c r="T2421" t="s">
        <v>27255</v>
      </c>
    </row>
    <row r="2422" spans="1:20" x14ac:dyDescent="0.3">
      <c r="A2422" t="str">
        <f>"0611833011100"</f>
        <v>0611833011100</v>
      </c>
      <c r="B2422" t="str">
        <f>"LY0005"</f>
        <v>LY0005</v>
      </c>
      <c r="C2422" t="s">
        <v>31932</v>
      </c>
      <c r="D2422" t="s">
        <v>28138</v>
      </c>
      <c r="E2422" t="str">
        <f t="shared" si="37"/>
        <v>001390</v>
      </c>
      <c r="F2422" t="s">
        <v>27246</v>
      </c>
      <c r="G2422" t="s">
        <v>27247</v>
      </c>
      <c r="H2422" t="s">
        <v>27248</v>
      </c>
      <c r="I2422" t="s">
        <v>31933</v>
      </c>
      <c r="J2422" t="s">
        <v>4855</v>
      </c>
      <c r="L2422" t="s">
        <v>27250</v>
      </c>
      <c r="M2422" t="s">
        <v>27251</v>
      </c>
      <c r="N2422" t="s">
        <v>27252</v>
      </c>
      <c r="P2422" t="s">
        <v>27925</v>
      </c>
      <c r="Q2422" s="1">
        <v>44538</v>
      </c>
      <c r="R2422" t="s">
        <v>27253</v>
      </c>
      <c r="S2422" t="s">
        <v>27254</v>
      </c>
      <c r="T2422" t="s">
        <v>27255</v>
      </c>
    </row>
    <row r="2423" spans="1:20" x14ac:dyDescent="0.3">
      <c r="A2423" t="str">
        <f>"0611833012100"</f>
        <v>0611833012100</v>
      </c>
      <c r="B2423" t="str">
        <f>"LY5654"</f>
        <v>LY5654</v>
      </c>
      <c r="C2423" t="s">
        <v>31934</v>
      </c>
      <c r="D2423" t="s">
        <v>28138</v>
      </c>
      <c r="E2423" t="str">
        <f t="shared" si="37"/>
        <v>001390</v>
      </c>
      <c r="F2423" t="s">
        <v>27246</v>
      </c>
      <c r="G2423" t="s">
        <v>27247</v>
      </c>
      <c r="H2423" t="s">
        <v>27248</v>
      </c>
      <c r="I2423" t="s">
        <v>31935</v>
      </c>
      <c r="J2423" t="s">
        <v>4857</v>
      </c>
      <c r="L2423" t="s">
        <v>27250</v>
      </c>
      <c r="M2423" t="s">
        <v>27251</v>
      </c>
      <c r="N2423" t="s">
        <v>27252</v>
      </c>
      <c r="P2423" t="s">
        <v>27925</v>
      </c>
      <c r="Q2423" s="1">
        <v>44538</v>
      </c>
      <c r="R2423" t="s">
        <v>27253</v>
      </c>
      <c r="S2423" t="s">
        <v>27254</v>
      </c>
      <c r="T2423" t="s">
        <v>27255</v>
      </c>
    </row>
    <row r="2424" spans="1:20" x14ac:dyDescent="0.3">
      <c r="A2424" t="str">
        <f>"0611861168050"</f>
        <v>0611861168050</v>
      </c>
      <c r="B2424" t="str">
        <f>"CR4884"</f>
        <v>CR4884</v>
      </c>
      <c r="C2424" t="s">
        <v>31936</v>
      </c>
      <c r="D2424" t="s">
        <v>27271</v>
      </c>
      <c r="E2424" t="str">
        <f t="shared" si="37"/>
        <v>001390</v>
      </c>
      <c r="F2424" t="s">
        <v>27246</v>
      </c>
      <c r="G2424" t="s">
        <v>27247</v>
      </c>
      <c r="H2424" t="s">
        <v>27248</v>
      </c>
      <c r="I2424" t="s">
        <v>31937</v>
      </c>
      <c r="J2424" t="s">
        <v>4859</v>
      </c>
      <c r="L2424" t="s">
        <v>27250</v>
      </c>
      <c r="M2424" t="s">
        <v>27251</v>
      </c>
      <c r="N2424" t="s">
        <v>27252</v>
      </c>
      <c r="P2424" t="s">
        <v>27341</v>
      </c>
      <c r="Q2424" s="1">
        <v>44846</v>
      </c>
      <c r="R2424" t="s">
        <v>27253</v>
      </c>
      <c r="S2424" t="s">
        <v>27254</v>
      </c>
      <c r="T2424" t="s">
        <v>27265</v>
      </c>
    </row>
    <row r="2425" spans="1:20" x14ac:dyDescent="0.3">
      <c r="A2425" t="str">
        <f>"0611833013100"</f>
        <v>0611833013100</v>
      </c>
      <c r="B2425" t="str">
        <f>"LY5632"</f>
        <v>LY5632</v>
      </c>
      <c r="C2425" t="s">
        <v>31938</v>
      </c>
      <c r="D2425" t="s">
        <v>28138</v>
      </c>
      <c r="E2425" t="str">
        <f t="shared" si="37"/>
        <v>001390</v>
      </c>
      <c r="F2425" t="s">
        <v>27246</v>
      </c>
      <c r="G2425" t="s">
        <v>27247</v>
      </c>
      <c r="H2425" t="s">
        <v>27248</v>
      </c>
      <c r="I2425" t="s">
        <v>31939</v>
      </c>
      <c r="J2425" t="s">
        <v>4861</v>
      </c>
      <c r="L2425" t="s">
        <v>27250</v>
      </c>
      <c r="M2425" t="s">
        <v>27251</v>
      </c>
      <c r="N2425" t="s">
        <v>27252</v>
      </c>
      <c r="P2425" t="s">
        <v>27925</v>
      </c>
      <c r="Q2425" s="1">
        <v>44538</v>
      </c>
      <c r="R2425" t="s">
        <v>27253</v>
      </c>
      <c r="S2425" t="s">
        <v>27254</v>
      </c>
      <c r="T2425" t="s">
        <v>27255</v>
      </c>
    </row>
    <row r="2426" spans="1:20" x14ac:dyDescent="0.3">
      <c r="A2426" t="str">
        <f>"0611833014100"</f>
        <v>0611833014100</v>
      </c>
      <c r="B2426" t="str">
        <f>"MB9908"</f>
        <v>MB9908</v>
      </c>
      <c r="C2426" t="s">
        <v>31940</v>
      </c>
      <c r="D2426" t="s">
        <v>27274</v>
      </c>
      <c r="E2426" t="str">
        <f t="shared" si="37"/>
        <v>001390</v>
      </c>
      <c r="F2426" t="s">
        <v>27246</v>
      </c>
      <c r="G2426" t="s">
        <v>27247</v>
      </c>
      <c r="H2426" t="s">
        <v>27248</v>
      </c>
      <c r="I2426" t="s">
        <v>31941</v>
      </c>
      <c r="J2426" t="s">
        <v>4863</v>
      </c>
      <c r="L2426" t="s">
        <v>27250</v>
      </c>
      <c r="M2426" t="s">
        <v>27251</v>
      </c>
      <c r="N2426" t="s">
        <v>27252</v>
      </c>
      <c r="Q2426" s="1">
        <v>44538</v>
      </c>
      <c r="R2426" t="s">
        <v>27253</v>
      </c>
      <c r="S2426" t="s">
        <v>27254</v>
      </c>
      <c r="T2426" t="s">
        <v>27276</v>
      </c>
    </row>
    <row r="2427" spans="1:20" x14ac:dyDescent="0.3">
      <c r="A2427" t="str">
        <f>"0611833015100"</f>
        <v>0611833015100</v>
      </c>
      <c r="B2427" t="str">
        <f>"LH2003"</f>
        <v>LH2003</v>
      </c>
      <c r="C2427" t="s">
        <v>31940</v>
      </c>
      <c r="D2427" t="s">
        <v>27245</v>
      </c>
      <c r="E2427" t="str">
        <f t="shared" si="37"/>
        <v>001390</v>
      </c>
      <c r="F2427" t="s">
        <v>27246</v>
      </c>
      <c r="G2427" t="s">
        <v>27247</v>
      </c>
      <c r="H2427" t="s">
        <v>27248</v>
      </c>
      <c r="I2427" t="s">
        <v>31942</v>
      </c>
      <c r="J2427" t="s">
        <v>4865</v>
      </c>
      <c r="L2427" t="s">
        <v>27250</v>
      </c>
      <c r="M2427" t="s">
        <v>27251</v>
      </c>
      <c r="N2427" t="s">
        <v>27252</v>
      </c>
      <c r="Q2427" s="1">
        <v>44538</v>
      </c>
      <c r="R2427" t="s">
        <v>27253</v>
      </c>
      <c r="S2427" t="s">
        <v>27254</v>
      </c>
      <c r="T2427" t="s">
        <v>27255</v>
      </c>
    </row>
    <row r="2428" spans="1:20" x14ac:dyDescent="0.3">
      <c r="A2428" t="str">
        <f>"0611833016100"</f>
        <v>0611833016100</v>
      </c>
      <c r="B2428" t="str">
        <f>"LY0006"</f>
        <v>LY0006</v>
      </c>
      <c r="C2428" t="s">
        <v>31943</v>
      </c>
      <c r="D2428" t="s">
        <v>28138</v>
      </c>
      <c r="E2428" t="str">
        <f t="shared" si="37"/>
        <v>001390</v>
      </c>
      <c r="F2428" t="s">
        <v>27246</v>
      </c>
      <c r="G2428" t="s">
        <v>27247</v>
      </c>
      <c r="H2428" t="s">
        <v>27248</v>
      </c>
      <c r="I2428" t="s">
        <v>31944</v>
      </c>
      <c r="J2428" t="s">
        <v>4867</v>
      </c>
      <c r="L2428" t="s">
        <v>27250</v>
      </c>
      <c r="M2428" t="s">
        <v>27251</v>
      </c>
      <c r="N2428" t="s">
        <v>27252</v>
      </c>
      <c r="P2428" t="s">
        <v>27925</v>
      </c>
      <c r="Q2428" s="1">
        <v>44538</v>
      </c>
      <c r="R2428" t="s">
        <v>27253</v>
      </c>
      <c r="S2428" t="s">
        <v>27254</v>
      </c>
      <c r="T2428" t="s">
        <v>27255</v>
      </c>
    </row>
    <row r="2429" spans="1:20" x14ac:dyDescent="0.3">
      <c r="A2429" t="str">
        <f>"0611833017100"</f>
        <v>0611833017100</v>
      </c>
      <c r="B2429" t="str">
        <f>"LY5719"</f>
        <v>LY5719</v>
      </c>
      <c r="C2429" t="s">
        <v>31945</v>
      </c>
      <c r="D2429" t="s">
        <v>28138</v>
      </c>
      <c r="E2429" t="str">
        <f t="shared" si="37"/>
        <v>001390</v>
      </c>
      <c r="F2429" t="s">
        <v>27246</v>
      </c>
      <c r="G2429" t="s">
        <v>27247</v>
      </c>
      <c r="H2429" t="s">
        <v>27248</v>
      </c>
      <c r="I2429" t="s">
        <v>31946</v>
      </c>
      <c r="J2429" t="s">
        <v>4869</v>
      </c>
      <c r="L2429" t="s">
        <v>27250</v>
      </c>
      <c r="M2429" t="s">
        <v>27251</v>
      </c>
      <c r="N2429" t="s">
        <v>27252</v>
      </c>
      <c r="P2429" t="s">
        <v>27925</v>
      </c>
      <c r="Q2429" s="1">
        <v>44538</v>
      </c>
      <c r="R2429" t="s">
        <v>27253</v>
      </c>
      <c r="S2429" t="s">
        <v>27254</v>
      </c>
      <c r="T2429" t="s">
        <v>27255</v>
      </c>
    </row>
    <row r="2430" spans="1:20" x14ac:dyDescent="0.3">
      <c r="A2430" t="str">
        <f>"0611833018100"</f>
        <v>0611833018100</v>
      </c>
      <c r="B2430" t="str">
        <f>"LY5720"</f>
        <v>LY5720</v>
      </c>
      <c r="C2430" t="s">
        <v>31947</v>
      </c>
      <c r="D2430" t="s">
        <v>28138</v>
      </c>
      <c r="E2430" t="str">
        <f t="shared" si="37"/>
        <v>001390</v>
      </c>
      <c r="F2430" t="s">
        <v>27246</v>
      </c>
      <c r="G2430" t="s">
        <v>27247</v>
      </c>
      <c r="H2430" t="s">
        <v>27248</v>
      </c>
      <c r="I2430" t="s">
        <v>31948</v>
      </c>
      <c r="J2430" t="s">
        <v>4871</v>
      </c>
      <c r="L2430" t="s">
        <v>27250</v>
      </c>
      <c r="M2430" t="s">
        <v>27251</v>
      </c>
      <c r="N2430" t="s">
        <v>27252</v>
      </c>
      <c r="P2430" t="s">
        <v>27925</v>
      </c>
      <c r="Q2430" s="1">
        <v>44538</v>
      </c>
      <c r="R2430" t="s">
        <v>27253</v>
      </c>
      <c r="S2430" t="s">
        <v>27254</v>
      </c>
      <c r="T2430" t="s">
        <v>27255</v>
      </c>
    </row>
    <row r="2431" spans="1:20" x14ac:dyDescent="0.3">
      <c r="A2431" t="str">
        <f>"0611833019100"</f>
        <v>0611833019100</v>
      </c>
      <c r="B2431" t="str">
        <f>"LY0024"</f>
        <v>LY0024</v>
      </c>
      <c r="C2431" t="s">
        <v>31949</v>
      </c>
      <c r="D2431" t="s">
        <v>28138</v>
      </c>
      <c r="E2431" t="str">
        <f t="shared" si="37"/>
        <v>001390</v>
      </c>
      <c r="F2431" t="s">
        <v>27246</v>
      </c>
      <c r="G2431" t="s">
        <v>27247</v>
      </c>
      <c r="H2431" t="s">
        <v>27248</v>
      </c>
      <c r="I2431" t="s">
        <v>31950</v>
      </c>
      <c r="J2431" t="s">
        <v>4873</v>
      </c>
      <c r="L2431" t="s">
        <v>27250</v>
      </c>
      <c r="M2431" t="s">
        <v>27251</v>
      </c>
      <c r="N2431" t="s">
        <v>27252</v>
      </c>
      <c r="P2431" t="s">
        <v>27925</v>
      </c>
      <c r="Q2431" s="1">
        <v>44538</v>
      </c>
      <c r="R2431" t="s">
        <v>27253</v>
      </c>
      <c r="S2431" t="s">
        <v>27254</v>
      </c>
      <c r="T2431" t="s">
        <v>27255</v>
      </c>
    </row>
    <row r="2432" spans="1:20" x14ac:dyDescent="0.3">
      <c r="A2432" t="str">
        <f>"0611833020100"</f>
        <v>0611833020100</v>
      </c>
      <c r="B2432" t="str">
        <f>"LY0007"</f>
        <v>LY0007</v>
      </c>
      <c r="C2432" t="s">
        <v>31951</v>
      </c>
      <c r="D2432" t="s">
        <v>28138</v>
      </c>
      <c r="E2432" t="str">
        <f t="shared" si="37"/>
        <v>001390</v>
      </c>
      <c r="F2432" t="s">
        <v>27246</v>
      </c>
      <c r="G2432" t="s">
        <v>27247</v>
      </c>
      <c r="H2432" t="s">
        <v>27248</v>
      </c>
      <c r="I2432" t="s">
        <v>31952</v>
      </c>
      <c r="J2432" t="s">
        <v>4875</v>
      </c>
      <c r="L2432" t="s">
        <v>27250</v>
      </c>
      <c r="M2432" t="s">
        <v>27251</v>
      </c>
      <c r="N2432" t="s">
        <v>27252</v>
      </c>
      <c r="P2432" t="s">
        <v>27925</v>
      </c>
      <c r="Q2432" s="1">
        <v>44538</v>
      </c>
      <c r="R2432" t="s">
        <v>27253</v>
      </c>
      <c r="S2432" t="s">
        <v>27254</v>
      </c>
      <c r="T2432" t="s">
        <v>27255</v>
      </c>
    </row>
    <row r="2433" spans="1:20" x14ac:dyDescent="0.3">
      <c r="A2433" t="str">
        <f>"0611833021100"</f>
        <v>0611833021100</v>
      </c>
      <c r="B2433" t="str">
        <f>"LY5721"</f>
        <v>LY5721</v>
      </c>
      <c r="C2433" t="s">
        <v>31953</v>
      </c>
      <c r="D2433" t="s">
        <v>28138</v>
      </c>
      <c r="E2433" t="str">
        <f t="shared" si="37"/>
        <v>001390</v>
      </c>
      <c r="F2433" t="s">
        <v>27246</v>
      </c>
      <c r="G2433" t="s">
        <v>27247</v>
      </c>
      <c r="H2433" t="s">
        <v>27248</v>
      </c>
      <c r="I2433" t="s">
        <v>31954</v>
      </c>
      <c r="J2433" t="s">
        <v>4877</v>
      </c>
      <c r="L2433" t="s">
        <v>27250</v>
      </c>
      <c r="M2433" t="s">
        <v>27251</v>
      </c>
      <c r="N2433" t="s">
        <v>27252</v>
      </c>
      <c r="P2433" t="s">
        <v>27925</v>
      </c>
      <c r="Q2433" s="1">
        <v>44538</v>
      </c>
      <c r="R2433" t="s">
        <v>27253</v>
      </c>
      <c r="S2433" t="s">
        <v>27254</v>
      </c>
      <c r="T2433" t="s">
        <v>27255</v>
      </c>
    </row>
    <row r="2434" spans="1:20" x14ac:dyDescent="0.3">
      <c r="A2434" t="str">
        <f>"0611833022100"</f>
        <v>0611833022100</v>
      </c>
      <c r="B2434" t="str">
        <f>"LY3359"</f>
        <v>LY3359</v>
      </c>
      <c r="C2434" t="s">
        <v>31955</v>
      </c>
      <c r="D2434" t="s">
        <v>27245</v>
      </c>
      <c r="E2434" t="str">
        <f t="shared" ref="E2434:E2497" si="38">"001390"</f>
        <v>001390</v>
      </c>
      <c r="F2434" t="s">
        <v>27246</v>
      </c>
      <c r="G2434" t="s">
        <v>27247</v>
      </c>
      <c r="H2434" t="s">
        <v>27248</v>
      </c>
      <c r="I2434" t="s">
        <v>31956</v>
      </c>
      <c r="J2434" t="s">
        <v>4879</v>
      </c>
      <c r="L2434" t="s">
        <v>27250</v>
      </c>
      <c r="M2434" t="s">
        <v>27251</v>
      </c>
      <c r="N2434" t="s">
        <v>27252</v>
      </c>
      <c r="Q2434" s="1">
        <v>44538</v>
      </c>
      <c r="R2434" t="s">
        <v>27253</v>
      </c>
      <c r="S2434" t="s">
        <v>27254</v>
      </c>
      <c r="T2434" t="s">
        <v>27255</v>
      </c>
    </row>
    <row r="2435" spans="1:20" x14ac:dyDescent="0.3">
      <c r="A2435" t="str">
        <f>"0611833023100"</f>
        <v>0611833023100</v>
      </c>
      <c r="B2435" t="str">
        <f>"LB1850"</f>
        <v>LB1850</v>
      </c>
      <c r="C2435" t="s">
        <v>31957</v>
      </c>
      <c r="D2435" t="s">
        <v>27245</v>
      </c>
      <c r="E2435" t="str">
        <f t="shared" si="38"/>
        <v>001390</v>
      </c>
      <c r="F2435" t="s">
        <v>27246</v>
      </c>
      <c r="G2435" t="s">
        <v>27247</v>
      </c>
      <c r="H2435" t="s">
        <v>27248</v>
      </c>
      <c r="I2435" t="s">
        <v>31958</v>
      </c>
      <c r="J2435" t="s">
        <v>4881</v>
      </c>
      <c r="L2435" t="s">
        <v>27250</v>
      </c>
      <c r="M2435" t="s">
        <v>27251</v>
      </c>
      <c r="N2435" t="s">
        <v>27252</v>
      </c>
      <c r="Q2435" s="1">
        <v>44538</v>
      </c>
      <c r="R2435" t="s">
        <v>27253</v>
      </c>
      <c r="S2435" t="s">
        <v>27254</v>
      </c>
      <c r="T2435" t="s">
        <v>27255</v>
      </c>
    </row>
    <row r="2436" spans="1:20" x14ac:dyDescent="0.3">
      <c r="A2436" t="str">
        <f>"0611884092100"</f>
        <v>0611884092100</v>
      </c>
      <c r="B2436" t="str">
        <f>"LY5743"</f>
        <v>LY5743</v>
      </c>
      <c r="C2436" t="s">
        <v>31959</v>
      </c>
      <c r="D2436" t="s">
        <v>28138</v>
      </c>
      <c r="E2436" t="str">
        <f t="shared" si="38"/>
        <v>001390</v>
      </c>
      <c r="F2436" t="s">
        <v>27246</v>
      </c>
      <c r="G2436" t="s">
        <v>27247</v>
      </c>
      <c r="H2436" t="s">
        <v>27248</v>
      </c>
      <c r="I2436" t="s">
        <v>31960</v>
      </c>
      <c r="J2436" t="s">
        <v>4883</v>
      </c>
      <c r="L2436" t="s">
        <v>27430</v>
      </c>
      <c r="M2436" t="s">
        <v>27251</v>
      </c>
      <c r="N2436" t="s">
        <v>27252</v>
      </c>
      <c r="P2436" t="s">
        <v>27925</v>
      </c>
      <c r="Q2436" s="1">
        <v>45250</v>
      </c>
      <c r="R2436" t="s">
        <v>27253</v>
      </c>
      <c r="S2436" t="s">
        <v>27254</v>
      </c>
      <c r="T2436" t="s">
        <v>27255</v>
      </c>
    </row>
    <row r="2437" spans="1:20" x14ac:dyDescent="0.3">
      <c r="A2437" t="str">
        <f>"0611884093100"</f>
        <v>0611884093100</v>
      </c>
      <c r="B2437" t="str">
        <f>"LY5744"</f>
        <v>LY5744</v>
      </c>
      <c r="C2437" t="s">
        <v>31961</v>
      </c>
      <c r="D2437" t="s">
        <v>28138</v>
      </c>
      <c r="E2437" t="str">
        <f t="shared" si="38"/>
        <v>001390</v>
      </c>
      <c r="F2437" t="s">
        <v>27246</v>
      </c>
      <c r="G2437" t="s">
        <v>27247</v>
      </c>
      <c r="H2437" t="s">
        <v>27248</v>
      </c>
      <c r="I2437" t="s">
        <v>31962</v>
      </c>
      <c r="J2437" t="s">
        <v>4885</v>
      </c>
      <c r="L2437" t="s">
        <v>27430</v>
      </c>
      <c r="M2437" t="s">
        <v>27251</v>
      </c>
      <c r="N2437" t="s">
        <v>27252</v>
      </c>
      <c r="P2437" t="s">
        <v>27925</v>
      </c>
      <c r="Q2437" s="1">
        <v>45250</v>
      </c>
      <c r="R2437" t="s">
        <v>27253</v>
      </c>
      <c r="S2437" t="s">
        <v>27254</v>
      </c>
      <c r="T2437" t="s">
        <v>27255</v>
      </c>
    </row>
    <row r="2438" spans="1:20" x14ac:dyDescent="0.3">
      <c r="A2438" t="str">
        <f>"0611884094100"</f>
        <v>0611884094100</v>
      </c>
      <c r="B2438" t="str">
        <f>"LY5745"</f>
        <v>LY5745</v>
      </c>
      <c r="C2438" t="s">
        <v>31963</v>
      </c>
      <c r="D2438" t="s">
        <v>28138</v>
      </c>
      <c r="E2438" t="str">
        <f t="shared" si="38"/>
        <v>001390</v>
      </c>
      <c r="F2438" t="s">
        <v>27246</v>
      </c>
      <c r="G2438" t="s">
        <v>27247</v>
      </c>
      <c r="H2438" t="s">
        <v>27248</v>
      </c>
      <c r="I2438" t="s">
        <v>31964</v>
      </c>
      <c r="J2438" t="s">
        <v>4887</v>
      </c>
      <c r="L2438" t="s">
        <v>27430</v>
      </c>
      <c r="M2438" t="s">
        <v>27251</v>
      </c>
      <c r="N2438" t="s">
        <v>27252</v>
      </c>
      <c r="P2438" t="s">
        <v>27925</v>
      </c>
      <c r="Q2438" s="1">
        <v>45250</v>
      </c>
      <c r="R2438" t="s">
        <v>27253</v>
      </c>
      <c r="S2438" t="s">
        <v>27254</v>
      </c>
      <c r="T2438" t="s">
        <v>27255</v>
      </c>
    </row>
    <row r="2439" spans="1:20" x14ac:dyDescent="0.3">
      <c r="A2439" t="str">
        <f>"0611884095100"</f>
        <v>0611884095100</v>
      </c>
      <c r="B2439" t="str">
        <f>"LY5746"</f>
        <v>LY5746</v>
      </c>
      <c r="C2439" t="s">
        <v>31965</v>
      </c>
      <c r="D2439" t="s">
        <v>28138</v>
      </c>
      <c r="E2439" t="str">
        <f t="shared" si="38"/>
        <v>001390</v>
      </c>
      <c r="F2439" t="s">
        <v>27246</v>
      </c>
      <c r="G2439" t="s">
        <v>27247</v>
      </c>
      <c r="H2439" t="s">
        <v>27248</v>
      </c>
      <c r="I2439" t="s">
        <v>31966</v>
      </c>
      <c r="J2439" t="s">
        <v>4889</v>
      </c>
      <c r="L2439" t="s">
        <v>27430</v>
      </c>
      <c r="M2439" t="s">
        <v>27251</v>
      </c>
      <c r="N2439" t="s">
        <v>27252</v>
      </c>
      <c r="P2439" t="s">
        <v>27925</v>
      </c>
      <c r="Q2439" s="1">
        <v>45250</v>
      </c>
      <c r="R2439" t="s">
        <v>27253</v>
      </c>
      <c r="S2439" t="s">
        <v>27254</v>
      </c>
      <c r="T2439" t="s">
        <v>27255</v>
      </c>
    </row>
    <row r="2440" spans="1:20" x14ac:dyDescent="0.3">
      <c r="A2440" t="str">
        <f>"0611861169050"</f>
        <v>0611861169050</v>
      </c>
      <c r="B2440" t="str">
        <f>"CR5058"</f>
        <v>CR5058</v>
      </c>
      <c r="C2440" t="s">
        <v>31967</v>
      </c>
      <c r="D2440" t="s">
        <v>27263</v>
      </c>
      <c r="E2440" t="str">
        <f t="shared" si="38"/>
        <v>001390</v>
      </c>
      <c r="F2440" t="s">
        <v>27246</v>
      </c>
      <c r="G2440" t="s">
        <v>27247</v>
      </c>
      <c r="H2440" t="s">
        <v>27248</v>
      </c>
      <c r="I2440" t="s">
        <v>31968</v>
      </c>
      <c r="J2440" t="s">
        <v>4891</v>
      </c>
      <c r="L2440" t="s">
        <v>27250</v>
      </c>
      <c r="M2440" t="s">
        <v>27251</v>
      </c>
      <c r="N2440" t="s">
        <v>27252</v>
      </c>
      <c r="Q2440" s="1">
        <v>44846</v>
      </c>
      <c r="R2440" t="s">
        <v>27253</v>
      </c>
      <c r="S2440" t="s">
        <v>27254</v>
      </c>
      <c r="T2440" t="s">
        <v>27265</v>
      </c>
    </row>
    <row r="2441" spans="1:20" x14ac:dyDescent="0.3">
      <c r="A2441" t="str">
        <f>"0611861170050"</f>
        <v>0611861170050</v>
      </c>
      <c r="B2441" t="str">
        <f>"CR4573"</f>
        <v>CR4573</v>
      </c>
      <c r="C2441" t="s">
        <v>31969</v>
      </c>
      <c r="D2441" t="s">
        <v>27271</v>
      </c>
      <c r="E2441" t="str">
        <f t="shared" si="38"/>
        <v>001390</v>
      </c>
      <c r="F2441" t="s">
        <v>27246</v>
      </c>
      <c r="G2441" t="s">
        <v>27247</v>
      </c>
      <c r="H2441" t="s">
        <v>27248</v>
      </c>
      <c r="I2441" t="s">
        <v>31970</v>
      </c>
      <c r="J2441" t="s">
        <v>4893</v>
      </c>
      <c r="L2441" t="s">
        <v>27250</v>
      </c>
      <c r="M2441" t="s">
        <v>27251</v>
      </c>
      <c r="N2441" t="s">
        <v>27252</v>
      </c>
      <c r="P2441" t="s">
        <v>27341</v>
      </c>
      <c r="Q2441" s="1">
        <v>44846</v>
      </c>
      <c r="R2441" t="s">
        <v>27253</v>
      </c>
      <c r="S2441" t="s">
        <v>27254</v>
      </c>
      <c r="T2441" t="s">
        <v>27265</v>
      </c>
    </row>
    <row r="2442" spans="1:20" x14ac:dyDescent="0.3">
      <c r="A2442" t="str">
        <f>"0611833024100"</f>
        <v>0611833024100</v>
      </c>
      <c r="B2442" t="str">
        <f>"LY5722"</f>
        <v>LY5722</v>
      </c>
      <c r="C2442" t="s">
        <v>31971</v>
      </c>
      <c r="D2442" t="s">
        <v>28138</v>
      </c>
      <c r="E2442" t="str">
        <f t="shared" si="38"/>
        <v>001390</v>
      </c>
      <c r="F2442" t="s">
        <v>27246</v>
      </c>
      <c r="G2442" t="s">
        <v>27247</v>
      </c>
      <c r="H2442" t="s">
        <v>27248</v>
      </c>
      <c r="I2442" t="s">
        <v>31972</v>
      </c>
      <c r="J2442" t="s">
        <v>4895</v>
      </c>
      <c r="L2442" t="s">
        <v>27250</v>
      </c>
      <c r="M2442" t="s">
        <v>27251</v>
      </c>
      <c r="N2442" t="s">
        <v>27252</v>
      </c>
      <c r="P2442" t="s">
        <v>27925</v>
      </c>
      <c r="Q2442" s="1">
        <v>44538</v>
      </c>
      <c r="R2442" t="s">
        <v>27253</v>
      </c>
      <c r="S2442" t="s">
        <v>27254</v>
      </c>
      <c r="T2442" t="s">
        <v>27255</v>
      </c>
    </row>
    <row r="2443" spans="1:20" x14ac:dyDescent="0.3">
      <c r="A2443" t="str">
        <f>"0611833025100"</f>
        <v>0611833025100</v>
      </c>
      <c r="B2443" t="str">
        <f>"LY5704"</f>
        <v>LY5704</v>
      </c>
      <c r="C2443" t="s">
        <v>31973</v>
      </c>
      <c r="D2443" t="s">
        <v>28138</v>
      </c>
      <c r="E2443" t="str">
        <f t="shared" si="38"/>
        <v>001390</v>
      </c>
      <c r="F2443" t="s">
        <v>27246</v>
      </c>
      <c r="G2443" t="s">
        <v>27247</v>
      </c>
      <c r="H2443" t="s">
        <v>27248</v>
      </c>
      <c r="I2443" t="s">
        <v>31974</v>
      </c>
      <c r="J2443" t="s">
        <v>4897</v>
      </c>
      <c r="L2443" t="s">
        <v>27250</v>
      </c>
      <c r="M2443" t="s">
        <v>27251</v>
      </c>
      <c r="N2443" t="s">
        <v>27252</v>
      </c>
      <c r="P2443" t="s">
        <v>27925</v>
      </c>
      <c r="Q2443" s="1">
        <v>44538</v>
      </c>
      <c r="R2443" t="s">
        <v>27253</v>
      </c>
      <c r="S2443" t="s">
        <v>27254</v>
      </c>
      <c r="T2443" t="s">
        <v>27255</v>
      </c>
    </row>
    <row r="2444" spans="1:20" x14ac:dyDescent="0.3">
      <c r="A2444" t="str">
        <f>"0611833026100"</f>
        <v>0611833026100</v>
      </c>
      <c r="B2444" t="str">
        <f>"LH2385"</f>
        <v>LH2385</v>
      </c>
      <c r="C2444" t="s">
        <v>31975</v>
      </c>
      <c r="D2444" t="s">
        <v>27245</v>
      </c>
      <c r="E2444" t="str">
        <f t="shared" si="38"/>
        <v>001390</v>
      </c>
      <c r="F2444" t="s">
        <v>27246</v>
      </c>
      <c r="G2444" t="s">
        <v>27247</v>
      </c>
      <c r="H2444" t="s">
        <v>27248</v>
      </c>
      <c r="I2444" t="s">
        <v>31976</v>
      </c>
      <c r="J2444" t="s">
        <v>4899</v>
      </c>
      <c r="L2444" t="s">
        <v>27250</v>
      </c>
      <c r="M2444" t="s">
        <v>27251</v>
      </c>
      <c r="N2444" t="s">
        <v>27252</v>
      </c>
      <c r="Q2444" s="1">
        <v>44538</v>
      </c>
      <c r="R2444" t="s">
        <v>27253</v>
      </c>
      <c r="S2444" t="s">
        <v>27254</v>
      </c>
      <c r="T2444" t="s">
        <v>27255</v>
      </c>
    </row>
    <row r="2445" spans="1:20" x14ac:dyDescent="0.3">
      <c r="A2445" t="str">
        <f>"0611833027100"</f>
        <v>0611833027100</v>
      </c>
      <c r="B2445" t="str">
        <f>"LG1200"</f>
        <v>LG1200</v>
      </c>
      <c r="C2445" t="s">
        <v>31977</v>
      </c>
      <c r="D2445" t="s">
        <v>27245</v>
      </c>
      <c r="E2445" t="str">
        <f t="shared" si="38"/>
        <v>001390</v>
      </c>
      <c r="F2445" t="s">
        <v>27246</v>
      </c>
      <c r="G2445" t="s">
        <v>27247</v>
      </c>
      <c r="H2445" t="s">
        <v>27248</v>
      </c>
      <c r="I2445" t="s">
        <v>31978</v>
      </c>
      <c r="J2445" t="s">
        <v>4901</v>
      </c>
      <c r="L2445" t="s">
        <v>27250</v>
      </c>
      <c r="M2445" t="s">
        <v>27251</v>
      </c>
      <c r="N2445" t="s">
        <v>27252</v>
      </c>
      <c r="Q2445" s="1">
        <v>44538</v>
      </c>
      <c r="R2445" t="s">
        <v>27253</v>
      </c>
      <c r="S2445" t="s">
        <v>27254</v>
      </c>
      <c r="T2445" t="s">
        <v>27255</v>
      </c>
    </row>
    <row r="2446" spans="1:20" x14ac:dyDescent="0.3">
      <c r="A2446" t="str">
        <f>"0611861171050"</f>
        <v>0611861171050</v>
      </c>
      <c r="B2446" t="str">
        <f>"CR4574"</f>
        <v>CR4574</v>
      </c>
      <c r="C2446" t="s">
        <v>31979</v>
      </c>
      <c r="D2446" t="s">
        <v>27271</v>
      </c>
      <c r="E2446" t="str">
        <f t="shared" si="38"/>
        <v>001390</v>
      </c>
      <c r="F2446" t="s">
        <v>27246</v>
      </c>
      <c r="G2446" t="s">
        <v>27247</v>
      </c>
      <c r="H2446" t="s">
        <v>27248</v>
      </c>
      <c r="I2446" t="s">
        <v>31980</v>
      </c>
      <c r="J2446" t="s">
        <v>4903</v>
      </c>
      <c r="L2446" t="s">
        <v>27250</v>
      </c>
      <c r="M2446" t="s">
        <v>27251</v>
      </c>
      <c r="N2446" t="s">
        <v>27252</v>
      </c>
      <c r="P2446" t="s">
        <v>27341</v>
      </c>
      <c r="Q2446" s="1">
        <v>44846</v>
      </c>
      <c r="R2446" t="s">
        <v>27253</v>
      </c>
      <c r="S2446" t="s">
        <v>27254</v>
      </c>
      <c r="T2446" t="s">
        <v>27265</v>
      </c>
    </row>
    <row r="2447" spans="1:20" x14ac:dyDescent="0.3">
      <c r="A2447" t="str">
        <f>"0611861172050"</f>
        <v>0611861172050</v>
      </c>
      <c r="B2447" t="str">
        <f>"CR4575"</f>
        <v>CR4575</v>
      </c>
      <c r="C2447" t="s">
        <v>31981</v>
      </c>
      <c r="D2447" t="s">
        <v>27263</v>
      </c>
      <c r="E2447" t="str">
        <f t="shared" si="38"/>
        <v>001390</v>
      </c>
      <c r="F2447" t="s">
        <v>27246</v>
      </c>
      <c r="G2447" t="s">
        <v>27247</v>
      </c>
      <c r="H2447" t="s">
        <v>27248</v>
      </c>
      <c r="I2447" t="s">
        <v>31982</v>
      </c>
      <c r="J2447" t="s">
        <v>4905</v>
      </c>
      <c r="L2447" t="s">
        <v>27250</v>
      </c>
      <c r="M2447" t="s">
        <v>27251</v>
      </c>
      <c r="N2447" t="s">
        <v>27252</v>
      </c>
      <c r="Q2447" s="1">
        <v>44846</v>
      </c>
      <c r="R2447" t="s">
        <v>27253</v>
      </c>
      <c r="S2447" t="s">
        <v>27254</v>
      </c>
      <c r="T2447" t="s">
        <v>27265</v>
      </c>
    </row>
    <row r="2448" spans="1:20" x14ac:dyDescent="0.3">
      <c r="A2448" t="str">
        <f>"0611833028100"</f>
        <v>0611833028100</v>
      </c>
      <c r="B2448" t="str">
        <f>"LH2400"</f>
        <v>LH2400</v>
      </c>
      <c r="C2448" t="s">
        <v>31983</v>
      </c>
      <c r="D2448" t="s">
        <v>27245</v>
      </c>
      <c r="E2448" t="str">
        <f t="shared" si="38"/>
        <v>001390</v>
      </c>
      <c r="F2448" t="s">
        <v>27246</v>
      </c>
      <c r="G2448" t="s">
        <v>27247</v>
      </c>
      <c r="H2448" t="s">
        <v>27248</v>
      </c>
      <c r="I2448" t="s">
        <v>31984</v>
      </c>
      <c r="J2448" t="s">
        <v>4907</v>
      </c>
      <c r="L2448" t="s">
        <v>27250</v>
      </c>
      <c r="M2448" t="s">
        <v>27251</v>
      </c>
      <c r="N2448" t="s">
        <v>27252</v>
      </c>
      <c r="Q2448" s="1">
        <v>44538</v>
      </c>
      <c r="R2448" t="s">
        <v>27253</v>
      </c>
      <c r="S2448" t="s">
        <v>27254</v>
      </c>
      <c r="T2448" t="s">
        <v>27255</v>
      </c>
    </row>
    <row r="2449" spans="1:20" x14ac:dyDescent="0.3">
      <c r="A2449" t="str">
        <f>"0611861173050"</f>
        <v>0611861173050</v>
      </c>
      <c r="B2449" t="str">
        <f>"CR4576"</f>
        <v>CR4576</v>
      </c>
      <c r="C2449" t="s">
        <v>31985</v>
      </c>
      <c r="D2449" t="s">
        <v>27263</v>
      </c>
      <c r="E2449" t="str">
        <f t="shared" si="38"/>
        <v>001390</v>
      </c>
      <c r="F2449" t="s">
        <v>27246</v>
      </c>
      <c r="G2449" t="s">
        <v>27247</v>
      </c>
      <c r="H2449" t="s">
        <v>27248</v>
      </c>
      <c r="I2449" t="s">
        <v>31986</v>
      </c>
      <c r="J2449" t="s">
        <v>4909</v>
      </c>
      <c r="L2449" t="s">
        <v>27250</v>
      </c>
      <c r="M2449" t="s">
        <v>27251</v>
      </c>
      <c r="N2449" t="s">
        <v>27252</v>
      </c>
      <c r="Q2449" s="1">
        <v>44846</v>
      </c>
      <c r="R2449" t="s">
        <v>27253</v>
      </c>
      <c r="S2449" t="s">
        <v>27254</v>
      </c>
      <c r="T2449" t="s">
        <v>27265</v>
      </c>
    </row>
    <row r="2450" spans="1:20" x14ac:dyDescent="0.3">
      <c r="A2450" t="str">
        <f>"0611861174100"</f>
        <v>0611861174100</v>
      </c>
      <c r="B2450" t="str">
        <f>"LK4961"</f>
        <v>LK4961</v>
      </c>
      <c r="C2450" t="s">
        <v>31987</v>
      </c>
      <c r="D2450" t="s">
        <v>27245</v>
      </c>
      <c r="E2450" t="str">
        <f t="shared" si="38"/>
        <v>001390</v>
      </c>
      <c r="F2450" t="s">
        <v>27246</v>
      </c>
      <c r="G2450" t="s">
        <v>27247</v>
      </c>
      <c r="H2450" t="s">
        <v>27248</v>
      </c>
      <c r="I2450" t="s">
        <v>31988</v>
      </c>
      <c r="J2450" t="s">
        <v>4911</v>
      </c>
      <c r="L2450" t="s">
        <v>27250</v>
      </c>
      <c r="M2450" t="s">
        <v>27251</v>
      </c>
      <c r="N2450" t="s">
        <v>27252</v>
      </c>
      <c r="Q2450" s="1">
        <v>44846</v>
      </c>
      <c r="R2450" t="s">
        <v>27253</v>
      </c>
      <c r="S2450" t="s">
        <v>27254</v>
      </c>
      <c r="T2450" t="s">
        <v>27255</v>
      </c>
    </row>
    <row r="2451" spans="1:20" x14ac:dyDescent="0.3">
      <c r="A2451" t="str">
        <f>"0611833030100"</f>
        <v>0611833030100</v>
      </c>
      <c r="B2451" t="str">
        <f>"LH2430"</f>
        <v>LH2430</v>
      </c>
      <c r="C2451" t="s">
        <v>31989</v>
      </c>
      <c r="D2451" t="s">
        <v>27245</v>
      </c>
      <c r="E2451" t="str">
        <f t="shared" si="38"/>
        <v>001390</v>
      </c>
      <c r="F2451" t="s">
        <v>27246</v>
      </c>
      <c r="G2451" t="s">
        <v>27247</v>
      </c>
      <c r="H2451" t="s">
        <v>27248</v>
      </c>
      <c r="I2451" t="s">
        <v>31990</v>
      </c>
      <c r="J2451" t="s">
        <v>4913</v>
      </c>
      <c r="L2451" t="s">
        <v>27250</v>
      </c>
      <c r="M2451" t="s">
        <v>27251</v>
      </c>
      <c r="N2451" t="s">
        <v>27252</v>
      </c>
      <c r="Q2451" s="1">
        <v>44538</v>
      </c>
      <c r="R2451" t="s">
        <v>27253</v>
      </c>
      <c r="S2451" t="s">
        <v>27254</v>
      </c>
      <c r="T2451" t="s">
        <v>27255</v>
      </c>
    </row>
    <row r="2452" spans="1:20" x14ac:dyDescent="0.3">
      <c r="A2452" t="str">
        <f>"0611861175050"</f>
        <v>0611861175050</v>
      </c>
      <c r="B2452" t="str">
        <f>"CR4577"</f>
        <v>CR4577</v>
      </c>
      <c r="C2452" t="s">
        <v>31991</v>
      </c>
      <c r="D2452" t="s">
        <v>27271</v>
      </c>
      <c r="E2452" t="str">
        <f t="shared" si="38"/>
        <v>001390</v>
      </c>
      <c r="F2452" t="s">
        <v>27246</v>
      </c>
      <c r="G2452" t="s">
        <v>27247</v>
      </c>
      <c r="H2452" t="s">
        <v>27248</v>
      </c>
      <c r="I2452" t="s">
        <v>31992</v>
      </c>
      <c r="J2452" t="s">
        <v>4915</v>
      </c>
      <c r="L2452" t="s">
        <v>27250</v>
      </c>
      <c r="M2452" t="s">
        <v>27251</v>
      </c>
      <c r="N2452" t="s">
        <v>27252</v>
      </c>
      <c r="P2452" t="s">
        <v>27341</v>
      </c>
      <c r="Q2452" s="1">
        <v>44846</v>
      </c>
      <c r="R2452" t="s">
        <v>27253</v>
      </c>
      <c r="S2452" t="s">
        <v>27254</v>
      </c>
      <c r="T2452" t="s">
        <v>27265</v>
      </c>
    </row>
    <row r="2453" spans="1:20" x14ac:dyDescent="0.3">
      <c r="A2453" t="str">
        <f>"0611833031100"</f>
        <v>0611833031100</v>
      </c>
      <c r="B2453" t="str">
        <f>"LY5723"</f>
        <v>LY5723</v>
      </c>
      <c r="C2453" t="s">
        <v>31993</v>
      </c>
      <c r="D2453" t="s">
        <v>28138</v>
      </c>
      <c r="E2453" t="str">
        <f t="shared" si="38"/>
        <v>001390</v>
      </c>
      <c r="F2453" t="s">
        <v>27246</v>
      </c>
      <c r="G2453" t="s">
        <v>27247</v>
      </c>
      <c r="H2453" t="s">
        <v>27248</v>
      </c>
      <c r="I2453" t="s">
        <v>31994</v>
      </c>
      <c r="J2453" t="s">
        <v>4917</v>
      </c>
      <c r="L2453" t="s">
        <v>27250</v>
      </c>
      <c r="M2453" t="s">
        <v>27251</v>
      </c>
      <c r="N2453" t="s">
        <v>27252</v>
      </c>
      <c r="P2453" t="s">
        <v>27925</v>
      </c>
      <c r="Q2453" s="1">
        <v>44538</v>
      </c>
      <c r="R2453" t="s">
        <v>27253</v>
      </c>
      <c r="S2453" t="s">
        <v>27254</v>
      </c>
      <c r="T2453" t="s">
        <v>27255</v>
      </c>
    </row>
    <row r="2454" spans="1:20" x14ac:dyDescent="0.3">
      <c r="A2454" t="str">
        <f>"0611833032100"</f>
        <v>0611833032100</v>
      </c>
      <c r="B2454" t="str">
        <f>"LY5724"</f>
        <v>LY5724</v>
      </c>
      <c r="C2454" t="s">
        <v>31995</v>
      </c>
      <c r="D2454" t="s">
        <v>28138</v>
      </c>
      <c r="E2454" t="str">
        <f t="shared" si="38"/>
        <v>001390</v>
      </c>
      <c r="F2454" t="s">
        <v>27246</v>
      </c>
      <c r="G2454" t="s">
        <v>27247</v>
      </c>
      <c r="H2454" t="s">
        <v>27248</v>
      </c>
      <c r="I2454" t="s">
        <v>31996</v>
      </c>
      <c r="J2454" t="s">
        <v>4919</v>
      </c>
      <c r="L2454" t="s">
        <v>27250</v>
      </c>
      <c r="M2454" t="s">
        <v>27251</v>
      </c>
      <c r="N2454" t="s">
        <v>27252</v>
      </c>
      <c r="P2454" t="s">
        <v>27925</v>
      </c>
      <c r="Q2454" s="1">
        <v>44538</v>
      </c>
      <c r="R2454" t="s">
        <v>27253</v>
      </c>
      <c r="S2454" t="s">
        <v>27254</v>
      </c>
      <c r="T2454" t="s">
        <v>27255</v>
      </c>
    </row>
    <row r="2455" spans="1:20" x14ac:dyDescent="0.3">
      <c r="A2455" t="str">
        <f>"0611833033100"</f>
        <v>0611833033100</v>
      </c>
      <c r="B2455" t="str">
        <f>"LY5725"</f>
        <v>LY5725</v>
      </c>
      <c r="C2455" t="s">
        <v>31997</v>
      </c>
      <c r="D2455" t="s">
        <v>28138</v>
      </c>
      <c r="E2455" t="str">
        <f t="shared" si="38"/>
        <v>001390</v>
      </c>
      <c r="F2455" t="s">
        <v>27246</v>
      </c>
      <c r="G2455" t="s">
        <v>27247</v>
      </c>
      <c r="H2455" t="s">
        <v>27248</v>
      </c>
      <c r="I2455" t="s">
        <v>31998</v>
      </c>
      <c r="J2455" t="s">
        <v>4921</v>
      </c>
      <c r="L2455" t="s">
        <v>27250</v>
      </c>
      <c r="M2455" t="s">
        <v>27251</v>
      </c>
      <c r="N2455" t="s">
        <v>27252</v>
      </c>
      <c r="P2455" t="s">
        <v>27925</v>
      </c>
      <c r="Q2455" s="1">
        <v>44538</v>
      </c>
      <c r="R2455" t="s">
        <v>27253</v>
      </c>
      <c r="S2455" t="s">
        <v>27254</v>
      </c>
      <c r="T2455" t="s">
        <v>27255</v>
      </c>
    </row>
    <row r="2456" spans="1:20" x14ac:dyDescent="0.3">
      <c r="A2456" t="str">
        <f>"0611833034100"</f>
        <v>0611833034100</v>
      </c>
      <c r="B2456" t="str">
        <f>"LY5726"</f>
        <v>LY5726</v>
      </c>
      <c r="C2456" t="s">
        <v>31999</v>
      </c>
      <c r="D2456" t="s">
        <v>28138</v>
      </c>
      <c r="E2456" t="str">
        <f t="shared" si="38"/>
        <v>001390</v>
      </c>
      <c r="F2456" t="s">
        <v>27246</v>
      </c>
      <c r="G2456" t="s">
        <v>27247</v>
      </c>
      <c r="H2456" t="s">
        <v>27248</v>
      </c>
      <c r="I2456" t="s">
        <v>32000</v>
      </c>
      <c r="J2456" t="s">
        <v>4923</v>
      </c>
      <c r="L2456" t="s">
        <v>27250</v>
      </c>
      <c r="M2456" t="s">
        <v>27251</v>
      </c>
      <c r="N2456" t="s">
        <v>27252</v>
      </c>
      <c r="P2456" t="s">
        <v>27925</v>
      </c>
      <c r="Q2456" s="1">
        <v>44538</v>
      </c>
      <c r="R2456" t="s">
        <v>27253</v>
      </c>
      <c r="S2456" t="s">
        <v>27254</v>
      </c>
      <c r="T2456" t="s">
        <v>27255</v>
      </c>
    </row>
    <row r="2457" spans="1:20" x14ac:dyDescent="0.3">
      <c r="A2457" t="str">
        <f>"0611833035100"</f>
        <v>0611833035100</v>
      </c>
      <c r="B2457" t="str">
        <f>"LY5727"</f>
        <v>LY5727</v>
      </c>
      <c r="C2457" t="s">
        <v>32001</v>
      </c>
      <c r="D2457" t="s">
        <v>28138</v>
      </c>
      <c r="E2457" t="str">
        <f t="shared" si="38"/>
        <v>001390</v>
      </c>
      <c r="F2457" t="s">
        <v>27246</v>
      </c>
      <c r="G2457" t="s">
        <v>27247</v>
      </c>
      <c r="H2457" t="s">
        <v>27248</v>
      </c>
      <c r="I2457" t="s">
        <v>32002</v>
      </c>
      <c r="J2457" t="s">
        <v>4925</v>
      </c>
      <c r="L2457" t="s">
        <v>27250</v>
      </c>
      <c r="M2457" t="s">
        <v>27251</v>
      </c>
      <c r="N2457" t="s">
        <v>27252</v>
      </c>
      <c r="P2457" t="s">
        <v>27925</v>
      </c>
      <c r="Q2457" s="1">
        <v>44538</v>
      </c>
      <c r="R2457" t="s">
        <v>27253</v>
      </c>
      <c r="S2457" t="s">
        <v>27254</v>
      </c>
      <c r="T2457" t="s">
        <v>27255</v>
      </c>
    </row>
    <row r="2458" spans="1:20" x14ac:dyDescent="0.3">
      <c r="A2458" t="str">
        <f>"0611833036100"</f>
        <v>0611833036100</v>
      </c>
      <c r="B2458" t="str">
        <f>"LY5728"</f>
        <v>LY5728</v>
      </c>
      <c r="C2458" t="s">
        <v>32003</v>
      </c>
      <c r="D2458" t="s">
        <v>28138</v>
      </c>
      <c r="E2458" t="str">
        <f t="shared" si="38"/>
        <v>001390</v>
      </c>
      <c r="F2458" t="s">
        <v>27246</v>
      </c>
      <c r="G2458" t="s">
        <v>27247</v>
      </c>
      <c r="H2458" t="s">
        <v>27248</v>
      </c>
      <c r="I2458" t="s">
        <v>32004</v>
      </c>
      <c r="J2458" t="s">
        <v>4927</v>
      </c>
      <c r="L2458" t="s">
        <v>27250</v>
      </c>
      <c r="M2458" t="s">
        <v>27251</v>
      </c>
      <c r="N2458" t="s">
        <v>27252</v>
      </c>
      <c r="P2458" t="s">
        <v>27925</v>
      </c>
      <c r="Q2458" s="1">
        <v>44538</v>
      </c>
      <c r="R2458" t="s">
        <v>27253</v>
      </c>
      <c r="S2458" t="s">
        <v>27254</v>
      </c>
      <c r="T2458" t="s">
        <v>27255</v>
      </c>
    </row>
    <row r="2459" spans="1:20" x14ac:dyDescent="0.3">
      <c r="A2459" t="str">
        <f>"0611833037100"</f>
        <v>0611833037100</v>
      </c>
      <c r="B2459" t="str">
        <f>"LY0025"</f>
        <v>LY0025</v>
      </c>
      <c r="C2459" t="s">
        <v>32005</v>
      </c>
      <c r="D2459" t="s">
        <v>28138</v>
      </c>
      <c r="E2459" t="str">
        <f t="shared" si="38"/>
        <v>001390</v>
      </c>
      <c r="F2459" t="s">
        <v>27246</v>
      </c>
      <c r="G2459" t="s">
        <v>27247</v>
      </c>
      <c r="H2459" t="s">
        <v>27248</v>
      </c>
      <c r="I2459" t="s">
        <v>32006</v>
      </c>
      <c r="J2459" t="s">
        <v>4929</v>
      </c>
      <c r="L2459" t="s">
        <v>27250</v>
      </c>
      <c r="M2459" t="s">
        <v>27251</v>
      </c>
      <c r="N2459" t="s">
        <v>27252</v>
      </c>
      <c r="P2459" t="s">
        <v>27925</v>
      </c>
      <c r="Q2459" s="1">
        <v>44538</v>
      </c>
      <c r="R2459" t="s">
        <v>27253</v>
      </c>
      <c r="S2459" t="s">
        <v>27254</v>
      </c>
      <c r="T2459" t="s">
        <v>27255</v>
      </c>
    </row>
    <row r="2460" spans="1:20" x14ac:dyDescent="0.3">
      <c r="A2460" t="str">
        <f>"0611833038100"</f>
        <v>0611833038100</v>
      </c>
      <c r="B2460" t="str">
        <f>"LY0017"</f>
        <v>LY0017</v>
      </c>
      <c r="C2460" t="s">
        <v>32007</v>
      </c>
      <c r="D2460" t="s">
        <v>28138</v>
      </c>
      <c r="E2460" t="str">
        <f t="shared" si="38"/>
        <v>001390</v>
      </c>
      <c r="F2460" t="s">
        <v>27246</v>
      </c>
      <c r="G2460" t="s">
        <v>27247</v>
      </c>
      <c r="H2460" t="s">
        <v>27248</v>
      </c>
      <c r="I2460" t="s">
        <v>32008</v>
      </c>
      <c r="J2460" t="s">
        <v>4931</v>
      </c>
      <c r="L2460" t="s">
        <v>27250</v>
      </c>
      <c r="M2460" t="s">
        <v>27251</v>
      </c>
      <c r="N2460" t="s">
        <v>27252</v>
      </c>
      <c r="P2460" t="s">
        <v>27925</v>
      </c>
      <c r="Q2460" s="1">
        <v>44538</v>
      </c>
      <c r="R2460" t="s">
        <v>27253</v>
      </c>
      <c r="S2460" t="s">
        <v>27254</v>
      </c>
      <c r="T2460" t="s">
        <v>27255</v>
      </c>
    </row>
    <row r="2461" spans="1:20" x14ac:dyDescent="0.3">
      <c r="A2461" t="str">
        <f>"0611861176050"</f>
        <v>0611861176050</v>
      </c>
      <c r="B2461" t="str">
        <f>"CR4578"</f>
        <v>CR4578</v>
      </c>
      <c r="C2461" t="s">
        <v>32009</v>
      </c>
      <c r="D2461" t="s">
        <v>27271</v>
      </c>
      <c r="E2461" t="str">
        <f t="shared" si="38"/>
        <v>001390</v>
      </c>
      <c r="F2461" t="s">
        <v>27246</v>
      </c>
      <c r="G2461" t="s">
        <v>27247</v>
      </c>
      <c r="H2461" t="s">
        <v>27248</v>
      </c>
      <c r="I2461" t="s">
        <v>32010</v>
      </c>
      <c r="J2461" t="s">
        <v>4933</v>
      </c>
      <c r="L2461" t="s">
        <v>27250</v>
      </c>
      <c r="M2461" t="s">
        <v>27251</v>
      </c>
      <c r="N2461" t="s">
        <v>27252</v>
      </c>
      <c r="P2461" t="s">
        <v>27341</v>
      </c>
      <c r="Q2461" s="1">
        <v>44846</v>
      </c>
      <c r="R2461" t="s">
        <v>27253</v>
      </c>
      <c r="S2461" t="s">
        <v>27254</v>
      </c>
      <c r="T2461" t="s">
        <v>27265</v>
      </c>
    </row>
    <row r="2462" spans="1:20" x14ac:dyDescent="0.3">
      <c r="A2462" t="str">
        <f>"0611833039100"</f>
        <v>0611833039100</v>
      </c>
      <c r="B2462" t="str">
        <f>"LY0026"</f>
        <v>LY0026</v>
      </c>
      <c r="C2462" t="s">
        <v>32011</v>
      </c>
      <c r="D2462" t="s">
        <v>28138</v>
      </c>
      <c r="E2462" t="str">
        <f t="shared" si="38"/>
        <v>001390</v>
      </c>
      <c r="F2462" t="s">
        <v>27246</v>
      </c>
      <c r="G2462" t="s">
        <v>27247</v>
      </c>
      <c r="H2462" t="s">
        <v>27248</v>
      </c>
      <c r="I2462" t="s">
        <v>32012</v>
      </c>
      <c r="J2462" t="s">
        <v>4935</v>
      </c>
      <c r="L2462" t="s">
        <v>27250</v>
      </c>
      <c r="M2462" t="s">
        <v>27251</v>
      </c>
      <c r="N2462" t="s">
        <v>27252</v>
      </c>
      <c r="P2462" t="s">
        <v>27925</v>
      </c>
      <c r="Q2462" s="1">
        <v>44538</v>
      </c>
      <c r="R2462" t="s">
        <v>27253</v>
      </c>
      <c r="S2462" t="s">
        <v>27254</v>
      </c>
      <c r="T2462" t="s">
        <v>27255</v>
      </c>
    </row>
    <row r="2463" spans="1:20" x14ac:dyDescent="0.3">
      <c r="A2463" t="str">
        <f>"0611833040100"</f>
        <v>0611833040100</v>
      </c>
      <c r="B2463" t="str">
        <f>"LY5710"</f>
        <v>LY5710</v>
      </c>
      <c r="C2463" t="s">
        <v>32013</v>
      </c>
      <c r="D2463" t="s">
        <v>28138</v>
      </c>
      <c r="E2463" t="str">
        <f t="shared" si="38"/>
        <v>001390</v>
      </c>
      <c r="F2463" t="s">
        <v>27246</v>
      </c>
      <c r="G2463" t="s">
        <v>27247</v>
      </c>
      <c r="H2463" t="s">
        <v>27248</v>
      </c>
      <c r="I2463" t="s">
        <v>32014</v>
      </c>
      <c r="J2463" t="s">
        <v>4937</v>
      </c>
      <c r="L2463" t="s">
        <v>27250</v>
      </c>
      <c r="M2463" t="s">
        <v>27251</v>
      </c>
      <c r="N2463" t="s">
        <v>27252</v>
      </c>
      <c r="P2463" t="s">
        <v>27925</v>
      </c>
      <c r="Q2463" s="1">
        <v>44538</v>
      </c>
      <c r="R2463" t="s">
        <v>27253</v>
      </c>
      <c r="S2463" t="s">
        <v>27254</v>
      </c>
      <c r="T2463" t="s">
        <v>27255</v>
      </c>
    </row>
    <row r="2464" spans="1:20" x14ac:dyDescent="0.3">
      <c r="A2464" t="str">
        <f>"0611861177050"</f>
        <v>0611861177050</v>
      </c>
      <c r="B2464" t="str">
        <f>"CR4579"</f>
        <v>CR4579</v>
      </c>
      <c r="C2464" t="s">
        <v>32015</v>
      </c>
      <c r="D2464" t="s">
        <v>27271</v>
      </c>
      <c r="E2464" t="str">
        <f t="shared" si="38"/>
        <v>001390</v>
      </c>
      <c r="F2464" t="s">
        <v>27246</v>
      </c>
      <c r="G2464" t="s">
        <v>27247</v>
      </c>
      <c r="H2464" t="s">
        <v>27248</v>
      </c>
      <c r="I2464" t="s">
        <v>32016</v>
      </c>
      <c r="J2464" t="s">
        <v>4939</v>
      </c>
      <c r="L2464" t="s">
        <v>27250</v>
      </c>
      <c r="M2464" t="s">
        <v>27251</v>
      </c>
      <c r="N2464" t="s">
        <v>27252</v>
      </c>
      <c r="P2464" t="s">
        <v>27341</v>
      </c>
      <c r="Q2464" s="1">
        <v>44846</v>
      </c>
      <c r="R2464" t="s">
        <v>27253</v>
      </c>
      <c r="S2464" t="s">
        <v>27254</v>
      </c>
      <c r="T2464" t="s">
        <v>27265</v>
      </c>
    </row>
    <row r="2465" spans="1:20" x14ac:dyDescent="0.3">
      <c r="A2465" t="str">
        <f>"0611861178050"</f>
        <v>0611861178050</v>
      </c>
      <c r="B2465" t="str">
        <f>"CR4580"</f>
        <v>CR4580</v>
      </c>
      <c r="C2465" t="s">
        <v>32017</v>
      </c>
      <c r="D2465" t="s">
        <v>27263</v>
      </c>
      <c r="E2465" t="str">
        <f t="shared" si="38"/>
        <v>001390</v>
      </c>
      <c r="F2465" t="s">
        <v>27246</v>
      </c>
      <c r="G2465" t="s">
        <v>27247</v>
      </c>
      <c r="H2465" t="s">
        <v>27248</v>
      </c>
      <c r="I2465" t="s">
        <v>32018</v>
      </c>
      <c r="J2465" t="s">
        <v>4941</v>
      </c>
      <c r="L2465" t="s">
        <v>27250</v>
      </c>
      <c r="M2465" t="s">
        <v>27251</v>
      </c>
      <c r="N2465" t="s">
        <v>27252</v>
      </c>
      <c r="Q2465" s="1">
        <v>44846</v>
      </c>
      <c r="R2465" t="s">
        <v>27253</v>
      </c>
      <c r="S2465" t="s">
        <v>27254</v>
      </c>
      <c r="T2465" t="s">
        <v>27265</v>
      </c>
    </row>
    <row r="2466" spans="1:20" x14ac:dyDescent="0.3">
      <c r="A2466" t="str">
        <f>"0611833041100"</f>
        <v>0611833041100</v>
      </c>
      <c r="B2466" t="str">
        <f>"LB1851"</f>
        <v>LB1851</v>
      </c>
      <c r="C2466" t="s">
        <v>32019</v>
      </c>
      <c r="D2466" t="s">
        <v>27245</v>
      </c>
      <c r="E2466" t="str">
        <f t="shared" si="38"/>
        <v>001390</v>
      </c>
      <c r="F2466" t="s">
        <v>27246</v>
      </c>
      <c r="G2466" t="s">
        <v>27247</v>
      </c>
      <c r="H2466" t="s">
        <v>27248</v>
      </c>
      <c r="I2466" t="s">
        <v>32020</v>
      </c>
      <c r="J2466" t="s">
        <v>4943</v>
      </c>
      <c r="L2466" t="s">
        <v>27250</v>
      </c>
      <c r="M2466" t="s">
        <v>27251</v>
      </c>
      <c r="N2466" t="s">
        <v>27252</v>
      </c>
      <c r="Q2466" s="1">
        <v>44538</v>
      </c>
      <c r="R2466" t="s">
        <v>27253</v>
      </c>
      <c r="S2466" t="s">
        <v>27254</v>
      </c>
      <c r="T2466" t="s">
        <v>27255</v>
      </c>
    </row>
    <row r="2467" spans="1:20" x14ac:dyDescent="0.3">
      <c r="A2467" t="str">
        <f>"0611861179050"</f>
        <v>0611861179050</v>
      </c>
      <c r="B2467" t="str">
        <f>"CR2674"</f>
        <v>CR2674</v>
      </c>
      <c r="C2467" t="s">
        <v>32021</v>
      </c>
      <c r="D2467" t="s">
        <v>27271</v>
      </c>
      <c r="E2467" t="str">
        <f t="shared" si="38"/>
        <v>001390</v>
      </c>
      <c r="F2467" t="s">
        <v>27246</v>
      </c>
      <c r="G2467" t="s">
        <v>27247</v>
      </c>
      <c r="H2467" t="s">
        <v>27248</v>
      </c>
      <c r="I2467" t="s">
        <v>32022</v>
      </c>
      <c r="J2467" t="s">
        <v>4945</v>
      </c>
      <c r="L2467" t="s">
        <v>27250</v>
      </c>
      <c r="M2467" t="s">
        <v>27251</v>
      </c>
      <c r="N2467" t="s">
        <v>27252</v>
      </c>
      <c r="P2467" t="s">
        <v>27341</v>
      </c>
      <c r="Q2467" s="1">
        <v>44846</v>
      </c>
      <c r="R2467" t="s">
        <v>27253</v>
      </c>
      <c r="S2467" t="s">
        <v>27254</v>
      </c>
      <c r="T2467" t="s">
        <v>27265</v>
      </c>
    </row>
    <row r="2468" spans="1:20" x14ac:dyDescent="0.3">
      <c r="A2468" t="str">
        <f>"0611833042100"</f>
        <v>0611833042100</v>
      </c>
      <c r="B2468" t="str">
        <f>"LY1285"</f>
        <v>LY1285</v>
      </c>
      <c r="C2468" t="s">
        <v>32023</v>
      </c>
      <c r="D2468" t="s">
        <v>28138</v>
      </c>
      <c r="E2468" t="str">
        <f t="shared" si="38"/>
        <v>001390</v>
      </c>
      <c r="F2468" t="s">
        <v>27246</v>
      </c>
      <c r="G2468" t="s">
        <v>27247</v>
      </c>
      <c r="H2468" t="s">
        <v>27248</v>
      </c>
      <c r="I2468" t="s">
        <v>32024</v>
      </c>
      <c r="J2468" t="s">
        <v>4947</v>
      </c>
      <c r="L2468" t="s">
        <v>27250</v>
      </c>
      <c r="M2468" t="s">
        <v>27251</v>
      </c>
      <c r="N2468" t="s">
        <v>27252</v>
      </c>
      <c r="P2468" t="s">
        <v>27925</v>
      </c>
      <c r="Q2468" s="1">
        <v>44538</v>
      </c>
      <c r="R2468" t="s">
        <v>27253</v>
      </c>
      <c r="S2468" t="s">
        <v>27254</v>
      </c>
      <c r="T2468" t="s">
        <v>27255</v>
      </c>
    </row>
    <row r="2469" spans="1:20" x14ac:dyDescent="0.3">
      <c r="A2469" t="str">
        <f>"0611833043100"</f>
        <v>0611833043100</v>
      </c>
      <c r="B2469" t="str">
        <f>"LY4533"</f>
        <v>LY4533</v>
      </c>
      <c r="C2469" t="s">
        <v>32025</v>
      </c>
      <c r="D2469" t="s">
        <v>28138</v>
      </c>
      <c r="E2469" t="str">
        <f t="shared" si="38"/>
        <v>001390</v>
      </c>
      <c r="F2469" t="s">
        <v>27246</v>
      </c>
      <c r="G2469" t="s">
        <v>27247</v>
      </c>
      <c r="H2469" t="s">
        <v>27248</v>
      </c>
      <c r="I2469" t="s">
        <v>32026</v>
      </c>
      <c r="J2469" t="s">
        <v>4949</v>
      </c>
      <c r="L2469" t="s">
        <v>27250</v>
      </c>
      <c r="M2469" t="s">
        <v>27251</v>
      </c>
      <c r="N2469" t="s">
        <v>27252</v>
      </c>
      <c r="P2469" t="s">
        <v>27925</v>
      </c>
      <c r="Q2469" s="1">
        <v>44538</v>
      </c>
      <c r="R2469" t="s">
        <v>27253</v>
      </c>
      <c r="S2469" t="s">
        <v>27254</v>
      </c>
      <c r="T2469" t="s">
        <v>27255</v>
      </c>
    </row>
    <row r="2470" spans="1:20" x14ac:dyDescent="0.3">
      <c r="A2470" t="str">
        <f>"0611861180050"</f>
        <v>0611861180050</v>
      </c>
      <c r="B2470" t="str">
        <f>"CR4582"</f>
        <v>CR4582</v>
      </c>
      <c r="C2470" t="s">
        <v>32027</v>
      </c>
      <c r="D2470" t="s">
        <v>27271</v>
      </c>
      <c r="E2470" t="str">
        <f t="shared" si="38"/>
        <v>001390</v>
      </c>
      <c r="F2470" t="s">
        <v>27246</v>
      </c>
      <c r="G2470" t="s">
        <v>27247</v>
      </c>
      <c r="H2470" t="s">
        <v>27248</v>
      </c>
      <c r="I2470" t="s">
        <v>32028</v>
      </c>
      <c r="J2470" t="s">
        <v>4951</v>
      </c>
      <c r="L2470" t="s">
        <v>27250</v>
      </c>
      <c r="M2470" t="s">
        <v>27251</v>
      </c>
      <c r="N2470" t="s">
        <v>27252</v>
      </c>
      <c r="P2470" t="s">
        <v>27341</v>
      </c>
      <c r="Q2470" s="1">
        <v>44846</v>
      </c>
      <c r="R2470" t="s">
        <v>27253</v>
      </c>
      <c r="S2470" t="s">
        <v>27254</v>
      </c>
      <c r="T2470" t="s">
        <v>27265</v>
      </c>
    </row>
    <row r="2471" spans="1:20" x14ac:dyDescent="0.3">
      <c r="A2471" t="str">
        <f>"0611833044100"</f>
        <v>0611833044100</v>
      </c>
      <c r="B2471" t="str">
        <f>"LY5711"</f>
        <v>LY5711</v>
      </c>
      <c r="C2471" t="s">
        <v>32029</v>
      </c>
      <c r="D2471" t="s">
        <v>28138</v>
      </c>
      <c r="E2471" t="str">
        <f t="shared" si="38"/>
        <v>001390</v>
      </c>
      <c r="F2471" t="s">
        <v>27246</v>
      </c>
      <c r="G2471" t="s">
        <v>27247</v>
      </c>
      <c r="H2471" t="s">
        <v>27248</v>
      </c>
      <c r="I2471" t="s">
        <v>32030</v>
      </c>
      <c r="J2471" t="s">
        <v>4953</v>
      </c>
      <c r="L2471" t="s">
        <v>27250</v>
      </c>
      <c r="M2471" t="s">
        <v>27251</v>
      </c>
      <c r="N2471" t="s">
        <v>27252</v>
      </c>
      <c r="P2471" t="s">
        <v>27925</v>
      </c>
      <c r="Q2471" s="1">
        <v>44538</v>
      </c>
      <c r="R2471" t="s">
        <v>27253</v>
      </c>
      <c r="S2471" t="s">
        <v>27254</v>
      </c>
      <c r="T2471" t="s">
        <v>27255</v>
      </c>
    </row>
    <row r="2472" spans="1:20" x14ac:dyDescent="0.3">
      <c r="A2472" t="str">
        <f>"0611833045100"</f>
        <v>0611833045100</v>
      </c>
      <c r="B2472" t="str">
        <f>"LY5712"</f>
        <v>LY5712</v>
      </c>
      <c r="C2472" t="s">
        <v>32031</v>
      </c>
      <c r="D2472" t="s">
        <v>28138</v>
      </c>
      <c r="E2472" t="str">
        <f t="shared" si="38"/>
        <v>001390</v>
      </c>
      <c r="F2472" t="s">
        <v>27246</v>
      </c>
      <c r="G2472" t="s">
        <v>27247</v>
      </c>
      <c r="H2472" t="s">
        <v>27248</v>
      </c>
      <c r="I2472" t="s">
        <v>32032</v>
      </c>
      <c r="J2472" t="s">
        <v>4955</v>
      </c>
      <c r="L2472" t="s">
        <v>27250</v>
      </c>
      <c r="M2472" t="s">
        <v>27251</v>
      </c>
      <c r="N2472" t="s">
        <v>27252</v>
      </c>
      <c r="P2472" t="s">
        <v>27925</v>
      </c>
      <c r="Q2472" s="1">
        <v>44538</v>
      </c>
      <c r="R2472" t="s">
        <v>27253</v>
      </c>
      <c r="S2472" t="s">
        <v>27254</v>
      </c>
      <c r="T2472" t="s">
        <v>27255</v>
      </c>
    </row>
    <row r="2473" spans="1:20" x14ac:dyDescent="0.3">
      <c r="A2473" t="str">
        <f>"0611861181050"</f>
        <v>0611861181050</v>
      </c>
      <c r="B2473" t="str">
        <f>"CR4882"</f>
        <v>CR4882</v>
      </c>
      <c r="C2473" t="s">
        <v>32033</v>
      </c>
      <c r="D2473" t="s">
        <v>27271</v>
      </c>
      <c r="E2473" t="str">
        <f t="shared" si="38"/>
        <v>001390</v>
      </c>
      <c r="F2473" t="s">
        <v>27246</v>
      </c>
      <c r="G2473" t="s">
        <v>27247</v>
      </c>
      <c r="H2473" t="s">
        <v>27248</v>
      </c>
      <c r="I2473" t="s">
        <v>32034</v>
      </c>
      <c r="J2473" t="s">
        <v>4957</v>
      </c>
      <c r="L2473" t="s">
        <v>27250</v>
      </c>
      <c r="M2473" t="s">
        <v>27251</v>
      </c>
      <c r="N2473" t="s">
        <v>27252</v>
      </c>
      <c r="P2473" t="s">
        <v>27341</v>
      </c>
      <c r="Q2473" s="1">
        <v>44846</v>
      </c>
      <c r="R2473" t="s">
        <v>27253</v>
      </c>
      <c r="S2473" t="s">
        <v>27254</v>
      </c>
      <c r="T2473" t="s">
        <v>27265</v>
      </c>
    </row>
    <row r="2474" spans="1:20" x14ac:dyDescent="0.3">
      <c r="A2474" t="str">
        <f>"0611856873100"</f>
        <v>0611856873100</v>
      </c>
      <c r="B2474" t="str">
        <f>"LY5737"</f>
        <v>LY5737</v>
      </c>
      <c r="C2474" t="s">
        <v>32035</v>
      </c>
      <c r="D2474" t="s">
        <v>28138</v>
      </c>
      <c r="E2474" t="str">
        <f t="shared" si="38"/>
        <v>001390</v>
      </c>
      <c r="F2474" t="s">
        <v>27246</v>
      </c>
      <c r="G2474" t="s">
        <v>27247</v>
      </c>
      <c r="H2474" t="s">
        <v>27248</v>
      </c>
      <c r="I2474" t="s">
        <v>32036</v>
      </c>
      <c r="J2474" t="s">
        <v>4959</v>
      </c>
      <c r="L2474" t="s">
        <v>27250</v>
      </c>
      <c r="M2474" t="s">
        <v>27251</v>
      </c>
      <c r="N2474" t="s">
        <v>27252</v>
      </c>
      <c r="P2474" t="s">
        <v>27925</v>
      </c>
      <c r="Q2474" s="1">
        <v>44812</v>
      </c>
      <c r="R2474" t="s">
        <v>27253</v>
      </c>
      <c r="S2474" t="s">
        <v>27254</v>
      </c>
      <c r="T2474" t="s">
        <v>27255</v>
      </c>
    </row>
    <row r="2475" spans="1:20" x14ac:dyDescent="0.3">
      <c r="A2475" t="str">
        <f>"0611861182050"</f>
        <v>0611861182050</v>
      </c>
      <c r="B2475" t="str">
        <f>"CR5046"</f>
        <v>CR5046</v>
      </c>
      <c r="C2475" t="s">
        <v>32037</v>
      </c>
      <c r="D2475" t="s">
        <v>27271</v>
      </c>
      <c r="E2475" t="str">
        <f t="shared" si="38"/>
        <v>001390</v>
      </c>
      <c r="F2475" t="s">
        <v>27246</v>
      </c>
      <c r="G2475" t="s">
        <v>27247</v>
      </c>
      <c r="H2475" t="s">
        <v>27248</v>
      </c>
      <c r="I2475" t="s">
        <v>32038</v>
      </c>
      <c r="J2475" t="s">
        <v>4961</v>
      </c>
      <c r="L2475" t="s">
        <v>27250</v>
      </c>
      <c r="M2475" t="s">
        <v>27251</v>
      </c>
      <c r="N2475" t="s">
        <v>27252</v>
      </c>
      <c r="P2475" t="s">
        <v>27341</v>
      </c>
      <c r="Q2475" s="1">
        <v>44846</v>
      </c>
      <c r="R2475" t="s">
        <v>27253</v>
      </c>
      <c r="S2475" t="s">
        <v>27254</v>
      </c>
      <c r="T2475" t="s">
        <v>27265</v>
      </c>
    </row>
    <row r="2476" spans="1:20" x14ac:dyDescent="0.3">
      <c r="A2476" t="str">
        <f>"0611833047100"</f>
        <v>0611833047100</v>
      </c>
      <c r="B2476" t="str">
        <f>"LY5602"</f>
        <v>LY5602</v>
      </c>
      <c r="C2476" t="s">
        <v>32039</v>
      </c>
      <c r="D2476" t="s">
        <v>28138</v>
      </c>
      <c r="E2476" t="str">
        <f t="shared" si="38"/>
        <v>001390</v>
      </c>
      <c r="F2476" t="s">
        <v>27246</v>
      </c>
      <c r="G2476" t="s">
        <v>27247</v>
      </c>
      <c r="H2476" t="s">
        <v>27248</v>
      </c>
      <c r="I2476" t="s">
        <v>32040</v>
      </c>
      <c r="J2476" t="s">
        <v>4963</v>
      </c>
      <c r="L2476" t="s">
        <v>27250</v>
      </c>
      <c r="M2476" t="s">
        <v>27251</v>
      </c>
      <c r="N2476" t="s">
        <v>27252</v>
      </c>
      <c r="P2476" t="s">
        <v>27925</v>
      </c>
      <c r="Q2476" s="1">
        <v>44538</v>
      </c>
      <c r="R2476" t="s">
        <v>27253</v>
      </c>
      <c r="S2476" t="s">
        <v>27254</v>
      </c>
      <c r="T2476" t="s">
        <v>27255</v>
      </c>
    </row>
    <row r="2477" spans="1:20" x14ac:dyDescent="0.3">
      <c r="A2477" t="str">
        <f>"0611833048100"</f>
        <v>0611833048100</v>
      </c>
      <c r="B2477" t="str">
        <f>"LY0018"</f>
        <v>LY0018</v>
      </c>
      <c r="C2477" t="s">
        <v>32041</v>
      </c>
      <c r="D2477" t="s">
        <v>28138</v>
      </c>
      <c r="E2477" t="str">
        <f t="shared" si="38"/>
        <v>001390</v>
      </c>
      <c r="F2477" t="s">
        <v>27246</v>
      </c>
      <c r="G2477" t="s">
        <v>27247</v>
      </c>
      <c r="H2477" t="s">
        <v>27248</v>
      </c>
      <c r="I2477" t="s">
        <v>32042</v>
      </c>
      <c r="J2477" t="s">
        <v>4965</v>
      </c>
      <c r="L2477" t="s">
        <v>27250</v>
      </c>
      <c r="M2477" t="s">
        <v>27251</v>
      </c>
      <c r="N2477" t="s">
        <v>27252</v>
      </c>
      <c r="P2477" t="s">
        <v>27925</v>
      </c>
      <c r="Q2477" s="1">
        <v>44538</v>
      </c>
      <c r="R2477" t="s">
        <v>27253</v>
      </c>
      <c r="S2477" t="s">
        <v>27254</v>
      </c>
      <c r="T2477" t="s">
        <v>27255</v>
      </c>
    </row>
    <row r="2478" spans="1:20" x14ac:dyDescent="0.3">
      <c r="A2478" t="str">
        <f>"0611856874100"</f>
        <v>0611856874100</v>
      </c>
      <c r="B2478" t="str">
        <f>"LY5738"</f>
        <v>LY5738</v>
      </c>
      <c r="C2478" t="s">
        <v>32043</v>
      </c>
      <c r="D2478" t="s">
        <v>28138</v>
      </c>
      <c r="E2478" t="str">
        <f t="shared" si="38"/>
        <v>001390</v>
      </c>
      <c r="F2478" t="s">
        <v>27246</v>
      </c>
      <c r="G2478" t="s">
        <v>27247</v>
      </c>
      <c r="H2478" t="s">
        <v>27248</v>
      </c>
      <c r="I2478" t="s">
        <v>32044</v>
      </c>
      <c r="J2478" t="s">
        <v>4967</v>
      </c>
      <c r="L2478" t="s">
        <v>27250</v>
      </c>
      <c r="M2478" t="s">
        <v>27251</v>
      </c>
      <c r="N2478" t="s">
        <v>27252</v>
      </c>
      <c r="P2478" t="s">
        <v>27925</v>
      </c>
      <c r="Q2478" s="1">
        <v>44812</v>
      </c>
      <c r="R2478" t="s">
        <v>27253</v>
      </c>
      <c r="S2478" t="s">
        <v>27254</v>
      </c>
      <c r="T2478" t="s">
        <v>27255</v>
      </c>
    </row>
    <row r="2479" spans="1:20" x14ac:dyDescent="0.3">
      <c r="A2479" t="str">
        <f>"0611861183050"</f>
        <v>0611861183050</v>
      </c>
      <c r="B2479" t="str">
        <f>"CR3983"</f>
        <v>CR3983</v>
      </c>
      <c r="C2479" t="s">
        <v>32045</v>
      </c>
      <c r="D2479" t="s">
        <v>27271</v>
      </c>
      <c r="E2479" t="str">
        <f t="shared" si="38"/>
        <v>001390</v>
      </c>
      <c r="F2479" t="s">
        <v>27246</v>
      </c>
      <c r="G2479" t="s">
        <v>27247</v>
      </c>
      <c r="H2479" t="s">
        <v>27248</v>
      </c>
      <c r="I2479" t="s">
        <v>32046</v>
      </c>
      <c r="J2479" t="s">
        <v>4969</v>
      </c>
      <c r="L2479" t="s">
        <v>27250</v>
      </c>
      <c r="M2479" t="s">
        <v>27251</v>
      </c>
      <c r="N2479" t="s">
        <v>27252</v>
      </c>
      <c r="P2479" t="s">
        <v>27341</v>
      </c>
      <c r="Q2479" s="1">
        <v>44846</v>
      </c>
      <c r="R2479" t="s">
        <v>27253</v>
      </c>
      <c r="S2479" t="s">
        <v>27254</v>
      </c>
      <c r="T2479" t="s">
        <v>27265</v>
      </c>
    </row>
    <row r="2480" spans="1:20" x14ac:dyDescent="0.3">
      <c r="A2480" t="str">
        <f>"0611833049100"</f>
        <v>0611833049100</v>
      </c>
      <c r="B2480" t="str">
        <f>"LY0027"</f>
        <v>LY0027</v>
      </c>
      <c r="C2480" t="s">
        <v>32047</v>
      </c>
      <c r="D2480" t="s">
        <v>28138</v>
      </c>
      <c r="E2480" t="str">
        <f t="shared" si="38"/>
        <v>001390</v>
      </c>
      <c r="F2480" t="s">
        <v>27246</v>
      </c>
      <c r="G2480" t="s">
        <v>27247</v>
      </c>
      <c r="H2480" t="s">
        <v>27248</v>
      </c>
      <c r="I2480" t="s">
        <v>32048</v>
      </c>
      <c r="J2480" t="s">
        <v>4971</v>
      </c>
      <c r="L2480" t="s">
        <v>27250</v>
      </c>
      <c r="M2480" t="s">
        <v>27251</v>
      </c>
      <c r="N2480" t="s">
        <v>27252</v>
      </c>
      <c r="P2480" t="s">
        <v>27925</v>
      </c>
      <c r="Q2480" s="1">
        <v>44538</v>
      </c>
      <c r="R2480" t="s">
        <v>27253</v>
      </c>
      <c r="S2480" t="s">
        <v>27254</v>
      </c>
      <c r="T2480" t="s">
        <v>27255</v>
      </c>
    </row>
    <row r="2481" spans="1:20" x14ac:dyDescent="0.3">
      <c r="A2481" t="str">
        <f>"0611861184050"</f>
        <v>0611861184050</v>
      </c>
      <c r="B2481" t="str">
        <f>"CR4583"</f>
        <v>CR4583</v>
      </c>
      <c r="C2481" t="s">
        <v>32049</v>
      </c>
      <c r="D2481" t="s">
        <v>27271</v>
      </c>
      <c r="E2481" t="str">
        <f t="shared" si="38"/>
        <v>001390</v>
      </c>
      <c r="F2481" t="s">
        <v>27246</v>
      </c>
      <c r="G2481" t="s">
        <v>27247</v>
      </c>
      <c r="H2481" t="s">
        <v>27248</v>
      </c>
      <c r="I2481" t="s">
        <v>32050</v>
      </c>
      <c r="J2481" t="s">
        <v>4973</v>
      </c>
      <c r="L2481" t="s">
        <v>27250</v>
      </c>
      <c r="M2481" t="s">
        <v>27251</v>
      </c>
      <c r="N2481" t="s">
        <v>27252</v>
      </c>
      <c r="P2481" t="s">
        <v>27341</v>
      </c>
      <c r="Q2481" s="1">
        <v>44846</v>
      </c>
      <c r="R2481" t="s">
        <v>27253</v>
      </c>
      <c r="S2481" t="s">
        <v>27254</v>
      </c>
      <c r="T2481" t="s">
        <v>27265</v>
      </c>
    </row>
    <row r="2482" spans="1:20" x14ac:dyDescent="0.3">
      <c r="A2482" t="str">
        <f>"0611833050100"</f>
        <v>0611833050100</v>
      </c>
      <c r="B2482" t="str">
        <f>"LY0028"</f>
        <v>LY0028</v>
      </c>
      <c r="C2482" t="s">
        <v>32051</v>
      </c>
      <c r="D2482" t="s">
        <v>28138</v>
      </c>
      <c r="E2482" t="str">
        <f t="shared" si="38"/>
        <v>001390</v>
      </c>
      <c r="F2482" t="s">
        <v>27246</v>
      </c>
      <c r="G2482" t="s">
        <v>27247</v>
      </c>
      <c r="H2482" t="s">
        <v>27248</v>
      </c>
      <c r="I2482" t="s">
        <v>32052</v>
      </c>
      <c r="J2482" t="s">
        <v>4975</v>
      </c>
      <c r="L2482" t="s">
        <v>27250</v>
      </c>
      <c r="M2482" t="s">
        <v>27251</v>
      </c>
      <c r="N2482" t="s">
        <v>27252</v>
      </c>
      <c r="P2482" t="s">
        <v>27925</v>
      </c>
      <c r="Q2482" s="1">
        <v>44538</v>
      </c>
      <c r="R2482" t="s">
        <v>27253</v>
      </c>
      <c r="S2482" t="s">
        <v>27254</v>
      </c>
      <c r="T2482" t="s">
        <v>27255</v>
      </c>
    </row>
    <row r="2483" spans="1:20" x14ac:dyDescent="0.3">
      <c r="A2483" t="str">
        <f>"0611833053100"</f>
        <v>0611833053100</v>
      </c>
      <c r="B2483" t="str">
        <f>"LY5660"</f>
        <v>LY5660</v>
      </c>
      <c r="C2483" t="s">
        <v>32053</v>
      </c>
      <c r="D2483" t="s">
        <v>28138</v>
      </c>
      <c r="E2483" t="str">
        <f t="shared" si="38"/>
        <v>001390</v>
      </c>
      <c r="F2483" t="s">
        <v>27246</v>
      </c>
      <c r="G2483" t="s">
        <v>27247</v>
      </c>
      <c r="H2483" t="s">
        <v>27248</v>
      </c>
      <c r="I2483" t="s">
        <v>32054</v>
      </c>
      <c r="J2483" t="s">
        <v>4981</v>
      </c>
      <c r="L2483" t="s">
        <v>27250</v>
      </c>
      <c r="M2483" t="s">
        <v>27251</v>
      </c>
      <c r="N2483" t="s">
        <v>27252</v>
      </c>
      <c r="P2483" t="s">
        <v>27925</v>
      </c>
      <c r="Q2483" s="1">
        <v>44538</v>
      </c>
      <c r="R2483" t="s">
        <v>27253</v>
      </c>
      <c r="S2483" t="s">
        <v>27254</v>
      </c>
      <c r="T2483" t="s">
        <v>27255</v>
      </c>
    </row>
    <row r="2484" spans="1:20" x14ac:dyDescent="0.3">
      <c r="A2484" t="str">
        <f>"0611833051100"</f>
        <v>0611833051100</v>
      </c>
      <c r="B2484" t="str">
        <f>"LY5667"</f>
        <v>LY5667</v>
      </c>
      <c r="C2484" t="s">
        <v>32055</v>
      </c>
      <c r="D2484" t="s">
        <v>28138</v>
      </c>
      <c r="E2484" t="str">
        <f t="shared" si="38"/>
        <v>001390</v>
      </c>
      <c r="F2484" t="s">
        <v>27246</v>
      </c>
      <c r="G2484" t="s">
        <v>27247</v>
      </c>
      <c r="H2484" t="s">
        <v>27248</v>
      </c>
      <c r="I2484" t="s">
        <v>32056</v>
      </c>
      <c r="J2484" t="s">
        <v>4977</v>
      </c>
      <c r="L2484" t="s">
        <v>27250</v>
      </c>
      <c r="M2484" t="s">
        <v>27251</v>
      </c>
      <c r="N2484" t="s">
        <v>27252</v>
      </c>
      <c r="P2484" t="s">
        <v>27925</v>
      </c>
      <c r="Q2484" s="1">
        <v>44538</v>
      </c>
      <c r="R2484" t="s">
        <v>27253</v>
      </c>
      <c r="S2484" t="s">
        <v>27254</v>
      </c>
      <c r="T2484" t="s">
        <v>27255</v>
      </c>
    </row>
    <row r="2485" spans="1:20" x14ac:dyDescent="0.3">
      <c r="A2485" t="str">
        <f>"0611833052100"</f>
        <v>0611833052100</v>
      </c>
      <c r="B2485" t="str">
        <f>"LY4848"</f>
        <v>LY4848</v>
      </c>
      <c r="C2485" t="s">
        <v>32057</v>
      </c>
      <c r="D2485" t="s">
        <v>28138</v>
      </c>
      <c r="E2485" t="str">
        <f t="shared" si="38"/>
        <v>001390</v>
      </c>
      <c r="F2485" t="s">
        <v>27246</v>
      </c>
      <c r="G2485" t="s">
        <v>27247</v>
      </c>
      <c r="H2485" t="s">
        <v>27248</v>
      </c>
      <c r="I2485" t="s">
        <v>32058</v>
      </c>
      <c r="J2485" t="s">
        <v>4979</v>
      </c>
      <c r="L2485" t="s">
        <v>27250</v>
      </c>
      <c r="M2485" t="s">
        <v>27251</v>
      </c>
      <c r="N2485" t="s">
        <v>27252</v>
      </c>
      <c r="P2485" t="s">
        <v>27925</v>
      </c>
      <c r="Q2485" s="1">
        <v>44538</v>
      </c>
      <c r="R2485" t="s">
        <v>27253</v>
      </c>
      <c r="S2485" t="s">
        <v>27254</v>
      </c>
      <c r="T2485" t="s">
        <v>27255</v>
      </c>
    </row>
    <row r="2486" spans="1:20" x14ac:dyDescent="0.3">
      <c r="A2486" t="str">
        <f>"0611833054100"</f>
        <v>0611833054100</v>
      </c>
      <c r="B2486" t="str">
        <f>"LY4610"</f>
        <v>LY4610</v>
      </c>
      <c r="C2486" t="s">
        <v>32059</v>
      </c>
      <c r="D2486" t="s">
        <v>28138</v>
      </c>
      <c r="E2486" t="str">
        <f t="shared" si="38"/>
        <v>001390</v>
      </c>
      <c r="F2486" t="s">
        <v>27246</v>
      </c>
      <c r="G2486" t="s">
        <v>27247</v>
      </c>
      <c r="H2486" t="s">
        <v>27248</v>
      </c>
      <c r="I2486" t="s">
        <v>32060</v>
      </c>
      <c r="J2486" t="s">
        <v>4983</v>
      </c>
      <c r="L2486" t="s">
        <v>27250</v>
      </c>
      <c r="M2486" t="s">
        <v>27251</v>
      </c>
      <c r="N2486" t="s">
        <v>27252</v>
      </c>
      <c r="P2486" t="s">
        <v>27925</v>
      </c>
      <c r="Q2486" s="1">
        <v>44538</v>
      </c>
      <c r="R2486" t="s">
        <v>27253</v>
      </c>
      <c r="S2486" t="s">
        <v>27254</v>
      </c>
      <c r="T2486" t="s">
        <v>27255</v>
      </c>
    </row>
    <row r="2487" spans="1:20" x14ac:dyDescent="0.3">
      <c r="A2487" t="str">
        <f>"0611833055100"</f>
        <v>0611833055100</v>
      </c>
      <c r="B2487" t="str">
        <f>"LY0240"</f>
        <v>LY0240</v>
      </c>
      <c r="C2487" t="s">
        <v>32061</v>
      </c>
      <c r="D2487" t="s">
        <v>28138</v>
      </c>
      <c r="E2487" t="str">
        <f t="shared" si="38"/>
        <v>001390</v>
      </c>
      <c r="F2487" t="s">
        <v>27246</v>
      </c>
      <c r="G2487" t="s">
        <v>27247</v>
      </c>
      <c r="H2487" t="s">
        <v>27248</v>
      </c>
      <c r="I2487" t="s">
        <v>32062</v>
      </c>
      <c r="J2487" t="s">
        <v>4985</v>
      </c>
      <c r="L2487" t="s">
        <v>27250</v>
      </c>
      <c r="M2487" t="s">
        <v>27251</v>
      </c>
      <c r="N2487" t="s">
        <v>27252</v>
      </c>
      <c r="P2487" t="s">
        <v>27925</v>
      </c>
      <c r="Q2487" s="1">
        <v>44538</v>
      </c>
      <c r="R2487" t="s">
        <v>27253</v>
      </c>
      <c r="S2487" t="s">
        <v>27254</v>
      </c>
      <c r="T2487" t="s">
        <v>27255</v>
      </c>
    </row>
    <row r="2488" spans="1:20" x14ac:dyDescent="0.3">
      <c r="A2488" t="str">
        <f>"0611833056100"</f>
        <v>0611833056100</v>
      </c>
      <c r="B2488" t="str">
        <f>"LY0013"</f>
        <v>LY0013</v>
      </c>
      <c r="C2488" t="s">
        <v>32063</v>
      </c>
      <c r="D2488" t="s">
        <v>28138</v>
      </c>
      <c r="E2488" t="str">
        <f t="shared" si="38"/>
        <v>001390</v>
      </c>
      <c r="F2488" t="s">
        <v>27246</v>
      </c>
      <c r="G2488" t="s">
        <v>27247</v>
      </c>
      <c r="H2488" t="s">
        <v>27248</v>
      </c>
      <c r="I2488" t="s">
        <v>32064</v>
      </c>
      <c r="J2488" t="s">
        <v>4987</v>
      </c>
      <c r="L2488" t="s">
        <v>27250</v>
      </c>
      <c r="M2488" t="s">
        <v>27251</v>
      </c>
      <c r="N2488" t="s">
        <v>27252</v>
      </c>
      <c r="P2488" t="s">
        <v>27925</v>
      </c>
      <c r="Q2488" s="1">
        <v>44538</v>
      </c>
      <c r="R2488" t="s">
        <v>27253</v>
      </c>
      <c r="S2488" t="s">
        <v>27254</v>
      </c>
      <c r="T2488" t="s">
        <v>27255</v>
      </c>
    </row>
    <row r="2489" spans="1:20" x14ac:dyDescent="0.3">
      <c r="A2489" t="str">
        <f>"0611861185050"</f>
        <v>0611861185050</v>
      </c>
      <c r="B2489" t="str">
        <f>"CR4584"</f>
        <v>CR4584</v>
      </c>
      <c r="C2489" t="s">
        <v>32065</v>
      </c>
      <c r="D2489" t="s">
        <v>27271</v>
      </c>
      <c r="E2489" t="str">
        <f t="shared" si="38"/>
        <v>001390</v>
      </c>
      <c r="F2489" t="s">
        <v>27246</v>
      </c>
      <c r="G2489" t="s">
        <v>27247</v>
      </c>
      <c r="H2489" t="s">
        <v>27248</v>
      </c>
      <c r="I2489" t="s">
        <v>32066</v>
      </c>
      <c r="J2489" t="s">
        <v>4989</v>
      </c>
      <c r="L2489" t="s">
        <v>27250</v>
      </c>
      <c r="M2489" t="s">
        <v>27251</v>
      </c>
      <c r="N2489" t="s">
        <v>27252</v>
      </c>
      <c r="P2489" t="s">
        <v>27341</v>
      </c>
      <c r="Q2489" s="1">
        <v>44846</v>
      </c>
      <c r="R2489" t="s">
        <v>27253</v>
      </c>
      <c r="S2489" t="s">
        <v>27254</v>
      </c>
      <c r="T2489" t="s">
        <v>27265</v>
      </c>
    </row>
    <row r="2490" spans="1:20" x14ac:dyDescent="0.3">
      <c r="A2490" t="str">
        <f>"0611833057100"</f>
        <v>0611833057100</v>
      </c>
      <c r="B2490" t="str">
        <f>"LY0019"</f>
        <v>LY0019</v>
      </c>
      <c r="C2490" t="s">
        <v>32067</v>
      </c>
      <c r="D2490" t="s">
        <v>28138</v>
      </c>
      <c r="E2490" t="str">
        <f t="shared" si="38"/>
        <v>001390</v>
      </c>
      <c r="F2490" t="s">
        <v>27246</v>
      </c>
      <c r="G2490" t="s">
        <v>27247</v>
      </c>
      <c r="H2490" t="s">
        <v>27248</v>
      </c>
      <c r="I2490" t="s">
        <v>32068</v>
      </c>
      <c r="J2490" t="s">
        <v>4991</v>
      </c>
      <c r="L2490" t="s">
        <v>27250</v>
      </c>
      <c r="M2490" t="s">
        <v>27251</v>
      </c>
      <c r="N2490" t="s">
        <v>27252</v>
      </c>
      <c r="P2490" t="s">
        <v>27925</v>
      </c>
      <c r="Q2490" s="1">
        <v>44538</v>
      </c>
      <c r="R2490" t="s">
        <v>27253</v>
      </c>
      <c r="S2490" t="s">
        <v>27254</v>
      </c>
      <c r="T2490" t="s">
        <v>27255</v>
      </c>
    </row>
    <row r="2491" spans="1:20" x14ac:dyDescent="0.3">
      <c r="A2491" t="str">
        <f>"0611833058100"</f>
        <v>0611833058100</v>
      </c>
      <c r="B2491" t="str">
        <f>"LY0241"</f>
        <v>LY0241</v>
      </c>
      <c r="C2491" t="s">
        <v>32069</v>
      </c>
      <c r="D2491" t="s">
        <v>28138</v>
      </c>
      <c r="E2491" t="str">
        <f t="shared" si="38"/>
        <v>001390</v>
      </c>
      <c r="F2491" t="s">
        <v>27246</v>
      </c>
      <c r="G2491" t="s">
        <v>27247</v>
      </c>
      <c r="H2491" t="s">
        <v>27248</v>
      </c>
      <c r="I2491" t="s">
        <v>32070</v>
      </c>
      <c r="J2491" t="s">
        <v>4993</v>
      </c>
      <c r="L2491" t="s">
        <v>27250</v>
      </c>
      <c r="M2491" t="s">
        <v>27251</v>
      </c>
      <c r="N2491" t="s">
        <v>27252</v>
      </c>
      <c r="P2491" t="s">
        <v>27925</v>
      </c>
      <c r="Q2491" s="1">
        <v>44538</v>
      </c>
      <c r="R2491" t="s">
        <v>27253</v>
      </c>
      <c r="S2491" t="s">
        <v>27254</v>
      </c>
      <c r="T2491" t="s">
        <v>27255</v>
      </c>
    </row>
    <row r="2492" spans="1:20" x14ac:dyDescent="0.3">
      <c r="A2492" t="str">
        <f>"0611833059100"</f>
        <v>0611833059100</v>
      </c>
      <c r="B2492" t="str">
        <f>"LY5680"</f>
        <v>LY5680</v>
      </c>
      <c r="C2492" t="s">
        <v>32071</v>
      </c>
      <c r="D2492" t="s">
        <v>28138</v>
      </c>
      <c r="E2492" t="str">
        <f t="shared" si="38"/>
        <v>001390</v>
      </c>
      <c r="F2492" t="s">
        <v>27246</v>
      </c>
      <c r="G2492" t="s">
        <v>27247</v>
      </c>
      <c r="H2492" t="s">
        <v>27248</v>
      </c>
      <c r="I2492" t="s">
        <v>32072</v>
      </c>
      <c r="J2492" t="s">
        <v>4995</v>
      </c>
      <c r="L2492" t="s">
        <v>27250</v>
      </c>
      <c r="M2492" t="s">
        <v>27251</v>
      </c>
      <c r="N2492" t="s">
        <v>27252</v>
      </c>
      <c r="P2492" t="s">
        <v>27925</v>
      </c>
      <c r="Q2492" s="1">
        <v>44538</v>
      </c>
      <c r="R2492" t="s">
        <v>27253</v>
      </c>
      <c r="S2492" t="s">
        <v>27254</v>
      </c>
      <c r="T2492" t="s">
        <v>27255</v>
      </c>
    </row>
    <row r="2493" spans="1:20" x14ac:dyDescent="0.3">
      <c r="A2493" t="str">
        <f>"0611833060100"</f>
        <v>0611833060100</v>
      </c>
      <c r="B2493" t="str">
        <f>"LY5698"</f>
        <v>LY5698</v>
      </c>
      <c r="C2493" t="s">
        <v>32073</v>
      </c>
      <c r="D2493" t="s">
        <v>28138</v>
      </c>
      <c r="E2493" t="str">
        <f t="shared" si="38"/>
        <v>001390</v>
      </c>
      <c r="F2493" t="s">
        <v>27246</v>
      </c>
      <c r="G2493" t="s">
        <v>27247</v>
      </c>
      <c r="H2493" t="s">
        <v>27248</v>
      </c>
      <c r="I2493" t="s">
        <v>32074</v>
      </c>
      <c r="J2493" t="s">
        <v>4997</v>
      </c>
      <c r="L2493" t="s">
        <v>27250</v>
      </c>
      <c r="M2493" t="s">
        <v>27251</v>
      </c>
      <c r="N2493" t="s">
        <v>27252</v>
      </c>
      <c r="P2493" t="s">
        <v>27925</v>
      </c>
      <c r="Q2493" s="1">
        <v>44538</v>
      </c>
      <c r="R2493" t="s">
        <v>27253</v>
      </c>
      <c r="S2493" t="s">
        <v>27254</v>
      </c>
      <c r="T2493" t="s">
        <v>27255</v>
      </c>
    </row>
    <row r="2494" spans="1:20" x14ac:dyDescent="0.3">
      <c r="A2494" t="str">
        <f>"0611861186050"</f>
        <v>0611861186050</v>
      </c>
      <c r="B2494" t="str">
        <f>"CR5059"</f>
        <v>CR5059</v>
      </c>
      <c r="C2494" t="s">
        <v>32075</v>
      </c>
      <c r="D2494" t="s">
        <v>27271</v>
      </c>
      <c r="E2494" t="str">
        <f t="shared" si="38"/>
        <v>001390</v>
      </c>
      <c r="F2494" t="s">
        <v>27246</v>
      </c>
      <c r="G2494" t="s">
        <v>27247</v>
      </c>
      <c r="H2494" t="s">
        <v>27248</v>
      </c>
      <c r="I2494" t="s">
        <v>32076</v>
      </c>
      <c r="J2494" t="s">
        <v>4999</v>
      </c>
      <c r="L2494" t="s">
        <v>27250</v>
      </c>
      <c r="M2494" t="s">
        <v>27251</v>
      </c>
      <c r="N2494" t="s">
        <v>27252</v>
      </c>
      <c r="P2494" t="s">
        <v>27341</v>
      </c>
      <c r="Q2494" s="1">
        <v>44846</v>
      </c>
      <c r="R2494" t="s">
        <v>27253</v>
      </c>
      <c r="S2494" t="s">
        <v>27254</v>
      </c>
      <c r="T2494" t="s">
        <v>27265</v>
      </c>
    </row>
    <row r="2495" spans="1:20" x14ac:dyDescent="0.3">
      <c r="A2495" t="str">
        <f>"0611861187100"</f>
        <v>0611861187100</v>
      </c>
      <c r="B2495" t="str">
        <f>"LK4962"</f>
        <v>LK4962</v>
      </c>
      <c r="C2495" t="s">
        <v>32077</v>
      </c>
      <c r="D2495" t="s">
        <v>27245</v>
      </c>
      <c r="E2495" t="str">
        <f t="shared" si="38"/>
        <v>001390</v>
      </c>
      <c r="F2495" t="s">
        <v>27246</v>
      </c>
      <c r="G2495" t="s">
        <v>27247</v>
      </c>
      <c r="H2495" t="s">
        <v>27248</v>
      </c>
      <c r="I2495" t="s">
        <v>32078</v>
      </c>
      <c r="J2495" t="s">
        <v>5001</v>
      </c>
      <c r="L2495" t="s">
        <v>27250</v>
      </c>
      <c r="M2495" t="s">
        <v>27251</v>
      </c>
      <c r="N2495" t="s">
        <v>27252</v>
      </c>
      <c r="Q2495" s="1">
        <v>44846</v>
      </c>
      <c r="R2495" t="s">
        <v>27253</v>
      </c>
      <c r="S2495" t="s">
        <v>27254</v>
      </c>
      <c r="T2495" t="s">
        <v>27255</v>
      </c>
    </row>
    <row r="2496" spans="1:20" x14ac:dyDescent="0.3">
      <c r="A2496" t="str">
        <f>"0611833061100"</f>
        <v>0611833061100</v>
      </c>
      <c r="B2496" t="str">
        <f>"LH2550"</f>
        <v>LH2550</v>
      </c>
      <c r="C2496" t="s">
        <v>32079</v>
      </c>
      <c r="D2496" t="s">
        <v>27245</v>
      </c>
      <c r="E2496" t="str">
        <f t="shared" si="38"/>
        <v>001390</v>
      </c>
      <c r="F2496" t="s">
        <v>27246</v>
      </c>
      <c r="G2496" t="s">
        <v>27247</v>
      </c>
      <c r="H2496" t="s">
        <v>27248</v>
      </c>
      <c r="I2496" t="s">
        <v>32080</v>
      </c>
      <c r="J2496" t="s">
        <v>5003</v>
      </c>
      <c r="L2496" t="s">
        <v>27250</v>
      </c>
      <c r="M2496" t="s">
        <v>27251</v>
      </c>
      <c r="N2496" t="s">
        <v>27252</v>
      </c>
      <c r="Q2496" s="1">
        <v>44538</v>
      </c>
      <c r="R2496" t="s">
        <v>27253</v>
      </c>
      <c r="S2496" t="s">
        <v>27254</v>
      </c>
      <c r="T2496" t="s">
        <v>27255</v>
      </c>
    </row>
    <row r="2497" spans="1:20" x14ac:dyDescent="0.3">
      <c r="A2497" t="str">
        <f>"0611833062100"</f>
        <v>0611833062100</v>
      </c>
      <c r="B2497" t="str">
        <f>"LY5647"</f>
        <v>LY5647</v>
      </c>
      <c r="C2497" t="s">
        <v>32081</v>
      </c>
      <c r="D2497" t="s">
        <v>28138</v>
      </c>
      <c r="E2497" t="str">
        <f t="shared" si="38"/>
        <v>001390</v>
      </c>
      <c r="F2497" t="s">
        <v>27246</v>
      </c>
      <c r="G2497" t="s">
        <v>27247</v>
      </c>
      <c r="H2497" t="s">
        <v>27248</v>
      </c>
      <c r="I2497" t="s">
        <v>32082</v>
      </c>
      <c r="J2497" t="s">
        <v>5005</v>
      </c>
      <c r="L2497" t="s">
        <v>27250</v>
      </c>
      <c r="M2497" t="s">
        <v>27251</v>
      </c>
      <c r="N2497" t="s">
        <v>27252</v>
      </c>
      <c r="P2497" t="s">
        <v>27925</v>
      </c>
      <c r="Q2497" s="1">
        <v>44538</v>
      </c>
      <c r="R2497" t="s">
        <v>27253</v>
      </c>
      <c r="S2497" t="s">
        <v>27254</v>
      </c>
      <c r="T2497" t="s">
        <v>27255</v>
      </c>
    </row>
    <row r="2498" spans="1:20" x14ac:dyDescent="0.3">
      <c r="A2498" t="str">
        <f>"0611833063100"</f>
        <v>0611833063100</v>
      </c>
      <c r="B2498" t="str">
        <f>"LY5669"</f>
        <v>LY5669</v>
      </c>
      <c r="C2498" t="s">
        <v>32083</v>
      </c>
      <c r="D2498" t="s">
        <v>28138</v>
      </c>
      <c r="E2498" t="str">
        <f t="shared" ref="E2498:E2561" si="39">"001390"</f>
        <v>001390</v>
      </c>
      <c r="F2498" t="s">
        <v>27246</v>
      </c>
      <c r="G2498" t="s">
        <v>27247</v>
      </c>
      <c r="H2498" t="s">
        <v>27248</v>
      </c>
      <c r="I2498" t="s">
        <v>32084</v>
      </c>
      <c r="J2498" t="s">
        <v>5007</v>
      </c>
      <c r="L2498" t="s">
        <v>27250</v>
      </c>
      <c r="M2498" t="s">
        <v>27251</v>
      </c>
      <c r="N2498" t="s">
        <v>27252</v>
      </c>
      <c r="P2498" t="s">
        <v>27925</v>
      </c>
      <c r="Q2498" s="1">
        <v>44538</v>
      </c>
      <c r="R2498" t="s">
        <v>27253</v>
      </c>
      <c r="S2498" t="s">
        <v>27254</v>
      </c>
      <c r="T2498" t="s">
        <v>27255</v>
      </c>
    </row>
    <row r="2499" spans="1:20" x14ac:dyDescent="0.3">
      <c r="A2499" t="str">
        <f>"0611861188050"</f>
        <v>0611861188050</v>
      </c>
      <c r="B2499" t="str">
        <f>"CR4585"</f>
        <v>CR4585</v>
      </c>
      <c r="C2499" t="s">
        <v>32085</v>
      </c>
      <c r="D2499" t="s">
        <v>27271</v>
      </c>
      <c r="E2499" t="str">
        <f t="shared" si="39"/>
        <v>001390</v>
      </c>
      <c r="F2499" t="s">
        <v>27246</v>
      </c>
      <c r="G2499" t="s">
        <v>27247</v>
      </c>
      <c r="H2499" t="s">
        <v>27248</v>
      </c>
      <c r="I2499" t="s">
        <v>32086</v>
      </c>
      <c r="J2499" t="s">
        <v>5009</v>
      </c>
      <c r="L2499" t="s">
        <v>27250</v>
      </c>
      <c r="M2499" t="s">
        <v>27251</v>
      </c>
      <c r="N2499" t="s">
        <v>27252</v>
      </c>
      <c r="P2499" t="s">
        <v>27341</v>
      </c>
      <c r="Q2499" s="1">
        <v>44846</v>
      </c>
      <c r="R2499" t="s">
        <v>27253</v>
      </c>
      <c r="S2499" t="s">
        <v>27254</v>
      </c>
      <c r="T2499" t="s">
        <v>27265</v>
      </c>
    </row>
    <row r="2500" spans="1:20" x14ac:dyDescent="0.3">
      <c r="A2500" t="str">
        <f>"0611861189100"</f>
        <v>0611861189100</v>
      </c>
      <c r="B2500" t="str">
        <f>"LK4963"</f>
        <v>LK4963</v>
      </c>
      <c r="C2500" t="s">
        <v>32087</v>
      </c>
      <c r="D2500" t="s">
        <v>27245</v>
      </c>
      <c r="E2500" t="str">
        <f t="shared" si="39"/>
        <v>001390</v>
      </c>
      <c r="F2500" t="s">
        <v>27246</v>
      </c>
      <c r="G2500" t="s">
        <v>27247</v>
      </c>
      <c r="H2500" t="s">
        <v>27248</v>
      </c>
      <c r="I2500" t="s">
        <v>32088</v>
      </c>
      <c r="J2500" t="s">
        <v>5011</v>
      </c>
      <c r="L2500" t="s">
        <v>27250</v>
      </c>
      <c r="M2500" t="s">
        <v>27251</v>
      </c>
      <c r="N2500" t="s">
        <v>27252</v>
      </c>
      <c r="Q2500" s="1">
        <v>44846</v>
      </c>
      <c r="R2500" t="s">
        <v>27253</v>
      </c>
      <c r="S2500" t="s">
        <v>27254</v>
      </c>
      <c r="T2500" t="s">
        <v>27255</v>
      </c>
    </row>
    <row r="2501" spans="1:20" x14ac:dyDescent="0.3">
      <c r="A2501" t="str">
        <f>"0611833064100"</f>
        <v>0611833064100</v>
      </c>
      <c r="B2501" t="str">
        <f>"LH2650"</f>
        <v>LH2650</v>
      </c>
      <c r="C2501" t="s">
        <v>32089</v>
      </c>
      <c r="D2501" t="s">
        <v>27245</v>
      </c>
      <c r="E2501" t="str">
        <f t="shared" si="39"/>
        <v>001390</v>
      </c>
      <c r="F2501" t="s">
        <v>27246</v>
      </c>
      <c r="G2501" t="s">
        <v>27247</v>
      </c>
      <c r="H2501" t="s">
        <v>27248</v>
      </c>
      <c r="I2501" t="s">
        <v>32090</v>
      </c>
      <c r="J2501" t="s">
        <v>5013</v>
      </c>
      <c r="L2501" t="s">
        <v>27250</v>
      </c>
      <c r="M2501" t="s">
        <v>27251</v>
      </c>
      <c r="N2501" t="s">
        <v>27252</v>
      </c>
      <c r="Q2501" s="1">
        <v>44538</v>
      </c>
      <c r="R2501" t="s">
        <v>27253</v>
      </c>
      <c r="S2501" t="s">
        <v>27254</v>
      </c>
      <c r="T2501" t="s">
        <v>27255</v>
      </c>
    </row>
    <row r="2502" spans="1:20" x14ac:dyDescent="0.3">
      <c r="A2502" t="str">
        <f>"0611833065100"</f>
        <v>0611833065100</v>
      </c>
      <c r="B2502" t="str">
        <f>"LY5648"</f>
        <v>LY5648</v>
      </c>
      <c r="C2502" t="s">
        <v>32091</v>
      </c>
      <c r="D2502" t="s">
        <v>28138</v>
      </c>
      <c r="E2502" t="str">
        <f t="shared" si="39"/>
        <v>001390</v>
      </c>
      <c r="F2502" t="s">
        <v>27246</v>
      </c>
      <c r="G2502" t="s">
        <v>27247</v>
      </c>
      <c r="H2502" t="s">
        <v>27248</v>
      </c>
      <c r="I2502" t="s">
        <v>32092</v>
      </c>
      <c r="J2502" t="s">
        <v>5015</v>
      </c>
      <c r="L2502" t="s">
        <v>27250</v>
      </c>
      <c r="M2502" t="s">
        <v>27251</v>
      </c>
      <c r="N2502" t="s">
        <v>27252</v>
      </c>
      <c r="P2502" t="s">
        <v>27925</v>
      </c>
      <c r="Q2502" s="1">
        <v>44538</v>
      </c>
      <c r="R2502" t="s">
        <v>27253</v>
      </c>
      <c r="S2502" t="s">
        <v>27254</v>
      </c>
      <c r="T2502" t="s">
        <v>27255</v>
      </c>
    </row>
    <row r="2503" spans="1:20" x14ac:dyDescent="0.3">
      <c r="A2503" t="str">
        <f>"0611833066100"</f>
        <v>0611833066100</v>
      </c>
      <c r="B2503" t="str">
        <f>"LY5729"</f>
        <v>LY5729</v>
      </c>
      <c r="C2503" t="s">
        <v>32093</v>
      </c>
      <c r="D2503" t="s">
        <v>28138</v>
      </c>
      <c r="E2503" t="str">
        <f t="shared" si="39"/>
        <v>001390</v>
      </c>
      <c r="F2503" t="s">
        <v>27246</v>
      </c>
      <c r="G2503" t="s">
        <v>27247</v>
      </c>
      <c r="H2503" t="s">
        <v>27248</v>
      </c>
      <c r="I2503" t="s">
        <v>32094</v>
      </c>
      <c r="J2503" t="s">
        <v>5017</v>
      </c>
      <c r="L2503" t="s">
        <v>27250</v>
      </c>
      <c r="M2503" t="s">
        <v>27251</v>
      </c>
      <c r="N2503" t="s">
        <v>27252</v>
      </c>
      <c r="P2503" t="s">
        <v>27925</v>
      </c>
      <c r="Q2503" s="1">
        <v>44538</v>
      </c>
      <c r="R2503" t="s">
        <v>27253</v>
      </c>
      <c r="S2503" t="s">
        <v>27254</v>
      </c>
      <c r="T2503" t="s">
        <v>27255</v>
      </c>
    </row>
    <row r="2504" spans="1:20" x14ac:dyDescent="0.3">
      <c r="A2504" t="str">
        <f>"0611833067100"</f>
        <v>0611833067100</v>
      </c>
      <c r="B2504" t="str">
        <f>"LY0021"</f>
        <v>LY0021</v>
      </c>
      <c r="C2504" t="s">
        <v>32095</v>
      </c>
      <c r="D2504" t="s">
        <v>28138</v>
      </c>
      <c r="E2504" t="str">
        <f t="shared" si="39"/>
        <v>001390</v>
      </c>
      <c r="F2504" t="s">
        <v>27246</v>
      </c>
      <c r="G2504" t="s">
        <v>27247</v>
      </c>
      <c r="H2504" t="s">
        <v>27248</v>
      </c>
      <c r="I2504" t="s">
        <v>32096</v>
      </c>
      <c r="J2504" t="s">
        <v>5019</v>
      </c>
      <c r="L2504" t="s">
        <v>27250</v>
      </c>
      <c r="M2504" t="s">
        <v>27251</v>
      </c>
      <c r="N2504" t="s">
        <v>27252</v>
      </c>
      <c r="P2504" t="s">
        <v>27925</v>
      </c>
      <c r="Q2504" s="1">
        <v>44538</v>
      </c>
      <c r="R2504" t="s">
        <v>27253</v>
      </c>
      <c r="S2504" t="s">
        <v>27254</v>
      </c>
      <c r="T2504" t="s">
        <v>27255</v>
      </c>
    </row>
    <row r="2505" spans="1:20" x14ac:dyDescent="0.3">
      <c r="A2505" t="str">
        <f>"0611884096100"</f>
        <v>0611884096100</v>
      </c>
      <c r="B2505" t="str">
        <f>"LY5747"</f>
        <v>LY5747</v>
      </c>
      <c r="C2505" t="s">
        <v>32097</v>
      </c>
      <c r="D2505" t="s">
        <v>28138</v>
      </c>
      <c r="E2505" t="str">
        <f t="shared" si="39"/>
        <v>001390</v>
      </c>
      <c r="F2505" t="s">
        <v>27246</v>
      </c>
      <c r="G2505" t="s">
        <v>27247</v>
      </c>
      <c r="H2505" t="s">
        <v>27248</v>
      </c>
      <c r="I2505" t="s">
        <v>32098</v>
      </c>
      <c r="J2505" t="s">
        <v>5021</v>
      </c>
      <c r="L2505" t="s">
        <v>27430</v>
      </c>
      <c r="M2505" t="s">
        <v>27251</v>
      </c>
      <c r="N2505" t="s">
        <v>27252</v>
      </c>
      <c r="P2505" t="s">
        <v>27925</v>
      </c>
      <c r="Q2505" s="1">
        <v>45250</v>
      </c>
      <c r="R2505" t="s">
        <v>27253</v>
      </c>
      <c r="S2505" t="s">
        <v>27254</v>
      </c>
      <c r="T2505" t="s">
        <v>27255</v>
      </c>
    </row>
    <row r="2506" spans="1:20" x14ac:dyDescent="0.3">
      <c r="A2506" t="str">
        <f>"0611833068025"</f>
        <v>0611833068025</v>
      </c>
      <c r="B2506" t="str">
        <f>"MC4153"</f>
        <v>MC4153</v>
      </c>
      <c r="C2506" t="s">
        <v>32099</v>
      </c>
      <c r="D2506" t="s">
        <v>27267</v>
      </c>
      <c r="E2506" t="str">
        <f t="shared" si="39"/>
        <v>001390</v>
      </c>
      <c r="F2506" t="s">
        <v>27246</v>
      </c>
      <c r="G2506" t="s">
        <v>27247</v>
      </c>
      <c r="H2506" t="s">
        <v>27248</v>
      </c>
      <c r="I2506" t="s">
        <v>32100</v>
      </c>
      <c r="J2506" t="s">
        <v>5023</v>
      </c>
      <c r="L2506" t="s">
        <v>27250</v>
      </c>
      <c r="M2506" t="s">
        <v>27251</v>
      </c>
      <c r="N2506" t="s">
        <v>27252</v>
      </c>
      <c r="Q2506" s="1">
        <v>44538</v>
      </c>
      <c r="R2506" t="s">
        <v>27253</v>
      </c>
      <c r="S2506" t="s">
        <v>27254</v>
      </c>
      <c r="T2506" t="s">
        <v>27269</v>
      </c>
    </row>
    <row r="2507" spans="1:20" x14ac:dyDescent="0.3">
      <c r="A2507" t="str">
        <f>"0611833069100"</f>
        <v>0611833069100</v>
      </c>
      <c r="B2507" t="str">
        <f>"LL1880"</f>
        <v>LL1880</v>
      </c>
      <c r="C2507" t="s">
        <v>32101</v>
      </c>
      <c r="D2507" t="s">
        <v>27245</v>
      </c>
      <c r="E2507" t="str">
        <f t="shared" si="39"/>
        <v>001390</v>
      </c>
      <c r="F2507" t="s">
        <v>27246</v>
      </c>
      <c r="G2507" t="s">
        <v>27247</v>
      </c>
      <c r="H2507" t="s">
        <v>27248</v>
      </c>
      <c r="I2507" t="s">
        <v>32102</v>
      </c>
      <c r="J2507" t="s">
        <v>5025</v>
      </c>
      <c r="L2507" t="s">
        <v>27250</v>
      </c>
      <c r="M2507" t="s">
        <v>27251</v>
      </c>
      <c r="N2507" t="s">
        <v>27252</v>
      </c>
      <c r="Q2507" s="1">
        <v>44538</v>
      </c>
      <c r="R2507" t="s">
        <v>27253</v>
      </c>
      <c r="S2507" t="s">
        <v>27254</v>
      </c>
      <c r="T2507" t="s">
        <v>27255</v>
      </c>
    </row>
    <row r="2508" spans="1:20" x14ac:dyDescent="0.3">
      <c r="A2508" t="str">
        <f>"0611833070100"</f>
        <v>0611833070100</v>
      </c>
      <c r="B2508" t="str">
        <f>"LL1885"</f>
        <v>LL1885</v>
      </c>
      <c r="C2508" t="s">
        <v>32103</v>
      </c>
      <c r="D2508" t="s">
        <v>27245</v>
      </c>
      <c r="E2508" t="str">
        <f t="shared" si="39"/>
        <v>001390</v>
      </c>
      <c r="F2508" t="s">
        <v>27246</v>
      </c>
      <c r="G2508" t="s">
        <v>27247</v>
      </c>
      <c r="H2508" t="s">
        <v>27248</v>
      </c>
      <c r="I2508" t="s">
        <v>32104</v>
      </c>
      <c r="J2508" t="s">
        <v>5027</v>
      </c>
      <c r="L2508" t="s">
        <v>27250</v>
      </c>
      <c r="M2508" t="s">
        <v>27251</v>
      </c>
      <c r="N2508" t="s">
        <v>27252</v>
      </c>
      <c r="Q2508" s="1">
        <v>44538</v>
      </c>
      <c r="R2508" t="s">
        <v>27253</v>
      </c>
      <c r="S2508" t="s">
        <v>27254</v>
      </c>
      <c r="T2508" t="s">
        <v>27255</v>
      </c>
    </row>
    <row r="2509" spans="1:20" x14ac:dyDescent="0.3">
      <c r="A2509" t="str">
        <f>"0611833071025"</f>
        <v>0611833071025</v>
      </c>
      <c r="B2509" t="str">
        <f>"MC1100"</f>
        <v>MC1100</v>
      </c>
      <c r="C2509" t="s">
        <v>32105</v>
      </c>
      <c r="D2509" t="s">
        <v>27267</v>
      </c>
      <c r="E2509" t="str">
        <f t="shared" si="39"/>
        <v>001390</v>
      </c>
      <c r="F2509" t="s">
        <v>27246</v>
      </c>
      <c r="G2509" t="s">
        <v>27247</v>
      </c>
      <c r="H2509" t="s">
        <v>27248</v>
      </c>
      <c r="I2509" t="s">
        <v>32106</v>
      </c>
      <c r="J2509" t="s">
        <v>5041</v>
      </c>
      <c r="L2509" t="s">
        <v>27250</v>
      </c>
      <c r="M2509" t="s">
        <v>27251</v>
      </c>
      <c r="N2509" t="s">
        <v>27252</v>
      </c>
      <c r="Q2509" s="1">
        <v>44538</v>
      </c>
      <c r="R2509" t="s">
        <v>27253</v>
      </c>
      <c r="S2509" t="s">
        <v>27254</v>
      </c>
      <c r="T2509" t="s">
        <v>27269</v>
      </c>
    </row>
    <row r="2510" spans="1:20" x14ac:dyDescent="0.3">
      <c r="A2510" t="str">
        <f>"0611833072100"</f>
        <v>0611833072100</v>
      </c>
      <c r="B2510" t="str">
        <f>"LF1277"</f>
        <v>LF1277</v>
      </c>
      <c r="C2510" t="s">
        <v>32107</v>
      </c>
      <c r="D2510" t="s">
        <v>27245</v>
      </c>
      <c r="E2510" t="str">
        <f t="shared" si="39"/>
        <v>001390</v>
      </c>
      <c r="F2510" t="s">
        <v>27246</v>
      </c>
      <c r="G2510" t="s">
        <v>27247</v>
      </c>
      <c r="H2510" t="s">
        <v>27248</v>
      </c>
      <c r="I2510" t="s">
        <v>32108</v>
      </c>
      <c r="J2510" t="s">
        <v>5043</v>
      </c>
      <c r="L2510" t="s">
        <v>27250</v>
      </c>
      <c r="M2510" t="s">
        <v>27251</v>
      </c>
      <c r="N2510" t="s">
        <v>27252</v>
      </c>
      <c r="Q2510" s="1">
        <v>44538</v>
      </c>
      <c r="R2510" t="s">
        <v>27253</v>
      </c>
      <c r="S2510" t="s">
        <v>27254</v>
      </c>
      <c r="T2510" t="s">
        <v>27255</v>
      </c>
    </row>
    <row r="2511" spans="1:20" x14ac:dyDescent="0.3">
      <c r="A2511" t="str">
        <f>"0611837197100"</f>
        <v>0611837197100</v>
      </c>
      <c r="B2511" t="str">
        <f>"LK5733"</f>
        <v>LK5733</v>
      </c>
      <c r="C2511" t="s">
        <v>32109</v>
      </c>
      <c r="D2511" t="s">
        <v>27245</v>
      </c>
      <c r="E2511" t="str">
        <f t="shared" si="39"/>
        <v>001390</v>
      </c>
      <c r="F2511" t="s">
        <v>27246</v>
      </c>
      <c r="G2511" t="s">
        <v>27247</v>
      </c>
      <c r="H2511" t="s">
        <v>27248</v>
      </c>
      <c r="I2511" t="s">
        <v>32110</v>
      </c>
      <c r="J2511" t="s">
        <v>5045</v>
      </c>
      <c r="L2511" t="s">
        <v>27250</v>
      </c>
      <c r="M2511" t="s">
        <v>27251</v>
      </c>
      <c r="N2511" t="s">
        <v>27252</v>
      </c>
      <c r="Q2511" s="1">
        <v>44538</v>
      </c>
      <c r="R2511" t="s">
        <v>27253</v>
      </c>
      <c r="S2511" t="s">
        <v>27254</v>
      </c>
      <c r="T2511" t="s">
        <v>27255</v>
      </c>
    </row>
    <row r="2512" spans="1:20" x14ac:dyDescent="0.3">
      <c r="A2512" t="str">
        <f>"0611837243100"</f>
        <v>0611837243100</v>
      </c>
      <c r="B2512" t="str">
        <f>"LB1900"</f>
        <v>LB1900</v>
      </c>
      <c r="C2512" t="s">
        <v>32111</v>
      </c>
      <c r="D2512" t="s">
        <v>27245</v>
      </c>
      <c r="E2512" t="str">
        <f t="shared" si="39"/>
        <v>001390</v>
      </c>
      <c r="F2512" t="s">
        <v>27246</v>
      </c>
      <c r="G2512" t="s">
        <v>27247</v>
      </c>
      <c r="H2512" t="s">
        <v>27248</v>
      </c>
      <c r="I2512" t="s">
        <v>32112</v>
      </c>
      <c r="J2512" t="s">
        <v>5047</v>
      </c>
      <c r="L2512" t="s">
        <v>27250</v>
      </c>
      <c r="M2512" t="s">
        <v>27251</v>
      </c>
      <c r="N2512" t="s">
        <v>27252</v>
      </c>
      <c r="Q2512" s="1">
        <v>44538</v>
      </c>
      <c r="R2512" t="s">
        <v>27253</v>
      </c>
      <c r="S2512" t="s">
        <v>27254</v>
      </c>
      <c r="T2512" t="s">
        <v>27255</v>
      </c>
    </row>
    <row r="2513" spans="1:20" x14ac:dyDescent="0.3">
      <c r="A2513" t="str">
        <f>"0611884097100"</f>
        <v>0611884097100</v>
      </c>
      <c r="B2513" t="str">
        <f>"LL5065"</f>
        <v>LL5065</v>
      </c>
      <c r="C2513" t="s">
        <v>32113</v>
      </c>
      <c r="D2513" t="s">
        <v>27245</v>
      </c>
      <c r="E2513" t="str">
        <f t="shared" si="39"/>
        <v>001390</v>
      </c>
      <c r="F2513" t="s">
        <v>27246</v>
      </c>
      <c r="G2513" t="s">
        <v>27247</v>
      </c>
      <c r="H2513" t="s">
        <v>27248</v>
      </c>
      <c r="I2513" t="s">
        <v>32114</v>
      </c>
      <c r="J2513" t="s">
        <v>26603</v>
      </c>
      <c r="L2513" t="s">
        <v>27430</v>
      </c>
      <c r="M2513" t="s">
        <v>27251</v>
      </c>
      <c r="N2513" t="s">
        <v>27252</v>
      </c>
      <c r="Q2513" s="1">
        <v>45250</v>
      </c>
      <c r="R2513" t="s">
        <v>27253</v>
      </c>
      <c r="S2513" t="s">
        <v>27254</v>
      </c>
      <c r="T2513" t="s">
        <v>27255</v>
      </c>
    </row>
    <row r="2514" spans="1:20" x14ac:dyDescent="0.3">
      <c r="A2514" t="str">
        <f>"0611833098025"</f>
        <v>0611833098025</v>
      </c>
      <c r="B2514" t="str">
        <f>"MC3703"</f>
        <v>MC3703</v>
      </c>
      <c r="C2514" t="s">
        <v>32115</v>
      </c>
      <c r="D2514" t="s">
        <v>27267</v>
      </c>
      <c r="E2514" t="str">
        <f t="shared" si="39"/>
        <v>001390</v>
      </c>
      <c r="F2514" t="s">
        <v>27246</v>
      </c>
      <c r="G2514" t="s">
        <v>27247</v>
      </c>
      <c r="H2514" t="s">
        <v>27248</v>
      </c>
      <c r="I2514" t="s">
        <v>32116</v>
      </c>
      <c r="J2514" t="s">
        <v>5049</v>
      </c>
      <c r="L2514" t="s">
        <v>27250</v>
      </c>
      <c r="M2514" t="s">
        <v>27251</v>
      </c>
      <c r="N2514" t="s">
        <v>27252</v>
      </c>
      <c r="Q2514" s="1">
        <v>44538</v>
      </c>
      <c r="R2514" t="s">
        <v>27253</v>
      </c>
      <c r="S2514" t="s">
        <v>27254</v>
      </c>
      <c r="T2514" t="s">
        <v>27269</v>
      </c>
    </row>
    <row r="2515" spans="1:20" x14ac:dyDescent="0.3">
      <c r="A2515" t="str">
        <f>"0611856875025"</f>
        <v>0611856875025</v>
      </c>
      <c r="B2515" t="str">
        <f>"MC3704"</f>
        <v>MC3704</v>
      </c>
      <c r="C2515" t="s">
        <v>32117</v>
      </c>
      <c r="D2515" t="s">
        <v>27267</v>
      </c>
      <c r="E2515" t="str">
        <f t="shared" si="39"/>
        <v>001390</v>
      </c>
      <c r="F2515" t="s">
        <v>27246</v>
      </c>
      <c r="G2515" t="s">
        <v>27247</v>
      </c>
      <c r="H2515" t="s">
        <v>27248</v>
      </c>
      <c r="I2515" t="s">
        <v>32118</v>
      </c>
      <c r="J2515" t="s">
        <v>5051</v>
      </c>
      <c r="L2515" t="s">
        <v>27250</v>
      </c>
      <c r="M2515" t="s">
        <v>27251</v>
      </c>
      <c r="N2515" t="s">
        <v>27252</v>
      </c>
      <c r="Q2515" s="1">
        <v>44812</v>
      </c>
      <c r="R2515" t="s">
        <v>27253</v>
      </c>
      <c r="S2515" t="s">
        <v>27254</v>
      </c>
      <c r="T2515" t="s">
        <v>27269</v>
      </c>
    </row>
    <row r="2516" spans="1:20" x14ac:dyDescent="0.3">
      <c r="A2516" t="str">
        <f>"0611856876100"</f>
        <v>0611856876100</v>
      </c>
      <c r="B2516" t="str">
        <f>"LQ3870"</f>
        <v>LQ3870</v>
      </c>
      <c r="C2516" t="s">
        <v>32119</v>
      </c>
      <c r="D2516" t="s">
        <v>27245</v>
      </c>
      <c r="E2516" t="str">
        <f t="shared" si="39"/>
        <v>001390</v>
      </c>
      <c r="F2516" t="s">
        <v>27246</v>
      </c>
      <c r="G2516" t="s">
        <v>27247</v>
      </c>
      <c r="H2516" t="s">
        <v>27248</v>
      </c>
      <c r="I2516" t="s">
        <v>32120</v>
      </c>
      <c r="J2516" t="s">
        <v>5053</v>
      </c>
      <c r="L2516" t="s">
        <v>27250</v>
      </c>
      <c r="M2516" t="s">
        <v>27251</v>
      </c>
      <c r="N2516" t="s">
        <v>27252</v>
      </c>
      <c r="Q2516" s="1">
        <v>44812</v>
      </c>
      <c r="R2516" t="s">
        <v>27253</v>
      </c>
      <c r="S2516" t="s">
        <v>27254</v>
      </c>
      <c r="T2516" t="s">
        <v>27255</v>
      </c>
    </row>
    <row r="2517" spans="1:20" x14ac:dyDescent="0.3">
      <c r="A2517" t="str">
        <f>"0611833099100"</f>
        <v>0611833099100</v>
      </c>
      <c r="B2517" t="str">
        <f>"LB1960"</f>
        <v>LB1960</v>
      </c>
      <c r="C2517" t="s">
        <v>32121</v>
      </c>
      <c r="D2517" t="s">
        <v>27245</v>
      </c>
      <c r="E2517" t="str">
        <f t="shared" si="39"/>
        <v>001390</v>
      </c>
      <c r="F2517" t="s">
        <v>27246</v>
      </c>
      <c r="G2517" t="s">
        <v>27247</v>
      </c>
      <c r="H2517" t="s">
        <v>27248</v>
      </c>
      <c r="I2517" t="s">
        <v>32122</v>
      </c>
      <c r="J2517" t="s">
        <v>5055</v>
      </c>
      <c r="L2517" t="s">
        <v>27250</v>
      </c>
      <c r="M2517" t="s">
        <v>27251</v>
      </c>
      <c r="N2517" t="s">
        <v>27252</v>
      </c>
      <c r="Q2517" s="1">
        <v>44538</v>
      </c>
      <c r="R2517" t="s">
        <v>27253</v>
      </c>
      <c r="S2517" t="s">
        <v>27254</v>
      </c>
      <c r="T2517" t="s">
        <v>27255</v>
      </c>
    </row>
    <row r="2518" spans="1:20" x14ac:dyDescent="0.3">
      <c r="A2518" t="str">
        <f>"0611833100100"</f>
        <v>0611833100100</v>
      </c>
      <c r="B2518" t="str">
        <f>"LQ5842"</f>
        <v>LQ5842</v>
      </c>
      <c r="C2518" t="s">
        <v>32123</v>
      </c>
      <c r="D2518" t="s">
        <v>27245</v>
      </c>
      <c r="E2518" t="str">
        <f t="shared" si="39"/>
        <v>001390</v>
      </c>
      <c r="F2518" t="s">
        <v>27246</v>
      </c>
      <c r="G2518" t="s">
        <v>27247</v>
      </c>
      <c r="H2518" t="s">
        <v>27248</v>
      </c>
      <c r="I2518" t="s">
        <v>32124</v>
      </c>
      <c r="J2518" t="s">
        <v>5057</v>
      </c>
      <c r="L2518" t="s">
        <v>27250</v>
      </c>
      <c r="M2518" t="s">
        <v>27251</v>
      </c>
      <c r="N2518" t="s">
        <v>27252</v>
      </c>
      <c r="Q2518" s="1">
        <v>44538</v>
      </c>
      <c r="R2518" t="s">
        <v>27253</v>
      </c>
      <c r="S2518" t="s">
        <v>27254</v>
      </c>
      <c r="T2518" t="s">
        <v>27255</v>
      </c>
    </row>
    <row r="2519" spans="1:20" x14ac:dyDescent="0.3">
      <c r="A2519" t="str">
        <f>"0611833101100"</f>
        <v>0611833101100</v>
      </c>
      <c r="B2519" t="str">
        <f>"LQ6097"</f>
        <v>LQ6097</v>
      </c>
      <c r="C2519" t="s">
        <v>32125</v>
      </c>
      <c r="D2519" t="s">
        <v>27245</v>
      </c>
      <c r="E2519" t="str">
        <f t="shared" si="39"/>
        <v>001390</v>
      </c>
      <c r="F2519" t="s">
        <v>27246</v>
      </c>
      <c r="G2519" t="s">
        <v>27247</v>
      </c>
      <c r="H2519" t="s">
        <v>27248</v>
      </c>
      <c r="I2519" t="s">
        <v>32126</v>
      </c>
      <c r="J2519" t="s">
        <v>5059</v>
      </c>
      <c r="L2519" t="s">
        <v>27250</v>
      </c>
      <c r="M2519" t="s">
        <v>27251</v>
      </c>
      <c r="N2519" t="s">
        <v>27252</v>
      </c>
      <c r="Q2519" s="1">
        <v>44538</v>
      </c>
      <c r="R2519" t="s">
        <v>27253</v>
      </c>
      <c r="S2519" t="s">
        <v>27254</v>
      </c>
      <c r="T2519" t="s">
        <v>27255</v>
      </c>
    </row>
    <row r="2520" spans="1:20" x14ac:dyDescent="0.3">
      <c r="A2520" t="str">
        <f>"0611833103100"</f>
        <v>0611833103100</v>
      </c>
      <c r="B2520" t="str">
        <f>"LB1965"</f>
        <v>LB1965</v>
      </c>
      <c r="C2520" t="s">
        <v>32127</v>
      </c>
      <c r="D2520" t="s">
        <v>27245</v>
      </c>
      <c r="E2520" t="str">
        <f t="shared" si="39"/>
        <v>001390</v>
      </c>
      <c r="F2520" t="s">
        <v>27246</v>
      </c>
      <c r="G2520" t="s">
        <v>27247</v>
      </c>
      <c r="H2520" t="s">
        <v>27248</v>
      </c>
      <c r="I2520" t="s">
        <v>32128</v>
      </c>
      <c r="J2520" t="s">
        <v>5061</v>
      </c>
      <c r="L2520" t="s">
        <v>27250</v>
      </c>
      <c r="M2520" t="s">
        <v>27251</v>
      </c>
      <c r="N2520" t="s">
        <v>27252</v>
      </c>
      <c r="Q2520" s="1">
        <v>44538</v>
      </c>
      <c r="R2520" t="s">
        <v>27253</v>
      </c>
      <c r="S2520" t="s">
        <v>27254</v>
      </c>
      <c r="T2520" t="s">
        <v>27255</v>
      </c>
    </row>
    <row r="2521" spans="1:20" x14ac:dyDescent="0.3">
      <c r="A2521" t="str">
        <f>"0611833104100"</f>
        <v>0611833104100</v>
      </c>
      <c r="B2521" t="str">
        <f>"LB1962"</f>
        <v>LB1962</v>
      </c>
      <c r="C2521" t="s">
        <v>32129</v>
      </c>
      <c r="D2521" t="s">
        <v>27245</v>
      </c>
      <c r="E2521" t="str">
        <f t="shared" si="39"/>
        <v>001390</v>
      </c>
      <c r="F2521" t="s">
        <v>27246</v>
      </c>
      <c r="G2521" t="s">
        <v>27247</v>
      </c>
      <c r="H2521" t="s">
        <v>27248</v>
      </c>
      <c r="I2521" t="s">
        <v>32130</v>
      </c>
      <c r="J2521" t="s">
        <v>5063</v>
      </c>
      <c r="L2521" t="s">
        <v>27250</v>
      </c>
      <c r="M2521" t="s">
        <v>27251</v>
      </c>
      <c r="N2521" t="s">
        <v>27252</v>
      </c>
      <c r="Q2521" s="1">
        <v>44538</v>
      </c>
      <c r="R2521" t="s">
        <v>27253</v>
      </c>
      <c r="S2521" t="s">
        <v>27254</v>
      </c>
      <c r="T2521" t="s">
        <v>27255</v>
      </c>
    </row>
    <row r="2522" spans="1:20" x14ac:dyDescent="0.3">
      <c r="A2522" t="str">
        <f>"0611833105100"</f>
        <v>0611833105100</v>
      </c>
      <c r="B2522" t="str">
        <f>"LK5734"</f>
        <v>LK5734</v>
      </c>
      <c r="C2522" t="s">
        <v>32131</v>
      </c>
      <c r="D2522" t="s">
        <v>27245</v>
      </c>
      <c r="E2522" t="str">
        <f t="shared" si="39"/>
        <v>001390</v>
      </c>
      <c r="F2522" t="s">
        <v>27246</v>
      </c>
      <c r="G2522" t="s">
        <v>27247</v>
      </c>
      <c r="H2522" t="s">
        <v>27248</v>
      </c>
      <c r="I2522" t="s">
        <v>32132</v>
      </c>
      <c r="J2522" t="s">
        <v>5065</v>
      </c>
      <c r="L2522" t="s">
        <v>27250</v>
      </c>
      <c r="M2522" t="s">
        <v>27251</v>
      </c>
      <c r="N2522" t="s">
        <v>27252</v>
      </c>
      <c r="Q2522" s="1">
        <v>44538</v>
      </c>
      <c r="R2522" t="s">
        <v>27253</v>
      </c>
      <c r="S2522" t="s">
        <v>27254</v>
      </c>
      <c r="T2522" t="s">
        <v>27255</v>
      </c>
    </row>
    <row r="2523" spans="1:20" x14ac:dyDescent="0.3">
      <c r="A2523" t="str">
        <f>"0611833106100"</f>
        <v>0611833106100</v>
      </c>
      <c r="B2523" t="str">
        <f>"LB1970"</f>
        <v>LB1970</v>
      </c>
      <c r="C2523" t="s">
        <v>32133</v>
      </c>
      <c r="D2523" t="s">
        <v>27245</v>
      </c>
      <c r="E2523" t="str">
        <f t="shared" si="39"/>
        <v>001390</v>
      </c>
      <c r="F2523" t="s">
        <v>27246</v>
      </c>
      <c r="G2523" t="s">
        <v>27247</v>
      </c>
      <c r="H2523" t="s">
        <v>27248</v>
      </c>
      <c r="I2523" t="s">
        <v>32134</v>
      </c>
      <c r="J2523" t="s">
        <v>5067</v>
      </c>
      <c r="L2523" t="s">
        <v>27250</v>
      </c>
      <c r="M2523" t="s">
        <v>27251</v>
      </c>
      <c r="N2523" t="s">
        <v>27252</v>
      </c>
      <c r="Q2523" s="1">
        <v>44538</v>
      </c>
      <c r="R2523" t="s">
        <v>27253</v>
      </c>
      <c r="S2523" t="s">
        <v>27254</v>
      </c>
      <c r="T2523" t="s">
        <v>27255</v>
      </c>
    </row>
    <row r="2524" spans="1:20" x14ac:dyDescent="0.3">
      <c r="A2524" t="str">
        <f>"0611833107100"</f>
        <v>0611833107100</v>
      </c>
      <c r="B2524" t="str">
        <f>"LB1973"</f>
        <v>LB1973</v>
      </c>
      <c r="C2524" t="s">
        <v>32135</v>
      </c>
      <c r="D2524" t="s">
        <v>27245</v>
      </c>
      <c r="E2524" t="str">
        <f t="shared" si="39"/>
        <v>001390</v>
      </c>
      <c r="F2524" t="s">
        <v>27246</v>
      </c>
      <c r="G2524" t="s">
        <v>27247</v>
      </c>
      <c r="H2524" t="s">
        <v>27248</v>
      </c>
      <c r="I2524" t="s">
        <v>32136</v>
      </c>
      <c r="J2524" t="s">
        <v>5069</v>
      </c>
      <c r="L2524" t="s">
        <v>27250</v>
      </c>
      <c r="M2524" t="s">
        <v>27251</v>
      </c>
      <c r="N2524" t="s">
        <v>27252</v>
      </c>
      <c r="Q2524" s="1">
        <v>44538</v>
      </c>
      <c r="R2524" t="s">
        <v>27253</v>
      </c>
      <c r="S2524" t="s">
        <v>27254</v>
      </c>
      <c r="T2524" t="s">
        <v>27255</v>
      </c>
    </row>
    <row r="2525" spans="1:20" x14ac:dyDescent="0.3">
      <c r="A2525" t="str">
        <f>"0611833108100"</f>
        <v>0611833108100</v>
      </c>
      <c r="B2525" t="str">
        <f>"LB1963"</f>
        <v>LB1963</v>
      </c>
      <c r="C2525" t="s">
        <v>32137</v>
      </c>
      <c r="D2525" t="s">
        <v>27245</v>
      </c>
      <c r="E2525" t="str">
        <f t="shared" si="39"/>
        <v>001390</v>
      </c>
      <c r="F2525" t="s">
        <v>27246</v>
      </c>
      <c r="G2525" t="s">
        <v>27247</v>
      </c>
      <c r="H2525" t="s">
        <v>27248</v>
      </c>
      <c r="I2525" t="s">
        <v>32138</v>
      </c>
      <c r="J2525" t="s">
        <v>5071</v>
      </c>
      <c r="L2525" t="s">
        <v>27250</v>
      </c>
      <c r="M2525" t="s">
        <v>27251</v>
      </c>
      <c r="N2525" t="s">
        <v>27252</v>
      </c>
      <c r="Q2525" s="1">
        <v>44538</v>
      </c>
      <c r="R2525" t="s">
        <v>27253</v>
      </c>
      <c r="S2525" t="s">
        <v>27254</v>
      </c>
      <c r="T2525" t="s">
        <v>27255</v>
      </c>
    </row>
    <row r="2526" spans="1:20" x14ac:dyDescent="0.3">
      <c r="A2526" t="str">
        <f>"0611833109100"</f>
        <v>0611833109100</v>
      </c>
      <c r="B2526" t="str">
        <f>"LB1964"</f>
        <v>LB1964</v>
      </c>
      <c r="C2526" t="s">
        <v>32139</v>
      </c>
      <c r="D2526" t="s">
        <v>27245</v>
      </c>
      <c r="E2526" t="str">
        <f t="shared" si="39"/>
        <v>001390</v>
      </c>
      <c r="F2526" t="s">
        <v>27246</v>
      </c>
      <c r="G2526" t="s">
        <v>27247</v>
      </c>
      <c r="H2526" t="s">
        <v>27248</v>
      </c>
      <c r="I2526" t="s">
        <v>32140</v>
      </c>
      <c r="J2526" t="s">
        <v>5073</v>
      </c>
      <c r="L2526" t="s">
        <v>27250</v>
      </c>
      <c r="M2526" t="s">
        <v>27251</v>
      </c>
      <c r="N2526" t="s">
        <v>27252</v>
      </c>
      <c r="Q2526" s="1">
        <v>44538</v>
      </c>
      <c r="R2526" t="s">
        <v>27253</v>
      </c>
      <c r="S2526" t="s">
        <v>27254</v>
      </c>
      <c r="T2526" t="s">
        <v>27255</v>
      </c>
    </row>
    <row r="2527" spans="1:20" x14ac:dyDescent="0.3">
      <c r="A2527" t="str">
        <f>"0611833110100"</f>
        <v>0611833110100</v>
      </c>
      <c r="B2527" t="str">
        <f>"LK7001"</f>
        <v>LK7001</v>
      </c>
      <c r="C2527" t="s">
        <v>32141</v>
      </c>
      <c r="D2527" t="s">
        <v>28138</v>
      </c>
      <c r="E2527" t="str">
        <f t="shared" si="39"/>
        <v>001390</v>
      </c>
      <c r="F2527" t="s">
        <v>27246</v>
      </c>
      <c r="G2527" t="s">
        <v>27247</v>
      </c>
      <c r="H2527" t="s">
        <v>27248</v>
      </c>
      <c r="I2527" t="s">
        <v>32142</v>
      </c>
      <c r="J2527" t="s">
        <v>5075</v>
      </c>
      <c r="L2527" t="s">
        <v>27250</v>
      </c>
      <c r="M2527" t="s">
        <v>27251</v>
      </c>
      <c r="N2527" t="s">
        <v>27252</v>
      </c>
      <c r="P2527" t="s">
        <v>27925</v>
      </c>
      <c r="Q2527" s="1">
        <v>44538</v>
      </c>
      <c r="R2527" t="s">
        <v>27253</v>
      </c>
      <c r="S2527" t="s">
        <v>27254</v>
      </c>
      <c r="T2527" t="s">
        <v>27255</v>
      </c>
    </row>
    <row r="2528" spans="1:20" x14ac:dyDescent="0.3">
      <c r="A2528" t="str">
        <f>"0611833111100"</f>
        <v>0611833111100</v>
      </c>
      <c r="B2528" t="str">
        <f>"LK7002"</f>
        <v>LK7002</v>
      </c>
      <c r="C2528" t="s">
        <v>32143</v>
      </c>
      <c r="D2528" t="s">
        <v>28138</v>
      </c>
      <c r="E2528" t="str">
        <f t="shared" si="39"/>
        <v>001390</v>
      </c>
      <c r="F2528" t="s">
        <v>27246</v>
      </c>
      <c r="G2528" t="s">
        <v>27247</v>
      </c>
      <c r="H2528" t="s">
        <v>27248</v>
      </c>
      <c r="I2528" t="s">
        <v>32144</v>
      </c>
      <c r="J2528" t="s">
        <v>5077</v>
      </c>
      <c r="L2528" t="s">
        <v>27250</v>
      </c>
      <c r="M2528" t="s">
        <v>27251</v>
      </c>
      <c r="N2528" t="s">
        <v>27252</v>
      </c>
      <c r="P2528" t="s">
        <v>27925</v>
      </c>
      <c r="Q2528" s="1">
        <v>44538</v>
      </c>
      <c r="R2528" t="s">
        <v>27253</v>
      </c>
      <c r="S2528" t="s">
        <v>27254</v>
      </c>
      <c r="T2528" t="s">
        <v>27255</v>
      </c>
    </row>
    <row r="2529" spans="1:20" x14ac:dyDescent="0.3">
      <c r="A2529" t="str">
        <f>"0611833112100"</f>
        <v>0611833112100</v>
      </c>
      <c r="B2529" t="str">
        <f>"LK7003"</f>
        <v>LK7003</v>
      </c>
      <c r="C2529" t="s">
        <v>32145</v>
      </c>
      <c r="D2529" t="s">
        <v>28138</v>
      </c>
      <c r="E2529" t="str">
        <f t="shared" si="39"/>
        <v>001390</v>
      </c>
      <c r="F2529" t="s">
        <v>27246</v>
      </c>
      <c r="G2529" t="s">
        <v>27247</v>
      </c>
      <c r="H2529" t="s">
        <v>27248</v>
      </c>
      <c r="I2529" t="s">
        <v>32146</v>
      </c>
      <c r="J2529" t="s">
        <v>5079</v>
      </c>
      <c r="L2529" t="s">
        <v>27250</v>
      </c>
      <c r="M2529" t="s">
        <v>27251</v>
      </c>
      <c r="N2529" t="s">
        <v>27252</v>
      </c>
      <c r="P2529" t="s">
        <v>27925</v>
      </c>
      <c r="Q2529" s="1">
        <v>44538</v>
      </c>
      <c r="R2529" t="s">
        <v>27253</v>
      </c>
      <c r="S2529" t="s">
        <v>27254</v>
      </c>
      <c r="T2529" t="s">
        <v>27255</v>
      </c>
    </row>
    <row r="2530" spans="1:20" x14ac:dyDescent="0.3">
      <c r="A2530" t="str">
        <f>"0611833113100"</f>
        <v>0611833113100</v>
      </c>
      <c r="B2530" t="str">
        <f>"LK7004"</f>
        <v>LK7004</v>
      </c>
      <c r="C2530" t="s">
        <v>32147</v>
      </c>
      <c r="D2530" t="s">
        <v>28138</v>
      </c>
      <c r="E2530" t="str">
        <f t="shared" si="39"/>
        <v>001390</v>
      </c>
      <c r="F2530" t="s">
        <v>27246</v>
      </c>
      <c r="G2530" t="s">
        <v>27247</v>
      </c>
      <c r="H2530" t="s">
        <v>27248</v>
      </c>
      <c r="I2530" t="s">
        <v>32148</v>
      </c>
      <c r="J2530" t="s">
        <v>5081</v>
      </c>
      <c r="L2530" t="s">
        <v>27250</v>
      </c>
      <c r="M2530" t="s">
        <v>27251</v>
      </c>
      <c r="N2530" t="s">
        <v>27252</v>
      </c>
      <c r="P2530" t="s">
        <v>27925</v>
      </c>
      <c r="Q2530" s="1">
        <v>44538</v>
      </c>
      <c r="R2530" t="s">
        <v>27253</v>
      </c>
      <c r="S2530" t="s">
        <v>27254</v>
      </c>
      <c r="T2530" t="s">
        <v>27255</v>
      </c>
    </row>
    <row r="2531" spans="1:20" x14ac:dyDescent="0.3">
      <c r="A2531" t="str">
        <f>"0611833114100"</f>
        <v>0611833114100</v>
      </c>
      <c r="B2531" t="str">
        <f>"LK7005"</f>
        <v>LK7005</v>
      </c>
      <c r="C2531" t="s">
        <v>32149</v>
      </c>
      <c r="D2531" t="s">
        <v>28138</v>
      </c>
      <c r="E2531" t="str">
        <f t="shared" si="39"/>
        <v>001390</v>
      </c>
      <c r="F2531" t="s">
        <v>27246</v>
      </c>
      <c r="G2531" t="s">
        <v>27247</v>
      </c>
      <c r="H2531" t="s">
        <v>27248</v>
      </c>
      <c r="I2531" t="s">
        <v>32150</v>
      </c>
      <c r="J2531" t="s">
        <v>5083</v>
      </c>
      <c r="L2531" t="s">
        <v>27250</v>
      </c>
      <c r="M2531" t="s">
        <v>27251</v>
      </c>
      <c r="N2531" t="s">
        <v>27252</v>
      </c>
      <c r="P2531" t="s">
        <v>27925</v>
      </c>
      <c r="Q2531" s="1">
        <v>44538</v>
      </c>
      <c r="R2531" t="s">
        <v>27253</v>
      </c>
      <c r="S2531" t="s">
        <v>27254</v>
      </c>
      <c r="T2531" t="s">
        <v>27255</v>
      </c>
    </row>
    <row r="2532" spans="1:20" x14ac:dyDescent="0.3">
      <c r="A2532" t="str">
        <f>"0611833115100"</f>
        <v>0611833115100</v>
      </c>
      <c r="B2532" t="str">
        <f>"LK7006"</f>
        <v>LK7006</v>
      </c>
      <c r="C2532" t="s">
        <v>32151</v>
      </c>
      <c r="D2532" t="s">
        <v>28138</v>
      </c>
      <c r="E2532" t="str">
        <f t="shared" si="39"/>
        <v>001390</v>
      </c>
      <c r="F2532" t="s">
        <v>27246</v>
      </c>
      <c r="G2532" t="s">
        <v>27247</v>
      </c>
      <c r="H2532" t="s">
        <v>27248</v>
      </c>
      <c r="I2532" t="s">
        <v>32152</v>
      </c>
      <c r="J2532" t="s">
        <v>5085</v>
      </c>
      <c r="L2532" t="s">
        <v>27250</v>
      </c>
      <c r="M2532" t="s">
        <v>27251</v>
      </c>
      <c r="N2532" t="s">
        <v>27252</v>
      </c>
      <c r="P2532" t="s">
        <v>27925</v>
      </c>
      <c r="Q2532" s="1">
        <v>44538</v>
      </c>
      <c r="R2532" t="s">
        <v>27253</v>
      </c>
      <c r="S2532" t="s">
        <v>27254</v>
      </c>
      <c r="T2532" t="s">
        <v>27255</v>
      </c>
    </row>
    <row r="2533" spans="1:20" x14ac:dyDescent="0.3">
      <c r="A2533" t="str">
        <f>"0611833116100"</f>
        <v>0611833116100</v>
      </c>
      <c r="B2533" t="str">
        <f>"LK0108"</f>
        <v>LK0108</v>
      </c>
      <c r="C2533" t="s">
        <v>32153</v>
      </c>
      <c r="D2533" t="s">
        <v>28138</v>
      </c>
      <c r="E2533" t="str">
        <f t="shared" si="39"/>
        <v>001390</v>
      </c>
      <c r="F2533" t="s">
        <v>27246</v>
      </c>
      <c r="G2533" t="s">
        <v>27247</v>
      </c>
      <c r="H2533" t="s">
        <v>27248</v>
      </c>
      <c r="I2533" t="s">
        <v>32154</v>
      </c>
      <c r="J2533" t="s">
        <v>5087</v>
      </c>
      <c r="L2533" t="s">
        <v>27250</v>
      </c>
      <c r="M2533" t="s">
        <v>27251</v>
      </c>
      <c r="N2533" t="s">
        <v>27252</v>
      </c>
      <c r="P2533" t="s">
        <v>27925</v>
      </c>
      <c r="Q2533" s="1">
        <v>44538</v>
      </c>
      <c r="R2533" t="s">
        <v>27253</v>
      </c>
      <c r="S2533" t="s">
        <v>27254</v>
      </c>
      <c r="T2533" t="s">
        <v>27255</v>
      </c>
    </row>
    <row r="2534" spans="1:20" x14ac:dyDescent="0.3">
      <c r="A2534" t="str">
        <f>"0611833117100"</f>
        <v>0611833117100</v>
      </c>
      <c r="B2534" t="str">
        <f>"LK0109"</f>
        <v>LK0109</v>
      </c>
      <c r="C2534" t="s">
        <v>32155</v>
      </c>
      <c r="D2534" t="s">
        <v>28138</v>
      </c>
      <c r="E2534" t="str">
        <f t="shared" si="39"/>
        <v>001390</v>
      </c>
      <c r="F2534" t="s">
        <v>27246</v>
      </c>
      <c r="G2534" t="s">
        <v>27247</v>
      </c>
      <c r="H2534" t="s">
        <v>27248</v>
      </c>
      <c r="I2534" t="s">
        <v>32156</v>
      </c>
      <c r="J2534" t="s">
        <v>5089</v>
      </c>
      <c r="L2534" t="s">
        <v>27250</v>
      </c>
      <c r="M2534" t="s">
        <v>27251</v>
      </c>
      <c r="N2534" t="s">
        <v>27252</v>
      </c>
      <c r="P2534" t="s">
        <v>27925</v>
      </c>
      <c r="Q2534" s="1">
        <v>44538</v>
      </c>
      <c r="R2534" t="s">
        <v>27253</v>
      </c>
      <c r="S2534" t="s">
        <v>27254</v>
      </c>
      <c r="T2534" t="s">
        <v>27255</v>
      </c>
    </row>
    <row r="2535" spans="1:20" x14ac:dyDescent="0.3">
      <c r="A2535" t="str">
        <f>"0611833118100"</f>
        <v>0611833118100</v>
      </c>
      <c r="B2535" t="str">
        <f>"LK0672"</f>
        <v>LK0672</v>
      </c>
      <c r="C2535" t="s">
        <v>32157</v>
      </c>
      <c r="D2535" t="s">
        <v>28138</v>
      </c>
      <c r="E2535" t="str">
        <f t="shared" si="39"/>
        <v>001390</v>
      </c>
      <c r="F2535" t="s">
        <v>27246</v>
      </c>
      <c r="G2535" t="s">
        <v>27247</v>
      </c>
      <c r="H2535" t="s">
        <v>27248</v>
      </c>
      <c r="I2535" t="s">
        <v>32158</v>
      </c>
      <c r="J2535" t="s">
        <v>5091</v>
      </c>
      <c r="L2535" t="s">
        <v>27250</v>
      </c>
      <c r="M2535" t="s">
        <v>27251</v>
      </c>
      <c r="N2535" t="s">
        <v>27252</v>
      </c>
      <c r="P2535" t="s">
        <v>27925</v>
      </c>
      <c r="Q2535" s="1">
        <v>44538</v>
      </c>
      <c r="R2535" t="s">
        <v>27253</v>
      </c>
      <c r="S2535" t="s">
        <v>27254</v>
      </c>
      <c r="T2535" t="s">
        <v>27255</v>
      </c>
    </row>
    <row r="2536" spans="1:20" x14ac:dyDescent="0.3">
      <c r="A2536" t="str">
        <f>"0611833119100"</f>
        <v>0611833119100</v>
      </c>
      <c r="B2536" t="str">
        <f>"LK0110"</f>
        <v>LK0110</v>
      </c>
      <c r="C2536" t="s">
        <v>32159</v>
      </c>
      <c r="D2536" t="s">
        <v>28138</v>
      </c>
      <c r="E2536" t="str">
        <f t="shared" si="39"/>
        <v>001390</v>
      </c>
      <c r="F2536" t="s">
        <v>27246</v>
      </c>
      <c r="G2536" t="s">
        <v>27247</v>
      </c>
      <c r="H2536" t="s">
        <v>27248</v>
      </c>
      <c r="I2536" t="s">
        <v>32160</v>
      </c>
      <c r="J2536" t="s">
        <v>5093</v>
      </c>
      <c r="L2536" t="s">
        <v>27250</v>
      </c>
      <c r="M2536" t="s">
        <v>27251</v>
      </c>
      <c r="N2536" t="s">
        <v>27252</v>
      </c>
      <c r="P2536" t="s">
        <v>27925</v>
      </c>
      <c r="Q2536" s="1">
        <v>44538</v>
      </c>
      <c r="R2536" t="s">
        <v>27253</v>
      </c>
      <c r="S2536" t="s">
        <v>27254</v>
      </c>
      <c r="T2536" t="s">
        <v>27255</v>
      </c>
    </row>
    <row r="2537" spans="1:20" x14ac:dyDescent="0.3">
      <c r="A2537" t="str">
        <f>"0611833120100"</f>
        <v>0611833120100</v>
      </c>
      <c r="B2537" t="str">
        <f>"LK0111"</f>
        <v>LK0111</v>
      </c>
      <c r="C2537" t="s">
        <v>32161</v>
      </c>
      <c r="D2537" t="s">
        <v>28138</v>
      </c>
      <c r="E2537" t="str">
        <f t="shared" si="39"/>
        <v>001390</v>
      </c>
      <c r="F2537" t="s">
        <v>27246</v>
      </c>
      <c r="G2537" t="s">
        <v>27247</v>
      </c>
      <c r="H2537" t="s">
        <v>27248</v>
      </c>
      <c r="I2537" t="s">
        <v>32162</v>
      </c>
      <c r="J2537" t="s">
        <v>5095</v>
      </c>
      <c r="L2537" t="s">
        <v>27250</v>
      </c>
      <c r="M2537" t="s">
        <v>27251</v>
      </c>
      <c r="N2537" t="s">
        <v>27252</v>
      </c>
      <c r="P2537" t="s">
        <v>27925</v>
      </c>
      <c r="Q2537" s="1">
        <v>44538</v>
      </c>
      <c r="R2537" t="s">
        <v>27253</v>
      </c>
      <c r="S2537" t="s">
        <v>27254</v>
      </c>
      <c r="T2537" t="s">
        <v>27255</v>
      </c>
    </row>
    <row r="2538" spans="1:20" x14ac:dyDescent="0.3">
      <c r="A2538" t="str">
        <f>"0611833122025"</f>
        <v>0611833122025</v>
      </c>
      <c r="B2538" t="str">
        <f>"MC3473"</f>
        <v>MC3473</v>
      </c>
      <c r="C2538" t="s">
        <v>32163</v>
      </c>
      <c r="D2538" t="s">
        <v>27267</v>
      </c>
      <c r="E2538" t="str">
        <f t="shared" si="39"/>
        <v>001390</v>
      </c>
      <c r="F2538" t="s">
        <v>27246</v>
      </c>
      <c r="G2538" t="s">
        <v>27247</v>
      </c>
      <c r="H2538" t="s">
        <v>27248</v>
      </c>
      <c r="I2538" t="s">
        <v>32164</v>
      </c>
      <c r="J2538" t="s">
        <v>5097</v>
      </c>
      <c r="L2538" t="s">
        <v>27250</v>
      </c>
      <c r="M2538" t="s">
        <v>27251</v>
      </c>
      <c r="N2538" t="s">
        <v>27252</v>
      </c>
      <c r="Q2538" s="1">
        <v>44538</v>
      </c>
      <c r="R2538" t="s">
        <v>27253</v>
      </c>
      <c r="S2538" t="s">
        <v>27254</v>
      </c>
      <c r="T2538" t="s">
        <v>27269</v>
      </c>
    </row>
    <row r="2539" spans="1:20" x14ac:dyDescent="0.3">
      <c r="A2539" t="str">
        <f>"0611884098050"</f>
        <v>0611884098050</v>
      </c>
      <c r="B2539" t="str">
        <f>"CR5368"</f>
        <v>CR5368</v>
      </c>
      <c r="C2539" t="s">
        <v>32165</v>
      </c>
      <c r="D2539" t="s">
        <v>27263</v>
      </c>
      <c r="E2539" t="str">
        <f t="shared" si="39"/>
        <v>001390</v>
      </c>
      <c r="F2539" t="s">
        <v>27246</v>
      </c>
      <c r="G2539" t="s">
        <v>27247</v>
      </c>
      <c r="H2539" t="s">
        <v>27248</v>
      </c>
      <c r="I2539" t="s">
        <v>32166</v>
      </c>
      <c r="J2539" t="s">
        <v>5099</v>
      </c>
      <c r="L2539" t="s">
        <v>27430</v>
      </c>
      <c r="M2539" t="s">
        <v>27251</v>
      </c>
      <c r="N2539" t="s">
        <v>27252</v>
      </c>
      <c r="Q2539" s="1">
        <v>45250</v>
      </c>
      <c r="R2539" t="s">
        <v>27253</v>
      </c>
      <c r="S2539" t="s">
        <v>27254</v>
      </c>
      <c r="T2539" t="s">
        <v>27265</v>
      </c>
    </row>
    <row r="2540" spans="1:20" x14ac:dyDescent="0.3">
      <c r="A2540" t="str">
        <f>"0611884099050"</f>
        <v>0611884099050</v>
      </c>
      <c r="B2540" t="str">
        <f>"CR5346"</f>
        <v>CR5346</v>
      </c>
      <c r="C2540" t="s">
        <v>32167</v>
      </c>
      <c r="D2540" t="s">
        <v>27263</v>
      </c>
      <c r="E2540" t="str">
        <f t="shared" si="39"/>
        <v>001390</v>
      </c>
      <c r="F2540" t="s">
        <v>27246</v>
      </c>
      <c r="G2540" t="s">
        <v>27247</v>
      </c>
      <c r="H2540" t="s">
        <v>27248</v>
      </c>
      <c r="I2540" t="s">
        <v>32168</v>
      </c>
      <c r="J2540" t="s">
        <v>5101</v>
      </c>
      <c r="L2540" t="s">
        <v>27430</v>
      </c>
      <c r="M2540" t="s">
        <v>27251</v>
      </c>
      <c r="N2540" t="s">
        <v>27252</v>
      </c>
      <c r="Q2540" s="1">
        <v>45250</v>
      </c>
      <c r="R2540" t="s">
        <v>27253</v>
      </c>
      <c r="S2540" t="s">
        <v>27254</v>
      </c>
      <c r="T2540" t="s">
        <v>27265</v>
      </c>
    </row>
    <row r="2541" spans="1:20" x14ac:dyDescent="0.3">
      <c r="A2541" t="str">
        <f>"0611833126100"</f>
        <v>0611833126100</v>
      </c>
      <c r="B2541" t="str">
        <f>"LF1425"</f>
        <v>LF1425</v>
      </c>
      <c r="C2541" t="s">
        <v>32169</v>
      </c>
      <c r="D2541" t="s">
        <v>27245</v>
      </c>
      <c r="E2541" t="str">
        <f t="shared" si="39"/>
        <v>001390</v>
      </c>
      <c r="F2541" t="s">
        <v>27246</v>
      </c>
      <c r="G2541" t="s">
        <v>27247</v>
      </c>
      <c r="H2541" t="s">
        <v>27248</v>
      </c>
      <c r="I2541" t="s">
        <v>32170</v>
      </c>
      <c r="J2541" t="s">
        <v>5103</v>
      </c>
      <c r="L2541" t="s">
        <v>27250</v>
      </c>
      <c r="M2541" t="s">
        <v>27251</v>
      </c>
      <c r="N2541" t="s">
        <v>27252</v>
      </c>
      <c r="Q2541" s="1">
        <v>44538</v>
      </c>
      <c r="R2541" t="s">
        <v>27253</v>
      </c>
      <c r="S2541" t="s">
        <v>27254</v>
      </c>
      <c r="T2541" t="s">
        <v>27255</v>
      </c>
    </row>
    <row r="2542" spans="1:20" x14ac:dyDescent="0.3">
      <c r="A2542" t="str">
        <f>"0611833127100"</f>
        <v>0611833127100</v>
      </c>
      <c r="B2542" t="str">
        <f>"LK2592"</f>
        <v>LK2592</v>
      </c>
      <c r="C2542" t="s">
        <v>32171</v>
      </c>
      <c r="D2542" t="s">
        <v>27245</v>
      </c>
      <c r="E2542" t="str">
        <f t="shared" si="39"/>
        <v>001390</v>
      </c>
      <c r="F2542" t="s">
        <v>27246</v>
      </c>
      <c r="G2542" t="s">
        <v>27247</v>
      </c>
      <c r="H2542" t="s">
        <v>27248</v>
      </c>
      <c r="I2542" t="s">
        <v>32172</v>
      </c>
      <c r="J2542" t="s">
        <v>5105</v>
      </c>
      <c r="L2542" t="s">
        <v>27250</v>
      </c>
      <c r="M2542" t="s">
        <v>27251</v>
      </c>
      <c r="N2542" t="s">
        <v>27252</v>
      </c>
      <c r="Q2542" s="1">
        <v>44538</v>
      </c>
      <c r="R2542" t="s">
        <v>27253</v>
      </c>
      <c r="S2542" t="s">
        <v>27254</v>
      </c>
      <c r="T2542" t="s">
        <v>27255</v>
      </c>
    </row>
    <row r="2543" spans="1:20" x14ac:dyDescent="0.3">
      <c r="A2543" t="str">
        <f>"0611861190050"</f>
        <v>0611861190050</v>
      </c>
      <c r="B2543" t="str">
        <f>"CR2629"</f>
        <v>CR2629</v>
      </c>
      <c r="C2543" t="s">
        <v>32171</v>
      </c>
      <c r="D2543" t="s">
        <v>27263</v>
      </c>
      <c r="E2543" t="str">
        <f t="shared" si="39"/>
        <v>001390</v>
      </c>
      <c r="F2543" t="s">
        <v>27246</v>
      </c>
      <c r="G2543" t="s">
        <v>27247</v>
      </c>
      <c r="H2543" t="s">
        <v>27248</v>
      </c>
      <c r="I2543" t="s">
        <v>32173</v>
      </c>
      <c r="J2543" t="s">
        <v>5107</v>
      </c>
      <c r="L2543" t="s">
        <v>27250</v>
      </c>
      <c r="M2543" t="s">
        <v>27251</v>
      </c>
      <c r="N2543" t="s">
        <v>27252</v>
      </c>
      <c r="Q2543" s="1">
        <v>44846</v>
      </c>
      <c r="R2543" t="s">
        <v>27253</v>
      </c>
      <c r="S2543" t="s">
        <v>27254</v>
      </c>
      <c r="T2543" t="s">
        <v>27265</v>
      </c>
    </row>
    <row r="2544" spans="1:20" x14ac:dyDescent="0.3">
      <c r="A2544" t="str">
        <f>"0611833128100"</f>
        <v>0611833128100</v>
      </c>
      <c r="B2544" t="str">
        <f>"LK0478"</f>
        <v>LK0478</v>
      </c>
      <c r="C2544" t="s">
        <v>32174</v>
      </c>
      <c r="D2544" t="s">
        <v>27245</v>
      </c>
      <c r="E2544" t="str">
        <f t="shared" si="39"/>
        <v>001390</v>
      </c>
      <c r="F2544" t="s">
        <v>27246</v>
      </c>
      <c r="G2544" t="s">
        <v>27247</v>
      </c>
      <c r="H2544" t="s">
        <v>27248</v>
      </c>
      <c r="I2544" t="s">
        <v>32175</v>
      </c>
      <c r="J2544" t="s">
        <v>5109</v>
      </c>
      <c r="L2544" t="s">
        <v>27250</v>
      </c>
      <c r="M2544" t="s">
        <v>27251</v>
      </c>
      <c r="N2544" t="s">
        <v>27252</v>
      </c>
      <c r="Q2544" s="1">
        <v>44538</v>
      </c>
      <c r="R2544" t="s">
        <v>27253</v>
      </c>
      <c r="S2544" t="s">
        <v>27254</v>
      </c>
      <c r="T2544" t="s">
        <v>27255</v>
      </c>
    </row>
    <row r="2545" spans="1:20" x14ac:dyDescent="0.3">
      <c r="A2545" t="str">
        <f>"0611861191050"</f>
        <v>0611861191050</v>
      </c>
      <c r="B2545" t="str">
        <f>"CR3493"</f>
        <v>CR3493</v>
      </c>
      <c r="C2545" t="s">
        <v>32176</v>
      </c>
      <c r="D2545" t="s">
        <v>27263</v>
      </c>
      <c r="E2545" t="str">
        <f t="shared" si="39"/>
        <v>001390</v>
      </c>
      <c r="F2545" t="s">
        <v>27246</v>
      </c>
      <c r="G2545" t="s">
        <v>27247</v>
      </c>
      <c r="H2545" t="s">
        <v>27248</v>
      </c>
      <c r="I2545" t="s">
        <v>32177</v>
      </c>
      <c r="J2545" t="s">
        <v>5111</v>
      </c>
      <c r="L2545" t="s">
        <v>27250</v>
      </c>
      <c r="M2545" t="s">
        <v>27251</v>
      </c>
      <c r="N2545" t="s">
        <v>27252</v>
      </c>
      <c r="Q2545" s="1">
        <v>44846</v>
      </c>
      <c r="R2545" t="s">
        <v>27253</v>
      </c>
      <c r="S2545" t="s">
        <v>27254</v>
      </c>
      <c r="T2545" t="s">
        <v>27265</v>
      </c>
    </row>
    <row r="2546" spans="1:20" x14ac:dyDescent="0.3">
      <c r="A2546" t="str">
        <f>"0611833130100"</f>
        <v>0611833130100</v>
      </c>
      <c r="B2546" t="str">
        <f>"LK3726"</f>
        <v>LK3726</v>
      </c>
      <c r="C2546" t="s">
        <v>32178</v>
      </c>
      <c r="D2546" t="s">
        <v>27245</v>
      </c>
      <c r="E2546" t="str">
        <f t="shared" si="39"/>
        <v>001390</v>
      </c>
      <c r="F2546" t="s">
        <v>27246</v>
      </c>
      <c r="G2546" t="s">
        <v>27247</v>
      </c>
      <c r="H2546" t="s">
        <v>27248</v>
      </c>
      <c r="I2546" t="s">
        <v>32179</v>
      </c>
      <c r="J2546" t="s">
        <v>5113</v>
      </c>
      <c r="L2546" t="s">
        <v>27250</v>
      </c>
      <c r="M2546" t="s">
        <v>27251</v>
      </c>
      <c r="N2546" t="s">
        <v>27252</v>
      </c>
      <c r="Q2546" s="1">
        <v>44538</v>
      </c>
      <c r="R2546" t="s">
        <v>27253</v>
      </c>
      <c r="S2546" t="s">
        <v>27254</v>
      </c>
      <c r="T2546" t="s">
        <v>27255</v>
      </c>
    </row>
    <row r="2547" spans="1:20" x14ac:dyDescent="0.3">
      <c r="A2547" t="str">
        <f>"0611861192050"</f>
        <v>0611861192050</v>
      </c>
      <c r="B2547" t="str">
        <f>"CE0766"</f>
        <v>CE0766</v>
      </c>
      <c r="C2547" t="s">
        <v>32178</v>
      </c>
      <c r="D2547" t="s">
        <v>27286</v>
      </c>
      <c r="E2547" t="str">
        <f t="shared" si="39"/>
        <v>001390</v>
      </c>
      <c r="F2547" t="s">
        <v>27246</v>
      </c>
      <c r="G2547" t="s">
        <v>27247</v>
      </c>
      <c r="H2547" t="s">
        <v>27248</v>
      </c>
      <c r="I2547" t="s">
        <v>32180</v>
      </c>
      <c r="J2547" t="s">
        <v>5115</v>
      </c>
      <c r="L2547" t="s">
        <v>27250</v>
      </c>
      <c r="M2547" t="s">
        <v>27251</v>
      </c>
      <c r="N2547" t="s">
        <v>27252</v>
      </c>
      <c r="Q2547" s="1">
        <v>44846</v>
      </c>
      <c r="R2547" t="s">
        <v>27253</v>
      </c>
      <c r="S2547" t="s">
        <v>27254</v>
      </c>
      <c r="T2547" t="s">
        <v>27265</v>
      </c>
    </row>
    <row r="2548" spans="1:20" x14ac:dyDescent="0.3">
      <c r="A2548" t="str">
        <f>"0611833153100"</f>
        <v>0611833153100</v>
      </c>
      <c r="B2548" t="str">
        <f>"LB2035"</f>
        <v>LB2035</v>
      </c>
      <c r="C2548" t="s">
        <v>32181</v>
      </c>
      <c r="D2548" t="s">
        <v>27245</v>
      </c>
      <c r="E2548" t="str">
        <f t="shared" si="39"/>
        <v>001390</v>
      </c>
      <c r="F2548" t="s">
        <v>27246</v>
      </c>
      <c r="G2548" t="s">
        <v>27247</v>
      </c>
      <c r="H2548" t="s">
        <v>27248</v>
      </c>
      <c r="I2548" t="s">
        <v>32182</v>
      </c>
      <c r="J2548" t="s">
        <v>5157</v>
      </c>
      <c r="L2548" t="s">
        <v>27250</v>
      </c>
      <c r="M2548" t="s">
        <v>27251</v>
      </c>
      <c r="N2548" t="s">
        <v>27252</v>
      </c>
      <c r="Q2548" s="1">
        <v>44538</v>
      </c>
      <c r="R2548" t="s">
        <v>27253</v>
      </c>
      <c r="S2548" t="s">
        <v>27254</v>
      </c>
      <c r="T2548" t="s">
        <v>27255</v>
      </c>
    </row>
    <row r="2549" spans="1:20" x14ac:dyDescent="0.3">
      <c r="A2549" t="str">
        <f>"0611833131100"</f>
        <v>0611833131100</v>
      </c>
      <c r="B2549" t="str">
        <f>"LK5197"</f>
        <v>LK5197</v>
      </c>
      <c r="C2549" t="s">
        <v>32183</v>
      </c>
      <c r="D2549" t="s">
        <v>27245</v>
      </c>
      <c r="E2549" t="str">
        <f t="shared" si="39"/>
        <v>001390</v>
      </c>
      <c r="F2549" t="s">
        <v>27246</v>
      </c>
      <c r="G2549" t="s">
        <v>27247</v>
      </c>
      <c r="H2549" t="s">
        <v>27248</v>
      </c>
      <c r="I2549" t="s">
        <v>32184</v>
      </c>
      <c r="J2549" t="s">
        <v>5117</v>
      </c>
      <c r="L2549" t="s">
        <v>27250</v>
      </c>
      <c r="M2549" t="s">
        <v>27251</v>
      </c>
      <c r="N2549" t="s">
        <v>27252</v>
      </c>
      <c r="Q2549" s="1">
        <v>44538</v>
      </c>
      <c r="R2549" t="s">
        <v>27253</v>
      </c>
      <c r="S2549" t="s">
        <v>27254</v>
      </c>
      <c r="T2549" t="s">
        <v>27255</v>
      </c>
    </row>
    <row r="2550" spans="1:20" x14ac:dyDescent="0.3">
      <c r="A2550" t="str">
        <f>"0611833132100"</f>
        <v>0611833132100</v>
      </c>
      <c r="B2550" t="str">
        <f>"LK2604"</f>
        <v>LK2604</v>
      </c>
      <c r="C2550" t="s">
        <v>32185</v>
      </c>
      <c r="D2550" t="s">
        <v>27245</v>
      </c>
      <c r="E2550" t="str">
        <f t="shared" si="39"/>
        <v>001390</v>
      </c>
      <c r="F2550" t="s">
        <v>27246</v>
      </c>
      <c r="G2550" t="s">
        <v>27247</v>
      </c>
      <c r="H2550" t="s">
        <v>27248</v>
      </c>
      <c r="I2550" t="s">
        <v>32186</v>
      </c>
      <c r="J2550" t="s">
        <v>5119</v>
      </c>
      <c r="L2550" t="s">
        <v>27250</v>
      </c>
      <c r="M2550" t="s">
        <v>27251</v>
      </c>
      <c r="N2550" t="s">
        <v>27252</v>
      </c>
      <c r="Q2550" s="1">
        <v>44538</v>
      </c>
      <c r="R2550" t="s">
        <v>27253</v>
      </c>
      <c r="S2550" t="s">
        <v>27254</v>
      </c>
      <c r="T2550" t="s">
        <v>27255</v>
      </c>
    </row>
    <row r="2551" spans="1:20" x14ac:dyDescent="0.3">
      <c r="A2551" t="str">
        <f>"0611833135100"</f>
        <v>0611833135100</v>
      </c>
      <c r="B2551" t="str">
        <f>"LK4964"</f>
        <v>LK4964</v>
      </c>
      <c r="C2551" t="s">
        <v>32187</v>
      </c>
      <c r="D2551" t="s">
        <v>27245</v>
      </c>
      <c r="E2551" t="str">
        <f t="shared" si="39"/>
        <v>001390</v>
      </c>
      <c r="F2551" t="s">
        <v>27246</v>
      </c>
      <c r="G2551" t="s">
        <v>27247</v>
      </c>
      <c r="H2551" t="s">
        <v>27248</v>
      </c>
      <c r="I2551" t="s">
        <v>32188</v>
      </c>
      <c r="J2551" t="s">
        <v>5121</v>
      </c>
      <c r="L2551" t="s">
        <v>27250</v>
      </c>
      <c r="M2551" t="s">
        <v>27251</v>
      </c>
      <c r="N2551" t="s">
        <v>27252</v>
      </c>
      <c r="Q2551" s="1">
        <v>44538</v>
      </c>
      <c r="R2551" t="s">
        <v>27253</v>
      </c>
      <c r="S2551" t="s">
        <v>27254</v>
      </c>
      <c r="T2551" t="s">
        <v>27255</v>
      </c>
    </row>
    <row r="2552" spans="1:20" x14ac:dyDescent="0.3">
      <c r="A2552" t="str">
        <f>"0611833136100"</f>
        <v>0611833136100</v>
      </c>
      <c r="B2552" t="str">
        <f>"LK3309"</f>
        <v>LK3309</v>
      </c>
      <c r="C2552" t="s">
        <v>32189</v>
      </c>
      <c r="D2552" t="s">
        <v>27245</v>
      </c>
      <c r="E2552" t="str">
        <f t="shared" si="39"/>
        <v>001390</v>
      </c>
      <c r="F2552" t="s">
        <v>27246</v>
      </c>
      <c r="G2552" t="s">
        <v>27247</v>
      </c>
      <c r="H2552" t="s">
        <v>27248</v>
      </c>
      <c r="I2552" t="s">
        <v>32190</v>
      </c>
      <c r="J2552" t="s">
        <v>5123</v>
      </c>
      <c r="L2552" t="s">
        <v>27250</v>
      </c>
      <c r="M2552" t="s">
        <v>27251</v>
      </c>
      <c r="N2552" t="s">
        <v>27252</v>
      </c>
      <c r="Q2552" s="1">
        <v>44538</v>
      </c>
      <c r="R2552" t="s">
        <v>27253</v>
      </c>
      <c r="S2552" t="s">
        <v>27254</v>
      </c>
      <c r="T2552" t="s">
        <v>27255</v>
      </c>
    </row>
    <row r="2553" spans="1:20" x14ac:dyDescent="0.3">
      <c r="A2553" t="str">
        <f>"0611833138025"</f>
        <v>0611833138025</v>
      </c>
      <c r="B2553" t="str">
        <f>"MC3657"</f>
        <v>MC3657</v>
      </c>
      <c r="C2553" t="s">
        <v>32191</v>
      </c>
      <c r="D2553" t="s">
        <v>27267</v>
      </c>
      <c r="E2553" t="str">
        <f t="shared" si="39"/>
        <v>001390</v>
      </c>
      <c r="F2553" t="s">
        <v>27246</v>
      </c>
      <c r="G2553" t="s">
        <v>27247</v>
      </c>
      <c r="H2553" t="s">
        <v>27248</v>
      </c>
      <c r="I2553" t="s">
        <v>32192</v>
      </c>
      <c r="J2553" t="s">
        <v>5125</v>
      </c>
      <c r="L2553" t="s">
        <v>27250</v>
      </c>
      <c r="M2553" t="s">
        <v>27251</v>
      </c>
      <c r="N2553" t="s">
        <v>27252</v>
      </c>
      <c r="Q2553" s="1">
        <v>44538</v>
      </c>
      <c r="R2553" t="s">
        <v>27253</v>
      </c>
      <c r="S2553" t="s">
        <v>27254</v>
      </c>
      <c r="T2553" t="s">
        <v>27269</v>
      </c>
    </row>
    <row r="2554" spans="1:20" x14ac:dyDescent="0.3">
      <c r="A2554" t="str">
        <f>"0611833139100"</f>
        <v>0611833139100</v>
      </c>
      <c r="B2554" t="str">
        <f>"MB1450"</f>
        <v>MB1450</v>
      </c>
      <c r="C2554" t="s">
        <v>32193</v>
      </c>
      <c r="D2554" t="s">
        <v>27274</v>
      </c>
      <c r="E2554" t="str">
        <f t="shared" si="39"/>
        <v>001390</v>
      </c>
      <c r="F2554" t="s">
        <v>27246</v>
      </c>
      <c r="G2554" t="s">
        <v>27247</v>
      </c>
      <c r="H2554" t="s">
        <v>27248</v>
      </c>
      <c r="I2554" t="s">
        <v>32194</v>
      </c>
      <c r="J2554" t="s">
        <v>5189</v>
      </c>
      <c r="L2554" t="s">
        <v>27250</v>
      </c>
      <c r="M2554" t="s">
        <v>27251</v>
      </c>
      <c r="N2554" t="s">
        <v>27252</v>
      </c>
      <c r="Q2554" s="1">
        <v>44538</v>
      </c>
      <c r="R2554" t="s">
        <v>27253</v>
      </c>
      <c r="S2554" t="s">
        <v>27254</v>
      </c>
      <c r="T2554" t="s">
        <v>27276</v>
      </c>
    </row>
    <row r="2555" spans="1:20" x14ac:dyDescent="0.3">
      <c r="A2555" t="str">
        <f>"0611833140025"</f>
        <v>0611833140025</v>
      </c>
      <c r="B2555" t="str">
        <f>"MC2203"</f>
        <v>MC2203</v>
      </c>
      <c r="C2555" t="s">
        <v>32193</v>
      </c>
      <c r="D2555" t="s">
        <v>27267</v>
      </c>
      <c r="E2555" t="str">
        <f t="shared" si="39"/>
        <v>001390</v>
      </c>
      <c r="F2555" t="s">
        <v>27246</v>
      </c>
      <c r="G2555" t="s">
        <v>27247</v>
      </c>
      <c r="H2555" t="s">
        <v>27248</v>
      </c>
      <c r="I2555" t="s">
        <v>32195</v>
      </c>
      <c r="J2555" t="s">
        <v>5191</v>
      </c>
      <c r="L2555" t="s">
        <v>27250</v>
      </c>
      <c r="M2555" t="s">
        <v>27251</v>
      </c>
      <c r="N2555" t="s">
        <v>27252</v>
      </c>
      <c r="Q2555" s="1">
        <v>44538</v>
      </c>
      <c r="R2555" t="s">
        <v>27253</v>
      </c>
      <c r="S2555" t="s">
        <v>27254</v>
      </c>
      <c r="T2555" t="s">
        <v>27269</v>
      </c>
    </row>
    <row r="2556" spans="1:20" x14ac:dyDescent="0.3">
      <c r="A2556" t="str">
        <f>"0611833143100"</f>
        <v>0611833143100</v>
      </c>
      <c r="B2556" t="str">
        <f>"LQ3693"</f>
        <v>LQ3693</v>
      </c>
      <c r="C2556" t="s">
        <v>32196</v>
      </c>
      <c r="D2556" t="s">
        <v>27245</v>
      </c>
      <c r="E2556" t="str">
        <f t="shared" si="39"/>
        <v>001390</v>
      </c>
      <c r="F2556" t="s">
        <v>27246</v>
      </c>
      <c r="G2556" t="s">
        <v>27247</v>
      </c>
      <c r="H2556" t="s">
        <v>27248</v>
      </c>
      <c r="I2556" t="s">
        <v>32197</v>
      </c>
      <c r="J2556" t="s">
        <v>5127</v>
      </c>
      <c r="L2556" t="s">
        <v>27250</v>
      </c>
      <c r="M2556" t="s">
        <v>27251</v>
      </c>
      <c r="N2556" t="s">
        <v>27252</v>
      </c>
      <c r="Q2556" s="1">
        <v>44538</v>
      </c>
      <c r="R2556" t="s">
        <v>27253</v>
      </c>
      <c r="S2556" t="s">
        <v>27254</v>
      </c>
      <c r="T2556" t="s">
        <v>27255</v>
      </c>
    </row>
    <row r="2557" spans="1:20" x14ac:dyDescent="0.3">
      <c r="A2557" t="str">
        <f>"0611833144100"</f>
        <v>0611833144100</v>
      </c>
      <c r="B2557" t="str">
        <f>"LQ3694"</f>
        <v>LQ3694</v>
      </c>
      <c r="C2557" t="s">
        <v>32198</v>
      </c>
      <c r="D2557" t="s">
        <v>27245</v>
      </c>
      <c r="E2557" t="str">
        <f t="shared" si="39"/>
        <v>001390</v>
      </c>
      <c r="F2557" t="s">
        <v>27246</v>
      </c>
      <c r="G2557" t="s">
        <v>27247</v>
      </c>
      <c r="H2557" t="s">
        <v>27248</v>
      </c>
      <c r="I2557" t="s">
        <v>32199</v>
      </c>
      <c r="J2557" t="s">
        <v>5129</v>
      </c>
      <c r="L2557" t="s">
        <v>27250</v>
      </c>
      <c r="M2557" t="s">
        <v>27251</v>
      </c>
      <c r="N2557" t="s">
        <v>27252</v>
      </c>
      <c r="Q2557" s="1">
        <v>44538</v>
      </c>
      <c r="R2557" t="s">
        <v>27253</v>
      </c>
      <c r="S2557" t="s">
        <v>27254</v>
      </c>
      <c r="T2557" t="s">
        <v>27255</v>
      </c>
    </row>
    <row r="2558" spans="1:20" x14ac:dyDescent="0.3">
      <c r="A2558" t="str">
        <f>"0611833145100"</f>
        <v>0611833145100</v>
      </c>
      <c r="B2558" t="str">
        <f>"LQ3695"</f>
        <v>LQ3695</v>
      </c>
      <c r="C2558" t="s">
        <v>32200</v>
      </c>
      <c r="D2558" t="s">
        <v>27245</v>
      </c>
      <c r="E2558" t="str">
        <f t="shared" si="39"/>
        <v>001390</v>
      </c>
      <c r="F2558" t="s">
        <v>27246</v>
      </c>
      <c r="G2558" t="s">
        <v>27247</v>
      </c>
      <c r="H2558" t="s">
        <v>27248</v>
      </c>
      <c r="I2558" t="s">
        <v>32201</v>
      </c>
      <c r="J2558" t="s">
        <v>5131</v>
      </c>
      <c r="L2558" t="s">
        <v>27250</v>
      </c>
      <c r="M2558" t="s">
        <v>27251</v>
      </c>
      <c r="N2558" t="s">
        <v>27252</v>
      </c>
      <c r="Q2558" s="1">
        <v>44538</v>
      </c>
      <c r="R2558" t="s">
        <v>27253</v>
      </c>
      <c r="S2558" t="s">
        <v>27254</v>
      </c>
      <c r="T2558" t="s">
        <v>27255</v>
      </c>
    </row>
    <row r="2559" spans="1:20" x14ac:dyDescent="0.3">
      <c r="A2559" t="str">
        <f>"0611833146100"</f>
        <v>0611833146100</v>
      </c>
      <c r="B2559" t="str">
        <f>"LB2028"</f>
        <v>LB2028</v>
      </c>
      <c r="C2559" t="s">
        <v>32202</v>
      </c>
      <c r="D2559" t="s">
        <v>27245</v>
      </c>
      <c r="E2559" t="str">
        <f t="shared" si="39"/>
        <v>001390</v>
      </c>
      <c r="F2559" t="s">
        <v>27246</v>
      </c>
      <c r="G2559" t="s">
        <v>27247</v>
      </c>
      <c r="H2559" t="s">
        <v>27248</v>
      </c>
      <c r="I2559" t="s">
        <v>32203</v>
      </c>
      <c r="J2559" t="s">
        <v>5133</v>
      </c>
      <c r="L2559" t="s">
        <v>27250</v>
      </c>
      <c r="M2559" t="s">
        <v>27251</v>
      </c>
      <c r="N2559" t="s">
        <v>27252</v>
      </c>
      <c r="Q2559" s="1">
        <v>44538</v>
      </c>
      <c r="R2559" t="s">
        <v>27253</v>
      </c>
      <c r="S2559" t="s">
        <v>27254</v>
      </c>
      <c r="T2559" t="s">
        <v>27255</v>
      </c>
    </row>
    <row r="2560" spans="1:20" x14ac:dyDescent="0.3">
      <c r="A2560" t="str">
        <f>"0611833149100"</f>
        <v>0611833149100</v>
      </c>
      <c r="B2560" t="str">
        <f>"LK3801"</f>
        <v>LK3801</v>
      </c>
      <c r="C2560" t="s">
        <v>32204</v>
      </c>
      <c r="D2560" t="s">
        <v>27245</v>
      </c>
      <c r="E2560" t="str">
        <f t="shared" si="39"/>
        <v>001390</v>
      </c>
      <c r="F2560" t="s">
        <v>27246</v>
      </c>
      <c r="G2560" t="s">
        <v>27247</v>
      </c>
      <c r="H2560" t="s">
        <v>27248</v>
      </c>
      <c r="I2560" t="s">
        <v>32205</v>
      </c>
      <c r="J2560" t="s">
        <v>5135</v>
      </c>
      <c r="L2560" t="s">
        <v>27250</v>
      </c>
      <c r="M2560" t="s">
        <v>27251</v>
      </c>
      <c r="N2560" t="s">
        <v>27252</v>
      </c>
      <c r="Q2560" s="1">
        <v>44538</v>
      </c>
      <c r="R2560" t="s">
        <v>27253</v>
      </c>
      <c r="S2560" t="s">
        <v>27254</v>
      </c>
      <c r="T2560" t="s">
        <v>27255</v>
      </c>
    </row>
    <row r="2561" spans="1:20" x14ac:dyDescent="0.3">
      <c r="A2561" t="str">
        <f>"0611833150100"</f>
        <v>0611833150100</v>
      </c>
      <c r="B2561" t="str">
        <f>"LK3210"</f>
        <v>LK3210</v>
      </c>
      <c r="C2561" t="s">
        <v>32206</v>
      </c>
      <c r="D2561" t="s">
        <v>27245</v>
      </c>
      <c r="E2561" t="str">
        <f t="shared" si="39"/>
        <v>001390</v>
      </c>
      <c r="F2561" t="s">
        <v>27246</v>
      </c>
      <c r="G2561" t="s">
        <v>27247</v>
      </c>
      <c r="H2561" t="s">
        <v>27248</v>
      </c>
      <c r="I2561" t="s">
        <v>32207</v>
      </c>
      <c r="J2561" t="s">
        <v>5137</v>
      </c>
      <c r="L2561" t="s">
        <v>27250</v>
      </c>
      <c r="M2561" t="s">
        <v>27251</v>
      </c>
      <c r="N2561" t="s">
        <v>27252</v>
      </c>
      <c r="Q2561" s="1">
        <v>44538</v>
      </c>
      <c r="R2561" t="s">
        <v>27253</v>
      </c>
      <c r="S2561" t="s">
        <v>27254</v>
      </c>
      <c r="T2561" t="s">
        <v>27255</v>
      </c>
    </row>
    <row r="2562" spans="1:20" x14ac:dyDescent="0.3">
      <c r="A2562" t="str">
        <f>"0611833151100"</f>
        <v>0611833151100</v>
      </c>
      <c r="B2562" t="str">
        <f>"LK3728"</f>
        <v>LK3728</v>
      </c>
      <c r="C2562" t="s">
        <v>32208</v>
      </c>
      <c r="D2562" t="s">
        <v>27245</v>
      </c>
      <c r="E2562" t="str">
        <f t="shared" ref="E2562:E2625" si="40">"001390"</f>
        <v>001390</v>
      </c>
      <c r="F2562" t="s">
        <v>27246</v>
      </c>
      <c r="G2562" t="s">
        <v>27247</v>
      </c>
      <c r="H2562" t="s">
        <v>27248</v>
      </c>
      <c r="I2562" t="s">
        <v>32209</v>
      </c>
      <c r="J2562" t="s">
        <v>5139</v>
      </c>
      <c r="L2562" t="s">
        <v>27250</v>
      </c>
      <c r="M2562" t="s">
        <v>27251</v>
      </c>
      <c r="N2562" t="s">
        <v>27252</v>
      </c>
      <c r="Q2562" s="1">
        <v>44538</v>
      </c>
      <c r="R2562" t="s">
        <v>27253</v>
      </c>
      <c r="S2562" t="s">
        <v>27254</v>
      </c>
      <c r="T2562" t="s">
        <v>27255</v>
      </c>
    </row>
    <row r="2563" spans="1:20" x14ac:dyDescent="0.3">
      <c r="A2563" t="str">
        <f>"0611833152100"</f>
        <v>0611833152100</v>
      </c>
      <c r="B2563" t="str">
        <f>"LK5450"</f>
        <v>LK5450</v>
      </c>
      <c r="C2563" t="s">
        <v>32210</v>
      </c>
      <c r="D2563" t="s">
        <v>27245</v>
      </c>
      <c r="E2563" t="str">
        <f t="shared" si="40"/>
        <v>001390</v>
      </c>
      <c r="F2563" t="s">
        <v>27246</v>
      </c>
      <c r="G2563" t="s">
        <v>27247</v>
      </c>
      <c r="H2563" t="s">
        <v>27248</v>
      </c>
      <c r="I2563" t="s">
        <v>32211</v>
      </c>
      <c r="J2563" t="s">
        <v>5141</v>
      </c>
      <c r="L2563" t="s">
        <v>27250</v>
      </c>
      <c r="M2563" t="s">
        <v>27251</v>
      </c>
      <c r="N2563" t="s">
        <v>27252</v>
      </c>
      <c r="Q2563" s="1">
        <v>44538</v>
      </c>
      <c r="R2563" t="s">
        <v>27253</v>
      </c>
      <c r="S2563" t="s">
        <v>27254</v>
      </c>
      <c r="T2563" t="s">
        <v>27255</v>
      </c>
    </row>
    <row r="2564" spans="1:20" x14ac:dyDescent="0.3">
      <c r="A2564" t="str">
        <f>"0611861193050"</f>
        <v>0611861193050</v>
      </c>
      <c r="B2564" t="str">
        <f>"CR3495"</f>
        <v>CR3495</v>
      </c>
      <c r="C2564" t="s">
        <v>32210</v>
      </c>
      <c r="D2564" t="s">
        <v>27263</v>
      </c>
      <c r="E2564" t="str">
        <f t="shared" si="40"/>
        <v>001390</v>
      </c>
      <c r="F2564" t="s">
        <v>27246</v>
      </c>
      <c r="G2564" t="s">
        <v>27247</v>
      </c>
      <c r="H2564" t="s">
        <v>27248</v>
      </c>
      <c r="I2564" t="s">
        <v>32212</v>
      </c>
      <c r="J2564" t="s">
        <v>5143</v>
      </c>
      <c r="L2564" t="s">
        <v>27250</v>
      </c>
      <c r="M2564" t="s">
        <v>27251</v>
      </c>
      <c r="N2564" t="s">
        <v>27252</v>
      </c>
      <c r="Q2564" s="1">
        <v>44846</v>
      </c>
      <c r="R2564" t="s">
        <v>27253</v>
      </c>
      <c r="S2564" t="s">
        <v>27254</v>
      </c>
      <c r="T2564" t="s">
        <v>27265</v>
      </c>
    </row>
    <row r="2565" spans="1:20" x14ac:dyDescent="0.3">
      <c r="A2565" t="str">
        <f>"0611884100050"</f>
        <v>0611884100050</v>
      </c>
      <c r="B2565" t="str">
        <f>"CR5369"</f>
        <v>CR5369</v>
      </c>
      <c r="C2565" t="s">
        <v>32213</v>
      </c>
      <c r="D2565" t="s">
        <v>27271</v>
      </c>
      <c r="E2565" t="str">
        <f t="shared" si="40"/>
        <v>001390</v>
      </c>
      <c r="F2565" t="s">
        <v>27246</v>
      </c>
      <c r="G2565" t="s">
        <v>27247</v>
      </c>
      <c r="H2565" t="s">
        <v>27248</v>
      </c>
      <c r="I2565" t="s">
        <v>32214</v>
      </c>
      <c r="J2565" t="s">
        <v>5145</v>
      </c>
      <c r="L2565" t="s">
        <v>27430</v>
      </c>
      <c r="M2565" t="s">
        <v>27251</v>
      </c>
      <c r="N2565" t="s">
        <v>27252</v>
      </c>
      <c r="P2565" t="s">
        <v>27341</v>
      </c>
      <c r="Q2565" s="1">
        <v>45250</v>
      </c>
      <c r="R2565" t="s">
        <v>27253</v>
      </c>
      <c r="S2565" t="s">
        <v>27254</v>
      </c>
      <c r="T2565" t="s">
        <v>27265</v>
      </c>
    </row>
    <row r="2566" spans="1:20" x14ac:dyDescent="0.3">
      <c r="A2566" t="str">
        <f>"0611884101050"</f>
        <v>0611884101050</v>
      </c>
      <c r="B2566" t="str">
        <f>"CR5370"</f>
        <v>CR5370</v>
      </c>
      <c r="C2566" t="s">
        <v>32215</v>
      </c>
      <c r="D2566" t="s">
        <v>27263</v>
      </c>
      <c r="E2566" t="str">
        <f t="shared" si="40"/>
        <v>001390</v>
      </c>
      <c r="F2566" t="s">
        <v>27246</v>
      </c>
      <c r="G2566" t="s">
        <v>27247</v>
      </c>
      <c r="H2566" t="s">
        <v>27248</v>
      </c>
      <c r="I2566" t="s">
        <v>32216</v>
      </c>
      <c r="J2566" t="s">
        <v>5155</v>
      </c>
      <c r="L2566" t="s">
        <v>27430</v>
      </c>
      <c r="M2566" t="s">
        <v>27251</v>
      </c>
      <c r="N2566" t="s">
        <v>27252</v>
      </c>
      <c r="Q2566" s="1">
        <v>45250</v>
      </c>
      <c r="R2566" t="s">
        <v>27253</v>
      </c>
      <c r="S2566" t="s">
        <v>27254</v>
      </c>
      <c r="T2566" t="s">
        <v>27265</v>
      </c>
    </row>
    <row r="2567" spans="1:20" x14ac:dyDescent="0.3">
      <c r="A2567" t="str">
        <f>"0611884102050"</f>
        <v>0611884102050</v>
      </c>
      <c r="B2567" t="str">
        <f>"CR5360"</f>
        <v>CR5360</v>
      </c>
      <c r="C2567" t="s">
        <v>32217</v>
      </c>
      <c r="D2567" t="s">
        <v>27271</v>
      </c>
      <c r="E2567" t="str">
        <f t="shared" si="40"/>
        <v>001390</v>
      </c>
      <c r="F2567" t="s">
        <v>27246</v>
      </c>
      <c r="G2567" t="s">
        <v>27247</v>
      </c>
      <c r="H2567" t="s">
        <v>27248</v>
      </c>
      <c r="I2567" t="s">
        <v>32218</v>
      </c>
      <c r="J2567" t="s">
        <v>5147</v>
      </c>
      <c r="L2567" t="s">
        <v>27430</v>
      </c>
      <c r="M2567" t="s">
        <v>27251</v>
      </c>
      <c r="N2567" t="s">
        <v>27252</v>
      </c>
      <c r="P2567" t="s">
        <v>27341</v>
      </c>
      <c r="Q2567" s="1">
        <v>45250</v>
      </c>
      <c r="R2567" t="s">
        <v>27253</v>
      </c>
      <c r="S2567" t="s">
        <v>27254</v>
      </c>
      <c r="T2567" t="s">
        <v>27265</v>
      </c>
    </row>
    <row r="2568" spans="1:20" x14ac:dyDescent="0.3">
      <c r="A2568" t="str">
        <f>"0611884103050"</f>
        <v>0611884103050</v>
      </c>
      <c r="B2568" t="str">
        <f>"CR5352"</f>
        <v>CR5352</v>
      </c>
      <c r="C2568" t="s">
        <v>32219</v>
      </c>
      <c r="D2568" t="s">
        <v>27271</v>
      </c>
      <c r="E2568" t="str">
        <f t="shared" si="40"/>
        <v>001390</v>
      </c>
      <c r="F2568" t="s">
        <v>27246</v>
      </c>
      <c r="G2568" t="s">
        <v>27247</v>
      </c>
      <c r="H2568" t="s">
        <v>27248</v>
      </c>
      <c r="I2568" t="s">
        <v>32220</v>
      </c>
      <c r="J2568" t="s">
        <v>5149</v>
      </c>
      <c r="L2568" t="s">
        <v>27430</v>
      </c>
      <c r="M2568" t="s">
        <v>27251</v>
      </c>
      <c r="N2568" t="s">
        <v>27252</v>
      </c>
      <c r="P2568" t="s">
        <v>27341</v>
      </c>
      <c r="Q2568" s="1">
        <v>45250</v>
      </c>
      <c r="R2568" t="s">
        <v>27253</v>
      </c>
      <c r="S2568" t="s">
        <v>27254</v>
      </c>
      <c r="T2568" t="s">
        <v>27265</v>
      </c>
    </row>
    <row r="2569" spans="1:20" x14ac:dyDescent="0.3">
      <c r="A2569" t="str">
        <f>"0611884104050"</f>
        <v>0611884104050</v>
      </c>
      <c r="B2569" t="str">
        <f>"CR5341"</f>
        <v>CR5341</v>
      </c>
      <c r="C2569" t="s">
        <v>32221</v>
      </c>
      <c r="D2569" t="s">
        <v>27271</v>
      </c>
      <c r="E2569" t="str">
        <f t="shared" si="40"/>
        <v>001390</v>
      </c>
      <c r="F2569" t="s">
        <v>27246</v>
      </c>
      <c r="G2569" t="s">
        <v>27247</v>
      </c>
      <c r="H2569" t="s">
        <v>27248</v>
      </c>
      <c r="I2569" t="s">
        <v>32222</v>
      </c>
      <c r="J2569" t="s">
        <v>5151</v>
      </c>
      <c r="L2569" t="s">
        <v>27430</v>
      </c>
      <c r="M2569" t="s">
        <v>27251</v>
      </c>
      <c r="N2569" t="s">
        <v>27252</v>
      </c>
      <c r="P2569" t="s">
        <v>27341</v>
      </c>
      <c r="Q2569" s="1">
        <v>45250</v>
      </c>
      <c r="R2569" t="s">
        <v>27253</v>
      </c>
      <c r="S2569" t="s">
        <v>27254</v>
      </c>
      <c r="T2569" t="s">
        <v>27265</v>
      </c>
    </row>
    <row r="2570" spans="1:20" x14ac:dyDescent="0.3">
      <c r="A2570" t="str">
        <f>"0611884105050"</f>
        <v>0611884105050</v>
      </c>
      <c r="B2570" t="str">
        <f>"CR5353"</f>
        <v>CR5353</v>
      </c>
      <c r="C2570" t="s">
        <v>32223</v>
      </c>
      <c r="D2570" t="s">
        <v>27271</v>
      </c>
      <c r="E2570" t="str">
        <f t="shared" si="40"/>
        <v>001390</v>
      </c>
      <c r="F2570" t="s">
        <v>27246</v>
      </c>
      <c r="G2570" t="s">
        <v>27247</v>
      </c>
      <c r="H2570" t="s">
        <v>27248</v>
      </c>
      <c r="I2570" t="s">
        <v>32224</v>
      </c>
      <c r="J2570" t="s">
        <v>5153</v>
      </c>
      <c r="L2570" t="s">
        <v>27430</v>
      </c>
      <c r="M2570" t="s">
        <v>27251</v>
      </c>
      <c r="N2570" t="s">
        <v>27252</v>
      </c>
      <c r="P2570" t="s">
        <v>27341</v>
      </c>
      <c r="Q2570" s="1">
        <v>45250</v>
      </c>
      <c r="R2570" t="s">
        <v>27253</v>
      </c>
      <c r="S2570" t="s">
        <v>27254</v>
      </c>
      <c r="T2570" t="s">
        <v>27265</v>
      </c>
    </row>
    <row r="2571" spans="1:20" x14ac:dyDescent="0.3">
      <c r="A2571" t="str">
        <f>"0611833155100"</f>
        <v>0611833155100</v>
      </c>
      <c r="B2571" t="str">
        <f>"LK4170"</f>
        <v>LK4170</v>
      </c>
      <c r="C2571" t="s">
        <v>32225</v>
      </c>
      <c r="D2571" t="s">
        <v>27245</v>
      </c>
      <c r="E2571" t="str">
        <f t="shared" si="40"/>
        <v>001390</v>
      </c>
      <c r="F2571" t="s">
        <v>27246</v>
      </c>
      <c r="G2571" t="s">
        <v>27247</v>
      </c>
      <c r="H2571" t="s">
        <v>27248</v>
      </c>
      <c r="I2571" t="s">
        <v>32226</v>
      </c>
      <c r="J2571" t="s">
        <v>5159</v>
      </c>
      <c r="L2571" t="s">
        <v>27250</v>
      </c>
      <c r="M2571" t="s">
        <v>27251</v>
      </c>
      <c r="N2571" t="s">
        <v>27252</v>
      </c>
      <c r="Q2571" s="1">
        <v>44538</v>
      </c>
      <c r="R2571" t="s">
        <v>27253</v>
      </c>
      <c r="S2571" t="s">
        <v>27254</v>
      </c>
      <c r="T2571" t="s">
        <v>27255</v>
      </c>
    </row>
    <row r="2572" spans="1:20" x14ac:dyDescent="0.3">
      <c r="A2572" t="str">
        <f>"0611833156100"</f>
        <v>0611833156100</v>
      </c>
      <c r="B2572" t="str">
        <f>"LQ3696"</f>
        <v>LQ3696</v>
      </c>
      <c r="C2572" t="s">
        <v>32227</v>
      </c>
      <c r="D2572" t="s">
        <v>27245</v>
      </c>
      <c r="E2572" t="str">
        <f t="shared" si="40"/>
        <v>001390</v>
      </c>
      <c r="F2572" t="s">
        <v>27246</v>
      </c>
      <c r="G2572" t="s">
        <v>27247</v>
      </c>
      <c r="H2572" t="s">
        <v>27248</v>
      </c>
      <c r="I2572" t="s">
        <v>32228</v>
      </c>
      <c r="J2572" t="s">
        <v>5161</v>
      </c>
      <c r="L2572" t="s">
        <v>27250</v>
      </c>
      <c r="M2572" t="s">
        <v>27251</v>
      </c>
      <c r="N2572" t="s">
        <v>27252</v>
      </c>
      <c r="Q2572" s="1">
        <v>44538</v>
      </c>
      <c r="R2572" t="s">
        <v>27253</v>
      </c>
      <c r="S2572" t="s">
        <v>27254</v>
      </c>
      <c r="T2572" t="s">
        <v>27255</v>
      </c>
    </row>
    <row r="2573" spans="1:20" x14ac:dyDescent="0.3">
      <c r="A2573" t="str">
        <f>"0611861194050"</f>
        <v>0611861194050</v>
      </c>
      <c r="B2573" t="str">
        <f>"CR3956"</f>
        <v>CR3956</v>
      </c>
      <c r="C2573" t="s">
        <v>32227</v>
      </c>
      <c r="D2573" t="s">
        <v>27263</v>
      </c>
      <c r="E2573" t="str">
        <f t="shared" si="40"/>
        <v>001390</v>
      </c>
      <c r="F2573" t="s">
        <v>27246</v>
      </c>
      <c r="G2573" t="s">
        <v>27247</v>
      </c>
      <c r="H2573" t="s">
        <v>27248</v>
      </c>
      <c r="I2573" t="s">
        <v>32229</v>
      </c>
      <c r="J2573" t="s">
        <v>5163</v>
      </c>
      <c r="L2573" t="s">
        <v>27250</v>
      </c>
      <c r="M2573" t="s">
        <v>27251</v>
      </c>
      <c r="N2573" t="s">
        <v>27252</v>
      </c>
      <c r="Q2573" s="1">
        <v>44846</v>
      </c>
      <c r="R2573" t="s">
        <v>27253</v>
      </c>
      <c r="S2573" t="s">
        <v>27254</v>
      </c>
      <c r="T2573" t="s">
        <v>27265</v>
      </c>
    </row>
    <row r="2574" spans="1:20" x14ac:dyDescent="0.3">
      <c r="A2574" t="str">
        <f>"0611861195050"</f>
        <v>0611861195050</v>
      </c>
      <c r="B2574" t="str">
        <f>"CR3496"</f>
        <v>CR3496</v>
      </c>
      <c r="C2574" t="s">
        <v>32230</v>
      </c>
      <c r="D2574" t="s">
        <v>27263</v>
      </c>
      <c r="E2574" t="str">
        <f t="shared" si="40"/>
        <v>001390</v>
      </c>
      <c r="F2574" t="s">
        <v>27246</v>
      </c>
      <c r="G2574" t="s">
        <v>27247</v>
      </c>
      <c r="H2574" t="s">
        <v>27248</v>
      </c>
      <c r="I2574" t="s">
        <v>32231</v>
      </c>
      <c r="J2574" t="s">
        <v>5165</v>
      </c>
      <c r="L2574" t="s">
        <v>27250</v>
      </c>
      <c r="M2574" t="s">
        <v>27251</v>
      </c>
      <c r="N2574" t="s">
        <v>27252</v>
      </c>
      <c r="Q2574" s="1">
        <v>44846</v>
      </c>
      <c r="R2574" t="s">
        <v>27253</v>
      </c>
      <c r="S2574" t="s">
        <v>27254</v>
      </c>
      <c r="T2574" t="s">
        <v>27265</v>
      </c>
    </row>
    <row r="2575" spans="1:20" x14ac:dyDescent="0.3">
      <c r="A2575" t="str">
        <f>"0611833157100"</f>
        <v>0611833157100</v>
      </c>
      <c r="B2575" t="str">
        <f>"LQ3697"</f>
        <v>LQ3697</v>
      </c>
      <c r="C2575" t="s">
        <v>32232</v>
      </c>
      <c r="D2575" t="s">
        <v>27245</v>
      </c>
      <c r="E2575" t="str">
        <f t="shared" si="40"/>
        <v>001390</v>
      </c>
      <c r="F2575" t="s">
        <v>27246</v>
      </c>
      <c r="G2575" t="s">
        <v>27247</v>
      </c>
      <c r="H2575" t="s">
        <v>27248</v>
      </c>
      <c r="I2575" t="s">
        <v>32233</v>
      </c>
      <c r="J2575" t="s">
        <v>5167</v>
      </c>
      <c r="L2575" t="s">
        <v>27250</v>
      </c>
      <c r="M2575" t="s">
        <v>27251</v>
      </c>
      <c r="N2575" t="s">
        <v>27252</v>
      </c>
      <c r="Q2575" s="1">
        <v>44538</v>
      </c>
      <c r="R2575" t="s">
        <v>27253</v>
      </c>
      <c r="S2575" t="s">
        <v>27254</v>
      </c>
      <c r="T2575" t="s">
        <v>27255</v>
      </c>
    </row>
    <row r="2576" spans="1:20" x14ac:dyDescent="0.3">
      <c r="A2576" t="str">
        <f>"0611861196050"</f>
        <v>0611861196050</v>
      </c>
      <c r="B2576" t="str">
        <f>"CR3497"</f>
        <v>CR3497</v>
      </c>
      <c r="C2576" t="s">
        <v>32232</v>
      </c>
      <c r="D2576" t="s">
        <v>27263</v>
      </c>
      <c r="E2576" t="str">
        <f t="shared" si="40"/>
        <v>001390</v>
      </c>
      <c r="F2576" t="s">
        <v>27246</v>
      </c>
      <c r="G2576" t="s">
        <v>27247</v>
      </c>
      <c r="H2576" t="s">
        <v>27248</v>
      </c>
      <c r="I2576" t="s">
        <v>32234</v>
      </c>
      <c r="J2576" t="s">
        <v>5169</v>
      </c>
      <c r="L2576" t="s">
        <v>27250</v>
      </c>
      <c r="M2576" t="s">
        <v>27251</v>
      </c>
      <c r="N2576" t="s">
        <v>27252</v>
      </c>
      <c r="Q2576" s="1">
        <v>44846</v>
      </c>
      <c r="R2576" t="s">
        <v>27253</v>
      </c>
      <c r="S2576" t="s">
        <v>27254</v>
      </c>
      <c r="T2576" t="s">
        <v>27265</v>
      </c>
    </row>
    <row r="2577" spans="1:20" x14ac:dyDescent="0.3">
      <c r="A2577" t="str">
        <f>"0611833158100"</f>
        <v>0611833158100</v>
      </c>
      <c r="B2577" t="str">
        <f>"LB2053"</f>
        <v>LB2053</v>
      </c>
      <c r="C2577" t="s">
        <v>32235</v>
      </c>
      <c r="D2577" t="s">
        <v>27245</v>
      </c>
      <c r="E2577" t="str">
        <f t="shared" si="40"/>
        <v>001390</v>
      </c>
      <c r="F2577" t="s">
        <v>27246</v>
      </c>
      <c r="G2577" t="s">
        <v>27247</v>
      </c>
      <c r="H2577" t="s">
        <v>27248</v>
      </c>
      <c r="I2577" t="s">
        <v>32236</v>
      </c>
      <c r="J2577" t="s">
        <v>5171</v>
      </c>
      <c r="L2577" t="s">
        <v>27250</v>
      </c>
      <c r="M2577" t="s">
        <v>27251</v>
      </c>
      <c r="N2577" t="s">
        <v>27252</v>
      </c>
      <c r="Q2577" s="1">
        <v>44538</v>
      </c>
      <c r="R2577" t="s">
        <v>27253</v>
      </c>
      <c r="S2577" t="s">
        <v>27254</v>
      </c>
      <c r="T2577" t="s">
        <v>27255</v>
      </c>
    </row>
    <row r="2578" spans="1:20" x14ac:dyDescent="0.3">
      <c r="A2578" t="str">
        <f>"0611833159100"</f>
        <v>0611833159100</v>
      </c>
      <c r="B2578" t="str">
        <f>"LK3698"</f>
        <v>LK3698</v>
      </c>
      <c r="C2578" t="s">
        <v>32237</v>
      </c>
      <c r="D2578" t="s">
        <v>27245</v>
      </c>
      <c r="E2578" t="str">
        <f t="shared" si="40"/>
        <v>001390</v>
      </c>
      <c r="F2578" t="s">
        <v>27246</v>
      </c>
      <c r="G2578" t="s">
        <v>27247</v>
      </c>
      <c r="H2578" t="s">
        <v>27248</v>
      </c>
      <c r="I2578" t="s">
        <v>32238</v>
      </c>
      <c r="J2578" t="s">
        <v>5173</v>
      </c>
      <c r="L2578" t="s">
        <v>27250</v>
      </c>
      <c r="M2578" t="s">
        <v>27251</v>
      </c>
      <c r="N2578" t="s">
        <v>27252</v>
      </c>
      <c r="Q2578" s="1">
        <v>44538</v>
      </c>
      <c r="R2578" t="s">
        <v>27253</v>
      </c>
      <c r="S2578" t="s">
        <v>27254</v>
      </c>
      <c r="T2578" t="s">
        <v>27255</v>
      </c>
    </row>
    <row r="2579" spans="1:20" x14ac:dyDescent="0.3">
      <c r="A2579" t="str">
        <f>"0611861197050"</f>
        <v>0611861197050</v>
      </c>
      <c r="B2579" t="str">
        <f>"CR3498"</f>
        <v>CR3498</v>
      </c>
      <c r="C2579" t="s">
        <v>32239</v>
      </c>
      <c r="D2579" t="s">
        <v>27263</v>
      </c>
      <c r="E2579" t="str">
        <f t="shared" si="40"/>
        <v>001390</v>
      </c>
      <c r="F2579" t="s">
        <v>27246</v>
      </c>
      <c r="G2579" t="s">
        <v>27247</v>
      </c>
      <c r="H2579" t="s">
        <v>27248</v>
      </c>
      <c r="I2579" t="s">
        <v>32240</v>
      </c>
      <c r="J2579" t="s">
        <v>5175</v>
      </c>
      <c r="L2579" t="s">
        <v>27250</v>
      </c>
      <c r="M2579" t="s">
        <v>27251</v>
      </c>
      <c r="N2579" t="s">
        <v>27252</v>
      </c>
      <c r="Q2579" s="1">
        <v>44846</v>
      </c>
      <c r="R2579" t="s">
        <v>27253</v>
      </c>
      <c r="S2579" t="s">
        <v>27254</v>
      </c>
      <c r="T2579" t="s">
        <v>27265</v>
      </c>
    </row>
    <row r="2580" spans="1:20" x14ac:dyDescent="0.3">
      <c r="A2580" t="str">
        <f>"0611833160100"</f>
        <v>0611833160100</v>
      </c>
      <c r="B2580" t="str">
        <f>"LK4255"</f>
        <v>LK4255</v>
      </c>
      <c r="C2580" t="s">
        <v>32241</v>
      </c>
      <c r="D2580" t="s">
        <v>27245</v>
      </c>
      <c r="E2580" t="str">
        <f t="shared" si="40"/>
        <v>001390</v>
      </c>
      <c r="F2580" t="s">
        <v>27246</v>
      </c>
      <c r="G2580" t="s">
        <v>27247</v>
      </c>
      <c r="H2580" t="s">
        <v>27248</v>
      </c>
      <c r="I2580" t="s">
        <v>32242</v>
      </c>
      <c r="J2580" t="s">
        <v>5177</v>
      </c>
      <c r="L2580" t="s">
        <v>27250</v>
      </c>
      <c r="M2580" t="s">
        <v>27251</v>
      </c>
      <c r="N2580" t="s">
        <v>27252</v>
      </c>
      <c r="Q2580" s="1">
        <v>44538</v>
      </c>
      <c r="R2580" t="s">
        <v>27253</v>
      </c>
      <c r="S2580" t="s">
        <v>27254</v>
      </c>
      <c r="T2580" t="s">
        <v>27255</v>
      </c>
    </row>
    <row r="2581" spans="1:20" x14ac:dyDescent="0.3">
      <c r="A2581" t="str">
        <f>"0611833162100"</f>
        <v>0611833162100</v>
      </c>
      <c r="B2581" t="str">
        <f>"LQ3698"</f>
        <v>LQ3698</v>
      </c>
      <c r="C2581" t="s">
        <v>32243</v>
      </c>
      <c r="D2581" t="s">
        <v>27245</v>
      </c>
      <c r="E2581" t="str">
        <f t="shared" si="40"/>
        <v>001390</v>
      </c>
      <c r="F2581" t="s">
        <v>27246</v>
      </c>
      <c r="G2581" t="s">
        <v>27247</v>
      </c>
      <c r="H2581" t="s">
        <v>27248</v>
      </c>
      <c r="I2581" t="s">
        <v>32244</v>
      </c>
      <c r="J2581" t="s">
        <v>5179</v>
      </c>
      <c r="L2581" t="s">
        <v>27250</v>
      </c>
      <c r="M2581" t="s">
        <v>27251</v>
      </c>
      <c r="N2581" t="s">
        <v>27252</v>
      </c>
      <c r="Q2581" s="1">
        <v>44538</v>
      </c>
      <c r="R2581" t="s">
        <v>27253</v>
      </c>
      <c r="S2581" t="s">
        <v>27254</v>
      </c>
      <c r="T2581" t="s">
        <v>27255</v>
      </c>
    </row>
    <row r="2582" spans="1:20" x14ac:dyDescent="0.3">
      <c r="A2582" t="str">
        <f>"0611833163100"</f>
        <v>0611833163100</v>
      </c>
      <c r="B2582" t="str">
        <f>"LQ3699"</f>
        <v>LQ3699</v>
      </c>
      <c r="C2582" t="s">
        <v>32245</v>
      </c>
      <c r="D2582" t="s">
        <v>27245</v>
      </c>
      <c r="E2582" t="str">
        <f t="shared" si="40"/>
        <v>001390</v>
      </c>
      <c r="F2582" t="s">
        <v>27246</v>
      </c>
      <c r="G2582" t="s">
        <v>27247</v>
      </c>
      <c r="H2582" t="s">
        <v>27248</v>
      </c>
      <c r="I2582" t="s">
        <v>32246</v>
      </c>
      <c r="J2582" t="s">
        <v>5181</v>
      </c>
      <c r="L2582" t="s">
        <v>27250</v>
      </c>
      <c r="M2582" t="s">
        <v>27251</v>
      </c>
      <c r="N2582" t="s">
        <v>27252</v>
      </c>
      <c r="Q2582" s="1">
        <v>44538</v>
      </c>
      <c r="R2582" t="s">
        <v>27253</v>
      </c>
      <c r="S2582" t="s">
        <v>27254</v>
      </c>
      <c r="T2582" t="s">
        <v>27255</v>
      </c>
    </row>
    <row r="2583" spans="1:20" x14ac:dyDescent="0.3">
      <c r="A2583" t="str">
        <f>"0611833164100"</f>
        <v>0611833164100</v>
      </c>
      <c r="B2583" t="str">
        <f>"LQ3398"</f>
        <v>LQ3398</v>
      </c>
      <c r="C2583" t="s">
        <v>32247</v>
      </c>
      <c r="D2583" t="s">
        <v>27245</v>
      </c>
      <c r="E2583" t="str">
        <f t="shared" si="40"/>
        <v>001390</v>
      </c>
      <c r="F2583" t="s">
        <v>27246</v>
      </c>
      <c r="G2583" t="s">
        <v>27247</v>
      </c>
      <c r="H2583" t="s">
        <v>27248</v>
      </c>
      <c r="I2583" t="s">
        <v>32248</v>
      </c>
      <c r="J2583" t="s">
        <v>5183</v>
      </c>
      <c r="L2583" t="s">
        <v>27250</v>
      </c>
      <c r="M2583" t="s">
        <v>27251</v>
      </c>
      <c r="N2583" t="s">
        <v>27252</v>
      </c>
      <c r="Q2583" s="1">
        <v>44538</v>
      </c>
      <c r="R2583" t="s">
        <v>27253</v>
      </c>
      <c r="S2583" t="s">
        <v>27254</v>
      </c>
      <c r="T2583" t="s">
        <v>27255</v>
      </c>
    </row>
    <row r="2584" spans="1:20" x14ac:dyDescent="0.3">
      <c r="A2584" t="str">
        <f>"0611833165100"</f>
        <v>0611833165100</v>
      </c>
      <c r="B2584" t="str">
        <f>"LK0673"</f>
        <v>LK0673</v>
      </c>
      <c r="C2584" t="s">
        <v>32249</v>
      </c>
      <c r="D2584" t="s">
        <v>27245</v>
      </c>
      <c r="E2584" t="str">
        <f t="shared" si="40"/>
        <v>001390</v>
      </c>
      <c r="F2584" t="s">
        <v>27246</v>
      </c>
      <c r="G2584" t="s">
        <v>27247</v>
      </c>
      <c r="H2584" t="s">
        <v>27248</v>
      </c>
      <c r="I2584" t="s">
        <v>32250</v>
      </c>
      <c r="J2584" t="s">
        <v>5185</v>
      </c>
      <c r="L2584" t="s">
        <v>27250</v>
      </c>
      <c r="M2584" t="s">
        <v>27251</v>
      </c>
      <c r="N2584" t="s">
        <v>27252</v>
      </c>
      <c r="Q2584" s="1">
        <v>44538</v>
      </c>
      <c r="R2584" t="s">
        <v>27253</v>
      </c>
      <c r="S2584" t="s">
        <v>27254</v>
      </c>
      <c r="T2584" t="s">
        <v>27255</v>
      </c>
    </row>
    <row r="2585" spans="1:20" x14ac:dyDescent="0.3">
      <c r="A2585" t="str">
        <f>"0611861198050"</f>
        <v>0611861198050</v>
      </c>
      <c r="B2585" t="str">
        <f>"CR3499"</f>
        <v>CR3499</v>
      </c>
      <c r="C2585" t="s">
        <v>32249</v>
      </c>
      <c r="D2585" t="s">
        <v>27263</v>
      </c>
      <c r="E2585" t="str">
        <f t="shared" si="40"/>
        <v>001390</v>
      </c>
      <c r="F2585" t="s">
        <v>27246</v>
      </c>
      <c r="G2585" t="s">
        <v>27247</v>
      </c>
      <c r="H2585" t="s">
        <v>27248</v>
      </c>
      <c r="I2585" t="s">
        <v>32251</v>
      </c>
      <c r="J2585" t="s">
        <v>5187</v>
      </c>
      <c r="L2585" t="s">
        <v>27250</v>
      </c>
      <c r="M2585" t="s">
        <v>27251</v>
      </c>
      <c r="N2585" t="s">
        <v>27252</v>
      </c>
      <c r="Q2585" s="1">
        <v>44846</v>
      </c>
      <c r="R2585" t="s">
        <v>27253</v>
      </c>
      <c r="S2585" t="s">
        <v>27254</v>
      </c>
      <c r="T2585" t="s">
        <v>27265</v>
      </c>
    </row>
    <row r="2586" spans="1:20" x14ac:dyDescent="0.3">
      <c r="A2586" t="str">
        <f>"0611833141100"</f>
        <v>0611833141100</v>
      </c>
      <c r="B2586" t="str">
        <f>"LS0014"</f>
        <v>LS0014</v>
      </c>
      <c r="C2586" t="s">
        <v>32252</v>
      </c>
      <c r="D2586" t="s">
        <v>27245</v>
      </c>
      <c r="E2586" t="str">
        <f t="shared" si="40"/>
        <v>001390</v>
      </c>
      <c r="F2586" t="s">
        <v>27246</v>
      </c>
      <c r="G2586" t="s">
        <v>27247</v>
      </c>
      <c r="H2586" t="s">
        <v>27248</v>
      </c>
      <c r="I2586" t="s">
        <v>32253</v>
      </c>
      <c r="J2586" t="s">
        <v>5193</v>
      </c>
      <c r="L2586" t="s">
        <v>27250</v>
      </c>
      <c r="M2586" t="s">
        <v>27251</v>
      </c>
      <c r="N2586" t="s">
        <v>27252</v>
      </c>
      <c r="Q2586" s="1">
        <v>44538</v>
      </c>
      <c r="R2586" t="s">
        <v>27253</v>
      </c>
      <c r="S2586" t="s">
        <v>27254</v>
      </c>
      <c r="T2586" t="s">
        <v>27255</v>
      </c>
    </row>
    <row r="2587" spans="1:20" x14ac:dyDescent="0.3">
      <c r="A2587" t="str">
        <f>"0611833166100"</f>
        <v>0611833166100</v>
      </c>
      <c r="B2587" t="str">
        <f>"LK0680"</f>
        <v>LK0680</v>
      </c>
      <c r="C2587" t="s">
        <v>32254</v>
      </c>
      <c r="D2587" t="s">
        <v>27245</v>
      </c>
      <c r="E2587" t="str">
        <f t="shared" si="40"/>
        <v>001390</v>
      </c>
      <c r="F2587" t="s">
        <v>27246</v>
      </c>
      <c r="G2587" t="s">
        <v>27247</v>
      </c>
      <c r="H2587" t="s">
        <v>27248</v>
      </c>
      <c r="I2587" t="s">
        <v>32255</v>
      </c>
      <c r="J2587" t="s">
        <v>5195</v>
      </c>
      <c r="L2587" t="s">
        <v>27250</v>
      </c>
      <c r="M2587" t="s">
        <v>27251</v>
      </c>
      <c r="N2587" t="s">
        <v>27252</v>
      </c>
      <c r="Q2587" s="1">
        <v>44538</v>
      </c>
      <c r="R2587" t="s">
        <v>27253</v>
      </c>
      <c r="S2587" t="s">
        <v>27254</v>
      </c>
      <c r="T2587" t="s">
        <v>27255</v>
      </c>
    </row>
    <row r="2588" spans="1:20" x14ac:dyDescent="0.3">
      <c r="A2588" t="str">
        <f>"0611833167100"</f>
        <v>0611833167100</v>
      </c>
      <c r="B2588" t="str">
        <f>"LK0677"</f>
        <v>LK0677</v>
      </c>
      <c r="C2588" t="s">
        <v>32256</v>
      </c>
      <c r="D2588" t="s">
        <v>27245</v>
      </c>
      <c r="E2588" t="str">
        <f t="shared" si="40"/>
        <v>001390</v>
      </c>
      <c r="F2588" t="s">
        <v>27246</v>
      </c>
      <c r="G2588" t="s">
        <v>27247</v>
      </c>
      <c r="H2588" t="s">
        <v>27248</v>
      </c>
      <c r="I2588" t="s">
        <v>32257</v>
      </c>
      <c r="J2588" t="s">
        <v>5197</v>
      </c>
      <c r="L2588" t="s">
        <v>27250</v>
      </c>
      <c r="M2588" t="s">
        <v>27251</v>
      </c>
      <c r="N2588" t="s">
        <v>27252</v>
      </c>
      <c r="Q2588" s="1">
        <v>44538</v>
      </c>
      <c r="R2588" t="s">
        <v>27253</v>
      </c>
      <c r="S2588" t="s">
        <v>27254</v>
      </c>
      <c r="T2588" t="s">
        <v>27255</v>
      </c>
    </row>
    <row r="2589" spans="1:20" x14ac:dyDescent="0.3">
      <c r="A2589" t="str">
        <f>"0611833169100"</f>
        <v>0611833169100</v>
      </c>
      <c r="B2589" t="str">
        <f>"LK0679"</f>
        <v>LK0679</v>
      </c>
      <c r="C2589" t="s">
        <v>32258</v>
      </c>
      <c r="D2589" t="s">
        <v>27245</v>
      </c>
      <c r="E2589" t="str">
        <f t="shared" si="40"/>
        <v>001390</v>
      </c>
      <c r="F2589" t="s">
        <v>27246</v>
      </c>
      <c r="G2589" t="s">
        <v>27247</v>
      </c>
      <c r="H2589" t="s">
        <v>27248</v>
      </c>
      <c r="I2589" t="s">
        <v>32259</v>
      </c>
      <c r="J2589" t="s">
        <v>5199</v>
      </c>
      <c r="L2589" t="s">
        <v>27250</v>
      </c>
      <c r="M2589" t="s">
        <v>27251</v>
      </c>
      <c r="N2589" t="s">
        <v>27252</v>
      </c>
      <c r="Q2589" s="1">
        <v>44538</v>
      </c>
      <c r="R2589" t="s">
        <v>27253</v>
      </c>
      <c r="S2589" t="s">
        <v>27254</v>
      </c>
      <c r="T2589" t="s">
        <v>27255</v>
      </c>
    </row>
    <row r="2590" spans="1:20" x14ac:dyDescent="0.3">
      <c r="A2590" t="str">
        <f>"0611833170100"</f>
        <v>0611833170100</v>
      </c>
      <c r="B2590" t="str">
        <f>"LK3729"</f>
        <v>LK3729</v>
      </c>
      <c r="C2590" t="s">
        <v>32260</v>
      </c>
      <c r="D2590" t="s">
        <v>27245</v>
      </c>
      <c r="E2590" t="str">
        <f t="shared" si="40"/>
        <v>001390</v>
      </c>
      <c r="F2590" t="s">
        <v>27246</v>
      </c>
      <c r="G2590" t="s">
        <v>27247</v>
      </c>
      <c r="H2590" t="s">
        <v>27248</v>
      </c>
      <c r="I2590" t="s">
        <v>32261</v>
      </c>
      <c r="J2590" t="s">
        <v>5201</v>
      </c>
      <c r="L2590" t="s">
        <v>27250</v>
      </c>
      <c r="M2590" t="s">
        <v>27251</v>
      </c>
      <c r="N2590" t="s">
        <v>27252</v>
      </c>
      <c r="Q2590" s="1">
        <v>44538</v>
      </c>
      <c r="R2590" t="s">
        <v>27253</v>
      </c>
      <c r="S2590" t="s">
        <v>27254</v>
      </c>
      <c r="T2590" t="s">
        <v>27255</v>
      </c>
    </row>
    <row r="2591" spans="1:20" x14ac:dyDescent="0.3">
      <c r="A2591" t="str">
        <f>"0611833171100"</f>
        <v>0611833171100</v>
      </c>
      <c r="B2591" t="str">
        <f>"LQ3392"</f>
        <v>LQ3392</v>
      </c>
      <c r="C2591" t="s">
        <v>32262</v>
      </c>
      <c r="D2591" t="s">
        <v>27245</v>
      </c>
      <c r="E2591" t="str">
        <f t="shared" si="40"/>
        <v>001390</v>
      </c>
      <c r="F2591" t="s">
        <v>27246</v>
      </c>
      <c r="G2591" t="s">
        <v>27247</v>
      </c>
      <c r="H2591" t="s">
        <v>27248</v>
      </c>
      <c r="I2591" t="s">
        <v>32263</v>
      </c>
      <c r="J2591" t="s">
        <v>5203</v>
      </c>
      <c r="L2591" t="s">
        <v>27250</v>
      </c>
      <c r="M2591" t="s">
        <v>27251</v>
      </c>
      <c r="N2591" t="s">
        <v>27252</v>
      </c>
      <c r="Q2591" s="1">
        <v>44538</v>
      </c>
      <c r="R2591" t="s">
        <v>27253</v>
      </c>
      <c r="S2591" t="s">
        <v>27254</v>
      </c>
      <c r="T2591" t="s">
        <v>27255</v>
      </c>
    </row>
    <row r="2592" spans="1:20" x14ac:dyDescent="0.3">
      <c r="A2592" t="str">
        <f>"0611833172100"</f>
        <v>0611833172100</v>
      </c>
      <c r="B2592" t="str">
        <f>"LQ3700"</f>
        <v>LQ3700</v>
      </c>
      <c r="C2592" t="s">
        <v>32264</v>
      </c>
      <c r="D2592" t="s">
        <v>27245</v>
      </c>
      <c r="E2592" t="str">
        <f t="shared" si="40"/>
        <v>001390</v>
      </c>
      <c r="F2592" t="s">
        <v>27246</v>
      </c>
      <c r="G2592" t="s">
        <v>27247</v>
      </c>
      <c r="H2592" t="s">
        <v>27248</v>
      </c>
      <c r="I2592" t="s">
        <v>32265</v>
      </c>
      <c r="J2592" t="s">
        <v>5205</v>
      </c>
      <c r="L2592" t="s">
        <v>27250</v>
      </c>
      <c r="M2592" t="s">
        <v>27251</v>
      </c>
      <c r="N2592" t="s">
        <v>27252</v>
      </c>
      <c r="Q2592" s="1">
        <v>44538</v>
      </c>
      <c r="R2592" t="s">
        <v>27253</v>
      </c>
      <c r="S2592" t="s">
        <v>27254</v>
      </c>
      <c r="T2592" t="s">
        <v>27255</v>
      </c>
    </row>
    <row r="2593" spans="1:20" x14ac:dyDescent="0.3">
      <c r="A2593" t="str">
        <f>"0611833174100"</f>
        <v>0611833174100</v>
      </c>
      <c r="B2593" t="str">
        <f>"LK4256"</f>
        <v>LK4256</v>
      </c>
      <c r="C2593" t="s">
        <v>32266</v>
      </c>
      <c r="D2593" t="s">
        <v>27245</v>
      </c>
      <c r="E2593" t="str">
        <f t="shared" si="40"/>
        <v>001390</v>
      </c>
      <c r="F2593" t="s">
        <v>27246</v>
      </c>
      <c r="G2593" t="s">
        <v>27247</v>
      </c>
      <c r="H2593" t="s">
        <v>27248</v>
      </c>
      <c r="I2593" t="s">
        <v>32267</v>
      </c>
      <c r="J2593" t="s">
        <v>5207</v>
      </c>
      <c r="L2593" t="s">
        <v>27250</v>
      </c>
      <c r="M2593" t="s">
        <v>27251</v>
      </c>
      <c r="N2593" t="s">
        <v>27252</v>
      </c>
      <c r="Q2593" s="1">
        <v>44538</v>
      </c>
      <c r="R2593" t="s">
        <v>27253</v>
      </c>
      <c r="S2593" t="s">
        <v>27254</v>
      </c>
      <c r="T2593" t="s">
        <v>27255</v>
      </c>
    </row>
    <row r="2594" spans="1:20" x14ac:dyDescent="0.3">
      <c r="A2594" t="str">
        <f>"0611861199050"</f>
        <v>0611861199050</v>
      </c>
      <c r="B2594" t="str">
        <f>"CR3669"</f>
        <v>CR3669</v>
      </c>
      <c r="C2594" t="s">
        <v>32268</v>
      </c>
      <c r="D2594" t="s">
        <v>27271</v>
      </c>
      <c r="E2594" t="str">
        <f t="shared" si="40"/>
        <v>001390</v>
      </c>
      <c r="F2594" t="s">
        <v>27246</v>
      </c>
      <c r="G2594" t="s">
        <v>27247</v>
      </c>
      <c r="H2594" t="s">
        <v>27248</v>
      </c>
      <c r="I2594" t="s">
        <v>32269</v>
      </c>
      <c r="J2594" t="s">
        <v>5209</v>
      </c>
      <c r="L2594" t="s">
        <v>27250</v>
      </c>
      <c r="M2594" t="s">
        <v>27251</v>
      </c>
      <c r="N2594" t="s">
        <v>27252</v>
      </c>
      <c r="P2594" t="s">
        <v>27341</v>
      </c>
      <c r="Q2594" s="1">
        <v>44846</v>
      </c>
      <c r="R2594" t="s">
        <v>27253</v>
      </c>
      <c r="S2594" t="s">
        <v>27254</v>
      </c>
      <c r="T2594" t="s">
        <v>27265</v>
      </c>
    </row>
    <row r="2595" spans="1:20" x14ac:dyDescent="0.3">
      <c r="A2595" t="str">
        <f>"0611861200050"</f>
        <v>0611861200050</v>
      </c>
      <c r="B2595" t="str">
        <f>"CR3670"</f>
        <v>CR3670</v>
      </c>
      <c r="C2595" t="s">
        <v>32270</v>
      </c>
      <c r="D2595" t="s">
        <v>27271</v>
      </c>
      <c r="E2595" t="str">
        <f t="shared" si="40"/>
        <v>001390</v>
      </c>
      <c r="F2595" t="s">
        <v>27246</v>
      </c>
      <c r="G2595" t="s">
        <v>27247</v>
      </c>
      <c r="H2595" t="s">
        <v>27248</v>
      </c>
      <c r="I2595" t="s">
        <v>32271</v>
      </c>
      <c r="J2595" t="s">
        <v>5211</v>
      </c>
      <c r="L2595" t="s">
        <v>27250</v>
      </c>
      <c r="M2595" t="s">
        <v>27251</v>
      </c>
      <c r="N2595" t="s">
        <v>27252</v>
      </c>
      <c r="P2595" t="s">
        <v>27341</v>
      </c>
      <c r="Q2595" s="1">
        <v>44846</v>
      </c>
      <c r="R2595" t="s">
        <v>27253</v>
      </c>
      <c r="S2595" t="s">
        <v>27254</v>
      </c>
      <c r="T2595" t="s">
        <v>27265</v>
      </c>
    </row>
    <row r="2596" spans="1:20" x14ac:dyDescent="0.3">
      <c r="A2596" t="str">
        <f>"0611861201050"</f>
        <v>0611861201050</v>
      </c>
      <c r="B2596" t="str">
        <f>"CR3671"</f>
        <v>CR3671</v>
      </c>
      <c r="C2596" t="s">
        <v>32272</v>
      </c>
      <c r="D2596" t="s">
        <v>27271</v>
      </c>
      <c r="E2596" t="str">
        <f t="shared" si="40"/>
        <v>001390</v>
      </c>
      <c r="F2596" t="s">
        <v>27246</v>
      </c>
      <c r="G2596" t="s">
        <v>27247</v>
      </c>
      <c r="H2596" t="s">
        <v>27248</v>
      </c>
      <c r="I2596" t="s">
        <v>32273</v>
      </c>
      <c r="J2596" t="s">
        <v>5213</v>
      </c>
      <c r="L2596" t="s">
        <v>27250</v>
      </c>
      <c r="M2596" t="s">
        <v>27251</v>
      </c>
      <c r="N2596" t="s">
        <v>27252</v>
      </c>
      <c r="P2596" t="s">
        <v>27341</v>
      </c>
      <c r="Q2596" s="1">
        <v>44846</v>
      </c>
      <c r="R2596" t="s">
        <v>27253</v>
      </c>
      <c r="S2596" t="s">
        <v>27254</v>
      </c>
      <c r="T2596" t="s">
        <v>27265</v>
      </c>
    </row>
    <row r="2597" spans="1:20" x14ac:dyDescent="0.3">
      <c r="A2597" t="str">
        <f>"0611861202050"</f>
        <v>0611861202050</v>
      </c>
      <c r="B2597" t="str">
        <f>"CR3672"</f>
        <v>CR3672</v>
      </c>
      <c r="C2597" t="s">
        <v>32274</v>
      </c>
      <c r="D2597" t="s">
        <v>27271</v>
      </c>
      <c r="E2597" t="str">
        <f t="shared" si="40"/>
        <v>001390</v>
      </c>
      <c r="F2597" t="s">
        <v>27246</v>
      </c>
      <c r="G2597" t="s">
        <v>27247</v>
      </c>
      <c r="H2597" t="s">
        <v>27248</v>
      </c>
      <c r="I2597" t="s">
        <v>32275</v>
      </c>
      <c r="J2597" t="s">
        <v>5215</v>
      </c>
      <c r="L2597" t="s">
        <v>27250</v>
      </c>
      <c r="M2597" t="s">
        <v>27251</v>
      </c>
      <c r="N2597" t="s">
        <v>27252</v>
      </c>
      <c r="P2597" t="s">
        <v>27341</v>
      </c>
      <c r="Q2597" s="1">
        <v>44846</v>
      </c>
      <c r="R2597" t="s">
        <v>27253</v>
      </c>
      <c r="S2597" t="s">
        <v>27254</v>
      </c>
      <c r="T2597" t="s">
        <v>27265</v>
      </c>
    </row>
    <row r="2598" spans="1:20" x14ac:dyDescent="0.3">
      <c r="A2598" t="str">
        <f>"0611861203050"</f>
        <v>0611861203050</v>
      </c>
      <c r="B2598" t="str">
        <f>"CR3500"</f>
        <v>CR3500</v>
      </c>
      <c r="C2598" t="s">
        <v>32276</v>
      </c>
      <c r="D2598" t="s">
        <v>27263</v>
      </c>
      <c r="E2598" t="str">
        <f t="shared" si="40"/>
        <v>001390</v>
      </c>
      <c r="F2598" t="s">
        <v>27246</v>
      </c>
      <c r="G2598" t="s">
        <v>27247</v>
      </c>
      <c r="H2598" t="s">
        <v>27248</v>
      </c>
      <c r="I2598" t="s">
        <v>32277</v>
      </c>
      <c r="J2598" t="s">
        <v>5217</v>
      </c>
      <c r="L2598" t="s">
        <v>27250</v>
      </c>
      <c r="M2598" t="s">
        <v>27251</v>
      </c>
      <c r="N2598" t="s">
        <v>27252</v>
      </c>
      <c r="Q2598" s="1">
        <v>44846</v>
      </c>
      <c r="R2598" t="s">
        <v>27253</v>
      </c>
      <c r="S2598" t="s">
        <v>27254</v>
      </c>
      <c r="T2598" t="s">
        <v>27265</v>
      </c>
    </row>
    <row r="2599" spans="1:20" x14ac:dyDescent="0.3">
      <c r="A2599" t="str">
        <f>"0611833175100"</f>
        <v>0611833175100</v>
      </c>
      <c r="B2599" t="str">
        <f>"LQ3701"</f>
        <v>LQ3701</v>
      </c>
      <c r="C2599" t="s">
        <v>32278</v>
      </c>
      <c r="D2599" t="s">
        <v>27245</v>
      </c>
      <c r="E2599" t="str">
        <f t="shared" si="40"/>
        <v>001390</v>
      </c>
      <c r="F2599" t="s">
        <v>27246</v>
      </c>
      <c r="G2599" t="s">
        <v>27247</v>
      </c>
      <c r="H2599" t="s">
        <v>27248</v>
      </c>
      <c r="I2599" t="s">
        <v>32279</v>
      </c>
      <c r="J2599" t="s">
        <v>5219</v>
      </c>
      <c r="L2599" t="s">
        <v>27250</v>
      </c>
      <c r="M2599" t="s">
        <v>27251</v>
      </c>
      <c r="N2599" t="s">
        <v>27252</v>
      </c>
      <c r="Q2599" s="1">
        <v>44538</v>
      </c>
      <c r="R2599" t="s">
        <v>27253</v>
      </c>
      <c r="S2599" t="s">
        <v>27254</v>
      </c>
      <c r="T2599" t="s">
        <v>27255</v>
      </c>
    </row>
    <row r="2600" spans="1:20" x14ac:dyDescent="0.3">
      <c r="A2600" t="str">
        <f>"0611833177100"</f>
        <v>0611833177100</v>
      </c>
      <c r="B2600" t="str">
        <f>"LQ3703"</f>
        <v>LQ3703</v>
      </c>
      <c r="C2600" t="s">
        <v>32280</v>
      </c>
      <c r="D2600" t="s">
        <v>27245</v>
      </c>
      <c r="E2600" t="str">
        <f t="shared" si="40"/>
        <v>001390</v>
      </c>
      <c r="F2600" t="s">
        <v>27246</v>
      </c>
      <c r="G2600" t="s">
        <v>27247</v>
      </c>
      <c r="H2600" t="s">
        <v>27248</v>
      </c>
      <c r="I2600" t="s">
        <v>32281</v>
      </c>
      <c r="J2600" t="s">
        <v>5221</v>
      </c>
      <c r="L2600" t="s">
        <v>27250</v>
      </c>
      <c r="M2600" t="s">
        <v>27251</v>
      </c>
      <c r="N2600" t="s">
        <v>27252</v>
      </c>
      <c r="Q2600" s="1">
        <v>44538</v>
      </c>
      <c r="R2600" t="s">
        <v>27253</v>
      </c>
      <c r="S2600" t="s">
        <v>27254</v>
      </c>
      <c r="T2600" t="s">
        <v>27255</v>
      </c>
    </row>
    <row r="2601" spans="1:20" x14ac:dyDescent="0.3">
      <c r="A2601" t="str">
        <f>"0611861204050"</f>
        <v>0611861204050</v>
      </c>
      <c r="B2601" t="str">
        <f>"CR3501"</f>
        <v>CR3501</v>
      </c>
      <c r="C2601" t="s">
        <v>32280</v>
      </c>
      <c r="D2601" t="s">
        <v>27263</v>
      </c>
      <c r="E2601" t="str">
        <f t="shared" si="40"/>
        <v>001390</v>
      </c>
      <c r="F2601" t="s">
        <v>27246</v>
      </c>
      <c r="G2601" t="s">
        <v>27247</v>
      </c>
      <c r="H2601" t="s">
        <v>27248</v>
      </c>
      <c r="I2601" t="s">
        <v>32282</v>
      </c>
      <c r="J2601" t="s">
        <v>5223</v>
      </c>
      <c r="L2601" t="s">
        <v>27250</v>
      </c>
      <c r="M2601" t="s">
        <v>27251</v>
      </c>
      <c r="N2601" t="s">
        <v>27252</v>
      </c>
      <c r="Q2601" s="1">
        <v>44846</v>
      </c>
      <c r="R2601" t="s">
        <v>27253</v>
      </c>
      <c r="S2601" t="s">
        <v>27254</v>
      </c>
      <c r="T2601" t="s">
        <v>27265</v>
      </c>
    </row>
    <row r="2602" spans="1:20" x14ac:dyDescent="0.3">
      <c r="A2602" t="str">
        <f>"0611833178100"</f>
        <v>0611833178100</v>
      </c>
      <c r="B2602" t="str">
        <f>"LQ3704"</f>
        <v>LQ3704</v>
      </c>
      <c r="C2602" t="s">
        <v>32283</v>
      </c>
      <c r="D2602" t="s">
        <v>27245</v>
      </c>
      <c r="E2602" t="str">
        <f t="shared" si="40"/>
        <v>001390</v>
      </c>
      <c r="F2602" t="s">
        <v>27246</v>
      </c>
      <c r="G2602" t="s">
        <v>27247</v>
      </c>
      <c r="H2602" t="s">
        <v>27248</v>
      </c>
      <c r="I2602" t="s">
        <v>32284</v>
      </c>
      <c r="J2602" t="s">
        <v>5225</v>
      </c>
      <c r="L2602" t="s">
        <v>27250</v>
      </c>
      <c r="M2602" t="s">
        <v>27251</v>
      </c>
      <c r="N2602" t="s">
        <v>27252</v>
      </c>
      <c r="Q2602" s="1">
        <v>44538</v>
      </c>
      <c r="R2602" t="s">
        <v>27253</v>
      </c>
      <c r="S2602" t="s">
        <v>27254</v>
      </c>
      <c r="T2602" t="s">
        <v>27255</v>
      </c>
    </row>
    <row r="2603" spans="1:20" x14ac:dyDescent="0.3">
      <c r="A2603" t="str">
        <f>"0611861205050"</f>
        <v>0611861205050</v>
      </c>
      <c r="B2603" t="str">
        <f>"CR3443"</f>
        <v>CR3443</v>
      </c>
      <c r="C2603" t="s">
        <v>32283</v>
      </c>
      <c r="D2603" t="s">
        <v>27263</v>
      </c>
      <c r="E2603" t="str">
        <f t="shared" si="40"/>
        <v>001390</v>
      </c>
      <c r="F2603" t="s">
        <v>27246</v>
      </c>
      <c r="G2603" t="s">
        <v>27247</v>
      </c>
      <c r="H2603" t="s">
        <v>27248</v>
      </c>
      <c r="I2603" t="s">
        <v>32285</v>
      </c>
      <c r="J2603" t="s">
        <v>5227</v>
      </c>
      <c r="L2603" t="s">
        <v>27250</v>
      </c>
      <c r="M2603" t="s">
        <v>27251</v>
      </c>
      <c r="N2603" t="s">
        <v>27252</v>
      </c>
      <c r="Q2603" s="1">
        <v>44846</v>
      </c>
      <c r="R2603" t="s">
        <v>27253</v>
      </c>
      <c r="S2603" t="s">
        <v>27254</v>
      </c>
      <c r="T2603" t="s">
        <v>27265</v>
      </c>
    </row>
    <row r="2604" spans="1:20" x14ac:dyDescent="0.3">
      <c r="A2604" t="str">
        <f>"0611861206050"</f>
        <v>0611861206050</v>
      </c>
      <c r="B2604" t="str">
        <f>"CR3444"</f>
        <v>CR3444</v>
      </c>
      <c r="C2604" t="s">
        <v>32286</v>
      </c>
      <c r="D2604" t="s">
        <v>27263</v>
      </c>
      <c r="E2604" t="str">
        <f t="shared" si="40"/>
        <v>001390</v>
      </c>
      <c r="F2604" t="s">
        <v>27246</v>
      </c>
      <c r="G2604" t="s">
        <v>27247</v>
      </c>
      <c r="H2604" t="s">
        <v>27248</v>
      </c>
      <c r="I2604" t="s">
        <v>32287</v>
      </c>
      <c r="J2604" t="s">
        <v>5229</v>
      </c>
      <c r="L2604" t="s">
        <v>27250</v>
      </c>
      <c r="M2604" t="s">
        <v>27251</v>
      </c>
      <c r="N2604" t="s">
        <v>27252</v>
      </c>
      <c r="Q2604" s="1">
        <v>44846</v>
      </c>
      <c r="R2604" t="s">
        <v>27253</v>
      </c>
      <c r="S2604" t="s">
        <v>27254</v>
      </c>
      <c r="T2604" t="s">
        <v>27265</v>
      </c>
    </row>
    <row r="2605" spans="1:20" x14ac:dyDescent="0.3">
      <c r="A2605" t="str">
        <f>"0611833180100"</f>
        <v>0611833180100</v>
      </c>
      <c r="B2605" t="str">
        <f>"LB2150"</f>
        <v>LB2150</v>
      </c>
      <c r="C2605" t="s">
        <v>32288</v>
      </c>
      <c r="D2605" t="s">
        <v>27245</v>
      </c>
      <c r="E2605" t="str">
        <f t="shared" si="40"/>
        <v>001390</v>
      </c>
      <c r="F2605" t="s">
        <v>27246</v>
      </c>
      <c r="G2605" t="s">
        <v>27247</v>
      </c>
      <c r="H2605" t="s">
        <v>27248</v>
      </c>
      <c r="I2605" t="s">
        <v>32289</v>
      </c>
      <c r="J2605" t="s">
        <v>5231</v>
      </c>
      <c r="L2605" t="s">
        <v>27250</v>
      </c>
      <c r="M2605" t="s">
        <v>27251</v>
      </c>
      <c r="N2605" t="s">
        <v>27252</v>
      </c>
      <c r="Q2605" s="1">
        <v>44538</v>
      </c>
      <c r="R2605" t="s">
        <v>27253</v>
      </c>
      <c r="S2605" t="s">
        <v>27254</v>
      </c>
      <c r="T2605" t="s">
        <v>27255</v>
      </c>
    </row>
    <row r="2606" spans="1:20" x14ac:dyDescent="0.3">
      <c r="A2606" t="str">
        <f>"0611833182100"</f>
        <v>0611833182100</v>
      </c>
      <c r="B2606" t="str">
        <f>"LK4261"</f>
        <v>LK4261</v>
      </c>
      <c r="C2606" t="s">
        <v>32290</v>
      </c>
      <c r="D2606" t="s">
        <v>27245</v>
      </c>
      <c r="E2606" t="str">
        <f t="shared" si="40"/>
        <v>001390</v>
      </c>
      <c r="F2606" t="s">
        <v>27246</v>
      </c>
      <c r="G2606" t="s">
        <v>27247</v>
      </c>
      <c r="H2606" t="s">
        <v>27248</v>
      </c>
      <c r="I2606" t="s">
        <v>32291</v>
      </c>
      <c r="J2606" t="s">
        <v>5235</v>
      </c>
      <c r="L2606" t="s">
        <v>27250</v>
      </c>
      <c r="M2606" t="s">
        <v>27251</v>
      </c>
      <c r="N2606" t="s">
        <v>27252</v>
      </c>
      <c r="Q2606" s="1">
        <v>44538</v>
      </c>
      <c r="R2606" t="s">
        <v>27253</v>
      </c>
      <c r="S2606" t="s">
        <v>27254</v>
      </c>
      <c r="T2606" t="s">
        <v>27255</v>
      </c>
    </row>
    <row r="2607" spans="1:20" x14ac:dyDescent="0.3">
      <c r="A2607" t="str">
        <f>"0611861207050"</f>
        <v>0611861207050</v>
      </c>
      <c r="B2607" t="str">
        <f>"CR2119"</f>
        <v>CR2119</v>
      </c>
      <c r="C2607" t="s">
        <v>32290</v>
      </c>
      <c r="D2607" t="s">
        <v>27263</v>
      </c>
      <c r="E2607" t="str">
        <f t="shared" si="40"/>
        <v>001390</v>
      </c>
      <c r="F2607" t="s">
        <v>27246</v>
      </c>
      <c r="G2607" t="s">
        <v>27247</v>
      </c>
      <c r="H2607" t="s">
        <v>27248</v>
      </c>
      <c r="I2607" t="s">
        <v>32292</v>
      </c>
      <c r="J2607" t="s">
        <v>5233</v>
      </c>
      <c r="L2607" t="s">
        <v>27250</v>
      </c>
      <c r="M2607" t="s">
        <v>27251</v>
      </c>
      <c r="N2607" t="s">
        <v>27252</v>
      </c>
      <c r="Q2607" s="1">
        <v>44846</v>
      </c>
      <c r="R2607" t="s">
        <v>27253</v>
      </c>
      <c r="S2607" t="s">
        <v>27254</v>
      </c>
      <c r="T2607" t="s">
        <v>27265</v>
      </c>
    </row>
    <row r="2608" spans="1:20" x14ac:dyDescent="0.3">
      <c r="A2608" t="str">
        <f>"0611833183100"</f>
        <v>0611833183100</v>
      </c>
      <c r="B2608" t="str">
        <f>"LK5739"</f>
        <v>LK5739</v>
      </c>
      <c r="C2608" t="s">
        <v>32293</v>
      </c>
      <c r="D2608" t="s">
        <v>27245</v>
      </c>
      <c r="E2608" t="str">
        <f t="shared" si="40"/>
        <v>001390</v>
      </c>
      <c r="F2608" t="s">
        <v>27246</v>
      </c>
      <c r="G2608" t="s">
        <v>27247</v>
      </c>
      <c r="H2608" t="s">
        <v>27248</v>
      </c>
      <c r="I2608" t="s">
        <v>32294</v>
      </c>
      <c r="J2608" t="s">
        <v>5237</v>
      </c>
      <c r="L2608" t="s">
        <v>27250</v>
      </c>
      <c r="M2608" t="s">
        <v>27251</v>
      </c>
      <c r="N2608" t="s">
        <v>27252</v>
      </c>
      <c r="Q2608" s="1">
        <v>44538</v>
      </c>
      <c r="R2608" t="s">
        <v>27253</v>
      </c>
      <c r="S2608" t="s">
        <v>27254</v>
      </c>
      <c r="T2608" t="s">
        <v>27255</v>
      </c>
    </row>
    <row r="2609" spans="1:20" x14ac:dyDescent="0.3">
      <c r="A2609" t="str">
        <f>"0611833184100"</f>
        <v>0611833184100</v>
      </c>
      <c r="B2609" t="str">
        <f>"LK3802"</f>
        <v>LK3802</v>
      </c>
      <c r="C2609" t="s">
        <v>32295</v>
      </c>
      <c r="D2609" t="s">
        <v>27245</v>
      </c>
      <c r="E2609" t="str">
        <f t="shared" si="40"/>
        <v>001390</v>
      </c>
      <c r="F2609" t="s">
        <v>27246</v>
      </c>
      <c r="G2609" t="s">
        <v>27247</v>
      </c>
      <c r="H2609" t="s">
        <v>27248</v>
      </c>
      <c r="I2609" t="s">
        <v>32296</v>
      </c>
      <c r="J2609" t="s">
        <v>5239</v>
      </c>
      <c r="L2609" t="s">
        <v>27250</v>
      </c>
      <c r="M2609" t="s">
        <v>27251</v>
      </c>
      <c r="N2609" t="s">
        <v>27252</v>
      </c>
      <c r="Q2609" s="1">
        <v>44538</v>
      </c>
      <c r="R2609" t="s">
        <v>27253</v>
      </c>
      <c r="S2609" t="s">
        <v>27254</v>
      </c>
      <c r="T2609" t="s">
        <v>27255</v>
      </c>
    </row>
    <row r="2610" spans="1:20" x14ac:dyDescent="0.3">
      <c r="A2610" t="str">
        <f>"0611833186100"</f>
        <v>0611833186100</v>
      </c>
      <c r="B2610" t="str">
        <f>"LK5451"</f>
        <v>LK5451</v>
      </c>
      <c r="C2610" t="s">
        <v>32297</v>
      </c>
      <c r="D2610" t="s">
        <v>27245</v>
      </c>
      <c r="E2610" t="str">
        <f t="shared" si="40"/>
        <v>001390</v>
      </c>
      <c r="F2610" t="s">
        <v>27246</v>
      </c>
      <c r="G2610" t="s">
        <v>27247</v>
      </c>
      <c r="H2610" t="s">
        <v>27248</v>
      </c>
      <c r="I2610" t="s">
        <v>32298</v>
      </c>
      <c r="J2610" t="s">
        <v>5241</v>
      </c>
      <c r="L2610" t="s">
        <v>27250</v>
      </c>
      <c r="M2610" t="s">
        <v>27251</v>
      </c>
      <c r="N2610" t="s">
        <v>27252</v>
      </c>
      <c r="Q2610" s="1">
        <v>44538</v>
      </c>
      <c r="R2610" t="s">
        <v>27253</v>
      </c>
      <c r="S2610" t="s">
        <v>27254</v>
      </c>
      <c r="T2610" t="s">
        <v>27255</v>
      </c>
    </row>
    <row r="2611" spans="1:20" x14ac:dyDescent="0.3">
      <c r="A2611" t="str">
        <f>"0611833187100"</f>
        <v>0611833187100</v>
      </c>
      <c r="B2611" t="str">
        <f>"LK5452"</f>
        <v>LK5452</v>
      </c>
      <c r="C2611" t="s">
        <v>32299</v>
      </c>
      <c r="D2611" t="s">
        <v>27245</v>
      </c>
      <c r="E2611" t="str">
        <f t="shared" si="40"/>
        <v>001390</v>
      </c>
      <c r="F2611" t="s">
        <v>27246</v>
      </c>
      <c r="G2611" t="s">
        <v>27247</v>
      </c>
      <c r="H2611" t="s">
        <v>27248</v>
      </c>
      <c r="I2611" t="s">
        <v>32300</v>
      </c>
      <c r="J2611" t="s">
        <v>5243</v>
      </c>
      <c r="L2611" t="s">
        <v>27250</v>
      </c>
      <c r="M2611" t="s">
        <v>27251</v>
      </c>
      <c r="N2611" t="s">
        <v>27252</v>
      </c>
      <c r="Q2611" s="1">
        <v>44538</v>
      </c>
      <c r="R2611" t="s">
        <v>27253</v>
      </c>
      <c r="S2611" t="s">
        <v>27254</v>
      </c>
      <c r="T2611" t="s">
        <v>27255</v>
      </c>
    </row>
    <row r="2612" spans="1:20" x14ac:dyDescent="0.3">
      <c r="A2612" t="str">
        <f>"0611833188100"</f>
        <v>0611833188100</v>
      </c>
      <c r="B2612" t="str">
        <f>"LK5453"</f>
        <v>LK5453</v>
      </c>
      <c r="C2612" t="s">
        <v>32301</v>
      </c>
      <c r="D2612" t="s">
        <v>27245</v>
      </c>
      <c r="E2612" t="str">
        <f t="shared" si="40"/>
        <v>001390</v>
      </c>
      <c r="F2612" t="s">
        <v>27246</v>
      </c>
      <c r="G2612" t="s">
        <v>27247</v>
      </c>
      <c r="H2612" t="s">
        <v>27248</v>
      </c>
      <c r="I2612" t="s">
        <v>32302</v>
      </c>
      <c r="J2612" t="s">
        <v>5245</v>
      </c>
      <c r="L2612" t="s">
        <v>27250</v>
      </c>
      <c r="M2612" t="s">
        <v>27251</v>
      </c>
      <c r="N2612" t="s">
        <v>27252</v>
      </c>
      <c r="Q2612" s="1">
        <v>44538</v>
      </c>
      <c r="R2612" t="s">
        <v>27253</v>
      </c>
      <c r="S2612" t="s">
        <v>27254</v>
      </c>
      <c r="T2612" t="s">
        <v>27255</v>
      </c>
    </row>
    <row r="2613" spans="1:20" x14ac:dyDescent="0.3">
      <c r="A2613" t="str">
        <f>"0611833189100"</f>
        <v>0611833189100</v>
      </c>
      <c r="B2613" t="str">
        <f>"LK5454"</f>
        <v>LK5454</v>
      </c>
      <c r="C2613" t="s">
        <v>32303</v>
      </c>
      <c r="D2613" t="s">
        <v>27245</v>
      </c>
      <c r="E2613" t="str">
        <f t="shared" si="40"/>
        <v>001390</v>
      </c>
      <c r="F2613" t="s">
        <v>27246</v>
      </c>
      <c r="G2613" t="s">
        <v>27247</v>
      </c>
      <c r="H2613" t="s">
        <v>27248</v>
      </c>
      <c r="I2613" t="s">
        <v>32304</v>
      </c>
      <c r="J2613" t="s">
        <v>5247</v>
      </c>
      <c r="L2613" t="s">
        <v>27250</v>
      </c>
      <c r="M2613" t="s">
        <v>27251</v>
      </c>
      <c r="N2613" t="s">
        <v>27252</v>
      </c>
      <c r="Q2613" s="1">
        <v>44538</v>
      </c>
      <c r="R2613" t="s">
        <v>27253</v>
      </c>
      <c r="S2613" t="s">
        <v>27254</v>
      </c>
      <c r="T2613" t="s">
        <v>27255</v>
      </c>
    </row>
    <row r="2614" spans="1:20" x14ac:dyDescent="0.3">
      <c r="A2614" t="str">
        <f>"0611833190100"</f>
        <v>0611833190100</v>
      </c>
      <c r="B2614" t="str">
        <f>"LK5556"</f>
        <v>LK5556</v>
      </c>
      <c r="C2614" t="s">
        <v>32305</v>
      </c>
      <c r="D2614" t="s">
        <v>27245</v>
      </c>
      <c r="E2614" t="str">
        <f t="shared" si="40"/>
        <v>001390</v>
      </c>
      <c r="F2614" t="s">
        <v>27246</v>
      </c>
      <c r="G2614" t="s">
        <v>27247</v>
      </c>
      <c r="H2614" t="s">
        <v>27248</v>
      </c>
      <c r="I2614" t="s">
        <v>32306</v>
      </c>
      <c r="J2614" t="s">
        <v>5249</v>
      </c>
      <c r="L2614" t="s">
        <v>27250</v>
      </c>
      <c r="M2614" t="s">
        <v>27251</v>
      </c>
      <c r="N2614" t="s">
        <v>27252</v>
      </c>
      <c r="Q2614" s="1">
        <v>44538</v>
      </c>
      <c r="R2614" t="s">
        <v>27253</v>
      </c>
      <c r="S2614" t="s">
        <v>27254</v>
      </c>
      <c r="T2614" t="s">
        <v>27255</v>
      </c>
    </row>
    <row r="2615" spans="1:20" x14ac:dyDescent="0.3">
      <c r="A2615" t="str">
        <f>"0611833191100"</f>
        <v>0611833191100</v>
      </c>
      <c r="B2615" t="str">
        <f>"LK1541"</f>
        <v>LK1541</v>
      </c>
      <c r="C2615" t="s">
        <v>32307</v>
      </c>
      <c r="D2615" t="s">
        <v>27245</v>
      </c>
      <c r="E2615" t="str">
        <f t="shared" si="40"/>
        <v>001390</v>
      </c>
      <c r="F2615" t="s">
        <v>27246</v>
      </c>
      <c r="G2615" t="s">
        <v>27247</v>
      </c>
      <c r="H2615" t="s">
        <v>27248</v>
      </c>
      <c r="I2615" t="s">
        <v>32308</v>
      </c>
      <c r="J2615" t="s">
        <v>5251</v>
      </c>
      <c r="L2615" t="s">
        <v>27250</v>
      </c>
      <c r="M2615" t="s">
        <v>27251</v>
      </c>
      <c r="N2615" t="s">
        <v>27252</v>
      </c>
      <c r="Q2615" s="1">
        <v>44538</v>
      </c>
      <c r="R2615" t="s">
        <v>27253</v>
      </c>
      <c r="S2615" t="s">
        <v>27254</v>
      </c>
      <c r="T2615" t="s">
        <v>27255</v>
      </c>
    </row>
    <row r="2616" spans="1:20" x14ac:dyDescent="0.3">
      <c r="A2616" t="str">
        <f>"0611833192100"</f>
        <v>0611833192100</v>
      </c>
      <c r="B2616" t="str">
        <f>"LK1542"</f>
        <v>LK1542</v>
      </c>
      <c r="C2616" t="s">
        <v>32309</v>
      </c>
      <c r="D2616" t="s">
        <v>27245</v>
      </c>
      <c r="E2616" t="str">
        <f t="shared" si="40"/>
        <v>001390</v>
      </c>
      <c r="F2616" t="s">
        <v>27246</v>
      </c>
      <c r="G2616" t="s">
        <v>27247</v>
      </c>
      <c r="H2616" t="s">
        <v>27248</v>
      </c>
      <c r="I2616" t="s">
        <v>32310</v>
      </c>
      <c r="J2616" t="s">
        <v>5253</v>
      </c>
      <c r="L2616" t="s">
        <v>27250</v>
      </c>
      <c r="M2616" t="s">
        <v>27251</v>
      </c>
      <c r="N2616" t="s">
        <v>27252</v>
      </c>
      <c r="Q2616" s="1">
        <v>44538</v>
      </c>
      <c r="R2616" t="s">
        <v>27253</v>
      </c>
      <c r="S2616" t="s">
        <v>27254</v>
      </c>
      <c r="T2616" t="s">
        <v>27255</v>
      </c>
    </row>
    <row r="2617" spans="1:20" x14ac:dyDescent="0.3">
      <c r="A2617" t="str">
        <f>"0611833193100"</f>
        <v>0611833193100</v>
      </c>
      <c r="B2617" t="str">
        <f>"LK1543"</f>
        <v>LK1543</v>
      </c>
      <c r="C2617" t="s">
        <v>32311</v>
      </c>
      <c r="D2617" t="s">
        <v>27245</v>
      </c>
      <c r="E2617" t="str">
        <f t="shared" si="40"/>
        <v>001390</v>
      </c>
      <c r="F2617" t="s">
        <v>27246</v>
      </c>
      <c r="G2617" t="s">
        <v>27247</v>
      </c>
      <c r="H2617" t="s">
        <v>27248</v>
      </c>
      <c r="I2617" t="s">
        <v>32312</v>
      </c>
      <c r="J2617" t="s">
        <v>5255</v>
      </c>
      <c r="L2617" t="s">
        <v>27250</v>
      </c>
      <c r="M2617" t="s">
        <v>27251</v>
      </c>
      <c r="N2617" t="s">
        <v>27252</v>
      </c>
      <c r="Q2617" s="1">
        <v>44538</v>
      </c>
      <c r="R2617" t="s">
        <v>27253</v>
      </c>
      <c r="S2617" t="s">
        <v>27254</v>
      </c>
      <c r="T2617" t="s">
        <v>27255</v>
      </c>
    </row>
    <row r="2618" spans="1:20" x14ac:dyDescent="0.3">
      <c r="A2618" t="str">
        <f>"0611833194100"</f>
        <v>0611833194100</v>
      </c>
      <c r="B2618" t="str">
        <f>"LK3803"</f>
        <v>LK3803</v>
      </c>
      <c r="C2618" t="s">
        <v>32313</v>
      </c>
      <c r="D2618" t="s">
        <v>27245</v>
      </c>
      <c r="E2618" t="str">
        <f t="shared" si="40"/>
        <v>001390</v>
      </c>
      <c r="F2618" t="s">
        <v>27246</v>
      </c>
      <c r="G2618" t="s">
        <v>27247</v>
      </c>
      <c r="H2618" t="s">
        <v>27248</v>
      </c>
      <c r="I2618" t="s">
        <v>32314</v>
      </c>
      <c r="J2618" t="s">
        <v>5257</v>
      </c>
      <c r="L2618" t="s">
        <v>27250</v>
      </c>
      <c r="M2618" t="s">
        <v>27251</v>
      </c>
      <c r="N2618" t="s">
        <v>27252</v>
      </c>
      <c r="Q2618" s="1">
        <v>44538</v>
      </c>
      <c r="R2618" t="s">
        <v>27253</v>
      </c>
      <c r="S2618" t="s">
        <v>27254</v>
      </c>
      <c r="T2618" t="s">
        <v>27255</v>
      </c>
    </row>
    <row r="2619" spans="1:20" x14ac:dyDescent="0.3">
      <c r="A2619" t="str">
        <f>"0611833195100"</f>
        <v>0611833195100</v>
      </c>
      <c r="B2619" t="str">
        <f>"LK1544"</f>
        <v>LK1544</v>
      </c>
      <c r="C2619" t="s">
        <v>32315</v>
      </c>
      <c r="D2619" t="s">
        <v>27245</v>
      </c>
      <c r="E2619" t="str">
        <f t="shared" si="40"/>
        <v>001390</v>
      </c>
      <c r="F2619" t="s">
        <v>27246</v>
      </c>
      <c r="G2619" t="s">
        <v>27247</v>
      </c>
      <c r="H2619" t="s">
        <v>27248</v>
      </c>
      <c r="I2619" t="s">
        <v>32316</v>
      </c>
      <c r="J2619" t="s">
        <v>5259</v>
      </c>
      <c r="L2619" t="s">
        <v>27250</v>
      </c>
      <c r="M2619" t="s">
        <v>27251</v>
      </c>
      <c r="N2619" t="s">
        <v>27252</v>
      </c>
      <c r="Q2619" s="1">
        <v>44538</v>
      </c>
      <c r="R2619" t="s">
        <v>27253</v>
      </c>
      <c r="S2619" t="s">
        <v>27254</v>
      </c>
      <c r="T2619" t="s">
        <v>27255</v>
      </c>
    </row>
    <row r="2620" spans="1:20" x14ac:dyDescent="0.3">
      <c r="A2620" t="str">
        <f>"0611833196100"</f>
        <v>0611833196100</v>
      </c>
      <c r="B2620" t="str">
        <f>"LK4646"</f>
        <v>LK4646</v>
      </c>
      <c r="C2620" t="s">
        <v>32317</v>
      </c>
      <c r="D2620" t="s">
        <v>27245</v>
      </c>
      <c r="E2620" t="str">
        <f t="shared" si="40"/>
        <v>001390</v>
      </c>
      <c r="F2620" t="s">
        <v>27246</v>
      </c>
      <c r="G2620" t="s">
        <v>27247</v>
      </c>
      <c r="H2620" t="s">
        <v>27248</v>
      </c>
      <c r="I2620" t="s">
        <v>32318</v>
      </c>
      <c r="J2620" t="s">
        <v>5261</v>
      </c>
      <c r="L2620" t="s">
        <v>27250</v>
      </c>
      <c r="M2620" t="s">
        <v>27251</v>
      </c>
      <c r="N2620" t="s">
        <v>27252</v>
      </c>
      <c r="O2620">
        <v>200</v>
      </c>
      <c r="Q2620" s="1">
        <v>44538</v>
      </c>
      <c r="R2620" t="s">
        <v>27253</v>
      </c>
      <c r="S2620" t="s">
        <v>27254</v>
      </c>
      <c r="T2620" t="s">
        <v>27255</v>
      </c>
    </row>
    <row r="2621" spans="1:20" x14ac:dyDescent="0.3">
      <c r="A2621" t="str">
        <f>"0611861208050"</f>
        <v>0611861208050</v>
      </c>
      <c r="B2621" t="str">
        <f>"CR3502"</f>
        <v>CR3502</v>
      </c>
      <c r="C2621" t="s">
        <v>32319</v>
      </c>
      <c r="D2621" t="s">
        <v>27263</v>
      </c>
      <c r="E2621" t="str">
        <f t="shared" si="40"/>
        <v>001390</v>
      </c>
      <c r="F2621" t="s">
        <v>27246</v>
      </c>
      <c r="G2621" t="s">
        <v>27247</v>
      </c>
      <c r="H2621" t="s">
        <v>27248</v>
      </c>
      <c r="I2621" t="s">
        <v>32320</v>
      </c>
      <c r="J2621" t="s">
        <v>5263</v>
      </c>
      <c r="L2621" t="s">
        <v>27250</v>
      </c>
      <c r="M2621" t="s">
        <v>27251</v>
      </c>
      <c r="N2621" t="s">
        <v>27252</v>
      </c>
      <c r="Q2621" s="1">
        <v>44846</v>
      </c>
      <c r="R2621" t="s">
        <v>27253</v>
      </c>
      <c r="S2621" t="s">
        <v>27254</v>
      </c>
      <c r="T2621" t="s">
        <v>27265</v>
      </c>
    </row>
    <row r="2622" spans="1:20" x14ac:dyDescent="0.3">
      <c r="A2622" t="str">
        <f>"0611861209050"</f>
        <v>0611861209050</v>
      </c>
      <c r="B2622" t="str">
        <f>"CR4797"</f>
        <v>CR4797</v>
      </c>
      <c r="C2622" t="s">
        <v>32321</v>
      </c>
      <c r="D2622" t="s">
        <v>27271</v>
      </c>
      <c r="E2622" t="str">
        <f t="shared" si="40"/>
        <v>001390</v>
      </c>
      <c r="F2622" t="s">
        <v>27246</v>
      </c>
      <c r="G2622" t="s">
        <v>27247</v>
      </c>
      <c r="H2622" t="s">
        <v>27248</v>
      </c>
      <c r="I2622" t="s">
        <v>32322</v>
      </c>
      <c r="J2622" t="s">
        <v>5265</v>
      </c>
      <c r="L2622" t="s">
        <v>27250</v>
      </c>
      <c r="M2622" t="s">
        <v>27251</v>
      </c>
      <c r="N2622" t="s">
        <v>27252</v>
      </c>
      <c r="P2622" t="s">
        <v>27341</v>
      </c>
      <c r="Q2622" s="1">
        <v>44846</v>
      </c>
      <c r="R2622" t="s">
        <v>27253</v>
      </c>
      <c r="S2622" t="s">
        <v>27254</v>
      </c>
      <c r="T2622" t="s">
        <v>27265</v>
      </c>
    </row>
    <row r="2623" spans="1:20" x14ac:dyDescent="0.3">
      <c r="A2623" t="str">
        <f>"0611833197100"</f>
        <v>0611833197100</v>
      </c>
      <c r="B2623" t="str">
        <f>"LK6328"</f>
        <v>LK6328</v>
      </c>
      <c r="C2623" t="s">
        <v>32323</v>
      </c>
      <c r="D2623" t="s">
        <v>27245</v>
      </c>
      <c r="E2623" t="str">
        <f t="shared" si="40"/>
        <v>001390</v>
      </c>
      <c r="F2623" t="s">
        <v>27246</v>
      </c>
      <c r="G2623" t="s">
        <v>27247</v>
      </c>
      <c r="H2623" t="s">
        <v>27248</v>
      </c>
      <c r="I2623" t="s">
        <v>32324</v>
      </c>
      <c r="J2623" t="s">
        <v>5267</v>
      </c>
      <c r="L2623" t="s">
        <v>27430</v>
      </c>
      <c r="M2623" t="s">
        <v>27251</v>
      </c>
      <c r="N2623" t="s">
        <v>27252</v>
      </c>
      <c r="Q2623" s="1">
        <v>44538</v>
      </c>
      <c r="R2623" t="s">
        <v>27253</v>
      </c>
      <c r="S2623" t="s">
        <v>27254</v>
      </c>
      <c r="T2623" t="s">
        <v>27255</v>
      </c>
    </row>
    <row r="2624" spans="1:20" x14ac:dyDescent="0.3">
      <c r="A2624" t="str">
        <f>"0611833198100"</f>
        <v>0611833198100</v>
      </c>
      <c r="B2624" t="str">
        <f>"LK4797"</f>
        <v>LK4797</v>
      </c>
      <c r="C2624" t="s">
        <v>32325</v>
      </c>
      <c r="D2624" t="s">
        <v>27245</v>
      </c>
      <c r="E2624" t="str">
        <f t="shared" si="40"/>
        <v>001390</v>
      </c>
      <c r="F2624" t="s">
        <v>27246</v>
      </c>
      <c r="G2624" t="s">
        <v>27247</v>
      </c>
      <c r="H2624" t="s">
        <v>27248</v>
      </c>
      <c r="I2624" t="s">
        <v>32326</v>
      </c>
      <c r="J2624" t="s">
        <v>5269</v>
      </c>
      <c r="L2624" t="s">
        <v>27250</v>
      </c>
      <c r="M2624" t="s">
        <v>27251</v>
      </c>
      <c r="N2624" t="s">
        <v>27252</v>
      </c>
      <c r="Q2624" s="1">
        <v>44538</v>
      </c>
      <c r="R2624" t="s">
        <v>27253</v>
      </c>
      <c r="S2624" t="s">
        <v>27254</v>
      </c>
      <c r="T2624" t="s">
        <v>27255</v>
      </c>
    </row>
    <row r="2625" spans="1:20" x14ac:dyDescent="0.3">
      <c r="A2625" t="str">
        <f>"0611861210050"</f>
        <v>0611861210050</v>
      </c>
      <c r="B2625" t="str">
        <f>"CR3503"</f>
        <v>CR3503</v>
      </c>
      <c r="C2625" t="s">
        <v>32327</v>
      </c>
      <c r="D2625" t="s">
        <v>27263</v>
      </c>
      <c r="E2625" t="str">
        <f t="shared" si="40"/>
        <v>001390</v>
      </c>
      <c r="F2625" t="s">
        <v>27246</v>
      </c>
      <c r="G2625" t="s">
        <v>27247</v>
      </c>
      <c r="H2625" t="s">
        <v>27248</v>
      </c>
      <c r="I2625" t="s">
        <v>32328</v>
      </c>
      <c r="J2625" t="s">
        <v>5271</v>
      </c>
      <c r="L2625" t="s">
        <v>27250</v>
      </c>
      <c r="M2625" t="s">
        <v>27251</v>
      </c>
      <c r="N2625" t="s">
        <v>27252</v>
      </c>
      <c r="Q2625" s="1">
        <v>44846</v>
      </c>
      <c r="R2625" t="s">
        <v>27253</v>
      </c>
      <c r="S2625" t="s">
        <v>27254</v>
      </c>
      <c r="T2625" t="s">
        <v>27265</v>
      </c>
    </row>
    <row r="2626" spans="1:20" x14ac:dyDescent="0.3">
      <c r="A2626" t="str">
        <f>"0611861211050"</f>
        <v>0611861211050</v>
      </c>
      <c r="B2626" t="str">
        <f>"CR3504"</f>
        <v>CR3504</v>
      </c>
      <c r="C2626" t="s">
        <v>32329</v>
      </c>
      <c r="D2626" t="s">
        <v>27263</v>
      </c>
      <c r="E2626" t="str">
        <f t="shared" ref="E2626:E2689" si="41">"001390"</f>
        <v>001390</v>
      </c>
      <c r="F2626" t="s">
        <v>27246</v>
      </c>
      <c r="G2626" t="s">
        <v>27247</v>
      </c>
      <c r="H2626" t="s">
        <v>27248</v>
      </c>
      <c r="I2626" t="s">
        <v>32330</v>
      </c>
      <c r="J2626" t="s">
        <v>5273</v>
      </c>
      <c r="L2626" t="s">
        <v>27250</v>
      </c>
      <c r="M2626" t="s">
        <v>27251</v>
      </c>
      <c r="N2626" t="s">
        <v>27252</v>
      </c>
      <c r="Q2626" s="1">
        <v>44846</v>
      </c>
      <c r="R2626" t="s">
        <v>27253</v>
      </c>
      <c r="S2626" t="s">
        <v>27254</v>
      </c>
      <c r="T2626" t="s">
        <v>27265</v>
      </c>
    </row>
    <row r="2627" spans="1:20" x14ac:dyDescent="0.3">
      <c r="A2627" t="str">
        <f>"0611861212050"</f>
        <v>0611861212050</v>
      </c>
      <c r="B2627" t="str">
        <f>"CR3505"</f>
        <v>CR3505</v>
      </c>
      <c r="C2627" t="s">
        <v>32331</v>
      </c>
      <c r="D2627" t="s">
        <v>27263</v>
      </c>
      <c r="E2627" t="str">
        <f t="shared" si="41"/>
        <v>001390</v>
      </c>
      <c r="F2627" t="s">
        <v>27246</v>
      </c>
      <c r="G2627" t="s">
        <v>27247</v>
      </c>
      <c r="H2627" t="s">
        <v>27248</v>
      </c>
      <c r="I2627" t="s">
        <v>32332</v>
      </c>
      <c r="J2627" t="s">
        <v>5275</v>
      </c>
      <c r="L2627" t="s">
        <v>27250</v>
      </c>
      <c r="M2627" t="s">
        <v>27251</v>
      </c>
      <c r="N2627" t="s">
        <v>27252</v>
      </c>
      <c r="Q2627" s="1">
        <v>44846</v>
      </c>
      <c r="R2627" t="s">
        <v>27253</v>
      </c>
      <c r="S2627" t="s">
        <v>27254</v>
      </c>
      <c r="T2627" t="s">
        <v>27265</v>
      </c>
    </row>
    <row r="2628" spans="1:20" x14ac:dyDescent="0.3">
      <c r="A2628" t="str">
        <f>"0611884106100"</f>
        <v>0611884106100</v>
      </c>
      <c r="B2628" t="str">
        <f>"LK7161"</f>
        <v>LK7161</v>
      </c>
      <c r="C2628" t="s">
        <v>32333</v>
      </c>
      <c r="D2628" t="s">
        <v>27245</v>
      </c>
      <c r="E2628" t="str">
        <f t="shared" si="41"/>
        <v>001390</v>
      </c>
      <c r="F2628" t="s">
        <v>27246</v>
      </c>
      <c r="G2628" t="s">
        <v>27247</v>
      </c>
      <c r="H2628" t="s">
        <v>27248</v>
      </c>
      <c r="I2628" t="s">
        <v>32334</v>
      </c>
      <c r="J2628" t="s">
        <v>5323</v>
      </c>
      <c r="L2628" t="s">
        <v>27430</v>
      </c>
      <c r="M2628" t="s">
        <v>27251</v>
      </c>
      <c r="N2628" t="s">
        <v>27252</v>
      </c>
      <c r="Q2628" s="1">
        <v>45250</v>
      </c>
      <c r="R2628" t="s">
        <v>27253</v>
      </c>
      <c r="S2628" t="s">
        <v>27254</v>
      </c>
      <c r="T2628" t="s">
        <v>27255</v>
      </c>
    </row>
    <row r="2629" spans="1:20" x14ac:dyDescent="0.3">
      <c r="A2629" t="str">
        <f>"0611833201100"</f>
        <v>0611833201100</v>
      </c>
      <c r="B2629" t="str">
        <f>"LK5455"</f>
        <v>LK5455</v>
      </c>
      <c r="C2629" t="s">
        <v>32335</v>
      </c>
      <c r="D2629" t="s">
        <v>27245</v>
      </c>
      <c r="E2629" t="str">
        <f t="shared" si="41"/>
        <v>001390</v>
      </c>
      <c r="F2629" t="s">
        <v>27246</v>
      </c>
      <c r="G2629" t="s">
        <v>27247</v>
      </c>
      <c r="H2629" t="s">
        <v>27248</v>
      </c>
      <c r="I2629" t="s">
        <v>32336</v>
      </c>
      <c r="J2629" t="s">
        <v>5325</v>
      </c>
      <c r="L2629" t="s">
        <v>27250</v>
      </c>
      <c r="M2629" t="s">
        <v>27251</v>
      </c>
      <c r="N2629" t="s">
        <v>27252</v>
      </c>
      <c r="Q2629" s="1">
        <v>44538</v>
      </c>
      <c r="R2629" t="s">
        <v>27253</v>
      </c>
      <c r="S2629" t="s">
        <v>27254</v>
      </c>
      <c r="T2629" t="s">
        <v>27255</v>
      </c>
    </row>
    <row r="2630" spans="1:20" x14ac:dyDescent="0.3">
      <c r="A2630" t="str">
        <f>"0611861213050"</f>
        <v>0611861213050</v>
      </c>
      <c r="B2630" t="str">
        <f>"CR2804"</f>
        <v>CR2804</v>
      </c>
      <c r="C2630" t="s">
        <v>32337</v>
      </c>
      <c r="D2630" t="s">
        <v>27263</v>
      </c>
      <c r="E2630" t="str">
        <f t="shared" si="41"/>
        <v>001390</v>
      </c>
      <c r="F2630" t="s">
        <v>27246</v>
      </c>
      <c r="G2630" t="s">
        <v>27247</v>
      </c>
      <c r="H2630" t="s">
        <v>27248</v>
      </c>
      <c r="I2630" t="s">
        <v>32338</v>
      </c>
      <c r="J2630" t="s">
        <v>5277</v>
      </c>
      <c r="L2630" t="s">
        <v>27250</v>
      </c>
      <c r="M2630" t="s">
        <v>27251</v>
      </c>
      <c r="N2630" t="s">
        <v>27252</v>
      </c>
      <c r="Q2630" s="1">
        <v>44846</v>
      </c>
      <c r="R2630" t="s">
        <v>27253</v>
      </c>
      <c r="S2630" t="s">
        <v>27254</v>
      </c>
      <c r="T2630" t="s">
        <v>27265</v>
      </c>
    </row>
    <row r="2631" spans="1:20" x14ac:dyDescent="0.3">
      <c r="A2631" t="str">
        <f>"0611861214050"</f>
        <v>0611861214050</v>
      </c>
      <c r="B2631" t="str">
        <f>"CR3856"</f>
        <v>CR3856</v>
      </c>
      <c r="C2631" t="s">
        <v>32339</v>
      </c>
      <c r="D2631" t="s">
        <v>27263</v>
      </c>
      <c r="E2631" t="str">
        <f t="shared" si="41"/>
        <v>001390</v>
      </c>
      <c r="F2631" t="s">
        <v>27246</v>
      </c>
      <c r="G2631" t="s">
        <v>27247</v>
      </c>
      <c r="H2631" t="s">
        <v>27248</v>
      </c>
      <c r="I2631" t="s">
        <v>32340</v>
      </c>
      <c r="J2631" t="s">
        <v>5279</v>
      </c>
      <c r="L2631" t="s">
        <v>27250</v>
      </c>
      <c r="M2631" t="s">
        <v>27251</v>
      </c>
      <c r="N2631" t="s">
        <v>27252</v>
      </c>
      <c r="Q2631" s="1">
        <v>44846</v>
      </c>
      <c r="R2631" t="s">
        <v>27253</v>
      </c>
      <c r="S2631" t="s">
        <v>27254</v>
      </c>
      <c r="T2631" t="s">
        <v>27265</v>
      </c>
    </row>
    <row r="2632" spans="1:20" x14ac:dyDescent="0.3">
      <c r="A2632" t="str">
        <f>"0611861215050"</f>
        <v>0611861215050</v>
      </c>
      <c r="B2632" t="str">
        <f>"CR5165"</f>
        <v>CR5165</v>
      </c>
      <c r="C2632" t="s">
        <v>32341</v>
      </c>
      <c r="D2632" t="s">
        <v>27263</v>
      </c>
      <c r="E2632" t="str">
        <f t="shared" si="41"/>
        <v>001390</v>
      </c>
      <c r="F2632" t="s">
        <v>27246</v>
      </c>
      <c r="G2632" t="s">
        <v>27247</v>
      </c>
      <c r="H2632" t="s">
        <v>27248</v>
      </c>
      <c r="I2632" t="s">
        <v>32342</v>
      </c>
      <c r="J2632" t="s">
        <v>5281</v>
      </c>
      <c r="L2632" t="s">
        <v>27250</v>
      </c>
      <c r="M2632" t="s">
        <v>27251</v>
      </c>
      <c r="N2632" t="s">
        <v>27252</v>
      </c>
      <c r="Q2632" s="1">
        <v>44846</v>
      </c>
      <c r="R2632" t="s">
        <v>27253</v>
      </c>
      <c r="S2632" t="s">
        <v>27254</v>
      </c>
      <c r="T2632" t="s">
        <v>27265</v>
      </c>
    </row>
    <row r="2633" spans="1:20" x14ac:dyDescent="0.3">
      <c r="A2633" t="str">
        <f>"0611861216050"</f>
        <v>0611861216050</v>
      </c>
      <c r="B2633" t="str">
        <f>"CR4081"</f>
        <v>CR4081</v>
      </c>
      <c r="C2633" t="s">
        <v>32343</v>
      </c>
      <c r="D2633" t="s">
        <v>27263</v>
      </c>
      <c r="E2633" t="str">
        <f t="shared" si="41"/>
        <v>001390</v>
      </c>
      <c r="F2633" t="s">
        <v>27246</v>
      </c>
      <c r="G2633" t="s">
        <v>27247</v>
      </c>
      <c r="H2633" t="s">
        <v>27248</v>
      </c>
      <c r="I2633" t="s">
        <v>32344</v>
      </c>
      <c r="J2633" t="s">
        <v>5283</v>
      </c>
      <c r="L2633" t="s">
        <v>27250</v>
      </c>
      <c r="M2633" t="s">
        <v>27251</v>
      </c>
      <c r="N2633" t="s">
        <v>27252</v>
      </c>
      <c r="Q2633" s="1">
        <v>44846</v>
      </c>
      <c r="R2633" t="s">
        <v>27253</v>
      </c>
      <c r="S2633" t="s">
        <v>27254</v>
      </c>
      <c r="T2633" t="s">
        <v>27265</v>
      </c>
    </row>
    <row r="2634" spans="1:20" x14ac:dyDescent="0.3">
      <c r="A2634" t="str">
        <f>"0611861217050"</f>
        <v>0611861217050</v>
      </c>
      <c r="B2634" t="str">
        <f>"CR4940"</f>
        <v>CR4940</v>
      </c>
      <c r="C2634" t="s">
        <v>32345</v>
      </c>
      <c r="D2634" t="s">
        <v>27263</v>
      </c>
      <c r="E2634" t="str">
        <f t="shared" si="41"/>
        <v>001390</v>
      </c>
      <c r="F2634" t="s">
        <v>27246</v>
      </c>
      <c r="G2634" t="s">
        <v>27247</v>
      </c>
      <c r="H2634" t="s">
        <v>27248</v>
      </c>
      <c r="I2634" t="s">
        <v>32346</v>
      </c>
      <c r="J2634" t="s">
        <v>5285</v>
      </c>
      <c r="L2634" t="s">
        <v>27250</v>
      </c>
      <c r="M2634" t="s">
        <v>27251</v>
      </c>
      <c r="N2634" t="s">
        <v>27252</v>
      </c>
      <c r="Q2634" s="1">
        <v>44846</v>
      </c>
      <c r="R2634" t="s">
        <v>27253</v>
      </c>
      <c r="S2634" t="s">
        <v>27254</v>
      </c>
      <c r="T2634" t="s">
        <v>27265</v>
      </c>
    </row>
    <row r="2635" spans="1:20" x14ac:dyDescent="0.3">
      <c r="A2635" t="str">
        <f>"0611861218050"</f>
        <v>0611861218050</v>
      </c>
      <c r="B2635" t="str">
        <f>"CR2116"</f>
        <v>CR2116</v>
      </c>
      <c r="C2635" t="s">
        <v>32347</v>
      </c>
      <c r="D2635" t="s">
        <v>27263</v>
      </c>
      <c r="E2635" t="str">
        <f t="shared" si="41"/>
        <v>001390</v>
      </c>
      <c r="F2635" t="s">
        <v>27246</v>
      </c>
      <c r="G2635" t="s">
        <v>27247</v>
      </c>
      <c r="H2635" t="s">
        <v>27248</v>
      </c>
      <c r="I2635" t="s">
        <v>32348</v>
      </c>
      <c r="J2635" t="s">
        <v>5287</v>
      </c>
      <c r="L2635" t="s">
        <v>27250</v>
      </c>
      <c r="M2635" t="s">
        <v>27251</v>
      </c>
      <c r="N2635" t="s">
        <v>27252</v>
      </c>
      <c r="Q2635" s="1">
        <v>44846</v>
      </c>
      <c r="R2635" t="s">
        <v>27253</v>
      </c>
      <c r="S2635" t="s">
        <v>27254</v>
      </c>
      <c r="T2635" t="s">
        <v>27265</v>
      </c>
    </row>
    <row r="2636" spans="1:20" x14ac:dyDescent="0.3">
      <c r="A2636" t="str">
        <f>"0611861219050"</f>
        <v>0611861219050</v>
      </c>
      <c r="B2636" t="str">
        <f>"CR3673"</f>
        <v>CR3673</v>
      </c>
      <c r="C2636" t="s">
        <v>32349</v>
      </c>
      <c r="D2636" t="s">
        <v>27263</v>
      </c>
      <c r="E2636" t="str">
        <f t="shared" si="41"/>
        <v>001390</v>
      </c>
      <c r="F2636" t="s">
        <v>27246</v>
      </c>
      <c r="G2636" t="s">
        <v>27247</v>
      </c>
      <c r="H2636" t="s">
        <v>27248</v>
      </c>
      <c r="I2636" t="s">
        <v>32350</v>
      </c>
      <c r="J2636" t="s">
        <v>5289</v>
      </c>
      <c r="L2636" t="s">
        <v>27250</v>
      </c>
      <c r="M2636" t="s">
        <v>27251</v>
      </c>
      <c r="N2636" t="s">
        <v>27252</v>
      </c>
      <c r="Q2636" s="1">
        <v>44846</v>
      </c>
      <c r="R2636" t="s">
        <v>27253</v>
      </c>
      <c r="S2636" t="s">
        <v>27254</v>
      </c>
      <c r="T2636" t="s">
        <v>27265</v>
      </c>
    </row>
    <row r="2637" spans="1:20" x14ac:dyDescent="0.3">
      <c r="A2637" t="str">
        <f>"0611833199100"</f>
        <v>0611833199100</v>
      </c>
      <c r="B2637" t="str">
        <f>"LQ3259"</f>
        <v>LQ3259</v>
      </c>
      <c r="C2637" t="s">
        <v>32351</v>
      </c>
      <c r="D2637" t="s">
        <v>27245</v>
      </c>
      <c r="E2637" t="str">
        <f t="shared" si="41"/>
        <v>001390</v>
      </c>
      <c r="F2637" t="s">
        <v>27246</v>
      </c>
      <c r="G2637" t="s">
        <v>27247</v>
      </c>
      <c r="H2637" t="s">
        <v>27248</v>
      </c>
      <c r="I2637" t="s">
        <v>32352</v>
      </c>
      <c r="J2637" t="s">
        <v>5291</v>
      </c>
      <c r="L2637" t="s">
        <v>27250</v>
      </c>
      <c r="M2637" t="s">
        <v>27251</v>
      </c>
      <c r="N2637" t="s">
        <v>27252</v>
      </c>
      <c r="Q2637" s="1">
        <v>44538</v>
      </c>
      <c r="R2637" t="s">
        <v>27253</v>
      </c>
      <c r="S2637" t="s">
        <v>27254</v>
      </c>
      <c r="T2637" t="s">
        <v>27255</v>
      </c>
    </row>
    <row r="2638" spans="1:20" x14ac:dyDescent="0.3">
      <c r="A2638" t="str">
        <f>"0611861220050"</f>
        <v>0611861220050</v>
      </c>
      <c r="B2638" t="str">
        <f>"CR2118"</f>
        <v>CR2118</v>
      </c>
      <c r="C2638" t="s">
        <v>32351</v>
      </c>
      <c r="D2638" t="s">
        <v>27263</v>
      </c>
      <c r="E2638" t="str">
        <f t="shared" si="41"/>
        <v>001390</v>
      </c>
      <c r="F2638" t="s">
        <v>27246</v>
      </c>
      <c r="G2638" t="s">
        <v>27247</v>
      </c>
      <c r="H2638" t="s">
        <v>27248</v>
      </c>
      <c r="I2638" t="s">
        <v>32353</v>
      </c>
      <c r="J2638" t="s">
        <v>5293</v>
      </c>
      <c r="L2638" t="s">
        <v>27250</v>
      </c>
      <c r="M2638" t="s">
        <v>27251</v>
      </c>
      <c r="N2638" t="s">
        <v>27252</v>
      </c>
      <c r="Q2638" s="1">
        <v>44846</v>
      </c>
      <c r="R2638" t="s">
        <v>27253</v>
      </c>
      <c r="S2638" t="s">
        <v>27254</v>
      </c>
      <c r="T2638" t="s">
        <v>27265</v>
      </c>
    </row>
    <row r="2639" spans="1:20" x14ac:dyDescent="0.3">
      <c r="A2639" t="str">
        <f>"0611861221050"</f>
        <v>0611861221050</v>
      </c>
      <c r="B2639" t="str">
        <f>"CR3230"</f>
        <v>CR3230</v>
      </c>
      <c r="C2639" t="s">
        <v>32354</v>
      </c>
      <c r="D2639" t="s">
        <v>27263</v>
      </c>
      <c r="E2639" t="str">
        <f t="shared" si="41"/>
        <v>001390</v>
      </c>
      <c r="F2639" t="s">
        <v>27246</v>
      </c>
      <c r="G2639" t="s">
        <v>27247</v>
      </c>
      <c r="H2639" t="s">
        <v>27248</v>
      </c>
      <c r="I2639" t="s">
        <v>32355</v>
      </c>
      <c r="J2639" t="s">
        <v>5295</v>
      </c>
      <c r="L2639" t="s">
        <v>27250</v>
      </c>
      <c r="M2639" t="s">
        <v>27251</v>
      </c>
      <c r="N2639" t="s">
        <v>27252</v>
      </c>
      <c r="Q2639" s="1">
        <v>44846</v>
      </c>
      <c r="R2639" t="s">
        <v>27253</v>
      </c>
      <c r="S2639" t="s">
        <v>27254</v>
      </c>
      <c r="T2639" t="s">
        <v>27265</v>
      </c>
    </row>
    <row r="2640" spans="1:20" x14ac:dyDescent="0.3">
      <c r="A2640" t="str">
        <f>"0611861222050"</f>
        <v>0611861222050</v>
      </c>
      <c r="B2640" t="str">
        <f>"CR3674"</f>
        <v>CR3674</v>
      </c>
      <c r="C2640" t="s">
        <v>32356</v>
      </c>
      <c r="D2640" t="s">
        <v>27263</v>
      </c>
      <c r="E2640" t="str">
        <f t="shared" si="41"/>
        <v>001390</v>
      </c>
      <c r="F2640" t="s">
        <v>27246</v>
      </c>
      <c r="G2640" t="s">
        <v>27247</v>
      </c>
      <c r="H2640" t="s">
        <v>27248</v>
      </c>
      <c r="I2640" t="s">
        <v>32357</v>
      </c>
      <c r="J2640" t="s">
        <v>5297</v>
      </c>
      <c r="L2640" t="s">
        <v>27250</v>
      </c>
      <c r="M2640" t="s">
        <v>27251</v>
      </c>
      <c r="N2640" t="s">
        <v>27252</v>
      </c>
      <c r="Q2640" s="1">
        <v>44846</v>
      </c>
      <c r="R2640" t="s">
        <v>27253</v>
      </c>
      <c r="S2640" t="s">
        <v>27254</v>
      </c>
      <c r="T2640" t="s">
        <v>27265</v>
      </c>
    </row>
    <row r="2641" spans="1:20" x14ac:dyDescent="0.3">
      <c r="A2641" t="str">
        <f>"0611861223050"</f>
        <v>0611861223050</v>
      </c>
      <c r="B2641" t="str">
        <f>"CR2806"</f>
        <v>CR2806</v>
      </c>
      <c r="C2641" t="s">
        <v>32358</v>
      </c>
      <c r="D2641" t="s">
        <v>27263</v>
      </c>
      <c r="E2641" t="str">
        <f t="shared" si="41"/>
        <v>001390</v>
      </c>
      <c r="F2641" t="s">
        <v>27246</v>
      </c>
      <c r="G2641" t="s">
        <v>27247</v>
      </c>
      <c r="H2641" t="s">
        <v>27248</v>
      </c>
      <c r="I2641" t="s">
        <v>32359</v>
      </c>
      <c r="J2641" t="s">
        <v>5299</v>
      </c>
      <c r="L2641" t="s">
        <v>27250</v>
      </c>
      <c r="M2641" t="s">
        <v>27251</v>
      </c>
      <c r="N2641" t="s">
        <v>27252</v>
      </c>
      <c r="Q2641" s="1">
        <v>44846</v>
      </c>
      <c r="R2641" t="s">
        <v>27253</v>
      </c>
      <c r="S2641" t="s">
        <v>27254</v>
      </c>
      <c r="T2641" t="s">
        <v>27265</v>
      </c>
    </row>
    <row r="2642" spans="1:20" x14ac:dyDescent="0.3">
      <c r="A2642" t="str">
        <f>"0611861224050"</f>
        <v>0611861224050</v>
      </c>
      <c r="B2642" t="str">
        <f>"CR3857"</f>
        <v>CR3857</v>
      </c>
      <c r="C2642" t="s">
        <v>32360</v>
      </c>
      <c r="D2642" t="s">
        <v>27263</v>
      </c>
      <c r="E2642" t="str">
        <f t="shared" si="41"/>
        <v>001390</v>
      </c>
      <c r="F2642" t="s">
        <v>27246</v>
      </c>
      <c r="G2642" t="s">
        <v>27247</v>
      </c>
      <c r="H2642" t="s">
        <v>27248</v>
      </c>
      <c r="I2642" t="s">
        <v>32361</v>
      </c>
      <c r="J2642" t="s">
        <v>5301</v>
      </c>
      <c r="L2642" t="s">
        <v>27250</v>
      </c>
      <c r="M2642" t="s">
        <v>27251</v>
      </c>
      <c r="N2642" t="s">
        <v>27252</v>
      </c>
      <c r="Q2642" s="1">
        <v>44846</v>
      </c>
      <c r="R2642" t="s">
        <v>27253</v>
      </c>
      <c r="S2642" t="s">
        <v>27254</v>
      </c>
      <c r="T2642" t="s">
        <v>27265</v>
      </c>
    </row>
    <row r="2643" spans="1:20" x14ac:dyDescent="0.3">
      <c r="A2643" t="str">
        <f>"0611861225050"</f>
        <v>0611861225050</v>
      </c>
      <c r="B2643" t="str">
        <f>"CR4941"</f>
        <v>CR4941</v>
      </c>
      <c r="C2643" t="s">
        <v>32362</v>
      </c>
      <c r="D2643" t="s">
        <v>27263</v>
      </c>
      <c r="E2643" t="str">
        <f t="shared" si="41"/>
        <v>001390</v>
      </c>
      <c r="F2643" t="s">
        <v>27246</v>
      </c>
      <c r="G2643" t="s">
        <v>27247</v>
      </c>
      <c r="H2643" t="s">
        <v>27248</v>
      </c>
      <c r="I2643" t="s">
        <v>32363</v>
      </c>
      <c r="J2643" t="s">
        <v>5303</v>
      </c>
      <c r="L2643" t="s">
        <v>27250</v>
      </c>
      <c r="M2643" t="s">
        <v>27251</v>
      </c>
      <c r="N2643" t="s">
        <v>27252</v>
      </c>
      <c r="Q2643" s="1">
        <v>44846</v>
      </c>
      <c r="R2643" t="s">
        <v>27253</v>
      </c>
      <c r="S2643" t="s">
        <v>27254</v>
      </c>
      <c r="T2643" t="s">
        <v>27265</v>
      </c>
    </row>
    <row r="2644" spans="1:20" x14ac:dyDescent="0.3">
      <c r="A2644" t="str">
        <f>"0611861232050"</f>
        <v>0611861232050</v>
      </c>
      <c r="B2644" t="str">
        <f>"CR2120"</f>
        <v>CR2120</v>
      </c>
      <c r="C2644" t="s">
        <v>32364</v>
      </c>
      <c r="D2644" t="s">
        <v>27263</v>
      </c>
      <c r="E2644" t="str">
        <f t="shared" si="41"/>
        <v>001390</v>
      </c>
      <c r="F2644" t="s">
        <v>27246</v>
      </c>
      <c r="G2644" t="s">
        <v>27247</v>
      </c>
      <c r="H2644" t="s">
        <v>27248</v>
      </c>
      <c r="I2644" t="s">
        <v>32365</v>
      </c>
      <c r="J2644" t="s">
        <v>5337</v>
      </c>
      <c r="L2644" t="s">
        <v>27250</v>
      </c>
      <c r="M2644" t="s">
        <v>27251</v>
      </c>
      <c r="N2644" t="s">
        <v>27252</v>
      </c>
      <c r="Q2644" s="1">
        <v>44846</v>
      </c>
      <c r="R2644" t="s">
        <v>27253</v>
      </c>
      <c r="S2644" t="s">
        <v>27254</v>
      </c>
      <c r="T2644" t="s">
        <v>27265</v>
      </c>
    </row>
    <row r="2645" spans="1:20" x14ac:dyDescent="0.3">
      <c r="A2645" t="str">
        <f>"0611861226050"</f>
        <v>0611861226050</v>
      </c>
      <c r="B2645" t="str">
        <f>"CR5038"</f>
        <v>CR5038</v>
      </c>
      <c r="C2645" t="s">
        <v>32366</v>
      </c>
      <c r="D2645" t="s">
        <v>27263</v>
      </c>
      <c r="E2645" t="str">
        <f t="shared" si="41"/>
        <v>001390</v>
      </c>
      <c r="F2645" t="s">
        <v>27246</v>
      </c>
      <c r="G2645" t="s">
        <v>27247</v>
      </c>
      <c r="H2645" t="s">
        <v>27248</v>
      </c>
      <c r="I2645" t="s">
        <v>32367</v>
      </c>
      <c r="J2645" t="s">
        <v>5305</v>
      </c>
      <c r="L2645" t="s">
        <v>27250</v>
      </c>
      <c r="M2645" t="s">
        <v>27251</v>
      </c>
      <c r="N2645" t="s">
        <v>27252</v>
      </c>
      <c r="Q2645" s="1">
        <v>44846</v>
      </c>
      <c r="R2645" t="s">
        <v>27253</v>
      </c>
      <c r="S2645" t="s">
        <v>27254</v>
      </c>
      <c r="T2645" t="s">
        <v>27265</v>
      </c>
    </row>
    <row r="2646" spans="1:20" x14ac:dyDescent="0.3">
      <c r="A2646" t="str">
        <f>"0611833200100"</f>
        <v>0611833200100</v>
      </c>
      <c r="B2646" t="str">
        <f>"LQ3262"</f>
        <v>LQ3262</v>
      </c>
      <c r="C2646" t="s">
        <v>32368</v>
      </c>
      <c r="D2646" t="s">
        <v>27245</v>
      </c>
      <c r="E2646" t="str">
        <f t="shared" si="41"/>
        <v>001390</v>
      </c>
      <c r="F2646" t="s">
        <v>27246</v>
      </c>
      <c r="G2646" t="s">
        <v>27247</v>
      </c>
      <c r="H2646" t="s">
        <v>27248</v>
      </c>
      <c r="I2646" t="s">
        <v>32369</v>
      </c>
      <c r="J2646" t="s">
        <v>5307</v>
      </c>
      <c r="L2646" t="s">
        <v>27250</v>
      </c>
      <c r="M2646" t="s">
        <v>27251</v>
      </c>
      <c r="N2646" t="s">
        <v>27252</v>
      </c>
      <c r="Q2646" s="1">
        <v>44538</v>
      </c>
      <c r="R2646" t="s">
        <v>27253</v>
      </c>
      <c r="S2646" t="s">
        <v>27254</v>
      </c>
      <c r="T2646" t="s">
        <v>27255</v>
      </c>
    </row>
    <row r="2647" spans="1:20" x14ac:dyDescent="0.3">
      <c r="A2647" t="str">
        <f>"0611861234050"</f>
        <v>0611861234050</v>
      </c>
      <c r="B2647" t="str">
        <f>"CR2121"</f>
        <v>CR2121</v>
      </c>
      <c r="C2647" t="s">
        <v>32368</v>
      </c>
      <c r="D2647" t="s">
        <v>27263</v>
      </c>
      <c r="E2647" t="str">
        <f t="shared" si="41"/>
        <v>001390</v>
      </c>
      <c r="F2647" t="s">
        <v>27246</v>
      </c>
      <c r="G2647" t="s">
        <v>27247</v>
      </c>
      <c r="H2647" t="s">
        <v>27248</v>
      </c>
      <c r="I2647" t="s">
        <v>32370</v>
      </c>
      <c r="J2647" t="s">
        <v>5309</v>
      </c>
      <c r="L2647" t="s">
        <v>27250</v>
      </c>
      <c r="M2647" t="s">
        <v>27251</v>
      </c>
      <c r="N2647" t="s">
        <v>27252</v>
      </c>
      <c r="Q2647" s="1">
        <v>44846</v>
      </c>
      <c r="R2647" t="s">
        <v>27253</v>
      </c>
      <c r="S2647" t="s">
        <v>27254</v>
      </c>
      <c r="T2647" t="s">
        <v>27265</v>
      </c>
    </row>
    <row r="2648" spans="1:20" x14ac:dyDescent="0.3">
      <c r="A2648" t="str">
        <f>"0611861227050"</f>
        <v>0611861227050</v>
      </c>
      <c r="B2648" t="str">
        <f>"CR3675"</f>
        <v>CR3675</v>
      </c>
      <c r="C2648" t="s">
        <v>32371</v>
      </c>
      <c r="D2648" t="s">
        <v>27263</v>
      </c>
      <c r="E2648" t="str">
        <f t="shared" si="41"/>
        <v>001390</v>
      </c>
      <c r="F2648" t="s">
        <v>27246</v>
      </c>
      <c r="G2648" t="s">
        <v>27247</v>
      </c>
      <c r="H2648" t="s">
        <v>27248</v>
      </c>
      <c r="I2648" t="s">
        <v>32372</v>
      </c>
      <c r="J2648" t="s">
        <v>5311</v>
      </c>
      <c r="L2648" t="s">
        <v>27250</v>
      </c>
      <c r="M2648" t="s">
        <v>27251</v>
      </c>
      <c r="N2648" t="s">
        <v>27252</v>
      </c>
      <c r="Q2648" s="1">
        <v>44846</v>
      </c>
      <c r="R2648" t="s">
        <v>27253</v>
      </c>
      <c r="S2648" t="s">
        <v>27254</v>
      </c>
      <c r="T2648" t="s">
        <v>27265</v>
      </c>
    </row>
    <row r="2649" spans="1:20" x14ac:dyDescent="0.3">
      <c r="A2649" t="str">
        <f>"0611861228050"</f>
        <v>0611861228050</v>
      </c>
      <c r="B2649" t="str">
        <f>"CR3425"</f>
        <v>CR3425</v>
      </c>
      <c r="C2649" t="s">
        <v>32373</v>
      </c>
      <c r="D2649" t="s">
        <v>27263</v>
      </c>
      <c r="E2649" t="str">
        <f t="shared" si="41"/>
        <v>001390</v>
      </c>
      <c r="F2649" t="s">
        <v>27246</v>
      </c>
      <c r="G2649" t="s">
        <v>27247</v>
      </c>
      <c r="H2649" t="s">
        <v>27248</v>
      </c>
      <c r="I2649" t="s">
        <v>32374</v>
      </c>
      <c r="J2649" t="s">
        <v>5315</v>
      </c>
      <c r="L2649" t="s">
        <v>27250</v>
      </c>
      <c r="M2649" t="s">
        <v>27251</v>
      </c>
      <c r="N2649" t="s">
        <v>27252</v>
      </c>
      <c r="Q2649" s="1">
        <v>44846</v>
      </c>
      <c r="R2649" t="s">
        <v>27253</v>
      </c>
      <c r="S2649" t="s">
        <v>27254</v>
      </c>
      <c r="T2649" t="s">
        <v>27265</v>
      </c>
    </row>
    <row r="2650" spans="1:20" x14ac:dyDescent="0.3">
      <c r="A2650" t="str">
        <f>"0611861229050"</f>
        <v>0611861229050</v>
      </c>
      <c r="B2650" t="str">
        <f>"CR4942"</f>
        <v>CR4942</v>
      </c>
      <c r="C2650" t="s">
        <v>32375</v>
      </c>
      <c r="D2650" t="s">
        <v>27263</v>
      </c>
      <c r="E2650" t="str">
        <f t="shared" si="41"/>
        <v>001390</v>
      </c>
      <c r="F2650" t="s">
        <v>27246</v>
      </c>
      <c r="G2650" t="s">
        <v>27247</v>
      </c>
      <c r="H2650" t="s">
        <v>27248</v>
      </c>
      <c r="I2650" t="s">
        <v>32376</v>
      </c>
      <c r="J2650" t="s">
        <v>5317</v>
      </c>
      <c r="L2650" t="s">
        <v>27250</v>
      </c>
      <c r="M2650" t="s">
        <v>27251</v>
      </c>
      <c r="N2650" t="s">
        <v>27252</v>
      </c>
      <c r="Q2650" s="1">
        <v>44846</v>
      </c>
      <c r="R2650" t="s">
        <v>27253</v>
      </c>
      <c r="S2650" t="s">
        <v>27254</v>
      </c>
      <c r="T2650" t="s">
        <v>27265</v>
      </c>
    </row>
    <row r="2651" spans="1:20" x14ac:dyDescent="0.3">
      <c r="A2651" t="str">
        <f>"0611861230050"</f>
        <v>0611861230050</v>
      </c>
      <c r="B2651" t="str">
        <f>"CR2124"</f>
        <v>CR2124</v>
      </c>
      <c r="C2651" t="s">
        <v>32377</v>
      </c>
      <c r="D2651" t="s">
        <v>27263</v>
      </c>
      <c r="E2651" t="str">
        <f t="shared" si="41"/>
        <v>001390</v>
      </c>
      <c r="F2651" t="s">
        <v>27246</v>
      </c>
      <c r="G2651" t="s">
        <v>27247</v>
      </c>
      <c r="H2651" t="s">
        <v>27248</v>
      </c>
      <c r="I2651" t="s">
        <v>32378</v>
      </c>
      <c r="J2651" t="s">
        <v>5319</v>
      </c>
      <c r="L2651" t="s">
        <v>27250</v>
      </c>
      <c r="M2651" t="s">
        <v>27251</v>
      </c>
      <c r="N2651" t="s">
        <v>27252</v>
      </c>
      <c r="Q2651" s="1">
        <v>44846</v>
      </c>
      <c r="R2651" t="s">
        <v>27253</v>
      </c>
      <c r="S2651" t="s">
        <v>27254</v>
      </c>
      <c r="T2651" t="s">
        <v>27265</v>
      </c>
    </row>
    <row r="2652" spans="1:20" x14ac:dyDescent="0.3">
      <c r="A2652" t="str">
        <f>"0611861231050"</f>
        <v>0611861231050</v>
      </c>
      <c r="B2652" t="str">
        <f>"CR4943"</f>
        <v>CR4943</v>
      </c>
      <c r="C2652" t="s">
        <v>32379</v>
      </c>
      <c r="D2652" t="s">
        <v>27263</v>
      </c>
      <c r="E2652" t="str">
        <f t="shared" si="41"/>
        <v>001390</v>
      </c>
      <c r="F2652" t="s">
        <v>27246</v>
      </c>
      <c r="G2652" t="s">
        <v>27247</v>
      </c>
      <c r="H2652" t="s">
        <v>27248</v>
      </c>
      <c r="I2652" t="s">
        <v>32380</v>
      </c>
      <c r="J2652" t="s">
        <v>5321</v>
      </c>
      <c r="L2652" t="s">
        <v>27250</v>
      </c>
      <c r="M2652" t="s">
        <v>27251</v>
      </c>
      <c r="N2652" t="s">
        <v>27252</v>
      </c>
      <c r="Q2652" s="1">
        <v>44846</v>
      </c>
      <c r="R2652" t="s">
        <v>27253</v>
      </c>
      <c r="S2652" t="s">
        <v>27254</v>
      </c>
      <c r="T2652" t="s">
        <v>27265</v>
      </c>
    </row>
    <row r="2653" spans="1:20" x14ac:dyDescent="0.3">
      <c r="A2653" t="str">
        <f>"0611833202100"</f>
        <v>0611833202100</v>
      </c>
      <c r="B2653" t="str">
        <f>"LK5199"</f>
        <v>LK5199</v>
      </c>
      <c r="C2653" t="s">
        <v>32381</v>
      </c>
      <c r="D2653" t="s">
        <v>27245</v>
      </c>
      <c r="E2653" t="str">
        <f t="shared" si="41"/>
        <v>001390</v>
      </c>
      <c r="F2653" t="s">
        <v>27246</v>
      </c>
      <c r="G2653" t="s">
        <v>27247</v>
      </c>
      <c r="H2653" t="s">
        <v>27248</v>
      </c>
      <c r="I2653" t="s">
        <v>32382</v>
      </c>
      <c r="J2653" t="s">
        <v>5327</v>
      </c>
      <c r="L2653" t="s">
        <v>27250</v>
      </c>
      <c r="M2653" t="s">
        <v>27251</v>
      </c>
      <c r="N2653" t="s">
        <v>27252</v>
      </c>
      <c r="Q2653" s="1">
        <v>44538</v>
      </c>
      <c r="R2653" t="s">
        <v>27253</v>
      </c>
      <c r="S2653" t="s">
        <v>27254</v>
      </c>
      <c r="T2653" t="s">
        <v>27255</v>
      </c>
    </row>
    <row r="2654" spans="1:20" x14ac:dyDescent="0.3">
      <c r="A2654" t="str">
        <f>"0611833203100"</f>
        <v>0611833203100</v>
      </c>
      <c r="B2654" t="str">
        <f>"LQ3830"</f>
        <v>LQ3830</v>
      </c>
      <c r="C2654" t="s">
        <v>32383</v>
      </c>
      <c r="D2654" t="s">
        <v>27245</v>
      </c>
      <c r="E2654" t="str">
        <f t="shared" si="41"/>
        <v>001390</v>
      </c>
      <c r="F2654" t="s">
        <v>27246</v>
      </c>
      <c r="G2654" t="s">
        <v>27247</v>
      </c>
      <c r="H2654" t="s">
        <v>27248</v>
      </c>
      <c r="I2654" t="s">
        <v>32384</v>
      </c>
      <c r="J2654" t="s">
        <v>5329</v>
      </c>
      <c r="L2654" t="s">
        <v>27250</v>
      </c>
      <c r="M2654" t="s">
        <v>27251</v>
      </c>
      <c r="N2654" t="s">
        <v>27252</v>
      </c>
      <c r="Q2654" s="1">
        <v>44538</v>
      </c>
      <c r="R2654" t="s">
        <v>27253</v>
      </c>
      <c r="S2654" t="s">
        <v>27254</v>
      </c>
      <c r="T2654" t="s">
        <v>27255</v>
      </c>
    </row>
    <row r="2655" spans="1:20" x14ac:dyDescent="0.3">
      <c r="A2655" t="str">
        <f>"0611833204100"</f>
        <v>0611833204100</v>
      </c>
      <c r="B2655" t="str">
        <f>"LQ3831"</f>
        <v>LQ3831</v>
      </c>
      <c r="C2655" t="s">
        <v>32385</v>
      </c>
      <c r="D2655" t="s">
        <v>27245</v>
      </c>
      <c r="E2655" t="str">
        <f t="shared" si="41"/>
        <v>001390</v>
      </c>
      <c r="F2655" t="s">
        <v>27246</v>
      </c>
      <c r="G2655" t="s">
        <v>27247</v>
      </c>
      <c r="H2655" t="s">
        <v>27248</v>
      </c>
      <c r="I2655" t="s">
        <v>32386</v>
      </c>
      <c r="J2655" t="s">
        <v>5331</v>
      </c>
      <c r="L2655" t="s">
        <v>27250</v>
      </c>
      <c r="M2655" t="s">
        <v>27251</v>
      </c>
      <c r="N2655" t="s">
        <v>27252</v>
      </c>
      <c r="Q2655" s="1">
        <v>44538</v>
      </c>
      <c r="R2655" t="s">
        <v>27253</v>
      </c>
      <c r="S2655" t="s">
        <v>27254</v>
      </c>
      <c r="T2655" t="s">
        <v>27255</v>
      </c>
    </row>
    <row r="2656" spans="1:20" x14ac:dyDescent="0.3">
      <c r="A2656" t="str">
        <f>"0611833205100"</f>
        <v>0611833205100</v>
      </c>
      <c r="B2656" t="str">
        <f>"LQ3832"</f>
        <v>LQ3832</v>
      </c>
      <c r="C2656" t="s">
        <v>32387</v>
      </c>
      <c r="D2656" t="s">
        <v>27245</v>
      </c>
      <c r="E2656" t="str">
        <f t="shared" si="41"/>
        <v>001390</v>
      </c>
      <c r="F2656" t="s">
        <v>27246</v>
      </c>
      <c r="G2656" t="s">
        <v>27247</v>
      </c>
      <c r="H2656" t="s">
        <v>27248</v>
      </c>
      <c r="I2656" t="s">
        <v>32388</v>
      </c>
      <c r="J2656" t="s">
        <v>5333</v>
      </c>
      <c r="L2656" t="s">
        <v>27250</v>
      </c>
      <c r="M2656" t="s">
        <v>27251</v>
      </c>
      <c r="N2656" t="s">
        <v>27252</v>
      </c>
      <c r="Q2656" s="1">
        <v>44538</v>
      </c>
      <c r="R2656" t="s">
        <v>27253</v>
      </c>
      <c r="S2656" t="s">
        <v>27254</v>
      </c>
      <c r="T2656" t="s">
        <v>27255</v>
      </c>
    </row>
    <row r="2657" spans="1:20" x14ac:dyDescent="0.3">
      <c r="A2657" t="str">
        <f>"0611833206100"</f>
        <v>0611833206100</v>
      </c>
      <c r="B2657" t="str">
        <f>"LK3211"</f>
        <v>LK3211</v>
      </c>
      <c r="C2657" t="s">
        <v>32389</v>
      </c>
      <c r="D2657" t="s">
        <v>27245</v>
      </c>
      <c r="E2657" t="str">
        <f t="shared" si="41"/>
        <v>001390</v>
      </c>
      <c r="F2657" t="s">
        <v>27246</v>
      </c>
      <c r="G2657" t="s">
        <v>27247</v>
      </c>
      <c r="H2657" t="s">
        <v>27248</v>
      </c>
      <c r="I2657" t="s">
        <v>32390</v>
      </c>
      <c r="J2657" t="s">
        <v>5335</v>
      </c>
      <c r="L2657" t="s">
        <v>27250</v>
      </c>
      <c r="M2657" t="s">
        <v>27251</v>
      </c>
      <c r="N2657" t="s">
        <v>27252</v>
      </c>
      <c r="Q2657" s="1">
        <v>44538</v>
      </c>
      <c r="R2657" t="s">
        <v>27253</v>
      </c>
      <c r="S2657" t="s">
        <v>27254</v>
      </c>
      <c r="T2657" t="s">
        <v>27255</v>
      </c>
    </row>
    <row r="2658" spans="1:20" x14ac:dyDescent="0.3">
      <c r="A2658" t="str">
        <f>"0611833207100"</f>
        <v>0611833207100</v>
      </c>
      <c r="B2658" t="str">
        <f>"LQ3232"</f>
        <v>LQ3232</v>
      </c>
      <c r="C2658" t="s">
        <v>32391</v>
      </c>
      <c r="D2658" t="s">
        <v>27245</v>
      </c>
      <c r="E2658" t="str">
        <f t="shared" si="41"/>
        <v>001390</v>
      </c>
      <c r="F2658" t="s">
        <v>27246</v>
      </c>
      <c r="G2658" t="s">
        <v>27247</v>
      </c>
      <c r="H2658" t="s">
        <v>27248</v>
      </c>
      <c r="I2658" t="s">
        <v>32392</v>
      </c>
      <c r="J2658" t="s">
        <v>5339</v>
      </c>
      <c r="L2658" t="s">
        <v>27250</v>
      </c>
      <c r="M2658" t="s">
        <v>27251</v>
      </c>
      <c r="N2658" t="s">
        <v>27252</v>
      </c>
      <c r="Q2658" s="1">
        <v>44538</v>
      </c>
      <c r="R2658" t="s">
        <v>27253</v>
      </c>
      <c r="S2658" t="s">
        <v>27254</v>
      </c>
      <c r="T2658" t="s">
        <v>27255</v>
      </c>
    </row>
    <row r="2659" spans="1:20" x14ac:dyDescent="0.3">
      <c r="A2659" t="str">
        <f>"0611833208100"</f>
        <v>0611833208100</v>
      </c>
      <c r="B2659" t="str">
        <f>"LQ3233"</f>
        <v>LQ3233</v>
      </c>
      <c r="C2659" t="s">
        <v>32393</v>
      </c>
      <c r="D2659" t="s">
        <v>27245</v>
      </c>
      <c r="E2659" t="str">
        <f t="shared" si="41"/>
        <v>001390</v>
      </c>
      <c r="F2659" t="s">
        <v>27246</v>
      </c>
      <c r="G2659" t="s">
        <v>27247</v>
      </c>
      <c r="H2659" t="s">
        <v>27248</v>
      </c>
      <c r="I2659" t="s">
        <v>32394</v>
      </c>
      <c r="J2659" t="s">
        <v>5341</v>
      </c>
      <c r="L2659" t="s">
        <v>27250</v>
      </c>
      <c r="M2659" t="s">
        <v>27251</v>
      </c>
      <c r="N2659" t="s">
        <v>27252</v>
      </c>
      <c r="Q2659" s="1">
        <v>44538</v>
      </c>
      <c r="R2659" t="s">
        <v>27253</v>
      </c>
      <c r="S2659" t="s">
        <v>27254</v>
      </c>
      <c r="T2659" t="s">
        <v>27255</v>
      </c>
    </row>
    <row r="2660" spans="1:20" x14ac:dyDescent="0.3">
      <c r="A2660" t="str">
        <f>"0611833209100"</f>
        <v>0611833209100</v>
      </c>
      <c r="B2660" t="str">
        <f>"LQ3586"</f>
        <v>LQ3586</v>
      </c>
      <c r="C2660" t="s">
        <v>32395</v>
      </c>
      <c r="D2660" t="s">
        <v>27245</v>
      </c>
      <c r="E2660" t="str">
        <f t="shared" si="41"/>
        <v>001390</v>
      </c>
      <c r="F2660" t="s">
        <v>27246</v>
      </c>
      <c r="G2660" t="s">
        <v>27247</v>
      </c>
      <c r="H2660" t="s">
        <v>27248</v>
      </c>
      <c r="I2660" t="s">
        <v>32396</v>
      </c>
      <c r="J2660" t="s">
        <v>5343</v>
      </c>
      <c r="L2660" t="s">
        <v>27250</v>
      </c>
      <c r="M2660" t="s">
        <v>27251</v>
      </c>
      <c r="N2660" t="s">
        <v>27252</v>
      </c>
      <c r="Q2660" s="1">
        <v>44538</v>
      </c>
      <c r="R2660" t="s">
        <v>27253</v>
      </c>
      <c r="S2660" t="s">
        <v>27254</v>
      </c>
      <c r="T2660" t="s">
        <v>27255</v>
      </c>
    </row>
    <row r="2661" spans="1:20" x14ac:dyDescent="0.3">
      <c r="A2661" t="str">
        <f>"0611833211100"</f>
        <v>0611833211100</v>
      </c>
      <c r="B2661" t="str">
        <f>"LQ0936"</f>
        <v>LQ0936</v>
      </c>
      <c r="C2661" t="s">
        <v>32397</v>
      </c>
      <c r="D2661" t="s">
        <v>27245</v>
      </c>
      <c r="E2661" t="str">
        <f t="shared" si="41"/>
        <v>001390</v>
      </c>
      <c r="F2661" t="s">
        <v>27246</v>
      </c>
      <c r="G2661" t="s">
        <v>27247</v>
      </c>
      <c r="H2661" t="s">
        <v>27248</v>
      </c>
      <c r="I2661" t="s">
        <v>32398</v>
      </c>
      <c r="J2661" t="s">
        <v>5345</v>
      </c>
      <c r="L2661" t="s">
        <v>27250</v>
      </c>
      <c r="M2661" t="s">
        <v>27251</v>
      </c>
      <c r="N2661" t="s">
        <v>27252</v>
      </c>
      <c r="Q2661" s="1">
        <v>44538</v>
      </c>
      <c r="R2661" t="s">
        <v>27253</v>
      </c>
      <c r="S2661" t="s">
        <v>27254</v>
      </c>
      <c r="T2661" t="s">
        <v>27255</v>
      </c>
    </row>
    <row r="2662" spans="1:20" x14ac:dyDescent="0.3">
      <c r="A2662" t="str">
        <f>"0611833212100"</f>
        <v>0611833212100</v>
      </c>
      <c r="B2662" t="str">
        <f>"LQ3397"</f>
        <v>LQ3397</v>
      </c>
      <c r="C2662" t="s">
        <v>32399</v>
      </c>
      <c r="D2662" t="s">
        <v>27245</v>
      </c>
      <c r="E2662" t="str">
        <f t="shared" si="41"/>
        <v>001390</v>
      </c>
      <c r="F2662" t="s">
        <v>27246</v>
      </c>
      <c r="G2662" t="s">
        <v>27247</v>
      </c>
      <c r="H2662" t="s">
        <v>27248</v>
      </c>
      <c r="I2662" t="s">
        <v>32400</v>
      </c>
      <c r="J2662" t="s">
        <v>5347</v>
      </c>
      <c r="L2662" t="s">
        <v>27250</v>
      </c>
      <c r="M2662" t="s">
        <v>27251</v>
      </c>
      <c r="N2662" t="s">
        <v>27252</v>
      </c>
      <c r="Q2662" s="1">
        <v>44538</v>
      </c>
      <c r="R2662" t="s">
        <v>27253</v>
      </c>
      <c r="S2662" t="s">
        <v>27254</v>
      </c>
      <c r="T2662" t="s">
        <v>27255</v>
      </c>
    </row>
    <row r="2663" spans="1:20" x14ac:dyDescent="0.3">
      <c r="A2663" t="str">
        <f>"0611833214100"</f>
        <v>0611833214100</v>
      </c>
      <c r="B2663" t="str">
        <f>"LD0031"</f>
        <v>LD0031</v>
      </c>
      <c r="C2663" t="s">
        <v>32401</v>
      </c>
      <c r="D2663" t="s">
        <v>27245</v>
      </c>
      <c r="E2663" t="str">
        <f t="shared" si="41"/>
        <v>001390</v>
      </c>
      <c r="F2663" t="s">
        <v>27246</v>
      </c>
      <c r="G2663" t="s">
        <v>27247</v>
      </c>
      <c r="H2663" t="s">
        <v>27248</v>
      </c>
      <c r="I2663" t="s">
        <v>32402</v>
      </c>
      <c r="J2663" t="s">
        <v>5349</v>
      </c>
      <c r="L2663" t="s">
        <v>27250</v>
      </c>
      <c r="M2663" t="s">
        <v>27251</v>
      </c>
      <c r="N2663" t="s">
        <v>27252</v>
      </c>
      <c r="Q2663" s="1">
        <v>44538</v>
      </c>
      <c r="R2663" t="s">
        <v>27253</v>
      </c>
      <c r="S2663" t="s">
        <v>27254</v>
      </c>
      <c r="T2663" t="s">
        <v>27255</v>
      </c>
    </row>
    <row r="2664" spans="1:20" x14ac:dyDescent="0.3">
      <c r="A2664" t="str">
        <f>"0611833215100"</f>
        <v>0611833215100</v>
      </c>
      <c r="B2664" t="str">
        <f>"LK2594"</f>
        <v>LK2594</v>
      </c>
      <c r="C2664" t="s">
        <v>32403</v>
      </c>
      <c r="D2664" t="s">
        <v>27245</v>
      </c>
      <c r="E2664" t="str">
        <f t="shared" si="41"/>
        <v>001390</v>
      </c>
      <c r="F2664" t="s">
        <v>27246</v>
      </c>
      <c r="G2664" t="s">
        <v>27247</v>
      </c>
      <c r="H2664" t="s">
        <v>27248</v>
      </c>
      <c r="I2664" t="s">
        <v>32404</v>
      </c>
      <c r="J2664" t="s">
        <v>5351</v>
      </c>
      <c r="L2664" t="s">
        <v>27250</v>
      </c>
      <c r="M2664" t="s">
        <v>27251</v>
      </c>
      <c r="N2664" t="s">
        <v>27252</v>
      </c>
      <c r="Q2664" s="1">
        <v>44538</v>
      </c>
      <c r="R2664" t="s">
        <v>27253</v>
      </c>
      <c r="S2664" t="s">
        <v>27254</v>
      </c>
      <c r="T2664" t="s">
        <v>27255</v>
      </c>
    </row>
    <row r="2665" spans="1:20" x14ac:dyDescent="0.3">
      <c r="A2665" t="str">
        <f>"0611833216100"</f>
        <v>0611833216100</v>
      </c>
      <c r="B2665" t="str">
        <f>"LK4647"</f>
        <v>LK4647</v>
      </c>
      <c r="C2665" t="s">
        <v>32405</v>
      </c>
      <c r="D2665" t="s">
        <v>27245</v>
      </c>
      <c r="E2665" t="str">
        <f t="shared" si="41"/>
        <v>001390</v>
      </c>
      <c r="F2665" t="s">
        <v>27246</v>
      </c>
      <c r="G2665" t="s">
        <v>27247</v>
      </c>
      <c r="H2665" t="s">
        <v>27248</v>
      </c>
      <c r="I2665" t="s">
        <v>32406</v>
      </c>
      <c r="J2665" t="s">
        <v>5353</v>
      </c>
      <c r="L2665" t="s">
        <v>27250</v>
      </c>
      <c r="M2665" t="s">
        <v>27251</v>
      </c>
      <c r="N2665" t="s">
        <v>27252</v>
      </c>
      <c r="Q2665" s="1">
        <v>44538</v>
      </c>
      <c r="R2665" t="s">
        <v>27253</v>
      </c>
      <c r="S2665" t="s">
        <v>27254</v>
      </c>
      <c r="T2665" t="s">
        <v>27255</v>
      </c>
    </row>
    <row r="2666" spans="1:20" x14ac:dyDescent="0.3">
      <c r="A2666" t="str">
        <f>"0611833217100"</f>
        <v>0611833217100</v>
      </c>
      <c r="B2666" t="str">
        <f>"LK6003"</f>
        <v>LK6003</v>
      </c>
      <c r="C2666" t="s">
        <v>32407</v>
      </c>
      <c r="D2666" t="s">
        <v>27245</v>
      </c>
      <c r="E2666" t="str">
        <f t="shared" si="41"/>
        <v>001390</v>
      </c>
      <c r="F2666" t="s">
        <v>27246</v>
      </c>
      <c r="G2666" t="s">
        <v>27247</v>
      </c>
      <c r="H2666" t="s">
        <v>27248</v>
      </c>
      <c r="I2666" t="s">
        <v>32408</v>
      </c>
      <c r="J2666" t="s">
        <v>5355</v>
      </c>
      <c r="L2666" t="s">
        <v>27250</v>
      </c>
      <c r="M2666" t="s">
        <v>27251</v>
      </c>
      <c r="N2666" t="s">
        <v>27252</v>
      </c>
      <c r="Q2666" s="1">
        <v>44538</v>
      </c>
      <c r="R2666" t="s">
        <v>27253</v>
      </c>
      <c r="S2666" t="s">
        <v>27254</v>
      </c>
      <c r="T2666" t="s">
        <v>27255</v>
      </c>
    </row>
    <row r="2667" spans="1:20" x14ac:dyDescent="0.3">
      <c r="A2667" t="str">
        <f>"0611833218100"</f>
        <v>0611833218100</v>
      </c>
      <c r="B2667" t="str">
        <f>"LK4799"</f>
        <v>LK4799</v>
      </c>
      <c r="C2667" t="s">
        <v>32409</v>
      </c>
      <c r="D2667" t="s">
        <v>27245</v>
      </c>
      <c r="E2667" t="str">
        <f t="shared" si="41"/>
        <v>001390</v>
      </c>
      <c r="F2667" t="s">
        <v>27246</v>
      </c>
      <c r="G2667" t="s">
        <v>27247</v>
      </c>
      <c r="H2667" t="s">
        <v>27248</v>
      </c>
      <c r="I2667" t="s">
        <v>32410</v>
      </c>
      <c r="J2667" t="s">
        <v>5357</v>
      </c>
      <c r="L2667" t="s">
        <v>27250</v>
      </c>
      <c r="M2667" t="s">
        <v>27251</v>
      </c>
      <c r="N2667" t="s">
        <v>27252</v>
      </c>
      <c r="Q2667" s="1">
        <v>44538</v>
      </c>
      <c r="R2667" t="s">
        <v>27253</v>
      </c>
      <c r="S2667" t="s">
        <v>27254</v>
      </c>
      <c r="T2667" t="s">
        <v>27255</v>
      </c>
    </row>
    <row r="2668" spans="1:20" x14ac:dyDescent="0.3">
      <c r="A2668" t="str">
        <f>"0611884107100"</f>
        <v>0611884107100</v>
      </c>
      <c r="B2668" t="str">
        <f>"LK7130"</f>
        <v>LK7130</v>
      </c>
      <c r="C2668" t="s">
        <v>32411</v>
      </c>
      <c r="D2668" t="s">
        <v>27245</v>
      </c>
      <c r="E2668" t="str">
        <f t="shared" si="41"/>
        <v>001390</v>
      </c>
      <c r="F2668" t="s">
        <v>27246</v>
      </c>
      <c r="G2668" t="s">
        <v>27247</v>
      </c>
      <c r="H2668" t="s">
        <v>27248</v>
      </c>
      <c r="I2668" t="s">
        <v>32412</v>
      </c>
      <c r="J2668" t="s">
        <v>5359</v>
      </c>
      <c r="L2668" t="s">
        <v>27430</v>
      </c>
      <c r="M2668" t="s">
        <v>27251</v>
      </c>
      <c r="N2668" t="s">
        <v>27252</v>
      </c>
      <c r="Q2668" s="1">
        <v>45250</v>
      </c>
      <c r="R2668" t="s">
        <v>27253</v>
      </c>
      <c r="S2668" t="s">
        <v>27254</v>
      </c>
      <c r="T2668" t="s">
        <v>27255</v>
      </c>
    </row>
    <row r="2669" spans="1:20" x14ac:dyDescent="0.3">
      <c r="A2669" t="str">
        <f>"0611833221100"</f>
        <v>0611833221100</v>
      </c>
      <c r="B2669" t="str">
        <f>"LK4282"</f>
        <v>LK4282</v>
      </c>
      <c r="C2669" t="s">
        <v>32413</v>
      </c>
      <c r="D2669" t="s">
        <v>27245</v>
      </c>
      <c r="E2669" t="str">
        <f t="shared" si="41"/>
        <v>001390</v>
      </c>
      <c r="F2669" t="s">
        <v>27246</v>
      </c>
      <c r="G2669" t="s">
        <v>27247</v>
      </c>
      <c r="H2669" t="s">
        <v>27248</v>
      </c>
      <c r="I2669" t="s">
        <v>32414</v>
      </c>
      <c r="J2669" t="s">
        <v>5361</v>
      </c>
      <c r="L2669" t="s">
        <v>27250</v>
      </c>
      <c r="M2669" t="s">
        <v>27251</v>
      </c>
      <c r="N2669" t="s">
        <v>27252</v>
      </c>
      <c r="Q2669" s="1">
        <v>44538</v>
      </c>
      <c r="R2669" t="s">
        <v>27253</v>
      </c>
      <c r="S2669" t="s">
        <v>27254</v>
      </c>
      <c r="T2669" t="s">
        <v>27255</v>
      </c>
    </row>
    <row r="2670" spans="1:20" x14ac:dyDescent="0.3">
      <c r="A2670" t="str">
        <f>"0611833222100"</f>
        <v>0611833222100</v>
      </c>
      <c r="B2670" t="str">
        <f>"LK4283"</f>
        <v>LK4283</v>
      </c>
      <c r="C2670" t="s">
        <v>32415</v>
      </c>
      <c r="D2670" t="s">
        <v>27245</v>
      </c>
      <c r="E2670" t="str">
        <f t="shared" si="41"/>
        <v>001390</v>
      </c>
      <c r="F2670" t="s">
        <v>27246</v>
      </c>
      <c r="G2670" t="s">
        <v>27247</v>
      </c>
      <c r="H2670" t="s">
        <v>27248</v>
      </c>
      <c r="I2670" t="s">
        <v>32416</v>
      </c>
      <c r="J2670" t="s">
        <v>5363</v>
      </c>
      <c r="L2670" t="s">
        <v>27250</v>
      </c>
      <c r="M2670" t="s">
        <v>27251</v>
      </c>
      <c r="N2670" t="s">
        <v>27252</v>
      </c>
      <c r="Q2670" s="1">
        <v>44538</v>
      </c>
      <c r="R2670" t="s">
        <v>27253</v>
      </c>
      <c r="S2670" t="s">
        <v>27254</v>
      </c>
      <c r="T2670" t="s">
        <v>27255</v>
      </c>
    </row>
    <row r="2671" spans="1:20" x14ac:dyDescent="0.3">
      <c r="A2671" t="str">
        <f>"0611856877100"</f>
        <v>0611856877100</v>
      </c>
      <c r="B2671" t="str">
        <f>"LK7048"</f>
        <v>LK7048</v>
      </c>
      <c r="C2671" t="s">
        <v>32417</v>
      </c>
      <c r="D2671" t="s">
        <v>27245</v>
      </c>
      <c r="E2671" t="str">
        <f t="shared" si="41"/>
        <v>001390</v>
      </c>
      <c r="F2671" t="s">
        <v>27246</v>
      </c>
      <c r="G2671" t="s">
        <v>27247</v>
      </c>
      <c r="H2671" t="s">
        <v>27248</v>
      </c>
      <c r="I2671" t="s">
        <v>32418</v>
      </c>
      <c r="J2671" t="s">
        <v>5365</v>
      </c>
      <c r="L2671" t="s">
        <v>27250</v>
      </c>
      <c r="M2671" t="s">
        <v>27251</v>
      </c>
      <c r="N2671" t="s">
        <v>27252</v>
      </c>
      <c r="Q2671" s="1">
        <v>44812</v>
      </c>
      <c r="R2671" t="s">
        <v>27253</v>
      </c>
      <c r="S2671" t="s">
        <v>27254</v>
      </c>
      <c r="T2671" t="s">
        <v>27255</v>
      </c>
    </row>
    <row r="2672" spans="1:20" x14ac:dyDescent="0.3">
      <c r="A2672" t="str">
        <f>"0611833223100"</f>
        <v>0611833223100</v>
      </c>
      <c r="B2672" t="str">
        <f>"LK4285"</f>
        <v>LK4285</v>
      </c>
      <c r="C2672" t="s">
        <v>32419</v>
      </c>
      <c r="D2672" t="s">
        <v>27245</v>
      </c>
      <c r="E2672" t="str">
        <f t="shared" si="41"/>
        <v>001390</v>
      </c>
      <c r="F2672" t="s">
        <v>27246</v>
      </c>
      <c r="G2672" t="s">
        <v>27247</v>
      </c>
      <c r="H2672" t="s">
        <v>27248</v>
      </c>
      <c r="I2672" t="s">
        <v>32420</v>
      </c>
      <c r="J2672" t="s">
        <v>5367</v>
      </c>
      <c r="L2672" t="s">
        <v>27250</v>
      </c>
      <c r="M2672" t="s">
        <v>27251</v>
      </c>
      <c r="N2672" t="s">
        <v>27252</v>
      </c>
      <c r="Q2672" s="1">
        <v>44538</v>
      </c>
      <c r="R2672" t="s">
        <v>27253</v>
      </c>
      <c r="S2672" t="s">
        <v>27254</v>
      </c>
      <c r="T2672" t="s">
        <v>27255</v>
      </c>
    </row>
    <row r="2673" spans="1:20" x14ac:dyDescent="0.3">
      <c r="A2673" t="str">
        <f>"0611861233050"</f>
        <v>0611861233050</v>
      </c>
      <c r="B2673" t="str">
        <f>"CR3508"</f>
        <v>CR3508</v>
      </c>
      <c r="C2673" t="s">
        <v>32421</v>
      </c>
      <c r="D2673" t="s">
        <v>27263</v>
      </c>
      <c r="E2673" t="str">
        <f t="shared" si="41"/>
        <v>001390</v>
      </c>
      <c r="F2673" t="s">
        <v>27246</v>
      </c>
      <c r="G2673" t="s">
        <v>27247</v>
      </c>
      <c r="H2673" t="s">
        <v>27248</v>
      </c>
      <c r="I2673" t="s">
        <v>32422</v>
      </c>
      <c r="J2673" t="s">
        <v>5369</v>
      </c>
      <c r="L2673" t="s">
        <v>27250</v>
      </c>
      <c r="M2673" t="s">
        <v>27251</v>
      </c>
      <c r="N2673" t="s">
        <v>27252</v>
      </c>
      <c r="Q2673" s="1">
        <v>44846</v>
      </c>
      <c r="R2673" t="s">
        <v>27253</v>
      </c>
      <c r="S2673" t="s">
        <v>27254</v>
      </c>
      <c r="T2673" t="s">
        <v>27265</v>
      </c>
    </row>
    <row r="2674" spans="1:20" x14ac:dyDescent="0.3">
      <c r="A2674" t="str">
        <f>"0611833224100"</f>
        <v>0611833224100</v>
      </c>
      <c r="B2674" t="str">
        <f>"LB2190"</f>
        <v>LB2190</v>
      </c>
      <c r="C2674" t="s">
        <v>32423</v>
      </c>
      <c r="D2674" t="s">
        <v>27245</v>
      </c>
      <c r="E2674" t="str">
        <f t="shared" si="41"/>
        <v>001390</v>
      </c>
      <c r="F2674" t="s">
        <v>27246</v>
      </c>
      <c r="G2674" t="s">
        <v>27247</v>
      </c>
      <c r="H2674" t="s">
        <v>27248</v>
      </c>
      <c r="I2674" t="s">
        <v>32424</v>
      </c>
      <c r="J2674" t="s">
        <v>5371</v>
      </c>
      <c r="L2674" t="s">
        <v>27250</v>
      </c>
      <c r="M2674" t="s">
        <v>27251</v>
      </c>
      <c r="N2674" t="s">
        <v>27252</v>
      </c>
      <c r="Q2674" s="1">
        <v>44538</v>
      </c>
      <c r="R2674" t="s">
        <v>27253</v>
      </c>
      <c r="S2674" t="s">
        <v>27254</v>
      </c>
      <c r="T2674" t="s">
        <v>27255</v>
      </c>
    </row>
    <row r="2675" spans="1:20" x14ac:dyDescent="0.3">
      <c r="A2675" t="str">
        <f>"0611833225100"</f>
        <v>0611833225100</v>
      </c>
      <c r="B2675" t="str">
        <f>"LB2192"</f>
        <v>LB2192</v>
      </c>
      <c r="C2675" t="s">
        <v>32425</v>
      </c>
      <c r="D2675" t="s">
        <v>27245</v>
      </c>
      <c r="E2675" t="str">
        <f t="shared" si="41"/>
        <v>001390</v>
      </c>
      <c r="F2675" t="s">
        <v>27246</v>
      </c>
      <c r="G2675" t="s">
        <v>27247</v>
      </c>
      <c r="H2675" t="s">
        <v>27248</v>
      </c>
      <c r="I2675" t="s">
        <v>32426</v>
      </c>
      <c r="J2675" t="s">
        <v>5373</v>
      </c>
      <c r="L2675" t="s">
        <v>27250</v>
      </c>
      <c r="M2675" t="s">
        <v>27251</v>
      </c>
      <c r="N2675" t="s">
        <v>27252</v>
      </c>
      <c r="Q2675" s="1">
        <v>44538</v>
      </c>
      <c r="R2675" t="s">
        <v>27253</v>
      </c>
      <c r="S2675" t="s">
        <v>27254</v>
      </c>
      <c r="T2675" t="s">
        <v>27255</v>
      </c>
    </row>
    <row r="2676" spans="1:20" x14ac:dyDescent="0.3">
      <c r="A2676" t="str">
        <f>"0611833226100"</f>
        <v>0611833226100</v>
      </c>
      <c r="B2676" t="str">
        <f>"LK0684"</f>
        <v>LK0684</v>
      </c>
      <c r="C2676" t="s">
        <v>32427</v>
      </c>
      <c r="D2676" t="s">
        <v>27245</v>
      </c>
      <c r="E2676" t="str">
        <f t="shared" si="41"/>
        <v>001390</v>
      </c>
      <c r="F2676" t="s">
        <v>27246</v>
      </c>
      <c r="G2676" t="s">
        <v>27247</v>
      </c>
      <c r="H2676" t="s">
        <v>27248</v>
      </c>
      <c r="I2676" t="s">
        <v>32428</v>
      </c>
      <c r="J2676" t="s">
        <v>5375</v>
      </c>
      <c r="L2676" t="s">
        <v>27250</v>
      </c>
      <c r="M2676" t="s">
        <v>27251</v>
      </c>
      <c r="N2676" t="s">
        <v>27252</v>
      </c>
      <c r="Q2676" s="1">
        <v>44538</v>
      </c>
      <c r="R2676" t="s">
        <v>27253</v>
      </c>
      <c r="S2676" t="s">
        <v>27254</v>
      </c>
      <c r="T2676" t="s">
        <v>27255</v>
      </c>
    </row>
    <row r="2677" spans="1:20" x14ac:dyDescent="0.3">
      <c r="A2677" t="str">
        <f>"0611833227100"</f>
        <v>0611833227100</v>
      </c>
      <c r="B2677" t="str">
        <f>"LK4648"</f>
        <v>LK4648</v>
      </c>
      <c r="C2677" t="s">
        <v>32429</v>
      </c>
      <c r="D2677" t="s">
        <v>27245</v>
      </c>
      <c r="E2677" t="str">
        <f t="shared" si="41"/>
        <v>001390</v>
      </c>
      <c r="F2677" t="s">
        <v>27246</v>
      </c>
      <c r="G2677" t="s">
        <v>27247</v>
      </c>
      <c r="H2677" t="s">
        <v>27248</v>
      </c>
      <c r="I2677" t="s">
        <v>32430</v>
      </c>
      <c r="J2677" t="s">
        <v>5377</v>
      </c>
      <c r="L2677" t="s">
        <v>27250</v>
      </c>
      <c r="M2677" t="s">
        <v>27251</v>
      </c>
      <c r="N2677" t="s">
        <v>27252</v>
      </c>
      <c r="Q2677" s="1">
        <v>44538</v>
      </c>
      <c r="R2677" t="s">
        <v>27253</v>
      </c>
      <c r="S2677" t="s">
        <v>27254</v>
      </c>
      <c r="T2677" t="s">
        <v>27255</v>
      </c>
    </row>
    <row r="2678" spans="1:20" x14ac:dyDescent="0.3">
      <c r="A2678" t="str">
        <f>"0611833228100"</f>
        <v>0611833228100</v>
      </c>
      <c r="B2678" t="str">
        <f>"LK6329"</f>
        <v>LK6329</v>
      </c>
      <c r="C2678" t="s">
        <v>32431</v>
      </c>
      <c r="D2678" t="s">
        <v>27245</v>
      </c>
      <c r="E2678" t="str">
        <f t="shared" si="41"/>
        <v>001390</v>
      </c>
      <c r="F2678" t="s">
        <v>27246</v>
      </c>
      <c r="G2678" t="s">
        <v>27247</v>
      </c>
      <c r="H2678" t="s">
        <v>27248</v>
      </c>
      <c r="I2678" t="s">
        <v>32432</v>
      </c>
      <c r="J2678" t="s">
        <v>5379</v>
      </c>
      <c r="L2678" t="s">
        <v>27250</v>
      </c>
      <c r="M2678" t="s">
        <v>27251</v>
      </c>
      <c r="N2678" t="s">
        <v>27252</v>
      </c>
      <c r="Q2678" s="1">
        <v>44538</v>
      </c>
      <c r="R2678" t="s">
        <v>27253</v>
      </c>
      <c r="S2678" t="s">
        <v>27254</v>
      </c>
      <c r="T2678" t="s">
        <v>27255</v>
      </c>
    </row>
    <row r="2679" spans="1:20" x14ac:dyDescent="0.3">
      <c r="A2679" t="str">
        <f>"0611861235050"</f>
        <v>0611861235050</v>
      </c>
      <c r="B2679" t="str">
        <f>"CR2122"</f>
        <v>CR2122</v>
      </c>
      <c r="C2679" t="s">
        <v>32433</v>
      </c>
      <c r="D2679" t="s">
        <v>27263</v>
      </c>
      <c r="E2679" t="str">
        <f t="shared" si="41"/>
        <v>001390</v>
      </c>
      <c r="F2679" t="s">
        <v>27246</v>
      </c>
      <c r="G2679" t="s">
        <v>27247</v>
      </c>
      <c r="H2679" t="s">
        <v>27248</v>
      </c>
      <c r="I2679" t="s">
        <v>32434</v>
      </c>
      <c r="J2679" t="s">
        <v>5381</v>
      </c>
      <c r="L2679" t="s">
        <v>27250</v>
      </c>
      <c r="M2679" t="s">
        <v>27251</v>
      </c>
      <c r="N2679" t="s">
        <v>27252</v>
      </c>
      <c r="Q2679" s="1">
        <v>44846</v>
      </c>
      <c r="R2679" t="s">
        <v>27253</v>
      </c>
      <c r="S2679" t="s">
        <v>27254</v>
      </c>
      <c r="T2679" t="s">
        <v>27265</v>
      </c>
    </row>
    <row r="2680" spans="1:20" x14ac:dyDescent="0.3">
      <c r="A2680" t="str">
        <f>"0611833229025"</f>
        <v>0611833229025</v>
      </c>
      <c r="B2680" t="str">
        <f>"MC2247"</f>
        <v>MC2247</v>
      </c>
      <c r="C2680" t="s">
        <v>32435</v>
      </c>
      <c r="D2680" t="s">
        <v>27267</v>
      </c>
      <c r="E2680" t="str">
        <f t="shared" si="41"/>
        <v>001390</v>
      </c>
      <c r="F2680" t="s">
        <v>27246</v>
      </c>
      <c r="G2680" t="s">
        <v>27247</v>
      </c>
      <c r="H2680" t="s">
        <v>27248</v>
      </c>
      <c r="I2680" t="s">
        <v>32436</v>
      </c>
      <c r="J2680" t="s">
        <v>5383</v>
      </c>
      <c r="L2680" t="s">
        <v>27250</v>
      </c>
      <c r="M2680" t="s">
        <v>27251</v>
      </c>
      <c r="N2680" t="s">
        <v>27252</v>
      </c>
      <c r="Q2680" s="1">
        <v>44538</v>
      </c>
      <c r="R2680" t="s">
        <v>27253</v>
      </c>
      <c r="S2680" t="s">
        <v>27254</v>
      </c>
      <c r="T2680" t="s">
        <v>27269</v>
      </c>
    </row>
    <row r="2681" spans="1:20" x14ac:dyDescent="0.3">
      <c r="A2681" t="str">
        <f>"0611861236050"</f>
        <v>0611861236050</v>
      </c>
      <c r="B2681" t="str">
        <f>"CR2106"</f>
        <v>CR2106</v>
      </c>
      <c r="C2681" t="s">
        <v>32437</v>
      </c>
      <c r="D2681" t="s">
        <v>27271</v>
      </c>
      <c r="E2681" t="str">
        <f t="shared" si="41"/>
        <v>001390</v>
      </c>
      <c r="F2681" t="s">
        <v>27246</v>
      </c>
      <c r="G2681" t="s">
        <v>27247</v>
      </c>
      <c r="H2681" t="s">
        <v>27248</v>
      </c>
      <c r="I2681" t="s">
        <v>32438</v>
      </c>
      <c r="J2681" t="s">
        <v>5393</v>
      </c>
      <c r="L2681" t="s">
        <v>27250</v>
      </c>
      <c r="M2681" t="s">
        <v>27251</v>
      </c>
      <c r="N2681" t="s">
        <v>27252</v>
      </c>
      <c r="P2681" t="s">
        <v>27341</v>
      </c>
      <c r="Q2681" s="1">
        <v>44846</v>
      </c>
      <c r="R2681" t="s">
        <v>27253</v>
      </c>
      <c r="S2681" t="s">
        <v>27254</v>
      </c>
      <c r="T2681" t="s">
        <v>27265</v>
      </c>
    </row>
    <row r="2682" spans="1:20" x14ac:dyDescent="0.3">
      <c r="A2682" t="str">
        <f>"0611861237050"</f>
        <v>0611861237050</v>
      </c>
      <c r="B2682" t="str">
        <f>"CR2108"</f>
        <v>CR2108</v>
      </c>
      <c r="C2682" t="s">
        <v>32439</v>
      </c>
      <c r="D2682" t="s">
        <v>27271</v>
      </c>
      <c r="E2682" t="str">
        <f t="shared" si="41"/>
        <v>001390</v>
      </c>
      <c r="F2682" t="s">
        <v>27246</v>
      </c>
      <c r="G2682" t="s">
        <v>27247</v>
      </c>
      <c r="H2682" t="s">
        <v>27248</v>
      </c>
      <c r="I2682" t="s">
        <v>32440</v>
      </c>
      <c r="J2682" t="s">
        <v>5395</v>
      </c>
      <c r="L2682" t="s">
        <v>27250</v>
      </c>
      <c r="M2682" t="s">
        <v>27251</v>
      </c>
      <c r="N2682" t="s">
        <v>27252</v>
      </c>
      <c r="P2682" t="s">
        <v>27341</v>
      </c>
      <c r="Q2682" s="1">
        <v>44846</v>
      </c>
      <c r="R2682" t="s">
        <v>27253</v>
      </c>
      <c r="S2682" t="s">
        <v>27254</v>
      </c>
      <c r="T2682" t="s">
        <v>27265</v>
      </c>
    </row>
    <row r="2683" spans="1:20" x14ac:dyDescent="0.3">
      <c r="A2683" t="str">
        <f>"0611861238050"</f>
        <v>0611861238050</v>
      </c>
      <c r="B2683" t="str">
        <f>"CR3510"</f>
        <v>CR3510</v>
      </c>
      <c r="C2683" t="s">
        <v>32441</v>
      </c>
      <c r="D2683" t="s">
        <v>27271</v>
      </c>
      <c r="E2683" t="str">
        <f t="shared" si="41"/>
        <v>001390</v>
      </c>
      <c r="F2683" t="s">
        <v>27246</v>
      </c>
      <c r="G2683" t="s">
        <v>27247</v>
      </c>
      <c r="H2683" t="s">
        <v>27248</v>
      </c>
      <c r="I2683" t="s">
        <v>32442</v>
      </c>
      <c r="J2683" t="s">
        <v>5397</v>
      </c>
      <c r="L2683" t="s">
        <v>27250</v>
      </c>
      <c r="M2683" t="s">
        <v>27251</v>
      </c>
      <c r="N2683" t="s">
        <v>27252</v>
      </c>
      <c r="P2683" t="s">
        <v>27341</v>
      </c>
      <c r="Q2683" s="1">
        <v>44846</v>
      </c>
      <c r="R2683" t="s">
        <v>27253</v>
      </c>
      <c r="S2683" t="s">
        <v>27254</v>
      </c>
      <c r="T2683" t="s">
        <v>27265</v>
      </c>
    </row>
    <row r="2684" spans="1:20" x14ac:dyDescent="0.3">
      <c r="A2684" t="str">
        <f>"0611861240050"</f>
        <v>0611861240050</v>
      </c>
      <c r="B2684" t="str">
        <f>"CR3858"</f>
        <v>CR3858</v>
      </c>
      <c r="C2684" t="s">
        <v>32443</v>
      </c>
      <c r="D2684" t="s">
        <v>27271</v>
      </c>
      <c r="E2684" t="str">
        <f t="shared" si="41"/>
        <v>001390</v>
      </c>
      <c r="F2684" t="s">
        <v>27246</v>
      </c>
      <c r="G2684" t="s">
        <v>27247</v>
      </c>
      <c r="H2684" t="s">
        <v>27248</v>
      </c>
      <c r="I2684" t="s">
        <v>32444</v>
      </c>
      <c r="J2684" t="s">
        <v>5401</v>
      </c>
      <c r="L2684" t="s">
        <v>27250</v>
      </c>
      <c r="M2684" t="s">
        <v>27251</v>
      </c>
      <c r="N2684" t="s">
        <v>27252</v>
      </c>
      <c r="P2684" t="s">
        <v>27341</v>
      </c>
      <c r="Q2684" s="1">
        <v>44846</v>
      </c>
      <c r="R2684" t="s">
        <v>27253</v>
      </c>
      <c r="S2684" t="s">
        <v>27254</v>
      </c>
      <c r="T2684" t="s">
        <v>27265</v>
      </c>
    </row>
    <row r="2685" spans="1:20" x14ac:dyDescent="0.3">
      <c r="A2685" t="str">
        <f>"0611861239050"</f>
        <v>0611861239050</v>
      </c>
      <c r="B2685" t="str">
        <f>"CR2109"</f>
        <v>CR2109</v>
      </c>
      <c r="C2685" t="s">
        <v>32445</v>
      </c>
      <c r="D2685" t="s">
        <v>28376</v>
      </c>
      <c r="E2685" t="str">
        <f t="shared" si="41"/>
        <v>001390</v>
      </c>
      <c r="F2685" t="s">
        <v>27246</v>
      </c>
      <c r="G2685" t="s">
        <v>27247</v>
      </c>
      <c r="H2685" t="s">
        <v>27248</v>
      </c>
      <c r="I2685" t="s">
        <v>32446</v>
      </c>
      <c r="J2685" t="s">
        <v>5399</v>
      </c>
      <c r="L2685" t="s">
        <v>27250</v>
      </c>
      <c r="M2685" t="s">
        <v>27251</v>
      </c>
      <c r="N2685" t="s">
        <v>27252</v>
      </c>
      <c r="P2685" t="s">
        <v>27341</v>
      </c>
      <c r="Q2685" s="1">
        <v>44846</v>
      </c>
      <c r="R2685" t="s">
        <v>27253</v>
      </c>
      <c r="S2685" t="s">
        <v>27254</v>
      </c>
      <c r="T2685" t="s">
        <v>28378</v>
      </c>
    </row>
    <row r="2686" spans="1:20" x14ac:dyDescent="0.3">
      <c r="A2686" t="str">
        <f>"0611861241050"</f>
        <v>0611861241050</v>
      </c>
      <c r="B2686" t="str">
        <f>"CR5167"</f>
        <v>CR5167</v>
      </c>
      <c r="C2686" t="s">
        <v>32447</v>
      </c>
      <c r="D2686" t="s">
        <v>27271</v>
      </c>
      <c r="E2686" t="str">
        <f t="shared" si="41"/>
        <v>001390</v>
      </c>
      <c r="F2686" t="s">
        <v>27246</v>
      </c>
      <c r="G2686" t="s">
        <v>27247</v>
      </c>
      <c r="H2686" t="s">
        <v>27248</v>
      </c>
      <c r="I2686" t="s">
        <v>32448</v>
      </c>
      <c r="J2686" t="s">
        <v>5403</v>
      </c>
      <c r="L2686" t="s">
        <v>27250</v>
      </c>
      <c r="M2686" t="s">
        <v>27251</v>
      </c>
      <c r="N2686" t="s">
        <v>27252</v>
      </c>
      <c r="P2686" t="s">
        <v>27341</v>
      </c>
      <c r="Q2686" s="1">
        <v>44846</v>
      </c>
      <c r="R2686" t="s">
        <v>27253</v>
      </c>
      <c r="S2686" t="s">
        <v>27254</v>
      </c>
      <c r="T2686" t="s">
        <v>27265</v>
      </c>
    </row>
    <row r="2687" spans="1:20" x14ac:dyDescent="0.3">
      <c r="A2687" t="str">
        <f>"0611861242050"</f>
        <v>0611861242050</v>
      </c>
      <c r="B2687" t="str">
        <f>"CR3511"</f>
        <v>CR3511</v>
      </c>
      <c r="C2687" t="s">
        <v>32449</v>
      </c>
      <c r="D2687" t="s">
        <v>27271</v>
      </c>
      <c r="E2687" t="str">
        <f t="shared" si="41"/>
        <v>001390</v>
      </c>
      <c r="F2687" t="s">
        <v>27246</v>
      </c>
      <c r="G2687" t="s">
        <v>27247</v>
      </c>
      <c r="H2687" t="s">
        <v>27248</v>
      </c>
      <c r="I2687" t="s">
        <v>32450</v>
      </c>
      <c r="J2687" t="s">
        <v>5405</v>
      </c>
      <c r="L2687" t="s">
        <v>27250</v>
      </c>
      <c r="M2687" t="s">
        <v>27251</v>
      </c>
      <c r="N2687" t="s">
        <v>27252</v>
      </c>
      <c r="P2687" t="s">
        <v>27341</v>
      </c>
      <c r="Q2687" s="1">
        <v>44846</v>
      </c>
      <c r="R2687" t="s">
        <v>27253</v>
      </c>
      <c r="S2687" t="s">
        <v>27254</v>
      </c>
      <c r="T2687" t="s">
        <v>27265</v>
      </c>
    </row>
    <row r="2688" spans="1:20" x14ac:dyDescent="0.3">
      <c r="A2688" t="str">
        <f>"0611861243050"</f>
        <v>0611861243050</v>
      </c>
      <c r="B2688" t="str">
        <f>"CR2110"</f>
        <v>CR2110</v>
      </c>
      <c r="C2688" t="s">
        <v>32451</v>
      </c>
      <c r="D2688" t="s">
        <v>27271</v>
      </c>
      <c r="E2688" t="str">
        <f t="shared" si="41"/>
        <v>001390</v>
      </c>
      <c r="F2688" t="s">
        <v>27246</v>
      </c>
      <c r="G2688" t="s">
        <v>27247</v>
      </c>
      <c r="H2688" t="s">
        <v>27248</v>
      </c>
      <c r="I2688" t="s">
        <v>32452</v>
      </c>
      <c r="J2688" t="s">
        <v>5407</v>
      </c>
      <c r="L2688" t="s">
        <v>27250</v>
      </c>
      <c r="M2688" t="s">
        <v>27251</v>
      </c>
      <c r="N2688" t="s">
        <v>27252</v>
      </c>
      <c r="P2688" t="s">
        <v>27341</v>
      </c>
      <c r="Q2688" s="1">
        <v>44846</v>
      </c>
      <c r="R2688" t="s">
        <v>27253</v>
      </c>
      <c r="S2688" t="s">
        <v>27254</v>
      </c>
      <c r="T2688" t="s">
        <v>27265</v>
      </c>
    </row>
    <row r="2689" spans="1:20" x14ac:dyDescent="0.3">
      <c r="A2689" t="str">
        <f>"0611861244050"</f>
        <v>0611861244050</v>
      </c>
      <c r="B2689" t="str">
        <f>"CR2111"</f>
        <v>CR2111</v>
      </c>
      <c r="C2689" t="s">
        <v>32453</v>
      </c>
      <c r="D2689" t="s">
        <v>27271</v>
      </c>
      <c r="E2689" t="str">
        <f t="shared" si="41"/>
        <v>001390</v>
      </c>
      <c r="F2689" t="s">
        <v>27246</v>
      </c>
      <c r="G2689" t="s">
        <v>27247</v>
      </c>
      <c r="H2689" t="s">
        <v>27248</v>
      </c>
      <c r="I2689" t="s">
        <v>32454</v>
      </c>
      <c r="J2689" t="s">
        <v>5409</v>
      </c>
      <c r="L2689" t="s">
        <v>27250</v>
      </c>
      <c r="M2689" t="s">
        <v>27251</v>
      </c>
      <c r="N2689" t="s">
        <v>27252</v>
      </c>
      <c r="P2689" t="s">
        <v>27341</v>
      </c>
      <c r="Q2689" s="1">
        <v>44846</v>
      </c>
      <c r="R2689" t="s">
        <v>27253</v>
      </c>
      <c r="S2689" t="s">
        <v>27254</v>
      </c>
      <c r="T2689" t="s">
        <v>27265</v>
      </c>
    </row>
    <row r="2690" spans="1:20" x14ac:dyDescent="0.3">
      <c r="A2690" t="str">
        <f>"0611861245050"</f>
        <v>0611861245050</v>
      </c>
      <c r="B2690" t="str">
        <f>"CR2112"</f>
        <v>CR2112</v>
      </c>
      <c r="C2690" t="s">
        <v>32455</v>
      </c>
      <c r="D2690" t="s">
        <v>27271</v>
      </c>
      <c r="E2690" t="str">
        <f t="shared" ref="E2690:E2753" si="42">"001390"</f>
        <v>001390</v>
      </c>
      <c r="F2690" t="s">
        <v>27246</v>
      </c>
      <c r="G2690" t="s">
        <v>27247</v>
      </c>
      <c r="H2690" t="s">
        <v>27248</v>
      </c>
      <c r="I2690" t="s">
        <v>32456</v>
      </c>
      <c r="J2690" t="s">
        <v>5411</v>
      </c>
      <c r="L2690" t="s">
        <v>27250</v>
      </c>
      <c r="M2690" t="s">
        <v>27251</v>
      </c>
      <c r="N2690" t="s">
        <v>27252</v>
      </c>
      <c r="P2690" t="s">
        <v>27341</v>
      </c>
      <c r="Q2690" s="1">
        <v>44846</v>
      </c>
      <c r="R2690" t="s">
        <v>27253</v>
      </c>
      <c r="S2690" t="s">
        <v>27254</v>
      </c>
      <c r="T2690" t="s">
        <v>27265</v>
      </c>
    </row>
    <row r="2691" spans="1:20" x14ac:dyDescent="0.3">
      <c r="A2691" t="str">
        <f>"0611861246050"</f>
        <v>0611861246050</v>
      </c>
      <c r="B2691" t="str">
        <f>"CR4944"</f>
        <v>CR4944</v>
      </c>
      <c r="C2691" t="s">
        <v>32457</v>
      </c>
      <c r="D2691" t="s">
        <v>27271</v>
      </c>
      <c r="E2691" t="str">
        <f t="shared" si="42"/>
        <v>001390</v>
      </c>
      <c r="F2691" t="s">
        <v>27246</v>
      </c>
      <c r="G2691" t="s">
        <v>27247</v>
      </c>
      <c r="H2691" t="s">
        <v>27248</v>
      </c>
      <c r="I2691" t="s">
        <v>32458</v>
      </c>
      <c r="J2691" t="s">
        <v>5413</v>
      </c>
      <c r="L2691" t="s">
        <v>27250</v>
      </c>
      <c r="M2691" t="s">
        <v>27251</v>
      </c>
      <c r="N2691" t="s">
        <v>27252</v>
      </c>
      <c r="P2691" t="s">
        <v>27341</v>
      </c>
      <c r="Q2691" s="1">
        <v>44846</v>
      </c>
      <c r="R2691" t="s">
        <v>27253</v>
      </c>
      <c r="S2691" t="s">
        <v>27254</v>
      </c>
      <c r="T2691" t="s">
        <v>27265</v>
      </c>
    </row>
    <row r="2692" spans="1:20" x14ac:dyDescent="0.3">
      <c r="A2692" t="str">
        <f>"0611861248050"</f>
        <v>0611861248050</v>
      </c>
      <c r="B2692" t="str">
        <f>"CR5068"</f>
        <v>CR5068</v>
      </c>
      <c r="C2692" t="s">
        <v>32459</v>
      </c>
      <c r="D2692" t="s">
        <v>27271</v>
      </c>
      <c r="E2692" t="str">
        <f t="shared" si="42"/>
        <v>001390</v>
      </c>
      <c r="F2692" t="s">
        <v>27246</v>
      </c>
      <c r="G2692" t="s">
        <v>27247</v>
      </c>
      <c r="H2692" t="s">
        <v>27248</v>
      </c>
      <c r="I2692" t="s">
        <v>32460</v>
      </c>
      <c r="J2692" t="s">
        <v>5415</v>
      </c>
      <c r="L2692" t="s">
        <v>27250</v>
      </c>
      <c r="M2692" t="s">
        <v>27251</v>
      </c>
      <c r="N2692" t="s">
        <v>27252</v>
      </c>
      <c r="P2692" t="s">
        <v>27341</v>
      </c>
      <c r="Q2692" s="1">
        <v>44846</v>
      </c>
      <c r="R2692" t="s">
        <v>27253</v>
      </c>
      <c r="S2692" t="s">
        <v>27254</v>
      </c>
      <c r="T2692" t="s">
        <v>27265</v>
      </c>
    </row>
    <row r="2693" spans="1:20" x14ac:dyDescent="0.3">
      <c r="A2693" t="str">
        <f>"0611861249050"</f>
        <v>0611861249050</v>
      </c>
      <c r="B2693" t="str">
        <f>"CR3676"</f>
        <v>CR3676</v>
      </c>
      <c r="C2693" t="s">
        <v>32461</v>
      </c>
      <c r="D2693" t="s">
        <v>27271</v>
      </c>
      <c r="E2693" t="str">
        <f t="shared" si="42"/>
        <v>001390</v>
      </c>
      <c r="F2693" t="s">
        <v>27246</v>
      </c>
      <c r="G2693" t="s">
        <v>27247</v>
      </c>
      <c r="H2693" t="s">
        <v>27248</v>
      </c>
      <c r="I2693" t="s">
        <v>32462</v>
      </c>
      <c r="J2693" t="s">
        <v>5417</v>
      </c>
      <c r="L2693" t="s">
        <v>27250</v>
      </c>
      <c r="M2693" t="s">
        <v>27251</v>
      </c>
      <c r="N2693" t="s">
        <v>27252</v>
      </c>
      <c r="P2693" t="s">
        <v>27341</v>
      </c>
      <c r="Q2693" s="1">
        <v>44846</v>
      </c>
      <c r="R2693" t="s">
        <v>27253</v>
      </c>
      <c r="S2693" t="s">
        <v>27254</v>
      </c>
      <c r="T2693" t="s">
        <v>27265</v>
      </c>
    </row>
    <row r="2694" spans="1:20" x14ac:dyDescent="0.3">
      <c r="A2694" t="str">
        <f>"0611861250050"</f>
        <v>0611861250050</v>
      </c>
      <c r="B2694" t="str">
        <f>"CR2113"</f>
        <v>CR2113</v>
      </c>
      <c r="C2694" t="s">
        <v>32463</v>
      </c>
      <c r="D2694" t="s">
        <v>27271</v>
      </c>
      <c r="E2694" t="str">
        <f t="shared" si="42"/>
        <v>001390</v>
      </c>
      <c r="F2694" t="s">
        <v>27246</v>
      </c>
      <c r="G2694" t="s">
        <v>27247</v>
      </c>
      <c r="H2694" t="s">
        <v>27248</v>
      </c>
      <c r="I2694" t="s">
        <v>32464</v>
      </c>
      <c r="J2694" t="s">
        <v>5419</v>
      </c>
      <c r="L2694" t="s">
        <v>27250</v>
      </c>
      <c r="M2694" t="s">
        <v>27251</v>
      </c>
      <c r="N2694" t="s">
        <v>27252</v>
      </c>
      <c r="P2694" t="s">
        <v>27341</v>
      </c>
      <c r="Q2694" s="1">
        <v>44846</v>
      </c>
      <c r="R2694" t="s">
        <v>27253</v>
      </c>
      <c r="S2694" t="s">
        <v>27254</v>
      </c>
      <c r="T2694" t="s">
        <v>27265</v>
      </c>
    </row>
    <row r="2695" spans="1:20" x14ac:dyDescent="0.3">
      <c r="A2695" t="str">
        <f>"0611861251050"</f>
        <v>0611861251050</v>
      </c>
      <c r="B2695" t="str">
        <f>"CR3512"</f>
        <v>CR3512</v>
      </c>
      <c r="C2695" t="s">
        <v>32465</v>
      </c>
      <c r="D2695" t="s">
        <v>27271</v>
      </c>
      <c r="E2695" t="str">
        <f t="shared" si="42"/>
        <v>001390</v>
      </c>
      <c r="F2695" t="s">
        <v>27246</v>
      </c>
      <c r="G2695" t="s">
        <v>27247</v>
      </c>
      <c r="H2695" t="s">
        <v>27248</v>
      </c>
      <c r="I2695" t="s">
        <v>32466</v>
      </c>
      <c r="J2695" t="s">
        <v>5421</v>
      </c>
      <c r="L2695" t="s">
        <v>27250</v>
      </c>
      <c r="M2695" t="s">
        <v>27251</v>
      </c>
      <c r="N2695" t="s">
        <v>27252</v>
      </c>
      <c r="P2695" t="s">
        <v>27341</v>
      </c>
      <c r="Q2695" s="1">
        <v>44846</v>
      </c>
      <c r="R2695" t="s">
        <v>27253</v>
      </c>
      <c r="S2695" t="s">
        <v>27254</v>
      </c>
      <c r="T2695" t="s">
        <v>27265</v>
      </c>
    </row>
    <row r="2696" spans="1:20" x14ac:dyDescent="0.3">
      <c r="A2696" t="str">
        <f>"0611861252050"</f>
        <v>0611861252050</v>
      </c>
      <c r="B2696" t="str">
        <f>"CR2114"</f>
        <v>CR2114</v>
      </c>
      <c r="C2696" t="s">
        <v>32467</v>
      </c>
      <c r="D2696" t="s">
        <v>27271</v>
      </c>
      <c r="E2696" t="str">
        <f t="shared" si="42"/>
        <v>001390</v>
      </c>
      <c r="F2696" t="s">
        <v>27246</v>
      </c>
      <c r="G2696" t="s">
        <v>27247</v>
      </c>
      <c r="H2696" t="s">
        <v>27248</v>
      </c>
      <c r="I2696" t="s">
        <v>32468</v>
      </c>
      <c r="J2696" t="s">
        <v>5423</v>
      </c>
      <c r="L2696" t="s">
        <v>27250</v>
      </c>
      <c r="M2696" t="s">
        <v>27251</v>
      </c>
      <c r="N2696" t="s">
        <v>27252</v>
      </c>
      <c r="P2696" t="s">
        <v>27341</v>
      </c>
      <c r="Q2696" s="1">
        <v>44846</v>
      </c>
      <c r="R2696" t="s">
        <v>27253</v>
      </c>
      <c r="S2696" t="s">
        <v>27254</v>
      </c>
      <c r="T2696" t="s">
        <v>27265</v>
      </c>
    </row>
    <row r="2697" spans="1:20" x14ac:dyDescent="0.3">
      <c r="A2697" t="str">
        <f>"0611861253050"</f>
        <v>0611861253050</v>
      </c>
      <c r="B2697" t="str">
        <f>"CR2809"</f>
        <v>CR2809</v>
      </c>
      <c r="C2697" t="s">
        <v>32469</v>
      </c>
      <c r="D2697" t="s">
        <v>27271</v>
      </c>
      <c r="E2697" t="str">
        <f t="shared" si="42"/>
        <v>001390</v>
      </c>
      <c r="F2697" t="s">
        <v>27246</v>
      </c>
      <c r="G2697" t="s">
        <v>27247</v>
      </c>
      <c r="H2697" t="s">
        <v>27248</v>
      </c>
      <c r="I2697" t="s">
        <v>32470</v>
      </c>
      <c r="J2697" t="s">
        <v>5425</v>
      </c>
      <c r="L2697" t="s">
        <v>27250</v>
      </c>
      <c r="M2697" t="s">
        <v>27251</v>
      </c>
      <c r="N2697" t="s">
        <v>27252</v>
      </c>
      <c r="P2697" t="s">
        <v>27341</v>
      </c>
      <c r="Q2697" s="1">
        <v>44846</v>
      </c>
      <c r="R2697" t="s">
        <v>27253</v>
      </c>
      <c r="S2697" t="s">
        <v>27254</v>
      </c>
      <c r="T2697" t="s">
        <v>27265</v>
      </c>
    </row>
    <row r="2698" spans="1:20" x14ac:dyDescent="0.3">
      <c r="A2698" t="str">
        <f>"0611861254050"</f>
        <v>0611861254050</v>
      </c>
      <c r="B2698" t="str">
        <f>"CR2115"</f>
        <v>CR2115</v>
      </c>
      <c r="C2698" t="s">
        <v>32471</v>
      </c>
      <c r="D2698" t="s">
        <v>27271</v>
      </c>
      <c r="E2698" t="str">
        <f t="shared" si="42"/>
        <v>001390</v>
      </c>
      <c r="F2698" t="s">
        <v>27246</v>
      </c>
      <c r="G2698" t="s">
        <v>27247</v>
      </c>
      <c r="H2698" t="s">
        <v>27248</v>
      </c>
      <c r="I2698" t="s">
        <v>32472</v>
      </c>
      <c r="J2698" t="s">
        <v>5427</v>
      </c>
      <c r="L2698" t="s">
        <v>27250</v>
      </c>
      <c r="M2698" t="s">
        <v>27251</v>
      </c>
      <c r="N2698" t="s">
        <v>27252</v>
      </c>
      <c r="P2698" t="s">
        <v>27341</v>
      </c>
      <c r="Q2698" s="1">
        <v>44846</v>
      </c>
      <c r="R2698" t="s">
        <v>27253</v>
      </c>
      <c r="S2698" t="s">
        <v>27254</v>
      </c>
      <c r="T2698" t="s">
        <v>27265</v>
      </c>
    </row>
    <row r="2699" spans="1:20" x14ac:dyDescent="0.3">
      <c r="A2699" t="str">
        <f>"0611861255050"</f>
        <v>0611861255050</v>
      </c>
      <c r="B2699" t="str">
        <f>"CR4104"</f>
        <v>CR4104</v>
      </c>
      <c r="C2699" t="s">
        <v>32473</v>
      </c>
      <c r="D2699" t="s">
        <v>27271</v>
      </c>
      <c r="E2699" t="str">
        <f t="shared" si="42"/>
        <v>001390</v>
      </c>
      <c r="F2699" t="s">
        <v>27246</v>
      </c>
      <c r="G2699" t="s">
        <v>27247</v>
      </c>
      <c r="H2699" t="s">
        <v>27248</v>
      </c>
      <c r="I2699" t="s">
        <v>32474</v>
      </c>
      <c r="J2699" t="s">
        <v>5429</v>
      </c>
      <c r="L2699" t="s">
        <v>27250</v>
      </c>
      <c r="M2699" t="s">
        <v>27251</v>
      </c>
      <c r="N2699" t="s">
        <v>27252</v>
      </c>
      <c r="P2699" t="s">
        <v>27341</v>
      </c>
      <c r="Q2699" s="1">
        <v>44846</v>
      </c>
      <c r="R2699" t="s">
        <v>27253</v>
      </c>
      <c r="S2699" t="s">
        <v>27254</v>
      </c>
      <c r="T2699" t="s">
        <v>27265</v>
      </c>
    </row>
    <row r="2700" spans="1:20" x14ac:dyDescent="0.3">
      <c r="A2700" t="str">
        <f>"0611833230100"</f>
        <v>0611833230100</v>
      </c>
      <c r="B2700" t="str">
        <f>"LK3212"</f>
        <v>LK3212</v>
      </c>
      <c r="C2700" t="s">
        <v>32475</v>
      </c>
      <c r="D2700" t="s">
        <v>27245</v>
      </c>
      <c r="E2700" t="str">
        <f t="shared" si="42"/>
        <v>001390</v>
      </c>
      <c r="F2700" t="s">
        <v>27246</v>
      </c>
      <c r="G2700" t="s">
        <v>27247</v>
      </c>
      <c r="H2700" t="s">
        <v>27248</v>
      </c>
      <c r="I2700" t="s">
        <v>32476</v>
      </c>
      <c r="J2700" t="s">
        <v>5385</v>
      </c>
      <c r="L2700" t="s">
        <v>27250</v>
      </c>
      <c r="M2700" t="s">
        <v>27251</v>
      </c>
      <c r="N2700" t="s">
        <v>27252</v>
      </c>
      <c r="Q2700" s="1">
        <v>44538</v>
      </c>
      <c r="R2700" t="s">
        <v>27253</v>
      </c>
      <c r="S2700" t="s">
        <v>27254</v>
      </c>
      <c r="T2700" t="s">
        <v>27255</v>
      </c>
    </row>
    <row r="2701" spans="1:20" x14ac:dyDescent="0.3">
      <c r="A2701" t="str">
        <f>"0611833231100"</f>
        <v>0611833231100</v>
      </c>
      <c r="B2701" t="str">
        <f>"LS0015"</f>
        <v>LS0015</v>
      </c>
      <c r="C2701" t="s">
        <v>32477</v>
      </c>
      <c r="D2701" t="s">
        <v>27245</v>
      </c>
      <c r="E2701" t="str">
        <f t="shared" si="42"/>
        <v>001390</v>
      </c>
      <c r="F2701" t="s">
        <v>27246</v>
      </c>
      <c r="G2701" t="s">
        <v>27247</v>
      </c>
      <c r="H2701" t="s">
        <v>27248</v>
      </c>
      <c r="I2701" t="s">
        <v>32478</v>
      </c>
      <c r="J2701" t="s">
        <v>5387</v>
      </c>
      <c r="L2701" t="s">
        <v>27250</v>
      </c>
      <c r="M2701" t="s">
        <v>27251</v>
      </c>
      <c r="N2701" t="s">
        <v>27252</v>
      </c>
      <c r="Q2701" s="1">
        <v>44538</v>
      </c>
      <c r="R2701" t="s">
        <v>27253</v>
      </c>
      <c r="S2701" t="s">
        <v>27254</v>
      </c>
      <c r="T2701" t="s">
        <v>27255</v>
      </c>
    </row>
    <row r="2702" spans="1:20" x14ac:dyDescent="0.3">
      <c r="A2702" t="str">
        <f>"0611833232100"</f>
        <v>0611833232100</v>
      </c>
      <c r="B2702" t="str">
        <f>"LK0685"</f>
        <v>LK0685</v>
      </c>
      <c r="C2702" t="s">
        <v>32479</v>
      </c>
      <c r="D2702" t="s">
        <v>27245</v>
      </c>
      <c r="E2702" t="str">
        <f t="shared" si="42"/>
        <v>001390</v>
      </c>
      <c r="F2702" t="s">
        <v>27246</v>
      </c>
      <c r="G2702" t="s">
        <v>27247</v>
      </c>
      <c r="H2702" t="s">
        <v>27248</v>
      </c>
      <c r="I2702" t="s">
        <v>32480</v>
      </c>
      <c r="J2702" t="s">
        <v>5389</v>
      </c>
      <c r="L2702" t="s">
        <v>27250</v>
      </c>
      <c r="M2702" t="s">
        <v>27251</v>
      </c>
      <c r="N2702" t="s">
        <v>27252</v>
      </c>
      <c r="Q2702" s="1">
        <v>44538</v>
      </c>
      <c r="R2702" t="s">
        <v>27253</v>
      </c>
      <c r="S2702" t="s">
        <v>27254</v>
      </c>
      <c r="T2702" t="s">
        <v>27255</v>
      </c>
    </row>
    <row r="2703" spans="1:20" x14ac:dyDescent="0.3">
      <c r="A2703" t="str">
        <f>"0611861256050"</f>
        <v>0611861256050</v>
      </c>
      <c r="B2703" t="str">
        <f>"CR5166"</f>
        <v>CR5166</v>
      </c>
      <c r="C2703" t="s">
        <v>32481</v>
      </c>
      <c r="D2703" t="s">
        <v>27263</v>
      </c>
      <c r="E2703" t="str">
        <f t="shared" si="42"/>
        <v>001390</v>
      </c>
      <c r="F2703" t="s">
        <v>27246</v>
      </c>
      <c r="G2703" t="s">
        <v>27247</v>
      </c>
      <c r="H2703" t="s">
        <v>27248</v>
      </c>
      <c r="I2703" t="s">
        <v>32482</v>
      </c>
      <c r="J2703" t="s">
        <v>5391</v>
      </c>
      <c r="L2703" t="s">
        <v>27250</v>
      </c>
      <c r="M2703" t="s">
        <v>27251</v>
      </c>
      <c r="N2703" t="s">
        <v>27252</v>
      </c>
      <c r="Q2703" s="1">
        <v>44846</v>
      </c>
      <c r="R2703" t="s">
        <v>27253</v>
      </c>
      <c r="S2703" t="s">
        <v>27254</v>
      </c>
      <c r="T2703" t="s">
        <v>27265</v>
      </c>
    </row>
    <row r="2704" spans="1:20" x14ac:dyDescent="0.3">
      <c r="A2704" t="str">
        <f>"0611833233100"</f>
        <v>0611833233100</v>
      </c>
      <c r="B2704" t="str">
        <f>"LB2194"</f>
        <v>LB2194</v>
      </c>
      <c r="C2704" t="s">
        <v>32483</v>
      </c>
      <c r="D2704" t="s">
        <v>27245</v>
      </c>
      <c r="E2704" t="str">
        <f t="shared" si="42"/>
        <v>001390</v>
      </c>
      <c r="F2704" t="s">
        <v>27246</v>
      </c>
      <c r="G2704" t="s">
        <v>27247</v>
      </c>
      <c r="H2704" t="s">
        <v>27248</v>
      </c>
      <c r="I2704" t="s">
        <v>32484</v>
      </c>
      <c r="J2704" t="s">
        <v>5431</v>
      </c>
      <c r="L2704" t="s">
        <v>27250</v>
      </c>
      <c r="M2704" t="s">
        <v>27251</v>
      </c>
      <c r="N2704" t="s">
        <v>27252</v>
      </c>
      <c r="Q2704" s="1">
        <v>44538</v>
      </c>
      <c r="R2704" t="s">
        <v>27253</v>
      </c>
      <c r="S2704" t="s">
        <v>27254</v>
      </c>
      <c r="T2704" t="s">
        <v>27255</v>
      </c>
    </row>
    <row r="2705" spans="1:20" x14ac:dyDescent="0.3">
      <c r="A2705" t="str">
        <f>"0611833234100"</f>
        <v>0611833234100</v>
      </c>
      <c r="B2705" t="str">
        <f>"LK2595"</f>
        <v>LK2595</v>
      </c>
      <c r="C2705" t="s">
        <v>32485</v>
      </c>
      <c r="D2705" t="s">
        <v>27245</v>
      </c>
      <c r="E2705" t="str">
        <f t="shared" si="42"/>
        <v>001390</v>
      </c>
      <c r="F2705" t="s">
        <v>27246</v>
      </c>
      <c r="G2705" t="s">
        <v>27247</v>
      </c>
      <c r="H2705" t="s">
        <v>27248</v>
      </c>
      <c r="I2705" t="s">
        <v>32486</v>
      </c>
      <c r="J2705" t="s">
        <v>5433</v>
      </c>
      <c r="L2705" t="s">
        <v>27250</v>
      </c>
      <c r="M2705" t="s">
        <v>27251</v>
      </c>
      <c r="N2705" t="s">
        <v>27252</v>
      </c>
      <c r="Q2705" s="1">
        <v>44538</v>
      </c>
      <c r="R2705" t="s">
        <v>27253</v>
      </c>
      <c r="S2705" t="s">
        <v>27254</v>
      </c>
      <c r="T2705" t="s">
        <v>27255</v>
      </c>
    </row>
    <row r="2706" spans="1:20" x14ac:dyDescent="0.3">
      <c r="A2706" t="str">
        <f>"0611861257050"</f>
        <v>0611861257050</v>
      </c>
      <c r="B2706" t="str">
        <f>"CR2123"</f>
        <v>CR2123</v>
      </c>
      <c r="C2706" t="s">
        <v>32487</v>
      </c>
      <c r="D2706" t="s">
        <v>27263</v>
      </c>
      <c r="E2706" t="str">
        <f t="shared" si="42"/>
        <v>001390</v>
      </c>
      <c r="F2706" t="s">
        <v>27246</v>
      </c>
      <c r="G2706" t="s">
        <v>27247</v>
      </c>
      <c r="H2706" t="s">
        <v>27248</v>
      </c>
      <c r="I2706" t="s">
        <v>32488</v>
      </c>
      <c r="J2706" t="s">
        <v>5313</v>
      </c>
      <c r="L2706" t="s">
        <v>27250</v>
      </c>
      <c r="M2706" t="s">
        <v>27251</v>
      </c>
      <c r="N2706" t="s">
        <v>27252</v>
      </c>
      <c r="Q2706" s="1">
        <v>44846</v>
      </c>
      <c r="R2706" t="s">
        <v>27253</v>
      </c>
      <c r="S2706" t="s">
        <v>27254</v>
      </c>
      <c r="T2706" t="s">
        <v>27265</v>
      </c>
    </row>
    <row r="2707" spans="1:20" x14ac:dyDescent="0.3">
      <c r="A2707" t="str">
        <f>"0611833235100"</f>
        <v>0611833235100</v>
      </c>
      <c r="B2707" t="str">
        <f>"LK5740"</f>
        <v>LK5740</v>
      </c>
      <c r="C2707" t="s">
        <v>32489</v>
      </c>
      <c r="D2707" t="s">
        <v>27245</v>
      </c>
      <c r="E2707" t="str">
        <f t="shared" si="42"/>
        <v>001390</v>
      </c>
      <c r="F2707" t="s">
        <v>27246</v>
      </c>
      <c r="G2707" t="s">
        <v>27247</v>
      </c>
      <c r="H2707" t="s">
        <v>27248</v>
      </c>
      <c r="I2707" t="s">
        <v>32490</v>
      </c>
      <c r="J2707" t="s">
        <v>5435</v>
      </c>
      <c r="L2707" t="s">
        <v>27250</v>
      </c>
      <c r="M2707" t="s">
        <v>27251</v>
      </c>
      <c r="N2707" t="s">
        <v>27252</v>
      </c>
      <c r="Q2707" s="1">
        <v>44538</v>
      </c>
      <c r="R2707" t="s">
        <v>27253</v>
      </c>
      <c r="S2707" t="s">
        <v>27254</v>
      </c>
      <c r="T2707" t="s">
        <v>27255</v>
      </c>
    </row>
    <row r="2708" spans="1:20" x14ac:dyDescent="0.3">
      <c r="A2708" t="str">
        <f>"0611884108050"</f>
        <v>0611884108050</v>
      </c>
      <c r="B2708" t="str">
        <f>"CE1738"</f>
        <v>CE1738</v>
      </c>
      <c r="C2708" t="s">
        <v>32491</v>
      </c>
      <c r="D2708" t="s">
        <v>27923</v>
      </c>
      <c r="E2708" t="str">
        <f t="shared" si="42"/>
        <v>001390</v>
      </c>
      <c r="F2708" t="s">
        <v>27246</v>
      </c>
      <c r="G2708" t="s">
        <v>27247</v>
      </c>
      <c r="H2708" t="s">
        <v>27248</v>
      </c>
      <c r="I2708" t="s">
        <v>32492</v>
      </c>
      <c r="J2708" t="s">
        <v>5437</v>
      </c>
      <c r="L2708" t="s">
        <v>27430</v>
      </c>
      <c r="M2708" t="s">
        <v>27251</v>
      </c>
      <c r="N2708" t="s">
        <v>27252</v>
      </c>
      <c r="P2708" t="s">
        <v>27925</v>
      </c>
      <c r="Q2708" s="1">
        <v>45250</v>
      </c>
      <c r="R2708" t="s">
        <v>27253</v>
      </c>
      <c r="S2708" t="s">
        <v>27254</v>
      </c>
      <c r="T2708" t="s">
        <v>27265</v>
      </c>
    </row>
    <row r="2709" spans="1:20" x14ac:dyDescent="0.3">
      <c r="A2709" t="str">
        <f>"0611884109050"</f>
        <v>0611884109050</v>
      </c>
      <c r="B2709" t="str">
        <f>"CE1731"</f>
        <v>CE1731</v>
      </c>
      <c r="C2709" t="s">
        <v>32493</v>
      </c>
      <c r="D2709" t="s">
        <v>27923</v>
      </c>
      <c r="E2709" t="str">
        <f t="shared" si="42"/>
        <v>001390</v>
      </c>
      <c r="F2709" t="s">
        <v>27246</v>
      </c>
      <c r="G2709" t="s">
        <v>27247</v>
      </c>
      <c r="H2709" t="s">
        <v>27248</v>
      </c>
      <c r="I2709" t="s">
        <v>32494</v>
      </c>
      <c r="J2709" t="s">
        <v>5439</v>
      </c>
      <c r="L2709" t="s">
        <v>27430</v>
      </c>
      <c r="M2709" t="s">
        <v>27251</v>
      </c>
      <c r="N2709" t="s">
        <v>27252</v>
      </c>
      <c r="P2709" t="s">
        <v>27925</v>
      </c>
      <c r="Q2709" s="1">
        <v>45250</v>
      </c>
      <c r="R2709" t="s">
        <v>27253</v>
      </c>
      <c r="S2709" t="s">
        <v>27254</v>
      </c>
      <c r="T2709" t="s">
        <v>27265</v>
      </c>
    </row>
    <row r="2710" spans="1:20" x14ac:dyDescent="0.3">
      <c r="A2710" t="str">
        <f>"0611884110050"</f>
        <v>0611884110050</v>
      </c>
      <c r="B2710" t="str">
        <f>"CE1730"</f>
        <v>CE1730</v>
      </c>
      <c r="C2710" t="s">
        <v>32495</v>
      </c>
      <c r="D2710" t="s">
        <v>27923</v>
      </c>
      <c r="E2710" t="str">
        <f t="shared" si="42"/>
        <v>001390</v>
      </c>
      <c r="F2710" t="s">
        <v>27246</v>
      </c>
      <c r="G2710" t="s">
        <v>27247</v>
      </c>
      <c r="H2710" t="s">
        <v>27248</v>
      </c>
      <c r="I2710" t="s">
        <v>32496</v>
      </c>
      <c r="J2710" t="s">
        <v>5441</v>
      </c>
      <c r="L2710" t="s">
        <v>27430</v>
      </c>
      <c r="M2710" t="s">
        <v>27251</v>
      </c>
      <c r="N2710" t="s">
        <v>27252</v>
      </c>
      <c r="P2710" t="s">
        <v>27925</v>
      </c>
      <c r="Q2710" s="1">
        <v>45250</v>
      </c>
      <c r="R2710" t="s">
        <v>27253</v>
      </c>
      <c r="S2710" t="s">
        <v>27254</v>
      </c>
      <c r="T2710" t="s">
        <v>27265</v>
      </c>
    </row>
    <row r="2711" spans="1:20" x14ac:dyDescent="0.3">
      <c r="A2711" t="str">
        <f>"0611884111050"</f>
        <v>0611884111050</v>
      </c>
      <c r="B2711" t="str">
        <f>"CE1732"</f>
        <v>CE1732</v>
      </c>
      <c r="C2711" t="s">
        <v>32497</v>
      </c>
      <c r="D2711" t="s">
        <v>27923</v>
      </c>
      <c r="E2711" t="str">
        <f t="shared" si="42"/>
        <v>001390</v>
      </c>
      <c r="F2711" t="s">
        <v>27246</v>
      </c>
      <c r="G2711" t="s">
        <v>27247</v>
      </c>
      <c r="H2711" t="s">
        <v>27248</v>
      </c>
      <c r="I2711" t="s">
        <v>32498</v>
      </c>
      <c r="J2711" t="s">
        <v>5443</v>
      </c>
      <c r="L2711" t="s">
        <v>27430</v>
      </c>
      <c r="M2711" t="s">
        <v>27251</v>
      </c>
      <c r="N2711" t="s">
        <v>27252</v>
      </c>
      <c r="P2711" t="s">
        <v>27925</v>
      </c>
      <c r="Q2711" s="1">
        <v>45250</v>
      </c>
      <c r="R2711" t="s">
        <v>27253</v>
      </c>
      <c r="S2711" t="s">
        <v>27254</v>
      </c>
      <c r="T2711" t="s">
        <v>27265</v>
      </c>
    </row>
    <row r="2712" spans="1:20" x14ac:dyDescent="0.3">
      <c r="A2712" t="str">
        <f>"0611884112050"</f>
        <v>0611884112050</v>
      </c>
      <c r="B2712" t="str">
        <f>"CE1736"</f>
        <v>CE1736</v>
      </c>
      <c r="C2712" t="s">
        <v>32499</v>
      </c>
      <c r="D2712" t="s">
        <v>27923</v>
      </c>
      <c r="E2712" t="str">
        <f t="shared" si="42"/>
        <v>001390</v>
      </c>
      <c r="F2712" t="s">
        <v>27246</v>
      </c>
      <c r="G2712" t="s">
        <v>27247</v>
      </c>
      <c r="H2712" t="s">
        <v>27248</v>
      </c>
      <c r="I2712" t="s">
        <v>32500</v>
      </c>
      <c r="J2712" t="s">
        <v>5445</v>
      </c>
      <c r="L2712" t="s">
        <v>27430</v>
      </c>
      <c r="M2712" t="s">
        <v>27251</v>
      </c>
      <c r="N2712" t="s">
        <v>27252</v>
      </c>
      <c r="P2712" t="s">
        <v>27925</v>
      </c>
      <c r="Q2712" s="1">
        <v>45250</v>
      </c>
      <c r="R2712" t="s">
        <v>27253</v>
      </c>
      <c r="S2712" t="s">
        <v>27254</v>
      </c>
      <c r="T2712" t="s">
        <v>27265</v>
      </c>
    </row>
    <row r="2713" spans="1:20" x14ac:dyDescent="0.3">
      <c r="A2713" t="str">
        <f>"0611884113050"</f>
        <v>0611884113050</v>
      </c>
      <c r="B2713" t="str">
        <f>"CE1737"</f>
        <v>CE1737</v>
      </c>
      <c r="C2713" t="s">
        <v>32501</v>
      </c>
      <c r="D2713" t="s">
        <v>27923</v>
      </c>
      <c r="E2713" t="str">
        <f t="shared" si="42"/>
        <v>001390</v>
      </c>
      <c r="F2713" t="s">
        <v>27246</v>
      </c>
      <c r="G2713" t="s">
        <v>27247</v>
      </c>
      <c r="H2713" t="s">
        <v>27248</v>
      </c>
      <c r="I2713" t="s">
        <v>32502</v>
      </c>
      <c r="J2713" t="s">
        <v>5447</v>
      </c>
      <c r="L2713" t="s">
        <v>27430</v>
      </c>
      <c r="M2713" t="s">
        <v>27251</v>
      </c>
      <c r="N2713" t="s">
        <v>27252</v>
      </c>
      <c r="P2713" t="s">
        <v>27925</v>
      </c>
      <c r="Q2713" s="1">
        <v>45250</v>
      </c>
      <c r="R2713" t="s">
        <v>27253</v>
      </c>
      <c r="S2713" t="s">
        <v>27254</v>
      </c>
      <c r="T2713" t="s">
        <v>27265</v>
      </c>
    </row>
    <row r="2714" spans="1:20" x14ac:dyDescent="0.3">
      <c r="A2714" t="str">
        <f>"0611833236100"</f>
        <v>0611833236100</v>
      </c>
      <c r="B2714" t="str">
        <f>"LQ3705"</f>
        <v>LQ3705</v>
      </c>
      <c r="C2714" t="s">
        <v>32503</v>
      </c>
      <c r="D2714" t="s">
        <v>27245</v>
      </c>
      <c r="E2714" t="str">
        <f t="shared" si="42"/>
        <v>001390</v>
      </c>
      <c r="F2714" t="s">
        <v>27246</v>
      </c>
      <c r="G2714" t="s">
        <v>27247</v>
      </c>
      <c r="H2714" t="s">
        <v>27248</v>
      </c>
      <c r="I2714" t="s">
        <v>32504</v>
      </c>
      <c r="J2714" t="s">
        <v>5449</v>
      </c>
      <c r="L2714" t="s">
        <v>27250</v>
      </c>
      <c r="M2714" t="s">
        <v>27251</v>
      </c>
      <c r="N2714" t="s">
        <v>27252</v>
      </c>
      <c r="Q2714" s="1">
        <v>44538</v>
      </c>
      <c r="R2714" t="s">
        <v>27253</v>
      </c>
      <c r="S2714" t="s">
        <v>27254</v>
      </c>
      <c r="T2714" t="s">
        <v>27255</v>
      </c>
    </row>
    <row r="2715" spans="1:20" x14ac:dyDescent="0.3">
      <c r="A2715" t="str">
        <f>"0611833237100"</f>
        <v>0611833237100</v>
      </c>
      <c r="B2715" t="str">
        <f>"LQ3706"</f>
        <v>LQ3706</v>
      </c>
      <c r="C2715" t="s">
        <v>32505</v>
      </c>
      <c r="D2715" t="s">
        <v>27245</v>
      </c>
      <c r="E2715" t="str">
        <f t="shared" si="42"/>
        <v>001390</v>
      </c>
      <c r="F2715" t="s">
        <v>27246</v>
      </c>
      <c r="G2715" t="s">
        <v>27247</v>
      </c>
      <c r="H2715" t="s">
        <v>27248</v>
      </c>
      <c r="I2715" t="s">
        <v>32506</v>
      </c>
      <c r="J2715" t="s">
        <v>5451</v>
      </c>
      <c r="L2715" t="s">
        <v>27250</v>
      </c>
      <c r="M2715" t="s">
        <v>27251</v>
      </c>
      <c r="N2715" t="s">
        <v>27252</v>
      </c>
      <c r="Q2715" s="1">
        <v>44538</v>
      </c>
      <c r="R2715" t="s">
        <v>27253</v>
      </c>
      <c r="S2715" t="s">
        <v>27254</v>
      </c>
      <c r="T2715" t="s">
        <v>27255</v>
      </c>
    </row>
    <row r="2716" spans="1:20" x14ac:dyDescent="0.3">
      <c r="A2716" t="str">
        <f>"0611833238100"</f>
        <v>0611833238100</v>
      </c>
      <c r="B2716" t="str">
        <f>"LQ3367"</f>
        <v>LQ3367</v>
      </c>
      <c r="C2716" t="s">
        <v>32507</v>
      </c>
      <c r="D2716" t="s">
        <v>27245</v>
      </c>
      <c r="E2716" t="str">
        <f t="shared" si="42"/>
        <v>001390</v>
      </c>
      <c r="F2716" t="s">
        <v>27246</v>
      </c>
      <c r="G2716" t="s">
        <v>27247</v>
      </c>
      <c r="H2716" t="s">
        <v>27248</v>
      </c>
      <c r="I2716" t="s">
        <v>32508</v>
      </c>
      <c r="J2716" t="s">
        <v>5453</v>
      </c>
      <c r="L2716" t="s">
        <v>27250</v>
      </c>
      <c r="M2716" t="s">
        <v>27251</v>
      </c>
      <c r="N2716" t="s">
        <v>27252</v>
      </c>
      <c r="Q2716" s="1">
        <v>44538</v>
      </c>
      <c r="R2716" t="s">
        <v>27253</v>
      </c>
      <c r="S2716" t="s">
        <v>27254</v>
      </c>
      <c r="T2716" t="s">
        <v>27255</v>
      </c>
    </row>
    <row r="2717" spans="1:20" x14ac:dyDescent="0.3">
      <c r="A2717" t="str">
        <f>"0611861258050"</f>
        <v>0611861258050</v>
      </c>
      <c r="B2717" t="str">
        <f>"CR3441"</f>
        <v>CR3441</v>
      </c>
      <c r="C2717" t="s">
        <v>32507</v>
      </c>
      <c r="D2717" t="s">
        <v>27263</v>
      </c>
      <c r="E2717" t="str">
        <f t="shared" si="42"/>
        <v>001390</v>
      </c>
      <c r="F2717" t="s">
        <v>27246</v>
      </c>
      <c r="G2717" t="s">
        <v>27247</v>
      </c>
      <c r="H2717" t="s">
        <v>27248</v>
      </c>
      <c r="I2717" t="s">
        <v>32509</v>
      </c>
      <c r="J2717" t="s">
        <v>5455</v>
      </c>
      <c r="L2717" t="s">
        <v>27250</v>
      </c>
      <c r="M2717" t="s">
        <v>27251</v>
      </c>
      <c r="N2717" t="s">
        <v>27252</v>
      </c>
      <c r="Q2717" s="1">
        <v>44846</v>
      </c>
      <c r="R2717" t="s">
        <v>27253</v>
      </c>
      <c r="S2717" t="s">
        <v>27254</v>
      </c>
      <c r="T2717" t="s">
        <v>27265</v>
      </c>
    </row>
    <row r="2718" spans="1:20" x14ac:dyDescent="0.3">
      <c r="A2718" t="str">
        <f>"0611833239100"</f>
        <v>0611833239100</v>
      </c>
      <c r="B2718" t="str">
        <f>"LQ0937"</f>
        <v>LQ0937</v>
      </c>
      <c r="C2718" t="s">
        <v>32510</v>
      </c>
      <c r="D2718" t="s">
        <v>27245</v>
      </c>
      <c r="E2718" t="str">
        <f t="shared" si="42"/>
        <v>001390</v>
      </c>
      <c r="F2718" t="s">
        <v>27246</v>
      </c>
      <c r="G2718" t="s">
        <v>27247</v>
      </c>
      <c r="H2718" t="s">
        <v>27248</v>
      </c>
      <c r="I2718" t="s">
        <v>32511</v>
      </c>
      <c r="J2718" t="s">
        <v>5457</v>
      </c>
      <c r="L2718" t="s">
        <v>27250</v>
      </c>
      <c r="M2718" t="s">
        <v>27251</v>
      </c>
      <c r="N2718" t="s">
        <v>27252</v>
      </c>
      <c r="Q2718" s="1">
        <v>44538</v>
      </c>
      <c r="R2718" t="s">
        <v>27253</v>
      </c>
      <c r="S2718" t="s">
        <v>27254</v>
      </c>
      <c r="T2718" t="s">
        <v>27255</v>
      </c>
    </row>
    <row r="2719" spans="1:20" x14ac:dyDescent="0.3">
      <c r="A2719" t="str">
        <f>"0611833240100"</f>
        <v>0611833240100</v>
      </c>
      <c r="B2719" t="str">
        <f>"LQ3707"</f>
        <v>LQ3707</v>
      </c>
      <c r="C2719" t="s">
        <v>32512</v>
      </c>
      <c r="D2719" t="s">
        <v>27245</v>
      </c>
      <c r="E2719" t="str">
        <f t="shared" si="42"/>
        <v>001390</v>
      </c>
      <c r="F2719" t="s">
        <v>27246</v>
      </c>
      <c r="G2719" t="s">
        <v>27247</v>
      </c>
      <c r="H2719" t="s">
        <v>27248</v>
      </c>
      <c r="I2719" t="s">
        <v>32513</v>
      </c>
      <c r="J2719" t="s">
        <v>5459</v>
      </c>
      <c r="L2719" t="s">
        <v>27250</v>
      </c>
      <c r="M2719" t="s">
        <v>27251</v>
      </c>
      <c r="N2719" t="s">
        <v>27252</v>
      </c>
      <c r="Q2719" s="1">
        <v>44538</v>
      </c>
      <c r="R2719" t="s">
        <v>27253</v>
      </c>
      <c r="S2719" t="s">
        <v>27254</v>
      </c>
      <c r="T2719" t="s">
        <v>27255</v>
      </c>
    </row>
    <row r="2720" spans="1:20" x14ac:dyDescent="0.3">
      <c r="A2720" t="str">
        <f>"0611833243100"</f>
        <v>0611833243100</v>
      </c>
      <c r="B2720" t="str">
        <f>"LQ0938"</f>
        <v>LQ0938</v>
      </c>
      <c r="C2720" t="s">
        <v>32514</v>
      </c>
      <c r="D2720" t="s">
        <v>27245</v>
      </c>
      <c r="E2720" t="str">
        <f t="shared" si="42"/>
        <v>001390</v>
      </c>
      <c r="F2720" t="s">
        <v>27246</v>
      </c>
      <c r="G2720" t="s">
        <v>27247</v>
      </c>
      <c r="H2720" t="s">
        <v>27248</v>
      </c>
      <c r="I2720" t="s">
        <v>32515</v>
      </c>
      <c r="J2720" t="s">
        <v>5461</v>
      </c>
      <c r="L2720" t="s">
        <v>27250</v>
      </c>
      <c r="M2720" t="s">
        <v>27251</v>
      </c>
      <c r="N2720" t="s">
        <v>27252</v>
      </c>
      <c r="Q2720" s="1">
        <v>44538</v>
      </c>
      <c r="R2720" t="s">
        <v>27253</v>
      </c>
      <c r="S2720" t="s">
        <v>27254</v>
      </c>
      <c r="T2720" t="s">
        <v>27255</v>
      </c>
    </row>
    <row r="2721" spans="1:20" x14ac:dyDescent="0.3">
      <c r="A2721" t="str">
        <f>"0611833244100"</f>
        <v>0611833244100</v>
      </c>
      <c r="B2721" t="str">
        <f>"LQ0939"</f>
        <v>LQ0939</v>
      </c>
      <c r="C2721" t="s">
        <v>32516</v>
      </c>
      <c r="D2721" t="s">
        <v>27245</v>
      </c>
      <c r="E2721" t="str">
        <f t="shared" si="42"/>
        <v>001390</v>
      </c>
      <c r="F2721" t="s">
        <v>27246</v>
      </c>
      <c r="G2721" t="s">
        <v>27247</v>
      </c>
      <c r="H2721" t="s">
        <v>27248</v>
      </c>
      <c r="I2721" t="s">
        <v>32517</v>
      </c>
      <c r="J2721" t="s">
        <v>5463</v>
      </c>
      <c r="L2721" t="s">
        <v>27250</v>
      </c>
      <c r="M2721" t="s">
        <v>27251</v>
      </c>
      <c r="N2721" t="s">
        <v>27252</v>
      </c>
      <c r="Q2721" s="1">
        <v>44538</v>
      </c>
      <c r="R2721" t="s">
        <v>27253</v>
      </c>
      <c r="S2721" t="s">
        <v>27254</v>
      </c>
      <c r="T2721" t="s">
        <v>27255</v>
      </c>
    </row>
    <row r="2722" spans="1:20" x14ac:dyDescent="0.3">
      <c r="A2722" t="str">
        <f>"0611833245100"</f>
        <v>0611833245100</v>
      </c>
      <c r="B2722" t="str">
        <f>"LQ3709"</f>
        <v>LQ3709</v>
      </c>
      <c r="C2722" t="s">
        <v>32518</v>
      </c>
      <c r="D2722" t="s">
        <v>27245</v>
      </c>
      <c r="E2722" t="str">
        <f t="shared" si="42"/>
        <v>001390</v>
      </c>
      <c r="F2722" t="s">
        <v>27246</v>
      </c>
      <c r="G2722" t="s">
        <v>27247</v>
      </c>
      <c r="H2722" t="s">
        <v>27248</v>
      </c>
      <c r="I2722" t="s">
        <v>32519</v>
      </c>
      <c r="J2722" t="s">
        <v>5465</v>
      </c>
      <c r="L2722" t="s">
        <v>27250</v>
      </c>
      <c r="M2722" t="s">
        <v>27251</v>
      </c>
      <c r="N2722" t="s">
        <v>27252</v>
      </c>
      <c r="Q2722" s="1">
        <v>44538</v>
      </c>
      <c r="R2722" t="s">
        <v>27253</v>
      </c>
      <c r="S2722" t="s">
        <v>27254</v>
      </c>
      <c r="T2722" t="s">
        <v>27255</v>
      </c>
    </row>
    <row r="2723" spans="1:20" x14ac:dyDescent="0.3">
      <c r="A2723" t="str">
        <f>"0611833246100"</f>
        <v>0611833246100</v>
      </c>
      <c r="B2723" t="str">
        <f>"LQ3344"</f>
        <v>LQ3344</v>
      </c>
      <c r="C2723" t="s">
        <v>32520</v>
      </c>
      <c r="D2723" t="s">
        <v>27245</v>
      </c>
      <c r="E2723" t="str">
        <f t="shared" si="42"/>
        <v>001390</v>
      </c>
      <c r="F2723" t="s">
        <v>27246</v>
      </c>
      <c r="G2723" t="s">
        <v>27247</v>
      </c>
      <c r="H2723" t="s">
        <v>27248</v>
      </c>
      <c r="I2723" t="s">
        <v>32521</v>
      </c>
      <c r="J2723" t="s">
        <v>5467</v>
      </c>
      <c r="L2723" t="s">
        <v>27250</v>
      </c>
      <c r="M2723" t="s">
        <v>27251</v>
      </c>
      <c r="N2723" t="s">
        <v>27252</v>
      </c>
      <c r="Q2723" s="1">
        <v>44538</v>
      </c>
      <c r="R2723" t="s">
        <v>27253</v>
      </c>
      <c r="S2723" t="s">
        <v>27254</v>
      </c>
      <c r="T2723" t="s">
        <v>27255</v>
      </c>
    </row>
    <row r="2724" spans="1:20" x14ac:dyDescent="0.3">
      <c r="A2724" t="str">
        <f>"0611833247100"</f>
        <v>0611833247100</v>
      </c>
      <c r="B2724" t="str">
        <f>"LQ3710"</f>
        <v>LQ3710</v>
      </c>
      <c r="C2724" t="s">
        <v>32522</v>
      </c>
      <c r="D2724" t="s">
        <v>27245</v>
      </c>
      <c r="E2724" t="str">
        <f t="shared" si="42"/>
        <v>001390</v>
      </c>
      <c r="F2724" t="s">
        <v>27246</v>
      </c>
      <c r="G2724" t="s">
        <v>27247</v>
      </c>
      <c r="H2724" t="s">
        <v>27248</v>
      </c>
      <c r="I2724" t="s">
        <v>32523</v>
      </c>
      <c r="J2724" t="s">
        <v>5469</v>
      </c>
      <c r="L2724" t="s">
        <v>27250</v>
      </c>
      <c r="M2724" t="s">
        <v>27251</v>
      </c>
      <c r="N2724" t="s">
        <v>27252</v>
      </c>
      <c r="Q2724" s="1">
        <v>44538</v>
      </c>
      <c r="R2724" t="s">
        <v>27253</v>
      </c>
      <c r="S2724" t="s">
        <v>27254</v>
      </c>
      <c r="T2724" t="s">
        <v>27255</v>
      </c>
    </row>
    <row r="2725" spans="1:20" x14ac:dyDescent="0.3">
      <c r="A2725" t="str">
        <f>"0611833248100"</f>
        <v>0611833248100</v>
      </c>
      <c r="B2725" t="str">
        <f>"LQ3711"</f>
        <v>LQ3711</v>
      </c>
      <c r="C2725" t="s">
        <v>32524</v>
      </c>
      <c r="D2725" t="s">
        <v>27245</v>
      </c>
      <c r="E2725" t="str">
        <f t="shared" si="42"/>
        <v>001390</v>
      </c>
      <c r="F2725" t="s">
        <v>27246</v>
      </c>
      <c r="G2725" t="s">
        <v>27247</v>
      </c>
      <c r="H2725" t="s">
        <v>27248</v>
      </c>
      <c r="I2725" t="s">
        <v>32525</v>
      </c>
      <c r="J2725" t="s">
        <v>5471</v>
      </c>
      <c r="L2725" t="s">
        <v>27250</v>
      </c>
      <c r="M2725" t="s">
        <v>27251</v>
      </c>
      <c r="N2725" t="s">
        <v>27252</v>
      </c>
      <c r="Q2725" s="1">
        <v>44538</v>
      </c>
      <c r="R2725" t="s">
        <v>27253</v>
      </c>
      <c r="S2725" t="s">
        <v>27254</v>
      </c>
      <c r="T2725" t="s">
        <v>27255</v>
      </c>
    </row>
    <row r="2726" spans="1:20" x14ac:dyDescent="0.3">
      <c r="A2726" t="str">
        <f>"0611833249100"</f>
        <v>0611833249100</v>
      </c>
      <c r="B2726" t="str">
        <f>"LQ3345"</f>
        <v>LQ3345</v>
      </c>
      <c r="C2726" t="s">
        <v>32526</v>
      </c>
      <c r="D2726" t="s">
        <v>27245</v>
      </c>
      <c r="E2726" t="str">
        <f t="shared" si="42"/>
        <v>001390</v>
      </c>
      <c r="F2726" t="s">
        <v>27246</v>
      </c>
      <c r="G2726" t="s">
        <v>27247</v>
      </c>
      <c r="H2726" t="s">
        <v>27248</v>
      </c>
      <c r="I2726" t="s">
        <v>32527</v>
      </c>
      <c r="J2726" t="s">
        <v>5473</v>
      </c>
      <c r="L2726" t="s">
        <v>27250</v>
      </c>
      <c r="M2726" t="s">
        <v>27251</v>
      </c>
      <c r="N2726" t="s">
        <v>27252</v>
      </c>
      <c r="Q2726" s="1">
        <v>44538</v>
      </c>
      <c r="R2726" t="s">
        <v>27253</v>
      </c>
      <c r="S2726" t="s">
        <v>27254</v>
      </c>
      <c r="T2726" t="s">
        <v>27255</v>
      </c>
    </row>
    <row r="2727" spans="1:20" x14ac:dyDescent="0.3">
      <c r="A2727" t="str">
        <f>"0611833250100"</f>
        <v>0611833250100</v>
      </c>
      <c r="B2727" t="str">
        <f>"LQ3833"</f>
        <v>LQ3833</v>
      </c>
      <c r="C2727" t="s">
        <v>32528</v>
      </c>
      <c r="D2727" t="s">
        <v>27245</v>
      </c>
      <c r="E2727" t="str">
        <f t="shared" si="42"/>
        <v>001390</v>
      </c>
      <c r="F2727" t="s">
        <v>27246</v>
      </c>
      <c r="G2727" t="s">
        <v>27247</v>
      </c>
      <c r="H2727" t="s">
        <v>27248</v>
      </c>
      <c r="I2727" t="s">
        <v>32529</v>
      </c>
      <c r="J2727" t="s">
        <v>5475</v>
      </c>
      <c r="L2727" t="s">
        <v>27250</v>
      </c>
      <c r="M2727" t="s">
        <v>27251</v>
      </c>
      <c r="N2727" t="s">
        <v>27252</v>
      </c>
      <c r="Q2727" s="1">
        <v>44538</v>
      </c>
      <c r="R2727" t="s">
        <v>27253</v>
      </c>
      <c r="S2727" t="s">
        <v>27254</v>
      </c>
      <c r="T2727" t="s">
        <v>27255</v>
      </c>
    </row>
    <row r="2728" spans="1:20" x14ac:dyDescent="0.3">
      <c r="A2728" t="str">
        <f>"0611833251100"</f>
        <v>0611833251100</v>
      </c>
      <c r="B2728" t="str">
        <f>"LQ3712"</f>
        <v>LQ3712</v>
      </c>
      <c r="C2728" t="s">
        <v>32530</v>
      </c>
      <c r="D2728" t="s">
        <v>27245</v>
      </c>
      <c r="E2728" t="str">
        <f t="shared" si="42"/>
        <v>001390</v>
      </c>
      <c r="F2728" t="s">
        <v>27246</v>
      </c>
      <c r="G2728" t="s">
        <v>27247</v>
      </c>
      <c r="H2728" t="s">
        <v>27248</v>
      </c>
      <c r="I2728" t="s">
        <v>32531</v>
      </c>
      <c r="J2728" t="s">
        <v>5477</v>
      </c>
      <c r="L2728" t="s">
        <v>27250</v>
      </c>
      <c r="M2728" t="s">
        <v>27251</v>
      </c>
      <c r="N2728" t="s">
        <v>27252</v>
      </c>
      <c r="Q2728" s="1">
        <v>44538</v>
      </c>
      <c r="R2728" t="s">
        <v>27253</v>
      </c>
      <c r="S2728" t="s">
        <v>27254</v>
      </c>
      <c r="T2728" t="s">
        <v>27255</v>
      </c>
    </row>
    <row r="2729" spans="1:20" x14ac:dyDescent="0.3">
      <c r="A2729" t="str">
        <f>"0611833252100"</f>
        <v>0611833252100</v>
      </c>
      <c r="B2729" t="str">
        <f>"LQ3713"</f>
        <v>LQ3713</v>
      </c>
      <c r="C2729" t="s">
        <v>32532</v>
      </c>
      <c r="D2729" t="s">
        <v>27245</v>
      </c>
      <c r="E2729" t="str">
        <f t="shared" si="42"/>
        <v>001390</v>
      </c>
      <c r="F2729" t="s">
        <v>27246</v>
      </c>
      <c r="G2729" t="s">
        <v>27247</v>
      </c>
      <c r="H2729" t="s">
        <v>27248</v>
      </c>
      <c r="I2729" t="s">
        <v>32533</v>
      </c>
      <c r="J2729" t="s">
        <v>5479</v>
      </c>
      <c r="L2729" t="s">
        <v>27250</v>
      </c>
      <c r="M2729" t="s">
        <v>27251</v>
      </c>
      <c r="N2729" t="s">
        <v>27252</v>
      </c>
      <c r="Q2729" s="1">
        <v>44538</v>
      </c>
      <c r="R2729" t="s">
        <v>27253</v>
      </c>
      <c r="S2729" t="s">
        <v>27254</v>
      </c>
      <c r="T2729" t="s">
        <v>27255</v>
      </c>
    </row>
    <row r="2730" spans="1:20" x14ac:dyDescent="0.3">
      <c r="A2730" t="str">
        <f>"0611833253100"</f>
        <v>0611833253100</v>
      </c>
      <c r="B2730" t="str">
        <f>"LQ3714"</f>
        <v>LQ3714</v>
      </c>
      <c r="C2730" t="s">
        <v>32534</v>
      </c>
      <c r="D2730" t="s">
        <v>27245</v>
      </c>
      <c r="E2730" t="str">
        <f t="shared" si="42"/>
        <v>001390</v>
      </c>
      <c r="F2730" t="s">
        <v>27246</v>
      </c>
      <c r="G2730" t="s">
        <v>27247</v>
      </c>
      <c r="H2730" t="s">
        <v>27248</v>
      </c>
      <c r="I2730" t="s">
        <v>32535</v>
      </c>
      <c r="J2730" t="s">
        <v>5481</v>
      </c>
      <c r="L2730" t="s">
        <v>27250</v>
      </c>
      <c r="M2730" t="s">
        <v>27251</v>
      </c>
      <c r="N2730" t="s">
        <v>27252</v>
      </c>
      <c r="Q2730" s="1">
        <v>44538</v>
      </c>
      <c r="R2730" t="s">
        <v>27253</v>
      </c>
      <c r="S2730" t="s">
        <v>27254</v>
      </c>
      <c r="T2730" t="s">
        <v>27255</v>
      </c>
    </row>
    <row r="2731" spans="1:20" x14ac:dyDescent="0.3">
      <c r="A2731" t="str">
        <f>"0611833254100"</f>
        <v>0611833254100</v>
      </c>
      <c r="B2731" t="str">
        <f>"LQ3834"</f>
        <v>LQ3834</v>
      </c>
      <c r="C2731" t="s">
        <v>32536</v>
      </c>
      <c r="D2731" t="s">
        <v>27245</v>
      </c>
      <c r="E2731" t="str">
        <f t="shared" si="42"/>
        <v>001390</v>
      </c>
      <c r="F2731" t="s">
        <v>27246</v>
      </c>
      <c r="G2731" t="s">
        <v>27247</v>
      </c>
      <c r="H2731" t="s">
        <v>27248</v>
      </c>
      <c r="I2731" t="s">
        <v>32537</v>
      </c>
      <c r="J2731" t="s">
        <v>5483</v>
      </c>
      <c r="L2731" t="s">
        <v>27250</v>
      </c>
      <c r="M2731" t="s">
        <v>27251</v>
      </c>
      <c r="N2731" t="s">
        <v>27252</v>
      </c>
      <c r="Q2731" s="1">
        <v>44538</v>
      </c>
      <c r="R2731" t="s">
        <v>27253</v>
      </c>
      <c r="S2731" t="s">
        <v>27254</v>
      </c>
      <c r="T2731" t="s">
        <v>27255</v>
      </c>
    </row>
    <row r="2732" spans="1:20" x14ac:dyDescent="0.3">
      <c r="A2732" t="str">
        <f>"0611833255100"</f>
        <v>0611833255100</v>
      </c>
      <c r="B2732" t="str">
        <f>"LQ3715"</f>
        <v>LQ3715</v>
      </c>
      <c r="C2732" t="s">
        <v>32538</v>
      </c>
      <c r="D2732" t="s">
        <v>27245</v>
      </c>
      <c r="E2732" t="str">
        <f t="shared" si="42"/>
        <v>001390</v>
      </c>
      <c r="F2732" t="s">
        <v>27246</v>
      </c>
      <c r="G2732" t="s">
        <v>27247</v>
      </c>
      <c r="H2732" t="s">
        <v>27248</v>
      </c>
      <c r="I2732" t="s">
        <v>32539</v>
      </c>
      <c r="J2732" t="s">
        <v>5485</v>
      </c>
      <c r="L2732" t="s">
        <v>27250</v>
      </c>
      <c r="M2732" t="s">
        <v>27251</v>
      </c>
      <c r="N2732" t="s">
        <v>27252</v>
      </c>
      <c r="Q2732" s="1">
        <v>44538</v>
      </c>
      <c r="R2732" t="s">
        <v>27253</v>
      </c>
      <c r="S2732" t="s">
        <v>27254</v>
      </c>
      <c r="T2732" t="s">
        <v>27255</v>
      </c>
    </row>
    <row r="2733" spans="1:20" x14ac:dyDescent="0.3">
      <c r="A2733" t="str">
        <f>"0611833256100"</f>
        <v>0611833256100</v>
      </c>
      <c r="B2733" t="str">
        <f>"LQ3368"</f>
        <v>LQ3368</v>
      </c>
      <c r="C2733" t="s">
        <v>32540</v>
      </c>
      <c r="D2733" t="s">
        <v>27245</v>
      </c>
      <c r="E2733" t="str">
        <f t="shared" si="42"/>
        <v>001390</v>
      </c>
      <c r="F2733" t="s">
        <v>27246</v>
      </c>
      <c r="G2733" t="s">
        <v>27247</v>
      </c>
      <c r="H2733" t="s">
        <v>27248</v>
      </c>
      <c r="I2733" t="s">
        <v>32541</v>
      </c>
      <c r="J2733" t="s">
        <v>5487</v>
      </c>
      <c r="L2733" t="s">
        <v>27250</v>
      </c>
      <c r="M2733" t="s">
        <v>27251</v>
      </c>
      <c r="N2733" t="s">
        <v>27252</v>
      </c>
      <c r="Q2733" s="1">
        <v>44538</v>
      </c>
      <c r="R2733" t="s">
        <v>27253</v>
      </c>
      <c r="S2733" t="s">
        <v>27254</v>
      </c>
      <c r="T2733" t="s">
        <v>27255</v>
      </c>
    </row>
    <row r="2734" spans="1:20" x14ac:dyDescent="0.3">
      <c r="A2734" t="str">
        <f>"0611833257100"</f>
        <v>0611833257100</v>
      </c>
      <c r="B2734" t="str">
        <f>"LQ0940"</f>
        <v>LQ0940</v>
      </c>
      <c r="C2734" t="s">
        <v>32542</v>
      </c>
      <c r="D2734" t="s">
        <v>27245</v>
      </c>
      <c r="E2734" t="str">
        <f t="shared" si="42"/>
        <v>001390</v>
      </c>
      <c r="F2734" t="s">
        <v>27246</v>
      </c>
      <c r="G2734" t="s">
        <v>27247</v>
      </c>
      <c r="H2734" t="s">
        <v>27248</v>
      </c>
      <c r="I2734" t="s">
        <v>32543</v>
      </c>
      <c r="J2734" t="s">
        <v>5489</v>
      </c>
      <c r="L2734" t="s">
        <v>27250</v>
      </c>
      <c r="M2734" t="s">
        <v>27251</v>
      </c>
      <c r="N2734" t="s">
        <v>27252</v>
      </c>
      <c r="Q2734" s="1">
        <v>44538</v>
      </c>
      <c r="R2734" t="s">
        <v>27253</v>
      </c>
      <c r="S2734" t="s">
        <v>27254</v>
      </c>
      <c r="T2734" t="s">
        <v>27255</v>
      </c>
    </row>
    <row r="2735" spans="1:20" x14ac:dyDescent="0.3">
      <c r="A2735" t="str">
        <f>"0611833258100"</f>
        <v>0611833258100</v>
      </c>
      <c r="B2735" t="str">
        <f>"LQ3716"</f>
        <v>LQ3716</v>
      </c>
      <c r="C2735" t="s">
        <v>32544</v>
      </c>
      <c r="D2735" t="s">
        <v>27245</v>
      </c>
      <c r="E2735" t="str">
        <f t="shared" si="42"/>
        <v>001390</v>
      </c>
      <c r="F2735" t="s">
        <v>27246</v>
      </c>
      <c r="G2735" t="s">
        <v>27247</v>
      </c>
      <c r="H2735" t="s">
        <v>27248</v>
      </c>
      <c r="I2735" t="s">
        <v>32545</v>
      </c>
      <c r="J2735" t="s">
        <v>5491</v>
      </c>
      <c r="L2735" t="s">
        <v>27250</v>
      </c>
      <c r="M2735" t="s">
        <v>27251</v>
      </c>
      <c r="N2735" t="s">
        <v>27252</v>
      </c>
      <c r="Q2735" s="1">
        <v>44538</v>
      </c>
      <c r="R2735" t="s">
        <v>27253</v>
      </c>
      <c r="S2735" t="s">
        <v>27254</v>
      </c>
      <c r="T2735" t="s">
        <v>27255</v>
      </c>
    </row>
    <row r="2736" spans="1:20" x14ac:dyDescent="0.3">
      <c r="A2736" t="str">
        <f>"0611833259100"</f>
        <v>0611833259100</v>
      </c>
      <c r="B2736" t="str">
        <f>"LQ3717"</f>
        <v>LQ3717</v>
      </c>
      <c r="C2736" t="s">
        <v>32546</v>
      </c>
      <c r="D2736" t="s">
        <v>27245</v>
      </c>
      <c r="E2736" t="str">
        <f t="shared" si="42"/>
        <v>001390</v>
      </c>
      <c r="F2736" t="s">
        <v>27246</v>
      </c>
      <c r="G2736" t="s">
        <v>27247</v>
      </c>
      <c r="H2736" t="s">
        <v>27248</v>
      </c>
      <c r="I2736" t="s">
        <v>32547</v>
      </c>
      <c r="J2736" t="s">
        <v>5493</v>
      </c>
      <c r="L2736" t="s">
        <v>27250</v>
      </c>
      <c r="M2736" t="s">
        <v>27251</v>
      </c>
      <c r="N2736" t="s">
        <v>27252</v>
      </c>
      <c r="Q2736" s="1">
        <v>44538</v>
      </c>
      <c r="R2736" t="s">
        <v>27253</v>
      </c>
      <c r="S2736" t="s">
        <v>27254</v>
      </c>
      <c r="T2736" t="s">
        <v>27255</v>
      </c>
    </row>
    <row r="2737" spans="1:20" x14ac:dyDescent="0.3">
      <c r="A2737" t="str">
        <f>"0611833260100"</f>
        <v>0611833260100</v>
      </c>
      <c r="B2737" t="str">
        <f>"LQ3718"</f>
        <v>LQ3718</v>
      </c>
      <c r="C2737" t="s">
        <v>32548</v>
      </c>
      <c r="D2737" t="s">
        <v>27245</v>
      </c>
      <c r="E2737" t="str">
        <f t="shared" si="42"/>
        <v>001390</v>
      </c>
      <c r="F2737" t="s">
        <v>27246</v>
      </c>
      <c r="G2737" t="s">
        <v>27247</v>
      </c>
      <c r="H2737" t="s">
        <v>27248</v>
      </c>
      <c r="I2737" t="s">
        <v>32549</v>
      </c>
      <c r="J2737" t="s">
        <v>5495</v>
      </c>
      <c r="L2737" t="s">
        <v>27250</v>
      </c>
      <c r="M2737" t="s">
        <v>27251</v>
      </c>
      <c r="N2737" t="s">
        <v>27252</v>
      </c>
      <c r="Q2737" s="1">
        <v>44538</v>
      </c>
      <c r="R2737" t="s">
        <v>27253</v>
      </c>
      <c r="S2737" t="s">
        <v>27254</v>
      </c>
      <c r="T2737" t="s">
        <v>27255</v>
      </c>
    </row>
    <row r="2738" spans="1:20" x14ac:dyDescent="0.3">
      <c r="A2738" t="str">
        <f>"0611833261100"</f>
        <v>0611833261100</v>
      </c>
      <c r="B2738" t="str">
        <f>"LQ0941"</f>
        <v>LQ0941</v>
      </c>
      <c r="C2738" t="s">
        <v>32550</v>
      </c>
      <c r="D2738" t="s">
        <v>27245</v>
      </c>
      <c r="E2738" t="str">
        <f t="shared" si="42"/>
        <v>001390</v>
      </c>
      <c r="F2738" t="s">
        <v>27246</v>
      </c>
      <c r="G2738" t="s">
        <v>27247</v>
      </c>
      <c r="H2738" t="s">
        <v>27248</v>
      </c>
      <c r="I2738" t="s">
        <v>32551</v>
      </c>
      <c r="J2738" t="s">
        <v>5497</v>
      </c>
      <c r="L2738" t="s">
        <v>27250</v>
      </c>
      <c r="M2738" t="s">
        <v>27251</v>
      </c>
      <c r="N2738" t="s">
        <v>27252</v>
      </c>
      <c r="Q2738" s="1">
        <v>44538</v>
      </c>
      <c r="R2738" t="s">
        <v>27253</v>
      </c>
      <c r="S2738" t="s">
        <v>27254</v>
      </c>
      <c r="T2738" t="s">
        <v>27255</v>
      </c>
    </row>
    <row r="2739" spans="1:20" x14ac:dyDescent="0.3">
      <c r="A2739" t="str">
        <f>"0611833262100"</f>
        <v>0611833262100</v>
      </c>
      <c r="B2739" t="str">
        <f>"LQ3719"</f>
        <v>LQ3719</v>
      </c>
      <c r="C2739" t="s">
        <v>32552</v>
      </c>
      <c r="D2739" t="s">
        <v>27245</v>
      </c>
      <c r="E2739" t="str">
        <f t="shared" si="42"/>
        <v>001390</v>
      </c>
      <c r="F2739" t="s">
        <v>27246</v>
      </c>
      <c r="G2739" t="s">
        <v>27247</v>
      </c>
      <c r="H2739" t="s">
        <v>27248</v>
      </c>
      <c r="I2739" t="s">
        <v>32553</v>
      </c>
      <c r="J2739" t="s">
        <v>5499</v>
      </c>
      <c r="L2739" t="s">
        <v>27250</v>
      </c>
      <c r="M2739" t="s">
        <v>27251</v>
      </c>
      <c r="N2739" t="s">
        <v>27252</v>
      </c>
      <c r="Q2739" s="1">
        <v>44538</v>
      </c>
      <c r="R2739" t="s">
        <v>27253</v>
      </c>
      <c r="S2739" t="s">
        <v>27254</v>
      </c>
      <c r="T2739" t="s">
        <v>27255</v>
      </c>
    </row>
    <row r="2740" spans="1:20" x14ac:dyDescent="0.3">
      <c r="A2740" t="str">
        <f>"0611833264100"</f>
        <v>0611833264100</v>
      </c>
      <c r="B2740" t="str">
        <f>"LQ3720"</f>
        <v>LQ3720</v>
      </c>
      <c r="C2740" t="s">
        <v>32554</v>
      </c>
      <c r="D2740" t="s">
        <v>27245</v>
      </c>
      <c r="E2740" t="str">
        <f t="shared" si="42"/>
        <v>001390</v>
      </c>
      <c r="F2740" t="s">
        <v>27246</v>
      </c>
      <c r="G2740" t="s">
        <v>27247</v>
      </c>
      <c r="H2740" t="s">
        <v>27248</v>
      </c>
      <c r="I2740" t="s">
        <v>32555</v>
      </c>
      <c r="J2740" t="s">
        <v>5501</v>
      </c>
      <c r="L2740" t="s">
        <v>27250</v>
      </c>
      <c r="M2740" t="s">
        <v>27251</v>
      </c>
      <c r="N2740" t="s">
        <v>27252</v>
      </c>
      <c r="Q2740" s="1">
        <v>44538</v>
      </c>
      <c r="R2740" t="s">
        <v>27253</v>
      </c>
      <c r="S2740" t="s">
        <v>27254</v>
      </c>
      <c r="T2740" t="s">
        <v>27255</v>
      </c>
    </row>
    <row r="2741" spans="1:20" x14ac:dyDescent="0.3">
      <c r="A2741" t="str">
        <f>"0611833265100"</f>
        <v>0611833265100</v>
      </c>
      <c r="B2741" t="str">
        <f>"LQ3721"</f>
        <v>LQ3721</v>
      </c>
      <c r="C2741" t="s">
        <v>32556</v>
      </c>
      <c r="D2741" t="s">
        <v>27245</v>
      </c>
      <c r="E2741" t="str">
        <f t="shared" si="42"/>
        <v>001390</v>
      </c>
      <c r="F2741" t="s">
        <v>27246</v>
      </c>
      <c r="G2741" t="s">
        <v>27247</v>
      </c>
      <c r="H2741" t="s">
        <v>27248</v>
      </c>
      <c r="I2741" t="s">
        <v>32557</v>
      </c>
      <c r="J2741" t="s">
        <v>5503</v>
      </c>
      <c r="L2741" t="s">
        <v>27250</v>
      </c>
      <c r="M2741" t="s">
        <v>27251</v>
      </c>
      <c r="N2741" t="s">
        <v>27252</v>
      </c>
      <c r="Q2741" s="1">
        <v>44538</v>
      </c>
      <c r="R2741" t="s">
        <v>27253</v>
      </c>
      <c r="S2741" t="s">
        <v>27254</v>
      </c>
      <c r="T2741" t="s">
        <v>27255</v>
      </c>
    </row>
    <row r="2742" spans="1:20" x14ac:dyDescent="0.3">
      <c r="A2742" t="str">
        <f>"0611833267100"</f>
        <v>0611833267100</v>
      </c>
      <c r="B2742" t="str">
        <f>"LK5742"</f>
        <v>LK5742</v>
      </c>
      <c r="C2742" t="s">
        <v>32558</v>
      </c>
      <c r="D2742" t="s">
        <v>27245</v>
      </c>
      <c r="E2742" t="str">
        <f t="shared" si="42"/>
        <v>001390</v>
      </c>
      <c r="F2742" t="s">
        <v>27246</v>
      </c>
      <c r="G2742" t="s">
        <v>27247</v>
      </c>
      <c r="H2742" t="s">
        <v>27248</v>
      </c>
      <c r="I2742" t="s">
        <v>32559</v>
      </c>
      <c r="J2742" t="s">
        <v>5505</v>
      </c>
      <c r="L2742" t="s">
        <v>27250</v>
      </c>
      <c r="M2742" t="s">
        <v>27251</v>
      </c>
      <c r="N2742" t="s">
        <v>27252</v>
      </c>
      <c r="Q2742" s="1">
        <v>44538</v>
      </c>
      <c r="R2742" t="s">
        <v>27253</v>
      </c>
      <c r="S2742" t="s">
        <v>27254</v>
      </c>
      <c r="T2742" t="s">
        <v>27255</v>
      </c>
    </row>
    <row r="2743" spans="1:20" x14ac:dyDescent="0.3">
      <c r="A2743" t="str">
        <f>"0611833268025"</f>
        <v>0611833268025</v>
      </c>
      <c r="B2743" t="str">
        <f>"MC1424"</f>
        <v>MC1424</v>
      </c>
      <c r="C2743" t="s">
        <v>32560</v>
      </c>
      <c r="D2743" t="s">
        <v>27267</v>
      </c>
      <c r="E2743" t="str">
        <f t="shared" si="42"/>
        <v>001390</v>
      </c>
      <c r="F2743" t="s">
        <v>27246</v>
      </c>
      <c r="G2743" t="s">
        <v>27247</v>
      </c>
      <c r="H2743" t="s">
        <v>27248</v>
      </c>
      <c r="I2743" t="s">
        <v>32561</v>
      </c>
      <c r="J2743" t="s">
        <v>5507</v>
      </c>
      <c r="L2743" t="s">
        <v>27250</v>
      </c>
      <c r="M2743" t="s">
        <v>27251</v>
      </c>
      <c r="N2743" t="s">
        <v>27252</v>
      </c>
      <c r="Q2743" s="1">
        <v>44538</v>
      </c>
      <c r="R2743" t="s">
        <v>27253</v>
      </c>
      <c r="S2743" t="s">
        <v>27254</v>
      </c>
      <c r="T2743" t="s">
        <v>27269</v>
      </c>
    </row>
    <row r="2744" spans="1:20" x14ac:dyDescent="0.3">
      <c r="A2744" t="str">
        <f>"0611833269100"</f>
        <v>0611833269100</v>
      </c>
      <c r="B2744" t="str">
        <f>"LK4284"</f>
        <v>LK4284</v>
      </c>
      <c r="C2744" t="s">
        <v>32562</v>
      </c>
      <c r="D2744" t="s">
        <v>27245</v>
      </c>
      <c r="E2744" t="str">
        <f t="shared" si="42"/>
        <v>001390</v>
      </c>
      <c r="F2744" t="s">
        <v>27246</v>
      </c>
      <c r="G2744" t="s">
        <v>27247</v>
      </c>
      <c r="H2744" t="s">
        <v>27248</v>
      </c>
      <c r="I2744" t="s">
        <v>32563</v>
      </c>
      <c r="J2744" t="s">
        <v>5509</v>
      </c>
      <c r="L2744" t="s">
        <v>27250</v>
      </c>
      <c r="M2744" t="s">
        <v>27251</v>
      </c>
      <c r="N2744" t="s">
        <v>27252</v>
      </c>
      <c r="Q2744" s="1">
        <v>44538</v>
      </c>
      <c r="R2744" t="s">
        <v>27253</v>
      </c>
      <c r="S2744" t="s">
        <v>27254</v>
      </c>
      <c r="T2744" t="s">
        <v>27255</v>
      </c>
    </row>
    <row r="2745" spans="1:20" x14ac:dyDescent="0.3">
      <c r="A2745" t="str">
        <f>"0611833272100"</f>
        <v>0611833272100</v>
      </c>
      <c r="B2745" t="str">
        <f>"LK3125"</f>
        <v>LK3125</v>
      </c>
      <c r="C2745" t="s">
        <v>32564</v>
      </c>
      <c r="D2745" t="s">
        <v>27245</v>
      </c>
      <c r="E2745" t="str">
        <f t="shared" si="42"/>
        <v>001390</v>
      </c>
      <c r="F2745" t="s">
        <v>27246</v>
      </c>
      <c r="G2745" t="s">
        <v>27247</v>
      </c>
      <c r="H2745" t="s">
        <v>27248</v>
      </c>
      <c r="I2745" t="s">
        <v>32565</v>
      </c>
      <c r="J2745" t="s">
        <v>5511</v>
      </c>
      <c r="L2745" t="s">
        <v>27250</v>
      </c>
      <c r="M2745" t="s">
        <v>27251</v>
      </c>
      <c r="N2745" t="s">
        <v>27252</v>
      </c>
      <c r="Q2745" s="1">
        <v>44538</v>
      </c>
      <c r="R2745" t="s">
        <v>27253</v>
      </c>
      <c r="S2745" t="s">
        <v>27254</v>
      </c>
      <c r="T2745" t="s">
        <v>27255</v>
      </c>
    </row>
    <row r="2746" spans="1:20" x14ac:dyDescent="0.3">
      <c r="A2746" t="str">
        <f>"0611833273100"</f>
        <v>0611833273100</v>
      </c>
      <c r="B2746" t="str">
        <f>"LK5743"</f>
        <v>LK5743</v>
      </c>
      <c r="C2746" t="s">
        <v>32566</v>
      </c>
      <c r="D2746" t="s">
        <v>27245</v>
      </c>
      <c r="E2746" t="str">
        <f t="shared" si="42"/>
        <v>001390</v>
      </c>
      <c r="F2746" t="s">
        <v>27246</v>
      </c>
      <c r="G2746" t="s">
        <v>27247</v>
      </c>
      <c r="H2746" t="s">
        <v>27248</v>
      </c>
      <c r="I2746" t="s">
        <v>32567</v>
      </c>
      <c r="J2746" t="s">
        <v>5513</v>
      </c>
      <c r="L2746" t="s">
        <v>27250</v>
      </c>
      <c r="M2746" t="s">
        <v>27251</v>
      </c>
      <c r="N2746" t="s">
        <v>27252</v>
      </c>
      <c r="Q2746" s="1">
        <v>44538</v>
      </c>
      <c r="R2746" t="s">
        <v>27253</v>
      </c>
      <c r="S2746" t="s">
        <v>27254</v>
      </c>
      <c r="T2746" t="s">
        <v>27255</v>
      </c>
    </row>
    <row r="2747" spans="1:20" x14ac:dyDescent="0.3">
      <c r="A2747" t="str">
        <f>"0611833279100"</f>
        <v>0611833279100</v>
      </c>
      <c r="B2747" t="str">
        <f>"LK0693"</f>
        <v>LK0693</v>
      </c>
      <c r="C2747" t="s">
        <v>32568</v>
      </c>
      <c r="D2747" t="s">
        <v>27245</v>
      </c>
      <c r="E2747" t="str">
        <f t="shared" si="42"/>
        <v>001390</v>
      </c>
      <c r="F2747" t="s">
        <v>27246</v>
      </c>
      <c r="G2747" t="s">
        <v>27247</v>
      </c>
      <c r="H2747" t="s">
        <v>27248</v>
      </c>
      <c r="I2747" t="s">
        <v>32569</v>
      </c>
      <c r="J2747" t="s">
        <v>5529</v>
      </c>
      <c r="L2747" t="s">
        <v>27250</v>
      </c>
      <c r="M2747" t="s">
        <v>27251</v>
      </c>
      <c r="N2747" t="s">
        <v>27252</v>
      </c>
      <c r="Q2747" s="1">
        <v>44538</v>
      </c>
      <c r="R2747" t="s">
        <v>27253</v>
      </c>
      <c r="S2747" t="s">
        <v>27254</v>
      </c>
      <c r="T2747" t="s">
        <v>27255</v>
      </c>
    </row>
    <row r="2748" spans="1:20" x14ac:dyDescent="0.3">
      <c r="A2748" t="str">
        <f>"0611833274100"</f>
        <v>0611833274100</v>
      </c>
      <c r="B2748" t="str">
        <f>"LQ3722"</f>
        <v>LQ3722</v>
      </c>
      <c r="C2748" t="s">
        <v>32570</v>
      </c>
      <c r="D2748" t="s">
        <v>27245</v>
      </c>
      <c r="E2748" t="str">
        <f t="shared" si="42"/>
        <v>001390</v>
      </c>
      <c r="F2748" t="s">
        <v>27246</v>
      </c>
      <c r="G2748" t="s">
        <v>27247</v>
      </c>
      <c r="H2748" t="s">
        <v>27248</v>
      </c>
      <c r="I2748" t="s">
        <v>32571</v>
      </c>
      <c r="J2748" t="s">
        <v>5515</v>
      </c>
      <c r="L2748" t="s">
        <v>27250</v>
      </c>
      <c r="M2748" t="s">
        <v>27251</v>
      </c>
      <c r="N2748" t="s">
        <v>27252</v>
      </c>
      <c r="Q2748" s="1">
        <v>44538</v>
      </c>
      <c r="R2748" t="s">
        <v>27253</v>
      </c>
      <c r="S2748" t="s">
        <v>27254</v>
      </c>
      <c r="T2748" t="s">
        <v>27255</v>
      </c>
    </row>
    <row r="2749" spans="1:20" x14ac:dyDescent="0.3">
      <c r="A2749" t="str">
        <f>"0611861259050"</f>
        <v>0611861259050</v>
      </c>
      <c r="B2749" t="str">
        <f>"CR3513"</f>
        <v>CR3513</v>
      </c>
      <c r="C2749" t="s">
        <v>32570</v>
      </c>
      <c r="D2749" t="s">
        <v>27263</v>
      </c>
      <c r="E2749" t="str">
        <f t="shared" si="42"/>
        <v>001390</v>
      </c>
      <c r="F2749" t="s">
        <v>27246</v>
      </c>
      <c r="G2749" t="s">
        <v>27247</v>
      </c>
      <c r="H2749" t="s">
        <v>27248</v>
      </c>
      <c r="I2749" t="s">
        <v>32572</v>
      </c>
      <c r="J2749" t="s">
        <v>5517</v>
      </c>
      <c r="L2749" t="s">
        <v>27250</v>
      </c>
      <c r="M2749" t="s">
        <v>27251</v>
      </c>
      <c r="N2749" t="s">
        <v>27252</v>
      </c>
      <c r="Q2749" s="1">
        <v>44846</v>
      </c>
      <c r="R2749" t="s">
        <v>27253</v>
      </c>
      <c r="S2749" t="s">
        <v>27254</v>
      </c>
      <c r="T2749" t="s">
        <v>27265</v>
      </c>
    </row>
    <row r="2750" spans="1:20" x14ac:dyDescent="0.3">
      <c r="A2750" t="str">
        <f>"0611833275100"</f>
        <v>0611833275100</v>
      </c>
      <c r="B2750" t="str">
        <f>"LQ3723"</f>
        <v>LQ3723</v>
      </c>
      <c r="C2750" t="s">
        <v>32573</v>
      </c>
      <c r="D2750" t="s">
        <v>27245</v>
      </c>
      <c r="E2750" t="str">
        <f t="shared" si="42"/>
        <v>001390</v>
      </c>
      <c r="F2750" t="s">
        <v>27246</v>
      </c>
      <c r="G2750" t="s">
        <v>27247</v>
      </c>
      <c r="H2750" t="s">
        <v>27248</v>
      </c>
      <c r="I2750" t="s">
        <v>32574</v>
      </c>
      <c r="J2750" t="s">
        <v>5519</v>
      </c>
      <c r="L2750" t="s">
        <v>27250</v>
      </c>
      <c r="M2750" t="s">
        <v>27251</v>
      </c>
      <c r="N2750" t="s">
        <v>27252</v>
      </c>
      <c r="Q2750" s="1">
        <v>44538</v>
      </c>
      <c r="R2750" t="s">
        <v>27253</v>
      </c>
      <c r="S2750" t="s">
        <v>27254</v>
      </c>
      <c r="T2750" t="s">
        <v>27255</v>
      </c>
    </row>
    <row r="2751" spans="1:20" x14ac:dyDescent="0.3">
      <c r="A2751" t="str">
        <f>"0611833276100"</f>
        <v>0611833276100</v>
      </c>
      <c r="B2751" t="str">
        <f>"LQ3724"</f>
        <v>LQ3724</v>
      </c>
      <c r="C2751" t="s">
        <v>32575</v>
      </c>
      <c r="D2751" t="s">
        <v>27245</v>
      </c>
      <c r="E2751" t="str">
        <f t="shared" si="42"/>
        <v>001390</v>
      </c>
      <c r="F2751" t="s">
        <v>27246</v>
      </c>
      <c r="G2751" t="s">
        <v>27247</v>
      </c>
      <c r="H2751" t="s">
        <v>27248</v>
      </c>
      <c r="I2751" t="s">
        <v>32576</v>
      </c>
      <c r="J2751" t="s">
        <v>5521</v>
      </c>
      <c r="L2751" t="s">
        <v>27250</v>
      </c>
      <c r="M2751" t="s">
        <v>27251</v>
      </c>
      <c r="N2751" t="s">
        <v>27252</v>
      </c>
      <c r="Q2751" s="1">
        <v>44538</v>
      </c>
      <c r="R2751" t="s">
        <v>27253</v>
      </c>
      <c r="S2751" t="s">
        <v>27254</v>
      </c>
      <c r="T2751" t="s">
        <v>27255</v>
      </c>
    </row>
    <row r="2752" spans="1:20" x14ac:dyDescent="0.3">
      <c r="A2752" t="str">
        <f>"0611861260050"</f>
        <v>0611861260050</v>
      </c>
      <c r="B2752" t="str">
        <f>"CR3514"</f>
        <v>CR3514</v>
      </c>
      <c r="C2752" t="s">
        <v>32577</v>
      </c>
      <c r="D2752" t="s">
        <v>27263</v>
      </c>
      <c r="E2752" t="str">
        <f t="shared" si="42"/>
        <v>001390</v>
      </c>
      <c r="F2752" t="s">
        <v>27246</v>
      </c>
      <c r="G2752" t="s">
        <v>27247</v>
      </c>
      <c r="H2752" t="s">
        <v>27248</v>
      </c>
      <c r="I2752" t="s">
        <v>32578</v>
      </c>
      <c r="J2752" t="s">
        <v>5523</v>
      </c>
      <c r="L2752" t="s">
        <v>27250</v>
      </c>
      <c r="M2752" t="s">
        <v>27251</v>
      </c>
      <c r="N2752" t="s">
        <v>27252</v>
      </c>
      <c r="Q2752" s="1">
        <v>44846</v>
      </c>
      <c r="R2752" t="s">
        <v>27253</v>
      </c>
      <c r="S2752" t="s">
        <v>27254</v>
      </c>
      <c r="T2752" t="s">
        <v>27265</v>
      </c>
    </row>
    <row r="2753" spans="1:20" x14ac:dyDescent="0.3">
      <c r="A2753" t="str">
        <f>"0611833278100"</f>
        <v>0611833278100</v>
      </c>
      <c r="B2753" t="str">
        <f>"LQ3725"</f>
        <v>LQ3725</v>
      </c>
      <c r="C2753" t="s">
        <v>32579</v>
      </c>
      <c r="D2753" t="s">
        <v>27245</v>
      </c>
      <c r="E2753" t="str">
        <f t="shared" si="42"/>
        <v>001390</v>
      </c>
      <c r="F2753" t="s">
        <v>27246</v>
      </c>
      <c r="G2753" t="s">
        <v>27247</v>
      </c>
      <c r="H2753" t="s">
        <v>27248</v>
      </c>
      <c r="I2753" t="s">
        <v>32580</v>
      </c>
      <c r="J2753" t="s">
        <v>5525</v>
      </c>
      <c r="L2753" t="s">
        <v>27250</v>
      </c>
      <c r="M2753" t="s">
        <v>27251</v>
      </c>
      <c r="N2753" t="s">
        <v>27252</v>
      </c>
      <c r="Q2753" s="1">
        <v>44538</v>
      </c>
      <c r="R2753" t="s">
        <v>27253</v>
      </c>
      <c r="S2753" t="s">
        <v>27254</v>
      </c>
      <c r="T2753" t="s">
        <v>27255</v>
      </c>
    </row>
    <row r="2754" spans="1:20" x14ac:dyDescent="0.3">
      <c r="A2754" t="str">
        <f>"0611861261050"</f>
        <v>0611861261050</v>
      </c>
      <c r="B2754" t="str">
        <f>"CR3445"</f>
        <v>CR3445</v>
      </c>
      <c r="C2754" t="s">
        <v>32579</v>
      </c>
      <c r="D2754" t="s">
        <v>27263</v>
      </c>
      <c r="E2754" t="str">
        <f t="shared" ref="E2754:E2817" si="43">"001390"</f>
        <v>001390</v>
      </c>
      <c r="F2754" t="s">
        <v>27246</v>
      </c>
      <c r="G2754" t="s">
        <v>27247</v>
      </c>
      <c r="H2754" t="s">
        <v>27248</v>
      </c>
      <c r="I2754" t="s">
        <v>32581</v>
      </c>
      <c r="J2754" t="s">
        <v>5527</v>
      </c>
      <c r="L2754" t="s">
        <v>27250</v>
      </c>
      <c r="M2754" t="s">
        <v>27251</v>
      </c>
      <c r="N2754" t="s">
        <v>27252</v>
      </c>
      <c r="Q2754" s="1">
        <v>44846</v>
      </c>
      <c r="R2754" t="s">
        <v>27253</v>
      </c>
      <c r="S2754" t="s">
        <v>27254</v>
      </c>
      <c r="T2754" t="s">
        <v>27265</v>
      </c>
    </row>
    <row r="2755" spans="1:20" x14ac:dyDescent="0.3">
      <c r="A2755" t="str">
        <f>"0611833280100"</f>
        <v>0611833280100</v>
      </c>
      <c r="B2755" t="str">
        <f>"LK2782"</f>
        <v>LK2782</v>
      </c>
      <c r="C2755" t="s">
        <v>32582</v>
      </c>
      <c r="D2755" t="s">
        <v>27245</v>
      </c>
      <c r="E2755" t="str">
        <f t="shared" si="43"/>
        <v>001390</v>
      </c>
      <c r="F2755" t="s">
        <v>27246</v>
      </c>
      <c r="G2755" t="s">
        <v>27247</v>
      </c>
      <c r="H2755" t="s">
        <v>27248</v>
      </c>
      <c r="I2755" t="s">
        <v>32583</v>
      </c>
      <c r="J2755" t="s">
        <v>5531</v>
      </c>
      <c r="L2755" t="s">
        <v>27250</v>
      </c>
      <c r="M2755" t="s">
        <v>27251</v>
      </c>
      <c r="N2755" t="s">
        <v>27252</v>
      </c>
      <c r="Q2755" s="1">
        <v>44538</v>
      </c>
      <c r="R2755" t="s">
        <v>27253</v>
      </c>
      <c r="S2755" t="s">
        <v>27254</v>
      </c>
      <c r="T2755" t="s">
        <v>27255</v>
      </c>
    </row>
    <row r="2756" spans="1:20" x14ac:dyDescent="0.3">
      <c r="A2756" t="str">
        <f>"0611833281100"</f>
        <v>0611833281100</v>
      </c>
      <c r="B2756" t="str">
        <f>"LB2308"</f>
        <v>LB2308</v>
      </c>
      <c r="C2756" t="s">
        <v>32584</v>
      </c>
      <c r="D2756" t="s">
        <v>27245</v>
      </c>
      <c r="E2756" t="str">
        <f t="shared" si="43"/>
        <v>001390</v>
      </c>
      <c r="F2756" t="s">
        <v>27246</v>
      </c>
      <c r="G2756" t="s">
        <v>27247</v>
      </c>
      <c r="H2756" t="s">
        <v>27248</v>
      </c>
      <c r="I2756" t="s">
        <v>32585</v>
      </c>
      <c r="J2756" t="s">
        <v>5533</v>
      </c>
      <c r="L2756" t="s">
        <v>27250</v>
      </c>
      <c r="M2756" t="s">
        <v>27251</v>
      </c>
      <c r="N2756" t="s">
        <v>27252</v>
      </c>
      <c r="Q2756" s="1">
        <v>44538</v>
      </c>
      <c r="R2756" t="s">
        <v>27253</v>
      </c>
      <c r="S2756" t="s">
        <v>27254</v>
      </c>
      <c r="T2756" t="s">
        <v>27255</v>
      </c>
    </row>
    <row r="2757" spans="1:20" x14ac:dyDescent="0.3">
      <c r="A2757" t="str">
        <f>"0611833282100"</f>
        <v>0611833282100</v>
      </c>
      <c r="B2757" t="str">
        <f>"LB2310"</f>
        <v>LB2310</v>
      </c>
      <c r="C2757" t="s">
        <v>32586</v>
      </c>
      <c r="D2757" t="s">
        <v>27245</v>
      </c>
      <c r="E2757" t="str">
        <f t="shared" si="43"/>
        <v>001390</v>
      </c>
      <c r="F2757" t="s">
        <v>27246</v>
      </c>
      <c r="G2757" t="s">
        <v>27247</v>
      </c>
      <c r="H2757" t="s">
        <v>27248</v>
      </c>
      <c r="I2757" t="s">
        <v>32587</v>
      </c>
      <c r="J2757" t="s">
        <v>5535</v>
      </c>
      <c r="L2757" t="s">
        <v>27250</v>
      </c>
      <c r="M2757" t="s">
        <v>27251</v>
      </c>
      <c r="N2757" t="s">
        <v>27252</v>
      </c>
      <c r="Q2757" s="1">
        <v>44538</v>
      </c>
      <c r="R2757" t="s">
        <v>27253</v>
      </c>
      <c r="S2757" t="s">
        <v>27254</v>
      </c>
      <c r="T2757" t="s">
        <v>27255</v>
      </c>
    </row>
    <row r="2758" spans="1:20" x14ac:dyDescent="0.3">
      <c r="A2758" t="str">
        <f>"0611833283100"</f>
        <v>0611833283100</v>
      </c>
      <c r="B2758" t="str">
        <f>"LK1947"</f>
        <v>LK1947</v>
      </c>
      <c r="C2758" t="s">
        <v>32588</v>
      </c>
      <c r="D2758" t="s">
        <v>27245</v>
      </c>
      <c r="E2758" t="str">
        <f t="shared" si="43"/>
        <v>001390</v>
      </c>
      <c r="F2758" t="s">
        <v>27246</v>
      </c>
      <c r="G2758" t="s">
        <v>27247</v>
      </c>
      <c r="H2758" t="s">
        <v>27248</v>
      </c>
      <c r="I2758" t="s">
        <v>32589</v>
      </c>
      <c r="J2758" t="s">
        <v>5537</v>
      </c>
      <c r="L2758" t="s">
        <v>27250</v>
      </c>
      <c r="M2758" t="s">
        <v>27251</v>
      </c>
      <c r="N2758" t="s">
        <v>27252</v>
      </c>
      <c r="Q2758" s="1">
        <v>44538</v>
      </c>
      <c r="R2758" t="s">
        <v>27253</v>
      </c>
      <c r="S2758" t="s">
        <v>27254</v>
      </c>
      <c r="T2758" t="s">
        <v>27255</v>
      </c>
    </row>
    <row r="2759" spans="1:20" x14ac:dyDescent="0.3">
      <c r="A2759" t="str">
        <f>"0611833284100"</f>
        <v>0611833284100</v>
      </c>
      <c r="B2759" t="str">
        <f>"LB2311"</f>
        <v>LB2311</v>
      </c>
      <c r="C2759" t="s">
        <v>32590</v>
      </c>
      <c r="D2759" t="s">
        <v>27245</v>
      </c>
      <c r="E2759" t="str">
        <f t="shared" si="43"/>
        <v>001390</v>
      </c>
      <c r="F2759" t="s">
        <v>27246</v>
      </c>
      <c r="G2759" t="s">
        <v>27247</v>
      </c>
      <c r="H2759" t="s">
        <v>27248</v>
      </c>
      <c r="I2759" t="s">
        <v>32591</v>
      </c>
      <c r="J2759" t="s">
        <v>5539</v>
      </c>
      <c r="L2759" t="s">
        <v>27250</v>
      </c>
      <c r="M2759" t="s">
        <v>27251</v>
      </c>
      <c r="N2759" t="s">
        <v>27252</v>
      </c>
      <c r="Q2759" s="1">
        <v>44538</v>
      </c>
      <c r="R2759" t="s">
        <v>27253</v>
      </c>
      <c r="S2759" t="s">
        <v>27254</v>
      </c>
      <c r="T2759" t="s">
        <v>27255</v>
      </c>
    </row>
    <row r="2760" spans="1:20" x14ac:dyDescent="0.3">
      <c r="A2760" t="str">
        <f>"0611833285100"</f>
        <v>0611833285100</v>
      </c>
      <c r="B2760" t="str">
        <f>"LB2312"</f>
        <v>LB2312</v>
      </c>
      <c r="C2760" t="s">
        <v>32592</v>
      </c>
      <c r="D2760" t="s">
        <v>27245</v>
      </c>
      <c r="E2760" t="str">
        <f t="shared" si="43"/>
        <v>001390</v>
      </c>
      <c r="F2760" t="s">
        <v>27246</v>
      </c>
      <c r="G2760" t="s">
        <v>27247</v>
      </c>
      <c r="H2760" t="s">
        <v>27248</v>
      </c>
      <c r="I2760" t="s">
        <v>32593</v>
      </c>
      <c r="J2760" t="s">
        <v>5541</v>
      </c>
      <c r="L2760" t="s">
        <v>27250</v>
      </c>
      <c r="M2760" t="s">
        <v>27251</v>
      </c>
      <c r="N2760" t="s">
        <v>27252</v>
      </c>
      <c r="Q2760" s="1">
        <v>44538</v>
      </c>
      <c r="R2760" t="s">
        <v>27253</v>
      </c>
      <c r="S2760" t="s">
        <v>27254</v>
      </c>
      <c r="T2760" t="s">
        <v>27255</v>
      </c>
    </row>
    <row r="2761" spans="1:20" x14ac:dyDescent="0.3">
      <c r="A2761" t="str">
        <f>"0611833286100"</f>
        <v>0611833286100</v>
      </c>
      <c r="B2761" t="str">
        <f>"LB2313"</f>
        <v>LB2313</v>
      </c>
      <c r="C2761" t="s">
        <v>32594</v>
      </c>
      <c r="D2761" t="s">
        <v>27245</v>
      </c>
      <c r="E2761" t="str">
        <f t="shared" si="43"/>
        <v>001390</v>
      </c>
      <c r="F2761" t="s">
        <v>27246</v>
      </c>
      <c r="G2761" t="s">
        <v>27247</v>
      </c>
      <c r="H2761" t="s">
        <v>27248</v>
      </c>
      <c r="I2761" t="s">
        <v>32595</v>
      </c>
      <c r="J2761" t="s">
        <v>5543</v>
      </c>
      <c r="L2761" t="s">
        <v>27250</v>
      </c>
      <c r="M2761" t="s">
        <v>27251</v>
      </c>
      <c r="N2761" t="s">
        <v>27252</v>
      </c>
      <c r="Q2761" s="1">
        <v>44538</v>
      </c>
      <c r="R2761" t="s">
        <v>27253</v>
      </c>
      <c r="S2761" t="s">
        <v>27254</v>
      </c>
      <c r="T2761" t="s">
        <v>27255</v>
      </c>
    </row>
    <row r="2762" spans="1:20" x14ac:dyDescent="0.3">
      <c r="A2762" t="str">
        <f>"0611833287100"</f>
        <v>0611833287100</v>
      </c>
      <c r="B2762" t="str">
        <f>"LB2314"</f>
        <v>LB2314</v>
      </c>
      <c r="C2762" t="s">
        <v>32596</v>
      </c>
      <c r="D2762" t="s">
        <v>27245</v>
      </c>
      <c r="E2762" t="str">
        <f t="shared" si="43"/>
        <v>001390</v>
      </c>
      <c r="F2762" t="s">
        <v>27246</v>
      </c>
      <c r="G2762" t="s">
        <v>27247</v>
      </c>
      <c r="H2762" t="s">
        <v>27248</v>
      </c>
      <c r="I2762" t="s">
        <v>32597</v>
      </c>
      <c r="J2762" t="s">
        <v>5545</v>
      </c>
      <c r="L2762" t="s">
        <v>27250</v>
      </c>
      <c r="M2762" t="s">
        <v>27251</v>
      </c>
      <c r="N2762" t="s">
        <v>27252</v>
      </c>
      <c r="Q2762" s="1">
        <v>44538</v>
      </c>
      <c r="R2762" t="s">
        <v>27253</v>
      </c>
      <c r="S2762" t="s">
        <v>27254</v>
      </c>
      <c r="T2762" t="s">
        <v>27255</v>
      </c>
    </row>
    <row r="2763" spans="1:20" x14ac:dyDescent="0.3">
      <c r="A2763" t="str">
        <f>"0611833288100"</f>
        <v>0611833288100</v>
      </c>
      <c r="B2763" t="str">
        <f>"LB2316"</f>
        <v>LB2316</v>
      </c>
      <c r="C2763" t="s">
        <v>32598</v>
      </c>
      <c r="D2763" t="s">
        <v>27245</v>
      </c>
      <c r="E2763" t="str">
        <f t="shared" si="43"/>
        <v>001390</v>
      </c>
      <c r="F2763" t="s">
        <v>27246</v>
      </c>
      <c r="G2763" t="s">
        <v>27247</v>
      </c>
      <c r="H2763" t="s">
        <v>27248</v>
      </c>
      <c r="I2763" t="s">
        <v>32599</v>
      </c>
      <c r="J2763" t="s">
        <v>5547</v>
      </c>
      <c r="L2763" t="s">
        <v>27250</v>
      </c>
      <c r="M2763" t="s">
        <v>27251</v>
      </c>
      <c r="N2763" t="s">
        <v>27252</v>
      </c>
      <c r="Q2763" s="1">
        <v>44538</v>
      </c>
      <c r="R2763" t="s">
        <v>27253</v>
      </c>
      <c r="S2763" t="s">
        <v>27254</v>
      </c>
      <c r="T2763" t="s">
        <v>27255</v>
      </c>
    </row>
    <row r="2764" spans="1:20" x14ac:dyDescent="0.3">
      <c r="A2764" t="str">
        <f>"0611833289100"</f>
        <v>0611833289100</v>
      </c>
      <c r="B2764" t="str">
        <f>"LB2305"</f>
        <v>LB2305</v>
      </c>
      <c r="C2764" t="s">
        <v>32600</v>
      </c>
      <c r="D2764" t="s">
        <v>27245</v>
      </c>
      <c r="E2764" t="str">
        <f t="shared" si="43"/>
        <v>001390</v>
      </c>
      <c r="F2764" t="s">
        <v>27246</v>
      </c>
      <c r="G2764" t="s">
        <v>27247</v>
      </c>
      <c r="H2764" t="s">
        <v>27248</v>
      </c>
      <c r="I2764" t="s">
        <v>32601</v>
      </c>
      <c r="J2764" t="s">
        <v>5549</v>
      </c>
      <c r="L2764" t="s">
        <v>27250</v>
      </c>
      <c r="M2764" t="s">
        <v>27251</v>
      </c>
      <c r="N2764" t="s">
        <v>27252</v>
      </c>
      <c r="Q2764" s="1">
        <v>44538</v>
      </c>
      <c r="R2764" t="s">
        <v>27253</v>
      </c>
      <c r="S2764" t="s">
        <v>27254</v>
      </c>
      <c r="T2764" t="s">
        <v>27255</v>
      </c>
    </row>
    <row r="2765" spans="1:20" x14ac:dyDescent="0.3">
      <c r="A2765" t="str">
        <f>"0611833290100"</f>
        <v>0611833290100</v>
      </c>
      <c r="B2765" t="str">
        <f>"LB2318"</f>
        <v>LB2318</v>
      </c>
      <c r="C2765" t="s">
        <v>32602</v>
      </c>
      <c r="D2765" t="s">
        <v>27245</v>
      </c>
      <c r="E2765" t="str">
        <f t="shared" si="43"/>
        <v>001390</v>
      </c>
      <c r="F2765" t="s">
        <v>27246</v>
      </c>
      <c r="G2765" t="s">
        <v>27247</v>
      </c>
      <c r="H2765" t="s">
        <v>27248</v>
      </c>
      <c r="I2765" t="s">
        <v>32603</v>
      </c>
      <c r="J2765" t="s">
        <v>5551</v>
      </c>
      <c r="L2765" t="s">
        <v>27250</v>
      </c>
      <c r="M2765" t="s">
        <v>27251</v>
      </c>
      <c r="N2765" t="s">
        <v>27252</v>
      </c>
      <c r="Q2765" s="1">
        <v>44538</v>
      </c>
      <c r="R2765" t="s">
        <v>27253</v>
      </c>
      <c r="S2765" t="s">
        <v>27254</v>
      </c>
      <c r="T2765" t="s">
        <v>27255</v>
      </c>
    </row>
    <row r="2766" spans="1:20" x14ac:dyDescent="0.3">
      <c r="A2766" t="str">
        <f>"0611833291100"</f>
        <v>0611833291100</v>
      </c>
      <c r="B2766" t="str">
        <f>"LB2320"</f>
        <v>LB2320</v>
      </c>
      <c r="C2766" t="s">
        <v>32604</v>
      </c>
      <c r="D2766" t="s">
        <v>27245</v>
      </c>
      <c r="E2766" t="str">
        <f t="shared" si="43"/>
        <v>001390</v>
      </c>
      <c r="F2766" t="s">
        <v>27246</v>
      </c>
      <c r="G2766" t="s">
        <v>27247</v>
      </c>
      <c r="H2766" t="s">
        <v>27248</v>
      </c>
      <c r="I2766" t="s">
        <v>32605</v>
      </c>
      <c r="J2766" t="s">
        <v>5553</v>
      </c>
      <c r="L2766" t="s">
        <v>27250</v>
      </c>
      <c r="M2766" t="s">
        <v>27251</v>
      </c>
      <c r="N2766" t="s">
        <v>27252</v>
      </c>
      <c r="Q2766" s="1">
        <v>44538</v>
      </c>
      <c r="R2766" t="s">
        <v>27253</v>
      </c>
      <c r="S2766" t="s">
        <v>27254</v>
      </c>
      <c r="T2766" t="s">
        <v>27255</v>
      </c>
    </row>
    <row r="2767" spans="1:20" x14ac:dyDescent="0.3">
      <c r="A2767" t="str">
        <f>"0611833292100"</f>
        <v>0611833292100</v>
      </c>
      <c r="B2767" t="str">
        <f>"LK5209"</f>
        <v>LK5209</v>
      </c>
      <c r="C2767" t="s">
        <v>32606</v>
      </c>
      <c r="D2767" t="s">
        <v>27245</v>
      </c>
      <c r="E2767" t="str">
        <f t="shared" si="43"/>
        <v>001390</v>
      </c>
      <c r="F2767" t="s">
        <v>27246</v>
      </c>
      <c r="G2767" t="s">
        <v>27247</v>
      </c>
      <c r="H2767" t="s">
        <v>27248</v>
      </c>
      <c r="I2767" t="s">
        <v>32607</v>
      </c>
      <c r="J2767" t="s">
        <v>5555</v>
      </c>
      <c r="L2767" t="s">
        <v>27250</v>
      </c>
      <c r="M2767" t="s">
        <v>27251</v>
      </c>
      <c r="N2767" t="s">
        <v>27252</v>
      </c>
      <c r="Q2767" s="1">
        <v>44538</v>
      </c>
      <c r="R2767" t="s">
        <v>27253</v>
      </c>
      <c r="S2767" t="s">
        <v>27254</v>
      </c>
      <c r="T2767" t="s">
        <v>27255</v>
      </c>
    </row>
    <row r="2768" spans="1:20" x14ac:dyDescent="0.3">
      <c r="A2768" t="str">
        <f>"0611831980100"</f>
        <v>0611831980100</v>
      </c>
      <c r="B2768" t="str">
        <f>"LL1375"</f>
        <v>LL1375</v>
      </c>
      <c r="C2768" t="s">
        <v>32608</v>
      </c>
      <c r="D2768" t="s">
        <v>27245</v>
      </c>
      <c r="E2768" t="str">
        <f t="shared" si="43"/>
        <v>001390</v>
      </c>
      <c r="F2768" t="s">
        <v>27246</v>
      </c>
      <c r="G2768" t="s">
        <v>27247</v>
      </c>
      <c r="H2768" t="s">
        <v>27248</v>
      </c>
      <c r="I2768" t="s">
        <v>32609</v>
      </c>
      <c r="J2768" t="s">
        <v>5567</v>
      </c>
      <c r="L2768" t="s">
        <v>27250</v>
      </c>
      <c r="M2768" t="s">
        <v>27251</v>
      </c>
      <c r="N2768" t="s">
        <v>27252</v>
      </c>
      <c r="Q2768" s="1">
        <v>44538</v>
      </c>
      <c r="R2768" t="s">
        <v>27253</v>
      </c>
      <c r="S2768" t="s">
        <v>27254</v>
      </c>
      <c r="T2768" t="s">
        <v>27255</v>
      </c>
    </row>
    <row r="2769" spans="1:20" x14ac:dyDescent="0.3">
      <c r="A2769" t="str">
        <f>"0611831836100"</f>
        <v>0611831836100</v>
      </c>
      <c r="B2769" t="str">
        <f>"LL1360"</f>
        <v>LL1360</v>
      </c>
      <c r="C2769" t="s">
        <v>32610</v>
      </c>
      <c r="D2769" t="s">
        <v>27245</v>
      </c>
      <c r="E2769" t="str">
        <f t="shared" si="43"/>
        <v>001390</v>
      </c>
      <c r="F2769" t="s">
        <v>27246</v>
      </c>
      <c r="G2769" t="s">
        <v>27247</v>
      </c>
      <c r="H2769" t="s">
        <v>27248</v>
      </c>
      <c r="I2769" t="s">
        <v>32611</v>
      </c>
      <c r="J2769" t="s">
        <v>5557</v>
      </c>
      <c r="L2769" t="s">
        <v>27250</v>
      </c>
      <c r="M2769" t="s">
        <v>27251</v>
      </c>
      <c r="N2769" t="s">
        <v>27252</v>
      </c>
      <c r="Q2769" s="1">
        <v>44538</v>
      </c>
      <c r="R2769" t="s">
        <v>27253</v>
      </c>
      <c r="S2769" t="s">
        <v>27254</v>
      </c>
      <c r="T2769" t="s">
        <v>27255</v>
      </c>
    </row>
    <row r="2770" spans="1:20" x14ac:dyDescent="0.3">
      <c r="A2770" t="str">
        <f>"0611831870100"</f>
        <v>0611831870100</v>
      </c>
      <c r="B2770" t="str">
        <f>"LL1362"</f>
        <v>LL1362</v>
      </c>
      <c r="C2770" t="s">
        <v>32612</v>
      </c>
      <c r="D2770" t="s">
        <v>27245</v>
      </c>
      <c r="E2770" t="str">
        <f t="shared" si="43"/>
        <v>001390</v>
      </c>
      <c r="F2770" t="s">
        <v>27246</v>
      </c>
      <c r="G2770" t="s">
        <v>27247</v>
      </c>
      <c r="H2770" t="s">
        <v>27248</v>
      </c>
      <c r="I2770" t="s">
        <v>32613</v>
      </c>
      <c r="J2770" t="s">
        <v>5559</v>
      </c>
      <c r="L2770" t="s">
        <v>27250</v>
      </c>
      <c r="M2770" t="s">
        <v>27251</v>
      </c>
      <c r="N2770" t="s">
        <v>27252</v>
      </c>
      <c r="Q2770" s="1">
        <v>44538</v>
      </c>
      <c r="R2770" t="s">
        <v>27253</v>
      </c>
      <c r="S2770" t="s">
        <v>27254</v>
      </c>
      <c r="T2770" t="s">
        <v>27255</v>
      </c>
    </row>
    <row r="2771" spans="1:20" x14ac:dyDescent="0.3">
      <c r="A2771" t="str">
        <f>"0611831911100"</f>
        <v>0611831911100</v>
      </c>
      <c r="B2771" t="str">
        <f>"LL1361"</f>
        <v>LL1361</v>
      </c>
      <c r="C2771" t="s">
        <v>32614</v>
      </c>
      <c r="D2771" t="s">
        <v>27245</v>
      </c>
      <c r="E2771" t="str">
        <f t="shared" si="43"/>
        <v>001390</v>
      </c>
      <c r="F2771" t="s">
        <v>27246</v>
      </c>
      <c r="G2771" t="s">
        <v>27247</v>
      </c>
      <c r="H2771" t="s">
        <v>27248</v>
      </c>
      <c r="I2771" t="s">
        <v>32615</v>
      </c>
      <c r="J2771" t="s">
        <v>5561</v>
      </c>
      <c r="L2771" t="s">
        <v>27250</v>
      </c>
      <c r="M2771" t="s">
        <v>27251</v>
      </c>
      <c r="N2771" t="s">
        <v>27252</v>
      </c>
      <c r="Q2771" s="1">
        <v>44538</v>
      </c>
      <c r="R2771" t="s">
        <v>27253</v>
      </c>
      <c r="S2771" t="s">
        <v>27254</v>
      </c>
      <c r="T2771" t="s">
        <v>27255</v>
      </c>
    </row>
    <row r="2772" spans="1:20" x14ac:dyDescent="0.3">
      <c r="A2772" t="str">
        <f>"0611831975100"</f>
        <v>0611831975100</v>
      </c>
      <c r="B2772" t="str">
        <f>"LL8124"</f>
        <v>LL8124</v>
      </c>
      <c r="C2772" t="s">
        <v>32616</v>
      </c>
      <c r="D2772" t="s">
        <v>27245</v>
      </c>
      <c r="E2772" t="str">
        <f t="shared" si="43"/>
        <v>001390</v>
      </c>
      <c r="F2772" t="s">
        <v>27246</v>
      </c>
      <c r="G2772" t="s">
        <v>27247</v>
      </c>
      <c r="H2772" t="s">
        <v>27248</v>
      </c>
      <c r="I2772" t="s">
        <v>32617</v>
      </c>
      <c r="J2772" t="s">
        <v>5563</v>
      </c>
      <c r="L2772" t="s">
        <v>27250</v>
      </c>
      <c r="M2772" t="s">
        <v>27251</v>
      </c>
      <c r="N2772" t="s">
        <v>27252</v>
      </c>
      <c r="Q2772" s="1">
        <v>44538</v>
      </c>
      <c r="R2772" t="s">
        <v>27253</v>
      </c>
      <c r="S2772" t="s">
        <v>27254</v>
      </c>
      <c r="T2772" t="s">
        <v>27255</v>
      </c>
    </row>
    <row r="2773" spans="1:20" x14ac:dyDescent="0.3">
      <c r="A2773" t="str">
        <f>"0611831978100"</f>
        <v>0611831978100</v>
      </c>
      <c r="B2773" t="str">
        <f>"LL1363"</f>
        <v>LL1363</v>
      </c>
      <c r="C2773" t="s">
        <v>32618</v>
      </c>
      <c r="D2773" t="s">
        <v>27245</v>
      </c>
      <c r="E2773" t="str">
        <f t="shared" si="43"/>
        <v>001390</v>
      </c>
      <c r="F2773" t="s">
        <v>27246</v>
      </c>
      <c r="G2773" t="s">
        <v>27247</v>
      </c>
      <c r="H2773" t="s">
        <v>27248</v>
      </c>
      <c r="I2773" t="s">
        <v>32619</v>
      </c>
      <c r="J2773" t="s">
        <v>5565</v>
      </c>
      <c r="L2773" t="s">
        <v>27250</v>
      </c>
      <c r="M2773" t="s">
        <v>27251</v>
      </c>
      <c r="N2773" t="s">
        <v>27252</v>
      </c>
      <c r="Q2773" s="1">
        <v>44538</v>
      </c>
      <c r="R2773" t="s">
        <v>27253</v>
      </c>
      <c r="S2773" t="s">
        <v>27254</v>
      </c>
      <c r="T2773" t="s">
        <v>27255</v>
      </c>
    </row>
    <row r="2774" spans="1:20" x14ac:dyDescent="0.3">
      <c r="A2774" t="str">
        <f>"0611884114025"</f>
        <v>0611884114025</v>
      </c>
      <c r="B2774" t="str">
        <f>"MC4514"</f>
        <v>MC4514</v>
      </c>
      <c r="C2774" t="s">
        <v>32620</v>
      </c>
      <c r="D2774" t="s">
        <v>27267</v>
      </c>
      <c r="E2774" t="str">
        <f t="shared" si="43"/>
        <v>001390</v>
      </c>
      <c r="F2774" t="s">
        <v>27246</v>
      </c>
      <c r="G2774" t="s">
        <v>27247</v>
      </c>
      <c r="H2774" t="s">
        <v>27248</v>
      </c>
      <c r="I2774" t="s">
        <v>32621</v>
      </c>
      <c r="J2774" t="s">
        <v>5569</v>
      </c>
      <c r="L2774" t="s">
        <v>27430</v>
      </c>
      <c r="M2774" t="s">
        <v>27251</v>
      </c>
      <c r="N2774" t="s">
        <v>27252</v>
      </c>
      <c r="Q2774" s="1">
        <v>45250</v>
      </c>
      <c r="R2774" t="s">
        <v>27253</v>
      </c>
      <c r="S2774" t="s">
        <v>27254</v>
      </c>
      <c r="T2774" t="s">
        <v>27269</v>
      </c>
    </row>
    <row r="2775" spans="1:20" x14ac:dyDescent="0.3">
      <c r="A2775" t="str">
        <f>"0611833293025"</f>
        <v>0611833293025</v>
      </c>
      <c r="B2775" t="str">
        <f>"MC1682"</f>
        <v>MC1682</v>
      </c>
      <c r="C2775" t="s">
        <v>32622</v>
      </c>
      <c r="D2775" t="s">
        <v>27267</v>
      </c>
      <c r="E2775" t="str">
        <f t="shared" si="43"/>
        <v>001390</v>
      </c>
      <c r="F2775" t="s">
        <v>27246</v>
      </c>
      <c r="G2775" t="s">
        <v>27247</v>
      </c>
      <c r="H2775" t="s">
        <v>27248</v>
      </c>
      <c r="I2775" t="s">
        <v>32623</v>
      </c>
      <c r="J2775" t="s">
        <v>5571</v>
      </c>
      <c r="L2775" t="s">
        <v>27250</v>
      </c>
      <c r="M2775" t="s">
        <v>27251</v>
      </c>
      <c r="N2775" t="s">
        <v>27252</v>
      </c>
      <c r="Q2775" s="1">
        <v>44538</v>
      </c>
      <c r="R2775" t="s">
        <v>27253</v>
      </c>
      <c r="S2775" t="s">
        <v>27254</v>
      </c>
      <c r="T2775" t="s">
        <v>27269</v>
      </c>
    </row>
    <row r="2776" spans="1:20" x14ac:dyDescent="0.3">
      <c r="A2776" t="str">
        <f>"0611833294100"</f>
        <v>0611833294100</v>
      </c>
      <c r="B2776" t="str">
        <f>"LF1430"</f>
        <v>LF1430</v>
      </c>
      <c r="C2776" t="s">
        <v>32624</v>
      </c>
      <c r="D2776" t="s">
        <v>27245</v>
      </c>
      <c r="E2776" t="str">
        <f t="shared" si="43"/>
        <v>001390</v>
      </c>
      <c r="F2776" t="s">
        <v>27246</v>
      </c>
      <c r="G2776" t="s">
        <v>27247</v>
      </c>
      <c r="H2776" t="s">
        <v>27248</v>
      </c>
      <c r="I2776" t="s">
        <v>32625</v>
      </c>
      <c r="J2776" t="s">
        <v>5573</v>
      </c>
      <c r="L2776" t="s">
        <v>27250</v>
      </c>
      <c r="M2776" t="s">
        <v>27251</v>
      </c>
      <c r="N2776" t="s">
        <v>27252</v>
      </c>
      <c r="Q2776" s="1">
        <v>44538</v>
      </c>
      <c r="R2776" t="s">
        <v>27253</v>
      </c>
      <c r="S2776" t="s">
        <v>27254</v>
      </c>
      <c r="T2776" t="s">
        <v>27255</v>
      </c>
    </row>
    <row r="2777" spans="1:20" x14ac:dyDescent="0.3">
      <c r="A2777" t="str">
        <f>"0611884115025"</f>
        <v>0611884115025</v>
      </c>
      <c r="B2777" t="str">
        <f>"MC4515"</f>
        <v>MC4515</v>
      </c>
      <c r="C2777" t="s">
        <v>32626</v>
      </c>
      <c r="D2777" t="s">
        <v>27267</v>
      </c>
      <c r="E2777" t="str">
        <f t="shared" si="43"/>
        <v>001390</v>
      </c>
      <c r="F2777" t="s">
        <v>27246</v>
      </c>
      <c r="G2777" t="s">
        <v>27247</v>
      </c>
      <c r="H2777" t="s">
        <v>27248</v>
      </c>
      <c r="I2777" t="s">
        <v>32627</v>
      </c>
      <c r="J2777" t="s">
        <v>5575</v>
      </c>
      <c r="L2777" t="s">
        <v>27430</v>
      </c>
      <c r="M2777" t="s">
        <v>27251</v>
      </c>
      <c r="N2777" t="s">
        <v>27252</v>
      </c>
      <c r="Q2777" s="1">
        <v>45250</v>
      </c>
      <c r="R2777" t="s">
        <v>27253</v>
      </c>
      <c r="S2777" t="s">
        <v>27254</v>
      </c>
      <c r="T2777" t="s">
        <v>27269</v>
      </c>
    </row>
    <row r="2778" spans="1:20" x14ac:dyDescent="0.3">
      <c r="A2778" t="str">
        <f>"0611860397050"</f>
        <v>0611860397050</v>
      </c>
      <c r="B2778" t="str">
        <f>"CR4297"</f>
        <v>CR4297</v>
      </c>
      <c r="C2778" t="s">
        <v>32628</v>
      </c>
      <c r="D2778" t="s">
        <v>27271</v>
      </c>
      <c r="E2778" t="str">
        <f t="shared" si="43"/>
        <v>001390</v>
      </c>
      <c r="F2778" t="s">
        <v>27246</v>
      </c>
      <c r="G2778" t="s">
        <v>27247</v>
      </c>
      <c r="H2778" t="s">
        <v>27248</v>
      </c>
      <c r="I2778" t="s">
        <v>32629</v>
      </c>
      <c r="J2778" t="s">
        <v>5577</v>
      </c>
      <c r="L2778" t="s">
        <v>27250</v>
      </c>
      <c r="M2778" t="s">
        <v>27251</v>
      </c>
      <c r="N2778" t="s">
        <v>27252</v>
      </c>
      <c r="P2778" t="s">
        <v>27341</v>
      </c>
      <c r="Q2778" s="1">
        <v>44846</v>
      </c>
      <c r="R2778" t="s">
        <v>27253</v>
      </c>
      <c r="S2778" t="s">
        <v>27254</v>
      </c>
      <c r="T2778" t="s">
        <v>27265</v>
      </c>
    </row>
    <row r="2779" spans="1:20" x14ac:dyDescent="0.3">
      <c r="A2779" t="str">
        <f>"0611860454050"</f>
        <v>0611860454050</v>
      </c>
      <c r="B2779" t="str">
        <f>"CR4291"</f>
        <v>CR4291</v>
      </c>
      <c r="C2779" t="s">
        <v>32630</v>
      </c>
      <c r="D2779" t="s">
        <v>27271</v>
      </c>
      <c r="E2779" t="str">
        <f t="shared" si="43"/>
        <v>001390</v>
      </c>
      <c r="F2779" t="s">
        <v>27246</v>
      </c>
      <c r="G2779" t="s">
        <v>27247</v>
      </c>
      <c r="H2779" t="s">
        <v>27248</v>
      </c>
      <c r="I2779" t="s">
        <v>32631</v>
      </c>
      <c r="J2779" t="s">
        <v>5579</v>
      </c>
      <c r="L2779" t="s">
        <v>27250</v>
      </c>
      <c r="M2779" t="s">
        <v>27251</v>
      </c>
      <c r="N2779" t="s">
        <v>27252</v>
      </c>
      <c r="P2779" t="s">
        <v>27341</v>
      </c>
      <c r="Q2779" s="1">
        <v>44846</v>
      </c>
      <c r="R2779" t="s">
        <v>27253</v>
      </c>
      <c r="S2779" t="s">
        <v>27254</v>
      </c>
      <c r="T2779" t="s">
        <v>27265</v>
      </c>
    </row>
    <row r="2780" spans="1:20" x14ac:dyDescent="0.3">
      <c r="A2780" t="str">
        <f>"0611884116050"</f>
        <v>0611884116050</v>
      </c>
      <c r="B2780" t="str">
        <f>"CR5326"</f>
        <v>CR5326</v>
      </c>
      <c r="C2780" t="s">
        <v>32632</v>
      </c>
      <c r="D2780" t="s">
        <v>27271</v>
      </c>
      <c r="E2780" t="str">
        <f t="shared" si="43"/>
        <v>001390</v>
      </c>
      <c r="F2780" t="s">
        <v>27246</v>
      </c>
      <c r="G2780" t="s">
        <v>27247</v>
      </c>
      <c r="H2780" t="s">
        <v>27248</v>
      </c>
      <c r="I2780" t="s">
        <v>32633</v>
      </c>
      <c r="J2780" t="s">
        <v>5581</v>
      </c>
      <c r="L2780" t="s">
        <v>27430</v>
      </c>
      <c r="M2780" t="s">
        <v>27251</v>
      </c>
      <c r="N2780" t="s">
        <v>27252</v>
      </c>
      <c r="P2780" t="s">
        <v>27341</v>
      </c>
      <c r="Q2780" s="1">
        <v>45250</v>
      </c>
      <c r="R2780" t="s">
        <v>27253</v>
      </c>
      <c r="S2780" t="s">
        <v>27254</v>
      </c>
      <c r="T2780" t="s">
        <v>27265</v>
      </c>
    </row>
    <row r="2781" spans="1:20" x14ac:dyDescent="0.3">
      <c r="A2781" t="str">
        <f>"0611862076050"</f>
        <v>0611862076050</v>
      </c>
      <c r="B2781" t="str">
        <f>"CR3887"</f>
        <v>CR3887</v>
      </c>
      <c r="C2781" t="s">
        <v>32634</v>
      </c>
      <c r="D2781" t="s">
        <v>27271</v>
      </c>
      <c r="E2781" t="str">
        <f t="shared" si="43"/>
        <v>001390</v>
      </c>
      <c r="F2781" t="s">
        <v>27246</v>
      </c>
      <c r="G2781" t="s">
        <v>27247</v>
      </c>
      <c r="H2781" t="s">
        <v>27248</v>
      </c>
      <c r="I2781" t="s">
        <v>32635</v>
      </c>
      <c r="J2781" t="s">
        <v>5583</v>
      </c>
      <c r="L2781" t="s">
        <v>27250</v>
      </c>
      <c r="M2781" t="s">
        <v>27251</v>
      </c>
      <c r="N2781" t="s">
        <v>27252</v>
      </c>
      <c r="P2781" t="s">
        <v>27341</v>
      </c>
      <c r="Q2781" s="1">
        <v>44846</v>
      </c>
      <c r="R2781" t="s">
        <v>27253</v>
      </c>
      <c r="S2781" t="s">
        <v>27254</v>
      </c>
      <c r="T2781" t="s">
        <v>27265</v>
      </c>
    </row>
    <row r="2782" spans="1:20" x14ac:dyDescent="0.3">
      <c r="A2782" t="str">
        <f>"0611884117050"</f>
        <v>0611884117050</v>
      </c>
      <c r="B2782" t="str">
        <f>"CR5378"</f>
        <v>CR5378</v>
      </c>
      <c r="C2782" t="s">
        <v>32636</v>
      </c>
      <c r="D2782" t="s">
        <v>27271</v>
      </c>
      <c r="E2782" t="str">
        <f t="shared" si="43"/>
        <v>001390</v>
      </c>
      <c r="F2782" t="s">
        <v>27246</v>
      </c>
      <c r="G2782" t="s">
        <v>27247</v>
      </c>
      <c r="H2782" t="s">
        <v>27248</v>
      </c>
      <c r="I2782" t="s">
        <v>32637</v>
      </c>
      <c r="J2782" t="s">
        <v>5585</v>
      </c>
      <c r="L2782" t="s">
        <v>27430</v>
      </c>
      <c r="M2782" t="s">
        <v>27251</v>
      </c>
      <c r="N2782" t="s">
        <v>27252</v>
      </c>
      <c r="P2782" t="s">
        <v>27341</v>
      </c>
      <c r="Q2782" s="1">
        <v>45250</v>
      </c>
      <c r="R2782" t="s">
        <v>27253</v>
      </c>
      <c r="S2782" t="s">
        <v>27254</v>
      </c>
      <c r="T2782" t="s">
        <v>27265</v>
      </c>
    </row>
    <row r="2783" spans="1:20" x14ac:dyDescent="0.3">
      <c r="A2783" t="str">
        <f>"0611862077050"</f>
        <v>0611862077050</v>
      </c>
      <c r="B2783" t="str">
        <f>"CR4299"</f>
        <v>CR4299</v>
      </c>
      <c r="C2783" t="s">
        <v>32638</v>
      </c>
      <c r="D2783" t="s">
        <v>27271</v>
      </c>
      <c r="E2783" t="str">
        <f t="shared" si="43"/>
        <v>001390</v>
      </c>
      <c r="F2783" t="s">
        <v>27246</v>
      </c>
      <c r="G2783" t="s">
        <v>27247</v>
      </c>
      <c r="H2783" t="s">
        <v>27248</v>
      </c>
      <c r="I2783" t="s">
        <v>32639</v>
      </c>
      <c r="J2783" t="s">
        <v>5587</v>
      </c>
      <c r="L2783" t="s">
        <v>27250</v>
      </c>
      <c r="M2783" t="s">
        <v>27251</v>
      </c>
      <c r="N2783" t="s">
        <v>27252</v>
      </c>
      <c r="P2783" t="s">
        <v>27341</v>
      </c>
      <c r="Q2783" s="1">
        <v>44846</v>
      </c>
      <c r="R2783" t="s">
        <v>27253</v>
      </c>
      <c r="S2783" t="s">
        <v>27254</v>
      </c>
      <c r="T2783" t="s">
        <v>27265</v>
      </c>
    </row>
    <row r="2784" spans="1:20" x14ac:dyDescent="0.3">
      <c r="A2784" t="str">
        <f>"0611862078050"</f>
        <v>0611862078050</v>
      </c>
      <c r="B2784" t="str">
        <f>"CR4292"</f>
        <v>CR4292</v>
      </c>
      <c r="C2784" t="s">
        <v>32640</v>
      </c>
      <c r="D2784" t="s">
        <v>27271</v>
      </c>
      <c r="E2784" t="str">
        <f t="shared" si="43"/>
        <v>001390</v>
      </c>
      <c r="F2784" t="s">
        <v>27246</v>
      </c>
      <c r="G2784" t="s">
        <v>27247</v>
      </c>
      <c r="H2784" t="s">
        <v>27248</v>
      </c>
      <c r="I2784" t="s">
        <v>32641</v>
      </c>
      <c r="J2784" t="s">
        <v>5589</v>
      </c>
      <c r="L2784" t="s">
        <v>27250</v>
      </c>
      <c r="M2784" t="s">
        <v>27251</v>
      </c>
      <c r="N2784" t="s">
        <v>27252</v>
      </c>
      <c r="P2784" t="s">
        <v>27341</v>
      </c>
      <c r="Q2784" s="1">
        <v>44846</v>
      </c>
      <c r="R2784" t="s">
        <v>27253</v>
      </c>
      <c r="S2784" t="s">
        <v>27254</v>
      </c>
      <c r="T2784" t="s">
        <v>27265</v>
      </c>
    </row>
    <row r="2785" spans="1:20" x14ac:dyDescent="0.3">
      <c r="A2785" t="str">
        <f>"0611862079050"</f>
        <v>0611862079050</v>
      </c>
      <c r="B2785" t="str">
        <f>"CR4300"</f>
        <v>CR4300</v>
      </c>
      <c r="C2785" t="s">
        <v>32642</v>
      </c>
      <c r="D2785" t="s">
        <v>27271</v>
      </c>
      <c r="E2785" t="str">
        <f t="shared" si="43"/>
        <v>001390</v>
      </c>
      <c r="F2785" t="s">
        <v>27246</v>
      </c>
      <c r="G2785" t="s">
        <v>27247</v>
      </c>
      <c r="H2785" t="s">
        <v>27248</v>
      </c>
      <c r="I2785" t="s">
        <v>32643</v>
      </c>
      <c r="J2785" t="s">
        <v>5591</v>
      </c>
      <c r="L2785" t="s">
        <v>27250</v>
      </c>
      <c r="M2785" t="s">
        <v>27251</v>
      </c>
      <c r="N2785" t="s">
        <v>27252</v>
      </c>
      <c r="P2785" t="s">
        <v>27341</v>
      </c>
      <c r="Q2785" s="1">
        <v>44846</v>
      </c>
      <c r="R2785" t="s">
        <v>27253</v>
      </c>
      <c r="S2785" t="s">
        <v>27254</v>
      </c>
      <c r="T2785" t="s">
        <v>27265</v>
      </c>
    </row>
    <row r="2786" spans="1:20" x14ac:dyDescent="0.3">
      <c r="A2786" t="str">
        <f>"0611862080050"</f>
        <v>0611862080050</v>
      </c>
      <c r="B2786" t="str">
        <f>"CR3988"</f>
        <v>CR3988</v>
      </c>
      <c r="C2786" t="s">
        <v>32644</v>
      </c>
      <c r="D2786" t="s">
        <v>27271</v>
      </c>
      <c r="E2786" t="str">
        <f t="shared" si="43"/>
        <v>001390</v>
      </c>
      <c r="F2786" t="s">
        <v>27246</v>
      </c>
      <c r="G2786" t="s">
        <v>27247</v>
      </c>
      <c r="H2786" t="s">
        <v>27248</v>
      </c>
      <c r="I2786" t="s">
        <v>32645</v>
      </c>
      <c r="J2786" t="s">
        <v>5593</v>
      </c>
      <c r="L2786" t="s">
        <v>27250</v>
      </c>
      <c r="M2786" t="s">
        <v>27251</v>
      </c>
      <c r="N2786" t="s">
        <v>27252</v>
      </c>
      <c r="P2786" t="s">
        <v>27341</v>
      </c>
      <c r="Q2786" s="1">
        <v>44846</v>
      </c>
      <c r="R2786" t="s">
        <v>27253</v>
      </c>
      <c r="S2786" t="s">
        <v>27254</v>
      </c>
      <c r="T2786" t="s">
        <v>27265</v>
      </c>
    </row>
    <row r="2787" spans="1:20" x14ac:dyDescent="0.3">
      <c r="A2787" t="str">
        <f>"0611861264050"</f>
        <v>0611861264050</v>
      </c>
      <c r="B2787" t="str">
        <f>"CR4298"</f>
        <v>CR4298</v>
      </c>
      <c r="C2787" t="s">
        <v>32646</v>
      </c>
      <c r="D2787" t="s">
        <v>27271</v>
      </c>
      <c r="E2787" t="str">
        <f t="shared" si="43"/>
        <v>001390</v>
      </c>
      <c r="F2787" t="s">
        <v>27246</v>
      </c>
      <c r="G2787" t="s">
        <v>27247</v>
      </c>
      <c r="H2787" t="s">
        <v>27248</v>
      </c>
      <c r="I2787" t="s">
        <v>32647</v>
      </c>
      <c r="J2787" t="s">
        <v>5595</v>
      </c>
      <c r="L2787" t="s">
        <v>27250</v>
      </c>
      <c r="M2787" t="s">
        <v>27251</v>
      </c>
      <c r="N2787" t="s">
        <v>27252</v>
      </c>
      <c r="P2787" t="s">
        <v>27341</v>
      </c>
      <c r="Q2787" s="1">
        <v>44846</v>
      </c>
      <c r="R2787" t="s">
        <v>27253</v>
      </c>
      <c r="S2787" t="s">
        <v>27254</v>
      </c>
      <c r="T2787" t="s">
        <v>27265</v>
      </c>
    </row>
    <row r="2788" spans="1:20" x14ac:dyDescent="0.3">
      <c r="A2788" t="str">
        <f>"0611862081050"</f>
        <v>0611862081050</v>
      </c>
      <c r="B2788" t="str">
        <f>"CR4301"</f>
        <v>CR4301</v>
      </c>
      <c r="C2788" t="s">
        <v>32648</v>
      </c>
      <c r="D2788" t="s">
        <v>27271</v>
      </c>
      <c r="E2788" t="str">
        <f t="shared" si="43"/>
        <v>001390</v>
      </c>
      <c r="F2788" t="s">
        <v>27246</v>
      </c>
      <c r="G2788" t="s">
        <v>27247</v>
      </c>
      <c r="H2788" t="s">
        <v>27248</v>
      </c>
      <c r="I2788" t="s">
        <v>32649</v>
      </c>
      <c r="J2788" t="s">
        <v>5597</v>
      </c>
      <c r="L2788" t="s">
        <v>27250</v>
      </c>
      <c r="M2788" t="s">
        <v>27251</v>
      </c>
      <c r="N2788" t="s">
        <v>27252</v>
      </c>
      <c r="P2788" t="s">
        <v>27341</v>
      </c>
      <c r="Q2788" s="1">
        <v>44846</v>
      </c>
      <c r="R2788" t="s">
        <v>27253</v>
      </c>
      <c r="S2788" t="s">
        <v>27254</v>
      </c>
      <c r="T2788" t="s">
        <v>27265</v>
      </c>
    </row>
    <row r="2789" spans="1:20" x14ac:dyDescent="0.3">
      <c r="A2789" t="str">
        <f>"0611862082050"</f>
        <v>0611862082050</v>
      </c>
      <c r="B2789" t="str">
        <f>"CR4293"</f>
        <v>CR4293</v>
      </c>
      <c r="C2789" t="s">
        <v>32650</v>
      </c>
      <c r="D2789" t="s">
        <v>27271</v>
      </c>
      <c r="E2789" t="str">
        <f t="shared" si="43"/>
        <v>001390</v>
      </c>
      <c r="F2789" t="s">
        <v>27246</v>
      </c>
      <c r="G2789" t="s">
        <v>27247</v>
      </c>
      <c r="H2789" t="s">
        <v>27248</v>
      </c>
      <c r="I2789" t="s">
        <v>32651</v>
      </c>
      <c r="J2789" t="s">
        <v>5599</v>
      </c>
      <c r="L2789" t="s">
        <v>27250</v>
      </c>
      <c r="M2789" t="s">
        <v>27251</v>
      </c>
      <c r="N2789" t="s">
        <v>27252</v>
      </c>
      <c r="P2789" t="s">
        <v>27341</v>
      </c>
      <c r="Q2789" s="1">
        <v>44846</v>
      </c>
      <c r="R2789" t="s">
        <v>27253</v>
      </c>
      <c r="S2789" t="s">
        <v>27254</v>
      </c>
      <c r="T2789" t="s">
        <v>27265</v>
      </c>
    </row>
    <row r="2790" spans="1:20" x14ac:dyDescent="0.3">
      <c r="A2790" t="str">
        <f>"0611861453050"</f>
        <v>0611861453050</v>
      </c>
      <c r="B2790" t="str">
        <f>"CR4302"</f>
        <v>CR4302</v>
      </c>
      <c r="C2790" t="s">
        <v>32652</v>
      </c>
      <c r="D2790" t="s">
        <v>27271</v>
      </c>
      <c r="E2790" t="str">
        <f t="shared" si="43"/>
        <v>001390</v>
      </c>
      <c r="F2790" t="s">
        <v>27246</v>
      </c>
      <c r="G2790" t="s">
        <v>27247</v>
      </c>
      <c r="H2790" t="s">
        <v>27248</v>
      </c>
      <c r="I2790" t="s">
        <v>32653</v>
      </c>
      <c r="J2790" t="s">
        <v>5601</v>
      </c>
      <c r="L2790" t="s">
        <v>27250</v>
      </c>
      <c r="M2790" t="s">
        <v>27251</v>
      </c>
      <c r="N2790" t="s">
        <v>27252</v>
      </c>
      <c r="P2790" t="s">
        <v>27341</v>
      </c>
      <c r="Q2790" s="1">
        <v>44846</v>
      </c>
      <c r="R2790" t="s">
        <v>27253</v>
      </c>
      <c r="S2790" t="s">
        <v>27254</v>
      </c>
      <c r="T2790" t="s">
        <v>27265</v>
      </c>
    </row>
    <row r="2791" spans="1:20" x14ac:dyDescent="0.3">
      <c r="A2791" t="str">
        <f>"0611862083050"</f>
        <v>0611862083050</v>
      </c>
      <c r="B2791" t="str">
        <f>"CR4303"</f>
        <v>CR4303</v>
      </c>
      <c r="C2791" t="s">
        <v>32654</v>
      </c>
      <c r="D2791" t="s">
        <v>27271</v>
      </c>
      <c r="E2791" t="str">
        <f t="shared" si="43"/>
        <v>001390</v>
      </c>
      <c r="F2791" t="s">
        <v>27246</v>
      </c>
      <c r="G2791" t="s">
        <v>27247</v>
      </c>
      <c r="H2791" t="s">
        <v>27248</v>
      </c>
      <c r="I2791" t="s">
        <v>32655</v>
      </c>
      <c r="J2791" t="s">
        <v>5603</v>
      </c>
      <c r="L2791" t="s">
        <v>27250</v>
      </c>
      <c r="M2791" t="s">
        <v>27251</v>
      </c>
      <c r="N2791" t="s">
        <v>27252</v>
      </c>
      <c r="P2791" t="s">
        <v>27341</v>
      </c>
      <c r="Q2791" s="1">
        <v>44846</v>
      </c>
      <c r="R2791" t="s">
        <v>27253</v>
      </c>
      <c r="S2791" t="s">
        <v>27254</v>
      </c>
      <c r="T2791" t="s">
        <v>27265</v>
      </c>
    </row>
    <row r="2792" spans="1:20" x14ac:dyDescent="0.3">
      <c r="A2792" t="str">
        <f>"0611862084050"</f>
        <v>0611862084050</v>
      </c>
      <c r="B2792" t="str">
        <f>"CR4294"</f>
        <v>CR4294</v>
      </c>
      <c r="C2792" t="s">
        <v>32656</v>
      </c>
      <c r="D2792" t="s">
        <v>27271</v>
      </c>
      <c r="E2792" t="str">
        <f t="shared" si="43"/>
        <v>001390</v>
      </c>
      <c r="F2792" t="s">
        <v>27246</v>
      </c>
      <c r="G2792" t="s">
        <v>27247</v>
      </c>
      <c r="H2792" t="s">
        <v>27248</v>
      </c>
      <c r="I2792" t="s">
        <v>32657</v>
      </c>
      <c r="J2792" t="s">
        <v>5605</v>
      </c>
      <c r="L2792" t="s">
        <v>27250</v>
      </c>
      <c r="M2792" t="s">
        <v>27251</v>
      </c>
      <c r="N2792" t="s">
        <v>27252</v>
      </c>
      <c r="P2792" t="s">
        <v>27341</v>
      </c>
      <c r="Q2792" s="1">
        <v>44846</v>
      </c>
      <c r="R2792" t="s">
        <v>27253</v>
      </c>
      <c r="S2792" t="s">
        <v>27254</v>
      </c>
      <c r="T2792" t="s">
        <v>27265</v>
      </c>
    </row>
    <row r="2793" spans="1:20" x14ac:dyDescent="0.3">
      <c r="A2793" t="str">
        <f>"0611862085050"</f>
        <v>0611862085050</v>
      </c>
      <c r="B2793" t="str">
        <f>"CR4295"</f>
        <v>CR4295</v>
      </c>
      <c r="C2793" t="s">
        <v>32658</v>
      </c>
      <c r="D2793" t="s">
        <v>27271</v>
      </c>
      <c r="E2793" t="str">
        <f t="shared" si="43"/>
        <v>001390</v>
      </c>
      <c r="F2793" t="s">
        <v>27246</v>
      </c>
      <c r="G2793" t="s">
        <v>27247</v>
      </c>
      <c r="H2793" t="s">
        <v>27248</v>
      </c>
      <c r="I2793" t="s">
        <v>32659</v>
      </c>
      <c r="J2793" t="s">
        <v>5607</v>
      </c>
      <c r="L2793" t="s">
        <v>27250</v>
      </c>
      <c r="M2793" t="s">
        <v>27251</v>
      </c>
      <c r="N2793" t="s">
        <v>27252</v>
      </c>
      <c r="P2793" t="s">
        <v>27341</v>
      </c>
      <c r="Q2793" s="1">
        <v>44846</v>
      </c>
      <c r="R2793" t="s">
        <v>27253</v>
      </c>
      <c r="S2793" t="s">
        <v>27254</v>
      </c>
      <c r="T2793" t="s">
        <v>27265</v>
      </c>
    </row>
    <row r="2794" spans="1:20" x14ac:dyDescent="0.3">
      <c r="A2794" t="str">
        <f>"0611862086050"</f>
        <v>0611862086050</v>
      </c>
      <c r="B2794" t="str">
        <f>"CR4304"</f>
        <v>CR4304</v>
      </c>
      <c r="C2794" t="s">
        <v>32660</v>
      </c>
      <c r="D2794" t="s">
        <v>27271</v>
      </c>
      <c r="E2794" t="str">
        <f t="shared" si="43"/>
        <v>001390</v>
      </c>
      <c r="F2794" t="s">
        <v>27246</v>
      </c>
      <c r="G2794" t="s">
        <v>27247</v>
      </c>
      <c r="H2794" t="s">
        <v>27248</v>
      </c>
      <c r="I2794" t="s">
        <v>32661</v>
      </c>
      <c r="J2794" t="s">
        <v>5609</v>
      </c>
      <c r="L2794" t="s">
        <v>27250</v>
      </c>
      <c r="M2794" t="s">
        <v>27251</v>
      </c>
      <c r="N2794" t="s">
        <v>27252</v>
      </c>
      <c r="P2794" t="s">
        <v>27341</v>
      </c>
      <c r="Q2794" s="1">
        <v>44846</v>
      </c>
      <c r="R2794" t="s">
        <v>27253</v>
      </c>
      <c r="S2794" t="s">
        <v>27254</v>
      </c>
      <c r="T2794" t="s">
        <v>27265</v>
      </c>
    </row>
    <row r="2795" spans="1:20" x14ac:dyDescent="0.3">
      <c r="A2795" t="str">
        <f>"0611884118050"</f>
        <v>0611884118050</v>
      </c>
      <c r="B2795" t="str">
        <f>"CR5404"</f>
        <v>CR5404</v>
      </c>
      <c r="C2795" t="s">
        <v>32662</v>
      </c>
      <c r="D2795" t="s">
        <v>27271</v>
      </c>
      <c r="E2795" t="str">
        <f t="shared" si="43"/>
        <v>001390</v>
      </c>
      <c r="F2795" t="s">
        <v>27246</v>
      </c>
      <c r="G2795" t="s">
        <v>27247</v>
      </c>
      <c r="H2795" t="s">
        <v>27248</v>
      </c>
      <c r="I2795" t="s">
        <v>32663</v>
      </c>
      <c r="J2795" t="s">
        <v>5611</v>
      </c>
      <c r="L2795" t="s">
        <v>27430</v>
      </c>
      <c r="M2795" t="s">
        <v>27251</v>
      </c>
      <c r="N2795" t="s">
        <v>27252</v>
      </c>
      <c r="P2795" t="s">
        <v>27341</v>
      </c>
      <c r="Q2795" s="1">
        <v>45250</v>
      </c>
      <c r="R2795" t="s">
        <v>27253</v>
      </c>
      <c r="S2795" t="s">
        <v>27254</v>
      </c>
      <c r="T2795" t="s">
        <v>27265</v>
      </c>
    </row>
    <row r="2796" spans="1:20" x14ac:dyDescent="0.3">
      <c r="A2796" t="str">
        <f>"0611884119050"</f>
        <v>0611884119050</v>
      </c>
      <c r="B2796" t="str">
        <f>"CR5392"</f>
        <v>CR5392</v>
      </c>
      <c r="C2796" t="s">
        <v>32664</v>
      </c>
      <c r="D2796" t="s">
        <v>27271</v>
      </c>
      <c r="E2796" t="str">
        <f t="shared" si="43"/>
        <v>001390</v>
      </c>
      <c r="F2796" t="s">
        <v>27246</v>
      </c>
      <c r="G2796" t="s">
        <v>27247</v>
      </c>
      <c r="H2796" t="s">
        <v>27248</v>
      </c>
      <c r="I2796" t="s">
        <v>32665</v>
      </c>
      <c r="J2796" t="s">
        <v>5613</v>
      </c>
      <c r="L2796" t="s">
        <v>27430</v>
      </c>
      <c r="M2796" t="s">
        <v>27251</v>
      </c>
      <c r="N2796" t="s">
        <v>27252</v>
      </c>
      <c r="P2796" t="s">
        <v>27341</v>
      </c>
      <c r="Q2796" s="1">
        <v>45250</v>
      </c>
      <c r="R2796" t="s">
        <v>27253</v>
      </c>
      <c r="S2796" t="s">
        <v>27254</v>
      </c>
      <c r="T2796" t="s">
        <v>27265</v>
      </c>
    </row>
    <row r="2797" spans="1:20" x14ac:dyDescent="0.3">
      <c r="A2797" t="str">
        <f>"0611862087050"</f>
        <v>0611862087050</v>
      </c>
      <c r="B2797" t="str">
        <f>"CR3888"</f>
        <v>CR3888</v>
      </c>
      <c r="C2797" t="s">
        <v>32666</v>
      </c>
      <c r="D2797" t="s">
        <v>27271</v>
      </c>
      <c r="E2797" t="str">
        <f t="shared" si="43"/>
        <v>001390</v>
      </c>
      <c r="F2797" t="s">
        <v>27246</v>
      </c>
      <c r="G2797" t="s">
        <v>27247</v>
      </c>
      <c r="H2797" t="s">
        <v>27248</v>
      </c>
      <c r="I2797" t="s">
        <v>32667</v>
      </c>
      <c r="J2797" t="s">
        <v>5615</v>
      </c>
      <c r="L2797" t="s">
        <v>27250</v>
      </c>
      <c r="M2797" t="s">
        <v>27251</v>
      </c>
      <c r="N2797" t="s">
        <v>27252</v>
      </c>
      <c r="P2797" t="s">
        <v>27341</v>
      </c>
      <c r="Q2797" s="1">
        <v>44846</v>
      </c>
      <c r="R2797" t="s">
        <v>27253</v>
      </c>
      <c r="S2797" t="s">
        <v>27254</v>
      </c>
      <c r="T2797" t="s">
        <v>27265</v>
      </c>
    </row>
    <row r="2798" spans="1:20" x14ac:dyDescent="0.3">
      <c r="A2798" t="str">
        <f>"0611862088050"</f>
        <v>0611862088050</v>
      </c>
      <c r="B2798" t="str">
        <f>"CR4305"</f>
        <v>CR4305</v>
      </c>
      <c r="C2798" t="s">
        <v>32668</v>
      </c>
      <c r="D2798" t="s">
        <v>27271</v>
      </c>
      <c r="E2798" t="str">
        <f t="shared" si="43"/>
        <v>001390</v>
      </c>
      <c r="F2798" t="s">
        <v>27246</v>
      </c>
      <c r="G2798" t="s">
        <v>27247</v>
      </c>
      <c r="H2798" t="s">
        <v>27248</v>
      </c>
      <c r="I2798" t="s">
        <v>32669</v>
      </c>
      <c r="J2798" t="s">
        <v>5617</v>
      </c>
      <c r="L2798" t="s">
        <v>27250</v>
      </c>
      <c r="M2798" t="s">
        <v>27251</v>
      </c>
      <c r="N2798" t="s">
        <v>27252</v>
      </c>
      <c r="P2798" t="s">
        <v>27341</v>
      </c>
      <c r="Q2798" s="1">
        <v>44846</v>
      </c>
      <c r="R2798" t="s">
        <v>27253</v>
      </c>
      <c r="S2798" t="s">
        <v>27254</v>
      </c>
      <c r="T2798" t="s">
        <v>27265</v>
      </c>
    </row>
    <row r="2799" spans="1:20" x14ac:dyDescent="0.3">
      <c r="A2799" t="str">
        <f>"0611862089050"</f>
        <v>0611862089050</v>
      </c>
      <c r="B2799" t="str">
        <f>"CR4296"</f>
        <v>CR4296</v>
      </c>
      <c r="C2799" t="s">
        <v>32670</v>
      </c>
      <c r="D2799" t="s">
        <v>27271</v>
      </c>
      <c r="E2799" t="str">
        <f t="shared" si="43"/>
        <v>001390</v>
      </c>
      <c r="F2799" t="s">
        <v>27246</v>
      </c>
      <c r="G2799" t="s">
        <v>27247</v>
      </c>
      <c r="H2799" t="s">
        <v>27248</v>
      </c>
      <c r="I2799" t="s">
        <v>32671</v>
      </c>
      <c r="J2799" t="s">
        <v>5619</v>
      </c>
      <c r="L2799" t="s">
        <v>27250</v>
      </c>
      <c r="M2799" t="s">
        <v>27251</v>
      </c>
      <c r="N2799" t="s">
        <v>27252</v>
      </c>
      <c r="P2799" t="s">
        <v>27341</v>
      </c>
      <c r="Q2799" s="1">
        <v>44846</v>
      </c>
      <c r="R2799" t="s">
        <v>27253</v>
      </c>
      <c r="S2799" t="s">
        <v>27254</v>
      </c>
      <c r="T2799" t="s">
        <v>27265</v>
      </c>
    </row>
    <row r="2800" spans="1:20" x14ac:dyDescent="0.3">
      <c r="A2800" t="str">
        <f>"0611862090050"</f>
        <v>0611862090050</v>
      </c>
      <c r="B2800" t="str">
        <f>"CR3885"</f>
        <v>CR3885</v>
      </c>
      <c r="C2800" t="s">
        <v>32672</v>
      </c>
      <c r="D2800" t="s">
        <v>27271</v>
      </c>
      <c r="E2800" t="str">
        <f t="shared" si="43"/>
        <v>001390</v>
      </c>
      <c r="F2800" t="s">
        <v>27246</v>
      </c>
      <c r="G2800" t="s">
        <v>27247</v>
      </c>
      <c r="H2800" t="s">
        <v>27248</v>
      </c>
      <c r="I2800" t="s">
        <v>32673</v>
      </c>
      <c r="J2800" t="s">
        <v>5621</v>
      </c>
      <c r="L2800" t="s">
        <v>27250</v>
      </c>
      <c r="M2800" t="s">
        <v>27251</v>
      </c>
      <c r="N2800" t="s">
        <v>27252</v>
      </c>
      <c r="P2800" t="s">
        <v>27341</v>
      </c>
      <c r="Q2800" s="1">
        <v>44846</v>
      </c>
      <c r="R2800" t="s">
        <v>27253</v>
      </c>
      <c r="S2800" t="s">
        <v>27254</v>
      </c>
      <c r="T2800" t="s">
        <v>27265</v>
      </c>
    </row>
    <row r="2801" spans="1:20" x14ac:dyDescent="0.3">
      <c r="A2801" t="str">
        <f>"0611862091050"</f>
        <v>0611862091050</v>
      </c>
      <c r="B2801" t="str">
        <f>"CR4306"</f>
        <v>CR4306</v>
      </c>
      <c r="C2801" t="s">
        <v>32674</v>
      </c>
      <c r="D2801" t="s">
        <v>27271</v>
      </c>
      <c r="E2801" t="str">
        <f t="shared" si="43"/>
        <v>001390</v>
      </c>
      <c r="F2801" t="s">
        <v>27246</v>
      </c>
      <c r="G2801" t="s">
        <v>27247</v>
      </c>
      <c r="H2801" t="s">
        <v>27248</v>
      </c>
      <c r="I2801" t="s">
        <v>32675</v>
      </c>
      <c r="J2801" t="s">
        <v>5623</v>
      </c>
      <c r="L2801" t="s">
        <v>27250</v>
      </c>
      <c r="M2801" t="s">
        <v>27251</v>
      </c>
      <c r="N2801" t="s">
        <v>27252</v>
      </c>
      <c r="P2801" t="s">
        <v>27341</v>
      </c>
      <c r="Q2801" s="1">
        <v>44846</v>
      </c>
      <c r="R2801" t="s">
        <v>27253</v>
      </c>
      <c r="S2801" t="s">
        <v>27254</v>
      </c>
      <c r="T2801" t="s">
        <v>27265</v>
      </c>
    </row>
    <row r="2802" spans="1:20" x14ac:dyDescent="0.3">
      <c r="A2802" t="str">
        <f>"0611884120050"</f>
        <v>0611884120050</v>
      </c>
      <c r="B2802" t="str">
        <f>"CR5379"</f>
        <v>CR5379</v>
      </c>
      <c r="C2802" t="s">
        <v>32676</v>
      </c>
      <c r="D2802" t="s">
        <v>27271</v>
      </c>
      <c r="E2802" t="str">
        <f t="shared" si="43"/>
        <v>001390</v>
      </c>
      <c r="F2802" t="s">
        <v>27246</v>
      </c>
      <c r="G2802" t="s">
        <v>27247</v>
      </c>
      <c r="H2802" t="s">
        <v>27248</v>
      </c>
      <c r="I2802" t="s">
        <v>32677</v>
      </c>
      <c r="J2802" t="s">
        <v>5625</v>
      </c>
      <c r="L2802" t="s">
        <v>27430</v>
      </c>
      <c r="M2802" t="s">
        <v>27251</v>
      </c>
      <c r="N2802" t="s">
        <v>27252</v>
      </c>
      <c r="P2802" t="s">
        <v>27341</v>
      </c>
      <c r="Q2802" s="1">
        <v>45250</v>
      </c>
      <c r="R2802" t="s">
        <v>27253</v>
      </c>
      <c r="S2802" t="s">
        <v>27254</v>
      </c>
      <c r="T2802" t="s">
        <v>27265</v>
      </c>
    </row>
    <row r="2803" spans="1:20" x14ac:dyDescent="0.3">
      <c r="A2803" t="str">
        <f>"0611884121050"</f>
        <v>0611884121050</v>
      </c>
      <c r="B2803" t="str">
        <f>"CR5393"</f>
        <v>CR5393</v>
      </c>
      <c r="C2803" t="s">
        <v>32678</v>
      </c>
      <c r="D2803" t="s">
        <v>27271</v>
      </c>
      <c r="E2803" t="str">
        <f t="shared" si="43"/>
        <v>001390</v>
      </c>
      <c r="F2803" t="s">
        <v>27246</v>
      </c>
      <c r="G2803" t="s">
        <v>27247</v>
      </c>
      <c r="H2803" t="s">
        <v>27248</v>
      </c>
      <c r="I2803" t="s">
        <v>32679</v>
      </c>
      <c r="J2803" t="s">
        <v>5627</v>
      </c>
      <c r="L2803" t="s">
        <v>27430</v>
      </c>
      <c r="M2803" t="s">
        <v>27251</v>
      </c>
      <c r="N2803" t="s">
        <v>27252</v>
      </c>
      <c r="P2803" t="s">
        <v>27341</v>
      </c>
      <c r="Q2803" s="1">
        <v>45250</v>
      </c>
      <c r="R2803" t="s">
        <v>27253</v>
      </c>
      <c r="S2803" t="s">
        <v>27254</v>
      </c>
      <c r="T2803" t="s">
        <v>27265</v>
      </c>
    </row>
    <row r="2804" spans="1:20" x14ac:dyDescent="0.3">
      <c r="A2804" t="str">
        <f>"0611884122050"</f>
        <v>0611884122050</v>
      </c>
      <c r="B2804" t="str">
        <f>"CR5380"</f>
        <v>CR5380</v>
      </c>
      <c r="C2804" t="s">
        <v>32680</v>
      </c>
      <c r="D2804" t="s">
        <v>27271</v>
      </c>
      <c r="E2804" t="str">
        <f t="shared" si="43"/>
        <v>001390</v>
      </c>
      <c r="F2804" t="s">
        <v>27246</v>
      </c>
      <c r="G2804" t="s">
        <v>27247</v>
      </c>
      <c r="H2804" t="s">
        <v>27248</v>
      </c>
      <c r="I2804" t="s">
        <v>32681</v>
      </c>
      <c r="J2804" t="s">
        <v>5629</v>
      </c>
      <c r="L2804" t="s">
        <v>27430</v>
      </c>
      <c r="M2804" t="s">
        <v>27251</v>
      </c>
      <c r="N2804" t="s">
        <v>27252</v>
      </c>
      <c r="P2804" t="s">
        <v>27341</v>
      </c>
      <c r="Q2804" s="1">
        <v>45250</v>
      </c>
      <c r="R2804" t="s">
        <v>27253</v>
      </c>
      <c r="S2804" t="s">
        <v>27254</v>
      </c>
      <c r="T2804" t="s">
        <v>27265</v>
      </c>
    </row>
    <row r="2805" spans="1:20" x14ac:dyDescent="0.3">
      <c r="A2805" t="str">
        <f>"0611861262050"</f>
        <v>0611861262050</v>
      </c>
      <c r="B2805" t="str">
        <f>"CR3986"</f>
        <v>CR3986</v>
      </c>
      <c r="C2805" t="s">
        <v>32682</v>
      </c>
      <c r="D2805" t="s">
        <v>27271</v>
      </c>
      <c r="E2805" t="str">
        <f t="shared" si="43"/>
        <v>001390</v>
      </c>
      <c r="F2805" t="s">
        <v>27246</v>
      </c>
      <c r="G2805" t="s">
        <v>27247</v>
      </c>
      <c r="H2805" t="s">
        <v>27248</v>
      </c>
      <c r="I2805" t="s">
        <v>32683</v>
      </c>
      <c r="J2805" t="s">
        <v>5631</v>
      </c>
      <c r="L2805" t="s">
        <v>27250</v>
      </c>
      <c r="M2805" t="s">
        <v>27251</v>
      </c>
      <c r="N2805" t="s">
        <v>27252</v>
      </c>
      <c r="P2805" t="s">
        <v>27341</v>
      </c>
      <c r="Q2805" s="1">
        <v>44846</v>
      </c>
      <c r="R2805" t="s">
        <v>27253</v>
      </c>
      <c r="S2805" t="s">
        <v>27254</v>
      </c>
      <c r="T2805" t="s">
        <v>27265</v>
      </c>
    </row>
    <row r="2806" spans="1:20" x14ac:dyDescent="0.3">
      <c r="A2806" t="str">
        <f>"0611861263050"</f>
        <v>0611861263050</v>
      </c>
      <c r="B2806" t="str">
        <f>"CR4089"</f>
        <v>CR4089</v>
      </c>
      <c r="C2806" t="s">
        <v>32684</v>
      </c>
      <c r="D2806" t="s">
        <v>27271</v>
      </c>
      <c r="E2806" t="str">
        <f t="shared" si="43"/>
        <v>001390</v>
      </c>
      <c r="F2806" t="s">
        <v>27246</v>
      </c>
      <c r="G2806" t="s">
        <v>27247</v>
      </c>
      <c r="H2806" t="s">
        <v>27248</v>
      </c>
      <c r="I2806" t="s">
        <v>32685</v>
      </c>
      <c r="J2806" t="s">
        <v>5633</v>
      </c>
      <c r="L2806" t="s">
        <v>27250</v>
      </c>
      <c r="M2806" t="s">
        <v>27251</v>
      </c>
      <c r="N2806" t="s">
        <v>27252</v>
      </c>
      <c r="P2806" t="s">
        <v>27341</v>
      </c>
      <c r="Q2806" s="1">
        <v>44846</v>
      </c>
      <c r="R2806" t="s">
        <v>27253</v>
      </c>
      <c r="S2806" t="s">
        <v>27254</v>
      </c>
      <c r="T2806" t="s">
        <v>27265</v>
      </c>
    </row>
    <row r="2807" spans="1:20" x14ac:dyDescent="0.3">
      <c r="A2807" t="str">
        <f>"0611861312050"</f>
        <v>0611861312050</v>
      </c>
      <c r="B2807" t="str">
        <f>"CR4762"</f>
        <v>CR4762</v>
      </c>
      <c r="C2807" t="s">
        <v>32686</v>
      </c>
      <c r="D2807" t="s">
        <v>27271</v>
      </c>
      <c r="E2807" t="str">
        <f t="shared" si="43"/>
        <v>001390</v>
      </c>
      <c r="F2807" t="s">
        <v>27246</v>
      </c>
      <c r="G2807" t="s">
        <v>27247</v>
      </c>
      <c r="H2807" t="s">
        <v>27248</v>
      </c>
      <c r="I2807" t="s">
        <v>32687</v>
      </c>
      <c r="J2807" t="s">
        <v>5635</v>
      </c>
      <c r="L2807" t="s">
        <v>27250</v>
      </c>
      <c r="M2807" t="s">
        <v>27251</v>
      </c>
      <c r="N2807" t="s">
        <v>27252</v>
      </c>
      <c r="P2807" t="s">
        <v>27341</v>
      </c>
      <c r="Q2807" s="1">
        <v>44846</v>
      </c>
      <c r="R2807" t="s">
        <v>27253</v>
      </c>
      <c r="S2807" t="s">
        <v>27254</v>
      </c>
      <c r="T2807" t="s">
        <v>27265</v>
      </c>
    </row>
    <row r="2808" spans="1:20" x14ac:dyDescent="0.3">
      <c r="A2808" t="str">
        <f>"0611861345050"</f>
        <v>0611861345050</v>
      </c>
      <c r="B2808" t="str">
        <f>"CR4798"</f>
        <v>CR4798</v>
      </c>
      <c r="C2808" t="s">
        <v>32688</v>
      </c>
      <c r="D2808" t="s">
        <v>27271</v>
      </c>
      <c r="E2808" t="str">
        <f t="shared" si="43"/>
        <v>001390</v>
      </c>
      <c r="F2808" t="s">
        <v>27246</v>
      </c>
      <c r="G2808" t="s">
        <v>27247</v>
      </c>
      <c r="H2808" t="s">
        <v>27248</v>
      </c>
      <c r="I2808" t="s">
        <v>32689</v>
      </c>
      <c r="J2808" t="s">
        <v>5637</v>
      </c>
      <c r="L2808" t="s">
        <v>27250</v>
      </c>
      <c r="M2808" t="s">
        <v>27251</v>
      </c>
      <c r="N2808" t="s">
        <v>27252</v>
      </c>
      <c r="P2808" t="s">
        <v>27341</v>
      </c>
      <c r="Q2808" s="1">
        <v>44846</v>
      </c>
      <c r="R2808" t="s">
        <v>27253</v>
      </c>
      <c r="S2808" t="s">
        <v>27254</v>
      </c>
      <c r="T2808" t="s">
        <v>27265</v>
      </c>
    </row>
    <row r="2809" spans="1:20" x14ac:dyDescent="0.3">
      <c r="A2809" t="str">
        <f>"0611861276050"</f>
        <v>0611861276050</v>
      </c>
      <c r="B2809" t="str">
        <f>"CR3050"</f>
        <v>CR3050</v>
      </c>
      <c r="C2809" t="s">
        <v>32690</v>
      </c>
      <c r="D2809" t="s">
        <v>27271</v>
      </c>
      <c r="E2809" t="str">
        <f t="shared" si="43"/>
        <v>001390</v>
      </c>
      <c r="F2809" t="s">
        <v>27246</v>
      </c>
      <c r="G2809" t="s">
        <v>27247</v>
      </c>
      <c r="H2809" t="s">
        <v>27248</v>
      </c>
      <c r="I2809" t="s">
        <v>32691</v>
      </c>
      <c r="J2809" t="s">
        <v>5639</v>
      </c>
      <c r="L2809" t="s">
        <v>27250</v>
      </c>
      <c r="M2809" t="s">
        <v>27251</v>
      </c>
      <c r="N2809" t="s">
        <v>27252</v>
      </c>
      <c r="P2809" t="s">
        <v>27341</v>
      </c>
      <c r="Q2809" s="1">
        <v>44846</v>
      </c>
      <c r="R2809" t="s">
        <v>27253</v>
      </c>
      <c r="S2809" t="s">
        <v>27254</v>
      </c>
      <c r="T2809" t="s">
        <v>27265</v>
      </c>
    </row>
    <row r="2810" spans="1:20" x14ac:dyDescent="0.3">
      <c r="A2810" t="str">
        <f>"0611861346050"</f>
        <v>0611861346050</v>
      </c>
      <c r="B2810" t="str">
        <f>"CR2133"</f>
        <v>CR2133</v>
      </c>
      <c r="C2810" t="s">
        <v>32692</v>
      </c>
      <c r="D2810" t="s">
        <v>27271</v>
      </c>
      <c r="E2810" t="str">
        <f t="shared" si="43"/>
        <v>001390</v>
      </c>
      <c r="F2810" t="s">
        <v>27246</v>
      </c>
      <c r="G2810" t="s">
        <v>27247</v>
      </c>
      <c r="H2810" t="s">
        <v>27248</v>
      </c>
      <c r="I2810" t="s">
        <v>32693</v>
      </c>
      <c r="J2810" t="s">
        <v>5641</v>
      </c>
      <c r="L2810" t="s">
        <v>27250</v>
      </c>
      <c r="M2810" t="s">
        <v>27251</v>
      </c>
      <c r="N2810" t="s">
        <v>27252</v>
      </c>
      <c r="P2810" t="s">
        <v>27341</v>
      </c>
      <c r="Q2810" s="1">
        <v>44846</v>
      </c>
      <c r="R2810" t="s">
        <v>27253</v>
      </c>
      <c r="S2810" t="s">
        <v>27254</v>
      </c>
      <c r="T2810" t="s">
        <v>27265</v>
      </c>
    </row>
    <row r="2811" spans="1:20" x14ac:dyDescent="0.3">
      <c r="A2811" t="str">
        <f>"0611861289050"</f>
        <v>0611861289050</v>
      </c>
      <c r="B2811" t="str">
        <f>"CR4945"</f>
        <v>CR4945</v>
      </c>
      <c r="C2811" t="s">
        <v>32694</v>
      </c>
      <c r="D2811" t="s">
        <v>27271</v>
      </c>
      <c r="E2811" t="str">
        <f t="shared" si="43"/>
        <v>001390</v>
      </c>
      <c r="F2811" t="s">
        <v>27246</v>
      </c>
      <c r="G2811" t="s">
        <v>27247</v>
      </c>
      <c r="H2811" t="s">
        <v>27248</v>
      </c>
      <c r="I2811" t="s">
        <v>32695</v>
      </c>
      <c r="J2811" t="s">
        <v>5643</v>
      </c>
      <c r="L2811" t="s">
        <v>27250</v>
      </c>
      <c r="M2811" t="s">
        <v>27251</v>
      </c>
      <c r="N2811" t="s">
        <v>27252</v>
      </c>
      <c r="P2811" t="s">
        <v>27341</v>
      </c>
      <c r="Q2811" s="1">
        <v>44846</v>
      </c>
      <c r="R2811" t="s">
        <v>27253</v>
      </c>
      <c r="S2811" t="s">
        <v>27254</v>
      </c>
      <c r="T2811" t="s">
        <v>27265</v>
      </c>
    </row>
    <row r="2812" spans="1:20" x14ac:dyDescent="0.3">
      <c r="A2812" t="str">
        <f>"0611861277050"</f>
        <v>0611861277050</v>
      </c>
      <c r="B2812" t="str">
        <f>"CR3758"</f>
        <v>CR3758</v>
      </c>
      <c r="C2812" t="s">
        <v>32696</v>
      </c>
      <c r="D2812" t="s">
        <v>27271</v>
      </c>
      <c r="E2812" t="str">
        <f t="shared" si="43"/>
        <v>001390</v>
      </c>
      <c r="F2812" t="s">
        <v>27246</v>
      </c>
      <c r="G2812" t="s">
        <v>27247</v>
      </c>
      <c r="H2812" t="s">
        <v>27248</v>
      </c>
      <c r="I2812" t="s">
        <v>32697</v>
      </c>
      <c r="J2812" t="s">
        <v>5645</v>
      </c>
      <c r="L2812" t="s">
        <v>27250</v>
      </c>
      <c r="M2812" t="s">
        <v>27251</v>
      </c>
      <c r="N2812" t="s">
        <v>27252</v>
      </c>
      <c r="P2812" t="s">
        <v>27341</v>
      </c>
      <c r="Q2812" s="1">
        <v>44846</v>
      </c>
      <c r="R2812" t="s">
        <v>27253</v>
      </c>
      <c r="S2812" t="s">
        <v>27254</v>
      </c>
      <c r="T2812" t="s">
        <v>27265</v>
      </c>
    </row>
    <row r="2813" spans="1:20" x14ac:dyDescent="0.3">
      <c r="A2813" t="str">
        <f>"0611861348050"</f>
        <v>0611861348050</v>
      </c>
      <c r="B2813" t="str">
        <f>"CR3037"</f>
        <v>CR3037</v>
      </c>
      <c r="C2813" t="s">
        <v>32698</v>
      </c>
      <c r="D2813" t="s">
        <v>27271</v>
      </c>
      <c r="E2813" t="str">
        <f t="shared" si="43"/>
        <v>001390</v>
      </c>
      <c r="F2813" t="s">
        <v>27246</v>
      </c>
      <c r="G2813" t="s">
        <v>27247</v>
      </c>
      <c r="H2813" t="s">
        <v>27248</v>
      </c>
      <c r="I2813" t="s">
        <v>32699</v>
      </c>
      <c r="J2813" t="s">
        <v>5665</v>
      </c>
      <c r="L2813" t="s">
        <v>27250</v>
      </c>
      <c r="M2813" t="s">
        <v>27251</v>
      </c>
      <c r="N2813" t="s">
        <v>27252</v>
      </c>
      <c r="P2813" t="s">
        <v>27341</v>
      </c>
      <c r="Q2813" s="1">
        <v>44846</v>
      </c>
      <c r="R2813" t="s">
        <v>27253</v>
      </c>
      <c r="S2813" t="s">
        <v>27254</v>
      </c>
      <c r="T2813" t="s">
        <v>27265</v>
      </c>
    </row>
    <row r="2814" spans="1:20" x14ac:dyDescent="0.3">
      <c r="A2814" t="str">
        <f>"0611861347050"</f>
        <v>0611861347050</v>
      </c>
      <c r="B2814" t="str">
        <f>"CR2135"</f>
        <v>CR2135</v>
      </c>
      <c r="C2814" t="s">
        <v>32700</v>
      </c>
      <c r="D2814" t="s">
        <v>27271</v>
      </c>
      <c r="E2814" t="str">
        <f t="shared" si="43"/>
        <v>001390</v>
      </c>
      <c r="F2814" t="s">
        <v>27246</v>
      </c>
      <c r="G2814" t="s">
        <v>27247</v>
      </c>
      <c r="H2814" t="s">
        <v>27248</v>
      </c>
      <c r="I2814" t="s">
        <v>32701</v>
      </c>
      <c r="J2814" t="s">
        <v>5647</v>
      </c>
      <c r="L2814" t="s">
        <v>27250</v>
      </c>
      <c r="M2814" t="s">
        <v>27251</v>
      </c>
      <c r="N2814" t="s">
        <v>27252</v>
      </c>
      <c r="P2814" t="s">
        <v>27341</v>
      </c>
      <c r="Q2814" s="1">
        <v>44846</v>
      </c>
      <c r="R2814" t="s">
        <v>27253</v>
      </c>
      <c r="S2814" t="s">
        <v>27254</v>
      </c>
      <c r="T2814" t="s">
        <v>27265</v>
      </c>
    </row>
    <row r="2815" spans="1:20" x14ac:dyDescent="0.3">
      <c r="A2815" t="str">
        <f>"0611861278050"</f>
        <v>0611861278050</v>
      </c>
      <c r="B2815" t="str">
        <f>"CR2134"</f>
        <v>CR2134</v>
      </c>
      <c r="C2815" t="s">
        <v>32702</v>
      </c>
      <c r="D2815" t="s">
        <v>27271</v>
      </c>
      <c r="E2815" t="str">
        <f t="shared" si="43"/>
        <v>001390</v>
      </c>
      <c r="F2815" t="s">
        <v>27246</v>
      </c>
      <c r="G2815" t="s">
        <v>27247</v>
      </c>
      <c r="H2815" t="s">
        <v>27248</v>
      </c>
      <c r="I2815" t="s">
        <v>32703</v>
      </c>
      <c r="J2815" t="s">
        <v>5649</v>
      </c>
      <c r="L2815" t="s">
        <v>27250</v>
      </c>
      <c r="M2815" t="s">
        <v>27251</v>
      </c>
      <c r="N2815" t="s">
        <v>27252</v>
      </c>
      <c r="P2815" t="s">
        <v>27341</v>
      </c>
      <c r="Q2815" s="1">
        <v>44846</v>
      </c>
      <c r="R2815" t="s">
        <v>27253</v>
      </c>
      <c r="S2815" t="s">
        <v>27254</v>
      </c>
      <c r="T2815" t="s">
        <v>27265</v>
      </c>
    </row>
    <row r="2816" spans="1:20" x14ac:dyDescent="0.3">
      <c r="A2816" t="str">
        <f>"0611861343050"</f>
        <v>0611861343050</v>
      </c>
      <c r="B2816" t="str">
        <f>"CR3432"</f>
        <v>CR3432</v>
      </c>
      <c r="C2816" t="s">
        <v>32704</v>
      </c>
      <c r="D2816" t="s">
        <v>27271</v>
      </c>
      <c r="E2816" t="str">
        <f t="shared" si="43"/>
        <v>001390</v>
      </c>
      <c r="F2816" t="s">
        <v>27246</v>
      </c>
      <c r="G2816" t="s">
        <v>27247</v>
      </c>
      <c r="H2816" t="s">
        <v>27248</v>
      </c>
      <c r="I2816" t="s">
        <v>32705</v>
      </c>
      <c r="J2816" t="s">
        <v>5651</v>
      </c>
      <c r="L2816" t="s">
        <v>27250</v>
      </c>
      <c r="M2816" t="s">
        <v>27251</v>
      </c>
      <c r="N2816" t="s">
        <v>27252</v>
      </c>
      <c r="P2816" t="s">
        <v>27341</v>
      </c>
      <c r="Q2816" s="1">
        <v>44846</v>
      </c>
      <c r="R2816" t="s">
        <v>27253</v>
      </c>
      <c r="S2816" t="s">
        <v>27254</v>
      </c>
      <c r="T2816" t="s">
        <v>27265</v>
      </c>
    </row>
    <row r="2817" spans="1:20" x14ac:dyDescent="0.3">
      <c r="A2817" t="str">
        <f>"0611861280050"</f>
        <v>0611861280050</v>
      </c>
      <c r="B2817" t="str">
        <f>"CR2136"</f>
        <v>CR2136</v>
      </c>
      <c r="C2817" t="s">
        <v>32706</v>
      </c>
      <c r="D2817" t="s">
        <v>27271</v>
      </c>
      <c r="E2817" t="str">
        <f t="shared" si="43"/>
        <v>001390</v>
      </c>
      <c r="F2817" t="s">
        <v>27246</v>
      </c>
      <c r="G2817" t="s">
        <v>27247</v>
      </c>
      <c r="H2817" t="s">
        <v>27248</v>
      </c>
      <c r="I2817" t="s">
        <v>32707</v>
      </c>
      <c r="J2817" t="s">
        <v>5653</v>
      </c>
      <c r="L2817" t="s">
        <v>27250</v>
      </c>
      <c r="M2817" t="s">
        <v>27251</v>
      </c>
      <c r="N2817" t="s">
        <v>27252</v>
      </c>
      <c r="P2817" t="s">
        <v>27341</v>
      </c>
      <c r="Q2817" s="1">
        <v>44846</v>
      </c>
      <c r="R2817" t="s">
        <v>27253</v>
      </c>
      <c r="S2817" t="s">
        <v>27254</v>
      </c>
      <c r="T2817" t="s">
        <v>27265</v>
      </c>
    </row>
    <row r="2818" spans="1:20" x14ac:dyDescent="0.3">
      <c r="A2818" t="str">
        <f>"0611861355050"</f>
        <v>0611861355050</v>
      </c>
      <c r="B2818" t="str">
        <f>"CR3038"</f>
        <v>CR3038</v>
      </c>
      <c r="C2818" t="s">
        <v>32708</v>
      </c>
      <c r="D2818" t="s">
        <v>27271</v>
      </c>
      <c r="E2818" t="str">
        <f t="shared" ref="E2818:E2881" si="44">"001390"</f>
        <v>001390</v>
      </c>
      <c r="F2818" t="s">
        <v>27246</v>
      </c>
      <c r="G2818" t="s">
        <v>27247</v>
      </c>
      <c r="H2818" t="s">
        <v>27248</v>
      </c>
      <c r="I2818" t="s">
        <v>32709</v>
      </c>
      <c r="J2818" t="s">
        <v>5667</v>
      </c>
      <c r="L2818" t="s">
        <v>27250</v>
      </c>
      <c r="M2818" t="s">
        <v>27251</v>
      </c>
      <c r="N2818" t="s">
        <v>27252</v>
      </c>
      <c r="P2818" t="s">
        <v>27341</v>
      </c>
      <c r="Q2818" s="1">
        <v>44846</v>
      </c>
      <c r="R2818" t="s">
        <v>27253</v>
      </c>
      <c r="S2818" t="s">
        <v>27254</v>
      </c>
      <c r="T2818" t="s">
        <v>27265</v>
      </c>
    </row>
    <row r="2819" spans="1:20" x14ac:dyDescent="0.3">
      <c r="A2819" t="str">
        <f>"0611861284050"</f>
        <v>0611861284050</v>
      </c>
      <c r="B2819" t="str">
        <f>"CR4768"</f>
        <v>CR4768</v>
      </c>
      <c r="C2819" t="s">
        <v>32710</v>
      </c>
      <c r="D2819" t="s">
        <v>27271</v>
      </c>
      <c r="E2819" t="str">
        <f t="shared" si="44"/>
        <v>001390</v>
      </c>
      <c r="F2819" t="s">
        <v>27246</v>
      </c>
      <c r="G2819" t="s">
        <v>27247</v>
      </c>
      <c r="H2819" t="s">
        <v>27248</v>
      </c>
      <c r="I2819" t="s">
        <v>32711</v>
      </c>
      <c r="J2819" t="s">
        <v>5657</v>
      </c>
      <c r="L2819" t="s">
        <v>27250</v>
      </c>
      <c r="M2819" t="s">
        <v>27251</v>
      </c>
      <c r="N2819" t="s">
        <v>27252</v>
      </c>
      <c r="P2819" t="s">
        <v>27341</v>
      </c>
      <c r="Q2819" s="1">
        <v>44846</v>
      </c>
      <c r="R2819" t="s">
        <v>27253</v>
      </c>
      <c r="S2819" t="s">
        <v>27254</v>
      </c>
      <c r="T2819" t="s">
        <v>27265</v>
      </c>
    </row>
    <row r="2820" spans="1:20" x14ac:dyDescent="0.3">
      <c r="A2820" t="str">
        <f>"0611861285050"</f>
        <v>0611861285050</v>
      </c>
      <c r="B2820" t="str">
        <f>"CR3418"</f>
        <v>CR3418</v>
      </c>
      <c r="C2820" t="s">
        <v>32712</v>
      </c>
      <c r="D2820" t="s">
        <v>27271</v>
      </c>
      <c r="E2820" t="str">
        <f t="shared" si="44"/>
        <v>001390</v>
      </c>
      <c r="F2820" t="s">
        <v>27246</v>
      </c>
      <c r="G2820" t="s">
        <v>27247</v>
      </c>
      <c r="H2820" t="s">
        <v>27248</v>
      </c>
      <c r="I2820" t="s">
        <v>32713</v>
      </c>
      <c r="J2820" t="s">
        <v>5659</v>
      </c>
      <c r="L2820" t="s">
        <v>27250</v>
      </c>
      <c r="M2820" t="s">
        <v>27251</v>
      </c>
      <c r="N2820" t="s">
        <v>27252</v>
      </c>
      <c r="P2820" t="s">
        <v>27341</v>
      </c>
      <c r="Q2820" s="1">
        <v>44846</v>
      </c>
      <c r="R2820" t="s">
        <v>27253</v>
      </c>
      <c r="S2820" t="s">
        <v>27254</v>
      </c>
      <c r="T2820" t="s">
        <v>27265</v>
      </c>
    </row>
    <row r="2821" spans="1:20" x14ac:dyDescent="0.3">
      <c r="A2821" t="str">
        <f>"0611861286050"</f>
        <v>0611861286050</v>
      </c>
      <c r="B2821" t="str">
        <f>"CR5172"</f>
        <v>CR5172</v>
      </c>
      <c r="C2821" t="s">
        <v>32714</v>
      </c>
      <c r="D2821" t="s">
        <v>27271</v>
      </c>
      <c r="E2821" t="str">
        <f t="shared" si="44"/>
        <v>001390</v>
      </c>
      <c r="F2821" t="s">
        <v>27246</v>
      </c>
      <c r="G2821" t="s">
        <v>27247</v>
      </c>
      <c r="H2821" t="s">
        <v>27248</v>
      </c>
      <c r="I2821" t="s">
        <v>32715</v>
      </c>
      <c r="J2821" t="s">
        <v>5661</v>
      </c>
      <c r="L2821" t="s">
        <v>27250</v>
      </c>
      <c r="M2821" t="s">
        <v>27251</v>
      </c>
      <c r="N2821" t="s">
        <v>27252</v>
      </c>
      <c r="P2821" t="s">
        <v>27341</v>
      </c>
      <c r="Q2821" s="1">
        <v>44846</v>
      </c>
      <c r="R2821" t="s">
        <v>27253</v>
      </c>
      <c r="S2821" t="s">
        <v>27254</v>
      </c>
      <c r="T2821" t="s">
        <v>27265</v>
      </c>
    </row>
    <row r="2822" spans="1:20" x14ac:dyDescent="0.3">
      <c r="A2822" t="str">
        <f>"0611861344050"</f>
        <v>0611861344050</v>
      </c>
      <c r="B2822" t="str">
        <f>"CR2888"</f>
        <v>CR2888</v>
      </c>
      <c r="C2822" t="s">
        <v>32716</v>
      </c>
      <c r="D2822" t="s">
        <v>27271</v>
      </c>
      <c r="E2822" t="str">
        <f t="shared" si="44"/>
        <v>001390</v>
      </c>
      <c r="F2822" t="s">
        <v>27246</v>
      </c>
      <c r="G2822" t="s">
        <v>27247</v>
      </c>
      <c r="H2822" t="s">
        <v>27248</v>
      </c>
      <c r="I2822" t="s">
        <v>32717</v>
      </c>
      <c r="J2822" t="s">
        <v>5663</v>
      </c>
      <c r="L2822" t="s">
        <v>27250</v>
      </c>
      <c r="M2822" t="s">
        <v>27251</v>
      </c>
      <c r="N2822" t="s">
        <v>27252</v>
      </c>
      <c r="P2822" t="s">
        <v>27341</v>
      </c>
      <c r="Q2822" s="1">
        <v>44846</v>
      </c>
      <c r="R2822" t="s">
        <v>27253</v>
      </c>
      <c r="S2822" t="s">
        <v>27254</v>
      </c>
      <c r="T2822" t="s">
        <v>27265</v>
      </c>
    </row>
    <row r="2823" spans="1:20" x14ac:dyDescent="0.3">
      <c r="A2823" t="str">
        <f>"0611861281050"</f>
        <v>0611861281050</v>
      </c>
      <c r="B2823" t="str">
        <f>"CR3759"</f>
        <v>CR3759</v>
      </c>
      <c r="C2823" t="s">
        <v>32718</v>
      </c>
      <c r="D2823" t="s">
        <v>27271</v>
      </c>
      <c r="E2823" t="str">
        <f t="shared" si="44"/>
        <v>001390</v>
      </c>
      <c r="F2823" t="s">
        <v>27246</v>
      </c>
      <c r="G2823" t="s">
        <v>27247</v>
      </c>
      <c r="H2823" t="s">
        <v>27248</v>
      </c>
      <c r="I2823" t="s">
        <v>32719</v>
      </c>
      <c r="J2823" t="s">
        <v>5669</v>
      </c>
      <c r="L2823" t="s">
        <v>27250</v>
      </c>
      <c r="M2823" t="s">
        <v>27251</v>
      </c>
      <c r="N2823" t="s">
        <v>27252</v>
      </c>
      <c r="P2823" t="s">
        <v>27341</v>
      </c>
      <c r="Q2823" s="1">
        <v>44846</v>
      </c>
      <c r="R2823" t="s">
        <v>27253</v>
      </c>
      <c r="S2823" t="s">
        <v>27254</v>
      </c>
      <c r="T2823" t="s">
        <v>27265</v>
      </c>
    </row>
    <row r="2824" spans="1:20" x14ac:dyDescent="0.3">
      <c r="A2824" t="str">
        <f>"0611861282050"</f>
        <v>0611861282050</v>
      </c>
      <c r="B2824" t="str">
        <f>"CR5173"</f>
        <v>CR5173</v>
      </c>
      <c r="C2824" t="s">
        <v>32720</v>
      </c>
      <c r="D2824" t="s">
        <v>27271</v>
      </c>
      <c r="E2824" t="str">
        <f t="shared" si="44"/>
        <v>001390</v>
      </c>
      <c r="F2824" t="s">
        <v>27246</v>
      </c>
      <c r="G2824" t="s">
        <v>27247</v>
      </c>
      <c r="H2824" t="s">
        <v>27248</v>
      </c>
      <c r="I2824" t="s">
        <v>32721</v>
      </c>
      <c r="J2824" t="s">
        <v>5671</v>
      </c>
      <c r="L2824" t="s">
        <v>27250</v>
      </c>
      <c r="M2824" t="s">
        <v>27251</v>
      </c>
      <c r="N2824" t="s">
        <v>27252</v>
      </c>
      <c r="P2824" t="s">
        <v>27341</v>
      </c>
      <c r="Q2824" s="1">
        <v>44846</v>
      </c>
      <c r="R2824" t="s">
        <v>27253</v>
      </c>
      <c r="S2824" t="s">
        <v>27254</v>
      </c>
      <c r="T2824" t="s">
        <v>27265</v>
      </c>
    </row>
    <row r="2825" spans="1:20" x14ac:dyDescent="0.3">
      <c r="A2825" t="str">
        <f>"0611861294050"</f>
        <v>0611861294050</v>
      </c>
      <c r="B2825" t="str">
        <f>"CR4771"</f>
        <v>CR4771</v>
      </c>
      <c r="C2825" t="s">
        <v>32722</v>
      </c>
      <c r="D2825" t="s">
        <v>27271</v>
      </c>
      <c r="E2825" t="str">
        <f t="shared" si="44"/>
        <v>001390</v>
      </c>
      <c r="F2825" t="s">
        <v>27246</v>
      </c>
      <c r="G2825" t="s">
        <v>27247</v>
      </c>
      <c r="H2825" t="s">
        <v>27248</v>
      </c>
      <c r="I2825" t="s">
        <v>32723</v>
      </c>
      <c r="J2825" t="s">
        <v>5797</v>
      </c>
      <c r="L2825" t="s">
        <v>27250</v>
      </c>
      <c r="M2825" t="s">
        <v>27251</v>
      </c>
      <c r="N2825" t="s">
        <v>27252</v>
      </c>
      <c r="P2825" t="s">
        <v>27341</v>
      </c>
      <c r="Q2825" s="1">
        <v>44846</v>
      </c>
      <c r="R2825" t="s">
        <v>27253</v>
      </c>
      <c r="S2825" t="s">
        <v>27254</v>
      </c>
      <c r="T2825" t="s">
        <v>27265</v>
      </c>
    </row>
    <row r="2826" spans="1:20" x14ac:dyDescent="0.3">
      <c r="A2826" t="str">
        <f>"0611861283050"</f>
        <v>0611861283050</v>
      </c>
      <c r="B2826" t="str">
        <f>"CR3760"</f>
        <v>CR3760</v>
      </c>
      <c r="C2826" t="s">
        <v>32724</v>
      </c>
      <c r="D2826" t="s">
        <v>27271</v>
      </c>
      <c r="E2826" t="str">
        <f t="shared" si="44"/>
        <v>001390</v>
      </c>
      <c r="F2826" t="s">
        <v>27246</v>
      </c>
      <c r="G2826" t="s">
        <v>27247</v>
      </c>
      <c r="H2826" t="s">
        <v>27248</v>
      </c>
      <c r="I2826" t="s">
        <v>32725</v>
      </c>
      <c r="J2826" t="s">
        <v>5655</v>
      </c>
      <c r="L2826" t="s">
        <v>27250</v>
      </c>
      <c r="M2826" t="s">
        <v>27251</v>
      </c>
      <c r="N2826" t="s">
        <v>27252</v>
      </c>
      <c r="P2826" t="s">
        <v>27341</v>
      </c>
      <c r="Q2826" s="1">
        <v>44846</v>
      </c>
      <c r="R2826" t="s">
        <v>27253</v>
      </c>
      <c r="S2826" t="s">
        <v>27254</v>
      </c>
      <c r="T2826" t="s">
        <v>27265</v>
      </c>
    </row>
    <row r="2827" spans="1:20" x14ac:dyDescent="0.3">
      <c r="A2827" t="str">
        <f>"0611861265050"</f>
        <v>0611861265050</v>
      </c>
      <c r="B2827" t="str">
        <f>"CR4088"</f>
        <v>CR4088</v>
      </c>
      <c r="C2827" t="s">
        <v>32726</v>
      </c>
      <c r="D2827" t="s">
        <v>27271</v>
      </c>
      <c r="E2827" t="str">
        <f t="shared" si="44"/>
        <v>001390</v>
      </c>
      <c r="F2827" t="s">
        <v>27246</v>
      </c>
      <c r="G2827" t="s">
        <v>27247</v>
      </c>
      <c r="H2827" t="s">
        <v>27248</v>
      </c>
      <c r="I2827" t="s">
        <v>32727</v>
      </c>
      <c r="J2827" t="s">
        <v>5673</v>
      </c>
      <c r="L2827" t="s">
        <v>27250</v>
      </c>
      <c r="M2827" t="s">
        <v>27251</v>
      </c>
      <c r="N2827" t="s">
        <v>27252</v>
      </c>
      <c r="P2827" t="s">
        <v>27341</v>
      </c>
      <c r="Q2827" s="1">
        <v>44846</v>
      </c>
      <c r="R2827" t="s">
        <v>27253</v>
      </c>
      <c r="S2827" t="s">
        <v>27254</v>
      </c>
      <c r="T2827" t="s">
        <v>27265</v>
      </c>
    </row>
    <row r="2828" spans="1:20" x14ac:dyDescent="0.3">
      <c r="A2828" t="str">
        <f>"0611861266050"</f>
        <v>0611861266050</v>
      </c>
      <c r="B2828" t="str">
        <f>"CR3413"</f>
        <v>CR3413</v>
      </c>
      <c r="C2828" t="s">
        <v>32728</v>
      </c>
      <c r="D2828" t="s">
        <v>27271</v>
      </c>
      <c r="E2828" t="str">
        <f t="shared" si="44"/>
        <v>001390</v>
      </c>
      <c r="F2828" t="s">
        <v>27246</v>
      </c>
      <c r="G2828" t="s">
        <v>27247</v>
      </c>
      <c r="H2828" t="s">
        <v>27248</v>
      </c>
      <c r="I2828" t="s">
        <v>32729</v>
      </c>
      <c r="J2828" t="s">
        <v>5675</v>
      </c>
      <c r="L2828" t="s">
        <v>27250</v>
      </c>
      <c r="M2828" t="s">
        <v>27251</v>
      </c>
      <c r="N2828" t="s">
        <v>27252</v>
      </c>
      <c r="P2828" t="s">
        <v>27341</v>
      </c>
      <c r="Q2828" s="1">
        <v>44846</v>
      </c>
      <c r="R2828" t="s">
        <v>27253</v>
      </c>
      <c r="S2828" t="s">
        <v>27254</v>
      </c>
      <c r="T2828" t="s">
        <v>27265</v>
      </c>
    </row>
    <row r="2829" spans="1:20" x14ac:dyDescent="0.3">
      <c r="A2829" t="str">
        <f>"0611884123050"</f>
        <v>0611884123050</v>
      </c>
      <c r="B2829" t="str">
        <f>"CR5354"</f>
        <v>CR5354</v>
      </c>
      <c r="C2829" t="s">
        <v>32730</v>
      </c>
      <c r="D2829" t="s">
        <v>27271</v>
      </c>
      <c r="E2829" t="str">
        <f t="shared" si="44"/>
        <v>001390</v>
      </c>
      <c r="F2829" t="s">
        <v>27246</v>
      </c>
      <c r="G2829" t="s">
        <v>27247</v>
      </c>
      <c r="H2829" t="s">
        <v>27248</v>
      </c>
      <c r="I2829" t="s">
        <v>32731</v>
      </c>
      <c r="J2829" t="s">
        <v>5677</v>
      </c>
      <c r="L2829" t="s">
        <v>27430</v>
      </c>
      <c r="M2829" t="s">
        <v>27251</v>
      </c>
      <c r="N2829" t="s">
        <v>27252</v>
      </c>
      <c r="P2829" t="s">
        <v>27341</v>
      </c>
      <c r="Q2829" s="1">
        <v>45250</v>
      </c>
      <c r="R2829" t="s">
        <v>27253</v>
      </c>
      <c r="S2829" t="s">
        <v>27254</v>
      </c>
      <c r="T2829" t="s">
        <v>27265</v>
      </c>
    </row>
    <row r="2830" spans="1:20" x14ac:dyDescent="0.3">
      <c r="A2830" t="str">
        <f>"0611861428050"</f>
        <v>0611861428050</v>
      </c>
      <c r="B2830" t="str">
        <f>"CR3036"</f>
        <v>CR3036</v>
      </c>
      <c r="C2830" t="s">
        <v>32732</v>
      </c>
      <c r="D2830" t="s">
        <v>27271</v>
      </c>
      <c r="E2830" t="str">
        <f t="shared" si="44"/>
        <v>001390</v>
      </c>
      <c r="F2830" t="s">
        <v>27246</v>
      </c>
      <c r="G2830" t="s">
        <v>27247</v>
      </c>
      <c r="H2830" t="s">
        <v>27248</v>
      </c>
      <c r="I2830" t="s">
        <v>32733</v>
      </c>
      <c r="J2830" t="s">
        <v>5679</v>
      </c>
      <c r="L2830" t="s">
        <v>27250</v>
      </c>
      <c r="M2830" t="s">
        <v>27251</v>
      </c>
      <c r="N2830" t="s">
        <v>27252</v>
      </c>
      <c r="P2830" t="s">
        <v>27341</v>
      </c>
      <c r="Q2830" s="1">
        <v>44846</v>
      </c>
      <c r="R2830" t="s">
        <v>27253</v>
      </c>
      <c r="S2830" t="s">
        <v>27254</v>
      </c>
      <c r="T2830" t="s">
        <v>27265</v>
      </c>
    </row>
    <row r="2831" spans="1:20" x14ac:dyDescent="0.3">
      <c r="A2831" t="str">
        <f>"0611861429050"</f>
        <v>0611861429050</v>
      </c>
      <c r="B2831" t="str">
        <f>"CR2149"</f>
        <v>CR2149</v>
      </c>
      <c r="C2831" t="s">
        <v>32734</v>
      </c>
      <c r="D2831" t="s">
        <v>27271</v>
      </c>
      <c r="E2831" t="str">
        <f t="shared" si="44"/>
        <v>001390</v>
      </c>
      <c r="F2831" t="s">
        <v>27246</v>
      </c>
      <c r="G2831" t="s">
        <v>27247</v>
      </c>
      <c r="H2831" t="s">
        <v>27248</v>
      </c>
      <c r="I2831" t="s">
        <v>32735</v>
      </c>
      <c r="J2831" t="s">
        <v>5681</v>
      </c>
      <c r="L2831" t="s">
        <v>27250</v>
      </c>
      <c r="M2831" t="s">
        <v>27251</v>
      </c>
      <c r="N2831" t="s">
        <v>27252</v>
      </c>
      <c r="P2831" t="s">
        <v>27341</v>
      </c>
      <c r="Q2831" s="1">
        <v>44846</v>
      </c>
      <c r="R2831" t="s">
        <v>27253</v>
      </c>
      <c r="S2831" t="s">
        <v>27254</v>
      </c>
      <c r="T2831" t="s">
        <v>27265</v>
      </c>
    </row>
    <row r="2832" spans="1:20" x14ac:dyDescent="0.3">
      <c r="A2832" t="str">
        <f>"0611861430050"</f>
        <v>0611861430050</v>
      </c>
      <c r="B2832" t="str">
        <f>"CR3420"</f>
        <v>CR3420</v>
      </c>
      <c r="C2832" t="s">
        <v>32736</v>
      </c>
      <c r="D2832" t="s">
        <v>27271</v>
      </c>
      <c r="E2832" t="str">
        <f t="shared" si="44"/>
        <v>001390</v>
      </c>
      <c r="F2832" t="s">
        <v>27246</v>
      </c>
      <c r="G2832" t="s">
        <v>27247</v>
      </c>
      <c r="H2832" t="s">
        <v>27248</v>
      </c>
      <c r="I2832" t="s">
        <v>32737</v>
      </c>
      <c r="J2832" t="s">
        <v>5683</v>
      </c>
      <c r="L2832" t="s">
        <v>27250</v>
      </c>
      <c r="M2832" t="s">
        <v>27251</v>
      </c>
      <c r="N2832" t="s">
        <v>27252</v>
      </c>
      <c r="P2832" t="s">
        <v>27341</v>
      </c>
      <c r="Q2832" s="1">
        <v>44846</v>
      </c>
      <c r="R2832" t="s">
        <v>27253</v>
      </c>
      <c r="S2832" t="s">
        <v>27254</v>
      </c>
      <c r="T2832" t="s">
        <v>27265</v>
      </c>
    </row>
    <row r="2833" spans="1:20" x14ac:dyDescent="0.3">
      <c r="A2833" t="str">
        <f>"0611861431050"</f>
        <v>0611861431050</v>
      </c>
      <c r="B2833" t="str">
        <f>"CR2150"</f>
        <v>CR2150</v>
      </c>
      <c r="C2833" t="s">
        <v>32738</v>
      </c>
      <c r="D2833" t="s">
        <v>27271</v>
      </c>
      <c r="E2833" t="str">
        <f t="shared" si="44"/>
        <v>001390</v>
      </c>
      <c r="F2833" t="s">
        <v>27246</v>
      </c>
      <c r="G2833" t="s">
        <v>27247</v>
      </c>
      <c r="H2833" t="s">
        <v>27248</v>
      </c>
      <c r="I2833" t="s">
        <v>32739</v>
      </c>
      <c r="J2833" t="s">
        <v>5685</v>
      </c>
      <c r="L2833" t="s">
        <v>27250</v>
      </c>
      <c r="M2833" t="s">
        <v>27251</v>
      </c>
      <c r="N2833" t="s">
        <v>27252</v>
      </c>
      <c r="P2833" t="s">
        <v>27341</v>
      </c>
      <c r="Q2833" s="1">
        <v>44846</v>
      </c>
      <c r="R2833" t="s">
        <v>27253</v>
      </c>
      <c r="S2833" t="s">
        <v>27254</v>
      </c>
      <c r="T2833" t="s">
        <v>27265</v>
      </c>
    </row>
    <row r="2834" spans="1:20" x14ac:dyDescent="0.3">
      <c r="A2834" t="str">
        <f>"0611861433050"</f>
        <v>0611861433050</v>
      </c>
      <c r="B2834" t="str">
        <f>"CR2152"</f>
        <v>CR2152</v>
      </c>
      <c r="C2834" t="s">
        <v>32740</v>
      </c>
      <c r="D2834" t="s">
        <v>27271</v>
      </c>
      <c r="E2834" t="str">
        <f t="shared" si="44"/>
        <v>001390</v>
      </c>
      <c r="F2834" t="s">
        <v>27246</v>
      </c>
      <c r="G2834" t="s">
        <v>27247</v>
      </c>
      <c r="H2834" t="s">
        <v>27248</v>
      </c>
      <c r="I2834" t="s">
        <v>32741</v>
      </c>
      <c r="J2834" t="s">
        <v>5687</v>
      </c>
      <c r="L2834" t="s">
        <v>27250</v>
      </c>
      <c r="M2834" t="s">
        <v>27251</v>
      </c>
      <c r="N2834" t="s">
        <v>27252</v>
      </c>
      <c r="P2834" t="s">
        <v>27341</v>
      </c>
      <c r="Q2834" s="1">
        <v>44846</v>
      </c>
      <c r="R2834" t="s">
        <v>27253</v>
      </c>
      <c r="S2834" t="s">
        <v>27254</v>
      </c>
      <c r="T2834" t="s">
        <v>27265</v>
      </c>
    </row>
    <row r="2835" spans="1:20" x14ac:dyDescent="0.3">
      <c r="A2835" t="str">
        <f>"0611861268050"</f>
        <v>0611861268050</v>
      </c>
      <c r="B2835" t="str">
        <f>"CR3865"</f>
        <v>CR3865</v>
      </c>
      <c r="C2835" t="s">
        <v>32742</v>
      </c>
      <c r="D2835" t="s">
        <v>27271</v>
      </c>
      <c r="E2835" t="str">
        <f t="shared" si="44"/>
        <v>001390</v>
      </c>
      <c r="F2835" t="s">
        <v>27246</v>
      </c>
      <c r="G2835" t="s">
        <v>27247</v>
      </c>
      <c r="H2835" t="s">
        <v>27248</v>
      </c>
      <c r="I2835" t="s">
        <v>32743</v>
      </c>
      <c r="J2835" t="s">
        <v>5689</v>
      </c>
      <c r="L2835" t="s">
        <v>27250</v>
      </c>
      <c r="M2835" t="s">
        <v>27251</v>
      </c>
      <c r="N2835" t="s">
        <v>27252</v>
      </c>
      <c r="P2835" t="s">
        <v>27341</v>
      </c>
      <c r="Q2835" s="1">
        <v>44846</v>
      </c>
      <c r="R2835" t="s">
        <v>27253</v>
      </c>
      <c r="S2835" t="s">
        <v>27254</v>
      </c>
      <c r="T2835" t="s">
        <v>27265</v>
      </c>
    </row>
    <row r="2836" spans="1:20" x14ac:dyDescent="0.3">
      <c r="A2836" t="str">
        <f>"0611861313050"</f>
        <v>0611861313050</v>
      </c>
      <c r="B2836" t="str">
        <f>"CR3284"</f>
        <v>CR3284</v>
      </c>
      <c r="C2836" t="s">
        <v>32744</v>
      </c>
      <c r="D2836" t="s">
        <v>27271</v>
      </c>
      <c r="E2836" t="str">
        <f t="shared" si="44"/>
        <v>001390</v>
      </c>
      <c r="F2836" t="s">
        <v>27246</v>
      </c>
      <c r="G2836" t="s">
        <v>27247</v>
      </c>
      <c r="H2836" t="s">
        <v>27248</v>
      </c>
      <c r="I2836" t="s">
        <v>32745</v>
      </c>
      <c r="J2836" t="s">
        <v>5691</v>
      </c>
      <c r="L2836" t="s">
        <v>27250</v>
      </c>
      <c r="M2836" t="s">
        <v>27251</v>
      </c>
      <c r="N2836" t="s">
        <v>27252</v>
      </c>
      <c r="P2836" t="s">
        <v>27341</v>
      </c>
      <c r="Q2836" s="1">
        <v>44846</v>
      </c>
      <c r="R2836" t="s">
        <v>27253</v>
      </c>
      <c r="S2836" t="s">
        <v>27254</v>
      </c>
      <c r="T2836" t="s">
        <v>27265</v>
      </c>
    </row>
    <row r="2837" spans="1:20" x14ac:dyDescent="0.3">
      <c r="A2837" t="str">
        <f>"0611861314050"</f>
        <v>0611861314050</v>
      </c>
      <c r="B2837" t="str">
        <f>"CR3414"</f>
        <v>CR3414</v>
      </c>
      <c r="C2837" t="s">
        <v>32746</v>
      </c>
      <c r="D2837" t="s">
        <v>27271</v>
      </c>
      <c r="E2837" t="str">
        <f t="shared" si="44"/>
        <v>001390</v>
      </c>
      <c r="F2837" t="s">
        <v>27246</v>
      </c>
      <c r="G2837" t="s">
        <v>27247</v>
      </c>
      <c r="H2837" t="s">
        <v>27248</v>
      </c>
      <c r="I2837" t="s">
        <v>32747</v>
      </c>
      <c r="J2837" t="s">
        <v>5693</v>
      </c>
      <c r="L2837" t="s">
        <v>27250</v>
      </c>
      <c r="M2837" t="s">
        <v>27251</v>
      </c>
      <c r="N2837" t="s">
        <v>27252</v>
      </c>
      <c r="P2837" t="s">
        <v>27341</v>
      </c>
      <c r="Q2837" s="1">
        <v>44846</v>
      </c>
      <c r="R2837" t="s">
        <v>27253</v>
      </c>
      <c r="S2837" t="s">
        <v>27254</v>
      </c>
      <c r="T2837" t="s">
        <v>27265</v>
      </c>
    </row>
    <row r="2838" spans="1:20" x14ac:dyDescent="0.3">
      <c r="A2838" t="str">
        <f>"0611861315050"</f>
        <v>0611861315050</v>
      </c>
      <c r="B2838" t="str">
        <f>"CR3416"</f>
        <v>CR3416</v>
      </c>
      <c r="C2838" t="s">
        <v>32748</v>
      </c>
      <c r="D2838" t="s">
        <v>27271</v>
      </c>
      <c r="E2838" t="str">
        <f t="shared" si="44"/>
        <v>001390</v>
      </c>
      <c r="F2838" t="s">
        <v>27246</v>
      </c>
      <c r="G2838" t="s">
        <v>27247</v>
      </c>
      <c r="H2838" t="s">
        <v>27248</v>
      </c>
      <c r="I2838" t="s">
        <v>32749</v>
      </c>
      <c r="J2838" t="s">
        <v>5695</v>
      </c>
      <c r="L2838" t="s">
        <v>27250</v>
      </c>
      <c r="M2838" t="s">
        <v>27251</v>
      </c>
      <c r="N2838" t="s">
        <v>27252</v>
      </c>
      <c r="P2838" t="s">
        <v>27341</v>
      </c>
      <c r="Q2838" s="1">
        <v>44846</v>
      </c>
      <c r="R2838" t="s">
        <v>27253</v>
      </c>
      <c r="S2838" t="s">
        <v>27254</v>
      </c>
      <c r="T2838" t="s">
        <v>27265</v>
      </c>
    </row>
    <row r="2839" spans="1:20" x14ac:dyDescent="0.3">
      <c r="A2839" t="str">
        <f>"0611861361050"</f>
        <v>0611861361050</v>
      </c>
      <c r="B2839" t="str">
        <f>"CR3035"</f>
        <v>CR3035</v>
      </c>
      <c r="C2839" t="s">
        <v>32750</v>
      </c>
      <c r="D2839" t="s">
        <v>27271</v>
      </c>
      <c r="E2839" t="str">
        <f t="shared" si="44"/>
        <v>001390</v>
      </c>
      <c r="F2839" t="s">
        <v>27246</v>
      </c>
      <c r="G2839" t="s">
        <v>27247</v>
      </c>
      <c r="H2839" t="s">
        <v>27248</v>
      </c>
      <c r="I2839" t="s">
        <v>32751</v>
      </c>
      <c r="J2839" t="s">
        <v>5697</v>
      </c>
      <c r="L2839" t="s">
        <v>27250</v>
      </c>
      <c r="M2839" t="s">
        <v>27251</v>
      </c>
      <c r="N2839" t="s">
        <v>27252</v>
      </c>
      <c r="P2839" t="s">
        <v>27341</v>
      </c>
      <c r="Q2839" s="1">
        <v>44846</v>
      </c>
      <c r="R2839" t="s">
        <v>27253</v>
      </c>
      <c r="S2839" t="s">
        <v>27254</v>
      </c>
      <c r="T2839" t="s">
        <v>27265</v>
      </c>
    </row>
    <row r="2840" spans="1:20" x14ac:dyDescent="0.3">
      <c r="A2840" t="str">
        <f>"0611861378050"</f>
        <v>0611861378050</v>
      </c>
      <c r="B2840" t="str">
        <f>"CR3415"</f>
        <v>CR3415</v>
      </c>
      <c r="C2840" t="s">
        <v>32752</v>
      </c>
      <c r="D2840" t="s">
        <v>27271</v>
      </c>
      <c r="E2840" t="str">
        <f t="shared" si="44"/>
        <v>001390</v>
      </c>
      <c r="F2840" t="s">
        <v>27246</v>
      </c>
      <c r="G2840" t="s">
        <v>27247</v>
      </c>
      <c r="H2840" t="s">
        <v>27248</v>
      </c>
      <c r="I2840" t="s">
        <v>32753</v>
      </c>
      <c r="J2840" t="s">
        <v>5699</v>
      </c>
      <c r="L2840" t="s">
        <v>27250</v>
      </c>
      <c r="M2840" t="s">
        <v>27251</v>
      </c>
      <c r="N2840" t="s">
        <v>27252</v>
      </c>
      <c r="P2840" t="s">
        <v>27341</v>
      </c>
      <c r="Q2840" s="1">
        <v>44846</v>
      </c>
      <c r="R2840" t="s">
        <v>27253</v>
      </c>
      <c r="S2840" t="s">
        <v>27254</v>
      </c>
      <c r="T2840" t="s">
        <v>27265</v>
      </c>
    </row>
    <row r="2841" spans="1:20" x14ac:dyDescent="0.3">
      <c r="A2841" t="str">
        <f>"0611861296050"</f>
        <v>0611861296050</v>
      </c>
      <c r="B2841" t="str">
        <f>"CR5025"</f>
        <v>CR5025</v>
      </c>
      <c r="C2841" t="s">
        <v>32754</v>
      </c>
      <c r="D2841" t="s">
        <v>27271</v>
      </c>
      <c r="E2841" t="str">
        <f t="shared" si="44"/>
        <v>001390</v>
      </c>
      <c r="F2841" t="s">
        <v>27246</v>
      </c>
      <c r="G2841" t="s">
        <v>27247</v>
      </c>
      <c r="H2841" t="s">
        <v>27248</v>
      </c>
      <c r="I2841" t="s">
        <v>32755</v>
      </c>
      <c r="J2841" t="s">
        <v>5701</v>
      </c>
      <c r="L2841" t="s">
        <v>27250</v>
      </c>
      <c r="M2841" t="s">
        <v>27251</v>
      </c>
      <c r="N2841" t="s">
        <v>27252</v>
      </c>
      <c r="P2841" t="s">
        <v>27341</v>
      </c>
      <c r="Q2841" s="1">
        <v>44846</v>
      </c>
      <c r="R2841" t="s">
        <v>27253</v>
      </c>
      <c r="S2841" t="s">
        <v>27254</v>
      </c>
      <c r="T2841" t="s">
        <v>27265</v>
      </c>
    </row>
    <row r="2842" spans="1:20" x14ac:dyDescent="0.3">
      <c r="A2842" t="str">
        <f>"0611861295050"</f>
        <v>0611861295050</v>
      </c>
      <c r="B2842" t="str">
        <f>"CR4127"</f>
        <v>CR4127</v>
      </c>
      <c r="C2842" t="s">
        <v>32756</v>
      </c>
      <c r="D2842" t="s">
        <v>27271</v>
      </c>
      <c r="E2842" t="str">
        <f t="shared" si="44"/>
        <v>001390</v>
      </c>
      <c r="F2842" t="s">
        <v>27246</v>
      </c>
      <c r="G2842" t="s">
        <v>27247</v>
      </c>
      <c r="H2842" t="s">
        <v>27248</v>
      </c>
      <c r="I2842" t="s">
        <v>32757</v>
      </c>
      <c r="J2842" t="s">
        <v>5717</v>
      </c>
      <c r="L2842" t="s">
        <v>27250</v>
      </c>
      <c r="M2842" t="s">
        <v>27251</v>
      </c>
      <c r="N2842" t="s">
        <v>27252</v>
      </c>
      <c r="P2842" t="s">
        <v>27341</v>
      </c>
      <c r="Q2842" s="1">
        <v>44846</v>
      </c>
      <c r="R2842" t="s">
        <v>27253</v>
      </c>
      <c r="S2842" t="s">
        <v>27254</v>
      </c>
      <c r="T2842" t="s">
        <v>27265</v>
      </c>
    </row>
    <row r="2843" spans="1:20" x14ac:dyDescent="0.3">
      <c r="A2843" t="str">
        <f>"0611884124050"</f>
        <v>0611884124050</v>
      </c>
      <c r="B2843" t="str">
        <f>"CR5402"</f>
        <v>CR5402</v>
      </c>
      <c r="C2843" t="s">
        <v>32758</v>
      </c>
      <c r="D2843" t="s">
        <v>27271</v>
      </c>
      <c r="E2843" t="str">
        <f t="shared" si="44"/>
        <v>001390</v>
      </c>
      <c r="F2843" t="s">
        <v>27246</v>
      </c>
      <c r="G2843" t="s">
        <v>27247</v>
      </c>
      <c r="H2843" t="s">
        <v>27248</v>
      </c>
      <c r="I2843" t="s">
        <v>32759</v>
      </c>
      <c r="J2843" t="s">
        <v>5703</v>
      </c>
      <c r="L2843" t="s">
        <v>27430</v>
      </c>
      <c r="M2843" t="s">
        <v>27251</v>
      </c>
      <c r="N2843" t="s">
        <v>27252</v>
      </c>
      <c r="P2843" t="s">
        <v>27341</v>
      </c>
      <c r="Q2843" s="1">
        <v>45250</v>
      </c>
      <c r="R2843" t="s">
        <v>27253</v>
      </c>
      <c r="S2843" t="s">
        <v>27254</v>
      </c>
      <c r="T2843" t="s">
        <v>27265</v>
      </c>
    </row>
    <row r="2844" spans="1:20" x14ac:dyDescent="0.3">
      <c r="A2844" t="str">
        <f>"0611884125050"</f>
        <v>0611884125050</v>
      </c>
      <c r="B2844" t="str">
        <f>"CR5375"</f>
        <v>CR5375</v>
      </c>
      <c r="C2844" t="s">
        <v>32760</v>
      </c>
      <c r="D2844" t="s">
        <v>27271</v>
      </c>
      <c r="E2844" t="str">
        <f t="shared" si="44"/>
        <v>001390</v>
      </c>
      <c r="F2844" t="s">
        <v>27246</v>
      </c>
      <c r="G2844" t="s">
        <v>27247</v>
      </c>
      <c r="H2844" t="s">
        <v>27248</v>
      </c>
      <c r="I2844" t="s">
        <v>32761</v>
      </c>
      <c r="J2844" t="s">
        <v>5705</v>
      </c>
      <c r="L2844" t="s">
        <v>27430</v>
      </c>
      <c r="M2844" t="s">
        <v>27251</v>
      </c>
      <c r="N2844" t="s">
        <v>27252</v>
      </c>
      <c r="P2844" t="s">
        <v>27341</v>
      </c>
      <c r="Q2844" s="1">
        <v>45250</v>
      </c>
      <c r="R2844" t="s">
        <v>27253</v>
      </c>
      <c r="S2844" t="s">
        <v>27254</v>
      </c>
      <c r="T2844" t="s">
        <v>27265</v>
      </c>
    </row>
    <row r="2845" spans="1:20" x14ac:dyDescent="0.3">
      <c r="A2845" t="str">
        <f>"0611884126050"</f>
        <v>0611884126050</v>
      </c>
      <c r="B2845" t="str">
        <f>"CR5325"</f>
        <v>CR5325</v>
      </c>
      <c r="C2845" t="s">
        <v>32762</v>
      </c>
      <c r="D2845" t="s">
        <v>27271</v>
      </c>
      <c r="E2845" t="str">
        <f t="shared" si="44"/>
        <v>001390</v>
      </c>
      <c r="F2845" t="s">
        <v>27246</v>
      </c>
      <c r="G2845" t="s">
        <v>27247</v>
      </c>
      <c r="H2845" t="s">
        <v>27248</v>
      </c>
      <c r="I2845" t="s">
        <v>32763</v>
      </c>
      <c r="J2845" t="s">
        <v>5707</v>
      </c>
      <c r="L2845" t="s">
        <v>27430</v>
      </c>
      <c r="M2845" t="s">
        <v>27251</v>
      </c>
      <c r="N2845" t="s">
        <v>27252</v>
      </c>
      <c r="P2845" t="s">
        <v>27341</v>
      </c>
      <c r="Q2845" s="1">
        <v>45250</v>
      </c>
      <c r="R2845" t="s">
        <v>27253</v>
      </c>
      <c r="S2845" t="s">
        <v>27254</v>
      </c>
      <c r="T2845" t="s">
        <v>27265</v>
      </c>
    </row>
    <row r="2846" spans="1:20" x14ac:dyDescent="0.3">
      <c r="A2846" t="str">
        <f>"0611884127050"</f>
        <v>0611884127050</v>
      </c>
      <c r="B2846" t="str">
        <f>"CR5269"</f>
        <v>CR5269</v>
      </c>
      <c r="C2846" t="s">
        <v>32764</v>
      </c>
      <c r="D2846" t="s">
        <v>27271</v>
      </c>
      <c r="E2846" t="str">
        <f t="shared" si="44"/>
        <v>001390</v>
      </c>
      <c r="F2846" t="s">
        <v>27246</v>
      </c>
      <c r="G2846" t="s">
        <v>27247</v>
      </c>
      <c r="H2846" t="s">
        <v>27248</v>
      </c>
      <c r="I2846" t="s">
        <v>32765</v>
      </c>
      <c r="J2846" t="s">
        <v>5709</v>
      </c>
      <c r="L2846" t="s">
        <v>27430</v>
      </c>
      <c r="M2846" t="s">
        <v>27251</v>
      </c>
      <c r="N2846" t="s">
        <v>27252</v>
      </c>
      <c r="P2846" t="s">
        <v>27341</v>
      </c>
      <c r="Q2846" s="1">
        <v>45250</v>
      </c>
      <c r="R2846" t="s">
        <v>27253</v>
      </c>
      <c r="S2846" t="s">
        <v>27254</v>
      </c>
      <c r="T2846" t="s">
        <v>27265</v>
      </c>
    </row>
    <row r="2847" spans="1:20" x14ac:dyDescent="0.3">
      <c r="A2847" t="str">
        <f>"0611861290050"</f>
        <v>0611861290050</v>
      </c>
      <c r="B2847" t="str">
        <f>"CR5168"</f>
        <v>CR5168</v>
      </c>
      <c r="C2847" t="s">
        <v>32766</v>
      </c>
      <c r="D2847" t="s">
        <v>27271</v>
      </c>
      <c r="E2847" t="str">
        <f t="shared" si="44"/>
        <v>001390</v>
      </c>
      <c r="F2847" t="s">
        <v>27246</v>
      </c>
      <c r="G2847" t="s">
        <v>27247</v>
      </c>
      <c r="H2847" t="s">
        <v>27248</v>
      </c>
      <c r="I2847" t="s">
        <v>32767</v>
      </c>
      <c r="J2847" t="s">
        <v>5711</v>
      </c>
      <c r="L2847" t="s">
        <v>27250</v>
      </c>
      <c r="M2847" t="s">
        <v>27251</v>
      </c>
      <c r="N2847" t="s">
        <v>27252</v>
      </c>
      <c r="P2847" t="s">
        <v>27341</v>
      </c>
      <c r="Q2847" s="1">
        <v>44846</v>
      </c>
      <c r="R2847" t="s">
        <v>27253</v>
      </c>
      <c r="S2847" t="s">
        <v>27254</v>
      </c>
      <c r="T2847" t="s">
        <v>27265</v>
      </c>
    </row>
    <row r="2848" spans="1:20" x14ac:dyDescent="0.3">
      <c r="A2848" t="str">
        <f>"0611861292050"</f>
        <v>0611861292050</v>
      </c>
      <c r="B2848" t="str">
        <f>"CR5170"</f>
        <v>CR5170</v>
      </c>
      <c r="C2848" t="s">
        <v>32768</v>
      </c>
      <c r="D2848" t="s">
        <v>27271</v>
      </c>
      <c r="E2848" t="str">
        <f t="shared" si="44"/>
        <v>001390</v>
      </c>
      <c r="F2848" t="s">
        <v>27246</v>
      </c>
      <c r="G2848" t="s">
        <v>27247</v>
      </c>
      <c r="H2848" t="s">
        <v>27248</v>
      </c>
      <c r="I2848" t="s">
        <v>32769</v>
      </c>
      <c r="J2848" t="s">
        <v>5713</v>
      </c>
      <c r="L2848" t="s">
        <v>27250</v>
      </c>
      <c r="M2848" t="s">
        <v>27251</v>
      </c>
      <c r="N2848" t="s">
        <v>27252</v>
      </c>
      <c r="P2848" t="s">
        <v>27341</v>
      </c>
      <c r="Q2848" s="1">
        <v>44846</v>
      </c>
      <c r="R2848" t="s">
        <v>27253</v>
      </c>
      <c r="S2848" t="s">
        <v>27254</v>
      </c>
      <c r="T2848" t="s">
        <v>27265</v>
      </c>
    </row>
    <row r="2849" spans="1:20" x14ac:dyDescent="0.3">
      <c r="A2849" t="str">
        <f>"0611861293050"</f>
        <v>0611861293050</v>
      </c>
      <c r="B2849" t="str">
        <f>"CR5171"</f>
        <v>CR5171</v>
      </c>
      <c r="C2849" t="s">
        <v>32770</v>
      </c>
      <c r="D2849" t="s">
        <v>27271</v>
      </c>
      <c r="E2849" t="str">
        <f t="shared" si="44"/>
        <v>001390</v>
      </c>
      <c r="F2849" t="s">
        <v>27246</v>
      </c>
      <c r="G2849" t="s">
        <v>27247</v>
      </c>
      <c r="H2849" t="s">
        <v>27248</v>
      </c>
      <c r="I2849" t="s">
        <v>32771</v>
      </c>
      <c r="J2849" t="s">
        <v>5715</v>
      </c>
      <c r="L2849" t="s">
        <v>27250</v>
      </c>
      <c r="M2849" t="s">
        <v>27251</v>
      </c>
      <c r="N2849" t="s">
        <v>27252</v>
      </c>
      <c r="P2849" t="s">
        <v>27341</v>
      </c>
      <c r="Q2849" s="1">
        <v>44846</v>
      </c>
      <c r="R2849" t="s">
        <v>27253</v>
      </c>
      <c r="S2849" t="s">
        <v>27254</v>
      </c>
      <c r="T2849" t="s">
        <v>27265</v>
      </c>
    </row>
    <row r="2850" spans="1:20" x14ac:dyDescent="0.3">
      <c r="A2850" t="str">
        <f>"0611861316050"</f>
        <v>0611861316050</v>
      </c>
      <c r="B2850" t="str">
        <f>"CR3417"</f>
        <v>CR3417</v>
      </c>
      <c r="C2850" t="s">
        <v>32772</v>
      </c>
      <c r="D2850" t="s">
        <v>27271</v>
      </c>
      <c r="E2850" t="str">
        <f t="shared" si="44"/>
        <v>001390</v>
      </c>
      <c r="F2850" t="s">
        <v>27246</v>
      </c>
      <c r="G2850" t="s">
        <v>27247</v>
      </c>
      <c r="H2850" t="s">
        <v>27248</v>
      </c>
      <c r="I2850" t="s">
        <v>32773</v>
      </c>
      <c r="J2850" t="s">
        <v>5723</v>
      </c>
      <c r="L2850" t="s">
        <v>27250</v>
      </c>
      <c r="M2850" t="s">
        <v>27251</v>
      </c>
      <c r="N2850" t="s">
        <v>27252</v>
      </c>
      <c r="P2850" t="s">
        <v>27341</v>
      </c>
      <c r="Q2850" s="1">
        <v>44846</v>
      </c>
      <c r="R2850" t="s">
        <v>27253</v>
      </c>
      <c r="S2850" t="s">
        <v>27254</v>
      </c>
      <c r="T2850" t="s">
        <v>27265</v>
      </c>
    </row>
    <row r="2851" spans="1:20" x14ac:dyDescent="0.3">
      <c r="A2851" t="str">
        <f>"0611861317050"</f>
        <v>0611861317050</v>
      </c>
      <c r="B2851" t="str">
        <f>"CR2126"</f>
        <v>CR2126</v>
      </c>
      <c r="C2851" t="s">
        <v>32774</v>
      </c>
      <c r="D2851" t="s">
        <v>27271</v>
      </c>
      <c r="E2851" t="str">
        <f t="shared" si="44"/>
        <v>001390</v>
      </c>
      <c r="F2851" t="s">
        <v>27246</v>
      </c>
      <c r="G2851" t="s">
        <v>27247</v>
      </c>
      <c r="H2851" t="s">
        <v>27248</v>
      </c>
      <c r="I2851" t="s">
        <v>32775</v>
      </c>
      <c r="J2851" t="s">
        <v>5725</v>
      </c>
      <c r="L2851" t="s">
        <v>27250</v>
      </c>
      <c r="M2851" t="s">
        <v>27251</v>
      </c>
      <c r="N2851" t="s">
        <v>27252</v>
      </c>
      <c r="P2851" t="s">
        <v>27341</v>
      </c>
      <c r="Q2851" s="1">
        <v>44846</v>
      </c>
      <c r="R2851" t="s">
        <v>27253</v>
      </c>
      <c r="S2851" t="s">
        <v>27254</v>
      </c>
      <c r="T2851" t="s">
        <v>27265</v>
      </c>
    </row>
    <row r="2852" spans="1:20" x14ac:dyDescent="0.3">
      <c r="A2852" t="str">
        <f>"0611861382050"</f>
        <v>0611861382050</v>
      </c>
      <c r="B2852" t="str">
        <f>"CR3866"</f>
        <v>CR3866</v>
      </c>
      <c r="C2852" t="s">
        <v>32776</v>
      </c>
      <c r="D2852" t="s">
        <v>27271</v>
      </c>
      <c r="E2852" t="str">
        <f t="shared" si="44"/>
        <v>001390</v>
      </c>
      <c r="F2852" t="s">
        <v>27246</v>
      </c>
      <c r="G2852" t="s">
        <v>27247</v>
      </c>
      <c r="H2852" t="s">
        <v>27248</v>
      </c>
      <c r="I2852" t="s">
        <v>32777</v>
      </c>
      <c r="J2852" t="s">
        <v>5727</v>
      </c>
      <c r="L2852" t="s">
        <v>27250</v>
      </c>
      <c r="M2852" t="s">
        <v>27251</v>
      </c>
      <c r="N2852" t="s">
        <v>27252</v>
      </c>
      <c r="P2852" t="s">
        <v>27341</v>
      </c>
      <c r="Q2852" s="1">
        <v>44846</v>
      </c>
      <c r="R2852" t="s">
        <v>27253</v>
      </c>
      <c r="S2852" t="s">
        <v>27254</v>
      </c>
      <c r="T2852" t="s">
        <v>27265</v>
      </c>
    </row>
    <row r="2853" spans="1:20" x14ac:dyDescent="0.3">
      <c r="A2853" t="str">
        <f>"0611861275050"</f>
        <v>0611861275050</v>
      </c>
      <c r="B2853" t="str">
        <f>"CR3751"</f>
        <v>CR3751</v>
      </c>
      <c r="C2853" t="s">
        <v>32778</v>
      </c>
      <c r="D2853" t="s">
        <v>27271</v>
      </c>
      <c r="E2853" t="str">
        <f t="shared" si="44"/>
        <v>001390</v>
      </c>
      <c r="F2853" t="s">
        <v>27246</v>
      </c>
      <c r="G2853" t="s">
        <v>27247</v>
      </c>
      <c r="H2853" t="s">
        <v>27248</v>
      </c>
      <c r="I2853" t="s">
        <v>32779</v>
      </c>
      <c r="J2853" t="s">
        <v>5729</v>
      </c>
      <c r="L2853" t="s">
        <v>27250</v>
      </c>
      <c r="M2853" t="s">
        <v>27251</v>
      </c>
      <c r="N2853" t="s">
        <v>27252</v>
      </c>
      <c r="P2853" t="s">
        <v>27341</v>
      </c>
      <c r="Q2853" s="1">
        <v>44846</v>
      </c>
      <c r="R2853" t="s">
        <v>27253</v>
      </c>
      <c r="S2853" t="s">
        <v>27254</v>
      </c>
      <c r="T2853" t="s">
        <v>27265</v>
      </c>
    </row>
    <row r="2854" spans="1:20" x14ac:dyDescent="0.3">
      <c r="A2854" t="str">
        <f>"0611861369050"</f>
        <v>0611861369050</v>
      </c>
      <c r="B2854" t="str">
        <f>"CR3859"</f>
        <v>CR3859</v>
      </c>
      <c r="C2854" t="s">
        <v>32780</v>
      </c>
      <c r="D2854" t="s">
        <v>27271</v>
      </c>
      <c r="E2854" t="str">
        <f t="shared" si="44"/>
        <v>001390</v>
      </c>
      <c r="F2854" t="s">
        <v>27246</v>
      </c>
      <c r="G2854" t="s">
        <v>27247</v>
      </c>
      <c r="H2854" t="s">
        <v>27248</v>
      </c>
      <c r="I2854" t="s">
        <v>32781</v>
      </c>
      <c r="J2854" t="s">
        <v>5737</v>
      </c>
      <c r="L2854" t="s">
        <v>27250</v>
      </c>
      <c r="M2854" t="s">
        <v>27251</v>
      </c>
      <c r="N2854" t="s">
        <v>27252</v>
      </c>
      <c r="P2854" t="s">
        <v>27341</v>
      </c>
      <c r="Q2854" s="1">
        <v>44846</v>
      </c>
      <c r="R2854" t="s">
        <v>27253</v>
      </c>
      <c r="S2854" t="s">
        <v>27254</v>
      </c>
      <c r="T2854" t="s">
        <v>27265</v>
      </c>
    </row>
    <row r="2855" spans="1:20" x14ac:dyDescent="0.3">
      <c r="A2855" t="str">
        <f>"0611861371050"</f>
        <v>0611861371050</v>
      </c>
      <c r="B2855" t="str">
        <f>"CR3229"</f>
        <v>CR3229</v>
      </c>
      <c r="C2855" t="s">
        <v>32782</v>
      </c>
      <c r="D2855" t="s">
        <v>27271</v>
      </c>
      <c r="E2855" t="str">
        <f t="shared" si="44"/>
        <v>001390</v>
      </c>
      <c r="F2855" t="s">
        <v>27246</v>
      </c>
      <c r="G2855" t="s">
        <v>27247</v>
      </c>
      <c r="H2855" t="s">
        <v>27248</v>
      </c>
      <c r="I2855" t="s">
        <v>32783</v>
      </c>
      <c r="J2855" t="s">
        <v>5739</v>
      </c>
      <c r="L2855" t="s">
        <v>27250</v>
      </c>
      <c r="M2855" t="s">
        <v>27251</v>
      </c>
      <c r="N2855" t="s">
        <v>27252</v>
      </c>
      <c r="P2855" t="s">
        <v>27341</v>
      </c>
      <c r="Q2855" s="1">
        <v>44846</v>
      </c>
      <c r="R2855" t="s">
        <v>27253</v>
      </c>
      <c r="S2855" t="s">
        <v>27254</v>
      </c>
      <c r="T2855" t="s">
        <v>27265</v>
      </c>
    </row>
    <row r="2856" spans="1:20" x14ac:dyDescent="0.3">
      <c r="A2856" t="str">
        <f>"0611861321050"</f>
        <v>0611861321050</v>
      </c>
      <c r="B2856" t="str">
        <f>"CR4802"</f>
        <v>CR4802</v>
      </c>
      <c r="C2856" t="s">
        <v>32784</v>
      </c>
      <c r="D2856" t="s">
        <v>27271</v>
      </c>
      <c r="E2856" t="str">
        <f t="shared" si="44"/>
        <v>001390</v>
      </c>
      <c r="F2856" t="s">
        <v>27246</v>
      </c>
      <c r="G2856" t="s">
        <v>27247</v>
      </c>
      <c r="H2856" t="s">
        <v>27248</v>
      </c>
      <c r="I2856" t="s">
        <v>32785</v>
      </c>
      <c r="J2856" t="s">
        <v>5731</v>
      </c>
      <c r="L2856" t="s">
        <v>27250</v>
      </c>
      <c r="M2856" t="s">
        <v>27251</v>
      </c>
      <c r="N2856" t="s">
        <v>27252</v>
      </c>
      <c r="P2856" t="s">
        <v>27341</v>
      </c>
      <c r="Q2856" s="1">
        <v>44846</v>
      </c>
      <c r="R2856" t="s">
        <v>27253</v>
      </c>
      <c r="S2856" t="s">
        <v>27254</v>
      </c>
      <c r="T2856" t="s">
        <v>27265</v>
      </c>
    </row>
    <row r="2857" spans="1:20" x14ac:dyDescent="0.3">
      <c r="A2857" t="str">
        <f>"0611861319050"</f>
        <v>0611861319050</v>
      </c>
      <c r="B2857" t="str">
        <f>"CR3987"</f>
        <v>CR3987</v>
      </c>
      <c r="C2857" t="s">
        <v>32786</v>
      </c>
      <c r="D2857" t="s">
        <v>27271</v>
      </c>
      <c r="E2857" t="str">
        <f t="shared" si="44"/>
        <v>001390</v>
      </c>
      <c r="F2857" t="s">
        <v>27246</v>
      </c>
      <c r="G2857" t="s">
        <v>27247</v>
      </c>
      <c r="H2857" t="s">
        <v>27248</v>
      </c>
      <c r="I2857" t="s">
        <v>32787</v>
      </c>
      <c r="J2857" t="s">
        <v>5733</v>
      </c>
      <c r="L2857" t="s">
        <v>27250</v>
      </c>
      <c r="M2857" t="s">
        <v>27251</v>
      </c>
      <c r="N2857" t="s">
        <v>27252</v>
      </c>
      <c r="P2857" t="s">
        <v>27341</v>
      </c>
      <c r="Q2857" s="1">
        <v>44846</v>
      </c>
      <c r="R2857" t="s">
        <v>27253</v>
      </c>
      <c r="S2857" t="s">
        <v>27254</v>
      </c>
      <c r="T2857" t="s">
        <v>27265</v>
      </c>
    </row>
    <row r="2858" spans="1:20" x14ac:dyDescent="0.3">
      <c r="A2858" t="str">
        <f>"0611861342050"</f>
        <v>0611861342050</v>
      </c>
      <c r="B2858" t="str">
        <f>"CR4799"</f>
        <v>CR4799</v>
      </c>
      <c r="C2858" t="s">
        <v>32788</v>
      </c>
      <c r="D2858" t="s">
        <v>27271</v>
      </c>
      <c r="E2858" t="str">
        <f t="shared" si="44"/>
        <v>001390</v>
      </c>
      <c r="F2858" t="s">
        <v>27246</v>
      </c>
      <c r="G2858" t="s">
        <v>27247</v>
      </c>
      <c r="H2858" t="s">
        <v>27248</v>
      </c>
      <c r="I2858" t="s">
        <v>32789</v>
      </c>
      <c r="J2858" t="s">
        <v>5735</v>
      </c>
      <c r="L2858" t="s">
        <v>27250</v>
      </c>
      <c r="M2858" t="s">
        <v>27251</v>
      </c>
      <c r="N2858" t="s">
        <v>27252</v>
      </c>
      <c r="P2858" t="s">
        <v>27341</v>
      </c>
      <c r="Q2858" s="1">
        <v>44846</v>
      </c>
      <c r="R2858" t="s">
        <v>27253</v>
      </c>
      <c r="S2858" t="s">
        <v>27254</v>
      </c>
      <c r="T2858" t="s">
        <v>27265</v>
      </c>
    </row>
    <row r="2859" spans="1:20" x14ac:dyDescent="0.3">
      <c r="A2859" t="str">
        <f>"0611861372050"</f>
        <v>0611861372050</v>
      </c>
      <c r="B2859" t="str">
        <f>"CR3763"</f>
        <v>CR3763</v>
      </c>
      <c r="C2859" t="s">
        <v>32790</v>
      </c>
      <c r="D2859" t="s">
        <v>27271</v>
      </c>
      <c r="E2859" t="str">
        <f t="shared" si="44"/>
        <v>001390</v>
      </c>
      <c r="F2859" t="s">
        <v>27246</v>
      </c>
      <c r="G2859" t="s">
        <v>27247</v>
      </c>
      <c r="H2859" t="s">
        <v>27248</v>
      </c>
      <c r="I2859" t="s">
        <v>32791</v>
      </c>
      <c r="J2859" t="s">
        <v>5741</v>
      </c>
      <c r="L2859" t="s">
        <v>27250</v>
      </c>
      <c r="M2859" t="s">
        <v>27251</v>
      </c>
      <c r="N2859" t="s">
        <v>27252</v>
      </c>
      <c r="P2859" t="s">
        <v>27341</v>
      </c>
      <c r="Q2859" s="1">
        <v>44846</v>
      </c>
      <c r="R2859" t="s">
        <v>27253</v>
      </c>
      <c r="S2859" t="s">
        <v>27254</v>
      </c>
      <c r="T2859" t="s">
        <v>27265</v>
      </c>
    </row>
    <row r="2860" spans="1:20" x14ac:dyDescent="0.3">
      <c r="A2860" t="str">
        <f>"0611861374050"</f>
        <v>0611861374050</v>
      </c>
      <c r="B2860" t="str">
        <f>"CR3770"</f>
        <v>CR3770</v>
      </c>
      <c r="C2860" t="s">
        <v>32792</v>
      </c>
      <c r="D2860" t="s">
        <v>27271</v>
      </c>
      <c r="E2860" t="str">
        <f t="shared" si="44"/>
        <v>001390</v>
      </c>
      <c r="F2860" t="s">
        <v>27246</v>
      </c>
      <c r="G2860" t="s">
        <v>27247</v>
      </c>
      <c r="H2860" t="s">
        <v>27248</v>
      </c>
      <c r="I2860" t="s">
        <v>32793</v>
      </c>
      <c r="J2860" t="s">
        <v>5743</v>
      </c>
      <c r="L2860" t="s">
        <v>27250</v>
      </c>
      <c r="M2860" t="s">
        <v>27251</v>
      </c>
      <c r="N2860" t="s">
        <v>27252</v>
      </c>
      <c r="P2860" t="s">
        <v>27341</v>
      </c>
      <c r="Q2860" s="1">
        <v>44846</v>
      </c>
      <c r="R2860" t="s">
        <v>27253</v>
      </c>
      <c r="S2860" t="s">
        <v>27254</v>
      </c>
      <c r="T2860" t="s">
        <v>27265</v>
      </c>
    </row>
    <row r="2861" spans="1:20" x14ac:dyDescent="0.3">
      <c r="A2861" t="str">
        <f>"0611861375050"</f>
        <v>0611861375050</v>
      </c>
      <c r="B2861" t="str">
        <f>"CR3861"</f>
        <v>CR3861</v>
      </c>
      <c r="C2861" t="s">
        <v>32794</v>
      </c>
      <c r="D2861" t="s">
        <v>27271</v>
      </c>
      <c r="E2861" t="str">
        <f t="shared" si="44"/>
        <v>001390</v>
      </c>
      <c r="F2861" t="s">
        <v>27246</v>
      </c>
      <c r="G2861" t="s">
        <v>27247</v>
      </c>
      <c r="H2861" t="s">
        <v>27248</v>
      </c>
      <c r="I2861" t="s">
        <v>32795</v>
      </c>
      <c r="J2861" t="s">
        <v>5745</v>
      </c>
      <c r="L2861" t="s">
        <v>27250</v>
      </c>
      <c r="M2861" t="s">
        <v>27251</v>
      </c>
      <c r="N2861" t="s">
        <v>27252</v>
      </c>
      <c r="P2861" t="s">
        <v>27341</v>
      </c>
      <c r="Q2861" s="1">
        <v>44846</v>
      </c>
      <c r="R2861" t="s">
        <v>27253</v>
      </c>
      <c r="S2861" t="s">
        <v>27254</v>
      </c>
      <c r="T2861" t="s">
        <v>27265</v>
      </c>
    </row>
    <row r="2862" spans="1:20" x14ac:dyDescent="0.3">
      <c r="A2862" t="str">
        <f>"0611861376050"</f>
        <v>0611861376050</v>
      </c>
      <c r="B2862" t="str">
        <f>"CR3860"</f>
        <v>CR3860</v>
      </c>
      <c r="C2862" t="s">
        <v>32796</v>
      </c>
      <c r="D2862" t="s">
        <v>27271</v>
      </c>
      <c r="E2862" t="str">
        <f t="shared" si="44"/>
        <v>001390</v>
      </c>
      <c r="F2862" t="s">
        <v>27246</v>
      </c>
      <c r="G2862" t="s">
        <v>27247</v>
      </c>
      <c r="H2862" t="s">
        <v>27248</v>
      </c>
      <c r="I2862" t="s">
        <v>32797</v>
      </c>
      <c r="J2862" t="s">
        <v>5747</v>
      </c>
      <c r="L2862" t="s">
        <v>27250</v>
      </c>
      <c r="M2862" t="s">
        <v>27251</v>
      </c>
      <c r="N2862" t="s">
        <v>27252</v>
      </c>
      <c r="P2862" t="s">
        <v>27341</v>
      </c>
      <c r="Q2862" s="1">
        <v>44846</v>
      </c>
      <c r="R2862" t="s">
        <v>27253</v>
      </c>
      <c r="S2862" t="s">
        <v>27254</v>
      </c>
      <c r="T2862" t="s">
        <v>27265</v>
      </c>
    </row>
    <row r="2863" spans="1:20" x14ac:dyDescent="0.3">
      <c r="A2863" t="str">
        <f>"0611861320050"</f>
        <v>0611861320050</v>
      </c>
      <c r="B2863" t="str">
        <f>"CR3926"</f>
        <v>CR3926</v>
      </c>
      <c r="C2863" t="s">
        <v>32798</v>
      </c>
      <c r="D2863" t="s">
        <v>27271</v>
      </c>
      <c r="E2863" t="str">
        <f t="shared" si="44"/>
        <v>001390</v>
      </c>
      <c r="F2863" t="s">
        <v>27246</v>
      </c>
      <c r="G2863" t="s">
        <v>27247</v>
      </c>
      <c r="H2863" t="s">
        <v>27248</v>
      </c>
      <c r="I2863" t="s">
        <v>32799</v>
      </c>
      <c r="J2863" t="s">
        <v>5749</v>
      </c>
      <c r="L2863" t="s">
        <v>27250</v>
      </c>
      <c r="M2863" t="s">
        <v>27251</v>
      </c>
      <c r="N2863" t="s">
        <v>27252</v>
      </c>
      <c r="P2863" t="s">
        <v>27341</v>
      </c>
      <c r="Q2863" s="1">
        <v>44846</v>
      </c>
      <c r="R2863" t="s">
        <v>27253</v>
      </c>
      <c r="S2863" t="s">
        <v>27254</v>
      </c>
      <c r="T2863" t="s">
        <v>27265</v>
      </c>
    </row>
    <row r="2864" spans="1:20" x14ac:dyDescent="0.3">
      <c r="A2864" t="str">
        <f>"0611861424050"</f>
        <v>0611861424050</v>
      </c>
      <c r="B2864" t="str">
        <f>"CR3449"</f>
        <v>CR3449</v>
      </c>
      <c r="C2864" t="s">
        <v>32800</v>
      </c>
      <c r="D2864" t="s">
        <v>27271</v>
      </c>
      <c r="E2864" t="str">
        <f t="shared" si="44"/>
        <v>001390</v>
      </c>
      <c r="F2864" t="s">
        <v>27246</v>
      </c>
      <c r="G2864" t="s">
        <v>27247</v>
      </c>
      <c r="H2864" t="s">
        <v>27248</v>
      </c>
      <c r="I2864" t="s">
        <v>32801</v>
      </c>
      <c r="J2864" t="s">
        <v>5751</v>
      </c>
      <c r="L2864" t="s">
        <v>27250</v>
      </c>
      <c r="M2864" t="s">
        <v>27251</v>
      </c>
      <c r="N2864" t="s">
        <v>27252</v>
      </c>
      <c r="P2864" t="s">
        <v>27341</v>
      </c>
      <c r="Q2864" s="1">
        <v>44846</v>
      </c>
      <c r="R2864" t="s">
        <v>27253</v>
      </c>
      <c r="S2864" t="s">
        <v>27254</v>
      </c>
      <c r="T2864" t="s">
        <v>27265</v>
      </c>
    </row>
    <row r="2865" spans="1:20" x14ac:dyDescent="0.3">
      <c r="A2865" t="str">
        <f>"0611861425050"</f>
        <v>0611861425050</v>
      </c>
      <c r="B2865" t="str">
        <f>"CR4129"</f>
        <v>CR4129</v>
      </c>
      <c r="C2865" t="s">
        <v>32802</v>
      </c>
      <c r="D2865" t="s">
        <v>27271</v>
      </c>
      <c r="E2865" t="str">
        <f t="shared" si="44"/>
        <v>001390</v>
      </c>
      <c r="F2865" t="s">
        <v>27246</v>
      </c>
      <c r="G2865" t="s">
        <v>27247</v>
      </c>
      <c r="H2865" t="s">
        <v>27248</v>
      </c>
      <c r="I2865" t="s">
        <v>32803</v>
      </c>
      <c r="J2865" t="s">
        <v>5753</v>
      </c>
      <c r="L2865" t="s">
        <v>27250</v>
      </c>
      <c r="M2865" t="s">
        <v>27251</v>
      </c>
      <c r="N2865" t="s">
        <v>27252</v>
      </c>
      <c r="P2865" t="s">
        <v>27341</v>
      </c>
      <c r="Q2865" s="1">
        <v>44846</v>
      </c>
      <c r="R2865" t="s">
        <v>27253</v>
      </c>
      <c r="S2865" t="s">
        <v>27254</v>
      </c>
      <c r="T2865" t="s">
        <v>27265</v>
      </c>
    </row>
    <row r="2866" spans="1:20" x14ac:dyDescent="0.3">
      <c r="A2866" t="str">
        <f>"0611861323050"</f>
        <v>0611861323050</v>
      </c>
      <c r="B2866" t="str">
        <f>"CR3927"</f>
        <v>CR3927</v>
      </c>
      <c r="C2866" t="s">
        <v>32804</v>
      </c>
      <c r="D2866" t="s">
        <v>27271</v>
      </c>
      <c r="E2866" t="str">
        <f t="shared" si="44"/>
        <v>001390</v>
      </c>
      <c r="F2866" t="s">
        <v>27246</v>
      </c>
      <c r="G2866" t="s">
        <v>27247</v>
      </c>
      <c r="H2866" t="s">
        <v>27248</v>
      </c>
      <c r="I2866" t="s">
        <v>32805</v>
      </c>
      <c r="J2866" t="s">
        <v>5755</v>
      </c>
      <c r="L2866" t="s">
        <v>27250</v>
      </c>
      <c r="M2866" t="s">
        <v>27251</v>
      </c>
      <c r="N2866" t="s">
        <v>27252</v>
      </c>
      <c r="P2866" t="s">
        <v>27341</v>
      </c>
      <c r="Q2866" s="1">
        <v>44846</v>
      </c>
      <c r="R2866" t="s">
        <v>27253</v>
      </c>
      <c r="S2866" t="s">
        <v>27254</v>
      </c>
      <c r="T2866" t="s">
        <v>27265</v>
      </c>
    </row>
    <row r="2867" spans="1:20" x14ac:dyDescent="0.3">
      <c r="A2867" t="str">
        <f>"0611861324050"</f>
        <v>0611861324050</v>
      </c>
      <c r="B2867" t="str">
        <f>"CR4808"</f>
        <v>CR4808</v>
      </c>
      <c r="C2867" t="s">
        <v>32806</v>
      </c>
      <c r="D2867" t="s">
        <v>27271</v>
      </c>
      <c r="E2867" t="str">
        <f t="shared" si="44"/>
        <v>001390</v>
      </c>
      <c r="F2867" t="s">
        <v>27246</v>
      </c>
      <c r="G2867" t="s">
        <v>27247</v>
      </c>
      <c r="H2867" t="s">
        <v>27248</v>
      </c>
      <c r="I2867" t="s">
        <v>32807</v>
      </c>
      <c r="J2867" t="s">
        <v>5757</v>
      </c>
      <c r="L2867" t="s">
        <v>27250</v>
      </c>
      <c r="M2867" t="s">
        <v>27251</v>
      </c>
      <c r="N2867" t="s">
        <v>27252</v>
      </c>
      <c r="P2867" t="s">
        <v>27341</v>
      </c>
      <c r="Q2867" s="1">
        <v>44846</v>
      </c>
      <c r="R2867" t="s">
        <v>27253</v>
      </c>
      <c r="S2867" t="s">
        <v>27254</v>
      </c>
      <c r="T2867" t="s">
        <v>27265</v>
      </c>
    </row>
    <row r="2868" spans="1:20" x14ac:dyDescent="0.3">
      <c r="A2868" t="str">
        <f>"0611861325050"</f>
        <v>0611861325050</v>
      </c>
      <c r="B2868" t="str">
        <f>"CR5026"</f>
        <v>CR5026</v>
      </c>
      <c r="C2868" t="s">
        <v>32808</v>
      </c>
      <c r="D2868" t="s">
        <v>27271</v>
      </c>
      <c r="E2868" t="str">
        <f t="shared" si="44"/>
        <v>001390</v>
      </c>
      <c r="F2868" t="s">
        <v>27246</v>
      </c>
      <c r="G2868" t="s">
        <v>27247</v>
      </c>
      <c r="H2868" t="s">
        <v>27248</v>
      </c>
      <c r="I2868" t="s">
        <v>32809</v>
      </c>
      <c r="J2868" t="s">
        <v>5759</v>
      </c>
      <c r="L2868" t="s">
        <v>27250</v>
      </c>
      <c r="M2868" t="s">
        <v>27251</v>
      </c>
      <c r="N2868" t="s">
        <v>27252</v>
      </c>
      <c r="P2868" t="s">
        <v>27341</v>
      </c>
      <c r="Q2868" s="1">
        <v>44846</v>
      </c>
      <c r="R2868" t="s">
        <v>27253</v>
      </c>
      <c r="S2868" t="s">
        <v>27254</v>
      </c>
      <c r="T2868" t="s">
        <v>27265</v>
      </c>
    </row>
    <row r="2869" spans="1:20" x14ac:dyDescent="0.3">
      <c r="A2869" t="str">
        <f>"0611861326050"</f>
        <v>0611861326050</v>
      </c>
      <c r="B2869" t="str">
        <f>"CR4809"</f>
        <v>CR4809</v>
      </c>
      <c r="C2869" t="s">
        <v>32810</v>
      </c>
      <c r="D2869" t="s">
        <v>27271</v>
      </c>
      <c r="E2869" t="str">
        <f t="shared" si="44"/>
        <v>001390</v>
      </c>
      <c r="F2869" t="s">
        <v>27246</v>
      </c>
      <c r="G2869" t="s">
        <v>27247</v>
      </c>
      <c r="H2869" t="s">
        <v>27248</v>
      </c>
      <c r="I2869" t="s">
        <v>32811</v>
      </c>
      <c r="J2869" t="s">
        <v>5761</v>
      </c>
      <c r="L2869" t="s">
        <v>27250</v>
      </c>
      <c r="M2869" t="s">
        <v>27251</v>
      </c>
      <c r="N2869" t="s">
        <v>27252</v>
      </c>
      <c r="P2869" t="s">
        <v>27341</v>
      </c>
      <c r="Q2869" s="1">
        <v>44846</v>
      </c>
      <c r="R2869" t="s">
        <v>27253</v>
      </c>
      <c r="S2869" t="s">
        <v>27254</v>
      </c>
      <c r="T2869" t="s">
        <v>27265</v>
      </c>
    </row>
    <row r="2870" spans="1:20" x14ac:dyDescent="0.3">
      <c r="A2870" t="str">
        <f>"0611861327050"</f>
        <v>0611861327050</v>
      </c>
      <c r="B2870" t="str">
        <f>"CR4810"</f>
        <v>CR4810</v>
      </c>
      <c r="C2870" t="s">
        <v>32812</v>
      </c>
      <c r="D2870" t="s">
        <v>27271</v>
      </c>
      <c r="E2870" t="str">
        <f t="shared" si="44"/>
        <v>001390</v>
      </c>
      <c r="F2870" t="s">
        <v>27246</v>
      </c>
      <c r="G2870" t="s">
        <v>27247</v>
      </c>
      <c r="H2870" t="s">
        <v>27248</v>
      </c>
      <c r="I2870" t="s">
        <v>32813</v>
      </c>
      <c r="J2870" t="s">
        <v>5763</v>
      </c>
      <c r="L2870" t="s">
        <v>27250</v>
      </c>
      <c r="M2870" t="s">
        <v>27251</v>
      </c>
      <c r="N2870" t="s">
        <v>27252</v>
      </c>
      <c r="P2870" t="s">
        <v>27341</v>
      </c>
      <c r="Q2870" s="1">
        <v>44846</v>
      </c>
      <c r="R2870" t="s">
        <v>27253</v>
      </c>
      <c r="S2870" t="s">
        <v>27254</v>
      </c>
      <c r="T2870" t="s">
        <v>27265</v>
      </c>
    </row>
    <row r="2871" spans="1:20" x14ac:dyDescent="0.3">
      <c r="A2871" t="str">
        <f>"0611861328050"</f>
        <v>0611861328050</v>
      </c>
      <c r="B2871" t="str">
        <f>"CR4811"</f>
        <v>CR4811</v>
      </c>
      <c r="C2871" t="s">
        <v>32814</v>
      </c>
      <c r="D2871" t="s">
        <v>27271</v>
      </c>
      <c r="E2871" t="str">
        <f t="shared" si="44"/>
        <v>001390</v>
      </c>
      <c r="F2871" t="s">
        <v>27246</v>
      </c>
      <c r="G2871" t="s">
        <v>27247</v>
      </c>
      <c r="H2871" t="s">
        <v>27248</v>
      </c>
      <c r="I2871" t="s">
        <v>32815</v>
      </c>
      <c r="J2871" t="s">
        <v>5765</v>
      </c>
      <c r="L2871" t="s">
        <v>27250</v>
      </c>
      <c r="M2871" t="s">
        <v>27251</v>
      </c>
      <c r="N2871" t="s">
        <v>27252</v>
      </c>
      <c r="P2871" t="s">
        <v>27341</v>
      </c>
      <c r="Q2871" s="1">
        <v>44846</v>
      </c>
      <c r="R2871" t="s">
        <v>27253</v>
      </c>
      <c r="S2871" t="s">
        <v>27254</v>
      </c>
      <c r="T2871" t="s">
        <v>27265</v>
      </c>
    </row>
    <row r="2872" spans="1:20" x14ac:dyDescent="0.3">
      <c r="A2872" t="str">
        <f>"0611884128050"</f>
        <v>0611884128050</v>
      </c>
      <c r="B2872" t="str">
        <f>"CR5403"</f>
        <v>CR5403</v>
      </c>
      <c r="C2872" t="s">
        <v>32816</v>
      </c>
      <c r="D2872" t="s">
        <v>27271</v>
      </c>
      <c r="E2872" t="str">
        <f t="shared" si="44"/>
        <v>001390</v>
      </c>
      <c r="F2872" t="s">
        <v>27246</v>
      </c>
      <c r="G2872" t="s">
        <v>27247</v>
      </c>
      <c r="H2872" t="s">
        <v>27248</v>
      </c>
      <c r="I2872" t="s">
        <v>32817</v>
      </c>
      <c r="J2872" t="s">
        <v>5767</v>
      </c>
      <c r="L2872" t="s">
        <v>27430</v>
      </c>
      <c r="M2872" t="s">
        <v>27251</v>
      </c>
      <c r="N2872" t="s">
        <v>27252</v>
      </c>
      <c r="P2872" t="s">
        <v>27341</v>
      </c>
      <c r="Q2872" s="1">
        <v>45250</v>
      </c>
      <c r="R2872" t="s">
        <v>27253</v>
      </c>
      <c r="S2872" t="s">
        <v>27254</v>
      </c>
      <c r="T2872" t="s">
        <v>27265</v>
      </c>
    </row>
    <row r="2873" spans="1:20" x14ac:dyDescent="0.3">
      <c r="A2873" t="str">
        <f>"0611861329050"</f>
        <v>0611861329050</v>
      </c>
      <c r="B2873" t="str">
        <f>"CR3755"</f>
        <v>CR3755</v>
      </c>
      <c r="C2873" t="s">
        <v>32818</v>
      </c>
      <c r="D2873" t="s">
        <v>27271</v>
      </c>
      <c r="E2873" t="str">
        <f t="shared" si="44"/>
        <v>001390</v>
      </c>
      <c r="F2873" t="s">
        <v>27246</v>
      </c>
      <c r="G2873" t="s">
        <v>27247</v>
      </c>
      <c r="H2873" t="s">
        <v>27248</v>
      </c>
      <c r="I2873" t="s">
        <v>32819</v>
      </c>
      <c r="J2873" t="s">
        <v>5769</v>
      </c>
      <c r="L2873" t="s">
        <v>27250</v>
      </c>
      <c r="M2873" t="s">
        <v>27251</v>
      </c>
      <c r="N2873" t="s">
        <v>27252</v>
      </c>
      <c r="P2873" t="s">
        <v>27341</v>
      </c>
      <c r="Q2873" s="1">
        <v>44846</v>
      </c>
      <c r="R2873" t="s">
        <v>27253</v>
      </c>
      <c r="S2873" t="s">
        <v>27254</v>
      </c>
      <c r="T2873" t="s">
        <v>27265</v>
      </c>
    </row>
    <row r="2874" spans="1:20" x14ac:dyDescent="0.3">
      <c r="A2874" t="str">
        <f>"0611884129050"</f>
        <v>0611884129050</v>
      </c>
      <c r="B2874" t="str">
        <f>"CR5254"</f>
        <v>CR5254</v>
      </c>
      <c r="C2874" t="s">
        <v>32820</v>
      </c>
      <c r="D2874" t="s">
        <v>27271</v>
      </c>
      <c r="E2874" t="str">
        <f t="shared" si="44"/>
        <v>001390</v>
      </c>
      <c r="F2874" t="s">
        <v>27246</v>
      </c>
      <c r="G2874" t="s">
        <v>27247</v>
      </c>
      <c r="H2874" t="s">
        <v>27248</v>
      </c>
      <c r="I2874" t="s">
        <v>32821</v>
      </c>
      <c r="J2874" t="s">
        <v>5771</v>
      </c>
      <c r="L2874" t="s">
        <v>27430</v>
      </c>
      <c r="M2874" t="s">
        <v>27251</v>
      </c>
      <c r="N2874" t="s">
        <v>27252</v>
      </c>
      <c r="P2874" t="s">
        <v>27341</v>
      </c>
      <c r="Q2874" s="1">
        <v>45250</v>
      </c>
      <c r="R2874" t="s">
        <v>27253</v>
      </c>
      <c r="S2874" t="s">
        <v>27254</v>
      </c>
      <c r="T2874" t="s">
        <v>27265</v>
      </c>
    </row>
    <row r="2875" spans="1:20" x14ac:dyDescent="0.3">
      <c r="A2875" t="str">
        <f>"0611861299050"</f>
        <v>0611861299050</v>
      </c>
      <c r="B2875" t="str">
        <f>"CR5027"</f>
        <v>CR5027</v>
      </c>
      <c r="C2875" t="s">
        <v>32822</v>
      </c>
      <c r="D2875" t="s">
        <v>27271</v>
      </c>
      <c r="E2875" t="str">
        <f t="shared" si="44"/>
        <v>001390</v>
      </c>
      <c r="F2875" t="s">
        <v>27246</v>
      </c>
      <c r="G2875" t="s">
        <v>27247</v>
      </c>
      <c r="H2875" t="s">
        <v>27248</v>
      </c>
      <c r="I2875" t="s">
        <v>32823</v>
      </c>
      <c r="J2875" t="s">
        <v>5773</v>
      </c>
      <c r="L2875" t="s">
        <v>27250</v>
      </c>
      <c r="M2875" t="s">
        <v>27251</v>
      </c>
      <c r="N2875" t="s">
        <v>27252</v>
      </c>
      <c r="P2875" t="s">
        <v>27341</v>
      </c>
      <c r="Q2875" s="1">
        <v>44846</v>
      </c>
      <c r="R2875" t="s">
        <v>27253</v>
      </c>
      <c r="S2875" t="s">
        <v>27254</v>
      </c>
      <c r="T2875" t="s">
        <v>27265</v>
      </c>
    </row>
    <row r="2876" spans="1:20" x14ac:dyDescent="0.3">
      <c r="A2876" t="str">
        <f>"0611861334050"</f>
        <v>0611861334050</v>
      </c>
      <c r="B2876" t="str">
        <f>"CR4761"</f>
        <v>CR4761</v>
      </c>
      <c r="C2876" t="s">
        <v>32824</v>
      </c>
      <c r="D2876" t="s">
        <v>27271</v>
      </c>
      <c r="E2876" t="str">
        <f t="shared" si="44"/>
        <v>001390</v>
      </c>
      <c r="F2876" t="s">
        <v>27246</v>
      </c>
      <c r="G2876" t="s">
        <v>27247</v>
      </c>
      <c r="H2876" t="s">
        <v>27248</v>
      </c>
      <c r="I2876" t="s">
        <v>32825</v>
      </c>
      <c r="J2876" t="s">
        <v>5775</v>
      </c>
      <c r="L2876" t="s">
        <v>27250</v>
      </c>
      <c r="M2876" t="s">
        <v>27251</v>
      </c>
      <c r="N2876" t="s">
        <v>27252</v>
      </c>
      <c r="P2876" t="s">
        <v>27341</v>
      </c>
      <c r="Q2876" s="1">
        <v>44846</v>
      </c>
      <c r="R2876" t="s">
        <v>27253</v>
      </c>
      <c r="S2876" t="s">
        <v>27254</v>
      </c>
      <c r="T2876" t="s">
        <v>27265</v>
      </c>
    </row>
    <row r="2877" spans="1:20" x14ac:dyDescent="0.3">
      <c r="A2877" t="str">
        <f>"0611861338050"</f>
        <v>0611861338050</v>
      </c>
      <c r="B2877" t="str">
        <f>"CR3757"</f>
        <v>CR3757</v>
      </c>
      <c r="C2877" t="s">
        <v>32826</v>
      </c>
      <c r="D2877" t="s">
        <v>27271</v>
      </c>
      <c r="E2877" t="str">
        <f t="shared" si="44"/>
        <v>001390</v>
      </c>
      <c r="F2877" t="s">
        <v>27246</v>
      </c>
      <c r="G2877" t="s">
        <v>27247</v>
      </c>
      <c r="H2877" t="s">
        <v>27248</v>
      </c>
      <c r="I2877" t="s">
        <v>32827</v>
      </c>
      <c r="J2877" t="s">
        <v>5777</v>
      </c>
      <c r="L2877" t="s">
        <v>27250</v>
      </c>
      <c r="M2877" t="s">
        <v>27251</v>
      </c>
      <c r="N2877" t="s">
        <v>27252</v>
      </c>
      <c r="P2877" t="s">
        <v>27341</v>
      </c>
      <c r="Q2877" s="1">
        <v>44846</v>
      </c>
      <c r="R2877" t="s">
        <v>27253</v>
      </c>
      <c r="S2877" t="s">
        <v>27254</v>
      </c>
      <c r="T2877" t="s">
        <v>27265</v>
      </c>
    </row>
    <row r="2878" spans="1:20" x14ac:dyDescent="0.3">
      <c r="A2878" t="str">
        <f>"0611861340050"</f>
        <v>0611861340050</v>
      </c>
      <c r="B2878" t="str">
        <f>"CR3288"</f>
        <v>CR3288</v>
      </c>
      <c r="C2878" t="s">
        <v>32828</v>
      </c>
      <c r="D2878" t="s">
        <v>27271</v>
      </c>
      <c r="E2878" t="str">
        <f t="shared" si="44"/>
        <v>001390</v>
      </c>
      <c r="F2878" t="s">
        <v>27246</v>
      </c>
      <c r="G2878" t="s">
        <v>27247</v>
      </c>
      <c r="H2878" t="s">
        <v>27248</v>
      </c>
      <c r="I2878" t="s">
        <v>32829</v>
      </c>
      <c r="J2878" t="s">
        <v>5779</v>
      </c>
      <c r="L2878" t="s">
        <v>27250</v>
      </c>
      <c r="M2878" t="s">
        <v>27251</v>
      </c>
      <c r="N2878" t="s">
        <v>27252</v>
      </c>
      <c r="P2878" t="s">
        <v>27341</v>
      </c>
      <c r="Q2878" s="1">
        <v>44846</v>
      </c>
      <c r="R2878" t="s">
        <v>27253</v>
      </c>
      <c r="S2878" t="s">
        <v>27254</v>
      </c>
      <c r="T2878" t="s">
        <v>27265</v>
      </c>
    </row>
    <row r="2879" spans="1:20" x14ac:dyDescent="0.3">
      <c r="A2879" t="str">
        <f>"0611861341050"</f>
        <v>0611861341050</v>
      </c>
      <c r="B2879" t="str">
        <f>"CR2132"</f>
        <v>CR2132</v>
      </c>
      <c r="C2879" t="s">
        <v>32830</v>
      </c>
      <c r="D2879" t="s">
        <v>27271</v>
      </c>
      <c r="E2879" t="str">
        <f t="shared" si="44"/>
        <v>001390</v>
      </c>
      <c r="F2879" t="s">
        <v>27246</v>
      </c>
      <c r="G2879" t="s">
        <v>27247</v>
      </c>
      <c r="H2879" t="s">
        <v>27248</v>
      </c>
      <c r="I2879" t="s">
        <v>32831</v>
      </c>
      <c r="J2879" t="s">
        <v>5781</v>
      </c>
      <c r="L2879" t="s">
        <v>27250</v>
      </c>
      <c r="M2879" t="s">
        <v>27251</v>
      </c>
      <c r="N2879" t="s">
        <v>27252</v>
      </c>
      <c r="P2879" t="s">
        <v>27341</v>
      </c>
      <c r="Q2879" s="1">
        <v>44846</v>
      </c>
      <c r="R2879" t="s">
        <v>27253</v>
      </c>
      <c r="S2879" t="s">
        <v>27254</v>
      </c>
      <c r="T2879" t="s">
        <v>27265</v>
      </c>
    </row>
    <row r="2880" spans="1:20" x14ac:dyDescent="0.3">
      <c r="A2880" t="str">
        <f>"0611884130050"</f>
        <v>0611884130050</v>
      </c>
      <c r="B2880" t="str">
        <f>"CR5253"</f>
        <v>CR5253</v>
      </c>
      <c r="C2880" t="s">
        <v>32832</v>
      </c>
      <c r="D2880" t="s">
        <v>27271</v>
      </c>
      <c r="E2880" t="str">
        <f t="shared" si="44"/>
        <v>001390</v>
      </c>
      <c r="F2880" t="s">
        <v>27246</v>
      </c>
      <c r="G2880" t="s">
        <v>27247</v>
      </c>
      <c r="H2880" t="s">
        <v>27248</v>
      </c>
      <c r="I2880" t="s">
        <v>32833</v>
      </c>
      <c r="J2880" t="s">
        <v>5783</v>
      </c>
      <c r="L2880" t="s">
        <v>27430</v>
      </c>
      <c r="M2880" t="s">
        <v>27251</v>
      </c>
      <c r="N2880" t="s">
        <v>27252</v>
      </c>
      <c r="P2880" t="s">
        <v>27341</v>
      </c>
      <c r="Q2880" s="1">
        <v>45250</v>
      </c>
      <c r="R2880" t="s">
        <v>27253</v>
      </c>
      <c r="S2880" t="s">
        <v>27254</v>
      </c>
      <c r="T2880" t="s">
        <v>27265</v>
      </c>
    </row>
    <row r="2881" spans="1:20" x14ac:dyDescent="0.3">
      <c r="A2881" t="str">
        <f>"0611861287050"</f>
        <v>0611861287050</v>
      </c>
      <c r="B2881" t="str">
        <f>"CR2137"</f>
        <v>CR2137</v>
      </c>
      <c r="C2881" t="s">
        <v>32834</v>
      </c>
      <c r="D2881" t="s">
        <v>27271</v>
      </c>
      <c r="E2881" t="str">
        <f t="shared" si="44"/>
        <v>001390</v>
      </c>
      <c r="F2881" t="s">
        <v>27246</v>
      </c>
      <c r="G2881" t="s">
        <v>27247</v>
      </c>
      <c r="H2881" t="s">
        <v>27248</v>
      </c>
      <c r="I2881" t="s">
        <v>32835</v>
      </c>
      <c r="J2881" t="s">
        <v>5785</v>
      </c>
      <c r="L2881" t="s">
        <v>27250</v>
      </c>
      <c r="M2881" t="s">
        <v>27251</v>
      </c>
      <c r="N2881" t="s">
        <v>27252</v>
      </c>
      <c r="P2881" t="s">
        <v>27341</v>
      </c>
      <c r="Q2881" s="1">
        <v>44846</v>
      </c>
      <c r="R2881" t="s">
        <v>27253</v>
      </c>
      <c r="S2881" t="s">
        <v>27254</v>
      </c>
      <c r="T2881" t="s">
        <v>27265</v>
      </c>
    </row>
    <row r="2882" spans="1:20" x14ac:dyDescent="0.3">
      <c r="A2882" t="str">
        <f>"0611861353050"</f>
        <v>0611861353050</v>
      </c>
      <c r="B2882" t="str">
        <f>"CR3929"</f>
        <v>CR3929</v>
      </c>
      <c r="C2882" t="s">
        <v>32836</v>
      </c>
      <c r="D2882" t="s">
        <v>27271</v>
      </c>
      <c r="E2882" t="str">
        <f t="shared" ref="E2882:E2945" si="45">"001390"</f>
        <v>001390</v>
      </c>
      <c r="F2882" t="s">
        <v>27246</v>
      </c>
      <c r="G2882" t="s">
        <v>27247</v>
      </c>
      <c r="H2882" t="s">
        <v>27248</v>
      </c>
      <c r="I2882" t="s">
        <v>32837</v>
      </c>
      <c r="J2882" t="s">
        <v>5787</v>
      </c>
      <c r="L2882" t="s">
        <v>27250</v>
      </c>
      <c r="M2882" t="s">
        <v>27251</v>
      </c>
      <c r="N2882" t="s">
        <v>27252</v>
      </c>
      <c r="P2882" t="s">
        <v>27341</v>
      </c>
      <c r="Q2882" s="1">
        <v>44846</v>
      </c>
      <c r="R2882" t="s">
        <v>27253</v>
      </c>
      <c r="S2882" t="s">
        <v>27254</v>
      </c>
      <c r="T2882" t="s">
        <v>27265</v>
      </c>
    </row>
    <row r="2883" spans="1:20" x14ac:dyDescent="0.3">
      <c r="A2883" t="str">
        <f>"0611861305050"</f>
        <v>0611861305050</v>
      </c>
      <c r="B2883" t="str">
        <f>"CR4586"</f>
        <v>CR4586</v>
      </c>
      <c r="C2883" t="s">
        <v>32838</v>
      </c>
      <c r="D2883" t="s">
        <v>27271</v>
      </c>
      <c r="E2883" t="str">
        <f t="shared" si="45"/>
        <v>001390</v>
      </c>
      <c r="F2883" t="s">
        <v>27246</v>
      </c>
      <c r="G2883" t="s">
        <v>27247</v>
      </c>
      <c r="H2883" t="s">
        <v>27248</v>
      </c>
      <c r="I2883" t="s">
        <v>32839</v>
      </c>
      <c r="J2883" t="s">
        <v>5789</v>
      </c>
      <c r="L2883" t="s">
        <v>27250</v>
      </c>
      <c r="M2883" t="s">
        <v>27251</v>
      </c>
      <c r="N2883" t="s">
        <v>27252</v>
      </c>
      <c r="P2883" t="s">
        <v>27341</v>
      </c>
      <c r="Q2883" s="1">
        <v>44846</v>
      </c>
      <c r="R2883" t="s">
        <v>27253</v>
      </c>
      <c r="S2883" t="s">
        <v>27254</v>
      </c>
      <c r="T2883" t="s">
        <v>27265</v>
      </c>
    </row>
    <row r="2884" spans="1:20" x14ac:dyDescent="0.3">
      <c r="A2884" t="str">
        <f>"0611861358050"</f>
        <v>0611861358050</v>
      </c>
      <c r="B2884" t="str">
        <f>"CR3287"</f>
        <v>CR3287</v>
      </c>
      <c r="C2884" t="s">
        <v>32840</v>
      </c>
      <c r="D2884" t="s">
        <v>27271</v>
      </c>
      <c r="E2884" t="str">
        <f t="shared" si="45"/>
        <v>001390</v>
      </c>
      <c r="F2884" t="s">
        <v>27246</v>
      </c>
      <c r="G2884" t="s">
        <v>27247</v>
      </c>
      <c r="H2884" t="s">
        <v>27248</v>
      </c>
      <c r="I2884" t="s">
        <v>32841</v>
      </c>
      <c r="J2884" t="s">
        <v>5791</v>
      </c>
      <c r="L2884" t="s">
        <v>27250</v>
      </c>
      <c r="M2884" t="s">
        <v>27251</v>
      </c>
      <c r="N2884" t="s">
        <v>27252</v>
      </c>
      <c r="P2884" t="s">
        <v>27341</v>
      </c>
      <c r="Q2884" s="1">
        <v>44846</v>
      </c>
      <c r="R2884" t="s">
        <v>27253</v>
      </c>
      <c r="S2884" t="s">
        <v>27254</v>
      </c>
      <c r="T2884" t="s">
        <v>27265</v>
      </c>
    </row>
    <row r="2885" spans="1:20" x14ac:dyDescent="0.3">
      <c r="A2885" t="str">
        <f>"0611861306050"</f>
        <v>0611861306050</v>
      </c>
      <c r="B2885" t="str">
        <f>"CR4587"</f>
        <v>CR4587</v>
      </c>
      <c r="C2885" t="s">
        <v>32842</v>
      </c>
      <c r="D2885" t="s">
        <v>27271</v>
      </c>
      <c r="E2885" t="str">
        <f t="shared" si="45"/>
        <v>001390</v>
      </c>
      <c r="F2885" t="s">
        <v>27246</v>
      </c>
      <c r="G2885" t="s">
        <v>27247</v>
      </c>
      <c r="H2885" t="s">
        <v>27248</v>
      </c>
      <c r="I2885" t="s">
        <v>32843</v>
      </c>
      <c r="J2885" t="s">
        <v>5793</v>
      </c>
      <c r="L2885" t="s">
        <v>27250</v>
      </c>
      <c r="M2885" t="s">
        <v>27251</v>
      </c>
      <c r="N2885" t="s">
        <v>27252</v>
      </c>
      <c r="P2885" t="s">
        <v>27341</v>
      </c>
      <c r="Q2885" s="1">
        <v>44846</v>
      </c>
      <c r="R2885" t="s">
        <v>27253</v>
      </c>
      <c r="S2885" t="s">
        <v>27254</v>
      </c>
      <c r="T2885" t="s">
        <v>27265</v>
      </c>
    </row>
    <row r="2886" spans="1:20" x14ac:dyDescent="0.3">
      <c r="A2886" t="str">
        <f>"0611861307050"</f>
        <v>0611861307050</v>
      </c>
      <c r="B2886" t="str">
        <f>"CR4588"</f>
        <v>CR4588</v>
      </c>
      <c r="C2886" t="s">
        <v>32844</v>
      </c>
      <c r="D2886" t="s">
        <v>27271</v>
      </c>
      <c r="E2886" t="str">
        <f t="shared" si="45"/>
        <v>001390</v>
      </c>
      <c r="F2886" t="s">
        <v>27246</v>
      </c>
      <c r="G2886" t="s">
        <v>27247</v>
      </c>
      <c r="H2886" t="s">
        <v>27248</v>
      </c>
      <c r="I2886" t="s">
        <v>32845</v>
      </c>
      <c r="J2886" t="s">
        <v>5795</v>
      </c>
      <c r="L2886" t="s">
        <v>27250</v>
      </c>
      <c r="M2886" t="s">
        <v>27251</v>
      </c>
      <c r="N2886" t="s">
        <v>27252</v>
      </c>
      <c r="P2886" t="s">
        <v>27341</v>
      </c>
      <c r="Q2886" s="1">
        <v>44846</v>
      </c>
      <c r="R2886" t="s">
        <v>27253</v>
      </c>
      <c r="S2886" t="s">
        <v>27254</v>
      </c>
      <c r="T2886" t="s">
        <v>27265</v>
      </c>
    </row>
    <row r="2887" spans="1:20" x14ac:dyDescent="0.3">
      <c r="A2887" t="str">
        <f>"0611861364050"</f>
        <v>0611861364050</v>
      </c>
      <c r="B2887" t="str">
        <f>"CR4760"</f>
        <v>CR4760</v>
      </c>
      <c r="C2887" t="s">
        <v>32846</v>
      </c>
      <c r="D2887" t="s">
        <v>27271</v>
      </c>
      <c r="E2887" t="str">
        <f t="shared" si="45"/>
        <v>001390</v>
      </c>
      <c r="F2887" t="s">
        <v>27246</v>
      </c>
      <c r="G2887" t="s">
        <v>27247</v>
      </c>
      <c r="H2887" t="s">
        <v>27248</v>
      </c>
      <c r="I2887" t="s">
        <v>32847</v>
      </c>
      <c r="J2887" t="s">
        <v>5799</v>
      </c>
      <c r="L2887" t="s">
        <v>27250</v>
      </c>
      <c r="M2887" t="s">
        <v>27251</v>
      </c>
      <c r="N2887" t="s">
        <v>27252</v>
      </c>
      <c r="P2887" t="s">
        <v>27341</v>
      </c>
      <c r="Q2887" s="1">
        <v>44846</v>
      </c>
      <c r="R2887" t="s">
        <v>27253</v>
      </c>
      <c r="S2887" t="s">
        <v>27254</v>
      </c>
      <c r="T2887" t="s">
        <v>27265</v>
      </c>
    </row>
    <row r="2888" spans="1:20" x14ac:dyDescent="0.3">
      <c r="A2888" t="str">
        <f>"0611861366050"</f>
        <v>0611861366050</v>
      </c>
      <c r="B2888" t="str">
        <f>"CR3886"</f>
        <v>CR3886</v>
      </c>
      <c r="C2888" t="s">
        <v>32848</v>
      </c>
      <c r="D2888" t="s">
        <v>27271</v>
      </c>
      <c r="E2888" t="str">
        <f t="shared" si="45"/>
        <v>001390</v>
      </c>
      <c r="F2888" t="s">
        <v>27246</v>
      </c>
      <c r="G2888" t="s">
        <v>27247</v>
      </c>
      <c r="H2888" t="s">
        <v>27248</v>
      </c>
      <c r="I2888" t="s">
        <v>32849</v>
      </c>
      <c r="J2888" t="s">
        <v>5801</v>
      </c>
      <c r="L2888" t="s">
        <v>27250</v>
      </c>
      <c r="M2888" t="s">
        <v>27251</v>
      </c>
      <c r="N2888" t="s">
        <v>27252</v>
      </c>
      <c r="P2888" t="s">
        <v>27341</v>
      </c>
      <c r="Q2888" s="1">
        <v>44846</v>
      </c>
      <c r="R2888" t="s">
        <v>27253</v>
      </c>
      <c r="S2888" t="s">
        <v>27254</v>
      </c>
      <c r="T2888" t="s">
        <v>27265</v>
      </c>
    </row>
    <row r="2889" spans="1:20" x14ac:dyDescent="0.3">
      <c r="A2889" t="str">
        <f>"0611861373050"</f>
        <v>0611861373050</v>
      </c>
      <c r="B2889" t="str">
        <f>"CR3231"</f>
        <v>CR3231</v>
      </c>
      <c r="C2889" t="s">
        <v>32850</v>
      </c>
      <c r="D2889" t="s">
        <v>27271</v>
      </c>
      <c r="E2889" t="str">
        <f t="shared" si="45"/>
        <v>001390</v>
      </c>
      <c r="F2889" t="s">
        <v>27246</v>
      </c>
      <c r="G2889" t="s">
        <v>27247</v>
      </c>
      <c r="H2889" t="s">
        <v>27248</v>
      </c>
      <c r="I2889" t="s">
        <v>32851</v>
      </c>
      <c r="J2889" t="s">
        <v>5803</v>
      </c>
      <c r="L2889" t="s">
        <v>27250</v>
      </c>
      <c r="M2889" t="s">
        <v>27251</v>
      </c>
      <c r="N2889" t="s">
        <v>27252</v>
      </c>
      <c r="P2889" t="s">
        <v>27341</v>
      </c>
      <c r="Q2889" s="1">
        <v>44846</v>
      </c>
      <c r="R2889" t="s">
        <v>27253</v>
      </c>
      <c r="S2889" t="s">
        <v>27254</v>
      </c>
      <c r="T2889" t="s">
        <v>27265</v>
      </c>
    </row>
    <row r="2890" spans="1:20" x14ac:dyDescent="0.3">
      <c r="A2890" t="str">
        <f>"0611884131050"</f>
        <v>0611884131050</v>
      </c>
      <c r="B2890" t="str">
        <f>"CR5362"</f>
        <v>CR5362</v>
      </c>
      <c r="C2890" t="s">
        <v>32852</v>
      </c>
      <c r="D2890" t="s">
        <v>27271</v>
      </c>
      <c r="E2890" t="str">
        <f t="shared" si="45"/>
        <v>001390</v>
      </c>
      <c r="F2890" t="s">
        <v>27246</v>
      </c>
      <c r="G2890" t="s">
        <v>27247</v>
      </c>
      <c r="H2890" t="s">
        <v>27248</v>
      </c>
      <c r="I2890" t="s">
        <v>32853</v>
      </c>
      <c r="J2890" t="s">
        <v>5805</v>
      </c>
      <c r="L2890" t="s">
        <v>27430</v>
      </c>
      <c r="M2890" t="s">
        <v>27251</v>
      </c>
      <c r="N2890" t="s">
        <v>27252</v>
      </c>
      <c r="P2890" t="s">
        <v>27341</v>
      </c>
      <c r="Q2890" s="1">
        <v>45250</v>
      </c>
      <c r="R2890" t="s">
        <v>27253</v>
      </c>
      <c r="S2890" t="s">
        <v>27254</v>
      </c>
      <c r="T2890" t="s">
        <v>27265</v>
      </c>
    </row>
    <row r="2891" spans="1:20" x14ac:dyDescent="0.3">
      <c r="A2891" t="str">
        <f>"0611861308050"</f>
        <v>0611861308050</v>
      </c>
      <c r="B2891" t="str">
        <f>"CR5250"</f>
        <v>CR5250</v>
      </c>
      <c r="C2891" t="s">
        <v>32854</v>
      </c>
      <c r="D2891" t="s">
        <v>27271</v>
      </c>
      <c r="E2891" t="str">
        <f t="shared" si="45"/>
        <v>001390</v>
      </c>
      <c r="F2891" t="s">
        <v>27246</v>
      </c>
      <c r="G2891" t="s">
        <v>27247</v>
      </c>
      <c r="H2891" t="s">
        <v>27248</v>
      </c>
      <c r="I2891" t="s">
        <v>32855</v>
      </c>
      <c r="J2891" t="s">
        <v>5807</v>
      </c>
      <c r="L2891" t="s">
        <v>27250</v>
      </c>
      <c r="M2891" t="s">
        <v>27251</v>
      </c>
      <c r="N2891" t="s">
        <v>27252</v>
      </c>
      <c r="P2891" t="s">
        <v>27341</v>
      </c>
      <c r="Q2891" s="1">
        <v>44846</v>
      </c>
      <c r="R2891" t="s">
        <v>27253</v>
      </c>
      <c r="S2891" t="s">
        <v>27254</v>
      </c>
      <c r="T2891" t="s">
        <v>27265</v>
      </c>
    </row>
    <row r="2892" spans="1:20" x14ac:dyDescent="0.3">
      <c r="A2892" t="str">
        <f>"0611884132050"</f>
        <v>0611884132050</v>
      </c>
      <c r="B2892" t="str">
        <f>"CR5388"</f>
        <v>CR5388</v>
      </c>
      <c r="C2892" t="s">
        <v>32856</v>
      </c>
      <c r="D2892" t="s">
        <v>27271</v>
      </c>
      <c r="E2892" t="str">
        <f t="shared" si="45"/>
        <v>001390</v>
      </c>
      <c r="F2892" t="s">
        <v>27246</v>
      </c>
      <c r="G2892" t="s">
        <v>27247</v>
      </c>
      <c r="H2892" t="s">
        <v>27248</v>
      </c>
      <c r="I2892" t="s">
        <v>32857</v>
      </c>
      <c r="J2892" t="s">
        <v>5809</v>
      </c>
      <c r="L2892" t="s">
        <v>27430</v>
      </c>
      <c r="M2892" t="s">
        <v>27251</v>
      </c>
      <c r="N2892" t="s">
        <v>27252</v>
      </c>
      <c r="P2892" t="s">
        <v>27341</v>
      </c>
      <c r="Q2892" s="1">
        <v>45250</v>
      </c>
      <c r="R2892" t="s">
        <v>27253</v>
      </c>
      <c r="S2892" t="s">
        <v>27254</v>
      </c>
      <c r="T2892" t="s">
        <v>27265</v>
      </c>
    </row>
    <row r="2893" spans="1:20" x14ac:dyDescent="0.3">
      <c r="A2893" t="str">
        <f>"0611861385050"</f>
        <v>0611861385050</v>
      </c>
      <c r="B2893" t="str">
        <f>"CR4956"</f>
        <v>CR4956</v>
      </c>
      <c r="C2893" t="s">
        <v>32858</v>
      </c>
      <c r="D2893" t="s">
        <v>27271</v>
      </c>
      <c r="E2893" t="str">
        <f t="shared" si="45"/>
        <v>001390</v>
      </c>
      <c r="F2893" t="s">
        <v>27246</v>
      </c>
      <c r="G2893" t="s">
        <v>27247</v>
      </c>
      <c r="H2893" t="s">
        <v>27248</v>
      </c>
      <c r="I2893" t="s">
        <v>32859</v>
      </c>
      <c r="J2893" t="s">
        <v>5811</v>
      </c>
      <c r="L2893" t="s">
        <v>27250</v>
      </c>
      <c r="M2893" t="s">
        <v>27251</v>
      </c>
      <c r="N2893" t="s">
        <v>27252</v>
      </c>
      <c r="P2893" t="s">
        <v>27341</v>
      </c>
      <c r="Q2893" s="1">
        <v>44846</v>
      </c>
      <c r="R2893" t="s">
        <v>27253</v>
      </c>
      <c r="S2893" t="s">
        <v>27254</v>
      </c>
      <c r="T2893" t="s">
        <v>27265</v>
      </c>
    </row>
    <row r="2894" spans="1:20" x14ac:dyDescent="0.3">
      <c r="A2894" t="str">
        <f>"0611861331050"</f>
        <v>0611861331050</v>
      </c>
      <c r="B2894" t="str">
        <f>"CR4948"</f>
        <v>CR4948</v>
      </c>
      <c r="C2894" t="s">
        <v>32860</v>
      </c>
      <c r="D2894" t="s">
        <v>27271</v>
      </c>
      <c r="E2894" t="str">
        <f t="shared" si="45"/>
        <v>001390</v>
      </c>
      <c r="F2894" t="s">
        <v>27246</v>
      </c>
      <c r="G2894" t="s">
        <v>27247</v>
      </c>
      <c r="H2894" t="s">
        <v>27248</v>
      </c>
      <c r="I2894" t="s">
        <v>32861</v>
      </c>
      <c r="J2894" t="s">
        <v>5813</v>
      </c>
      <c r="L2894" t="s">
        <v>27250</v>
      </c>
      <c r="M2894" t="s">
        <v>27251</v>
      </c>
      <c r="N2894" t="s">
        <v>27252</v>
      </c>
      <c r="P2894" t="s">
        <v>27341</v>
      </c>
      <c r="Q2894" s="1">
        <v>44846</v>
      </c>
      <c r="R2894" t="s">
        <v>27253</v>
      </c>
      <c r="S2894" t="s">
        <v>27254</v>
      </c>
      <c r="T2894" t="s">
        <v>27265</v>
      </c>
    </row>
    <row r="2895" spans="1:20" x14ac:dyDescent="0.3">
      <c r="A2895" t="str">
        <f>"0611861386050"</f>
        <v>0611861386050</v>
      </c>
      <c r="B2895" t="str">
        <f>"CR5037"</f>
        <v>CR5037</v>
      </c>
      <c r="C2895" t="s">
        <v>32862</v>
      </c>
      <c r="D2895" t="s">
        <v>27271</v>
      </c>
      <c r="E2895" t="str">
        <f t="shared" si="45"/>
        <v>001390</v>
      </c>
      <c r="F2895" t="s">
        <v>27246</v>
      </c>
      <c r="G2895" t="s">
        <v>27247</v>
      </c>
      <c r="H2895" t="s">
        <v>27248</v>
      </c>
      <c r="I2895" t="s">
        <v>32863</v>
      </c>
      <c r="J2895" t="s">
        <v>5815</v>
      </c>
      <c r="L2895" t="s">
        <v>27250</v>
      </c>
      <c r="M2895" t="s">
        <v>27251</v>
      </c>
      <c r="N2895" t="s">
        <v>27252</v>
      </c>
      <c r="P2895" t="s">
        <v>27341</v>
      </c>
      <c r="Q2895" s="1">
        <v>44846</v>
      </c>
      <c r="R2895" t="s">
        <v>27253</v>
      </c>
      <c r="S2895" t="s">
        <v>27254</v>
      </c>
      <c r="T2895" t="s">
        <v>27265</v>
      </c>
    </row>
    <row r="2896" spans="1:20" x14ac:dyDescent="0.3">
      <c r="A2896" t="str">
        <f>"0611861417050"</f>
        <v>0611861417050</v>
      </c>
      <c r="B2896" t="str">
        <f>"CR4952"</f>
        <v>CR4952</v>
      </c>
      <c r="C2896" t="s">
        <v>32864</v>
      </c>
      <c r="D2896" t="s">
        <v>27271</v>
      </c>
      <c r="E2896" t="str">
        <f t="shared" si="45"/>
        <v>001390</v>
      </c>
      <c r="F2896" t="s">
        <v>27246</v>
      </c>
      <c r="G2896" t="s">
        <v>27247</v>
      </c>
      <c r="H2896" t="s">
        <v>27248</v>
      </c>
      <c r="I2896" t="s">
        <v>32865</v>
      </c>
      <c r="J2896" t="s">
        <v>5817</v>
      </c>
      <c r="L2896" t="s">
        <v>27250</v>
      </c>
      <c r="M2896" t="s">
        <v>27251</v>
      </c>
      <c r="N2896" t="s">
        <v>27252</v>
      </c>
      <c r="P2896" t="s">
        <v>27341</v>
      </c>
      <c r="Q2896" s="1">
        <v>44846</v>
      </c>
      <c r="R2896" t="s">
        <v>27253</v>
      </c>
      <c r="S2896" t="s">
        <v>27254</v>
      </c>
      <c r="T2896" t="s">
        <v>27265</v>
      </c>
    </row>
    <row r="2897" spans="1:20" x14ac:dyDescent="0.3">
      <c r="A2897" t="str">
        <f>"0611861309050"</f>
        <v>0611861309050</v>
      </c>
      <c r="B2897" t="str">
        <f>"CR4590"</f>
        <v>CR4590</v>
      </c>
      <c r="C2897" t="s">
        <v>32866</v>
      </c>
      <c r="D2897" t="s">
        <v>27271</v>
      </c>
      <c r="E2897" t="str">
        <f t="shared" si="45"/>
        <v>001390</v>
      </c>
      <c r="F2897" t="s">
        <v>27246</v>
      </c>
      <c r="G2897" t="s">
        <v>27247</v>
      </c>
      <c r="H2897" t="s">
        <v>27248</v>
      </c>
      <c r="I2897" t="s">
        <v>32867</v>
      </c>
      <c r="J2897" t="s">
        <v>5819</v>
      </c>
      <c r="L2897" t="s">
        <v>27250</v>
      </c>
      <c r="M2897" t="s">
        <v>27251</v>
      </c>
      <c r="N2897" t="s">
        <v>27252</v>
      </c>
      <c r="P2897" t="s">
        <v>27341</v>
      </c>
      <c r="Q2897" s="1">
        <v>44846</v>
      </c>
      <c r="R2897" t="s">
        <v>27253</v>
      </c>
      <c r="S2897" t="s">
        <v>27254</v>
      </c>
      <c r="T2897" t="s">
        <v>27265</v>
      </c>
    </row>
    <row r="2898" spans="1:20" x14ac:dyDescent="0.3">
      <c r="A2898" t="str">
        <f>"0611861310050"</f>
        <v>0611861310050</v>
      </c>
      <c r="B2898" t="str">
        <f>"CR4591"</f>
        <v>CR4591</v>
      </c>
      <c r="C2898" t="s">
        <v>32868</v>
      </c>
      <c r="D2898" t="s">
        <v>27271</v>
      </c>
      <c r="E2898" t="str">
        <f t="shared" si="45"/>
        <v>001390</v>
      </c>
      <c r="F2898" t="s">
        <v>27246</v>
      </c>
      <c r="G2898" t="s">
        <v>27247</v>
      </c>
      <c r="H2898" t="s">
        <v>27248</v>
      </c>
      <c r="I2898" t="s">
        <v>32869</v>
      </c>
      <c r="J2898" t="s">
        <v>5821</v>
      </c>
      <c r="L2898" t="s">
        <v>27250</v>
      </c>
      <c r="M2898" t="s">
        <v>27251</v>
      </c>
      <c r="N2898" t="s">
        <v>27252</v>
      </c>
      <c r="P2898" t="s">
        <v>27341</v>
      </c>
      <c r="Q2898" s="1">
        <v>44846</v>
      </c>
      <c r="R2898" t="s">
        <v>27253</v>
      </c>
      <c r="S2898" t="s">
        <v>27254</v>
      </c>
      <c r="T2898" t="s">
        <v>27265</v>
      </c>
    </row>
    <row r="2899" spans="1:20" x14ac:dyDescent="0.3">
      <c r="A2899" t="str">
        <f>"0611861350050"</f>
        <v>0611861350050</v>
      </c>
      <c r="B2899" t="str">
        <f>"CR3762"</f>
        <v>CR3762</v>
      </c>
      <c r="C2899" t="s">
        <v>32870</v>
      </c>
      <c r="D2899" t="s">
        <v>27271</v>
      </c>
      <c r="E2899" t="str">
        <f t="shared" si="45"/>
        <v>001390</v>
      </c>
      <c r="F2899" t="s">
        <v>27246</v>
      </c>
      <c r="G2899" t="s">
        <v>27247</v>
      </c>
      <c r="H2899" t="s">
        <v>27248</v>
      </c>
      <c r="I2899" t="s">
        <v>32871</v>
      </c>
      <c r="J2899" t="s">
        <v>5823</v>
      </c>
      <c r="L2899" t="s">
        <v>27250</v>
      </c>
      <c r="M2899" t="s">
        <v>27251</v>
      </c>
      <c r="N2899" t="s">
        <v>27252</v>
      </c>
      <c r="P2899" t="s">
        <v>27341</v>
      </c>
      <c r="Q2899" s="1">
        <v>44846</v>
      </c>
      <c r="R2899" t="s">
        <v>27253</v>
      </c>
      <c r="S2899" t="s">
        <v>27254</v>
      </c>
      <c r="T2899" t="s">
        <v>27265</v>
      </c>
    </row>
    <row r="2900" spans="1:20" x14ac:dyDescent="0.3">
      <c r="A2900" t="str">
        <f>"0611861365050"</f>
        <v>0611861365050</v>
      </c>
      <c r="B2900" t="str">
        <f>"CR3764"</f>
        <v>CR3764</v>
      </c>
      <c r="C2900" t="s">
        <v>32872</v>
      </c>
      <c r="D2900" t="s">
        <v>27271</v>
      </c>
      <c r="E2900" t="str">
        <f t="shared" si="45"/>
        <v>001390</v>
      </c>
      <c r="F2900" t="s">
        <v>27246</v>
      </c>
      <c r="G2900" t="s">
        <v>27247</v>
      </c>
      <c r="H2900" t="s">
        <v>27248</v>
      </c>
      <c r="I2900" t="s">
        <v>32873</v>
      </c>
      <c r="J2900" t="s">
        <v>5825</v>
      </c>
      <c r="L2900" t="s">
        <v>27250</v>
      </c>
      <c r="M2900" t="s">
        <v>27251</v>
      </c>
      <c r="N2900" t="s">
        <v>27252</v>
      </c>
      <c r="P2900" t="s">
        <v>27341</v>
      </c>
      <c r="Q2900" s="1">
        <v>44846</v>
      </c>
      <c r="R2900" t="s">
        <v>27253</v>
      </c>
      <c r="S2900" t="s">
        <v>27254</v>
      </c>
      <c r="T2900" t="s">
        <v>27265</v>
      </c>
    </row>
    <row r="2901" spans="1:20" x14ac:dyDescent="0.3">
      <c r="A2901" t="str">
        <f>"0611861390050"</f>
        <v>0611861390050</v>
      </c>
      <c r="B2901" t="str">
        <f>"CR3765"</f>
        <v>CR3765</v>
      </c>
      <c r="C2901" t="s">
        <v>32874</v>
      </c>
      <c r="D2901" t="s">
        <v>27271</v>
      </c>
      <c r="E2901" t="str">
        <f t="shared" si="45"/>
        <v>001390</v>
      </c>
      <c r="F2901" t="s">
        <v>27246</v>
      </c>
      <c r="G2901" t="s">
        <v>27247</v>
      </c>
      <c r="H2901" t="s">
        <v>27248</v>
      </c>
      <c r="I2901" t="s">
        <v>32875</v>
      </c>
      <c r="J2901" t="s">
        <v>5827</v>
      </c>
      <c r="L2901" t="s">
        <v>27250</v>
      </c>
      <c r="M2901" t="s">
        <v>27251</v>
      </c>
      <c r="N2901" t="s">
        <v>27252</v>
      </c>
      <c r="P2901" t="s">
        <v>27341</v>
      </c>
      <c r="Q2901" s="1">
        <v>44846</v>
      </c>
      <c r="R2901" t="s">
        <v>27253</v>
      </c>
      <c r="S2901" t="s">
        <v>27254</v>
      </c>
      <c r="T2901" t="s">
        <v>27265</v>
      </c>
    </row>
    <row r="2902" spans="1:20" x14ac:dyDescent="0.3">
      <c r="A2902" t="str">
        <f>"0611861407050"</f>
        <v>0611861407050</v>
      </c>
      <c r="B2902" t="str">
        <f>"CR3768"</f>
        <v>CR3768</v>
      </c>
      <c r="C2902" t="s">
        <v>32876</v>
      </c>
      <c r="D2902" t="s">
        <v>27271</v>
      </c>
      <c r="E2902" t="str">
        <f t="shared" si="45"/>
        <v>001390</v>
      </c>
      <c r="F2902" t="s">
        <v>27246</v>
      </c>
      <c r="G2902" t="s">
        <v>27247</v>
      </c>
      <c r="H2902" t="s">
        <v>27248</v>
      </c>
      <c r="I2902" t="s">
        <v>32877</v>
      </c>
      <c r="J2902" t="s">
        <v>5829</v>
      </c>
      <c r="L2902" t="s">
        <v>27250</v>
      </c>
      <c r="M2902" t="s">
        <v>27251</v>
      </c>
      <c r="N2902" t="s">
        <v>27252</v>
      </c>
      <c r="P2902" t="s">
        <v>27341</v>
      </c>
      <c r="Q2902" s="1">
        <v>44846</v>
      </c>
      <c r="R2902" t="s">
        <v>27253</v>
      </c>
      <c r="S2902" t="s">
        <v>27254</v>
      </c>
      <c r="T2902" t="s">
        <v>27265</v>
      </c>
    </row>
    <row r="2903" spans="1:20" x14ac:dyDescent="0.3">
      <c r="A2903" t="str">
        <f>"0611861411050"</f>
        <v>0611861411050</v>
      </c>
      <c r="B2903" t="str">
        <f>"CR3769"</f>
        <v>CR3769</v>
      </c>
      <c r="C2903" t="s">
        <v>32878</v>
      </c>
      <c r="D2903" t="s">
        <v>27271</v>
      </c>
      <c r="E2903" t="str">
        <f t="shared" si="45"/>
        <v>001390</v>
      </c>
      <c r="F2903" t="s">
        <v>27246</v>
      </c>
      <c r="G2903" t="s">
        <v>27247</v>
      </c>
      <c r="H2903" t="s">
        <v>27248</v>
      </c>
      <c r="I2903" t="s">
        <v>32879</v>
      </c>
      <c r="J2903" t="s">
        <v>5831</v>
      </c>
      <c r="L2903" t="s">
        <v>27250</v>
      </c>
      <c r="M2903" t="s">
        <v>27251</v>
      </c>
      <c r="N2903" t="s">
        <v>27252</v>
      </c>
      <c r="P2903" t="s">
        <v>27341</v>
      </c>
      <c r="Q2903" s="1">
        <v>44846</v>
      </c>
      <c r="R2903" t="s">
        <v>27253</v>
      </c>
      <c r="S2903" t="s">
        <v>27254</v>
      </c>
      <c r="T2903" t="s">
        <v>27265</v>
      </c>
    </row>
    <row r="2904" spans="1:20" x14ac:dyDescent="0.3">
      <c r="A2904" t="str">
        <f>"0611884133050"</f>
        <v>0611884133050</v>
      </c>
      <c r="B2904" t="str">
        <f>"CR5271"</f>
        <v>CR5271</v>
      </c>
      <c r="C2904" t="s">
        <v>32880</v>
      </c>
      <c r="D2904" t="s">
        <v>27271</v>
      </c>
      <c r="E2904" t="str">
        <f t="shared" si="45"/>
        <v>001390</v>
      </c>
      <c r="F2904" t="s">
        <v>27246</v>
      </c>
      <c r="G2904" t="s">
        <v>27247</v>
      </c>
      <c r="H2904" t="s">
        <v>27248</v>
      </c>
      <c r="I2904" t="s">
        <v>32881</v>
      </c>
      <c r="J2904" t="s">
        <v>5833</v>
      </c>
      <c r="L2904" t="s">
        <v>27430</v>
      </c>
      <c r="M2904" t="s">
        <v>27251</v>
      </c>
      <c r="N2904" t="s">
        <v>27252</v>
      </c>
      <c r="P2904" t="s">
        <v>27341</v>
      </c>
      <c r="Q2904" s="1">
        <v>45250</v>
      </c>
      <c r="R2904" t="s">
        <v>27253</v>
      </c>
      <c r="S2904" t="s">
        <v>27254</v>
      </c>
      <c r="T2904" t="s">
        <v>27265</v>
      </c>
    </row>
    <row r="2905" spans="1:20" x14ac:dyDescent="0.3">
      <c r="A2905" t="str">
        <f>"0611884134050"</f>
        <v>0611884134050</v>
      </c>
      <c r="B2905" t="str">
        <f>"CR5356"</f>
        <v>CR5356</v>
      </c>
      <c r="C2905" t="s">
        <v>32882</v>
      </c>
      <c r="D2905" t="s">
        <v>27271</v>
      </c>
      <c r="E2905" t="str">
        <f t="shared" si="45"/>
        <v>001390</v>
      </c>
      <c r="F2905" t="s">
        <v>27246</v>
      </c>
      <c r="G2905" t="s">
        <v>27247</v>
      </c>
      <c r="H2905" t="s">
        <v>27248</v>
      </c>
      <c r="I2905" t="s">
        <v>32883</v>
      </c>
      <c r="J2905" t="s">
        <v>5835</v>
      </c>
      <c r="L2905" t="s">
        <v>27430</v>
      </c>
      <c r="M2905" t="s">
        <v>27251</v>
      </c>
      <c r="N2905" t="s">
        <v>27252</v>
      </c>
      <c r="P2905" t="s">
        <v>27341</v>
      </c>
      <c r="Q2905" s="1">
        <v>45250</v>
      </c>
      <c r="R2905" t="s">
        <v>27253</v>
      </c>
      <c r="S2905" t="s">
        <v>27254</v>
      </c>
      <c r="T2905" t="s">
        <v>27265</v>
      </c>
    </row>
    <row r="2906" spans="1:20" x14ac:dyDescent="0.3">
      <c r="A2906" t="str">
        <f>"0611884135050"</f>
        <v>0611884135050</v>
      </c>
      <c r="B2906" t="str">
        <f>"CR5272"</f>
        <v>CR5272</v>
      </c>
      <c r="C2906" t="s">
        <v>32884</v>
      </c>
      <c r="D2906" t="s">
        <v>27271</v>
      </c>
      <c r="E2906" t="str">
        <f t="shared" si="45"/>
        <v>001390</v>
      </c>
      <c r="F2906" t="s">
        <v>27246</v>
      </c>
      <c r="G2906" t="s">
        <v>27247</v>
      </c>
      <c r="H2906" t="s">
        <v>27248</v>
      </c>
      <c r="I2906" t="s">
        <v>32885</v>
      </c>
      <c r="J2906" t="s">
        <v>5837</v>
      </c>
      <c r="L2906" t="s">
        <v>27430</v>
      </c>
      <c r="M2906" t="s">
        <v>27251</v>
      </c>
      <c r="N2906" t="s">
        <v>27252</v>
      </c>
      <c r="P2906" t="s">
        <v>27341</v>
      </c>
      <c r="Q2906" s="1">
        <v>45250</v>
      </c>
      <c r="R2906" t="s">
        <v>27253</v>
      </c>
      <c r="S2906" t="s">
        <v>27254</v>
      </c>
      <c r="T2906" t="s">
        <v>27265</v>
      </c>
    </row>
    <row r="2907" spans="1:20" x14ac:dyDescent="0.3">
      <c r="A2907" t="str">
        <f>"0611861394050"</f>
        <v>0611861394050</v>
      </c>
      <c r="B2907" t="str">
        <f>"CR2146"</f>
        <v>CR2146</v>
      </c>
      <c r="C2907" t="s">
        <v>32886</v>
      </c>
      <c r="D2907" t="s">
        <v>27271</v>
      </c>
      <c r="E2907" t="str">
        <f t="shared" si="45"/>
        <v>001390</v>
      </c>
      <c r="F2907" t="s">
        <v>27246</v>
      </c>
      <c r="G2907" t="s">
        <v>27247</v>
      </c>
      <c r="H2907" t="s">
        <v>27248</v>
      </c>
      <c r="I2907" t="s">
        <v>32887</v>
      </c>
      <c r="J2907" t="s">
        <v>5839</v>
      </c>
      <c r="L2907" t="s">
        <v>27250</v>
      </c>
      <c r="M2907" t="s">
        <v>27251</v>
      </c>
      <c r="N2907" t="s">
        <v>27252</v>
      </c>
      <c r="P2907" t="s">
        <v>27341</v>
      </c>
      <c r="Q2907" s="1">
        <v>44846</v>
      </c>
      <c r="R2907" t="s">
        <v>27253</v>
      </c>
      <c r="S2907" t="s">
        <v>27254</v>
      </c>
      <c r="T2907" t="s">
        <v>27265</v>
      </c>
    </row>
    <row r="2908" spans="1:20" x14ac:dyDescent="0.3">
      <c r="A2908" t="str">
        <f>"0611861396050"</f>
        <v>0611861396050</v>
      </c>
      <c r="B2908" t="str">
        <f>"CR4763"</f>
        <v>CR4763</v>
      </c>
      <c r="C2908" t="s">
        <v>32888</v>
      </c>
      <c r="D2908" t="s">
        <v>27271</v>
      </c>
      <c r="E2908" t="str">
        <f t="shared" si="45"/>
        <v>001390</v>
      </c>
      <c r="F2908" t="s">
        <v>27246</v>
      </c>
      <c r="G2908" t="s">
        <v>27247</v>
      </c>
      <c r="H2908" t="s">
        <v>27248</v>
      </c>
      <c r="I2908" t="s">
        <v>32889</v>
      </c>
      <c r="J2908" t="s">
        <v>5841</v>
      </c>
      <c r="L2908" t="s">
        <v>27250</v>
      </c>
      <c r="M2908" t="s">
        <v>27251</v>
      </c>
      <c r="N2908" t="s">
        <v>27252</v>
      </c>
      <c r="P2908" t="s">
        <v>27341</v>
      </c>
      <c r="Q2908" s="1">
        <v>44846</v>
      </c>
      <c r="R2908" t="s">
        <v>27253</v>
      </c>
      <c r="S2908" t="s">
        <v>27254</v>
      </c>
      <c r="T2908" t="s">
        <v>27265</v>
      </c>
    </row>
    <row r="2909" spans="1:20" x14ac:dyDescent="0.3">
      <c r="A2909" t="str">
        <f>"0611861400050"</f>
        <v>0611861400050</v>
      </c>
      <c r="B2909" t="str">
        <f>"CR3931"</f>
        <v>CR3931</v>
      </c>
      <c r="C2909" t="s">
        <v>32890</v>
      </c>
      <c r="D2909" t="s">
        <v>27271</v>
      </c>
      <c r="E2909" t="str">
        <f t="shared" si="45"/>
        <v>001390</v>
      </c>
      <c r="F2909" t="s">
        <v>27246</v>
      </c>
      <c r="G2909" t="s">
        <v>27247</v>
      </c>
      <c r="H2909" t="s">
        <v>27248</v>
      </c>
      <c r="I2909" t="s">
        <v>32891</v>
      </c>
      <c r="J2909" t="s">
        <v>5843</v>
      </c>
      <c r="L2909" t="s">
        <v>27250</v>
      </c>
      <c r="M2909" t="s">
        <v>27251</v>
      </c>
      <c r="N2909" t="s">
        <v>27252</v>
      </c>
      <c r="P2909" t="s">
        <v>27341</v>
      </c>
      <c r="Q2909" s="1">
        <v>44846</v>
      </c>
      <c r="R2909" t="s">
        <v>27253</v>
      </c>
      <c r="S2909" t="s">
        <v>27254</v>
      </c>
      <c r="T2909" t="s">
        <v>27265</v>
      </c>
    </row>
    <row r="2910" spans="1:20" x14ac:dyDescent="0.3">
      <c r="A2910" t="str">
        <f>"0611861401050"</f>
        <v>0611861401050</v>
      </c>
      <c r="B2910" t="str">
        <f>"CR3877"</f>
        <v>CR3877</v>
      </c>
      <c r="C2910" t="s">
        <v>32892</v>
      </c>
      <c r="D2910" t="s">
        <v>27271</v>
      </c>
      <c r="E2910" t="str">
        <f t="shared" si="45"/>
        <v>001390</v>
      </c>
      <c r="F2910" t="s">
        <v>27246</v>
      </c>
      <c r="G2910" t="s">
        <v>27247</v>
      </c>
      <c r="H2910" t="s">
        <v>27248</v>
      </c>
      <c r="I2910" t="s">
        <v>32893</v>
      </c>
      <c r="J2910" t="s">
        <v>5721</v>
      </c>
      <c r="L2910" t="s">
        <v>27250</v>
      </c>
      <c r="M2910" t="s">
        <v>27251</v>
      </c>
      <c r="N2910" t="s">
        <v>27252</v>
      </c>
      <c r="P2910" t="s">
        <v>27341</v>
      </c>
      <c r="Q2910" s="1">
        <v>44846</v>
      </c>
      <c r="R2910" t="s">
        <v>27253</v>
      </c>
      <c r="S2910" t="s">
        <v>27254</v>
      </c>
      <c r="T2910" t="s">
        <v>27265</v>
      </c>
    </row>
    <row r="2911" spans="1:20" x14ac:dyDescent="0.3">
      <c r="A2911" t="str">
        <f>"0611861402050"</f>
        <v>0611861402050</v>
      </c>
      <c r="B2911" t="str">
        <f>"CR4804"</f>
        <v>CR4804</v>
      </c>
      <c r="C2911" t="s">
        <v>32894</v>
      </c>
      <c r="D2911" t="s">
        <v>27271</v>
      </c>
      <c r="E2911" t="str">
        <f t="shared" si="45"/>
        <v>001390</v>
      </c>
      <c r="F2911" t="s">
        <v>27246</v>
      </c>
      <c r="G2911" t="s">
        <v>27247</v>
      </c>
      <c r="H2911" t="s">
        <v>27248</v>
      </c>
      <c r="I2911" t="s">
        <v>32895</v>
      </c>
      <c r="J2911" t="s">
        <v>5845</v>
      </c>
      <c r="L2911" t="s">
        <v>27250</v>
      </c>
      <c r="M2911" t="s">
        <v>27251</v>
      </c>
      <c r="N2911" t="s">
        <v>27252</v>
      </c>
      <c r="P2911" t="s">
        <v>27341</v>
      </c>
      <c r="Q2911" s="1">
        <v>44846</v>
      </c>
      <c r="R2911" t="s">
        <v>27253</v>
      </c>
      <c r="S2911" t="s">
        <v>27254</v>
      </c>
      <c r="T2911" t="s">
        <v>27265</v>
      </c>
    </row>
    <row r="2912" spans="1:20" x14ac:dyDescent="0.3">
      <c r="A2912" t="str">
        <f>"0611861403050"</f>
        <v>0611861403050</v>
      </c>
      <c r="B2912" t="str">
        <f>"CR4806"</f>
        <v>CR4806</v>
      </c>
      <c r="C2912" t="s">
        <v>32896</v>
      </c>
      <c r="D2912" t="s">
        <v>27271</v>
      </c>
      <c r="E2912" t="str">
        <f t="shared" si="45"/>
        <v>001390</v>
      </c>
      <c r="F2912" t="s">
        <v>27246</v>
      </c>
      <c r="G2912" t="s">
        <v>27247</v>
      </c>
      <c r="H2912" t="s">
        <v>27248</v>
      </c>
      <c r="I2912" t="s">
        <v>32897</v>
      </c>
      <c r="J2912" t="s">
        <v>5847</v>
      </c>
      <c r="L2912" t="s">
        <v>27250</v>
      </c>
      <c r="M2912" t="s">
        <v>27251</v>
      </c>
      <c r="N2912" t="s">
        <v>27252</v>
      </c>
      <c r="P2912" t="s">
        <v>27341</v>
      </c>
      <c r="Q2912" s="1">
        <v>44846</v>
      </c>
      <c r="R2912" t="s">
        <v>27253</v>
      </c>
      <c r="S2912" t="s">
        <v>27254</v>
      </c>
      <c r="T2912" t="s">
        <v>27265</v>
      </c>
    </row>
    <row r="2913" spans="1:20" x14ac:dyDescent="0.3">
      <c r="A2913" t="str">
        <f>"0611861404050"</f>
        <v>0611861404050</v>
      </c>
      <c r="B2913" t="str">
        <f>"CR4807"</f>
        <v>CR4807</v>
      </c>
      <c r="C2913" t="s">
        <v>32898</v>
      </c>
      <c r="D2913" t="s">
        <v>27271</v>
      </c>
      <c r="E2913" t="str">
        <f t="shared" si="45"/>
        <v>001390</v>
      </c>
      <c r="F2913" t="s">
        <v>27246</v>
      </c>
      <c r="G2913" t="s">
        <v>27247</v>
      </c>
      <c r="H2913" t="s">
        <v>27248</v>
      </c>
      <c r="I2913" t="s">
        <v>32899</v>
      </c>
      <c r="J2913" t="s">
        <v>5849</v>
      </c>
      <c r="L2913" t="s">
        <v>27250</v>
      </c>
      <c r="M2913" t="s">
        <v>27251</v>
      </c>
      <c r="N2913" t="s">
        <v>27252</v>
      </c>
      <c r="P2913" t="s">
        <v>27341</v>
      </c>
      <c r="Q2913" s="1">
        <v>44846</v>
      </c>
      <c r="R2913" t="s">
        <v>27253</v>
      </c>
      <c r="S2913" t="s">
        <v>27254</v>
      </c>
      <c r="T2913" t="s">
        <v>27265</v>
      </c>
    </row>
    <row r="2914" spans="1:20" x14ac:dyDescent="0.3">
      <c r="A2914" t="str">
        <f>"0611861405050"</f>
        <v>0611861405050</v>
      </c>
      <c r="B2914" t="str">
        <f>"CR4805"</f>
        <v>CR4805</v>
      </c>
      <c r="C2914" t="s">
        <v>32900</v>
      </c>
      <c r="D2914" t="s">
        <v>27271</v>
      </c>
      <c r="E2914" t="str">
        <f t="shared" si="45"/>
        <v>001390</v>
      </c>
      <c r="F2914" t="s">
        <v>27246</v>
      </c>
      <c r="G2914" t="s">
        <v>27247</v>
      </c>
      <c r="H2914" t="s">
        <v>27248</v>
      </c>
      <c r="I2914" t="s">
        <v>32901</v>
      </c>
      <c r="J2914" t="s">
        <v>5851</v>
      </c>
      <c r="L2914" t="s">
        <v>27250</v>
      </c>
      <c r="M2914" t="s">
        <v>27251</v>
      </c>
      <c r="N2914" t="s">
        <v>27252</v>
      </c>
      <c r="P2914" t="s">
        <v>27341</v>
      </c>
      <c r="Q2914" s="1">
        <v>44846</v>
      </c>
      <c r="R2914" t="s">
        <v>27253</v>
      </c>
      <c r="S2914" t="s">
        <v>27254</v>
      </c>
      <c r="T2914" t="s">
        <v>27265</v>
      </c>
    </row>
    <row r="2915" spans="1:20" x14ac:dyDescent="0.3">
      <c r="A2915" t="str">
        <f>"0611861406050"</f>
        <v>0611861406050</v>
      </c>
      <c r="B2915" t="str">
        <f>"CR3056"</f>
        <v>CR3056</v>
      </c>
      <c r="C2915" t="s">
        <v>32902</v>
      </c>
      <c r="D2915" t="s">
        <v>27271</v>
      </c>
      <c r="E2915" t="str">
        <f t="shared" si="45"/>
        <v>001390</v>
      </c>
      <c r="F2915" t="s">
        <v>27246</v>
      </c>
      <c r="G2915" t="s">
        <v>27247</v>
      </c>
      <c r="H2915" t="s">
        <v>27248</v>
      </c>
      <c r="I2915" t="s">
        <v>32903</v>
      </c>
      <c r="J2915" t="s">
        <v>5853</v>
      </c>
      <c r="L2915" t="s">
        <v>27250</v>
      </c>
      <c r="M2915" t="s">
        <v>27251</v>
      </c>
      <c r="N2915" t="s">
        <v>27252</v>
      </c>
      <c r="P2915" t="s">
        <v>27341</v>
      </c>
      <c r="Q2915" s="1">
        <v>44846</v>
      </c>
      <c r="R2915" t="s">
        <v>27253</v>
      </c>
      <c r="S2915" t="s">
        <v>27254</v>
      </c>
      <c r="T2915" t="s">
        <v>27265</v>
      </c>
    </row>
    <row r="2916" spans="1:20" x14ac:dyDescent="0.3">
      <c r="A2916" t="str">
        <f>"0611861410050"</f>
        <v>0611861410050</v>
      </c>
      <c r="B2916" t="str">
        <f>"CR5024"</f>
        <v>CR5024</v>
      </c>
      <c r="C2916" t="s">
        <v>32904</v>
      </c>
      <c r="D2916" t="s">
        <v>27271</v>
      </c>
      <c r="E2916" t="str">
        <f t="shared" si="45"/>
        <v>001390</v>
      </c>
      <c r="F2916" t="s">
        <v>27246</v>
      </c>
      <c r="G2916" t="s">
        <v>27247</v>
      </c>
      <c r="H2916" t="s">
        <v>27248</v>
      </c>
      <c r="I2916" t="s">
        <v>32905</v>
      </c>
      <c r="J2916" t="s">
        <v>5857</v>
      </c>
      <c r="L2916" t="s">
        <v>27250</v>
      </c>
      <c r="M2916" t="s">
        <v>27251</v>
      </c>
      <c r="N2916" t="s">
        <v>27252</v>
      </c>
      <c r="P2916" t="s">
        <v>27341</v>
      </c>
      <c r="Q2916" s="1">
        <v>44846</v>
      </c>
      <c r="R2916" t="s">
        <v>27253</v>
      </c>
      <c r="S2916" t="s">
        <v>27254</v>
      </c>
      <c r="T2916" t="s">
        <v>27265</v>
      </c>
    </row>
    <row r="2917" spans="1:20" x14ac:dyDescent="0.3">
      <c r="A2917" t="str">
        <f>"0611861409050"</f>
        <v>0611861409050</v>
      </c>
      <c r="B2917" t="str">
        <f>"CR5022"</f>
        <v>CR5022</v>
      </c>
      <c r="C2917" t="s">
        <v>32906</v>
      </c>
      <c r="D2917" t="s">
        <v>27271</v>
      </c>
      <c r="E2917" t="str">
        <f t="shared" si="45"/>
        <v>001390</v>
      </c>
      <c r="F2917" t="s">
        <v>27246</v>
      </c>
      <c r="G2917" t="s">
        <v>27247</v>
      </c>
      <c r="H2917" t="s">
        <v>27248</v>
      </c>
      <c r="I2917" t="s">
        <v>32907</v>
      </c>
      <c r="J2917" t="s">
        <v>5855</v>
      </c>
      <c r="L2917" t="s">
        <v>27250</v>
      </c>
      <c r="M2917" t="s">
        <v>27251</v>
      </c>
      <c r="N2917" t="s">
        <v>27252</v>
      </c>
      <c r="P2917" t="s">
        <v>27341</v>
      </c>
      <c r="Q2917" s="1">
        <v>44846</v>
      </c>
      <c r="R2917" t="s">
        <v>27253</v>
      </c>
      <c r="S2917" t="s">
        <v>27254</v>
      </c>
      <c r="T2917" t="s">
        <v>27265</v>
      </c>
    </row>
    <row r="2918" spans="1:20" x14ac:dyDescent="0.3">
      <c r="A2918" t="str">
        <f>"0611884136050"</f>
        <v>0611884136050</v>
      </c>
      <c r="B2918" t="str">
        <f>"CR5357"</f>
        <v>CR5357</v>
      </c>
      <c r="C2918" t="s">
        <v>32908</v>
      </c>
      <c r="D2918" t="s">
        <v>27271</v>
      </c>
      <c r="E2918" t="str">
        <f t="shared" si="45"/>
        <v>001390</v>
      </c>
      <c r="F2918" t="s">
        <v>27246</v>
      </c>
      <c r="G2918" t="s">
        <v>27247</v>
      </c>
      <c r="H2918" t="s">
        <v>27248</v>
      </c>
      <c r="I2918" t="s">
        <v>32909</v>
      </c>
      <c r="J2918" t="s">
        <v>5859</v>
      </c>
      <c r="L2918" t="s">
        <v>27430</v>
      </c>
      <c r="M2918" t="s">
        <v>27251</v>
      </c>
      <c r="N2918" t="s">
        <v>27252</v>
      </c>
      <c r="P2918" t="s">
        <v>27341</v>
      </c>
      <c r="Q2918" s="1">
        <v>45250</v>
      </c>
      <c r="R2918" t="s">
        <v>27253</v>
      </c>
      <c r="S2918" t="s">
        <v>27254</v>
      </c>
      <c r="T2918" t="s">
        <v>27265</v>
      </c>
    </row>
    <row r="2919" spans="1:20" x14ac:dyDescent="0.3">
      <c r="A2919" t="str">
        <f>"0611861311050"</f>
        <v>0611861311050</v>
      </c>
      <c r="B2919" t="str">
        <f>"CR5028"</f>
        <v>CR5028</v>
      </c>
      <c r="C2919" t="s">
        <v>32910</v>
      </c>
      <c r="D2919" t="s">
        <v>27271</v>
      </c>
      <c r="E2919" t="str">
        <f t="shared" si="45"/>
        <v>001390</v>
      </c>
      <c r="F2919" t="s">
        <v>27246</v>
      </c>
      <c r="G2919" t="s">
        <v>27247</v>
      </c>
      <c r="H2919" t="s">
        <v>27248</v>
      </c>
      <c r="I2919" t="s">
        <v>32911</v>
      </c>
      <c r="J2919" t="s">
        <v>5861</v>
      </c>
      <c r="L2919" t="s">
        <v>27250</v>
      </c>
      <c r="M2919" t="s">
        <v>27251</v>
      </c>
      <c r="N2919" t="s">
        <v>27252</v>
      </c>
      <c r="P2919" t="s">
        <v>27341</v>
      </c>
      <c r="Q2919" s="1">
        <v>44846</v>
      </c>
      <c r="R2919" t="s">
        <v>27253</v>
      </c>
      <c r="S2919" t="s">
        <v>27254</v>
      </c>
      <c r="T2919" t="s">
        <v>27265</v>
      </c>
    </row>
    <row r="2920" spans="1:20" x14ac:dyDescent="0.3">
      <c r="A2920" t="str">
        <f>"0611861408050"</f>
        <v>0611861408050</v>
      </c>
      <c r="B2920" t="str">
        <f>"CR4801"</f>
        <v>CR4801</v>
      </c>
      <c r="C2920" t="s">
        <v>32912</v>
      </c>
      <c r="D2920" t="s">
        <v>27271</v>
      </c>
      <c r="E2920" t="str">
        <f t="shared" si="45"/>
        <v>001390</v>
      </c>
      <c r="F2920" t="s">
        <v>27246</v>
      </c>
      <c r="G2920" t="s">
        <v>27247</v>
      </c>
      <c r="H2920" t="s">
        <v>27248</v>
      </c>
      <c r="I2920" t="s">
        <v>32913</v>
      </c>
      <c r="J2920" t="s">
        <v>5863</v>
      </c>
      <c r="L2920" t="s">
        <v>27250</v>
      </c>
      <c r="M2920" t="s">
        <v>27251</v>
      </c>
      <c r="N2920" t="s">
        <v>27252</v>
      </c>
      <c r="P2920" t="s">
        <v>27341</v>
      </c>
      <c r="Q2920" s="1">
        <v>44846</v>
      </c>
      <c r="R2920" t="s">
        <v>27253</v>
      </c>
      <c r="S2920" t="s">
        <v>27254</v>
      </c>
      <c r="T2920" t="s">
        <v>27265</v>
      </c>
    </row>
    <row r="2921" spans="1:20" x14ac:dyDescent="0.3">
      <c r="A2921" t="str">
        <f>"0611861418050"</f>
        <v>0611861418050</v>
      </c>
      <c r="B2921" t="str">
        <f>"CR5178"</f>
        <v>CR5178</v>
      </c>
      <c r="C2921" t="s">
        <v>32914</v>
      </c>
      <c r="D2921" t="s">
        <v>27271</v>
      </c>
      <c r="E2921" t="str">
        <f t="shared" si="45"/>
        <v>001390</v>
      </c>
      <c r="F2921" t="s">
        <v>27246</v>
      </c>
      <c r="G2921" t="s">
        <v>27247</v>
      </c>
      <c r="H2921" t="s">
        <v>27248</v>
      </c>
      <c r="I2921" t="s">
        <v>32915</v>
      </c>
      <c r="J2921" t="s">
        <v>5865</v>
      </c>
      <c r="L2921" t="s">
        <v>27250</v>
      </c>
      <c r="M2921" t="s">
        <v>27251</v>
      </c>
      <c r="N2921" t="s">
        <v>27252</v>
      </c>
      <c r="P2921" t="s">
        <v>27341</v>
      </c>
      <c r="Q2921" s="1">
        <v>44846</v>
      </c>
      <c r="R2921" t="s">
        <v>27253</v>
      </c>
      <c r="S2921" t="s">
        <v>27254</v>
      </c>
      <c r="T2921" t="s">
        <v>27265</v>
      </c>
    </row>
    <row r="2922" spans="1:20" x14ac:dyDescent="0.3">
      <c r="A2922" t="str">
        <f>"0611861297050"</f>
        <v>0611861297050</v>
      </c>
      <c r="B2922" t="str">
        <f>"CR5036"</f>
        <v>CR5036</v>
      </c>
      <c r="C2922" t="s">
        <v>32916</v>
      </c>
      <c r="D2922" t="s">
        <v>27271</v>
      </c>
      <c r="E2922" t="str">
        <f t="shared" si="45"/>
        <v>001390</v>
      </c>
      <c r="F2922" t="s">
        <v>27246</v>
      </c>
      <c r="G2922" t="s">
        <v>27247</v>
      </c>
      <c r="H2922" t="s">
        <v>27248</v>
      </c>
      <c r="I2922" t="s">
        <v>32917</v>
      </c>
      <c r="J2922" t="s">
        <v>5867</v>
      </c>
      <c r="L2922" t="s">
        <v>27250</v>
      </c>
      <c r="M2922" t="s">
        <v>27251</v>
      </c>
      <c r="N2922" t="s">
        <v>27252</v>
      </c>
      <c r="P2922" t="s">
        <v>27341</v>
      </c>
      <c r="Q2922" s="1">
        <v>44846</v>
      </c>
      <c r="R2922" t="s">
        <v>27253</v>
      </c>
      <c r="S2922" t="s">
        <v>27254</v>
      </c>
      <c r="T2922" t="s">
        <v>27265</v>
      </c>
    </row>
    <row r="2923" spans="1:20" x14ac:dyDescent="0.3">
      <c r="A2923" t="str">
        <f>"0611861419050"</f>
        <v>0611861419050</v>
      </c>
      <c r="B2923" t="str">
        <f>"CR4812"</f>
        <v>CR4812</v>
      </c>
      <c r="C2923" t="s">
        <v>32918</v>
      </c>
      <c r="D2923" t="s">
        <v>27271</v>
      </c>
      <c r="E2923" t="str">
        <f t="shared" si="45"/>
        <v>001390</v>
      </c>
      <c r="F2923" t="s">
        <v>27246</v>
      </c>
      <c r="G2923" t="s">
        <v>27247</v>
      </c>
      <c r="H2923" t="s">
        <v>27248</v>
      </c>
      <c r="I2923" t="s">
        <v>32919</v>
      </c>
      <c r="J2923" t="s">
        <v>5869</v>
      </c>
      <c r="L2923" t="s">
        <v>27250</v>
      </c>
      <c r="M2923" t="s">
        <v>27251</v>
      </c>
      <c r="N2923" t="s">
        <v>27252</v>
      </c>
      <c r="P2923" t="s">
        <v>27341</v>
      </c>
      <c r="Q2923" s="1">
        <v>44846</v>
      </c>
      <c r="R2923" t="s">
        <v>27253</v>
      </c>
      <c r="S2923" t="s">
        <v>27254</v>
      </c>
      <c r="T2923" t="s">
        <v>27265</v>
      </c>
    </row>
    <row r="2924" spans="1:20" x14ac:dyDescent="0.3">
      <c r="A2924" t="str">
        <f>"0611861420050"</f>
        <v>0611861420050</v>
      </c>
      <c r="B2924" t="str">
        <f>"CR4813"</f>
        <v>CR4813</v>
      </c>
      <c r="C2924" t="s">
        <v>32920</v>
      </c>
      <c r="D2924" t="s">
        <v>27271</v>
      </c>
      <c r="E2924" t="str">
        <f t="shared" si="45"/>
        <v>001390</v>
      </c>
      <c r="F2924" t="s">
        <v>27246</v>
      </c>
      <c r="G2924" t="s">
        <v>27247</v>
      </c>
      <c r="H2924" t="s">
        <v>27248</v>
      </c>
      <c r="I2924" t="s">
        <v>32921</v>
      </c>
      <c r="J2924" t="s">
        <v>5871</v>
      </c>
      <c r="L2924" t="s">
        <v>27250</v>
      </c>
      <c r="M2924" t="s">
        <v>27251</v>
      </c>
      <c r="N2924" t="s">
        <v>27252</v>
      </c>
      <c r="P2924" t="s">
        <v>27341</v>
      </c>
      <c r="Q2924" s="1">
        <v>44846</v>
      </c>
      <c r="R2924" t="s">
        <v>27253</v>
      </c>
      <c r="S2924" t="s">
        <v>27254</v>
      </c>
      <c r="T2924" t="s">
        <v>27265</v>
      </c>
    </row>
    <row r="2925" spans="1:20" x14ac:dyDescent="0.3">
      <c r="A2925" t="str">
        <f>"0611861421050"</f>
        <v>0611861421050</v>
      </c>
      <c r="B2925" t="str">
        <f>"CR5179"</f>
        <v>CR5179</v>
      </c>
      <c r="C2925" t="s">
        <v>32922</v>
      </c>
      <c r="D2925" t="s">
        <v>27271</v>
      </c>
      <c r="E2925" t="str">
        <f t="shared" si="45"/>
        <v>001390</v>
      </c>
      <c r="F2925" t="s">
        <v>27246</v>
      </c>
      <c r="G2925" t="s">
        <v>27247</v>
      </c>
      <c r="H2925" t="s">
        <v>27248</v>
      </c>
      <c r="I2925" t="s">
        <v>32923</v>
      </c>
      <c r="J2925" t="s">
        <v>5873</v>
      </c>
      <c r="L2925" t="s">
        <v>27250</v>
      </c>
      <c r="M2925" t="s">
        <v>27251</v>
      </c>
      <c r="N2925" t="s">
        <v>27252</v>
      </c>
      <c r="P2925" t="s">
        <v>27341</v>
      </c>
      <c r="Q2925" s="1">
        <v>44846</v>
      </c>
      <c r="R2925" t="s">
        <v>27253</v>
      </c>
      <c r="S2925" t="s">
        <v>27254</v>
      </c>
      <c r="T2925" t="s">
        <v>27265</v>
      </c>
    </row>
    <row r="2926" spans="1:20" x14ac:dyDescent="0.3">
      <c r="A2926" t="str">
        <f>"0611884137050"</f>
        <v>0611884137050</v>
      </c>
      <c r="B2926" t="str">
        <f>"CR5342"</f>
        <v>CR5342</v>
      </c>
      <c r="C2926" t="s">
        <v>32924</v>
      </c>
      <c r="D2926" t="s">
        <v>27271</v>
      </c>
      <c r="E2926" t="str">
        <f t="shared" si="45"/>
        <v>001390</v>
      </c>
      <c r="F2926" t="s">
        <v>27246</v>
      </c>
      <c r="G2926" t="s">
        <v>27247</v>
      </c>
      <c r="H2926" t="s">
        <v>27248</v>
      </c>
      <c r="I2926" t="s">
        <v>32925</v>
      </c>
      <c r="J2926" t="s">
        <v>5875</v>
      </c>
      <c r="L2926" t="s">
        <v>27430</v>
      </c>
      <c r="M2926" t="s">
        <v>27251</v>
      </c>
      <c r="N2926" t="s">
        <v>27252</v>
      </c>
      <c r="P2926" t="s">
        <v>27341</v>
      </c>
      <c r="Q2926" s="1">
        <v>45250</v>
      </c>
      <c r="R2926" t="s">
        <v>27253</v>
      </c>
      <c r="S2926" t="s">
        <v>27254</v>
      </c>
      <c r="T2926" t="s">
        <v>27265</v>
      </c>
    </row>
    <row r="2927" spans="1:20" x14ac:dyDescent="0.3">
      <c r="A2927" t="str">
        <f>"0611884138050"</f>
        <v>0611884138050</v>
      </c>
      <c r="B2927" t="str">
        <f>"CR5358"</f>
        <v>CR5358</v>
      </c>
      <c r="C2927" t="s">
        <v>32926</v>
      </c>
      <c r="D2927" t="s">
        <v>27271</v>
      </c>
      <c r="E2927" t="str">
        <f t="shared" si="45"/>
        <v>001390</v>
      </c>
      <c r="F2927" t="s">
        <v>27246</v>
      </c>
      <c r="G2927" t="s">
        <v>27247</v>
      </c>
      <c r="H2927" t="s">
        <v>27248</v>
      </c>
      <c r="I2927" t="s">
        <v>32927</v>
      </c>
      <c r="J2927" t="s">
        <v>5877</v>
      </c>
      <c r="L2927" t="s">
        <v>27430</v>
      </c>
      <c r="M2927" t="s">
        <v>27251</v>
      </c>
      <c r="N2927" t="s">
        <v>27252</v>
      </c>
      <c r="P2927" t="s">
        <v>27341</v>
      </c>
      <c r="Q2927" s="1">
        <v>45250</v>
      </c>
      <c r="R2927" t="s">
        <v>27253</v>
      </c>
      <c r="S2927" t="s">
        <v>27254</v>
      </c>
      <c r="T2927" t="s">
        <v>27265</v>
      </c>
    </row>
    <row r="2928" spans="1:20" x14ac:dyDescent="0.3">
      <c r="A2928" t="str">
        <f>"0611884139050"</f>
        <v>0611884139050</v>
      </c>
      <c r="B2928" t="str">
        <f>"CR5336"</f>
        <v>CR5336</v>
      </c>
      <c r="C2928" t="s">
        <v>32928</v>
      </c>
      <c r="D2928" t="s">
        <v>27271</v>
      </c>
      <c r="E2928" t="str">
        <f t="shared" si="45"/>
        <v>001390</v>
      </c>
      <c r="F2928" t="s">
        <v>27246</v>
      </c>
      <c r="G2928" t="s">
        <v>27247</v>
      </c>
      <c r="H2928" t="s">
        <v>27248</v>
      </c>
      <c r="I2928" t="s">
        <v>32929</v>
      </c>
      <c r="J2928" t="s">
        <v>5879</v>
      </c>
      <c r="L2928" t="s">
        <v>27430</v>
      </c>
      <c r="M2928" t="s">
        <v>27251</v>
      </c>
      <c r="N2928" t="s">
        <v>27252</v>
      </c>
      <c r="P2928" t="s">
        <v>27341</v>
      </c>
      <c r="Q2928" s="1">
        <v>45250</v>
      </c>
      <c r="R2928" t="s">
        <v>27253</v>
      </c>
      <c r="S2928" t="s">
        <v>27254</v>
      </c>
      <c r="T2928" t="s">
        <v>27265</v>
      </c>
    </row>
    <row r="2929" spans="1:20" x14ac:dyDescent="0.3">
      <c r="A2929" t="str">
        <f>"0611884141050"</f>
        <v>0611884141050</v>
      </c>
      <c r="B2929" t="str">
        <f>"CR5348"</f>
        <v>CR5348</v>
      </c>
      <c r="C2929" t="s">
        <v>32930</v>
      </c>
      <c r="D2929" t="s">
        <v>27271</v>
      </c>
      <c r="E2929" t="str">
        <f t="shared" si="45"/>
        <v>001390</v>
      </c>
      <c r="F2929" t="s">
        <v>27246</v>
      </c>
      <c r="G2929" t="s">
        <v>27247</v>
      </c>
      <c r="H2929" t="s">
        <v>27248</v>
      </c>
      <c r="I2929" t="s">
        <v>32931</v>
      </c>
      <c r="J2929" t="s">
        <v>5881</v>
      </c>
      <c r="L2929" t="s">
        <v>27430</v>
      </c>
      <c r="M2929" t="s">
        <v>27251</v>
      </c>
      <c r="N2929" t="s">
        <v>27252</v>
      </c>
      <c r="P2929" t="s">
        <v>27341</v>
      </c>
      <c r="Q2929" s="1">
        <v>45250</v>
      </c>
      <c r="R2929" t="s">
        <v>27253</v>
      </c>
      <c r="S2929" t="s">
        <v>27254</v>
      </c>
      <c r="T2929" t="s">
        <v>27265</v>
      </c>
    </row>
    <row r="2930" spans="1:20" x14ac:dyDescent="0.3">
      <c r="A2930" t="str">
        <f>"0611861267050"</f>
        <v>0611861267050</v>
      </c>
      <c r="B2930" t="str">
        <f>"CR2985"</f>
        <v>CR2985</v>
      </c>
      <c r="C2930" t="s">
        <v>32932</v>
      </c>
      <c r="D2930" t="s">
        <v>27271</v>
      </c>
      <c r="E2930" t="str">
        <f t="shared" si="45"/>
        <v>001390</v>
      </c>
      <c r="F2930" t="s">
        <v>27246</v>
      </c>
      <c r="G2930" t="s">
        <v>27247</v>
      </c>
      <c r="H2930" t="s">
        <v>27248</v>
      </c>
      <c r="I2930" t="s">
        <v>32933</v>
      </c>
      <c r="J2930" t="s">
        <v>5883</v>
      </c>
      <c r="L2930" t="s">
        <v>27250</v>
      </c>
      <c r="M2930" t="s">
        <v>27251</v>
      </c>
      <c r="N2930" t="s">
        <v>27252</v>
      </c>
      <c r="P2930" t="s">
        <v>27341</v>
      </c>
      <c r="Q2930" s="1">
        <v>44846</v>
      </c>
      <c r="R2930" t="s">
        <v>27253</v>
      </c>
      <c r="S2930" t="s">
        <v>27254</v>
      </c>
      <c r="T2930" t="s">
        <v>27265</v>
      </c>
    </row>
    <row r="2931" spans="1:20" x14ac:dyDescent="0.3">
      <c r="A2931" t="str">
        <f>"0611861301050"</f>
        <v>0611861301050</v>
      </c>
      <c r="B2931" t="str">
        <f>"CR3752"</f>
        <v>CR3752</v>
      </c>
      <c r="C2931" t="s">
        <v>32934</v>
      </c>
      <c r="D2931" t="s">
        <v>27271</v>
      </c>
      <c r="E2931" t="str">
        <f t="shared" si="45"/>
        <v>001390</v>
      </c>
      <c r="F2931" t="s">
        <v>27246</v>
      </c>
      <c r="G2931" t="s">
        <v>27247</v>
      </c>
      <c r="H2931" t="s">
        <v>27248</v>
      </c>
      <c r="I2931" t="s">
        <v>32935</v>
      </c>
      <c r="J2931" t="s">
        <v>5885</v>
      </c>
      <c r="L2931" t="s">
        <v>27250</v>
      </c>
      <c r="M2931" t="s">
        <v>27251</v>
      </c>
      <c r="N2931" t="s">
        <v>27252</v>
      </c>
      <c r="P2931" t="s">
        <v>27341</v>
      </c>
      <c r="Q2931" s="1">
        <v>44846</v>
      </c>
      <c r="R2931" t="s">
        <v>27253</v>
      </c>
      <c r="S2931" t="s">
        <v>27254</v>
      </c>
      <c r="T2931" t="s">
        <v>27265</v>
      </c>
    </row>
    <row r="2932" spans="1:20" x14ac:dyDescent="0.3">
      <c r="A2932" t="str">
        <f>"0611861370050"</f>
        <v>0611861370050</v>
      </c>
      <c r="B2932" t="str">
        <f>"CR3754"</f>
        <v>CR3754</v>
      </c>
      <c r="C2932" t="s">
        <v>32936</v>
      </c>
      <c r="D2932" t="s">
        <v>27271</v>
      </c>
      <c r="E2932" t="str">
        <f t="shared" si="45"/>
        <v>001390</v>
      </c>
      <c r="F2932" t="s">
        <v>27246</v>
      </c>
      <c r="G2932" t="s">
        <v>27247</v>
      </c>
      <c r="H2932" t="s">
        <v>27248</v>
      </c>
      <c r="I2932" t="s">
        <v>32937</v>
      </c>
      <c r="J2932" t="s">
        <v>5887</v>
      </c>
      <c r="L2932" t="s">
        <v>27250</v>
      </c>
      <c r="M2932" t="s">
        <v>27251</v>
      </c>
      <c r="N2932" t="s">
        <v>27252</v>
      </c>
      <c r="P2932" t="s">
        <v>27341</v>
      </c>
      <c r="Q2932" s="1">
        <v>44846</v>
      </c>
      <c r="R2932" t="s">
        <v>27253</v>
      </c>
      <c r="S2932" t="s">
        <v>27254</v>
      </c>
      <c r="T2932" t="s">
        <v>27265</v>
      </c>
    </row>
    <row r="2933" spans="1:20" x14ac:dyDescent="0.3">
      <c r="A2933" t="str">
        <f>"0611861388050"</f>
        <v>0611861388050</v>
      </c>
      <c r="B2933" t="str">
        <f>"CR2142"</f>
        <v>CR2142</v>
      </c>
      <c r="C2933" t="s">
        <v>32938</v>
      </c>
      <c r="D2933" t="s">
        <v>27271</v>
      </c>
      <c r="E2933" t="str">
        <f t="shared" si="45"/>
        <v>001390</v>
      </c>
      <c r="F2933" t="s">
        <v>27246</v>
      </c>
      <c r="G2933" t="s">
        <v>27247</v>
      </c>
      <c r="H2933" t="s">
        <v>27248</v>
      </c>
      <c r="I2933" t="s">
        <v>32939</v>
      </c>
      <c r="J2933" t="s">
        <v>5889</v>
      </c>
      <c r="L2933" t="s">
        <v>27250</v>
      </c>
      <c r="M2933" t="s">
        <v>27251</v>
      </c>
      <c r="N2933" t="s">
        <v>27252</v>
      </c>
      <c r="P2933" t="s">
        <v>27341</v>
      </c>
      <c r="Q2933" s="1">
        <v>44846</v>
      </c>
      <c r="R2933" t="s">
        <v>27253</v>
      </c>
      <c r="S2933" t="s">
        <v>27254</v>
      </c>
      <c r="T2933" t="s">
        <v>27265</v>
      </c>
    </row>
    <row r="2934" spans="1:20" x14ac:dyDescent="0.3">
      <c r="A2934" t="str">
        <f>"0611861393050"</f>
        <v>0611861393050</v>
      </c>
      <c r="B2934" t="str">
        <f>"CR2145"</f>
        <v>CR2145</v>
      </c>
      <c r="C2934" t="s">
        <v>32940</v>
      </c>
      <c r="D2934" t="s">
        <v>27271</v>
      </c>
      <c r="E2934" t="str">
        <f t="shared" si="45"/>
        <v>001390</v>
      </c>
      <c r="F2934" t="s">
        <v>27246</v>
      </c>
      <c r="G2934" t="s">
        <v>27247</v>
      </c>
      <c r="H2934" t="s">
        <v>27248</v>
      </c>
      <c r="I2934" t="s">
        <v>32941</v>
      </c>
      <c r="J2934" t="s">
        <v>5891</v>
      </c>
      <c r="L2934" t="s">
        <v>27250</v>
      </c>
      <c r="M2934" t="s">
        <v>27251</v>
      </c>
      <c r="N2934" t="s">
        <v>27252</v>
      </c>
      <c r="P2934" t="s">
        <v>27341</v>
      </c>
      <c r="Q2934" s="1">
        <v>44846</v>
      </c>
      <c r="R2934" t="s">
        <v>27253</v>
      </c>
      <c r="S2934" t="s">
        <v>27254</v>
      </c>
      <c r="T2934" t="s">
        <v>27265</v>
      </c>
    </row>
    <row r="2935" spans="1:20" x14ac:dyDescent="0.3">
      <c r="A2935" t="str">
        <f>"0611861395050"</f>
        <v>0611861395050</v>
      </c>
      <c r="B2935" t="str">
        <f>"CR3054"</f>
        <v>CR3054</v>
      </c>
      <c r="C2935" t="s">
        <v>32942</v>
      </c>
      <c r="D2935" t="s">
        <v>27271</v>
      </c>
      <c r="E2935" t="str">
        <f t="shared" si="45"/>
        <v>001390</v>
      </c>
      <c r="F2935" t="s">
        <v>27246</v>
      </c>
      <c r="G2935" t="s">
        <v>27247</v>
      </c>
      <c r="H2935" t="s">
        <v>27248</v>
      </c>
      <c r="I2935" t="s">
        <v>32943</v>
      </c>
      <c r="J2935" t="s">
        <v>5893</v>
      </c>
      <c r="L2935" t="s">
        <v>27250</v>
      </c>
      <c r="M2935" t="s">
        <v>27251</v>
      </c>
      <c r="N2935" t="s">
        <v>27252</v>
      </c>
      <c r="P2935" t="s">
        <v>27341</v>
      </c>
      <c r="Q2935" s="1">
        <v>44846</v>
      </c>
      <c r="R2935" t="s">
        <v>27253</v>
      </c>
      <c r="S2935" t="s">
        <v>27254</v>
      </c>
      <c r="T2935" t="s">
        <v>27265</v>
      </c>
    </row>
    <row r="2936" spans="1:20" x14ac:dyDescent="0.3">
      <c r="A2936" t="str">
        <f>"0611861397050"</f>
        <v>0611861397050</v>
      </c>
      <c r="B2936" t="str">
        <f>"CR3766"</f>
        <v>CR3766</v>
      </c>
      <c r="C2936" t="s">
        <v>32944</v>
      </c>
      <c r="D2936" t="s">
        <v>27271</v>
      </c>
      <c r="E2936" t="str">
        <f t="shared" si="45"/>
        <v>001390</v>
      </c>
      <c r="F2936" t="s">
        <v>27246</v>
      </c>
      <c r="G2936" t="s">
        <v>27247</v>
      </c>
      <c r="H2936" t="s">
        <v>27248</v>
      </c>
      <c r="I2936" t="s">
        <v>32945</v>
      </c>
      <c r="J2936" t="s">
        <v>5895</v>
      </c>
      <c r="L2936" t="s">
        <v>27250</v>
      </c>
      <c r="M2936" t="s">
        <v>27251</v>
      </c>
      <c r="N2936" t="s">
        <v>27252</v>
      </c>
      <c r="P2936" t="s">
        <v>27341</v>
      </c>
      <c r="Q2936" s="1">
        <v>44846</v>
      </c>
      <c r="R2936" t="s">
        <v>27253</v>
      </c>
      <c r="S2936" t="s">
        <v>27254</v>
      </c>
      <c r="T2936" t="s">
        <v>27265</v>
      </c>
    </row>
    <row r="2937" spans="1:20" x14ac:dyDescent="0.3">
      <c r="A2937" t="str">
        <f>"0611861413050"</f>
        <v>0611861413050</v>
      </c>
      <c r="B2937" t="str">
        <f>"CR4137"</f>
        <v>CR4137</v>
      </c>
      <c r="C2937" t="s">
        <v>32946</v>
      </c>
      <c r="D2937" t="s">
        <v>27271</v>
      </c>
      <c r="E2937" t="str">
        <f t="shared" si="45"/>
        <v>001390</v>
      </c>
      <c r="F2937" t="s">
        <v>27246</v>
      </c>
      <c r="G2937" t="s">
        <v>27247</v>
      </c>
      <c r="H2937" t="s">
        <v>27248</v>
      </c>
      <c r="I2937" t="s">
        <v>32947</v>
      </c>
      <c r="J2937" t="s">
        <v>5897</v>
      </c>
      <c r="L2937" t="s">
        <v>27250</v>
      </c>
      <c r="M2937" t="s">
        <v>27251</v>
      </c>
      <c r="N2937" t="s">
        <v>27252</v>
      </c>
      <c r="P2937" t="s">
        <v>27341</v>
      </c>
      <c r="Q2937" s="1">
        <v>44846</v>
      </c>
      <c r="R2937" t="s">
        <v>27253</v>
      </c>
      <c r="S2937" t="s">
        <v>27254</v>
      </c>
      <c r="T2937" t="s">
        <v>27265</v>
      </c>
    </row>
    <row r="2938" spans="1:20" x14ac:dyDescent="0.3">
      <c r="A2938" t="str">
        <f>"0611861360050"</f>
        <v>0611861360050</v>
      </c>
      <c r="B2938" t="str">
        <f>"CR4125"</f>
        <v>CR4125</v>
      </c>
      <c r="C2938" t="s">
        <v>32948</v>
      </c>
      <c r="D2938" t="s">
        <v>27271</v>
      </c>
      <c r="E2938" t="str">
        <f t="shared" si="45"/>
        <v>001390</v>
      </c>
      <c r="F2938" t="s">
        <v>27246</v>
      </c>
      <c r="G2938" t="s">
        <v>27247</v>
      </c>
      <c r="H2938" t="s">
        <v>27248</v>
      </c>
      <c r="I2938" t="s">
        <v>32949</v>
      </c>
      <c r="J2938" t="s">
        <v>5899</v>
      </c>
      <c r="L2938" t="s">
        <v>27250</v>
      </c>
      <c r="M2938" t="s">
        <v>27251</v>
      </c>
      <c r="N2938" t="s">
        <v>27252</v>
      </c>
      <c r="P2938" t="s">
        <v>27341</v>
      </c>
      <c r="Q2938" s="1">
        <v>44846</v>
      </c>
      <c r="R2938" t="s">
        <v>27253</v>
      </c>
      <c r="S2938" t="s">
        <v>27254</v>
      </c>
      <c r="T2938" t="s">
        <v>27265</v>
      </c>
    </row>
    <row r="2939" spans="1:20" x14ac:dyDescent="0.3">
      <c r="A2939" t="str">
        <f>"0611861272050"</f>
        <v>0611861272050</v>
      </c>
      <c r="B2939" t="str">
        <f>"CR3875"</f>
        <v>CR3875</v>
      </c>
      <c r="C2939" t="s">
        <v>32950</v>
      </c>
      <c r="D2939" t="s">
        <v>27271</v>
      </c>
      <c r="E2939" t="str">
        <f t="shared" si="45"/>
        <v>001390</v>
      </c>
      <c r="F2939" t="s">
        <v>27246</v>
      </c>
      <c r="G2939" t="s">
        <v>27247</v>
      </c>
      <c r="H2939" t="s">
        <v>27248</v>
      </c>
      <c r="I2939" t="s">
        <v>32951</v>
      </c>
      <c r="J2939" t="s">
        <v>5907</v>
      </c>
      <c r="L2939" t="s">
        <v>27250</v>
      </c>
      <c r="M2939" t="s">
        <v>27251</v>
      </c>
      <c r="N2939" t="s">
        <v>27252</v>
      </c>
      <c r="P2939" t="s">
        <v>27341</v>
      </c>
      <c r="Q2939" s="1">
        <v>44846</v>
      </c>
      <c r="R2939" t="s">
        <v>27253</v>
      </c>
      <c r="S2939" t="s">
        <v>27254</v>
      </c>
      <c r="T2939" t="s">
        <v>27265</v>
      </c>
    </row>
    <row r="2940" spans="1:20" x14ac:dyDescent="0.3">
      <c r="A2940" t="str">
        <f>"0611861273050"</f>
        <v>0611861273050</v>
      </c>
      <c r="B2940" t="str">
        <f>"CR5176"</f>
        <v>CR5176</v>
      </c>
      <c r="C2940" t="s">
        <v>32952</v>
      </c>
      <c r="D2940" t="s">
        <v>27271</v>
      </c>
      <c r="E2940" t="str">
        <f t="shared" si="45"/>
        <v>001390</v>
      </c>
      <c r="F2940" t="s">
        <v>27246</v>
      </c>
      <c r="G2940" t="s">
        <v>27247</v>
      </c>
      <c r="H2940" t="s">
        <v>27248</v>
      </c>
      <c r="I2940" t="s">
        <v>32953</v>
      </c>
      <c r="J2940" t="s">
        <v>5909</v>
      </c>
      <c r="L2940" t="s">
        <v>27250</v>
      </c>
      <c r="M2940" t="s">
        <v>27251</v>
      </c>
      <c r="N2940" t="s">
        <v>27252</v>
      </c>
      <c r="P2940" t="s">
        <v>27341</v>
      </c>
      <c r="Q2940" s="1">
        <v>44846</v>
      </c>
      <c r="R2940" t="s">
        <v>27253</v>
      </c>
      <c r="S2940" t="s">
        <v>27254</v>
      </c>
      <c r="T2940" t="s">
        <v>27265</v>
      </c>
    </row>
    <row r="2941" spans="1:20" x14ac:dyDescent="0.3">
      <c r="A2941" t="str">
        <f>"0611861270050"</f>
        <v>0611861270050</v>
      </c>
      <c r="B2941" t="str">
        <f>"CR3419"</f>
        <v>CR3419</v>
      </c>
      <c r="C2941" t="s">
        <v>32954</v>
      </c>
      <c r="D2941" t="s">
        <v>27271</v>
      </c>
      <c r="E2941" t="str">
        <f t="shared" si="45"/>
        <v>001390</v>
      </c>
      <c r="F2941" t="s">
        <v>27246</v>
      </c>
      <c r="G2941" t="s">
        <v>27247</v>
      </c>
      <c r="H2941" t="s">
        <v>27248</v>
      </c>
      <c r="I2941" t="s">
        <v>32955</v>
      </c>
      <c r="J2941" t="s">
        <v>5903</v>
      </c>
      <c r="L2941" t="s">
        <v>27250</v>
      </c>
      <c r="M2941" t="s">
        <v>27251</v>
      </c>
      <c r="N2941" t="s">
        <v>27252</v>
      </c>
      <c r="P2941" t="s">
        <v>27341</v>
      </c>
      <c r="Q2941" s="1">
        <v>44846</v>
      </c>
      <c r="R2941" t="s">
        <v>27253</v>
      </c>
      <c r="S2941" t="s">
        <v>27254</v>
      </c>
      <c r="T2941" t="s">
        <v>27265</v>
      </c>
    </row>
    <row r="2942" spans="1:20" x14ac:dyDescent="0.3">
      <c r="A2942" t="str">
        <f>"0611861271050"</f>
        <v>0611861271050</v>
      </c>
      <c r="B2942" t="str">
        <f>"CR3181"</f>
        <v>CR3181</v>
      </c>
      <c r="C2942" t="s">
        <v>32956</v>
      </c>
      <c r="D2942" t="s">
        <v>27271</v>
      </c>
      <c r="E2942" t="str">
        <f t="shared" si="45"/>
        <v>001390</v>
      </c>
      <c r="F2942" t="s">
        <v>27246</v>
      </c>
      <c r="G2942" t="s">
        <v>27247</v>
      </c>
      <c r="H2942" t="s">
        <v>27248</v>
      </c>
      <c r="I2942" t="s">
        <v>32957</v>
      </c>
      <c r="J2942" t="s">
        <v>5905</v>
      </c>
      <c r="L2942" t="s">
        <v>27250</v>
      </c>
      <c r="M2942" t="s">
        <v>27251</v>
      </c>
      <c r="N2942" t="s">
        <v>27252</v>
      </c>
      <c r="P2942" t="s">
        <v>27341</v>
      </c>
      <c r="Q2942" s="1">
        <v>44846</v>
      </c>
      <c r="R2942" t="s">
        <v>27253</v>
      </c>
      <c r="S2942" t="s">
        <v>27254</v>
      </c>
      <c r="T2942" t="s">
        <v>27265</v>
      </c>
    </row>
    <row r="2943" spans="1:20" x14ac:dyDescent="0.3">
      <c r="A2943" t="str">
        <f>"0611861269050"</f>
        <v>0611861269050</v>
      </c>
      <c r="B2943" t="str">
        <f>"CR5175"</f>
        <v>CR5175</v>
      </c>
      <c r="C2943" t="s">
        <v>32958</v>
      </c>
      <c r="D2943" t="s">
        <v>27271</v>
      </c>
      <c r="E2943" t="str">
        <f t="shared" si="45"/>
        <v>001390</v>
      </c>
      <c r="F2943" t="s">
        <v>27246</v>
      </c>
      <c r="G2943" t="s">
        <v>27247</v>
      </c>
      <c r="H2943" t="s">
        <v>27248</v>
      </c>
      <c r="I2943" t="s">
        <v>32959</v>
      </c>
      <c r="J2943" t="s">
        <v>5901</v>
      </c>
      <c r="L2943" t="s">
        <v>27250</v>
      </c>
      <c r="M2943" t="s">
        <v>27251</v>
      </c>
      <c r="N2943" t="s">
        <v>27252</v>
      </c>
      <c r="P2943" t="s">
        <v>27341</v>
      </c>
      <c r="Q2943" s="1">
        <v>44846</v>
      </c>
      <c r="R2943" t="s">
        <v>27253</v>
      </c>
      <c r="S2943" t="s">
        <v>27254</v>
      </c>
      <c r="T2943" t="s">
        <v>27265</v>
      </c>
    </row>
    <row r="2944" spans="1:20" x14ac:dyDescent="0.3">
      <c r="A2944" t="str">
        <f>"0611861274050"</f>
        <v>0611861274050</v>
      </c>
      <c r="B2944" t="str">
        <f>"CR4131"</f>
        <v>CR4131</v>
      </c>
      <c r="C2944" t="s">
        <v>32960</v>
      </c>
      <c r="D2944" t="s">
        <v>27271</v>
      </c>
      <c r="E2944" t="str">
        <f t="shared" si="45"/>
        <v>001390</v>
      </c>
      <c r="F2944" t="s">
        <v>27246</v>
      </c>
      <c r="G2944" t="s">
        <v>27247</v>
      </c>
      <c r="H2944" t="s">
        <v>27248</v>
      </c>
      <c r="I2944" t="s">
        <v>32961</v>
      </c>
      <c r="J2944" t="s">
        <v>5911</v>
      </c>
      <c r="L2944" t="s">
        <v>27250</v>
      </c>
      <c r="M2944" t="s">
        <v>27251</v>
      </c>
      <c r="N2944" t="s">
        <v>27252</v>
      </c>
      <c r="P2944" t="s">
        <v>27341</v>
      </c>
      <c r="Q2944" s="1">
        <v>44846</v>
      </c>
      <c r="R2944" t="s">
        <v>27253</v>
      </c>
      <c r="S2944" t="s">
        <v>27254</v>
      </c>
      <c r="T2944" t="s">
        <v>27265</v>
      </c>
    </row>
    <row r="2945" spans="1:20" x14ac:dyDescent="0.3">
      <c r="A2945" t="str">
        <f>"0611861298050"</f>
        <v>0611861298050</v>
      </c>
      <c r="B2945" t="str">
        <f>"CR2125"</f>
        <v>CR2125</v>
      </c>
      <c r="C2945" t="s">
        <v>32962</v>
      </c>
      <c r="D2945" t="s">
        <v>27271</v>
      </c>
      <c r="E2945" t="str">
        <f t="shared" si="45"/>
        <v>001390</v>
      </c>
      <c r="F2945" t="s">
        <v>27246</v>
      </c>
      <c r="G2945" t="s">
        <v>27247</v>
      </c>
      <c r="H2945" t="s">
        <v>27248</v>
      </c>
      <c r="I2945" t="s">
        <v>32963</v>
      </c>
      <c r="J2945" t="s">
        <v>5913</v>
      </c>
      <c r="L2945" t="s">
        <v>27250</v>
      </c>
      <c r="M2945" t="s">
        <v>27251</v>
      </c>
      <c r="N2945" t="s">
        <v>27252</v>
      </c>
      <c r="P2945" t="s">
        <v>27341</v>
      </c>
      <c r="Q2945" s="1">
        <v>44846</v>
      </c>
      <c r="R2945" t="s">
        <v>27253</v>
      </c>
      <c r="S2945" t="s">
        <v>27254</v>
      </c>
      <c r="T2945" t="s">
        <v>27265</v>
      </c>
    </row>
    <row r="2946" spans="1:20" x14ac:dyDescent="0.3">
      <c r="A2946" t="str">
        <f>"0611861300050"</f>
        <v>0611861300050</v>
      </c>
      <c r="B2946" t="str">
        <f>"CR3868"</f>
        <v>CR3868</v>
      </c>
      <c r="C2946" t="s">
        <v>32964</v>
      </c>
      <c r="D2946" t="s">
        <v>27271</v>
      </c>
      <c r="E2946" t="str">
        <f t="shared" ref="E2946:E3009" si="46">"001390"</f>
        <v>001390</v>
      </c>
      <c r="F2946" t="s">
        <v>27246</v>
      </c>
      <c r="G2946" t="s">
        <v>27247</v>
      </c>
      <c r="H2946" t="s">
        <v>27248</v>
      </c>
      <c r="I2946" t="s">
        <v>32965</v>
      </c>
      <c r="J2946" t="s">
        <v>5915</v>
      </c>
      <c r="L2946" t="s">
        <v>27250</v>
      </c>
      <c r="M2946" t="s">
        <v>27251</v>
      </c>
      <c r="N2946" t="s">
        <v>27252</v>
      </c>
      <c r="P2946" t="s">
        <v>27341</v>
      </c>
      <c r="Q2946" s="1">
        <v>44846</v>
      </c>
      <c r="R2946" t="s">
        <v>27253</v>
      </c>
      <c r="S2946" t="s">
        <v>27254</v>
      </c>
      <c r="T2946" t="s">
        <v>27265</v>
      </c>
    </row>
    <row r="2947" spans="1:20" x14ac:dyDescent="0.3">
      <c r="A2947" t="str">
        <f>"0611861318050"</f>
        <v>0611861318050</v>
      </c>
      <c r="B2947" t="str">
        <f>"CR3178"</f>
        <v>CR3178</v>
      </c>
      <c r="C2947" t="s">
        <v>32966</v>
      </c>
      <c r="D2947" t="s">
        <v>27271</v>
      </c>
      <c r="E2947" t="str">
        <f t="shared" si="46"/>
        <v>001390</v>
      </c>
      <c r="F2947" t="s">
        <v>27246</v>
      </c>
      <c r="G2947" t="s">
        <v>27247</v>
      </c>
      <c r="H2947" t="s">
        <v>27248</v>
      </c>
      <c r="I2947" t="s">
        <v>32967</v>
      </c>
      <c r="J2947" t="s">
        <v>5917</v>
      </c>
      <c r="L2947" t="s">
        <v>27250</v>
      </c>
      <c r="M2947" t="s">
        <v>27251</v>
      </c>
      <c r="N2947" t="s">
        <v>27252</v>
      </c>
      <c r="P2947" t="s">
        <v>27341</v>
      </c>
      <c r="Q2947" s="1">
        <v>44846</v>
      </c>
      <c r="R2947" t="s">
        <v>27253</v>
      </c>
      <c r="S2947" t="s">
        <v>27254</v>
      </c>
      <c r="T2947" t="s">
        <v>27265</v>
      </c>
    </row>
    <row r="2948" spans="1:20" x14ac:dyDescent="0.3">
      <c r="A2948" t="str">
        <f>"0611861322050"</f>
        <v>0611861322050</v>
      </c>
      <c r="B2948" t="str">
        <f>"CR4130"</f>
        <v>CR4130</v>
      </c>
      <c r="C2948" t="s">
        <v>32968</v>
      </c>
      <c r="D2948" t="s">
        <v>27271</v>
      </c>
      <c r="E2948" t="str">
        <f t="shared" si="46"/>
        <v>001390</v>
      </c>
      <c r="F2948" t="s">
        <v>27246</v>
      </c>
      <c r="G2948" t="s">
        <v>27247</v>
      </c>
      <c r="H2948" t="s">
        <v>27248</v>
      </c>
      <c r="I2948" t="s">
        <v>32969</v>
      </c>
      <c r="J2948" t="s">
        <v>5919</v>
      </c>
      <c r="L2948" t="s">
        <v>27250</v>
      </c>
      <c r="M2948" t="s">
        <v>27251</v>
      </c>
      <c r="N2948" t="s">
        <v>27252</v>
      </c>
      <c r="P2948" t="s">
        <v>27341</v>
      </c>
      <c r="Q2948" s="1">
        <v>44846</v>
      </c>
      <c r="R2948" t="s">
        <v>27253</v>
      </c>
      <c r="S2948" t="s">
        <v>27254</v>
      </c>
      <c r="T2948" t="s">
        <v>27265</v>
      </c>
    </row>
    <row r="2949" spans="1:20" x14ac:dyDescent="0.3">
      <c r="A2949" t="str">
        <f>"0611861333050"</f>
        <v>0611861333050</v>
      </c>
      <c r="B2949" t="str">
        <f>"CR3867"</f>
        <v>CR3867</v>
      </c>
      <c r="C2949" t="s">
        <v>32970</v>
      </c>
      <c r="D2949" t="s">
        <v>27271</v>
      </c>
      <c r="E2949" t="str">
        <f t="shared" si="46"/>
        <v>001390</v>
      </c>
      <c r="F2949" t="s">
        <v>27246</v>
      </c>
      <c r="G2949" t="s">
        <v>27247</v>
      </c>
      <c r="H2949" t="s">
        <v>27248</v>
      </c>
      <c r="I2949" t="s">
        <v>32971</v>
      </c>
      <c r="J2949" t="s">
        <v>5923</v>
      </c>
      <c r="L2949" t="s">
        <v>27250</v>
      </c>
      <c r="M2949" t="s">
        <v>27251</v>
      </c>
      <c r="N2949" t="s">
        <v>27252</v>
      </c>
      <c r="P2949" t="s">
        <v>27341</v>
      </c>
      <c r="Q2949" s="1">
        <v>44846</v>
      </c>
      <c r="R2949" t="s">
        <v>27253</v>
      </c>
      <c r="S2949" t="s">
        <v>27254</v>
      </c>
      <c r="T2949" t="s">
        <v>27265</v>
      </c>
    </row>
    <row r="2950" spans="1:20" x14ac:dyDescent="0.3">
      <c r="A2950" t="str">
        <f>"0611861349050"</f>
        <v>0611861349050</v>
      </c>
      <c r="B2950" t="str">
        <f>"CR3051"</f>
        <v>CR3051</v>
      </c>
      <c r="C2950" t="s">
        <v>32972</v>
      </c>
      <c r="D2950" t="s">
        <v>27271</v>
      </c>
      <c r="E2950" t="str">
        <f t="shared" si="46"/>
        <v>001390</v>
      </c>
      <c r="F2950" t="s">
        <v>27246</v>
      </c>
      <c r="G2950" t="s">
        <v>27247</v>
      </c>
      <c r="H2950" t="s">
        <v>27248</v>
      </c>
      <c r="I2950" t="s">
        <v>32973</v>
      </c>
      <c r="J2950" t="s">
        <v>5927</v>
      </c>
      <c r="L2950" t="s">
        <v>27250</v>
      </c>
      <c r="M2950" t="s">
        <v>27251</v>
      </c>
      <c r="N2950" t="s">
        <v>27252</v>
      </c>
      <c r="P2950" t="s">
        <v>27341</v>
      </c>
      <c r="Q2950" s="1">
        <v>44846</v>
      </c>
      <c r="R2950" t="s">
        <v>27253</v>
      </c>
      <c r="S2950" t="s">
        <v>27254</v>
      </c>
      <c r="T2950" t="s">
        <v>27265</v>
      </c>
    </row>
    <row r="2951" spans="1:20" x14ac:dyDescent="0.3">
      <c r="A2951" t="str">
        <f>"0611861351050"</f>
        <v>0611861351050</v>
      </c>
      <c r="B2951" t="str">
        <f>"CR3930"</f>
        <v>CR3930</v>
      </c>
      <c r="C2951" t="s">
        <v>32974</v>
      </c>
      <c r="D2951" t="s">
        <v>27271</v>
      </c>
      <c r="E2951" t="str">
        <f t="shared" si="46"/>
        <v>001390</v>
      </c>
      <c r="F2951" t="s">
        <v>27246</v>
      </c>
      <c r="G2951" t="s">
        <v>27247</v>
      </c>
      <c r="H2951" t="s">
        <v>27248</v>
      </c>
      <c r="I2951" t="s">
        <v>32975</v>
      </c>
      <c r="J2951" t="s">
        <v>5929</v>
      </c>
      <c r="L2951" t="s">
        <v>27250</v>
      </c>
      <c r="M2951" t="s">
        <v>27251</v>
      </c>
      <c r="N2951" t="s">
        <v>27252</v>
      </c>
      <c r="P2951" t="s">
        <v>27341</v>
      </c>
      <c r="Q2951" s="1">
        <v>44846</v>
      </c>
      <c r="R2951" t="s">
        <v>27253</v>
      </c>
      <c r="S2951" t="s">
        <v>27254</v>
      </c>
      <c r="T2951" t="s">
        <v>27265</v>
      </c>
    </row>
    <row r="2952" spans="1:20" x14ac:dyDescent="0.3">
      <c r="A2952" t="str">
        <f>"0611861354050"</f>
        <v>0611861354050</v>
      </c>
      <c r="B2952" t="str">
        <f>"CR5062"</f>
        <v>CR5062</v>
      </c>
      <c r="C2952" t="s">
        <v>32976</v>
      </c>
      <c r="D2952" t="s">
        <v>27271</v>
      </c>
      <c r="E2952" t="str">
        <f t="shared" si="46"/>
        <v>001390</v>
      </c>
      <c r="F2952" t="s">
        <v>27246</v>
      </c>
      <c r="G2952" t="s">
        <v>27247</v>
      </c>
      <c r="H2952" t="s">
        <v>27248</v>
      </c>
      <c r="I2952" t="s">
        <v>32977</v>
      </c>
      <c r="J2952" t="s">
        <v>5931</v>
      </c>
      <c r="L2952" t="s">
        <v>27250</v>
      </c>
      <c r="M2952" t="s">
        <v>27251</v>
      </c>
      <c r="N2952" t="s">
        <v>27252</v>
      </c>
      <c r="P2952" t="s">
        <v>27341</v>
      </c>
      <c r="Q2952" s="1">
        <v>44846</v>
      </c>
      <c r="R2952" t="s">
        <v>27253</v>
      </c>
      <c r="S2952" t="s">
        <v>27254</v>
      </c>
      <c r="T2952" t="s">
        <v>27265</v>
      </c>
    </row>
    <row r="2953" spans="1:20" x14ac:dyDescent="0.3">
      <c r="A2953" t="str">
        <f>"0611861356050"</f>
        <v>0611861356050</v>
      </c>
      <c r="B2953" t="str">
        <f>"CR3874"</f>
        <v>CR3874</v>
      </c>
      <c r="C2953" t="s">
        <v>32978</v>
      </c>
      <c r="D2953" t="s">
        <v>27271</v>
      </c>
      <c r="E2953" t="str">
        <f t="shared" si="46"/>
        <v>001390</v>
      </c>
      <c r="F2953" t="s">
        <v>27246</v>
      </c>
      <c r="G2953" t="s">
        <v>27247</v>
      </c>
      <c r="H2953" t="s">
        <v>27248</v>
      </c>
      <c r="I2953" t="s">
        <v>32979</v>
      </c>
      <c r="J2953" t="s">
        <v>5933</v>
      </c>
      <c r="L2953" t="s">
        <v>27250</v>
      </c>
      <c r="M2953" t="s">
        <v>27251</v>
      </c>
      <c r="N2953" t="s">
        <v>27252</v>
      </c>
      <c r="P2953" t="s">
        <v>27341</v>
      </c>
      <c r="Q2953" s="1">
        <v>44846</v>
      </c>
      <c r="R2953" t="s">
        <v>27253</v>
      </c>
      <c r="S2953" t="s">
        <v>27254</v>
      </c>
      <c r="T2953" t="s">
        <v>27265</v>
      </c>
    </row>
    <row r="2954" spans="1:20" x14ac:dyDescent="0.3">
      <c r="A2954" t="str">
        <f>"0611861357050"</f>
        <v>0611861357050</v>
      </c>
      <c r="B2954" t="str">
        <f>"CR5177"</f>
        <v>CR5177</v>
      </c>
      <c r="C2954" t="s">
        <v>32980</v>
      </c>
      <c r="D2954" t="s">
        <v>27271</v>
      </c>
      <c r="E2954" t="str">
        <f t="shared" si="46"/>
        <v>001390</v>
      </c>
      <c r="F2954" t="s">
        <v>27246</v>
      </c>
      <c r="G2954" t="s">
        <v>27247</v>
      </c>
      <c r="H2954" t="s">
        <v>27248</v>
      </c>
      <c r="I2954" t="s">
        <v>32981</v>
      </c>
      <c r="J2954" t="s">
        <v>5935</v>
      </c>
      <c r="L2954" t="s">
        <v>27250</v>
      </c>
      <c r="M2954" t="s">
        <v>27251</v>
      </c>
      <c r="N2954" t="s">
        <v>27252</v>
      </c>
      <c r="P2954" t="s">
        <v>27341</v>
      </c>
      <c r="Q2954" s="1">
        <v>44846</v>
      </c>
      <c r="R2954" t="s">
        <v>27253</v>
      </c>
      <c r="S2954" t="s">
        <v>27254</v>
      </c>
      <c r="T2954" t="s">
        <v>27265</v>
      </c>
    </row>
    <row r="2955" spans="1:20" x14ac:dyDescent="0.3">
      <c r="A2955" t="str">
        <f>"0611861359050"</f>
        <v>0611861359050</v>
      </c>
      <c r="B2955" t="str">
        <f>"CR3052"</f>
        <v>CR3052</v>
      </c>
      <c r="C2955" t="s">
        <v>32982</v>
      </c>
      <c r="D2955" t="s">
        <v>27271</v>
      </c>
      <c r="E2955" t="str">
        <f t="shared" si="46"/>
        <v>001390</v>
      </c>
      <c r="F2955" t="s">
        <v>27246</v>
      </c>
      <c r="G2955" t="s">
        <v>27247</v>
      </c>
      <c r="H2955" t="s">
        <v>27248</v>
      </c>
      <c r="I2955" t="s">
        <v>32983</v>
      </c>
      <c r="J2955" t="s">
        <v>5937</v>
      </c>
      <c r="L2955" t="s">
        <v>27250</v>
      </c>
      <c r="M2955" t="s">
        <v>27251</v>
      </c>
      <c r="N2955" t="s">
        <v>27252</v>
      </c>
      <c r="P2955" t="s">
        <v>27341</v>
      </c>
      <c r="Q2955" s="1">
        <v>44846</v>
      </c>
      <c r="R2955" t="s">
        <v>27253</v>
      </c>
      <c r="S2955" t="s">
        <v>27254</v>
      </c>
      <c r="T2955" t="s">
        <v>27265</v>
      </c>
    </row>
    <row r="2956" spans="1:20" x14ac:dyDescent="0.3">
      <c r="A2956" t="str">
        <f>"0611861362050"</f>
        <v>0611861362050</v>
      </c>
      <c r="B2956" t="str">
        <f>"CR4135"</f>
        <v>CR4135</v>
      </c>
      <c r="C2956" t="s">
        <v>32984</v>
      </c>
      <c r="D2956" t="s">
        <v>27271</v>
      </c>
      <c r="E2956" t="str">
        <f t="shared" si="46"/>
        <v>001390</v>
      </c>
      <c r="F2956" t="s">
        <v>27246</v>
      </c>
      <c r="G2956" t="s">
        <v>27247</v>
      </c>
      <c r="H2956" t="s">
        <v>27248</v>
      </c>
      <c r="I2956" t="s">
        <v>32985</v>
      </c>
      <c r="J2956" t="s">
        <v>5939</v>
      </c>
      <c r="L2956" t="s">
        <v>27250</v>
      </c>
      <c r="M2956" t="s">
        <v>27251</v>
      </c>
      <c r="N2956" t="s">
        <v>27252</v>
      </c>
      <c r="P2956" t="s">
        <v>27341</v>
      </c>
      <c r="Q2956" s="1">
        <v>44846</v>
      </c>
      <c r="R2956" t="s">
        <v>27253</v>
      </c>
      <c r="S2956" t="s">
        <v>27254</v>
      </c>
      <c r="T2956" t="s">
        <v>27265</v>
      </c>
    </row>
    <row r="2957" spans="1:20" x14ac:dyDescent="0.3">
      <c r="A2957" t="str">
        <f>"0611861363050"</f>
        <v>0611861363050</v>
      </c>
      <c r="B2957" t="str">
        <f>"CR3412"</f>
        <v>CR3412</v>
      </c>
      <c r="C2957" t="s">
        <v>32986</v>
      </c>
      <c r="D2957" t="s">
        <v>27271</v>
      </c>
      <c r="E2957" t="str">
        <f t="shared" si="46"/>
        <v>001390</v>
      </c>
      <c r="F2957" t="s">
        <v>27246</v>
      </c>
      <c r="G2957" t="s">
        <v>27247</v>
      </c>
      <c r="H2957" t="s">
        <v>27248</v>
      </c>
      <c r="I2957" t="s">
        <v>32987</v>
      </c>
      <c r="J2957" t="s">
        <v>5941</v>
      </c>
      <c r="L2957" t="s">
        <v>27250</v>
      </c>
      <c r="M2957" t="s">
        <v>27251</v>
      </c>
      <c r="N2957" t="s">
        <v>27252</v>
      </c>
      <c r="P2957" t="s">
        <v>27341</v>
      </c>
      <c r="Q2957" s="1">
        <v>44846</v>
      </c>
      <c r="R2957" t="s">
        <v>27253</v>
      </c>
      <c r="S2957" t="s">
        <v>27254</v>
      </c>
      <c r="T2957" t="s">
        <v>27265</v>
      </c>
    </row>
    <row r="2958" spans="1:20" x14ac:dyDescent="0.3">
      <c r="A2958" t="str">
        <f>"0611861367050"</f>
        <v>0611861367050</v>
      </c>
      <c r="B2958" t="str">
        <f>"CR3053"</f>
        <v>CR3053</v>
      </c>
      <c r="C2958" t="s">
        <v>32988</v>
      </c>
      <c r="D2958" t="s">
        <v>27271</v>
      </c>
      <c r="E2958" t="str">
        <f t="shared" si="46"/>
        <v>001390</v>
      </c>
      <c r="F2958" t="s">
        <v>27246</v>
      </c>
      <c r="G2958" t="s">
        <v>27247</v>
      </c>
      <c r="H2958" t="s">
        <v>27248</v>
      </c>
      <c r="I2958" t="s">
        <v>32989</v>
      </c>
      <c r="J2958" t="s">
        <v>5943</v>
      </c>
      <c r="L2958" t="s">
        <v>27250</v>
      </c>
      <c r="M2958" t="s">
        <v>27251</v>
      </c>
      <c r="N2958" t="s">
        <v>27252</v>
      </c>
      <c r="P2958" t="s">
        <v>27341</v>
      </c>
      <c r="Q2958" s="1">
        <v>44846</v>
      </c>
      <c r="R2958" t="s">
        <v>27253</v>
      </c>
      <c r="S2958" t="s">
        <v>27254</v>
      </c>
      <c r="T2958" t="s">
        <v>27265</v>
      </c>
    </row>
    <row r="2959" spans="1:20" x14ac:dyDescent="0.3">
      <c r="A2959" t="str">
        <f>"0611861368050"</f>
        <v>0611861368050</v>
      </c>
      <c r="B2959" t="str">
        <f>"CR3043"</f>
        <v>CR3043</v>
      </c>
      <c r="C2959" t="s">
        <v>32990</v>
      </c>
      <c r="D2959" t="s">
        <v>27271</v>
      </c>
      <c r="E2959" t="str">
        <f t="shared" si="46"/>
        <v>001390</v>
      </c>
      <c r="F2959" t="s">
        <v>27246</v>
      </c>
      <c r="G2959" t="s">
        <v>27247</v>
      </c>
      <c r="H2959" t="s">
        <v>27248</v>
      </c>
      <c r="I2959" t="s">
        <v>32991</v>
      </c>
      <c r="J2959" t="s">
        <v>5945</v>
      </c>
      <c r="L2959" t="s">
        <v>27250</v>
      </c>
      <c r="M2959" t="s">
        <v>27251</v>
      </c>
      <c r="N2959" t="s">
        <v>27252</v>
      </c>
      <c r="P2959" t="s">
        <v>27341</v>
      </c>
      <c r="Q2959" s="1">
        <v>44846</v>
      </c>
      <c r="R2959" t="s">
        <v>27253</v>
      </c>
      <c r="S2959" t="s">
        <v>27254</v>
      </c>
      <c r="T2959" t="s">
        <v>27265</v>
      </c>
    </row>
    <row r="2960" spans="1:20" x14ac:dyDescent="0.3">
      <c r="A2960" t="str">
        <f>"0611861379050"</f>
        <v>0611861379050</v>
      </c>
      <c r="B2960" t="str">
        <f>"CR2139"</f>
        <v>CR2139</v>
      </c>
      <c r="C2960" t="s">
        <v>32992</v>
      </c>
      <c r="D2960" t="s">
        <v>27271</v>
      </c>
      <c r="E2960" t="str">
        <f t="shared" si="46"/>
        <v>001390</v>
      </c>
      <c r="F2960" t="s">
        <v>27246</v>
      </c>
      <c r="G2960" t="s">
        <v>27247</v>
      </c>
      <c r="H2960" t="s">
        <v>27248</v>
      </c>
      <c r="I2960" t="s">
        <v>32993</v>
      </c>
      <c r="J2960" t="s">
        <v>5947</v>
      </c>
      <c r="L2960" t="s">
        <v>27250</v>
      </c>
      <c r="M2960" t="s">
        <v>27251</v>
      </c>
      <c r="N2960" t="s">
        <v>27252</v>
      </c>
      <c r="P2960" t="s">
        <v>27341</v>
      </c>
      <c r="Q2960" s="1">
        <v>44846</v>
      </c>
      <c r="R2960" t="s">
        <v>27253</v>
      </c>
      <c r="S2960" t="s">
        <v>27254</v>
      </c>
      <c r="T2960" t="s">
        <v>27265</v>
      </c>
    </row>
    <row r="2961" spans="1:20" x14ac:dyDescent="0.3">
      <c r="A2961" t="str">
        <f>"0611861380050"</f>
        <v>0611861380050</v>
      </c>
      <c r="B2961" t="str">
        <f>"CR3876"</f>
        <v>CR3876</v>
      </c>
      <c r="C2961" t="s">
        <v>32994</v>
      </c>
      <c r="D2961" t="s">
        <v>27271</v>
      </c>
      <c r="E2961" t="str">
        <f t="shared" si="46"/>
        <v>001390</v>
      </c>
      <c r="F2961" t="s">
        <v>27246</v>
      </c>
      <c r="G2961" t="s">
        <v>27247</v>
      </c>
      <c r="H2961" t="s">
        <v>27248</v>
      </c>
      <c r="I2961" t="s">
        <v>32995</v>
      </c>
      <c r="J2961" t="s">
        <v>5949</v>
      </c>
      <c r="L2961" t="s">
        <v>27250</v>
      </c>
      <c r="M2961" t="s">
        <v>27251</v>
      </c>
      <c r="N2961" t="s">
        <v>27252</v>
      </c>
      <c r="P2961" t="s">
        <v>27341</v>
      </c>
      <c r="Q2961" s="1">
        <v>44846</v>
      </c>
      <c r="R2961" t="s">
        <v>27253</v>
      </c>
      <c r="S2961" t="s">
        <v>27254</v>
      </c>
      <c r="T2961" t="s">
        <v>27265</v>
      </c>
    </row>
    <row r="2962" spans="1:20" x14ac:dyDescent="0.3">
      <c r="A2962" t="str">
        <f>"0611861383050"</f>
        <v>0611861383050</v>
      </c>
      <c r="B2962" t="str">
        <f>"CR2141"</f>
        <v>CR2141</v>
      </c>
      <c r="C2962" t="s">
        <v>32996</v>
      </c>
      <c r="D2962" t="s">
        <v>27271</v>
      </c>
      <c r="E2962" t="str">
        <f t="shared" si="46"/>
        <v>001390</v>
      </c>
      <c r="F2962" t="s">
        <v>27246</v>
      </c>
      <c r="G2962" t="s">
        <v>27247</v>
      </c>
      <c r="H2962" t="s">
        <v>27248</v>
      </c>
      <c r="I2962" t="s">
        <v>32997</v>
      </c>
      <c r="J2962" t="s">
        <v>5951</v>
      </c>
      <c r="L2962" t="s">
        <v>27250</v>
      </c>
      <c r="M2962" t="s">
        <v>27251</v>
      </c>
      <c r="N2962" t="s">
        <v>27252</v>
      </c>
      <c r="P2962" t="s">
        <v>27341</v>
      </c>
      <c r="Q2962" s="1">
        <v>44846</v>
      </c>
      <c r="R2962" t="s">
        <v>27253</v>
      </c>
      <c r="S2962" t="s">
        <v>27254</v>
      </c>
      <c r="T2962" t="s">
        <v>27265</v>
      </c>
    </row>
    <row r="2963" spans="1:20" x14ac:dyDescent="0.3">
      <c r="A2963" t="str">
        <f>"0611861384050"</f>
        <v>0611861384050</v>
      </c>
      <c r="B2963" t="str">
        <f>"CR3593"</f>
        <v>CR3593</v>
      </c>
      <c r="C2963" t="s">
        <v>32998</v>
      </c>
      <c r="D2963" t="s">
        <v>27271</v>
      </c>
      <c r="E2963" t="str">
        <f t="shared" si="46"/>
        <v>001390</v>
      </c>
      <c r="F2963" t="s">
        <v>27246</v>
      </c>
      <c r="G2963" t="s">
        <v>27247</v>
      </c>
      <c r="H2963" t="s">
        <v>27248</v>
      </c>
      <c r="I2963" t="s">
        <v>32999</v>
      </c>
      <c r="J2963" t="s">
        <v>5953</v>
      </c>
      <c r="L2963" t="s">
        <v>27250</v>
      </c>
      <c r="M2963" t="s">
        <v>27251</v>
      </c>
      <c r="N2963" t="s">
        <v>27252</v>
      </c>
      <c r="P2963" t="s">
        <v>27341</v>
      </c>
      <c r="Q2963" s="1">
        <v>44846</v>
      </c>
      <c r="R2963" t="s">
        <v>27253</v>
      </c>
      <c r="S2963" t="s">
        <v>27254</v>
      </c>
      <c r="T2963" t="s">
        <v>27265</v>
      </c>
    </row>
    <row r="2964" spans="1:20" x14ac:dyDescent="0.3">
      <c r="A2964" t="str">
        <f>"0611861332050"</f>
        <v>0611861332050</v>
      </c>
      <c r="B2964" t="str">
        <f>"CR2127"</f>
        <v>CR2127</v>
      </c>
      <c r="C2964" t="s">
        <v>33000</v>
      </c>
      <c r="D2964" t="s">
        <v>27271</v>
      </c>
      <c r="E2964" t="str">
        <f t="shared" si="46"/>
        <v>001390</v>
      </c>
      <c r="F2964" t="s">
        <v>27246</v>
      </c>
      <c r="G2964" t="s">
        <v>27247</v>
      </c>
      <c r="H2964" t="s">
        <v>27248</v>
      </c>
      <c r="I2964" t="s">
        <v>33001</v>
      </c>
      <c r="J2964" t="s">
        <v>5921</v>
      </c>
      <c r="L2964" t="s">
        <v>27250</v>
      </c>
      <c r="M2964" t="s">
        <v>27251</v>
      </c>
      <c r="N2964" t="s">
        <v>27252</v>
      </c>
      <c r="P2964" t="s">
        <v>27341</v>
      </c>
      <c r="Q2964" s="1">
        <v>44846</v>
      </c>
      <c r="R2964" t="s">
        <v>27253</v>
      </c>
      <c r="S2964" t="s">
        <v>27254</v>
      </c>
      <c r="T2964" t="s">
        <v>27265</v>
      </c>
    </row>
    <row r="2965" spans="1:20" x14ac:dyDescent="0.3">
      <c r="A2965" t="str">
        <f>"0611861387050"</f>
        <v>0611861387050</v>
      </c>
      <c r="B2965" t="str">
        <f>"CR5023"</f>
        <v>CR5023</v>
      </c>
      <c r="C2965" t="s">
        <v>33002</v>
      </c>
      <c r="D2965" t="s">
        <v>27271</v>
      </c>
      <c r="E2965" t="str">
        <f t="shared" si="46"/>
        <v>001390</v>
      </c>
      <c r="F2965" t="s">
        <v>27246</v>
      </c>
      <c r="G2965" t="s">
        <v>27247</v>
      </c>
      <c r="H2965" t="s">
        <v>27248</v>
      </c>
      <c r="I2965" t="s">
        <v>33003</v>
      </c>
      <c r="J2965" t="s">
        <v>5955</v>
      </c>
      <c r="L2965" t="s">
        <v>27250</v>
      </c>
      <c r="M2965" t="s">
        <v>27251</v>
      </c>
      <c r="N2965" t="s">
        <v>27252</v>
      </c>
      <c r="P2965" t="s">
        <v>27341</v>
      </c>
      <c r="Q2965" s="1">
        <v>44846</v>
      </c>
      <c r="R2965" t="s">
        <v>27253</v>
      </c>
      <c r="S2965" t="s">
        <v>27254</v>
      </c>
      <c r="T2965" t="s">
        <v>27265</v>
      </c>
    </row>
    <row r="2966" spans="1:20" x14ac:dyDescent="0.3">
      <c r="A2966" t="str">
        <f>"0611861389050"</f>
        <v>0611861389050</v>
      </c>
      <c r="B2966" t="str">
        <f>"CR2143"</f>
        <v>CR2143</v>
      </c>
      <c r="C2966" t="s">
        <v>33004</v>
      </c>
      <c r="D2966" t="s">
        <v>27271</v>
      </c>
      <c r="E2966" t="str">
        <f t="shared" si="46"/>
        <v>001390</v>
      </c>
      <c r="F2966" t="s">
        <v>27246</v>
      </c>
      <c r="G2966" t="s">
        <v>27247</v>
      </c>
      <c r="H2966" t="s">
        <v>27248</v>
      </c>
      <c r="I2966" t="s">
        <v>33005</v>
      </c>
      <c r="J2966" t="s">
        <v>5957</v>
      </c>
      <c r="L2966" t="s">
        <v>27250</v>
      </c>
      <c r="M2966" t="s">
        <v>27251</v>
      </c>
      <c r="N2966" t="s">
        <v>27252</v>
      </c>
      <c r="P2966" t="s">
        <v>27341</v>
      </c>
      <c r="Q2966" s="1">
        <v>44846</v>
      </c>
      <c r="R2966" t="s">
        <v>27253</v>
      </c>
      <c r="S2966" t="s">
        <v>27254</v>
      </c>
      <c r="T2966" t="s">
        <v>27265</v>
      </c>
    </row>
    <row r="2967" spans="1:20" x14ac:dyDescent="0.3">
      <c r="A2967" t="str">
        <f>"0611861391050"</f>
        <v>0611861391050</v>
      </c>
      <c r="B2967" t="str">
        <f>"CR4133"</f>
        <v>CR4133</v>
      </c>
      <c r="C2967" t="s">
        <v>33006</v>
      </c>
      <c r="D2967" t="s">
        <v>27271</v>
      </c>
      <c r="E2967" t="str">
        <f t="shared" si="46"/>
        <v>001390</v>
      </c>
      <c r="F2967" t="s">
        <v>27246</v>
      </c>
      <c r="G2967" t="s">
        <v>27247</v>
      </c>
      <c r="H2967" t="s">
        <v>27248</v>
      </c>
      <c r="I2967" t="s">
        <v>33007</v>
      </c>
      <c r="J2967" t="s">
        <v>5959</v>
      </c>
      <c r="L2967" t="s">
        <v>27250</v>
      </c>
      <c r="M2967" t="s">
        <v>27251</v>
      </c>
      <c r="N2967" t="s">
        <v>27252</v>
      </c>
      <c r="P2967" t="s">
        <v>27341</v>
      </c>
      <c r="Q2967" s="1">
        <v>44846</v>
      </c>
      <c r="R2967" t="s">
        <v>27253</v>
      </c>
      <c r="S2967" t="s">
        <v>27254</v>
      </c>
      <c r="T2967" t="s">
        <v>27265</v>
      </c>
    </row>
    <row r="2968" spans="1:20" x14ac:dyDescent="0.3">
      <c r="A2968" t="str">
        <f>"0611861392050"</f>
        <v>0611861392050</v>
      </c>
      <c r="B2968" t="str">
        <f>"CR2144"</f>
        <v>CR2144</v>
      </c>
      <c r="C2968" t="s">
        <v>33008</v>
      </c>
      <c r="D2968" t="s">
        <v>27271</v>
      </c>
      <c r="E2968" t="str">
        <f t="shared" si="46"/>
        <v>001390</v>
      </c>
      <c r="F2968" t="s">
        <v>27246</v>
      </c>
      <c r="G2968" t="s">
        <v>27247</v>
      </c>
      <c r="H2968" t="s">
        <v>27248</v>
      </c>
      <c r="I2968" t="s">
        <v>33009</v>
      </c>
      <c r="J2968" t="s">
        <v>5961</v>
      </c>
      <c r="L2968" t="s">
        <v>27250</v>
      </c>
      <c r="M2968" t="s">
        <v>27251</v>
      </c>
      <c r="N2968" t="s">
        <v>27252</v>
      </c>
      <c r="P2968" t="s">
        <v>27341</v>
      </c>
      <c r="Q2968" s="1">
        <v>44846</v>
      </c>
      <c r="R2968" t="s">
        <v>27253</v>
      </c>
      <c r="S2968" t="s">
        <v>27254</v>
      </c>
      <c r="T2968" t="s">
        <v>27265</v>
      </c>
    </row>
    <row r="2969" spans="1:20" x14ac:dyDescent="0.3">
      <c r="A2969" t="str">
        <f>"0611861399050"</f>
        <v>0611861399050</v>
      </c>
      <c r="B2969" t="str">
        <f>"CR3055"</f>
        <v>CR3055</v>
      </c>
      <c r="C2969" t="s">
        <v>33010</v>
      </c>
      <c r="D2969" t="s">
        <v>27271</v>
      </c>
      <c r="E2969" t="str">
        <f t="shared" si="46"/>
        <v>001390</v>
      </c>
      <c r="F2969" t="s">
        <v>27246</v>
      </c>
      <c r="G2969" t="s">
        <v>27247</v>
      </c>
      <c r="H2969" t="s">
        <v>27248</v>
      </c>
      <c r="I2969" t="s">
        <v>33011</v>
      </c>
      <c r="J2969" t="s">
        <v>5963</v>
      </c>
      <c r="L2969" t="s">
        <v>27250</v>
      </c>
      <c r="M2969" t="s">
        <v>27251</v>
      </c>
      <c r="N2969" t="s">
        <v>27252</v>
      </c>
      <c r="P2969" t="s">
        <v>27341</v>
      </c>
      <c r="Q2969" s="1">
        <v>44846</v>
      </c>
      <c r="R2969" t="s">
        <v>27253</v>
      </c>
      <c r="S2969" t="s">
        <v>27254</v>
      </c>
      <c r="T2969" t="s">
        <v>27265</v>
      </c>
    </row>
    <row r="2970" spans="1:20" x14ac:dyDescent="0.3">
      <c r="A2970" t="str">
        <f>"0611861377050"</f>
        <v>0611861377050</v>
      </c>
      <c r="B2970" t="str">
        <f>"CR4213"</f>
        <v>CR4213</v>
      </c>
      <c r="C2970" t="s">
        <v>33012</v>
      </c>
      <c r="D2970" t="s">
        <v>27271</v>
      </c>
      <c r="E2970" t="str">
        <f t="shared" si="46"/>
        <v>001390</v>
      </c>
      <c r="F2970" t="s">
        <v>27246</v>
      </c>
      <c r="G2970" t="s">
        <v>27247</v>
      </c>
      <c r="H2970" t="s">
        <v>27248</v>
      </c>
      <c r="I2970" t="s">
        <v>33013</v>
      </c>
      <c r="J2970" t="s">
        <v>5965</v>
      </c>
      <c r="L2970" t="s">
        <v>27250</v>
      </c>
      <c r="M2970" t="s">
        <v>27251</v>
      </c>
      <c r="N2970" t="s">
        <v>27252</v>
      </c>
      <c r="P2970" t="s">
        <v>27341</v>
      </c>
      <c r="Q2970" s="1">
        <v>44846</v>
      </c>
      <c r="R2970" t="s">
        <v>27253</v>
      </c>
      <c r="S2970" t="s">
        <v>27254</v>
      </c>
      <c r="T2970" t="s">
        <v>27265</v>
      </c>
    </row>
    <row r="2971" spans="1:20" x14ac:dyDescent="0.3">
      <c r="A2971" t="str">
        <f>"0611861415050"</f>
        <v>0611861415050</v>
      </c>
      <c r="B2971" t="str">
        <f>"CR4134"</f>
        <v>CR4134</v>
      </c>
      <c r="C2971" t="s">
        <v>33014</v>
      </c>
      <c r="D2971" t="s">
        <v>27271</v>
      </c>
      <c r="E2971" t="str">
        <f t="shared" si="46"/>
        <v>001390</v>
      </c>
      <c r="F2971" t="s">
        <v>27246</v>
      </c>
      <c r="G2971" t="s">
        <v>27247</v>
      </c>
      <c r="H2971" t="s">
        <v>27248</v>
      </c>
      <c r="I2971" t="s">
        <v>33015</v>
      </c>
      <c r="J2971" t="s">
        <v>5969</v>
      </c>
      <c r="L2971" t="s">
        <v>27250</v>
      </c>
      <c r="M2971" t="s">
        <v>27251</v>
      </c>
      <c r="N2971" t="s">
        <v>27252</v>
      </c>
      <c r="P2971" t="s">
        <v>27341</v>
      </c>
      <c r="Q2971" s="1">
        <v>44846</v>
      </c>
      <c r="R2971" t="s">
        <v>27253</v>
      </c>
      <c r="S2971" t="s">
        <v>27254</v>
      </c>
      <c r="T2971" t="s">
        <v>27265</v>
      </c>
    </row>
    <row r="2972" spans="1:20" x14ac:dyDescent="0.3">
      <c r="A2972" t="str">
        <f>"0611861412050"</f>
        <v>0611861412050</v>
      </c>
      <c r="B2972" t="str">
        <f>"CR4800"</f>
        <v>CR4800</v>
      </c>
      <c r="C2972" t="s">
        <v>33016</v>
      </c>
      <c r="D2972" t="s">
        <v>27271</v>
      </c>
      <c r="E2972" t="str">
        <f t="shared" si="46"/>
        <v>001390</v>
      </c>
      <c r="F2972" t="s">
        <v>27246</v>
      </c>
      <c r="G2972" t="s">
        <v>27247</v>
      </c>
      <c r="H2972" t="s">
        <v>27248</v>
      </c>
      <c r="I2972" t="s">
        <v>33017</v>
      </c>
      <c r="J2972" t="s">
        <v>5967</v>
      </c>
      <c r="L2972" t="s">
        <v>27250</v>
      </c>
      <c r="M2972" t="s">
        <v>27251</v>
      </c>
      <c r="N2972" t="s">
        <v>27252</v>
      </c>
      <c r="P2972" t="s">
        <v>27341</v>
      </c>
      <c r="Q2972" s="1">
        <v>44846</v>
      </c>
      <c r="R2972" t="s">
        <v>27253</v>
      </c>
      <c r="S2972" t="s">
        <v>27254</v>
      </c>
      <c r="T2972" t="s">
        <v>27265</v>
      </c>
    </row>
    <row r="2973" spans="1:20" x14ac:dyDescent="0.3">
      <c r="A2973" t="str">
        <f>"0611861416050"</f>
        <v>0611861416050</v>
      </c>
      <c r="B2973" t="str">
        <f>"CR3322"</f>
        <v>CR3322</v>
      </c>
      <c r="C2973" t="s">
        <v>33018</v>
      </c>
      <c r="D2973" t="s">
        <v>27271</v>
      </c>
      <c r="E2973" t="str">
        <f t="shared" si="46"/>
        <v>001390</v>
      </c>
      <c r="F2973" t="s">
        <v>27246</v>
      </c>
      <c r="G2973" t="s">
        <v>27247</v>
      </c>
      <c r="H2973" t="s">
        <v>27248</v>
      </c>
      <c r="I2973" t="s">
        <v>33019</v>
      </c>
      <c r="J2973" t="s">
        <v>5971</v>
      </c>
      <c r="L2973" t="s">
        <v>27250</v>
      </c>
      <c r="M2973" t="s">
        <v>27251</v>
      </c>
      <c r="N2973" t="s">
        <v>27252</v>
      </c>
      <c r="P2973" t="s">
        <v>27341</v>
      </c>
      <c r="Q2973" s="1">
        <v>44846</v>
      </c>
      <c r="R2973" t="s">
        <v>27253</v>
      </c>
      <c r="S2973" t="s">
        <v>27254</v>
      </c>
      <c r="T2973" t="s">
        <v>27265</v>
      </c>
    </row>
    <row r="2974" spans="1:20" x14ac:dyDescent="0.3">
      <c r="A2974" t="str">
        <f>"0611861422050"</f>
        <v>0611861422050</v>
      </c>
      <c r="B2974" t="str">
        <f>"CR4803"</f>
        <v>CR4803</v>
      </c>
      <c r="C2974" t="s">
        <v>33020</v>
      </c>
      <c r="D2974" t="s">
        <v>27271</v>
      </c>
      <c r="E2974" t="str">
        <f t="shared" si="46"/>
        <v>001390</v>
      </c>
      <c r="F2974" t="s">
        <v>27246</v>
      </c>
      <c r="G2974" t="s">
        <v>27247</v>
      </c>
      <c r="H2974" t="s">
        <v>27248</v>
      </c>
      <c r="I2974" t="s">
        <v>33021</v>
      </c>
      <c r="J2974" t="s">
        <v>5973</v>
      </c>
      <c r="L2974" t="s">
        <v>27250</v>
      </c>
      <c r="M2974" t="s">
        <v>27251</v>
      </c>
      <c r="N2974" t="s">
        <v>27252</v>
      </c>
      <c r="P2974" t="s">
        <v>27341</v>
      </c>
      <c r="Q2974" s="1">
        <v>44846</v>
      </c>
      <c r="R2974" t="s">
        <v>27253</v>
      </c>
      <c r="S2974" t="s">
        <v>27254</v>
      </c>
      <c r="T2974" t="s">
        <v>27265</v>
      </c>
    </row>
    <row r="2975" spans="1:20" x14ac:dyDescent="0.3">
      <c r="A2975" t="str">
        <f>"0611861423050"</f>
        <v>0611861423050</v>
      </c>
      <c r="B2975" t="str">
        <f>"CR3928"</f>
        <v>CR3928</v>
      </c>
      <c r="C2975" t="s">
        <v>33022</v>
      </c>
      <c r="D2975" t="s">
        <v>27271</v>
      </c>
      <c r="E2975" t="str">
        <f t="shared" si="46"/>
        <v>001390</v>
      </c>
      <c r="F2975" t="s">
        <v>27246</v>
      </c>
      <c r="G2975" t="s">
        <v>27247</v>
      </c>
      <c r="H2975" t="s">
        <v>27248</v>
      </c>
      <c r="I2975" t="s">
        <v>33023</v>
      </c>
      <c r="J2975" t="s">
        <v>5975</v>
      </c>
      <c r="L2975" t="s">
        <v>27250</v>
      </c>
      <c r="M2975" t="s">
        <v>27251</v>
      </c>
      <c r="N2975" t="s">
        <v>27252</v>
      </c>
      <c r="P2975" t="s">
        <v>27341</v>
      </c>
      <c r="Q2975" s="1">
        <v>44846</v>
      </c>
      <c r="R2975" t="s">
        <v>27253</v>
      </c>
      <c r="S2975" t="s">
        <v>27254</v>
      </c>
      <c r="T2975" t="s">
        <v>27265</v>
      </c>
    </row>
    <row r="2976" spans="1:20" x14ac:dyDescent="0.3">
      <c r="A2976" t="str">
        <f>"0611861427050"</f>
        <v>0611861427050</v>
      </c>
      <c r="B2976" t="str">
        <f>"CR3771"</f>
        <v>CR3771</v>
      </c>
      <c r="C2976" t="s">
        <v>33024</v>
      </c>
      <c r="D2976" t="s">
        <v>27271</v>
      </c>
      <c r="E2976" t="str">
        <f t="shared" si="46"/>
        <v>001390</v>
      </c>
      <c r="F2976" t="s">
        <v>27246</v>
      </c>
      <c r="G2976" t="s">
        <v>27247</v>
      </c>
      <c r="H2976" t="s">
        <v>27248</v>
      </c>
      <c r="I2976" t="s">
        <v>33025</v>
      </c>
      <c r="J2976" t="s">
        <v>5977</v>
      </c>
      <c r="L2976" t="s">
        <v>27250</v>
      </c>
      <c r="M2976" t="s">
        <v>27251</v>
      </c>
      <c r="N2976" t="s">
        <v>27252</v>
      </c>
      <c r="P2976" t="s">
        <v>27341</v>
      </c>
      <c r="Q2976" s="1">
        <v>44846</v>
      </c>
      <c r="R2976" t="s">
        <v>27253</v>
      </c>
      <c r="S2976" t="s">
        <v>27254</v>
      </c>
      <c r="T2976" t="s">
        <v>27265</v>
      </c>
    </row>
    <row r="2977" spans="1:20" x14ac:dyDescent="0.3">
      <c r="A2977" t="str">
        <f>"0611861352050"</f>
        <v>0611861352050</v>
      </c>
      <c r="B2977" t="str">
        <f>"CR5174"</f>
        <v>CR5174</v>
      </c>
      <c r="C2977" t="s">
        <v>33026</v>
      </c>
      <c r="D2977" t="s">
        <v>27271</v>
      </c>
      <c r="E2977" t="str">
        <f t="shared" si="46"/>
        <v>001390</v>
      </c>
      <c r="F2977" t="s">
        <v>27246</v>
      </c>
      <c r="G2977" t="s">
        <v>27247</v>
      </c>
      <c r="H2977" t="s">
        <v>27248</v>
      </c>
      <c r="I2977" t="s">
        <v>33027</v>
      </c>
      <c r="J2977" t="s">
        <v>5925</v>
      </c>
      <c r="L2977" t="s">
        <v>27250</v>
      </c>
      <c r="M2977" t="s">
        <v>27251</v>
      </c>
      <c r="N2977" t="s">
        <v>27252</v>
      </c>
      <c r="P2977" t="s">
        <v>27341</v>
      </c>
      <c r="Q2977" s="1">
        <v>44846</v>
      </c>
      <c r="R2977" t="s">
        <v>27253</v>
      </c>
      <c r="S2977" t="s">
        <v>27254</v>
      </c>
      <c r="T2977" t="s">
        <v>27265</v>
      </c>
    </row>
    <row r="2978" spans="1:20" x14ac:dyDescent="0.3">
      <c r="A2978" t="str">
        <f>"0611884140050"</f>
        <v>0611884140050</v>
      </c>
      <c r="B2978" t="str">
        <f>"CR5311"</f>
        <v>CR5311</v>
      </c>
      <c r="C2978" t="s">
        <v>33028</v>
      </c>
      <c r="D2978" t="s">
        <v>27271</v>
      </c>
      <c r="E2978" t="str">
        <f t="shared" si="46"/>
        <v>001390</v>
      </c>
      <c r="F2978" t="s">
        <v>27246</v>
      </c>
      <c r="G2978" t="s">
        <v>27247</v>
      </c>
      <c r="H2978" t="s">
        <v>27248</v>
      </c>
      <c r="I2978" t="s">
        <v>33029</v>
      </c>
      <c r="J2978" t="s">
        <v>5979</v>
      </c>
      <c r="L2978" t="s">
        <v>27430</v>
      </c>
      <c r="M2978" t="s">
        <v>27251</v>
      </c>
      <c r="N2978" t="s">
        <v>27252</v>
      </c>
      <c r="P2978" t="s">
        <v>27341</v>
      </c>
      <c r="Q2978" s="1">
        <v>45250</v>
      </c>
      <c r="R2978" t="s">
        <v>27253</v>
      </c>
      <c r="S2978" t="s">
        <v>27254</v>
      </c>
      <c r="T2978" t="s">
        <v>27265</v>
      </c>
    </row>
    <row r="2979" spans="1:20" x14ac:dyDescent="0.3">
      <c r="A2979" t="str">
        <f>"0611861426050"</f>
        <v>0611861426050</v>
      </c>
      <c r="B2979" t="str">
        <f>"CR3985"</f>
        <v>CR3985</v>
      </c>
      <c r="C2979" t="s">
        <v>33030</v>
      </c>
      <c r="D2979" t="s">
        <v>27271</v>
      </c>
      <c r="E2979" t="str">
        <f t="shared" si="46"/>
        <v>001390</v>
      </c>
      <c r="F2979" t="s">
        <v>27246</v>
      </c>
      <c r="G2979" t="s">
        <v>27247</v>
      </c>
      <c r="H2979" t="s">
        <v>27248</v>
      </c>
      <c r="I2979" t="s">
        <v>33031</v>
      </c>
      <c r="J2979" t="s">
        <v>5719</v>
      </c>
      <c r="L2979" t="s">
        <v>27250</v>
      </c>
      <c r="M2979" t="s">
        <v>27251</v>
      </c>
      <c r="N2979" t="s">
        <v>27252</v>
      </c>
      <c r="P2979" t="s">
        <v>27341</v>
      </c>
      <c r="Q2979" s="1">
        <v>44846</v>
      </c>
      <c r="R2979" t="s">
        <v>27253</v>
      </c>
      <c r="S2979" t="s">
        <v>27254</v>
      </c>
      <c r="T2979" t="s">
        <v>27265</v>
      </c>
    </row>
    <row r="2980" spans="1:20" x14ac:dyDescent="0.3">
      <c r="A2980" t="str">
        <f>"0611861432050"</f>
        <v>0611861432050</v>
      </c>
      <c r="B2980" t="str">
        <f>"CR2151"</f>
        <v>CR2151</v>
      </c>
      <c r="C2980" t="s">
        <v>33032</v>
      </c>
      <c r="D2980" t="s">
        <v>27271</v>
      </c>
      <c r="E2980" t="str">
        <f t="shared" si="46"/>
        <v>001390</v>
      </c>
      <c r="F2980" t="s">
        <v>27246</v>
      </c>
      <c r="G2980" t="s">
        <v>27247</v>
      </c>
      <c r="H2980" t="s">
        <v>27248</v>
      </c>
      <c r="I2980" t="s">
        <v>33033</v>
      </c>
      <c r="J2980" t="s">
        <v>5981</v>
      </c>
      <c r="L2980" t="s">
        <v>27250</v>
      </c>
      <c r="M2980" t="s">
        <v>27251</v>
      </c>
      <c r="N2980" t="s">
        <v>27252</v>
      </c>
      <c r="P2980" t="s">
        <v>27341</v>
      </c>
      <c r="Q2980" s="1">
        <v>44846</v>
      </c>
      <c r="R2980" t="s">
        <v>27253</v>
      </c>
      <c r="S2980" t="s">
        <v>27254</v>
      </c>
      <c r="T2980" t="s">
        <v>27265</v>
      </c>
    </row>
    <row r="2981" spans="1:20" x14ac:dyDescent="0.3">
      <c r="A2981" t="str">
        <f>"0611861335050"</f>
        <v>0611861335050</v>
      </c>
      <c r="B2981" t="str">
        <f>"CR2129"</f>
        <v>CR2129</v>
      </c>
      <c r="C2981" t="s">
        <v>33034</v>
      </c>
      <c r="D2981" t="s">
        <v>27271</v>
      </c>
      <c r="E2981" t="str">
        <f t="shared" si="46"/>
        <v>001390</v>
      </c>
      <c r="F2981" t="s">
        <v>27246</v>
      </c>
      <c r="G2981" t="s">
        <v>27247</v>
      </c>
      <c r="H2981" t="s">
        <v>27248</v>
      </c>
      <c r="I2981" t="s">
        <v>33035</v>
      </c>
      <c r="J2981" t="s">
        <v>5983</v>
      </c>
      <c r="L2981" t="s">
        <v>27250</v>
      </c>
      <c r="M2981" t="s">
        <v>27251</v>
      </c>
      <c r="N2981" t="s">
        <v>27252</v>
      </c>
      <c r="P2981" t="s">
        <v>27341</v>
      </c>
      <c r="Q2981" s="1">
        <v>44846</v>
      </c>
      <c r="R2981" t="s">
        <v>27253</v>
      </c>
      <c r="S2981" t="s">
        <v>27254</v>
      </c>
      <c r="T2981" t="s">
        <v>27265</v>
      </c>
    </row>
    <row r="2982" spans="1:20" x14ac:dyDescent="0.3">
      <c r="A2982" t="str">
        <f>"0611861336050"</f>
        <v>0611861336050</v>
      </c>
      <c r="B2982" t="str">
        <f>"CR4953"</f>
        <v>CR4953</v>
      </c>
      <c r="C2982" t="s">
        <v>33036</v>
      </c>
      <c r="D2982" t="s">
        <v>27271</v>
      </c>
      <c r="E2982" t="str">
        <f t="shared" si="46"/>
        <v>001390</v>
      </c>
      <c r="F2982" t="s">
        <v>27246</v>
      </c>
      <c r="G2982" t="s">
        <v>27247</v>
      </c>
      <c r="H2982" t="s">
        <v>27248</v>
      </c>
      <c r="I2982" t="s">
        <v>33037</v>
      </c>
      <c r="J2982" t="s">
        <v>5985</v>
      </c>
      <c r="L2982" t="s">
        <v>27250</v>
      </c>
      <c r="M2982" t="s">
        <v>27251</v>
      </c>
      <c r="N2982" t="s">
        <v>27252</v>
      </c>
      <c r="P2982" t="s">
        <v>27341</v>
      </c>
      <c r="Q2982" s="1">
        <v>44846</v>
      </c>
      <c r="R2982" t="s">
        <v>27253</v>
      </c>
      <c r="S2982" t="s">
        <v>27254</v>
      </c>
      <c r="T2982" t="s">
        <v>27265</v>
      </c>
    </row>
    <row r="2983" spans="1:20" x14ac:dyDescent="0.3">
      <c r="A2983" t="str">
        <f>"0611861337050"</f>
        <v>0611861337050</v>
      </c>
      <c r="B2983" t="str">
        <f>"CR2130"</f>
        <v>CR2130</v>
      </c>
      <c r="C2983" t="s">
        <v>33038</v>
      </c>
      <c r="D2983" t="s">
        <v>27271</v>
      </c>
      <c r="E2983" t="str">
        <f t="shared" si="46"/>
        <v>001390</v>
      </c>
      <c r="F2983" t="s">
        <v>27246</v>
      </c>
      <c r="G2983" t="s">
        <v>27247</v>
      </c>
      <c r="H2983" t="s">
        <v>27248</v>
      </c>
      <c r="I2983" t="s">
        <v>33039</v>
      </c>
      <c r="J2983" t="s">
        <v>5987</v>
      </c>
      <c r="L2983" t="s">
        <v>27250</v>
      </c>
      <c r="M2983" t="s">
        <v>27251</v>
      </c>
      <c r="N2983" t="s">
        <v>27252</v>
      </c>
      <c r="P2983" t="s">
        <v>27341</v>
      </c>
      <c r="Q2983" s="1">
        <v>44846</v>
      </c>
      <c r="R2983" t="s">
        <v>27253</v>
      </c>
      <c r="S2983" t="s">
        <v>27254</v>
      </c>
      <c r="T2983" t="s">
        <v>27265</v>
      </c>
    </row>
    <row r="2984" spans="1:20" x14ac:dyDescent="0.3">
      <c r="A2984" t="str">
        <f>"0611861339050"</f>
        <v>0611861339050</v>
      </c>
      <c r="B2984" t="str">
        <f>"CR2131"</f>
        <v>CR2131</v>
      </c>
      <c r="C2984" t="s">
        <v>33040</v>
      </c>
      <c r="D2984" t="s">
        <v>27271</v>
      </c>
      <c r="E2984" t="str">
        <f t="shared" si="46"/>
        <v>001390</v>
      </c>
      <c r="F2984" t="s">
        <v>27246</v>
      </c>
      <c r="G2984" t="s">
        <v>27247</v>
      </c>
      <c r="H2984" t="s">
        <v>27248</v>
      </c>
      <c r="I2984" t="s">
        <v>33041</v>
      </c>
      <c r="J2984" t="s">
        <v>5989</v>
      </c>
      <c r="L2984" t="s">
        <v>27250</v>
      </c>
      <c r="M2984" t="s">
        <v>27251</v>
      </c>
      <c r="N2984" t="s">
        <v>27252</v>
      </c>
      <c r="P2984" t="s">
        <v>27341</v>
      </c>
      <c r="Q2984" s="1">
        <v>44846</v>
      </c>
      <c r="R2984" t="s">
        <v>27253</v>
      </c>
      <c r="S2984" t="s">
        <v>27254</v>
      </c>
      <c r="T2984" t="s">
        <v>27265</v>
      </c>
    </row>
    <row r="2985" spans="1:20" x14ac:dyDescent="0.3">
      <c r="A2985" t="str">
        <f>"0611833297100"</f>
        <v>0611833297100</v>
      </c>
      <c r="B2985" t="str">
        <f>"LH2841"</f>
        <v>LH2841</v>
      </c>
      <c r="C2985" t="s">
        <v>33042</v>
      </c>
      <c r="D2985" t="s">
        <v>27245</v>
      </c>
      <c r="E2985" t="str">
        <f t="shared" si="46"/>
        <v>001390</v>
      </c>
      <c r="F2985" t="s">
        <v>27246</v>
      </c>
      <c r="G2985" t="s">
        <v>27247</v>
      </c>
      <c r="H2985" t="s">
        <v>27248</v>
      </c>
      <c r="I2985" t="s">
        <v>33043</v>
      </c>
      <c r="J2985" t="s">
        <v>5991</v>
      </c>
      <c r="L2985" t="s">
        <v>27250</v>
      </c>
      <c r="M2985" t="s">
        <v>27251</v>
      </c>
      <c r="N2985" t="s">
        <v>27252</v>
      </c>
      <c r="Q2985" s="1">
        <v>44538</v>
      </c>
      <c r="R2985" t="s">
        <v>27253</v>
      </c>
      <c r="S2985" t="s">
        <v>27254</v>
      </c>
      <c r="T2985" t="s">
        <v>27255</v>
      </c>
    </row>
    <row r="2986" spans="1:20" x14ac:dyDescent="0.3">
      <c r="A2986" t="str">
        <f>"0611833298025"</f>
        <v>0611833298025</v>
      </c>
      <c r="B2986" t="str">
        <f>"MC0197"</f>
        <v>MC0197</v>
      </c>
      <c r="C2986" t="s">
        <v>33042</v>
      </c>
      <c r="D2986" t="s">
        <v>27267</v>
      </c>
      <c r="E2986" t="str">
        <f t="shared" si="46"/>
        <v>001390</v>
      </c>
      <c r="F2986" t="s">
        <v>27246</v>
      </c>
      <c r="G2986" t="s">
        <v>27247</v>
      </c>
      <c r="H2986" t="s">
        <v>27248</v>
      </c>
      <c r="I2986" t="s">
        <v>33044</v>
      </c>
      <c r="J2986" t="s">
        <v>5993</v>
      </c>
      <c r="L2986" t="s">
        <v>27250</v>
      </c>
      <c r="M2986" t="s">
        <v>27251</v>
      </c>
      <c r="N2986" t="s">
        <v>27252</v>
      </c>
      <c r="O2986">
        <v>25</v>
      </c>
      <c r="Q2986" s="1">
        <v>44538</v>
      </c>
      <c r="R2986" t="s">
        <v>27253</v>
      </c>
      <c r="S2986" t="s">
        <v>27254</v>
      </c>
      <c r="T2986" t="s">
        <v>27269</v>
      </c>
    </row>
    <row r="2987" spans="1:20" x14ac:dyDescent="0.3">
      <c r="A2987" t="str">
        <f>"0611833299100"</f>
        <v>0611833299100</v>
      </c>
      <c r="B2987" t="str">
        <f>"LB2326"</f>
        <v>LB2326</v>
      </c>
      <c r="C2987" t="s">
        <v>33045</v>
      </c>
      <c r="D2987" t="s">
        <v>27245</v>
      </c>
      <c r="E2987" t="str">
        <f t="shared" si="46"/>
        <v>001390</v>
      </c>
      <c r="F2987" t="s">
        <v>27246</v>
      </c>
      <c r="G2987" t="s">
        <v>27247</v>
      </c>
      <c r="H2987" t="s">
        <v>27248</v>
      </c>
      <c r="I2987" t="s">
        <v>33046</v>
      </c>
      <c r="J2987" t="s">
        <v>5995</v>
      </c>
      <c r="L2987" t="s">
        <v>27250</v>
      </c>
      <c r="M2987" t="s">
        <v>27251</v>
      </c>
      <c r="N2987" t="s">
        <v>27252</v>
      </c>
      <c r="Q2987" s="1">
        <v>44538</v>
      </c>
      <c r="R2987" t="s">
        <v>27253</v>
      </c>
      <c r="S2987" t="s">
        <v>27254</v>
      </c>
      <c r="T2987" t="s">
        <v>27255</v>
      </c>
    </row>
    <row r="2988" spans="1:20" x14ac:dyDescent="0.3">
      <c r="A2988" t="str">
        <f>"0611833301100"</f>
        <v>0611833301100</v>
      </c>
      <c r="B2988" t="str">
        <f>"LK6350"</f>
        <v>LK6350</v>
      </c>
      <c r="C2988" t="s">
        <v>33047</v>
      </c>
      <c r="D2988" t="s">
        <v>27245</v>
      </c>
      <c r="E2988" t="str">
        <f t="shared" si="46"/>
        <v>001390</v>
      </c>
      <c r="F2988" t="s">
        <v>27246</v>
      </c>
      <c r="G2988" t="s">
        <v>27247</v>
      </c>
      <c r="H2988" t="s">
        <v>27248</v>
      </c>
      <c r="I2988" t="s">
        <v>33048</v>
      </c>
      <c r="J2988" t="s">
        <v>5997</v>
      </c>
      <c r="L2988" t="s">
        <v>27250</v>
      </c>
      <c r="M2988" t="s">
        <v>27251</v>
      </c>
      <c r="N2988" t="s">
        <v>27252</v>
      </c>
      <c r="Q2988" s="1">
        <v>44538</v>
      </c>
      <c r="R2988" t="s">
        <v>27253</v>
      </c>
      <c r="S2988" t="s">
        <v>27254</v>
      </c>
      <c r="T2988" t="s">
        <v>27255</v>
      </c>
    </row>
    <row r="2989" spans="1:20" x14ac:dyDescent="0.3">
      <c r="A2989" t="str">
        <f>"0611833302100"</f>
        <v>0611833302100</v>
      </c>
      <c r="B2989" t="str">
        <f>"LF1463"</f>
        <v>LF1463</v>
      </c>
      <c r="C2989" t="s">
        <v>33049</v>
      </c>
      <c r="D2989" t="s">
        <v>27245</v>
      </c>
      <c r="E2989" t="str">
        <f t="shared" si="46"/>
        <v>001390</v>
      </c>
      <c r="F2989" t="s">
        <v>27246</v>
      </c>
      <c r="G2989" t="s">
        <v>27247</v>
      </c>
      <c r="H2989" t="s">
        <v>27248</v>
      </c>
      <c r="I2989" t="s">
        <v>33050</v>
      </c>
      <c r="J2989" t="s">
        <v>6001</v>
      </c>
      <c r="L2989" t="s">
        <v>27250</v>
      </c>
      <c r="M2989" t="s">
        <v>27251</v>
      </c>
      <c r="N2989" t="s">
        <v>27252</v>
      </c>
      <c r="Q2989" s="1">
        <v>44538</v>
      </c>
      <c r="R2989" t="s">
        <v>27253</v>
      </c>
      <c r="S2989" t="s">
        <v>27254</v>
      </c>
      <c r="T2989" t="s">
        <v>27255</v>
      </c>
    </row>
    <row r="2990" spans="1:20" x14ac:dyDescent="0.3">
      <c r="A2990" t="str">
        <f>"0611833306025"</f>
        <v>0611833306025</v>
      </c>
      <c r="B2990" t="str">
        <f>"MQ0190"</f>
        <v>MQ0190</v>
      </c>
      <c r="C2990" t="s">
        <v>33051</v>
      </c>
      <c r="D2990" t="s">
        <v>27267</v>
      </c>
      <c r="E2990" t="str">
        <f t="shared" si="46"/>
        <v>001390</v>
      </c>
      <c r="F2990" t="s">
        <v>27246</v>
      </c>
      <c r="G2990" t="s">
        <v>27247</v>
      </c>
      <c r="H2990" t="s">
        <v>27248</v>
      </c>
      <c r="I2990" t="s">
        <v>33052</v>
      </c>
      <c r="J2990" t="s">
        <v>5999</v>
      </c>
      <c r="L2990" t="s">
        <v>27250</v>
      </c>
      <c r="M2990" t="s">
        <v>27251</v>
      </c>
      <c r="N2990" t="s">
        <v>27252</v>
      </c>
      <c r="Q2990" s="1">
        <v>44538</v>
      </c>
      <c r="R2990" t="s">
        <v>27253</v>
      </c>
      <c r="S2990" t="s">
        <v>27254</v>
      </c>
      <c r="T2990" t="s">
        <v>27269</v>
      </c>
    </row>
    <row r="2991" spans="1:20" x14ac:dyDescent="0.3">
      <c r="A2991" t="str">
        <f>"0611833308100"</f>
        <v>0611833308100</v>
      </c>
      <c r="B2991" t="str">
        <f>"LK3666"</f>
        <v>LK3666</v>
      </c>
      <c r="C2991" t="s">
        <v>33053</v>
      </c>
      <c r="D2991" t="s">
        <v>27245</v>
      </c>
      <c r="E2991" t="str">
        <f t="shared" si="46"/>
        <v>001390</v>
      </c>
      <c r="F2991" t="s">
        <v>27246</v>
      </c>
      <c r="G2991" t="s">
        <v>27247</v>
      </c>
      <c r="H2991" t="s">
        <v>27248</v>
      </c>
      <c r="I2991" t="s">
        <v>33054</v>
      </c>
      <c r="J2991" t="s">
        <v>6003</v>
      </c>
      <c r="L2991" t="s">
        <v>27250</v>
      </c>
      <c r="M2991" t="s">
        <v>27251</v>
      </c>
      <c r="N2991" t="s">
        <v>27252</v>
      </c>
      <c r="Q2991" s="1">
        <v>44538</v>
      </c>
      <c r="R2991" t="s">
        <v>27253</v>
      </c>
      <c r="S2991" t="s">
        <v>27254</v>
      </c>
      <c r="T2991" t="s">
        <v>27255</v>
      </c>
    </row>
    <row r="2992" spans="1:20" x14ac:dyDescent="0.3">
      <c r="A2992" t="str">
        <f>"0611833309100"</f>
        <v>0611833309100</v>
      </c>
      <c r="B2992" t="str">
        <f>"LK4171"</f>
        <v>LK4171</v>
      </c>
      <c r="C2992" t="s">
        <v>33055</v>
      </c>
      <c r="D2992" t="s">
        <v>27245</v>
      </c>
      <c r="E2992" t="str">
        <f t="shared" si="46"/>
        <v>001390</v>
      </c>
      <c r="F2992" t="s">
        <v>27246</v>
      </c>
      <c r="G2992" t="s">
        <v>27247</v>
      </c>
      <c r="H2992" t="s">
        <v>27248</v>
      </c>
      <c r="I2992" t="s">
        <v>33056</v>
      </c>
      <c r="J2992" t="s">
        <v>6005</v>
      </c>
      <c r="L2992" t="s">
        <v>27250</v>
      </c>
      <c r="M2992" t="s">
        <v>27251</v>
      </c>
      <c r="N2992" t="s">
        <v>27252</v>
      </c>
      <c r="Q2992" s="1">
        <v>44538</v>
      </c>
      <c r="R2992" t="s">
        <v>27253</v>
      </c>
      <c r="S2992" t="s">
        <v>27254</v>
      </c>
      <c r="T2992" t="s">
        <v>27255</v>
      </c>
    </row>
    <row r="2993" spans="1:20" x14ac:dyDescent="0.3">
      <c r="A2993" t="str">
        <f>"0611833310100"</f>
        <v>0611833310100</v>
      </c>
      <c r="B2993" t="str">
        <f>"LK4172"</f>
        <v>LK4172</v>
      </c>
      <c r="C2993" t="s">
        <v>33057</v>
      </c>
      <c r="D2993" t="s">
        <v>27245</v>
      </c>
      <c r="E2993" t="str">
        <f t="shared" si="46"/>
        <v>001390</v>
      </c>
      <c r="F2993" t="s">
        <v>27246</v>
      </c>
      <c r="G2993" t="s">
        <v>27247</v>
      </c>
      <c r="H2993" t="s">
        <v>27248</v>
      </c>
      <c r="I2993" t="s">
        <v>33058</v>
      </c>
      <c r="J2993" t="s">
        <v>6007</v>
      </c>
      <c r="L2993" t="s">
        <v>27250</v>
      </c>
      <c r="M2993" t="s">
        <v>27251</v>
      </c>
      <c r="N2993" t="s">
        <v>27252</v>
      </c>
      <c r="Q2993" s="1">
        <v>44538</v>
      </c>
      <c r="R2993" t="s">
        <v>27253</v>
      </c>
      <c r="S2993" t="s">
        <v>27254</v>
      </c>
      <c r="T2993" t="s">
        <v>27255</v>
      </c>
    </row>
    <row r="2994" spans="1:20" x14ac:dyDescent="0.3">
      <c r="A2994" t="str">
        <f>"0611833314025"</f>
        <v>0611833314025</v>
      </c>
      <c r="B2994" t="str">
        <f>"MC1525"</f>
        <v>MC1525</v>
      </c>
      <c r="C2994" t="s">
        <v>33059</v>
      </c>
      <c r="D2994" t="s">
        <v>27267</v>
      </c>
      <c r="E2994" t="str">
        <f t="shared" si="46"/>
        <v>001390</v>
      </c>
      <c r="F2994" t="s">
        <v>27246</v>
      </c>
      <c r="G2994" t="s">
        <v>27247</v>
      </c>
      <c r="H2994" t="s">
        <v>27248</v>
      </c>
      <c r="I2994" t="s">
        <v>33060</v>
      </c>
      <c r="J2994" t="s">
        <v>6009</v>
      </c>
      <c r="L2994" t="s">
        <v>27250</v>
      </c>
      <c r="M2994" t="s">
        <v>27251</v>
      </c>
      <c r="N2994" t="s">
        <v>27252</v>
      </c>
      <c r="Q2994" s="1">
        <v>44538</v>
      </c>
      <c r="R2994" t="s">
        <v>27253</v>
      </c>
      <c r="S2994" t="s">
        <v>27254</v>
      </c>
      <c r="T2994" t="s">
        <v>27269</v>
      </c>
    </row>
    <row r="2995" spans="1:20" x14ac:dyDescent="0.3">
      <c r="A2995" t="str">
        <f>"0611833315025"</f>
        <v>0611833315025</v>
      </c>
      <c r="B2995" t="str">
        <f>"MC4094"</f>
        <v>MC4094</v>
      </c>
      <c r="C2995" t="s">
        <v>33061</v>
      </c>
      <c r="D2995" t="s">
        <v>28057</v>
      </c>
      <c r="E2995" t="str">
        <f t="shared" si="46"/>
        <v>001390</v>
      </c>
      <c r="F2995" t="s">
        <v>27246</v>
      </c>
      <c r="G2995" t="s">
        <v>27247</v>
      </c>
      <c r="H2995" t="s">
        <v>27248</v>
      </c>
      <c r="I2995" t="s">
        <v>33062</v>
      </c>
      <c r="J2995" t="s">
        <v>6011</v>
      </c>
      <c r="L2995" t="s">
        <v>27250</v>
      </c>
      <c r="M2995" t="s">
        <v>27251</v>
      </c>
      <c r="N2995" t="s">
        <v>27252</v>
      </c>
      <c r="P2995" t="s">
        <v>27925</v>
      </c>
      <c r="Q2995" s="1">
        <v>44538</v>
      </c>
      <c r="R2995" t="s">
        <v>27253</v>
      </c>
      <c r="S2995" t="s">
        <v>27254</v>
      </c>
      <c r="T2995" t="s">
        <v>27269</v>
      </c>
    </row>
    <row r="2996" spans="1:20" x14ac:dyDescent="0.3">
      <c r="A2996" t="str">
        <f>"0611833317025"</f>
        <v>0611833317025</v>
      </c>
      <c r="B2996" t="str">
        <f>"MC0198"</f>
        <v>MC0198</v>
      </c>
      <c r="C2996" t="s">
        <v>33063</v>
      </c>
      <c r="D2996" t="s">
        <v>27267</v>
      </c>
      <c r="E2996" t="str">
        <f t="shared" si="46"/>
        <v>001390</v>
      </c>
      <c r="F2996" t="s">
        <v>27246</v>
      </c>
      <c r="G2996" t="s">
        <v>27247</v>
      </c>
      <c r="H2996" t="s">
        <v>27248</v>
      </c>
      <c r="I2996" t="s">
        <v>33064</v>
      </c>
      <c r="J2996" t="s">
        <v>6013</v>
      </c>
      <c r="L2996" t="s">
        <v>27250</v>
      </c>
      <c r="M2996" t="s">
        <v>27251</v>
      </c>
      <c r="N2996" t="s">
        <v>27252</v>
      </c>
      <c r="Q2996" s="1">
        <v>44538</v>
      </c>
      <c r="R2996" t="s">
        <v>27253</v>
      </c>
      <c r="S2996" t="s">
        <v>27254</v>
      </c>
      <c r="T2996" t="s">
        <v>27269</v>
      </c>
    </row>
    <row r="2997" spans="1:20" x14ac:dyDescent="0.3">
      <c r="A2997" t="str">
        <f>"0611833318025"</f>
        <v>0611833318025</v>
      </c>
      <c r="B2997" t="str">
        <f>"MQ3215"</f>
        <v>MQ3215</v>
      </c>
      <c r="C2997" t="s">
        <v>33065</v>
      </c>
      <c r="D2997" t="s">
        <v>27267</v>
      </c>
      <c r="E2997" t="str">
        <f t="shared" si="46"/>
        <v>001390</v>
      </c>
      <c r="F2997" t="s">
        <v>27246</v>
      </c>
      <c r="G2997" t="s">
        <v>27247</v>
      </c>
      <c r="H2997" t="s">
        <v>27248</v>
      </c>
      <c r="I2997" t="s">
        <v>33066</v>
      </c>
      <c r="J2997" t="s">
        <v>6015</v>
      </c>
      <c r="L2997" t="s">
        <v>27250</v>
      </c>
      <c r="M2997" t="s">
        <v>27251</v>
      </c>
      <c r="N2997" t="s">
        <v>27252</v>
      </c>
      <c r="Q2997" s="1">
        <v>44538</v>
      </c>
      <c r="R2997" t="s">
        <v>27253</v>
      </c>
      <c r="S2997" t="s">
        <v>27254</v>
      </c>
      <c r="T2997" t="s">
        <v>27269</v>
      </c>
    </row>
    <row r="2998" spans="1:20" x14ac:dyDescent="0.3">
      <c r="A2998" t="str">
        <f>"0611833320025"</f>
        <v>0611833320025</v>
      </c>
      <c r="B2998" t="str">
        <f>"MQ7046"</f>
        <v>MQ7046</v>
      </c>
      <c r="C2998" t="s">
        <v>33067</v>
      </c>
      <c r="D2998" t="s">
        <v>27267</v>
      </c>
      <c r="E2998" t="str">
        <f t="shared" si="46"/>
        <v>001390</v>
      </c>
      <c r="F2998" t="s">
        <v>27246</v>
      </c>
      <c r="G2998" t="s">
        <v>27247</v>
      </c>
      <c r="H2998" t="s">
        <v>27248</v>
      </c>
      <c r="I2998" t="s">
        <v>33068</v>
      </c>
      <c r="J2998" t="s">
        <v>6019</v>
      </c>
      <c r="L2998" t="s">
        <v>27250</v>
      </c>
      <c r="M2998" t="s">
        <v>27251</v>
      </c>
      <c r="N2998" t="s">
        <v>27252</v>
      </c>
      <c r="Q2998" s="1">
        <v>44538</v>
      </c>
      <c r="R2998" t="s">
        <v>27253</v>
      </c>
      <c r="S2998" t="s">
        <v>27254</v>
      </c>
      <c r="T2998" t="s">
        <v>27269</v>
      </c>
    </row>
    <row r="2999" spans="1:20" x14ac:dyDescent="0.3">
      <c r="A2999" t="str">
        <f>"0611861436100"</f>
        <v>0611861436100</v>
      </c>
      <c r="B2999" t="str">
        <f>"CN5047"</f>
        <v>CN5047</v>
      </c>
      <c r="C2999" t="s">
        <v>33067</v>
      </c>
      <c r="D2999" t="s">
        <v>27335</v>
      </c>
      <c r="E2999" t="str">
        <f t="shared" si="46"/>
        <v>001390</v>
      </c>
      <c r="F2999" t="s">
        <v>27246</v>
      </c>
      <c r="G2999" t="s">
        <v>27247</v>
      </c>
      <c r="H2999" t="s">
        <v>27248</v>
      </c>
      <c r="I2999" t="s">
        <v>33069</v>
      </c>
      <c r="J2999" t="s">
        <v>6017</v>
      </c>
      <c r="L2999" t="s">
        <v>27250</v>
      </c>
      <c r="M2999" t="s">
        <v>27251</v>
      </c>
      <c r="N2999" t="s">
        <v>27252</v>
      </c>
      <c r="Q2999" s="1">
        <v>44846</v>
      </c>
      <c r="R2999" t="s">
        <v>27253</v>
      </c>
      <c r="S2999" t="s">
        <v>27254</v>
      </c>
      <c r="T2999" t="s">
        <v>27255</v>
      </c>
    </row>
    <row r="3000" spans="1:20" x14ac:dyDescent="0.3">
      <c r="A3000" t="str">
        <f>"0611861435050"</f>
        <v>0611861435050</v>
      </c>
      <c r="B3000" t="str">
        <f>"CR4230"</f>
        <v>CR4230</v>
      </c>
      <c r="C3000" t="s">
        <v>33070</v>
      </c>
      <c r="D3000" t="s">
        <v>27286</v>
      </c>
      <c r="E3000" t="str">
        <f t="shared" si="46"/>
        <v>001390</v>
      </c>
      <c r="F3000" t="s">
        <v>27246</v>
      </c>
      <c r="G3000" t="s">
        <v>27247</v>
      </c>
      <c r="H3000" t="s">
        <v>27248</v>
      </c>
      <c r="I3000" t="s">
        <v>33071</v>
      </c>
      <c r="J3000" t="s">
        <v>6021</v>
      </c>
      <c r="L3000" t="s">
        <v>27250</v>
      </c>
      <c r="M3000" t="s">
        <v>27251</v>
      </c>
      <c r="N3000" t="s">
        <v>27252</v>
      </c>
      <c r="Q3000" s="1">
        <v>44846</v>
      </c>
      <c r="R3000" t="s">
        <v>27253</v>
      </c>
      <c r="S3000" t="s">
        <v>27254</v>
      </c>
      <c r="T3000" t="s">
        <v>27265</v>
      </c>
    </row>
    <row r="3001" spans="1:20" x14ac:dyDescent="0.3">
      <c r="A3001" t="str">
        <f>"0611833321025"</f>
        <v>0611833321025</v>
      </c>
      <c r="B3001" t="str">
        <f>"MQ7047"</f>
        <v>MQ7047</v>
      </c>
      <c r="C3001" t="s">
        <v>33072</v>
      </c>
      <c r="D3001" t="s">
        <v>27267</v>
      </c>
      <c r="E3001" t="str">
        <f t="shared" si="46"/>
        <v>001390</v>
      </c>
      <c r="F3001" t="s">
        <v>27246</v>
      </c>
      <c r="G3001" t="s">
        <v>27247</v>
      </c>
      <c r="H3001" t="s">
        <v>27248</v>
      </c>
      <c r="I3001" t="s">
        <v>33073</v>
      </c>
      <c r="J3001" t="s">
        <v>6025</v>
      </c>
      <c r="L3001" t="s">
        <v>27250</v>
      </c>
      <c r="M3001" t="s">
        <v>27251</v>
      </c>
      <c r="N3001" t="s">
        <v>27252</v>
      </c>
      <c r="Q3001" s="1">
        <v>44538</v>
      </c>
      <c r="R3001" t="s">
        <v>27253</v>
      </c>
      <c r="S3001" t="s">
        <v>27254</v>
      </c>
      <c r="T3001" t="s">
        <v>27269</v>
      </c>
    </row>
    <row r="3002" spans="1:20" x14ac:dyDescent="0.3">
      <c r="A3002" t="str">
        <f>"0611861437100"</f>
        <v>0611861437100</v>
      </c>
      <c r="B3002" t="str">
        <f>"CN5048"</f>
        <v>CN5048</v>
      </c>
      <c r="C3002" t="s">
        <v>33072</v>
      </c>
      <c r="D3002" t="s">
        <v>27335</v>
      </c>
      <c r="E3002" t="str">
        <f t="shared" si="46"/>
        <v>001390</v>
      </c>
      <c r="F3002" t="s">
        <v>27246</v>
      </c>
      <c r="G3002" t="s">
        <v>27247</v>
      </c>
      <c r="H3002" t="s">
        <v>27248</v>
      </c>
      <c r="I3002" t="s">
        <v>33074</v>
      </c>
      <c r="J3002" t="s">
        <v>6023</v>
      </c>
      <c r="L3002" t="s">
        <v>27250</v>
      </c>
      <c r="M3002" t="s">
        <v>27251</v>
      </c>
      <c r="N3002" t="s">
        <v>27252</v>
      </c>
      <c r="Q3002" s="1">
        <v>44846</v>
      </c>
      <c r="R3002" t="s">
        <v>27253</v>
      </c>
      <c r="S3002" t="s">
        <v>27254</v>
      </c>
      <c r="T3002" t="s">
        <v>27255</v>
      </c>
    </row>
    <row r="3003" spans="1:20" x14ac:dyDescent="0.3">
      <c r="A3003" t="str">
        <f>"0611833322025"</f>
        <v>0611833322025</v>
      </c>
      <c r="B3003" t="str">
        <f>"MQ7048"</f>
        <v>MQ7048</v>
      </c>
      <c r="C3003" t="s">
        <v>33075</v>
      </c>
      <c r="D3003" t="s">
        <v>27267</v>
      </c>
      <c r="E3003" t="str">
        <f t="shared" si="46"/>
        <v>001390</v>
      </c>
      <c r="F3003" t="s">
        <v>27246</v>
      </c>
      <c r="G3003" t="s">
        <v>27247</v>
      </c>
      <c r="H3003" t="s">
        <v>27248</v>
      </c>
      <c r="I3003" t="s">
        <v>33076</v>
      </c>
      <c r="J3003" t="s">
        <v>6029</v>
      </c>
      <c r="L3003" t="s">
        <v>27250</v>
      </c>
      <c r="M3003" t="s">
        <v>27251</v>
      </c>
      <c r="N3003" t="s">
        <v>27252</v>
      </c>
      <c r="Q3003" s="1">
        <v>44538</v>
      </c>
      <c r="R3003" t="s">
        <v>27253</v>
      </c>
      <c r="S3003" t="s">
        <v>27254</v>
      </c>
      <c r="T3003" t="s">
        <v>27269</v>
      </c>
    </row>
    <row r="3004" spans="1:20" x14ac:dyDescent="0.3">
      <c r="A3004" t="str">
        <f>"0611861438100"</f>
        <v>0611861438100</v>
      </c>
      <c r="B3004" t="str">
        <f>"CN5049"</f>
        <v>CN5049</v>
      </c>
      <c r="C3004" t="s">
        <v>33075</v>
      </c>
      <c r="D3004" t="s">
        <v>27335</v>
      </c>
      <c r="E3004" t="str">
        <f t="shared" si="46"/>
        <v>001390</v>
      </c>
      <c r="F3004" t="s">
        <v>27246</v>
      </c>
      <c r="G3004" t="s">
        <v>27247</v>
      </c>
      <c r="H3004" t="s">
        <v>27248</v>
      </c>
      <c r="I3004" t="s">
        <v>33077</v>
      </c>
      <c r="J3004" t="s">
        <v>6027</v>
      </c>
      <c r="L3004" t="s">
        <v>27250</v>
      </c>
      <c r="M3004" t="s">
        <v>27251</v>
      </c>
      <c r="N3004" t="s">
        <v>27252</v>
      </c>
      <c r="Q3004" s="1">
        <v>44846</v>
      </c>
      <c r="R3004" t="s">
        <v>27253</v>
      </c>
      <c r="S3004" t="s">
        <v>27254</v>
      </c>
      <c r="T3004" t="s">
        <v>27255</v>
      </c>
    </row>
    <row r="3005" spans="1:20" x14ac:dyDescent="0.3">
      <c r="A3005" t="str">
        <f>"0611861439100"</f>
        <v>0611861439100</v>
      </c>
      <c r="B3005" t="str">
        <f>"CN5050"</f>
        <v>CN5050</v>
      </c>
      <c r="C3005" t="s">
        <v>33078</v>
      </c>
      <c r="D3005" t="s">
        <v>27335</v>
      </c>
      <c r="E3005" t="str">
        <f t="shared" si="46"/>
        <v>001390</v>
      </c>
      <c r="F3005" t="s">
        <v>27246</v>
      </c>
      <c r="G3005" t="s">
        <v>27247</v>
      </c>
      <c r="H3005" t="s">
        <v>27248</v>
      </c>
      <c r="I3005" t="s">
        <v>33079</v>
      </c>
      <c r="J3005" t="s">
        <v>6031</v>
      </c>
      <c r="L3005" t="s">
        <v>27250</v>
      </c>
      <c r="M3005" t="s">
        <v>27251</v>
      </c>
      <c r="N3005" t="s">
        <v>27252</v>
      </c>
      <c r="Q3005" s="1">
        <v>44846</v>
      </c>
      <c r="R3005" t="s">
        <v>27253</v>
      </c>
      <c r="S3005" t="s">
        <v>27254</v>
      </c>
      <c r="T3005" t="s">
        <v>27255</v>
      </c>
    </row>
    <row r="3006" spans="1:20" x14ac:dyDescent="0.3">
      <c r="A3006" t="str">
        <f>"0611861440100"</f>
        <v>0611861440100</v>
      </c>
      <c r="B3006" t="str">
        <f>"CN5051"</f>
        <v>CN5051</v>
      </c>
      <c r="C3006" t="s">
        <v>33080</v>
      </c>
      <c r="D3006" t="s">
        <v>27335</v>
      </c>
      <c r="E3006" t="str">
        <f t="shared" si="46"/>
        <v>001390</v>
      </c>
      <c r="F3006" t="s">
        <v>27246</v>
      </c>
      <c r="G3006" t="s">
        <v>27247</v>
      </c>
      <c r="H3006" t="s">
        <v>27248</v>
      </c>
      <c r="I3006" t="s">
        <v>33081</v>
      </c>
      <c r="J3006" t="s">
        <v>6033</v>
      </c>
      <c r="L3006" t="s">
        <v>27250</v>
      </c>
      <c r="M3006" t="s">
        <v>27251</v>
      </c>
      <c r="N3006" t="s">
        <v>27252</v>
      </c>
      <c r="Q3006" s="1">
        <v>44846</v>
      </c>
      <c r="R3006" t="s">
        <v>27253</v>
      </c>
      <c r="S3006" t="s">
        <v>27254</v>
      </c>
      <c r="T3006" t="s">
        <v>27255</v>
      </c>
    </row>
    <row r="3007" spans="1:20" x14ac:dyDescent="0.3">
      <c r="A3007" t="str">
        <f>"0611861441050"</f>
        <v>0611861441050</v>
      </c>
      <c r="B3007" t="str">
        <f>"CR4226"</f>
        <v>CR4226</v>
      </c>
      <c r="C3007" t="s">
        <v>33082</v>
      </c>
      <c r="D3007" t="s">
        <v>27263</v>
      </c>
      <c r="E3007" t="str">
        <f t="shared" si="46"/>
        <v>001390</v>
      </c>
      <c r="F3007" t="s">
        <v>27246</v>
      </c>
      <c r="G3007" t="s">
        <v>27247</v>
      </c>
      <c r="H3007" t="s">
        <v>27248</v>
      </c>
      <c r="I3007" t="s">
        <v>33083</v>
      </c>
      <c r="J3007" t="s">
        <v>6035</v>
      </c>
      <c r="L3007" t="s">
        <v>27250</v>
      </c>
      <c r="M3007" t="s">
        <v>27251</v>
      </c>
      <c r="N3007" t="s">
        <v>27252</v>
      </c>
      <c r="Q3007" s="1">
        <v>44846</v>
      </c>
      <c r="R3007" t="s">
        <v>27253</v>
      </c>
      <c r="S3007" t="s">
        <v>27254</v>
      </c>
      <c r="T3007" t="s">
        <v>27265</v>
      </c>
    </row>
    <row r="3008" spans="1:20" x14ac:dyDescent="0.3">
      <c r="A3008" t="str">
        <f>"0611861442100"</f>
        <v>0611861442100</v>
      </c>
      <c r="B3008" t="str">
        <f>"CN5052"</f>
        <v>CN5052</v>
      </c>
      <c r="C3008" t="s">
        <v>33084</v>
      </c>
      <c r="D3008" t="s">
        <v>27245</v>
      </c>
      <c r="E3008" t="str">
        <f t="shared" si="46"/>
        <v>001390</v>
      </c>
      <c r="F3008" t="s">
        <v>27246</v>
      </c>
      <c r="G3008" t="s">
        <v>27247</v>
      </c>
      <c r="H3008" t="s">
        <v>27248</v>
      </c>
      <c r="I3008" t="s">
        <v>33085</v>
      </c>
      <c r="J3008" t="s">
        <v>6037</v>
      </c>
      <c r="L3008" t="s">
        <v>27250</v>
      </c>
      <c r="M3008" t="s">
        <v>27251</v>
      </c>
      <c r="N3008" t="s">
        <v>27252</v>
      </c>
      <c r="Q3008" s="1">
        <v>44846</v>
      </c>
      <c r="R3008" t="s">
        <v>27253</v>
      </c>
      <c r="S3008" t="s">
        <v>27254</v>
      </c>
      <c r="T3008" t="s">
        <v>27255</v>
      </c>
    </row>
    <row r="3009" spans="1:20" x14ac:dyDescent="0.3">
      <c r="A3009" t="str">
        <f>"0611861443050"</f>
        <v>0611861443050</v>
      </c>
      <c r="B3009" t="str">
        <f>"CR4239"</f>
        <v>CR4239</v>
      </c>
      <c r="C3009" t="s">
        <v>33084</v>
      </c>
      <c r="D3009" t="s">
        <v>27286</v>
      </c>
      <c r="E3009" t="str">
        <f t="shared" si="46"/>
        <v>001390</v>
      </c>
      <c r="F3009" t="s">
        <v>27246</v>
      </c>
      <c r="G3009" t="s">
        <v>27247</v>
      </c>
      <c r="H3009" t="s">
        <v>27248</v>
      </c>
      <c r="I3009" t="s">
        <v>33086</v>
      </c>
      <c r="J3009" t="s">
        <v>6039</v>
      </c>
      <c r="L3009" t="s">
        <v>27250</v>
      </c>
      <c r="M3009" t="s">
        <v>27251</v>
      </c>
      <c r="N3009" t="s">
        <v>27252</v>
      </c>
      <c r="Q3009" s="1">
        <v>44846</v>
      </c>
      <c r="R3009" t="s">
        <v>27253</v>
      </c>
      <c r="S3009" t="s">
        <v>27254</v>
      </c>
      <c r="T3009" t="s">
        <v>27265</v>
      </c>
    </row>
    <row r="3010" spans="1:20" x14ac:dyDescent="0.3">
      <c r="A3010" t="str">
        <f>"0611861444100"</f>
        <v>0611861444100</v>
      </c>
      <c r="B3010" t="str">
        <f>"CN5038"</f>
        <v>CN5038</v>
      </c>
      <c r="C3010" t="s">
        <v>33087</v>
      </c>
      <c r="D3010" t="s">
        <v>27335</v>
      </c>
      <c r="E3010" t="str">
        <f t="shared" ref="E3010:E3073" si="47">"001390"</f>
        <v>001390</v>
      </c>
      <c r="F3010" t="s">
        <v>27246</v>
      </c>
      <c r="G3010" t="s">
        <v>27247</v>
      </c>
      <c r="H3010" t="s">
        <v>27248</v>
      </c>
      <c r="I3010" t="s">
        <v>33088</v>
      </c>
      <c r="J3010" t="s">
        <v>6041</v>
      </c>
      <c r="L3010" t="s">
        <v>27250</v>
      </c>
      <c r="M3010" t="s">
        <v>27251</v>
      </c>
      <c r="N3010" t="s">
        <v>27252</v>
      </c>
      <c r="Q3010" s="1">
        <v>44846</v>
      </c>
      <c r="R3010" t="s">
        <v>27253</v>
      </c>
      <c r="S3010" t="s">
        <v>27254</v>
      </c>
      <c r="T3010" t="s">
        <v>27255</v>
      </c>
    </row>
    <row r="3011" spans="1:20" x14ac:dyDescent="0.3">
      <c r="A3011" t="str">
        <f>"0611861445100"</f>
        <v>0611861445100</v>
      </c>
      <c r="B3011" t="str">
        <f>"CN5039"</f>
        <v>CN5039</v>
      </c>
      <c r="C3011" t="s">
        <v>33089</v>
      </c>
      <c r="D3011" t="s">
        <v>27335</v>
      </c>
      <c r="E3011" t="str">
        <f t="shared" si="47"/>
        <v>001390</v>
      </c>
      <c r="F3011" t="s">
        <v>27246</v>
      </c>
      <c r="G3011" t="s">
        <v>27247</v>
      </c>
      <c r="H3011" t="s">
        <v>27248</v>
      </c>
      <c r="I3011" t="s">
        <v>33090</v>
      </c>
      <c r="J3011" t="s">
        <v>6043</v>
      </c>
      <c r="L3011" t="s">
        <v>27250</v>
      </c>
      <c r="M3011" t="s">
        <v>27251</v>
      </c>
      <c r="N3011" t="s">
        <v>27252</v>
      </c>
      <c r="Q3011" s="1">
        <v>44846</v>
      </c>
      <c r="R3011" t="s">
        <v>27253</v>
      </c>
      <c r="S3011" t="s">
        <v>27254</v>
      </c>
      <c r="T3011" t="s">
        <v>27255</v>
      </c>
    </row>
    <row r="3012" spans="1:20" x14ac:dyDescent="0.3">
      <c r="A3012" t="str">
        <f>"0611833325025"</f>
        <v>0611833325025</v>
      </c>
      <c r="B3012" t="str">
        <f>"MC4384"</f>
        <v>MC4384</v>
      </c>
      <c r="C3012" t="s">
        <v>33091</v>
      </c>
      <c r="D3012" t="s">
        <v>28057</v>
      </c>
      <c r="E3012" t="str">
        <f t="shared" si="47"/>
        <v>001390</v>
      </c>
      <c r="F3012" t="s">
        <v>27246</v>
      </c>
      <c r="G3012" t="s">
        <v>27247</v>
      </c>
      <c r="H3012" t="s">
        <v>27248</v>
      </c>
      <c r="I3012" t="s">
        <v>33092</v>
      </c>
      <c r="J3012" t="s">
        <v>6045</v>
      </c>
      <c r="L3012" t="s">
        <v>27250</v>
      </c>
      <c r="M3012" t="s">
        <v>27251</v>
      </c>
      <c r="N3012" t="s">
        <v>27252</v>
      </c>
      <c r="P3012" t="s">
        <v>27925</v>
      </c>
      <c r="Q3012" s="1">
        <v>44538</v>
      </c>
      <c r="R3012" t="s">
        <v>27253</v>
      </c>
      <c r="S3012" t="s">
        <v>27254</v>
      </c>
      <c r="T3012" t="s">
        <v>27269</v>
      </c>
    </row>
    <row r="3013" spans="1:20" x14ac:dyDescent="0.3">
      <c r="A3013" t="str">
        <f>"0611861446050"</f>
        <v>0611861446050</v>
      </c>
      <c r="B3013" t="str">
        <f>"CE1696"</f>
        <v>CE1696</v>
      </c>
      <c r="C3013" t="s">
        <v>33091</v>
      </c>
      <c r="D3013" t="s">
        <v>27923</v>
      </c>
      <c r="E3013" t="str">
        <f t="shared" si="47"/>
        <v>001390</v>
      </c>
      <c r="F3013" t="s">
        <v>27246</v>
      </c>
      <c r="G3013" t="s">
        <v>27247</v>
      </c>
      <c r="H3013" t="s">
        <v>27248</v>
      </c>
      <c r="I3013" t="s">
        <v>33093</v>
      </c>
      <c r="J3013" t="s">
        <v>6047</v>
      </c>
      <c r="L3013" t="s">
        <v>27250</v>
      </c>
      <c r="M3013" t="s">
        <v>27251</v>
      </c>
      <c r="N3013" t="s">
        <v>27252</v>
      </c>
      <c r="P3013" t="s">
        <v>27925</v>
      </c>
      <c r="Q3013" s="1">
        <v>44846</v>
      </c>
      <c r="R3013" t="s">
        <v>27253</v>
      </c>
      <c r="S3013" t="s">
        <v>27254</v>
      </c>
      <c r="T3013" t="s">
        <v>27265</v>
      </c>
    </row>
    <row r="3014" spans="1:20" x14ac:dyDescent="0.3">
      <c r="A3014" t="str">
        <f>"0611833326025"</f>
        <v>0611833326025</v>
      </c>
      <c r="B3014" t="str">
        <f>"MC4346"</f>
        <v>MC4346</v>
      </c>
      <c r="C3014" t="s">
        <v>33094</v>
      </c>
      <c r="D3014" t="s">
        <v>28057</v>
      </c>
      <c r="E3014" t="str">
        <f t="shared" si="47"/>
        <v>001390</v>
      </c>
      <c r="F3014" t="s">
        <v>27246</v>
      </c>
      <c r="G3014" t="s">
        <v>27247</v>
      </c>
      <c r="H3014" t="s">
        <v>27248</v>
      </c>
      <c r="I3014" t="s">
        <v>33095</v>
      </c>
      <c r="J3014" t="s">
        <v>6049</v>
      </c>
      <c r="L3014" t="s">
        <v>27250</v>
      </c>
      <c r="M3014" t="s">
        <v>27251</v>
      </c>
      <c r="N3014" t="s">
        <v>27252</v>
      </c>
      <c r="P3014" t="s">
        <v>27925</v>
      </c>
      <c r="Q3014" s="1">
        <v>44538</v>
      </c>
      <c r="R3014" t="s">
        <v>27253</v>
      </c>
      <c r="S3014" t="s">
        <v>27254</v>
      </c>
      <c r="T3014" t="s">
        <v>27269</v>
      </c>
    </row>
    <row r="3015" spans="1:20" x14ac:dyDescent="0.3">
      <c r="A3015" t="str">
        <f>"0611861447050"</f>
        <v>0611861447050</v>
      </c>
      <c r="B3015" t="str">
        <f>"CE1697"</f>
        <v>CE1697</v>
      </c>
      <c r="C3015" t="s">
        <v>33094</v>
      </c>
      <c r="D3015" t="s">
        <v>27923</v>
      </c>
      <c r="E3015" t="str">
        <f t="shared" si="47"/>
        <v>001390</v>
      </c>
      <c r="F3015" t="s">
        <v>27246</v>
      </c>
      <c r="G3015" t="s">
        <v>27247</v>
      </c>
      <c r="H3015" t="s">
        <v>27248</v>
      </c>
      <c r="I3015" t="s">
        <v>33096</v>
      </c>
      <c r="J3015" t="s">
        <v>6051</v>
      </c>
      <c r="L3015" t="s">
        <v>27250</v>
      </c>
      <c r="M3015" t="s">
        <v>27251</v>
      </c>
      <c r="N3015" t="s">
        <v>27252</v>
      </c>
      <c r="P3015" t="s">
        <v>27925</v>
      </c>
      <c r="Q3015" s="1">
        <v>44846</v>
      </c>
      <c r="R3015" t="s">
        <v>27253</v>
      </c>
      <c r="S3015" t="s">
        <v>27254</v>
      </c>
      <c r="T3015" t="s">
        <v>27265</v>
      </c>
    </row>
    <row r="3016" spans="1:20" x14ac:dyDescent="0.3">
      <c r="A3016" t="str">
        <f>"0611833327025"</f>
        <v>0611833327025</v>
      </c>
      <c r="B3016" t="str">
        <f>"MQ0169"</f>
        <v>MQ0169</v>
      </c>
      <c r="C3016" t="s">
        <v>33097</v>
      </c>
      <c r="D3016" t="s">
        <v>27267</v>
      </c>
      <c r="E3016" t="str">
        <f t="shared" si="47"/>
        <v>001390</v>
      </c>
      <c r="F3016" t="s">
        <v>27246</v>
      </c>
      <c r="G3016" t="s">
        <v>27247</v>
      </c>
      <c r="H3016" t="s">
        <v>27248</v>
      </c>
      <c r="I3016" t="s">
        <v>33098</v>
      </c>
      <c r="J3016" t="s">
        <v>6053</v>
      </c>
      <c r="L3016" t="s">
        <v>27250</v>
      </c>
      <c r="M3016" t="s">
        <v>27251</v>
      </c>
      <c r="N3016" t="s">
        <v>27252</v>
      </c>
      <c r="Q3016" s="1">
        <v>44538</v>
      </c>
      <c r="R3016" t="s">
        <v>27253</v>
      </c>
      <c r="S3016" t="s">
        <v>27254</v>
      </c>
      <c r="T3016" t="s">
        <v>27269</v>
      </c>
    </row>
    <row r="3017" spans="1:20" x14ac:dyDescent="0.3">
      <c r="A3017" t="str">
        <f>"0611833328025"</f>
        <v>0611833328025</v>
      </c>
      <c r="B3017" t="str">
        <f>"MQ0615"</f>
        <v>MQ0615</v>
      </c>
      <c r="C3017" t="s">
        <v>33099</v>
      </c>
      <c r="D3017" t="s">
        <v>28057</v>
      </c>
      <c r="E3017" t="str">
        <f t="shared" si="47"/>
        <v>001390</v>
      </c>
      <c r="F3017" t="s">
        <v>27246</v>
      </c>
      <c r="G3017" t="s">
        <v>27247</v>
      </c>
      <c r="H3017" t="s">
        <v>27248</v>
      </c>
      <c r="I3017" t="s">
        <v>33100</v>
      </c>
      <c r="J3017" t="s">
        <v>6055</v>
      </c>
      <c r="L3017" t="s">
        <v>27250</v>
      </c>
      <c r="M3017" t="s">
        <v>27251</v>
      </c>
      <c r="N3017" t="s">
        <v>27252</v>
      </c>
      <c r="P3017" t="s">
        <v>27925</v>
      </c>
      <c r="Q3017" s="1">
        <v>44538</v>
      </c>
      <c r="R3017" t="s">
        <v>27253</v>
      </c>
      <c r="S3017" t="s">
        <v>27254</v>
      </c>
      <c r="T3017" t="s">
        <v>27269</v>
      </c>
    </row>
    <row r="3018" spans="1:20" x14ac:dyDescent="0.3">
      <c r="A3018" t="str">
        <f>"0611833329025"</f>
        <v>0611833329025</v>
      </c>
      <c r="B3018" t="str">
        <f>"MQ0164"</f>
        <v>MQ0164</v>
      </c>
      <c r="C3018" t="s">
        <v>33101</v>
      </c>
      <c r="D3018" t="s">
        <v>27267</v>
      </c>
      <c r="E3018" t="str">
        <f t="shared" si="47"/>
        <v>001390</v>
      </c>
      <c r="F3018" t="s">
        <v>27246</v>
      </c>
      <c r="G3018" t="s">
        <v>27247</v>
      </c>
      <c r="H3018" t="s">
        <v>27248</v>
      </c>
      <c r="I3018" t="s">
        <v>33102</v>
      </c>
      <c r="J3018" t="s">
        <v>6057</v>
      </c>
      <c r="L3018" t="s">
        <v>27250</v>
      </c>
      <c r="M3018" t="s">
        <v>27251</v>
      </c>
      <c r="N3018" t="s">
        <v>27252</v>
      </c>
      <c r="Q3018" s="1">
        <v>44538</v>
      </c>
      <c r="R3018" t="s">
        <v>27253</v>
      </c>
      <c r="S3018" t="s">
        <v>27254</v>
      </c>
      <c r="T3018" t="s">
        <v>27269</v>
      </c>
    </row>
    <row r="3019" spans="1:20" x14ac:dyDescent="0.3">
      <c r="A3019" t="str">
        <f>"0611833332025"</f>
        <v>0611833332025</v>
      </c>
      <c r="B3019" t="str">
        <f>"MQ0166"</f>
        <v>MQ0166</v>
      </c>
      <c r="C3019" t="s">
        <v>33103</v>
      </c>
      <c r="D3019" t="s">
        <v>27267</v>
      </c>
      <c r="E3019" t="str">
        <f t="shared" si="47"/>
        <v>001390</v>
      </c>
      <c r="F3019" t="s">
        <v>27246</v>
      </c>
      <c r="G3019" t="s">
        <v>27247</v>
      </c>
      <c r="H3019" t="s">
        <v>27248</v>
      </c>
      <c r="I3019" t="s">
        <v>33104</v>
      </c>
      <c r="J3019" t="s">
        <v>6059</v>
      </c>
      <c r="L3019" t="s">
        <v>27250</v>
      </c>
      <c r="M3019" t="s">
        <v>27251</v>
      </c>
      <c r="N3019" t="s">
        <v>27252</v>
      </c>
      <c r="Q3019" s="1">
        <v>44538</v>
      </c>
      <c r="R3019" t="s">
        <v>27253</v>
      </c>
      <c r="S3019" t="s">
        <v>27254</v>
      </c>
      <c r="T3019" t="s">
        <v>27269</v>
      </c>
    </row>
    <row r="3020" spans="1:20" x14ac:dyDescent="0.3">
      <c r="A3020" t="str">
        <f>"0611833334025"</f>
        <v>0611833334025</v>
      </c>
      <c r="B3020" t="str">
        <f>"MQ5135"</f>
        <v>MQ5135</v>
      </c>
      <c r="C3020" t="s">
        <v>33105</v>
      </c>
      <c r="D3020" t="s">
        <v>27267</v>
      </c>
      <c r="E3020" t="str">
        <f t="shared" si="47"/>
        <v>001390</v>
      </c>
      <c r="F3020" t="s">
        <v>27246</v>
      </c>
      <c r="G3020" t="s">
        <v>27247</v>
      </c>
      <c r="H3020" t="s">
        <v>27248</v>
      </c>
      <c r="I3020" t="s">
        <v>33106</v>
      </c>
      <c r="J3020" t="s">
        <v>6061</v>
      </c>
      <c r="L3020" t="s">
        <v>27250</v>
      </c>
      <c r="M3020" t="s">
        <v>27251</v>
      </c>
      <c r="N3020" t="s">
        <v>27252</v>
      </c>
      <c r="Q3020" s="1">
        <v>44538</v>
      </c>
      <c r="R3020" t="s">
        <v>27253</v>
      </c>
      <c r="S3020" t="s">
        <v>27254</v>
      </c>
      <c r="T3020" t="s">
        <v>27269</v>
      </c>
    </row>
    <row r="3021" spans="1:20" x14ac:dyDescent="0.3">
      <c r="A3021" t="str">
        <f>"0611833335025"</f>
        <v>0611833335025</v>
      </c>
      <c r="B3021" t="str">
        <f>"MQ6011"</f>
        <v>MQ6011</v>
      </c>
      <c r="C3021" t="s">
        <v>33107</v>
      </c>
      <c r="D3021" t="s">
        <v>27267</v>
      </c>
      <c r="E3021" t="str">
        <f t="shared" si="47"/>
        <v>001390</v>
      </c>
      <c r="F3021" t="s">
        <v>27246</v>
      </c>
      <c r="G3021" t="s">
        <v>27247</v>
      </c>
      <c r="H3021" t="s">
        <v>27248</v>
      </c>
      <c r="I3021" t="s">
        <v>33108</v>
      </c>
      <c r="J3021" t="s">
        <v>6063</v>
      </c>
      <c r="L3021" t="s">
        <v>27250</v>
      </c>
      <c r="M3021" t="s">
        <v>27251</v>
      </c>
      <c r="N3021" t="s">
        <v>27252</v>
      </c>
      <c r="Q3021" s="1">
        <v>44538</v>
      </c>
      <c r="R3021" t="s">
        <v>27253</v>
      </c>
      <c r="S3021" t="s">
        <v>27254</v>
      </c>
      <c r="T3021" t="s">
        <v>27269</v>
      </c>
    </row>
    <row r="3022" spans="1:20" x14ac:dyDescent="0.3">
      <c r="A3022" t="str">
        <f>"0611833336025"</f>
        <v>0611833336025</v>
      </c>
      <c r="B3022" t="str">
        <f>"MC4284"</f>
        <v>MC4284</v>
      </c>
      <c r="C3022" t="s">
        <v>33109</v>
      </c>
      <c r="D3022" t="s">
        <v>27267</v>
      </c>
      <c r="E3022" t="str">
        <f t="shared" si="47"/>
        <v>001390</v>
      </c>
      <c r="F3022" t="s">
        <v>27246</v>
      </c>
      <c r="G3022" t="s">
        <v>27247</v>
      </c>
      <c r="H3022" t="s">
        <v>27248</v>
      </c>
      <c r="I3022" t="s">
        <v>33110</v>
      </c>
      <c r="J3022" t="s">
        <v>6065</v>
      </c>
      <c r="L3022" t="s">
        <v>27250</v>
      </c>
      <c r="M3022" t="s">
        <v>27251</v>
      </c>
      <c r="N3022" t="s">
        <v>27252</v>
      </c>
      <c r="Q3022" s="1">
        <v>44538</v>
      </c>
      <c r="R3022" t="s">
        <v>27253</v>
      </c>
      <c r="S3022" t="s">
        <v>27254</v>
      </c>
      <c r="T3022" t="s">
        <v>27269</v>
      </c>
    </row>
    <row r="3023" spans="1:20" x14ac:dyDescent="0.3">
      <c r="A3023" t="str">
        <f>"0611833337100"</f>
        <v>0611833337100</v>
      </c>
      <c r="B3023" t="str">
        <f>"LH2863"</f>
        <v>LH2863</v>
      </c>
      <c r="C3023" t="s">
        <v>33111</v>
      </c>
      <c r="D3023" t="s">
        <v>27245</v>
      </c>
      <c r="E3023" t="str">
        <f t="shared" si="47"/>
        <v>001390</v>
      </c>
      <c r="F3023" t="s">
        <v>27246</v>
      </c>
      <c r="G3023" t="s">
        <v>27247</v>
      </c>
      <c r="H3023" t="s">
        <v>27248</v>
      </c>
      <c r="I3023" t="s">
        <v>33112</v>
      </c>
      <c r="J3023" t="s">
        <v>6067</v>
      </c>
      <c r="L3023" t="s">
        <v>27250</v>
      </c>
      <c r="M3023" t="s">
        <v>27251</v>
      </c>
      <c r="N3023" t="s">
        <v>27252</v>
      </c>
      <c r="Q3023" s="1">
        <v>44538</v>
      </c>
      <c r="R3023" t="s">
        <v>27253</v>
      </c>
      <c r="S3023" t="s">
        <v>27254</v>
      </c>
      <c r="T3023" t="s">
        <v>27255</v>
      </c>
    </row>
    <row r="3024" spans="1:20" x14ac:dyDescent="0.3">
      <c r="A3024" t="str">
        <f>"0611833338025"</f>
        <v>0611833338025</v>
      </c>
      <c r="B3024" t="str">
        <f>"MC0199"</f>
        <v>MC0199</v>
      </c>
      <c r="C3024" t="s">
        <v>33111</v>
      </c>
      <c r="D3024" t="s">
        <v>27267</v>
      </c>
      <c r="E3024" t="str">
        <f t="shared" si="47"/>
        <v>001390</v>
      </c>
      <c r="F3024" t="s">
        <v>27246</v>
      </c>
      <c r="G3024" t="s">
        <v>27247</v>
      </c>
      <c r="H3024" t="s">
        <v>27248</v>
      </c>
      <c r="I3024" t="s">
        <v>33113</v>
      </c>
      <c r="J3024" t="s">
        <v>6069</v>
      </c>
      <c r="L3024" t="s">
        <v>27250</v>
      </c>
      <c r="M3024" t="s">
        <v>27251</v>
      </c>
      <c r="N3024" t="s">
        <v>27252</v>
      </c>
      <c r="Q3024" s="1">
        <v>44538</v>
      </c>
      <c r="R3024" t="s">
        <v>27253</v>
      </c>
      <c r="S3024" t="s">
        <v>27254</v>
      </c>
      <c r="T3024" t="s">
        <v>27269</v>
      </c>
    </row>
    <row r="3025" spans="1:20" x14ac:dyDescent="0.3">
      <c r="A3025" t="str">
        <f>"0611861448100"</f>
        <v>0611861448100</v>
      </c>
      <c r="B3025" t="str">
        <f>"CN2303"</f>
        <v>CN2303</v>
      </c>
      <c r="C3025" t="s">
        <v>33114</v>
      </c>
      <c r="D3025" t="s">
        <v>27335</v>
      </c>
      <c r="E3025" t="str">
        <f t="shared" si="47"/>
        <v>001390</v>
      </c>
      <c r="F3025" t="s">
        <v>27246</v>
      </c>
      <c r="G3025" t="s">
        <v>27247</v>
      </c>
      <c r="H3025" t="s">
        <v>27248</v>
      </c>
      <c r="I3025" t="s">
        <v>33115</v>
      </c>
      <c r="J3025" t="s">
        <v>6071</v>
      </c>
      <c r="L3025" t="s">
        <v>27250</v>
      </c>
      <c r="M3025" t="s">
        <v>27251</v>
      </c>
      <c r="N3025" t="s">
        <v>27252</v>
      </c>
      <c r="Q3025" s="1">
        <v>44846</v>
      </c>
      <c r="R3025" t="s">
        <v>27253</v>
      </c>
      <c r="S3025" t="s">
        <v>27254</v>
      </c>
      <c r="T3025" t="s">
        <v>27255</v>
      </c>
    </row>
    <row r="3026" spans="1:20" x14ac:dyDescent="0.3">
      <c r="A3026" t="str">
        <f>"0611861449100"</f>
        <v>0611861449100</v>
      </c>
      <c r="B3026" t="str">
        <f>"CN2304"</f>
        <v>CN2304</v>
      </c>
      <c r="C3026" t="s">
        <v>33116</v>
      </c>
      <c r="D3026" t="s">
        <v>27335</v>
      </c>
      <c r="E3026" t="str">
        <f t="shared" si="47"/>
        <v>001390</v>
      </c>
      <c r="F3026" t="s">
        <v>27246</v>
      </c>
      <c r="G3026" t="s">
        <v>27247</v>
      </c>
      <c r="H3026" t="s">
        <v>27248</v>
      </c>
      <c r="I3026" t="s">
        <v>33117</v>
      </c>
      <c r="J3026" t="s">
        <v>6073</v>
      </c>
      <c r="L3026" t="s">
        <v>27250</v>
      </c>
      <c r="M3026" t="s">
        <v>27251</v>
      </c>
      <c r="N3026" t="s">
        <v>27252</v>
      </c>
      <c r="Q3026" s="1">
        <v>44846</v>
      </c>
      <c r="R3026" t="s">
        <v>27253</v>
      </c>
      <c r="S3026" t="s">
        <v>27254</v>
      </c>
      <c r="T3026" t="s">
        <v>27255</v>
      </c>
    </row>
    <row r="3027" spans="1:20" x14ac:dyDescent="0.3">
      <c r="A3027" t="str">
        <f>"0611861450100"</f>
        <v>0611861450100</v>
      </c>
      <c r="B3027" t="str">
        <f>"CN2305"</f>
        <v>CN2305</v>
      </c>
      <c r="C3027" t="s">
        <v>33118</v>
      </c>
      <c r="D3027" t="s">
        <v>27335</v>
      </c>
      <c r="E3027" t="str">
        <f t="shared" si="47"/>
        <v>001390</v>
      </c>
      <c r="F3027" t="s">
        <v>27246</v>
      </c>
      <c r="G3027" t="s">
        <v>27247</v>
      </c>
      <c r="H3027" t="s">
        <v>27248</v>
      </c>
      <c r="I3027" t="s">
        <v>33119</v>
      </c>
      <c r="J3027" t="s">
        <v>6075</v>
      </c>
      <c r="L3027" t="s">
        <v>27250</v>
      </c>
      <c r="M3027" t="s">
        <v>27251</v>
      </c>
      <c r="N3027" t="s">
        <v>27252</v>
      </c>
      <c r="Q3027" s="1">
        <v>44846</v>
      </c>
      <c r="R3027" t="s">
        <v>27253</v>
      </c>
      <c r="S3027" t="s">
        <v>27254</v>
      </c>
      <c r="T3027" t="s">
        <v>27255</v>
      </c>
    </row>
    <row r="3028" spans="1:20" x14ac:dyDescent="0.3">
      <c r="A3028" t="str">
        <f>"0611861451100"</f>
        <v>0611861451100</v>
      </c>
      <c r="B3028" t="str">
        <f>"CN2306"</f>
        <v>CN2306</v>
      </c>
      <c r="C3028" t="s">
        <v>33120</v>
      </c>
      <c r="D3028" t="s">
        <v>27335</v>
      </c>
      <c r="E3028" t="str">
        <f t="shared" si="47"/>
        <v>001390</v>
      </c>
      <c r="F3028" t="s">
        <v>27246</v>
      </c>
      <c r="G3028" t="s">
        <v>27247</v>
      </c>
      <c r="H3028" t="s">
        <v>27248</v>
      </c>
      <c r="I3028" t="s">
        <v>33121</v>
      </c>
      <c r="J3028" t="s">
        <v>6077</v>
      </c>
      <c r="L3028" t="s">
        <v>27250</v>
      </c>
      <c r="M3028" t="s">
        <v>27251</v>
      </c>
      <c r="N3028" t="s">
        <v>27252</v>
      </c>
      <c r="Q3028" s="1">
        <v>44846</v>
      </c>
      <c r="R3028" t="s">
        <v>27253</v>
      </c>
      <c r="S3028" t="s">
        <v>27254</v>
      </c>
      <c r="T3028" t="s">
        <v>27255</v>
      </c>
    </row>
    <row r="3029" spans="1:20" x14ac:dyDescent="0.3">
      <c r="A3029" t="str">
        <f>"0611861452100"</f>
        <v>0611861452100</v>
      </c>
      <c r="B3029" t="str">
        <f>"CN2307"</f>
        <v>CN2307</v>
      </c>
      <c r="C3029" t="s">
        <v>33122</v>
      </c>
      <c r="D3029" t="s">
        <v>27335</v>
      </c>
      <c r="E3029" t="str">
        <f t="shared" si="47"/>
        <v>001390</v>
      </c>
      <c r="F3029" t="s">
        <v>27246</v>
      </c>
      <c r="G3029" t="s">
        <v>27247</v>
      </c>
      <c r="H3029" t="s">
        <v>27248</v>
      </c>
      <c r="I3029" t="s">
        <v>33123</v>
      </c>
      <c r="J3029" t="s">
        <v>6079</v>
      </c>
      <c r="L3029" t="s">
        <v>27250</v>
      </c>
      <c r="M3029" t="s">
        <v>27251</v>
      </c>
      <c r="N3029" t="s">
        <v>27252</v>
      </c>
      <c r="Q3029" s="1">
        <v>44846</v>
      </c>
      <c r="R3029" t="s">
        <v>27253</v>
      </c>
      <c r="S3029" t="s">
        <v>27254</v>
      </c>
      <c r="T3029" t="s">
        <v>27255</v>
      </c>
    </row>
    <row r="3030" spans="1:20" x14ac:dyDescent="0.3">
      <c r="A3030" t="str">
        <f>"0611833340025"</f>
        <v>0611833340025</v>
      </c>
      <c r="B3030" t="str">
        <f>"MQ0168"</f>
        <v>MQ0168</v>
      </c>
      <c r="C3030" t="s">
        <v>33124</v>
      </c>
      <c r="D3030" t="s">
        <v>27267</v>
      </c>
      <c r="E3030" t="str">
        <f t="shared" si="47"/>
        <v>001390</v>
      </c>
      <c r="F3030" t="s">
        <v>27246</v>
      </c>
      <c r="G3030" t="s">
        <v>27247</v>
      </c>
      <c r="H3030" t="s">
        <v>27248</v>
      </c>
      <c r="I3030" t="s">
        <v>33125</v>
      </c>
      <c r="J3030" t="s">
        <v>6081</v>
      </c>
      <c r="L3030" t="s">
        <v>27250</v>
      </c>
      <c r="M3030" t="s">
        <v>27251</v>
      </c>
      <c r="N3030" t="s">
        <v>27252</v>
      </c>
      <c r="Q3030" s="1">
        <v>44538</v>
      </c>
      <c r="R3030" t="s">
        <v>27253</v>
      </c>
      <c r="S3030" t="s">
        <v>27254</v>
      </c>
      <c r="T3030" t="s">
        <v>27269</v>
      </c>
    </row>
    <row r="3031" spans="1:20" x14ac:dyDescent="0.3">
      <c r="A3031" t="str">
        <f>"0611833342025"</f>
        <v>0611833342025</v>
      </c>
      <c r="B3031" t="str">
        <f>"MQ0416"</f>
        <v>MQ0416</v>
      </c>
      <c r="C3031" t="s">
        <v>33126</v>
      </c>
      <c r="D3031" t="s">
        <v>27267</v>
      </c>
      <c r="E3031" t="str">
        <f t="shared" si="47"/>
        <v>001390</v>
      </c>
      <c r="F3031" t="s">
        <v>27246</v>
      </c>
      <c r="G3031" t="s">
        <v>27247</v>
      </c>
      <c r="H3031" t="s">
        <v>27248</v>
      </c>
      <c r="I3031" t="s">
        <v>33127</v>
      </c>
      <c r="J3031" t="s">
        <v>6083</v>
      </c>
      <c r="L3031" t="s">
        <v>27250</v>
      </c>
      <c r="M3031" t="s">
        <v>27251</v>
      </c>
      <c r="N3031" t="s">
        <v>27252</v>
      </c>
      <c r="Q3031" s="1">
        <v>44538</v>
      </c>
      <c r="R3031" t="s">
        <v>27253</v>
      </c>
      <c r="S3031" t="s">
        <v>27254</v>
      </c>
      <c r="T3031" t="s">
        <v>27269</v>
      </c>
    </row>
    <row r="3032" spans="1:20" x14ac:dyDescent="0.3">
      <c r="A3032" t="str">
        <f>"0611833344025"</f>
        <v>0611833344025</v>
      </c>
      <c r="B3032" t="str">
        <f>"MQ6009"</f>
        <v>MQ6009</v>
      </c>
      <c r="C3032" t="s">
        <v>33128</v>
      </c>
      <c r="D3032" t="s">
        <v>27267</v>
      </c>
      <c r="E3032" t="str">
        <f t="shared" si="47"/>
        <v>001390</v>
      </c>
      <c r="F3032" t="s">
        <v>27246</v>
      </c>
      <c r="G3032" t="s">
        <v>27247</v>
      </c>
      <c r="H3032" t="s">
        <v>27248</v>
      </c>
      <c r="I3032" t="s">
        <v>33129</v>
      </c>
      <c r="J3032" t="s">
        <v>6085</v>
      </c>
      <c r="L3032" t="s">
        <v>27250</v>
      </c>
      <c r="M3032" t="s">
        <v>27251</v>
      </c>
      <c r="N3032" t="s">
        <v>27252</v>
      </c>
      <c r="Q3032" s="1">
        <v>44538</v>
      </c>
      <c r="R3032" t="s">
        <v>27253</v>
      </c>
      <c r="S3032" t="s">
        <v>27254</v>
      </c>
      <c r="T3032" t="s">
        <v>27269</v>
      </c>
    </row>
    <row r="3033" spans="1:20" x14ac:dyDescent="0.3">
      <c r="A3033" t="str">
        <f>"0611833345025"</f>
        <v>0611833345025</v>
      </c>
      <c r="B3033" t="str">
        <f>"MC4342"</f>
        <v>MC4342</v>
      </c>
      <c r="C3033" t="s">
        <v>33130</v>
      </c>
      <c r="D3033" t="s">
        <v>27267</v>
      </c>
      <c r="E3033" t="str">
        <f t="shared" si="47"/>
        <v>001390</v>
      </c>
      <c r="F3033" t="s">
        <v>27246</v>
      </c>
      <c r="G3033" t="s">
        <v>27247</v>
      </c>
      <c r="H3033" t="s">
        <v>27248</v>
      </c>
      <c r="I3033" t="s">
        <v>33131</v>
      </c>
      <c r="J3033" t="s">
        <v>6087</v>
      </c>
      <c r="L3033" t="s">
        <v>27250</v>
      </c>
      <c r="M3033" t="s">
        <v>27251</v>
      </c>
      <c r="N3033" t="s">
        <v>27252</v>
      </c>
      <c r="Q3033" s="1">
        <v>44538</v>
      </c>
      <c r="R3033" t="s">
        <v>27253</v>
      </c>
      <c r="S3033" t="s">
        <v>27254</v>
      </c>
      <c r="T3033" t="s">
        <v>27269</v>
      </c>
    </row>
    <row r="3034" spans="1:20" x14ac:dyDescent="0.3">
      <c r="A3034" t="str">
        <f>"0611833347025"</f>
        <v>0611833347025</v>
      </c>
      <c r="B3034" t="str">
        <f>"MQ3009"</f>
        <v>MQ3009</v>
      </c>
      <c r="C3034" t="s">
        <v>33132</v>
      </c>
      <c r="D3034" t="s">
        <v>27267</v>
      </c>
      <c r="E3034" t="str">
        <f t="shared" si="47"/>
        <v>001390</v>
      </c>
      <c r="F3034" t="s">
        <v>27246</v>
      </c>
      <c r="G3034" t="s">
        <v>27247</v>
      </c>
      <c r="H3034" t="s">
        <v>27248</v>
      </c>
      <c r="I3034" t="s">
        <v>33133</v>
      </c>
      <c r="J3034" t="s">
        <v>6089</v>
      </c>
      <c r="L3034" t="s">
        <v>27250</v>
      </c>
      <c r="M3034" t="s">
        <v>27251</v>
      </c>
      <c r="N3034" t="s">
        <v>27252</v>
      </c>
      <c r="Q3034" s="1">
        <v>44538</v>
      </c>
      <c r="R3034" t="s">
        <v>27253</v>
      </c>
      <c r="S3034" t="s">
        <v>27254</v>
      </c>
      <c r="T3034" t="s">
        <v>27269</v>
      </c>
    </row>
    <row r="3035" spans="1:20" x14ac:dyDescent="0.3">
      <c r="A3035" t="str">
        <f>"0611861454100"</f>
        <v>0611861454100</v>
      </c>
      <c r="B3035" t="str">
        <f>"CN5032"</f>
        <v>CN5032</v>
      </c>
      <c r="C3035" t="s">
        <v>33134</v>
      </c>
      <c r="D3035" t="s">
        <v>27245</v>
      </c>
      <c r="E3035" t="str">
        <f t="shared" si="47"/>
        <v>001390</v>
      </c>
      <c r="F3035" t="s">
        <v>27246</v>
      </c>
      <c r="G3035" t="s">
        <v>27247</v>
      </c>
      <c r="H3035" t="s">
        <v>27248</v>
      </c>
      <c r="I3035" t="s">
        <v>33135</v>
      </c>
      <c r="J3035" t="s">
        <v>6091</v>
      </c>
      <c r="L3035" t="s">
        <v>27250</v>
      </c>
      <c r="M3035" t="s">
        <v>27251</v>
      </c>
      <c r="N3035" t="s">
        <v>27252</v>
      </c>
      <c r="Q3035" s="1">
        <v>44846</v>
      </c>
      <c r="R3035" t="s">
        <v>27253</v>
      </c>
      <c r="S3035" t="s">
        <v>27254</v>
      </c>
      <c r="T3035" t="s">
        <v>27255</v>
      </c>
    </row>
    <row r="3036" spans="1:20" x14ac:dyDescent="0.3">
      <c r="A3036" t="str">
        <f>"0611861455050"</f>
        <v>0611861455050</v>
      </c>
      <c r="B3036" t="str">
        <f>"CR4218"</f>
        <v>CR4218</v>
      </c>
      <c r="C3036" t="s">
        <v>33134</v>
      </c>
      <c r="D3036" t="s">
        <v>27286</v>
      </c>
      <c r="E3036" t="str">
        <f t="shared" si="47"/>
        <v>001390</v>
      </c>
      <c r="F3036" t="s">
        <v>27246</v>
      </c>
      <c r="G3036" t="s">
        <v>27247</v>
      </c>
      <c r="H3036" t="s">
        <v>27248</v>
      </c>
      <c r="I3036" t="s">
        <v>33136</v>
      </c>
      <c r="J3036" t="s">
        <v>6093</v>
      </c>
      <c r="L3036" t="s">
        <v>27250</v>
      </c>
      <c r="M3036" t="s">
        <v>27251</v>
      </c>
      <c r="N3036" t="s">
        <v>27252</v>
      </c>
      <c r="Q3036" s="1">
        <v>44846</v>
      </c>
      <c r="R3036" t="s">
        <v>27253</v>
      </c>
      <c r="S3036" t="s">
        <v>27254</v>
      </c>
      <c r="T3036" t="s">
        <v>27265</v>
      </c>
    </row>
    <row r="3037" spans="1:20" x14ac:dyDescent="0.3">
      <c r="A3037" t="str">
        <f>"0611833348025"</f>
        <v>0611833348025</v>
      </c>
      <c r="B3037" t="str">
        <f>"MQ6012"</f>
        <v>MQ6012</v>
      </c>
      <c r="C3037" t="s">
        <v>33137</v>
      </c>
      <c r="D3037" t="s">
        <v>27267</v>
      </c>
      <c r="E3037" t="str">
        <f t="shared" si="47"/>
        <v>001390</v>
      </c>
      <c r="F3037" t="s">
        <v>27246</v>
      </c>
      <c r="G3037" t="s">
        <v>27247</v>
      </c>
      <c r="H3037" t="s">
        <v>27248</v>
      </c>
      <c r="I3037" t="s">
        <v>33138</v>
      </c>
      <c r="J3037" t="s">
        <v>6095</v>
      </c>
      <c r="L3037" t="s">
        <v>27250</v>
      </c>
      <c r="M3037" t="s">
        <v>27251</v>
      </c>
      <c r="N3037" t="s">
        <v>27252</v>
      </c>
      <c r="Q3037" s="1">
        <v>44538</v>
      </c>
      <c r="R3037" t="s">
        <v>27253</v>
      </c>
      <c r="S3037" t="s">
        <v>27254</v>
      </c>
      <c r="T3037" t="s">
        <v>27269</v>
      </c>
    </row>
    <row r="3038" spans="1:20" x14ac:dyDescent="0.3">
      <c r="A3038" t="str">
        <f>"0611861456100"</f>
        <v>0611861456100</v>
      </c>
      <c r="B3038" t="str">
        <f>"CN5028"</f>
        <v>CN5028</v>
      </c>
      <c r="C3038" t="s">
        <v>33139</v>
      </c>
      <c r="D3038" t="s">
        <v>27335</v>
      </c>
      <c r="E3038" t="str">
        <f t="shared" si="47"/>
        <v>001390</v>
      </c>
      <c r="F3038" t="s">
        <v>27246</v>
      </c>
      <c r="G3038" t="s">
        <v>27247</v>
      </c>
      <c r="H3038" t="s">
        <v>27248</v>
      </c>
      <c r="I3038" t="s">
        <v>33140</v>
      </c>
      <c r="J3038" t="s">
        <v>6097</v>
      </c>
      <c r="L3038" t="s">
        <v>27250</v>
      </c>
      <c r="M3038" t="s">
        <v>27251</v>
      </c>
      <c r="N3038" t="s">
        <v>27252</v>
      </c>
      <c r="Q3038" s="1">
        <v>44846</v>
      </c>
      <c r="R3038" t="s">
        <v>27253</v>
      </c>
      <c r="S3038" t="s">
        <v>27254</v>
      </c>
      <c r="T3038" t="s">
        <v>27255</v>
      </c>
    </row>
    <row r="3039" spans="1:20" x14ac:dyDescent="0.3">
      <c r="A3039" t="str">
        <f>"0611861457050"</f>
        <v>0611861457050</v>
      </c>
      <c r="B3039" t="str">
        <f>"CR3790"</f>
        <v>CR3790</v>
      </c>
      <c r="C3039" t="s">
        <v>33141</v>
      </c>
      <c r="D3039" t="s">
        <v>27263</v>
      </c>
      <c r="E3039" t="str">
        <f t="shared" si="47"/>
        <v>001390</v>
      </c>
      <c r="F3039" t="s">
        <v>27246</v>
      </c>
      <c r="G3039" t="s">
        <v>27247</v>
      </c>
      <c r="H3039" t="s">
        <v>27248</v>
      </c>
      <c r="I3039" t="s">
        <v>33142</v>
      </c>
      <c r="J3039" t="s">
        <v>6099</v>
      </c>
      <c r="L3039" t="s">
        <v>27250</v>
      </c>
      <c r="M3039" t="s">
        <v>27251</v>
      </c>
      <c r="N3039" t="s">
        <v>27252</v>
      </c>
      <c r="Q3039" s="1">
        <v>44846</v>
      </c>
      <c r="R3039" t="s">
        <v>27253</v>
      </c>
      <c r="S3039" t="s">
        <v>27254</v>
      </c>
      <c r="T3039" t="s">
        <v>27265</v>
      </c>
    </row>
    <row r="3040" spans="1:20" x14ac:dyDescent="0.3">
      <c r="A3040" t="str">
        <f>"0611861458100"</f>
        <v>0611861458100</v>
      </c>
      <c r="B3040" t="str">
        <f>"CN5029"</f>
        <v>CN5029</v>
      </c>
      <c r="C3040" t="s">
        <v>33143</v>
      </c>
      <c r="D3040" t="s">
        <v>27335</v>
      </c>
      <c r="E3040" t="str">
        <f t="shared" si="47"/>
        <v>001390</v>
      </c>
      <c r="F3040" t="s">
        <v>27246</v>
      </c>
      <c r="G3040" t="s">
        <v>27247</v>
      </c>
      <c r="H3040" t="s">
        <v>27248</v>
      </c>
      <c r="I3040" t="s">
        <v>33144</v>
      </c>
      <c r="J3040" t="s">
        <v>6101</v>
      </c>
      <c r="L3040" t="s">
        <v>27250</v>
      </c>
      <c r="M3040" t="s">
        <v>27251</v>
      </c>
      <c r="N3040" t="s">
        <v>27252</v>
      </c>
      <c r="Q3040" s="1">
        <v>44846</v>
      </c>
      <c r="R3040" t="s">
        <v>27253</v>
      </c>
      <c r="S3040" t="s">
        <v>27254</v>
      </c>
      <c r="T3040" t="s">
        <v>27255</v>
      </c>
    </row>
    <row r="3041" spans="1:20" x14ac:dyDescent="0.3">
      <c r="A3041" t="str">
        <f>"0611861459050"</f>
        <v>0611861459050</v>
      </c>
      <c r="B3041" t="str">
        <f>"CR4214"</f>
        <v>CR4214</v>
      </c>
      <c r="C3041" t="s">
        <v>33143</v>
      </c>
      <c r="D3041" t="s">
        <v>27263</v>
      </c>
      <c r="E3041" t="str">
        <f t="shared" si="47"/>
        <v>001390</v>
      </c>
      <c r="F3041" t="s">
        <v>27246</v>
      </c>
      <c r="G3041" t="s">
        <v>27247</v>
      </c>
      <c r="H3041" t="s">
        <v>27248</v>
      </c>
      <c r="I3041" t="s">
        <v>33145</v>
      </c>
      <c r="J3041" t="s">
        <v>6103</v>
      </c>
      <c r="L3041" t="s">
        <v>27250</v>
      </c>
      <c r="M3041" t="s">
        <v>27251</v>
      </c>
      <c r="N3041" t="s">
        <v>27252</v>
      </c>
      <c r="Q3041" s="1">
        <v>44846</v>
      </c>
      <c r="R3041" t="s">
        <v>27253</v>
      </c>
      <c r="S3041" t="s">
        <v>27254</v>
      </c>
      <c r="T3041" t="s">
        <v>27265</v>
      </c>
    </row>
    <row r="3042" spans="1:20" x14ac:dyDescent="0.3">
      <c r="A3042" t="str">
        <f>"0611861460100"</f>
        <v>0611861460100</v>
      </c>
      <c r="B3042" t="str">
        <f>"CN5030"</f>
        <v>CN5030</v>
      </c>
      <c r="C3042" t="s">
        <v>33146</v>
      </c>
      <c r="D3042" t="s">
        <v>27335</v>
      </c>
      <c r="E3042" t="str">
        <f t="shared" si="47"/>
        <v>001390</v>
      </c>
      <c r="F3042" t="s">
        <v>27246</v>
      </c>
      <c r="G3042" t="s">
        <v>27247</v>
      </c>
      <c r="H3042" t="s">
        <v>27248</v>
      </c>
      <c r="I3042" t="s">
        <v>33147</v>
      </c>
      <c r="J3042" t="s">
        <v>6105</v>
      </c>
      <c r="L3042" t="s">
        <v>27250</v>
      </c>
      <c r="M3042" t="s">
        <v>27251</v>
      </c>
      <c r="N3042" t="s">
        <v>27252</v>
      </c>
      <c r="Q3042" s="1">
        <v>44846</v>
      </c>
      <c r="R3042" t="s">
        <v>27253</v>
      </c>
      <c r="S3042" t="s">
        <v>27254</v>
      </c>
      <c r="T3042" t="s">
        <v>27255</v>
      </c>
    </row>
    <row r="3043" spans="1:20" x14ac:dyDescent="0.3">
      <c r="A3043" t="str">
        <f>"0611861461100"</f>
        <v>0611861461100</v>
      </c>
      <c r="B3043" t="str">
        <f>"CN5031"</f>
        <v>CN5031</v>
      </c>
      <c r="C3043" t="s">
        <v>33148</v>
      </c>
      <c r="D3043" t="s">
        <v>27335</v>
      </c>
      <c r="E3043" t="str">
        <f t="shared" si="47"/>
        <v>001390</v>
      </c>
      <c r="F3043" t="s">
        <v>27246</v>
      </c>
      <c r="G3043" t="s">
        <v>27247</v>
      </c>
      <c r="H3043" t="s">
        <v>27248</v>
      </c>
      <c r="I3043" t="s">
        <v>33149</v>
      </c>
      <c r="J3043" t="s">
        <v>6107</v>
      </c>
      <c r="L3043" t="s">
        <v>27250</v>
      </c>
      <c r="M3043" t="s">
        <v>27251</v>
      </c>
      <c r="N3043" t="s">
        <v>27252</v>
      </c>
      <c r="Q3043" s="1">
        <v>44846</v>
      </c>
      <c r="R3043" t="s">
        <v>27253</v>
      </c>
      <c r="S3043" t="s">
        <v>27254</v>
      </c>
      <c r="T3043" t="s">
        <v>27255</v>
      </c>
    </row>
    <row r="3044" spans="1:20" x14ac:dyDescent="0.3">
      <c r="A3044" t="str">
        <f>"0611861462050"</f>
        <v>0611861462050</v>
      </c>
      <c r="B3044" t="str">
        <f>"CR3792"</f>
        <v>CR3792</v>
      </c>
      <c r="C3044" t="s">
        <v>33148</v>
      </c>
      <c r="D3044" t="s">
        <v>27263</v>
      </c>
      <c r="E3044" t="str">
        <f t="shared" si="47"/>
        <v>001390</v>
      </c>
      <c r="F3044" t="s">
        <v>27246</v>
      </c>
      <c r="G3044" t="s">
        <v>27247</v>
      </c>
      <c r="H3044" t="s">
        <v>27248</v>
      </c>
      <c r="I3044" t="s">
        <v>33150</v>
      </c>
      <c r="J3044" t="s">
        <v>6109</v>
      </c>
      <c r="L3044" t="s">
        <v>27250</v>
      </c>
      <c r="M3044" t="s">
        <v>27251</v>
      </c>
      <c r="N3044" t="s">
        <v>27252</v>
      </c>
      <c r="Q3044" s="1">
        <v>44846</v>
      </c>
      <c r="R3044" t="s">
        <v>27253</v>
      </c>
      <c r="S3044" t="s">
        <v>27254</v>
      </c>
      <c r="T3044" t="s">
        <v>27265</v>
      </c>
    </row>
    <row r="3045" spans="1:20" x14ac:dyDescent="0.3">
      <c r="A3045" t="str">
        <f>"0611833349025"</f>
        <v>0611833349025</v>
      </c>
      <c r="B3045" t="str">
        <f>"MQ6013"</f>
        <v>MQ6013</v>
      </c>
      <c r="C3045" t="s">
        <v>33151</v>
      </c>
      <c r="D3045" t="s">
        <v>27267</v>
      </c>
      <c r="E3045" t="str">
        <f t="shared" si="47"/>
        <v>001390</v>
      </c>
      <c r="F3045" t="s">
        <v>27246</v>
      </c>
      <c r="G3045" t="s">
        <v>27247</v>
      </c>
      <c r="H3045" t="s">
        <v>27248</v>
      </c>
      <c r="I3045" t="s">
        <v>33152</v>
      </c>
      <c r="J3045" t="s">
        <v>6111</v>
      </c>
      <c r="L3045" t="s">
        <v>27250</v>
      </c>
      <c r="M3045" t="s">
        <v>27251</v>
      </c>
      <c r="N3045" t="s">
        <v>27252</v>
      </c>
      <c r="Q3045" s="1">
        <v>44538</v>
      </c>
      <c r="R3045" t="s">
        <v>27253</v>
      </c>
      <c r="S3045" t="s">
        <v>27254</v>
      </c>
      <c r="T3045" t="s">
        <v>27269</v>
      </c>
    </row>
    <row r="3046" spans="1:20" x14ac:dyDescent="0.3">
      <c r="A3046" t="str">
        <f>"0611861463100"</f>
        <v>0611861463100</v>
      </c>
      <c r="B3046" t="str">
        <f>"CN5053"</f>
        <v>CN5053</v>
      </c>
      <c r="C3046" t="s">
        <v>33153</v>
      </c>
      <c r="D3046" t="s">
        <v>27335</v>
      </c>
      <c r="E3046" t="str">
        <f t="shared" si="47"/>
        <v>001390</v>
      </c>
      <c r="F3046" t="s">
        <v>27246</v>
      </c>
      <c r="G3046" t="s">
        <v>27247</v>
      </c>
      <c r="H3046" t="s">
        <v>27248</v>
      </c>
      <c r="I3046" t="s">
        <v>33154</v>
      </c>
      <c r="J3046" t="s">
        <v>6113</v>
      </c>
      <c r="L3046" t="s">
        <v>27250</v>
      </c>
      <c r="M3046" t="s">
        <v>27251</v>
      </c>
      <c r="N3046" t="s">
        <v>27252</v>
      </c>
      <c r="Q3046" s="1">
        <v>44846</v>
      </c>
      <c r="R3046" t="s">
        <v>27253</v>
      </c>
      <c r="S3046" t="s">
        <v>27254</v>
      </c>
      <c r="T3046" t="s">
        <v>27255</v>
      </c>
    </row>
    <row r="3047" spans="1:20" x14ac:dyDescent="0.3">
      <c r="A3047" t="str">
        <f>"0611861466100"</f>
        <v>0611861466100</v>
      </c>
      <c r="B3047" t="str">
        <f>"CN2347"</f>
        <v>CN2347</v>
      </c>
      <c r="C3047" t="s">
        <v>33155</v>
      </c>
      <c r="D3047" t="s">
        <v>27335</v>
      </c>
      <c r="E3047" t="str">
        <f t="shared" si="47"/>
        <v>001390</v>
      </c>
      <c r="F3047" t="s">
        <v>27246</v>
      </c>
      <c r="G3047" t="s">
        <v>27247</v>
      </c>
      <c r="H3047" t="s">
        <v>27248</v>
      </c>
      <c r="I3047" t="s">
        <v>33156</v>
      </c>
      <c r="J3047" t="s">
        <v>6115</v>
      </c>
      <c r="L3047" t="s">
        <v>27250</v>
      </c>
      <c r="M3047" t="s">
        <v>27251</v>
      </c>
      <c r="N3047" t="s">
        <v>27252</v>
      </c>
      <c r="Q3047" s="1">
        <v>44846</v>
      </c>
      <c r="R3047" t="s">
        <v>27253</v>
      </c>
      <c r="S3047" t="s">
        <v>27254</v>
      </c>
      <c r="T3047" t="s">
        <v>27255</v>
      </c>
    </row>
    <row r="3048" spans="1:20" x14ac:dyDescent="0.3">
      <c r="A3048" t="str">
        <f>"0611833351025"</f>
        <v>0611833351025</v>
      </c>
      <c r="B3048" t="str">
        <f>"MQ7051"</f>
        <v>MQ7051</v>
      </c>
      <c r="C3048" t="s">
        <v>33157</v>
      </c>
      <c r="D3048" t="s">
        <v>27267</v>
      </c>
      <c r="E3048" t="str">
        <f t="shared" si="47"/>
        <v>001390</v>
      </c>
      <c r="F3048" t="s">
        <v>27246</v>
      </c>
      <c r="G3048" t="s">
        <v>27247</v>
      </c>
      <c r="H3048" t="s">
        <v>27248</v>
      </c>
      <c r="I3048" t="s">
        <v>33158</v>
      </c>
      <c r="J3048" t="s">
        <v>6119</v>
      </c>
      <c r="L3048" t="s">
        <v>27250</v>
      </c>
      <c r="M3048" t="s">
        <v>27251</v>
      </c>
      <c r="N3048" t="s">
        <v>27252</v>
      </c>
      <c r="Q3048" s="1">
        <v>44538</v>
      </c>
      <c r="R3048" t="s">
        <v>27253</v>
      </c>
      <c r="S3048" t="s">
        <v>27254</v>
      </c>
      <c r="T3048" t="s">
        <v>27269</v>
      </c>
    </row>
    <row r="3049" spans="1:20" x14ac:dyDescent="0.3">
      <c r="A3049" t="str">
        <f>"0611861464100"</f>
        <v>0611861464100</v>
      </c>
      <c r="B3049" t="str">
        <f>"CN5054"</f>
        <v>CN5054</v>
      </c>
      <c r="C3049" t="s">
        <v>33157</v>
      </c>
      <c r="D3049" t="s">
        <v>27335</v>
      </c>
      <c r="E3049" t="str">
        <f t="shared" si="47"/>
        <v>001390</v>
      </c>
      <c r="F3049" t="s">
        <v>27246</v>
      </c>
      <c r="G3049" t="s">
        <v>27247</v>
      </c>
      <c r="H3049" t="s">
        <v>27248</v>
      </c>
      <c r="I3049" t="s">
        <v>33159</v>
      </c>
      <c r="J3049" t="s">
        <v>6117</v>
      </c>
      <c r="L3049" t="s">
        <v>27250</v>
      </c>
      <c r="M3049" t="s">
        <v>27251</v>
      </c>
      <c r="N3049" t="s">
        <v>27252</v>
      </c>
      <c r="Q3049" s="1">
        <v>44846</v>
      </c>
      <c r="R3049" t="s">
        <v>27253</v>
      </c>
      <c r="S3049" t="s">
        <v>27254</v>
      </c>
      <c r="T3049" t="s">
        <v>27255</v>
      </c>
    </row>
    <row r="3050" spans="1:20" x14ac:dyDescent="0.3">
      <c r="A3050" t="str">
        <f>"0611861465050"</f>
        <v>0611861465050</v>
      </c>
      <c r="B3050" t="str">
        <f>"CR4233"</f>
        <v>CR4233</v>
      </c>
      <c r="C3050" t="s">
        <v>33160</v>
      </c>
      <c r="D3050" t="s">
        <v>27286</v>
      </c>
      <c r="E3050" t="str">
        <f t="shared" si="47"/>
        <v>001390</v>
      </c>
      <c r="F3050" t="s">
        <v>27246</v>
      </c>
      <c r="G3050" t="s">
        <v>27247</v>
      </c>
      <c r="H3050" t="s">
        <v>27248</v>
      </c>
      <c r="I3050" t="s">
        <v>33161</v>
      </c>
      <c r="J3050" t="s">
        <v>6121</v>
      </c>
      <c r="L3050" t="s">
        <v>27250</v>
      </c>
      <c r="M3050" t="s">
        <v>27251</v>
      </c>
      <c r="N3050" t="s">
        <v>27252</v>
      </c>
      <c r="Q3050" s="1">
        <v>44846</v>
      </c>
      <c r="R3050" t="s">
        <v>27253</v>
      </c>
      <c r="S3050" t="s">
        <v>27254</v>
      </c>
      <c r="T3050" t="s">
        <v>27265</v>
      </c>
    </row>
    <row r="3051" spans="1:20" x14ac:dyDescent="0.3">
      <c r="A3051" t="str">
        <f>"0611861468050"</f>
        <v>0611861468050</v>
      </c>
      <c r="B3051" t="str">
        <f>"CR4234"</f>
        <v>CR4234</v>
      </c>
      <c r="C3051" t="s">
        <v>33162</v>
      </c>
      <c r="D3051" t="s">
        <v>27263</v>
      </c>
      <c r="E3051" t="str">
        <f t="shared" si="47"/>
        <v>001390</v>
      </c>
      <c r="F3051" t="s">
        <v>27246</v>
      </c>
      <c r="G3051" t="s">
        <v>27247</v>
      </c>
      <c r="H3051" t="s">
        <v>27248</v>
      </c>
      <c r="I3051" t="s">
        <v>33163</v>
      </c>
      <c r="J3051" t="s">
        <v>6127</v>
      </c>
      <c r="L3051" t="s">
        <v>27250</v>
      </c>
      <c r="M3051" t="s">
        <v>27251</v>
      </c>
      <c r="N3051" t="s">
        <v>27252</v>
      </c>
      <c r="Q3051" s="1">
        <v>44846</v>
      </c>
      <c r="R3051" t="s">
        <v>27253</v>
      </c>
      <c r="S3051" t="s">
        <v>27254</v>
      </c>
      <c r="T3051" t="s">
        <v>27265</v>
      </c>
    </row>
    <row r="3052" spans="1:20" x14ac:dyDescent="0.3">
      <c r="A3052" t="str">
        <f>"0611833352025"</f>
        <v>0611833352025</v>
      </c>
      <c r="B3052" t="str">
        <f>"MQ7052"</f>
        <v>MQ7052</v>
      </c>
      <c r="C3052" t="s">
        <v>33164</v>
      </c>
      <c r="D3052" t="s">
        <v>27267</v>
      </c>
      <c r="E3052" t="str">
        <f t="shared" si="47"/>
        <v>001390</v>
      </c>
      <c r="F3052" t="s">
        <v>27246</v>
      </c>
      <c r="G3052" t="s">
        <v>27247</v>
      </c>
      <c r="H3052" t="s">
        <v>27248</v>
      </c>
      <c r="I3052" t="s">
        <v>33165</v>
      </c>
      <c r="J3052" t="s">
        <v>6123</v>
      </c>
      <c r="L3052" t="s">
        <v>27250</v>
      </c>
      <c r="M3052" t="s">
        <v>27251</v>
      </c>
      <c r="N3052" t="s">
        <v>27252</v>
      </c>
      <c r="Q3052" s="1">
        <v>44538</v>
      </c>
      <c r="R3052" t="s">
        <v>27253</v>
      </c>
      <c r="S3052" t="s">
        <v>27254</v>
      </c>
      <c r="T3052" t="s">
        <v>27269</v>
      </c>
    </row>
    <row r="3053" spans="1:20" x14ac:dyDescent="0.3">
      <c r="A3053" t="str">
        <f>"0611861467100"</f>
        <v>0611861467100</v>
      </c>
      <c r="B3053" t="str">
        <f>"CN5055"</f>
        <v>CN5055</v>
      </c>
      <c r="C3053" t="s">
        <v>33164</v>
      </c>
      <c r="D3053" t="s">
        <v>27335</v>
      </c>
      <c r="E3053" t="str">
        <f t="shared" si="47"/>
        <v>001390</v>
      </c>
      <c r="F3053" t="s">
        <v>27246</v>
      </c>
      <c r="G3053" t="s">
        <v>27247</v>
      </c>
      <c r="H3053" t="s">
        <v>27248</v>
      </c>
      <c r="I3053" t="s">
        <v>33166</v>
      </c>
      <c r="J3053" t="s">
        <v>6125</v>
      </c>
      <c r="L3053" t="s">
        <v>27250</v>
      </c>
      <c r="M3053" t="s">
        <v>27251</v>
      </c>
      <c r="N3053" t="s">
        <v>27252</v>
      </c>
      <c r="Q3053" s="1">
        <v>44846</v>
      </c>
      <c r="R3053" t="s">
        <v>27253</v>
      </c>
      <c r="S3053" t="s">
        <v>27254</v>
      </c>
      <c r="T3053" t="s">
        <v>27255</v>
      </c>
    </row>
    <row r="3054" spans="1:20" x14ac:dyDescent="0.3">
      <c r="A3054" t="str">
        <f>"0611861473050"</f>
        <v>0611861473050</v>
      </c>
      <c r="B3054" t="str">
        <f>"CR4227"</f>
        <v>CR4227</v>
      </c>
      <c r="C3054" t="s">
        <v>33164</v>
      </c>
      <c r="D3054" t="s">
        <v>27263</v>
      </c>
      <c r="E3054" t="str">
        <f t="shared" si="47"/>
        <v>001390</v>
      </c>
      <c r="F3054" t="s">
        <v>27246</v>
      </c>
      <c r="G3054" t="s">
        <v>27247</v>
      </c>
      <c r="H3054" t="s">
        <v>27248</v>
      </c>
      <c r="I3054" t="s">
        <v>33167</v>
      </c>
      <c r="J3054" t="s">
        <v>6139</v>
      </c>
      <c r="L3054" t="s">
        <v>27250</v>
      </c>
      <c r="M3054" t="s">
        <v>27251</v>
      </c>
      <c r="N3054" t="s">
        <v>27252</v>
      </c>
      <c r="Q3054" s="1">
        <v>44846</v>
      </c>
      <c r="R3054" t="s">
        <v>27253</v>
      </c>
      <c r="S3054" t="s">
        <v>27254</v>
      </c>
      <c r="T3054" t="s">
        <v>27265</v>
      </c>
    </row>
    <row r="3055" spans="1:20" x14ac:dyDescent="0.3">
      <c r="A3055" t="str">
        <f>"0611861469100"</f>
        <v>0611861469100</v>
      </c>
      <c r="B3055" t="str">
        <f>"CN5056"</f>
        <v>CN5056</v>
      </c>
      <c r="C3055" t="s">
        <v>33168</v>
      </c>
      <c r="D3055" t="s">
        <v>27335</v>
      </c>
      <c r="E3055" t="str">
        <f t="shared" si="47"/>
        <v>001390</v>
      </c>
      <c r="F3055" t="s">
        <v>27246</v>
      </c>
      <c r="G3055" t="s">
        <v>27247</v>
      </c>
      <c r="H3055" t="s">
        <v>27248</v>
      </c>
      <c r="I3055" t="s">
        <v>33169</v>
      </c>
      <c r="J3055" t="s">
        <v>6129</v>
      </c>
      <c r="L3055" t="s">
        <v>27250</v>
      </c>
      <c r="M3055" t="s">
        <v>27251</v>
      </c>
      <c r="N3055" t="s">
        <v>27252</v>
      </c>
      <c r="Q3055" s="1">
        <v>44846</v>
      </c>
      <c r="R3055" t="s">
        <v>27253</v>
      </c>
      <c r="S3055" t="s">
        <v>27254</v>
      </c>
      <c r="T3055" t="s">
        <v>27255</v>
      </c>
    </row>
    <row r="3056" spans="1:20" x14ac:dyDescent="0.3">
      <c r="A3056" t="str">
        <f>"0611861470100"</f>
        <v>0611861470100</v>
      </c>
      <c r="B3056" t="str">
        <f>"CN5057"</f>
        <v>CN5057</v>
      </c>
      <c r="C3056" t="s">
        <v>33170</v>
      </c>
      <c r="D3056" t="s">
        <v>27335</v>
      </c>
      <c r="E3056" t="str">
        <f t="shared" si="47"/>
        <v>001390</v>
      </c>
      <c r="F3056" t="s">
        <v>27246</v>
      </c>
      <c r="G3056" t="s">
        <v>27247</v>
      </c>
      <c r="H3056" t="s">
        <v>27248</v>
      </c>
      <c r="I3056" t="s">
        <v>33171</v>
      </c>
      <c r="J3056" t="s">
        <v>6131</v>
      </c>
      <c r="L3056" t="s">
        <v>27250</v>
      </c>
      <c r="M3056" t="s">
        <v>27251</v>
      </c>
      <c r="N3056" t="s">
        <v>27252</v>
      </c>
      <c r="Q3056" s="1">
        <v>44846</v>
      </c>
      <c r="R3056" t="s">
        <v>27253</v>
      </c>
      <c r="S3056" t="s">
        <v>27254</v>
      </c>
      <c r="T3056" t="s">
        <v>27255</v>
      </c>
    </row>
    <row r="3057" spans="1:20" x14ac:dyDescent="0.3">
      <c r="A3057" t="str">
        <f>"0611861471100"</f>
        <v>0611861471100</v>
      </c>
      <c r="B3057" t="str">
        <f>"CN5058"</f>
        <v>CN5058</v>
      </c>
      <c r="C3057" t="s">
        <v>33172</v>
      </c>
      <c r="D3057" t="s">
        <v>27335</v>
      </c>
      <c r="E3057" t="str">
        <f t="shared" si="47"/>
        <v>001390</v>
      </c>
      <c r="F3057" t="s">
        <v>27246</v>
      </c>
      <c r="G3057" t="s">
        <v>27247</v>
      </c>
      <c r="H3057" t="s">
        <v>27248</v>
      </c>
      <c r="I3057" t="s">
        <v>33173</v>
      </c>
      <c r="J3057" t="s">
        <v>6133</v>
      </c>
      <c r="L3057" t="s">
        <v>27250</v>
      </c>
      <c r="M3057" t="s">
        <v>27251</v>
      </c>
      <c r="N3057" t="s">
        <v>27252</v>
      </c>
      <c r="Q3057" s="1">
        <v>44846</v>
      </c>
      <c r="R3057" t="s">
        <v>27253</v>
      </c>
      <c r="S3057" t="s">
        <v>27254</v>
      </c>
      <c r="T3057" t="s">
        <v>27255</v>
      </c>
    </row>
    <row r="3058" spans="1:20" x14ac:dyDescent="0.3">
      <c r="A3058" t="str">
        <f>"0611833360025"</f>
        <v>0611833360025</v>
      </c>
      <c r="B3058" t="str">
        <f>"MQ7053"</f>
        <v>MQ7053</v>
      </c>
      <c r="C3058" t="s">
        <v>33174</v>
      </c>
      <c r="D3058" t="s">
        <v>27267</v>
      </c>
      <c r="E3058" t="str">
        <f t="shared" si="47"/>
        <v>001390</v>
      </c>
      <c r="F3058" t="s">
        <v>27246</v>
      </c>
      <c r="G3058" t="s">
        <v>27247</v>
      </c>
      <c r="H3058" t="s">
        <v>27248</v>
      </c>
      <c r="I3058" t="s">
        <v>33175</v>
      </c>
      <c r="J3058" t="s">
        <v>6137</v>
      </c>
      <c r="L3058" t="s">
        <v>27250</v>
      </c>
      <c r="M3058" t="s">
        <v>27251</v>
      </c>
      <c r="N3058" t="s">
        <v>27252</v>
      </c>
      <c r="Q3058" s="1">
        <v>44538</v>
      </c>
      <c r="R3058" t="s">
        <v>27253</v>
      </c>
      <c r="S3058" t="s">
        <v>27254</v>
      </c>
      <c r="T3058" t="s">
        <v>27269</v>
      </c>
    </row>
    <row r="3059" spans="1:20" x14ac:dyDescent="0.3">
      <c r="A3059" t="str">
        <f>"0611861472100"</f>
        <v>0611861472100</v>
      </c>
      <c r="B3059" t="str">
        <f>"CN5059"</f>
        <v>CN5059</v>
      </c>
      <c r="C3059" t="s">
        <v>33174</v>
      </c>
      <c r="D3059" t="s">
        <v>27335</v>
      </c>
      <c r="E3059" t="str">
        <f t="shared" si="47"/>
        <v>001390</v>
      </c>
      <c r="F3059" t="s">
        <v>27246</v>
      </c>
      <c r="G3059" t="s">
        <v>27247</v>
      </c>
      <c r="H3059" t="s">
        <v>27248</v>
      </c>
      <c r="I3059" t="s">
        <v>33176</v>
      </c>
      <c r="J3059" t="s">
        <v>6135</v>
      </c>
      <c r="L3059" t="s">
        <v>27250</v>
      </c>
      <c r="M3059" t="s">
        <v>27251</v>
      </c>
      <c r="N3059" t="s">
        <v>27252</v>
      </c>
      <c r="Q3059" s="1">
        <v>44846</v>
      </c>
      <c r="R3059" t="s">
        <v>27253</v>
      </c>
      <c r="S3059" t="s">
        <v>27254</v>
      </c>
      <c r="T3059" t="s">
        <v>27255</v>
      </c>
    </row>
    <row r="3060" spans="1:20" x14ac:dyDescent="0.3">
      <c r="A3060" t="str">
        <f>"0611833357025"</f>
        <v>0611833357025</v>
      </c>
      <c r="B3060" t="str">
        <f>"MQ7054"</f>
        <v>MQ7054</v>
      </c>
      <c r="C3060" t="s">
        <v>33177</v>
      </c>
      <c r="D3060" t="s">
        <v>27267</v>
      </c>
      <c r="E3060" t="str">
        <f t="shared" si="47"/>
        <v>001390</v>
      </c>
      <c r="F3060" t="s">
        <v>27246</v>
      </c>
      <c r="G3060" t="s">
        <v>27247</v>
      </c>
      <c r="H3060" t="s">
        <v>27248</v>
      </c>
      <c r="I3060" t="s">
        <v>33178</v>
      </c>
      <c r="J3060" t="s">
        <v>6143</v>
      </c>
      <c r="L3060" t="s">
        <v>27250</v>
      </c>
      <c r="M3060" t="s">
        <v>27251</v>
      </c>
      <c r="N3060" t="s">
        <v>27252</v>
      </c>
      <c r="Q3060" s="1">
        <v>44538</v>
      </c>
      <c r="R3060" t="s">
        <v>27253</v>
      </c>
      <c r="S3060" t="s">
        <v>27254</v>
      </c>
      <c r="T3060" t="s">
        <v>27269</v>
      </c>
    </row>
    <row r="3061" spans="1:20" x14ac:dyDescent="0.3">
      <c r="A3061" t="str">
        <f>"0611861474100"</f>
        <v>0611861474100</v>
      </c>
      <c r="B3061" t="str">
        <f>"CN5060"</f>
        <v>CN5060</v>
      </c>
      <c r="C3061" t="s">
        <v>33177</v>
      </c>
      <c r="D3061" t="s">
        <v>27335</v>
      </c>
      <c r="E3061" t="str">
        <f t="shared" si="47"/>
        <v>001390</v>
      </c>
      <c r="F3061" t="s">
        <v>27246</v>
      </c>
      <c r="G3061" t="s">
        <v>27247</v>
      </c>
      <c r="H3061" t="s">
        <v>27248</v>
      </c>
      <c r="I3061" t="s">
        <v>33179</v>
      </c>
      <c r="J3061" t="s">
        <v>6141</v>
      </c>
      <c r="L3061" t="s">
        <v>27250</v>
      </c>
      <c r="M3061" t="s">
        <v>27251</v>
      </c>
      <c r="N3061" t="s">
        <v>27252</v>
      </c>
      <c r="Q3061" s="1">
        <v>44846</v>
      </c>
      <c r="R3061" t="s">
        <v>27253</v>
      </c>
      <c r="S3061" t="s">
        <v>27254</v>
      </c>
      <c r="T3061" t="s">
        <v>27255</v>
      </c>
    </row>
    <row r="3062" spans="1:20" x14ac:dyDescent="0.3">
      <c r="A3062" t="str">
        <f>"0611861475050"</f>
        <v>0611861475050</v>
      </c>
      <c r="B3062" t="str">
        <f>"CR4236"</f>
        <v>CR4236</v>
      </c>
      <c r="C3062" t="s">
        <v>33180</v>
      </c>
      <c r="D3062" t="s">
        <v>27286</v>
      </c>
      <c r="E3062" t="str">
        <f t="shared" si="47"/>
        <v>001390</v>
      </c>
      <c r="F3062" t="s">
        <v>27246</v>
      </c>
      <c r="G3062" t="s">
        <v>27247</v>
      </c>
      <c r="H3062" t="s">
        <v>27248</v>
      </c>
      <c r="I3062" t="s">
        <v>33181</v>
      </c>
      <c r="J3062" t="s">
        <v>6145</v>
      </c>
      <c r="L3062" t="s">
        <v>27250</v>
      </c>
      <c r="M3062" t="s">
        <v>27251</v>
      </c>
      <c r="N3062" t="s">
        <v>27252</v>
      </c>
      <c r="Q3062" s="1">
        <v>44846</v>
      </c>
      <c r="R3062" t="s">
        <v>27253</v>
      </c>
      <c r="S3062" t="s">
        <v>27254</v>
      </c>
      <c r="T3062" t="s">
        <v>27265</v>
      </c>
    </row>
    <row r="3063" spans="1:20" x14ac:dyDescent="0.3">
      <c r="A3063" t="str">
        <f>"0611833358025"</f>
        <v>0611833358025</v>
      </c>
      <c r="B3063" t="str">
        <f>"MQ0474"</f>
        <v>MQ0474</v>
      </c>
      <c r="C3063" t="s">
        <v>33182</v>
      </c>
      <c r="D3063" t="s">
        <v>27267</v>
      </c>
      <c r="E3063" t="str">
        <f t="shared" si="47"/>
        <v>001390</v>
      </c>
      <c r="F3063" t="s">
        <v>27246</v>
      </c>
      <c r="G3063" t="s">
        <v>27247</v>
      </c>
      <c r="H3063" t="s">
        <v>27248</v>
      </c>
      <c r="I3063" t="s">
        <v>33183</v>
      </c>
      <c r="J3063" t="s">
        <v>6149</v>
      </c>
      <c r="L3063" t="s">
        <v>27250</v>
      </c>
      <c r="M3063" t="s">
        <v>27251</v>
      </c>
      <c r="N3063" t="s">
        <v>27252</v>
      </c>
      <c r="Q3063" s="1">
        <v>44538</v>
      </c>
      <c r="R3063" t="s">
        <v>27253</v>
      </c>
      <c r="S3063" t="s">
        <v>27254</v>
      </c>
      <c r="T3063" t="s">
        <v>27269</v>
      </c>
    </row>
    <row r="3064" spans="1:20" x14ac:dyDescent="0.3">
      <c r="A3064" t="str">
        <f>"0611861476100"</f>
        <v>0611861476100</v>
      </c>
      <c r="B3064" t="str">
        <f>"CN5061"</f>
        <v>CN5061</v>
      </c>
      <c r="C3064" t="s">
        <v>33182</v>
      </c>
      <c r="D3064" t="s">
        <v>27335</v>
      </c>
      <c r="E3064" t="str">
        <f t="shared" si="47"/>
        <v>001390</v>
      </c>
      <c r="F3064" t="s">
        <v>27246</v>
      </c>
      <c r="G3064" t="s">
        <v>27247</v>
      </c>
      <c r="H3064" t="s">
        <v>27248</v>
      </c>
      <c r="I3064" t="s">
        <v>33184</v>
      </c>
      <c r="J3064" t="s">
        <v>6147</v>
      </c>
      <c r="L3064" t="s">
        <v>27250</v>
      </c>
      <c r="M3064" t="s">
        <v>27251</v>
      </c>
      <c r="N3064" t="s">
        <v>27252</v>
      </c>
      <c r="Q3064" s="1">
        <v>44846</v>
      </c>
      <c r="R3064" t="s">
        <v>27253</v>
      </c>
      <c r="S3064" t="s">
        <v>27254</v>
      </c>
      <c r="T3064" t="s">
        <v>27255</v>
      </c>
    </row>
    <row r="3065" spans="1:20" x14ac:dyDescent="0.3">
      <c r="A3065" t="str">
        <f>"0611861477100"</f>
        <v>0611861477100</v>
      </c>
      <c r="B3065" t="str">
        <f>"CN5033"</f>
        <v>CN5033</v>
      </c>
      <c r="C3065" t="s">
        <v>33185</v>
      </c>
      <c r="D3065" t="s">
        <v>27335</v>
      </c>
      <c r="E3065" t="str">
        <f t="shared" si="47"/>
        <v>001390</v>
      </c>
      <c r="F3065" t="s">
        <v>27246</v>
      </c>
      <c r="G3065" t="s">
        <v>27247</v>
      </c>
      <c r="H3065" t="s">
        <v>27248</v>
      </c>
      <c r="I3065" t="s">
        <v>33186</v>
      </c>
      <c r="J3065" t="s">
        <v>6151</v>
      </c>
      <c r="L3065" t="s">
        <v>27250</v>
      </c>
      <c r="M3065" t="s">
        <v>27251</v>
      </c>
      <c r="N3065" t="s">
        <v>27252</v>
      </c>
      <c r="Q3065" s="1">
        <v>44846</v>
      </c>
      <c r="R3065" t="s">
        <v>27253</v>
      </c>
      <c r="S3065" t="s">
        <v>27254</v>
      </c>
      <c r="T3065" t="s">
        <v>27255</v>
      </c>
    </row>
    <row r="3066" spans="1:20" x14ac:dyDescent="0.3">
      <c r="A3066" t="str">
        <f>"0611861478050"</f>
        <v>0611861478050</v>
      </c>
      <c r="B3066" t="str">
        <f>"CR4216"</f>
        <v>CR4216</v>
      </c>
      <c r="C3066" t="s">
        <v>33187</v>
      </c>
      <c r="D3066" t="s">
        <v>27286</v>
      </c>
      <c r="E3066" t="str">
        <f t="shared" si="47"/>
        <v>001390</v>
      </c>
      <c r="F3066" t="s">
        <v>27246</v>
      </c>
      <c r="G3066" t="s">
        <v>27247</v>
      </c>
      <c r="H3066" t="s">
        <v>27248</v>
      </c>
      <c r="I3066" t="s">
        <v>33188</v>
      </c>
      <c r="J3066" t="s">
        <v>6153</v>
      </c>
      <c r="L3066" t="s">
        <v>27250</v>
      </c>
      <c r="M3066" t="s">
        <v>27251</v>
      </c>
      <c r="N3066" t="s">
        <v>27252</v>
      </c>
      <c r="Q3066" s="1">
        <v>44846</v>
      </c>
      <c r="R3066" t="s">
        <v>27253</v>
      </c>
      <c r="S3066" t="s">
        <v>27254</v>
      </c>
      <c r="T3066" t="s">
        <v>27265</v>
      </c>
    </row>
    <row r="3067" spans="1:20" x14ac:dyDescent="0.3">
      <c r="A3067" t="str">
        <f>"0611833361100"</f>
        <v>0611833361100</v>
      </c>
      <c r="B3067" t="str">
        <f>"LH2871"</f>
        <v>LH2871</v>
      </c>
      <c r="C3067" t="s">
        <v>33189</v>
      </c>
      <c r="D3067" t="s">
        <v>27245</v>
      </c>
      <c r="E3067" t="str">
        <f t="shared" si="47"/>
        <v>001390</v>
      </c>
      <c r="F3067" t="s">
        <v>27246</v>
      </c>
      <c r="G3067" t="s">
        <v>27247</v>
      </c>
      <c r="H3067" t="s">
        <v>27248</v>
      </c>
      <c r="I3067" t="s">
        <v>33190</v>
      </c>
      <c r="J3067" t="s">
        <v>6155</v>
      </c>
      <c r="L3067" t="s">
        <v>27250</v>
      </c>
      <c r="M3067" t="s">
        <v>27251</v>
      </c>
      <c r="N3067" t="s">
        <v>27252</v>
      </c>
      <c r="Q3067" s="1">
        <v>44538</v>
      </c>
      <c r="R3067" t="s">
        <v>27253</v>
      </c>
      <c r="S3067" t="s">
        <v>27254</v>
      </c>
      <c r="T3067" t="s">
        <v>27255</v>
      </c>
    </row>
    <row r="3068" spans="1:20" x14ac:dyDescent="0.3">
      <c r="A3068" t="str">
        <f>"0611833362025"</f>
        <v>0611833362025</v>
      </c>
      <c r="B3068" t="str">
        <f>"MC0201"</f>
        <v>MC0201</v>
      </c>
      <c r="C3068" t="s">
        <v>33189</v>
      </c>
      <c r="D3068" t="s">
        <v>27267</v>
      </c>
      <c r="E3068" t="str">
        <f t="shared" si="47"/>
        <v>001390</v>
      </c>
      <c r="F3068" t="s">
        <v>27246</v>
      </c>
      <c r="G3068" t="s">
        <v>27247</v>
      </c>
      <c r="H3068" t="s">
        <v>27248</v>
      </c>
      <c r="I3068" t="s">
        <v>33191</v>
      </c>
      <c r="J3068" t="s">
        <v>6157</v>
      </c>
      <c r="L3068" t="s">
        <v>27250</v>
      </c>
      <c r="M3068" t="s">
        <v>27251</v>
      </c>
      <c r="N3068" t="s">
        <v>27252</v>
      </c>
      <c r="Q3068" s="1">
        <v>44538</v>
      </c>
      <c r="R3068" t="s">
        <v>27253</v>
      </c>
      <c r="S3068" t="s">
        <v>27254</v>
      </c>
      <c r="T3068" t="s">
        <v>27269</v>
      </c>
    </row>
    <row r="3069" spans="1:20" x14ac:dyDescent="0.3">
      <c r="A3069" t="str">
        <f>"0611861479050"</f>
        <v>0611861479050</v>
      </c>
      <c r="B3069" t="str">
        <f>"CR3783"</f>
        <v>CR3783</v>
      </c>
      <c r="C3069" t="s">
        <v>33189</v>
      </c>
      <c r="D3069" t="s">
        <v>27263</v>
      </c>
      <c r="E3069" t="str">
        <f t="shared" si="47"/>
        <v>001390</v>
      </c>
      <c r="F3069" t="s">
        <v>27246</v>
      </c>
      <c r="G3069" t="s">
        <v>27247</v>
      </c>
      <c r="H3069" t="s">
        <v>27248</v>
      </c>
      <c r="I3069" t="s">
        <v>33192</v>
      </c>
      <c r="J3069" t="s">
        <v>6159</v>
      </c>
      <c r="L3069" t="s">
        <v>27250</v>
      </c>
      <c r="M3069" t="s">
        <v>27251</v>
      </c>
      <c r="N3069" t="s">
        <v>27252</v>
      </c>
      <c r="Q3069" s="1">
        <v>44846</v>
      </c>
      <c r="R3069" t="s">
        <v>27253</v>
      </c>
      <c r="S3069" t="s">
        <v>27254</v>
      </c>
      <c r="T3069" t="s">
        <v>27265</v>
      </c>
    </row>
    <row r="3070" spans="1:20" x14ac:dyDescent="0.3">
      <c r="A3070" t="str">
        <f>"0611861480100"</f>
        <v>0611861480100</v>
      </c>
      <c r="B3070" t="str">
        <f>"CN5045"</f>
        <v>CN5045</v>
      </c>
      <c r="C3070" t="s">
        <v>33193</v>
      </c>
      <c r="D3070" t="s">
        <v>27335</v>
      </c>
      <c r="E3070" t="str">
        <f t="shared" si="47"/>
        <v>001390</v>
      </c>
      <c r="F3070" t="s">
        <v>27246</v>
      </c>
      <c r="G3070" t="s">
        <v>27247</v>
      </c>
      <c r="H3070" t="s">
        <v>27248</v>
      </c>
      <c r="I3070" t="s">
        <v>33194</v>
      </c>
      <c r="J3070" t="s">
        <v>6161</v>
      </c>
      <c r="L3070" t="s">
        <v>27250</v>
      </c>
      <c r="M3070" t="s">
        <v>27251</v>
      </c>
      <c r="N3070" t="s">
        <v>27252</v>
      </c>
      <c r="Q3070" s="1">
        <v>44846</v>
      </c>
      <c r="R3070" t="s">
        <v>27253</v>
      </c>
      <c r="S3070" t="s">
        <v>27254</v>
      </c>
      <c r="T3070" t="s">
        <v>27255</v>
      </c>
    </row>
    <row r="3071" spans="1:20" x14ac:dyDescent="0.3">
      <c r="A3071" t="str">
        <f>"0611861481100"</f>
        <v>0611861481100</v>
      </c>
      <c r="B3071" t="str">
        <f>"CN5036"</f>
        <v>CN5036</v>
      </c>
      <c r="C3071" t="s">
        <v>33195</v>
      </c>
      <c r="D3071" t="s">
        <v>27339</v>
      </c>
      <c r="E3071" t="str">
        <f t="shared" si="47"/>
        <v>001390</v>
      </c>
      <c r="F3071" t="s">
        <v>27246</v>
      </c>
      <c r="G3071" t="s">
        <v>27247</v>
      </c>
      <c r="H3071" t="s">
        <v>27248</v>
      </c>
      <c r="I3071" t="s">
        <v>33196</v>
      </c>
      <c r="J3071" t="s">
        <v>6163</v>
      </c>
      <c r="L3071" t="s">
        <v>27250</v>
      </c>
      <c r="M3071" t="s">
        <v>27251</v>
      </c>
      <c r="N3071" t="s">
        <v>27252</v>
      </c>
      <c r="P3071" t="s">
        <v>27341</v>
      </c>
      <c r="Q3071" s="1">
        <v>44846</v>
      </c>
      <c r="R3071" t="s">
        <v>27253</v>
      </c>
      <c r="S3071" t="s">
        <v>27254</v>
      </c>
      <c r="T3071" t="s">
        <v>27255</v>
      </c>
    </row>
    <row r="3072" spans="1:20" x14ac:dyDescent="0.3">
      <c r="A3072" t="str">
        <f>"0611861482100"</f>
        <v>0611861482100</v>
      </c>
      <c r="B3072" t="str">
        <f>"CN5035"</f>
        <v>CN5035</v>
      </c>
      <c r="C3072" t="s">
        <v>33197</v>
      </c>
      <c r="D3072" t="s">
        <v>27335</v>
      </c>
      <c r="E3072" t="str">
        <f t="shared" si="47"/>
        <v>001390</v>
      </c>
      <c r="F3072" t="s">
        <v>27246</v>
      </c>
      <c r="G3072" t="s">
        <v>27247</v>
      </c>
      <c r="H3072" t="s">
        <v>27248</v>
      </c>
      <c r="I3072" t="s">
        <v>33198</v>
      </c>
      <c r="J3072" t="s">
        <v>6165</v>
      </c>
      <c r="L3072" t="s">
        <v>27250</v>
      </c>
      <c r="M3072" t="s">
        <v>27251</v>
      </c>
      <c r="N3072" t="s">
        <v>27252</v>
      </c>
      <c r="Q3072" s="1">
        <v>44846</v>
      </c>
      <c r="R3072" t="s">
        <v>27253</v>
      </c>
      <c r="S3072" t="s">
        <v>27254</v>
      </c>
      <c r="T3072" t="s">
        <v>27255</v>
      </c>
    </row>
    <row r="3073" spans="1:20" x14ac:dyDescent="0.3">
      <c r="A3073" t="str">
        <f>"0611833363025"</f>
        <v>0611833363025</v>
      </c>
      <c r="B3073" t="str">
        <f>"MC0204"</f>
        <v>MC0204</v>
      </c>
      <c r="C3073" t="s">
        <v>33199</v>
      </c>
      <c r="D3073" t="s">
        <v>27267</v>
      </c>
      <c r="E3073" t="str">
        <f t="shared" si="47"/>
        <v>001390</v>
      </c>
      <c r="F3073" t="s">
        <v>27246</v>
      </c>
      <c r="G3073" t="s">
        <v>27247</v>
      </c>
      <c r="H3073" t="s">
        <v>27248</v>
      </c>
      <c r="I3073" t="s">
        <v>33200</v>
      </c>
      <c r="J3073" t="s">
        <v>6167</v>
      </c>
      <c r="L3073" t="s">
        <v>27250</v>
      </c>
      <c r="M3073" t="s">
        <v>27251</v>
      </c>
      <c r="N3073" t="s">
        <v>27252</v>
      </c>
      <c r="Q3073" s="1">
        <v>44538</v>
      </c>
      <c r="R3073" t="s">
        <v>27253</v>
      </c>
      <c r="S3073" t="s">
        <v>27254</v>
      </c>
      <c r="T3073" t="s">
        <v>27269</v>
      </c>
    </row>
    <row r="3074" spans="1:20" x14ac:dyDescent="0.3">
      <c r="A3074" t="str">
        <f>"0611861483100"</f>
        <v>0611861483100</v>
      </c>
      <c r="B3074" t="str">
        <f>"CN2346"</f>
        <v>CN2346</v>
      </c>
      <c r="C3074" t="s">
        <v>33201</v>
      </c>
      <c r="D3074" t="s">
        <v>27335</v>
      </c>
      <c r="E3074" t="str">
        <f t="shared" ref="E3074:E3137" si="48">"001390"</f>
        <v>001390</v>
      </c>
      <c r="F3074" t="s">
        <v>27246</v>
      </c>
      <c r="G3074" t="s">
        <v>27247</v>
      </c>
      <c r="H3074" t="s">
        <v>27248</v>
      </c>
      <c r="I3074" t="s">
        <v>33202</v>
      </c>
      <c r="J3074" t="s">
        <v>6169</v>
      </c>
      <c r="L3074" t="s">
        <v>27250</v>
      </c>
      <c r="M3074" t="s">
        <v>27251</v>
      </c>
      <c r="N3074" t="s">
        <v>27252</v>
      </c>
      <c r="Q3074" s="1">
        <v>44846</v>
      </c>
      <c r="R3074" t="s">
        <v>27253</v>
      </c>
      <c r="S3074" t="s">
        <v>27254</v>
      </c>
      <c r="T3074" t="s">
        <v>27255</v>
      </c>
    </row>
    <row r="3075" spans="1:20" x14ac:dyDescent="0.3">
      <c r="A3075" t="str">
        <f>"0611833367025"</f>
        <v>0611833367025</v>
      </c>
      <c r="B3075" t="str">
        <f>"MQ7055"</f>
        <v>MQ7055</v>
      </c>
      <c r="C3075" t="s">
        <v>33203</v>
      </c>
      <c r="D3075" t="s">
        <v>27267</v>
      </c>
      <c r="E3075" t="str">
        <f t="shared" si="48"/>
        <v>001390</v>
      </c>
      <c r="F3075" t="s">
        <v>27246</v>
      </c>
      <c r="G3075" t="s">
        <v>27247</v>
      </c>
      <c r="H3075" t="s">
        <v>27248</v>
      </c>
      <c r="I3075" t="s">
        <v>33204</v>
      </c>
      <c r="J3075" t="s">
        <v>6173</v>
      </c>
      <c r="L3075" t="s">
        <v>27250</v>
      </c>
      <c r="M3075" t="s">
        <v>27251</v>
      </c>
      <c r="N3075" t="s">
        <v>27252</v>
      </c>
      <c r="Q3075" s="1">
        <v>44538</v>
      </c>
      <c r="R3075" t="s">
        <v>27253</v>
      </c>
      <c r="S3075" t="s">
        <v>27254</v>
      </c>
      <c r="T3075" t="s">
        <v>27269</v>
      </c>
    </row>
    <row r="3076" spans="1:20" x14ac:dyDescent="0.3">
      <c r="A3076" t="str">
        <f>"0611861484100"</f>
        <v>0611861484100</v>
      </c>
      <c r="B3076" t="str">
        <f>"CN5062"</f>
        <v>CN5062</v>
      </c>
      <c r="C3076" t="s">
        <v>33203</v>
      </c>
      <c r="D3076" t="s">
        <v>27335</v>
      </c>
      <c r="E3076" t="str">
        <f t="shared" si="48"/>
        <v>001390</v>
      </c>
      <c r="F3076" t="s">
        <v>27246</v>
      </c>
      <c r="G3076" t="s">
        <v>27247</v>
      </c>
      <c r="H3076" t="s">
        <v>27248</v>
      </c>
      <c r="I3076" t="s">
        <v>33205</v>
      </c>
      <c r="J3076" t="s">
        <v>6171</v>
      </c>
      <c r="L3076" t="s">
        <v>27250</v>
      </c>
      <c r="M3076" t="s">
        <v>27251</v>
      </c>
      <c r="N3076" t="s">
        <v>27252</v>
      </c>
      <c r="Q3076" s="1">
        <v>44846</v>
      </c>
      <c r="R3076" t="s">
        <v>27253</v>
      </c>
      <c r="S3076" t="s">
        <v>27254</v>
      </c>
      <c r="T3076" t="s">
        <v>27255</v>
      </c>
    </row>
    <row r="3077" spans="1:20" x14ac:dyDescent="0.3">
      <c r="A3077" t="str">
        <f>"0611861485100"</f>
        <v>0611861485100</v>
      </c>
      <c r="B3077" t="str">
        <f>"CN5063"</f>
        <v>CN5063</v>
      </c>
      <c r="C3077" t="s">
        <v>33206</v>
      </c>
      <c r="D3077" t="s">
        <v>27335</v>
      </c>
      <c r="E3077" t="str">
        <f t="shared" si="48"/>
        <v>001390</v>
      </c>
      <c r="F3077" t="s">
        <v>27246</v>
      </c>
      <c r="G3077" t="s">
        <v>27247</v>
      </c>
      <c r="H3077" t="s">
        <v>27248</v>
      </c>
      <c r="I3077" t="s">
        <v>33207</v>
      </c>
      <c r="J3077" t="s">
        <v>6175</v>
      </c>
      <c r="L3077" t="s">
        <v>27250</v>
      </c>
      <c r="M3077" t="s">
        <v>27251</v>
      </c>
      <c r="N3077" t="s">
        <v>27252</v>
      </c>
      <c r="Q3077" s="1">
        <v>44846</v>
      </c>
      <c r="R3077" t="s">
        <v>27253</v>
      </c>
      <c r="S3077" t="s">
        <v>27254</v>
      </c>
      <c r="T3077" t="s">
        <v>27255</v>
      </c>
    </row>
    <row r="3078" spans="1:20" x14ac:dyDescent="0.3">
      <c r="A3078" t="str">
        <f>"0611861486050"</f>
        <v>0611861486050</v>
      </c>
      <c r="B3078" t="str">
        <f>"CR4229"</f>
        <v>CR4229</v>
      </c>
      <c r="C3078" t="s">
        <v>33206</v>
      </c>
      <c r="D3078" t="s">
        <v>27263</v>
      </c>
      <c r="E3078" t="str">
        <f t="shared" si="48"/>
        <v>001390</v>
      </c>
      <c r="F3078" t="s">
        <v>27246</v>
      </c>
      <c r="G3078" t="s">
        <v>27247</v>
      </c>
      <c r="H3078" t="s">
        <v>27248</v>
      </c>
      <c r="I3078" t="s">
        <v>33208</v>
      </c>
      <c r="J3078" t="s">
        <v>6177</v>
      </c>
      <c r="L3078" t="s">
        <v>27250</v>
      </c>
      <c r="M3078" t="s">
        <v>27251</v>
      </c>
      <c r="N3078" t="s">
        <v>27252</v>
      </c>
      <c r="Q3078" s="1">
        <v>44846</v>
      </c>
      <c r="R3078" t="s">
        <v>27253</v>
      </c>
      <c r="S3078" t="s">
        <v>27254</v>
      </c>
      <c r="T3078" t="s">
        <v>27265</v>
      </c>
    </row>
    <row r="3079" spans="1:20" x14ac:dyDescent="0.3">
      <c r="A3079" t="str">
        <f>"0611861487100"</f>
        <v>0611861487100</v>
      </c>
      <c r="B3079" t="str">
        <f>"CN5064"</f>
        <v>CN5064</v>
      </c>
      <c r="C3079" t="s">
        <v>33209</v>
      </c>
      <c r="D3079" t="s">
        <v>27335</v>
      </c>
      <c r="E3079" t="str">
        <f t="shared" si="48"/>
        <v>001390</v>
      </c>
      <c r="F3079" t="s">
        <v>27246</v>
      </c>
      <c r="G3079" t="s">
        <v>27247</v>
      </c>
      <c r="H3079" t="s">
        <v>27248</v>
      </c>
      <c r="I3079" t="s">
        <v>33210</v>
      </c>
      <c r="J3079" t="s">
        <v>6179</v>
      </c>
      <c r="L3079" t="s">
        <v>27250</v>
      </c>
      <c r="M3079" t="s">
        <v>27251</v>
      </c>
      <c r="N3079" t="s">
        <v>27252</v>
      </c>
      <c r="Q3079" s="1">
        <v>44846</v>
      </c>
      <c r="R3079" t="s">
        <v>27253</v>
      </c>
      <c r="S3079" t="s">
        <v>27254</v>
      </c>
      <c r="T3079" t="s">
        <v>27255</v>
      </c>
    </row>
    <row r="3080" spans="1:20" x14ac:dyDescent="0.3">
      <c r="A3080" t="str">
        <f>"0611833370025"</f>
        <v>0611833370025</v>
      </c>
      <c r="B3080" t="str">
        <f>"MC4075"</f>
        <v>MC4075</v>
      </c>
      <c r="C3080" t="s">
        <v>33211</v>
      </c>
      <c r="D3080" t="s">
        <v>27267</v>
      </c>
      <c r="E3080" t="str">
        <f t="shared" si="48"/>
        <v>001390</v>
      </c>
      <c r="F3080" t="s">
        <v>27246</v>
      </c>
      <c r="G3080" t="s">
        <v>27247</v>
      </c>
      <c r="H3080" t="s">
        <v>27248</v>
      </c>
      <c r="I3080" t="s">
        <v>33212</v>
      </c>
      <c r="J3080" t="s">
        <v>6181</v>
      </c>
      <c r="L3080" t="s">
        <v>27250</v>
      </c>
      <c r="M3080" t="s">
        <v>27251</v>
      </c>
      <c r="N3080" t="s">
        <v>27252</v>
      </c>
      <c r="Q3080" s="1">
        <v>44538</v>
      </c>
      <c r="R3080" t="s">
        <v>27253</v>
      </c>
      <c r="S3080" t="s">
        <v>27254</v>
      </c>
      <c r="T3080" t="s">
        <v>27269</v>
      </c>
    </row>
    <row r="3081" spans="1:20" x14ac:dyDescent="0.3">
      <c r="A3081" t="str">
        <f>"0611833371025"</f>
        <v>0611833371025</v>
      </c>
      <c r="B3081" t="str">
        <f>"MQ3216"</f>
        <v>MQ3216</v>
      </c>
      <c r="C3081" t="s">
        <v>33213</v>
      </c>
      <c r="D3081" t="s">
        <v>27267</v>
      </c>
      <c r="E3081" t="str">
        <f t="shared" si="48"/>
        <v>001390</v>
      </c>
      <c r="F3081" t="s">
        <v>27246</v>
      </c>
      <c r="G3081" t="s">
        <v>27247</v>
      </c>
      <c r="H3081" t="s">
        <v>27248</v>
      </c>
      <c r="I3081" t="s">
        <v>33214</v>
      </c>
      <c r="J3081" t="s">
        <v>6183</v>
      </c>
      <c r="L3081" t="s">
        <v>27250</v>
      </c>
      <c r="M3081" t="s">
        <v>27251</v>
      </c>
      <c r="N3081" t="s">
        <v>27252</v>
      </c>
      <c r="Q3081" s="1">
        <v>44538</v>
      </c>
      <c r="R3081" t="s">
        <v>27253</v>
      </c>
      <c r="S3081" t="s">
        <v>27254</v>
      </c>
      <c r="T3081" t="s">
        <v>27269</v>
      </c>
    </row>
    <row r="3082" spans="1:20" x14ac:dyDescent="0.3">
      <c r="A3082" t="str">
        <f>"0611833372025"</f>
        <v>0611833372025</v>
      </c>
      <c r="B3082" t="str">
        <f>"MQ0696"</f>
        <v>MQ0696</v>
      </c>
      <c r="C3082" t="s">
        <v>33215</v>
      </c>
      <c r="D3082" t="s">
        <v>27267</v>
      </c>
      <c r="E3082" t="str">
        <f t="shared" si="48"/>
        <v>001390</v>
      </c>
      <c r="F3082" t="s">
        <v>27246</v>
      </c>
      <c r="G3082" t="s">
        <v>27247</v>
      </c>
      <c r="H3082" t="s">
        <v>27248</v>
      </c>
      <c r="I3082" t="s">
        <v>33216</v>
      </c>
      <c r="J3082" t="s">
        <v>6185</v>
      </c>
      <c r="L3082" t="s">
        <v>27250</v>
      </c>
      <c r="M3082" t="s">
        <v>27251</v>
      </c>
      <c r="N3082" t="s">
        <v>27252</v>
      </c>
      <c r="Q3082" s="1">
        <v>44538</v>
      </c>
      <c r="R3082" t="s">
        <v>27253</v>
      </c>
      <c r="S3082" t="s">
        <v>27254</v>
      </c>
      <c r="T3082" t="s">
        <v>27269</v>
      </c>
    </row>
    <row r="3083" spans="1:20" x14ac:dyDescent="0.3">
      <c r="A3083" t="str">
        <f>"0611833373025"</f>
        <v>0611833373025</v>
      </c>
      <c r="B3083" t="str">
        <f>"MC2386"</f>
        <v>MC2386</v>
      </c>
      <c r="C3083" t="s">
        <v>33217</v>
      </c>
      <c r="D3083" t="s">
        <v>27267</v>
      </c>
      <c r="E3083" t="str">
        <f t="shared" si="48"/>
        <v>001390</v>
      </c>
      <c r="F3083" t="s">
        <v>27246</v>
      </c>
      <c r="G3083" t="s">
        <v>27247</v>
      </c>
      <c r="H3083" t="s">
        <v>27248</v>
      </c>
      <c r="I3083" t="s">
        <v>33218</v>
      </c>
      <c r="J3083" t="s">
        <v>6187</v>
      </c>
      <c r="L3083" t="s">
        <v>27250</v>
      </c>
      <c r="M3083" t="s">
        <v>27251</v>
      </c>
      <c r="N3083" t="s">
        <v>27252</v>
      </c>
      <c r="Q3083" s="1">
        <v>44538</v>
      </c>
      <c r="R3083" t="s">
        <v>27253</v>
      </c>
      <c r="S3083" t="s">
        <v>27254</v>
      </c>
      <c r="T3083" t="s">
        <v>27269</v>
      </c>
    </row>
    <row r="3084" spans="1:20" x14ac:dyDescent="0.3">
      <c r="A3084" t="str">
        <f>"0611833374025"</f>
        <v>0611833374025</v>
      </c>
      <c r="B3084" t="str">
        <f>"MQ5151"</f>
        <v>MQ5151</v>
      </c>
      <c r="C3084" t="s">
        <v>33219</v>
      </c>
      <c r="D3084" t="s">
        <v>27267</v>
      </c>
      <c r="E3084" t="str">
        <f t="shared" si="48"/>
        <v>001390</v>
      </c>
      <c r="F3084" t="s">
        <v>27246</v>
      </c>
      <c r="G3084" t="s">
        <v>27247</v>
      </c>
      <c r="H3084" t="s">
        <v>27248</v>
      </c>
      <c r="I3084" t="s">
        <v>33220</v>
      </c>
      <c r="J3084" t="s">
        <v>6189</v>
      </c>
      <c r="L3084" t="s">
        <v>27250</v>
      </c>
      <c r="M3084" t="s">
        <v>27251</v>
      </c>
      <c r="N3084" t="s">
        <v>27252</v>
      </c>
      <c r="Q3084" s="1">
        <v>44538</v>
      </c>
      <c r="R3084" t="s">
        <v>27253</v>
      </c>
      <c r="S3084" t="s">
        <v>27254</v>
      </c>
      <c r="T3084" t="s">
        <v>27269</v>
      </c>
    </row>
    <row r="3085" spans="1:20" x14ac:dyDescent="0.3">
      <c r="A3085" t="str">
        <f>"0611833375025"</f>
        <v>0611833375025</v>
      </c>
      <c r="B3085" t="str">
        <f>"MQ6010"</f>
        <v>MQ6010</v>
      </c>
      <c r="C3085" t="s">
        <v>33221</v>
      </c>
      <c r="D3085" t="s">
        <v>27267</v>
      </c>
      <c r="E3085" t="str">
        <f t="shared" si="48"/>
        <v>001390</v>
      </c>
      <c r="F3085" t="s">
        <v>27246</v>
      </c>
      <c r="G3085" t="s">
        <v>27247</v>
      </c>
      <c r="H3085" t="s">
        <v>27248</v>
      </c>
      <c r="I3085" t="s">
        <v>33222</v>
      </c>
      <c r="J3085" t="s">
        <v>6191</v>
      </c>
      <c r="L3085" t="s">
        <v>27250</v>
      </c>
      <c r="M3085" t="s">
        <v>27251</v>
      </c>
      <c r="N3085" t="s">
        <v>27252</v>
      </c>
      <c r="Q3085" s="1">
        <v>44538</v>
      </c>
      <c r="R3085" t="s">
        <v>27253</v>
      </c>
      <c r="S3085" t="s">
        <v>27254</v>
      </c>
      <c r="T3085" t="s">
        <v>27269</v>
      </c>
    </row>
    <row r="3086" spans="1:20" x14ac:dyDescent="0.3">
      <c r="A3086" t="str">
        <f>"0611833389025"</f>
        <v>0611833389025</v>
      </c>
      <c r="B3086" t="str">
        <f>"MQ0481"</f>
        <v>MQ0481</v>
      </c>
      <c r="C3086" t="s">
        <v>33223</v>
      </c>
      <c r="D3086" t="s">
        <v>27267</v>
      </c>
      <c r="E3086" t="str">
        <f t="shared" si="48"/>
        <v>001390</v>
      </c>
      <c r="F3086" t="s">
        <v>27246</v>
      </c>
      <c r="G3086" t="s">
        <v>27247</v>
      </c>
      <c r="H3086" t="s">
        <v>27248</v>
      </c>
      <c r="I3086" t="s">
        <v>33224</v>
      </c>
      <c r="J3086" t="s">
        <v>6195</v>
      </c>
      <c r="L3086" t="s">
        <v>27250</v>
      </c>
      <c r="M3086" t="s">
        <v>27251</v>
      </c>
      <c r="N3086" t="s">
        <v>27252</v>
      </c>
      <c r="Q3086" s="1">
        <v>44538</v>
      </c>
      <c r="R3086" t="s">
        <v>27253</v>
      </c>
      <c r="S3086" t="s">
        <v>27254</v>
      </c>
      <c r="T3086" t="s">
        <v>27269</v>
      </c>
    </row>
    <row r="3087" spans="1:20" x14ac:dyDescent="0.3">
      <c r="A3087" t="str">
        <f>"0611861488100"</f>
        <v>0611861488100</v>
      </c>
      <c r="B3087" t="str">
        <f>"CN5040"</f>
        <v>CN5040</v>
      </c>
      <c r="C3087" t="s">
        <v>33223</v>
      </c>
      <c r="D3087" t="s">
        <v>27335</v>
      </c>
      <c r="E3087" t="str">
        <f t="shared" si="48"/>
        <v>001390</v>
      </c>
      <c r="F3087" t="s">
        <v>27246</v>
      </c>
      <c r="G3087" t="s">
        <v>27247</v>
      </c>
      <c r="H3087" t="s">
        <v>27248</v>
      </c>
      <c r="I3087" t="s">
        <v>33225</v>
      </c>
      <c r="J3087" t="s">
        <v>6193</v>
      </c>
      <c r="L3087" t="s">
        <v>27250</v>
      </c>
      <c r="M3087" t="s">
        <v>27251</v>
      </c>
      <c r="N3087" t="s">
        <v>27252</v>
      </c>
      <c r="Q3087" s="1">
        <v>44846</v>
      </c>
      <c r="R3087" t="s">
        <v>27253</v>
      </c>
      <c r="S3087" t="s">
        <v>27254</v>
      </c>
      <c r="T3087" t="s">
        <v>27255</v>
      </c>
    </row>
    <row r="3088" spans="1:20" x14ac:dyDescent="0.3">
      <c r="A3088" t="str">
        <f>"0611833390025"</f>
        <v>0611833390025</v>
      </c>
      <c r="B3088" t="str">
        <f>"MQ0483"</f>
        <v>MQ0483</v>
      </c>
      <c r="C3088" t="s">
        <v>33226</v>
      </c>
      <c r="D3088" t="s">
        <v>27267</v>
      </c>
      <c r="E3088" t="str">
        <f t="shared" si="48"/>
        <v>001390</v>
      </c>
      <c r="F3088" t="s">
        <v>27246</v>
      </c>
      <c r="G3088" t="s">
        <v>27247</v>
      </c>
      <c r="H3088" t="s">
        <v>27248</v>
      </c>
      <c r="I3088" t="s">
        <v>33227</v>
      </c>
      <c r="J3088" t="s">
        <v>6197</v>
      </c>
      <c r="L3088" t="s">
        <v>27250</v>
      </c>
      <c r="M3088" t="s">
        <v>27251</v>
      </c>
      <c r="N3088" t="s">
        <v>27252</v>
      </c>
      <c r="Q3088" s="1">
        <v>44538</v>
      </c>
      <c r="R3088" t="s">
        <v>27253</v>
      </c>
      <c r="S3088" t="s">
        <v>27254</v>
      </c>
      <c r="T3088" t="s">
        <v>27269</v>
      </c>
    </row>
    <row r="3089" spans="1:20" x14ac:dyDescent="0.3">
      <c r="A3089" t="str">
        <f>"0611861489100"</f>
        <v>0611861489100</v>
      </c>
      <c r="B3089" t="str">
        <f>"CN5041"</f>
        <v>CN5041</v>
      </c>
      <c r="C3089" t="s">
        <v>33228</v>
      </c>
      <c r="D3089" t="s">
        <v>27245</v>
      </c>
      <c r="E3089" t="str">
        <f t="shared" si="48"/>
        <v>001390</v>
      </c>
      <c r="F3089" t="s">
        <v>27246</v>
      </c>
      <c r="G3089" t="s">
        <v>27247</v>
      </c>
      <c r="H3089" t="s">
        <v>27248</v>
      </c>
      <c r="I3089" t="s">
        <v>33229</v>
      </c>
      <c r="J3089" t="s">
        <v>6199</v>
      </c>
      <c r="L3089" t="s">
        <v>27250</v>
      </c>
      <c r="M3089" t="s">
        <v>27251</v>
      </c>
      <c r="N3089" t="s">
        <v>27252</v>
      </c>
      <c r="Q3089" s="1">
        <v>44846</v>
      </c>
      <c r="R3089" t="s">
        <v>27253</v>
      </c>
      <c r="S3089" t="s">
        <v>27254</v>
      </c>
      <c r="T3089" t="s">
        <v>27255</v>
      </c>
    </row>
    <row r="3090" spans="1:20" x14ac:dyDescent="0.3">
      <c r="A3090" t="str">
        <f>"0611861490050"</f>
        <v>0611861490050</v>
      </c>
      <c r="B3090" t="str">
        <f>"CR4220"</f>
        <v>CR4220</v>
      </c>
      <c r="C3090" t="s">
        <v>33228</v>
      </c>
      <c r="D3090" t="s">
        <v>27286</v>
      </c>
      <c r="E3090" t="str">
        <f t="shared" si="48"/>
        <v>001390</v>
      </c>
      <c r="F3090" t="s">
        <v>27246</v>
      </c>
      <c r="G3090" t="s">
        <v>27247</v>
      </c>
      <c r="H3090" t="s">
        <v>27248</v>
      </c>
      <c r="I3090" t="s">
        <v>33230</v>
      </c>
      <c r="J3090" t="s">
        <v>6201</v>
      </c>
      <c r="L3090" t="s">
        <v>27250</v>
      </c>
      <c r="M3090" t="s">
        <v>27251</v>
      </c>
      <c r="N3090" t="s">
        <v>27252</v>
      </c>
      <c r="Q3090" s="1">
        <v>44846</v>
      </c>
      <c r="R3090" t="s">
        <v>27253</v>
      </c>
      <c r="S3090" t="s">
        <v>27254</v>
      </c>
      <c r="T3090" t="s">
        <v>27265</v>
      </c>
    </row>
    <row r="3091" spans="1:20" x14ac:dyDescent="0.3">
      <c r="A3091" t="str">
        <f>"0611861491100"</f>
        <v>0611861491100</v>
      </c>
      <c r="B3091" t="str">
        <f>"CN5042"</f>
        <v>CN5042</v>
      </c>
      <c r="C3091" t="s">
        <v>33231</v>
      </c>
      <c r="D3091" t="s">
        <v>27245</v>
      </c>
      <c r="E3091" t="str">
        <f t="shared" si="48"/>
        <v>001390</v>
      </c>
      <c r="F3091" t="s">
        <v>27246</v>
      </c>
      <c r="G3091" t="s">
        <v>27247</v>
      </c>
      <c r="H3091" t="s">
        <v>27248</v>
      </c>
      <c r="I3091" t="s">
        <v>33232</v>
      </c>
      <c r="J3091" t="s">
        <v>6205</v>
      </c>
      <c r="L3091" t="s">
        <v>27250</v>
      </c>
      <c r="M3091" t="s">
        <v>27251</v>
      </c>
      <c r="N3091" t="s">
        <v>27252</v>
      </c>
      <c r="Q3091" s="1">
        <v>44846</v>
      </c>
      <c r="R3091" t="s">
        <v>27253</v>
      </c>
      <c r="S3091" t="s">
        <v>27254</v>
      </c>
      <c r="T3091" t="s">
        <v>27255</v>
      </c>
    </row>
    <row r="3092" spans="1:20" x14ac:dyDescent="0.3">
      <c r="A3092" t="str">
        <f>"0611861492050"</f>
        <v>0611861492050</v>
      </c>
      <c r="B3092" t="str">
        <f>"CR4221"</f>
        <v>CR4221</v>
      </c>
      <c r="C3092" t="s">
        <v>33231</v>
      </c>
      <c r="D3092" t="s">
        <v>27286</v>
      </c>
      <c r="E3092" t="str">
        <f t="shared" si="48"/>
        <v>001390</v>
      </c>
      <c r="F3092" t="s">
        <v>27246</v>
      </c>
      <c r="G3092" t="s">
        <v>27247</v>
      </c>
      <c r="H3092" t="s">
        <v>27248</v>
      </c>
      <c r="I3092" t="s">
        <v>33233</v>
      </c>
      <c r="J3092" t="s">
        <v>6207</v>
      </c>
      <c r="L3092" t="s">
        <v>27250</v>
      </c>
      <c r="M3092" t="s">
        <v>27251</v>
      </c>
      <c r="N3092" t="s">
        <v>27252</v>
      </c>
      <c r="Q3092" s="1">
        <v>44846</v>
      </c>
      <c r="R3092" t="s">
        <v>27253</v>
      </c>
      <c r="S3092" t="s">
        <v>27254</v>
      </c>
      <c r="T3092" t="s">
        <v>27265</v>
      </c>
    </row>
    <row r="3093" spans="1:20" x14ac:dyDescent="0.3">
      <c r="A3093" t="str">
        <f>"0611833391025"</f>
        <v>0611833391025</v>
      </c>
      <c r="B3093" t="str">
        <f>"MQ0484"</f>
        <v>MQ0484</v>
      </c>
      <c r="C3093" t="s">
        <v>33234</v>
      </c>
      <c r="D3093" t="s">
        <v>27267</v>
      </c>
      <c r="E3093" t="str">
        <f t="shared" si="48"/>
        <v>001390</v>
      </c>
      <c r="F3093" t="s">
        <v>27246</v>
      </c>
      <c r="G3093" t="s">
        <v>27247</v>
      </c>
      <c r="H3093" t="s">
        <v>27248</v>
      </c>
      <c r="I3093" t="s">
        <v>33235</v>
      </c>
      <c r="J3093" t="s">
        <v>6203</v>
      </c>
      <c r="L3093" t="s">
        <v>27250</v>
      </c>
      <c r="M3093" t="s">
        <v>27251</v>
      </c>
      <c r="N3093" t="s">
        <v>27252</v>
      </c>
      <c r="Q3093" s="1">
        <v>44538</v>
      </c>
      <c r="R3093" t="s">
        <v>27253</v>
      </c>
      <c r="S3093" t="s">
        <v>27254</v>
      </c>
      <c r="T3093" t="s">
        <v>27269</v>
      </c>
    </row>
    <row r="3094" spans="1:20" x14ac:dyDescent="0.3">
      <c r="A3094" t="str">
        <f>"0611861493050"</f>
        <v>0611861493050</v>
      </c>
      <c r="B3094" t="str">
        <f>"CR4223"</f>
        <v>CR4223</v>
      </c>
      <c r="C3094" t="s">
        <v>33236</v>
      </c>
      <c r="D3094" t="s">
        <v>27286</v>
      </c>
      <c r="E3094" t="str">
        <f t="shared" si="48"/>
        <v>001390</v>
      </c>
      <c r="F3094" t="s">
        <v>27246</v>
      </c>
      <c r="G3094" t="s">
        <v>27247</v>
      </c>
      <c r="H3094" t="s">
        <v>27248</v>
      </c>
      <c r="I3094" t="s">
        <v>33237</v>
      </c>
      <c r="J3094" t="s">
        <v>6219</v>
      </c>
      <c r="L3094" t="s">
        <v>27250</v>
      </c>
      <c r="M3094" t="s">
        <v>27251</v>
      </c>
      <c r="N3094" t="s">
        <v>27252</v>
      </c>
      <c r="Q3094" s="1">
        <v>44846</v>
      </c>
      <c r="R3094" t="s">
        <v>27253</v>
      </c>
      <c r="S3094" t="s">
        <v>27254</v>
      </c>
      <c r="T3094" t="s">
        <v>27265</v>
      </c>
    </row>
    <row r="3095" spans="1:20" x14ac:dyDescent="0.3">
      <c r="A3095" t="str">
        <f>"0611861494050"</f>
        <v>0611861494050</v>
      </c>
      <c r="B3095" t="str">
        <f>"CR4222"</f>
        <v>CR4222</v>
      </c>
      <c r="C3095" t="s">
        <v>33238</v>
      </c>
      <c r="D3095" t="s">
        <v>27286</v>
      </c>
      <c r="E3095" t="str">
        <f t="shared" si="48"/>
        <v>001390</v>
      </c>
      <c r="F3095" t="s">
        <v>27246</v>
      </c>
      <c r="G3095" t="s">
        <v>27247</v>
      </c>
      <c r="H3095" t="s">
        <v>27248</v>
      </c>
      <c r="I3095" t="s">
        <v>33239</v>
      </c>
      <c r="J3095" t="s">
        <v>6213</v>
      </c>
      <c r="L3095" t="s">
        <v>27250</v>
      </c>
      <c r="M3095" t="s">
        <v>27251</v>
      </c>
      <c r="N3095" t="s">
        <v>27252</v>
      </c>
      <c r="Q3095" s="1">
        <v>44846</v>
      </c>
      <c r="R3095" t="s">
        <v>27253</v>
      </c>
      <c r="S3095" t="s">
        <v>27254</v>
      </c>
      <c r="T3095" t="s">
        <v>27265</v>
      </c>
    </row>
    <row r="3096" spans="1:20" x14ac:dyDescent="0.3">
      <c r="A3096" t="str">
        <f>"0611833377025"</f>
        <v>0611833377025</v>
      </c>
      <c r="B3096" t="str">
        <f>"MQ0485"</f>
        <v>MQ0485</v>
      </c>
      <c r="C3096" t="s">
        <v>33240</v>
      </c>
      <c r="D3096" t="s">
        <v>27267</v>
      </c>
      <c r="E3096" t="str">
        <f t="shared" si="48"/>
        <v>001390</v>
      </c>
      <c r="F3096" t="s">
        <v>27246</v>
      </c>
      <c r="G3096" t="s">
        <v>27247</v>
      </c>
      <c r="H3096" t="s">
        <v>27248</v>
      </c>
      <c r="I3096" t="s">
        <v>33241</v>
      </c>
      <c r="J3096" t="s">
        <v>6211</v>
      </c>
      <c r="L3096" t="s">
        <v>27250</v>
      </c>
      <c r="M3096" t="s">
        <v>27251</v>
      </c>
      <c r="N3096" t="s">
        <v>27252</v>
      </c>
      <c r="Q3096" s="1">
        <v>44538</v>
      </c>
      <c r="R3096" t="s">
        <v>27253</v>
      </c>
      <c r="S3096" t="s">
        <v>27254</v>
      </c>
      <c r="T3096" t="s">
        <v>27269</v>
      </c>
    </row>
    <row r="3097" spans="1:20" x14ac:dyDescent="0.3">
      <c r="A3097" t="str">
        <f>"0611861495100"</f>
        <v>0611861495100</v>
      </c>
      <c r="B3097" t="str">
        <f>"CN5043"</f>
        <v>CN5043</v>
      </c>
      <c r="C3097" t="s">
        <v>33240</v>
      </c>
      <c r="D3097" t="s">
        <v>27335</v>
      </c>
      <c r="E3097" t="str">
        <f t="shared" si="48"/>
        <v>001390</v>
      </c>
      <c r="F3097" t="s">
        <v>27246</v>
      </c>
      <c r="G3097" t="s">
        <v>27247</v>
      </c>
      <c r="H3097" t="s">
        <v>27248</v>
      </c>
      <c r="I3097" t="s">
        <v>33242</v>
      </c>
      <c r="J3097" t="s">
        <v>6209</v>
      </c>
      <c r="L3097" t="s">
        <v>27250</v>
      </c>
      <c r="M3097" t="s">
        <v>27251</v>
      </c>
      <c r="N3097" t="s">
        <v>27252</v>
      </c>
      <c r="Q3097" s="1">
        <v>44846</v>
      </c>
      <c r="R3097" t="s">
        <v>27253</v>
      </c>
      <c r="S3097" t="s">
        <v>27254</v>
      </c>
      <c r="T3097" t="s">
        <v>27255</v>
      </c>
    </row>
    <row r="3098" spans="1:20" x14ac:dyDescent="0.3">
      <c r="A3098" t="str">
        <f>"0611833392025"</f>
        <v>0611833392025</v>
      </c>
      <c r="B3098" t="str">
        <f>"MQ0486"</f>
        <v>MQ0486</v>
      </c>
      <c r="C3098" t="s">
        <v>33243</v>
      </c>
      <c r="D3098" t="s">
        <v>27267</v>
      </c>
      <c r="E3098" t="str">
        <f t="shared" si="48"/>
        <v>001390</v>
      </c>
      <c r="F3098" t="s">
        <v>27246</v>
      </c>
      <c r="G3098" t="s">
        <v>27247</v>
      </c>
      <c r="H3098" t="s">
        <v>27248</v>
      </c>
      <c r="I3098" t="s">
        <v>33244</v>
      </c>
      <c r="J3098" t="s">
        <v>6217</v>
      </c>
      <c r="L3098" t="s">
        <v>27250</v>
      </c>
      <c r="M3098" t="s">
        <v>27251</v>
      </c>
      <c r="N3098" t="s">
        <v>27252</v>
      </c>
      <c r="Q3098" s="1">
        <v>44538</v>
      </c>
      <c r="R3098" t="s">
        <v>27253</v>
      </c>
      <c r="S3098" t="s">
        <v>27254</v>
      </c>
      <c r="T3098" t="s">
        <v>27269</v>
      </c>
    </row>
    <row r="3099" spans="1:20" x14ac:dyDescent="0.3">
      <c r="A3099" t="str">
        <f>"0611861496100"</f>
        <v>0611861496100</v>
      </c>
      <c r="B3099" t="str">
        <f>"CN5044"</f>
        <v>CN5044</v>
      </c>
      <c r="C3099" t="s">
        <v>33243</v>
      </c>
      <c r="D3099" t="s">
        <v>27335</v>
      </c>
      <c r="E3099" t="str">
        <f t="shared" si="48"/>
        <v>001390</v>
      </c>
      <c r="F3099" t="s">
        <v>27246</v>
      </c>
      <c r="G3099" t="s">
        <v>27247</v>
      </c>
      <c r="H3099" t="s">
        <v>27248</v>
      </c>
      <c r="I3099" t="s">
        <v>33245</v>
      </c>
      <c r="J3099" t="s">
        <v>6215</v>
      </c>
      <c r="L3099" t="s">
        <v>27250</v>
      </c>
      <c r="M3099" t="s">
        <v>27251</v>
      </c>
      <c r="N3099" t="s">
        <v>27252</v>
      </c>
      <c r="Q3099" s="1">
        <v>44846</v>
      </c>
      <c r="R3099" t="s">
        <v>27253</v>
      </c>
      <c r="S3099" t="s">
        <v>27254</v>
      </c>
      <c r="T3099" t="s">
        <v>27255</v>
      </c>
    </row>
    <row r="3100" spans="1:20" x14ac:dyDescent="0.3">
      <c r="A3100" t="str">
        <f>"0611833380025"</f>
        <v>0611833380025</v>
      </c>
      <c r="B3100" t="str">
        <f>"MQ0637"</f>
        <v>MQ0637</v>
      </c>
      <c r="C3100" t="s">
        <v>33246</v>
      </c>
      <c r="D3100" t="s">
        <v>27267</v>
      </c>
      <c r="E3100" t="str">
        <f t="shared" si="48"/>
        <v>001390</v>
      </c>
      <c r="F3100" t="s">
        <v>27246</v>
      </c>
      <c r="G3100" t="s">
        <v>27247</v>
      </c>
      <c r="H3100" t="s">
        <v>27248</v>
      </c>
      <c r="I3100" t="s">
        <v>33247</v>
      </c>
      <c r="J3100" t="s">
        <v>6221</v>
      </c>
      <c r="L3100" t="s">
        <v>27250</v>
      </c>
      <c r="M3100" t="s">
        <v>27251</v>
      </c>
      <c r="N3100" t="s">
        <v>27252</v>
      </c>
      <c r="Q3100" s="1">
        <v>44538</v>
      </c>
      <c r="R3100" t="s">
        <v>27253</v>
      </c>
      <c r="S3100" t="s">
        <v>27254</v>
      </c>
      <c r="T3100" t="s">
        <v>27269</v>
      </c>
    </row>
    <row r="3101" spans="1:20" x14ac:dyDescent="0.3">
      <c r="A3101" t="str">
        <f>"0611833381025"</f>
        <v>0611833381025</v>
      </c>
      <c r="B3101" t="str">
        <f>"MQ0589"</f>
        <v>MQ0589</v>
      </c>
      <c r="C3101" t="s">
        <v>33248</v>
      </c>
      <c r="D3101" t="s">
        <v>27267</v>
      </c>
      <c r="E3101" t="str">
        <f t="shared" si="48"/>
        <v>001390</v>
      </c>
      <c r="F3101" t="s">
        <v>27246</v>
      </c>
      <c r="G3101" t="s">
        <v>27247</v>
      </c>
      <c r="H3101" t="s">
        <v>27248</v>
      </c>
      <c r="I3101" t="s">
        <v>33249</v>
      </c>
      <c r="J3101" t="s">
        <v>6223</v>
      </c>
      <c r="L3101" t="s">
        <v>27250</v>
      </c>
      <c r="M3101" t="s">
        <v>27251</v>
      </c>
      <c r="N3101" t="s">
        <v>27252</v>
      </c>
      <c r="Q3101" s="1">
        <v>44538</v>
      </c>
      <c r="R3101" t="s">
        <v>27253</v>
      </c>
      <c r="S3101" t="s">
        <v>27254</v>
      </c>
      <c r="T3101" t="s">
        <v>27269</v>
      </c>
    </row>
    <row r="3102" spans="1:20" x14ac:dyDescent="0.3">
      <c r="A3102" t="str">
        <f>"0611833382025"</f>
        <v>0611833382025</v>
      </c>
      <c r="B3102" t="str">
        <f>"MQ5011"</f>
        <v>MQ5011</v>
      </c>
      <c r="C3102" t="s">
        <v>33250</v>
      </c>
      <c r="D3102" t="s">
        <v>27267</v>
      </c>
      <c r="E3102" t="str">
        <f t="shared" si="48"/>
        <v>001390</v>
      </c>
      <c r="F3102" t="s">
        <v>27246</v>
      </c>
      <c r="G3102" t="s">
        <v>27247</v>
      </c>
      <c r="H3102" t="s">
        <v>27248</v>
      </c>
      <c r="I3102" t="s">
        <v>33251</v>
      </c>
      <c r="J3102" t="s">
        <v>6225</v>
      </c>
      <c r="L3102" t="s">
        <v>27250</v>
      </c>
      <c r="M3102" t="s">
        <v>27251</v>
      </c>
      <c r="N3102" t="s">
        <v>27252</v>
      </c>
      <c r="Q3102" s="1">
        <v>44538</v>
      </c>
      <c r="R3102" t="s">
        <v>27253</v>
      </c>
      <c r="S3102" t="s">
        <v>27254</v>
      </c>
      <c r="T3102" t="s">
        <v>27269</v>
      </c>
    </row>
    <row r="3103" spans="1:20" x14ac:dyDescent="0.3">
      <c r="A3103" t="str">
        <f>"0611833383025"</f>
        <v>0611833383025</v>
      </c>
      <c r="B3103" t="str">
        <f>"MQ0662"</f>
        <v>MQ0662</v>
      </c>
      <c r="C3103" t="s">
        <v>33252</v>
      </c>
      <c r="D3103" t="s">
        <v>27267</v>
      </c>
      <c r="E3103" t="str">
        <f t="shared" si="48"/>
        <v>001390</v>
      </c>
      <c r="F3103" t="s">
        <v>27246</v>
      </c>
      <c r="G3103" t="s">
        <v>27247</v>
      </c>
      <c r="H3103" t="s">
        <v>27248</v>
      </c>
      <c r="I3103" t="s">
        <v>33253</v>
      </c>
      <c r="J3103" t="s">
        <v>6227</v>
      </c>
      <c r="L3103" t="s">
        <v>27250</v>
      </c>
      <c r="M3103" t="s">
        <v>27251</v>
      </c>
      <c r="N3103" t="s">
        <v>27252</v>
      </c>
      <c r="Q3103" s="1">
        <v>44538</v>
      </c>
      <c r="R3103" t="s">
        <v>27253</v>
      </c>
      <c r="S3103" t="s">
        <v>27254</v>
      </c>
      <c r="T3103" t="s">
        <v>27269</v>
      </c>
    </row>
    <row r="3104" spans="1:20" x14ac:dyDescent="0.3">
      <c r="A3104" t="str">
        <f>"0611833384025"</f>
        <v>0611833384025</v>
      </c>
      <c r="B3104" t="str">
        <f>"MQ5040"</f>
        <v>MQ5040</v>
      </c>
      <c r="C3104" t="s">
        <v>33254</v>
      </c>
      <c r="D3104" t="s">
        <v>27267</v>
      </c>
      <c r="E3104" t="str">
        <f t="shared" si="48"/>
        <v>001390</v>
      </c>
      <c r="F3104" t="s">
        <v>27246</v>
      </c>
      <c r="G3104" t="s">
        <v>27247</v>
      </c>
      <c r="H3104" t="s">
        <v>27248</v>
      </c>
      <c r="I3104" t="s">
        <v>33255</v>
      </c>
      <c r="J3104" t="s">
        <v>6229</v>
      </c>
      <c r="L3104" t="s">
        <v>27250</v>
      </c>
      <c r="M3104" t="s">
        <v>27251</v>
      </c>
      <c r="N3104" t="s">
        <v>27252</v>
      </c>
      <c r="Q3104" s="1">
        <v>44538</v>
      </c>
      <c r="R3104" t="s">
        <v>27253</v>
      </c>
      <c r="S3104" t="s">
        <v>27254</v>
      </c>
      <c r="T3104" t="s">
        <v>27269</v>
      </c>
    </row>
    <row r="3105" spans="1:20" x14ac:dyDescent="0.3">
      <c r="A3105" t="str">
        <f>"0611833385100"</f>
        <v>0611833385100</v>
      </c>
      <c r="B3105" t="str">
        <f>"LQ6011"</f>
        <v>LQ6011</v>
      </c>
      <c r="C3105" t="s">
        <v>33256</v>
      </c>
      <c r="D3105" t="s">
        <v>27245</v>
      </c>
      <c r="E3105" t="str">
        <f t="shared" si="48"/>
        <v>001390</v>
      </c>
      <c r="F3105" t="s">
        <v>27246</v>
      </c>
      <c r="G3105" t="s">
        <v>27247</v>
      </c>
      <c r="H3105" t="s">
        <v>27248</v>
      </c>
      <c r="I3105" t="s">
        <v>33257</v>
      </c>
      <c r="J3105" t="s">
        <v>6231</v>
      </c>
      <c r="L3105" t="s">
        <v>27250</v>
      </c>
      <c r="M3105" t="s">
        <v>27251</v>
      </c>
      <c r="N3105" t="s">
        <v>27252</v>
      </c>
      <c r="Q3105" s="1">
        <v>44538</v>
      </c>
      <c r="R3105" t="s">
        <v>27253</v>
      </c>
      <c r="S3105" t="s">
        <v>27254</v>
      </c>
      <c r="T3105" t="s">
        <v>27255</v>
      </c>
    </row>
    <row r="3106" spans="1:20" x14ac:dyDescent="0.3">
      <c r="A3106" t="str">
        <f>"0611884142025"</f>
        <v>0611884142025</v>
      </c>
      <c r="B3106" t="str">
        <f>"MQ0824"</f>
        <v>MQ0824</v>
      </c>
      <c r="C3106" t="s">
        <v>33258</v>
      </c>
      <c r="D3106" t="s">
        <v>27267</v>
      </c>
      <c r="E3106" t="str">
        <f t="shared" si="48"/>
        <v>001390</v>
      </c>
      <c r="F3106" t="s">
        <v>27246</v>
      </c>
      <c r="G3106" t="s">
        <v>27247</v>
      </c>
      <c r="H3106" t="s">
        <v>27248</v>
      </c>
      <c r="I3106" t="s">
        <v>33259</v>
      </c>
      <c r="J3106" t="s">
        <v>6233</v>
      </c>
      <c r="L3106" t="s">
        <v>27430</v>
      </c>
      <c r="M3106" t="s">
        <v>27251</v>
      </c>
      <c r="N3106" t="s">
        <v>27252</v>
      </c>
      <c r="Q3106" s="1">
        <v>45250</v>
      </c>
      <c r="R3106" t="s">
        <v>27253</v>
      </c>
      <c r="S3106" t="s">
        <v>27254</v>
      </c>
      <c r="T3106" t="s">
        <v>27269</v>
      </c>
    </row>
    <row r="3107" spans="1:20" x14ac:dyDescent="0.3">
      <c r="A3107" t="str">
        <f>"0611833386025"</f>
        <v>0611833386025</v>
      </c>
      <c r="B3107" t="str">
        <f>"MQ0663"</f>
        <v>MQ0663</v>
      </c>
      <c r="C3107" t="s">
        <v>33260</v>
      </c>
      <c r="D3107" t="s">
        <v>27267</v>
      </c>
      <c r="E3107" t="str">
        <f t="shared" si="48"/>
        <v>001390</v>
      </c>
      <c r="F3107" t="s">
        <v>27246</v>
      </c>
      <c r="G3107" t="s">
        <v>27247</v>
      </c>
      <c r="H3107" t="s">
        <v>27248</v>
      </c>
      <c r="I3107" t="s">
        <v>33261</v>
      </c>
      <c r="J3107" t="s">
        <v>6235</v>
      </c>
      <c r="L3107" t="s">
        <v>27250</v>
      </c>
      <c r="M3107" t="s">
        <v>27251</v>
      </c>
      <c r="N3107" t="s">
        <v>27252</v>
      </c>
      <c r="Q3107" s="1">
        <v>44538</v>
      </c>
      <c r="R3107" t="s">
        <v>27253</v>
      </c>
      <c r="S3107" t="s">
        <v>27254</v>
      </c>
      <c r="T3107" t="s">
        <v>27269</v>
      </c>
    </row>
    <row r="3108" spans="1:20" x14ac:dyDescent="0.3">
      <c r="A3108" t="str">
        <f>"0611833387025"</f>
        <v>0611833387025</v>
      </c>
      <c r="B3108" t="str">
        <f>"MQ0664"</f>
        <v>MQ0664</v>
      </c>
      <c r="C3108" t="s">
        <v>33262</v>
      </c>
      <c r="D3108" t="s">
        <v>27267</v>
      </c>
      <c r="E3108" t="str">
        <f t="shared" si="48"/>
        <v>001390</v>
      </c>
      <c r="F3108" t="s">
        <v>27246</v>
      </c>
      <c r="G3108" t="s">
        <v>27247</v>
      </c>
      <c r="H3108" t="s">
        <v>27248</v>
      </c>
      <c r="I3108" t="s">
        <v>33263</v>
      </c>
      <c r="J3108" t="s">
        <v>6237</v>
      </c>
      <c r="L3108" t="s">
        <v>27250</v>
      </c>
      <c r="M3108" t="s">
        <v>27251</v>
      </c>
      <c r="N3108" t="s">
        <v>27252</v>
      </c>
      <c r="Q3108" s="1">
        <v>44538</v>
      </c>
      <c r="R3108" t="s">
        <v>27253</v>
      </c>
      <c r="S3108" t="s">
        <v>27254</v>
      </c>
      <c r="T3108" t="s">
        <v>27269</v>
      </c>
    </row>
    <row r="3109" spans="1:20" x14ac:dyDescent="0.3">
      <c r="A3109" t="str">
        <f>"0611833388025"</f>
        <v>0611833388025</v>
      </c>
      <c r="B3109" t="str">
        <f>"MQ0665"</f>
        <v>MQ0665</v>
      </c>
      <c r="C3109" t="s">
        <v>33264</v>
      </c>
      <c r="D3109" t="s">
        <v>27267</v>
      </c>
      <c r="E3109" t="str">
        <f t="shared" si="48"/>
        <v>001390</v>
      </c>
      <c r="F3109" t="s">
        <v>27246</v>
      </c>
      <c r="G3109" t="s">
        <v>27247</v>
      </c>
      <c r="H3109" t="s">
        <v>27248</v>
      </c>
      <c r="I3109" t="s">
        <v>33265</v>
      </c>
      <c r="J3109" t="s">
        <v>6239</v>
      </c>
      <c r="L3109" t="s">
        <v>27250</v>
      </c>
      <c r="M3109" t="s">
        <v>27251</v>
      </c>
      <c r="N3109" t="s">
        <v>27252</v>
      </c>
      <c r="Q3109" s="1">
        <v>44538</v>
      </c>
      <c r="R3109" t="s">
        <v>27253</v>
      </c>
      <c r="S3109" t="s">
        <v>27254</v>
      </c>
      <c r="T3109" t="s">
        <v>27269</v>
      </c>
    </row>
    <row r="3110" spans="1:20" x14ac:dyDescent="0.3">
      <c r="A3110" t="str">
        <f>"0611861497050"</f>
        <v>0611861497050</v>
      </c>
      <c r="B3110" t="str">
        <f>"CR4215"</f>
        <v>CR4215</v>
      </c>
      <c r="C3110" t="s">
        <v>33266</v>
      </c>
      <c r="D3110" t="s">
        <v>27271</v>
      </c>
      <c r="E3110" t="str">
        <f t="shared" si="48"/>
        <v>001390</v>
      </c>
      <c r="F3110" t="s">
        <v>27246</v>
      </c>
      <c r="G3110" t="s">
        <v>27247</v>
      </c>
      <c r="H3110" t="s">
        <v>27248</v>
      </c>
      <c r="I3110" t="s">
        <v>33267</v>
      </c>
      <c r="J3110" t="s">
        <v>6241</v>
      </c>
      <c r="L3110" t="s">
        <v>27250</v>
      </c>
      <c r="M3110" t="s">
        <v>27251</v>
      </c>
      <c r="N3110" t="s">
        <v>27252</v>
      </c>
      <c r="P3110" t="s">
        <v>27341</v>
      </c>
      <c r="Q3110" s="1">
        <v>44846</v>
      </c>
      <c r="R3110" t="s">
        <v>27253</v>
      </c>
      <c r="S3110" t="s">
        <v>27254</v>
      </c>
      <c r="T3110" t="s">
        <v>27265</v>
      </c>
    </row>
    <row r="3111" spans="1:20" x14ac:dyDescent="0.3">
      <c r="A3111" t="str">
        <f>"0611861498100"</f>
        <v>0611861498100</v>
      </c>
      <c r="B3111" t="str">
        <f>"CN5034"</f>
        <v>CN5034</v>
      </c>
      <c r="C3111" t="s">
        <v>33268</v>
      </c>
      <c r="D3111" t="s">
        <v>27552</v>
      </c>
      <c r="E3111" t="str">
        <f t="shared" si="48"/>
        <v>001390</v>
      </c>
      <c r="F3111" t="s">
        <v>27246</v>
      </c>
      <c r="G3111" t="s">
        <v>27247</v>
      </c>
      <c r="H3111" t="s">
        <v>27248</v>
      </c>
      <c r="I3111" t="s">
        <v>33269</v>
      </c>
      <c r="J3111" t="s">
        <v>6243</v>
      </c>
      <c r="L3111" t="s">
        <v>27250</v>
      </c>
      <c r="M3111" t="s">
        <v>27251</v>
      </c>
      <c r="N3111" t="s">
        <v>27252</v>
      </c>
      <c r="P3111" t="s">
        <v>27341</v>
      </c>
      <c r="Q3111" s="1">
        <v>44846</v>
      </c>
      <c r="R3111" t="s">
        <v>27253</v>
      </c>
      <c r="S3111" t="s">
        <v>27254</v>
      </c>
      <c r="T3111" t="s">
        <v>27255</v>
      </c>
    </row>
    <row r="3112" spans="1:20" x14ac:dyDescent="0.3">
      <c r="A3112" t="str">
        <f>"0611833394025"</f>
        <v>0611833394025</v>
      </c>
      <c r="B3112" t="str">
        <f>"MC2659"</f>
        <v>MC2659</v>
      </c>
      <c r="C3112" t="s">
        <v>33270</v>
      </c>
      <c r="D3112" t="s">
        <v>27267</v>
      </c>
      <c r="E3112" t="str">
        <f t="shared" si="48"/>
        <v>001390</v>
      </c>
      <c r="F3112" t="s">
        <v>27246</v>
      </c>
      <c r="G3112" t="s">
        <v>27247</v>
      </c>
      <c r="H3112" t="s">
        <v>27248</v>
      </c>
      <c r="I3112" t="s">
        <v>33271</v>
      </c>
      <c r="J3112" t="s">
        <v>6245</v>
      </c>
      <c r="L3112" t="s">
        <v>27250</v>
      </c>
      <c r="M3112" t="s">
        <v>27251</v>
      </c>
      <c r="N3112" t="s">
        <v>27252</v>
      </c>
      <c r="Q3112" s="1">
        <v>44538</v>
      </c>
      <c r="R3112" t="s">
        <v>27253</v>
      </c>
      <c r="S3112" t="s">
        <v>27254</v>
      </c>
      <c r="T3112" t="s">
        <v>27269</v>
      </c>
    </row>
    <row r="3113" spans="1:20" x14ac:dyDescent="0.3">
      <c r="A3113" t="str">
        <f>"0611833395025"</f>
        <v>0611833395025</v>
      </c>
      <c r="B3113" t="str">
        <f>"MC4095"</f>
        <v>MC4095</v>
      </c>
      <c r="C3113" t="s">
        <v>33272</v>
      </c>
      <c r="D3113" t="s">
        <v>27267</v>
      </c>
      <c r="E3113" t="str">
        <f t="shared" si="48"/>
        <v>001390</v>
      </c>
      <c r="F3113" t="s">
        <v>27246</v>
      </c>
      <c r="G3113" t="s">
        <v>27247</v>
      </c>
      <c r="H3113" t="s">
        <v>27248</v>
      </c>
      <c r="I3113" t="s">
        <v>33273</v>
      </c>
      <c r="J3113" t="s">
        <v>6247</v>
      </c>
      <c r="L3113" t="s">
        <v>27250</v>
      </c>
      <c r="M3113" t="s">
        <v>27251</v>
      </c>
      <c r="N3113" t="s">
        <v>27252</v>
      </c>
      <c r="Q3113" s="1">
        <v>44538</v>
      </c>
      <c r="R3113" t="s">
        <v>27253</v>
      </c>
      <c r="S3113" t="s">
        <v>27254</v>
      </c>
      <c r="T3113" t="s">
        <v>27269</v>
      </c>
    </row>
    <row r="3114" spans="1:20" x14ac:dyDescent="0.3">
      <c r="A3114" t="str">
        <f>"0611833396025"</f>
        <v>0611833396025</v>
      </c>
      <c r="B3114" t="str">
        <f>"MQ0079"</f>
        <v>MQ0079</v>
      </c>
      <c r="C3114" t="s">
        <v>33274</v>
      </c>
      <c r="D3114" t="s">
        <v>27267</v>
      </c>
      <c r="E3114" t="str">
        <f t="shared" si="48"/>
        <v>001390</v>
      </c>
      <c r="F3114" t="s">
        <v>27246</v>
      </c>
      <c r="G3114" t="s">
        <v>27247</v>
      </c>
      <c r="H3114" t="s">
        <v>27248</v>
      </c>
      <c r="I3114" t="s">
        <v>33275</v>
      </c>
      <c r="J3114" t="s">
        <v>6249</v>
      </c>
      <c r="L3114" t="s">
        <v>27250</v>
      </c>
      <c r="M3114" t="s">
        <v>27251</v>
      </c>
      <c r="N3114" t="s">
        <v>27252</v>
      </c>
      <c r="Q3114" s="1">
        <v>44538</v>
      </c>
      <c r="R3114" t="s">
        <v>27253</v>
      </c>
      <c r="S3114" t="s">
        <v>27254</v>
      </c>
      <c r="T3114" t="s">
        <v>27269</v>
      </c>
    </row>
    <row r="3115" spans="1:20" x14ac:dyDescent="0.3">
      <c r="A3115" t="str">
        <f>"0611833397100"</f>
        <v>0611833397100</v>
      </c>
      <c r="B3115" t="str">
        <f>"LH2867"</f>
        <v>LH2867</v>
      </c>
      <c r="C3115" t="s">
        <v>33276</v>
      </c>
      <c r="D3115" t="s">
        <v>27245</v>
      </c>
      <c r="E3115" t="str">
        <f t="shared" si="48"/>
        <v>001390</v>
      </c>
      <c r="F3115" t="s">
        <v>27246</v>
      </c>
      <c r="G3115" t="s">
        <v>27247</v>
      </c>
      <c r="H3115" t="s">
        <v>27248</v>
      </c>
      <c r="I3115" t="s">
        <v>33277</v>
      </c>
      <c r="J3115" t="s">
        <v>6251</v>
      </c>
      <c r="L3115" t="s">
        <v>27250</v>
      </c>
      <c r="M3115" t="s">
        <v>27251</v>
      </c>
      <c r="N3115" t="s">
        <v>27252</v>
      </c>
      <c r="Q3115" s="1">
        <v>44538</v>
      </c>
      <c r="R3115" t="s">
        <v>27253</v>
      </c>
      <c r="S3115" t="s">
        <v>27254</v>
      </c>
      <c r="T3115" t="s">
        <v>27255</v>
      </c>
    </row>
    <row r="3116" spans="1:20" x14ac:dyDescent="0.3">
      <c r="A3116" t="str">
        <f>"0611861499100"</f>
        <v>0611861499100</v>
      </c>
      <c r="B3116" t="str">
        <f>"CN5037"</f>
        <v>CN5037</v>
      </c>
      <c r="C3116" t="s">
        <v>33278</v>
      </c>
      <c r="D3116" t="s">
        <v>27339</v>
      </c>
      <c r="E3116" t="str">
        <f t="shared" si="48"/>
        <v>001390</v>
      </c>
      <c r="F3116" t="s">
        <v>27246</v>
      </c>
      <c r="G3116" t="s">
        <v>27247</v>
      </c>
      <c r="H3116" t="s">
        <v>27248</v>
      </c>
      <c r="I3116" t="s">
        <v>33279</v>
      </c>
      <c r="J3116" t="s">
        <v>6253</v>
      </c>
      <c r="L3116" t="s">
        <v>27250</v>
      </c>
      <c r="M3116" t="s">
        <v>27251</v>
      </c>
      <c r="N3116" t="s">
        <v>27252</v>
      </c>
      <c r="P3116" t="s">
        <v>27341</v>
      </c>
      <c r="Q3116" s="1">
        <v>44846</v>
      </c>
      <c r="R3116" t="s">
        <v>27253</v>
      </c>
      <c r="S3116" t="s">
        <v>27254</v>
      </c>
      <c r="T3116" t="s">
        <v>27255</v>
      </c>
    </row>
    <row r="3117" spans="1:20" x14ac:dyDescent="0.3">
      <c r="A3117" t="str">
        <f>"0611833399025"</f>
        <v>0611833399025</v>
      </c>
      <c r="B3117" t="str">
        <f>"MQ0417"</f>
        <v>MQ0417</v>
      </c>
      <c r="C3117" t="s">
        <v>33280</v>
      </c>
      <c r="D3117" t="s">
        <v>27267</v>
      </c>
      <c r="E3117" t="str">
        <f t="shared" si="48"/>
        <v>001390</v>
      </c>
      <c r="F3117" t="s">
        <v>27246</v>
      </c>
      <c r="G3117" t="s">
        <v>27247</v>
      </c>
      <c r="H3117" t="s">
        <v>27248</v>
      </c>
      <c r="I3117" t="s">
        <v>33281</v>
      </c>
      <c r="J3117" t="s">
        <v>6255</v>
      </c>
      <c r="L3117" t="s">
        <v>27250</v>
      </c>
      <c r="M3117" t="s">
        <v>27251</v>
      </c>
      <c r="N3117" t="s">
        <v>27252</v>
      </c>
      <c r="Q3117" s="1">
        <v>44538</v>
      </c>
      <c r="R3117" t="s">
        <v>27253</v>
      </c>
      <c r="S3117" t="s">
        <v>27254</v>
      </c>
      <c r="T3117" t="s">
        <v>27269</v>
      </c>
    </row>
    <row r="3118" spans="1:20" x14ac:dyDescent="0.3">
      <c r="A3118" t="str">
        <f>"0611833400025"</f>
        <v>0611833400025</v>
      </c>
      <c r="B3118" t="str">
        <f>"MQ3213"</f>
        <v>MQ3213</v>
      </c>
      <c r="C3118" t="s">
        <v>33282</v>
      </c>
      <c r="D3118" t="s">
        <v>27267</v>
      </c>
      <c r="E3118" t="str">
        <f t="shared" si="48"/>
        <v>001390</v>
      </c>
      <c r="F3118" t="s">
        <v>27246</v>
      </c>
      <c r="G3118" t="s">
        <v>27247</v>
      </c>
      <c r="H3118" t="s">
        <v>27248</v>
      </c>
      <c r="I3118" t="s">
        <v>33283</v>
      </c>
      <c r="J3118" t="s">
        <v>6257</v>
      </c>
      <c r="L3118" t="s">
        <v>27250</v>
      </c>
      <c r="M3118" t="s">
        <v>27251</v>
      </c>
      <c r="N3118" t="s">
        <v>27252</v>
      </c>
      <c r="Q3118" s="1">
        <v>44538</v>
      </c>
      <c r="R3118" t="s">
        <v>27253</v>
      </c>
      <c r="S3118" t="s">
        <v>27254</v>
      </c>
      <c r="T3118" t="s">
        <v>27269</v>
      </c>
    </row>
    <row r="3119" spans="1:20" x14ac:dyDescent="0.3">
      <c r="A3119" t="str">
        <f>"0611833401025"</f>
        <v>0611833401025</v>
      </c>
      <c r="B3119" t="str">
        <f>"MQ0174"</f>
        <v>MQ0174</v>
      </c>
      <c r="C3119" t="s">
        <v>33284</v>
      </c>
      <c r="D3119" t="s">
        <v>27267</v>
      </c>
      <c r="E3119" t="str">
        <f t="shared" si="48"/>
        <v>001390</v>
      </c>
      <c r="F3119" t="s">
        <v>27246</v>
      </c>
      <c r="G3119" t="s">
        <v>27247</v>
      </c>
      <c r="H3119" t="s">
        <v>27248</v>
      </c>
      <c r="I3119" t="s">
        <v>33285</v>
      </c>
      <c r="J3119" t="s">
        <v>6259</v>
      </c>
      <c r="L3119" t="s">
        <v>27250</v>
      </c>
      <c r="M3119" t="s">
        <v>27251</v>
      </c>
      <c r="N3119" t="s">
        <v>27252</v>
      </c>
      <c r="Q3119" s="1">
        <v>44538</v>
      </c>
      <c r="R3119" t="s">
        <v>27253</v>
      </c>
      <c r="S3119" t="s">
        <v>27254</v>
      </c>
      <c r="T3119" t="s">
        <v>27269</v>
      </c>
    </row>
    <row r="3120" spans="1:20" x14ac:dyDescent="0.3">
      <c r="A3120" t="str">
        <f>"0611833402025"</f>
        <v>0611833402025</v>
      </c>
      <c r="B3120" t="str">
        <f>"MQ3118"</f>
        <v>MQ3118</v>
      </c>
      <c r="C3120" t="s">
        <v>33286</v>
      </c>
      <c r="D3120" t="s">
        <v>27267</v>
      </c>
      <c r="E3120" t="str">
        <f t="shared" si="48"/>
        <v>001390</v>
      </c>
      <c r="F3120" t="s">
        <v>27246</v>
      </c>
      <c r="G3120" t="s">
        <v>27247</v>
      </c>
      <c r="H3120" t="s">
        <v>27248</v>
      </c>
      <c r="I3120" t="s">
        <v>33287</v>
      </c>
      <c r="J3120" t="s">
        <v>6261</v>
      </c>
      <c r="L3120" t="s">
        <v>27250</v>
      </c>
      <c r="M3120" t="s">
        <v>27251</v>
      </c>
      <c r="N3120" t="s">
        <v>27252</v>
      </c>
      <c r="Q3120" s="1">
        <v>44538</v>
      </c>
      <c r="R3120" t="s">
        <v>27253</v>
      </c>
      <c r="S3120" t="s">
        <v>27254</v>
      </c>
      <c r="T3120" t="s">
        <v>27269</v>
      </c>
    </row>
    <row r="3121" spans="1:20" x14ac:dyDescent="0.3">
      <c r="A3121" t="str">
        <f>"0611833403025"</f>
        <v>0611833403025</v>
      </c>
      <c r="B3121" t="str">
        <f>"MQ3119"</f>
        <v>MQ3119</v>
      </c>
      <c r="C3121" t="s">
        <v>33288</v>
      </c>
      <c r="D3121" t="s">
        <v>27267</v>
      </c>
      <c r="E3121" t="str">
        <f t="shared" si="48"/>
        <v>001390</v>
      </c>
      <c r="F3121" t="s">
        <v>27246</v>
      </c>
      <c r="G3121" t="s">
        <v>27247</v>
      </c>
      <c r="H3121" t="s">
        <v>27248</v>
      </c>
      <c r="I3121" t="s">
        <v>33289</v>
      </c>
      <c r="J3121" t="s">
        <v>6263</v>
      </c>
      <c r="L3121" t="s">
        <v>27250</v>
      </c>
      <c r="M3121" t="s">
        <v>27251</v>
      </c>
      <c r="N3121" t="s">
        <v>27252</v>
      </c>
      <c r="Q3121" s="1">
        <v>44538</v>
      </c>
      <c r="R3121" t="s">
        <v>27253</v>
      </c>
      <c r="S3121" t="s">
        <v>27254</v>
      </c>
      <c r="T3121" t="s">
        <v>27269</v>
      </c>
    </row>
    <row r="3122" spans="1:20" x14ac:dyDescent="0.3">
      <c r="A3122" t="str">
        <f>"0611833404025"</f>
        <v>0611833404025</v>
      </c>
      <c r="B3122" t="str">
        <f>"MQ3120"</f>
        <v>MQ3120</v>
      </c>
      <c r="C3122" t="s">
        <v>33290</v>
      </c>
      <c r="D3122" t="s">
        <v>27267</v>
      </c>
      <c r="E3122" t="str">
        <f t="shared" si="48"/>
        <v>001390</v>
      </c>
      <c r="F3122" t="s">
        <v>27246</v>
      </c>
      <c r="G3122" t="s">
        <v>27247</v>
      </c>
      <c r="H3122" t="s">
        <v>27248</v>
      </c>
      <c r="I3122" t="s">
        <v>33291</v>
      </c>
      <c r="J3122" t="s">
        <v>6265</v>
      </c>
      <c r="L3122" t="s">
        <v>27250</v>
      </c>
      <c r="M3122" t="s">
        <v>27251</v>
      </c>
      <c r="N3122" t="s">
        <v>27252</v>
      </c>
      <c r="Q3122" s="1">
        <v>44538</v>
      </c>
      <c r="R3122" t="s">
        <v>27253</v>
      </c>
      <c r="S3122" t="s">
        <v>27254</v>
      </c>
      <c r="T3122" t="s">
        <v>27269</v>
      </c>
    </row>
    <row r="3123" spans="1:20" x14ac:dyDescent="0.3">
      <c r="A3123" t="str">
        <f>"0611833405025"</f>
        <v>0611833405025</v>
      </c>
      <c r="B3123" t="str">
        <f>"MQ0697"</f>
        <v>MQ0697</v>
      </c>
      <c r="C3123" t="s">
        <v>33292</v>
      </c>
      <c r="D3123" t="s">
        <v>27267</v>
      </c>
      <c r="E3123" t="str">
        <f t="shared" si="48"/>
        <v>001390</v>
      </c>
      <c r="F3123" t="s">
        <v>27246</v>
      </c>
      <c r="G3123" t="s">
        <v>27247</v>
      </c>
      <c r="H3123" t="s">
        <v>27248</v>
      </c>
      <c r="I3123" t="s">
        <v>33293</v>
      </c>
      <c r="J3123" t="s">
        <v>6267</v>
      </c>
      <c r="L3123" t="s">
        <v>27250</v>
      </c>
      <c r="M3123" t="s">
        <v>27251</v>
      </c>
      <c r="N3123" t="s">
        <v>27252</v>
      </c>
      <c r="Q3123" s="1">
        <v>44538</v>
      </c>
      <c r="R3123" t="s">
        <v>27253</v>
      </c>
      <c r="S3123" t="s">
        <v>27254</v>
      </c>
      <c r="T3123" t="s">
        <v>27269</v>
      </c>
    </row>
    <row r="3124" spans="1:20" x14ac:dyDescent="0.3">
      <c r="A3124" t="str">
        <f>"0611833406025"</f>
        <v>0611833406025</v>
      </c>
      <c r="B3124" t="str">
        <f>"MQ3121"</f>
        <v>MQ3121</v>
      </c>
      <c r="C3124" t="s">
        <v>33294</v>
      </c>
      <c r="D3124" t="s">
        <v>27267</v>
      </c>
      <c r="E3124" t="str">
        <f t="shared" si="48"/>
        <v>001390</v>
      </c>
      <c r="F3124" t="s">
        <v>27246</v>
      </c>
      <c r="G3124" t="s">
        <v>27247</v>
      </c>
      <c r="H3124" t="s">
        <v>27248</v>
      </c>
      <c r="I3124" t="s">
        <v>33295</v>
      </c>
      <c r="J3124" t="s">
        <v>6269</v>
      </c>
      <c r="L3124" t="s">
        <v>27250</v>
      </c>
      <c r="M3124" t="s">
        <v>27251</v>
      </c>
      <c r="N3124" t="s">
        <v>27252</v>
      </c>
      <c r="Q3124" s="1">
        <v>44538</v>
      </c>
      <c r="R3124" t="s">
        <v>27253</v>
      </c>
      <c r="S3124" t="s">
        <v>27254</v>
      </c>
      <c r="T3124" t="s">
        <v>27269</v>
      </c>
    </row>
    <row r="3125" spans="1:20" x14ac:dyDescent="0.3">
      <c r="A3125" t="str">
        <f>"0611833409100"</f>
        <v>0611833409100</v>
      </c>
      <c r="B3125" t="str">
        <f>"LH2875"</f>
        <v>LH2875</v>
      </c>
      <c r="C3125" t="s">
        <v>33296</v>
      </c>
      <c r="D3125" t="s">
        <v>27245</v>
      </c>
      <c r="E3125" t="str">
        <f t="shared" si="48"/>
        <v>001390</v>
      </c>
      <c r="F3125" t="s">
        <v>27246</v>
      </c>
      <c r="G3125" t="s">
        <v>27247</v>
      </c>
      <c r="H3125" t="s">
        <v>27248</v>
      </c>
      <c r="I3125" t="s">
        <v>33297</v>
      </c>
      <c r="J3125" t="s">
        <v>6279</v>
      </c>
      <c r="L3125" t="s">
        <v>27250</v>
      </c>
      <c r="M3125" t="s">
        <v>27251</v>
      </c>
      <c r="N3125" t="s">
        <v>27252</v>
      </c>
      <c r="Q3125" s="1">
        <v>44538</v>
      </c>
      <c r="R3125" t="s">
        <v>27253</v>
      </c>
      <c r="S3125" t="s">
        <v>27254</v>
      </c>
      <c r="T3125" t="s">
        <v>27255</v>
      </c>
    </row>
    <row r="3126" spans="1:20" x14ac:dyDescent="0.3">
      <c r="A3126" t="str">
        <f>"0611833410025"</f>
        <v>0611833410025</v>
      </c>
      <c r="B3126" t="str">
        <f>"MC0203"</f>
        <v>MC0203</v>
      </c>
      <c r="C3126" t="s">
        <v>33296</v>
      </c>
      <c r="D3126" t="s">
        <v>27267</v>
      </c>
      <c r="E3126" t="str">
        <f t="shared" si="48"/>
        <v>001390</v>
      </c>
      <c r="F3126" t="s">
        <v>27246</v>
      </c>
      <c r="G3126" t="s">
        <v>27247</v>
      </c>
      <c r="H3126" t="s">
        <v>27248</v>
      </c>
      <c r="I3126" t="s">
        <v>33298</v>
      </c>
      <c r="J3126" t="s">
        <v>6281</v>
      </c>
      <c r="L3126" t="s">
        <v>27250</v>
      </c>
      <c r="M3126" t="s">
        <v>27251</v>
      </c>
      <c r="N3126" t="s">
        <v>27252</v>
      </c>
      <c r="Q3126" s="1">
        <v>44538</v>
      </c>
      <c r="R3126" t="s">
        <v>27253</v>
      </c>
      <c r="S3126" t="s">
        <v>27254</v>
      </c>
      <c r="T3126" t="s">
        <v>27269</v>
      </c>
    </row>
    <row r="3127" spans="1:20" x14ac:dyDescent="0.3">
      <c r="A3127" t="str">
        <f>"0611833407100"</f>
        <v>0611833407100</v>
      </c>
      <c r="B3127" t="str">
        <f>"LH2874"</f>
        <v>LH2874</v>
      </c>
      <c r="C3127" t="s">
        <v>33299</v>
      </c>
      <c r="D3127" t="s">
        <v>27245</v>
      </c>
      <c r="E3127" t="str">
        <f t="shared" si="48"/>
        <v>001390</v>
      </c>
      <c r="F3127" t="s">
        <v>27246</v>
      </c>
      <c r="G3127" t="s">
        <v>27247</v>
      </c>
      <c r="H3127" t="s">
        <v>27248</v>
      </c>
      <c r="I3127" t="s">
        <v>33300</v>
      </c>
      <c r="J3127" t="s">
        <v>6271</v>
      </c>
      <c r="L3127" t="s">
        <v>27250</v>
      </c>
      <c r="M3127" t="s">
        <v>27251</v>
      </c>
      <c r="N3127" t="s">
        <v>27252</v>
      </c>
      <c r="Q3127" s="1">
        <v>44538</v>
      </c>
      <c r="R3127" t="s">
        <v>27253</v>
      </c>
      <c r="S3127" t="s">
        <v>27254</v>
      </c>
      <c r="T3127" t="s">
        <v>27255</v>
      </c>
    </row>
    <row r="3128" spans="1:20" x14ac:dyDescent="0.3">
      <c r="A3128" t="str">
        <f>"0611833408025"</f>
        <v>0611833408025</v>
      </c>
      <c r="B3128" t="str">
        <f>"MC3709"</f>
        <v>MC3709</v>
      </c>
      <c r="C3128" t="s">
        <v>33301</v>
      </c>
      <c r="D3128" t="s">
        <v>27267</v>
      </c>
      <c r="E3128" t="str">
        <f t="shared" si="48"/>
        <v>001390</v>
      </c>
      <c r="F3128" t="s">
        <v>27246</v>
      </c>
      <c r="G3128" t="s">
        <v>27247</v>
      </c>
      <c r="H3128" t="s">
        <v>27248</v>
      </c>
      <c r="I3128" t="s">
        <v>33302</v>
      </c>
      <c r="J3128" t="s">
        <v>6273</v>
      </c>
      <c r="L3128" t="s">
        <v>27250</v>
      </c>
      <c r="M3128" t="s">
        <v>27251</v>
      </c>
      <c r="N3128" t="s">
        <v>27252</v>
      </c>
      <c r="Q3128" s="1">
        <v>44538</v>
      </c>
      <c r="R3128" t="s">
        <v>27253</v>
      </c>
      <c r="S3128" t="s">
        <v>27254</v>
      </c>
      <c r="T3128" t="s">
        <v>27269</v>
      </c>
    </row>
    <row r="3129" spans="1:20" x14ac:dyDescent="0.3">
      <c r="A3129" t="str">
        <f>"0611861500100"</f>
        <v>0611861500100</v>
      </c>
      <c r="B3129" t="str">
        <f>"CN5046"</f>
        <v>CN5046</v>
      </c>
      <c r="C3129" t="s">
        <v>33303</v>
      </c>
      <c r="D3129" t="s">
        <v>27335</v>
      </c>
      <c r="E3129" t="str">
        <f t="shared" si="48"/>
        <v>001390</v>
      </c>
      <c r="F3129" t="s">
        <v>27246</v>
      </c>
      <c r="G3129" t="s">
        <v>27247</v>
      </c>
      <c r="H3129" t="s">
        <v>27248</v>
      </c>
      <c r="I3129" t="s">
        <v>33304</v>
      </c>
      <c r="J3129" t="s">
        <v>6275</v>
      </c>
      <c r="L3129" t="s">
        <v>27250</v>
      </c>
      <c r="M3129" t="s">
        <v>27251</v>
      </c>
      <c r="N3129" t="s">
        <v>27252</v>
      </c>
      <c r="Q3129" s="1">
        <v>44846</v>
      </c>
      <c r="R3129" t="s">
        <v>27253</v>
      </c>
      <c r="S3129" t="s">
        <v>27254</v>
      </c>
      <c r="T3129" t="s">
        <v>27255</v>
      </c>
    </row>
    <row r="3130" spans="1:20" x14ac:dyDescent="0.3">
      <c r="A3130" t="str">
        <f>"0611861501050"</f>
        <v>0611861501050</v>
      </c>
      <c r="B3130" t="str">
        <f>"CR4225"</f>
        <v>CR4225</v>
      </c>
      <c r="C3130" t="s">
        <v>33305</v>
      </c>
      <c r="D3130" t="s">
        <v>27286</v>
      </c>
      <c r="E3130" t="str">
        <f t="shared" si="48"/>
        <v>001390</v>
      </c>
      <c r="F3130" t="s">
        <v>27246</v>
      </c>
      <c r="G3130" t="s">
        <v>27247</v>
      </c>
      <c r="H3130" t="s">
        <v>27248</v>
      </c>
      <c r="I3130" t="s">
        <v>33306</v>
      </c>
      <c r="J3130" t="s">
        <v>6277</v>
      </c>
      <c r="L3130" t="s">
        <v>27250</v>
      </c>
      <c r="M3130" t="s">
        <v>27251</v>
      </c>
      <c r="N3130" t="s">
        <v>27252</v>
      </c>
      <c r="Q3130" s="1">
        <v>44846</v>
      </c>
      <c r="R3130" t="s">
        <v>27253</v>
      </c>
      <c r="S3130" t="s">
        <v>27254</v>
      </c>
      <c r="T3130" t="s">
        <v>27265</v>
      </c>
    </row>
    <row r="3131" spans="1:20" x14ac:dyDescent="0.3">
      <c r="A3131" t="str">
        <f>"0611833411100"</f>
        <v>0611833411100</v>
      </c>
      <c r="B3131" t="str">
        <f>"LC5800"</f>
        <v>LC5800</v>
      </c>
      <c r="C3131" t="s">
        <v>33307</v>
      </c>
      <c r="D3131" t="s">
        <v>27245</v>
      </c>
      <c r="E3131" t="str">
        <f t="shared" si="48"/>
        <v>001390</v>
      </c>
      <c r="F3131" t="s">
        <v>27246</v>
      </c>
      <c r="G3131" t="s">
        <v>27247</v>
      </c>
      <c r="H3131" t="s">
        <v>27248</v>
      </c>
      <c r="I3131" t="s">
        <v>33308</v>
      </c>
      <c r="J3131" t="s">
        <v>5029</v>
      </c>
      <c r="L3131" t="s">
        <v>27250</v>
      </c>
      <c r="M3131" t="s">
        <v>27251</v>
      </c>
      <c r="N3131" t="s">
        <v>27252</v>
      </c>
      <c r="Q3131" s="1">
        <v>44538</v>
      </c>
      <c r="R3131" t="s">
        <v>27253</v>
      </c>
      <c r="S3131" t="s">
        <v>27254</v>
      </c>
      <c r="T3131" t="s">
        <v>27255</v>
      </c>
    </row>
    <row r="3132" spans="1:20" x14ac:dyDescent="0.3">
      <c r="A3132" t="str">
        <f>"0611833412200"</f>
        <v>0611833412200</v>
      </c>
      <c r="B3132" t="str">
        <f>"KP5801"</f>
        <v>KP5801</v>
      </c>
      <c r="C3132" t="s">
        <v>33307</v>
      </c>
      <c r="D3132" t="s">
        <v>27682</v>
      </c>
      <c r="E3132" t="str">
        <f t="shared" si="48"/>
        <v>001390</v>
      </c>
      <c r="F3132" t="s">
        <v>27246</v>
      </c>
      <c r="G3132" t="s">
        <v>27247</v>
      </c>
      <c r="H3132" t="s">
        <v>27248</v>
      </c>
      <c r="I3132" t="s">
        <v>33309</v>
      </c>
      <c r="J3132" t="s">
        <v>5031</v>
      </c>
      <c r="L3132" t="s">
        <v>27250</v>
      </c>
      <c r="M3132" t="s">
        <v>27251</v>
      </c>
      <c r="N3132" t="s">
        <v>27252</v>
      </c>
      <c r="Q3132" s="1">
        <v>44538</v>
      </c>
      <c r="R3132" t="s">
        <v>27253</v>
      </c>
      <c r="S3132" t="s">
        <v>27254</v>
      </c>
      <c r="T3132" t="s">
        <v>27684</v>
      </c>
    </row>
    <row r="3133" spans="1:20" x14ac:dyDescent="0.3">
      <c r="A3133" t="str">
        <f>"0611833413025"</f>
        <v>0611833413025</v>
      </c>
      <c r="B3133" t="str">
        <f>"MC0786"</f>
        <v>MC0786</v>
      </c>
      <c r="C3133" t="s">
        <v>33307</v>
      </c>
      <c r="D3133" t="s">
        <v>27267</v>
      </c>
      <c r="E3133" t="str">
        <f t="shared" si="48"/>
        <v>001390</v>
      </c>
      <c r="F3133" t="s">
        <v>27246</v>
      </c>
      <c r="G3133" t="s">
        <v>27247</v>
      </c>
      <c r="H3133" t="s">
        <v>27248</v>
      </c>
      <c r="I3133" t="s">
        <v>33310</v>
      </c>
      <c r="J3133" t="s">
        <v>5033</v>
      </c>
      <c r="L3133" t="s">
        <v>27250</v>
      </c>
      <c r="M3133" t="s">
        <v>27251</v>
      </c>
      <c r="N3133" t="s">
        <v>27252</v>
      </c>
      <c r="Q3133" s="1">
        <v>44538</v>
      </c>
      <c r="R3133" t="s">
        <v>27253</v>
      </c>
      <c r="S3133" t="s">
        <v>27254</v>
      </c>
      <c r="T3133" t="s">
        <v>27269</v>
      </c>
    </row>
    <row r="3134" spans="1:20" x14ac:dyDescent="0.3">
      <c r="A3134" t="str">
        <f>"0611833414100"</f>
        <v>0611833414100</v>
      </c>
      <c r="B3134" t="str">
        <f>"LC5804"</f>
        <v>LC5804</v>
      </c>
      <c r="C3134" t="s">
        <v>33311</v>
      </c>
      <c r="D3134" t="s">
        <v>27245</v>
      </c>
      <c r="E3134" t="str">
        <f t="shared" si="48"/>
        <v>001390</v>
      </c>
      <c r="F3134" t="s">
        <v>27246</v>
      </c>
      <c r="G3134" t="s">
        <v>27247</v>
      </c>
      <c r="H3134" t="s">
        <v>27248</v>
      </c>
      <c r="I3134" t="s">
        <v>33312</v>
      </c>
      <c r="J3134" t="s">
        <v>5035</v>
      </c>
      <c r="L3134" t="s">
        <v>27250</v>
      </c>
      <c r="M3134" t="s">
        <v>27251</v>
      </c>
      <c r="N3134" t="s">
        <v>27252</v>
      </c>
      <c r="Q3134" s="1">
        <v>44538</v>
      </c>
      <c r="R3134" t="s">
        <v>27253</v>
      </c>
      <c r="S3134" t="s">
        <v>27254</v>
      </c>
      <c r="T3134" t="s">
        <v>27255</v>
      </c>
    </row>
    <row r="3135" spans="1:20" x14ac:dyDescent="0.3">
      <c r="A3135" t="str">
        <f>"0611833415100"</f>
        <v>0611833415100</v>
      </c>
      <c r="B3135" t="str">
        <f>"LC5803"</f>
        <v>LC5803</v>
      </c>
      <c r="C3135" t="s">
        <v>33313</v>
      </c>
      <c r="D3135" t="s">
        <v>27245</v>
      </c>
      <c r="E3135" t="str">
        <f t="shared" si="48"/>
        <v>001390</v>
      </c>
      <c r="F3135" t="s">
        <v>27246</v>
      </c>
      <c r="G3135" t="s">
        <v>27247</v>
      </c>
      <c r="H3135" t="s">
        <v>27248</v>
      </c>
      <c r="I3135" t="s">
        <v>33314</v>
      </c>
      <c r="J3135" t="s">
        <v>5037</v>
      </c>
      <c r="L3135" t="s">
        <v>27250</v>
      </c>
      <c r="M3135" t="s">
        <v>27251</v>
      </c>
      <c r="N3135" t="s">
        <v>27252</v>
      </c>
      <c r="Q3135" s="1">
        <v>44538</v>
      </c>
      <c r="R3135" t="s">
        <v>27253</v>
      </c>
      <c r="S3135" t="s">
        <v>27254</v>
      </c>
      <c r="T3135" t="s">
        <v>27255</v>
      </c>
    </row>
    <row r="3136" spans="1:20" x14ac:dyDescent="0.3">
      <c r="A3136" t="str">
        <f>"0611856973025"</f>
        <v>0611856973025</v>
      </c>
      <c r="B3136" t="str">
        <f>"MC4412"</f>
        <v>MC4412</v>
      </c>
      <c r="C3136" t="s">
        <v>33313</v>
      </c>
      <c r="D3136" t="s">
        <v>27267</v>
      </c>
      <c r="E3136" t="str">
        <f t="shared" si="48"/>
        <v>001390</v>
      </c>
      <c r="F3136" t="s">
        <v>27246</v>
      </c>
      <c r="G3136" t="s">
        <v>27247</v>
      </c>
      <c r="H3136" t="s">
        <v>27248</v>
      </c>
      <c r="I3136" t="s">
        <v>33315</v>
      </c>
      <c r="J3136" t="s">
        <v>5039</v>
      </c>
      <c r="L3136" t="s">
        <v>27250</v>
      </c>
      <c r="M3136" t="s">
        <v>27251</v>
      </c>
      <c r="N3136" t="s">
        <v>27252</v>
      </c>
      <c r="Q3136" s="1">
        <v>44812</v>
      </c>
      <c r="R3136" t="s">
        <v>27253</v>
      </c>
      <c r="S3136" t="s">
        <v>27254</v>
      </c>
      <c r="T3136" t="s">
        <v>27269</v>
      </c>
    </row>
    <row r="3137" spans="1:20" x14ac:dyDescent="0.3">
      <c r="A3137" t="str">
        <f>"0611840734100"</f>
        <v>0611840734100</v>
      </c>
      <c r="B3137" t="str">
        <f>"LL0021"</f>
        <v>LL0021</v>
      </c>
      <c r="C3137" t="s">
        <v>33316</v>
      </c>
      <c r="D3137" t="s">
        <v>27245</v>
      </c>
      <c r="E3137" t="str">
        <f t="shared" si="48"/>
        <v>001390</v>
      </c>
      <c r="F3137" t="s">
        <v>27246</v>
      </c>
      <c r="G3137" t="s">
        <v>27247</v>
      </c>
      <c r="H3137" t="s">
        <v>27248</v>
      </c>
      <c r="I3137" t="s">
        <v>33317</v>
      </c>
      <c r="J3137" t="s">
        <v>6283</v>
      </c>
      <c r="L3137" t="s">
        <v>27250</v>
      </c>
      <c r="M3137" t="s">
        <v>27251</v>
      </c>
      <c r="N3137" t="s">
        <v>27252</v>
      </c>
      <c r="Q3137" s="1">
        <v>44538</v>
      </c>
      <c r="R3137" t="s">
        <v>27253</v>
      </c>
      <c r="S3137" t="s">
        <v>27254</v>
      </c>
      <c r="T3137" t="s">
        <v>27255</v>
      </c>
    </row>
    <row r="3138" spans="1:20" x14ac:dyDescent="0.3">
      <c r="A3138" t="str">
        <f>"0611840735100"</f>
        <v>0611840735100</v>
      </c>
      <c r="B3138" t="str">
        <f>"LL1458"</f>
        <v>LL1458</v>
      </c>
      <c r="C3138" t="s">
        <v>33318</v>
      </c>
      <c r="D3138" t="s">
        <v>27245</v>
      </c>
      <c r="E3138" t="str">
        <f t="shared" ref="E3138:E3201" si="49">"001390"</f>
        <v>001390</v>
      </c>
      <c r="F3138" t="s">
        <v>27246</v>
      </c>
      <c r="G3138" t="s">
        <v>27247</v>
      </c>
      <c r="H3138" t="s">
        <v>27248</v>
      </c>
      <c r="I3138" t="s">
        <v>33319</v>
      </c>
      <c r="J3138" t="s">
        <v>6285</v>
      </c>
      <c r="L3138" t="s">
        <v>27250</v>
      </c>
      <c r="M3138" t="s">
        <v>27251</v>
      </c>
      <c r="N3138" t="s">
        <v>27252</v>
      </c>
      <c r="Q3138" s="1">
        <v>44538</v>
      </c>
      <c r="R3138" t="s">
        <v>27253</v>
      </c>
      <c r="S3138" t="s">
        <v>27254</v>
      </c>
      <c r="T3138" t="s">
        <v>27255</v>
      </c>
    </row>
    <row r="3139" spans="1:20" x14ac:dyDescent="0.3">
      <c r="A3139" t="str">
        <f>"0611840736100"</f>
        <v>0611840736100</v>
      </c>
      <c r="B3139" t="str">
        <f>"LL1450"</f>
        <v>LL1450</v>
      </c>
      <c r="C3139" t="s">
        <v>33320</v>
      </c>
      <c r="D3139" t="s">
        <v>27245</v>
      </c>
      <c r="E3139" t="str">
        <f t="shared" si="49"/>
        <v>001390</v>
      </c>
      <c r="F3139" t="s">
        <v>27246</v>
      </c>
      <c r="G3139" t="s">
        <v>27247</v>
      </c>
      <c r="H3139" t="s">
        <v>27248</v>
      </c>
      <c r="I3139" t="s">
        <v>33321</v>
      </c>
      <c r="J3139" t="s">
        <v>6287</v>
      </c>
      <c r="L3139" t="s">
        <v>27250</v>
      </c>
      <c r="M3139" t="s">
        <v>27251</v>
      </c>
      <c r="N3139" t="s">
        <v>27252</v>
      </c>
      <c r="Q3139" s="1">
        <v>44538</v>
      </c>
      <c r="R3139" t="s">
        <v>27253</v>
      </c>
      <c r="S3139" t="s">
        <v>27254</v>
      </c>
      <c r="T3139" t="s">
        <v>27255</v>
      </c>
    </row>
    <row r="3140" spans="1:20" x14ac:dyDescent="0.3">
      <c r="A3140" t="str">
        <f>"0611840737100"</f>
        <v>0611840737100</v>
      </c>
      <c r="B3140" t="str">
        <f>"LL5012"</f>
        <v>LL5012</v>
      </c>
      <c r="C3140" t="s">
        <v>33322</v>
      </c>
      <c r="D3140" t="s">
        <v>27245</v>
      </c>
      <c r="E3140" t="str">
        <f t="shared" si="49"/>
        <v>001390</v>
      </c>
      <c r="F3140" t="s">
        <v>27246</v>
      </c>
      <c r="G3140" t="s">
        <v>27247</v>
      </c>
      <c r="H3140" t="s">
        <v>27248</v>
      </c>
      <c r="I3140" t="s">
        <v>33323</v>
      </c>
      <c r="J3140" t="s">
        <v>6289</v>
      </c>
      <c r="L3140" t="s">
        <v>27250</v>
      </c>
      <c r="M3140" t="s">
        <v>27251</v>
      </c>
      <c r="N3140" t="s">
        <v>27252</v>
      </c>
      <c r="Q3140" s="1">
        <v>44538</v>
      </c>
      <c r="R3140" t="s">
        <v>27253</v>
      </c>
      <c r="S3140" t="s">
        <v>27254</v>
      </c>
      <c r="T3140" t="s">
        <v>27255</v>
      </c>
    </row>
    <row r="3141" spans="1:20" x14ac:dyDescent="0.3">
      <c r="A3141" t="str">
        <f>"0611840739100"</f>
        <v>0611840739100</v>
      </c>
      <c r="B3141" t="str">
        <f>"LL1462"</f>
        <v>LL1462</v>
      </c>
      <c r="C3141" t="s">
        <v>33324</v>
      </c>
      <c r="D3141" t="s">
        <v>27245</v>
      </c>
      <c r="E3141" t="str">
        <f t="shared" si="49"/>
        <v>001390</v>
      </c>
      <c r="F3141" t="s">
        <v>27246</v>
      </c>
      <c r="G3141" t="s">
        <v>27247</v>
      </c>
      <c r="H3141" t="s">
        <v>27248</v>
      </c>
      <c r="I3141" t="s">
        <v>33325</v>
      </c>
      <c r="J3141" t="s">
        <v>6291</v>
      </c>
      <c r="L3141" t="s">
        <v>27250</v>
      </c>
      <c r="M3141" t="s">
        <v>27251</v>
      </c>
      <c r="N3141" t="s">
        <v>27252</v>
      </c>
      <c r="Q3141" s="1">
        <v>44538</v>
      </c>
      <c r="R3141" t="s">
        <v>27253</v>
      </c>
      <c r="S3141" t="s">
        <v>27254</v>
      </c>
      <c r="T3141" t="s">
        <v>27255</v>
      </c>
    </row>
    <row r="3142" spans="1:20" x14ac:dyDescent="0.3">
      <c r="A3142" t="str">
        <f>"0611840740100"</f>
        <v>0611840740100</v>
      </c>
      <c r="B3142" t="str">
        <f>"LL1451"</f>
        <v>LL1451</v>
      </c>
      <c r="C3142" t="s">
        <v>33326</v>
      </c>
      <c r="D3142" t="s">
        <v>27245</v>
      </c>
      <c r="E3142" t="str">
        <f t="shared" si="49"/>
        <v>001390</v>
      </c>
      <c r="F3142" t="s">
        <v>27246</v>
      </c>
      <c r="G3142" t="s">
        <v>27247</v>
      </c>
      <c r="H3142" t="s">
        <v>27248</v>
      </c>
      <c r="I3142" t="s">
        <v>33327</v>
      </c>
      <c r="J3142" t="s">
        <v>6293</v>
      </c>
      <c r="L3142" t="s">
        <v>27250</v>
      </c>
      <c r="M3142" t="s">
        <v>27251</v>
      </c>
      <c r="N3142" t="s">
        <v>27252</v>
      </c>
      <c r="Q3142" s="1">
        <v>44538</v>
      </c>
      <c r="R3142" t="s">
        <v>27253</v>
      </c>
      <c r="S3142" t="s">
        <v>27254</v>
      </c>
      <c r="T3142" t="s">
        <v>27255</v>
      </c>
    </row>
    <row r="3143" spans="1:20" x14ac:dyDescent="0.3">
      <c r="A3143" t="str">
        <f>"0611840741100"</f>
        <v>0611840741100</v>
      </c>
      <c r="B3143" t="str">
        <f>"LC9601"</f>
        <v>LC9601</v>
      </c>
      <c r="C3143" t="s">
        <v>33328</v>
      </c>
      <c r="D3143" t="s">
        <v>27245</v>
      </c>
      <c r="E3143" t="str">
        <f t="shared" si="49"/>
        <v>001390</v>
      </c>
      <c r="F3143" t="s">
        <v>27246</v>
      </c>
      <c r="G3143" t="s">
        <v>27247</v>
      </c>
      <c r="H3143" t="s">
        <v>27248</v>
      </c>
      <c r="I3143" t="s">
        <v>33329</v>
      </c>
      <c r="J3143" t="s">
        <v>6295</v>
      </c>
      <c r="L3143" t="s">
        <v>27250</v>
      </c>
      <c r="M3143" t="s">
        <v>27251</v>
      </c>
      <c r="N3143" t="s">
        <v>27252</v>
      </c>
      <c r="Q3143" s="1">
        <v>44538</v>
      </c>
      <c r="R3143" t="s">
        <v>27253</v>
      </c>
      <c r="S3143" t="s">
        <v>27254</v>
      </c>
      <c r="T3143" t="s">
        <v>27255</v>
      </c>
    </row>
    <row r="3144" spans="1:20" x14ac:dyDescent="0.3">
      <c r="A3144" t="str">
        <f>"0611840743100"</f>
        <v>0611840743100</v>
      </c>
      <c r="B3144" t="str">
        <f>"LL1453"</f>
        <v>LL1453</v>
      </c>
      <c r="C3144" t="s">
        <v>33330</v>
      </c>
      <c r="D3144" t="s">
        <v>27245</v>
      </c>
      <c r="E3144" t="str">
        <f t="shared" si="49"/>
        <v>001390</v>
      </c>
      <c r="F3144" t="s">
        <v>27246</v>
      </c>
      <c r="G3144" t="s">
        <v>27247</v>
      </c>
      <c r="H3144" t="s">
        <v>27248</v>
      </c>
      <c r="I3144" t="s">
        <v>33331</v>
      </c>
      <c r="J3144" t="s">
        <v>6297</v>
      </c>
      <c r="L3144" t="s">
        <v>27250</v>
      </c>
      <c r="M3144" t="s">
        <v>27251</v>
      </c>
      <c r="N3144" t="s">
        <v>27252</v>
      </c>
      <c r="Q3144" s="1">
        <v>44538</v>
      </c>
      <c r="R3144" t="s">
        <v>27253</v>
      </c>
      <c r="S3144" t="s">
        <v>27254</v>
      </c>
      <c r="T3144" t="s">
        <v>27255</v>
      </c>
    </row>
    <row r="3145" spans="1:20" x14ac:dyDescent="0.3">
      <c r="A3145" t="str">
        <f>"0611840744100"</f>
        <v>0611840744100</v>
      </c>
      <c r="B3145" t="str">
        <f>"LL1459"</f>
        <v>LL1459</v>
      </c>
      <c r="C3145" t="s">
        <v>33332</v>
      </c>
      <c r="D3145" t="s">
        <v>27245</v>
      </c>
      <c r="E3145" t="str">
        <f t="shared" si="49"/>
        <v>001390</v>
      </c>
      <c r="F3145" t="s">
        <v>27246</v>
      </c>
      <c r="G3145" t="s">
        <v>27247</v>
      </c>
      <c r="H3145" t="s">
        <v>27248</v>
      </c>
      <c r="I3145" t="s">
        <v>33333</v>
      </c>
      <c r="J3145" t="s">
        <v>6299</v>
      </c>
      <c r="L3145" t="s">
        <v>27250</v>
      </c>
      <c r="M3145" t="s">
        <v>27251</v>
      </c>
      <c r="N3145" t="s">
        <v>27252</v>
      </c>
      <c r="Q3145" s="1">
        <v>44538</v>
      </c>
      <c r="R3145" t="s">
        <v>27253</v>
      </c>
      <c r="S3145" t="s">
        <v>27254</v>
      </c>
      <c r="T3145" t="s">
        <v>27255</v>
      </c>
    </row>
    <row r="3146" spans="1:20" x14ac:dyDescent="0.3">
      <c r="A3146" t="str">
        <f>"0611840745100"</f>
        <v>0611840745100</v>
      </c>
      <c r="B3146" t="str">
        <f>"LL1460"</f>
        <v>LL1460</v>
      </c>
      <c r="C3146" t="s">
        <v>33334</v>
      </c>
      <c r="D3146" t="s">
        <v>27245</v>
      </c>
      <c r="E3146" t="str">
        <f t="shared" si="49"/>
        <v>001390</v>
      </c>
      <c r="F3146" t="s">
        <v>27246</v>
      </c>
      <c r="G3146" t="s">
        <v>27247</v>
      </c>
      <c r="H3146" t="s">
        <v>27248</v>
      </c>
      <c r="I3146" t="s">
        <v>33335</v>
      </c>
      <c r="J3146" t="s">
        <v>6301</v>
      </c>
      <c r="L3146" t="s">
        <v>27250</v>
      </c>
      <c r="M3146" t="s">
        <v>27251</v>
      </c>
      <c r="N3146" t="s">
        <v>27252</v>
      </c>
      <c r="Q3146" s="1">
        <v>44538</v>
      </c>
      <c r="R3146" t="s">
        <v>27253</v>
      </c>
      <c r="S3146" t="s">
        <v>27254</v>
      </c>
      <c r="T3146" t="s">
        <v>27255</v>
      </c>
    </row>
    <row r="3147" spans="1:20" x14ac:dyDescent="0.3">
      <c r="A3147" t="str">
        <f>"0611833416100"</f>
        <v>0611833416100</v>
      </c>
      <c r="B3147" t="str">
        <f>"LH2922"</f>
        <v>LH2922</v>
      </c>
      <c r="C3147" t="s">
        <v>33336</v>
      </c>
      <c r="D3147" t="s">
        <v>27245</v>
      </c>
      <c r="E3147" t="str">
        <f t="shared" si="49"/>
        <v>001390</v>
      </c>
      <c r="F3147" t="s">
        <v>27246</v>
      </c>
      <c r="G3147" t="s">
        <v>27247</v>
      </c>
      <c r="H3147" t="s">
        <v>27248</v>
      </c>
      <c r="I3147" t="s">
        <v>33337</v>
      </c>
      <c r="J3147" t="s">
        <v>6303</v>
      </c>
      <c r="L3147" t="s">
        <v>27250</v>
      </c>
      <c r="M3147" t="s">
        <v>27251</v>
      </c>
      <c r="N3147" t="s">
        <v>27252</v>
      </c>
      <c r="Q3147" s="1">
        <v>44538</v>
      </c>
      <c r="R3147" t="s">
        <v>27253</v>
      </c>
      <c r="S3147" t="s">
        <v>27254</v>
      </c>
      <c r="T3147" t="s">
        <v>27255</v>
      </c>
    </row>
    <row r="3148" spans="1:20" x14ac:dyDescent="0.3">
      <c r="A3148" t="str">
        <f>"0611833417100"</f>
        <v>0611833417100</v>
      </c>
      <c r="B3148" t="str">
        <f>"LH2920"</f>
        <v>LH2920</v>
      </c>
      <c r="C3148" t="s">
        <v>33338</v>
      </c>
      <c r="D3148" t="s">
        <v>27245</v>
      </c>
      <c r="E3148" t="str">
        <f t="shared" si="49"/>
        <v>001390</v>
      </c>
      <c r="F3148" t="s">
        <v>27246</v>
      </c>
      <c r="G3148" t="s">
        <v>27247</v>
      </c>
      <c r="H3148" t="s">
        <v>27248</v>
      </c>
      <c r="I3148" t="s">
        <v>33339</v>
      </c>
      <c r="J3148" t="s">
        <v>6305</v>
      </c>
      <c r="L3148" t="s">
        <v>27250</v>
      </c>
      <c r="M3148" t="s">
        <v>27251</v>
      </c>
      <c r="N3148" t="s">
        <v>27252</v>
      </c>
      <c r="Q3148" s="1">
        <v>44538</v>
      </c>
      <c r="R3148" t="s">
        <v>27253</v>
      </c>
      <c r="S3148" t="s">
        <v>27254</v>
      </c>
      <c r="T3148" t="s">
        <v>27255</v>
      </c>
    </row>
    <row r="3149" spans="1:20" x14ac:dyDescent="0.3">
      <c r="A3149" t="str">
        <f>"0611833418025"</f>
        <v>0611833418025</v>
      </c>
      <c r="B3149" t="str">
        <f>"MC0867"</f>
        <v>MC0867</v>
      </c>
      <c r="C3149" t="s">
        <v>33338</v>
      </c>
      <c r="D3149" t="s">
        <v>27267</v>
      </c>
      <c r="E3149" t="str">
        <f t="shared" si="49"/>
        <v>001390</v>
      </c>
      <c r="F3149" t="s">
        <v>27246</v>
      </c>
      <c r="G3149" t="s">
        <v>27247</v>
      </c>
      <c r="H3149" t="s">
        <v>27248</v>
      </c>
      <c r="I3149" t="s">
        <v>33340</v>
      </c>
      <c r="J3149" t="s">
        <v>6307</v>
      </c>
      <c r="L3149" t="s">
        <v>27250</v>
      </c>
      <c r="M3149" t="s">
        <v>27251</v>
      </c>
      <c r="N3149" t="s">
        <v>27252</v>
      </c>
      <c r="Q3149" s="1">
        <v>44538</v>
      </c>
      <c r="R3149" t="s">
        <v>27253</v>
      </c>
      <c r="S3149" t="s">
        <v>27254</v>
      </c>
      <c r="T3149" t="s">
        <v>27269</v>
      </c>
    </row>
    <row r="3150" spans="1:20" x14ac:dyDescent="0.3">
      <c r="A3150" t="str">
        <f>"0611833419025"</f>
        <v>0611833419025</v>
      </c>
      <c r="B3150" t="str">
        <f>"MC1909"</f>
        <v>MC1909</v>
      </c>
      <c r="C3150" t="s">
        <v>33341</v>
      </c>
      <c r="D3150" t="s">
        <v>27267</v>
      </c>
      <c r="E3150" t="str">
        <f t="shared" si="49"/>
        <v>001390</v>
      </c>
      <c r="F3150" t="s">
        <v>27246</v>
      </c>
      <c r="G3150" t="s">
        <v>27247</v>
      </c>
      <c r="H3150" t="s">
        <v>27248</v>
      </c>
      <c r="I3150" t="s">
        <v>33342</v>
      </c>
      <c r="J3150" t="s">
        <v>6309</v>
      </c>
      <c r="L3150" t="s">
        <v>27250</v>
      </c>
      <c r="M3150" t="s">
        <v>27251</v>
      </c>
      <c r="N3150" t="s">
        <v>27252</v>
      </c>
      <c r="Q3150" s="1">
        <v>44538</v>
      </c>
      <c r="R3150" t="s">
        <v>27253</v>
      </c>
      <c r="S3150" t="s">
        <v>27254</v>
      </c>
      <c r="T3150" t="s">
        <v>27269</v>
      </c>
    </row>
    <row r="3151" spans="1:20" x14ac:dyDescent="0.3">
      <c r="A3151" t="str">
        <f>"0611833421100"</f>
        <v>0611833421100</v>
      </c>
      <c r="B3151" t="str">
        <f>"LK6045"</f>
        <v>LK6045</v>
      </c>
      <c r="C3151" t="s">
        <v>33343</v>
      </c>
      <c r="D3151" t="s">
        <v>28138</v>
      </c>
      <c r="E3151" t="str">
        <f t="shared" si="49"/>
        <v>001390</v>
      </c>
      <c r="F3151" t="s">
        <v>27246</v>
      </c>
      <c r="G3151" t="s">
        <v>27247</v>
      </c>
      <c r="H3151" t="s">
        <v>27248</v>
      </c>
      <c r="I3151" t="s">
        <v>33344</v>
      </c>
      <c r="J3151" t="s">
        <v>6311</v>
      </c>
      <c r="L3151" t="s">
        <v>27250</v>
      </c>
      <c r="M3151" t="s">
        <v>27251</v>
      </c>
      <c r="N3151" t="s">
        <v>27252</v>
      </c>
      <c r="P3151" t="s">
        <v>27925</v>
      </c>
      <c r="Q3151" s="1">
        <v>44538</v>
      </c>
      <c r="R3151" t="s">
        <v>27253</v>
      </c>
      <c r="S3151" t="s">
        <v>27254</v>
      </c>
      <c r="T3151" t="s">
        <v>27255</v>
      </c>
    </row>
    <row r="3152" spans="1:20" x14ac:dyDescent="0.3">
      <c r="A3152" t="str">
        <f>"0611833422100"</f>
        <v>0611833422100</v>
      </c>
      <c r="B3152" t="str">
        <f>"LK7007"</f>
        <v>LK7007</v>
      </c>
      <c r="C3152" t="s">
        <v>33345</v>
      </c>
      <c r="D3152" t="s">
        <v>28138</v>
      </c>
      <c r="E3152" t="str">
        <f t="shared" si="49"/>
        <v>001390</v>
      </c>
      <c r="F3152" t="s">
        <v>27246</v>
      </c>
      <c r="G3152" t="s">
        <v>27247</v>
      </c>
      <c r="H3152" t="s">
        <v>27248</v>
      </c>
      <c r="I3152" t="s">
        <v>33346</v>
      </c>
      <c r="J3152" t="s">
        <v>6313</v>
      </c>
      <c r="L3152" t="s">
        <v>27250</v>
      </c>
      <c r="M3152" t="s">
        <v>27251</v>
      </c>
      <c r="N3152" t="s">
        <v>27252</v>
      </c>
      <c r="P3152" t="s">
        <v>27925</v>
      </c>
      <c r="Q3152" s="1">
        <v>44538</v>
      </c>
      <c r="R3152" t="s">
        <v>27253</v>
      </c>
      <c r="S3152" t="s">
        <v>27254</v>
      </c>
      <c r="T3152" t="s">
        <v>27255</v>
      </c>
    </row>
    <row r="3153" spans="1:20" x14ac:dyDescent="0.3">
      <c r="A3153" t="str">
        <f>"0611833423100"</f>
        <v>0611833423100</v>
      </c>
      <c r="B3153" t="str">
        <f>"LK6046"</f>
        <v>LK6046</v>
      </c>
      <c r="C3153" t="s">
        <v>33347</v>
      </c>
      <c r="D3153" t="s">
        <v>28138</v>
      </c>
      <c r="E3153" t="str">
        <f t="shared" si="49"/>
        <v>001390</v>
      </c>
      <c r="F3153" t="s">
        <v>27246</v>
      </c>
      <c r="G3153" t="s">
        <v>27247</v>
      </c>
      <c r="H3153" t="s">
        <v>27248</v>
      </c>
      <c r="I3153" t="s">
        <v>33348</v>
      </c>
      <c r="J3153" t="s">
        <v>6315</v>
      </c>
      <c r="L3153" t="s">
        <v>27250</v>
      </c>
      <c r="M3153" t="s">
        <v>27251</v>
      </c>
      <c r="N3153" t="s">
        <v>27252</v>
      </c>
      <c r="P3153" t="s">
        <v>27925</v>
      </c>
      <c r="Q3153" s="1">
        <v>44538</v>
      </c>
      <c r="R3153" t="s">
        <v>27253</v>
      </c>
      <c r="S3153" t="s">
        <v>27254</v>
      </c>
      <c r="T3153" t="s">
        <v>27255</v>
      </c>
    </row>
    <row r="3154" spans="1:20" x14ac:dyDescent="0.3">
      <c r="A3154" t="str">
        <f>"0611833424100"</f>
        <v>0611833424100</v>
      </c>
      <c r="B3154" t="str">
        <f>"LK6048"</f>
        <v>LK6048</v>
      </c>
      <c r="C3154" t="s">
        <v>33349</v>
      </c>
      <c r="D3154" t="s">
        <v>28138</v>
      </c>
      <c r="E3154" t="str">
        <f t="shared" si="49"/>
        <v>001390</v>
      </c>
      <c r="F3154" t="s">
        <v>27246</v>
      </c>
      <c r="G3154" t="s">
        <v>27247</v>
      </c>
      <c r="H3154" t="s">
        <v>27248</v>
      </c>
      <c r="I3154" t="s">
        <v>33350</v>
      </c>
      <c r="J3154" t="s">
        <v>6317</v>
      </c>
      <c r="L3154" t="s">
        <v>27250</v>
      </c>
      <c r="M3154" t="s">
        <v>27251</v>
      </c>
      <c r="N3154" t="s">
        <v>27252</v>
      </c>
      <c r="P3154" t="s">
        <v>27925</v>
      </c>
      <c r="Q3154" s="1">
        <v>44538</v>
      </c>
      <c r="R3154" t="s">
        <v>27253</v>
      </c>
      <c r="S3154" t="s">
        <v>27254</v>
      </c>
      <c r="T3154" t="s">
        <v>27255</v>
      </c>
    </row>
    <row r="3155" spans="1:20" x14ac:dyDescent="0.3">
      <c r="A3155" t="str">
        <f>"0611833425100"</f>
        <v>0611833425100</v>
      </c>
      <c r="B3155" t="str">
        <f>"LK6380"</f>
        <v>LK6380</v>
      </c>
      <c r="C3155" t="s">
        <v>33351</v>
      </c>
      <c r="D3155" t="s">
        <v>27245</v>
      </c>
      <c r="E3155" t="str">
        <f t="shared" si="49"/>
        <v>001390</v>
      </c>
      <c r="F3155" t="s">
        <v>27246</v>
      </c>
      <c r="G3155" t="s">
        <v>27247</v>
      </c>
      <c r="H3155" t="s">
        <v>27248</v>
      </c>
      <c r="I3155" t="s">
        <v>33352</v>
      </c>
      <c r="J3155" t="s">
        <v>6319</v>
      </c>
      <c r="L3155" t="s">
        <v>27250</v>
      </c>
      <c r="M3155" t="s">
        <v>27251</v>
      </c>
      <c r="N3155" t="s">
        <v>27252</v>
      </c>
      <c r="Q3155" s="1">
        <v>44538</v>
      </c>
      <c r="R3155" t="s">
        <v>27253</v>
      </c>
      <c r="S3155" t="s">
        <v>27254</v>
      </c>
      <c r="T3155" t="s">
        <v>27255</v>
      </c>
    </row>
    <row r="3156" spans="1:20" x14ac:dyDescent="0.3">
      <c r="A3156" t="str">
        <f>"0611833430100"</f>
        <v>0611833430100</v>
      </c>
      <c r="B3156" t="str">
        <f>"LK7008"</f>
        <v>LK7008</v>
      </c>
      <c r="C3156" t="s">
        <v>33353</v>
      </c>
      <c r="D3156" t="s">
        <v>27245</v>
      </c>
      <c r="E3156" t="str">
        <f t="shared" si="49"/>
        <v>001390</v>
      </c>
      <c r="F3156" t="s">
        <v>27246</v>
      </c>
      <c r="G3156" t="s">
        <v>27247</v>
      </c>
      <c r="H3156" t="s">
        <v>27248</v>
      </c>
      <c r="I3156" t="s">
        <v>33354</v>
      </c>
      <c r="J3156" t="s">
        <v>6321</v>
      </c>
      <c r="L3156" t="s">
        <v>27250</v>
      </c>
      <c r="M3156" t="s">
        <v>27251</v>
      </c>
      <c r="N3156" t="s">
        <v>27252</v>
      </c>
      <c r="Q3156" s="1">
        <v>44538</v>
      </c>
      <c r="R3156" t="s">
        <v>27253</v>
      </c>
      <c r="S3156" t="s">
        <v>27254</v>
      </c>
      <c r="T3156" t="s">
        <v>27255</v>
      </c>
    </row>
    <row r="3157" spans="1:20" x14ac:dyDescent="0.3">
      <c r="A3157" t="str">
        <f>"0611833431025"</f>
        <v>0611833431025</v>
      </c>
      <c r="B3157" t="str">
        <f>"MC1527"</f>
        <v>MC1527</v>
      </c>
      <c r="C3157" t="s">
        <v>33353</v>
      </c>
      <c r="D3157" t="s">
        <v>27267</v>
      </c>
      <c r="E3157" t="str">
        <f t="shared" si="49"/>
        <v>001390</v>
      </c>
      <c r="F3157" t="s">
        <v>27246</v>
      </c>
      <c r="G3157" t="s">
        <v>27247</v>
      </c>
      <c r="H3157" t="s">
        <v>27248</v>
      </c>
      <c r="I3157" t="s">
        <v>33355</v>
      </c>
      <c r="J3157" t="s">
        <v>6323</v>
      </c>
      <c r="L3157" t="s">
        <v>27250</v>
      </c>
      <c r="M3157" t="s">
        <v>27251</v>
      </c>
      <c r="N3157" t="s">
        <v>27252</v>
      </c>
      <c r="Q3157" s="1">
        <v>44538</v>
      </c>
      <c r="R3157" t="s">
        <v>27253</v>
      </c>
      <c r="S3157" t="s">
        <v>27254</v>
      </c>
      <c r="T3157" t="s">
        <v>27269</v>
      </c>
    </row>
    <row r="3158" spans="1:20" x14ac:dyDescent="0.3">
      <c r="A3158" t="str">
        <f>"0611833432100"</f>
        <v>0611833432100</v>
      </c>
      <c r="B3158" t="str">
        <f>"LK1546"</f>
        <v>LK1546</v>
      </c>
      <c r="C3158" t="s">
        <v>33356</v>
      </c>
      <c r="D3158" t="s">
        <v>27245</v>
      </c>
      <c r="E3158" t="str">
        <f t="shared" si="49"/>
        <v>001390</v>
      </c>
      <c r="F3158" t="s">
        <v>27246</v>
      </c>
      <c r="G3158" t="s">
        <v>27247</v>
      </c>
      <c r="H3158" t="s">
        <v>27248</v>
      </c>
      <c r="I3158" t="s">
        <v>33357</v>
      </c>
      <c r="J3158" t="s">
        <v>6325</v>
      </c>
      <c r="L3158" t="s">
        <v>27250</v>
      </c>
      <c r="M3158" t="s">
        <v>27251</v>
      </c>
      <c r="N3158" t="s">
        <v>27252</v>
      </c>
      <c r="Q3158" s="1">
        <v>44538</v>
      </c>
      <c r="R3158" t="s">
        <v>27253</v>
      </c>
      <c r="S3158" t="s">
        <v>27254</v>
      </c>
      <c r="T3158" t="s">
        <v>27255</v>
      </c>
    </row>
    <row r="3159" spans="1:20" x14ac:dyDescent="0.3">
      <c r="A3159" t="str">
        <f>"0611833433100"</f>
        <v>0611833433100</v>
      </c>
      <c r="B3159" t="str">
        <f>"LB2335"</f>
        <v>LB2335</v>
      </c>
      <c r="C3159" t="s">
        <v>33358</v>
      </c>
      <c r="D3159" t="s">
        <v>27245</v>
      </c>
      <c r="E3159" t="str">
        <f t="shared" si="49"/>
        <v>001390</v>
      </c>
      <c r="F3159" t="s">
        <v>27246</v>
      </c>
      <c r="G3159" t="s">
        <v>27247</v>
      </c>
      <c r="H3159" t="s">
        <v>27248</v>
      </c>
      <c r="I3159" t="s">
        <v>33359</v>
      </c>
      <c r="J3159" t="s">
        <v>6327</v>
      </c>
      <c r="L3159" t="s">
        <v>27250</v>
      </c>
      <c r="M3159" t="s">
        <v>27251</v>
      </c>
      <c r="N3159" t="s">
        <v>27252</v>
      </c>
      <c r="Q3159" s="1">
        <v>44538</v>
      </c>
      <c r="R3159" t="s">
        <v>27253</v>
      </c>
      <c r="S3159" t="s">
        <v>27254</v>
      </c>
      <c r="T3159" t="s">
        <v>27255</v>
      </c>
    </row>
    <row r="3160" spans="1:20" x14ac:dyDescent="0.3">
      <c r="A3160" t="str">
        <f>"0611833434100"</f>
        <v>0611833434100</v>
      </c>
      <c r="B3160" t="str">
        <f>"LK1547"</f>
        <v>LK1547</v>
      </c>
      <c r="C3160" t="s">
        <v>33360</v>
      </c>
      <c r="D3160" t="s">
        <v>27245</v>
      </c>
      <c r="E3160" t="str">
        <f t="shared" si="49"/>
        <v>001390</v>
      </c>
      <c r="F3160" t="s">
        <v>27246</v>
      </c>
      <c r="G3160" t="s">
        <v>27247</v>
      </c>
      <c r="H3160" t="s">
        <v>27248</v>
      </c>
      <c r="I3160" t="s">
        <v>33361</v>
      </c>
      <c r="J3160" t="s">
        <v>6329</v>
      </c>
      <c r="L3160" t="s">
        <v>27250</v>
      </c>
      <c r="M3160" t="s">
        <v>27251</v>
      </c>
      <c r="N3160" t="s">
        <v>27252</v>
      </c>
      <c r="Q3160" s="1">
        <v>44538</v>
      </c>
      <c r="R3160" t="s">
        <v>27253</v>
      </c>
      <c r="S3160" t="s">
        <v>27254</v>
      </c>
      <c r="T3160" t="s">
        <v>27255</v>
      </c>
    </row>
    <row r="3161" spans="1:20" x14ac:dyDescent="0.3">
      <c r="A3161" t="str">
        <f>"0611833435100"</f>
        <v>0611833435100</v>
      </c>
      <c r="B3161" t="str">
        <f>"LB2353"</f>
        <v>LB2353</v>
      </c>
      <c r="C3161" t="s">
        <v>33362</v>
      </c>
      <c r="D3161" t="s">
        <v>27245</v>
      </c>
      <c r="E3161" t="str">
        <f t="shared" si="49"/>
        <v>001390</v>
      </c>
      <c r="F3161" t="s">
        <v>27246</v>
      </c>
      <c r="G3161" t="s">
        <v>27247</v>
      </c>
      <c r="H3161" t="s">
        <v>27248</v>
      </c>
      <c r="I3161" t="s">
        <v>33363</v>
      </c>
      <c r="J3161" t="s">
        <v>6331</v>
      </c>
      <c r="L3161" t="s">
        <v>27250</v>
      </c>
      <c r="M3161" t="s">
        <v>27251</v>
      </c>
      <c r="N3161" t="s">
        <v>27252</v>
      </c>
      <c r="Q3161" s="1">
        <v>44538</v>
      </c>
      <c r="R3161" t="s">
        <v>27253</v>
      </c>
      <c r="S3161" t="s">
        <v>27254</v>
      </c>
      <c r="T3161" t="s">
        <v>27255</v>
      </c>
    </row>
    <row r="3162" spans="1:20" x14ac:dyDescent="0.3">
      <c r="A3162" t="str">
        <f>"0611833436100"</f>
        <v>0611833436100</v>
      </c>
      <c r="B3162" t="str">
        <f>"LB2337"</f>
        <v>LB2337</v>
      </c>
      <c r="C3162" t="s">
        <v>33364</v>
      </c>
      <c r="D3162" t="s">
        <v>27245</v>
      </c>
      <c r="E3162" t="str">
        <f t="shared" si="49"/>
        <v>001390</v>
      </c>
      <c r="F3162" t="s">
        <v>27246</v>
      </c>
      <c r="G3162" t="s">
        <v>27247</v>
      </c>
      <c r="H3162" t="s">
        <v>27248</v>
      </c>
      <c r="I3162" t="s">
        <v>33365</v>
      </c>
      <c r="J3162" t="s">
        <v>6333</v>
      </c>
      <c r="L3162" t="s">
        <v>27250</v>
      </c>
      <c r="M3162" t="s">
        <v>27251</v>
      </c>
      <c r="N3162" t="s">
        <v>27252</v>
      </c>
      <c r="Q3162" s="1">
        <v>44538</v>
      </c>
      <c r="R3162" t="s">
        <v>27253</v>
      </c>
      <c r="S3162" t="s">
        <v>27254</v>
      </c>
      <c r="T3162" t="s">
        <v>27255</v>
      </c>
    </row>
    <row r="3163" spans="1:20" x14ac:dyDescent="0.3">
      <c r="A3163" t="str">
        <f>"0611833437100"</f>
        <v>0611833437100</v>
      </c>
      <c r="B3163" t="str">
        <f>"LK3311"</f>
        <v>LK3311</v>
      </c>
      <c r="C3163" t="s">
        <v>33366</v>
      </c>
      <c r="D3163" t="s">
        <v>27245</v>
      </c>
      <c r="E3163" t="str">
        <f t="shared" si="49"/>
        <v>001390</v>
      </c>
      <c r="F3163" t="s">
        <v>27246</v>
      </c>
      <c r="G3163" t="s">
        <v>27247</v>
      </c>
      <c r="H3163" t="s">
        <v>27248</v>
      </c>
      <c r="I3163" t="s">
        <v>33367</v>
      </c>
      <c r="J3163" t="s">
        <v>6335</v>
      </c>
      <c r="L3163" t="s">
        <v>27250</v>
      </c>
      <c r="M3163" t="s">
        <v>27251</v>
      </c>
      <c r="N3163" t="s">
        <v>27252</v>
      </c>
      <c r="Q3163" s="1">
        <v>44538</v>
      </c>
      <c r="R3163" t="s">
        <v>27253</v>
      </c>
      <c r="S3163" t="s">
        <v>27254</v>
      </c>
      <c r="T3163" t="s">
        <v>27255</v>
      </c>
    </row>
    <row r="3164" spans="1:20" x14ac:dyDescent="0.3">
      <c r="A3164" t="str">
        <f>"0611833439100"</f>
        <v>0611833439100</v>
      </c>
      <c r="B3164" t="str">
        <f>"LK6538"</f>
        <v>LK6538</v>
      </c>
      <c r="C3164" t="s">
        <v>33368</v>
      </c>
      <c r="D3164" t="s">
        <v>27245</v>
      </c>
      <c r="E3164" t="str">
        <f t="shared" si="49"/>
        <v>001390</v>
      </c>
      <c r="F3164" t="s">
        <v>27246</v>
      </c>
      <c r="G3164" t="s">
        <v>27247</v>
      </c>
      <c r="H3164" t="s">
        <v>27248</v>
      </c>
      <c r="I3164" t="s">
        <v>33369</v>
      </c>
      <c r="J3164" t="s">
        <v>6337</v>
      </c>
      <c r="L3164" t="s">
        <v>27250</v>
      </c>
      <c r="M3164" t="s">
        <v>27251</v>
      </c>
      <c r="N3164" t="s">
        <v>27252</v>
      </c>
      <c r="Q3164" s="1">
        <v>44538</v>
      </c>
      <c r="R3164" t="s">
        <v>27253</v>
      </c>
      <c r="S3164" t="s">
        <v>27254</v>
      </c>
      <c r="T3164" t="s">
        <v>27255</v>
      </c>
    </row>
    <row r="3165" spans="1:20" x14ac:dyDescent="0.3">
      <c r="A3165" t="str">
        <f>"0611833440100"</f>
        <v>0611833440100</v>
      </c>
      <c r="B3165" t="str">
        <f>"LB2340"</f>
        <v>LB2340</v>
      </c>
      <c r="C3165" t="s">
        <v>33370</v>
      </c>
      <c r="D3165" t="s">
        <v>27245</v>
      </c>
      <c r="E3165" t="str">
        <f t="shared" si="49"/>
        <v>001390</v>
      </c>
      <c r="F3165" t="s">
        <v>27246</v>
      </c>
      <c r="G3165" t="s">
        <v>27247</v>
      </c>
      <c r="H3165" t="s">
        <v>27248</v>
      </c>
      <c r="I3165" t="s">
        <v>33371</v>
      </c>
      <c r="J3165" t="s">
        <v>6339</v>
      </c>
      <c r="L3165" t="s">
        <v>27250</v>
      </c>
      <c r="M3165" t="s">
        <v>27251</v>
      </c>
      <c r="N3165" t="s">
        <v>27252</v>
      </c>
      <c r="Q3165" s="1">
        <v>44538</v>
      </c>
      <c r="R3165" t="s">
        <v>27253</v>
      </c>
      <c r="S3165" t="s">
        <v>27254</v>
      </c>
      <c r="T3165" t="s">
        <v>27255</v>
      </c>
    </row>
    <row r="3166" spans="1:20" x14ac:dyDescent="0.3">
      <c r="A3166" t="str">
        <f>"0611833441100"</f>
        <v>0611833441100</v>
      </c>
      <c r="B3166" t="str">
        <f>"LB2346"</f>
        <v>LB2346</v>
      </c>
      <c r="C3166" t="s">
        <v>33372</v>
      </c>
      <c r="D3166" t="s">
        <v>27245</v>
      </c>
      <c r="E3166" t="str">
        <f t="shared" si="49"/>
        <v>001390</v>
      </c>
      <c r="F3166" t="s">
        <v>27246</v>
      </c>
      <c r="G3166" t="s">
        <v>27247</v>
      </c>
      <c r="H3166" t="s">
        <v>27248</v>
      </c>
      <c r="I3166" t="s">
        <v>33373</v>
      </c>
      <c r="J3166" t="s">
        <v>6341</v>
      </c>
      <c r="L3166" t="s">
        <v>27250</v>
      </c>
      <c r="M3166" t="s">
        <v>27251</v>
      </c>
      <c r="N3166" t="s">
        <v>27252</v>
      </c>
      <c r="Q3166" s="1">
        <v>44538</v>
      </c>
      <c r="R3166" t="s">
        <v>27253</v>
      </c>
      <c r="S3166" t="s">
        <v>27254</v>
      </c>
      <c r="T3166" t="s">
        <v>27255</v>
      </c>
    </row>
    <row r="3167" spans="1:20" x14ac:dyDescent="0.3">
      <c r="A3167" t="str">
        <f>"0611833442100"</f>
        <v>0611833442100</v>
      </c>
      <c r="B3167" t="str">
        <f>"LB2342"</f>
        <v>LB2342</v>
      </c>
      <c r="C3167" t="s">
        <v>33374</v>
      </c>
      <c r="D3167" t="s">
        <v>27245</v>
      </c>
      <c r="E3167" t="str">
        <f t="shared" si="49"/>
        <v>001390</v>
      </c>
      <c r="F3167" t="s">
        <v>27246</v>
      </c>
      <c r="G3167" t="s">
        <v>27247</v>
      </c>
      <c r="H3167" t="s">
        <v>27248</v>
      </c>
      <c r="I3167" t="s">
        <v>33375</v>
      </c>
      <c r="J3167" t="s">
        <v>6343</v>
      </c>
      <c r="L3167" t="s">
        <v>27250</v>
      </c>
      <c r="M3167" t="s">
        <v>27251</v>
      </c>
      <c r="N3167" t="s">
        <v>27252</v>
      </c>
      <c r="Q3167" s="1">
        <v>44538</v>
      </c>
      <c r="R3167" t="s">
        <v>27253</v>
      </c>
      <c r="S3167" t="s">
        <v>27254</v>
      </c>
      <c r="T3167" t="s">
        <v>27255</v>
      </c>
    </row>
    <row r="3168" spans="1:20" x14ac:dyDescent="0.3">
      <c r="A3168" t="str">
        <f>"0611833443100"</f>
        <v>0611833443100</v>
      </c>
      <c r="B3168" t="str">
        <f>"LB2345"</f>
        <v>LB2345</v>
      </c>
      <c r="C3168" t="s">
        <v>33376</v>
      </c>
      <c r="D3168" t="s">
        <v>27245</v>
      </c>
      <c r="E3168" t="str">
        <f t="shared" si="49"/>
        <v>001390</v>
      </c>
      <c r="F3168" t="s">
        <v>27246</v>
      </c>
      <c r="G3168" t="s">
        <v>27247</v>
      </c>
      <c r="H3168" t="s">
        <v>27248</v>
      </c>
      <c r="I3168" t="s">
        <v>33377</v>
      </c>
      <c r="J3168" t="s">
        <v>6345</v>
      </c>
      <c r="L3168" t="s">
        <v>27250</v>
      </c>
      <c r="M3168" t="s">
        <v>27251</v>
      </c>
      <c r="N3168" t="s">
        <v>27252</v>
      </c>
      <c r="Q3168" s="1">
        <v>44538</v>
      </c>
      <c r="R3168" t="s">
        <v>27253</v>
      </c>
      <c r="S3168" t="s">
        <v>27254</v>
      </c>
      <c r="T3168" t="s">
        <v>27255</v>
      </c>
    </row>
    <row r="3169" spans="1:20" x14ac:dyDescent="0.3">
      <c r="A3169" t="str">
        <f>"0611833444100"</f>
        <v>0611833444100</v>
      </c>
      <c r="B3169" t="str">
        <f>"LB2331"</f>
        <v>LB2331</v>
      </c>
      <c r="C3169" t="s">
        <v>33378</v>
      </c>
      <c r="D3169" t="s">
        <v>27245</v>
      </c>
      <c r="E3169" t="str">
        <f t="shared" si="49"/>
        <v>001390</v>
      </c>
      <c r="F3169" t="s">
        <v>27246</v>
      </c>
      <c r="G3169" t="s">
        <v>27247</v>
      </c>
      <c r="H3169" t="s">
        <v>27248</v>
      </c>
      <c r="I3169" t="s">
        <v>33379</v>
      </c>
      <c r="J3169" t="s">
        <v>6347</v>
      </c>
      <c r="L3169" t="s">
        <v>27250</v>
      </c>
      <c r="M3169" t="s">
        <v>27251</v>
      </c>
      <c r="N3169" t="s">
        <v>27252</v>
      </c>
      <c r="Q3169" s="1">
        <v>44538</v>
      </c>
      <c r="R3169" t="s">
        <v>27253</v>
      </c>
      <c r="S3169" t="s">
        <v>27254</v>
      </c>
      <c r="T3169" t="s">
        <v>27255</v>
      </c>
    </row>
    <row r="3170" spans="1:20" x14ac:dyDescent="0.3">
      <c r="A3170" t="str">
        <f>"0611833445100"</f>
        <v>0611833445100</v>
      </c>
      <c r="B3170" t="str">
        <f>"LB2334"</f>
        <v>LB2334</v>
      </c>
      <c r="C3170" t="s">
        <v>33380</v>
      </c>
      <c r="D3170" t="s">
        <v>27245</v>
      </c>
      <c r="E3170" t="str">
        <f t="shared" si="49"/>
        <v>001390</v>
      </c>
      <c r="F3170" t="s">
        <v>27246</v>
      </c>
      <c r="G3170" t="s">
        <v>27247</v>
      </c>
      <c r="H3170" t="s">
        <v>27248</v>
      </c>
      <c r="I3170" t="s">
        <v>33381</v>
      </c>
      <c r="J3170" t="s">
        <v>6349</v>
      </c>
      <c r="L3170" t="s">
        <v>27250</v>
      </c>
      <c r="M3170" t="s">
        <v>27251</v>
      </c>
      <c r="N3170" t="s">
        <v>27252</v>
      </c>
      <c r="Q3170" s="1">
        <v>44538</v>
      </c>
      <c r="R3170" t="s">
        <v>27253</v>
      </c>
      <c r="S3170" t="s">
        <v>27254</v>
      </c>
      <c r="T3170" t="s">
        <v>27255</v>
      </c>
    </row>
    <row r="3171" spans="1:20" x14ac:dyDescent="0.3">
      <c r="A3171" t="str">
        <f>"0611833446100"</f>
        <v>0611833446100</v>
      </c>
      <c r="B3171" t="str">
        <f>"LB2332"</f>
        <v>LB2332</v>
      </c>
      <c r="C3171" t="s">
        <v>33382</v>
      </c>
      <c r="D3171" t="s">
        <v>27245</v>
      </c>
      <c r="E3171" t="str">
        <f t="shared" si="49"/>
        <v>001390</v>
      </c>
      <c r="F3171" t="s">
        <v>27246</v>
      </c>
      <c r="G3171" t="s">
        <v>27247</v>
      </c>
      <c r="H3171" t="s">
        <v>27248</v>
      </c>
      <c r="I3171" t="s">
        <v>33383</v>
      </c>
      <c r="J3171" t="s">
        <v>6351</v>
      </c>
      <c r="L3171" t="s">
        <v>27250</v>
      </c>
      <c r="M3171" t="s">
        <v>27251</v>
      </c>
      <c r="N3171" t="s">
        <v>27252</v>
      </c>
      <c r="Q3171" s="1">
        <v>44538</v>
      </c>
      <c r="R3171" t="s">
        <v>27253</v>
      </c>
      <c r="S3171" t="s">
        <v>27254</v>
      </c>
      <c r="T3171" t="s">
        <v>27255</v>
      </c>
    </row>
    <row r="3172" spans="1:20" x14ac:dyDescent="0.3">
      <c r="A3172" t="str">
        <f>"0611833447100"</f>
        <v>0611833447100</v>
      </c>
      <c r="B3172" t="str">
        <f>"LB2333"</f>
        <v>LB2333</v>
      </c>
      <c r="C3172" t="s">
        <v>33384</v>
      </c>
      <c r="D3172" t="s">
        <v>27245</v>
      </c>
      <c r="E3172" t="str">
        <f t="shared" si="49"/>
        <v>001390</v>
      </c>
      <c r="F3172" t="s">
        <v>27246</v>
      </c>
      <c r="G3172" t="s">
        <v>27247</v>
      </c>
      <c r="H3172" t="s">
        <v>27248</v>
      </c>
      <c r="I3172" t="s">
        <v>33385</v>
      </c>
      <c r="J3172" t="s">
        <v>6353</v>
      </c>
      <c r="L3172" t="s">
        <v>27250</v>
      </c>
      <c r="M3172" t="s">
        <v>27251</v>
      </c>
      <c r="N3172" t="s">
        <v>27252</v>
      </c>
      <c r="Q3172" s="1">
        <v>44538</v>
      </c>
      <c r="R3172" t="s">
        <v>27253</v>
      </c>
      <c r="S3172" t="s">
        <v>27254</v>
      </c>
      <c r="T3172" t="s">
        <v>27255</v>
      </c>
    </row>
    <row r="3173" spans="1:20" x14ac:dyDescent="0.3">
      <c r="A3173" t="str">
        <f>"0611833448100"</f>
        <v>0611833448100</v>
      </c>
      <c r="B3173" t="str">
        <f>"LK6331"</f>
        <v>LK6331</v>
      </c>
      <c r="C3173" t="s">
        <v>33386</v>
      </c>
      <c r="D3173" t="s">
        <v>27245</v>
      </c>
      <c r="E3173" t="str">
        <f t="shared" si="49"/>
        <v>001390</v>
      </c>
      <c r="F3173" t="s">
        <v>27246</v>
      </c>
      <c r="G3173" t="s">
        <v>27247</v>
      </c>
      <c r="H3173" t="s">
        <v>27248</v>
      </c>
      <c r="I3173" t="s">
        <v>33387</v>
      </c>
      <c r="J3173" t="s">
        <v>6355</v>
      </c>
      <c r="L3173" t="s">
        <v>27250</v>
      </c>
      <c r="M3173" t="s">
        <v>27251</v>
      </c>
      <c r="N3173" t="s">
        <v>27252</v>
      </c>
      <c r="Q3173" s="1">
        <v>44538</v>
      </c>
      <c r="R3173" t="s">
        <v>27253</v>
      </c>
      <c r="S3173" t="s">
        <v>27254</v>
      </c>
      <c r="T3173" t="s">
        <v>27255</v>
      </c>
    </row>
    <row r="3174" spans="1:20" x14ac:dyDescent="0.3">
      <c r="A3174" t="str">
        <f>"0611833449100"</f>
        <v>0611833449100</v>
      </c>
      <c r="B3174" t="str">
        <f>"LK6537"</f>
        <v>LK6537</v>
      </c>
      <c r="C3174" t="s">
        <v>33388</v>
      </c>
      <c r="D3174" t="s">
        <v>27245</v>
      </c>
      <c r="E3174" t="str">
        <f t="shared" si="49"/>
        <v>001390</v>
      </c>
      <c r="F3174" t="s">
        <v>27246</v>
      </c>
      <c r="G3174" t="s">
        <v>27247</v>
      </c>
      <c r="H3174" t="s">
        <v>27248</v>
      </c>
      <c r="I3174" t="s">
        <v>33389</v>
      </c>
      <c r="J3174" t="s">
        <v>6357</v>
      </c>
      <c r="L3174" t="s">
        <v>27250</v>
      </c>
      <c r="M3174" t="s">
        <v>27251</v>
      </c>
      <c r="N3174" t="s">
        <v>27252</v>
      </c>
      <c r="Q3174" s="1">
        <v>44538</v>
      </c>
      <c r="R3174" t="s">
        <v>27253</v>
      </c>
      <c r="S3174" t="s">
        <v>27254</v>
      </c>
      <c r="T3174" t="s">
        <v>27255</v>
      </c>
    </row>
    <row r="3175" spans="1:20" x14ac:dyDescent="0.3">
      <c r="A3175" t="str">
        <f>"0611833450100"</f>
        <v>0611833450100</v>
      </c>
      <c r="B3175" t="str">
        <f>"LB2343"</f>
        <v>LB2343</v>
      </c>
      <c r="C3175" t="s">
        <v>33390</v>
      </c>
      <c r="D3175" t="s">
        <v>27245</v>
      </c>
      <c r="E3175" t="str">
        <f t="shared" si="49"/>
        <v>001390</v>
      </c>
      <c r="F3175" t="s">
        <v>27246</v>
      </c>
      <c r="G3175" t="s">
        <v>27247</v>
      </c>
      <c r="H3175" t="s">
        <v>27248</v>
      </c>
      <c r="I3175" t="s">
        <v>33391</v>
      </c>
      <c r="J3175" t="s">
        <v>6359</v>
      </c>
      <c r="L3175" t="s">
        <v>27250</v>
      </c>
      <c r="M3175" t="s">
        <v>27251</v>
      </c>
      <c r="N3175" t="s">
        <v>27252</v>
      </c>
      <c r="Q3175" s="1">
        <v>44538</v>
      </c>
      <c r="R3175" t="s">
        <v>27253</v>
      </c>
      <c r="S3175" t="s">
        <v>27254</v>
      </c>
      <c r="T3175" t="s">
        <v>27255</v>
      </c>
    </row>
    <row r="3176" spans="1:20" x14ac:dyDescent="0.3">
      <c r="A3176" t="str">
        <f>"0611884143100"</f>
        <v>0611884143100</v>
      </c>
      <c r="B3176" t="str">
        <f>"LK7162"</f>
        <v>LK7162</v>
      </c>
      <c r="C3176" t="s">
        <v>33392</v>
      </c>
      <c r="D3176" t="s">
        <v>27245</v>
      </c>
      <c r="E3176" t="str">
        <f t="shared" si="49"/>
        <v>001390</v>
      </c>
      <c r="F3176" t="s">
        <v>27246</v>
      </c>
      <c r="G3176" t="s">
        <v>27247</v>
      </c>
      <c r="H3176" t="s">
        <v>27248</v>
      </c>
      <c r="I3176" t="s">
        <v>33393</v>
      </c>
      <c r="J3176" t="s">
        <v>6361</v>
      </c>
      <c r="L3176" t="s">
        <v>27430</v>
      </c>
      <c r="M3176" t="s">
        <v>27251</v>
      </c>
      <c r="N3176" t="s">
        <v>27252</v>
      </c>
      <c r="Q3176" s="1">
        <v>45250</v>
      </c>
      <c r="R3176" t="s">
        <v>27253</v>
      </c>
      <c r="S3176" t="s">
        <v>27254</v>
      </c>
      <c r="T3176" t="s">
        <v>27255</v>
      </c>
    </row>
    <row r="3177" spans="1:20" x14ac:dyDescent="0.3">
      <c r="A3177" t="str">
        <f>"0611833451100"</f>
        <v>0611833451100</v>
      </c>
      <c r="B3177" t="str">
        <f>"LB2348"</f>
        <v>LB2348</v>
      </c>
      <c r="C3177" t="s">
        <v>33394</v>
      </c>
      <c r="D3177" t="s">
        <v>27245</v>
      </c>
      <c r="E3177" t="str">
        <f t="shared" si="49"/>
        <v>001390</v>
      </c>
      <c r="F3177" t="s">
        <v>27246</v>
      </c>
      <c r="G3177" t="s">
        <v>27247</v>
      </c>
      <c r="H3177" t="s">
        <v>27248</v>
      </c>
      <c r="I3177" t="s">
        <v>33395</v>
      </c>
      <c r="J3177" t="s">
        <v>6363</v>
      </c>
      <c r="L3177" t="s">
        <v>27250</v>
      </c>
      <c r="M3177" t="s">
        <v>27251</v>
      </c>
      <c r="N3177" t="s">
        <v>27252</v>
      </c>
      <c r="Q3177" s="1">
        <v>44538</v>
      </c>
      <c r="R3177" t="s">
        <v>27253</v>
      </c>
      <c r="S3177" t="s">
        <v>27254</v>
      </c>
      <c r="T3177" t="s">
        <v>27255</v>
      </c>
    </row>
    <row r="3178" spans="1:20" x14ac:dyDescent="0.3">
      <c r="A3178" t="str">
        <f>"0611833452100"</f>
        <v>0611833452100</v>
      </c>
      <c r="B3178" t="str">
        <f>"LB2350"</f>
        <v>LB2350</v>
      </c>
      <c r="C3178" t="s">
        <v>33396</v>
      </c>
      <c r="D3178" t="s">
        <v>27245</v>
      </c>
      <c r="E3178" t="str">
        <f t="shared" si="49"/>
        <v>001390</v>
      </c>
      <c r="F3178" t="s">
        <v>27246</v>
      </c>
      <c r="G3178" t="s">
        <v>27247</v>
      </c>
      <c r="H3178" t="s">
        <v>27248</v>
      </c>
      <c r="I3178" t="s">
        <v>33397</v>
      </c>
      <c r="J3178" t="s">
        <v>6365</v>
      </c>
      <c r="L3178" t="s">
        <v>27250</v>
      </c>
      <c r="M3178" t="s">
        <v>27251</v>
      </c>
      <c r="N3178" t="s">
        <v>27252</v>
      </c>
      <c r="Q3178" s="1">
        <v>44538</v>
      </c>
      <c r="R3178" t="s">
        <v>27253</v>
      </c>
      <c r="S3178" t="s">
        <v>27254</v>
      </c>
      <c r="T3178" t="s">
        <v>27255</v>
      </c>
    </row>
    <row r="3179" spans="1:20" x14ac:dyDescent="0.3">
      <c r="A3179" t="str">
        <f>"0611833454100"</f>
        <v>0611833454100</v>
      </c>
      <c r="B3179" t="str">
        <f>"LF0044"</f>
        <v>LF0044</v>
      </c>
      <c r="C3179" t="s">
        <v>33398</v>
      </c>
      <c r="D3179" t="s">
        <v>27245</v>
      </c>
      <c r="E3179" t="str">
        <f t="shared" si="49"/>
        <v>001390</v>
      </c>
      <c r="F3179" t="s">
        <v>27246</v>
      </c>
      <c r="G3179" t="s">
        <v>27247</v>
      </c>
      <c r="H3179" t="s">
        <v>27248</v>
      </c>
      <c r="I3179" t="s">
        <v>33399</v>
      </c>
      <c r="J3179" t="s">
        <v>6371</v>
      </c>
      <c r="L3179" t="s">
        <v>27250</v>
      </c>
      <c r="M3179" t="s">
        <v>27251</v>
      </c>
      <c r="N3179" t="s">
        <v>27252</v>
      </c>
      <c r="Q3179" s="1">
        <v>44538</v>
      </c>
      <c r="R3179" t="s">
        <v>27253</v>
      </c>
      <c r="S3179" t="s">
        <v>27254</v>
      </c>
      <c r="T3179" t="s">
        <v>27255</v>
      </c>
    </row>
    <row r="3180" spans="1:20" x14ac:dyDescent="0.3">
      <c r="A3180" t="str">
        <f>"0611884144100"</f>
        <v>0611884144100</v>
      </c>
      <c r="B3180" t="str">
        <f>"CN2010"</f>
        <v>CN2010</v>
      </c>
      <c r="C3180" t="s">
        <v>33400</v>
      </c>
      <c r="D3180" t="s">
        <v>27335</v>
      </c>
      <c r="E3180" t="str">
        <f t="shared" si="49"/>
        <v>001390</v>
      </c>
      <c r="F3180" t="s">
        <v>27246</v>
      </c>
      <c r="G3180" t="s">
        <v>27247</v>
      </c>
      <c r="H3180" t="s">
        <v>27248</v>
      </c>
      <c r="I3180" t="s">
        <v>33401</v>
      </c>
      <c r="J3180" t="s">
        <v>6367</v>
      </c>
      <c r="L3180" t="s">
        <v>27430</v>
      </c>
      <c r="M3180" t="s">
        <v>27251</v>
      </c>
      <c r="N3180" t="s">
        <v>27252</v>
      </c>
      <c r="Q3180" s="1">
        <v>45250</v>
      </c>
      <c r="R3180" t="s">
        <v>27253</v>
      </c>
      <c r="S3180" t="s">
        <v>27254</v>
      </c>
      <c r="T3180" t="s">
        <v>27255</v>
      </c>
    </row>
    <row r="3181" spans="1:20" x14ac:dyDescent="0.3">
      <c r="A3181" t="str">
        <f>"0611861502100"</f>
        <v>0611861502100</v>
      </c>
      <c r="B3181" t="str">
        <f>"CN2011"</f>
        <v>CN2011</v>
      </c>
      <c r="C3181" t="s">
        <v>33402</v>
      </c>
      <c r="D3181" t="s">
        <v>27335</v>
      </c>
      <c r="E3181" t="str">
        <f t="shared" si="49"/>
        <v>001390</v>
      </c>
      <c r="F3181" t="s">
        <v>27246</v>
      </c>
      <c r="G3181" t="s">
        <v>27247</v>
      </c>
      <c r="H3181" t="s">
        <v>27248</v>
      </c>
      <c r="I3181" t="s">
        <v>33403</v>
      </c>
      <c r="J3181" t="s">
        <v>6369</v>
      </c>
      <c r="L3181" t="s">
        <v>27250</v>
      </c>
      <c r="M3181" t="s">
        <v>27251</v>
      </c>
      <c r="N3181" t="s">
        <v>27252</v>
      </c>
      <c r="Q3181" s="1">
        <v>44846</v>
      </c>
      <c r="R3181" t="s">
        <v>27253</v>
      </c>
      <c r="S3181" t="s">
        <v>27254</v>
      </c>
      <c r="T3181" t="s">
        <v>27255</v>
      </c>
    </row>
    <row r="3182" spans="1:20" x14ac:dyDescent="0.3">
      <c r="A3182" t="str">
        <f>"0611833455100"</f>
        <v>0611833455100</v>
      </c>
      <c r="B3182" t="str">
        <f>"LQ6080"</f>
        <v>LQ6080</v>
      </c>
      <c r="C3182" t="s">
        <v>33404</v>
      </c>
      <c r="D3182" t="s">
        <v>27245</v>
      </c>
      <c r="E3182" t="str">
        <f t="shared" si="49"/>
        <v>001390</v>
      </c>
      <c r="F3182" t="s">
        <v>27246</v>
      </c>
      <c r="G3182" t="s">
        <v>27247</v>
      </c>
      <c r="H3182" t="s">
        <v>27248</v>
      </c>
      <c r="I3182" t="s">
        <v>33405</v>
      </c>
      <c r="J3182" t="s">
        <v>6373</v>
      </c>
      <c r="L3182" t="s">
        <v>27250</v>
      </c>
      <c r="M3182" t="s">
        <v>27251</v>
      </c>
      <c r="N3182" t="s">
        <v>27252</v>
      </c>
      <c r="O3182">
        <v>100</v>
      </c>
      <c r="Q3182" s="1">
        <v>44538</v>
      </c>
      <c r="R3182" t="s">
        <v>27253</v>
      </c>
      <c r="S3182" t="s">
        <v>27254</v>
      </c>
      <c r="T3182" t="s">
        <v>27255</v>
      </c>
    </row>
    <row r="3183" spans="1:20" x14ac:dyDescent="0.3">
      <c r="A3183" t="str">
        <f>"0611861503100"</f>
        <v>0611861503100</v>
      </c>
      <c r="B3183" t="str">
        <f>"CN2012"</f>
        <v>CN2012</v>
      </c>
      <c r="C3183" t="s">
        <v>33406</v>
      </c>
      <c r="D3183" t="s">
        <v>27335</v>
      </c>
      <c r="E3183" t="str">
        <f t="shared" si="49"/>
        <v>001390</v>
      </c>
      <c r="F3183" t="s">
        <v>27246</v>
      </c>
      <c r="G3183" t="s">
        <v>27247</v>
      </c>
      <c r="H3183" t="s">
        <v>27248</v>
      </c>
      <c r="I3183" t="s">
        <v>33407</v>
      </c>
      <c r="J3183" t="s">
        <v>6375</v>
      </c>
      <c r="L3183" t="s">
        <v>27250</v>
      </c>
      <c r="M3183" t="s">
        <v>27251</v>
      </c>
      <c r="N3183" t="s">
        <v>27252</v>
      </c>
      <c r="Q3183" s="1">
        <v>44846</v>
      </c>
      <c r="R3183" t="s">
        <v>27253</v>
      </c>
      <c r="S3183" t="s">
        <v>27254</v>
      </c>
      <c r="T3183" t="s">
        <v>27255</v>
      </c>
    </row>
    <row r="3184" spans="1:20" x14ac:dyDescent="0.3">
      <c r="A3184" t="str">
        <f>"0611833456100"</f>
        <v>0611833456100</v>
      </c>
      <c r="B3184" t="str">
        <f>"LF0007"</f>
        <v>LF0007</v>
      </c>
      <c r="C3184" t="s">
        <v>33408</v>
      </c>
      <c r="D3184" t="s">
        <v>27245</v>
      </c>
      <c r="E3184" t="str">
        <f t="shared" si="49"/>
        <v>001390</v>
      </c>
      <c r="F3184" t="s">
        <v>27246</v>
      </c>
      <c r="G3184" t="s">
        <v>27247</v>
      </c>
      <c r="H3184" t="s">
        <v>27248</v>
      </c>
      <c r="I3184" t="s">
        <v>33409</v>
      </c>
      <c r="J3184" t="s">
        <v>6377</v>
      </c>
      <c r="L3184" t="s">
        <v>27250</v>
      </c>
      <c r="M3184" t="s">
        <v>27251</v>
      </c>
      <c r="N3184" t="s">
        <v>27252</v>
      </c>
      <c r="Q3184" s="1">
        <v>44538</v>
      </c>
      <c r="R3184" t="s">
        <v>27253</v>
      </c>
      <c r="S3184" t="s">
        <v>27254</v>
      </c>
      <c r="T3184" t="s">
        <v>27255</v>
      </c>
    </row>
    <row r="3185" spans="1:20" x14ac:dyDescent="0.3">
      <c r="A3185" t="str">
        <f>"0611833458100"</f>
        <v>0611833458100</v>
      </c>
      <c r="B3185" t="str">
        <f>"LG8034"</f>
        <v>LG8034</v>
      </c>
      <c r="C3185" t="s">
        <v>33410</v>
      </c>
      <c r="D3185" t="s">
        <v>27245</v>
      </c>
      <c r="E3185" t="str">
        <f t="shared" si="49"/>
        <v>001390</v>
      </c>
      <c r="F3185" t="s">
        <v>27246</v>
      </c>
      <c r="G3185" t="s">
        <v>27247</v>
      </c>
      <c r="H3185" t="s">
        <v>27248</v>
      </c>
      <c r="I3185" t="s">
        <v>33411</v>
      </c>
      <c r="J3185" t="s">
        <v>6379</v>
      </c>
      <c r="L3185" t="s">
        <v>27250</v>
      </c>
      <c r="M3185" t="s">
        <v>27251</v>
      </c>
      <c r="N3185" t="s">
        <v>27252</v>
      </c>
      <c r="Q3185" s="1">
        <v>44538</v>
      </c>
      <c r="R3185" t="s">
        <v>27253</v>
      </c>
      <c r="S3185" t="s">
        <v>27254</v>
      </c>
      <c r="T3185" t="s">
        <v>27255</v>
      </c>
    </row>
    <row r="3186" spans="1:20" x14ac:dyDescent="0.3">
      <c r="A3186" t="str">
        <f>"0611861504100"</f>
        <v>0611861504100</v>
      </c>
      <c r="B3186" t="str">
        <f>"CN2014"</f>
        <v>CN2014</v>
      </c>
      <c r="C3186" t="s">
        <v>33412</v>
      </c>
      <c r="D3186" t="s">
        <v>27335</v>
      </c>
      <c r="E3186" t="str">
        <f t="shared" si="49"/>
        <v>001390</v>
      </c>
      <c r="F3186" t="s">
        <v>27246</v>
      </c>
      <c r="G3186" t="s">
        <v>27247</v>
      </c>
      <c r="H3186" t="s">
        <v>27248</v>
      </c>
      <c r="I3186" t="s">
        <v>33413</v>
      </c>
      <c r="J3186" t="s">
        <v>6381</v>
      </c>
      <c r="L3186" t="s">
        <v>27250</v>
      </c>
      <c r="M3186" t="s">
        <v>27251</v>
      </c>
      <c r="N3186" t="s">
        <v>27252</v>
      </c>
      <c r="Q3186" s="1">
        <v>44846</v>
      </c>
      <c r="R3186" t="s">
        <v>27253</v>
      </c>
      <c r="S3186" t="s">
        <v>27254</v>
      </c>
      <c r="T3186" t="s">
        <v>27255</v>
      </c>
    </row>
    <row r="3187" spans="1:20" x14ac:dyDescent="0.3">
      <c r="A3187" t="str">
        <f>"0611861505100"</f>
        <v>0611861505100</v>
      </c>
      <c r="B3187" t="str">
        <f>"CN2324"</f>
        <v>CN2324</v>
      </c>
      <c r="C3187" t="s">
        <v>33414</v>
      </c>
      <c r="D3187" t="s">
        <v>27335</v>
      </c>
      <c r="E3187" t="str">
        <f t="shared" si="49"/>
        <v>001390</v>
      </c>
      <c r="F3187" t="s">
        <v>27246</v>
      </c>
      <c r="G3187" t="s">
        <v>27247</v>
      </c>
      <c r="H3187" t="s">
        <v>27248</v>
      </c>
      <c r="I3187" t="s">
        <v>33415</v>
      </c>
      <c r="J3187" t="s">
        <v>6383</v>
      </c>
      <c r="L3187" t="s">
        <v>27250</v>
      </c>
      <c r="M3187" t="s">
        <v>27251</v>
      </c>
      <c r="N3187" t="s">
        <v>27252</v>
      </c>
      <c r="Q3187" s="1">
        <v>44846</v>
      </c>
      <c r="R3187" t="s">
        <v>27253</v>
      </c>
      <c r="S3187" t="s">
        <v>27254</v>
      </c>
      <c r="T3187" t="s">
        <v>27255</v>
      </c>
    </row>
    <row r="3188" spans="1:20" x14ac:dyDescent="0.3">
      <c r="A3188" t="str">
        <f>"0611861506100"</f>
        <v>0611861506100</v>
      </c>
      <c r="B3188" t="str">
        <f>"CN2016"</f>
        <v>CN2016</v>
      </c>
      <c r="C3188" t="s">
        <v>33416</v>
      </c>
      <c r="D3188" t="s">
        <v>27335</v>
      </c>
      <c r="E3188" t="str">
        <f t="shared" si="49"/>
        <v>001390</v>
      </c>
      <c r="F3188" t="s">
        <v>27246</v>
      </c>
      <c r="G3188" t="s">
        <v>27247</v>
      </c>
      <c r="H3188" t="s">
        <v>27248</v>
      </c>
      <c r="I3188" t="s">
        <v>33417</v>
      </c>
      <c r="J3188" t="s">
        <v>6385</v>
      </c>
      <c r="L3188" t="s">
        <v>27250</v>
      </c>
      <c r="M3188" t="s">
        <v>27251</v>
      </c>
      <c r="N3188" t="s">
        <v>27252</v>
      </c>
      <c r="Q3188" s="1">
        <v>44846</v>
      </c>
      <c r="R3188" t="s">
        <v>27253</v>
      </c>
      <c r="S3188" t="s">
        <v>27254</v>
      </c>
      <c r="T3188" t="s">
        <v>27255</v>
      </c>
    </row>
    <row r="3189" spans="1:20" x14ac:dyDescent="0.3">
      <c r="A3189" t="str">
        <f>"0611833459100"</f>
        <v>0611833459100</v>
      </c>
      <c r="B3189" t="str">
        <f>"LG1004"</f>
        <v>LG1004</v>
      </c>
      <c r="C3189" t="s">
        <v>33418</v>
      </c>
      <c r="D3189" t="s">
        <v>27245</v>
      </c>
      <c r="E3189" t="str">
        <f t="shared" si="49"/>
        <v>001390</v>
      </c>
      <c r="F3189" t="s">
        <v>27246</v>
      </c>
      <c r="G3189" t="s">
        <v>27247</v>
      </c>
      <c r="H3189" t="s">
        <v>27248</v>
      </c>
      <c r="I3189" t="s">
        <v>33419</v>
      </c>
      <c r="J3189" t="s">
        <v>6387</v>
      </c>
      <c r="L3189" t="s">
        <v>27250</v>
      </c>
      <c r="M3189" t="s">
        <v>27251</v>
      </c>
      <c r="N3189" t="s">
        <v>27252</v>
      </c>
      <c r="Q3189" s="1">
        <v>44538</v>
      </c>
      <c r="R3189" t="s">
        <v>27253</v>
      </c>
      <c r="S3189" t="s">
        <v>27254</v>
      </c>
      <c r="T3189" t="s">
        <v>27255</v>
      </c>
    </row>
    <row r="3190" spans="1:20" x14ac:dyDescent="0.3">
      <c r="A3190" t="str">
        <f>"0611861507100"</f>
        <v>0611861507100</v>
      </c>
      <c r="B3190" t="str">
        <f>"CN2013"</f>
        <v>CN2013</v>
      </c>
      <c r="C3190" t="s">
        <v>33420</v>
      </c>
      <c r="D3190" t="s">
        <v>27335</v>
      </c>
      <c r="E3190" t="str">
        <f t="shared" si="49"/>
        <v>001390</v>
      </c>
      <c r="F3190" t="s">
        <v>27246</v>
      </c>
      <c r="G3190" t="s">
        <v>27247</v>
      </c>
      <c r="H3190" t="s">
        <v>27248</v>
      </c>
      <c r="I3190" t="s">
        <v>33421</v>
      </c>
      <c r="J3190" t="s">
        <v>6389</v>
      </c>
      <c r="L3190" t="s">
        <v>27250</v>
      </c>
      <c r="M3190" t="s">
        <v>27251</v>
      </c>
      <c r="N3190" t="s">
        <v>27252</v>
      </c>
      <c r="Q3190" s="1">
        <v>44846</v>
      </c>
      <c r="R3190" t="s">
        <v>27253</v>
      </c>
      <c r="S3190" t="s">
        <v>27254</v>
      </c>
      <c r="T3190" t="s">
        <v>27255</v>
      </c>
    </row>
    <row r="3191" spans="1:20" x14ac:dyDescent="0.3">
      <c r="A3191" t="str">
        <f>"0611861508100"</f>
        <v>0611861508100</v>
      </c>
      <c r="B3191" t="str">
        <f>"CN2017"</f>
        <v>CN2017</v>
      </c>
      <c r="C3191" t="s">
        <v>33422</v>
      </c>
      <c r="D3191" t="s">
        <v>27335</v>
      </c>
      <c r="E3191" t="str">
        <f t="shared" si="49"/>
        <v>001390</v>
      </c>
      <c r="F3191" t="s">
        <v>27246</v>
      </c>
      <c r="G3191" t="s">
        <v>27247</v>
      </c>
      <c r="H3191" t="s">
        <v>27248</v>
      </c>
      <c r="I3191" t="s">
        <v>33423</v>
      </c>
      <c r="J3191" t="s">
        <v>6391</v>
      </c>
      <c r="L3191" t="s">
        <v>27250</v>
      </c>
      <c r="M3191" t="s">
        <v>27251</v>
      </c>
      <c r="N3191" t="s">
        <v>27252</v>
      </c>
      <c r="Q3191" s="1">
        <v>44846</v>
      </c>
      <c r="R3191" t="s">
        <v>27253</v>
      </c>
      <c r="S3191" t="s">
        <v>27254</v>
      </c>
      <c r="T3191" t="s">
        <v>27255</v>
      </c>
    </row>
    <row r="3192" spans="1:20" x14ac:dyDescent="0.3">
      <c r="A3192" t="str">
        <f>"0611833460100"</f>
        <v>0611833460100</v>
      </c>
      <c r="B3192" t="str">
        <f>"LG8040"</f>
        <v>LG8040</v>
      </c>
      <c r="C3192" t="s">
        <v>33424</v>
      </c>
      <c r="D3192" t="s">
        <v>27245</v>
      </c>
      <c r="E3192" t="str">
        <f t="shared" si="49"/>
        <v>001390</v>
      </c>
      <c r="F3192" t="s">
        <v>27246</v>
      </c>
      <c r="G3192" t="s">
        <v>27247</v>
      </c>
      <c r="H3192" t="s">
        <v>27248</v>
      </c>
      <c r="I3192" t="s">
        <v>33425</v>
      </c>
      <c r="J3192" t="s">
        <v>6393</v>
      </c>
      <c r="L3192" t="s">
        <v>27250</v>
      </c>
      <c r="M3192" t="s">
        <v>27251</v>
      </c>
      <c r="N3192" t="s">
        <v>27252</v>
      </c>
      <c r="Q3192" s="1">
        <v>44538</v>
      </c>
      <c r="R3192" t="s">
        <v>27253</v>
      </c>
      <c r="S3192" t="s">
        <v>27254</v>
      </c>
      <c r="T3192" t="s">
        <v>27255</v>
      </c>
    </row>
    <row r="3193" spans="1:20" x14ac:dyDescent="0.3">
      <c r="A3193" t="str">
        <f>"0611861509100"</f>
        <v>0611861509100</v>
      </c>
      <c r="B3193" t="str">
        <f>"CN2018"</f>
        <v>CN2018</v>
      </c>
      <c r="C3193" t="s">
        <v>33426</v>
      </c>
      <c r="D3193" t="s">
        <v>27335</v>
      </c>
      <c r="E3193" t="str">
        <f t="shared" si="49"/>
        <v>001390</v>
      </c>
      <c r="F3193" t="s">
        <v>27246</v>
      </c>
      <c r="G3193" t="s">
        <v>27247</v>
      </c>
      <c r="H3193" t="s">
        <v>27248</v>
      </c>
      <c r="I3193" t="s">
        <v>33427</v>
      </c>
      <c r="J3193" t="s">
        <v>6395</v>
      </c>
      <c r="L3193" t="s">
        <v>27250</v>
      </c>
      <c r="M3193" t="s">
        <v>27251</v>
      </c>
      <c r="N3193" t="s">
        <v>27252</v>
      </c>
      <c r="Q3193" s="1">
        <v>44846</v>
      </c>
      <c r="R3193" t="s">
        <v>27253</v>
      </c>
      <c r="S3193" t="s">
        <v>27254</v>
      </c>
      <c r="T3193" t="s">
        <v>27255</v>
      </c>
    </row>
    <row r="3194" spans="1:20" x14ac:dyDescent="0.3">
      <c r="A3194" t="str">
        <f>"0611861510100"</f>
        <v>0611861510100</v>
      </c>
      <c r="B3194" t="str">
        <f>"CN2019"</f>
        <v>CN2019</v>
      </c>
      <c r="C3194" t="s">
        <v>33428</v>
      </c>
      <c r="D3194" t="s">
        <v>27335</v>
      </c>
      <c r="E3194" t="str">
        <f t="shared" si="49"/>
        <v>001390</v>
      </c>
      <c r="F3194" t="s">
        <v>27246</v>
      </c>
      <c r="G3194" t="s">
        <v>27247</v>
      </c>
      <c r="H3194" t="s">
        <v>27248</v>
      </c>
      <c r="I3194" t="s">
        <v>33429</v>
      </c>
      <c r="J3194" t="s">
        <v>6397</v>
      </c>
      <c r="L3194" t="s">
        <v>27250</v>
      </c>
      <c r="M3194" t="s">
        <v>27251</v>
      </c>
      <c r="N3194" t="s">
        <v>27252</v>
      </c>
      <c r="Q3194" s="1">
        <v>44846</v>
      </c>
      <c r="R3194" t="s">
        <v>27253</v>
      </c>
      <c r="S3194" t="s">
        <v>27254</v>
      </c>
      <c r="T3194" t="s">
        <v>27255</v>
      </c>
    </row>
    <row r="3195" spans="1:20" x14ac:dyDescent="0.3">
      <c r="A3195" t="str">
        <f>"0611861511100"</f>
        <v>0611861511100</v>
      </c>
      <c r="B3195" t="str">
        <f>"CN2020"</f>
        <v>CN2020</v>
      </c>
      <c r="C3195" t="s">
        <v>33430</v>
      </c>
      <c r="D3195" t="s">
        <v>27335</v>
      </c>
      <c r="E3195" t="str">
        <f t="shared" si="49"/>
        <v>001390</v>
      </c>
      <c r="F3195" t="s">
        <v>27246</v>
      </c>
      <c r="G3195" t="s">
        <v>27247</v>
      </c>
      <c r="H3195" t="s">
        <v>27248</v>
      </c>
      <c r="I3195" t="s">
        <v>33431</v>
      </c>
      <c r="J3195" t="s">
        <v>6399</v>
      </c>
      <c r="L3195" t="s">
        <v>27250</v>
      </c>
      <c r="M3195" t="s">
        <v>27251</v>
      </c>
      <c r="N3195" t="s">
        <v>27252</v>
      </c>
      <c r="Q3195" s="1">
        <v>44846</v>
      </c>
      <c r="R3195" t="s">
        <v>27253</v>
      </c>
      <c r="S3195" t="s">
        <v>27254</v>
      </c>
      <c r="T3195" t="s">
        <v>27255</v>
      </c>
    </row>
    <row r="3196" spans="1:20" x14ac:dyDescent="0.3">
      <c r="A3196" t="str">
        <f>"0611833461100"</f>
        <v>0611833461100</v>
      </c>
      <c r="B3196" t="str">
        <f>"LF1500"</f>
        <v>LF1500</v>
      </c>
      <c r="C3196" t="s">
        <v>33432</v>
      </c>
      <c r="D3196" t="s">
        <v>27245</v>
      </c>
      <c r="E3196" t="str">
        <f t="shared" si="49"/>
        <v>001390</v>
      </c>
      <c r="F3196" t="s">
        <v>27246</v>
      </c>
      <c r="G3196" t="s">
        <v>27247</v>
      </c>
      <c r="H3196" t="s">
        <v>27248</v>
      </c>
      <c r="I3196" t="s">
        <v>33433</v>
      </c>
      <c r="J3196" t="s">
        <v>6401</v>
      </c>
      <c r="L3196" t="s">
        <v>27250</v>
      </c>
      <c r="M3196" t="s">
        <v>27251</v>
      </c>
      <c r="N3196" t="s">
        <v>27252</v>
      </c>
      <c r="Q3196" s="1">
        <v>44538</v>
      </c>
      <c r="R3196" t="s">
        <v>27253</v>
      </c>
      <c r="S3196" t="s">
        <v>27254</v>
      </c>
      <c r="T3196" t="s">
        <v>27255</v>
      </c>
    </row>
    <row r="3197" spans="1:20" x14ac:dyDescent="0.3">
      <c r="A3197" t="str">
        <f>"0611861512100"</f>
        <v>0611861512100</v>
      </c>
      <c r="B3197" t="str">
        <f>"CN2021"</f>
        <v>CN2021</v>
      </c>
      <c r="C3197" t="s">
        <v>33434</v>
      </c>
      <c r="D3197" t="s">
        <v>27335</v>
      </c>
      <c r="E3197" t="str">
        <f t="shared" si="49"/>
        <v>001390</v>
      </c>
      <c r="F3197" t="s">
        <v>27246</v>
      </c>
      <c r="G3197" t="s">
        <v>27247</v>
      </c>
      <c r="H3197" t="s">
        <v>27248</v>
      </c>
      <c r="I3197" t="s">
        <v>33435</v>
      </c>
      <c r="J3197" t="s">
        <v>6403</v>
      </c>
      <c r="L3197" t="s">
        <v>27250</v>
      </c>
      <c r="M3197" t="s">
        <v>27251</v>
      </c>
      <c r="N3197" t="s">
        <v>27252</v>
      </c>
      <c r="Q3197" s="1">
        <v>44846</v>
      </c>
      <c r="R3197" t="s">
        <v>27253</v>
      </c>
      <c r="S3197" t="s">
        <v>27254</v>
      </c>
      <c r="T3197" t="s">
        <v>27255</v>
      </c>
    </row>
    <row r="3198" spans="1:20" x14ac:dyDescent="0.3">
      <c r="A3198" t="str">
        <f>"0611861513100"</f>
        <v>0611861513100</v>
      </c>
      <c r="B3198" t="str">
        <f>"CN2030"</f>
        <v>CN2030</v>
      </c>
      <c r="C3198" t="s">
        <v>33436</v>
      </c>
      <c r="D3198" t="s">
        <v>27335</v>
      </c>
      <c r="E3198" t="str">
        <f t="shared" si="49"/>
        <v>001390</v>
      </c>
      <c r="F3198" t="s">
        <v>27246</v>
      </c>
      <c r="G3198" t="s">
        <v>27247</v>
      </c>
      <c r="H3198" t="s">
        <v>27248</v>
      </c>
      <c r="I3198" t="s">
        <v>33437</v>
      </c>
      <c r="J3198" t="s">
        <v>6405</v>
      </c>
      <c r="L3198" t="s">
        <v>27250</v>
      </c>
      <c r="M3198" t="s">
        <v>27251</v>
      </c>
      <c r="N3198" t="s">
        <v>27252</v>
      </c>
      <c r="Q3198" s="1">
        <v>44846</v>
      </c>
      <c r="R3198" t="s">
        <v>27253</v>
      </c>
      <c r="S3198" t="s">
        <v>27254</v>
      </c>
      <c r="T3198" t="s">
        <v>27255</v>
      </c>
    </row>
    <row r="3199" spans="1:20" x14ac:dyDescent="0.3">
      <c r="A3199" t="str">
        <f>"0611861514100"</f>
        <v>0611861514100</v>
      </c>
      <c r="B3199" t="str">
        <f>"CN2022"</f>
        <v>CN2022</v>
      </c>
      <c r="C3199" t="s">
        <v>33438</v>
      </c>
      <c r="D3199" t="s">
        <v>27335</v>
      </c>
      <c r="E3199" t="str">
        <f t="shared" si="49"/>
        <v>001390</v>
      </c>
      <c r="F3199" t="s">
        <v>27246</v>
      </c>
      <c r="G3199" t="s">
        <v>27247</v>
      </c>
      <c r="H3199" t="s">
        <v>27248</v>
      </c>
      <c r="I3199" t="s">
        <v>33439</v>
      </c>
      <c r="J3199" t="s">
        <v>6407</v>
      </c>
      <c r="L3199" t="s">
        <v>27250</v>
      </c>
      <c r="M3199" t="s">
        <v>27251</v>
      </c>
      <c r="N3199" t="s">
        <v>27252</v>
      </c>
      <c r="Q3199" s="1">
        <v>44846</v>
      </c>
      <c r="R3199" t="s">
        <v>27253</v>
      </c>
      <c r="S3199" t="s">
        <v>27254</v>
      </c>
      <c r="T3199" t="s">
        <v>27255</v>
      </c>
    </row>
    <row r="3200" spans="1:20" x14ac:dyDescent="0.3">
      <c r="A3200" t="str">
        <f>"0611861515100"</f>
        <v>0611861515100</v>
      </c>
      <c r="B3200" t="str">
        <f>"CN2024"</f>
        <v>CN2024</v>
      </c>
      <c r="C3200" t="s">
        <v>33440</v>
      </c>
      <c r="D3200" t="s">
        <v>27335</v>
      </c>
      <c r="E3200" t="str">
        <f t="shared" si="49"/>
        <v>001390</v>
      </c>
      <c r="F3200" t="s">
        <v>27246</v>
      </c>
      <c r="G3200" t="s">
        <v>27247</v>
      </c>
      <c r="H3200" t="s">
        <v>27248</v>
      </c>
      <c r="I3200" t="s">
        <v>33441</v>
      </c>
      <c r="J3200" t="s">
        <v>6409</v>
      </c>
      <c r="L3200" t="s">
        <v>27250</v>
      </c>
      <c r="M3200" t="s">
        <v>27251</v>
      </c>
      <c r="N3200" t="s">
        <v>27252</v>
      </c>
      <c r="Q3200" s="1">
        <v>44846</v>
      </c>
      <c r="R3200" t="s">
        <v>27253</v>
      </c>
      <c r="S3200" t="s">
        <v>27254</v>
      </c>
      <c r="T3200" t="s">
        <v>27255</v>
      </c>
    </row>
    <row r="3201" spans="1:20" x14ac:dyDescent="0.3">
      <c r="A3201" t="str">
        <f>"0611861516100"</f>
        <v>0611861516100</v>
      </c>
      <c r="B3201" t="str">
        <f>"CN2025"</f>
        <v>CN2025</v>
      </c>
      <c r="C3201" t="s">
        <v>33442</v>
      </c>
      <c r="D3201" t="s">
        <v>27335</v>
      </c>
      <c r="E3201" t="str">
        <f t="shared" si="49"/>
        <v>001390</v>
      </c>
      <c r="F3201" t="s">
        <v>27246</v>
      </c>
      <c r="G3201" t="s">
        <v>27247</v>
      </c>
      <c r="H3201" t="s">
        <v>27248</v>
      </c>
      <c r="I3201" t="s">
        <v>33443</v>
      </c>
      <c r="J3201" t="s">
        <v>6411</v>
      </c>
      <c r="L3201" t="s">
        <v>27250</v>
      </c>
      <c r="M3201" t="s">
        <v>27251</v>
      </c>
      <c r="N3201" t="s">
        <v>27252</v>
      </c>
      <c r="Q3201" s="1">
        <v>44846</v>
      </c>
      <c r="R3201" t="s">
        <v>27253</v>
      </c>
      <c r="S3201" t="s">
        <v>27254</v>
      </c>
      <c r="T3201" t="s">
        <v>27255</v>
      </c>
    </row>
    <row r="3202" spans="1:20" x14ac:dyDescent="0.3">
      <c r="A3202" t="str">
        <f>"0611861517100"</f>
        <v>0611861517100</v>
      </c>
      <c r="B3202" t="str">
        <f>"CN2028"</f>
        <v>CN2028</v>
      </c>
      <c r="C3202" t="s">
        <v>33444</v>
      </c>
      <c r="D3202" t="s">
        <v>27335</v>
      </c>
      <c r="E3202" t="str">
        <f t="shared" ref="E3202:E3265" si="50">"001390"</f>
        <v>001390</v>
      </c>
      <c r="F3202" t="s">
        <v>27246</v>
      </c>
      <c r="G3202" t="s">
        <v>27247</v>
      </c>
      <c r="H3202" t="s">
        <v>27248</v>
      </c>
      <c r="I3202" t="s">
        <v>33445</v>
      </c>
      <c r="J3202" t="s">
        <v>6413</v>
      </c>
      <c r="L3202" t="s">
        <v>27250</v>
      </c>
      <c r="M3202" t="s">
        <v>27251</v>
      </c>
      <c r="N3202" t="s">
        <v>27252</v>
      </c>
      <c r="Q3202" s="1">
        <v>44846</v>
      </c>
      <c r="R3202" t="s">
        <v>27253</v>
      </c>
      <c r="S3202" t="s">
        <v>27254</v>
      </c>
      <c r="T3202" t="s">
        <v>27255</v>
      </c>
    </row>
    <row r="3203" spans="1:20" x14ac:dyDescent="0.3">
      <c r="A3203" t="str">
        <f>"0611861518100"</f>
        <v>0611861518100</v>
      </c>
      <c r="B3203" t="str">
        <f>"CN2029"</f>
        <v>CN2029</v>
      </c>
      <c r="C3203" t="s">
        <v>33446</v>
      </c>
      <c r="D3203" t="s">
        <v>27335</v>
      </c>
      <c r="E3203" t="str">
        <f t="shared" si="50"/>
        <v>001390</v>
      </c>
      <c r="F3203" t="s">
        <v>27246</v>
      </c>
      <c r="G3203" t="s">
        <v>27247</v>
      </c>
      <c r="H3203" t="s">
        <v>27248</v>
      </c>
      <c r="I3203" t="s">
        <v>33447</v>
      </c>
      <c r="J3203" t="s">
        <v>6415</v>
      </c>
      <c r="L3203" t="s">
        <v>27250</v>
      </c>
      <c r="M3203" t="s">
        <v>27251</v>
      </c>
      <c r="N3203" t="s">
        <v>27252</v>
      </c>
      <c r="Q3203" s="1">
        <v>44846</v>
      </c>
      <c r="R3203" t="s">
        <v>27253</v>
      </c>
      <c r="S3203" t="s">
        <v>27254</v>
      </c>
      <c r="T3203" t="s">
        <v>27255</v>
      </c>
    </row>
    <row r="3204" spans="1:20" x14ac:dyDescent="0.3">
      <c r="A3204" t="str">
        <f>"0611833462100"</f>
        <v>0611833462100</v>
      </c>
      <c r="B3204" t="str">
        <f>"LF0009"</f>
        <v>LF0009</v>
      </c>
      <c r="C3204" t="s">
        <v>33448</v>
      </c>
      <c r="D3204" t="s">
        <v>27245</v>
      </c>
      <c r="E3204" t="str">
        <f t="shared" si="50"/>
        <v>001390</v>
      </c>
      <c r="F3204" t="s">
        <v>27246</v>
      </c>
      <c r="G3204" t="s">
        <v>27247</v>
      </c>
      <c r="H3204" t="s">
        <v>27248</v>
      </c>
      <c r="I3204" t="s">
        <v>33449</v>
      </c>
      <c r="J3204" t="s">
        <v>6417</v>
      </c>
      <c r="L3204" t="s">
        <v>27250</v>
      </c>
      <c r="M3204" t="s">
        <v>27251</v>
      </c>
      <c r="N3204" t="s">
        <v>27252</v>
      </c>
      <c r="Q3204" s="1">
        <v>44538</v>
      </c>
      <c r="R3204" t="s">
        <v>27253</v>
      </c>
      <c r="S3204" t="s">
        <v>27254</v>
      </c>
      <c r="T3204" t="s">
        <v>27255</v>
      </c>
    </row>
    <row r="3205" spans="1:20" x14ac:dyDescent="0.3">
      <c r="A3205" t="str">
        <f>"0611861519100"</f>
        <v>0611861519100</v>
      </c>
      <c r="B3205" t="str">
        <f>"CN2241"</f>
        <v>CN2241</v>
      </c>
      <c r="C3205" t="s">
        <v>33450</v>
      </c>
      <c r="D3205" t="s">
        <v>27335</v>
      </c>
      <c r="E3205" t="str">
        <f t="shared" si="50"/>
        <v>001390</v>
      </c>
      <c r="F3205" t="s">
        <v>27246</v>
      </c>
      <c r="G3205" t="s">
        <v>27247</v>
      </c>
      <c r="H3205" t="s">
        <v>27248</v>
      </c>
      <c r="I3205" t="s">
        <v>33451</v>
      </c>
      <c r="J3205" t="s">
        <v>6419</v>
      </c>
      <c r="L3205" t="s">
        <v>27250</v>
      </c>
      <c r="M3205" t="s">
        <v>27251</v>
      </c>
      <c r="N3205" t="s">
        <v>27252</v>
      </c>
      <c r="Q3205" s="1">
        <v>44846</v>
      </c>
      <c r="R3205" t="s">
        <v>27253</v>
      </c>
      <c r="S3205" t="s">
        <v>27254</v>
      </c>
      <c r="T3205" t="s">
        <v>27255</v>
      </c>
    </row>
    <row r="3206" spans="1:20" x14ac:dyDescent="0.3">
      <c r="A3206" t="str">
        <f>"0611861520100"</f>
        <v>0611861520100</v>
      </c>
      <c r="B3206" t="str">
        <f>"CN2300"</f>
        <v>CN2300</v>
      </c>
      <c r="C3206" t="s">
        <v>33452</v>
      </c>
      <c r="D3206" t="s">
        <v>27335</v>
      </c>
      <c r="E3206" t="str">
        <f t="shared" si="50"/>
        <v>001390</v>
      </c>
      <c r="F3206" t="s">
        <v>27246</v>
      </c>
      <c r="G3206" t="s">
        <v>27247</v>
      </c>
      <c r="H3206" t="s">
        <v>27248</v>
      </c>
      <c r="I3206" t="s">
        <v>33453</v>
      </c>
      <c r="J3206" t="s">
        <v>6421</v>
      </c>
      <c r="L3206" t="s">
        <v>27250</v>
      </c>
      <c r="M3206" t="s">
        <v>27251</v>
      </c>
      <c r="N3206" t="s">
        <v>27252</v>
      </c>
      <c r="Q3206" s="1">
        <v>44846</v>
      </c>
      <c r="R3206" t="s">
        <v>27253</v>
      </c>
      <c r="S3206" t="s">
        <v>27254</v>
      </c>
      <c r="T3206" t="s">
        <v>27255</v>
      </c>
    </row>
    <row r="3207" spans="1:20" x14ac:dyDescent="0.3">
      <c r="A3207" t="str">
        <f>"0611833463100"</f>
        <v>0611833463100</v>
      </c>
      <c r="B3207" t="str">
        <f>"LF0021"</f>
        <v>LF0021</v>
      </c>
      <c r="C3207" t="s">
        <v>33454</v>
      </c>
      <c r="D3207" t="s">
        <v>27245</v>
      </c>
      <c r="E3207" t="str">
        <f t="shared" si="50"/>
        <v>001390</v>
      </c>
      <c r="F3207" t="s">
        <v>27246</v>
      </c>
      <c r="G3207" t="s">
        <v>27247</v>
      </c>
      <c r="H3207" t="s">
        <v>27248</v>
      </c>
      <c r="I3207" t="s">
        <v>33455</v>
      </c>
      <c r="J3207" t="s">
        <v>6423</v>
      </c>
      <c r="L3207" t="s">
        <v>27250</v>
      </c>
      <c r="M3207" t="s">
        <v>27251</v>
      </c>
      <c r="N3207" t="s">
        <v>27252</v>
      </c>
      <c r="Q3207" s="1">
        <v>44538</v>
      </c>
      <c r="R3207" t="s">
        <v>27253</v>
      </c>
      <c r="S3207" t="s">
        <v>27254</v>
      </c>
      <c r="T3207" t="s">
        <v>27255</v>
      </c>
    </row>
    <row r="3208" spans="1:20" x14ac:dyDescent="0.3">
      <c r="A3208" t="str">
        <f>"0611861521100"</f>
        <v>0611861521100</v>
      </c>
      <c r="B3208" t="str">
        <f>"CN2026"</f>
        <v>CN2026</v>
      </c>
      <c r="C3208" t="s">
        <v>33456</v>
      </c>
      <c r="D3208" t="s">
        <v>27335</v>
      </c>
      <c r="E3208" t="str">
        <f t="shared" si="50"/>
        <v>001390</v>
      </c>
      <c r="F3208" t="s">
        <v>27246</v>
      </c>
      <c r="G3208" t="s">
        <v>27247</v>
      </c>
      <c r="H3208" t="s">
        <v>27248</v>
      </c>
      <c r="I3208" t="s">
        <v>33457</v>
      </c>
      <c r="J3208" t="s">
        <v>6425</v>
      </c>
      <c r="L3208" t="s">
        <v>27250</v>
      </c>
      <c r="M3208" t="s">
        <v>27251</v>
      </c>
      <c r="N3208" t="s">
        <v>27252</v>
      </c>
      <c r="Q3208" s="1">
        <v>44846</v>
      </c>
      <c r="R3208" t="s">
        <v>27253</v>
      </c>
      <c r="S3208" t="s">
        <v>27254</v>
      </c>
      <c r="T3208" t="s">
        <v>27255</v>
      </c>
    </row>
    <row r="3209" spans="1:20" x14ac:dyDescent="0.3">
      <c r="A3209" t="str">
        <f>"0611861522100"</f>
        <v>0611861522100</v>
      </c>
      <c r="B3209" t="str">
        <f>"LF8537"</f>
        <v>LF8537</v>
      </c>
      <c r="C3209" t="s">
        <v>33458</v>
      </c>
      <c r="D3209" t="s">
        <v>27245</v>
      </c>
      <c r="E3209" t="str">
        <f t="shared" si="50"/>
        <v>001390</v>
      </c>
      <c r="F3209" t="s">
        <v>27246</v>
      </c>
      <c r="G3209" t="s">
        <v>27247</v>
      </c>
      <c r="H3209" t="s">
        <v>27248</v>
      </c>
      <c r="I3209" t="s">
        <v>33459</v>
      </c>
      <c r="J3209" t="s">
        <v>6427</v>
      </c>
      <c r="L3209" t="s">
        <v>27250</v>
      </c>
      <c r="M3209" t="s">
        <v>27251</v>
      </c>
      <c r="N3209" t="s">
        <v>27252</v>
      </c>
      <c r="Q3209" s="1">
        <v>44846</v>
      </c>
      <c r="R3209" t="s">
        <v>27253</v>
      </c>
      <c r="S3209" t="s">
        <v>27254</v>
      </c>
      <c r="T3209" t="s">
        <v>27255</v>
      </c>
    </row>
    <row r="3210" spans="1:20" x14ac:dyDescent="0.3">
      <c r="A3210" t="str">
        <f>"0611861523100"</f>
        <v>0611861523100</v>
      </c>
      <c r="B3210" t="str">
        <f>"CN2027"</f>
        <v>CN2027</v>
      </c>
      <c r="C3210" t="s">
        <v>33460</v>
      </c>
      <c r="D3210" t="s">
        <v>27335</v>
      </c>
      <c r="E3210" t="str">
        <f t="shared" si="50"/>
        <v>001390</v>
      </c>
      <c r="F3210" t="s">
        <v>27246</v>
      </c>
      <c r="G3210" t="s">
        <v>27247</v>
      </c>
      <c r="H3210" t="s">
        <v>27248</v>
      </c>
      <c r="I3210" t="s">
        <v>33461</v>
      </c>
      <c r="J3210" t="s">
        <v>6429</v>
      </c>
      <c r="L3210" t="s">
        <v>27250</v>
      </c>
      <c r="M3210" t="s">
        <v>27251</v>
      </c>
      <c r="N3210" t="s">
        <v>27252</v>
      </c>
      <c r="Q3210" s="1">
        <v>44846</v>
      </c>
      <c r="R3210" t="s">
        <v>27253</v>
      </c>
      <c r="S3210" t="s">
        <v>27254</v>
      </c>
      <c r="T3210" t="s">
        <v>27255</v>
      </c>
    </row>
    <row r="3211" spans="1:20" x14ac:dyDescent="0.3">
      <c r="A3211" t="str">
        <f>"*90-610000"</f>
        <v>*90-610000</v>
      </c>
      <c r="B3211" t="str">
        <f>""</f>
        <v/>
      </c>
      <c r="C3211" t="s">
        <v>33462</v>
      </c>
      <c r="E3211" t="str">
        <f t="shared" si="50"/>
        <v>001390</v>
      </c>
      <c r="F3211" t="s">
        <v>27246</v>
      </c>
      <c r="G3211" t="s">
        <v>27247</v>
      </c>
      <c r="Q3211" s="1">
        <v>36984</v>
      </c>
      <c r="R3211" t="s">
        <v>27253</v>
      </c>
    </row>
    <row r="3212" spans="1:20" x14ac:dyDescent="0.3">
      <c r="A3212" t="str">
        <f>"0611833464100"</f>
        <v>0611833464100</v>
      </c>
      <c r="B3212" t="str">
        <f>"LH2950"</f>
        <v>LH2950</v>
      </c>
      <c r="C3212" t="s">
        <v>33463</v>
      </c>
      <c r="D3212" t="s">
        <v>27245</v>
      </c>
      <c r="E3212" t="str">
        <f t="shared" si="50"/>
        <v>001390</v>
      </c>
      <c r="F3212" t="s">
        <v>27246</v>
      </c>
      <c r="G3212" t="s">
        <v>27247</v>
      </c>
      <c r="H3212" t="s">
        <v>27248</v>
      </c>
      <c r="I3212" t="s">
        <v>33464</v>
      </c>
      <c r="J3212" t="s">
        <v>6431</v>
      </c>
      <c r="L3212" t="s">
        <v>27250</v>
      </c>
      <c r="M3212" t="s">
        <v>27251</v>
      </c>
      <c r="N3212" t="s">
        <v>27252</v>
      </c>
      <c r="Q3212" s="1">
        <v>44538</v>
      </c>
      <c r="R3212" t="s">
        <v>27253</v>
      </c>
      <c r="S3212" t="s">
        <v>27254</v>
      </c>
      <c r="T3212" t="s">
        <v>27255</v>
      </c>
    </row>
    <row r="3213" spans="1:20" x14ac:dyDescent="0.3">
      <c r="A3213" t="str">
        <f>"0611833465025"</f>
        <v>0611833465025</v>
      </c>
      <c r="B3213" t="str">
        <f>"MC0207"</f>
        <v>MC0207</v>
      </c>
      <c r="C3213" t="s">
        <v>33463</v>
      </c>
      <c r="D3213" t="s">
        <v>27267</v>
      </c>
      <c r="E3213" t="str">
        <f t="shared" si="50"/>
        <v>001390</v>
      </c>
      <c r="F3213" t="s">
        <v>27246</v>
      </c>
      <c r="G3213" t="s">
        <v>27247</v>
      </c>
      <c r="H3213" t="s">
        <v>27248</v>
      </c>
      <c r="I3213" t="s">
        <v>33465</v>
      </c>
      <c r="J3213" t="s">
        <v>6433</v>
      </c>
      <c r="L3213" t="s">
        <v>27250</v>
      </c>
      <c r="M3213" t="s">
        <v>27251</v>
      </c>
      <c r="N3213" t="s">
        <v>27252</v>
      </c>
      <c r="Q3213" s="1">
        <v>44538</v>
      </c>
      <c r="R3213" t="s">
        <v>27253</v>
      </c>
      <c r="S3213" t="s">
        <v>27254</v>
      </c>
      <c r="T3213" t="s">
        <v>27269</v>
      </c>
    </row>
    <row r="3214" spans="1:20" x14ac:dyDescent="0.3">
      <c r="A3214" t="str">
        <f>"0611833466100"</f>
        <v>0611833466100</v>
      </c>
      <c r="B3214" t="str">
        <f>"LG1440"</f>
        <v>LG1440</v>
      </c>
      <c r="C3214" t="s">
        <v>33466</v>
      </c>
      <c r="D3214" t="s">
        <v>27245</v>
      </c>
      <c r="E3214" t="str">
        <f t="shared" si="50"/>
        <v>001390</v>
      </c>
      <c r="F3214" t="s">
        <v>27246</v>
      </c>
      <c r="G3214" t="s">
        <v>27247</v>
      </c>
      <c r="H3214" t="s">
        <v>27248</v>
      </c>
      <c r="I3214" t="s">
        <v>33467</v>
      </c>
      <c r="J3214" t="s">
        <v>6435</v>
      </c>
      <c r="L3214" t="s">
        <v>27250</v>
      </c>
      <c r="M3214" t="s">
        <v>27251</v>
      </c>
      <c r="N3214" t="s">
        <v>27252</v>
      </c>
      <c r="Q3214" s="1">
        <v>44538</v>
      </c>
      <c r="R3214" t="s">
        <v>27253</v>
      </c>
      <c r="S3214" t="s">
        <v>27254</v>
      </c>
      <c r="T3214" t="s">
        <v>27255</v>
      </c>
    </row>
    <row r="3215" spans="1:20" x14ac:dyDescent="0.3">
      <c r="A3215" t="str">
        <f>"0611833467100"</f>
        <v>0611833467100</v>
      </c>
      <c r="B3215" t="str">
        <f>"LG1460"</f>
        <v>LG1460</v>
      </c>
      <c r="C3215" t="s">
        <v>33468</v>
      </c>
      <c r="D3215" t="s">
        <v>27245</v>
      </c>
      <c r="E3215" t="str">
        <f t="shared" si="50"/>
        <v>001390</v>
      </c>
      <c r="F3215" t="s">
        <v>27246</v>
      </c>
      <c r="G3215" t="s">
        <v>27247</v>
      </c>
      <c r="H3215" t="s">
        <v>27248</v>
      </c>
      <c r="I3215" t="s">
        <v>33469</v>
      </c>
      <c r="J3215" t="s">
        <v>6437</v>
      </c>
      <c r="L3215" t="s">
        <v>27250</v>
      </c>
      <c r="M3215" t="s">
        <v>27251</v>
      </c>
      <c r="N3215" t="s">
        <v>27252</v>
      </c>
      <c r="Q3215" s="1">
        <v>44538</v>
      </c>
      <c r="R3215" t="s">
        <v>27253</v>
      </c>
      <c r="S3215" t="s">
        <v>27254</v>
      </c>
      <c r="T3215" t="s">
        <v>27255</v>
      </c>
    </row>
    <row r="3216" spans="1:20" x14ac:dyDescent="0.3">
      <c r="A3216" t="str">
        <f>"0611861524050"</f>
        <v>0611861524050</v>
      </c>
      <c r="B3216" t="str">
        <f>"CR3323"</f>
        <v>CR3323</v>
      </c>
      <c r="C3216" t="s">
        <v>33470</v>
      </c>
      <c r="D3216" t="s">
        <v>27263</v>
      </c>
      <c r="E3216" t="str">
        <f t="shared" si="50"/>
        <v>001390</v>
      </c>
      <c r="F3216" t="s">
        <v>27246</v>
      </c>
      <c r="G3216" t="s">
        <v>27247</v>
      </c>
      <c r="H3216" t="s">
        <v>27248</v>
      </c>
      <c r="I3216" t="s">
        <v>33471</v>
      </c>
      <c r="J3216" t="s">
        <v>6439</v>
      </c>
      <c r="L3216" t="s">
        <v>27250</v>
      </c>
      <c r="M3216" t="s">
        <v>27251</v>
      </c>
      <c r="N3216" t="s">
        <v>27252</v>
      </c>
      <c r="Q3216" s="1">
        <v>44846</v>
      </c>
      <c r="R3216" t="s">
        <v>27253</v>
      </c>
      <c r="S3216" t="s">
        <v>27254</v>
      </c>
      <c r="T3216" t="s">
        <v>27265</v>
      </c>
    </row>
    <row r="3217" spans="1:20" x14ac:dyDescent="0.3">
      <c r="A3217" t="str">
        <f>"0611833468100"</f>
        <v>0611833468100</v>
      </c>
      <c r="B3217" t="str">
        <f>"LQ6079"</f>
        <v>LQ6079</v>
      </c>
      <c r="C3217" t="s">
        <v>33472</v>
      </c>
      <c r="D3217" t="s">
        <v>27245</v>
      </c>
      <c r="E3217" t="str">
        <f t="shared" si="50"/>
        <v>001390</v>
      </c>
      <c r="F3217" t="s">
        <v>27246</v>
      </c>
      <c r="G3217" t="s">
        <v>27247</v>
      </c>
      <c r="H3217" t="s">
        <v>27248</v>
      </c>
      <c r="I3217" t="s">
        <v>33473</v>
      </c>
      <c r="J3217" t="s">
        <v>6441</v>
      </c>
      <c r="L3217" t="s">
        <v>27250</v>
      </c>
      <c r="M3217" t="s">
        <v>27251</v>
      </c>
      <c r="N3217" t="s">
        <v>27252</v>
      </c>
      <c r="Q3217" s="1">
        <v>44538</v>
      </c>
      <c r="R3217" t="s">
        <v>27253</v>
      </c>
      <c r="S3217" t="s">
        <v>27254</v>
      </c>
      <c r="T3217" t="s">
        <v>27255</v>
      </c>
    </row>
    <row r="3218" spans="1:20" x14ac:dyDescent="0.3">
      <c r="A3218" t="str">
        <f>"0611833469100"</f>
        <v>0611833469100</v>
      </c>
      <c r="B3218" t="str">
        <f>"LG1461"</f>
        <v>LG1461</v>
      </c>
      <c r="C3218" t="s">
        <v>33474</v>
      </c>
      <c r="D3218" t="s">
        <v>27245</v>
      </c>
      <c r="E3218" t="str">
        <f t="shared" si="50"/>
        <v>001390</v>
      </c>
      <c r="F3218" t="s">
        <v>27246</v>
      </c>
      <c r="G3218" t="s">
        <v>27247</v>
      </c>
      <c r="H3218" t="s">
        <v>27248</v>
      </c>
      <c r="I3218" t="s">
        <v>33475</v>
      </c>
      <c r="J3218" t="s">
        <v>6443</v>
      </c>
      <c r="L3218" t="s">
        <v>27250</v>
      </c>
      <c r="M3218" t="s">
        <v>27251</v>
      </c>
      <c r="N3218" t="s">
        <v>27252</v>
      </c>
      <c r="Q3218" s="1">
        <v>44538</v>
      </c>
      <c r="R3218" t="s">
        <v>27253</v>
      </c>
      <c r="S3218" t="s">
        <v>27254</v>
      </c>
      <c r="T3218" t="s">
        <v>27255</v>
      </c>
    </row>
    <row r="3219" spans="1:20" x14ac:dyDescent="0.3">
      <c r="A3219" t="str">
        <f>"0611861525050"</f>
        <v>0611861525050</v>
      </c>
      <c r="B3219" t="str">
        <f>"CR5069"</f>
        <v>CR5069</v>
      </c>
      <c r="C3219" t="s">
        <v>33476</v>
      </c>
      <c r="D3219" t="s">
        <v>27271</v>
      </c>
      <c r="E3219" t="str">
        <f t="shared" si="50"/>
        <v>001390</v>
      </c>
      <c r="F3219" t="s">
        <v>27246</v>
      </c>
      <c r="G3219" t="s">
        <v>27247</v>
      </c>
      <c r="H3219" t="s">
        <v>27248</v>
      </c>
      <c r="I3219" t="s">
        <v>33477</v>
      </c>
      <c r="J3219" t="s">
        <v>6445</v>
      </c>
      <c r="L3219" t="s">
        <v>27250</v>
      </c>
      <c r="M3219" t="s">
        <v>27251</v>
      </c>
      <c r="N3219" t="s">
        <v>27252</v>
      </c>
      <c r="P3219" t="s">
        <v>27341</v>
      </c>
      <c r="Q3219" s="1">
        <v>44846</v>
      </c>
      <c r="R3219" t="s">
        <v>27253</v>
      </c>
      <c r="S3219" t="s">
        <v>27254</v>
      </c>
      <c r="T3219" t="s">
        <v>27265</v>
      </c>
    </row>
    <row r="3220" spans="1:20" x14ac:dyDescent="0.3">
      <c r="A3220" t="str">
        <f>"0611833123100"</f>
        <v>0611833123100</v>
      </c>
      <c r="B3220" t="str">
        <f>"LF1410"</f>
        <v>LF1410</v>
      </c>
      <c r="C3220" t="s">
        <v>33478</v>
      </c>
      <c r="D3220" t="s">
        <v>27245</v>
      </c>
      <c r="E3220" t="str">
        <f t="shared" si="50"/>
        <v>001390</v>
      </c>
      <c r="F3220" t="s">
        <v>27246</v>
      </c>
      <c r="G3220" t="s">
        <v>27247</v>
      </c>
      <c r="H3220" t="s">
        <v>27248</v>
      </c>
      <c r="I3220" t="s">
        <v>33479</v>
      </c>
      <c r="J3220" t="s">
        <v>6447</v>
      </c>
      <c r="L3220" t="s">
        <v>27250</v>
      </c>
      <c r="M3220" t="s">
        <v>27251</v>
      </c>
      <c r="N3220" t="s">
        <v>27252</v>
      </c>
      <c r="Q3220" s="1">
        <v>44538</v>
      </c>
      <c r="R3220" t="s">
        <v>27253</v>
      </c>
      <c r="S3220" t="s">
        <v>27254</v>
      </c>
      <c r="T3220" t="s">
        <v>27255</v>
      </c>
    </row>
    <row r="3221" spans="1:20" x14ac:dyDescent="0.3">
      <c r="A3221" t="str">
        <f>"0611833125100"</f>
        <v>0611833125100</v>
      </c>
      <c r="B3221" t="str">
        <f>"LF1408"</f>
        <v>LF1408</v>
      </c>
      <c r="C3221" t="s">
        <v>33480</v>
      </c>
      <c r="D3221" t="s">
        <v>27245</v>
      </c>
      <c r="E3221" t="str">
        <f t="shared" si="50"/>
        <v>001390</v>
      </c>
      <c r="F3221" t="s">
        <v>27246</v>
      </c>
      <c r="G3221" t="s">
        <v>27247</v>
      </c>
      <c r="H3221" t="s">
        <v>27248</v>
      </c>
      <c r="I3221" t="s">
        <v>33481</v>
      </c>
      <c r="J3221" t="s">
        <v>6449</v>
      </c>
      <c r="L3221" t="s">
        <v>27250</v>
      </c>
      <c r="M3221" t="s">
        <v>27251</v>
      </c>
      <c r="N3221" t="s">
        <v>27252</v>
      </c>
      <c r="Q3221" s="1">
        <v>44538</v>
      </c>
      <c r="R3221" t="s">
        <v>27253</v>
      </c>
      <c r="S3221" t="s">
        <v>27254</v>
      </c>
      <c r="T3221" t="s">
        <v>27255</v>
      </c>
    </row>
    <row r="3222" spans="1:20" x14ac:dyDescent="0.3">
      <c r="A3222" t="str">
        <f>"0611856878100"</f>
        <v>0611856878100</v>
      </c>
      <c r="B3222" t="str">
        <f>"LF3490"</f>
        <v>LF3490</v>
      </c>
      <c r="C3222" t="s">
        <v>33482</v>
      </c>
      <c r="D3222" t="s">
        <v>27245</v>
      </c>
      <c r="E3222" t="str">
        <f t="shared" si="50"/>
        <v>001390</v>
      </c>
      <c r="F3222" t="s">
        <v>27246</v>
      </c>
      <c r="G3222" t="s">
        <v>27247</v>
      </c>
      <c r="H3222" t="s">
        <v>27248</v>
      </c>
      <c r="I3222" t="s">
        <v>33483</v>
      </c>
      <c r="J3222" t="s">
        <v>6451</v>
      </c>
      <c r="L3222" t="s">
        <v>27250</v>
      </c>
      <c r="M3222" t="s">
        <v>27251</v>
      </c>
      <c r="N3222" t="s">
        <v>27252</v>
      </c>
      <c r="Q3222" s="1">
        <v>44812</v>
      </c>
      <c r="R3222" t="s">
        <v>27253</v>
      </c>
      <c r="S3222" t="s">
        <v>27254</v>
      </c>
      <c r="T3222" t="s">
        <v>27255</v>
      </c>
    </row>
    <row r="3223" spans="1:20" x14ac:dyDescent="0.3">
      <c r="A3223" t="str">
        <f>"0611833472100"</f>
        <v>0611833472100</v>
      </c>
      <c r="B3223" t="str">
        <f>"LL1485"</f>
        <v>LL1485</v>
      </c>
      <c r="C3223" t="s">
        <v>33484</v>
      </c>
      <c r="D3223" t="s">
        <v>27245</v>
      </c>
      <c r="E3223" t="str">
        <f t="shared" si="50"/>
        <v>001390</v>
      </c>
      <c r="F3223" t="s">
        <v>27246</v>
      </c>
      <c r="G3223" t="s">
        <v>27247</v>
      </c>
      <c r="H3223" t="s">
        <v>27248</v>
      </c>
      <c r="I3223" t="s">
        <v>33485</v>
      </c>
      <c r="J3223" t="s">
        <v>6453</v>
      </c>
      <c r="L3223" t="s">
        <v>27250</v>
      </c>
      <c r="M3223" t="s">
        <v>27251</v>
      </c>
      <c r="N3223" t="s">
        <v>27252</v>
      </c>
      <c r="Q3223" s="1">
        <v>44538</v>
      </c>
      <c r="R3223" t="s">
        <v>27253</v>
      </c>
      <c r="S3223" t="s">
        <v>27254</v>
      </c>
      <c r="T3223" t="s">
        <v>27255</v>
      </c>
    </row>
    <row r="3224" spans="1:20" x14ac:dyDescent="0.3">
      <c r="A3224" t="str">
        <f>"0611833475100"</f>
        <v>0611833475100</v>
      </c>
      <c r="B3224" t="str">
        <f>"LL1468"</f>
        <v>LL1468</v>
      </c>
      <c r="C3224" t="s">
        <v>33486</v>
      </c>
      <c r="D3224" t="s">
        <v>27245</v>
      </c>
      <c r="E3224" t="str">
        <f t="shared" si="50"/>
        <v>001390</v>
      </c>
      <c r="F3224" t="s">
        <v>27246</v>
      </c>
      <c r="G3224" t="s">
        <v>27247</v>
      </c>
      <c r="H3224" t="s">
        <v>27248</v>
      </c>
      <c r="I3224" t="s">
        <v>33487</v>
      </c>
      <c r="J3224" t="s">
        <v>6455</v>
      </c>
      <c r="L3224" t="s">
        <v>27250</v>
      </c>
      <c r="M3224" t="s">
        <v>27251</v>
      </c>
      <c r="N3224" t="s">
        <v>27252</v>
      </c>
      <c r="O3224">
        <v>100</v>
      </c>
      <c r="Q3224" s="1">
        <v>44538</v>
      </c>
      <c r="R3224" t="s">
        <v>27253</v>
      </c>
      <c r="S3224" t="s">
        <v>27254</v>
      </c>
      <c r="T3224" t="s">
        <v>27255</v>
      </c>
    </row>
    <row r="3225" spans="1:20" x14ac:dyDescent="0.3">
      <c r="A3225" t="str">
        <f>"0611833478100"</f>
        <v>0611833478100</v>
      </c>
      <c r="B3225" t="str">
        <f>"LL0117"</f>
        <v>LL0117</v>
      </c>
      <c r="C3225" t="s">
        <v>33488</v>
      </c>
      <c r="D3225" t="s">
        <v>27245</v>
      </c>
      <c r="E3225" t="str">
        <f t="shared" si="50"/>
        <v>001390</v>
      </c>
      <c r="F3225" t="s">
        <v>27246</v>
      </c>
      <c r="G3225" t="s">
        <v>27247</v>
      </c>
      <c r="H3225" t="s">
        <v>27248</v>
      </c>
      <c r="I3225" t="s">
        <v>33489</v>
      </c>
      <c r="J3225" t="s">
        <v>6457</v>
      </c>
      <c r="L3225" t="s">
        <v>27250</v>
      </c>
      <c r="M3225" t="s">
        <v>27251</v>
      </c>
      <c r="N3225" t="s">
        <v>27252</v>
      </c>
      <c r="Q3225" s="1">
        <v>44538</v>
      </c>
      <c r="R3225" t="s">
        <v>27253</v>
      </c>
      <c r="S3225" t="s">
        <v>27254</v>
      </c>
      <c r="T3225" t="s">
        <v>27255</v>
      </c>
    </row>
    <row r="3226" spans="1:20" x14ac:dyDescent="0.3">
      <c r="A3226" t="str">
        <f>"0611833480100"</f>
        <v>0611833480100</v>
      </c>
      <c r="B3226" t="str">
        <f>"LL1469"</f>
        <v>LL1469</v>
      </c>
      <c r="C3226" t="s">
        <v>33490</v>
      </c>
      <c r="D3226" t="s">
        <v>27245</v>
      </c>
      <c r="E3226" t="str">
        <f t="shared" si="50"/>
        <v>001390</v>
      </c>
      <c r="F3226" t="s">
        <v>27246</v>
      </c>
      <c r="G3226" t="s">
        <v>27247</v>
      </c>
      <c r="H3226" t="s">
        <v>27248</v>
      </c>
      <c r="I3226" t="s">
        <v>33491</v>
      </c>
      <c r="J3226" t="s">
        <v>6459</v>
      </c>
      <c r="L3226" t="s">
        <v>27250</v>
      </c>
      <c r="M3226" t="s">
        <v>27251</v>
      </c>
      <c r="N3226" t="s">
        <v>27252</v>
      </c>
      <c r="Q3226" s="1">
        <v>44538</v>
      </c>
      <c r="R3226" t="s">
        <v>27253</v>
      </c>
      <c r="S3226" t="s">
        <v>27254</v>
      </c>
      <c r="T3226" t="s">
        <v>27255</v>
      </c>
    </row>
    <row r="3227" spans="1:20" x14ac:dyDescent="0.3">
      <c r="A3227" t="str">
        <f>"0611833482100"</f>
        <v>0611833482100</v>
      </c>
      <c r="B3227" t="str">
        <f>"LL1470"</f>
        <v>LL1470</v>
      </c>
      <c r="C3227" t="s">
        <v>33492</v>
      </c>
      <c r="D3227" t="s">
        <v>27245</v>
      </c>
      <c r="E3227" t="str">
        <f t="shared" si="50"/>
        <v>001390</v>
      </c>
      <c r="F3227" t="s">
        <v>27246</v>
      </c>
      <c r="G3227" t="s">
        <v>27247</v>
      </c>
      <c r="H3227" t="s">
        <v>27248</v>
      </c>
      <c r="I3227" t="s">
        <v>33493</v>
      </c>
      <c r="J3227" t="s">
        <v>6461</v>
      </c>
      <c r="L3227" t="s">
        <v>27250</v>
      </c>
      <c r="M3227" t="s">
        <v>27251</v>
      </c>
      <c r="N3227" t="s">
        <v>27252</v>
      </c>
      <c r="Q3227" s="1">
        <v>44538</v>
      </c>
      <c r="R3227" t="s">
        <v>27253</v>
      </c>
      <c r="S3227" t="s">
        <v>27254</v>
      </c>
      <c r="T3227" t="s">
        <v>27255</v>
      </c>
    </row>
    <row r="3228" spans="1:20" x14ac:dyDescent="0.3">
      <c r="A3228" t="str">
        <f>"0611833483200"</f>
        <v>0611833483200</v>
      </c>
      <c r="B3228" t="str">
        <f>"KY1470"</f>
        <v>KY1470</v>
      </c>
      <c r="C3228" t="s">
        <v>33492</v>
      </c>
      <c r="D3228" t="s">
        <v>27682</v>
      </c>
      <c r="E3228" t="str">
        <f t="shared" si="50"/>
        <v>001390</v>
      </c>
      <c r="F3228" t="s">
        <v>27246</v>
      </c>
      <c r="G3228" t="s">
        <v>27247</v>
      </c>
      <c r="H3228" t="s">
        <v>27248</v>
      </c>
      <c r="I3228" t="s">
        <v>33494</v>
      </c>
      <c r="J3228" t="s">
        <v>6463</v>
      </c>
      <c r="L3228" t="s">
        <v>27250</v>
      </c>
      <c r="M3228" t="s">
        <v>27251</v>
      </c>
      <c r="N3228" t="s">
        <v>27252</v>
      </c>
      <c r="Q3228" s="1">
        <v>44538</v>
      </c>
      <c r="R3228" t="s">
        <v>27253</v>
      </c>
      <c r="S3228" t="s">
        <v>27254</v>
      </c>
      <c r="T3228" t="s">
        <v>27684</v>
      </c>
    </row>
    <row r="3229" spans="1:20" x14ac:dyDescent="0.3">
      <c r="A3229" t="str">
        <f>"0611833484100"</f>
        <v>0611833484100</v>
      </c>
      <c r="B3229" t="str">
        <f>"LL1471"</f>
        <v>LL1471</v>
      </c>
      <c r="C3229" t="s">
        <v>33495</v>
      </c>
      <c r="D3229" t="s">
        <v>27245</v>
      </c>
      <c r="E3229" t="str">
        <f t="shared" si="50"/>
        <v>001390</v>
      </c>
      <c r="F3229" t="s">
        <v>27246</v>
      </c>
      <c r="G3229" t="s">
        <v>27247</v>
      </c>
      <c r="H3229" t="s">
        <v>27248</v>
      </c>
      <c r="I3229" t="s">
        <v>33496</v>
      </c>
      <c r="J3229" t="s">
        <v>6465</v>
      </c>
      <c r="L3229" t="s">
        <v>27250</v>
      </c>
      <c r="M3229" t="s">
        <v>27251</v>
      </c>
      <c r="N3229" t="s">
        <v>27252</v>
      </c>
      <c r="Q3229" s="1">
        <v>44538</v>
      </c>
      <c r="R3229" t="s">
        <v>27253</v>
      </c>
      <c r="S3229" t="s">
        <v>27254</v>
      </c>
      <c r="T3229" t="s">
        <v>27255</v>
      </c>
    </row>
    <row r="3230" spans="1:20" x14ac:dyDescent="0.3">
      <c r="A3230" t="str">
        <f>"0611833485100"</f>
        <v>0611833485100</v>
      </c>
      <c r="B3230" t="str">
        <f>"LL1472"</f>
        <v>LL1472</v>
      </c>
      <c r="C3230" t="s">
        <v>33497</v>
      </c>
      <c r="D3230" t="s">
        <v>27245</v>
      </c>
      <c r="E3230" t="str">
        <f t="shared" si="50"/>
        <v>001390</v>
      </c>
      <c r="F3230" t="s">
        <v>27246</v>
      </c>
      <c r="G3230" t="s">
        <v>27247</v>
      </c>
      <c r="H3230" t="s">
        <v>27248</v>
      </c>
      <c r="I3230" t="s">
        <v>33498</v>
      </c>
      <c r="J3230" t="s">
        <v>6467</v>
      </c>
      <c r="L3230" t="s">
        <v>27250</v>
      </c>
      <c r="M3230" t="s">
        <v>27251</v>
      </c>
      <c r="N3230" t="s">
        <v>27252</v>
      </c>
      <c r="Q3230" s="1">
        <v>44538</v>
      </c>
      <c r="R3230" t="s">
        <v>27253</v>
      </c>
      <c r="S3230" t="s">
        <v>27254</v>
      </c>
      <c r="T3230" t="s">
        <v>27255</v>
      </c>
    </row>
    <row r="3231" spans="1:20" x14ac:dyDescent="0.3">
      <c r="A3231" t="str">
        <f>"0611833486100"</f>
        <v>0611833486100</v>
      </c>
      <c r="B3231" t="str">
        <f>"LL8182"</f>
        <v>LL8182</v>
      </c>
      <c r="C3231" t="s">
        <v>33499</v>
      </c>
      <c r="D3231" t="s">
        <v>27245</v>
      </c>
      <c r="E3231" t="str">
        <f t="shared" si="50"/>
        <v>001390</v>
      </c>
      <c r="F3231" t="s">
        <v>27246</v>
      </c>
      <c r="G3231" t="s">
        <v>27247</v>
      </c>
      <c r="H3231" t="s">
        <v>27248</v>
      </c>
      <c r="I3231" t="s">
        <v>33500</v>
      </c>
      <c r="J3231" t="s">
        <v>6469</v>
      </c>
      <c r="L3231" t="s">
        <v>27250</v>
      </c>
      <c r="M3231" t="s">
        <v>27251</v>
      </c>
      <c r="N3231" t="s">
        <v>27252</v>
      </c>
      <c r="Q3231" s="1">
        <v>44538</v>
      </c>
      <c r="R3231" t="s">
        <v>27253</v>
      </c>
      <c r="S3231" t="s">
        <v>27254</v>
      </c>
      <c r="T3231" t="s">
        <v>27255</v>
      </c>
    </row>
    <row r="3232" spans="1:20" x14ac:dyDescent="0.3">
      <c r="A3232" t="str">
        <f>"0611833487100"</f>
        <v>0611833487100</v>
      </c>
      <c r="B3232" t="str">
        <f>"LL1489"</f>
        <v>LL1489</v>
      </c>
      <c r="C3232" t="s">
        <v>33501</v>
      </c>
      <c r="D3232" t="s">
        <v>27245</v>
      </c>
      <c r="E3232" t="str">
        <f t="shared" si="50"/>
        <v>001390</v>
      </c>
      <c r="F3232" t="s">
        <v>27246</v>
      </c>
      <c r="G3232" t="s">
        <v>27247</v>
      </c>
      <c r="H3232" t="s">
        <v>27248</v>
      </c>
      <c r="I3232" t="s">
        <v>33502</v>
      </c>
      <c r="J3232" t="s">
        <v>6471</v>
      </c>
      <c r="L3232" t="s">
        <v>27250</v>
      </c>
      <c r="M3232" t="s">
        <v>27251</v>
      </c>
      <c r="N3232" t="s">
        <v>27252</v>
      </c>
      <c r="Q3232" s="1">
        <v>44538</v>
      </c>
      <c r="R3232" t="s">
        <v>27253</v>
      </c>
      <c r="S3232" t="s">
        <v>27254</v>
      </c>
      <c r="T3232" t="s">
        <v>27255</v>
      </c>
    </row>
    <row r="3233" spans="1:20" x14ac:dyDescent="0.3">
      <c r="A3233" t="str">
        <f>"0611833488100"</f>
        <v>0611833488100</v>
      </c>
      <c r="B3233" t="str">
        <f>"LL1475"</f>
        <v>LL1475</v>
      </c>
      <c r="C3233" t="s">
        <v>33503</v>
      </c>
      <c r="D3233" t="s">
        <v>27245</v>
      </c>
      <c r="E3233" t="str">
        <f t="shared" si="50"/>
        <v>001390</v>
      </c>
      <c r="F3233" t="s">
        <v>27246</v>
      </c>
      <c r="G3233" t="s">
        <v>27247</v>
      </c>
      <c r="H3233" t="s">
        <v>27248</v>
      </c>
      <c r="I3233" t="s">
        <v>33504</v>
      </c>
      <c r="J3233" t="s">
        <v>6473</v>
      </c>
      <c r="L3233" t="s">
        <v>27250</v>
      </c>
      <c r="M3233" t="s">
        <v>27251</v>
      </c>
      <c r="N3233" t="s">
        <v>27252</v>
      </c>
      <c r="Q3233" s="1">
        <v>44538</v>
      </c>
      <c r="R3233" t="s">
        <v>27253</v>
      </c>
      <c r="S3233" t="s">
        <v>27254</v>
      </c>
      <c r="T3233" t="s">
        <v>27255</v>
      </c>
    </row>
    <row r="3234" spans="1:20" x14ac:dyDescent="0.3">
      <c r="A3234" t="str">
        <f>"0611833489200"</f>
        <v>0611833489200</v>
      </c>
      <c r="B3234" t="str">
        <f>"KY1475"</f>
        <v>KY1475</v>
      </c>
      <c r="C3234" t="s">
        <v>33503</v>
      </c>
      <c r="D3234" t="s">
        <v>27682</v>
      </c>
      <c r="E3234" t="str">
        <f t="shared" si="50"/>
        <v>001390</v>
      </c>
      <c r="F3234" t="s">
        <v>27246</v>
      </c>
      <c r="G3234" t="s">
        <v>27247</v>
      </c>
      <c r="H3234" t="s">
        <v>27248</v>
      </c>
      <c r="I3234" t="s">
        <v>33505</v>
      </c>
      <c r="J3234" t="s">
        <v>6475</v>
      </c>
      <c r="L3234" t="s">
        <v>27250</v>
      </c>
      <c r="M3234" t="s">
        <v>27251</v>
      </c>
      <c r="N3234" t="s">
        <v>27252</v>
      </c>
      <c r="Q3234" s="1">
        <v>44538</v>
      </c>
      <c r="R3234" t="s">
        <v>27253</v>
      </c>
      <c r="S3234" t="s">
        <v>27254</v>
      </c>
      <c r="T3234" t="s">
        <v>27684</v>
      </c>
    </row>
    <row r="3235" spans="1:20" x14ac:dyDescent="0.3">
      <c r="A3235" t="str">
        <f>"0611833490100"</f>
        <v>0611833490100</v>
      </c>
      <c r="B3235" t="str">
        <f>"LL1480"</f>
        <v>LL1480</v>
      </c>
      <c r="C3235" t="s">
        <v>33506</v>
      </c>
      <c r="D3235" t="s">
        <v>27245</v>
      </c>
      <c r="E3235" t="str">
        <f t="shared" si="50"/>
        <v>001390</v>
      </c>
      <c r="F3235" t="s">
        <v>27246</v>
      </c>
      <c r="G3235" t="s">
        <v>27247</v>
      </c>
      <c r="H3235" t="s">
        <v>27248</v>
      </c>
      <c r="I3235" t="s">
        <v>33507</v>
      </c>
      <c r="J3235" t="s">
        <v>6477</v>
      </c>
      <c r="L3235" t="s">
        <v>27250</v>
      </c>
      <c r="M3235" t="s">
        <v>27251</v>
      </c>
      <c r="N3235" t="s">
        <v>27252</v>
      </c>
      <c r="Q3235" s="1">
        <v>44538</v>
      </c>
      <c r="R3235" t="s">
        <v>27253</v>
      </c>
      <c r="S3235" t="s">
        <v>27254</v>
      </c>
      <c r="T3235" t="s">
        <v>27255</v>
      </c>
    </row>
    <row r="3236" spans="1:20" x14ac:dyDescent="0.3">
      <c r="A3236" t="str">
        <f>"0611833492100"</f>
        <v>0611833492100</v>
      </c>
      <c r="B3236" t="str">
        <f>"LL1667"</f>
        <v>LL1667</v>
      </c>
      <c r="C3236" t="s">
        <v>33508</v>
      </c>
      <c r="D3236" t="s">
        <v>27245</v>
      </c>
      <c r="E3236" t="str">
        <f t="shared" si="50"/>
        <v>001390</v>
      </c>
      <c r="F3236" t="s">
        <v>27246</v>
      </c>
      <c r="G3236" t="s">
        <v>27247</v>
      </c>
      <c r="H3236" t="s">
        <v>27248</v>
      </c>
      <c r="I3236" t="s">
        <v>33509</v>
      </c>
      <c r="J3236" t="s">
        <v>6479</v>
      </c>
      <c r="L3236" t="s">
        <v>27250</v>
      </c>
      <c r="M3236" t="s">
        <v>27251</v>
      </c>
      <c r="N3236" t="s">
        <v>27252</v>
      </c>
      <c r="Q3236" s="1">
        <v>44538</v>
      </c>
      <c r="R3236" t="s">
        <v>27253</v>
      </c>
      <c r="S3236" t="s">
        <v>27254</v>
      </c>
      <c r="T3236" t="s">
        <v>27255</v>
      </c>
    </row>
    <row r="3237" spans="1:20" x14ac:dyDescent="0.3">
      <c r="A3237" t="str">
        <f>"0611833495100"</f>
        <v>0611833495100</v>
      </c>
      <c r="B3237" t="str">
        <f>"LL1488"</f>
        <v>LL1488</v>
      </c>
      <c r="C3237" t="s">
        <v>33510</v>
      </c>
      <c r="D3237" t="s">
        <v>27245</v>
      </c>
      <c r="E3237" t="str">
        <f t="shared" si="50"/>
        <v>001390</v>
      </c>
      <c r="F3237" t="s">
        <v>27246</v>
      </c>
      <c r="G3237" t="s">
        <v>27247</v>
      </c>
      <c r="H3237" t="s">
        <v>27248</v>
      </c>
      <c r="I3237" t="s">
        <v>33511</v>
      </c>
      <c r="J3237" t="s">
        <v>6481</v>
      </c>
      <c r="L3237" t="s">
        <v>27250</v>
      </c>
      <c r="M3237" t="s">
        <v>27251</v>
      </c>
      <c r="N3237" t="s">
        <v>27252</v>
      </c>
      <c r="Q3237" s="1">
        <v>44538</v>
      </c>
      <c r="R3237" t="s">
        <v>27253</v>
      </c>
      <c r="S3237" t="s">
        <v>27254</v>
      </c>
      <c r="T3237" t="s">
        <v>27255</v>
      </c>
    </row>
    <row r="3238" spans="1:20" x14ac:dyDescent="0.3">
      <c r="A3238" t="str">
        <f>"0611833497100"</f>
        <v>0611833497100</v>
      </c>
      <c r="B3238" t="str">
        <f>"LL1490"</f>
        <v>LL1490</v>
      </c>
      <c r="C3238" t="s">
        <v>33512</v>
      </c>
      <c r="D3238" t="s">
        <v>27245</v>
      </c>
      <c r="E3238" t="str">
        <f t="shared" si="50"/>
        <v>001390</v>
      </c>
      <c r="F3238" t="s">
        <v>27246</v>
      </c>
      <c r="G3238" t="s">
        <v>27247</v>
      </c>
      <c r="H3238" t="s">
        <v>27248</v>
      </c>
      <c r="I3238" t="s">
        <v>33513</v>
      </c>
      <c r="J3238" t="s">
        <v>6491</v>
      </c>
      <c r="L3238" t="s">
        <v>27250</v>
      </c>
      <c r="M3238" t="s">
        <v>27251</v>
      </c>
      <c r="N3238" t="s">
        <v>27252</v>
      </c>
      <c r="Q3238" s="1">
        <v>44538</v>
      </c>
      <c r="R3238" t="s">
        <v>27253</v>
      </c>
      <c r="S3238" t="s">
        <v>27254</v>
      </c>
      <c r="T3238" t="s">
        <v>27255</v>
      </c>
    </row>
    <row r="3239" spans="1:20" x14ac:dyDescent="0.3">
      <c r="A3239" t="str">
        <f>"0611833498200"</f>
        <v>0611833498200</v>
      </c>
      <c r="B3239" t="str">
        <f>"KY1490"</f>
        <v>KY1490</v>
      </c>
      <c r="C3239" t="s">
        <v>33512</v>
      </c>
      <c r="D3239" t="s">
        <v>27682</v>
      </c>
      <c r="E3239" t="str">
        <f t="shared" si="50"/>
        <v>001390</v>
      </c>
      <c r="F3239" t="s">
        <v>27246</v>
      </c>
      <c r="G3239" t="s">
        <v>27247</v>
      </c>
      <c r="H3239" t="s">
        <v>27248</v>
      </c>
      <c r="I3239" t="s">
        <v>33514</v>
      </c>
      <c r="J3239" t="s">
        <v>6493</v>
      </c>
      <c r="L3239" t="s">
        <v>27250</v>
      </c>
      <c r="M3239" t="s">
        <v>27251</v>
      </c>
      <c r="N3239" t="s">
        <v>27252</v>
      </c>
      <c r="Q3239" s="1">
        <v>44538</v>
      </c>
      <c r="R3239" t="s">
        <v>27253</v>
      </c>
      <c r="S3239" t="s">
        <v>27254</v>
      </c>
      <c r="T3239" t="s">
        <v>27684</v>
      </c>
    </row>
    <row r="3240" spans="1:20" x14ac:dyDescent="0.3">
      <c r="A3240" t="str">
        <f>"0611833500100"</f>
        <v>0611833500100</v>
      </c>
      <c r="B3240" t="str">
        <f>"LL8183"</f>
        <v>LL8183</v>
      </c>
      <c r="C3240" t="s">
        <v>33515</v>
      </c>
      <c r="D3240" t="s">
        <v>27245</v>
      </c>
      <c r="E3240" t="str">
        <f t="shared" si="50"/>
        <v>001390</v>
      </c>
      <c r="F3240" t="s">
        <v>27246</v>
      </c>
      <c r="G3240" t="s">
        <v>27247</v>
      </c>
      <c r="H3240" t="s">
        <v>27248</v>
      </c>
      <c r="I3240" t="s">
        <v>33516</v>
      </c>
      <c r="J3240" t="s">
        <v>6483</v>
      </c>
      <c r="L3240" t="s">
        <v>27250</v>
      </c>
      <c r="M3240" t="s">
        <v>27251</v>
      </c>
      <c r="N3240" t="s">
        <v>27252</v>
      </c>
      <c r="Q3240" s="1">
        <v>44538</v>
      </c>
      <c r="R3240" t="s">
        <v>27253</v>
      </c>
      <c r="S3240" t="s">
        <v>27254</v>
      </c>
      <c r="T3240" t="s">
        <v>27255</v>
      </c>
    </row>
    <row r="3241" spans="1:20" x14ac:dyDescent="0.3">
      <c r="A3241" t="str">
        <f>"0611833502100"</f>
        <v>0611833502100</v>
      </c>
      <c r="B3241" t="str">
        <f>"LL1492"</f>
        <v>LL1492</v>
      </c>
      <c r="C3241" t="s">
        <v>33517</v>
      </c>
      <c r="D3241" t="s">
        <v>27245</v>
      </c>
      <c r="E3241" t="str">
        <f t="shared" si="50"/>
        <v>001390</v>
      </c>
      <c r="F3241" t="s">
        <v>27246</v>
      </c>
      <c r="G3241" t="s">
        <v>27247</v>
      </c>
      <c r="H3241" t="s">
        <v>27248</v>
      </c>
      <c r="I3241" t="s">
        <v>33518</v>
      </c>
      <c r="J3241" t="s">
        <v>6485</v>
      </c>
      <c r="L3241" t="s">
        <v>27250</v>
      </c>
      <c r="M3241" t="s">
        <v>27251</v>
      </c>
      <c r="N3241" t="s">
        <v>27252</v>
      </c>
      <c r="Q3241" s="1">
        <v>44538</v>
      </c>
      <c r="R3241" t="s">
        <v>27253</v>
      </c>
      <c r="S3241" t="s">
        <v>27254</v>
      </c>
      <c r="T3241" t="s">
        <v>27255</v>
      </c>
    </row>
    <row r="3242" spans="1:20" x14ac:dyDescent="0.3">
      <c r="A3242" t="str">
        <f>"0611833507100"</f>
        <v>0611833507100</v>
      </c>
      <c r="B3242" t="str">
        <f>"LL1494"</f>
        <v>LL1494</v>
      </c>
      <c r="C3242" t="s">
        <v>33519</v>
      </c>
      <c r="D3242" t="s">
        <v>27245</v>
      </c>
      <c r="E3242" t="str">
        <f t="shared" si="50"/>
        <v>001390</v>
      </c>
      <c r="F3242" t="s">
        <v>27246</v>
      </c>
      <c r="G3242" t="s">
        <v>27247</v>
      </c>
      <c r="H3242" t="s">
        <v>27248</v>
      </c>
      <c r="I3242" t="s">
        <v>33520</v>
      </c>
      <c r="J3242" t="s">
        <v>6487</v>
      </c>
      <c r="L3242" t="s">
        <v>27250</v>
      </c>
      <c r="M3242" t="s">
        <v>27251</v>
      </c>
      <c r="N3242" t="s">
        <v>27252</v>
      </c>
      <c r="Q3242" s="1">
        <v>44538</v>
      </c>
      <c r="R3242" t="s">
        <v>27253</v>
      </c>
      <c r="S3242" t="s">
        <v>27254</v>
      </c>
      <c r="T3242" t="s">
        <v>27255</v>
      </c>
    </row>
    <row r="3243" spans="1:20" x14ac:dyDescent="0.3">
      <c r="A3243" t="str">
        <f>"0611833510100"</f>
        <v>0611833510100</v>
      </c>
      <c r="B3243" t="str">
        <f>"LL1664"</f>
        <v>LL1664</v>
      </c>
      <c r="C3243" t="s">
        <v>33521</v>
      </c>
      <c r="D3243" t="s">
        <v>27245</v>
      </c>
      <c r="E3243" t="str">
        <f t="shared" si="50"/>
        <v>001390</v>
      </c>
      <c r="F3243" t="s">
        <v>27246</v>
      </c>
      <c r="G3243" t="s">
        <v>27247</v>
      </c>
      <c r="H3243" t="s">
        <v>27248</v>
      </c>
      <c r="I3243" t="s">
        <v>33522</v>
      </c>
      <c r="J3243" t="s">
        <v>6489</v>
      </c>
      <c r="L3243" t="s">
        <v>27250</v>
      </c>
      <c r="M3243" t="s">
        <v>27251</v>
      </c>
      <c r="N3243" t="s">
        <v>27252</v>
      </c>
      <c r="Q3243" s="1">
        <v>44538</v>
      </c>
      <c r="R3243" t="s">
        <v>27253</v>
      </c>
      <c r="S3243" t="s">
        <v>27254</v>
      </c>
      <c r="T3243" t="s">
        <v>27255</v>
      </c>
    </row>
    <row r="3244" spans="1:20" x14ac:dyDescent="0.3">
      <c r="A3244" t="str">
        <f>"0611833511100"</f>
        <v>0611833511100</v>
      </c>
      <c r="B3244" t="str">
        <f>"LL8306"</f>
        <v>LL8306</v>
      </c>
      <c r="C3244" t="s">
        <v>33523</v>
      </c>
      <c r="D3244" t="s">
        <v>27245</v>
      </c>
      <c r="E3244" t="str">
        <f t="shared" si="50"/>
        <v>001390</v>
      </c>
      <c r="F3244" t="s">
        <v>27246</v>
      </c>
      <c r="G3244" t="s">
        <v>27247</v>
      </c>
      <c r="H3244" t="s">
        <v>27248</v>
      </c>
      <c r="I3244" t="s">
        <v>33524</v>
      </c>
      <c r="J3244" t="s">
        <v>6495</v>
      </c>
      <c r="L3244" t="s">
        <v>27250</v>
      </c>
      <c r="M3244" t="s">
        <v>27251</v>
      </c>
      <c r="N3244" t="s">
        <v>27252</v>
      </c>
      <c r="Q3244" s="1">
        <v>44538</v>
      </c>
      <c r="R3244" t="s">
        <v>27253</v>
      </c>
      <c r="S3244" t="s">
        <v>27254</v>
      </c>
      <c r="T3244" t="s">
        <v>27255</v>
      </c>
    </row>
    <row r="3245" spans="1:20" x14ac:dyDescent="0.3">
      <c r="A3245" t="str">
        <f>"0611833513100"</f>
        <v>0611833513100</v>
      </c>
      <c r="B3245" t="str">
        <f>"LL0056"</f>
        <v>LL0056</v>
      </c>
      <c r="C3245" t="s">
        <v>33525</v>
      </c>
      <c r="D3245" t="s">
        <v>27245</v>
      </c>
      <c r="E3245" t="str">
        <f t="shared" si="50"/>
        <v>001390</v>
      </c>
      <c r="F3245" t="s">
        <v>27246</v>
      </c>
      <c r="G3245" t="s">
        <v>27247</v>
      </c>
      <c r="H3245" t="s">
        <v>27248</v>
      </c>
      <c r="I3245" t="s">
        <v>33526</v>
      </c>
      <c r="J3245" t="s">
        <v>6497</v>
      </c>
      <c r="L3245" t="s">
        <v>27250</v>
      </c>
      <c r="M3245" t="s">
        <v>27251</v>
      </c>
      <c r="N3245" t="s">
        <v>27252</v>
      </c>
      <c r="Q3245" s="1">
        <v>44538</v>
      </c>
      <c r="R3245" t="s">
        <v>27253</v>
      </c>
      <c r="S3245" t="s">
        <v>27254</v>
      </c>
      <c r="T3245" t="s">
        <v>27255</v>
      </c>
    </row>
    <row r="3246" spans="1:20" x14ac:dyDescent="0.3">
      <c r="A3246" t="str">
        <f>"0611833515100"</f>
        <v>0611833515100</v>
      </c>
      <c r="B3246" t="str">
        <f>"LL1486"</f>
        <v>LL1486</v>
      </c>
      <c r="C3246" t="s">
        <v>33527</v>
      </c>
      <c r="D3246" t="s">
        <v>27245</v>
      </c>
      <c r="E3246" t="str">
        <f t="shared" si="50"/>
        <v>001390</v>
      </c>
      <c r="F3246" t="s">
        <v>27246</v>
      </c>
      <c r="G3246" t="s">
        <v>27247</v>
      </c>
      <c r="H3246" t="s">
        <v>27248</v>
      </c>
      <c r="I3246" t="s">
        <v>33528</v>
      </c>
      <c r="J3246" t="s">
        <v>6499</v>
      </c>
      <c r="L3246" t="s">
        <v>27250</v>
      </c>
      <c r="M3246" t="s">
        <v>27251</v>
      </c>
      <c r="N3246" t="s">
        <v>27252</v>
      </c>
      <c r="Q3246" s="1">
        <v>44538</v>
      </c>
      <c r="R3246" t="s">
        <v>27253</v>
      </c>
      <c r="S3246" t="s">
        <v>27254</v>
      </c>
      <c r="T3246" t="s">
        <v>27255</v>
      </c>
    </row>
    <row r="3247" spans="1:20" x14ac:dyDescent="0.3">
      <c r="A3247" t="str">
        <f>"0611833520100"</f>
        <v>0611833520100</v>
      </c>
      <c r="B3247" t="str">
        <f>"LL1500"</f>
        <v>LL1500</v>
      </c>
      <c r="C3247" t="s">
        <v>33529</v>
      </c>
      <c r="D3247" t="s">
        <v>27245</v>
      </c>
      <c r="E3247" t="str">
        <f t="shared" si="50"/>
        <v>001390</v>
      </c>
      <c r="F3247" t="s">
        <v>27246</v>
      </c>
      <c r="G3247" t="s">
        <v>27247</v>
      </c>
      <c r="H3247" t="s">
        <v>27248</v>
      </c>
      <c r="I3247" t="s">
        <v>33530</v>
      </c>
      <c r="J3247" t="s">
        <v>6501</v>
      </c>
      <c r="L3247" t="s">
        <v>27250</v>
      </c>
      <c r="M3247" t="s">
        <v>27251</v>
      </c>
      <c r="N3247" t="s">
        <v>27252</v>
      </c>
      <c r="Q3247" s="1">
        <v>44538</v>
      </c>
      <c r="R3247" t="s">
        <v>27253</v>
      </c>
      <c r="S3247" t="s">
        <v>27254</v>
      </c>
      <c r="T3247" t="s">
        <v>27255</v>
      </c>
    </row>
    <row r="3248" spans="1:20" x14ac:dyDescent="0.3">
      <c r="A3248" t="str">
        <f>"0611833522100"</f>
        <v>0611833522100</v>
      </c>
      <c r="B3248" t="str">
        <f>"LL1555"</f>
        <v>LL1555</v>
      </c>
      <c r="C3248" t="s">
        <v>33531</v>
      </c>
      <c r="D3248" t="s">
        <v>27245</v>
      </c>
      <c r="E3248" t="str">
        <f t="shared" si="50"/>
        <v>001390</v>
      </c>
      <c r="F3248" t="s">
        <v>27246</v>
      </c>
      <c r="G3248" t="s">
        <v>27247</v>
      </c>
      <c r="H3248" t="s">
        <v>27248</v>
      </c>
      <c r="I3248" t="s">
        <v>33532</v>
      </c>
      <c r="J3248" t="s">
        <v>6503</v>
      </c>
      <c r="L3248" t="s">
        <v>27250</v>
      </c>
      <c r="M3248" t="s">
        <v>27251</v>
      </c>
      <c r="N3248" t="s">
        <v>27252</v>
      </c>
      <c r="Q3248" s="1">
        <v>44538</v>
      </c>
      <c r="R3248" t="s">
        <v>27253</v>
      </c>
      <c r="S3248" t="s">
        <v>27254</v>
      </c>
      <c r="T3248" t="s">
        <v>27255</v>
      </c>
    </row>
    <row r="3249" spans="1:20" x14ac:dyDescent="0.3">
      <c r="A3249" t="str">
        <f>"0611833524100"</f>
        <v>0611833524100</v>
      </c>
      <c r="B3249" t="str">
        <f>"LL1560"</f>
        <v>LL1560</v>
      </c>
      <c r="C3249" t="s">
        <v>33533</v>
      </c>
      <c r="D3249" t="s">
        <v>27245</v>
      </c>
      <c r="E3249" t="str">
        <f t="shared" si="50"/>
        <v>001390</v>
      </c>
      <c r="F3249" t="s">
        <v>27246</v>
      </c>
      <c r="G3249" t="s">
        <v>27247</v>
      </c>
      <c r="H3249" t="s">
        <v>27248</v>
      </c>
      <c r="I3249" t="s">
        <v>33534</v>
      </c>
      <c r="J3249" t="s">
        <v>6505</v>
      </c>
      <c r="L3249" t="s">
        <v>27250</v>
      </c>
      <c r="M3249" t="s">
        <v>27251</v>
      </c>
      <c r="N3249" t="s">
        <v>27252</v>
      </c>
      <c r="Q3249" s="1">
        <v>44538</v>
      </c>
      <c r="R3249" t="s">
        <v>27253</v>
      </c>
      <c r="S3249" t="s">
        <v>27254</v>
      </c>
      <c r="T3249" t="s">
        <v>27255</v>
      </c>
    </row>
    <row r="3250" spans="1:20" x14ac:dyDescent="0.3">
      <c r="A3250" t="str">
        <f>"0611833526100"</f>
        <v>0611833526100</v>
      </c>
      <c r="B3250" t="str">
        <f>"LL1585"</f>
        <v>LL1585</v>
      </c>
      <c r="C3250" t="s">
        <v>33535</v>
      </c>
      <c r="D3250" t="s">
        <v>27245</v>
      </c>
      <c r="E3250" t="str">
        <f t="shared" si="50"/>
        <v>001390</v>
      </c>
      <c r="F3250" t="s">
        <v>27246</v>
      </c>
      <c r="G3250" t="s">
        <v>27247</v>
      </c>
      <c r="H3250" t="s">
        <v>27248</v>
      </c>
      <c r="I3250" t="s">
        <v>33536</v>
      </c>
      <c r="J3250" t="s">
        <v>6507</v>
      </c>
      <c r="L3250" t="s">
        <v>27250</v>
      </c>
      <c r="M3250" t="s">
        <v>27251</v>
      </c>
      <c r="N3250" t="s">
        <v>27252</v>
      </c>
      <c r="Q3250" s="1">
        <v>44538</v>
      </c>
      <c r="R3250" t="s">
        <v>27253</v>
      </c>
      <c r="S3250" t="s">
        <v>27254</v>
      </c>
      <c r="T3250" t="s">
        <v>27255</v>
      </c>
    </row>
    <row r="3251" spans="1:20" x14ac:dyDescent="0.3">
      <c r="A3251" t="str">
        <f>"0611833527200"</f>
        <v>0611833527200</v>
      </c>
      <c r="B3251" t="str">
        <f>"KY1585"</f>
        <v>KY1585</v>
      </c>
      <c r="C3251" t="s">
        <v>33535</v>
      </c>
      <c r="D3251" t="s">
        <v>27682</v>
      </c>
      <c r="E3251" t="str">
        <f t="shared" si="50"/>
        <v>001390</v>
      </c>
      <c r="F3251" t="s">
        <v>27246</v>
      </c>
      <c r="G3251" t="s">
        <v>27247</v>
      </c>
      <c r="H3251" t="s">
        <v>27248</v>
      </c>
      <c r="I3251" t="s">
        <v>33537</v>
      </c>
      <c r="J3251" t="s">
        <v>6509</v>
      </c>
      <c r="L3251" t="s">
        <v>27250</v>
      </c>
      <c r="M3251" t="s">
        <v>27251</v>
      </c>
      <c r="N3251" t="s">
        <v>27252</v>
      </c>
      <c r="Q3251" s="1">
        <v>44538</v>
      </c>
      <c r="R3251" t="s">
        <v>27253</v>
      </c>
      <c r="S3251" t="s">
        <v>27254</v>
      </c>
      <c r="T3251" t="s">
        <v>27684</v>
      </c>
    </row>
    <row r="3252" spans="1:20" x14ac:dyDescent="0.3">
      <c r="A3252" t="str">
        <f>"0611833528100"</f>
        <v>0611833528100</v>
      </c>
      <c r="B3252" t="str">
        <f>"LL1586"</f>
        <v>LL1586</v>
      </c>
      <c r="C3252" t="s">
        <v>33538</v>
      </c>
      <c r="D3252" t="s">
        <v>27245</v>
      </c>
      <c r="E3252" t="str">
        <f t="shared" si="50"/>
        <v>001390</v>
      </c>
      <c r="F3252" t="s">
        <v>27246</v>
      </c>
      <c r="G3252" t="s">
        <v>27247</v>
      </c>
      <c r="H3252" t="s">
        <v>27248</v>
      </c>
      <c r="I3252" t="s">
        <v>33539</v>
      </c>
      <c r="J3252" t="s">
        <v>6511</v>
      </c>
      <c r="L3252" t="s">
        <v>27250</v>
      </c>
      <c r="M3252" t="s">
        <v>27251</v>
      </c>
      <c r="N3252" t="s">
        <v>27252</v>
      </c>
      <c r="Q3252" s="1">
        <v>44538</v>
      </c>
      <c r="R3252" t="s">
        <v>27253</v>
      </c>
      <c r="S3252" t="s">
        <v>27254</v>
      </c>
      <c r="T3252" t="s">
        <v>27255</v>
      </c>
    </row>
    <row r="3253" spans="1:20" x14ac:dyDescent="0.3">
      <c r="A3253" t="str">
        <f>"0611833529100"</f>
        <v>0611833529100</v>
      </c>
      <c r="B3253" t="str">
        <f>"LL8307"</f>
        <v>LL8307</v>
      </c>
      <c r="C3253" t="s">
        <v>33540</v>
      </c>
      <c r="D3253" t="s">
        <v>27245</v>
      </c>
      <c r="E3253" t="str">
        <f t="shared" si="50"/>
        <v>001390</v>
      </c>
      <c r="F3253" t="s">
        <v>27246</v>
      </c>
      <c r="G3253" t="s">
        <v>27247</v>
      </c>
      <c r="H3253" t="s">
        <v>27248</v>
      </c>
      <c r="I3253" t="s">
        <v>33541</v>
      </c>
      <c r="J3253" t="s">
        <v>6513</v>
      </c>
      <c r="L3253" t="s">
        <v>27250</v>
      </c>
      <c r="M3253" t="s">
        <v>27251</v>
      </c>
      <c r="N3253" t="s">
        <v>27252</v>
      </c>
      <c r="Q3253" s="1">
        <v>44538</v>
      </c>
      <c r="R3253" t="s">
        <v>27253</v>
      </c>
      <c r="S3253" t="s">
        <v>27254</v>
      </c>
      <c r="T3253" t="s">
        <v>27255</v>
      </c>
    </row>
    <row r="3254" spans="1:20" x14ac:dyDescent="0.3">
      <c r="A3254" t="str">
        <f>"0611833532100"</f>
        <v>0611833532100</v>
      </c>
      <c r="B3254" t="str">
        <f>"LL1501"</f>
        <v>LL1501</v>
      </c>
      <c r="C3254" t="s">
        <v>33542</v>
      </c>
      <c r="D3254" t="s">
        <v>27245</v>
      </c>
      <c r="E3254" t="str">
        <f t="shared" si="50"/>
        <v>001390</v>
      </c>
      <c r="F3254" t="s">
        <v>27246</v>
      </c>
      <c r="G3254" t="s">
        <v>27247</v>
      </c>
      <c r="H3254" t="s">
        <v>27248</v>
      </c>
      <c r="I3254" t="s">
        <v>33543</v>
      </c>
      <c r="J3254" t="s">
        <v>6517</v>
      </c>
      <c r="L3254" t="s">
        <v>27250</v>
      </c>
      <c r="M3254" t="s">
        <v>27251</v>
      </c>
      <c r="N3254" t="s">
        <v>27252</v>
      </c>
      <c r="Q3254" s="1">
        <v>44538</v>
      </c>
      <c r="R3254" t="s">
        <v>27253</v>
      </c>
      <c r="S3254" t="s">
        <v>27254</v>
      </c>
      <c r="T3254" t="s">
        <v>27255</v>
      </c>
    </row>
    <row r="3255" spans="1:20" x14ac:dyDescent="0.3">
      <c r="A3255" t="str">
        <f>"0611833533100"</f>
        <v>0611833533100</v>
      </c>
      <c r="B3255" t="str">
        <f>"LL8137"</f>
        <v>LL8137</v>
      </c>
      <c r="C3255" t="s">
        <v>33544</v>
      </c>
      <c r="D3255" t="s">
        <v>27245</v>
      </c>
      <c r="E3255" t="str">
        <f t="shared" si="50"/>
        <v>001390</v>
      </c>
      <c r="F3255" t="s">
        <v>27246</v>
      </c>
      <c r="G3255" t="s">
        <v>27247</v>
      </c>
      <c r="H3255" t="s">
        <v>27248</v>
      </c>
      <c r="I3255" t="s">
        <v>33545</v>
      </c>
      <c r="J3255" t="s">
        <v>6519</v>
      </c>
      <c r="L3255" t="s">
        <v>27250</v>
      </c>
      <c r="M3255" t="s">
        <v>27251</v>
      </c>
      <c r="N3255" t="s">
        <v>27252</v>
      </c>
      <c r="Q3255" s="1">
        <v>44538</v>
      </c>
      <c r="R3255" t="s">
        <v>27253</v>
      </c>
      <c r="S3255" t="s">
        <v>27254</v>
      </c>
      <c r="T3255" t="s">
        <v>27255</v>
      </c>
    </row>
    <row r="3256" spans="1:20" x14ac:dyDescent="0.3">
      <c r="A3256" t="str">
        <f>"0611833536100"</f>
        <v>0611833536100</v>
      </c>
      <c r="B3256" t="str">
        <f>"LL1603"</f>
        <v>LL1603</v>
      </c>
      <c r="C3256" t="s">
        <v>33546</v>
      </c>
      <c r="D3256" t="s">
        <v>27245</v>
      </c>
      <c r="E3256" t="str">
        <f t="shared" si="50"/>
        <v>001390</v>
      </c>
      <c r="F3256" t="s">
        <v>27246</v>
      </c>
      <c r="G3256" t="s">
        <v>27247</v>
      </c>
      <c r="H3256" t="s">
        <v>27248</v>
      </c>
      <c r="I3256" t="s">
        <v>33547</v>
      </c>
      <c r="J3256" t="s">
        <v>6521</v>
      </c>
      <c r="L3256" t="s">
        <v>27250</v>
      </c>
      <c r="M3256" t="s">
        <v>27251</v>
      </c>
      <c r="N3256" t="s">
        <v>27252</v>
      </c>
      <c r="Q3256" s="1">
        <v>44538</v>
      </c>
      <c r="R3256" t="s">
        <v>27253</v>
      </c>
      <c r="S3256" t="s">
        <v>27254</v>
      </c>
      <c r="T3256" t="s">
        <v>27255</v>
      </c>
    </row>
    <row r="3257" spans="1:20" x14ac:dyDescent="0.3">
      <c r="A3257" t="str">
        <f>"0611833537100"</f>
        <v>0611833537100</v>
      </c>
      <c r="B3257" t="str">
        <f>"LL1691"</f>
        <v>LL1691</v>
      </c>
      <c r="C3257" t="s">
        <v>33548</v>
      </c>
      <c r="D3257" t="s">
        <v>27245</v>
      </c>
      <c r="E3257" t="str">
        <f t="shared" si="50"/>
        <v>001390</v>
      </c>
      <c r="F3257" t="s">
        <v>27246</v>
      </c>
      <c r="G3257" t="s">
        <v>27247</v>
      </c>
      <c r="H3257" t="s">
        <v>27248</v>
      </c>
      <c r="I3257" t="s">
        <v>33549</v>
      </c>
      <c r="J3257" t="s">
        <v>6523</v>
      </c>
      <c r="L3257" t="s">
        <v>27250</v>
      </c>
      <c r="M3257" t="s">
        <v>27251</v>
      </c>
      <c r="N3257" t="s">
        <v>27252</v>
      </c>
      <c r="Q3257" s="1">
        <v>44538</v>
      </c>
      <c r="R3257" t="s">
        <v>27253</v>
      </c>
      <c r="S3257" t="s">
        <v>27254</v>
      </c>
      <c r="T3257" t="s">
        <v>27255</v>
      </c>
    </row>
    <row r="3258" spans="1:20" x14ac:dyDescent="0.3">
      <c r="A3258" t="str">
        <f>"0611833538100"</f>
        <v>0611833538100</v>
      </c>
      <c r="B3258" t="str">
        <f>"LL8037"</f>
        <v>LL8037</v>
      </c>
      <c r="C3258" t="s">
        <v>33550</v>
      </c>
      <c r="D3258" t="s">
        <v>27245</v>
      </c>
      <c r="E3258" t="str">
        <f t="shared" si="50"/>
        <v>001390</v>
      </c>
      <c r="F3258" t="s">
        <v>27246</v>
      </c>
      <c r="G3258" t="s">
        <v>27247</v>
      </c>
      <c r="H3258" t="s">
        <v>27248</v>
      </c>
      <c r="I3258" t="s">
        <v>33551</v>
      </c>
      <c r="J3258" t="s">
        <v>6525</v>
      </c>
      <c r="L3258" t="s">
        <v>27250</v>
      </c>
      <c r="M3258" t="s">
        <v>27251</v>
      </c>
      <c r="N3258" t="s">
        <v>27252</v>
      </c>
      <c r="Q3258" s="1">
        <v>44538</v>
      </c>
      <c r="R3258" t="s">
        <v>27253</v>
      </c>
      <c r="S3258" t="s">
        <v>27254</v>
      </c>
      <c r="T3258" t="s">
        <v>27255</v>
      </c>
    </row>
    <row r="3259" spans="1:20" x14ac:dyDescent="0.3">
      <c r="A3259" t="str">
        <f>"0611833539100"</f>
        <v>0611833539100</v>
      </c>
      <c r="B3259" t="str">
        <f>"LL8138"</f>
        <v>LL8138</v>
      </c>
      <c r="C3259" t="s">
        <v>33552</v>
      </c>
      <c r="D3259" t="s">
        <v>27245</v>
      </c>
      <c r="E3259" t="str">
        <f t="shared" si="50"/>
        <v>001390</v>
      </c>
      <c r="F3259" t="s">
        <v>27246</v>
      </c>
      <c r="G3259" t="s">
        <v>27247</v>
      </c>
      <c r="H3259" t="s">
        <v>27248</v>
      </c>
      <c r="I3259" t="s">
        <v>33553</v>
      </c>
      <c r="J3259" t="s">
        <v>6527</v>
      </c>
      <c r="L3259" t="s">
        <v>27250</v>
      </c>
      <c r="M3259" t="s">
        <v>27251</v>
      </c>
      <c r="N3259" t="s">
        <v>27252</v>
      </c>
      <c r="Q3259" s="1">
        <v>44538</v>
      </c>
      <c r="R3259" t="s">
        <v>27253</v>
      </c>
      <c r="S3259" t="s">
        <v>27254</v>
      </c>
      <c r="T3259" t="s">
        <v>27255</v>
      </c>
    </row>
    <row r="3260" spans="1:20" x14ac:dyDescent="0.3">
      <c r="A3260" t="str">
        <f>"0611833540100"</f>
        <v>0611833540100</v>
      </c>
      <c r="B3260" t="str">
        <f>"LL1610"</f>
        <v>LL1610</v>
      </c>
      <c r="C3260" t="s">
        <v>33554</v>
      </c>
      <c r="D3260" t="s">
        <v>27245</v>
      </c>
      <c r="E3260" t="str">
        <f t="shared" si="50"/>
        <v>001390</v>
      </c>
      <c r="F3260" t="s">
        <v>27246</v>
      </c>
      <c r="G3260" t="s">
        <v>27247</v>
      </c>
      <c r="H3260" t="s">
        <v>27248</v>
      </c>
      <c r="I3260" t="s">
        <v>33555</v>
      </c>
      <c r="J3260" t="s">
        <v>6529</v>
      </c>
      <c r="L3260" t="s">
        <v>27250</v>
      </c>
      <c r="M3260" t="s">
        <v>27251</v>
      </c>
      <c r="N3260" t="s">
        <v>27252</v>
      </c>
      <c r="Q3260" s="1">
        <v>44538</v>
      </c>
      <c r="R3260" t="s">
        <v>27253</v>
      </c>
      <c r="S3260" t="s">
        <v>27254</v>
      </c>
      <c r="T3260" t="s">
        <v>27255</v>
      </c>
    </row>
    <row r="3261" spans="1:20" x14ac:dyDescent="0.3">
      <c r="A3261" t="str">
        <f>"0611833541200"</f>
        <v>0611833541200</v>
      </c>
      <c r="B3261" t="str">
        <f>"KY1610"</f>
        <v>KY1610</v>
      </c>
      <c r="C3261" t="s">
        <v>33554</v>
      </c>
      <c r="D3261" t="s">
        <v>27682</v>
      </c>
      <c r="E3261" t="str">
        <f t="shared" si="50"/>
        <v>001390</v>
      </c>
      <c r="F3261" t="s">
        <v>27246</v>
      </c>
      <c r="G3261" t="s">
        <v>27247</v>
      </c>
      <c r="H3261" t="s">
        <v>27248</v>
      </c>
      <c r="I3261" t="s">
        <v>33556</v>
      </c>
      <c r="J3261" t="s">
        <v>6531</v>
      </c>
      <c r="L3261" t="s">
        <v>27250</v>
      </c>
      <c r="M3261" t="s">
        <v>27251</v>
      </c>
      <c r="N3261" t="s">
        <v>27252</v>
      </c>
      <c r="Q3261" s="1">
        <v>44538</v>
      </c>
      <c r="R3261" t="s">
        <v>27253</v>
      </c>
      <c r="S3261" t="s">
        <v>27254</v>
      </c>
      <c r="T3261" t="s">
        <v>27684</v>
      </c>
    </row>
    <row r="3262" spans="1:20" x14ac:dyDescent="0.3">
      <c r="A3262" t="str">
        <f>"0611833542100"</f>
        <v>0611833542100</v>
      </c>
      <c r="B3262" t="str">
        <f>"LL1612"</f>
        <v>LL1612</v>
      </c>
      <c r="C3262" t="s">
        <v>33557</v>
      </c>
      <c r="D3262" t="s">
        <v>27245</v>
      </c>
      <c r="E3262" t="str">
        <f t="shared" si="50"/>
        <v>001390</v>
      </c>
      <c r="F3262" t="s">
        <v>27246</v>
      </c>
      <c r="G3262" t="s">
        <v>27247</v>
      </c>
      <c r="H3262" t="s">
        <v>27248</v>
      </c>
      <c r="I3262" t="s">
        <v>33558</v>
      </c>
      <c r="J3262" t="s">
        <v>6533</v>
      </c>
      <c r="L3262" t="s">
        <v>27250</v>
      </c>
      <c r="M3262" t="s">
        <v>27251</v>
      </c>
      <c r="N3262" t="s">
        <v>27252</v>
      </c>
      <c r="Q3262" s="1">
        <v>44538</v>
      </c>
      <c r="R3262" t="s">
        <v>27253</v>
      </c>
      <c r="S3262" t="s">
        <v>27254</v>
      </c>
      <c r="T3262" t="s">
        <v>27255</v>
      </c>
    </row>
    <row r="3263" spans="1:20" x14ac:dyDescent="0.3">
      <c r="A3263" t="str">
        <f>"0611833545100"</f>
        <v>0611833545100</v>
      </c>
      <c r="B3263" t="str">
        <f>"LL1615"</f>
        <v>LL1615</v>
      </c>
      <c r="C3263" t="s">
        <v>33559</v>
      </c>
      <c r="D3263" t="s">
        <v>27245</v>
      </c>
      <c r="E3263" t="str">
        <f t="shared" si="50"/>
        <v>001390</v>
      </c>
      <c r="F3263" t="s">
        <v>27246</v>
      </c>
      <c r="G3263" t="s">
        <v>27247</v>
      </c>
      <c r="H3263" t="s">
        <v>27248</v>
      </c>
      <c r="I3263" t="s">
        <v>33560</v>
      </c>
      <c r="J3263" t="s">
        <v>6537</v>
      </c>
      <c r="L3263" t="s">
        <v>27250</v>
      </c>
      <c r="M3263" t="s">
        <v>27251</v>
      </c>
      <c r="N3263" t="s">
        <v>27252</v>
      </c>
      <c r="Q3263" s="1">
        <v>44538</v>
      </c>
      <c r="R3263" t="s">
        <v>27253</v>
      </c>
      <c r="S3263" t="s">
        <v>27254</v>
      </c>
      <c r="T3263" t="s">
        <v>27255</v>
      </c>
    </row>
    <row r="3264" spans="1:20" x14ac:dyDescent="0.3">
      <c r="A3264" t="str">
        <f>"0611833546100"</f>
        <v>0611833546100</v>
      </c>
      <c r="B3264" t="str">
        <f>"LL1632"</f>
        <v>LL1632</v>
      </c>
      <c r="C3264" t="s">
        <v>33561</v>
      </c>
      <c r="D3264" t="s">
        <v>27245</v>
      </c>
      <c r="E3264" t="str">
        <f t="shared" si="50"/>
        <v>001390</v>
      </c>
      <c r="F3264" t="s">
        <v>27246</v>
      </c>
      <c r="G3264" t="s">
        <v>27247</v>
      </c>
      <c r="H3264" t="s">
        <v>27248</v>
      </c>
      <c r="I3264" t="s">
        <v>33562</v>
      </c>
      <c r="J3264" t="s">
        <v>6539</v>
      </c>
      <c r="L3264" t="s">
        <v>27250</v>
      </c>
      <c r="M3264" t="s">
        <v>27251</v>
      </c>
      <c r="N3264" t="s">
        <v>27252</v>
      </c>
      <c r="Q3264" s="1">
        <v>44538</v>
      </c>
      <c r="R3264" t="s">
        <v>27253</v>
      </c>
      <c r="S3264" t="s">
        <v>27254</v>
      </c>
      <c r="T3264" t="s">
        <v>27255</v>
      </c>
    </row>
    <row r="3265" spans="1:20" x14ac:dyDescent="0.3">
      <c r="A3265" t="str">
        <f>"0611833471100"</f>
        <v>0611833471100</v>
      </c>
      <c r="B3265" t="str">
        <f>"LL4868"</f>
        <v>LL4868</v>
      </c>
      <c r="C3265" t="s">
        <v>33563</v>
      </c>
      <c r="D3265" t="s">
        <v>27245</v>
      </c>
      <c r="E3265" t="str">
        <f t="shared" si="50"/>
        <v>001390</v>
      </c>
      <c r="F3265" t="s">
        <v>27246</v>
      </c>
      <c r="G3265" t="s">
        <v>27247</v>
      </c>
      <c r="H3265" t="s">
        <v>27248</v>
      </c>
      <c r="I3265" t="s">
        <v>33564</v>
      </c>
      <c r="J3265" t="s">
        <v>6541</v>
      </c>
      <c r="L3265" t="s">
        <v>27250</v>
      </c>
      <c r="M3265" t="s">
        <v>27251</v>
      </c>
      <c r="N3265" t="s">
        <v>27252</v>
      </c>
      <c r="Q3265" s="1">
        <v>44538</v>
      </c>
      <c r="R3265" t="s">
        <v>27253</v>
      </c>
      <c r="S3265" t="s">
        <v>27254</v>
      </c>
      <c r="T3265" t="s">
        <v>27255</v>
      </c>
    </row>
    <row r="3266" spans="1:20" x14ac:dyDescent="0.3">
      <c r="A3266" t="str">
        <f>"0611833547100"</f>
        <v>0611833547100</v>
      </c>
      <c r="B3266" t="str">
        <f>"LL8139"</f>
        <v>LL8139</v>
      </c>
      <c r="C3266" t="s">
        <v>33565</v>
      </c>
      <c r="D3266" t="s">
        <v>27245</v>
      </c>
      <c r="E3266" t="str">
        <f t="shared" ref="E3266:E3329" si="51">"001390"</f>
        <v>001390</v>
      </c>
      <c r="F3266" t="s">
        <v>27246</v>
      </c>
      <c r="G3266" t="s">
        <v>27247</v>
      </c>
      <c r="H3266" t="s">
        <v>27248</v>
      </c>
      <c r="I3266" t="s">
        <v>33566</v>
      </c>
      <c r="J3266" t="s">
        <v>6543</v>
      </c>
      <c r="L3266" t="s">
        <v>27250</v>
      </c>
      <c r="M3266" t="s">
        <v>27251</v>
      </c>
      <c r="N3266" t="s">
        <v>27252</v>
      </c>
      <c r="Q3266" s="1">
        <v>44538</v>
      </c>
      <c r="R3266" t="s">
        <v>27253</v>
      </c>
      <c r="S3266" t="s">
        <v>27254</v>
      </c>
      <c r="T3266" t="s">
        <v>27255</v>
      </c>
    </row>
    <row r="3267" spans="1:20" x14ac:dyDescent="0.3">
      <c r="A3267" t="str">
        <f>"0611833548100"</f>
        <v>0611833548100</v>
      </c>
      <c r="B3267" t="str">
        <f>"LL1640"</f>
        <v>LL1640</v>
      </c>
      <c r="C3267" t="s">
        <v>33567</v>
      </c>
      <c r="D3267" t="s">
        <v>27245</v>
      </c>
      <c r="E3267" t="str">
        <f t="shared" si="51"/>
        <v>001390</v>
      </c>
      <c r="F3267" t="s">
        <v>27246</v>
      </c>
      <c r="G3267" t="s">
        <v>27247</v>
      </c>
      <c r="H3267" t="s">
        <v>27248</v>
      </c>
      <c r="I3267" t="s">
        <v>33568</v>
      </c>
      <c r="J3267" t="s">
        <v>6545</v>
      </c>
      <c r="L3267" t="s">
        <v>27250</v>
      </c>
      <c r="M3267" t="s">
        <v>27251</v>
      </c>
      <c r="N3267" t="s">
        <v>27252</v>
      </c>
      <c r="Q3267" s="1">
        <v>44538</v>
      </c>
      <c r="R3267" t="s">
        <v>27253</v>
      </c>
      <c r="S3267" t="s">
        <v>27254</v>
      </c>
      <c r="T3267" t="s">
        <v>27255</v>
      </c>
    </row>
    <row r="3268" spans="1:20" x14ac:dyDescent="0.3">
      <c r="A3268" t="str">
        <f>"0611833549100"</f>
        <v>0611833549100</v>
      </c>
      <c r="B3268" t="str">
        <f>"LL1642"</f>
        <v>LL1642</v>
      </c>
      <c r="C3268" t="s">
        <v>33569</v>
      </c>
      <c r="D3268" t="s">
        <v>27245</v>
      </c>
      <c r="E3268" t="str">
        <f t="shared" si="51"/>
        <v>001390</v>
      </c>
      <c r="F3268" t="s">
        <v>27246</v>
      </c>
      <c r="G3268" t="s">
        <v>27247</v>
      </c>
      <c r="H3268" t="s">
        <v>27248</v>
      </c>
      <c r="I3268" t="s">
        <v>33570</v>
      </c>
      <c r="J3268" t="s">
        <v>6547</v>
      </c>
      <c r="L3268" t="s">
        <v>27250</v>
      </c>
      <c r="M3268" t="s">
        <v>27251</v>
      </c>
      <c r="N3268" t="s">
        <v>27252</v>
      </c>
      <c r="Q3268" s="1">
        <v>44538</v>
      </c>
      <c r="R3268" t="s">
        <v>27253</v>
      </c>
      <c r="S3268" t="s">
        <v>27254</v>
      </c>
      <c r="T3268" t="s">
        <v>27255</v>
      </c>
    </row>
    <row r="3269" spans="1:20" x14ac:dyDescent="0.3">
      <c r="A3269" t="str">
        <f>"0611833550200"</f>
        <v>0611833550200</v>
      </c>
      <c r="B3269" t="str">
        <f>"KY1642"</f>
        <v>KY1642</v>
      </c>
      <c r="C3269" t="s">
        <v>33569</v>
      </c>
      <c r="D3269" t="s">
        <v>27682</v>
      </c>
      <c r="E3269" t="str">
        <f t="shared" si="51"/>
        <v>001390</v>
      </c>
      <c r="F3269" t="s">
        <v>27246</v>
      </c>
      <c r="G3269" t="s">
        <v>27247</v>
      </c>
      <c r="H3269" t="s">
        <v>27248</v>
      </c>
      <c r="I3269" t="s">
        <v>33571</v>
      </c>
      <c r="J3269" t="s">
        <v>6549</v>
      </c>
      <c r="L3269" t="s">
        <v>27250</v>
      </c>
      <c r="M3269" t="s">
        <v>27251</v>
      </c>
      <c r="N3269" t="s">
        <v>27252</v>
      </c>
      <c r="Q3269" s="1">
        <v>44538</v>
      </c>
      <c r="R3269" t="s">
        <v>27253</v>
      </c>
      <c r="S3269" t="s">
        <v>27254</v>
      </c>
      <c r="T3269" t="s">
        <v>27684</v>
      </c>
    </row>
    <row r="3270" spans="1:20" x14ac:dyDescent="0.3">
      <c r="A3270" t="str">
        <f>"0611833551100"</f>
        <v>0611833551100</v>
      </c>
      <c r="B3270" t="str">
        <f>"LL1491"</f>
        <v>LL1491</v>
      </c>
      <c r="C3270" t="s">
        <v>33572</v>
      </c>
      <c r="D3270" t="s">
        <v>27245</v>
      </c>
      <c r="E3270" t="str">
        <f t="shared" si="51"/>
        <v>001390</v>
      </c>
      <c r="F3270" t="s">
        <v>27246</v>
      </c>
      <c r="G3270" t="s">
        <v>27247</v>
      </c>
      <c r="H3270" t="s">
        <v>27248</v>
      </c>
      <c r="I3270" t="s">
        <v>33573</v>
      </c>
      <c r="J3270" t="s">
        <v>6551</v>
      </c>
      <c r="L3270" t="s">
        <v>27250</v>
      </c>
      <c r="M3270" t="s">
        <v>27251</v>
      </c>
      <c r="N3270" t="s">
        <v>27252</v>
      </c>
      <c r="Q3270" s="1">
        <v>44538</v>
      </c>
      <c r="R3270" t="s">
        <v>27253</v>
      </c>
      <c r="S3270" t="s">
        <v>27254</v>
      </c>
      <c r="T3270" t="s">
        <v>27255</v>
      </c>
    </row>
    <row r="3271" spans="1:20" x14ac:dyDescent="0.3">
      <c r="A3271" t="str">
        <f>"0611833552100"</f>
        <v>0611833552100</v>
      </c>
      <c r="B3271" t="str">
        <f>"LL1484"</f>
        <v>LL1484</v>
      </c>
      <c r="C3271" t="s">
        <v>33574</v>
      </c>
      <c r="D3271" t="s">
        <v>27245</v>
      </c>
      <c r="E3271" t="str">
        <f t="shared" si="51"/>
        <v>001390</v>
      </c>
      <c r="F3271" t="s">
        <v>27246</v>
      </c>
      <c r="G3271" t="s">
        <v>27247</v>
      </c>
      <c r="H3271" t="s">
        <v>27248</v>
      </c>
      <c r="I3271" t="s">
        <v>33575</v>
      </c>
      <c r="J3271" t="s">
        <v>6553</v>
      </c>
      <c r="L3271" t="s">
        <v>27250</v>
      </c>
      <c r="M3271" t="s">
        <v>27251</v>
      </c>
      <c r="N3271" t="s">
        <v>27252</v>
      </c>
      <c r="Q3271" s="1">
        <v>44538</v>
      </c>
      <c r="R3271" t="s">
        <v>27253</v>
      </c>
      <c r="S3271" t="s">
        <v>27254</v>
      </c>
      <c r="T3271" t="s">
        <v>27255</v>
      </c>
    </row>
    <row r="3272" spans="1:20" x14ac:dyDescent="0.3">
      <c r="A3272" t="str">
        <f>"0611833554100"</f>
        <v>0611833554100</v>
      </c>
      <c r="B3272" t="str">
        <f>"LL8187"</f>
        <v>LL8187</v>
      </c>
      <c r="C3272" t="s">
        <v>33576</v>
      </c>
      <c r="D3272" t="s">
        <v>27245</v>
      </c>
      <c r="E3272" t="str">
        <f t="shared" si="51"/>
        <v>001390</v>
      </c>
      <c r="F3272" t="s">
        <v>27246</v>
      </c>
      <c r="G3272" t="s">
        <v>27247</v>
      </c>
      <c r="H3272" t="s">
        <v>27248</v>
      </c>
      <c r="I3272" t="s">
        <v>33577</v>
      </c>
      <c r="J3272" t="s">
        <v>6555</v>
      </c>
      <c r="L3272" t="s">
        <v>27250</v>
      </c>
      <c r="M3272" t="s">
        <v>27251</v>
      </c>
      <c r="N3272" t="s">
        <v>27252</v>
      </c>
      <c r="Q3272" s="1">
        <v>44538</v>
      </c>
      <c r="R3272" t="s">
        <v>27253</v>
      </c>
      <c r="S3272" t="s">
        <v>27254</v>
      </c>
      <c r="T3272" t="s">
        <v>27255</v>
      </c>
    </row>
    <row r="3273" spans="1:20" x14ac:dyDescent="0.3">
      <c r="A3273" t="str">
        <f>"0611833556100"</f>
        <v>0611833556100</v>
      </c>
      <c r="B3273" t="str">
        <f>"LL1650"</f>
        <v>LL1650</v>
      </c>
      <c r="C3273" t="s">
        <v>33578</v>
      </c>
      <c r="D3273" t="s">
        <v>27245</v>
      </c>
      <c r="E3273" t="str">
        <f t="shared" si="51"/>
        <v>001390</v>
      </c>
      <c r="F3273" t="s">
        <v>27246</v>
      </c>
      <c r="G3273" t="s">
        <v>27247</v>
      </c>
      <c r="H3273" t="s">
        <v>27248</v>
      </c>
      <c r="I3273" t="s">
        <v>33579</v>
      </c>
      <c r="J3273" t="s">
        <v>6557</v>
      </c>
      <c r="L3273" t="s">
        <v>27250</v>
      </c>
      <c r="M3273" t="s">
        <v>27251</v>
      </c>
      <c r="N3273" t="s">
        <v>27252</v>
      </c>
      <c r="Q3273" s="1">
        <v>44538</v>
      </c>
      <c r="R3273" t="s">
        <v>27253</v>
      </c>
      <c r="S3273" t="s">
        <v>27254</v>
      </c>
      <c r="T3273" t="s">
        <v>27255</v>
      </c>
    </row>
    <row r="3274" spans="1:20" x14ac:dyDescent="0.3">
      <c r="A3274" t="str">
        <f>"0611833557100"</f>
        <v>0611833557100</v>
      </c>
      <c r="B3274" t="str">
        <f>"LL1655"</f>
        <v>LL1655</v>
      </c>
      <c r="C3274" t="s">
        <v>33580</v>
      </c>
      <c r="D3274" t="s">
        <v>27245</v>
      </c>
      <c r="E3274" t="str">
        <f t="shared" si="51"/>
        <v>001390</v>
      </c>
      <c r="F3274" t="s">
        <v>27246</v>
      </c>
      <c r="G3274" t="s">
        <v>27247</v>
      </c>
      <c r="H3274" t="s">
        <v>27248</v>
      </c>
      <c r="I3274" t="s">
        <v>33581</v>
      </c>
      <c r="J3274" t="s">
        <v>6559</v>
      </c>
      <c r="L3274" t="s">
        <v>27250</v>
      </c>
      <c r="M3274" t="s">
        <v>27251</v>
      </c>
      <c r="N3274" t="s">
        <v>27252</v>
      </c>
      <c r="Q3274" s="1">
        <v>44538</v>
      </c>
      <c r="R3274" t="s">
        <v>27253</v>
      </c>
      <c r="S3274" t="s">
        <v>27254</v>
      </c>
      <c r="T3274" t="s">
        <v>27255</v>
      </c>
    </row>
    <row r="3275" spans="1:20" x14ac:dyDescent="0.3">
      <c r="A3275" t="str">
        <f>"0611833558100"</f>
        <v>0611833558100</v>
      </c>
      <c r="B3275" t="str">
        <f>"LL1498"</f>
        <v>LL1498</v>
      </c>
      <c r="C3275" t="s">
        <v>33582</v>
      </c>
      <c r="D3275" t="s">
        <v>27245</v>
      </c>
      <c r="E3275" t="str">
        <f t="shared" si="51"/>
        <v>001390</v>
      </c>
      <c r="F3275" t="s">
        <v>27246</v>
      </c>
      <c r="G3275" t="s">
        <v>27247</v>
      </c>
      <c r="H3275" t="s">
        <v>27248</v>
      </c>
      <c r="I3275" t="s">
        <v>33583</v>
      </c>
      <c r="J3275" t="s">
        <v>6561</v>
      </c>
      <c r="L3275" t="s">
        <v>27250</v>
      </c>
      <c r="M3275" t="s">
        <v>27251</v>
      </c>
      <c r="N3275" t="s">
        <v>27252</v>
      </c>
      <c r="Q3275" s="1">
        <v>44538</v>
      </c>
      <c r="R3275" t="s">
        <v>27253</v>
      </c>
      <c r="S3275" t="s">
        <v>27254</v>
      </c>
      <c r="T3275" t="s">
        <v>27255</v>
      </c>
    </row>
    <row r="3276" spans="1:20" x14ac:dyDescent="0.3">
      <c r="A3276" t="str">
        <f>"0611833559100"</f>
        <v>0611833559100</v>
      </c>
      <c r="B3276" t="str">
        <f>"LL1666"</f>
        <v>LL1666</v>
      </c>
      <c r="C3276" t="s">
        <v>33584</v>
      </c>
      <c r="D3276" t="s">
        <v>27245</v>
      </c>
      <c r="E3276" t="str">
        <f t="shared" si="51"/>
        <v>001390</v>
      </c>
      <c r="F3276" t="s">
        <v>27246</v>
      </c>
      <c r="G3276" t="s">
        <v>27247</v>
      </c>
      <c r="H3276" t="s">
        <v>27248</v>
      </c>
      <c r="I3276" t="s">
        <v>33585</v>
      </c>
      <c r="J3276" t="s">
        <v>6563</v>
      </c>
      <c r="L3276" t="s">
        <v>27250</v>
      </c>
      <c r="M3276" t="s">
        <v>27251</v>
      </c>
      <c r="N3276" t="s">
        <v>27252</v>
      </c>
      <c r="Q3276" s="1">
        <v>44538</v>
      </c>
      <c r="R3276" t="s">
        <v>27253</v>
      </c>
      <c r="S3276" t="s">
        <v>27254</v>
      </c>
      <c r="T3276" t="s">
        <v>27255</v>
      </c>
    </row>
    <row r="3277" spans="1:20" x14ac:dyDescent="0.3">
      <c r="A3277" t="str">
        <f>"0611833560100"</f>
        <v>0611833560100</v>
      </c>
      <c r="B3277" t="str">
        <f>"LL0157"</f>
        <v>LL0157</v>
      </c>
      <c r="C3277" t="s">
        <v>33586</v>
      </c>
      <c r="D3277" t="s">
        <v>27245</v>
      </c>
      <c r="E3277" t="str">
        <f t="shared" si="51"/>
        <v>001390</v>
      </c>
      <c r="F3277" t="s">
        <v>27246</v>
      </c>
      <c r="G3277" t="s">
        <v>27247</v>
      </c>
      <c r="H3277" t="s">
        <v>27248</v>
      </c>
      <c r="I3277" t="s">
        <v>33587</v>
      </c>
      <c r="J3277" t="s">
        <v>6565</v>
      </c>
      <c r="L3277" t="s">
        <v>27250</v>
      </c>
      <c r="M3277" t="s">
        <v>27251</v>
      </c>
      <c r="N3277" t="s">
        <v>27252</v>
      </c>
      <c r="Q3277" s="1">
        <v>44538</v>
      </c>
      <c r="R3277" t="s">
        <v>27253</v>
      </c>
      <c r="S3277" t="s">
        <v>27254</v>
      </c>
      <c r="T3277" t="s">
        <v>27255</v>
      </c>
    </row>
    <row r="3278" spans="1:20" x14ac:dyDescent="0.3">
      <c r="A3278" t="str">
        <f>"0611833562100"</f>
        <v>0611833562100</v>
      </c>
      <c r="B3278" t="str">
        <f>"LL1690"</f>
        <v>LL1690</v>
      </c>
      <c r="C3278" t="s">
        <v>33588</v>
      </c>
      <c r="D3278" t="s">
        <v>27245</v>
      </c>
      <c r="E3278" t="str">
        <f t="shared" si="51"/>
        <v>001390</v>
      </c>
      <c r="F3278" t="s">
        <v>27246</v>
      </c>
      <c r="G3278" t="s">
        <v>27247</v>
      </c>
      <c r="H3278" t="s">
        <v>27248</v>
      </c>
      <c r="I3278" t="s">
        <v>33589</v>
      </c>
      <c r="J3278" t="s">
        <v>6567</v>
      </c>
      <c r="L3278" t="s">
        <v>27250</v>
      </c>
      <c r="M3278" t="s">
        <v>27251</v>
      </c>
      <c r="N3278" t="s">
        <v>27252</v>
      </c>
      <c r="Q3278" s="1">
        <v>44538</v>
      </c>
      <c r="R3278" t="s">
        <v>27253</v>
      </c>
      <c r="S3278" t="s">
        <v>27254</v>
      </c>
      <c r="T3278" t="s">
        <v>27255</v>
      </c>
    </row>
    <row r="3279" spans="1:20" x14ac:dyDescent="0.3">
      <c r="A3279" t="str">
        <f>"0611833563100"</f>
        <v>0611833563100</v>
      </c>
      <c r="B3279" t="str">
        <f>"LL0118"</f>
        <v>LL0118</v>
      </c>
      <c r="C3279" t="s">
        <v>33590</v>
      </c>
      <c r="D3279" t="s">
        <v>27245</v>
      </c>
      <c r="E3279" t="str">
        <f t="shared" si="51"/>
        <v>001390</v>
      </c>
      <c r="F3279" t="s">
        <v>27246</v>
      </c>
      <c r="G3279" t="s">
        <v>27247</v>
      </c>
      <c r="H3279" t="s">
        <v>27248</v>
      </c>
      <c r="I3279" t="s">
        <v>33591</v>
      </c>
      <c r="J3279" t="s">
        <v>6569</v>
      </c>
      <c r="L3279" t="s">
        <v>27250</v>
      </c>
      <c r="M3279" t="s">
        <v>27251</v>
      </c>
      <c r="N3279" t="s">
        <v>27252</v>
      </c>
      <c r="Q3279" s="1">
        <v>44538</v>
      </c>
      <c r="R3279" t="s">
        <v>27253</v>
      </c>
      <c r="S3279" t="s">
        <v>27254</v>
      </c>
      <c r="T3279" t="s">
        <v>27255</v>
      </c>
    </row>
    <row r="3280" spans="1:20" x14ac:dyDescent="0.3">
      <c r="A3280" t="str">
        <f>"0611884145100"</f>
        <v>0611884145100</v>
      </c>
      <c r="B3280" t="str">
        <f>"LL5061"</f>
        <v>LL5061</v>
      </c>
      <c r="C3280" t="s">
        <v>33592</v>
      </c>
      <c r="D3280" t="s">
        <v>27245</v>
      </c>
      <c r="E3280" t="str">
        <f t="shared" si="51"/>
        <v>001390</v>
      </c>
      <c r="F3280" t="s">
        <v>27246</v>
      </c>
      <c r="G3280" t="s">
        <v>27247</v>
      </c>
      <c r="H3280" t="s">
        <v>27248</v>
      </c>
      <c r="I3280" t="s">
        <v>33593</v>
      </c>
      <c r="J3280" t="s">
        <v>6515</v>
      </c>
      <c r="L3280" t="s">
        <v>27430</v>
      </c>
      <c r="M3280" t="s">
        <v>27251</v>
      </c>
      <c r="N3280" t="s">
        <v>27252</v>
      </c>
      <c r="Q3280" s="1">
        <v>45250</v>
      </c>
      <c r="R3280" t="s">
        <v>27253</v>
      </c>
      <c r="S3280" t="s">
        <v>27254</v>
      </c>
      <c r="T3280" t="s">
        <v>27255</v>
      </c>
    </row>
    <row r="3281" spans="1:20" x14ac:dyDescent="0.3">
      <c r="A3281" t="str">
        <f>"0611884146100"</f>
        <v>0611884146100</v>
      </c>
      <c r="B3281" t="str">
        <f>"LL5062"</f>
        <v>LL5062</v>
      </c>
      <c r="C3281" t="s">
        <v>33594</v>
      </c>
      <c r="D3281" t="s">
        <v>27245</v>
      </c>
      <c r="E3281" t="str">
        <f t="shared" si="51"/>
        <v>001390</v>
      </c>
      <c r="F3281" t="s">
        <v>27246</v>
      </c>
      <c r="G3281" t="s">
        <v>27247</v>
      </c>
      <c r="H3281" t="s">
        <v>27248</v>
      </c>
      <c r="I3281" t="s">
        <v>33595</v>
      </c>
      <c r="J3281" t="s">
        <v>6535</v>
      </c>
      <c r="L3281" t="s">
        <v>27430</v>
      </c>
      <c r="M3281" t="s">
        <v>27251</v>
      </c>
      <c r="N3281" t="s">
        <v>27252</v>
      </c>
      <c r="Q3281" s="1">
        <v>45250</v>
      </c>
      <c r="R3281" t="s">
        <v>27253</v>
      </c>
      <c r="S3281" t="s">
        <v>27254</v>
      </c>
      <c r="T3281" t="s">
        <v>27255</v>
      </c>
    </row>
    <row r="3282" spans="1:20" x14ac:dyDescent="0.3">
      <c r="A3282" t="str">
        <f>"0611884147100"</f>
        <v>0611884147100</v>
      </c>
      <c r="B3282" t="str">
        <f>"LL3802"</f>
        <v>LL3802</v>
      </c>
      <c r="C3282" t="s">
        <v>33596</v>
      </c>
      <c r="D3282" t="s">
        <v>27245</v>
      </c>
      <c r="E3282" t="str">
        <f t="shared" si="51"/>
        <v>001390</v>
      </c>
      <c r="F3282" t="s">
        <v>27246</v>
      </c>
      <c r="G3282" t="s">
        <v>27247</v>
      </c>
      <c r="H3282" t="s">
        <v>27248</v>
      </c>
      <c r="I3282" t="s">
        <v>33597</v>
      </c>
      <c r="J3282" t="s">
        <v>23796</v>
      </c>
      <c r="L3282" t="s">
        <v>27430</v>
      </c>
      <c r="M3282" t="s">
        <v>27251</v>
      </c>
      <c r="N3282" t="s">
        <v>27252</v>
      </c>
      <c r="Q3282" s="1">
        <v>45250</v>
      </c>
      <c r="R3282" t="s">
        <v>27253</v>
      </c>
      <c r="S3282" t="s">
        <v>27254</v>
      </c>
      <c r="T3282" t="s">
        <v>27255</v>
      </c>
    </row>
    <row r="3283" spans="1:20" x14ac:dyDescent="0.3">
      <c r="A3283" t="str">
        <f>"0611884148100"</f>
        <v>0611884148100</v>
      </c>
      <c r="B3283" t="str">
        <f>"LL8344"</f>
        <v>LL8344</v>
      </c>
      <c r="C3283" t="s">
        <v>33598</v>
      </c>
      <c r="D3283" t="s">
        <v>27245</v>
      </c>
      <c r="E3283" t="str">
        <f t="shared" si="51"/>
        <v>001390</v>
      </c>
      <c r="F3283" t="s">
        <v>27246</v>
      </c>
      <c r="G3283" t="s">
        <v>27247</v>
      </c>
      <c r="H3283" t="s">
        <v>27248</v>
      </c>
      <c r="I3283" t="s">
        <v>33599</v>
      </c>
      <c r="J3283" t="s">
        <v>23856</v>
      </c>
      <c r="L3283" t="s">
        <v>27430</v>
      </c>
      <c r="M3283" t="s">
        <v>27251</v>
      </c>
      <c r="N3283" t="s">
        <v>27252</v>
      </c>
      <c r="Q3283" s="1">
        <v>45250</v>
      </c>
      <c r="R3283" t="s">
        <v>27253</v>
      </c>
      <c r="S3283" t="s">
        <v>27254</v>
      </c>
      <c r="T3283" t="s">
        <v>27255</v>
      </c>
    </row>
    <row r="3284" spans="1:20" x14ac:dyDescent="0.3">
      <c r="A3284" t="str">
        <f>"0611833615100"</f>
        <v>0611833615100</v>
      </c>
      <c r="B3284" t="str">
        <f>"LC6050"</f>
        <v>LC6050</v>
      </c>
      <c r="C3284" t="s">
        <v>33600</v>
      </c>
      <c r="D3284" t="s">
        <v>27245</v>
      </c>
      <c r="E3284" t="str">
        <f t="shared" si="51"/>
        <v>001390</v>
      </c>
      <c r="F3284" t="s">
        <v>27246</v>
      </c>
      <c r="G3284" t="s">
        <v>27247</v>
      </c>
      <c r="H3284" t="s">
        <v>27248</v>
      </c>
      <c r="I3284" t="s">
        <v>33601</v>
      </c>
      <c r="J3284" t="s">
        <v>6571</v>
      </c>
      <c r="L3284" t="s">
        <v>27250</v>
      </c>
      <c r="M3284" t="s">
        <v>27251</v>
      </c>
      <c r="N3284" t="s">
        <v>27252</v>
      </c>
      <c r="Q3284" s="1">
        <v>44538</v>
      </c>
      <c r="R3284" t="s">
        <v>27253</v>
      </c>
      <c r="S3284" t="s">
        <v>27254</v>
      </c>
      <c r="T3284" t="s">
        <v>27255</v>
      </c>
    </row>
    <row r="3285" spans="1:20" x14ac:dyDescent="0.3">
      <c r="A3285" t="str">
        <f>"0611833616100"</f>
        <v>0611833616100</v>
      </c>
      <c r="B3285" t="str">
        <f>"LB2366"</f>
        <v>LB2366</v>
      </c>
      <c r="C3285" t="s">
        <v>33602</v>
      </c>
      <c r="D3285" t="s">
        <v>27245</v>
      </c>
      <c r="E3285" t="str">
        <f t="shared" si="51"/>
        <v>001390</v>
      </c>
      <c r="F3285" t="s">
        <v>27246</v>
      </c>
      <c r="G3285" t="s">
        <v>27247</v>
      </c>
      <c r="H3285" t="s">
        <v>27248</v>
      </c>
      <c r="I3285" t="s">
        <v>33603</v>
      </c>
      <c r="J3285" t="s">
        <v>6573</v>
      </c>
      <c r="L3285" t="s">
        <v>27250</v>
      </c>
      <c r="M3285" t="s">
        <v>27251</v>
      </c>
      <c r="N3285" t="s">
        <v>27252</v>
      </c>
      <c r="Q3285" s="1">
        <v>44538</v>
      </c>
      <c r="R3285" t="s">
        <v>27253</v>
      </c>
      <c r="S3285" t="s">
        <v>27254</v>
      </c>
      <c r="T3285" t="s">
        <v>27255</v>
      </c>
    </row>
    <row r="3286" spans="1:20" x14ac:dyDescent="0.3">
      <c r="A3286" t="str">
        <f>"0611833617100"</f>
        <v>0611833617100</v>
      </c>
      <c r="B3286" t="str">
        <f>"LK1092"</f>
        <v>LK1092</v>
      </c>
      <c r="C3286" t="s">
        <v>33604</v>
      </c>
      <c r="D3286" t="s">
        <v>27245</v>
      </c>
      <c r="E3286" t="str">
        <f t="shared" si="51"/>
        <v>001390</v>
      </c>
      <c r="F3286" t="s">
        <v>27246</v>
      </c>
      <c r="G3286" t="s">
        <v>27247</v>
      </c>
      <c r="H3286" t="s">
        <v>27248</v>
      </c>
      <c r="I3286" t="s">
        <v>33605</v>
      </c>
      <c r="J3286" t="s">
        <v>6575</v>
      </c>
      <c r="L3286" t="s">
        <v>27250</v>
      </c>
      <c r="M3286" t="s">
        <v>27251</v>
      </c>
      <c r="N3286" t="s">
        <v>27252</v>
      </c>
      <c r="Q3286" s="1">
        <v>44538</v>
      </c>
      <c r="R3286" t="s">
        <v>27253</v>
      </c>
      <c r="S3286" t="s">
        <v>27254</v>
      </c>
      <c r="T3286" t="s">
        <v>27255</v>
      </c>
    </row>
    <row r="3287" spans="1:20" x14ac:dyDescent="0.3">
      <c r="A3287" t="str">
        <f>"0611861526050"</f>
        <v>0611861526050</v>
      </c>
      <c r="B3287" t="str">
        <f>"CR4815"</f>
        <v>CR4815</v>
      </c>
      <c r="C3287" t="s">
        <v>33606</v>
      </c>
      <c r="D3287" t="s">
        <v>27263</v>
      </c>
      <c r="E3287" t="str">
        <f t="shared" si="51"/>
        <v>001390</v>
      </c>
      <c r="F3287" t="s">
        <v>27246</v>
      </c>
      <c r="G3287" t="s">
        <v>27247</v>
      </c>
      <c r="H3287" t="s">
        <v>27248</v>
      </c>
      <c r="I3287" t="s">
        <v>33607</v>
      </c>
      <c r="J3287" t="s">
        <v>6577</v>
      </c>
      <c r="L3287" t="s">
        <v>27250</v>
      </c>
      <c r="M3287" t="s">
        <v>27251</v>
      </c>
      <c r="N3287" t="s">
        <v>27252</v>
      </c>
      <c r="Q3287" s="1">
        <v>44846</v>
      </c>
      <c r="R3287" t="s">
        <v>27253</v>
      </c>
      <c r="S3287" t="s">
        <v>27254</v>
      </c>
      <c r="T3287" t="s">
        <v>27265</v>
      </c>
    </row>
    <row r="3288" spans="1:20" x14ac:dyDescent="0.3">
      <c r="A3288" t="str">
        <f>"0611833618100"</f>
        <v>0611833618100</v>
      </c>
      <c r="B3288" t="str">
        <f>"LB2367"</f>
        <v>LB2367</v>
      </c>
      <c r="C3288" t="s">
        <v>33608</v>
      </c>
      <c r="D3288" t="s">
        <v>27245</v>
      </c>
      <c r="E3288" t="str">
        <f t="shared" si="51"/>
        <v>001390</v>
      </c>
      <c r="F3288" t="s">
        <v>27246</v>
      </c>
      <c r="G3288" t="s">
        <v>27247</v>
      </c>
      <c r="H3288" t="s">
        <v>27248</v>
      </c>
      <c r="I3288" t="s">
        <v>33609</v>
      </c>
      <c r="J3288" t="s">
        <v>6579</v>
      </c>
      <c r="L3288" t="s">
        <v>27250</v>
      </c>
      <c r="M3288" t="s">
        <v>27251</v>
      </c>
      <c r="N3288" t="s">
        <v>27252</v>
      </c>
      <c r="Q3288" s="1">
        <v>44538</v>
      </c>
      <c r="R3288" t="s">
        <v>27253</v>
      </c>
      <c r="S3288" t="s">
        <v>27254</v>
      </c>
      <c r="T3288" t="s">
        <v>27255</v>
      </c>
    </row>
    <row r="3289" spans="1:20" x14ac:dyDescent="0.3">
      <c r="A3289" t="str">
        <f>"0611856879100"</f>
        <v>0611856879100</v>
      </c>
      <c r="B3289" t="str">
        <f>"LQ6265"</f>
        <v>LQ6265</v>
      </c>
      <c r="C3289" t="s">
        <v>33610</v>
      </c>
      <c r="D3289" t="s">
        <v>27245</v>
      </c>
      <c r="E3289" t="str">
        <f t="shared" si="51"/>
        <v>001390</v>
      </c>
      <c r="F3289" t="s">
        <v>27246</v>
      </c>
      <c r="G3289" t="s">
        <v>27247</v>
      </c>
      <c r="H3289" t="s">
        <v>27248</v>
      </c>
      <c r="I3289" t="s">
        <v>33611</v>
      </c>
      <c r="J3289" t="s">
        <v>6581</v>
      </c>
      <c r="L3289" t="s">
        <v>27250</v>
      </c>
      <c r="M3289" t="s">
        <v>27251</v>
      </c>
      <c r="N3289" t="s">
        <v>27252</v>
      </c>
      <c r="Q3289" s="1">
        <v>44812</v>
      </c>
      <c r="R3289" t="s">
        <v>27253</v>
      </c>
      <c r="S3289" t="s">
        <v>27254</v>
      </c>
      <c r="T3289" t="s">
        <v>27255</v>
      </c>
    </row>
    <row r="3290" spans="1:20" x14ac:dyDescent="0.3">
      <c r="A3290" t="str">
        <f>"0611856880100"</f>
        <v>0611856880100</v>
      </c>
      <c r="B3290" t="str">
        <f>"LQ6266"</f>
        <v>LQ6266</v>
      </c>
      <c r="C3290" t="s">
        <v>33612</v>
      </c>
      <c r="D3290" t="s">
        <v>27245</v>
      </c>
      <c r="E3290" t="str">
        <f t="shared" si="51"/>
        <v>001390</v>
      </c>
      <c r="F3290" t="s">
        <v>27246</v>
      </c>
      <c r="G3290" t="s">
        <v>27247</v>
      </c>
      <c r="H3290" t="s">
        <v>27248</v>
      </c>
      <c r="I3290" t="s">
        <v>33613</v>
      </c>
      <c r="J3290" t="s">
        <v>6583</v>
      </c>
      <c r="L3290" t="s">
        <v>27250</v>
      </c>
      <c r="M3290" t="s">
        <v>27251</v>
      </c>
      <c r="N3290" t="s">
        <v>27252</v>
      </c>
      <c r="Q3290" s="1">
        <v>44812</v>
      </c>
      <c r="R3290" t="s">
        <v>27253</v>
      </c>
      <c r="S3290" t="s">
        <v>27254</v>
      </c>
      <c r="T3290" t="s">
        <v>27255</v>
      </c>
    </row>
    <row r="3291" spans="1:20" x14ac:dyDescent="0.3">
      <c r="A3291" t="str">
        <f>"0611884149100"</f>
        <v>0611884149100</v>
      </c>
      <c r="B3291" t="str">
        <f>"LQ3912"</f>
        <v>LQ3912</v>
      </c>
      <c r="C3291" t="s">
        <v>33614</v>
      </c>
      <c r="D3291" t="s">
        <v>27245</v>
      </c>
      <c r="E3291" t="str">
        <f t="shared" si="51"/>
        <v>001390</v>
      </c>
      <c r="F3291" t="s">
        <v>27246</v>
      </c>
      <c r="G3291" t="s">
        <v>27247</v>
      </c>
      <c r="H3291" t="s">
        <v>27248</v>
      </c>
      <c r="I3291" t="s">
        <v>33615</v>
      </c>
      <c r="J3291" t="s">
        <v>6585</v>
      </c>
      <c r="L3291" t="s">
        <v>27430</v>
      </c>
      <c r="M3291" t="s">
        <v>27251</v>
      </c>
      <c r="N3291" t="s">
        <v>27252</v>
      </c>
      <c r="Q3291" s="1">
        <v>45250</v>
      </c>
      <c r="R3291" t="s">
        <v>27253</v>
      </c>
      <c r="S3291" t="s">
        <v>27254</v>
      </c>
      <c r="T3291" t="s">
        <v>27255</v>
      </c>
    </row>
    <row r="3292" spans="1:20" x14ac:dyDescent="0.3">
      <c r="A3292" t="str">
        <f>"0611861527050"</f>
        <v>0611861527050</v>
      </c>
      <c r="B3292" t="str">
        <f>"CE0416"</f>
        <v>CE0416</v>
      </c>
      <c r="C3292" t="s">
        <v>33616</v>
      </c>
      <c r="D3292" t="s">
        <v>27923</v>
      </c>
      <c r="E3292" t="str">
        <f t="shared" si="51"/>
        <v>001390</v>
      </c>
      <c r="F3292" t="s">
        <v>27246</v>
      </c>
      <c r="G3292" t="s">
        <v>27247</v>
      </c>
      <c r="H3292" t="s">
        <v>27248</v>
      </c>
      <c r="I3292" t="s">
        <v>33617</v>
      </c>
      <c r="J3292" t="s">
        <v>6587</v>
      </c>
      <c r="L3292" t="s">
        <v>27250</v>
      </c>
      <c r="M3292" t="s">
        <v>27251</v>
      </c>
      <c r="N3292" t="s">
        <v>27252</v>
      </c>
      <c r="P3292" t="s">
        <v>27925</v>
      </c>
      <c r="Q3292" s="1">
        <v>44846</v>
      </c>
      <c r="R3292" t="s">
        <v>27253</v>
      </c>
      <c r="S3292" t="s">
        <v>27254</v>
      </c>
      <c r="T3292" t="s">
        <v>27265</v>
      </c>
    </row>
    <row r="3293" spans="1:20" x14ac:dyDescent="0.3">
      <c r="A3293" t="str">
        <f>"0611833619100"</f>
        <v>0611833619100</v>
      </c>
      <c r="B3293" t="str">
        <f>"LQ5697"</f>
        <v>LQ5697</v>
      </c>
      <c r="C3293" t="s">
        <v>33618</v>
      </c>
      <c r="D3293" t="s">
        <v>27245</v>
      </c>
      <c r="E3293" t="str">
        <f t="shared" si="51"/>
        <v>001390</v>
      </c>
      <c r="F3293" t="s">
        <v>27246</v>
      </c>
      <c r="G3293" t="s">
        <v>27247</v>
      </c>
      <c r="H3293" t="s">
        <v>27248</v>
      </c>
      <c r="I3293" t="s">
        <v>33619</v>
      </c>
      <c r="J3293" t="s">
        <v>6589</v>
      </c>
      <c r="L3293" t="s">
        <v>27250</v>
      </c>
      <c r="M3293" t="s">
        <v>27251</v>
      </c>
      <c r="N3293" t="s">
        <v>27252</v>
      </c>
      <c r="Q3293" s="1">
        <v>44538</v>
      </c>
      <c r="R3293" t="s">
        <v>27253</v>
      </c>
      <c r="S3293" t="s">
        <v>27254</v>
      </c>
      <c r="T3293" t="s">
        <v>27255</v>
      </c>
    </row>
    <row r="3294" spans="1:20" x14ac:dyDescent="0.3">
      <c r="A3294" t="str">
        <f>"0611833620100"</f>
        <v>0611833620100</v>
      </c>
      <c r="B3294" t="str">
        <f>"LQ5698"</f>
        <v>LQ5698</v>
      </c>
      <c r="C3294" t="s">
        <v>33620</v>
      </c>
      <c r="D3294" t="s">
        <v>27245</v>
      </c>
      <c r="E3294" t="str">
        <f t="shared" si="51"/>
        <v>001390</v>
      </c>
      <c r="F3294" t="s">
        <v>27246</v>
      </c>
      <c r="G3294" t="s">
        <v>27247</v>
      </c>
      <c r="H3294" t="s">
        <v>27248</v>
      </c>
      <c r="I3294" t="s">
        <v>33621</v>
      </c>
      <c r="J3294" t="s">
        <v>6591</v>
      </c>
      <c r="L3294" t="s">
        <v>27250</v>
      </c>
      <c r="M3294" t="s">
        <v>27251</v>
      </c>
      <c r="N3294" t="s">
        <v>27252</v>
      </c>
      <c r="Q3294" s="1">
        <v>44538</v>
      </c>
      <c r="R3294" t="s">
        <v>27253</v>
      </c>
      <c r="S3294" t="s">
        <v>27254</v>
      </c>
      <c r="T3294" t="s">
        <v>27255</v>
      </c>
    </row>
    <row r="3295" spans="1:20" x14ac:dyDescent="0.3">
      <c r="A3295" t="str">
        <f>"0611833621100"</f>
        <v>0611833621100</v>
      </c>
      <c r="B3295" t="str">
        <f>"LB2369"</f>
        <v>LB2369</v>
      </c>
      <c r="C3295" t="s">
        <v>33622</v>
      </c>
      <c r="D3295" t="s">
        <v>27245</v>
      </c>
      <c r="E3295" t="str">
        <f t="shared" si="51"/>
        <v>001390</v>
      </c>
      <c r="F3295" t="s">
        <v>27246</v>
      </c>
      <c r="G3295" t="s">
        <v>27247</v>
      </c>
      <c r="H3295" t="s">
        <v>27248</v>
      </c>
      <c r="I3295" t="s">
        <v>33623</v>
      </c>
      <c r="J3295" t="s">
        <v>6593</v>
      </c>
      <c r="L3295" t="s">
        <v>27250</v>
      </c>
      <c r="M3295" t="s">
        <v>27251</v>
      </c>
      <c r="N3295" t="s">
        <v>27252</v>
      </c>
      <c r="Q3295" s="1">
        <v>44538</v>
      </c>
      <c r="R3295" t="s">
        <v>27253</v>
      </c>
      <c r="S3295" t="s">
        <v>27254</v>
      </c>
      <c r="T3295" t="s">
        <v>27255</v>
      </c>
    </row>
    <row r="3296" spans="1:20" x14ac:dyDescent="0.3">
      <c r="A3296" t="str">
        <f>"0611833622100"</f>
        <v>0611833622100</v>
      </c>
      <c r="B3296" t="str">
        <f>"LK0697"</f>
        <v>LK0697</v>
      </c>
      <c r="C3296" t="s">
        <v>33624</v>
      </c>
      <c r="D3296" t="s">
        <v>27245</v>
      </c>
      <c r="E3296" t="str">
        <f t="shared" si="51"/>
        <v>001390</v>
      </c>
      <c r="F3296" t="s">
        <v>27246</v>
      </c>
      <c r="G3296" t="s">
        <v>27247</v>
      </c>
      <c r="H3296" t="s">
        <v>27248</v>
      </c>
      <c r="I3296" t="s">
        <v>33625</v>
      </c>
      <c r="J3296" t="s">
        <v>6595</v>
      </c>
      <c r="L3296" t="s">
        <v>27250</v>
      </c>
      <c r="M3296" t="s">
        <v>27251</v>
      </c>
      <c r="N3296" t="s">
        <v>27252</v>
      </c>
      <c r="Q3296" s="1">
        <v>44538</v>
      </c>
      <c r="R3296" t="s">
        <v>27253</v>
      </c>
      <c r="S3296" t="s">
        <v>27254</v>
      </c>
      <c r="T3296" t="s">
        <v>27255</v>
      </c>
    </row>
    <row r="3297" spans="1:20" x14ac:dyDescent="0.3">
      <c r="A3297" t="str">
        <f>"0611833623100"</f>
        <v>0611833623100</v>
      </c>
      <c r="B3297" t="str">
        <f>"LQ3689"</f>
        <v>LQ3689</v>
      </c>
      <c r="C3297" t="s">
        <v>33626</v>
      </c>
      <c r="D3297" t="s">
        <v>27245</v>
      </c>
      <c r="E3297" t="str">
        <f t="shared" si="51"/>
        <v>001390</v>
      </c>
      <c r="F3297" t="s">
        <v>27246</v>
      </c>
      <c r="G3297" t="s">
        <v>27247</v>
      </c>
      <c r="H3297" t="s">
        <v>27248</v>
      </c>
      <c r="I3297" t="s">
        <v>33627</v>
      </c>
      <c r="J3297" t="s">
        <v>6597</v>
      </c>
      <c r="L3297" t="s">
        <v>27250</v>
      </c>
      <c r="M3297" t="s">
        <v>27251</v>
      </c>
      <c r="N3297" t="s">
        <v>27252</v>
      </c>
      <c r="Q3297" s="1">
        <v>44538</v>
      </c>
      <c r="R3297" t="s">
        <v>27253</v>
      </c>
      <c r="S3297" t="s">
        <v>27254</v>
      </c>
      <c r="T3297" t="s">
        <v>27255</v>
      </c>
    </row>
    <row r="3298" spans="1:20" x14ac:dyDescent="0.3">
      <c r="A3298" t="str">
        <f>"0611861528050"</f>
        <v>0611861528050</v>
      </c>
      <c r="B3298" t="str">
        <f>"CR4957"</f>
        <v>CR4957</v>
      </c>
      <c r="C3298" t="s">
        <v>33626</v>
      </c>
      <c r="D3298" t="s">
        <v>27263</v>
      </c>
      <c r="E3298" t="str">
        <f t="shared" si="51"/>
        <v>001390</v>
      </c>
      <c r="F3298" t="s">
        <v>27246</v>
      </c>
      <c r="G3298" t="s">
        <v>27247</v>
      </c>
      <c r="H3298" t="s">
        <v>27248</v>
      </c>
      <c r="I3298" t="s">
        <v>33628</v>
      </c>
      <c r="J3298" t="s">
        <v>6599</v>
      </c>
      <c r="L3298" t="s">
        <v>27250</v>
      </c>
      <c r="M3298" t="s">
        <v>27251</v>
      </c>
      <c r="N3298" t="s">
        <v>27252</v>
      </c>
      <c r="Q3298" s="1">
        <v>44846</v>
      </c>
      <c r="R3298" t="s">
        <v>27253</v>
      </c>
      <c r="S3298" t="s">
        <v>27254</v>
      </c>
      <c r="T3298" t="s">
        <v>27265</v>
      </c>
    </row>
    <row r="3299" spans="1:20" x14ac:dyDescent="0.3">
      <c r="A3299" t="str">
        <f>"0611833624100"</f>
        <v>0611833624100</v>
      </c>
      <c r="B3299" t="str">
        <f>"LQ3401"</f>
        <v>LQ3401</v>
      </c>
      <c r="C3299" t="s">
        <v>33629</v>
      </c>
      <c r="D3299" t="s">
        <v>27245</v>
      </c>
      <c r="E3299" t="str">
        <f t="shared" si="51"/>
        <v>001390</v>
      </c>
      <c r="F3299" t="s">
        <v>27246</v>
      </c>
      <c r="G3299" t="s">
        <v>27247</v>
      </c>
      <c r="H3299" t="s">
        <v>27248</v>
      </c>
      <c r="I3299" t="s">
        <v>33630</v>
      </c>
      <c r="J3299" t="s">
        <v>6601</v>
      </c>
      <c r="L3299" t="s">
        <v>27250</v>
      </c>
      <c r="M3299" t="s">
        <v>27251</v>
      </c>
      <c r="N3299" t="s">
        <v>27252</v>
      </c>
      <c r="Q3299" s="1">
        <v>44538</v>
      </c>
      <c r="R3299" t="s">
        <v>27253</v>
      </c>
      <c r="S3299" t="s">
        <v>27254</v>
      </c>
      <c r="T3299" t="s">
        <v>27255</v>
      </c>
    </row>
    <row r="3300" spans="1:20" x14ac:dyDescent="0.3">
      <c r="A3300" t="str">
        <f>"0611861529050"</f>
        <v>0611861529050</v>
      </c>
      <c r="B3300" t="str">
        <f>"CR3516"</f>
        <v>CR3516</v>
      </c>
      <c r="C3300" t="s">
        <v>33629</v>
      </c>
      <c r="D3300" t="s">
        <v>27263</v>
      </c>
      <c r="E3300" t="str">
        <f t="shared" si="51"/>
        <v>001390</v>
      </c>
      <c r="F3300" t="s">
        <v>27246</v>
      </c>
      <c r="G3300" t="s">
        <v>27247</v>
      </c>
      <c r="H3300" t="s">
        <v>27248</v>
      </c>
      <c r="I3300" t="s">
        <v>33631</v>
      </c>
      <c r="J3300" t="s">
        <v>6603</v>
      </c>
      <c r="L3300" t="s">
        <v>27250</v>
      </c>
      <c r="M3300" t="s">
        <v>27251</v>
      </c>
      <c r="N3300" t="s">
        <v>27252</v>
      </c>
      <c r="Q3300" s="1">
        <v>44846</v>
      </c>
      <c r="R3300" t="s">
        <v>27253</v>
      </c>
      <c r="S3300" t="s">
        <v>27254</v>
      </c>
      <c r="T3300" t="s">
        <v>27265</v>
      </c>
    </row>
    <row r="3301" spans="1:20" x14ac:dyDescent="0.3">
      <c r="A3301" t="str">
        <f>"0611833625100"</f>
        <v>0611833625100</v>
      </c>
      <c r="B3301" t="str">
        <f>"LQ3403"</f>
        <v>LQ3403</v>
      </c>
      <c r="C3301" t="s">
        <v>33632</v>
      </c>
      <c r="D3301" t="s">
        <v>27245</v>
      </c>
      <c r="E3301" t="str">
        <f t="shared" si="51"/>
        <v>001390</v>
      </c>
      <c r="F3301" t="s">
        <v>27246</v>
      </c>
      <c r="G3301" t="s">
        <v>27247</v>
      </c>
      <c r="H3301" t="s">
        <v>27248</v>
      </c>
      <c r="I3301" t="s">
        <v>33633</v>
      </c>
      <c r="J3301" t="s">
        <v>6605</v>
      </c>
      <c r="L3301" t="s">
        <v>27250</v>
      </c>
      <c r="M3301" t="s">
        <v>27251</v>
      </c>
      <c r="N3301" t="s">
        <v>27252</v>
      </c>
      <c r="Q3301" s="1">
        <v>44538</v>
      </c>
      <c r="R3301" t="s">
        <v>27253</v>
      </c>
      <c r="S3301" t="s">
        <v>27254</v>
      </c>
      <c r="T3301" t="s">
        <v>27255</v>
      </c>
    </row>
    <row r="3302" spans="1:20" x14ac:dyDescent="0.3">
      <c r="A3302" t="str">
        <f>"0611861530050"</f>
        <v>0611861530050</v>
      </c>
      <c r="B3302" t="str">
        <f>"CR3517"</f>
        <v>CR3517</v>
      </c>
      <c r="C3302" t="s">
        <v>33632</v>
      </c>
      <c r="D3302" t="s">
        <v>27263</v>
      </c>
      <c r="E3302" t="str">
        <f t="shared" si="51"/>
        <v>001390</v>
      </c>
      <c r="F3302" t="s">
        <v>27246</v>
      </c>
      <c r="G3302" t="s">
        <v>27247</v>
      </c>
      <c r="H3302" t="s">
        <v>27248</v>
      </c>
      <c r="I3302" t="s">
        <v>33634</v>
      </c>
      <c r="J3302" t="s">
        <v>6607</v>
      </c>
      <c r="L3302" t="s">
        <v>27250</v>
      </c>
      <c r="M3302" t="s">
        <v>27251</v>
      </c>
      <c r="N3302" t="s">
        <v>27252</v>
      </c>
      <c r="Q3302" s="1">
        <v>44846</v>
      </c>
      <c r="R3302" t="s">
        <v>27253</v>
      </c>
      <c r="S3302" t="s">
        <v>27254</v>
      </c>
      <c r="T3302" t="s">
        <v>27265</v>
      </c>
    </row>
    <row r="3303" spans="1:20" x14ac:dyDescent="0.3">
      <c r="A3303" t="str">
        <f>"0611833626100"</f>
        <v>0611833626100</v>
      </c>
      <c r="B3303" t="str">
        <f>"LQ3521"</f>
        <v>LQ3521</v>
      </c>
      <c r="C3303" t="s">
        <v>33635</v>
      </c>
      <c r="D3303" t="s">
        <v>27245</v>
      </c>
      <c r="E3303" t="str">
        <f t="shared" si="51"/>
        <v>001390</v>
      </c>
      <c r="F3303" t="s">
        <v>27246</v>
      </c>
      <c r="G3303" t="s">
        <v>27247</v>
      </c>
      <c r="H3303" t="s">
        <v>27248</v>
      </c>
      <c r="I3303" t="s">
        <v>33636</v>
      </c>
      <c r="J3303" t="s">
        <v>6609</v>
      </c>
      <c r="L3303" t="s">
        <v>27250</v>
      </c>
      <c r="M3303" t="s">
        <v>27251</v>
      </c>
      <c r="N3303" t="s">
        <v>27252</v>
      </c>
      <c r="Q3303" s="1">
        <v>44538</v>
      </c>
      <c r="R3303" t="s">
        <v>27253</v>
      </c>
      <c r="S3303" t="s">
        <v>27254</v>
      </c>
      <c r="T3303" t="s">
        <v>27255</v>
      </c>
    </row>
    <row r="3304" spans="1:20" x14ac:dyDescent="0.3">
      <c r="A3304" t="str">
        <f>"0611861531050"</f>
        <v>0611861531050</v>
      </c>
      <c r="B3304" t="str">
        <f>"CR3518"</f>
        <v>CR3518</v>
      </c>
      <c r="C3304" t="s">
        <v>33635</v>
      </c>
      <c r="D3304" t="s">
        <v>27263</v>
      </c>
      <c r="E3304" t="str">
        <f t="shared" si="51"/>
        <v>001390</v>
      </c>
      <c r="F3304" t="s">
        <v>27246</v>
      </c>
      <c r="G3304" t="s">
        <v>27247</v>
      </c>
      <c r="H3304" t="s">
        <v>27248</v>
      </c>
      <c r="I3304" t="s">
        <v>33637</v>
      </c>
      <c r="J3304" t="s">
        <v>6611</v>
      </c>
      <c r="L3304" t="s">
        <v>27250</v>
      </c>
      <c r="M3304" t="s">
        <v>27251</v>
      </c>
      <c r="N3304" t="s">
        <v>27252</v>
      </c>
      <c r="Q3304" s="1">
        <v>44846</v>
      </c>
      <c r="R3304" t="s">
        <v>27253</v>
      </c>
      <c r="S3304" t="s">
        <v>27254</v>
      </c>
      <c r="T3304" t="s">
        <v>27265</v>
      </c>
    </row>
    <row r="3305" spans="1:20" x14ac:dyDescent="0.3">
      <c r="A3305" t="str">
        <f>"0611833627100"</f>
        <v>0611833627100</v>
      </c>
      <c r="B3305" t="str">
        <f>"LQ3406"</f>
        <v>LQ3406</v>
      </c>
      <c r="C3305" t="s">
        <v>33638</v>
      </c>
      <c r="D3305" t="s">
        <v>27245</v>
      </c>
      <c r="E3305" t="str">
        <f t="shared" si="51"/>
        <v>001390</v>
      </c>
      <c r="F3305" t="s">
        <v>27246</v>
      </c>
      <c r="G3305" t="s">
        <v>27247</v>
      </c>
      <c r="H3305" t="s">
        <v>27248</v>
      </c>
      <c r="I3305" t="s">
        <v>33639</v>
      </c>
      <c r="J3305" t="s">
        <v>6613</v>
      </c>
      <c r="L3305" t="s">
        <v>27250</v>
      </c>
      <c r="M3305" t="s">
        <v>27251</v>
      </c>
      <c r="N3305" t="s">
        <v>27252</v>
      </c>
      <c r="Q3305" s="1">
        <v>44538</v>
      </c>
      <c r="R3305" t="s">
        <v>27253</v>
      </c>
      <c r="S3305" t="s">
        <v>27254</v>
      </c>
      <c r="T3305" t="s">
        <v>27255</v>
      </c>
    </row>
    <row r="3306" spans="1:20" x14ac:dyDescent="0.3">
      <c r="A3306" t="str">
        <f>"0611861532050"</f>
        <v>0611861532050</v>
      </c>
      <c r="B3306" t="str">
        <f>"CR3519"</f>
        <v>CR3519</v>
      </c>
      <c r="C3306" t="s">
        <v>33638</v>
      </c>
      <c r="D3306" t="s">
        <v>27263</v>
      </c>
      <c r="E3306" t="str">
        <f t="shared" si="51"/>
        <v>001390</v>
      </c>
      <c r="F3306" t="s">
        <v>27246</v>
      </c>
      <c r="G3306" t="s">
        <v>27247</v>
      </c>
      <c r="H3306" t="s">
        <v>27248</v>
      </c>
      <c r="I3306" t="s">
        <v>33640</v>
      </c>
      <c r="J3306" t="s">
        <v>6615</v>
      </c>
      <c r="L3306" t="s">
        <v>27250</v>
      </c>
      <c r="M3306" t="s">
        <v>27251</v>
      </c>
      <c r="N3306" t="s">
        <v>27252</v>
      </c>
      <c r="Q3306" s="1">
        <v>44846</v>
      </c>
      <c r="R3306" t="s">
        <v>27253</v>
      </c>
      <c r="S3306" t="s">
        <v>27254</v>
      </c>
      <c r="T3306" t="s">
        <v>27265</v>
      </c>
    </row>
    <row r="3307" spans="1:20" x14ac:dyDescent="0.3">
      <c r="A3307" t="str">
        <f>"0611833628100"</f>
        <v>0611833628100</v>
      </c>
      <c r="B3307" t="str">
        <f>"LQ3800"</f>
        <v>LQ3800</v>
      </c>
      <c r="C3307" t="s">
        <v>33641</v>
      </c>
      <c r="D3307" t="s">
        <v>27245</v>
      </c>
      <c r="E3307" t="str">
        <f t="shared" si="51"/>
        <v>001390</v>
      </c>
      <c r="F3307" t="s">
        <v>27246</v>
      </c>
      <c r="G3307" t="s">
        <v>27247</v>
      </c>
      <c r="H3307" t="s">
        <v>27248</v>
      </c>
      <c r="I3307" t="s">
        <v>33642</v>
      </c>
      <c r="J3307" t="s">
        <v>6617</v>
      </c>
      <c r="L3307" t="s">
        <v>27250</v>
      </c>
      <c r="M3307" t="s">
        <v>27251</v>
      </c>
      <c r="N3307" t="s">
        <v>27252</v>
      </c>
      <c r="Q3307" s="1">
        <v>44538</v>
      </c>
      <c r="R3307" t="s">
        <v>27253</v>
      </c>
      <c r="S3307" t="s">
        <v>27254</v>
      </c>
      <c r="T3307" t="s">
        <v>27255</v>
      </c>
    </row>
    <row r="3308" spans="1:20" x14ac:dyDescent="0.3">
      <c r="A3308" t="str">
        <f>"0611861533050"</f>
        <v>0611861533050</v>
      </c>
      <c r="B3308" t="str">
        <f>"CR4814"</f>
        <v>CR4814</v>
      </c>
      <c r="C3308" t="s">
        <v>33643</v>
      </c>
      <c r="D3308" t="s">
        <v>27263</v>
      </c>
      <c r="E3308" t="str">
        <f t="shared" si="51"/>
        <v>001390</v>
      </c>
      <c r="F3308" t="s">
        <v>27246</v>
      </c>
      <c r="G3308" t="s">
        <v>27247</v>
      </c>
      <c r="H3308" t="s">
        <v>27248</v>
      </c>
      <c r="I3308" t="s">
        <v>33644</v>
      </c>
      <c r="J3308" t="s">
        <v>6619</v>
      </c>
      <c r="L3308" t="s">
        <v>27250</v>
      </c>
      <c r="M3308" t="s">
        <v>27251</v>
      </c>
      <c r="N3308" t="s">
        <v>27252</v>
      </c>
      <c r="Q3308" s="1">
        <v>44846</v>
      </c>
      <c r="R3308" t="s">
        <v>27253</v>
      </c>
      <c r="S3308" t="s">
        <v>27254</v>
      </c>
      <c r="T3308" t="s">
        <v>27265</v>
      </c>
    </row>
    <row r="3309" spans="1:20" x14ac:dyDescent="0.3">
      <c r="A3309" t="str">
        <f>"0611861534050"</f>
        <v>0611861534050</v>
      </c>
      <c r="B3309" t="str">
        <f>"CR2154"</f>
        <v>CR2154</v>
      </c>
      <c r="C3309" t="s">
        <v>33645</v>
      </c>
      <c r="D3309" t="s">
        <v>27263</v>
      </c>
      <c r="E3309" t="str">
        <f t="shared" si="51"/>
        <v>001390</v>
      </c>
      <c r="F3309" t="s">
        <v>27246</v>
      </c>
      <c r="G3309" t="s">
        <v>27247</v>
      </c>
      <c r="H3309" t="s">
        <v>27248</v>
      </c>
      <c r="I3309" t="s">
        <v>33646</v>
      </c>
      <c r="J3309" t="s">
        <v>6621</v>
      </c>
      <c r="L3309" t="s">
        <v>27250</v>
      </c>
      <c r="M3309" t="s">
        <v>27251</v>
      </c>
      <c r="N3309" t="s">
        <v>27252</v>
      </c>
      <c r="Q3309" s="1">
        <v>44846</v>
      </c>
      <c r="R3309" t="s">
        <v>27253</v>
      </c>
      <c r="S3309" t="s">
        <v>27254</v>
      </c>
      <c r="T3309" t="s">
        <v>27265</v>
      </c>
    </row>
    <row r="3310" spans="1:20" x14ac:dyDescent="0.3">
      <c r="A3310" t="str">
        <f>"0611833629100"</f>
        <v>0611833629100</v>
      </c>
      <c r="B3310" t="str">
        <f>"LB2362"</f>
        <v>LB2362</v>
      </c>
      <c r="C3310" t="s">
        <v>33647</v>
      </c>
      <c r="D3310" t="s">
        <v>27245</v>
      </c>
      <c r="E3310" t="str">
        <f t="shared" si="51"/>
        <v>001390</v>
      </c>
      <c r="F3310" t="s">
        <v>27246</v>
      </c>
      <c r="G3310" t="s">
        <v>27247</v>
      </c>
      <c r="H3310" t="s">
        <v>27248</v>
      </c>
      <c r="I3310" t="s">
        <v>33648</v>
      </c>
      <c r="J3310" t="s">
        <v>6623</v>
      </c>
      <c r="L3310" t="s">
        <v>27250</v>
      </c>
      <c r="M3310" t="s">
        <v>27251</v>
      </c>
      <c r="N3310" t="s">
        <v>27252</v>
      </c>
      <c r="Q3310" s="1">
        <v>44538</v>
      </c>
      <c r="R3310" t="s">
        <v>27253</v>
      </c>
      <c r="S3310" t="s">
        <v>27254</v>
      </c>
      <c r="T3310" t="s">
        <v>27255</v>
      </c>
    </row>
    <row r="3311" spans="1:20" x14ac:dyDescent="0.3">
      <c r="A3311" t="str">
        <f>"0611833630100"</f>
        <v>0611833630100</v>
      </c>
      <c r="B3311" t="str">
        <f>"LK1850"</f>
        <v>LK1850</v>
      </c>
      <c r="C3311" t="s">
        <v>33649</v>
      </c>
      <c r="D3311" t="s">
        <v>27245</v>
      </c>
      <c r="E3311" t="str">
        <f t="shared" si="51"/>
        <v>001390</v>
      </c>
      <c r="F3311" t="s">
        <v>27246</v>
      </c>
      <c r="G3311" t="s">
        <v>27247</v>
      </c>
      <c r="H3311" t="s">
        <v>27248</v>
      </c>
      <c r="I3311" t="s">
        <v>33650</v>
      </c>
      <c r="J3311" t="s">
        <v>6625</v>
      </c>
      <c r="L3311" t="s">
        <v>27250</v>
      </c>
      <c r="M3311" t="s">
        <v>27251</v>
      </c>
      <c r="N3311" t="s">
        <v>27252</v>
      </c>
      <c r="Q3311" s="1">
        <v>44538</v>
      </c>
      <c r="R3311" t="s">
        <v>27253</v>
      </c>
      <c r="S3311" t="s">
        <v>27254</v>
      </c>
      <c r="T3311" t="s">
        <v>27255</v>
      </c>
    </row>
    <row r="3312" spans="1:20" x14ac:dyDescent="0.3">
      <c r="A3312" t="str">
        <f>"0611861535050"</f>
        <v>0611861535050</v>
      </c>
      <c r="B3312" t="str">
        <f>"CR3210"</f>
        <v>CR3210</v>
      </c>
      <c r="C3312" t="s">
        <v>33651</v>
      </c>
      <c r="D3312" t="s">
        <v>27263</v>
      </c>
      <c r="E3312" t="str">
        <f t="shared" si="51"/>
        <v>001390</v>
      </c>
      <c r="F3312" t="s">
        <v>27246</v>
      </c>
      <c r="G3312" t="s">
        <v>27247</v>
      </c>
      <c r="H3312" t="s">
        <v>27248</v>
      </c>
      <c r="I3312" t="s">
        <v>33652</v>
      </c>
      <c r="J3312" t="s">
        <v>6627</v>
      </c>
      <c r="L3312" t="s">
        <v>27250</v>
      </c>
      <c r="M3312" t="s">
        <v>27251</v>
      </c>
      <c r="N3312" t="s">
        <v>27252</v>
      </c>
      <c r="Q3312" s="1">
        <v>44846</v>
      </c>
      <c r="R3312" t="s">
        <v>27253</v>
      </c>
      <c r="S3312" t="s">
        <v>27254</v>
      </c>
      <c r="T3312" t="s">
        <v>27265</v>
      </c>
    </row>
    <row r="3313" spans="1:20" x14ac:dyDescent="0.3">
      <c r="A3313" t="str">
        <f>"0611861536050"</f>
        <v>0611861536050</v>
      </c>
      <c r="B3313" t="str">
        <f>"CR3520"</f>
        <v>CR3520</v>
      </c>
      <c r="C3313" t="s">
        <v>33653</v>
      </c>
      <c r="D3313" t="s">
        <v>27263</v>
      </c>
      <c r="E3313" t="str">
        <f t="shared" si="51"/>
        <v>001390</v>
      </c>
      <c r="F3313" t="s">
        <v>27246</v>
      </c>
      <c r="G3313" t="s">
        <v>27247</v>
      </c>
      <c r="H3313" t="s">
        <v>27248</v>
      </c>
      <c r="I3313" t="s">
        <v>33654</v>
      </c>
      <c r="J3313" t="s">
        <v>6629</v>
      </c>
      <c r="L3313" t="s">
        <v>27250</v>
      </c>
      <c r="M3313" t="s">
        <v>27251</v>
      </c>
      <c r="N3313" t="s">
        <v>27252</v>
      </c>
      <c r="Q3313" s="1">
        <v>44846</v>
      </c>
      <c r="R3313" t="s">
        <v>27253</v>
      </c>
      <c r="S3313" t="s">
        <v>27254</v>
      </c>
      <c r="T3313" t="s">
        <v>27265</v>
      </c>
    </row>
    <row r="3314" spans="1:20" x14ac:dyDescent="0.3">
      <c r="A3314" t="str">
        <f>"0611833631025"</f>
        <v>0611833631025</v>
      </c>
      <c r="B3314" t="str">
        <f>"MC1425"</f>
        <v>MC1425</v>
      </c>
      <c r="C3314" t="s">
        <v>33655</v>
      </c>
      <c r="D3314" t="s">
        <v>27267</v>
      </c>
      <c r="E3314" t="str">
        <f t="shared" si="51"/>
        <v>001390</v>
      </c>
      <c r="F3314" t="s">
        <v>27246</v>
      </c>
      <c r="G3314" t="s">
        <v>27247</v>
      </c>
      <c r="H3314" t="s">
        <v>27248</v>
      </c>
      <c r="I3314" t="s">
        <v>33656</v>
      </c>
      <c r="J3314" t="s">
        <v>6633</v>
      </c>
      <c r="L3314" t="s">
        <v>27250</v>
      </c>
      <c r="M3314" t="s">
        <v>27251</v>
      </c>
      <c r="N3314" t="s">
        <v>27252</v>
      </c>
      <c r="Q3314" s="1">
        <v>44538</v>
      </c>
      <c r="R3314" t="s">
        <v>27253</v>
      </c>
      <c r="S3314" t="s">
        <v>27254</v>
      </c>
      <c r="T3314" t="s">
        <v>27269</v>
      </c>
    </row>
    <row r="3315" spans="1:20" x14ac:dyDescent="0.3">
      <c r="A3315" t="str">
        <f>"0611833632100"</f>
        <v>0611833632100</v>
      </c>
      <c r="B3315" t="str">
        <f>"LS0016"</f>
        <v>LS0016</v>
      </c>
      <c r="C3315" t="s">
        <v>33655</v>
      </c>
      <c r="D3315" t="s">
        <v>27245</v>
      </c>
      <c r="E3315" t="str">
        <f t="shared" si="51"/>
        <v>001390</v>
      </c>
      <c r="F3315" t="s">
        <v>27246</v>
      </c>
      <c r="G3315" t="s">
        <v>27247</v>
      </c>
      <c r="H3315" t="s">
        <v>27248</v>
      </c>
      <c r="I3315" t="s">
        <v>33657</v>
      </c>
      <c r="J3315" t="s">
        <v>6631</v>
      </c>
      <c r="L3315" t="s">
        <v>27250</v>
      </c>
      <c r="M3315" t="s">
        <v>27251</v>
      </c>
      <c r="N3315" t="s">
        <v>27252</v>
      </c>
      <c r="Q3315" s="1">
        <v>44538</v>
      </c>
      <c r="R3315" t="s">
        <v>27253</v>
      </c>
      <c r="S3315" t="s">
        <v>27254</v>
      </c>
      <c r="T3315" t="s">
        <v>27255</v>
      </c>
    </row>
    <row r="3316" spans="1:20" x14ac:dyDescent="0.3">
      <c r="A3316" t="str">
        <f>"0611833633100"</f>
        <v>0611833633100</v>
      </c>
      <c r="B3316" t="str">
        <f>"LK1213"</f>
        <v>LK1213</v>
      </c>
      <c r="C3316" t="s">
        <v>33658</v>
      </c>
      <c r="D3316" t="s">
        <v>27245</v>
      </c>
      <c r="E3316" t="str">
        <f t="shared" si="51"/>
        <v>001390</v>
      </c>
      <c r="F3316" t="s">
        <v>27246</v>
      </c>
      <c r="G3316" t="s">
        <v>27247</v>
      </c>
      <c r="H3316" t="s">
        <v>27248</v>
      </c>
      <c r="I3316" t="s">
        <v>33659</v>
      </c>
      <c r="J3316" t="s">
        <v>6635</v>
      </c>
      <c r="L3316" t="s">
        <v>27250</v>
      </c>
      <c r="M3316" t="s">
        <v>27251</v>
      </c>
      <c r="N3316" t="s">
        <v>27252</v>
      </c>
      <c r="Q3316" s="1">
        <v>44538</v>
      </c>
      <c r="R3316" t="s">
        <v>27253</v>
      </c>
      <c r="S3316" t="s">
        <v>27254</v>
      </c>
      <c r="T3316" t="s">
        <v>27255</v>
      </c>
    </row>
    <row r="3317" spans="1:20" x14ac:dyDescent="0.3">
      <c r="A3317" t="str">
        <f>"0611833634100"</f>
        <v>0611833634100</v>
      </c>
      <c r="B3317" t="str">
        <f>"LK6776"</f>
        <v>LK6776</v>
      </c>
      <c r="C3317" t="s">
        <v>33660</v>
      </c>
      <c r="D3317" t="s">
        <v>27245</v>
      </c>
      <c r="E3317" t="str">
        <f t="shared" si="51"/>
        <v>001390</v>
      </c>
      <c r="F3317" t="s">
        <v>27246</v>
      </c>
      <c r="G3317" t="s">
        <v>27247</v>
      </c>
      <c r="H3317" t="s">
        <v>27248</v>
      </c>
      <c r="I3317" t="s">
        <v>33661</v>
      </c>
      <c r="J3317" t="s">
        <v>6637</v>
      </c>
      <c r="L3317" t="s">
        <v>27250</v>
      </c>
      <c r="M3317" t="s">
        <v>27251</v>
      </c>
      <c r="N3317" t="s">
        <v>27252</v>
      </c>
      <c r="Q3317" s="1">
        <v>44538</v>
      </c>
      <c r="R3317" t="s">
        <v>27253</v>
      </c>
      <c r="S3317" t="s">
        <v>27254</v>
      </c>
      <c r="T3317" t="s">
        <v>27255</v>
      </c>
    </row>
    <row r="3318" spans="1:20" x14ac:dyDescent="0.3">
      <c r="A3318" t="str">
        <f>"0611833635100"</f>
        <v>0611833635100</v>
      </c>
      <c r="B3318" t="str">
        <f>"LK2538"</f>
        <v>LK2538</v>
      </c>
      <c r="C3318" t="s">
        <v>33662</v>
      </c>
      <c r="D3318" t="s">
        <v>27245</v>
      </c>
      <c r="E3318" t="str">
        <f t="shared" si="51"/>
        <v>001390</v>
      </c>
      <c r="F3318" t="s">
        <v>27246</v>
      </c>
      <c r="G3318" t="s">
        <v>27247</v>
      </c>
      <c r="H3318" t="s">
        <v>27248</v>
      </c>
      <c r="I3318" t="s">
        <v>33663</v>
      </c>
      <c r="J3318" t="s">
        <v>6639</v>
      </c>
      <c r="L3318" t="s">
        <v>27250</v>
      </c>
      <c r="M3318" t="s">
        <v>27251</v>
      </c>
      <c r="N3318" t="s">
        <v>27252</v>
      </c>
      <c r="Q3318" s="1">
        <v>44538</v>
      </c>
      <c r="R3318" t="s">
        <v>27253</v>
      </c>
      <c r="S3318" t="s">
        <v>27254</v>
      </c>
      <c r="T3318" t="s">
        <v>27255</v>
      </c>
    </row>
    <row r="3319" spans="1:20" x14ac:dyDescent="0.3">
      <c r="A3319" t="str">
        <f>"0611833636100"</f>
        <v>0611833636100</v>
      </c>
      <c r="B3319" t="str">
        <f>"LK5456"</f>
        <v>LK5456</v>
      </c>
      <c r="C3319" t="s">
        <v>33664</v>
      </c>
      <c r="D3319" t="s">
        <v>28138</v>
      </c>
      <c r="E3319" t="str">
        <f t="shared" si="51"/>
        <v>001390</v>
      </c>
      <c r="F3319" t="s">
        <v>27246</v>
      </c>
      <c r="G3319" t="s">
        <v>27247</v>
      </c>
      <c r="H3319" t="s">
        <v>27248</v>
      </c>
      <c r="I3319" t="s">
        <v>33665</v>
      </c>
      <c r="J3319" t="s">
        <v>6641</v>
      </c>
      <c r="L3319" t="s">
        <v>27250</v>
      </c>
      <c r="M3319" t="s">
        <v>27251</v>
      </c>
      <c r="N3319" t="s">
        <v>27252</v>
      </c>
      <c r="P3319" t="s">
        <v>27925</v>
      </c>
      <c r="Q3319" s="1">
        <v>44538</v>
      </c>
      <c r="R3319" t="s">
        <v>27253</v>
      </c>
      <c r="S3319" t="s">
        <v>27254</v>
      </c>
      <c r="T3319" t="s">
        <v>27255</v>
      </c>
    </row>
    <row r="3320" spans="1:20" x14ac:dyDescent="0.3">
      <c r="A3320" t="str">
        <f>"0611884150100"</f>
        <v>0611884150100</v>
      </c>
      <c r="B3320" t="str">
        <f>"LK7131"</f>
        <v>LK7131</v>
      </c>
      <c r="C3320" t="s">
        <v>33666</v>
      </c>
      <c r="D3320" t="s">
        <v>27245</v>
      </c>
      <c r="E3320" t="str">
        <f t="shared" si="51"/>
        <v>001390</v>
      </c>
      <c r="F3320" t="s">
        <v>27246</v>
      </c>
      <c r="G3320" t="s">
        <v>27247</v>
      </c>
      <c r="H3320" t="s">
        <v>27248</v>
      </c>
      <c r="I3320" t="s">
        <v>33667</v>
      </c>
      <c r="J3320" t="s">
        <v>6643</v>
      </c>
      <c r="L3320" t="s">
        <v>27430</v>
      </c>
      <c r="M3320" t="s">
        <v>27251</v>
      </c>
      <c r="N3320" t="s">
        <v>27252</v>
      </c>
      <c r="Q3320" s="1">
        <v>45250</v>
      </c>
      <c r="R3320" t="s">
        <v>27253</v>
      </c>
      <c r="S3320" t="s">
        <v>27254</v>
      </c>
      <c r="T3320" t="s">
        <v>27255</v>
      </c>
    </row>
    <row r="3321" spans="1:20" x14ac:dyDescent="0.3">
      <c r="A3321" t="str">
        <f>"0611884151100"</f>
        <v>0611884151100</v>
      </c>
      <c r="B3321" t="str">
        <f>"LK7132"</f>
        <v>LK7132</v>
      </c>
      <c r="C3321" t="s">
        <v>33668</v>
      </c>
      <c r="D3321" t="s">
        <v>27245</v>
      </c>
      <c r="E3321" t="str">
        <f t="shared" si="51"/>
        <v>001390</v>
      </c>
      <c r="F3321" t="s">
        <v>27246</v>
      </c>
      <c r="G3321" t="s">
        <v>27247</v>
      </c>
      <c r="H3321" t="s">
        <v>27248</v>
      </c>
      <c r="I3321" t="s">
        <v>33669</v>
      </c>
      <c r="J3321" t="s">
        <v>6645</v>
      </c>
      <c r="L3321" t="s">
        <v>27430</v>
      </c>
      <c r="M3321" t="s">
        <v>27251</v>
      </c>
      <c r="N3321" t="s">
        <v>27252</v>
      </c>
      <c r="Q3321" s="1">
        <v>45250</v>
      </c>
      <c r="R3321" t="s">
        <v>27253</v>
      </c>
      <c r="S3321" t="s">
        <v>27254</v>
      </c>
      <c r="T3321" t="s">
        <v>27255</v>
      </c>
    </row>
    <row r="3322" spans="1:20" x14ac:dyDescent="0.3">
      <c r="A3322" t="str">
        <f>"0611884152100"</f>
        <v>0611884152100</v>
      </c>
      <c r="B3322" t="str">
        <f>"LK7133"</f>
        <v>LK7133</v>
      </c>
      <c r="C3322" t="s">
        <v>33670</v>
      </c>
      <c r="D3322" t="s">
        <v>27245</v>
      </c>
      <c r="E3322" t="str">
        <f t="shared" si="51"/>
        <v>001390</v>
      </c>
      <c r="F3322" t="s">
        <v>27246</v>
      </c>
      <c r="G3322" t="s">
        <v>27247</v>
      </c>
      <c r="H3322" t="s">
        <v>27248</v>
      </c>
      <c r="I3322" t="s">
        <v>33671</v>
      </c>
      <c r="J3322" t="s">
        <v>6647</v>
      </c>
      <c r="L3322" t="s">
        <v>27430</v>
      </c>
      <c r="M3322" t="s">
        <v>27251</v>
      </c>
      <c r="N3322" t="s">
        <v>27252</v>
      </c>
      <c r="Q3322" s="1">
        <v>45250</v>
      </c>
      <c r="R3322" t="s">
        <v>27253</v>
      </c>
      <c r="S3322" t="s">
        <v>27254</v>
      </c>
      <c r="T3322" t="s">
        <v>27255</v>
      </c>
    </row>
    <row r="3323" spans="1:20" x14ac:dyDescent="0.3">
      <c r="A3323" t="str">
        <f>"0611861537050"</f>
        <v>0611861537050</v>
      </c>
      <c r="B3323" t="str">
        <f>"CR3264"</f>
        <v>CR3264</v>
      </c>
      <c r="C3323" t="s">
        <v>33672</v>
      </c>
      <c r="D3323" t="s">
        <v>27263</v>
      </c>
      <c r="E3323" t="str">
        <f t="shared" si="51"/>
        <v>001390</v>
      </c>
      <c r="F3323" t="s">
        <v>27246</v>
      </c>
      <c r="G3323" t="s">
        <v>27247</v>
      </c>
      <c r="H3323" t="s">
        <v>27248</v>
      </c>
      <c r="I3323" t="s">
        <v>33673</v>
      </c>
      <c r="J3323" t="s">
        <v>6649</v>
      </c>
      <c r="L3323" t="s">
        <v>27250</v>
      </c>
      <c r="M3323" t="s">
        <v>27251</v>
      </c>
      <c r="N3323" t="s">
        <v>27252</v>
      </c>
      <c r="Q3323" s="1">
        <v>44846</v>
      </c>
      <c r="R3323" t="s">
        <v>27253</v>
      </c>
      <c r="S3323" t="s">
        <v>27254</v>
      </c>
      <c r="T3323" t="s">
        <v>27265</v>
      </c>
    </row>
    <row r="3324" spans="1:20" x14ac:dyDescent="0.3">
      <c r="A3324" t="str">
        <f>"0611833637100"</f>
        <v>0611833637100</v>
      </c>
      <c r="B3324" t="str">
        <f>"LB2363"</f>
        <v>LB2363</v>
      </c>
      <c r="C3324" t="s">
        <v>33674</v>
      </c>
      <c r="D3324" t="s">
        <v>27245</v>
      </c>
      <c r="E3324" t="str">
        <f t="shared" si="51"/>
        <v>001390</v>
      </c>
      <c r="F3324" t="s">
        <v>27246</v>
      </c>
      <c r="G3324" t="s">
        <v>27247</v>
      </c>
      <c r="H3324" t="s">
        <v>27248</v>
      </c>
      <c r="I3324" t="s">
        <v>33675</v>
      </c>
      <c r="J3324" t="s">
        <v>6651</v>
      </c>
      <c r="L3324" t="s">
        <v>27250</v>
      </c>
      <c r="M3324" t="s">
        <v>27251</v>
      </c>
      <c r="N3324" t="s">
        <v>27252</v>
      </c>
      <c r="Q3324" s="1">
        <v>44538</v>
      </c>
      <c r="R3324" t="s">
        <v>27253</v>
      </c>
      <c r="S3324" t="s">
        <v>27254</v>
      </c>
      <c r="T3324" t="s">
        <v>27255</v>
      </c>
    </row>
    <row r="3325" spans="1:20" x14ac:dyDescent="0.3">
      <c r="A3325" t="str">
        <f>"0611833639100"</f>
        <v>0611833639100</v>
      </c>
      <c r="B3325" t="str">
        <f>"LG1650"</f>
        <v>LG1650</v>
      </c>
      <c r="C3325" t="s">
        <v>33676</v>
      </c>
      <c r="D3325" t="s">
        <v>27245</v>
      </c>
      <c r="E3325" t="str">
        <f t="shared" si="51"/>
        <v>001390</v>
      </c>
      <c r="F3325" t="s">
        <v>27246</v>
      </c>
      <c r="G3325" t="s">
        <v>27247</v>
      </c>
      <c r="H3325" t="s">
        <v>27248</v>
      </c>
      <c r="I3325" t="s">
        <v>33677</v>
      </c>
      <c r="J3325" t="s">
        <v>6653</v>
      </c>
      <c r="L3325" t="s">
        <v>27250</v>
      </c>
      <c r="M3325" t="s">
        <v>27251</v>
      </c>
      <c r="N3325" t="s">
        <v>27252</v>
      </c>
      <c r="Q3325" s="1">
        <v>44538</v>
      </c>
      <c r="R3325" t="s">
        <v>27253</v>
      </c>
      <c r="S3325" t="s">
        <v>27254</v>
      </c>
      <c r="T3325" t="s">
        <v>27255</v>
      </c>
    </row>
    <row r="3326" spans="1:20" x14ac:dyDescent="0.3">
      <c r="A3326" t="str">
        <f>"0611833641100"</f>
        <v>0611833641100</v>
      </c>
      <c r="B3326" t="str">
        <f>"LG1769"</f>
        <v>LG1769</v>
      </c>
      <c r="C3326" t="s">
        <v>33678</v>
      </c>
      <c r="D3326" t="s">
        <v>27245</v>
      </c>
      <c r="E3326" t="str">
        <f t="shared" si="51"/>
        <v>001390</v>
      </c>
      <c r="F3326" t="s">
        <v>27246</v>
      </c>
      <c r="G3326" t="s">
        <v>27247</v>
      </c>
      <c r="H3326" t="s">
        <v>27248</v>
      </c>
      <c r="I3326" t="s">
        <v>33679</v>
      </c>
      <c r="J3326" t="s">
        <v>6655</v>
      </c>
      <c r="L3326" t="s">
        <v>27250</v>
      </c>
      <c r="M3326" t="s">
        <v>27251</v>
      </c>
      <c r="N3326" t="s">
        <v>27252</v>
      </c>
      <c r="Q3326" s="1">
        <v>44538</v>
      </c>
      <c r="R3326" t="s">
        <v>27253</v>
      </c>
      <c r="S3326" t="s">
        <v>27254</v>
      </c>
      <c r="T3326" t="s">
        <v>27255</v>
      </c>
    </row>
    <row r="3327" spans="1:20" x14ac:dyDescent="0.3">
      <c r="A3327" t="str">
        <f>"0611833642100"</f>
        <v>0611833642100</v>
      </c>
      <c r="B3327" t="str">
        <f>"LK0052"</f>
        <v>LK0052</v>
      </c>
      <c r="C3327" t="s">
        <v>33680</v>
      </c>
      <c r="D3327" t="s">
        <v>27245</v>
      </c>
      <c r="E3327" t="str">
        <f t="shared" si="51"/>
        <v>001390</v>
      </c>
      <c r="F3327" t="s">
        <v>27246</v>
      </c>
      <c r="G3327" t="s">
        <v>27247</v>
      </c>
      <c r="H3327" t="s">
        <v>27248</v>
      </c>
      <c r="I3327" t="s">
        <v>33681</v>
      </c>
      <c r="J3327" t="s">
        <v>6657</v>
      </c>
      <c r="L3327" t="s">
        <v>27250</v>
      </c>
      <c r="M3327" t="s">
        <v>27251</v>
      </c>
      <c r="N3327" t="s">
        <v>27252</v>
      </c>
      <c r="Q3327" s="1">
        <v>44538</v>
      </c>
      <c r="R3327" t="s">
        <v>27253</v>
      </c>
      <c r="S3327" t="s">
        <v>27254</v>
      </c>
      <c r="T3327" t="s">
        <v>27255</v>
      </c>
    </row>
    <row r="3328" spans="1:20" x14ac:dyDescent="0.3">
      <c r="A3328" t="str">
        <f>"0611833643100"</f>
        <v>0611833643100</v>
      </c>
      <c r="B3328" t="str">
        <f>"LG1771"</f>
        <v>LG1771</v>
      </c>
      <c r="C3328" t="s">
        <v>33682</v>
      </c>
      <c r="D3328" t="s">
        <v>27245</v>
      </c>
      <c r="E3328" t="str">
        <f t="shared" si="51"/>
        <v>001390</v>
      </c>
      <c r="F3328" t="s">
        <v>27246</v>
      </c>
      <c r="G3328" t="s">
        <v>27247</v>
      </c>
      <c r="H3328" t="s">
        <v>27248</v>
      </c>
      <c r="I3328" t="s">
        <v>33683</v>
      </c>
      <c r="J3328" t="s">
        <v>6659</v>
      </c>
      <c r="L3328" t="s">
        <v>27250</v>
      </c>
      <c r="M3328" t="s">
        <v>27251</v>
      </c>
      <c r="N3328" t="s">
        <v>27252</v>
      </c>
      <c r="Q3328" s="1">
        <v>44538</v>
      </c>
      <c r="R3328" t="s">
        <v>27253</v>
      </c>
      <c r="S3328" t="s">
        <v>27254</v>
      </c>
      <c r="T3328" t="s">
        <v>27255</v>
      </c>
    </row>
    <row r="3329" spans="1:20" x14ac:dyDescent="0.3">
      <c r="A3329" t="str">
        <f>"0611833647100"</f>
        <v>0611833647100</v>
      </c>
      <c r="B3329" t="str">
        <f>"LG1776"</f>
        <v>LG1776</v>
      </c>
      <c r="C3329" t="s">
        <v>33684</v>
      </c>
      <c r="D3329" t="s">
        <v>27245</v>
      </c>
      <c r="E3329" t="str">
        <f t="shared" si="51"/>
        <v>001390</v>
      </c>
      <c r="F3329" t="s">
        <v>27246</v>
      </c>
      <c r="G3329" t="s">
        <v>27247</v>
      </c>
      <c r="H3329" t="s">
        <v>27248</v>
      </c>
      <c r="I3329" t="s">
        <v>33685</v>
      </c>
      <c r="J3329" t="s">
        <v>6661</v>
      </c>
      <c r="L3329" t="s">
        <v>27250</v>
      </c>
      <c r="M3329" t="s">
        <v>27251</v>
      </c>
      <c r="N3329" t="s">
        <v>27252</v>
      </c>
      <c r="Q3329" s="1">
        <v>44538</v>
      </c>
      <c r="R3329" t="s">
        <v>27253</v>
      </c>
      <c r="S3329" t="s">
        <v>27254</v>
      </c>
      <c r="T3329" t="s">
        <v>27255</v>
      </c>
    </row>
    <row r="3330" spans="1:20" x14ac:dyDescent="0.3">
      <c r="A3330" t="str">
        <f>"0611833648100"</f>
        <v>0611833648100</v>
      </c>
      <c r="B3330" t="str">
        <f>"LH8829"</f>
        <v>LH8829</v>
      </c>
      <c r="C3330" t="s">
        <v>33686</v>
      </c>
      <c r="D3330" t="s">
        <v>27245</v>
      </c>
      <c r="E3330" t="str">
        <f t="shared" ref="E3330:E3393" si="52">"001390"</f>
        <v>001390</v>
      </c>
      <c r="F3330" t="s">
        <v>27246</v>
      </c>
      <c r="G3330" t="s">
        <v>27247</v>
      </c>
      <c r="H3330" t="s">
        <v>27248</v>
      </c>
      <c r="I3330" t="s">
        <v>33687</v>
      </c>
      <c r="J3330" t="s">
        <v>6663</v>
      </c>
      <c r="L3330" t="s">
        <v>27250</v>
      </c>
      <c r="M3330" t="s">
        <v>27251</v>
      </c>
      <c r="N3330" t="s">
        <v>27252</v>
      </c>
      <c r="Q3330" s="1">
        <v>44538</v>
      </c>
      <c r="R3330" t="s">
        <v>27253</v>
      </c>
      <c r="S3330" t="s">
        <v>27254</v>
      </c>
      <c r="T3330" t="s">
        <v>27255</v>
      </c>
    </row>
    <row r="3331" spans="1:20" x14ac:dyDescent="0.3">
      <c r="A3331" t="str">
        <f>"0611833649025"</f>
        <v>0611833649025</v>
      </c>
      <c r="B3331" t="str">
        <f>"MC2716"</f>
        <v>MC2716</v>
      </c>
      <c r="C3331" t="s">
        <v>33688</v>
      </c>
      <c r="D3331" t="s">
        <v>27267</v>
      </c>
      <c r="E3331" t="str">
        <f t="shared" si="52"/>
        <v>001390</v>
      </c>
      <c r="F3331" t="s">
        <v>27246</v>
      </c>
      <c r="G3331" t="s">
        <v>27247</v>
      </c>
      <c r="H3331" t="s">
        <v>27248</v>
      </c>
      <c r="I3331" t="s">
        <v>33689</v>
      </c>
      <c r="J3331" t="s">
        <v>6665</v>
      </c>
      <c r="L3331" t="s">
        <v>27250</v>
      </c>
      <c r="M3331" t="s">
        <v>27251</v>
      </c>
      <c r="N3331" t="s">
        <v>27252</v>
      </c>
      <c r="Q3331" s="1">
        <v>44538</v>
      </c>
      <c r="R3331" t="s">
        <v>27253</v>
      </c>
      <c r="S3331" t="s">
        <v>27254</v>
      </c>
      <c r="T3331" t="s">
        <v>27269</v>
      </c>
    </row>
    <row r="3332" spans="1:20" x14ac:dyDescent="0.3">
      <c r="A3332" t="str">
        <f>"0611884153025"</f>
        <v>0611884153025</v>
      </c>
      <c r="B3332" t="str">
        <f>"MC4482"</f>
        <v>MC4482</v>
      </c>
      <c r="C3332" t="s">
        <v>33690</v>
      </c>
      <c r="D3332" t="s">
        <v>27267</v>
      </c>
      <c r="E3332" t="str">
        <f t="shared" si="52"/>
        <v>001390</v>
      </c>
      <c r="F3332" t="s">
        <v>27246</v>
      </c>
      <c r="G3332" t="s">
        <v>27247</v>
      </c>
      <c r="H3332" t="s">
        <v>27248</v>
      </c>
      <c r="I3332" t="s">
        <v>33691</v>
      </c>
      <c r="J3332" t="s">
        <v>14225</v>
      </c>
      <c r="L3332" t="s">
        <v>27430</v>
      </c>
      <c r="M3332" t="s">
        <v>27251</v>
      </c>
      <c r="N3332" t="s">
        <v>27252</v>
      </c>
      <c r="Q3332" s="1">
        <v>45250</v>
      </c>
      <c r="R3332" t="s">
        <v>27253</v>
      </c>
      <c r="S3332" t="s">
        <v>27254</v>
      </c>
      <c r="T3332" t="s">
        <v>27269</v>
      </c>
    </row>
    <row r="3333" spans="1:20" x14ac:dyDescent="0.3">
      <c r="A3333" t="str">
        <f>"0611833650100"</f>
        <v>0611833650100</v>
      </c>
      <c r="B3333" t="str">
        <f>"LC7360"</f>
        <v>LC7360</v>
      </c>
      <c r="C3333" t="s">
        <v>33692</v>
      </c>
      <c r="D3333" t="s">
        <v>27245</v>
      </c>
      <c r="E3333" t="str">
        <f t="shared" si="52"/>
        <v>001390</v>
      </c>
      <c r="F3333" t="s">
        <v>27246</v>
      </c>
      <c r="G3333" t="s">
        <v>27247</v>
      </c>
      <c r="H3333" t="s">
        <v>27248</v>
      </c>
      <c r="I3333" t="s">
        <v>33693</v>
      </c>
      <c r="J3333" t="s">
        <v>14223</v>
      </c>
      <c r="L3333" t="s">
        <v>27250</v>
      </c>
      <c r="M3333" t="s">
        <v>27251</v>
      </c>
      <c r="N3333" t="s">
        <v>27252</v>
      </c>
      <c r="Q3333" s="1">
        <v>44538</v>
      </c>
      <c r="R3333" t="s">
        <v>27253</v>
      </c>
      <c r="S3333" t="s">
        <v>27254</v>
      </c>
      <c r="T3333" t="s">
        <v>27255</v>
      </c>
    </row>
    <row r="3334" spans="1:20" x14ac:dyDescent="0.3">
      <c r="A3334" t="str">
        <f>"0611833651100"</f>
        <v>0611833651100</v>
      </c>
      <c r="B3334" t="str">
        <f>"LL0100"</f>
        <v>LL0100</v>
      </c>
      <c r="C3334" t="s">
        <v>33694</v>
      </c>
      <c r="D3334" t="s">
        <v>27245</v>
      </c>
      <c r="E3334" t="str">
        <f t="shared" si="52"/>
        <v>001390</v>
      </c>
      <c r="F3334" t="s">
        <v>27246</v>
      </c>
      <c r="G3334" t="s">
        <v>27247</v>
      </c>
      <c r="H3334" t="s">
        <v>27248</v>
      </c>
      <c r="I3334" t="s">
        <v>33695</v>
      </c>
      <c r="J3334" t="s">
        <v>1080</v>
      </c>
      <c r="L3334" t="s">
        <v>27250</v>
      </c>
      <c r="M3334" t="s">
        <v>27251</v>
      </c>
      <c r="N3334" t="s">
        <v>27252</v>
      </c>
      <c r="Q3334" s="1">
        <v>44538</v>
      </c>
      <c r="R3334" t="s">
        <v>27253</v>
      </c>
      <c r="S3334" t="s">
        <v>27254</v>
      </c>
      <c r="T3334" t="s">
        <v>27255</v>
      </c>
    </row>
    <row r="3335" spans="1:20" x14ac:dyDescent="0.3">
      <c r="A3335" t="str">
        <f>"0611833652100"</f>
        <v>0611833652100</v>
      </c>
      <c r="B3335" t="str">
        <f>"LL1191"</f>
        <v>LL1191</v>
      </c>
      <c r="C3335" t="s">
        <v>33696</v>
      </c>
      <c r="D3335" t="s">
        <v>27245</v>
      </c>
      <c r="E3335" t="str">
        <f t="shared" si="52"/>
        <v>001390</v>
      </c>
      <c r="F3335" t="s">
        <v>27246</v>
      </c>
      <c r="G3335" t="s">
        <v>27247</v>
      </c>
      <c r="H3335" t="s">
        <v>27248</v>
      </c>
      <c r="I3335" t="s">
        <v>33697</v>
      </c>
      <c r="J3335" t="s">
        <v>4201</v>
      </c>
      <c r="L3335" t="s">
        <v>27250</v>
      </c>
      <c r="M3335" t="s">
        <v>27251</v>
      </c>
      <c r="N3335" t="s">
        <v>27252</v>
      </c>
      <c r="Q3335" s="1">
        <v>44538</v>
      </c>
      <c r="R3335" t="s">
        <v>27253</v>
      </c>
      <c r="S3335" t="s">
        <v>27254</v>
      </c>
      <c r="T3335" t="s">
        <v>27255</v>
      </c>
    </row>
    <row r="3336" spans="1:20" x14ac:dyDescent="0.3">
      <c r="A3336" t="str">
        <f>"0611833653100"</f>
        <v>0611833653100</v>
      </c>
      <c r="B3336" t="str">
        <f>"LK4657"</f>
        <v>LK4657</v>
      </c>
      <c r="C3336" t="s">
        <v>33698</v>
      </c>
      <c r="D3336" t="s">
        <v>27245</v>
      </c>
      <c r="E3336" t="str">
        <f t="shared" si="52"/>
        <v>001390</v>
      </c>
      <c r="F3336" t="s">
        <v>27246</v>
      </c>
      <c r="G3336" t="s">
        <v>27247</v>
      </c>
      <c r="H3336" t="s">
        <v>27248</v>
      </c>
      <c r="I3336" t="s">
        <v>33699</v>
      </c>
      <c r="J3336" t="s">
        <v>6667</v>
      </c>
      <c r="L3336" t="s">
        <v>27250</v>
      </c>
      <c r="M3336" t="s">
        <v>27251</v>
      </c>
      <c r="N3336" t="s">
        <v>27252</v>
      </c>
      <c r="Q3336" s="1">
        <v>44538</v>
      </c>
      <c r="R3336" t="s">
        <v>27253</v>
      </c>
      <c r="S3336" t="s">
        <v>27254</v>
      </c>
      <c r="T3336" t="s">
        <v>27255</v>
      </c>
    </row>
    <row r="3337" spans="1:20" x14ac:dyDescent="0.3">
      <c r="A3337" t="str">
        <f>"0611833654100"</f>
        <v>0611833654100</v>
      </c>
      <c r="B3337" t="str">
        <f>"LK6335"</f>
        <v>LK6335</v>
      </c>
      <c r="C3337" t="s">
        <v>33700</v>
      </c>
      <c r="D3337" t="s">
        <v>27245</v>
      </c>
      <c r="E3337" t="str">
        <f t="shared" si="52"/>
        <v>001390</v>
      </c>
      <c r="F3337" t="s">
        <v>27246</v>
      </c>
      <c r="G3337" t="s">
        <v>27247</v>
      </c>
      <c r="H3337" t="s">
        <v>27248</v>
      </c>
      <c r="I3337" t="s">
        <v>33701</v>
      </c>
      <c r="J3337" t="s">
        <v>6669</v>
      </c>
      <c r="L3337" t="s">
        <v>27250</v>
      </c>
      <c r="M3337" t="s">
        <v>27251</v>
      </c>
      <c r="N3337" t="s">
        <v>27252</v>
      </c>
      <c r="Q3337" s="1">
        <v>44538</v>
      </c>
      <c r="R3337" t="s">
        <v>27253</v>
      </c>
      <c r="S3337" t="s">
        <v>27254</v>
      </c>
      <c r="T3337" t="s">
        <v>27255</v>
      </c>
    </row>
    <row r="3338" spans="1:20" x14ac:dyDescent="0.3">
      <c r="A3338" t="str">
        <f>"0611833655100"</f>
        <v>0611833655100</v>
      </c>
      <c r="B3338" t="str">
        <f>"LK3705"</f>
        <v>LK3705</v>
      </c>
      <c r="C3338" t="s">
        <v>33702</v>
      </c>
      <c r="D3338" t="s">
        <v>27245</v>
      </c>
      <c r="E3338" t="str">
        <f t="shared" si="52"/>
        <v>001390</v>
      </c>
      <c r="F3338" t="s">
        <v>27246</v>
      </c>
      <c r="G3338" t="s">
        <v>27247</v>
      </c>
      <c r="H3338" t="s">
        <v>27248</v>
      </c>
      <c r="I3338" t="s">
        <v>33703</v>
      </c>
      <c r="J3338" t="s">
        <v>6671</v>
      </c>
      <c r="L3338" t="s">
        <v>27250</v>
      </c>
      <c r="M3338" t="s">
        <v>27251</v>
      </c>
      <c r="N3338" t="s">
        <v>27252</v>
      </c>
      <c r="Q3338" s="1">
        <v>44538</v>
      </c>
      <c r="R3338" t="s">
        <v>27253</v>
      </c>
      <c r="S3338" t="s">
        <v>27254</v>
      </c>
      <c r="T3338" t="s">
        <v>27255</v>
      </c>
    </row>
    <row r="3339" spans="1:20" x14ac:dyDescent="0.3">
      <c r="A3339" t="str">
        <f>"0611833656100"</f>
        <v>0611833656100</v>
      </c>
      <c r="B3339" t="str">
        <f>"LH3003"</f>
        <v>LH3003</v>
      </c>
      <c r="C3339" t="s">
        <v>33704</v>
      </c>
      <c r="D3339" t="s">
        <v>27245</v>
      </c>
      <c r="E3339" t="str">
        <f t="shared" si="52"/>
        <v>001390</v>
      </c>
      <c r="F3339" t="s">
        <v>27246</v>
      </c>
      <c r="G3339" t="s">
        <v>27247</v>
      </c>
      <c r="H3339" t="s">
        <v>27248</v>
      </c>
      <c r="I3339" t="s">
        <v>33705</v>
      </c>
      <c r="J3339" t="s">
        <v>6673</v>
      </c>
      <c r="L3339" t="s">
        <v>27250</v>
      </c>
      <c r="M3339" t="s">
        <v>27251</v>
      </c>
      <c r="N3339" t="s">
        <v>27252</v>
      </c>
      <c r="Q3339" s="1">
        <v>44538</v>
      </c>
      <c r="R3339" t="s">
        <v>27253</v>
      </c>
      <c r="S3339" t="s">
        <v>27254</v>
      </c>
      <c r="T3339" t="s">
        <v>27255</v>
      </c>
    </row>
    <row r="3340" spans="1:20" x14ac:dyDescent="0.3">
      <c r="A3340" t="str">
        <f>"0611833657100"</f>
        <v>0611833657100</v>
      </c>
      <c r="B3340" t="str">
        <f>"LC8610"</f>
        <v>LC8610</v>
      </c>
      <c r="C3340" t="s">
        <v>33706</v>
      </c>
      <c r="D3340" t="s">
        <v>27245</v>
      </c>
      <c r="E3340" t="str">
        <f t="shared" si="52"/>
        <v>001390</v>
      </c>
      <c r="F3340" t="s">
        <v>27246</v>
      </c>
      <c r="G3340" t="s">
        <v>27247</v>
      </c>
      <c r="H3340" t="s">
        <v>27248</v>
      </c>
      <c r="I3340" t="s">
        <v>33707</v>
      </c>
      <c r="J3340" t="s">
        <v>6675</v>
      </c>
      <c r="L3340" t="s">
        <v>27250</v>
      </c>
      <c r="M3340" t="s">
        <v>27251</v>
      </c>
      <c r="N3340" t="s">
        <v>27252</v>
      </c>
      <c r="Q3340" s="1">
        <v>44538</v>
      </c>
      <c r="R3340" t="s">
        <v>27253</v>
      </c>
      <c r="S3340" t="s">
        <v>27254</v>
      </c>
      <c r="T3340" t="s">
        <v>27255</v>
      </c>
    </row>
    <row r="3341" spans="1:20" x14ac:dyDescent="0.3">
      <c r="A3341" t="str">
        <f>"0611836880100"</f>
        <v>0611836880100</v>
      </c>
      <c r="B3341" t="str">
        <f>"LG1900"</f>
        <v>LG1900</v>
      </c>
      <c r="C3341" t="s">
        <v>33708</v>
      </c>
      <c r="D3341" t="s">
        <v>27245</v>
      </c>
      <c r="E3341" t="str">
        <f t="shared" si="52"/>
        <v>001390</v>
      </c>
      <c r="F3341" t="s">
        <v>27246</v>
      </c>
      <c r="G3341" t="s">
        <v>27247</v>
      </c>
      <c r="H3341" t="s">
        <v>27248</v>
      </c>
      <c r="I3341" t="s">
        <v>33709</v>
      </c>
      <c r="J3341" t="s">
        <v>6677</v>
      </c>
      <c r="L3341" t="s">
        <v>27250</v>
      </c>
      <c r="M3341" t="s">
        <v>27251</v>
      </c>
      <c r="N3341" t="s">
        <v>27252</v>
      </c>
      <c r="Q3341" s="1">
        <v>44538</v>
      </c>
      <c r="R3341" t="s">
        <v>27253</v>
      </c>
      <c r="S3341" t="s">
        <v>27254</v>
      </c>
      <c r="T3341" t="s">
        <v>27255</v>
      </c>
    </row>
    <row r="3342" spans="1:20" x14ac:dyDescent="0.3">
      <c r="A3342" t="str">
        <f>"0611836881100"</f>
        <v>0611836881100</v>
      </c>
      <c r="B3342" t="str">
        <f>"LG4900"</f>
        <v>LG4900</v>
      </c>
      <c r="C3342" t="s">
        <v>33710</v>
      </c>
      <c r="D3342" t="s">
        <v>27245</v>
      </c>
      <c r="E3342" t="str">
        <f t="shared" si="52"/>
        <v>001390</v>
      </c>
      <c r="F3342" t="s">
        <v>27246</v>
      </c>
      <c r="G3342" t="s">
        <v>27247</v>
      </c>
      <c r="H3342" t="s">
        <v>27248</v>
      </c>
      <c r="I3342" t="s">
        <v>33711</v>
      </c>
      <c r="J3342" t="s">
        <v>6679</v>
      </c>
      <c r="L3342" t="s">
        <v>27250</v>
      </c>
      <c r="M3342" t="s">
        <v>27251</v>
      </c>
      <c r="N3342" t="s">
        <v>27252</v>
      </c>
      <c r="Q3342" s="1">
        <v>44538</v>
      </c>
      <c r="R3342" t="s">
        <v>27253</v>
      </c>
      <c r="S3342" t="s">
        <v>27254</v>
      </c>
      <c r="T3342" t="s">
        <v>27255</v>
      </c>
    </row>
    <row r="3343" spans="1:20" x14ac:dyDescent="0.3">
      <c r="A3343" t="str">
        <f>"0611836882100"</f>
        <v>0611836882100</v>
      </c>
      <c r="B3343" t="str">
        <f>"LG1905"</f>
        <v>LG1905</v>
      </c>
      <c r="C3343" t="s">
        <v>33712</v>
      </c>
      <c r="D3343" t="s">
        <v>27245</v>
      </c>
      <c r="E3343" t="str">
        <f t="shared" si="52"/>
        <v>001390</v>
      </c>
      <c r="F3343" t="s">
        <v>27246</v>
      </c>
      <c r="G3343" t="s">
        <v>27247</v>
      </c>
      <c r="H3343" t="s">
        <v>27248</v>
      </c>
      <c r="I3343" t="s">
        <v>33713</v>
      </c>
      <c r="J3343" t="s">
        <v>6681</v>
      </c>
      <c r="L3343" t="s">
        <v>27250</v>
      </c>
      <c r="M3343" t="s">
        <v>27251</v>
      </c>
      <c r="N3343" t="s">
        <v>27252</v>
      </c>
      <c r="Q3343" s="1">
        <v>44538</v>
      </c>
      <c r="R3343" t="s">
        <v>27253</v>
      </c>
      <c r="S3343" t="s">
        <v>27254</v>
      </c>
      <c r="T3343" t="s">
        <v>27255</v>
      </c>
    </row>
    <row r="3344" spans="1:20" x14ac:dyDescent="0.3">
      <c r="A3344" t="str">
        <f>"0611836883100"</f>
        <v>0611836883100</v>
      </c>
      <c r="B3344" t="str">
        <f>"LG1901"</f>
        <v>LG1901</v>
      </c>
      <c r="C3344" t="s">
        <v>33714</v>
      </c>
      <c r="D3344" t="s">
        <v>27245</v>
      </c>
      <c r="E3344" t="str">
        <f t="shared" si="52"/>
        <v>001390</v>
      </c>
      <c r="F3344" t="s">
        <v>27246</v>
      </c>
      <c r="G3344" t="s">
        <v>27247</v>
      </c>
      <c r="H3344" t="s">
        <v>27248</v>
      </c>
      <c r="I3344" t="s">
        <v>33715</v>
      </c>
      <c r="J3344" t="s">
        <v>6683</v>
      </c>
      <c r="L3344" t="s">
        <v>27250</v>
      </c>
      <c r="M3344" t="s">
        <v>27251</v>
      </c>
      <c r="N3344" t="s">
        <v>27252</v>
      </c>
      <c r="Q3344" s="1">
        <v>44538</v>
      </c>
      <c r="R3344" t="s">
        <v>27253</v>
      </c>
      <c r="S3344" t="s">
        <v>27254</v>
      </c>
      <c r="T3344" t="s">
        <v>27255</v>
      </c>
    </row>
    <row r="3345" spans="1:20" x14ac:dyDescent="0.3">
      <c r="A3345" t="str">
        <f>"0611834105100"</f>
        <v>0611834105100</v>
      </c>
      <c r="B3345" t="str">
        <f>"LB2370"</f>
        <v>LB2370</v>
      </c>
      <c r="C3345" t="s">
        <v>33716</v>
      </c>
      <c r="D3345" t="s">
        <v>27245</v>
      </c>
      <c r="E3345" t="str">
        <f t="shared" si="52"/>
        <v>001390</v>
      </c>
      <c r="F3345" t="s">
        <v>27246</v>
      </c>
      <c r="G3345" t="s">
        <v>27247</v>
      </c>
      <c r="H3345" t="s">
        <v>27248</v>
      </c>
      <c r="I3345" t="s">
        <v>33717</v>
      </c>
      <c r="J3345" t="s">
        <v>6685</v>
      </c>
      <c r="L3345" t="s">
        <v>27250</v>
      </c>
      <c r="M3345" t="s">
        <v>27251</v>
      </c>
      <c r="N3345" t="s">
        <v>27252</v>
      </c>
      <c r="Q3345" s="1">
        <v>44538</v>
      </c>
      <c r="R3345" t="s">
        <v>27253</v>
      </c>
      <c r="S3345" t="s">
        <v>27254</v>
      </c>
      <c r="T3345" t="s">
        <v>27255</v>
      </c>
    </row>
    <row r="3346" spans="1:20" x14ac:dyDescent="0.3">
      <c r="A3346" t="str">
        <f>"0611833658100"</f>
        <v>0611833658100</v>
      </c>
      <c r="B3346" t="str">
        <f>"LK4174"</f>
        <v>LK4174</v>
      </c>
      <c r="C3346" t="s">
        <v>33718</v>
      </c>
      <c r="D3346" t="s">
        <v>27245</v>
      </c>
      <c r="E3346" t="str">
        <f t="shared" si="52"/>
        <v>001390</v>
      </c>
      <c r="F3346" t="s">
        <v>27246</v>
      </c>
      <c r="G3346" t="s">
        <v>27247</v>
      </c>
      <c r="H3346" t="s">
        <v>27248</v>
      </c>
      <c r="I3346" t="s">
        <v>33719</v>
      </c>
      <c r="J3346" t="s">
        <v>6687</v>
      </c>
      <c r="L3346" t="s">
        <v>27250</v>
      </c>
      <c r="M3346" t="s">
        <v>27251</v>
      </c>
      <c r="N3346" t="s">
        <v>27252</v>
      </c>
      <c r="Q3346" s="1">
        <v>44538</v>
      </c>
      <c r="R3346" t="s">
        <v>27253</v>
      </c>
      <c r="S3346" t="s">
        <v>27254</v>
      </c>
      <c r="T3346" t="s">
        <v>27255</v>
      </c>
    </row>
    <row r="3347" spans="1:20" x14ac:dyDescent="0.3">
      <c r="A3347" t="str">
        <f>"0611861538050"</f>
        <v>0611861538050</v>
      </c>
      <c r="B3347" t="str">
        <f>"CE1628"</f>
        <v>CE1628</v>
      </c>
      <c r="C3347" t="s">
        <v>33720</v>
      </c>
      <c r="D3347" t="s">
        <v>27923</v>
      </c>
      <c r="E3347" t="str">
        <f t="shared" si="52"/>
        <v>001390</v>
      </c>
      <c r="F3347" t="s">
        <v>27246</v>
      </c>
      <c r="G3347" t="s">
        <v>27247</v>
      </c>
      <c r="H3347" t="s">
        <v>27248</v>
      </c>
      <c r="I3347" t="s">
        <v>33721</v>
      </c>
      <c r="J3347" t="s">
        <v>6689</v>
      </c>
      <c r="L3347" t="s">
        <v>27250</v>
      </c>
      <c r="M3347" t="s">
        <v>27251</v>
      </c>
      <c r="N3347" t="s">
        <v>27252</v>
      </c>
      <c r="P3347" t="s">
        <v>27925</v>
      </c>
      <c r="Q3347" s="1">
        <v>44846</v>
      </c>
      <c r="R3347" t="s">
        <v>27253</v>
      </c>
      <c r="S3347" t="s">
        <v>27254</v>
      </c>
      <c r="T3347" t="s">
        <v>27265</v>
      </c>
    </row>
    <row r="3348" spans="1:20" x14ac:dyDescent="0.3">
      <c r="A3348" t="str">
        <f>"0611861539050"</f>
        <v>0611861539050</v>
      </c>
      <c r="B3348" t="str">
        <f>"CE1302"</f>
        <v>CE1302</v>
      </c>
      <c r="C3348" t="s">
        <v>33722</v>
      </c>
      <c r="D3348" t="s">
        <v>27923</v>
      </c>
      <c r="E3348" t="str">
        <f t="shared" si="52"/>
        <v>001390</v>
      </c>
      <c r="F3348" t="s">
        <v>27246</v>
      </c>
      <c r="G3348" t="s">
        <v>27247</v>
      </c>
      <c r="H3348" t="s">
        <v>27248</v>
      </c>
      <c r="I3348" t="s">
        <v>33723</v>
      </c>
      <c r="J3348" t="s">
        <v>6691</v>
      </c>
      <c r="L3348" t="s">
        <v>27250</v>
      </c>
      <c r="M3348" t="s">
        <v>27251</v>
      </c>
      <c r="N3348" t="s">
        <v>27252</v>
      </c>
      <c r="P3348" t="s">
        <v>27925</v>
      </c>
      <c r="Q3348" s="1">
        <v>44846</v>
      </c>
      <c r="R3348" t="s">
        <v>27253</v>
      </c>
      <c r="S3348" t="s">
        <v>27254</v>
      </c>
      <c r="T3348" t="s">
        <v>27265</v>
      </c>
    </row>
    <row r="3349" spans="1:20" x14ac:dyDescent="0.3">
      <c r="A3349" t="str">
        <f>"0611861540050"</f>
        <v>0611861540050</v>
      </c>
      <c r="B3349" t="str">
        <f>"CE1698"</f>
        <v>CE1698</v>
      </c>
      <c r="C3349" t="s">
        <v>33724</v>
      </c>
      <c r="D3349" t="s">
        <v>27923</v>
      </c>
      <c r="E3349" t="str">
        <f t="shared" si="52"/>
        <v>001390</v>
      </c>
      <c r="F3349" t="s">
        <v>27246</v>
      </c>
      <c r="G3349" t="s">
        <v>27247</v>
      </c>
      <c r="H3349" t="s">
        <v>27248</v>
      </c>
      <c r="I3349" t="s">
        <v>33725</v>
      </c>
      <c r="J3349" t="s">
        <v>6693</v>
      </c>
      <c r="L3349" t="s">
        <v>27250</v>
      </c>
      <c r="M3349" t="s">
        <v>27251</v>
      </c>
      <c r="N3349" t="s">
        <v>27252</v>
      </c>
      <c r="P3349" t="s">
        <v>27925</v>
      </c>
      <c r="Q3349" s="1">
        <v>44846</v>
      </c>
      <c r="R3349" t="s">
        <v>27253</v>
      </c>
      <c r="S3349" t="s">
        <v>27254</v>
      </c>
      <c r="T3349" t="s">
        <v>27265</v>
      </c>
    </row>
    <row r="3350" spans="1:20" x14ac:dyDescent="0.3">
      <c r="A3350" t="str">
        <f>"0611861541050"</f>
        <v>0611861541050</v>
      </c>
      <c r="B3350" t="str">
        <f>"CE1477"</f>
        <v>CE1477</v>
      </c>
      <c r="C3350" t="s">
        <v>33726</v>
      </c>
      <c r="D3350" t="s">
        <v>27923</v>
      </c>
      <c r="E3350" t="str">
        <f t="shared" si="52"/>
        <v>001390</v>
      </c>
      <c r="F3350" t="s">
        <v>27246</v>
      </c>
      <c r="G3350" t="s">
        <v>27247</v>
      </c>
      <c r="H3350" t="s">
        <v>27248</v>
      </c>
      <c r="I3350" t="s">
        <v>33727</v>
      </c>
      <c r="J3350" t="s">
        <v>6695</v>
      </c>
      <c r="L3350" t="s">
        <v>27250</v>
      </c>
      <c r="M3350" t="s">
        <v>27251</v>
      </c>
      <c r="N3350" t="s">
        <v>27252</v>
      </c>
      <c r="P3350" t="s">
        <v>27925</v>
      </c>
      <c r="Q3350" s="1">
        <v>44846</v>
      </c>
      <c r="R3350" t="s">
        <v>27253</v>
      </c>
      <c r="S3350" t="s">
        <v>27254</v>
      </c>
      <c r="T3350" t="s">
        <v>27265</v>
      </c>
    </row>
    <row r="3351" spans="1:20" x14ac:dyDescent="0.3">
      <c r="A3351" t="str">
        <f>"0611861542050"</f>
        <v>0611861542050</v>
      </c>
      <c r="B3351" t="str">
        <f>"CE1594"</f>
        <v>CE1594</v>
      </c>
      <c r="C3351" t="s">
        <v>33728</v>
      </c>
      <c r="D3351" t="s">
        <v>27923</v>
      </c>
      <c r="E3351" t="str">
        <f t="shared" si="52"/>
        <v>001390</v>
      </c>
      <c r="F3351" t="s">
        <v>27246</v>
      </c>
      <c r="G3351" t="s">
        <v>27247</v>
      </c>
      <c r="H3351" t="s">
        <v>27248</v>
      </c>
      <c r="I3351" t="s">
        <v>33729</v>
      </c>
      <c r="J3351" t="s">
        <v>6697</v>
      </c>
      <c r="L3351" t="s">
        <v>27250</v>
      </c>
      <c r="M3351" t="s">
        <v>27251</v>
      </c>
      <c r="N3351" t="s">
        <v>27252</v>
      </c>
      <c r="P3351" t="s">
        <v>27925</v>
      </c>
      <c r="Q3351" s="1">
        <v>44846</v>
      </c>
      <c r="R3351" t="s">
        <v>27253</v>
      </c>
      <c r="S3351" t="s">
        <v>27254</v>
      </c>
      <c r="T3351" t="s">
        <v>27265</v>
      </c>
    </row>
    <row r="3352" spans="1:20" x14ac:dyDescent="0.3">
      <c r="A3352" t="str">
        <f>"0611861543050"</f>
        <v>0611861543050</v>
      </c>
      <c r="B3352" t="str">
        <f>"CE1303"</f>
        <v>CE1303</v>
      </c>
      <c r="C3352" t="s">
        <v>33730</v>
      </c>
      <c r="D3352" t="s">
        <v>27923</v>
      </c>
      <c r="E3352" t="str">
        <f t="shared" si="52"/>
        <v>001390</v>
      </c>
      <c r="F3352" t="s">
        <v>27246</v>
      </c>
      <c r="G3352" t="s">
        <v>27247</v>
      </c>
      <c r="H3352" t="s">
        <v>27248</v>
      </c>
      <c r="I3352" t="s">
        <v>33731</v>
      </c>
      <c r="J3352" t="s">
        <v>6699</v>
      </c>
      <c r="L3352" t="s">
        <v>27250</v>
      </c>
      <c r="M3352" t="s">
        <v>27251</v>
      </c>
      <c r="N3352" t="s">
        <v>27252</v>
      </c>
      <c r="P3352" t="s">
        <v>27925</v>
      </c>
      <c r="Q3352" s="1">
        <v>44846</v>
      </c>
      <c r="R3352" t="s">
        <v>27253</v>
      </c>
      <c r="S3352" t="s">
        <v>27254</v>
      </c>
      <c r="T3352" t="s">
        <v>27265</v>
      </c>
    </row>
    <row r="3353" spans="1:20" x14ac:dyDescent="0.3">
      <c r="A3353" t="str">
        <f>"0611861544050"</f>
        <v>0611861544050</v>
      </c>
      <c r="B3353" t="str">
        <f>"CE1304"</f>
        <v>CE1304</v>
      </c>
      <c r="C3353" t="s">
        <v>33732</v>
      </c>
      <c r="D3353" t="s">
        <v>27923</v>
      </c>
      <c r="E3353" t="str">
        <f t="shared" si="52"/>
        <v>001390</v>
      </c>
      <c r="F3353" t="s">
        <v>27246</v>
      </c>
      <c r="G3353" t="s">
        <v>27247</v>
      </c>
      <c r="H3353" t="s">
        <v>27248</v>
      </c>
      <c r="I3353" t="s">
        <v>33733</v>
      </c>
      <c r="J3353" t="s">
        <v>6701</v>
      </c>
      <c r="L3353" t="s">
        <v>27250</v>
      </c>
      <c r="M3353" t="s">
        <v>27251</v>
      </c>
      <c r="N3353" t="s">
        <v>27252</v>
      </c>
      <c r="P3353" t="s">
        <v>27925</v>
      </c>
      <c r="Q3353" s="1">
        <v>44846</v>
      </c>
      <c r="R3353" t="s">
        <v>27253</v>
      </c>
      <c r="S3353" t="s">
        <v>27254</v>
      </c>
      <c r="T3353" t="s">
        <v>27265</v>
      </c>
    </row>
    <row r="3354" spans="1:20" x14ac:dyDescent="0.3">
      <c r="A3354" t="str">
        <f>"0611861545050"</f>
        <v>0611861545050</v>
      </c>
      <c r="B3354" t="str">
        <f>"CE1305"</f>
        <v>CE1305</v>
      </c>
      <c r="C3354" t="s">
        <v>33734</v>
      </c>
      <c r="D3354" t="s">
        <v>27923</v>
      </c>
      <c r="E3354" t="str">
        <f t="shared" si="52"/>
        <v>001390</v>
      </c>
      <c r="F3354" t="s">
        <v>27246</v>
      </c>
      <c r="G3354" t="s">
        <v>27247</v>
      </c>
      <c r="H3354" t="s">
        <v>27248</v>
      </c>
      <c r="I3354" t="s">
        <v>33735</v>
      </c>
      <c r="J3354" t="s">
        <v>6703</v>
      </c>
      <c r="L3354" t="s">
        <v>27250</v>
      </c>
      <c r="M3354" t="s">
        <v>27251</v>
      </c>
      <c r="N3354" t="s">
        <v>27252</v>
      </c>
      <c r="P3354" t="s">
        <v>27925</v>
      </c>
      <c r="Q3354" s="1">
        <v>44846</v>
      </c>
      <c r="R3354" t="s">
        <v>27253</v>
      </c>
      <c r="S3354" t="s">
        <v>27254</v>
      </c>
      <c r="T3354" t="s">
        <v>27265</v>
      </c>
    </row>
    <row r="3355" spans="1:20" x14ac:dyDescent="0.3">
      <c r="A3355" t="str">
        <f>"0611861546050"</f>
        <v>0611861546050</v>
      </c>
      <c r="B3355" t="str">
        <f>"CE1306"</f>
        <v>CE1306</v>
      </c>
      <c r="C3355" t="s">
        <v>33736</v>
      </c>
      <c r="D3355" t="s">
        <v>27923</v>
      </c>
      <c r="E3355" t="str">
        <f t="shared" si="52"/>
        <v>001390</v>
      </c>
      <c r="F3355" t="s">
        <v>27246</v>
      </c>
      <c r="G3355" t="s">
        <v>27247</v>
      </c>
      <c r="H3355" t="s">
        <v>27248</v>
      </c>
      <c r="I3355" t="s">
        <v>33737</v>
      </c>
      <c r="J3355" t="s">
        <v>6705</v>
      </c>
      <c r="L3355" t="s">
        <v>27250</v>
      </c>
      <c r="M3355" t="s">
        <v>27251</v>
      </c>
      <c r="N3355" t="s">
        <v>27252</v>
      </c>
      <c r="P3355" t="s">
        <v>27925</v>
      </c>
      <c r="Q3355" s="1">
        <v>44846</v>
      </c>
      <c r="R3355" t="s">
        <v>27253</v>
      </c>
      <c r="S3355" t="s">
        <v>27254</v>
      </c>
      <c r="T3355" t="s">
        <v>27265</v>
      </c>
    </row>
    <row r="3356" spans="1:20" x14ac:dyDescent="0.3">
      <c r="A3356" t="str">
        <f>"0611861547050"</f>
        <v>0611861547050</v>
      </c>
      <c r="B3356" t="str">
        <f>"CE1595"</f>
        <v>CE1595</v>
      </c>
      <c r="C3356" t="s">
        <v>33738</v>
      </c>
      <c r="D3356" t="s">
        <v>27923</v>
      </c>
      <c r="E3356" t="str">
        <f t="shared" si="52"/>
        <v>001390</v>
      </c>
      <c r="F3356" t="s">
        <v>27246</v>
      </c>
      <c r="G3356" t="s">
        <v>27247</v>
      </c>
      <c r="H3356" t="s">
        <v>27248</v>
      </c>
      <c r="I3356" t="s">
        <v>33739</v>
      </c>
      <c r="J3356" t="s">
        <v>6707</v>
      </c>
      <c r="L3356" t="s">
        <v>27250</v>
      </c>
      <c r="M3356" t="s">
        <v>27251</v>
      </c>
      <c r="N3356" t="s">
        <v>27252</v>
      </c>
      <c r="P3356" t="s">
        <v>27925</v>
      </c>
      <c r="Q3356" s="1">
        <v>44846</v>
      </c>
      <c r="R3356" t="s">
        <v>27253</v>
      </c>
      <c r="S3356" t="s">
        <v>27254</v>
      </c>
      <c r="T3356" t="s">
        <v>27265</v>
      </c>
    </row>
    <row r="3357" spans="1:20" x14ac:dyDescent="0.3">
      <c r="A3357" t="str">
        <f>"0611861548050"</f>
        <v>0611861548050</v>
      </c>
      <c r="B3357" t="str">
        <f>"CE1307"</f>
        <v>CE1307</v>
      </c>
      <c r="C3357" t="s">
        <v>33740</v>
      </c>
      <c r="D3357" t="s">
        <v>27923</v>
      </c>
      <c r="E3357" t="str">
        <f t="shared" si="52"/>
        <v>001390</v>
      </c>
      <c r="F3357" t="s">
        <v>27246</v>
      </c>
      <c r="G3357" t="s">
        <v>27247</v>
      </c>
      <c r="H3357" t="s">
        <v>27248</v>
      </c>
      <c r="I3357" t="s">
        <v>33741</v>
      </c>
      <c r="J3357" t="s">
        <v>6709</v>
      </c>
      <c r="L3357" t="s">
        <v>27250</v>
      </c>
      <c r="M3357" t="s">
        <v>27251</v>
      </c>
      <c r="N3357" t="s">
        <v>27252</v>
      </c>
      <c r="P3357" t="s">
        <v>27925</v>
      </c>
      <c r="Q3357" s="1">
        <v>44846</v>
      </c>
      <c r="R3357" t="s">
        <v>27253</v>
      </c>
      <c r="S3357" t="s">
        <v>27254</v>
      </c>
      <c r="T3357" t="s">
        <v>27265</v>
      </c>
    </row>
    <row r="3358" spans="1:20" x14ac:dyDescent="0.3">
      <c r="A3358" t="str">
        <f>"0611861549050"</f>
        <v>0611861549050</v>
      </c>
      <c r="B3358" t="str">
        <f>"CE1479"</f>
        <v>CE1479</v>
      </c>
      <c r="C3358" t="s">
        <v>33742</v>
      </c>
      <c r="D3358" t="s">
        <v>27923</v>
      </c>
      <c r="E3358" t="str">
        <f t="shared" si="52"/>
        <v>001390</v>
      </c>
      <c r="F3358" t="s">
        <v>27246</v>
      </c>
      <c r="G3358" t="s">
        <v>27247</v>
      </c>
      <c r="H3358" t="s">
        <v>27248</v>
      </c>
      <c r="I3358" t="s">
        <v>33743</v>
      </c>
      <c r="J3358" t="s">
        <v>6711</v>
      </c>
      <c r="L3358" t="s">
        <v>27250</v>
      </c>
      <c r="M3358" t="s">
        <v>27251</v>
      </c>
      <c r="N3358" t="s">
        <v>27252</v>
      </c>
      <c r="P3358" t="s">
        <v>27925</v>
      </c>
      <c r="Q3358" s="1">
        <v>44846</v>
      </c>
      <c r="R3358" t="s">
        <v>27253</v>
      </c>
      <c r="S3358" t="s">
        <v>27254</v>
      </c>
      <c r="T3358" t="s">
        <v>27265</v>
      </c>
    </row>
    <row r="3359" spans="1:20" x14ac:dyDescent="0.3">
      <c r="A3359" t="str">
        <f>"0611861550050"</f>
        <v>0611861550050</v>
      </c>
      <c r="B3359" t="str">
        <f>"CE1596"</f>
        <v>CE1596</v>
      </c>
      <c r="C3359" t="s">
        <v>33744</v>
      </c>
      <c r="D3359" t="s">
        <v>27923</v>
      </c>
      <c r="E3359" t="str">
        <f t="shared" si="52"/>
        <v>001390</v>
      </c>
      <c r="F3359" t="s">
        <v>27246</v>
      </c>
      <c r="G3359" t="s">
        <v>27247</v>
      </c>
      <c r="H3359" t="s">
        <v>27248</v>
      </c>
      <c r="I3359" t="s">
        <v>33745</v>
      </c>
      <c r="J3359" t="s">
        <v>6713</v>
      </c>
      <c r="L3359" t="s">
        <v>27250</v>
      </c>
      <c r="M3359" t="s">
        <v>27251</v>
      </c>
      <c r="N3359" t="s">
        <v>27252</v>
      </c>
      <c r="P3359" t="s">
        <v>27925</v>
      </c>
      <c r="Q3359" s="1">
        <v>44846</v>
      </c>
      <c r="R3359" t="s">
        <v>27253</v>
      </c>
      <c r="S3359" t="s">
        <v>27254</v>
      </c>
      <c r="T3359" t="s">
        <v>27265</v>
      </c>
    </row>
    <row r="3360" spans="1:20" x14ac:dyDescent="0.3">
      <c r="A3360" t="str">
        <f>"0611861551050"</f>
        <v>0611861551050</v>
      </c>
      <c r="B3360" t="str">
        <f>"CE1308"</f>
        <v>CE1308</v>
      </c>
      <c r="C3360" t="s">
        <v>33746</v>
      </c>
      <c r="D3360" t="s">
        <v>27923</v>
      </c>
      <c r="E3360" t="str">
        <f t="shared" si="52"/>
        <v>001390</v>
      </c>
      <c r="F3360" t="s">
        <v>27246</v>
      </c>
      <c r="G3360" t="s">
        <v>27247</v>
      </c>
      <c r="H3360" t="s">
        <v>27248</v>
      </c>
      <c r="I3360" t="s">
        <v>33747</v>
      </c>
      <c r="J3360" t="s">
        <v>6715</v>
      </c>
      <c r="L3360" t="s">
        <v>27250</v>
      </c>
      <c r="M3360" t="s">
        <v>27251</v>
      </c>
      <c r="N3360" t="s">
        <v>27252</v>
      </c>
      <c r="P3360" t="s">
        <v>27925</v>
      </c>
      <c r="Q3360" s="1">
        <v>44846</v>
      </c>
      <c r="R3360" t="s">
        <v>27253</v>
      </c>
      <c r="S3360" t="s">
        <v>27254</v>
      </c>
      <c r="T3360" t="s">
        <v>27265</v>
      </c>
    </row>
    <row r="3361" spans="1:20" x14ac:dyDescent="0.3">
      <c r="A3361" t="str">
        <f>"0611861552050"</f>
        <v>0611861552050</v>
      </c>
      <c r="B3361" t="str">
        <f>"CR2171"</f>
        <v>CR2171</v>
      </c>
      <c r="C3361" t="s">
        <v>33748</v>
      </c>
      <c r="D3361" t="s">
        <v>27271</v>
      </c>
      <c r="E3361" t="str">
        <f t="shared" si="52"/>
        <v>001390</v>
      </c>
      <c r="F3361" t="s">
        <v>27246</v>
      </c>
      <c r="G3361" t="s">
        <v>27247</v>
      </c>
      <c r="H3361" t="s">
        <v>27248</v>
      </c>
      <c r="I3361" t="s">
        <v>33749</v>
      </c>
      <c r="J3361" t="s">
        <v>6717</v>
      </c>
      <c r="L3361" t="s">
        <v>27250</v>
      </c>
      <c r="M3361" t="s">
        <v>27251</v>
      </c>
      <c r="N3361" t="s">
        <v>27252</v>
      </c>
      <c r="P3361" t="s">
        <v>27341</v>
      </c>
      <c r="Q3361" s="1">
        <v>44846</v>
      </c>
      <c r="R3361" t="s">
        <v>27253</v>
      </c>
      <c r="S3361" t="s">
        <v>27254</v>
      </c>
      <c r="T3361" t="s">
        <v>27265</v>
      </c>
    </row>
    <row r="3362" spans="1:20" x14ac:dyDescent="0.3">
      <c r="A3362" t="str">
        <f>"0611861553050"</f>
        <v>0611861553050</v>
      </c>
      <c r="B3362" t="str">
        <f>"CR2172"</f>
        <v>CR2172</v>
      </c>
      <c r="C3362" t="s">
        <v>33750</v>
      </c>
      <c r="D3362" t="s">
        <v>27271</v>
      </c>
      <c r="E3362" t="str">
        <f t="shared" si="52"/>
        <v>001390</v>
      </c>
      <c r="F3362" t="s">
        <v>27246</v>
      </c>
      <c r="G3362" t="s">
        <v>27247</v>
      </c>
      <c r="H3362" t="s">
        <v>27248</v>
      </c>
      <c r="I3362" t="s">
        <v>33751</v>
      </c>
      <c r="J3362" t="s">
        <v>6719</v>
      </c>
      <c r="L3362" t="s">
        <v>27250</v>
      </c>
      <c r="M3362" t="s">
        <v>27251</v>
      </c>
      <c r="N3362" t="s">
        <v>27252</v>
      </c>
      <c r="P3362" t="s">
        <v>27341</v>
      </c>
      <c r="Q3362" s="1">
        <v>44846</v>
      </c>
      <c r="R3362" t="s">
        <v>27253</v>
      </c>
      <c r="S3362" t="s">
        <v>27254</v>
      </c>
      <c r="T3362" t="s">
        <v>27265</v>
      </c>
    </row>
    <row r="3363" spans="1:20" x14ac:dyDescent="0.3">
      <c r="A3363" t="str">
        <f>"0611861554050"</f>
        <v>0611861554050</v>
      </c>
      <c r="B3363" t="str">
        <f>"CR2173"</f>
        <v>CR2173</v>
      </c>
      <c r="C3363" t="s">
        <v>33752</v>
      </c>
      <c r="D3363" t="s">
        <v>27271</v>
      </c>
      <c r="E3363" t="str">
        <f t="shared" si="52"/>
        <v>001390</v>
      </c>
      <c r="F3363" t="s">
        <v>27246</v>
      </c>
      <c r="G3363" t="s">
        <v>27247</v>
      </c>
      <c r="H3363" t="s">
        <v>27248</v>
      </c>
      <c r="I3363" t="s">
        <v>33753</v>
      </c>
      <c r="J3363" t="s">
        <v>6721</v>
      </c>
      <c r="L3363" t="s">
        <v>27250</v>
      </c>
      <c r="M3363" t="s">
        <v>27251</v>
      </c>
      <c r="N3363" t="s">
        <v>27252</v>
      </c>
      <c r="P3363" t="s">
        <v>27341</v>
      </c>
      <c r="Q3363" s="1">
        <v>44846</v>
      </c>
      <c r="R3363" t="s">
        <v>27253</v>
      </c>
      <c r="S3363" t="s">
        <v>27254</v>
      </c>
      <c r="T3363" t="s">
        <v>27265</v>
      </c>
    </row>
    <row r="3364" spans="1:20" x14ac:dyDescent="0.3">
      <c r="A3364" t="str">
        <f>"0611861555050"</f>
        <v>0611861555050</v>
      </c>
      <c r="B3364" t="str">
        <f>"CR2174"</f>
        <v>CR2174</v>
      </c>
      <c r="C3364" t="s">
        <v>33754</v>
      </c>
      <c r="D3364" t="s">
        <v>27271</v>
      </c>
      <c r="E3364" t="str">
        <f t="shared" si="52"/>
        <v>001390</v>
      </c>
      <c r="F3364" t="s">
        <v>27246</v>
      </c>
      <c r="G3364" t="s">
        <v>27247</v>
      </c>
      <c r="H3364" t="s">
        <v>27248</v>
      </c>
      <c r="I3364" t="s">
        <v>33755</v>
      </c>
      <c r="J3364" t="s">
        <v>6723</v>
      </c>
      <c r="L3364" t="s">
        <v>27250</v>
      </c>
      <c r="M3364" t="s">
        <v>27251</v>
      </c>
      <c r="N3364" t="s">
        <v>27252</v>
      </c>
      <c r="P3364" t="s">
        <v>27341</v>
      </c>
      <c r="Q3364" s="1">
        <v>44846</v>
      </c>
      <c r="R3364" t="s">
        <v>27253</v>
      </c>
      <c r="S3364" t="s">
        <v>27254</v>
      </c>
      <c r="T3364" t="s">
        <v>27265</v>
      </c>
    </row>
    <row r="3365" spans="1:20" x14ac:dyDescent="0.3">
      <c r="A3365" t="str">
        <f>"0611861556050"</f>
        <v>0611861556050</v>
      </c>
      <c r="B3365" t="str">
        <f>"CR2175"</f>
        <v>CR2175</v>
      </c>
      <c r="C3365" t="s">
        <v>33756</v>
      </c>
      <c r="D3365" t="s">
        <v>27271</v>
      </c>
      <c r="E3365" t="str">
        <f t="shared" si="52"/>
        <v>001390</v>
      </c>
      <c r="F3365" t="s">
        <v>27246</v>
      </c>
      <c r="G3365" t="s">
        <v>27247</v>
      </c>
      <c r="H3365" t="s">
        <v>27248</v>
      </c>
      <c r="I3365" t="s">
        <v>33757</v>
      </c>
      <c r="J3365" t="s">
        <v>6725</v>
      </c>
      <c r="L3365" t="s">
        <v>27250</v>
      </c>
      <c r="M3365" t="s">
        <v>27251</v>
      </c>
      <c r="N3365" t="s">
        <v>27252</v>
      </c>
      <c r="P3365" t="s">
        <v>27341</v>
      </c>
      <c r="Q3365" s="1">
        <v>44846</v>
      </c>
      <c r="R3365" t="s">
        <v>27253</v>
      </c>
      <c r="S3365" t="s">
        <v>27254</v>
      </c>
      <c r="T3365" t="s">
        <v>27265</v>
      </c>
    </row>
    <row r="3366" spans="1:20" x14ac:dyDescent="0.3">
      <c r="A3366" t="str">
        <f>"0611861557050"</f>
        <v>0611861557050</v>
      </c>
      <c r="B3366" t="str">
        <f>"CR2176"</f>
        <v>CR2176</v>
      </c>
      <c r="C3366" t="s">
        <v>33758</v>
      </c>
      <c r="D3366" t="s">
        <v>27271</v>
      </c>
      <c r="E3366" t="str">
        <f t="shared" si="52"/>
        <v>001390</v>
      </c>
      <c r="F3366" t="s">
        <v>27246</v>
      </c>
      <c r="G3366" t="s">
        <v>27247</v>
      </c>
      <c r="H3366" t="s">
        <v>27248</v>
      </c>
      <c r="I3366" t="s">
        <v>33759</v>
      </c>
      <c r="J3366" t="s">
        <v>6727</v>
      </c>
      <c r="L3366" t="s">
        <v>27250</v>
      </c>
      <c r="M3366" t="s">
        <v>27251</v>
      </c>
      <c r="N3366" t="s">
        <v>27252</v>
      </c>
      <c r="P3366" t="s">
        <v>27341</v>
      </c>
      <c r="Q3366" s="1">
        <v>44846</v>
      </c>
      <c r="R3366" t="s">
        <v>27253</v>
      </c>
      <c r="S3366" t="s">
        <v>27254</v>
      </c>
      <c r="T3366" t="s">
        <v>27265</v>
      </c>
    </row>
    <row r="3367" spans="1:20" x14ac:dyDescent="0.3">
      <c r="A3367" t="str">
        <f>"0611861558050"</f>
        <v>0611861558050</v>
      </c>
      <c r="B3367" t="str">
        <f>"CR2177"</f>
        <v>CR2177</v>
      </c>
      <c r="C3367" t="s">
        <v>33760</v>
      </c>
      <c r="D3367" t="s">
        <v>27271</v>
      </c>
      <c r="E3367" t="str">
        <f t="shared" si="52"/>
        <v>001390</v>
      </c>
      <c r="F3367" t="s">
        <v>27246</v>
      </c>
      <c r="G3367" t="s">
        <v>27247</v>
      </c>
      <c r="H3367" t="s">
        <v>27248</v>
      </c>
      <c r="I3367" t="s">
        <v>33761</v>
      </c>
      <c r="J3367" t="s">
        <v>6729</v>
      </c>
      <c r="L3367" t="s">
        <v>27250</v>
      </c>
      <c r="M3367" t="s">
        <v>27251</v>
      </c>
      <c r="N3367" t="s">
        <v>27252</v>
      </c>
      <c r="P3367" t="s">
        <v>27341</v>
      </c>
      <c r="Q3367" s="1">
        <v>44846</v>
      </c>
      <c r="R3367" t="s">
        <v>27253</v>
      </c>
      <c r="S3367" t="s">
        <v>27254</v>
      </c>
      <c r="T3367" t="s">
        <v>27265</v>
      </c>
    </row>
    <row r="3368" spans="1:20" x14ac:dyDescent="0.3">
      <c r="A3368" t="str">
        <f>"0611861559050"</f>
        <v>0611861559050</v>
      </c>
      <c r="B3368" t="str">
        <f>"CR2178"</f>
        <v>CR2178</v>
      </c>
      <c r="C3368" t="s">
        <v>33762</v>
      </c>
      <c r="D3368" t="s">
        <v>27271</v>
      </c>
      <c r="E3368" t="str">
        <f t="shared" si="52"/>
        <v>001390</v>
      </c>
      <c r="F3368" t="s">
        <v>27246</v>
      </c>
      <c r="G3368" t="s">
        <v>27247</v>
      </c>
      <c r="H3368" t="s">
        <v>27248</v>
      </c>
      <c r="I3368" t="s">
        <v>33763</v>
      </c>
      <c r="J3368" t="s">
        <v>6731</v>
      </c>
      <c r="L3368" t="s">
        <v>27250</v>
      </c>
      <c r="M3368" t="s">
        <v>27251</v>
      </c>
      <c r="N3368" t="s">
        <v>27252</v>
      </c>
      <c r="P3368" t="s">
        <v>27341</v>
      </c>
      <c r="Q3368" s="1">
        <v>44846</v>
      </c>
      <c r="R3368" t="s">
        <v>27253</v>
      </c>
      <c r="S3368" t="s">
        <v>27254</v>
      </c>
      <c r="T3368" t="s">
        <v>27265</v>
      </c>
    </row>
    <row r="3369" spans="1:20" x14ac:dyDescent="0.3">
      <c r="A3369" t="str">
        <f>"0611861560050"</f>
        <v>0611861560050</v>
      </c>
      <c r="B3369" t="str">
        <f>"CR2179"</f>
        <v>CR2179</v>
      </c>
      <c r="C3369" t="s">
        <v>33764</v>
      </c>
      <c r="D3369" t="s">
        <v>27271</v>
      </c>
      <c r="E3369" t="str">
        <f t="shared" si="52"/>
        <v>001390</v>
      </c>
      <c r="F3369" t="s">
        <v>27246</v>
      </c>
      <c r="G3369" t="s">
        <v>27247</v>
      </c>
      <c r="H3369" t="s">
        <v>27248</v>
      </c>
      <c r="I3369" t="s">
        <v>33765</v>
      </c>
      <c r="J3369" t="s">
        <v>6733</v>
      </c>
      <c r="L3369" t="s">
        <v>27250</v>
      </c>
      <c r="M3369" t="s">
        <v>27251</v>
      </c>
      <c r="N3369" t="s">
        <v>27252</v>
      </c>
      <c r="P3369" t="s">
        <v>27341</v>
      </c>
      <c r="Q3369" s="1">
        <v>44846</v>
      </c>
      <c r="R3369" t="s">
        <v>27253</v>
      </c>
      <c r="S3369" t="s">
        <v>27254</v>
      </c>
      <c r="T3369" t="s">
        <v>27265</v>
      </c>
    </row>
    <row r="3370" spans="1:20" x14ac:dyDescent="0.3">
      <c r="A3370" t="str">
        <f>"0611861561050"</f>
        <v>0611861561050</v>
      </c>
      <c r="B3370" t="str">
        <f>"CR2180"</f>
        <v>CR2180</v>
      </c>
      <c r="C3370" t="s">
        <v>33766</v>
      </c>
      <c r="D3370" t="s">
        <v>27271</v>
      </c>
      <c r="E3370" t="str">
        <f t="shared" si="52"/>
        <v>001390</v>
      </c>
      <c r="F3370" t="s">
        <v>27246</v>
      </c>
      <c r="G3370" t="s">
        <v>27247</v>
      </c>
      <c r="H3370" t="s">
        <v>27248</v>
      </c>
      <c r="I3370" t="s">
        <v>33767</v>
      </c>
      <c r="J3370" t="s">
        <v>6735</v>
      </c>
      <c r="L3370" t="s">
        <v>27250</v>
      </c>
      <c r="M3370" t="s">
        <v>27251</v>
      </c>
      <c r="N3370" t="s">
        <v>27252</v>
      </c>
      <c r="P3370" t="s">
        <v>27341</v>
      </c>
      <c r="Q3370" s="1">
        <v>44846</v>
      </c>
      <c r="R3370" t="s">
        <v>27253</v>
      </c>
      <c r="S3370" t="s">
        <v>27254</v>
      </c>
      <c r="T3370" t="s">
        <v>27265</v>
      </c>
    </row>
    <row r="3371" spans="1:20" x14ac:dyDescent="0.3">
      <c r="A3371" t="str">
        <f>"0611861562050"</f>
        <v>0611861562050</v>
      </c>
      <c r="B3371" t="str">
        <f>"CR2181"</f>
        <v>CR2181</v>
      </c>
      <c r="C3371" t="s">
        <v>33768</v>
      </c>
      <c r="D3371" t="s">
        <v>27271</v>
      </c>
      <c r="E3371" t="str">
        <f t="shared" si="52"/>
        <v>001390</v>
      </c>
      <c r="F3371" t="s">
        <v>27246</v>
      </c>
      <c r="G3371" t="s">
        <v>27247</v>
      </c>
      <c r="H3371" t="s">
        <v>27248</v>
      </c>
      <c r="I3371" t="s">
        <v>33769</v>
      </c>
      <c r="J3371" t="s">
        <v>6737</v>
      </c>
      <c r="L3371" t="s">
        <v>27250</v>
      </c>
      <c r="M3371" t="s">
        <v>27251</v>
      </c>
      <c r="N3371" t="s">
        <v>27252</v>
      </c>
      <c r="P3371" t="s">
        <v>27341</v>
      </c>
      <c r="Q3371" s="1">
        <v>44846</v>
      </c>
      <c r="R3371" t="s">
        <v>27253</v>
      </c>
      <c r="S3371" t="s">
        <v>27254</v>
      </c>
      <c r="T3371" t="s">
        <v>27265</v>
      </c>
    </row>
    <row r="3372" spans="1:20" x14ac:dyDescent="0.3">
      <c r="A3372" t="str">
        <f>"0611861563050"</f>
        <v>0611861563050</v>
      </c>
      <c r="B3372" t="str">
        <f>"CR2182"</f>
        <v>CR2182</v>
      </c>
      <c r="C3372" t="s">
        <v>33770</v>
      </c>
      <c r="D3372" t="s">
        <v>27271</v>
      </c>
      <c r="E3372" t="str">
        <f t="shared" si="52"/>
        <v>001390</v>
      </c>
      <c r="F3372" t="s">
        <v>27246</v>
      </c>
      <c r="G3372" t="s">
        <v>27247</v>
      </c>
      <c r="H3372" t="s">
        <v>27248</v>
      </c>
      <c r="I3372" t="s">
        <v>33771</v>
      </c>
      <c r="J3372" t="s">
        <v>6739</v>
      </c>
      <c r="L3372" t="s">
        <v>27250</v>
      </c>
      <c r="M3372" t="s">
        <v>27251</v>
      </c>
      <c r="N3372" t="s">
        <v>27252</v>
      </c>
      <c r="P3372" t="s">
        <v>27341</v>
      </c>
      <c r="Q3372" s="1">
        <v>44846</v>
      </c>
      <c r="R3372" t="s">
        <v>27253</v>
      </c>
      <c r="S3372" t="s">
        <v>27254</v>
      </c>
      <c r="T3372" t="s">
        <v>27265</v>
      </c>
    </row>
    <row r="3373" spans="1:20" x14ac:dyDescent="0.3">
      <c r="A3373" t="str">
        <f>"0611861564050"</f>
        <v>0611861564050</v>
      </c>
      <c r="B3373" t="str">
        <f>"CR2183"</f>
        <v>CR2183</v>
      </c>
      <c r="C3373" t="s">
        <v>33772</v>
      </c>
      <c r="D3373" t="s">
        <v>27271</v>
      </c>
      <c r="E3373" t="str">
        <f t="shared" si="52"/>
        <v>001390</v>
      </c>
      <c r="F3373" t="s">
        <v>27246</v>
      </c>
      <c r="G3373" t="s">
        <v>27247</v>
      </c>
      <c r="H3373" t="s">
        <v>27248</v>
      </c>
      <c r="I3373" t="s">
        <v>33773</v>
      </c>
      <c r="J3373" t="s">
        <v>6745</v>
      </c>
      <c r="L3373" t="s">
        <v>27250</v>
      </c>
      <c r="M3373" t="s">
        <v>27251</v>
      </c>
      <c r="N3373" t="s">
        <v>27252</v>
      </c>
      <c r="P3373" t="s">
        <v>27341</v>
      </c>
      <c r="Q3373" s="1">
        <v>44846</v>
      </c>
      <c r="R3373" t="s">
        <v>27253</v>
      </c>
      <c r="S3373" t="s">
        <v>27254</v>
      </c>
      <c r="T3373" t="s">
        <v>27265</v>
      </c>
    </row>
    <row r="3374" spans="1:20" x14ac:dyDescent="0.3">
      <c r="A3374" t="str">
        <f>"0611861565050"</f>
        <v>0611861565050</v>
      </c>
      <c r="B3374" t="str">
        <f>"CR2632"</f>
        <v>CR2632</v>
      </c>
      <c r="C3374" t="s">
        <v>33774</v>
      </c>
      <c r="D3374" t="s">
        <v>27271</v>
      </c>
      <c r="E3374" t="str">
        <f t="shared" si="52"/>
        <v>001390</v>
      </c>
      <c r="F3374" t="s">
        <v>27246</v>
      </c>
      <c r="G3374" t="s">
        <v>27247</v>
      </c>
      <c r="H3374" t="s">
        <v>27248</v>
      </c>
      <c r="I3374" t="s">
        <v>33775</v>
      </c>
      <c r="J3374" t="s">
        <v>6741</v>
      </c>
      <c r="L3374" t="s">
        <v>27250</v>
      </c>
      <c r="M3374" t="s">
        <v>27251</v>
      </c>
      <c r="N3374" t="s">
        <v>27252</v>
      </c>
      <c r="P3374" t="s">
        <v>27341</v>
      </c>
      <c r="Q3374" s="1">
        <v>44846</v>
      </c>
      <c r="R3374" t="s">
        <v>27253</v>
      </c>
      <c r="S3374" t="s">
        <v>27254</v>
      </c>
      <c r="T3374" t="s">
        <v>27265</v>
      </c>
    </row>
    <row r="3375" spans="1:20" x14ac:dyDescent="0.3">
      <c r="A3375" t="str">
        <f>"0611861566050"</f>
        <v>0611861566050</v>
      </c>
      <c r="B3375" t="str">
        <f>"CR3199"</f>
        <v>CR3199</v>
      </c>
      <c r="C3375" t="s">
        <v>33776</v>
      </c>
      <c r="D3375" t="s">
        <v>27271</v>
      </c>
      <c r="E3375" t="str">
        <f t="shared" si="52"/>
        <v>001390</v>
      </c>
      <c r="F3375" t="s">
        <v>27246</v>
      </c>
      <c r="G3375" t="s">
        <v>27247</v>
      </c>
      <c r="H3375" t="s">
        <v>27248</v>
      </c>
      <c r="I3375" t="s">
        <v>33777</v>
      </c>
      <c r="J3375" t="s">
        <v>6743</v>
      </c>
      <c r="L3375" t="s">
        <v>27250</v>
      </c>
      <c r="M3375" t="s">
        <v>27251</v>
      </c>
      <c r="N3375" t="s">
        <v>27252</v>
      </c>
      <c r="P3375" t="s">
        <v>27341</v>
      </c>
      <c r="Q3375" s="1">
        <v>44846</v>
      </c>
      <c r="R3375" t="s">
        <v>27253</v>
      </c>
      <c r="S3375" t="s">
        <v>27254</v>
      </c>
      <c r="T3375" t="s">
        <v>27265</v>
      </c>
    </row>
    <row r="3376" spans="1:20" x14ac:dyDescent="0.3">
      <c r="A3376" t="str">
        <f>"0611833666100"</f>
        <v>0611833666100</v>
      </c>
      <c r="B3376" t="str">
        <f>"LQ3753"</f>
        <v>LQ3753</v>
      </c>
      <c r="C3376" t="s">
        <v>33778</v>
      </c>
      <c r="D3376" t="s">
        <v>27245</v>
      </c>
      <c r="E3376" t="str">
        <f t="shared" si="52"/>
        <v>001390</v>
      </c>
      <c r="F3376" t="s">
        <v>27246</v>
      </c>
      <c r="G3376" t="s">
        <v>27247</v>
      </c>
      <c r="H3376" t="s">
        <v>27248</v>
      </c>
      <c r="I3376" t="s">
        <v>33779</v>
      </c>
      <c r="J3376" t="s">
        <v>6747</v>
      </c>
      <c r="L3376" t="s">
        <v>27250</v>
      </c>
      <c r="M3376" t="s">
        <v>27251</v>
      </c>
      <c r="N3376" t="s">
        <v>27252</v>
      </c>
      <c r="Q3376" s="1">
        <v>44538</v>
      </c>
      <c r="R3376" t="s">
        <v>27253</v>
      </c>
      <c r="S3376" t="s">
        <v>27254</v>
      </c>
      <c r="T3376" t="s">
        <v>27255</v>
      </c>
    </row>
    <row r="3377" spans="1:20" x14ac:dyDescent="0.3">
      <c r="A3377" t="str">
        <f>"0611833667100"</f>
        <v>0611833667100</v>
      </c>
      <c r="B3377" t="str">
        <f>"LK5212"</f>
        <v>LK5212</v>
      </c>
      <c r="C3377" t="s">
        <v>33780</v>
      </c>
      <c r="D3377" t="s">
        <v>27245</v>
      </c>
      <c r="E3377" t="str">
        <f t="shared" si="52"/>
        <v>001390</v>
      </c>
      <c r="F3377" t="s">
        <v>27246</v>
      </c>
      <c r="G3377" t="s">
        <v>27247</v>
      </c>
      <c r="H3377" t="s">
        <v>27248</v>
      </c>
      <c r="I3377" t="s">
        <v>33781</v>
      </c>
      <c r="J3377" t="s">
        <v>6749</v>
      </c>
      <c r="L3377" t="s">
        <v>27250</v>
      </c>
      <c r="M3377" t="s">
        <v>27251</v>
      </c>
      <c r="N3377" t="s">
        <v>27252</v>
      </c>
      <c r="O3377">
        <v>100</v>
      </c>
      <c r="Q3377" s="1">
        <v>44538</v>
      </c>
      <c r="R3377" t="s">
        <v>27253</v>
      </c>
      <c r="S3377" t="s">
        <v>27254</v>
      </c>
      <c r="T3377" t="s">
        <v>27255</v>
      </c>
    </row>
    <row r="3378" spans="1:20" x14ac:dyDescent="0.3">
      <c r="A3378" t="str">
        <f>"0611833669100"</f>
        <v>0611833669100</v>
      </c>
      <c r="B3378" t="str">
        <f>"LB2406"</f>
        <v>LB2406</v>
      </c>
      <c r="C3378" t="s">
        <v>33782</v>
      </c>
      <c r="D3378" t="s">
        <v>27245</v>
      </c>
      <c r="E3378" t="str">
        <f t="shared" si="52"/>
        <v>001390</v>
      </c>
      <c r="F3378" t="s">
        <v>27246</v>
      </c>
      <c r="G3378" t="s">
        <v>27247</v>
      </c>
      <c r="H3378" t="s">
        <v>27248</v>
      </c>
      <c r="I3378" t="s">
        <v>33783</v>
      </c>
      <c r="J3378" t="s">
        <v>6751</v>
      </c>
      <c r="L3378" t="s">
        <v>27250</v>
      </c>
      <c r="M3378" t="s">
        <v>27251</v>
      </c>
      <c r="N3378" t="s">
        <v>27252</v>
      </c>
      <c r="Q3378" s="1">
        <v>44538</v>
      </c>
      <c r="R3378" t="s">
        <v>27253</v>
      </c>
      <c r="S3378" t="s">
        <v>27254</v>
      </c>
      <c r="T3378" t="s">
        <v>27255</v>
      </c>
    </row>
    <row r="3379" spans="1:20" x14ac:dyDescent="0.3">
      <c r="A3379" t="str">
        <f>"0611833671100"</f>
        <v>0611833671100</v>
      </c>
      <c r="B3379" t="str">
        <f>"LQ0943"</f>
        <v>LQ0943</v>
      </c>
      <c r="C3379" t="s">
        <v>33784</v>
      </c>
      <c r="D3379" t="s">
        <v>27245</v>
      </c>
      <c r="E3379" t="str">
        <f t="shared" si="52"/>
        <v>001390</v>
      </c>
      <c r="F3379" t="s">
        <v>27246</v>
      </c>
      <c r="G3379" t="s">
        <v>27247</v>
      </c>
      <c r="H3379" t="s">
        <v>27248</v>
      </c>
      <c r="I3379" t="s">
        <v>33785</v>
      </c>
      <c r="J3379" t="s">
        <v>6753</v>
      </c>
      <c r="L3379" t="s">
        <v>27250</v>
      </c>
      <c r="M3379" t="s">
        <v>27251</v>
      </c>
      <c r="N3379" t="s">
        <v>27252</v>
      </c>
      <c r="Q3379" s="1">
        <v>44538</v>
      </c>
      <c r="R3379" t="s">
        <v>27253</v>
      </c>
      <c r="S3379" t="s">
        <v>27254</v>
      </c>
      <c r="T3379" t="s">
        <v>27255</v>
      </c>
    </row>
    <row r="3380" spans="1:20" x14ac:dyDescent="0.3">
      <c r="A3380" t="str">
        <f>"0611833672100"</f>
        <v>0611833672100</v>
      </c>
      <c r="B3380" t="str">
        <f>"LQ3523"</f>
        <v>LQ3523</v>
      </c>
      <c r="C3380" t="s">
        <v>33786</v>
      </c>
      <c r="D3380" t="s">
        <v>27245</v>
      </c>
      <c r="E3380" t="str">
        <f t="shared" si="52"/>
        <v>001390</v>
      </c>
      <c r="F3380" t="s">
        <v>27246</v>
      </c>
      <c r="G3380" t="s">
        <v>27247</v>
      </c>
      <c r="H3380" t="s">
        <v>27248</v>
      </c>
      <c r="I3380" t="s">
        <v>33787</v>
      </c>
      <c r="J3380" t="s">
        <v>6755</v>
      </c>
      <c r="L3380" t="s">
        <v>27250</v>
      </c>
      <c r="M3380" t="s">
        <v>27251</v>
      </c>
      <c r="N3380" t="s">
        <v>27252</v>
      </c>
      <c r="Q3380" s="1">
        <v>44538</v>
      </c>
      <c r="R3380" t="s">
        <v>27253</v>
      </c>
      <c r="S3380" t="s">
        <v>27254</v>
      </c>
      <c r="T3380" t="s">
        <v>27255</v>
      </c>
    </row>
    <row r="3381" spans="1:20" x14ac:dyDescent="0.3">
      <c r="A3381" t="str">
        <f>"0611833673100"</f>
        <v>0611833673100</v>
      </c>
      <c r="B3381" t="str">
        <f>"LQ3745"</f>
        <v>LQ3745</v>
      </c>
      <c r="C3381" t="s">
        <v>33788</v>
      </c>
      <c r="D3381" t="s">
        <v>27245</v>
      </c>
      <c r="E3381" t="str">
        <f t="shared" si="52"/>
        <v>001390</v>
      </c>
      <c r="F3381" t="s">
        <v>27246</v>
      </c>
      <c r="G3381" t="s">
        <v>27247</v>
      </c>
      <c r="H3381" t="s">
        <v>27248</v>
      </c>
      <c r="I3381" t="s">
        <v>33789</v>
      </c>
      <c r="J3381" t="s">
        <v>6757</v>
      </c>
      <c r="L3381" t="s">
        <v>27250</v>
      </c>
      <c r="M3381" t="s">
        <v>27251</v>
      </c>
      <c r="N3381" t="s">
        <v>27252</v>
      </c>
      <c r="Q3381" s="1">
        <v>44538</v>
      </c>
      <c r="R3381" t="s">
        <v>27253</v>
      </c>
      <c r="S3381" t="s">
        <v>27254</v>
      </c>
      <c r="T3381" t="s">
        <v>27255</v>
      </c>
    </row>
    <row r="3382" spans="1:20" x14ac:dyDescent="0.3">
      <c r="A3382" t="str">
        <f>"0611833674100"</f>
        <v>0611833674100</v>
      </c>
      <c r="B3382" t="str">
        <f>"LQ0944"</f>
        <v>LQ0944</v>
      </c>
      <c r="C3382" t="s">
        <v>33790</v>
      </c>
      <c r="D3382" t="s">
        <v>27245</v>
      </c>
      <c r="E3382" t="str">
        <f t="shared" si="52"/>
        <v>001390</v>
      </c>
      <c r="F3382" t="s">
        <v>27246</v>
      </c>
      <c r="G3382" t="s">
        <v>27247</v>
      </c>
      <c r="H3382" t="s">
        <v>27248</v>
      </c>
      <c r="I3382" t="s">
        <v>33791</v>
      </c>
      <c r="J3382" t="s">
        <v>6759</v>
      </c>
      <c r="L3382" t="s">
        <v>27250</v>
      </c>
      <c r="M3382" t="s">
        <v>27251</v>
      </c>
      <c r="N3382" t="s">
        <v>27252</v>
      </c>
      <c r="Q3382" s="1">
        <v>44538</v>
      </c>
      <c r="R3382" t="s">
        <v>27253</v>
      </c>
      <c r="S3382" t="s">
        <v>27254</v>
      </c>
      <c r="T3382" t="s">
        <v>27255</v>
      </c>
    </row>
    <row r="3383" spans="1:20" x14ac:dyDescent="0.3">
      <c r="A3383" t="str">
        <f>"0611833675100"</f>
        <v>0611833675100</v>
      </c>
      <c r="B3383" t="str">
        <f>"LQ0945"</f>
        <v>LQ0945</v>
      </c>
      <c r="C3383" t="s">
        <v>33792</v>
      </c>
      <c r="D3383" t="s">
        <v>27245</v>
      </c>
      <c r="E3383" t="str">
        <f t="shared" si="52"/>
        <v>001390</v>
      </c>
      <c r="F3383" t="s">
        <v>27246</v>
      </c>
      <c r="G3383" t="s">
        <v>27247</v>
      </c>
      <c r="H3383" t="s">
        <v>27248</v>
      </c>
      <c r="I3383" t="s">
        <v>33793</v>
      </c>
      <c r="J3383" t="s">
        <v>6761</v>
      </c>
      <c r="L3383" t="s">
        <v>27250</v>
      </c>
      <c r="M3383" t="s">
        <v>27251</v>
      </c>
      <c r="N3383" t="s">
        <v>27252</v>
      </c>
      <c r="Q3383" s="1">
        <v>44538</v>
      </c>
      <c r="R3383" t="s">
        <v>27253</v>
      </c>
      <c r="S3383" t="s">
        <v>27254</v>
      </c>
      <c r="T3383" t="s">
        <v>27255</v>
      </c>
    </row>
    <row r="3384" spans="1:20" x14ac:dyDescent="0.3">
      <c r="A3384" t="str">
        <f>"0611833676100"</f>
        <v>0611833676100</v>
      </c>
      <c r="B3384" t="str">
        <f>"LQ0946"</f>
        <v>LQ0946</v>
      </c>
      <c r="C3384" t="s">
        <v>33794</v>
      </c>
      <c r="D3384" t="s">
        <v>27245</v>
      </c>
      <c r="E3384" t="str">
        <f t="shared" si="52"/>
        <v>001390</v>
      </c>
      <c r="F3384" t="s">
        <v>27246</v>
      </c>
      <c r="G3384" t="s">
        <v>27247</v>
      </c>
      <c r="H3384" t="s">
        <v>27248</v>
      </c>
      <c r="I3384" t="s">
        <v>33795</v>
      </c>
      <c r="J3384" t="s">
        <v>6763</v>
      </c>
      <c r="L3384" t="s">
        <v>27250</v>
      </c>
      <c r="M3384" t="s">
        <v>27251</v>
      </c>
      <c r="N3384" t="s">
        <v>27252</v>
      </c>
      <c r="Q3384" s="1">
        <v>44538</v>
      </c>
      <c r="R3384" t="s">
        <v>27253</v>
      </c>
      <c r="S3384" t="s">
        <v>27254</v>
      </c>
      <c r="T3384" t="s">
        <v>27255</v>
      </c>
    </row>
    <row r="3385" spans="1:20" x14ac:dyDescent="0.3">
      <c r="A3385" t="str">
        <f>"0611833677100"</f>
        <v>0611833677100</v>
      </c>
      <c r="B3385" t="str">
        <f>"LQ0947"</f>
        <v>LQ0947</v>
      </c>
      <c r="C3385" t="s">
        <v>33796</v>
      </c>
      <c r="D3385" t="s">
        <v>27245</v>
      </c>
      <c r="E3385" t="str">
        <f t="shared" si="52"/>
        <v>001390</v>
      </c>
      <c r="F3385" t="s">
        <v>27246</v>
      </c>
      <c r="G3385" t="s">
        <v>27247</v>
      </c>
      <c r="H3385" t="s">
        <v>27248</v>
      </c>
      <c r="I3385" t="s">
        <v>33797</v>
      </c>
      <c r="J3385" t="s">
        <v>6765</v>
      </c>
      <c r="L3385" t="s">
        <v>27250</v>
      </c>
      <c r="M3385" t="s">
        <v>27251</v>
      </c>
      <c r="N3385" t="s">
        <v>27252</v>
      </c>
      <c r="Q3385" s="1">
        <v>44538</v>
      </c>
      <c r="R3385" t="s">
        <v>27253</v>
      </c>
      <c r="S3385" t="s">
        <v>27254</v>
      </c>
      <c r="T3385" t="s">
        <v>27255</v>
      </c>
    </row>
    <row r="3386" spans="1:20" x14ac:dyDescent="0.3">
      <c r="A3386" t="str">
        <f>"0611833678100"</f>
        <v>0611833678100</v>
      </c>
      <c r="B3386" t="str">
        <f>"LQ3525"</f>
        <v>LQ3525</v>
      </c>
      <c r="C3386" t="s">
        <v>33798</v>
      </c>
      <c r="D3386" t="s">
        <v>27245</v>
      </c>
      <c r="E3386" t="str">
        <f t="shared" si="52"/>
        <v>001390</v>
      </c>
      <c r="F3386" t="s">
        <v>27246</v>
      </c>
      <c r="G3386" t="s">
        <v>27247</v>
      </c>
      <c r="H3386" t="s">
        <v>27248</v>
      </c>
      <c r="I3386" t="s">
        <v>33799</v>
      </c>
      <c r="J3386" t="s">
        <v>6767</v>
      </c>
      <c r="L3386" t="s">
        <v>27250</v>
      </c>
      <c r="M3386" t="s">
        <v>27251</v>
      </c>
      <c r="N3386" t="s">
        <v>27252</v>
      </c>
      <c r="Q3386" s="1">
        <v>44538</v>
      </c>
      <c r="R3386" t="s">
        <v>27253</v>
      </c>
      <c r="S3386" t="s">
        <v>27254</v>
      </c>
      <c r="T3386" t="s">
        <v>27255</v>
      </c>
    </row>
    <row r="3387" spans="1:20" x14ac:dyDescent="0.3">
      <c r="A3387" t="str">
        <f>"0611833680100"</f>
        <v>0611833680100</v>
      </c>
      <c r="B3387" t="str">
        <f>"LQ0948"</f>
        <v>LQ0948</v>
      </c>
      <c r="C3387" t="s">
        <v>33800</v>
      </c>
      <c r="D3387" t="s">
        <v>27245</v>
      </c>
      <c r="E3387" t="str">
        <f t="shared" si="52"/>
        <v>001390</v>
      </c>
      <c r="F3387" t="s">
        <v>27246</v>
      </c>
      <c r="G3387" t="s">
        <v>27247</v>
      </c>
      <c r="H3387" t="s">
        <v>27248</v>
      </c>
      <c r="I3387" t="s">
        <v>33801</v>
      </c>
      <c r="J3387" t="s">
        <v>6769</v>
      </c>
      <c r="L3387" t="s">
        <v>27250</v>
      </c>
      <c r="M3387" t="s">
        <v>27251</v>
      </c>
      <c r="N3387" t="s">
        <v>27252</v>
      </c>
      <c r="Q3387" s="1">
        <v>44538</v>
      </c>
      <c r="R3387" t="s">
        <v>27253</v>
      </c>
      <c r="S3387" t="s">
        <v>27254</v>
      </c>
      <c r="T3387" t="s">
        <v>27255</v>
      </c>
    </row>
    <row r="3388" spans="1:20" x14ac:dyDescent="0.3">
      <c r="A3388" t="str">
        <f>"0611833681100"</f>
        <v>0611833681100</v>
      </c>
      <c r="B3388" t="str">
        <f>"LQ3801"</f>
        <v>LQ3801</v>
      </c>
      <c r="C3388" t="s">
        <v>33802</v>
      </c>
      <c r="D3388" t="s">
        <v>27245</v>
      </c>
      <c r="E3388" t="str">
        <f t="shared" si="52"/>
        <v>001390</v>
      </c>
      <c r="F3388" t="s">
        <v>27246</v>
      </c>
      <c r="G3388" t="s">
        <v>27247</v>
      </c>
      <c r="H3388" t="s">
        <v>27248</v>
      </c>
      <c r="I3388" t="s">
        <v>33803</v>
      </c>
      <c r="J3388" t="s">
        <v>6771</v>
      </c>
      <c r="L3388" t="s">
        <v>27250</v>
      </c>
      <c r="M3388" t="s">
        <v>27251</v>
      </c>
      <c r="N3388" t="s">
        <v>27252</v>
      </c>
      <c r="Q3388" s="1">
        <v>44538</v>
      </c>
      <c r="R3388" t="s">
        <v>27253</v>
      </c>
      <c r="S3388" t="s">
        <v>27254</v>
      </c>
      <c r="T3388" t="s">
        <v>27255</v>
      </c>
    </row>
    <row r="3389" spans="1:20" x14ac:dyDescent="0.3">
      <c r="A3389" t="str">
        <f>"0611833682100"</f>
        <v>0611833682100</v>
      </c>
      <c r="B3389" t="str">
        <f>"LB2415"</f>
        <v>LB2415</v>
      </c>
      <c r="C3389" t="s">
        <v>33804</v>
      </c>
      <c r="D3389" t="s">
        <v>27245</v>
      </c>
      <c r="E3389" t="str">
        <f t="shared" si="52"/>
        <v>001390</v>
      </c>
      <c r="F3389" t="s">
        <v>27246</v>
      </c>
      <c r="G3389" t="s">
        <v>27247</v>
      </c>
      <c r="H3389" t="s">
        <v>27248</v>
      </c>
      <c r="I3389" t="s">
        <v>33805</v>
      </c>
      <c r="J3389" t="s">
        <v>6773</v>
      </c>
      <c r="L3389" t="s">
        <v>27250</v>
      </c>
      <c r="M3389" t="s">
        <v>27251</v>
      </c>
      <c r="N3389" t="s">
        <v>27252</v>
      </c>
      <c r="Q3389" s="1">
        <v>44538</v>
      </c>
      <c r="R3389" t="s">
        <v>27253</v>
      </c>
      <c r="S3389" t="s">
        <v>27254</v>
      </c>
      <c r="T3389" t="s">
        <v>27255</v>
      </c>
    </row>
    <row r="3390" spans="1:20" x14ac:dyDescent="0.3">
      <c r="A3390" t="str">
        <f>"0611833683100"</f>
        <v>0611833683100</v>
      </c>
      <c r="B3390" t="str">
        <f>"LB2411"</f>
        <v>LB2411</v>
      </c>
      <c r="C3390" t="s">
        <v>33806</v>
      </c>
      <c r="D3390" t="s">
        <v>27245</v>
      </c>
      <c r="E3390" t="str">
        <f t="shared" si="52"/>
        <v>001390</v>
      </c>
      <c r="F3390" t="s">
        <v>27246</v>
      </c>
      <c r="G3390" t="s">
        <v>27247</v>
      </c>
      <c r="H3390" t="s">
        <v>27248</v>
      </c>
      <c r="I3390" t="s">
        <v>33807</v>
      </c>
      <c r="J3390" t="s">
        <v>6775</v>
      </c>
      <c r="L3390" t="s">
        <v>27250</v>
      </c>
      <c r="M3390" t="s">
        <v>27251</v>
      </c>
      <c r="N3390" t="s">
        <v>27252</v>
      </c>
      <c r="Q3390" s="1">
        <v>44538</v>
      </c>
      <c r="R3390" t="s">
        <v>27253</v>
      </c>
      <c r="S3390" t="s">
        <v>27254</v>
      </c>
      <c r="T3390" t="s">
        <v>27255</v>
      </c>
    </row>
    <row r="3391" spans="1:20" x14ac:dyDescent="0.3">
      <c r="A3391" t="str">
        <f>"0611833684100"</f>
        <v>0611833684100</v>
      </c>
      <c r="B3391" t="str">
        <f>"LB2412"</f>
        <v>LB2412</v>
      </c>
      <c r="C3391" t="s">
        <v>33808</v>
      </c>
      <c r="D3391" t="s">
        <v>27245</v>
      </c>
      <c r="E3391" t="str">
        <f t="shared" si="52"/>
        <v>001390</v>
      </c>
      <c r="F3391" t="s">
        <v>27246</v>
      </c>
      <c r="G3391" t="s">
        <v>27247</v>
      </c>
      <c r="H3391" t="s">
        <v>27248</v>
      </c>
      <c r="I3391" t="s">
        <v>33809</v>
      </c>
      <c r="J3391" t="s">
        <v>6777</v>
      </c>
      <c r="L3391" t="s">
        <v>27250</v>
      </c>
      <c r="M3391" t="s">
        <v>27251</v>
      </c>
      <c r="N3391" t="s">
        <v>27252</v>
      </c>
      <c r="Q3391" s="1">
        <v>44538</v>
      </c>
      <c r="R3391" t="s">
        <v>27253</v>
      </c>
      <c r="S3391" t="s">
        <v>27254</v>
      </c>
      <c r="T3391" t="s">
        <v>27255</v>
      </c>
    </row>
    <row r="3392" spans="1:20" x14ac:dyDescent="0.3">
      <c r="A3392" t="str">
        <f>"0611833685100"</f>
        <v>0611833685100</v>
      </c>
      <c r="B3392" t="str">
        <f>"LB2413"</f>
        <v>LB2413</v>
      </c>
      <c r="C3392" t="s">
        <v>33810</v>
      </c>
      <c r="D3392" t="s">
        <v>27245</v>
      </c>
      <c r="E3392" t="str">
        <f t="shared" si="52"/>
        <v>001390</v>
      </c>
      <c r="F3392" t="s">
        <v>27246</v>
      </c>
      <c r="G3392" t="s">
        <v>27247</v>
      </c>
      <c r="H3392" t="s">
        <v>27248</v>
      </c>
      <c r="I3392" t="s">
        <v>33811</v>
      </c>
      <c r="J3392" t="s">
        <v>6779</v>
      </c>
      <c r="L3392" t="s">
        <v>27250</v>
      </c>
      <c r="M3392" t="s">
        <v>27251</v>
      </c>
      <c r="N3392" t="s">
        <v>27252</v>
      </c>
      <c r="Q3392" s="1">
        <v>44538</v>
      </c>
      <c r="R3392" t="s">
        <v>27253</v>
      </c>
      <c r="S3392" t="s">
        <v>27254</v>
      </c>
      <c r="T3392" t="s">
        <v>27255</v>
      </c>
    </row>
    <row r="3393" spans="1:20" x14ac:dyDescent="0.3">
      <c r="A3393" t="str">
        <f>"0611833686100"</f>
        <v>0611833686100</v>
      </c>
      <c r="B3393" t="str">
        <f>"LB2416"</f>
        <v>LB2416</v>
      </c>
      <c r="C3393" t="s">
        <v>33812</v>
      </c>
      <c r="D3393" t="s">
        <v>27245</v>
      </c>
      <c r="E3393" t="str">
        <f t="shared" si="52"/>
        <v>001390</v>
      </c>
      <c r="F3393" t="s">
        <v>27246</v>
      </c>
      <c r="G3393" t="s">
        <v>27247</v>
      </c>
      <c r="H3393" t="s">
        <v>27248</v>
      </c>
      <c r="I3393" t="s">
        <v>33813</v>
      </c>
      <c r="J3393" t="s">
        <v>6781</v>
      </c>
      <c r="L3393" t="s">
        <v>27250</v>
      </c>
      <c r="M3393" t="s">
        <v>27251</v>
      </c>
      <c r="N3393" t="s">
        <v>27252</v>
      </c>
      <c r="Q3393" s="1">
        <v>44538</v>
      </c>
      <c r="R3393" t="s">
        <v>27253</v>
      </c>
      <c r="S3393" t="s">
        <v>27254</v>
      </c>
      <c r="T3393" t="s">
        <v>27255</v>
      </c>
    </row>
    <row r="3394" spans="1:20" x14ac:dyDescent="0.3">
      <c r="A3394" t="str">
        <f>"0611833687100"</f>
        <v>0611833687100</v>
      </c>
      <c r="B3394" t="str">
        <f>"LB2414"</f>
        <v>LB2414</v>
      </c>
      <c r="C3394" t="s">
        <v>33814</v>
      </c>
      <c r="D3394" t="s">
        <v>27245</v>
      </c>
      <c r="E3394" t="str">
        <f t="shared" ref="E3394:E3457" si="53">"001390"</f>
        <v>001390</v>
      </c>
      <c r="F3394" t="s">
        <v>27246</v>
      </c>
      <c r="G3394" t="s">
        <v>27247</v>
      </c>
      <c r="H3394" t="s">
        <v>27248</v>
      </c>
      <c r="I3394" t="s">
        <v>33815</v>
      </c>
      <c r="J3394" t="s">
        <v>6783</v>
      </c>
      <c r="L3394" t="s">
        <v>27250</v>
      </c>
      <c r="M3394" t="s">
        <v>27251</v>
      </c>
      <c r="N3394" t="s">
        <v>27252</v>
      </c>
      <c r="Q3394" s="1">
        <v>44538</v>
      </c>
      <c r="R3394" t="s">
        <v>27253</v>
      </c>
      <c r="S3394" t="s">
        <v>27254</v>
      </c>
      <c r="T3394" t="s">
        <v>27255</v>
      </c>
    </row>
    <row r="3395" spans="1:20" x14ac:dyDescent="0.3">
      <c r="A3395" t="str">
        <f>"0611833688100"</f>
        <v>0611833688100</v>
      </c>
      <c r="B3395" t="str">
        <f>"LK2785"</f>
        <v>LK2785</v>
      </c>
      <c r="C3395" t="s">
        <v>33816</v>
      </c>
      <c r="D3395" t="s">
        <v>28138</v>
      </c>
      <c r="E3395" t="str">
        <f t="shared" si="53"/>
        <v>001390</v>
      </c>
      <c r="F3395" t="s">
        <v>27246</v>
      </c>
      <c r="G3395" t="s">
        <v>27247</v>
      </c>
      <c r="H3395" t="s">
        <v>27248</v>
      </c>
      <c r="I3395" t="s">
        <v>33817</v>
      </c>
      <c r="J3395" t="s">
        <v>6785</v>
      </c>
      <c r="L3395" t="s">
        <v>27250</v>
      </c>
      <c r="M3395" t="s">
        <v>27251</v>
      </c>
      <c r="N3395" t="s">
        <v>27252</v>
      </c>
      <c r="P3395" t="s">
        <v>27925</v>
      </c>
      <c r="Q3395" s="1">
        <v>44538</v>
      </c>
      <c r="R3395" t="s">
        <v>27253</v>
      </c>
      <c r="S3395" t="s">
        <v>27254</v>
      </c>
      <c r="T3395" t="s">
        <v>27255</v>
      </c>
    </row>
    <row r="3396" spans="1:20" x14ac:dyDescent="0.3">
      <c r="A3396" t="str">
        <f>"0611833659025"</f>
        <v>0611833659025</v>
      </c>
      <c r="B3396" t="str">
        <f>"MC1453"</f>
        <v>MC1453</v>
      </c>
      <c r="C3396" t="s">
        <v>33818</v>
      </c>
      <c r="D3396" t="s">
        <v>27267</v>
      </c>
      <c r="E3396" t="str">
        <f t="shared" si="53"/>
        <v>001390</v>
      </c>
      <c r="F3396" t="s">
        <v>27246</v>
      </c>
      <c r="G3396" t="s">
        <v>27247</v>
      </c>
      <c r="H3396" t="s">
        <v>27248</v>
      </c>
      <c r="I3396" t="s">
        <v>33819</v>
      </c>
      <c r="J3396" t="s">
        <v>6787</v>
      </c>
      <c r="L3396" t="s">
        <v>27250</v>
      </c>
      <c r="M3396" t="s">
        <v>27251</v>
      </c>
      <c r="N3396" t="s">
        <v>27252</v>
      </c>
      <c r="Q3396" s="1">
        <v>44538</v>
      </c>
      <c r="R3396" t="s">
        <v>27253</v>
      </c>
      <c r="S3396" t="s">
        <v>27254</v>
      </c>
      <c r="T3396" t="s">
        <v>27269</v>
      </c>
    </row>
    <row r="3397" spans="1:20" x14ac:dyDescent="0.3">
      <c r="A3397" t="str">
        <f>"0611833689100"</f>
        <v>0611833689100</v>
      </c>
      <c r="B3397" t="str">
        <f>"LS0017"</f>
        <v>LS0017</v>
      </c>
      <c r="C3397" t="s">
        <v>33820</v>
      </c>
      <c r="D3397" t="s">
        <v>27245</v>
      </c>
      <c r="E3397" t="str">
        <f t="shared" si="53"/>
        <v>001390</v>
      </c>
      <c r="F3397" t="s">
        <v>27246</v>
      </c>
      <c r="G3397" t="s">
        <v>27247</v>
      </c>
      <c r="H3397" t="s">
        <v>27248</v>
      </c>
      <c r="I3397" t="s">
        <v>33821</v>
      </c>
      <c r="J3397" t="s">
        <v>6789</v>
      </c>
      <c r="L3397" t="s">
        <v>27250</v>
      </c>
      <c r="M3397" t="s">
        <v>27251</v>
      </c>
      <c r="N3397" t="s">
        <v>27252</v>
      </c>
      <c r="Q3397" s="1">
        <v>44538</v>
      </c>
      <c r="R3397" t="s">
        <v>27253</v>
      </c>
      <c r="S3397" t="s">
        <v>27254</v>
      </c>
      <c r="T3397" t="s">
        <v>27255</v>
      </c>
    </row>
    <row r="3398" spans="1:20" x14ac:dyDescent="0.3">
      <c r="A3398" t="str">
        <f>"0611861567050"</f>
        <v>0611861567050</v>
      </c>
      <c r="B3398" t="str">
        <f>"CE0418"</f>
        <v>CE0418</v>
      </c>
      <c r="C3398" t="s">
        <v>33822</v>
      </c>
      <c r="D3398" t="s">
        <v>27923</v>
      </c>
      <c r="E3398" t="str">
        <f t="shared" si="53"/>
        <v>001390</v>
      </c>
      <c r="F3398" t="s">
        <v>27246</v>
      </c>
      <c r="G3398" t="s">
        <v>27247</v>
      </c>
      <c r="H3398" t="s">
        <v>27248</v>
      </c>
      <c r="I3398" t="s">
        <v>33823</v>
      </c>
      <c r="J3398" t="s">
        <v>6791</v>
      </c>
      <c r="L3398" t="s">
        <v>27250</v>
      </c>
      <c r="M3398" t="s">
        <v>27251</v>
      </c>
      <c r="N3398" t="s">
        <v>27252</v>
      </c>
      <c r="P3398" t="s">
        <v>27925</v>
      </c>
      <c r="Q3398" s="1">
        <v>44846</v>
      </c>
      <c r="R3398" t="s">
        <v>27253</v>
      </c>
      <c r="S3398" t="s">
        <v>27254</v>
      </c>
      <c r="T3398" t="s">
        <v>27265</v>
      </c>
    </row>
    <row r="3399" spans="1:20" x14ac:dyDescent="0.3">
      <c r="A3399" t="str">
        <f>"0611861568050"</f>
        <v>0611861568050</v>
      </c>
      <c r="B3399" t="str">
        <f>"CE0420"</f>
        <v>CE0420</v>
      </c>
      <c r="C3399" t="s">
        <v>33824</v>
      </c>
      <c r="D3399" t="s">
        <v>27923</v>
      </c>
      <c r="E3399" t="str">
        <f t="shared" si="53"/>
        <v>001390</v>
      </c>
      <c r="F3399" t="s">
        <v>27246</v>
      </c>
      <c r="G3399" t="s">
        <v>27247</v>
      </c>
      <c r="H3399" t="s">
        <v>27248</v>
      </c>
      <c r="I3399" t="s">
        <v>33825</v>
      </c>
      <c r="J3399" t="s">
        <v>6793</v>
      </c>
      <c r="L3399" t="s">
        <v>27250</v>
      </c>
      <c r="M3399" t="s">
        <v>27251</v>
      </c>
      <c r="N3399" t="s">
        <v>27252</v>
      </c>
      <c r="P3399" t="s">
        <v>27925</v>
      </c>
      <c r="Q3399" s="1">
        <v>44846</v>
      </c>
      <c r="R3399" t="s">
        <v>27253</v>
      </c>
      <c r="S3399" t="s">
        <v>27254</v>
      </c>
      <c r="T3399" t="s">
        <v>27265</v>
      </c>
    </row>
    <row r="3400" spans="1:20" x14ac:dyDescent="0.3">
      <c r="A3400" t="str">
        <f>"0611861570050"</f>
        <v>0611861570050</v>
      </c>
      <c r="B3400" t="str">
        <f>"CE0921"</f>
        <v>CE0921</v>
      </c>
      <c r="C3400" t="s">
        <v>33826</v>
      </c>
      <c r="D3400" t="s">
        <v>27923</v>
      </c>
      <c r="E3400" t="str">
        <f t="shared" si="53"/>
        <v>001390</v>
      </c>
      <c r="F3400" t="s">
        <v>27246</v>
      </c>
      <c r="G3400" t="s">
        <v>27247</v>
      </c>
      <c r="H3400" t="s">
        <v>27248</v>
      </c>
      <c r="I3400" t="s">
        <v>33827</v>
      </c>
      <c r="J3400" t="s">
        <v>6795</v>
      </c>
      <c r="L3400" t="s">
        <v>27250</v>
      </c>
      <c r="M3400" t="s">
        <v>27251</v>
      </c>
      <c r="N3400" t="s">
        <v>27252</v>
      </c>
      <c r="P3400" t="s">
        <v>27925</v>
      </c>
      <c r="Q3400" s="1">
        <v>44846</v>
      </c>
      <c r="R3400" t="s">
        <v>27253</v>
      </c>
      <c r="S3400" t="s">
        <v>27254</v>
      </c>
      <c r="T3400" t="s">
        <v>27265</v>
      </c>
    </row>
    <row r="3401" spans="1:20" x14ac:dyDescent="0.3">
      <c r="A3401" t="str">
        <f>"0611861571050"</f>
        <v>0611861571050</v>
      </c>
      <c r="B3401" t="str">
        <f>"CE1309"</f>
        <v>CE1309</v>
      </c>
      <c r="C3401" t="s">
        <v>33828</v>
      </c>
      <c r="D3401" t="s">
        <v>27923</v>
      </c>
      <c r="E3401" t="str">
        <f t="shared" si="53"/>
        <v>001390</v>
      </c>
      <c r="F3401" t="s">
        <v>27246</v>
      </c>
      <c r="G3401" t="s">
        <v>27247</v>
      </c>
      <c r="H3401" t="s">
        <v>27248</v>
      </c>
      <c r="I3401" t="s">
        <v>33829</v>
      </c>
      <c r="J3401" t="s">
        <v>6797</v>
      </c>
      <c r="L3401" t="s">
        <v>27250</v>
      </c>
      <c r="M3401" t="s">
        <v>27251</v>
      </c>
      <c r="N3401" t="s">
        <v>27252</v>
      </c>
      <c r="P3401" t="s">
        <v>27925</v>
      </c>
      <c r="Q3401" s="1">
        <v>44846</v>
      </c>
      <c r="R3401" t="s">
        <v>27253</v>
      </c>
      <c r="S3401" t="s">
        <v>27254</v>
      </c>
      <c r="T3401" t="s">
        <v>27265</v>
      </c>
    </row>
    <row r="3402" spans="1:20" x14ac:dyDescent="0.3">
      <c r="A3402" t="str">
        <f>"0611861573050"</f>
        <v>0611861573050</v>
      </c>
      <c r="B3402" t="str">
        <f>"CE1180"</f>
        <v>CE1180</v>
      </c>
      <c r="C3402" t="s">
        <v>33830</v>
      </c>
      <c r="D3402" t="s">
        <v>27923</v>
      </c>
      <c r="E3402" t="str">
        <f t="shared" si="53"/>
        <v>001390</v>
      </c>
      <c r="F3402" t="s">
        <v>27246</v>
      </c>
      <c r="G3402" t="s">
        <v>27247</v>
      </c>
      <c r="H3402" t="s">
        <v>27248</v>
      </c>
      <c r="I3402" t="s">
        <v>33831</v>
      </c>
      <c r="J3402" t="s">
        <v>6799</v>
      </c>
      <c r="L3402" t="s">
        <v>27250</v>
      </c>
      <c r="M3402" t="s">
        <v>27251</v>
      </c>
      <c r="N3402" t="s">
        <v>27252</v>
      </c>
      <c r="P3402" t="s">
        <v>27925</v>
      </c>
      <c r="Q3402" s="1">
        <v>44846</v>
      </c>
      <c r="R3402" t="s">
        <v>27253</v>
      </c>
      <c r="S3402" t="s">
        <v>27254</v>
      </c>
      <c r="T3402" t="s">
        <v>27265</v>
      </c>
    </row>
    <row r="3403" spans="1:20" x14ac:dyDescent="0.3">
      <c r="A3403" t="str">
        <f>"0611861574050"</f>
        <v>0611861574050</v>
      </c>
      <c r="B3403" t="str">
        <f>"CE1310"</f>
        <v>CE1310</v>
      </c>
      <c r="C3403" t="s">
        <v>33832</v>
      </c>
      <c r="D3403" t="s">
        <v>27923</v>
      </c>
      <c r="E3403" t="str">
        <f t="shared" si="53"/>
        <v>001390</v>
      </c>
      <c r="F3403" t="s">
        <v>27246</v>
      </c>
      <c r="G3403" t="s">
        <v>27247</v>
      </c>
      <c r="H3403" t="s">
        <v>27248</v>
      </c>
      <c r="I3403" t="s">
        <v>33833</v>
      </c>
      <c r="J3403" t="s">
        <v>6801</v>
      </c>
      <c r="L3403" t="s">
        <v>27250</v>
      </c>
      <c r="M3403" t="s">
        <v>27251</v>
      </c>
      <c r="N3403" t="s">
        <v>27252</v>
      </c>
      <c r="P3403" t="s">
        <v>27925</v>
      </c>
      <c r="Q3403" s="1">
        <v>44846</v>
      </c>
      <c r="R3403" t="s">
        <v>27253</v>
      </c>
      <c r="S3403" t="s">
        <v>27254</v>
      </c>
      <c r="T3403" t="s">
        <v>27265</v>
      </c>
    </row>
    <row r="3404" spans="1:20" x14ac:dyDescent="0.3">
      <c r="A3404" t="str">
        <f>"0611861575050"</f>
        <v>0611861575050</v>
      </c>
      <c r="B3404" t="str">
        <f>"CE0844"</f>
        <v>CE0844</v>
      </c>
      <c r="C3404" t="s">
        <v>33834</v>
      </c>
      <c r="D3404" t="s">
        <v>28556</v>
      </c>
      <c r="E3404" t="str">
        <f t="shared" si="53"/>
        <v>001390</v>
      </c>
      <c r="F3404" t="s">
        <v>27246</v>
      </c>
      <c r="G3404" t="s">
        <v>27247</v>
      </c>
      <c r="H3404" t="s">
        <v>27248</v>
      </c>
      <c r="I3404" t="s">
        <v>33835</v>
      </c>
      <c r="J3404" t="s">
        <v>6803</v>
      </c>
      <c r="L3404" t="s">
        <v>27250</v>
      </c>
      <c r="M3404" t="s">
        <v>27251</v>
      </c>
      <c r="N3404" t="s">
        <v>27252</v>
      </c>
      <c r="P3404" t="s">
        <v>27925</v>
      </c>
      <c r="Q3404" s="1">
        <v>44846</v>
      </c>
      <c r="R3404" t="s">
        <v>27253</v>
      </c>
      <c r="S3404" t="s">
        <v>27254</v>
      </c>
      <c r="T3404" t="s">
        <v>28378</v>
      </c>
    </row>
    <row r="3405" spans="1:20" x14ac:dyDescent="0.3">
      <c r="A3405" t="str">
        <f>"0611861576050"</f>
        <v>0611861576050</v>
      </c>
      <c r="B3405" t="str">
        <f>"CE0845"</f>
        <v>CE0845</v>
      </c>
      <c r="C3405" t="s">
        <v>33836</v>
      </c>
      <c r="D3405" t="s">
        <v>27923</v>
      </c>
      <c r="E3405" t="str">
        <f t="shared" si="53"/>
        <v>001390</v>
      </c>
      <c r="F3405" t="s">
        <v>27246</v>
      </c>
      <c r="G3405" t="s">
        <v>27247</v>
      </c>
      <c r="H3405" t="s">
        <v>27248</v>
      </c>
      <c r="I3405" t="s">
        <v>33837</v>
      </c>
      <c r="J3405" t="s">
        <v>6805</v>
      </c>
      <c r="L3405" t="s">
        <v>27250</v>
      </c>
      <c r="M3405" t="s">
        <v>27251</v>
      </c>
      <c r="N3405" t="s">
        <v>27252</v>
      </c>
      <c r="P3405" t="s">
        <v>27925</v>
      </c>
      <c r="Q3405" s="1">
        <v>44846</v>
      </c>
      <c r="R3405" t="s">
        <v>27253</v>
      </c>
      <c r="S3405" t="s">
        <v>27254</v>
      </c>
      <c r="T3405" t="s">
        <v>27265</v>
      </c>
    </row>
    <row r="3406" spans="1:20" x14ac:dyDescent="0.3">
      <c r="A3406" t="str">
        <f>"0611861577050"</f>
        <v>0611861577050</v>
      </c>
      <c r="B3406" t="str">
        <f>"CE0846"</f>
        <v>CE0846</v>
      </c>
      <c r="C3406" t="s">
        <v>33838</v>
      </c>
      <c r="D3406" t="s">
        <v>27923</v>
      </c>
      <c r="E3406" t="str">
        <f t="shared" si="53"/>
        <v>001390</v>
      </c>
      <c r="F3406" t="s">
        <v>27246</v>
      </c>
      <c r="G3406" t="s">
        <v>27247</v>
      </c>
      <c r="H3406" t="s">
        <v>27248</v>
      </c>
      <c r="I3406" t="s">
        <v>33839</v>
      </c>
      <c r="J3406" t="s">
        <v>6807</v>
      </c>
      <c r="L3406" t="s">
        <v>27250</v>
      </c>
      <c r="M3406" t="s">
        <v>27251</v>
      </c>
      <c r="N3406" t="s">
        <v>27252</v>
      </c>
      <c r="P3406" t="s">
        <v>27925</v>
      </c>
      <c r="Q3406" s="1">
        <v>44846</v>
      </c>
      <c r="R3406" t="s">
        <v>27253</v>
      </c>
      <c r="S3406" t="s">
        <v>27254</v>
      </c>
      <c r="T3406" t="s">
        <v>27265</v>
      </c>
    </row>
    <row r="3407" spans="1:20" x14ac:dyDescent="0.3">
      <c r="A3407" t="str">
        <f>"0611861578050"</f>
        <v>0611861578050</v>
      </c>
      <c r="B3407" t="str">
        <f>"CE1181"</f>
        <v>CE1181</v>
      </c>
      <c r="C3407" t="s">
        <v>33840</v>
      </c>
      <c r="D3407" t="s">
        <v>27923</v>
      </c>
      <c r="E3407" t="str">
        <f t="shared" si="53"/>
        <v>001390</v>
      </c>
      <c r="F3407" t="s">
        <v>27246</v>
      </c>
      <c r="G3407" t="s">
        <v>27247</v>
      </c>
      <c r="H3407" t="s">
        <v>27248</v>
      </c>
      <c r="I3407" t="s">
        <v>33841</v>
      </c>
      <c r="J3407" t="s">
        <v>6809</v>
      </c>
      <c r="L3407" t="s">
        <v>27250</v>
      </c>
      <c r="M3407" t="s">
        <v>27251</v>
      </c>
      <c r="N3407" t="s">
        <v>27252</v>
      </c>
      <c r="P3407" t="s">
        <v>27925</v>
      </c>
      <c r="Q3407" s="1">
        <v>44846</v>
      </c>
      <c r="R3407" t="s">
        <v>27253</v>
      </c>
      <c r="S3407" t="s">
        <v>27254</v>
      </c>
      <c r="T3407" t="s">
        <v>27265</v>
      </c>
    </row>
    <row r="3408" spans="1:20" x14ac:dyDescent="0.3">
      <c r="A3408" t="str">
        <f>"0611861579050"</f>
        <v>0611861579050</v>
      </c>
      <c r="B3408" t="str">
        <f>"CE0922"</f>
        <v>CE0922</v>
      </c>
      <c r="C3408" t="s">
        <v>33842</v>
      </c>
      <c r="D3408" t="s">
        <v>27923</v>
      </c>
      <c r="E3408" t="str">
        <f t="shared" si="53"/>
        <v>001390</v>
      </c>
      <c r="F3408" t="s">
        <v>27246</v>
      </c>
      <c r="G3408" t="s">
        <v>27247</v>
      </c>
      <c r="H3408" t="s">
        <v>27248</v>
      </c>
      <c r="I3408" t="s">
        <v>33843</v>
      </c>
      <c r="J3408" t="s">
        <v>6811</v>
      </c>
      <c r="L3408" t="s">
        <v>27250</v>
      </c>
      <c r="M3408" t="s">
        <v>27251</v>
      </c>
      <c r="N3408" t="s">
        <v>27252</v>
      </c>
      <c r="P3408" t="s">
        <v>27925</v>
      </c>
      <c r="Q3408" s="1">
        <v>44846</v>
      </c>
      <c r="R3408" t="s">
        <v>27253</v>
      </c>
      <c r="S3408" t="s">
        <v>27254</v>
      </c>
      <c r="T3408" t="s">
        <v>27265</v>
      </c>
    </row>
    <row r="3409" spans="1:20" x14ac:dyDescent="0.3">
      <c r="A3409" t="str">
        <f>"0611861581050"</f>
        <v>0611861581050</v>
      </c>
      <c r="B3409" t="str">
        <f>"CE0924"</f>
        <v>CE0924</v>
      </c>
      <c r="C3409" t="s">
        <v>33844</v>
      </c>
      <c r="D3409" t="s">
        <v>27923</v>
      </c>
      <c r="E3409" t="str">
        <f t="shared" si="53"/>
        <v>001390</v>
      </c>
      <c r="F3409" t="s">
        <v>27246</v>
      </c>
      <c r="G3409" t="s">
        <v>27247</v>
      </c>
      <c r="H3409" t="s">
        <v>27248</v>
      </c>
      <c r="I3409" t="s">
        <v>33845</v>
      </c>
      <c r="J3409" t="s">
        <v>6813</v>
      </c>
      <c r="L3409" t="s">
        <v>27250</v>
      </c>
      <c r="M3409" t="s">
        <v>27251</v>
      </c>
      <c r="N3409" t="s">
        <v>27252</v>
      </c>
      <c r="P3409" t="s">
        <v>27925</v>
      </c>
      <c r="Q3409" s="1">
        <v>44846</v>
      </c>
      <c r="R3409" t="s">
        <v>27253</v>
      </c>
      <c r="S3409" t="s">
        <v>27254</v>
      </c>
      <c r="T3409" t="s">
        <v>27265</v>
      </c>
    </row>
    <row r="3410" spans="1:20" x14ac:dyDescent="0.3">
      <c r="A3410" t="str">
        <f>"0611861582050"</f>
        <v>0611861582050</v>
      </c>
      <c r="B3410" t="str">
        <f>"CE0848"</f>
        <v>CE0848</v>
      </c>
      <c r="C3410" t="s">
        <v>33846</v>
      </c>
      <c r="D3410" t="s">
        <v>27923</v>
      </c>
      <c r="E3410" t="str">
        <f t="shared" si="53"/>
        <v>001390</v>
      </c>
      <c r="F3410" t="s">
        <v>27246</v>
      </c>
      <c r="G3410" t="s">
        <v>27247</v>
      </c>
      <c r="H3410" t="s">
        <v>27248</v>
      </c>
      <c r="I3410" t="s">
        <v>33847</v>
      </c>
      <c r="J3410" t="s">
        <v>6815</v>
      </c>
      <c r="L3410" t="s">
        <v>27250</v>
      </c>
      <c r="M3410" t="s">
        <v>27251</v>
      </c>
      <c r="N3410" t="s">
        <v>27252</v>
      </c>
      <c r="P3410" t="s">
        <v>27925</v>
      </c>
      <c r="Q3410" s="1">
        <v>44846</v>
      </c>
      <c r="R3410" t="s">
        <v>27253</v>
      </c>
      <c r="S3410" t="s">
        <v>27254</v>
      </c>
      <c r="T3410" t="s">
        <v>27265</v>
      </c>
    </row>
    <row r="3411" spans="1:20" x14ac:dyDescent="0.3">
      <c r="A3411" t="str">
        <f>"0611861583050"</f>
        <v>0611861583050</v>
      </c>
      <c r="B3411" t="str">
        <f>"CE0849"</f>
        <v>CE0849</v>
      </c>
      <c r="C3411" t="s">
        <v>33848</v>
      </c>
      <c r="D3411" t="s">
        <v>28556</v>
      </c>
      <c r="E3411" t="str">
        <f t="shared" si="53"/>
        <v>001390</v>
      </c>
      <c r="F3411" t="s">
        <v>27246</v>
      </c>
      <c r="G3411" t="s">
        <v>27247</v>
      </c>
      <c r="H3411" t="s">
        <v>27248</v>
      </c>
      <c r="I3411" t="s">
        <v>33849</v>
      </c>
      <c r="J3411" t="s">
        <v>6817</v>
      </c>
      <c r="L3411" t="s">
        <v>27250</v>
      </c>
      <c r="M3411" t="s">
        <v>27251</v>
      </c>
      <c r="N3411" t="s">
        <v>27252</v>
      </c>
      <c r="P3411" t="s">
        <v>27925</v>
      </c>
      <c r="Q3411" s="1">
        <v>44846</v>
      </c>
      <c r="R3411" t="s">
        <v>27253</v>
      </c>
      <c r="S3411" t="s">
        <v>27254</v>
      </c>
      <c r="T3411" t="s">
        <v>28378</v>
      </c>
    </row>
    <row r="3412" spans="1:20" x14ac:dyDescent="0.3">
      <c r="A3412" t="str">
        <f>"0611861584050"</f>
        <v>0611861584050</v>
      </c>
      <c r="B3412" t="str">
        <f>"CE0850"</f>
        <v>CE0850</v>
      </c>
      <c r="C3412" t="s">
        <v>33850</v>
      </c>
      <c r="D3412" t="s">
        <v>27923</v>
      </c>
      <c r="E3412" t="str">
        <f t="shared" si="53"/>
        <v>001390</v>
      </c>
      <c r="F3412" t="s">
        <v>27246</v>
      </c>
      <c r="G3412" t="s">
        <v>27247</v>
      </c>
      <c r="H3412" t="s">
        <v>27248</v>
      </c>
      <c r="I3412" t="s">
        <v>33851</v>
      </c>
      <c r="J3412" t="s">
        <v>6819</v>
      </c>
      <c r="L3412" t="s">
        <v>27250</v>
      </c>
      <c r="M3412" t="s">
        <v>27251</v>
      </c>
      <c r="N3412" t="s">
        <v>27252</v>
      </c>
      <c r="P3412" t="s">
        <v>27925</v>
      </c>
      <c r="Q3412" s="1">
        <v>44846</v>
      </c>
      <c r="R3412" t="s">
        <v>27253</v>
      </c>
      <c r="S3412" t="s">
        <v>27254</v>
      </c>
      <c r="T3412" t="s">
        <v>27265</v>
      </c>
    </row>
    <row r="3413" spans="1:20" x14ac:dyDescent="0.3">
      <c r="A3413" t="str">
        <f>"0611861585050"</f>
        <v>0611861585050</v>
      </c>
      <c r="B3413" t="str">
        <f>"CE1311"</f>
        <v>CE1311</v>
      </c>
      <c r="C3413" t="s">
        <v>33852</v>
      </c>
      <c r="D3413" t="s">
        <v>27923</v>
      </c>
      <c r="E3413" t="str">
        <f t="shared" si="53"/>
        <v>001390</v>
      </c>
      <c r="F3413" t="s">
        <v>27246</v>
      </c>
      <c r="G3413" t="s">
        <v>27247</v>
      </c>
      <c r="H3413" t="s">
        <v>27248</v>
      </c>
      <c r="I3413" t="s">
        <v>33853</v>
      </c>
      <c r="J3413" t="s">
        <v>6821</v>
      </c>
      <c r="L3413" t="s">
        <v>27250</v>
      </c>
      <c r="M3413" t="s">
        <v>27251</v>
      </c>
      <c r="N3413" t="s">
        <v>27252</v>
      </c>
      <c r="P3413" t="s">
        <v>27925</v>
      </c>
      <c r="Q3413" s="1">
        <v>44846</v>
      </c>
      <c r="R3413" t="s">
        <v>27253</v>
      </c>
      <c r="S3413" t="s">
        <v>27254</v>
      </c>
      <c r="T3413" t="s">
        <v>27265</v>
      </c>
    </row>
    <row r="3414" spans="1:20" x14ac:dyDescent="0.3">
      <c r="A3414" t="str">
        <f>"0611861586050"</f>
        <v>0611861586050</v>
      </c>
      <c r="B3414" t="str">
        <f>"CE1522"</f>
        <v>CE1522</v>
      </c>
      <c r="C3414" t="s">
        <v>33854</v>
      </c>
      <c r="D3414" t="s">
        <v>27923</v>
      </c>
      <c r="E3414" t="str">
        <f t="shared" si="53"/>
        <v>001390</v>
      </c>
      <c r="F3414" t="s">
        <v>27246</v>
      </c>
      <c r="G3414" t="s">
        <v>27247</v>
      </c>
      <c r="H3414" t="s">
        <v>27248</v>
      </c>
      <c r="I3414" t="s">
        <v>33855</v>
      </c>
      <c r="J3414" t="s">
        <v>6823</v>
      </c>
      <c r="L3414" t="s">
        <v>27250</v>
      </c>
      <c r="M3414" t="s">
        <v>27251</v>
      </c>
      <c r="N3414" t="s">
        <v>27252</v>
      </c>
      <c r="P3414" t="s">
        <v>27925</v>
      </c>
      <c r="Q3414" s="1">
        <v>44846</v>
      </c>
      <c r="R3414" t="s">
        <v>27253</v>
      </c>
      <c r="S3414" t="s">
        <v>27254</v>
      </c>
      <c r="T3414" t="s">
        <v>27265</v>
      </c>
    </row>
    <row r="3415" spans="1:20" x14ac:dyDescent="0.3">
      <c r="A3415" t="str">
        <f>"0611861587050"</f>
        <v>0611861587050</v>
      </c>
      <c r="B3415" t="str">
        <f>"CE1312"</f>
        <v>CE1312</v>
      </c>
      <c r="C3415" t="s">
        <v>33856</v>
      </c>
      <c r="D3415" t="s">
        <v>27923</v>
      </c>
      <c r="E3415" t="str">
        <f t="shared" si="53"/>
        <v>001390</v>
      </c>
      <c r="F3415" t="s">
        <v>27246</v>
      </c>
      <c r="G3415" t="s">
        <v>27247</v>
      </c>
      <c r="H3415" t="s">
        <v>27248</v>
      </c>
      <c r="I3415" t="s">
        <v>33857</v>
      </c>
      <c r="J3415" t="s">
        <v>6825</v>
      </c>
      <c r="L3415" t="s">
        <v>27250</v>
      </c>
      <c r="M3415" t="s">
        <v>27251</v>
      </c>
      <c r="N3415" t="s">
        <v>27252</v>
      </c>
      <c r="P3415" t="s">
        <v>27925</v>
      </c>
      <c r="Q3415" s="1">
        <v>44846</v>
      </c>
      <c r="R3415" t="s">
        <v>27253</v>
      </c>
      <c r="S3415" t="s">
        <v>27254</v>
      </c>
      <c r="T3415" t="s">
        <v>27265</v>
      </c>
    </row>
    <row r="3416" spans="1:20" x14ac:dyDescent="0.3">
      <c r="A3416" t="str">
        <f>"0611861588050"</f>
        <v>0611861588050</v>
      </c>
      <c r="B3416" t="str">
        <f>"CE1313"</f>
        <v>CE1313</v>
      </c>
      <c r="C3416" t="s">
        <v>33858</v>
      </c>
      <c r="D3416" t="s">
        <v>27923</v>
      </c>
      <c r="E3416" t="str">
        <f t="shared" si="53"/>
        <v>001390</v>
      </c>
      <c r="F3416" t="s">
        <v>27246</v>
      </c>
      <c r="G3416" t="s">
        <v>27247</v>
      </c>
      <c r="H3416" t="s">
        <v>27248</v>
      </c>
      <c r="I3416" t="s">
        <v>33859</v>
      </c>
      <c r="J3416" t="s">
        <v>6827</v>
      </c>
      <c r="L3416" t="s">
        <v>27250</v>
      </c>
      <c r="M3416" t="s">
        <v>27251</v>
      </c>
      <c r="N3416" t="s">
        <v>27252</v>
      </c>
      <c r="P3416" t="s">
        <v>27925</v>
      </c>
      <c r="Q3416" s="1">
        <v>44846</v>
      </c>
      <c r="R3416" t="s">
        <v>27253</v>
      </c>
      <c r="S3416" t="s">
        <v>27254</v>
      </c>
      <c r="T3416" t="s">
        <v>27265</v>
      </c>
    </row>
    <row r="3417" spans="1:20" x14ac:dyDescent="0.3">
      <c r="A3417" t="str">
        <f>"0611861589050"</f>
        <v>0611861589050</v>
      </c>
      <c r="B3417" t="str">
        <f>"CE1314"</f>
        <v>CE1314</v>
      </c>
      <c r="C3417" t="s">
        <v>33860</v>
      </c>
      <c r="D3417" t="s">
        <v>27923</v>
      </c>
      <c r="E3417" t="str">
        <f t="shared" si="53"/>
        <v>001390</v>
      </c>
      <c r="F3417" t="s">
        <v>27246</v>
      </c>
      <c r="G3417" t="s">
        <v>27247</v>
      </c>
      <c r="H3417" t="s">
        <v>27248</v>
      </c>
      <c r="I3417" t="s">
        <v>33861</v>
      </c>
      <c r="J3417" t="s">
        <v>6829</v>
      </c>
      <c r="L3417" t="s">
        <v>27250</v>
      </c>
      <c r="M3417" t="s">
        <v>27251</v>
      </c>
      <c r="N3417" t="s">
        <v>27252</v>
      </c>
      <c r="P3417" t="s">
        <v>27925</v>
      </c>
      <c r="Q3417" s="1">
        <v>44846</v>
      </c>
      <c r="R3417" t="s">
        <v>27253</v>
      </c>
      <c r="S3417" t="s">
        <v>27254</v>
      </c>
      <c r="T3417" t="s">
        <v>27265</v>
      </c>
    </row>
    <row r="3418" spans="1:20" x14ac:dyDescent="0.3">
      <c r="A3418" t="str">
        <f>"0611861590050"</f>
        <v>0611861590050</v>
      </c>
      <c r="B3418" t="str">
        <f>"CE1315"</f>
        <v>CE1315</v>
      </c>
      <c r="C3418" t="s">
        <v>33862</v>
      </c>
      <c r="D3418" t="s">
        <v>27923</v>
      </c>
      <c r="E3418" t="str">
        <f t="shared" si="53"/>
        <v>001390</v>
      </c>
      <c r="F3418" t="s">
        <v>27246</v>
      </c>
      <c r="G3418" t="s">
        <v>27247</v>
      </c>
      <c r="H3418" t="s">
        <v>27248</v>
      </c>
      <c r="I3418" t="s">
        <v>33863</v>
      </c>
      <c r="J3418" t="s">
        <v>6831</v>
      </c>
      <c r="L3418" t="s">
        <v>27250</v>
      </c>
      <c r="M3418" t="s">
        <v>27251</v>
      </c>
      <c r="N3418" t="s">
        <v>27252</v>
      </c>
      <c r="P3418" t="s">
        <v>27925</v>
      </c>
      <c r="Q3418" s="1">
        <v>44846</v>
      </c>
      <c r="R3418" t="s">
        <v>27253</v>
      </c>
      <c r="S3418" t="s">
        <v>27254</v>
      </c>
      <c r="T3418" t="s">
        <v>27265</v>
      </c>
    </row>
    <row r="3419" spans="1:20" x14ac:dyDescent="0.3">
      <c r="A3419" t="str">
        <f>"0611861591050"</f>
        <v>0611861591050</v>
      </c>
      <c r="B3419" t="str">
        <f>"CE1316"</f>
        <v>CE1316</v>
      </c>
      <c r="C3419" t="s">
        <v>33864</v>
      </c>
      <c r="D3419" t="s">
        <v>27923</v>
      </c>
      <c r="E3419" t="str">
        <f t="shared" si="53"/>
        <v>001390</v>
      </c>
      <c r="F3419" t="s">
        <v>27246</v>
      </c>
      <c r="G3419" t="s">
        <v>27247</v>
      </c>
      <c r="H3419" t="s">
        <v>27248</v>
      </c>
      <c r="I3419" t="s">
        <v>33865</v>
      </c>
      <c r="J3419" t="s">
        <v>6833</v>
      </c>
      <c r="L3419" t="s">
        <v>27250</v>
      </c>
      <c r="M3419" t="s">
        <v>27251</v>
      </c>
      <c r="N3419" t="s">
        <v>27252</v>
      </c>
      <c r="P3419" t="s">
        <v>27925</v>
      </c>
      <c r="Q3419" s="1">
        <v>44846</v>
      </c>
      <c r="R3419" t="s">
        <v>27253</v>
      </c>
      <c r="S3419" t="s">
        <v>27254</v>
      </c>
      <c r="T3419" t="s">
        <v>27265</v>
      </c>
    </row>
    <row r="3420" spans="1:20" x14ac:dyDescent="0.3">
      <c r="A3420" t="str">
        <f>"0611861592050"</f>
        <v>0611861592050</v>
      </c>
      <c r="B3420" t="str">
        <f>"CE1317"</f>
        <v>CE1317</v>
      </c>
      <c r="C3420" t="s">
        <v>33866</v>
      </c>
      <c r="D3420" t="s">
        <v>27923</v>
      </c>
      <c r="E3420" t="str">
        <f t="shared" si="53"/>
        <v>001390</v>
      </c>
      <c r="F3420" t="s">
        <v>27246</v>
      </c>
      <c r="G3420" t="s">
        <v>27247</v>
      </c>
      <c r="H3420" t="s">
        <v>27248</v>
      </c>
      <c r="I3420" t="s">
        <v>33867</v>
      </c>
      <c r="J3420" t="s">
        <v>6835</v>
      </c>
      <c r="L3420" t="s">
        <v>27250</v>
      </c>
      <c r="M3420" t="s">
        <v>27251</v>
      </c>
      <c r="N3420" t="s">
        <v>27252</v>
      </c>
      <c r="P3420" t="s">
        <v>27925</v>
      </c>
      <c r="Q3420" s="1">
        <v>44846</v>
      </c>
      <c r="R3420" t="s">
        <v>27253</v>
      </c>
      <c r="S3420" t="s">
        <v>27254</v>
      </c>
      <c r="T3420" t="s">
        <v>27265</v>
      </c>
    </row>
    <row r="3421" spans="1:20" x14ac:dyDescent="0.3">
      <c r="A3421" t="str">
        <f>"0611861593050"</f>
        <v>0611861593050</v>
      </c>
      <c r="B3421" t="str">
        <f>"CE1318"</f>
        <v>CE1318</v>
      </c>
      <c r="C3421" t="s">
        <v>33868</v>
      </c>
      <c r="D3421" t="s">
        <v>27923</v>
      </c>
      <c r="E3421" t="str">
        <f t="shared" si="53"/>
        <v>001390</v>
      </c>
      <c r="F3421" t="s">
        <v>27246</v>
      </c>
      <c r="G3421" t="s">
        <v>27247</v>
      </c>
      <c r="H3421" t="s">
        <v>27248</v>
      </c>
      <c r="I3421" t="s">
        <v>33869</v>
      </c>
      <c r="J3421" t="s">
        <v>6837</v>
      </c>
      <c r="L3421" t="s">
        <v>27250</v>
      </c>
      <c r="M3421" t="s">
        <v>27251</v>
      </c>
      <c r="N3421" t="s">
        <v>27252</v>
      </c>
      <c r="P3421" t="s">
        <v>27925</v>
      </c>
      <c r="Q3421" s="1">
        <v>44846</v>
      </c>
      <c r="R3421" t="s">
        <v>27253</v>
      </c>
      <c r="S3421" t="s">
        <v>27254</v>
      </c>
      <c r="T3421" t="s">
        <v>27265</v>
      </c>
    </row>
    <row r="3422" spans="1:20" x14ac:dyDescent="0.3">
      <c r="A3422" t="str">
        <f>"0611861594050"</f>
        <v>0611861594050</v>
      </c>
      <c r="B3422" t="str">
        <f>"CE1319"</f>
        <v>CE1319</v>
      </c>
      <c r="C3422" t="s">
        <v>33870</v>
      </c>
      <c r="D3422" t="s">
        <v>27923</v>
      </c>
      <c r="E3422" t="str">
        <f t="shared" si="53"/>
        <v>001390</v>
      </c>
      <c r="F3422" t="s">
        <v>27246</v>
      </c>
      <c r="G3422" t="s">
        <v>27247</v>
      </c>
      <c r="H3422" t="s">
        <v>27248</v>
      </c>
      <c r="I3422" t="s">
        <v>33871</v>
      </c>
      <c r="J3422" t="s">
        <v>6839</v>
      </c>
      <c r="L3422" t="s">
        <v>27250</v>
      </c>
      <c r="M3422" t="s">
        <v>27251</v>
      </c>
      <c r="N3422" t="s">
        <v>27252</v>
      </c>
      <c r="P3422" t="s">
        <v>27925</v>
      </c>
      <c r="Q3422" s="1">
        <v>44846</v>
      </c>
      <c r="R3422" t="s">
        <v>27253</v>
      </c>
      <c r="S3422" t="s">
        <v>27254</v>
      </c>
      <c r="T3422" t="s">
        <v>27265</v>
      </c>
    </row>
    <row r="3423" spans="1:20" x14ac:dyDescent="0.3">
      <c r="A3423" t="str">
        <f>"0611833690100"</f>
        <v>0611833690100</v>
      </c>
      <c r="B3423" t="str">
        <f>"LB2387"</f>
        <v>LB2387</v>
      </c>
      <c r="C3423" t="s">
        <v>33872</v>
      </c>
      <c r="D3423" t="s">
        <v>28138</v>
      </c>
      <c r="E3423" t="str">
        <f t="shared" si="53"/>
        <v>001390</v>
      </c>
      <c r="F3423" t="s">
        <v>27246</v>
      </c>
      <c r="G3423" t="s">
        <v>27247</v>
      </c>
      <c r="H3423" t="s">
        <v>27248</v>
      </c>
      <c r="I3423" t="s">
        <v>33873</v>
      </c>
      <c r="J3423" t="s">
        <v>6841</v>
      </c>
      <c r="L3423" t="s">
        <v>27250</v>
      </c>
      <c r="M3423" t="s">
        <v>27251</v>
      </c>
      <c r="N3423" t="s">
        <v>27252</v>
      </c>
      <c r="P3423" t="s">
        <v>27925</v>
      </c>
      <c r="Q3423" s="1">
        <v>44538</v>
      </c>
      <c r="R3423" t="s">
        <v>27253</v>
      </c>
      <c r="S3423" t="s">
        <v>27254</v>
      </c>
      <c r="T3423" t="s">
        <v>27255</v>
      </c>
    </row>
    <row r="3424" spans="1:20" x14ac:dyDescent="0.3">
      <c r="A3424" t="str">
        <f>"0611861595050"</f>
        <v>0611861595050</v>
      </c>
      <c r="B3424" t="str">
        <f>"CR3521"</f>
        <v>CR3521</v>
      </c>
      <c r="C3424" t="s">
        <v>33874</v>
      </c>
      <c r="D3424" t="s">
        <v>27271</v>
      </c>
      <c r="E3424" t="str">
        <f t="shared" si="53"/>
        <v>001390</v>
      </c>
      <c r="F3424" t="s">
        <v>27246</v>
      </c>
      <c r="G3424" t="s">
        <v>27247</v>
      </c>
      <c r="H3424" t="s">
        <v>27248</v>
      </c>
      <c r="I3424" t="s">
        <v>33875</v>
      </c>
      <c r="J3424" t="s">
        <v>6843</v>
      </c>
      <c r="L3424" t="s">
        <v>27250</v>
      </c>
      <c r="M3424" t="s">
        <v>27251</v>
      </c>
      <c r="N3424" t="s">
        <v>27252</v>
      </c>
      <c r="P3424" t="s">
        <v>27341</v>
      </c>
      <c r="Q3424" s="1">
        <v>44846</v>
      </c>
      <c r="R3424" t="s">
        <v>27253</v>
      </c>
      <c r="S3424" t="s">
        <v>27254</v>
      </c>
      <c r="T3424" t="s">
        <v>27265</v>
      </c>
    </row>
    <row r="3425" spans="1:20" x14ac:dyDescent="0.3">
      <c r="A3425" t="str">
        <f>"0611861596050"</f>
        <v>0611861596050</v>
      </c>
      <c r="B3425" t="str">
        <f>"CR3882"</f>
        <v>CR3882</v>
      </c>
      <c r="C3425" t="s">
        <v>33876</v>
      </c>
      <c r="D3425" t="s">
        <v>27271</v>
      </c>
      <c r="E3425" t="str">
        <f t="shared" si="53"/>
        <v>001390</v>
      </c>
      <c r="F3425" t="s">
        <v>27246</v>
      </c>
      <c r="G3425" t="s">
        <v>27247</v>
      </c>
      <c r="H3425" t="s">
        <v>27248</v>
      </c>
      <c r="I3425" t="s">
        <v>33877</v>
      </c>
      <c r="J3425" t="s">
        <v>6845</v>
      </c>
      <c r="L3425" t="s">
        <v>27250</v>
      </c>
      <c r="M3425" t="s">
        <v>27251</v>
      </c>
      <c r="N3425" t="s">
        <v>27252</v>
      </c>
      <c r="P3425" t="s">
        <v>27341</v>
      </c>
      <c r="Q3425" s="1">
        <v>44846</v>
      </c>
      <c r="R3425" t="s">
        <v>27253</v>
      </c>
      <c r="S3425" t="s">
        <v>27254</v>
      </c>
      <c r="T3425" t="s">
        <v>27265</v>
      </c>
    </row>
    <row r="3426" spans="1:20" x14ac:dyDescent="0.3">
      <c r="A3426" t="str">
        <f>"0611861597050"</f>
        <v>0611861597050</v>
      </c>
      <c r="B3426" t="str">
        <f>"CR3523"</f>
        <v>CR3523</v>
      </c>
      <c r="C3426" t="s">
        <v>33878</v>
      </c>
      <c r="D3426" t="s">
        <v>27271</v>
      </c>
      <c r="E3426" t="str">
        <f t="shared" si="53"/>
        <v>001390</v>
      </c>
      <c r="F3426" t="s">
        <v>27246</v>
      </c>
      <c r="G3426" t="s">
        <v>27247</v>
      </c>
      <c r="H3426" t="s">
        <v>27248</v>
      </c>
      <c r="I3426" t="s">
        <v>33879</v>
      </c>
      <c r="J3426" t="s">
        <v>6847</v>
      </c>
      <c r="L3426" t="s">
        <v>27250</v>
      </c>
      <c r="M3426" t="s">
        <v>27251</v>
      </c>
      <c r="N3426" t="s">
        <v>27252</v>
      </c>
      <c r="P3426" t="s">
        <v>27341</v>
      </c>
      <c r="Q3426" s="1">
        <v>44846</v>
      </c>
      <c r="R3426" t="s">
        <v>27253</v>
      </c>
      <c r="S3426" t="s">
        <v>27254</v>
      </c>
      <c r="T3426" t="s">
        <v>27265</v>
      </c>
    </row>
    <row r="3427" spans="1:20" x14ac:dyDescent="0.3">
      <c r="A3427" t="str">
        <f>"0611861598050"</f>
        <v>0611861598050</v>
      </c>
      <c r="B3427" t="str">
        <f>"CR3883"</f>
        <v>CR3883</v>
      </c>
      <c r="C3427" t="s">
        <v>33880</v>
      </c>
      <c r="D3427" t="s">
        <v>27271</v>
      </c>
      <c r="E3427" t="str">
        <f t="shared" si="53"/>
        <v>001390</v>
      </c>
      <c r="F3427" t="s">
        <v>27246</v>
      </c>
      <c r="G3427" t="s">
        <v>27247</v>
      </c>
      <c r="H3427" t="s">
        <v>27248</v>
      </c>
      <c r="I3427" t="s">
        <v>33881</v>
      </c>
      <c r="J3427" t="s">
        <v>6849</v>
      </c>
      <c r="L3427" t="s">
        <v>27250</v>
      </c>
      <c r="M3427" t="s">
        <v>27251</v>
      </c>
      <c r="N3427" t="s">
        <v>27252</v>
      </c>
      <c r="P3427" t="s">
        <v>27341</v>
      </c>
      <c r="Q3427" s="1">
        <v>44846</v>
      </c>
      <c r="R3427" t="s">
        <v>27253</v>
      </c>
      <c r="S3427" t="s">
        <v>27254</v>
      </c>
      <c r="T3427" t="s">
        <v>27265</v>
      </c>
    </row>
    <row r="3428" spans="1:20" x14ac:dyDescent="0.3">
      <c r="A3428" t="str">
        <f>"0611861599050"</f>
        <v>0611861599050</v>
      </c>
      <c r="B3428" t="str">
        <f>"CR2161"</f>
        <v>CR2161</v>
      </c>
      <c r="C3428" t="s">
        <v>33882</v>
      </c>
      <c r="D3428" t="s">
        <v>27271</v>
      </c>
      <c r="E3428" t="str">
        <f t="shared" si="53"/>
        <v>001390</v>
      </c>
      <c r="F3428" t="s">
        <v>27246</v>
      </c>
      <c r="G3428" t="s">
        <v>27247</v>
      </c>
      <c r="H3428" t="s">
        <v>27248</v>
      </c>
      <c r="I3428" t="s">
        <v>33883</v>
      </c>
      <c r="J3428" t="s">
        <v>6851</v>
      </c>
      <c r="L3428" t="s">
        <v>27250</v>
      </c>
      <c r="M3428" t="s">
        <v>27251</v>
      </c>
      <c r="N3428" t="s">
        <v>27252</v>
      </c>
      <c r="P3428" t="s">
        <v>27341</v>
      </c>
      <c r="Q3428" s="1">
        <v>44846</v>
      </c>
      <c r="R3428" t="s">
        <v>27253</v>
      </c>
      <c r="S3428" t="s">
        <v>27254</v>
      </c>
      <c r="T3428" t="s">
        <v>27265</v>
      </c>
    </row>
    <row r="3429" spans="1:20" x14ac:dyDescent="0.3">
      <c r="A3429" t="str">
        <f>"0611861600050"</f>
        <v>0611861600050</v>
      </c>
      <c r="B3429" t="str">
        <f>"CR4816"</f>
        <v>CR4816</v>
      </c>
      <c r="C3429" t="s">
        <v>33884</v>
      </c>
      <c r="D3429" t="s">
        <v>27271</v>
      </c>
      <c r="E3429" t="str">
        <f t="shared" si="53"/>
        <v>001390</v>
      </c>
      <c r="F3429" t="s">
        <v>27246</v>
      </c>
      <c r="G3429" t="s">
        <v>27247</v>
      </c>
      <c r="H3429" t="s">
        <v>27248</v>
      </c>
      <c r="I3429" t="s">
        <v>33885</v>
      </c>
      <c r="J3429" t="s">
        <v>6853</v>
      </c>
      <c r="L3429" t="s">
        <v>27250</v>
      </c>
      <c r="M3429" t="s">
        <v>27251</v>
      </c>
      <c r="N3429" t="s">
        <v>27252</v>
      </c>
      <c r="P3429" t="s">
        <v>27341</v>
      </c>
      <c r="Q3429" s="1">
        <v>44846</v>
      </c>
      <c r="R3429" t="s">
        <v>27253</v>
      </c>
      <c r="S3429" t="s">
        <v>27254</v>
      </c>
      <c r="T3429" t="s">
        <v>27265</v>
      </c>
    </row>
    <row r="3430" spans="1:20" x14ac:dyDescent="0.3">
      <c r="A3430" t="str">
        <f>"0611861601050"</f>
        <v>0611861601050</v>
      </c>
      <c r="B3430" t="str">
        <f>"CR2162"</f>
        <v>CR2162</v>
      </c>
      <c r="C3430" t="s">
        <v>33886</v>
      </c>
      <c r="D3430" t="s">
        <v>27271</v>
      </c>
      <c r="E3430" t="str">
        <f t="shared" si="53"/>
        <v>001390</v>
      </c>
      <c r="F3430" t="s">
        <v>27246</v>
      </c>
      <c r="G3430" t="s">
        <v>27247</v>
      </c>
      <c r="H3430" t="s">
        <v>27248</v>
      </c>
      <c r="I3430" t="s">
        <v>33887</v>
      </c>
      <c r="J3430" t="s">
        <v>6855</v>
      </c>
      <c r="L3430" t="s">
        <v>27250</v>
      </c>
      <c r="M3430" t="s">
        <v>27251</v>
      </c>
      <c r="N3430" t="s">
        <v>27252</v>
      </c>
      <c r="P3430" t="s">
        <v>27341</v>
      </c>
      <c r="Q3430" s="1">
        <v>44846</v>
      </c>
      <c r="R3430" t="s">
        <v>27253</v>
      </c>
      <c r="S3430" t="s">
        <v>27254</v>
      </c>
      <c r="T3430" t="s">
        <v>27265</v>
      </c>
    </row>
    <row r="3431" spans="1:20" x14ac:dyDescent="0.3">
      <c r="A3431" t="str">
        <f>"0611861602050"</f>
        <v>0611861602050</v>
      </c>
      <c r="B3431" t="str">
        <f>"CR2163"</f>
        <v>CR2163</v>
      </c>
      <c r="C3431" t="s">
        <v>33888</v>
      </c>
      <c r="D3431" t="s">
        <v>27271</v>
      </c>
      <c r="E3431" t="str">
        <f t="shared" si="53"/>
        <v>001390</v>
      </c>
      <c r="F3431" t="s">
        <v>27246</v>
      </c>
      <c r="G3431" t="s">
        <v>27247</v>
      </c>
      <c r="H3431" t="s">
        <v>27248</v>
      </c>
      <c r="I3431" t="s">
        <v>33889</v>
      </c>
      <c r="J3431" t="s">
        <v>6857</v>
      </c>
      <c r="L3431" t="s">
        <v>27250</v>
      </c>
      <c r="M3431" t="s">
        <v>27251</v>
      </c>
      <c r="N3431" t="s">
        <v>27252</v>
      </c>
      <c r="P3431" t="s">
        <v>27341</v>
      </c>
      <c r="Q3431" s="1">
        <v>44846</v>
      </c>
      <c r="R3431" t="s">
        <v>27253</v>
      </c>
      <c r="S3431" t="s">
        <v>27254</v>
      </c>
      <c r="T3431" t="s">
        <v>27265</v>
      </c>
    </row>
    <row r="3432" spans="1:20" x14ac:dyDescent="0.3">
      <c r="A3432" t="str">
        <f>"0611861603050"</f>
        <v>0611861603050</v>
      </c>
      <c r="B3432" t="str">
        <f>"CR3524"</f>
        <v>CR3524</v>
      </c>
      <c r="C3432" t="s">
        <v>33890</v>
      </c>
      <c r="D3432" t="s">
        <v>27271</v>
      </c>
      <c r="E3432" t="str">
        <f t="shared" si="53"/>
        <v>001390</v>
      </c>
      <c r="F3432" t="s">
        <v>27246</v>
      </c>
      <c r="G3432" t="s">
        <v>27247</v>
      </c>
      <c r="H3432" t="s">
        <v>27248</v>
      </c>
      <c r="I3432" t="s">
        <v>33891</v>
      </c>
      <c r="J3432" t="s">
        <v>6859</v>
      </c>
      <c r="L3432" t="s">
        <v>27250</v>
      </c>
      <c r="M3432" t="s">
        <v>27251</v>
      </c>
      <c r="N3432" t="s">
        <v>27252</v>
      </c>
      <c r="P3432" t="s">
        <v>27341</v>
      </c>
      <c r="Q3432" s="1">
        <v>44846</v>
      </c>
      <c r="R3432" t="s">
        <v>27253</v>
      </c>
      <c r="S3432" t="s">
        <v>27254</v>
      </c>
      <c r="T3432" t="s">
        <v>27265</v>
      </c>
    </row>
    <row r="3433" spans="1:20" x14ac:dyDescent="0.3">
      <c r="A3433" t="str">
        <f>"0611861604050"</f>
        <v>0611861604050</v>
      </c>
      <c r="B3433" t="str">
        <f>"CR5180"</f>
        <v>CR5180</v>
      </c>
      <c r="C3433" t="s">
        <v>33892</v>
      </c>
      <c r="D3433" t="s">
        <v>27271</v>
      </c>
      <c r="E3433" t="str">
        <f t="shared" si="53"/>
        <v>001390</v>
      </c>
      <c r="F3433" t="s">
        <v>27246</v>
      </c>
      <c r="G3433" t="s">
        <v>27247</v>
      </c>
      <c r="H3433" t="s">
        <v>27248</v>
      </c>
      <c r="I3433" t="s">
        <v>33893</v>
      </c>
      <c r="J3433" t="s">
        <v>6861</v>
      </c>
      <c r="L3433" t="s">
        <v>27250</v>
      </c>
      <c r="M3433" t="s">
        <v>27251</v>
      </c>
      <c r="N3433" t="s">
        <v>27252</v>
      </c>
      <c r="P3433" t="s">
        <v>27341</v>
      </c>
      <c r="Q3433" s="1">
        <v>44846</v>
      </c>
      <c r="R3433" t="s">
        <v>27253</v>
      </c>
      <c r="S3433" t="s">
        <v>27254</v>
      </c>
      <c r="T3433" t="s">
        <v>27265</v>
      </c>
    </row>
    <row r="3434" spans="1:20" x14ac:dyDescent="0.3">
      <c r="A3434" t="str">
        <f>"0611861605050"</f>
        <v>0611861605050</v>
      </c>
      <c r="B3434" t="str">
        <f>"CR2164"</f>
        <v>CR2164</v>
      </c>
      <c r="C3434" t="s">
        <v>33894</v>
      </c>
      <c r="D3434" t="s">
        <v>27271</v>
      </c>
      <c r="E3434" t="str">
        <f t="shared" si="53"/>
        <v>001390</v>
      </c>
      <c r="F3434" t="s">
        <v>27246</v>
      </c>
      <c r="G3434" t="s">
        <v>27247</v>
      </c>
      <c r="H3434" t="s">
        <v>27248</v>
      </c>
      <c r="I3434" t="s">
        <v>33895</v>
      </c>
      <c r="J3434" t="s">
        <v>6863</v>
      </c>
      <c r="L3434" t="s">
        <v>27250</v>
      </c>
      <c r="M3434" t="s">
        <v>27251</v>
      </c>
      <c r="N3434" t="s">
        <v>27252</v>
      </c>
      <c r="P3434" t="s">
        <v>27341</v>
      </c>
      <c r="Q3434" s="1">
        <v>44846</v>
      </c>
      <c r="R3434" t="s">
        <v>27253</v>
      </c>
      <c r="S3434" t="s">
        <v>27254</v>
      </c>
      <c r="T3434" t="s">
        <v>27265</v>
      </c>
    </row>
    <row r="3435" spans="1:20" x14ac:dyDescent="0.3">
      <c r="A3435" t="str">
        <f>"0611861606050"</f>
        <v>0611861606050</v>
      </c>
      <c r="B3435" t="str">
        <f>"CR2165"</f>
        <v>CR2165</v>
      </c>
      <c r="C3435" t="s">
        <v>33896</v>
      </c>
      <c r="D3435" t="s">
        <v>27271</v>
      </c>
      <c r="E3435" t="str">
        <f t="shared" si="53"/>
        <v>001390</v>
      </c>
      <c r="F3435" t="s">
        <v>27246</v>
      </c>
      <c r="G3435" t="s">
        <v>27247</v>
      </c>
      <c r="H3435" t="s">
        <v>27248</v>
      </c>
      <c r="I3435" t="s">
        <v>33897</v>
      </c>
      <c r="J3435" t="s">
        <v>6865</v>
      </c>
      <c r="L3435" t="s">
        <v>27250</v>
      </c>
      <c r="M3435" t="s">
        <v>27251</v>
      </c>
      <c r="N3435" t="s">
        <v>27252</v>
      </c>
      <c r="P3435" t="s">
        <v>27341</v>
      </c>
      <c r="Q3435" s="1">
        <v>44846</v>
      </c>
      <c r="R3435" t="s">
        <v>27253</v>
      </c>
      <c r="S3435" t="s">
        <v>27254</v>
      </c>
      <c r="T3435" t="s">
        <v>27265</v>
      </c>
    </row>
    <row r="3436" spans="1:20" x14ac:dyDescent="0.3">
      <c r="A3436" t="str">
        <f>"0611861607050"</f>
        <v>0611861607050</v>
      </c>
      <c r="B3436" t="str">
        <f>"CR2166"</f>
        <v>CR2166</v>
      </c>
      <c r="C3436" t="s">
        <v>33898</v>
      </c>
      <c r="D3436" t="s">
        <v>27271</v>
      </c>
      <c r="E3436" t="str">
        <f t="shared" si="53"/>
        <v>001390</v>
      </c>
      <c r="F3436" t="s">
        <v>27246</v>
      </c>
      <c r="G3436" t="s">
        <v>27247</v>
      </c>
      <c r="H3436" t="s">
        <v>27248</v>
      </c>
      <c r="I3436" t="s">
        <v>33899</v>
      </c>
      <c r="J3436" t="s">
        <v>6867</v>
      </c>
      <c r="L3436" t="s">
        <v>27250</v>
      </c>
      <c r="M3436" t="s">
        <v>27251</v>
      </c>
      <c r="N3436" t="s">
        <v>27252</v>
      </c>
      <c r="P3436" t="s">
        <v>27341</v>
      </c>
      <c r="Q3436" s="1">
        <v>44846</v>
      </c>
      <c r="R3436" t="s">
        <v>27253</v>
      </c>
      <c r="S3436" t="s">
        <v>27254</v>
      </c>
      <c r="T3436" t="s">
        <v>27265</v>
      </c>
    </row>
    <row r="3437" spans="1:20" x14ac:dyDescent="0.3">
      <c r="A3437" t="str">
        <f>"0611861608050"</f>
        <v>0611861608050</v>
      </c>
      <c r="B3437" t="str">
        <f>"CR2167"</f>
        <v>CR2167</v>
      </c>
      <c r="C3437" t="s">
        <v>33900</v>
      </c>
      <c r="D3437" t="s">
        <v>27271</v>
      </c>
      <c r="E3437" t="str">
        <f t="shared" si="53"/>
        <v>001390</v>
      </c>
      <c r="F3437" t="s">
        <v>27246</v>
      </c>
      <c r="G3437" t="s">
        <v>27247</v>
      </c>
      <c r="H3437" t="s">
        <v>27248</v>
      </c>
      <c r="I3437" t="s">
        <v>33901</v>
      </c>
      <c r="J3437" t="s">
        <v>6869</v>
      </c>
      <c r="L3437" t="s">
        <v>27250</v>
      </c>
      <c r="M3437" t="s">
        <v>27251</v>
      </c>
      <c r="N3437" t="s">
        <v>27252</v>
      </c>
      <c r="P3437" t="s">
        <v>27341</v>
      </c>
      <c r="Q3437" s="1">
        <v>44846</v>
      </c>
      <c r="R3437" t="s">
        <v>27253</v>
      </c>
      <c r="S3437" t="s">
        <v>27254</v>
      </c>
      <c r="T3437" t="s">
        <v>27265</v>
      </c>
    </row>
    <row r="3438" spans="1:20" x14ac:dyDescent="0.3">
      <c r="A3438" t="str">
        <f>"0611861609050"</f>
        <v>0611861609050</v>
      </c>
      <c r="B3438" t="str">
        <f>"CR5181"</f>
        <v>CR5181</v>
      </c>
      <c r="C3438" t="s">
        <v>33902</v>
      </c>
      <c r="D3438" t="s">
        <v>27271</v>
      </c>
      <c r="E3438" t="str">
        <f t="shared" si="53"/>
        <v>001390</v>
      </c>
      <c r="F3438" t="s">
        <v>27246</v>
      </c>
      <c r="G3438" t="s">
        <v>27247</v>
      </c>
      <c r="H3438" t="s">
        <v>27248</v>
      </c>
      <c r="I3438" t="s">
        <v>33903</v>
      </c>
      <c r="J3438" t="s">
        <v>6871</v>
      </c>
      <c r="L3438" t="s">
        <v>27250</v>
      </c>
      <c r="M3438" t="s">
        <v>27251</v>
      </c>
      <c r="N3438" t="s">
        <v>27252</v>
      </c>
      <c r="P3438" t="s">
        <v>27341</v>
      </c>
      <c r="Q3438" s="1">
        <v>44846</v>
      </c>
      <c r="R3438" t="s">
        <v>27253</v>
      </c>
      <c r="S3438" t="s">
        <v>27254</v>
      </c>
      <c r="T3438" t="s">
        <v>27265</v>
      </c>
    </row>
    <row r="3439" spans="1:20" x14ac:dyDescent="0.3">
      <c r="A3439" t="str">
        <f>"0611861610050"</f>
        <v>0611861610050</v>
      </c>
      <c r="B3439" t="str">
        <f>"CR2169"</f>
        <v>CR2169</v>
      </c>
      <c r="C3439" t="s">
        <v>33904</v>
      </c>
      <c r="D3439" t="s">
        <v>27271</v>
      </c>
      <c r="E3439" t="str">
        <f t="shared" si="53"/>
        <v>001390</v>
      </c>
      <c r="F3439" t="s">
        <v>27246</v>
      </c>
      <c r="G3439" t="s">
        <v>27247</v>
      </c>
      <c r="H3439" t="s">
        <v>27248</v>
      </c>
      <c r="I3439" t="s">
        <v>33905</v>
      </c>
      <c r="J3439" t="s">
        <v>6873</v>
      </c>
      <c r="L3439" t="s">
        <v>27250</v>
      </c>
      <c r="M3439" t="s">
        <v>27251</v>
      </c>
      <c r="N3439" t="s">
        <v>27252</v>
      </c>
      <c r="P3439" t="s">
        <v>27341</v>
      </c>
      <c r="Q3439" s="1">
        <v>44846</v>
      </c>
      <c r="R3439" t="s">
        <v>27253</v>
      </c>
      <c r="S3439" t="s">
        <v>27254</v>
      </c>
      <c r="T3439" t="s">
        <v>27265</v>
      </c>
    </row>
    <row r="3440" spans="1:20" x14ac:dyDescent="0.3">
      <c r="A3440" t="str">
        <f>"0611861611050"</f>
        <v>0611861611050</v>
      </c>
      <c r="B3440" t="str">
        <f>"CR2170"</f>
        <v>CR2170</v>
      </c>
      <c r="C3440" t="s">
        <v>33906</v>
      </c>
      <c r="D3440" t="s">
        <v>27271</v>
      </c>
      <c r="E3440" t="str">
        <f t="shared" si="53"/>
        <v>001390</v>
      </c>
      <c r="F3440" t="s">
        <v>27246</v>
      </c>
      <c r="G3440" t="s">
        <v>27247</v>
      </c>
      <c r="H3440" t="s">
        <v>27248</v>
      </c>
      <c r="I3440" t="s">
        <v>33907</v>
      </c>
      <c r="J3440" t="s">
        <v>6875</v>
      </c>
      <c r="L3440" t="s">
        <v>27250</v>
      </c>
      <c r="M3440" t="s">
        <v>27251</v>
      </c>
      <c r="N3440" t="s">
        <v>27252</v>
      </c>
      <c r="P3440" t="s">
        <v>27341</v>
      </c>
      <c r="Q3440" s="1">
        <v>44846</v>
      </c>
      <c r="R3440" t="s">
        <v>27253</v>
      </c>
      <c r="S3440" t="s">
        <v>27254</v>
      </c>
      <c r="T3440" t="s">
        <v>27265</v>
      </c>
    </row>
    <row r="3441" spans="1:20" x14ac:dyDescent="0.3">
      <c r="A3441" t="str">
        <f>"0611861612050"</f>
        <v>0611861612050</v>
      </c>
      <c r="B3441" t="str">
        <f>"CR2631"</f>
        <v>CR2631</v>
      </c>
      <c r="C3441" t="s">
        <v>33908</v>
      </c>
      <c r="D3441" t="s">
        <v>27271</v>
      </c>
      <c r="E3441" t="str">
        <f t="shared" si="53"/>
        <v>001390</v>
      </c>
      <c r="F3441" t="s">
        <v>27246</v>
      </c>
      <c r="G3441" t="s">
        <v>27247</v>
      </c>
      <c r="H3441" t="s">
        <v>27248</v>
      </c>
      <c r="I3441" t="s">
        <v>33909</v>
      </c>
      <c r="J3441" t="s">
        <v>6877</v>
      </c>
      <c r="L3441" t="s">
        <v>27250</v>
      </c>
      <c r="M3441" t="s">
        <v>27251</v>
      </c>
      <c r="N3441" t="s">
        <v>27252</v>
      </c>
      <c r="P3441" t="s">
        <v>27341</v>
      </c>
      <c r="Q3441" s="1">
        <v>44846</v>
      </c>
      <c r="R3441" t="s">
        <v>27253</v>
      </c>
      <c r="S3441" t="s">
        <v>27254</v>
      </c>
      <c r="T3441" t="s">
        <v>27265</v>
      </c>
    </row>
    <row r="3442" spans="1:20" x14ac:dyDescent="0.3">
      <c r="A3442" t="str">
        <f>"0611861613050"</f>
        <v>0611861613050</v>
      </c>
      <c r="B3442" t="str">
        <f>"CR2156"</f>
        <v>CR2156</v>
      </c>
      <c r="C3442" t="s">
        <v>33910</v>
      </c>
      <c r="D3442" t="s">
        <v>27271</v>
      </c>
      <c r="E3442" t="str">
        <f t="shared" si="53"/>
        <v>001390</v>
      </c>
      <c r="F3442" t="s">
        <v>27246</v>
      </c>
      <c r="G3442" t="s">
        <v>27247</v>
      </c>
      <c r="H3442" t="s">
        <v>27248</v>
      </c>
      <c r="I3442" t="s">
        <v>33911</v>
      </c>
      <c r="J3442" t="s">
        <v>6879</v>
      </c>
      <c r="L3442" t="s">
        <v>27250</v>
      </c>
      <c r="M3442" t="s">
        <v>27251</v>
      </c>
      <c r="N3442" t="s">
        <v>27252</v>
      </c>
      <c r="P3442" t="s">
        <v>27341</v>
      </c>
      <c r="Q3442" s="1">
        <v>44846</v>
      </c>
      <c r="R3442" t="s">
        <v>27253</v>
      </c>
      <c r="S3442" t="s">
        <v>27254</v>
      </c>
      <c r="T3442" t="s">
        <v>27265</v>
      </c>
    </row>
    <row r="3443" spans="1:20" x14ac:dyDescent="0.3">
      <c r="A3443" t="str">
        <f>"0611861614050"</f>
        <v>0611861614050</v>
      </c>
      <c r="B3443" t="str">
        <f>"CE1685"</f>
        <v>CE1685</v>
      </c>
      <c r="C3443" t="s">
        <v>33912</v>
      </c>
      <c r="D3443" t="s">
        <v>27923</v>
      </c>
      <c r="E3443" t="str">
        <f t="shared" si="53"/>
        <v>001390</v>
      </c>
      <c r="F3443" t="s">
        <v>27246</v>
      </c>
      <c r="G3443" t="s">
        <v>27247</v>
      </c>
      <c r="H3443" t="s">
        <v>27248</v>
      </c>
      <c r="I3443" t="s">
        <v>33913</v>
      </c>
      <c r="J3443" t="s">
        <v>6881</v>
      </c>
      <c r="L3443" t="s">
        <v>27250</v>
      </c>
      <c r="M3443" t="s">
        <v>27251</v>
      </c>
      <c r="N3443" t="s">
        <v>27252</v>
      </c>
      <c r="P3443" t="s">
        <v>27925</v>
      </c>
      <c r="Q3443" s="1">
        <v>44846</v>
      </c>
      <c r="R3443" t="s">
        <v>27253</v>
      </c>
      <c r="S3443" t="s">
        <v>27254</v>
      </c>
      <c r="T3443" t="s">
        <v>27265</v>
      </c>
    </row>
    <row r="3444" spans="1:20" x14ac:dyDescent="0.3">
      <c r="A3444" t="str">
        <f>"0611861615050"</f>
        <v>0611861615050</v>
      </c>
      <c r="B3444" t="str">
        <f>"CE1647"</f>
        <v>CE1647</v>
      </c>
      <c r="C3444" t="s">
        <v>33914</v>
      </c>
      <c r="D3444" t="s">
        <v>27923</v>
      </c>
      <c r="E3444" t="str">
        <f t="shared" si="53"/>
        <v>001390</v>
      </c>
      <c r="F3444" t="s">
        <v>27246</v>
      </c>
      <c r="G3444" t="s">
        <v>27247</v>
      </c>
      <c r="H3444" t="s">
        <v>27248</v>
      </c>
      <c r="I3444" t="s">
        <v>33915</v>
      </c>
      <c r="J3444" t="s">
        <v>6883</v>
      </c>
      <c r="L3444" t="s">
        <v>27250</v>
      </c>
      <c r="M3444" t="s">
        <v>27251</v>
      </c>
      <c r="N3444" t="s">
        <v>27252</v>
      </c>
      <c r="P3444" t="s">
        <v>27925</v>
      </c>
      <c r="Q3444" s="1">
        <v>44846</v>
      </c>
      <c r="R3444" t="s">
        <v>27253</v>
      </c>
      <c r="S3444" t="s">
        <v>27254</v>
      </c>
      <c r="T3444" t="s">
        <v>27265</v>
      </c>
    </row>
    <row r="3445" spans="1:20" x14ac:dyDescent="0.3">
      <c r="A3445" t="str">
        <f>"0611861616050"</f>
        <v>0611861616050</v>
      </c>
      <c r="B3445" t="str">
        <f>"CE1648"</f>
        <v>CE1648</v>
      </c>
      <c r="C3445" t="s">
        <v>33916</v>
      </c>
      <c r="D3445" t="s">
        <v>27923</v>
      </c>
      <c r="E3445" t="str">
        <f t="shared" si="53"/>
        <v>001390</v>
      </c>
      <c r="F3445" t="s">
        <v>27246</v>
      </c>
      <c r="G3445" t="s">
        <v>27247</v>
      </c>
      <c r="H3445" t="s">
        <v>27248</v>
      </c>
      <c r="I3445" t="s">
        <v>33917</v>
      </c>
      <c r="J3445" t="s">
        <v>6885</v>
      </c>
      <c r="L3445" t="s">
        <v>27250</v>
      </c>
      <c r="M3445" t="s">
        <v>27251</v>
      </c>
      <c r="N3445" t="s">
        <v>27252</v>
      </c>
      <c r="P3445" t="s">
        <v>27925</v>
      </c>
      <c r="Q3445" s="1">
        <v>44846</v>
      </c>
      <c r="R3445" t="s">
        <v>27253</v>
      </c>
      <c r="S3445" t="s">
        <v>27254</v>
      </c>
      <c r="T3445" t="s">
        <v>27265</v>
      </c>
    </row>
    <row r="3446" spans="1:20" x14ac:dyDescent="0.3">
      <c r="A3446" t="str">
        <f>"0611861617050"</f>
        <v>0611861617050</v>
      </c>
      <c r="B3446" t="str">
        <f>"CE1646"</f>
        <v>CE1646</v>
      </c>
      <c r="C3446" t="s">
        <v>33918</v>
      </c>
      <c r="D3446" t="s">
        <v>27923</v>
      </c>
      <c r="E3446" t="str">
        <f t="shared" si="53"/>
        <v>001390</v>
      </c>
      <c r="F3446" t="s">
        <v>27246</v>
      </c>
      <c r="G3446" t="s">
        <v>27247</v>
      </c>
      <c r="H3446" t="s">
        <v>27248</v>
      </c>
      <c r="I3446" t="s">
        <v>33919</v>
      </c>
      <c r="J3446" t="s">
        <v>6887</v>
      </c>
      <c r="L3446" t="s">
        <v>27250</v>
      </c>
      <c r="M3446" t="s">
        <v>27251</v>
      </c>
      <c r="N3446" t="s">
        <v>27252</v>
      </c>
      <c r="P3446" t="s">
        <v>27925</v>
      </c>
      <c r="Q3446" s="1">
        <v>44846</v>
      </c>
      <c r="R3446" t="s">
        <v>27253</v>
      </c>
      <c r="S3446" t="s">
        <v>27254</v>
      </c>
      <c r="T3446" t="s">
        <v>27265</v>
      </c>
    </row>
    <row r="3447" spans="1:20" x14ac:dyDescent="0.3">
      <c r="A3447" t="str">
        <f>"0611861618050"</f>
        <v>0611861618050</v>
      </c>
      <c r="B3447" t="str">
        <f>"CE1726"</f>
        <v>CE1726</v>
      </c>
      <c r="C3447" t="s">
        <v>33920</v>
      </c>
      <c r="D3447" t="s">
        <v>27923</v>
      </c>
      <c r="E3447" t="str">
        <f t="shared" si="53"/>
        <v>001390</v>
      </c>
      <c r="F3447" t="s">
        <v>27246</v>
      </c>
      <c r="G3447" t="s">
        <v>27247</v>
      </c>
      <c r="H3447" t="s">
        <v>27248</v>
      </c>
      <c r="I3447" t="s">
        <v>33921</v>
      </c>
      <c r="J3447" t="s">
        <v>6889</v>
      </c>
      <c r="L3447" t="s">
        <v>27250</v>
      </c>
      <c r="M3447" t="s">
        <v>27251</v>
      </c>
      <c r="N3447" t="s">
        <v>27252</v>
      </c>
      <c r="P3447" t="s">
        <v>27925</v>
      </c>
      <c r="Q3447" s="1">
        <v>44846</v>
      </c>
      <c r="R3447" t="s">
        <v>27253</v>
      </c>
      <c r="S3447" t="s">
        <v>27254</v>
      </c>
      <c r="T3447" t="s">
        <v>27265</v>
      </c>
    </row>
    <row r="3448" spans="1:20" x14ac:dyDescent="0.3">
      <c r="A3448" t="str">
        <f>"0611861619050"</f>
        <v>0611861619050</v>
      </c>
      <c r="B3448" t="str">
        <f>"CE1689"</f>
        <v>CE1689</v>
      </c>
      <c r="C3448" t="s">
        <v>33922</v>
      </c>
      <c r="D3448" t="s">
        <v>27923</v>
      </c>
      <c r="E3448" t="str">
        <f t="shared" si="53"/>
        <v>001390</v>
      </c>
      <c r="F3448" t="s">
        <v>27246</v>
      </c>
      <c r="G3448" t="s">
        <v>27247</v>
      </c>
      <c r="H3448" t="s">
        <v>27248</v>
      </c>
      <c r="I3448" t="s">
        <v>33923</v>
      </c>
      <c r="J3448" t="s">
        <v>6891</v>
      </c>
      <c r="L3448" t="s">
        <v>27250</v>
      </c>
      <c r="M3448" t="s">
        <v>27251</v>
      </c>
      <c r="N3448" t="s">
        <v>27252</v>
      </c>
      <c r="P3448" t="s">
        <v>27925</v>
      </c>
      <c r="Q3448" s="1">
        <v>44846</v>
      </c>
      <c r="R3448" t="s">
        <v>27253</v>
      </c>
      <c r="S3448" t="s">
        <v>27254</v>
      </c>
      <c r="T3448" t="s">
        <v>27265</v>
      </c>
    </row>
    <row r="3449" spans="1:20" x14ac:dyDescent="0.3">
      <c r="A3449" t="str">
        <f>"0611861620050"</f>
        <v>0611861620050</v>
      </c>
      <c r="B3449" t="str">
        <f>"CE1687"</f>
        <v>CE1687</v>
      </c>
      <c r="C3449" t="s">
        <v>33924</v>
      </c>
      <c r="D3449" t="s">
        <v>27923</v>
      </c>
      <c r="E3449" t="str">
        <f t="shared" si="53"/>
        <v>001390</v>
      </c>
      <c r="F3449" t="s">
        <v>27246</v>
      </c>
      <c r="G3449" t="s">
        <v>27247</v>
      </c>
      <c r="H3449" t="s">
        <v>27248</v>
      </c>
      <c r="I3449" t="s">
        <v>33925</v>
      </c>
      <c r="J3449" t="s">
        <v>6893</v>
      </c>
      <c r="L3449" t="s">
        <v>27250</v>
      </c>
      <c r="M3449" t="s">
        <v>27251</v>
      </c>
      <c r="N3449" t="s">
        <v>27252</v>
      </c>
      <c r="P3449" t="s">
        <v>27925</v>
      </c>
      <c r="Q3449" s="1">
        <v>44846</v>
      </c>
      <c r="R3449" t="s">
        <v>27253</v>
      </c>
      <c r="S3449" t="s">
        <v>27254</v>
      </c>
      <c r="T3449" t="s">
        <v>27265</v>
      </c>
    </row>
    <row r="3450" spans="1:20" x14ac:dyDescent="0.3">
      <c r="A3450" t="str">
        <f>"0611861621050"</f>
        <v>0611861621050</v>
      </c>
      <c r="B3450" t="str">
        <f>"CE1626"</f>
        <v>CE1626</v>
      </c>
      <c r="C3450" t="s">
        <v>33926</v>
      </c>
      <c r="D3450" t="s">
        <v>27923</v>
      </c>
      <c r="E3450" t="str">
        <f t="shared" si="53"/>
        <v>001390</v>
      </c>
      <c r="F3450" t="s">
        <v>27246</v>
      </c>
      <c r="G3450" t="s">
        <v>27247</v>
      </c>
      <c r="H3450" t="s">
        <v>27248</v>
      </c>
      <c r="I3450" t="s">
        <v>33927</v>
      </c>
      <c r="J3450" t="s">
        <v>6895</v>
      </c>
      <c r="L3450" t="s">
        <v>27250</v>
      </c>
      <c r="M3450" t="s">
        <v>27251</v>
      </c>
      <c r="N3450" t="s">
        <v>27252</v>
      </c>
      <c r="P3450" t="s">
        <v>27925</v>
      </c>
      <c r="Q3450" s="1">
        <v>44846</v>
      </c>
      <c r="R3450" t="s">
        <v>27253</v>
      </c>
      <c r="S3450" t="s">
        <v>27254</v>
      </c>
      <c r="T3450" t="s">
        <v>27265</v>
      </c>
    </row>
    <row r="3451" spans="1:20" x14ac:dyDescent="0.3">
      <c r="A3451" t="str">
        <f>"0611861622050"</f>
        <v>0611861622050</v>
      </c>
      <c r="B3451" t="str">
        <f>"CE1627"</f>
        <v>CE1627</v>
      </c>
      <c r="C3451" t="s">
        <v>33928</v>
      </c>
      <c r="D3451" t="s">
        <v>27923</v>
      </c>
      <c r="E3451" t="str">
        <f t="shared" si="53"/>
        <v>001390</v>
      </c>
      <c r="F3451" t="s">
        <v>27246</v>
      </c>
      <c r="G3451" t="s">
        <v>27247</v>
      </c>
      <c r="H3451" t="s">
        <v>27248</v>
      </c>
      <c r="I3451" t="s">
        <v>33929</v>
      </c>
      <c r="J3451" t="s">
        <v>6897</v>
      </c>
      <c r="L3451" t="s">
        <v>27250</v>
      </c>
      <c r="M3451" t="s">
        <v>27251</v>
      </c>
      <c r="N3451" t="s">
        <v>27252</v>
      </c>
      <c r="P3451" t="s">
        <v>27925</v>
      </c>
      <c r="Q3451" s="1">
        <v>44846</v>
      </c>
      <c r="R3451" t="s">
        <v>27253</v>
      </c>
      <c r="S3451" t="s">
        <v>27254</v>
      </c>
      <c r="T3451" t="s">
        <v>27265</v>
      </c>
    </row>
    <row r="3452" spans="1:20" x14ac:dyDescent="0.3">
      <c r="A3452" t="str">
        <f>"0611861623050"</f>
        <v>0611861623050</v>
      </c>
      <c r="B3452" t="str">
        <f>"CE1686"</f>
        <v>CE1686</v>
      </c>
      <c r="C3452" t="s">
        <v>33930</v>
      </c>
      <c r="D3452" t="s">
        <v>27923</v>
      </c>
      <c r="E3452" t="str">
        <f t="shared" si="53"/>
        <v>001390</v>
      </c>
      <c r="F3452" t="s">
        <v>27246</v>
      </c>
      <c r="G3452" t="s">
        <v>27247</v>
      </c>
      <c r="H3452" t="s">
        <v>27248</v>
      </c>
      <c r="I3452" t="s">
        <v>33931</v>
      </c>
      <c r="J3452" t="s">
        <v>6899</v>
      </c>
      <c r="L3452" t="s">
        <v>27250</v>
      </c>
      <c r="M3452" t="s">
        <v>27251</v>
      </c>
      <c r="N3452" t="s">
        <v>27252</v>
      </c>
      <c r="P3452" t="s">
        <v>27925</v>
      </c>
      <c r="Q3452" s="1">
        <v>44846</v>
      </c>
      <c r="R3452" t="s">
        <v>27253</v>
      </c>
      <c r="S3452" t="s">
        <v>27254</v>
      </c>
      <c r="T3452" t="s">
        <v>27265</v>
      </c>
    </row>
    <row r="3453" spans="1:20" x14ac:dyDescent="0.3">
      <c r="A3453" t="str">
        <f>"0611861624050"</f>
        <v>0611861624050</v>
      </c>
      <c r="B3453" t="str">
        <f>"CE1688"</f>
        <v>CE1688</v>
      </c>
      <c r="C3453" t="s">
        <v>33932</v>
      </c>
      <c r="D3453" t="s">
        <v>27923</v>
      </c>
      <c r="E3453" t="str">
        <f t="shared" si="53"/>
        <v>001390</v>
      </c>
      <c r="F3453" t="s">
        <v>27246</v>
      </c>
      <c r="G3453" t="s">
        <v>27247</v>
      </c>
      <c r="H3453" t="s">
        <v>27248</v>
      </c>
      <c r="I3453" t="s">
        <v>33933</v>
      </c>
      <c r="J3453" t="s">
        <v>6901</v>
      </c>
      <c r="L3453" t="s">
        <v>27250</v>
      </c>
      <c r="M3453" t="s">
        <v>27251</v>
      </c>
      <c r="N3453" t="s">
        <v>27252</v>
      </c>
      <c r="P3453" t="s">
        <v>27925</v>
      </c>
      <c r="Q3453" s="1">
        <v>44846</v>
      </c>
      <c r="R3453" t="s">
        <v>27253</v>
      </c>
      <c r="S3453" t="s">
        <v>27254</v>
      </c>
      <c r="T3453" t="s">
        <v>27265</v>
      </c>
    </row>
    <row r="3454" spans="1:20" x14ac:dyDescent="0.3">
      <c r="A3454" t="str">
        <f>"0611833691100"</f>
        <v>0611833691100</v>
      </c>
      <c r="B3454" t="str">
        <f>"LQ3802"</f>
        <v>LQ3802</v>
      </c>
      <c r="C3454" t="s">
        <v>33934</v>
      </c>
      <c r="D3454" t="s">
        <v>28138</v>
      </c>
      <c r="E3454" t="str">
        <f t="shared" si="53"/>
        <v>001390</v>
      </c>
      <c r="F3454" t="s">
        <v>27246</v>
      </c>
      <c r="G3454" t="s">
        <v>27247</v>
      </c>
      <c r="H3454" t="s">
        <v>27248</v>
      </c>
      <c r="I3454" t="s">
        <v>33935</v>
      </c>
      <c r="J3454" t="s">
        <v>6903</v>
      </c>
      <c r="L3454" t="s">
        <v>27250</v>
      </c>
      <c r="M3454" t="s">
        <v>27251</v>
      </c>
      <c r="N3454" t="s">
        <v>27252</v>
      </c>
      <c r="P3454" t="s">
        <v>27925</v>
      </c>
      <c r="Q3454" s="1">
        <v>44538</v>
      </c>
      <c r="R3454" t="s">
        <v>27253</v>
      </c>
      <c r="S3454" t="s">
        <v>27254</v>
      </c>
      <c r="T3454" t="s">
        <v>27255</v>
      </c>
    </row>
    <row r="3455" spans="1:20" x14ac:dyDescent="0.3">
      <c r="A3455" t="str">
        <f>"0611833692100"</f>
        <v>0611833692100</v>
      </c>
      <c r="B3455" t="str">
        <f>"LQ6013"</f>
        <v>LQ6013</v>
      </c>
      <c r="C3455" t="s">
        <v>33936</v>
      </c>
      <c r="D3455" t="s">
        <v>27245</v>
      </c>
      <c r="E3455" t="str">
        <f t="shared" si="53"/>
        <v>001390</v>
      </c>
      <c r="F3455" t="s">
        <v>27246</v>
      </c>
      <c r="G3455" t="s">
        <v>27247</v>
      </c>
      <c r="H3455" t="s">
        <v>27248</v>
      </c>
      <c r="I3455" t="s">
        <v>33937</v>
      </c>
      <c r="J3455" t="s">
        <v>6905</v>
      </c>
      <c r="L3455" t="s">
        <v>27250</v>
      </c>
      <c r="M3455" t="s">
        <v>27251</v>
      </c>
      <c r="N3455" t="s">
        <v>27252</v>
      </c>
      <c r="Q3455" s="1">
        <v>44538</v>
      </c>
      <c r="R3455" t="s">
        <v>27253</v>
      </c>
      <c r="S3455" t="s">
        <v>27254</v>
      </c>
      <c r="T3455" t="s">
        <v>27255</v>
      </c>
    </row>
    <row r="3456" spans="1:20" x14ac:dyDescent="0.3">
      <c r="A3456" t="str">
        <f>"0611833693100"</f>
        <v>0611833693100</v>
      </c>
      <c r="B3456" t="str">
        <f>"LQ3746"</f>
        <v>LQ3746</v>
      </c>
      <c r="C3456" t="s">
        <v>33938</v>
      </c>
      <c r="D3456" t="s">
        <v>27245</v>
      </c>
      <c r="E3456" t="str">
        <f t="shared" si="53"/>
        <v>001390</v>
      </c>
      <c r="F3456" t="s">
        <v>27246</v>
      </c>
      <c r="G3456" t="s">
        <v>27247</v>
      </c>
      <c r="H3456" t="s">
        <v>27248</v>
      </c>
      <c r="I3456" t="s">
        <v>33939</v>
      </c>
      <c r="J3456" t="s">
        <v>6907</v>
      </c>
      <c r="L3456" t="s">
        <v>27250</v>
      </c>
      <c r="M3456" t="s">
        <v>27251</v>
      </c>
      <c r="N3456" t="s">
        <v>27252</v>
      </c>
      <c r="Q3456" s="1">
        <v>44538</v>
      </c>
      <c r="R3456" t="s">
        <v>27253</v>
      </c>
      <c r="S3456" t="s">
        <v>27254</v>
      </c>
      <c r="T3456" t="s">
        <v>27255</v>
      </c>
    </row>
    <row r="3457" spans="1:20" x14ac:dyDescent="0.3">
      <c r="A3457" t="str">
        <f>"0611833694100"</f>
        <v>0611833694100</v>
      </c>
      <c r="B3457" t="str">
        <f>"LQ3747"</f>
        <v>LQ3747</v>
      </c>
      <c r="C3457" t="s">
        <v>33940</v>
      </c>
      <c r="D3457" t="s">
        <v>27245</v>
      </c>
      <c r="E3457" t="str">
        <f t="shared" si="53"/>
        <v>001390</v>
      </c>
      <c r="F3457" t="s">
        <v>27246</v>
      </c>
      <c r="G3457" t="s">
        <v>27247</v>
      </c>
      <c r="H3457" t="s">
        <v>27248</v>
      </c>
      <c r="I3457" t="s">
        <v>33941</v>
      </c>
      <c r="J3457" t="s">
        <v>6909</v>
      </c>
      <c r="L3457" t="s">
        <v>27250</v>
      </c>
      <c r="M3457" t="s">
        <v>27251</v>
      </c>
      <c r="N3457" t="s">
        <v>27252</v>
      </c>
      <c r="Q3457" s="1">
        <v>44538</v>
      </c>
      <c r="R3457" t="s">
        <v>27253</v>
      </c>
      <c r="S3457" t="s">
        <v>27254</v>
      </c>
      <c r="T3457" t="s">
        <v>27255</v>
      </c>
    </row>
    <row r="3458" spans="1:20" x14ac:dyDescent="0.3">
      <c r="A3458" t="str">
        <f>"0611833695100"</f>
        <v>0611833695100</v>
      </c>
      <c r="B3458" t="str">
        <f>"LQ3748"</f>
        <v>LQ3748</v>
      </c>
      <c r="C3458" t="s">
        <v>33942</v>
      </c>
      <c r="D3458" t="s">
        <v>27245</v>
      </c>
      <c r="E3458" t="str">
        <f t="shared" ref="E3458:E3521" si="54">"001390"</f>
        <v>001390</v>
      </c>
      <c r="F3458" t="s">
        <v>27246</v>
      </c>
      <c r="G3458" t="s">
        <v>27247</v>
      </c>
      <c r="H3458" t="s">
        <v>27248</v>
      </c>
      <c r="I3458" t="s">
        <v>33943</v>
      </c>
      <c r="J3458" t="s">
        <v>6911</v>
      </c>
      <c r="L3458" t="s">
        <v>27250</v>
      </c>
      <c r="M3458" t="s">
        <v>27251</v>
      </c>
      <c r="N3458" t="s">
        <v>27252</v>
      </c>
      <c r="Q3458" s="1">
        <v>44538</v>
      </c>
      <c r="R3458" t="s">
        <v>27253</v>
      </c>
      <c r="S3458" t="s">
        <v>27254</v>
      </c>
      <c r="T3458" t="s">
        <v>27255</v>
      </c>
    </row>
    <row r="3459" spans="1:20" x14ac:dyDescent="0.3">
      <c r="A3459" t="str">
        <f>"0611861625050"</f>
        <v>0611861625050</v>
      </c>
      <c r="B3459" t="str">
        <f>"CR4886"</f>
        <v>CR4886</v>
      </c>
      <c r="C3459" t="s">
        <v>33944</v>
      </c>
      <c r="D3459" t="s">
        <v>27271</v>
      </c>
      <c r="E3459" t="str">
        <f t="shared" si="54"/>
        <v>001390</v>
      </c>
      <c r="F3459" t="s">
        <v>27246</v>
      </c>
      <c r="G3459" t="s">
        <v>27247</v>
      </c>
      <c r="H3459" t="s">
        <v>27248</v>
      </c>
      <c r="I3459" t="s">
        <v>33945</v>
      </c>
      <c r="J3459" t="s">
        <v>6913</v>
      </c>
      <c r="L3459" t="s">
        <v>27250</v>
      </c>
      <c r="M3459" t="s">
        <v>27251</v>
      </c>
      <c r="N3459" t="s">
        <v>27252</v>
      </c>
      <c r="P3459" t="s">
        <v>27341</v>
      </c>
      <c r="Q3459" s="1">
        <v>44846</v>
      </c>
      <c r="R3459" t="s">
        <v>27253</v>
      </c>
      <c r="S3459" t="s">
        <v>27254</v>
      </c>
      <c r="T3459" t="s">
        <v>27265</v>
      </c>
    </row>
    <row r="3460" spans="1:20" x14ac:dyDescent="0.3">
      <c r="A3460" t="str">
        <f>"0611861626050"</f>
        <v>0611861626050</v>
      </c>
      <c r="B3460" t="str">
        <f>"CR4958"</f>
        <v>CR4958</v>
      </c>
      <c r="C3460" t="s">
        <v>33946</v>
      </c>
      <c r="D3460" t="s">
        <v>27271</v>
      </c>
      <c r="E3460" t="str">
        <f t="shared" si="54"/>
        <v>001390</v>
      </c>
      <c r="F3460" t="s">
        <v>27246</v>
      </c>
      <c r="G3460" t="s">
        <v>27247</v>
      </c>
      <c r="H3460" t="s">
        <v>27248</v>
      </c>
      <c r="I3460" t="s">
        <v>33947</v>
      </c>
      <c r="J3460" t="s">
        <v>6915</v>
      </c>
      <c r="L3460" t="s">
        <v>27250</v>
      </c>
      <c r="M3460" t="s">
        <v>27251</v>
      </c>
      <c r="N3460" t="s">
        <v>27252</v>
      </c>
      <c r="P3460" t="s">
        <v>27341</v>
      </c>
      <c r="Q3460" s="1">
        <v>44846</v>
      </c>
      <c r="R3460" t="s">
        <v>27253</v>
      </c>
      <c r="S3460" t="s">
        <v>27254</v>
      </c>
      <c r="T3460" t="s">
        <v>27265</v>
      </c>
    </row>
    <row r="3461" spans="1:20" x14ac:dyDescent="0.3">
      <c r="A3461" t="str">
        <f>"0611861627050"</f>
        <v>0611861627050</v>
      </c>
      <c r="B3461" t="str">
        <f>"CR5182"</f>
        <v>CR5182</v>
      </c>
      <c r="C3461" t="s">
        <v>33948</v>
      </c>
      <c r="D3461" t="s">
        <v>27271</v>
      </c>
      <c r="E3461" t="str">
        <f t="shared" si="54"/>
        <v>001390</v>
      </c>
      <c r="F3461" t="s">
        <v>27246</v>
      </c>
      <c r="G3461" t="s">
        <v>27247</v>
      </c>
      <c r="H3461" t="s">
        <v>27248</v>
      </c>
      <c r="I3461" t="s">
        <v>33949</v>
      </c>
      <c r="J3461" t="s">
        <v>6917</v>
      </c>
      <c r="L3461" t="s">
        <v>27250</v>
      </c>
      <c r="M3461" t="s">
        <v>27251</v>
      </c>
      <c r="N3461" t="s">
        <v>27252</v>
      </c>
      <c r="P3461" t="s">
        <v>27341</v>
      </c>
      <c r="Q3461" s="1">
        <v>44846</v>
      </c>
      <c r="R3461" t="s">
        <v>27253</v>
      </c>
      <c r="S3461" t="s">
        <v>27254</v>
      </c>
      <c r="T3461" t="s">
        <v>27265</v>
      </c>
    </row>
    <row r="3462" spans="1:20" x14ac:dyDescent="0.3">
      <c r="A3462" t="str">
        <f>"0611861628050"</f>
        <v>0611861628050</v>
      </c>
      <c r="B3462" t="str">
        <f>"CR4959"</f>
        <v>CR4959</v>
      </c>
      <c r="C3462" t="s">
        <v>33950</v>
      </c>
      <c r="D3462" t="s">
        <v>27271</v>
      </c>
      <c r="E3462" t="str">
        <f t="shared" si="54"/>
        <v>001390</v>
      </c>
      <c r="F3462" t="s">
        <v>27246</v>
      </c>
      <c r="G3462" t="s">
        <v>27247</v>
      </c>
      <c r="H3462" t="s">
        <v>27248</v>
      </c>
      <c r="I3462" t="s">
        <v>33951</v>
      </c>
      <c r="J3462" t="s">
        <v>6919</v>
      </c>
      <c r="L3462" t="s">
        <v>27250</v>
      </c>
      <c r="M3462" t="s">
        <v>27251</v>
      </c>
      <c r="N3462" t="s">
        <v>27252</v>
      </c>
      <c r="P3462" t="s">
        <v>27341</v>
      </c>
      <c r="Q3462" s="1">
        <v>44846</v>
      </c>
      <c r="R3462" t="s">
        <v>27253</v>
      </c>
      <c r="S3462" t="s">
        <v>27254</v>
      </c>
      <c r="T3462" t="s">
        <v>27265</v>
      </c>
    </row>
    <row r="3463" spans="1:20" x14ac:dyDescent="0.3">
      <c r="A3463" t="str">
        <f>"0611861629050"</f>
        <v>0611861629050</v>
      </c>
      <c r="B3463" t="str">
        <f>"CR4960"</f>
        <v>CR4960</v>
      </c>
      <c r="C3463" t="s">
        <v>33952</v>
      </c>
      <c r="D3463" t="s">
        <v>27271</v>
      </c>
      <c r="E3463" t="str">
        <f t="shared" si="54"/>
        <v>001390</v>
      </c>
      <c r="F3463" t="s">
        <v>27246</v>
      </c>
      <c r="G3463" t="s">
        <v>27247</v>
      </c>
      <c r="H3463" t="s">
        <v>27248</v>
      </c>
      <c r="I3463" t="s">
        <v>33953</v>
      </c>
      <c r="J3463" t="s">
        <v>6921</v>
      </c>
      <c r="L3463" t="s">
        <v>27250</v>
      </c>
      <c r="M3463" t="s">
        <v>27251</v>
      </c>
      <c r="N3463" t="s">
        <v>27252</v>
      </c>
      <c r="P3463" t="s">
        <v>27341</v>
      </c>
      <c r="Q3463" s="1">
        <v>44846</v>
      </c>
      <c r="R3463" t="s">
        <v>27253</v>
      </c>
      <c r="S3463" t="s">
        <v>27254</v>
      </c>
      <c r="T3463" t="s">
        <v>27265</v>
      </c>
    </row>
    <row r="3464" spans="1:20" x14ac:dyDescent="0.3">
      <c r="A3464" t="str">
        <f>"0611884154050"</f>
        <v>0611884154050</v>
      </c>
      <c r="B3464" t="str">
        <f>"CR5343"</f>
        <v>CR5343</v>
      </c>
      <c r="C3464" t="s">
        <v>33954</v>
      </c>
      <c r="D3464" t="s">
        <v>27271</v>
      </c>
      <c r="E3464" t="str">
        <f t="shared" si="54"/>
        <v>001390</v>
      </c>
      <c r="F3464" t="s">
        <v>27246</v>
      </c>
      <c r="G3464" t="s">
        <v>27247</v>
      </c>
      <c r="H3464" t="s">
        <v>27248</v>
      </c>
      <c r="I3464" t="s">
        <v>33955</v>
      </c>
      <c r="J3464" t="s">
        <v>6923</v>
      </c>
      <c r="L3464" t="s">
        <v>27430</v>
      </c>
      <c r="M3464" t="s">
        <v>27251</v>
      </c>
      <c r="N3464" t="s">
        <v>27252</v>
      </c>
      <c r="P3464" t="s">
        <v>27341</v>
      </c>
      <c r="Q3464" s="1">
        <v>45250</v>
      </c>
      <c r="R3464" t="s">
        <v>27253</v>
      </c>
      <c r="S3464" t="s">
        <v>27254</v>
      </c>
      <c r="T3464" t="s">
        <v>27265</v>
      </c>
    </row>
    <row r="3465" spans="1:20" x14ac:dyDescent="0.3">
      <c r="A3465" t="str">
        <f>"0611861630050"</f>
        <v>0611861630050</v>
      </c>
      <c r="B3465" t="str">
        <f>"CE1231"</f>
        <v>CE1231</v>
      </c>
      <c r="C3465" t="s">
        <v>33956</v>
      </c>
      <c r="D3465" t="s">
        <v>27923</v>
      </c>
      <c r="E3465" t="str">
        <f t="shared" si="54"/>
        <v>001390</v>
      </c>
      <c r="F3465" t="s">
        <v>27246</v>
      </c>
      <c r="G3465" t="s">
        <v>27247</v>
      </c>
      <c r="H3465" t="s">
        <v>27248</v>
      </c>
      <c r="I3465" t="s">
        <v>33957</v>
      </c>
      <c r="J3465" t="s">
        <v>6925</v>
      </c>
      <c r="L3465" t="s">
        <v>27250</v>
      </c>
      <c r="M3465" t="s">
        <v>27251</v>
      </c>
      <c r="N3465" t="s">
        <v>27252</v>
      </c>
      <c r="P3465" t="s">
        <v>27925</v>
      </c>
      <c r="Q3465" s="1">
        <v>44846</v>
      </c>
      <c r="R3465" t="s">
        <v>27253</v>
      </c>
      <c r="S3465" t="s">
        <v>27254</v>
      </c>
      <c r="T3465" t="s">
        <v>27265</v>
      </c>
    </row>
    <row r="3466" spans="1:20" x14ac:dyDescent="0.3">
      <c r="A3466" t="str">
        <f>"0611861631050"</f>
        <v>0611861631050</v>
      </c>
      <c r="B3466" t="str">
        <f>"CE1088"</f>
        <v>CE1088</v>
      </c>
      <c r="C3466" t="s">
        <v>33958</v>
      </c>
      <c r="D3466" t="s">
        <v>27923</v>
      </c>
      <c r="E3466" t="str">
        <f t="shared" si="54"/>
        <v>001390</v>
      </c>
      <c r="F3466" t="s">
        <v>27246</v>
      </c>
      <c r="G3466" t="s">
        <v>27247</v>
      </c>
      <c r="H3466" t="s">
        <v>27248</v>
      </c>
      <c r="I3466" t="s">
        <v>33959</v>
      </c>
      <c r="J3466" t="s">
        <v>6927</v>
      </c>
      <c r="L3466" t="s">
        <v>27250</v>
      </c>
      <c r="M3466" t="s">
        <v>27251</v>
      </c>
      <c r="N3466" t="s">
        <v>27252</v>
      </c>
      <c r="P3466" t="s">
        <v>27925</v>
      </c>
      <c r="Q3466" s="1">
        <v>44846</v>
      </c>
      <c r="R3466" t="s">
        <v>27253</v>
      </c>
      <c r="S3466" t="s">
        <v>27254</v>
      </c>
      <c r="T3466" t="s">
        <v>27265</v>
      </c>
    </row>
    <row r="3467" spans="1:20" x14ac:dyDescent="0.3">
      <c r="A3467" t="str">
        <f>"0611861632050"</f>
        <v>0611861632050</v>
      </c>
      <c r="B3467" t="str">
        <f>"CE1320"</f>
        <v>CE1320</v>
      </c>
      <c r="C3467" t="s">
        <v>33960</v>
      </c>
      <c r="D3467" t="s">
        <v>27923</v>
      </c>
      <c r="E3467" t="str">
        <f t="shared" si="54"/>
        <v>001390</v>
      </c>
      <c r="F3467" t="s">
        <v>27246</v>
      </c>
      <c r="G3467" t="s">
        <v>27247</v>
      </c>
      <c r="H3467" t="s">
        <v>27248</v>
      </c>
      <c r="I3467" t="s">
        <v>33961</v>
      </c>
      <c r="J3467" t="s">
        <v>6929</v>
      </c>
      <c r="L3467" t="s">
        <v>27250</v>
      </c>
      <c r="M3467" t="s">
        <v>27251</v>
      </c>
      <c r="N3467" t="s">
        <v>27252</v>
      </c>
      <c r="P3467" t="s">
        <v>27925</v>
      </c>
      <c r="Q3467" s="1">
        <v>44846</v>
      </c>
      <c r="R3467" t="s">
        <v>27253</v>
      </c>
      <c r="S3467" t="s">
        <v>27254</v>
      </c>
      <c r="T3467" t="s">
        <v>27265</v>
      </c>
    </row>
    <row r="3468" spans="1:20" x14ac:dyDescent="0.3">
      <c r="A3468" t="str">
        <f>"0611861633050"</f>
        <v>0611861633050</v>
      </c>
      <c r="B3468" t="str">
        <f>"CE1089"</f>
        <v>CE1089</v>
      </c>
      <c r="C3468" t="s">
        <v>33962</v>
      </c>
      <c r="D3468" t="s">
        <v>27923</v>
      </c>
      <c r="E3468" t="str">
        <f t="shared" si="54"/>
        <v>001390</v>
      </c>
      <c r="F3468" t="s">
        <v>27246</v>
      </c>
      <c r="G3468" t="s">
        <v>27247</v>
      </c>
      <c r="H3468" t="s">
        <v>27248</v>
      </c>
      <c r="I3468" t="s">
        <v>33963</v>
      </c>
      <c r="J3468" t="s">
        <v>6931</v>
      </c>
      <c r="L3468" t="s">
        <v>27250</v>
      </c>
      <c r="M3468" t="s">
        <v>27251</v>
      </c>
      <c r="N3468" t="s">
        <v>27252</v>
      </c>
      <c r="P3468" t="s">
        <v>27925</v>
      </c>
      <c r="Q3468" s="1">
        <v>44846</v>
      </c>
      <c r="R3468" t="s">
        <v>27253</v>
      </c>
      <c r="S3468" t="s">
        <v>27254</v>
      </c>
      <c r="T3468" t="s">
        <v>27265</v>
      </c>
    </row>
    <row r="3469" spans="1:20" x14ac:dyDescent="0.3">
      <c r="A3469" t="str">
        <f>"0611861634050"</f>
        <v>0611861634050</v>
      </c>
      <c r="B3469" t="str">
        <f>"CE1090"</f>
        <v>CE1090</v>
      </c>
      <c r="C3469" t="s">
        <v>33964</v>
      </c>
      <c r="D3469" t="s">
        <v>27923</v>
      </c>
      <c r="E3469" t="str">
        <f t="shared" si="54"/>
        <v>001390</v>
      </c>
      <c r="F3469" t="s">
        <v>27246</v>
      </c>
      <c r="G3469" t="s">
        <v>27247</v>
      </c>
      <c r="H3469" t="s">
        <v>27248</v>
      </c>
      <c r="I3469" t="s">
        <v>33965</v>
      </c>
      <c r="J3469" t="s">
        <v>6933</v>
      </c>
      <c r="L3469" t="s">
        <v>27250</v>
      </c>
      <c r="M3469" t="s">
        <v>27251</v>
      </c>
      <c r="N3469" t="s">
        <v>27252</v>
      </c>
      <c r="P3469" t="s">
        <v>27925</v>
      </c>
      <c r="Q3469" s="1">
        <v>44846</v>
      </c>
      <c r="R3469" t="s">
        <v>27253</v>
      </c>
      <c r="S3469" t="s">
        <v>27254</v>
      </c>
      <c r="T3469" t="s">
        <v>27265</v>
      </c>
    </row>
    <row r="3470" spans="1:20" x14ac:dyDescent="0.3">
      <c r="A3470" t="str">
        <f>"0611861635050"</f>
        <v>0611861635050</v>
      </c>
      <c r="B3470" t="str">
        <f>"CE1321"</f>
        <v>CE1321</v>
      </c>
      <c r="C3470" t="s">
        <v>33966</v>
      </c>
      <c r="D3470" t="s">
        <v>27923</v>
      </c>
      <c r="E3470" t="str">
        <f t="shared" si="54"/>
        <v>001390</v>
      </c>
      <c r="F3470" t="s">
        <v>27246</v>
      </c>
      <c r="G3470" t="s">
        <v>27247</v>
      </c>
      <c r="H3470" t="s">
        <v>27248</v>
      </c>
      <c r="I3470" t="s">
        <v>33967</v>
      </c>
      <c r="J3470" t="s">
        <v>6935</v>
      </c>
      <c r="L3470" t="s">
        <v>27250</v>
      </c>
      <c r="M3470" t="s">
        <v>27251</v>
      </c>
      <c r="N3470" t="s">
        <v>27252</v>
      </c>
      <c r="P3470" t="s">
        <v>27925</v>
      </c>
      <c r="Q3470" s="1">
        <v>44846</v>
      </c>
      <c r="R3470" t="s">
        <v>27253</v>
      </c>
      <c r="S3470" t="s">
        <v>27254</v>
      </c>
      <c r="T3470" t="s">
        <v>27265</v>
      </c>
    </row>
    <row r="3471" spans="1:20" x14ac:dyDescent="0.3">
      <c r="A3471" t="str">
        <f>"0611861636050"</f>
        <v>0611861636050</v>
      </c>
      <c r="B3471" t="str">
        <f>"CE1092"</f>
        <v>CE1092</v>
      </c>
      <c r="C3471" t="s">
        <v>33968</v>
      </c>
      <c r="D3471" t="s">
        <v>27923</v>
      </c>
      <c r="E3471" t="str">
        <f t="shared" si="54"/>
        <v>001390</v>
      </c>
      <c r="F3471" t="s">
        <v>27246</v>
      </c>
      <c r="G3471" t="s">
        <v>27247</v>
      </c>
      <c r="H3471" t="s">
        <v>27248</v>
      </c>
      <c r="I3471" t="s">
        <v>33969</v>
      </c>
      <c r="J3471" t="s">
        <v>6937</v>
      </c>
      <c r="L3471" t="s">
        <v>27250</v>
      </c>
      <c r="M3471" t="s">
        <v>27251</v>
      </c>
      <c r="N3471" t="s">
        <v>27252</v>
      </c>
      <c r="P3471" t="s">
        <v>27925</v>
      </c>
      <c r="Q3471" s="1">
        <v>44846</v>
      </c>
      <c r="R3471" t="s">
        <v>27253</v>
      </c>
      <c r="S3471" t="s">
        <v>27254</v>
      </c>
      <c r="T3471" t="s">
        <v>27265</v>
      </c>
    </row>
    <row r="3472" spans="1:20" x14ac:dyDescent="0.3">
      <c r="A3472" t="str">
        <f>"0611861638050"</f>
        <v>0611861638050</v>
      </c>
      <c r="B3472" t="str">
        <f>"CE1690"</f>
        <v>CE1690</v>
      </c>
      <c r="C3472" t="s">
        <v>33970</v>
      </c>
      <c r="D3472" t="s">
        <v>27923</v>
      </c>
      <c r="E3472" t="str">
        <f t="shared" si="54"/>
        <v>001390</v>
      </c>
      <c r="F3472" t="s">
        <v>27246</v>
      </c>
      <c r="G3472" t="s">
        <v>27247</v>
      </c>
      <c r="H3472" t="s">
        <v>27248</v>
      </c>
      <c r="I3472" t="s">
        <v>33971</v>
      </c>
      <c r="J3472" t="s">
        <v>6939</v>
      </c>
      <c r="L3472" t="s">
        <v>27250</v>
      </c>
      <c r="M3472" t="s">
        <v>27251</v>
      </c>
      <c r="N3472" t="s">
        <v>27252</v>
      </c>
      <c r="P3472" t="s">
        <v>27925</v>
      </c>
      <c r="Q3472" s="1">
        <v>44846</v>
      </c>
      <c r="R3472" t="s">
        <v>27253</v>
      </c>
      <c r="S3472" t="s">
        <v>27254</v>
      </c>
      <c r="T3472" t="s">
        <v>27265</v>
      </c>
    </row>
    <row r="3473" spans="1:20" x14ac:dyDescent="0.3">
      <c r="A3473" t="str">
        <f>"0611833696100"</f>
        <v>0611833696100</v>
      </c>
      <c r="B3473" t="str">
        <f>"LQ0524"</f>
        <v>LQ0524</v>
      </c>
      <c r="C3473" t="s">
        <v>33972</v>
      </c>
      <c r="D3473" t="s">
        <v>27245</v>
      </c>
      <c r="E3473" t="str">
        <f t="shared" si="54"/>
        <v>001390</v>
      </c>
      <c r="F3473" t="s">
        <v>27246</v>
      </c>
      <c r="G3473" t="s">
        <v>27247</v>
      </c>
      <c r="H3473" t="s">
        <v>27248</v>
      </c>
      <c r="I3473" t="s">
        <v>33973</v>
      </c>
      <c r="J3473" t="s">
        <v>6941</v>
      </c>
      <c r="L3473" t="s">
        <v>27250</v>
      </c>
      <c r="M3473" t="s">
        <v>27251</v>
      </c>
      <c r="N3473" t="s">
        <v>27252</v>
      </c>
      <c r="Q3473" s="1">
        <v>44538</v>
      </c>
      <c r="R3473" t="s">
        <v>27253</v>
      </c>
      <c r="S3473" t="s">
        <v>27254</v>
      </c>
      <c r="T3473" t="s">
        <v>27255</v>
      </c>
    </row>
    <row r="3474" spans="1:20" x14ac:dyDescent="0.3">
      <c r="A3474" t="str">
        <f>"0611861639050"</f>
        <v>0611861639050</v>
      </c>
      <c r="B3474" t="str">
        <f>"CR3354"</f>
        <v>CR3354</v>
      </c>
      <c r="C3474" t="s">
        <v>33972</v>
      </c>
      <c r="D3474" t="s">
        <v>27263</v>
      </c>
      <c r="E3474" t="str">
        <f t="shared" si="54"/>
        <v>001390</v>
      </c>
      <c r="F3474" t="s">
        <v>27246</v>
      </c>
      <c r="G3474" t="s">
        <v>27247</v>
      </c>
      <c r="H3474" t="s">
        <v>27248</v>
      </c>
      <c r="I3474" t="s">
        <v>33974</v>
      </c>
      <c r="J3474" t="s">
        <v>6943</v>
      </c>
      <c r="L3474" t="s">
        <v>27250</v>
      </c>
      <c r="M3474" t="s">
        <v>27251</v>
      </c>
      <c r="N3474" t="s">
        <v>27252</v>
      </c>
      <c r="Q3474" s="1">
        <v>44846</v>
      </c>
      <c r="R3474" t="s">
        <v>27253</v>
      </c>
      <c r="S3474" t="s">
        <v>27254</v>
      </c>
      <c r="T3474" t="s">
        <v>27265</v>
      </c>
    </row>
    <row r="3475" spans="1:20" x14ac:dyDescent="0.3">
      <c r="A3475" t="str">
        <f>"0611833697100"</f>
        <v>0611833697100</v>
      </c>
      <c r="B3475" t="str">
        <f>"LQ0525"</f>
        <v>LQ0525</v>
      </c>
      <c r="C3475" t="s">
        <v>33975</v>
      </c>
      <c r="D3475" t="s">
        <v>27245</v>
      </c>
      <c r="E3475" t="str">
        <f t="shared" si="54"/>
        <v>001390</v>
      </c>
      <c r="F3475" t="s">
        <v>27246</v>
      </c>
      <c r="G3475" t="s">
        <v>27247</v>
      </c>
      <c r="H3475" t="s">
        <v>27248</v>
      </c>
      <c r="I3475" t="s">
        <v>33976</v>
      </c>
      <c r="J3475" t="s">
        <v>6945</v>
      </c>
      <c r="L3475" t="s">
        <v>27250</v>
      </c>
      <c r="M3475" t="s">
        <v>27251</v>
      </c>
      <c r="N3475" t="s">
        <v>27252</v>
      </c>
      <c r="Q3475" s="1">
        <v>44538</v>
      </c>
      <c r="R3475" t="s">
        <v>27253</v>
      </c>
      <c r="S3475" t="s">
        <v>27254</v>
      </c>
      <c r="T3475" t="s">
        <v>27255</v>
      </c>
    </row>
    <row r="3476" spans="1:20" x14ac:dyDescent="0.3">
      <c r="A3476" t="str">
        <f>"0611861640050"</f>
        <v>0611861640050</v>
      </c>
      <c r="B3476" t="str">
        <f>"CR3525"</f>
        <v>CR3525</v>
      </c>
      <c r="C3476" t="s">
        <v>33975</v>
      </c>
      <c r="D3476" t="s">
        <v>27263</v>
      </c>
      <c r="E3476" t="str">
        <f t="shared" si="54"/>
        <v>001390</v>
      </c>
      <c r="F3476" t="s">
        <v>27246</v>
      </c>
      <c r="G3476" t="s">
        <v>27247</v>
      </c>
      <c r="H3476" t="s">
        <v>27248</v>
      </c>
      <c r="I3476" t="s">
        <v>33977</v>
      </c>
      <c r="J3476" t="s">
        <v>6947</v>
      </c>
      <c r="L3476" t="s">
        <v>27250</v>
      </c>
      <c r="M3476" t="s">
        <v>27251</v>
      </c>
      <c r="N3476" t="s">
        <v>27252</v>
      </c>
      <c r="Q3476" s="1">
        <v>44846</v>
      </c>
      <c r="R3476" t="s">
        <v>27253</v>
      </c>
      <c r="S3476" t="s">
        <v>27254</v>
      </c>
      <c r="T3476" t="s">
        <v>27265</v>
      </c>
    </row>
    <row r="3477" spans="1:20" x14ac:dyDescent="0.3">
      <c r="A3477" t="str">
        <f>"0611884155100"</f>
        <v>0611884155100</v>
      </c>
      <c r="B3477" t="str">
        <f>"LQ0976"</f>
        <v>LQ0976</v>
      </c>
      <c r="C3477" t="s">
        <v>33978</v>
      </c>
      <c r="D3477" t="s">
        <v>27245</v>
      </c>
      <c r="E3477" t="str">
        <f t="shared" si="54"/>
        <v>001390</v>
      </c>
      <c r="F3477" t="s">
        <v>27246</v>
      </c>
      <c r="G3477" t="s">
        <v>27247</v>
      </c>
      <c r="H3477" t="s">
        <v>27248</v>
      </c>
      <c r="I3477" t="s">
        <v>33979</v>
      </c>
      <c r="J3477" t="s">
        <v>6949</v>
      </c>
      <c r="L3477" t="s">
        <v>27430</v>
      </c>
      <c r="M3477" t="s">
        <v>27251</v>
      </c>
      <c r="N3477" t="s">
        <v>27252</v>
      </c>
      <c r="Q3477" s="1">
        <v>45250</v>
      </c>
      <c r="R3477" t="s">
        <v>27253</v>
      </c>
      <c r="S3477" t="s">
        <v>27254</v>
      </c>
      <c r="T3477" t="s">
        <v>27255</v>
      </c>
    </row>
    <row r="3478" spans="1:20" x14ac:dyDescent="0.3">
      <c r="A3478" t="str">
        <f>"0611884156100"</f>
        <v>0611884156100</v>
      </c>
      <c r="B3478" t="str">
        <f>"LQ0977"</f>
        <v>LQ0977</v>
      </c>
      <c r="C3478" t="s">
        <v>33980</v>
      </c>
      <c r="D3478" t="s">
        <v>27245</v>
      </c>
      <c r="E3478" t="str">
        <f t="shared" si="54"/>
        <v>001390</v>
      </c>
      <c r="F3478" t="s">
        <v>27246</v>
      </c>
      <c r="G3478" t="s">
        <v>27247</v>
      </c>
      <c r="H3478" t="s">
        <v>27248</v>
      </c>
      <c r="I3478" t="s">
        <v>33981</v>
      </c>
      <c r="J3478" t="s">
        <v>6951</v>
      </c>
      <c r="L3478" t="s">
        <v>27430</v>
      </c>
      <c r="M3478" t="s">
        <v>27251</v>
      </c>
      <c r="N3478" t="s">
        <v>27252</v>
      </c>
      <c r="Q3478" s="1">
        <v>45250</v>
      </c>
      <c r="R3478" t="s">
        <v>27253</v>
      </c>
      <c r="S3478" t="s">
        <v>27254</v>
      </c>
      <c r="T3478" t="s">
        <v>27255</v>
      </c>
    </row>
    <row r="3479" spans="1:20" x14ac:dyDescent="0.3">
      <c r="A3479" t="str">
        <f>"0611833699100"</f>
        <v>0611833699100</v>
      </c>
      <c r="B3479" t="str">
        <f>"LQ0526"</f>
        <v>LQ0526</v>
      </c>
      <c r="C3479" t="s">
        <v>33982</v>
      </c>
      <c r="D3479" t="s">
        <v>27245</v>
      </c>
      <c r="E3479" t="str">
        <f t="shared" si="54"/>
        <v>001390</v>
      </c>
      <c r="F3479" t="s">
        <v>27246</v>
      </c>
      <c r="G3479" t="s">
        <v>27247</v>
      </c>
      <c r="H3479" t="s">
        <v>27248</v>
      </c>
      <c r="I3479" t="s">
        <v>33983</v>
      </c>
      <c r="J3479" t="s">
        <v>6953</v>
      </c>
      <c r="L3479" t="s">
        <v>27250</v>
      </c>
      <c r="M3479" t="s">
        <v>27251</v>
      </c>
      <c r="N3479" t="s">
        <v>27252</v>
      </c>
      <c r="Q3479" s="1">
        <v>44538</v>
      </c>
      <c r="R3479" t="s">
        <v>27253</v>
      </c>
      <c r="S3479" t="s">
        <v>27254</v>
      </c>
      <c r="T3479" t="s">
        <v>27255</v>
      </c>
    </row>
    <row r="3480" spans="1:20" x14ac:dyDescent="0.3">
      <c r="A3480" t="str">
        <f>"0611861641050"</f>
        <v>0611861641050</v>
      </c>
      <c r="B3480" t="str">
        <f>"CR3527"</f>
        <v>CR3527</v>
      </c>
      <c r="C3480" t="s">
        <v>33982</v>
      </c>
      <c r="D3480" t="s">
        <v>27263</v>
      </c>
      <c r="E3480" t="str">
        <f t="shared" si="54"/>
        <v>001390</v>
      </c>
      <c r="F3480" t="s">
        <v>27246</v>
      </c>
      <c r="G3480" t="s">
        <v>27247</v>
      </c>
      <c r="H3480" t="s">
        <v>27248</v>
      </c>
      <c r="I3480" t="s">
        <v>33984</v>
      </c>
      <c r="J3480" t="s">
        <v>6955</v>
      </c>
      <c r="L3480" t="s">
        <v>27250</v>
      </c>
      <c r="M3480" t="s">
        <v>27251</v>
      </c>
      <c r="N3480" t="s">
        <v>27252</v>
      </c>
      <c r="Q3480" s="1">
        <v>44846</v>
      </c>
      <c r="R3480" t="s">
        <v>27253</v>
      </c>
      <c r="S3480" t="s">
        <v>27254</v>
      </c>
      <c r="T3480" t="s">
        <v>27265</v>
      </c>
    </row>
    <row r="3481" spans="1:20" x14ac:dyDescent="0.3">
      <c r="A3481" t="str">
        <f>"0611833700100"</f>
        <v>0611833700100</v>
      </c>
      <c r="B3481" t="str">
        <f>"LQ0527"</f>
        <v>LQ0527</v>
      </c>
      <c r="C3481" t="s">
        <v>33985</v>
      </c>
      <c r="D3481" t="s">
        <v>27245</v>
      </c>
      <c r="E3481" t="str">
        <f t="shared" si="54"/>
        <v>001390</v>
      </c>
      <c r="F3481" t="s">
        <v>27246</v>
      </c>
      <c r="G3481" t="s">
        <v>27247</v>
      </c>
      <c r="H3481" t="s">
        <v>27248</v>
      </c>
      <c r="I3481" t="s">
        <v>33986</v>
      </c>
      <c r="J3481" t="s">
        <v>6957</v>
      </c>
      <c r="L3481" t="s">
        <v>27250</v>
      </c>
      <c r="M3481" t="s">
        <v>27251</v>
      </c>
      <c r="N3481" t="s">
        <v>27252</v>
      </c>
      <c r="Q3481" s="1">
        <v>44538</v>
      </c>
      <c r="R3481" t="s">
        <v>27253</v>
      </c>
      <c r="S3481" t="s">
        <v>27254</v>
      </c>
      <c r="T3481" t="s">
        <v>27255</v>
      </c>
    </row>
    <row r="3482" spans="1:20" x14ac:dyDescent="0.3">
      <c r="A3482" t="str">
        <f>"0611861642050"</f>
        <v>0611861642050</v>
      </c>
      <c r="B3482" t="str">
        <f>"CR3528"</f>
        <v>CR3528</v>
      </c>
      <c r="C3482" t="s">
        <v>33985</v>
      </c>
      <c r="D3482" t="s">
        <v>27263</v>
      </c>
      <c r="E3482" t="str">
        <f t="shared" si="54"/>
        <v>001390</v>
      </c>
      <c r="F3482" t="s">
        <v>27246</v>
      </c>
      <c r="G3482" t="s">
        <v>27247</v>
      </c>
      <c r="H3482" t="s">
        <v>27248</v>
      </c>
      <c r="I3482" t="s">
        <v>33987</v>
      </c>
      <c r="J3482" t="s">
        <v>6959</v>
      </c>
      <c r="L3482" t="s">
        <v>27250</v>
      </c>
      <c r="M3482" t="s">
        <v>27251</v>
      </c>
      <c r="N3482" t="s">
        <v>27252</v>
      </c>
      <c r="Q3482" s="1">
        <v>44846</v>
      </c>
      <c r="R3482" t="s">
        <v>27253</v>
      </c>
      <c r="S3482" t="s">
        <v>27254</v>
      </c>
      <c r="T3482" t="s">
        <v>27265</v>
      </c>
    </row>
    <row r="3483" spans="1:20" x14ac:dyDescent="0.3">
      <c r="A3483" t="str">
        <f>"0611833702100"</f>
        <v>0611833702100</v>
      </c>
      <c r="B3483" t="str">
        <f>"LQ0918"</f>
        <v>LQ0918</v>
      </c>
      <c r="C3483" t="s">
        <v>33988</v>
      </c>
      <c r="D3483" t="s">
        <v>27245</v>
      </c>
      <c r="E3483" t="str">
        <f t="shared" si="54"/>
        <v>001390</v>
      </c>
      <c r="F3483" t="s">
        <v>27246</v>
      </c>
      <c r="G3483" t="s">
        <v>27247</v>
      </c>
      <c r="H3483" t="s">
        <v>27248</v>
      </c>
      <c r="I3483" t="s">
        <v>33989</v>
      </c>
      <c r="J3483" t="s">
        <v>6961</v>
      </c>
      <c r="L3483" t="s">
        <v>27250</v>
      </c>
      <c r="M3483" t="s">
        <v>27251</v>
      </c>
      <c r="N3483" t="s">
        <v>27252</v>
      </c>
      <c r="Q3483" s="1">
        <v>44538</v>
      </c>
      <c r="R3483" t="s">
        <v>27253</v>
      </c>
      <c r="S3483" t="s">
        <v>27254</v>
      </c>
      <c r="T3483" t="s">
        <v>27255</v>
      </c>
    </row>
    <row r="3484" spans="1:20" x14ac:dyDescent="0.3">
      <c r="A3484" t="str">
        <f>"0611861643050"</f>
        <v>0611861643050</v>
      </c>
      <c r="B3484" t="str">
        <f>"CR3529"</f>
        <v>CR3529</v>
      </c>
      <c r="C3484" t="s">
        <v>33988</v>
      </c>
      <c r="D3484" t="s">
        <v>27263</v>
      </c>
      <c r="E3484" t="str">
        <f t="shared" si="54"/>
        <v>001390</v>
      </c>
      <c r="F3484" t="s">
        <v>27246</v>
      </c>
      <c r="G3484" t="s">
        <v>27247</v>
      </c>
      <c r="H3484" t="s">
        <v>27248</v>
      </c>
      <c r="I3484" t="s">
        <v>33990</v>
      </c>
      <c r="J3484" t="s">
        <v>6963</v>
      </c>
      <c r="L3484" t="s">
        <v>27250</v>
      </c>
      <c r="M3484" t="s">
        <v>27251</v>
      </c>
      <c r="N3484" t="s">
        <v>27252</v>
      </c>
      <c r="Q3484" s="1">
        <v>44846</v>
      </c>
      <c r="R3484" t="s">
        <v>27253</v>
      </c>
      <c r="S3484" t="s">
        <v>27254</v>
      </c>
      <c r="T3484" t="s">
        <v>27265</v>
      </c>
    </row>
    <row r="3485" spans="1:20" x14ac:dyDescent="0.3">
      <c r="A3485" t="str">
        <f>"0611833703100"</f>
        <v>0611833703100</v>
      </c>
      <c r="B3485" t="str">
        <f>"LQ0568"</f>
        <v>LQ0568</v>
      </c>
      <c r="C3485" t="s">
        <v>33991</v>
      </c>
      <c r="D3485" t="s">
        <v>27245</v>
      </c>
      <c r="E3485" t="str">
        <f t="shared" si="54"/>
        <v>001390</v>
      </c>
      <c r="F3485" t="s">
        <v>27246</v>
      </c>
      <c r="G3485" t="s">
        <v>27247</v>
      </c>
      <c r="H3485" t="s">
        <v>27248</v>
      </c>
      <c r="I3485" t="s">
        <v>33992</v>
      </c>
      <c r="J3485" t="s">
        <v>6965</v>
      </c>
      <c r="L3485" t="s">
        <v>27250</v>
      </c>
      <c r="M3485" t="s">
        <v>27251</v>
      </c>
      <c r="N3485" t="s">
        <v>27252</v>
      </c>
      <c r="Q3485" s="1">
        <v>44538</v>
      </c>
      <c r="R3485" t="s">
        <v>27253</v>
      </c>
      <c r="S3485" t="s">
        <v>27254</v>
      </c>
      <c r="T3485" t="s">
        <v>27255</v>
      </c>
    </row>
    <row r="3486" spans="1:20" x14ac:dyDescent="0.3">
      <c r="A3486" t="str">
        <f>"0611861644050"</f>
        <v>0611861644050</v>
      </c>
      <c r="B3486" t="str">
        <f>"CR3198"</f>
        <v>CR3198</v>
      </c>
      <c r="C3486" t="s">
        <v>33991</v>
      </c>
      <c r="D3486" t="s">
        <v>27263</v>
      </c>
      <c r="E3486" t="str">
        <f t="shared" si="54"/>
        <v>001390</v>
      </c>
      <c r="F3486" t="s">
        <v>27246</v>
      </c>
      <c r="G3486" t="s">
        <v>27247</v>
      </c>
      <c r="H3486" t="s">
        <v>27248</v>
      </c>
      <c r="I3486" t="s">
        <v>33993</v>
      </c>
      <c r="J3486" t="s">
        <v>6967</v>
      </c>
      <c r="L3486" t="s">
        <v>27250</v>
      </c>
      <c r="M3486" t="s">
        <v>27251</v>
      </c>
      <c r="N3486" t="s">
        <v>27252</v>
      </c>
      <c r="Q3486" s="1">
        <v>44846</v>
      </c>
      <c r="R3486" t="s">
        <v>27253</v>
      </c>
      <c r="S3486" t="s">
        <v>27254</v>
      </c>
      <c r="T3486" t="s">
        <v>27265</v>
      </c>
    </row>
    <row r="3487" spans="1:20" x14ac:dyDescent="0.3">
      <c r="A3487" t="str">
        <f>"0611884157100"</f>
        <v>0611884157100</v>
      </c>
      <c r="B3487" t="str">
        <f>"LQ0978"</f>
        <v>LQ0978</v>
      </c>
      <c r="C3487" t="s">
        <v>33994</v>
      </c>
      <c r="D3487" t="s">
        <v>27245</v>
      </c>
      <c r="E3487" t="str">
        <f t="shared" si="54"/>
        <v>001390</v>
      </c>
      <c r="F3487" t="s">
        <v>27246</v>
      </c>
      <c r="G3487" t="s">
        <v>27247</v>
      </c>
      <c r="H3487" t="s">
        <v>27248</v>
      </c>
      <c r="I3487" t="s">
        <v>33995</v>
      </c>
      <c r="J3487" t="s">
        <v>6969</v>
      </c>
      <c r="L3487" t="s">
        <v>27430</v>
      </c>
      <c r="M3487" t="s">
        <v>27251</v>
      </c>
      <c r="N3487" t="s">
        <v>27252</v>
      </c>
      <c r="Q3487" s="1">
        <v>45250</v>
      </c>
      <c r="R3487" t="s">
        <v>27253</v>
      </c>
      <c r="S3487" t="s">
        <v>27254</v>
      </c>
      <c r="T3487" t="s">
        <v>27255</v>
      </c>
    </row>
    <row r="3488" spans="1:20" x14ac:dyDescent="0.3">
      <c r="A3488" t="str">
        <f>"0611833704100"</f>
        <v>0611833704100</v>
      </c>
      <c r="B3488" t="str">
        <f>"LQ0569"</f>
        <v>LQ0569</v>
      </c>
      <c r="C3488" t="s">
        <v>33996</v>
      </c>
      <c r="D3488" t="s">
        <v>27245</v>
      </c>
      <c r="E3488" t="str">
        <f t="shared" si="54"/>
        <v>001390</v>
      </c>
      <c r="F3488" t="s">
        <v>27246</v>
      </c>
      <c r="G3488" t="s">
        <v>27247</v>
      </c>
      <c r="H3488" t="s">
        <v>27248</v>
      </c>
      <c r="I3488" t="s">
        <v>33997</v>
      </c>
      <c r="J3488" t="s">
        <v>6971</v>
      </c>
      <c r="L3488" t="s">
        <v>27250</v>
      </c>
      <c r="M3488" t="s">
        <v>27251</v>
      </c>
      <c r="N3488" t="s">
        <v>27252</v>
      </c>
      <c r="Q3488" s="1">
        <v>44538</v>
      </c>
      <c r="R3488" t="s">
        <v>27253</v>
      </c>
      <c r="S3488" t="s">
        <v>27254</v>
      </c>
      <c r="T3488" t="s">
        <v>27255</v>
      </c>
    </row>
    <row r="3489" spans="1:20" x14ac:dyDescent="0.3">
      <c r="A3489" t="str">
        <f>"0611861645050"</f>
        <v>0611861645050</v>
      </c>
      <c r="B3489" t="str">
        <f>"CR2932"</f>
        <v>CR2932</v>
      </c>
      <c r="C3489" t="s">
        <v>33996</v>
      </c>
      <c r="D3489" t="s">
        <v>27263</v>
      </c>
      <c r="E3489" t="str">
        <f t="shared" si="54"/>
        <v>001390</v>
      </c>
      <c r="F3489" t="s">
        <v>27246</v>
      </c>
      <c r="G3489" t="s">
        <v>27247</v>
      </c>
      <c r="H3489" t="s">
        <v>27248</v>
      </c>
      <c r="I3489" t="s">
        <v>33998</v>
      </c>
      <c r="J3489" t="s">
        <v>6973</v>
      </c>
      <c r="L3489" t="s">
        <v>27250</v>
      </c>
      <c r="M3489" t="s">
        <v>27251</v>
      </c>
      <c r="N3489" t="s">
        <v>27252</v>
      </c>
      <c r="Q3489" s="1">
        <v>44846</v>
      </c>
      <c r="R3489" t="s">
        <v>27253</v>
      </c>
      <c r="S3489" t="s">
        <v>27254</v>
      </c>
      <c r="T3489" t="s">
        <v>27265</v>
      </c>
    </row>
    <row r="3490" spans="1:20" x14ac:dyDescent="0.3">
      <c r="A3490" t="str">
        <f>"0611861646050"</f>
        <v>0611861646050</v>
      </c>
      <c r="B3490" t="str">
        <f>"CR4820"</f>
        <v>CR4820</v>
      </c>
      <c r="C3490" t="s">
        <v>33999</v>
      </c>
      <c r="D3490" t="s">
        <v>27271</v>
      </c>
      <c r="E3490" t="str">
        <f t="shared" si="54"/>
        <v>001390</v>
      </c>
      <c r="F3490" t="s">
        <v>27246</v>
      </c>
      <c r="G3490" t="s">
        <v>27247</v>
      </c>
      <c r="H3490" t="s">
        <v>27248</v>
      </c>
      <c r="I3490" t="s">
        <v>34000</v>
      </c>
      <c r="J3490" t="s">
        <v>6975</v>
      </c>
      <c r="L3490" t="s">
        <v>27250</v>
      </c>
      <c r="M3490" t="s">
        <v>27251</v>
      </c>
      <c r="N3490" t="s">
        <v>27252</v>
      </c>
      <c r="P3490" t="s">
        <v>27341</v>
      </c>
      <c r="Q3490" s="1">
        <v>44846</v>
      </c>
      <c r="R3490" t="s">
        <v>27253</v>
      </c>
      <c r="S3490" t="s">
        <v>27254</v>
      </c>
      <c r="T3490" t="s">
        <v>27265</v>
      </c>
    </row>
    <row r="3491" spans="1:20" x14ac:dyDescent="0.3">
      <c r="A3491" t="str">
        <f>"0611861647050"</f>
        <v>0611861647050</v>
      </c>
      <c r="B3491" t="str">
        <f>"CR4823"</f>
        <v>CR4823</v>
      </c>
      <c r="C3491" t="s">
        <v>34001</v>
      </c>
      <c r="D3491" t="s">
        <v>27271</v>
      </c>
      <c r="E3491" t="str">
        <f t="shared" si="54"/>
        <v>001390</v>
      </c>
      <c r="F3491" t="s">
        <v>27246</v>
      </c>
      <c r="G3491" t="s">
        <v>27247</v>
      </c>
      <c r="H3491" t="s">
        <v>27248</v>
      </c>
      <c r="I3491" t="s">
        <v>34002</v>
      </c>
      <c r="J3491" t="s">
        <v>6977</v>
      </c>
      <c r="L3491" t="s">
        <v>27250</v>
      </c>
      <c r="M3491" t="s">
        <v>27251</v>
      </c>
      <c r="N3491" t="s">
        <v>27252</v>
      </c>
      <c r="P3491" t="s">
        <v>27341</v>
      </c>
      <c r="Q3491" s="1">
        <v>44846</v>
      </c>
      <c r="R3491" t="s">
        <v>27253</v>
      </c>
      <c r="S3491" t="s">
        <v>27254</v>
      </c>
      <c r="T3491" t="s">
        <v>27265</v>
      </c>
    </row>
    <row r="3492" spans="1:20" x14ac:dyDescent="0.3">
      <c r="A3492" t="str">
        <f>"0611861648050"</f>
        <v>0611861648050</v>
      </c>
      <c r="B3492" t="str">
        <f>"CR5034"</f>
        <v>CR5034</v>
      </c>
      <c r="C3492" t="s">
        <v>34003</v>
      </c>
      <c r="D3492" t="s">
        <v>27271</v>
      </c>
      <c r="E3492" t="str">
        <f t="shared" si="54"/>
        <v>001390</v>
      </c>
      <c r="F3492" t="s">
        <v>27246</v>
      </c>
      <c r="G3492" t="s">
        <v>27247</v>
      </c>
      <c r="H3492" t="s">
        <v>27248</v>
      </c>
      <c r="I3492" t="s">
        <v>34004</v>
      </c>
      <c r="J3492" t="s">
        <v>6979</v>
      </c>
      <c r="L3492" t="s">
        <v>27250</v>
      </c>
      <c r="M3492" t="s">
        <v>27251</v>
      </c>
      <c r="N3492" t="s">
        <v>27252</v>
      </c>
      <c r="P3492" t="s">
        <v>27341</v>
      </c>
      <c r="Q3492" s="1">
        <v>44846</v>
      </c>
      <c r="R3492" t="s">
        <v>27253</v>
      </c>
      <c r="S3492" t="s">
        <v>27254</v>
      </c>
      <c r="T3492" t="s">
        <v>27265</v>
      </c>
    </row>
    <row r="3493" spans="1:20" x14ac:dyDescent="0.3">
      <c r="A3493" t="str">
        <f>"0611861649050"</f>
        <v>0611861649050</v>
      </c>
      <c r="B3493" t="str">
        <f>"CR4821"</f>
        <v>CR4821</v>
      </c>
      <c r="C3493" t="s">
        <v>34005</v>
      </c>
      <c r="D3493" t="s">
        <v>27271</v>
      </c>
      <c r="E3493" t="str">
        <f t="shared" si="54"/>
        <v>001390</v>
      </c>
      <c r="F3493" t="s">
        <v>27246</v>
      </c>
      <c r="G3493" t="s">
        <v>27247</v>
      </c>
      <c r="H3493" t="s">
        <v>27248</v>
      </c>
      <c r="I3493" t="s">
        <v>34006</v>
      </c>
      <c r="J3493" t="s">
        <v>6981</v>
      </c>
      <c r="L3493" t="s">
        <v>27250</v>
      </c>
      <c r="M3493" t="s">
        <v>27251</v>
      </c>
      <c r="N3493" t="s">
        <v>27252</v>
      </c>
      <c r="P3493" t="s">
        <v>27341</v>
      </c>
      <c r="Q3493" s="1">
        <v>44846</v>
      </c>
      <c r="R3493" t="s">
        <v>27253</v>
      </c>
      <c r="S3493" t="s">
        <v>27254</v>
      </c>
      <c r="T3493" t="s">
        <v>27265</v>
      </c>
    </row>
    <row r="3494" spans="1:20" x14ac:dyDescent="0.3">
      <c r="A3494" t="str">
        <f>"0611861650050"</f>
        <v>0611861650050</v>
      </c>
      <c r="B3494" t="str">
        <f>"CR4819"</f>
        <v>CR4819</v>
      </c>
      <c r="C3494" t="s">
        <v>34007</v>
      </c>
      <c r="D3494" t="s">
        <v>27271</v>
      </c>
      <c r="E3494" t="str">
        <f t="shared" si="54"/>
        <v>001390</v>
      </c>
      <c r="F3494" t="s">
        <v>27246</v>
      </c>
      <c r="G3494" t="s">
        <v>27247</v>
      </c>
      <c r="H3494" t="s">
        <v>27248</v>
      </c>
      <c r="I3494" t="s">
        <v>34008</v>
      </c>
      <c r="J3494" t="s">
        <v>6983</v>
      </c>
      <c r="L3494" t="s">
        <v>27250</v>
      </c>
      <c r="M3494" t="s">
        <v>27251</v>
      </c>
      <c r="N3494" t="s">
        <v>27252</v>
      </c>
      <c r="P3494" t="s">
        <v>27341</v>
      </c>
      <c r="Q3494" s="1">
        <v>44846</v>
      </c>
      <c r="R3494" t="s">
        <v>27253</v>
      </c>
      <c r="S3494" t="s">
        <v>27254</v>
      </c>
      <c r="T3494" t="s">
        <v>27265</v>
      </c>
    </row>
    <row r="3495" spans="1:20" x14ac:dyDescent="0.3">
      <c r="A3495" t="str">
        <f>"0611861651050"</f>
        <v>0611861651050</v>
      </c>
      <c r="B3495" t="str">
        <f>"CR4818"</f>
        <v>CR4818</v>
      </c>
      <c r="C3495" t="s">
        <v>34009</v>
      </c>
      <c r="D3495" t="s">
        <v>27271</v>
      </c>
      <c r="E3495" t="str">
        <f t="shared" si="54"/>
        <v>001390</v>
      </c>
      <c r="F3495" t="s">
        <v>27246</v>
      </c>
      <c r="G3495" t="s">
        <v>27247</v>
      </c>
      <c r="H3495" t="s">
        <v>27248</v>
      </c>
      <c r="I3495" t="s">
        <v>34010</v>
      </c>
      <c r="J3495" t="s">
        <v>6985</v>
      </c>
      <c r="L3495" t="s">
        <v>27250</v>
      </c>
      <c r="M3495" t="s">
        <v>27251</v>
      </c>
      <c r="N3495" t="s">
        <v>27252</v>
      </c>
      <c r="P3495" t="s">
        <v>27341</v>
      </c>
      <c r="Q3495" s="1">
        <v>44846</v>
      </c>
      <c r="R3495" t="s">
        <v>27253</v>
      </c>
      <c r="S3495" t="s">
        <v>27254</v>
      </c>
      <c r="T3495" t="s">
        <v>27265</v>
      </c>
    </row>
    <row r="3496" spans="1:20" x14ac:dyDescent="0.3">
      <c r="A3496" t="str">
        <f>"0611861652050"</f>
        <v>0611861652050</v>
      </c>
      <c r="B3496" t="str">
        <f>"CR4822"</f>
        <v>CR4822</v>
      </c>
      <c r="C3496" t="s">
        <v>34011</v>
      </c>
      <c r="D3496" t="s">
        <v>27271</v>
      </c>
      <c r="E3496" t="str">
        <f t="shared" si="54"/>
        <v>001390</v>
      </c>
      <c r="F3496" t="s">
        <v>27246</v>
      </c>
      <c r="G3496" t="s">
        <v>27247</v>
      </c>
      <c r="H3496" t="s">
        <v>27248</v>
      </c>
      <c r="I3496" t="s">
        <v>34012</v>
      </c>
      <c r="J3496" t="s">
        <v>6987</v>
      </c>
      <c r="L3496" t="s">
        <v>27250</v>
      </c>
      <c r="M3496" t="s">
        <v>27251</v>
      </c>
      <c r="N3496" t="s">
        <v>27252</v>
      </c>
      <c r="P3496" t="s">
        <v>27341</v>
      </c>
      <c r="Q3496" s="1">
        <v>44846</v>
      </c>
      <c r="R3496" t="s">
        <v>27253</v>
      </c>
      <c r="S3496" t="s">
        <v>27254</v>
      </c>
      <c r="T3496" t="s">
        <v>27265</v>
      </c>
    </row>
    <row r="3497" spans="1:20" x14ac:dyDescent="0.3">
      <c r="A3497" t="str">
        <f>"0611861653050"</f>
        <v>0611861653050</v>
      </c>
      <c r="B3497" t="str">
        <f>"CR4817"</f>
        <v>CR4817</v>
      </c>
      <c r="C3497" t="s">
        <v>34013</v>
      </c>
      <c r="D3497" t="s">
        <v>27271</v>
      </c>
      <c r="E3497" t="str">
        <f t="shared" si="54"/>
        <v>001390</v>
      </c>
      <c r="F3497" t="s">
        <v>27246</v>
      </c>
      <c r="G3497" t="s">
        <v>27247</v>
      </c>
      <c r="H3497" t="s">
        <v>27248</v>
      </c>
      <c r="I3497" t="s">
        <v>34014</v>
      </c>
      <c r="J3497" t="s">
        <v>6989</v>
      </c>
      <c r="L3497" t="s">
        <v>27250</v>
      </c>
      <c r="M3497" t="s">
        <v>27251</v>
      </c>
      <c r="N3497" t="s">
        <v>27252</v>
      </c>
      <c r="P3497" t="s">
        <v>27341</v>
      </c>
      <c r="Q3497" s="1">
        <v>44846</v>
      </c>
      <c r="R3497" t="s">
        <v>27253</v>
      </c>
      <c r="S3497" t="s">
        <v>27254</v>
      </c>
      <c r="T3497" t="s">
        <v>27265</v>
      </c>
    </row>
    <row r="3498" spans="1:20" x14ac:dyDescent="0.3">
      <c r="A3498" t="str">
        <f>"0611833705100"</f>
        <v>0611833705100</v>
      </c>
      <c r="B3498" t="str">
        <f>"LQ3527"</f>
        <v>LQ3527</v>
      </c>
      <c r="C3498" t="s">
        <v>34015</v>
      </c>
      <c r="D3498" t="s">
        <v>27245</v>
      </c>
      <c r="E3498" t="str">
        <f t="shared" si="54"/>
        <v>001390</v>
      </c>
      <c r="F3498" t="s">
        <v>27246</v>
      </c>
      <c r="G3498" t="s">
        <v>27247</v>
      </c>
      <c r="H3498" t="s">
        <v>27248</v>
      </c>
      <c r="I3498" t="s">
        <v>34016</v>
      </c>
      <c r="J3498" t="s">
        <v>6991</v>
      </c>
      <c r="L3498" t="s">
        <v>27250</v>
      </c>
      <c r="M3498" t="s">
        <v>27251</v>
      </c>
      <c r="N3498" t="s">
        <v>27252</v>
      </c>
      <c r="Q3498" s="1">
        <v>44538</v>
      </c>
      <c r="R3498" t="s">
        <v>27253</v>
      </c>
      <c r="S3498" t="s">
        <v>27254</v>
      </c>
      <c r="T3498" t="s">
        <v>27255</v>
      </c>
    </row>
    <row r="3499" spans="1:20" x14ac:dyDescent="0.3">
      <c r="A3499" t="str">
        <f>"0611833706100"</f>
        <v>0611833706100</v>
      </c>
      <c r="B3499" t="str">
        <f>"LB2430"</f>
        <v>LB2430</v>
      </c>
      <c r="C3499" t="s">
        <v>34017</v>
      </c>
      <c r="D3499" t="s">
        <v>27245</v>
      </c>
      <c r="E3499" t="str">
        <f t="shared" si="54"/>
        <v>001390</v>
      </c>
      <c r="F3499" t="s">
        <v>27246</v>
      </c>
      <c r="G3499" t="s">
        <v>27247</v>
      </c>
      <c r="H3499" t="s">
        <v>27248</v>
      </c>
      <c r="I3499" t="s">
        <v>34018</v>
      </c>
      <c r="J3499" t="s">
        <v>6993</v>
      </c>
      <c r="L3499" t="s">
        <v>27250</v>
      </c>
      <c r="M3499" t="s">
        <v>27251</v>
      </c>
      <c r="N3499" t="s">
        <v>27252</v>
      </c>
      <c r="Q3499" s="1">
        <v>44538</v>
      </c>
      <c r="R3499" t="s">
        <v>27253</v>
      </c>
      <c r="S3499" t="s">
        <v>27254</v>
      </c>
      <c r="T3499" t="s">
        <v>27255</v>
      </c>
    </row>
    <row r="3500" spans="1:20" x14ac:dyDescent="0.3">
      <c r="A3500" t="str">
        <f>"0611884158050"</f>
        <v>0611884158050</v>
      </c>
      <c r="B3500" t="str">
        <f>"CR5390"</f>
        <v>CR5390</v>
      </c>
      <c r="C3500" t="s">
        <v>34019</v>
      </c>
      <c r="D3500" t="s">
        <v>27271</v>
      </c>
      <c r="E3500" t="str">
        <f t="shared" si="54"/>
        <v>001390</v>
      </c>
      <c r="F3500" t="s">
        <v>27246</v>
      </c>
      <c r="G3500" t="s">
        <v>27247</v>
      </c>
      <c r="H3500" t="s">
        <v>27248</v>
      </c>
      <c r="I3500" t="s">
        <v>34020</v>
      </c>
      <c r="J3500" t="s">
        <v>6995</v>
      </c>
      <c r="L3500" t="s">
        <v>27430</v>
      </c>
      <c r="M3500" t="s">
        <v>27251</v>
      </c>
      <c r="N3500" t="s">
        <v>27252</v>
      </c>
      <c r="P3500" t="s">
        <v>27341</v>
      </c>
      <c r="Q3500" s="1">
        <v>45250</v>
      </c>
      <c r="R3500" t="s">
        <v>27253</v>
      </c>
      <c r="S3500" t="s">
        <v>27254</v>
      </c>
      <c r="T3500" t="s">
        <v>27265</v>
      </c>
    </row>
    <row r="3501" spans="1:20" x14ac:dyDescent="0.3">
      <c r="A3501" t="str">
        <f>"0611884159050"</f>
        <v>0611884159050</v>
      </c>
      <c r="B3501" t="str">
        <f>"CR5391"</f>
        <v>CR5391</v>
      </c>
      <c r="C3501" t="s">
        <v>34021</v>
      </c>
      <c r="D3501" t="s">
        <v>27271</v>
      </c>
      <c r="E3501" t="str">
        <f t="shared" si="54"/>
        <v>001390</v>
      </c>
      <c r="F3501" t="s">
        <v>27246</v>
      </c>
      <c r="G3501" t="s">
        <v>27247</v>
      </c>
      <c r="H3501" t="s">
        <v>27248</v>
      </c>
      <c r="I3501" t="s">
        <v>34022</v>
      </c>
      <c r="J3501" t="s">
        <v>6997</v>
      </c>
      <c r="L3501" t="s">
        <v>27430</v>
      </c>
      <c r="M3501" t="s">
        <v>27251</v>
      </c>
      <c r="N3501" t="s">
        <v>27252</v>
      </c>
      <c r="P3501" t="s">
        <v>27341</v>
      </c>
      <c r="Q3501" s="1">
        <v>45250</v>
      </c>
      <c r="R3501" t="s">
        <v>27253</v>
      </c>
      <c r="S3501" t="s">
        <v>27254</v>
      </c>
      <c r="T3501" t="s">
        <v>27265</v>
      </c>
    </row>
    <row r="3502" spans="1:20" x14ac:dyDescent="0.3">
      <c r="A3502" t="str">
        <f>"0611884160050"</f>
        <v>0611884160050</v>
      </c>
      <c r="B3502" t="str">
        <f>"CR5349"</f>
        <v>CR5349</v>
      </c>
      <c r="C3502" t="s">
        <v>34023</v>
      </c>
      <c r="D3502" t="s">
        <v>27271</v>
      </c>
      <c r="E3502" t="str">
        <f t="shared" si="54"/>
        <v>001390</v>
      </c>
      <c r="F3502" t="s">
        <v>27246</v>
      </c>
      <c r="G3502" t="s">
        <v>27247</v>
      </c>
      <c r="H3502" t="s">
        <v>27248</v>
      </c>
      <c r="I3502" t="s">
        <v>34024</v>
      </c>
      <c r="J3502" t="s">
        <v>6999</v>
      </c>
      <c r="L3502" t="s">
        <v>27430</v>
      </c>
      <c r="M3502" t="s">
        <v>27251</v>
      </c>
      <c r="N3502" t="s">
        <v>27252</v>
      </c>
      <c r="P3502" t="s">
        <v>27341</v>
      </c>
      <c r="Q3502" s="1">
        <v>45250</v>
      </c>
      <c r="R3502" t="s">
        <v>27253</v>
      </c>
      <c r="S3502" t="s">
        <v>27254</v>
      </c>
      <c r="T3502" t="s">
        <v>27265</v>
      </c>
    </row>
    <row r="3503" spans="1:20" x14ac:dyDescent="0.3">
      <c r="A3503" t="str">
        <f>"0611884161050"</f>
        <v>0611884161050</v>
      </c>
      <c r="B3503" t="str">
        <f>"CR5350"</f>
        <v>CR5350</v>
      </c>
      <c r="C3503" t="s">
        <v>34025</v>
      </c>
      <c r="D3503" t="s">
        <v>27271</v>
      </c>
      <c r="E3503" t="str">
        <f t="shared" si="54"/>
        <v>001390</v>
      </c>
      <c r="F3503" t="s">
        <v>27246</v>
      </c>
      <c r="G3503" t="s">
        <v>27247</v>
      </c>
      <c r="H3503" t="s">
        <v>27248</v>
      </c>
      <c r="I3503" t="s">
        <v>34026</v>
      </c>
      <c r="J3503" t="s">
        <v>7001</v>
      </c>
      <c r="L3503" t="s">
        <v>27430</v>
      </c>
      <c r="M3503" t="s">
        <v>27251</v>
      </c>
      <c r="N3503" t="s">
        <v>27252</v>
      </c>
      <c r="P3503" t="s">
        <v>27341</v>
      </c>
      <c r="Q3503" s="1">
        <v>45250</v>
      </c>
      <c r="R3503" t="s">
        <v>27253</v>
      </c>
      <c r="S3503" t="s">
        <v>27254</v>
      </c>
      <c r="T3503" t="s">
        <v>27265</v>
      </c>
    </row>
    <row r="3504" spans="1:20" x14ac:dyDescent="0.3">
      <c r="A3504" t="str">
        <f>"0611884162050"</f>
        <v>0611884162050</v>
      </c>
      <c r="B3504" t="str">
        <f>"CR5377"</f>
        <v>CR5377</v>
      </c>
      <c r="C3504" t="s">
        <v>34027</v>
      </c>
      <c r="D3504" t="s">
        <v>27271</v>
      </c>
      <c r="E3504" t="str">
        <f t="shared" si="54"/>
        <v>001390</v>
      </c>
      <c r="F3504" t="s">
        <v>27246</v>
      </c>
      <c r="G3504" t="s">
        <v>27247</v>
      </c>
      <c r="H3504" t="s">
        <v>27248</v>
      </c>
      <c r="I3504" t="s">
        <v>34028</v>
      </c>
      <c r="J3504" t="s">
        <v>7003</v>
      </c>
      <c r="L3504" t="s">
        <v>27430</v>
      </c>
      <c r="M3504" t="s">
        <v>27251</v>
      </c>
      <c r="N3504" t="s">
        <v>27252</v>
      </c>
      <c r="P3504" t="s">
        <v>27341</v>
      </c>
      <c r="Q3504" s="1">
        <v>45250</v>
      </c>
      <c r="R3504" t="s">
        <v>27253</v>
      </c>
      <c r="S3504" t="s">
        <v>27254</v>
      </c>
      <c r="T3504" t="s">
        <v>27265</v>
      </c>
    </row>
    <row r="3505" spans="1:20" x14ac:dyDescent="0.3">
      <c r="A3505" t="str">
        <f>"0611861654050"</f>
        <v>0611861654050</v>
      </c>
      <c r="B3505" t="str">
        <f>"CE1322"</f>
        <v>CE1322</v>
      </c>
      <c r="C3505" t="s">
        <v>34029</v>
      </c>
      <c r="D3505" t="s">
        <v>27923</v>
      </c>
      <c r="E3505" t="str">
        <f t="shared" si="54"/>
        <v>001390</v>
      </c>
      <c r="F3505" t="s">
        <v>27246</v>
      </c>
      <c r="G3505" t="s">
        <v>27247</v>
      </c>
      <c r="H3505" t="s">
        <v>27248</v>
      </c>
      <c r="I3505" t="s">
        <v>34030</v>
      </c>
      <c r="J3505" t="s">
        <v>7005</v>
      </c>
      <c r="L3505" t="s">
        <v>27250</v>
      </c>
      <c r="M3505" t="s">
        <v>27251</v>
      </c>
      <c r="N3505" t="s">
        <v>27252</v>
      </c>
      <c r="P3505" t="s">
        <v>27925</v>
      </c>
      <c r="Q3505" s="1">
        <v>44846</v>
      </c>
      <c r="R3505" t="s">
        <v>27253</v>
      </c>
      <c r="S3505" t="s">
        <v>27254</v>
      </c>
      <c r="T3505" t="s">
        <v>27265</v>
      </c>
    </row>
    <row r="3506" spans="1:20" x14ac:dyDescent="0.3">
      <c r="A3506" t="str">
        <f>"0611861655050"</f>
        <v>0611861655050</v>
      </c>
      <c r="B3506" t="str">
        <f>"CR2184"</f>
        <v>CR2184</v>
      </c>
      <c r="C3506" t="s">
        <v>34031</v>
      </c>
      <c r="D3506" t="s">
        <v>27263</v>
      </c>
      <c r="E3506" t="str">
        <f t="shared" si="54"/>
        <v>001390</v>
      </c>
      <c r="F3506" t="s">
        <v>27246</v>
      </c>
      <c r="G3506" t="s">
        <v>27247</v>
      </c>
      <c r="H3506" t="s">
        <v>27248</v>
      </c>
      <c r="I3506" t="s">
        <v>34032</v>
      </c>
      <c r="J3506" t="s">
        <v>7007</v>
      </c>
      <c r="L3506" t="s">
        <v>27250</v>
      </c>
      <c r="M3506" t="s">
        <v>27251</v>
      </c>
      <c r="N3506" t="s">
        <v>27252</v>
      </c>
      <c r="Q3506" s="1">
        <v>44846</v>
      </c>
      <c r="R3506" t="s">
        <v>27253</v>
      </c>
      <c r="S3506" t="s">
        <v>27254</v>
      </c>
      <c r="T3506" t="s">
        <v>27265</v>
      </c>
    </row>
    <row r="3507" spans="1:20" x14ac:dyDescent="0.3">
      <c r="A3507" t="str">
        <f>"0611861656050"</f>
        <v>0611861656050</v>
      </c>
      <c r="B3507" t="str">
        <f>"CR3213"</f>
        <v>CR3213</v>
      </c>
      <c r="C3507" t="s">
        <v>34033</v>
      </c>
      <c r="D3507" t="s">
        <v>27263</v>
      </c>
      <c r="E3507" t="str">
        <f t="shared" si="54"/>
        <v>001390</v>
      </c>
      <c r="F3507" t="s">
        <v>27246</v>
      </c>
      <c r="G3507" t="s">
        <v>27247</v>
      </c>
      <c r="H3507" t="s">
        <v>27248</v>
      </c>
      <c r="I3507" t="s">
        <v>34034</v>
      </c>
      <c r="J3507" t="s">
        <v>7009</v>
      </c>
      <c r="L3507" t="s">
        <v>27250</v>
      </c>
      <c r="M3507" t="s">
        <v>27251</v>
      </c>
      <c r="N3507" t="s">
        <v>27252</v>
      </c>
      <c r="Q3507" s="1">
        <v>44846</v>
      </c>
      <c r="R3507" t="s">
        <v>27253</v>
      </c>
      <c r="S3507" t="s">
        <v>27254</v>
      </c>
      <c r="T3507" t="s">
        <v>27265</v>
      </c>
    </row>
    <row r="3508" spans="1:20" x14ac:dyDescent="0.3">
      <c r="A3508" t="str">
        <f>"0611861657050"</f>
        <v>0611861657050</v>
      </c>
      <c r="B3508" t="str">
        <f>"CR2186"</f>
        <v>CR2186</v>
      </c>
      <c r="C3508" t="s">
        <v>34035</v>
      </c>
      <c r="D3508" t="s">
        <v>27263</v>
      </c>
      <c r="E3508" t="str">
        <f t="shared" si="54"/>
        <v>001390</v>
      </c>
      <c r="F3508" t="s">
        <v>27246</v>
      </c>
      <c r="G3508" t="s">
        <v>27247</v>
      </c>
      <c r="H3508" t="s">
        <v>27248</v>
      </c>
      <c r="I3508" t="s">
        <v>34036</v>
      </c>
      <c r="J3508" t="s">
        <v>7011</v>
      </c>
      <c r="L3508" t="s">
        <v>27250</v>
      </c>
      <c r="M3508" t="s">
        <v>27251</v>
      </c>
      <c r="N3508" t="s">
        <v>27252</v>
      </c>
      <c r="Q3508" s="1">
        <v>44846</v>
      </c>
      <c r="R3508" t="s">
        <v>27253</v>
      </c>
      <c r="S3508" t="s">
        <v>27254</v>
      </c>
      <c r="T3508" t="s">
        <v>27265</v>
      </c>
    </row>
    <row r="3509" spans="1:20" x14ac:dyDescent="0.3">
      <c r="A3509" t="str">
        <f>"0611861658050"</f>
        <v>0611861658050</v>
      </c>
      <c r="B3509" t="str">
        <f>"CR3530"</f>
        <v>CR3530</v>
      </c>
      <c r="C3509" t="s">
        <v>34037</v>
      </c>
      <c r="D3509" t="s">
        <v>27263</v>
      </c>
      <c r="E3509" t="str">
        <f t="shared" si="54"/>
        <v>001390</v>
      </c>
      <c r="F3509" t="s">
        <v>27246</v>
      </c>
      <c r="G3509" t="s">
        <v>27247</v>
      </c>
      <c r="H3509" t="s">
        <v>27248</v>
      </c>
      <c r="I3509" t="s">
        <v>34038</v>
      </c>
      <c r="J3509" t="s">
        <v>7013</v>
      </c>
      <c r="L3509" t="s">
        <v>27250</v>
      </c>
      <c r="M3509" t="s">
        <v>27251</v>
      </c>
      <c r="N3509" t="s">
        <v>27252</v>
      </c>
      <c r="Q3509" s="1">
        <v>44846</v>
      </c>
      <c r="R3509" t="s">
        <v>27253</v>
      </c>
      <c r="S3509" t="s">
        <v>27254</v>
      </c>
      <c r="T3509" t="s">
        <v>27265</v>
      </c>
    </row>
    <row r="3510" spans="1:20" x14ac:dyDescent="0.3">
      <c r="A3510" t="str">
        <f>"0611861659050"</f>
        <v>0611861659050</v>
      </c>
      <c r="B3510" t="str">
        <f>"CR2933"</f>
        <v>CR2933</v>
      </c>
      <c r="C3510" t="s">
        <v>34039</v>
      </c>
      <c r="D3510" t="s">
        <v>27263</v>
      </c>
      <c r="E3510" t="str">
        <f t="shared" si="54"/>
        <v>001390</v>
      </c>
      <c r="F3510" t="s">
        <v>27246</v>
      </c>
      <c r="G3510" t="s">
        <v>27247</v>
      </c>
      <c r="H3510" t="s">
        <v>27248</v>
      </c>
      <c r="I3510" t="s">
        <v>34040</v>
      </c>
      <c r="J3510" t="s">
        <v>7015</v>
      </c>
      <c r="L3510" t="s">
        <v>27250</v>
      </c>
      <c r="M3510" t="s">
        <v>27251</v>
      </c>
      <c r="N3510" t="s">
        <v>27252</v>
      </c>
      <c r="Q3510" s="1">
        <v>44846</v>
      </c>
      <c r="R3510" t="s">
        <v>27253</v>
      </c>
      <c r="S3510" t="s">
        <v>27254</v>
      </c>
      <c r="T3510" t="s">
        <v>27265</v>
      </c>
    </row>
    <row r="3511" spans="1:20" x14ac:dyDescent="0.3">
      <c r="A3511" t="str">
        <f>"0611861660050"</f>
        <v>0611861660050</v>
      </c>
      <c r="B3511" t="str">
        <f>"CR2187"</f>
        <v>CR2187</v>
      </c>
      <c r="C3511" t="s">
        <v>34041</v>
      </c>
      <c r="D3511" t="s">
        <v>27263</v>
      </c>
      <c r="E3511" t="str">
        <f t="shared" si="54"/>
        <v>001390</v>
      </c>
      <c r="F3511" t="s">
        <v>27246</v>
      </c>
      <c r="G3511" t="s">
        <v>27247</v>
      </c>
      <c r="H3511" t="s">
        <v>27248</v>
      </c>
      <c r="I3511" t="s">
        <v>34042</v>
      </c>
      <c r="J3511" t="s">
        <v>7017</v>
      </c>
      <c r="L3511" t="s">
        <v>27250</v>
      </c>
      <c r="M3511" t="s">
        <v>27251</v>
      </c>
      <c r="N3511" t="s">
        <v>27252</v>
      </c>
      <c r="Q3511" s="1">
        <v>44846</v>
      </c>
      <c r="R3511" t="s">
        <v>27253</v>
      </c>
      <c r="S3511" t="s">
        <v>27254</v>
      </c>
      <c r="T3511" t="s">
        <v>27265</v>
      </c>
    </row>
    <row r="3512" spans="1:20" x14ac:dyDescent="0.3">
      <c r="A3512" t="str">
        <f>"0611861661050"</f>
        <v>0611861661050</v>
      </c>
      <c r="B3512" t="str">
        <f>"CR2934"</f>
        <v>CR2934</v>
      </c>
      <c r="C3512" t="s">
        <v>34043</v>
      </c>
      <c r="D3512" t="s">
        <v>27263</v>
      </c>
      <c r="E3512" t="str">
        <f t="shared" si="54"/>
        <v>001390</v>
      </c>
      <c r="F3512" t="s">
        <v>27246</v>
      </c>
      <c r="G3512" t="s">
        <v>27247</v>
      </c>
      <c r="H3512" t="s">
        <v>27248</v>
      </c>
      <c r="I3512" t="s">
        <v>34044</v>
      </c>
      <c r="J3512" t="s">
        <v>7019</v>
      </c>
      <c r="L3512" t="s">
        <v>27250</v>
      </c>
      <c r="M3512" t="s">
        <v>27251</v>
      </c>
      <c r="N3512" t="s">
        <v>27252</v>
      </c>
      <c r="Q3512" s="1">
        <v>44846</v>
      </c>
      <c r="R3512" t="s">
        <v>27253</v>
      </c>
      <c r="S3512" t="s">
        <v>27254</v>
      </c>
      <c r="T3512" t="s">
        <v>27265</v>
      </c>
    </row>
    <row r="3513" spans="1:20" x14ac:dyDescent="0.3">
      <c r="A3513" t="str">
        <f>"0611861662050"</f>
        <v>0611861662050</v>
      </c>
      <c r="B3513" t="str">
        <f>"CR2158"</f>
        <v>CR2158</v>
      </c>
      <c r="C3513" t="s">
        <v>34045</v>
      </c>
      <c r="D3513" t="s">
        <v>27263</v>
      </c>
      <c r="E3513" t="str">
        <f t="shared" si="54"/>
        <v>001390</v>
      </c>
      <c r="F3513" t="s">
        <v>27246</v>
      </c>
      <c r="G3513" t="s">
        <v>27247</v>
      </c>
      <c r="H3513" t="s">
        <v>27248</v>
      </c>
      <c r="I3513" t="s">
        <v>34046</v>
      </c>
      <c r="J3513" t="s">
        <v>7021</v>
      </c>
      <c r="L3513" t="s">
        <v>27250</v>
      </c>
      <c r="M3513" t="s">
        <v>27251</v>
      </c>
      <c r="N3513" t="s">
        <v>27252</v>
      </c>
      <c r="Q3513" s="1">
        <v>44846</v>
      </c>
      <c r="R3513" t="s">
        <v>27253</v>
      </c>
      <c r="S3513" t="s">
        <v>27254</v>
      </c>
      <c r="T3513" t="s">
        <v>27265</v>
      </c>
    </row>
    <row r="3514" spans="1:20" x14ac:dyDescent="0.3">
      <c r="A3514" t="str">
        <f>"0611861663050"</f>
        <v>0611861663050</v>
      </c>
      <c r="B3514" t="str">
        <f>"CR3884"</f>
        <v>CR3884</v>
      </c>
      <c r="C3514" t="s">
        <v>34047</v>
      </c>
      <c r="D3514" t="s">
        <v>27263</v>
      </c>
      <c r="E3514" t="str">
        <f t="shared" si="54"/>
        <v>001390</v>
      </c>
      <c r="F3514" t="s">
        <v>27246</v>
      </c>
      <c r="G3514" t="s">
        <v>27247</v>
      </c>
      <c r="H3514" t="s">
        <v>27248</v>
      </c>
      <c r="I3514" t="s">
        <v>34048</v>
      </c>
      <c r="J3514" t="s">
        <v>7023</v>
      </c>
      <c r="L3514" t="s">
        <v>27250</v>
      </c>
      <c r="M3514" t="s">
        <v>27251</v>
      </c>
      <c r="N3514" t="s">
        <v>27252</v>
      </c>
      <c r="Q3514" s="1">
        <v>44846</v>
      </c>
      <c r="R3514" t="s">
        <v>27253</v>
      </c>
      <c r="S3514" t="s">
        <v>27254</v>
      </c>
      <c r="T3514" t="s">
        <v>27265</v>
      </c>
    </row>
    <row r="3515" spans="1:20" x14ac:dyDescent="0.3">
      <c r="A3515" t="str">
        <f>"0611861664050"</f>
        <v>0611861664050</v>
      </c>
      <c r="B3515" t="str">
        <f>"CR2936"</f>
        <v>CR2936</v>
      </c>
      <c r="C3515" t="s">
        <v>34049</v>
      </c>
      <c r="D3515" t="s">
        <v>27263</v>
      </c>
      <c r="E3515" t="str">
        <f t="shared" si="54"/>
        <v>001390</v>
      </c>
      <c r="F3515" t="s">
        <v>27246</v>
      </c>
      <c r="G3515" t="s">
        <v>27247</v>
      </c>
      <c r="H3515" t="s">
        <v>27248</v>
      </c>
      <c r="I3515" t="s">
        <v>34050</v>
      </c>
      <c r="J3515" t="s">
        <v>7025</v>
      </c>
      <c r="L3515" t="s">
        <v>27250</v>
      </c>
      <c r="M3515" t="s">
        <v>27251</v>
      </c>
      <c r="N3515" t="s">
        <v>27252</v>
      </c>
      <c r="Q3515" s="1">
        <v>44846</v>
      </c>
      <c r="R3515" t="s">
        <v>27253</v>
      </c>
      <c r="S3515" t="s">
        <v>27254</v>
      </c>
      <c r="T3515" t="s">
        <v>27265</v>
      </c>
    </row>
    <row r="3516" spans="1:20" x14ac:dyDescent="0.3">
      <c r="A3516" t="str">
        <f>"0611861665050"</f>
        <v>0611861665050</v>
      </c>
      <c r="B3516" t="str">
        <f>"CR3972"</f>
        <v>CR3972</v>
      </c>
      <c r="C3516" t="s">
        <v>34051</v>
      </c>
      <c r="D3516" t="s">
        <v>27263</v>
      </c>
      <c r="E3516" t="str">
        <f t="shared" si="54"/>
        <v>001390</v>
      </c>
      <c r="F3516" t="s">
        <v>27246</v>
      </c>
      <c r="G3516" t="s">
        <v>27247</v>
      </c>
      <c r="H3516" t="s">
        <v>27248</v>
      </c>
      <c r="I3516" t="s">
        <v>34052</v>
      </c>
      <c r="J3516" t="s">
        <v>7027</v>
      </c>
      <c r="L3516" t="s">
        <v>27250</v>
      </c>
      <c r="M3516" t="s">
        <v>27251</v>
      </c>
      <c r="N3516" t="s">
        <v>27252</v>
      </c>
      <c r="Q3516" s="1">
        <v>44846</v>
      </c>
      <c r="R3516" t="s">
        <v>27253</v>
      </c>
      <c r="S3516" t="s">
        <v>27254</v>
      </c>
      <c r="T3516" t="s">
        <v>27265</v>
      </c>
    </row>
    <row r="3517" spans="1:20" x14ac:dyDescent="0.3">
      <c r="A3517" t="str">
        <f>"0611861666050"</f>
        <v>0611861666050</v>
      </c>
      <c r="B3517" t="str">
        <f>"CR3040"</f>
        <v>CR3040</v>
      </c>
      <c r="C3517" t="s">
        <v>34053</v>
      </c>
      <c r="D3517" t="s">
        <v>27263</v>
      </c>
      <c r="E3517" t="str">
        <f t="shared" si="54"/>
        <v>001390</v>
      </c>
      <c r="F3517" t="s">
        <v>27246</v>
      </c>
      <c r="G3517" t="s">
        <v>27247</v>
      </c>
      <c r="H3517" t="s">
        <v>27248</v>
      </c>
      <c r="I3517" t="s">
        <v>34054</v>
      </c>
      <c r="J3517" t="s">
        <v>7029</v>
      </c>
      <c r="L3517" t="s">
        <v>27250</v>
      </c>
      <c r="M3517" t="s">
        <v>27251</v>
      </c>
      <c r="N3517" t="s">
        <v>27252</v>
      </c>
      <c r="Q3517" s="1">
        <v>44846</v>
      </c>
      <c r="R3517" t="s">
        <v>27253</v>
      </c>
      <c r="S3517" t="s">
        <v>27254</v>
      </c>
      <c r="T3517" t="s">
        <v>27265</v>
      </c>
    </row>
    <row r="3518" spans="1:20" x14ac:dyDescent="0.3">
      <c r="A3518" t="str">
        <f>"0611861667050"</f>
        <v>0611861667050</v>
      </c>
      <c r="B3518" t="str">
        <f>"CR3973"</f>
        <v>CR3973</v>
      </c>
      <c r="C3518" t="s">
        <v>34055</v>
      </c>
      <c r="D3518" t="s">
        <v>27263</v>
      </c>
      <c r="E3518" t="str">
        <f t="shared" si="54"/>
        <v>001390</v>
      </c>
      <c r="F3518" t="s">
        <v>27246</v>
      </c>
      <c r="G3518" t="s">
        <v>27247</v>
      </c>
      <c r="H3518" t="s">
        <v>27248</v>
      </c>
      <c r="I3518" t="s">
        <v>34056</v>
      </c>
      <c r="J3518" t="s">
        <v>7031</v>
      </c>
      <c r="L3518" t="s">
        <v>27250</v>
      </c>
      <c r="M3518" t="s">
        <v>27251</v>
      </c>
      <c r="N3518" t="s">
        <v>27252</v>
      </c>
      <c r="Q3518" s="1">
        <v>44846</v>
      </c>
      <c r="R3518" t="s">
        <v>27253</v>
      </c>
      <c r="S3518" t="s">
        <v>27254</v>
      </c>
      <c r="T3518" t="s">
        <v>27265</v>
      </c>
    </row>
    <row r="3519" spans="1:20" x14ac:dyDescent="0.3">
      <c r="A3519" t="str">
        <f>"0611861668050"</f>
        <v>0611861668050</v>
      </c>
      <c r="B3519" t="str">
        <f>"CR3041"</f>
        <v>CR3041</v>
      </c>
      <c r="C3519" t="s">
        <v>34057</v>
      </c>
      <c r="D3519" t="s">
        <v>27263</v>
      </c>
      <c r="E3519" t="str">
        <f t="shared" si="54"/>
        <v>001390</v>
      </c>
      <c r="F3519" t="s">
        <v>27246</v>
      </c>
      <c r="G3519" t="s">
        <v>27247</v>
      </c>
      <c r="H3519" t="s">
        <v>27248</v>
      </c>
      <c r="I3519" t="s">
        <v>34058</v>
      </c>
      <c r="J3519" t="s">
        <v>7033</v>
      </c>
      <c r="L3519" t="s">
        <v>27250</v>
      </c>
      <c r="M3519" t="s">
        <v>27251</v>
      </c>
      <c r="N3519" t="s">
        <v>27252</v>
      </c>
      <c r="Q3519" s="1">
        <v>44846</v>
      </c>
      <c r="R3519" t="s">
        <v>27253</v>
      </c>
      <c r="S3519" t="s">
        <v>27254</v>
      </c>
      <c r="T3519" t="s">
        <v>27265</v>
      </c>
    </row>
    <row r="3520" spans="1:20" x14ac:dyDescent="0.3">
      <c r="A3520" t="str">
        <f>"0611861669050"</f>
        <v>0611861669050</v>
      </c>
      <c r="B3520" t="str">
        <f>"CR3974"</f>
        <v>CR3974</v>
      </c>
      <c r="C3520" t="s">
        <v>34059</v>
      </c>
      <c r="D3520" t="s">
        <v>27263</v>
      </c>
      <c r="E3520" t="str">
        <f t="shared" si="54"/>
        <v>001390</v>
      </c>
      <c r="F3520" t="s">
        <v>27246</v>
      </c>
      <c r="G3520" t="s">
        <v>27247</v>
      </c>
      <c r="H3520" t="s">
        <v>27248</v>
      </c>
      <c r="I3520" t="s">
        <v>34060</v>
      </c>
      <c r="J3520" t="s">
        <v>7035</v>
      </c>
      <c r="L3520" t="s">
        <v>27250</v>
      </c>
      <c r="M3520" t="s">
        <v>27251</v>
      </c>
      <c r="N3520" t="s">
        <v>27252</v>
      </c>
      <c r="Q3520" s="1">
        <v>44846</v>
      </c>
      <c r="R3520" t="s">
        <v>27253</v>
      </c>
      <c r="S3520" t="s">
        <v>27254</v>
      </c>
      <c r="T3520" t="s">
        <v>27265</v>
      </c>
    </row>
    <row r="3521" spans="1:20" x14ac:dyDescent="0.3">
      <c r="A3521" t="str">
        <f>"0611861670050"</f>
        <v>0611861670050</v>
      </c>
      <c r="B3521" t="str">
        <f>"CR2633"</f>
        <v>CR2633</v>
      </c>
      <c r="C3521" t="s">
        <v>34061</v>
      </c>
      <c r="D3521" t="s">
        <v>27263</v>
      </c>
      <c r="E3521" t="str">
        <f t="shared" si="54"/>
        <v>001390</v>
      </c>
      <c r="F3521" t="s">
        <v>27246</v>
      </c>
      <c r="G3521" t="s">
        <v>27247</v>
      </c>
      <c r="H3521" t="s">
        <v>27248</v>
      </c>
      <c r="I3521" t="s">
        <v>34062</v>
      </c>
      <c r="J3521" t="s">
        <v>7037</v>
      </c>
      <c r="L3521" t="s">
        <v>27250</v>
      </c>
      <c r="M3521" t="s">
        <v>27251</v>
      </c>
      <c r="N3521" t="s">
        <v>27252</v>
      </c>
      <c r="Q3521" s="1">
        <v>44846</v>
      </c>
      <c r="R3521" t="s">
        <v>27253</v>
      </c>
      <c r="S3521" t="s">
        <v>27254</v>
      </c>
      <c r="T3521" t="s">
        <v>27265</v>
      </c>
    </row>
    <row r="3522" spans="1:20" x14ac:dyDescent="0.3">
      <c r="A3522" t="str">
        <f>"0611861671050"</f>
        <v>0611861671050</v>
      </c>
      <c r="B3522" t="str">
        <f>"CR2188"</f>
        <v>CR2188</v>
      </c>
      <c r="C3522" t="s">
        <v>34063</v>
      </c>
      <c r="D3522" t="s">
        <v>27271</v>
      </c>
      <c r="E3522" t="str">
        <f t="shared" ref="E3522:E3585" si="55">"001390"</f>
        <v>001390</v>
      </c>
      <c r="F3522" t="s">
        <v>27246</v>
      </c>
      <c r="G3522" t="s">
        <v>27247</v>
      </c>
      <c r="H3522" t="s">
        <v>27248</v>
      </c>
      <c r="I3522" t="s">
        <v>34064</v>
      </c>
      <c r="J3522" t="s">
        <v>7039</v>
      </c>
      <c r="L3522" t="s">
        <v>27250</v>
      </c>
      <c r="M3522" t="s">
        <v>27251</v>
      </c>
      <c r="N3522" t="s">
        <v>27252</v>
      </c>
      <c r="P3522" t="s">
        <v>27341</v>
      </c>
      <c r="Q3522" s="1">
        <v>44846</v>
      </c>
      <c r="R3522" t="s">
        <v>27253</v>
      </c>
      <c r="S3522" t="s">
        <v>27254</v>
      </c>
      <c r="T3522" t="s">
        <v>27265</v>
      </c>
    </row>
    <row r="3523" spans="1:20" x14ac:dyDescent="0.3">
      <c r="A3523" t="str">
        <f>"0611861672050"</f>
        <v>0611861672050</v>
      </c>
      <c r="B3523" t="str">
        <f>"CR3678"</f>
        <v>CR3678</v>
      </c>
      <c r="C3523" t="s">
        <v>34065</v>
      </c>
      <c r="D3523" t="s">
        <v>27271</v>
      </c>
      <c r="E3523" t="str">
        <f t="shared" si="55"/>
        <v>001390</v>
      </c>
      <c r="F3523" t="s">
        <v>27246</v>
      </c>
      <c r="G3523" t="s">
        <v>27247</v>
      </c>
      <c r="H3523" t="s">
        <v>27248</v>
      </c>
      <c r="I3523" t="s">
        <v>34066</v>
      </c>
      <c r="J3523" t="s">
        <v>7041</v>
      </c>
      <c r="L3523" t="s">
        <v>27250</v>
      </c>
      <c r="M3523" t="s">
        <v>27251</v>
      </c>
      <c r="N3523" t="s">
        <v>27252</v>
      </c>
      <c r="P3523" t="s">
        <v>27341</v>
      </c>
      <c r="Q3523" s="1">
        <v>44846</v>
      </c>
      <c r="R3523" t="s">
        <v>27253</v>
      </c>
      <c r="S3523" t="s">
        <v>27254</v>
      </c>
      <c r="T3523" t="s">
        <v>27265</v>
      </c>
    </row>
    <row r="3524" spans="1:20" x14ac:dyDescent="0.3">
      <c r="A3524" t="str">
        <f>"0611861673050"</f>
        <v>0611861673050</v>
      </c>
      <c r="B3524" t="str">
        <f>"CR4770"</f>
        <v>CR4770</v>
      </c>
      <c r="C3524" t="s">
        <v>34067</v>
      </c>
      <c r="D3524" t="s">
        <v>27271</v>
      </c>
      <c r="E3524" t="str">
        <f t="shared" si="55"/>
        <v>001390</v>
      </c>
      <c r="F3524" t="s">
        <v>27246</v>
      </c>
      <c r="G3524" t="s">
        <v>27247</v>
      </c>
      <c r="H3524" t="s">
        <v>27248</v>
      </c>
      <c r="I3524" t="s">
        <v>34068</v>
      </c>
      <c r="J3524" t="s">
        <v>7043</v>
      </c>
      <c r="L3524" t="s">
        <v>27250</v>
      </c>
      <c r="M3524" t="s">
        <v>27251</v>
      </c>
      <c r="N3524" t="s">
        <v>27252</v>
      </c>
      <c r="P3524" t="s">
        <v>27341</v>
      </c>
      <c r="Q3524" s="1">
        <v>44846</v>
      </c>
      <c r="R3524" t="s">
        <v>27253</v>
      </c>
      <c r="S3524" t="s">
        <v>27254</v>
      </c>
      <c r="T3524" t="s">
        <v>27265</v>
      </c>
    </row>
    <row r="3525" spans="1:20" x14ac:dyDescent="0.3">
      <c r="A3525" t="str">
        <f>"0611861674050"</f>
        <v>0611861674050</v>
      </c>
      <c r="B3525" t="str">
        <f>"CR3679"</f>
        <v>CR3679</v>
      </c>
      <c r="C3525" t="s">
        <v>34069</v>
      </c>
      <c r="D3525" t="s">
        <v>27271</v>
      </c>
      <c r="E3525" t="str">
        <f t="shared" si="55"/>
        <v>001390</v>
      </c>
      <c r="F3525" t="s">
        <v>27246</v>
      </c>
      <c r="G3525" t="s">
        <v>27247</v>
      </c>
      <c r="H3525" t="s">
        <v>27248</v>
      </c>
      <c r="I3525" t="s">
        <v>34070</v>
      </c>
      <c r="J3525" t="s">
        <v>7045</v>
      </c>
      <c r="L3525" t="s">
        <v>27250</v>
      </c>
      <c r="M3525" t="s">
        <v>27251</v>
      </c>
      <c r="N3525" t="s">
        <v>27252</v>
      </c>
      <c r="P3525" t="s">
        <v>27341</v>
      </c>
      <c r="Q3525" s="1">
        <v>44846</v>
      </c>
      <c r="R3525" t="s">
        <v>27253</v>
      </c>
      <c r="S3525" t="s">
        <v>27254</v>
      </c>
      <c r="T3525" t="s">
        <v>27265</v>
      </c>
    </row>
    <row r="3526" spans="1:20" x14ac:dyDescent="0.3">
      <c r="A3526" t="str">
        <f>"0611861675050"</f>
        <v>0611861675050</v>
      </c>
      <c r="B3526" t="str">
        <f>"CR2189"</f>
        <v>CR2189</v>
      </c>
      <c r="C3526" t="s">
        <v>34071</v>
      </c>
      <c r="D3526" t="s">
        <v>27271</v>
      </c>
      <c r="E3526" t="str">
        <f t="shared" si="55"/>
        <v>001390</v>
      </c>
      <c r="F3526" t="s">
        <v>27246</v>
      </c>
      <c r="G3526" t="s">
        <v>27247</v>
      </c>
      <c r="H3526" t="s">
        <v>27248</v>
      </c>
      <c r="I3526" t="s">
        <v>34072</v>
      </c>
      <c r="J3526" t="s">
        <v>7047</v>
      </c>
      <c r="L3526" t="s">
        <v>27250</v>
      </c>
      <c r="M3526" t="s">
        <v>27251</v>
      </c>
      <c r="N3526" t="s">
        <v>27252</v>
      </c>
      <c r="P3526" t="s">
        <v>27341</v>
      </c>
      <c r="Q3526" s="1">
        <v>44846</v>
      </c>
      <c r="R3526" t="s">
        <v>27253</v>
      </c>
      <c r="S3526" t="s">
        <v>27254</v>
      </c>
      <c r="T3526" t="s">
        <v>27265</v>
      </c>
    </row>
    <row r="3527" spans="1:20" x14ac:dyDescent="0.3">
      <c r="A3527" t="str">
        <f>"0611884163050"</f>
        <v>0611884163050</v>
      </c>
      <c r="B3527" t="str">
        <f>"CR5411"</f>
        <v>CR5411</v>
      </c>
      <c r="C3527" t="s">
        <v>34073</v>
      </c>
      <c r="D3527" t="s">
        <v>27271</v>
      </c>
      <c r="E3527" t="str">
        <f t="shared" si="55"/>
        <v>001390</v>
      </c>
      <c r="F3527" t="s">
        <v>27246</v>
      </c>
      <c r="G3527" t="s">
        <v>27247</v>
      </c>
      <c r="H3527" t="s">
        <v>27248</v>
      </c>
      <c r="I3527" t="s">
        <v>34074</v>
      </c>
      <c r="J3527" t="s">
        <v>7049</v>
      </c>
      <c r="L3527" t="s">
        <v>27430</v>
      </c>
      <c r="M3527" t="s">
        <v>27251</v>
      </c>
      <c r="N3527" t="s">
        <v>27252</v>
      </c>
      <c r="P3527" t="s">
        <v>27341</v>
      </c>
      <c r="Q3527" s="1">
        <v>45250</v>
      </c>
      <c r="R3527" t="s">
        <v>27253</v>
      </c>
      <c r="S3527" t="s">
        <v>27254</v>
      </c>
      <c r="T3527" t="s">
        <v>27265</v>
      </c>
    </row>
    <row r="3528" spans="1:20" x14ac:dyDescent="0.3">
      <c r="A3528" t="str">
        <f>"0611861676050"</f>
        <v>0611861676050</v>
      </c>
      <c r="B3528" t="str">
        <f>"CR2190"</f>
        <v>CR2190</v>
      </c>
      <c r="C3528" t="s">
        <v>34075</v>
      </c>
      <c r="D3528" t="s">
        <v>27271</v>
      </c>
      <c r="E3528" t="str">
        <f t="shared" si="55"/>
        <v>001390</v>
      </c>
      <c r="F3528" t="s">
        <v>27246</v>
      </c>
      <c r="G3528" t="s">
        <v>27247</v>
      </c>
      <c r="H3528" t="s">
        <v>27248</v>
      </c>
      <c r="I3528" t="s">
        <v>34076</v>
      </c>
      <c r="J3528" t="s">
        <v>7051</v>
      </c>
      <c r="L3528" t="s">
        <v>27250</v>
      </c>
      <c r="M3528" t="s">
        <v>27251</v>
      </c>
      <c r="N3528" t="s">
        <v>27252</v>
      </c>
      <c r="P3528" t="s">
        <v>27341</v>
      </c>
      <c r="Q3528" s="1">
        <v>44846</v>
      </c>
      <c r="R3528" t="s">
        <v>27253</v>
      </c>
      <c r="S3528" t="s">
        <v>27254</v>
      </c>
      <c r="T3528" t="s">
        <v>27265</v>
      </c>
    </row>
    <row r="3529" spans="1:20" x14ac:dyDescent="0.3">
      <c r="A3529" t="str">
        <f>"0611861677050"</f>
        <v>0611861677050</v>
      </c>
      <c r="B3529" t="str">
        <f>"CR4824"</f>
        <v>CR4824</v>
      </c>
      <c r="C3529" t="s">
        <v>34077</v>
      </c>
      <c r="D3529" t="s">
        <v>27271</v>
      </c>
      <c r="E3529" t="str">
        <f t="shared" si="55"/>
        <v>001390</v>
      </c>
      <c r="F3529" t="s">
        <v>27246</v>
      </c>
      <c r="G3529" t="s">
        <v>27247</v>
      </c>
      <c r="H3529" t="s">
        <v>27248</v>
      </c>
      <c r="I3529" t="s">
        <v>34078</v>
      </c>
      <c r="J3529" t="s">
        <v>7053</v>
      </c>
      <c r="L3529" t="s">
        <v>27250</v>
      </c>
      <c r="M3529" t="s">
        <v>27251</v>
      </c>
      <c r="N3529" t="s">
        <v>27252</v>
      </c>
      <c r="P3529" t="s">
        <v>27341</v>
      </c>
      <c r="Q3529" s="1">
        <v>44846</v>
      </c>
      <c r="R3529" t="s">
        <v>27253</v>
      </c>
      <c r="S3529" t="s">
        <v>27254</v>
      </c>
      <c r="T3529" t="s">
        <v>27265</v>
      </c>
    </row>
    <row r="3530" spans="1:20" x14ac:dyDescent="0.3">
      <c r="A3530" t="str">
        <f>"0611861678050"</f>
        <v>0611861678050</v>
      </c>
      <c r="B3530" t="str">
        <f>"CR5183"</f>
        <v>CR5183</v>
      </c>
      <c r="C3530" t="s">
        <v>34079</v>
      </c>
      <c r="D3530" t="s">
        <v>27271</v>
      </c>
      <c r="E3530" t="str">
        <f t="shared" si="55"/>
        <v>001390</v>
      </c>
      <c r="F3530" t="s">
        <v>27246</v>
      </c>
      <c r="G3530" t="s">
        <v>27247</v>
      </c>
      <c r="H3530" t="s">
        <v>27248</v>
      </c>
      <c r="I3530" t="s">
        <v>34080</v>
      </c>
      <c r="J3530" t="s">
        <v>7055</v>
      </c>
      <c r="L3530" t="s">
        <v>27250</v>
      </c>
      <c r="M3530" t="s">
        <v>27251</v>
      </c>
      <c r="N3530" t="s">
        <v>27252</v>
      </c>
      <c r="P3530" t="s">
        <v>27341</v>
      </c>
      <c r="Q3530" s="1">
        <v>44846</v>
      </c>
      <c r="R3530" t="s">
        <v>27253</v>
      </c>
      <c r="S3530" t="s">
        <v>27254</v>
      </c>
      <c r="T3530" t="s">
        <v>27265</v>
      </c>
    </row>
    <row r="3531" spans="1:20" x14ac:dyDescent="0.3">
      <c r="A3531" t="str">
        <f>"0611861679050"</f>
        <v>0611861679050</v>
      </c>
      <c r="B3531" t="str">
        <f>"CR2191"</f>
        <v>CR2191</v>
      </c>
      <c r="C3531" t="s">
        <v>34081</v>
      </c>
      <c r="D3531" t="s">
        <v>27271</v>
      </c>
      <c r="E3531" t="str">
        <f t="shared" si="55"/>
        <v>001390</v>
      </c>
      <c r="F3531" t="s">
        <v>27246</v>
      </c>
      <c r="G3531" t="s">
        <v>27247</v>
      </c>
      <c r="H3531" t="s">
        <v>27248</v>
      </c>
      <c r="I3531" t="s">
        <v>34082</v>
      </c>
      <c r="J3531" t="s">
        <v>7057</v>
      </c>
      <c r="L3531" t="s">
        <v>27250</v>
      </c>
      <c r="M3531" t="s">
        <v>27251</v>
      </c>
      <c r="N3531" t="s">
        <v>27252</v>
      </c>
      <c r="P3531" t="s">
        <v>27341</v>
      </c>
      <c r="Q3531" s="1">
        <v>44846</v>
      </c>
      <c r="R3531" t="s">
        <v>27253</v>
      </c>
      <c r="S3531" t="s">
        <v>27254</v>
      </c>
      <c r="T3531" t="s">
        <v>27265</v>
      </c>
    </row>
    <row r="3532" spans="1:20" x14ac:dyDescent="0.3">
      <c r="A3532" t="str">
        <f>"0611861680050"</f>
        <v>0611861680050</v>
      </c>
      <c r="B3532" t="str">
        <f>"CR5184"</f>
        <v>CR5184</v>
      </c>
      <c r="C3532" t="s">
        <v>34083</v>
      </c>
      <c r="D3532" t="s">
        <v>27271</v>
      </c>
      <c r="E3532" t="str">
        <f t="shared" si="55"/>
        <v>001390</v>
      </c>
      <c r="F3532" t="s">
        <v>27246</v>
      </c>
      <c r="G3532" t="s">
        <v>27247</v>
      </c>
      <c r="H3532" t="s">
        <v>27248</v>
      </c>
      <c r="I3532" t="s">
        <v>34084</v>
      </c>
      <c r="J3532" t="s">
        <v>7059</v>
      </c>
      <c r="L3532" t="s">
        <v>27250</v>
      </c>
      <c r="M3532" t="s">
        <v>27251</v>
      </c>
      <c r="N3532" t="s">
        <v>27252</v>
      </c>
      <c r="P3532" t="s">
        <v>27341</v>
      </c>
      <c r="Q3532" s="1">
        <v>44846</v>
      </c>
      <c r="R3532" t="s">
        <v>27253</v>
      </c>
      <c r="S3532" t="s">
        <v>27254</v>
      </c>
      <c r="T3532" t="s">
        <v>27265</v>
      </c>
    </row>
    <row r="3533" spans="1:20" x14ac:dyDescent="0.3">
      <c r="A3533" t="str">
        <f>"0611861681050"</f>
        <v>0611861681050</v>
      </c>
      <c r="B3533" t="str">
        <f>"CR2819"</f>
        <v>CR2819</v>
      </c>
      <c r="C3533" t="s">
        <v>34085</v>
      </c>
      <c r="D3533" t="s">
        <v>27271</v>
      </c>
      <c r="E3533" t="str">
        <f t="shared" si="55"/>
        <v>001390</v>
      </c>
      <c r="F3533" t="s">
        <v>27246</v>
      </c>
      <c r="G3533" t="s">
        <v>27247</v>
      </c>
      <c r="H3533" t="s">
        <v>27248</v>
      </c>
      <c r="I3533" t="s">
        <v>34086</v>
      </c>
      <c r="J3533" t="s">
        <v>7061</v>
      </c>
      <c r="L3533" t="s">
        <v>27250</v>
      </c>
      <c r="M3533" t="s">
        <v>27251</v>
      </c>
      <c r="N3533" t="s">
        <v>27252</v>
      </c>
      <c r="P3533" t="s">
        <v>27341</v>
      </c>
      <c r="Q3533" s="1">
        <v>44846</v>
      </c>
      <c r="R3533" t="s">
        <v>27253</v>
      </c>
      <c r="S3533" t="s">
        <v>27254</v>
      </c>
      <c r="T3533" t="s">
        <v>27265</v>
      </c>
    </row>
    <row r="3534" spans="1:20" x14ac:dyDescent="0.3">
      <c r="A3534" t="str">
        <f>"0611861682050"</f>
        <v>0611861682050</v>
      </c>
      <c r="B3534" t="str">
        <f>"CR3680"</f>
        <v>CR3680</v>
      </c>
      <c r="C3534" t="s">
        <v>34087</v>
      </c>
      <c r="D3534" t="s">
        <v>27271</v>
      </c>
      <c r="E3534" t="str">
        <f t="shared" si="55"/>
        <v>001390</v>
      </c>
      <c r="F3534" t="s">
        <v>27246</v>
      </c>
      <c r="G3534" t="s">
        <v>27247</v>
      </c>
      <c r="H3534" t="s">
        <v>27248</v>
      </c>
      <c r="I3534" t="s">
        <v>34088</v>
      </c>
      <c r="J3534" t="s">
        <v>7063</v>
      </c>
      <c r="L3534" t="s">
        <v>27250</v>
      </c>
      <c r="M3534" t="s">
        <v>27251</v>
      </c>
      <c r="N3534" t="s">
        <v>27252</v>
      </c>
      <c r="P3534" t="s">
        <v>27341</v>
      </c>
      <c r="Q3534" s="1">
        <v>44846</v>
      </c>
      <c r="R3534" t="s">
        <v>27253</v>
      </c>
      <c r="S3534" t="s">
        <v>27254</v>
      </c>
      <c r="T3534" t="s">
        <v>27265</v>
      </c>
    </row>
    <row r="3535" spans="1:20" x14ac:dyDescent="0.3">
      <c r="A3535" t="str">
        <f>"0611861683050"</f>
        <v>0611861683050</v>
      </c>
      <c r="B3535" t="str">
        <f>"CR2192"</f>
        <v>CR2192</v>
      </c>
      <c r="C3535" t="s">
        <v>34089</v>
      </c>
      <c r="D3535" t="s">
        <v>27271</v>
      </c>
      <c r="E3535" t="str">
        <f t="shared" si="55"/>
        <v>001390</v>
      </c>
      <c r="F3535" t="s">
        <v>27246</v>
      </c>
      <c r="G3535" t="s">
        <v>27247</v>
      </c>
      <c r="H3535" t="s">
        <v>27248</v>
      </c>
      <c r="I3535" t="s">
        <v>34090</v>
      </c>
      <c r="J3535" t="s">
        <v>7065</v>
      </c>
      <c r="L3535" t="s">
        <v>27250</v>
      </c>
      <c r="M3535" t="s">
        <v>27251</v>
      </c>
      <c r="N3535" t="s">
        <v>27252</v>
      </c>
      <c r="P3535" t="s">
        <v>27341</v>
      </c>
      <c r="Q3535" s="1">
        <v>44846</v>
      </c>
      <c r="R3535" t="s">
        <v>27253</v>
      </c>
      <c r="S3535" t="s">
        <v>27254</v>
      </c>
      <c r="T3535" t="s">
        <v>27265</v>
      </c>
    </row>
    <row r="3536" spans="1:20" x14ac:dyDescent="0.3">
      <c r="A3536" t="str">
        <f>"0611884164050"</f>
        <v>0611884164050</v>
      </c>
      <c r="B3536" t="str">
        <f>"CR5419"</f>
        <v>CR5419</v>
      </c>
      <c r="C3536" t="s">
        <v>34091</v>
      </c>
      <c r="D3536" t="s">
        <v>27271</v>
      </c>
      <c r="E3536" t="str">
        <f t="shared" si="55"/>
        <v>001390</v>
      </c>
      <c r="F3536" t="s">
        <v>27246</v>
      </c>
      <c r="G3536" t="s">
        <v>27247</v>
      </c>
      <c r="H3536" t="s">
        <v>27248</v>
      </c>
      <c r="I3536" t="s">
        <v>34092</v>
      </c>
      <c r="J3536" t="s">
        <v>7067</v>
      </c>
      <c r="L3536" t="s">
        <v>27430</v>
      </c>
      <c r="M3536" t="s">
        <v>27251</v>
      </c>
      <c r="N3536" t="s">
        <v>27252</v>
      </c>
      <c r="P3536" t="s">
        <v>27341</v>
      </c>
      <c r="Q3536" s="1">
        <v>45250</v>
      </c>
      <c r="R3536" t="s">
        <v>27253</v>
      </c>
      <c r="S3536" t="s">
        <v>27254</v>
      </c>
      <c r="T3536" t="s">
        <v>27265</v>
      </c>
    </row>
    <row r="3537" spans="1:20" x14ac:dyDescent="0.3">
      <c r="A3537" t="str">
        <f>"0611861684050"</f>
        <v>0611861684050</v>
      </c>
      <c r="B3537" t="str">
        <f>"CR2193"</f>
        <v>CR2193</v>
      </c>
      <c r="C3537" t="s">
        <v>34093</v>
      </c>
      <c r="D3537" t="s">
        <v>27271</v>
      </c>
      <c r="E3537" t="str">
        <f t="shared" si="55"/>
        <v>001390</v>
      </c>
      <c r="F3537" t="s">
        <v>27246</v>
      </c>
      <c r="G3537" t="s">
        <v>27247</v>
      </c>
      <c r="H3537" t="s">
        <v>27248</v>
      </c>
      <c r="I3537" t="s">
        <v>34094</v>
      </c>
      <c r="J3537" t="s">
        <v>7069</v>
      </c>
      <c r="L3537" t="s">
        <v>27250</v>
      </c>
      <c r="M3537" t="s">
        <v>27251</v>
      </c>
      <c r="N3537" t="s">
        <v>27252</v>
      </c>
      <c r="P3537" t="s">
        <v>27341</v>
      </c>
      <c r="Q3537" s="1">
        <v>44846</v>
      </c>
      <c r="R3537" t="s">
        <v>27253</v>
      </c>
      <c r="S3537" t="s">
        <v>27254</v>
      </c>
      <c r="T3537" t="s">
        <v>27265</v>
      </c>
    </row>
    <row r="3538" spans="1:20" x14ac:dyDescent="0.3">
      <c r="A3538" t="str">
        <f>"0611861685050"</f>
        <v>0611861685050</v>
      </c>
      <c r="B3538" t="str">
        <f>"CR3681"</f>
        <v>CR3681</v>
      </c>
      <c r="C3538" t="s">
        <v>34095</v>
      </c>
      <c r="D3538" t="s">
        <v>27271</v>
      </c>
      <c r="E3538" t="str">
        <f t="shared" si="55"/>
        <v>001390</v>
      </c>
      <c r="F3538" t="s">
        <v>27246</v>
      </c>
      <c r="G3538" t="s">
        <v>27247</v>
      </c>
      <c r="H3538" t="s">
        <v>27248</v>
      </c>
      <c r="I3538" t="s">
        <v>34096</v>
      </c>
      <c r="J3538" t="s">
        <v>7071</v>
      </c>
      <c r="L3538" t="s">
        <v>27250</v>
      </c>
      <c r="M3538" t="s">
        <v>27251</v>
      </c>
      <c r="N3538" t="s">
        <v>27252</v>
      </c>
      <c r="P3538" t="s">
        <v>27341</v>
      </c>
      <c r="Q3538" s="1">
        <v>44846</v>
      </c>
      <c r="R3538" t="s">
        <v>27253</v>
      </c>
      <c r="S3538" t="s">
        <v>27254</v>
      </c>
      <c r="T3538" t="s">
        <v>27265</v>
      </c>
    </row>
    <row r="3539" spans="1:20" x14ac:dyDescent="0.3">
      <c r="A3539" t="str">
        <f>"0611861686050"</f>
        <v>0611861686050</v>
      </c>
      <c r="B3539" t="str">
        <f>"CR2194"</f>
        <v>CR2194</v>
      </c>
      <c r="C3539" t="s">
        <v>34097</v>
      </c>
      <c r="D3539" t="s">
        <v>27271</v>
      </c>
      <c r="E3539" t="str">
        <f t="shared" si="55"/>
        <v>001390</v>
      </c>
      <c r="F3539" t="s">
        <v>27246</v>
      </c>
      <c r="G3539" t="s">
        <v>27247</v>
      </c>
      <c r="H3539" t="s">
        <v>27248</v>
      </c>
      <c r="I3539" t="s">
        <v>34098</v>
      </c>
      <c r="J3539" t="s">
        <v>7073</v>
      </c>
      <c r="L3539" t="s">
        <v>27250</v>
      </c>
      <c r="M3539" t="s">
        <v>27251</v>
      </c>
      <c r="N3539" t="s">
        <v>27252</v>
      </c>
      <c r="P3539" t="s">
        <v>27341</v>
      </c>
      <c r="Q3539" s="1">
        <v>44846</v>
      </c>
      <c r="R3539" t="s">
        <v>27253</v>
      </c>
      <c r="S3539" t="s">
        <v>27254</v>
      </c>
      <c r="T3539" t="s">
        <v>27265</v>
      </c>
    </row>
    <row r="3540" spans="1:20" x14ac:dyDescent="0.3">
      <c r="A3540" t="str">
        <f>"0611861687050"</f>
        <v>0611861687050</v>
      </c>
      <c r="B3540" t="str">
        <f>"CR5185"</f>
        <v>CR5185</v>
      </c>
      <c r="C3540" t="s">
        <v>34099</v>
      </c>
      <c r="D3540" t="s">
        <v>27271</v>
      </c>
      <c r="E3540" t="str">
        <f t="shared" si="55"/>
        <v>001390</v>
      </c>
      <c r="F3540" t="s">
        <v>27246</v>
      </c>
      <c r="G3540" t="s">
        <v>27247</v>
      </c>
      <c r="H3540" t="s">
        <v>27248</v>
      </c>
      <c r="I3540" t="s">
        <v>34100</v>
      </c>
      <c r="J3540" t="s">
        <v>7075</v>
      </c>
      <c r="L3540" t="s">
        <v>27250</v>
      </c>
      <c r="M3540" t="s">
        <v>27251</v>
      </c>
      <c r="N3540" t="s">
        <v>27252</v>
      </c>
      <c r="P3540" t="s">
        <v>27341</v>
      </c>
      <c r="Q3540" s="1">
        <v>44846</v>
      </c>
      <c r="R3540" t="s">
        <v>27253</v>
      </c>
      <c r="S3540" t="s">
        <v>27254</v>
      </c>
      <c r="T3540" t="s">
        <v>27265</v>
      </c>
    </row>
    <row r="3541" spans="1:20" x14ac:dyDescent="0.3">
      <c r="A3541" t="str">
        <f>"0611861688050"</f>
        <v>0611861688050</v>
      </c>
      <c r="B3541" t="str">
        <f>"CR2195"</f>
        <v>CR2195</v>
      </c>
      <c r="C3541" t="s">
        <v>34101</v>
      </c>
      <c r="D3541" t="s">
        <v>27271</v>
      </c>
      <c r="E3541" t="str">
        <f t="shared" si="55"/>
        <v>001390</v>
      </c>
      <c r="F3541" t="s">
        <v>27246</v>
      </c>
      <c r="G3541" t="s">
        <v>27247</v>
      </c>
      <c r="H3541" t="s">
        <v>27248</v>
      </c>
      <c r="I3541" t="s">
        <v>34102</v>
      </c>
      <c r="J3541" t="s">
        <v>7077</v>
      </c>
      <c r="L3541" t="s">
        <v>27250</v>
      </c>
      <c r="M3541" t="s">
        <v>27251</v>
      </c>
      <c r="N3541" t="s">
        <v>27252</v>
      </c>
      <c r="P3541" t="s">
        <v>27341</v>
      </c>
      <c r="Q3541" s="1">
        <v>44846</v>
      </c>
      <c r="R3541" t="s">
        <v>27253</v>
      </c>
      <c r="S3541" t="s">
        <v>27254</v>
      </c>
      <c r="T3541" t="s">
        <v>27265</v>
      </c>
    </row>
    <row r="3542" spans="1:20" x14ac:dyDescent="0.3">
      <c r="A3542" t="str">
        <f>"0611861689100"</f>
        <v>0611861689100</v>
      </c>
      <c r="B3542" t="str">
        <f>"LK5216"</f>
        <v>LK5216</v>
      </c>
      <c r="C3542" t="s">
        <v>34103</v>
      </c>
      <c r="D3542" t="s">
        <v>27245</v>
      </c>
      <c r="E3542" t="str">
        <f t="shared" si="55"/>
        <v>001390</v>
      </c>
      <c r="F3542" t="s">
        <v>27246</v>
      </c>
      <c r="G3542" t="s">
        <v>27247</v>
      </c>
      <c r="H3542" t="s">
        <v>27248</v>
      </c>
      <c r="I3542" t="s">
        <v>34104</v>
      </c>
      <c r="J3542" t="s">
        <v>7079</v>
      </c>
      <c r="L3542" t="s">
        <v>27250</v>
      </c>
      <c r="M3542" t="s">
        <v>27251</v>
      </c>
      <c r="N3542" t="s">
        <v>27252</v>
      </c>
      <c r="Q3542" s="1">
        <v>44846</v>
      </c>
      <c r="R3542" t="s">
        <v>27253</v>
      </c>
      <c r="S3542" t="s">
        <v>27254</v>
      </c>
      <c r="T3542" t="s">
        <v>27255</v>
      </c>
    </row>
    <row r="3543" spans="1:20" x14ac:dyDescent="0.3">
      <c r="A3543" t="str">
        <f>"0611834086100"</f>
        <v>0611834086100</v>
      </c>
      <c r="B3543" t="str">
        <f>"LB2600"</f>
        <v>LB2600</v>
      </c>
      <c r="C3543" t="s">
        <v>34105</v>
      </c>
      <c r="D3543" t="s">
        <v>27245</v>
      </c>
      <c r="E3543" t="str">
        <f t="shared" si="55"/>
        <v>001390</v>
      </c>
      <c r="F3543" t="s">
        <v>27246</v>
      </c>
      <c r="G3543" t="s">
        <v>27247</v>
      </c>
      <c r="H3543" t="s">
        <v>27248</v>
      </c>
      <c r="I3543" t="s">
        <v>34106</v>
      </c>
      <c r="J3543" t="s">
        <v>7081</v>
      </c>
      <c r="L3543" t="s">
        <v>27250</v>
      </c>
      <c r="M3543" t="s">
        <v>27251</v>
      </c>
      <c r="N3543" t="s">
        <v>27252</v>
      </c>
      <c r="Q3543" s="1">
        <v>44538</v>
      </c>
      <c r="R3543" t="s">
        <v>27253</v>
      </c>
      <c r="S3543" t="s">
        <v>27254</v>
      </c>
      <c r="T3543" t="s">
        <v>27255</v>
      </c>
    </row>
    <row r="3544" spans="1:20" x14ac:dyDescent="0.3">
      <c r="A3544" t="str">
        <f>"0611833708100"</f>
        <v>0611833708100</v>
      </c>
      <c r="B3544" t="str">
        <f>"LK2615"</f>
        <v>LK2615</v>
      </c>
      <c r="C3544" t="s">
        <v>34107</v>
      </c>
      <c r="D3544" t="s">
        <v>27245</v>
      </c>
      <c r="E3544" t="str">
        <f t="shared" si="55"/>
        <v>001390</v>
      </c>
      <c r="F3544" t="s">
        <v>27246</v>
      </c>
      <c r="G3544" t="s">
        <v>27247</v>
      </c>
      <c r="H3544" t="s">
        <v>27248</v>
      </c>
      <c r="I3544" t="s">
        <v>34108</v>
      </c>
      <c r="J3544" t="s">
        <v>7083</v>
      </c>
      <c r="L3544" t="s">
        <v>27250</v>
      </c>
      <c r="M3544" t="s">
        <v>27251</v>
      </c>
      <c r="N3544" t="s">
        <v>27252</v>
      </c>
      <c r="Q3544" s="1">
        <v>44538</v>
      </c>
      <c r="R3544" t="s">
        <v>27253</v>
      </c>
      <c r="S3544" t="s">
        <v>27254</v>
      </c>
      <c r="T3544" t="s">
        <v>27255</v>
      </c>
    </row>
    <row r="3545" spans="1:20" x14ac:dyDescent="0.3">
      <c r="A3545" t="str">
        <f>"0611833709100"</f>
        <v>0611833709100</v>
      </c>
      <c r="B3545" t="str">
        <f>"LK2616"</f>
        <v>LK2616</v>
      </c>
      <c r="C3545" t="s">
        <v>34109</v>
      </c>
      <c r="D3545" t="s">
        <v>27245</v>
      </c>
      <c r="E3545" t="str">
        <f t="shared" si="55"/>
        <v>001390</v>
      </c>
      <c r="F3545" t="s">
        <v>27246</v>
      </c>
      <c r="G3545" t="s">
        <v>27247</v>
      </c>
      <c r="H3545" t="s">
        <v>27248</v>
      </c>
      <c r="I3545" t="s">
        <v>34110</v>
      </c>
      <c r="J3545" t="s">
        <v>7085</v>
      </c>
      <c r="L3545" t="s">
        <v>27250</v>
      </c>
      <c r="M3545" t="s">
        <v>27251</v>
      </c>
      <c r="N3545" t="s">
        <v>27252</v>
      </c>
      <c r="Q3545" s="1">
        <v>44538</v>
      </c>
      <c r="R3545" t="s">
        <v>27253</v>
      </c>
      <c r="S3545" t="s">
        <v>27254</v>
      </c>
      <c r="T3545" t="s">
        <v>27255</v>
      </c>
    </row>
    <row r="3546" spans="1:20" x14ac:dyDescent="0.3">
      <c r="A3546" t="str">
        <f>"0611833710100"</f>
        <v>0611833710100</v>
      </c>
      <c r="B3546" t="str">
        <f>"LK2617"</f>
        <v>LK2617</v>
      </c>
      <c r="C3546" t="s">
        <v>34111</v>
      </c>
      <c r="D3546" t="s">
        <v>27245</v>
      </c>
      <c r="E3546" t="str">
        <f t="shared" si="55"/>
        <v>001390</v>
      </c>
      <c r="F3546" t="s">
        <v>27246</v>
      </c>
      <c r="G3546" t="s">
        <v>27247</v>
      </c>
      <c r="H3546" t="s">
        <v>27248</v>
      </c>
      <c r="I3546" t="s">
        <v>34112</v>
      </c>
      <c r="J3546" t="s">
        <v>7087</v>
      </c>
      <c r="L3546" t="s">
        <v>27250</v>
      </c>
      <c r="M3546" t="s">
        <v>27251</v>
      </c>
      <c r="N3546" t="s">
        <v>27252</v>
      </c>
      <c r="Q3546" s="1">
        <v>44538</v>
      </c>
      <c r="R3546" t="s">
        <v>27253</v>
      </c>
      <c r="S3546" t="s">
        <v>27254</v>
      </c>
      <c r="T3546" t="s">
        <v>27255</v>
      </c>
    </row>
    <row r="3547" spans="1:20" x14ac:dyDescent="0.3">
      <c r="A3547" t="str">
        <f>"0611833711100"</f>
        <v>0611833711100</v>
      </c>
      <c r="B3547" t="str">
        <f>"LK0115"</f>
        <v>LK0115</v>
      </c>
      <c r="C3547" t="s">
        <v>34113</v>
      </c>
      <c r="D3547" t="s">
        <v>27245</v>
      </c>
      <c r="E3547" t="str">
        <f t="shared" si="55"/>
        <v>001390</v>
      </c>
      <c r="F3547" t="s">
        <v>27246</v>
      </c>
      <c r="G3547" t="s">
        <v>27247</v>
      </c>
      <c r="H3547" t="s">
        <v>27248</v>
      </c>
      <c r="I3547" t="s">
        <v>34114</v>
      </c>
      <c r="J3547" t="s">
        <v>7089</v>
      </c>
      <c r="L3547" t="s">
        <v>27250</v>
      </c>
      <c r="M3547" t="s">
        <v>27251</v>
      </c>
      <c r="N3547" t="s">
        <v>27252</v>
      </c>
      <c r="Q3547" s="1">
        <v>44538</v>
      </c>
      <c r="R3547" t="s">
        <v>27253</v>
      </c>
      <c r="S3547" t="s">
        <v>27254</v>
      </c>
      <c r="T3547" t="s">
        <v>27255</v>
      </c>
    </row>
    <row r="3548" spans="1:20" x14ac:dyDescent="0.3">
      <c r="A3548" t="str">
        <f>"0611833712100"</f>
        <v>0611833712100</v>
      </c>
      <c r="B3548" t="str">
        <f>"LB2380"</f>
        <v>LB2380</v>
      </c>
      <c r="C3548" t="s">
        <v>34115</v>
      </c>
      <c r="D3548" t="s">
        <v>27245</v>
      </c>
      <c r="E3548" t="str">
        <f t="shared" si="55"/>
        <v>001390</v>
      </c>
      <c r="F3548" t="s">
        <v>27246</v>
      </c>
      <c r="G3548" t="s">
        <v>27247</v>
      </c>
      <c r="H3548" t="s">
        <v>27248</v>
      </c>
      <c r="I3548" t="s">
        <v>34116</v>
      </c>
      <c r="J3548" t="s">
        <v>7095</v>
      </c>
      <c r="L3548" t="s">
        <v>27250</v>
      </c>
      <c r="M3548" t="s">
        <v>27251</v>
      </c>
      <c r="N3548" t="s">
        <v>27252</v>
      </c>
      <c r="Q3548" s="1">
        <v>44538</v>
      </c>
      <c r="R3548" t="s">
        <v>27253</v>
      </c>
      <c r="S3548" t="s">
        <v>27254</v>
      </c>
      <c r="T3548" t="s">
        <v>27255</v>
      </c>
    </row>
    <row r="3549" spans="1:20" x14ac:dyDescent="0.3">
      <c r="A3549" t="str">
        <f>"0611833713100"</f>
        <v>0611833713100</v>
      </c>
      <c r="B3549" t="str">
        <f>"LK1548"</f>
        <v>LK1548</v>
      </c>
      <c r="C3549" t="s">
        <v>34117</v>
      </c>
      <c r="D3549" t="s">
        <v>27245</v>
      </c>
      <c r="E3549" t="str">
        <f t="shared" si="55"/>
        <v>001390</v>
      </c>
      <c r="F3549" t="s">
        <v>27246</v>
      </c>
      <c r="G3549" t="s">
        <v>27247</v>
      </c>
      <c r="H3549" t="s">
        <v>27248</v>
      </c>
      <c r="I3549" t="s">
        <v>34118</v>
      </c>
      <c r="J3549" t="s">
        <v>7091</v>
      </c>
      <c r="L3549" t="s">
        <v>27250</v>
      </c>
      <c r="M3549" t="s">
        <v>27251</v>
      </c>
      <c r="N3549" t="s">
        <v>27252</v>
      </c>
      <c r="Q3549" s="1">
        <v>44538</v>
      </c>
      <c r="R3549" t="s">
        <v>27253</v>
      </c>
      <c r="S3549" t="s">
        <v>27254</v>
      </c>
      <c r="T3549" t="s">
        <v>27255</v>
      </c>
    </row>
    <row r="3550" spans="1:20" x14ac:dyDescent="0.3">
      <c r="A3550" t="str">
        <f>"0611833714100"</f>
        <v>0611833714100</v>
      </c>
      <c r="B3550" t="str">
        <f>"LK3809"</f>
        <v>LK3809</v>
      </c>
      <c r="C3550" t="s">
        <v>34119</v>
      </c>
      <c r="D3550" t="s">
        <v>27245</v>
      </c>
      <c r="E3550" t="str">
        <f t="shared" si="55"/>
        <v>001390</v>
      </c>
      <c r="F3550" t="s">
        <v>27246</v>
      </c>
      <c r="G3550" t="s">
        <v>27247</v>
      </c>
      <c r="H3550" t="s">
        <v>27248</v>
      </c>
      <c r="I3550" t="s">
        <v>34120</v>
      </c>
      <c r="J3550" t="s">
        <v>7093</v>
      </c>
      <c r="L3550" t="s">
        <v>27250</v>
      </c>
      <c r="M3550" t="s">
        <v>27251</v>
      </c>
      <c r="N3550" t="s">
        <v>27252</v>
      </c>
      <c r="Q3550" s="1">
        <v>44538</v>
      </c>
      <c r="R3550" t="s">
        <v>27253</v>
      </c>
      <c r="S3550" t="s">
        <v>27254</v>
      </c>
      <c r="T3550" t="s">
        <v>27255</v>
      </c>
    </row>
    <row r="3551" spans="1:20" x14ac:dyDescent="0.3">
      <c r="A3551" t="str">
        <f>"0611833715100"</f>
        <v>0611833715100</v>
      </c>
      <c r="B3551" t="str">
        <f>"LB2381"</f>
        <v>LB2381</v>
      </c>
      <c r="C3551" t="s">
        <v>34121</v>
      </c>
      <c r="D3551" t="s">
        <v>27245</v>
      </c>
      <c r="E3551" t="str">
        <f t="shared" si="55"/>
        <v>001390</v>
      </c>
      <c r="F3551" t="s">
        <v>27246</v>
      </c>
      <c r="G3551" t="s">
        <v>27247</v>
      </c>
      <c r="H3551" t="s">
        <v>27248</v>
      </c>
      <c r="I3551" t="s">
        <v>34122</v>
      </c>
      <c r="J3551" t="s">
        <v>7097</v>
      </c>
      <c r="L3551" t="s">
        <v>27250</v>
      </c>
      <c r="M3551" t="s">
        <v>27251</v>
      </c>
      <c r="N3551" t="s">
        <v>27252</v>
      </c>
      <c r="Q3551" s="1">
        <v>44538</v>
      </c>
      <c r="R3551" t="s">
        <v>27253</v>
      </c>
      <c r="S3551" t="s">
        <v>27254</v>
      </c>
      <c r="T3551" t="s">
        <v>27255</v>
      </c>
    </row>
    <row r="3552" spans="1:20" x14ac:dyDescent="0.3">
      <c r="A3552" t="str">
        <f>"0611833720025"</f>
        <v>0611833720025</v>
      </c>
      <c r="B3552" t="str">
        <f>"MC3551"</f>
        <v>MC3551</v>
      </c>
      <c r="C3552" t="s">
        <v>34123</v>
      </c>
      <c r="D3552" t="s">
        <v>27267</v>
      </c>
      <c r="E3552" t="str">
        <f t="shared" si="55"/>
        <v>001390</v>
      </c>
      <c r="F3552" t="s">
        <v>27246</v>
      </c>
      <c r="G3552" t="s">
        <v>27247</v>
      </c>
      <c r="H3552" t="s">
        <v>27248</v>
      </c>
      <c r="I3552" t="s">
        <v>34124</v>
      </c>
      <c r="J3552" t="s">
        <v>7099</v>
      </c>
      <c r="L3552" t="s">
        <v>27250</v>
      </c>
      <c r="M3552" t="s">
        <v>27251</v>
      </c>
      <c r="N3552" t="s">
        <v>27252</v>
      </c>
      <c r="Q3552" s="1">
        <v>44538</v>
      </c>
      <c r="R3552" t="s">
        <v>27253</v>
      </c>
      <c r="S3552" t="s">
        <v>27254</v>
      </c>
      <c r="T3552" t="s">
        <v>27269</v>
      </c>
    </row>
    <row r="3553" spans="1:20" x14ac:dyDescent="0.3">
      <c r="A3553" t="str">
        <f>"0611833721025"</f>
        <v>0611833721025</v>
      </c>
      <c r="B3553" t="str">
        <f>"MC0209"</f>
        <v>MC0209</v>
      </c>
      <c r="C3553" t="s">
        <v>34125</v>
      </c>
      <c r="D3553" t="s">
        <v>27267</v>
      </c>
      <c r="E3553" t="str">
        <f t="shared" si="55"/>
        <v>001390</v>
      </c>
      <c r="F3553" t="s">
        <v>27246</v>
      </c>
      <c r="G3553" t="s">
        <v>27247</v>
      </c>
      <c r="H3553" t="s">
        <v>27248</v>
      </c>
      <c r="I3553" t="s">
        <v>34126</v>
      </c>
      <c r="J3553" t="s">
        <v>7103</v>
      </c>
      <c r="L3553" t="s">
        <v>27250</v>
      </c>
      <c r="M3553" t="s">
        <v>27251</v>
      </c>
      <c r="N3553" t="s">
        <v>27252</v>
      </c>
      <c r="Q3553" s="1">
        <v>44538</v>
      </c>
      <c r="R3553" t="s">
        <v>27253</v>
      </c>
      <c r="S3553" t="s">
        <v>27254</v>
      </c>
      <c r="T3553" t="s">
        <v>27269</v>
      </c>
    </row>
    <row r="3554" spans="1:20" x14ac:dyDescent="0.3">
      <c r="A3554" t="str">
        <f>"0611861690100"</f>
        <v>0611861690100</v>
      </c>
      <c r="B3554" t="str">
        <f>"CN5090"</f>
        <v>CN5090</v>
      </c>
      <c r="C3554" t="s">
        <v>34125</v>
      </c>
      <c r="D3554" t="s">
        <v>27335</v>
      </c>
      <c r="E3554" t="str">
        <f t="shared" si="55"/>
        <v>001390</v>
      </c>
      <c r="F3554" t="s">
        <v>27246</v>
      </c>
      <c r="G3554" t="s">
        <v>27247</v>
      </c>
      <c r="H3554" t="s">
        <v>27248</v>
      </c>
      <c r="I3554" t="s">
        <v>34127</v>
      </c>
      <c r="J3554" t="s">
        <v>7101</v>
      </c>
      <c r="L3554" t="s">
        <v>27250</v>
      </c>
      <c r="M3554" t="s">
        <v>27251</v>
      </c>
      <c r="N3554" t="s">
        <v>27252</v>
      </c>
      <c r="Q3554" s="1">
        <v>44846</v>
      </c>
      <c r="R3554" t="s">
        <v>27253</v>
      </c>
      <c r="S3554" t="s">
        <v>27254</v>
      </c>
      <c r="T3554" t="s">
        <v>27255</v>
      </c>
    </row>
    <row r="3555" spans="1:20" x14ac:dyDescent="0.3">
      <c r="A3555" t="str">
        <f>"0611833722025"</f>
        <v>0611833722025</v>
      </c>
      <c r="B3555" t="str">
        <f>"MQ0560"</f>
        <v>MQ0560</v>
      </c>
      <c r="C3555" t="s">
        <v>34128</v>
      </c>
      <c r="D3555" t="s">
        <v>27267</v>
      </c>
      <c r="E3555" t="str">
        <f t="shared" si="55"/>
        <v>001390</v>
      </c>
      <c r="F3555" t="s">
        <v>27246</v>
      </c>
      <c r="G3555" t="s">
        <v>27247</v>
      </c>
      <c r="H3555" t="s">
        <v>27248</v>
      </c>
      <c r="I3555" t="s">
        <v>34129</v>
      </c>
      <c r="J3555" t="s">
        <v>7105</v>
      </c>
      <c r="L3555" t="s">
        <v>27250</v>
      </c>
      <c r="M3555" t="s">
        <v>27251</v>
      </c>
      <c r="N3555" t="s">
        <v>27252</v>
      </c>
      <c r="Q3555" s="1">
        <v>44538</v>
      </c>
      <c r="R3555" t="s">
        <v>27253</v>
      </c>
      <c r="S3555" t="s">
        <v>27254</v>
      </c>
      <c r="T3555" t="s">
        <v>27269</v>
      </c>
    </row>
    <row r="3556" spans="1:20" x14ac:dyDescent="0.3">
      <c r="A3556" t="str">
        <f>"0611833723025"</f>
        <v>0611833723025</v>
      </c>
      <c r="B3556" t="str">
        <f>"MQ0487"</f>
        <v>MQ0487</v>
      </c>
      <c r="C3556" t="s">
        <v>34130</v>
      </c>
      <c r="D3556" t="s">
        <v>27267</v>
      </c>
      <c r="E3556" t="str">
        <f t="shared" si="55"/>
        <v>001390</v>
      </c>
      <c r="F3556" t="s">
        <v>27246</v>
      </c>
      <c r="G3556" t="s">
        <v>27247</v>
      </c>
      <c r="H3556" t="s">
        <v>27248</v>
      </c>
      <c r="I3556" t="s">
        <v>34131</v>
      </c>
      <c r="J3556" t="s">
        <v>7107</v>
      </c>
      <c r="L3556" t="s">
        <v>27250</v>
      </c>
      <c r="M3556" t="s">
        <v>27251</v>
      </c>
      <c r="N3556" t="s">
        <v>27252</v>
      </c>
      <c r="Q3556" s="1">
        <v>44538</v>
      </c>
      <c r="R3556" t="s">
        <v>27253</v>
      </c>
      <c r="S3556" t="s">
        <v>27254</v>
      </c>
      <c r="T3556" t="s">
        <v>27269</v>
      </c>
    </row>
    <row r="3557" spans="1:20" x14ac:dyDescent="0.3">
      <c r="A3557" t="str">
        <f>"0611833724025"</f>
        <v>0611833724025</v>
      </c>
      <c r="B3557" t="str">
        <f>"MQ0488"</f>
        <v>MQ0488</v>
      </c>
      <c r="C3557" t="s">
        <v>34132</v>
      </c>
      <c r="D3557" t="s">
        <v>27267</v>
      </c>
      <c r="E3557" t="str">
        <f t="shared" si="55"/>
        <v>001390</v>
      </c>
      <c r="F3557" t="s">
        <v>27246</v>
      </c>
      <c r="G3557" t="s">
        <v>27247</v>
      </c>
      <c r="H3557" t="s">
        <v>27248</v>
      </c>
      <c r="I3557" t="s">
        <v>34133</v>
      </c>
      <c r="J3557" t="s">
        <v>7109</v>
      </c>
      <c r="L3557" t="s">
        <v>27250</v>
      </c>
      <c r="M3557" t="s">
        <v>27251</v>
      </c>
      <c r="N3557" t="s">
        <v>27252</v>
      </c>
      <c r="Q3557" s="1">
        <v>44538</v>
      </c>
      <c r="R3557" t="s">
        <v>27253</v>
      </c>
      <c r="S3557" t="s">
        <v>27254</v>
      </c>
      <c r="T3557" t="s">
        <v>27269</v>
      </c>
    </row>
    <row r="3558" spans="1:20" x14ac:dyDescent="0.3">
      <c r="A3558" t="str">
        <f>"0611833725025"</f>
        <v>0611833725025</v>
      </c>
      <c r="B3558" t="str">
        <f>"MQ6014"</f>
        <v>MQ6014</v>
      </c>
      <c r="C3558" t="s">
        <v>34134</v>
      </c>
      <c r="D3558" t="s">
        <v>27267</v>
      </c>
      <c r="E3558" t="str">
        <f t="shared" si="55"/>
        <v>001390</v>
      </c>
      <c r="F3558" t="s">
        <v>27246</v>
      </c>
      <c r="G3558" t="s">
        <v>27247</v>
      </c>
      <c r="H3558" t="s">
        <v>27248</v>
      </c>
      <c r="I3558" t="s">
        <v>34135</v>
      </c>
      <c r="J3558" t="s">
        <v>7111</v>
      </c>
      <c r="L3558" t="s">
        <v>27250</v>
      </c>
      <c r="M3558" t="s">
        <v>27251</v>
      </c>
      <c r="N3558" t="s">
        <v>27252</v>
      </c>
      <c r="Q3558" s="1">
        <v>44538</v>
      </c>
      <c r="R3558" t="s">
        <v>27253</v>
      </c>
      <c r="S3558" t="s">
        <v>27254</v>
      </c>
      <c r="T3558" t="s">
        <v>27269</v>
      </c>
    </row>
    <row r="3559" spans="1:20" x14ac:dyDescent="0.3">
      <c r="A3559" t="str">
        <f>"0611884165025"</f>
        <v>0611884165025</v>
      </c>
      <c r="B3559" t="str">
        <f>"MQ0825"</f>
        <v>MQ0825</v>
      </c>
      <c r="C3559" t="s">
        <v>34136</v>
      </c>
      <c r="D3559" t="s">
        <v>27267</v>
      </c>
      <c r="E3559" t="str">
        <f t="shared" si="55"/>
        <v>001390</v>
      </c>
      <c r="F3559" t="s">
        <v>27246</v>
      </c>
      <c r="G3559" t="s">
        <v>27247</v>
      </c>
      <c r="H3559" t="s">
        <v>27248</v>
      </c>
      <c r="I3559" t="s">
        <v>34137</v>
      </c>
      <c r="J3559" t="s">
        <v>7113</v>
      </c>
      <c r="L3559" t="s">
        <v>27430</v>
      </c>
      <c r="M3559" t="s">
        <v>27251</v>
      </c>
      <c r="N3559" t="s">
        <v>27252</v>
      </c>
      <c r="Q3559" s="1">
        <v>45250</v>
      </c>
      <c r="R3559" t="s">
        <v>27253</v>
      </c>
      <c r="S3559" t="s">
        <v>27254</v>
      </c>
      <c r="T3559" t="s">
        <v>27269</v>
      </c>
    </row>
    <row r="3560" spans="1:20" x14ac:dyDescent="0.3">
      <c r="A3560" t="str">
        <f>"0611884166025"</f>
        <v>0611884166025</v>
      </c>
      <c r="B3560" t="str">
        <f>"MQ0826"</f>
        <v>MQ0826</v>
      </c>
      <c r="C3560" t="s">
        <v>34138</v>
      </c>
      <c r="D3560" t="s">
        <v>27267</v>
      </c>
      <c r="E3560" t="str">
        <f t="shared" si="55"/>
        <v>001390</v>
      </c>
      <c r="F3560" t="s">
        <v>27246</v>
      </c>
      <c r="G3560" t="s">
        <v>27247</v>
      </c>
      <c r="H3560" t="s">
        <v>27248</v>
      </c>
      <c r="I3560" t="s">
        <v>34139</v>
      </c>
      <c r="J3560" t="s">
        <v>7115</v>
      </c>
      <c r="L3560" t="s">
        <v>27430</v>
      </c>
      <c r="M3560" t="s">
        <v>27251</v>
      </c>
      <c r="N3560" t="s">
        <v>27252</v>
      </c>
      <c r="Q3560" s="1">
        <v>45250</v>
      </c>
      <c r="R3560" t="s">
        <v>27253</v>
      </c>
      <c r="S3560" t="s">
        <v>27254</v>
      </c>
      <c r="T3560" t="s">
        <v>27269</v>
      </c>
    </row>
    <row r="3561" spans="1:20" x14ac:dyDescent="0.3">
      <c r="A3561" t="str">
        <f>"0611833726025"</f>
        <v>0611833726025</v>
      </c>
      <c r="B3561" t="str">
        <f>"MQ0489"</f>
        <v>MQ0489</v>
      </c>
      <c r="C3561" t="s">
        <v>34140</v>
      </c>
      <c r="D3561" t="s">
        <v>27267</v>
      </c>
      <c r="E3561" t="str">
        <f t="shared" si="55"/>
        <v>001390</v>
      </c>
      <c r="F3561" t="s">
        <v>27246</v>
      </c>
      <c r="G3561" t="s">
        <v>27247</v>
      </c>
      <c r="H3561" t="s">
        <v>27248</v>
      </c>
      <c r="I3561" t="s">
        <v>34141</v>
      </c>
      <c r="J3561" t="s">
        <v>7117</v>
      </c>
      <c r="L3561" t="s">
        <v>27250</v>
      </c>
      <c r="M3561" t="s">
        <v>27251</v>
      </c>
      <c r="N3561" t="s">
        <v>27252</v>
      </c>
      <c r="Q3561" s="1">
        <v>44538</v>
      </c>
      <c r="R3561" t="s">
        <v>27253</v>
      </c>
      <c r="S3561" t="s">
        <v>27254</v>
      </c>
      <c r="T3561" t="s">
        <v>27269</v>
      </c>
    </row>
    <row r="3562" spans="1:20" x14ac:dyDescent="0.3">
      <c r="A3562" t="str">
        <f>"0611856881025"</f>
        <v>0611856881025</v>
      </c>
      <c r="B3562" t="str">
        <f>"MQ0765"</f>
        <v>MQ0765</v>
      </c>
      <c r="C3562" t="s">
        <v>34142</v>
      </c>
      <c r="D3562" t="s">
        <v>27267</v>
      </c>
      <c r="E3562" t="str">
        <f t="shared" si="55"/>
        <v>001390</v>
      </c>
      <c r="F3562" t="s">
        <v>27246</v>
      </c>
      <c r="G3562" t="s">
        <v>27247</v>
      </c>
      <c r="H3562" t="s">
        <v>27248</v>
      </c>
      <c r="I3562" t="s">
        <v>34143</v>
      </c>
      <c r="J3562" t="s">
        <v>7119</v>
      </c>
      <c r="L3562" t="s">
        <v>27250</v>
      </c>
      <c r="M3562" t="s">
        <v>27251</v>
      </c>
      <c r="N3562" t="s">
        <v>27252</v>
      </c>
      <c r="Q3562" s="1">
        <v>44812</v>
      </c>
      <c r="R3562" t="s">
        <v>27253</v>
      </c>
      <c r="S3562" t="s">
        <v>27254</v>
      </c>
      <c r="T3562" t="s">
        <v>27269</v>
      </c>
    </row>
    <row r="3563" spans="1:20" x14ac:dyDescent="0.3">
      <c r="A3563" t="str">
        <f>"0611833727025"</f>
        <v>0611833727025</v>
      </c>
      <c r="B3563" t="str">
        <f>"MQ0490"</f>
        <v>MQ0490</v>
      </c>
      <c r="C3563" t="s">
        <v>34144</v>
      </c>
      <c r="D3563" t="s">
        <v>27267</v>
      </c>
      <c r="E3563" t="str">
        <f t="shared" si="55"/>
        <v>001390</v>
      </c>
      <c r="F3563" t="s">
        <v>27246</v>
      </c>
      <c r="G3563" t="s">
        <v>27247</v>
      </c>
      <c r="H3563" t="s">
        <v>27248</v>
      </c>
      <c r="I3563" t="s">
        <v>34145</v>
      </c>
      <c r="J3563" t="s">
        <v>7121</v>
      </c>
      <c r="L3563" t="s">
        <v>27250</v>
      </c>
      <c r="M3563" t="s">
        <v>27251</v>
      </c>
      <c r="N3563" t="s">
        <v>27252</v>
      </c>
      <c r="Q3563" s="1">
        <v>44538</v>
      </c>
      <c r="R3563" t="s">
        <v>27253</v>
      </c>
      <c r="S3563" t="s">
        <v>27254</v>
      </c>
      <c r="T3563" t="s">
        <v>27269</v>
      </c>
    </row>
    <row r="3564" spans="1:20" x14ac:dyDescent="0.3">
      <c r="A3564" t="str">
        <f>"0611833728025"</f>
        <v>0611833728025</v>
      </c>
      <c r="B3564" t="str">
        <f>"MQ6015"</f>
        <v>MQ6015</v>
      </c>
      <c r="C3564" t="s">
        <v>34146</v>
      </c>
      <c r="D3564" t="s">
        <v>27267</v>
      </c>
      <c r="E3564" t="str">
        <f t="shared" si="55"/>
        <v>001390</v>
      </c>
      <c r="F3564" t="s">
        <v>27246</v>
      </c>
      <c r="G3564" t="s">
        <v>27247</v>
      </c>
      <c r="H3564" t="s">
        <v>27248</v>
      </c>
      <c r="I3564" t="s">
        <v>34147</v>
      </c>
      <c r="J3564" t="s">
        <v>7123</v>
      </c>
      <c r="L3564" t="s">
        <v>27250</v>
      </c>
      <c r="M3564" t="s">
        <v>27251</v>
      </c>
      <c r="N3564" t="s">
        <v>27252</v>
      </c>
      <c r="Q3564" s="1">
        <v>44538</v>
      </c>
      <c r="R3564" t="s">
        <v>27253</v>
      </c>
      <c r="S3564" t="s">
        <v>27254</v>
      </c>
      <c r="T3564" t="s">
        <v>27269</v>
      </c>
    </row>
    <row r="3565" spans="1:20" x14ac:dyDescent="0.3">
      <c r="A3565" t="str">
        <f>"0611833729025"</f>
        <v>0611833729025</v>
      </c>
      <c r="B3565" t="str">
        <f>"MQ6016"</f>
        <v>MQ6016</v>
      </c>
      <c r="C3565" t="s">
        <v>34148</v>
      </c>
      <c r="D3565" t="s">
        <v>27267</v>
      </c>
      <c r="E3565" t="str">
        <f t="shared" si="55"/>
        <v>001390</v>
      </c>
      <c r="F3565" t="s">
        <v>27246</v>
      </c>
      <c r="G3565" t="s">
        <v>27247</v>
      </c>
      <c r="H3565" t="s">
        <v>27248</v>
      </c>
      <c r="I3565" t="s">
        <v>34149</v>
      </c>
      <c r="J3565" t="s">
        <v>7125</v>
      </c>
      <c r="L3565" t="s">
        <v>27250</v>
      </c>
      <c r="M3565" t="s">
        <v>27251</v>
      </c>
      <c r="N3565" t="s">
        <v>27252</v>
      </c>
      <c r="Q3565" s="1">
        <v>44538</v>
      </c>
      <c r="R3565" t="s">
        <v>27253</v>
      </c>
      <c r="S3565" t="s">
        <v>27254</v>
      </c>
      <c r="T3565" t="s">
        <v>27269</v>
      </c>
    </row>
    <row r="3566" spans="1:20" x14ac:dyDescent="0.3">
      <c r="A3566" t="str">
        <f>"0611833730100"</f>
        <v>0611833730100</v>
      </c>
      <c r="B3566" t="str">
        <f>"LH3020"</f>
        <v>LH3020</v>
      </c>
      <c r="C3566" t="s">
        <v>34150</v>
      </c>
      <c r="D3566" t="s">
        <v>27245</v>
      </c>
      <c r="E3566" t="str">
        <f t="shared" si="55"/>
        <v>001390</v>
      </c>
      <c r="F3566" t="s">
        <v>27246</v>
      </c>
      <c r="G3566" t="s">
        <v>27247</v>
      </c>
      <c r="H3566" t="s">
        <v>27248</v>
      </c>
      <c r="I3566" t="s">
        <v>34151</v>
      </c>
      <c r="J3566" t="s">
        <v>7127</v>
      </c>
      <c r="L3566" t="s">
        <v>27250</v>
      </c>
      <c r="M3566" t="s">
        <v>27251</v>
      </c>
      <c r="N3566" t="s">
        <v>27252</v>
      </c>
      <c r="Q3566" s="1">
        <v>44538</v>
      </c>
      <c r="R3566" t="s">
        <v>27253</v>
      </c>
      <c r="S3566" t="s">
        <v>27254</v>
      </c>
      <c r="T3566" t="s">
        <v>27255</v>
      </c>
    </row>
    <row r="3567" spans="1:20" x14ac:dyDescent="0.3">
      <c r="A3567" t="str">
        <f>"0611833732025"</f>
        <v>0611833732025</v>
      </c>
      <c r="B3567" t="str">
        <f>"MC3712"</f>
        <v>MC3712</v>
      </c>
      <c r="C3567" t="s">
        <v>34152</v>
      </c>
      <c r="D3567" t="s">
        <v>27267</v>
      </c>
      <c r="E3567" t="str">
        <f t="shared" si="55"/>
        <v>001390</v>
      </c>
      <c r="F3567" t="s">
        <v>27246</v>
      </c>
      <c r="G3567" t="s">
        <v>27247</v>
      </c>
      <c r="H3567" t="s">
        <v>27248</v>
      </c>
      <c r="I3567" t="s">
        <v>34153</v>
      </c>
      <c r="J3567" t="s">
        <v>7129</v>
      </c>
      <c r="L3567" t="s">
        <v>27250</v>
      </c>
      <c r="M3567" t="s">
        <v>27251</v>
      </c>
      <c r="N3567" t="s">
        <v>27252</v>
      </c>
      <c r="Q3567" s="1">
        <v>44538</v>
      </c>
      <c r="R3567" t="s">
        <v>27253</v>
      </c>
      <c r="S3567" t="s">
        <v>27254</v>
      </c>
      <c r="T3567" t="s">
        <v>27269</v>
      </c>
    </row>
    <row r="3568" spans="1:20" x14ac:dyDescent="0.3">
      <c r="A3568" t="str">
        <f>"0611861699050"</f>
        <v>0611861699050</v>
      </c>
      <c r="B3568" t="str">
        <f>"CR4247"</f>
        <v>CR4247</v>
      </c>
      <c r="C3568" t="s">
        <v>34154</v>
      </c>
      <c r="D3568" t="s">
        <v>27286</v>
      </c>
      <c r="E3568" t="str">
        <f t="shared" si="55"/>
        <v>001390</v>
      </c>
      <c r="F3568" t="s">
        <v>27246</v>
      </c>
      <c r="G3568" t="s">
        <v>27247</v>
      </c>
      <c r="H3568" t="s">
        <v>27248</v>
      </c>
      <c r="I3568" t="s">
        <v>34155</v>
      </c>
      <c r="J3568" t="s">
        <v>7161</v>
      </c>
      <c r="L3568" t="s">
        <v>27250</v>
      </c>
      <c r="M3568" t="s">
        <v>27251</v>
      </c>
      <c r="N3568" t="s">
        <v>27252</v>
      </c>
      <c r="Q3568" s="1">
        <v>44846</v>
      </c>
      <c r="R3568" t="s">
        <v>27253</v>
      </c>
      <c r="S3568" t="s">
        <v>27254</v>
      </c>
      <c r="T3568" t="s">
        <v>27265</v>
      </c>
    </row>
    <row r="3569" spans="1:20" x14ac:dyDescent="0.3">
      <c r="A3569" t="str">
        <f>"0611884167025"</f>
        <v>0611884167025</v>
      </c>
      <c r="B3569" t="str">
        <f>"MQ7063"</f>
        <v>MQ7063</v>
      </c>
      <c r="C3569" t="s">
        <v>34156</v>
      </c>
      <c r="D3569" t="s">
        <v>27267</v>
      </c>
      <c r="E3569" t="str">
        <f t="shared" si="55"/>
        <v>001390</v>
      </c>
      <c r="F3569" t="s">
        <v>27246</v>
      </c>
      <c r="G3569" t="s">
        <v>27247</v>
      </c>
      <c r="H3569" t="s">
        <v>27248</v>
      </c>
      <c r="I3569" t="s">
        <v>34157</v>
      </c>
      <c r="J3569" t="s">
        <v>7131</v>
      </c>
      <c r="L3569" t="s">
        <v>27430</v>
      </c>
      <c r="M3569" t="s">
        <v>27251</v>
      </c>
      <c r="N3569" t="s">
        <v>27252</v>
      </c>
      <c r="Q3569" s="1">
        <v>45250</v>
      </c>
      <c r="R3569" t="s">
        <v>27253</v>
      </c>
      <c r="S3569" t="s">
        <v>27254</v>
      </c>
      <c r="T3569" t="s">
        <v>27269</v>
      </c>
    </row>
    <row r="3570" spans="1:20" x14ac:dyDescent="0.3">
      <c r="A3570" t="str">
        <f>"0611861691100"</f>
        <v>0611861691100</v>
      </c>
      <c r="B3570" t="str">
        <f>"CN5065"</f>
        <v>CN5065</v>
      </c>
      <c r="C3570" t="s">
        <v>34158</v>
      </c>
      <c r="D3570" t="s">
        <v>27335</v>
      </c>
      <c r="E3570" t="str">
        <f t="shared" si="55"/>
        <v>001390</v>
      </c>
      <c r="F3570" t="s">
        <v>27246</v>
      </c>
      <c r="G3570" t="s">
        <v>27247</v>
      </c>
      <c r="H3570" t="s">
        <v>27248</v>
      </c>
      <c r="I3570" t="s">
        <v>34159</v>
      </c>
      <c r="J3570" t="s">
        <v>7133</v>
      </c>
      <c r="L3570" t="s">
        <v>27250</v>
      </c>
      <c r="M3570" t="s">
        <v>27251</v>
      </c>
      <c r="N3570" t="s">
        <v>27252</v>
      </c>
      <c r="Q3570" s="1">
        <v>44846</v>
      </c>
      <c r="R3570" t="s">
        <v>27253</v>
      </c>
      <c r="S3570" t="s">
        <v>27254</v>
      </c>
      <c r="T3570" t="s">
        <v>27255</v>
      </c>
    </row>
    <row r="3571" spans="1:20" x14ac:dyDescent="0.3">
      <c r="A3571" t="str">
        <f>"0611861692100"</f>
        <v>0611861692100</v>
      </c>
      <c r="B3571" t="str">
        <f>"CN5066"</f>
        <v>CN5066</v>
      </c>
      <c r="C3571" t="s">
        <v>34160</v>
      </c>
      <c r="D3571" t="s">
        <v>27335</v>
      </c>
      <c r="E3571" t="str">
        <f t="shared" si="55"/>
        <v>001390</v>
      </c>
      <c r="F3571" t="s">
        <v>27246</v>
      </c>
      <c r="G3571" t="s">
        <v>27247</v>
      </c>
      <c r="H3571" t="s">
        <v>27248</v>
      </c>
      <c r="I3571" t="s">
        <v>34161</v>
      </c>
      <c r="J3571" t="s">
        <v>7135</v>
      </c>
      <c r="L3571" t="s">
        <v>27250</v>
      </c>
      <c r="M3571" t="s">
        <v>27251</v>
      </c>
      <c r="N3571" t="s">
        <v>27252</v>
      </c>
      <c r="Q3571" s="1">
        <v>44846</v>
      </c>
      <c r="R3571" t="s">
        <v>27253</v>
      </c>
      <c r="S3571" t="s">
        <v>27254</v>
      </c>
      <c r="T3571" t="s">
        <v>27255</v>
      </c>
    </row>
    <row r="3572" spans="1:20" x14ac:dyDescent="0.3">
      <c r="A3572" t="str">
        <f>"0611884168025"</f>
        <v>0611884168025</v>
      </c>
      <c r="B3572" t="str">
        <f>"MQ7064"</f>
        <v>MQ7064</v>
      </c>
      <c r="C3572" t="s">
        <v>34160</v>
      </c>
      <c r="D3572" t="s">
        <v>27267</v>
      </c>
      <c r="E3572" t="str">
        <f t="shared" si="55"/>
        <v>001390</v>
      </c>
      <c r="F3572" t="s">
        <v>27246</v>
      </c>
      <c r="G3572" t="s">
        <v>27247</v>
      </c>
      <c r="H3572" t="s">
        <v>27248</v>
      </c>
      <c r="I3572" t="s">
        <v>34162</v>
      </c>
      <c r="J3572" t="s">
        <v>7137</v>
      </c>
      <c r="L3572" t="s">
        <v>27430</v>
      </c>
      <c r="M3572" t="s">
        <v>27251</v>
      </c>
      <c r="N3572" t="s">
        <v>27252</v>
      </c>
      <c r="Q3572" s="1">
        <v>45250</v>
      </c>
      <c r="R3572" t="s">
        <v>27253</v>
      </c>
      <c r="S3572" t="s">
        <v>27254</v>
      </c>
      <c r="T3572" t="s">
        <v>27269</v>
      </c>
    </row>
    <row r="3573" spans="1:20" x14ac:dyDescent="0.3">
      <c r="A3573" t="str">
        <f>"0611861693100"</f>
        <v>0611861693100</v>
      </c>
      <c r="B3573" t="str">
        <f>"CN5067"</f>
        <v>CN5067</v>
      </c>
      <c r="C3573" t="s">
        <v>34163</v>
      </c>
      <c r="D3573" t="s">
        <v>27335</v>
      </c>
      <c r="E3573" t="str">
        <f t="shared" si="55"/>
        <v>001390</v>
      </c>
      <c r="F3573" t="s">
        <v>27246</v>
      </c>
      <c r="G3573" t="s">
        <v>27247</v>
      </c>
      <c r="H3573" t="s">
        <v>27248</v>
      </c>
      <c r="I3573" t="s">
        <v>34164</v>
      </c>
      <c r="J3573" t="s">
        <v>7139</v>
      </c>
      <c r="L3573" t="s">
        <v>27250</v>
      </c>
      <c r="M3573" t="s">
        <v>27251</v>
      </c>
      <c r="N3573" t="s">
        <v>27252</v>
      </c>
      <c r="Q3573" s="1">
        <v>44846</v>
      </c>
      <c r="R3573" t="s">
        <v>27253</v>
      </c>
      <c r="S3573" t="s">
        <v>27254</v>
      </c>
      <c r="T3573" t="s">
        <v>27255</v>
      </c>
    </row>
    <row r="3574" spans="1:20" x14ac:dyDescent="0.3">
      <c r="A3574" t="str">
        <f>"0611861694050"</f>
        <v>0611861694050</v>
      </c>
      <c r="B3574" t="str">
        <f>"CR4243"</f>
        <v>CR4243</v>
      </c>
      <c r="C3574" t="s">
        <v>34163</v>
      </c>
      <c r="D3574" t="s">
        <v>27286</v>
      </c>
      <c r="E3574" t="str">
        <f t="shared" si="55"/>
        <v>001390</v>
      </c>
      <c r="F3574" t="s">
        <v>27246</v>
      </c>
      <c r="G3574" t="s">
        <v>27247</v>
      </c>
      <c r="H3574" t="s">
        <v>27248</v>
      </c>
      <c r="I3574" t="s">
        <v>34165</v>
      </c>
      <c r="J3574" t="s">
        <v>7143</v>
      </c>
      <c r="L3574" t="s">
        <v>27250</v>
      </c>
      <c r="M3574" t="s">
        <v>27251</v>
      </c>
      <c r="N3574" t="s">
        <v>27252</v>
      </c>
      <c r="Q3574" s="1">
        <v>44846</v>
      </c>
      <c r="R3574" t="s">
        <v>27253</v>
      </c>
      <c r="S3574" t="s">
        <v>27254</v>
      </c>
      <c r="T3574" t="s">
        <v>27265</v>
      </c>
    </row>
    <row r="3575" spans="1:20" x14ac:dyDescent="0.3">
      <c r="A3575" t="str">
        <f>"0611884169025"</f>
        <v>0611884169025</v>
      </c>
      <c r="B3575" t="str">
        <f>"MQ7065"</f>
        <v>MQ7065</v>
      </c>
      <c r="C3575" t="s">
        <v>34166</v>
      </c>
      <c r="D3575" t="s">
        <v>27267</v>
      </c>
      <c r="E3575" t="str">
        <f t="shared" si="55"/>
        <v>001390</v>
      </c>
      <c r="F3575" t="s">
        <v>27246</v>
      </c>
      <c r="G3575" t="s">
        <v>27247</v>
      </c>
      <c r="H3575" t="s">
        <v>27248</v>
      </c>
      <c r="I3575" t="s">
        <v>34167</v>
      </c>
      <c r="J3575" t="s">
        <v>7141</v>
      </c>
      <c r="L3575" t="s">
        <v>27430</v>
      </c>
      <c r="M3575" t="s">
        <v>27251</v>
      </c>
      <c r="N3575" t="s">
        <v>27252</v>
      </c>
      <c r="Q3575" s="1">
        <v>45250</v>
      </c>
      <c r="R3575" t="s">
        <v>27253</v>
      </c>
      <c r="S3575" t="s">
        <v>27254</v>
      </c>
      <c r="T3575" t="s">
        <v>27269</v>
      </c>
    </row>
    <row r="3576" spans="1:20" x14ac:dyDescent="0.3">
      <c r="A3576" t="str">
        <f>"0611861695100"</f>
        <v>0611861695100</v>
      </c>
      <c r="B3576" t="str">
        <f>"CN5068"</f>
        <v>CN5068</v>
      </c>
      <c r="C3576" t="s">
        <v>34168</v>
      </c>
      <c r="D3576" t="s">
        <v>27335</v>
      </c>
      <c r="E3576" t="str">
        <f t="shared" si="55"/>
        <v>001390</v>
      </c>
      <c r="F3576" t="s">
        <v>27246</v>
      </c>
      <c r="G3576" t="s">
        <v>27247</v>
      </c>
      <c r="H3576" t="s">
        <v>27248</v>
      </c>
      <c r="I3576" t="s">
        <v>34169</v>
      </c>
      <c r="J3576" t="s">
        <v>7145</v>
      </c>
      <c r="L3576" t="s">
        <v>27250</v>
      </c>
      <c r="M3576" t="s">
        <v>27251</v>
      </c>
      <c r="N3576" t="s">
        <v>27252</v>
      </c>
      <c r="Q3576" s="1">
        <v>44846</v>
      </c>
      <c r="R3576" t="s">
        <v>27253</v>
      </c>
      <c r="S3576" t="s">
        <v>27254</v>
      </c>
      <c r="T3576" t="s">
        <v>27255</v>
      </c>
    </row>
    <row r="3577" spans="1:20" x14ac:dyDescent="0.3">
      <c r="A3577" t="str">
        <f>"0611884170025"</f>
        <v>0611884170025</v>
      </c>
      <c r="B3577" t="str">
        <f>"MQ7066"</f>
        <v>MQ7066</v>
      </c>
      <c r="C3577" t="s">
        <v>34168</v>
      </c>
      <c r="D3577" t="s">
        <v>27267</v>
      </c>
      <c r="E3577" t="str">
        <f t="shared" si="55"/>
        <v>001390</v>
      </c>
      <c r="F3577" t="s">
        <v>27246</v>
      </c>
      <c r="G3577" t="s">
        <v>27247</v>
      </c>
      <c r="H3577" t="s">
        <v>27248</v>
      </c>
      <c r="I3577" t="s">
        <v>34170</v>
      </c>
      <c r="J3577" t="s">
        <v>7147</v>
      </c>
      <c r="L3577" t="s">
        <v>27430</v>
      </c>
      <c r="M3577" t="s">
        <v>27251</v>
      </c>
      <c r="N3577" t="s">
        <v>27252</v>
      </c>
      <c r="Q3577" s="1">
        <v>45250</v>
      </c>
      <c r="R3577" t="s">
        <v>27253</v>
      </c>
      <c r="S3577" t="s">
        <v>27254</v>
      </c>
      <c r="T3577" t="s">
        <v>27269</v>
      </c>
    </row>
    <row r="3578" spans="1:20" x14ac:dyDescent="0.3">
      <c r="A3578" t="str">
        <f>"0611861696100"</f>
        <v>0611861696100</v>
      </c>
      <c r="B3578" t="str">
        <f>"CN5069"</f>
        <v>CN5069</v>
      </c>
      <c r="C3578" t="s">
        <v>34171</v>
      </c>
      <c r="D3578" t="s">
        <v>27335</v>
      </c>
      <c r="E3578" t="str">
        <f t="shared" si="55"/>
        <v>001390</v>
      </c>
      <c r="F3578" t="s">
        <v>27246</v>
      </c>
      <c r="G3578" t="s">
        <v>27247</v>
      </c>
      <c r="H3578" t="s">
        <v>27248</v>
      </c>
      <c r="I3578" t="s">
        <v>34172</v>
      </c>
      <c r="J3578" t="s">
        <v>7149</v>
      </c>
      <c r="L3578" t="s">
        <v>27250</v>
      </c>
      <c r="M3578" t="s">
        <v>27251</v>
      </c>
      <c r="N3578" t="s">
        <v>27252</v>
      </c>
      <c r="Q3578" s="1">
        <v>44846</v>
      </c>
      <c r="R3578" t="s">
        <v>27253</v>
      </c>
      <c r="S3578" t="s">
        <v>27254</v>
      </c>
      <c r="T3578" t="s">
        <v>27255</v>
      </c>
    </row>
    <row r="3579" spans="1:20" x14ac:dyDescent="0.3">
      <c r="A3579" t="str">
        <f>"0611884171025"</f>
        <v>0611884171025</v>
      </c>
      <c r="B3579" t="str">
        <f>"MQ7067"</f>
        <v>MQ7067</v>
      </c>
      <c r="C3579" t="s">
        <v>34171</v>
      </c>
      <c r="D3579" t="s">
        <v>27267</v>
      </c>
      <c r="E3579" t="str">
        <f t="shared" si="55"/>
        <v>001390</v>
      </c>
      <c r="F3579" t="s">
        <v>27246</v>
      </c>
      <c r="G3579" t="s">
        <v>27247</v>
      </c>
      <c r="H3579" t="s">
        <v>27248</v>
      </c>
      <c r="I3579" t="s">
        <v>34173</v>
      </c>
      <c r="J3579" t="s">
        <v>7151</v>
      </c>
      <c r="L3579" t="s">
        <v>27430</v>
      </c>
      <c r="M3579" t="s">
        <v>27251</v>
      </c>
      <c r="N3579" t="s">
        <v>27252</v>
      </c>
      <c r="Q3579" s="1">
        <v>45250</v>
      </c>
      <c r="R3579" t="s">
        <v>27253</v>
      </c>
      <c r="S3579" t="s">
        <v>27254</v>
      </c>
      <c r="T3579" t="s">
        <v>27269</v>
      </c>
    </row>
    <row r="3580" spans="1:20" x14ac:dyDescent="0.3">
      <c r="A3580" t="str">
        <f>"0611861697100"</f>
        <v>0611861697100</v>
      </c>
      <c r="B3580" t="str">
        <f>"CN5070"</f>
        <v>CN5070</v>
      </c>
      <c r="C3580" t="s">
        <v>34174</v>
      </c>
      <c r="D3580" t="s">
        <v>27335</v>
      </c>
      <c r="E3580" t="str">
        <f t="shared" si="55"/>
        <v>001390</v>
      </c>
      <c r="F3580" t="s">
        <v>27246</v>
      </c>
      <c r="G3580" t="s">
        <v>27247</v>
      </c>
      <c r="H3580" t="s">
        <v>27248</v>
      </c>
      <c r="I3580" t="s">
        <v>34175</v>
      </c>
      <c r="J3580" t="s">
        <v>7153</v>
      </c>
      <c r="L3580" t="s">
        <v>27250</v>
      </c>
      <c r="M3580" t="s">
        <v>27251</v>
      </c>
      <c r="N3580" t="s">
        <v>27252</v>
      </c>
      <c r="Q3580" s="1">
        <v>44846</v>
      </c>
      <c r="R3580" t="s">
        <v>27253</v>
      </c>
      <c r="S3580" t="s">
        <v>27254</v>
      </c>
      <c r="T3580" t="s">
        <v>27255</v>
      </c>
    </row>
    <row r="3581" spans="1:20" x14ac:dyDescent="0.3">
      <c r="A3581" t="str">
        <f>"0611884172025"</f>
        <v>0611884172025</v>
      </c>
      <c r="B3581" t="str">
        <f>"MQ7068"</f>
        <v>MQ7068</v>
      </c>
      <c r="C3581" t="s">
        <v>34174</v>
      </c>
      <c r="D3581" t="s">
        <v>27267</v>
      </c>
      <c r="E3581" t="str">
        <f t="shared" si="55"/>
        <v>001390</v>
      </c>
      <c r="F3581" t="s">
        <v>27246</v>
      </c>
      <c r="G3581" t="s">
        <v>27247</v>
      </c>
      <c r="H3581" t="s">
        <v>27248</v>
      </c>
      <c r="I3581" t="s">
        <v>34176</v>
      </c>
      <c r="J3581" t="s">
        <v>7155</v>
      </c>
      <c r="L3581" t="s">
        <v>27430</v>
      </c>
      <c r="M3581" t="s">
        <v>27251</v>
      </c>
      <c r="N3581" t="s">
        <v>27252</v>
      </c>
      <c r="Q3581" s="1">
        <v>45250</v>
      </c>
      <c r="R3581" t="s">
        <v>27253</v>
      </c>
      <c r="S3581" t="s">
        <v>27254</v>
      </c>
      <c r="T3581" t="s">
        <v>27269</v>
      </c>
    </row>
    <row r="3582" spans="1:20" x14ac:dyDescent="0.3">
      <c r="A3582" t="str">
        <f>"0611861698100"</f>
        <v>0611861698100</v>
      </c>
      <c r="B3582" t="str">
        <f>"CN5071"</f>
        <v>CN5071</v>
      </c>
      <c r="C3582" t="s">
        <v>34177</v>
      </c>
      <c r="D3582" t="s">
        <v>27335</v>
      </c>
      <c r="E3582" t="str">
        <f t="shared" si="55"/>
        <v>001390</v>
      </c>
      <c r="F3582" t="s">
        <v>27246</v>
      </c>
      <c r="G3582" t="s">
        <v>27247</v>
      </c>
      <c r="H3582" t="s">
        <v>27248</v>
      </c>
      <c r="I3582" t="s">
        <v>34178</v>
      </c>
      <c r="J3582" t="s">
        <v>7157</v>
      </c>
      <c r="L3582" t="s">
        <v>27250</v>
      </c>
      <c r="M3582" t="s">
        <v>27251</v>
      </c>
      <c r="N3582" t="s">
        <v>27252</v>
      </c>
      <c r="Q3582" s="1">
        <v>44846</v>
      </c>
      <c r="R3582" t="s">
        <v>27253</v>
      </c>
      <c r="S3582" t="s">
        <v>27254</v>
      </c>
      <c r="T3582" t="s">
        <v>27255</v>
      </c>
    </row>
    <row r="3583" spans="1:20" x14ac:dyDescent="0.3">
      <c r="A3583" t="str">
        <f>"0611884173025"</f>
        <v>0611884173025</v>
      </c>
      <c r="B3583" t="str">
        <f>"MQ7069"</f>
        <v>MQ7069</v>
      </c>
      <c r="C3583" t="s">
        <v>34177</v>
      </c>
      <c r="D3583" t="s">
        <v>27267</v>
      </c>
      <c r="E3583" t="str">
        <f t="shared" si="55"/>
        <v>001390</v>
      </c>
      <c r="F3583" t="s">
        <v>27246</v>
      </c>
      <c r="G3583" t="s">
        <v>27247</v>
      </c>
      <c r="H3583" t="s">
        <v>27248</v>
      </c>
      <c r="I3583" t="s">
        <v>34179</v>
      </c>
      <c r="J3583" t="s">
        <v>7159</v>
      </c>
      <c r="L3583" t="s">
        <v>27430</v>
      </c>
      <c r="M3583" t="s">
        <v>27251</v>
      </c>
      <c r="N3583" t="s">
        <v>27252</v>
      </c>
      <c r="Q3583" s="1">
        <v>45250</v>
      </c>
      <c r="R3583" t="s">
        <v>27253</v>
      </c>
      <c r="S3583" t="s">
        <v>27254</v>
      </c>
      <c r="T3583" t="s">
        <v>27269</v>
      </c>
    </row>
    <row r="3584" spans="1:20" x14ac:dyDescent="0.3">
      <c r="A3584" t="str">
        <f>"0611861700100"</f>
        <v>0611861700100</v>
      </c>
      <c r="B3584" t="str">
        <f>"CN5072"</f>
        <v>CN5072</v>
      </c>
      <c r="C3584" t="s">
        <v>34180</v>
      </c>
      <c r="D3584" t="s">
        <v>27335</v>
      </c>
      <c r="E3584" t="str">
        <f t="shared" si="55"/>
        <v>001390</v>
      </c>
      <c r="F3584" t="s">
        <v>27246</v>
      </c>
      <c r="G3584" t="s">
        <v>27247</v>
      </c>
      <c r="H3584" t="s">
        <v>27248</v>
      </c>
      <c r="I3584" t="s">
        <v>34181</v>
      </c>
      <c r="J3584" t="s">
        <v>7163</v>
      </c>
      <c r="L3584" t="s">
        <v>27250</v>
      </c>
      <c r="M3584" t="s">
        <v>27251</v>
      </c>
      <c r="N3584" t="s">
        <v>27252</v>
      </c>
      <c r="Q3584" s="1">
        <v>44846</v>
      </c>
      <c r="R3584" t="s">
        <v>27253</v>
      </c>
      <c r="S3584" t="s">
        <v>27254</v>
      </c>
      <c r="T3584" t="s">
        <v>27255</v>
      </c>
    </row>
    <row r="3585" spans="1:20" x14ac:dyDescent="0.3">
      <c r="A3585" t="str">
        <f>"0611884174025"</f>
        <v>0611884174025</v>
      </c>
      <c r="B3585" t="str">
        <f>"MQ7070"</f>
        <v>MQ7070</v>
      </c>
      <c r="C3585" t="s">
        <v>34180</v>
      </c>
      <c r="D3585" t="s">
        <v>27267</v>
      </c>
      <c r="E3585" t="str">
        <f t="shared" si="55"/>
        <v>001390</v>
      </c>
      <c r="F3585" t="s">
        <v>27246</v>
      </c>
      <c r="G3585" t="s">
        <v>27247</v>
      </c>
      <c r="H3585" t="s">
        <v>27248</v>
      </c>
      <c r="I3585" t="s">
        <v>34182</v>
      </c>
      <c r="J3585" t="s">
        <v>7165</v>
      </c>
      <c r="L3585" t="s">
        <v>27430</v>
      </c>
      <c r="M3585" t="s">
        <v>27251</v>
      </c>
      <c r="N3585" t="s">
        <v>27252</v>
      </c>
      <c r="Q3585" s="1">
        <v>45250</v>
      </c>
      <c r="R3585" t="s">
        <v>27253</v>
      </c>
      <c r="S3585" t="s">
        <v>27254</v>
      </c>
      <c r="T3585" t="s">
        <v>27269</v>
      </c>
    </row>
    <row r="3586" spans="1:20" x14ac:dyDescent="0.3">
      <c r="A3586" t="str">
        <f>"0611861701050"</f>
        <v>0611861701050</v>
      </c>
      <c r="B3586" t="str">
        <f>"CR4248"</f>
        <v>CR4248</v>
      </c>
      <c r="C3586" t="s">
        <v>34183</v>
      </c>
      <c r="D3586" t="s">
        <v>27286</v>
      </c>
      <c r="E3586" t="str">
        <f t="shared" ref="E3586:E3649" si="56">"001390"</f>
        <v>001390</v>
      </c>
      <c r="F3586" t="s">
        <v>27246</v>
      </c>
      <c r="G3586" t="s">
        <v>27247</v>
      </c>
      <c r="H3586" t="s">
        <v>27248</v>
      </c>
      <c r="I3586" t="s">
        <v>34184</v>
      </c>
      <c r="J3586" t="s">
        <v>7167</v>
      </c>
      <c r="L3586" t="s">
        <v>27250</v>
      </c>
      <c r="M3586" t="s">
        <v>27251</v>
      </c>
      <c r="N3586" t="s">
        <v>27252</v>
      </c>
      <c r="Q3586" s="1">
        <v>44846</v>
      </c>
      <c r="R3586" t="s">
        <v>27253</v>
      </c>
      <c r="S3586" t="s">
        <v>27254</v>
      </c>
      <c r="T3586" t="s">
        <v>27265</v>
      </c>
    </row>
    <row r="3587" spans="1:20" x14ac:dyDescent="0.3">
      <c r="A3587" t="str">
        <f>"0611884175100"</f>
        <v>0611884175100</v>
      </c>
      <c r="B3587" t="str">
        <f>"LH0024"</f>
        <v>LH0024</v>
      </c>
      <c r="C3587" t="s">
        <v>34185</v>
      </c>
      <c r="D3587" t="s">
        <v>27245</v>
      </c>
      <c r="E3587" t="str">
        <f t="shared" si="56"/>
        <v>001390</v>
      </c>
      <c r="F3587" t="s">
        <v>27246</v>
      </c>
      <c r="G3587" t="s">
        <v>27247</v>
      </c>
      <c r="H3587" t="s">
        <v>27248</v>
      </c>
      <c r="I3587" t="s">
        <v>34186</v>
      </c>
      <c r="J3587" t="s">
        <v>7169</v>
      </c>
      <c r="L3587" t="s">
        <v>27430</v>
      </c>
      <c r="M3587" t="s">
        <v>27251</v>
      </c>
      <c r="N3587" t="s">
        <v>27252</v>
      </c>
      <c r="Q3587" s="1">
        <v>45250</v>
      </c>
      <c r="R3587" t="s">
        <v>27253</v>
      </c>
      <c r="S3587" t="s">
        <v>27254</v>
      </c>
      <c r="T3587" t="s">
        <v>27255</v>
      </c>
    </row>
    <row r="3588" spans="1:20" x14ac:dyDescent="0.3">
      <c r="A3588" t="str">
        <f>"0611861702100"</f>
        <v>0611861702100</v>
      </c>
      <c r="B3588" t="str">
        <f>"CN5073"</f>
        <v>CN5073</v>
      </c>
      <c r="C3588" t="s">
        <v>34187</v>
      </c>
      <c r="D3588" t="s">
        <v>27335</v>
      </c>
      <c r="E3588" t="str">
        <f t="shared" si="56"/>
        <v>001390</v>
      </c>
      <c r="F3588" t="s">
        <v>27246</v>
      </c>
      <c r="G3588" t="s">
        <v>27247</v>
      </c>
      <c r="H3588" t="s">
        <v>27248</v>
      </c>
      <c r="I3588" t="s">
        <v>34188</v>
      </c>
      <c r="J3588" t="s">
        <v>7171</v>
      </c>
      <c r="L3588" t="s">
        <v>27250</v>
      </c>
      <c r="M3588" t="s">
        <v>27251</v>
      </c>
      <c r="N3588" t="s">
        <v>27252</v>
      </c>
      <c r="Q3588" s="1">
        <v>44846</v>
      </c>
      <c r="R3588" t="s">
        <v>27253</v>
      </c>
      <c r="S3588" t="s">
        <v>27254</v>
      </c>
      <c r="T3588" t="s">
        <v>27255</v>
      </c>
    </row>
    <row r="3589" spans="1:20" x14ac:dyDescent="0.3">
      <c r="A3589" t="str">
        <f>"0611884176025"</f>
        <v>0611884176025</v>
      </c>
      <c r="B3589" t="str">
        <f>"MQ7071"</f>
        <v>MQ7071</v>
      </c>
      <c r="C3589" t="s">
        <v>34187</v>
      </c>
      <c r="D3589" t="s">
        <v>27267</v>
      </c>
      <c r="E3589" t="str">
        <f t="shared" si="56"/>
        <v>001390</v>
      </c>
      <c r="F3589" t="s">
        <v>27246</v>
      </c>
      <c r="G3589" t="s">
        <v>27247</v>
      </c>
      <c r="H3589" t="s">
        <v>27248</v>
      </c>
      <c r="I3589" t="s">
        <v>34189</v>
      </c>
      <c r="J3589" t="s">
        <v>7173</v>
      </c>
      <c r="L3589" t="s">
        <v>27430</v>
      </c>
      <c r="M3589" t="s">
        <v>27251</v>
      </c>
      <c r="N3589" t="s">
        <v>27252</v>
      </c>
      <c r="Q3589" s="1">
        <v>45250</v>
      </c>
      <c r="R3589" t="s">
        <v>27253</v>
      </c>
      <c r="S3589" t="s">
        <v>27254</v>
      </c>
      <c r="T3589" t="s">
        <v>27269</v>
      </c>
    </row>
    <row r="3590" spans="1:20" x14ac:dyDescent="0.3">
      <c r="A3590" t="str">
        <f>"0611856882025"</f>
        <v>0611856882025</v>
      </c>
      <c r="B3590" t="str">
        <f>"MQ0766"</f>
        <v>MQ0766</v>
      </c>
      <c r="C3590" t="s">
        <v>34190</v>
      </c>
      <c r="D3590" t="s">
        <v>27267</v>
      </c>
      <c r="E3590" t="str">
        <f t="shared" si="56"/>
        <v>001390</v>
      </c>
      <c r="F3590" t="s">
        <v>27246</v>
      </c>
      <c r="G3590" t="s">
        <v>27247</v>
      </c>
      <c r="H3590" t="s">
        <v>27248</v>
      </c>
      <c r="I3590" t="s">
        <v>34191</v>
      </c>
      <c r="J3590" t="s">
        <v>7175</v>
      </c>
      <c r="L3590" t="s">
        <v>27250</v>
      </c>
      <c r="M3590" t="s">
        <v>27251</v>
      </c>
      <c r="N3590" t="s">
        <v>27252</v>
      </c>
      <c r="Q3590" s="1">
        <v>44812</v>
      </c>
      <c r="R3590" t="s">
        <v>27253</v>
      </c>
      <c r="S3590" t="s">
        <v>27254</v>
      </c>
      <c r="T3590" t="s">
        <v>27269</v>
      </c>
    </row>
    <row r="3591" spans="1:20" x14ac:dyDescent="0.3">
      <c r="A3591" t="str">
        <f>"0611833733100"</f>
        <v>0611833733100</v>
      </c>
      <c r="B3591" t="str">
        <f>"LH3150"</f>
        <v>LH3150</v>
      </c>
      <c r="C3591" t="s">
        <v>34192</v>
      </c>
      <c r="D3591" t="s">
        <v>27245</v>
      </c>
      <c r="E3591" t="str">
        <f t="shared" si="56"/>
        <v>001390</v>
      </c>
      <c r="F3591" t="s">
        <v>27246</v>
      </c>
      <c r="G3591" t="s">
        <v>27247</v>
      </c>
      <c r="H3591" t="s">
        <v>27248</v>
      </c>
      <c r="I3591" t="s">
        <v>34193</v>
      </c>
      <c r="J3591" t="s">
        <v>7177</v>
      </c>
      <c r="L3591" t="s">
        <v>27250</v>
      </c>
      <c r="M3591" t="s">
        <v>27251</v>
      </c>
      <c r="N3591" t="s">
        <v>27252</v>
      </c>
      <c r="Q3591" s="1">
        <v>44538</v>
      </c>
      <c r="R3591" t="s">
        <v>27253</v>
      </c>
      <c r="S3591" t="s">
        <v>27254</v>
      </c>
      <c r="T3591" t="s">
        <v>27255</v>
      </c>
    </row>
    <row r="3592" spans="1:20" x14ac:dyDescent="0.3">
      <c r="A3592" t="str">
        <f>"0611833734025"</f>
        <v>0611833734025</v>
      </c>
      <c r="B3592" t="str">
        <f>"MC1608"</f>
        <v>MC1608</v>
      </c>
      <c r="C3592" t="s">
        <v>34192</v>
      </c>
      <c r="D3592" t="s">
        <v>27267</v>
      </c>
      <c r="E3592" t="str">
        <f t="shared" si="56"/>
        <v>001390</v>
      </c>
      <c r="F3592" t="s">
        <v>27246</v>
      </c>
      <c r="G3592" t="s">
        <v>27247</v>
      </c>
      <c r="H3592" t="s">
        <v>27248</v>
      </c>
      <c r="I3592" t="s">
        <v>34194</v>
      </c>
      <c r="J3592" t="s">
        <v>7179</v>
      </c>
      <c r="L3592" t="s">
        <v>27250</v>
      </c>
      <c r="M3592" t="s">
        <v>27251</v>
      </c>
      <c r="N3592" t="s">
        <v>27252</v>
      </c>
      <c r="Q3592" s="1">
        <v>44538</v>
      </c>
      <c r="R3592" t="s">
        <v>27253</v>
      </c>
      <c r="S3592" t="s">
        <v>27254</v>
      </c>
      <c r="T3592" t="s">
        <v>27269</v>
      </c>
    </row>
    <row r="3593" spans="1:20" x14ac:dyDescent="0.3">
      <c r="A3593" t="str">
        <f>"0611833735025"</f>
        <v>0611833735025</v>
      </c>
      <c r="B3593" t="str">
        <f>"MQ0698"</f>
        <v>MQ0698</v>
      </c>
      <c r="C3593" t="s">
        <v>34195</v>
      </c>
      <c r="D3593" t="s">
        <v>27267</v>
      </c>
      <c r="E3593" t="str">
        <f t="shared" si="56"/>
        <v>001390</v>
      </c>
      <c r="F3593" t="s">
        <v>27246</v>
      </c>
      <c r="G3593" t="s">
        <v>27247</v>
      </c>
      <c r="H3593" t="s">
        <v>27248</v>
      </c>
      <c r="I3593" t="s">
        <v>34196</v>
      </c>
      <c r="J3593" t="s">
        <v>7181</v>
      </c>
      <c r="L3593" t="s">
        <v>27250</v>
      </c>
      <c r="M3593" t="s">
        <v>27251</v>
      </c>
      <c r="N3593" t="s">
        <v>27252</v>
      </c>
      <c r="Q3593" s="1">
        <v>44538</v>
      </c>
      <c r="R3593" t="s">
        <v>27253</v>
      </c>
      <c r="S3593" t="s">
        <v>27254</v>
      </c>
      <c r="T3593" t="s">
        <v>27269</v>
      </c>
    </row>
    <row r="3594" spans="1:20" x14ac:dyDescent="0.3">
      <c r="A3594" t="str">
        <f>"0611833736025"</f>
        <v>0611833736025</v>
      </c>
      <c r="B3594" t="str">
        <f>"MQ0699"</f>
        <v>MQ0699</v>
      </c>
      <c r="C3594" t="s">
        <v>34197</v>
      </c>
      <c r="D3594" t="s">
        <v>27267</v>
      </c>
      <c r="E3594" t="str">
        <f t="shared" si="56"/>
        <v>001390</v>
      </c>
      <c r="F3594" t="s">
        <v>27246</v>
      </c>
      <c r="G3594" t="s">
        <v>27247</v>
      </c>
      <c r="H3594" t="s">
        <v>27248</v>
      </c>
      <c r="I3594" t="s">
        <v>34198</v>
      </c>
      <c r="J3594" t="s">
        <v>7183</v>
      </c>
      <c r="L3594" t="s">
        <v>27250</v>
      </c>
      <c r="M3594" t="s">
        <v>27251</v>
      </c>
      <c r="N3594" t="s">
        <v>27252</v>
      </c>
      <c r="Q3594" s="1">
        <v>44538</v>
      </c>
      <c r="R3594" t="s">
        <v>27253</v>
      </c>
      <c r="S3594" t="s">
        <v>27254</v>
      </c>
      <c r="T3594" t="s">
        <v>27269</v>
      </c>
    </row>
    <row r="3595" spans="1:20" x14ac:dyDescent="0.3">
      <c r="A3595" t="str">
        <f>"0611833737025"</f>
        <v>0611833737025</v>
      </c>
      <c r="B3595" t="str">
        <f>"MQ0700"</f>
        <v>MQ0700</v>
      </c>
      <c r="C3595" t="s">
        <v>34199</v>
      </c>
      <c r="D3595" t="s">
        <v>27267</v>
      </c>
      <c r="E3595" t="str">
        <f t="shared" si="56"/>
        <v>001390</v>
      </c>
      <c r="F3595" t="s">
        <v>27246</v>
      </c>
      <c r="G3595" t="s">
        <v>27247</v>
      </c>
      <c r="H3595" t="s">
        <v>27248</v>
      </c>
      <c r="I3595" t="s">
        <v>34200</v>
      </c>
      <c r="J3595" t="s">
        <v>7185</v>
      </c>
      <c r="L3595" t="s">
        <v>27250</v>
      </c>
      <c r="M3595" t="s">
        <v>27251</v>
      </c>
      <c r="N3595" t="s">
        <v>27252</v>
      </c>
      <c r="Q3595" s="1">
        <v>44538</v>
      </c>
      <c r="R3595" t="s">
        <v>27253</v>
      </c>
      <c r="S3595" t="s">
        <v>27254</v>
      </c>
      <c r="T3595" t="s">
        <v>27269</v>
      </c>
    </row>
    <row r="3596" spans="1:20" x14ac:dyDescent="0.3">
      <c r="A3596" t="str">
        <f>"0611856883025"</f>
        <v>0611856883025</v>
      </c>
      <c r="B3596" t="str">
        <f>"MQ0767"</f>
        <v>MQ0767</v>
      </c>
      <c r="C3596" t="s">
        <v>34201</v>
      </c>
      <c r="D3596" t="s">
        <v>27267</v>
      </c>
      <c r="E3596" t="str">
        <f t="shared" si="56"/>
        <v>001390</v>
      </c>
      <c r="F3596" t="s">
        <v>27246</v>
      </c>
      <c r="G3596" t="s">
        <v>27247</v>
      </c>
      <c r="H3596" t="s">
        <v>27248</v>
      </c>
      <c r="I3596" t="s">
        <v>34202</v>
      </c>
      <c r="J3596" t="s">
        <v>7187</v>
      </c>
      <c r="L3596" t="s">
        <v>27250</v>
      </c>
      <c r="M3596" t="s">
        <v>27251</v>
      </c>
      <c r="N3596" t="s">
        <v>27252</v>
      </c>
      <c r="Q3596" s="1">
        <v>44812</v>
      </c>
      <c r="R3596" t="s">
        <v>27253</v>
      </c>
      <c r="S3596" t="s">
        <v>27254</v>
      </c>
      <c r="T3596" t="s">
        <v>27269</v>
      </c>
    </row>
    <row r="3597" spans="1:20" x14ac:dyDescent="0.3">
      <c r="A3597" t="str">
        <f>"0611884177100"</f>
        <v>0611884177100</v>
      </c>
      <c r="B3597" t="str">
        <f>"LK7145"</f>
        <v>LK7145</v>
      </c>
      <c r="C3597" t="s">
        <v>34203</v>
      </c>
      <c r="D3597" t="s">
        <v>27245</v>
      </c>
      <c r="E3597" t="str">
        <f t="shared" si="56"/>
        <v>001390</v>
      </c>
      <c r="F3597" t="s">
        <v>27246</v>
      </c>
      <c r="G3597" t="s">
        <v>27247</v>
      </c>
      <c r="H3597" t="s">
        <v>27248</v>
      </c>
      <c r="I3597" t="s">
        <v>34204</v>
      </c>
      <c r="J3597" t="s">
        <v>7189</v>
      </c>
      <c r="L3597" t="s">
        <v>27430</v>
      </c>
      <c r="M3597" t="s">
        <v>27251</v>
      </c>
      <c r="N3597" t="s">
        <v>27252</v>
      </c>
      <c r="Q3597" s="1">
        <v>45250</v>
      </c>
      <c r="R3597" t="s">
        <v>27253</v>
      </c>
      <c r="S3597" t="s">
        <v>27254</v>
      </c>
      <c r="T3597" t="s">
        <v>27255</v>
      </c>
    </row>
    <row r="3598" spans="1:20" x14ac:dyDescent="0.3">
      <c r="A3598" t="str">
        <f>"0611861703100"</f>
        <v>0611861703100</v>
      </c>
      <c r="B3598" t="str">
        <f>"CN5075"</f>
        <v>CN5075</v>
      </c>
      <c r="C3598" t="s">
        <v>34205</v>
      </c>
      <c r="D3598" t="s">
        <v>27335</v>
      </c>
      <c r="E3598" t="str">
        <f t="shared" si="56"/>
        <v>001390</v>
      </c>
      <c r="F3598" t="s">
        <v>27246</v>
      </c>
      <c r="G3598" t="s">
        <v>27247</v>
      </c>
      <c r="H3598" t="s">
        <v>27248</v>
      </c>
      <c r="I3598" t="s">
        <v>34206</v>
      </c>
      <c r="J3598" t="s">
        <v>7191</v>
      </c>
      <c r="L3598" t="s">
        <v>27250</v>
      </c>
      <c r="M3598" t="s">
        <v>27251</v>
      </c>
      <c r="N3598" t="s">
        <v>27252</v>
      </c>
      <c r="Q3598" s="1">
        <v>44846</v>
      </c>
      <c r="R3598" t="s">
        <v>27253</v>
      </c>
      <c r="S3598" t="s">
        <v>27254</v>
      </c>
      <c r="T3598" t="s">
        <v>27255</v>
      </c>
    </row>
    <row r="3599" spans="1:20" x14ac:dyDescent="0.3">
      <c r="A3599" t="str">
        <f>"0611861704100"</f>
        <v>0611861704100</v>
      </c>
      <c r="B3599" t="str">
        <f>"CN5074"</f>
        <v>CN5074</v>
      </c>
      <c r="C3599" t="s">
        <v>34207</v>
      </c>
      <c r="D3599" t="s">
        <v>27335</v>
      </c>
      <c r="E3599" t="str">
        <f t="shared" si="56"/>
        <v>001390</v>
      </c>
      <c r="F3599" t="s">
        <v>27246</v>
      </c>
      <c r="G3599" t="s">
        <v>27247</v>
      </c>
      <c r="H3599" t="s">
        <v>27248</v>
      </c>
      <c r="I3599" t="s">
        <v>34208</v>
      </c>
      <c r="J3599" t="s">
        <v>7193</v>
      </c>
      <c r="L3599" t="s">
        <v>27250</v>
      </c>
      <c r="M3599" t="s">
        <v>27251</v>
      </c>
      <c r="N3599" t="s">
        <v>27252</v>
      </c>
      <c r="Q3599" s="1">
        <v>44846</v>
      </c>
      <c r="R3599" t="s">
        <v>27253</v>
      </c>
      <c r="S3599" t="s">
        <v>27254</v>
      </c>
      <c r="T3599" t="s">
        <v>27255</v>
      </c>
    </row>
    <row r="3600" spans="1:20" x14ac:dyDescent="0.3">
      <c r="A3600" t="str">
        <f>"0611861707100"</f>
        <v>0611861707100</v>
      </c>
      <c r="B3600" t="str">
        <f>"CN5076"</f>
        <v>CN5076</v>
      </c>
      <c r="C3600" t="s">
        <v>34209</v>
      </c>
      <c r="D3600" t="s">
        <v>27245</v>
      </c>
      <c r="E3600" t="str">
        <f t="shared" si="56"/>
        <v>001390</v>
      </c>
      <c r="F3600" t="s">
        <v>27246</v>
      </c>
      <c r="G3600" t="s">
        <v>27247</v>
      </c>
      <c r="H3600" t="s">
        <v>27248</v>
      </c>
      <c r="I3600" t="s">
        <v>34210</v>
      </c>
      <c r="J3600" t="s">
        <v>7195</v>
      </c>
      <c r="L3600" t="s">
        <v>27250</v>
      </c>
      <c r="M3600" t="s">
        <v>27251</v>
      </c>
      <c r="N3600" t="s">
        <v>27252</v>
      </c>
      <c r="Q3600" s="1">
        <v>44846</v>
      </c>
      <c r="R3600" t="s">
        <v>27253</v>
      </c>
      <c r="S3600" t="s">
        <v>27254</v>
      </c>
      <c r="T3600" t="s">
        <v>27255</v>
      </c>
    </row>
    <row r="3601" spans="1:20" x14ac:dyDescent="0.3">
      <c r="A3601" t="str">
        <f>"0611861708050"</f>
        <v>0611861708050</v>
      </c>
      <c r="B3601" t="str">
        <f>"CR4258"</f>
        <v>CR4258</v>
      </c>
      <c r="C3601" t="s">
        <v>34209</v>
      </c>
      <c r="D3601" t="s">
        <v>27286</v>
      </c>
      <c r="E3601" t="str">
        <f t="shared" si="56"/>
        <v>001390</v>
      </c>
      <c r="F3601" t="s">
        <v>27246</v>
      </c>
      <c r="G3601" t="s">
        <v>27247</v>
      </c>
      <c r="H3601" t="s">
        <v>27248</v>
      </c>
      <c r="I3601" t="s">
        <v>34211</v>
      </c>
      <c r="J3601" t="s">
        <v>7197</v>
      </c>
      <c r="L3601" t="s">
        <v>27250</v>
      </c>
      <c r="M3601" t="s">
        <v>27251</v>
      </c>
      <c r="N3601" t="s">
        <v>27252</v>
      </c>
      <c r="Q3601" s="1">
        <v>44846</v>
      </c>
      <c r="R3601" t="s">
        <v>27253</v>
      </c>
      <c r="S3601" t="s">
        <v>27254</v>
      </c>
      <c r="T3601" t="s">
        <v>27265</v>
      </c>
    </row>
    <row r="3602" spans="1:20" x14ac:dyDescent="0.3">
      <c r="A3602" t="str">
        <f>"0611861709100"</f>
        <v>0611861709100</v>
      </c>
      <c r="B3602" t="str">
        <f>"CN5077"</f>
        <v>CN5077</v>
      </c>
      <c r="C3602" t="s">
        <v>34212</v>
      </c>
      <c r="D3602" t="s">
        <v>27335</v>
      </c>
      <c r="E3602" t="str">
        <f t="shared" si="56"/>
        <v>001390</v>
      </c>
      <c r="F3602" t="s">
        <v>27246</v>
      </c>
      <c r="G3602" t="s">
        <v>27247</v>
      </c>
      <c r="H3602" t="s">
        <v>27248</v>
      </c>
      <c r="I3602" t="s">
        <v>34213</v>
      </c>
      <c r="J3602" t="s">
        <v>7199</v>
      </c>
      <c r="L3602" t="s">
        <v>27250</v>
      </c>
      <c r="M3602" t="s">
        <v>27251</v>
      </c>
      <c r="N3602" t="s">
        <v>27252</v>
      </c>
      <c r="Q3602" s="1">
        <v>44846</v>
      </c>
      <c r="R3602" t="s">
        <v>27253</v>
      </c>
      <c r="S3602" t="s">
        <v>27254</v>
      </c>
      <c r="T3602" t="s">
        <v>27255</v>
      </c>
    </row>
    <row r="3603" spans="1:20" x14ac:dyDescent="0.3">
      <c r="A3603" t="str">
        <f>"0611861711100"</f>
        <v>0611861711100</v>
      </c>
      <c r="B3603" t="str">
        <f>"CN5078"</f>
        <v>CN5078</v>
      </c>
      <c r="C3603" t="s">
        <v>34214</v>
      </c>
      <c r="D3603" t="s">
        <v>27245</v>
      </c>
      <c r="E3603" t="str">
        <f t="shared" si="56"/>
        <v>001390</v>
      </c>
      <c r="F3603" t="s">
        <v>27246</v>
      </c>
      <c r="G3603" t="s">
        <v>27247</v>
      </c>
      <c r="H3603" t="s">
        <v>27248</v>
      </c>
      <c r="I3603" t="s">
        <v>34215</v>
      </c>
      <c r="J3603" t="s">
        <v>7201</v>
      </c>
      <c r="L3603" t="s">
        <v>27250</v>
      </c>
      <c r="M3603" t="s">
        <v>27251</v>
      </c>
      <c r="N3603" t="s">
        <v>27252</v>
      </c>
      <c r="Q3603" s="1">
        <v>44846</v>
      </c>
      <c r="R3603" t="s">
        <v>27253</v>
      </c>
      <c r="S3603" t="s">
        <v>27254</v>
      </c>
      <c r="T3603" t="s">
        <v>27255</v>
      </c>
    </row>
    <row r="3604" spans="1:20" x14ac:dyDescent="0.3">
      <c r="A3604" t="str">
        <f>"0611861712050"</f>
        <v>0611861712050</v>
      </c>
      <c r="B3604" t="str">
        <f>"CR4260"</f>
        <v>CR4260</v>
      </c>
      <c r="C3604" t="s">
        <v>34214</v>
      </c>
      <c r="D3604" t="s">
        <v>27286</v>
      </c>
      <c r="E3604" t="str">
        <f t="shared" si="56"/>
        <v>001390</v>
      </c>
      <c r="F3604" t="s">
        <v>27246</v>
      </c>
      <c r="G3604" t="s">
        <v>27247</v>
      </c>
      <c r="H3604" t="s">
        <v>27248</v>
      </c>
      <c r="I3604" t="s">
        <v>34216</v>
      </c>
      <c r="J3604" t="s">
        <v>7203</v>
      </c>
      <c r="L3604" t="s">
        <v>27250</v>
      </c>
      <c r="M3604" t="s">
        <v>27251</v>
      </c>
      <c r="N3604" t="s">
        <v>27252</v>
      </c>
      <c r="Q3604" s="1">
        <v>44846</v>
      </c>
      <c r="R3604" t="s">
        <v>27253</v>
      </c>
      <c r="S3604" t="s">
        <v>27254</v>
      </c>
      <c r="T3604" t="s">
        <v>27265</v>
      </c>
    </row>
    <row r="3605" spans="1:20" x14ac:dyDescent="0.3">
      <c r="A3605" t="str">
        <f>"0611861713100"</f>
        <v>0611861713100</v>
      </c>
      <c r="B3605" t="str">
        <f>"CN5079"</f>
        <v>CN5079</v>
      </c>
      <c r="C3605" t="s">
        <v>34217</v>
      </c>
      <c r="D3605" t="s">
        <v>27335</v>
      </c>
      <c r="E3605" t="str">
        <f t="shared" si="56"/>
        <v>001390</v>
      </c>
      <c r="F3605" t="s">
        <v>27246</v>
      </c>
      <c r="G3605" t="s">
        <v>27247</v>
      </c>
      <c r="H3605" t="s">
        <v>27248</v>
      </c>
      <c r="I3605" t="s">
        <v>34218</v>
      </c>
      <c r="J3605" t="s">
        <v>7205</v>
      </c>
      <c r="L3605" t="s">
        <v>27250</v>
      </c>
      <c r="M3605" t="s">
        <v>27251</v>
      </c>
      <c r="N3605" t="s">
        <v>27252</v>
      </c>
      <c r="Q3605" s="1">
        <v>44846</v>
      </c>
      <c r="R3605" t="s">
        <v>27253</v>
      </c>
      <c r="S3605" t="s">
        <v>27254</v>
      </c>
      <c r="T3605" t="s">
        <v>27255</v>
      </c>
    </row>
    <row r="3606" spans="1:20" x14ac:dyDescent="0.3">
      <c r="A3606" t="str">
        <f>"0611861714100"</f>
        <v>0611861714100</v>
      </c>
      <c r="B3606" t="str">
        <f>"CN5080"</f>
        <v>CN5080</v>
      </c>
      <c r="C3606" t="s">
        <v>34219</v>
      </c>
      <c r="D3606" t="s">
        <v>27335</v>
      </c>
      <c r="E3606" t="str">
        <f t="shared" si="56"/>
        <v>001390</v>
      </c>
      <c r="F3606" t="s">
        <v>27246</v>
      </c>
      <c r="G3606" t="s">
        <v>27247</v>
      </c>
      <c r="H3606" t="s">
        <v>27248</v>
      </c>
      <c r="I3606" t="s">
        <v>34220</v>
      </c>
      <c r="J3606" t="s">
        <v>7207</v>
      </c>
      <c r="L3606" t="s">
        <v>27250</v>
      </c>
      <c r="M3606" t="s">
        <v>27251</v>
      </c>
      <c r="N3606" t="s">
        <v>27252</v>
      </c>
      <c r="Q3606" s="1">
        <v>44846</v>
      </c>
      <c r="R3606" t="s">
        <v>27253</v>
      </c>
      <c r="S3606" t="s">
        <v>27254</v>
      </c>
      <c r="T3606" t="s">
        <v>27255</v>
      </c>
    </row>
    <row r="3607" spans="1:20" x14ac:dyDescent="0.3">
      <c r="A3607" t="str">
        <f>"0611856884025"</f>
        <v>0611856884025</v>
      </c>
      <c r="B3607" t="str">
        <f>"MQ0768"</f>
        <v>MQ0768</v>
      </c>
      <c r="C3607" t="s">
        <v>34221</v>
      </c>
      <c r="D3607" t="s">
        <v>27267</v>
      </c>
      <c r="E3607" t="str">
        <f t="shared" si="56"/>
        <v>001390</v>
      </c>
      <c r="F3607" t="s">
        <v>27246</v>
      </c>
      <c r="G3607" t="s">
        <v>27247</v>
      </c>
      <c r="H3607" t="s">
        <v>27248</v>
      </c>
      <c r="I3607" t="s">
        <v>34222</v>
      </c>
      <c r="J3607" t="s">
        <v>7209</v>
      </c>
      <c r="L3607" t="s">
        <v>27250</v>
      </c>
      <c r="M3607" t="s">
        <v>27251</v>
      </c>
      <c r="N3607" t="s">
        <v>27252</v>
      </c>
      <c r="Q3607" s="1">
        <v>44812</v>
      </c>
      <c r="R3607" t="s">
        <v>27253</v>
      </c>
      <c r="S3607" t="s">
        <v>27254</v>
      </c>
      <c r="T3607" t="s">
        <v>27269</v>
      </c>
    </row>
    <row r="3608" spans="1:20" x14ac:dyDescent="0.3">
      <c r="A3608" t="str">
        <f>"0611856885025"</f>
        <v>0611856885025</v>
      </c>
      <c r="B3608" t="str">
        <f>"MQ0769"</f>
        <v>MQ0769</v>
      </c>
      <c r="C3608" t="s">
        <v>34223</v>
      </c>
      <c r="D3608" t="s">
        <v>27267</v>
      </c>
      <c r="E3608" t="str">
        <f t="shared" si="56"/>
        <v>001390</v>
      </c>
      <c r="F3608" t="s">
        <v>27246</v>
      </c>
      <c r="G3608" t="s">
        <v>27247</v>
      </c>
      <c r="H3608" t="s">
        <v>27248</v>
      </c>
      <c r="I3608" t="s">
        <v>34224</v>
      </c>
      <c r="J3608" t="s">
        <v>7211</v>
      </c>
      <c r="L3608" t="s">
        <v>27250</v>
      </c>
      <c r="M3608" t="s">
        <v>27251</v>
      </c>
      <c r="N3608" t="s">
        <v>27252</v>
      </c>
      <c r="Q3608" s="1">
        <v>44812</v>
      </c>
      <c r="R3608" t="s">
        <v>27253</v>
      </c>
      <c r="S3608" t="s">
        <v>27254</v>
      </c>
      <c r="T3608" t="s">
        <v>27269</v>
      </c>
    </row>
    <row r="3609" spans="1:20" x14ac:dyDescent="0.3">
      <c r="A3609" t="str">
        <f>"0611861715100"</f>
        <v>0611861715100</v>
      </c>
      <c r="B3609" t="str">
        <f>"CN5081"</f>
        <v>CN5081</v>
      </c>
      <c r="C3609" t="s">
        <v>34225</v>
      </c>
      <c r="D3609" t="s">
        <v>27335</v>
      </c>
      <c r="E3609" t="str">
        <f t="shared" si="56"/>
        <v>001390</v>
      </c>
      <c r="F3609" t="s">
        <v>27246</v>
      </c>
      <c r="G3609" t="s">
        <v>27247</v>
      </c>
      <c r="H3609" t="s">
        <v>27248</v>
      </c>
      <c r="I3609" t="s">
        <v>34226</v>
      </c>
      <c r="J3609" t="s">
        <v>7213</v>
      </c>
      <c r="L3609" t="s">
        <v>27250</v>
      </c>
      <c r="M3609" t="s">
        <v>27251</v>
      </c>
      <c r="N3609" t="s">
        <v>27252</v>
      </c>
      <c r="Q3609" s="1">
        <v>44846</v>
      </c>
      <c r="R3609" t="s">
        <v>27253</v>
      </c>
      <c r="S3609" t="s">
        <v>27254</v>
      </c>
      <c r="T3609" t="s">
        <v>27255</v>
      </c>
    </row>
    <row r="3610" spans="1:20" x14ac:dyDescent="0.3">
      <c r="A3610" t="str">
        <f>"0611861717100"</f>
        <v>0611861717100</v>
      </c>
      <c r="B3610" t="str">
        <f>"CN5082"</f>
        <v>CN5082</v>
      </c>
      <c r="C3610" t="s">
        <v>34227</v>
      </c>
      <c r="D3610" t="s">
        <v>27335</v>
      </c>
      <c r="E3610" t="str">
        <f t="shared" si="56"/>
        <v>001390</v>
      </c>
      <c r="F3610" t="s">
        <v>27246</v>
      </c>
      <c r="G3610" t="s">
        <v>27247</v>
      </c>
      <c r="H3610" t="s">
        <v>27248</v>
      </c>
      <c r="I3610" t="s">
        <v>34228</v>
      </c>
      <c r="J3610" t="s">
        <v>7215</v>
      </c>
      <c r="L3610" t="s">
        <v>27250</v>
      </c>
      <c r="M3610" t="s">
        <v>27251</v>
      </c>
      <c r="N3610" t="s">
        <v>27252</v>
      </c>
      <c r="Q3610" s="1">
        <v>44846</v>
      </c>
      <c r="R3610" t="s">
        <v>27253</v>
      </c>
      <c r="S3610" t="s">
        <v>27254</v>
      </c>
      <c r="T3610" t="s">
        <v>27255</v>
      </c>
    </row>
    <row r="3611" spans="1:20" x14ac:dyDescent="0.3">
      <c r="A3611" t="str">
        <f>"0611861719050"</f>
        <v>0611861719050</v>
      </c>
      <c r="B3611" t="str">
        <f>"CR4265"</f>
        <v>CR4265</v>
      </c>
      <c r="C3611" t="s">
        <v>34229</v>
      </c>
      <c r="D3611" t="s">
        <v>27263</v>
      </c>
      <c r="E3611" t="str">
        <f t="shared" si="56"/>
        <v>001390</v>
      </c>
      <c r="F3611" t="s">
        <v>27246</v>
      </c>
      <c r="G3611" t="s">
        <v>27247</v>
      </c>
      <c r="H3611" t="s">
        <v>27248</v>
      </c>
      <c r="I3611" t="s">
        <v>34230</v>
      </c>
      <c r="J3611" t="s">
        <v>7217</v>
      </c>
      <c r="L3611" t="s">
        <v>27250</v>
      </c>
      <c r="M3611" t="s">
        <v>27251</v>
      </c>
      <c r="N3611" t="s">
        <v>27252</v>
      </c>
      <c r="Q3611" s="1">
        <v>44846</v>
      </c>
      <c r="R3611" t="s">
        <v>27253</v>
      </c>
      <c r="S3611" t="s">
        <v>27254</v>
      </c>
      <c r="T3611" t="s">
        <v>27265</v>
      </c>
    </row>
    <row r="3612" spans="1:20" x14ac:dyDescent="0.3">
      <c r="A3612" t="str">
        <f>"0611861720100"</f>
        <v>0611861720100</v>
      </c>
      <c r="B3612" t="str">
        <f>"CN5083"</f>
        <v>CN5083</v>
      </c>
      <c r="C3612" t="s">
        <v>34231</v>
      </c>
      <c r="D3612" t="s">
        <v>27245</v>
      </c>
      <c r="E3612" t="str">
        <f t="shared" si="56"/>
        <v>001390</v>
      </c>
      <c r="F3612" t="s">
        <v>27246</v>
      </c>
      <c r="G3612" t="s">
        <v>27247</v>
      </c>
      <c r="H3612" t="s">
        <v>27248</v>
      </c>
      <c r="I3612" t="s">
        <v>34232</v>
      </c>
      <c r="J3612" t="s">
        <v>7219</v>
      </c>
      <c r="L3612" t="s">
        <v>27250</v>
      </c>
      <c r="M3612" t="s">
        <v>27251</v>
      </c>
      <c r="N3612" t="s">
        <v>27252</v>
      </c>
      <c r="Q3612" s="1">
        <v>44846</v>
      </c>
      <c r="R3612" t="s">
        <v>27253</v>
      </c>
      <c r="S3612" t="s">
        <v>27254</v>
      </c>
      <c r="T3612" t="s">
        <v>27255</v>
      </c>
    </row>
    <row r="3613" spans="1:20" x14ac:dyDescent="0.3">
      <c r="A3613" t="str">
        <f>"0611861721050"</f>
        <v>0611861721050</v>
      </c>
      <c r="B3613" t="str">
        <f>"CR4266"</f>
        <v>CR4266</v>
      </c>
      <c r="C3613" t="s">
        <v>34233</v>
      </c>
      <c r="D3613" t="s">
        <v>27286</v>
      </c>
      <c r="E3613" t="str">
        <f t="shared" si="56"/>
        <v>001390</v>
      </c>
      <c r="F3613" t="s">
        <v>27246</v>
      </c>
      <c r="G3613" t="s">
        <v>27247</v>
      </c>
      <c r="H3613" t="s">
        <v>27248</v>
      </c>
      <c r="I3613" t="s">
        <v>34234</v>
      </c>
      <c r="J3613" t="s">
        <v>7221</v>
      </c>
      <c r="L3613" t="s">
        <v>27250</v>
      </c>
      <c r="M3613" t="s">
        <v>27251</v>
      </c>
      <c r="N3613" t="s">
        <v>27252</v>
      </c>
      <c r="Q3613" s="1">
        <v>44846</v>
      </c>
      <c r="R3613" t="s">
        <v>27253</v>
      </c>
      <c r="S3613" t="s">
        <v>27254</v>
      </c>
      <c r="T3613" t="s">
        <v>27265</v>
      </c>
    </row>
    <row r="3614" spans="1:20" x14ac:dyDescent="0.3">
      <c r="A3614" t="str">
        <f>"0611861722100"</f>
        <v>0611861722100</v>
      </c>
      <c r="B3614" t="str">
        <f>"CN5084"</f>
        <v>CN5084</v>
      </c>
      <c r="C3614" t="s">
        <v>34235</v>
      </c>
      <c r="D3614" t="s">
        <v>27335</v>
      </c>
      <c r="E3614" t="str">
        <f t="shared" si="56"/>
        <v>001390</v>
      </c>
      <c r="F3614" t="s">
        <v>27246</v>
      </c>
      <c r="G3614" t="s">
        <v>27247</v>
      </c>
      <c r="H3614" t="s">
        <v>27248</v>
      </c>
      <c r="I3614" t="s">
        <v>34236</v>
      </c>
      <c r="J3614" t="s">
        <v>7223</v>
      </c>
      <c r="L3614" t="s">
        <v>27250</v>
      </c>
      <c r="M3614" t="s">
        <v>27251</v>
      </c>
      <c r="N3614" t="s">
        <v>27252</v>
      </c>
      <c r="Q3614" s="1">
        <v>44846</v>
      </c>
      <c r="R3614" t="s">
        <v>27253</v>
      </c>
      <c r="S3614" t="s">
        <v>27254</v>
      </c>
      <c r="T3614" t="s">
        <v>27255</v>
      </c>
    </row>
    <row r="3615" spans="1:20" x14ac:dyDescent="0.3">
      <c r="A3615" t="str">
        <f>"0611861723050"</f>
        <v>0611861723050</v>
      </c>
      <c r="B3615" t="str">
        <f>"CR4250"</f>
        <v>CR4250</v>
      </c>
      <c r="C3615" t="s">
        <v>34237</v>
      </c>
      <c r="D3615" t="s">
        <v>27286</v>
      </c>
      <c r="E3615" t="str">
        <f t="shared" si="56"/>
        <v>001390</v>
      </c>
      <c r="F3615" t="s">
        <v>27246</v>
      </c>
      <c r="G3615" t="s">
        <v>27247</v>
      </c>
      <c r="H3615" t="s">
        <v>27248</v>
      </c>
      <c r="I3615" t="s">
        <v>34238</v>
      </c>
      <c r="J3615" t="s">
        <v>7225</v>
      </c>
      <c r="L3615" t="s">
        <v>27250</v>
      </c>
      <c r="M3615" t="s">
        <v>27251</v>
      </c>
      <c r="N3615" t="s">
        <v>27252</v>
      </c>
      <c r="Q3615" s="1">
        <v>44846</v>
      </c>
      <c r="R3615" t="s">
        <v>27253</v>
      </c>
      <c r="S3615" t="s">
        <v>27254</v>
      </c>
      <c r="T3615" t="s">
        <v>27265</v>
      </c>
    </row>
    <row r="3616" spans="1:20" x14ac:dyDescent="0.3">
      <c r="A3616" t="str">
        <f>"0611856886025"</f>
        <v>0611856886025</v>
      </c>
      <c r="B3616" t="str">
        <f>"MQ7075"</f>
        <v>MQ7075</v>
      </c>
      <c r="C3616" t="s">
        <v>34239</v>
      </c>
      <c r="D3616" t="s">
        <v>27267</v>
      </c>
      <c r="E3616" t="str">
        <f t="shared" si="56"/>
        <v>001390</v>
      </c>
      <c r="F3616" t="s">
        <v>27246</v>
      </c>
      <c r="G3616" t="s">
        <v>27247</v>
      </c>
      <c r="H3616" t="s">
        <v>27248</v>
      </c>
      <c r="I3616" t="s">
        <v>34240</v>
      </c>
      <c r="J3616" t="s">
        <v>7227</v>
      </c>
      <c r="L3616" t="s">
        <v>27250</v>
      </c>
      <c r="M3616" t="s">
        <v>27251</v>
      </c>
      <c r="N3616" t="s">
        <v>27252</v>
      </c>
      <c r="Q3616" s="1">
        <v>44812</v>
      </c>
      <c r="R3616" t="s">
        <v>27253</v>
      </c>
      <c r="S3616" t="s">
        <v>27254</v>
      </c>
      <c r="T3616" t="s">
        <v>27269</v>
      </c>
    </row>
    <row r="3617" spans="1:20" x14ac:dyDescent="0.3">
      <c r="A3617" t="str">
        <f>"0611856887025"</f>
        <v>0611856887025</v>
      </c>
      <c r="B3617" t="str">
        <f>"MQ7076"</f>
        <v>MQ7076</v>
      </c>
      <c r="C3617" t="s">
        <v>34241</v>
      </c>
      <c r="D3617" t="s">
        <v>27267</v>
      </c>
      <c r="E3617" t="str">
        <f t="shared" si="56"/>
        <v>001390</v>
      </c>
      <c r="F3617" t="s">
        <v>27246</v>
      </c>
      <c r="G3617" t="s">
        <v>27247</v>
      </c>
      <c r="H3617" t="s">
        <v>27248</v>
      </c>
      <c r="I3617" t="s">
        <v>34242</v>
      </c>
      <c r="J3617" t="s">
        <v>7231</v>
      </c>
      <c r="L3617" t="s">
        <v>27250</v>
      </c>
      <c r="M3617" t="s">
        <v>27251</v>
      </c>
      <c r="N3617" t="s">
        <v>27252</v>
      </c>
      <c r="Q3617" s="1">
        <v>44812</v>
      </c>
      <c r="R3617" t="s">
        <v>27253</v>
      </c>
      <c r="S3617" t="s">
        <v>27254</v>
      </c>
      <c r="T3617" t="s">
        <v>27269</v>
      </c>
    </row>
    <row r="3618" spans="1:20" x14ac:dyDescent="0.3">
      <c r="A3618" t="str">
        <f>"0611861724100"</f>
        <v>0611861724100</v>
      </c>
      <c r="B3618" t="str">
        <f>"CN5085"</f>
        <v>CN5085</v>
      </c>
      <c r="C3618" t="s">
        <v>34241</v>
      </c>
      <c r="D3618" t="s">
        <v>27335</v>
      </c>
      <c r="E3618" t="str">
        <f t="shared" si="56"/>
        <v>001390</v>
      </c>
      <c r="F3618" t="s">
        <v>27246</v>
      </c>
      <c r="G3618" t="s">
        <v>27247</v>
      </c>
      <c r="H3618" t="s">
        <v>27248</v>
      </c>
      <c r="I3618" t="s">
        <v>34243</v>
      </c>
      <c r="J3618" t="s">
        <v>7229</v>
      </c>
      <c r="L3618" t="s">
        <v>27250</v>
      </c>
      <c r="M3618" t="s">
        <v>27251</v>
      </c>
      <c r="N3618" t="s">
        <v>27252</v>
      </c>
      <c r="Q3618" s="1">
        <v>44846</v>
      </c>
      <c r="R3618" t="s">
        <v>27253</v>
      </c>
      <c r="S3618" t="s">
        <v>27254</v>
      </c>
      <c r="T3618" t="s">
        <v>27255</v>
      </c>
    </row>
    <row r="3619" spans="1:20" x14ac:dyDescent="0.3">
      <c r="A3619" t="str">
        <f>"0611856888025"</f>
        <v>0611856888025</v>
      </c>
      <c r="B3619" t="str">
        <f>"MQ7424"</f>
        <v>MQ7424</v>
      </c>
      <c r="C3619" t="s">
        <v>34244</v>
      </c>
      <c r="D3619" t="s">
        <v>27267</v>
      </c>
      <c r="E3619" t="str">
        <f t="shared" si="56"/>
        <v>001390</v>
      </c>
      <c r="F3619" t="s">
        <v>27246</v>
      </c>
      <c r="G3619" t="s">
        <v>27247</v>
      </c>
      <c r="H3619" t="s">
        <v>27248</v>
      </c>
      <c r="I3619" t="s">
        <v>34245</v>
      </c>
      <c r="J3619" t="s">
        <v>7235</v>
      </c>
      <c r="L3619" t="s">
        <v>27250</v>
      </c>
      <c r="M3619" t="s">
        <v>27251</v>
      </c>
      <c r="N3619" t="s">
        <v>27252</v>
      </c>
      <c r="Q3619" s="1">
        <v>44812</v>
      </c>
      <c r="R3619" t="s">
        <v>27253</v>
      </c>
      <c r="S3619" t="s">
        <v>27254</v>
      </c>
      <c r="T3619" t="s">
        <v>27269</v>
      </c>
    </row>
    <row r="3620" spans="1:20" x14ac:dyDescent="0.3">
      <c r="A3620" t="str">
        <f>"0611861725100"</f>
        <v>0611861725100</v>
      </c>
      <c r="B3620" t="str">
        <f>"CN2349"</f>
        <v>CN2349</v>
      </c>
      <c r="C3620" t="s">
        <v>34244</v>
      </c>
      <c r="D3620" t="s">
        <v>27335</v>
      </c>
      <c r="E3620" t="str">
        <f t="shared" si="56"/>
        <v>001390</v>
      </c>
      <c r="F3620" t="s">
        <v>27246</v>
      </c>
      <c r="G3620" t="s">
        <v>27247</v>
      </c>
      <c r="H3620" t="s">
        <v>27248</v>
      </c>
      <c r="I3620" t="s">
        <v>34246</v>
      </c>
      <c r="J3620" t="s">
        <v>7233</v>
      </c>
      <c r="L3620" t="s">
        <v>27250</v>
      </c>
      <c r="M3620" t="s">
        <v>27251</v>
      </c>
      <c r="N3620" t="s">
        <v>27252</v>
      </c>
      <c r="Q3620" s="1">
        <v>44846</v>
      </c>
      <c r="R3620" t="s">
        <v>27253</v>
      </c>
      <c r="S3620" t="s">
        <v>27254</v>
      </c>
      <c r="T3620" t="s">
        <v>27255</v>
      </c>
    </row>
    <row r="3621" spans="1:20" x14ac:dyDescent="0.3">
      <c r="A3621" t="str">
        <f>"0611861726100"</f>
        <v>0611861726100</v>
      </c>
      <c r="B3621" t="str">
        <f>"CN5086"</f>
        <v>CN5086</v>
      </c>
      <c r="C3621" t="s">
        <v>34247</v>
      </c>
      <c r="D3621" t="s">
        <v>27335</v>
      </c>
      <c r="E3621" t="str">
        <f t="shared" si="56"/>
        <v>001390</v>
      </c>
      <c r="F3621" t="s">
        <v>27246</v>
      </c>
      <c r="G3621" t="s">
        <v>27247</v>
      </c>
      <c r="H3621" t="s">
        <v>27248</v>
      </c>
      <c r="I3621" t="s">
        <v>34248</v>
      </c>
      <c r="J3621" t="s">
        <v>7237</v>
      </c>
      <c r="L3621" t="s">
        <v>27250</v>
      </c>
      <c r="M3621" t="s">
        <v>27251</v>
      </c>
      <c r="N3621" t="s">
        <v>27252</v>
      </c>
      <c r="Q3621" s="1">
        <v>44846</v>
      </c>
      <c r="R3621" t="s">
        <v>27253</v>
      </c>
      <c r="S3621" t="s">
        <v>27254</v>
      </c>
      <c r="T3621" t="s">
        <v>27255</v>
      </c>
    </row>
    <row r="3622" spans="1:20" x14ac:dyDescent="0.3">
      <c r="A3622" t="str">
        <f>"0611856889025"</f>
        <v>0611856889025</v>
      </c>
      <c r="B3622" t="str">
        <f>"MQ7077"</f>
        <v>MQ7077</v>
      </c>
      <c r="C3622" t="s">
        <v>34249</v>
      </c>
      <c r="D3622" t="s">
        <v>27267</v>
      </c>
      <c r="E3622" t="str">
        <f t="shared" si="56"/>
        <v>001390</v>
      </c>
      <c r="F3622" t="s">
        <v>27246</v>
      </c>
      <c r="G3622" t="s">
        <v>27247</v>
      </c>
      <c r="H3622" t="s">
        <v>27248</v>
      </c>
      <c r="I3622" t="s">
        <v>34250</v>
      </c>
      <c r="J3622" t="s">
        <v>7239</v>
      </c>
      <c r="L3622" t="s">
        <v>27250</v>
      </c>
      <c r="M3622" t="s">
        <v>27251</v>
      </c>
      <c r="N3622" t="s">
        <v>27252</v>
      </c>
      <c r="Q3622" s="1">
        <v>44812</v>
      </c>
      <c r="R3622" t="s">
        <v>27253</v>
      </c>
      <c r="S3622" t="s">
        <v>27254</v>
      </c>
      <c r="T3622" t="s">
        <v>27269</v>
      </c>
    </row>
    <row r="3623" spans="1:20" x14ac:dyDescent="0.3">
      <c r="A3623" t="str">
        <f>"0611856890025"</f>
        <v>0611856890025</v>
      </c>
      <c r="B3623" t="str">
        <f>"MQ7425"</f>
        <v>MQ7425</v>
      </c>
      <c r="C3623" t="s">
        <v>34251</v>
      </c>
      <c r="D3623" t="s">
        <v>27267</v>
      </c>
      <c r="E3623" t="str">
        <f t="shared" si="56"/>
        <v>001390</v>
      </c>
      <c r="F3623" t="s">
        <v>27246</v>
      </c>
      <c r="G3623" t="s">
        <v>27247</v>
      </c>
      <c r="H3623" t="s">
        <v>27248</v>
      </c>
      <c r="I3623" t="s">
        <v>34252</v>
      </c>
      <c r="J3623" t="s">
        <v>7243</v>
      </c>
      <c r="L3623" t="s">
        <v>27250</v>
      </c>
      <c r="M3623" t="s">
        <v>27251</v>
      </c>
      <c r="N3623" t="s">
        <v>27252</v>
      </c>
      <c r="Q3623" s="1">
        <v>44812</v>
      </c>
      <c r="R3623" t="s">
        <v>27253</v>
      </c>
      <c r="S3623" t="s">
        <v>27254</v>
      </c>
      <c r="T3623" t="s">
        <v>27269</v>
      </c>
    </row>
    <row r="3624" spans="1:20" x14ac:dyDescent="0.3">
      <c r="A3624" t="str">
        <f>"0611861727100"</f>
        <v>0611861727100</v>
      </c>
      <c r="B3624" t="str">
        <f>"CN2350"</f>
        <v>CN2350</v>
      </c>
      <c r="C3624" t="s">
        <v>34251</v>
      </c>
      <c r="D3624" t="s">
        <v>27335</v>
      </c>
      <c r="E3624" t="str">
        <f t="shared" si="56"/>
        <v>001390</v>
      </c>
      <c r="F3624" t="s">
        <v>27246</v>
      </c>
      <c r="G3624" t="s">
        <v>27247</v>
      </c>
      <c r="H3624" t="s">
        <v>27248</v>
      </c>
      <c r="I3624" t="s">
        <v>34253</v>
      </c>
      <c r="J3624" t="s">
        <v>7241</v>
      </c>
      <c r="L3624" t="s">
        <v>27250</v>
      </c>
      <c r="M3624" t="s">
        <v>27251</v>
      </c>
      <c r="N3624" t="s">
        <v>27252</v>
      </c>
      <c r="Q3624" s="1">
        <v>44846</v>
      </c>
      <c r="R3624" t="s">
        <v>27253</v>
      </c>
      <c r="S3624" t="s">
        <v>27254</v>
      </c>
      <c r="T3624" t="s">
        <v>27255</v>
      </c>
    </row>
    <row r="3625" spans="1:20" x14ac:dyDescent="0.3">
      <c r="A3625" t="str">
        <f>"0611856891025"</f>
        <v>0611856891025</v>
      </c>
      <c r="B3625" t="str">
        <f>"MQ7426"</f>
        <v>MQ7426</v>
      </c>
      <c r="C3625" t="s">
        <v>34254</v>
      </c>
      <c r="D3625" t="s">
        <v>27267</v>
      </c>
      <c r="E3625" t="str">
        <f t="shared" si="56"/>
        <v>001390</v>
      </c>
      <c r="F3625" t="s">
        <v>27246</v>
      </c>
      <c r="G3625" t="s">
        <v>27247</v>
      </c>
      <c r="H3625" t="s">
        <v>27248</v>
      </c>
      <c r="I3625" t="s">
        <v>34255</v>
      </c>
      <c r="J3625" t="s">
        <v>7247</v>
      </c>
      <c r="L3625" t="s">
        <v>27250</v>
      </c>
      <c r="M3625" t="s">
        <v>27251</v>
      </c>
      <c r="N3625" t="s">
        <v>27252</v>
      </c>
      <c r="Q3625" s="1">
        <v>44812</v>
      </c>
      <c r="R3625" t="s">
        <v>27253</v>
      </c>
      <c r="S3625" t="s">
        <v>27254</v>
      </c>
      <c r="T3625" t="s">
        <v>27269</v>
      </c>
    </row>
    <row r="3626" spans="1:20" x14ac:dyDescent="0.3">
      <c r="A3626" t="str">
        <f>"0611861728100"</f>
        <v>0611861728100</v>
      </c>
      <c r="B3626" t="str">
        <f>"CN2348"</f>
        <v>CN2348</v>
      </c>
      <c r="C3626" t="s">
        <v>34254</v>
      </c>
      <c r="D3626" t="s">
        <v>27335</v>
      </c>
      <c r="E3626" t="str">
        <f t="shared" si="56"/>
        <v>001390</v>
      </c>
      <c r="F3626" t="s">
        <v>27246</v>
      </c>
      <c r="G3626" t="s">
        <v>27247</v>
      </c>
      <c r="H3626" t="s">
        <v>27248</v>
      </c>
      <c r="I3626" t="s">
        <v>34256</v>
      </c>
      <c r="J3626" t="s">
        <v>7245</v>
      </c>
      <c r="L3626" t="s">
        <v>27250</v>
      </c>
      <c r="M3626" t="s">
        <v>27251</v>
      </c>
      <c r="N3626" t="s">
        <v>27252</v>
      </c>
      <c r="Q3626" s="1">
        <v>44846</v>
      </c>
      <c r="R3626" t="s">
        <v>27253</v>
      </c>
      <c r="S3626" t="s">
        <v>27254</v>
      </c>
      <c r="T3626" t="s">
        <v>27255</v>
      </c>
    </row>
    <row r="3627" spans="1:20" x14ac:dyDescent="0.3">
      <c r="A3627" t="str">
        <f>"0611861729100"</f>
        <v>0611861729100</v>
      </c>
      <c r="B3627" t="str">
        <f>"CN5087"</f>
        <v>CN5087</v>
      </c>
      <c r="C3627" t="s">
        <v>34257</v>
      </c>
      <c r="D3627" t="s">
        <v>27335</v>
      </c>
      <c r="E3627" t="str">
        <f t="shared" si="56"/>
        <v>001390</v>
      </c>
      <c r="F3627" t="s">
        <v>27246</v>
      </c>
      <c r="G3627" t="s">
        <v>27247</v>
      </c>
      <c r="H3627" t="s">
        <v>27248</v>
      </c>
      <c r="I3627" t="s">
        <v>34258</v>
      </c>
      <c r="J3627" t="s">
        <v>7249</v>
      </c>
      <c r="L3627" t="s">
        <v>27250</v>
      </c>
      <c r="M3627" t="s">
        <v>27251</v>
      </c>
      <c r="N3627" t="s">
        <v>27252</v>
      </c>
      <c r="Q3627" s="1">
        <v>44846</v>
      </c>
      <c r="R3627" t="s">
        <v>27253</v>
      </c>
      <c r="S3627" t="s">
        <v>27254</v>
      </c>
      <c r="T3627" t="s">
        <v>27255</v>
      </c>
    </row>
    <row r="3628" spans="1:20" x14ac:dyDescent="0.3">
      <c r="A3628" t="str">
        <f>"0611856892025"</f>
        <v>0611856892025</v>
      </c>
      <c r="B3628" t="str">
        <f>"MQ7078"</f>
        <v>MQ7078</v>
      </c>
      <c r="C3628" t="s">
        <v>34259</v>
      </c>
      <c r="D3628" t="s">
        <v>27267</v>
      </c>
      <c r="E3628" t="str">
        <f t="shared" si="56"/>
        <v>001390</v>
      </c>
      <c r="F3628" t="s">
        <v>27246</v>
      </c>
      <c r="G3628" t="s">
        <v>27247</v>
      </c>
      <c r="H3628" t="s">
        <v>27248</v>
      </c>
      <c r="I3628" t="s">
        <v>34260</v>
      </c>
      <c r="J3628" t="s">
        <v>7251</v>
      </c>
      <c r="L3628" t="s">
        <v>27250</v>
      </c>
      <c r="M3628" t="s">
        <v>27251</v>
      </c>
      <c r="N3628" t="s">
        <v>27252</v>
      </c>
      <c r="Q3628" s="1">
        <v>44812</v>
      </c>
      <c r="R3628" t="s">
        <v>27253</v>
      </c>
      <c r="S3628" t="s">
        <v>27254</v>
      </c>
      <c r="T3628" t="s">
        <v>27269</v>
      </c>
    </row>
    <row r="3629" spans="1:20" x14ac:dyDescent="0.3">
      <c r="A3629" t="str">
        <f>"0611861730100"</f>
        <v>0611861730100</v>
      </c>
      <c r="B3629" t="str">
        <f>"CN2351"</f>
        <v>CN2351</v>
      </c>
      <c r="C3629" t="s">
        <v>34261</v>
      </c>
      <c r="D3629" t="s">
        <v>27335</v>
      </c>
      <c r="E3629" t="str">
        <f t="shared" si="56"/>
        <v>001390</v>
      </c>
      <c r="F3629" t="s">
        <v>27246</v>
      </c>
      <c r="G3629" t="s">
        <v>27247</v>
      </c>
      <c r="H3629" t="s">
        <v>27248</v>
      </c>
      <c r="I3629" t="s">
        <v>34262</v>
      </c>
      <c r="J3629" t="s">
        <v>7253</v>
      </c>
      <c r="L3629" t="s">
        <v>27250</v>
      </c>
      <c r="M3629" t="s">
        <v>27251</v>
      </c>
      <c r="N3629" t="s">
        <v>27252</v>
      </c>
      <c r="Q3629" s="1">
        <v>44846</v>
      </c>
      <c r="R3629" t="s">
        <v>27253</v>
      </c>
      <c r="S3629" t="s">
        <v>27254</v>
      </c>
      <c r="T3629" t="s">
        <v>27255</v>
      </c>
    </row>
    <row r="3630" spans="1:20" x14ac:dyDescent="0.3">
      <c r="A3630" t="str">
        <f>"0611856893025"</f>
        <v>0611856893025</v>
      </c>
      <c r="B3630" t="str">
        <f>"MQ7427"</f>
        <v>MQ7427</v>
      </c>
      <c r="C3630" t="s">
        <v>34263</v>
      </c>
      <c r="D3630" t="s">
        <v>27267</v>
      </c>
      <c r="E3630" t="str">
        <f t="shared" si="56"/>
        <v>001390</v>
      </c>
      <c r="F3630" t="s">
        <v>27246</v>
      </c>
      <c r="G3630" t="s">
        <v>27247</v>
      </c>
      <c r="H3630" t="s">
        <v>27248</v>
      </c>
      <c r="I3630" t="s">
        <v>34264</v>
      </c>
      <c r="J3630" t="s">
        <v>7257</v>
      </c>
      <c r="L3630" t="s">
        <v>27250</v>
      </c>
      <c r="M3630" t="s">
        <v>27251</v>
      </c>
      <c r="N3630" t="s">
        <v>27252</v>
      </c>
      <c r="Q3630" s="1">
        <v>44812</v>
      </c>
      <c r="R3630" t="s">
        <v>27253</v>
      </c>
      <c r="S3630" t="s">
        <v>27254</v>
      </c>
      <c r="T3630" t="s">
        <v>27269</v>
      </c>
    </row>
    <row r="3631" spans="1:20" x14ac:dyDescent="0.3">
      <c r="A3631" t="str">
        <f>"0611861731100"</f>
        <v>0611861731100</v>
      </c>
      <c r="B3631" t="str">
        <f>"CN2352"</f>
        <v>CN2352</v>
      </c>
      <c r="C3631" t="s">
        <v>34265</v>
      </c>
      <c r="D3631" t="s">
        <v>27335</v>
      </c>
      <c r="E3631" t="str">
        <f t="shared" si="56"/>
        <v>001390</v>
      </c>
      <c r="F3631" t="s">
        <v>27246</v>
      </c>
      <c r="G3631" t="s">
        <v>27247</v>
      </c>
      <c r="H3631" t="s">
        <v>27248</v>
      </c>
      <c r="I3631" t="s">
        <v>34266</v>
      </c>
      <c r="J3631" t="s">
        <v>7255</v>
      </c>
      <c r="L3631" t="s">
        <v>27250</v>
      </c>
      <c r="M3631" t="s">
        <v>27251</v>
      </c>
      <c r="N3631" t="s">
        <v>27252</v>
      </c>
      <c r="Q3631" s="1">
        <v>44846</v>
      </c>
      <c r="R3631" t="s">
        <v>27253</v>
      </c>
      <c r="S3631" t="s">
        <v>27254</v>
      </c>
      <c r="T3631" t="s">
        <v>27255</v>
      </c>
    </row>
    <row r="3632" spans="1:20" x14ac:dyDescent="0.3">
      <c r="A3632" t="str">
        <f>"0611861732100"</f>
        <v>0611861732100</v>
      </c>
      <c r="B3632" t="str">
        <f>"CN5088"</f>
        <v>CN5088</v>
      </c>
      <c r="C3632" t="s">
        <v>34267</v>
      </c>
      <c r="D3632" t="s">
        <v>27335</v>
      </c>
      <c r="E3632" t="str">
        <f t="shared" si="56"/>
        <v>001390</v>
      </c>
      <c r="F3632" t="s">
        <v>27246</v>
      </c>
      <c r="G3632" t="s">
        <v>27247</v>
      </c>
      <c r="H3632" t="s">
        <v>27248</v>
      </c>
      <c r="I3632" t="s">
        <v>34268</v>
      </c>
      <c r="J3632" t="s">
        <v>7259</v>
      </c>
      <c r="L3632" t="s">
        <v>27250</v>
      </c>
      <c r="M3632" t="s">
        <v>27251</v>
      </c>
      <c r="N3632" t="s">
        <v>27252</v>
      </c>
      <c r="Q3632" s="1">
        <v>44846</v>
      </c>
      <c r="R3632" t="s">
        <v>27253</v>
      </c>
      <c r="S3632" t="s">
        <v>27254</v>
      </c>
      <c r="T3632" t="s">
        <v>27255</v>
      </c>
    </row>
    <row r="3633" spans="1:20" x14ac:dyDescent="0.3">
      <c r="A3633" t="str">
        <f>"0611856894025"</f>
        <v>0611856894025</v>
      </c>
      <c r="B3633" t="str">
        <f>"MQ7079"</f>
        <v>MQ7079</v>
      </c>
      <c r="C3633" t="s">
        <v>34269</v>
      </c>
      <c r="D3633" t="s">
        <v>27267</v>
      </c>
      <c r="E3633" t="str">
        <f t="shared" si="56"/>
        <v>001390</v>
      </c>
      <c r="F3633" t="s">
        <v>27246</v>
      </c>
      <c r="G3633" t="s">
        <v>27247</v>
      </c>
      <c r="H3633" t="s">
        <v>27248</v>
      </c>
      <c r="I3633" t="s">
        <v>34270</v>
      </c>
      <c r="J3633" t="s">
        <v>7261</v>
      </c>
      <c r="L3633" t="s">
        <v>27250</v>
      </c>
      <c r="M3633" t="s">
        <v>27251</v>
      </c>
      <c r="N3633" t="s">
        <v>27252</v>
      </c>
      <c r="Q3633" s="1">
        <v>44812</v>
      </c>
      <c r="R3633" t="s">
        <v>27253</v>
      </c>
      <c r="S3633" t="s">
        <v>27254</v>
      </c>
      <c r="T3633" t="s">
        <v>27269</v>
      </c>
    </row>
    <row r="3634" spans="1:20" x14ac:dyDescent="0.3">
      <c r="A3634" t="str">
        <f>"0611861733100"</f>
        <v>0611861733100</v>
      </c>
      <c r="B3634" t="str">
        <f>"CN5089"</f>
        <v>CN5089</v>
      </c>
      <c r="C3634" t="s">
        <v>34271</v>
      </c>
      <c r="D3634" t="s">
        <v>27335</v>
      </c>
      <c r="E3634" t="str">
        <f t="shared" si="56"/>
        <v>001390</v>
      </c>
      <c r="F3634" t="s">
        <v>27246</v>
      </c>
      <c r="G3634" t="s">
        <v>27247</v>
      </c>
      <c r="H3634" t="s">
        <v>27248</v>
      </c>
      <c r="I3634" t="s">
        <v>34272</v>
      </c>
      <c r="J3634" t="s">
        <v>7263</v>
      </c>
      <c r="L3634" t="s">
        <v>27250</v>
      </c>
      <c r="M3634" t="s">
        <v>27251</v>
      </c>
      <c r="N3634" t="s">
        <v>27252</v>
      </c>
      <c r="Q3634" s="1">
        <v>44846</v>
      </c>
      <c r="R3634" t="s">
        <v>27253</v>
      </c>
      <c r="S3634" t="s">
        <v>27254</v>
      </c>
      <c r="T3634" t="s">
        <v>27255</v>
      </c>
    </row>
    <row r="3635" spans="1:20" x14ac:dyDescent="0.3">
      <c r="A3635" t="str">
        <f>"0611861734050"</f>
        <v>0611861734050</v>
      </c>
      <c r="B3635" t="str">
        <f>"CR4255"</f>
        <v>CR4255</v>
      </c>
      <c r="C3635" t="s">
        <v>34271</v>
      </c>
      <c r="D3635" t="s">
        <v>27286</v>
      </c>
      <c r="E3635" t="str">
        <f t="shared" si="56"/>
        <v>001390</v>
      </c>
      <c r="F3635" t="s">
        <v>27246</v>
      </c>
      <c r="G3635" t="s">
        <v>27247</v>
      </c>
      <c r="H3635" t="s">
        <v>27248</v>
      </c>
      <c r="I3635" t="s">
        <v>34273</v>
      </c>
      <c r="J3635" t="s">
        <v>7265</v>
      </c>
      <c r="L3635" t="s">
        <v>27250</v>
      </c>
      <c r="M3635" t="s">
        <v>27251</v>
      </c>
      <c r="N3635" t="s">
        <v>27252</v>
      </c>
      <c r="Q3635" s="1">
        <v>44846</v>
      </c>
      <c r="R3635" t="s">
        <v>27253</v>
      </c>
      <c r="S3635" t="s">
        <v>27254</v>
      </c>
      <c r="T3635" t="s">
        <v>27265</v>
      </c>
    </row>
    <row r="3636" spans="1:20" x14ac:dyDescent="0.3">
      <c r="A3636" t="str">
        <f>"0611833738100"</f>
        <v>0611833738100</v>
      </c>
      <c r="B3636" t="str">
        <f>"LH3266"</f>
        <v>LH3266</v>
      </c>
      <c r="C3636" t="s">
        <v>34274</v>
      </c>
      <c r="D3636" t="s">
        <v>27245</v>
      </c>
      <c r="E3636" t="str">
        <f t="shared" si="56"/>
        <v>001390</v>
      </c>
      <c r="F3636" t="s">
        <v>27246</v>
      </c>
      <c r="G3636" t="s">
        <v>27247</v>
      </c>
      <c r="H3636" t="s">
        <v>27248</v>
      </c>
      <c r="I3636" t="s">
        <v>34275</v>
      </c>
      <c r="J3636" t="s">
        <v>7267</v>
      </c>
      <c r="L3636" t="s">
        <v>27250</v>
      </c>
      <c r="M3636" t="s">
        <v>27251</v>
      </c>
      <c r="N3636" t="s">
        <v>27252</v>
      </c>
      <c r="Q3636" s="1">
        <v>44538</v>
      </c>
      <c r="R3636" t="s">
        <v>27253</v>
      </c>
      <c r="S3636" t="s">
        <v>27254</v>
      </c>
      <c r="T3636" t="s">
        <v>27255</v>
      </c>
    </row>
    <row r="3637" spans="1:20" x14ac:dyDescent="0.3">
      <c r="A3637" t="str">
        <f>"0611833739025"</f>
        <v>0611833739025</v>
      </c>
      <c r="B3637" t="str">
        <f>"MC0225"</f>
        <v>MC0225</v>
      </c>
      <c r="C3637" t="s">
        <v>34274</v>
      </c>
      <c r="D3637" t="s">
        <v>27267</v>
      </c>
      <c r="E3637" t="str">
        <f t="shared" si="56"/>
        <v>001390</v>
      </c>
      <c r="F3637" t="s">
        <v>27246</v>
      </c>
      <c r="G3637" t="s">
        <v>27247</v>
      </c>
      <c r="H3637" t="s">
        <v>27248</v>
      </c>
      <c r="I3637" t="s">
        <v>34276</v>
      </c>
      <c r="J3637" t="s">
        <v>7269</v>
      </c>
      <c r="L3637" t="s">
        <v>27250</v>
      </c>
      <c r="M3637" t="s">
        <v>27251</v>
      </c>
      <c r="N3637" t="s">
        <v>27252</v>
      </c>
      <c r="Q3637" s="1">
        <v>44538</v>
      </c>
      <c r="R3637" t="s">
        <v>27253</v>
      </c>
      <c r="S3637" t="s">
        <v>27254</v>
      </c>
      <c r="T3637" t="s">
        <v>27269</v>
      </c>
    </row>
    <row r="3638" spans="1:20" x14ac:dyDescent="0.3">
      <c r="A3638" t="str">
        <f>"0611833741025"</f>
        <v>0611833741025</v>
      </c>
      <c r="B3638" t="str">
        <f>"MC4156"</f>
        <v>MC4156</v>
      </c>
      <c r="C3638" t="s">
        <v>34277</v>
      </c>
      <c r="D3638" t="s">
        <v>27267</v>
      </c>
      <c r="E3638" t="str">
        <f t="shared" si="56"/>
        <v>001390</v>
      </c>
      <c r="F3638" t="s">
        <v>27246</v>
      </c>
      <c r="G3638" t="s">
        <v>27247</v>
      </c>
      <c r="H3638" t="s">
        <v>27248</v>
      </c>
      <c r="I3638" t="s">
        <v>34278</v>
      </c>
      <c r="J3638" t="s">
        <v>7271</v>
      </c>
      <c r="L3638" t="s">
        <v>27250</v>
      </c>
      <c r="M3638" t="s">
        <v>27251</v>
      </c>
      <c r="N3638" t="s">
        <v>27252</v>
      </c>
      <c r="Q3638" s="1">
        <v>44538</v>
      </c>
      <c r="R3638" t="s">
        <v>27253</v>
      </c>
      <c r="S3638" t="s">
        <v>27254</v>
      </c>
      <c r="T3638" t="s">
        <v>27269</v>
      </c>
    </row>
    <row r="3639" spans="1:20" x14ac:dyDescent="0.3">
      <c r="A3639" t="str">
        <f>"0611833742025"</f>
        <v>0611833742025</v>
      </c>
      <c r="B3639" t="str">
        <f>"MC4157"</f>
        <v>MC4157</v>
      </c>
      <c r="C3639" t="s">
        <v>34279</v>
      </c>
      <c r="D3639" t="s">
        <v>27267</v>
      </c>
      <c r="E3639" t="str">
        <f t="shared" si="56"/>
        <v>001390</v>
      </c>
      <c r="F3639" t="s">
        <v>27246</v>
      </c>
      <c r="G3639" t="s">
        <v>27247</v>
      </c>
      <c r="H3639" t="s">
        <v>27248</v>
      </c>
      <c r="I3639" t="s">
        <v>34280</v>
      </c>
      <c r="J3639" t="s">
        <v>7273</v>
      </c>
      <c r="L3639" t="s">
        <v>27250</v>
      </c>
      <c r="M3639" t="s">
        <v>27251</v>
      </c>
      <c r="N3639" t="s">
        <v>27252</v>
      </c>
      <c r="Q3639" s="1">
        <v>44538</v>
      </c>
      <c r="R3639" t="s">
        <v>27253</v>
      </c>
      <c r="S3639" t="s">
        <v>27254</v>
      </c>
      <c r="T3639" t="s">
        <v>27269</v>
      </c>
    </row>
    <row r="3640" spans="1:20" x14ac:dyDescent="0.3">
      <c r="A3640" t="str">
        <f>"0611833744025"</f>
        <v>0611833744025</v>
      </c>
      <c r="B3640" t="str">
        <f>"MC4158"</f>
        <v>MC4158</v>
      </c>
      <c r="C3640" t="s">
        <v>34281</v>
      </c>
      <c r="D3640" t="s">
        <v>27267</v>
      </c>
      <c r="E3640" t="str">
        <f t="shared" si="56"/>
        <v>001390</v>
      </c>
      <c r="F3640" t="s">
        <v>27246</v>
      </c>
      <c r="G3640" t="s">
        <v>27247</v>
      </c>
      <c r="H3640" t="s">
        <v>27248</v>
      </c>
      <c r="I3640" t="s">
        <v>34282</v>
      </c>
      <c r="J3640" t="s">
        <v>7275</v>
      </c>
      <c r="L3640" t="s">
        <v>27250</v>
      </c>
      <c r="M3640" t="s">
        <v>27251</v>
      </c>
      <c r="N3640" t="s">
        <v>27252</v>
      </c>
      <c r="Q3640" s="1">
        <v>44538</v>
      </c>
      <c r="R3640" t="s">
        <v>27253</v>
      </c>
      <c r="S3640" t="s">
        <v>27254</v>
      </c>
      <c r="T3640" t="s">
        <v>27269</v>
      </c>
    </row>
    <row r="3641" spans="1:20" x14ac:dyDescent="0.3">
      <c r="A3641" t="str">
        <f>"0611833746025"</f>
        <v>0611833746025</v>
      </c>
      <c r="B3641" t="str">
        <f>"MC4159"</f>
        <v>MC4159</v>
      </c>
      <c r="C3641" t="s">
        <v>34283</v>
      </c>
      <c r="D3641" t="s">
        <v>27267</v>
      </c>
      <c r="E3641" t="str">
        <f t="shared" si="56"/>
        <v>001390</v>
      </c>
      <c r="F3641" t="s">
        <v>27246</v>
      </c>
      <c r="G3641" t="s">
        <v>27247</v>
      </c>
      <c r="H3641" t="s">
        <v>27248</v>
      </c>
      <c r="I3641" t="s">
        <v>34284</v>
      </c>
      <c r="J3641" t="s">
        <v>7277</v>
      </c>
      <c r="L3641" t="s">
        <v>27250</v>
      </c>
      <c r="M3641" t="s">
        <v>27251</v>
      </c>
      <c r="N3641" t="s">
        <v>27252</v>
      </c>
      <c r="Q3641" s="1">
        <v>44538</v>
      </c>
      <c r="R3641" t="s">
        <v>27253</v>
      </c>
      <c r="S3641" t="s">
        <v>27254</v>
      </c>
      <c r="T3641" t="s">
        <v>27269</v>
      </c>
    </row>
    <row r="3642" spans="1:20" x14ac:dyDescent="0.3">
      <c r="A3642" t="str">
        <f>"0611833747025"</f>
        <v>0611833747025</v>
      </c>
      <c r="B3642" t="str">
        <f>"MC4160"</f>
        <v>MC4160</v>
      </c>
      <c r="C3642" t="s">
        <v>34285</v>
      </c>
      <c r="D3642" t="s">
        <v>27267</v>
      </c>
      <c r="E3642" t="str">
        <f t="shared" si="56"/>
        <v>001390</v>
      </c>
      <c r="F3642" t="s">
        <v>27246</v>
      </c>
      <c r="G3642" t="s">
        <v>27247</v>
      </c>
      <c r="H3642" t="s">
        <v>27248</v>
      </c>
      <c r="I3642" t="s">
        <v>34286</v>
      </c>
      <c r="J3642" t="s">
        <v>7279</v>
      </c>
      <c r="L3642" t="s">
        <v>27250</v>
      </c>
      <c r="M3642" t="s">
        <v>27251</v>
      </c>
      <c r="N3642" t="s">
        <v>27252</v>
      </c>
      <c r="Q3642" s="1">
        <v>44538</v>
      </c>
      <c r="R3642" t="s">
        <v>27253</v>
      </c>
      <c r="S3642" t="s">
        <v>27254</v>
      </c>
      <c r="T3642" t="s">
        <v>27269</v>
      </c>
    </row>
    <row r="3643" spans="1:20" x14ac:dyDescent="0.3">
      <c r="A3643" t="str">
        <f>"0611833749025"</f>
        <v>0611833749025</v>
      </c>
      <c r="B3643" t="str">
        <f>"MC0210"</f>
        <v>MC0210</v>
      </c>
      <c r="C3643" t="s">
        <v>34287</v>
      </c>
      <c r="D3643" t="s">
        <v>27267</v>
      </c>
      <c r="E3643" t="str">
        <f t="shared" si="56"/>
        <v>001390</v>
      </c>
      <c r="F3643" t="s">
        <v>27246</v>
      </c>
      <c r="G3643" t="s">
        <v>27247</v>
      </c>
      <c r="H3643" t="s">
        <v>27248</v>
      </c>
      <c r="I3643" t="s">
        <v>34288</v>
      </c>
      <c r="J3643" t="s">
        <v>7281</v>
      </c>
      <c r="L3643" t="s">
        <v>27250</v>
      </c>
      <c r="M3643" t="s">
        <v>27251</v>
      </c>
      <c r="N3643" t="s">
        <v>27252</v>
      </c>
      <c r="Q3643" s="1">
        <v>44538</v>
      </c>
      <c r="R3643" t="s">
        <v>27253</v>
      </c>
      <c r="S3643" t="s">
        <v>27254</v>
      </c>
      <c r="T3643" t="s">
        <v>27269</v>
      </c>
    </row>
    <row r="3644" spans="1:20" x14ac:dyDescent="0.3">
      <c r="A3644" t="str">
        <f>"0611833750100"</f>
        <v>0611833750100</v>
      </c>
      <c r="B3644" t="str">
        <f>"LH3178"</f>
        <v>LH3178</v>
      </c>
      <c r="C3644" t="s">
        <v>34289</v>
      </c>
      <c r="D3644" t="s">
        <v>27245</v>
      </c>
      <c r="E3644" t="str">
        <f t="shared" si="56"/>
        <v>001390</v>
      </c>
      <c r="F3644" t="s">
        <v>27246</v>
      </c>
      <c r="G3644" t="s">
        <v>27247</v>
      </c>
      <c r="H3644" t="s">
        <v>27248</v>
      </c>
      <c r="I3644" t="s">
        <v>34290</v>
      </c>
      <c r="J3644" t="s">
        <v>7293</v>
      </c>
      <c r="L3644" t="s">
        <v>27250</v>
      </c>
      <c r="M3644" t="s">
        <v>27251</v>
      </c>
      <c r="N3644" t="s">
        <v>27252</v>
      </c>
      <c r="Q3644" s="1">
        <v>44538</v>
      </c>
      <c r="R3644" t="s">
        <v>27253</v>
      </c>
      <c r="S3644" t="s">
        <v>27254</v>
      </c>
      <c r="T3644" t="s">
        <v>27255</v>
      </c>
    </row>
    <row r="3645" spans="1:20" x14ac:dyDescent="0.3">
      <c r="A3645" t="str">
        <f>"0611833751025"</f>
        <v>0611833751025</v>
      </c>
      <c r="B3645" t="str">
        <f>"MC1112"</f>
        <v>MC1112</v>
      </c>
      <c r="C3645" t="s">
        <v>34291</v>
      </c>
      <c r="D3645" t="s">
        <v>27267</v>
      </c>
      <c r="E3645" t="str">
        <f t="shared" si="56"/>
        <v>001390</v>
      </c>
      <c r="F3645" t="s">
        <v>27246</v>
      </c>
      <c r="G3645" t="s">
        <v>27247</v>
      </c>
      <c r="H3645" t="s">
        <v>27248</v>
      </c>
      <c r="I3645" t="s">
        <v>34292</v>
      </c>
      <c r="J3645" t="s">
        <v>7297</v>
      </c>
      <c r="L3645" t="s">
        <v>27250</v>
      </c>
      <c r="M3645" t="s">
        <v>27251</v>
      </c>
      <c r="N3645" t="s">
        <v>27252</v>
      </c>
      <c r="Q3645" s="1">
        <v>44538</v>
      </c>
      <c r="R3645" t="s">
        <v>27253</v>
      </c>
      <c r="S3645" t="s">
        <v>27254</v>
      </c>
      <c r="T3645" t="s">
        <v>27269</v>
      </c>
    </row>
    <row r="3646" spans="1:20" x14ac:dyDescent="0.3">
      <c r="A3646" t="str">
        <f>"0611833752100"</f>
        <v>0611833752100</v>
      </c>
      <c r="B3646" t="str">
        <f>"LH3268"</f>
        <v>LH3268</v>
      </c>
      <c r="C3646" t="s">
        <v>34293</v>
      </c>
      <c r="D3646" t="s">
        <v>27245</v>
      </c>
      <c r="E3646" t="str">
        <f t="shared" si="56"/>
        <v>001390</v>
      </c>
      <c r="F3646" t="s">
        <v>27246</v>
      </c>
      <c r="G3646" t="s">
        <v>27247</v>
      </c>
      <c r="H3646" t="s">
        <v>27248</v>
      </c>
      <c r="I3646" t="s">
        <v>34294</v>
      </c>
      <c r="J3646" t="s">
        <v>7283</v>
      </c>
      <c r="L3646" t="s">
        <v>27250</v>
      </c>
      <c r="M3646" t="s">
        <v>27251</v>
      </c>
      <c r="N3646" t="s">
        <v>27252</v>
      </c>
      <c r="Q3646" s="1">
        <v>44538</v>
      </c>
      <c r="R3646" t="s">
        <v>27253</v>
      </c>
      <c r="S3646" t="s">
        <v>27254</v>
      </c>
      <c r="T3646" t="s">
        <v>27255</v>
      </c>
    </row>
    <row r="3647" spans="1:20" x14ac:dyDescent="0.3">
      <c r="A3647" t="str">
        <f>"0611833753025"</f>
        <v>0611833753025</v>
      </c>
      <c r="B3647" t="str">
        <f>"MC0226"</f>
        <v>MC0226</v>
      </c>
      <c r="C3647" t="s">
        <v>34293</v>
      </c>
      <c r="D3647" t="s">
        <v>27267</v>
      </c>
      <c r="E3647" t="str">
        <f t="shared" si="56"/>
        <v>001390</v>
      </c>
      <c r="F3647" t="s">
        <v>27246</v>
      </c>
      <c r="G3647" t="s">
        <v>27247</v>
      </c>
      <c r="H3647" t="s">
        <v>27248</v>
      </c>
      <c r="I3647" t="s">
        <v>34295</v>
      </c>
      <c r="J3647" t="s">
        <v>7285</v>
      </c>
      <c r="L3647" t="s">
        <v>27250</v>
      </c>
      <c r="M3647" t="s">
        <v>27251</v>
      </c>
      <c r="N3647" t="s">
        <v>27252</v>
      </c>
      <c r="Q3647" s="1">
        <v>44538</v>
      </c>
      <c r="R3647" t="s">
        <v>27253</v>
      </c>
      <c r="S3647" t="s">
        <v>27254</v>
      </c>
      <c r="T3647" t="s">
        <v>27269</v>
      </c>
    </row>
    <row r="3648" spans="1:20" x14ac:dyDescent="0.3">
      <c r="A3648" t="str">
        <f>"0611833754100"</f>
        <v>0611833754100</v>
      </c>
      <c r="B3648" t="str">
        <f>"LH3270"</f>
        <v>LH3270</v>
      </c>
      <c r="C3648" t="s">
        <v>34296</v>
      </c>
      <c r="D3648" t="s">
        <v>27245</v>
      </c>
      <c r="E3648" t="str">
        <f t="shared" si="56"/>
        <v>001390</v>
      </c>
      <c r="F3648" t="s">
        <v>27246</v>
      </c>
      <c r="G3648" t="s">
        <v>27247</v>
      </c>
      <c r="H3648" t="s">
        <v>27248</v>
      </c>
      <c r="I3648" t="s">
        <v>34297</v>
      </c>
      <c r="J3648" t="s">
        <v>7287</v>
      </c>
      <c r="L3648" t="s">
        <v>27250</v>
      </c>
      <c r="M3648" t="s">
        <v>27251</v>
      </c>
      <c r="N3648" t="s">
        <v>27252</v>
      </c>
      <c r="Q3648" s="1">
        <v>44538</v>
      </c>
      <c r="R3648" t="s">
        <v>27253</v>
      </c>
      <c r="S3648" t="s">
        <v>27254</v>
      </c>
      <c r="T3648" t="s">
        <v>27255</v>
      </c>
    </row>
    <row r="3649" spans="1:20" x14ac:dyDescent="0.3">
      <c r="A3649" t="str">
        <f>"0611833755025"</f>
        <v>0611833755025</v>
      </c>
      <c r="B3649" t="str">
        <f>"MC0227"</f>
        <v>MC0227</v>
      </c>
      <c r="C3649" t="s">
        <v>34296</v>
      </c>
      <c r="D3649" t="s">
        <v>27267</v>
      </c>
      <c r="E3649" t="str">
        <f t="shared" si="56"/>
        <v>001390</v>
      </c>
      <c r="F3649" t="s">
        <v>27246</v>
      </c>
      <c r="G3649" t="s">
        <v>27247</v>
      </c>
      <c r="H3649" t="s">
        <v>27248</v>
      </c>
      <c r="I3649" t="s">
        <v>34298</v>
      </c>
      <c r="J3649" t="s">
        <v>7289</v>
      </c>
      <c r="L3649" t="s">
        <v>27250</v>
      </c>
      <c r="M3649" t="s">
        <v>27251</v>
      </c>
      <c r="N3649" t="s">
        <v>27252</v>
      </c>
      <c r="Q3649" s="1">
        <v>44538</v>
      </c>
      <c r="R3649" t="s">
        <v>27253</v>
      </c>
      <c r="S3649" t="s">
        <v>27254</v>
      </c>
      <c r="T3649" t="s">
        <v>27269</v>
      </c>
    </row>
    <row r="3650" spans="1:20" x14ac:dyDescent="0.3">
      <c r="A3650" t="str">
        <f>"0611833756025"</f>
        <v>0611833756025</v>
      </c>
      <c r="B3650" t="str">
        <f>"MC0211"</f>
        <v>MC0211</v>
      </c>
      <c r="C3650" t="s">
        <v>34299</v>
      </c>
      <c r="D3650" t="s">
        <v>27267</v>
      </c>
      <c r="E3650" t="str">
        <f t="shared" ref="E3650:E3713" si="57">"001390"</f>
        <v>001390</v>
      </c>
      <c r="F3650" t="s">
        <v>27246</v>
      </c>
      <c r="G3650" t="s">
        <v>27247</v>
      </c>
      <c r="H3650" t="s">
        <v>27248</v>
      </c>
      <c r="I3650" t="s">
        <v>34300</v>
      </c>
      <c r="J3650" t="s">
        <v>7291</v>
      </c>
      <c r="L3650" t="s">
        <v>27250</v>
      </c>
      <c r="M3650" t="s">
        <v>27251</v>
      </c>
      <c r="N3650" t="s">
        <v>27252</v>
      </c>
      <c r="Q3650" s="1">
        <v>44538</v>
      </c>
      <c r="R3650" t="s">
        <v>27253</v>
      </c>
      <c r="S3650" t="s">
        <v>27254</v>
      </c>
      <c r="T3650" t="s">
        <v>27269</v>
      </c>
    </row>
    <row r="3651" spans="1:20" x14ac:dyDescent="0.3">
      <c r="A3651" t="str">
        <f>"0611833757100"</f>
        <v>0611833757100</v>
      </c>
      <c r="B3651" t="str">
        <f>"LH3272"</f>
        <v>LH3272</v>
      </c>
      <c r="C3651" t="s">
        <v>34301</v>
      </c>
      <c r="D3651" t="s">
        <v>27245</v>
      </c>
      <c r="E3651" t="str">
        <f t="shared" si="57"/>
        <v>001390</v>
      </c>
      <c r="F3651" t="s">
        <v>27246</v>
      </c>
      <c r="G3651" t="s">
        <v>27247</v>
      </c>
      <c r="H3651" t="s">
        <v>27248</v>
      </c>
      <c r="I3651" t="s">
        <v>34302</v>
      </c>
      <c r="J3651" t="s">
        <v>7295</v>
      </c>
      <c r="L3651" t="s">
        <v>27250</v>
      </c>
      <c r="M3651" t="s">
        <v>27251</v>
      </c>
      <c r="N3651" t="s">
        <v>27252</v>
      </c>
      <c r="Q3651" s="1">
        <v>44538</v>
      </c>
      <c r="R3651" t="s">
        <v>27253</v>
      </c>
      <c r="S3651" t="s">
        <v>27254</v>
      </c>
      <c r="T3651" t="s">
        <v>27255</v>
      </c>
    </row>
    <row r="3652" spans="1:20" x14ac:dyDescent="0.3">
      <c r="A3652" t="str">
        <f>"0611833758025"</f>
        <v>0611833758025</v>
      </c>
      <c r="B3652" t="str">
        <f>"MC4391"</f>
        <v>MC4391</v>
      </c>
      <c r="C3652" t="s">
        <v>34303</v>
      </c>
      <c r="D3652" t="s">
        <v>27267</v>
      </c>
      <c r="E3652" t="str">
        <f t="shared" si="57"/>
        <v>001390</v>
      </c>
      <c r="F3652" t="s">
        <v>27246</v>
      </c>
      <c r="G3652" t="s">
        <v>27247</v>
      </c>
      <c r="H3652" t="s">
        <v>27248</v>
      </c>
      <c r="I3652" t="s">
        <v>34304</v>
      </c>
      <c r="J3652" t="s">
        <v>7299</v>
      </c>
      <c r="L3652" t="s">
        <v>27250</v>
      </c>
      <c r="M3652" t="s">
        <v>27251</v>
      </c>
      <c r="N3652" t="s">
        <v>27252</v>
      </c>
      <c r="Q3652" s="1">
        <v>44538</v>
      </c>
      <c r="R3652" t="s">
        <v>27253</v>
      </c>
      <c r="S3652" t="s">
        <v>27254</v>
      </c>
      <c r="T3652" t="s">
        <v>27269</v>
      </c>
    </row>
    <row r="3653" spans="1:20" x14ac:dyDescent="0.3">
      <c r="A3653" t="str">
        <f>"0611833759100"</f>
        <v>0611833759100</v>
      </c>
      <c r="B3653" t="str">
        <f>"LH3189"</f>
        <v>LH3189</v>
      </c>
      <c r="C3653" t="s">
        <v>34305</v>
      </c>
      <c r="D3653" t="s">
        <v>27245</v>
      </c>
      <c r="E3653" t="str">
        <f t="shared" si="57"/>
        <v>001390</v>
      </c>
      <c r="F3653" t="s">
        <v>27246</v>
      </c>
      <c r="G3653" t="s">
        <v>27247</v>
      </c>
      <c r="H3653" t="s">
        <v>27248</v>
      </c>
      <c r="I3653" t="s">
        <v>34306</v>
      </c>
      <c r="J3653" t="s">
        <v>7301</v>
      </c>
      <c r="L3653" t="s">
        <v>27250</v>
      </c>
      <c r="M3653" t="s">
        <v>27251</v>
      </c>
      <c r="N3653" t="s">
        <v>27252</v>
      </c>
      <c r="Q3653" s="1">
        <v>44538</v>
      </c>
      <c r="R3653" t="s">
        <v>27253</v>
      </c>
      <c r="S3653" t="s">
        <v>27254</v>
      </c>
      <c r="T3653" t="s">
        <v>27255</v>
      </c>
    </row>
    <row r="3654" spans="1:20" x14ac:dyDescent="0.3">
      <c r="A3654" t="str">
        <f>"0611833760025"</f>
        <v>0611833760025</v>
      </c>
      <c r="B3654" t="str">
        <f>"MC3342"</f>
        <v>MC3342</v>
      </c>
      <c r="C3654" t="s">
        <v>34307</v>
      </c>
      <c r="D3654" t="s">
        <v>27267</v>
      </c>
      <c r="E3654" t="str">
        <f t="shared" si="57"/>
        <v>001390</v>
      </c>
      <c r="F3654" t="s">
        <v>27246</v>
      </c>
      <c r="G3654" t="s">
        <v>27247</v>
      </c>
      <c r="H3654" t="s">
        <v>27248</v>
      </c>
      <c r="I3654" t="s">
        <v>34308</v>
      </c>
      <c r="J3654" t="s">
        <v>7303</v>
      </c>
      <c r="L3654" t="s">
        <v>27250</v>
      </c>
      <c r="M3654" t="s">
        <v>27251</v>
      </c>
      <c r="N3654" t="s">
        <v>27252</v>
      </c>
      <c r="Q3654" s="1">
        <v>44538</v>
      </c>
      <c r="R3654" t="s">
        <v>27253</v>
      </c>
      <c r="S3654" t="s">
        <v>27254</v>
      </c>
      <c r="T3654" t="s">
        <v>27269</v>
      </c>
    </row>
    <row r="3655" spans="1:20" x14ac:dyDescent="0.3">
      <c r="A3655" t="str">
        <f>"0611833763025"</f>
        <v>0611833763025</v>
      </c>
      <c r="B3655" t="str">
        <f>"MC4285"</f>
        <v>MC4285</v>
      </c>
      <c r="C3655" t="s">
        <v>34309</v>
      </c>
      <c r="D3655" t="s">
        <v>28057</v>
      </c>
      <c r="E3655" t="str">
        <f t="shared" si="57"/>
        <v>001390</v>
      </c>
      <c r="F3655" t="s">
        <v>27246</v>
      </c>
      <c r="G3655" t="s">
        <v>27247</v>
      </c>
      <c r="H3655" t="s">
        <v>27248</v>
      </c>
      <c r="I3655" t="s">
        <v>34310</v>
      </c>
      <c r="J3655" t="s">
        <v>7305</v>
      </c>
      <c r="L3655" t="s">
        <v>27250</v>
      </c>
      <c r="M3655" t="s">
        <v>27251</v>
      </c>
      <c r="N3655" t="s">
        <v>27252</v>
      </c>
      <c r="P3655" t="s">
        <v>27925</v>
      </c>
      <c r="Q3655" s="1">
        <v>44538</v>
      </c>
      <c r="R3655" t="s">
        <v>27253</v>
      </c>
      <c r="S3655" t="s">
        <v>27254</v>
      </c>
      <c r="T3655" t="s">
        <v>27269</v>
      </c>
    </row>
    <row r="3656" spans="1:20" x14ac:dyDescent="0.3">
      <c r="A3656" t="str">
        <f>"0611833762025"</f>
        <v>0611833762025</v>
      </c>
      <c r="B3656" t="str">
        <f>"MC4161"</f>
        <v>MC4161</v>
      </c>
      <c r="C3656" t="s">
        <v>34311</v>
      </c>
      <c r="D3656" t="s">
        <v>28057</v>
      </c>
      <c r="E3656" t="str">
        <f t="shared" si="57"/>
        <v>001390</v>
      </c>
      <c r="F3656" t="s">
        <v>27246</v>
      </c>
      <c r="G3656" t="s">
        <v>27247</v>
      </c>
      <c r="H3656" t="s">
        <v>27248</v>
      </c>
      <c r="I3656" t="s">
        <v>34312</v>
      </c>
      <c r="J3656" t="s">
        <v>7307</v>
      </c>
      <c r="L3656" t="s">
        <v>27250</v>
      </c>
      <c r="M3656" t="s">
        <v>27251</v>
      </c>
      <c r="N3656" t="s">
        <v>27252</v>
      </c>
      <c r="P3656" t="s">
        <v>27925</v>
      </c>
      <c r="Q3656" s="1">
        <v>44538</v>
      </c>
      <c r="R3656" t="s">
        <v>27253</v>
      </c>
      <c r="S3656" t="s">
        <v>27254</v>
      </c>
      <c r="T3656" t="s">
        <v>27269</v>
      </c>
    </row>
    <row r="3657" spans="1:20" x14ac:dyDescent="0.3">
      <c r="A3657" t="str">
        <f>"0611833764025"</f>
        <v>0611833764025</v>
      </c>
      <c r="B3657" t="str">
        <f>"MC4162"</f>
        <v>MC4162</v>
      </c>
      <c r="C3657" t="s">
        <v>34313</v>
      </c>
      <c r="D3657" t="s">
        <v>28057</v>
      </c>
      <c r="E3657" t="str">
        <f t="shared" si="57"/>
        <v>001390</v>
      </c>
      <c r="F3657" t="s">
        <v>27246</v>
      </c>
      <c r="G3657" t="s">
        <v>27247</v>
      </c>
      <c r="H3657" t="s">
        <v>27248</v>
      </c>
      <c r="I3657" t="s">
        <v>34314</v>
      </c>
      <c r="J3657" t="s">
        <v>7309</v>
      </c>
      <c r="L3657" t="s">
        <v>27250</v>
      </c>
      <c r="M3657" t="s">
        <v>27251</v>
      </c>
      <c r="N3657" t="s">
        <v>27252</v>
      </c>
      <c r="P3657" t="s">
        <v>27925</v>
      </c>
      <c r="Q3657" s="1">
        <v>44538</v>
      </c>
      <c r="R3657" t="s">
        <v>27253</v>
      </c>
      <c r="S3657" t="s">
        <v>27254</v>
      </c>
      <c r="T3657" t="s">
        <v>27269</v>
      </c>
    </row>
    <row r="3658" spans="1:20" x14ac:dyDescent="0.3">
      <c r="A3658" t="str">
        <f>"0611856895025"</f>
        <v>0611856895025</v>
      </c>
      <c r="B3658" t="str">
        <f>"MC4433"</f>
        <v>MC4433</v>
      </c>
      <c r="C3658" t="s">
        <v>34315</v>
      </c>
      <c r="D3658" t="s">
        <v>28057</v>
      </c>
      <c r="E3658" t="str">
        <f t="shared" si="57"/>
        <v>001390</v>
      </c>
      <c r="F3658" t="s">
        <v>27246</v>
      </c>
      <c r="G3658" t="s">
        <v>27247</v>
      </c>
      <c r="H3658" t="s">
        <v>27248</v>
      </c>
      <c r="I3658" t="s">
        <v>34316</v>
      </c>
      <c r="J3658" t="s">
        <v>7311</v>
      </c>
      <c r="L3658" t="s">
        <v>27250</v>
      </c>
      <c r="M3658" t="s">
        <v>27251</v>
      </c>
      <c r="N3658" t="s">
        <v>27252</v>
      </c>
      <c r="P3658" t="s">
        <v>27925</v>
      </c>
      <c r="Q3658" s="1">
        <v>44812</v>
      </c>
      <c r="R3658" t="s">
        <v>27253</v>
      </c>
      <c r="S3658" t="s">
        <v>27254</v>
      </c>
      <c r="T3658" t="s">
        <v>27269</v>
      </c>
    </row>
    <row r="3659" spans="1:20" x14ac:dyDescent="0.3">
      <c r="A3659" t="str">
        <f>"0611833765025"</f>
        <v>0611833765025</v>
      </c>
      <c r="B3659" t="str">
        <f>"MC4163"</f>
        <v>MC4163</v>
      </c>
      <c r="C3659" t="s">
        <v>34317</v>
      </c>
      <c r="D3659" t="s">
        <v>28057</v>
      </c>
      <c r="E3659" t="str">
        <f t="shared" si="57"/>
        <v>001390</v>
      </c>
      <c r="F3659" t="s">
        <v>27246</v>
      </c>
      <c r="G3659" t="s">
        <v>27247</v>
      </c>
      <c r="H3659" t="s">
        <v>27248</v>
      </c>
      <c r="I3659" t="s">
        <v>34318</v>
      </c>
      <c r="J3659" t="s">
        <v>7313</v>
      </c>
      <c r="L3659" t="s">
        <v>27250</v>
      </c>
      <c r="M3659" t="s">
        <v>27251</v>
      </c>
      <c r="N3659" t="s">
        <v>27252</v>
      </c>
      <c r="P3659" t="s">
        <v>27925</v>
      </c>
      <c r="Q3659" s="1">
        <v>44538</v>
      </c>
      <c r="R3659" t="s">
        <v>27253</v>
      </c>
      <c r="S3659" t="s">
        <v>27254</v>
      </c>
      <c r="T3659" t="s">
        <v>27269</v>
      </c>
    </row>
    <row r="3660" spans="1:20" x14ac:dyDescent="0.3">
      <c r="A3660" t="str">
        <f>"0611856896025"</f>
        <v>0611856896025</v>
      </c>
      <c r="B3660" t="str">
        <f>"MC4434"</f>
        <v>MC4434</v>
      </c>
      <c r="C3660" t="s">
        <v>34319</v>
      </c>
      <c r="D3660" t="s">
        <v>28057</v>
      </c>
      <c r="E3660" t="str">
        <f t="shared" si="57"/>
        <v>001390</v>
      </c>
      <c r="F3660" t="s">
        <v>27246</v>
      </c>
      <c r="G3660" t="s">
        <v>27247</v>
      </c>
      <c r="H3660" t="s">
        <v>27248</v>
      </c>
      <c r="I3660" t="s">
        <v>34320</v>
      </c>
      <c r="J3660" t="s">
        <v>7315</v>
      </c>
      <c r="L3660" t="s">
        <v>27250</v>
      </c>
      <c r="M3660" t="s">
        <v>27251</v>
      </c>
      <c r="N3660" t="s">
        <v>27252</v>
      </c>
      <c r="P3660" t="s">
        <v>27925</v>
      </c>
      <c r="Q3660" s="1">
        <v>44812</v>
      </c>
      <c r="R3660" t="s">
        <v>27253</v>
      </c>
      <c r="S3660" t="s">
        <v>27254</v>
      </c>
      <c r="T3660" t="s">
        <v>27269</v>
      </c>
    </row>
    <row r="3661" spans="1:20" x14ac:dyDescent="0.3">
      <c r="A3661" t="str">
        <f>"0611833766025"</f>
        <v>0611833766025</v>
      </c>
      <c r="B3661" t="str">
        <f>"MC3343"</f>
        <v>MC3343</v>
      </c>
      <c r="C3661" t="s">
        <v>34321</v>
      </c>
      <c r="D3661" t="s">
        <v>27267</v>
      </c>
      <c r="E3661" t="str">
        <f t="shared" si="57"/>
        <v>001390</v>
      </c>
      <c r="F3661" t="s">
        <v>27246</v>
      </c>
      <c r="G3661" t="s">
        <v>27247</v>
      </c>
      <c r="H3661" t="s">
        <v>27248</v>
      </c>
      <c r="I3661" t="s">
        <v>34322</v>
      </c>
      <c r="J3661" t="s">
        <v>7317</v>
      </c>
      <c r="L3661" t="s">
        <v>27250</v>
      </c>
      <c r="M3661" t="s">
        <v>27251</v>
      </c>
      <c r="N3661" t="s">
        <v>27252</v>
      </c>
      <c r="Q3661" s="1">
        <v>44538</v>
      </c>
      <c r="R3661" t="s">
        <v>27253</v>
      </c>
      <c r="S3661" t="s">
        <v>27254</v>
      </c>
      <c r="T3661" t="s">
        <v>27269</v>
      </c>
    </row>
    <row r="3662" spans="1:20" x14ac:dyDescent="0.3">
      <c r="A3662" t="str">
        <f>"0611833767100"</f>
        <v>0611833767100</v>
      </c>
      <c r="B3662" t="str">
        <f>"LH3280"</f>
        <v>LH3280</v>
      </c>
      <c r="C3662" t="s">
        <v>34323</v>
      </c>
      <c r="D3662" t="s">
        <v>27245</v>
      </c>
      <c r="E3662" t="str">
        <f t="shared" si="57"/>
        <v>001390</v>
      </c>
      <c r="F3662" t="s">
        <v>27246</v>
      </c>
      <c r="G3662" t="s">
        <v>27247</v>
      </c>
      <c r="H3662" t="s">
        <v>27248</v>
      </c>
      <c r="I3662" t="s">
        <v>34324</v>
      </c>
      <c r="J3662" t="s">
        <v>7319</v>
      </c>
      <c r="L3662" t="s">
        <v>27250</v>
      </c>
      <c r="M3662" t="s">
        <v>27251</v>
      </c>
      <c r="N3662" t="s">
        <v>27252</v>
      </c>
      <c r="Q3662" s="1">
        <v>44538</v>
      </c>
      <c r="R3662" t="s">
        <v>27253</v>
      </c>
      <c r="S3662" t="s">
        <v>27254</v>
      </c>
      <c r="T3662" t="s">
        <v>27255</v>
      </c>
    </row>
    <row r="3663" spans="1:20" x14ac:dyDescent="0.3">
      <c r="A3663" t="str">
        <f>"0611833768025"</f>
        <v>0611833768025</v>
      </c>
      <c r="B3663" t="str">
        <f>"MC0228"</f>
        <v>MC0228</v>
      </c>
      <c r="C3663" t="s">
        <v>34323</v>
      </c>
      <c r="D3663" t="s">
        <v>27267</v>
      </c>
      <c r="E3663" t="str">
        <f t="shared" si="57"/>
        <v>001390</v>
      </c>
      <c r="F3663" t="s">
        <v>27246</v>
      </c>
      <c r="G3663" t="s">
        <v>27247</v>
      </c>
      <c r="H3663" t="s">
        <v>27248</v>
      </c>
      <c r="I3663" t="s">
        <v>34325</v>
      </c>
      <c r="J3663" t="s">
        <v>7321</v>
      </c>
      <c r="L3663" t="s">
        <v>27250</v>
      </c>
      <c r="M3663" t="s">
        <v>27251</v>
      </c>
      <c r="N3663" t="s">
        <v>27252</v>
      </c>
      <c r="Q3663" s="1">
        <v>44538</v>
      </c>
      <c r="R3663" t="s">
        <v>27253</v>
      </c>
      <c r="S3663" t="s">
        <v>27254</v>
      </c>
      <c r="T3663" t="s">
        <v>27269</v>
      </c>
    </row>
    <row r="3664" spans="1:20" x14ac:dyDescent="0.3">
      <c r="A3664" t="str">
        <f>"0611833769025"</f>
        <v>0611833769025</v>
      </c>
      <c r="B3664" t="str">
        <f>"MC3713"</f>
        <v>MC3713</v>
      </c>
      <c r="C3664" t="s">
        <v>34326</v>
      </c>
      <c r="D3664" t="s">
        <v>27267</v>
      </c>
      <c r="E3664" t="str">
        <f t="shared" si="57"/>
        <v>001390</v>
      </c>
      <c r="F3664" t="s">
        <v>27246</v>
      </c>
      <c r="G3664" t="s">
        <v>27247</v>
      </c>
      <c r="H3664" t="s">
        <v>27248</v>
      </c>
      <c r="I3664" t="s">
        <v>34327</v>
      </c>
      <c r="J3664" t="s">
        <v>7323</v>
      </c>
      <c r="L3664" t="s">
        <v>27250</v>
      </c>
      <c r="M3664" t="s">
        <v>27251</v>
      </c>
      <c r="N3664" t="s">
        <v>27252</v>
      </c>
      <c r="Q3664" s="1">
        <v>44538</v>
      </c>
      <c r="R3664" t="s">
        <v>27253</v>
      </c>
      <c r="S3664" t="s">
        <v>27254</v>
      </c>
      <c r="T3664" t="s">
        <v>27269</v>
      </c>
    </row>
    <row r="3665" spans="1:20" x14ac:dyDescent="0.3">
      <c r="A3665" t="str">
        <f>"0611833770025"</f>
        <v>0611833770025</v>
      </c>
      <c r="B3665" t="str">
        <f>"MC1851"</f>
        <v>MC1851</v>
      </c>
      <c r="C3665" t="s">
        <v>34328</v>
      </c>
      <c r="D3665" t="s">
        <v>27267</v>
      </c>
      <c r="E3665" t="str">
        <f t="shared" si="57"/>
        <v>001390</v>
      </c>
      <c r="F3665" t="s">
        <v>27246</v>
      </c>
      <c r="G3665" t="s">
        <v>27247</v>
      </c>
      <c r="H3665" t="s">
        <v>27248</v>
      </c>
      <c r="I3665" t="s">
        <v>34329</v>
      </c>
      <c r="J3665" t="s">
        <v>7325</v>
      </c>
      <c r="L3665" t="s">
        <v>27250</v>
      </c>
      <c r="M3665" t="s">
        <v>27251</v>
      </c>
      <c r="N3665" t="s">
        <v>27252</v>
      </c>
      <c r="Q3665" s="1">
        <v>44538</v>
      </c>
      <c r="R3665" t="s">
        <v>27253</v>
      </c>
      <c r="S3665" t="s">
        <v>27254</v>
      </c>
      <c r="T3665" t="s">
        <v>27269</v>
      </c>
    </row>
    <row r="3666" spans="1:20" x14ac:dyDescent="0.3">
      <c r="A3666" t="str">
        <f>"0611833771025"</f>
        <v>0611833771025</v>
      </c>
      <c r="B3666" t="str">
        <f>"MC1853"</f>
        <v>MC1853</v>
      </c>
      <c r="C3666" t="s">
        <v>34330</v>
      </c>
      <c r="D3666" t="s">
        <v>27267</v>
      </c>
      <c r="E3666" t="str">
        <f t="shared" si="57"/>
        <v>001390</v>
      </c>
      <c r="F3666" t="s">
        <v>27246</v>
      </c>
      <c r="G3666" t="s">
        <v>27247</v>
      </c>
      <c r="H3666" t="s">
        <v>27248</v>
      </c>
      <c r="I3666" t="s">
        <v>34331</v>
      </c>
      <c r="J3666" t="s">
        <v>7327</v>
      </c>
      <c r="L3666" t="s">
        <v>27250</v>
      </c>
      <c r="M3666" t="s">
        <v>27251</v>
      </c>
      <c r="N3666" t="s">
        <v>27252</v>
      </c>
      <c r="Q3666" s="1">
        <v>44538</v>
      </c>
      <c r="R3666" t="s">
        <v>27253</v>
      </c>
      <c r="S3666" t="s">
        <v>27254</v>
      </c>
      <c r="T3666" t="s">
        <v>27269</v>
      </c>
    </row>
    <row r="3667" spans="1:20" x14ac:dyDescent="0.3">
      <c r="A3667" t="str">
        <f>"0611833772025"</f>
        <v>0611833772025</v>
      </c>
      <c r="B3667" t="str">
        <f>"MC3474"</f>
        <v>MC3474</v>
      </c>
      <c r="C3667" t="s">
        <v>34332</v>
      </c>
      <c r="D3667" t="s">
        <v>27267</v>
      </c>
      <c r="E3667" t="str">
        <f t="shared" si="57"/>
        <v>001390</v>
      </c>
      <c r="F3667" t="s">
        <v>27246</v>
      </c>
      <c r="G3667" t="s">
        <v>27247</v>
      </c>
      <c r="H3667" t="s">
        <v>27248</v>
      </c>
      <c r="I3667" t="s">
        <v>34333</v>
      </c>
      <c r="J3667" t="s">
        <v>7329</v>
      </c>
      <c r="L3667" t="s">
        <v>27250</v>
      </c>
      <c r="M3667" t="s">
        <v>27251</v>
      </c>
      <c r="N3667" t="s">
        <v>27252</v>
      </c>
      <c r="Q3667" s="1">
        <v>44538</v>
      </c>
      <c r="R3667" t="s">
        <v>27253</v>
      </c>
      <c r="S3667" t="s">
        <v>27254</v>
      </c>
      <c r="T3667" t="s">
        <v>27269</v>
      </c>
    </row>
    <row r="3668" spans="1:20" x14ac:dyDescent="0.3">
      <c r="A3668" t="str">
        <f>"0611833773025"</f>
        <v>0611833773025</v>
      </c>
      <c r="B3668" t="str">
        <f>"MC1854"</f>
        <v>MC1854</v>
      </c>
      <c r="C3668" t="s">
        <v>34334</v>
      </c>
      <c r="D3668" t="s">
        <v>27267</v>
      </c>
      <c r="E3668" t="str">
        <f t="shared" si="57"/>
        <v>001390</v>
      </c>
      <c r="F3668" t="s">
        <v>27246</v>
      </c>
      <c r="G3668" t="s">
        <v>27247</v>
      </c>
      <c r="H3668" t="s">
        <v>27248</v>
      </c>
      <c r="I3668" t="s">
        <v>34335</v>
      </c>
      <c r="J3668" t="s">
        <v>7331</v>
      </c>
      <c r="L3668" t="s">
        <v>27250</v>
      </c>
      <c r="M3668" t="s">
        <v>27251</v>
      </c>
      <c r="N3668" t="s">
        <v>27252</v>
      </c>
      <c r="Q3668" s="1">
        <v>44538</v>
      </c>
      <c r="R3668" t="s">
        <v>27253</v>
      </c>
      <c r="S3668" t="s">
        <v>27254</v>
      </c>
      <c r="T3668" t="s">
        <v>27269</v>
      </c>
    </row>
    <row r="3669" spans="1:20" x14ac:dyDescent="0.3">
      <c r="A3669" t="str">
        <f>"0611833775025"</f>
        <v>0611833775025</v>
      </c>
      <c r="B3669" t="str">
        <f>"MC0229"</f>
        <v>MC0229</v>
      </c>
      <c r="C3669" t="s">
        <v>34336</v>
      </c>
      <c r="D3669" t="s">
        <v>27267</v>
      </c>
      <c r="E3669" t="str">
        <f t="shared" si="57"/>
        <v>001390</v>
      </c>
      <c r="F3669" t="s">
        <v>27246</v>
      </c>
      <c r="G3669" t="s">
        <v>27247</v>
      </c>
      <c r="H3669" t="s">
        <v>27248</v>
      </c>
      <c r="I3669" t="s">
        <v>34337</v>
      </c>
      <c r="J3669" t="s">
        <v>7333</v>
      </c>
      <c r="L3669" t="s">
        <v>27250</v>
      </c>
      <c r="M3669" t="s">
        <v>27251</v>
      </c>
      <c r="N3669" t="s">
        <v>27252</v>
      </c>
      <c r="Q3669" s="1">
        <v>44538</v>
      </c>
      <c r="R3669" t="s">
        <v>27253</v>
      </c>
      <c r="S3669" t="s">
        <v>27254</v>
      </c>
      <c r="T3669" t="s">
        <v>27269</v>
      </c>
    </row>
    <row r="3670" spans="1:20" x14ac:dyDescent="0.3">
      <c r="A3670" t="str">
        <f>"0611884178025"</f>
        <v>0611884178025</v>
      </c>
      <c r="B3670" t="str">
        <f>"MC4519"</f>
        <v>MC4519</v>
      </c>
      <c r="C3670" t="s">
        <v>34338</v>
      </c>
      <c r="D3670" t="s">
        <v>27267</v>
      </c>
      <c r="E3670" t="str">
        <f t="shared" si="57"/>
        <v>001390</v>
      </c>
      <c r="F3670" t="s">
        <v>27246</v>
      </c>
      <c r="G3670" t="s">
        <v>27247</v>
      </c>
      <c r="H3670" t="s">
        <v>27248</v>
      </c>
      <c r="I3670" t="s">
        <v>34339</v>
      </c>
      <c r="J3670" t="s">
        <v>7335</v>
      </c>
      <c r="L3670" t="s">
        <v>27430</v>
      </c>
      <c r="M3670" t="s">
        <v>27251</v>
      </c>
      <c r="N3670" t="s">
        <v>27252</v>
      </c>
      <c r="Q3670" s="1">
        <v>45250</v>
      </c>
      <c r="R3670" t="s">
        <v>27253</v>
      </c>
      <c r="S3670" t="s">
        <v>27254</v>
      </c>
      <c r="T3670" t="s">
        <v>27269</v>
      </c>
    </row>
    <row r="3671" spans="1:20" x14ac:dyDescent="0.3">
      <c r="A3671" t="str">
        <f>"0611833777100"</f>
        <v>0611833777100</v>
      </c>
      <c r="B3671" t="str">
        <f>"LH0036"</f>
        <v>LH0036</v>
      </c>
      <c r="C3671" t="s">
        <v>34340</v>
      </c>
      <c r="D3671" t="s">
        <v>27245</v>
      </c>
      <c r="E3671" t="str">
        <f t="shared" si="57"/>
        <v>001390</v>
      </c>
      <c r="F3671" t="s">
        <v>27246</v>
      </c>
      <c r="G3671" t="s">
        <v>27247</v>
      </c>
      <c r="H3671" t="s">
        <v>27248</v>
      </c>
      <c r="I3671" t="s">
        <v>34341</v>
      </c>
      <c r="J3671" t="s">
        <v>7339</v>
      </c>
      <c r="L3671" t="s">
        <v>27250</v>
      </c>
      <c r="M3671" t="s">
        <v>27251</v>
      </c>
      <c r="N3671" t="s">
        <v>27252</v>
      </c>
      <c r="Q3671" s="1">
        <v>44538</v>
      </c>
      <c r="R3671" t="s">
        <v>27253</v>
      </c>
      <c r="S3671" t="s">
        <v>27254</v>
      </c>
      <c r="T3671" t="s">
        <v>27255</v>
      </c>
    </row>
    <row r="3672" spans="1:20" x14ac:dyDescent="0.3">
      <c r="A3672" t="str">
        <f>"0611833776100"</f>
        <v>0611833776100</v>
      </c>
      <c r="B3672" t="str">
        <f>"LH0037"</f>
        <v>LH0037</v>
      </c>
      <c r="C3672" t="s">
        <v>34342</v>
      </c>
      <c r="D3672" t="s">
        <v>27245</v>
      </c>
      <c r="E3672" t="str">
        <f t="shared" si="57"/>
        <v>001390</v>
      </c>
      <c r="F3672" t="s">
        <v>27246</v>
      </c>
      <c r="G3672" t="s">
        <v>27247</v>
      </c>
      <c r="H3672" t="s">
        <v>27248</v>
      </c>
      <c r="I3672" t="s">
        <v>34343</v>
      </c>
      <c r="J3672" t="s">
        <v>34344</v>
      </c>
      <c r="L3672" t="s">
        <v>27250</v>
      </c>
      <c r="M3672" t="s">
        <v>27251</v>
      </c>
      <c r="N3672" t="s">
        <v>27252</v>
      </c>
      <c r="Q3672" s="1">
        <v>44538</v>
      </c>
      <c r="R3672" t="s">
        <v>27253</v>
      </c>
      <c r="S3672" t="s">
        <v>27254</v>
      </c>
      <c r="T3672" t="s">
        <v>27255</v>
      </c>
    </row>
    <row r="3673" spans="1:20" x14ac:dyDescent="0.3">
      <c r="A3673" t="str">
        <f>"0611833779025"</f>
        <v>0611833779025</v>
      </c>
      <c r="B3673" t="str">
        <f>"MC0230"</f>
        <v>MC0230</v>
      </c>
      <c r="C3673" t="s">
        <v>34345</v>
      </c>
      <c r="D3673" t="s">
        <v>27267</v>
      </c>
      <c r="E3673" t="str">
        <f t="shared" si="57"/>
        <v>001390</v>
      </c>
      <c r="F3673" t="s">
        <v>27246</v>
      </c>
      <c r="G3673" t="s">
        <v>27247</v>
      </c>
      <c r="H3673" t="s">
        <v>27248</v>
      </c>
      <c r="I3673" t="s">
        <v>34346</v>
      </c>
      <c r="J3673" t="s">
        <v>7341</v>
      </c>
      <c r="L3673" t="s">
        <v>27250</v>
      </c>
      <c r="M3673" t="s">
        <v>27251</v>
      </c>
      <c r="N3673" t="s">
        <v>27252</v>
      </c>
      <c r="Q3673" s="1">
        <v>44538</v>
      </c>
      <c r="R3673" t="s">
        <v>27253</v>
      </c>
      <c r="S3673" t="s">
        <v>27254</v>
      </c>
      <c r="T3673" t="s">
        <v>27269</v>
      </c>
    </row>
    <row r="3674" spans="1:20" x14ac:dyDescent="0.3">
      <c r="A3674" t="str">
        <f>"0611833782025"</f>
        <v>0611833782025</v>
      </c>
      <c r="B3674" t="str">
        <f>"MC0214"</f>
        <v>MC0214</v>
      </c>
      <c r="C3674" t="s">
        <v>34347</v>
      </c>
      <c r="D3674" t="s">
        <v>27267</v>
      </c>
      <c r="E3674" t="str">
        <f t="shared" si="57"/>
        <v>001390</v>
      </c>
      <c r="F3674" t="s">
        <v>27246</v>
      </c>
      <c r="G3674" t="s">
        <v>27247</v>
      </c>
      <c r="H3674" t="s">
        <v>27248</v>
      </c>
      <c r="I3674" t="s">
        <v>34348</v>
      </c>
      <c r="J3674" t="s">
        <v>7343</v>
      </c>
      <c r="L3674" t="s">
        <v>27250</v>
      </c>
      <c r="M3674" t="s">
        <v>27251</v>
      </c>
      <c r="N3674" t="s">
        <v>27252</v>
      </c>
      <c r="Q3674" s="1">
        <v>44538</v>
      </c>
      <c r="R3674" t="s">
        <v>27253</v>
      </c>
      <c r="S3674" t="s">
        <v>27254</v>
      </c>
      <c r="T3674" t="s">
        <v>27269</v>
      </c>
    </row>
    <row r="3675" spans="1:20" x14ac:dyDescent="0.3">
      <c r="A3675" t="str">
        <f>"0611833783025"</f>
        <v>0611833783025</v>
      </c>
      <c r="B3675" t="str">
        <f>"MC1115"</f>
        <v>MC1115</v>
      </c>
      <c r="C3675" t="s">
        <v>34349</v>
      </c>
      <c r="D3675" t="s">
        <v>27267</v>
      </c>
      <c r="E3675" t="str">
        <f t="shared" si="57"/>
        <v>001390</v>
      </c>
      <c r="F3675" t="s">
        <v>27246</v>
      </c>
      <c r="G3675" t="s">
        <v>27247</v>
      </c>
      <c r="H3675" t="s">
        <v>27248</v>
      </c>
      <c r="I3675" t="s">
        <v>34350</v>
      </c>
      <c r="J3675" t="s">
        <v>7345</v>
      </c>
      <c r="L3675" t="s">
        <v>27250</v>
      </c>
      <c r="M3675" t="s">
        <v>27251</v>
      </c>
      <c r="N3675" t="s">
        <v>27252</v>
      </c>
      <c r="Q3675" s="1">
        <v>44538</v>
      </c>
      <c r="R3675" t="s">
        <v>27253</v>
      </c>
      <c r="S3675" t="s">
        <v>27254</v>
      </c>
      <c r="T3675" t="s">
        <v>27269</v>
      </c>
    </row>
    <row r="3676" spans="1:20" x14ac:dyDescent="0.3">
      <c r="A3676" t="str">
        <f>"0611833780025"</f>
        <v>0611833780025</v>
      </c>
      <c r="B3676" t="str">
        <f>"MC0215"</f>
        <v>MC0215</v>
      </c>
      <c r="C3676" t="s">
        <v>34351</v>
      </c>
      <c r="D3676" t="s">
        <v>27267</v>
      </c>
      <c r="E3676" t="str">
        <f t="shared" si="57"/>
        <v>001390</v>
      </c>
      <c r="F3676" t="s">
        <v>27246</v>
      </c>
      <c r="G3676" t="s">
        <v>27247</v>
      </c>
      <c r="H3676" t="s">
        <v>27248</v>
      </c>
      <c r="I3676" t="s">
        <v>34352</v>
      </c>
      <c r="J3676" t="s">
        <v>7347</v>
      </c>
      <c r="L3676" t="s">
        <v>27250</v>
      </c>
      <c r="M3676" t="s">
        <v>27251</v>
      </c>
      <c r="N3676" t="s">
        <v>27252</v>
      </c>
      <c r="Q3676" s="1">
        <v>44538</v>
      </c>
      <c r="R3676" t="s">
        <v>27253</v>
      </c>
      <c r="S3676" t="s">
        <v>27254</v>
      </c>
      <c r="T3676" t="s">
        <v>27269</v>
      </c>
    </row>
    <row r="3677" spans="1:20" x14ac:dyDescent="0.3">
      <c r="A3677" t="str">
        <f>"0611833781025"</f>
        <v>0611833781025</v>
      </c>
      <c r="B3677" t="str">
        <f>"MC0216"</f>
        <v>MC0216</v>
      </c>
      <c r="C3677" t="s">
        <v>34353</v>
      </c>
      <c r="D3677" t="s">
        <v>27267</v>
      </c>
      <c r="E3677" t="str">
        <f t="shared" si="57"/>
        <v>001390</v>
      </c>
      <c r="F3677" t="s">
        <v>27246</v>
      </c>
      <c r="G3677" t="s">
        <v>27247</v>
      </c>
      <c r="H3677" t="s">
        <v>27248</v>
      </c>
      <c r="I3677" t="s">
        <v>34354</v>
      </c>
      <c r="J3677" t="s">
        <v>7349</v>
      </c>
      <c r="L3677" t="s">
        <v>27250</v>
      </c>
      <c r="M3677" t="s">
        <v>27251</v>
      </c>
      <c r="N3677" t="s">
        <v>27252</v>
      </c>
      <c r="Q3677" s="1">
        <v>44538</v>
      </c>
      <c r="R3677" t="s">
        <v>27253</v>
      </c>
      <c r="S3677" t="s">
        <v>27254</v>
      </c>
      <c r="T3677" t="s">
        <v>27269</v>
      </c>
    </row>
    <row r="3678" spans="1:20" x14ac:dyDescent="0.3">
      <c r="A3678" t="str">
        <f>"0611833784025"</f>
        <v>0611833784025</v>
      </c>
      <c r="B3678" t="str">
        <f>"MC0217"</f>
        <v>MC0217</v>
      </c>
      <c r="C3678" t="s">
        <v>34355</v>
      </c>
      <c r="D3678" t="s">
        <v>27267</v>
      </c>
      <c r="E3678" t="str">
        <f t="shared" si="57"/>
        <v>001390</v>
      </c>
      <c r="F3678" t="s">
        <v>27246</v>
      </c>
      <c r="G3678" t="s">
        <v>27247</v>
      </c>
      <c r="H3678" t="s">
        <v>27248</v>
      </c>
      <c r="I3678" t="s">
        <v>34356</v>
      </c>
      <c r="J3678" t="s">
        <v>7351</v>
      </c>
      <c r="L3678" t="s">
        <v>27250</v>
      </c>
      <c r="M3678" t="s">
        <v>27251</v>
      </c>
      <c r="N3678" t="s">
        <v>27252</v>
      </c>
      <c r="Q3678" s="1">
        <v>44538</v>
      </c>
      <c r="R3678" t="s">
        <v>27253</v>
      </c>
      <c r="S3678" t="s">
        <v>27254</v>
      </c>
      <c r="T3678" t="s">
        <v>27269</v>
      </c>
    </row>
    <row r="3679" spans="1:20" x14ac:dyDescent="0.3">
      <c r="A3679" t="str">
        <f>"0611833786025"</f>
        <v>0611833786025</v>
      </c>
      <c r="B3679" t="str">
        <f>"MC0218"</f>
        <v>MC0218</v>
      </c>
      <c r="C3679" t="s">
        <v>34357</v>
      </c>
      <c r="D3679" t="s">
        <v>27267</v>
      </c>
      <c r="E3679" t="str">
        <f t="shared" si="57"/>
        <v>001390</v>
      </c>
      <c r="F3679" t="s">
        <v>27246</v>
      </c>
      <c r="G3679" t="s">
        <v>27247</v>
      </c>
      <c r="H3679" t="s">
        <v>27248</v>
      </c>
      <c r="I3679" t="s">
        <v>34358</v>
      </c>
      <c r="J3679" t="s">
        <v>7353</v>
      </c>
      <c r="L3679" t="s">
        <v>27250</v>
      </c>
      <c r="M3679" t="s">
        <v>27251</v>
      </c>
      <c r="N3679" t="s">
        <v>27252</v>
      </c>
      <c r="Q3679" s="1">
        <v>44538</v>
      </c>
      <c r="R3679" t="s">
        <v>27253</v>
      </c>
      <c r="S3679" t="s">
        <v>27254</v>
      </c>
      <c r="T3679" t="s">
        <v>27269</v>
      </c>
    </row>
    <row r="3680" spans="1:20" x14ac:dyDescent="0.3">
      <c r="A3680" t="str">
        <f>"0611833791025"</f>
        <v>0611833791025</v>
      </c>
      <c r="B3680" t="str">
        <f>"MC2794"</f>
        <v>MC2794</v>
      </c>
      <c r="C3680" t="s">
        <v>34359</v>
      </c>
      <c r="D3680" t="s">
        <v>27267</v>
      </c>
      <c r="E3680" t="str">
        <f t="shared" si="57"/>
        <v>001390</v>
      </c>
      <c r="F3680" t="s">
        <v>27246</v>
      </c>
      <c r="G3680" t="s">
        <v>27247</v>
      </c>
      <c r="H3680" t="s">
        <v>27248</v>
      </c>
      <c r="I3680" t="s">
        <v>34360</v>
      </c>
      <c r="J3680" t="s">
        <v>7355</v>
      </c>
      <c r="L3680" t="s">
        <v>27250</v>
      </c>
      <c r="M3680" t="s">
        <v>27251</v>
      </c>
      <c r="N3680" t="s">
        <v>27252</v>
      </c>
      <c r="Q3680" s="1">
        <v>44538</v>
      </c>
      <c r="R3680" t="s">
        <v>27253</v>
      </c>
      <c r="S3680" t="s">
        <v>27254</v>
      </c>
      <c r="T3680" t="s">
        <v>27269</v>
      </c>
    </row>
    <row r="3681" spans="1:20" x14ac:dyDescent="0.3">
      <c r="A3681" t="str">
        <f>"0611833787025"</f>
        <v>0611833787025</v>
      </c>
      <c r="B3681" t="str">
        <f>"MC0219"</f>
        <v>MC0219</v>
      </c>
      <c r="C3681" t="s">
        <v>34361</v>
      </c>
      <c r="D3681" t="s">
        <v>27267</v>
      </c>
      <c r="E3681" t="str">
        <f t="shared" si="57"/>
        <v>001390</v>
      </c>
      <c r="F3681" t="s">
        <v>27246</v>
      </c>
      <c r="G3681" t="s">
        <v>27247</v>
      </c>
      <c r="H3681" t="s">
        <v>27248</v>
      </c>
      <c r="I3681" t="s">
        <v>34362</v>
      </c>
      <c r="J3681" t="s">
        <v>7357</v>
      </c>
      <c r="L3681" t="s">
        <v>27250</v>
      </c>
      <c r="M3681" t="s">
        <v>27251</v>
      </c>
      <c r="N3681" t="s">
        <v>27252</v>
      </c>
      <c r="Q3681" s="1">
        <v>44538</v>
      </c>
      <c r="R3681" t="s">
        <v>27253</v>
      </c>
      <c r="S3681" t="s">
        <v>27254</v>
      </c>
      <c r="T3681" t="s">
        <v>27269</v>
      </c>
    </row>
    <row r="3682" spans="1:20" x14ac:dyDescent="0.3">
      <c r="A3682" t="str">
        <f>"0611833788100"</f>
        <v>0611833788100</v>
      </c>
      <c r="B3682" t="str">
        <f>"LH3253"</f>
        <v>LH3253</v>
      </c>
      <c r="C3682" t="s">
        <v>34363</v>
      </c>
      <c r="D3682" t="s">
        <v>27245</v>
      </c>
      <c r="E3682" t="str">
        <f t="shared" si="57"/>
        <v>001390</v>
      </c>
      <c r="F3682" t="s">
        <v>27246</v>
      </c>
      <c r="G3682" t="s">
        <v>27247</v>
      </c>
      <c r="H3682" t="s">
        <v>27248</v>
      </c>
      <c r="I3682" t="s">
        <v>34364</v>
      </c>
      <c r="J3682" t="s">
        <v>7359</v>
      </c>
      <c r="L3682" t="s">
        <v>27250</v>
      </c>
      <c r="M3682" t="s">
        <v>27251</v>
      </c>
      <c r="N3682" t="s">
        <v>27252</v>
      </c>
      <c r="Q3682" s="1">
        <v>44538</v>
      </c>
      <c r="R3682" t="s">
        <v>27253</v>
      </c>
      <c r="S3682" t="s">
        <v>27254</v>
      </c>
      <c r="T3682" t="s">
        <v>27255</v>
      </c>
    </row>
    <row r="3683" spans="1:20" x14ac:dyDescent="0.3">
      <c r="A3683" t="str">
        <f>"0611833789025"</f>
        <v>0611833789025</v>
      </c>
      <c r="B3683" t="str">
        <f>"MC0222"</f>
        <v>MC0222</v>
      </c>
      <c r="C3683" t="s">
        <v>34363</v>
      </c>
      <c r="D3683" t="s">
        <v>27267</v>
      </c>
      <c r="E3683" t="str">
        <f t="shared" si="57"/>
        <v>001390</v>
      </c>
      <c r="F3683" t="s">
        <v>27246</v>
      </c>
      <c r="G3683" t="s">
        <v>27247</v>
      </c>
      <c r="H3683" t="s">
        <v>27248</v>
      </c>
      <c r="I3683" t="s">
        <v>34365</v>
      </c>
      <c r="J3683" t="s">
        <v>7361</v>
      </c>
      <c r="L3683" t="s">
        <v>27250</v>
      </c>
      <c r="M3683" t="s">
        <v>27251</v>
      </c>
      <c r="N3683" t="s">
        <v>27252</v>
      </c>
      <c r="Q3683" s="1">
        <v>44538</v>
      </c>
      <c r="R3683" t="s">
        <v>27253</v>
      </c>
      <c r="S3683" t="s">
        <v>27254</v>
      </c>
      <c r="T3683" t="s">
        <v>27269</v>
      </c>
    </row>
    <row r="3684" spans="1:20" x14ac:dyDescent="0.3">
      <c r="A3684" t="str">
        <f>"0611833790025"</f>
        <v>0611833790025</v>
      </c>
      <c r="B3684" t="str">
        <f>"MC0220"</f>
        <v>MC0220</v>
      </c>
      <c r="C3684" t="s">
        <v>34366</v>
      </c>
      <c r="D3684" t="s">
        <v>27267</v>
      </c>
      <c r="E3684" t="str">
        <f t="shared" si="57"/>
        <v>001390</v>
      </c>
      <c r="F3684" t="s">
        <v>27246</v>
      </c>
      <c r="G3684" t="s">
        <v>27247</v>
      </c>
      <c r="H3684" t="s">
        <v>27248</v>
      </c>
      <c r="I3684" t="s">
        <v>34367</v>
      </c>
      <c r="J3684" t="s">
        <v>7363</v>
      </c>
      <c r="L3684" t="s">
        <v>27250</v>
      </c>
      <c r="M3684" t="s">
        <v>27251</v>
      </c>
      <c r="N3684" t="s">
        <v>27252</v>
      </c>
      <c r="Q3684" s="1">
        <v>44538</v>
      </c>
      <c r="R3684" t="s">
        <v>27253</v>
      </c>
      <c r="S3684" t="s">
        <v>27254</v>
      </c>
      <c r="T3684" t="s">
        <v>27269</v>
      </c>
    </row>
    <row r="3685" spans="1:20" x14ac:dyDescent="0.3">
      <c r="A3685" t="str">
        <f>"0611833785025"</f>
        <v>0611833785025</v>
      </c>
      <c r="B3685" t="str">
        <f>"MC0221"</f>
        <v>MC0221</v>
      </c>
      <c r="C3685" t="s">
        <v>34368</v>
      </c>
      <c r="D3685" t="s">
        <v>27267</v>
      </c>
      <c r="E3685" t="str">
        <f t="shared" si="57"/>
        <v>001390</v>
      </c>
      <c r="F3685" t="s">
        <v>27246</v>
      </c>
      <c r="G3685" t="s">
        <v>27247</v>
      </c>
      <c r="H3685" t="s">
        <v>27248</v>
      </c>
      <c r="I3685" t="s">
        <v>34369</v>
      </c>
      <c r="J3685" t="s">
        <v>7365</v>
      </c>
      <c r="L3685" t="s">
        <v>27250</v>
      </c>
      <c r="M3685" t="s">
        <v>27251</v>
      </c>
      <c r="N3685" t="s">
        <v>27252</v>
      </c>
      <c r="Q3685" s="1">
        <v>44538</v>
      </c>
      <c r="R3685" t="s">
        <v>27253</v>
      </c>
      <c r="S3685" t="s">
        <v>27254</v>
      </c>
      <c r="T3685" t="s">
        <v>27269</v>
      </c>
    </row>
    <row r="3686" spans="1:20" x14ac:dyDescent="0.3">
      <c r="A3686" t="str">
        <f>"0611833792025"</f>
        <v>0611833792025</v>
      </c>
      <c r="B3686" t="str">
        <f>"MC1528"</f>
        <v>MC1528</v>
      </c>
      <c r="C3686" t="s">
        <v>34370</v>
      </c>
      <c r="D3686" t="s">
        <v>27267</v>
      </c>
      <c r="E3686" t="str">
        <f t="shared" si="57"/>
        <v>001390</v>
      </c>
      <c r="F3686" t="s">
        <v>27246</v>
      </c>
      <c r="G3686" t="s">
        <v>27247</v>
      </c>
      <c r="H3686" t="s">
        <v>27248</v>
      </c>
      <c r="I3686" t="s">
        <v>34371</v>
      </c>
      <c r="J3686" t="s">
        <v>7367</v>
      </c>
      <c r="L3686" t="s">
        <v>27250</v>
      </c>
      <c r="M3686" t="s">
        <v>27251</v>
      </c>
      <c r="N3686" t="s">
        <v>27252</v>
      </c>
      <c r="Q3686" s="1">
        <v>44538</v>
      </c>
      <c r="R3686" t="s">
        <v>27253</v>
      </c>
      <c r="S3686" t="s">
        <v>27254</v>
      </c>
      <c r="T3686" t="s">
        <v>27269</v>
      </c>
    </row>
    <row r="3687" spans="1:20" x14ac:dyDescent="0.3">
      <c r="A3687" t="str">
        <f>"0611833793100"</f>
        <v>0611833793100</v>
      </c>
      <c r="B3687" t="str">
        <f>"LH3290"</f>
        <v>LH3290</v>
      </c>
      <c r="C3687" t="s">
        <v>34372</v>
      </c>
      <c r="D3687" t="s">
        <v>27245</v>
      </c>
      <c r="E3687" t="str">
        <f t="shared" si="57"/>
        <v>001390</v>
      </c>
      <c r="F3687" t="s">
        <v>27246</v>
      </c>
      <c r="G3687" t="s">
        <v>27247</v>
      </c>
      <c r="H3687" t="s">
        <v>27248</v>
      </c>
      <c r="I3687" t="s">
        <v>34373</v>
      </c>
      <c r="J3687" t="s">
        <v>7369</v>
      </c>
      <c r="L3687" t="s">
        <v>27250</v>
      </c>
      <c r="M3687" t="s">
        <v>27251</v>
      </c>
      <c r="N3687" t="s">
        <v>27252</v>
      </c>
      <c r="Q3687" s="1">
        <v>44538</v>
      </c>
      <c r="R3687" t="s">
        <v>27253</v>
      </c>
      <c r="S3687" t="s">
        <v>27254</v>
      </c>
      <c r="T3687" t="s">
        <v>27255</v>
      </c>
    </row>
    <row r="3688" spans="1:20" x14ac:dyDescent="0.3">
      <c r="A3688" t="str">
        <f>"0611856897025"</f>
        <v>0611856897025</v>
      </c>
      <c r="B3688" t="str">
        <f>"MQ7428"</f>
        <v>MQ7428</v>
      </c>
      <c r="C3688" t="s">
        <v>34374</v>
      </c>
      <c r="D3688" t="s">
        <v>27267</v>
      </c>
      <c r="E3688" t="str">
        <f t="shared" si="57"/>
        <v>001390</v>
      </c>
      <c r="F3688" t="s">
        <v>27246</v>
      </c>
      <c r="G3688" t="s">
        <v>27247</v>
      </c>
      <c r="H3688" t="s">
        <v>27248</v>
      </c>
      <c r="I3688" t="s">
        <v>34375</v>
      </c>
      <c r="J3688" t="s">
        <v>7371</v>
      </c>
      <c r="L3688" t="s">
        <v>27250</v>
      </c>
      <c r="M3688" t="s">
        <v>27251</v>
      </c>
      <c r="N3688" t="s">
        <v>27252</v>
      </c>
      <c r="Q3688" s="1">
        <v>44812</v>
      </c>
      <c r="R3688" t="s">
        <v>27253</v>
      </c>
      <c r="S3688" t="s">
        <v>27254</v>
      </c>
      <c r="T3688" t="s">
        <v>27269</v>
      </c>
    </row>
    <row r="3689" spans="1:20" x14ac:dyDescent="0.3">
      <c r="A3689" t="str">
        <f>"0611833798025"</f>
        <v>0611833798025</v>
      </c>
      <c r="B3689" t="str">
        <f>"MC3179"</f>
        <v>MC3179</v>
      </c>
      <c r="C3689" t="s">
        <v>34376</v>
      </c>
      <c r="D3689" t="s">
        <v>27267</v>
      </c>
      <c r="E3689" t="str">
        <f t="shared" si="57"/>
        <v>001390</v>
      </c>
      <c r="F3689" t="s">
        <v>27246</v>
      </c>
      <c r="G3689" t="s">
        <v>27247</v>
      </c>
      <c r="H3689" t="s">
        <v>27248</v>
      </c>
      <c r="I3689" t="s">
        <v>34377</v>
      </c>
      <c r="J3689" t="s">
        <v>7379</v>
      </c>
      <c r="L3689" t="s">
        <v>27250</v>
      </c>
      <c r="M3689" t="s">
        <v>27251</v>
      </c>
      <c r="N3689" t="s">
        <v>27252</v>
      </c>
      <c r="Q3689" s="1">
        <v>44538</v>
      </c>
      <c r="R3689" t="s">
        <v>27253</v>
      </c>
      <c r="S3689" t="s">
        <v>27254</v>
      </c>
      <c r="T3689" t="s">
        <v>27269</v>
      </c>
    </row>
    <row r="3690" spans="1:20" x14ac:dyDescent="0.3">
      <c r="A3690" t="str">
        <f>"0611833799025"</f>
        <v>0611833799025</v>
      </c>
      <c r="B3690" t="str">
        <f>"MC2814"</f>
        <v>MC2814</v>
      </c>
      <c r="C3690" t="s">
        <v>34378</v>
      </c>
      <c r="D3690" t="s">
        <v>27267</v>
      </c>
      <c r="E3690" t="str">
        <f t="shared" si="57"/>
        <v>001390</v>
      </c>
      <c r="F3690" t="s">
        <v>27246</v>
      </c>
      <c r="G3690" t="s">
        <v>27247</v>
      </c>
      <c r="H3690" t="s">
        <v>27248</v>
      </c>
      <c r="I3690" t="s">
        <v>34379</v>
      </c>
      <c r="J3690" t="s">
        <v>7381</v>
      </c>
      <c r="L3690" t="s">
        <v>27250</v>
      </c>
      <c r="M3690" t="s">
        <v>27251</v>
      </c>
      <c r="N3690" t="s">
        <v>27252</v>
      </c>
      <c r="Q3690" s="1">
        <v>44538</v>
      </c>
      <c r="R3690" t="s">
        <v>27253</v>
      </c>
      <c r="S3690" t="s">
        <v>27254</v>
      </c>
      <c r="T3690" t="s">
        <v>27269</v>
      </c>
    </row>
    <row r="3691" spans="1:20" x14ac:dyDescent="0.3">
      <c r="A3691" t="str">
        <f>"0611833800025"</f>
        <v>0611833800025</v>
      </c>
      <c r="B3691" t="str">
        <f>"MC1857"</f>
        <v>MC1857</v>
      </c>
      <c r="C3691" t="s">
        <v>34380</v>
      </c>
      <c r="D3691" t="s">
        <v>27267</v>
      </c>
      <c r="E3691" t="str">
        <f t="shared" si="57"/>
        <v>001390</v>
      </c>
      <c r="F3691" t="s">
        <v>27246</v>
      </c>
      <c r="G3691" t="s">
        <v>27247</v>
      </c>
      <c r="H3691" t="s">
        <v>27248</v>
      </c>
      <c r="I3691" t="s">
        <v>34381</v>
      </c>
      <c r="J3691" t="s">
        <v>7373</v>
      </c>
      <c r="L3691" t="s">
        <v>27250</v>
      </c>
      <c r="M3691" t="s">
        <v>27251</v>
      </c>
      <c r="N3691" t="s">
        <v>27252</v>
      </c>
      <c r="Q3691" s="1">
        <v>44538</v>
      </c>
      <c r="R3691" t="s">
        <v>27253</v>
      </c>
      <c r="S3691" t="s">
        <v>27254</v>
      </c>
      <c r="T3691" t="s">
        <v>27269</v>
      </c>
    </row>
    <row r="3692" spans="1:20" x14ac:dyDescent="0.3">
      <c r="A3692" t="str">
        <f>"0611833801025"</f>
        <v>0611833801025</v>
      </c>
      <c r="B3692" t="str">
        <f>"MC3344"</f>
        <v>MC3344</v>
      </c>
      <c r="C3692" t="s">
        <v>34382</v>
      </c>
      <c r="D3692" t="s">
        <v>27267</v>
      </c>
      <c r="E3692" t="str">
        <f t="shared" si="57"/>
        <v>001390</v>
      </c>
      <c r="F3692" t="s">
        <v>27246</v>
      </c>
      <c r="G3692" t="s">
        <v>27247</v>
      </c>
      <c r="H3692" t="s">
        <v>27248</v>
      </c>
      <c r="I3692" t="s">
        <v>34383</v>
      </c>
      <c r="J3692" t="s">
        <v>7375</v>
      </c>
      <c r="L3692" t="s">
        <v>27250</v>
      </c>
      <c r="M3692" t="s">
        <v>27251</v>
      </c>
      <c r="N3692" t="s">
        <v>27252</v>
      </c>
      <c r="Q3692" s="1">
        <v>44538</v>
      </c>
      <c r="R3692" t="s">
        <v>27253</v>
      </c>
      <c r="S3692" t="s">
        <v>27254</v>
      </c>
      <c r="T3692" t="s">
        <v>27269</v>
      </c>
    </row>
    <row r="3693" spans="1:20" x14ac:dyDescent="0.3">
      <c r="A3693" t="str">
        <f>"0611833802025"</f>
        <v>0611833802025</v>
      </c>
      <c r="B3693" t="str">
        <f>"MC2394"</f>
        <v>MC2394</v>
      </c>
      <c r="C3693" t="s">
        <v>34384</v>
      </c>
      <c r="D3693" t="s">
        <v>27267</v>
      </c>
      <c r="E3693" t="str">
        <f t="shared" si="57"/>
        <v>001390</v>
      </c>
      <c r="F3693" t="s">
        <v>27246</v>
      </c>
      <c r="G3693" t="s">
        <v>27247</v>
      </c>
      <c r="H3693" t="s">
        <v>27248</v>
      </c>
      <c r="I3693" t="s">
        <v>34385</v>
      </c>
      <c r="J3693" t="s">
        <v>7377</v>
      </c>
      <c r="L3693" t="s">
        <v>27250</v>
      </c>
      <c r="M3693" t="s">
        <v>27251</v>
      </c>
      <c r="N3693" t="s">
        <v>27252</v>
      </c>
      <c r="Q3693" s="1">
        <v>44538</v>
      </c>
      <c r="R3693" t="s">
        <v>27253</v>
      </c>
      <c r="S3693" t="s">
        <v>27254</v>
      </c>
      <c r="T3693" t="s">
        <v>27269</v>
      </c>
    </row>
    <row r="3694" spans="1:20" x14ac:dyDescent="0.3">
      <c r="A3694" t="str">
        <f>"0611833804025"</f>
        <v>0611833804025</v>
      </c>
      <c r="B3694" t="str">
        <f>"MC0232"</f>
        <v>MC0232</v>
      </c>
      <c r="C3694" t="s">
        <v>34386</v>
      </c>
      <c r="D3694" t="s">
        <v>27267</v>
      </c>
      <c r="E3694" t="str">
        <f t="shared" si="57"/>
        <v>001390</v>
      </c>
      <c r="F3694" t="s">
        <v>27246</v>
      </c>
      <c r="G3694" t="s">
        <v>27247</v>
      </c>
      <c r="H3694" t="s">
        <v>27248</v>
      </c>
      <c r="I3694" t="s">
        <v>34387</v>
      </c>
      <c r="J3694" t="s">
        <v>7383</v>
      </c>
      <c r="L3694" t="s">
        <v>27250</v>
      </c>
      <c r="M3694" t="s">
        <v>27251</v>
      </c>
      <c r="N3694" t="s">
        <v>27252</v>
      </c>
      <c r="Q3694" s="1">
        <v>44538</v>
      </c>
      <c r="R3694" t="s">
        <v>27253</v>
      </c>
      <c r="S3694" t="s">
        <v>27254</v>
      </c>
      <c r="T3694" t="s">
        <v>27269</v>
      </c>
    </row>
    <row r="3695" spans="1:20" x14ac:dyDescent="0.3">
      <c r="A3695" t="str">
        <f>"0611833805100"</f>
        <v>0611833805100</v>
      </c>
      <c r="B3695" t="str">
        <f>"LH8909"</f>
        <v>LH8909</v>
      </c>
      <c r="C3695" t="s">
        <v>34388</v>
      </c>
      <c r="D3695" t="s">
        <v>27245</v>
      </c>
      <c r="E3695" t="str">
        <f t="shared" si="57"/>
        <v>001390</v>
      </c>
      <c r="F3695" t="s">
        <v>27246</v>
      </c>
      <c r="G3695" t="s">
        <v>27247</v>
      </c>
      <c r="H3695" t="s">
        <v>27248</v>
      </c>
      <c r="I3695" t="s">
        <v>34389</v>
      </c>
      <c r="J3695" t="s">
        <v>7385</v>
      </c>
      <c r="L3695" t="s">
        <v>27250</v>
      </c>
      <c r="M3695" t="s">
        <v>27251</v>
      </c>
      <c r="N3695" t="s">
        <v>27252</v>
      </c>
      <c r="Q3695" s="1">
        <v>44538</v>
      </c>
      <c r="R3695" t="s">
        <v>27253</v>
      </c>
      <c r="S3695" t="s">
        <v>27254</v>
      </c>
      <c r="T3695" t="s">
        <v>27255</v>
      </c>
    </row>
    <row r="3696" spans="1:20" x14ac:dyDescent="0.3">
      <c r="A3696" t="str">
        <f>"0611833806025"</f>
        <v>0611833806025</v>
      </c>
      <c r="B3696" t="str">
        <f>"MC0865"</f>
        <v>MC0865</v>
      </c>
      <c r="C3696" t="s">
        <v>34390</v>
      </c>
      <c r="D3696" t="s">
        <v>27267</v>
      </c>
      <c r="E3696" t="str">
        <f t="shared" si="57"/>
        <v>001390</v>
      </c>
      <c r="F3696" t="s">
        <v>27246</v>
      </c>
      <c r="G3696" t="s">
        <v>27247</v>
      </c>
      <c r="H3696" t="s">
        <v>27248</v>
      </c>
      <c r="I3696" t="s">
        <v>34391</v>
      </c>
      <c r="J3696" t="s">
        <v>7387</v>
      </c>
      <c r="L3696" t="s">
        <v>27250</v>
      </c>
      <c r="M3696" t="s">
        <v>27251</v>
      </c>
      <c r="N3696" t="s">
        <v>27252</v>
      </c>
      <c r="Q3696" s="1">
        <v>44538</v>
      </c>
      <c r="R3696" t="s">
        <v>27253</v>
      </c>
      <c r="S3696" t="s">
        <v>27254</v>
      </c>
      <c r="T3696" t="s">
        <v>27269</v>
      </c>
    </row>
    <row r="3697" spans="1:20" x14ac:dyDescent="0.3">
      <c r="A3697" t="str">
        <f>"0611833807100"</f>
        <v>0611833807100</v>
      </c>
      <c r="B3697" t="str">
        <f>"LK1215"</f>
        <v>LK1215</v>
      </c>
      <c r="C3697" t="s">
        <v>34392</v>
      </c>
      <c r="D3697" t="s">
        <v>27245</v>
      </c>
      <c r="E3697" t="str">
        <f t="shared" si="57"/>
        <v>001390</v>
      </c>
      <c r="F3697" t="s">
        <v>27246</v>
      </c>
      <c r="G3697" t="s">
        <v>27247</v>
      </c>
      <c r="H3697" t="s">
        <v>27248</v>
      </c>
      <c r="I3697" t="s">
        <v>34393</v>
      </c>
      <c r="J3697" t="s">
        <v>7389</v>
      </c>
      <c r="L3697" t="s">
        <v>27250</v>
      </c>
      <c r="M3697" t="s">
        <v>27251</v>
      </c>
      <c r="N3697" t="s">
        <v>27252</v>
      </c>
      <c r="Q3697" s="1">
        <v>44538</v>
      </c>
      <c r="R3697" t="s">
        <v>27253</v>
      </c>
      <c r="S3697" t="s">
        <v>27254</v>
      </c>
      <c r="T3697" t="s">
        <v>27255</v>
      </c>
    </row>
    <row r="3698" spans="1:20" x14ac:dyDescent="0.3">
      <c r="A3698" t="str">
        <f>"0611833808100"</f>
        <v>0611833808100</v>
      </c>
      <c r="B3698" t="str">
        <f>"LK0698"</f>
        <v>LK0698</v>
      </c>
      <c r="C3698" t="s">
        <v>34394</v>
      </c>
      <c r="D3698" t="s">
        <v>27245</v>
      </c>
      <c r="E3698" t="str">
        <f t="shared" si="57"/>
        <v>001390</v>
      </c>
      <c r="F3698" t="s">
        <v>27246</v>
      </c>
      <c r="G3698" t="s">
        <v>27247</v>
      </c>
      <c r="H3698" t="s">
        <v>27248</v>
      </c>
      <c r="I3698" t="s">
        <v>34395</v>
      </c>
      <c r="J3698" t="s">
        <v>7391</v>
      </c>
      <c r="L3698" t="s">
        <v>27250</v>
      </c>
      <c r="M3698" t="s">
        <v>27251</v>
      </c>
      <c r="N3698" t="s">
        <v>27252</v>
      </c>
      <c r="Q3698" s="1">
        <v>44538</v>
      </c>
      <c r="R3698" t="s">
        <v>27253</v>
      </c>
      <c r="S3698" t="s">
        <v>27254</v>
      </c>
      <c r="T3698" t="s">
        <v>27255</v>
      </c>
    </row>
    <row r="3699" spans="1:20" x14ac:dyDescent="0.3">
      <c r="A3699" t="str">
        <f>"0611833809100"</f>
        <v>0611833809100</v>
      </c>
      <c r="B3699" t="str">
        <f>"LK1216"</f>
        <v>LK1216</v>
      </c>
      <c r="C3699" t="s">
        <v>34396</v>
      </c>
      <c r="D3699" t="s">
        <v>27245</v>
      </c>
      <c r="E3699" t="str">
        <f t="shared" si="57"/>
        <v>001390</v>
      </c>
      <c r="F3699" t="s">
        <v>27246</v>
      </c>
      <c r="G3699" t="s">
        <v>27247</v>
      </c>
      <c r="H3699" t="s">
        <v>27248</v>
      </c>
      <c r="I3699" t="s">
        <v>34397</v>
      </c>
      <c r="J3699" t="s">
        <v>7393</v>
      </c>
      <c r="L3699" t="s">
        <v>27250</v>
      </c>
      <c r="M3699" t="s">
        <v>27251</v>
      </c>
      <c r="N3699" t="s">
        <v>27252</v>
      </c>
      <c r="O3699">
        <v>100</v>
      </c>
      <c r="Q3699" s="1">
        <v>44538</v>
      </c>
      <c r="R3699" t="s">
        <v>27253</v>
      </c>
      <c r="S3699" t="s">
        <v>27254</v>
      </c>
      <c r="T3699" t="s">
        <v>27255</v>
      </c>
    </row>
    <row r="3700" spans="1:20" x14ac:dyDescent="0.3">
      <c r="A3700" t="str">
        <f>"0611833810100"</f>
        <v>0611833810100</v>
      </c>
      <c r="B3700" t="str">
        <f>"LK1217"</f>
        <v>LK1217</v>
      </c>
      <c r="C3700" t="s">
        <v>34398</v>
      </c>
      <c r="D3700" t="s">
        <v>27245</v>
      </c>
      <c r="E3700" t="str">
        <f t="shared" si="57"/>
        <v>001390</v>
      </c>
      <c r="F3700" t="s">
        <v>27246</v>
      </c>
      <c r="G3700" t="s">
        <v>27247</v>
      </c>
      <c r="H3700" t="s">
        <v>27248</v>
      </c>
      <c r="I3700" t="s">
        <v>34399</v>
      </c>
      <c r="J3700" t="s">
        <v>7395</v>
      </c>
      <c r="L3700" t="s">
        <v>27250</v>
      </c>
      <c r="M3700" t="s">
        <v>27251</v>
      </c>
      <c r="N3700" t="s">
        <v>27252</v>
      </c>
      <c r="Q3700" s="1">
        <v>44538</v>
      </c>
      <c r="R3700" t="s">
        <v>27253</v>
      </c>
      <c r="S3700" t="s">
        <v>27254</v>
      </c>
      <c r="T3700" t="s">
        <v>27255</v>
      </c>
    </row>
    <row r="3701" spans="1:20" x14ac:dyDescent="0.3">
      <c r="A3701" t="str">
        <f>"0611833811025"</f>
        <v>0611833811025</v>
      </c>
      <c r="B3701" t="str">
        <f>"MQ0392"</f>
        <v>MQ0392</v>
      </c>
      <c r="C3701" t="s">
        <v>34400</v>
      </c>
      <c r="D3701" t="s">
        <v>27267</v>
      </c>
      <c r="E3701" t="str">
        <f t="shared" si="57"/>
        <v>001390</v>
      </c>
      <c r="F3701" t="s">
        <v>27246</v>
      </c>
      <c r="G3701" t="s">
        <v>27247</v>
      </c>
      <c r="H3701" t="s">
        <v>27248</v>
      </c>
      <c r="I3701" t="s">
        <v>34401</v>
      </c>
      <c r="J3701" t="s">
        <v>7397</v>
      </c>
      <c r="L3701" t="s">
        <v>27250</v>
      </c>
      <c r="M3701" t="s">
        <v>27251</v>
      </c>
      <c r="N3701" t="s">
        <v>27252</v>
      </c>
      <c r="Q3701" s="1">
        <v>44538</v>
      </c>
      <c r="R3701" t="s">
        <v>27253</v>
      </c>
      <c r="S3701" t="s">
        <v>27254</v>
      </c>
      <c r="T3701" t="s">
        <v>27269</v>
      </c>
    </row>
    <row r="3702" spans="1:20" x14ac:dyDescent="0.3">
      <c r="A3702" t="str">
        <f>"0611833812025"</f>
        <v>0611833812025</v>
      </c>
      <c r="B3702" t="str">
        <f>"MQ0393"</f>
        <v>MQ0393</v>
      </c>
      <c r="C3702" t="s">
        <v>34402</v>
      </c>
      <c r="D3702" t="s">
        <v>27267</v>
      </c>
      <c r="E3702" t="str">
        <f t="shared" si="57"/>
        <v>001390</v>
      </c>
      <c r="F3702" t="s">
        <v>27246</v>
      </c>
      <c r="G3702" t="s">
        <v>27247</v>
      </c>
      <c r="H3702" t="s">
        <v>27248</v>
      </c>
      <c r="I3702" t="s">
        <v>34403</v>
      </c>
      <c r="J3702" t="s">
        <v>7399</v>
      </c>
      <c r="L3702" t="s">
        <v>27250</v>
      </c>
      <c r="M3702" t="s">
        <v>27251</v>
      </c>
      <c r="N3702" t="s">
        <v>27252</v>
      </c>
      <c r="Q3702" s="1">
        <v>44538</v>
      </c>
      <c r="R3702" t="s">
        <v>27253</v>
      </c>
      <c r="S3702" t="s">
        <v>27254</v>
      </c>
      <c r="T3702" t="s">
        <v>27269</v>
      </c>
    </row>
    <row r="3703" spans="1:20" x14ac:dyDescent="0.3">
      <c r="A3703" t="str">
        <f>"0611833813025"</f>
        <v>0611833813025</v>
      </c>
      <c r="B3703" t="str">
        <f>"MQ0394"</f>
        <v>MQ0394</v>
      </c>
      <c r="C3703" t="s">
        <v>34404</v>
      </c>
      <c r="D3703" t="s">
        <v>27267</v>
      </c>
      <c r="E3703" t="str">
        <f t="shared" si="57"/>
        <v>001390</v>
      </c>
      <c r="F3703" t="s">
        <v>27246</v>
      </c>
      <c r="G3703" t="s">
        <v>27247</v>
      </c>
      <c r="H3703" t="s">
        <v>27248</v>
      </c>
      <c r="I3703" t="s">
        <v>34405</v>
      </c>
      <c r="J3703" t="s">
        <v>7401</v>
      </c>
      <c r="L3703" t="s">
        <v>27250</v>
      </c>
      <c r="M3703" t="s">
        <v>27251</v>
      </c>
      <c r="N3703" t="s">
        <v>27252</v>
      </c>
      <c r="Q3703" s="1">
        <v>44538</v>
      </c>
      <c r="R3703" t="s">
        <v>27253</v>
      </c>
      <c r="S3703" t="s">
        <v>27254</v>
      </c>
      <c r="T3703" t="s">
        <v>27269</v>
      </c>
    </row>
    <row r="3704" spans="1:20" x14ac:dyDescent="0.3">
      <c r="A3704" t="str">
        <f>"0611833814025"</f>
        <v>0611833814025</v>
      </c>
      <c r="B3704" t="str">
        <f>"MQ0396"</f>
        <v>MQ0396</v>
      </c>
      <c r="C3704" t="s">
        <v>34406</v>
      </c>
      <c r="D3704" t="s">
        <v>27267</v>
      </c>
      <c r="E3704" t="str">
        <f t="shared" si="57"/>
        <v>001390</v>
      </c>
      <c r="F3704" t="s">
        <v>27246</v>
      </c>
      <c r="G3704" t="s">
        <v>27247</v>
      </c>
      <c r="H3704" t="s">
        <v>27248</v>
      </c>
      <c r="I3704" t="s">
        <v>34407</v>
      </c>
      <c r="J3704" t="s">
        <v>7403</v>
      </c>
      <c r="L3704" t="s">
        <v>27250</v>
      </c>
      <c r="M3704" t="s">
        <v>27251</v>
      </c>
      <c r="N3704" t="s">
        <v>27252</v>
      </c>
      <c r="Q3704" s="1">
        <v>44538</v>
      </c>
      <c r="R3704" t="s">
        <v>27253</v>
      </c>
      <c r="S3704" t="s">
        <v>27254</v>
      </c>
      <c r="T3704" t="s">
        <v>27269</v>
      </c>
    </row>
    <row r="3705" spans="1:20" x14ac:dyDescent="0.3">
      <c r="A3705" t="str">
        <f>"0611833815025"</f>
        <v>0611833815025</v>
      </c>
      <c r="B3705" t="str">
        <f>"MQ0399"</f>
        <v>MQ0399</v>
      </c>
      <c r="C3705" t="s">
        <v>34408</v>
      </c>
      <c r="D3705" t="s">
        <v>27267</v>
      </c>
      <c r="E3705" t="str">
        <f t="shared" si="57"/>
        <v>001390</v>
      </c>
      <c r="F3705" t="s">
        <v>27246</v>
      </c>
      <c r="G3705" t="s">
        <v>27247</v>
      </c>
      <c r="H3705" t="s">
        <v>27248</v>
      </c>
      <c r="I3705" t="s">
        <v>34409</v>
      </c>
      <c r="J3705" t="s">
        <v>7405</v>
      </c>
      <c r="L3705" t="s">
        <v>27250</v>
      </c>
      <c r="M3705" t="s">
        <v>27251</v>
      </c>
      <c r="N3705" t="s">
        <v>27252</v>
      </c>
      <c r="Q3705" s="1">
        <v>44538</v>
      </c>
      <c r="R3705" t="s">
        <v>27253</v>
      </c>
      <c r="S3705" t="s">
        <v>27254</v>
      </c>
      <c r="T3705" t="s">
        <v>27269</v>
      </c>
    </row>
    <row r="3706" spans="1:20" x14ac:dyDescent="0.3">
      <c r="A3706" t="str">
        <f>"0611833816025"</f>
        <v>0611833816025</v>
      </c>
      <c r="B3706" t="str">
        <f>"MQ0397"</f>
        <v>MQ0397</v>
      </c>
      <c r="C3706" t="s">
        <v>34410</v>
      </c>
      <c r="D3706" t="s">
        <v>27267</v>
      </c>
      <c r="E3706" t="str">
        <f t="shared" si="57"/>
        <v>001390</v>
      </c>
      <c r="F3706" t="s">
        <v>27246</v>
      </c>
      <c r="G3706" t="s">
        <v>27247</v>
      </c>
      <c r="H3706" t="s">
        <v>27248</v>
      </c>
      <c r="I3706" t="s">
        <v>34411</v>
      </c>
      <c r="J3706" t="s">
        <v>7409</v>
      </c>
      <c r="L3706" t="s">
        <v>27250</v>
      </c>
      <c r="M3706" t="s">
        <v>27251</v>
      </c>
      <c r="N3706" t="s">
        <v>27252</v>
      </c>
      <c r="Q3706" s="1">
        <v>44538</v>
      </c>
      <c r="R3706" t="s">
        <v>27253</v>
      </c>
      <c r="S3706" t="s">
        <v>27254</v>
      </c>
      <c r="T3706" t="s">
        <v>27269</v>
      </c>
    </row>
    <row r="3707" spans="1:20" x14ac:dyDescent="0.3">
      <c r="A3707" t="str">
        <f>"0611833817025"</f>
        <v>0611833817025</v>
      </c>
      <c r="B3707" t="str">
        <f>"MQ0400"</f>
        <v>MQ0400</v>
      </c>
      <c r="C3707" t="s">
        <v>34412</v>
      </c>
      <c r="D3707" t="s">
        <v>27267</v>
      </c>
      <c r="E3707" t="str">
        <f t="shared" si="57"/>
        <v>001390</v>
      </c>
      <c r="F3707" t="s">
        <v>27246</v>
      </c>
      <c r="G3707" t="s">
        <v>27247</v>
      </c>
      <c r="H3707" t="s">
        <v>27248</v>
      </c>
      <c r="I3707" t="s">
        <v>34413</v>
      </c>
      <c r="J3707" t="s">
        <v>7407</v>
      </c>
      <c r="L3707" t="s">
        <v>27250</v>
      </c>
      <c r="M3707" t="s">
        <v>27251</v>
      </c>
      <c r="N3707" t="s">
        <v>27252</v>
      </c>
      <c r="Q3707" s="1">
        <v>44538</v>
      </c>
      <c r="R3707" t="s">
        <v>27253</v>
      </c>
      <c r="S3707" t="s">
        <v>27254</v>
      </c>
      <c r="T3707" t="s">
        <v>27269</v>
      </c>
    </row>
    <row r="3708" spans="1:20" x14ac:dyDescent="0.3">
      <c r="A3708" t="str">
        <f>"0611833818025"</f>
        <v>0611833818025</v>
      </c>
      <c r="B3708" t="str">
        <f>"MQ0401"</f>
        <v>MQ0401</v>
      </c>
      <c r="C3708" t="s">
        <v>34414</v>
      </c>
      <c r="D3708" t="s">
        <v>27267</v>
      </c>
      <c r="E3708" t="str">
        <f t="shared" si="57"/>
        <v>001390</v>
      </c>
      <c r="F3708" t="s">
        <v>27246</v>
      </c>
      <c r="G3708" t="s">
        <v>27247</v>
      </c>
      <c r="H3708" t="s">
        <v>27248</v>
      </c>
      <c r="I3708" t="s">
        <v>34415</v>
      </c>
      <c r="J3708" t="s">
        <v>7411</v>
      </c>
      <c r="L3708" t="s">
        <v>27250</v>
      </c>
      <c r="M3708" t="s">
        <v>27251</v>
      </c>
      <c r="N3708" t="s">
        <v>27252</v>
      </c>
      <c r="Q3708" s="1">
        <v>44538</v>
      </c>
      <c r="R3708" t="s">
        <v>27253</v>
      </c>
      <c r="S3708" t="s">
        <v>27254</v>
      </c>
      <c r="T3708" t="s">
        <v>27269</v>
      </c>
    </row>
    <row r="3709" spans="1:20" x14ac:dyDescent="0.3">
      <c r="A3709" t="str">
        <f>"0611833819025"</f>
        <v>0611833819025</v>
      </c>
      <c r="B3709" t="str">
        <f>"MQ0175"</f>
        <v>MQ0175</v>
      </c>
      <c r="C3709" t="s">
        <v>34416</v>
      </c>
      <c r="D3709" t="s">
        <v>27267</v>
      </c>
      <c r="E3709" t="str">
        <f t="shared" si="57"/>
        <v>001390</v>
      </c>
      <c r="F3709" t="s">
        <v>27246</v>
      </c>
      <c r="G3709" t="s">
        <v>27247</v>
      </c>
      <c r="H3709" t="s">
        <v>27248</v>
      </c>
      <c r="I3709" t="s">
        <v>34417</v>
      </c>
      <c r="J3709" t="s">
        <v>7413</v>
      </c>
      <c r="L3709" t="s">
        <v>27250</v>
      </c>
      <c r="M3709" t="s">
        <v>27251</v>
      </c>
      <c r="N3709" t="s">
        <v>27252</v>
      </c>
      <c r="Q3709" s="1">
        <v>44538</v>
      </c>
      <c r="R3709" t="s">
        <v>27253</v>
      </c>
      <c r="S3709" t="s">
        <v>27254</v>
      </c>
      <c r="T3709" t="s">
        <v>27269</v>
      </c>
    </row>
    <row r="3710" spans="1:20" x14ac:dyDescent="0.3">
      <c r="A3710" t="str">
        <f>"0611833820025"</f>
        <v>0611833820025</v>
      </c>
      <c r="B3710" t="str">
        <f>"MQ0638"</f>
        <v>MQ0638</v>
      </c>
      <c r="C3710" t="s">
        <v>34418</v>
      </c>
      <c r="D3710" t="s">
        <v>27267</v>
      </c>
      <c r="E3710" t="str">
        <f t="shared" si="57"/>
        <v>001390</v>
      </c>
      <c r="F3710" t="s">
        <v>27246</v>
      </c>
      <c r="G3710" t="s">
        <v>27247</v>
      </c>
      <c r="H3710" t="s">
        <v>27248</v>
      </c>
      <c r="I3710" t="s">
        <v>34419</v>
      </c>
      <c r="J3710" t="s">
        <v>7415</v>
      </c>
      <c r="L3710" t="s">
        <v>27250</v>
      </c>
      <c r="M3710" t="s">
        <v>27251</v>
      </c>
      <c r="N3710" t="s">
        <v>27252</v>
      </c>
      <c r="Q3710" s="1">
        <v>44538</v>
      </c>
      <c r="R3710" t="s">
        <v>27253</v>
      </c>
      <c r="S3710" t="s">
        <v>27254</v>
      </c>
      <c r="T3710" t="s">
        <v>27269</v>
      </c>
    </row>
    <row r="3711" spans="1:20" x14ac:dyDescent="0.3">
      <c r="A3711" t="str">
        <f>"0611833821025"</f>
        <v>0611833821025</v>
      </c>
      <c r="B3711" t="str">
        <f>"MQ0398"</f>
        <v>MQ0398</v>
      </c>
      <c r="C3711" t="s">
        <v>34420</v>
      </c>
      <c r="D3711" t="s">
        <v>27267</v>
      </c>
      <c r="E3711" t="str">
        <f t="shared" si="57"/>
        <v>001390</v>
      </c>
      <c r="F3711" t="s">
        <v>27246</v>
      </c>
      <c r="G3711" t="s">
        <v>27247</v>
      </c>
      <c r="H3711" t="s">
        <v>27248</v>
      </c>
      <c r="I3711" t="s">
        <v>34421</v>
      </c>
      <c r="J3711" t="s">
        <v>7417</v>
      </c>
      <c r="L3711" t="s">
        <v>27250</v>
      </c>
      <c r="M3711" t="s">
        <v>27251</v>
      </c>
      <c r="N3711" t="s">
        <v>27252</v>
      </c>
      <c r="Q3711" s="1">
        <v>44538</v>
      </c>
      <c r="R3711" t="s">
        <v>27253</v>
      </c>
      <c r="S3711" t="s">
        <v>27254</v>
      </c>
      <c r="T3711" t="s">
        <v>27269</v>
      </c>
    </row>
    <row r="3712" spans="1:20" x14ac:dyDescent="0.3">
      <c r="A3712" t="str">
        <f>"0611861735100"</f>
        <v>0611861735100</v>
      </c>
      <c r="B3712" t="str">
        <f>"CN5140"</f>
        <v>CN5140</v>
      </c>
      <c r="C3712" t="s">
        <v>34422</v>
      </c>
      <c r="D3712" t="s">
        <v>27335</v>
      </c>
      <c r="E3712" t="str">
        <f t="shared" si="57"/>
        <v>001390</v>
      </c>
      <c r="F3712" t="s">
        <v>27246</v>
      </c>
      <c r="G3712" t="s">
        <v>27247</v>
      </c>
      <c r="H3712" t="s">
        <v>27248</v>
      </c>
      <c r="I3712" t="s">
        <v>34423</v>
      </c>
      <c r="J3712" t="s">
        <v>7419</v>
      </c>
      <c r="L3712" t="s">
        <v>27250</v>
      </c>
      <c r="M3712" t="s">
        <v>27251</v>
      </c>
      <c r="N3712" t="s">
        <v>27252</v>
      </c>
      <c r="Q3712" s="1">
        <v>44846</v>
      </c>
      <c r="R3712" t="s">
        <v>27253</v>
      </c>
      <c r="S3712" t="s">
        <v>27254</v>
      </c>
      <c r="T3712" t="s">
        <v>27255</v>
      </c>
    </row>
    <row r="3713" spans="1:20" x14ac:dyDescent="0.3">
      <c r="A3713" t="str">
        <f>"0611861736100"</f>
        <v>0611861736100</v>
      </c>
      <c r="B3713" t="str">
        <f>"CN5139"</f>
        <v>CN5139</v>
      </c>
      <c r="C3713" t="s">
        <v>34424</v>
      </c>
      <c r="D3713" t="s">
        <v>27335</v>
      </c>
      <c r="E3713" t="str">
        <f t="shared" si="57"/>
        <v>001390</v>
      </c>
      <c r="F3713" t="s">
        <v>27246</v>
      </c>
      <c r="G3713" t="s">
        <v>27247</v>
      </c>
      <c r="H3713" t="s">
        <v>27248</v>
      </c>
      <c r="I3713" t="s">
        <v>34425</v>
      </c>
      <c r="J3713" t="s">
        <v>7421</v>
      </c>
      <c r="L3713" t="s">
        <v>27250</v>
      </c>
      <c r="M3713" t="s">
        <v>27251</v>
      </c>
      <c r="N3713" t="s">
        <v>27252</v>
      </c>
      <c r="Q3713" s="1">
        <v>44846</v>
      </c>
      <c r="R3713" t="s">
        <v>27253</v>
      </c>
      <c r="S3713" t="s">
        <v>27254</v>
      </c>
      <c r="T3713" t="s">
        <v>27255</v>
      </c>
    </row>
    <row r="3714" spans="1:20" x14ac:dyDescent="0.3">
      <c r="A3714" t="str">
        <f>"0611861737100"</f>
        <v>0611861737100</v>
      </c>
      <c r="B3714" t="str">
        <f>"CN5138"</f>
        <v>CN5138</v>
      </c>
      <c r="C3714" t="s">
        <v>34426</v>
      </c>
      <c r="D3714" t="s">
        <v>27335</v>
      </c>
      <c r="E3714" t="str">
        <f t="shared" ref="E3714:E3777" si="58">"001390"</f>
        <v>001390</v>
      </c>
      <c r="F3714" t="s">
        <v>27246</v>
      </c>
      <c r="G3714" t="s">
        <v>27247</v>
      </c>
      <c r="H3714" t="s">
        <v>27248</v>
      </c>
      <c r="I3714" t="s">
        <v>34427</v>
      </c>
      <c r="J3714" t="s">
        <v>7423</v>
      </c>
      <c r="L3714" t="s">
        <v>27250</v>
      </c>
      <c r="M3714" t="s">
        <v>27251</v>
      </c>
      <c r="N3714" t="s">
        <v>27252</v>
      </c>
      <c r="Q3714" s="1">
        <v>44846</v>
      </c>
      <c r="R3714" t="s">
        <v>27253</v>
      </c>
      <c r="S3714" t="s">
        <v>27254</v>
      </c>
      <c r="T3714" t="s">
        <v>27255</v>
      </c>
    </row>
    <row r="3715" spans="1:20" x14ac:dyDescent="0.3">
      <c r="A3715" t="str">
        <f>"0611833822100"</f>
        <v>0611833822100</v>
      </c>
      <c r="B3715" t="str">
        <f>"LH8923"</f>
        <v>LH8923</v>
      </c>
      <c r="C3715" t="s">
        <v>34428</v>
      </c>
      <c r="D3715" t="s">
        <v>27245</v>
      </c>
      <c r="E3715" t="str">
        <f t="shared" si="58"/>
        <v>001390</v>
      </c>
      <c r="F3715" t="s">
        <v>27246</v>
      </c>
      <c r="G3715" t="s">
        <v>27247</v>
      </c>
      <c r="H3715" t="s">
        <v>27248</v>
      </c>
      <c r="I3715" t="s">
        <v>34429</v>
      </c>
      <c r="J3715" t="s">
        <v>7425</v>
      </c>
      <c r="L3715" t="s">
        <v>27250</v>
      </c>
      <c r="M3715" t="s">
        <v>27251</v>
      </c>
      <c r="N3715" t="s">
        <v>27252</v>
      </c>
      <c r="Q3715" s="1">
        <v>44538</v>
      </c>
      <c r="R3715" t="s">
        <v>27253</v>
      </c>
      <c r="S3715" t="s">
        <v>27254</v>
      </c>
      <c r="T3715" t="s">
        <v>27255</v>
      </c>
    </row>
    <row r="3716" spans="1:20" x14ac:dyDescent="0.3">
      <c r="A3716" t="str">
        <f>"0611833823025"</f>
        <v>0611833823025</v>
      </c>
      <c r="B3716" t="str">
        <f>"MC0247"</f>
        <v>MC0247</v>
      </c>
      <c r="C3716" t="s">
        <v>34428</v>
      </c>
      <c r="D3716" t="s">
        <v>27267</v>
      </c>
      <c r="E3716" t="str">
        <f t="shared" si="58"/>
        <v>001390</v>
      </c>
      <c r="F3716" t="s">
        <v>27246</v>
      </c>
      <c r="G3716" t="s">
        <v>27247</v>
      </c>
      <c r="H3716" t="s">
        <v>27248</v>
      </c>
      <c r="I3716" t="s">
        <v>34430</v>
      </c>
      <c r="J3716" t="s">
        <v>7427</v>
      </c>
      <c r="L3716" t="s">
        <v>27250</v>
      </c>
      <c r="M3716" t="s">
        <v>27251</v>
      </c>
      <c r="N3716" t="s">
        <v>27252</v>
      </c>
      <c r="Q3716" s="1">
        <v>44538</v>
      </c>
      <c r="R3716" t="s">
        <v>27253</v>
      </c>
      <c r="S3716" t="s">
        <v>27254</v>
      </c>
      <c r="T3716" t="s">
        <v>27269</v>
      </c>
    </row>
    <row r="3717" spans="1:20" x14ac:dyDescent="0.3">
      <c r="A3717" t="str">
        <f>"0611861738100"</f>
        <v>0611861738100</v>
      </c>
      <c r="B3717" t="str">
        <f>"CN5142"</f>
        <v>CN5142</v>
      </c>
      <c r="C3717" t="s">
        <v>34431</v>
      </c>
      <c r="D3717" t="s">
        <v>27335</v>
      </c>
      <c r="E3717" t="str">
        <f t="shared" si="58"/>
        <v>001390</v>
      </c>
      <c r="F3717" t="s">
        <v>27246</v>
      </c>
      <c r="G3717" t="s">
        <v>27247</v>
      </c>
      <c r="H3717" t="s">
        <v>27248</v>
      </c>
      <c r="I3717" t="s">
        <v>34432</v>
      </c>
      <c r="J3717" t="s">
        <v>7429</v>
      </c>
      <c r="L3717" t="s">
        <v>27250</v>
      </c>
      <c r="M3717" t="s">
        <v>27251</v>
      </c>
      <c r="N3717" t="s">
        <v>27252</v>
      </c>
      <c r="Q3717" s="1">
        <v>44846</v>
      </c>
      <c r="R3717" t="s">
        <v>27253</v>
      </c>
      <c r="S3717" t="s">
        <v>27254</v>
      </c>
      <c r="T3717" t="s">
        <v>27255</v>
      </c>
    </row>
    <row r="3718" spans="1:20" x14ac:dyDescent="0.3">
      <c r="A3718" t="str">
        <f>"0611833824025"</f>
        <v>0611833824025</v>
      </c>
      <c r="B3718" t="str">
        <f>"MC2796"</f>
        <v>MC2796</v>
      </c>
      <c r="C3718" t="s">
        <v>34433</v>
      </c>
      <c r="D3718" t="s">
        <v>28057</v>
      </c>
      <c r="E3718" t="str">
        <f t="shared" si="58"/>
        <v>001390</v>
      </c>
      <c r="F3718" t="s">
        <v>27246</v>
      </c>
      <c r="G3718" t="s">
        <v>27247</v>
      </c>
      <c r="H3718" t="s">
        <v>27248</v>
      </c>
      <c r="I3718" t="s">
        <v>34434</v>
      </c>
      <c r="J3718" t="s">
        <v>7431</v>
      </c>
      <c r="L3718" t="s">
        <v>27250</v>
      </c>
      <c r="M3718" t="s">
        <v>27251</v>
      </c>
      <c r="N3718" t="s">
        <v>27252</v>
      </c>
      <c r="P3718" t="s">
        <v>27925</v>
      </c>
      <c r="Q3718" s="1">
        <v>44538</v>
      </c>
      <c r="R3718" t="s">
        <v>27253</v>
      </c>
      <c r="S3718" t="s">
        <v>27254</v>
      </c>
      <c r="T3718" t="s">
        <v>27269</v>
      </c>
    </row>
    <row r="3719" spans="1:20" x14ac:dyDescent="0.3">
      <c r="A3719" t="str">
        <f>"0611833826025"</f>
        <v>0611833826025</v>
      </c>
      <c r="B3719" t="str">
        <f>"MC2797"</f>
        <v>MC2797</v>
      </c>
      <c r="C3719" t="s">
        <v>34435</v>
      </c>
      <c r="D3719" t="s">
        <v>28057</v>
      </c>
      <c r="E3719" t="str">
        <f t="shared" si="58"/>
        <v>001390</v>
      </c>
      <c r="F3719" t="s">
        <v>27246</v>
      </c>
      <c r="G3719" t="s">
        <v>27247</v>
      </c>
      <c r="H3719" t="s">
        <v>27248</v>
      </c>
      <c r="I3719" t="s">
        <v>34436</v>
      </c>
      <c r="J3719" t="s">
        <v>7433</v>
      </c>
      <c r="L3719" t="s">
        <v>27250</v>
      </c>
      <c r="M3719" t="s">
        <v>27251</v>
      </c>
      <c r="N3719" t="s">
        <v>27252</v>
      </c>
      <c r="P3719" t="s">
        <v>27925</v>
      </c>
      <c r="Q3719" s="1">
        <v>44538</v>
      </c>
      <c r="R3719" t="s">
        <v>27253</v>
      </c>
      <c r="S3719" t="s">
        <v>27254</v>
      </c>
      <c r="T3719" t="s">
        <v>27269</v>
      </c>
    </row>
    <row r="3720" spans="1:20" x14ac:dyDescent="0.3">
      <c r="A3720" t="str">
        <f>"0611833827025"</f>
        <v>0611833827025</v>
      </c>
      <c r="B3720" t="str">
        <f>"MC2798"</f>
        <v>MC2798</v>
      </c>
      <c r="C3720" t="s">
        <v>34437</v>
      </c>
      <c r="D3720" t="s">
        <v>28057</v>
      </c>
      <c r="E3720" t="str">
        <f t="shared" si="58"/>
        <v>001390</v>
      </c>
      <c r="F3720" t="s">
        <v>27246</v>
      </c>
      <c r="G3720" t="s">
        <v>27247</v>
      </c>
      <c r="H3720" t="s">
        <v>27248</v>
      </c>
      <c r="I3720" t="s">
        <v>34438</v>
      </c>
      <c r="J3720" t="s">
        <v>7435</v>
      </c>
      <c r="L3720" t="s">
        <v>27250</v>
      </c>
      <c r="M3720" t="s">
        <v>27251</v>
      </c>
      <c r="N3720" t="s">
        <v>27252</v>
      </c>
      <c r="P3720" t="s">
        <v>27925</v>
      </c>
      <c r="Q3720" s="1">
        <v>44538</v>
      </c>
      <c r="R3720" t="s">
        <v>27253</v>
      </c>
      <c r="S3720" t="s">
        <v>27254</v>
      </c>
      <c r="T3720" t="s">
        <v>27269</v>
      </c>
    </row>
    <row r="3721" spans="1:20" x14ac:dyDescent="0.3">
      <c r="A3721" t="str">
        <f>"0611833825025"</f>
        <v>0611833825025</v>
      </c>
      <c r="B3721" t="str">
        <f>"MC2799"</f>
        <v>MC2799</v>
      </c>
      <c r="C3721" t="s">
        <v>34439</v>
      </c>
      <c r="D3721" t="s">
        <v>28057</v>
      </c>
      <c r="E3721" t="str">
        <f t="shared" si="58"/>
        <v>001390</v>
      </c>
      <c r="F3721" t="s">
        <v>27246</v>
      </c>
      <c r="G3721" t="s">
        <v>27247</v>
      </c>
      <c r="H3721" t="s">
        <v>27248</v>
      </c>
      <c r="I3721" t="s">
        <v>34440</v>
      </c>
      <c r="J3721" t="s">
        <v>7437</v>
      </c>
      <c r="L3721" t="s">
        <v>27250</v>
      </c>
      <c r="M3721" t="s">
        <v>27251</v>
      </c>
      <c r="N3721" t="s">
        <v>27252</v>
      </c>
      <c r="P3721" t="s">
        <v>27925</v>
      </c>
      <c r="Q3721" s="1">
        <v>44538</v>
      </c>
      <c r="R3721" t="s">
        <v>27253</v>
      </c>
      <c r="S3721" t="s">
        <v>27254</v>
      </c>
      <c r="T3721" t="s">
        <v>27269</v>
      </c>
    </row>
    <row r="3722" spans="1:20" x14ac:dyDescent="0.3">
      <c r="A3722" t="str">
        <f>"0611833828025"</f>
        <v>0611833828025</v>
      </c>
      <c r="B3722" t="str">
        <f>"MC2800"</f>
        <v>MC2800</v>
      </c>
      <c r="C3722" t="s">
        <v>34441</v>
      </c>
      <c r="D3722" t="s">
        <v>28057</v>
      </c>
      <c r="E3722" t="str">
        <f t="shared" si="58"/>
        <v>001390</v>
      </c>
      <c r="F3722" t="s">
        <v>27246</v>
      </c>
      <c r="G3722" t="s">
        <v>27247</v>
      </c>
      <c r="H3722" t="s">
        <v>27248</v>
      </c>
      <c r="I3722" t="s">
        <v>34442</v>
      </c>
      <c r="J3722" t="s">
        <v>7439</v>
      </c>
      <c r="L3722" t="s">
        <v>27250</v>
      </c>
      <c r="M3722" t="s">
        <v>27251</v>
      </c>
      <c r="N3722" t="s">
        <v>27252</v>
      </c>
      <c r="P3722" t="s">
        <v>27925</v>
      </c>
      <c r="Q3722" s="1">
        <v>44538</v>
      </c>
      <c r="R3722" t="s">
        <v>27253</v>
      </c>
      <c r="S3722" t="s">
        <v>27254</v>
      </c>
      <c r="T3722" t="s">
        <v>27269</v>
      </c>
    </row>
    <row r="3723" spans="1:20" x14ac:dyDescent="0.3">
      <c r="A3723" t="str">
        <f>"0611833829025"</f>
        <v>0611833829025</v>
      </c>
      <c r="B3723" t="str">
        <f>"MC3324"</f>
        <v>MC3324</v>
      </c>
      <c r="C3723" t="s">
        <v>34443</v>
      </c>
      <c r="D3723" t="s">
        <v>28057</v>
      </c>
      <c r="E3723" t="str">
        <f t="shared" si="58"/>
        <v>001390</v>
      </c>
      <c r="F3723" t="s">
        <v>27246</v>
      </c>
      <c r="G3723" t="s">
        <v>27247</v>
      </c>
      <c r="H3723" t="s">
        <v>27248</v>
      </c>
      <c r="I3723" t="s">
        <v>34444</v>
      </c>
      <c r="J3723" t="s">
        <v>7441</v>
      </c>
      <c r="L3723" t="s">
        <v>27250</v>
      </c>
      <c r="M3723" t="s">
        <v>27251</v>
      </c>
      <c r="N3723" t="s">
        <v>27252</v>
      </c>
      <c r="P3723" t="s">
        <v>27925</v>
      </c>
      <c r="Q3723" s="1">
        <v>44538</v>
      </c>
      <c r="R3723" t="s">
        <v>27253</v>
      </c>
      <c r="S3723" t="s">
        <v>27254</v>
      </c>
      <c r="T3723" t="s">
        <v>27269</v>
      </c>
    </row>
    <row r="3724" spans="1:20" x14ac:dyDescent="0.3">
      <c r="A3724" t="str">
        <f>"0611833830025"</f>
        <v>0611833830025</v>
      </c>
      <c r="B3724" t="str">
        <f>"MC2801"</f>
        <v>MC2801</v>
      </c>
      <c r="C3724" t="s">
        <v>34445</v>
      </c>
      <c r="D3724" t="s">
        <v>28057</v>
      </c>
      <c r="E3724" t="str">
        <f t="shared" si="58"/>
        <v>001390</v>
      </c>
      <c r="F3724" t="s">
        <v>27246</v>
      </c>
      <c r="G3724" t="s">
        <v>27247</v>
      </c>
      <c r="H3724" t="s">
        <v>27248</v>
      </c>
      <c r="I3724" t="s">
        <v>34446</v>
      </c>
      <c r="J3724" t="s">
        <v>7443</v>
      </c>
      <c r="L3724" t="s">
        <v>27250</v>
      </c>
      <c r="M3724" t="s">
        <v>27251</v>
      </c>
      <c r="N3724" t="s">
        <v>27252</v>
      </c>
      <c r="P3724" t="s">
        <v>27925</v>
      </c>
      <c r="Q3724" s="1">
        <v>44538</v>
      </c>
      <c r="R3724" t="s">
        <v>27253</v>
      </c>
      <c r="S3724" t="s">
        <v>27254</v>
      </c>
      <c r="T3724" t="s">
        <v>27269</v>
      </c>
    </row>
    <row r="3725" spans="1:20" x14ac:dyDescent="0.3">
      <c r="A3725" t="str">
        <f>"0611833831025"</f>
        <v>0611833831025</v>
      </c>
      <c r="B3725" t="str">
        <f>"MC4347"</f>
        <v>MC4347</v>
      </c>
      <c r="C3725" t="s">
        <v>34447</v>
      </c>
      <c r="D3725" t="s">
        <v>28057</v>
      </c>
      <c r="E3725" t="str">
        <f t="shared" si="58"/>
        <v>001390</v>
      </c>
      <c r="F3725" t="s">
        <v>27246</v>
      </c>
      <c r="G3725" t="s">
        <v>27247</v>
      </c>
      <c r="H3725" t="s">
        <v>27248</v>
      </c>
      <c r="I3725" t="s">
        <v>34448</v>
      </c>
      <c r="J3725" t="s">
        <v>7445</v>
      </c>
      <c r="L3725" t="s">
        <v>27250</v>
      </c>
      <c r="M3725" t="s">
        <v>27251</v>
      </c>
      <c r="N3725" t="s">
        <v>27252</v>
      </c>
      <c r="P3725" t="s">
        <v>27925</v>
      </c>
      <c r="Q3725" s="1">
        <v>44538</v>
      </c>
      <c r="R3725" t="s">
        <v>27253</v>
      </c>
      <c r="S3725" t="s">
        <v>27254</v>
      </c>
      <c r="T3725" t="s">
        <v>27269</v>
      </c>
    </row>
    <row r="3726" spans="1:20" x14ac:dyDescent="0.3">
      <c r="A3726" t="str">
        <f>"0611833832025"</f>
        <v>0611833832025</v>
      </c>
      <c r="B3726" t="str">
        <f>"MC3220"</f>
        <v>MC3220</v>
      </c>
      <c r="C3726" t="s">
        <v>34449</v>
      </c>
      <c r="D3726" t="s">
        <v>28057</v>
      </c>
      <c r="E3726" t="str">
        <f t="shared" si="58"/>
        <v>001390</v>
      </c>
      <c r="F3726" t="s">
        <v>27246</v>
      </c>
      <c r="G3726" t="s">
        <v>27247</v>
      </c>
      <c r="H3726" t="s">
        <v>27248</v>
      </c>
      <c r="I3726" t="s">
        <v>34450</v>
      </c>
      <c r="J3726" t="s">
        <v>7447</v>
      </c>
      <c r="L3726" t="s">
        <v>27250</v>
      </c>
      <c r="M3726" t="s">
        <v>27251</v>
      </c>
      <c r="N3726" t="s">
        <v>27252</v>
      </c>
      <c r="P3726" t="s">
        <v>27925</v>
      </c>
      <c r="Q3726" s="1">
        <v>44538</v>
      </c>
      <c r="R3726" t="s">
        <v>27253</v>
      </c>
      <c r="S3726" t="s">
        <v>27254</v>
      </c>
      <c r="T3726" t="s">
        <v>27269</v>
      </c>
    </row>
    <row r="3727" spans="1:20" x14ac:dyDescent="0.3">
      <c r="A3727" t="str">
        <f>"0611833833025"</f>
        <v>0611833833025</v>
      </c>
      <c r="B3727" t="str">
        <f>"MC0237"</f>
        <v>MC0237</v>
      </c>
      <c r="C3727" t="s">
        <v>34451</v>
      </c>
      <c r="D3727" t="s">
        <v>27267</v>
      </c>
      <c r="E3727" t="str">
        <f t="shared" si="58"/>
        <v>001390</v>
      </c>
      <c r="F3727" t="s">
        <v>27246</v>
      </c>
      <c r="G3727" t="s">
        <v>27247</v>
      </c>
      <c r="H3727" t="s">
        <v>27248</v>
      </c>
      <c r="I3727" t="s">
        <v>34452</v>
      </c>
      <c r="J3727" t="s">
        <v>7449</v>
      </c>
      <c r="L3727" t="s">
        <v>27250</v>
      </c>
      <c r="M3727" t="s">
        <v>27251</v>
      </c>
      <c r="N3727" t="s">
        <v>27252</v>
      </c>
      <c r="Q3727" s="1">
        <v>44538</v>
      </c>
      <c r="R3727" t="s">
        <v>27253</v>
      </c>
      <c r="S3727" t="s">
        <v>27254</v>
      </c>
      <c r="T3727" t="s">
        <v>27269</v>
      </c>
    </row>
    <row r="3728" spans="1:20" x14ac:dyDescent="0.3">
      <c r="A3728" t="str">
        <f>"0611861739100"</f>
        <v>0611861739100</v>
      </c>
      <c r="B3728" t="str">
        <f>"CN5091"</f>
        <v>CN5091</v>
      </c>
      <c r="C3728" t="s">
        <v>34453</v>
      </c>
      <c r="D3728" t="s">
        <v>27335</v>
      </c>
      <c r="E3728" t="str">
        <f t="shared" si="58"/>
        <v>001390</v>
      </c>
      <c r="F3728" t="s">
        <v>27246</v>
      </c>
      <c r="G3728" t="s">
        <v>27247</v>
      </c>
      <c r="H3728" t="s">
        <v>27248</v>
      </c>
      <c r="I3728" t="s">
        <v>34454</v>
      </c>
      <c r="J3728" t="s">
        <v>7451</v>
      </c>
      <c r="L3728" t="s">
        <v>27250</v>
      </c>
      <c r="M3728" t="s">
        <v>27251</v>
      </c>
      <c r="N3728" t="s">
        <v>27252</v>
      </c>
      <c r="Q3728" s="1">
        <v>44846</v>
      </c>
      <c r="R3728" t="s">
        <v>27253</v>
      </c>
      <c r="S3728" t="s">
        <v>27254</v>
      </c>
      <c r="T3728" t="s">
        <v>27255</v>
      </c>
    </row>
    <row r="3729" spans="1:20" x14ac:dyDescent="0.3">
      <c r="A3729" t="str">
        <f>"0611861740050"</f>
        <v>0611861740050</v>
      </c>
      <c r="B3729" t="str">
        <f>"CR3794"</f>
        <v>CR3794</v>
      </c>
      <c r="C3729" t="s">
        <v>34455</v>
      </c>
      <c r="D3729" t="s">
        <v>27263</v>
      </c>
      <c r="E3729" t="str">
        <f t="shared" si="58"/>
        <v>001390</v>
      </c>
      <c r="F3729" t="s">
        <v>27246</v>
      </c>
      <c r="G3729" t="s">
        <v>27247</v>
      </c>
      <c r="H3729" t="s">
        <v>27248</v>
      </c>
      <c r="I3729" t="s">
        <v>34456</v>
      </c>
      <c r="J3729" t="s">
        <v>7453</v>
      </c>
      <c r="L3729" t="s">
        <v>27250</v>
      </c>
      <c r="M3729" t="s">
        <v>27251</v>
      </c>
      <c r="N3729" t="s">
        <v>27252</v>
      </c>
      <c r="Q3729" s="1">
        <v>44846</v>
      </c>
      <c r="R3729" t="s">
        <v>27253</v>
      </c>
      <c r="S3729" t="s">
        <v>27254</v>
      </c>
      <c r="T3729" t="s">
        <v>27265</v>
      </c>
    </row>
    <row r="3730" spans="1:20" x14ac:dyDescent="0.3">
      <c r="A3730" t="str">
        <f>"0611861741100"</f>
        <v>0611861741100</v>
      </c>
      <c r="B3730" t="str">
        <f>"CN5092"</f>
        <v>CN5092</v>
      </c>
      <c r="C3730" t="s">
        <v>34457</v>
      </c>
      <c r="D3730" t="s">
        <v>27335</v>
      </c>
      <c r="E3730" t="str">
        <f t="shared" si="58"/>
        <v>001390</v>
      </c>
      <c r="F3730" t="s">
        <v>27246</v>
      </c>
      <c r="G3730" t="s">
        <v>27247</v>
      </c>
      <c r="H3730" t="s">
        <v>27248</v>
      </c>
      <c r="I3730" t="s">
        <v>34458</v>
      </c>
      <c r="J3730" t="s">
        <v>7455</v>
      </c>
      <c r="L3730" t="s">
        <v>27250</v>
      </c>
      <c r="M3730" t="s">
        <v>27251</v>
      </c>
      <c r="N3730" t="s">
        <v>27252</v>
      </c>
      <c r="Q3730" s="1">
        <v>44846</v>
      </c>
      <c r="R3730" t="s">
        <v>27253</v>
      </c>
      <c r="S3730" t="s">
        <v>27254</v>
      </c>
      <c r="T3730" t="s">
        <v>27255</v>
      </c>
    </row>
    <row r="3731" spans="1:20" x14ac:dyDescent="0.3">
      <c r="A3731" t="str">
        <f>"0611861742050"</f>
        <v>0611861742050</v>
      </c>
      <c r="B3731" t="str">
        <f>"CR2636"</f>
        <v>CR2636</v>
      </c>
      <c r="C3731" t="s">
        <v>34459</v>
      </c>
      <c r="D3731" t="s">
        <v>27286</v>
      </c>
      <c r="E3731" t="str">
        <f t="shared" si="58"/>
        <v>001390</v>
      </c>
      <c r="F3731" t="s">
        <v>27246</v>
      </c>
      <c r="G3731" t="s">
        <v>27247</v>
      </c>
      <c r="H3731" t="s">
        <v>27248</v>
      </c>
      <c r="I3731" t="s">
        <v>34460</v>
      </c>
      <c r="J3731" t="s">
        <v>7457</v>
      </c>
      <c r="L3731" t="s">
        <v>27250</v>
      </c>
      <c r="M3731" t="s">
        <v>27251</v>
      </c>
      <c r="N3731" t="s">
        <v>27252</v>
      </c>
      <c r="Q3731" s="1">
        <v>44846</v>
      </c>
      <c r="R3731" t="s">
        <v>27253</v>
      </c>
      <c r="S3731" t="s">
        <v>27254</v>
      </c>
      <c r="T3731" t="s">
        <v>27265</v>
      </c>
    </row>
    <row r="3732" spans="1:20" x14ac:dyDescent="0.3">
      <c r="A3732" t="str">
        <f>"0611861743100"</f>
        <v>0611861743100</v>
      </c>
      <c r="B3732" t="str">
        <f>"CN5093"</f>
        <v>CN5093</v>
      </c>
      <c r="C3732" t="s">
        <v>34461</v>
      </c>
      <c r="D3732" t="s">
        <v>27335</v>
      </c>
      <c r="E3732" t="str">
        <f t="shared" si="58"/>
        <v>001390</v>
      </c>
      <c r="F3732" t="s">
        <v>27246</v>
      </c>
      <c r="G3732" t="s">
        <v>27247</v>
      </c>
      <c r="H3732" t="s">
        <v>27248</v>
      </c>
      <c r="I3732" t="s">
        <v>34462</v>
      </c>
      <c r="J3732" t="s">
        <v>7459</v>
      </c>
      <c r="L3732" t="s">
        <v>27250</v>
      </c>
      <c r="M3732" t="s">
        <v>27251</v>
      </c>
      <c r="N3732" t="s">
        <v>27252</v>
      </c>
      <c r="Q3732" s="1">
        <v>44846</v>
      </c>
      <c r="R3732" t="s">
        <v>27253</v>
      </c>
      <c r="S3732" t="s">
        <v>27254</v>
      </c>
      <c r="T3732" t="s">
        <v>27255</v>
      </c>
    </row>
    <row r="3733" spans="1:20" x14ac:dyDescent="0.3">
      <c r="A3733" t="str">
        <f>"0611861744050"</f>
        <v>0611861744050</v>
      </c>
      <c r="B3733" t="str">
        <f>"CR3599"</f>
        <v>CR3599</v>
      </c>
      <c r="C3733" t="s">
        <v>34461</v>
      </c>
      <c r="D3733" t="s">
        <v>27263</v>
      </c>
      <c r="E3733" t="str">
        <f t="shared" si="58"/>
        <v>001390</v>
      </c>
      <c r="F3733" t="s">
        <v>27246</v>
      </c>
      <c r="G3733" t="s">
        <v>27247</v>
      </c>
      <c r="H3733" t="s">
        <v>27248</v>
      </c>
      <c r="I3733" t="s">
        <v>34463</v>
      </c>
      <c r="J3733" t="s">
        <v>7461</v>
      </c>
      <c r="L3733" t="s">
        <v>27250</v>
      </c>
      <c r="M3733" t="s">
        <v>27251</v>
      </c>
      <c r="N3733" t="s">
        <v>27252</v>
      </c>
      <c r="Q3733" s="1">
        <v>44846</v>
      </c>
      <c r="R3733" t="s">
        <v>27253</v>
      </c>
      <c r="S3733" t="s">
        <v>27254</v>
      </c>
      <c r="T3733" t="s">
        <v>27265</v>
      </c>
    </row>
    <row r="3734" spans="1:20" x14ac:dyDescent="0.3">
      <c r="A3734" t="str">
        <f>"0611861745100"</f>
        <v>0611861745100</v>
      </c>
      <c r="B3734" t="str">
        <f>"CN5094"</f>
        <v>CN5094</v>
      </c>
      <c r="C3734" t="s">
        <v>34464</v>
      </c>
      <c r="D3734" t="s">
        <v>27335</v>
      </c>
      <c r="E3734" t="str">
        <f t="shared" si="58"/>
        <v>001390</v>
      </c>
      <c r="F3734" t="s">
        <v>27246</v>
      </c>
      <c r="G3734" t="s">
        <v>27247</v>
      </c>
      <c r="H3734" t="s">
        <v>27248</v>
      </c>
      <c r="I3734" t="s">
        <v>34465</v>
      </c>
      <c r="J3734" t="s">
        <v>7463</v>
      </c>
      <c r="L3734" t="s">
        <v>27250</v>
      </c>
      <c r="M3734" t="s">
        <v>27251</v>
      </c>
      <c r="N3734" t="s">
        <v>27252</v>
      </c>
      <c r="Q3734" s="1">
        <v>44846</v>
      </c>
      <c r="R3734" t="s">
        <v>27253</v>
      </c>
      <c r="S3734" t="s">
        <v>27254</v>
      </c>
      <c r="T3734" t="s">
        <v>27255</v>
      </c>
    </row>
    <row r="3735" spans="1:20" x14ac:dyDescent="0.3">
      <c r="A3735" t="str">
        <f>"0611861746100"</f>
        <v>0611861746100</v>
      </c>
      <c r="B3735" t="str">
        <f>"CN5095"</f>
        <v>CN5095</v>
      </c>
      <c r="C3735" t="s">
        <v>34466</v>
      </c>
      <c r="D3735" t="s">
        <v>27335</v>
      </c>
      <c r="E3735" t="str">
        <f t="shared" si="58"/>
        <v>001390</v>
      </c>
      <c r="F3735" t="s">
        <v>27246</v>
      </c>
      <c r="G3735" t="s">
        <v>27247</v>
      </c>
      <c r="H3735" t="s">
        <v>27248</v>
      </c>
      <c r="I3735" t="s">
        <v>34467</v>
      </c>
      <c r="J3735" t="s">
        <v>7465</v>
      </c>
      <c r="L3735" t="s">
        <v>27250</v>
      </c>
      <c r="M3735" t="s">
        <v>27251</v>
      </c>
      <c r="N3735" t="s">
        <v>27252</v>
      </c>
      <c r="Q3735" s="1">
        <v>44846</v>
      </c>
      <c r="R3735" t="s">
        <v>27253</v>
      </c>
      <c r="S3735" t="s">
        <v>27254</v>
      </c>
      <c r="T3735" t="s">
        <v>27255</v>
      </c>
    </row>
    <row r="3736" spans="1:20" x14ac:dyDescent="0.3">
      <c r="A3736" t="str">
        <f>"0611861747050"</f>
        <v>0611861747050</v>
      </c>
      <c r="B3736" t="str">
        <f>"CR3842"</f>
        <v>CR3842</v>
      </c>
      <c r="C3736" t="s">
        <v>34468</v>
      </c>
      <c r="D3736" t="s">
        <v>27286</v>
      </c>
      <c r="E3736" t="str">
        <f t="shared" si="58"/>
        <v>001390</v>
      </c>
      <c r="F3736" t="s">
        <v>27246</v>
      </c>
      <c r="G3736" t="s">
        <v>27247</v>
      </c>
      <c r="H3736" t="s">
        <v>27248</v>
      </c>
      <c r="I3736" t="s">
        <v>34469</v>
      </c>
      <c r="J3736" t="s">
        <v>7467</v>
      </c>
      <c r="L3736" t="s">
        <v>27250</v>
      </c>
      <c r="M3736" t="s">
        <v>27251</v>
      </c>
      <c r="N3736" t="s">
        <v>27252</v>
      </c>
      <c r="Q3736" s="1">
        <v>44846</v>
      </c>
      <c r="R3736" t="s">
        <v>27253</v>
      </c>
      <c r="S3736" t="s">
        <v>27254</v>
      </c>
      <c r="T3736" t="s">
        <v>27265</v>
      </c>
    </row>
    <row r="3737" spans="1:20" x14ac:dyDescent="0.3">
      <c r="A3737" t="str">
        <f>"0611856898025"</f>
        <v>0611856898025</v>
      </c>
      <c r="B3737" t="str">
        <f>"MQ0770"</f>
        <v>MQ0770</v>
      </c>
      <c r="C3737" t="s">
        <v>34470</v>
      </c>
      <c r="D3737" t="s">
        <v>27267</v>
      </c>
      <c r="E3737" t="str">
        <f t="shared" si="58"/>
        <v>001390</v>
      </c>
      <c r="F3737" t="s">
        <v>27246</v>
      </c>
      <c r="G3737" t="s">
        <v>27247</v>
      </c>
      <c r="H3737" t="s">
        <v>27248</v>
      </c>
      <c r="I3737" t="s">
        <v>34471</v>
      </c>
      <c r="J3737" t="s">
        <v>7471</v>
      </c>
      <c r="L3737" t="s">
        <v>27250</v>
      </c>
      <c r="M3737" t="s">
        <v>27251</v>
      </c>
      <c r="N3737" t="s">
        <v>27252</v>
      </c>
      <c r="Q3737" s="1">
        <v>44812</v>
      </c>
      <c r="R3737" t="s">
        <v>27253</v>
      </c>
      <c r="S3737" t="s">
        <v>27254</v>
      </c>
      <c r="T3737" t="s">
        <v>27269</v>
      </c>
    </row>
    <row r="3738" spans="1:20" x14ac:dyDescent="0.3">
      <c r="A3738" t="str">
        <f>"0611861748100"</f>
        <v>0611861748100</v>
      </c>
      <c r="B3738" t="str">
        <f>"CN2354"</f>
        <v>CN2354</v>
      </c>
      <c r="C3738" t="s">
        <v>34470</v>
      </c>
      <c r="D3738" t="s">
        <v>27335</v>
      </c>
      <c r="E3738" t="str">
        <f t="shared" si="58"/>
        <v>001390</v>
      </c>
      <c r="F3738" t="s">
        <v>27246</v>
      </c>
      <c r="G3738" t="s">
        <v>27247</v>
      </c>
      <c r="H3738" t="s">
        <v>27248</v>
      </c>
      <c r="I3738" t="s">
        <v>34472</v>
      </c>
      <c r="J3738" t="s">
        <v>7469</v>
      </c>
      <c r="L3738" t="s">
        <v>27250</v>
      </c>
      <c r="M3738" t="s">
        <v>27251</v>
      </c>
      <c r="N3738" t="s">
        <v>27252</v>
      </c>
      <c r="Q3738" s="1">
        <v>44846</v>
      </c>
      <c r="R3738" t="s">
        <v>27253</v>
      </c>
      <c r="S3738" t="s">
        <v>27254</v>
      </c>
      <c r="T3738" t="s">
        <v>27255</v>
      </c>
    </row>
    <row r="3739" spans="1:20" x14ac:dyDescent="0.3">
      <c r="A3739" t="str">
        <f>"0611856899025"</f>
        <v>0611856899025</v>
      </c>
      <c r="B3739" t="str">
        <f>"MQ0771"</f>
        <v>MQ0771</v>
      </c>
      <c r="C3739" t="s">
        <v>34473</v>
      </c>
      <c r="D3739" t="s">
        <v>27267</v>
      </c>
      <c r="E3739" t="str">
        <f t="shared" si="58"/>
        <v>001390</v>
      </c>
      <c r="F3739" t="s">
        <v>27246</v>
      </c>
      <c r="G3739" t="s">
        <v>27247</v>
      </c>
      <c r="H3739" t="s">
        <v>27248</v>
      </c>
      <c r="I3739" t="s">
        <v>34474</v>
      </c>
      <c r="J3739" t="s">
        <v>7475</v>
      </c>
      <c r="L3739" t="s">
        <v>27250</v>
      </c>
      <c r="M3739" t="s">
        <v>27251</v>
      </c>
      <c r="N3739" t="s">
        <v>27252</v>
      </c>
      <c r="Q3739" s="1">
        <v>44812</v>
      </c>
      <c r="R3739" t="s">
        <v>27253</v>
      </c>
      <c r="S3739" t="s">
        <v>27254</v>
      </c>
      <c r="T3739" t="s">
        <v>27269</v>
      </c>
    </row>
    <row r="3740" spans="1:20" x14ac:dyDescent="0.3">
      <c r="A3740" t="str">
        <f>"0611861749100"</f>
        <v>0611861749100</v>
      </c>
      <c r="B3740" t="str">
        <f>"CN2355"</f>
        <v>CN2355</v>
      </c>
      <c r="C3740" t="s">
        <v>34473</v>
      </c>
      <c r="D3740" t="s">
        <v>27335</v>
      </c>
      <c r="E3740" t="str">
        <f t="shared" si="58"/>
        <v>001390</v>
      </c>
      <c r="F3740" t="s">
        <v>27246</v>
      </c>
      <c r="G3740" t="s">
        <v>27247</v>
      </c>
      <c r="H3740" t="s">
        <v>27248</v>
      </c>
      <c r="I3740" t="s">
        <v>34475</v>
      </c>
      <c r="J3740" t="s">
        <v>7473</v>
      </c>
      <c r="L3740" t="s">
        <v>27250</v>
      </c>
      <c r="M3740" t="s">
        <v>27251</v>
      </c>
      <c r="N3740" t="s">
        <v>27252</v>
      </c>
      <c r="Q3740" s="1">
        <v>44846</v>
      </c>
      <c r="R3740" t="s">
        <v>27253</v>
      </c>
      <c r="S3740" t="s">
        <v>27254</v>
      </c>
      <c r="T3740" t="s">
        <v>27255</v>
      </c>
    </row>
    <row r="3741" spans="1:20" x14ac:dyDescent="0.3">
      <c r="A3741" t="str">
        <f>"0611861750050"</f>
        <v>0611861750050</v>
      </c>
      <c r="B3741" t="str">
        <f>"CR3932"</f>
        <v>CR3932</v>
      </c>
      <c r="C3741" t="s">
        <v>34476</v>
      </c>
      <c r="D3741" t="s">
        <v>27263</v>
      </c>
      <c r="E3741" t="str">
        <f t="shared" si="58"/>
        <v>001390</v>
      </c>
      <c r="F3741" t="s">
        <v>27246</v>
      </c>
      <c r="G3741" t="s">
        <v>27247</v>
      </c>
      <c r="H3741" t="s">
        <v>27248</v>
      </c>
      <c r="I3741" t="s">
        <v>34477</v>
      </c>
      <c r="J3741" t="s">
        <v>7477</v>
      </c>
      <c r="L3741" t="s">
        <v>27250</v>
      </c>
      <c r="M3741" t="s">
        <v>27251</v>
      </c>
      <c r="N3741" t="s">
        <v>27252</v>
      </c>
      <c r="Q3741" s="1">
        <v>44846</v>
      </c>
      <c r="R3741" t="s">
        <v>27253</v>
      </c>
      <c r="S3741" t="s">
        <v>27254</v>
      </c>
      <c r="T3741" t="s">
        <v>27265</v>
      </c>
    </row>
    <row r="3742" spans="1:20" x14ac:dyDescent="0.3">
      <c r="A3742" t="str">
        <f>"0611856900025"</f>
        <v>0611856900025</v>
      </c>
      <c r="B3742" t="str">
        <f>"MQ0772"</f>
        <v>MQ0772</v>
      </c>
      <c r="C3742" t="s">
        <v>34478</v>
      </c>
      <c r="D3742" t="s">
        <v>27267</v>
      </c>
      <c r="E3742" t="str">
        <f t="shared" si="58"/>
        <v>001390</v>
      </c>
      <c r="F3742" t="s">
        <v>27246</v>
      </c>
      <c r="G3742" t="s">
        <v>27247</v>
      </c>
      <c r="H3742" t="s">
        <v>27248</v>
      </c>
      <c r="I3742" t="s">
        <v>34479</v>
      </c>
      <c r="J3742" t="s">
        <v>7481</v>
      </c>
      <c r="L3742" t="s">
        <v>27250</v>
      </c>
      <c r="M3742" t="s">
        <v>27251</v>
      </c>
      <c r="N3742" t="s">
        <v>27252</v>
      </c>
      <c r="Q3742" s="1">
        <v>44812</v>
      </c>
      <c r="R3742" t="s">
        <v>27253</v>
      </c>
      <c r="S3742" t="s">
        <v>27254</v>
      </c>
      <c r="T3742" t="s">
        <v>27269</v>
      </c>
    </row>
    <row r="3743" spans="1:20" x14ac:dyDescent="0.3">
      <c r="A3743" t="str">
        <f>"0611861751100"</f>
        <v>0611861751100</v>
      </c>
      <c r="B3743" t="str">
        <f>"CN2356"</f>
        <v>CN2356</v>
      </c>
      <c r="C3743" t="s">
        <v>34478</v>
      </c>
      <c r="D3743" t="s">
        <v>27335</v>
      </c>
      <c r="E3743" t="str">
        <f t="shared" si="58"/>
        <v>001390</v>
      </c>
      <c r="F3743" t="s">
        <v>27246</v>
      </c>
      <c r="G3743" t="s">
        <v>27247</v>
      </c>
      <c r="H3743" t="s">
        <v>27248</v>
      </c>
      <c r="I3743" t="s">
        <v>34480</v>
      </c>
      <c r="J3743" t="s">
        <v>7479</v>
      </c>
      <c r="L3743" t="s">
        <v>27250</v>
      </c>
      <c r="M3743" t="s">
        <v>27251</v>
      </c>
      <c r="N3743" t="s">
        <v>27252</v>
      </c>
      <c r="Q3743" s="1">
        <v>44846</v>
      </c>
      <c r="R3743" t="s">
        <v>27253</v>
      </c>
      <c r="S3743" t="s">
        <v>27254</v>
      </c>
      <c r="T3743" t="s">
        <v>27255</v>
      </c>
    </row>
    <row r="3744" spans="1:20" x14ac:dyDescent="0.3">
      <c r="A3744" t="str">
        <f>"0611856901025"</f>
        <v>0611856901025</v>
      </c>
      <c r="B3744" t="str">
        <f>"MQ0773"</f>
        <v>MQ0773</v>
      </c>
      <c r="C3744" t="s">
        <v>34481</v>
      </c>
      <c r="D3744" t="s">
        <v>27267</v>
      </c>
      <c r="E3744" t="str">
        <f t="shared" si="58"/>
        <v>001390</v>
      </c>
      <c r="F3744" t="s">
        <v>27246</v>
      </c>
      <c r="G3744" t="s">
        <v>27247</v>
      </c>
      <c r="H3744" t="s">
        <v>27248</v>
      </c>
      <c r="I3744" t="s">
        <v>34482</v>
      </c>
      <c r="J3744" t="s">
        <v>7485</v>
      </c>
      <c r="L3744" t="s">
        <v>27250</v>
      </c>
      <c r="M3744" t="s">
        <v>27251</v>
      </c>
      <c r="N3744" t="s">
        <v>27252</v>
      </c>
      <c r="Q3744" s="1">
        <v>44812</v>
      </c>
      <c r="R3744" t="s">
        <v>27253</v>
      </c>
      <c r="S3744" t="s">
        <v>27254</v>
      </c>
      <c r="T3744" t="s">
        <v>27269</v>
      </c>
    </row>
    <row r="3745" spans="1:20" x14ac:dyDescent="0.3">
      <c r="A3745" t="str">
        <f>"0611861752100"</f>
        <v>0611861752100</v>
      </c>
      <c r="B3745" t="str">
        <f>"CN2357"</f>
        <v>CN2357</v>
      </c>
      <c r="C3745" t="s">
        <v>34481</v>
      </c>
      <c r="D3745" t="s">
        <v>27335</v>
      </c>
      <c r="E3745" t="str">
        <f t="shared" si="58"/>
        <v>001390</v>
      </c>
      <c r="F3745" t="s">
        <v>27246</v>
      </c>
      <c r="G3745" t="s">
        <v>27247</v>
      </c>
      <c r="H3745" t="s">
        <v>27248</v>
      </c>
      <c r="I3745" t="s">
        <v>34483</v>
      </c>
      <c r="J3745" t="s">
        <v>7483</v>
      </c>
      <c r="L3745" t="s">
        <v>27250</v>
      </c>
      <c r="M3745" t="s">
        <v>27251</v>
      </c>
      <c r="N3745" t="s">
        <v>27252</v>
      </c>
      <c r="Q3745" s="1">
        <v>44846</v>
      </c>
      <c r="R3745" t="s">
        <v>27253</v>
      </c>
      <c r="S3745" t="s">
        <v>27254</v>
      </c>
      <c r="T3745" t="s">
        <v>27255</v>
      </c>
    </row>
    <row r="3746" spans="1:20" x14ac:dyDescent="0.3">
      <c r="A3746" t="str">
        <f>"0611856902025"</f>
        <v>0611856902025</v>
      </c>
      <c r="B3746" t="str">
        <f>"MQ0774"</f>
        <v>MQ0774</v>
      </c>
      <c r="C3746" t="s">
        <v>34484</v>
      </c>
      <c r="D3746" t="s">
        <v>27267</v>
      </c>
      <c r="E3746" t="str">
        <f t="shared" si="58"/>
        <v>001390</v>
      </c>
      <c r="F3746" t="s">
        <v>27246</v>
      </c>
      <c r="G3746" t="s">
        <v>27247</v>
      </c>
      <c r="H3746" t="s">
        <v>27248</v>
      </c>
      <c r="I3746" t="s">
        <v>34485</v>
      </c>
      <c r="J3746" t="s">
        <v>7489</v>
      </c>
      <c r="L3746" t="s">
        <v>27250</v>
      </c>
      <c r="M3746" t="s">
        <v>27251</v>
      </c>
      <c r="N3746" t="s">
        <v>27252</v>
      </c>
      <c r="Q3746" s="1">
        <v>44812</v>
      </c>
      <c r="R3746" t="s">
        <v>27253</v>
      </c>
      <c r="S3746" t="s">
        <v>27254</v>
      </c>
      <c r="T3746" t="s">
        <v>27269</v>
      </c>
    </row>
    <row r="3747" spans="1:20" x14ac:dyDescent="0.3">
      <c r="A3747" t="str">
        <f>"0611861753100"</f>
        <v>0611861753100</v>
      </c>
      <c r="B3747" t="str">
        <f>"CN2358"</f>
        <v>CN2358</v>
      </c>
      <c r="C3747" t="s">
        <v>34484</v>
      </c>
      <c r="D3747" t="s">
        <v>27335</v>
      </c>
      <c r="E3747" t="str">
        <f t="shared" si="58"/>
        <v>001390</v>
      </c>
      <c r="F3747" t="s">
        <v>27246</v>
      </c>
      <c r="G3747" t="s">
        <v>27247</v>
      </c>
      <c r="H3747" t="s">
        <v>27248</v>
      </c>
      <c r="I3747" t="s">
        <v>34486</v>
      </c>
      <c r="J3747" t="s">
        <v>7487</v>
      </c>
      <c r="L3747" t="s">
        <v>27250</v>
      </c>
      <c r="M3747" t="s">
        <v>27251</v>
      </c>
      <c r="N3747" t="s">
        <v>27252</v>
      </c>
      <c r="Q3747" s="1">
        <v>44846</v>
      </c>
      <c r="R3747" t="s">
        <v>27253</v>
      </c>
      <c r="S3747" t="s">
        <v>27254</v>
      </c>
      <c r="T3747" t="s">
        <v>27255</v>
      </c>
    </row>
    <row r="3748" spans="1:20" x14ac:dyDescent="0.3">
      <c r="A3748" t="str">
        <f>"0611861754050"</f>
        <v>0611861754050</v>
      </c>
      <c r="B3748" t="str">
        <f>"CR3933"</f>
        <v>CR3933</v>
      </c>
      <c r="C3748" t="s">
        <v>34487</v>
      </c>
      <c r="D3748" t="s">
        <v>27263</v>
      </c>
      <c r="E3748" t="str">
        <f t="shared" si="58"/>
        <v>001390</v>
      </c>
      <c r="F3748" t="s">
        <v>27246</v>
      </c>
      <c r="G3748" t="s">
        <v>27247</v>
      </c>
      <c r="H3748" t="s">
        <v>27248</v>
      </c>
      <c r="I3748" t="s">
        <v>34488</v>
      </c>
      <c r="J3748" t="s">
        <v>7491</v>
      </c>
      <c r="L3748" t="s">
        <v>27250</v>
      </c>
      <c r="M3748" t="s">
        <v>27251</v>
      </c>
      <c r="N3748" t="s">
        <v>27252</v>
      </c>
      <c r="Q3748" s="1">
        <v>44846</v>
      </c>
      <c r="R3748" t="s">
        <v>27253</v>
      </c>
      <c r="S3748" t="s">
        <v>27254</v>
      </c>
      <c r="T3748" t="s">
        <v>27265</v>
      </c>
    </row>
    <row r="3749" spans="1:20" x14ac:dyDescent="0.3">
      <c r="A3749" t="str">
        <f>"0611833838025"</f>
        <v>0611833838025</v>
      </c>
      <c r="B3749" t="str">
        <f>"MC0239"</f>
        <v>MC0239</v>
      </c>
      <c r="C3749" t="s">
        <v>34489</v>
      </c>
      <c r="D3749" t="s">
        <v>27267</v>
      </c>
      <c r="E3749" t="str">
        <f t="shared" si="58"/>
        <v>001390</v>
      </c>
      <c r="F3749" t="s">
        <v>27246</v>
      </c>
      <c r="G3749" t="s">
        <v>27247</v>
      </c>
      <c r="H3749" t="s">
        <v>27248</v>
      </c>
      <c r="I3749" t="s">
        <v>34490</v>
      </c>
      <c r="J3749" t="s">
        <v>7505</v>
      </c>
      <c r="L3749" t="s">
        <v>27250</v>
      </c>
      <c r="M3749" t="s">
        <v>27251</v>
      </c>
      <c r="N3749" t="s">
        <v>27252</v>
      </c>
      <c r="Q3749" s="1">
        <v>44538</v>
      </c>
      <c r="R3749" t="s">
        <v>27253</v>
      </c>
      <c r="S3749" t="s">
        <v>27254</v>
      </c>
      <c r="T3749" t="s">
        <v>27269</v>
      </c>
    </row>
    <row r="3750" spans="1:20" x14ac:dyDescent="0.3">
      <c r="A3750" t="str">
        <f>"0611856903100"</f>
        <v>0611856903100</v>
      </c>
      <c r="B3750" t="str">
        <f>"LG8044"</f>
        <v>LG8044</v>
      </c>
      <c r="C3750" t="s">
        <v>34491</v>
      </c>
      <c r="D3750" t="s">
        <v>27245</v>
      </c>
      <c r="E3750" t="str">
        <f t="shared" si="58"/>
        <v>001390</v>
      </c>
      <c r="F3750" t="s">
        <v>27246</v>
      </c>
      <c r="G3750" t="s">
        <v>27247</v>
      </c>
      <c r="H3750" t="s">
        <v>27248</v>
      </c>
      <c r="I3750" t="s">
        <v>34492</v>
      </c>
      <c r="J3750" t="s">
        <v>7493</v>
      </c>
      <c r="L3750" t="s">
        <v>27250</v>
      </c>
      <c r="M3750" t="s">
        <v>27251</v>
      </c>
      <c r="N3750" t="s">
        <v>27252</v>
      </c>
      <c r="Q3750" s="1">
        <v>44812</v>
      </c>
      <c r="R3750" t="s">
        <v>27253</v>
      </c>
      <c r="S3750" t="s">
        <v>27254</v>
      </c>
      <c r="T3750" t="s">
        <v>27255</v>
      </c>
    </row>
    <row r="3751" spans="1:20" x14ac:dyDescent="0.3">
      <c r="A3751" t="str">
        <f>"0611856904100"</f>
        <v>0611856904100</v>
      </c>
      <c r="B3751" t="str">
        <f>"LG8045"</f>
        <v>LG8045</v>
      </c>
      <c r="C3751" t="s">
        <v>34493</v>
      </c>
      <c r="D3751" t="s">
        <v>27245</v>
      </c>
      <c r="E3751" t="str">
        <f t="shared" si="58"/>
        <v>001390</v>
      </c>
      <c r="F3751" t="s">
        <v>27246</v>
      </c>
      <c r="G3751" t="s">
        <v>27247</v>
      </c>
      <c r="H3751" t="s">
        <v>27248</v>
      </c>
      <c r="I3751" t="s">
        <v>34494</v>
      </c>
      <c r="J3751" t="s">
        <v>7495</v>
      </c>
      <c r="L3751" t="s">
        <v>27250</v>
      </c>
      <c r="M3751" t="s">
        <v>27251</v>
      </c>
      <c r="N3751" t="s">
        <v>27252</v>
      </c>
      <c r="Q3751" s="1">
        <v>44812</v>
      </c>
      <c r="R3751" t="s">
        <v>27253</v>
      </c>
      <c r="S3751" t="s">
        <v>27254</v>
      </c>
      <c r="T3751" t="s">
        <v>27255</v>
      </c>
    </row>
    <row r="3752" spans="1:20" x14ac:dyDescent="0.3">
      <c r="A3752" t="str">
        <f>"0611856905100"</f>
        <v>0611856905100</v>
      </c>
      <c r="B3752" t="str">
        <f>"LG8046"</f>
        <v>LG8046</v>
      </c>
      <c r="C3752" t="s">
        <v>34495</v>
      </c>
      <c r="D3752" t="s">
        <v>27245</v>
      </c>
      <c r="E3752" t="str">
        <f t="shared" si="58"/>
        <v>001390</v>
      </c>
      <c r="F3752" t="s">
        <v>27246</v>
      </c>
      <c r="G3752" t="s">
        <v>27247</v>
      </c>
      <c r="H3752" t="s">
        <v>27248</v>
      </c>
      <c r="I3752" t="s">
        <v>34496</v>
      </c>
      <c r="J3752" t="s">
        <v>7497</v>
      </c>
      <c r="L3752" t="s">
        <v>27250</v>
      </c>
      <c r="M3752" t="s">
        <v>27251</v>
      </c>
      <c r="N3752" t="s">
        <v>27252</v>
      </c>
      <c r="Q3752" s="1">
        <v>44812</v>
      </c>
      <c r="R3752" t="s">
        <v>27253</v>
      </c>
      <c r="S3752" t="s">
        <v>27254</v>
      </c>
      <c r="T3752" t="s">
        <v>27255</v>
      </c>
    </row>
    <row r="3753" spans="1:20" x14ac:dyDescent="0.3">
      <c r="A3753" t="str">
        <f>"0611856906100"</f>
        <v>0611856906100</v>
      </c>
      <c r="B3753" t="str">
        <f>"LG8047"</f>
        <v>LG8047</v>
      </c>
      <c r="C3753" t="s">
        <v>34497</v>
      </c>
      <c r="D3753" t="s">
        <v>27245</v>
      </c>
      <c r="E3753" t="str">
        <f t="shared" si="58"/>
        <v>001390</v>
      </c>
      <c r="F3753" t="s">
        <v>27246</v>
      </c>
      <c r="G3753" t="s">
        <v>27247</v>
      </c>
      <c r="H3753" t="s">
        <v>27248</v>
      </c>
      <c r="I3753" t="s">
        <v>34498</v>
      </c>
      <c r="J3753" t="s">
        <v>7499</v>
      </c>
      <c r="L3753" t="s">
        <v>27250</v>
      </c>
      <c r="M3753" t="s">
        <v>27251</v>
      </c>
      <c r="N3753" t="s">
        <v>27252</v>
      </c>
      <c r="Q3753" s="1">
        <v>44812</v>
      </c>
      <c r="R3753" t="s">
        <v>27253</v>
      </c>
      <c r="S3753" t="s">
        <v>27254</v>
      </c>
      <c r="T3753" t="s">
        <v>27255</v>
      </c>
    </row>
    <row r="3754" spans="1:20" x14ac:dyDescent="0.3">
      <c r="A3754" t="str">
        <f>"0611856907100"</f>
        <v>0611856907100</v>
      </c>
      <c r="B3754" t="str">
        <f>"LG8048"</f>
        <v>LG8048</v>
      </c>
      <c r="C3754" t="s">
        <v>34499</v>
      </c>
      <c r="D3754" t="s">
        <v>27245</v>
      </c>
      <c r="E3754" t="str">
        <f t="shared" si="58"/>
        <v>001390</v>
      </c>
      <c r="F3754" t="s">
        <v>27246</v>
      </c>
      <c r="G3754" t="s">
        <v>27247</v>
      </c>
      <c r="H3754" t="s">
        <v>27248</v>
      </c>
      <c r="I3754" t="s">
        <v>34500</v>
      </c>
      <c r="J3754" t="s">
        <v>7501</v>
      </c>
      <c r="L3754" t="s">
        <v>27250</v>
      </c>
      <c r="M3754" t="s">
        <v>27251</v>
      </c>
      <c r="N3754" t="s">
        <v>27252</v>
      </c>
      <c r="Q3754" s="1">
        <v>44812</v>
      </c>
      <c r="R3754" t="s">
        <v>27253</v>
      </c>
      <c r="S3754" t="s">
        <v>27254</v>
      </c>
      <c r="T3754" t="s">
        <v>27255</v>
      </c>
    </row>
    <row r="3755" spans="1:20" x14ac:dyDescent="0.3">
      <c r="A3755" t="str">
        <f>"0611856908100"</f>
        <v>0611856908100</v>
      </c>
      <c r="B3755" t="str">
        <f>"LG8049"</f>
        <v>LG8049</v>
      </c>
      <c r="C3755" t="s">
        <v>34501</v>
      </c>
      <c r="D3755" t="s">
        <v>27245</v>
      </c>
      <c r="E3755" t="str">
        <f t="shared" si="58"/>
        <v>001390</v>
      </c>
      <c r="F3755" t="s">
        <v>27246</v>
      </c>
      <c r="G3755" t="s">
        <v>27247</v>
      </c>
      <c r="H3755" t="s">
        <v>27248</v>
      </c>
      <c r="I3755" t="s">
        <v>34502</v>
      </c>
      <c r="J3755" t="s">
        <v>7503</v>
      </c>
      <c r="L3755" t="s">
        <v>27250</v>
      </c>
      <c r="M3755" t="s">
        <v>27251</v>
      </c>
      <c r="N3755" t="s">
        <v>27252</v>
      </c>
      <c r="Q3755" s="1">
        <v>44812</v>
      </c>
      <c r="R3755" t="s">
        <v>27253</v>
      </c>
      <c r="S3755" t="s">
        <v>27254</v>
      </c>
      <c r="T3755" t="s">
        <v>27255</v>
      </c>
    </row>
    <row r="3756" spans="1:20" x14ac:dyDescent="0.3">
      <c r="A3756" t="str">
        <f>"0611833840100"</f>
        <v>0611833840100</v>
      </c>
      <c r="B3756" t="str">
        <f>"LK0100"</f>
        <v>LK0100</v>
      </c>
      <c r="C3756" t="s">
        <v>34503</v>
      </c>
      <c r="D3756" t="s">
        <v>27245</v>
      </c>
      <c r="E3756" t="str">
        <f t="shared" si="58"/>
        <v>001390</v>
      </c>
      <c r="F3756" t="s">
        <v>27246</v>
      </c>
      <c r="G3756" t="s">
        <v>27247</v>
      </c>
      <c r="H3756" t="s">
        <v>27248</v>
      </c>
      <c r="I3756" t="s">
        <v>34504</v>
      </c>
      <c r="J3756" t="s">
        <v>7507</v>
      </c>
      <c r="L3756" t="s">
        <v>27250</v>
      </c>
      <c r="M3756" t="s">
        <v>27251</v>
      </c>
      <c r="N3756" t="s">
        <v>27252</v>
      </c>
      <c r="Q3756" s="1">
        <v>44538</v>
      </c>
      <c r="R3756" t="s">
        <v>27253</v>
      </c>
      <c r="S3756" t="s">
        <v>27254</v>
      </c>
      <c r="T3756" t="s">
        <v>27255</v>
      </c>
    </row>
    <row r="3757" spans="1:20" x14ac:dyDescent="0.3">
      <c r="A3757" t="str">
        <f>"0611861755100"</f>
        <v>0611861755100</v>
      </c>
      <c r="B3757" t="str">
        <f>"CN5144"</f>
        <v>CN5144</v>
      </c>
      <c r="C3757" t="s">
        <v>34505</v>
      </c>
      <c r="D3757" t="s">
        <v>27335</v>
      </c>
      <c r="E3757" t="str">
        <f t="shared" si="58"/>
        <v>001390</v>
      </c>
      <c r="F3757" t="s">
        <v>27246</v>
      </c>
      <c r="G3757" t="s">
        <v>27247</v>
      </c>
      <c r="H3757" t="s">
        <v>27248</v>
      </c>
      <c r="I3757" t="s">
        <v>34506</v>
      </c>
      <c r="J3757" t="s">
        <v>7509</v>
      </c>
      <c r="L3757" t="s">
        <v>27250</v>
      </c>
      <c r="M3757" t="s">
        <v>27251</v>
      </c>
      <c r="N3757" t="s">
        <v>27252</v>
      </c>
      <c r="Q3757" s="1">
        <v>44846</v>
      </c>
      <c r="R3757" t="s">
        <v>27253</v>
      </c>
      <c r="S3757" t="s">
        <v>27254</v>
      </c>
      <c r="T3757" t="s">
        <v>27255</v>
      </c>
    </row>
    <row r="3758" spans="1:20" x14ac:dyDescent="0.3">
      <c r="A3758" t="str">
        <f>"0611861756100"</f>
        <v>0611861756100</v>
      </c>
      <c r="B3758" t="str">
        <f>"CN5145"</f>
        <v>CN5145</v>
      </c>
      <c r="C3758" t="s">
        <v>34507</v>
      </c>
      <c r="D3758" t="s">
        <v>27335</v>
      </c>
      <c r="E3758" t="str">
        <f t="shared" si="58"/>
        <v>001390</v>
      </c>
      <c r="F3758" t="s">
        <v>27246</v>
      </c>
      <c r="G3758" t="s">
        <v>27247</v>
      </c>
      <c r="H3758" t="s">
        <v>27248</v>
      </c>
      <c r="I3758" t="s">
        <v>34508</v>
      </c>
      <c r="J3758" t="s">
        <v>7511</v>
      </c>
      <c r="L3758" t="s">
        <v>27250</v>
      </c>
      <c r="M3758" t="s">
        <v>27251</v>
      </c>
      <c r="N3758" t="s">
        <v>27252</v>
      </c>
      <c r="Q3758" s="1">
        <v>44846</v>
      </c>
      <c r="R3758" t="s">
        <v>27253</v>
      </c>
      <c r="S3758" t="s">
        <v>27254</v>
      </c>
      <c r="T3758" t="s">
        <v>27255</v>
      </c>
    </row>
    <row r="3759" spans="1:20" x14ac:dyDescent="0.3">
      <c r="A3759" t="str">
        <f>"0611861757100"</f>
        <v>0611861757100</v>
      </c>
      <c r="B3759" t="str">
        <f>"CN5146"</f>
        <v>CN5146</v>
      </c>
      <c r="C3759" t="s">
        <v>34509</v>
      </c>
      <c r="D3759" t="s">
        <v>27335</v>
      </c>
      <c r="E3759" t="str">
        <f t="shared" si="58"/>
        <v>001390</v>
      </c>
      <c r="F3759" t="s">
        <v>27246</v>
      </c>
      <c r="G3759" t="s">
        <v>27247</v>
      </c>
      <c r="H3759" t="s">
        <v>27248</v>
      </c>
      <c r="I3759" t="s">
        <v>34510</v>
      </c>
      <c r="J3759" t="s">
        <v>7513</v>
      </c>
      <c r="L3759" t="s">
        <v>27250</v>
      </c>
      <c r="M3759" t="s">
        <v>27251</v>
      </c>
      <c r="N3759" t="s">
        <v>27252</v>
      </c>
      <c r="Q3759" s="1">
        <v>44846</v>
      </c>
      <c r="R3759" t="s">
        <v>27253</v>
      </c>
      <c r="S3759" t="s">
        <v>27254</v>
      </c>
      <c r="T3759" t="s">
        <v>27255</v>
      </c>
    </row>
    <row r="3760" spans="1:20" x14ac:dyDescent="0.3">
      <c r="A3760" t="str">
        <f>"0611833844100"</f>
        <v>0611833844100</v>
      </c>
      <c r="B3760" t="str">
        <f>"LH0038"</f>
        <v>LH0038</v>
      </c>
      <c r="C3760" t="s">
        <v>34511</v>
      </c>
      <c r="D3760" t="s">
        <v>27245</v>
      </c>
      <c r="E3760" t="str">
        <f t="shared" si="58"/>
        <v>001390</v>
      </c>
      <c r="F3760" t="s">
        <v>27246</v>
      </c>
      <c r="G3760" t="s">
        <v>27247</v>
      </c>
      <c r="H3760" t="s">
        <v>27248</v>
      </c>
      <c r="I3760" t="s">
        <v>34512</v>
      </c>
      <c r="J3760" t="s">
        <v>7515</v>
      </c>
      <c r="L3760" t="s">
        <v>27250</v>
      </c>
      <c r="M3760" t="s">
        <v>27251</v>
      </c>
      <c r="N3760" t="s">
        <v>27252</v>
      </c>
      <c r="Q3760" s="1">
        <v>44538</v>
      </c>
      <c r="R3760" t="s">
        <v>27253</v>
      </c>
      <c r="S3760" t="s">
        <v>27254</v>
      </c>
      <c r="T3760" t="s">
        <v>27255</v>
      </c>
    </row>
    <row r="3761" spans="1:20" x14ac:dyDescent="0.3">
      <c r="A3761" t="str">
        <f>"0611833845100"</f>
        <v>0611833845100</v>
      </c>
      <c r="B3761" t="str">
        <f>"LH0039"</f>
        <v>LH0039</v>
      </c>
      <c r="C3761" t="s">
        <v>34513</v>
      </c>
      <c r="D3761" t="s">
        <v>27245</v>
      </c>
      <c r="E3761" t="str">
        <f t="shared" si="58"/>
        <v>001390</v>
      </c>
      <c r="F3761" t="s">
        <v>27246</v>
      </c>
      <c r="G3761" t="s">
        <v>27247</v>
      </c>
      <c r="H3761" t="s">
        <v>27248</v>
      </c>
      <c r="I3761" t="s">
        <v>34514</v>
      </c>
      <c r="J3761" t="s">
        <v>7517</v>
      </c>
      <c r="L3761" t="s">
        <v>27250</v>
      </c>
      <c r="M3761" t="s">
        <v>27251</v>
      </c>
      <c r="N3761" t="s">
        <v>27252</v>
      </c>
      <c r="Q3761" s="1">
        <v>44538</v>
      </c>
      <c r="R3761" t="s">
        <v>27253</v>
      </c>
      <c r="S3761" t="s">
        <v>27254</v>
      </c>
      <c r="T3761" t="s">
        <v>27255</v>
      </c>
    </row>
    <row r="3762" spans="1:20" x14ac:dyDescent="0.3">
      <c r="A3762" t="str">
        <f>"0611833846100"</f>
        <v>0611833846100</v>
      </c>
      <c r="B3762" t="str">
        <f>"LH0040"</f>
        <v>LH0040</v>
      </c>
      <c r="C3762" t="s">
        <v>34515</v>
      </c>
      <c r="D3762" t="s">
        <v>27245</v>
      </c>
      <c r="E3762" t="str">
        <f t="shared" si="58"/>
        <v>001390</v>
      </c>
      <c r="F3762" t="s">
        <v>27246</v>
      </c>
      <c r="G3762" t="s">
        <v>27247</v>
      </c>
      <c r="H3762" t="s">
        <v>27248</v>
      </c>
      <c r="I3762" t="s">
        <v>34516</v>
      </c>
      <c r="J3762" t="s">
        <v>7519</v>
      </c>
      <c r="L3762" t="s">
        <v>27250</v>
      </c>
      <c r="M3762" t="s">
        <v>27251</v>
      </c>
      <c r="N3762" t="s">
        <v>27252</v>
      </c>
      <c r="Q3762" s="1">
        <v>44538</v>
      </c>
      <c r="R3762" t="s">
        <v>27253</v>
      </c>
      <c r="S3762" t="s">
        <v>27254</v>
      </c>
      <c r="T3762" t="s">
        <v>27255</v>
      </c>
    </row>
    <row r="3763" spans="1:20" x14ac:dyDescent="0.3">
      <c r="A3763" t="str">
        <f>"0611833853025"</f>
        <v>0611833853025</v>
      </c>
      <c r="B3763" t="str">
        <f>"MQ0561"</f>
        <v>MQ0561</v>
      </c>
      <c r="C3763" t="s">
        <v>34517</v>
      </c>
      <c r="D3763" t="s">
        <v>27267</v>
      </c>
      <c r="E3763" t="str">
        <f t="shared" si="58"/>
        <v>001390</v>
      </c>
      <c r="F3763" t="s">
        <v>27246</v>
      </c>
      <c r="G3763" t="s">
        <v>27247</v>
      </c>
      <c r="H3763" t="s">
        <v>27248</v>
      </c>
      <c r="I3763" t="s">
        <v>34518</v>
      </c>
      <c r="J3763" t="s">
        <v>7521</v>
      </c>
      <c r="L3763" t="s">
        <v>27250</v>
      </c>
      <c r="M3763" t="s">
        <v>27251</v>
      </c>
      <c r="N3763" t="s">
        <v>27252</v>
      </c>
      <c r="Q3763" s="1">
        <v>44538</v>
      </c>
      <c r="R3763" t="s">
        <v>27253</v>
      </c>
      <c r="S3763" t="s">
        <v>27254</v>
      </c>
      <c r="T3763" t="s">
        <v>27269</v>
      </c>
    </row>
    <row r="3764" spans="1:20" x14ac:dyDescent="0.3">
      <c r="A3764" t="str">
        <f>"0611833854025"</f>
        <v>0611833854025</v>
      </c>
      <c r="B3764" t="str">
        <f>"MQ0616"</f>
        <v>MQ0616</v>
      </c>
      <c r="C3764" t="s">
        <v>34519</v>
      </c>
      <c r="D3764" t="s">
        <v>27267</v>
      </c>
      <c r="E3764" t="str">
        <f t="shared" si="58"/>
        <v>001390</v>
      </c>
      <c r="F3764" t="s">
        <v>27246</v>
      </c>
      <c r="G3764" t="s">
        <v>27247</v>
      </c>
      <c r="H3764" t="s">
        <v>27248</v>
      </c>
      <c r="I3764" t="s">
        <v>34520</v>
      </c>
      <c r="J3764" t="s">
        <v>7523</v>
      </c>
      <c r="L3764" t="s">
        <v>27250</v>
      </c>
      <c r="M3764" t="s">
        <v>27251</v>
      </c>
      <c r="N3764" t="s">
        <v>27252</v>
      </c>
      <c r="Q3764" s="1">
        <v>44538</v>
      </c>
      <c r="R3764" t="s">
        <v>27253</v>
      </c>
      <c r="S3764" t="s">
        <v>27254</v>
      </c>
      <c r="T3764" t="s">
        <v>27269</v>
      </c>
    </row>
    <row r="3765" spans="1:20" x14ac:dyDescent="0.3">
      <c r="A3765" t="str">
        <f>"0611833855025"</f>
        <v>0611833855025</v>
      </c>
      <c r="B3765" t="str">
        <f>"MQ0563"</f>
        <v>MQ0563</v>
      </c>
      <c r="C3765" t="s">
        <v>34521</v>
      </c>
      <c r="D3765" t="s">
        <v>27267</v>
      </c>
      <c r="E3765" t="str">
        <f t="shared" si="58"/>
        <v>001390</v>
      </c>
      <c r="F3765" t="s">
        <v>27246</v>
      </c>
      <c r="G3765" t="s">
        <v>27247</v>
      </c>
      <c r="H3765" t="s">
        <v>27248</v>
      </c>
      <c r="I3765" t="s">
        <v>34522</v>
      </c>
      <c r="J3765" t="s">
        <v>7525</v>
      </c>
      <c r="L3765" t="s">
        <v>27250</v>
      </c>
      <c r="M3765" t="s">
        <v>27251</v>
      </c>
      <c r="N3765" t="s">
        <v>27252</v>
      </c>
      <c r="Q3765" s="1">
        <v>44538</v>
      </c>
      <c r="R3765" t="s">
        <v>27253</v>
      </c>
      <c r="S3765" t="s">
        <v>27254</v>
      </c>
      <c r="T3765" t="s">
        <v>27269</v>
      </c>
    </row>
    <row r="3766" spans="1:20" x14ac:dyDescent="0.3">
      <c r="A3766" t="str">
        <f>"0611856909025"</f>
        <v>0611856909025</v>
      </c>
      <c r="B3766" t="str">
        <f>"MQ0775"</f>
        <v>MQ0775</v>
      </c>
      <c r="C3766" t="s">
        <v>34523</v>
      </c>
      <c r="D3766" t="s">
        <v>27267</v>
      </c>
      <c r="E3766" t="str">
        <f t="shared" si="58"/>
        <v>001390</v>
      </c>
      <c r="F3766" t="s">
        <v>27246</v>
      </c>
      <c r="G3766" t="s">
        <v>27247</v>
      </c>
      <c r="H3766" t="s">
        <v>27248</v>
      </c>
      <c r="I3766" t="s">
        <v>34524</v>
      </c>
      <c r="J3766" t="s">
        <v>7527</v>
      </c>
      <c r="L3766" t="s">
        <v>27250</v>
      </c>
      <c r="M3766" t="s">
        <v>27251</v>
      </c>
      <c r="N3766" t="s">
        <v>27252</v>
      </c>
      <c r="Q3766" s="1">
        <v>44812</v>
      </c>
      <c r="R3766" t="s">
        <v>27253</v>
      </c>
      <c r="S3766" t="s">
        <v>27254</v>
      </c>
      <c r="T3766" t="s">
        <v>27269</v>
      </c>
    </row>
    <row r="3767" spans="1:20" x14ac:dyDescent="0.3">
      <c r="A3767" t="str">
        <f>"0611833856025"</f>
        <v>0611833856025</v>
      </c>
      <c r="B3767" t="str">
        <f>"MQ0617"</f>
        <v>MQ0617</v>
      </c>
      <c r="C3767" t="s">
        <v>34525</v>
      </c>
      <c r="D3767" t="s">
        <v>27267</v>
      </c>
      <c r="E3767" t="str">
        <f t="shared" si="58"/>
        <v>001390</v>
      </c>
      <c r="F3767" t="s">
        <v>27246</v>
      </c>
      <c r="G3767" t="s">
        <v>27247</v>
      </c>
      <c r="H3767" t="s">
        <v>27248</v>
      </c>
      <c r="I3767" t="s">
        <v>34526</v>
      </c>
      <c r="J3767" t="s">
        <v>7529</v>
      </c>
      <c r="L3767" t="s">
        <v>27250</v>
      </c>
      <c r="M3767" t="s">
        <v>27251</v>
      </c>
      <c r="N3767" t="s">
        <v>27252</v>
      </c>
      <c r="Q3767" s="1">
        <v>44538</v>
      </c>
      <c r="R3767" t="s">
        <v>27253</v>
      </c>
      <c r="S3767" t="s">
        <v>27254</v>
      </c>
      <c r="T3767" t="s">
        <v>27269</v>
      </c>
    </row>
    <row r="3768" spans="1:20" x14ac:dyDescent="0.3">
      <c r="A3768" t="str">
        <f>"0611856910025"</f>
        <v>0611856910025</v>
      </c>
      <c r="B3768" t="str">
        <f>"MQ0776"</f>
        <v>MQ0776</v>
      </c>
      <c r="C3768" t="s">
        <v>34527</v>
      </c>
      <c r="D3768" t="s">
        <v>27267</v>
      </c>
      <c r="E3768" t="str">
        <f t="shared" si="58"/>
        <v>001390</v>
      </c>
      <c r="F3768" t="s">
        <v>27246</v>
      </c>
      <c r="G3768" t="s">
        <v>27247</v>
      </c>
      <c r="H3768" t="s">
        <v>27248</v>
      </c>
      <c r="I3768" t="s">
        <v>34528</v>
      </c>
      <c r="J3768" t="s">
        <v>7531</v>
      </c>
      <c r="L3768" t="s">
        <v>27250</v>
      </c>
      <c r="M3768" t="s">
        <v>27251</v>
      </c>
      <c r="N3768" t="s">
        <v>27252</v>
      </c>
      <c r="Q3768" s="1">
        <v>44812</v>
      </c>
      <c r="R3768" t="s">
        <v>27253</v>
      </c>
      <c r="S3768" t="s">
        <v>27254</v>
      </c>
      <c r="T3768" t="s">
        <v>27269</v>
      </c>
    </row>
    <row r="3769" spans="1:20" x14ac:dyDescent="0.3">
      <c r="A3769" t="str">
        <f>"0611833857025"</f>
        <v>0611833857025</v>
      </c>
      <c r="B3769" t="str">
        <f>"MQ0701"</f>
        <v>MQ0701</v>
      </c>
      <c r="C3769" t="s">
        <v>34529</v>
      </c>
      <c r="D3769" t="s">
        <v>27267</v>
      </c>
      <c r="E3769" t="str">
        <f t="shared" si="58"/>
        <v>001390</v>
      </c>
      <c r="F3769" t="s">
        <v>27246</v>
      </c>
      <c r="G3769" t="s">
        <v>27247</v>
      </c>
      <c r="H3769" t="s">
        <v>27248</v>
      </c>
      <c r="I3769" t="s">
        <v>34530</v>
      </c>
      <c r="J3769" t="s">
        <v>7533</v>
      </c>
      <c r="L3769" t="s">
        <v>27250</v>
      </c>
      <c r="M3769" t="s">
        <v>27251</v>
      </c>
      <c r="N3769" t="s">
        <v>27252</v>
      </c>
      <c r="Q3769" s="1">
        <v>44538</v>
      </c>
      <c r="R3769" t="s">
        <v>27253</v>
      </c>
      <c r="S3769" t="s">
        <v>27254</v>
      </c>
      <c r="T3769" t="s">
        <v>27269</v>
      </c>
    </row>
    <row r="3770" spans="1:20" x14ac:dyDescent="0.3">
      <c r="A3770" t="str">
        <f>"0611833859025"</f>
        <v>0611833859025</v>
      </c>
      <c r="B3770" t="str">
        <f>"MQ0702"</f>
        <v>MQ0702</v>
      </c>
      <c r="C3770" t="s">
        <v>34531</v>
      </c>
      <c r="D3770" t="s">
        <v>27267</v>
      </c>
      <c r="E3770" t="str">
        <f t="shared" si="58"/>
        <v>001390</v>
      </c>
      <c r="F3770" t="s">
        <v>27246</v>
      </c>
      <c r="G3770" t="s">
        <v>27247</v>
      </c>
      <c r="H3770" t="s">
        <v>27248</v>
      </c>
      <c r="I3770" t="s">
        <v>34532</v>
      </c>
      <c r="J3770" t="s">
        <v>7537</v>
      </c>
      <c r="L3770" t="s">
        <v>27250</v>
      </c>
      <c r="M3770" t="s">
        <v>27251</v>
      </c>
      <c r="N3770" t="s">
        <v>27252</v>
      </c>
      <c r="Q3770" s="1">
        <v>44538</v>
      </c>
      <c r="R3770" t="s">
        <v>27253</v>
      </c>
      <c r="S3770" t="s">
        <v>27254</v>
      </c>
      <c r="T3770" t="s">
        <v>27269</v>
      </c>
    </row>
    <row r="3771" spans="1:20" x14ac:dyDescent="0.3">
      <c r="A3771" t="str">
        <f>"0611856911025"</f>
        <v>0611856911025</v>
      </c>
      <c r="B3771" t="str">
        <f>"MQ0777"</f>
        <v>MQ0777</v>
      </c>
      <c r="C3771" t="s">
        <v>34533</v>
      </c>
      <c r="D3771" t="s">
        <v>27267</v>
      </c>
      <c r="E3771" t="str">
        <f t="shared" si="58"/>
        <v>001390</v>
      </c>
      <c r="F3771" t="s">
        <v>27246</v>
      </c>
      <c r="G3771" t="s">
        <v>27247</v>
      </c>
      <c r="H3771" t="s">
        <v>27248</v>
      </c>
      <c r="I3771" t="s">
        <v>34534</v>
      </c>
      <c r="J3771" t="s">
        <v>7535</v>
      </c>
      <c r="L3771" t="s">
        <v>27250</v>
      </c>
      <c r="M3771" t="s">
        <v>27251</v>
      </c>
      <c r="N3771" t="s">
        <v>27252</v>
      </c>
      <c r="Q3771" s="1">
        <v>44812</v>
      </c>
      <c r="R3771" t="s">
        <v>27253</v>
      </c>
      <c r="S3771" t="s">
        <v>27254</v>
      </c>
      <c r="T3771" t="s">
        <v>27269</v>
      </c>
    </row>
    <row r="3772" spans="1:20" x14ac:dyDescent="0.3">
      <c r="A3772" t="str">
        <f>"0611833848025"</f>
        <v>0611833848025</v>
      </c>
      <c r="B3772" t="str">
        <f>"MQ0492"</f>
        <v>MQ0492</v>
      </c>
      <c r="C3772" t="s">
        <v>34535</v>
      </c>
      <c r="D3772" t="s">
        <v>27267</v>
      </c>
      <c r="E3772" t="str">
        <f t="shared" si="58"/>
        <v>001390</v>
      </c>
      <c r="F3772" t="s">
        <v>27246</v>
      </c>
      <c r="G3772" t="s">
        <v>27247</v>
      </c>
      <c r="H3772" t="s">
        <v>27248</v>
      </c>
      <c r="I3772" t="s">
        <v>34536</v>
      </c>
      <c r="J3772" t="s">
        <v>7539</v>
      </c>
      <c r="L3772" t="s">
        <v>27250</v>
      </c>
      <c r="M3772" t="s">
        <v>27251</v>
      </c>
      <c r="N3772" t="s">
        <v>27252</v>
      </c>
      <c r="Q3772" s="1">
        <v>44538</v>
      </c>
      <c r="R3772" t="s">
        <v>27253</v>
      </c>
      <c r="S3772" t="s">
        <v>27254</v>
      </c>
      <c r="T3772" t="s">
        <v>27269</v>
      </c>
    </row>
    <row r="3773" spans="1:20" x14ac:dyDescent="0.3">
      <c r="A3773" t="str">
        <f>"0611833849025"</f>
        <v>0611833849025</v>
      </c>
      <c r="B3773" t="str">
        <f>"MQ0564"</f>
        <v>MQ0564</v>
      </c>
      <c r="C3773" t="s">
        <v>34537</v>
      </c>
      <c r="D3773" t="s">
        <v>27267</v>
      </c>
      <c r="E3773" t="str">
        <f t="shared" si="58"/>
        <v>001390</v>
      </c>
      <c r="F3773" t="s">
        <v>27246</v>
      </c>
      <c r="G3773" t="s">
        <v>27247</v>
      </c>
      <c r="H3773" t="s">
        <v>27248</v>
      </c>
      <c r="I3773" t="s">
        <v>34538</v>
      </c>
      <c r="J3773" t="s">
        <v>7541</v>
      </c>
      <c r="L3773" t="s">
        <v>27250</v>
      </c>
      <c r="M3773" t="s">
        <v>27251</v>
      </c>
      <c r="N3773" t="s">
        <v>27252</v>
      </c>
      <c r="Q3773" s="1">
        <v>44538</v>
      </c>
      <c r="R3773" t="s">
        <v>27253</v>
      </c>
      <c r="S3773" t="s">
        <v>27254</v>
      </c>
      <c r="T3773" t="s">
        <v>27269</v>
      </c>
    </row>
    <row r="3774" spans="1:20" x14ac:dyDescent="0.3">
      <c r="A3774" t="str">
        <f>"0611833850025"</f>
        <v>0611833850025</v>
      </c>
      <c r="B3774" t="str">
        <f>"MQ0565"</f>
        <v>MQ0565</v>
      </c>
      <c r="C3774" t="s">
        <v>34539</v>
      </c>
      <c r="D3774" t="s">
        <v>27267</v>
      </c>
      <c r="E3774" t="str">
        <f t="shared" si="58"/>
        <v>001390</v>
      </c>
      <c r="F3774" t="s">
        <v>27246</v>
      </c>
      <c r="G3774" t="s">
        <v>27247</v>
      </c>
      <c r="H3774" t="s">
        <v>27248</v>
      </c>
      <c r="I3774" t="s">
        <v>34540</v>
      </c>
      <c r="J3774" t="s">
        <v>7543</v>
      </c>
      <c r="L3774" t="s">
        <v>27250</v>
      </c>
      <c r="M3774" t="s">
        <v>27251</v>
      </c>
      <c r="N3774" t="s">
        <v>27252</v>
      </c>
      <c r="Q3774" s="1">
        <v>44538</v>
      </c>
      <c r="R3774" t="s">
        <v>27253</v>
      </c>
      <c r="S3774" t="s">
        <v>27254</v>
      </c>
      <c r="T3774" t="s">
        <v>27269</v>
      </c>
    </row>
    <row r="3775" spans="1:20" x14ac:dyDescent="0.3">
      <c r="A3775" t="str">
        <f>"0611833851025"</f>
        <v>0611833851025</v>
      </c>
      <c r="B3775" t="str">
        <f>"MQ0591"</f>
        <v>MQ0591</v>
      </c>
      <c r="C3775" t="s">
        <v>34541</v>
      </c>
      <c r="D3775" t="s">
        <v>27267</v>
      </c>
      <c r="E3775" t="str">
        <f t="shared" si="58"/>
        <v>001390</v>
      </c>
      <c r="F3775" t="s">
        <v>27246</v>
      </c>
      <c r="G3775" t="s">
        <v>27247</v>
      </c>
      <c r="H3775" t="s">
        <v>27248</v>
      </c>
      <c r="I3775" t="s">
        <v>34542</v>
      </c>
      <c r="J3775" t="s">
        <v>7545</v>
      </c>
      <c r="L3775" t="s">
        <v>27250</v>
      </c>
      <c r="M3775" t="s">
        <v>27251</v>
      </c>
      <c r="N3775" t="s">
        <v>27252</v>
      </c>
      <c r="Q3775" s="1">
        <v>44538</v>
      </c>
      <c r="R3775" t="s">
        <v>27253</v>
      </c>
      <c r="S3775" t="s">
        <v>27254</v>
      </c>
      <c r="T3775" t="s">
        <v>27269</v>
      </c>
    </row>
    <row r="3776" spans="1:20" x14ac:dyDescent="0.3">
      <c r="A3776" t="str">
        <f>"0611833852025"</f>
        <v>0611833852025</v>
      </c>
      <c r="B3776" t="str">
        <f>"MQ6019"</f>
        <v>MQ6019</v>
      </c>
      <c r="C3776" t="s">
        <v>34543</v>
      </c>
      <c r="D3776" t="s">
        <v>27267</v>
      </c>
      <c r="E3776" t="str">
        <f t="shared" si="58"/>
        <v>001390</v>
      </c>
      <c r="F3776" t="s">
        <v>27246</v>
      </c>
      <c r="G3776" t="s">
        <v>27247</v>
      </c>
      <c r="H3776" t="s">
        <v>27248</v>
      </c>
      <c r="I3776" t="s">
        <v>34544</v>
      </c>
      <c r="J3776" t="s">
        <v>7547</v>
      </c>
      <c r="L3776" t="s">
        <v>27250</v>
      </c>
      <c r="M3776" t="s">
        <v>27251</v>
      </c>
      <c r="N3776" t="s">
        <v>27252</v>
      </c>
      <c r="Q3776" s="1">
        <v>44538</v>
      </c>
      <c r="R3776" t="s">
        <v>27253</v>
      </c>
      <c r="S3776" t="s">
        <v>27254</v>
      </c>
      <c r="T3776" t="s">
        <v>27269</v>
      </c>
    </row>
    <row r="3777" spans="1:20" x14ac:dyDescent="0.3">
      <c r="A3777" t="str">
        <f>"0611833860025"</f>
        <v>0611833860025</v>
      </c>
      <c r="B3777" t="str">
        <f>"MQ0493"</f>
        <v>MQ0493</v>
      </c>
      <c r="C3777" t="s">
        <v>34545</v>
      </c>
      <c r="D3777" t="s">
        <v>27267</v>
      </c>
      <c r="E3777" t="str">
        <f t="shared" si="58"/>
        <v>001390</v>
      </c>
      <c r="F3777" t="s">
        <v>27246</v>
      </c>
      <c r="G3777" t="s">
        <v>27247</v>
      </c>
      <c r="H3777" t="s">
        <v>27248</v>
      </c>
      <c r="I3777" t="s">
        <v>34546</v>
      </c>
      <c r="J3777" t="s">
        <v>7549</v>
      </c>
      <c r="L3777" t="s">
        <v>27250</v>
      </c>
      <c r="M3777" t="s">
        <v>27251</v>
      </c>
      <c r="N3777" t="s">
        <v>27252</v>
      </c>
      <c r="Q3777" s="1">
        <v>44538</v>
      </c>
      <c r="R3777" t="s">
        <v>27253</v>
      </c>
      <c r="S3777" t="s">
        <v>27254</v>
      </c>
      <c r="T3777" t="s">
        <v>27269</v>
      </c>
    </row>
    <row r="3778" spans="1:20" x14ac:dyDescent="0.3">
      <c r="A3778" t="str">
        <f>"0611833865025"</f>
        <v>0611833865025</v>
      </c>
      <c r="B3778" t="str">
        <f>"MQ0544"</f>
        <v>MQ0544</v>
      </c>
      <c r="C3778" t="s">
        <v>34547</v>
      </c>
      <c r="D3778" t="s">
        <v>27267</v>
      </c>
      <c r="E3778" t="str">
        <f t="shared" ref="E3778:E3841" si="59">"001390"</f>
        <v>001390</v>
      </c>
      <c r="F3778" t="s">
        <v>27246</v>
      </c>
      <c r="G3778" t="s">
        <v>27247</v>
      </c>
      <c r="H3778" t="s">
        <v>27248</v>
      </c>
      <c r="I3778" t="s">
        <v>34548</v>
      </c>
      <c r="J3778" t="s">
        <v>7551</v>
      </c>
      <c r="L3778" t="s">
        <v>27250</v>
      </c>
      <c r="M3778" t="s">
        <v>27251</v>
      </c>
      <c r="N3778" t="s">
        <v>27252</v>
      </c>
      <c r="Q3778" s="1">
        <v>44538</v>
      </c>
      <c r="R3778" t="s">
        <v>27253</v>
      </c>
      <c r="S3778" t="s">
        <v>27254</v>
      </c>
      <c r="T3778" t="s">
        <v>27269</v>
      </c>
    </row>
    <row r="3779" spans="1:20" x14ac:dyDescent="0.3">
      <c r="A3779" t="str">
        <f>"0611833866025"</f>
        <v>0611833866025</v>
      </c>
      <c r="B3779" t="str">
        <f>"MQ0545"</f>
        <v>MQ0545</v>
      </c>
      <c r="C3779" t="s">
        <v>34549</v>
      </c>
      <c r="D3779" t="s">
        <v>27267</v>
      </c>
      <c r="E3779" t="str">
        <f t="shared" si="59"/>
        <v>001390</v>
      </c>
      <c r="F3779" t="s">
        <v>27246</v>
      </c>
      <c r="G3779" t="s">
        <v>27247</v>
      </c>
      <c r="H3779" t="s">
        <v>27248</v>
      </c>
      <c r="I3779" t="s">
        <v>34550</v>
      </c>
      <c r="J3779" t="s">
        <v>7553</v>
      </c>
      <c r="L3779" t="s">
        <v>27250</v>
      </c>
      <c r="M3779" t="s">
        <v>27251</v>
      </c>
      <c r="N3779" t="s">
        <v>27252</v>
      </c>
      <c r="Q3779" s="1">
        <v>44538</v>
      </c>
      <c r="R3779" t="s">
        <v>27253</v>
      </c>
      <c r="S3779" t="s">
        <v>27254</v>
      </c>
      <c r="T3779" t="s">
        <v>27269</v>
      </c>
    </row>
    <row r="3780" spans="1:20" x14ac:dyDescent="0.3">
      <c r="A3780" t="str">
        <f>"0611833867025"</f>
        <v>0611833867025</v>
      </c>
      <c r="B3780" t="str">
        <f>"MQ0703"</f>
        <v>MQ0703</v>
      </c>
      <c r="C3780" t="s">
        <v>34551</v>
      </c>
      <c r="D3780" t="s">
        <v>27267</v>
      </c>
      <c r="E3780" t="str">
        <f t="shared" si="59"/>
        <v>001390</v>
      </c>
      <c r="F3780" t="s">
        <v>27246</v>
      </c>
      <c r="G3780" t="s">
        <v>27247</v>
      </c>
      <c r="H3780" t="s">
        <v>27248</v>
      </c>
      <c r="I3780" t="s">
        <v>34552</v>
      </c>
      <c r="J3780" t="s">
        <v>7555</v>
      </c>
      <c r="L3780" t="s">
        <v>27250</v>
      </c>
      <c r="M3780" t="s">
        <v>27251</v>
      </c>
      <c r="N3780" t="s">
        <v>27252</v>
      </c>
      <c r="Q3780" s="1">
        <v>44538</v>
      </c>
      <c r="R3780" t="s">
        <v>27253</v>
      </c>
      <c r="S3780" t="s">
        <v>27254</v>
      </c>
      <c r="T3780" t="s">
        <v>27269</v>
      </c>
    </row>
    <row r="3781" spans="1:20" x14ac:dyDescent="0.3">
      <c r="A3781" t="str">
        <f>"0611833862025"</f>
        <v>0611833862025</v>
      </c>
      <c r="B3781" t="str">
        <f>"MQ0547"</f>
        <v>MQ0547</v>
      </c>
      <c r="C3781" t="s">
        <v>34553</v>
      </c>
      <c r="D3781" t="s">
        <v>27267</v>
      </c>
      <c r="E3781" t="str">
        <f t="shared" si="59"/>
        <v>001390</v>
      </c>
      <c r="F3781" t="s">
        <v>27246</v>
      </c>
      <c r="G3781" t="s">
        <v>27247</v>
      </c>
      <c r="H3781" t="s">
        <v>27248</v>
      </c>
      <c r="I3781" t="s">
        <v>34554</v>
      </c>
      <c r="J3781" t="s">
        <v>7559</v>
      </c>
      <c r="L3781" t="s">
        <v>27250</v>
      </c>
      <c r="M3781" t="s">
        <v>27251</v>
      </c>
      <c r="N3781" t="s">
        <v>27252</v>
      </c>
      <c r="Q3781" s="1">
        <v>44538</v>
      </c>
      <c r="R3781" t="s">
        <v>27253</v>
      </c>
      <c r="S3781" t="s">
        <v>27254</v>
      </c>
      <c r="T3781" t="s">
        <v>27269</v>
      </c>
    </row>
    <row r="3782" spans="1:20" x14ac:dyDescent="0.3">
      <c r="A3782" t="str">
        <f>"0611833861025"</f>
        <v>0611833861025</v>
      </c>
      <c r="B3782" t="str">
        <f>"MQ0494"</f>
        <v>MQ0494</v>
      </c>
      <c r="C3782" t="s">
        <v>34555</v>
      </c>
      <c r="D3782" t="s">
        <v>27267</v>
      </c>
      <c r="E3782" t="str">
        <f t="shared" si="59"/>
        <v>001390</v>
      </c>
      <c r="F3782" t="s">
        <v>27246</v>
      </c>
      <c r="G3782" t="s">
        <v>27247</v>
      </c>
      <c r="H3782" t="s">
        <v>27248</v>
      </c>
      <c r="I3782" t="s">
        <v>34556</v>
      </c>
      <c r="J3782" t="s">
        <v>7557</v>
      </c>
      <c r="L3782" t="s">
        <v>27250</v>
      </c>
      <c r="M3782" t="s">
        <v>27251</v>
      </c>
      <c r="N3782" t="s">
        <v>27252</v>
      </c>
      <c r="Q3782" s="1">
        <v>44538</v>
      </c>
      <c r="R3782" t="s">
        <v>27253</v>
      </c>
      <c r="S3782" t="s">
        <v>27254</v>
      </c>
      <c r="T3782" t="s">
        <v>27269</v>
      </c>
    </row>
    <row r="3783" spans="1:20" x14ac:dyDescent="0.3">
      <c r="A3783" t="str">
        <f>"0611833863025"</f>
        <v>0611833863025</v>
      </c>
      <c r="B3783" t="str">
        <f>"MQ0495"</f>
        <v>MQ0495</v>
      </c>
      <c r="C3783" t="s">
        <v>34557</v>
      </c>
      <c r="D3783" t="s">
        <v>27267</v>
      </c>
      <c r="E3783" t="str">
        <f t="shared" si="59"/>
        <v>001390</v>
      </c>
      <c r="F3783" t="s">
        <v>27246</v>
      </c>
      <c r="G3783" t="s">
        <v>27247</v>
      </c>
      <c r="H3783" t="s">
        <v>27248</v>
      </c>
      <c r="I3783" t="s">
        <v>34558</v>
      </c>
      <c r="J3783" t="s">
        <v>7561</v>
      </c>
      <c r="L3783" t="s">
        <v>27250</v>
      </c>
      <c r="M3783" t="s">
        <v>27251</v>
      </c>
      <c r="N3783" t="s">
        <v>27252</v>
      </c>
      <c r="Q3783" s="1">
        <v>44538</v>
      </c>
      <c r="R3783" t="s">
        <v>27253</v>
      </c>
      <c r="S3783" t="s">
        <v>27254</v>
      </c>
      <c r="T3783" t="s">
        <v>27269</v>
      </c>
    </row>
    <row r="3784" spans="1:20" x14ac:dyDescent="0.3">
      <c r="A3784" t="str">
        <f>"0611833864025"</f>
        <v>0611833864025</v>
      </c>
      <c r="B3784" t="str">
        <f>"MQ0496"</f>
        <v>MQ0496</v>
      </c>
      <c r="C3784" t="s">
        <v>34559</v>
      </c>
      <c r="D3784" t="s">
        <v>27267</v>
      </c>
      <c r="E3784" t="str">
        <f t="shared" si="59"/>
        <v>001390</v>
      </c>
      <c r="F3784" t="s">
        <v>27246</v>
      </c>
      <c r="G3784" t="s">
        <v>27247</v>
      </c>
      <c r="H3784" t="s">
        <v>27248</v>
      </c>
      <c r="I3784" t="s">
        <v>34560</v>
      </c>
      <c r="J3784" t="s">
        <v>7563</v>
      </c>
      <c r="L3784" t="s">
        <v>27250</v>
      </c>
      <c r="M3784" t="s">
        <v>27251</v>
      </c>
      <c r="N3784" t="s">
        <v>27252</v>
      </c>
      <c r="Q3784" s="1">
        <v>44538</v>
      </c>
      <c r="R3784" t="s">
        <v>27253</v>
      </c>
      <c r="S3784" t="s">
        <v>27254</v>
      </c>
      <c r="T3784" t="s">
        <v>27269</v>
      </c>
    </row>
    <row r="3785" spans="1:20" x14ac:dyDescent="0.3">
      <c r="A3785" t="str">
        <f>"0611833869025"</f>
        <v>0611833869025</v>
      </c>
      <c r="B3785" t="str">
        <f>"MQ0704"</f>
        <v>MQ0704</v>
      </c>
      <c r="C3785" t="s">
        <v>34561</v>
      </c>
      <c r="D3785" t="s">
        <v>27267</v>
      </c>
      <c r="E3785" t="str">
        <f t="shared" si="59"/>
        <v>001390</v>
      </c>
      <c r="F3785" t="s">
        <v>27246</v>
      </c>
      <c r="G3785" t="s">
        <v>27247</v>
      </c>
      <c r="H3785" t="s">
        <v>27248</v>
      </c>
      <c r="I3785" t="s">
        <v>34562</v>
      </c>
      <c r="J3785" t="s">
        <v>7565</v>
      </c>
      <c r="L3785" t="s">
        <v>27250</v>
      </c>
      <c r="M3785" t="s">
        <v>27251</v>
      </c>
      <c r="N3785" t="s">
        <v>27252</v>
      </c>
      <c r="Q3785" s="1">
        <v>44538</v>
      </c>
      <c r="R3785" t="s">
        <v>27253</v>
      </c>
      <c r="S3785" t="s">
        <v>27254</v>
      </c>
      <c r="T3785" t="s">
        <v>27269</v>
      </c>
    </row>
    <row r="3786" spans="1:20" x14ac:dyDescent="0.3">
      <c r="A3786" t="str">
        <f>"0611833870025"</f>
        <v>0611833870025</v>
      </c>
      <c r="B3786" t="str">
        <f>"MQ0705"</f>
        <v>MQ0705</v>
      </c>
      <c r="C3786" t="s">
        <v>34563</v>
      </c>
      <c r="D3786" t="s">
        <v>27267</v>
      </c>
      <c r="E3786" t="str">
        <f t="shared" si="59"/>
        <v>001390</v>
      </c>
      <c r="F3786" t="s">
        <v>27246</v>
      </c>
      <c r="G3786" t="s">
        <v>27247</v>
      </c>
      <c r="H3786" t="s">
        <v>27248</v>
      </c>
      <c r="I3786" t="s">
        <v>34564</v>
      </c>
      <c r="J3786" t="s">
        <v>7567</v>
      </c>
      <c r="L3786" t="s">
        <v>27250</v>
      </c>
      <c r="M3786" t="s">
        <v>27251</v>
      </c>
      <c r="N3786" t="s">
        <v>27252</v>
      </c>
      <c r="Q3786" s="1">
        <v>44538</v>
      </c>
      <c r="R3786" t="s">
        <v>27253</v>
      </c>
      <c r="S3786" t="s">
        <v>27254</v>
      </c>
      <c r="T3786" t="s">
        <v>27269</v>
      </c>
    </row>
    <row r="3787" spans="1:20" x14ac:dyDescent="0.3">
      <c r="A3787" t="str">
        <f>"0611833872025"</f>
        <v>0611833872025</v>
      </c>
      <c r="B3787" t="str">
        <f>"MQ0666"</f>
        <v>MQ0666</v>
      </c>
      <c r="C3787" t="s">
        <v>34565</v>
      </c>
      <c r="D3787" t="s">
        <v>27267</v>
      </c>
      <c r="E3787" t="str">
        <f t="shared" si="59"/>
        <v>001390</v>
      </c>
      <c r="F3787" t="s">
        <v>27246</v>
      </c>
      <c r="G3787" t="s">
        <v>27247</v>
      </c>
      <c r="H3787" t="s">
        <v>27248</v>
      </c>
      <c r="I3787" t="s">
        <v>34566</v>
      </c>
      <c r="J3787" t="s">
        <v>7571</v>
      </c>
      <c r="L3787" t="s">
        <v>27250</v>
      </c>
      <c r="M3787" t="s">
        <v>27251</v>
      </c>
      <c r="N3787" t="s">
        <v>27252</v>
      </c>
      <c r="Q3787" s="1">
        <v>44538</v>
      </c>
      <c r="R3787" t="s">
        <v>27253</v>
      </c>
      <c r="S3787" t="s">
        <v>27254</v>
      </c>
      <c r="T3787" t="s">
        <v>27269</v>
      </c>
    </row>
    <row r="3788" spans="1:20" x14ac:dyDescent="0.3">
      <c r="A3788" t="str">
        <f>"0611833871025"</f>
        <v>0611833871025</v>
      </c>
      <c r="B3788" t="str">
        <f>"MQ0566"</f>
        <v>MQ0566</v>
      </c>
      <c r="C3788" t="s">
        <v>34567</v>
      </c>
      <c r="D3788" t="s">
        <v>27267</v>
      </c>
      <c r="E3788" t="str">
        <f t="shared" si="59"/>
        <v>001390</v>
      </c>
      <c r="F3788" t="s">
        <v>27246</v>
      </c>
      <c r="G3788" t="s">
        <v>27247</v>
      </c>
      <c r="H3788" t="s">
        <v>27248</v>
      </c>
      <c r="I3788" t="s">
        <v>34568</v>
      </c>
      <c r="J3788" t="s">
        <v>7569</v>
      </c>
      <c r="L3788" t="s">
        <v>27250</v>
      </c>
      <c r="M3788" t="s">
        <v>27251</v>
      </c>
      <c r="N3788" t="s">
        <v>27252</v>
      </c>
      <c r="Q3788" s="1">
        <v>44538</v>
      </c>
      <c r="R3788" t="s">
        <v>27253</v>
      </c>
      <c r="S3788" t="s">
        <v>27254</v>
      </c>
      <c r="T3788" t="s">
        <v>27269</v>
      </c>
    </row>
    <row r="3789" spans="1:20" x14ac:dyDescent="0.3">
      <c r="A3789" t="str">
        <f>"0611833873025"</f>
        <v>0611833873025</v>
      </c>
      <c r="B3789" t="str">
        <f>"MQ0567"</f>
        <v>MQ0567</v>
      </c>
      <c r="C3789" t="s">
        <v>34569</v>
      </c>
      <c r="D3789" t="s">
        <v>27267</v>
      </c>
      <c r="E3789" t="str">
        <f t="shared" si="59"/>
        <v>001390</v>
      </c>
      <c r="F3789" t="s">
        <v>27246</v>
      </c>
      <c r="G3789" t="s">
        <v>27247</v>
      </c>
      <c r="H3789" t="s">
        <v>27248</v>
      </c>
      <c r="I3789" t="s">
        <v>34570</v>
      </c>
      <c r="J3789" t="s">
        <v>7573</v>
      </c>
      <c r="L3789" t="s">
        <v>27250</v>
      </c>
      <c r="M3789" t="s">
        <v>27251</v>
      </c>
      <c r="N3789" t="s">
        <v>27252</v>
      </c>
      <c r="Q3789" s="1">
        <v>44538</v>
      </c>
      <c r="R3789" t="s">
        <v>27253</v>
      </c>
      <c r="S3789" t="s">
        <v>27254</v>
      </c>
      <c r="T3789" t="s">
        <v>27269</v>
      </c>
    </row>
    <row r="3790" spans="1:20" x14ac:dyDescent="0.3">
      <c r="A3790" t="str">
        <f>"0611833874025"</f>
        <v>0611833874025</v>
      </c>
      <c r="B3790" t="str">
        <f>"MQ0568"</f>
        <v>MQ0568</v>
      </c>
      <c r="C3790" t="s">
        <v>34571</v>
      </c>
      <c r="D3790" t="s">
        <v>27267</v>
      </c>
      <c r="E3790" t="str">
        <f t="shared" si="59"/>
        <v>001390</v>
      </c>
      <c r="F3790" t="s">
        <v>27246</v>
      </c>
      <c r="G3790" t="s">
        <v>27247</v>
      </c>
      <c r="H3790" t="s">
        <v>27248</v>
      </c>
      <c r="I3790" t="s">
        <v>34572</v>
      </c>
      <c r="J3790" t="s">
        <v>7575</v>
      </c>
      <c r="L3790" t="s">
        <v>27250</v>
      </c>
      <c r="M3790" t="s">
        <v>27251</v>
      </c>
      <c r="N3790" t="s">
        <v>27252</v>
      </c>
      <c r="Q3790" s="1">
        <v>44538</v>
      </c>
      <c r="R3790" t="s">
        <v>27253</v>
      </c>
      <c r="S3790" t="s">
        <v>27254</v>
      </c>
      <c r="T3790" t="s">
        <v>27269</v>
      </c>
    </row>
    <row r="3791" spans="1:20" x14ac:dyDescent="0.3">
      <c r="A3791" t="str">
        <f>"0611833875100"</f>
        <v>0611833875100</v>
      </c>
      <c r="B3791" t="str">
        <f>"LK6206"</f>
        <v>LK6206</v>
      </c>
      <c r="C3791" t="s">
        <v>34573</v>
      </c>
      <c r="D3791" t="s">
        <v>27245</v>
      </c>
      <c r="E3791" t="str">
        <f t="shared" si="59"/>
        <v>001390</v>
      </c>
      <c r="F3791" t="s">
        <v>27246</v>
      </c>
      <c r="G3791" t="s">
        <v>27247</v>
      </c>
      <c r="H3791" t="s">
        <v>27248</v>
      </c>
      <c r="I3791" t="s">
        <v>34574</v>
      </c>
      <c r="J3791" t="s">
        <v>7577</v>
      </c>
      <c r="L3791" t="s">
        <v>27250</v>
      </c>
      <c r="M3791" t="s">
        <v>27251</v>
      </c>
      <c r="N3791" t="s">
        <v>27252</v>
      </c>
      <c r="Q3791" s="1">
        <v>44538</v>
      </c>
      <c r="R3791" t="s">
        <v>27253</v>
      </c>
      <c r="S3791" t="s">
        <v>27254</v>
      </c>
      <c r="T3791" t="s">
        <v>27255</v>
      </c>
    </row>
    <row r="3792" spans="1:20" x14ac:dyDescent="0.3">
      <c r="A3792" t="str">
        <f>"0611833876100"</f>
        <v>0611833876100</v>
      </c>
      <c r="B3792" t="str">
        <f>"LK6641"</f>
        <v>LK6641</v>
      </c>
      <c r="C3792" t="s">
        <v>34575</v>
      </c>
      <c r="D3792" t="s">
        <v>27245</v>
      </c>
      <c r="E3792" t="str">
        <f t="shared" si="59"/>
        <v>001390</v>
      </c>
      <c r="F3792" t="s">
        <v>27246</v>
      </c>
      <c r="G3792" t="s">
        <v>27247</v>
      </c>
      <c r="H3792" t="s">
        <v>27248</v>
      </c>
      <c r="I3792" t="s">
        <v>34576</v>
      </c>
      <c r="J3792" t="s">
        <v>7579</v>
      </c>
      <c r="L3792" t="s">
        <v>27250</v>
      </c>
      <c r="M3792" t="s">
        <v>27251</v>
      </c>
      <c r="N3792" t="s">
        <v>27252</v>
      </c>
      <c r="Q3792" s="1">
        <v>44538</v>
      </c>
      <c r="R3792" t="s">
        <v>27253</v>
      </c>
      <c r="S3792" t="s">
        <v>27254</v>
      </c>
      <c r="T3792" t="s">
        <v>27255</v>
      </c>
    </row>
    <row r="3793" spans="1:20" x14ac:dyDescent="0.3">
      <c r="A3793" t="str">
        <f>"0611856912100"</f>
        <v>0611856912100</v>
      </c>
      <c r="B3793" t="str">
        <f>"LK7084"</f>
        <v>LK7084</v>
      </c>
      <c r="C3793" t="s">
        <v>34577</v>
      </c>
      <c r="D3793" t="s">
        <v>27245</v>
      </c>
      <c r="E3793" t="str">
        <f t="shared" si="59"/>
        <v>001390</v>
      </c>
      <c r="F3793" t="s">
        <v>27246</v>
      </c>
      <c r="G3793" t="s">
        <v>27247</v>
      </c>
      <c r="H3793" t="s">
        <v>27248</v>
      </c>
      <c r="I3793" t="s">
        <v>34578</v>
      </c>
      <c r="J3793" t="s">
        <v>7581</v>
      </c>
      <c r="L3793" t="s">
        <v>27250</v>
      </c>
      <c r="M3793" t="s">
        <v>27251</v>
      </c>
      <c r="N3793" t="s">
        <v>27252</v>
      </c>
      <c r="Q3793" s="1">
        <v>44812</v>
      </c>
      <c r="R3793" t="s">
        <v>27253</v>
      </c>
      <c r="S3793" t="s">
        <v>27254</v>
      </c>
      <c r="T3793" t="s">
        <v>27255</v>
      </c>
    </row>
    <row r="3794" spans="1:20" x14ac:dyDescent="0.3">
      <c r="A3794" t="str">
        <f>"0611833877100"</f>
        <v>0611833877100</v>
      </c>
      <c r="B3794" t="str">
        <f>"LK6205"</f>
        <v>LK6205</v>
      </c>
      <c r="C3794" t="s">
        <v>34579</v>
      </c>
      <c r="D3794" t="s">
        <v>27245</v>
      </c>
      <c r="E3794" t="str">
        <f t="shared" si="59"/>
        <v>001390</v>
      </c>
      <c r="F3794" t="s">
        <v>27246</v>
      </c>
      <c r="G3794" t="s">
        <v>27247</v>
      </c>
      <c r="H3794" t="s">
        <v>27248</v>
      </c>
      <c r="I3794" t="s">
        <v>34580</v>
      </c>
      <c r="J3794" t="s">
        <v>7583</v>
      </c>
      <c r="L3794" t="s">
        <v>27250</v>
      </c>
      <c r="M3794" t="s">
        <v>27251</v>
      </c>
      <c r="N3794" t="s">
        <v>27252</v>
      </c>
      <c r="Q3794" s="1">
        <v>44538</v>
      </c>
      <c r="R3794" t="s">
        <v>27253</v>
      </c>
      <c r="S3794" t="s">
        <v>27254</v>
      </c>
      <c r="T3794" t="s">
        <v>27255</v>
      </c>
    </row>
    <row r="3795" spans="1:20" x14ac:dyDescent="0.3">
      <c r="A3795" t="str">
        <f>"0611833878100"</f>
        <v>0611833878100</v>
      </c>
      <c r="B3795" t="str">
        <f>"LK6385"</f>
        <v>LK6385</v>
      </c>
      <c r="C3795" t="s">
        <v>34581</v>
      </c>
      <c r="D3795" t="s">
        <v>27245</v>
      </c>
      <c r="E3795" t="str">
        <f t="shared" si="59"/>
        <v>001390</v>
      </c>
      <c r="F3795" t="s">
        <v>27246</v>
      </c>
      <c r="G3795" t="s">
        <v>27247</v>
      </c>
      <c r="H3795" t="s">
        <v>27248</v>
      </c>
      <c r="I3795" t="s">
        <v>34582</v>
      </c>
      <c r="J3795" t="s">
        <v>7585</v>
      </c>
      <c r="L3795" t="s">
        <v>27250</v>
      </c>
      <c r="M3795" t="s">
        <v>27251</v>
      </c>
      <c r="N3795" t="s">
        <v>27252</v>
      </c>
      <c r="Q3795" s="1">
        <v>44538</v>
      </c>
      <c r="R3795" t="s">
        <v>27253</v>
      </c>
      <c r="S3795" t="s">
        <v>27254</v>
      </c>
      <c r="T3795" t="s">
        <v>27255</v>
      </c>
    </row>
    <row r="3796" spans="1:20" x14ac:dyDescent="0.3">
      <c r="A3796" t="str">
        <f>"0611833879100"</f>
        <v>0611833879100</v>
      </c>
      <c r="B3796" t="str">
        <f>"LK6386"</f>
        <v>LK6386</v>
      </c>
      <c r="C3796" t="s">
        <v>34583</v>
      </c>
      <c r="D3796" t="s">
        <v>27245</v>
      </c>
      <c r="E3796" t="str">
        <f t="shared" si="59"/>
        <v>001390</v>
      </c>
      <c r="F3796" t="s">
        <v>27246</v>
      </c>
      <c r="G3796" t="s">
        <v>27247</v>
      </c>
      <c r="H3796" t="s">
        <v>27248</v>
      </c>
      <c r="I3796" t="s">
        <v>34584</v>
      </c>
      <c r="J3796" t="s">
        <v>7587</v>
      </c>
      <c r="L3796" t="s">
        <v>27250</v>
      </c>
      <c r="M3796" t="s">
        <v>27251</v>
      </c>
      <c r="N3796" t="s">
        <v>27252</v>
      </c>
      <c r="Q3796" s="1">
        <v>44538</v>
      </c>
      <c r="R3796" t="s">
        <v>27253</v>
      </c>
      <c r="S3796" t="s">
        <v>27254</v>
      </c>
      <c r="T3796" t="s">
        <v>27255</v>
      </c>
    </row>
    <row r="3797" spans="1:20" x14ac:dyDescent="0.3">
      <c r="A3797" t="str">
        <f>"0611833880100"</f>
        <v>0611833880100</v>
      </c>
      <c r="B3797" t="str">
        <f>"LK6387"</f>
        <v>LK6387</v>
      </c>
      <c r="C3797" t="s">
        <v>34585</v>
      </c>
      <c r="D3797" t="s">
        <v>27245</v>
      </c>
      <c r="E3797" t="str">
        <f t="shared" si="59"/>
        <v>001390</v>
      </c>
      <c r="F3797" t="s">
        <v>27246</v>
      </c>
      <c r="G3797" t="s">
        <v>27247</v>
      </c>
      <c r="H3797" t="s">
        <v>27248</v>
      </c>
      <c r="I3797" t="s">
        <v>34586</v>
      </c>
      <c r="J3797" t="s">
        <v>7589</v>
      </c>
      <c r="L3797" t="s">
        <v>27250</v>
      </c>
      <c r="M3797" t="s">
        <v>27251</v>
      </c>
      <c r="N3797" t="s">
        <v>27252</v>
      </c>
      <c r="Q3797" s="1">
        <v>44538</v>
      </c>
      <c r="R3797" t="s">
        <v>27253</v>
      </c>
      <c r="S3797" t="s">
        <v>27254</v>
      </c>
      <c r="T3797" t="s">
        <v>27255</v>
      </c>
    </row>
    <row r="3798" spans="1:20" x14ac:dyDescent="0.3">
      <c r="A3798" t="str">
        <f>"0611833881100"</f>
        <v>0611833881100</v>
      </c>
      <c r="B3798" t="str">
        <f>"LK6204"</f>
        <v>LK6204</v>
      </c>
      <c r="C3798" t="s">
        <v>34587</v>
      </c>
      <c r="D3798" t="s">
        <v>27245</v>
      </c>
      <c r="E3798" t="str">
        <f t="shared" si="59"/>
        <v>001390</v>
      </c>
      <c r="F3798" t="s">
        <v>27246</v>
      </c>
      <c r="G3798" t="s">
        <v>27247</v>
      </c>
      <c r="H3798" t="s">
        <v>27248</v>
      </c>
      <c r="I3798" t="s">
        <v>34588</v>
      </c>
      <c r="J3798" t="s">
        <v>7591</v>
      </c>
      <c r="L3798" t="s">
        <v>27250</v>
      </c>
      <c r="M3798" t="s">
        <v>27251</v>
      </c>
      <c r="N3798" t="s">
        <v>27252</v>
      </c>
      <c r="Q3798" s="1">
        <v>44538</v>
      </c>
      <c r="R3798" t="s">
        <v>27253</v>
      </c>
      <c r="S3798" t="s">
        <v>27254</v>
      </c>
      <c r="T3798" t="s">
        <v>27255</v>
      </c>
    </row>
    <row r="3799" spans="1:20" x14ac:dyDescent="0.3">
      <c r="A3799" t="str">
        <f>"0611856913100"</f>
        <v>0611856913100</v>
      </c>
      <c r="B3799" t="str">
        <f>"LK7085"</f>
        <v>LK7085</v>
      </c>
      <c r="C3799" t="s">
        <v>34589</v>
      </c>
      <c r="D3799" t="s">
        <v>27245</v>
      </c>
      <c r="E3799" t="str">
        <f t="shared" si="59"/>
        <v>001390</v>
      </c>
      <c r="F3799" t="s">
        <v>27246</v>
      </c>
      <c r="G3799" t="s">
        <v>27247</v>
      </c>
      <c r="H3799" t="s">
        <v>27248</v>
      </c>
      <c r="I3799" t="s">
        <v>34590</v>
      </c>
      <c r="J3799" t="s">
        <v>7593</v>
      </c>
      <c r="L3799" t="s">
        <v>27250</v>
      </c>
      <c r="M3799" t="s">
        <v>27251</v>
      </c>
      <c r="N3799" t="s">
        <v>27252</v>
      </c>
      <c r="Q3799" s="1">
        <v>44812</v>
      </c>
      <c r="R3799" t="s">
        <v>27253</v>
      </c>
      <c r="S3799" t="s">
        <v>27254</v>
      </c>
      <c r="T3799" t="s">
        <v>27255</v>
      </c>
    </row>
    <row r="3800" spans="1:20" x14ac:dyDescent="0.3">
      <c r="A3800" t="str">
        <f>"0611833882025"</f>
        <v>0611833882025</v>
      </c>
      <c r="B3800" t="str">
        <f>"MC3715"</f>
        <v>MC3715</v>
      </c>
      <c r="C3800" t="s">
        <v>34591</v>
      </c>
      <c r="D3800" t="s">
        <v>27267</v>
      </c>
      <c r="E3800" t="str">
        <f t="shared" si="59"/>
        <v>001390</v>
      </c>
      <c r="F3800" t="s">
        <v>27246</v>
      </c>
      <c r="G3800" t="s">
        <v>27247</v>
      </c>
      <c r="H3800" t="s">
        <v>27248</v>
      </c>
      <c r="I3800" t="s">
        <v>34592</v>
      </c>
      <c r="J3800" t="s">
        <v>7595</v>
      </c>
      <c r="L3800" t="s">
        <v>27250</v>
      </c>
      <c r="M3800" t="s">
        <v>27251</v>
      </c>
      <c r="N3800" t="s">
        <v>27252</v>
      </c>
      <c r="Q3800" s="1">
        <v>44538</v>
      </c>
      <c r="R3800" t="s">
        <v>27253</v>
      </c>
      <c r="S3800" t="s">
        <v>27254</v>
      </c>
      <c r="T3800" t="s">
        <v>27269</v>
      </c>
    </row>
    <row r="3801" spans="1:20" x14ac:dyDescent="0.3">
      <c r="A3801" t="str">
        <f>"0611833883100"</f>
        <v>0611833883100</v>
      </c>
      <c r="B3801" t="str">
        <f>"LK4968"</f>
        <v>LK4968</v>
      </c>
      <c r="C3801" t="s">
        <v>34593</v>
      </c>
      <c r="D3801" t="s">
        <v>27245</v>
      </c>
      <c r="E3801" t="str">
        <f t="shared" si="59"/>
        <v>001390</v>
      </c>
      <c r="F3801" t="s">
        <v>27246</v>
      </c>
      <c r="G3801" t="s">
        <v>27247</v>
      </c>
      <c r="H3801" t="s">
        <v>27248</v>
      </c>
      <c r="I3801" t="s">
        <v>34594</v>
      </c>
      <c r="J3801" t="s">
        <v>7597</v>
      </c>
      <c r="L3801" t="s">
        <v>27250</v>
      </c>
      <c r="M3801" t="s">
        <v>27251</v>
      </c>
      <c r="N3801" t="s">
        <v>27252</v>
      </c>
      <c r="Q3801" s="1">
        <v>44538</v>
      </c>
      <c r="R3801" t="s">
        <v>27253</v>
      </c>
      <c r="S3801" t="s">
        <v>27254</v>
      </c>
      <c r="T3801" t="s">
        <v>27255</v>
      </c>
    </row>
    <row r="3802" spans="1:20" x14ac:dyDescent="0.3">
      <c r="A3802" t="str">
        <f>"0611833884025"</f>
        <v>0611833884025</v>
      </c>
      <c r="B3802" t="str">
        <f>"MQ5136"</f>
        <v>MQ5136</v>
      </c>
      <c r="C3802" t="s">
        <v>34595</v>
      </c>
      <c r="D3802" t="s">
        <v>27267</v>
      </c>
      <c r="E3802" t="str">
        <f t="shared" si="59"/>
        <v>001390</v>
      </c>
      <c r="F3802" t="s">
        <v>27246</v>
      </c>
      <c r="G3802" t="s">
        <v>27247</v>
      </c>
      <c r="H3802" t="s">
        <v>27248</v>
      </c>
      <c r="I3802" t="s">
        <v>34596</v>
      </c>
      <c r="J3802" t="s">
        <v>7599</v>
      </c>
      <c r="L3802" t="s">
        <v>27250</v>
      </c>
      <c r="M3802" t="s">
        <v>27251</v>
      </c>
      <c r="N3802" t="s">
        <v>27252</v>
      </c>
      <c r="Q3802" s="1">
        <v>44538</v>
      </c>
      <c r="R3802" t="s">
        <v>27253</v>
      </c>
      <c r="S3802" t="s">
        <v>27254</v>
      </c>
      <c r="T3802" t="s">
        <v>27269</v>
      </c>
    </row>
    <row r="3803" spans="1:20" x14ac:dyDescent="0.3">
      <c r="A3803" t="str">
        <f>"0611833887025"</f>
        <v>0611833887025</v>
      </c>
      <c r="B3803" t="str">
        <f>"MQ5133"</f>
        <v>MQ5133</v>
      </c>
      <c r="C3803" t="s">
        <v>34597</v>
      </c>
      <c r="D3803" t="s">
        <v>27267</v>
      </c>
      <c r="E3803" t="str">
        <f t="shared" si="59"/>
        <v>001390</v>
      </c>
      <c r="F3803" t="s">
        <v>27246</v>
      </c>
      <c r="G3803" t="s">
        <v>27247</v>
      </c>
      <c r="H3803" t="s">
        <v>27248</v>
      </c>
      <c r="I3803" t="s">
        <v>34598</v>
      </c>
      <c r="J3803" t="s">
        <v>7601</v>
      </c>
      <c r="L3803" t="s">
        <v>27250</v>
      </c>
      <c r="M3803" t="s">
        <v>27251</v>
      </c>
      <c r="N3803" t="s">
        <v>27252</v>
      </c>
      <c r="Q3803" s="1">
        <v>44538</v>
      </c>
      <c r="R3803" t="s">
        <v>27253</v>
      </c>
      <c r="S3803" t="s">
        <v>27254</v>
      </c>
      <c r="T3803" t="s">
        <v>27269</v>
      </c>
    </row>
    <row r="3804" spans="1:20" x14ac:dyDescent="0.3">
      <c r="A3804" t="str">
        <f>"0611833888100"</f>
        <v>0611833888100</v>
      </c>
      <c r="B3804" t="str">
        <f>"LQ0847"</f>
        <v>LQ0847</v>
      </c>
      <c r="C3804" t="s">
        <v>34599</v>
      </c>
      <c r="D3804" t="s">
        <v>27245</v>
      </c>
      <c r="E3804" t="str">
        <f t="shared" si="59"/>
        <v>001390</v>
      </c>
      <c r="F3804" t="s">
        <v>27246</v>
      </c>
      <c r="G3804" t="s">
        <v>27247</v>
      </c>
      <c r="H3804" t="s">
        <v>27248</v>
      </c>
      <c r="I3804" t="s">
        <v>34600</v>
      </c>
      <c r="J3804" t="s">
        <v>7603</v>
      </c>
      <c r="L3804" t="s">
        <v>27250</v>
      </c>
      <c r="M3804" t="s">
        <v>27251</v>
      </c>
      <c r="N3804" t="s">
        <v>27252</v>
      </c>
      <c r="Q3804" s="1">
        <v>44538</v>
      </c>
      <c r="R3804" t="s">
        <v>27253</v>
      </c>
      <c r="S3804" t="s">
        <v>27254</v>
      </c>
      <c r="T3804" t="s">
        <v>27255</v>
      </c>
    </row>
    <row r="3805" spans="1:20" x14ac:dyDescent="0.3">
      <c r="A3805" t="str">
        <f>"0611833890100"</f>
        <v>0611833890100</v>
      </c>
      <c r="B3805" t="str">
        <f>"LK4459"</f>
        <v>LK4459</v>
      </c>
      <c r="C3805" t="s">
        <v>34601</v>
      </c>
      <c r="D3805" t="s">
        <v>28138</v>
      </c>
      <c r="E3805" t="str">
        <f t="shared" si="59"/>
        <v>001390</v>
      </c>
      <c r="F3805" t="s">
        <v>27246</v>
      </c>
      <c r="G3805" t="s">
        <v>27247</v>
      </c>
      <c r="H3805" t="s">
        <v>27248</v>
      </c>
      <c r="I3805" t="s">
        <v>34602</v>
      </c>
      <c r="J3805" t="s">
        <v>7605</v>
      </c>
      <c r="L3805" t="s">
        <v>27250</v>
      </c>
      <c r="M3805" t="s">
        <v>27251</v>
      </c>
      <c r="N3805" t="s">
        <v>27252</v>
      </c>
      <c r="P3805" t="s">
        <v>27925</v>
      </c>
      <c r="Q3805" s="1">
        <v>44538</v>
      </c>
      <c r="R3805" t="s">
        <v>27253</v>
      </c>
      <c r="S3805" t="s">
        <v>27254</v>
      </c>
      <c r="T3805" t="s">
        <v>27255</v>
      </c>
    </row>
    <row r="3806" spans="1:20" x14ac:dyDescent="0.3">
      <c r="A3806" t="str">
        <f>"0611833891100"</f>
        <v>0611833891100</v>
      </c>
      <c r="B3806" t="str">
        <f>"LK4460"</f>
        <v>LK4460</v>
      </c>
      <c r="C3806" t="s">
        <v>34603</v>
      </c>
      <c r="D3806" t="s">
        <v>28138</v>
      </c>
      <c r="E3806" t="str">
        <f t="shared" si="59"/>
        <v>001390</v>
      </c>
      <c r="F3806" t="s">
        <v>27246</v>
      </c>
      <c r="G3806" t="s">
        <v>27247</v>
      </c>
      <c r="H3806" t="s">
        <v>27248</v>
      </c>
      <c r="I3806" t="s">
        <v>34604</v>
      </c>
      <c r="J3806" t="s">
        <v>7607</v>
      </c>
      <c r="L3806" t="s">
        <v>27250</v>
      </c>
      <c r="M3806" t="s">
        <v>27251</v>
      </c>
      <c r="N3806" t="s">
        <v>27252</v>
      </c>
      <c r="P3806" t="s">
        <v>27925</v>
      </c>
      <c r="Q3806" s="1">
        <v>44538</v>
      </c>
      <c r="R3806" t="s">
        <v>27253</v>
      </c>
      <c r="S3806" t="s">
        <v>27254</v>
      </c>
      <c r="T3806" t="s">
        <v>27255</v>
      </c>
    </row>
    <row r="3807" spans="1:20" x14ac:dyDescent="0.3">
      <c r="A3807" t="str">
        <f>"0611833892100"</f>
        <v>0611833892100</v>
      </c>
      <c r="B3807" t="str">
        <f>"LK4461"</f>
        <v>LK4461</v>
      </c>
      <c r="C3807" t="s">
        <v>34605</v>
      </c>
      <c r="D3807" t="s">
        <v>28138</v>
      </c>
      <c r="E3807" t="str">
        <f t="shared" si="59"/>
        <v>001390</v>
      </c>
      <c r="F3807" t="s">
        <v>27246</v>
      </c>
      <c r="G3807" t="s">
        <v>27247</v>
      </c>
      <c r="H3807" t="s">
        <v>27248</v>
      </c>
      <c r="I3807" t="s">
        <v>34606</v>
      </c>
      <c r="J3807" t="s">
        <v>7609</v>
      </c>
      <c r="L3807" t="s">
        <v>27250</v>
      </c>
      <c r="M3807" t="s">
        <v>27251</v>
      </c>
      <c r="N3807" t="s">
        <v>27252</v>
      </c>
      <c r="P3807" t="s">
        <v>27925</v>
      </c>
      <c r="Q3807" s="1">
        <v>44538</v>
      </c>
      <c r="R3807" t="s">
        <v>27253</v>
      </c>
      <c r="S3807" t="s">
        <v>27254</v>
      </c>
      <c r="T3807" t="s">
        <v>27255</v>
      </c>
    </row>
    <row r="3808" spans="1:20" x14ac:dyDescent="0.3">
      <c r="A3808" t="str">
        <f>"0611833893100"</f>
        <v>0611833893100</v>
      </c>
      <c r="B3808" t="str">
        <f>"LK4462"</f>
        <v>LK4462</v>
      </c>
      <c r="C3808" t="s">
        <v>34607</v>
      </c>
      <c r="D3808" t="s">
        <v>28138</v>
      </c>
      <c r="E3808" t="str">
        <f t="shared" si="59"/>
        <v>001390</v>
      </c>
      <c r="F3808" t="s">
        <v>27246</v>
      </c>
      <c r="G3808" t="s">
        <v>27247</v>
      </c>
      <c r="H3808" t="s">
        <v>27248</v>
      </c>
      <c r="I3808" t="s">
        <v>34608</v>
      </c>
      <c r="J3808" t="s">
        <v>7611</v>
      </c>
      <c r="L3808" t="s">
        <v>27250</v>
      </c>
      <c r="M3808" t="s">
        <v>27251</v>
      </c>
      <c r="N3808" t="s">
        <v>27252</v>
      </c>
      <c r="P3808" t="s">
        <v>27925</v>
      </c>
      <c r="Q3808" s="1">
        <v>44538</v>
      </c>
      <c r="R3808" t="s">
        <v>27253</v>
      </c>
      <c r="S3808" t="s">
        <v>27254</v>
      </c>
      <c r="T3808" t="s">
        <v>27255</v>
      </c>
    </row>
    <row r="3809" spans="1:20" x14ac:dyDescent="0.3">
      <c r="A3809" t="str">
        <f>"0611833894100"</f>
        <v>0611833894100</v>
      </c>
      <c r="B3809" t="str">
        <f>"LK4463"</f>
        <v>LK4463</v>
      </c>
      <c r="C3809" t="s">
        <v>34609</v>
      </c>
      <c r="D3809" t="s">
        <v>28138</v>
      </c>
      <c r="E3809" t="str">
        <f t="shared" si="59"/>
        <v>001390</v>
      </c>
      <c r="F3809" t="s">
        <v>27246</v>
      </c>
      <c r="G3809" t="s">
        <v>27247</v>
      </c>
      <c r="H3809" t="s">
        <v>27248</v>
      </c>
      <c r="I3809" t="s">
        <v>34610</v>
      </c>
      <c r="J3809" t="s">
        <v>7613</v>
      </c>
      <c r="L3809" t="s">
        <v>27250</v>
      </c>
      <c r="M3809" t="s">
        <v>27251</v>
      </c>
      <c r="N3809" t="s">
        <v>27252</v>
      </c>
      <c r="P3809" t="s">
        <v>27925</v>
      </c>
      <c r="Q3809" s="1">
        <v>44538</v>
      </c>
      <c r="R3809" t="s">
        <v>27253</v>
      </c>
      <c r="S3809" t="s">
        <v>27254</v>
      </c>
      <c r="T3809" t="s">
        <v>27255</v>
      </c>
    </row>
    <row r="3810" spans="1:20" x14ac:dyDescent="0.3">
      <c r="A3810" t="str">
        <f>"0611833895100"</f>
        <v>0611833895100</v>
      </c>
      <c r="B3810" t="str">
        <f>"LK4464"</f>
        <v>LK4464</v>
      </c>
      <c r="C3810" t="s">
        <v>34611</v>
      </c>
      <c r="D3810" t="s">
        <v>28138</v>
      </c>
      <c r="E3810" t="str">
        <f t="shared" si="59"/>
        <v>001390</v>
      </c>
      <c r="F3810" t="s">
        <v>27246</v>
      </c>
      <c r="G3810" t="s">
        <v>27247</v>
      </c>
      <c r="H3810" t="s">
        <v>27248</v>
      </c>
      <c r="I3810" t="s">
        <v>34612</v>
      </c>
      <c r="J3810" t="s">
        <v>7615</v>
      </c>
      <c r="L3810" t="s">
        <v>27250</v>
      </c>
      <c r="M3810" t="s">
        <v>27251</v>
      </c>
      <c r="N3810" t="s">
        <v>27252</v>
      </c>
      <c r="P3810" t="s">
        <v>27925</v>
      </c>
      <c r="Q3810" s="1">
        <v>44538</v>
      </c>
      <c r="R3810" t="s">
        <v>27253</v>
      </c>
      <c r="S3810" t="s">
        <v>27254</v>
      </c>
      <c r="T3810" t="s">
        <v>27255</v>
      </c>
    </row>
    <row r="3811" spans="1:20" x14ac:dyDescent="0.3">
      <c r="A3811" t="str">
        <f>"0611833896100"</f>
        <v>0611833896100</v>
      </c>
      <c r="B3811" t="str">
        <f>"LK4465"</f>
        <v>LK4465</v>
      </c>
      <c r="C3811" t="s">
        <v>34613</v>
      </c>
      <c r="D3811" t="s">
        <v>28138</v>
      </c>
      <c r="E3811" t="str">
        <f t="shared" si="59"/>
        <v>001390</v>
      </c>
      <c r="F3811" t="s">
        <v>27246</v>
      </c>
      <c r="G3811" t="s">
        <v>27247</v>
      </c>
      <c r="H3811" t="s">
        <v>27248</v>
      </c>
      <c r="I3811" t="s">
        <v>34614</v>
      </c>
      <c r="J3811" t="s">
        <v>7617</v>
      </c>
      <c r="L3811" t="s">
        <v>27250</v>
      </c>
      <c r="M3811" t="s">
        <v>27251</v>
      </c>
      <c r="N3811" t="s">
        <v>27252</v>
      </c>
      <c r="P3811" t="s">
        <v>27925</v>
      </c>
      <c r="Q3811" s="1">
        <v>44538</v>
      </c>
      <c r="R3811" t="s">
        <v>27253</v>
      </c>
      <c r="S3811" t="s">
        <v>27254</v>
      </c>
      <c r="T3811" t="s">
        <v>27255</v>
      </c>
    </row>
    <row r="3812" spans="1:20" x14ac:dyDescent="0.3">
      <c r="A3812" t="str">
        <f>"0611833897100"</f>
        <v>0611833897100</v>
      </c>
      <c r="B3812" t="str">
        <f>"LB2436"</f>
        <v>LB2436</v>
      </c>
      <c r="C3812" t="s">
        <v>34615</v>
      </c>
      <c r="D3812" t="s">
        <v>28138</v>
      </c>
      <c r="E3812" t="str">
        <f t="shared" si="59"/>
        <v>001390</v>
      </c>
      <c r="F3812" t="s">
        <v>27246</v>
      </c>
      <c r="G3812" t="s">
        <v>27247</v>
      </c>
      <c r="H3812" t="s">
        <v>27248</v>
      </c>
      <c r="I3812" t="s">
        <v>34616</v>
      </c>
      <c r="J3812" t="s">
        <v>7619</v>
      </c>
      <c r="L3812" t="s">
        <v>27250</v>
      </c>
      <c r="M3812" t="s">
        <v>27251</v>
      </c>
      <c r="N3812" t="s">
        <v>27252</v>
      </c>
      <c r="P3812" t="s">
        <v>27925</v>
      </c>
      <c r="Q3812" s="1">
        <v>44538</v>
      </c>
      <c r="R3812" t="s">
        <v>27253</v>
      </c>
      <c r="S3812" t="s">
        <v>27254</v>
      </c>
      <c r="T3812" t="s">
        <v>27255</v>
      </c>
    </row>
    <row r="3813" spans="1:20" x14ac:dyDescent="0.3">
      <c r="A3813" t="str">
        <f>"0611833898100"</f>
        <v>0611833898100</v>
      </c>
      <c r="B3813" t="str">
        <f>"LB2437"</f>
        <v>LB2437</v>
      </c>
      <c r="C3813" t="s">
        <v>34617</v>
      </c>
      <c r="D3813" t="s">
        <v>28138</v>
      </c>
      <c r="E3813" t="str">
        <f t="shared" si="59"/>
        <v>001390</v>
      </c>
      <c r="F3813" t="s">
        <v>27246</v>
      </c>
      <c r="G3813" t="s">
        <v>27247</v>
      </c>
      <c r="H3813" t="s">
        <v>27248</v>
      </c>
      <c r="I3813" t="s">
        <v>34618</v>
      </c>
      <c r="J3813" t="s">
        <v>7621</v>
      </c>
      <c r="L3813" t="s">
        <v>27250</v>
      </c>
      <c r="M3813" t="s">
        <v>27251</v>
      </c>
      <c r="N3813" t="s">
        <v>27252</v>
      </c>
      <c r="P3813" t="s">
        <v>27925</v>
      </c>
      <c r="Q3813" s="1">
        <v>44538</v>
      </c>
      <c r="R3813" t="s">
        <v>27253</v>
      </c>
      <c r="S3813" t="s">
        <v>27254</v>
      </c>
      <c r="T3813" t="s">
        <v>27255</v>
      </c>
    </row>
    <row r="3814" spans="1:20" x14ac:dyDescent="0.3">
      <c r="A3814" t="str">
        <f>"0611833899100"</f>
        <v>0611833899100</v>
      </c>
      <c r="B3814" t="str">
        <f>"LB2438"</f>
        <v>LB2438</v>
      </c>
      <c r="C3814" t="s">
        <v>34619</v>
      </c>
      <c r="D3814" t="s">
        <v>28138</v>
      </c>
      <c r="E3814" t="str">
        <f t="shared" si="59"/>
        <v>001390</v>
      </c>
      <c r="F3814" t="s">
        <v>27246</v>
      </c>
      <c r="G3814" t="s">
        <v>27247</v>
      </c>
      <c r="H3814" t="s">
        <v>27248</v>
      </c>
      <c r="I3814" t="s">
        <v>34620</v>
      </c>
      <c r="J3814" t="s">
        <v>7623</v>
      </c>
      <c r="L3814" t="s">
        <v>27250</v>
      </c>
      <c r="M3814" t="s">
        <v>27251</v>
      </c>
      <c r="N3814" t="s">
        <v>27252</v>
      </c>
      <c r="P3814" t="s">
        <v>27925</v>
      </c>
      <c r="Q3814" s="1">
        <v>44538</v>
      </c>
      <c r="R3814" t="s">
        <v>27253</v>
      </c>
      <c r="S3814" t="s">
        <v>27254</v>
      </c>
      <c r="T3814" t="s">
        <v>27255</v>
      </c>
    </row>
    <row r="3815" spans="1:20" x14ac:dyDescent="0.3">
      <c r="A3815" t="str">
        <f>"0611833900100"</f>
        <v>0611833900100</v>
      </c>
      <c r="B3815" t="str">
        <f>"LB2451"</f>
        <v>LB2451</v>
      </c>
      <c r="C3815" t="s">
        <v>34621</v>
      </c>
      <c r="D3815" t="s">
        <v>28138</v>
      </c>
      <c r="E3815" t="str">
        <f t="shared" si="59"/>
        <v>001390</v>
      </c>
      <c r="F3815" t="s">
        <v>27246</v>
      </c>
      <c r="G3815" t="s">
        <v>27247</v>
      </c>
      <c r="H3815" t="s">
        <v>27248</v>
      </c>
      <c r="I3815" t="s">
        <v>34622</v>
      </c>
      <c r="J3815" t="s">
        <v>7625</v>
      </c>
      <c r="L3815" t="s">
        <v>27250</v>
      </c>
      <c r="M3815" t="s">
        <v>27251</v>
      </c>
      <c r="N3815" t="s">
        <v>27252</v>
      </c>
      <c r="P3815" t="s">
        <v>27925</v>
      </c>
      <c r="Q3815" s="1">
        <v>44538</v>
      </c>
      <c r="R3815" t="s">
        <v>27253</v>
      </c>
      <c r="S3815" t="s">
        <v>27254</v>
      </c>
      <c r="T3815" t="s">
        <v>27255</v>
      </c>
    </row>
    <row r="3816" spans="1:20" x14ac:dyDescent="0.3">
      <c r="A3816" t="str">
        <f>"0611833901100"</f>
        <v>0611833901100</v>
      </c>
      <c r="B3816" t="str">
        <f>"LB2439"</f>
        <v>LB2439</v>
      </c>
      <c r="C3816" t="s">
        <v>34623</v>
      </c>
      <c r="D3816" t="s">
        <v>28138</v>
      </c>
      <c r="E3816" t="str">
        <f t="shared" si="59"/>
        <v>001390</v>
      </c>
      <c r="F3816" t="s">
        <v>27246</v>
      </c>
      <c r="G3816" t="s">
        <v>27247</v>
      </c>
      <c r="H3816" t="s">
        <v>27248</v>
      </c>
      <c r="I3816" t="s">
        <v>34624</v>
      </c>
      <c r="J3816" t="s">
        <v>7627</v>
      </c>
      <c r="L3816" t="s">
        <v>27250</v>
      </c>
      <c r="M3816" t="s">
        <v>27251</v>
      </c>
      <c r="N3816" t="s">
        <v>27252</v>
      </c>
      <c r="P3816" t="s">
        <v>27925</v>
      </c>
      <c r="Q3816" s="1">
        <v>44538</v>
      </c>
      <c r="R3816" t="s">
        <v>27253</v>
      </c>
      <c r="S3816" t="s">
        <v>27254</v>
      </c>
      <c r="T3816" t="s">
        <v>27255</v>
      </c>
    </row>
    <row r="3817" spans="1:20" x14ac:dyDescent="0.3">
      <c r="A3817" t="str">
        <f>"0611833902100"</f>
        <v>0611833902100</v>
      </c>
      <c r="B3817" t="str">
        <f>"LB2440"</f>
        <v>LB2440</v>
      </c>
      <c r="C3817" t="s">
        <v>34625</v>
      </c>
      <c r="D3817" t="s">
        <v>28138</v>
      </c>
      <c r="E3817" t="str">
        <f t="shared" si="59"/>
        <v>001390</v>
      </c>
      <c r="F3817" t="s">
        <v>27246</v>
      </c>
      <c r="G3817" t="s">
        <v>27247</v>
      </c>
      <c r="H3817" t="s">
        <v>27248</v>
      </c>
      <c r="I3817" t="s">
        <v>34626</v>
      </c>
      <c r="J3817" t="s">
        <v>7629</v>
      </c>
      <c r="L3817" t="s">
        <v>27250</v>
      </c>
      <c r="M3817" t="s">
        <v>27251</v>
      </c>
      <c r="N3817" t="s">
        <v>27252</v>
      </c>
      <c r="P3817" t="s">
        <v>27925</v>
      </c>
      <c r="Q3817" s="1">
        <v>44538</v>
      </c>
      <c r="R3817" t="s">
        <v>27253</v>
      </c>
      <c r="S3817" t="s">
        <v>27254</v>
      </c>
      <c r="T3817" t="s">
        <v>27255</v>
      </c>
    </row>
    <row r="3818" spans="1:20" x14ac:dyDescent="0.3">
      <c r="A3818" t="str">
        <f>"0611833903100"</f>
        <v>0611833903100</v>
      </c>
      <c r="B3818" t="str">
        <f>"LK2790"</f>
        <v>LK2790</v>
      </c>
      <c r="C3818" t="s">
        <v>34627</v>
      </c>
      <c r="D3818" t="s">
        <v>28138</v>
      </c>
      <c r="E3818" t="str">
        <f t="shared" si="59"/>
        <v>001390</v>
      </c>
      <c r="F3818" t="s">
        <v>27246</v>
      </c>
      <c r="G3818" t="s">
        <v>27247</v>
      </c>
      <c r="H3818" t="s">
        <v>27248</v>
      </c>
      <c r="I3818" t="s">
        <v>34628</v>
      </c>
      <c r="J3818" t="s">
        <v>7631</v>
      </c>
      <c r="L3818" t="s">
        <v>27250</v>
      </c>
      <c r="M3818" t="s">
        <v>27251</v>
      </c>
      <c r="N3818" t="s">
        <v>27252</v>
      </c>
      <c r="P3818" t="s">
        <v>27925</v>
      </c>
      <c r="Q3818" s="1">
        <v>44538</v>
      </c>
      <c r="R3818" t="s">
        <v>27253</v>
      </c>
      <c r="S3818" t="s">
        <v>27254</v>
      </c>
      <c r="T3818" t="s">
        <v>27255</v>
      </c>
    </row>
    <row r="3819" spans="1:20" x14ac:dyDescent="0.3">
      <c r="A3819" t="str">
        <f>"0611833904100"</f>
        <v>0611833904100</v>
      </c>
      <c r="B3819" t="str">
        <f>"LB2441"</f>
        <v>LB2441</v>
      </c>
      <c r="C3819" t="s">
        <v>34629</v>
      </c>
      <c r="D3819" t="s">
        <v>28138</v>
      </c>
      <c r="E3819" t="str">
        <f t="shared" si="59"/>
        <v>001390</v>
      </c>
      <c r="F3819" t="s">
        <v>27246</v>
      </c>
      <c r="G3819" t="s">
        <v>27247</v>
      </c>
      <c r="H3819" t="s">
        <v>27248</v>
      </c>
      <c r="I3819" t="s">
        <v>34630</v>
      </c>
      <c r="J3819" t="s">
        <v>7633</v>
      </c>
      <c r="L3819" t="s">
        <v>27250</v>
      </c>
      <c r="M3819" t="s">
        <v>27251</v>
      </c>
      <c r="N3819" t="s">
        <v>27252</v>
      </c>
      <c r="P3819" t="s">
        <v>27925</v>
      </c>
      <c r="Q3819" s="1">
        <v>44538</v>
      </c>
      <c r="R3819" t="s">
        <v>27253</v>
      </c>
      <c r="S3819" t="s">
        <v>27254</v>
      </c>
      <c r="T3819" t="s">
        <v>27255</v>
      </c>
    </row>
    <row r="3820" spans="1:20" x14ac:dyDescent="0.3">
      <c r="A3820" t="str">
        <f>"0611833905100"</f>
        <v>0611833905100</v>
      </c>
      <c r="B3820" t="str">
        <f>"LK4972"</f>
        <v>LK4972</v>
      </c>
      <c r="C3820" t="s">
        <v>34631</v>
      </c>
      <c r="D3820" t="s">
        <v>28138</v>
      </c>
      <c r="E3820" t="str">
        <f t="shared" si="59"/>
        <v>001390</v>
      </c>
      <c r="F3820" t="s">
        <v>27246</v>
      </c>
      <c r="G3820" t="s">
        <v>27247</v>
      </c>
      <c r="H3820" t="s">
        <v>27248</v>
      </c>
      <c r="I3820" t="s">
        <v>34632</v>
      </c>
      <c r="J3820" t="s">
        <v>7635</v>
      </c>
      <c r="L3820" t="s">
        <v>27250</v>
      </c>
      <c r="M3820" t="s">
        <v>27251</v>
      </c>
      <c r="N3820" t="s">
        <v>27252</v>
      </c>
      <c r="P3820" t="s">
        <v>27925</v>
      </c>
      <c r="Q3820" s="1">
        <v>44538</v>
      </c>
      <c r="R3820" t="s">
        <v>27253</v>
      </c>
      <c r="S3820" t="s">
        <v>27254</v>
      </c>
      <c r="T3820" t="s">
        <v>27255</v>
      </c>
    </row>
    <row r="3821" spans="1:20" x14ac:dyDescent="0.3">
      <c r="A3821" t="str">
        <f>"0611833906100"</f>
        <v>0611833906100</v>
      </c>
      <c r="B3821" t="str">
        <f>"LK3811"</f>
        <v>LK3811</v>
      </c>
      <c r="C3821" t="s">
        <v>34633</v>
      </c>
      <c r="D3821" t="s">
        <v>27245</v>
      </c>
      <c r="E3821" t="str">
        <f t="shared" si="59"/>
        <v>001390</v>
      </c>
      <c r="F3821" t="s">
        <v>27246</v>
      </c>
      <c r="G3821" t="s">
        <v>27247</v>
      </c>
      <c r="H3821" t="s">
        <v>27248</v>
      </c>
      <c r="I3821" t="s">
        <v>34634</v>
      </c>
      <c r="J3821" t="s">
        <v>7637</v>
      </c>
      <c r="L3821" t="s">
        <v>27250</v>
      </c>
      <c r="M3821" t="s">
        <v>27251</v>
      </c>
      <c r="N3821" t="s">
        <v>27252</v>
      </c>
      <c r="Q3821" s="1">
        <v>44538</v>
      </c>
      <c r="R3821" t="s">
        <v>27253</v>
      </c>
      <c r="S3821" t="s">
        <v>27254</v>
      </c>
      <c r="T3821" t="s">
        <v>27255</v>
      </c>
    </row>
    <row r="3822" spans="1:20" x14ac:dyDescent="0.3">
      <c r="A3822" t="str">
        <f>"0611833907100"</f>
        <v>0611833907100</v>
      </c>
      <c r="B3822" t="str">
        <f>"MB1510"</f>
        <v>MB1510</v>
      </c>
      <c r="C3822" t="s">
        <v>34635</v>
      </c>
      <c r="D3822" t="s">
        <v>27274</v>
      </c>
      <c r="E3822" t="str">
        <f t="shared" si="59"/>
        <v>001390</v>
      </c>
      <c r="F3822" t="s">
        <v>27246</v>
      </c>
      <c r="G3822" t="s">
        <v>27247</v>
      </c>
      <c r="H3822" t="s">
        <v>27248</v>
      </c>
      <c r="I3822" t="s">
        <v>34636</v>
      </c>
      <c r="J3822" t="s">
        <v>7711</v>
      </c>
      <c r="L3822" t="s">
        <v>27250</v>
      </c>
      <c r="M3822" t="s">
        <v>27251</v>
      </c>
      <c r="N3822" t="s">
        <v>27252</v>
      </c>
      <c r="Q3822" s="1">
        <v>44538</v>
      </c>
      <c r="R3822" t="s">
        <v>27253</v>
      </c>
      <c r="S3822" t="s">
        <v>27254</v>
      </c>
      <c r="T3822" t="s">
        <v>27276</v>
      </c>
    </row>
    <row r="3823" spans="1:20" x14ac:dyDescent="0.3">
      <c r="A3823" t="str">
        <f>"0611833908100"</f>
        <v>0611833908100</v>
      </c>
      <c r="B3823" t="str">
        <f>"LH0041"</f>
        <v>LH0041</v>
      </c>
      <c r="C3823" t="s">
        <v>34637</v>
      </c>
      <c r="D3823" t="s">
        <v>27245</v>
      </c>
      <c r="E3823" t="str">
        <f t="shared" si="59"/>
        <v>001390</v>
      </c>
      <c r="F3823" t="s">
        <v>27246</v>
      </c>
      <c r="G3823" t="s">
        <v>27247</v>
      </c>
      <c r="H3823" t="s">
        <v>27248</v>
      </c>
      <c r="I3823" t="s">
        <v>34638</v>
      </c>
      <c r="J3823" t="s">
        <v>7639</v>
      </c>
      <c r="L3823" t="s">
        <v>27250</v>
      </c>
      <c r="M3823" t="s">
        <v>27251</v>
      </c>
      <c r="N3823" t="s">
        <v>27252</v>
      </c>
      <c r="Q3823" s="1">
        <v>44538</v>
      </c>
      <c r="R3823" t="s">
        <v>27253</v>
      </c>
      <c r="S3823" t="s">
        <v>27254</v>
      </c>
      <c r="T3823" t="s">
        <v>27255</v>
      </c>
    </row>
    <row r="3824" spans="1:20" x14ac:dyDescent="0.3">
      <c r="A3824" t="str">
        <f>"0611833909100"</f>
        <v>0611833909100</v>
      </c>
      <c r="B3824" t="str">
        <f>"LH3382"</f>
        <v>LH3382</v>
      </c>
      <c r="C3824" t="s">
        <v>34639</v>
      </c>
      <c r="D3824" t="s">
        <v>27245</v>
      </c>
      <c r="E3824" t="str">
        <f t="shared" si="59"/>
        <v>001390</v>
      </c>
      <c r="F3824" t="s">
        <v>27246</v>
      </c>
      <c r="G3824" t="s">
        <v>27247</v>
      </c>
      <c r="H3824" t="s">
        <v>27248</v>
      </c>
      <c r="I3824" t="s">
        <v>34640</v>
      </c>
      <c r="J3824" t="s">
        <v>7641</v>
      </c>
      <c r="L3824" t="s">
        <v>27250</v>
      </c>
      <c r="M3824" t="s">
        <v>27251</v>
      </c>
      <c r="N3824" t="s">
        <v>27252</v>
      </c>
      <c r="Q3824" s="1">
        <v>44538</v>
      </c>
      <c r="R3824" t="s">
        <v>27253</v>
      </c>
      <c r="S3824" t="s">
        <v>27254</v>
      </c>
      <c r="T3824" t="s">
        <v>27255</v>
      </c>
    </row>
    <row r="3825" spans="1:20" x14ac:dyDescent="0.3">
      <c r="A3825" t="str">
        <f>"0611833911025"</f>
        <v>0611833911025</v>
      </c>
      <c r="B3825" t="str">
        <f>"MC0250"</f>
        <v>MC0250</v>
      </c>
      <c r="C3825" t="s">
        <v>34641</v>
      </c>
      <c r="D3825" t="s">
        <v>27267</v>
      </c>
      <c r="E3825" t="str">
        <f t="shared" si="59"/>
        <v>001390</v>
      </c>
      <c r="F3825" t="s">
        <v>27246</v>
      </c>
      <c r="G3825" t="s">
        <v>27247</v>
      </c>
      <c r="H3825" t="s">
        <v>27248</v>
      </c>
      <c r="I3825" t="s">
        <v>34642</v>
      </c>
      <c r="J3825" t="s">
        <v>7643</v>
      </c>
      <c r="L3825" t="s">
        <v>27250</v>
      </c>
      <c r="M3825" t="s">
        <v>27251</v>
      </c>
      <c r="N3825" t="s">
        <v>27252</v>
      </c>
      <c r="Q3825" s="1">
        <v>44538</v>
      </c>
      <c r="R3825" t="s">
        <v>27253</v>
      </c>
      <c r="S3825" t="s">
        <v>27254</v>
      </c>
      <c r="T3825" t="s">
        <v>27269</v>
      </c>
    </row>
    <row r="3826" spans="1:20" x14ac:dyDescent="0.3">
      <c r="A3826" t="str">
        <f>"0611884179025"</f>
        <v>0611884179025</v>
      </c>
      <c r="B3826" t="str">
        <f>"MQ3218"</f>
        <v>MQ3218</v>
      </c>
      <c r="C3826" t="s">
        <v>34643</v>
      </c>
      <c r="D3826" t="s">
        <v>27267</v>
      </c>
      <c r="E3826" t="str">
        <f t="shared" si="59"/>
        <v>001390</v>
      </c>
      <c r="F3826" t="s">
        <v>27246</v>
      </c>
      <c r="G3826" t="s">
        <v>27247</v>
      </c>
      <c r="H3826" t="s">
        <v>27248</v>
      </c>
      <c r="I3826" t="s">
        <v>34644</v>
      </c>
      <c r="J3826" t="s">
        <v>7645</v>
      </c>
      <c r="L3826" t="s">
        <v>27430</v>
      </c>
      <c r="M3826" t="s">
        <v>27251</v>
      </c>
      <c r="N3826" t="s">
        <v>27252</v>
      </c>
      <c r="Q3826" s="1">
        <v>45250</v>
      </c>
      <c r="R3826" t="s">
        <v>27253</v>
      </c>
      <c r="S3826" t="s">
        <v>27254</v>
      </c>
      <c r="T3826" t="s">
        <v>27269</v>
      </c>
    </row>
    <row r="3827" spans="1:20" x14ac:dyDescent="0.3">
      <c r="A3827" t="str">
        <f>"0611884180025"</f>
        <v>0611884180025</v>
      </c>
      <c r="B3827" t="str">
        <f>"MQ3220"</f>
        <v>MQ3220</v>
      </c>
      <c r="C3827" t="s">
        <v>34645</v>
      </c>
      <c r="D3827" t="s">
        <v>27267</v>
      </c>
      <c r="E3827" t="str">
        <f t="shared" si="59"/>
        <v>001390</v>
      </c>
      <c r="F3827" t="s">
        <v>27246</v>
      </c>
      <c r="G3827" t="s">
        <v>27247</v>
      </c>
      <c r="H3827" t="s">
        <v>27248</v>
      </c>
      <c r="I3827" t="s">
        <v>34646</v>
      </c>
      <c r="J3827" t="s">
        <v>7647</v>
      </c>
      <c r="L3827" t="s">
        <v>27430</v>
      </c>
      <c r="M3827" t="s">
        <v>27251</v>
      </c>
      <c r="N3827" t="s">
        <v>27252</v>
      </c>
      <c r="Q3827" s="1">
        <v>45250</v>
      </c>
      <c r="R3827" t="s">
        <v>27253</v>
      </c>
      <c r="S3827" t="s">
        <v>27254</v>
      </c>
      <c r="T3827" t="s">
        <v>27269</v>
      </c>
    </row>
    <row r="3828" spans="1:20" x14ac:dyDescent="0.3">
      <c r="A3828" t="str">
        <f>"0611884181025"</f>
        <v>0611884181025</v>
      </c>
      <c r="B3828" t="str">
        <f>"MQ3219"</f>
        <v>MQ3219</v>
      </c>
      <c r="C3828" t="s">
        <v>34647</v>
      </c>
      <c r="D3828" t="s">
        <v>27267</v>
      </c>
      <c r="E3828" t="str">
        <f t="shared" si="59"/>
        <v>001390</v>
      </c>
      <c r="F3828" t="s">
        <v>27246</v>
      </c>
      <c r="G3828" t="s">
        <v>27247</v>
      </c>
      <c r="H3828" t="s">
        <v>27248</v>
      </c>
      <c r="I3828" t="s">
        <v>34648</v>
      </c>
      <c r="J3828" t="s">
        <v>7649</v>
      </c>
      <c r="L3828" t="s">
        <v>27430</v>
      </c>
      <c r="M3828" t="s">
        <v>27251</v>
      </c>
      <c r="N3828" t="s">
        <v>27252</v>
      </c>
      <c r="Q3828" s="1">
        <v>45250</v>
      </c>
      <c r="R3828" t="s">
        <v>27253</v>
      </c>
      <c r="S3828" t="s">
        <v>27254</v>
      </c>
      <c r="T3828" t="s">
        <v>27269</v>
      </c>
    </row>
    <row r="3829" spans="1:20" x14ac:dyDescent="0.3">
      <c r="A3829" t="str">
        <f>"0611833915025"</f>
        <v>0611833915025</v>
      </c>
      <c r="B3829" t="str">
        <f>"MC1120"</f>
        <v>MC1120</v>
      </c>
      <c r="C3829" t="s">
        <v>34649</v>
      </c>
      <c r="D3829" t="s">
        <v>27267</v>
      </c>
      <c r="E3829" t="str">
        <f t="shared" si="59"/>
        <v>001390</v>
      </c>
      <c r="F3829" t="s">
        <v>27246</v>
      </c>
      <c r="G3829" t="s">
        <v>27247</v>
      </c>
      <c r="H3829" t="s">
        <v>27248</v>
      </c>
      <c r="I3829" t="s">
        <v>34650</v>
      </c>
      <c r="J3829" t="s">
        <v>7651</v>
      </c>
      <c r="L3829" t="s">
        <v>27250</v>
      </c>
      <c r="M3829" t="s">
        <v>27251</v>
      </c>
      <c r="N3829" t="s">
        <v>27252</v>
      </c>
      <c r="Q3829" s="1">
        <v>44538</v>
      </c>
      <c r="R3829" t="s">
        <v>27253</v>
      </c>
      <c r="S3829" t="s">
        <v>27254</v>
      </c>
      <c r="T3829" t="s">
        <v>27269</v>
      </c>
    </row>
    <row r="3830" spans="1:20" x14ac:dyDescent="0.3">
      <c r="A3830" t="str">
        <f>"0611833916025"</f>
        <v>0611833916025</v>
      </c>
      <c r="B3830" t="str">
        <f>"MC0248"</f>
        <v>MC0248</v>
      </c>
      <c r="C3830" t="s">
        <v>34651</v>
      </c>
      <c r="D3830" t="s">
        <v>27267</v>
      </c>
      <c r="E3830" t="str">
        <f t="shared" si="59"/>
        <v>001390</v>
      </c>
      <c r="F3830" t="s">
        <v>27246</v>
      </c>
      <c r="G3830" t="s">
        <v>27247</v>
      </c>
      <c r="H3830" t="s">
        <v>27248</v>
      </c>
      <c r="I3830" t="s">
        <v>34652</v>
      </c>
      <c r="J3830" t="s">
        <v>7653</v>
      </c>
      <c r="L3830" t="s">
        <v>27250</v>
      </c>
      <c r="M3830" t="s">
        <v>27251</v>
      </c>
      <c r="N3830" t="s">
        <v>27252</v>
      </c>
      <c r="Q3830" s="1">
        <v>44538</v>
      </c>
      <c r="R3830" t="s">
        <v>27253</v>
      </c>
      <c r="S3830" t="s">
        <v>27254</v>
      </c>
      <c r="T3830" t="s">
        <v>27269</v>
      </c>
    </row>
    <row r="3831" spans="1:20" x14ac:dyDescent="0.3">
      <c r="A3831" t="str">
        <f>"0611833917100"</f>
        <v>0611833917100</v>
      </c>
      <c r="B3831" t="str">
        <f>"LB2513"</f>
        <v>LB2513</v>
      </c>
      <c r="C3831" t="s">
        <v>34653</v>
      </c>
      <c r="D3831" t="s">
        <v>27245</v>
      </c>
      <c r="E3831" t="str">
        <f t="shared" si="59"/>
        <v>001390</v>
      </c>
      <c r="F3831" t="s">
        <v>27246</v>
      </c>
      <c r="G3831" t="s">
        <v>27247</v>
      </c>
      <c r="H3831" t="s">
        <v>27248</v>
      </c>
      <c r="I3831" t="s">
        <v>34654</v>
      </c>
      <c r="J3831" t="s">
        <v>7655</v>
      </c>
      <c r="L3831" t="s">
        <v>27250</v>
      </c>
      <c r="M3831" t="s">
        <v>27251</v>
      </c>
      <c r="N3831" t="s">
        <v>27252</v>
      </c>
      <c r="Q3831" s="1">
        <v>44538</v>
      </c>
      <c r="R3831" t="s">
        <v>27253</v>
      </c>
      <c r="S3831" t="s">
        <v>27254</v>
      </c>
      <c r="T3831" t="s">
        <v>27255</v>
      </c>
    </row>
    <row r="3832" spans="1:20" x14ac:dyDescent="0.3">
      <c r="A3832" t="str">
        <f>"0611833918100"</f>
        <v>0611833918100</v>
      </c>
      <c r="B3832" t="str">
        <f>"LB2554"</f>
        <v>LB2554</v>
      </c>
      <c r="C3832" t="s">
        <v>34655</v>
      </c>
      <c r="D3832" t="s">
        <v>27245</v>
      </c>
      <c r="E3832" t="str">
        <f t="shared" si="59"/>
        <v>001390</v>
      </c>
      <c r="F3832" t="s">
        <v>27246</v>
      </c>
      <c r="G3832" t="s">
        <v>27247</v>
      </c>
      <c r="H3832" t="s">
        <v>27248</v>
      </c>
      <c r="I3832" t="s">
        <v>34656</v>
      </c>
      <c r="J3832" t="s">
        <v>7657</v>
      </c>
      <c r="L3832" t="s">
        <v>27250</v>
      </c>
      <c r="M3832" t="s">
        <v>27251</v>
      </c>
      <c r="N3832" t="s">
        <v>27252</v>
      </c>
      <c r="Q3832" s="1">
        <v>44538</v>
      </c>
      <c r="R3832" t="s">
        <v>27253</v>
      </c>
      <c r="S3832" t="s">
        <v>27254</v>
      </c>
      <c r="T3832" t="s">
        <v>27255</v>
      </c>
    </row>
    <row r="3833" spans="1:20" x14ac:dyDescent="0.3">
      <c r="A3833" t="str">
        <f>"0611833919100"</f>
        <v>0611833919100</v>
      </c>
      <c r="B3833" t="str">
        <f>"LB2562"</f>
        <v>LB2562</v>
      </c>
      <c r="C3833" t="s">
        <v>34657</v>
      </c>
      <c r="D3833" t="s">
        <v>27245</v>
      </c>
      <c r="E3833" t="str">
        <f t="shared" si="59"/>
        <v>001390</v>
      </c>
      <c r="F3833" t="s">
        <v>27246</v>
      </c>
      <c r="G3833" t="s">
        <v>27247</v>
      </c>
      <c r="H3833" t="s">
        <v>27248</v>
      </c>
      <c r="I3833" t="s">
        <v>34658</v>
      </c>
      <c r="J3833" t="s">
        <v>7659</v>
      </c>
      <c r="L3833" t="s">
        <v>27250</v>
      </c>
      <c r="M3833" t="s">
        <v>27251</v>
      </c>
      <c r="N3833" t="s">
        <v>27252</v>
      </c>
      <c r="Q3833" s="1">
        <v>44538</v>
      </c>
      <c r="R3833" t="s">
        <v>27253</v>
      </c>
      <c r="S3833" t="s">
        <v>27254</v>
      </c>
      <c r="T3833" t="s">
        <v>27255</v>
      </c>
    </row>
    <row r="3834" spans="1:20" x14ac:dyDescent="0.3">
      <c r="A3834" t="str">
        <f>"0611833920100"</f>
        <v>0611833920100</v>
      </c>
      <c r="B3834" t="str">
        <f>"LB2561"</f>
        <v>LB2561</v>
      </c>
      <c r="C3834" t="s">
        <v>34659</v>
      </c>
      <c r="D3834" t="s">
        <v>27245</v>
      </c>
      <c r="E3834" t="str">
        <f t="shared" si="59"/>
        <v>001390</v>
      </c>
      <c r="F3834" t="s">
        <v>27246</v>
      </c>
      <c r="G3834" t="s">
        <v>27247</v>
      </c>
      <c r="H3834" t="s">
        <v>27248</v>
      </c>
      <c r="I3834" t="s">
        <v>34660</v>
      </c>
      <c r="J3834" t="s">
        <v>7661</v>
      </c>
      <c r="L3834" t="s">
        <v>27250</v>
      </c>
      <c r="M3834" t="s">
        <v>27251</v>
      </c>
      <c r="N3834" t="s">
        <v>27252</v>
      </c>
      <c r="Q3834" s="1">
        <v>44538</v>
      </c>
      <c r="R3834" t="s">
        <v>27253</v>
      </c>
      <c r="S3834" t="s">
        <v>27254</v>
      </c>
      <c r="T3834" t="s">
        <v>27255</v>
      </c>
    </row>
    <row r="3835" spans="1:20" x14ac:dyDescent="0.3">
      <c r="A3835" t="str">
        <f>"0611833921100"</f>
        <v>0611833921100</v>
      </c>
      <c r="B3835" t="str">
        <f>"LB2555"</f>
        <v>LB2555</v>
      </c>
      <c r="C3835" t="s">
        <v>34661</v>
      </c>
      <c r="D3835" t="s">
        <v>27245</v>
      </c>
      <c r="E3835" t="str">
        <f t="shared" si="59"/>
        <v>001390</v>
      </c>
      <c r="F3835" t="s">
        <v>27246</v>
      </c>
      <c r="G3835" t="s">
        <v>27247</v>
      </c>
      <c r="H3835" t="s">
        <v>27248</v>
      </c>
      <c r="I3835" t="s">
        <v>34662</v>
      </c>
      <c r="J3835" t="s">
        <v>7663</v>
      </c>
      <c r="L3835" t="s">
        <v>27250</v>
      </c>
      <c r="M3835" t="s">
        <v>27251</v>
      </c>
      <c r="N3835" t="s">
        <v>27252</v>
      </c>
      <c r="Q3835" s="1">
        <v>44538</v>
      </c>
      <c r="R3835" t="s">
        <v>27253</v>
      </c>
      <c r="S3835" t="s">
        <v>27254</v>
      </c>
      <c r="T3835" t="s">
        <v>27255</v>
      </c>
    </row>
    <row r="3836" spans="1:20" x14ac:dyDescent="0.3">
      <c r="A3836" t="str">
        <f>"0611833922100"</f>
        <v>0611833922100</v>
      </c>
      <c r="B3836" t="str">
        <f>"LB2556"</f>
        <v>LB2556</v>
      </c>
      <c r="C3836" t="s">
        <v>34663</v>
      </c>
      <c r="D3836" t="s">
        <v>27245</v>
      </c>
      <c r="E3836" t="str">
        <f t="shared" si="59"/>
        <v>001390</v>
      </c>
      <c r="F3836" t="s">
        <v>27246</v>
      </c>
      <c r="G3836" t="s">
        <v>27247</v>
      </c>
      <c r="H3836" t="s">
        <v>27248</v>
      </c>
      <c r="I3836" t="s">
        <v>34664</v>
      </c>
      <c r="J3836" t="s">
        <v>7665</v>
      </c>
      <c r="L3836" t="s">
        <v>27250</v>
      </c>
      <c r="M3836" t="s">
        <v>27251</v>
      </c>
      <c r="N3836" t="s">
        <v>27252</v>
      </c>
      <c r="Q3836" s="1">
        <v>44538</v>
      </c>
      <c r="R3836" t="s">
        <v>27253</v>
      </c>
      <c r="S3836" t="s">
        <v>27254</v>
      </c>
      <c r="T3836" t="s">
        <v>27255</v>
      </c>
    </row>
    <row r="3837" spans="1:20" x14ac:dyDescent="0.3">
      <c r="A3837" t="str">
        <f>"0611833923100"</f>
        <v>0611833923100</v>
      </c>
      <c r="B3837" t="str">
        <f>"LB2557"</f>
        <v>LB2557</v>
      </c>
      <c r="C3837" t="s">
        <v>34665</v>
      </c>
      <c r="D3837" t="s">
        <v>27245</v>
      </c>
      <c r="E3837" t="str">
        <f t="shared" si="59"/>
        <v>001390</v>
      </c>
      <c r="F3837" t="s">
        <v>27246</v>
      </c>
      <c r="G3837" t="s">
        <v>27247</v>
      </c>
      <c r="H3837" t="s">
        <v>27248</v>
      </c>
      <c r="I3837" t="s">
        <v>34666</v>
      </c>
      <c r="J3837" t="s">
        <v>7667</v>
      </c>
      <c r="L3837" t="s">
        <v>27250</v>
      </c>
      <c r="M3837" t="s">
        <v>27251</v>
      </c>
      <c r="N3837" t="s">
        <v>27252</v>
      </c>
      <c r="Q3837" s="1">
        <v>44538</v>
      </c>
      <c r="R3837" t="s">
        <v>27253</v>
      </c>
      <c r="S3837" t="s">
        <v>27254</v>
      </c>
      <c r="T3837" t="s">
        <v>27255</v>
      </c>
    </row>
    <row r="3838" spans="1:20" x14ac:dyDescent="0.3">
      <c r="A3838" t="str">
        <f>"0611833924100"</f>
        <v>0611833924100</v>
      </c>
      <c r="B3838" t="str">
        <f>"LK6545"</f>
        <v>LK6545</v>
      </c>
      <c r="C3838" t="s">
        <v>34667</v>
      </c>
      <c r="D3838" t="s">
        <v>27245</v>
      </c>
      <c r="E3838" t="str">
        <f t="shared" si="59"/>
        <v>001390</v>
      </c>
      <c r="F3838" t="s">
        <v>27246</v>
      </c>
      <c r="G3838" t="s">
        <v>27247</v>
      </c>
      <c r="H3838" t="s">
        <v>27248</v>
      </c>
      <c r="I3838" t="s">
        <v>34668</v>
      </c>
      <c r="J3838" t="s">
        <v>7669</v>
      </c>
      <c r="L3838" t="s">
        <v>27250</v>
      </c>
      <c r="M3838" t="s">
        <v>27251</v>
      </c>
      <c r="N3838" t="s">
        <v>27252</v>
      </c>
      <c r="Q3838" s="1">
        <v>44538</v>
      </c>
      <c r="R3838" t="s">
        <v>27253</v>
      </c>
      <c r="S3838" t="s">
        <v>27254</v>
      </c>
      <c r="T3838" t="s">
        <v>27255</v>
      </c>
    </row>
    <row r="3839" spans="1:20" x14ac:dyDescent="0.3">
      <c r="A3839" t="str">
        <f>"0611833925100"</f>
        <v>0611833925100</v>
      </c>
      <c r="B3839" t="str">
        <f>"LB2558"</f>
        <v>LB2558</v>
      </c>
      <c r="C3839" t="s">
        <v>34669</v>
      </c>
      <c r="D3839" t="s">
        <v>27245</v>
      </c>
      <c r="E3839" t="str">
        <f t="shared" si="59"/>
        <v>001390</v>
      </c>
      <c r="F3839" t="s">
        <v>27246</v>
      </c>
      <c r="G3839" t="s">
        <v>27247</v>
      </c>
      <c r="H3839" t="s">
        <v>27248</v>
      </c>
      <c r="I3839" t="s">
        <v>34670</v>
      </c>
      <c r="J3839" t="s">
        <v>7671</v>
      </c>
      <c r="L3839" t="s">
        <v>27250</v>
      </c>
      <c r="M3839" t="s">
        <v>27251</v>
      </c>
      <c r="N3839" t="s">
        <v>27252</v>
      </c>
      <c r="Q3839" s="1">
        <v>44538</v>
      </c>
      <c r="R3839" t="s">
        <v>27253</v>
      </c>
      <c r="S3839" t="s">
        <v>27254</v>
      </c>
      <c r="T3839" t="s">
        <v>27255</v>
      </c>
    </row>
    <row r="3840" spans="1:20" x14ac:dyDescent="0.3">
      <c r="A3840" t="str">
        <f>"0611833926100"</f>
        <v>0611833926100</v>
      </c>
      <c r="B3840" t="str">
        <f>"LB2563"</f>
        <v>LB2563</v>
      </c>
      <c r="C3840" t="s">
        <v>34671</v>
      </c>
      <c r="D3840" t="s">
        <v>27245</v>
      </c>
      <c r="E3840" t="str">
        <f t="shared" si="59"/>
        <v>001390</v>
      </c>
      <c r="F3840" t="s">
        <v>27246</v>
      </c>
      <c r="G3840" t="s">
        <v>27247</v>
      </c>
      <c r="H3840" t="s">
        <v>27248</v>
      </c>
      <c r="I3840" t="s">
        <v>34672</v>
      </c>
      <c r="J3840" t="s">
        <v>7673</v>
      </c>
      <c r="L3840" t="s">
        <v>27250</v>
      </c>
      <c r="M3840" t="s">
        <v>27251</v>
      </c>
      <c r="N3840" t="s">
        <v>27252</v>
      </c>
      <c r="Q3840" s="1">
        <v>44538</v>
      </c>
      <c r="R3840" t="s">
        <v>27253</v>
      </c>
      <c r="S3840" t="s">
        <v>27254</v>
      </c>
      <c r="T3840" t="s">
        <v>27255</v>
      </c>
    </row>
    <row r="3841" spans="1:20" x14ac:dyDescent="0.3">
      <c r="A3841" t="str">
        <f>"0611833927100"</f>
        <v>0611833927100</v>
      </c>
      <c r="B3841" t="str">
        <f>"LB2559"</f>
        <v>LB2559</v>
      </c>
      <c r="C3841" t="s">
        <v>34673</v>
      </c>
      <c r="D3841" t="s">
        <v>27245</v>
      </c>
      <c r="E3841" t="str">
        <f t="shared" si="59"/>
        <v>001390</v>
      </c>
      <c r="F3841" t="s">
        <v>27246</v>
      </c>
      <c r="G3841" t="s">
        <v>27247</v>
      </c>
      <c r="H3841" t="s">
        <v>27248</v>
      </c>
      <c r="I3841" t="s">
        <v>34674</v>
      </c>
      <c r="J3841" t="s">
        <v>7675</v>
      </c>
      <c r="L3841" t="s">
        <v>27250</v>
      </c>
      <c r="M3841" t="s">
        <v>27251</v>
      </c>
      <c r="N3841" t="s">
        <v>27252</v>
      </c>
      <c r="Q3841" s="1">
        <v>44538</v>
      </c>
      <c r="R3841" t="s">
        <v>27253</v>
      </c>
      <c r="S3841" t="s">
        <v>27254</v>
      </c>
      <c r="T3841" t="s">
        <v>27255</v>
      </c>
    </row>
    <row r="3842" spans="1:20" x14ac:dyDescent="0.3">
      <c r="A3842" t="str">
        <f>"0611833928100"</f>
        <v>0611833928100</v>
      </c>
      <c r="B3842" t="str">
        <f>"LB2560"</f>
        <v>LB2560</v>
      </c>
      <c r="C3842" t="s">
        <v>34675</v>
      </c>
      <c r="D3842" t="s">
        <v>27245</v>
      </c>
      <c r="E3842" t="str">
        <f t="shared" ref="E3842:E3905" si="60">"001390"</f>
        <v>001390</v>
      </c>
      <c r="F3842" t="s">
        <v>27246</v>
      </c>
      <c r="G3842" t="s">
        <v>27247</v>
      </c>
      <c r="H3842" t="s">
        <v>27248</v>
      </c>
      <c r="I3842" t="s">
        <v>34676</v>
      </c>
      <c r="J3842" t="s">
        <v>7677</v>
      </c>
      <c r="L3842" t="s">
        <v>27250</v>
      </c>
      <c r="M3842" t="s">
        <v>27251</v>
      </c>
      <c r="N3842" t="s">
        <v>27252</v>
      </c>
      <c r="Q3842" s="1">
        <v>44538</v>
      </c>
      <c r="R3842" t="s">
        <v>27253</v>
      </c>
      <c r="S3842" t="s">
        <v>27254</v>
      </c>
      <c r="T3842" t="s">
        <v>27255</v>
      </c>
    </row>
    <row r="3843" spans="1:20" x14ac:dyDescent="0.3">
      <c r="A3843" t="str">
        <f>"0611833929100"</f>
        <v>0611833929100</v>
      </c>
      <c r="B3843" t="str">
        <f>"LB2540"</f>
        <v>LB2540</v>
      </c>
      <c r="C3843" t="s">
        <v>34677</v>
      </c>
      <c r="D3843" t="s">
        <v>27245</v>
      </c>
      <c r="E3843" t="str">
        <f t="shared" si="60"/>
        <v>001390</v>
      </c>
      <c r="F3843" t="s">
        <v>27246</v>
      </c>
      <c r="G3843" t="s">
        <v>27247</v>
      </c>
      <c r="H3843" t="s">
        <v>27248</v>
      </c>
      <c r="I3843" t="s">
        <v>34678</v>
      </c>
      <c r="J3843" t="s">
        <v>7679</v>
      </c>
      <c r="L3843" t="s">
        <v>27250</v>
      </c>
      <c r="M3843" t="s">
        <v>27251</v>
      </c>
      <c r="N3843" t="s">
        <v>27252</v>
      </c>
      <c r="Q3843" s="1">
        <v>44538</v>
      </c>
      <c r="R3843" t="s">
        <v>27253</v>
      </c>
      <c r="S3843" t="s">
        <v>27254</v>
      </c>
      <c r="T3843" t="s">
        <v>27255</v>
      </c>
    </row>
    <row r="3844" spans="1:20" x14ac:dyDescent="0.3">
      <c r="A3844" t="str">
        <f>"0611833930100"</f>
        <v>0611833930100</v>
      </c>
      <c r="B3844" t="str">
        <f>"LQ3560"</f>
        <v>LQ3560</v>
      </c>
      <c r="C3844" t="s">
        <v>34679</v>
      </c>
      <c r="D3844" t="s">
        <v>27245</v>
      </c>
      <c r="E3844" t="str">
        <f t="shared" si="60"/>
        <v>001390</v>
      </c>
      <c r="F3844" t="s">
        <v>27246</v>
      </c>
      <c r="G3844" t="s">
        <v>27247</v>
      </c>
      <c r="H3844" t="s">
        <v>27248</v>
      </c>
      <c r="I3844" t="s">
        <v>34680</v>
      </c>
      <c r="J3844" t="s">
        <v>7681</v>
      </c>
      <c r="L3844" t="s">
        <v>27250</v>
      </c>
      <c r="M3844" t="s">
        <v>27251</v>
      </c>
      <c r="N3844" t="s">
        <v>27252</v>
      </c>
      <c r="Q3844" s="1">
        <v>44538</v>
      </c>
      <c r="R3844" t="s">
        <v>27253</v>
      </c>
      <c r="S3844" t="s">
        <v>27254</v>
      </c>
      <c r="T3844" t="s">
        <v>27255</v>
      </c>
    </row>
    <row r="3845" spans="1:20" x14ac:dyDescent="0.3">
      <c r="A3845" t="str">
        <f>"0611833931100"</f>
        <v>0611833931100</v>
      </c>
      <c r="B3845" t="str">
        <f>"LQ3561"</f>
        <v>LQ3561</v>
      </c>
      <c r="C3845" t="s">
        <v>34681</v>
      </c>
      <c r="D3845" t="s">
        <v>27245</v>
      </c>
      <c r="E3845" t="str">
        <f t="shared" si="60"/>
        <v>001390</v>
      </c>
      <c r="F3845" t="s">
        <v>27246</v>
      </c>
      <c r="G3845" t="s">
        <v>27247</v>
      </c>
      <c r="H3845" t="s">
        <v>27248</v>
      </c>
      <c r="I3845" t="s">
        <v>34682</v>
      </c>
      <c r="J3845" t="s">
        <v>7683</v>
      </c>
      <c r="L3845" t="s">
        <v>27250</v>
      </c>
      <c r="M3845" t="s">
        <v>27251</v>
      </c>
      <c r="N3845" t="s">
        <v>27252</v>
      </c>
      <c r="Q3845" s="1">
        <v>44538</v>
      </c>
      <c r="R3845" t="s">
        <v>27253</v>
      </c>
      <c r="S3845" t="s">
        <v>27254</v>
      </c>
      <c r="T3845" t="s">
        <v>27255</v>
      </c>
    </row>
    <row r="3846" spans="1:20" x14ac:dyDescent="0.3">
      <c r="A3846" t="str">
        <f>"0611833932100"</f>
        <v>0611833932100</v>
      </c>
      <c r="B3846" t="str">
        <f>"LQ3562"</f>
        <v>LQ3562</v>
      </c>
      <c r="C3846" t="s">
        <v>34683</v>
      </c>
      <c r="D3846" t="s">
        <v>27245</v>
      </c>
      <c r="E3846" t="str">
        <f t="shared" si="60"/>
        <v>001390</v>
      </c>
      <c r="F3846" t="s">
        <v>27246</v>
      </c>
      <c r="G3846" t="s">
        <v>27247</v>
      </c>
      <c r="H3846" t="s">
        <v>27248</v>
      </c>
      <c r="I3846" t="s">
        <v>34684</v>
      </c>
      <c r="J3846" t="s">
        <v>7685</v>
      </c>
      <c r="L3846" t="s">
        <v>27250</v>
      </c>
      <c r="M3846" t="s">
        <v>27251</v>
      </c>
      <c r="N3846" t="s">
        <v>27252</v>
      </c>
      <c r="Q3846" s="1">
        <v>44538</v>
      </c>
      <c r="R3846" t="s">
        <v>27253</v>
      </c>
      <c r="S3846" t="s">
        <v>27254</v>
      </c>
      <c r="T3846" t="s">
        <v>27255</v>
      </c>
    </row>
    <row r="3847" spans="1:20" x14ac:dyDescent="0.3">
      <c r="A3847" t="str">
        <f>"0611833933100"</f>
        <v>0611833933100</v>
      </c>
      <c r="B3847" t="str">
        <f>"LQ3563"</f>
        <v>LQ3563</v>
      </c>
      <c r="C3847" t="s">
        <v>34685</v>
      </c>
      <c r="D3847" t="s">
        <v>27245</v>
      </c>
      <c r="E3847" t="str">
        <f t="shared" si="60"/>
        <v>001390</v>
      </c>
      <c r="F3847" t="s">
        <v>27246</v>
      </c>
      <c r="G3847" t="s">
        <v>27247</v>
      </c>
      <c r="H3847" t="s">
        <v>27248</v>
      </c>
      <c r="I3847" t="s">
        <v>34686</v>
      </c>
      <c r="J3847" t="s">
        <v>7687</v>
      </c>
      <c r="L3847" t="s">
        <v>27250</v>
      </c>
      <c r="M3847" t="s">
        <v>27251</v>
      </c>
      <c r="N3847" t="s">
        <v>27252</v>
      </c>
      <c r="Q3847" s="1">
        <v>44538</v>
      </c>
      <c r="R3847" t="s">
        <v>27253</v>
      </c>
      <c r="S3847" t="s">
        <v>27254</v>
      </c>
      <c r="T3847" t="s">
        <v>27255</v>
      </c>
    </row>
    <row r="3848" spans="1:20" x14ac:dyDescent="0.3">
      <c r="A3848" t="str">
        <f>"0611833934100"</f>
        <v>0611833934100</v>
      </c>
      <c r="B3848" t="str">
        <f>"LQ3729"</f>
        <v>LQ3729</v>
      </c>
      <c r="C3848" t="s">
        <v>34687</v>
      </c>
      <c r="D3848" t="s">
        <v>27245</v>
      </c>
      <c r="E3848" t="str">
        <f t="shared" si="60"/>
        <v>001390</v>
      </c>
      <c r="F3848" t="s">
        <v>27246</v>
      </c>
      <c r="G3848" t="s">
        <v>27247</v>
      </c>
      <c r="H3848" t="s">
        <v>27248</v>
      </c>
      <c r="I3848" t="s">
        <v>34688</v>
      </c>
      <c r="J3848" t="s">
        <v>7689</v>
      </c>
      <c r="L3848" t="s">
        <v>27250</v>
      </c>
      <c r="M3848" t="s">
        <v>27251</v>
      </c>
      <c r="N3848" t="s">
        <v>27252</v>
      </c>
      <c r="Q3848" s="1">
        <v>44538</v>
      </c>
      <c r="R3848" t="s">
        <v>27253</v>
      </c>
      <c r="S3848" t="s">
        <v>27254</v>
      </c>
      <c r="T3848" t="s">
        <v>27255</v>
      </c>
    </row>
    <row r="3849" spans="1:20" x14ac:dyDescent="0.3">
      <c r="A3849" t="str">
        <f>"0611833935100"</f>
        <v>0611833935100</v>
      </c>
      <c r="B3849" t="str">
        <f>"LQ3730"</f>
        <v>LQ3730</v>
      </c>
      <c r="C3849" t="s">
        <v>34689</v>
      </c>
      <c r="D3849" t="s">
        <v>27245</v>
      </c>
      <c r="E3849" t="str">
        <f t="shared" si="60"/>
        <v>001390</v>
      </c>
      <c r="F3849" t="s">
        <v>27246</v>
      </c>
      <c r="G3849" t="s">
        <v>27247</v>
      </c>
      <c r="H3849" t="s">
        <v>27248</v>
      </c>
      <c r="I3849" t="s">
        <v>34690</v>
      </c>
      <c r="J3849" t="s">
        <v>7691</v>
      </c>
      <c r="L3849" t="s">
        <v>27250</v>
      </c>
      <c r="M3849" t="s">
        <v>27251</v>
      </c>
      <c r="N3849" t="s">
        <v>27252</v>
      </c>
      <c r="Q3849" s="1">
        <v>44538</v>
      </c>
      <c r="R3849" t="s">
        <v>27253</v>
      </c>
      <c r="S3849" t="s">
        <v>27254</v>
      </c>
      <c r="T3849" t="s">
        <v>27255</v>
      </c>
    </row>
    <row r="3850" spans="1:20" x14ac:dyDescent="0.3">
      <c r="A3850" t="str">
        <f>"0611833936100"</f>
        <v>0611833936100</v>
      </c>
      <c r="B3850" t="str">
        <f>"LQ3564"</f>
        <v>LQ3564</v>
      </c>
      <c r="C3850" t="s">
        <v>34691</v>
      </c>
      <c r="D3850" t="s">
        <v>27245</v>
      </c>
      <c r="E3850" t="str">
        <f t="shared" si="60"/>
        <v>001390</v>
      </c>
      <c r="F3850" t="s">
        <v>27246</v>
      </c>
      <c r="G3850" t="s">
        <v>27247</v>
      </c>
      <c r="H3850" t="s">
        <v>27248</v>
      </c>
      <c r="I3850" t="s">
        <v>34692</v>
      </c>
      <c r="J3850" t="s">
        <v>7693</v>
      </c>
      <c r="L3850" t="s">
        <v>27250</v>
      </c>
      <c r="M3850" t="s">
        <v>27251</v>
      </c>
      <c r="N3850" t="s">
        <v>27252</v>
      </c>
      <c r="Q3850" s="1">
        <v>44538</v>
      </c>
      <c r="R3850" t="s">
        <v>27253</v>
      </c>
      <c r="S3850" t="s">
        <v>27254</v>
      </c>
      <c r="T3850" t="s">
        <v>27255</v>
      </c>
    </row>
    <row r="3851" spans="1:20" x14ac:dyDescent="0.3">
      <c r="A3851" t="str">
        <f>"0611833937100"</f>
        <v>0611833937100</v>
      </c>
      <c r="B3851" t="str">
        <f>"LQ3565"</f>
        <v>LQ3565</v>
      </c>
      <c r="C3851" t="s">
        <v>34693</v>
      </c>
      <c r="D3851" t="s">
        <v>27245</v>
      </c>
      <c r="E3851" t="str">
        <f t="shared" si="60"/>
        <v>001390</v>
      </c>
      <c r="F3851" t="s">
        <v>27246</v>
      </c>
      <c r="G3851" t="s">
        <v>27247</v>
      </c>
      <c r="H3851" t="s">
        <v>27248</v>
      </c>
      <c r="I3851" t="s">
        <v>34694</v>
      </c>
      <c r="J3851" t="s">
        <v>7695</v>
      </c>
      <c r="L3851" t="s">
        <v>27250</v>
      </c>
      <c r="M3851" t="s">
        <v>27251</v>
      </c>
      <c r="N3851" t="s">
        <v>27252</v>
      </c>
      <c r="Q3851" s="1">
        <v>44538</v>
      </c>
      <c r="R3851" t="s">
        <v>27253</v>
      </c>
      <c r="S3851" t="s">
        <v>27254</v>
      </c>
      <c r="T3851" t="s">
        <v>27255</v>
      </c>
    </row>
    <row r="3852" spans="1:20" x14ac:dyDescent="0.3">
      <c r="A3852" t="str">
        <f>"0611833938100"</f>
        <v>0611833938100</v>
      </c>
      <c r="B3852" t="str">
        <f>"LQ3731"</f>
        <v>LQ3731</v>
      </c>
      <c r="C3852" t="s">
        <v>34695</v>
      </c>
      <c r="D3852" t="s">
        <v>27245</v>
      </c>
      <c r="E3852" t="str">
        <f t="shared" si="60"/>
        <v>001390</v>
      </c>
      <c r="F3852" t="s">
        <v>27246</v>
      </c>
      <c r="G3852" t="s">
        <v>27247</v>
      </c>
      <c r="H3852" t="s">
        <v>27248</v>
      </c>
      <c r="I3852" t="s">
        <v>34696</v>
      </c>
      <c r="J3852" t="s">
        <v>7697</v>
      </c>
      <c r="L3852" t="s">
        <v>27250</v>
      </c>
      <c r="M3852" t="s">
        <v>27251</v>
      </c>
      <c r="N3852" t="s">
        <v>27252</v>
      </c>
      <c r="Q3852" s="1">
        <v>44538</v>
      </c>
      <c r="R3852" t="s">
        <v>27253</v>
      </c>
      <c r="S3852" t="s">
        <v>27254</v>
      </c>
      <c r="T3852" t="s">
        <v>27255</v>
      </c>
    </row>
    <row r="3853" spans="1:20" x14ac:dyDescent="0.3">
      <c r="A3853" t="str">
        <f>"0611833939100"</f>
        <v>0611833939100</v>
      </c>
      <c r="B3853" t="str">
        <f>"LQ3567"</f>
        <v>LQ3567</v>
      </c>
      <c r="C3853" t="s">
        <v>34697</v>
      </c>
      <c r="D3853" t="s">
        <v>27245</v>
      </c>
      <c r="E3853" t="str">
        <f t="shared" si="60"/>
        <v>001390</v>
      </c>
      <c r="F3853" t="s">
        <v>27246</v>
      </c>
      <c r="G3853" t="s">
        <v>27247</v>
      </c>
      <c r="H3853" t="s">
        <v>27248</v>
      </c>
      <c r="I3853" t="s">
        <v>34698</v>
      </c>
      <c r="J3853" t="s">
        <v>7699</v>
      </c>
      <c r="L3853" t="s">
        <v>27250</v>
      </c>
      <c r="M3853" t="s">
        <v>27251</v>
      </c>
      <c r="N3853" t="s">
        <v>27252</v>
      </c>
      <c r="Q3853" s="1">
        <v>44538</v>
      </c>
      <c r="R3853" t="s">
        <v>27253</v>
      </c>
      <c r="S3853" t="s">
        <v>27254</v>
      </c>
      <c r="T3853" t="s">
        <v>27255</v>
      </c>
    </row>
    <row r="3854" spans="1:20" x14ac:dyDescent="0.3">
      <c r="A3854" t="str">
        <f>"0611833940100"</f>
        <v>0611833940100</v>
      </c>
      <c r="B3854" t="str">
        <f>"LQ3568"</f>
        <v>LQ3568</v>
      </c>
      <c r="C3854" t="s">
        <v>34699</v>
      </c>
      <c r="D3854" t="s">
        <v>27245</v>
      </c>
      <c r="E3854" t="str">
        <f t="shared" si="60"/>
        <v>001390</v>
      </c>
      <c r="F3854" t="s">
        <v>27246</v>
      </c>
      <c r="G3854" t="s">
        <v>27247</v>
      </c>
      <c r="H3854" t="s">
        <v>27248</v>
      </c>
      <c r="I3854" t="s">
        <v>34700</v>
      </c>
      <c r="J3854" t="s">
        <v>7701</v>
      </c>
      <c r="L3854" t="s">
        <v>27250</v>
      </c>
      <c r="M3854" t="s">
        <v>27251</v>
      </c>
      <c r="N3854" t="s">
        <v>27252</v>
      </c>
      <c r="Q3854" s="1">
        <v>44538</v>
      </c>
      <c r="R3854" t="s">
        <v>27253</v>
      </c>
      <c r="S3854" t="s">
        <v>27254</v>
      </c>
      <c r="T3854" t="s">
        <v>27255</v>
      </c>
    </row>
    <row r="3855" spans="1:20" x14ac:dyDescent="0.3">
      <c r="A3855" t="str">
        <f>"0611833941025"</f>
        <v>0611833941025</v>
      </c>
      <c r="B3855" t="str">
        <f>"MC1121"</f>
        <v>MC1121</v>
      </c>
      <c r="C3855" t="s">
        <v>34701</v>
      </c>
      <c r="D3855" t="s">
        <v>27267</v>
      </c>
      <c r="E3855" t="str">
        <f t="shared" si="60"/>
        <v>001390</v>
      </c>
      <c r="F3855" t="s">
        <v>27246</v>
      </c>
      <c r="G3855" t="s">
        <v>27247</v>
      </c>
      <c r="H3855" t="s">
        <v>27248</v>
      </c>
      <c r="I3855" t="s">
        <v>34702</v>
      </c>
      <c r="J3855" t="s">
        <v>7703</v>
      </c>
      <c r="L3855" t="s">
        <v>27250</v>
      </c>
      <c r="M3855" t="s">
        <v>27251</v>
      </c>
      <c r="N3855" t="s">
        <v>27252</v>
      </c>
      <c r="Q3855" s="1">
        <v>44538</v>
      </c>
      <c r="R3855" t="s">
        <v>27253</v>
      </c>
      <c r="S3855" t="s">
        <v>27254</v>
      </c>
      <c r="T3855" t="s">
        <v>27269</v>
      </c>
    </row>
    <row r="3856" spans="1:20" x14ac:dyDescent="0.3">
      <c r="A3856" t="str">
        <f>"0611833942025"</f>
        <v>0611833942025</v>
      </c>
      <c r="B3856" t="str">
        <f>"MC0246"</f>
        <v>MC0246</v>
      </c>
      <c r="C3856" t="s">
        <v>34703</v>
      </c>
      <c r="D3856" t="s">
        <v>27267</v>
      </c>
      <c r="E3856" t="str">
        <f t="shared" si="60"/>
        <v>001390</v>
      </c>
      <c r="F3856" t="s">
        <v>27246</v>
      </c>
      <c r="G3856" t="s">
        <v>27247</v>
      </c>
      <c r="H3856" t="s">
        <v>27248</v>
      </c>
      <c r="I3856" t="s">
        <v>34704</v>
      </c>
      <c r="J3856" t="s">
        <v>7705</v>
      </c>
      <c r="L3856" t="s">
        <v>27250</v>
      </c>
      <c r="M3856" t="s">
        <v>27251</v>
      </c>
      <c r="N3856" t="s">
        <v>27252</v>
      </c>
      <c r="Q3856" s="1">
        <v>44538</v>
      </c>
      <c r="R3856" t="s">
        <v>27253</v>
      </c>
      <c r="S3856" t="s">
        <v>27254</v>
      </c>
      <c r="T3856" t="s">
        <v>27269</v>
      </c>
    </row>
    <row r="3857" spans="1:20" x14ac:dyDescent="0.3">
      <c r="A3857" t="str">
        <f>"0611833943100"</f>
        <v>0611833943100</v>
      </c>
      <c r="B3857" t="str">
        <f>"LH0042"</f>
        <v>LH0042</v>
      </c>
      <c r="C3857" t="s">
        <v>34705</v>
      </c>
      <c r="D3857" t="s">
        <v>27245</v>
      </c>
      <c r="E3857" t="str">
        <f t="shared" si="60"/>
        <v>001390</v>
      </c>
      <c r="F3857" t="s">
        <v>27246</v>
      </c>
      <c r="G3857" t="s">
        <v>27247</v>
      </c>
      <c r="H3857" t="s">
        <v>27248</v>
      </c>
      <c r="I3857" t="s">
        <v>34706</v>
      </c>
      <c r="J3857" t="s">
        <v>7709</v>
      </c>
      <c r="L3857" t="s">
        <v>27250</v>
      </c>
      <c r="M3857" t="s">
        <v>27251</v>
      </c>
      <c r="N3857" t="s">
        <v>27252</v>
      </c>
      <c r="Q3857" s="1">
        <v>44538</v>
      </c>
      <c r="R3857" t="s">
        <v>27253</v>
      </c>
      <c r="S3857" t="s">
        <v>27254</v>
      </c>
      <c r="T3857" t="s">
        <v>27255</v>
      </c>
    </row>
    <row r="3858" spans="1:20" x14ac:dyDescent="0.3">
      <c r="A3858" t="str">
        <f>"0611833944025"</f>
        <v>0611833944025</v>
      </c>
      <c r="B3858" t="str">
        <f>"MC0245"</f>
        <v>MC0245</v>
      </c>
      <c r="C3858" t="s">
        <v>34707</v>
      </c>
      <c r="D3858" t="s">
        <v>27267</v>
      </c>
      <c r="E3858" t="str">
        <f t="shared" si="60"/>
        <v>001390</v>
      </c>
      <c r="F3858" t="s">
        <v>27246</v>
      </c>
      <c r="G3858" t="s">
        <v>27247</v>
      </c>
      <c r="H3858" t="s">
        <v>27248</v>
      </c>
      <c r="I3858" t="s">
        <v>34708</v>
      </c>
      <c r="J3858" t="s">
        <v>7707</v>
      </c>
      <c r="L3858" t="s">
        <v>27250</v>
      </c>
      <c r="M3858" t="s">
        <v>27251</v>
      </c>
      <c r="N3858" t="s">
        <v>27252</v>
      </c>
      <c r="Q3858" s="1">
        <v>44538</v>
      </c>
      <c r="R3858" t="s">
        <v>27253</v>
      </c>
      <c r="S3858" t="s">
        <v>27254</v>
      </c>
      <c r="T3858" t="s">
        <v>27269</v>
      </c>
    </row>
    <row r="3859" spans="1:20" x14ac:dyDescent="0.3">
      <c r="A3859" t="str">
        <f>"0611833945100"</f>
        <v>0611833945100</v>
      </c>
      <c r="B3859" t="str">
        <f>"LS0018"</f>
        <v>LS0018</v>
      </c>
      <c r="C3859" t="s">
        <v>34709</v>
      </c>
      <c r="D3859" t="s">
        <v>27245</v>
      </c>
      <c r="E3859" t="str">
        <f t="shared" si="60"/>
        <v>001390</v>
      </c>
      <c r="F3859" t="s">
        <v>27246</v>
      </c>
      <c r="G3859" t="s">
        <v>27247</v>
      </c>
      <c r="H3859" t="s">
        <v>27248</v>
      </c>
      <c r="I3859" t="s">
        <v>34710</v>
      </c>
      <c r="J3859" t="s">
        <v>7713</v>
      </c>
      <c r="L3859" t="s">
        <v>27250</v>
      </c>
      <c r="M3859" t="s">
        <v>27251</v>
      </c>
      <c r="N3859" t="s">
        <v>27252</v>
      </c>
      <c r="Q3859" s="1">
        <v>44538</v>
      </c>
      <c r="R3859" t="s">
        <v>27253</v>
      </c>
      <c r="S3859" t="s">
        <v>27254</v>
      </c>
      <c r="T3859" t="s">
        <v>27255</v>
      </c>
    </row>
    <row r="3860" spans="1:20" x14ac:dyDescent="0.3">
      <c r="A3860" t="str">
        <f>"0611833946025"</f>
        <v>0611833946025</v>
      </c>
      <c r="B3860" t="str">
        <f>"MC0252"</f>
        <v>MC0252</v>
      </c>
      <c r="C3860" t="s">
        <v>34711</v>
      </c>
      <c r="D3860" t="s">
        <v>27267</v>
      </c>
      <c r="E3860" t="str">
        <f t="shared" si="60"/>
        <v>001390</v>
      </c>
      <c r="F3860" t="s">
        <v>27246</v>
      </c>
      <c r="G3860" t="s">
        <v>27247</v>
      </c>
      <c r="H3860" t="s">
        <v>27248</v>
      </c>
      <c r="I3860" t="s">
        <v>34712</v>
      </c>
      <c r="J3860" t="s">
        <v>7715</v>
      </c>
      <c r="L3860" t="s">
        <v>27250</v>
      </c>
      <c r="M3860" t="s">
        <v>27251</v>
      </c>
      <c r="N3860" t="s">
        <v>27252</v>
      </c>
      <c r="Q3860" s="1">
        <v>44538</v>
      </c>
      <c r="R3860" t="s">
        <v>27253</v>
      </c>
      <c r="S3860" t="s">
        <v>27254</v>
      </c>
      <c r="T3860" t="s">
        <v>27269</v>
      </c>
    </row>
    <row r="3861" spans="1:20" x14ac:dyDescent="0.3">
      <c r="A3861" t="str">
        <f>"0611833947100"</f>
        <v>0611833947100</v>
      </c>
      <c r="B3861" t="str">
        <f>"LH1645"</f>
        <v>LH1645</v>
      </c>
      <c r="C3861" t="s">
        <v>34713</v>
      </c>
      <c r="D3861" t="s">
        <v>27245</v>
      </c>
      <c r="E3861" t="str">
        <f t="shared" si="60"/>
        <v>001390</v>
      </c>
      <c r="F3861" t="s">
        <v>27246</v>
      </c>
      <c r="G3861" t="s">
        <v>27247</v>
      </c>
      <c r="H3861" t="s">
        <v>27248</v>
      </c>
      <c r="I3861" t="s">
        <v>34714</v>
      </c>
      <c r="J3861" t="s">
        <v>7717</v>
      </c>
      <c r="L3861" t="s">
        <v>27250</v>
      </c>
      <c r="M3861" t="s">
        <v>27251</v>
      </c>
      <c r="N3861" t="s">
        <v>27252</v>
      </c>
      <c r="Q3861" s="1">
        <v>44538</v>
      </c>
      <c r="R3861" t="s">
        <v>27253</v>
      </c>
      <c r="S3861" t="s">
        <v>27254</v>
      </c>
      <c r="T3861" t="s">
        <v>27255</v>
      </c>
    </row>
    <row r="3862" spans="1:20" x14ac:dyDescent="0.3">
      <c r="A3862" t="str">
        <f>"0611833948025"</f>
        <v>0611833948025</v>
      </c>
      <c r="B3862" t="str">
        <f>"MC0254"</f>
        <v>MC0254</v>
      </c>
      <c r="C3862" t="s">
        <v>34713</v>
      </c>
      <c r="D3862" t="s">
        <v>27267</v>
      </c>
      <c r="E3862" t="str">
        <f t="shared" si="60"/>
        <v>001390</v>
      </c>
      <c r="F3862" t="s">
        <v>27246</v>
      </c>
      <c r="G3862" t="s">
        <v>27247</v>
      </c>
      <c r="H3862" t="s">
        <v>27248</v>
      </c>
      <c r="I3862" t="s">
        <v>34715</v>
      </c>
      <c r="J3862" t="s">
        <v>7719</v>
      </c>
      <c r="L3862" t="s">
        <v>27250</v>
      </c>
      <c r="M3862" t="s">
        <v>27251</v>
      </c>
      <c r="N3862" t="s">
        <v>27252</v>
      </c>
      <c r="Q3862" s="1">
        <v>44538</v>
      </c>
      <c r="R3862" t="s">
        <v>27253</v>
      </c>
      <c r="S3862" t="s">
        <v>27254</v>
      </c>
      <c r="T3862" t="s">
        <v>27269</v>
      </c>
    </row>
    <row r="3863" spans="1:20" x14ac:dyDescent="0.3">
      <c r="A3863" t="str">
        <f>"0611833949100"</f>
        <v>0611833949100</v>
      </c>
      <c r="B3863" t="str">
        <f>"LH1647"</f>
        <v>LH1647</v>
      </c>
      <c r="C3863" t="s">
        <v>34716</v>
      </c>
      <c r="D3863" t="s">
        <v>27245</v>
      </c>
      <c r="E3863" t="str">
        <f t="shared" si="60"/>
        <v>001390</v>
      </c>
      <c r="F3863" t="s">
        <v>27246</v>
      </c>
      <c r="G3863" t="s">
        <v>27247</v>
      </c>
      <c r="H3863" t="s">
        <v>27248</v>
      </c>
      <c r="I3863" t="s">
        <v>34717</v>
      </c>
      <c r="J3863" t="s">
        <v>7721</v>
      </c>
      <c r="L3863" t="s">
        <v>27250</v>
      </c>
      <c r="M3863" t="s">
        <v>27251</v>
      </c>
      <c r="N3863" t="s">
        <v>27252</v>
      </c>
      <c r="Q3863" s="1">
        <v>44538</v>
      </c>
      <c r="R3863" t="s">
        <v>27253</v>
      </c>
      <c r="S3863" t="s">
        <v>27254</v>
      </c>
      <c r="T3863" t="s">
        <v>27255</v>
      </c>
    </row>
    <row r="3864" spans="1:20" x14ac:dyDescent="0.3">
      <c r="A3864" t="str">
        <f>"0611833950100"</f>
        <v>0611833950100</v>
      </c>
      <c r="B3864" t="str">
        <f>"LH1649"</f>
        <v>LH1649</v>
      </c>
      <c r="C3864" t="s">
        <v>34718</v>
      </c>
      <c r="D3864" t="s">
        <v>27245</v>
      </c>
      <c r="E3864" t="str">
        <f t="shared" si="60"/>
        <v>001390</v>
      </c>
      <c r="F3864" t="s">
        <v>27246</v>
      </c>
      <c r="G3864" t="s">
        <v>27247</v>
      </c>
      <c r="H3864" t="s">
        <v>27248</v>
      </c>
      <c r="I3864" t="s">
        <v>34719</v>
      </c>
      <c r="J3864" t="s">
        <v>7723</v>
      </c>
      <c r="L3864" t="s">
        <v>27250</v>
      </c>
      <c r="M3864" t="s">
        <v>27251</v>
      </c>
      <c r="N3864" t="s">
        <v>27252</v>
      </c>
      <c r="Q3864" s="1">
        <v>44538</v>
      </c>
      <c r="R3864" t="s">
        <v>27253</v>
      </c>
      <c r="S3864" t="s">
        <v>27254</v>
      </c>
      <c r="T3864" t="s">
        <v>27255</v>
      </c>
    </row>
    <row r="3865" spans="1:20" x14ac:dyDescent="0.3">
      <c r="A3865" t="str">
        <f>"0611833951100"</f>
        <v>0611833951100</v>
      </c>
      <c r="B3865" t="str">
        <f>"LK0487"</f>
        <v>LK0487</v>
      </c>
      <c r="C3865" t="s">
        <v>34720</v>
      </c>
      <c r="D3865" t="s">
        <v>27245</v>
      </c>
      <c r="E3865" t="str">
        <f t="shared" si="60"/>
        <v>001390</v>
      </c>
      <c r="F3865" t="s">
        <v>27246</v>
      </c>
      <c r="G3865" t="s">
        <v>27247</v>
      </c>
      <c r="H3865" t="s">
        <v>27248</v>
      </c>
      <c r="I3865" t="s">
        <v>34721</v>
      </c>
      <c r="J3865" t="s">
        <v>7725</v>
      </c>
      <c r="L3865" t="s">
        <v>27250</v>
      </c>
      <c r="M3865" t="s">
        <v>27251</v>
      </c>
      <c r="N3865" t="s">
        <v>27252</v>
      </c>
      <c r="Q3865" s="1">
        <v>44538</v>
      </c>
      <c r="R3865" t="s">
        <v>27253</v>
      </c>
      <c r="S3865" t="s">
        <v>27254</v>
      </c>
      <c r="T3865" t="s">
        <v>27255</v>
      </c>
    </row>
    <row r="3866" spans="1:20" x14ac:dyDescent="0.3">
      <c r="A3866" t="str">
        <f>"0611833952100"</f>
        <v>0611833952100</v>
      </c>
      <c r="B3866" t="str">
        <f>"LK0057"</f>
        <v>LK0057</v>
      </c>
      <c r="C3866" t="s">
        <v>34722</v>
      </c>
      <c r="D3866" t="s">
        <v>27245</v>
      </c>
      <c r="E3866" t="str">
        <f t="shared" si="60"/>
        <v>001390</v>
      </c>
      <c r="F3866" t="s">
        <v>27246</v>
      </c>
      <c r="G3866" t="s">
        <v>27247</v>
      </c>
      <c r="H3866" t="s">
        <v>27248</v>
      </c>
      <c r="I3866" t="s">
        <v>34723</v>
      </c>
      <c r="J3866" t="s">
        <v>7727</v>
      </c>
      <c r="L3866" t="s">
        <v>27250</v>
      </c>
      <c r="M3866" t="s">
        <v>27251</v>
      </c>
      <c r="N3866" t="s">
        <v>27252</v>
      </c>
      <c r="Q3866" s="1">
        <v>44538</v>
      </c>
      <c r="R3866" t="s">
        <v>27253</v>
      </c>
      <c r="S3866" t="s">
        <v>27254</v>
      </c>
      <c r="T3866" t="s">
        <v>27255</v>
      </c>
    </row>
    <row r="3867" spans="1:20" x14ac:dyDescent="0.3">
      <c r="A3867" t="str">
        <f>"0611833953100"</f>
        <v>0611833953100</v>
      </c>
      <c r="B3867" t="str">
        <f>"LK2621"</f>
        <v>LK2621</v>
      </c>
      <c r="C3867" t="s">
        <v>34724</v>
      </c>
      <c r="D3867" t="s">
        <v>27245</v>
      </c>
      <c r="E3867" t="str">
        <f t="shared" si="60"/>
        <v>001390</v>
      </c>
      <c r="F3867" t="s">
        <v>27246</v>
      </c>
      <c r="G3867" t="s">
        <v>27247</v>
      </c>
      <c r="H3867" t="s">
        <v>27248</v>
      </c>
      <c r="I3867" t="s">
        <v>34725</v>
      </c>
      <c r="J3867" t="s">
        <v>7729</v>
      </c>
      <c r="L3867" t="s">
        <v>27250</v>
      </c>
      <c r="M3867" t="s">
        <v>27251</v>
      </c>
      <c r="N3867" t="s">
        <v>27252</v>
      </c>
      <c r="Q3867" s="1">
        <v>44538</v>
      </c>
      <c r="R3867" t="s">
        <v>27253</v>
      </c>
      <c r="S3867" t="s">
        <v>27254</v>
      </c>
      <c r="T3867" t="s">
        <v>27255</v>
      </c>
    </row>
    <row r="3868" spans="1:20" x14ac:dyDescent="0.3">
      <c r="A3868" t="str">
        <f>"0611833954100"</f>
        <v>0611833954100</v>
      </c>
      <c r="B3868" t="str">
        <f>"LK2622"</f>
        <v>LK2622</v>
      </c>
      <c r="C3868" t="s">
        <v>34726</v>
      </c>
      <c r="D3868" t="s">
        <v>27245</v>
      </c>
      <c r="E3868" t="str">
        <f t="shared" si="60"/>
        <v>001390</v>
      </c>
      <c r="F3868" t="s">
        <v>27246</v>
      </c>
      <c r="G3868" t="s">
        <v>27247</v>
      </c>
      <c r="H3868" t="s">
        <v>27248</v>
      </c>
      <c r="I3868" t="s">
        <v>34727</v>
      </c>
      <c r="J3868" t="s">
        <v>7731</v>
      </c>
      <c r="L3868" t="s">
        <v>27250</v>
      </c>
      <c r="M3868" t="s">
        <v>27251</v>
      </c>
      <c r="N3868" t="s">
        <v>27252</v>
      </c>
      <c r="Q3868" s="1">
        <v>44538</v>
      </c>
      <c r="R3868" t="s">
        <v>27253</v>
      </c>
      <c r="S3868" t="s">
        <v>27254</v>
      </c>
      <c r="T3868" t="s">
        <v>27255</v>
      </c>
    </row>
    <row r="3869" spans="1:20" x14ac:dyDescent="0.3">
      <c r="A3869" t="str">
        <f>"0611833955100"</f>
        <v>0611833955100</v>
      </c>
      <c r="B3869" t="str">
        <f>"LK2623"</f>
        <v>LK2623</v>
      </c>
      <c r="C3869" t="s">
        <v>34728</v>
      </c>
      <c r="D3869" t="s">
        <v>27245</v>
      </c>
      <c r="E3869" t="str">
        <f t="shared" si="60"/>
        <v>001390</v>
      </c>
      <c r="F3869" t="s">
        <v>27246</v>
      </c>
      <c r="G3869" t="s">
        <v>27247</v>
      </c>
      <c r="H3869" t="s">
        <v>27248</v>
      </c>
      <c r="I3869" t="s">
        <v>34729</v>
      </c>
      <c r="J3869" t="s">
        <v>7733</v>
      </c>
      <c r="L3869" t="s">
        <v>27250</v>
      </c>
      <c r="M3869" t="s">
        <v>27251</v>
      </c>
      <c r="N3869" t="s">
        <v>27252</v>
      </c>
      <c r="Q3869" s="1">
        <v>44538</v>
      </c>
      <c r="R3869" t="s">
        <v>27253</v>
      </c>
      <c r="S3869" t="s">
        <v>27254</v>
      </c>
      <c r="T3869" t="s">
        <v>27255</v>
      </c>
    </row>
    <row r="3870" spans="1:20" x14ac:dyDescent="0.3">
      <c r="A3870" t="str">
        <f>"0611833956100"</f>
        <v>0611833956100</v>
      </c>
      <c r="B3870" t="str">
        <f>"LK2624"</f>
        <v>LK2624</v>
      </c>
      <c r="C3870" t="s">
        <v>34730</v>
      </c>
      <c r="D3870" t="s">
        <v>27245</v>
      </c>
      <c r="E3870" t="str">
        <f t="shared" si="60"/>
        <v>001390</v>
      </c>
      <c r="F3870" t="s">
        <v>27246</v>
      </c>
      <c r="G3870" t="s">
        <v>27247</v>
      </c>
      <c r="H3870" t="s">
        <v>27248</v>
      </c>
      <c r="I3870" t="s">
        <v>34731</v>
      </c>
      <c r="J3870" t="s">
        <v>7735</v>
      </c>
      <c r="L3870" t="s">
        <v>27250</v>
      </c>
      <c r="M3870" t="s">
        <v>27251</v>
      </c>
      <c r="N3870" t="s">
        <v>27252</v>
      </c>
      <c r="Q3870" s="1">
        <v>44538</v>
      </c>
      <c r="R3870" t="s">
        <v>27253</v>
      </c>
      <c r="S3870" t="s">
        <v>27254</v>
      </c>
      <c r="T3870" t="s">
        <v>27255</v>
      </c>
    </row>
    <row r="3871" spans="1:20" x14ac:dyDescent="0.3">
      <c r="A3871" t="str">
        <f>"0611833957100"</f>
        <v>0611833957100</v>
      </c>
      <c r="B3871" t="str">
        <f>"LK2625"</f>
        <v>LK2625</v>
      </c>
      <c r="C3871" t="s">
        <v>34732</v>
      </c>
      <c r="D3871" t="s">
        <v>27245</v>
      </c>
      <c r="E3871" t="str">
        <f t="shared" si="60"/>
        <v>001390</v>
      </c>
      <c r="F3871" t="s">
        <v>27246</v>
      </c>
      <c r="G3871" t="s">
        <v>27247</v>
      </c>
      <c r="H3871" t="s">
        <v>27248</v>
      </c>
      <c r="I3871" t="s">
        <v>34733</v>
      </c>
      <c r="J3871" t="s">
        <v>7737</v>
      </c>
      <c r="L3871" t="s">
        <v>27250</v>
      </c>
      <c r="M3871" t="s">
        <v>27251</v>
      </c>
      <c r="N3871" t="s">
        <v>27252</v>
      </c>
      <c r="Q3871" s="1">
        <v>44538</v>
      </c>
      <c r="R3871" t="s">
        <v>27253</v>
      </c>
      <c r="S3871" t="s">
        <v>27254</v>
      </c>
      <c r="T3871" t="s">
        <v>27255</v>
      </c>
    </row>
    <row r="3872" spans="1:20" x14ac:dyDescent="0.3">
      <c r="A3872" t="str">
        <f>"0611833958100"</f>
        <v>0611833958100</v>
      </c>
      <c r="B3872" t="str">
        <f>"LK2626"</f>
        <v>LK2626</v>
      </c>
      <c r="C3872" t="s">
        <v>34734</v>
      </c>
      <c r="D3872" t="s">
        <v>27245</v>
      </c>
      <c r="E3872" t="str">
        <f t="shared" si="60"/>
        <v>001390</v>
      </c>
      <c r="F3872" t="s">
        <v>27246</v>
      </c>
      <c r="G3872" t="s">
        <v>27247</v>
      </c>
      <c r="H3872" t="s">
        <v>27248</v>
      </c>
      <c r="I3872" t="s">
        <v>34735</v>
      </c>
      <c r="J3872" t="s">
        <v>7739</v>
      </c>
      <c r="L3872" t="s">
        <v>27250</v>
      </c>
      <c r="M3872" t="s">
        <v>27251</v>
      </c>
      <c r="N3872" t="s">
        <v>27252</v>
      </c>
      <c r="Q3872" s="1">
        <v>44538</v>
      </c>
      <c r="R3872" t="s">
        <v>27253</v>
      </c>
      <c r="S3872" t="s">
        <v>27254</v>
      </c>
      <c r="T3872" t="s">
        <v>27255</v>
      </c>
    </row>
    <row r="3873" spans="1:20" x14ac:dyDescent="0.3">
      <c r="A3873" t="str">
        <f>"0611833959100"</f>
        <v>0611833959100</v>
      </c>
      <c r="B3873" t="str">
        <f>"LK2627"</f>
        <v>LK2627</v>
      </c>
      <c r="C3873" t="s">
        <v>34736</v>
      </c>
      <c r="D3873" t="s">
        <v>27245</v>
      </c>
      <c r="E3873" t="str">
        <f t="shared" si="60"/>
        <v>001390</v>
      </c>
      <c r="F3873" t="s">
        <v>27246</v>
      </c>
      <c r="G3873" t="s">
        <v>27247</v>
      </c>
      <c r="H3873" t="s">
        <v>27248</v>
      </c>
      <c r="I3873" t="s">
        <v>34737</v>
      </c>
      <c r="J3873" t="s">
        <v>7741</v>
      </c>
      <c r="L3873" t="s">
        <v>27250</v>
      </c>
      <c r="M3873" t="s">
        <v>27251</v>
      </c>
      <c r="N3873" t="s">
        <v>27252</v>
      </c>
      <c r="Q3873" s="1">
        <v>44538</v>
      </c>
      <c r="R3873" t="s">
        <v>27253</v>
      </c>
      <c r="S3873" t="s">
        <v>27254</v>
      </c>
      <c r="T3873" t="s">
        <v>27255</v>
      </c>
    </row>
    <row r="3874" spans="1:20" x14ac:dyDescent="0.3">
      <c r="A3874" t="str">
        <f>"0611833960100"</f>
        <v>0611833960100</v>
      </c>
      <c r="B3874" t="str">
        <f>"LK2628"</f>
        <v>LK2628</v>
      </c>
      <c r="C3874" t="s">
        <v>34738</v>
      </c>
      <c r="D3874" t="s">
        <v>27245</v>
      </c>
      <c r="E3874" t="str">
        <f t="shared" si="60"/>
        <v>001390</v>
      </c>
      <c r="F3874" t="s">
        <v>27246</v>
      </c>
      <c r="G3874" t="s">
        <v>27247</v>
      </c>
      <c r="H3874" t="s">
        <v>27248</v>
      </c>
      <c r="I3874" t="s">
        <v>34739</v>
      </c>
      <c r="J3874" t="s">
        <v>7743</v>
      </c>
      <c r="L3874" t="s">
        <v>27250</v>
      </c>
      <c r="M3874" t="s">
        <v>27251</v>
      </c>
      <c r="N3874" t="s">
        <v>27252</v>
      </c>
      <c r="Q3874" s="1">
        <v>44538</v>
      </c>
      <c r="R3874" t="s">
        <v>27253</v>
      </c>
      <c r="S3874" t="s">
        <v>27254</v>
      </c>
      <c r="T3874" t="s">
        <v>27255</v>
      </c>
    </row>
    <row r="3875" spans="1:20" x14ac:dyDescent="0.3">
      <c r="A3875" t="str">
        <f>"0611833961100"</f>
        <v>0611833961100</v>
      </c>
      <c r="B3875" t="str">
        <f>"LK0121"</f>
        <v>LK0121</v>
      </c>
      <c r="C3875" t="s">
        <v>34740</v>
      </c>
      <c r="D3875" t="s">
        <v>27245</v>
      </c>
      <c r="E3875" t="str">
        <f t="shared" si="60"/>
        <v>001390</v>
      </c>
      <c r="F3875" t="s">
        <v>27246</v>
      </c>
      <c r="G3875" t="s">
        <v>27247</v>
      </c>
      <c r="H3875" t="s">
        <v>27248</v>
      </c>
      <c r="I3875" t="s">
        <v>34741</v>
      </c>
      <c r="J3875" t="s">
        <v>7745</v>
      </c>
      <c r="L3875" t="s">
        <v>27250</v>
      </c>
      <c r="M3875" t="s">
        <v>27251</v>
      </c>
      <c r="N3875" t="s">
        <v>27252</v>
      </c>
      <c r="Q3875" s="1">
        <v>44538</v>
      </c>
      <c r="R3875" t="s">
        <v>27253</v>
      </c>
      <c r="S3875" t="s">
        <v>27254</v>
      </c>
      <c r="T3875" t="s">
        <v>27255</v>
      </c>
    </row>
    <row r="3876" spans="1:20" x14ac:dyDescent="0.3">
      <c r="A3876" t="str">
        <f>"0611833962100"</f>
        <v>0611833962100</v>
      </c>
      <c r="B3876" t="str">
        <f>"LH3391"</f>
        <v>LH3391</v>
      </c>
      <c r="C3876" t="s">
        <v>34742</v>
      </c>
      <c r="D3876" t="s">
        <v>27245</v>
      </c>
      <c r="E3876" t="str">
        <f t="shared" si="60"/>
        <v>001390</v>
      </c>
      <c r="F3876" t="s">
        <v>27246</v>
      </c>
      <c r="G3876" t="s">
        <v>27247</v>
      </c>
      <c r="H3876" t="s">
        <v>27248</v>
      </c>
      <c r="I3876" t="s">
        <v>34743</v>
      </c>
      <c r="J3876" t="s">
        <v>7747</v>
      </c>
      <c r="L3876" t="s">
        <v>27250</v>
      </c>
      <c r="M3876" t="s">
        <v>27251</v>
      </c>
      <c r="N3876" t="s">
        <v>27252</v>
      </c>
      <c r="Q3876" s="1">
        <v>44538</v>
      </c>
      <c r="R3876" t="s">
        <v>27253</v>
      </c>
      <c r="S3876" t="s">
        <v>27254</v>
      </c>
      <c r="T3876" t="s">
        <v>27255</v>
      </c>
    </row>
    <row r="3877" spans="1:20" x14ac:dyDescent="0.3">
      <c r="A3877" t="str">
        <f>"0611833963025"</f>
        <v>0611833963025</v>
      </c>
      <c r="B3877" t="str">
        <f>"MC0249"</f>
        <v>MC0249</v>
      </c>
      <c r="C3877" t="s">
        <v>34742</v>
      </c>
      <c r="D3877" t="s">
        <v>27267</v>
      </c>
      <c r="E3877" t="str">
        <f t="shared" si="60"/>
        <v>001390</v>
      </c>
      <c r="F3877" t="s">
        <v>27246</v>
      </c>
      <c r="G3877" t="s">
        <v>27247</v>
      </c>
      <c r="H3877" t="s">
        <v>27248</v>
      </c>
      <c r="I3877" t="s">
        <v>34744</v>
      </c>
      <c r="J3877" t="s">
        <v>7749</v>
      </c>
      <c r="L3877" t="s">
        <v>27250</v>
      </c>
      <c r="M3877" t="s">
        <v>27251</v>
      </c>
      <c r="N3877" t="s">
        <v>27252</v>
      </c>
      <c r="Q3877" s="1">
        <v>44538</v>
      </c>
      <c r="R3877" t="s">
        <v>27253</v>
      </c>
      <c r="S3877" t="s">
        <v>27254</v>
      </c>
      <c r="T3877" t="s">
        <v>27269</v>
      </c>
    </row>
    <row r="3878" spans="1:20" x14ac:dyDescent="0.3">
      <c r="A3878" t="str">
        <f>"0611833964100"</f>
        <v>0611833964100</v>
      </c>
      <c r="B3878" t="str">
        <f>"LK6786"</f>
        <v>LK6786</v>
      </c>
      <c r="C3878" t="s">
        <v>34745</v>
      </c>
      <c r="D3878" t="s">
        <v>27245</v>
      </c>
      <c r="E3878" t="str">
        <f t="shared" si="60"/>
        <v>001390</v>
      </c>
      <c r="F3878" t="s">
        <v>27246</v>
      </c>
      <c r="G3878" t="s">
        <v>27247</v>
      </c>
      <c r="H3878" t="s">
        <v>27248</v>
      </c>
      <c r="I3878" t="s">
        <v>34746</v>
      </c>
      <c r="J3878" t="s">
        <v>7751</v>
      </c>
      <c r="L3878" t="s">
        <v>27250</v>
      </c>
      <c r="M3878" t="s">
        <v>27251</v>
      </c>
      <c r="N3878" t="s">
        <v>27252</v>
      </c>
      <c r="Q3878" s="1">
        <v>44538</v>
      </c>
      <c r="R3878" t="s">
        <v>27253</v>
      </c>
      <c r="S3878" t="s">
        <v>27254</v>
      </c>
      <c r="T3878" t="s">
        <v>27255</v>
      </c>
    </row>
    <row r="3879" spans="1:20" x14ac:dyDescent="0.3">
      <c r="A3879" t="str">
        <f>"0611833965100"</f>
        <v>0611833965100</v>
      </c>
      <c r="B3879" t="str">
        <f>"LK6787"</f>
        <v>LK6787</v>
      </c>
      <c r="C3879" t="s">
        <v>34747</v>
      </c>
      <c r="D3879" t="s">
        <v>27245</v>
      </c>
      <c r="E3879" t="str">
        <f t="shared" si="60"/>
        <v>001390</v>
      </c>
      <c r="F3879" t="s">
        <v>27246</v>
      </c>
      <c r="G3879" t="s">
        <v>27247</v>
      </c>
      <c r="H3879" t="s">
        <v>27248</v>
      </c>
      <c r="I3879" t="s">
        <v>34748</v>
      </c>
      <c r="J3879" t="s">
        <v>7753</v>
      </c>
      <c r="L3879" t="s">
        <v>27250</v>
      </c>
      <c r="M3879" t="s">
        <v>27251</v>
      </c>
      <c r="N3879" t="s">
        <v>27252</v>
      </c>
      <c r="Q3879" s="1">
        <v>44538</v>
      </c>
      <c r="R3879" t="s">
        <v>27253</v>
      </c>
      <c r="S3879" t="s">
        <v>27254</v>
      </c>
      <c r="T3879" t="s">
        <v>27255</v>
      </c>
    </row>
    <row r="3880" spans="1:20" x14ac:dyDescent="0.3">
      <c r="A3880" t="str">
        <f>"0611833966100"</f>
        <v>0611833966100</v>
      </c>
      <c r="B3880" t="str">
        <f>"LK6788"</f>
        <v>LK6788</v>
      </c>
      <c r="C3880" t="s">
        <v>34749</v>
      </c>
      <c r="D3880" t="s">
        <v>27245</v>
      </c>
      <c r="E3880" t="str">
        <f t="shared" si="60"/>
        <v>001390</v>
      </c>
      <c r="F3880" t="s">
        <v>27246</v>
      </c>
      <c r="G3880" t="s">
        <v>27247</v>
      </c>
      <c r="H3880" t="s">
        <v>27248</v>
      </c>
      <c r="I3880" t="s">
        <v>34750</v>
      </c>
      <c r="J3880" t="s">
        <v>7755</v>
      </c>
      <c r="L3880" t="s">
        <v>27250</v>
      </c>
      <c r="M3880" t="s">
        <v>27251</v>
      </c>
      <c r="N3880" t="s">
        <v>27252</v>
      </c>
      <c r="Q3880" s="1">
        <v>44538</v>
      </c>
      <c r="R3880" t="s">
        <v>27253</v>
      </c>
      <c r="S3880" t="s">
        <v>27254</v>
      </c>
      <c r="T3880" t="s">
        <v>27255</v>
      </c>
    </row>
    <row r="3881" spans="1:20" x14ac:dyDescent="0.3">
      <c r="A3881" t="str">
        <f>"0611833967100"</f>
        <v>0611833967100</v>
      </c>
      <c r="B3881" t="str">
        <f>"LK6789"</f>
        <v>LK6789</v>
      </c>
      <c r="C3881" t="s">
        <v>34751</v>
      </c>
      <c r="D3881" t="s">
        <v>27245</v>
      </c>
      <c r="E3881" t="str">
        <f t="shared" si="60"/>
        <v>001390</v>
      </c>
      <c r="F3881" t="s">
        <v>27246</v>
      </c>
      <c r="G3881" t="s">
        <v>27247</v>
      </c>
      <c r="H3881" t="s">
        <v>27248</v>
      </c>
      <c r="I3881" t="s">
        <v>34752</v>
      </c>
      <c r="J3881" t="s">
        <v>7757</v>
      </c>
      <c r="L3881" t="s">
        <v>27250</v>
      </c>
      <c r="M3881" t="s">
        <v>27251</v>
      </c>
      <c r="N3881" t="s">
        <v>27252</v>
      </c>
      <c r="Q3881" s="1">
        <v>44538</v>
      </c>
      <c r="R3881" t="s">
        <v>27253</v>
      </c>
      <c r="S3881" t="s">
        <v>27254</v>
      </c>
      <c r="T3881" t="s">
        <v>27255</v>
      </c>
    </row>
    <row r="3882" spans="1:20" x14ac:dyDescent="0.3">
      <c r="A3882" t="str">
        <f>"0611833968100"</f>
        <v>0611833968100</v>
      </c>
      <c r="B3882" t="str">
        <f>"LK6790"</f>
        <v>LK6790</v>
      </c>
      <c r="C3882" t="s">
        <v>34753</v>
      </c>
      <c r="D3882" t="s">
        <v>27245</v>
      </c>
      <c r="E3882" t="str">
        <f t="shared" si="60"/>
        <v>001390</v>
      </c>
      <c r="F3882" t="s">
        <v>27246</v>
      </c>
      <c r="G3882" t="s">
        <v>27247</v>
      </c>
      <c r="H3882" t="s">
        <v>27248</v>
      </c>
      <c r="I3882" t="s">
        <v>34754</v>
      </c>
      <c r="J3882" t="s">
        <v>7759</v>
      </c>
      <c r="L3882" t="s">
        <v>27250</v>
      </c>
      <c r="M3882" t="s">
        <v>27251</v>
      </c>
      <c r="N3882" t="s">
        <v>27252</v>
      </c>
      <c r="Q3882" s="1">
        <v>44538</v>
      </c>
      <c r="R3882" t="s">
        <v>27253</v>
      </c>
      <c r="S3882" t="s">
        <v>27254</v>
      </c>
      <c r="T3882" t="s">
        <v>27255</v>
      </c>
    </row>
    <row r="3883" spans="1:20" x14ac:dyDescent="0.3">
      <c r="A3883" t="str">
        <f>"0611833969100"</f>
        <v>0611833969100</v>
      </c>
      <c r="B3883" t="str">
        <f>"LK6791"</f>
        <v>LK6791</v>
      </c>
      <c r="C3883" t="s">
        <v>34755</v>
      </c>
      <c r="D3883" t="s">
        <v>27245</v>
      </c>
      <c r="E3883" t="str">
        <f t="shared" si="60"/>
        <v>001390</v>
      </c>
      <c r="F3883" t="s">
        <v>27246</v>
      </c>
      <c r="G3883" t="s">
        <v>27247</v>
      </c>
      <c r="H3883" t="s">
        <v>27248</v>
      </c>
      <c r="I3883" t="s">
        <v>34756</v>
      </c>
      <c r="J3883" t="s">
        <v>7761</v>
      </c>
      <c r="L3883" t="s">
        <v>27250</v>
      </c>
      <c r="M3883" t="s">
        <v>27251</v>
      </c>
      <c r="N3883" t="s">
        <v>27252</v>
      </c>
      <c r="Q3883" s="1">
        <v>44538</v>
      </c>
      <c r="R3883" t="s">
        <v>27253</v>
      </c>
      <c r="S3883" t="s">
        <v>27254</v>
      </c>
      <c r="T3883" t="s">
        <v>27255</v>
      </c>
    </row>
    <row r="3884" spans="1:20" x14ac:dyDescent="0.3">
      <c r="A3884" t="str">
        <f>"0611833970100"</f>
        <v>0611833970100</v>
      </c>
      <c r="B3884" t="str">
        <f>"LK6792"</f>
        <v>LK6792</v>
      </c>
      <c r="C3884" t="s">
        <v>34757</v>
      </c>
      <c r="D3884" t="s">
        <v>27245</v>
      </c>
      <c r="E3884" t="str">
        <f t="shared" si="60"/>
        <v>001390</v>
      </c>
      <c r="F3884" t="s">
        <v>27246</v>
      </c>
      <c r="G3884" t="s">
        <v>27247</v>
      </c>
      <c r="H3884" t="s">
        <v>27248</v>
      </c>
      <c r="I3884" t="s">
        <v>34758</v>
      </c>
      <c r="J3884" t="s">
        <v>7763</v>
      </c>
      <c r="L3884" t="s">
        <v>27250</v>
      </c>
      <c r="M3884" t="s">
        <v>27251</v>
      </c>
      <c r="N3884" t="s">
        <v>27252</v>
      </c>
      <c r="Q3884" s="1">
        <v>44538</v>
      </c>
      <c r="R3884" t="s">
        <v>27253</v>
      </c>
      <c r="S3884" t="s">
        <v>27254</v>
      </c>
      <c r="T3884" t="s">
        <v>27255</v>
      </c>
    </row>
    <row r="3885" spans="1:20" x14ac:dyDescent="0.3">
      <c r="A3885" t="str">
        <f>"0611833971100"</f>
        <v>0611833971100</v>
      </c>
      <c r="B3885" t="str">
        <f>"LK6793"</f>
        <v>LK6793</v>
      </c>
      <c r="C3885" t="s">
        <v>34759</v>
      </c>
      <c r="D3885" t="s">
        <v>27245</v>
      </c>
      <c r="E3885" t="str">
        <f t="shared" si="60"/>
        <v>001390</v>
      </c>
      <c r="F3885" t="s">
        <v>27246</v>
      </c>
      <c r="G3885" t="s">
        <v>27247</v>
      </c>
      <c r="H3885" t="s">
        <v>27248</v>
      </c>
      <c r="I3885" t="s">
        <v>34760</v>
      </c>
      <c r="J3885" t="s">
        <v>7765</v>
      </c>
      <c r="L3885" t="s">
        <v>27250</v>
      </c>
      <c r="M3885" t="s">
        <v>27251</v>
      </c>
      <c r="N3885" t="s">
        <v>27252</v>
      </c>
      <c r="Q3885" s="1">
        <v>44538</v>
      </c>
      <c r="R3885" t="s">
        <v>27253</v>
      </c>
      <c r="S3885" t="s">
        <v>27254</v>
      </c>
      <c r="T3885" t="s">
        <v>27255</v>
      </c>
    </row>
    <row r="3886" spans="1:20" x14ac:dyDescent="0.3">
      <c r="A3886" t="str">
        <f>"0611833972100"</f>
        <v>0611833972100</v>
      </c>
      <c r="B3886" t="str">
        <f>"LK6794"</f>
        <v>LK6794</v>
      </c>
      <c r="C3886" t="s">
        <v>34761</v>
      </c>
      <c r="D3886" t="s">
        <v>27245</v>
      </c>
      <c r="E3886" t="str">
        <f t="shared" si="60"/>
        <v>001390</v>
      </c>
      <c r="F3886" t="s">
        <v>27246</v>
      </c>
      <c r="G3886" t="s">
        <v>27247</v>
      </c>
      <c r="H3886" t="s">
        <v>27248</v>
      </c>
      <c r="I3886" t="s">
        <v>34762</v>
      </c>
      <c r="J3886" t="s">
        <v>7767</v>
      </c>
      <c r="L3886" t="s">
        <v>27250</v>
      </c>
      <c r="M3886" t="s">
        <v>27251</v>
      </c>
      <c r="N3886" t="s">
        <v>27252</v>
      </c>
      <c r="Q3886" s="1">
        <v>44538</v>
      </c>
      <c r="R3886" t="s">
        <v>27253</v>
      </c>
      <c r="S3886" t="s">
        <v>27254</v>
      </c>
      <c r="T3886" t="s">
        <v>27255</v>
      </c>
    </row>
    <row r="3887" spans="1:20" x14ac:dyDescent="0.3">
      <c r="A3887" t="str">
        <f>"0611833973100"</f>
        <v>0611833973100</v>
      </c>
      <c r="B3887" t="str">
        <f>"LK6795"</f>
        <v>LK6795</v>
      </c>
      <c r="C3887" t="s">
        <v>34763</v>
      </c>
      <c r="D3887" t="s">
        <v>27245</v>
      </c>
      <c r="E3887" t="str">
        <f t="shared" si="60"/>
        <v>001390</v>
      </c>
      <c r="F3887" t="s">
        <v>27246</v>
      </c>
      <c r="G3887" t="s">
        <v>27247</v>
      </c>
      <c r="H3887" t="s">
        <v>27248</v>
      </c>
      <c r="I3887" t="s">
        <v>34764</v>
      </c>
      <c r="J3887" t="s">
        <v>7769</v>
      </c>
      <c r="L3887" t="s">
        <v>27250</v>
      </c>
      <c r="M3887" t="s">
        <v>27251</v>
      </c>
      <c r="N3887" t="s">
        <v>27252</v>
      </c>
      <c r="Q3887" s="1">
        <v>44538</v>
      </c>
      <c r="R3887" t="s">
        <v>27253</v>
      </c>
      <c r="S3887" t="s">
        <v>27254</v>
      </c>
      <c r="T3887" t="s">
        <v>27255</v>
      </c>
    </row>
    <row r="3888" spans="1:20" x14ac:dyDescent="0.3">
      <c r="A3888" t="str">
        <f>"0611833974100"</f>
        <v>0611833974100</v>
      </c>
      <c r="B3888" t="str">
        <f>"LK6796"</f>
        <v>LK6796</v>
      </c>
      <c r="C3888" t="s">
        <v>34765</v>
      </c>
      <c r="D3888" t="s">
        <v>27245</v>
      </c>
      <c r="E3888" t="str">
        <f t="shared" si="60"/>
        <v>001390</v>
      </c>
      <c r="F3888" t="s">
        <v>27246</v>
      </c>
      <c r="G3888" t="s">
        <v>27247</v>
      </c>
      <c r="H3888" t="s">
        <v>27248</v>
      </c>
      <c r="I3888" t="s">
        <v>34766</v>
      </c>
      <c r="J3888" t="s">
        <v>7771</v>
      </c>
      <c r="L3888" t="s">
        <v>27250</v>
      </c>
      <c r="M3888" t="s">
        <v>27251</v>
      </c>
      <c r="N3888" t="s">
        <v>27252</v>
      </c>
      <c r="Q3888" s="1">
        <v>44538</v>
      </c>
      <c r="R3888" t="s">
        <v>27253</v>
      </c>
      <c r="S3888" t="s">
        <v>27254</v>
      </c>
      <c r="T3888" t="s">
        <v>27255</v>
      </c>
    </row>
    <row r="3889" spans="1:20" x14ac:dyDescent="0.3">
      <c r="A3889" t="str">
        <f>"0611833975100"</f>
        <v>0611833975100</v>
      </c>
      <c r="B3889" t="str">
        <f>"LK5744"</f>
        <v>LK5744</v>
      </c>
      <c r="C3889" t="s">
        <v>34767</v>
      </c>
      <c r="D3889" t="s">
        <v>27245</v>
      </c>
      <c r="E3889" t="str">
        <f t="shared" si="60"/>
        <v>001390</v>
      </c>
      <c r="F3889" t="s">
        <v>27246</v>
      </c>
      <c r="G3889" t="s">
        <v>27247</v>
      </c>
      <c r="H3889" t="s">
        <v>27248</v>
      </c>
      <c r="I3889" t="s">
        <v>34768</v>
      </c>
      <c r="J3889" t="s">
        <v>7773</v>
      </c>
      <c r="L3889" t="s">
        <v>27250</v>
      </c>
      <c r="M3889" t="s">
        <v>27251</v>
      </c>
      <c r="N3889" t="s">
        <v>27252</v>
      </c>
      <c r="Q3889" s="1">
        <v>44538</v>
      </c>
      <c r="R3889" t="s">
        <v>27253</v>
      </c>
      <c r="S3889" t="s">
        <v>27254</v>
      </c>
      <c r="T3889" t="s">
        <v>27255</v>
      </c>
    </row>
    <row r="3890" spans="1:20" x14ac:dyDescent="0.3">
      <c r="A3890" t="str">
        <f>"0611833976100"</f>
        <v>0611833976100</v>
      </c>
      <c r="B3890" t="str">
        <f>"LK5674"</f>
        <v>LK5674</v>
      </c>
      <c r="C3890" t="s">
        <v>34769</v>
      </c>
      <c r="D3890" t="s">
        <v>27245</v>
      </c>
      <c r="E3890" t="str">
        <f t="shared" si="60"/>
        <v>001390</v>
      </c>
      <c r="F3890" t="s">
        <v>27246</v>
      </c>
      <c r="G3890" t="s">
        <v>27247</v>
      </c>
      <c r="H3890" t="s">
        <v>27248</v>
      </c>
      <c r="I3890" t="s">
        <v>34770</v>
      </c>
      <c r="J3890" t="s">
        <v>7775</v>
      </c>
      <c r="L3890" t="s">
        <v>27250</v>
      </c>
      <c r="M3890" t="s">
        <v>27251</v>
      </c>
      <c r="N3890" t="s">
        <v>27252</v>
      </c>
      <c r="Q3890" s="1">
        <v>44538</v>
      </c>
      <c r="R3890" t="s">
        <v>27253</v>
      </c>
      <c r="S3890" t="s">
        <v>27254</v>
      </c>
      <c r="T3890" t="s">
        <v>27255</v>
      </c>
    </row>
    <row r="3891" spans="1:20" x14ac:dyDescent="0.3">
      <c r="A3891" t="str">
        <f>"0611833977100"</f>
        <v>0611833977100</v>
      </c>
      <c r="B3891" t="str">
        <f>"LK6219"</f>
        <v>LK6219</v>
      </c>
      <c r="C3891" t="s">
        <v>34771</v>
      </c>
      <c r="D3891" t="s">
        <v>27245</v>
      </c>
      <c r="E3891" t="str">
        <f t="shared" si="60"/>
        <v>001390</v>
      </c>
      <c r="F3891" t="s">
        <v>27246</v>
      </c>
      <c r="G3891" t="s">
        <v>27247</v>
      </c>
      <c r="H3891" t="s">
        <v>27248</v>
      </c>
      <c r="I3891" t="s">
        <v>34772</v>
      </c>
      <c r="J3891" t="s">
        <v>7777</v>
      </c>
      <c r="L3891" t="s">
        <v>27250</v>
      </c>
      <c r="M3891" t="s">
        <v>27251</v>
      </c>
      <c r="N3891" t="s">
        <v>27252</v>
      </c>
      <c r="Q3891" s="1">
        <v>44538</v>
      </c>
      <c r="R3891" t="s">
        <v>27253</v>
      </c>
      <c r="S3891" t="s">
        <v>27254</v>
      </c>
      <c r="T3891" t="s">
        <v>27255</v>
      </c>
    </row>
    <row r="3892" spans="1:20" x14ac:dyDescent="0.3">
      <c r="A3892" t="str">
        <f>"0611833978100"</f>
        <v>0611833978100</v>
      </c>
      <c r="B3892" t="str">
        <f>"LK6963"</f>
        <v>LK6963</v>
      </c>
      <c r="C3892" t="s">
        <v>34773</v>
      </c>
      <c r="D3892" t="s">
        <v>27245</v>
      </c>
      <c r="E3892" t="str">
        <f t="shared" si="60"/>
        <v>001390</v>
      </c>
      <c r="F3892" t="s">
        <v>27246</v>
      </c>
      <c r="G3892" t="s">
        <v>27247</v>
      </c>
      <c r="H3892" t="s">
        <v>27248</v>
      </c>
      <c r="I3892" t="s">
        <v>34774</v>
      </c>
      <c r="J3892" t="s">
        <v>7779</v>
      </c>
      <c r="L3892" t="s">
        <v>27250</v>
      </c>
      <c r="M3892" t="s">
        <v>27251</v>
      </c>
      <c r="N3892" t="s">
        <v>27252</v>
      </c>
      <c r="Q3892" s="1">
        <v>44538</v>
      </c>
      <c r="R3892" t="s">
        <v>27253</v>
      </c>
      <c r="S3892" t="s">
        <v>27254</v>
      </c>
      <c r="T3892" t="s">
        <v>27255</v>
      </c>
    </row>
    <row r="3893" spans="1:20" x14ac:dyDescent="0.3">
      <c r="A3893" t="str">
        <f>"0611833979025"</f>
        <v>0611833979025</v>
      </c>
      <c r="B3893" t="str">
        <f>"MQ0176"</f>
        <v>MQ0176</v>
      </c>
      <c r="C3893" t="s">
        <v>34775</v>
      </c>
      <c r="D3893" t="s">
        <v>27267</v>
      </c>
      <c r="E3893" t="str">
        <f t="shared" si="60"/>
        <v>001390</v>
      </c>
      <c r="F3893" t="s">
        <v>27246</v>
      </c>
      <c r="G3893" t="s">
        <v>27247</v>
      </c>
      <c r="H3893" t="s">
        <v>27248</v>
      </c>
      <c r="I3893" t="s">
        <v>34776</v>
      </c>
      <c r="J3893" t="s">
        <v>7781</v>
      </c>
      <c r="L3893" t="s">
        <v>27250</v>
      </c>
      <c r="M3893" t="s">
        <v>27251</v>
      </c>
      <c r="N3893" t="s">
        <v>27252</v>
      </c>
      <c r="Q3893" s="1">
        <v>44538</v>
      </c>
      <c r="R3893" t="s">
        <v>27253</v>
      </c>
      <c r="S3893" t="s">
        <v>27254</v>
      </c>
      <c r="T3893" t="s">
        <v>27269</v>
      </c>
    </row>
    <row r="3894" spans="1:20" x14ac:dyDescent="0.3">
      <c r="A3894" t="str">
        <f>"0611833980025"</f>
        <v>0611833980025</v>
      </c>
      <c r="B3894" t="str">
        <f>"MQ0177"</f>
        <v>MQ0177</v>
      </c>
      <c r="C3894" t="s">
        <v>34777</v>
      </c>
      <c r="D3894" t="s">
        <v>27267</v>
      </c>
      <c r="E3894" t="str">
        <f t="shared" si="60"/>
        <v>001390</v>
      </c>
      <c r="F3894" t="s">
        <v>27246</v>
      </c>
      <c r="G3894" t="s">
        <v>27247</v>
      </c>
      <c r="H3894" t="s">
        <v>27248</v>
      </c>
      <c r="I3894" t="s">
        <v>34778</v>
      </c>
      <c r="J3894" t="s">
        <v>7783</v>
      </c>
      <c r="L3894" t="s">
        <v>27250</v>
      </c>
      <c r="M3894" t="s">
        <v>27251</v>
      </c>
      <c r="N3894" t="s">
        <v>27252</v>
      </c>
      <c r="Q3894" s="1">
        <v>44538</v>
      </c>
      <c r="R3894" t="s">
        <v>27253</v>
      </c>
      <c r="S3894" t="s">
        <v>27254</v>
      </c>
      <c r="T3894" t="s">
        <v>27269</v>
      </c>
    </row>
    <row r="3895" spans="1:20" x14ac:dyDescent="0.3">
      <c r="A3895" t="str">
        <f>"0611833981025"</f>
        <v>0611833981025</v>
      </c>
      <c r="B3895" t="str">
        <f>"MQ0178"</f>
        <v>MQ0178</v>
      </c>
      <c r="C3895" t="s">
        <v>34779</v>
      </c>
      <c r="D3895" t="s">
        <v>27267</v>
      </c>
      <c r="E3895" t="str">
        <f t="shared" si="60"/>
        <v>001390</v>
      </c>
      <c r="F3895" t="s">
        <v>27246</v>
      </c>
      <c r="G3895" t="s">
        <v>27247</v>
      </c>
      <c r="H3895" t="s">
        <v>27248</v>
      </c>
      <c r="I3895" t="s">
        <v>34780</v>
      </c>
      <c r="J3895" t="s">
        <v>7785</v>
      </c>
      <c r="L3895" t="s">
        <v>27250</v>
      </c>
      <c r="M3895" t="s">
        <v>27251</v>
      </c>
      <c r="N3895" t="s">
        <v>27252</v>
      </c>
      <c r="Q3895" s="1">
        <v>44538</v>
      </c>
      <c r="R3895" t="s">
        <v>27253</v>
      </c>
      <c r="S3895" t="s">
        <v>27254</v>
      </c>
      <c r="T3895" t="s">
        <v>27269</v>
      </c>
    </row>
    <row r="3896" spans="1:20" x14ac:dyDescent="0.3">
      <c r="A3896" t="str">
        <f>"0611833982025"</f>
        <v>0611833982025</v>
      </c>
      <c r="B3896" t="str">
        <f>"MC0257"</f>
        <v>MC0257</v>
      </c>
      <c r="C3896" t="s">
        <v>34781</v>
      </c>
      <c r="D3896" t="s">
        <v>27267</v>
      </c>
      <c r="E3896" t="str">
        <f t="shared" si="60"/>
        <v>001390</v>
      </c>
      <c r="F3896" t="s">
        <v>27246</v>
      </c>
      <c r="G3896" t="s">
        <v>27247</v>
      </c>
      <c r="H3896" t="s">
        <v>27248</v>
      </c>
      <c r="I3896" t="s">
        <v>34782</v>
      </c>
      <c r="J3896" t="s">
        <v>7787</v>
      </c>
      <c r="L3896" t="s">
        <v>27250</v>
      </c>
      <c r="M3896" t="s">
        <v>27251</v>
      </c>
      <c r="N3896" t="s">
        <v>27252</v>
      </c>
      <c r="Q3896" s="1">
        <v>44538</v>
      </c>
      <c r="R3896" t="s">
        <v>27253</v>
      </c>
      <c r="S3896" t="s">
        <v>27254</v>
      </c>
      <c r="T3896" t="s">
        <v>27269</v>
      </c>
    </row>
    <row r="3897" spans="1:20" x14ac:dyDescent="0.3">
      <c r="A3897" t="str">
        <f>"0611833983100"</f>
        <v>0611833983100</v>
      </c>
      <c r="B3897" t="str">
        <f>"LB1593"</f>
        <v>LB1593</v>
      </c>
      <c r="C3897" t="s">
        <v>34783</v>
      </c>
      <c r="D3897" t="s">
        <v>27245</v>
      </c>
      <c r="E3897" t="str">
        <f t="shared" si="60"/>
        <v>001390</v>
      </c>
      <c r="F3897" t="s">
        <v>27246</v>
      </c>
      <c r="G3897" t="s">
        <v>27247</v>
      </c>
      <c r="H3897" t="s">
        <v>27248</v>
      </c>
      <c r="I3897" t="s">
        <v>34784</v>
      </c>
      <c r="J3897" t="s">
        <v>7789</v>
      </c>
      <c r="L3897" t="s">
        <v>27250</v>
      </c>
      <c r="M3897" t="s">
        <v>27251</v>
      </c>
      <c r="N3897" t="s">
        <v>27252</v>
      </c>
      <c r="Q3897" s="1">
        <v>44538</v>
      </c>
      <c r="R3897" t="s">
        <v>27253</v>
      </c>
      <c r="S3897" t="s">
        <v>27254</v>
      </c>
      <c r="T3897" t="s">
        <v>27255</v>
      </c>
    </row>
    <row r="3898" spans="1:20" x14ac:dyDescent="0.3">
      <c r="A3898" t="str">
        <f>"0611861758100"</f>
        <v>0611861758100</v>
      </c>
      <c r="B3898" t="str">
        <f>"CN2353"</f>
        <v>CN2353</v>
      </c>
      <c r="C3898" t="s">
        <v>34785</v>
      </c>
      <c r="D3898" t="s">
        <v>27335</v>
      </c>
      <c r="E3898" t="str">
        <f t="shared" si="60"/>
        <v>001390</v>
      </c>
      <c r="F3898" t="s">
        <v>27246</v>
      </c>
      <c r="G3898" t="s">
        <v>27247</v>
      </c>
      <c r="H3898" t="s">
        <v>27248</v>
      </c>
      <c r="I3898" t="s">
        <v>34786</v>
      </c>
      <c r="J3898" t="s">
        <v>7791</v>
      </c>
      <c r="L3898" t="s">
        <v>27250</v>
      </c>
      <c r="M3898" t="s">
        <v>27251</v>
      </c>
      <c r="N3898" t="s">
        <v>27252</v>
      </c>
      <c r="Q3898" s="1">
        <v>44846</v>
      </c>
      <c r="R3898" t="s">
        <v>27253</v>
      </c>
      <c r="S3898" t="s">
        <v>27254</v>
      </c>
      <c r="T3898" t="s">
        <v>27255</v>
      </c>
    </row>
    <row r="3899" spans="1:20" x14ac:dyDescent="0.3">
      <c r="A3899" t="str">
        <f>"0611833984100"</f>
        <v>0611833984100</v>
      </c>
      <c r="B3899" t="str">
        <f>"LK0701"</f>
        <v>LK0701</v>
      </c>
      <c r="C3899" t="s">
        <v>34787</v>
      </c>
      <c r="D3899" t="s">
        <v>27245</v>
      </c>
      <c r="E3899" t="str">
        <f t="shared" si="60"/>
        <v>001390</v>
      </c>
      <c r="F3899" t="s">
        <v>27246</v>
      </c>
      <c r="G3899" t="s">
        <v>27247</v>
      </c>
      <c r="H3899" t="s">
        <v>27248</v>
      </c>
      <c r="I3899" t="s">
        <v>34788</v>
      </c>
      <c r="J3899" t="s">
        <v>7793</v>
      </c>
      <c r="L3899" t="s">
        <v>27250</v>
      </c>
      <c r="M3899" t="s">
        <v>27251</v>
      </c>
      <c r="N3899" t="s">
        <v>27252</v>
      </c>
      <c r="Q3899" s="1">
        <v>44538</v>
      </c>
      <c r="R3899" t="s">
        <v>27253</v>
      </c>
      <c r="S3899" t="s">
        <v>27254</v>
      </c>
      <c r="T3899" t="s">
        <v>27255</v>
      </c>
    </row>
    <row r="3900" spans="1:20" x14ac:dyDescent="0.3">
      <c r="A3900" t="str">
        <f>"0611833985025"</f>
        <v>0611833985025</v>
      </c>
      <c r="B3900" t="str">
        <f>"MC1137"</f>
        <v>MC1137</v>
      </c>
      <c r="C3900" t="s">
        <v>34789</v>
      </c>
      <c r="D3900" t="s">
        <v>27267</v>
      </c>
      <c r="E3900" t="str">
        <f t="shared" si="60"/>
        <v>001390</v>
      </c>
      <c r="F3900" t="s">
        <v>27246</v>
      </c>
      <c r="G3900" t="s">
        <v>27247</v>
      </c>
      <c r="H3900" t="s">
        <v>27248</v>
      </c>
      <c r="I3900" t="s">
        <v>34790</v>
      </c>
      <c r="J3900" t="s">
        <v>7795</v>
      </c>
      <c r="L3900" t="s">
        <v>27250</v>
      </c>
      <c r="M3900" t="s">
        <v>27251</v>
      </c>
      <c r="N3900" t="s">
        <v>27252</v>
      </c>
      <c r="Q3900" s="1">
        <v>44538</v>
      </c>
      <c r="R3900" t="s">
        <v>27253</v>
      </c>
      <c r="S3900" t="s">
        <v>27254</v>
      </c>
      <c r="T3900" t="s">
        <v>27269</v>
      </c>
    </row>
    <row r="3901" spans="1:20" x14ac:dyDescent="0.3">
      <c r="A3901" t="str">
        <f>"0611833986025"</f>
        <v>0611833986025</v>
      </c>
      <c r="B3901" t="str">
        <f>"MQ0179"</f>
        <v>MQ0179</v>
      </c>
      <c r="C3901" t="s">
        <v>34791</v>
      </c>
      <c r="D3901" t="s">
        <v>27267</v>
      </c>
      <c r="E3901" t="str">
        <f t="shared" si="60"/>
        <v>001390</v>
      </c>
      <c r="F3901" t="s">
        <v>27246</v>
      </c>
      <c r="G3901" t="s">
        <v>27247</v>
      </c>
      <c r="H3901" t="s">
        <v>27248</v>
      </c>
      <c r="I3901" t="s">
        <v>34792</v>
      </c>
      <c r="J3901" t="s">
        <v>7797</v>
      </c>
      <c r="L3901" t="s">
        <v>27250</v>
      </c>
      <c r="M3901" t="s">
        <v>27251</v>
      </c>
      <c r="N3901" t="s">
        <v>27252</v>
      </c>
      <c r="Q3901" s="1">
        <v>44538</v>
      </c>
      <c r="R3901" t="s">
        <v>27253</v>
      </c>
      <c r="S3901" t="s">
        <v>27254</v>
      </c>
      <c r="T3901" t="s">
        <v>27269</v>
      </c>
    </row>
    <row r="3902" spans="1:20" x14ac:dyDescent="0.3">
      <c r="A3902" t="str">
        <f>"0611833987025"</f>
        <v>0611833987025</v>
      </c>
      <c r="B3902" t="str">
        <f>"MQ0180"</f>
        <v>MQ0180</v>
      </c>
      <c r="C3902" t="s">
        <v>34793</v>
      </c>
      <c r="D3902" t="s">
        <v>27267</v>
      </c>
      <c r="E3902" t="str">
        <f t="shared" si="60"/>
        <v>001390</v>
      </c>
      <c r="F3902" t="s">
        <v>27246</v>
      </c>
      <c r="G3902" t="s">
        <v>27247</v>
      </c>
      <c r="H3902" t="s">
        <v>27248</v>
      </c>
      <c r="I3902" t="s">
        <v>34794</v>
      </c>
      <c r="J3902" t="s">
        <v>7799</v>
      </c>
      <c r="L3902" t="s">
        <v>27250</v>
      </c>
      <c r="M3902" t="s">
        <v>27251</v>
      </c>
      <c r="N3902" t="s">
        <v>27252</v>
      </c>
      <c r="Q3902" s="1">
        <v>44538</v>
      </c>
      <c r="R3902" t="s">
        <v>27253</v>
      </c>
      <c r="S3902" t="s">
        <v>27254</v>
      </c>
      <c r="T3902" t="s">
        <v>27269</v>
      </c>
    </row>
    <row r="3903" spans="1:20" x14ac:dyDescent="0.3">
      <c r="A3903" t="str">
        <f>"0611833988025"</f>
        <v>0611833988025</v>
      </c>
      <c r="B3903" t="str">
        <f>"MQ0181"</f>
        <v>MQ0181</v>
      </c>
      <c r="C3903" t="s">
        <v>34795</v>
      </c>
      <c r="D3903" t="s">
        <v>27267</v>
      </c>
      <c r="E3903" t="str">
        <f t="shared" si="60"/>
        <v>001390</v>
      </c>
      <c r="F3903" t="s">
        <v>27246</v>
      </c>
      <c r="G3903" t="s">
        <v>27247</v>
      </c>
      <c r="H3903" t="s">
        <v>27248</v>
      </c>
      <c r="I3903" t="s">
        <v>34796</v>
      </c>
      <c r="J3903" t="s">
        <v>7801</v>
      </c>
      <c r="L3903" t="s">
        <v>27250</v>
      </c>
      <c r="M3903" t="s">
        <v>27251</v>
      </c>
      <c r="N3903" t="s">
        <v>27252</v>
      </c>
      <c r="Q3903" s="1">
        <v>44538</v>
      </c>
      <c r="R3903" t="s">
        <v>27253</v>
      </c>
      <c r="S3903" t="s">
        <v>27254</v>
      </c>
      <c r="T3903" t="s">
        <v>27269</v>
      </c>
    </row>
    <row r="3904" spans="1:20" x14ac:dyDescent="0.3">
      <c r="A3904" t="str">
        <f>"0611833989025"</f>
        <v>0611833989025</v>
      </c>
      <c r="B3904" t="str">
        <f>"MQ0549"</f>
        <v>MQ0549</v>
      </c>
      <c r="C3904" t="s">
        <v>34797</v>
      </c>
      <c r="D3904" t="s">
        <v>27267</v>
      </c>
      <c r="E3904" t="str">
        <f t="shared" si="60"/>
        <v>001390</v>
      </c>
      <c r="F3904" t="s">
        <v>27246</v>
      </c>
      <c r="G3904" t="s">
        <v>27247</v>
      </c>
      <c r="H3904" t="s">
        <v>27248</v>
      </c>
      <c r="I3904" t="s">
        <v>34798</v>
      </c>
      <c r="J3904" t="s">
        <v>7803</v>
      </c>
      <c r="L3904" t="s">
        <v>27250</v>
      </c>
      <c r="M3904" t="s">
        <v>27251</v>
      </c>
      <c r="N3904" t="s">
        <v>27252</v>
      </c>
      <c r="Q3904" s="1">
        <v>44538</v>
      </c>
      <c r="R3904" t="s">
        <v>27253</v>
      </c>
      <c r="S3904" t="s">
        <v>27254</v>
      </c>
      <c r="T3904" t="s">
        <v>27269</v>
      </c>
    </row>
    <row r="3905" spans="1:20" x14ac:dyDescent="0.3">
      <c r="A3905" t="str">
        <f>"0611833990025"</f>
        <v>0611833990025</v>
      </c>
      <c r="B3905" t="str">
        <f>"MQ0182"</f>
        <v>MQ0182</v>
      </c>
      <c r="C3905" t="s">
        <v>34799</v>
      </c>
      <c r="D3905" t="s">
        <v>27267</v>
      </c>
      <c r="E3905" t="str">
        <f t="shared" si="60"/>
        <v>001390</v>
      </c>
      <c r="F3905" t="s">
        <v>27246</v>
      </c>
      <c r="G3905" t="s">
        <v>27247</v>
      </c>
      <c r="H3905" t="s">
        <v>27248</v>
      </c>
      <c r="I3905" t="s">
        <v>34800</v>
      </c>
      <c r="J3905" t="s">
        <v>7805</v>
      </c>
      <c r="L3905" t="s">
        <v>27250</v>
      </c>
      <c r="M3905" t="s">
        <v>27251</v>
      </c>
      <c r="N3905" t="s">
        <v>27252</v>
      </c>
      <c r="Q3905" s="1">
        <v>44538</v>
      </c>
      <c r="R3905" t="s">
        <v>27253</v>
      </c>
      <c r="S3905" t="s">
        <v>27254</v>
      </c>
      <c r="T3905" t="s">
        <v>27269</v>
      </c>
    </row>
    <row r="3906" spans="1:20" x14ac:dyDescent="0.3">
      <c r="A3906" t="str">
        <f>"0611833991025"</f>
        <v>0611833991025</v>
      </c>
      <c r="B3906" t="str">
        <f>"MQ0639"</f>
        <v>MQ0639</v>
      </c>
      <c r="C3906" t="s">
        <v>34801</v>
      </c>
      <c r="D3906" t="s">
        <v>27267</v>
      </c>
      <c r="E3906" t="str">
        <f t="shared" ref="E3906:E3969" si="61">"001390"</f>
        <v>001390</v>
      </c>
      <c r="F3906" t="s">
        <v>27246</v>
      </c>
      <c r="G3906" t="s">
        <v>27247</v>
      </c>
      <c r="H3906" t="s">
        <v>27248</v>
      </c>
      <c r="I3906" t="s">
        <v>34802</v>
      </c>
      <c r="J3906" t="s">
        <v>7807</v>
      </c>
      <c r="L3906" t="s">
        <v>27250</v>
      </c>
      <c r="M3906" t="s">
        <v>27251</v>
      </c>
      <c r="N3906" t="s">
        <v>27252</v>
      </c>
      <c r="Q3906" s="1">
        <v>44538</v>
      </c>
      <c r="R3906" t="s">
        <v>27253</v>
      </c>
      <c r="S3906" t="s">
        <v>27254</v>
      </c>
      <c r="T3906" t="s">
        <v>27269</v>
      </c>
    </row>
    <row r="3907" spans="1:20" x14ac:dyDescent="0.3">
      <c r="A3907" t="str">
        <f>"0611833992025"</f>
        <v>0611833992025</v>
      </c>
      <c r="B3907" t="str">
        <f>"MQ0640"</f>
        <v>MQ0640</v>
      </c>
      <c r="C3907" t="s">
        <v>34803</v>
      </c>
      <c r="D3907" t="s">
        <v>27267</v>
      </c>
      <c r="E3907" t="str">
        <f t="shared" si="61"/>
        <v>001390</v>
      </c>
      <c r="F3907" t="s">
        <v>27246</v>
      </c>
      <c r="G3907" t="s">
        <v>27247</v>
      </c>
      <c r="H3907" t="s">
        <v>27248</v>
      </c>
      <c r="I3907" t="s">
        <v>34804</v>
      </c>
      <c r="J3907" t="s">
        <v>7809</v>
      </c>
      <c r="L3907" t="s">
        <v>27250</v>
      </c>
      <c r="M3907" t="s">
        <v>27251</v>
      </c>
      <c r="N3907" t="s">
        <v>27252</v>
      </c>
      <c r="Q3907" s="1">
        <v>44538</v>
      </c>
      <c r="R3907" t="s">
        <v>27253</v>
      </c>
      <c r="S3907" t="s">
        <v>27254</v>
      </c>
      <c r="T3907" t="s">
        <v>27269</v>
      </c>
    </row>
    <row r="3908" spans="1:20" x14ac:dyDescent="0.3">
      <c r="A3908" t="str">
        <f>"0611833993025"</f>
        <v>0611833993025</v>
      </c>
      <c r="B3908" t="str">
        <f>"MQ0183"</f>
        <v>MQ0183</v>
      </c>
      <c r="C3908" t="s">
        <v>34805</v>
      </c>
      <c r="D3908" t="s">
        <v>27267</v>
      </c>
      <c r="E3908" t="str">
        <f t="shared" si="61"/>
        <v>001390</v>
      </c>
      <c r="F3908" t="s">
        <v>27246</v>
      </c>
      <c r="G3908" t="s">
        <v>27247</v>
      </c>
      <c r="H3908" t="s">
        <v>27248</v>
      </c>
      <c r="I3908" t="s">
        <v>34806</v>
      </c>
      <c r="J3908" t="s">
        <v>7811</v>
      </c>
      <c r="L3908" t="s">
        <v>27250</v>
      </c>
      <c r="M3908" t="s">
        <v>27251</v>
      </c>
      <c r="N3908" t="s">
        <v>27252</v>
      </c>
      <c r="Q3908" s="1">
        <v>44538</v>
      </c>
      <c r="R3908" t="s">
        <v>27253</v>
      </c>
      <c r="S3908" t="s">
        <v>27254</v>
      </c>
      <c r="T3908" t="s">
        <v>27269</v>
      </c>
    </row>
    <row r="3909" spans="1:20" x14ac:dyDescent="0.3">
      <c r="A3909" t="str">
        <f>"0611833994025"</f>
        <v>0611833994025</v>
      </c>
      <c r="B3909" t="str">
        <f>"MQ0184"</f>
        <v>MQ0184</v>
      </c>
      <c r="C3909" t="s">
        <v>34807</v>
      </c>
      <c r="D3909" t="s">
        <v>27267</v>
      </c>
      <c r="E3909" t="str">
        <f t="shared" si="61"/>
        <v>001390</v>
      </c>
      <c r="F3909" t="s">
        <v>27246</v>
      </c>
      <c r="G3909" t="s">
        <v>27247</v>
      </c>
      <c r="H3909" t="s">
        <v>27248</v>
      </c>
      <c r="I3909" t="s">
        <v>34808</v>
      </c>
      <c r="J3909" t="s">
        <v>7813</v>
      </c>
      <c r="L3909" t="s">
        <v>27250</v>
      </c>
      <c r="M3909" t="s">
        <v>27251</v>
      </c>
      <c r="N3909" t="s">
        <v>27252</v>
      </c>
      <c r="Q3909" s="1">
        <v>44538</v>
      </c>
      <c r="R3909" t="s">
        <v>27253</v>
      </c>
      <c r="S3909" t="s">
        <v>27254</v>
      </c>
      <c r="T3909" t="s">
        <v>27269</v>
      </c>
    </row>
    <row r="3910" spans="1:20" x14ac:dyDescent="0.3">
      <c r="A3910" t="str">
        <f>"0611861759100"</f>
        <v>0611861759100</v>
      </c>
      <c r="B3910" t="str">
        <f>"CN5096"</f>
        <v>CN5096</v>
      </c>
      <c r="C3910" t="s">
        <v>34809</v>
      </c>
      <c r="D3910" t="s">
        <v>27335</v>
      </c>
      <c r="E3910" t="str">
        <f t="shared" si="61"/>
        <v>001390</v>
      </c>
      <c r="F3910" t="s">
        <v>27246</v>
      </c>
      <c r="G3910" t="s">
        <v>27247</v>
      </c>
      <c r="H3910" t="s">
        <v>27248</v>
      </c>
      <c r="I3910" t="s">
        <v>34810</v>
      </c>
      <c r="J3910" t="s">
        <v>7815</v>
      </c>
      <c r="L3910" t="s">
        <v>27250</v>
      </c>
      <c r="M3910" t="s">
        <v>27251</v>
      </c>
      <c r="N3910" t="s">
        <v>27252</v>
      </c>
      <c r="Q3910" s="1">
        <v>44846</v>
      </c>
      <c r="R3910" t="s">
        <v>27253</v>
      </c>
      <c r="S3910" t="s">
        <v>27254</v>
      </c>
      <c r="T3910" t="s">
        <v>27255</v>
      </c>
    </row>
    <row r="3911" spans="1:20" x14ac:dyDescent="0.3">
      <c r="A3911" t="str">
        <f>"0611861760050"</f>
        <v>0611861760050</v>
      </c>
      <c r="B3911" t="str">
        <f>"CR3601"</f>
        <v>CR3601</v>
      </c>
      <c r="C3911" t="s">
        <v>34811</v>
      </c>
      <c r="D3911" t="s">
        <v>27263</v>
      </c>
      <c r="E3911" t="str">
        <f t="shared" si="61"/>
        <v>001390</v>
      </c>
      <c r="F3911" t="s">
        <v>27246</v>
      </c>
      <c r="G3911" t="s">
        <v>27247</v>
      </c>
      <c r="H3911" t="s">
        <v>27248</v>
      </c>
      <c r="I3911" t="s">
        <v>34812</v>
      </c>
      <c r="J3911" t="s">
        <v>7817</v>
      </c>
      <c r="L3911" t="s">
        <v>27250</v>
      </c>
      <c r="M3911" t="s">
        <v>27251</v>
      </c>
      <c r="N3911" t="s">
        <v>27252</v>
      </c>
      <c r="Q3911" s="1">
        <v>44846</v>
      </c>
      <c r="R3911" t="s">
        <v>27253</v>
      </c>
      <c r="S3911" t="s">
        <v>27254</v>
      </c>
      <c r="T3911" t="s">
        <v>27265</v>
      </c>
    </row>
    <row r="3912" spans="1:20" x14ac:dyDescent="0.3">
      <c r="A3912" t="str">
        <f>"0611861761100"</f>
        <v>0611861761100</v>
      </c>
      <c r="B3912" t="str">
        <f>"CN5097"</f>
        <v>CN5097</v>
      </c>
      <c r="C3912" t="s">
        <v>34813</v>
      </c>
      <c r="D3912" t="s">
        <v>27335</v>
      </c>
      <c r="E3912" t="str">
        <f t="shared" si="61"/>
        <v>001390</v>
      </c>
      <c r="F3912" t="s">
        <v>27246</v>
      </c>
      <c r="G3912" t="s">
        <v>27247</v>
      </c>
      <c r="H3912" t="s">
        <v>27248</v>
      </c>
      <c r="I3912" t="s">
        <v>34814</v>
      </c>
      <c r="J3912" t="s">
        <v>7819</v>
      </c>
      <c r="L3912" t="s">
        <v>27250</v>
      </c>
      <c r="M3912" t="s">
        <v>27251</v>
      </c>
      <c r="N3912" t="s">
        <v>27252</v>
      </c>
      <c r="Q3912" s="1">
        <v>44846</v>
      </c>
      <c r="R3912" t="s">
        <v>27253</v>
      </c>
      <c r="S3912" t="s">
        <v>27254</v>
      </c>
      <c r="T3912" t="s">
        <v>27255</v>
      </c>
    </row>
    <row r="3913" spans="1:20" x14ac:dyDescent="0.3">
      <c r="A3913" t="str">
        <f>"0611861762100"</f>
        <v>0611861762100</v>
      </c>
      <c r="B3913" t="str">
        <f>"CN5098"</f>
        <v>CN5098</v>
      </c>
      <c r="C3913" t="s">
        <v>34815</v>
      </c>
      <c r="D3913" t="s">
        <v>27335</v>
      </c>
      <c r="E3913" t="str">
        <f t="shared" si="61"/>
        <v>001390</v>
      </c>
      <c r="F3913" t="s">
        <v>27246</v>
      </c>
      <c r="G3913" t="s">
        <v>27247</v>
      </c>
      <c r="H3913" t="s">
        <v>27248</v>
      </c>
      <c r="I3913" t="s">
        <v>34816</v>
      </c>
      <c r="J3913" t="s">
        <v>7821</v>
      </c>
      <c r="L3913" t="s">
        <v>27250</v>
      </c>
      <c r="M3913" t="s">
        <v>27251</v>
      </c>
      <c r="N3913" t="s">
        <v>27252</v>
      </c>
      <c r="Q3913" s="1">
        <v>44846</v>
      </c>
      <c r="R3913" t="s">
        <v>27253</v>
      </c>
      <c r="S3913" t="s">
        <v>27254</v>
      </c>
      <c r="T3913" t="s">
        <v>27255</v>
      </c>
    </row>
    <row r="3914" spans="1:20" x14ac:dyDescent="0.3">
      <c r="A3914" t="str">
        <f>"0611861763050"</f>
        <v>0611861763050</v>
      </c>
      <c r="B3914" t="str">
        <f>"CR3785"</f>
        <v>CR3785</v>
      </c>
      <c r="C3914" t="s">
        <v>34817</v>
      </c>
      <c r="D3914" t="s">
        <v>27263</v>
      </c>
      <c r="E3914" t="str">
        <f t="shared" si="61"/>
        <v>001390</v>
      </c>
      <c r="F3914" t="s">
        <v>27246</v>
      </c>
      <c r="G3914" t="s">
        <v>27247</v>
      </c>
      <c r="H3914" t="s">
        <v>27248</v>
      </c>
      <c r="I3914" t="s">
        <v>34818</v>
      </c>
      <c r="J3914" t="s">
        <v>7823</v>
      </c>
      <c r="L3914" t="s">
        <v>27250</v>
      </c>
      <c r="M3914" t="s">
        <v>27251</v>
      </c>
      <c r="N3914" t="s">
        <v>27252</v>
      </c>
      <c r="Q3914" s="1">
        <v>44846</v>
      </c>
      <c r="R3914" t="s">
        <v>27253</v>
      </c>
      <c r="S3914" t="s">
        <v>27254</v>
      </c>
      <c r="T3914" t="s">
        <v>27265</v>
      </c>
    </row>
    <row r="3915" spans="1:20" x14ac:dyDescent="0.3">
      <c r="A3915" t="str">
        <f>"0611861764050"</f>
        <v>0611861764050</v>
      </c>
      <c r="B3915" t="str">
        <f>"CR3604"</f>
        <v>CR3604</v>
      </c>
      <c r="C3915" t="s">
        <v>34819</v>
      </c>
      <c r="D3915" t="s">
        <v>27263</v>
      </c>
      <c r="E3915" t="str">
        <f t="shared" si="61"/>
        <v>001390</v>
      </c>
      <c r="F3915" t="s">
        <v>27246</v>
      </c>
      <c r="G3915" t="s">
        <v>27247</v>
      </c>
      <c r="H3915" t="s">
        <v>27248</v>
      </c>
      <c r="I3915" t="s">
        <v>34820</v>
      </c>
      <c r="J3915" t="s">
        <v>7825</v>
      </c>
      <c r="L3915" t="s">
        <v>27250</v>
      </c>
      <c r="M3915" t="s">
        <v>27251</v>
      </c>
      <c r="N3915" t="s">
        <v>27252</v>
      </c>
      <c r="Q3915" s="1">
        <v>44846</v>
      </c>
      <c r="R3915" t="s">
        <v>27253</v>
      </c>
      <c r="S3915" t="s">
        <v>27254</v>
      </c>
      <c r="T3915" t="s">
        <v>27265</v>
      </c>
    </row>
    <row r="3916" spans="1:20" x14ac:dyDescent="0.3">
      <c r="A3916" t="str">
        <f>"0611861765100"</f>
        <v>0611861765100</v>
      </c>
      <c r="B3916" t="str">
        <f>"CN5099"</f>
        <v>CN5099</v>
      </c>
      <c r="C3916" t="s">
        <v>34821</v>
      </c>
      <c r="D3916" t="s">
        <v>27335</v>
      </c>
      <c r="E3916" t="str">
        <f t="shared" si="61"/>
        <v>001390</v>
      </c>
      <c r="F3916" t="s">
        <v>27246</v>
      </c>
      <c r="G3916" t="s">
        <v>27247</v>
      </c>
      <c r="H3916" t="s">
        <v>27248</v>
      </c>
      <c r="I3916" t="s">
        <v>34822</v>
      </c>
      <c r="J3916" t="s">
        <v>7827</v>
      </c>
      <c r="L3916" t="s">
        <v>27250</v>
      </c>
      <c r="M3916" t="s">
        <v>27251</v>
      </c>
      <c r="N3916" t="s">
        <v>27252</v>
      </c>
      <c r="Q3916" s="1">
        <v>44846</v>
      </c>
      <c r="R3916" t="s">
        <v>27253</v>
      </c>
      <c r="S3916" t="s">
        <v>27254</v>
      </c>
      <c r="T3916" t="s">
        <v>27255</v>
      </c>
    </row>
    <row r="3917" spans="1:20" x14ac:dyDescent="0.3">
      <c r="A3917" t="str">
        <f>"0611861766050"</f>
        <v>0611861766050</v>
      </c>
      <c r="B3917" t="str">
        <f>"CR3786"</f>
        <v>CR3786</v>
      </c>
      <c r="C3917" t="s">
        <v>34823</v>
      </c>
      <c r="D3917" t="s">
        <v>27263</v>
      </c>
      <c r="E3917" t="str">
        <f t="shared" si="61"/>
        <v>001390</v>
      </c>
      <c r="F3917" t="s">
        <v>27246</v>
      </c>
      <c r="G3917" t="s">
        <v>27247</v>
      </c>
      <c r="H3917" t="s">
        <v>27248</v>
      </c>
      <c r="I3917" t="s">
        <v>34824</v>
      </c>
      <c r="J3917" t="s">
        <v>7829</v>
      </c>
      <c r="L3917" t="s">
        <v>27250</v>
      </c>
      <c r="M3917" t="s">
        <v>27251</v>
      </c>
      <c r="N3917" t="s">
        <v>27252</v>
      </c>
      <c r="Q3917" s="1">
        <v>44846</v>
      </c>
      <c r="R3917" t="s">
        <v>27253</v>
      </c>
      <c r="S3917" t="s">
        <v>27254</v>
      </c>
      <c r="T3917" t="s">
        <v>27265</v>
      </c>
    </row>
    <row r="3918" spans="1:20" x14ac:dyDescent="0.3">
      <c r="A3918" t="str">
        <f>"0611861767100"</f>
        <v>0611861767100</v>
      </c>
      <c r="B3918" t="str">
        <f>"CN5100"</f>
        <v>CN5100</v>
      </c>
      <c r="C3918" t="s">
        <v>34825</v>
      </c>
      <c r="D3918" t="s">
        <v>27335</v>
      </c>
      <c r="E3918" t="str">
        <f t="shared" si="61"/>
        <v>001390</v>
      </c>
      <c r="F3918" t="s">
        <v>27246</v>
      </c>
      <c r="G3918" t="s">
        <v>27247</v>
      </c>
      <c r="H3918" t="s">
        <v>27248</v>
      </c>
      <c r="I3918" t="s">
        <v>34826</v>
      </c>
      <c r="J3918" t="s">
        <v>7831</v>
      </c>
      <c r="L3918" t="s">
        <v>27250</v>
      </c>
      <c r="M3918" t="s">
        <v>27251</v>
      </c>
      <c r="N3918" t="s">
        <v>27252</v>
      </c>
      <c r="Q3918" s="1">
        <v>44846</v>
      </c>
      <c r="R3918" t="s">
        <v>27253</v>
      </c>
      <c r="S3918" t="s">
        <v>27254</v>
      </c>
      <c r="T3918" t="s">
        <v>27255</v>
      </c>
    </row>
    <row r="3919" spans="1:20" x14ac:dyDescent="0.3">
      <c r="A3919" t="str">
        <f>"0611861768050"</f>
        <v>0611861768050</v>
      </c>
      <c r="B3919" t="str">
        <f>"CR3605"</f>
        <v>CR3605</v>
      </c>
      <c r="C3919" t="s">
        <v>34825</v>
      </c>
      <c r="D3919" t="s">
        <v>27263</v>
      </c>
      <c r="E3919" t="str">
        <f t="shared" si="61"/>
        <v>001390</v>
      </c>
      <c r="F3919" t="s">
        <v>27246</v>
      </c>
      <c r="G3919" t="s">
        <v>27247</v>
      </c>
      <c r="H3919" t="s">
        <v>27248</v>
      </c>
      <c r="I3919" t="s">
        <v>34827</v>
      </c>
      <c r="J3919" t="s">
        <v>7833</v>
      </c>
      <c r="L3919" t="s">
        <v>27250</v>
      </c>
      <c r="M3919" t="s">
        <v>27251</v>
      </c>
      <c r="N3919" t="s">
        <v>27252</v>
      </c>
      <c r="Q3919" s="1">
        <v>44846</v>
      </c>
      <c r="R3919" t="s">
        <v>27253</v>
      </c>
      <c r="S3919" t="s">
        <v>27254</v>
      </c>
      <c r="T3919" t="s">
        <v>27265</v>
      </c>
    </row>
    <row r="3920" spans="1:20" x14ac:dyDescent="0.3">
      <c r="A3920" t="str">
        <f>"0611861769100"</f>
        <v>0611861769100</v>
      </c>
      <c r="B3920" t="str">
        <f>"CN5101"</f>
        <v>CN5101</v>
      </c>
      <c r="C3920" t="s">
        <v>34828</v>
      </c>
      <c r="D3920" t="s">
        <v>27335</v>
      </c>
      <c r="E3920" t="str">
        <f t="shared" si="61"/>
        <v>001390</v>
      </c>
      <c r="F3920" t="s">
        <v>27246</v>
      </c>
      <c r="G3920" t="s">
        <v>27247</v>
      </c>
      <c r="H3920" t="s">
        <v>27248</v>
      </c>
      <c r="I3920" t="s">
        <v>34829</v>
      </c>
      <c r="J3920" t="s">
        <v>7835</v>
      </c>
      <c r="L3920" t="s">
        <v>27250</v>
      </c>
      <c r="M3920" t="s">
        <v>27251</v>
      </c>
      <c r="N3920" t="s">
        <v>27252</v>
      </c>
      <c r="Q3920" s="1">
        <v>44846</v>
      </c>
      <c r="R3920" t="s">
        <v>27253</v>
      </c>
      <c r="S3920" t="s">
        <v>27254</v>
      </c>
      <c r="T3920" t="s">
        <v>27255</v>
      </c>
    </row>
    <row r="3921" spans="1:20" x14ac:dyDescent="0.3">
      <c r="A3921" t="str">
        <f>"0611861770050"</f>
        <v>0611861770050</v>
      </c>
      <c r="B3921" t="str">
        <f>"CR3606"</f>
        <v>CR3606</v>
      </c>
      <c r="C3921" t="s">
        <v>34830</v>
      </c>
      <c r="D3921" t="s">
        <v>27286</v>
      </c>
      <c r="E3921" t="str">
        <f t="shared" si="61"/>
        <v>001390</v>
      </c>
      <c r="F3921" t="s">
        <v>27246</v>
      </c>
      <c r="G3921" t="s">
        <v>27247</v>
      </c>
      <c r="H3921" t="s">
        <v>27248</v>
      </c>
      <c r="I3921" t="s">
        <v>34831</v>
      </c>
      <c r="J3921" t="s">
        <v>7837</v>
      </c>
      <c r="L3921" t="s">
        <v>27250</v>
      </c>
      <c r="M3921" t="s">
        <v>27251</v>
      </c>
      <c r="N3921" t="s">
        <v>27252</v>
      </c>
      <c r="Q3921" s="1">
        <v>44846</v>
      </c>
      <c r="R3921" t="s">
        <v>27253</v>
      </c>
      <c r="S3921" t="s">
        <v>27254</v>
      </c>
      <c r="T3921" t="s">
        <v>27265</v>
      </c>
    </row>
    <row r="3922" spans="1:20" x14ac:dyDescent="0.3">
      <c r="A3922" t="str">
        <f>"0611861771100"</f>
        <v>0611861771100</v>
      </c>
      <c r="B3922" t="str">
        <f>"CN5102"</f>
        <v>CN5102</v>
      </c>
      <c r="C3922" t="s">
        <v>34832</v>
      </c>
      <c r="D3922" t="s">
        <v>27335</v>
      </c>
      <c r="E3922" t="str">
        <f t="shared" si="61"/>
        <v>001390</v>
      </c>
      <c r="F3922" t="s">
        <v>27246</v>
      </c>
      <c r="G3922" t="s">
        <v>27247</v>
      </c>
      <c r="H3922" t="s">
        <v>27248</v>
      </c>
      <c r="I3922" t="s">
        <v>34833</v>
      </c>
      <c r="J3922" t="s">
        <v>7839</v>
      </c>
      <c r="L3922" t="s">
        <v>27250</v>
      </c>
      <c r="M3922" t="s">
        <v>27251</v>
      </c>
      <c r="N3922" t="s">
        <v>27252</v>
      </c>
      <c r="Q3922" s="1">
        <v>44846</v>
      </c>
      <c r="R3922" t="s">
        <v>27253</v>
      </c>
      <c r="S3922" t="s">
        <v>27254</v>
      </c>
      <c r="T3922" t="s">
        <v>27255</v>
      </c>
    </row>
    <row r="3923" spans="1:20" x14ac:dyDescent="0.3">
      <c r="A3923" t="str">
        <f>"0611861772100"</f>
        <v>0611861772100</v>
      </c>
      <c r="B3923" t="str">
        <f>"CN5103"</f>
        <v>CN5103</v>
      </c>
      <c r="C3923" t="s">
        <v>34834</v>
      </c>
      <c r="D3923" t="s">
        <v>27335</v>
      </c>
      <c r="E3923" t="str">
        <f t="shared" si="61"/>
        <v>001390</v>
      </c>
      <c r="F3923" t="s">
        <v>27246</v>
      </c>
      <c r="G3923" t="s">
        <v>27247</v>
      </c>
      <c r="H3923" t="s">
        <v>27248</v>
      </c>
      <c r="I3923" t="s">
        <v>34835</v>
      </c>
      <c r="J3923" t="s">
        <v>7841</v>
      </c>
      <c r="L3923" t="s">
        <v>27250</v>
      </c>
      <c r="M3923" t="s">
        <v>27251</v>
      </c>
      <c r="N3923" t="s">
        <v>27252</v>
      </c>
      <c r="Q3923" s="1">
        <v>44846</v>
      </c>
      <c r="R3923" t="s">
        <v>27253</v>
      </c>
      <c r="S3923" t="s">
        <v>27254</v>
      </c>
      <c r="T3923" t="s">
        <v>27255</v>
      </c>
    </row>
    <row r="3924" spans="1:20" x14ac:dyDescent="0.3">
      <c r="A3924" t="str">
        <f>"0611861773100"</f>
        <v>0611861773100</v>
      </c>
      <c r="B3924" t="str">
        <f>"CN5104"</f>
        <v>CN5104</v>
      </c>
      <c r="C3924" t="s">
        <v>34836</v>
      </c>
      <c r="D3924" t="s">
        <v>27335</v>
      </c>
      <c r="E3924" t="str">
        <f t="shared" si="61"/>
        <v>001390</v>
      </c>
      <c r="F3924" t="s">
        <v>27246</v>
      </c>
      <c r="G3924" t="s">
        <v>27247</v>
      </c>
      <c r="H3924" t="s">
        <v>27248</v>
      </c>
      <c r="I3924" t="s">
        <v>34837</v>
      </c>
      <c r="J3924" t="s">
        <v>7843</v>
      </c>
      <c r="L3924" t="s">
        <v>27250</v>
      </c>
      <c r="M3924" t="s">
        <v>27251</v>
      </c>
      <c r="N3924" t="s">
        <v>27252</v>
      </c>
      <c r="Q3924" s="1">
        <v>44846</v>
      </c>
      <c r="R3924" t="s">
        <v>27253</v>
      </c>
      <c r="S3924" t="s">
        <v>27254</v>
      </c>
      <c r="T3924" t="s">
        <v>27255</v>
      </c>
    </row>
    <row r="3925" spans="1:20" x14ac:dyDescent="0.3">
      <c r="A3925" t="str">
        <f>"0611861774100"</f>
        <v>0611861774100</v>
      </c>
      <c r="B3925" t="str">
        <f>"CN5105"</f>
        <v>CN5105</v>
      </c>
      <c r="C3925" t="s">
        <v>34838</v>
      </c>
      <c r="D3925" t="s">
        <v>27335</v>
      </c>
      <c r="E3925" t="str">
        <f t="shared" si="61"/>
        <v>001390</v>
      </c>
      <c r="F3925" t="s">
        <v>27246</v>
      </c>
      <c r="G3925" t="s">
        <v>27247</v>
      </c>
      <c r="H3925" t="s">
        <v>27248</v>
      </c>
      <c r="I3925" t="s">
        <v>34839</v>
      </c>
      <c r="J3925" t="s">
        <v>7845</v>
      </c>
      <c r="L3925" t="s">
        <v>27250</v>
      </c>
      <c r="M3925" t="s">
        <v>27251</v>
      </c>
      <c r="N3925" t="s">
        <v>27252</v>
      </c>
      <c r="Q3925" s="1">
        <v>44846</v>
      </c>
      <c r="R3925" t="s">
        <v>27253</v>
      </c>
      <c r="S3925" t="s">
        <v>27254</v>
      </c>
      <c r="T3925" t="s">
        <v>27255</v>
      </c>
    </row>
    <row r="3926" spans="1:20" x14ac:dyDescent="0.3">
      <c r="A3926" t="str">
        <f>"0611861775100"</f>
        <v>0611861775100</v>
      </c>
      <c r="B3926" t="str">
        <f>"CN5106"</f>
        <v>CN5106</v>
      </c>
      <c r="C3926" t="s">
        <v>34840</v>
      </c>
      <c r="D3926" t="s">
        <v>27335</v>
      </c>
      <c r="E3926" t="str">
        <f t="shared" si="61"/>
        <v>001390</v>
      </c>
      <c r="F3926" t="s">
        <v>27246</v>
      </c>
      <c r="G3926" t="s">
        <v>27247</v>
      </c>
      <c r="H3926" t="s">
        <v>27248</v>
      </c>
      <c r="I3926" t="s">
        <v>34841</v>
      </c>
      <c r="J3926" t="s">
        <v>7847</v>
      </c>
      <c r="L3926" t="s">
        <v>27250</v>
      </c>
      <c r="M3926" t="s">
        <v>27251</v>
      </c>
      <c r="N3926" t="s">
        <v>27252</v>
      </c>
      <c r="Q3926" s="1">
        <v>44846</v>
      </c>
      <c r="R3926" t="s">
        <v>27253</v>
      </c>
      <c r="S3926" t="s">
        <v>27254</v>
      </c>
      <c r="T3926" t="s">
        <v>27255</v>
      </c>
    </row>
    <row r="3927" spans="1:20" x14ac:dyDescent="0.3">
      <c r="A3927" t="str">
        <f>"0611861776100"</f>
        <v>0611861776100</v>
      </c>
      <c r="B3927" t="str">
        <f>"CN5107"</f>
        <v>CN5107</v>
      </c>
      <c r="C3927" t="s">
        <v>34842</v>
      </c>
      <c r="D3927" t="s">
        <v>27335</v>
      </c>
      <c r="E3927" t="str">
        <f t="shared" si="61"/>
        <v>001390</v>
      </c>
      <c r="F3927" t="s">
        <v>27246</v>
      </c>
      <c r="G3927" t="s">
        <v>27247</v>
      </c>
      <c r="H3927" t="s">
        <v>27248</v>
      </c>
      <c r="I3927" t="s">
        <v>34843</v>
      </c>
      <c r="J3927" t="s">
        <v>7849</v>
      </c>
      <c r="L3927" t="s">
        <v>27250</v>
      </c>
      <c r="M3927" t="s">
        <v>27251</v>
      </c>
      <c r="N3927" t="s">
        <v>27252</v>
      </c>
      <c r="Q3927" s="1">
        <v>44846</v>
      </c>
      <c r="R3927" t="s">
        <v>27253</v>
      </c>
      <c r="S3927" t="s">
        <v>27254</v>
      </c>
      <c r="T3927" t="s">
        <v>27255</v>
      </c>
    </row>
    <row r="3928" spans="1:20" x14ac:dyDescent="0.3">
      <c r="A3928" t="str">
        <f>"0611861777100"</f>
        <v>0611861777100</v>
      </c>
      <c r="B3928" t="str">
        <f>"CN5108"</f>
        <v>CN5108</v>
      </c>
      <c r="C3928" t="s">
        <v>34844</v>
      </c>
      <c r="D3928" t="s">
        <v>27335</v>
      </c>
      <c r="E3928" t="str">
        <f t="shared" si="61"/>
        <v>001390</v>
      </c>
      <c r="F3928" t="s">
        <v>27246</v>
      </c>
      <c r="G3928" t="s">
        <v>27247</v>
      </c>
      <c r="H3928" t="s">
        <v>27248</v>
      </c>
      <c r="I3928" t="s">
        <v>34845</v>
      </c>
      <c r="J3928" t="s">
        <v>7851</v>
      </c>
      <c r="L3928" t="s">
        <v>27250</v>
      </c>
      <c r="M3928" t="s">
        <v>27251</v>
      </c>
      <c r="N3928" t="s">
        <v>27252</v>
      </c>
      <c r="Q3928" s="1">
        <v>44846</v>
      </c>
      <c r="R3928" t="s">
        <v>27253</v>
      </c>
      <c r="S3928" t="s">
        <v>27254</v>
      </c>
      <c r="T3928" t="s">
        <v>27255</v>
      </c>
    </row>
    <row r="3929" spans="1:20" x14ac:dyDescent="0.3">
      <c r="A3929" t="str">
        <f>"0611861778050"</f>
        <v>0611861778050</v>
      </c>
      <c r="B3929" t="str">
        <f>"CR3611"</f>
        <v>CR3611</v>
      </c>
      <c r="C3929" t="s">
        <v>34846</v>
      </c>
      <c r="D3929" t="s">
        <v>27286</v>
      </c>
      <c r="E3929" t="str">
        <f t="shared" si="61"/>
        <v>001390</v>
      </c>
      <c r="F3929" t="s">
        <v>27246</v>
      </c>
      <c r="G3929" t="s">
        <v>27247</v>
      </c>
      <c r="H3929" t="s">
        <v>27248</v>
      </c>
      <c r="I3929" t="s">
        <v>34847</v>
      </c>
      <c r="J3929" t="s">
        <v>7853</v>
      </c>
      <c r="L3929" t="s">
        <v>27250</v>
      </c>
      <c r="M3929" t="s">
        <v>27251</v>
      </c>
      <c r="N3929" t="s">
        <v>27252</v>
      </c>
      <c r="Q3929" s="1">
        <v>44846</v>
      </c>
      <c r="R3929" t="s">
        <v>27253</v>
      </c>
      <c r="S3929" t="s">
        <v>27254</v>
      </c>
      <c r="T3929" t="s">
        <v>27265</v>
      </c>
    </row>
    <row r="3930" spans="1:20" x14ac:dyDescent="0.3">
      <c r="A3930" t="str">
        <f>"0611861779100"</f>
        <v>0611861779100</v>
      </c>
      <c r="B3930" t="str">
        <f>"CN5109"</f>
        <v>CN5109</v>
      </c>
      <c r="C3930" t="s">
        <v>34848</v>
      </c>
      <c r="D3930" t="s">
        <v>27335</v>
      </c>
      <c r="E3930" t="str">
        <f t="shared" si="61"/>
        <v>001390</v>
      </c>
      <c r="F3930" t="s">
        <v>27246</v>
      </c>
      <c r="G3930" t="s">
        <v>27247</v>
      </c>
      <c r="H3930" t="s">
        <v>27248</v>
      </c>
      <c r="I3930" t="s">
        <v>34849</v>
      </c>
      <c r="J3930" t="s">
        <v>7855</v>
      </c>
      <c r="L3930" t="s">
        <v>27250</v>
      </c>
      <c r="M3930" t="s">
        <v>27251</v>
      </c>
      <c r="N3930" t="s">
        <v>27252</v>
      </c>
      <c r="Q3930" s="1">
        <v>44846</v>
      </c>
      <c r="R3930" t="s">
        <v>27253</v>
      </c>
      <c r="S3930" t="s">
        <v>27254</v>
      </c>
      <c r="T3930" t="s">
        <v>27255</v>
      </c>
    </row>
    <row r="3931" spans="1:20" x14ac:dyDescent="0.3">
      <c r="A3931" t="str">
        <f>"0611861780050"</f>
        <v>0611861780050</v>
      </c>
      <c r="B3931" t="str">
        <f>"CR3613"</f>
        <v>CR3613</v>
      </c>
      <c r="C3931" t="s">
        <v>34850</v>
      </c>
      <c r="D3931" t="s">
        <v>27263</v>
      </c>
      <c r="E3931" t="str">
        <f t="shared" si="61"/>
        <v>001390</v>
      </c>
      <c r="F3931" t="s">
        <v>27246</v>
      </c>
      <c r="G3931" t="s">
        <v>27247</v>
      </c>
      <c r="H3931" t="s">
        <v>27248</v>
      </c>
      <c r="I3931" t="s">
        <v>34851</v>
      </c>
      <c r="J3931" t="s">
        <v>7857</v>
      </c>
      <c r="L3931" t="s">
        <v>27250</v>
      </c>
      <c r="M3931" t="s">
        <v>27251</v>
      </c>
      <c r="N3931" t="s">
        <v>27252</v>
      </c>
      <c r="Q3931" s="1">
        <v>44846</v>
      </c>
      <c r="R3931" t="s">
        <v>27253</v>
      </c>
      <c r="S3931" t="s">
        <v>27254</v>
      </c>
      <c r="T3931" t="s">
        <v>27265</v>
      </c>
    </row>
    <row r="3932" spans="1:20" x14ac:dyDescent="0.3">
      <c r="A3932" t="str">
        <f>"0611833996100"</f>
        <v>0611833996100</v>
      </c>
      <c r="B3932" t="str">
        <f>"LB2516"</f>
        <v>LB2516</v>
      </c>
      <c r="C3932" t="s">
        <v>34852</v>
      </c>
      <c r="D3932" t="s">
        <v>27245</v>
      </c>
      <c r="E3932" t="str">
        <f t="shared" si="61"/>
        <v>001390</v>
      </c>
      <c r="F3932" t="s">
        <v>27246</v>
      </c>
      <c r="G3932" t="s">
        <v>27247</v>
      </c>
      <c r="H3932" t="s">
        <v>27248</v>
      </c>
      <c r="I3932" t="s">
        <v>34853</v>
      </c>
      <c r="J3932" t="s">
        <v>7859</v>
      </c>
      <c r="L3932" t="s">
        <v>27250</v>
      </c>
      <c r="M3932" t="s">
        <v>27251</v>
      </c>
      <c r="N3932" t="s">
        <v>27252</v>
      </c>
      <c r="Q3932" s="1">
        <v>44538</v>
      </c>
      <c r="R3932" t="s">
        <v>27253</v>
      </c>
      <c r="S3932" t="s">
        <v>27254</v>
      </c>
      <c r="T3932" t="s">
        <v>27255</v>
      </c>
    </row>
    <row r="3933" spans="1:20" x14ac:dyDescent="0.3">
      <c r="A3933" t="str">
        <f>"0611833997100"</f>
        <v>0611833997100</v>
      </c>
      <c r="B3933" t="str">
        <f>"LB2517"</f>
        <v>LB2517</v>
      </c>
      <c r="C3933" t="s">
        <v>34854</v>
      </c>
      <c r="D3933" t="s">
        <v>27245</v>
      </c>
      <c r="E3933" t="str">
        <f t="shared" si="61"/>
        <v>001390</v>
      </c>
      <c r="F3933" t="s">
        <v>27246</v>
      </c>
      <c r="G3933" t="s">
        <v>27247</v>
      </c>
      <c r="H3933" t="s">
        <v>27248</v>
      </c>
      <c r="I3933" t="s">
        <v>34855</v>
      </c>
      <c r="J3933" t="s">
        <v>7861</v>
      </c>
      <c r="L3933" t="s">
        <v>27250</v>
      </c>
      <c r="M3933" t="s">
        <v>27251</v>
      </c>
      <c r="N3933" t="s">
        <v>27252</v>
      </c>
      <c r="Q3933" s="1">
        <v>44538</v>
      </c>
      <c r="R3933" t="s">
        <v>27253</v>
      </c>
      <c r="S3933" t="s">
        <v>27254</v>
      </c>
      <c r="T3933" t="s">
        <v>27255</v>
      </c>
    </row>
    <row r="3934" spans="1:20" x14ac:dyDescent="0.3">
      <c r="A3934" t="str">
        <f>"0611861781100"</f>
        <v>0611861781100</v>
      </c>
      <c r="B3934" t="str">
        <f>"CN5149"</f>
        <v>CN5149</v>
      </c>
      <c r="C3934" t="s">
        <v>34856</v>
      </c>
      <c r="D3934" t="s">
        <v>27335</v>
      </c>
      <c r="E3934" t="str">
        <f t="shared" si="61"/>
        <v>001390</v>
      </c>
      <c r="F3934" t="s">
        <v>27246</v>
      </c>
      <c r="G3934" t="s">
        <v>27247</v>
      </c>
      <c r="H3934" t="s">
        <v>27248</v>
      </c>
      <c r="I3934" t="s">
        <v>34857</v>
      </c>
      <c r="J3934" t="s">
        <v>7863</v>
      </c>
      <c r="L3934" t="s">
        <v>27250</v>
      </c>
      <c r="M3934" t="s">
        <v>27251</v>
      </c>
      <c r="N3934" t="s">
        <v>27252</v>
      </c>
      <c r="Q3934" s="1">
        <v>44846</v>
      </c>
      <c r="R3934" t="s">
        <v>27253</v>
      </c>
      <c r="S3934" t="s">
        <v>27254</v>
      </c>
      <c r="T3934" t="s">
        <v>27255</v>
      </c>
    </row>
    <row r="3935" spans="1:20" x14ac:dyDescent="0.3">
      <c r="A3935" t="str">
        <f>"0611861782100"</f>
        <v>0611861782100</v>
      </c>
      <c r="B3935" t="str">
        <f>"CN5150"</f>
        <v>CN5150</v>
      </c>
      <c r="C3935" t="s">
        <v>34858</v>
      </c>
      <c r="D3935" t="s">
        <v>27335</v>
      </c>
      <c r="E3935" t="str">
        <f t="shared" si="61"/>
        <v>001390</v>
      </c>
      <c r="F3935" t="s">
        <v>27246</v>
      </c>
      <c r="G3935" t="s">
        <v>27247</v>
      </c>
      <c r="H3935" t="s">
        <v>27248</v>
      </c>
      <c r="I3935" t="s">
        <v>34859</v>
      </c>
      <c r="J3935" t="s">
        <v>7865</v>
      </c>
      <c r="L3935" t="s">
        <v>27250</v>
      </c>
      <c r="M3935" t="s">
        <v>27251</v>
      </c>
      <c r="N3935" t="s">
        <v>27252</v>
      </c>
      <c r="Q3935" s="1">
        <v>44846</v>
      </c>
      <c r="R3935" t="s">
        <v>27253</v>
      </c>
      <c r="S3935" t="s">
        <v>27254</v>
      </c>
      <c r="T3935" t="s">
        <v>27255</v>
      </c>
    </row>
    <row r="3936" spans="1:20" x14ac:dyDescent="0.3">
      <c r="A3936" t="str">
        <f>"0611861783100"</f>
        <v>0611861783100</v>
      </c>
      <c r="B3936" t="str">
        <f>"CN5151"</f>
        <v>CN5151</v>
      </c>
      <c r="C3936" t="s">
        <v>34860</v>
      </c>
      <c r="D3936" t="s">
        <v>27335</v>
      </c>
      <c r="E3936" t="str">
        <f t="shared" si="61"/>
        <v>001390</v>
      </c>
      <c r="F3936" t="s">
        <v>27246</v>
      </c>
      <c r="G3936" t="s">
        <v>27247</v>
      </c>
      <c r="H3936" t="s">
        <v>27248</v>
      </c>
      <c r="I3936" t="s">
        <v>34861</v>
      </c>
      <c r="J3936" t="s">
        <v>7867</v>
      </c>
      <c r="L3936" t="s">
        <v>27250</v>
      </c>
      <c r="M3936" t="s">
        <v>27251</v>
      </c>
      <c r="N3936" t="s">
        <v>27252</v>
      </c>
      <c r="Q3936" s="1">
        <v>44846</v>
      </c>
      <c r="R3936" t="s">
        <v>27253</v>
      </c>
      <c r="S3936" t="s">
        <v>27254</v>
      </c>
      <c r="T3936" t="s">
        <v>27255</v>
      </c>
    </row>
    <row r="3937" spans="1:20" x14ac:dyDescent="0.3">
      <c r="A3937" t="str">
        <f>"0611861784100"</f>
        <v>0611861784100</v>
      </c>
      <c r="B3937" t="str">
        <f>"CN5152"</f>
        <v>CN5152</v>
      </c>
      <c r="C3937" t="s">
        <v>34862</v>
      </c>
      <c r="D3937" t="s">
        <v>27335</v>
      </c>
      <c r="E3937" t="str">
        <f t="shared" si="61"/>
        <v>001390</v>
      </c>
      <c r="F3937" t="s">
        <v>27246</v>
      </c>
      <c r="G3937" t="s">
        <v>27247</v>
      </c>
      <c r="H3937" t="s">
        <v>27248</v>
      </c>
      <c r="I3937" t="s">
        <v>34863</v>
      </c>
      <c r="J3937" t="s">
        <v>7869</v>
      </c>
      <c r="L3937" t="s">
        <v>27250</v>
      </c>
      <c r="M3937" t="s">
        <v>27251</v>
      </c>
      <c r="N3937" t="s">
        <v>27252</v>
      </c>
      <c r="Q3937" s="1">
        <v>44846</v>
      </c>
      <c r="R3937" t="s">
        <v>27253</v>
      </c>
      <c r="S3937" t="s">
        <v>27254</v>
      </c>
      <c r="T3937" t="s">
        <v>27255</v>
      </c>
    </row>
    <row r="3938" spans="1:20" x14ac:dyDescent="0.3">
      <c r="A3938" t="str">
        <f>"0611833998100"</f>
        <v>0611833998100</v>
      </c>
      <c r="B3938" t="str">
        <f>"LK1555"</f>
        <v>LK1555</v>
      </c>
      <c r="C3938" t="s">
        <v>34864</v>
      </c>
      <c r="D3938" t="s">
        <v>27245</v>
      </c>
      <c r="E3938" t="str">
        <f t="shared" si="61"/>
        <v>001390</v>
      </c>
      <c r="F3938" t="s">
        <v>27246</v>
      </c>
      <c r="G3938" t="s">
        <v>27247</v>
      </c>
      <c r="H3938" t="s">
        <v>27248</v>
      </c>
      <c r="I3938" t="s">
        <v>34865</v>
      </c>
      <c r="J3938" t="s">
        <v>7871</v>
      </c>
      <c r="L3938" t="s">
        <v>27250</v>
      </c>
      <c r="M3938" t="s">
        <v>27251</v>
      </c>
      <c r="N3938" t="s">
        <v>27252</v>
      </c>
      <c r="Q3938" s="1">
        <v>44538</v>
      </c>
      <c r="R3938" t="s">
        <v>27253</v>
      </c>
      <c r="S3938" t="s">
        <v>27254</v>
      </c>
      <c r="T3938" t="s">
        <v>27255</v>
      </c>
    </row>
    <row r="3939" spans="1:20" x14ac:dyDescent="0.3">
      <c r="A3939" t="str">
        <f>"0611861785100"</f>
        <v>0611861785100</v>
      </c>
      <c r="B3939" t="str">
        <f>"CN5143"</f>
        <v>CN5143</v>
      </c>
      <c r="C3939" t="s">
        <v>34866</v>
      </c>
      <c r="D3939" t="s">
        <v>27335</v>
      </c>
      <c r="E3939" t="str">
        <f t="shared" si="61"/>
        <v>001390</v>
      </c>
      <c r="F3939" t="s">
        <v>27246</v>
      </c>
      <c r="G3939" t="s">
        <v>27247</v>
      </c>
      <c r="H3939" t="s">
        <v>27248</v>
      </c>
      <c r="I3939" t="s">
        <v>34867</v>
      </c>
      <c r="J3939" t="s">
        <v>7873</v>
      </c>
      <c r="L3939" t="s">
        <v>27250</v>
      </c>
      <c r="M3939" t="s">
        <v>27251</v>
      </c>
      <c r="N3939" t="s">
        <v>27252</v>
      </c>
      <c r="Q3939" s="1">
        <v>44846</v>
      </c>
      <c r="R3939" t="s">
        <v>27253</v>
      </c>
      <c r="S3939" t="s">
        <v>27254</v>
      </c>
      <c r="T3939" t="s">
        <v>27255</v>
      </c>
    </row>
    <row r="3940" spans="1:20" x14ac:dyDescent="0.3">
      <c r="A3940" t="str">
        <f>"0611861786100"</f>
        <v>0611861786100</v>
      </c>
      <c r="B3940" t="str">
        <f>"CN5438"</f>
        <v>CN5438</v>
      </c>
      <c r="C3940" t="s">
        <v>34868</v>
      </c>
      <c r="D3940" t="s">
        <v>27335</v>
      </c>
      <c r="E3940" t="str">
        <f t="shared" si="61"/>
        <v>001390</v>
      </c>
      <c r="F3940" t="s">
        <v>27246</v>
      </c>
      <c r="G3940" t="s">
        <v>27247</v>
      </c>
      <c r="H3940" t="s">
        <v>27248</v>
      </c>
      <c r="I3940" t="s">
        <v>34869</v>
      </c>
      <c r="J3940" t="s">
        <v>7875</v>
      </c>
      <c r="L3940" t="s">
        <v>27250</v>
      </c>
      <c r="M3940" t="s">
        <v>27251</v>
      </c>
      <c r="N3940" t="s">
        <v>27252</v>
      </c>
      <c r="Q3940" s="1">
        <v>44846</v>
      </c>
      <c r="R3940" t="s">
        <v>27253</v>
      </c>
      <c r="S3940" t="s">
        <v>27254</v>
      </c>
      <c r="T3940" t="s">
        <v>27255</v>
      </c>
    </row>
    <row r="3941" spans="1:20" x14ac:dyDescent="0.3">
      <c r="A3941" t="str">
        <f>"0611861787100"</f>
        <v>0611861787100</v>
      </c>
      <c r="B3941" t="str">
        <f>"CN5153"</f>
        <v>CN5153</v>
      </c>
      <c r="C3941" t="s">
        <v>34870</v>
      </c>
      <c r="D3941" t="s">
        <v>27335</v>
      </c>
      <c r="E3941" t="str">
        <f t="shared" si="61"/>
        <v>001390</v>
      </c>
      <c r="F3941" t="s">
        <v>27246</v>
      </c>
      <c r="G3941" t="s">
        <v>27247</v>
      </c>
      <c r="H3941" t="s">
        <v>27248</v>
      </c>
      <c r="I3941" t="s">
        <v>34871</v>
      </c>
      <c r="J3941" t="s">
        <v>7877</v>
      </c>
      <c r="L3941" t="s">
        <v>27250</v>
      </c>
      <c r="M3941" t="s">
        <v>27251</v>
      </c>
      <c r="N3941" t="s">
        <v>27252</v>
      </c>
      <c r="Q3941" s="1">
        <v>44846</v>
      </c>
      <c r="R3941" t="s">
        <v>27253</v>
      </c>
      <c r="S3941" t="s">
        <v>27254</v>
      </c>
      <c r="T3941" t="s">
        <v>27255</v>
      </c>
    </row>
    <row r="3942" spans="1:20" x14ac:dyDescent="0.3">
      <c r="A3942" t="str">
        <f>"0611861788100"</f>
        <v>0611861788100</v>
      </c>
      <c r="B3942" t="str">
        <f>"CN5155"</f>
        <v>CN5155</v>
      </c>
      <c r="C3942" t="s">
        <v>34872</v>
      </c>
      <c r="D3942" t="s">
        <v>27335</v>
      </c>
      <c r="E3942" t="str">
        <f t="shared" si="61"/>
        <v>001390</v>
      </c>
      <c r="F3942" t="s">
        <v>27246</v>
      </c>
      <c r="G3942" t="s">
        <v>27247</v>
      </c>
      <c r="H3942" t="s">
        <v>27248</v>
      </c>
      <c r="I3942" t="s">
        <v>34873</v>
      </c>
      <c r="J3942" t="s">
        <v>7879</v>
      </c>
      <c r="L3942" t="s">
        <v>27250</v>
      </c>
      <c r="M3942" t="s">
        <v>27251</v>
      </c>
      <c r="N3942" t="s">
        <v>27252</v>
      </c>
      <c r="Q3942" s="1">
        <v>44846</v>
      </c>
      <c r="R3942" t="s">
        <v>27253</v>
      </c>
      <c r="S3942" t="s">
        <v>27254</v>
      </c>
      <c r="T3942" t="s">
        <v>27255</v>
      </c>
    </row>
    <row r="3943" spans="1:20" x14ac:dyDescent="0.3">
      <c r="A3943" t="str">
        <f>"0611861789100"</f>
        <v>0611861789100</v>
      </c>
      <c r="B3943" t="str">
        <f>"CN5154"</f>
        <v>CN5154</v>
      </c>
      <c r="C3943" t="s">
        <v>34874</v>
      </c>
      <c r="D3943" t="s">
        <v>27335</v>
      </c>
      <c r="E3943" t="str">
        <f t="shared" si="61"/>
        <v>001390</v>
      </c>
      <c r="F3943" t="s">
        <v>27246</v>
      </c>
      <c r="G3943" t="s">
        <v>27247</v>
      </c>
      <c r="H3943" t="s">
        <v>27248</v>
      </c>
      <c r="I3943" t="s">
        <v>34875</v>
      </c>
      <c r="J3943" t="s">
        <v>7881</v>
      </c>
      <c r="L3943" t="s">
        <v>27250</v>
      </c>
      <c r="M3943" t="s">
        <v>27251</v>
      </c>
      <c r="N3943" t="s">
        <v>27252</v>
      </c>
      <c r="Q3943" s="1">
        <v>44846</v>
      </c>
      <c r="R3943" t="s">
        <v>27253</v>
      </c>
      <c r="S3943" t="s">
        <v>27254</v>
      </c>
      <c r="T3943" t="s">
        <v>27255</v>
      </c>
    </row>
    <row r="3944" spans="1:20" x14ac:dyDescent="0.3">
      <c r="A3944" t="str">
        <f>"0611861790050"</f>
        <v>0611861790050</v>
      </c>
      <c r="B3944" t="str">
        <f>"CN5439"</f>
        <v>CN5439</v>
      </c>
      <c r="C3944" t="s">
        <v>34876</v>
      </c>
      <c r="D3944" t="s">
        <v>27335</v>
      </c>
      <c r="E3944" t="str">
        <f t="shared" si="61"/>
        <v>001390</v>
      </c>
      <c r="F3944" t="s">
        <v>27246</v>
      </c>
      <c r="G3944" t="s">
        <v>27247</v>
      </c>
      <c r="H3944" t="s">
        <v>27248</v>
      </c>
      <c r="I3944" t="s">
        <v>34877</v>
      </c>
      <c r="J3944" t="s">
        <v>7883</v>
      </c>
      <c r="L3944" t="s">
        <v>27250</v>
      </c>
      <c r="M3944" t="s">
        <v>27251</v>
      </c>
      <c r="N3944" t="s">
        <v>27252</v>
      </c>
      <c r="Q3944" s="1">
        <v>44846</v>
      </c>
      <c r="R3944" t="s">
        <v>27253</v>
      </c>
      <c r="S3944" t="s">
        <v>27254</v>
      </c>
      <c r="T3944" t="s">
        <v>27255</v>
      </c>
    </row>
    <row r="3945" spans="1:20" x14ac:dyDescent="0.3">
      <c r="A3945" t="str">
        <f>"0611833999100"</f>
        <v>0611833999100</v>
      </c>
      <c r="B3945" t="str">
        <f>"LH0027"</f>
        <v>LH0027</v>
      </c>
      <c r="C3945" t="s">
        <v>34878</v>
      </c>
      <c r="D3945" t="s">
        <v>27245</v>
      </c>
      <c r="E3945" t="str">
        <f t="shared" si="61"/>
        <v>001390</v>
      </c>
      <c r="F3945" t="s">
        <v>27246</v>
      </c>
      <c r="G3945" t="s">
        <v>27247</v>
      </c>
      <c r="H3945" t="s">
        <v>27248</v>
      </c>
      <c r="I3945" t="s">
        <v>34879</v>
      </c>
      <c r="J3945" t="s">
        <v>7885</v>
      </c>
      <c r="L3945" t="s">
        <v>27250</v>
      </c>
      <c r="M3945" t="s">
        <v>27251</v>
      </c>
      <c r="N3945" t="s">
        <v>27252</v>
      </c>
      <c r="Q3945" s="1">
        <v>44538</v>
      </c>
      <c r="R3945" t="s">
        <v>27253</v>
      </c>
      <c r="S3945" t="s">
        <v>27254</v>
      </c>
      <c r="T3945" t="s">
        <v>27255</v>
      </c>
    </row>
    <row r="3946" spans="1:20" x14ac:dyDescent="0.3">
      <c r="A3946" t="str">
        <f>"0611834000025"</f>
        <v>0611834000025</v>
      </c>
      <c r="B3946" t="str">
        <f>"MC4333"</f>
        <v>MC4333</v>
      </c>
      <c r="C3946" t="s">
        <v>34878</v>
      </c>
      <c r="D3946" t="s">
        <v>27267</v>
      </c>
      <c r="E3946" t="str">
        <f t="shared" si="61"/>
        <v>001390</v>
      </c>
      <c r="F3946" t="s">
        <v>27246</v>
      </c>
      <c r="G3946" t="s">
        <v>27247</v>
      </c>
      <c r="H3946" t="s">
        <v>27248</v>
      </c>
      <c r="I3946" t="s">
        <v>34880</v>
      </c>
      <c r="J3946" t="s">
        <v>7887</v>
      </c>
      <c r="L3946" t="s">
        <v>27250</v>
      </c>
      <c r="M3946" t="s">
        <v>27251</v>
      </c>
      <c r="N3946" t="s">
        <v>27252</v>
      </c>
      <c r="Q3946" s="1">
        <v>44538</v>
      </c>
      <c r="R3946" t="s">
        <v>27253</v>
      </c>
      <c r="S3946" t="s">
        <v>27254</v>
      </c>
      <c r="T3946" t="s">
        <v>27269</v>
      </c>
    </row>
    <row r="3947" spans="1:20" x14ac:dyDescent="0.3">
      <c r="A3947" t="str">
        <f>"0611834001100"</f>
        <v>0611834001100</v>
      </c>
      <c r="B3947" t="str">
        <f>"LH0028"</f>
        <v>LH0028</v>
      </c>
      <c r="C3947" t="s">
        <v>34881</v>
      </c>
      <c r="D3947" t="s">
        <v>27245</v>
      </c>
      <c r="E3947" t="str">
        <f t="shared" si="61"/>
        <v>001390</v>
      </c>
      <c r="F3947" t="s">
        <v>27246</v>
      </c>
      <c r="G3947" t="s">
        <v>27247</v>
      </c>
      <c r="H3947" t="s">
        <v>27248</v>
      </c>
      <c r="I3947" t="s">
        <v>34882</v>
      </c>
      <c r="J3947" t="s">
        <v>7889</v>
      </c>
      <c r="L3947" t="s">
        <v>27250</v>
      </c>
      <c r="M3947" t="s">
        <v>27251</v>
      </c>
      <c r="N3947" t="s">
        <v>27252</v>
      </c>
      <c r="Q3947" s="1">
        <v>44538</v>
      </c>
      <c r="R3947" t="s">
        <v>27253</v>
      </c>
      <c r="S3947" t="s">
        <v>27254</v>
      </c>
      <c r="T3947" t="s">
        <v>27255</v>
      </c>
    </row>
    <row r="3948" spans="1:20" x14ac:dyDescent="0.3">
      <c r="A3948" t="str">
        <f>"0611834002025"</f>
        <v>0611834002025</v>
      </c>
      <c r="B3948" t="str">
        <f>"MC4334"</f>
        <v>MC4334</v>
      </c>
      <c r="C3948" t="s">
        <v>34881</v>
      </c>
      <c r="D3948" t="s">
        <v>27267</v>
      </c>
      <c r="E3948" t="str">
        <f t="shared" si="61"/>
        <v>001390</v>
      </c>
      <c r="F3948" t="s">
        <v>27246</v>
      </c>
      <c r="G3948" t="s">
        <v>27247</v>
      </c>
      <c r="H3948" t="s">
        <v>27248</v>
      </c>
      <c r="I3948" t="s">
        <v>34883</v>
      </c>
      <c r="J3948" t="s">
        <v>7891</v>
      </c>
      <c r="L3948" t="s">
        <v>27250</v>
      </c>
      <c r="M3948" t="s">
        <v>27251</v>
      </c>
      <c r="N3948" t="s">
        <v>27252</v>
      </c>
      <c r="Q3948" s="1">
        <v>44538</v>
      </c>
      <c r="R3948" t="s">
        <v>27253</v>
      </c>
      <c r="S3948" t="s">
        <v>27254</v>
      </c>
      <c r="T3948" t="s">
        <v>27269</v>
      </c>
    </row>
    <row r="3949" spans="1:20" x14ac:dyDescent="0.3">
      <c r="A3949" t="str">
        <f>"0611834003100"</f>
        <v>0611834003100</v>
      </c>
      <c r="B3949" t="str">
        <f>"LH0003"</f>
        <v>LH0003</v>
      </c>
      <c r="C3949" t="s">
        <v>34884</v>
      </c>
      <c r="D3949" t="s">
        <v>27245</v>
      </c>
      <c r="E3949" t="str">
        <f t="shared" si="61"/>
        <v>001390</v>
      </c>
      <c r="F3949" t="s">
        <v>27246</v>
      </c>
      <c r="G3949" t="s">
        <v>27247</v>
      </c>
      <c r="H3949" t="s">
        <v>27248</v>
      </c>
      <c r="I3949" t="s">
        <v>34885</v>
      </c>
      <c r="J3949" t="s">
        <v>7893</v>
      </c>
      <c r="L3949" t="s">
        <v>27250</v>
      </c>
      <c r="M3949" t="s">
        <v>27251</v>
      </c>
      <c r="N3949" t="s">
        <v>27252</v>
      </c>
      <c r="Q3949" s="1">
        <v>44538</v>
      </c>
      <c r="R3949" t="s">
        <v>27253</v>
      </c>
      <c r="S3949" t="s">
        <v>27254</v>
      </c>
      <c r="T3949" t="s">
        <v>27255</v>
      </c>
    </row>
    <row r="3950" spans="1:20" x14ac:dyDescent="0.3">
      <c r="A3950" t="str">
        <f>"0611834004025"</f>
        <v>0611834004025</v>
      </c>
      <c r="B3950" t="str">
        <f>"MC4286"</f>
        <v>MC4286</v>
      </c>
      <c r="C3950" t="s">
        <v>34884</v>
      </c>
      <c r="D3950" t="s">
        <v>27267</v>
      </c>
      <c r="E3950" t="str">
        <f t="shared" si="61"/>
        <v>001390</v>
      </c>
      <c r="F3950" t="s">
        <v>27246</v>
      </c>
      <c r="G3950" t="s">
        <v>27247</v>
      </c>
      <c r="H3950" t="s">
        <v>27248</v>
      </c>
      <c r="I3950" t="s">
        <v>34886</v>
      </c>
      <c r="J3950" t="s">
        <v>7895</v>
      </c>
      <c r="L3950" t="s">
        <v>27250</v>
      </c>
      <c r="M3950" t="s">
        <v>27251</v>
      </c>
      <c r="N3950" t="s">
        <v>27252</v>
      </c>
      <c r="Q3950" s="1">
        <v>44538</v>
      </c>
      <c r="R3950" t="s">
        <v>27253</v>
      </c>
      <c r="S3950" t="s">
        <v>27254</v>
      </c>
      <c r="T3950" t="s">
        <v>27269</v>
      </c>
    </row>
    <row r="3951" spans="1:20" x14ac:dyDescent="0.3">
      <c r="A3951" t="str">
        <f>"0611834005100"</f>
        <v>0611834005100</v>
      </c>
      <c r="B3951" t="str">
        <f>"LH0029"</f>
        <v>LH0029</v>
      </c>
      <c r="C3951" t="s">
        <v>34887</v>
      </c>
      <c r="D3951" t="s">
        <v>27245</v>
      </c>
      <c r="E3951" t="str">
        <f t="shared" si="61"/>
        <v>001390</v>
      </c>
      <c r="F3951" t="s">
        <v>27246</v>
      </c>
      <c r="G3951" t="s">
        <v>27247</v>
      </c>
      <c r="H3951" t="s">
        <v>27248</v>
      </c>
      <c r="I3951" t="s">
        <v>34888</v>
      </c>
      <c r="J3951" t="s">
        <v>7897</v>
      </c>
      <c r="L3951" t="s">
        <v>27250</v>
      </c>
      <c r="M3951" t="s">
        <v>27251</v>
      </c>
      <c r="N3951" t="s">
        <v>27252</v>
      </c>
      <c r="Q3951" s="1">
        <v>44538</v>
      </c>
      <c r="R3951" t="s">
        <v>27253</v>
      </c>
      <c r="S3951" t="s">
        <v>27254</v>
      </c>
      <c r="T3951" t="s">
        <v>27255</v>
      </c>
    </row>
    <row r="3952" spans="1:20" x14ac:dyDescent="0.3">
      <c r="A3952" t="str">
        <f>"0611834006025"</f>
        <v>0611834006025</v>
      </c>
      <c r="B3952" t="str">
        <f>"MC4335"</f>
        <v>MC4335</v>
      </c>
      <c r="C3952" t="s">
        <v>34887</v>
      </c>
      <c r="D3952" t="s">
        <v>27267</v>
      </c>
      <c r="E3952" t="str">
        <f t="shared" si="61"/>
        <v>001390</v>
      </c>
      <c r="F3952" t="s">
        <v>27246</v>
      </c>
      <c r="G3952" t="s">
        <v>27247</v>
      </c>
      <c r="H3952" t="s">
        <v>27248</v>
      </c>
      <c r="I3952" t="s">
        <v>34889</v>
      </c>
      <c r="J3952" t="s">
        <v>7899</v>
      </c>
      <c r="L3952" t="s">
        <v>27250</v>
      </c>
      <c r="M3952" t="s">
        <v>27251</v>
      </c>
      <c r="N3952" t="s">
        <v>27252</v>
      </c>
      <c r="Q3952" s="1">
        <v>44538</v>
      </c>
      <c r="R3952" t="s">
        <v>27253</v>
      </c>
      <c r="S3952" t="s">
        <v>27254</v>
      </c>
      <c r="T3952" t="s">
        <v>27269</v>
      </c>
    </row>
    <row r="3953" spans="1:20" x14ac:dyDescent="0.3">
      <c r="A3953" t="str">
        <f>"0611834008025"</f>
        <v>0611834008025</v>
      </c>
      <c r="B3953" t="str">
        <f>"MC4402"</f>
        <v>MC4402</v>
      </c>
      <c r="C3953" t="s">
        <v>34890</v>
      </c>
      <c r="D3953" t="s">
        <v>27267</v>
      </c>
      <c r="E3953" t="str">
        <f t="shared" si="61"/>
        <v>001390</v>
      </c>
      <c r="F3953" t="s">
        <v>27246</v>
      </c>
      <c r="G3953" t="s">
        <v>27247</v>
      </c>
      <c r="H3953" t="s">
        <v>27248</v>
      </c>
      <c r="I3953" t="s">
        <v>34891</v>
      </c>
      <c r="J3953" t="s">
        <v>7903</v>
      </c>
      <c r="L3953" t="s">
        <v>27250</v>
      </c>
      <c r="M3953" t="s">
        <v>27251</v>
      </c>
      <c r="N3953" t="s">
        <v>27252</v>
      </c>
      <c r="Q3953" s="1">
        <v>44538</v>
      </c>
      <c r="R3953" t="s">
        <v>27253</v>
      </c>
      <c r="S3953" t="s">
        <v>27254</v>
      </c>
      <c r="T3953" t="s">
        <v>27269</v>
      </c>
    </row>
    <row r="3954" spans="1:20" x14ac:dyDescent="0.3">
      <c r="A3954" t="str">
        <f>"0611834007100"</f>
        <v>0611834007100</v>
      </c>
      <c r="B3954" t="str">
        <f>"LH0043"</f>
        <v>LH0043</v>
      </c>
      <c r="C3954" t="s">
        <v>34892</v>
      </c>
      <c r="D3954" t="s">
        <v>27245</v>
      </c>
      <c r="E3954" t="str">
        <f t="shared" si="61"/>
        <v>001390</v>
      </c>
      <c r="F3954" t="s">
        <v>27246</v>
      </c>
      <c r="G3954" t="s">
        <v>27247</v>
      </c>
      <c r="H3954" t="s">
        <v>27248</v>
      </c>
      <c r="I3954" t="s">
        <v>34893</v>
      </c>
      <c r="J3954" t="s">
        <v>7901</v>
      </c>
      <c r="L3954" t="s">
        <v>27250</v>
      </c>
      <c r="M3954" t="s">
        <v>27251</v>
      </c>
      <c r="N3954" t="s">
        <v>27252</v>
      </c>
      <c r="Q3954" s="1">
        <v>44538</v>
      </c>
      <c r="R3954" t="s">
        <v>27253</v>
      </c>
      <c r="S3954" t="s">
        <v>27254</v>
      </c>
      <c r="T3954" t="s">
        <v>27255</v>
      </c>
    </row>
    <row r="3955" spans="1:20" x14ac:dyDescent="0.3">
      <c r="A3955" t="str">
        <f>"0611834012100"</f>
        <v>0611834012100</v>
      </c>
      <c r="B3955" t="str">
        <f>"LK1558"</f>
        <v>LK1558</v>
      </c>
      <c r="C3955" t="s">
        <v>34894</v>
      </c>
      <c r="D3955" t="s">
        <v>27245</v>
      </c>
      <c r="E3955" t="str">
        <f t="shared" si="61"/>
        <v>001390</v>
      </c>
      <c r="F3955" t="s">
        <v>27246</v>
      </c>
      <c r="G3955" t="s">
        <v>27247</v>
      </c>
      <c r="H3955" t="s">
        <v>27248</v>
      </c>
      <c r="I3955" t="s">
        <v>34895</v>
      </c>
      <c r="J3955" t="s">
        <v>7905</v>
      </c>
      <c r="L3955" t="s">
        <v>27250</v>
      </c>
      <c r="M3955" t="s">
        <v>27251</v>
      </c>
      <c r="N3955" t="s">
        <v>27252</v>
      </c>
      <c r="Q3955" s="1">
        <v>44538</v>
      </c>
      <c r="R3955" t="s">
        <v>27253</v>
      </c>
      <c r="S3955" t="s">
        <v>27254</v>
      </c>
      <c r="T3955" t="s">
        <v>27255</v>
      </c>
    </row>
    <row r="3956" spans="1:20" x14ac:dyDescent="0.3">
      <c r="A3956" t="str">
        <f>"0611861791100"</f>
        <v>0611861791100</v>
      </c>
      <c r="B3956" t="str">
        <f>"CN5141"</f>
        <v>CN5141</v>
      </c>
      <c r="C3956" t="s">
        <v>34896</v>
      </c>
      <c r="D3956" t="s">
        <v>27335</v>
      </c>
      <c r="E3956" t="str">
        <f t="shared" si="61"/>
        <v>001390</v>
      </c>
      <c r="F3956" t="s">
        <v>27246</v>
      </c>
      <c r="G3956" t="s">
        <v>27247</v>
      </c>
      <c r="H3956" t="s">
        <v>27248</v>
      </c>
      <c r="I3956" t="s">
        <v>34897</v>
      </c>
      <c r="J3956" t="s">
        <v>7907</v>
      </c>
      <c r="L3956" t="s">
        <v>27250</v>
      </c>
      <c r="M3956" t="s">
        <v>27251</v>
      </c>
      <c r="N3956" t="s">
        <v>27252</v>
      </c>
      <c r="Q3956" s="1">
        <v>44846</v>
      </c>
      <c r="R3956" t="s">
        <v>27253</v>
      </c>
      <c r="S3956" t="s">
        <v>27254</v>
      </c>
      <c r="T3956" t="s">
        <v>27255</v>
      </c>
    </row>
    <row r="3957" spans="1:20" x14ac:dyDescent="0.3">
      <c r="A3957" t="str">
        <f>"0611861792100"</f>
        <v>0611861792100</v>
      </c>
      <c r="B3957" t="str">
        <f>"CN5129"</f>
        <v>CN5129</v>
      </c>
      <c r="C3957" t="s">
        <v>34898</v>
      </c>
      <c r="D3957" t="s">
        <v>27335</v>
      </c>
      <c r="E3957" t="str">
        <f t="shared" si="61"/>
        <v>001390</v>
      </c>
      <c r="F3957" t="s">
        <v>27246</v>
      </c>
      <c r="G3957" t="s">
        <v>27247</v>
      </c>
      <c r="H3957" t="s">
        <v>27248</v>
      </c>
      <c r="I3957" t="s">
        <v>34899</v>
      </c>
      <c r="J3957" t="s">
        <v>7909</v>
      </c>
      <c r="L3957" t="s">
        <v>27250</v>
      </c>
      <c r="M3957" t="s">
        <v>27251</v>
      </c>
      <c r="N3957" t="s">
        <v>27252</v>
      </c>
      <c r="Q3957" s="1">
        <v>44846</v>
      </c>
      <c r="R3957" t="s">
        <v>27253</v>
      </c>
      <c r="S3957" t="s">
        <v>27254</v>
      </c>
      <c r="T3957" t="s">
        <v>27255</v>
      </c>
    </row>
    <row r="3958" spans="1:20" x14ac:dyDescent="0.3">
      <c r="A3958" t="str">
        <f>"0611861793100"</f>
        <v>0611861793100</v>
      </c>
      <c r="B3958" t="str">
        <f>"CN5131"</f>
        <v>CN5131</v>
      </c>
      <c r="C3958" t="s">
        <v>34900</v>
      </c>
      <c r="D3958" t="s">
        <v>27335</v>
      </c>
      <c r="E3958" t="str">
        <f t="shared" si="61"/>
        <v>001390</v>
      </c>
      <c r="F3958" t="s">
        <v>27246</v>
      </c>
      <c r="G3958" t="s">
        <v>27247</v>
      </c>
      <c r="H3958" t="s">
        <v>27248</v>
      </c>
      <c r="I3958" t="s">
        <v>34901</v>
      </c>
      <c r="J3958" t="s">
        <v>7911</v>
      </c>
      <c r="L3958" t="s">
        <v>27250</v>
      </c>
      <c r="M3958" t="s">
        <v>27251</v>
      </c>
      <c r="N3958" t="s">
        <v>27252</v>
      </c>
      <c r="Q3958" s="1">
        <v>44846</v>
      </c>
      <c r="R3958" t="s">
        <v>27253</v>
      </c>
      <c r="S3958" t="s">
        <v>27254</v>
      </c>
      <c r="T3958" t="s">
        <v>27255</v>
      </c>
    </row>
    <row r="3959" spans="1:20" x14ac:dyDescent="0.3">
      <c r="A3959" t="str">
        <f>"0611861794100"</f>
        <v>0611861794100</v>
      </c>
      <c r="B3959" t="str">
        <f>"CN5135"</f>
        <v>CN5135</v>
      </c>
      <c r="C3959" t="s">
        <v>34902</v>
      </c>
      <c r="D3959" t="s">
        <v>27335</v>
      </c>
      <c r="E3959" t="str">
        <f t="shared" si="61"/>
        <v>001390</v>
      </c>
      <c r="F3959" t="s">
        <v>27246</v>
      </c>
      <c r="G3959" t="s">
        <v>27247</v>
      </c>
      <c r="H3959" t="s">
        <v>27248</v>
      </c>
      <c r="I3959" t="s">
        <v>34903</v>
      </c>
      <c r="J3959" t="s">
        <v>7913</v>
      </c>
      <c r="L3959" t="s">
        <v>27250</v>
      </c>
      <c r="M3959" t="s">
        <v>27251</v>
      </c>
      <c r="N3959" t="s">
        <v>27252</v>
      </c>
      <c r="Q3959" s="1">
        <v>44846</v>
      </c>
      <c r="R3959" t="s">
        <v>27253</v>
      </c>
      <c r="S3959" t="s">
        <v>27254</v>
      </c>
      <c r="T3959" t="s">
        <v>27255</v>
      </c>
    </row>
    <row r="3960" spans="1:20" x14ac:dyDescent="0.3">
      <c r="A3960" t="str">
        <f>"0611861795100"</f>
        <v>0611861795100</v>
      </c>
      <c r="B3960" t="str">
        <f>"CN5136"</f>
        <v>CN5136</v>
      </c>
      <c r="C3960" t="s">
        <v>34904</v>
      </c>
      <c r="D3960" t="s">
        <v>27335</v>
      </c>
      <c r="E3960" t="str">
        <f t="shared" si="61"/>
        <v>001390</v>
      </c>
      <c r="F3960" t="s">
        <v>27246</v>
      </c>
      <c r="G3960" t="s">
        <v>27247</v>
      </c>
      <c r="H3960" t="s">
        <v>27248</v>
      </c>
      <c r="I3960" t="s">
        <v>34905</v>
      </c>
      <c r="J3960" t="s">
        <v>7915</v>
      </c>
      <c r="L3960" t="s">
        <v>27250</v>
      </c>
      <c r="M3960" t="s">
        <v>27251</v>
      </c>
      <c r="N3960" t="s">
        <v>27252</v>
      </c>
      <c r="Q3960" s="1">
        <v>44846</v>
      </c>
      <c r="R3960" t="s">
        <v>27253</v>
      </c>
      <c r="S3960" t="s">
        <v>27254</v>
      </c>
      <c r="T3960" t="s">
        <v>27255</v>
      </c>
    </row>
    <row r="3961" spans="1:20" x14ac:dyDescent="0.3">
      <c r="A3961" t="str">
        <f>"0611861796100"</f>
        <v>0611861796100</v>
      </c>
      <c r="B3961" t="str">
        <f>"CN5132"</f>
        <v>CN5132</v>
      </c>
      <c r="C3961" t="s">
        <v>34906</v>
      </c>
      <c r="D3961" t="s">
        <v>27335</v>
      </c>
      <c r="E3961" t="str">
        <f t="shared" si="61"/>
        <v>001390</v>
      </c>
      <c r="F3961" t="s">
        <v>27246</v>
      </c>
      <c r="G3961" t="s">
        <v>27247</v>
      </c>
      <c r="H3961" t="s">
        <v>27248</v>
      </c>
      <c r="I3961" t="s">
        <v>34907</v>
      </c>
      <c r="J3961" t="s">
        <v>7917</v>
      </c>
      <c r="L3961" t="s">
        <v>27250</v>
      </c>
      <c r="M3961" t="s">
        <v>27251</v>
      </c>
      <c r="N3961" t="s">
        <v>27252</v>
      </c>
      <c r="Q3961" s="1">
        <v>44846</v>
      </c>
      <c r="R3961" t="s">
        <v>27253</v>
      </c>
      <c r="S3961" t="s">
        <v>27254</v>
      </c>
      <c r="T3961" t="s">
        <v>27255</v>
      </c>
    </row>
    <row r="3962" spans="1:20" x14ac:dyDescent="0.3">
      <c r="A3962" t="str">
        <f>"0611861797100"</f>
        <v>0611861797100</v>
      </c>
      <c r="B3962" t="str">
        <f>"CN5133"</f>
        <v>CN5133</v>
      </c>
      <c r="C3962" t="s">
        <v>34908</v>
      </c>
      <c r="D3962" t="s">
        <v>27335</v>
      </c>
      <c r="E3962" t="str">
        <f t="shared" si="61"/>
        <v>001390</v>
      </c>
      <c r="F3962" t="s">
        <v>27246</v>
      </c>
      <c r="G3962" t="s">
        <v>27247</v>
      </c>
      <c r="H3962" t="s">
        <v>27248</v>
      </c>
      <c r="I3962" t="s">
        <v>34909</v>
      </c>
      <c r="J3962" t="s">
        <v>7919</v>
      </c>
      <c r="L3962" t="s">
        <v>27250</v>
      </c>
      <c r="M3962" t="s">
        <v>27251</v>
      </c>
      <c r="N3962" t="s">
        <v>27252</v>
      </c>
      <c r="Q3962" s="1">
        <v>44846</v>
      </c>
      <c r="R3962" t="s">
        <v>27253</v>
      </c>
      <c r="S3962" t="s">
        <v>27254</v>
      </c>
      <c r="T3962" t="s">
        <v>27255</v>
      </c>
    </row>
    <row r="3963" spans="1:20" x14ac:dyDescent="0.3">
      <c r="A3963" t="str">
        <f>"0611861798100"</f>
        <v>0611861798100</v>
      </c>
      <c r="B3963" t="str">
        <f>"CN5130"</f>
        <v>CN5130</v>
      </c>
      <c r="C3963" t="s">
        <v>34910</v>
      </c>
      <c r="D3963" t="s">
        <v>27335</v>
      </c>
      <c r="E3963" t="str">
        <f t="shared" si="61"/>
        <v>001390</v>
      </c>
      <c r="F3963" t="s">
        <v>27246</v>
      </c>
      <c r="G3963" t="s">
        <v>27247</v>
      </c>
      <c r="H3963" t="s">
        <v>27248</v>
      </c>
      <c r="I3963" t="s">
        <v>34911</v>
      </c>
      <c r="J3963" t="s">
        <v>7921</v>
      </c>
      <c r="L3963" t="s">
        <v>27250</v>
      </c>
      <c r="M3963" t="s">
        <v>27251</v>
      </c>
      <c r="N3963" t="s">
        <v>27252</v>
      </c>
      <c r="Q3963" s="1">
        <v>44846</v>
      </c>
      <c r="R3963" t="s">
        <v>27253</v>
      </c>
      <c r="S3963" t="s">
        <v>27254</v>
      </c>
      <c r="T3963" t="s">
        <v>27255</v>
      </c>
    </row>
    <row r="3964" spans="1:20" x14ac:dyDescent="0.3">
      <c r="A3964" t="str">
        <f>"0611861799100"</f>
        <v>0611861799100</v>
      </c>
      <c r="B3964" t="str">
        <f>"CN5134"</f>
        <v>CN5134</v>
      </c>
      <c r="C3964" t="s">
        <v>34912</v>
      </c>
      <c r="D3964" t="s">
        <v>27335</v>
      </c>
      <c r="E3964" t="str">
        <f t="shared" si="61"/>
        <v>001390</v>
      </c>
      <c r="F3964" t="s">
        <v>27246</v>
      </c>
      <c r="G3964" t="s">
        <v>27247</v>
      </c>
      <c r="H3964" t="s">
        <v>27248</v>
      </c>
      <c r="I3964" t="s">
        <v>34913</v>
      </c>
      <c r="J3964" t="s">
        <v>7923</v>
      </c>
      <c r="L3964" t="s">
        <v>27250</v>
      </c>
      <c r="M3964" t="s">
        <v>27251</v>
      </c>
      <c r="N3964" t="s">
        <v>27252</v>
      </c>
      <c r="Q3964" s="1">
        <v>44846</v>
      </c>
      <c r="R3964" t="s">
        <v>27253</v>
      </c>
      <c r="S3964" t="s">
        <v>27254</v>
      </c>
      <c r="T3964" t="s">
        <v>27255</v>
      </c>
    </row>
    <row r="3965" spans="1:20" x14ac:dyDescent="0.3">
      <c r="A3965" t="str">
        <f>"0611861800100"</f>
        <v>0611861800100</v>
      </c>
      <c r="B3965" t="str">
        <f>"CN5137"</f>
        <v>CN5137</v>
      </c>
      <c r="C3965" t="s">
        <v>34914</v>
      </c>
      <c r="D3965" t="s">
        <v>27335</v>
      </c>
      <c r="E3965" t="str">
        <f t="shared" si="61"/>
        <v>001390</v>
      </c>
      <c r="F3965" t="s">
        <v>27246</v>
      </c>
      <c r="G3965" t="s">
        <v>27247</v>
      </c>
      <c r="H3965" t="s">
        <v>27248</v>
      </c>
      <c r="I3965" t="s">
        <v>34915</v>
      </c>
      <c r="J3965" t="s">
        <v>7925</v>
      </c>
      <c r="L3965" t="s">
        <v>27250</v>
      </c>
      <c r="M3965" t="s">
        <v>27251</v>
      </c>
      <c r="N3965" t="s">
        <v>27252</v>
      </c>
      <c r="Q3965" s="1">
        <v>44846</v>
      </c>
      <c r="R3965" t="s">
        <v>27253</v>
      </c>
      <c r="S3965" t="s">
        <v>27254</v>
      </c>
      <c r="T3965" t="s">
        <v>27255</v>
      </c>
    </row>
    <row r="3966" spans="1:20" x14ac:dyDescent="0.3">
      <c r="A3966" t="str">
        <f>"0611884182025"</f>
        <v>0611884182025</v>
      </c>
      <c r="B3966" t="str">
        <f>"MQ3221"</f>
        <v>MQ3221</v>
      </c>
      <c r="C3966" t="s">
        <v>34916</v>
      </c>
      <c r="D3966" t="s">
        <v>27267</v>
      </c>
      <c r="E3966" t="str">
        <f t="shared" si="61"/>
        <v>001390</v>
      </c>
      <c r="F3966" t="s">
        <v>27246</v>
      </c>
      <c r="G3966" t="s">
        <v>27247</v>
      </c>
      <c r="H3966" t="s">
        <v>27248</v>
      </c>
      <c r="I3966" t="s">
        <v>34917</v>
      </c>
      <c r="J3966" t="s">
        <v>7927</v>
      </c>
      <c r="L3966" t="s">
        <v>27430</v>
      </c>
      <c r="M3966" t="s">
        <v>27251</v>
      </c>
      <c r="N3966" t="s">
        <v>27252</v>
      </c>
      <c r="Q3966" s="1">
        <v>45250</v>
      </c>
      <c r="R3966" t="s">
        <v>27253</v>
      </c>
      <c r="S3966" t="s">
        <v>27254</v>
      </c>
      <c r="T3966" t="s">
        <v>27269</v>
      </c>
    </row>
    <row r="3967" spans="1:20" x14ac:dyDescent="0.3">
      <c r="A3967" t="str">
        <f>"0611856914025"</f>
        <v>0611856914025</v>
      </c>
      <c r="B3967" t="str">
        <f>"MQ7326"</f>
        <v>MQ7326</v>
      </c>
      <c r="C3967" t="s">
        <v>34918</v>
      </c>
      <c r="D3967" t="s">
        <v>27267</v>
      </c>
      <c r="E3967" t="str">
        <f t="shared" si="61"/>
        <v>001390</v>
      </c>
      <c r="F3967" t="s">
        <v>27246</v>
      </c>
      <c r="G3967" t="s">
        <v>27247</v>
      </c>
      <c r="H3967" t="s">
        <v>27248</v>
      </c>
      <c r="I3967" t="s">
        <v>34919</v>
      </c>
      <c r="J3967" t="s">
        <v>7931</v>
      </c>
      <c r="L3967" t="s">
        <v>27250</v>
      </c>
      <c r="M3967" t="s">
        <v>27251</v>
      </c>
      <c r="N3967" t="s">
        <v>27252</v>
      </c>
      <c r="Q3967" s="1">
        <v>44812</v>
      </c>
      <c r="R3967" t="s">
        <v>27253</v>
      </c>
      <c r="S3967" t="s">
        <v>27254</v>
      </c>
      <c r="T3967" t="s">
        <v>27269</v>
      </c>
    </row>
    <row r="3968" spans="1:20" x14ac:dyDescent="0.3">
      <c r="A3968" t="str">
        <f>"0611861801100"</f>
        <v>0611861801100</v>
      </c>
      <c r="B3968" t="str">
        <f>"CN5110"</f>
        <v>CN5110</v>
      </c>
      <c r="C3968" t="s">
        <v>34918</v>
      </c>
      <c r="D3968" t="s">
        <v>27335</v>
      </c>
      <c r="E3968" t="str">
        <f t="shared" si="61"/>
        <v>001390</v>
      </c>
      <c r="F3968" t="s">
        <v>27246</v>
      </c>
      <c r="G3968" t="s">
        <v>27247</v>
      </c>
      <c r="H3968" t="s">
        <v>27248</v>
      </c>
      <c r="I3968" t="s">
        <v>34920</v>
      </c>
      <c r="J3968" t="s">
        <v>7929</v>
      </c>
      <c r="L3968" t="s">
        <v>27250</v>
      </c>
      <c r="M3968" t="s">
        <v>27251</v>
      </c>
      <c r="N3968" t="s">
        <v>27252</v>
      </c>
      <c r="Q3968" s="1">
        <v>44846</v>
      </c>
      <c r="R3968" t="s">
        <v>27253</v>
      </c>
      <c r="S3968" t="s">
        <v>27254</v>
      </c>
      <c r="T3968" t="s">
        <v>27255</v>
      </c>
    </row>
    <row r="3969" spans="1:20" x14ac:dyDescent="0.3">
      <c r="A3969" t="str">
        <f>"0611856915025"</f>
        <v>0611856915025</v>
      </c>
      <c r="B3969" t="str">
        <f>"MQ7327"</f>
        <v>MQ7327</v>
      </c>
      <c r="C3969" t="s">
        <v>34921</v>
      </c>
      <c r="D3969" t="s">
        <v>27267</v>
      </c>
      <c r="E3969" t="str">
        <f t="shared" si="61"/>
        <v>001390</v>
      </c>
      <c r="F3969" t="s">
        <v>27246</v>
      </c>
      <c r="G3969" t="s">
        <v>27247</v>
      </c>
      <c r="H3969" t="s">
        <v>27248</v>
      </c>
      <c r="I3969" t="s">
        <v>34922</v>
      </c>
      <c r="J3969" t="s">
        <v>7935</v>
      </c>
      <c r="L3969" t="s">
        <v>27250</v>
      </c>
      <c r="M3969" t="s">
        <v>27251</v>
      </c>
      <c r="N3969" t="s">
        <v>27252</v>
      </c>
      <c r="Q3969" s="1">
        <v>44812</v>
      </c>
      <c r="R3969" t="s">
        <v>27253</v>
      </c>
      <c r="S3969" t="s">
        <v>27254</v>
      </c>
      <c r="T3969" t="s">
        <v>27269</v>
      </c>
    </row>
    <row r="3970" spans="1:20" x14ac:dyDescent="0.3">
      <c r="A3970" t="str">
        <f>"0611861802100"</f>
        <v>0611861802100</v>
      </c>
      <c r="B3970" t="str">
        <f>"CN5111"</f>
        <v>CN5111</v>
      </c>
      <c r="C3970" t="s">
        <v>34921</v>
      </c>
      <c r="D3970" t="s">
        <v>27335</v>
      </c>
      <c r="E3970" t="str">
        <f t="shared" ref="E3970:E4033" si="62">"001390"</f>
        <v>001390</v>
      </c>
      <c r="F3970" t="s">
        <v>27246</v>
      </c>
      <c r="G3970" t="s">
        <v>27247</v>
      </c>
      <c r="H3970" t="s">
        <v>27248</v>
      </c>
      <c r="I3970" t="s">
        <v>34923</v>
      </c>
      <c r="J3970" t="s">
        <v>7933</v>
      </c>
      <c r="L3970" t="s">
        <v>27250</v>
      </c>
      <c r="M3970" t="s">
        <v>27251</v>
      </c>
      <c r="N3970" t="s">
        <v>27252</v>
      </c>
      <c r="Q3970" s="1">
        <v>44846</v>
      </c>
      <c r="R3970" t="s">
        <v>27253</v>
      </c>
      <c r="S3970" t="s">
        <v>27254</v>
      </c>
      <c r="T3970" t="s">
        <v>27255</v>
      </c>
    </row>
    <row r="3971" spans="1:20" x14ac:dyDescent="0.3">
      <c r="A3971" t="str">
        <f>"0611856916025"</f>
        <v>0611856916025</v>
      </c>
      <c r="B3971" t="str">
        <f>"MQ7328"</f>
        <v>MQ7328</v>
      </c>
      <c r="C3971" t="s">
        <v>34924</v>
      </c>
      <c r="D3971" t="s">
        <v>27267</v>
      </c>
      <c r="E3971" t="str">
        <f t="shared" si="62"/>
        <v>001390</v>
      </c>
      <c r="F3971" t="s">
        <v>27246</v>
      </c>
      <c r="G3971" t="s">
        <v>27247</v>
      </c>
      <c r="H3971" t="s">
        <v>27248</v>
      </c>
      <c r="I3971" t="s">
        <v>34925</v>
      </c>
      <c r="J3971" t="s">
        <v>7939</v>
      </c>
      <c r="L3971" t="s">
        <v>27250</v>
      </c>
      <c r="M3971" t="s">
        <v>27251</v>
      </c>
      <c r="N3971" t="s">
        <v>27252</v>
      </c>
      <c r="Q3971" s="1">
        <v>44812</v>
      </c>
      <c r="R3971" t="s">
        <v>27253</v>
      </c>
      <c r="S3971" t="s">
        <v>27254</v>
      </c>
      <c r="T3971" t="s">
        <v>27269</v>
      </c>
    </row>
    <row r="3972" spans="1:20" x14ac:dyDescent="0.3">
      <c r="A3972" t="str">
        <f>"0611861803100"</f>
        <v>0611861803100</v>
      </c>
      <c r="B3972" t="str">
        <f>"CN5112"</f>
        <v>CN5112</v>
      </c>
      <c r="C3972" t="s">
        <v>34924</v>
      </c>
      <c r="D3972" t="s">
        <v>27335</v>
      </c>
      <c r="E3972" t="str">
        <f t="shared" si="62"/>
        <v>001390</v>
      </c>
      <c r="F3972" t="s">
        <v>27246</v>
      </c>
      <c r="G3972" t="s">
        <v>27247</v>
      </c>
      <c r="H3972" t="s">
        <v>27248</v>
      </c>
      <c r="I3972" t="s">
        <v>34926</v>
      </c>
      <c r="J3972" t="s">
        <v>7937</v>
      </c>
      <c r="L3972" t="s">
        <v>27250</v>
      </c>
      <c r="M3972" t="s">
        <v>27251</v>
      </c>
      <c r="N3972" t="s">
        <v>27252</v>
      </c>
      <c r="Q3972" s="1">
        <v>44846</v>
      </c>
      <c r="R3972" t="s">
        <v>27253</v>
      </c>
      <c r="S3972" t="s">
        <v>27254</v>
      </c>
      <c r="T3972" t="s">
        <v>27255</v>
      </c>
    </row>
    <row r="3973" spans="1:20" x14ac:dyDescent="0.3">
      <c r="A3973" t="str">
        <f>"0611861804050"</f>
        <v>0611861804050</v>
      </c>
      <c r="B3973" t="str">
        <f>"CR3795"</f>
        <v>CR3795</v>
      </c>
      <c r="C3973" t="s">
        <v>34927</v>
      </c>
      <c r="D3973" t="s">
        <v>27286</v>
      </c>
      <c r="E3973" t="str">
        <f t="shared" si="62"/>
        <v>001390</v>
      </c>
      <c r="F3973" t="s">
        <v>27246</v>
      </c>
      <c r="G3973" t="s">
        <v>27247</v>
      </c>
      <c r="H3973" t="s">
        <v>27248</v>
      </c>
      <c r="I3973" t="s">
        <v>34928</v>
      </c>
      <c r="J3973" t="s">
        <v>7941</v>
      </c>
      <c r="L3973" t="s">
        <v>27250</v>
      </c>
      <c r="M3973" t="s">
        <v>27251</v>
      </c>
      <c r="N3973" t="s">
        <v>27252</v>
      </c>
      <c r="Q3973" s="1">
        <v>44846</v>
      </c>
      <c r="R3973" t="s">
        <v>27253</v>
      </c>
      <c r="S3973" t="s">
        <v>27254</v>
      </c>
      <c r="T3973" t="s">
        <v>27265</v>
      </c>
    </row>
    <row r="3974" spans="1:20" x14ac:dyDescent="0.3">
      <c r="A3974" t="str">
        <f>"0611861805050"</f>
        <v>0611861805050</v>
      </c>
      <c r="B3974" t="str">
        <f>"CR3617"</f>
        <v>CR3617</v>
      </c>
      <c r="C3974" t="s">
        <v>34929</v>
      </c>
      <c r="D3974" t="s">
        <v>27263</v>
      </c>
      <c r="E3974" t="str">
        <f t="shared" si="62"/>
        <v>001390</v>
      </c>
      <c r="F3974" t="s">
        <v>27246</v>
      </c>
      <c r="G3974" t="s">
        <v>27247</v>
      </c>
      <c r="H3974" t="s">
        <v>27248</v>
      </c>
      <c r="I3974" t="s">
        <v>34930</v>
      </c>
      <c r="J3974" t="s">
        <v>7943</v>
      </c>
      <c r="L3974" t="s">
        <v>27250</v>
      </c>
      <c r="M3974" t="s">
        <v>27251</v>
      </c>
      <c r="N3974" t="s">
        <v>27252</v>
      </c>
      <c r="Q3974" s="1">
        <v>44846</v>
      </c>
      <c r="R3974" t="s">
        <v>27253</v>
      </c>
      <c r="S3974" t="s">
        <v>27254</v>
      </c>
      <c r="T3974" t="s">
        <v>27265</v>
      </c>
    </row>
    <row r="3975" spans="1:20" x14ac:dyDescent="0.3">
      <c r="A3975" t="str">
        <f>"0611856917025"</f>
        <v>0611856917025</v>
      </c>
      <c r="B3975" t="str">
        <f>"MQ7329"</f>
        <v>MQ7329</v>
      </c>
      <c r="C3975" t="s">
        <v>34931</v>
      </c>
      <c r="D3975" t="s">
        <v>27267</v>
      </c>
      <c r="E3975" t="str">
        <f t="shared" si="62"/>
        <v>001390</v>
      </c>
      <c r="F3975" t="s">
        <v>27246</v>
      </c>
      <c r="G3975" t="s">
        <v>27247</v>
      </c>
      <c r="H3975" t="s">
        <v>27248</v>
      </c>
      <c r="I3975" t="s">
        <v>34932</v>
      </c>
      <c r="J3975" t="s">
        <v>7947</v>
      </c>
      <c r="L3975" t="s">
        <v>27250</v>
      </c>
      <c r="M3975" t="s">
        <v>27251</v>
      </c>
      <c r="N3975" t="s">
        <v>27252</v>
      </c>
      <c r="Q3975" s="1">
        <v>44812</v>
      </c>
      <c r="R3975" t="s">
        <v>27253</v>
      </c>
      <c r="S3975" t="s">
        <v>27254</v>
      </c>
      <c r="T3975" t="s">
        <v>27269</v>
      </c>
    </row>
    <row r="3976" spans="1:20" x14ac:dyDescent="0.3">
      <c r="A3976" t="str">
        <f>"0611861806100"</f>
        <v>0611861806100</v>
      </c>
      <c r="B3976" t="str">
        <f>"CN5113"</f>
        <v>CN5113</v>
      </c>
      <c r="C3976" t="s">
        <v>34931</v>
      </c>
      <c r="D3976" t="s">
        <v>27335</v>
      </c>
      <c r="E3976" t="str">
        <f t="shared" si="62"/>
        <v>001390</v>
      </c>
      <c r="F3976" t="s">
        <v>27246</v>
      </c>
      <c r="G3976" t="s">
        <v>27247</v>
      </c>
      <c r="H3976" t="s">
        <v>27248</v>
      </c>
      <c r="I3976" t="s">
        <v>34933</v>
      </c>
      <c r="J3976" t="s">
        <v>7945</v>
      </c>
      <c r="L3976" t="s">
        <v>27250</v>
      </c>
      <c r="M3976" t="s">
        <v>27251</v>
      </c>
      <c r="N3976" t="s">
        <v>27252</v>
      </c>
      <c r="Q3976" s="1">
        <v>44846</v>
      </c>
      <c r="R3976" t="s">
        <v>27253</v>
      </c>
      <c r="S3976" t="s">
        <v>27254</v>
      </c>
      <c r="T3976" t="s">
        <v>27255</v>
      </c>
    </row>
    <row r="3977" spans="1:20" x14ac:dyDescent="0.3">
      <c r="A3977" t="str">
        <f>"0611856918025"</f>
        <v>0611856918025</v>
      </c>
      <c r="B3977" t="str">
        <f>"MQ7330"</f>
        <v>MQ7330</v>
      </c>
      <c r="C3977" t="s">
        <v>34934</v>
      </c>
      <c r="D3977" t="s">
        <v>27267</v>
      </c>
      <c r="E3977" t="str">
        <f t="shared" si="62"/>
        <v>001390</v>
      </c>
      <c r="F3977" t="s">
        <v>27246</v>
      </c>
      <c r="G3977" t="s">
        <v>27247</v>
      </c>
      <c r="H3977" t="s">
        <v>27248</v>
      </c>
      <c r="I3977" t="s">
        <v>34935</v>
      </c>
      <c r="J3977" t="s">
        <v>7951</v>
      </c>
      <c r="L3977" t="s">
        <v>27250</v>
      </c>
      <c r="M3977" t="s">
        <v>27251</v>
      </c>
      <c r="N3977" t="s">
        <v>27252</v>
      </c>
      <c r="Q3977" s="1">
        <v>44812</v>
      </c>
      <c r="R3977" t="s">
        <v>27253</v>
      </c>
      <c r="S3977" t="s">
        <v>27254</v>
      </c>
      <c r="T3977" t="s">
        <v>27269</v>
      </c>
    </row>
    <row r="3978" spans="1:20" x14ac:dyDescent="0.3">
      <c r="A3978" t="str">
        <f>"0611861807100"</f>
        <v>0611861807100</v>
      </c>
      <c r="B3978" t="str">
        <f>"CN5114"</f>
        <v>CN5114</v>
      </c>
      <c r="C3978" t="s">
        <v>34934</v>
      </c>
      <c r="D3978" t="s">
        <v>27335</v>
      </c>
      <c r="E3978" t="str">
        <f t="shared" si="62"/>
        <v>001390</v>
      </c>
      <c r="F3978" t="s">
        <v>27246</v>
      </c>
      <c r="G3978" t="s">
        <v>27247</v>
      </c>
      <c r="H3978" t="s">
        <v>27248</v>
      </c>
      <c r="I3978" t="s">
        <v>34936</v>
      </c>
      <c r="J3978" t="s">
        <v>7949</v>
      </c>
      <c r="L3978" t="s">
        <v>27250</v>
      </c>
      <c r="M3978" t="s">
        <v>27251</v>
      </c>
      <c r="N3978" t="s">
        <v>27252</v>
      </c>
      <c r="Q3978" s="1">
        <v>44846</v>
      </c>
      <c r="R3978" t="s">
        <v>27253</v>
      </c>
      <c r="S3978" t="s">
        <v>27254</v>
      </c>
      <c r="T3978" t="s">
        <v>27255</v>
      </c>
    </row>
    <row r="3979" spans="1:20" x14ac:dyDescent="0.3">
      <c r="A3979" t="str">
        <f>"0611856919025"</f>
        <v>0611856919025</v>
      </c>
      <c r="B3979" t="str">
        <f>"MQ7331"</f>
        <v>MQ7331</v>
      </c>
      <c r="C3979" t="s">
        <v>34937</v>
      </c>
      <c r="D3979" t="s">
        <v>27267</v>
      </c>
      <c r="E3979" t="str">
        <f t="shared" si="62"/>
        <v>001390</v>
      </c>
      <c r="F3979" t="s">
        <v>27246</v>
      </c>
      <c r="G3979" t="s">
        <v>27247</v>
      </c>
      <c r="H3979" t="s">
        <v>27248</v>
      </c>
      <c r="I3979" t="s">
        <v>34938</v>
      </c>
      <c r="J3979" t="s">
        <v>7955</v>
      </c>
      <c r="L3979" t="s">
        <v>27250</v>
      </c>
      <c r="M3979" t="s">
        <v>27251</v>
      </c>
      <c r="N3979" t="s">
        <v>27252</v>
      </c>
      <c r="Q3979" s="1">
        <v>44812</v>
      </c>
      <c r="R3979" t="s">
        <v>27253</v>
      </c>
      <c r="S3979" t="s">
        <v>27254</v>
      </c>
      <c r="T3979" t="s">
        <v>27269</v>
      </c>
    </row>
    <row r="3980" spans="1:20" x14ac:dyDescent="0.3">
      <c r="A3980" t="str">
        <f>"0611861808100"</f>
        <v>0611861808100</v>
      </c>
      <c r="B3980" t="str">
        <f>"CN5115"</f>
        <v>CN5115</v>
      </c>
      <c r="C3980" t="s">
        <v>34937</v>
      </c>
      <c r="D3980" t="s">
        <v>27335</v>
      </c>
      <c r="E3980" t="str">
        <f t="shared" si="62"/>
        <v>001390</v>
      </c>
      <c r="F3980" t="s">
        <v>27246</v>
      </c>
      <c r="G3980" t="s">
        <v>27247</v>
      </c>
      <c r="H3980" t="s">
        <v>27248</v>
      </c>
      <c r="I3980" t="s">
        <v>34939</v>
      </c>
      <c r="J3980" t="s">
        <v>7953</v>
      </c>
      <c r="L3980" t="s">
        <v>27250</v>
      </c>
      <c r="M3980" t="s">
        <v>27251</v>
      </c>
      <c r="N3980" t="s">
        <v>27252</v>
      </c>
      <c r="Q3980" s="1">
        <v>44846</v>
      </c>
      <c r="R3980" t="s">
        <v>27253</v>
      </c>
      <c r="S3980" t="s">
        <v>27254</v>
      </c>
      <c r="T3980" t="s">
        <v>27255</v>
      </c>
    </row>
    <row r="3981" spans="1:20" x14ac:dyDescent="0.3">
      <c r="A3981" t="str">
        <f>"0611856920025"</f>
        <v>0611856920025</v>
      </c>
      <c r="B3981" t="str">
        <f>"MQ7332"</f>
        <v>MQ7332</v>
      </c>
      <c r="C3981" t="s">
        <v>34940</v>
      </c>
      <c r="D3981" t="s">
        <v>27267</v>
      </c>
      <c r="E3981" t="str">
        <f t="shared" si="62"/>
        <v>001390</v>
      </c>
      <c r="F3981" t="s">
        <v>27246</v>
      </c>
      <c r="G3981" t="s">
        <v>27247</v>
      </c>
      <c r="H3981" t="s">
        <v>27248</v>
      </c>
      <c r="I3981" t="s">
        <v>34941</v>
      </c>
      <c r="J3981" t="s">
        <v>7959</v>
      </c>
      <c r="L3981" t="s">
        <v>27250</v>
      </c>
      <c r="M3981" t="s">
        <v>27251</v>
      </c>
      <c r="N3981" t="s">
        <v>27252</v>
      </c>
      <c r="Q3981" s="1">
        <v>44812</v>
      </c>
      <c r="R3981" t="s">
        <v>27253</v>
      </c>
      <c r="S3981" t="s">
        <v>27254</v>
      </c>
      <c r="T3981" t="s">
        <v>27269</v>
      </c>
    </row>
    <row r="3982" spans="1:20" x14ac:dyDescent="0.3">
      <c r="A3982" t="str">
        <f>"0611861809100"</f>
        <v>0611861809100</v>
      </c>
      <c r="B3982" t="str">
        <f>"CN5116"</f>
        <v>CN5116</v>
      </c>
      <c r="C3982" t="s">
        <v>34940</v>
      </c>
      <c r="D3982" t="s">
        <v>27335</v>
      </c>
      <c r="E3982" t="str">
        <f t="shared" si="62"/>
        <v>001390</v>
      </c>
      <c r="F3982" t="s">
        <v>27246</v>
      </c>
      <c r="G3982" t="s">
        <v>27247</v>
      </c>
      <c r="H3982" t="s">
        <v>27248</v>
      </c>
      <c r="I3982" t="s">
        <v>34942</v>
      </c>
      <c r="J3982" t="s">
        <v>7957</v>
      </c>
      <c r="L3982" t="s">
        <v>27250</v>
      </c>
      <c r="M3982" t="s">
        <v>27251</v>
      </c>
      <c r="N3982" t="s">
        <v>27252</v>
      </c>
      <c r="Q3982" s="1">
        <v>44846</v>
      </c>
      <c r="R3982" t="s">
        <v>27253</v>
      </c>
      <c r="S3982" t="s">
        <v>27254</v>
      </c>
      <c r="T3982" t="s">
        <v>27255</v>
      </c>
    </row>
    <row r="3983" spans="1:20" x14ac:dyDescent="0.3">
      <c r="A3983" t="str">
        <f>"0611861810050"</f>
        <v>0611861810050</v>
      </c>
      <c r="B3983" t="str">
        <f>"CR3619"</f>
        <v>CR3619</v>
      </c>
      <c r="C3983" t="s">
        <v>34943</v>
      </c>
      <c r="D3983" t="s">
        <v>27263</v>
      </c>
      <c r="E3983" t="str">
        <f t="shared" si="62"/>
        <v>001390</v>
      </c>
      <c r="F3983" t="s">
        <v>27246</v>
      </c>
      <c r="G3983" t="s">
        <v>27247</v>
      </c>
      <c r="H3983" t="s">
        <v>27248</v>
      </c>
      <c r="I3983" t="s">
        <v>34944</v>
      </c>
      <c r="J3983" t="s">
        <v>7961</v>
      </c>
      <c r="L3983" t="s">
        <v>27250</v>
      </c>
      <c r="M3983" t="s">
        <v>27251</v>
      </c>
      <c r="N3983" t="s">
        <v>27252</v>
      </c>
      <c r="Q3983" s="1">
        <v>44846</v>
      </c>
      <c r="R3983" t="s">
        <v>27253</v>
      </c>
      <c r="S3983" t="s">
        <v>27254</v>
      </c>
      <c r="T3983" t="s">
        <v>27265</v>
      </c>
    </row>
    <row r="3984" spans="1:20" x14ac:dyDescent="0.3">
      <c r="A3984" t="str">
        <f>"0611856921025"</f>
        <v>0611856921025</v>
      </c>
      <c r="B3984" t="str">
        <f>"MQ7333"</f>
        <v>MQ7333</v>
      </c>
      <c r="C3984" t="s">
        <v>34945</v>
      </c>
      <c r="D3984" t="s">
        <v>27267</v>
      </c>
      <c r="E3984" t="str">
        <f t="shared" si="62"/>
        <v>001390</v>
      </c>
      <c r="F3984" t="s">
        <v>27246</v>
      </c>
      <c r="G3984" t="s">
        <v>27247</v>
      </c>
      <c r="H3984" t="s">
        <v>27248</v>
      </c>
      <c r="I3984" t="s">
        <v>34946</v>
      </c>
      <c r="J3984" t="s">
        <v>7965</v>
      </c>
      <c r="L3984" t="s">
        <v>27250</v>
      </c>
      <c r="M3984" t="s">
        <v>27251</v>
      </c>
      <c r="N3984" t="s">
        <v>27252</v>
      </c>
      <c r="Q3984" s="1">
        <v>44812</v>
      </c>
      <c r="R3984" t="s">
        <v>27253</v>
      </c>
      <c r="S3984" t="s">
        <v>27254</v>
      </c>
      <c r="T3984" t="s">
        <v>27269</v>
      </c>
    </row>
    <row r="3985" spans="1:20" x14ac:dyDescent="0.3">
      <c r="A3985" t="str">
        <f>"0611861811100"</f>
        <v>0611861811100</v>
      </c>
      <c r="B3985" t="str">
        <f>"CN5117"</f>
        <v>CN5117</v>
      </c>
      <c r="C3985" t="s">
        <v>34945</v>
      </c>
      <c r="D3985" t="s">
        <v>27335</v>
      </c>
      <c r="E3985" t="str">
        <f t="shared" si="62"/>
        <v>001390</v>
      </c>
      <c r="F3985" t="s">
        <v>27246</v>
      </c>
      <c r="G3985" t="s">
        <v>27247</v>
      </c>
      <c r="H3985" t="s">
        <v>27248</v>
      </c>
      <c r="I3985" t="s">
        <v>34947</v>
      </c>
      <c r="J3985" t="s">
        <v>7963</v>
      </c>
      <c r="L3985" t="s">
        <v>27250</v>
      </c>
      <c r="M3985" t="s">
        <v>27251</v>
      </c>
      <c r="N3985" t="s">
        <v>27252</v>
      </c>
      <c r="Q3985" s="1">
        <v>44846</v>
      </c>
      <c r="R3985" t="s">
        <v>27253</v>
      </c>
      <c r="S3985" t="s">
        <v>27254</v>
      </c>
      <c r="T3985" t="s">
        <v>27255</v>
      </c>
    </row>
    <row r="3986" spans="1:20" x14ac:dyDescent="0.3">
      <c r="A3986" t="str">
        <f>"0611856922025"</f>
        <v>0611856922025</v>
      </c>
      <c r="B3986" t="str">
        <f>"MQ7334"</f>
        <v>MQ7334</v>
      </c>
      <c r="C3986" t="s">
        <v>34948</v>
      </c>
      <c r="D3986" t="s">
        <v>27267</v>
      </c>
      <c r="E3986" t="str">
        <f t="shared" si="62"/>
        <v>001390</v>
      </c>
      <c r="F3986" t="s">
        <v>27246</v>
      </c>
      <c r="G3986" t="s">
        <v>27247</v>
      </c>
      <c r="H3986" t="s">
        <v>27248</v>
      </c>
      <c r="I3986" t="s">
        <v>34949</v>
      </c>
      <c r="J3986" t="s">
        <v>7969</v>
      </c>
      <c r="L3986" t="s">
        <v>27250</v>
      </c>
      <c r="M3986" t="s">
        <v>27251</v>
      </c>
      <c r="N3986" t="s">
        <v>27252</v>
      </c>
      <c r="Q3986" s="1">
        <v>44812</v>
      </c>
      <c r="R3986" t="s">
        <v>27253</v>
      </c>
      <c r="S3986" t="s">
        <v>27254</v>
      </c>
      <c r="T3986" t="s">
        <v>27269</v>
      </c>
    </row>
    <row r="3987" spans="1:20" x14ac:dyDescent="0.3">
      <c r="A3987" t="str">
        <f>"0611861812100"</f>
        <v>0611861812100</v>
      </c>
      <c r="B3987" t="str">
        <f>"CN5118"</f>
        <v>CN5118</v>
      </c>
      <c r="C3987" t="s">
        <v>34948</v>
      </c>
      <c r="D3987" t="s">
        <v>27335</v>
      </c>
      <c r="E3987" t="str">
        <f t="shared" si="62"/>
        <v>001390</v>
      </c>
      <c r="F3987" t="s">
        <v>27246</v>
      </c>
      <c r="G3987" t="s">
        <v>27247</v>
      </c>
      <c r="H3987" t="s">
        <v>27248</v>
      </c>
      <c r="I3987" t="s">
        <v>34950</v>
      </c>
      <c r="J3987" t="s">
        <v>7967</v>
      </c>
      <c r="L3987" t="s">
        <v>27250</v>
      </c>
      <c r="M3987" t="s">
        <v>27251</v>
      </c>
      <c r="N3987" t="s">
        <v>27252</v>
      </c>
      <c r="Q3987" s="1">
        <v>44846</v>
      </c>
      <c r="R3987" t="s">
        <v>27253</v>
      </c>
      <c r="S3987" t="s">
        <v>27254</v>
      </c>
      <c r="T3987" t="s">
        <v>27255</v>
      </c>
    </row>
    <row r="3988" spans="1:20" x14ac:dyDescent="0.3">
      <c r="A3988" t="str">
        <f>"0611856923025"</f>
        <v>0611856923025</v>
      </c>
      <c r="B3988" t="str">
        <f>"MQ7335"</f>
        <v>MQ7335</v>
      </c>
      <c r="C3988" t="s">
        <v>34951</v>
      </c>
      <c r="D3988" t="s">
        <v>27267</v>
      </c>
      <c r="E3988" t="str">
        <f t="shared" si="62"/>
        <v>001390</v>
      </c>
      <c r="F3988" t="s">
        <v>27246</v>
      </c>
      <c r="G3988" t="s">
        <v>27247</v>
      </c>
      <c r="H3988" t="s">
        <v>27248</v>
      </c>
      <c r="I3988" t="s">
        <v>34952</v>
      </c>
      <c r="J3988" t="s">
        <v>7973</v>
      </c>
      <c r="L3988" t="s">
        <v>27250</v>
      </c>
      <c r="M3988" t="s">
        <v>27251</v>
      </c>
      <c r="N3988" t="s">
        <v>27252</v>
      </c>
      <c r="Q3988" s="1">
        <v>44812</v>
      </c>
      <c r="R3988" t="s">
        <v>27253</v>
      </c>
      <c r="S3988" t="s">
        <v>27254</v>
      </c>
      <c r="T3988" t="s">
        <v>27269</v>
      </c>
    </row>
    <row r="3989" spans="1:20" x14ac:dyDescent="0.3">
      <c r="A3989" t="str">
        <f>"0611861813100"</f>
        <v>0611861813100</v>
      </c>
      <c r="B3989" t="str">
        <f>"CN5119"</f>
        <v>CN5119</v>
      </c>
      <c r="C3989" t="s">
        <v>34951</v>
      </c>
      <c r="D3989" t="s">
        <v>27335</v>
      </c>
      <c r="E3989" t="str">
        <f t="shared" si="62"/>
        <v>001390</v>
      </c>
      <c r="F3989" t="s">
        <v>27246</v>
      </c>
      <c r="G3989" t="s">
        <v>27247</v>
      </c>
      <c r="H3989" t="s">
        <v>27248</v>
      </c>
      <c r="I3989" t="s">
        <v>34953</v>
      </c>
      <c r="J3989" t="s">
        <v>7971</v>
      </c>
      <c r="L3989" t="s">
        <v>27250</v>
      </c>
      <c r="M3989" t="s">
        <v>27251</v>
      </c>
      <c r="N3989" t="s">
        <v>27252</v>
      </c>
      <c r="Q3989" s="1">
        <v>44846</v>
      </c>
      <c r="R3989" t="s">
        <v>27253</v>
      </c>
      <c r="S3989" t="s">
        <v>27254</v>
      </c>
      <c r="T3989" t="s">
        <v>27255</v>
      </c>
    </row>
    <row r="3990" spans="1:20" x14ac:dyDescent="0.3">
      <c r="A3990" t="str">
        <f>"0611861814050"</f>
        <v>0611861814050</v>
      </c>
      <c r="B3990" t="str">
        <f>"CR3624"</f>
        <v>CR3624</v>
      </c>
      <c r="C3990" t="s">
        <v>34954</v>
      </c>
      <c r="D3990" t="s">
        <v>27286</v>
      </c>
      <c r="E3990" t="str">
        <f t="shared" si="62"/>
        <v>001390</v>
      </c>
      <c r="F3990" t="s">
        <v>27246</v>
      </c>
      <c r="G3990" t="s">
        <v>27247</v>
      </c>
      <c r="H3990" t="s">
        <v>27248</v>
      </c>
      <c r="I3990" t="s">
        <v>34955</v>
      </c>
      <c r="J3990" t="s">
        <v>7975</v>
      </c>
      <c r="L3990" t="s">
        <v>27250</v>
      </c>
      <c r="M3990" t="s">
        <v>27251</v>
      </c>
      <c r="N3990" t="s">
        <v>27252</v>
      </c>
      <c r="Q3990" s="1">
        <v>44846</v>
      </c>
      <c r="R3990" t="s">
        <v>27253</v>
      </c>
      <c r="S3990" t="s">
        <v>27254</v>
      </c>
      <c r="T3990" t="s">
        <v>27265</v>
      </c>
    </row>
    <row r="3991" spans="1:20" x14ac:dyDescent="0.3">
      <c r="A3991" t="str">
        <f>"0611856924025"</f>
        <v>0611856924025</v>
      </c>
      <c r="B3991" t="str">
        <f>"MQ7336"</f>
        <v>MQ7336</v>
      </c>
      <c r="C3991" t="s">
        <v>34956</v>
      </c>
      <c r="D3991" t="s">
        <v>27267</v>
      </c>
      <c r="E3991" t="str">
        <f t="shared" si="62"/>
        <v>001390</v>
      </c>
      <c r="F3991" t="s">
        <v>27246</v>
      </c>
      <c r="G3991" t="s">
        <v>27247</v>
      </c>
      <c r="H3991" t="s">
        <v>27248</v>
      </c>
      <c r="I3991" t="s">
        <v>34957</v>
      </c>
      <c r="J3991" t="s">
        <v>7979</v>
      </c>
      <c r="L3991" t="s">
        <v>27250</v>
      </c>
      <c r="M3991" t="s">
        <v>27251</v>
      </c>
      <c r="N3991" t="s">
        <v>27252</v>
      </c>
      <c r="Q3991" s="1">
        <v>44812</v>
      </c>
      <c r="R3991" t="s">
        <v>27253</v>
      </c>
      <c r="S3991" t="s">
        <v>27254</v>
      </c>
      <c r="T3991" t="s">
        <v>27269</v>
      </c>
    </row>
    <row r="3992" spans="1:20" x14ac:dyDescent="0.3">
      <c r="A3992" t="str">
        <f>"0611861815100"</f>
        <v>0611861815100</v>
      </c>
      <c r="B3992" t="str">
        <f>"CN5120"</f>
        <v>CN5120</v>
      </c>
      <c r="C3992" t="s">
        <v>34956</v>
      </c>
      <c r="D3992" t="s">
        <v>27335</v>
      </c>
      <c r="E3992" t="str">
        <f t="shared" si="62"/>
        <v>001390</v>
      </c>
      <c r="F3992" t="s">
        <v>27246</v>
      </c>
      <c r="G3992" t="s">
        <v>27247</v>
      </c>
      <c r="H3992" t="s">
        <v>27248</v>
      </c>
      <c r="I3992" t="s">
        <v>34958</v>
      </c>
      <c r="J3992" t="s">
        <v>7977</v>
      </c>
      <c r="L3992" t="s">
        <v>27250</v>
      </c>
      <c r="M3992" t="s">
        <v>27251</v>
      </c>
      <c r="N3992" t="s">
        <v>27252</v>
      </c>
      <c r="Q3992" s="1">
        <v>44846</v>
      </c>
      <c r="R3992" t="s">
        <v>27253</v>
      </c>
      <c r="S3992" t="s">
        <v>27254</v>
      </c>
      <c r="T3992" t="s">
        <v>27255</v>
      </c>
    </row>
    <row r="3993" spans="1:20" x14ac:dyDescent="0.3">
      <c r="A3993" t="str">
        <f>"0611861816050"</f>
        <v>0611861816050</v>
      </c>
      <c r="B3993" t="str">
        <f>"CR3625"</f>
        <v>CR3625</v>
      </c>
      <c r="C3993" t="s">
        <v>34959</v>
      </c>
      <c r="D3993" t="s">
        <v>27286</v>
      </c>
      <c r="E3993" t="str">
        <f t="shared" si="62"/>
        <v>001390</v>
      </c>
      <c r="F3993" t="s">
        <v>27246</v>
      </c>
      <c r="G3993" t="s">
        <v>27247</v>
      </c>
      <c r="H3993" t="s">
        <v>27248</v>
      </c>
      <c r="I3993" t="s">
        <v>34960</v>
      </c>
      <c r="J3993" t="s">
        <v>7981</v>
      </c>
      <c r="L3993" t="s">
        <v>27250</v>
      </c>
      <c r="M3993" t="s">
        <v>27251</v>
      </c>
      <c r="N3993" t="s">
        <v>27252</v>
      </c>
      <c r="Q3993" s="1">
        <v>44846</v>
      </c>
      <c r="R3993" t="s">
        <v>27253</v>
      </c>
      <c r="S3993" t="s">
        <v>27254</v>
      </c>
      <c r="T3993" t="s">
        <v>27265</v>
      </c>
    </row>
    <row r="3994" spans="1:20" x14ac:dyDescent="0.3">
      <c r="A3994" t="str">
        <f>"0611861817100"</f>
        <v>0611861817100</v>
      </c>
      <c r="B3994" t="str">
        <f>"CN2359"</f>
        <v>CN2359</v>
      </c>
      <c r="C3994" t="s">
        <v>34961</v>
      </c>
      <c r="D3994" t="s">
        <v>27335</v>
      </c>
      <c r="E3994" t="str">
        <f t="shared" si="62"/>
        <v>001390</v>
      </c>
      <c r="F3994" t="s">
        <v>27246</v>
      </c>
      <c r="G3994" t="s">
        <v>27247</v>
      </c>
      <c r="H3994" t="s">
        <v>27248</v>
      </c>
      <c r="I3994" t="s">
        <v>34962</v>
      </c>
      <c r="J3994" t="s">
        <v>7983</v>
      </c>
      <c r="L3994" t="s">
        <v>27250</v>
      </c>
      <c r="M3994" t="s">
        <v>27251</v>
      </c>
      <c r="N3994" t="s">
        <v>27252</v>
      </c>
      <c r="Q3994" s="1">
        <v>44846</v>
      </c>
      <c r="R3994" t="s">
        <v>27253</v>
      </c>
      <c r="S3994" t="s">
        <v>27254</v>
      </c>
      <c r="T3994" t="s">
        <v>27255</v>
      </c>
    </row>
    <row r="3995" spans="1:20" x14ac:dyDescent="0.3">
      <c r="A3995" t="str">
        <f>"0611884183025"</f>
        <v>0611884183025</v>
      </c>
      <c r="B3995" t="str">
        <f>"MQ4000"</f>
        <v>MQ4000</v>
      </c>
      <c r="C3995" t="s">
        <v>34961</v>
      </c>
      <c r="D3995" t="s">
        <v>27267</v>
      </c>
      <c r="E3995" t="str">
        <f t="shared" si="62"/>
        <v>001390</v>
      </c>
      <c r="F3995" t="s">
        <v>27246</v>
      </c>
      <c r="G3995" t="s">
        <v>27247</v>
      </c>
      <c r="H3995" t="s">
        <v>27248</v>
      </c>
      <c r="I3995" t="s">
        <v>34963</v>
      </c>
      <c r="J3995" t="s">
        <v>7985</v>
      </c>
      <c r="L3995" t="s">
        <v>27430</v>
      </c>
      <c r="M3995" t="s">
        <v>27251</v>
      </c>
      <c r="N3995" t="s">
        <v>27252</v>
      </c>
      <c r="Q3995" s="1">
        <v>45250</v>
      </c>
      <c r="R3995" t="s">
        <v>27253</v>
      </c>
      <c r="S3995" t="s">
        <v>27254</v>
      </c>
      <c r="T3995" t="s">
        <v>27269</v>
      </c>
    </row>
    <row r="3996" spans="1:20" x14ac:dyDescent="0.3">
      <c r="A3996" t="str">
        <f>"0611861818100"</f>
        <v>0611861818100</v>
      </c>
      <c r="B3996" t="str">
        <f>"CN2360"</f>
        <v>CN2360</v>
      </c>
      <c r="C3996" t="s">
        <v>34964</v>
      </c>
      <c r="D3996" t="s">
        <v>27335</v>
      </c>
      <c r="E3996" t="str">
        <f t="shared" si="62"/>
        <v>001390</v>
      </c>
      <c r="F3996" t="s">
        <v>27246</v>
      </c>
      <c r="G3996" t="s">
        <v>27247</v>
      </c>
      <c r="H3996" t="s">
        <v>27248</v>
      </c>
      <c r="I3996" t="s">
        <v>34965</v>
      </c>
      <c r="J3996" t="s">
        <v>7987</v>
      </c>
      <c r="L3996" t="s">
        <v>27250</v>
      </c>
      <c r="M3996" t="s">
        <v>27251</v>
      </c>
      <c r="N3996" t="s">
        <v>27252</v>
      </c>
      <c r="Q3996" s="1">
        <v>44846</v>
      </c>
      <c r="R3996" t="s">
        <v>27253</v>
      </c>
      <c r="S3996" t="s">
        <v>27254</v>
      </c>
      <c r="T3996" t="s">
        <v>27255</v>
      </c>
    </row>
    <row r="3997" spans="1:20" x14ac:dyDescent="0.3">
      <c r="A3997" t="str">
        <f>"0611884184025"</f>
        <v>0611884184025</v>
      </c>
      <c r="B3997" t="str">
        <f>"MQ4001"</f>
        <v>MQ4001</v>
      </c>
      <c r="C3997" t="s">
        <v>34964</v>
      </c>
      <c r="D3997" t="s">
        <v>27267</v>
      </c>
      <c r="E3997" t="str">
        <f t="shared" si="62"/>
        <v>001390</v>
      </c>
      <c r="F3997" t="s">
        <v>27246</v>
      </c>
      <c r="G3997" t="s">
        <v>27247</v>
      </c>
      <c r="H3997" t="s">
        <v>27248</v>
      </c>
      <c r="I3997" t="s">
        <v>34966</v>
      </c>
      <c r="J3997" t="s">
        <v>7989</v>
      </c>
      <c r="L3997" t="s">
        <v>27430</v>
      </c>
      <c r="M3997" t="s">
        <v>27251</v>
      </c>
      <c r="N3997" t="s">
        <v>27252</v>
      </c>
      <c r="Q3997" s="1">
        <v>45250</v>
      </c>
      <c r="R3997" t="s">
        <v>27253</v>
      </c>
      <c r="S3997" t="s">
        <v>27254</v>
      </c>
      <c r="T3997" t="s">
        <v>27269</v>
      </c>
    </row>
    <row r="3998" spans="1:20" x14ac:dyDescent="0.3">
      <c r="A3998" t="str">
        <f>"0611856925025"</f>
        <v>0611856925025</v>
      </c>
      <c r="B3998" t="str">
        <f>"MQ7337"</f>
        <v>MQ7337</v>
      </c>
      <c r="C3998" t="s">
        <v>34967</v>
      </c>
      <c r="D3998" t="s">
        <v>27267</v>
      </c>
      <c r="E3998" t="str">
        <f t="shared" si="62"/>
        <v>001390</v>
      </c>
      <c r="F3998" t="s">
        <v>27246</v>
      </c>
      <c r="G3998" t="s">
        <v>27247</v>
      </c>
      <c r="H3998" t="s">
        <v>27248</v>
      </c>
      <c r="I3998" t="s">
        <v>34968</v>
      </c>
      <c r="J3998" t="s">
        <v>7993</v>
      </c>
      <c r="L3998" t="s">
        <v>27250</v>
      </c>
      <c r="M3998" t="s">
        <v>27251</v>
      </c>
      <c r="N3998" t="s">
        <v>27252</v>
      </c>
      <c r="Q3998" s="1">
        <v>44812</v>
      </c>
      <c r="R3998" t="s">
        <v>27253</v>
      </c>
      <c r="S3998" t="s">
        <v>27254</v>
      </c>
      <c r="T3998" t="s">
        <v>27269</v>
      </c>
    </row>
    <row r="3999" spans="1:20" x14ac:dyDescent="0.3">
      <c r="A3999" t="str">
        <f>"0611861819100"</f>
        <v>0611861819100</v>
      </c>
      <c r="B3999" t="str">
        <f>"CN5121"</f>
        <v>CN5121</v>
      </c>
      <c r="C3999" t="s">
        <v>34967</v>
      </c>
      <c r="D3999" t="s">
        <v>27335</v>
      </c>
      <c r="E3999" t="str">
        <f t="shared" si="62"/>
        <v>001390</v>
      </c>
      <c r="F3999" t="s">
        <v>27246</v>
      </c>
      <c r="G3999" t="s">
        <v>27247</v>
      </c>
      <c r="H3999" t="s">
        <v>27248</v>
      </c>
      <c r="I3999" t="s">
        <v>34969</v>
      </c>
      <c r="J3999" t="s">
        <v>7991</v>
      </c>
      <c r="L3999" t="s">
        <v>27250</v>
      </c>
      <c r="M3999" t="s">
        <v>27251</v>
      </c>
      <c r="N3999" t="s">
        <v>27252</v>
      </c>
      <c r="Q3999" s="1">
        <v>44846</v>
      </c>
      <c r="R3999" t="s">
        <v>27253</v>
      </c>
      <c r="S3999" t="s">
        <v>27254</v>
      </c>
      <c r="T3999" t="s">
        <v>27255</v>
      </c>
    </row>
    <row r="4000" spans="1:20" x14ac:dyDescent="0.3">
      <c r="A4000" t="str">
        <f>"0611861820050"</f>
        <v>0611861820050</v>
      </c>
      <c r="B4000" t="str">
        <f>"CR3628"</f>
        <v>CR3628</v>
      </c>
      <c r="C4000" t="s">
        <v>34967</v>
      </c>
      <c r="D4000" t="s">
        <v>27263</v>
      </c>
      <c r="E4000" t="str">
        <f t="shared" si="62"/>
        <v>001390</v>
      </c>
      <c r="F4000" t="s">
        <v>27246</v>
      </c>
      <c r="G4000" t="s">
        <v>27247</v>
      </c>
      <c r="H4000" t="s">
        <v>27248</v>
      </c>
      <c r="I4000" t="s">
        <v>34970</v>
      </c>
      <c r="J4000" t="s">
        <v>7995</v>
      </c>
      <c r="L4000" t="s">
        <v>27250</v>
      </c>
      <c r="M4000" t="s">
        <v>27251</v>
      </c>
      <c r="N4000" t="s">
        <v>27252</v>
      </c>
      <c r="Q4000" s="1">
        <v>44846</v>
      </c>
      <c r="R4000" t="s">
        <v>27253</v>
      </c>
      <c r="S4000" t="s">
        <v>27254</v>
      </c>
      <c r="T4000" t="s">
        <v>27265</v>
      </c>
    </row>
    <row r="4001" spans="1:20" x14ac:dyDescent="0.3">
      <c r="A4001" t="str">
        <f>"0611861821050"</f>
        <v>0611861821050</v>
      </c>
      <c r="B4001" t="str">
        <f>"CR3796"</f>
        <v>CR3796</v>
      </c>
      <c r="C4001" t="s">
        <v>34971</v>
      </c>
      <c r="D4001" t="s">
        <v>27263</v>
      </c>
      <c r="E4001" t="str">
        <f t="shared" si="62"/>
        <v>001390</v>
      </c>
      <c r="F4001" t="s">
        <v>27246</v>
      </c>
      <c r="G4001" t="s">
        <v>27247</v>
      </c>
      <c r="H4001" t="s">
        <v>27248</v>
      </c>
      <c r="I4001" t="s">
        <v>34972</v>
      </c>
      <c r="J4001" t="s">
        <v>7997</v>
      </c>
      <c r="L4001" t="s">
        <v>27250</v>
      </c>
      <c r="M4001" t="s">
        <v>27251</v>
      </c>
      <c r="N4001" t="s">
        <v>27252</v>
      </c>
      <c r="Q4001" s="1">
        <v>44846</v>
      </c>
      <c r="R4001" t="s">
        <v>27253</v>
      </c>
      <c r="S4001" t="s">
        <v>27254</v>
      </c>
      <c r="T4001" t="s">
        <v>27265</v>
      </c>
    </row>
    <row r="4002" spans="1:20" x14ac:dyDescent="0.3">
      <c r="A4002" t="str">
        <f>"0611856926025"</f>
        <v>0611856926025</v>
      </c>
      <c r="B4002" t="str">
        <f>"MQ7338"</f>
        <v>MQ7338</v>
      </c>
      <c r="C4002" t="s">
        <v>34973</v>
      </c>
      <c r="D4002" t="s">
        <v>27267</v>
      </c>
      <c r="E4002" t="str">
        <f t="shared" si="62"/>
        <v>001390</v>
      </c>
      <c r="F4002" t="s">
        <v>27246</v>
      </c>
      <c r="G4002" t="s">
        <v>27247</v>
      </c>
      <c r="H4002" t="s">
        <v>27248</v>
      </c>
      <c r="I4002" t="s">
        <v>34974</v>
      </c>
      <c r="J4002" t="s">
        <v>8001</v>
      </c>
      <c r="L4002" t="s">
        <v>27250</v>
      </c>
      <c r="M4002" t="s">
        <v>27251</v>
      </c>
      <c r="N4002" t="s">
        <v>27252</v>
      </c>
      <c r="Q4002" s="1">
        <v>44812</v>
      </c>
      <c r="R4002" t="s">
        <v>27253</v>
      </c>
      <c r="S4002" t="s">
        <v>27254</v>
      </c>
      <c r="T4002" t="s">
        <v>27269</v>
      </c>
    </row>
    <row r="4003" spans="1:20" x14ac:dyDescent="0.3">
      <c r="A4003" t="str">
        <f>"0611861822100"</f>
        <v>0611861822100</v>
      </c>
      <c r="B4003" t="str">
        <f>"CN5122"</f>
        <v>CN5122</v>
      </c>
      <c r="C4003" t="s">
        <v>34973</v>
      </c>
      <c r="D4003" t="s">
        <v>27335</v>
      </c>
      <c r="E4003" t="str">
        <f t="shared" si="62"/>
        <v>001390</v>
      </c>
      <c r="F4003" t="s">
        <v>27246</v>
      </c>
      <c r="G4003" t="s">
        <v>27247</v>
      </c>
      <c r="H4003" t="s">
        <v>27248</v>
      </c>
      <c r="I4003" t="s">
        <v>34975</v>
      </c>
      <c r="J4003" t="s">
        <v>7999</v>
      </c>
      <c r="L4003" t="s">
        <v>27250</v>
      </c>
      <c r="M4003" t="s">
        <v>27251</v>
      </c>
      <c r="N4003" t="s">
        <v>27252</v>
      </c>
      <c r="Q4003" s="1">
        <v>44846</v>
      </c>
      <c r="R4003" t="s">
        <v>27253</v>
      </c>
      <c r="S4003" t="s">
        <v>27254</v>
      </c>
      <c r="T4003" t="s">
        <v>27255</v>
      </c>
    </row>
    <row r="4004" spans="1:20" x14ac:dyDescent="0.3">
      <c r="A4004" t="str">
        <f>"0611861823050"</f>
        <v>0611861823050</v>
      </c>
      <c r="B4004" t="str">
        <f>"CR3629"</f>
        <v>CR3629</v>
      </c>
      <c r="C4004" t="s">
        <v>34976</v>
      </c>
      <c r="D4004" t="s">
        <v>27263</v>
      </c>
      <c r="E4004" t="str">
        <f t="shared" si="62"/>
        <v>001390</v>
      </c>
      <c r="F4004" t="s">
        <v>27246</v>
      </c>
      <c r="G4004" t="s">
        <v>27247</v>
      </c>
      <c r="H4004" t="s">
        <v>27248</v>
      </c>
      <c r="I4004" t="s">
        <v>34977</v>
      </c>
      <c r="J4004" t="s">
        <v>8003</v>
      </c>
      <c r="L4004" t="s">
        <v>27250</v>
      </c>
      <c r="M4004" t="s">
        <v>27251</v>
      </c>
      <c r="N4004" t="s">
        <v>27252</v>
      </c>
      <c r="Q4004" s="1">
        <v>44846</v>
      </c>
      <c r="R4004" t="s">
        <v>27253</v>
      </c>
      <c r="S4004" t="s">
        <v>27254</v>
      </c>
      <c r="T4004" t="s">
        <v>27265</v>
      </c>
    </row>
    <row r="4005" spans="1:20" x14ac:dyDescent="0.3">
      <c r="A4005" t="str">
        <f>"0611861824050"</f>
        <v>0611861824050</v>
      </c>
      <c r="B4005" t="str">
        <f>"CR3630"</f>
        <v>CR3630</v>
      </c>
      <c r="C4005" t="s">
        <v>34978</v>
      </c>
      <c r="D4005" t="s">
        <v>27263</v>
      </c>
      <c r="E4005" t="str">
        <f t="shared" si="62"/>
        <v>001390</v>
      </c>
      <c r="F4005" t="s">
        <v>27246</v>
      </c>
      <c r="G4005" t="s">
        <v>27247</v>
      </c>
      <c r="H4005" t="s">
        <v>27248</v>
      </c>
      <c r="I4005" t="s">
        <v>34979</v>
      </c>
      <c r="J4005" t="s">
        <v>8005</v>
      </c>
      <c r="L4005" t="s">
        <v>27250</v>
      </c>
      <c r="M4005" t="s">
        <v>27251</v>
      </c>
      <c r="N4005" t="s">
        <v>27252</v>
      </c>
      <c r="Q4005" s="1">
        <v>44846</v>
      </c>
      <c r="R4005" t="s">
        <v>27253</v>
      </c>
      <c r="S4005" t="s">
        <v>27254</v>
      </c>
      <c r="T4005" t="s">
        <v>27265</v>
      </c>
    </row>
    <row r="4006" spans="1:20" x14ac:dyDescent="0.3">
      <c r="A4006" t="str">
        <f>"0611861825050"</f>
        <v>0611861825050</v>
      </c>
      <c r="B4006" t="str">
        <f>"CR3631"</f>
        <v>CR3631</v>
      </c>
      <c r="C4006" t="s">
        <v>34980</v>
      </c>
      <c r="D4006" t="s">
        <v>27263</v>
      </c>
      <c r="E4006" t="str">
        <f t="shared" si="62"/>
        <v>001390</v>
      </c>
      <c r="F4006" t="s">
        <v>27246</v>
      </c>
      <c r="G4006" t="s">
        <v>27247</v>
      </c>
      <c r="H4006" t="s">
        <v>27248</v>
      </c>
      <c r="I4006" t="s">
        <v>34981</v>
      </c>
      <c r="J4006" t="s">
        <v>8007</v>
      </c>
      <c r="L4006" t="s">
        <v>27250</v>
      </c>
      <c r="M4006" t="s">
        <v>27251</v>
      </c>
      <c r="N4006" t="s">
        <v>27252</v>
      </c>
      <c r="Q4006" s="1">
        <v>44846</v>
      </c>
      <c r="R4006" t="s">
        <v>27253</v>
      </c>
      <c r="S4006" t="s">
        <v>27254</v>
      </c>
      <c r="T4006" t="s">
        <v>27265</v>
      </c>
    </row>
    <row r="4007" spans="1:20" x14ac:dyDescent="0.3">
      <c r="A4007" t="str">
        <f>"0611856927025"</f>
        <v>0611856927025</v>
      </c>
      <c r="B4007" t="str">
        <f>"MQ7339"</f>
        <v>MQ7339</v>
      </c>
      <c r="C4007" t="s">
        <v>34982</v>
      </c>
      <c r="D4007" t="s">
        <v>27267</v>
      </c>
      <c r="E4007" t="str">
        <f t="shared" si="62"/>
        <v>001390</v>
      </c>
      <c r="F4007" t="s">
        <v>27246</v>
      </c>
      <c r="G4007" t="s">
        <v>27247</v>
      </c>
      <c r="H4007" t="s">
        <v>27248</v>
      </c>
      <c r="I4007" t="s">
        <v>34983</v>
      </c>
      <c r="J4007" t="s">
        <v>8011</v>
      </c>
      <c r="L4007" t="s">
        <v>27250</v>
      </c>
      <c r="M4007" t="s">
        <v>27251</v>
      </c>
      <c r="N4007" t="s">
        <v>27252</v>
      </c>
      <c r="Q4007" s="1">
        <v>44812</v>
      </c>
      <c r="R4007" t="s">
        <v>27253</v>
      </c>
      <c r="S4007" t="s">
        <v>27254</v>
      </c>
      <c r="T4007" t="s">
        <v>27269</v>
      </c>
    </row>
    <row r="4008" spans="1:20" x14ac:dyDescent="0.3">
      <c r="A4008" t="str">
        <f>"0611861826100"</f>
        <v>0611861826100</v>
      </c>
      <c r="B4008" t="str">
        <f>"CN5123"</f>
        <v>CN5123</v>
      </c>
      <c r="C4008" t="s">
        <v>34982</v>
      </c>
      <c r="D4008" t="s">
        <v>27335</v>
      </c>
      <c r="E4008" t="str">
        <f t="shared" si="62"/>
        <v>001390</v>
      </c>
      <c r="F4008" t="s">
        <v>27246</v>
      </c>
      <c r="G4008" t="s">
        <v>27247</v>
      </c>
      <c r="H4008" t="s">
        <v>27248</v>
      </c>
      <c r="I4008" t="s">
        <v>34984</v>
      </c>
      <c r="J4008" t="s">
        <v>8009</v>
      </c>
      <c r="L4008" t="s">
        <v>27250</v>
      </c>
      <c r="M4008" t="s">
        <v>27251</v>
      </c>
      <c r="N4008" t="s">
        <v>27252</v>
      </c>
      <c r="Q4008" s="1">
        <v>44846</v>
      </c>
      <c r="R4008" t="s">
        <v>27253</v>
      </c>
      <c r="S4008" t="s">
        <v>27254</v>
      </c>
      <c r="T4008" t="s">
        <v>27255</v>
      </c>
    </row>
    <row r="4009" spans="1:20" x14ac:dyDescent="0.3">
      <c r="A4009" t="str">
        <f>"0611861827050"</f>
        <v>0611861827050</v>
      </c>
      <c r="B4009" t="str">
        <f>"CR3633"</f>
        <v>CR3633</v>
      </c>
      <c r="C4009" t="s">
        <v>34985</v>
      </c>
      <c r="D4009" t="s">
        <v>27263</v>
      </c>
      <c r="E4009" t="str">
        <f t="shared" si="62"/>
        <v>001390</v>
      </c>
      <c r="F4009" t="s">
        <v>27246</v>
      </c>
      <c r="G4009" t="s">
        <v>27247</v>
      </c>
      <c r="H4009" t="s">
        <v>27248</v>
      </c>
      <c r="I4009" t="s">
        <v>34986</v>
      </c>
      <c r="J4009" t="s">
        <v>8013</v>
      </c>
      <c r="L4009" t="s">
        <v>27250</v>
      </c>
      <c r="M4009" t="s">
        <v>27251</v>
      </c>
      <c r="N4009" t="s">
        <v>27252</v>
      </c>
      <c r="Q4009" s="1">
        <v>44846</v>
      </c>
      <c r="R4009" t="s">
        <v>27253</v>
      </c>
      <c r="S4009" t="s">
        <v>27254</v>
      </c>
      <c r="T4009" t="s">
        <v>27265</v>
      </c>
    </row>
    <row r="4010" spans="1:20" x14ac:dyDescent="0.3">
      <c r="A4010" t="str">
        <f>"0611856928025"</f>
        <v>0611856928025</v>
      </c>
      <c r="B4010" t="str">
        <f>"MQ7340"</f>
        <v>MQ7340</v>
      </c>
      <c r="C4010" t="s">
        <v>34987</v>
      </c>
      <c r="D4010" t="s">
        <v>27267</v>
      </c>
      <c r="E4010" t="str">
        <f t="shared" si="62"/>
        <v>001390</v>
      </c>
      <c r="F4010" t="s">
        <v>27246</v>
      </c>
      <c r="G4010" t="s">
        <v>27247</v>
      </c>
      <c r="H4010" t="s">
        <v>27248</v>
      </c>
      <c r="I4010" t="s">
        <v>34988</v>
      </c>
      <c r="J4010" t="s">
        <v>8017</v>
      </c>
      <c r="L4010" t="s">
        <v>27250</v>
      </c>
      <c r="M4010" t="s">
        <v>27251</v>
      </c>
      <c r="N4010" t="s">
        <v>27252</v>
      </c>
      <c r="Q4010" s="1">
        <v>44812</v>
      </c>
      <c r="R4010" t="s">
        <v>27253</v>
      </c>
      <c r="S4010" t="s">
        <v>27254</v>
      </c>
      <c r="T4010" t="s">
        <v>27269</v>
      </c>
    </row>
    <row r="4011" spans="1:20" x14ac:dyDescent="0.3">
      <c r="A4011" t="str">
        <f>"0611861828100"</f>
        <v>0611861828100</v>
      </c>
      <c r="B4011" t="str">
        <f>"CN5124"</f>
        <v>CN5124</v>
      </c>
      <c r="C4011" t="s">
        <v>34987</v>
      </c>
      <c r="D4011" t="s">
        <v>27335</v>
      </c>
      <c r="E4011" t="str">
        <f t="shared" si="62"/>
        <v>001390</v>
      </c>
      <c r="F4011" t="s">
        <v>27246</v>
      </c>
      <c r="G4011" t="s">
        <v>27247</v>
      </c>
      <c r="H4011" t="s">
        <v>27248</v>
      </c>
      <c r="I4011" t="s">
        <v>34989</v>
      </c>
      <c r="J4011" t="s">
        <v>8015</v>
      </c>
      <c r="L4011" t="s">
        <v>27250</v>
      </c>
      <c r="M4011" t="s">
        <v>27251</v>
      </c>
      <c r="N4011" t="s">
        <v>27252</v>
      </c>
      <c r="Q4011" s="1">
        <v>44846</v>
      </c>
      <c r="R4011" t="s">
        <v>27253</v>
      </c>
      <c r="S4011" t="s">
        <v>27254</v>
      </c>
      <c r="T4011" t="s">
        <v>27255</v>
      </c>
    </row>
    <row r="4012" spans="1:20" x14ac:dyDescent="0.3">
      <c r="A4012" t="str">
        <f>"0611861829050"</f>
        <v>0611861829050</v>
      </c>
      <c r="B4012" t="str">
        <f>"CR3797"</f>
        <v>CR3797</v>
      </c>
      <c r="C4012" t="s">
        <v>34990</v>
      </c>
      <c r="D4012" t="s">
        <v>27263</v>
      </c>
      <c r="E4012" t="str">
        <f t="shared" si="62"/>
        <v>001390</v>
      </c>
      <c r="F4012" t="s">
        <v>27246</v>
      </c>
      <c r="G4012" t="s">
        <v>27247</v>
      </c>
      <c r="H4012" t="s">
        <v>27248</v>
      </c>
      <c r="I4012" t="s">
        <v>34991</v>
      </c>
      <c r="J4012" t="s">
        <v>8019</v>
      </c>
      <c r="L4012" t="s">
        <v>27250</v>
      </c>
      <c r="M4012" t="s">
        <v>27251</v>
      </c>
      <c r="N4012" t="s">
        <v>27252</v>
      </c>
      <c r="Q4012" s="1">
        <v>44846</v>
      </c>
      <c r="R4012" t="s">
        <v>27253</v>
      </c>
      <c r="S4012" t="s">
        <v>27254</v>
      </c>
      <c r="T4012" t="s">
        <v>27265</v>
      </c>
    </row>
    <row r="4013" spans="1:20" x14ac:dyDescent="0.3">
      <c r="A4013" t="str">
        <f>"0611861830050"</f>
        <v>0611861830050</v>
      </c>
      <c r="B4013" t="str">
        <f>"CR3635"</f>
        <v>CR3635</v>
      </c>
      <c r="C4013" t="s">
        <v>34992</v>
      </c>
      <c r="D4013" t="s">
        <v>27263</v>
      </c>
      <c r="E4013" t="str">
        <f t="shared" si="62"/>
        <v>001390</v>
      </c>
      <c r="F4013" t="s">
        <v>27246</v>
      </c>
      <c r="G4013" t="s">
        <v>27247</v>
      </c>
      <c r="H4013" t="s">
        <v>27248</v>
      </c>
      <c r="I4013" t="s">
        <v>34993</v>
      </c>
      <c r="J4013" t="s">
        <v>8021</v>
      </c>
      <c r="L4013" t="s">
        <v>27250</v>
      </c>
      <c r="M4013" t="s">
        <v>27251</v>
      </c>
      <c r="N4013" t="s">
        <v>27252</v>
      </c>
      <c r="Q4013" s="1">
        <v>44846</v>
      </c>
      <c r="R4013" t="s">
        <v>27253</v>
      </c>
      <c r="S4013" t="s">
        <v>27254</v>
      </c>
      <c r="T4013" t="s">
        <v>27265</v>
      </c>
    </row>
    <row r="4014" spans="1:20" x14ac:dyDescent="0.3">
      <c r="A4014" t="str">
        <f>"0611856929025"</f>
        <v>0611856929025</v>
      </c>
      <c r="B4014" t="str">
        <f>"MQ7341"</f>
        <v>MQ7341</v>
      </c>
      <c r="C4014" t="s">
        <v>34994</v>
      </c>
      <c r="D4014" t="s">
        <v>27267</v>
      </c>
      <c r="E4014" t="str">
        <f t="shared" si="62"/>
        <v>001390</v>
      </c>
      <c r="F4014" t="s">
        <v>27246</v>
      </c>
      <c r="G4014" t="s">
        <v>27247</v>
      </c>
      <c r="H4014" t="s">
        <v>27248</v>
      </c>
      <c r="I4014" t="s">
        <v>34995</v>
      </c>
      <c r="J4014" t="s">
        <v>8025</v>
      </c>
      <c r="L4014" t="s">
        <v>27250</v>
      </c>
      <c r="M4014" t="s">
        <v>27251</v>
      </c>
      <c r="N4014" t="s">
        <v>27252</v>
      </c>
      <c r="Q4014" s="1">
        <v>44812</v>
      </c>
      <c r="R4014" t="s">
        <v>27253</v>
      </c>
      <c r="S4014" t="s">
        <v>27254</v>
      </c>
      <c r="T4014" t="s">
        <v>27269</v>
      </c>
    </row>
    <row r="4015" spans="1:20" x14ac:dyDescent="0.3">
      <c r="A4015" t="str">
        <f>"0611861831100"</f>
        <v>0611861831100</v>
      </c>
      <c r="B4015" t="str">
        <f>"CN5125"</f>
        <v>CN5125</v>
      </c>
      <c r="C4015" t="s">
        <v>34994</v>
      </c>
      <c r="D4015" t="s">
        <v>27335</v>
      </c>
      <c r="E4015" t="str">
        <f t="shared" si="62"/>
        <v>001390</v>
      </c>
      <c r="F4015" t="s">
        <v>27246</v>
      </c>
      <c r="G4015" t="s">
        <v>27247</v>
      </c>
      <c r="H4015" t="s">
        <v>27248</v>
      </c>
      <c r="I4015" t="s">
        <v>34996</v>
      </c>
      <c r="J4015" t="s">
        <v>8023</v>
      </c>
      <c r="L4015" t="s">
        <v>27250</v>
      </c>
      <c r="M4015" t="s">
        <v>27251</v>
      </c>
      <c r="N4015" t="s">
        <v>27252</v>
      </c>
      <c r="Q4015" s="1">
        <v>44846</v>
      </c>
      <c r="R4015" t="s">
        <v>27253</v>
      </c>
      <c r="S4015" t="s">
        <v>27254</v>
      </c>
      <c r="T4015" t="s">
        <v>27255</v>
      </c>
    </row>
    <row r="4016" spans="1:20" x14ac:dyDescent="0.3">
      <c r="A4016" t="str">
        <f>"0611861832100"</f>
        <v>0611861832100</v>
      </c>
      <c r="B4016" t="str">
        <f>"CN2361"</f>
        <v>CN2361</v>
      </c>
      <c r="C4016" t="s">
        <v>34997</v>
      </c>
      <c r="D4016" t="s">
        <v>27335</v>
      </c>
      <c r="E4016" t="str">
        <f t="shared" si="62"/>
        <v>001390</v>
      </c>
      <c r="F4016" t="s">
        <v>27246</v>
      </c>
      <c r="G4016" t="s">
        <v>27247</v>
      </c>
      <c r="H4016" t="s">
        <v>27248</v>
      </c>
      <c r="I4016" t="s">
        <v>34998</v>
      </c>
      <c r="J4016" t="s">
        <v>8027</v>
      </c>
      <c r="L4016" t="s">
        <v>27250</v>
      </c>
      <c r="M4016" t="s">
        <v>27251</v>
      </c>
      <c r="N4016" t="s">
        <v>27252</v>
      </c>
      <c r="Q4016" s="1">
        <v>44846</v>
      </c>
      <c r="R4016" t="s">
        <v>27253</v>
      </c>
      <c r="S4016" t="s">
        <v>27254</v>
      </c>
      <c r="T4016" t="s">
        <v>27255</v>
      </c>
    </row>
    <row r="4017" spans="1:20" x14ac:dyDescent="0.3">
      <c r="A4017" t="str">
        <f>"0611884185025"</f>
        <v>0611884185025</v>
      </c>
      <c r="B4017" t="str">
        <f>"MQ4002"</f>
        <v>MQ4002</v>
      </c>
      <c r="C4017" t="s">
        <v>34997</v>
      </c>
      <c r="D4017" t="s">
        <v>27267</v>
      </c>
      <c r="E4017" t="str">
        <f t="shared" si="62"/>
        <v>001390</v>
      </c>
      <c r="F4017" t="s">
        <v>27246</v>
      </c>
      <c r="G4017" t="s">
        <v>27247</v>
      </c>
      <c r="H4017" t="s">
        <v>27248</v>
      </c>
      <c r="I4017" t="s">
        <v>34999</v>
      </c>
      <c r="J4017" t="s">
        <v>8029</v>
      </c>
      <c r="L4017" t="s">
        <v>27430</v>
      </c>
      <c r="M4017" t="s">
        <v>27251</v>
      </c>
      <c r="N4017" t="s">
        <v>27252</v>
      </c>
      <c r="Q4017" s="1">
        <v>45250</v>
      </c>
      <c r="R4017" t="s">
        <v>27253</v>
      </c>
      <c r="S4017" t="s">
        <v>27254</v>
      </c>
      <c r="T4017" t="s">
        <v>27269</v>
      </c>
    </row>
    <row r="4018" spans="1:20" x14ac:dyDescent="0.3">
      <c r="A4018" t="str">
        <f>"0611861833050"</f>
        <v>0611861833050</v>
      </c>
      <c r="B4018" t="str">
        <f>"CR3788"</f>
        <v>CR3788</v>
      </c>
      <c r="C4018" t="s">
        <v>35000</v>
      </c>
      <c r="D4018" t="s">
        <v>27263</v>
      </c>
      <c r="E4018" t="str">
        <f t="shared" si="62"/>
        <v>001390</v>
      </c>
      <c r="F4018" t="s">
        <v>27246</v>
      </c>
      <c r="G4018" t="s">
        <v>27247</v>
      </c>
      <c r="H4018" t="s">
        <v>27248</v>
      </c>
      <c r="I4018" t="s">
        <v>35001</v>
      </c>
      <c r="J4018" t="s">
        <v>8031</v>
      </c>
      <c r="L4018" t="s">
        <v>27250</v>
      </c>
      <c r="M4018" t="s">
        <v>27251</v>
      </c>
      <c r="N4018" t="s">
        <v>27252</v>
      </c>
      <c r="Q4018" s="1">
        <v>44846</v>
      </c>
      <c r="R4018" t="s">
        <v>27253</v>
      </c>
      <c r="S4018" t="s">
        <v>27254</v>
      </c>
      <c r="T4018" t="s">
        <v>27265</v>
      </c>
    </row>
    <row r="4019" spans="1:20" x14ac:dyDescent="0.3">
      <c r="A4019" t="str">
        <f>"0611861834100"</f>
        <v>0611861834100</v>
      </c>
      <c r="B4019" t="str">
        <f>"CN2362"</f>
        <v>CN2362</v>
      </c>
      <c r="C4019" t="s">
        <v>35002</v>
      </c>
      <c r="D4019" t="s">
        <v>27335</v>
      </c>
      <c r="E4019" t="str">
        <f t="shared" si="62"/>
        <v>001390</v>
      </c>
      <c r="F4019" t="s">
        <v>27246</v>
      </c>
      <c r="G4019" t="s">
        <v>27247</v>
      </c>
      <c r="H4019" t="s">
        <v>27248</v>
      </c>
      <c r="I4019" t="s">
        <v>35003</v>
      </c>
      <c r="J4019" t="s">
        <v>8033</v>
      </c>
      <c r="L4019" t="s">
        <v>27250</v>
      </c>
      <c r="M4019" t="s">
        <v>27251</v>
      </c>
      <c r="N4019" t="s">
        <v>27252</v>
      </c>
      <c r="Q4019" s="1">
        <v>44846</v>
      </c>
      <c r="R4019" t="s">
        <v>27253</v>
      </c>
      <c r="S4019" t="s">
        <v>27254</v>
      </c>
      <c r="T4019" t="s">
        <v>27255</v>
      </c>
    </row>
    <row r="4020" spans="1:20" x14ac:dyDescent="0.3">
      <c r="A4020" t="str">
        <f>"0611884186025"</f>
        <v>0611884186025</v>
      </c>
      <c r="B4020" t="str">
        <f>"MQ4003"</f>
        <v>MQ4003</v>
      </c>
      <c r="C4020" t="s">
        <v>35002</v>
      </c>
      <c r="D4020" t="s">
        <v>27267</v>
      </c>
      <c r="E4020" t="str">
        <f t="shared" si="62"/>
        <v>001390</v>
      </c>
      <c r="F4020" t="s">
        <v>27246</v>
      </c>
      <c r="G4020" t="s">
        <v>27247</v>
      </c>
      <c r="H4020" t="s">
        <v>27248</v>
      </c>
      <c r="I4020" t="s">
        <v>35004</v>
      </c>
      <c r="J4020" t="s">
        <v>8035</v>
      </c>
      <c r="L4020" t="s">
        <v>27430</v>
      </c>
      <c r="M4020" t="s">
        <v>27251</v>
      </c>
      <c r="N4020" t="s">
        <v>27252</v>
      </c>
      <c r="Q4020" s="1">
        <v>45250</v>
      </c>
      <c r="R4020" t="s">
        <v>27253</v>
      </c>
      <c r="S4020" t="s">
        <v>27254</v>
      </c>
      <c r="T4020" t="s">
        <v>27269</v>
      </c>
    </row>
    <row r="4021" spans="1:20" x14ac:dyDescent="0.3">
      <c r="A4021" t="str">
        <f>"0611856930025"</f>
        <v>0611856930025</v>
      </c>
      <c r="B4021" t="str">
        <f>"MQ7342"</f>
        <v>MQ7342</v>
      </c>
      <c r="C4021" t="s">
        <v>35005</v>
      </c>
      <c r="D4021" t="s">
        <v>27267</v>
      </c>
      <c r="E4021" t="str">
        <f t="shared" si="62"/>
        <v>001390</v>
      </c>
      <c r="F4021" t="s">
        <v>27246</v>
      </c>
      <c r="G4021" t="s">
        <v>27247</v>
      </c>
      <c r="H4021" t="s">
        <v>27248</v>
      </c>
      <c r="I4021" t="s">
        <v>35006</v>
      </c>
      <c r="J4021" t="s">
        <v>8039</v>
      </c>
      <c r="L4021" t="s">
        <v>27250</v>
      </c>
      <c r="M4021" t="s">
        <v>27251</v>
      </c>
      <c r="N4021" t="s">
        <v>27252</v>
      </c>
      <c r="Q4021" s="1">
        <v>44812</v>
      </c>
      <c r="R4021" t="s">
        <v>27253</v>
      </c>
      <c r="S4021" t="s">
        <v>27254</v>
      </c>
      <c r="T4021" t="s">
        <v>27269</v>
      </c>
    </row>
    <row r="4022" spans="1:20" x14ac:dyDescent="0.3">
      <c r="A4022" t="str">
        <f>"0611861835100"</f>
        <v>0611861835100</v>
      </c>
      <c r="B4022" t="str">
        <f>"CN5126"</f>
        <v>CN5126</v>
      </c>
      <c r="C4022" t="s">
        <v>35005</v>
      </c>
      <c r="D4022" t="s">
        <v>27335</v>
      </c>
      <c r="E4022" t="str">
        <f t="shared" si="62"/>
        <v>001390</v>
      </c>
      <c r="F4022" t="s">
        <v>27246</v>
      </c>
      <c r="G4022" t="s">
        <v>27247</v>
      </c>
      <c r="H4022" t="s">
        <v>27248</v>
      </c>
      <c r="I4022" t="s">
        <v>35007</v>
      </c>
      <c r="J4022" t="s">
        <v>8037</v>
      </c>
      <c r="L4022" t="s">
        <v>27250</v>
      </c>
      <c r="M4022" t="s">
        <v>27251</v>
      </c>
      <c r="N4022" t="s">
        <v>27252</v>
      </c>
      <c r="Q4022" s="1">
        <v>44846</v>
      </c>
      <c r="R4022" t="s">
        <v>27253</v>
      </c>
      <c r="S4022" t="s">
        <v>27254</v>
      </c>
      <c r="T4022" t="s">
        <v>27255</v>
      </c>
    </row>
    <row r="4023" spans="1:20" x14ac:dyDescent="0.3">
      <c r="A4023" t="str">
        <f>"0611856931025"</f>
        <v>0611856931025</v>
      </c>
      <c r="B4023" t="str">
        <f>"MQ7343"</f>
        <v>MQ7343</v>
      </c>
      <c r="C4023" t="s">
        <v>35008</v>
      </c>
      <c r="D4023" t="s">
        <v>27267</v>
      </c>
      <c r="E4023" t="str">
        <f t="shared" si="62"/>
        <v>001390</v>
      </c>
      <c r="F4023" t="s">
        <v>27246</v>
      </c>
      <c r="G4023" t="s">
        <v>27247</v>
      </c>
      <c r="H4023" t="s">
        <v>27248</v>
      </c>
      <c r="I4023" t="s">
        <v>35009</v>
      </c>
      <c r="J4023" t="s">
        <v>8043</v>
      </c>
      <c r="L4023" t="s">
        <v>27250</v>
      </c>
      <c r="M4023" t="s">
        <v>27251</v>
      </c>
      <c r="N4023" t="s">
        <v>27252</v>
      </c>
      <c r="Q4023" s="1">
        <v>44812</v>
      </c>
      <c r="R4023" t="s">
        <v>27253</v>
      </c>
      <c r="S4023" t="s">
        <v>27254</v>
      </c>
      <c r="T4023" t="s">
        <v>27269</v>
      </c>
    </row>
    <row r="4024" spans="1:20" x14ac:dyDescent="0.3">
      <c r="A4024" t="str">
        <f>"0611861836100"</f>
        <v>0611861836100</v>
      </c>
      <c r="B4024" t="str">
        <f>"CN5127"</f>
        <v>CN5127</v>
      </c>
      <c r="C4024" t="s">
        <v>35008</v>
      </c>
      <c r="D4024" t="s">
        <v>27335</v>
      </c>
      <c r="E4024" t="str">
        <f t="shared" si="62"/>
        <v>001390</v>
      </c>
      <c r="F4024" t="s">
        <v>27246</v>
      </c>
      <c r="G4024" t="s">
        <v>27247</v>
      </c>
      <c r="H4024" t="s">
        <v>27248</v>
      </c>
      <c r="I4024" t="s">
        <v>35010</v>
      </c>
      <c r="J4024" t="s">
        <v>8041</v>
      </c>
      <c r="L4024" t="s">
        <v>27250</v>
      </c>
      <c r="M4024" t="s">
        <v>27251</v>
      </c>
      <c r="N4024" t="s">
        <v>27252</v>
      </c>
      <c r="Q4024" s="1">
        <v>44846</v>
      </c>
      <c r="R4024" t="s">
        <v>27253</v>
      </c>
      <c r="S4024" t="s">
        <v>27254</v>
      </c>
      <c r="T4024" t="s">
        <v>27255</v>
      </c>
    </row>
    <row r="4025" spans="1:20" x14ac:dyDescent="0.3">
      <c r="A4025" t="str">
        <f>"0611861837050"</f>
        <v>0611861837050</v>
      </c>
      <c r="B4025" t="str">
        <f>"CR3638"</f>
        <v>CR3638</v>
      </c>
      <c r="C4025" t="s">
        <v>35011</v>
      </c>
      <c r="D4025" t="s">
        <v>27286</v>
      </c>
      <c r="E4025" t="str">
        <f t="shared" si="62"/>
        <v>001390</v>
      </c>
      <c r="F4025" t="s">
        <v>27246</v>
      </c>
      <c r="G4025" t="s">
        <v>27247</v>
      </c>
      <c r="H4025" t="s">
        <v>27248</v>
      </c>
      <c r="I4025" t="s">
        <v>35012</v>
      </c>
      <c r="J4025" t="s">
        <v>8045</v>
      </c>
      <c r="L4025" t="s">
        <v>27250</v>
      </c>
      <c r="M4025" t="s">
        <v>27251</v>
      </c>
      <c r="N4025" t="s">
        <v>27252</v>
      </c>
      <c r="Q4025" s="1">
        <v>44846</v>
      </c>
      <c r="R4025" t="s">
        <v>27253</v>
      </c>
      <c r="S4025" t="s">
        <v>27254</v>
      </c>
      <c r="T4025" t="s">
        <v>27265</v>
      </c>
    </row>
    <row r="4026" spans="1:20" x14ac:dyDescent="0.3">
      <c r="A4026" t="str">
        <f>"0611856932025"</f>
        <v>0611856932025</v>
      </c>
      <c r="B4026" t="str">
        <f>"MQ7344"</f>
        <v>MQ7344</v>
      </c>
      <c r="C4026" t="s">
        <v>35013</v>
      </c>
      <c r="D4026" t="s">
        <v>27267</v>
      </c>
      <c r="E4026" t="str">
        <f t="shared" si="62"/>
        <v>001390</v>
      </c>
      <c r="F4026" t="s">
        <v>27246</v>
      </c>
      <c r="G4026" t="s">
        <v>27247</v>
      </c>
      <c r="H4026" t="s">
        <v>27248</v>
      </c>
      <c r="I4026" t="s">
        <v>35014</v>
      </c>
      <c r="J4026" t="s">
        <v>8049</v>
      </c>
      <c r="L4026" t="s">
        <v>27250</v>
      </c>
      <c r="M4026" t="s">
        <v>27251</v>
      </c>
      <c r="N4026" t="s">
        <v>27252</v>
      </c>
      <c r="Q4026" s="1">
        <v>44812</v>
      </c>
      <c r="R4026" t="s">
        <v>27253</v>
      </c>
      <c r="S4026" t="s">
        <v>27254</v>
      </c>
      <c r="T4026" t="s">
        <v>27269</v>
      </c>
    </row>
    <row r="4027" spans="1:20" x14ac:dyDescent="0.3">
      <c r="A4027" t="str">
        <f>"0611861838100"</f>
        <v>0611861838100</v>
      </c>
      <c r="B4027" t="str">
        <f>"CN5128"</f>
        <v>CN5128</v>
      </c>
      <c r="C4027" t="s">
        <v>35013</v>
      </c>
      <c r="D4027" t="s">
        <v>27335</v>
      </c>
      <c r="E4027" t="str">
        <f t="shared" si="62"/>
        <v>001390</v>
      </c>
      <c r="F4027" t="s">
        <v>27246</v>
      </c>
      <c r="G4027" t="s">
        <v>27247</v>
      </c>
      <c r="H4027" t="s">
        <v>27248</v>
      </c>
      <c r="I4027" t="s">
        <v>35015</v>
      </c>
      <c r="J4027" t="s">
        <v>8047</v>
      </c>
      <c r="L4027" t="s">
        <v>27250</v>
      </c>
      <c r="M4027" t="s">
        <v>27251</v>
      </c>
      <c r="N4027" t="s">
        <v>27252</v>
      </c>
      <c r="Q4027" s="1">
        <v>44846</v>
      </c>
      <c r="R4027" t="s">
        <v>27253</v>
      </c>
      <c r="S4027" t="s">
        <v>27254</v>
      </c>
      <c r="T4027" t="s">
        <v>27255</v>
      </c>
    </row>
    <row r="4028" spans="1:20" x14ac:dyDescent="0.3">
      <c r="A4028" t="str">
        <f>"0611834013100"</f>
        <v>0611834013100</v>
      </c>
      <c r="B4028" t="str">
        <f>"LB2459"</f>
        <v>LB2459</v>
      </c>
      <c r="C4028" t="s">
        <v>35016</v>
      </c>
      <c r="D4028" t="s">
        <v>28138</v>
      </c>
      <c r="E4028" t="str">
        <f t="shared" si="62"/>
        <v>001390</v>
      </c>
      <c r="F4028" t="s">
        <v>27246</v>
      </c>
      <c r="G4028" t="s">
        <v>27247</v>
      </c>
      <c r="H4028" t="s">
        <v>27248</v>
      </c>
      <c r="I4028" t="s">
        <v>35017</v>
      </c>
      <c r="J4028" t="s">
        <v>8051</v>
      </c>
      <c r="L4028" t="s">
        <v>27250</v>
      </c>
      <c r="M4028" t="s">
        <v>27251</v>
      </c>
      <c r="N4028" t="s">
        <v>27252</v>
      </c>
      <c r="P4028" t="s">
        <v>27925</v>
      </c>
      <c r="Q4028" s="1">
        <v>44538</v>
      </c>
      <c r="R4028" t="s">
        <v>27253</v>
      </c>
      <c r="S4028" t="s">
        <v>27254</v>
      </c>
      <c r="T4028" t="s">
        <v>27255</v>
      </c>
    </row>
    <row r="4029" spans="1:20" x14ac:dyDescent="0.3">
      <c r="A4029" t="str">
        <f>"0611834014100"</f>
        <v>0611834014100</v>
      </c>
      <c r="B4029" t="str">
        <f>"LK3814"</f>
        <v>LK3814</v>
      </c>
      <c r="C4029" t="s">
        <v>35018</v>
      </c>
      <c r="D4029" t="s">
        <v>28138</v>
      </c>
      <c r="E4029" t="str">
        <f t="shared" si="62"/>
        <v>001390</v>
      </c>
      <c r="F4029" t="s">
        <v>27246</v>
      </c>
      <c r="G4029" t="s">
        <v>27247</v>
      </c>
      <c r="H4029" t="s">
        <v>27248</v>
      </c>
      <c r="I4029" t="s">
        <v>35019</v>
      </c>
      <c r="J4029" t="s">
        <v>8053</v>
      </c>
      <c r="L4029" t="s">
        <v>27250</v>
      </c>
      <c r="M4029" t="s">
        <v>27251</v>
      </c>
      <c r="N4029" t="s">
        <v>27252</v>
      </c>
      <c r="P4029" t="s">
        <v>27925</v>
      </c>
      <c r="Q4029" s="1">
        <v>44538</v>
      </c>
      <c r="R4029" t="s">
        <v>27253</v>
      </c>
      <c r="S4029" t="s">
        <v>27254</v>
      </c>
      <c r="T4029" t="s">
        <v>27255</v>
      </c>
    </row>
    <row r="4030" spans="1:20" x14ac:dyDescent="0.3">
      <c r="A4030" t="str">
        <f>"0611834015100"</f>
        <v>0611834015100</v>
      </c>
      <c r="B4030" t="str">
        <f>"LK4650"</f>
        <v>LK4650</v>
      </c>
      <c r="C4030" t="s">
        <v>35020</v>
      </c>
      <c r="D4030" t="s">
        <v>28138</v>
      </c>
      <c r="E4030" t="str">
        <f t="shared" si="62"/>
        <v>001390</v>
      </c>
      <c r="F4030" t="s">
        <v>27246</v>
      </c>
      <c r="G4030" t="s">
        <v>27247</v>
      </c>
      <c r="H4030" t="s">
        <v>27248</v>
      </c>
      <c r="I4030" t="s">
        <v>35021</v>
      </c>
      <c r="J4030" t="s">
        <v>8055</v>
      </c>
      <c r="L4030" t="s">
        <v>27250</v>
      </c>
      <c r="M4030" t="s">
        <v>27251</v>
      </c>
      <c r="N4030" t="s">
        <v>27252</v>
      </c>
      <c r="P4030" t="s">
        <v>27925</v>
      </c>
      <c r="Q4030" s="1">
        <v>44538</v>
      </c>
      <c r="R4030" t="s">
        <v>27253</v>
      </c>
      <c r="S4030" t="s">
        <v>27254</v>
      </c>
      <c r="T4030" t="s">
        <v>27255</v>
      </c>
    </row>
    <row r="4031" spans="1:20" x14ac:dyDescent="0.3">
      <c r="A4031" t="str">
        <f>"0611834016100"</f>
        <v>0611834016100</v>
      </c>
      <c r="B4031" t="str">
        <f>"LB2460"</f>
        <v>LB2460</v>
      </c>
      <c r="C4031" t="s">
        <v>35022</v>
      </c>
      <c r="D4031" t="s">
        <v>28138</v>
      </c>
      <c r="E4031" t="str">
        <f t="shared" si="62"/>
        <v>001390</v>
      </c>
      <c r="F4031" t="s">
        <v>27246</v>
      </c>
      <c r="G4031" t="s">
        <v>27247</v>
      </c>
      <c r="H4031" t="s">
        <v>27248</v>
      </c>
      <c r="I4031" t="s">
        <v>35023</v>
      </c>
      <c r="J4031" t="s">
        <v>8057</v>
      </c>
      <c r="L4031" t="s">
        <v>27250</v>
      </c>
      <c r="M4031" t="s">
        <v>27251</v>
      </c>
      <c r="N4031" t="s">
        <v>27252</v>
      </c>
      <c r="P4031" t="s">
        <v>27925</v>
      </c>
      <c r="Q4031" s="1">
        <v>44538</v>
      </c>
      <c r="R4031" t="s">
        <v>27253</v>
      </c>
      <c r="S4031" t="s">
        <v>27254</v>
      </c>
      <c r="T4031" t="s">
        <v>27255</v>
      </c>
    </row>
    <row r="4032" spans="1:20" x14ac:dyDescent="0.3">
      <c r="A4032" t="str">
        <f>"0611834018100"</f>
        <v>0611834018100</v>
      </c>
      <c r="B4032" t="str">
        <f>"LK2082"</f>
        <v>LK2082</v>
      </c>
      <c r="C4032" t="s">
        <v>35024</v>
      </c>
      <c r="D4032" t="s">
        <v>27245</v>
      </c>
      <c r="E4032" t="str">
        <f t="shared" si="62"/>
        <v>001390</v>
      </c>
      <c r="F4032" t="s">
        <v>27246</v>
      </c>
      <c r="G4032" t="s">
        <v>27247</v>
      </c>
      <c r="H4032" t="s">
        <v>27248</v>
      </c>
      <c r="I4032" t="s">
        <v>35025</v>
      </c>
      <c r="J4032" t="s">
        <v>8059</v>
      </c>
      <c r="L4032" t="s">
        <v>27250</v>
      </c>
      <c r="M4032" t="s">
        <v>27251</v>
      </c>
      <c r="N4032" t="s">
        <v>27252</v>
      </c>
      <c r="Q4032" s="1">
        <v>44538</v>
      </c>
      <c r="R4032" t="s">
        <v>27253</v>
      </c>
      <c r="S4032" t="s">
        <v>27254</v>
      </c>
      <c r="T4032" t="s">
        <v>27255</v>
      </c>
    </row>
    <row r="4033" spans="1:20" x14ac:dyDescent="0.3">
      <c r="A4033" t="str">
        <f>"0611834019100"</f>
        <v>0611834019100</v>
      </c>
      <c r="B4033" t="str">
        <f>"LK5745"</f>
        <v>LK5745</v>
      </c>
      <c r="C4033" t="s">
        <v>35026</v>
      </c>
      <c r="D4033" t="s">
        <v>27245</v>
      </c>
      <c r="E4033" t="str">
        <f t="shared" si="62"/>
        <v>001390</v>
      </c>
      <c r="F4033" t="s">
        <v>27246</v>
      </c>
      <c r="G4033" t="s">
        <v>27247</v>
      </c>
      <c r="H4033" t="s">
        <v>27248</v>
      </c>
      <c r="I4033" t="s">
        <v>35027</v>
      </c>
      <c r="J4033" t="s">
        <v>8061</v>
      </c>
      <c r="L4033" t="s">
        <v>27250</v>
      </c>
      <c r="M4033" t="s">
        <v>27251</v>
      </c>
      <c r="N4033" t="s">
        <v>27252</v>
      </c>
      <c r="Q4033" s="1">
        <v>44538</v>
      </c>
      <c r="R4033" t="s">
        <v>27253</v>
      </c>
      <c r="S4033" t="s">
        <v>27254</v>
      </c>
      <c r="T4033" t="s">
        <v>27255</v>
      </c>
    </row>
    <row r="4034" spans="1:20" x14ac:dyDescent="0.3">
      <c r="A4034" t="str">
        <f>"0611834020025"</f>
        <v>0611834020025</v>
      </c>
      <c r="B4034" t="str">
        <f>"MC0848"</f>
        <v>MC0848</v>
      </c>
      <c r="C4034" t="s">
        <v>35028</v>
      </c>
      <c r="D4034" t="s">
        <v>27267</v>
      </c>
      <c r="E4034" t="str">
        <f t="shared" ref="E4034:E4097" si="63">"001390"</f>
        <v>001390</v>
      </c>
      <c r="F4034" t="s">
        <v>27246</v>
      </c>
      <c r="G4034" t="s">
        <v>27247</v>
      </c>
      <c r="H4034" t="s">
        <v>27248</v>
      </c>
      <c r="I4034" t="s">
        <v>35029</v>
      </c>
      <c r="J4034" t="s">
        <v>8063</v>
      </c>
      <c r="L4034" t="s">
        <v>27250</v>
      </c>
      <c r="M4034" t="s">
        <v>27251</v>
      </c>
      <c r="N4034" t="s">
        <v>27252</v>
      </c>
      <c r="Q4034" s="1">
        <v>44538</v>
      </c>
      <c r="R4034" t="s">
        <v>27253</v>
      </c>
      <c r="S4034" t="s">
        <v>27254</v>
      </c>
      <c r="T4034" t="s">
        <v>27269</v>
      </c>
    </row>
    <row r="4035" spans="1:20" x14ac:dyDescent="0.3">
      <c r="A4035" t="str">
        <f>"0611861839100"</f>
        <v>0611861839100</v>
      </c>
      <c r="B4035" t="str">
        <f>"CN5147"</f>
        <v>CN5147</v>
      </c>
      <c r="C4035" t="s">
        <v>35030</v>
      </c>
      <c r="D4035" t="s">
        <v>27335</v>
      </c>
      <c r="E4035" t="str">
        <f t="shared" si="63"/>
        <v>001390</v>
      </c>
      <c r="F4035" t="s">
        <v>27246</v>
      </c>
      <c r="G4035" t="s">
        <v>27247</v>
      </c>
      <c r="H4035" t="s">
        <v>27248</v>
      </c>
      <c r="I4035" t="s">
        <v>35031</v>
      </c>
      <c r="J4035" t="s">
        <v>8065</v>
      </c>
      <c r="L4035" t="s">
        <v>27250</v>
      </c>
      <c r="M4035" t="s">
        <v>27251</v>
      </c>
      <c r="N4035" t="s">
        <v>27252</v>
      </c>
      <c r="Q4035" s="1">
        <v>44846</v>
      </c>
      <c r="R4035" t="s">
        <v>27253</v>
      </c>
      <c r="S4035" t="s">
        <v>27254</v>
      </c>
      <c r="T4035" t="s">
        <v>27255</v>
      </c>
    </row>
    <row r="4036" spans="1:20" x14ac:dyDescent="0.3">
      <c r="A4036" t="str">
        <f>"0611861840100"</f>
        <v>0611861840100</v>
      </c>
      <c r="B4036" t="str">
        <f>"CN5148"</f>
        <v>CN5148</v>
      </c>
      <c r="C4036" t="s">
        <v>35032</v>
      </c>
      <c r="D4036" t="s">
        <v>27335</v>
      </c>
      <c r="E4036" t="str">
        <f t="shared" si="63"/>
        <v>001390</v>
      </c>
      <c r="F4036" t="s">
        <v>27246</v>
      </c>
      <c r="G4036" t="s">
        <v>27247</v>
      </c>
      <c r="H4036" t="s">
        <v>27248</v>
      </c>
      <c r="I4036" t="s">
        <v>35033</v>
      </c>
      <c r="J4036" t="s">
        <v>8067</v>
      </c>
      <c r="L4036" t="s">
        <v>27250</v>
      </c>
      <c r="M4036" t="s">
        <v>27251</v>
      </c>
      <c r="N4036" t="s">
        <v>27252</v>
      </c>
      <c r="Q4036" s="1">
        <v>44846</v>
      </c>
      <c r="R4036" t="s">
        <v>27253</v>
      </c>
      <c r="S4036" t="s">
        <v>27254</v>
      </c>
      <c r="T4036" t="s">
        <v>27255</v>
      </c>
    </row>
    <row r="4037" spans="1:20" x14ac:dyDescent="0.3">
      <c r="A4037" t="str">
        <f>"0611834021100"</f>
        <v>0611834021100</v>
      </c>
      <c r="B4037" t="str">
        <f>"LK4651"</f>
        <v>LK4651</v>
      </c>
      <c r="C4037" t="s">
        <v>35034</v>
      </c>
      <c r="D4037" t="s">
        <v>27245</v>
      </c>
      <c r="E4037" t="str">
        <f t="shared" si="63"/>
        <v>001390</v>
      </c>
      <c r="F4037" t="s">
        <v>27246</v>
      </c>
      <c r="G4037" t="s">
        <v>27247</v>
      </c>
      <c r="H4037" t="s">
        <v>27248</v>
      </c>
      <c r="I4037" t="s">
        <v>35035</v>
      </c>
      <c r="J4037" t="s">
        <v>8069</v>
      </c>
      <c r="L4037" t="s">
        <v>27250</v>
      </c>
      <c r="M4037" t="s">
        <v>27251</v>
      </c>
      <c r="N4037" t="s">
        <v>27252</v>
      </c>
      <c r="Q4037" s="1">
        <v>44538</v>
      </c>
      <c r="R4037" t="s">
        <v>27253</v>
      </c>
      <c r="S4037" t="s">
        <v>27254</v>
      </c>
      <c r="T4037" t="s">
        <v>27255</v>
      </c>
    </row>
    <row r="4038" spans="1:20" x14ac:dyDescent="0.3">
      <c r="A4038" t="str">
        <f>"0611834022100"</f>
        <v>0611834022100</v>
      </c>
      <c r="B4038" t="str">
        <f>"LB2543"</f>
        <v>LB2543</v>
      </c>
      <c r="C4038" t="s">
        <v>35036</v>
      </c>
      <c r="D4038" t="s">
        <v>27245</v>
      </c>
      <c r="E4038" t="str">
        <f t="shared" si="63"/>
        <v>001390</v>
      </c>
      <c r="F4038" t="s">
        <v>27246</v>
      </c>
      <c r="G4038" t="s">
        <v>27247</v>
      </c>
      <c r="H4038" t="s">
        <v>27248</v>
      </c>
      <c r="I4038" t="s">
        <v>35037</v>
      </c>
      <c r="J4038" t="s">
        <v>8071</v>
      </c>
      <c r="L4038" t="s">
        <v>27250</v>
      </c>
      <c r="M4038" t="s">
        <v>27251</v>
      </c>
      <c r="N4038" t="s">
        <v>27252</v>
      </c>
      <c r="Q4038" s="1">
        <v>44538</v>
      </c>
      <c r="R4038" t="s">
        <v>27253</v>
      </c>
      <c r="S4038" t="s">
        <v>27254</v>
      </c>
      <c r="T4038" t="s">
        <v>27255</v>
      </c>
    </row>
    <row r="4039" spans="1:20" x14ac:dyDescent="0.3">
      <c r="A4039" t="str">
        <f>"0611834023100"</f>
        <v>0611834023100</v>
      </c>
      <c r="B4039" t="str">
        <f>"LK0703"</f>
        <v>LK0703</v>
      </c>
      <c r="C4039" t="s">
        <v>35038</v>
      </c>
      <c r="D4039" t="s">
        <v>27245</v>
      </c>
      <c r="E4039" t="str">
        <f t="shared" si="63"/>
        <v>001390</v>
      </c>
      <c r="F4039" t="s">
        <v>27246</v>
      </c>
      <c r="G4039" t="s">
        <v>27247</v>
      </c>
      <c r="H4039" t="s">
        <v>27248</v>
      </c>
      <c r="I4039" t="s">
        <v>35039</v>
      </c>
      <c r="J4039" t="s">
        <v>8073</v>
      </c>
      <c r="L4039" t="s">
        <v>27250</v>
      </c>
      <c r="M4039" t="s">
        <v>27251</v>
      </c>
      <c r="N4039" t="s">
        <v>27252</v>
      </c>
      <c r="Q4039" s="1">
        <v>44538</v>
      </c>
      <c r="R4039" t="s">
        <v>27253</v>
      </c>
      <c r="S4039" t="s">
        <v>27254</v>
      </c>
      <c r="T4039" t="s">
        <v>27255</v>
      </c>
    </row>
    <row r="4040" spans="1:20" x14ac:dyDescent="0.3">
      <c r="A4040" t="str">
        <f>"0611834024100"</f>
        <v>0611834024100</v>
      </c>
      <c r="B4040" t="str">
        <f>"LB2542"</f>
        <v>LB2542</v>
      </c>
      <c r="C4040" t="s">
        <v>35040</v>
      </c>
      <c r="D4040" t="s">
        <v>27245</v>
      </c>
      <c r="E4040" t="str">
        <f t="shared" si="63"/>
        <v>001390</v>
      </c>
      <c r="F4040" t="s">
        <v>27246</v>
      </c>
      <c r="G4040" t="s">
        <v>27247</v>
      </c>
      <c r="H4040" t="s">
        <v>27248</v>
      </c>
      <c r="I4040" t="s">
        <v>35041</v>
      </c>
      <c r="J4040" t="s">
        <v>8075</v>
      </c>
      <c r="L4040" t="s">
        <v>27250</v>
      </c>
      <c r="M4040" t="s">
        <v>27251</v>
      </c>
      <c r="N4040" t="s">
        <v>27252</v>
      </c>
      <c r="Q4040" s="1">
        <v>44538</v>
      </c>
      <c r="R4040" t="s">
        <v>27253</v>
      </c>
      <c r="S4040" t="s">
        <v>27254</v>
      </c>
      <c r="T4040" t="s">
        <v>27255</v>
      </c>
    </row>
    <row r="4041" spans="1:20" x14ac:dyDescent="0.3">
      <c r="A4041" t="str">
        <f>"0611834025100"</f>
        <v>0611834025100</v>
      </c>
      <c r="B4041" t="str">
        <f>"LB2545"</f>
        <v>LB2545</v>
      </c>
      <c r="C4041" t="s">
        <v>35042</v>
      </c>
      <c r="D4041" t="s">
        <v>27245</v>
      </c>
      <c r="E4041" t="str">
        <f t="shared" si="63"/>
        <v>001390</v>
      </c>
      <c r="F4041" t="s">
        <v>27246</v>
      </c>
      <c r="G4041" t="s">
        <v>27247</v>
      </c>
      <c r="H4041" t="s">
        <v>27248</v>
      </c>
      <c r="I4041" t="s">
        <v>35043</v>
      </c>
      <c r="J4041" t="s">
        <v>8077</v>
      </c>
      <c r="L4041" t="s">
        <v>27250</v>
      </c>
      <c r="M4041" t="s">
        <v>27251</v>
      </c>
      <c r="N4041" t="s">
        <v>27252</v>
      </c>
      <c r="Q4041" s="1">
        <v>44538</v>
      </c>
      <c r="R4041" t="s">
        <v>27253</v>
      </c>
      <c r="S4041" t="s">
        <v>27254</v>
      </c>
      <c r="T4041" t="s">
        <v>27255</v>
      </c>
    </row>
    <row r="4042" spans="1:20" x14ac:dyDescent="0.3">
      <c r="A4042" t="str">
        <f>"0611834026100"</f>
        <v>0611834026100</v>
      </c>
      <c r="B4042" t="str">
        <f>"LB2546"</f>
        <v>LB2546</v>
      </c>
      <c r="C4042" t="s">
        <v>35044</v>
      </c>
      <c r="D4042" t="s">
        <v>27245</v>
      </c>
      <c r="E4042" t="str">
        <f t="shared" si="63"/>
        <v>001390</v>
      </c>
      <c r="F4042" t="s">
        <v>27246</v>
      </c>
      <c r="G4042" t="s">
        <v>27247</v>
      </c>
      <c r="H4042" t="s">
        <v>27248</v>
      </c>
      <c r="I4042" t="s">
        <v>35045</v>
      </c>
      <c r="J4042" t="s">
        <v>8079</v>
      </c>
      <c r="L4042" t="s">
        <v>27250</v>
      </c>
      <c r="M4042" t="s">
        <v>27251</v>
      </c>
      <c r="N4042" t="s">
        <v>27252</v>
      </c>
      <c r="Q4042" s="1">
        <v>44538</v>
      </c>
      <c r="R4042" t="s">
        <v>27253</v>
      </c>
      <c r="S4042" t="s">
        <v>27254</v>
      </c>
      <c r="T4042" t="s">
        <v>27255</v>
      </c>
    </row>
    <row r="4043" spans="1:20" x14ac:dyDescent="0.3">
      <c r="A4043" t="str">
        <f>"0611834027100"</f>
        <v>0611834027100</v>
      </c>
      <c r="B4043" t="str">
        <f>"LB2499"</f>
        <v>LB2499</v>
      </c>
      <c r="C4043" t="s">
        <v>35046</v>
      </c>
      <c r="D4043" t="s">
        <v>27245</v>
      </c>
      <c r="E4043" t="str">
        <f t="shared" si="63"/>
        <v>001390</v>
      </c>
      <c r="F4043" t="s">
        <v>27246</v>
      </c>
      <c r="G4043" t="s">
        <v>27247</v>
      </c>
      <c r="H4043" t="s">
        <v>27248</v>
      </c>
      <c r="I4043" t="s">
        <v>35047</v>
      </c>
      <c r="J4043" t="s">
        <v>8081</v>
      </c>
      <c r="L4043" t="s">
        <v>27250</v>
      </c>
      <c r="M4043" t="s">
        <v>27251</v>
      </c>
      <c r="N4043" t="s">
        <v>27252</v>
      </c>
      <c r="Q4043" s="1">
        <v>44538</v>
      </c>
      <c r="R4043" t="s">
        <v>27253</v>
      </c>
      <c r="S4043" t="s">
        <v>27254</v>
      </c>
      <c r="T4043" t="s">
        <v>27255</v>
      </c>
    </row>
    <row r="4044" spans="1:20" x14ac:dyDescent="0.3">
      <c r="A4044" t="str">
        <f>"0611834028100"</f>
        <v>0611834028100</v>
      </c>
      <c r="B4044" t="str">
        <f>"LB2501"</f>
        <v>LB2501</v>
      </c>
      <c r="C4044" t="s">
        <v>35048</v>
      </c>
      <c r="D4044" t="s">
        <v>27245</v>
      </c>
      <c r="E4044" t="str">
        <f t="shared" si="63"/>
        <v>001390</v>
      </c>
      <c r="F4044" t="s">
        <v>27246</v>
      </c>
      <c r="G4044" t="s">
        <v>27247</v>
      </c>
      <c r="H4044" t="s">
        <v>27248</v>
      </c>
      <c r="I4044" t="s">
        <v>35049</v>
      </c>
      <c r="J4044" t="s">
        <v>8083</v>
      </c>
      <c r="L4044" t="s">
        <v>27250</v>
      </c>
      <c r="M4044" t="s">
        <v>27251</v>
      </c>
      <c r="N4044" t="s">
        <v>27252</v>
      </c>
      <c r="Q4044" s="1">
        <v>44538</v>
      </c>
      <c r="R4044" t="s">
        <v>27253</v>
      </c>
      <c r="S4044" t="s">
        <v>27254</v>
      </c>
      <c r="T4044" t="s">
        <v>27255</v>
      </c>
    </row>
    <row r="4045" spans="1:20" x14ac:dyDescent="0.3">
      <c r="A4045" t="str">
        <f>"0611834029100"</f>
        <v>0611834029100</v>
      </c>
      <c r="B4045" t="str">
        <f>"LB2547"</f>
        <v>LB2547</v>
      </c>
      <c r="C4045" t="s">
        <v>35050</v>
      </c>
      <c r="D4045" t="s">
        <v>27245</v>
      </c>
      <c r="E4045" t="str">
        <f t="shared" si="63"/>
        <v>001390</v>
      </c>
      <c r="F4045" t="s">
        <v>27246</v>
      </c>
      <c r="G4045" t="s">
        <v>27247</v>
      </c>
      <c r="H4045" t="s">
        <v>27248</v>
      </c>
      <c r="I4045" t="s">
        <v>35051</v>
      </c>
      <c r="J4045" t="s">
        <v>8085</v>
      </c>
      <c r="L4045" t="s">
        <v>27250</v>
      </c>
      <c r="M4045" t="s">
        <v>27251</v>
      </c>
      <c r="N4045" t="s">
        <v>27252</v>
      </c>
      <c r="Q4045" s="1">
        <v>44538</v>
      </c>
      <c r="R4045" t="s">
        <v>27253</v>
      </c>
      <c r="S4045" t="s">
        <v>27254</v>
      </c>
      <c r="T4045" t="s">
        <v>27255</v>
      </c>
    </row>
    <row r="4046" spans="1:20" x14ac:dyDescent="0.3">
      <c r="A4046" t="str">
        <f>"0611834030100"</f>
        <v>0611834030100</v>
      </c>
      <c r="B4046" t="str">
        <f>"LK0704"</f>
        <v>LK0704</v>
      </c>
      <c r="C4046" t="s">
        <v>35052</v>
      </c>
      <c r="D4046" t="s">
        <v>27245</v>
      </c>
      <c r="E4046" t="str">
        <f t="shared" si="63"/>
        <v>001390</v>
      </c>
      <c r="F4046" t="s">
        <v>27246</v>
      </c>
      <c r="G4046" t="s">
        <v>27247</v>
      </c>
      <c r="H4046" t="s">
        <v>27248</v>
      </c>
      <c r="I4046" t="s">
        <v>35053</v>
      </c>
      <c r="J4046" t="s">
        <v>8087</v>
      </c>
      <c r="L4046" t="s">
        <v>27250</v>
      </c>
      <c r="M4046" t="s">
        <v>27251</v>
      </c>
      <c r="N4046" t="s">
        <v>27252</v>
      </c>
      <c r="Q4046" s="1">
        <v>44538</v>
      </c>
      <c r="R4046" t="s">
        <v>27253</v>
      </c>
      <c r="S4046" t="s">
        <v>27254</v>
      </c>
      <c r="T4046" t="s">
        <v>27255</v>
      </c>
    </row>
    <row r="4047" spans="1:20" x14ac:dyDescent="0.3">
      <c r="A4047" t="str">
        <f>"0611834031100"</f>
        <v>0611834031100</v>
      </c>
      <c r="B4047" t="str">
        <f>"LB2548"</f>
        <v>LB2548</v>
      </c>
      <c r="C4047" t="s">
        <v>35054</v>
      </c>
      <c r="D4047" t="s">
        <v>27245</v>
      </c>
      <c r="E4047" t="str">
        <f t="shared" si="63"/>
        <v>001390</v>
      </c>
      <c r="F4047" t="s">
        <v>27246</v>
      </c>
      <c r="G4047" t="s">
        <v>27247</v>
      </c>
      <c r="H4047" t="s">
        <v>27248</v>
      </c>
      <c r="I4047" t="s">
        <v>35055</v>
      </c>
      <c r="J4047" t="s">
        <v>8089</v>
      </c>
      <c r="L4047" t="s">
        <v>27250</v>
      </c>
      <c r="M4047" t="s">
        <v>27251</v>
      </c>
      <c r="N4047" t="s">
        <v>27252</v>
      </c>
      <c r="Q4047" s="1">
        <v>44538</v>
      </c>
      <c r="R4047" t="s">
        <v>27253</v>
      </c>
      <c r="S4047" t="s">
        <v>27254</v>
      </c>
      <c r="T4047" t="s">
        <v>27255</v>
      </c>
    </row>
    <row r="4048" spans="1:20" x14ac:dyDescent="0.3">
      <c r="A4048" t="str">
        <f>"0611834032100"</f>
        <v>0611834032100</v>
      </c>
      <c r="B4048" t="str">
        <f>"LB2549"</f>
        <v>LB2549</v>
      </c>
      <c r="C4048" t="s">
        <v>35056</v>
      </c>
      <c r="D4048" t="s">
        <v>27245</v>
      </c>
      <c r="E4048" t="str">
        <f t="shared" si="63"/>
        <v>001390</v>
      </c>
      <c r="F4048" t="s">
        <v>27246</v>
      </c>
      <c r="G4048" t="s">
        <v>27247</v>
      </c>
      <c r="H4048" t="s">
        <v>27248</v>
      </c>
      <c r="I4048" t="s">
        <v>35057</v>
      </c>
      <c r="J4048" t="s">
        <v>8091</v>
      </c>
      <c r="L4048" t="s">
        <v>27250</v>
      </c>
      <c r="M4048" t="s">
        <v>27251</v>
      </c>
      <c r="N4048" t="s">
        <v>27252</v>
      </c>
      <c r="Q4048" s="1">
        <v>44538</v>
      </c>
      <c r="R4048" t="s">
        <v>27253</v>
      </c>
      <c r="S4048" t="s">
        <v>27254</v>
      </c>
      <c r="T4048" t="s">
        <v>27255</v>
      </c>
    </row>
    <row r="4049" spans="1:20" x14ac:dyDescent="0.3">
      <c r="A4049" t="str">
        <f>"0611834033025"</f>
        <v>0611834033025</v>
      </c>
      <c r="B4049" t="str">
        <f>"MC0243"</f>
        <v>MC0243</v>
      </c>
      <c r="C4049" t="s">
        <v>35058</v>
      </c>
      <c r="D4049" t="s">
        <v>27267</v>
      </c>
      <c r="E4049" t="str">
        <f t="shared" si="63"/>
        <v>001390</v>
      </c>
      <c r="F4049" t="s">
        <v>27246</v>
      </c>
      <c r="G4049" t="s">
        <v>27247</v>
      </c>
      <c r="H4049" t="s">
        <v>27248</v>
      </c>
      <c r="I4049" t="s">
        <v>35059</v>
      </c>
      <c r="J4049" t="s">
        <v>8093</v>
      </c>
      <c r="L4049" t="s">
        <v>27250</v>
      </c>
      <c r="M4049" t="s">
        <v>27251</v>
      </c>
      <c r="N4049" t="s">
        <v>27252</v>
      </c>
      <c r="Q4049" s="1">
        <v>44538</v>
      </c>
      <c r="R4049" t="s">
        <v>27253</v>
      </c>
      <c r="S4049" t="s">
        <v>27254</v>
      </c>
      <c r="T4049" t="s">
        <v>27269</v>
      </c>
    </row>
    <row r="4050" spans="1:20" x14ac:dyDescent="0.3">
      <c r="A4050" t="str">
        <f>"0611834034025"</f>
        <v>0611834034025</v>
      </c>
      <c r="B4050" t="str">
        <f>"MQ3035"</f>
        <v>MQ3035</v>
      </c>
      <c r="C4050" t="s">
        <v>35060</v>
      </c>
      <c r="D4050" t="s">
        <v>27267</v>
      </c>
      <c r="E4050" t="str">
        <f t="shared" si="63"/>
        <v>001390</v>
      </c>
      <c r="F4050" t="s">
        <v>27246</v>
      </c>
      <c r="G4050" t="s">
        <v>27247</v>
      </c>
      <c r="H4050" t="s">
        <v>27248</v>
      </c>
      <c r="I4050" t="s">
        <v>35061</v>
      </c>
      <c r="J4050" t="s">
        <v>8095</v>
      </c>
      <c r="L4050" t="s">
        <v>27250</v>
      </c>
      <c r="M4050" t="s">
        <v>27251</v>
      </c>
      <c r="N4050" t="s">
        <v>27252</v>
      </c>
      <c r="Q4050" s="1">
        <v>44538</v>
      </c>
      <c r="R4050" t="s">
        <v>27253</v>
      </c>
      <c r="S4050" t="s">
        <v>27254</v>
      </c>
      <c r="T4050" t="s">
        <v>27269</v>
      </c>
    </row>
    <row r="4051" spans="1:20" x14ac:dyDescent="0.3">
      <c r="A4051" t="str">
        <f>"0611834035100"</f>
        <v>0611834035100</v>
      </c>
      <c r="B4051" t="str">
        <f>"LK6899"</f>
        <v>LK6899</v>
      </c>
      <c r="C4051" t="s">
        <v>35062</v>
      </c>
      <c r="D4051" t="s">
        <v>28138</v>
      </c>
      <c r="E4051" t="str">
        <f t="shared" si="63"/>
        <v>001390</v>
      </c>
      <c r="F4051" t="s">
        <v>27246</v>
      </c>
      <c r="G4051" t="s">
        <v>27247</v>
      </c>
      <c r="H4051" t="s">
        <v>27248</v>
      </c>
      <c r="I4051" t="s">
        <v>35063</v>
      </c>
      <c r="J4051" t="s">
        <v>8097</v>
      </c>
      <c r="L4051" t="s">
        <v>27250</v>
      </c>
      <c r="M4051" t="s">
        <v>27251</v>
      </c>
      <c r="N4051" t="s">
        <v>27252</v>
      </c>
      <c r="P4051" t="s">
        <v>27925</v>
      </c>
      <c r="Q4051" s="1">
        <v>44538</v>
      </c>
      <c r="R4051" t="s">
        <v>27253</v>
      </c>
      <c r="S4051" t="s">
        <v>27254</v>
      </c>
      <c r="T4051" t="s">
        <v>27255</v>
      </c>
    </row>
    <row r="4052" spans="1:20" x14ac:dyDescent="0.3">
      <c r="A4052" t="str">
        <f>"0611834036100"</f>
        <v>0611834036100</v>
      </c>
      <c r="B4052" t="str">
        <f>"LK5557"</f>
        <v>LK5557</v>
      </c>
      <c r="C4052" t="s">
        <v>35064</v>
      </c>
      <c r="D4052" t="s">
        <v>28138</v>
      </c>
      <c r="E4052" t="str">
        <f t="shared" si="63"/>
        <v>001390</v>
      </c>
      <c r="F4052" t="s">
        <v>27246</v>
      </c>
      <c r="G4052" t="s">
        <v>27247</v>
      </c>
      <c r="H4052" t="s">
        <v>27248</v>
      </c>
      <c r="I4052" t="s">
        <v>35065</v>
      </c>
      <c r="J4052" t="s">
        <v>8099</v>
      </c>
      <c r="L4052" t="s">
        <v>27250</v>
      </c>
      <c r="M4052" t="s">
        <v>27251</v>
      </c>
      <c r="N4052" t="s">
        <v>27252</v>
      </c>
      <c r="P4052" t="s">
        <v>27925</v>
      </c>
      <c r="Q4052" s="1">
        <v>44538</v>
      </c>
      <c r="R4052" t="s">
        <v>27253</v>
      </c>
      <c r="S4052" t="s">
        <v>27254</v>
      </c>
      <c r="T4052" t="s">
        <v>27255</v>
      </c>
    </row>
    <row r="4053" spans="1:20" x14ac:dyDescent="0.3">
      <c r="A4053" t="str">
        <f>"0611834037100"</f>
        <v>0611834037100</v>
      </c>
      <c r="B4053" t="str">
        <f>"LK4469"</f>
        <v>LK4469</v>
      </c>
      <c r="C4053" t="s">
        <v>35066</v>
      </c>
      <c r="D4053" t="s">
        <v>28138</v>
      </c>
      <c r="E4053" t="str">
        <f t="shared" si="63"/>
        <v>001390</v>
      </c>
      <c r="F4053" t="s">
        <v>27246</v>
      </c>
      <c r="G4053" t="s">
        <v>27247</v>
      </c>
      <c r="H4053" t="s">
        <v>27248</v>
      </c>
      <c r="I4053" t="s">
        <v>35067</v>
      </c>
      <c r="J4053" t="s">
        <v>8101</v>
      </c>
      <c r="L4053" t="s">
        <v>27250</v>
      </c>
      <c r="M4053" t="s">
        <v>27251</v>
      </c>
      <c r="N4053" t="s">
        <v>27252</v>
      </c>
      <c r="P4053" t="s">
        <v>27925</v>
      </c>
      <c r="Q4053" s="1">
        <v>44538</v>
      </c>
      <c r="R4053" t="s">
        <v>27253</v>
      </c>
      <c r="S4053" t="s">
        <v>27254</v>
      </c>
      <c r="T4053" t="s">
        <v>27255</v>
      </c>
    </row>
    <row r="4054" spans="1:20" x14ac:dyDescent="0.3">
      <c r="A4054" t="str">
        <f>"0611834038100"</f>
        <v>0611834038100</v>
      </c>
      <c r="B4054" t="str">
        <f>"LK6900"</f>
        <v>LK6900</v>
      </c>
      <c r="C4054" t="s">
        <v>35068</v>
      </c>
      <c r="D4054" t="s">
        <v>28138</v>
      </c>
      <c r="E4054" t="str">
        <f t="shared" si="63"/>
        <v>001390</v>
      </c>
      <c r="F4054" t="s">
        <v>27246</v>
      </c>
      <c r="G4054" t="s">
        <v>27247</v>
      </c>
      <c r="H4054" t="s">
        <v>27248</v>
      </c>
      <c r="I4054" t="s">
        <v>35069</v>
      </c>
      <c r="J4054" t="s">
        <v>8103</v>
      </c>
      <c r="L4054" t="s">
        <v>27250</v>
      </c>
      <c r="M4054" t="s">
        <v>27251</v>
      </c>
      <c r="N4054" t="s">
        <v>27252</v>
      </c>
      <c r="P4054" t="s">
        <v>27925</v>
      </c>
      <c r="Q4054" s="1">
        <v>44538</v>
      </c>
      <c r="R4054" t="s">
        <v>27253</v>
      </c>
      <c r="S4054" t="s">
        <v>27254</v>
      </c>
      <c r="T4054" t="s">
        <v>27255</v>
      </c>
    </row>
    <row r="4055" spans="1:20" x14ac:dyDescent="0.3">
      <c r="A4055" t="str">
        <f>"0611834039100"</f>
        <v>0611834039100</v>
      </c>
      <c r="B4055" t="str">
        <f>"LB2553"</f>
        <v>LB2553</v>
      </c>
      <c r="C4055" t="s">
        <v>35070</v>
      </c>
      <c r="D4055" t="s">
        <v>27245</v>
      </c>
      <c r="E4055" t="str">
        <f t="shared" si="63"/>
        <v>001390</v>
      </c>
      <c r="F4055" t="s">
        <v>27246</v>
      </c>
      <c r="G4055" t="s">
        <v>27247</v>
      </c>
      <c r="H4055" t="s">
        <v>27248</v>
      </c>
      <c r="I4055" t="s">
        <v>35071</v>
      </c>
      <c r="J4055" t="s">
        <v>8105</v>
      </c>
      <c r="L4055" t="s">
        <v>27250</v>
      </c>
      <c r="M4055" t="s">
        <v>27251</v>
      </c>
      <c r="N4055" t="s">
        <v>27252</v>
      </c>
      <c r="Q4055" s="1">
        <v>44538</v>
      </c>
      <c r="R4055" t="s">
        <v>27253</v>
      </c>
      <c r="S4055" t="s">
        <v>27254</v>
      </c>
      <c r="T4055" t="s">
        <v>27255</v>
      </c>
    </row>
    <row r="4056" spans="1:20" x14ac:dyDescent="0.3">
      <c r="A4056" t="str">
        <f>"0611834040025"</f>
        <v>0611834040025</v>
      </c>
      <c r="B4056" t="str">
        <f>"MC1125"</f>
        <v>MC1125</v>
      </c>
      <c r="C4056" t="s">
        <v>35072</v>
      </c>
      <c r="D4056" t="s">
        <v>27267</v>
      </c>
      <c r="E4056" t="str">
        <f t="shared" si="63"/>
        <v>001390</v>
      </c>
      <c r="F4056" t="s">
        <v>27246</v>
      </c>
      <c r="G4056" t="s">
        <v>27247</v>
      </c>
      <c r="H4056" t="s">
        <v>27248</v>
      </c>
      <c r="I4056" t="s">
        <v>35073</v>
      </c>
      <c r="J4056" t="s">
        <v>8107</v>
      </c>
      <c r="L4056" t="s">
        <v>27250</v>
      </c>
      <c r="M4056" t="s">
        <v>27251</v>
      </c>
      <c r="N4056" t="s">
        <v>27252</v>
      </c>
      <c r="Q4056" s="1">
        <v>44538</v>
      </c>
      <c r="R4056" t="s">
        <v>27253</v>
      </c>
      <c r="S4056" t="s">
        <v>27254</v>
      </c>
      <c r="T4056" t="s">
        <v>27269</v>
      </c>
    </row>
    <row r="4057" spans="1:20" x14ac:dyDescent="0.3">
      <c r="A4057" t="str">
        <f>"0611861841050"</f>
        <v>0611861841050</v>
      </c>
      <c r="B4057" t="str">
        <f>"CE0851"</f>
        <v>CE0851</v>
      </c>
      <c r="C4057" t="s">
        <v>35074</v>
      </c>
      <c r="D4057" t="s">
        <v>27923</v>
      </c>
      <c r="E4057" t="str">
        <f t="shared" si="63"/>
        <v>001390</v>
      </c>
      <c r="F4057" t="s">
        <v>27246</v>
      </c>
      <c r="G4057" t="s">
        <v>27247</v>
      </c>
      <c r="H4057" t="s">
        <v>27248</v>
      </c>
      <c r="I4057" t="s">
        <v>35075</v>
      </c>
      <c r="J4057" t="s">
        <v>8109</v>
      </c>
      <c r="L4057" t="s">
        <v>27250</v>
      </c>
      <c r="M4057" t="s">
        <v>27251</v>
      </c>
      <c r="N4057" t="s">
        <v>27252</v>
      </c>
      <c r="P4057" t="s">
        <v>27925</v>
      </c>
      <c r="Q4057" s="1">
        <v>44846</v>
      </c>
      <c r="R4057" t="s">
        <v>27253</v>
      </c>
      <c r="S4057" t="s">
        <v>27254</v>
      </c>
      <c r="T4057" t="s">
        <v>27265</v>
      </c>
    </row>
    <row r="4058" spans="1:20" x14ac:dyDescent="0.3">
      <c r="A4058" t="str">
        <f>"0611861842050"</f>
        <v>0611861842050</v>
      </c>
      <c r="B4058" t="str">
        <f>"CE0614"</f>
        <v>CE0614</v>
      </c>
      <c r="C4058" t="s">
        <v>35076</v>
      </c>
      <c r="D4058" t="s">
        <v>27923</v>
      </c>
      <c r="E4058" t="str">
        <f t="shared" si="63"/>
        <v>001390</v>
      </c>
      <c r="F4058" t="s">
        <v>27246</v>
      </c>
      <c r="G4058" t="s">
        <v>27247</v>
      </c>
      <c r="H4058" t="s">
        <v>27248</v>
      </c>
      <c r="I4058" t="s">
        <v>35077</v>
      </c>
      <c r="J4058" t="s">
        <v>8111</v>
      </c>
      <c r="L4058" t="s">
        <v>27250</v>
      </c>
      <c r="M4058" t="s">
        <v>27251</v>
      </c>
      <c r="N4058" t="s">
        <v>27252</v>
      </c>
      <c r="P4058" t="s">
        <v>27925</v>
      </c>
      <c r="Q4058" s="1">
        <v>44846</v>
      </c>
      <c r="R4058" t="s">
        <v>27253</v>
      </c>
      <c r="S4058" t="s">
        <v>27254</v>
      </c>
      <c r="T4058" t="s">
        <v>27265</v>
      </c>
    </row>
    <row r="4059" spans="1:20" x14ac:dyDescent="0.3">
      <c r="A4059" t="str">
        <f>"0611861843050"</f>
        <v>0611861843050</v>
      </c>
      <c r="B4059" t="str">
        <f>"CE0615"</f>
        <v>CE0615</v>
      </c>
      <c r="C4059" t="s">
        <v>35078</v>
      </c>
      <c r="D4059" t="s">
        <v>27923</v>
      </c>
      <c r="E4059" t="str">
        <f t="shared" si="63"/>
        <v>001390</v>
      </c>
      <c r="F4059" t="s">
        <v>27246</v>
      </c>
      <c r="G4059" t="s">
        <v>27247</v>
      </c>
      <c r="H4059" t="s">
        <v>27248</v>
      </c>
      <c r="I4059" t="s">
        <v>35079</v>
      </c>
      <c r="J4059" t="s">
        <v>8113</v>
      </c>
      <c r="L4059" t="s">
        <v>27250</v>
      </c>
      <c r="M4059" t="s">
        <v>27251</v>
      </c>
      <c r="N4059" t="s">
        <v>27252</v>
      </c>
      <c r="P4059" t="s">
        <v>27925</v>
      </c>
      <c r="Q4059" s="1">
        <v>44846</v>
      </c>
      <c r="R4059" t="s">
        <v>27253</v>
      </c>
      <c r="S4059" t="s">
        <v>27254</v>
      </c>
      <c r="T4059" t="s">
        <v>27265</v>
      </c>
    </row>
    <row r="4060" spans="1:20" x14ac:dyDescent="0.3">
      <c r="A4060" t="str">
        <f>"0611861844050"</f>
        <v>0611861844050</v>
      </c>
      <c r="B4060" t="str">
        <f>"CE0770"</f>
        <v>CE0770</v>
      </c>
      <c r="C4060" t="s">
        <v>35080</v>
      </c>
      <c r="D4060" t="s">
        <v>27923</v>
      </c>
      <c r="E4060" t="str">
        <f t="shared" si="63"/>
        <v>001390</v>
      </c>
      <c r="F4060" t="s">
        <v>27246</v>
      </c>
      <c r="G4060" t="s">
        <v>27247</v>
      </c>
      <c r="H4060" t="s">
        <v>27248</v>
      </c>
      <c r="I4060" t="s">
        <v>35081</v>
      </c>
      <c r="J4060" t="s">
        <v>8115</v>
      </c>
      <c r="L4060" t="s">
        <v>27250</v>
      </c>
      <c r="M4060" t="s">
        <v>27251</v>
      </c>
      <c r="N4060" t="s">
        <v>27252</v>
      </c>
      <c r="P4060" t="s">
        <v>27925</v>
      </c>
      <c r="Q4060" s="1">
        <v>44846</v>
      </c>
      <c r="R4060" t="s">
        <v>27253</v>
      </c>
      <c r="S4060" t="s">
        <v>27254</v>
      </c>
      <c r="T4060" t="s">
        <v>27265</v>
      </c>
    </row>
    <row r="4061" spans="1:20" x14ac:dyDescent="0.3">
      <c r="A4061" t="str">
        <f>"0611861845050"</f>
        <v>0611861845050</v>
      </c>
      <c r="B4061" t="str">
        <f>"CE0616"</f>
        <v>CE0616</v>
      </c>
      <c r="C4061" t="s">
        <v>35082</v>
      </c>
      <c r="D4061" t="s">
        <v>27923</v>
      </c>
      <c r="E4061" t="str">
        <f t="shared" si="63"/>
        <v>001390</v>
      </c>
      <c r="F4061" t="s">
        <v>27246</v>
      </c>
      <c r="G4061" t="s">
        <v>27247</v>
      </c>
      <c r="H4061" t="s">
        <v>27248</v>
      </c>
      <c r="I4061" t="s">
        <v>35083</v>
      </c>
      <c r="J4061" t="s">
        <v>8117</v>
      </c>
      <c r="L4061" t="s">
        <v>27250</v>
      </c>
      <c r="M4061" t="s">
        <v>27251</v>
      </c>
      <c r="N4061" t="s">
        <v>27252</v>
      </c>
      <c r="P4061" t="s">
        <v>27925</v>
      </c>
      <c r="Q4061" s="1">
        <v>44846</v>
      </c>
      <c r="R4061" t="s">
        <v>27253</v>
      </c>
      <c r="S4061" t="s">
        <v>27254</v>
      </c>
      <c r="T4061" t="s">
        <v>27265</v>
      </c>
    </row>
    <row r="4062" spans="1:20" x14ac:dyDescent="0.3">
      <c r="A4062" t="str">
        <f>"0611861846050"</f>
        <v>0611861846050</v>
      </c>
      <c r="B4062" t="str">
        <f>"CE0617"</f>
        <v>CE0617</v>
      </c>
      <c r="C4062" t="s">
        <v>35084</v>
      </c>
      <c r="D4062" t="s">
        <v>27923</v>
      </c>
      <c r="E4062" t="str">
        <f t="shared" si="63"/>
        <v>001390</v>
      </c>
      <c r="F4062" t="s">
        <v>27246</v>
      </c>
      <c r="G4062" t="s">
        <v>27247</v>
      </c>
      <c r="H4062" t="s">
        <v>27248</v>
      </c>
      <c r="I4062" t="s">
        <v>35085</v>
      </c>
      <c r="J4062" t="s">
        <v>8119</v>
      </c>
      <c r="L4062" t="s">
        <v>27250</v>
      </c>
      <c r="M4062" t="s">
        <v>27251</v>
      </c>
      <c r="N4062" t="s">
        <v>27252</v>
      </c>
      <c r="P4062" t="s">
        <v>27925</v>
      </c>
      <c r="Q4062" s="1">
        <v>44846</v>
      </c>
      <c r="R4062" t="s">
        <v>27253</v>
      </c>
      <c r="S4062" t="s">
        <v>27254</v>
      </c>
      <c r="T4062" t="s">
        <v>27265</v>
      </c>
    </row>
    <row r="4063" spans="1:20" x14ac:dyDescent="0.3">
      <c r="A4063" t="str">
        <f>"0611861847050"</f>
        <v>0611861847050</v>
      </c>
      <c r="B4063" t="str">
        <f>"CE0618"</f>
        <v>CE0618</v>
      </c>
      <c r="C4063" t="s">
        <v>35086</v>
      </c>
      <c r="D4063" t="s">
        <v>27923</v>
      </c>
      <c r="E4063" t="str">
        <f t="shared" si="63"/>
        <v>001390</v>
      </c>
      <c r="F4063" t="s">
        <v>27246</v>
      </c>
      <c r="G4063" t="s">
        <v>27247</v>
      </c>
      <c r="H4063" t="s">
        <v>27248</v>
      </c>
      <c r="I4063" t="s">
        <v>35087</v>
      </c>
      <c r="J4063" t="s">
        <v>8121</v>
      </c>
      <c r="L4063" t="s">
        <v>27250</v>
      </c>
      <c r="M4063" t="s">
        <v>27251</v>
      </c>
      <c r="N4063" t="s">
        <v>27252</v>
      </c>
      <c r="P4063" t="s">
        <v>27925</v>
      </c>
      <c r="Q4063" s="1">
        <v>44846</v>
      </c>
      <c r="R4063" t="s">
        <v>27253</v>
      </c>
      <c r="S4063" t="s">
        <v>27254</v>
      </c>
      <c r="T4063" t="s">
        <v>27265</v>
      </c>
    </row>
    <row r="4064" spans="1:20" x14ac:dyDescent="0.3">
      <c r="A4064" t="str">
        <f>"0611861848050"</f>
        <v>0611861848050</v>
      </c>
      <c r="B4064" t="str">
        <f>"CE0619"</f>
        <v>CE0619</v>
      </c>
      <c r="C4064" t="s">
        <v>35088</v>
      </c>
      <c r="D4064" t="s">
        <v>27923</v>
      </c>
      <c r="E4064" t="str">
        <f t="shared" si="63"/>
        <v>001390</v>
      </c>
      <c r="F4064" t="s">
        <v>27246</v>
      </c>
      <c r="G4064" t="s">
        <v>27247</v>
      </c>
      <c r="H4064" t="s">
        <v>27248</v>
      </c>
      <c r="I4064" t="s">
        <v>35089</v>
      </c>
      <c r="J4064" t="s">
        <v>8123</v>
      </c>
      <c r="L4064" t="s">
        <v>27250</v>
      </c>
      <c r="M4064" t="s">
        <v>27251</v>
      </c>
      <c r="N4064" t="s">
        <v>27252</v>
      </c>
      <c r="P4064" t="s">
        <v>27925</v>
      </c>
      <c r="Q4064" s="1">
        <v>44846</v>
      </c>
      <c r="R4064" t="s">
        <v>27253</v>
      </c>
      <c r="S4064" t="s">
        <v>27254</v>
      </c>
      <c r="T4064" t="s">
        <v>27265</v>
      </c>
    </row>
    <row r="4065" spans="1:20" x14ac:dyDescent="0.3">
      <c r="A4065" t="str">
        <f>"0611834042100"</f>
        <v>0611834042100</v>
      </c>
      <c r="B4065" t="str">
        <f>"LK1221"</f>
        <v>LK1221</v>
      </c>
      <c r="C4065" t="s">
        <v>35090</v>
      </c>
      <c r="D4065" t="s">
        <v>27245</v>
      </c>
      <c r="E4065" t="str">
        <f t="shared" si="63"/>
        <v>001390</v>
      </c>
      <c r="F4065" t="s">
        <v>27246</v>
      </c>
      <c r="G4065" t="s">
        <v>27247</v>
      </c>
      <c r="H4065" t="s">
        <v>27248</v>
      </c>
      <c r="I4065" t="s">
        <v>35091</v>
      </c>
      <c r="J4065" t="s">
        <v>8125</v>
      </c>
      <c r="L4065" t="s">
        <v>27250</v>
      </c>
      <c r="M4065" t="s">
        <v>27251</v>
      </c>
      <c r="N4065" t="s">
        <v>27252</v>
      </c>
      <c r="Q4065" s="1">
        <v>44538</v>
      </c>
      <c r="R4065" t="s">
        <v>27253</v>
      </c>
      <c r="S4065" t="s">
        <v>27254</v>
      </c>
      <c r="T4065" t="s">
        <v>27255</v>
      </c>
    </row>
    <row r="4066" spans="1:20" x14ac:dyDescent="0.3">
      <c r="A4066" t="str">
        <f>"0611834043100"</f>
        <v>0611834043100</v>
      </c>
      <c r="B4066" t="str">
        <f>"LQ6014"</f>
        <v>LQ6014</v>
      </c>
      <c r="C4066" t="s">
        <v>35092</v>
      </c>
      <c r="D4066" t="s">
        <v>27245</v>
      </c>
      <c r="E4066" t="str">
        <f t="shared" si="63"/>
        <v>001390</v>
      </c>
      <c r="F4066" t="s">
        <v>27246</v>
      </c>
      <c r="G4066" t="s">
        <v>27247</v>
      </c>
      <c r="H4066" t="s">
        <v>27248</v>
      </c>
      <c r="I4066" t="s">
        <v>35093</v>
      </c>
      <c r="J4066" t="s">
        <v>8127</v>
      </c>
      <c r="L4066" t="s">
        <v>27250</v>
      </c>
      <c r="M4066" t="s">
        <v>27251</v>
      </c>
      <c r="N4066" t="s">
        <v>27252</v>
      </c>
      <c r="Q4066" s="1">
        <v>44538</v>
      </c>
      <c r="R4066" t="s">
        <v>27253</v>
      </c>
      <c r="S4066" t="s">
        <v>27254</v>
      </c>
      <c r="T4066" t="s">
        <v>27255</v>
      </c>
    </row>
    <row r="4067" spans="1:20" x14ac:dyDescent="0.3">
      <c r="A4067" t="str">
        <f>"0611861849050"</f>
        <v>0611861849050</v>
      </c>
      <c r="B4067" t="str">
        <f>"CR2197"</f>
        <v>CR2197</v>
      </c>
      <c r="C4067" t="s">
        <v>35094</v>
      </c>
      <c r="D4067" t="s">
        <v>27271</v>
      </c>
      <c r="E4067" t="str">
        <f t="shared" si="63"/>
        <v>001390</v>
      </c>
      <c r="F4067" t="s">
        <v>27246</v>
      </c>
      <c r="G4067" t="s">
        <v>27247</v>
      </c>
      <c r="H4067" t="s">
        <v>27248</v>
      </c>
      <c r="I4067" t="s">
        <v>35095</v>
      </c>
      <c r="J4067" t="s">
        <v>8129</v>
      </c>
      <c r="L4067" t="s">
        <v>27250</v>
      </c>
      <c r="M4067" t="s">
        <v>27251</v>
      </c>
      <c r="N4067" t="s">
        <v>27252</v>
      </c>
      <c r="P4067" t="s">
        <v>27341</v>
      </c>
      <c r="Q4067" s="1">
        <v>44846</v>
      </c>
      <c r="R4067" t="s">
        <v>27253</v>
      </c>
      <c r="S4067" t="s">
        <v>27254</v>
      </c>
      <c r="T4067" t="s">
        <v>27265</v>
      </c>
    </row>
    <row r="4068" spans="1:20" x14ac:dyDescent="0.3">
      <c r="A4068" t="str">
        <f>"0611861850050"</f>
        <v>0611861850050</v>
      </c>
      <c r="B4068" t="str">
        <f>"CR3077"</f>
        <v>CR3077</v>
      </c>
      <c r="C4068" t="s">
        <v>35096</v>
      </c>
      <c r="D4068" t="s">
        <v>27271</v>
      </c>
      <c r="E4068" t="str">
        <f t="shared" si="63"/>
        <v>001390</v>
      </c>
      <c r="F4068" t="s">
        <v>27246</v>
      </c>
      <c r="G4068" t="s">
        <v>27247</v>
      </c>
      <c r="H4068" t="s">
        <v>27248</v>
      </c>
      <c r="I4068" t="s">
        <v>35097</v>
      </c>
      <c r="J4068" t="s">
        <v>8131</v>
      </c>
      <c r="L4068" t="s">
        <v>27250</v>
      </c>
      <c r="M4068" t="s">
        <v>27251</v>
      </c>
      <c r="N4068" t="s">
        <v>27252</v>
      </c>
      <c r="P4068" t="s">
        <v>27341</v>
      </c>
      <c r="Q4068" s="1">
        <v>44846</v>
      </c>
      <c r="R4068" t="s">
        <v>27253</v>
      </c>
      <c r="S4068" t="s">
        <v>27254</v>
      </c>
      <c r="T4068" t="s">
        <v>27265</v>
      </c>
    </row>
    <row r="4069" spans="1:20" x14ac:dyDescent="0.3">
      <c r="A4069" t="str">
        <f>"0611861851050"</f>
        <v>0611861851050</v>
      </c>
      <c r="B4069" t="str">
        <f>"CR3720"</f>
        <v>CR3720</v>
      </c>
      <c r="C4069" t="s">
        <v>35098</v>
      </c>
      <c r="D4069" t="s">
        <v>27271</v>
      </c>
      <c r="E4069" t="str">
        <f t="shared" si="63"/>
        <v>001390</v>
      </c>
      <c r="F4069" t="s">
        <v>27246</v>
      </c>
      <c r="G4069" t="s">
        <v>27247</v>
      </c>
      <c r="H4069" t="s">
        <v>27248</v>
      </c>
      <c r="I4069" t="s">
        <v>35099</v>
      </c>
      <c r="J4069" t="s">
        <v>8133</v>
      </c>
      <c r="L4069" t="s">
        <v>27250</v>
      </c>
      <c r="M4069" t="s">
        <v>27251</v>
      </c>
      <c r="N4069" t="s">
        <v>27252</v>
      </c>
      <c r="P4069" t="s">
        <v>27341</v>
      </c>
      <c r="Q4069" s="1">
        <v>44846</v>
      </c>
      <c r="R4069" t="s">
        <v>27253</v>
      </c>
      <c r="S4069" t="s">
        <v>27254</v>
      </c>
      <c r="T4069" t="s">
        <v>27265</v>
      </c>
    </row>
    <row r="4070" spans="1:20" x14ac:dyDescent="0.3">
      <c r="A4070" t="str">
        <f>"0611861852050"</f>
        <v>0611861852050</v>
      </c>
      <c r="B4070" t="str">
        <f>"CR3078"</f>
        <v>CR3078</v>
      </c>
      <c r="C4070" t="s">
        <v>35100</v>
      </c>
      <c r="D4070" t="s">
        <v>27271</v>
      </c>
      <c r="E4070" t="str">
        <f t="shared" si="63"/>
        <v>001390</v>
      </c>
      <c r="F4070" t="s">
        <v>27246</v>
      </c>
      <c r="G4070" t="s">
        <v>27247</v>
      </c>
      <c r="H4070" t="s">
        <v>27248</v>
      </c>
      <c r="I4070" t="s">
        <v>35101</v>
      </c>
      <c r="J4070" t="s">
        <v>8135</v>
      </c>
      <c r="L4070" t="s">
        <v>27250</v>
      </c>
      <c r="M4070" t="s">
        <v>27251</v>
      </c>
      <c r="N4070" t="s">
        <v>27252</v>
      </c>
      <c r="P4070" t="s">
        <v>27341</v>
      </c>
      <c r="Q4070" s="1">
        <v>44846</v>
      </c>
      <c r="R4070" t="s">
        <v>27253</v>
      </c>
      <c r="S4070" t="s">
        <v>27254</v>
      </c>
      <c r="T4070" t="s">
        <v>27265</v>
      </c>
    </row>
    <row r="4071" spans="1:20" x14ac:dyDescent="0.3">
      <c r="A4071" t="str">
        <f>"0611884187100"</f>
        <v>0611884187100</v>
      </c>
      <c r="B4071" t="str">
        <f>"LQ3913"</f>
        <v>LQ3913</v>
      </c>
      <c r="C4071" t="s">
        <v>35102</v>
      </c>
      <c r="D4071" t="s">
        <v>27245</v>
      </c>
      <c r="E4071" t="str">
        <f t="shared" si="63"/>
        <v>001390</v>
      </c>
      <c r="F4071" t="s">
        <v>27246</v>
      </c>
      <c r="G4071" t="s">
        <v>27247</v>
      </c>
      <c r="H4071" t="s">
        <v>27248</v>
      </c>
      <c r="I4071" t="s">
        <v>35103</v>
      </c>
      <c r="J4071" t="s">
        <v>8137</v>
      </c>
      <c r="L4071" t="s">
        <v>27430</v>
      </c>
      <c r="M4071" t="s">
        <v>27251</v>
      </c>
      <c r="N4071" t="s">
        <v>27252</v>
      </c>
      <c r="Q4071" s="1">
        <v>45250</v>
      </c>
      <c r="R4071" t="s">
        <v>27253</v>
      </c>
      <c r="S4071" t="s">
        <v>27254</v>
      </c>
      <c r="T4071" t="s">
        <v>27255</v>
      </c>
    </row>
    <row r="4072" spans="1:20" x14ac:dyDescent="0.3">
      <c r="A4072" t="str">
        <f>"0611834044100"</f>
        <v>0611834044100</v>
      </c>
      <c r="B4072" t="str">
        <f>"LQ6160"</f>
        <v>LQ6160</v>
      </c>
      <c r="C4072" t="s">
        <v>35104</v>
      </c>
      <c r="D4072" t="s">
        <v>27245</v>
      </c>
      <c r="E4072" t="str">
        <f t="shared" si="63"/>
        <v>001390</v>
      </c>
      <c r="F4072" t="s">
        <v>27246</v>
      </c>
      <c r="G4072" t="s">
        <v>27247</v>
      </c>
      <c r="H4072" t="s">
        <v>27248</v>
      </c>
      <c r="I4072" t="s">
        <v>35105</v>
      </c>
      <c r="J4072" t="s">
        <v>8139</v>
      </c>
      <c r="L4072" t="s">
        <v>27250</v>
      </c>
      <c r="M4072" t="s">
        <v>27251</v>
      </c>
      <c r="N4072" t="s">
        <v>27252</v>
      </c>
      <c r="Q4072" s="1">
        <v>44538</v>
      </c>
      <c r="R4072" t="s">
        <v>27253</v>
      </c>
      <c r="S4072" t="s">
        <v>27254</v>
      </c>
      <c r="T4072" t="s">
        <v>27255</v>
      </c>
    </row>
    <row r="4073" spans="1:20" x14ac:dyDescent="0.3">
      <c r="A4073" t="str">
        <f>"0611834045025"</f>
        <v>0611834045025</v>
      </c>
      <c r="B4073" t="str">
        <f>"MC0263"</f>
        <v>MC0263</v>
      </c>
      <c r="C4073" t="s">
        <v>35106</v>
      </c>
      <c r="D4073" t="s">
        <v>27267</v>
      </c>
      <c r="E4073" t="str">
        <f t="shared" si="63"/>
        <v>001390</v>
      </c>
      <c r="F4073" t="s">
        <v>27246</v>
      </c>
      <c r="G4073" t="s">
        <v>27247</v>
      </c>
      <c r="H4073" t="s">
        <v>27248</v>
      </c>
      <c r="I4073" t="s">
        <v>35107</v>
      </c>
      <c r="J4073" t="s">
        <v>8141</v>
      </c>
      <c r="L4073" t="s">
        <v>27250</v>
      </c>
      <c r="M4073" t="s">
        <v>27251</v>
      </c>
      <c r="N4073" t="s">
        <v>27252</v>
      </c>
      <c r="O4073">
        <v>25</v>
      </c>
      <c r="Q4073" s="1">
        <v>44538</v>
      </c>
      <c r="R4073" t="s">
        <v>27253</v>
      </c>
      <c r="S4073" t="s">
        <v>27254</v>
      </c>
      <c r="T4073" t="s">
        <v>27269</v>
      </c>
    </row>
    <row r="4074" spans="1:20" x14ac:dyDescent="0.3">
      <c r="A4074" t="str">
        <f>"0611834046025"</f>
        <v>0611834046025</v>
      </c>
      <c r="B4074" t="str">
        <f>"MC0262"</f>
        <v>MC0262</v>
      </c>
      <c r="C4074" t="s">
        <v>35108</v>
      </c>
      <c r="D4074" t="s">
        <v>27267</v>
      </c>
      <c r="E4074" t="str">
        <f t="shared" si="63"/>
        <v>001390</v>
      </c>
      <c r="F4074" t="s">
        <v>27246</v>
      </c>
      <c r="G4074" t="s">
        <v>27247</v>
      </c>
      <c r="H4074" t="s">
        <v>27248</v>
      </c>
      <c r="I4074" t="s">
        <v>35109</v>
      </c>
      <c r="J4074" t="s">
        <v>8143</v>
      </c>
      <c r="L4074" t="s">
        <v>27250</v>
      </c>
      <c r="M4074" t="s">
        <v>27251</v>
      </c>
      <c r="N4074" t="s">
        <v>27252</v>
      </c>
      <c r="Q4074" s="1">
        <v>44538</v>
      </c>
      <c r="R4074" t="s">
        <v>27253</v>
      </c>
      <c r="S4074" t="s">
        <v>27254</v>
      </c>
      <c r="T4074" t="s">
        <v>27269</v>
      </c>
    </row>
    <row r="4075" spans="1:20" x14ac:dyDescent="0.3">
      <c r="A4075" t="str">
        <f>"0611834047025"</f>
        <v>0611834047025</v>
      </c>
      <c r="B4075" t="str">
        <f>"MC2802"</f>
        <v>MC2802</v>
      </c>
      <c r="C4075" t="s">
        <v>35110</v>
      </c>
      <c r="D4075" t="s">
        <v>27267</v>
      </c>
      <c r="E4075" t="str">
        <f t="shared" si="63"/>
        <v>001390</v>
      </c>
      <c r="F4075" t="s">
        <v>27246</v>
      </c>
      <c r="G4075" t="s">
        <v>27247</v>
      </c>
      <c r="H4075" t="s">
        <v>27248</v>
      </c>
      <c r="I4075" t="s">
        <v>35111</v>
      </c>
      <c r="J4075" t="s">
        <v>8145</v>
      </c>
      <c r="L4075" t="s">
        <v>27250</v>
      </c>
      <c r="M4075" t="s">
        <v>27251</v>
      </c>
      <c r="N4075" t="s">
        <v>27252</v>
      </c>
      <c r="Q4075" s="1">
        <v>44538</v>
      </c>
      <c r="R4075" t="s">
        <v>27253</v>
      </c>
      <c r="S4075" t="s">
        <v>27254</v>
      </c>
      <c r="T4075" t="s">
        <v>27269</v>
      </c>
    </row>
    <row r="4076" spans="1:20" x14ac:dyDescent="0.3">
      <c r="A4076" t="str">
        <f>"0611834049025"</f>
        <v>0611834049025</v>
      </c>
      <c r="B4076" t="str">
        <f>"MC0261"</f>
        <v>MC0261</v>
      </c>
      <c r="C4076" t="s">
        <v>35112</v>
      </c>
      <c r="D4076" t="s">
        <v>27267</v>
      </c>
      <c r="E4076" t="str">
        <f t="shared" si="63"/>
        <v>001390</v>
      </c>
      <c r="F4076" t="s">
        <v>27246</v>
      </c>
      <c r="G4076" t="s">
        <v>27247</v>
      </c>
      <c r="H4076" t="s">
        <v>27248</v>
      </c>
      <c r="I4076" t="s">
        <v>35113</v>
      </c>
      <c r="J4076" t="s">
        <v>8147</v>
      </c>
      <c r="L4076" t="s">
        <v>27250</v>
      </c>
      <c r="M4076" t="s">
        <v>27251</v>
      </c>
      <c r="N4076" t="s">
        <v>27252</v>
      </c>
      <c r="Q4076" s="1">
        <v>44538</v>
      </c>
      <c r="R4076" t="s">
        <v>27253</v>
      </c>
      <c r="S4076" t="s">
        <v>27254</v>
      </c>
      <c r="T4076" t="s">
        <v>27269</v>
      </c>
    </row>
    <row r="4077" spans="1:20" x14ac:dyDescent="0.3">
      <c r="A4077" t="str">
        <f>"0611834050025"</f>
        <v>0611834050025</v>
      </c>
      <c r="B4077" t="str">
        <f>"MC0264"</f>
        <v>MC0264</v>
      </c>
      <c r="C4077" t="s">
        <v>35114</v>
      </c>
      <c r="D4077" t="s">
        <v>27267</v>
      </c>
      <c r="E4077" t="str">
        <f t="shared" si="63"/>
        <v>001390</v>
      </c>
      <c r="F4077" t="s">
        <v>27246</v>
      </c>
      <c r="G4077" t="s">
        <v>27247</v>
      </c>
      <c r="H4077" t="s">
        <v>27248</v>
      </c>
      <c r="I4077" t="s">
        <v>35115</v>
      </c>
      <c r="J4077" t="s">
        <v>8149</v>
      </c>
      <c r="L4077" t="s">
        <v>27250</v>
      </c>
      <c r="M4077" t="s">
        <v>27251</v>
      </c>
      <c r="N4077" t="s">
        <v>27252</v>
      </c>
      <c r="O4077">
        <v>25</v>
      </c>
      <c r="Q4077" s="1">
        <v>44538</v>
      </c>
      <c r="R4077" t="s">
        <v>27253</v>
      </c>
      <c r="S4077" t="s">
        <v>27254</v>
      </c>
      <c r="T4077" t="s">
        <v>27269</v>
      </c>
    </row>
    <row r="4078" spans="1:20" x14ac:dyDescent="0.3">
      <c r="A4078" t="str">
        <f>"0611834051100"</f>
        <v>0611834051100</v>
      </c>
      <c r="B4078" t="str">
        <f>"LK1222"</f>
        <v>LK1222</v>
      </c>
      <c r="C4078" t="s">
        <v>35116</v>
      </c>
      <c r="D4078" t="s">
        <v>27245</v>
      </c>
      <c r="E4078" t="str">
        <f t="shared" si="63"/>
        <v>001390</v>
      </c>
      <c r="F4078" t="s">
        <v>27246</v>
      </c>
      <c r="G4078" t="s">
        <v>27247</v>
      </c>
      <c r="H4078" t="s">
        <v>27248</v>
      </c>
      <c r="I4078" t="s">
        <v>35117</v>
      </c>
      <c r="J4078" t="s">
        <v>8151</v>
      </c>
      <c r="L4078" t="s">
        <v>27250</v>
      </c>
      <c r="M4078" t="s">
        <v>27251</v>
      </c>
      <c r="N4078" t="s">
        <v>27252</v>
      </c>
      <c r="Q4078" s="1">
        <v>44538</v>
      </c>
      <c r="R4078" t="s">
        <v>27253</v>
      </c>
      <c r="S4078" t="s">
        <v>27254</v>
      </c>
      <c r="T4078" t="s">
        <v>27255</v>
      </c>
    </row>
    <row r="4079" spans="1:20" x14ac:dyDescent="0.3">
      <c r="A4079" t="str">
        <f>"0611834052100"</f>
        <v>0611834052100</v>
      </c>
      <c r="B4079" t="str">
        <f>"LK0595"</f>
        <v>LK0595</v>
      </c>
      <c r="C4079" t="s">
        <v>35118</v>
      </c>
      <c r="D4079" t="s">
        <v>27245</v>
      </c>
      <c r="E4079" t="str">
        <f t="shared" si="63"/>
        <v>001390</v>
      </c>
      <c r="F4079" t="s">
        <v>27246</v>
      </c>
      <c r="G4079" t="s">
        <v>27247</v>
      </c>
      <c r="H4079" t="s">
        <v>27248</v>
      </c>
      <c r="I4079" t="s">
        <v>35119</v>
      </c>
      <c r="J4079" t="s">
        <v>8153</v>
      </c>
      <c r="L4079" t="s">
        <v>27250</v>
      </c>
      <c r="M4079" t="s">
        <v>27251</v>
      </c>
      <c r="N4079" t="s">
        <v>27252</v>
      </c>
      <c r="Q4079" s="1">
        <v>44538</v>
      </c>
      <c r="R4079" t="s">
        <v>27253</v>
      </c>
      <c r="S4079" t="s">
        <v>27254</v>
      </c>
      <c r="T4079" t="s">
        <v>27255</v>
      </c>
    </row>
    <row r="4080" spans="1:20" x14ac:dyDescent="0.3">
      <c r="A4080" t="str">
        <f>"0611834053100"</f>
        <v>0611834053100</v>
      </c>
      <c r="B4080" t="str">
        <f>"LQ3726"</f>
        <v>LQ3726</v>
      </c>
      <c r="C4080" t="s">
        <v>35120</v>
      </c>
      <c r="D4080" t="s">
        <v>27245</v>
      </c>
      <c r="E4080" t="str">
        <f t="shared" si="63"/>
        <v>001390</v>
      </c>
      <c r="F4080" t="s">
        <v>27246</v>
      </c>
      <c r="G4080" t="s">
        <v>27247</v>
      </c>
      <c r="H4080" t="s">
        <v>27248</v>
      </c>
      <c r="I4080" t="s">
        <v>35121</v>
      </c>
      <c r="J4080" t="s">
        <v>8155</v>
      </c>
      <c r="L4080" t="s">
        <v>27250</v>
      </c>
      <c r="M4080" t="s">
        <v>27251</v>
      </c>
      <c r="N4080" t="s">
        <v>27252</v>
      </c>
      <c r="Q4080" s="1">
        <v>44538</v>
      </c>
      <c r="R4080" t="s">
        <v>27253</v>
      </c>
      <c r="S4080" t="s">
        <v>27254</v>
      </c>
      <c r="T4080" t="s">
        <v>27255</v>
      </c>
    </row>
    <row r="4081" spans="1:20" x14ac:dyDescent="0.3">
      <c r="A4081" t="str">
        <f>"0611834054100"</f>
        <v>0611834054100</v>
      </c>
      <c r="B4081" t="str">
        <f>"LF1815"</f>
        <v>LF1815</v>
      </c>
      <c r="C4081" t="s">
        <v>35122</v>
      </c>
      <c r="D4081" t="s">
        <v>27245</v>
      </c>
      <c r="E4081" t="str">
        <f t="shared" si="63"/>
        <v>001390</v>
      </c>
      <c r="F4081" t="s">
        <v>27246</v>
      </c>
      <c r="G4081" t="s">
        <v>27247</v>
      </c>
      <c r="H4081" t="s">
        <v>27248</v>
      </c>
      <c r="I4081" t="s">
        <v>35123</v>
      </c>
      <c r="J4081" t="s">
        <v>8157</v>
      </c>
      <c r="L4081" t="s">
        <v>27250</v>
      </c>
      <c r="M4081" t="s">
        <v>27251</v>
      </c>
      <c r="N4081" t="s">
        <v>27252</v>
      </c>
      <c r="Q4081" s="1">
        <v>44538</v>
      </c>
      <c r="R4081" t="s">
        <v>27253</v>
      </c>
      <c r="S4081" t="s">
        <v>27254</v>
      </c>
      <c r="T4081" t="s">
        <v>27255</v>
      </c>
    </row>
    <row r="4082" spans="1:20" x14ac:dyDescent="0.3">
      <c r="A4082" t="str">
        <f>"0611834055100"</f>
        <v>0611834055100</v>
      </c>
      <c r="B4082" t="str">
        <f>"LF1800"</f>
        <v>LF1800</v>
      </c>
      <c r="C4082" t="s">
        <v>35124</v>
      </c>
      <c r="D4082" t="s">
        <v>27245</v>
      </c>
      <c r="E4082" t="str">
        <f t="shared" si="63"/>
        <v>001390</v>
      </c>
      <c r="F4082" t="s">
        <v>27246</v>
      </c>
      <c r="G4082" t="s">
        <v>27247</v>
      </c>
      <c r="H4082" t="s">
        <v>27248</v>
      </c>
      <c r="I4082" t="s">
        <v>35125</v>
      </c>
      <c r="J4082" t="s">
        <v>8159</v>
      </c>
      <c r="L4082" t="s">
        <v>27250</v>
      </c>
      <c r="M4082" t="s">
        <v>27251</v>
      </c>
      <c r="N4082" t="s">
        <v>27252</v>
      </c>
      <c r="Q4082" s="1">
        <v>44538</v>
      </c>
      <c r="R4082" t="s">
        <v>27253</v>
      </c>
      <c r="S4082" t="s">
        <v>27254</v>
      </c>
      <c r="T4082" t="s">
        <v>27255</v>
      </c>
    </row>
    <row r="4083" spans="1:20" x14ac:dyDescent="0.3">
      <c r="A4083" t="str">
        <f>"0611861853100"</f>
        <v>0611861853100</v>
      </c>
      <c r="B4083" t="str">
        <f>"CN5158"</f>
        <v>CN5158</v>
      </c>
      <c r="C4083" t="s">
        <v>35126</v>
      </c>
      <c r="D4083" t="s">
        <v>27335</v>
      </c>
      <c r="E4083" t="str">
        <f t="shared" si="63"/>
        <v>001390</v>
      </c>
      <c r="F4083" t="s">
        <v>27246</v>
      </c>
      <c r="G4083" t="s">
        <v>27247</v>
      </c>
      <c r="H4083" t="s">
        <v>27248</v>
      </c>
      <c r="I4083" t="s">
        <v>35127</v>
      </c>
      <c r="J4083" t="s">
        <v>8161</v>
      </c>
      <c r="L4083" t="s">
        <v>27250</v>
      </c>
      <c r="M4083" t="s">
        <v>27251</v>
      </c>
      <c r="N4083" t="s">
        <v>27252</v>
      </c>
      <c r="Q4083" s="1">
        <v>44846</v>
      </c>
      <c r="R4083" t="s">
        <v>27253</v>
      </c>
      <c r="S4083" t="s">
        <v>27254</v>
      </c>
      <c r="T4083" t="s">
        <v>27255</v>
      </c>
    </row>
    <row r="4084" spans="1:20" x14ac:dyDescent="0.3">
      <c r="A4084" t="str">
        <f>"0611861854100"</f>
        <v>0611861854100</v>
      </c>
      <c r="B4084" t="str">
        <f>"CN5156"</f>
        <v>CN5156</v>
      </c>
      <c r="C4084" t="s">
        <v>35128</v>
      </c>
      <c r="D4084" t="s">
        <v>27335</v>
      </c>
      <c r="E4084" t="str">
        <f t="shared" si="63"/>
        <v>001390</v>
      </c>
      <c r="F4084" t="s">
        <v>27246</v>
      </c>
      <c r="G4084" t="s">
        <v>27247</v>
      </c>
      <c r="H4084" t="s">
        <v>27248</v>
      </c>
      <c r="I4084" t="s">
        <v>35129</v>
      </c>
      <c r="J4084" t="s">
        <v>8163</v>
      </c>
      <c r="L4084" t="s">
        <v>27250</v>
      </c>
      <c r="M4084" t="s">
        <v>27251</v>
      </c>
      <c r="N4084" t="s">
        <v>27252</v>
      </c>
      <c r="Q4084" s="1">
        <v>44846</v>
      </c>
      <c r="R4084" t="s">
        <v>27253</v>
      </c>
      <c r="S4084" t="s">
        <v>27254</v>
      </c>
      <c r="T4084" t="s">
        <v>27255</v>
      </c>
    </row>
    <row r="4085" spans="1:20" x14ac:dyDescent="0.3">
      <c r="A4085" t="str">
        <f>"0611861855050"</f>
        <v>0611861855050</v>
      </c>
      <c r="B4085" t="str">
        <f>"CR4272"</f>
        <v>CR4272</v>
      </c>
      <c r="C4085" t="s">
        <v>35130</v>
      </c>
      <c r="D4085" t="s">
        <v>27286</v>
      </c>
      <c r="E4085" t="str">
        <f t="shared" si="63"/>
        <v>001390</v>
      </c>
      <c r="F4085" t="s">
        <v>27246</v>
      </c>
      <c r="G4085" t="s">
        <v>27247</v>
      </c>
      <c r="H4085" t="s">
        <v>27248</v>
      </c>
      <c r="I4085" t="s">
        <v>35131</v>
      </c>
      <c r="J4085" t="s">
        <v>8165</v>
      </c>
      <c r="L4085" t="s">
        <v>27250</v>
      </c>
      <c r="M4085" t="s">
        <v>27251</v>
      </c>
      <c r="N4085" t="s">
        <v>27252</v>
      </c>
      <c r="Q4085" s="1">
        <v>44846</v>
      </c>
      <c r="R4085" t="s">
        <v>27253</v>
      </c>
      <c r="S4085" t="s">
        <v>27254</v>
      </c>
      <c r="T4085" t="s">
        <v>27265</v>
      </c>
    </row>
    <row r="4086" spans="1:20" x14ac:dyDescent="0.3">
      <c r="A4086" t="str">
        <f>"0611861856100"</f>
        <v>0611861856100</v>
      </c>
      <c r="B4086" t="str">
        <f>"CN5157"</f>
        <v>CN5157</v>
      </c>
      <c r="C4086" t="s">
        <v>35132</v>
      </c>
      <c r="D4086" t="s">
        <v>27245</v>
      </c>
      <c r="E4086" t="str">
        <f t="shared" si="63"/>
        <v>001390</v>
      </c>
      <c r="F4086" t="s">
        <v>27246</v>
      </c>
      <c r="G4086" t="s">
        <v>27247</v>
      </c>
      <c r="H4086" t="s">
        <v>27248</v>
      </c>
      <c r="I4086" t="s">
        <v>35133</v>
      </c>
      <c r="J4086" t="s">
        <v>8167</v>
      </c>
      <c r="L4086" t="s">
        <v>27250</v>
      </c>
      <c r="M4086" t="s">
        <v>27251</v>
      </c>
      <c r="N4086" t="s">
        <v>27252</v>
      </c>
      <c r="Q4086" s="1">
        <v>44846</v>
      </c>
      <c r="R4086" t="s">
        <v>27253</v>
      </c>
      <c r="S4086" t="s">
        <v>27254</v>
      </c>
      <c r="T4086" t="s">
        <v>27255</v>
      </c>
    </row>
    <row r="4087" spans="1:20" x14ac:dyDescent="0.3">
      <c r="A4087" t="str">
        <f>"0611861857050"</f>
        <v>0611861857050</v>
      </c>
      <c r="B4087" t="str">
        <f>"CR4273"</f>
        <v>CR4273</v>
      </c>
      <c r="C4087" t="s">
        <v>35132</v>
      </c>
      <c r="D4087" t="s">
        <v>27286</v>
      </c>
      <c r="E4087" t="str">
        <f t="shared" si="63"/>
        <v>001390</v>
      </c>
      <c r="F4087" t="s">
        <v>27246</v>
      </c>
      <c r="G4087" t="s">
        <v>27247</v>
      </c>
      <c r="H4087" t="s">
        <v>27248</v>
      </c>
      <c r="I4087" t="s">
        <v>35134</v>
      </c>
      <c r="J4087" t="s">
        <v>8169</v>
      </c>
      <c r="L4087" t="s">
        <v>27250</v>
      </c>
      <c r="M4087" t="s">
        <v>27251</v>
      </c>
      <c r="N4087" t="s">
        <v>27252</v>
      </c>
      <c r="Q4087" s="1">
        <v>44846</v>
      </c>
      <c r="R4087" t="s">
        <v>27253</v>
      </c>
      <c r="S4087" t="s">
        <v>27254</v>
      </c>
      <c r="T4087" t="s">
        <v>27265</v>
      </c>
    </row>
    <row r="4088" spans="1:20" x14ac:dyDescent="0.3">
      <c r="A4088" t="str">
        <f>"0611834057025"</f>
        <v>0611834057025</v>
      </c>
      <c r="B4088" t="str">
        <f>"MC0266"</f>
        <v>MC0266</v>
      </c>
      <c r="C4088" t="s">
        <v>35135</v>
      </c>
      <c r="D4088" t="s">
        <v>27267</v>
      </c>
      <c r="E4088" t="str">
        <f t="shared" si="63"/>
        <v>001390</v>
      </c>
      <c r="F4088" t="s">
        <v>27246</v>
      </c>
      <c r="G4088" t="s">
        <v>27247</v>
      </c>
      <c r="H4088" t="s">
        <v>27248</v>
      </c>
      <c r="I4088" t="s">
        <v>35136</v>
      </c>
      <c r="J4088" t="s">
        <v>8171</v>
      </c>
      <c r="L4088" t="s">
        <v>27250</v>
      </c>
      <c r="M4088" t="s">
        <v>27251</v>
      </c>
      <c r="N4088" t="s">
        <v>27252</v>
      </c>
      <c r="Q4088" s="1">
        <v>44538</v>
      </c>
      <c r="R4088" t="s">
        <v>27253</v>
      </c>
      <c r="S4088" t="s">
        <v>27254</v>
      </c>
      <c r="T4088" t="s">
        <v>27269</v>
      </c>
    </row>
    <row r="4089" spans="1:20" x14ac:dyDescent="0.3">
      <c r="A4089" t="str">
        <f>"0611834058025"</f>
        <v>0611834058025</v>
      </c>
      <c r="B4089" t="str">
        <f>"MQ0550"</f>
        <v>MQ0550</v>
      </c>
      <c r="C4089" t="s">
        <v>35137</v>
      </c>
      <c r="D4089" t="s">
        <v>27267</v>
      </c>
      <c r="E4089" t="str">
        <f t="shared" si="63"/>
        <v>001390</v>
      </c>
      <c r="F4089" t="s">
        <v>27246</v>
      </c>
      <c r="G4089" t="s">
        <v>27247</v>
      </c>
      <c r="H4089" t="s">
        <v>27248</v>
      </c>
      <c r="I4089" t="s">
        <v>35138</v>
      </c>
      <c r="J4089" t="s">
        <v>8173</v>
      </c>
      <c r="L4089" t="s">
        <v>27250</v>
      </c>
      <c r="M4089" t="s">
        <v>27251</v>
      </c>
      <c r="N4089" t="s">
        <v>27252</v>
      </c>
      <c r="Q4089" s="1">
        <v>44538</v>
      </c>
      <c r="R4089" t="s">
        <v>27253</v>
      </c>
      <c r="S4089" t="s">
        <v>27254</v>
      </c>
      <c r="T4089" t="s">
        <v>27269</v>
      </c>
    </row>
    <row r="4090" spans="1:20" x14ac:dyDescent="0.3">
      <c r="A4090" t="str">
        <f>"0611834059025"</f>
        <v>0611834059025</v>
      </c>
      <c r="B4090" t="str">
        <f>"MC2400"</f>
        <v>MC2400</v>
      </c>
      <c r="C4090" t="s">
        <v>35139</v>
      </c>
      <c r="D4090" t="s">
        <v>28057</v>
      </c>
      <c r="E4090" t="str">
        <f t="shared" si="63"/>
        <v>001390</v>
      </c>
      <c r="F4090" t="s">
        <v>27246</v>
      </c>
      <c r="G4090" t="s">
        <v>27247</v>
      </c>
      <c r="H4090" t="s">
        <v>27248</v>
      </c>
      <c r="I4090" t="s">
        <v>35140</v>
      </c>
      <c r="J4090" t="s">
        <v>8175</v>
      </c>
      <c r="L4090" t="s">
        <v>27250</v>
      </c>
      <c r="M4090" t="s">
        <v>27251</v>
      </c>
      <c r="N4090" t="s">
        <v>27252</v>
      </c>
      <c r="P4090" t="s">
        <v>27925</v>
      </c>
      <c r="Q4090" s="1">
        <v>44538</v>
      </c>
      <c r="R4090" t="s">
        <v>27253</v>
      </c>
      <c r="S4090" t="s">
        <v>27254</v>
      </c>
      <c r="T4090" t="s">
        <v>27269</v>
      </c>
    </row>
    <row r="4091" spans="1:20" x14ac:dyDescent="0.3">
      <c r="A4091" t="str">
        <f>"0611834060025"</f>
        <v>0611834060025</v>
      </c>
      <c r="B4091" t="str">
        <f>"MC2401"</f>
        <v>MC2401</v>
      </c>
      <c r="C4091" t="s">
        <v>35141</v>
      </c>
      <c r="D4091" t="s">
        <v>28057</v>
      </c>
      <c r="E4091" t="str">
        <f t="shared" si="63"/>
        <v>001390</v>
      </c>
      <c r="F4091" t="s">
        <v>27246</v>
      </c>
      <c r="G4091" t="s">
        <v>27247</v>
      </c>
      <c r="H4091" t="s">
        <v>27248</v>
      </c>
      <c r="I4091" t="s">
        <v>35142</v>
      </c>
      <c r="J4091" t="s">
        <v>8177</v>
      </c>
      <c r="L4091" t="s">
        <v>27250</v>
      </c>
      <c r="M4091" t="s">
        <v>27251</v>
      </c>
      <c r="N4091" t="s">
        <v>27252</v>
      </c>
      <c r="P4091" t="s">
        <v>27925</v>
      </c>
      <c r="Q4091" s="1">
        <v>44538</v>
      </c>
      <c r="R4091" t="s">
        <v>27253</v>
      </c>
      <c r="S4091" t="s">
        <v>27254</v>
      </c>
      <c r="T4091" t="s">
        <v>27269</v>
      </c>
    </row>
    <row r="4092" spans="1:20" x14ac:dyDescent="0.3">
      <c r="A4092" t="str">
        <f>"0611834061025"</f>
        <v>0611834061025</v>
      </c>
      <c r="B4092" t="str">
        <f>"MC3389"</f>
        <v>MC3389</v>
      </c>
      <c r="C4092" t="s">
        <v>35143</v>
      </c>
      <c r="D4092" t="s">
        <v>28057</v>
      </c>
      <c r="E4092" t="str">
        <f t="shared" si="63"/>
        <v>001390</v>
      </c>
      <c r="F4092" t="s">
        <v>27246</v>
      </c>
      <c r="G4092" t="s">
        <v>27247</v>
      </c>
      <c r="H4092" t="s">
        <v>27248</v>
      </c>
      <c r="I4092" t="s">
        <v>35144</v>
      </c>
      <c r="J4092" t="s">
        <v>8179</v>
      </c>
      <c r="L4092" t="s">
        <v>27250</v>
      </c>
      <c r="M4092" t="s">
        <v>27251</v>
      </c>
      <c r="N4092" t="s">
        <v>27252</v>
      </c>
      <c r="P4092" t="s">
        <v>27925</v>
      </c>
      <c r="Q4092" s="1">
        <v>44538</v>
      </c>
      <c r="R4092" t="s">
        <v>27253</v>
      </c>
      <c r="S4092" t="s">
        <v>27254</v>
      </c>
      <c r="T4092" t="s">
        <v>27269</v>
      </c>
    </row>
    <row r="4093" spans="1:20" x14ac:dyDescent="0.3">
      <c r="A4093" t="str">
        <f>"0611834062025"</f>
        <v>0611834062025</v>
      </c>
      <c r="B4093" t="str">
        <f>"MC2402"</f>
        <v>MC2402</v>
      </c>
      <c r="C4093" t="s">
        <v>35145</v>
      </c>
      <c r="D4093" t="s">
        <v>28057</v>
      </c>
      <c r="E4093" t="str">
        <f t="shared" si="63"/>
        <v>001390</v>
      </c>
      <c r="F4093" t="s">
        <v>27246</v>
      </c>
      <c r="G4093" t="s">
        <v>27247</v>
      </c>
      <c r="H4093" t="s">
        <v>27248</v>
      </c>
      <c r="I4093" t="s">
        <v>35146</v>
      </c>
      <c r="J4093" t="s">
        <v>8181</v>
      </c>
      <c r="L4093" t="s">
        <v>27250</v>
      </c>
      <c r="M4093" t="s">
        <v>27251</v>
      </c>
      <c r="N4093" t="s">
        <v>27252</v>
      </c>
      <c r="P4093" t="s">
        <v>27925</v>
      </c>
      <c r="Q4093" s="1">
        <v>44538</v>
      </c>
      <c r="R4093" t="s">
        <v>27253</v>
      </c>
      <c r="S4093" t="s">
        <v>27254</v>
      </c>
      <c r="T4093" t="s">
        <v>27269</v>
      </c>
    </row>
    <row r="4094" spans="1:20" x14ac:dyDescent="0.3">
      <c r="A4094" t="str">
        <f>"0611834063025"</f>
        <v>0611834063025</v>
      </c>
      <c r="B4094" t="str">
        <f>"MC2403"</f>
        <v>MC2403</v>
      </c>
      <c r="C4094" t="s">
        <v>35147</v>
      </c>
      <c r="D4094" t="s">
        <v>28057</v>
      </c>
      <c r="E4094" t="str">
        <f t="shared" si="63"/>
        <v>001390</v>
      </c>
      <c r="F4094" t="s">
        <v>27246</v>
      </c>
      <c r="G4094" t="s">
        <v>27247</v>
      </c>
      <c r="H4094" t="s">
        <v>27248</v>
      </c>
      <c r="I4094" t="s">
        <v>35148</v>
      </c>
      <c r="J4094" t="s">
        <v>8183</v>
      </c>
      <c r="L4094" t="s">
        <v>27250</v>
      </c>
      <c r="M4094" t="s">
        <v>27251</v>
      </c>
      <c r="N4094" t="s">
        <v>27252</v>
      </c>
      <c r="P4094" t="s">
        <v>27925</v>
      </c>
      <c r="Q4094" s="1">
        <v>44538</v>
      </c>
      <c r="R4094" t="s">
        <v>27253</v>
      </c>
      <c r="S4094" t="s">
        <v>27254</v>
      </c>
      <c r="T4094" t="s">
        <v>27269</v>
      </c>
    </row>
    <row r="4095" spans="1:20" x14ac:dyDescent="0.3">
      <c r="A4095" t="str">
        <f>"0611834064025"</f>
        <v>0611834064025</v>
      </c>
      <c r="B4095" t="str">
        <f>"MC3019"</f>
        <v>MC3019</v>
      </c>
      <c r="C4095" t="s">
        <v>35149</v>
      </c>
      <c r="D4095" t="s">
        <v>27267</v>
      </c>
      <c r="E4095" t="str">
        <f t="shared" si="63"/>
        <v>001390</v>
      </c>
      <c r="F4095" t="s">
        <v>27246</v>
      </c>
      <c r="G4095" t="s">
        <v>27247</v>
      </c>
      <c r="H4095" t="s">
        <v>27248</v>
      </c>
      <c r="I4095" t="s">
        <v>35150</v>
      </c>
      <c r="J4095" t="s">
        <v>8185</v>
      </c>
      <c r="L4095" t="s">
        <v>27250</v>
      </c>
      <c r="M4095" t="s">
        <v>27251</v>
      </c>
      <c r="N4095" t="s">
        <v>27252</v>
      </c>
      <c r="Q4095" s="1">
        <v>44538</v>
      </c>
      <c r="R4095" t="s">
        <v>27253</v>
      </c>
      <c r="S4095" t="s">
        <v>27254</v>
      </c>
      <c r="T4095" t="s">
        <v>27269</v>
      </c>
    </row>
    <row r="4096" spans="1:20" x14ac:dyDescent="0.3">
      <c r="A4096" t="str">
        <f>"0611834065025"</f>
        <v>0611834065025</v>
      </c>
      <c r="B4096" t="str">
        <f>"MC3649"</f>
        <v>MC3649</v>
      </c>
      <c r="C4096" t="s">
        <v>35151</v>
      </c>
      <c r="D4096" t="s">
        <v>27267</v>
      </c>
      <c r="E4096" t="str">
        <f t="shared" si="63"/>
        <v>001390</v>
      </c>
      <c r="F4096" t="s">
        <v>27246</v>
      </c>
      <c r="G4096" t="s">
        <v>27247</v>
      </c>
      <c r="H4096" t="s">
        <v>27248</v>
      </c>
      <c r="I4096" t="s">
        <v>35152</v>
      </c>
      <c r="J4096" t="s">
        <v>8187</v>
      </c>
      <c r="L4096" t="s">
        <v>27250</v>
      </c>
      <c r="M4096" t="s">
        <v>27251</v>
      </c>
      <c r="N4096" t="s">
        <v>27252</v>
      </c>
      <c r="Q4096" s="1">
        <v>44538</v>
      </c>
      <c r="R4096" t="s">
        <v>27253</v>
      </c>
      <c r="S4096" t="s">
        <v>27254</v>
      </c>
      <c r="T4096" t="s">
        <v>27269</v>
      </c>
    </row>
    <row r="4097" spans="1:20" x14ac:dyDescent="0.3">
      <c r="A4097" t="str">
        <f>"0611834066100"</f>
        <v>0611834066100</v>
      </c>
      <c r="B4097" t="str">
        <f>"LH8915"</f>
        <v>LH8915</v>
      </c>
      <c r="C4097" t="s">
        <v>35153</v>
      </c>
      <c r="D4097" t="s">
        <v>27245</v>
      </c>
      <c r="E4097" t="str">
        <f t="shared" si="63"/>
        <v>001390</v>
      </c>
      <c r="F4097" t="s">
        <v>27246</v>
      </c>
      <c r="G4097" t="s">
        <v>27247</v>
      </c>
      <c r="H4097" t="s">
        <v>27248</v>
      </c>
      <c r="I4097" t="s">
        <v>35154</v>
      </c>
      <c r="J4097" t="s">
        <v>8189</v>
      </c>
      <c r="L4097" t="s">
        <v>27250</v>
      </c>
      <c r="M4097" t="s">
        <v>27251</v>
      </c>
      <c r="N4097" t="s">
        <v>27252</v>
      </c>
      <c r="Q4097" s="1">
        <v>44538</v>
      </c>
      <c r="R4097" t="s">
        <v>27253</v>
      </c>
      <c r="S4097" t="s">
        <v>27254</v>
      </c>
      <c r="T4097" t="s">
        <v>27255</v>
      </c>
    </row>
    <row r="4098" spans="1:20" x14ac:dyDescent="0.3">
      <c r="A4098" t="str">
        <f>"0611834067025"</f>
        <v>0611834067025</v>
      </c>
      <c r="B4098" t="str">
        <f>"MC4164"</f>
        <v>MC4164</v>
      </c>
      <c r="C4098" t="s">
        <v>35153</v>
      </c>
      <c r="D4098" t="s">
        <v>27267</v>
      </c>
      <c r="E4098" t="str">
        <f t="shared" ref="E4098:E4161" si="64">"001390"</f>
        <v>001390</v>
      </c>
      <c r="F4098" t="s">
        <v>27246</v>
      </c>
      <c r="G4098" t="s">
        <v>27247</v>
      </c>
      <c r="H4098" t="s">
        <v>27248</v>
      </c>
      <c r="I4098" t="s">
        <v>35155</v>
      </c>
      <c r="J4098" t="s">
        <v>8191</v>
      </c>
      <c r="L4098" t="s">
        <v>27250</v>
      </c>
      <c r="M4098" t="s">
        <v>27251</v>
      </c>
      <c r="N4098" t="s">
        <v>27252</v>
      </c>
      <c r="Q4098" s="1">
        <v>44538</v>
      </c>
      <c r="R4098" t="s">
        <v>27253</v>
      </c>
      <c r="S4098" t="s">
        <v>27254</v>
      </c>
      <c r="T4098" t="s">
        <v>27269</v>
      </c>
    </row>
    <row r="4099" spans="1:20" x14ac:dyDescent="0.3">
      <c r="A4099" t="str">
        <f>"0611834068025"</f>
        <v>0611834068025</v>
      </c>
      <c r="B4099" t="str">
        <f>"MC3650"</f>
        <v>MC3650</v>
      </c>
      <c r="C4099" t="s">
        <v>35156</v>
      </c>
      <c r="D4099" t="s">
        <v>27267</v>
      </c>
      <c r="E4099" t="str">
        <f t="shared" si="64"/>
        <v>001390</v>
      </c>
      <c r="F4099" t="s">
        <v>27246</v>
      </c>
      <c r="G4099" t="s">
        <v>27247</v>
      </c>
      <c r="H4099" t="s">
        <v>27248</v>
      </c>
      <c r="I4099" t="s">
        <v>35157</v>
      </c>
      <c r="J4099" t="s">
        <v>8193</v>
      </c>
      <c r="L4099" t="s">
        <v>27250</v>
      </c>
      <c r="M4099" t="s">
        <v>27251</v>
      </c>
      <c r="N4099" t="s">
        <v>27252</v>
      </c>
      <c r="Q4099" s="1">
        <v>44538</v>
      </c>
      <c r="R4099" t="s">
        <v>27253</v>
      </c>
      <c r="S4099" t="s">
        <v>27254</v>
      </c>
      <c r="T4099" t="s">
        <v>27269</v>
      </c>
    </row>
    <row r="4100" spans="1:20" x14ac:dyDescent="0.3">
      <c r="A4100" t="str">
        <f>"0611834069025"</f>
        <v>0611834069025</v>
      </c>
      <c r="B4100" t="str">
        <f>"MC3651"</f>
        <v>MC3651</v>
      </c>
      <c r="C4100" t="s">
        <v>35158</v>
      </c>
      <c r="D4100" t="s">
        <v>27267</v>
      </c>
      <c r="E4100" t="str">
        <f t="shared" si="64"/>
        <v>001390</v>
      </c>
      <c r="F4100" t="s">
        <v>27246</v>
      </c>
      <c r="G4100" t="s">
        <v>27247</v>
      </c>
      <c r="H4100" t="s">
        <v>27248</v>
      </c>
      <c r="I4100" t="s">
        <v>35159</v>
      </c>
      <c r="J4100" t="s">
        <v>8195</v>
      </c>
      <c r="L4100" t="s">
        <v>27250</v>
      </c>
      <c r="M4100" t="s">
        <v>27251</v>
      </c>
      <c r="N4100" t="s">
        <v>27252</v>
      </c>
      <c r="Q4100" s="1">
        <v>44538</v>
      </c>
      <c r="R4100" t="s">
        <v>27253</v>
      </c>
      <c r="S4100" t="s">
        <v>27254</v>
      </c>
      <c r="T4100" t="s">
        <v>27269</v>
      </c>
    </row>
    <row r="4101" spans="1:20" x14ac:dyDescent="0.3">
      <c r="A4101" t="str">
        <f>"0611834070025"</f>
        <v>0611834070025</v>
      </c>
      <c r="B4101" t="str">
        <f>"MC3652"</f>
        <v>MC3652</v>
      </c>
      <c r="C4101" t="s">
        <v>35160</v>
      </c>
      <c r="D4101" t="s">
        <v>27267</v>
      </c>
      <c r="E4101" t="str">
        <f t="shared" si="64"/>
        <v>001390</v>
      </c>
      <c r="F4101" t="s">
        <v>27246</v>
      </c>
      <c r="G4101" t="s">
        <v>27247</v>
      </c>
      <c r="H4101" t="s">
        <v>27248</v>
      </c>
      <c r="I4101" t="s">
        <v>35161</v>
      </c>
      <c r="J4101" t="s">
        <v>8197</v>
      </c>
      <c r="L4101" t="s">
        <v>27250</v>
      </c>
      <c r="M4101" t="s">
        <v>27251</v>
      </c>
      <c r="N4101" t="s">
        <v>27252</v>
      </c>
      <c r="Q4101" s="1">
        <v>44538</v>
      </c>
      <c r="R4101" t="s">
        <v>27253</v>
      </c>
      <c r="S4101" t="s">
        <v>27254</v>
      </c>
      <c r="T4101" t="s">
        <v>27269</v>
      </c>
    </row>
    <row r="4102" spans="1:20" x14ac:dyDescent="0.3">
      <c r="A4102" t="str">
        <f>"0611834071025"</f>
        <v>0611834071025</v>
      </c>
      <c r="B4102" t="str">
        <f>"MC3653"</f>
        <v>MC3653</v>
      </c>
      <c r="C4102" t="s">
        <v>35162</v>
      </c>
      <c r="D4102" t="s">
        <v>27267</v>
      </c>
      <c r="E4102" t="str">
        <f t="shared" si="64"/>
        <v>001390</v>
      </c>
      <c r="F4102" t="s">
        <v>27246</v>
      </c>
      <c r="G4102" t="s">
        <v>27247</v>
      </c>
      <c r="H4102" t="s">
        <v>27248</v>
      </c>
      <c r="I4102" t="s">
        <v>35163</v>
      </c>
      <c r="J4102" t="s">
        <v>8199</v>
      </c>
      <c r="L4102" t="s">
        <v>27250</v>
      </c>
      <c r="M4102" t="s">
        <v>27251</v>
      </c>
      <c r="N4102" t="s">
        <v>27252</v>
      </c>
      <c r="Q4102" s="1">
        <v>44538</v>
      </c>
      <c r="R4102" t="s">
        <v>27253</v>
      </c>
      <c r="S4102" t="s">
        <v>27254</v>
      </c>
      <c r="T4102" t="s">
        <v>27269</v>
      </c>
    </row>
    <row r="4103" spans="1:20" x14ac:dyDescent="0.3">
      <c r="A4103" t="str">
        <f>"0611834072025"</f>
        <v>0611834072025</v>
      </c>
      <c r="B4103" t="str">
        <f>"MQ0186"</f>
        <v>MQ0186</v>
      </c>
      <c r="C4103" t="s">
        <v>35164</v>
      </c>
      <c r="D4103" t="s">
        <v>27267</v>
      </c>
      <c r="E4103" t="str">
        <f t="shared" si="64"/>
        <v>001390</v>
      </c>
      <c r="F4103" t="s">
        <v>27246</v>
      </c>
      <c r="G4103" t="s">
        <v>27247</v>
      </c>
      <c r="H4103" t="s">
        <v>27248</v>
      </c>
      <c r="I4103" t="s">
        <v>35165</v>
      </c>
      <c r="J4103" t="s">
        <v>8201</v>
      </c>
      <c r="L4103" t="s">
        <v>27250</v>
      </c>
      <c r="M4103" t="s">
        <v>27251</v>
      </c>
      <c r="N4103" t="s">
        <v>27252</v>
      </c>
      <c r="Q4103" s="1">
        <v>44538</v>
      </c>
      <c r="R4103" t="s">
        <v>27253</v>
      </c>
      <c r="S4103" t="s">
        <v>27254</v>
      </c>
      <c r="T4103" t="s">
        <v>27269</v>
      </c>
    </row>
    <row r="4104" spans="1:20" x14ac:dyDescent="0.3">
      <c r="A4104" t="str">
        <f>"0611834074025"</f>
        <v>0611834074025</v>
      </c>
      <c r="B4104" t="str">
        <f>"MC0267"</f>
        <v>MC0267</v>
      </c>
      <c r="C4104" t="s">
        <v>35166</v>
      </c>
      <c r="D4104" t="s">
        <v>27267</v>
      </c>
      <c r="E4104" t="str">
        <f t="shared" si="64"/>
        <v>001390</v>
      </c>
      <c r="F4104" t="s">
        <v>27246</v>
      </c>
      <c r="G4104" t="s">
        <v>27247</v>
      </c>
      <c r="H4104" t="s">
        <v>27248</v>
      </c>
      <c r="I4104" t="s">
        <v>35167</v>
      </c>
      <c r="J4104" t="s">
        <v>8203</v>
      </c>
      <c r="L4104" t="s">
        <v>27250</v>
      </c>
      <c r="M4104" t="s">
        <v>27251</v>
      </c>
      <c r="N4104" t="s">
        <v>27252</v>
      </c>
      <c r="Q4104" s="1">
        <v>44538</v>
      </c>
      <c r="R4104" t="s">
        <v>27253</v>
      </c>
      <c r="S4104" t="s">
        <v>27254</v>
      </c>
      <c r="T4104" t="s">
        <v>27269</v>
      </c>
    </row>
    <row r="4105" spans="1:20" x14ac:dyDescent="0.3">
      <c r="A4105" t="str">
        <f>"0611834075100"</f>
        <v>0611834075100</v>
      </c>
      <c r="B4105" t="str">
        <f>"LH3525"</f>
        <v>LH3525</v>
      </c>
      <c r="C4105" t="s">
        <v>35168</v>
      </c>
      <c r="D4105" t="s">
        <v>27245</v>
      </c>
      <c r="E4105" t="str">
        <f t="shared" si="64"/>
        <v>001390</v>
      </c>
      <c r="F4105" t="s">
        <v>27246</v>
      </c>
      <c r="G4105" t="s">
        <v>27247</v>
      </c>
      <c r="H4105" t="s">
        <v>27248</v>
      </c>
      <c r="I4105" t="s">
        <v>35169</v>
      </c>
      <c r="J4105" t="s">
        <v>8205</v>
      </c>
      <c r="L4105" t="s">
        <v>27250</v>
      </c>
      <c r="M4105" t="s">
        <v>27251</v>
      </c>
      <c r="N4105" t="s">
        <v>27252</v>
      </c>
      <c r="Q4105" s="1">
        <v>44538</v>
      </c>
      <c r="R4105" t="s">
        <v>27253</v>
      </c>
      <c r="S4105" t="s">
        <v>27254</v>
      </c>
      <c r="T4105" t="s">
        <v>27255</v>
      </c>
    </row>
    <row r="4106" spans="1:20" x14ac:dyDescent="0.3">
      <c r="A4106" t="str">
        <f>"0611834076025"</f>
        <v>0611834076025</v>
      </c>
      <c r="B4106" t="str">
        <f>"MC0269"</f>
        <v>MC0269</v>
      </c>
      <c r="C4106" t="s">
        <v>35168</v>
      </c>
      <c r="D4106" t="s">
        <v>27267</v>
      </c>
      <c r="E4106" t="str">
        <f t="shared" si="64"/>
        <v>001390</v>
      </c>
      <c r="F4106" t="s">
        <v>27246</v>
      </c>
      <c r="G4106" t="s">
        <v>27247</v>
      </c>
      <c r="H4106" t="s">
        <v>27248</v>
      </c>
      <c r="I4106" t="s">
        <v>35170</v>
      </c>
      <c r="J4106" t="s">
        <v>8207</v>
      </c>
      <c r="L4106" t="s">
        <v>27250</v>
      </c>
      <c r="M4106" t="s">
        <v>27251</v>
      </c>
      <c r="N4106" t="s">
        <v>27252</v>
      </c>
      <c r="Q4106" s="1">
        <v>44538</v>
      </c>
      <c r="R4106" t="s">
        <v>27253</v>
      </c>
      <c r="S4106" t="s">
        <v>27254</v>
      </c>
      <c r="T4106" t="s">
        <v>27269</v>
      </c>
    </row>
    <row r="4107" spans="1:20" x14ac:dyDescent="0.3">
      <c r="A4107" t="str">
        <f>"0611834077025"</f>
        <v>0611834077025</v>
      </c>
      <c r="B4107" t="str">
        <f>"MQ3132"</f>
        <v>MQ3132</v>
      </c>
      <c r="C4107" t="s">
        <v>35171</v>
      </c>
      <c r="D4107" t="s">
        <v>27267</v>
      </c>
      <c r="E4107" t="str">
        <f t="shared" si="64"/>
        <v>001390</v>
      </c>
      <c r="F4107" t="s">
        <v>27246</v>
      </c>
      <c r="G4107" t="s">
        <v>27247</v>
      </c>
      <c r="H4107" t="s">
        <v>27248</v>
      </c>
      <c r="I4107" t="s">
        <v>35172</v>
      </c>
      <c r="J4107" t="s">
        <v>8209</v>
      </c>
      <c r="L4107" t="s">
        <v>27250</v>
      </c>
      <c r="M4107" t="s">
        <v>27251</v>
      </c>
      <c r="N4107" t="s">
        <v>27252</v>
      </c>
      <c r="Q4107" s="1">
        <v>44538</v>
      </c>
      <c r="R4107" t="s">
        <v>27253</v>
      </c>
      <c r="S4107" t="s">
        <v>27254</v>
      </c>
      <c r="T4107" t="s">
        <v>27269</v>
      </c>
    </row>
    <row r="4108" spans="1:20" x14ac:dyDescent="0.3">
      <c r="A4108" t="str">
        <f>"0611834078025"</f>
        <v>0611834078025</v>
      </c>
      <c r="B4108" t="str">
        <f>"MQ3133"</f>
        <v>MQ3133</v>
      </c>
      <c r="C4108" t="s">
        <v>35173</v>
      </c>
      <c r="D4108" t="s">
        <v>27267</v>
      </c>
      <c r="E4108" t="str">
        <f t="shared" si="64"/>
        <v>001390</v>
      </c>
      <c r="F4108" t="s">
        <v>27246</v>
      </c>
      <c r="G4108" t="s">
        <v>27247</v>
      </c>
      <c r="H4108" t="s">
        <v>27248</v>
      </c>
      <c r="I4108" t="s">
        <v>35174</v>
      </c>
      <c r="J4108" t="s">
        <v>8211</v>
      </c>
      <c r="L4108" t="s">
        <v>27250</v>
      </c>
      <c r="M4108" t="s">
        <v>27251</v>
      </c>
      <c r="N4108" t="s">
        <v>27252</v>
      </c>
      <c r="Q4108" s="1">
        <v>44538</v>
      </c>
      <c r="R4108" t="s">
        <v>27253</v>
      </c>
      <c r="S4108" t="s">
        <v>27254</v>
      </c>
      <c r="T4108" t="s">
        <v>27269</v>
      </c>
    </row>
    <row r="4109" spans="1:20" x14ac:dyDescent="0.3">
      <c r="A4109" t="str">
        <f>"0611834079025"</f>
        <v>0611834079025</v>
      </c>
      <c r="B4109" t="str">
        <f>"MQ3134"</f>
        <v>MQ3134</v>
      </c>
      <c r="C4109" t="s">
        <v>35175</v>
      </c>
      <c r="D4109" t="s">
        <v>27267</v>
      </c>
      <c r="E4109" t="str">
        <f t="shared" si="64"/>
        <v>001390</v>
      </c>
      <c r="F4109" t="s">
        <v>27246</v>
      </c>
      <c r="G4109" t="s">
        <v>27247</v>
      </c>
      <c r="H4109" t="s">
        <v>27248</v>
      </c>
      <c r="I4109" t="s">
        <v>35176</v>
      </c>
      <c r="J4109" t="s">
        <v>8213</v>
      </c>
      <c r="L4109" t="s">
        <v>27250</v>
      </c>
      <c r="M4109" t="s">
        <v>27251</v>
      </c>
      <c r="N4109" t="s">
        <v>27252</v>
      </c>
      <c r="Q4109" s="1">
        <v>44538</v>
      </c>
      <c r="R4109" t="s">
        <v>27253</v>
      </c>
      <c r="S4109" t="s">
        <v>27254</v>
      </c>
      <c r="T4109" t="s">
        <v>27269</v>
      </c>
    </row>
    <row r="4110" spans="1:20" x14ac:dyDescent="0.3">
      <c r="A4110" t="str">
        <f>"0611834080100"</f>
        <v>0611834080100</v>
      </c>
      <c r="B4110" t="str">
        <f>"LB0390"</f>
        <v>LB0390</v>
      </c>
      <c r="C4110" t="s">
        <v>35177</v>
      </c>
      <c r="D4110" t="s">
        <v>27245</v>
      </c>
      <c r="E4110" t="str">
        <f t="shared" si="64"/>
        <v>001390</v>
      </c>
      <c r="F4110" t="s">
        <v>27246</v>
      </c>
      <c r="G4110" t="s">
        <v>27247</v>
      </c>
      <c r="H4110" t="s">
        <v>27248</v>
      </c>
      <c r="I4110" t="s">
        <v>35178</v>
      </c>
      <c r="J4110" t="s">
        <v>8215</v>
      </c>
      <c r="L4110" t="s">
        <v>27250</v>
      </c>
      <c r="M4110" t="s">
        <v>27251</v>
      </c>
      <c r="N4110" t="s">
        <v>27252</v>
      </c>
      <c r="Q4110" s="1">
        <v>44538</v>
      </c>
      <c r="R4110" t="s">
        <v>27253</v>
      </c>
      <c r="S4110" t="s">
        <v>27254</v>
      </c>
      <c r="T4110" t="s">
        <v>27255</v>
      </c>
    </row>
    <row r="4111" spans="1:20" x14ac:dyDescent="0.3">
      <c r="A4111" t="str">
        <f>"0611834081100"</f>
        <v>0611834081100</v>
      </c>
      <c r="B4111" t="str">
        <f>"LH3527"</f>
        <v>LH3527</v>
      </c>
      <c r="C4111" t="s">
        <v>35179</v>
      </c>
      <c r="D4111" t="s">
        <v>27245</v>
      </c>
      <c r="E4111" t="str">
        <f t="shared" si="64"/>
        <v>001390</v>
      </c>
      <c r="F4111" t="s">
        <v>27246</v>
      </c>
      <c r="G4111" t="s">
        <v>27247</v>
      </c>
      <c r="H4111" t="s">
        <v>27248</v>
      </c>
      <c r="I4111" t="s">
        <v>35180</v>
      </c>
      <c r="J4111" t="s">
        <v>8217</v>
      </c>
      <c r="L4111" t="s">
        <v>27250</v>
      </c>
      <c r="M4111" t="s">
        <v>27251</v>
      </c>
      <c r="N4111" t="s">
        <v>27252</v>
      </c>
      <c r="Q4111" s="1">
        <v>44538</v>
      </c>
      <c r="R4111" t="s">
        <v>27253</v>
      </c>
      <c r="S4111" t="s">
        <v>27254</v>
      </c>
      <c r="T4111" t="s">
        <v>27255</v>
      </c>
    </row>
    <row r="4112" spans="1:20" x14ac:dyDescent="0.3">
      <c r="A4112" t="str">
        <f>"0611834082025"</f>
        <v>0611834082025</v>
      </c>
      <c r="B4112" t="str">
        <f>"MC0268"</f>
        <v>MC0268</v>
      </c>
      <c r="C4112" t="s">
        <v>35179</v>
      </c>
      <c r="D4112" t="s">
        <v>27267</v>
      </c>
      <c r="E4112" t="str">
        <f t="shared" si="64"/>
        <v>001390</v>
      </c>
      <c r="F4112" t="s">
        <v>27246</v>
      </c>
      <c r="G4112" t="s">
        <v>27247</v>
      </c>
      <c r="H4112" t="s">
        <v>27248</v>
      </c>
      <c r="I4112" t="s">
        <v>35181</v>
      </c>
      <c r="J4112" t="s">
        <v>8219</v>
      </c>
      <c r="L4112" t="s">
        <v>27250</v>
      </c>
      <c r="M4112" t="s">
        <v>27251</v>
      </c>
      <c r="N4112" t="s">
        <v>27252</v>
      </c>
      <c r="Q4112" s="1">
        <v>44538</v>
      </c>
      <c r="R4112" t="s">
        <v>27253</v>
      </c>
      <c r="S4112" t="s">
        <v>27254</v>
      </c>
      <c r="T4112" t="s">
        <v>27269</v>
      </c>
    </row>
    <row r="4113" spans="1:20" x14ac:dyDescent="0.3">
      <c r="A4113" t="str">
        <f>"0611834083025"</f>
        <v>0611834083025</v>
      </c>
      <c r="B4113" t="str">
        <f>"MC4336"</f>
        <v>MC4336</v>
      </c>
      <c r="C4113" t="s">
        <v>35182</v>
      </c>
      <c r="D4113" t="s">
        <v>27267</v>
      </c>
      <c r="E4113" t="str">
        <f t="shared" si="64"/>
        <v>001390</v>
      </c>
      <c r="F4113" t="s">
        <v>27246</v>
      </c>
      <c r="G4113" t="s">
        <v>27247</v>
      </c>
      <c r="H4113" t="s">
        <v>27248</v>
      </c>
      <c r="I4113" t="s">
        <v>35183</v>
      </c>
      <c r="J4113" t="s">
        <v>8221</v>
      </c>
      <c r="L4113" t="s">
        <v>27250</v>
      </c>
      <c r="M4113" t="s">
        <v>27251</v>
      </c>
      <c r="N4113" t="s">
        <v>27252</v>
      </c>
      <c r="Q4113" s="1">
        <v>44538</v>
      </c>
      <c r="R4113" t="s">
        <v>27253</v>
      </c>
      <c r="S4113" t="s">
        <v>27254</v>
      </c>
      <c r="T4113" t="s">
        <v>27269</v>
      </c>
    </row>
    <row r="4114" spans="1:20" x14ac:dyDescent="0.3">
      <c r="A4114" t="str">
        <f>"0611834084025"</f>
        <v>0611834084025</v>
      </c>
      <c r="B4114" t="str">
        <f>"MC0272"</f>
        <v>MC0272</v>
      </c>
      <c r="C4114" t="s">
        <v>35184</v>
      </c>
      <c r="D4114" t="s">
        <v>27267</v>
      </c>
      <c r="E4114" t="str">
        <f t="shared" si="64"/>
        <v>001390</v>
      </c>
      <c r="F4114" t="s">
        <v>27246</v>
      </c>
      <c r="G4114" t="s">
        <v>27247</v>
      </c>
      <c r="H4114" t="s">
        <v>27248</v>
      </c>
      <c r="I4114" t="s">
        <v>35185</v>
      </c>
      <c r="J4114" t="s">
        <v>8223</v>
      </c>
      <c r="L4114" t="s">
        <v>27250</v>
      </c>
      <c r="M4114" t="s">
        <v>27251</v>
      </c>
      <c r="N4114" t="s">
        <v>27252</v>
      </c>
      <c r="Q4114" s="1">
        <v>44538</v>
      </c>
      <c r="R4114" t="s">
        <v>27253</v>
      </c>
      <c r="S4114" t="s">
        <v>27254</v>
      </c>
      <c r="T4114" t="s">
        <v>27269</v>
      </c>
    </row>
    <row r="4115" spans="1:20" x14ac:dyDescent="0.3">
      <c r="A4115" t="str">
        <f>"0611834085025"</f>
        <v>0611834085025</v>
      </c>
      <c r="B4115" t="str">
        <f>"MC3719"</f>
        <v>MC3719</v>
      </c>
      <c r="C4115" t="s">
        <v>35186</v>
      </c>
      <c r="D4115" t="s">
        <v>27267</v>
      </c>
      <c r="E4115" t="str">
        <f t="shared" si="64"/>
        <v>001390</v>
      </c>
      <c r="F4115" t="s">
        <v>27246</v>
      </c>
      <c r="G4115" t="s">
        <v>27247</v>
      </c>
      <c r="H4115" t="s">
        <v>27248</v>
      </c>
      <c r="I4115" t="s">
        <v>35187</v>
      </c>
      <c r="J4115" t="s">
        <v>8225</v>
      </c>
      <c r="L4115" t="s">
        <v>27250</v>
      </c>
      <c r="M4115" t="s">
        <v>27251</v>
      </c>
      <c r="N4115" t="s">
        <v>27252</v>
      </c>
      <c r="Q4115" s="1">
        <v>44538</v>
      </c>
      <c r="R4115" t="s">
        <v>27253</v>
      </c>
      <c r="S4115" t="s">
        <v>27254</v>
      </c>
      <c r="T4115" t="s">
        <v>27269</v>
      </c>
    </row>
    <row r="4116" spans="1:20" x14ac:dyDescent="0.3">
      <c r="A4116" t="str">
        <f>"0611830719100"</f>
        <v>0611830719100</v>
      </c>
      <c r="B4116" t="str">
        <f>"LC6002"</f>
        <v>LC6002</v>
      </c>
      <c r="C4116" t="s">
        <v>35188</v>
      </c>
      <c r="D4116" t="s">
        <v>27245</v>
      </c>
      <c r="E4116" t="str">
        <f t="shared" si="64"/>
        <v>001390</v>
      </c>
      <c r="F4116" t="s">
        <v>27246</v>
      </c>
      <c r="G4116" t="s">
        <v>27247</v>
      </c>
      <c r="H4116" t="s">
        <v>27248</v>
      </c>
      <c r="I4116" t="s">
        <v>35189</v>
      </c>
      <c r="J4116" t="s">
        <v>8227</v>
      </c>
      <c r="L4116" t="s">
        <v>27250</v>
      </c>
      <c r="M4116" t="s">
        <v>27251</v>
      </c>
      <c r="N4116" t="s">
        <v>27252</v>
      </c>
      <c r="Q4116" s="1">
        <v>44538</v>
      </c>
      <c r="R4116" t="s">
        <v>27253</v>
      </c>
      <c r="S4116" t="s">
        <v>27254</v>
      </c>
      <c r="T4116" t="s">
        <v>27255</v>
      </c>
    </row>
    <row r="4117" spans="1:20" x14ac:dyDescent="0.3">
      <c r="A4117" t="str">
        <f>"0611884188025"</f>
        <v>0611884188025</v>
      </c>
      <c r="B4117" t="str">
        <f>"MC4473"</f>
        <v>MC4473</v>
      </c>
      <c r="C4117" t="s">
        <v>35188</v>
      </c>
      <c r="D4117" t="s">
        <v>27267</v>
      </c>
      <c r="E4117" t="str">
        <f t="shared" si="64"/>
        <v>001390</v>
      </c>
      <c r="F4117" t="s">
        <v>27246</v>
      </c>
      <c r="G4117" t="s">
        <v>27247</v>
      </c>
      <c r="H4117" t="s">
        <v>27248</v>
      </c>
      <c r="I4117" t="s">
        <v>35190</v>
      </c>
      <c r="J4117" t="s">
        <v>8229</v>
      </c>
      <c r="L4117" t="s">
        <v>27430</v>
      </c>
      <c r="M4117" t="s">
        <v>27251</v>
      </c>
      <c r="N4117" t="s">
        <v>27252</v>
      </c>
      <c r="Q4117" s="1">
        <v>45250</v>
      </c>
      <c r="R4117" t="s">
        <v>27253</v>
      </c>
      <c r="S4117" t="s">
        <v>27254</v>
      </c>
      <c r="T4117" t="s">
        <v>27269</v>
      </c>
    </row>
    <row r="4118" spans="1:20" x14ac:dyDescent="0.3">
      <c r="A4118" t="str">
        <f>"0611830723100"</f>
        <v>0611830723100</v>
      </c>
      <c r="B4118" t="str">
        <f>"LC6003"</f>
        <v>LC6003</v>
      </c>
      <c r="C4118" t="s">
        <v>35191</v>
      </c>
      <c r="D4118" t="s">
        <v>27245</v>
      </c>
      <c r="E4118" t="str">
        <f t="shared" si="64"/>
        <v>001390</v>
      </c>
      <c r="F4118" t="s">
        <v>27246</v>
      </c>
      <c r="G4118" t="s">
        <v>27247</v>
      </c>
      <c r="H4118" t="s">
        <v>27248</v>
      </c>
      <c r="I4118" t="s">
        <v>35192</v>
      </c>
      <c r="J4118" t="s">
        <v>8231</v>
      </c>
      <c r="L4118" t="s">
        <v>27250</v>
      </c>
      <c r="M4118" t="s">
        <v>27251</v>
      </c>
      <c r="N4118" t="s">
        <v>27252</v>
      </c>
      <c r="Q4118" s="1">
        <v>44538</v>
      </c>
      <c r="R4118" t="s">
        <v>27253</v>
      </c>
      <c r="S4118" t="s">
        <v>27254</v>
      </c>
      <c r="T4118" t="s">
        <v>27255</v>
      </c>
    </row>
    <row r="4119" spans="1:20" x14ac:dyDescent="0.3">
      <c r="A4119" t="str">
        <f>"0611830724100"</f>
        <v>0611830724100</v>
      </c>
      <c r="B4119" t="str">
        <f>"LC6001"</f>
        <v>LC6001</v>
      </c>
      <c r="C4119" t="s">
        <v>35193</v>
      </c>
      <c r="D4119" t="s">
        <v>27245</v>
      </c>
      <c r="E4119" t="str">
        <f t="shared" si="64"/>
        <v>001390</v>
      </c>
      <c r="F4119" t="s">
        <v>27246</v>
      </c>
      <c r="G4119" t="s">
        <v>27247</v>
      </c>
      <c r="H4119" t="s">
        <v>27248</v>
      </c>
      <c r="I4119" t="s">
        <v>35194</v>
      </c>
      <c r="J4119" t="s">
        <v>8233</v>
      </c>
      <c r="L4119" t="s">
        <v>27250</v>
      </c>
      <c r="M4119" t="s">
        <v>27251</v>
      </c>
      <c r="N4119" t="s">
        <v>27252</v>
      </c>
      <c r="Q4119" s="1">
        <v>44538</v>
      </c>
      <c r="R4119" t="s">
        <v>27253</v>
      </c>
      <c r="S4119" t="s">
        <v>27254</v>
      </c>
      <c r="T4119" t="s">
        <v>27255</v>
      </c>
    </row>
    <row r="4120" spans="1:20" x14ac:dyDescent="0.3">
      <c r="A4120" t="str">
        <f>"0611830725025"</f>
        <v>0611830725025</v>
      </c>
      <c r="B4120" t="str">
        <f>"MC0954"</f>
        <v>MC0954</v>
      </c>
      <c r="C4120" t="s">
        <v>35193</v>
      </c>
      <c r="D4120" t="s">
        <v>27267</v>
      </c>
      <c r="E4120" t="str">
        <f t="shared" si="64"/>
        <v>001390</v>
      </c>
      <c r="F4120" t="s">
        <v>27246</v>
      </c>
      <c r="G4120" t="s">
        <v>27247</v>
      </c>
      <c r="H4120" t="s">
        <v>27248</v>
      </c>
      <c r="I4120" t="s">
        <v>35195</v>
      </c>
      <c r="J4120" t="s">
        <v>8235</v>
      </c>
      <c r="L4120" t="s">
        <v>27250</v>
      </c>
      <c r="M4120" t="s">
        <v>27251</v>
      </c>
      <c r="N4120" t="s">
        <v>27252</v>
      </c>
      <c r="Q4120" s="1">
        <v>44538</v>
      </c>
      <c r="R4120" t="s">
        <v>27253</v>
      </c>
      <c r="S4120" t="s">
        <v>27254</v>
      </c>
      <c r="T4120" t="s">
        <v>27269</v>
      </c>
    </row>
    <row r="4121" spans="1:20" x14ac:dyDescent="0.3">
      <c r="A4121" t="str">
        <f>"0611830720100"</f>
        <v>0611830720100</v>
      </c>
      <c r="B4121" t="str">
        <f>"LC6000"</f>
        <v>LC6000</v>
      </c>
      <c r="C4121" t="s">
        <v>35196</v>
      </c>
      <c r="D4121" t="s">
        <v>27245</v>
      </c>
      <c r="E4121" t="str">
        <f t="shared" si="64"/>
        <v>001390</v>
      </c>
      <c r="F4121" t="s">
        <v>27246</v>
      </c>
      <c r="G4121" t="s">
        <v>27247</v>
      </c>
      <c r="H4121" t="s">
        <v>27248</v>
      </c>
      <c r="I4121" t="s">
        <v>35197</v>
      </c>
      <c r="J4121" t="s">
        <v>8237</v>
      </c>
      <c r="L4121" t="s">
        <v>27250</v>
      </c>
      <c r="M4121" t="s">
        <v>27251</v>
      </c>
      <c r="N4121" t="s">
        <v>27252</v>
      </c>
      <c r="Q4121" s="1">
        <v>44538</v>
      </c>
      <c r="R4121" t="s">
        <v>27253</v>
      </c>
      <c r="S4121" t="s">
        <v>27254</v>
      </c>
      <c r="T4121" t="s">
        <v>27255</v>
      </c>
    </row>
    <row r="4122" spans="1:20" x14ac:dyDescent="0.3">
      <c r="A4122" t="str">
        <f>"0611830721200"</f>
        <v>0611830721200</v>
      </c>
      <c r="B4122" t="str">
        <f>"KP6000"</f>
        <v>KP6000</v>
      </c>
      <c r="C4122" t="s">
        <v>35196</v>
      </c>
      <c r="D4122" t="s">
        <v>27682</v>
      </c>
      <c r="E4122" t="str">
        <f t="shared" si="64"/>
        <v>001390</v>
      </c>
      <c r="F4122" t="s">
        <v>27246</v>
      </c>
      <c r="G4122" t="s">
        <v>27247</v>
      </c>
      <c r="H4122" t="s">
        <v>27248</v>
      </c>
      <c r="I4122" t="s">
        <v>35198</v>
      </c>
      <c r="J4122" t="s">
        <v>8239</v>
      </c>
      <c r="L4122" t="s">
        <v>27250</v>
      </c>
      <c r="M4122" t="s">
        <v>27251</v>
      </c>
      <c r="N4122" t="s">
        <v>27252</v>
      </c>
      <c r="Q4122" s="1">
        <v>44538</v>
      </c>
      <c r="R4122" t="s">
        <v>27253</v>
      </c>
      <c r="S4122" t="s">
        <v>27254</v>
      </c>
      <c r="T4122" t="s">
        <v>27684</v>
      </c>
    </row>
    <row r="4123" spans="1:20" x14ac:dyDescent="0.3">
      <c r="A4123" t="str">
        <f>"0611830722025"</f>
        <v>0611830722025</v>
      </c>
      <c r="B4123" t="str">
        <f>"MC0788"</f>
        <v>MC0788</v>
      </c>
      <c r="C4123" t="s">
        <v>35196</v>
      </c>
      <c r="D4123" t="s">
        <v>27267</v>
      </c>
      <c r="E4123" t="str">
        <f t="shared" si="64"/>
        <v>001390</v>
      </c>
      <c r="F4123" t="s">
        <v>27246</v>
      </c>
      <c r="G4123" t="s">
        <v>27247</v>
      </c>
      <c r="H4123" t="s">
        <v>27248</v>
      </c>
      <c r="I4123" t="s">
        <v>35199</v>
      </c>
      <c r="J4123" t="s">
        <v>8241</v>
      </c>
      <c r="L4123" t="s">
        <v>27250</v>
      </c>
      <c r="M4123" t="s">
        <v>27251</v>
      </c>
      <c r="N4123" t="s">
        <v>27252</v>
      </c>
      <c r="Q4123" s="1">
        <v>44538</v>
      </c>
      <c r="R4123" t="s">
        <v>27253</v>
      </c>
      <c r="S4123" t="s">
        <v>27254</v>
      </c>
      <c r="T4123" t="s">
        <v>27269</v>
      </c>
    </row>
    <row r="4124" spans="1:20" x14ac:dyDescent="0.3">
      <c r="A4124" t="str">
        <f>"0611884189050"</f>
        <v>0611884189050</v>
      </c>
      <c r="B4124" t="str">
        <f>"CR5427"</f>
        <v>CR5427</v>
      </c>
      <c r="C4124" t="s">
        <v>35200</v>
      </c>
      <c r="D4124" t="s">
        <v>27263</v>
      </c>
      <c r="E4124" t="str">
        <f t="shared" si="64"/>
        <v>001390</v>
      </c>
      <c r="F4124" t="s">
        <v>27246</v>
      </c>
      <c r="G4124" t="s">
        <v>27247</v>
      </c>
      <c r="H4124" t="s">
        <v>27248</v>
      </c>
      <c r="I4124" t="s">
        <v>35201</v>
      </c>
      <c r="J4124" t="s">
        <v>8243</v>
      </c>
      <c r="L4124" t="s">
        <v>27430</v>
      </c>
      <c r="M4124" t="s">
        <v>27251</v>
      </c>
      <c r="N4124" t="s">
        <v>27252</v>
      </c>
      <c r="Q4124" s="1">
        <v>45250</v>
      </c>
      <c r="R4124" t="s">
        <v>27253</v>
      </c>
      <c r="S4124" t="s">
        <v>27254</v>
      </c>
      <c r="T4124" t="s">
        <v>27265</v>
      </c>
    </row>
    <row r="4125" spans="1:20" x14ac:dyDescent="0.3">
      <c r="A4125" t="str">
        <f>"0611884190050"</f>
        <v>0611884190050</v>
      </c>
      <c r="B4125" t="str">
        <f>"CR5428"</f>
        <v>CR5428</v>
      </c>
      <c r="C4125" t="s">
        <v>35202</v>
      </c>
      <c r="D4125" t="s">
        <v>27263</v>
      </c>
      <c r="E4125" t="str">
        <f t="shared" si="64"/>
        <v>001390</v>
      </c>
      <c r="F4125" t="s">
        <v>27246</v>
      </c>
      <c r="G4125" t="s">
        <v>27247</v>
      </c>
      <c r="H4125" t="s">
        <v>27248</v>
      </c>
      <c r="I4125" t="s">
        <v>35203</v>
      </c>
      <c r="J4125" t="s">
        <v>8245</v>
      </c>
      <c r="L4125" t="s">
        <v>27430</v>
      </c>
      <c r="M4125" t="s">
        <v>27251</v>
      </c>
      <c r="N4125" t="s">
        <v>27252</v>
      </c>
      <c r="Q4125" s="1">
        <v>45250</v>
      </c>
      <c r="R4125" t="s">
        <v>27253</v>
      </c>
      <c r="S4125" t="s">
        <v>27254</v>
      </c>
      <c r="T4125" t="s">
        <v>27265</v>
      </c>
    </row>
    <row r="4126" spans="1:20" x14ac:dyDescent="0.3">
      <c r="A4126" t="str">
        <f>"0611884191050"</f>
        <v>0611884191050</v>
      </c>
      <c r="B4126" t="str">
        <f>"CR5425"</f>
        <v>CR5425</v>
      </c>
      <c r="C4126" t="s">
        <v>35204</v>
      </c>
      <c r="D4126" t="s">
        <v>27263</v>
      </c>
      <c r="E4126" t="str">
        <f t="shared" si="64"/>
        <v>001390</v>
      </c>
      <c r="F4126" t="s">
        <v>27246</v>
      </c>
      <c r="G4126" t="s">
        <v>27247</v>
      </c>
      <c r="H4126" t="s">
        <v>27248</v>
      </c>
      <c r="I4126" t="s">
        <v>35205</v>
      </c>
      <c r="J4126" t="s">
        <v>8247</v>
      </c>
      <c r="L4126" t="s">
        <v>27430</v>
      </c>
      <c r="M4126" t="s">
        <v>27251</v>
      </c>
      <c r="N4126" t="s">
        <v>27252</v>
      </c>
      <c r="Q4126" s="1">
        <v>45250</v>
      </c>
      <c r="R4126" t="s">
        <v>27253</v>
      </c>
      <c r="S4126" t="s">
        <v>27254</v>
      </c>
      <c r="T4126" t="s">
        <v>27265</v>
      </c>
    </row>
    <row r="4127" spans="1:20" x14ac:dyDescent="0.3">
      <c r="A4127" t="str">
        <f>"0611884192050"</f>
        <v>0611884192050</v>
      </c>
      <c r="B4127" t="str">
        <f>"CR5426"</f>
        <v>CR5426</v>
      </c>
      <c r="C4127" t="s">
        <v>35206</v>
      </c>
      <c r="D4127" t="s">
        <v>27263</v>
      </c>
      <c r="E4127" t="str">
        <f t="shared" si="64"/>
        <v>001390</v>
      </c>
      <c r="F4127" t="s">
        <v>27246</v>
      </c>
      <c r="G4127" t="s">
        <v>27247</v>
      </c>
      <c r="H4127" t="s">
        <v>27248</v>
      </c>
      <c r="I4127" t="s">
        <v>35207</v>
      </c>
      <c r="J4127" t="s">
        <v>8249</v>
      </c>
      <c r="L4127" t="s">
        <v>27430</v>
      </c>
      <c r="M4127" t="s">
        <v>27251</v>
      </c>
      <c r="N4127" t="s">
        <v>27252</v>
      </c>
      <c r="Q4127" s="1">
        <v>45250</v>
      </c>
      <c r="R4127" t="s">
        <v>27253</v>
      </c>
      <c r="S4127" t="s">
        <v>27254</v>
      </c>
      <c r="T4127" t="s">
        <v>27265</v>
      </c>
    </row>
    <row r="4128" spans="1:20" x14ac:dyDescent="0.3">
      <c r="A4128" t="str">
        <f>"0611884193050"</f>
        <v>0611884193050</v>
      </c>
      <c r="B4128" t="str">
        <f>"CR5429"</f>
        <v>CR5429</v>
      </c>
      <c r="C4128" t="s">
        <v>35208</v>
      </c>
      <c r="D4128" t="s">
        <v>27263</v>
      </c>
      <c r="E4128" t="str">
        <f t="shared" si="64"/>
        <v>001390</v>
      </c>
      <c r="F4128" t="s">
        <v>27246</v>
      </c>
      <c r="G4128" t="s">
        <v>27247</v>
      </c>
      <c r="H4128" t="s">
        <v>27248</v>
      </c>
      <c r="I4128" t="s">
        <v>35209</v>
      </c>
      <c r="J4128" t="s">
        <v>8251</v>
      </c>
      <c r="L4128" t="s">
        <v>27430</v>
      </c>
      <c r="M4128" t="s">
        <v>27251</v>
      </c>
      <c r="N4128" t="s">
        <v>27252</v>
      </c>
      <c r="Q4128" s="1">
        <v>45250</v>
      </c>
      <c r="R4128" t="s">
        <v>27253</v>
      </c>
      <c r="S4128" t="s">
        <v>27254</v>
      </c>
      <c r="T4128" t="s">
        <v>27265</v>
      </c>
    </row>
    <row r="4129" spans="1:20" x14ac:dyDescent="0.3">
      <c r="A4129" t="str">
        <f>"0611834087100"</f>
        <v>0611834087100</v>
      </c>
      <c r="B4129" t="str">
        <f>"LG2000"</f>
        <v>LG2000</v>
      </c>
      <c r="C4129" t="s">
        <v>35210</v>
      </c>
      <c r="D4129" t="s">
        <v>27335</v>
      </c>
      <c r="E4129" t="str">
        <f t="shared" si="64"/>
        <v>001390</v>
      </c>
      <c r="F4129" t="s">
        <v>27246</v>
      </c>
      <c r="G4129" t="s">
        <v>27247</v>
      </c>
      <c r="H4129" t="s">
        <v>27248</v>
      </c>
      <c r="I4129" t="s">
        <v>35211</v>
      </c>
      <c r="J4129" t="s">
        <v>8253</v>
      </c>
      <c r="L4129" t="s">
        <v>27250</v>
      </c>
      <c r="M4129" t="s">
        <v>27251</v>
      </c>
      <c r="N4129" t="s">
        <v>27252</v>
      </c>
      <c r="Q4129" s="1">
        <v>44538</v>
      </c>
      <c r="R4129" t="s">
        <v>27253</v>
      </c>
      <c r="S4129" t="s">
        <v>27254</v>
      </c>
      <c r="T4129" t="s">
        <v>27255</v>
      </c>
    </row>
    <row r="4130" spans="1:20" x14ac:dyDescent="0.3">
      <c r="A4130" t="str">
        <f>"0611861858050"</f>
        <v>0611861858050</v>
      </c>
      <c r="B4130" t="str">
        <f>"CE1631"</f>
        <v>CE1631</v>
      </c>
      <c r="C4130" t="s">
        <v>35212</v>
      </c>
      <c r="D4130" t="s">
        <v>27923</v>
      </c>
      <c r="E4130" t="str">
        <f t="shared" si="64"/>
        <v>001390</v>
      </c>
      <c r="F4130" t="s">
        <v>27246</v>
      </c>
      <c r="G4130" t="s">
        <v>27247</v>
      </c>
      <c r="H4130" t="s">
        <v>27248</v>
      </c>
      <c r="I4130" t="s">
        <v>35213</v>
      </c>
      <c r="J4130" t="s">
        <v>8255</v>
      </c>
      <c r="L4130" t="s">
        <v>27250</v>
      </c>
      <c r="M4130" t="s">
        <v>27251</v>
      </c>
      <c r="N4130" t="s">
        <v>27252</v>
      </c>
      <c r="P4130" t="s">
        <v>27925</v>
      </c>
      <c r="Q4130" s="1">
        <v>44846</v>
      </c>
      <c r="R4130" t="s">
        <v>27253</v>
      </c>
      <c r="S4130" t="s">
        <v>27254</v>
      </c>
      <c r="T4130" t="s">
        <v>27265</v>
      </c>
    </row>
    <row r="4131" spans="1:20" x14ac:dyDescent="0.3">
      <c r="A4131" t="str">
        <f>"0611861859050"</f>
        <v>0611861859050</v>
      </c>
      <c r="B4131" t="str">
        <f>"CE0423"</f>
        <v>CE0423</v>
      </c>
      <c r="C4131" t="s">
        <v>35214</v>
      </c>
      <c r="D4131" t="s">
        <v>27923</v>
      </c>
      <c r="E4131" t="str">
        <f t="shared" si="64"/>
        <v>001390</v>
      </c>
      <c r="F4131" t="s">
        <v>27246</v>
      </c>
      <c r="G4131" t="s">
        <v>27247</v>
      </c>
      <c r="H4131" t="s">
        <v>27248</v>
      </c>
      <c r="I4131" t="s">
        <v>35215</v>
      </c>
      <c r="J4131" t="s">
        <v>8257</v>
      </c>
      <c r="L4131" t="s">
        <v>27250</v>
      </c>
      <c r="M4131" t="s">
        <v>27251</v>
      </c>
      <c r="N4131" t="s">
        <v>27252</v>
      </c>
      <c r="P4131" t="s">
        <v>27925</v>
      </c>
      <c r="Q4131" s="1">
        <v>44846</v>
      </c>
      <c r="R4131" t="s">
        <v>27253</v>
      </c>
      <c r="S4131" t="s">
        <v>27254</v>
      </c>
      <c r="T4131" t="s">
        <v>27265</v>
      </c>
    </row>
    <row r="4132" spans="1:20" x14ac:dyDescent="0.3">
      <c r="A4132" t="str">
        <f>"0611861860050"</f>
        <v>0611861860050</v>
      </c>
      <c r="B4132" t="str">
        <f>"CE0422"</f>
        <v>CE0422</v>
      </c>
      <c r="C4132" t="s">
        <v>35216</v>
      </c>
      <c r="D4132" t="s">
        <v>27923</v>
      </c>
      <c r="E4132" t="str">
        <f t="shared" si="64"/>
        <v>001390</v>
      </c>
      <c r="F4132" t="s">
        <v>27246</v>
      </c>
      <c r="G4132" t="s">
        <v>27247</v>
      </c>
      <c r="H4132" t="s">
        <v>27248</v>
      </c>
      <c r="I4132" t="s">
        <v>35217</v>
      </c>
      <c r="J4132" t="s">
        <v>8259</v>
      </c>
      <c r="L4132" t="s">
        <v>27250</v>
      </c>
      <c r="M4132" t="s">
        <v>27251</v>
      </c>
      <c r="N4132" t="s">
        <v>27252</v>
      </c>
      <c r="P4132" t="s">
        <v>27925</v>
      </c>
      <c r="Q4132" s="1">
        <v>44846</v>
      </c>
      <c r="R4132" t="s">
        <v>27253</v>
      </c>
      <c r="S4132" t="s">
        <v>27254</v>
      </c>
      <c r="T4132" t="s">
        <v>27265</v>
      </c>
    </row>
    <row r="4133" spans="1:20" x14ac:dyDescent="0.3">
      <c r="A4133" t="str">
        <f>"0611861862050"</f>
        <v>0611861862050</v>
      </c>
      <c r="B4133" t="str">
        <f>"CE1634"</f>
        <v>CE1634</v>
      </c>
      <c r="C4133" t="s">
        <v>35218</v>
      </c>
      <c r="D4133" t="s">
        <v>27923</v>
      </c>
      <c r="E4133" t="str">
        <f t="shared" si="64"/>
        <v>001390</v>
      </c>
      <c r="F4133" t="s">
        <v>27246</v>
      </c>
      <c r="G4133" t="s">
        <v>27247</v>
      </c>
      <c r="H4133" t="s">
        <v>27248</v>
      </c>
      <c r="I4133" t="s">
        <v>35219</v>
      </c>
      <c r="J4133" t="s">
        <v>8261</v>
      </c>
      <c r="L4133" t="s">
        <v>27250</v>
      </c>
      <c r="M4133" t="s">
        <v>27251</v>
      </c>
      <c r="N4133" t="s">
        <v>27252</v>
      </c>
      <c r="P4133" t="s">
        <v>27925</v>
      </c>
      <c r="Q4133" s="1">
        <v>44846</v>
      </c>
      <c r="R4133" t="s">
        <v>27253</v>
      </c>
      <c r="S4133" t="s">
        <v>27254</v>
      </c>
      <c r="T4133" t="s">
        <v>27265</v>
      </c>
    </row>
    <row r="4134" spans="1:20" x14ac:dyDescent="0.3">
      <c r="A4134" t="str">
        <f>"0611861863050"</f>
        <v>0611861863050</v>
      </c>
      <c r="B4134" t="str">
        <f>"CE1323"</f>
        <v>CE1323</v>
      </c>
      <c r="C4134" t="s">
        <v>35220</v>
      </c>
      <c r="D4134" t="s">
        <v>27923</v>
      </c>
      <c r="E4134" t="str">
        <f t="shared" si="64"/>
        <v>001390</v>
      </c>
      <c r="F4134" t="s">
        <v>27246</v>
      </c>
      <c r="G4134" t="s">
        <v>27247</v>
      </c>
      <c r="H4134" t="s">
        <v>27248</v>
      </c>
      <c r="I4134" t="s">
        <v>35221</v>
      </c>
      <c r="J4134" t="s">
        <v>8263</v>
      </c>
      <c r="L4134" t="s">
        <v>27250</v>
      </c>
      <c r="M4134" t="s">
        <v>27251</v>
      </c>
      <c r="N4134" t="s">
        <v>27252</v>
      </c>
      <c r="P4134" t="s">
        <v>27925</v>
      </c>
      <c r="Q4134" s="1">
        <v>44846</v>
      </c>
      <c r="R4134" t="s">
        <v>27253</v>
      </c>
      <c r="S4134" t="s">
        <v>27254</v>
      </c>
      <c r="T4134" t="s">
        <v>27265</v>
      </c>
    </row>
    <row r="4135" spans="1:20" x14ac:dyDescent="0.3">
      <c r="A4135" t="str">
        <f>"0611861865050"</f>
        <v>0611861865050</v>
      </c>
      <c r="B4135" t="str">
        <f>"CE1324"</f>
        <v>CE1324</v>
      </c>
      <c r="C4135" t="s">
        <v>35222</v>
      </c>
      <c r="D4135" t="s">
        <v>27923</v>
      </c>
      <c r="E4135" t="str">
        <f t="shared" si="64"/>
        <v>001390</v>
      </c>
      <c r="F4135" t="s">
        <v>27246</v>
      </c>
      <c r="G4135" t="s">
        <v>27247</v>
      </c>
      <c r="H4135" t="s">
        <v>27248</v>
      </c>
      <c r="I4135" t="s">
        <v>35223</v>
      </c>
      <c r="J4135" t="s">
        <v>8265</v>
      </c>
      <c r="L4135" t="s">
        <v>27250</v>
      </c>
      <c r="M4135" t="s">
        <v>27251</v>
      </c>
      <c r="N4135" t="s">
        <v>27252</v>
      </c>
      <c r="P4135" t="s">
        <v>27925</v>
      </c>
      <c r="Q4135" s="1">
        <v>44846</v>
      </c>
      <c r="R4135" t="s">
        <v>27253</v>
      </c>
      <c r="S4135" t="s">
        <v>27254</v>
      </c>
      <c r="T4135" t="s">
        <v>27265</v>
      </c>
    </row>
    <row r="4136" spans="1:20" x14ac:dyDescent="0.3">
      <c r="A4136" t="str">
        <f>"0611861866050"</f>
        <v>0611861866050</v>
      </c>
      <c r="B4136" t="str">
        <f>"CE0424"</f>
        <v>CE0424</v>
      </c>
      <c r="C4136" t="s">
        <v>35224</v>
      </c>
      <c r="D4136" t="s">
        <v>27923</v>
      </c>
      <c r="E4136" t="str">
        <f t="shared" si="64"/>
        <v>001390</v>
      </c>
      <c r="F4136" t="s">
        <v>27246</v>
      </c>
      <c r="G4136" t="s">
        <v>27247</v>
      </c>
      <c r="H4136" t="s">
        <v>27248</v>
      </c>
      <c r="I4136" t="s">
        <v>35225</v>
      </c>
      <c r="J4136" t="s">
        <v>8267</v>
      </c>
      <c r="L4136" t="s">
        <v>27250</v>
      </c>
      <c r="M4136" t="s">
        <v>27251</v>
      </c>
      <c r="N4136" t="s">
        <v>27252</v>
      </c>
      <c r="P4136" t="s">
        <v>27925</v>
      </c>
      <c r="Q4136" s="1">
        <v>44846</v>
      </c>
      <c r="R4136" t="s">
        <v>27253</v>
      </c>
      <c r="S4136" t="s">
        <v>27254</v>
      </c>
      <c r="T4136" t="s">
        <v>27265</v>
      </c>
    </row>
    <row r="4137" spans="1:20" x14ac:dyDescent="0.3">
      <c r="A4137" t="str">
        <f>"0611861868050"</f>
        <v>0611861868050</v>
      </c>
      <c r="B4137" t="str">
        <f>"CE1423"</f>
        <v>CE1423</v>
      </c>
      <c r="C4137" t="s">
        <v>35226</v>
      </c>
      <c r="D4137" t="s">
        <v>27923</v>
      </c>
      <c r="E4137" t="str">
        <f t="shared" si="64"/>
        <v>001390</v>
      </c>
      <c r="F4137" t="s">
        <v>27246</v>
      </c>
      <c r="G4137" t="s">
        <v>27247</v>
      </c>
      <c r="H4137" t="s">
        <v>27248</v>
      </c>
      <c r="I4137" t="s">
        <v>35227</v>
      </c>
      <c r="J4137" t="s">
        <v>8269</v>
      </c>
      <c r="L4137" t="s">
        <v>27250</v>
      </c>
      <c r="M4137" t="s">
        <v>27251</v>
      </c>
      <c r="N4137" t="s">
        <v>27252</v>
      </c>
      <c r="P4137" t="s">
        <v>27925</v>
      </c>
      <c r="Q4137" s="1">
        <v>44846</v>
      </c>
      <c r="R4137" t="s">
        <v>27253</v>
      </c>
      <c r="S4137" t="s">
        <v>27254</v>
      </c>
      <c r="T4137" t="s">
        <v>27265</v>
      </c>
    </row>
    <row r="4138" spans="1:20" x14ac:dyDescent="0.3">
      <c r="A4138" t="str">
        <f>"0611861870050"</f>
        <v>0611861870050</v>
      </c>
      <c r="B4138" t="str">
        <f>"CE1633"</f>
        <v>CE1633</v>
      </c>
      <c r="C4138" t="s">
        <v>35228</v>
      </c>
      <c r="D4138" t="s">
        <v>27923</v>
      </c>
      <c r="E4138" t="str">
        <f t="shared" si="64"/>
        <v>001390</v>
      </c>
      <c r="F4138" t="s">
        <v>27246</v>
      </c>
      <c r="G4138" t="s">
        <v>27247</v>
      </c>
      <c r="H4138" t="s">
        <v>27248</v>
      </c>
      <c r="I4138" t="s">
        <v>35229</v>
      </c>
      <c r="J4138" t="s">
        <v>8271</v>
      </c>
      <c r="L4138" t="s">
        <v>27250</v>
      </c>
      <c r="M4138" t="s">
        <v>27251</v>
      </c>
      <c r="N4138" t="s">
        <v>27252</v>
      </c>
      <c r="P4138" t="s">
        <v>27925</v>
      </c>
      <c r="Q4138" s="1">
        <v>44846</v>
      </c>
      <c r="R4138" t="s">
        <v>27253</v>
      </c>
      <c r="S4138" t="s">
        <v>27254</v>
      </c>
      <c r="T4138" t="s">
        <v>27265</v>
      </c>
    </row>
    <row r="4139" spans="1:20" x14ac:dyDescent="0.3">
      <c r="A4139" t="str">
        <f>"0611861871050"</f>
        <v>0611861871050</v>
      </c>
      <c r="B4139" t="str">
        <f>"CE1632"</f>
        <v>CE1632</v>
      </c>
      <c r="C4139" t="s">
        <v>35230</v>
      </c>
      <c r="D4139" t="s">
        <v>27923</v>
      </c>
      <c r="E4139" t="str">
        <f t="shared" si="64"/>
        <v>001390</v>
      </c>
      <c r="F4139" t="s">
        <v>27246</v>
      </c>
      <c r="G4139" t="s">
        <v>27247</v>
      </c>
      <c r="H4139" t="s">
        <v>27248</v>
      </c>
      <c r="I4139" t="s">
        <v>35231</v>
      </c>
      <c r="J4139" t="s">
        <v>8273</v>
      </c>
      <c r="L4139" t="s">
        <v>27250</v>
      </c>
      <c r="M4139" t="s">
        <v>27251</v>
      </c>
      <c r="N4139" t="s">
        <v>27252</v>
      </c>
      <c r="P4139" t="s">
        <v>27925</v>
      </c>
      <c r="Q4139" s="1">
        <v>44846</v>
      </c>
      <c r="R4139" t="s">
        <v>27253</v>
      </c>
      <c r="S4139" t="s">
        <v>27254</v>
      </c>
      <c r="T4139" t="s">
        <v>27265</v>
      </c>
    </row>
    <row r="4140" spans="1:20" x14ac:dyDescent="0.3">
      <c r="A4140" t="str">
        <f>"0611861872050"</f>
        <v>0611861872050</v>
      </c>
      <c r="B4140" t="str">
        <f>"CE1658"</f>
        <v>CE1658</v>
      </c>
      <c r="C4140" t="s">
        <v>35232</v>
      </c>
      <c r="D4140" t="s">
        <v>27923</v>
      </c>
      <c r="E4140" t="str">
        <f t="shared" si="64"/>
        <v>001390</v>
      </c>
      <c r="F4140" t="s">
        <v>27246</v>
      </c>
      <c r="G4140" t="s">
        <v>27247</v>
      </c>
      <c r="H4140" t="s">
        <v>27248</v>
      </c>
      <c r="I4140" t="s">
        <v>35233</v>
      </c>
      <c r="J4140" t="s">
        <v>8275</v>
      </c>
      <c r="L4140" t="s">
        <v>27250</v>
      </c>
      <c r="M4140" t="s">
        <v>27251</v>
      </c>
      <c r="N4140" t="s">
        <v>27252</v>
      </c>
      <c r="P4140" t="s">
        <v>27925</v>
      </c>
      <c r="Q4140" s="1">
        <v>44846</v>
      </c>
      <c r="R4140" t="s">
        <v>27253</v>
      </c>
      <c r="S4140" t="s">
        <v>27254</v>
      </c>
      <c r="T4140" t="s">
        <v>27265</v>
      </c>
    </row>
    <row r="4141" spans="1:20" x14ac:dyDescent="0.3">
      <c r="A4141" t="str">
        <f>"0611834088100"</f>
        <v>0611834088100</v>
      </c>
      <c r="B4141" t="str">
        <f>"LF1835"</f>
        <v>LF1835</v>
      </c>
      <c r="C4141" t="s">
        <v>35234</v>
      </c>
      <c r="D4141" t="s">
        <v>27245</v>
      </c>
      <c r="E4141" t="str">
        <f t="shared" si="64"/>
        <v>001390</v>
      </c>
      <c r="F4141" t="s">
        <v>27246</v>
      </c>
      <c r="G4141" t="s">
        <v>27247</v>
      </c>
      <c r="H4141" t="s">
        <v>27248</v>
      </c>
      <c r="I4141" t="s">
        <v>35235</v>
      </c>
      <c r="J4141" t="s">
        <v>8277</v>
      </c>
      <c r="L4141" t="s">
        <v>27250</v>
      </c>
      <c r="M4141" t="s">
        <v>27251</v>
      </c>
      <c r="N4141" t="s">
        <v>27252</v>
      </c>
      <c r="Q4141" s="1">
        <v>44538</v>
      </c>
      <c r="R4141" t="s">
        <v>27253</v>
      </c>
      <c r="S4141" t="s">
        <v>27254</v>
      </c>
      <c r="T4141" t="s">
        <v>27255</v>
      </c>
    </row>
    <row r="4142" spans="1:20" x14ac:dyDescent="0.3">
      <c r="A4142" t="str">
        <f>"0611834090100"</f>
        <v>0611834090100</v>
      </c>
      <c r="B4142" t="str">
        <f>"LH8911"</f>
        <v>LH8911</v>
      </c>
      <c r="C4142" t="s">
        <v>35236</v>
      </c>
      <c r="D4142" t="s">
        <v>28138</v>
      </c>
      <c r="E4142" t="str">
        <f t="shared" si="64"/>
        <v>001390</v>
      </c>
      <c r="F4142" t="s">
        <v>27246</v>
      </c>
      <c r="G4142" t="s">
        <v>27247</v>
      </c>
      <c r="H4142" t="s">
        <v>27248</v>
      </c>
      <c r="I4142" t="s">
        <v>35237</v>
      </c>
      <c r="J4142" t="s">
        <v>8281</v>
      </c>
      <c r="L4142" t="s">
        <v>27250</v>
      </c>
      <c r="M4142" t="s">
        <v>27251</v>
      </c>
      <c r="N4142" t="s">
        <v>27252</v>
      </c>
      <c r="P4142" t="s">
        <v>27925</v>
      </c>
      <c r="Q4142" s="1">
        <v>44538</v>
      </c>
      <c r="R4142" t="s">
        <v>27253</v>
      </c>
      <c r="S4142" t="s">
        <v>27254</v>
      </c>
      <c r="T4142" t="s">
        <v>27255</v>
      </c>
    </row>
    <row r="4143" spans="1:20" x14ac:dyDescent="0.3">
      <c r="A4143" t="str">
        <f>"0611834091025"</f>
        <v>0611834091025</v>
      </c>
      <c r="B4143" t="str">
        <f>"MC0851"</f>
        <v>MC0851</v>
      </c>
      <c r="C4143" t="s">
        <v>35238</v>
      </c>
      <c r="D4143" t="s">
        <v>27267</v>
      </c>
      <c r="E4143" t="str">
        <f t="shared" si="64"/>
        <v>001390</v>
      </c>
      <c r="F4143" t="s">
        <v>27246</v>
      </c>
      <c r="G4143" t="s">
        <v>27247</v>
      </c>
      <c r="H4143" t="s">
        <v>27248</v>
      </c>
      <c r="I4143" t="s">
        <v>35239</v>
      </c>
      <c r="J4143" t="s">
        <v>8283</v>
      </c>
      <c r="L4143" t="s">
        <v>27250</v>
      </c>
      <c r="M4143" t="s">
        <v>27251</v>
      </c>
      <c r="N4143" t="s">
        <v>27252</v>
      </c>
      <c r="Q4143" s="1">
        <v>44538</v>
      </c>
      <c r="R4143" t="s">
        <v>27253</v>
      </c>
      <c r="S4143" t="s">
        <v>27254</v>
      </c>
      <c r="T4143" t="s">
        <v>27269</v>
      </c>
    </row>
    <row r="4144" spans="1:20" x14ac:dyDescent="0.3">
      <c r="A4144" t="str">
        <f>"0611861873050"</f>
        <v>0611861873050</v>
      </c>
      <c r="B4144" t="str">
        <f>"CE0426"</f>
        <v>CE0426</v>
      </c>
      <c r="C4144" t="s">
        <v>35240</v>
      </c>
      <c r="D4144" t="s">
        <v>27923</v>
      </c>
      <c r="E4144" t="str">
        <f t="shared" si="64"/>
        <v>001390</v>
      </c>
      <c r="F4144" t="s">
        <v>27246</v>
      </c>
      <c r="G4144" t="s">
        <v>27247</v>
      </c>
      <c r="H4144" t="s">
        <v>27248</v>
      </c>
      <c r="I4144" t="s">
        <v>35241</v>
      </c>
      <c r="J4144" t="s">
        <v>8279</v>
      </c>
      <c r="L4144" t="s">
        <v>27250</v>
      </c>
      <c r="M4144" t="s">
        <v>27251</v>
      </c>
      <c r="N4144" t="s">
        <v>27252</v>
      </c>
      <c r="O4144">
        <v>950</v>
      </c>
      <c r="P4144" t="s">
        <v>27925</v>
      </c>
      <c r="Q4144" s="1">
        <v>44846</v>
      </c>
      <c r="R4144" t="s">
        <v>27253</v>
      </c>
      <c r="S4144" t="s">
        <v>27254</v>
      </c>
      <c r="T4144" t="s">
        <v>27265</v>
      </c>
    </row>
    <row r="4145" spans="1:20" x14ac:dyDescent="0.3">
      <c r="A4145" t="str">
        <f>"0611834092100"</f>
        <v>0611834092100</v>
      </c>
      <c r="B4145" t="str">
        <f>"LF2002"</f>
        <v>LF2002</v>
      </c>
      <c r="C4145" t="s">
        <v>35242</v>
      </c>
      <c r="D4145" t="s">
        <v>27245</v>
      </c>
      <c r="E4145" t="str">
        <f t="shared" si="64"/>
        <v>001390</v>
      </c>
      <c r="F4145" t="s">
        <v>27246</v>
      </c>
      <c r="G4145" t="s">
        <v>27247</v>
      </c>
      <c r="H4145" t="s">
        <v>27248</v>
      </c>
      <c r="I4145" t="s">
        <v>35243</v>
      </c>
      <c r="J4145" t="s">
        <v>8285</v>
      </c>
      <c r="L4145" t="s">
        <v>27250</v>
      </c>
      <c r="M4145" t="s">
        <v>27251</v>
      </c>
      <c r="N4145" t="s">
        <v>27252</v>
      </c>
      <c r="Q4145" s="1">
        <v>44538</v>
      </c>
      <c r="R4145" t="s">
        <v>27253</v>
      </c>
      <c r="S4145" t="s">
        <v>27254</v>
      </c>
      <c r="T4145" t="s">
        <v>27255</v>
      </c>
    </row>
    <row r="4146" spans="1:20" x14ac:dyDescent="0.3">
      <c r="A4146" t="str">
        <f>"0611834099025"</f>
        <v>0611834099025</v>
      </c>
      <c r="B4146" t="str">
        <f>"MC2205"</f>
        <v>MC2205</v>
      </c>
      <c r="C4146" t="s">
        <v>35244</v>
      </c>
      <c r="D4146" t="s">
        <v>27267</v>
      </c>
      <c r="E4146" t="str">
        <f t="shared" si="64"/>
        <v>001390</v>
      </c>
      <c r="F4146" t="s">
        <v>27246</v>
      </c>
      <c r="G4146" t="s">
        <v>27247</v>
      </c>
      <c r="H4146" t="s">
        <v>27248</v>
      </c>
      <c r="I4146" t="s">
        <v>35245</v>
      </c>
      <c r="J4146" t="s">
        <v>8287</v>
      </c>
      <c r="L4146" t="s">
        <v>27250</v>
      </c>
      <c r="M4146" t="s">
        <v>27251</v>
      </c>
      <c r="N4146" t="s">
        <v>27252</v>
      </c>
      <c r="Q4146" s="1">
        <v>44538</v>
      </c>
      <c r="R4146" t="s">
        <v>27253</v>
      </c>
      <c r="S4146" t="s">
        <v>27254</v>
      </c>
      <c r="T4146" t="s">
        <v>27269</v>
      </c>
    </row>
    <row r="4147" spans="1:20" x14ac:dyDescent="0.3">
      <c r="A4147" t="str">
        <f>"0611834093100"</f>
        <v>0611834093100</v>
      </c>
      <c r="B4147" t="str">
        <f>"LF2019"</f>
        <v>LF2019</v>
      </c>
      <c r="C4147" t="s">
        <v>35246</v>
      </c>
      <c r="D4147" t="s">
        <v>27245</v>
      </c>
      <c r="E4147" t="str">
        <f t="shared" si="64"/>
        <v>001390</v>
      </c>
      <c r="F4147" t="s">
        <v>27246</v>
      </c>
      <c r="G4147" t="s">
        <v>27247</v>
      </c>
      <c r="H4147" t="s">
        <v>27248</v>
      </c>
      <c r="I4147" t="s">
        <v>35247</v>
      </c>
      <c r="J4147" t="s">
        <v>8289</v>
      </c>
      <c r="L4147" t="s">
        <v>27250</v>
      </c>
      <c r="M4147" t="s">
        <v>27251</v>
      </c>
      <c r="N4147" t="s">
        <v>27252</v>
      </c>
      <c r="O4147">
        <v>100</v>
      </c>
      <c r="Q4147" s="1">
        <v>44538</v>
      </c>
      <c r="R4147" t="s">
        <v>27253</v>
      </c>
      <c r="S4147" t="s">
        <v>27254</v>
      </c>
      <c r="T4147" t="s">
        <v>27255</v>
      </c>
    </row>
    <row r="4148" spans="1:20" x14ac:dyDescent="0.3">
      <c r="A4148" t="str">
        <f>"0611834095100"</f>
        <v>0611834095100</v>
      </c>
      <c r="B4148" t="str">
        <f>"LF2016"</f>
        <v>LF2016</v>
      </c>
      <c r="C4148" t="s">
        <v>35248</v>
      </c>
      <c r="D4148" t="s">
        <v>27245</v>
      </c>
      <c r="E4148" t="str">
        <f t="shared" si="64"/>
        <v>001390</v>
      </c>
      <c r="F4148" t="s">
        <v>27246</v>
      </c>
      <c r="G4148" t="s">
        <v>27247</v>
      </c>
      <c r="H4148" t="s">
        <v>27248</v>
      </c>
      <c r="I4148" t="s">
        <v>35249</v>
      </c>
      <c r="J4148" t="s">
        <v>8291</v>
      </c>
      <c r="L4148" t="s">
        <v>27250</v>
      </c>
      <c r="M4148" t="s">
        <v>27251</v>
      </c>
      <c r="N4148" t="s">
        <v>27252</v>
      </c>
      <c r="Q4148" s="1">
        <v>44538</v>
      </c>
      <c r="R4148" t="s">
        <v>27253</v>
      </c>
      <c r="S4148" t="s">
        <v>27254</v>
      </c>
      <c r="T4148" t="s">
        <v>27255</v>
      </c>
    </row>
    <row r="4149" spans="1:20" x14ac:dyDescent="0.3">
      <c r="A4149" t="str">
        <f>"0611834094025"</f>
        <v>0611834094025</v>
      </c>
      <c r="B4149" t="str">
        <f>"MC2207"</f>
        <v>MC2207</v>
      </c>
      <c r="C4149" t="s">
        <v>35250</v>
      </c>
      <c r="D4149" t="s">
        <v>27267</v>
      </c>
      <c r="E4149" t="str">
        <f t="shared" si="64"/>
        <v>001390</v>
      </c>
      <c r="F4149" t="s">
        <v>27246</v>
      </c>
      <c r="G4149" t="s">
        <v>27247</v>
      </c>
      <c r="H4149" t="s">
        <v>27248</v>
      </c>
      <c r="I4149" t="s">
        <v>35251</v>
      </c>
      <c r="J4149" t="s">
        <v>8293</v>
      </c>
      <c r="L4149" t="s">
        <v>27250</v>
      </c>
      <c r="M4149" t="s">
        <v>27251</v>
      </c>
      <c r="N4149" t="s">
        <v>27252</v>
      </c>
      <c r="Q4149" s="1">
        <v>44538</v>
      </c>
      <c r="R4149" t="s">
        <v>27253</v>
      </c>
      <c r="S4149" t="s">
        <v>27254</v>
      </c>
      <c r="T4149" t="s">
        <v>27269</v>
      </c>
    </row>
    <row r="4150" spans="1:20" x14ac:dyDescent="0.3">
      <c r="A4150" t="str">
        <f>"0611834096100"</f>
        <v>0611834096100</v>
      </c>
      <c r="B4150" t="str">
        <f>"LF2012"</f>
        <v>LF2012</v>
      </c>
      <c r="C4150" t="s">
        <v>35252</v>
      </c>
      <c r="D4150" t="s">
        <v>27245</v>
      </c>
      <c r="E4150" t="str">
        <f t="shared" si="64"/>
        <v>001390</v>
      </c>
      <c r="F4150" t="s">
        <v>27246</v>
      </c>
      <c r="G4150" t="s">
        <v>27247</v>
      </c>
      <c r="H4150" t="s">
        <v>27248</v>
      </c>
      <c r="I4150" t="s">
        <v>35253</v>
      </c>
      <c r="J4150" t="s">
        <v>8295</v>
      </c>
      <c r="L4150" t="s">
        <v>27250</v>
      </c>
      <c r="M4150" t="s">
        <v>27251</v>
      </c>
      <c r="N4150" t="s">
        <v>27252</v>
      </c>
      <c r="Q4150" s="1">
        <v>44538</v>
      </c>
      <c r="R4150" t="s">
        <v>27253</v>
      </c>
      <c r="S4150" t="s">
        <v>27254</v>
      </c>
      <c r="T4150" t="s">
        <v>27255</v>
      </c>
    </row>
    <row r="4151" spans="1:20" x14ac:dyDescent="0.3">
      <c r="A4151" t="str">
        <f>"0611834097100"</f>
        <v>0611834097100</v>
      </c>
      <c r="B4151" t="str">
        <f>"LK5652"</f>
        <v>LK5652</v>
      </c>
      <c r="C4151" t="s">
        <v>35254</v>
      </c>
      <c r="D4151" t="s">
        <v>27245</v>
      </c>
      <c r="E4151" t="str">
        <f t="shared" si="64"/>
        <v>001390</v>
      </c>
      <c r="F4151" t="s">
        <v>27246</v>
      </c>
      <c r="G4151" t="s">
        <v>27247</v>
      </c>
      <c r="H4151" t="s">
        <v>27248</v>
      </c>
      <c r="I4151" t="s">
        <v>35255</v>
      </c>
      <c r="J4151" t="s">
        <v>8297</v>
      </c>
      <c r="L4151" t="s">
        <v>27250</v>
      </c>
      <c r="M4151" t="s">
        <v>27251</v>
      </c>
      <c r="N4151" t="s">
        <v>27252</v>
      </c>
      <c r="Q4151" s="1">
        <v>44538</v>
      </c>
      <c r="R4151" t="s">
        <v>27253</v>
      </c>
      <c r="S4151" t="s">
        <v>27254</v>
      </c>
      <c r="T4151" t="s">
        <v>27255</v>
      </c>
    </row>
    <row r="4152" spans="1:20" x14ac:dyDescent="0.3">
      <c r="A4152" t="str">
        <f>"0611834098100"</f>
        <v>0611834098100</v>
      </c>
      <c r="B4152" t="str">
        <f>"LS0118"</f>
        <v>LS0118</v>
      </c>
      <c r="C4152" t="s">
        <v>35256</v>
      </c>
      <c r="D4152" t="s">
        <v>27245</v>
      </c>
      <c r="E4152" t="str">
        <f t="shared" si="64"/>
        <v>001390</v>
      </c>
      <c r="F4152" t="s">
        <v>27246</v>
      </c>
      <c r="G4152" t="s">
        <v>27247</v>
      </c>
      <c r="H4152" t="s">
        <v>27248</v>
      </c>
      <c r="I4152" t="s">
        <v>35257</v>
      </c>
      <c r="J4152" t="s">
        <v>8299</v>
      </c>
      <c r="L4152" t="s">
        <v>27250</v>
      </c>
      <c r="M4152" t="s">
        <v>27251</v>
      </c>
      <c r="N4152" t="s">
        <v>27252</v>
      </c>
      <c r="Q4152" s="1">
        <v>44538</v>
      </c>
      <c r="R4152" t="s">
        <v>27253</v>
      </c>
      <c r="S4152" t="s">
        <v>27254</v>
      </c>
      <c r="T4152" t="s">
        <v>27255</v>
      </c>
    </row>
    <row r="4153" spans="1:20" x14ac:dyDescent="0.3">
      <c r="A4153" t="str">
        <f>"0611834100100"</f>
        <v>0611834100100</v>
      </c>
      <c r="B4153" t="str">
        <f>"LF2000"</f>
        <v>LF2000</v>
      </c>
      <c r="C4153" t="s">
        <v>35258</v>
      </c>
      <c r="D4153" t="s">
        <v>27245</v>
      </c>
      <c r="E4153" t="str">
        <f t="shared" si="64"/>
        <v>001390</v>
      </c>
      <c r="F4153" t="s">
        <v>27246</v>
      </c>
      <c r="G4153" t="s">
        <v>27247</v>
      </c>
      <c r="H4153" t="s">
        <v>27248</v>
      </c>
      <c r="I4153" t="s">
        <v>35259</v>
      </c>
      <c r="J4153" t="s">
        <v>8301</v>
      </c>
      <c r="L4153" t="s">
        <v>27250</v>
      </c>
      <c r="M4153" t="s">
        <v>27251</v>
      </c>
      <c r="N4153" t="s">
        <v>27252</v>
      </c>
      <c r="Q4153" s="1">
        <v>44538</v>
      </c>
      <c r="R4153" t="s">
        <v>27253</v>
      </c>
      <c r="S4153" t="s">
        <v>27254</v>
      </c>
      <c r="T4153" t="s">
        <v>27255</v>
      </c>
    </row>
    <row r="4154" spans="1:20" x14ac:dyDescent="0.3">
      <c r="A4154" t="str">
        <f>"0611834103100"</f>
        <v>0611834103100</v>
      </c>
      <c r="B4154" t="str">
        <f>"LK4470"</f>
        <v>LK4470</v>
      </c>
      <c r="C4154" t="s">
        <v>35260</v>
      </c>
      <c r="D4154" t="s">
        <v>27245</v>
      </c>
      <c r="E4154" t="str">
        <f t="shared" si="64"/>
        <v>001390</v>
      </c>
      <c r="F4154" t="s">
        <v>27246</v>
      </c>
      <c r="G4154" t="s">
        <v>27247</v>
      </c>
      <c r="H4154" t="s">
        <v>27248</v>
      </c>
      <c r="I4154" t="s">
        <v>35261</v>
      </c>
      <c r="J4154" t="s">
        <v>8303</v>
      </c>
      <c r="L4154" t="s">
        <v>27250</v>
      </c>
      <c r="M4154" t="s">
        <v>27251</v>
      </c>
      <c r="N4154" t="s">
        <v>27252</v>
      </c>
      <c r="Q4154" s="1">
        <v>44538</v>
      </c>
      <c r="R4154" t="s">
        <v>27253</v>
      </c>
      <c r="S4154" t="s">
        <v>27254</v>
      </c>
      <c r="T4154" t="s">
        <v>27255</v>
      </c>
    </row>
    <row r="4155" spans="1:20" x14ac:dyDescent="0.3">
      <c r="A4155" t="str">
        <f>"0611861874050"</f>
        <v>0611861874050</v>
      </c>
      <c r="B4155" t="str">
        <f>"CR2943"</f>
        <v>CR2943</v>
      </c>
      <c r="C4155" t="s">
        <v>35262</v>
      </c>
      <c r="D4155" t="s">
        <v>27263</v>
      </c>
      <c r="E4155" t="str">
        <f t="shared" si="64"/>
        <v>001390</v>
      </c>
      <c r="F4155" t="s">
        <v>27246</v>
      </c>
      <c r="G4155" t="s">
        <v>27247</v>
      </c>
      <c r="H4155" t="s">
        <v>27248</v>
      </c>
      <c r="I4155" t="s">
        <v>35263</v>
      </c>
      <c r="J4155" t="s">
        <v>8305</v>
      </c>
      <c r="L4155" t="s">
        <v>27250</v>
      </c>
      <c r="M4155" t="s">
        <v>27251</v>
      </c>
      <c r="N4155" t="s">
        <v>27252</v>
      </c>
      <c r="Q4155" s="1">
        <v>44846</v>
      </c>
      <c r="R4155" t="s">
        <v>27253</v>
      </c>
      <c r="S4155" t="s">
        <v>27254</v>
      </c>
      <c r="T4155" t="s">
        <v>27265</v>
      </c>
    </row>
    <row r="4156" spans="1:20" x14ac:dyDescent="0.3">
      <c r="A4156" t="str">
        <f>"0611834104100"</f>
        <v>0611834104100</v>
      </c>
      <c r="B4156" t="str">
        <f>"LK4294"</f>
        <v>LK4294</v>
      </c>
      <c r="C4156" t="s">
        <v>35264</v>
      </c>
      <c r="D4156" t="s">
        <v>27245</v>
      </c>
      <c r="E4156" t="str">
        <f t="shared" si="64"/>
        <v>001390</v>
      </c>
      <c r="F4156" t="s">
        <v>27246</v>
      </c>
      <c r="G4156" t="s">
        <v>27247</v>
      </c>
      <c r="H4156" t="s">
        <v>27248</v>
      </c>
      <c r="I4156" t="s">
        <v>35265</v>
      </c>
      <c r="J4156" t="s">
        <v>8307</v>
      </c>
      <c r="L4156" t="s">
        <v>27250</v>
      </c>
      <c r="M4156" t="s">
        <v>27251</v>
      </c>
      <c r="N4156" t="s">
        <v>27252</v>
      </c>
      <c r="Q4156" s="1">
        <v>44538</v>
      </c>
      <c r="R4156" t="s">
        <v>27253</v>
      </c>
      <c r="S4156" t="s">
        <v>27254</v>
      </c>
      <c r="T4156" t="s">
        <v>27255</v>
      </c>
    </row>
    <row r="4157" spans="1:20" x14ac:dyDescent="0.3">
      <c r="A4157" t="str">
        <f>"0611861875100"</f>
        <v>0611861875100</v>
      </c>
      <c r="B4157" t="str">
        <f>"CN2031"</f>
        <v>CN2031</v>
      </c>
      <c r="C4157" t="s">
        <v>35266</v>
      </c>
      <c r="D4157" t="s">
        <v>27335</v>
      </c>
      <c r="E4157" t="str">
        <f t="shared" si="64"/>
        <v>001390</v>
      </c>
      <c r="F4157" t="s">
        <v>27246</v>
      </c>
      <c r="G4157" t="s">
        <v>27247</v>
      </c>
      <c r="H4157" t="s">
        <v>27248</v>
      </c>
      <c r="I4157" t="s">
        <v>35267</v>
      </c>
      <c r="J4157" t="s">
        <v>8309</v>
      </c>
      <c r="L4157" t="s">
        <v>27250</v>
      </c>
      <c r="M4157" t="s">
        <v>27251</v>
      </c>
      <c r="N4157" t="s">
        <v>27252</v>
      </c>
      <c r="Q4157" s="1">
        <v>44846</v>
      </c>
      <c r="R4157" t="s">
        <v>27253</v>
      </c>
      <c r="S4157" t="s">
        <v>27254</v>
      </c>
      <c r="T4157" t="s">
        <v>27255</v>
      </c>
    </row>
    <row r="4158" spans="1:20" x14ac:dyDescent="0.3">
      <c r="A4158" t="str">
        <f>"0611861876100"</f>
        <v>0611861876100</v>
      </c>
      <c r="B4158" t="str">
        <f>"CN2032"</f>
        <v>CN2032</v>
      </c>
      <c r="C4158" t="s">
        <v>35268</v>
      </c>
      <c r="D4158" t="s">
        <v>27335</v>
      </c>
      <c r="E4158" t="str">
        <f t="shared" si="64"/>
        <v>001390</v>
      </c>
      <c r="F4158" t="s">
        <v>27246</v>
      </c>
      <c r="G4158" t="s">
        <v>27247</v>
      </c>
      <c r="H4158" t="s">
        <v>27248</v>
      </c>
      <c r="I4158" t="s">
        <v>35269</v>
      </c>
      <c r="J4158" t="s">
        <v>8311</v>
      </c>
      <c r="L4158" t="s">
        <v>27250</v>
      </c>
      <c r="M4158" t="s">
        <v>27251</v>
      </c>
      <c r="N4158" t="s">
        <v>27252</v>
      </c>
      <c r="Q4158" s="1">
        <v>44846</v>
      </c>
      <c r="R4158" t="s">
        <v>27253</v>
      </c>
      <c r="S4158" t="s">
        <v>27254</v>
      </c>
      <c r="T4158" t="s">
        <v>27255</v>
      </c>
    </row>
    <row r="4159" spans="1:20" x14ac:dyDescent="0.3">
      <c r="A4159" t="str">
        <f>"0611861877100"</f>
        <v>0611861877100</v>
      </c>
      <c r="B4159" t="str">
        <f>"CN2034"</f>
        <v>CN2034</v>
      </c>
      <c r="C4159" t="s">
        <v>35270</v>
      </c>
      <c r="D4159" t="s">
        <v>27335</v>
      </c>
      <c r="E4159" t="str">
        <f t="shared" si="64"/>
        <v>001390</v>
      </c>
      <c r="F4159" t="s">
        <v>27246</v>
      </c>
      <c r="G4159" t="s">
        <v>27247</v>
      </c>
      <c r="H4159" t="s">
        <v>27248</v>
      </c>
      <c r="I4159" t="s">
        <v>35271</v>
      </c>
      <c r="J4159" t="s">
        <v>8313</v>
      </c>
      <c r="L4159" t="s">
        <v>27250</v>
      </c>
      <c r="M4159" t="s">
        <v>27251</v>
      </c>
      <c r="N4159" t="s">
        <v>27252</v>
      </c>
      <c r="Q4159" s="1">
        <v>44846</v>
      </c>
      <c r="R4159" t="s">
        <v>27253</v>
      </c>
      <c r="S4159" t="s">
        <v>27254</v>
      </c>
      <c r="T4159" t="s">
        <v>27255</v>
      </c>
    </row>
    <row r="4160" spans="1:20" x14ac:dyDescent="0.3">
      <c r="A4160" t="str">
        <f>"0611861878100"</f>
        <v>0611861878100</v>
      </c>
      <c r="B4160" t="str">
        <f>"CN2276"</f>
        <v>CN2276</v>
      </c>
      <c r="C4160" t="s">
        <v>35272</v>
      </c>
      <c r="D4160" t="s">
        <v>27335</v>
      </c>
      <c r="E4160" t="str">
        <f t="shared" si="64"/>
        <v>001390</v>
      </c>
      <c r="F4160" t="s">
        <v>27246</v>
      </c>
      <c r="G4160" t="s">
        <v>27247</v>
      </c>
      <c r="H4160" t="s">
        <v>27248</v>
      </c>
      <c r="I4160" t="s">
        <v>35273</v>
      </c>
      <c r="J4160" t="s">
        <v>8315</v>
      </c>
      <c r="L4160" t="s">
        <v>27250</v>
      </c>
      <c r="M4160" t="s">
        <v>27251</v>
      </c>
      <c r="N4160" t="s">
        <v>27252</v>
      </c>
      <c r="Q4160" s="1">
        <v>44846</v>
      </c>
      <c r="R4160" t="s">
        <v>27253</v>
      </c>
      <c r="S4160" t="s">
        <v>27254</v>
      </c>
      <c r="T4160" t="s">
        <v>27255</v>
      </c>
    </row>
    <row r="4161" spans="1:20" x14ac:dyDescent="0.3">
      <c r="A4161" t="str">
        <f>"0611861879100"</f>
        <v>0611861879100</v>
      </c>
      <c r="B4161" t="str">
        <f>"CN2039"</f>
        <v>CN2039</v>
      </c>
      <c r="C4161" t="s">
        <v>35274</v>
      </c>
      <c r="D4161" t="s">
        <v>27335</v>
      </c>
      <c r="E4161" t="str">
        <f t="shared" si="64"/>
        <v>001390</v>
      </c>
      <c r="F4161" t="s">
        <v>27246</v>
      </c>
      <c r="G4161" t="s">
        <v>27247</v>
      </c>
      <c r="H4161" t="s">
        <v>27248</v>
      </c>
      <c r="I4161" t="s">
        <v>35275</v>
      </c>
      <c r="J4161" t="s">
        <v>8317</v>
      </c>
      <c r="L4161" t="s">
        <v>27250</v>
      </c>
      <c r="M4161" t="s">
        <v>27251</v>
      </c>
      <c r="N4161" t="s">
        <v>27252</v>
      </c>
      <c r="Q4161" s="1">
        <v>44846</v>
      </c>
      <c r="R4161" t="s">
        <v>27253</v>
      </c>
      <c r="S4161" t="s">
        <v>27254</v>
      </c>
      <c r="T4161" t="s">
        <v>27255</v>
      </c>
    </row>
    <row r="4162" spans="1:20" x14ac:dyDescent="0.3">
      <c r="A4162" t="str">
        <f>"0611861880100"</f>
        <v>0611861880100</v>
      </c>
      <c r="B4162" t="str">
        <f>"CN2040"</f>
        <v>CN2040</v>
      </c>
      <c r="C4162" t="s">
        <v>35276</v>
      </c>
      <c r="D4162" t="s">
        <v>27335</v>
      </c>
      <c r="E4162" t="str">
        <f t="shared" ref="E4162:E4225" si="65">"001390"</f>
        <v>001390</v>
      </c>
      <c r="F4162" t="s">
        <v>27246</v>
      </c>
      <c r="G4162" t="s">
        <v>27247</v>
      </c>
      <c r="H4162" t="s">
        <v>27248</v>
      </c>
      <c r="I4162" t="s">
        <v>35277</v>
      </c>
      <c r="J4162" t="s">
        <v>8319</v>
      </c>
      <c r="L4162" t="s">
        <v>27250</v>
      </c>
      <c r="M4162" t="s">
        <v>27251</v>
      </c>
      <c r="N4162" t="s">
        <v>27252</v>
      </c>
      <c r="Q4162" s="1">
        <v>44846</v>
      </c>
      <c r="R4162" t="s">
        <v>27253</v>
      </c>
      <c r="S4162" t="s">
        <v>27254</v>
      </c>
      <c r="T4162" t="s">
        <v>27255</v>
      </c>
    </row>
    <row r="4163" spans="1:20" x14ac:dyDescent="0.3">
      <c r="A4163" t="str">
        <f>"0611861881100"</f>
        <v>0611861881100</v>
      </c>
      <c r="B4163" t="str">
        <f>"CN2041"</f>
        <v>CN2041</v>
      </c>
      <c r="C4163" t="s">
        <v>35278</v>
      </c>
      <c r="D4163" t="s">
        <v>27335</v>
      </c>
      <c r="E4163" t="str">
        <f t="shared" si="65"/>
        <v>001390</v>
      </c>
      <c r="F4163" t="s">
        <v>27246</v>
      </c>
      <c r="G4163" t="s">
        <v>27247</v>
      </c>
      <c r="H4163" t="s">
        <v>27248</v>
      </c>
      <c r="I4163" t="s">
        <v>35279</v>
      </c>
      <c r="J4163" t="s">
        <v>8321</v>
      </c>
      <c r="L4163" t="s">
        <v>27250</v>
      </c>
      <c r="M4163" t="s">
        <v>27251</v>
      </c>
      <c r="N4163" t="s">
        <v>27252</v>
      </c>
      <c r="Q4163" s="1">
        <v>44846</v>
      </c>
      <c r="R4163" t="s">
        <v>27253</v>
      </c>
      <c r="S4163" t="s">
        <v>27254</v>
      </c>
      <c r="T4163" t="s">
        <v>27255</v>
      </c>
    </row>
    <row r="4164" spans="1:20" x14ac:dyDescent="0.3">
      <c r="A4164" t="str">
        <f>"0611834106100"</f>
        <v>0611834106100</v>
      </c>
      <c r="B4164" t="str">
        <f>"LG8031"</f>
        <v>LG8031</v>
      </c>
      <c r="C4164" t="s">
        <v>35280</v>
      </c>
      <c r="D4164" t="s">
        <v>27245</v>
      </c>
      <c r="E4164" t="str">
        <f t="shared" si="65"/>
        <v>001390</v>
      </c>
      <c r="F4164" t="s">
        <v>27246</v>
      </c>
      <c r="G4164" t="s">
        <v>27247</v>
      </c>
      <c r="H4164" t="s">
        <v>27248</v>
      </c>
      <c r="I4164" t="s">
        <v>35281</v>
      </c>
      <c r="J4164" t="s">
        <v>8323</v>
      </c>
      <c r="L4164" t="s">
        <v>27250</v>
      </c>
      <c r="M4164" t="s">
        <v>27251</v>
      </c>
      <c r="N4164" t="s">
        <v>27252</v>
      </c>
      <c r="Q4164" s="1">
        <v>44538</v>
      </c>
      <c r="R4164" t="s">
        <v>27253</v>
      </c>
      <c r="S4164" t="s">
        <v>27254</v>
      </c>
      <c r="T4164" t="s">
        <v>27255</v>
      </c>
    </row>
    <row r="4165" spans="1:20" x14ac:dyDescent="0.3">
      <c r="A4165" t="str">
        <f>"0611861882100"</f>
        <v>0611861882100</v>
      </c>
      <c r="B4165" t="str">
        <f>"CN2042"</f>
        <v>CN2042</v>
      </c>
      <c r="C4165" t="s">
        <v>35282</v>
      </c>
      <c r="D4165" t="s">
        <v>27335</v>
      </c>
      <c r="E4165" t="str">
        <f t="shared" si="65"/>
        <v>001390</v>
      </c>
      <c r="F4165" t="s">
        <v>27246</v>
      </c>
      <c r="G4165" t="s">
        <v>27247</v>
      </c>
      <c r="H4165" t="s">
        <v>27248</v>
      </c>
      <c r="I4165" t="s">
        <v>35283</v>
      </c>
      <c r="J4165" t="s">
        <v>8325</v>
      </c>
      <c r="L4165" t="s">
        <v>27250</v>
      </c>
      <c r="M4165" t="s">
        <v>27251</v>
      </c>
      <c r="N4165" t="s">
        <v>27252</v>
      </c>
      <c r="Q4165" s="1">
        <v>44846</v>
      </c>
      <c r="R4165" t="s">
        <v>27253</v>
      </c>
      <c r="S4165" t="s">
        <v>27254</v>
      </c>
      <c r="T4165" t="s">
        <v>27255</v>
      </c>
    </row>
    <row r="4166" spans="1:20" x14ac:dyDescent="0.3">
      <c r="A4166" t="str">
        <f>"0611834107100"</f>
        <v>0611834107100</v>
      </c>
      <c r="B4166" t="str">
        <f>"LG8033"</f>
        <v>LG8033</v>
      </c>
      <c r="C4166" t="s">
        <v>35284</v>
      </c>
      <c r="D4166" t="s">
        <v>27245</v>
      </c>
      <c r="E4166" t="str">
        <f t="shared" si="65"/>
        <v>001390</v>
      </c>
      <c r="F4166" t="s">
        <v>27246</v>
      </c>
      <c r="G4166" t="s">
        <v>27247</v>
      </c>
      <c r="H4166" t="s">
        <v>27248</v>
      </c>
      <c r="I4166" t="s">
        <v>35285</v>
      </c>
      <c r="J4166" t="s">
        <v>8327</v>
      </c>
      <c r="L4166" t="s">
        <v>27250</v>
      </c>
      <c r="M4166" t="s">
        <v>27251</v>
      </c>
      <c r="N4166" t="s">
        <v>27252</v>
      </c>
      <c r="Q4166" s="1">
        <v>44538</v>
      </c>
      <c r="R4166" t="s">
        <v>27253</v>
      </c>
      <c r="S4166" t="s">
        <v>27254</v>
      </c>
      <c r="T4166" t="s">
        <v>27255</v>
      </c>
    </row>
    <row r="4167" spans="1:20" x14ac:dyDescent="0.3">
      <c r="A4167" t="str">
        <f>"0611861883100"</f>
        <v>0611861883100</v>
      </c>
      <c r="B4167" t="str">
        <f>"CN2043"</f>
        <v>CN2043</v>
      </c>
      <c r="C4167" t="s">
        <v>35286</v>
      </c>
      <c r="D4167" t="s">
        <v>27335</v>
      </c>
      <c r="E4167" t="str">
        <f t="shared" si="65"/>
        <v>001390</v>
      </c>
      <c r="F4167" t="s">
        <v>27246</v>
      </c>
      <c r="G4167" t="s">
        <v>27247</v>
      </c>
      <c r="H4167" t="s">
        <v>27248</v>
      </c>
      <c r="I4167" t="s">
        <v>35287</v>
      </c>
      <c r="J4167" t="s">
        <v>8329</v>
      </c>
      <c r="L4167" t="s">
        <v>27250</v>
      </c>
      <c r="M4167" t="s">
        <v>27251</v>
      </c>
      <c r="N4167" t="s">
        <v>27252</v>
      </c>
      <c r="Q4167" s="1">
        <v>44846</v>
      </c>
      <c r="R4167" t="s">
        <v>27253</v>
      </c>
      <c r="S4167" t="s">
        <v>27254</v>
      </c>
      <c r="T4167" t="s">
        <v>27255</v>
      </c>
    </row>
    <row r="4168" spans="1:20" x14ac:dyDescent="0.3">
      <c r="A4168" t="str">
        <f>"0611861884100"</f>
        <v>0611861884100</v>
      </c>
      <c r="B4168" t="str">
        <f>"CN2044"</f>
        <v>CN2044</v>
      </c>
      <c r="C4168" t="s">
        <v>35288</v>
      </c>
      <c r="D4168" t="s">
        <v>27335</v>
      </c>
      <c r="E4168" t="str">
        <f t="shared" si="65"/>
        <v>001390</v>
      </c>
      <c r="F4168" t="s">
        <v>27246</v>
      </c>
      <c r="G4168" t="s">
        <v>27247</v>
      </c>
      <c r="H4168" t="s">
        <v>27248</v>
      </c>
      <c r="I4168" t="s">
        <v>35289</v>
      </c>
      <c r="J4168" t="s">
        <v>8331</v>
      </c>
      <c r="L4168" t="s">
        <v>27250</v>
      </c>
      <c r="M4168" t="s">
        <v>27251</v>
      </c>
      <c r="N4168" t="s">
        <v>27252</v>
      </c>
      <c r="Q4168" s="1">
        <v>44846</v>
      </c>
      <c r="R4168" t="s">
        <v>27253</v>
      </c>
      <c r="S4168" t="s">
        <v>27254</v>
      </c>
      <c r="T4168" t="s">
        <v>27255</v>
      </c>
    </row>
    <row r="4169" spans="1:20" x14ac:dyDescent="0.3">
      <c r="A4169" t="str">
        <f>"0611861885100"</f>
        <v>0611861885100</v>
      </c>
      <c r="B4169" t="str">
        <f>"CN2045"</f>
        <v>CN2045</v>
      </c>
      <c r="C4169" t="s">
        <v>35290</v>
      </c>
      <c r="D4169" t="s">
        <v>27335</v>
      </c>
      <c r="E4169" t="str">
        <f t="shared" si="65"/>
        <v>001390</v>
      </c>
      <c r="F4169" t="s">
        <v>27246</v>
      </c>
      <c r="G4169" t="s">
        <v>27247</v>
      </c>
      <c r="H4169" t="s">
        <v>27248</v>
      </c>
      <c r="I4169" t="s">
        <v>35291</v>
      </c>
      <c r="J4169" t="s">
        <v>8333</v>
      </c>
      <c r="L4169" t="s">
        <v>27250</v>
      </c>
      <c r="M4169" t="s">
        <v>27251</v>
      </c>
      <c r="N4169" t="s">
        <v>27252</v>
      </c>
      <c r="Q4169" s="1">
        <v>44846</v>
      </c>
      <c r="R4169" t="s">
        <v>27253</v>
      </c>
      <c r="S4169" t="s">
        <v>27254</v>
      </c>
      <c r="T4169" t="s">
        <v>27255</v>
      </c>
    </row>
    <row r="4170" spans="1:20" x14ac:dyDescent="0.3">
      <c r="A4170" t="str">
        <f>"0611861886100"</f>
        <v>0611861886100</v>
      </c>
      <c r="B4170" t="str">
        <f>"CN2046"</f>
        <v>CN2046</v>
      </c>
      <c r="C4170" t="s">
        <v>35292</v>
      </c>
      <c r="D4170" t="s">
        <v>27335</v>
      </c>
      <c r="E4170" t="str">
        <f t="shared" si="65"/>
        <v>001390</v>
      </c>
      <c r="F4170" t="s">
        <v>27246</v>
      </c>
      <c r="G4170" t="s">
        <v>27247</v>
      </c>
      <c r="H4170" t="s">
        <v>27248</v>
      </c>
      <c r="I4170" t="s">
        <v>35293</v>
      </c>
      <c r="J4170" t="s">
        <v>8335</v>
      </c>
      <c r="L4170" t="s">
        <v>27250</v>
      </c>
      <c r="M4170" t="s">
        <v>27251</v>
      </c>
      <c r="N4170" t="s">
        <v>27252</v>
      </c>
      <c r="Q4170" s="1">
        <v>44846</v>
      </c>
      <c r="R4170" t="s">
        <v>27253</v>
      </c>
      <c r="S4170" t="s">
        <v>27254</v>
      </c>
      <c r="T4170" t="s">
        <v>27255</v>
      </c>
    </row>
    <row r="4171" spans="1:20" x14ac:dyDescent="0.3">
      <c r="A4171" t="str">
        <f>"0611884194100"</f>
        <v>0611884194100</v>
      </c>
      <c r="B4171" t="str">
        <f>"LF8533"</f>
        <v>LF8533</v>
      </c>
      <c r="C4171" t="s">
        <v>35294</v>
      </c>
      <c r="D4171" t="s">
        <v>27245</v>
      </c>
      <c r="E4171" t="str">
        <f t="shared" si="65"/>
        <v>001390</v>
      </c>
      <c r="F4171" t="s">
        <v>27246</v>
      </c>
      <c r="G4171" t="s">
        <v>27247</v>
      </c>
      <c r="H4171" t="s">
        <v>27248</v>
      </c>
      <c r="I4171" t="s">
        <v>35295</v>
      </c>
      <c r="J4171" t="s">
        <v>8337</v>
      </c>
      <c r="L4171" t="s">
        <v>27430</v>
      </c>
      <c r="M4171" t="s">
        <v>27251</v>
      </c>
      <c r="N4171" t="s">
        <v>27252</v>
      </c>
      <c r="Q4171" s="1">
        <v>45250</v>
      </c>
      <c r="R4171" t="s">
        <v>27253</v>
      </c>
      <c r="S4171" t="s">
        <v>27254</v>
      </c>
      <c r="T4171" t="s">
        <v>27255</v>
      </c>
    </row>
    <row r="4172" spans="1:20" x14ac:dyDescent="0.3">
      <c r="A4172" t="str">
        <f>"0611861887100"</f>
        <v>0611861887100</v>
      </c>
      <c r="B4172" t="str">
        <f>"CN2047"</f>
        <v>CN2047</v>
      </c>
      <c r="C4172" t="s">
        <v>35296</v>
      </c>
      <c r="D4172" t="s">
        <v>27335</v>
      </c>
      <c r="E4172" t="str">
        <f t="shared" si="65"/>
        <v>001390</v>
      </c>
      <c r="F4172" t="s">
        <v>27246</v>
      </c>
      <c r="G4172" t="s">
        <v>27247</v>
      </c>
      <c r="H4172" t="s">
        <v>27248</v>
      </c>
      <c r="I4172" t="s">
        <v>35297</v>
      </c>
      <c r="J4172" t="s">
        <v>8339</v>
      </c>
      <c r="L4172" t="s">
        <v>27250</v>
      </c>
      <c r="M4172" t="s">
        <v>27251</v>
      </c>
      <c r="N4172" t="s">
        <v>27252</v>
      </c>
      <c r="Q4172" s="1">
        <v>44846</v>
      </c>
      <c r="R4172" t="s">
        <v>27253</v>
      </c>
      <c r="S4172" t="s">
        <v>27254</v>
      </c>
      <c r="T4172" t="s">
        <v>27255</v>
      </c>
    </row>
    <row r="4173" spans="1:20" x14ac:dyDescent="0.3">
      <c r="A4173" t="str">
        <f>"0611861888100"</f>
        <v>0611861888100</v>
      </c>
      <c r="B4173" t="str">
        <f>"CN2048"</f>
        <v>CN2048</v>
      </c>
      <c r="C4173" t="s">
        <v>35298</v>
      </c>
      <c r="D4173" t="s">
        <v>27335</v>
      </c>
      <c r="E4173" t="str">
        <f t="shared" si="65"/>
        <v>001390</v>
      </c>
      <c r="F4173" t="s">
        <v>27246</v>
      </c>
      <c r="G4173" t="s">
        <v>27247</v>
      </c>
      <c r="H4173" t="s">
        <v>27248</v>
      </c>
      <c r="I4173" t="s">
        <v>35299</v>
      </c>
      <c r="J4173" t="s">
        <v>8341</v>
      </c>
      <c r="L4173" t="s">
        <v>27250</v>
      </c>
      <c r="M4173" t="s">
        <v>27251</v>
      </c>
      <c r="N4173" t="s">
        <v>27252</v>
      </c>
      <c r="Q4173" s="1">
        <v>44846</v>
      </c>
      <c r="R4173" t="s">
        <v>27253</v>
      </c>
      <c r="S4173" t="s">
        <v>27254</v>
      </c>
      <c r="T4173" t="s">
        <v>27255</v>
      </c>
    </row>
    <row r="4174" spans="1:20" x14ac:dyDescent="0.3">
      <c r="A4174" t="str">
        <f>"0611861889100"</f>
        <v>0611861889100</v>
      </c>
      <c r="B4174" t="str">
        <f>"CN2049"</f>
        <v>CN2049</v>
      </c>
      <c r="C4174" t="s">
        <v>35300</v>
      </c>
      <c r="D4174" t="s">
        <v>27335</v>
      </c>
      <c r="E4174" t="str">
        <f t="shared" si="65"/>
        <v>001390</v>
      </c>
      <c r="F4174" t="s">
        <v>27246</v>
      </c>
      <c r="G4174" t="s">
        <v>27247</v>
      </c>
      <c r="H4174" t="s">
        <v>27248</v>
      </c>
      <c r="I4174" t="s">
        <v>35301</v>
      </c>
      <c r="J4174" t="s">
        <v>8343</v>
      </c>
      <c r="L4174" t="s">
        <v>27250</v>
      </c>
      <c r="M4174" t="s">
        <v>27251</v>
      </c>
      <c r="N4174" t="s">
        <v>27252</v>
      </c>
      <c r="Q4174" s="1">
        <v>44846</v>
      </c>
      <c r="R4174" t="s">
        <v>27253</v>
      </c>
      <c r="S4174" t="s">
        <v>27254</v>
      </c>
      <c r="T4174" t="s">
        <v>27255</v>
      </c>
    </row>
    <row r="4175" spans="1:20" x14ac:dyDescent="0.3">
      <c r="A4175" t="str">
        <f>"0611861890100"</f>
        <v>0611861890100</v>
      </c>
      <c r="B4175" t="str">
        <f>"CN2270"</f>
        <v>CN2270</v>
      </c>
      <c r="C4175" t="s">
        <v>35302</v>
      </c>
      <c r="D4175" t="s">
        <v>27335</v>
      </c>
      <c r="E4175" t="str">
        <f t="shared" si="65"/>
        <v>001390</v>
      </c>
      <c r="F4175" t="s">
        <v>27246</v>
      </c>
      <c r="G4175" t="s">
        <v>27247</v>
      </c>
      <c r="H4175" t="s">
        <v>27248</v>
      </c>
      <c r="I4175" t="s">
        <v>35303</v>
      </c>
      <c r="J4175" t="s">
        <v>8345</v>
      </c>
      <c r="L4175" t="s">
        <v>27250</v>
      </c>
      <c r="M4175" t="s">
        <v>27251</v>
      </c>
      <c r="N4175" t="s">
        <v>27252</v>
      </c>
      <c r="Q4175" s="1">
        <v>44846</v>
      </c>
      <c r="R4175" t="s">
        <v>27253</v>
      </c>
      <c r="S4175" t="s">
        <v>27254</v>
      </c>
      <c r="T4175" t="s">
        <v>27255</v>
      </c>
    </row>
    <row r="4176" spans="1:20" x14ac:dyDescent="0.3">
      <c r="A4176" t="str">
        <f>"0611861891100"</f>
        <v>0611861891100</v>
      </c>
      <c r="B4176" t="str">
        <f>"CN2051"</f>
        <v>CN2051</v>
      </c>
      <c r="C4176" t="s">
        <v>35304</v>
      </c>
      <c r="D4176" t="s">
        <v>27335</v>
      </c>
      <c r="E4176" t="str">
        <f t="shared" si="65"/>
        <v>001390</v>
      </c>
      <c r="F4176" t="s">
        <v>27246</v>
      </c>
      <c r="G4176" t="s">
        <v>27247</v>
      </c>
      <c r="H4176" t="s">
        <v>27248</v>
      </c>
      <c r="I4176" t="s">
        <v>35305</v>
      </c>
      <c r="J4176" t="s">
        <v>8347</v>
      </c>
      <c r="L4176" t="s">
        <v>27250</v>
      </c>
      <c r="M4176" t="s">
        <v>27251</v>
      </c>
      <c r="N4176" t="s">
        <v>27252</v>
      </c>
      <c r="Q4176" s="1">
        <v>44846</v>
      </c>
      <c r="R4176" t="s">
        <v>27253</v>
      </c>
      <c r="S4176" t="s">
        <v>27254</v>
      </c>
      <c r="T4176" t="s">
        <v>27255</v>
      </c>
    </row>
    <row r="4177" spans="1:20" x14ac:dyDescent="0.3">
      <c r="A4177" t="str">
        <f>"0611861892100"</f>
        <v>0611861892100</v>
      </c>
      <c r="B4177" t="str">
        <f>"CN2035"</f>
        <v>CN2035</v>
      </c>
      <c r="C4177" t="s">
        <v>35306</v>
      </c>
      <c r="D4177" t="s">
        <v>27335</v>
      </c>
      <c r="E4177" t="str">
        <f t="shared" si="65"/>
        <v>001390</v>
      </c>
      <c r="F4177" t="s">
        <v>27246</v>
      </c>
      <c r="G4177" t="s">
        <v>27247</v>
      </c>
      <c r="H4177" t="s">
        <v>27248</v>
      </c>
      <c r="I4177" t="s">
        <v>35307</v>
      </c>
      <c r="J4177" t="s">
        <v>8349</v>
      </c>
      <c r="L4177" t="s">
        <v>27250</v>
      </c>
      <c r="M4177" t="s">
        <v>27251</v>
      </c>
      <c r="N4177" t="s">
        <v>27252</v>
      </c>
      <c r="Q4177" s="1">
        <v>44846</v>
      </c>
      <c r="R4177" t="s">
        <v>27253</v>
      </c>
      <c r="S4177" t="s">
        <v>27254</v>
      </c>
      <c r="T4177" t="s">
        <v>27255</v>
      </c>
    </row>
    <row r="4178" spans="1:20" x14ac:dyDescent="0.3">
      <c r="A4178" t="str">
        <f>"0611861893100"</f>
        <v>0611861893100</v>
      </c>
      <c r="B4178" t="str">
        <f>"CN2052"</f>
        <v>CN2052</v>
      </c>
      <c r="C4178" t="s">
        <v>35308</v>
      </c>
      <c r="D4178" t="s">
        <v>27335</v>
      </c>
      <c r="E4178" t="str">
        <f t="shared" si="65"/>
        <v>001390</v>
      </c>
      <c r="F4178" t="s">
        <v>27246</v>
      </c>
      <c r="G4178" t="s">
        <v>27247</v>
      </c>
      <c r="H4178" t="s">
        <v>27248</v>
      </c>
      <c r="I4178" t="s">
        <v>35309</v>
      </c>
      <c r="J4178" t="s">
        <v>8351</v>
      </c>
      <c r="L4178" t="s">
        <v>27250</v>
      </c>
      <c r="M4178" t="s">
        <v>27251</v>
      </c>
      <c r="N4178" t="s">
        <v>27252</v>
      </c>
      <c r="Q4178" s="1">
        <v>44846</v>
      </c>
      <c r="R4178" t="s">
        <v>27253</v>
      </c>
      <c r="S4178" t="s">
        <v>27254</v>
      </c>
      <c r="T4178" t="s">
        <v>27255</v>
      </c>
    </row>
    <row r="4179" spans="1:20" x14ac:dyDescent="0.3">
      <c r="A4179" t="str">
        <f>"0611861894100"</f>
        <v>0611861894100</v>
      </c>
      <c r="B4179" t="str">
        <f>"CN2053"</f>
        <v>CN2053</v>
      </c>
      <c r="C4179" t="s">
        <v>35310</v>
      </c>
      <c r="D4179" t="s">
        <v>27335</v>
      </c>
      <c r="E4179" t="str">
        <f t="shared" si="65"/>
        <v>001390</v>
      </c>
      <c r="F4179" t="s">
        <v>27246</v>
      </c>
      <c r="G4179" t="s">
        <v>27247</v>
      </c>
      <c r="H4179" t="s">
        <v>27248</v>
      </c>
      <c r="I4179" t="s">
        <v>35311</v>
      </c>
      <c r="J4179" t="s">
        <v>8353</v>
      </c>
      <c r="L4179" t="s">
        <v>27250</v>
      </c>
      <c r="M4179" t="s">
        <v>27251</v>
      </c>
      <c r="N4179" t="s">
        <v>27252</v>
      </c>
      <c r="Q4179" s="1">
        <v>44846</v>
      </c>
      <c r="R4179" t="s">
        <v>27253</v>
      </c>
      <c r="S4179" t="s">
        <v>27254</v>
      </c>
      <c r="T4179" t="s">
        <v>27255</v>
      </c>
    </row>
    <row r="4180" spans="1:20" x14ac:dyDescent="0.3">
      <c r="A4180" t="str">
        <f>"0611861895100"</f>
        <v>0611861895100</v>
      </c>
      <c r="B4180" t="str">
        <f>"CN2054"</f>
        <v>CN2054</v>
      </c>
      <c r="C4180" t="s">
        <v>35312</v>
      </c>
      <c r="D4180" t="s">
        <v>27335</v>
      </c>
      <c r="E4180" t="str">
        <f t="shared" si="65"/>
        <v>001390</v>
      </c>
      <c r="F4180" t="s">
        <v>27246</v>
      </c>
      <c r="G4180" t="s">
        <v>27247</v>
      </c>
      <c r="H4180" t="s">
        <v>27248</v>
      </c>
      <c r="I4180" t="s">
        <v>35313</v>
      </c>
      <c r="J4180" t="s">
        <v>8355</v>
      </c>
      <c r="L4180" t="s">
        <v>27250</v>
      </c>
      <c r="M4180" t="s">
        <v>27251</v>
      </c>
      <c r="N4180" t="s">
        <v>27252</v>
      </c>
      <c r="Q4180" s="1">
        <v>44846</v>
      </c>
      <c r="R4180" t="s">
        <v>27253</v>
      </c>
      <c r="S4180" t="s">
        <v>27254</v>
      </c>
      <c r="T4180" t="s">
        <v>27255</v>
      </c>
    </row>
    <row r="4181" spans="1:20" x14ac:dyDescent="0.3">
      <c r="A4181" t="str">
        <f>"0611861896100"</f>
        <v>0611861896100</v>
      </c>
      <c r="B4181" t="str">
        <f>"CN2057"</f>
        <v>CN2057</v>
      </c>
      <c r="C4181" t="s">
        <v>35314</v>
      </c>
      <c r="D4181" t="s">
        <v>27335</v>
      </c>
      <c r="E4181" t="str">
        <f t="shared" si="65"/>
        <v>001390</v>
      </c>
      <c r="F4181" t="s">
        <v>27246</v>
      </c>
      <c r="G4181" t="s">
        <v>27247</v>
      </c>
      <c r="H4181" t="s">
        <v>27248</v>
      </c>
      <c r="I4181" t="s">
        <v>35315</v>
      </c>
      <c r="J4181" t="s">
        <v>8357</v>
      </c>
      <c r="L4181" t="s">
        <v>27250</v>
      </c>
      <c r="M4181" t="s">
        <v>27251</v>
      </c>
      <c r="N4181" t="s">
        <v>27252</v>
      </c>
      <c r="Q4181" s="1">
        <v>44846</v>
      </c>
      <c r="R4181" t="s">
        <v>27253</v>
      </c>
      <c r="S4181" t="s">
        <v>27254</v>
      </c>
      <c r="T4181" t="s">
        <v>27255</v>
      </c>
    </row>
    <row r="4182" spans="1:20" x14ac:dyDescent="0.3">
      <c r="A4182" t="str">
        <f>"0611861897100"</f>
        <v>0611861897100</v>
      </c>
      <c r="B4182" t="str">
        <f>"CN2058"</f>
        <v>CN2058</v>
      </c>
      <c r="C4182" t="s">
        <v>35316</v>
      </c>
      <c r="D4182" t="s">
        <v>27335</v>
      </c>
      <c r="E4182" t="str">
        <f t="shared" si="65"/>
        <v>001390</v>
      </c>
      <c r="F4182" t="s">
        <v>27246</v>
      </c>
      <c r="G4182" t="s">
        <v>27247</v>
      </c>
      <c r="H4182" t="s">
        <v>27248</v>
      </c>
      <c r="I4182" t="s">
        <v>35317</v>
      </c>
      <c r="J4182" t="s">
        <v>8359</v>
      </c>
      <c r="L4182" t="s">
        <v>27250</v>
      </c>
      <c r="M4182" t="s">
        <v>27251</v>
      </c>
      <c r="N4182" t="s">
        <v>27252</v>
      </c>
      <c r="Q4182" s="1">
        <v>44846</v>
      </c>
      <c r="R4182" t="s">
        <v>27253</v>
      </c>
      <c r="S4182" t="s">
        <v>27254</v>
      </c>
      <c r="T4182" t="s">
        <v>27255</v>
      </c>
    </row>
    <row r="4183" spans="1:20" x14ac:dyDescent="0.3">
      <c r="A4183" t="str">
        <f>"0611861898100"</f>
        <v>0611861898100</v>
      </c>
      <c r="B4183" t="str">
        <f>"CN2275"</f>
        <v>CN2275</v>
      </c>
      <c r="C4183" t="s">
        <v>35318</v>
      </c>
      <c r="D4183" t="s">
        <v>27335</v>
      </c>
      <c r="E4183" t="str">
        <f t="shared" si="65"/>
        <v>001390</v>
      </c>
      <c r="F4183" t="s">
        <v>27246</v>
      </c>
      <c r="G4183" t="s">
        <v>27247</v>
      </c>
      <c r="H4183" t="s">
        <v>27248</v>
      </c>
      <c r="I4183" t="s">
        <v>35319</v>
      </c>
      <c r="J4183" t="s">
        <v>8361</v>
      </c>
      <c r="L4183" t="s">
        <v>27250</v>
      </c>
      <c r="M4183" t="s">
        <v>27251</v>
      </c>
      <c r="N4183" t="s">
        <v>27252</v>
      </c>
      <c r="Q4183" s="1">
        <v>44846</v>
      </c>
      <c r="R4183" t="s">
        <v>27253</v>
      </c>
      <c r="S4183" t="s">
        <v>27254</v>
      </c>
      <c r="T4183" t="s">
        <v>27255</v>
      </c>
    </row>
    <row r="4184" spans="1:20" x14ac:dyDescent="0.3">
      <c r="A4184" t="str">
        <f>"0611834108100"</f>
        <v>0611834108100</v>
      </c>
      <c r="B4184" t="str">
        <f>"LG8036"</f>
        <v>LG8036</v>
      </c>
      <c r="C4184" t="s">
        <v>35320</v>
      </c>
      <c r="D4184" t="s">
        <v>27245</v>
      </c>
      <c r="E4184" t="str">
        <f t="shared" si="65"/>
        <v>001390</v>
      </c>
      <c r="F4184" t="s">
        <v>27246</v>
      </c>
      <c r="G4184" t="s">
        <v>27247</v>
      </c>
      <c r="H4184" t="s">
        <v>27248</v>
      </c>
      <c r="I4184" t="s">
        <v>35321</v>
      </c>
      <c r="J4184" t="s">
        <v>8363</v>
      </c>
      <c r="L4184" t="s">
        <v>27250</v>
      </c>
      <c r="M4184" t="s">
        <v>27251</v>
      </c>
      <c r="N4184" t="s">
        <v>27252</v>
      </c>
      <c r="Q4184" s="1">
        <v>44538</v>
      </c>
      <c r="R4184" t="s">
        <v>27253</v>
      </c>
      <c r="S4184" t="s">
        <v>27254</v>
      </c>
      <c r="T4184" t="s">
        <v>27255</v>
      </c>
    </row>
    <row r="4185" spans="1:20" x14ac:dyDescent="0.3">
      <c r="A4185" t="str">
        <f>"0611861899100"</f>
        <v>0611861899100</v>
      </c>
      <c r="B4185" t="str">
        <f>"CN2059"</f>
        <v>CN2059</v>
      </c>
      <c r="C4185" t="s">
        <v>35322</v>
      </c>
      <c r="D4185" t="s">
        <v>27335</v>
      </c>
      <c r="E4185" t="str">
        <f t="shared" si="65"/>
        <v>001390</v>
      </c>
      <c r="F4185" t="s">
        <v>27246</v>
      </c>
      <c r="G4185" t="s">
        <v>27247</v>
      </c>
      <c r="H4185" t="s">
        <v>27248</v>
      </c>
      <c r="I4185" t="s">
        <v>35323</v>
      </c>
      <c r="J4185" t="s">
        <v>8365</v>
      </c>
      <c r="L4185" t="s">
        <v>27250</v>
      </c>
      <c r="M4185" t="s">
        <v>27251</v>
      </c>
      <c r="N4185" t="s">
        <v>27252</v>
      </c>
      <c r="Q4185" s="1">
        <v>44846</v>
      </c>
      <c r="R4185" t="s">
        <v>27253</v>
      </c>
      <c r="S4185" t="s">
        <v>27254</v>
      </c>
      <c r="T4185" t="s">
        <v>27255</v>
      </c>
    </row>
    <row r="4186" spans="1:20" x14ac:dyDescent="0.3">
      <c r="A4186" t="str">
        <f>"0611861900100"</f>
        <v>0611861900100</v>
      </c>
      <c r="B4186" t="str">
        <f>"CN2036"</f>
        <v>CN2036</v>
      </c>
      <c r="C4186" t="s">
        <v>35324</v>
      </c>
      <c r="D4186" t="s">
        <v>27335</v>
      </c>
      <c r="E4186" t="str">
        <f t="shared" si="65"/>
        <v>001390</v>
      </c>
      <c r="F4186" t="s">
        <v>27246</v>
      </c>
      <c r="G4186" t="s">
        <v>27247</v>
      </c>
      <c r="H4186" t="s">
        <v>27248</v>
      </c>
      <c r="I4186" t="s">
        <v>35325</v>
      </c>
      <c r="J4186" t="s">
        <v>8367</v>
      </c>
      <c r="L4186" t="s">
        <v>27250</v>
      </c>
      <c r="M4186" t="s">
        <v>27251</v>
      </c>
      <c r="N4186" t="s">
        <v>27252</v>
      </c>
      <c r="Q4186" s="1">
        <v>44846</v>
      </c>
      <c r="R4186" t="s">
        <v>27253</v>
      </c>
      <c r="S4186" t="s">
        <v>27254</v>
      </c>
      <c r="T4186" t="s">
        <v>27255</v>
      </c>
    </row>
    <row r="4187" spans="1:20" x14ac:dyDescent="0.3">
      <c r="A4187" t="str">
        <f>"0611861901100"</f>
        <v>0611861901100</v>
      </c>
      <c r="B4187" t="str">
        <f>"CN2086"</f>
        <v>CN2086</v>
      </c>
      <c r="C4187" t="s">
        <v>35326</v>
      </c>
      <c r="D4187" t="s">
        <v>27335</v>
      </c>
      <c r="E4187" t="str">
        <f t="shared" si="65"/>
        <v>001390</v>
      </c>
      <c r="F4187" t="s">
        <v>27246</v>
      </c>
      <c r="G4187" t="s">
        <v>27247</v>
      </c>
      <c r="H4187" t="s">
        <v>27248</v>
      </c>
      <c r="I4187" t="s">
        <v>35327</v>
      </c>
      <c r="J4187" t="s">
        <v>8369</v>
      </c>
      <c r="L4187" t="s">
        <v>27250</v>
      </c>
      <c r="M4187" t="s">
        <v>27251</v>
      </c>
      <c r="N4187" t="s">
        <v>27252</v>
      </c>
      <c r="Q4187" s="1">
        <v>44846</v>
      </c>
      <c r="R4187" t="s">
        <v>27253</v>
      </c>
      <c r="S4187" t="s">
        <v>27254</v>
      </c>
      <c r="T4187" t="s">
        <v>27255</v>
      </c>
    </row>
    <row r="4188" spans="1:20" x14ac:dyDescent="0.3">
      <c r="A4188" t="str">
        <f>"0611861902100"</f>
        <v>0611861902100</v>
      </c>
      <c r="B4188" t="str">
        <f>"CN2060"</f>
        <v>CN2060</v>
      </c>
      <c r="C4188" t="s">
        <v>35328</v>
      </c>
      <c r="D4188" t="s">
        <v>27335</v>
      </c>
      <c r="E4188" t="str">
        <f t="shared" si="65"/>
        <v>001390</v>
      </c>
      <c r="F4188" t="s">
        <v>27246</v>
      </c>
      <c r="G4188" t="s">
        <v>27247</v>
      </c>
      <c r="H4188" t="s">
        <v>27248</v>
      </c>
      <c r="I4188" t="s">
        <v>35329</v>
      </c>
      <c r="J4188" t="s">
        <v>8371</v>
      </c>
      <c r="L4188" t="s">
        <v>27250</v>
      </c>
      <c r="M4188" t="s">
        <v>27251</v>
      </c>
      <c r="N4188" t="s">
        <v>27252</v>
      </c>
      <c r="Q4188" s="1">
        <v>44846</v>
      </c>
      <c r="R4188" t="s">
        <v>27253</v>
      </c>
      <c r="S4188" t="s">
        <v>27254</v>
      </c>
      <c r="T4188" t="s">
        <v>27255</v>
      </c>
    </row>
    <row r="4189" spans="1:20" x14ac:dyDescent="0.3">
      <c r="A4189" t="str">
        <f>"0611861903100"</f>
        <v>0611861903100</v>
      </c>
      <c r="B4189" t="str">
        <f>"CN2061"</f>
        <v>CN2061</v>
      </c>
      <c r="C4189" t="s">
        <v>35330</v>
      </c>
      <c r="D4189" t="s">
        <v>27335</v>
      </c>
      <c r="E4189" t="str">
        <f t="shared" si="65"/>
        <v>001390</v>
      </c>
      <c r="F4189" t="s">
        <v>27246</v>
      </c>
      <c r="G4189" t="s">
        <v>27247</v>
      </c>
      <c r="H4189" t="s">
        <v>27248</v>
      </c>
      <c r="I4189" t="s">
        <v>35331</v>
      </c>
      <c r="J4189" t="s">
        <v>8373</v>
      </c>
      <c r="L4189" t="s">
        <v>27250</v>
      </c>
      <c r="M4189" t="s">
        <v>27251</v>
      </c>
      <c r="N4189" t="s">
        <v>27252</v>
      </c>
      <c r="Q4189" s="1">
        <v>44846</v>
      </c>
      <c r="R4189" t="s">
        <v>27253</v>
      </c>
      <c r="S4189" t="s">
        <v>27254</v>
      </c>
      <c r="T4189" t="s">
        <v>27255</v>
      </c>
    </row>
    <row r="4190" spans="1:20" x14ac:dyDescent="0.3">
      <c r="A4190" t="str">
        <f>"0611861904100"</f>
        <v>0611861904100</v>
      </c>
      <c r="B4190" t="str">
        <f>"CN2064"</f>
        <v>CN2064</v>
      </c>
      <c r="C4190" t="s">
        <v>35332</v>
      </c>
      <c r="D4190" t="s">
        <v>27335</v>
      </c>
      <c r="E4190" t="str">
        <f t="shared" si="65"/>
        <v>001390</v>
      </c>
      <c r="F4190" t="s">
        <v>27246</v>
      </c>
      <c r="G4190" t="s">
        <v>27247</v>
      </c>
      <c r="H4190" t="s">
        <v>27248</v>
      </c>
      <c r="I4190" t="s">
        <v>35333</v>
      </c>
      <c r="J4190" t="s">
        <v>8375</v>
      </c>
      <c r="L4190" t="s">
        <v>27250</v>
      </c>
      <c r="M4190" t="s">
        <v>27251</v>
      </c>
      <c r="N4190" t="s">
        <v>27252</v>
      </c>
      <c r="Q4190" s="1">
        <v>44846</v>
      </c>
      <c r="R4190" t="s">
        <v>27253</v>
      </c>
      <c r="S4190" t="s">
        <v>27254</v>
      </c>
      <c r="T4190" t="s">
        <v>27255</v>
      </c>
    </row>
    <row r="4191" spans="1:20" x14ac:dyDescent="0.3">
      <c r="A4191" t="str">
        <f>"0611861905100"</f>
        <v>0611861905100</v>
      </c>
      <c r="B4191" t="str">
        <f>"CN2063"</f>
        <v>CN2063</v>
      </c>
      <c r="C4191" t="s">
        <v>35334</v>
      </c>
      <c r="D4191" t="s">
        <v>27335</v>
      </c>
      <c r="E4191" t="str">
        <f t="shared" si="65"/>
        <v>001390</v>
      </c>
      <c r="F4191" t="s">
        <v>27246</v>
      </c>
      <c r="G4191" t="s">
        <v>27247</v>
      </c>
      <c r="H4191" t="s">
        <v>27248</v>
      </c>
      <c r="I4191" t="s">
        <v>35335</v>
      </c>
      <c r="J4191" t="s">
        <v>8377</v>
      </c>
      <c r="L4191" t="s">
        <v>27250</v>
      </c>
      <c r="M4191" t="s">
        <v>27251</v>
      </c>
      <c r="N4191" t="s">
        <v>27252</v>
      </c>
      <c r="Q4191" s="1">
        <v>44846</v>
      </c>
      <c r="R4191" t="s">
        <v>27253</v>
      </c>
      <c r="S4191" t="s">
        <v>27254</v>
      </c>
      <c r="T4191" t="s">
        <v>27255</v>
      </c>
    </row>
    <row r="4192" spans="1:20" x14ac:dyDescent="0.3">
      <c r="A4192" t="str">
        <f>"0611861906050"</f>
        <v>0611861906050</v>
      </c>
      <c r="B4192" t="str">
        <f>"CE1699"</f>
        <v>CE1699</v>
      </c>
      <c r="C4192" t="s">
        <v>35336</v>
      </c>
      <c r="D4192" t="s">
        <v>27263</v>
      </c>
      <c r="E4192" t="str">
        <f t="shared" si="65"/>
        <v>001390</v>
      </c>
      <c r="F4192" t="s">
        <v>27246</v>
      </c>
      <c r="G4192" t="s">
        <v>27247</v>
      </c>
      <c r="H4192" t="s">
        <v>27248</v>
      </c>
      <c r="I4192" t="s">
        <v>35337</v>
      </c>
      <c r="J4192" t="s">
        <v>23250</v>
      </c>
      <c r="L4192" t="s">
        <v>27250</v>
      </c>
      <c r="M4192" t="s">
        <v>27251</v>
      </c>
      <c r="N4192" t="s">
        <v>27252</v>
      </c>
      <c r="Q4192" s="1">
        <v>44846</v>
      </c>
      <c r="R4192" t="s">
        <v>27253</v>
      </c>
      <c r="S4192" t="s">
        <v>27254</v>
      </c>
      <c r="T4192" t="s">
        <v>27265</v>
      </c>
    </row>
    <row r="4193" spans="1:20" x14ac:dyDescent="0.3">
      <c r="A4193" t="str">
        <f>"0611834109100"</f>
        <v>0611834109100</v>
      </c>
      <c r="B4193" t="str">
        <f>"LG1006"</f>
        <v>LG1006</v>
      </c>
      <c r="C4193" t="s">
        <v>35338</v>
      </c>
      <c r="D4193" t="s">
        <v>27245</v>
      </c>
      <c r="E4193" t="str">
        <f t="shared" si="65"/>
        <v>001390</v>
      </c>
      <c r="F4193" t="s">
        <v>27246</v>
      </c>
      <c r="G4193" t="s">
        <v>27247</v>
      </c>
      <c r="H4193" t="s">
        <v>27248</v>
      </c>
      <c r="I4193" t="s">
        <v>35339</v>
      </c>
      <c r="J4193" t="s">
        <v>8379</v>
      </c>
      <c r="L4193" t="s">
        <v>27250</v>
      </c>
      <c r="M4193" t="s">
        <v>27251</v>
      </c>
      <c r="N4193" t="s">
        <v>27252</v>
      </c>
      <c r="Q4193" s="1">
        <v>44538</v>
      </c>
      <c r="R4193" t="s">
        <v>27253</v>
      </c>
      <c r="S4193" t="s">
        <v>27254</v>
      </c>
      <c r="T4193" t="s">
        <v>27255</v>
      </c>
    </row>
    <row r="4194" spans="1:20" x14ac:dyDescent="0.3">
      <c r="A4194" t="str">
        <f>"0611834110100"</f>
        <v>0611834110100</v>
      </c>
      <c r="B4194" t="str">
        <f>"LG8043"</f>
        <v>LG8043</v>
      </c>
      <c r="C4194" t="s">
        <v>35340</v>
      </c>
      <c r="D4194" t="s">
        <v>27245</v>
      </c>
      <c r="E4194" t="str">
        <f t="shared" si="65"/>
        <v>001390</v>
      </c>
      <c r="F4194" t="s">
        <v>27246</v>
      </c>
      <c r="G4194" t="s">
        <v>27247</v>
      </c>
      <c r="H4194" t="s">
        <v>27248</v>
      </c>
      <c r="I4194" t="s">
        <v>35341</v>
      </c>
      <c r="J4194" t="s">
        <v>8381</v>
      </c>
      <c r="L4194" t="s">
        <v>27250</v>
      </c>
      <c r="M4194" t="s">
        <v>27251</v>
      </c>
      <c r="N4194" t="s">
        <v>27252</v>
      </c>
      <c r="Q4194" s="1">
        <v>44538</v>
      </c>
      <c r="R4194" t="s">
        <v>27253</v>
      </c>
      <c r="S4194" t="s">
        <v>27254</v>
      </c>
      <c r="T4194" t="s">
        <v>27255</v>
      </c>
    </row>
    <row r="4195" spans="1:20" x14ac:dyDescent="0.3">
      <c r="A4195" t="str">
        <f>"0611861907100"</f>
        <v>0611861907100</v>
      </c>
      <c r="B4195" t="str">
        <f>"CN2065"</f>
        <v>CN2065</v>
      </c>
      <c r="C4195" t="s">
        <v>35342</v>
      </c>
      <c r="D4195" t="s">
        <v>27335</v>
      </c>
      <c r="E4195" t="str">
        <f t="shared" si="65"/>
        <v>001390</v>
      </c>
      <c r="F4195" t="s">
        <v>27246</v>
      </c>
      <c r="G4195" t="s">
        <v>27247</v>
      </c>
      <c r="H4195" t="s">
        <v>27248</v>
      </c>
      <c r="I4195" t="s">
        <v>35343</v>
      </c>
      <c r="J4195" t="s">
        <v>8383</v>
      </c>
      <c r="L4195" t="s">
        <v>27250</v>
      </c>
      <c r="M4195" t="s">
        <v>27251</v>
      </c>
      <c r="N4195" t="s">
        <v>27252</v>
      </c>
      <c r="Q4195" s="1">
        <v>44846</v>
      </c>
      <c r="R4195" t="s">
        <v>27253</v>
      </c>
      <c r="S4195" t="s">
        <v>27254</v>
      </c>
      <c r="T4195" t="s">
        <v>27255</v>
      </c>
    </row>
    <row r="4196" spans="1:20" x14ac:dyDescent="0.3">
      <c r="A4196" t="str">
        <f>"0611861908100"</f>
        <v>0611861908100</v>
      </c>
      <c r="B4196" t="str">
        <f>"CN2066"</f>
        <v>CN2066</v>
      </c>
      <c r="C4196" t="s">
        <v>35344</v>
      </c>
      <c r="D4196" t="s">
        <v>27335</v>
      </c>
      <c r="E4196" t="str">
        <f t="shared" si="65"/>
        <v>001390</v>
      </c>
      <c r="F4196" t="s">
        <v>27246</v>
      </c>
      <c r="G4196" t="s">
        <v>27247</v>
      </c>
      <c r="H4196" t="s">
        <v>27248</v>
      </c>
      <c r="I4196" t="s">
        <v>35345</v>
      </c>
      <c r="J4196" t="s">
        <v>8385</v>
      </c>
      <c r="L4196" t="s">
        <v>27250</v>
      </c>
      <c r="M4196" t="s">
        <v>27251</v>
      </c>
      <c r="N4196" t="s">
        <v>27252</v>
      </c>
      <c r="Q4196" s="1">
        <v>44846</v>
      </c>
      <c r="R4196" t="s">
        <v>27253</v>
      </c>
      <c r="S4196" t="s">
        <v>27254</v>
      </c>
      <c r="T4196" t="s">
        <v>27255</v>
      </c>
    </row>
    <row r="4197" spans="1:20" x14ac:dyDescent="0.3">
      <c r="A4197" t="str">
        <f>"0611861909100"</f>
        <v>0611861909100</v>
      </c>
      <c r="B4197" t="str">
        <f>"CN2067"</f>
        <v>CN2067</v>
      </c>
      <c r="C4197" t="s">
        <v>35346</v>
      </c>
      <c r="D4197" t="s">
        <v>27245</v>
      </c>
      <c r="E4197" t="str">
        <f t="shared" si="65"/>
        <v>001390</v>
      </c>
      <c r="F4197" t="s">
        <v>27246</v>
      </c>
      <c r="G4197" t="s">
        <v>27247</v>
      </c>
      <c r="H4197" t="s">
        <v>27248</v>
      </c>
      <c r="I4197" t="s">
        <v>35347</v>
      </c>
      <c r="J4197" t="s">
        <v>8387</v>
      </c>
      <c r="L4197" t="s">
        <v>27250</v>
      </c>
      <c r="M4197" t="s">
        <v>27251</v>
      </c>
      <c r="N4197" t="s">
        <v>27252</v>
      </c>
      <c r="Q4197" s="1">
        <v>44846</v>
      </c>
      <c r="R4197" t="s">
        <v>27253</v>
      </c>
      <c r="S4197" t="s">
        <v>27254</v>
      </c>
      <c r="T4197" t="s">
        <v>27255</v>
      </c>
    </row>
    <row r="4198" spans="1:20" x14ac:dyDescent="0.3">
      <c r="A4198" t="str">
        <f>"0611861910100"</f>
        <v>0611861910100</v>
      </c>
      <c r="B4198" t="str">
        <f>"CN2062"</f>
        <v>CN2062</v>
      </c>
      <c r="C4198" t="s">
        <v>35348</v>
      </c>
      <c r="D4198" t="s">
        <v>27335</v>
      </c>
      <c r="E4198" t="str">
        <f t="shared" si="65"/>
        <v>001390</v>
      </c>
      <c r="F4198" t="s">
        <v>27246</v>
      </c>
      <c r="G4198" t="s">
        <v>27247</v>
      </c>
      <c r="H4198" t="s">
        <v>27248</v>
      </c>
      <c r="I4198" t="s">
        <v>35349</v>
      </c>
      <c r="J4198" t="s">
        <v>8389</v>
      </c>
      <c r="L4198" t="s">
        <v>27250</v>
      </c>
      <c r="M4198" t="s">
        <v>27251</v>
      </c>
      <c r="N4198" t="s">
        <v>27252</v>
      </c>
      <c r="Q4198" s="1">
        <v>44846</v>
      </c>
      <c r="R4198" t="s">
        <v>27253</v>
      </c>
      <c r="S4198" t="s">
        <v>27254</v>
      </c>
      <c r="T4198" t="s">
        <v>27255</v>
      </c>
    </row>
    <row r="4199" spans="1:20" x14ac:dyDescent="0.3">
      <c r="A4199" t="str">
        <f>"0611861911100"</f>
        <v>0611861911100</v>
      </c>
      <c r="B4199" t="str">
        <f>"CN2068"</f>
        <v>CN2068</v>
      </c>
      <c r="C4199" t="s">
        <v>35350</v>
      </c>
      <c r="D4199" t="s">
        <v>27245</v>
      </c>
      <c r="E4199" t="str">
        <f t="shared" si="65"/>
        <v>001390</v>
      </c>
      <c r="F4199" t="s">
        <v>27246</v>
      </c>
      <c r="G4199" t="s">
        <v>27247</v>
      </c>
      <c r="H4199" t="s">
        <v>27248</v>
      </c>
      <c r="I4199" t="s">
        <v>35351</v>
      </c>
      <c r="J4199" t="s">
        <v>8391</v>
      </c>
      <c r="L4199" t="s">
        <v>27250</v>
      </c>
      <c r="M4199" t="s">
        <v>27251</v>
      </c>
      <c r="N4199" t="s">
        <v>27252</v>
      </c>
      <c r="Q4199" s="1">
        <v>44846</v>
      </c>
      <c r="R4199" t="s">
        <v>27253</v>
      </c>
      <c r="S4199" t="s">
        <v>27254</v>
      </c>
      <c r="T4199" t="s">
        <v>27255</v>
      </c>
    </row>
    <row r="4200" spans="1:20" x14ac:dyDescent="0.3">
      <c r="A4200" t="str">
        <f>"0611861912100"</f>
        <v>0611861912100</v>
      </c>
      <c r="B4200" t="str">
        <f>"CN2037"</f>
        <v>CN2037</v>
      </c>
      <c r="C4200" t="s">
        <v>35352</v>
      </c>
      <c r="D4200" t="s">
        <v>27335</v>
      </c>
      <c r="E4200" t="str">
        <f t="shared" si="65"/>
        <v>001390</v>
      </c>
      <c r="F4200" t="s">
        <v>27246</v>
      </c>
      <c r="G4200" t="s">
        <v>27247</v>
      </c>
      <c r="H4200" t="s">
        <v>27248</v>
      </c>
      <c r="I4200" t="s">
        <v>35353</v>
      </c>
      <c r="J4200" t="s">
        <v>8393</v>
      </c>
      <c r="L4200" t="s">
        <v>27250</v>
      </c>
      <c r="M4200" t="s">
        <v>27251</v>
      </c>
      <c r="N4200" t="s">
        <v>27252</v>
      </c>
      <c r="Q4200" s="1">
        <v>44846</v>
      </c>
      <c r="R4200" t="s">
        <v>27253</v>
      </c>
      <c r="S4200" t="s">
        <v>27254</v>
      </c>
      <c r="T4200" t="s">
        <v>27255</v>
      </c>
    </row>
    <row r="4201" spans="1:20" x14ac:dyDescent="0.3">
      <c r="A4201" t="str">
        <f>"0611861913100"</f>
        <v>0611861913100</v>
      </c>
      <c r="B4201" t="str">
        <f>"CN2069"</f>
        <v>CN2069</v>
      </c>
      <c r="C4201" t="s">
        <v>35354</v>
      </c>
      <c r="D4201" t="s">
        <v>27335</v>
      </c>
      <c r="E4201" t="str">
        <f t="shared" si="65"/>
        <v>001390</v>
      </c>
      <c r="F4201" t="s">
        <v>27246</v>
      </c>
      <c r="G4201" t="s">
        <v>27247</v>
      </c>
      <c r="H4201" t="s">
        <v>27248</v>
      </c>
      <c r="I4201" t="s">
        <v>35355</v>
      </c>
      <c r="J4201" t="s">
        <v>8395</v>
      </c>
      <c r="L4201" t="s">
        <v>27250</v>
      </c>
      <c r="M4201" t="s">
        <v>27251</v>
      </c>
      <c r="N4201" t="s">
        <v>27252</v>
      </c>
      <c r="Q4201" s="1">
        <v>44846</v>
      </c>
      <c r="R4201" t="s">
        <v>27253</v>
      </c>
      <c r="S4201" t="s">
        <v>27254</v>
      </c>
      <c r="T4201" t="s">
        <v>27255</v>
      </c>
    </row>
    <row r="4202" spans="1:20" x14ac:dyDescent="0.3">
      <c r="A4202" t="str">
        <f>"0611861914100"</f>
        <v>0611861914100</v>
      </c>
      <c r="B4202" t="str">
        <f>"CN2070"</f>
        <v>CN2070</v>
      </c>
      <c r="C4202" t="s">
        <v>35356</v>
      </c>
      <c r="D4202" t="s">
        <v>27335</v>
      </c>
      <c r="E4202" t="str">
        <f t="shared" si="65"/>
        <v>001390</v>
      </c>
      <c r="F4202" t="s">
        <v>27246</v>
      </c>
      <c r="G4202" t="s">
        <v>27247</v>
      </c>
      <c r="H4202" t="s">
        <v>27248</v>
      </c>
      <c r="I4202" t="s">
        <v>35357</v>
      </c>
      <c r="J4202" t="s">
        <v>8397</v>
      </c>
      <c r="L4202" t="s">
        <v>27250</v>
      </c>
      <c r="M4202" t="s">
        <v>27251</v>
      </c>
      <c r="N4202" t="s">
        <v>27252</v>
      </c>
      <c r="Q4202" s="1">
        <v>44846</v>
      </c>
      <c r="R4202" t="s">
        <v>27253</v>
      </c>
      <c r="S4202" t="s">
        <v>27254</v>
      </c>
      <c r="T4202" t="s">
        <v>27255</v>
      </c>
    </row>
    <row r="4203" spans="1:20" x14ac:dyDescent="0.3">
      <c r="A4203" t="str">
        <f>"0611884195100"</f>
        <v>0611884195100</v>
      </c>
      <c r="B4203" t="str">
        <f>"CN2410"</f>
        <v>CN2410</v>
      </c>
      <c r="C4203" t="s">
        <v>35358</v>
      </c>
      <c r="D4203" t="s">
        <v>27335</v>
      </c>
      <c r="E4203" t="str">
        <f t="shared" si="65"/>
        <v>001390</v>
      </c>
      <c r="F4203" t="s">
        <v>27246</v>
      </c>
      <c r="G4203" t="s">
        <v>27247</v>
      </c>
      <c r="H4203" t="s">
        <v>27248</v>
      </c>
      <c r="I4203" t="s">
        <v>35359</v>
      </c>
      <c r="J4203" t="s">
        <v>8399</v>
      </c>
      <c r="L4203" t="s">
        <v>27430</v>
      </c>
      <c r="M4203" t="s">
        <v>27251</v>
      </c>
      <c r="N4203" t="s">
        <v>27252</v>
      </c>
      <c r="Q4203" s="1">
        <v>45250</v>
      </c>
      <c r="R4203" t="s">
        <v>27253</v>
      </c>
      <c r="S4203" t="s">
        <v>27254</v>
      </c>
      <c r="T4203" t="s">
        <v>27255</v>
      </c>
    </row>
    <row r="4204" spans="1:20" x14ac:dyDescent="0.3">
      <c r="A4204" t="str">
        <f>"0611861915100"</f>
        <v>0611861915100</v>
      </c>
      <c r="B4204" t="str">
        <f>"CN2071"</f>
        <v>CN2071</v>
      </c>
      <c r="C4204" t="s">
        <v>35360</v>
      </c>
      <c r="D4204" t="s">
        <v>27335</v>
      </c>
      <c r="E4204" t="str">
        <f t="shared" si="65"/>
        <v>001390</v>
      </c>
      <c r="F4204" t="s">
        <v>27246</v>
      </c>
      <c r="G4204" t="s">
        <v>27247</v>
      </c>
      <c r="H4204" t="s">
        <v>27248</v>
      </c>
      <c r="I4204" t="s">
        <v>35361</v>
      </c>
      <c r="J4204" t="s">
        <v>8401</v>
      </c>
      <c r="L4204" t="s">
        <v>27250</v>
      </c>
      <c r="M4204" t="s">
        <v>27251</v>
      </c>
      <c r="N4204" t="s">
        <v>27252</v>
      </c>
      <c r="Q4204" s="1">
        <v>44846</v>
      </c>
      <c r="R4204" t="s">
        <v>27253</v>
      </c>
      <c r="S4204" t="s">
        <v>27254</v>
      </c>
      <c r="T4204" t="s">
        <v>27255</v>
      </c>
    </row>
    <row r="4205" spans="1:20" x14ac:dyDescent="0.3">
      <c r="A4205" t="str">
        <f>"0611861916100"</f>
        <v>0611861916100</v>
      </c>
      <c r="B4205" t="str">
        <f>"CN2320"</f>
        <v>CN2320</v>
      </c>
      <c r="C4205" t="s">
        <v>35362</v>
      </c>
      <c r="D4205" t="s">
        <v>27335</v>
      </c>
      <c r="E4205" t="str">
        <f t="shared" si="65"/>
        <v>001390</v>
      </c>
      <c r="F4205" t="s">
        <v>27246</v>
      </c>
      <c r="G4205" t="s">
        <v>27247</v>
      </c>
      <c r="H4205" t="s">
        <v>27248</v>
      </c>
      <c r="I4205" t="s">
        <v>35363</v>
      </c>
      <c r="J4205" t="s">
        <v>8403</v>
      </c>
      <c r="L4205" t="s">
        <v>27250</v>
      </c>
      <c r="M4205" t="s">
        <v>27251</v>
      </c>
      <c r="N4205" t="s">
        <v>27252</v>
      </c>
      <c r="Q4205" s="1">
        <v>44846</v>
      </c>
      <c r="R4205" t="s">
        <v>27253</v>
      </c>
      <c r="S4205" t="s">
        <v>27254</v>
      </c>
      <c r="T4205" t="s">
        <v>27255</v>
      </c>
    </row>
    <row r="4206" spans="1:20" x14ac:dyDescent="0.3">
      <c r="A4206" t="str">
        <f>"0611861917100"</f>
        <v>0611861917100</v>
      </c>
      <c r="B4206" t="str">
        <f>"CN2073"</f>
        <v>CN2073</v>
      </c>
      <c r="C4206" t="s">
        <v>35364</v>
      </c>
      <c r="D4206" t="s">
        <v>27335</v>
      </c>
      <c r="E4206" t="str">
        <f t="shared" si="65"/>
        <v>001390</v>
      </c>
      <c r="F4206" t="s">
        <v>27246</v>
      </c>
      <c r="G4206" t="s">
        <v>27247</v>
      </c>
      <c r="H4206" t="s">
        <v>27248</v>
      </c>
      <c r="I4206" t="s">
        <v>35365</v>
      </c>
      <c r="J4206" t="s">
        <v>8405</v>
      </c>
      <c r="L4206" t="s">
        <v>27250</v>
      </c>
      <c r="M4206" t="s">
        <v>27251</v>
      </c>
      <c r="N4206" t="s">
        <v>27252</v>
      </c>
      <c r="Q4206" s="1">
        <v>44846</v>
      </c>
      <c r="R4206" t="s">
        <v>27253</v>
      </c>
      <c r="S4206" t="s">
        <v>27254</v>
      </c>
      <c r="T4206" t="s">
        <v>27255</v>
      </c>
    </row>
    <row r="4207" spans="1:20" x14ac:dyDescent="0.3">
      <c r="A4207" t="str">
        <f>"0611861918100"</f>
        <v>0611861918100</v>
      </c>
      <c r="B4207" t="str">
        <f>"CN2074"</f>
        <v>CN2074</v>
      </c>
      <c r="C4207" t="s">
        <v>35366</v>
      </c>
      <c r="D4207" t="s">
        <v>27335</v>
      </c>
      <c r="E4207" t="str">
        <f t="shared" si="65"/>
        <v>001390</v>
      </c>
      <c r="F4207" t="s">
        <v>27246</v>
      </c>
      <c r="G4207" t="s">
        <v>27247</v>
      </c>
      <c r="H4207" t="s">
        <v>27248</v>
      </c>
      <c r="I4207" t="s">
        <v>35367</v>
      </c>
      <c r="J4207" t="s">
        <v>8407</v>
      </c>
      <c r="L4207" t="s">
        <v>27250</v>
      </c>
      <c r="M4207" t="s">
        <v>27251</v>
      </c>
      <c r="N4207" t="s">
        <v>27252</v>
      </c>
      <c r="Q4207" s="1">
        <v>44846</v>
      </c>
      <c r="R4207" t="s">
        <v>27253</v>
      </c>
      <c r="S4207" t="s">
        <v>27254</v>
      </c>
      <c r="T4207" t="s">
        <v>27255</v>
      </c>
    </row>
    <row r="4208" spans="1:20" x14ac:dyDescent="0.3">
      <c r="A4208" t="str">
        <f>"0611861919100"</f>
        <v>0611861919100</v>
      </c>
      <c r="B4208" t="str">
        <f>"CN2075"</f>
        <v>CN2075</v>
      </c>
      <c r="C4208" t="s">
        <v>35368</v>
      </c>
      <c r="D4208" t="s">
        <v>27335</v>
      </c>
      <c r="E4208" t="str">
        <f t="shared" si="65"/>
        <v>001390</v>
      </c>
      <c r="F4208" t="s">
        <v>27246</v>
      </c>
      <c r="G4208" t="s">
        <v>27247</v>
      </c>
      <c r="H4208" t="s">
        <v>27248</v>
      </c>
      <c r="I4208" t="s">
        <v>35369</v>
      </c>
      <c r="J4208" t="s">
        <v>8409</v>
      </c>
      <c r="L4208" t="s">
        <v>27250</v>
      </c>
      <c r="M4208" t="s">
        <v>27251</v>
      </c>
      <c r="N4208" t="s">
        <v>27252</v>
      </c>
      <c r="Q4208" s="1">
        <v>44846</v>
      </c>
      <c r="R4208" t="s">
        <v>27253</v>
      </c>
      <c r="S4208" t="s">
        <v>27254</v>
      </c>
      <c r="T4208" t="s">
        <v>27255</v>
      </c>
    </row>
    <row r="4209" spans="1:20" x14ac:dyDescent="0.3">
      <c r="A4209" t="str">
        <f>"0611861920100"</f>
        <v>0611861920100</v>
      </c>
      <c r="B4209" t="str">
        <f>"CN2076"</f>
        <v>CN2076</v>
      </c>
      <c r="C4209" t="s">
        <v>35370</v>
      </c>
      <c r="D4209" t="s">
        <v>27335</v>
      </c>
      <c r="E4209" t="str">
        <f t="shared" si="65"/>
        <v>001390</v>
      </c>
      <c r="F4209" t="s">
        <v>27246</v>
      </c>
      <c r="G4209" t="s">
        <v>27247</v>
      </c>
      <c r="H4209" t="s">
        <v>27248</v>
      </c>
      <c r="I4209" t="s">
        <v>35371</v>
      </c>
      <c r="J4209" t="s">
        <v>8411</v>
      </c>
      <c r="L4209" t="s">
        <v>27250</v>
      </c>
      <c r="M4209" t="s">
        <v>27251</v>
      </c>
      <c r="N4209" t="s">
        <v>27252</v>
      </c>
      <c r="Q4209" s="1">
        <v>44846</v>
      </c>
      <c r="R4209" t="s">
        <v>27253</v>
      </c>
      <c r="S4209" t="s">
        <v>27254</v>
      </c>
      <c r="T4209" t="s">
        <v>27255</v>
      </c>
    </row>
    <row r="4210" spans="1:20" x14ac:dyDescent="0.3">
      <c r="A4210" t="str">
        <f>"0611861921100"</f>
        <v>0611861921100</v>
      </c>
      <c r="B4210" t="str">
        <f>"CN2077"</f>
        <v>CN2077</v>
      </c>
      <c r="C4210" t="s">
        <v>35372</v>
      </c>
      <c r="D4210" t="s">
        <v>27335</v>
      </c>
      <c r="E4210" t="str">
        <f t="shared" si="65"/>
        <v>001390</v>
      </c>
      <c r="F4210" t="s">
        <v>27246</v>
      </c>
      <c r="G4210" t="s">
        <v>27247</v>
      </c>
      <c r="H4210" t="s">
        <v>27248</v>
      </c>
      <c r="I4210" t="s">
        <v>35373</v>
      </c>
      <c r="J4210" t="s">
        <v>8413</v>
      </c>
      <c r="L4210" t="s">
        <v>27250</v>
      </c>
      <c r="M4210" t="s">
        <v>27251</v>
      </c>
      <c r="N4210" t="s">
        <v>27252</v>
      </c>
      <c r="Q4210" s="1">
        <v>44846</v>
      </c>
      <c r="R4210" t="s">
        <v>27253</v>
      </c>
      <c r="S4210" t="s">
        <v>27254</v>
      </c>
      <c r="T4210" t="s">
        <v>27255</v>
      </c>
    </row>
    <row r="4211" spans="1:20" x14ac:dyDescent="0.3">
      <c r="A4211" t="str">
        <f>"0611861922100"</f>
        <v>0611861922100</v>
      </c>
      <c r="B4211" t="str">
        <f>"CN2078"</f>
        <v>CN2078</v>
      </c>
      <c r="C4211" t="s">
        <v>35374</v>
      </c>
      <c r="D4211" t="s">
        <v>27335</v>
      </c>
      <c r="E4211" t="str">
        <f t="shared" si="65"/>
        <v>001390</v>
      </c>
      <c r="F4211" t="s">
        <v>27246</v>
      </c>
      <c r="G4211" t="s">
        <v>27247</v>
      </c>
      <c r="H4211" t="s">
        <v>27248</v>
      </c>
      <c r="I4211" t="s">
        <v>35375</v>
      </c>
      <c r="J4211" t="s">
        <v>8415</v>
      </c>
      <c r="L4211" t="s">
        <v>27250</v>
      </c>
      <c r="M4211" t="s">
        <v>27251</v>
      </c>
      <c r="N4211" t="s">
        <v>27252</v>
      </c>
      <c r="Q4211" s="1">
        <v>44846</v>
      </c>
      <c r="R4211" t="s">
        <v>27253</v>
      </c>
      <c r="S4211" t="s">
        <v>27254</v>
      </c>
      <c r="T4211" t="s">
        <v>27255</v>
      </c>
    </row>
    <row r="4212" spans="1:20" x14ac:dyDescent="0.3">
      <c r="A4212" t="str">
        <f>"0611861923100"</f>
        <v>0611861923100</v>
      </c>
      <c r="B4212" t="str">
        <f>"CN2079"</f>
        <v>CN2079</v>
      </c>
      <c r="C4212" t="s">
        <v>35376</v>
      </c>
      <c r="D4212" t="s">
        <v>27335</v>
      </c>
      <c r="E4212" t="str">
        <f t="shared" si="65"/>
        <v>001390</v>
      </c>
      <c r="F4212" t="s">
        <v>27246</v>
      </c>
      <c r="G4212" t="s">
        <v>27247</v>
      </c>
      <c r="H4212" t="s">
        <v>27248</v>
      </c>
      <c r="I4212" t="s">
        <v>35377</v>
      </c>
      <c r="J4212" t="s">
        <v>8417</v>
      </c>
      <c r="L4212" t="s">
        <v>27250</v>
      </c>
      <c r="M4212" t="s">
        <v>27251</v>
      </c>
      <c r="N4212" t="s">
        <v>27252</v>
      </c>
      <c r="Q4212" s="1">
        <v>44846</v>
      </c>
      <c r="R4212" t="s">
        <v>27253</v>
      </c>
      <c r="S4212" t="s">
        <v>27254</v>
      </c>
      <c r="T4212" t="s">
        <v>27255</v>
      </c>
    </row>
    <row r="4213" spans="1:20" x14ac:dyDescent="0.3">
      <c r="A4213" t="str">
        <f>"0611834111100"</f>
        <v>0611834111100</v>
      </c>
      <c r="B4213" t="str">
        <f>"LG8042"</f>
        <v>LG8042</v>
      </c>
      <c r="C4213" t="s">
        <v>35378</v>
      </c>
      <c r="D4213" t="s">
        <v>27245</v>
      </c>
      <c r="E4213" t="str">
        <f t="shared" si="65"/>
        <v>001390</v>
      </c>
      <c r="F4213" t="s">
        <v>27246</v>
      </c>
      <c r="G4213" t="s">
        <v>27247</v>
      </c>
      <c r="H4213" t="s">
        <v>27248</v>
      </c>
      <c r="I4213" t="s">
        <v>35379</v>
      </c>
      <c r="J4213" t="s">
        <v>8419</v>
      </c>
      <c r="L4213" t="s">
        <v>27250</v>
      </c>
      <c r="M4213" t="s">
        <v>27251</v>
      </c>
      <c r="N4213" t="s">
        <v>27252</v>
      </c>
      <c r="Q4213" s="1">
        <v>44538</v>
      </c>
      <c r="R4213" t="s">
        <v>27253</v>
      </c>
      <c r="S4213" t="s">
        <v>27254</v>
      </c>
      <c r="T4213" t="s">
        <v>27255</v>
      </c>
    </row>
    <row r="4214" spans="1:20" x14ac:dyDescent="0.3">
      <c r="A4214" t="str">
        <f>"0611861924100"</f>
        <v>0611861924100</v>
      </c>
      <c r="B4214" t="str">
        <f>"CN2080"</f>
        <v>CN2080</v>
      </c>
      <c r="C4214" t="s">
        <v>35380</v>
      </c>
      <c r="D4214" t="s">
        <v>27335</v>
      </c>
      <c r="E4214" t="str">
        <f t="shared" si="65"/>
        <v>001390</v>
      </c>
      <c r="F4214" t="s">
        <v>27246</v>
      </c>
      <c r="G4214" t="s">
        <v>27247</v>
      </c>
      <c r="H4214" t="s">
        <v>27248</v>
      </c>
      <c r="I4214" t="s">
        <v>35381</v>
      </c>
      <c r="J4214" t="s">
        <v>8421</v>
      </c>
      <c r="L4214" t="s">
        <v>27250</v>
      </c>
      <c r="M4214" t="s">
        <v>27251</v>
      </c>
      <c r="N4214" t="s">
        <v>27252</v>
      </c>
      <c r="Q4214" s="1">
        <v>44846</v>
      </c>
      <c r="R4214" t="s">
        <v>27253</v>
      </c>
      <c r="S4214" t="s">
        <v>27254</v>
      </c>
      <c r="T4214" t="s">
        <v>27255</v>
      </c>
    </row>
    <row r="4215" spans="1:20" x14ac:dyDescent="0.3">
      <c r="A4215" t="str">
        <f>"0611861925100"</f>
        <v>0611861925100</v>
      </c>
      <c r="B4215" t="str">
        <f>"CN2081"</f>
        <v>CN2081</v>
      </c>
      <c r="C4215" t="s">
        <v>35382</v>
      </c>
      <c r="D4215" t="s">
        <v>27335</v>
      </c>
      <c r="E4215" t="str">
        <f t="shared" si="65"/>
        <v>001390</v>
      </c>
      <c r="F4215" t="s">
        <v>27246</v>
      </c>
      <c r="G4215" t="s">
        <v>27247</v>
      </c>
      <c r="H4215" t="s">
        <v>27248</v>
      </c>
      <c r="I4215" t="s">
        <v>35383</v>
      </c>
      <c r="J4215" t="s">
        <v>8423</v>
      </c>
      <c r="L4215" t="s">
        <v>27250</v>
      </c>
      <c r="M4215" t="s">
        <v>27251</v>
      </c>
      <c r="N4215" t="s">
        <v>27252</v>
      </c>
      <c r="Q4215" s="1">
        <v>44846</v>
      </c>
      <c r="R4215" t="s">
        <v>27253</v>
      </c>
      <c r="S4215" t="s">
        <v>27254</v>
      </c>
      <c r="T4215" t="s">
        <v>27255</v>
      </c>
    </row>
    <row r="4216" spans="1:20" x14ac:dyDescent="0.3">
      <c r="A4216" t="str">
        <f>"0611861926100"</f>
        <v>0611861926100</v>
      </c>
      <c r="B4216" t="str">
        <f>"CN2082"</f>
        <v>CN2082</v>
      </c>
      <c r="C4216" t="s">
        <v>35384</v>
      </c>
      <c r="D4216" t="s">
        <v>27335</v>
      </c>
      <c r="E4216" t="str">
        <f t="shared" si="65"/>
        <v>001390</v>
      </c>
      <c r="F4216" t="s">
        <v>27246</v>
      </c>
      <c r="G4216" t="s">
        <v>27247</v>
      </c>
      <c r="H4216" t="s">
        <v>27248</v>
      </c>
      <c r="I4216" t="s">
        <v>35385</v>
      </c>
      <c r="J4216" t="s">
        <v>8425</v>
      </c>
      <c r="L4216" t="s">
        <v>27250</v>
      </c>
      <c r="M4216" t="s">
        <v>27251</v>
      </c>
      <c r="N4216" t="s">
        <v>27252</v>
      </c>
      <c r="Q4216" s="1">
        <v>44846</v>
      </c>
      <c r="R4216" t="s">
        <v>27253</v>
      </c>
      <c r="S4216" t="s">
        <v>27254</v>
      </c>
      <c r="T4216" t="s">
        <v>27255</v>
      </c>
    </row>
    <row r="4217" spans="1:20" x14ac:dyDescent="0.3">
      <c r="A4217" t="str">
        <f>"0611861929100"</f>
        <v>0611861929100</v>
      </c>
      <c r="B4217" t="str">
        <f>"CN2083"</f>
        <v>CN2083</v>
      </c>
      <c r="C4217" t="s">
        <v>35386</v>
      </c>
      <c r="D4217" t="s">
        <v>27335</v>
      </c>
      <c r="E4217" t="str">
        <f t="shared" si="65"/>
        <v>001390</v>
      </c>
      <c r="F4217" t="s">
        <v>27246</v>
      </c>
      <c r="G4217" t="s">
        <v>27247</v>
      </c>
      <c r="H4217" t="s">
        <v>27248</v>
      </c>
      <c r="I4217" t="s">
        <v>35387</v>
      </c>
      <c r="J4217" t="s">
        <v>8431</v>
      </c>
      <c r="L4217" t="s">
        <v>27250</v>
      </c>
      <c r="M4217" t="s">
        <v>27251</v>
      </c>
      <c r="N4217" t="s">
        <v>27252</v>
      </c>
      <c r="Q4217" s="1">
        <v>44846</v>
      </c>
      <c r="R4217" t="s">
        <v>27253</v>
      </c>
      <c r="S4217" t="s">
        <v>27254</v>
      </c>
      <c r="T4217" t="s">
        <v>27255</v>
      </c>
    </row>
    <row r="4218" spans="1:20" x14ac:dyDescent="0.3">
      <c r="A4218" t="str">
        <f>"0611861927100"</f>
        <v>0611861927100</v>
      </c>
      <c r="B4218" t="str">
        <f>"CN2084"</f>
        <v>CN2084</v>
      </c>
      <c r="C4218" t="s">
        <v>35388</v>
      </c>
      <c r="D4218" t="s">
        <v>27335</v>
      </c>
      <c r="E4218" t="str">
        <f t="shared" si="65"/>
        <v>001390</v>
      </c>
      <c r="F4218" t="s">
        <v>27246</v>
      </c>
      <c r="G4218" t="s">
        <v>27247</v>
      </c>
      <c r="H4218" t="s">
        <v>27248</v>
      </c>
      <c r="I4218" t="s">
        <v>35389</v>
      </c>
      <c r="J4218" t="s">
        <v>8427</v>
      </c>
      <c r="L4218" t="s">
        <v>27250</v>
      </c>
      <c r="M4218" t="s">
        <v>27251</v>
      </c>
      <c r="N4218" t="s">
        <v>27252</v>
      </c>
      <c r="Q4218" s="1">
        <v>44846</v>
      </c>
      <c r="R4218" t="s">
        <v>27253</v>
      </c>
      <c r="S4218" t="s">
        <v>27254</v>
      </c>
      <c r="T4218" t="s">
        <v>27255</v>
      </c>
    </row>
    <row r="4219" spans="1:20" x14ac:dyDescent="0.3">
      <c r="A4219" t="str">
        <f>"0611861928100"</f>
        <v>0611861928100</v>
      </c>
      <c r="B4219" t="str">
        <f>"CN2085"</f>
        <v>CN2085</v>
      </c>
      <c r="C4219" t="s">
        <v>35390</v>
      </c>
      <c r="D4219" t="s">
        <v>27335</v>
      </c>
      <c r="E4219" t="str">
        <f t="shared" si="65"/>
        <v>001390</v>
      </c>
      <c r="F4219" t="s">
        <v>27246</v>
      </c>
      <c r="G4219" t="s">
        <v>27247</v>
      </c>
      <c r="H4219" t="s">
        <v>27248</v>
      </c>
      <c r="I4219" t="s">
        <v>35391</v>
      </c>
      <c r="J4219" t="s">
        <v>8429</v>
      </c>
      <c r="L4219" t="s">
        <v>27250</v>
      </c>
      <c r="M4219" t="s">
        <v>27251</v>
      </c>
      <c r="N4219" t="s">
        <v>27252</v>
      </c>
      <c r="Q4219" s="1">
        <v>44846</v>
      </c>
      <c r="R4219" t="s">
        <v>27253</v>
      </c>
      <c r="S4219" t="s">
        <v>27254</v>
      </c>
      <c r="T4219" t="s">
        <v>27255</v>
      </c>
    </row>
    <row r="4220" spans="1:20" x14ac:dyDescent="0.3">
      <c r="A4220" t="str">
        <f>"0611861930100"</f>
        <v>0611861930100</v>
      </c>
      <c r="B4220" t="str">
        <f>"CN2271"</f>
        <v>CN2271</v>
      </c>
      <c r="C4220" t="s">
        <v>35392</v>
      </c>
      <c r="D4220" t="s">
        <v>27335</v>
      </c>
      <c r="E4220" t="str">
        <f t="shared" si="65"/>
        <v>001390</v>
      </c>
      <c r="F4220" t="s">
        <v>27246</v>
      </c>
      <c r="G4220" t="s">
        <v>27247</v>
      </c>
      <c r="H4220" t="s">
        <v>27248</v>
      </c>
      <c r="I4220" t="s">
        <v>35393</v>
      </c>
      <c r="J4220" t="s">
        <v>8433</v>
      </c>
      <c r="L4220" t="s">
        <v>27250</v>
      </c>
      <c r="M4220" t="s">
        <v>27251</v>
      </c>
      <c r="N4220" t="s">
        <v>27252</v>
      </c>
      <c r="Q4220" s="1">
        <v>44846</v>
      </c>
      <c r="R4220" t="s">
        <v>27253</v>
      </c>
      <c r="S4220" t="s">
        <v>27254</v>
      </c>
      <c r="T4220" t="s">
        <v>27255</v>
      </c>
    </row>
    <row r="4221" spans="1:20" x14ac:dyDescent="0.3">
      <c r="A4221" t="str">
        <f>"0611861931100"</f>
        <v>0611861931100</v>
      </c>
      <c r="B4221" t="str">
        <f>"CN2033"</f>
        <v>CN2033</v>
      </c>
      <c r="C4221" t="s">
        <v>35394</v>
      </c>
      <c r="D4221" t="s">
        <v>27335</v>
      </c>
      <c r="E4221" t="str">
        <f t="shared" si="65"/>
        <v>001390</v>
      </c>
      <c r="F4221" t="s">
        <v>27246</v>
      </c>
      <c r="G4221" t="s">
        <v>27247</v>
      </c>
      <c r="H4221" t="s">
        <v>27248</v>
      </c>
      <c r="I4221" t="s">
        <v>35395</v>
      </c>
      <c r="J4221" t="s">
        <v>8435</v>
      </c>
      <c r="L4221" t="s">
        <v>27250</v>
      </c>
      <c r="M4221" t="s">
        <v>27251</v>
      </c>
      <c r="N4221" t="s">
        <v>27252</v>
      </c>
      <c r="Q4221" s="1">
        <v>44846</v>
      </c>
      <c r="R4221" t="s">
        <v>27253</v>
      </c>
      <c r="S4221" t="s">
        <v>27254</v>
      </c>
      <c r="T4221" t="s">
        <v>27255</v>
      </c>
    </row>
    <row r="4222" spans="1:20" x14ac:dyDescent="0.3">
      <c r="A4222" t="str">
        <f>"0611861932100"</f>
        <v>0611861932100</v>
      </c>
      <c r="B4222" t="str">
        <f>"CN2038"</f>
        <v>CN2038</v>
      </c>
      <c r="C4222" t="s">
        <v>35396</v>
      </c>
      <c r="D4222" t="s">
        <v>27335</v>
      </c>
      <c r="E4222" t="str">
        <f t="shared" si="65"/>
        <v>001390</v>
      </c>
      <c r="F4222" t="s">
        <v>27246</v>
      </c>
      <c r="G4222" t="s">
        <v>27247</v>
      </c>
      <c r="H4222" t="s">
        <v>27248</v>
      </c>
      <c r="I4222" t="s">
        <v>35397</v>
      </c>
      <c r="J4222" t="s">
        <v>8437</v>
      </c>
      <c r="L4222" t="s">
        <v>27250</v>
      </c>
      <c r="M4222" t="s">
        <v>27251</v>
      </c>
      <c r="N4222" t="s">
        <v>27252</v>
      </c>
      <c r="Q4222" s="1">
        <v>44846</v>
      </c>
      <c r="R4222" t="s">
        <v>27253</v>
      </c>
      <c r="S4222" t="s">
        <v>27254</v>
      </c>
      <c r="T4222" t="s">
        <v>27255</v>
      </c>
    </row>
    <row r="4223" spans="1:20" x14ac:dyDescent="0.3">
      <c r="A4223" t="str">
        <f>"0611861933100"</f>
        <v>0611861933100</v>
      </c>
      <c r="B4223" t="str">
        <f>"CN2089"</f>
        <v>CN2089</v>
      </c>
      <c r="C4223" t="s">
        <v>35398</v>
      </c>
      <c r="D4223" t="s">
        <v>27335</v>
      </c>
      <c r="E4223" t="str">
        <f t="shared" si="65"/>
        <v>001390</v>
      </c>
      <c r="F4223" t="s">
        <v>27246</v>
      </c>
      <c r="G4223" t="s">
        <v>27247</v>
      </c>
      <c r="H4223" t="s">
        <v>27248</v>
      </c>
      <c r="I4223" t="s">
        <v>35399</v>
      </c>
      <c r="J4223" t="s">
        <v>8439</v>
      </c>
      <c r="L4223" t="s">
        <v>27250</v>
      </c>
      <c r="M4223" t="s">
        <v>27251</v>
      </c>
      <c r="N4223" t="s">
        <v>27252</v>
      </c>
      <c r="Q4223" s="1">
        <v>44846</v>
      </c>
      <c r="R4223" t="s">
        <v>27253</v>
      </c>
      <c r="S4223" t="s">
        <v>27254</v>
      </c>
      <c r="T4223" t="s">
        <v>27255</v>
      </c>
    </row>
    <row r="4224" spans="1:20" x14ac:dyDescent="0.3">
      <c r="A4224" t="str">
        <f>"0611861934100"</f>
        <v>0611861934100</v>
      </c>
      <c r="B4224" t="str">
        <f>"CN2335"</f>
        <v>CN2335</v>
      </c>
      <c r="C4224" t="s">
        <v>35400</v>
      </c>
      <c r="D4224" t="s">
        <v>27335</v>
      </c>
      <c r="E4224" t="str">
        <f t="shared" si="65"/>
        <v>001390</v>
      </c>
      <c r="F4224" t="s">
        <v>27246</v>
      </c>
      <c r="G4224" t="s">
        <v>27247</v>
      </c>
      <c r="H4224" t="s">
        <v>27248</v>
      </c>
      <c r="I4224" t="s">
        <v>35401</v>
      </c>
      <c r="J4224" t="s">
        <v>8441</v>
      </c>
      <c r="L4224" t="s">
        <v>27250</v>
      </c>
      <c r="M4224" t="s">
        <v>27251</v>
      </c>
      <c r="N4224" t="s">
        <v>27252</v>
      </c>
      <c r="Q4224" s="1">
        <v>44846</v>
      </c>
      <c r="R4224" t="s">
        <v>27253</v>
      </c>
      <c r="S4224" t="s">
        <v>27254</v>
      </c>
      <c r="T4224" t="s">
        <v>27255</v>
      </c>
    </row>
    <row r="4225" spans="1:20" x14ac:dyDescent="0.3">
      <c r="A4225" t="str">
        <f>"0611861935100"</f>
        <v>0611861935100</v>
      </c>
      <c r="B4225" t="str">
        <f>"CN2090"</f>
        <v>CN2090</v>
      </c>
      <c r="C4225" t="s">
        <v>35402</v>
      </c>
      <c r="D4225" t="s">
        <v>27335</v>
      </c>
      <c r="E4225" t="str">
        <f t="shared" si="65"/>
        <v>001390</v>
      </c>
      <c r="F4225" t="s">
        <v>27246</v>
      </c>
      <c r="G4225" t="s">
        <v>27247</v>
      </c>
      <c r="H4225" t="s">
        <v>27248</v>
      </c>
      <c r="I4225" t="s">
        <v>35403</v>
      </c>
      <c r="J4225" t="s">
        <v>8443</v>
      </c>
      <c r="L4225" t="s">
        <v>27250</v>
      </c>
      <c r="M4225" t="s">
        <v>27251</v>
      </c>
      <c r="N4225" t="s">
        <v>27252</v>
      </c>
      <c r="Q4225" s="1">
        <v>44846</v>
      </c>
      <c r="R4225" t="s">
        <v>27253</v>
      </c>
      <c r="S4225" t="s">
        <v>27254</v>
      </c>
      <c r="T4225" t="s">
        <v>27255</v>
      </c>
    </row>
    <row r="4226" spans="1:20" x14ac:dyDescent="0.3">
      <c r="A4226" t="str">
        <f>"0611861936100"</f>
        <v>0611861936100</v>
      </c>
      <c r="B4226" t="str">
        <f>"CN2091"</f>
        <v>CN2091</v>
      </c>
      <c r="C4226" t="s">
        <v>35404</v>
      </c>
      <c r="D4226" t="s">
        <v>27335</v>
      </c>
      <c r="E4226" t="str">
        <f t="shared" ref="E4226:E4289" si="66">"001390"</f>
        <v>001390</v>
      </c>
      <c r="F4226" t="s">
        <v>27246</v>
      </c>
      <c r="G4226" t="s">
        <v>27247</v>
      </c>
      <c r="H4226" t="s">
        <v>27248</v>
      </c>
      <c r="I4226" t="s">
        <v>35405</v>
      </c>
      <c r="J4226" t="s">
        <v>8445</v>
      </c>
      <c r="L4226" t="s">
        <v>27250</v>
      </c>
      <c r="M4226" t="s">
        <v>27251</v>
      </c>
      <c r="N4226" t="s">
        <v>27252</v>
      </c>
      <c r="Q4226" s="1">
        <v>44846</v>
      </c>
      <c r="R4226" t="s">
        <v>27253</v>
      </c>
      <c r="S4226" t="s">
        <v>27254</v>
      </c>
      <c r="T4226" t="s">
        <v>27255</v>
      </c>
    </row>
    <row r="4227" spans="1:20" x14ac:dyDescent="0.3">
      <c r="A4227" t="str">
        <f>"0611861937100"</f>
        <v>0611861937100</v>
      </c>
      <c r="B4227" t="str">
        <f>"CN2092"</f>
        <v>CN2092</v>
      </c>
      <c r="C4227" t="s">
        <v>35406</v>
      </c>
      <c r="D4227" t="s">
        <v>27335</v>
      </c>
      <c r="E4227" t="str">
        <f t="shared" si="66"/>
        <v>001390</v>
      </c>
      <c r="F4227" t="s">
        <v>27246</v>
      </c>
      <c r="G4227" t="s">
        <v>27247</v>
      </c>
      <c r="H4227" t="s">
        <v>27248</v>
      </c>
      <c r="I4227" t="s">
        <v>35407</v>
      </c>
      <c r="J4227" t="s">
        <v>8447</v>
      </c>
      <c r="L4227" t="s">
        <v>27250</v>
      </c>
      <c r="M4227" t="s">
        <v>27251</v>
      </c>
      <c r="N4227" t="s">
        <v>27252</v>
      </c>
      <c r="Q4227" s="1">
        <v>44846</v>
      </c>
      <c r="R4227" t="s">
        <v>27253</v>
      </c>
      <c r="S4227" t="s">
        <v>27254</v>
      </c>
      <c r="T4227" t="s">
        <v>27255</v>
      </c>
    </row>
    <row r="4228" spans="1:20" x14ac:dyDescent="0.3">
      <c r="A4228" t="str">
        <f>"0611861938100"</f>
        <v>0611861938100</v>
      </c>
      <c r="B4228" t="str">
        <f>"CN2093"</f>
        <v>CN2093</v>
      </c>
      <c r="C4228" t="s">
        <v>35408</v>
      </c>
      <c r="D4228" t="s">
        <v>27335</v>
      </c>
      <c r="E4228" t="str">
        <f t="shared" si="66"/>
        <v>001390</v>
      </c>
      <c r="F4228" t="s">
        <v>27246</v>
      </c>
      <c r="G4228" t="s">
        <v>27247</v>
      </c>
      <c r="H4228" t="s">
        <v>27248</v>
      </c>
      <c r="I4228" t="s">
        <v>35409</v>
      </c>
      <c r="J4228" t="s">
        <v>8449</v>
      </c>
      <c r="L4228" t="s">
        <v>27250</v>
      </c>
      <c r="M4228" t="s">
        <v>27251</v>
      </c>
      <c r="N4228" t="s">
        <v>27252</v>
      </c>
      <c r="Q4228" s="1">
        <v>44846</v>
      </c>
      <c r="R4228" t="s">
        <v>27253</v>
      </c>
      <c r="S4228" t="s">
        <v>27254</v>
      </c>
      <c r="T4228" t="s">
        <v>27255</v>
      </c>
    </row>
    <row r="4229" spans="1:20" x14ac:dyDescent="0.3">
      <c r="A4229" t="str">
        <f>"0611861939100"</f>
        <v>0611861939100</v>
      </c>
      <c r="B4229" t="str">
        <f>"CN2094"</f>
        <v>CN2094</v>
      </c>
      <c r="C4229" t="s">
        <v>35410</v>
      </c>
      <c r="D4229" t="s">
        <v>27335</v>
      </c>
      <c r="E4229" t="str">
        <f t="shared" si="66"/>
        <v>001390</v>
      </c>
      <c r="F4229" t="s">
        <v>27246</v>
      </c>
      <c r="G4229" t="s">
        <v>27247</v>
      </c>
      <c r="H4229" t="s">
        <v>27248</v>
      </c>
      <c r="I4229" t="s">
        <v>35411</v>
      </c>
      <c r="J4229" t="s">
        <v>8451</v>
      </c>
      <c r="L4229" t="s">
        <v>27250</v>
      </c>
      <c r="M4229" t="s">
        <v>27251</v>
      </c>
      <c r="N4229" t="s">
        <v>27252</v>
      </c>
      <c r="Q4229" s="1">
        <v>44846</v>
      </c>
      <c r="R4229" t="s">
        <v>27253</v>
      </c>
      <c r="S4229" t="s">
        <v>27254</v>
      </c>
      <c r="T4229" t="s">
        <v>27255</v>
      </c>
    </row>
    <row r="4230" spans="1:20" x14ac:dyDescent="0.3">
      <c r="A4230" t="str">
        <f>"0611861940100"</f>
        <v>0611861940100</v>
      </c>
      <c r="B4230" t="str">
        <f>"CN2095"</f>
        <v>CN2095</v>
      </c>
      <c r="C4230" t="s">
        <v>35412</v>
      </c>
      <c r="D4230" t="s">
        <v>27335</v>
      </c>
      <c r="E4230" t="str">
        <f t="shared" si="66"/>
        <v>001390</v>
      </c>
      <c r="F4230" t="s">
        <v>27246</v>
      </c>
      <c r="G4230" t="s">
        <v>27247</v>
      </c>
      <c r="H4230" t="s">
        <v>27248</v>
      </c>
      <c r="I4230" t="s">
        <v>35413</v>
      </c>
      <c r="J4230" t="s">
        <v>8453</v>
      </c>
      <c r="L4230" t="s">
        <v>27250</v>
      </c>
      <c r="M4230" t="s">
        <v>27251</v>
      </c>
      <c r="N4230" t="s">
        <v>27252</v>
      </c>
      <c r="Q4230" s="1">
        <v>44846</v>
      </c>
      <c r="R4230" t="s">
        <v>27253</v>
      </c>
      <c r="S4230" t="s">
        <v>27254</v>
      </c>
      <c r="T4230" t="s">
        <v>27255</v>
      </c>
    </row>
    <row r="4231" spans="1:20" x14ac:dyDescent="0.3">
      <c r="A4231" t="str">
        <f>"0611861941100"</f>
        <v>0611861941100</v>
      </c>
      <c r="B4231" t="str">
        <f>"CN2096"</f>
        <v>CN2096</v>
      </c>
      <c r="C4231" t="s">
        <v>35414</v>
      </c>
      <c r="D4231" t="s">
        <v>27335</v>
      </c>
      <c r="E4231" t="str">
        <f t="shared" si="66"/>
        <v>001390</v>
      </c>
      <c r="F4231" t="s">
        <v>27246</v>
      </c>
      <c r="G4231" t="s">
        <v>27247</v>
      </c>
      <c r="H4231" t="s">
        <v>27248</v>
      </c>
      <c r="I4231" t="s">
        <v>35415</v>
      </c>
      <c r="J4231" t="s">
        <v>8455</v>
      </c>
      <c r="L4231" t="s">
        <v>27250</v>
      </c>
      <c r="M4231" t="s">
        <v>27251</v>
      </c>
      <c r="N4231" t="s">
        <v>27252</v>
      </c>
      <c r="Q4231" s="1">
        <v>44846</v>
      </c>
      <c r="R4231" t="s">
        <v>27253</v>
      </c>
      <c r="S4231" t="s">
        <v>27254</v>
      </c>
      <c r="T4231" t="s">
        <v>27255</v>
      </c>
    </row>
    <row r="4232" spans="1:20" x14ac:dyDescent="0.3">
      <c r="A4232" t="str">
        <f>"0611861942100"</f>
        <v>0611861942100</v>
      </c>
      <c r="B4232" t="str">
        <f>"CN2098"</f>
        <v>CN2098</v>
      </c>
      <c r="C4232" t="s">
        <v>35416</v>
      </c>
      <c r="D4232" t="s">
        <v>27335</v>
      </c>
      <c r="E4232" t="str">
        <f t="shared" si="66"/>
        <v>001390</v>
      </c>
      <c r="F4232" t="s">
        <v>27246</v>
      </c>
      <c r="G4232" t="s">
        <v>27247</v>
      </c>
      <c r="H4232" t="s">
        <v>27248</v>
      </c>
      <c r="I4232" t="s">
        <v>35417</v>
      </c>
      <c r="J4232" t="s">
        <v>8457</v>
      </c>
      <c r="L4232" t="s">
        <v>27250</v>
      </c>
      <c r="M4232" t="s">
        <v>27251</v>
      </c>
      <c r="N4232" t="s">
        <v>27252</v>
      </c>
      <c r="Q4232" s="1">
        <v>44846</v>
      </c>
      <c r="R4232" t="s">
        <v>27253</v>
      </c>
      <c r="S4232" t="s">
        <v>27254</v>
      </c>
      <c r="T4232" t="s">
        <v>27255</v>
      </c>
    </row>
    <row r="4233" spans="1:20" x14ac:dyDescent="0.3">
      <c r="A4233" t="str">
        <f>"0611861943100"</f>
        <v>0611861943100</v>
      </c>
      <c r="B4233" t="str">
        <f>"CN2099"</f>
        <v>CN2099</v>
      </c>
      <c r="C4233" t="s">
        <v>35418</v>
      </c>
      <c r="D4233" t="s">
        <v>27335</v>
      </c>
      <c r="E4233" t="str">
        <f t="shared" si="66"/>
        <v>001390</v>
      </c>
      <c r="F4233" t="s">
        <v>27246</v>
      </c>
      <c r="G4233" t="s">
        <v>27247</v>
      </c>
      <c r="H4233" t="s">
        <v>27248</v>
      </c>
      <c r="I4233" t="s">
        <v>35419</v>
      </c>
      <c r="J4233" t="s">
        <v>8459</v>
      </c>
      <c r="L4233" t="s">
        <v>27250</v>
      </c>
      <c r="M4233" t="s">
        <v>27251</v>
      </c>
      <c r="N4233" t="s">
        <v>27252</v>
      </c>
      <c r="Q4233" s="1">
        <v>44846</v>
      </c>
      <c r="R4233" t="s">
        <v>27253</v>
      </c>
      <c r="S4233" t="s">
        <v>27254</v>
      </c>
      <c r="T4233" t="s">
        <v>27255</v>
      </c>
    </row>
    <row r="4234" spans="1:20" x14ac:dyDescent="0.3">
      <c r="A4234" t="str">
        <f>"0611861944100"</f>
        <v>0611861944100</v>
      </c>
      <c r="B4234" t="str">
        <f>"CN2100"</f>
        <v>CN2100</v>
      </c>
      <c r="C4234" t="s">
        <v>35420</v>
      </c>
      <c r="D4234" t="s">
        <v>27335</v>
      </c>
      <c r="E4234" t="str">
        <f t="shared" si="66"/>
        <v>001390</v>
      </c>
      <c r="F4234" t="s">
        <v>27246</v>
      </c>
      <c r="G4234" t="s">
        <v>27247</v>
      </c>
      <c r="H4234" t="s">
        <v>27248</v>
      </c>
      <c r="I4234" t="s">
        <v>35421</v>
      </c>
      <c r="J4234" t="s">
        <v>8461</v>
      </c>
      <c r="L4234" t="s">
        <v>27250</v>
      </c>
      <c r="M4234" t="s">
        <v>27251</v>
      </c>
      <c r="N4234" t="s">
        <v>27252</v>
      </c>
      <c r="Q4234" s="1">
        <v>44846</v>
      </c>
      <c r="R4234" t="s">
        <v>27253</v>
      </c>
      <c r="S4234" t="s">
        <v>27254</v>
      </c>
      <c r="T4234" t="s">
        <v>27255</v>
      </c>
    </row>
    <row r="4235" spans="1:20" x14ac:dyDescent="0.3">
      <c r="A4235" t="str">
        <f>"0611861945100"</f>
        <v>0611861945100</v>
      </c>
      <c r="B4235" t="str">
        <f>"CN2101"</f>
        <v>CN2101</v>
      </c>
      <c r="C4235" t="s">
        <v>35422</v>
      </c>
      <c r="D4235" t="s">
        <v>27335</v>
      </c>
      <c r="E4235" t="str">
        <f t="shared" si="66"/>
        <v>001390</v>
      </c>
      <c r="F4235" t="s">
        <v>27246</v>
      </c>
      <c r="G4235" t="s">
        <v>27247</v>
      </c>
      <c r="H4235" t="s">
        <v>27248</v>
      </c>
      <c r="I4235" t="s">
        <v>35423</v>
      </c>
      <c r="J4235" t="s">
        <v>8463</v>
      </c>
      <c r="L4235" t="s">
        <v>27250</v>
      </c>
      <c r="M4235" t="s">
        <v>27251</v>
      </c>
      <c r="N4235" t="s">
        <v>27252</v>
      </c>
      <c r="Q4235" s="1">
        <v>44846</v>
      </c>
      <c r="R4235" t="s">
        <v>27253</v>
      </c>
      <c r="S4235" t="s">
        <v>27254</v>
      </c>
      <c r="T4235" t="s">
        <v>27255</v>
      </c>
    </row>
    <row r="4236" spans="1:20" x14ac:dyDescent="0.3">
      <c r="A4236" t="str">
        <f>"0611884196100"</f>
        <v>0611884196100</v>
      </c>
      <c r="B4236" t="str">
        <f>"CN2413"</f>
        <v>CN2413</v>
      </c>
      <c r="C4236" t="s">
        <v>35424</v>
      </c>
      <c r="D4236" t="s">
        <v>27335</v>
      </c>
      <c r="E4236" t="str">
        <f t="shared" si="66"/>
        <v>001390</v>
      </c>
      <c r="F4236" t="s">
        <v>27246</v>
      </c>
      <c r="G4236" t="s">
        <v>27247</v>
      </c>
      <c r="H4236" t="s">
        <v>27248</v>
      </c>
      <c r="I4236" t="s">
        <v>35425</v>
      </c>
      <c r="J4236" t="s">
        <v>8465</v>
      </c>
      <c r="L4236" t="s">
        <v>27430</v>
      </c>
      <c r="M4236" t="s">
        <v>27251</v>
      </c>
      <c r="N4236" t="s">
        <v>27252</v>
      </c>
      <c r="Q4236" s="1">
        <v>45250</v>
      </c>
      <c r="R4236" t="s">
        <v>27253</v>
      </c>
      <c r="S4236" t="s">
        <v>27254</v>
      </c>
      <c r="T4236" t="s">
        <v>27255</v>
      </c>
    </row>
    <row r="4237" spans="1:20" x14ac:dyDescent="0.3">
      <c r="A4237" t="str">
        <f>"0611861946100"</f>
        <v>0611861946100</v>
      </c>
      <c r="B4237" t="str">
        <f>"CN2102"</f>
        <v>CN2102</v>
      </c>
      <c r="C4237" t="s">
        <v>35426</v>
      </c>
      <c r="D4237" t="s">
        <v>27335</v>
      </c>
      <c r="E4237" t="str">
        <f t="shared" si="66"/>
        <v>001390</v>
      </c>
      <c r="F4237" t="s">
        <v>27246</v>
      </c>
      <c r="G4237" t="s">
        <v>27247</v>
      </c>
      <c r="H4237" t="s">
        <v>27248</v>
      </c>
      <c r="I4237" t="s">
        <v>35427</v>
      </c>
      <c r="J4237" t="s">
        <v>8467</v>
      </c>
      <c r="L4237" t="s">
        <v>27250</v>
      </c>
      <c r="M4237" t="s">
        <v>27251</v>
      </c>
      <c r="N4237" t="s">
        <v>27252</v>
      </c>
      <c r="Q4237" s="1">
        <v>44846</v>
      </c>
      <c r="R4237" t="s">
        <v>27253</v>
      </c>
      <c r="S4237" t="s">
        <v>27254</v>
      </c>
      <c r="T4237" t="s">
        <v>27255</v>
      </c>
    </row>
    <row r="4238" spans="1:20" x14ac:dyDescent="0.3">
      <c r="A4238" t="str">
        <f>"0611861947100"</f>
        <v>0611861947100</v>
      </c>
      <c r="B4238" t="str">
        <f>"CN2103"</f>
        <v>CN2103</v>
      </c>
      <c r="C4238" t="s">
        <v>35428</v>
      </c>
      <c r="D4238" t="s">
        <v>27335</v>
      </c>
      <c r="E4238" t="str">
        <f t="shared" si="66"/>
        <v>001390</v>
      </c>
      <c r="F4238" t="s">
        <v>27246</v>
      </c>
      <c r="G4238" t="s">
        <v>27247</v>
      </c>
      <c r="H4238" t="s">
        <v>27248</v>
      </c>
      <c r="I4238" t="s">
        <v>35429</v>
      </c>
      <c r="J4238" t="s">
        <v>8469</v>
      </c>
      <c r="L4238" t="s">
        <v>27250</v>
      </c>
      <c r="M4238" t="s">
        <v>27251</v>
      </c>
      <c r="N4238" t="s">
        <v>27252</v>
      </c>
      <c r="Q4238" s="1">
        <v>44846</v>
      </c>
      <c r="R4238" t="s">
        <v>27253</v>
      </c>
      <c r="S4238" t="s">
        <v>27254</v>
      </c>
      <c r="T4238" t="s">
        <v>27255</v>
      </c>
    </row>
    <row r="4239" spans="1:20" x14ac:dyDescent="0.3">
      <c r="A4239" t="str">
        <f>"0611834112100"</f>
        <v>0611834112100</v>
      </c>
      <c r="B4239" t="str">
        <f>"LF0010"</f>
        <v>LF0010</v>
      </c>
      <c r="C4239" t="s">
        <v>35430</v>
      </c>
      <c r="D4239" t="s">
        <v>27245</v>
      </c>
      <c r="E4239" t="str">
        <f t="shared" si="66"/>
        <v>001390</v>
      </c>
      <c r="F4239" t="s">
        <v>27246</v>
      </c>
      <c r="G4239" t="s">
        <v>27247</v>
      </c>
      <c r="H4239" t="s">
        <v>27248</v>
      </c>
      <c r="I4239" t="s">
        <v>35431</v>
      </c>
      <c r="J4239" t="s">
        <v>8471</v>
      </c>
      <c r="L4239" t="s">
        <v>27250</v>
      </c>
      <c r="M4239" t="s">
        <v>27251</v>
      </c>
      <c r="N4239" t="s">
        <v>27252</v>
      </c>
      <c r="Q4239" s="1">
        <v>44538</v>
      </c>
      <c r="R4239" t="s">
        <v>27253</v>
      </c>
      <c r="S4239" t="s">
        <v>27254</v>
      </c>
      <c r="T4239" t="s">
        <v>27255</v>
      </c>
    </row>
    <row r="4240" spans="1:20" x14ac:dyDescent="0.3">
      <c r="A4240" t="str">
        <f>"0611861948100"</f>
        <v>0611861948100</v>
      </c>
      <c r="B4240" t="str">
        <f>"CN2087"</f>
        <v>CN2087</v>
      </c>
      <c r="C4240" t="s">
        <v>35432</v>
      </c>
      <c r="D4240" t="s">
        <v>27335</v>
      </c>
      <c r="E4240" t="str">
        <f t="shared" si="66"/>
        <v>001390</v>
      </c>
      <c r="F4240" t="s">
        <v>27246</v>
      </c>
      <c r="G4240" t="s">
        <v>27247</v>
      </c>
      <c r="H4240" t="s">
        <v>27248</v>
      </c>
      <c r="I4240" t="s">
        <v>35433</v>
      </c>
      <c r="J4240" t="s">
        <v>8473</v>
      </c>
      <c r="L4240" t="s">
        <v>27250</v>
      </c>
      <c r="M4240" t="s">
        <v>27251</v>
      </c>
      <c r="N4240" t="s">
        <v>27252</v>
      </c>
      <c r="Q4240" s="1">
        <v>44846</v>
      </c>
      <c r="R4240" t="s">
        <v>27253</v>
      </c>
      <c r="S4240" t="s">
        <v>27254</v>
      </c>
      <c r="T4240" t="s">
        <v>27255</v>
      </c>
    </row>
    <row r="4241" spans="1:20" x14ac:dyDescent="0.3">
      <c r="A4241" t="str">
        <f>"0611861949100"</f>
        <v>0611861949100</v>
      </c>
      <c r="B4241" t="str">
        <f>"CN2088"</f>
        <v>CN2088</v>
      </c>
      <c r="C4241" t="s">
        <v>35434</v>
      </c>
      <c r="D4241" t="s">
        <v>27335</v>
      </c>
      <c r="E4241" t="str">
        <f t="shared" si="66"/>
        <v>001390</v>
      </c>
      <c r="F4241" t="s">
        <v>27246</v>
      </c>
      <c r="G4241" t="s">
        <v>27247</v>
      </c>
      <c r="H4241" t="s">
        <v>27248</v>
      </c>
      <c r="I4241" t="s">
        <v>35435</v>
      </c>
      <c r="J4241" t="s">
        <v>8475</v>
      </c>
      <c r="L4241" t="s">
        <v>27250</v>
      </c>
      <c r="M4241" t="s">
        <v>27251</v>
      </c>
      <c r="N4241" t="s">
        <v>27252</v>
      </c>
      <c r="Q4241" s="1">
        <v>44846</v>
      </c>
      <c r="R4241" t="s">
        <v>27253</v>
      </c>
      <c r="S4241" t="s">
        <v>27254</v>
      </c>
      <c r="T4241" t="s">
        <v>27255</v>
      </c>
    </row>
    <row r="4242" spans="1:20" x14ac:dyDescent="0.3">
      <c r="A4242" t="str">
        <f>"0611884197100"</f>
        <v>0611884197100</v>
      </c>
      <c r="B4242" t="str">
        <f>"LF8534"</f>
        <v>LF8534</v>
      </c>
      <c r="C4242" t="s">
        <v>35436</v>
      </c>
      <c r="D4242" t="s">
        <v>27245</v>
      </c>
      <c r="E4242" t="str">
        <f t="shared" si="66"/>
        <v>001390</v>
      </c>
      <c r="F4242" t="s">
        <v>27246</v>
      </c>
      <c r="G4242" t="s">
        <v>27247</v>
      </c>
      <c r="H4242" t="s">
        <v>27248</v>
      </c>
      <c r="I4242" t="s">
        <v>35437</v>
      </c>
      <c r="J4242" t="s">
        <v>8477</v>
      </c>
      <c r="L4242" t="s">
        <v>27430</v>
      </c>
      <c r="M4242" t="s">
        <v>27251</v>
      </c>
      <c r="N4242" t="s">
        <v>27252</v>
      </c>
      <c r="Q4242" s="1">
        <v>45250</v>
      </c>
      <c r="R4242" t="s">
        <v>27253</v>
      </c>
      <c r="S4242" t="s">
        <v>27254</v>
      </c>
      <c r="T4242" t="s">
        <v>27255</v>
      </c>
    </row>
    <row r="4243" spans="1:20" x14ac:dyDescent="0.3">
      <c r="A4243" t="str">
        <f>"0611861950100"</f>
        <v>0611861950100</v>
      </c>
      <c r="B4243" t="str">
        <f>"CN2097"</f>
        <v>CN2097</v>
      </c>
      <c r="C4243" t="s">
        <v>35438</v>
      </c>
      <c r="D4243" t="s">
        <v>27335</v>
      </c>
      <c r="E4243" t="str">
        <f t="shared" si="66"/>
        <v>001390</v>
      </c>
      <c r="F4243" t="s">
        <v>27246</v>
      </c>
      <c r="G4243" t="s">
        <v>27247</v>
      </c>
      <c r="H4243" t="s">
        <v>27248</v>
      </c>
      <c r="I4243" t="s">
        <v>35439</v>
      </c>
      <c r="J4243" t="s">
        <v>8479</v>
      </c>
      <c r="L4243" t="s">
        <v>27250</v>
      </c>
      <c r="M4243" t="s">
        <v>27251</v>
      </c>
      <c r="N4243" t="s">
        <v>27252</v>
      </c>
      <c r="Q4243" s="1">
        <v>44846</v>
      </c>
      <c r="R4243" t="s">
        <v>27253</v>
      </c>
      <c r="S4243" t="s">
        <v>27254</v>
      </c>
      <c r="T4243" t="s">
        <v>27255</v>
      </c>
    </row>
    <row r="4244" spans="1:20" x14ac:dyDescent="0.3">
      <c r="A4244" t="str">
        <f>"0611834113025"</f>
        <v>0611834113025</v>
      </c>
      <c r="B4244" t="str">
        <f>"MC4348"</f>
        <v>MC4348</v>
      </c>
      <c r="C4244" t="s">
        <v>35440</v>
      </c>
      <c r="D4244" t="s">
        <v>27267</v>
      </c>
      <c r="E4244" t="str">
        <f t="shared" si="66"/>
        <v>001390</v>
      </c>
      <c r="F4244" t="s">
        <v>27246</v>
      </c>
      <c r="G4244" t="s">
        <v>27247</v>
      </c>
      <c r="H4244" t="s">
        <v>27248</v>
      </c>
      <c r="I4244" t="s">
        <v>35441</v>
      </c>
      <c r="J4244" t="s">
        <v>8481</v>
      </c>
      <c r="L4244" t="s">
        <v>27250</v>
      </c>
      <c r="M4244" t="s">
        <v>27251</v>
      </c>
      <c r="N4244" t="s">
        <v>27252</v>
      </c>
      <c r="Q4244" s="1">
        <v>44538</v>
      </c>
      <c r="R4244" t="s">
        <v>27253</v>
      </c>
      <c r="S4244" t="s">
        <v>27254</v>
      </c>
      <c r="T4244" t="s">
        <v>27269</v>
      </c>
    </row>
    <row r="4245" spans="1:20" x14ac:dyDescent="0.3">
      <c r="A4245" t="str">
        <f>"0611834114025"</f>
        <v>0611834114025</v>
      </c>
      <c r="B4245" t="str">
        <f>"MC4349"</f>
        <v>MC4349</v>
      </c>
      <c r="C4245" t="s">
        <v>35442</v>
      </c>
      <c r="D4245" t="s">
        <v>27267</v>
      </c>
      <c r="E4245" t="str">
        <f t="shared" si="66"/>
        <v>001390</v>
      </c>
      <c r="F4245" t="s">
        <v>27246</v>
      </c>
      <c r="G4245" t="s">
        <v>27247</v>
      </c>
      <c r="H4245" t="s">
        <v>27248</v>
      </c>
      <c r="I4245" t="s">
        <v>35443</v>
      </c>
      <c r="J4245" t="s">
        <v>8483</v>
      </c>
      <c r="L4245" t="s">
        <v>27250</v>
      </c>
      <c r="M4245" t="s">
        <v>27251</v>
      </c>
      <c r="N4245" t="s">
        <v>27252</v>
      </c>
      <c r="Q4245" s="1">
        <v>44538</v>
      </c>
      <c r="R4245" t="s">
        <v>27253</v>
      </c>
      <c r="S4245" t="s">
        <v>27254</v>
      </c>
      <c r="T4245" t="s">
        <v>27269</v>
      </c>
    </row>
    <row r="4246" spans="1:20" x14ac:dyDescent="0.3">
      <c r="A4246" t="str">
        <f>"0611856933025"</f>
        <v>0611856933025</v>
      </c>
      <c r="B4246" t="str">
        <f>"MC4422"</f>
        <v>MC4422</v>
      </c>
      <c r="C4246" t="s">
        <v>35444</v>
      </c>
      <c r="D4246" t="s">
        <v>27267</v>
      </c>
      <c r="E4246" t="str">
        <f t="shared" si="66"/>
        <v>001390</v>
      </c>
      <c r="F4246" t="s">
        <v>27246</v>
      </c>
      <c r="G4246" t="s">
        <v>27247</v>
      </c>
      <c r="H4246" t="s">
        <v>27248</v>
      </c>
      <c r="I4246" t="s">
        <v>35445</v>
      </c>
      <c r="J4246" t="s">
        <v>8485</v>
      </c>
      <c r="L4246" t="s">
        <v>27250</v>
      </c>
      <c r="M4246" t="s">
        <v>27251</v>
      </c>
      <c r="N4246" t="s">
        <v>27252</v>
      </c>
      <c r="Q4246" s="1">
        <v>44812</v>
      </c>
      <c r="R4246" t="s">
        <v>27253</v>
      </c>
      <c r="S4246" t="s">
        <v>27254</v>
      </c>
      <c r="T4246" t="s">
        <v>27269</v>
      </c>
    </row>
    <row r="4247" spans="1:20" x14ac:dyDescent="0.3">
      <c r="A4247" t="str">
        <f>"0611834115025"</f>
        <v>0611834115025</v>
      </c>
      <c r="B4247" t="str">
        <f>"MC3020"</f>
        <v>MC3020</v>
      </c>
      <c r="C4247" t="s">
        <v>35446</v>
      </c>
      <c r="D4247" t="s">
        <v>27267</v>
      </c>
      <c r="E4247" t="str">
        <f t="shared" si="66"/>
        <v>001390</v>
      </c>
      <c r="F4247" t="s">
        <v>27246</v>
      </c>
      <c r="G4247" t="s">
        <v>27247</v>
      </c>
      <c r="H4247" t="s">
        <v>27248</v>
      </c>
      <c r="I4247" t="s">
        <v>35447</v>
      </c>
      <c r="J4247" t="s">
        <v>8487</v>
      </c>
      <c r="L4247" t="s">
        <v>27250</v>
      </c>
      <c r="M4247" t="s">
        <v>27251</v>
      </c>
      <c r="N4247" t="s">
        <v>27252</v>
      </c>
      <c r="Q4247" s="1">
        <v>44538</v>
      </c>
      <c r="R4247" t="s">
        <v>27253</v>
      </c>
      <c r="S4247" t="s">
        <v>27254</v>
      </c>
      <c r="T4247" t="s">
        <v>27269</v>
      </c>
    </row>
    <row r="4248" spans="1:20" x14ac:dyDescent="0.3">
      <c r="A4248" t="str">
        <f>"0611834117025"</f>
        <v>0611834117025</v>
      </c>
      <c r="B4248" t="str">
        <f>"MC0276"</f>
        <v>MC0276</v>
      </c>
      <c r="C4248" t="s">
        <v>35448</v>
      </c>
      <c r="D4248" t="s">
        <v>27267</v>
      </c>
      <c r="E4248" t="str">
        <f t="shared" si="66"/>
        <v>001390</v>
      </c>
      <c r="F4248" t="s">
        <v>27246</v>
      </c>
      <c r="G4248" t="s">
        <v>27247</v>
      </c>
      <c r="H4248" t="s">
        <v>27248</v>
      </c>
      <c r="I4248" t="s">
        <v>35449</v>
      </c>
      <c r="J4248" t="s">
        <v>8489</v>
      </c>
      <c r="L4248" t="s">
        <v>27250</v>
      </c>
      <c r="M4248" t="s">
        <v>27251</v>
      </c>
      <c r="N4248" t="s">
        <v>27252</v>
      </c>
      <c r="Q4248" s="1">
        <v>44538</v>
      </c>
      <c r="R4248" t="s">
        <v>27253</v>
      </c>
      <c r="S4248" t="s">
        <v>27254</v>
      </c>
      <c r="T4248" t="s">
        <v>27269</v>
      </c>
    </row>
    <row r="4249" spans="1:20" x14ac:dyDescent="0.3">
      <c r="A4249" t="str">
        <f>"0611834119025"</f>
        <v>0611834119025</v>
      </c>
      <c r="B4249" t="str">
        <f>"MC3720"</f>
        <v>MC3720</v>
      </c>
      <c r="C4249" t="s">
        <v>35450</v>
      </c>
      <c r="D4249" t="s">
        <v>27267</v>
      </c>
      <c r="E4249" t="str">
        <f t="shared" si="66"/>
        <v>001390</v>
      </c>
      <c r="F4249" t="s">
        <v>27246</v>
      </c>
      <c r="G4249" t="s">
        <v>27247</v>
      </c>
      <c r="H4249" t="s">
        <v>27248</v>
      </c>
      <c r="I4249" t="s">
        <v>35451</v>
      </c>
      <c r="J4249" t="s">
        <v>8491</v>
      </c>
      <c r="L4249" t="s">
        <v>27250</v>
      </c>
      <c r="M4249" t="s">
        <v>27251</v>
      </c>
      <c r="N4249" t="s">
        <v>27252</v>
      </c>
      <c r="Q4249" s="1">
        <v>44538</v>
      </c>
      <c r="R4249" t="s">
        <v>27253</v>
      </c>
      <c r="S4249" t="s">
        <v>27254</v>
      </c>
      <c r="T4249" t="s">
        <v>27269</v>
      </c>
    </row>
    <row r="4250" spans="1:20" x14ac:dyDescent="0.3">
      <c r="A4250" t="str">
        <f>"0611856934025"</f>
        <v>0611856934025</v>
      </c>
      <c r="B4250" t="str">
        <f>"MC4448"</f>
        <v>MC4448</v>
      </c>
      <c r="C4250" t="s">
        <v>35452</v>
      </c>
      <c r="D4250" t="s">
        <v>27267</v>
      </c>
      <c r="E4250" t="str">
        <f t="shared" si="66"/>
        <v>001390</v>
      </c>
      <c r="F4250" t="s">
        <v>27246</v>
      </c>
      <c r="G4250" t="s">
        <v>27247</v>
      </c>
      <c r="H4250" t="s">
        <v>27248</v>
      </c>
      <c r="I4250" t="s">
        <v>35453</v>
      </c>
      <c r="J4250" t="s">
        <v>8493</v>
      </c>
      <c r="L4250" t="s">
        <v>27250</v>
      </c>
      <c r="M4250" t="s">
        <v>27251</v>
      </c>
      <c r="N4250" t="s">
        <v>27252</v>
      </c>
      <c r="Q4250" s="1">
        <v>44812</v>
      </c>
      <c r="R4250" t="s">
        <v>27253</v>
      </c>
      <c r="S4250" t="s">
        <v>27254</v>
      </c>
      <c r="T4250" t="s">
        <v>27269</v>
      </c>
    </row>
    <row r="4251" spans="1:20" x14ac:dyDescent="0.3">
      <c r="A4251" t="str">
        <f>"0611834120025"</f>
        <v>0611834120025</v>
      </c>
      <c r="B4251" t="str">
        <f>"MQ3135"</f>
        <v>MQ3135</v>
      </c>
      <c r="C4251" t="s">
        <v>35454</v>
      </c>
      <c r="D4251" t="s">
        <v>27267</v>
      </c>
      <c r="E4251" t="str">
        <f t="shared" si="66"/>
        <v>001390</v>
      </c>
      <c r="F4251" t="s">
        <v>27246</v>
      </c>
      <c r="G4251" t="s">
        <v>27247</v>
      </c>
      <c r="H4251" t="s">
        <v>27248</v>
      </c>
      <c r="I4251" t="s">
        <v>35455</v>
      </c>
      <c r="J4251" t="s">
        <v>8495</v>
      </c>
      <c r="L4251" t="s">
        <v>27250</v>
      </c>
      <c r="M4251" t="s">
        <v>27251</v>
      </c>
      <c r="N4251" t="s">
        <v>27252</v>
      </c>
      <c r="Q4251" s="1">
        <v>44538</v>
      </c>
      <c r="R4251" t="s">
        <v>27253</v>
      </c>
      <c r="S4251" t="s">
        <v>27254</v>
      </c>
      <c r="T4251" t="s">
        <v>27269</v>
      </c>
    </row>
    <row r="4252" spans="1:20" x14ac:dyDescent="0.3">
      <c r="A4252" t="str">
        <f>"0611834121025"</f>
        <v>0611834121025</v>
      </c>
      <c r="B4252" t="str">
        <f>"MQ3136"</f>
        <v>MQ3136</v>
      </c>
      <c r="C4252" t="s">
        <v>35456</v>
      </c>
      <c r="D4252" t="s">
        <v>27267</v>
      </c>
      <c r="E4252" t="str">
        <f t="shared" si="66"/>
        <v>001390</v>
      </c>
      <c r="F4252" t="s">
        <v>27246</v>
      </c>
      <c r="G4252" t="s">
        <v>27247</v>
      </c>
      <c r="H4252" t="s">
        <v>27248</v>
      </c>
      <c r="I4252" t="s">
        <v>35457</v>
      </c>
      <c r="J4252" t="s">
        <v>8497</v>
      </c>
      <c r="L4252" t="s">
        <v>27250</v>
      </c>
      <c r="M4252" t="s">
        <v>27251</v>
      </c>
      <c r="N4252" t="s">
        <v>27252</v>
      </c>
      <c r="Q4252" s="1">
        <v>44538</v>
      </c>
      <c r="R4252" t="s">
        <v>27253</v>
      </c>
      <c r="S4252" t="s">
        <v>27254</v>
      </c>
      <c r="T4252" t="s">
        <v>27269</v>
      </c>
    </row>
    <row r="4253" spans="1:20" x14ac:dyDescent="0.3">
      <c r="A4253" t="str">
        <f>"0611834122025"</f>
        <v>0611834122025</v>
      </c>
      <c r="B4253" t="str">
        <f>"MQ3137"</f>
        <v>MQ3137</v>
      </c>
      <c r="C4253" t="s">
        <v>35458</v>
      </c>
      <c r="D4253" t="s">
        <v>27267</v>
      </c>
      <c r="E4253" t="str">
        <f t="shared" si="66"/>
        <v>001390</v>
      </c>
      <c r="F4253" t="s">
        <v>27246</v>
      </c>
      <c r="G4253" t="s">
        <v>27247</v>
      </c>
      <c r="H4253" t="s">
        <v>27248</v>
      </c>
      <c r="I4253" t="s">
        <v>35459</v>
      </c>
      <c r="J4253" t="s">
        <v>8507</v>
      </c>
      <c r="L4253" t="s">
        <v>27250</v>
      </c>
      <c r="M4253" t="s">
        <v>27251</v>
      </c>
      <c r="N4253" t="s">
        <v>27252</v>
      </c>
      <c r="Q4253" s="1">
        <v>44538</v>
      </c>
      <c r="R4253" t="s">
        <v>27253</v>
      </c>
      <c r="S4253" t="s">
        <v>27254</v>
      </c>
      <c r="T4253" t="s">
        <v>27269</v>
      </c>
    </row>
    <row r="4254" spans="1:20" x14ac:dyDescent="0.3">
      <c r="A4254" t="str">
        <f>"0611834123025"</f>
        <v>0611834123025</v>
      </c>
      <c r="B4254" t="str">
        <f>"MQ3138"</f>
        <v>MQ3138</v>
      </c>
      <c r="C4254" t="s">
        <v>35460</v>
      </c>
      <c r="D4254" t="s">
        <v>27267</v>
      </c>
      <c r="E4254" t="str">
        <f t="shared" si="66"/>
        <v>001390</v>
      </c>
      <c r="F4254" t="s">
        <v>27246</v>
      </c>
      <c r="G4254" t="s">
        <v>27247</v>
      </c>
      <c r="H4254" t="s">
        <v>27248</v>
      </c>
      <c r="I4254" t="s">
        <v>35461</v>
      </c>
      <c r="J4254" t="s">
        <v>8509</v>
      </c>
      <c r="L4254" t="s">
        <v>27250</v>
      </c>
      <c r="M4254" t="s">
        <v>27251</v>
      </c>
      <c r="N4254" t="s">
        <v>27252</v>
      </c>
      <c r="Q4254" s="1">
        <v>44538</v>
      </c>
      <c r="R4254" t="s">
        <v>27253</v>
      </c>
      <c r="S4254" t="s">
        <v>27254</v>
      </c>
      <c r="T4254" t="s">
        <v>27269</v>
      </c>
    </row>
    <row r="4255" spans="1:20" x14ac:dyDescent="0.3">
      <c r="A4255" t="str">
        <f>"0611834124025"</f>
        <v>0611834124025</v>
      </c>
      <c r="B4255" t="str">
        <f>"MQ3139"</f>
        <v>MQ3139</v>
      </c>
      <c r="C4255" t="s">
        <v>35462</v>
      </c>
      <c r="D4255" t="s">
        <v>27267</v>
      </c>
      <c r="E4255" t="str">
        <f t="shared" si="66"/>
        <v>001390</v>
      </c>
      <c r="F4255" t="s">
        <v>27246</v>
      </c>
      <c r="G4255" t="s">
        <v>27247</v>
      </c>
      <c r="H4255" t="s">
        <v>27248</v>
      </c>
      <c r="I4255" t="s">
        <v>35463</v>
      </c>
      <c r="J4255" t="s">
        <v>8511</v>
      </c>
      <c r="L4255" t="s">
        <v>27250</v>
      </c>
      <c r="M4255" t="s">
        <v>27251</v>
      </c>
      <c r="N4255" t="s">
        <v>27252</v>
      </c>
      <c r="Q4255" s="1">
        <v>44538</v>
      </c>
      <c r="R4255" t="s">
        <v>27253</v>
      </c>
      <c r="S4255" t="s">
        <v>27254</v>
      </c>
      <c r="T4255" t="s">
        <v>27269</v>
      </c>
    </row>
    <row r="4256" spans="1:20" x14ac:dyDescent="0.3">
      <c r="A4256" t="str">
        <f>"0611884198025"</f>
        <v>0611884198025</v>
      </c>
      <c r="B4256" t="str">
        <f>"MQ0827"</f>
        <v>MQ0827</v>
      </c>
      <c r="C4256" t="s">
        <v>35464</v>
      </c>
      <c r="D4256" t="s">
        <v>27267</v>
      </c>
      <c r="E4256" t="str">
        <f t="shared" si="66"/>
        <v>001390</v>
      </c>
      <c r="F4256" t="s">
        <v>27246</v>
      </c>
      <c r="G4256" t="s">
        <v>27247</v>
      </c>
      <c r="H4256" t="s">
        <v>27248</v>
      </c>
      <c r="I4256" t="s">
        <v>35465</v>
      </c>
      <c r="J4256" t="s">
        <v>8499</v>
      </c>
      <c r="L4256" t="s">
        <v>27430</v>
      </c>
      <c r="M4256" t="s">
        <v>27251</v>
      </c>
      <c r="N4256" t="s">
        <v>27252</v>
      </c>
      <c r="Q4256" s="1">
        <v>45250</v>
      </c>
      <c r="R4256" t="s">
        <v>27253</v>
      </c>
      <c r="S4256" t="s">
        <v>27254</v>
      </c>
      <c r="T4256" t="s">
        <v>27269</v>
      </c>
    </row>
    <row r="4257" spans="1:20" x14ac:dyDescent="0.3">
      <c r="A4257" t="str">
        <f>"0611884199025"</f>
        <v>0611884199025</v>
      </c>
      <c r="B4257" t="str">
        <f>"MQ0828"</f>
        <v>MQ0828</v>
      </c>
      <c r="C4257" t="s">
        <v>35466</v>
      </c>
      <c r="D4257" t="s">
        <v>27267</v>
      </c>
      <c r="E4257" t="str">
        <f t="shared" si="66"/>
        <v>001390</v>
      </c>
      <c r="F4257" t="s">
        <v>27246</v>
      </c>
      <c r="G4257" t="s">
        <v>27247</v>
      </c>
      <c r="H4257" t="s">
        <v>27248</v>
      </c>
      <c r="I4257" t="s">
        <v>35467</v>
      </c>
      <c r="J4257" t="s">
        <v>8501</v>
      </c>
      <c r="L4257" t="s">
        <v>27430</v>
      </c>
      <c r="M4257" t="s">
        <v>27251</v>
      </c>
      <c r="N4257" t="s">
        <v>27252</v>
      </c>
      <c r="Q4257" s="1">
        <v>45250</v>
      </c>
      <c r="R4257" t="s">
        <v>27253</v>
      </c>
      <c r="S4257" t="s">
        <v>27254</v>
      </c>
      <c r="T4257" t="s">
        <v>27269</v>
      </c>
    </row>
    <row r="4258" spans="1:20" x14ac:dyDescent="0.3">
      <c r="A4258" t="str">
        <f>"0611834125025"</f>
        <v>0611834125025</v>
      </c>
      <c r="B4258" t="str">
        <f>"MQ3140"</f>
        <v>MQ3140</v>
      </c>
      <c r="C4258" t="s">
        <v>35468</v>
      </c>
      <c r="D4258" t="s">
        <v>27267</v>
      </c>
      <c r="E4258" t="str">
        <f t="shared" si="66"/>
        <v>001390</v>
      </c>
      <c r="F4258" t="s">
        <v>27246</v>
      </c>
      <c r="G4258" t="s">
        <v>27247</v>
      </c>
      <c r="H4258" t="s">
        <v>27248</v>
      </c>
      <c r="I4258" t="s">
        <v>35469</v>
      </c>
      <c r="J4258" t="s">
        <v>8513</v>
      </c>
      <c r="L4258" t="s">
        <v>27250</v>
      </c>
      <c r="M4258" t="s">
        <v>27251</v>
      </c>
      <c r="N4258" t="s">
        <v>27252</v>
      </c>
      <c r="Q4258" s="1">
        <v>44538</v>
      </c>
      <c r="R4258" t="s">
        <v>27253</v>
      </c>
      <c r="S4258" t="s">
        <v>27254</v>
      </c>
      <c r="T4258" t="s">
        <v>27269</v>
      </c>
    </row>
    <row r="4259" spans="1:20" x14ac:dyDescent="0.3">
      <c r="A4259" t="str">
        <f>"0611884200025"</f>
        <v>0611884200025</v>
      </c>
      <c r="B4259" t="str">
        <f>"MQ0829"</f>
        <v>MQ0829</v>
      </c>
      <c r="C4259" t="s">
        <v>35470</v>
      </c>
      <c r="D4259" t="s">
        <v>27267</v>
      </c>
      <c r="E4259" t="str">
        <f t="shared" si="66"/>
        <v>001390</v>
      </c>
      <c r="F4259" t="s">
        <v>27246</v>
      </c>
      <c r="G4259" t="s">
        <v>27247</v>
      </c>
      <c r="H4259" t="s">
        <v>27248</v>
      </c>
      <c r="I4259" t="s">
        <v>35471</v>
      </c>
      <c r="J4259" t="s">
        <v>8503</v>
      </c>
      <c r="L4259" t="s">
        <v>27430</v>
      </c>
      <c r="M4259" t="s">
        <v>27251</v>
      </c>
      <c r="N4259" t="s">
        <v>27252</v>
      </c>
      <c r="Q4259" s="1">
        <v>45250</v>
      </c>
      <c r="R4259" t="s">
        <v>27253</v>
      </c>
      <c r="S4259" t="s">
        <v>27254</v>
      </c>
      <c r="T4259" t="s">
        <v>27269</v>
      </c>
    </row>
    <row r="4260" spans="1:20" x14ac:dyDescent="0.3">
      <c r="A4260" t="str">
        <f>"0611884201025"</f>
        <v>0611884201025</v>
      </c>
      <c r="B4260" t="str">
        <f>"MQ0830"</f>
        <v>MQ0830</v>
      </c>
      <c r="C4260" t="s">
        <v>35472</v>
      </c>
      <c r="D4260" t="s">
        <v>27267</v>
      </c>
      <c r="E4260" t="str">
        <f t="shared" si="66"/>
        <v>001390</v>
      </c>
      <c r="F4260" t="s">
        <v>27246</v>
      </c>
      <c r="G4260" t="s">
        <v>27247</v>
      </c>
      <c r="H4260" t="s">
        <v>27248</v>
      </c>
      <c r="I4260" t="s">
        <v>35473</v>
      </c>
      <c r="J4260" t="s">
        <v>8505</v>
      </c>
      <c r="L4260" t="s">
        <v>27430</v>
      </c>
      <c r="M4260" t="s">
        <v>27251</v>
      </c>
      <c r="N4260" t="s">
        <v>27252</v>
      </c>
      <c r="Q4260" s="1">
        <v>45250</v>
      </c>
      <c r="R4260" t="s">
        <v>27253</v>
      </c>
      <c r="S4260" t="s">
        <v>27254</v>
      </c>
      <c r="T4260" t="s">
        <v>27269</v>
      </c>
    </row>
    <row r="4261" spans="1:20" x14ac:dyDescent="0.3">
      <c r="A4261" t="str">
        <f>"0611834126025"</f>
        <v>0611834126025</v>
      </c>
      <c r="B4261" t="str">
        <f>"MC4287"</f>
        <v>MC4287</v>
      </c>
      <c r="C4261" t="s">
        <v>35474</v>
      </c>
      <c r="D4261" t="s">
        <v>27267</v>
      </c>
      <c r="E4261" t="str">
        <f t="shared" si="66"/>
        <v>001390</v>
      </c>
      <c r="F4261" t="s">
        <v>27246</v>
      </c>
      <c r="G4261" t="s">
        <v>27247</v>
      </c>
      <c r="H4261" t="s">
        <v>27248</v>
      </c>
      <c r="I4261" t="s">
        <v>35475</v>
      </c>
      <c r="J4261" t="s">
        <v>8515</v>
      </c>
      <c r="L4261" t="s">
        <v>27250</v>
      </c>
      <c r="M4261" t="s">
        <v>27251</v>
      </c>
      <c r="N4261" t="s">
        <v>27252</v>
      </c>
      <c r="Q4261" s="1">
        <v>44538</v>
      </c>
      <c r="R4261" t="s">
        <v>27253</v>
      </c>
      <c r="S4261" t="s">
        <v>27254</v>
      </c>
      <c r="T4261" t="s">
        <v>27269</v>
      </c>
    </row>
    <row r="4262" spans="1:20" x14ac:dyDescent="0.3">
      <c r="A4262" t="str">
        <f>"0611884202025"</f>
        <v>0611884202025</v>
      </c>
      <c r="B4262" t="str">
        <f>"MQ0831"</f>
        <v>MQ0831</v>
      </c>
      <c r="C4262" t="s">
        <v>35476</v>
      </c>
      <c r="D4262" t="s">
        <v>27267</v>
      </c>
      <c r="E4262" t="str">
        <f t="shared" si="66"/>
        <v>001390</v>
      </c>
      <c r="F4262" t="s">
        <v>27246</v>
      </c>
      <c r="G4262" t="s">
        <v>27247</v>
      </c>
      <c r="H4262" t="s">
        <v>27248</v>
      </c>
      <c r="I4262" t="s">
        <v>35477</v>
      </c>
      <c r="J4262" t="s">
        <v>8517</v>
      </c>
      <c r="L4262" t="s">
        <v>27430</v>
      </c>
      <c r="M4262" t="s">
        <v>27251</v>
      </c>
      <c r="N4262" t="s">
        <v>27252</v>
      </c>
      <c r="Q4262" s="1">
        <v>45250</v>
      </c>
      <c r="R4262" t="s">
        <v>27253</v>
      </c>
      <c r="S4262" t="s">
        <v>27254</v>
      </c>
      <c r="T4262" t="s">
        <v>27269</v>
      </c>
    </row>
    <row r="4263" spans="1:20" x14ac:dyDescent="0.3">
      <c r="A4263" t="str">
        <f>"0611834127025"</f>
        <v>0611834127025</v>
      </c>
      <c r="B4263" t="str">
        <f>"MQ0192"</f>
        <v>MQ0192</v>
      </c>
      <c r="C4263" t="s">
        <v>35478</v>
      </c>
      <c r="D4263" t="s">
        <v>27267</v>
      </c>
      <c r="E4263" t="str">
        <f t="shared" si="66"/>
        <v>001390</v>
      </c>
      <c r="F4263" t="s">
        <v>27246</v>
      </c>
      <c r="G4263" t="s">
        <v>27247</v>
      </c>
      <c r="H4263" t="s">
        <v>27248</v>
      </c>
      <c r="I4263" t="s">
        <v>35479</v>
      </c>
      <c r="J4263" t="s">
        <v>8519</v>
      </c>
      <c r="L4263" t="s">
        <v>27250</v>
      </c>
      <c r="M4263" t="s">
        <v>27251</v>
      </c>
      <c r="N4263" t="s">
        <v>27252</v>
      </c>
      <c r="Q4263" s="1">
        <v>44538</v>
      </c>
      <c r="R4263" t="s">
        <v>27253</v>
      </c>
      <c r="S4263" t="s">
        <v>27254</v>
      </c>
      <c r="T4263" t="s">
        <v>27269</v>
      </c>
    </row>
    <row r="4264" spans="1:20" x14ac:dyDescent="0.3">
      <c r="A4264" t="str">
        <f>"0611834128025"</f>
        <v>0611834128025</v>
      </c>
      <c r="B4264" t="str">
        <f>"MQ0193"</f>
        <v>MQ0193</v>
      </c>
      <c r="C4264" t="s">
        <v>35480</v>
      </c>
      <c r="D4264" t="s">
        <v>27267</v>
      </c>
      <c r="E4264" t="str">
        <f t="shared" si="66"/>
        <v>001390</v>
      </c>
      <c r="F4264" t="s">
        <v>27246</v>
      </c>
      <c r="G4264" t="s">
        <v>27247</v>
      </c>
      <c r="H4264" t="s">
        <v>27248</v>
      </c>
      <c r="I4264" t="s">
        <v>35481</v>
      </c>
      <c r="J4264" t="s">
        <v>8521</v>
      </c>
      <c r="L4264" t="s">
        <v>27250</v>
      </c>
      <c r="M4264" t="s">
        <v>27251</v>
      </c>
      <c r="N4264" t="s">
        <v>27252</v>
      </c>
      <c r="Q4264" s="1">
        <v>44538</v>
      </c>
      <c r="R4264" t="s">
        <v>27253</v>
      </c>
      <c r="S4264" t="s">
        <v>27254</v>
      </c>
      <c r="T4264" t="s">
        <v>27269</v>
      </c>
    </row>
    <row r="4265" spans="1:20" x14ac:dyDescent="0.3">
      <c r="A4265" t="str">
        <f>"0611834129025"</f>
        <v>0611834129025</v>
      </c>
      <c r="B4265" t="str">
        <f>"MQ0569"</f>
        <v>MQ0569</v>
      </c>
      <c r="C4265" t="s">
        <v>35482</v>
      </c>
      <c r="D4265" t="s">
        <v>27267</v>
      </c>
      <c r="E4265" t="str">
        <f t="shared" si="66"/>
        <v>001390</v>
      </c>
      <c r="F4265" t="s">
        <v>27246</v>
      </c>
      <c r="G4265" t="s">
        <v>27247</v>
      </c>
      <c r="H4265" t="s">
        <v>27248</v>
      </c>
      <c r="I4265" t="s">
        <v>35483</v>
      </c>
      <c r="J4265" t="s">
        <v>8523</v>
      </c>
      <c r="L4265" t="s">
        <v>27250</v>
      </c>
      <c r="M4265" t="s">
        <v>27251</v>
      </c>
      <c r="N4265" t="s">
        <v>27252</v>
      </c>
      <c r="Q4265" s="1">
        <v>44538</v>
      </c>
      <c r="R4265" t="s">
        <v>27253</v>
      </c>
      <c r="S4265" t="s">
        <v>27254</v>
      </c>
      <c r="T4265" t="s">
        <v>27269</v>
      </c>
    </row>
    <row r="4266" spans="1:20" x14ac:dyDescent="0.3">
      <c r="A4266" t="str">
        <f>"0611834130025"</f>
        <v>0611834130025</v>
      </c>
      <c r="B4266" t="str">
        <f>"MQ0570"</f>
        <v>MQ0570</v>
      </c>
      <c r="C4266" t="s">
        <v>35484</v>
      </c>
      <c r="D4266" t="s">
        <v>27267</v>
      </c>
      <c r="E4266" t="str">
        <f t="shared" si="66"/>
        <v>001390</v>
      </c>
      <c r="F4266" t="s">
        <v>27246</v>
      </c>
      <c r="G4266" t="s">
        <v>27247</v>
      </c>
      <c r="H4266" t="s">
        <v>27248</v>
      </c>
      <c r="I4266" t="s">
        <v>35485</v>
      </c>
      <c r="J4266" t="s">
        <v>8525</v>
      </c>
      <c r="L4266" t="s">
        <v>27250</v>
      </c>
      <c r="M4266" t="s">
        <v>27251</v>
      </c>
      <c r="N4266" t="s">
        <v>27252</v>
      </c>
      <c r="Q4266" s="1">
        <v>44538</v>
      </c>
      <c r="R4266" t="s">
        <v>27253</v>
      </c>
      <c r="S4266" t="s">
        <v>27254</v>
      </c>
      <c r="T4266" t="s">
        <v>27269</v>
      </c>
    </row>
    <row r="4267" spans="1:20" x14ac:dyDescent="0.3">
      <c r="A4267" t="str">
        <f>"0611834131025"</f>
        <v>0611834131025</v>
      </c>
      <c r="B4267" t="str">
        <f>"MQ0571"</f>
        <v>MQ0571</v>
      </c>
      <c r="C4267" t="s">
        <v>35486</v>
      </c>
      <c r="D4267" t="s">
        <v>27267</v>
      </c>
      <c r="E4267" t="str">
        <f t="shared" si="66"/>
        <v>001390</v>
      </c>
      <c r="F4267" t="s">
        <v>27246</v>
      </c>
      <c r="G4267" t="s">
        <v>27247</v>
      </c>
      <c r="H4267" t="s">
        <v>27248</v>
      </c>
      <c r="I4267" t="s">
        <v>35487</v>
      </c>
      <c r="J4267" t="s">
        <v>8527</v>
      </c>
      <c r="L4267" t="s">
        <v>27250</v>
      </c>
      <c r="M4267" t="s">
        <v>27251</v>
      </c>
      <c r="N4267" t="s">
        <v>27252</v>
      </c>
      <c r="Q4267" s="1">
        <v>44538</v>
      </c>
      <c r="R4267" t="s">
        <v>27253</v>
      </c>
      <c r="S4267" t="s">
        <v>27254</v>
      </c>
      <c r="T4267" t="s">
        <v>27269</v>
      </c>
    </row>
    <row r="4268" spans="1:20" x14ac:dyDescent="0.3">
      <c r="A4268" t="str">
        <f>"0611834132100"</f>
        <v>0611834132100</v>
      </c>
      <c r="B4268" t="str">
        <f>"LH3631"</f>
        <v>LH3631</v>
      </c>
      <c r="C4268" t="s">
        <v>35488</v>
      </c>
      <c r="D4268" t="s">
        <v>27245</v>
      </c>
      <c r="E4268" t="str">
        <f t="shared" si="66"/>
        <v>001390</v>
      </c>
      <c r="F4268" t="s">
        <v>27246</v>
      </c>
      <c r="G4268" t="s">
        <v>27247</v>
      </c>
      <c r="H4268" t="s">
        <v>27248</v>
      </c>
      <c r="I4268" t="s">
        <v>35489</v>
      </c>
      <c r="J4268" t="s">
        <v>8529</v>
      </c>
      <c r="L4268" t="s">
        <v>27250</v>
      </c>
      <c r="M4268" t="s">
        <v>27251</v>
      </c>
      <c r="N4268" t="s">
        <v>27252</v>
      </c>
      <c r="Q4268" s="1">
        <v>44538</v>
      </c>
      <c r="R4268" t="s">
        <v>27253</v>
      </c>
      <c r="S4268" t="s">
        <v>27254</v>
      </c>
      <c r="T4268" t="s">
        <v>27255</v>
      </c>
    </row>
    <row r="4269" spans="1:20" x14ac:dyDescent="0.3">
      <c r="A4269" t="str">
        <f>"0611834133025"</f>
        <v>0611834133025</v>
      </c>
      <c r="B4269" t="str">
        <f>"MC0280"</f>
        <v>MC0280</v>
      </c>
      <c r="C4269" t="s">
        <v>35488</v>
      </c>
      <c r="D4269" t="s">
        <v>27267</v>
      </c>
      <c r="E4269" t="str">
        <f t="shared" si="66"/>
        <v>001390</v>
      </c>
      <c r="F4269" t="s">
        <v>27246</v>
      </c>
      <c r="G4269" t="s">
        <v>27247</v>
      </c>
      <c r="H4269" t="s">
        <v>27248</v>
      </c>
      <c r="I4269" t="s">
        <v>35490</v>
      </c>
      <c r="J4269" t="s">
        <v>8531</v>
      </c>
      <c r="L4269" t="s">
        <v>27250</v>
      </c>
      <c r="M4269" t="s">
        <v>27251</v>
      </c>
      <c r="N4269" t="s">
        <v>27252</v>
      </c>
      <c r="Q4269" s="1">
        <v>44538</v>
      </c>
      <c r="R4269" t="s">
        <v>27253</v>
      </c>
      <c r="S4269" t="s">
        <v>27254</v>
      </c>
      <c r="T4269" t="s">
        <v>27269</v>
      </c>
    </row>
    <row r="4270" spans="1:20" x14ac:dyDescent="0.3">
      <c r="A4270" t="str">
        <f>"0611834134025"</f>
        <v>0611834134025</v>
      </c>
      <c r="B4270" t="str">
        <f>"MC3476"</f>
        <v>MC3476</v>
      </c>
      <c r="C4270" t="s">
        <v>35491</v>
      </c>
      <c r="D4270" t="s">
        <v>27267</v>
      </c>
      <c r="E4270" t="str">
        <f t="shared" si="66"/>
        <v>001390</v>
      </c>
      <c r="F4270" t="s">
        <v>27246</v>
      </c>
      <c r="G4270" t="s">
        <v>27247</v>
      </c>
      <c r="H4270" t="s">
        <v>27248</v>
      </c>
      <c r="I4270" t="s">
        <v>35492</v>
      </c>
      <c r="J4270" t="s">
        <v>8533</v>
      </c>
      <c r="L4270" t="s">
        <v>27250</v>
      </c>
      <c r="M4270" t="s">
        <v>27251</v>
      </c>
      <c r="N4270" t="s">
        <v>27252</v>
      </c>
      <c r="Q4270" s="1">
        <v>44538</v>
      </c>
      <c r="R4270" t="s">
        <v>27253</v>
      </c>
      <c r="S4270" t="s">
        <v>27254</v>
      </c>
      <c r="T4270" t="s">
        <v>27269</v>
      </c>
    </row>
    <row r="4271" spans="1:20" x14ac:dyDescent="0.3">
      <c r="A4271" t="str">
        <f>"0611834135025"</f>
        <v>0611834135025</v>
      </c>
      <c r="B4271" t="str">
        <f>"MC4312"</f>
        <v>MC4312</v>
      </c>
      <c r="C4271" t="s">
        <v>35493</v>
      </c>
      <c r="D4271" t="s">
        <v>27267</v>
      </c>
      <c r="E4271" t="str">
        <f t="shared" si="66"/>
        <v>001390</v>
      </c>
      <c r="F4271" t="s">
        <v>27246</v>
      </c>
      <c r="G4271" t="s">
        <v>27247</v>
      </c>
      <c r="H4271" t="s">
        <v>27248</v>
      </c>
      <c r="I4271" t="s">
        <v>35494</v>
      </c>
      <c r="J4271" t="s">
        <v>8535</v>
      </c>
      <c r="L4271" t="s">
        <v>27250</v>
      </c>
      <c r="M4271" t="s">
        <v>27251</v>
      </c>
      <c r="N4271" t="s">
        <v>27252</v>
      </c>
      <c r="Q4271" s="1">
        <v>44538</v>
      </c>
      <c r="R4271" t="s">
        <v>27253</v>
      </c>
      <c r="S4271" t="s">
        <v>27254</v>
      </c>
      <c r="T4271" t="s">
        <v>27269</v>
      </c>
    </row>
    <row r="4272" spans="1:20" x14ac:dyDescent="0.3">
      <c r="A4272" t="str">
        <f>"0611834136025"</f>
        <v>0611834136025</v>
      </c>
      <c r="B4272" t="str">
        <f>"MQ0706"</f>
        <v>MQ0706</v>
      </c>
      <c r="C4272" t="s">
        <v>35495</v>
      </c>
      <c r="D4272" t="s">
        <v>27267</v>
      </c>
      <c r="E4272" t="str">
        <f t="shared" si="66"/>
        <v>001390</v>
      </c>
      <c r="F4272" t="s">
        <v>27246</v>
      </c>
      <c r="G4272" t="s">
        <v>27247</v>
      </c>
      <c r="H4272" t="s">
        <v>27248</v>
      </c>
      <c r="I4272" t="s">
        <v>35496</v>
      </c>
      <c r="J4272" t="s">
        <v>8537</v>
      </c>
      <c r="L4272" t="s">
        <v>27250</v>
      </c>
      <c r="M4272" t="s">
        <v>27251</v>
      </c>
      <c r="N4272" t="s">
        <v>27252</v>
      </c>
      <c r="Q4272" s="1">
        <v>44538</v>
      </c>
      <c r="R4272" t="s">
        <v>27253</v>
      </c>
      <c r="S4272" t="s">
        <v>27254</v>
      </c>
      <c r="T4272" t="s">
        <v>27269</v>
      </c>
    </row>
    <row r="4273" spans="1:20" x14ac:dyDescent="0.3">
      <c r="A4273" t="str">
        <f>"0611884203025"</f>
        <v>0611884203025</v>
      </c>
      <c r="B4273" t="str">
        <f>"MC4520"</f>
        <v>MC4520</v>
      </c>
      <c r="C4273" t="s">
        <v>35497</v>
      </c>
      <c r="D4273" t="s">
        <v>27267</v>
      </c>
      <c r="E4273" t="str">
        <f t="shared" si="66"/>
        <v>001390</v>
      </c>
      <c r="F4273" t="s">
        <v>27246</v>
      </c>
      <c r="G4273" t="s">
        <v>27247</v>
      </c>
      <c r="H4273" t="s">
        <v>27248</v>
      </c>
      <c r="I4273" t="s">
        <v>35498</v>
      </c>
      <c r="J4273" t="s">
        <v>8539</v>
      </c>
      <c r="L4273" t="s">
        <v>27430</v>
      </c>
      <c r="M4273" t="s">
        <v>27251</v>
      </c>
      <c r="N4273" t="s">
        <v>27252</v>
      </c>
      <c r="Q4273" s="1">
        <v>45250</v>
      </c>
      <c r="R4273" t="s">
        <v>27253</v>
      </c>
      <c r="S4273" t="s">
        <v>27254</v>
      </c>
      <c r="T4273" t="s">
        <v>27269</v>
      </c>
    </row>
    <row r="4274" spans="1:20" x14ac:dyDescent="0.3">
      <c r="A4274" t="str">
        <f>"0611856935025"</f>
        <v>0611856935025</v>
      </c>
      <c r="B4274" t="str">
        <f>"MC4435"</f>
        <v>MC4435</v>
      </c>
      <c r="C4274" t="s">
        <v>35499</v>
      </c>
      <c r="D4274" t="s">
        <v>27267</v>
      </c>
      <c r="E4274" t="str">
        <f t="shared" si="66"/>
        <v>001390</v>
      </c>
      <c r="F4274" t="s">
        <v>27246</v>
      </c>
      <c r="G4274" t="s">
        <v>27247</v>
      </c>
      <c r="H4274" t="s">
        <v>27248</v>
      </c>
      <c r="I4274" t="s">
        <v>35500</v>
      </c>
      <c r="J4274" t="s">
        <v>8541</v>
      </c>
      <c r="L4274" t="s">
        <v>27250</v>
      </c>
      <c r="M4274" t="s">
        <v>27251</v>
      </c>
      <c r="N4274" t="s">
        <v>27252</v>
      </c>
      <c r="Q4274" s="1">
        <v>44812</v>
      </c>
      <c r="R4274" t="s">
        <v>27253</v>
      </c>
      <c r="S4274" t="s">
        <v>27254</v>
      </c>
      <c r="T4274" t="s">
        <v>27269</v>
      </c>
    </row>
    <row r="4275" spans="1:20" x14ac:dyDescent="0.3">
      <c r="A4275" t="str">
        <f>"0611856936025"</f>
        <v>0611856936025</v>
      </c>
      <c r="B4275" t="str">
        <f>"MC4436"</f>
        <v>MC4436</v>
      </c>
      <c r="C4275" t="s">
        <v>35501</v>
      </c>
      <c r="D4275" t="s">
        <v>27267</v>
      </c>
      <c r="E4275" t="str">
        <f t="shared" si="66"/>
        <v>001390</v>
      </c>
      <c r="F4275" t="s">
        <v>27246</v>
      </c>
      <c r="G4275" t="s">
        <v>27247</v>
      </c>
      <c r="H4275" t="s">
        <v>27248</v>
      </c>
      <c r="I4275" t="s">
        <v>35502</v>
      </c>
      <c r="J4275" t="s">
        <v>8543</v>
      </c>
      <c r="L4275" t="s">
        <v>27250</v>
      </c>
      <c r="M4275" t="s">
        <v>27251</v>
      </c>
      <c r="N4275" t="s">
        <v>27252</v>
      </c>
      <c r="Q4275" s="1">
        <v>44812</v>
      </c>
      <c r="R4275" t="s">
        <v>27253</v>
      </c>
      <c r="S4275" t="s">
        <v>27254</v>
      </c>
      <c r="T4275" t="s">
        <v>27269</v>
      </c>
    </row>
    <row r="4276" spans="1:20" x14ac:dyDescent="0.3">
      <c r="A4276" t="str">
        <f>"0611856937025"</f>
        <v>0611856937025</v>
      </c>
      <c r="B4276" t="str">
        <f>"MC4437"</f>
        <v>MC4437</v>
      </c>
      <c r="C4276" t="s">
        <v>35503</v>
      </c>
      <c r="D4276" t="s">
        <v>27267</v>
      </c>
      <c r="E4276" t="str">
        <f t="shared" si="66"/>
        <v>001390</v>
      </c>
      <c r="F4276" t="s">
        <v>27246</v>
      </c>
      <c r="G4276" t="s">
        <v>27247</v>
      </c>
      <c r="H4276" t="s">
        <v>27248</v>
      </c>
      <c r="I4276" t="s">
        <v>35504</v>
      </c>
      <c r="J4276" t="s">
        <v>8545</v>
      </c>
      <c r="L4276" t="s">
        <v>27250</v>
      </c>
      <c r="M4276" t="s">
        <v>27251</v>
      </c>
      <c r="N4276" t="s">
        <v>27252</v>
      </c>
      <c r="Q4276" s="1">
        <v>44812</v>
      </c>
      <c r="R4276" t="s">
        <v>27253</v>
      </c>
      <c r="S4276" t="s">
        <v>27254</v>
      </c>
      <c r="T4276" t="s">
        <v>27269</v>
      </c>
    </row>
    <row r="4277" spans="1:20" x14ac:dyDescent="0.3">
      <c r="A4277" t="str">
        <f>"0611884204025"</f>
        <v>0611884204025</v>
      </c>
      <c r="B4277" t="str">
        <f>"MC4521"</f>
        <v>MC4521</v>
      </c>
      <c r="C4277" t="s">
        <v>35505</v>
      </c>
      <c r="D4277" t="s">
        <v>27267</v>
      </c>
      <c r="E4277" t="str">
        <f t="shared" si="66"/>
        <v>001390</v>
      </c>
      <c r="F4277" t="s">
        <v>27246</v>
      </c>
      <c r="G4277" t="s">
        <v>27247</v>
      </c>
      <c r="H4277" t="s">
        <v>27248</v>
      </c>
      <c r="I4277" t="s">
        <v>35506</v>
      </c>
      <c r="J4277" t="s">
        <v>8547</v>
      </c>
      <c r="L4277" t="s">
        <v>27430</v>
      </c>
      <c r="M4277" t="s">
        <v>27251</v>
      </c>
      <c r="N4277" t="s">
        <v>27252</v>
      </c>
      <c r="Q4277" s="1">
        <v>45250</v>
      </c>
      <c r="R4277" t="s">
        <v>27253</v>
      </c>
      <c r="S4277" t="s">
        <v>27254</v>
      </c>
      <c r="T4277" t="s">
        <v>27269</v>
      </c>
    </row>
    <row r="4278" spans="1:20" x14ac:dyDescent="0.3">
      <c r="A4278" t="str">
        <f>"0611856938025"</f>
        <v>0611856938025</v>
      </c>
      <c r="B4278" t="str">
        <f>"MC4438"</f>
        <v>MC4438</v>
      </c>
      <c r="C4278" t="s">
        <v>35507</v>
      </c>
      <c r="D4278" t="s">
        <v>27267</v>
      </c>
      <c r="E4278" t="str">
        <f t="shared" si="66"/>
        <v>001390</v>
      </c>
      <c r="F4278" t="s">
        <v>27246</v>
      </c>
      <c r="G4278" t="s">
        <v>27247</v>
      </c>
      <c r="H4278" t="s">
        <v>27248</v>
      </c>
      <c r="I4278" t="s">
        <v>35508</v>
      </c>
      <c r="J4278" t="s">
        <v>8549</v>
      </c>
      <c r="L4278" t="s">
        <v>27250</v>
      </c>
      <c r="M4278" t="s">
        <v>27251</v>
      </c>
      <c r="N4278" t="s">
        <v>27252</v>
      </c>
      <c r="Q4278" s="1">
        <v>44812</v>
      </c>
      <c r="R4278" t="s">
        <v>27253</v>
      </c>
      <c r="S4278" t="s">
        <v>27254</v>
      </c>
      <c r="T4278" t="s">
        <v>27269</v>
      </c>
    </row>
    <row r="4279" spans="1:20" x14ac:dyDescent="0.3">
      <c r="A4279" t="str">
        <f>"0611856939025"</f>
        <v>0611856939025</v>
      </c>
      <c r="B4279" t="str">
        <f>"MC4439"</f>
        <v>MC4439</v>
      </c>
      <c r="C4279" t="s">
        <v>35509</v>
      </c>
      <c r="D4279" t="s">
        <v>27267</v>
      </c>
      <c r="E4279" t="str">
        <f t="shared" si="66"/>
        <v>001390</v>
      </c>
      <c r="F4279" t="s">
        <v>27246</v>
      </c>
      <c r="G4279" t="s">
        <v>27247</v>
      </c>
      <c r="H4279" t="s">
        <v>27248</v>
      </c>
      <c r="I4279" t="s">
        <v>35510</v>
      </c>
      <c r="J4279" t="s">
        <v>8551</v>
      </c>
      <c r="L4279" t="s">
        <v>27250</v>
      </c>
      <c r="M4279" t="s">
        <v>27251</v>
      </c>
      <c r="N4279" t="s">
        <v>27252</v>
      </c>
      <c r="Q4279" s="1">
        <v>44812</v>
      </c>
      <c r="R4279" t="s">
        <v>27253</v>
      </c>
      <c r="S4279" t="s">
        <v>27254</v>
      </c>
      <c r="T4279" t="s">
        <v>27269</v>
      </c>
    </row>
    <row r="4280" spans="1:20" x14ac:dyDescent="0.3">
      <c r="A4280" t="str">
        <f>"0611834137025"</f>
        <v>0611834137025</v>
      </c>
      <c r="B4280" t="str">
        <f>"MC3477"</f>
        <v>MC3477</v>
      </c>
      <c r="C4280" t="s">
        <v>35511</v>
      </c>
      <c r="D4280" t="s">
        <v>27267</v>
      </c>
      <c r="E4280" t="str">
        <f t="shared" si="66"/>
        <v>001390</v>
      </c>
      <c r="F4280" t="s">
        <v>27246</v>
      </c>
      <c r="G4280" t="s">
        <v>27247</v>
      </c>
      <c r="H4280" t="s">
        <v>27248</v>
      </c>
      <c r="I4280" t="s">
        <v>35512</v>
      </c>
      <c r="J4280" t="s">
        <v>8553</v>
      </c>
      <c r="L4280" t="s">
        <v>27250</v>
      </c>
      <c r="M4280" t="s">
        <v>27251</v>
      </c>
      <c r="N4280" t="s">
        <v>27252</v>
      </c>
      <c r="Q4280" s="1">
        <v>44538</v>
      </c>
      <c r="R4280" t="s">
        <v>27253</v>
      </c>
      <c r="S4280" t="s">
        <v>27254</v>
      </c>
      <c r="T4280" t="s">
        <v>27269</v>
      </c>
    </row>
    <row r="4281" spans="1:20" x14ac:dyDescent="0.3">
      <c r="A4281" t="str">
        <f>"0611834138025"</f>
        <v>0611834138025</v>
      </c>
      <c r="B4281" t="str">
        <f>"MC3408"</f>
        <v>MC3408</v>
      </c>
      <c r="C4281" t="s">
        <v>35513</v>
      </c>
      <c r="D4281" t="s">
        <v>27267</v>
      </c>
      <c r="E4281" t="str">
        <f t="shared" si="66"/>
        <v>001390</v>
      </c>
      <c r="F4281" t="s">
        <v>27246</v>
      </c>
      <c r="G4281" t="s">
        <v>27247</v>
      </c>
      <c r="H4281" t="s">
        <v>27248</v>
      </c>
      <c r="I4281" t="s">
        <v>35514</v>
      </c>
      <c r="J4281" t="s">
        <v>8555</v>
      </c>
      <c r="L4281" t="s">
        <v>27250</v>
      </c>
      <c r="M4281" t="s">
        <v>27251</v>
      </c>
      <c r="N4281" t="s">
        <v>27252</v>
      </c>
      <c r="Q4281" s="1">
        <v>44538</v>
      </c>
      <c r="R4281" t="s">
        <v>27253</v>
      </c>
      <c r="S4281" t="s">
        <v>27254</v>
      </c>
      <c r="T4281" t="s">
        <v>27269</v>
      </c>
    </row>
    <row r="4282" spans="1:20" x14ac:dyDescent="0.3">
      <c r="A4282" t="str">
        <f>"0611834140025"</f>
        <v>0611834140025</v>
      </c>
      <c r="B4282" t="str">
        <f>"MC4330"</f>
        <v>MC4330</v>
      </c>
      <c r="C4282" t="s">
        <v>35515</v>
      </c>
      <c r="D4282" t="s">
        <v>28057</v>
      </c>
      <c r="E4282" t="str">
        <f t="shared" si="66"/>
        <v>001390</v>
      </c>
      <c r="F4282" t="s">
        <v>27246</v>
      </c>
      <c r="G4282" t="s">
        <v>27247</v>
      </c>
      <c r="H4282" t="s">
        <v>27248</v>
      </c>
      <c r="I4282" t="s">
        <v>35516</v>
      </c>
      <c r="J4282" t="s">
        <v>8559</v>
      </c>
      <c r="L4282" t="s">
        <v>27250</v>
      </c>
      <c r="M4282" t="s">
        <v>27251</v>
      </c>
      <c r="N4282" t="s">
        <v>27252</v>
      </c>
      <c r="P4282" t="s">
        <v>27925</v>
      </c>
      <c r="Q4282" s="1">
        <v>44538</v>
      </c>
      <c r="R4282" t="s">
        <v>27253</v>
      </c>
      <c r="S4282" t="s">
        <v>27254</v>
      </c>
      <c r="T4282" t="s">
        <v>27269</v>
      </c>
    </row>
    <row r="4283" spans="1:20" x14ac:dyDescent="0.3">
      <c r="A4283" t="str">
        <f>"0611834142025"</f>
        <v>0611834142025</v>
      </c>
      <c r="B4283" t="str">
        <f>"MC4167"</f>
        <v>MC4167</v>
      </c>
      <c r="C4283" t="s">
        <v>35517</v>
      </c>
      <c r="D4283" t="s">
        <v>28057</v>
      </c>
      <c r="E4283" t="str">
        <f t="shared" si="66"/>
        <v>001390</v>
      </c>
      <c r="F4283" t="s">
        <v>27246</v>
      </c>
      <c r="G4283" t="s">
        <v>27247</v>
      </c>
      <c r="H4283" t="s">
        <v>27248</v>
      </c>
      <c r="I4283" t="s">
        <v>35518</v>
      </c>
      <c r="J4283" t="s">
        <v>8565</v>
      </c>
      <c r="L4283" t="s">
        <v>27250</v>
      </c>
      <c r="M4283" t="s">
        <v>27251</v>
      </c>
      <c r="N4283" t="s">
        <v>27252</v>
      </c>
      <c r="P4283" t="s">
        <v>27925</v>
      </c>
      <c r="Q4283" s="1">
        <v>44538</v>
      </c>
      <c r="R4283" t="s">
        <v>27253</v>
      </c>
      <c r="S4283" t="s">
        <v>27254</v>
      </c>
      <c r="T4283" t="s">
        <v>27269</v>
      </c>
    </row>
    <row r="4284" spans="1:20" x14ac:dyDescent="0.3">
      <c r="A4284" t="str">
        <f>"0611884205025"</f>
        <v>0611884205025</v>
      </c>
      <c r="B4284" t="str">
        <f>"MC4330"</f>
        <v>MC4330</v>
      </c>
      <c r="C4284" t="s">
        <v>35519</v>
      </c>
      <c r="D4284" t="s">
        <v>27267</v>
      </c>
      <c r="E4284" t="str">
        <f t="shared" si="66"/>
        <v>001390</v>
      </c>
      <c r="F4284" t="s">
        <v>27246</v>
      </c>
      <c r="G4284" t="s">
        <v>27247</v>
      </c>
      <c r="H4284" t="s">
        <v>27248</v>
      </c>
      <c r="I4284" t="s">
        <v>35520</v>
      </c>
      <c r="J4284" t="s">
        <v>8557</v>
      </c>
      <c r="L4284" t="s">
        <v>27430</v>
      </c>
      <c r="M4284" t="s">
        <v>27251</v>
      </c>
      <c r="N4284" t="s">
        <v>27252</v>
      </c>
      <c r="Q4284" s="1">
        <v>45250</v>
      </c>
      <c r="R4284" t="s">
        <v>27253</v>
      </c>
      <c r="S4284" t="s">
        <v>27254</v>
      </c>
      <c r="T4284" t="s">
        <v>27269</v>
      </c>
    </row>
    <row r="4285" spans="1:20" x14ac:dyDescent="0.3">
      <c r="A4285" t="str">
        <f>"0611834141025"</f>
        <v>0611834141025</v>
      </c>
      <c r="B4285" t="str">
        <f>"MC4098"</f>
        <v>MC4098</v>
      </c>
      <c r="C4285" t="s">
        <v>35521</v>
      </c>
      <c r="D4285" t="s">
        <v>28057</v>
      </c>
      <c r="E4285" t="str">
        <f t="shared" si="66"/>
        <v>001390</v>
      </c>
      <c r="F4285" t="s">
        <v>27246</v>
      </c>
      <c r="G4285" t="s">
        <v>27247</v>
      </c>
      <c r="H4285" t="s">
        <v>27248</v>
      </c>
      <c r="I4285" t="s">
        <v>35522</v>
      </c>
      <c r="J4285" t="s">
        <v>8563</v>
      </c>
      <c r="L4285" t="s">
        <v>27250</v>
      </c>
      <c r="M4285" t="s">
        <v>27251</v>
      </c>
      <c r="N4285" t="s">
        <v>27252</v>
      </c>
      <c r="P4285" t="s">
        <v>27925</v>
      </c>
      <c r="Q4285" s="1">
        <v>44538</v>
      </c>
      <c r="R4285" t="s">
        <v>27253</v>
      </c>
      <c r="S4285" t="s">
        <v>27254</v>
      </c>
      <c r="T4285" t="s">
        <v>27269</v>
      </c>
    </row>
    <row r="4286" spans="1:20" x14ac:dyDescent="0.3">
      <c r="A4286" t="str">
        <f>"0611834143025"</f>
        <v>0611834143025</v>
      </c>
      <c r="B4286" t="str">
        <f>"MC3134"</f>
        <v>MC3134</v>
      </c>
      <c r="C4286" t="s">
        <v>35523</v>
      </c>
      <c r="D4286" t="s">
        <v>28057</v>
      </c>
      <c r="E4286" t="str">
        <f t="shared" si="66"/>
        <v>001390</v>
      </c>
      <c r="F4286" t="s">
        <v>27246</v>
      </c>
      <c r="G4286" t="s">
        <v>27247</v>
      </c>
      <c r="H4286" t="s">
        <v>27248</v>
      </c>
      <c r="I4286" t="s">
        <v>35524</v>
      </c>
      <c r="J4286" t="s">
        <v>8561</v>
      </c>
      <c r="L4286" t="s">
        <v>27250</v>
      </c>
      <c r="M4286" t="s">
        <v>27251</v>
      </c>
      <c r="N4286" t="s">
        <v>27252</v>
      </c>
      <c r="P4286" t="s">
        <v>27925</v>
      </c>
      <c r="Q4286" s="1">
        <v>44538</v>
      </c>
      <c r="R4286" t="s">
        <v>27253</v>
      </c>
      <c r="S4286" t="s">
        <v>27254</v>
      </c>
      <c r="T4286" t="s">
        <v>27269</v>
      </c>
    </row>
    <row r="4287" spans="1:20" x14ac:dyDescent="0.3">
      <c r="A4287" t="str">
        <f>"0611834146025"</f>
        <v>0611834146025</v>
      </c>
      <c r="B4287" t="str">
        <f>"MC2805"</f>
        <v>MC2805</v>
      </c>
      <c r="C4287" t="s">
        <v>35525</v>
      </c>
      <c r="D4287" t="s">
        <v>27267</v>
      </c>
      <c r="E4287" t="str">
        <f t="shared" si="66"/>
        <v>001390</v>
      </c>
      <c r="F4287" t="s">
        <v>27246</v>
      </c>
      <c r="G4287" t="s">
        <v>27247</v>
      </c>
      <c r="H4287" t="s">
        <v>27248</v>
      </c>
      <c r="I4287" t="s">
        <v>35526</v>
      </c>
      <c r="J4287" t="s">
        <v>8567</v>
      </c>
      <c r="L4287" t="s">
        <v>27250</v>
      </c>
      <c r="M4287" t="s">
        <v>27251</v>
      </c>
      <c r="N4287" t="s">
        <v>27252</v>
      </c>
      <c r="Q4287" s="1">
        <v>44538</v>
      </c>
      <c r="R4287" t="s">
        <v>27253</v>
      </c>
      <c r="S4287" t="s">
        <v>27254</v>
      </c>
      <c r="T4287" t="s">
        <v>27269</v>
      </c>
    </row>
    <row r="4288" spans="1:20" x14ac:dyDescent="0.3">
      <c r="A4288" t="str">
        <f>"0611834147025"</f>
        <v>0611834147025</v>
      </c>
      <c r="B4288" t="str">
        <f>"MC2806"</f>
        <v>MC2806</v>
      </c>
      <c r="C4288" t="s">
        <v>35527</v>
      </c>
      <c r="D4288" t="s">
        <v>27267</v>
      </c>
      <c r="E4288" t="str">
        <f t="shared" si="66"/>
        <v>001390</v>
      </c>
      <c r="F4288" t="s">
        <v>27246</v>
      </c>
      <c r="G4288" t="s">
        <v>27247</v>
      </c>
      <c r="H4288" t="s">
        <v>27248</v>
      </c>
      <c r="I4288" t="s">
        <v>35528</v>
      </c>
      <c r="J4288" t="s">
        <v>8569</v>
      </c>
      <c r="L4288" t="s">
        <v>27250</v>
      </c>
      <c r="M4288" t="s">
        <v>27251</v>
      </c>
      <c r="N4288" t="s">
        <v>27252</v>
      </c>
      <c r="Q4288" s="1">
        <v>44538</v>
      </c>
      <c r="R4288" t="s">
        <v>27253</v>
      </c>
      <c r="S4288" t="s">
        <v>27254</v>
      </c>
      <c r="T4288" t="s">
        <v>27269</v>
      </c>
    </row>
    <row r="4289" spans="1:20" x14ac:dyDescent="0.3">
      <c r="A4289" t="str">
        <f>"0611834148025"</f>
        <v>0611834148025</v>
      </c>
      <c r="B4289" t="str">
        <f>"MC0279"</f>
        <v>MC0279</v>
      </c>
      <c r="C4289" t="s">
        <v>35529</v>
      </c>
      <c r="D4289" t="s">
        <v>27267</v>
      </c>
      <c r="E4289" t="str">
        <f t="shared" si="66"/>
        <v>001390</v>
      </c>
      <c r="F4289" t="s">
        <v>27246</v>
      </c>
      <c r="G4289" t="s">
        <v>27247</v>
      </c>
      <c r="H4289" t="s">
        <v>27248</v>
      </c>
      <c r="I4289" t="s">
        <v>35530</v>
      </c>
      <c r="J4289" t="s">
        <v>8571</v>
      </c>
      <c r="L4289" t="s">
        <v>27250</v>
      </c>
      <c r="M4289" t="s">
        <v>27251</v>
      </c>
      <c r="N4289" t="s">
        <v>27252</v>
      </c>
      <c r="Q4289" s="1">
        <v>44538</v>
      </c>
      <c r="R4289" t="s">
        <v>27253</v>
      </c>
      <c r="S4289" t="s">
        <v>27254</v>
      </c>
      <c r="T4289" t="s">
        <v>27269</v>
      </c>
    </row>
    <row r="4290" spans="1:20" x14ac:dyDescent="0.3">
      <c r="A4290" t="str">
        <f>"0611834149025"</f>
        <v>0611834149025</v>
      </c>
      <c r="B4290" t="str">
        <f>"MC1454"</f>
        <v>MC1454</v>
      </c>
      <c r="C4290" t="s">
        <v>35531</v>
      </c>
      <c r="D4290" t="s">
        <v>27267</v>
      </c>
      <c r="E4290" t="str">
        <f t="shared" ref="E4290:E4353" si="67">"001390"</f>
        <v>001390</v>
      </c>
      <c r="F4290" t="s">
        <v>27246</v>
      </c>
      <c r="G4290" t="s">
        <v>27247</v>
      </c>
      <c r="H4290" t="s">
        <v>27248</v>
      </c>
      <c r="I4290" t="s">
        <v>35532</v>
      </c>
      <c r="J4290" t="s">
        <v>8573</v>
      </c>
      <c r="L4290" t="s">
        <v>27250</v>
      </c>
      <c r="M4290" t="s">
        <v>27251</v>
      </c>
      <c r="N4290" t="s">
        <v>27252</v>
      </c>
      <c r="Q4290" s="1">
        <v>44538</v>
      </c>
      <c r="R4290" t="s">
        <v>27253</v>
      </c>
      <c r="S4290" t="s">
        <v>27254</v>
      </c>
      <c r="T4290" t="s">
        <v>27269</v>
      </c>
    </row>
    <row r="4291" spans="1:20" x14ac:dyDescent="0.3">
      <c r="A4291" t="str">
        <f>"0611834150025"</f>
        <v>0611834150025</v>
      </c>
      <c r="B4291" t="str">
        <f>"MQ3141"</f>
        <v>MQ3141</v>
      </c>
      <c r="C4291" t="s">
        <v>35533</v>
      </c>
      <c r="D4291" t="s">
        <v>27267</v>
      </c>
      <c r="E4291" t="str">
        <f t="shared" si="67"/>
        <v>001390</v>
      </c>
      <c r="F4291" t="s">
        <v>27246</v>
      </c>
      <c r="G4291" t="s">
        <v>27247</v>
      </c>
      <c r="H4291" t="s">
        <v>27248</v>
      </c>
      <c r="I4291" t="s">
        <v>35534</v>
      </c>
      <c r="J4291" t="s">
        <v>8575</v>
      </c>
      <c r="L4291" t="s">
        <v>27250</v>
      </c>
      <c r="M4291" t="s">
        <v>27251</v>
      </c>
      <c r="N4291" t="s">
        <v>27252</v>
      </c>
      <c r="Q4291" s="1">
        <v>44538</v>
      </c>
      <c r="R4291" t="s">
        <v>27253</v>
      </c>
      <c r="S4291" t="s">
        <v>27254</v>
      </c>
      <c r="T4291" t="s">
        <v>27269</v>
      </c>
    </row>
    <row r="4292" spans="1:20" x14ac:dyDescent="0.3">
      <c r="A4292" t="str">
        <f>"0611834151025"</f>
        <v>0611834151025</v>
      </c>
      <c r="B4292" t="str">
        <f>"MQ3142"</f>
        <v>MQ3142</v>
      </c>
      <c r="C4292" t="s">
        <v>35535</v>
      </c>
      <c r="D4292" t="s">
        <v>27267</v>
      </c>
      <c r="E4292" t="str">
        <f t="shared" si="67"/>
        <v>001390</v>
      </c>
      <c r="F4292" t="s">
        <v>27246</v>
      </c>
      <c r="G4292" t="s">
        <v>27247</v>
      </c>
      <c r="H4292" t="s">
        <v>27248</v>
      </c>
      <c r="I4292" t="s">
        <v>35536</v>
      </c>
      <c r="J4292" t="s">
        <v>8577</v>
      </c>
      <c r="L4292" t="s">
        <v>27250</v>
      </c>
      <c r="M4292" t="s">
        <v>27251</v>
      </c>
      <c r="N4292" t="s">
        <v>27252</v>
      </c>
      <c r="Q4292" s="1">
        <v>44538</v>
      </c>
      <c r="R4292" t="s">
        <v>27253</v>
      </c>
      <c r="S4292" t="s">
        <v>27254</v>
      </c>
      <c r="T4292" t="s">
        <v>27269</v>
      </c>
    </row>
    <row r="4293" spans="1:20" x14ac:dyDescent="0.3">
      <c r="A4293" t="str">
        <f>"0611834152025"</f>
        <v>0611834152025</v>
      </c>
      <c r="B4293" t="str">
        <f>"MQ3143"</f>
        <v>MQ3143</v>
      </c>
      <c r="C4293" t="s">
        <v>35537</v>
      </c>
      <c r="D4293" t="s">
        <v>27267</v>
      </c>
      <c r="E4293" t="str">
        <f t="shared" si="67"/>
        <v>001390</v>
      </c>
      <c r="F4293" t="s">
        <v>27246</v>
      </c>
      <c r="G4293" t="s">
        <v>27247</v>
      </c>
      <c r="H4293" t="s">
        <v>27248</v>
      </c>
      <c r="I4293" t="s">
        <v>35538</v>
      </c>
      <c r="J4293" t="s">
        <v>8579</v>
      </c>
      <c r="L4293" t="s">
        <v>27250</v>
      </c>
      <c r="M4293" t="s">
        <v>27251</v>
      </c>
      <c r="N4293" t="s">
        <v>27252</v>
      </c>
      <c r="Q4293" s="1">
        <v>44538</v>
      </c>
      <c r="R4293" t="s">
        <v>27253</v>
      </c>
      <c r="S4293" t="s">
        <v>27254</v>
      </c>
      <c r="T4293" t="s">
        <v>27269</v>
      </c>
    </row>
    <row r="4294" spans="1:20" x14ac:dyDescent="0.3">
      <c r="A4294" t="str">
        <f>"0611834153025"</f>
        <v>0611834153025</v>
      </c>
      <c r="B4294" t="str">
        <f>"MQ0642"</f>
        <v>MQ0642</v>
      </c>
      <c r="C4294" t="s">
        <v>35539</v>
      </c>
      <c r="D4294" t="s">
        <v>27267</v>
      </c>
      <c r="E4294" t="str">
        <f t="shared" si="67"/>
        <v>001390</v>
      </c>
      <c r="F4294" t="s">
        <v>27246</v>
      </c>
      <c r="G4294" t="s">
        <v>27247</v>
      </c>
      <c r="H4294" t="s">
        <v>27248</v>
      </c>
      <c r="I4294" t="s">
        <v>35540</v>
      </c>
      <c r="J4294" t="s">
        <v>8581</v>
      </c>
      <c r="L4294" t="s">
        <v>27250</v>
      </c>
      <c r="M4294" t="s">
        <v>27251</v>
      </c>
      <c r="N4294" t="s">
        <v>27252</v>
      </c>
      <c r="Q4294" s="1">
        <v>44538</v>
      </c>
      <c r="R4294" t="s">
        <v>27253</v>
      </c>
      <c r="S4294" t="s">
        <v>27254</v>
      </c>
      <c r="T4294" t="s">
        <v>27269</v>
      </c>
    </row>
    <row r="4295" spans="1:20" x14ac:dyDescent="0.3">
      <c r="A4295" t="str">
        <f>"0611834154025"</f>
        <v>0611834154025</v>
      </c>
      <c r="B4295" t="str">
        <f>"MQ3144"</f>
        <v>MQ3144</v>
      </c>
      <c r="C4295" t="s">
        <v>35541</v>
      </c>
      <c r="D4295" t="s">
        <v>27267</v>
      </c>
      <c r="E4295" t="str">
        <f t="shared" si="67"/>
        <v>001390</v>
      </c>
      <c r="F4295" t="s">
        <v>27246</v>
      </c>
      <c r="G4295" t="s">
        <v>27247</v>
      </c>
      <c r="H4295" t="s">
        <v>27248</v>
      </c>
      <c r="I4295" t="s">
        <v>35542</v>
      </c>
      <c r="J4295" t="s">
        <v>8583</v>
      </c>
      <c r="L4295" t="s">
        <v>27250</v>
      </c>
      <c r="M4295" t="s">
        <v>27251</v>
      </c>
      <c r="N4295" t="s">
        <v>27252</v>
      </c>
      <c r="Q4295" s="1">
        <v>44538</v>
      </c>
      <c r="R4295" t="s">
        <v>27253</v>
      </c>
      <c r="S4295" t="s">
        <v>27254</v>
      </c>
      <c r="T4295" t="s">
        <v>27269</v>
      </c>
    </row>
    <row r="4296" spans="1:20" x14ac:dyDescent="0.3">
      <c r="A4296" t="str">
        <f>"0611834155025"</f>
        <v>0611834155025</v>
      </c>
      <c r="B4296" t="str">
        <f>"MQ3211"</f>
        <v>MQ3211</v>
      </c>
      <c r="C4296" t="s">
        <v>35543</v>
      </c>
      <c r="D4296" t="s">
        <v>27267</v>
      </c>
      <c r="E4296" t="str">
        <f t="shared" si="67"/>
        <v>001390</v>
      </c>
      <c r="F4296" t="s">
        <v>27246</v>
      </c>
      <c r="G4296" t="s">
        <v>27247</v>
      </c>
      <c r="H4296" t="s">
        <v>27248</v>
      </c>
      <c r="I4296" t="s">
        <v>35544</v>
      </c>
      <c r="J4296" t="s">
        <v>8585</v>
      </c>
      <c r="L4296" t="s">
        <v>27250</v>
      </c>
      <c r="M4296" t="s">
        <v>27251</v>
      </c>
      <c r="N4296" t="s">
        <v>27252</v>
      </c>
      <c r="Q4296" s="1">
        <v>44538</v>
      </c>
      <c r="R4296" t="s">
        <v>27253</v>
      </c>
      <c r="S4296" t="s">
        <v>27254</v>
      </c>
      <c r="T4296" t="s">
        <v>27269</v>
      </c>
    </row>
    <row r="4297" spans="1:20" x14ac:dyDescent="0.3">
      <c r="A4297" t="str">
        <f>"0611834156025"</f>
        <v>0611834156025</v>
      </c>
      <c r="B4297" t="str">
        <f>"MQ3145"</f>
        <v>MQ3145</v>
      </c>
      <c r="C4297" t="s">
        <v>35545</v>
      </c>
      <c r="D4297" t="s">
        <v>27267</v>
      </c>
      <c r="E4297" t="str">
        <f t="shared" si="67"/>
        <v>001390</v>
      </c>
      <c r="F4297" t="s">
        <v>27246</v>
      </c>
      <c r="G4297" t="s">
        <v>27247</v>
      </c>
      <c r="H4297" t="s">
        <v>27248</v>
      </c>
      <c r="I4297" t="s">
        <v>35546</v>
      </c>
      <c r="J4297" t="s">
        <v>8587</v>
      </c>
      <c r="L4297" t="s">
        <v>27250</v>
      </c>
      <c r="M4297" t="s">
        <v>27251</v>
      </c>
      <c r="N4297" t="s">
        <v>27252</v>
      </c>
      <c r="Q4297" s="1">
        <v>44538</v>
      </c>
      <c r="R4297" t="s">
        <v>27253</v>
      </c>
      <c r="S4297" t="s">
        <v>27254</v>
      </c>
      <c r="T4297" t="s">
        <v>27269</v>
      </c>
    </row>
    <row r="4298" spans="1:20" x14ac:dyDescent="0.3">
      <c r="A4298" t="str">
        <f>"0611834157025"</f>
        <v>0611834157025</v>
      </c>
      <c r="B4298" t="str">
        <f>"MQ3146"</f>
        <v>MQ3146</v>
      </c>
      <c r="C4298" t="s">
        <v>35547</v>
      </c>
      <c r="D4298" t="s">
        <v>27267</v>
      </c>
      <c r="E4298" t="str">
        <f t="shared" si="67"/>
        <v>001390</v>
      </c>
      <c r="F4298" t="s">
        <v>27246</v>
      </c>
      <c r="G4298" t="s">
        <v>27247</v>
      </c>
      <c r="H4298" t="s">
        <v>27248</v>
      </c>
      <c r="I4298" t="s">
        <v>35548</v>
      </c>
      <c r="J4298" t="s">
        <v>8589</v>
      </c>
      <c r="L4298" t="s">
        <v>27250</v>
      </c>
      <c r="M4298" t="s">
        <v>27251</v>
      </c>
      <c r="N4298" t="s">
        <v>27252</v>
      </c>
      <c r="Q4298" s="1">
        <v>44538</v>
      </c>
      <c r="R4298" t="s">
        <v>27253</v>
      </c>
      <c r="S4298" t="s">
        <v>27254</v>
      </c>
      <c r="T4298" t="s">
        <v>27269</v>
      </c>
    </row>
    <row r="4299" spans="1:20" x14ac:dyDescent="0.3">
      <c r="A4299" t="str">
        <f>"0611834158025"</f>
        <v>0611834158025</v>
      </c>
      <c r="B4299" t="str">
        <f>"MQ6020"</f>
        <v>MQ6020</v>
      </c>
      <c r="C4299" t="s">
        <v>35549</v>
      </c>
      <c r="D4299" t="s">
        <v>27267</v>
      </c>
      <c r="E4299" t="str">
        <f t="shared" si="67"/>
        <v>001390</v>
      </c>
      <c r="F4299" t="s">
        <v>27246</v>
      </c>
      <c r="G4299" t="s">
        <v>27247</v>
      </c>
      <c r="H4299" t="s">
        <v>27248</v>
      </c>
      <c r="I4299" t="s">
        <v>35550</v>
      </c>
      <c r="J4299" t="s">
        <v>8591</v>
      </c>
      <c r="L4299" t="s">
        <v>27250</v>
      </c>
      <c r="M4299" t="s">
        <v>27251</v>
      </c>
      <c r="N4299" t="s">
        <v>27252</v>
      </c>
      <c r="Q4299" s="1">
        <v>44538</v>
      </c>
      <c r="R4299" t="s">
        <v>27253</v>
      </c>
      <c r="S4299" t="s">
        <v>27254</v>
      </c>
      <c r="T4299" t="s">
        <v>27269</v>
      </c>
    </row>
    <row r="4300" spans="1:20" x14ac:dyDescent="0.3">
      <c r="A4300" t="str">
        <f>"0611856940025"</f>
        <v>0611856940025</v>
      </c>
      <c r="B4300" t="str">
        <f>"MQ0778"</f>
        <v>MQ0778</v>
      </c>
      <c r="C4300" t="s">
        <v>35551</v>
      </c>
      <c r="D4300" t="s">
        <v>27267</v>
      </c>
      <c r="E4300" t="str">
        <f t="shared" si="67"/>
        <v>001390</v>
      </c>
      <c r="F4300" t="s">
        <v>27246</v>
      </c>
      <c r="G4300" t="s">
        <v>27247</v>
      </c>
      <c r="H4300" t="s">
        <v>27248</v>
      </c>
      <c r="I4300" t="s">
        <v>35552</v>
      </c>
      <c r="J4300" t="s">
        <v>8593</v>
      </c>
      <c r="L4300" t="s">
        <v>27250</v>
      </c>
      <c r="M4300" t="s">
        <v>27251</v>
      </c>
      <c r="N4300" t="s">
        <v>27252</v>
      </c>
      <c r="Q4300" s="1">
        <v>44812</v>
      </c>
      <c r="R4300" t="s">
        <v>27253</v>
      </c>
      <c r="S4300" t="s">
        <v>27254</v>
      </c>
      <c r="T4300" t="s">
        <v>27269</v>
      </c>
    </row>
    <row r="4301" spans="1:20" x14ac:dyDescent="0.3">
      <c r="A4301" t="str">
        <f>"0611856941025"</f>
        <v>0611856941025</v>
      </c>
      <c r="B4301" t="str">
        <f>"MQ0779"</f>
        <v>MQ0779</v>
      </c>
      <c r="C4301" t="s">
        <v>35553</v>
      </c>
      <c r="D4301" t="s">
        <v>27267</v>
      </c>
      <c r="E4301" t="str">
        <f t="shared" si="67"/>
        <v>001390</v>
      </c>
      <c r="F4301" t="s">
        <v>27246</v>
      </c>
      <c r="G4301" t="s">
        <v>27247</v>
      </c>
      <c r="H4301" t="s">
        <v>27248</v>
      </c>
      <c r="I4301" t="s">
        <v>35554</v>
      </c>
      <c r="J4301" t="s">
        <v>8595</v>
      </c>
      <c r="L4301" t="s">
        <v>27250</v>
      </c>
      <c r="M4301" t="s">
        <v>27251</v>
      </c>
      <c r="N4301" t="s">
        <v>27252</v>
      </c>
      <c r="Q4301" s="1">
        <v>44812</v>
      </c>
      <c r="R4301" t="s">
        <v>27253</v>
      </c>
      <c r="S4301" t="s">
        <v>27254</v>
      </c>
      <c r="T4301" t="s">
        <v>27269</v>
      </c>
    </row>
    <row r="4302" spans="1:20" x14ac:dyDescent="0.3">
      <c r="A4302" t="str">
        <f>"0611856942025"</f>
        <v>0611856942025</v>
      </c>
      <c r="B4302" t="str">
        <f>"MQ0780"</f>
        <v>MQ0780</v>
      </c>
      <c r="C4302" t="s">
        <v>35555</v>
      </c>
      <c r="D4302" t="s">
        <v>27267</v>
      </c>
      <c r="E4302" t="str">
        <f t="shared" si="67"/>
        <v>001390</v>
      </c>
      <c r="F4302" t="s">
        <v>27246</v>
      </c>
      <c r="G4302" t="s">
        <v>27247</v>
      </c>
      <c r="H4302" t="s">
        <v>27248</v>
      </c>
      <c r="I4302" t="s">
        <v>35556</v>
      </c>
      <c r="J4302" t="s">
        <v>8597</v>
      </c>
      <c r="L4302" t="s">
        <v>27250</v>
      </c>
      <c r="M4302" t="s">
        <v>27251</v>
      </c>
      <c r="N4302" t="s">
        <v>27252</v>
      </c>
      <c r="Q4302" s="1">
        <v>44812</v>
      </c>
      <c r="R4302" t="s">
        <v>27253</v>
      </c>
      <c r="S4302" t="s">
        <v>27254</v>
      </c>
      <c r="T4302" t="s">
        <v>27269</v>
      </c>
    </row>
    <row r="4303" spans="1:20" x14ac:dyDescent="0.3">
      <c r="A4303" t="str">
        <f>"0611834159025"</f>
        <v>0611834159025</v>
      </c>
      <c r="B4303" t="str">
        <f>"MQ0641"</f>
        <v>MQ0641</v>
      </c>
      <c r="C4303" t="s">
        <v>35557</v>
      </c>
      <c r="D4303" t="s">
        <v>27267</v>
      </c>
      <c r="E4303" t="str">
        <f t="shared" si="67"/>
        <v>001390</v>
      </c>
      <c r="F4303" t="s">
        <v>27246</v>
      </c>
      <c r="G4303" t="s">
        <v>27247</v>
      </c>
      <c r="H4303" t="s">
        <v>27248</v>
      </c>
      <c r="I4303" t="s">
        <v>35558</v>
      </c>
      <c r="J4303" t="s">
        <v>8599</v>
      </c>
      <c r="L4303" t="s">
        <v>27250</v>
      </c>
      <c r="M4303" t="s">
        <v>27251</v>
      </c>
      <c r="N4303" t="s">
        <v>27252</v>
      </c>
      <c r="Q4303" s="1">
        <v>44538</v>
      </c>
      <c r="R4303" t="s">
        <v>27253</v>
      </c>
      <c r="S4303" t="s">
        <v>27254</v>
      </c>
      <c r="T4303" t="s">
        <v>27269</v>
      </c>
    </row>
    <row r="4304" spans="1:20" x14ac:dyDescent="0.3">
      <c r="A4304" t="str">
        <f>"0611834160025"</f>
        <v>0611834160025</v>
      </c>
      <c r="B4304" t="str">
        <f>"MQ0643"</f>
        <v>MQ0643</v>
      </c>
      <c r="C4304" t="s">
        <v>35559</v>
      </c>
      <c r="D4304" t="s">
        <v>27267</v>
      </c>
      <c r="E4304" t="str">
        <f t="shared" si="67"/>
        <v>001390</v>
      </c>
      <c r="F4304" t="s">
        <v>27246</v>
      </c>
      <c r="G4304" t="s">
        <v>27247</v>
      </c>
      <c r="H4304" t="s">
        <v>27248</v>
      </c>
      <c r="I4304" t="s">
        <v>35560</v>
      </c>
      <c r="J4304" t="s">
        <v>8601</v>
      </c>
      <c r="L4304" t="s">
        <v>27250</v>
      </c>
      <c r="M4304" t="s">
        <v>27251</v>
      </c>
      <c r="N4304" t="s">
        <v>27252</v>
      </c>
      <c r="Q4304" s="1">
        <v>44538</v>
      </c>
      <c r="R4304" t="s">
        <v>27253</v>
      </c>
      <c r="S4304" t="s">
        <v>27254</v>
      </c>
      <c r="T4304" t="s">
        <v>27269</v>
      </c>
    </row>
    <row r="4305" spans="1:20" x14ac:dyDescent="0.3">
      <c r="A4305" t="str">
        <f>"0611834161025"</f>
        <v>0611834161025</v>
      </c>
      <c r="B4305" t="str">
        <f>"MQ3147"</f>
        <v>MQ3147</v>
      </c>
      <c r="C4305" t="s">
        <v>35561</v>
      </c>
      <c r="D4305" t="s">
        <v>27267</v>
      </c>
      <c r="E4305" t="str">
        <f t="shared" si="67"/>
        <v>001390</v>
      </c>
      <c r="F4305" t="s">
        <v>27246</v>
      </c>
      <c r="G4305" t="s">
        <v>27247</v>
      </c>
      <c r="H4305" t="s">
        <v>27248</v>
      </c>
      <c r="I4305" t="s">
        <v>35562</v>
      </c>
      <c r="J4305" t="s">
        <v>8603</v>
      </c>
      <c r="L4305" t="s">
        <v>27250</v>
      </c>
      <c r="M4305" t="s">
        <v>27251</v>
      </c>
      <c r="N4305" t="s">
        <v>27252</v>
      </c>
      <c r="Q4305" s="1">
        <v>44538</v>
      </c>
      <c r="R4305" t="s">
        <v>27253</v>
      </c>
      <c r="S4305" t="s">
        <v>27254</v>
      </c>
      <c r="T4305" t="s">
        <v>27269</v>
      </c>
    </row>
    <row r="4306" spans="1:20" x14ac:dyDescent="0.3">
      <c r="A4306" t="str">
        <f>"0611834163025"</f>
        <v>0611834163025</v>
      </c>
      <c r="B4306" t="str">
        <f>"MQ3212"</f>
        <v>MQ3212</v>
      </c>
      <c r="C4306" t="s">
        <v>35563</v>
      </c>
      <c r="D4306" t="s">
        <v>27267</v>
      </c>
      <c r="E4306" t="str">
        <f t="shared" si="67"/>
        <v>001390</v>
      </c>
      <c r="F4306" t="s">
        <v>27246</v>
      </c>
      <c r="G4306" t="s">
        <v>27247</v>
      </c>
      <c r="H4306" t="s">
        <v>27248</v>
      </c>
      <c r="I4306" t="s">
        <v>35564</v>
      </c>
      <c r="J4306" t="s">
        <v>8605</v>
      </c>
      <c r="L4306" t="s">
        <v>27250</v>
      </c>
      <c r="M4306" t="s">
        <v>27251</v>
      </c>
      <c r="N4306" t="s">
        <v>27252</v>
      </c>
      <c r="Q4306" s="1">
        <v>44538</v>
      </c>
      <c r="R4306" t="s">
        <v>27253</v>
      </c>
      <c r="S4306" t="s">
        <v>27254</v>
      </c>
      <c r="T4306" t="s">
        <v>27269</v>
      </c>
    </row>
    <row r="4307" spans="1:20" x14ac:dyDescent="0.3">
      <c r="A4307" t="str">
        <f>"0611834164025"</f>
        <v>0611834164025</v>
      </c>
      <c r="B4307" t="str">
        <f>"MQ0552"</f>
        <v>MQ0552</v>
      </c>
      <c r="C4307" t="s">
        <v>35565</v>
      </c>
      <c r="D4307" t="s">
        <v>27267</v>
      </c>
      <c r="E4307" t="str">
        <f t="shared" si="67"/>
        <v>001390</v>
      </c>
      <c r="F4307" t="s">
        <v>27246</v>
      </c>
      <c r="G4307" t="s">
        <v>27247</v>
      </c>
      <c r="H4307" t="s">
        <v>27248</v>
      </c>
      <c r="I4307" t="s">
        <v>35566</v>
      </c>
      <c r="J4307" t="s">
        <v>8607</v>
      </c>
      <c r="L4307" t="s">
        <v>27250</v>
      </c>
      <c r="M4307" t="s">
        <v>27251</v>
      </c>
      <c r="N4307" t="s">
        <v>27252</v>
      </c>
      <c r="Q4307" s="1">
        <v>44538</v>
      </c>
      <c r="R4307" t="s">
        <v>27253</v>
      </c>
      <c r="S4307" t="s">
        <v>27254</v>
      </c>
      <c r="T4307" t="s">
        <v>27269</v>
      </c>
    </row>
    <row r="4308" spans="1:20" x14ac:dyDescent="0.3">
      <c r="A4308" t="str">
        <f>"0611834165025"</f>
        <v>0611834165025</v>
      </c>
      <c r="B4308" t="str">
        <f>"MQ0551"</f>
        <v>MQ0551</v>
      </c>
      <c r="C4308" t="s">
        <v>35567</v>
      </c>
      <c r="D4308" t="s">
        <v>27267</v>
      </c>
      <c r="E4308" t="str">
        <f t="shared" si="67"/>
        <v>001390</v>
      </c>
      <c r="F4308" t="s">
        <v>27246</v>
      </c>
      <c r="G4308" t="s">
        <v>27247</v>
      </c>
      <c r="H4308" t="s">
        <v>27248</v>
      </c>
      <c r="I4308" t="s">
        <v>35568</v>
      </c>
      <c r="J4308" t="s">
        <v>8609</v>
      </c>
      <c r="L4308" t="s">
        <v>27250</v>
      </c>
      <c r="M4308" t="s">
        <v>27251</v>
      </c>
      <c r="N4308" t="s">
        <v>27252</v>
      </c>
      <c r="Q4308" s="1">
        <v>44538</v>
      </c>
      <c r="R4308" t="s">
        <v>27253</v>
      </c>
      <c r="S4308" t="s">
        <v>27254</v>
      </c>
      <c r="T4308" t="s">
        <v>27269</v>
      </c>
    </row>
    <row r="4309" spans="1:20" x14ac:dyDescent="0.3">
      <c r="A4309" t="str">
        <f>"0611834166025"</f>
        <v>0611834166025</v>
      </c>
      <c r="B4309" t="str">
        <f>"MQ0418"</f>
        <v>MQ0418</v>
      </c>
      <c r="C4309" t="s">
        <v>35569</v>
      </c>
      <c r="D4309" t="s">
        <v>27267</v>
      </c>
      <c r="E4309" t="str">
        <f t="shared" si="67"/>
        <v>001390</v>
      </c>
      <c r="F4309" t="s">
        <v>27246</v>
      </c>
      <c r="G4309" t="s">
        <v>27247</v>
      </c>
      <c r="H4309" t="s">
        <v>27248</v>
      </c>
      <c r="I4309" t="s">
        <v>35570</v>
      </c>
      <c r="J4309" t="s">
        <v>8611</v>
      </c>
      <c r="L4309" t="s">
        <v>27250</v>
      </c>
      <c r="M4309" t="s">
        <v>27251</v>
      </c>
      <c r="N4309" t="s">
        <v>27252</v>
      </c>
      <c r="Q4309" s="1">
        <v>44538</v>
      </c>
      <c r="R4309" t="s">
        <v>27253</v>
      </c>
      <c r="S4309" t="s">
        <v>27254</v>
      </c>
      <c r="T4309" t="s">
        <v>27269</v>
      </c>
    </row>
    <row r="4310" spans="1:20" x14ac:dyDescent="0.3">
      <c r="A4310" t="str">
        <f>"0611834170100"</f>
        <v>0611834170100</v>
      </c>
      <c r="B4310" t="str">
        <f>"LH3642"</f>
        <v>LH3642</v>
      </c>
      <c r="C4310" t="s">
        <v>35571</v>
      </c>
      <c r="D4310" t="s">
        <v>27245</v>
      </c>
      <c r="E4310" t="str">
        <f t="shared" si="67"/>
        <v>001390</v>
      </c>
      <c r="F4310" t="s">
        <v>27246</v>
      </c>
      <c r="G4310" t="s">
        <v>27247</v>
      </c>
      <c r="H4310" t="s">
        <v>27248</v>
      </c>
      <c r="I4310" t="s">
        <v>35572</v>
      </c>
      <c r="J4310" t="s">
        <v>8613</v>
      </c>
      <c r="L4310" t="s">
        <v>27250</v>
      </c>
      <c r="M4310" t="s">
        <v>27251</v>
      </c>
      <c r="N4310" t="s">
        <v>27252</v>
      </c>
      <c r="Q4310" s="1">
        <v>44538</v>
      </c>
      <c r="R4310" t="s">
        <v>27253</v>
      </c>
      <c r="S4310" t="s">
        <v>27254</v>
      </c>
      <c r="T4310" t="s">
        <v>27255</v>
      </c>
    </row>
    <row r="4311" spans="1:20" x14ac:dyDescent="0.3">
      <c r="A4311" t="str">
        <f>"0611834171025"</f>
        <v>0611834171025</v>
      </c>
      <c r="B4311" t="str">
        <f>"MC0278"</f>
        <v>MC0278</v>
      </c>
      <c r="C4311" t="s">
        <v>35571</v>
      </c>
      <c r="D4311" t="s">
        <v>27267</v>
      </c>
      <c r="E4311" t="str">
        <f t="shared" si="67"/>
        <v>001390</v>
      </c>
      <c r="F4311" t="s">
        <v>27246</v>
      </c>
      <c r="G4311" t="s">
        <v>27247</v>
      </c>
      <c r="H4311" t="s">
        <v>27248</v>
      </c>
      <c r="I4311" t="s">
        <v>35573</v>
      </c>
      <c r="J4311" t="s">
        <v>8615</v>
      </c>
      <c r="L4311" t="s">
        <v>27250</v>
      </c>
      <c r="M4311" t="s">
        <v>27251</v>
      </c>
      <c r="N4311" t="s">
        <v>27252</v>
      </c>
      <c r="Q4311" s="1">
        <v>44538</v>
      </c>
      <c r="R4311" t="s">
        <v>27253</v>
      </c>
      <c r="S4311" t="s">
        <v>27254</v>
      </c>
      <c r="T4311" t="s">
        <v>27269</v>
      </c>
    </row>
    <row r="4312" spans="1:20" x14ac:dyDescent="0.3">
      <c r="A4312" t="str">
        <f>"0611834172025"</f>
        <v>0611834172025</v>
      </c>
      <c r="B4312" t="str">
        <f>"MC2411"</f>
        <v>MC2411</v>
      </c>
      <c r="C4312" t="s">
        <v>35574</v>
      </c>
      <c r="D4312" t="s">
        <v>27267</v>
      </c>
      <c r="E4312" t="str">
        <f t="shared" si="67"/>
        <v>001390</v>
      </c>
      <c r="F4312" t="s">
        <v>27246</v>
      </c>
      <c r="G4312" t="s">
        <v>27247</v>
      </c>
      <c r="H4312" t="s">
        <v>27248</v>
      </c>
      <c r="I4312" t="s">
        <v>35575</v>
      </c>
      <c r="J4312" t="s">
        <v>8617</v>
      </c>
      <c r="L4312" t="s">
        <v>27250</v>
      </c>
      <c r="M4312" t="s">
        <v>27251</v>
      </c>
      <c r="N4312" t="s">
        <v>27252</v>
      </c>
      <c r="Q4312" s="1">
        <v>44538</v>
      </c>
      <c r="R4312" t="s">
        <v>27253</v>
      </c>
      <c r="S4312" t="s">
        <v>27254</v>
      </c>
      <c r="T4312" t="s">
        <v>27269</v>
      </c>
    </row>
    <row r="4313" spans="1:20" x14ac:dyDescent="0.3">
      <c r="A4313" t="str">
        <f>"0611834173025"</f>
        <v>0611834173025</v>
      </c>
      <c r="B4313" t="str">
        <f>"MC0281"</f>
        <v>MC0281</v>
      </c>
      <c r="C4313" t="s">
        <v>35576</v>
      </c>
      <c r="D4313" t="s">
        <v>27267</v>
      </c>
      <c r="E4313" t="str">
        <f t="shared" si="67"/>
        <v>001390</v>
      </c>
      <c r="F4313" t="s">
        <v>27246</v>
      </c>
      <c r="G4313" t="s">
        <v>27247</v>
      </c>
      <c r="H4313" t="s">
        <v>27248</v>
      </c>
      <c r="I4313" t="s">
        <v>35577</v>
      </c>
      <c r="J4313" t="s">
        <v>8619</v>
      </c>
      <c r="L4313" t="s">
        <v>27250</v>
      </c>
      <c r="M4313" t="s">
        <v>27251</v>
      </c>
      <c r="N4313" t="s">
        <v>27252</v>
      </c>
      <c r="Q4313" s="1">
        <v>44538</v>
      </c>
      <c r="R4313" t="s">
        <v>27253</v>
      </c>
      <c r="S4313" t="s">
        <v>27254</v>
      </c>
      <c r="T4313" t="s">
        <v>27269</v>
      </c>
    </row>
    <row r="4314" spans="1:20" x14ac:dyDescent="0.3">
      <c r="A4314" t="str">
        <f>"0611839352100"</f>
        <v>0611839352100</v>
      </c>
      <c r="B4314" t="str">
        <f>"LL8188"</f>
        <v>LL8188</v>
      </c>
      <c r="C4314" t="s">
        <v>35578</v>
      </c>
      <c r="D4314" t="s">
        <v>27245</v>
      </c>
      <c r="E4314" t="str">
        <f t="shared" si="67"/>
        <v>001390</v>
      </c>
      <c r="F4314" t="s">
        <v>27246</v>
      </c>
      <c r="G4314" t="s">
        <v>27247</v>
      </c>
      <c r="H4314" t="s">
        <v>27248</v>
      </c>
      <c r="I4314" t="s">
        <v>35579</v>
      </c>
      <c r="J4314" t="s">
        <v>8621</v>
      </c>
      <c r="L4314" t="s">
        <v>27250</v>
      </c>
      <c r="M4314" t="s">
        <v>27251</v>
      </c>
      <c r="N4314" t="s">
        <v>27252</v>
      </c>
      <c r="Q4314" s="1">
        <v>44538</v>
      </c>
      <c r="R4314" t="s">
        <v>27253</v>
      </c>
      <c r="S4314" t="s">
        <v>27254</v>
      </c>
      <c r="T4314" t="s">
        <v>27255</v>
      </c>
    </row>
    <row r="4315" spans="1:20" x14ac:dyDescent="0.3">
      <c r="A4315" t="str">
        <f>"0611839353100"</f>
        <v>0611839353100</v>
      </c>
      <c r="B4315" t="str">
        <f>"LL1701"</f>
        <v>LL1701</v>
      </c>
      <c r="C4315" t="s">
        <v>35580</v>
      </c>
      <c r="D4315" t="s">
        <v>27245</v>
      </c>
      <c r="E4315" t="str">
        <f t="shared" si="67"/>
        <v>001390</v>
      </c>
      <c r="F4315" t="s">
        <v>27246</v>
      </c>
      <c r="G4315" t="s">
        <v>27247</v>
      </c>
      <c r="H4315" t="s">
        <v>27248</v>
      </c>
      <c r="I4315" t="s">
        <v>35581</v>
      </c>
      <c r="J4315" t="s">
        <v>8623</v>
      </c>
      <c r="L4315" t="s">
        <v>27250</v>
      </c>
      <c r="M4315" t="s">
        <v>27251</v>
      </c>
      <c r="N4315" t="s">
        <v>27252</v>
      </c>
      <c r="Q4315" s="1">
        <v>44538</v>
      </c>
      <c r="R4315" t="s">
        <v>27253</v>
      </c>
      <c r="S4315" t="s">
        <v>27254</v>
      </c>
      <c r="T4315" t="s">
        <v>27255</v>
      </c>
    </row>
    <row r="4316" spans="1:20" x14ac:dyDescent="0.3">
      <c r="A4316" t="str">
        <f>"0611839354100"</f>
        <v>0611839354100</v>
      </c>
      <c r="B4316" t="str">
        <f>"LL1775"</f>
        <v>LL1775</v>
      </c>
      <c r="C4316" t="s">
        <v>35582</v>
      </c>
      <c r="D4316" t="s">
        <v>27245</v>
      </c>
      <c r="E4316" t="str">
        <f t="shared" si="67"/>
        <v>001390</v>
      </c>
      <c r="F4316" t="s">
        <v>27246</v>
      </c>
      <c r="G4316" t="s">
        <v>27247</v>
      </c>
      <c r="H4316" t="s">
        <v>27248</v>
      </c>
      <c r="I4316" t="s">
        <v>35583</v>
      </c>
      <c r="J4316" t="s">
        <v>8625</v>
      </c>
      <c r="L4316" t="s">
        <v>27250</v>
      </c>
      <c r="M4316" t="s">
        <v>27251</v>
      </c>
      <c r="N4316" t="s">
        <v>27252</v>
      </c>
      <c r="Q4316" s="1">
        <v>44538</v>
      </c>
      <c r="R4316" t="s">
        <v>27253</v>
      </c>
      <c r="S4316" t="s">
        <v>27254</v>
      </c>
      <c r="T4316" t="s">
        <v>27255</v>
      </c>
    </row>
    <row r="4317" spans="1:20" x14ac:dyDescent="0.3">
      <c r="A4317" t="str">
        <f>"0611839355200"</f>
        <v>0611839355200</v>
      </c>
      <c r="B4317" t="str">
        <f>"KY1775"</f>
        <v>KY1775</v>
      </c>
      <c r="C4317" t="s">
        <v>35582</v>
      </c>
      <c r="D4317" t="s">
        <v>27682</v>
      </c>
      <c r="E4317" t="str">
        <f t="shared" si="67"/>
        <v>001390</v>
      </c>
      <c r="F4317" t="s">
        <v>27246</v>
      </c>
      <c r="G4317" t="s">
        <v>27247</v>
      </c>
      <c r="H4317" t="s">
        <v>27248</v>
      </c>
      <c r="I4317" t="s">
        <v>35584</v>
      </c>
      <c r="J4317" t="s">
        <v>8627</v>
      </c>
      <c r="L4317" t="s">
        <v>27250</v>
      </c>
      <c r="M4317" t="s">
        <v>27251</v>
      </c>
      <c r="N4317" t="s">
        <v>27252</v>
      </c>
      <c r="Q4317" s="1">
        <v>44538</v>
      </c>
      <c r="R4317" t="s">
        <v>27253</v>
      </c>
      <c r="S4317" t="s">
        <v>27254</v>
      </c>
      <c r="T4317" t="s">
        <v>27684</v>
      </c>
    </row>
    <row r="4318" spans="1:20" x14ac:dyDescent="0.3">
      <c r="A4318" t="str">
        <f>"0611839356100"</f>
        <v>0611839356100</v>
      </c>
      <c r="B4318" t="str">
        <f>"LL1780"</f>
        <v>LL1780</v>
      </c>
      <c r="C4318" t="s">
        <v>35585</v>
      </c>
      <c r="D4318" t="s">
        <v>27245</v>
      </c>
      <c r="E4318" t="str">
        <f t="shared" si="67"/>
        <v>001390</v>
      </c>
      <c r="F4318" t="s">
        <v>27246</v>
      </c>
      <c r="G4318" t="s">
        <v>27247</v>
      </c>
      <c r="H4318" t="s">
        <v>27248</v>
      </c>
      <c r="I4318" t="s">
        <v>35586</v>
      </c>
      <c r="J4318" t="s">
        <v>8629</v>
      </c>
      <c r="L4318" t="s">
        <v>27250</v>
      </c>
      <c r="M4318" t="s">
        <v>27251</v>
      </c>
      <c r="N4318" t="s">
        <v>27252</v>
      </c>
      <c r="Q4318" s="1">
        <v>44538</v>
      </c>
      <c r="R4318" t="s">
        <v>27253</v>
      </c>
      <c r="S4318" t="s">
        <v>27254</v>
      </c>
      <c r="T4318" t="s">
        <v>27255</v>
      </c>
    </row>
    <row r="4319" spans="1:20" x14ac:dyDescent="0.3">
      <c r="A4319" t="str">
        <f>"0611839357100"</f>
        <v>0611839357100</v>
      </c>
      <c r="B4319" t="str">
        <f>"LL1795"</f>
        <v>LL1795</v>
      </c>
      <c r="C4319" t="s">
        <v>35587</v>
      </c>
      <c r="D4319" t="s">
        <v>27245</v>
      </c>
      <c r="E4319" t="str">
        <f t="shared" si="67"/>
        <v>001390</v>
      </c>
      <c r="F4319" t="s">
        <v>27246</v>
      </c>
      <c r="G4319" t="s">
        <v>27247</v>
      </c>
      <c r="H4319" t="s">
        <v>27248</v>
      </c>
      <c r="I4319" t="s">
        <v>35588</v>
      </c>
      <c r="J4319" t="s">
        <v>8631</v>
      </c>
      <c r="L4319" t="s">
        <v>27250</v>
      </c>
      <c r="M4319" t="s">
        <v>27251</v>
      </c>
      <c r="N4319" t="s">
        <v>27252</v>
      </c>
      <c r="Q4319" s="1">
        <v>44538</v>
      </c>
      <c r="R4319" t="s">
        <v>27253</v>
      </c>
      <c r="S4319" t="s">
        <v>27254</v>
      </c>
      <c r="T4319" t="s">
        <v>27255</v>
      </c>
    </row>
    <row r="4320" spans="1:20" x14ac:dyDescent="0.3">
      <c r="A4320" t="str">
        <f>"0611839358200"</f>
        <v>0611839358200</v>
      </c>
      <c r="B4320" t="str">
        <f>"KY1795"</f>
        <v>KY1795</v>
      </c>
      <c r="C4320" t="s">
        <v>35587</v>
      </c>
      <c r="D4320" t="s">
        <v>27682</v>
      </c>
      <c r="E4320" t="str">
        <f t="shared" si="67"/>
        <v>001390</v>
      </c>
      <c r="F4320" t="s">
        <v>27246</v>
      </c>
      <c r="G4320" t="s">
        <v>27247</v>
      </c>
      <c r="H4320" t="s">
        <v>27248</v>
      </c>
      <c r="I4320" t="s">
        <v>35589</v>
      </c>
      <c r="J4320" t="s">
        <v>8633</v>
      </c>
      <c r="L4320" t="s">
        <v>27250</v>
      </c>
      <c r="M4320" t="s">
        <v>27251</v>
      </c>
      <c r="N4320" t="s">
        <v>27252</v>
      </c>
      <c r="Q4320" s="1">
        <v>44538</v>
      </c>
      <c r="R4320" t="s">
        <v>27253</v>
      </c>
      <c r="S4320" t="s">
        <v>27254</v>
      </c>
      <c r="T4320" t="s">
        <v>27684</v>
      </c>
    </row>
    <row r="4321" spans="1:20" x14ac:dyDescent="0.3">
      <c r="A4321" t="str">
        <f>"0611839359100"</f>
        <v>0611839359100</v>
      </c>
      <c r="B4321" t="str">
        <f>"LL1784"</f>
        <v>LL1784</v>
      </c>
      <c r="C4321" t="s">
        <v>35590</v>
      </c>
      <c r="D4321" t="s">
        <v>27245</v>
      </c>
      <c r="E4321" t="str">
        <f t="shared" si="67"/>
        <v>001390</v>
      </c>
      <c r="F4321" t="s">
        <v>27246</v>
      </c>
      <c r="G4321" t="s">
        <v>27247</v>
      </c>
      <c r="H4321" t="s">
        <v>27248</v>
      </c>
      <c r="I4321" t="s">
        <v>35591</v>
      </c>
      <c r="J4321" t="s">
        <v>8635</v>
      </c>
      <c r="L4321" t="s">
        <v>27250</v>
      </c>
      <c r="M4321" t="s">
        <v>27251</v>
      </c>
      <c r="N4321" t="s">
        <v>27252</v>
      </c>
      <c r="Q4321" s="1">
        <v>44538</v>
      </c>
      <c r="R4321" t="s">
        <v>27253</v>
      </c>
      <c r="S4321" t="s">
        <v>27254</v>
      </c>
      <c r="T4321" t="s">
        <v>27255</v>
      </c>
    </row>
    <row r="4322" spans="1:20" x14ac:dyDescent="0.3">
      <c r="A4322" t="str">
        <f>"0611839360100"</f>
        <v>0611839360100</v>
      </c>
      <c r="B4322" t="str">
        <f>"LL1805"</f>
        <v>LL1805</v>
      </c>
      <c r="C4322" t="s">
        <v>35592</v>
      </c>
      <c r="D4322" t="s">
        <v>27245</v>
      </c>
      <c r="E4322" t="str">
        <f t="shared" si="67"/>
        <v>001390</v>
      </c>
      <c r="F4322" t="s">
        <v>27246</v>
      </c>
      <c r="G4322" t="s">
        <v>27247</v>
      </c>
      <c r="H4322" t="s">
        <v>27248</v>
      </c>
      <c r="I4322" t="s">
        <v>35593</v>
      </c>
      <c r="J4322" t="s">
        <v>8637</v>
      </c>
      <c r="L4322" t="s">
        <v>27250</v>
      </c>
      <c r="M4322" t="s">
        <v>27251</v>
      </c>
      <c r="N4322" t="s">
        <v>27252</v>
      </c>
      <c r="Q4322" s="1">
        <v>44538</v>
      </c>
      <c r="R4322" t="s">
        <v>27253</v>
      </c>
      <c r="S4322" t="s">
        <v>27254</v>
      </c>
      <c r="T4322" t="s">
        <v>27255</v>
      </c>
    </row>
    <row r="4323" spans="1:20" x14ac:dyDescent="0.3">
      <c r="A4323" t="str">
        <f>"0611839361100"</f>
        <v>0611839361100</v>
      </c>
      <c r="B4323" t="str">
        <f>"LL1820"</f>
        <v>LL1820</v>
      </c>
      <c r="C4323" t="s">
        <v>35594</v>
      </c>
      <c r="D4323" t="s">
        <v>27245</v>
      </c>
      <c r="E4323" t="str">
        <f t="shared" si="67"/>
        <v>001390</v>
      </c>
      <c r="F4323" t="s">
        <v>27246</v>
      </c>
      <c r="G4323" t="s">
        <v>27247</v>
      </c>
      <c r="H4323" t="s">
        <v>27248</v>
      </c>
      <c r="I4323" t="s">
        <v>35595</v>
      </c>
      <c r="J4323" t="s">
        <v>8639</v>
      </c>
      <c r="L4323" t="s">
        <v>27250</v>
      </c>
      <c r="M4323" t="s">
        <v>27251</v>
      </c>
      <c r="N4323" t="s">
        <v>27252</v>
      </c>
      <c r="Q4323" s="1">
        <v>44538</v>
      </c>
      <c r="R4323" t="s">
        <v>27253</v>
      </c>
      <c r="S4323" t="s">
        <v>27254</v>
      </c>
      <c r="T4323" t="s">
        <v>27255</v>
      </c>
    </row>
    <row r="4324" spans="1:20" x14ac:dyDescent="0.3">
      <c r="A4324" t="str">
        <f>"0611839362100"</f>
        <v>0611839362100</v>
      </c>
      <c r="B4324" t="str">
        <f>"LL4075"</f>
        <v>LL4075</v>
      </c>
      <c r="C4324" t="s">
        <v>35596</v>
      </c>
      <c r="D4324" t="s">
        <v>27245</v>
      </c>
      <c r="E4324" t="str">
        <f t="shared" si="67"/>
        <v>001390</v>
      </c>
      <c r="F4324" t="s">
        <v>27246</v>
      </c>
      <c r="G4324" t="s">
        <v>27247</v>
      </c>
      <c r="H4324" t="s">
        <v>27248</v>
      </c>
      <c r="I4324" t="s">
        <v>35597</v>
      </c>
      <c r="J4324" t="s">
        <v>8641</v>
      </c>
      <c r="L4324" t="s">
        <v>27250</v>
      </c>
      <c r="M4324" t="s">
        <v>27251</v>
      </c>
      <c r="N4324" t="s">
        <v>27252</v>
      </c>
      <c r="Q4324" s="1">
        <v>44538</v>
      </c>
      <c r="R4324" t="s">
        <v>27253</v>
      </c>
      <c r="S4324" t="s">
        <v>27254</v>
      </c>
      <c r="T4324" t="s">
        <v>27255</v>
      </c>
    </row>
    <row r="4325" spans="1:20" x14ac:dyDescent="0.3">
      <c r="A4325" t="str">
        <f>"0611839363100"</f>
        <v>0611839363100</v>
      </c>
      <c r="B4325" t="str">
        <f>"LL8189"</f>
        <v>LL8189</v>
      </c>
      <c r="C4325" t="s">
        <v>35598</v>
      </c>
      <c r="D4325" t="s">
        <v>27245</v>
      </c>
      <c r="E4325" t="str">
        <f t="shared" si="67"/>
        <v>001390</v>
      </c>
      <c r="F4325" t="s">
        <v>27246</v>
      </c>
      <c r="G4325" t="s">
        <v>27247</v>
      </c>
      <c r="H4325" t="s">
        <v>27248</v>
      </c>
      <c r="I4325" t="s">
        <v>35599</v>
      </c>
      <c r="J4325" t="s">
        <v>8643</v>
      </c>
      <c r="L4325" t="s">
        <v>27250</v>
      </c>
      <c r="M4325" t="s">
        <v>27251</v>
      </c>
      <c r="N4325" t="s">
        <v>27252</v>
      </c>
      <c r="Q4325" s="1">
        <v>44538</v>
      </c>
      <c r="R4325" t="s">
        <v>27253</v>
      </c>
      <c r="S4325" t="s">
        <v>27254</v>
      </c>
      <c r="T4325" t="s">
        <v>27255</v>
      </c>
    </row>
    <row r="4326" spans="1:20" x14ac:dyDescent="0.3">
      <c r="A4326" t="str">
        <f>"0611839364100"</f>
        <v>0611839364100</v>
      </c>
      <c r="B4326" t="str">
        <f>"LL1797"</f>
        <v>LL1797</v>
      </c>
      <c r="C4326" t="s">
        <v>35600</v>
      </c>
      <c r="D4326" t="s">
        <v>27245</v>
      </c>
      <c r="E4326" t="str">
        <f t="shared" si="67"/>
        <v>001390</v>
      </c>
      <c r="F4326" t="s">
        <v>27246</v>
      </c>
      <c r="G4326" t="s">
        <v>27247</v>
      </c>
      <c r="H4326" t="s">
        <v>27248</v>
      </c>
      <c r="I4326" t="s">
        <v>35601</v>
      </c>
      <c r="J4326" t="s">
        <v>8645</v>
      </c>
      <c r="L4326" t="s">
        <v>27250</v>
      </c>
      <c r="M4326" t="s">
        <v>27251</v>
      </c>
      <c r="N4326" t="s">
        <v>27252</v>
      </c>
      <c r="Q4326" s="1">
        <v>44538</v>
      </c>
      <c r="R4326" t="s">
        <v>27253</v>
      </c>
      <c r="S4326" t="s">
        <v>27254</v>
      </c>
      <c r="T4326" t="s">
        <v>27255</v>
      </c>
    </row>
    <row r="4327" spans="1:20" x14ac:dyDescent="0.3">
      <c r="A4327" t="str">
        <f>"0611839365100"</f>
        <v>0611839365100</v>
      </c>
      <c r="B4327" t="str">
        <f>"LL1821"</f>
        <v>LL1821</v>
      </c>
      <c r="C4327" t="s">
        <v>35602</v>
      </c>
      <c r="D4327" t="s">
        <v>27245</v>
      </c>
      <c r="E4327" t="str">
        <f t="shared" si="67"/>
        <v>001390</v>
      </c>
      <c r="F4327" t="s">
        <v>27246</v>
      </c>
      <c r="G4327" t="s">
        <v>27247</v>
      </c>
      <c r="H4327" t="s">
        <v>27248</v>
      </c>
      <c r="I4327" t="s">
        <v>35603</v>
      </c>
      <c r="J4327" t="s">
        <v>8647</v>
      </c>
      <c r="L4327" t="s">
        <v>27250</v>
      </c>
      <c r="M4327" t="s">
        <v>27251</v>
      </c>
      <c r="N4327" t="s">
        <v>27252</v>
      </c>
      <c r="Q4327" s="1">
        <v>44538</v>
      </c>
      <c r="R4327" t="s">
        <v>27253</v>
      </c>
      <c r="S4327" t="s">
        <v>27254</v>
      </c>
      <c r="T4327" t="s">
        <v>27255</v>
      </c>
    </row>
    <row r="4328" spans="1:20" x14ac:dyDescent="0.3">
      <c r="A4328" t="str">
        <f>"0611839366100"</f>
        <v>0611839366100</v>
      </c>
      <c r="B4328" t="str">
        <f>"LL8022"</f>
        <v>LL8022</v>
      </c>
      <c r="C4328" t="s">
        <v>35604</v>
      </c>
      <c r="D4328" t="s">
        <v>27245</v>
      </c>
      <c r="E4328" t="str">
        <f t="shared" si="67"/>
        <v>001390</v>
      </c>
      <c r="F4328" t="s">
        <v>27246</v>
      </c>
      <c r="G4328" t="s">
        <v>27247</v>
      </c>
      <c r="H4328" t="s">
        <v>27248</v>
      </c>
      <c r="I4328" t="s">
        <v>35605</v>
      </c>
      <c r="J4328" t="s">
        <v>8649</v>
      </c>
      <c r="L4328" t="s">
        <v>27250</v>
      </c>
      <c r="M4328" t="s">
        <v>27251</v>
      </c>
      <c r="N4328" t="s">
        <v>27252</v>
      </c>
      <c r="Q4328" s="1">
        <v>44538</v>
      </c>
      <c r="R4328" t="s">
        <v>27253</v>
      </c>
      <c r="S4328" t="s">
        <v>27254</v>
      </c>
      <c r="T4328" t="s">
        <v>27255</v>
      </c>
    </row>
    <row r="4329" spans="1:20" x14ac:dyDescent="0.3">
      <c r="A4329" t="str">
        <f>"0611839367100"</f>
        <v>0611839367100</v>
      </c>
      <c r="B4329" t="str">
        <f>"LL8017"</f>
        <v>LL8017</v>
      </c>
      <c r="C4329" t="s">
        <v>35606</v>
      </c>
      <c r="D4329" t="s">
        <v>27245</v>
      </c>
      <c r="E4329" t="str">
        <f t="shared" si="67"/>
        <v>001390</v>
      </c>
      <c r="F4329" t="s">
        <v>27246</v>
      </c>
      <c r="G4329" t="s">
        <v>27247</v>
      </c>
      <c r="H4329" t="s">
        <v>27248</v>
      </c>
      <c r="I4329" t="s">
        <v>35607</v>
      </c>
      <c r="J4329" t="s">
        <v>8651</v>
      </c>
      <c r="L4329" t="s">
        <v>27250</v>
      </c>
      <c r="M4329" t="s">
        <v>27251</v>
      </c>
      <c r="N4329" t="s">
        <v>27252</v>
      </c>
      <c r="Q4329" s="1">
        <v>44538</v>
      </c>
      <c r="R4329" t="s">
        <v>27253</v>
      </c>
      <c r="S4329" t="s">
        <v>27254</v>
      </c>
      <c r="T4329" t="s">
        <v>27255</v>
      </c>
    </row>
    <row r="4330" spans="1:20" x14ac:dyDescent="0.3">
      <c r="A4330" t="str">
        <f>"0611839368100"</f>
        <v>0611839368100</v>
      </c>
      <c r="B4330" t="str">
        <f>"LL1823"</f>
        <v>LL1823</v>
      </c>
      <c r="C4330" t="s">
        <v>35608</v>
      </c>
      <c r="D4330" t="s">
        <v>27245</v>
      </c>
      <c r="E4330" t="str">
        <f t="shared" si="67"/>
        <v>001390</v>
      </c>
      <c r="F4330" t="s">
        <v>27246</v>
      </c>
      <c r="G4330" t="s">
        <v>27247</v>
      </c>
      <c r="H4330" t="s">
        <v>27248</v>
      </c>
      <c r="I4330" t="s">
        <v>35609</v>
      </c>
      <c r="J4330" t="s">
        <v>8653</v>
      </c>
      <c r="L4330" t="s">
        <v>27250</v>
      </c>
      <c r="M4330" t="s">
        <v>27251</v>
      </c>
      <c r="N4330" t="s">
        <v>27252</v>
      </c>
      <c r="Q4330" s="1">
        <v>44538</v>
      </c>
      <c r="R4330" t="s">
        <v>27253</v>
      </c>
      <c r="S4330" t="s">
        <v>27254</v>
      </c>
      <c r="T4330" t="s">
        <v>27255</v>
      </c>
    </row>
    <row r="4331" spans="1:20" x14ac:dyDescent="0.3">
      <c r="A4331" t="str">
        <f>"0611856943100"</f>
        <v>0611856943100</v>
      </c>
      <c r="B4331" t="str">
        <f>"LL5037"</f>
        <v>LL5037</v>
      </c>
      <c r="C4331" t="s">
        <v>35610</v>
      </c>
      <c r="D4331" t="s">
        <v>27245</v>
      </c>
      <c r="E4331" t="str">
        <f t="shared" si="67"/>
        <v>001390</v>
      </c>
      <c r="F4331" t="s">
        <v>27246</v>
      </c>
      <c r="G4331" t="s">
        <v>27247</v>
      </c>
      <c r="H4331" t="s">
        <v>27248</v>
      </c>
      <c r="I4331" t="s">
        <v>35611</v>
      </c>
      <c r="J4331" t="s">
        <v>8655</v>
      </c>
      <c r="L4331" t="s">
        <v>27250</v>
      </c>
      <c r="M4331" t="s">
        <v>27251</v>
      </c>
      <c r="N4331" t="s">
        <v>27252</v>
      </c>
      <c r="Q4331" s="1">
        <v>44812</v>
      </c>
      <c r="R4331" t="s">
        <v>27253</v>
      </c>
      <c r="S4331" t="s">
        <v>27254</v>
      </c>
      <c r="T4331" t="s">
        <v>27255</v>
      </c>
    </row>
    <row r="4332" spans="1:20" x14ac:dyDescent="0.3">
      <c r="A4332" t="str">
        <f>"0611839369100"</f>
        <v>0611839369100</v>
      </c>
      <c r="B4332" t="str">
        <f>"LL1776"</f>
        <v>LL1776</v>
      </c>
      <c r="C4332" t="s">
        <v>35612</v>
      </c>
      <c r="D4332" t="s">
        <v>27245</v>
      </c>
      <c r="E4332" t="str">
        <f t="shared" si="67"/>
        <v>001390</v>
      </c>
      <c r="F4332" t="s">
        <v>27246</v>
      </c>
      <c r="G4332" t="s">
        <v>27247</v>
      </c>
      <c r="H4332" t="s">
        <v>27248</v>
      </c>
      <c r="I4332" t="s">
        <v>35613</v>
      </c>
      <c r="J4332" t="s">
        <v>8657</v>
      </c>
      <c r="L4332" t="s">
        <v>27250</v>
      </c>
      <c r="M4332" t="s">
        <v>27251</v>
      </c>
      <c r="N4332" t="s">
        <v>27252</v>
      </c>
      <c r="Q4332" s="1">
        <v>44538</v>
      </c>
      <c r="R4332" t="s">
        <v>27253</v>
      </c>
      <c r="S4332" t="s">
        <v>27254</v>
      </c>
      <c r="T4332" t="s">
        <v>27255</v>
      </c>
    </row>
    <row r="4333" spans="1:20" x14ac:dyDescent="0.3">
      <c r="A4333" t="str">
        <f>"0611839370100"</f>
        <v>0611839370100</v>
      </c>
      <c r="B4333" t="str">
        <f>"LL4832"</f>
        <v>LL4832</v>
      </c>
      <c r="C4333" t="s">
        <v>35614</v>
      </c>
      <c r="D4333" t="s">
        <v>27245</v>
      </c>
      <c r="E4333" t="str">
        <f t="shared" si="67"/>
        <v>001390</v>
      </c>
      <c r="F4333" t="s">
        <v>27246</v>
      </c>
      <c r="G4333" t="s">
        <v>27247</v>
      </c>
      <c r="H4333" t="s">
        <v>27248</v>
      </c>
      <c r="I4333" t="s">
        <v>35615</v>
      </c>
      <c r="J4333" t="s">
        <v>8659</v>
      </c>
      <c r="L4333" t="s">
        <v>27250</v>
      </c>
      <c r="M4333" t="s">
        <v>27251</v>
      </c>
      <c r="N4333" t="s">
        <v>27252</v>
      </c>
      <c r="Q4333" s="1">
        <v>44538</v>
      </c>
      <c r="R4333" t="s">
        <v>27253</v>
      </c>
      <c r="S4333" t="s">
        <v>27254</v>
      </c>
      <c r="T4333" t="s">
        <v>27255</v>
      </c>
    </row>
    <row r="4334" spans="1:20" x14ac:dyDescent="0.3">
      <c r="A4334" t="str">
        <f>"0611839371100"</f>
        <v>0611839371100</v>
      </c>
      <c r="B4334" t="str">
        <f>"LL1825"</f>
        <v>LL1825</v>
      </c>
      <c r="C4334" t="s">
        <v>35616</v>
      </c>
      <c r="D4334" t="s">
        <v>27245</v>
      </c>
      <c r="E4334" t="str">
        <f t="shared" si="67"/>
        <v>001390</v>
      </c>
      <c r="F4334" t="s">
        <v>27246</v>
      </c>
      <c r="G4334" t="s">
        <v>27247</v>
      </c>
      <c r="H4334" t="s">
        <v>27248</v>
      </c>
      <c r="I4334" t="s">
        <v>35617</v>
      </c>
      <c r="J4334" t="s">
        <v>8661</v>
      </c>
      <c r="L4334" t="s">
        <v>27250</v>
      </c>
      <c r="M4334" t="s">
        <v>27251</v>
      </c>
      <c r="N4334" t="s">
        <v>27252</v>
      </c>
      <c r="Q4334" s="1">
        <v>44538</v>
      </c>
      <c r="R4334" t="s">
        <v>27253</v>
      </c>
      <c r="S4334" t="s">
        <v>27254</v>
      </c>
      <c r="T4334" t="s">
        <v>27255</v>
      </c>
    </row>
    <row r="4335" spans="1:20" x14ac:dyDescent="0.3">
      <c r="A4335" t="str">
        <f>"0611839373100"</f>
        <v>0611839373100</v>
      </c>
      <c r="B4335" t="str">
        <f>"LL1830"</f>
        <v>LL1830</v>
      </c>
      <c r="C4335" t="s">
        <v>35618</v>
      </c>
      <c r="D4335" t="s">
        <v>27245</v>
      </c>
      <c r="E4335" t="str">
        <f t="shared" si="67"/>
        <v>001390</v>
      </c>
      <c r="F4335" t="s">
        <v>27246</v>
      </c>
      <c r="G4335" t="s">
        <v>27247</v>
      </c>
      <c r="H4335" t="s">
        <v>27248</v>
      </c>
      <c r="I4335" t="s">
        <v>35619</v>
      </c>
      <c r="J4335" t="s">
        <v>8663</v>
      </c>
      <c r="L4335" t="s">
        <v>27250</v>
      </c>
      <c r="M4335" t="s">
        <v>27251</v>
      </c>
      <c r="N4335" t="s">
        <v>27252</v>
      </c>
      <c r="Q4335" s="1">
        <v>44538</v>
      </c>
      <c r="R4335" t="s">
        <v>27253</v>
      </c>
      <c r="S4335" t="s">
        <v>27254</v>
      </c>
      <c r="T4335" t="s">
        <v>27255</v>
      </c>
    </row>
    <row r="4336" spans="1:20" x14ac:dyDescent="0.3">
      <c r="A4336" t="str">
        <f>"0611839374100"</f>
        <v>0611839374100</v>
      </c>
      <c r="B4336" t="str">
        <f>"LL8190"</f>
        <v>LL8190</v>
      </c>
      <c r="C4336" t="s">
        <v>35620</v>
      </c>
      <c r="D4336" t="s">
        <v>27245</v>
      </c>
      <c r="E4336" t="str">
        <f t="shared" si="67"/>
        <v>001390</v>
      </c>
      <c r="F4336" t="s">
        <v>27246</v>
      </c>
      <c r="G4336" t="s">
        <v>27247</v>
      </c>
      <c r="H4336" t="s">
        <v>27248</v>
      </c>
      <c r="I4336" t="s">
        <v>35621</v>
      </c>
      <c r="J4336" t="s">
        <v>8665</v>
      </c>
      <c r="L4336" t="s">
        <v>27250</v>
      </c>
      <c r="M4336" t="s">
        <v>27251</v>
      </c>
      <c r="N4336" t="s">
        <v>27252</v>
      </c>
      <c r="Q4336" s="1">
        <v>44538</v>
      </c>
      <c r="R4336" t="s">
        <v>27253</v>
      </c>
      <c r="S4336" t="s">
        <v>27254</v>
      </c>
      <c r="T4336" t="s">
        <v>27255</v>
      </c>
    </row>
    <row r="4337" spans="1:20" x14ac:dyDescent="0.3">
      <c r="A4337" t="str">
        <f>"0611839375100"</f>
        <v>0611839375100</v>
      </c>
      <c r="B4337" t="str">
        <f>"LL1778"</f>
        <v>LL1778</v>
      </c>
      <c r="C4337" t="s">
        <v>35622</v>
      </c>
      <c r="D4337" t="s">
        <v>27245</v>
      </c>
      <c r="E4337" t="str">
        <f t="shared" si="67"/>
        <v>001390</v>
      </c>
      <c r="F4337" t="s">
        <v>27246</v>
      </c>
      <c r="G4337" t="s">
        <v>27247</v>
      </c>
      <c r="H4337" t="s">
        <v>27248</v>
      </c>
      <c r="I4337" t="s">
        <v>35623</v>
      </c>
      <c r="J4337" t="s">
        <v>8667</v>
      </c>
      <c r="L4337" t="s">
        <v>27250</v>
      </c>
      <c r="M4337" t="s">
        <v>27251</v>
      </c>
      <c r="N4337" t="s">
        <v>27252</v>
      </c>
      <c r="Q4337" s="1">
        <v>44538</v>
      </c>
      <c r="R4337" t="s">
        <v>27253</v>
      </c>
      <c r="S4337" t="s">
        <v>27254</v>
      </c>
      <c r="T4337" t="s">
        <v>27255</v>
      </c>
    </row>
    <row r="4338" spans="1:20" x14ac:dyDescent="0.3">
      <c r="A4338" t="str">
        <f>"0611839376100"</f>
        <v>0611839376100</v>
      </c>
      <c r="B4338" t="str">
        <f>"LL8123"</f>
        <v>LL8123</v>
      </c>
      <c r="C4338" t="s">
        <v>35624</v>
      </c>
      <c r="D4338" t="s">
        <v>27245</v>
      </c>
      <c r="E4338" t="str">
        <f t="shared" si="67"/>
        <v>001390</v>
      </c>
      <c r="F4338" t="s">
        <v>27246</v>
      </c>
      <c r="G4338" t="s">
        <v>27247</v>
      </c>
      <c r="H4338" t="s">
        <v>27248</v>
      </c>
      <c r="I4338" t="s">
        <v>35625</v>
      </c>
      <c r="J4338" t="s">
        <v>8669</v>
      </c>
      <c r="L4338" t="s">
        <v>27250</v>
      </c>
      <c r="M4338" t="s">
        <v>27251</v>
      </c>
      <c r="N4338" t="s">
        <v>27252</v>
      </c>
      <c r="Q4338" s="1">
        <v>44538</v>
      </c>
      <c r="R4338" t="s">
        <v>27253</v>
      </c>
      <c r="S4338" t="s">
        <v>27254</v>
      </c>
      <c r="T4338" t="s">
        <v>27255</v>
      </c>
    </row>
    <row r="4339" spans="1:20" x14ac:dyDescent="0.3">
      <c r="A4339" t="str">
        <f>"0611856944100"</f>
        <v>0611856944100</v>
      </c>
      <c r="B4339" t="str">
        <f>"LL5038"</f>
        <v>LL5038</v>
      </c>
      <c r="C4339" t="s">
        <v>35626</v>
      </c>
      <c r="D4339" t="s">
        <v>27245</v>
      </c>
      <c r="E4339" t="str">
        <f t="shared" si="67"/>
        <v>001390</v>
      </c>
      <c r="F4339" t="s">
        <v>27246</v>
      </c>
      <c r="G4339" t="s">
        <v>27247</v>
      </c>
      <c r="H4339" t="s">
        <v>27248</v>
      </c>
      <c r="I4339" t="s">
        <v>35627</v>
      </c>
      <c r="J4339" t="s">
        <v>8671</v>
      </c>
      <c r="L4339" t="s">
        <v>27250</v>
      </c>
      <c r="M4339" t="s">
        <v>27251</v>
      </c>
      <c r="N4339" t="s">
        <v>27252</v>
      </c>
      <c r="Q4339" s="1">
        <v>44812</v>
      </c>
      <c r="R4339" t="s">
        <v>27253</v>
      </c>
      <c r="S4339" t="s">
        <v>27254</v>
      </c>
      <c r="T4339" t="s">
        <v>27255</v>
      </c>
    </row>
    <row r="4340" spans="1:20" x14ac:dyDescent="0.3">
      <c r="A4340" t="str">
        <f>"0611856945100"</f>
        <v>0611856945100</v>
      </c>
      <c r="B4340" t="str">
        <f>"LL5039"</f>
        <v>LL5039</v>
      </c>
      <c r="C4340" t="s">
        <v>35628</v>
      </c>
      <c r="D4340" t="s">
        <v>27245</v>
      </c>
      <c r="E4340" t="str">
        <f t="shared" si="67"/>
        <v>001390</v>
      </c>
      <c r="F4340" t="s">
        <v>27246</v>
      </c>
      <c r="G4340" t="s">
        <v>27247</v>
      </c>
      <c r="H4340" t="s">
        <v>27248</v>
      </c>
      <c r="I4340" t="s">
        <v>35629</v>
      </c>
      <c r="J4340" t="s">
        <v>8673</v>
      </c>
      <c r="L4340" t="s">
        <v>27250</v>
      </c>
      <c r="M4340" t="s">
        <v>27251</v>
      </c>
      <c r="N4340" t="s">
        <v>27252</v>
      </c>
      <c r="Q4340" s="1">
        <v>44812</v>
      </c>
      <c r="R4340" t="s">
        <v>27253</v>
      </c>
      <c r="S4340" t="s">
        <v>27254</v>
      </c>
      <c r="T4340" t="s">
        <v>27255</v>
      </c>
    </row>
    <row r="4341" spans="1:20" x14ac:dyDescent="0.3">
      <c r="A4341" t="str">
        <f>"0611839377100"</f>
        <v>0611839377100</v>
      </c>
      <c r="B4341" t="str">
        <f>"LL1850"</f>
        <v>LL1850</v>
      </c>
      <c r="C4341" t="s">
        <v>35630</v>
      </c>
      <c r="D4341" t="s">
        <v>27245</v>
      </c>
      <c r="E4341" t="str">
        <f t="shared" si="67"/>
        <v>001390</v>
      </c>
      <c r="F4341" t="s">
        <v>27246</v>
      </c>
      <c r="G4341" t="s">
        <v>27247</v>
      </c>
      <c r="H4341" t="s">
        <v>27248</v>
      </c>
      <c r="I4341" t="s">
        <v>35631</v>
      </c>
      <c r="J4341" t="s">
        <v>8675</v>
      </c>
      <c r="L4341" t="s">
        <v>27250</v>
      </c>
      <c r="M4341" t="s">
        <v>27251</v>
      </c>
      <c r="N4341" t="s">
        <v>27252</v>
      </c>
      <c r="Q4341" s="1">
        <v>44538</v>
      </c>
      <c r="R4341" t="s">
        <v>27253</v>
      </c>
      <c r="S4341" t="s">
        <v>27254</v>
      </c>
      <c r="T4341" t="s">
        <v>27255</v>
      </c>
    </row>
    <row r="4342" spans="1:20" x14ac:dyDescent="0.3">
      <c r="A4342" t="str">
        <f>"0611839378100"</f>
        <v>0611839378100</v>
      </c>
      <c r="B4342" t="str">
        <f>"LL8308"</f>
        <v>LL8308</v>
      </c>
      <c r="C4342" t="s">
        <v>35632</v>
      </c>
      <c r="D4342" t="s">
        <v>27245</v>
      </c>
      <c r="E4342" t="str">
        <f t="shared" si="67"/>
        <v>001390</v>
      </c>
      <c r="F4342" t="s">
        <v>27246</v>
      </c>
      <c r="G4342" t="s">
        <v>27247</v>
      </c>
      <c r="H4342" t="s">
        <v>27248</v>
      </c>
      <c r="I4342" t="s">
        <v>35633</v>
      </c>
      <c r="J4342" t="s">
        <v>8677</v>
      </c>
      <c r="L4342" t="s">
        <v>27250</v>
      </c>
      <c r="M4342" t="s">
        <v>27251</v>
      </c>
      <c r="N4342" t="s">
        <v>27252</v>
      </c>
      <c r="Q4342" s="1">
        <v>44538</v>
      </c>
      <c r="R4342" t="s">
        <v>27253</v>
      </c>
      <c r="S4342" t="s">
        <v>27254</v>
      </c>
      <c r="T4342" t="s">
        <v>27255</v>
      </c>
    </row>
    <row r="4343" spans="1:20" x14ac:dyDescent="0.3">
      <c r="A4343" t="str">
        <f>"0611839379100"</f>
        <v>0611839379100</v>
      </c>
      <c r="B4343" t="str">
        <f>"LL8191"</f>
        <v>LL8191</v>
      </c>
      <c r="C4343" t="s">
        <v>35634</v>
      </c>
      <c r="D4343" t="s">
        <v>27245</v>
      </c>
      <c r="E4343" t="str">
        <f t="shared" si="67"/>
        <v>001390</v>
      </c>
      <c r="F4343" t="s">
        <v>27246</v>
      </c>
      <c r="G4343" t="s">
        <v>27247</v>
      </c>
      <c r="H4343" t="s">
        <v>27248</v>
      </c>
      <c r="I4343" t="s">
        <v>35635</v>
      </c>
      <c r="J4343" t="s">
        <v>8679</v>
      </c>
      <c r="L4343" t="s">
        <v>27250</v>
      </c>
      <c r="M4343" t="s">
        <v>27251</v>
      </c>
      <c r="N4343" t="s">
        <v>27252</v>
      </c>
      <c r="Q4343" s="1">
        <v>44538</v>
      </c>
      <c r="R4343" t="s">
        <v>27253</v>
      </c>
      <c r="S4343" t="s">
        <v>27254</v>
      </c>
      <c r="T4343" t="s">
        <v>27255</v>
      </c>
    </row>
    <row r="4344" spans="1:20" x14ac:dyDescent="0.3">
      <c r="A4344" t="str">
        <f>"0611856946100"</f>
        <v>0611856946100</v>
      </c>
      <c r="B4344" t="str">
        <f>"LL5040"</f>
        <v>LL5040</v>
      </c>
      <c r="C4344" t="s">
        <v>35636</v>
      </c>
      <c r="D4344" t="s">
        <v>27245</v>
      </c>
      <c r="E4344" t="str">
        <f t="shared" si="67"/>
        <v>001390</v>
      </c>
      <c r="F4344" t="s">
        <v>27246</v>
      </c>
      <c r="G4344" t="s">
        <v>27247</v>
      </c>
      <c r="H4344" t="s">
        <v>27248</v>
      </c>
      <c r="I4344" t="s">
        <v>35637</v>
      </c>
      <c r="J4344" t="s">
        <v>8681</v>
      </c>
      <c r="L4344" t="s">
        <v>27250</v>
      </c>
      <c r="M4344" t="s">
        <v>27251</v>
      </c>
      <c r="N4344" t="s">
        <v>27252</v>
      </c>
      <c r="Q4344" s="1">
        <v>44812</v>
      </c>
      <c r="R4344" t="s">
        <v>27253</v>
      </c>
      <c r="S4344" t="s">
        <v>27254</v>
      </c>
      <c r="T4344" t="s">
        <v>27255</v>
      </c>
    </row>
    <row r="4345" spans="1:20" x14ac:dyDescent="0.3">
      <c r="A4345" t="str">
        <f>"0611839381100"</f>
        <v>0611839381100</v>
      </c>
      <c r="B4345" t="str">
        <f>"LL1782"</f>
        <v>LL1782</v>
      </c>
      <c r="C4345" t="s">
        <v>35638</v>
      </c>
      <c r="D4345" t="s">
        <v>27245</v>
      </c>
      <c r="E4345" t="str">
        <f t="shared" si="67"/>
        <v>001390</v>
      </c>
      <c r="F4345" t="s">
        <v>27246</v>
      </c>
      <c r="G4345" t="s">
        <v>27247</v>
      </c>
      <c r="H4345" t="s">
        <v>27248</v>
      </c>
      <c r="I4345" t="s">
        <v>35639</v>
      </c>
      <c r="J4345" t="s">
        <v>8683</v>
      </c>
      <c r="L4345" t="s">
        <v>27250</v>
      </c>
      <c r="M4345" t="s">
        <v>27251</v>
      </c>
      <c r="N4345" t="s">
        <v>27252</v>
      </c>
      <c r="Q4345" s="1">
        <v>44538</v>
      </c>
      <c r="R4345" t="s">
        <v>27253</v>
      </c>
      <c r="S4345" t="s">
        <v>27254</v>
      </c>
      <c r="T4345" t="s">
        <v>27255</v>
      </c>
    </row>
    <row r="4346" spans="1:20" x14ac:dyDescent="0.3">
      <c r="A4346" t="str">
        <f>"0611839382100"</f>
        <v>0611839382100</v>
      </c>
      <c r="B4346" t="str">
        <f>"LL1827"</f>
        <v>LL1827</v>
      </c>
      <c r="C4346" t="s">
        <v>35640</v>
      </c>
      <c r="D4346" t="s">
        <v>27245</v>
      </c>
      <c r="E4346" t="str">
        <f t="shared" si="67"/>
        <v>001390</v>
      </c>
      <c r="F4346" t="s">
        <v>27246</v>
      </c>
      <c r="G4346" t="s">
        <v>27247</v>
      </c>
      <c r="H4346" t="s">
        <v>27248</v>
      </c>
      <c r="I4346" t="s">
        <v>35641</v>
      </c>
      <c r="J4346" t="s">
        <v>8685</v>
      </c>
      <c r="L4346" t="s">
        <v>27250</v>
      </c>
      <c r="M4346" t="s">
        <v>27251</v>
      </c>
      <c r="N4346" t="s">
        <v>27252</v>
      </c>
      <c r="Q4346" s="1">
        <v>44538</v>
      </c>
      <c r="R4346" t="s">
        <v>27253</v>
      </c>
      <c r="S4346" t="s">
        <v>27254</v>
      </c>
      <c r="T4346" t="s">
        <v>27255</v>
      </c>
    </row>
    <row r="4347" spans="1:20" x14ac:dyDescent="0.3">
      <c r="A4347" t="str">
        <f>"0611832928100"</f>
        <v>0611832928100</v>
      </c>
      <c r="B4347" t="str">
        <f>"LC6211"</f>
        <v>LC6211</v>
      </c>
      <c r="C4347" t="s">
        <v>35642</v>
      </c>
      <c r="D4347" t="s">
        <v>27245</v>
      </c>
      <c r="E4347" t="str">
        <f t="shared" si="67"/>
        <v>001390</v>
      </c>
      <c r="F4347" t="s">
        <v>27246</v>
      </c>
      <c r="G4347" t="s">
        <v>27247</v>
      </c>
      <c r="H4347" t="s">
        <v>27248</v>
      </c>
      <c r="I4347" t="s">
        <v>35643</v>
      </c>
      <c r="J4347" t="s">
        <v>8687</v>
      </c>
      <c r="L4347" t="s">
        <v>27250</v>
      </c>
      <c r="M4347" t="s">
        <v>27251</v>
      </c>
      <c r="N4347" t="s">
        <v>27252</v>
      </c>
      <c r="Q4347" s="1">
        <v>44538</v>
      </c>
      <c r="R4347" t="s">
        <v>27253</v>
      </c>
      <c r="S4347" t="s">
        <v>27254</v>
      </c>
      <c r="T4347" t="s">
        <v>27255</v>
      </c>
    </row>
    <row r="4348" spans="1:20" x14ac:dyDescent="0.3">
      <c r="A4348" t="str">
        <f>"0611834177025"</f>
        <v>0611834177025</v>
      </c>
      <c r="B4348" t="str">
        <f>"MC3722"</f>
        <v>MC3722</v>
      </c>
      <c r="C4348" t="s">
        <v>35644</v>
      </c>
      <c r="D4348" t="s">
        <v>27267</v>
      </c>
      <c r="E4348" t="str">
        <f t="shared" si="67"/>
        <v>001390</v>
      </c>
      <c r="F4348" t="s">
        <v>27246</v>
      </c>
      <c r="G4348" t="s">
        <v>27247</v>
      </c>
      <c r="H4348" t="s">
        <v>27248</v>
      </c>
      <c r="I4348" t="s">
        <v>35645</v>
      </c>
      <c r="J4348" t="s">
        <v>8689</v>
      </c>
      <c r="L4348" t="s">
        <v>27250</v>
      </c>
      <c r="M4348" t="s">
        <v>27251</v>
      </c>
      <c r="N4348" t="s">
        <v>27252</v>
      </c>
      <c r="Q4348" s="1">
        <v>44538</v>
      </c>
      <c r="R4348" t="s">
        <v>27253</v>
      </c>
      <c r="S4348" t="s">
        <v>27254</v>
      </c>
      <c r="T4348" t="s">
        <v>27269</v>
      </c>
    </row>
    <row r="4349" spans="1:20" x14ac:dyDescent="0.3">
      <c r="A4349" t="str">
        <f>"0611861951100"</f>
        <v>0611861951100</v>
      </c>
      <c r="B4349" t="str">
        <f>"CN2104"</f>
        <v>CN2104</v>
      </c>
      <c r="C4349" t="s">
        <v>35646</v>
      </c>
      <c r="D4349" t="s">
        <v>27335</v>
      </c>
      <c r="E4349" t="str">
        <f t="shared" si="67"/>
        <v>001390</v>
      </c>
      <c r="F4349" t="s">
        <v>27246</v>
      </c>
      <c r="G4349" t="s">
        <v>27247</v>
      </c>
      <c r="H4349" t="s">
        <v>27248</v>
      </c>
      <c r="I4349" t="s">
        <v>35647</v>
      </c>
      <c r="J4349" t="s">
        <v>8691</v>
      </c>
      <c r="L4349" t="s">
        <v>27250</v>
      </c>
      <c r="M4349" t="s">
        <v>27251</v>
      </c>
      <c r="N4349" t="s">
        <v>27252</v>
      </c>
      <c r="Q4349" s="1">
        <v>44846</v>
      </c>
      <c r="R4349" t="s">
        <v>27253</v>
      </c>
      <c r="S4349" t="s">
        <v>27254</v>
      </c>
      <c r="T4349" t="s">
        <v>27255</v>
      </c>
    </row>
    <row r="4350" spans="1:20" x14ac:dyDescent="0.3">
      <c r="A4350" t="str">
        <f>"0611884206100"</f>
        <v>0611884206100</v>
      </c>
      <c r="B4350" t="str">
        <f>"LF8531"</f>
        <v>LF8531</v>
      </c>
      <c r="C4350" t="s">
        <v>35648</v>
      </c>
      <c r="D4350" t="s">
        <v>27245</v>
      </c>
      <c r="E4350" t="str">
        <f t="shared" si="67"/>
        <v>001390</v>
      </c>
      <c r="F4350" t="s">
        <v>27246</v>
      </c>
      <c r="G4350" t="s">
        <v>27247</v>
      </c>
      <c r="H4350" t="s">
        <v>27248</v>
      </c>
      <c r="I4350" t="s">
        <v>35649</v>
      </c>
      <c r="J4350" t="s">
        <v>8693</v>
      </c>
      <c r="L4350" t="s">
        <v>27430</v>
      </c>
      <c r="M4350" t="s">
        <v>27251</v>
      </c>
      <c r="N4350" t="s">
        <v>27252</v>
      </c>
      <c r="Q4350" s="1">
        <v>45250</v>
      </c>
      <c r="R4350" t="s">
        <v>27253</v>
      </c>
      <c r="S4350" t="s">
        <v>27254</v>
      </c>
      <c r="T4350" t="s">
        <v>27255</v>
      </c>
    </row>
    <row r="4351" spans="1:20" x14ac:dyDescent="0.3">
      <c r="A4351" t="str">
        <f>"0611834178100"</f>
        <v>0611834178100</v>
      </c>
      <c r="B4351" t="str">
        <f>"LF7026"</f>
        <v>LF7026</v>
      </c>
      <c r="C4351" t="s">
        <v>35650</v>
      </c>
      <c r="D4351" t="s">
        <v>27245</v>
      </c>
      <c r="E4351" t="str">
        <f t="shared" si="67"/>
        <v>001390</v>
      </c>
      <c r="F4351" t="s">
        <v>27246</v>
      </c>
      <c r="G4351" t="s">
        <v>27247</v>
      </c>
      <c r="H4351" t="s">
        <v>27248</v>
      </c>
      <c r="I4351" t="s">
        <v>35651</v>
      </c>
      <c r="J4351" t="s">
        <v>21624</v>
      </c>
      <c r="L4351" t="s">
        <v>27250</v>
      </c>
      <c r="M4351" t="s">
        <v>27251</v>
      </c>
      <c r="N4351" t="s">
        <v>27252</v>
      </c>
      <c r="Q4351" s="1">
        <v>44538</v>
      </c>
      <c r="R4351" t="s">
        <v>27253</v>
      </c>
      <c r="S4351" t="s">
        <v>27254</v>
      </c>
      <c r="T4351" t="s">
        <v>27255</v>
      </c>
    </row>
    <row r="4352" spans="1:20" x14ac:dyDescent="0.3">
      <c r="A4352" t="str">
        <f>"0611834179100"</f>
        <v>0611834179100</v>
      </c>
      <c r="B4352" t="str">
        <f>"LF7027"</f>
        <v>LF7027</v>
      </c>
      <c r="C4352" t="s">
        <v>35652</v>
      </c>
      <c r="D4352" t="s">
        <v>27245</v>
      </c>
      <c r="E4352" t="str">
        <f t="shared" si="67"/>
        <v>001390</v>
      </c>
      <c r="F4352" t="s">
        <v>27246</v>
      </c>
      <c r="G4352" t="s">
        <v>27247</v>
      </c>
      <c r="H4352" t="s">
        <v>27248</v>
      </c>
      <c r="I4352" t="s">
        <v>35653</v>
      </c>
      <c r="J4352" t="s">
        <v>21630</v>
      </c>
      <c r="L4352" t="s">
        <v>27250</v>
      </c>
      <c r="M4352" t="s">
        <v>27251</v>
      </c>
      <c r="N4352" t="s">
        <v>27252</v>
      </c>
      <c r="Q4352" s="1">
        <v>44538</v>
      </c>
      <c r="R4352" t="s">
        <v>27253</v>
      </c>
      <c r="S4352" t="s">
        <v>27254</v>
      </c>
      <c r="T4352" t="s">
        <v>27255</v>
      </c>
    </row>
    <row r="4353" spans="1:20" x14ac:dyDescent="0.3">
      <c r="A4353" t="str">
        <f>"0611834180100"</f>
        <v>0611834180100</v>
      </c>
      <c r="B4353" t="str">
        <f>"MB7023"</f>
        <v>MB7023</v>
      </c>
      <c r="C4353" t="s">
        <v>35654</v>
      </c>
      <c r="D4353" t="s">
        <v>27274</v>
      </c>
      <c r="E4353" t="str">
        <f t="shared" si="67"/>
        <v>001390</v>
      </c>
      <c r="F4353" t="s">
        <v>27246</v>
      </c>
      <c r="G4353" t="s">
        <v>27247</v>
      </c>
      <c r="H4353" t="s">
        <v>27248</v>
      </c>
      <c r="I4353" t="s">
        <v>35655</v>
      </c>
      <c r="J4353" t="s">
        <v>21626</v>
      </c>
      <c r="L4353" t="s">
        <v>27250</v>
      </c>
      <c r="M4353" t="s">
        <v>27251</v>
      </c>
      <c r="N4353" t="s">
        <v>27252</v>
      </c>
      <c r="Q4353" s="1">
        <v>44538</v>
      </c>
      <c r="R4353" t="s">
        <v>27253</v>
      </c>
      <c r="S4353" t="s">
        <v>27254</v>
      </c>
      <c r="T4353" t="s">
        <v>27276</v>
      </c>
    </row>
    <row r="4354" spans="1:20" x14ac:dyDescent="0.3">
      <c r="A4354" t="str">
        <f>"0611834181100"</f>
        <v>0611834181100</v>
      </c>
      <c r="B4354" t="str">
        <f>"LF6190"</f>
        <v>LF6190</v>
      </c>
      <c r="C4354" t="s">
        <v>35654</v>
      </c>
      <c r="D4354" t="s">
        <v>27245</v>
      </c>
      <c r="E4354" t="str">
        <f t="shared" ref="E4354:E4417" si="68">"001390"</f>
        <v>001390</v>
      </c>
      <c r="F4354" t="s">
        <v>27246</v>
      </c>
      <c r="G4354" t="s">
        <v>27247</v>
      </c>
      <c r="H4354" t="s">
        <v>27248</v>
      </c>
      <c r="I4354" t="s">
        <v>35656</v>
      </c>
      <c r="J4354" t="s">
        <v>21628</v>
      </c>
      <c r="L4354" t="s">
        <v>27250</v>
      </c>
      <c r="M4354" t="s">
        <v>27251</v>
      </c>
      <c r="N4354" t="s">
        <v>27252</v>
      </c>
      <c r="Q4354" s="1">
        <v>44538</v>
      </c>
      <c r="R4354" t="s">
        <v>27253</v>
      </c>
      <c r="S4354" t="s">
        <v>27254</v>
      </c>
      <c r="T4354" t="s">
        <v>27255</v>
      </c>
    </row>
    <row r="4355" spans="1:20" x14ac:dyDescent="0.3">
      <c r="A4355" t="str">
        <f>"0611834183025"</f>
        <v>0611834183025</v>
      </c>
      <c r="B4355" t="str">
        <f>"MC0282"</f>
        <v>MC0282</v>
      </c>
      <c r="C4355" t="s">
        <v>35657</v>
      </c>
      <c r="D4355" t="s">
        <v>27267</v>
      </c>
      <c r="E4355" t="str">
        <f t="shared" si="68"/>
        <v>001390</v>
      </c>
      <c r="F4355" t="s">
        <v>27246</v>
      </c>
      <c r="G4355" t="s">
        <v>27247</v>
      </c>
      <c r="H4355" t="s">
        <v>27248</v>
      </c>
      <c r="I4355" t="s">
        <v>35658</v>
      </c>
      <c r="J4355" t="s">
        <v>8695</v>
      </c>
      <c r="L4355" t="s">
        <v>27250</v>
      </c>
      <c r="M4355" t="s">
        <v>27251</v>
      </c>
      <c r="N4355" t="s">
        <v>27252</v>
      </c>
      <c r="Q4355" s="1">
        <v>44538</v>
      </c>
      <c r="R4355" t="s">
        <v>27253</v>
      </c>
      <c r="S4355" t="s">
        <v>27254</v>
      </c>
      <c r="T4355" t="s">
        <v>27269</v>
      </c>
    </row>
    <row r="4356" spans="1:20" x14ac:dyDescent="0.3">
      <c r="A4356" t="str">
        <f>"0611834184025"</f>
        <v>0611834184025</v>
      </c>
      <c r="B4356" t="str">
        <f>"MC0283"</f>
        <v>MC0283</v>
      </c>
      <c r="C4356" t="s">
        <v>35659</v>
      </c>
      <c r="D4356" t="s">
        <v>27267</v>
      </c>
      <c r="E4356" t="str">
        <f t="shared" si="68"/>
        <v>001390</v>
      </c>
      <c r="F4356" t="s">
        <v>27246</v>
      </c>
      <c r="G4356" t="s">
        <v>27247</v>
      </c>
      <c r="H4356" t="s">
        <v>27248</v>
      </c>
      <c r="I4356" t="s">
        <v>35660</v>
      </c>
      <c r="J4356" t="s">
        <v>8697</v>
      </c>
      <c r="L4356" t="s">
        <v>27250</v>
      </c>
      <c r="M4356" t="s">
        <v>27251</v>
      </c>
      <c r="N4356" t="s">
        <v>27252</v>
      </c>
      <c r="Q4356" s="1">
        <v>44538</v>
      </c>
      <c r="R4356" t="s">
        <v>27253</v>
      </c>
      <c r="S4356" t="s">
        <v>27254</v>
      </c>
      <c r="T4356" t="s">
        <v>27269</v>
      </c>
    </row>
    <row r="4357" spans="1:20" x14ac:dyDescent="0.3">
      <c r="A4357" t="str">
        <f>"0611834185100"</f>
        <v>0611834185100</v>
      </c>
      <c r="B4357" t="str">
        <f>"LH3756"</f>
        <v>LH3756</v>
      </c>
      <c r="C4357" t="s">
        <v>35661</v>
      </c>
      <c r="D4357" t="s">
        <v>27245</v>
      </c>
      <c r="E4357" t="str">
        <f t="shared" si="68"/>
        <v>001390</v>
      </c>
      <c r="F4357" t="s">
        <v>27246</v>
      </c>
      <c r="G4357" t="s">
        <v>27247</v>
      </c>
      <c r="H4357" t="s">
        <v>27248</v>
      </c>
      <c r="I4357" t="s">
        <v>35662</v>
      </c>
      <c r="J4357" t="s">
        <v>8699</v>
      </c>
      <c r="L4357" t="s">
        <v>27250</v>
      </c>
      <c r="M4357" t="s">
        <v>27251</v>
      </c>
      <c r="N4357" t="s">
        <v>27252</v>
      </c>
      <c r="Q4357" s="1">
        <v>44538</v>
      </c>
      <c r="R4357" t="s">
        <v>27253</v>
      </c>
      <c r="S4357" t="s">
        <v>27254</v>
      </c>
      <c r="T4357" t="s">
        <v>27255</v>
      </c>
    </row>
    <row r="4358" spans="1:20" x14ac:dyDescent="0.3">
      <c r="A4358" t="str">
        <f>"0611834187025"</f>
        <v>0611834187025</v>
      </c>
      <c r="B4358" t="str">
        <f>"MC3097"</f>
        <v>MC3097</v>
      </c>
      <c r="C4358" t="s">
        <v>35663</v>
      </c>
      <c r="D4358" t="s">
        <v>27267</v>
      </c>
      <c r="E4358" t="str">
        <f t="shared" si="68"/>
        <v>001390</v>
      </c>
      <c r="F4358" t="s">
        <v>27246</v>
      </c>
      <c r="G4358" t="s">
        <v>27247</v>
      </c>
      <c r="H4358" t="s">
        <v>27248</v>
      </c>
      <c r="I4358" t="s">
        <v>35664</v>
      </c>
      <c r="J4358" t="s">
        <v>8701</v>
      </c>
      <c r="L4358" t="s">
        <v>27250</v>
      </c>
      <c r="M4358" t="s">
        <v>27251</v>
      </c>
      <c r="N4358" t="s">
        <v>27252</v>
      </c>
      <c r="Q4358" s="1">
        <v>44538</v>
      </c>
      <c r="R4358" t="s">
        <v>27253</v>
      </c>
      <c r="S4358" t="s">
        <v>27254</v>
      </c>
      <c r="T4358" t="s">
        <v>27269</v>
      </c>
    </row>
    <row r="4359" spans="1:20" x14ac:dyDescent="0.3">
      <c r="A4359" t="str">
        <f>"0611834188025"</f>
        <v>0611834188025</v>
      </c>
      <c r="B4359" t="str">
        <f>"MC3724"</f>
        <v>MC3724</v>
      </c>
      <c r="C4359" t="s">
        <v>35665</v>
      </c>
      <c r="D4359" t="s">
        <v>27267</v>
      </c>
      <c r="E4359" t="str">
        <f t="shared" si="68"/>
        <v>001390</v>
      </c>
      <c r="F4359" t="s">
        <v>27246</v>
      </c>
      <c r="G4359" t="s">
        <v>27247</v>
      </c>
      <c r="H4359" t="s">
        <v>27248</v>
      </c>
      <c r="I4359" t="s">
        <v>35666</v>
      </c>
      <c r="J4359" t="s">
        <v>8703</v>
      </c>
      <c r="L4359" t="s">
        <v>27250</v>
      </c>
      <c r="M4359" t="s">
        <v>27251</v>
      </c>
      <c r="N4359" t="s">
        <v>27252</v>
      </c>
      <c r="Q4359" s="1">
        <v>44538</v>
      </c>
      <c r="R4359" t="s">
        <v>27253</v>
      </c>
      <c r="S4359" t="s">
        <v>27254</v>
      </c>
      <c r="T4359" t="s">
        <v>27269</v>
      </c>
    </row>
    <row r="4360" spans="1:20" x14ac:dyDescent="0.3">
      <c r="A4360" t="str">
        <f>"0611834191025"</f>
        <v>0611834191025</v>
      </c>
      <c r="B4360" t="str">
        <f>"MC2992"</f>
        <v>MC2992</v>
      </c>
      <c r="C4360" t="s">
        <v>35667</v>
      </c>
      <c r="D4360" t="s">
        <v>27267</v>
      </c>
      <c r="E4360" t="str">
        <f t="shared" si="68"/>
        <v>001390</v>
      </c>
      <c r="F4360" t="s">
        <v>27246</v>
      </c>
      <c r="G4360" t="s">
        <v>27247</v>
      </c>
      <c r="H4360" t="s">
        <v>27248</v>
      </c>
      <c r="I4360" t="s">
        <v>35668</v>
      </c>
      <c r="J4360" t="s">
        <v>1086</v>
      </c>
      <c r="L4360" t="s">
        <v>27250</v>
      </c>
      <c r="M4360" t="s">
        <v>27251</v>
      </c>
      <c r="N4360" t="s">
        <v>27252</v>
      </c>
      <c r="Q4360" s="1">
        <v>44538</v>
      </c>
      <c r="R4360" t="s">
        <v>27253</v>
      </c>
      <c r="S4360" t="s">
        <v>27254</v>
      </c>
      <c r="T4360" t="s">
        <v>27269</v>
      </c>
    </row>
    <row r="4361" spans="1:20" x14ac:dyDescent="0.3">
      <c r="A4361" t="str">
        <f>"0611834193025"</f>
        <v>0611834193025</v>
      </c>
      <c r="B4361" t="str">
        <f>"MC3023"</f>
        <v>MC3023</v>
      </c>
      <c r="C4361" t="s">
        <v>35669</v>
      </c>
      <c r="D4361" t="s">
        <v>27267</v>
      </c>
      <c r="E4361" t="str">
        <f t="shared" si="68"/>
        <v>001390</v>
      </c>
      <c r="F4361" t="s">
        <v>27246</v>
      </c>
      <c r="G4361" t="s">
        <v>27247</v>
      </c>
      <c r="H4361" t="s">
        <v>27248</v>
      </c>
      <c r="I4361" t="s">
        <v>35670</v>
      </c>
      <c r="J4361" t="s">
        <v>8707</v>
      </c>
      <c r="L4361" t="s">
        <v>27250</v>
      </c>
      <c r="M4361" t="s">
        <v>27251</v>
      </c>
      <c r="N4361" t="s">
        <v>27252</v>
      </c>
      <c r="Q4361" s="1">
        <v>44538</v>
      </c>
      <c r="R4361" t="s">
        <v>27253</v>
      </c>
      <c r="S4361" t="s">
        <v>27254</v>
      </c>
      <c r="T4361" t="s">
        <v>27269</v>
      </c>
    </row>
    <row r="4362" spans="1:20" x14ac:dyDescent="0.3">
      <c r="A4362" t="str">
        <f>"0611834192025"</f>
        <v>0611834192025</v>
      </c>
      <c r="B4362" t="str">
        <f>"MC3024"</f>
        <v>MC3024</v>
      </c>
      <c r="C4362" t="s">
        <v>35671</v>
      </c>
      <c r="D4362" t="s">
        <v>27267</v>
      </c>
      <c r="E4362" t="str">
        <f t="shared" si="68"/>
        <v>001390</v>
      </c>
      <c r="F4362" t="s">
        <v>27246</v>
      </c>
      <c r="G4362" t="s">
        <v>27247</v>
      </c>
      <c r="H4362" t="s">
        <v>27248</v>
      </c>
      <c r="I4362" t="s">
        <v>35672</v>
      </c>
      <c r="J4362" t="s">
        <v>8705</v>
      </c>
      <c r="L4362" t="s">
        <v>27250</v>
      </c>
      <c r="M4362" t="s">
        <v>27251</v>
      </c>
      <c r="N4362" t="s">
        <v>27252</v>
      </c>
      <c r="Q4362" s="1">
        <v>44538</v>
      </c>
      <c r="R4362" t="s">
        <v>27253</v>
      </c>
      <c r="S4362" t="s">
        <v>27254</v>
      </c>
      <c r="T4362" t="s">
        <v>27269</v>
      </c>
    </row>
    <row r="4363" spans="1:20" x14ac:dyDescent="0.3">
      <c r="A4363" t="str">
        <f>"0611861953100"</f>
        <v>0611861953100</v>
      </c>
      <c r="B4363" t="str">
        <f>"CN2363"</f>
        <v>CN2363</v>
      </c>
      <c r="C4363" t="s">
        <v>35673</v>
      </c>
      <c r="D4363" t="s">
        <v>27335</v>
      </c>
      <c r="E4363" t="str">
        <f t="shared" si="68"/>
        <v>001390</v>
      </c>
      <c r="F4363" t="s">
        <v>27246</v>
      </c>
      <c r="G4363" t="s">
        <v>27247</v>
      </c>
      <c r="H4363" t="s">
        <v>27248</v>
      </c>
      <c r="I4363" t="s">
        <v>35674</v>
      </c>
      <c r="J4363" t="s">
        <v>8709</v>
      </c>
      <c r="L4363" t="s">
        <v>27250</v>
      </c>
      <c r="M4363" t="s">
        <v>27251</v>
      </c>
      <c r="N4363" t="s">
        <v>27252</v>
      </c>
      <c r="Q4363" s="1">
        <v>44846</v>
      </c>
      <c r="R4363" t="s">
        <v>27253</v>
      </c>
      <c r="S4363" t="s">
        <v>27254</v>
      </c>
      <c r="T4363" t="s">
        <v>27255</v>
      </c>
    </row>
    <row r="4364" spans="1:20" x14ac:dyDescent="0.3">
      <c r="A4364" t="str">
        <f>"0611861954050"</f>
        <v>0611861954050</v>
      </c>
      <c r="B4364" t="str">
        <f>"CR5065"</f>
        <v>CR5065</v>
      </c>
      <c r="C4364" t="s">
        <v>35673</v>
      </c>
      <c r="D4364" t="s">
        <v>27263</v>
      </c>
      <c r="E4364" t="str">
        <f t="shared" si="68"/>
        <v>001390</v>
      </c>
      <c r="F4364" t="s">
        <v>27246</v>
      </c>
      <c r="G4364" t="s">
        <v>27247</v>
      </c>
      <c r="H4364" t="s">
        <v>27248</v>
      </c>
      <c r="I4364" t="s">
        <v>35675</v>
      </c>
      <c r="J4364" t="s">
        <v>8711</v>
      </c>
      <c r="L4364" t="s">
        <v>27250</v>
      </c>
      <c r="M4364" t="s">
        <v>27251</v>
      </c>
      <c r="N4364" t="s">
        <v>27252</v>
      </c>
      <c r="Q4364" s="1">
        <v>44846</v>
      </c>
      <c r="R4364" t="s">
        <v>27253</v>
      </c>
      <c r="S4364" t="s">
        <v>27254</v>
      </c>
      <c r="T4364" t="s">
        <v>27265</v>
      </c>
    </row>
    <row r="4365" spans="1:20" x14ac:dyDescent="0.3">
      <c r="A4365" t="str">
        <f>"0611834195100"</f>
        <v>0611834195100</v>
      </c>
      <c r="B4365" t="str">
        <f>"LH3762"</f>
        <v>LH3762</v>
      </c>
      <c r="C4365" t="s">
        <v>35676</v>
      </c>
      <c r="D4365" t="s">
        <v>27245</v>
      </c>
      <c r="E4365" t="str">
        <f t="shared" si="68"/>
        <v>001390</v>
      </c>
      <c r="F4365" t="s">
        <v>27246</v>
      </c>
      <c r="G4365" t="s">
        <v>27247</v>
      </c>
      <c r="H4365" t="s">
        <v>27248</v>
      </c>
      <c r="I4365" t="s">
        <v>35677</v>
      </c>
      <c r="J4365" t="s">
        <v>8713</v>
      </c>
      <c r="L4365" t="s">
        <v>27250</v>
      </c>
      <c r="M4365" t="s">
        <v>27251</v>
      </c>
      <c r="N4365" t="s">
        <v>27252</v>
      </c>
      <c r="Q4365" s="1">
        <v>44538</v>
      </c>
      <c r="R4365" t="s">
        <v>27253</v>
      </c>
      <c r="S4365" t="s">
        <v>27254</v>
      </c>
      <c r="T4365" t="s">
        <v>27255</v>
      </c>
    </row>
    <row r="4366" spans="1:20" x14ac:dyDescent="0.3">
      <c r="A4366" t="str">
        <f>"0611834196025"</f>
        <v>0611834196025</v>
      </c>
      <c r="B4366" t="str">
        <f>"MC4168"</f>
        <v>MC4168</v>
      </c>
      <c r="C4366" t="s">
        <v>35676</v>
      </c>
      <c r="D4366" t="s">
        <v>27267</v>
      </c>
      <c r="E4366" t="str">
        <f t="shared" si="68"/>
        <v>001390</v>
      </c>
      <c r="F4366" t="s">
        <v>27246</v>
      </c>
      <c r="G4366" t="s">
        <v>27247</v>
      </c>
      <c r="H4366" t="s">
        <v>27248</v>
      </c>
      <c r="I4366" t="s">
        <v>35678</v>
      </c>
      <c r="J4366" t="s">
        <v>8715</v>
      </c>
      <c r="L4366" t="s">
        <v>27250</v>
      </c>
      <c r="M4366" t="s">
        <v>27251</v>
      </c>
      <c r="N4366" t="s">
        <v>27252</v>
      </c>
      <c r="Q4366" s="1">
        <v>44538</v>
      </c>
      <c r="R4366" t="s">
        <v>27253</v>
      </c>
      <c r="S4366" t="s">
        <v>27254</v>
      </c>
      <c r="T4366" t="s">
        <v>27269</v>
      </c>
    </row>
    <row r="4367" spans="1:20" x14ac:dyDescent="0.3">
      <c r="A4367" t="str">
        <f>"0611834198100"</f>
        <v>0611834198100</v>
      </c>
      <c r="B4367" t="str">
        <f>"LB1811"</f>
        <v>LB1811</v>
      </c>
      <c r="C4367" t="s">
        <v>35679</v>
      </c>
      <c r="D4367" t="s">
        <v>27245</v>
      </c>
      <c r="E4367" t="str">
        <f t="shared" si="68"/>
        <v>001390</v>
      </c>
      <c r="F4367" t="s">
        <v>27246</v>
      </c>
      <c r="G4367" t="s">
        <v>27247</v>
      </c>
      <c r="H4367" t="s">
        <v>27248</v>
      </c>
      <c r="I4367" t="s">
        <v>35680</v>
      </c>
      <c r="J4367" t="s">
        <v>8717</v>
      </c>
      <c r="L4367" t="s">
        <v>27250</v>
      </c>
      <c r="M4367" t="s">
        <v>27251</v>
      </c>
      <c r="N4367" t="s">
        <v>27252</v>
      </c>
      <c r="Q4367" s="1">
        <v>44538</v>
      </c>
      <c r="R4367" t="s">
        <v>27253</v>
      </c>
      <c r="S4367" t="s">
        <v>27254</v>
      </c>
      <c r="T4367" t="s">
        <v>27255</v>
      </c>
    </row>
    <row r="4368" spans="1:20" x14ac:dyDescent="0.3">
      <c r="A4368" t="str">
        <f>"0611861955100"</f>
        <v>0611861955100</v>
      </c>
      <c r="B4368" t="str">
        <f>"CN2364"</f>
        <v>CN2364</v>
      </c>
      <c r="C4368" t="s">
        <v>35681</v>
      </c>
      <c r="D4368" t="s">
        <v>27335</v>
      </c>
      <c r="E4368" t="str">
        <f t="shared" si="68"/>
        <v>001390</v>
      </c>
      <c r="F4368" t="s">
        <v>27246</v>
      </c>
      <c r="G4368" t="s">
        <v>27247</v>
      </c>
      <c r="H4368" t="s">
        <v>27248</v>
      </c>
      <c r="I4368" t="s">
        <v>35682</v>
      </c>
      <c r="J4368" t="s">
        <v>8719</v>
      </c>
      <c r="L4368" t="s">
        <v>27250</v>
      </c>
      <c r="M4368" t="s">
        <v>27251</v>
      </c>
      <c r="N4368" t="s">
        <v>27252</v>
      </c>
      <c r="Q4368" s="1">
        <v>44846</v>
      </c>
      <c r="R4368" t="s">
        <v>27253</v>
      </c>
      <c r="S4368" t="s">
        <v>27254</v>
      </c>
      <c r="T4368" t="s">
        <v>27255</v>
      </c>
    </row>
    <row r="4369" spans="1:20" x14ac:dyDescent="0.3">
      <c r="A4369" t="str">
        <f>"0611834203025"</f>
        <v>0611834203025</v>
      </c>
      <c r="B4369" t="str">
        <f>"MC2660"</f>
        <v>MC2660</v>
      </c>
      <c r="C4369" t="s">
        <v>35683</v>
      </c>
      <c r="D4369" t="s">
        <v>27267</v>
      </c>
      <c r="E4369" t="str">
        <f t="shared" si="68"/>
        <v>001390</v>
      </c>
      <c r="F4369" t="s">
        <v>27246</v>
      </c>
      <c r="G4369" t="s">
        <v>27247</v>
      </c>
      <c r="H4369" t="s">
        <v>27248</v>
      </c>
      <c r="I4369" t="s">
        <v>35684</v>
      </c>
      <c r="J4369" t="s">
        <v>8721</v>
      </c>
      <c r="L4369" t="s">
        <v>27250</v>
      </c>
      <c r="M4369" t="s">
        <v>27251</v>
      </c>
      <c r="N4369" t="s">
        <v>27252</v>
      </c>
      <c r="Q4369" s="1">
        <v>44538</v>
      </c>
      <c r="R4369" t="s">
        <v>27253</v>
      </c>
      <c r="S4369" t="s">
        <v>27254</v>
      </c>
      <c r="T4369" t="s">
        <v>27269</v>
      </c>
    </row>
    <row r="4370" spans="1:20" x14ac:dyDescent="0.3">
      <c r="A4370" t="str">
        <f>"0611834204025"</f>
        <v>0611834204025</v>
      </c>
      <c r="B4370" t="str">
        <f>"MC2661"</f>
        <v>MC2661</v>
      </c>
      <c r="C4370" t="s">
        <v>35685</v>
      </c>
      <c r="D4370" t="s">
        <v>27267</v>
      </c>
      <c r="E4370" t="str">
        <f t="shared" si="68"/>
        <v>001390</v>
      </c>
      <c r="F4370" t="s">
        <v>27246</v>
      </c>
      <c r="G4370" t="s">
        <v>27247</v>
      </c>
      <c r="H4370" t="s">
        <v>27248</v>
      </c>
      <c r="I4370" t="s">
        <v>35686</v>
      </c>
      <c r="J4370" t="s">
        <v>8723</v>
      </c>
      <c r="L4370" t="s">
        <v>27250</v>
      </c>
      <c r="M4370" t="s">
        <v>27251</v>
      </c>
      <c r="N4370" t="s">
        <v>27252</v>
      </c>
      <c r="Q4370" s="1">
        <v>44538</v>
      </c>
      <c r="R4370" t="s">
        <v>27253</v>
      </c>
      <c r="S4370" t="s">
        <v>27254</v>
      </c>
      <c r="T4370" t="s">
        <v>27269</v>
      </c>
    </row>
    <row r="4371" spans="1:20" x14ac:dyDescent="0.3">
      <c r="A4371" t="str">
        <f>"0611834205025"</f>
        <v>0611834205025</v>
      </c>
      <c r="B4371" t="str">
        <f>"MQ0619"</f>
        <v>MQ0619</v>
      </c>
      <c r="C4371" t="s">
        <v>35687</v>
      </c>
      <c r="D4371" t="s">
        <v>28057</v>
      </c>
      <c r="E4371" t="str">
        <f t="shared" si="68"/>
        <v>001390</v>
      </c>
      <c r="F4371" t="s">
        <v>27246</v>
      </c>
      <c r="G4371" t="s">
        <v>27247</v>
      </c>
      <c r="H4371" t="s">
        <v>27248</v>
      </c>
      <c r="I4371" t="s">
        <v>35688</v>
      </c>
      <c r="J4371" t="s">
        <v>8725</v>
      </c>
      <c r="L4371" t="s">
        <v>27250</v>
      </c>
      <c r="M4371" t="s">
        <v>27251</v>
      </c>
      <c r="N4371" t="s">
        <v>27252</v>
      </c>
      <c r="P4371" t="s">
        <v>27925</v>
      </c>
      <c r="Q4371" s="1">
        <v>44538</v>
      </c>
      <c r="R4371" t="s">
        <v>27253</v>
      </c>
      <c r="S4371" t="s">
        <v>27254</v>
      </c>
      <c r="T4371" t="s">
        <v>27269</v>
      </c>
    </row>
    <row r="4372" spans="1:20" x14ac:dyDescent="0.3">
      <c r="A4372" t="str">
        <f>"0611884207100"</f>
        <v>0611884207100</v>
      </c>
      <c r="B4372" t="str">
        <f>"LQ6304"</f>
        <v>LQ6304</v>
      </c>
      <c r="C4372" t="s">
        <v>35689</v>
      </c>
      <c r="D4372" t="s">
        <v>27245</v>
      </c>
      <c r="E4372" t="str">
        <f t="shared" si="68"/>
        <v>001390</v>
      </c>
      <c r="F4372" t="s">
        <v>27246</v>
      </c>
      <c r="G4372" t="s">
        <v>27247</v>
      </c>
      <c r="H4372" t="s">
        <v>27248</v>
      </c>
      <c r="I4372" t="s">
        <v>35690</v>
      </c>
      <c r="J4372" t="s">
        <v>8727</v>
      </c>
      <c r="L4372" t="s">
        <v>27430</v>
      </c>
      <c r="M4372" t="s">
        <v>27251</v>
      </c>
      <c r="N4372" t="s">
        <v>27252</v>
      </c>
      <c r="Q4372" s="1">
        <v>45250</v>
      </c>
      <c r="R4372" t="s">
        <v>27253</v>
      </c>
      <c r="S4372" t="s">
        <v>27254</v>
      </c>
      <c r="T4372" t="s">
        <v>27255</v>
      </c>
    </row>
    <row r="4373" spans="1:20" x14ac:dyDescent="0.3">
      <c r="A4373" t="str">
        <f>"0611834206025"</f>
        <v>0611834206025</v>
      </c>
      <c r="B4373" t="str">
        <f>"MQ0620"</f>
        <v>MQ0620</v>
      </c>
      <c r="C4373" t="s">
        <v>35691</v>
      </c>
      <c r="D4373" t="s">
        <v>28057</v>
      </c>
      <c r="E4373" t="str">
        <f t="shared" si="68"/>
        <v>001390</v>
      </c>
      <c r="F4373" t="s">
        <v>27246</v>
      </c>
      <c r="G4373" t="s">
        <v>27247</v>
      </c>
      <c r="H4373" t="s">
        <v>27248</v>
      </c>
      <c r="I4373" t="s">
        <v>35692</v>
      </c>
      <c r="J4373" t="s">
        <v>8729</v>
      </c>
      <c r="L4373" t="s">
        <v>27250</v>
      </c>
      <c r="M4373" t="s">
        <v>27251</v>
      </c>
      <c r="N4373" t="s">
        <v>27252</v>
      </c>
      <c r="P4373" t="s">
        <v>27925</v>
      </c>
      <c r="Q4373" s="1">
        <v>44538</v>
      </c>
      <c r="R4373" t="s">
        <v>27253</v>
      </c>
      <c r="S4373" t="s">
        <v>27254</v>
      </c>
      <c r="T4373" t="s">
        <v>27269</v>
      </c>
    </row>
    <row r="4374" spans="1:20" x14ac:dyDescent="0.3">
      <c r="A4374" t="str">
        <f>"0611834207025"</f>
        <v>0611834207025</v>
      </c>
      <c r="B4374" t="str">
        <f>"MQ0621"</f>
        <v>MQ0621</v>
      </c>
      <c r="C4374" t="s">
        <v>35693</v>
      </c>
      <c r="D4374" t="s">
        <v>28057</v>
      </c>
      <c r="E4374" t="str">
        <f t="shared" si="68"/>
        <v>001390</v>
      </c>
      <c r="F4374" t="s">
        <v>27246</v>
      </c>
      <c r="G4374" t="s">
        <v>27247</v>
      </c>
      <c r="H4374" t="s">
        <v>27248</v>
      </c>
      <c r="I4374" t="s">
        <v>35694</v>
      </c>
      <c r="J4374" t="s">
        <v>8731</v>
      </c>
      <c r="L4374" t="s">
        <v>27250</v>
      </c>
      <c r="M4374" t="s">
        <v>27251</v>
      </c>
      <c r="N4374" t="s">
        <v>27252</v>
      </c>
      <c r="P4374" t="s">
        <v>27925</v>
      </c>
      <c r="Q4374" s="1">
        <v>44538</v>
      </c>
      <c r="R4374" t="s">
        <v>27253</v>
      </c>
      <c r="S4374" t="s">
        <v>27254</v>
      </c>
      <c r="T4374" t="s">
        <v>27269</v>
      </c>
    </row>
    <row r="4375" spans="1:20" x14ac:dyDescent="0.3">
      <c r="A4375" t="str">
        <f>"0611834208025"</f>
        <v>0611834208025</v>
      </c>
      <c r="B4375" t="str">
        <f>"MQ0622"</f>
        <v>MQ0622</v>
      </c>
      <c r="C4375" t="s">
        <v>35695</v>
      </c>
      <c r="D4375" t="s">
        <v>28057</v>
      </c>
      <c r="E4375" t="str">
        <f t="shared" si="68"/>
        <v>001390</v>
      </c>
      <c r="F4375" t="s">
        <v>27246</v>
      </c>
      <c r="G4375" t="s">
        <v>27247</v>
      </c>
      <c r="H4375" t="s">
        <v>27248</v>
      </c>
      <c r="I4375" t="s">
        <v>35696</v>
      </c>
      <c r="J4375" t="s">
        <v>8733</v>
      </c>
      <c r="L4375" t="s">
        <v>27250</v>
      </c>
      <c r="M4375" t="s">
        <v>27251</v>
      </c>
      <c r="N4375" t="s">
        <v>27252</v>
      </c>
      <c r="P4375" t="s">
        <v>27925</v>
      </c>
      <c r="Q4375" s="1">
        <v>44538</v>
      </c>
      <c r="R4375" t="s">
        <v>27253</v>
      </c>
      <c r="S4375" t="s">
        <v>27254</v>
      </c>
      <c r="T4375" t="s">
        <v>27269</v>
      </c>
    </row>
    <row r="4376" spans="1:20" x14ac:dyDescent="0.3">
      <c r="A4376" t="str">
        <f>"0611861956100"</f>
        <v>0611861956100</v>
      </c>
      <c r="B4376" t="str">
        <f>"CN2365"</f>
        <v>CN2365</v>
      </c>
      <c r="C4376" t="s">
        <v>35697</v>
      </c>
      <c r="D4376" t="s">
        <v>27335</v>
      </c>
      <c r="E4376" t="str">
        <f t="shared" si="68"/>
        <v>001390</v>
      </c>
      <c r="F4376" t="s">
        <v>27246</v>
      </c>
      <c r="G4376" t="s">
        <v>27247</v>
      </c>
      <c r="H4376" t="s">
        <v>27248</v>
      </c>
      <c r="I4376" t="s">
        <v>35698</v>
      </c>
      <c r="J4376" t="s">
        <v>8735</v>
      </c>
      <c r="L4376" t="s">
        <v>27250</v>
      </c>
      <c r="M4376" t="s">
        <v>27251</v>
      </c>
      <c r="N4376" t="s">
        <v>27252</v>
      </c>
      <c r="Q4376" s="1">
        <v>44846</v>
      </c>
      <c r="R4376" t="s">
        <v>27253</v>
      </c>
      <c r="S4376" t="s">
        <v>27254</v>
      </c>
      <c r="T4376" t="s">
        <v>27255</v>
      </c>
    </row>
    <row r="4377" spans="1:20" x14ac:dyDescent="0.3">
      <c r="A4377" t="str">
        <f>"0611861957100"</f>
        <v>0611861957100</v>
      </c>
      <c r="B4377" t="str">
        <f>"CN2366"</f>
        <v>CN2366</v>
      </c>
      <c r="C4377" t="s">
        <v>35699</v>
      </c>
      <c r="D4377" t="s">
        <v>27335</v>
      </c>
      <c r="E4377" t="str">
        <f t="shared" si="68"/>
        <v>001390</v>
      </c>
      <c r="F4377" t="s">
        <v>27246</v>
      </c>
      <c r="G4377" t="s">
        <v>27247</v>
      </c>
      <c r="H4377" t="s">
        <v>27248</v>
      </c>
      <c r="I4377" t="s">
        <v>35700</v>
      </c>
      <c r="J4377" t="s">
        <v>8737</v>
      </c>
      <c r="L4377" t="s">
        <v>27250</v>
      </c>
      <c r="M4377" t="s">
        <v>27251</v>
      </c>
      <c r="N4377" t="s">
        <v>27252</v>
      </c>
      <c r="Q4377" s="1">
        <v>44846</v>
      </c>
      <c r="R4377" t="s">
        <v>27253</v>
      </c>
      <c r="S4377" t="s">
        <v>27254</v>
      </c>
      <c r="T4377" t="s">
        <v>27255</v>
      </c>
    </row>
    <row r="4378" spans="1:20" x14ac:dyDescent="0.3">
      <c r="A4378" t="str">
        <f>"0611834215100"</f>
        <v>0611834215100</v>
      </c>
      <c r="B4378" t="str">
        <f>"LK7000"</f>
        <v>LK7000</v>
      </c>
      <c r="C4378" t="s">
        <v>35701</v>
      </c>
      <c r="D4378" t="s">
        <v>27245</v>
      </c>
      <c r="E4378" t="str">
        <f t="shared" si="68"/>
        <v>001390</v>
      </c>
      <c r="F4378" t="s">
        <v>27246</v>
      </c>
      <c r="G4378" t="s">
        <v>27247</v>
      </c>
      <c r="H4378" t="s">
        <v>27248</v>
      </c>
      <c r="I4378" t="s">
        <v>35702</v>
      </c>
      <c r="J4378" t="s">
        <v>8739</v>
      </c>
      <c r="L4378" t="s">
        <v>27250</v>
      </c>
      <c r="M4378" t="s">
        <v>27251</v>
      </c>
      <c r="N4378" t="s">
        <v>27252</v>
      </c>
      <c r="Q4378" s="1">
        <v>44538</v>
      </c>
      <c r="R4378" t="s">
        <v>27253</v>
      </c>
      <c r="S4378" t="s">
        <v>27254</v>
      </c>
      <c r="T4378" t="s">
        <v>27255</v>
      </c>
    </row>
    <row r="4379" spans="1:20" x14ac:dyDescent="0.3">
      <c r="A4379" t="str">
        <f>"0611834216025"</f>
        <v>0611834216025</v>
      </c>
      <c r="B4379" t="str">
        <f>"MQ0419"</f>
        <v>MQ0419</v>
      </c>
      <c r="C4379" t="s">
        <v>35703</v>
      </c>
      <c r="D4379" t="s">
        <v>27267</v>
      </c>
      <c r="E4379" t="str">
        <f t="shared" si="68"/>
        <v>001390</v>
      </c>
      <c r="F4379" t="s">
        <v>27246</v>
      </c>
      <c r="G4379" t="s">
        <v>27247</v>
      </c>
      <c r="H4379" t="s">
        <v>27248</v>
      </c>
      <c r="I4379" t="s">
        <v>35704</v>
      </c>
      <c r="J4379" t="s">
        <v>8741</v>
      </c>
      <c r="L4379" t="s">
        <v>27250</v>
      </c>
      <c r="M4379" t="s">
        <v>27251</v>
      </c>
      <c r="N4379" t="s">
        <v>27252</v>
      </c>
      <c r="Q4379" s="1">
        <v>44538</v>
      </c>
      <c r="R4379" t="s">
        <v>27253</v>
      </c>
      <c r="S4379" t="s">
        <v>27254</v>
      </c>
      <c r="T4379" t="s">
        <v>27269</v>
      </c>
    </row>
    <row r="4380" spans="1:20" x14ac:dyDescent="0.3">
      <c r="A4380" t="str">
        <f>"0611861958050"</f>
        <v>0611861958050</v>
      </c>
      <c r="B4380" t="str">
        <f>"CE0977"</f>
        <v>CE0977</v>
      </c>
      <c r="C4380" t="s">
        <v>35705</v>
      </c>
      <c r="D4380" t="s">
        <v>27263</v>
      </c>
      <c r="E4380" t="str">
        <f t="shared" si="68"/>
        <v>001390</v>
      </c>
      <c r="F4380" t="s">
        <v>27246</v>
      </c>
      <c r="G4380" t="s">
        <v>27247</v>
      </c>
      <c r="H4380" t="s">
        <v>27248</v>
      </c>
      <c r="I4380" t="s">
        <v>35706</v>
      </c>
      <c r="J4380" t="s">
        <v>8743</v>
      </c>
      <c r="L4380" t="s">
        <v>27250</v>
      </c>
      <c r="M4380" t="s">
        <v>27251</v>
      </c>
      <c r="N4380" t="s">
        <v>27252</v>
      </c>
      <c r="Q4380" s="1">
        <v>44846</v>
      </c>
      <c r="R4380" t="s">
        <v>27253</v>
      </c>
      <c r="S4380" t="s">
        <v>27254</v>
      </c>
      <c r="T4380" t="s">
        <v>27265</v>
      </c>
    </row>
    <row r="4381" spans="1:20" x14ac:dyDescent="0.3">
      <c r="A4381" t="str">
        <f>"0611834217025"</f>
        <v>0611834217025</v>
      </c>
      <c r="B4381" t="str">
        <f>"MQ0707"</f>
        <v>MQ0707</v>
      </c>
      <c r="C4381" t="s">
        <v>35707</v>
      </c>
      <c r="D4381" t="s">
        <v>28057</v>
      </c>
      <c r="E4381" t="str">
        <f t="shared" si="68"/>
        <v>001390</v>
      </c>
      <c r="F4381" t="s">
        <v>27246</v>
      </c>
      <c r="G4381" t="s">
        <v>27247</v>
      </c>
      <c r="H4381" t="s">
        <v>27248</v>
      </c>
      <c r="I4381" t="s">
        <v>35708</v>
      </c>
      <c r="J4381" t="s">
        <v>8745</v>
      </c>
      <c r="L4381" t="s">
        <v>27250</v>
      </c>
      <c r="M4381" t="s">
        <v>27251</v>
      </c>
      <c r="N4381" t="s">
        <v>27252</v>
      </c>
      <c r="P4381" t="s">
        <v>27925</v>
      </c>
      <c r="Q4381" s="1">
        <v>44538</v>
      </c>
      <c r="R4381" t="s">
        <v>27253</v>
      </c>
      <c r="S4381" t="s">
        <v>27254</v>
      </c>
      <c r="T4381" t="s">
        <v>27269</v>
      </c>
    </row>
    <row r="4382" spans="1:20" x14ac:dyDescent="0.3">
      <c r="A4382" t="str">
        <f>"0611834218025"</f>
        <v>0611834218025</v>
      </c>
      <c r="B4382" t="str">
        <f>"MQ6024"</f>
        <v>MQ6024</v>
      </c>
      <c r="C4382" t="s">
        <v>35709</v>
      </c>
      <c r="D4382" t="s">
        <v>28057</v>
      </c>
      <c r="E4382" t="str">
        <f t="shared" si="68"/>
        <v>001390</v>
      </c>
      <c r="F4382" t="s">
        <v>27246</v>
      </c>
      <c r="G4382" t="s">
        <v>27247</v>
      </c>
      <c r="H4382" t="s">
        <v>27248</v>
      </c>
      <c r="I4382" t="s">
        <v>35710</v>
      </c>
      <c r="J4382" t="s">
        <v>8747</v>
      </c>
      <c r="L4382" t="s">
        <v>27250</v>
      </c>
      <c r="M4382" t="s">
        <v>27251</v>
      </c>
      <c r="N4382" t="s">
        <v>27252</v>
      </c>
      <c r="P4382" t="s">
        <v>27925</v>
      </c>
      <c r="Q4382" s="1">
        <v>44538</v>
      </c>
      <c r="R4382" t="s">
        <v>27253</v>
      </c>
      <c r="S4382" t="s">
        <v>27254</v>
      </c>
      <c r="T4382" t="s">
        <v>27269</v>
      </c>
    </row>
    <row r="4383" spans="1:20" x14ac:dyDescent="0.3">
      <c r="A4383" t="str">
        <f>"0611861959050"</f>
        <v>0611861959050</v>
      </c>
      <c r="B4383" t="str">
        <f>"CE0978"</f>
        <v>CE0978</v>
      </c>
      <c r="C4383" t="s">
        <v>35711</v>
      </c>
      <c r="D4383" t="s">
        <v>27923</v>
      </c>
      <c r="E4383" t="str">
        <f t="shared" si="68"/>
        <v>001390</v>
      </c>
      <c r="F4383" t="s">
        <v>27246</v>
      </c>
      <c r="G4383" t="s">
        <v>27247</v>
      </c>
      <c r="H4383" t="s">
        <v>27248</v>
      </c>
      <c r="I4383" t="s">
        <v>35712</v>
      </c>
      <c r="J4383" t="s">
        <v>8749</v>
      </c>
      <c r="L4383" t="s">
        <v>27250</v>
      </c>
      <c r="M4383" t="s">
        <v>27251</v>
      </c>
      <c r="N4383" t="s">
        <v>27252</v>
      </c>
      <c r="P4383" t="s">
        <v>27925</v>
      </c>
      <c r="Q4383" s="1">
        <v>44846</v>
      </c>
      <c r="R4383" t="s">
        <v>27253</v>
      </c>
      <c r="S4383" t="s">
        <v>27254</v>
      </c>
      <c r="T4383" t="s">
        <v>27265</v>
      </c>
    </row>
    <row r="4384" spans="1:20" x14ac:dyDescent="0.3">
      <c r="A4384" t="str">
        <f>"0611834219025"</f>
        <v>0611834219025</v>
      </c>
      <c r="B4384" t="str">
        <f>"MC3725"</f>
        <v>MC3725</v>
      </c>
      <c r="C4384" t="s">
        <v>35713</v>
      </c>
      <c r="D4384" t="s">
        <v>27267</v>
      </c>
      <c r="E4384" t="str">
        <f t="shared" si="68"/>
        <v>001390</v>
      </c>
      <c r="F4384" t="s">
        <v>27246</v>
      </c>
      <c r="G4384" t="s">
        <v>27247</v>
      </c>
      <c r="H4384" t="s">
        <v>27248</v>
      </c>
      <c r="I4384" t="s">
        <v>35714</v>
      </c>
      <c r="J4384" t="s">
        <v>8751</v>
      </c>
      <c r="L4384" t="s">
        <v>27250</v>
      </c>
      <c r="M4384" t="s">
        <v>27251</v>
      </c>
      <c r="N4384" t="s">
        <v>27252</v>
      </c>
      <c r="Q4384" s="1">
        <v>44538</v>
      </c>
      <c r="R4384" t="s">
        <v>27253</v>
      </c>
      <c r="S4384" t="s">
        <v>27254</v>
      </c>
      <c r="T4384" t="s">
        <v>27269</v>
      </c>
    </row>
    <row r="4385" spans="1:20" x14ac:dyDescent="0.3">
      <c r="A4385" t="str">
        <f>"0611834221100"</f>
        <v>0611834221100</v>
      </c>
      <c r="B4385" t="str">
        <f>"LB7891"</f>
        <v>LB7891</v>
      </c>
      <c r="C4385" t="s">
        <v>35715</v>
      </c>
      <c r="D4385" t="s">
        <v>27245</v>
      </c>
      <c r="E4385" t="str">
        <f t="shared" si="68"/>
        <v>001390</v>
      </c>
      <c r="F4385" t="s">
        <v>27246</v>
      </c>
      <c r="G4385" t="s">
        <v>27247</v>
      </c>
      <c r="H4385" t="s">
        <v>27248</v>
      </c>
      <c r="I4385" t="s">
        <v>35716</v>
      </c>
      <c r="J4385" t="s">
        <v>8753</v>
      </c>
      <c r="L4385" t="s">
        <v>27250</v>
      </c>
      <c r="M4385" t="s">
        <v>27251</v>
      </c>
      <c r="N4385" t="s">
        <v>27252</v>
      </c>
      <c r="Q4385" s="1">
        <v>44538</v>
      </c>
      <c r="R4385" t="s">
        <v>27253</v>
      </c>
      <c r="S4385" t="s">
        <v>27254</v>
      </c>
      <c r="T4385" t="s">
        <v>27255</v>
      </c>
    </row>
    <row r="4386" spans="1:20" x14ac:dyDescent="0.3">
      <c r="A4386" t="str">
        <f>"0611884208100"</f>
        <v>0611884208100</v>
      </c>
      <c r="B4386" t="str">
        <f>"LC9629"</f>
        <v>LC9629</v>
      </c>
      <c r="C4386" t="s">
        <v>35717</v>
      </c>
      <c r="D4386" t="s">
        <v>27245</v>
      </c>
      <c r="E4386" t="str">
        <f t="shared" si="68"/>
        <v>001390</v>
      </c>
      <c r="F4386" t="s">
        <v>27246</v>
      </c>
      <c r="G4386" t="s">
        <v>27247</v>
      </c>
      <c r="H4386" t="s">
        <v>27248</v>
      </c>
      <c r="I4386" t="s">
        <v>35718</v>
      </c>
      <c r="J4386" t="s">
        <v>8755</v>
      </c>
      <c r="L4386" t="s">
        <v>27430</v>
      </c>
      <c r="M4386" t="s">
        <v>27251</v>
      </c>
      <c r="N4386" t="s">
        <v>27252</v>
      </c>
      <c r="Q4386" s="1">
        <v>45250</v>
      </c>
      <c r="R4386" t="s">
        <v>27253</v>
      </c>
      <c r="S4386" t="s">
        <v>27254</v>
      </c>
      <c r="T4386" t="s">
        <v>27255</v>
      </c>
    </row>
    <row r="4387" spans="1:20" x14ac:dyDescent="0.3">
      <c r="A4387" t="str">
        <f>"0611834224100"</f>
        <v>0611834224100</v>
      </c>
      <c r="B4387" t="str">
        <f>"LB2634"</f>
        <v>LB2634</v>
      </c>
      <c r="C4387" t="s">
        <v>35719</v>
      </c>
      <c r="D4387" t="s">
        <v>27245</v>
      </c>
      <c r="E4387" t="str">
        <f t="shared" si="68"/>
        <v>001390</v>
      </c>
      <c r="F4387" t="s">
        <v>27246</v>
      </c>
      <c r="G4387" t="s">
        <v>27247</v>
      </c>
      <c r="H4387" t="s">
        <v>27248</v>
      </c>
      <c r="I4387" t="s">
        <v>35720</v>
      </c>
      <c r="J4387" t="s">
        <v>8757</v>
      </c>
      <c r="L4387" t="s">
        <v>27250</v>
      </c>
      <c r="M4387" t="s">
        <v>27251</v>
      </c>
      <c r="N4387" t="s">
        <v>27252</v>
      </c>
      <c r="Q4387" s="1">
        <v>44538</v>
      </c>
      <c r="R4387" t="s">
        <v>27253</v>
      </c>
      <c r="S4387" t="s">
        <v>27254</v>
      </c>
      <c r="T4387" t="s">
        <v>27255</v>
      </c>
    </row>
    <row r="4388" spans="1:20" x14ac:dyDescent="0.3">
      <c r="A4388" t="str">
        <f>"0611884209025"</f>
        <v>0611884209025</v>
      </c>
      <c r="B4388" t="str">
        <f>"MC4474"</f>
        <v>MC4474</v>
      </c>
      <c r="C4388" t="s">
        <v>35721</v>
      </c>
      <c r="D4388" t="s">
        <v>27267</v>
      </c>
      <c r="E4388" t="str">
        <f t="shared" si="68"/>
        <v>001390</v>
      </c>
      <c r="F4388" t="s">
        <v>27246</v>
      </c>
      <c r="G4388" t="s">
        <v>27247</v>
      </c>
      <c r="H4388" t="s">
        <v>27248</v>
      </c>
      <c r="I4388" t="s">
        <v>35722</v>
      </c>
      <c r="J4388" t="s">
        <v>8759</v>
      </c>
      <c r="L4388" t="s">
        <v>27430</v>
      </c>
      <c r="M4388" t="s">
        <v>27251</v>
      </c>
      <c r="N4388" t="s">
        <v>27252</v>
      </c>
      <c r="O4388">
        <v>25</v>
      </c>
      <c r="Q4388" s="1">
        <v>45250</v>
      </c>
      <c r="R4388" t="s">
        <v>27253</v>
      </c>
      <c r="S4388" t="s">
        <v>27254</v>
      </c>
      <c r="T4388" t="s">
        <v>27269</v>
      </c>
    </row>
    <row r="4389" spans="1:20" x14ac:dyDescent="0.3">
      <c r="A4389" t="str">
        <f>"0611861961050"</f>
        <v>0611861961050</v>
      </c>
      <c r="B4389" t="str">
        <f>"CR4706"</f>
        <v>CR4706</v>
      </c>
      <c r="C4389" t="s">
        <v>35723</v>
      </c>
      <c r="D4389" t="s">
        <v>27263</v>
      </c>
      <c r="E4389" t="str">
        <f t="shared" si="68"/>
        <v>001390</v>
      </c>
      <c r="F4389" t="s">
        <v>27246</v>
      </c>
      <c r="G4389" t="s">
        <v>27247</v>
      </c>
      <c r="H4389" t="s">
        <v>27248</v>
      </c>
      <c r="I4389" t="s">
        <v>35724</v>
      </c>
      <c r="J4389" t="s">
        <v>8761</v>
      </c>
      <c r="L4389" t="s">
        <v>27250</v>
      </c>
      <c r="M4389" t="s">
        <v>27251</v>
      </c>
      <c r="N4389" t="s">
        <v>27252</v>
      </c>
      <c r="Q4389" s="1">
        <v>44846</v>
      </c>
      <c r="R4389" t="s">
        <v>27253</v>
      </c>
      <c r="S4389" t="s">
        <v>27254</v>
      </c>
      <c r="T4389" t="s">
        <v>27265</v>
      </c>
    </row>
    <row r="4390" spans="1:20" x14ac:dyDescent="0.3">
      <c r="A4390" t="str">
        <f>"0611861962050"</f>
        <v>0611861962050</v>
      </c>
      <c r="B4390" t="str">
        <f>"CR4712"</f>
        <v>CR4712</v>
      </c>
      <c r="C4390" t="s">
        <v>35725</v>
      </c>
      <c r="D4390" t="s">
        <v>27263</v>
      </c>
      <c r="E4390" t="str">
        <f t="shared" si="68"/>
        <v>001390</v>
      </c>
      <c r="F4390" t="s">
        <v>27246</v>
      </c>
      <c r="G4390" t="s">
        <v>27247</v>
      </c>
      <c r="H4390" t="s">
        <v>27248</v>
      </c>
      <c r="I4390" t="s">
        <v>35726</v>
      </c>
      <c r="J4390" t="s">
        <v>8763</v>
      </c>
      <c r="L4390" t="s">
        <v>27250</v>
      </c>
      <c r="M4390" t="s">
        <v>27251</v>
      </c>
      <c r="N4390" t="s">
        <v>27252</v>
      </c>
      <c r="Q4390" s="1">
        <v>44846</v>
      </c>
      <c r="R4390" t="s">
        <v>27253</v>
      </c>
      <c r="S4390" t="s">
        <v>27254</v>
      </c>
      <c r="T4390" t="s">
        <v>27265</v>
      </c>
    </row>
    <row r="4391" spans="1:20" x14ac:dyDescent="0.3">
      <c r="A4391" t="str">
        <f>"0611861963050"</f>
        <v>0611861963050</v>
      </c>
      <c r="B4391" t="str">
        <f>"CR4717"</f>
        <v>CR4717</v>
      </c>
      <c r="C4391" t="s">
        <v>35727</v>
      </c>
      <c r="D4391" t="s">
        <v>27263</v>
      </c>
      <c r="E4391" t="str">
        <f t="shared" si="68"/>
        <v>001390</v>
      </c>
      <c r="F4391" t="s">
        <v>27246</v>
      </c>
      <c r="G4391" t="s">
        <v>27247</v>
      </c>
      <c r="H4391" t="s">
        <v>27248</v>
      </c>
      <c r="I4391" t="s">
        <v>35728</v>
      </c>
      <c r="J4391" t="s">
        <v>8765</v>
      </c>
      <c r="L4391" t="s">
        <v>27250</v>
      </c>
      <c r="M4391" t="s">
        <v>27251</v>
      </c>
      <c r="N4391" t="s">
        <v>27252</v>
      </c>
      <c r="Q4391" s="1">
        <v>44846</v>
      </c>
      <c r="R4391" t="s">
        <v>27253</v>
      </c>
      <c r="S4391" t="s">
        <v>27254</v>
      </c>
      <c r="T4391" t="s">
        <v>27265</v>
      </c>
    </row>
    <row r="4392" spans="1:20" x14ac:dyDescent="0.3">
      <c r="A4392" t="str">
        <f>"0611861964050"</f>
        <v>0611861964050</v>
      </c>
      <c r="B4392" t="str">
        <f>"CR4754"</f>
        <v>CR4754</v>
      </c>
      <c r="C4392" t="s">
        <v>35729</v>
      </c>
      <c r="D4392" t="s">
        <v>27263</v>
      </c>
      <c r="E4392" t="str">
        <f t="shared" si="68"/>
        <v>001390</v>
      </c>
      <c r="F4392" t="s">
        <v>27246</v>
      </c>
      <c r="G4392" t="s">
        <v>27247</v>
      </c>
      <c r="H4392" t="s">
        <v>27248</v>
      </c>
      <c r="I4392" t="s">
        <v>35730</v>
      </c>
      <c r="J4392" t="s">
        <v>8767</v>
      </c>
      <c r="L4392" t="s">
        <v>27250</v>
      </c>
      <c r="M4392" t="s">
        <v>27251</v>
      </c>
      <c r="N4392" t="s">
        <v>27252</v>
      </c>
      <c r="Q4392" s="1">
        <v>44846</v>
      </c>
      <c r="R4392" t="s">
        <v>27253</v>
      </c>
      <c r="S4392" t="s">
        <v>27254</v>
      </c>
      <c r="T4392" t="s">
        <v>27265</v>
      </c>
    </row>
    <row r="4393" spans="1:20" x14ac:dyDescent="0.3">
      <c r="A4393" t="str">
        <f>"0611834225100"</f>
        <v>0611834225100</v>
      </c>
      <c r="B4393" t="str">
        <f>"LH3776"</f>
        <v>LH3776</v>
      </c>
      <c r="C4393" t="s">
        <v>35731</v>
      </c>
      <c r="D4393" t="s">
        <v>27245</v>
      </c>
      <c r="E4393" t="str">
        <f t="shared" si="68"/>
        <v>001390</v>
      </c>
      <c r="F4393" t="s">
        <v>27246</v>
      </c>
      <c r="G4393" t="s">
        <v>27247</v>
      </c>
      <c r="H4393" t="s">
        <v>27248</v>
      </c>
      <c r="I4393" t="s">
        <v>35732</v>
      </c>
      <c r="J4393" t="s">
        <v>8769</v>
      </c>
      <c r="L4393" t="s">
        <v>27250</v>
      </c>
      <c r="M4393" t="s">
        <v>27251</v>
      </c>
      <c r="N4393" t="s">
        <v>27252</v>
      </c>
      <c r="Q4393" s="1">
        <v>44538</v>
      </c>
      <c r="R4393" t="s">
        <v>27253</v>
      </c>
      <c r="S4393" t="s">
        <v>27254</v>
      </c>
      <c r="T4393" t="s">
        <v>27255</v>
      </c>
    </row>
    <row r="4394" spans="1:20" x14ac:dyDescent="0.3">
      <c r="A4394" t="str">
        <f>"0611834227025"</f>
        <v>0611834227025</v>
      </c>
      <c r="B4394" t="str">
        <f>"MQ0205"</f>
        <v>MQ0205</v>
      </c>
      <c r="C4394" t="s">
        <v>35733</v>
      </c>
      <c r="D4394" t="s">
        <v>27267</v>
      </c>
      <c r="E4394" t="str">
        <f t="shared" si="68"/>
        <v>001390</v>
      </c>
      <c r="F4394" t="s">
        <v>27246</v>
      </c>
      <c r="G4394" t="s">
        <v>27247</v>
      </c>
      <c r="H4394" t="s">
        <v>27248</v>
      </c>
      <c r="I4394" t="s">
        <v>35734</v>
      </c>
      <c r="J4394" t="s">
        <v>8773</v>
      </c>
      <c r="L4394" t="s">
        <v>27250</v>
      </c>
      <c r="M4394" t="s">
        <v>27251</v>
      </c>
      <c r="N4394" t="s">
        <v>27252</v>
      </c>
      <c r="Q4394" s="1">
        <v>44538</v>
      </c>
      <c r="R4394" t="s">
        <v>27253</v>
      </c>
      <c r="S4394" t="s">
        <v>27254</v>
      </c>
      <c r="T4394" t="s">
        <v>27269</v>
      </c>
    </row>
    <row r="4395" spans="1:20" x14ac:dyDescent="0.3">
      <c r="A4395" t="str">
        <f>"0611861965100"</f>
        <v>0611861965100</v>
      </c>
      <c r="B4395" t="str">
        <f>"CN5159"</f>
        <v>CN5159</v>
      </c>
      <c r="C4395" t="s">
        <v>35733</v>
      </c>
      <c r="D4395" t="s">
        <v>27335</v>
      </c>
      <c r="E4395" t="str">
        <f t="shared" si="68"/>
        <v>001390</v>
      </c>
      <c r="F4395" t="s">
        <v>27246</v>
      </c>
      <c r="G4395" t="s">
        <v>27247</v>
      </c>
      <c r="H4395" t="s">
        <v>27248</v>
      </c>
      <c r="I4395" t="s">
        <v>35735</v>
      </c>
      <c r="J4395" t="s">
        <v>8771</v>
      </c>
      <c r="L4395" t="s">
        <v>27250</v>
      </c>
      <c r="M4395" t="s">
        <v>27251</v>
      </c>
      <c r="N4395" t="s">
        <v>27252</v>
      </c>
      <c r="Q4395" s="1">
        <v>44846</v>
      </c>
      <c r="R4395" t="s">
        <v>27253</v>
      </c>
      <c r="S4395" t="s">
        <v>27254</v>
      </c>
      <c r="T4395" t="s">
        <v>27255</v>
      </c>
    </row>
    <row r="4396" spans="1:20" x14ac:dyDescent="0.3">
      <c r="A4396" t="str">
        <f>"0611861966050"</f>
        <v>0611861966050</v>
      </c>
      <c r="B4396" t="str">
        <f>"CR4275"</f>
        <v>CR4275</v>
      </c>
      <c r="C4396" t="s">
        <v>35736</v>
      </c>
      <c r="D4396" t="s">
        <v>27286</v>
      </c>
      <c r="E4396" t="str">
        <f t="shared" si="68"/>
        <v>001390</v>
      </c>
      <c r="F4396" t="s">
        <v>27246</v>
      </c>
      <c r="G4396" t="s">
        <v>27247</v>
      </c>
      <c r="H4396" t="s">
        <v>27248</v>
      </c>
      <c r="I4396" t="s">
        <v>35737</v>
      </c>
      <c r="J4396" t="s">
        <v>8775</v>
      </c>
      <c r="L4396" t="s">
        <v>27250</v>
      </c>
      <c r="M4396" t="s">
        <v>27251</v>
      </c>
      <c r="N4396" t="s">
        <v>27252</v>
      </c>
      <c r="Q4396" s="1">
        <v>44846</v>
      </c>
      <c r="R4396" t="s">
        <v>27253</v>
      </c>
      <c r="S4396" t="s">
        <v>27254</v>
      </c>
      <c r="T4396" t="s">
        <v>27265</v>
      </c>
    </row>
    <row r="4397" spans="1:20" x14ac:dyDescent="0.3">
      <c r="A4397" t="str">
        <f>"0611861967100"</f>
        <v>0611861967100</v>
      </c>
      <c r="B4397" t="str">
        <f>"CN5160"</f>
        <v>CN5160</v>
      </c>
      <c r="C4397" t="s">
        <v>35738</v>
      </c>
      <c r="D4397" t="s">
        <v>27335</v>
      </c>
      <c r="E4397" t="str">
        <f t="shared" si="68"/>
        <v>001390</v>
      </c>
      <c r="F4397" t="s">
        <v>27246</v>
      </c>
      <c r="G4397" t="s">
        <v>27247</v>
      </c>
      <c r="H4397" t="s">
        <v>27248</v>
      </c>
      <c r="I4397" t="s">
        <v>35739</v>
      </c>
      <c r="J4397" t="s">
        <v>8777</v>
      </c>
      <c r="L4397" t="s">
        <v>27250</v>
      </c>
      <c r="M4397" t="s">
        <v>27251</v>
      </c>
      <c r="N4397" t="s">
        <v>27252</v>
      </c>
      <c r="Q4397" s="1">
        <v>44846</v>
      </c>
      <c r="R4397" t="s">
        <v>27253</v>
      </c>
      <c r="S4397" t="s">
        <v>27254</v>
      </c>
      <c r="T4397" t="s">
        <v>27255</v>
      </c>
    </row>
    <row r="4398" spans="1:20" x14ac:dyDescent="0.3">
      <c r="A4398" t="str">
        <f>"0611834228025"</f>
        <v>0611834228025</v>
      </c>
      <c r="B4398" t="str">
        <f>"MC0856"</f>
        <v>MC0856</v>
      </c>
      <c r="C4398" t="s">
        <v>35740</v>
      </c>
      <c r="D4398" t="s">
        <v>27267</v>
      </c>
      <c r="E4398" t="str">
        <f t="shared" si="68"/>
        <v>001390</v>
      </c>
      <c r="F4398" t="s">
        <v>27246</v>
      </c>
      <c r="G4398" t="s">
        <v>27247</v>
      </c>
      <c r="H4398" t="s">
        <v>27248</v>
      </c>
      <c r="I4398" t="s">
        <v>35741</v>
      </c>
      <c r="J4398" t="s">
        <v>8779</v>
      </c>
      <c r="L4398" t="s">
        <v>27250</v>
      </c>
      <c r="M4398" t="s">
        <v>27251</v>
      </c>
      <c r="N4398" t="s">
        <v>27252</v>
      </c>
      <c r="Q4398" s="1">
        <v>44538</v>
      </c>
      <c r="R4398" t="s">
        <v>27253</v>
      </c>
      <c r="S4398" t="s">
        <v>27254</v>
      </c>
      <c r="T4398" t="s">
        <v>27269</v>
      </c>
    </row>
    <row r="4399" spans="1:20" x14ac:dyDescent="0.3">
      <c r="A4399" t="str">
        <f>"0611856947100"</f>
        <v>0611856947100</v>
      </c>
      <c r="B4399" t="str">
        <f>"LK7049"</f>
        <v>LK7049</v>
      </c>
      <c r="C4399" t="s">
        <v>35742</v>
      </c>
      <c r="D4399" t="s">
        <v>27245</v>
      </c>
      <c r="E4399" t="str">
        <f t="shared" si="68"/>
        <v>001390</v>
      </c>
      <c r="F4399" t="s">
        <v>27246</v>
      </c>
      <c r="G4399" t="s">
        <v>27247</v>
      </c>
      <c r="H4399" t="s">
        <v>27248</v>
      </c>
      <c r="I4399" t="s">
        <v>35743</v>
      </c>
      <c r="J4399" t="s">
        <v>8781</v>
      </c>
      <c r="L4399" t="s">
        <v>27250</v>
      </c>
      <c r="M4399" t="s">
        <v>27251</v>
      </c>
      <c r="N4399" t="s">
        <v>27252</v>
      </c>
      <c r="Q4399" s="1">
        <v>44812</v>
      </c>
      <c r="R4399" t="s">
        <v>27253</v>
      </c>
      <c r="S4399" t="s">
        <v>27254</v>
      </c>
      <c r="T4399" t="s">
        <v>27255</v>
      </c>
    </row>
    <row r="4400" spans="1:20" x14ac:dyDescent="0.3">
      <c r="A4400" t="str">
        <f>"0611834229025"</f>
        <v>0611834229025</v>
      </c>
      <c r="B4400" t="str">
        <f>"MQ0572"</f>
        <v>MQ0572</v>
      </c>
      <c r="C4400" t="s">
        <v>35744</v>
      </c>
      <c r="D4400" t="s">
        <v>27267</v>
      </c>
      <c r="E4400" t="str">
        <f t="shared" si="68"/>
        <v>001390</v>
      </c>
      <c r="F4400" t="s">
        <v>27246</v>
      </c>
      <c r="G4400" t="s">
        <v>27247</v>
      </c>
      <c r="H4400" t="s">
        <v>27248</v>
      </c>
      <c r="I4400" t="s">
        <v>35745</v>
      </c>
      <c r="J4400" t="s">
        <v>8783</v>
      </c>
      <c r="L4400" t="s">
        <v>27250</v>
      </c>
      <c r="M4400" t="s">
        <v>27251</v>
      </c>
      <c r="N4400" t="s">
        <v>27252</v>
      </c>
      <c r="Q4400" s="1">
        <v>44538</v>
      </c>
      <c r="R4400" t="s">
        <v>27253</v>
      </c>
      <c r="S4400" t="s">
        <v>27254</v>
      </c>
      <c r="T4400" t="s">
        <v>27269</v>
      </c>
    </row>
    <row r="4401" spans="1:20" x14ac:dyDescent="0.3">
      <c r="A4401" t="str">
        <f>"0611834230025"</f>
        <v>0611834230025</v>
      </c>
      <c r="B4401" t="str">
        <f>"MC1153"</f>
        <v>MC1153</v>
      </c>
      <c r="C4401" t="s">
        <v>35746</v>
      </c>
      <c r="D4401" t="s">
        <v>27267</v>
      </c>
      <c r="E4401" t="str">
        <f t="shared" si="68"/>
        <v>001390</v>
      </c>
      <c r="F4401" t="s">
        <v>27246</v>
      </c>
      <c r="G4401" t="s">
        <v>27247</v>
      </c>
      <c r="H4401" t="s">
        <v>27248</v>
      </c>
      <c r="I4401" t="s">
        <v>35747</v>
      </c>
      <c r="J4401" t="s">
        <v>8785</v>
      </c>
      <c r="L4401" t="s">
        <v>27250</v>
      </c>
      <c r="M4401" t="s">
        <v>27251</v>
      </c>
      <c r="N4401" t="s">
        <v>27252</v>
      </c>
      <c r="Q4401" s="1">
        <v>44538</v>
      </c>
      <c r="R4401" t="s">
        <v>27253</v>
      </c>
      <c r="S4401" t="s">
        <v>27254</v>
      </c>
      <c r="T4401" t="s">
        <v>27269</v>
      </c>
    </row>
    <row r="4402" spans="1:20" x14ac:dyDescent="0.3">
      <c r="A4402" t="str">
        <f>"0611834231025"</f>
        <v>0611834231025</v>
      </c>
      <c r="B4402" t="str">
        <f>"MC3726"</f>
        <v>MC3726</v>
      </c>
      <c r="C4402" t="s">
        <v>35748</v>
      </c>
      <c r="D4402" t="s">
        <v>27267</v>
      </c>
      <c r="E4402" t="str">
        <f t="shared" si="68"/>
        <v>001390</v>
      </c>
      <c r="F4402" t="s">
        <v>27246</v>
      </c>
      <c r="G4402" t="s">
        <v>27247</v>
      </c>
      <c r="H4402" t="s">
        <v>27248</v>
      </c>
      <c r="I4402" t="s">
        <v>35749</v>
      </c>
      <c r="J4402" t="s">
        <v>8787</v>
      </c>
      <c r="L4402" t="s">
        <v>27250</v>
      </c>
      <c r="M4402" t="s">
        <v>27251</v>
      </c>
      <c r="N4402" t="s">
        <v>27252</v>
      </c>
      <c r="Q4402" s="1">
        <v>44538</v>
      </c>
      <c r="R4402" t="s">
        <v>27253</v>
      </c>
      <c r="S4402" t="s">
        <v>27254</v>
      </c>
      <c r="T4402" t="s">
        <v>27269</v>
      </c>
    </row>
    <row r="4403" spans="1:20" x14ac:dyDescent="0.3">
      <c r="A4403" t="str">
        <f>"0611834232025"</f>
        <v>0611834232025</v>
      </c>
      <c r="B4403" t="str">
        <f>"MQ0206"</f>
        <v>MQ0206</v>
      </c>
      <c r="C4403" t="s">
        <v>35750</v>
      </c>
      <c r="D4403" t="s">
        <v>27267</v>
      </c>
      <c r="E4403" t="str">
        <f t="shared" si="68"/>
        <v>001390</v>
      </c>
      <c r="F4403" t="s">
        <v>27246</v>
      </c>
      <c r="G4403" t="s">
        <v>27247</v>
      </c>
      <c r="H4403" t="s">
        <v>27248</v>
      </c>
      <c r="I4403" t="s">
        <v>35751</v>
      </c>
      <c r="J4403" t="s">
        <v>8791</v>
      </c>
      <c r="L4403" t="s">
        <v>27250</v>
      </c>
      <c r="M4403" t="s">
        <v>27251</v>
      </c>
      <c r="N4403" t="s">
        <v>27252</v>
      </c>
      <c r="Q4403" s="1">
        <v>44538</v>
      </c>
      <c r="R4403" t="s">
        <v>27253</v>
      </c>
      <c r="S4403" t="s">
        <v>27254</v>
      </c>
      <c r="T4403" t="s">
        <v>27269</v>
      </c>
    </row>
    <row r="4404" spans="1:20" x14ac:dyDescent="0.3">
      <c r="A4404" t="str">
        <f>"0611861968100"</f>
        <v>0611861968100</v>
      </c>
      <c r="B4404" t="str">
        <f>"CN2308"</f>
        <v>CN2308</v>
      </c>
      <c r="C4404" t="s">
        <v>35750</v>
      </c>
      <c r="D4404" t="s">
        <v>27335</v>
      </c>
      <c r="E4404" t="str">
        <f t="shared" si="68"/>
        <v>001390</v>
      </c>
      <c r="F4404" t="s">
        <v>27246</v>
      </c>
      <c r="G4404" t="s">
        <v>27247</v>
      </c>
      <c r="H4404" t="s">
        <v>27248</v>
      </c>
      <c r="I4404" t="s">
        <v>35752</v>
      </c>
      <c r="J4404" t="s">
        <v>8789</v>
      </c>
      <c r="L4404" t="s">
        <v>27250</v>
      </c>
      <c r="M4404" t="s">
        <v>27251</v>
      </c>
      <c r="N4404" t="s">
        <v>27252</v>
      </c>
      <c r="Q4404" s="1">
        <v>44846</v>
      </c>
      <c r="R4404" t="s">
        <v>27253</v>
      </c>
      <c r="S4404" t="s">
        <v>27254</v>
      </c>
      <c r="T4404" t="s">
        <v>27255</v>
      </c>
    </row>
    <row r="4405" spans="1:20" x14ac:dyDescent="0.3">
      <c r="A4405" t="str">
        <f>"0611861969100"</f>
        <v>0611861969100</v>
      </c>
      <c r="B4405" t="str">
        <f>"CN5165"</f>
        <v>CN5165</v>
      </c>
      <c r="C4405" t="s">
        <v>35753</v>
      </c>
      <c r="D4405" t="s">
        <v>27335</v>
      </c>
      <c r="E4405" t="str">
        <f t="shared" si="68"/>
        <v>001390</v>
      </c>
      <c r="F4405" t="s">
        <v>27246</v>
      </c>
      <c r="G4405" t="s">
        <v>27247</v>
      </c>
      <c r="H4405" t="s">
        <v>27248</v>
      </c>
      <c r="I4405" t="s">
        <v>35754</v>
      </c>
      <c r="J4405" t="s">
        <v>8793</v>
      </c>
      <c r="L4405" t="s">
        <v>27250</v>
      </c>
      <c r="M4405" t="s">
        <v>27251</v>
      </c>
      <c r="N4405" t="s">
        <v>27252</v>
      </c>
      <c r="Q4405" s="1">
        <v>44846</v>
      </c>
      <c r="R4405" t="s">
        <v>27253</v>
      </c>
      <c r="S4405" t="s">
        <v>27254</v>
      </c>
      <c r="T4405" t="s">
        <v>27255</v>
      </c>
    </row>
    <row r="4406" spans="1:20" x14ac:dyDescent="0.3">
      <c r="A4406" t="str">
        <f>"0611861970050"</f>
        <v>0611861970050</v>
      </c>
      <c r="B4406" t="str">
        <f>"CR4280"</f>
        <v>CR4280</v>
      </c>
      <c r="C4406" t="s">
        <v>35755</v>
      </c>
      <c r="D4406" t="s">
        <v>27286</v>
      </c>
      <c r="E4406" t="str">
        <f t="shared" si="68"/>
        <v>001390</v>
      </c>
      <c r="F4406" t="s">
        <v>27246</v>
      </c>
      <c r="G4406" t="s">
        <v>27247</v>
      </c>
      <c r="H4406" t="s">
        <v>27248</v>
      </c>
      <c r="I4406" t="s">
        <v>35756</v>
      </c>
      <c r="J4406" t="s">
        <v>8795</v>
      </c>
      <c r="L4406" t="s">
        <v>27250</v>
      </c>
      <c r="M4406" t="s">
        <v>27251</v>
      </c>
      <c r="N4406" t="s">
        <v>27252</v>
      </c>
      <c r="Q4406" s="1">
        <v>44846</v>
      </c>
      <c r="R4406" t="s">
        <v>27253</v>
      </c>
      <c r="S4406" t="s">
        <v>27254</v>
      </c>
      <c r="T4406" t="s">
        <v>27265</v>
      </c>
    </row>
    <row r="4407" spans="1:20" x14ac:dyDescent="0.3">
      <c r="A4407" t="str">
        <f>"0611834234100"</f>
        <v>0611834234100</v>
      </c>
      <c r="B4407" t="str">
        <f>"LH3855"</f>
        <v>LH3855</v>
      </c>
      <c r="C4407" t="s">
        <v>35757</v>
      </c>
      <c r="D4407" t="s">
        <v>27245</v>
      </c>
      <c r="E4407" t="str">
        <f t="shared" si="68"/>
        <v>001390</v>
      </c>
      <c r="F4407" t="s">
        <v>27246</v>
      </c>
      <c r="G4407" t="s">
        <v>27247</v>
      </c>
      <c r="H4407" t="s">
        <v>27248</v>
      </c>
      <c r="I4407" t="s">
        <v>35758</v>
      </c>
      <c r="J4407" t="s">
        <v>8797</v>
      </c>
      <c r="L4407" t="s">
        <v>27250</v>
      </c>
      <c r="M4407" t="s">
        <v>27251</v>
      </c>
      <c r="N4407" t="s">
        <v>27252</v>
      </c>
      <c r="Q4407" s="1">
        <v>44538</v>
      </c>
      <c r="R4407" t="s">
        <v>27253</v>
      </c>
      <c r="S4407" t="s">
        <v>27254</v>
      </c>
      <c r="T4407" t="s">
        <v>27255</v>
      </c>
    </row>
    <row r="4408" spans="1:20" x14ac:dyDescent="0.3">
      <c r="A4408" t="str">
        <f>"0611834235025"</f>
        <v>0611834235025</v>
      </c>
      <c r="B4408" t="str">
        <f>"MC0287"</f>
        <v>MC0287</v>
      </c>
      <c r="C4408" t="s">
        <v>35757</v>
      </c>
      <c r="D4408" t="s">
        <v>27267</v>
      </c>
      <c r="E4408" t="str">
        <f t="shared" si="68"/>
        <v>001390</v>
      </c>
      <c r="F4408" t="s">
        <v>27246</v>
      </c>
      <c r="G4408" t="s">
        <v>27247</v>
      </c>
      <c r="H4408" t="s">
        <v>27248</v>
      </c>
      <c r="I4408" t="s">
        <v>35759</v>
      </c>
      <c r="J4408" t="s">
        <v>8799</v>
      </c>
      <c r="L4408" t="s">
        <v>27250</v>
      </c>
      <c r="M4408" t="s">
        <v>27251</v>
      </c>
      <c r="N4408" t="s">
        <v>27252</v>
      </c>
      <c r="Q4408" s="1">
        <v>44538</v>
      </c>
      <c r="R4408" t="s">
        <v>27253</v>
      </c>
      <c r="S4408" t="s">
        <v>27254</v>
      </c>
      <c r="T4408" t="s">
        <v>27269</v>
      </c>
    </row>
    <row r="4409" spans="1:20" x14ac:dyDescent="0.3">
      <c r="A4409" t="str">
        <f>"0611834236100"</f>
        <v>0611834236100</v>
      </c>
      <c r="B4409" t="str">
        <f>"LQ5747"</f>
        <v>LQ5747</v>
      </c>
      <c r="C4409" t="s">
        <v>35760</v>
      </c>
      <c r="D4409" t="s">
        <v>27245</v>
      </c>
      <c r="E4409" t="str">
        <f t="shared" si="68"/>
        <v>001390</v>
      </c>
      <c r="F4409" t="s">
        <v>27246</v>
      </c>
      <c r="G4409" t="s">
        <v>27247</v>
      </c>
      <c r="H4409" t="s">
        <v>27248</v>
      </c>
      <c r="I4409" t="s">
        <v>35761</v>
      </c>
      <c r="J4409" t="s">
        <v>8801</v>
      </c>
      <c r="L4409" t="s">
        <v>27250</v>
      </c>
      <c r="M4409" t="s">
        <v>27251</v>
      </c>
      <c r="N4409" t="s">
        <v>27252</v>
      </c>
      <c r="Q4409" s="1">
        <v>44538</v>
      </c>
      <c r="R4409" t="s">
        <v>27253</v>
      </c>
      <c r="S4409" t="s">
        <v>27254</v>
      </c>
      <c r="T4409" t="s">
        <v>27255</v>
      </c>
    </row>
    <row r="4410" spans="1:20" x14ac:dyDescent="0.3">
      <c r="A4410" t="str">
        <f>"0611834238025"</f>
        <v>0611834238025</v>
      </c>
      <c r="B4410" t="str">
        <f>"MC1155"</f>
        <v>MC1155</v>
      </c>
      <c r="C4410" t="s">
        <v>35762</v>
      </c>
      <c r="D4410" t="s">
        <v>27267</v>
      </c>
      <c r="E4410" t="str">
        <f t="shared" si="68"/>
        <v>001390</v>
      </c>
      <c r="F4410" t="s">
        <v>27246</v>
      </c>
      <c r="G4410" t="s">
        <v>27247</v>
      </c>
      <c r="H4410" t="s">
        <v>27248</v>
      </c>
      <c r="I4410" t="s">
        <v>35763</v>
      </c>
      <c r="J4410" t="s">
        <v>8803</v>
      </c>
      <c r="L4410" t="s">
        <v>27250</v>
      </c>
      <c r="M4410" t="s">
        <v>27251</v>
      </c>
      <c r="N4410" t="s">
        <v>27252</v>
      </c>
      <c r="Q4410" s="1">
        <v>44538</v>
      </c>
      <c r="R4410" t="s">
        <v>27253</v>
      </c>
      <c r="S4410" t="s">
        <v>27254</v>
      </c>
      <c r="T4410" t="s">
        <v>27269</v>
      </c>
    </row>
    <row r="4411" spans="1:20" x14ac:dyDescent="0.3">
      <c r="A4411" t="str">
        <f>"0611861971050"</f>
        <v>0611861971050</v>
      </c>
      <c r="B4411" t="str">
        <f>"CE1625"</f>
        <v>CE1625</v>
      </c>
      <c r="C4411" t="s">
        <v>35764</v>
      </c>
      <c r="D4411" t="s">
        <v>27923</v>
      </c>
      <c r="E4411" t="str">
        <f t="shared" si="68"/>
        <v>001390</v>
      </c>
      <c r="F4411" t="s">
        <v>27246</v>
      </c>
      <c r="G4411" t="s">
        <v>27247</v>
      </c>
      <c r="H4411" t="s">
        <v>27248</v>
      </c>
      <c r="I4411" t="s">
        <v>35765</v>
      </c>
      <c r="J4411" t="s">
        <v>8805</v>
      </c>
      <c r="L4411" t="s">
        <v>27250</v>
      </c>
      <c r="M4411" t="s">
        <v>27251</v>
      </c>
      <c r="N4411" t="s">
        <v>27252</v>
      </c>
      <c r="P4411" t="s">
        <v>27925</v>
      </c>
      <c r="Q4411" s="1">
        <v>44846</v>
      </c>
      <c r="R4411" t="s">
        <v>27253</v>
      </c>
      <c r="S4411" t="s">
        <v>27254</v>
      </c>
      <c r="T4411" t="s">
        <v>27265</v>
      </c>
    </row>
    <row r="4412" spans="1:20" x14ac:dyDescent="0.3">
      <c r="A4412" t="str">
        <f>"0611861972050"</f>
        <v>0611861972050</v>
      </c>
      <c r="B4412" t="str">
        <f>"CE0427"</f>
        <v>CE0427</v>
      </c>
      <c r="C4412" t="s">
        <v>35766</v>
      </c>
      <c r="D4412" t="s">
        <v>27923</v>
      </c>
      <c r="E4412" t="str">
        <f t="shared" si="68"/>
        <v>001390</v>
      </c>
      <c r="F4412" t="s">
        <v>27246</v>
      </c>
      <c r="G4412" t="s">
        <v>27247</v>
      </c>
      <c r="H4412" t="s">
        <v>27248</v>
      </c>
      <c r="I4412" t="s">
        <v>35767</v>
      </c>
      <c r="J4412" t="s">
        <v>8807</v>
      </c>
      <c r="L4412" t="s">
        <v>27250</v>
      </c>
      <c r="M4412" t="s">
        <v>27251</v>
      </c>
      <c r="N4412" t="s">
        <v>27252</v>
      </c>
      <c r="P4412" t="s">
        <v>27925</v>
      </c>
      <c r="Q4412" s="1">
        <v>44846</v>
      </c>
      <c r="R4412" t="s">
        <v>27253</v>
      </c>
      <c r="S4412" t="s">
        <v>27254</v>
      </c>
      <c r="T4412" t="s">
        <v>27265</v>
      </c>
    </row>
    <row r="4413" spans="1:20" x14ac:dyDescent="0.3">
      <c r="A4413" t="str">
        <f>"0611834239100"</f>
        <v>0611834239100</v>
      </c>
      <c r="B4413" t="str">
        <f>"LG1005"</f>
        <v>LG1005</v>
      </c>
      <c r="C4413" t="s">
        <v>35768</v>
      </c>
      <c r="D4413" t="s">
        <v>27245</v>
      </c>
      <c r="E4413" t="str">
        <f t="shared" si="68"/>
        <v>001390</v>
      </c>
      <c r="F4413" t="s">
        <v>27246</v>
      </c>
      <c r="G4413" t="s">
        <v>27247</v>
      </c>
      <c r="H4413" t="s">
        <v>27248</v>
      </c>
      <c r="I4413" t="s">
        <v>35769</v>
      </c>
      <c r="J4413" t="s">
        <v>8809</v>
      </c>
      <c r="L4413" t="s">
        <v>27250</v>
      </c>
      <c r="M4413" t="s">
        <v>27251</v>
      </c>
      <c r="N4413" t="s">
        <v>27252</v>
      </c>
      <c r="Q4413" s="1">
        <v>44538</v>
      </c>
      <c r="R4413" t="s">
        <v>27253</v>
      </c>
      <c r="S4413" t="s">
        <v>27254</v>
      </c>
      <c r="T4413" t="s">
        <v>27255</v>
      </c>
    </row>
    <row r="4414" spans="1:20" x14ac:dyDescent="0.3">
      <c r="A4414" t="str">
        <f>"0611861973100"</f>
        <v>0611861973100</v>
      </c>
      <c r="B4414" t="str">
        <f>"CN5162"</f>
        <v>CN5162</v>
      </c>
      <c r="C4414" t="s">
        <v>35770</v>
      </c>
      <c r="D4414" t="s">
        <v>27335</v>
      </c>
      <c r="E4414" t="str">
        <f t="shared" si="68"/>
        <v>001390</v>
      </c>
      <c r="F4414" t="s">
        <v>27246</v>
      </c>
      <c r="G4414" t="s">
        <v>27247</v>
      </c>
      <c r="H4414" t="s">
        <v>27248</v>
      </c>
      <c r="I4414" t="s">
        <v>35771</v>
      </c>
      <c r="J4414" t="s">
        <v>8811</v>
      </c>
      <c r="L4414" t="s">
        <v>27250</v>
      </c>
      <c r="M4414" t="s">
        <v>27251</v>
      </c>
      <c r="N4414" t="s">
        <v>27252</v>
      </c>
      <c r="Q4414" s="1">
        <v>44846</v>
      </c>
      <c r="R4414" t="s">
        <v>27253</v>
      </c>
      <c r="S4414" t="s">
        <v>27254</v>
      </c>
      <c r="T4414" t="s">
        <v>27255</v>
      </c>
    </row>
    <row r="4415" spans="1:20" x14ac:dyDescent="0.3">
      <c r="A4415" t="str">
        <f>"0611834240100"</f>
        <v>0611834240100</v>
      </c>
      <c r="B4415" t="str">
        <f>"LK5746"</f>
        <v>LK5746</v>
      </c>
      <c r="C4415" t="s">
        <v>35772</v>
      </c>
      <c r="D4415" t="s">
        <v>27245</v>
      </c>
      <c r="E4415" t="str">
        <f t="shared" si="68"/>
        <v>001390</v>
      </c>
      <c r="F4415" t="s">
        <v>27246</v>
      </c>
      <c r="G4415" t="s">
        <v>27247</v>
      </c>
      <c r="H4415" t="s">
        <v>27248</v>
      </c>
      <c r="I4415" t="s">
        <v>35773</v>
      </c>
      <c r="J4415" t="s">
        <v>8813</v>
      </c>
      <c r="L4415" t="s">
        <v>27250</v>
      </c>
      <c r="M4415" t="s">
        <v>27251</v>
      </c>
      <c r="N4415" t="s">
        <v>27252</v>
      </c>
      <c r="Q4415" s="1">
        <v>44538</v>
      </c>
      <c r="R4415" t="s">
        <v>27253</v>
      </c>
      <c r="S4415" t="s">
        <v>27254</v>
      </c>
      <c r="T4415" t="s">
        <v>27255</v>
      </c>
    </row>
    <row r="4416" spans="1:20" x14ac:dyDescent="0.3">
      <c r="A4416" t="str">
        <f>"0611834241100"</f>
        <v>0611834241100</v>
      </c>
      <c r="B4416" t="str">
        <f>"LK5558"</f>
        <v>LK5558</v>
      </c>
      <c r="C4416" t="s">
        <v>35774</v>
      </c>
      <c r="D4416" t="s">
        <v>27245</v>
      </c>
      <c r="E4416" t="str">
        <f t="shared" si="68"/>
        <v>001390</v>
      </c>
      <c r="F4416" t="s">
        <v>27246</v>
      </c>
      <c r="G4416" t="s">
        <v>27247</v>
      </c>
      <c r="H4416" t="s">
        <v>27248</v>
      </c>
      <c r="I4416" t="s">
        <v>35775</v>
      </c>
      <c r="J4416" t="s">
        <v>8815</v>
      </c>
      <c r="L4416" t="s">
        <v>27250</v>
      </c>
      <c r="M4416" t="s">
        <v>27251</v>
      </c>
      <c r="N4416" t="s">
        <v>27252</v>
      </c>
      <c r="Q4416" s="1">
        <v>44538</v>
      </c>
      <c r="R4416" t="s">
        <v>27253</v>
      </c>
      <c r="S4416" t="s">
        <v>27254</v>
      </c>
      <c r="T4416" t="s">
        <v>27255</v>
      </c>
    </row>
    <row r="4417" spans="1:20" x14ac:dyDescent="0.3">
      <c r="A4417" t="str">
        <f>"0611834242100"</f>
        <v>0611834242100</v>
      </c>
      <c r="B4417" t="str">
        <f>"LQ3141"</f>
        <v>LQ3141</v>
      </c>
      <c r="C4417" t="s">
        <v>35776</v>
      </c>
      <c r="D4417" t="s">
        <v>27245</v>
      </c>
      <c r="E4417" t="str">
        <f t="shared" si="68"/>
        <v>001390</v>
      </c>
      <c r="F4417" t="s">
        <v>27246</v>
      </c>
      <c r="G4417" t="s">
        <v>27247</v>
      </c>
      <c r="H4417" t="s">
        <v>27248</v>
      </c>
      <c r="I4417" t="s">
        <v>35777</v>
      </c>
      <c r="J4417" t="s">
        <v>8817</v>
      </c>
      <c r="L4417" t="s">
        <v>27250</v>
      </c>
      <c r="M4417" t="s">
        <v>27251</v>
      </c>
      <c r="N4417" t="s">
        <v>27252</v>
      </c>
      <c r="Q4417" s="1">
        <v>44538</v>
      </c>
      <c r="R4417" t="s">
        <v>27253</v>
      </c>
      <c r="S4417" t="s">
        <v>27254</v>
      </c>
      <c r="T4417" t="s">
        <v>27255</v>
      </c>
    </row>
    <row r="4418" spans="1:20" x14ac:dyDescent="0.3">
      <c r="A4418" t="str">
        <f>"0611856948025"</f>
        <v>0611856948025</v>
      </c>
      <c r="B4418" t="str">
        <f>"MQ6025"</f>
        <v>MQ6025</v>
      </c>
      <c r="C4418" t="s">
        <v>35778</v>
      </c>
      <c r="D4418" t="s">
        <v>27267</v>
      </c>
      <c r="E4418" t="str">
        <f t="shared" ref="E4418:E4481" si="69">"001390"</f>
        <v>001390</v>
      </c>
      <c r="F4418" t="s">
        <v>27246</v>
      </c>
      <c r="G4418" t="s">
        <v>27247</v>
      </c>
      <c r="H4418" t="s">
        <v>27248</v>
      </c>
      <c r="I4418" t="s">
        <v>35779</v>
      </c>
      <c r="J4418" t="s">
        <v>8819</v>
      </c>
      <c r="L4418" t="s">
        <v>27250</v>
      </c>
      <c r="M4418" t="s">
        <v>27251</v>
      </c>
      <c r="N4418" t="s">
        <v>27252</v>
      </c>
      <c r="Q4418" s="1">
        <v>44812</v>
      </c>
      <c r="R4418" t="s">
        <v>27253</v>
      </c>
      <c r="S4418" t="s">
        <v>27254</v>
      </c>
      <c r="T4418" t="s">
        <v>27269</v>
      </c>
    </row>
    <row r="4419" spans="1:20" x14ac:dyDescent="0.3">
      <c r="A4419" t="str">
        <f>"0611834244100"</f>
        <v>0611834244100</v>
      </c>
      <c r="B4419" t="str">
        <f>"LK5539"</f>
        <v>LK5539</v>
      </c>
      <c r="C4419" t="s">
        <v>35780</v>
      </c>
      <c r="D4419" t="s">
        <v>27245</v>
      </c>
      <c r="E4419" t="str">
        <f t="shared" si="69"/>
        <v>001390</v>
      </c>
      <c r="F4419" t="s">
        <v>27246</v>
      </c>
      <c r="G4419" t="s">
        <v>27247</v>
      </c>
      <c r="H4419" t="s">
        <v>27248</v>
      </c>
      <c r="I4419" t="s">
        <v>35781</v>
      </c>
      <c r="J4419" t="s">
        <v>8821</v>
      </c>
      <c r="L4419" t="s">
        <v>27250</v>
      </c>
      <c r="M4419" t="s">
        <v>27251</v>
      </c>
      <c r="N4419" t="s">
        <v>27252</v>
      </c>
      <c r="Q4419" s="1">
        <v>44538</v>
      </c>
      <c r="R4419" t="s">
        <v>27253</v>
      </c>
      <c r="S4419" t="s">
        <v>27254</v>
      </c>
      <c r="T4419" t="s">
        <v>27255</v>
      </c>
    </row>
    <row r="4420" spans="1:20" x14ac:dyDescent="0.3">
      <c r="A4420" t="str">
        <f>"0611861974050"</f>
        <v>0611861974050</v>
      </c>
      <c r="B4420" t="str">
        <f>"CR4595"</f>
        <v>CR4595</v>
      </c>
      <c r="C4420" t="s">
        <v>35782</v>
      </c>
      <c r="D4420" t="s">
        <v>27263</v>
      </c>
      <c r="E4420" t="str">
        <f t="shared" si="69"/>
        <v>001390</v>
      </c>
      <c r="F4420" t="s">
        <v>27246</v>
      </c>
      <c r="G4420" t="s">
        <v>27247</v>
      </c>
      <c r="H4420" t="s">
        <v>27248</v>
      </c>
      <c r="I4420" t="s">
        <v>35783</v>
      </c>
      <c r="J4420" t="s">
        <v>8823</v>
      </c>
      <c r="L4420" t="s">
        <v>27250</v>
      </c>
      <c r="M4420" t="s">
        <v>27251</v>
      </c>
      <c r="N4420" t="s">
        <v>27252</v>
      </c>
      <c r="Q4420" s="1">
        <v>44846</v>
      </c>
      <c r="R4420" t="s">
        <v>27253</v>
      </c>
      <c r="S4420" t="s">
        <v>27254</v>
      </c>
      <c r="T4420" t="s">
        <v>27265</v>
      </c>
    </row>
    <row r="4421" spans="1:20" x14ac:dyDescent="0.3">
      <c r="A4421" t="str">
        <f>"0611861975050"</f>
        <v>0611861975050</v>
      </c>
      <c r="B4421" t="str">
        <f>"CR4600"</f>
        <v>CR4600</v>
      </c>
      <c r="C4421" t="s">
        <v>35784</v>
      </c>
      <c r="D4421" t="s">
        <v>27263</v>
      </c>
      <c r="E4421" t="str">
        <f t="shared" si="69"/>
        <v>001390</v>
      </c>
      <c r="F4421" t="s">
        <v>27246</v>
      </c>
      <c r="G4421" t="s">
        <v>27247</v>
      </c>
      <c r="H4421" t="s">
        <v>27248</v>
      </c>
      <c r="I4421" t="s">
        <v>35785</v>
      </c>
      <c r="J4421" t="s">
        <v>8825</v>
      </c>
      <c r="L4421" t="s">
        <v>27250</v>
      </c>
      <c r="M4421" t="s">
        <v>27251</v>
      </c>
      <c r="N4421" t="s">
        <v>27252</v>
      </c>
      <c r="Q4421" s="1">
        <v>44846</v>
      </c>
      <c r="R4421" t="s">
        <v>27253</v>
      </c>
      <c r="S4421" t="s">
        <v>27254</v>
      </c>
      <c r="T4421" t="s">
        <v>27265</v>
      </c>
    </row>
    <row r="4422" spans="1:20" x14ac:dyDescent="0.3">
      <c r="A4422" t="str">
        <f>"0611861976050"</f>
        <v>0611861976050</v>
      </c>
      <c r="B4422" t="str">
        <f>"CR4599"</f>
        <v>CR4599</v>
      </c>
      <c r="C4422" t="s">
        <v>35786</v>
      </c>
      <c r="D4422" t="s">
        <v>27263</v>
      </c>
      <c r="E4422" t="str">
        <f t="shared" si="69"/>
        <v>001390</v>
      </c>
      <c r="F4422" t="s">
        <v>27246</v>
      </c>
      <c r="G4422" t="s">
        <v>27247</v>
      </c>
      <c r="H4422" t="s">
        <v>27248</v>
      </c>
      <c r="I4422" t="s">
        <v>35787</v>
      </c>
      <c r="J4422" t="s">
        <v>8827</v>
      </c>
      <c r="L4422" t="s">
        <v>27250</v>
      </c>
      <c r="M4422" t="s">
        <v>27251</v>
      </c>
      <c r="N4422" t="s">
        <v>27252</v>
      </c>
      <c r="Q4422" s="1">
        <v>44846</v>
      </c>
      <c r="R4422" t="s">
        <v>27253</v>
      </c>
      <c r="S4422" t="s">
        <v>27254</v>
      </c>
      <c r="T4422" t="s">
        <v>27265</v>
      </c>
    </row>
    <row r="4423" spans="1:20" x14ac:dyDescent="0.3">
      <c r="A4423" t="str">
        <f>"0611861977050"</f>
        <v>0611861977050</v>
      </c>
      <c r="B4423" t="str">
        <f>"CR4887"</f>
        <v>CR4887</v>
      </c>
      <c r="C4423" t="s">
        <v>35788</v>
      </c>
      <c r="D4423" t="s">
        <v>27263</v>
      </c>
      <c r="E4423" t="str">
        <f t="shared" si="69"/>
        <v>001390</v>
      </c>
      <c r="F4423" t="s">
        <v>27246</v>
      </c>
      <c r="G4423" t="s">
        <v>27247</v>
      </c>
      <c r="H4423" t="s">
        <v>27248</v>
      </c>
      <c r="I4423" t="s">
        <v>35789</v>
      </c>
      <c r="J4423" t="s">
        <v>8829</v>
      </c>
      <c r="L4423" t="s">
        <v>27250</v>
      </c>
      <c r="M4423" t="s">
        <v>27251</v>
      </c>
      <c r="N4423" t="s">
        <v>27252</v>
      </c>
      <c r="Q4423" s="1">
        <v>44846</v>
      </c>
      <c r="R4423" t="s">
        <v>27253</v>
      </c>
      <c r="S4423" t="s">
        <v>27254</v>
      </c>
      <c r="T4423" t="s">
        <v>27265</v>
      </c>
    </row>
    <row r="4424" spans="1:20" x14ac:dyDescent="0.3">
      <c r="A4424" t="str">
        <f>"0611861978050"</f>
        <v>0611861978050</v>
      </c>
      <c r="B4424" t="str">
        <f>"CR4592"</f>
        <v>CR4592</v>
      </c>
      <c r="C4424" t="s">
        <v>35790</v>
      </c>
      <c r="D4424" t="s">
        <v>27263</v>
      </c>
      <c r="E4424" t="str">
        <f t="shared" si="69"/>
        <v>001390</v>
      </c>
      <c r="F4424" t="s">
        <v>27246</v>
      </c>
      <c r="G4424" t="s">
        <v>27247</v>
      </c>
      <c r="H4424" t="s">
        <v>27248</v>
      </c>
      <c r="I4424" t="s">
        <v>35791</v>
      </c>
      <c r="J4424" t="s">
        <v>8831</v>
      </c>
      <c r="L4424" t="s">
        <v>27250</v>
      </c>
      <c r="M4424" t="s">
        <v>27251</v>
      </c>
      <c r="N4424" t="s">
        <v>27252</v>
      </c>
      <c r="Q4424" s="1">
        <v>44846</v>
      </c>
      <c r="R4424" t="s">
        <v>27253</v>
      </c>
      <c r="S4424" t="s">
        <v>27254</v>
      </c>
      <c r="T4424" t="s">
        <v>27265</v>
      </c>
    </row>
    <row r="4425" spans="1:20" x14ac:dyDescent="0.3">
      <c r="A4425" t="str">
        <f>"0611861979050"</f>
        <v>0611861979050</v>
      </c>
      <c r="B4425" t="str">
        <f>"CR4596"</f>
        <v>CR4596</v>
      </c>
      <c r="C4425" t="s">
        <v>35792</v>
      </c>
      <c r="D4425" t="s">
        <v>27263</v>
      </c>
      <c r="E4425" t="str">
        <f t="shared" si="69"/>
        <v>001390</v>
      </c>
      <c r="F4425" t="s">
        <v>27246</v>
      </c>
      <c r="G4425" t="s">
        <v>27247</v>
      </c>
      <c r="H4425" t="s">
        <v>27248</v>
      </c>
      <c r="I4425" t="s">
        <v>35793</v>
      </c>
      <c r="J4425" t="s">
        <v>8833</v>
      </c>
      <c r="L4425" t="s">
        <v>27250</v>
      </c>
      <c r="M4425" t="s">
        <v>27251</v>
      </c>
      <c r="N4425" t="s">
        <v>27252</v>
      </c>
      <c r="Q4425" s="1">
        <v>44846</v>
      </c>
      <c r="R4425" t="s">
        <v>27253</v>
      </c>
      <c r="S4425" t="s">
        <v>27254</v>
      </c>
      <c r="T4425" t="s">
        <v>27265</v>
      </c>
    </row>
    <row r="4426" spans="1:20" x14ac:dyDescent="0.3">
      <c r="A4426" t="str">
        <f>"0611861980050"</f>
        <v>0611861980050</v>
      </c>
      <c r="B4426" t="str">
        <f>"CR4888"</f>
        <v>CR4888</v>
      </c>
      <c r="C4426" t="s">
        <v>35794</v>
      </c>
      <c r="D4426" t="s">
        <v>27263</v>
      </c>
      <c r="E4426" t="str">
        <f t="shared" si="69"/>
        <v>001390</v>
      </c>
      <c r="F4426" t="s">
        <v>27246</v>
      </c>
      <c r="G4426" t="s">
        <v>27247</v>
      </c>
      <c r="H4426" t="s">
        <v>27248</v>
      </c>
      <c r="I4426" t="s">
        <v>35795</v>
      </c>
      <c r="J4426" t="s">
        <v>8835</v>
      </c>
      <c r="L4426" t="s">
        <v>27250</v>
      </c>
      <c r="M4426" t="s">
        <v>27251</v>
      </c>
      <c r="N4426" t="s">
        <v>27252</v>
      </c>
      <c r="Q4426" s="1">
        <v>44846</v>
      </c>
      <c r="R4426" t="s">
        <v>27253</v>
      </c>
      <c r="S4426" t="s">
        <v>27254</v>
      </c>
      <c r="T4426" t="s">
        <v>27265</v>
      </c>
    </row>
    <row r="4427" spans="1:20" x14ac:dyDescent="0.3">
      <c r="A4427" t="str">
        <f>"0611861981050"</f>
        <v>0611861981050</v>
      </c>
      <c r="B4427" t="str">
        <f>"CR4601"</f>
        <v>CR4601</v>
      </c>
      <c r="C4427" t="s">
        <v>35796</v>
      </c>
      <c r="D4427" t="s">
        <v>27263</v>
      </c>
      <c r="E4427" t="str">
        <f t="shared" si="69"/>
        <v>001390</v>
      </c>
      <c r="F4427" t="s">
        <v>27246</v>
      </c>
      <c r="G4427" t="s">
        <v>27247</v>
      </c>
      <c r="H4427" t="s">
        <v>27248</v>
      </c>
      <c r="I4427" t="s">
        <v>35797</v>
      </c>
      <c r="J4427" t="s">
        <v>8837</v>
      </c>
      <c r="L4427" t="s">
        <v>27250</v>
      </c>
      <c r="M4427" t="s">
        <v>27251</v>
      </c>
      <c r="N4427" t="s">
        <v>27252</v>
      </c>
      <c r="Q4427" s="1">
        <v>44846</v>
      </c>
      <c r="R4427" t="s">
        <v>27253</v>
      </c>
      <c r="S4427" t="s">
        <v>27254</v>
      </c>
      <c r="T4427" t="s">
        <v>27265</v>
      </c>
    </row>
    <row r="4428" spans="1:20" x14ac:dyDescent="0.3">
      <c r="A4428" t="str">
        <f>"0611861982050"</f>
        <v>0611861982050</v>
      </c>
      <c r="B4428" t="str">
        <f>"CR4593"</f>
        <v>CR4593</v>
      </c>
      <c r="C4428" t="s">
        <v>35798</v>
      </c>
      <c r="D4428" t="s">
        <v>27263</v>
      </c>
      <c r="E4428" t="str">
        <f t="shared" si="69"/>
        <v>001390</v>
      </c>
      <c r="F4428" t="s">
        <v>27246</v>
      </c>
      <c r="G4428" t="s">
        <v>27247</v>
      </c>
      <c r="H4428" t="s">
        <v>27248</v>
      </c>
      <c r="I4428" t="s">
        <v>35799</v>
      </c>
      <c r="J4428" t="s">
        <v>8839</v>
      </c>
      <c r="L4428" t="s">
        <v>27250</v>
      </c>
      <c r="M4428" t="s">
        <v>27251</v>
      </c>
      <c r="N4428" t="s">
        <v>27252</v>
      </c>
      <c r="Q4428" s="1">
        <v>44846</v>
      </c>
      <c r="R4428" t="s">
        <v>27253</v>
      </c>
      <c r="S4428" t="s">
        <v>27254</v>
      </c>
      <c r="T4428" t="s">
        <v>27265</v>
      </c>
    </row>
    <row r="4429" spans="1:20" x14ac:dyDescent="0.3">
      <c r="A4429" t="str">
        <f>"0611861983050"</f>
        <v>0611861983050</v>
      </c>
      <c r="B4429" t="str">
        <f>"CR4889"</f>
        <v>CR4889</v>
      </c>
      <c r="C4429" t="s">
        <v>35800</v>
      </c>
      <c r="D4429" t="s">
        <v>27263</v>
      </c>
      <c r="E4429" t="str">
        <f t="shared" si="69"/>
        <v>001390</v>
      </c>
      <c r="F4429" t="s">
        <v>27246</v>
      </c>
      <c r="G4429" t="s">
        <v>27247</v>
      </c>
      <c r="H4429" t="s">
        <v>27248</v>
      </c>
      <c r="I4429" t="s">
        <v>35801</v>
      </c>
      <c r="J4429" t="s">
        <v>8841</v>
      </c>
      <c r="L4429" t="s">
        <v>27250</v>
      </c>
      <c r="M4429" t="s">
        <v>27251</v>
      </c>
      <c r="N4429" t="s">
        <v>27252</v>
      </c>
      <c r="Q4429" s="1">
        <v>44846</v>
      </c>
      <c r="R4429" t="s">
        <v>27253</v>
      </c>
      <c r="S4429" t="s">
        <v>27254</v>
      </c>
      <c r="T4429" t="s">
        <v>27265</v>
      </c>
    </row>
    <row r="4430" spans="1:20" x14ac:dyDescent="0.3">
      <c r="A4430" t="str">
        <f>"0611861984050"</f>
        <v>0611861984050</v>
      </c>
      <c r="B4430" t="str">
        <f>"CR4597"</f>
        <v>CR4597</v>
      </c>
      <c r="C4430" t="s">
        <v>35802</v>
      </c>
      <c r="D4430" t="s">
        <v>27263</v>
      </c>
      <c r="E4430" t="str">
        <f t="shared" si="69"/>
        <v>001390</v>
      </c>
      <c r="F4430" t="s">
        <v>27246</v>
      </c>
      <c r="G4430" t="s">
        <v>27247</v>
      </c>
      <c r="H4430" t="s">
        <v>27248</v>
      </c>
      <c r="I4430" t="s">
        <v>35803</v>
      </c>
      <c r="J4430" t="s">
        <v>8843</v>
      </c>
      <c r="L4430" t="s">
        <v>27250</v>
      </c>
      <c r="M4430" t="s">
        <v>27251</v>
      </c>
      <c r="N4430" t="s">
        <v>27252</v>
      </c>
      <c r="Q4430" s="1">
        <v>44846</v>
      </c>
      <c r="R4430" t="s">
        <v>27253</v>
      </c>
      <c r="S4430" t="s">
        <v>27254</v>
      </c>
      <c r="T4430" t="s">
        <v>27265</v>
      </c>
    </row>
    <row r="4431" spans="1:20" x14ac:dyDescent="0.3">
      <c r="A4431" t="str">
        <f>"0611861985050"</f>
        <v>0611861985050</v>
      </c>
      <c r="B4431" t="str">
        <f>"CR4598"</f>
        <v>CR4598</v>
      </c>
      <c r="C4431" t="s">
        <v>35804</v>
      </c>
      <c r="D4431" t="s">
        <v>27263</v>
      </c>
      <c r="E4431" t="str">
        <f t="shared" si="69"/>
        <v>001390</v>
      </c>
      <c r="F4431" t="s">
        <v>27246</v>
      </c>
      <c r="G4431" t="s">
        <v>27247</v>
      </c>
      <c r="H4431" t="s">
        <v>27248</v>
      </c>
      <c r="I4431" t="s">
        <v>35805</v>
      </c>
      <c r="J4431" t="s">
        <v>8845</v>
      </c>
      <c r="L4431" t="s">
        <v>27250</v>
      </c>
      <c r="M4431" t="s">
        <v>27251</v>
      </c>
      <c r="N4431" t="s">
        <v>27252</v>
      </c>
      <c r="Q4431" s="1">
        <v>44846</v>
      </c>
      <c r="R4431" t="s">
        <v>27253</v>
      </c>
      <c r="S4431" t="s">
        <v>27254</v>
      </c>
      <c r="T4431" t="s">
        <v>27265</v>
      </c>
    </row>
    <row r="4432" spans="1:20" x14ac:dyDescent="0.3">
      <c r="A4432" t="str">
        <f>"0611861986050"</f>
        <v>0611861986050</v>
      </c>
      <c r="B4432" t="str">
        <f>"CR4594"</f>
        <v>CR4594</v>
      </c>
      <c r="C4432" t="s">
        <v>35806</v>
      </c>
      <c r="D4432" t="s">
        <v>27263</v>
      </c>
      <c r="E4432" t="str">
        <f t="shared" si="69"/>
        <v>001390</v>
      </c>
      <c r="F4432" t="s">
        <v>27246</v>
      </c>
      <c r="G4432" t="s">
        <v>27247</v>
      </c>
      <c r="H4432" t="s">
        <v>27248</v>
      </c>
      <c r="I4432" t="s">
        <v>35807</v>
      </c>
      <c r="J4432" t="s">
        <v>8847</v>
      </c>
      <c r="L4432" t="s">
        <v>27250</v>
      </c>
      <c r="M4432" t="s">
        <v>27251</v>
      </c>
      <c r="N4432" t="s">
        <v>27252</v>
      </c>
      <c r="Q4432" s="1">
        <v>44846</v>
      </c>
      <c r="R4432" t="s">
        <v>27253</v>
      </c>
      <c r="S4432" t="s">
        <v>27254</v>
      </c>
      <c r="T4432" t="s">
        <v>27265</v>
      </c>
    </row>
    <row r="4433" spans="1:20" x14ac:dyDescent="0.3">
      <c r="A4433" t="str">
        <f>"0611861987050"</f>
        <v>0611861987050</v>
      </c>
      <c r="B4433" t="str">
        <f>"CR4602"</f>
        <v>CR4602</v>
      </c>
      <c r="C4433" t="s">
        <v>35808</v>
      </c>
      <c r="D4433" t="s">
        <v>27263</v>
      </c>
      <c r="E4433" t="str">
        <f t="shared" si="69"/>
        <v>001390</v>
      </c>
      <c r="F4433" t="s">
        <v>27246</v>
      </c>
      <c r="G4433" t="s">
        <v>27247</v>
      </c>
      <c r="H4433" t="s">
        <v>27248</v>
      </c>
      <c r="I4433" t="s">
        <v>35809</v>
      </c>
      <c r="J4433" t="s">
        <v>8849</v>
      </c>
      <c r="L4433" t="s">
        <v>27250</v>
      </c>
      <c r="M4433" t="s">
        <v>27251</v>
      </c>
      <c r="N4433" t="s">
        <v>27252</v>
      </c>
      <c r="Q4433" s="1">
        <v>44846</v>
      </c>
      <c r="R4433" t="s">
        <v>27253</v>
      </c>
      <c r="S4433" t="s">
        <v>27254</v>
      </c>
      <c r="T4433" t="s">
        <v>27265</v>
      </c>
    </row>
    <row r="4434" spans="1:20" x14ac:dyDescent="0.3">
      <c r="A4434" t="str">
        <f>"0611861988050"</f>
        <v>0611861988050</v>
      </c>
      <c r="B4434" t="str">
        <f>"CR4603"</f>
        <v>CR4603</v>
      </c>
      <c r="C4434" t="s">
        <v>35810</v>
      </c>
      <c r="D4434" t="s">
        <v>27263</v>
      </c>
      <c r="E4434" t="str">
        <f t="shared" si="69"/>
        <v>001390</v>
      </c>
      <c r="F4434" t="s">
        <v>27246</v>
      </c>
      <c r="G4434" t="s">
        <v>27247</v>
      </c>
      <c r="H4434" t="s">
        <v>27248</v>
      </c>
      <c r="I4434" t="s">
        <v>35811</v>
      </c>
      <c r="J4434" t="s">
        <v>8851</v>
      </c>
      <c r="L4434" t="s">
        <v>27250</v>
      </c>
      <c r="M4434" t="s">
        <v>27251</v>
      </c>
      <c r="N4434" t="s">
        <v>27252</v>
      </c>
      <c r="Q4434" s="1">
        <v>44846</v>
      </c>
      <c r="R4434" t="s">
        <v>27253</v>
      </c>
      <c r="S4434" t="s">
        <v>27254</v>
      </c>
      <c r="T4434" t="s">
        <v>27265</v>
      </c>
    </row>
    <row r="4435" spans="1:20" x14ac:dyDescent="0.3">
      <c r="A4435" t="str">
        <f>"0611861989050"</f>
        <v>0611861989050</v>
      </c>
      <c r="B4435" t="str">
        <f>"CR4604"</f>
        <v>CR4604</v>
      </c>
      <c r="C4435" t="s">
        <v>35812</v>
      </c>
      <c r="D4435" t="s">
        <v>27263</v>
      </c>
      <c r="E4435" t="str">
        <f t="shared" si="69"/>
        <v>001390</v>
      </c>
      <c r="F4435" t="s">
        <v>27246</v>
      </c>
      <c r="G4435" t="s">
        <v>27247</v>
      </c>
      <c r="H4435" t="s">
        <v>27248</v>
      </c>
      <c r="I4435" t="s">
        <v>35813</v>
      </c>
      <c r="J4435" t="s">
        <v>8853</v>
      </c>
      <c r="L4435" t="s">
        <v>27250</v>
      </c>
      <c r="M4435" t="s">
        <v>27251</v>
      </c>
      <c r="N4435" t="s">
        <v>27252</v>
      </c>
      <c r="Q4435" s="1">
        <v>44846</v>
      </c>
      <c r="R4435" t="s">
        <v>27253</v>
      </c>
      <c r="S4435" t="s">
        <v>27254</v>
      </c>
      <c r="T4435" t="s">
        <v>27265</v>
      </c>
    </row>
    <row r="4436" spans="1:20" x14ac:dyDescent="0.3">
      <c r="A4436" t="str">
        <f>"0611861990050"</f>
        <v>0611861990050</v>
      </c>
      <c r="B4436" t="str">
        <f>"CR4605"</f>
        <v>CR4605</v>
      </c>
      <c r="C4436" t="s">
        <v>35814</v>
      </c>
      <c r="D4436" t="s">
        <v>27263</v>
      </c>
      <c r="E4436" t="str">
        <f t="shared" si="69"/>
        <v>001390</v>
      </c>
      <c r="F4436" t="s">
        <v>27246</v>
      </c>
      <c r="G4436" t="s">
        <v>27247</v>
      </c>
      <c r="H4436" t="s">
        <v>27248</v>
      </c>
      <c r="I4436" t="s">
        <v>35815</v>
      </c>
      <c r="J4436" t="s">
        <v>8855</v>
      </c>
      <c r="L4436" t="s">
        <v>27250</v>
      </c>
      <c r="M4436" t="s">
        <v>27251</v>
      </c>
      <c r="N4436" t="s">
        <v>27252</v>
      </c>
      <c r="Q4436" s="1">
        <v>44846</v>
      </c>
      <c r="R4436" t="s">
        <v>27253</v>
      </c>
      <c r="S4436" t="s">
        <v>27254</v>
      </c>
      <c r="T4436" t="s">
        <v>27265</v>
      </c>
    </row>
    <row r="4437" spans="1:20" x14ac:dyDescent="0.3">
      <c r="A4437" t="str">
        <f>"0611861991050"</f>
        <v>0611861991050</v>
      </c>
      <c r="B4437" t="str">
        <f>"CR4606"</f>
        <v>CR4606</v>
      </c>
      <c r="C4437" t="s">
        <v>35816</v>
      </c>
      <c r="D4437" t="s">
        <v>27263</v>
      </c>
      <c r="E4437" t="str">
        <f t="shared" si="69"/>
        <v>001390</v>
      </c>
      <c r="F4437" t="s">
        <v>27246</v>
      </c>
      <c r="G4437" t="s">
        <v>27247</v>
      </c>
      <c r="H4437" t="s">
        <v>27248</v>
      </c>
      <c r="I4437" t="s">
        <v>35817</v>
      </c>
      <c r="J4437" t="s">
        <v>8857</v>
      </c>
      <c r="L4437" t="s">
        <v>27250</v>
      </c>
      <c r="M4437" t="s">
        <v>27251</v>
      </c>
      <c r="N4437" t="s">
        <v>27252</v>
      </c>
      <c r="Q4437" s="1">
        <v>44846</v>
      </c>
      <c r="R4437" t="s">
        <v>27253</v>
      </c>
      <c r="S4437" t="s">
        <v>27254</v>
      </c>
      <c r="T4437" t="s">
        <v>27265</v>
      </c>
    </row>
    <row r="4438" spans="1:20" x14ac:dyDescent="0.3">
      <c r="A4438" t="str">
        <f>"0611861992050"</f>
        <v>0611861992050</v>
      </c>
      <c r="B4438" t="str">
        <f>"CR4607"</f>
        <v>CR4607</v>
      </c>
      <c r="C4438" t="s">
        <v>35818</v>
      </c>
      <c r="D4438" t="s">
        <v>27263</v>
      </c>
      <c r="E4438" t="str">
        <f t="shared" si="69"/>
        <v>001390</v>
      </c>
      <c r="F4438" t="s">
        <v>27246</v>
      </c>
      <c r="G4438" t="s">
        <v>27247</v>
      </c>
      <c r="H4438" t="s">
        <v>27248</v>
      </c>
      <c r="I4438" t="s">
        <v>35819</v>
      </c>
      <c r="J4438" t="s">
        <v>8859</v>
      </c>
      <c r="L4438" t="s">
        <v>27250</v>
      </c>
      <c r="M4438" t="s">
        <v>27251</v>
      </c>
      <c r="N4438" t="s">
        <v>27252</v>
      </c>
      <c r="Q4438" s="1">
        <v>44846</v>
      </c>
      <c r="R4438" t="s">
        <v>27253</v>
      </c>
      <c r="S4438" t="s">
        <v>27254</v>
      </c>
      <c r="T4438" t="s">
        <v>27265</v>
      </c>
    </row>
    <row r="4439" spans="1:20" x14ac:dyDescent="0.3">
      <c r="A4439" t="str">
        <f>"0611834247100"</f>
        <v>0611834247100</v>
      </c>
      <c r="B4439" t="str">
        <f>"LG2551"</f>
        <v>LG2551</v>
      </c>
      <c r="C4439" t="s">
        <v>35820</v>
      </c>
      <c r="D4439" t="s">
        <v>27245</v>
      </c>
      <c r="E4439" t="str">
        <f t="shared" si="69"/>
        <v>001390</v>
      </c>
      <c r="F4439" t="s">
        <v>27246</v>
      </c>
      <c r="G4439" t="s">
        <v>27247</v>
      </c>
      <c r="H4439" t="s">
        <v>27248</v>
      </c>
      <c r="I4439" t="s">
        <v>35821</v>
      </c>
      <c r="J4439" t="s">
        <v>8861</v>
      </c>
      <c r="L4439" t="s">
        <v>27250</v>
      </c>
      <c r="M4439" t="s">
        <v>27251</v>
      </c>
      <c r="N4439" t="s">
        <v>27252</v>
      </c>
      <c r="Q4439" s="1">
        <v>44538</v>
      </c>
      <c r="R4439" t="s">
        <v>27253</v>
      </c>
      <c r="S4439" t="s">
        <v>27254</v>
      </c>
      <c r="T4439" t="s">
        <v>27255</v>
      </c>
    </row>
    <row r="4440" spans="1:20" x14ac:dyDescent="0.3">
      <c r="A4440" t="str">
        <f>"0611834249100"</f>
        <v>0611834249100</v>
      </c>
      <c r="B4440" t="str">
        <f>"LG2554"</f>
        <v>LG2554</v>
      </c>
      <c r="C4440" t="s">
        <v>35822</v>
      </c>
      <c r="D4440" t="s">
        <v>27245</v>
      </c>
      <c r="E4440" t="str">
        <f t="shared" si="69"/>
        <v>001390</v>
      </c>
      <c r="F4440" t="s">
        <v>27246</v>
      </c>
      <c r="G4440" t="s">
        <v>27247</v>
      </c>
      <c r="H4440" t="s">
        <v>27248</v>
      </c>
      <c r="I4440" t="s">
        <v>35823</v>
      </c>
      <c r="J4440" t="s">
        <v>8863</v>
      </c>
      <c r="L4440" t="s">
        <v>27250</v>
      </c>
      <c r="M4440" t="s">
        <v>27251</v>
      </c>
      <c r="N4440" t="s">
        <v>27252</v>
      </c>
      <c r="Q4440" s="1">
        <v>44538</v>
      </c>
      <c r="R4440" t="s">
        <v>27253</v>
      </c>
      <c r="S4440" t="s">
        <v>27254</v>
      </c>
      <c r="T4440" t="s">
        <v>27255</v>
      </c>
    </row>
    <row r="4441" spans="1:20" x14ac:dyDescent="0.3">
      <c r="A4441" t="str">
        <f>"0611834250025"</f>
        <v>0611834250025</v>
      </c>
      <c r="B4441" t="str">
        <f>"MC2341"</f>
        <v>MC2341</v>
      </c>
      <c r="C4441" t="s">
        <v>35822</v>
      </c>
      <c r="D4441" t="s">
        <v>27267</v>
      </c>
      <c r="E4441" t="str">
        <f t="shared" si="69"/>
        <v>001390</v>
      </c>
      <c r="F4441" t="s">
        <v>27246</v>
      </c>
      <c r="G4441" t="s">
        <v>27247</v>
      </c>
      <c r="H4441" t="s">
        <v>27248</v>
      </c>
      <c r="I4441" t="s">
        <v>35824</v>
      </c>
      <c r="J4441" t="s">
        <v>8865</v>
      </c>
      <c r="L4441" t="s">
        <v>27250</v>
      </c>
      <c r="M4441" t="s">
        <v>27251</v>
      </c>
      <c r="N4441" t="s">
        <v>27252</v>
      </c>
      <c r="Q4441" s="1">
        <v>44538</v>
      </c>
      <c r="R4441" t="s">
        <v>27253</v>
      </c>
      <c r="S4441" t="s">
        <v>27254</v>
      </c>
      <c r="T4441" t="s">
        <v>27269</v>
      </c>
    </row>
    <row r="4442" spans="1:20" x14ac:dyDescent="0.3">
      <c r="A4442" t="str">
        <f>"0611834251025"</f>
        <v>0611834251025</v>
      </c>
      <c r="B4442" t="str">
        <f>"MC1890"</f>
        <v>MC1890</v>
      </c>
      <c r="C4442" t="s">
        <v>35825</v>
      </c>
      <c r="D4442" t="s">
        <v>27267</v>
      </c>
      <c r="E4442" t="str">
        <f t="shared" si="69"/>
        <v>001390</v>
      </c>
      <c r="F4442" t="s">
        <v>27246</v>
      </c>
      <c r="G4442" t="s">
        <v>27247</v>
      </c>
      <c r="H4442" t="s">
        <v>27248</v>
      </c>
      <c r="I4442" t="s">
        <v>35826</v>
      </c>
      <c r="J4442" t="s">
        <v>8867</v>
      </c>
      <c r="L4442" t="s">
        <v>27250</v>
      </c>
      <c r="M4442" t="s">
        <v>27251</v>
      </c>
      <c r="N4442" t="s">
        <v>27252</v>
      </c>
      <c r="Q4442" s="1">
        <v>44538</v>
      </c>
      <c r="R4442" t="s">
        <v>27253</v>
      </c>
      <c r="S4442" t="s">
        <v>27254</v>
      </c>
      <c r="T4442" t="s">
        <v>27269</v>
      </c>
    </row>
    <row r="4443" spans="1:20" x14ac:dyDescent="0.3">
      <c r="A4443" t="str">
        <f>"0611834252100"</f>
        <v>0611834252100</v>
      </c>
      <c r="B4443" t="str">
        <f>"LG2552"</f>
        <v>LG2552</v>
      </c>
      <c r="C4443" t="s">
        <v>35827</v>
      </c>
      <c r="D4443" t="s">
        <v>27245</v>
      </c>
      <c r="E4443" t="str">
        <f t="shared" si="69"/>
        <v>001390</v>
      </c>
      <c r="F4443" t="s">
        <v>27246</v>
      </c>
      <c r="G4443" t="s">
        <v>27247</v>
      </c>
      <c r="H4443" t="s">
        <v>27248</v>
      </c>
      <c r="I4443" t="s">
        <v>35828</v>
      </c>
      <c r="J4443" t="s">
        <v>8869</v>
      </c>
      <c r="L4443" t="s">
        <v>27250</v>
      </c>
      <c r="M4443" t="s">
        <v>27251</v>
      </c>
      <c r="N4443" t="s">
        <v>27252</v>
      </c>
      <c r="Q4443" s="1">
        <v>44538</v>
      </c>
      <c r="R4443" t="s">
        <v>27253</v>
      </c>
      <c r="S4443" t="s">
        <v>27254</v>
      </c>
      <c r="T4443" t="s">
        <v>27255</v>
      </c>
    </row>
    <row r="4444" spans="1:20" x14ac:dyDescent="0.3">
      <c r="A4444" t="str">
        <f>"0611834254025"</f>
        <v>0611834254025</v>
      </c>
      <c r="B4444" t="str">
        <f>"MC2615"</f>
        <v>MC2615</v>
      </c>
      <c r="C4444" t="s">
        <v>35829</v>
      </c>
      <c r="D4444" t="s">
        <v>27267</v>
      </c>
      <c r="E4444" t="str">
        <f t="shared" si="69"/>
        <v>001390</v>
      </c>
      <c r="F4444" t="s">
        <v>27246</v>
      </c>
      <c r="G4444" t="s">
        <v>27247</v>
      </c>
      <c r="H4444" t="s">
        <v>27248</v>
      </c>
      <c r="I4444" t="s">
        <v>35830</v>
      </c>
      <c r="J4444" t="s">
        <v>8871</v>
      </c>
      <c r="L4444" t="s">
        <v>27250</v>
      </c>
      <c r="M4444" t="s">
        <v>27251</v>
      </c>
      <c r="N4444" t="s">
        <v>27252</v>
      </c>
      <c r="Q4444" s="1">
        <v>44538</v>
      </c>
      <c r="R4444" t="s">
        <v>27253</v>
      </c>
      <c r="S4444" t="s">
        <v>27254</v>
      </c>
      <c r="T4444" t="s">
        <v>27269</v>
      </c>
    </row>
    <row r="4445" spans="1:20" x14ac:dyDescent="0.3">
      <c r="A4445" t="str">
        <f>"0611861993100"</f>
        <v>0611861993100</v>
      </c>
      <c r="B4445" t="str">
        <f>"CN5161"</f>
        <v>CN5161</v>
      </c>
      <c r="C4445" t="s">
        <v>35831</v>
      </c>
      <c r="D4445" t="s">
        <v>27335</v>
      </c>
      <c r="E4445" t="str">
        <f t="shared" si="69"/>
        <v>001390</v>
      </c>
      <c r="F4445" t="s">
        <v>27246</v>
      </c>
      <c r="G4445" t="s">
        <v>27247</v>
      </c>
      <c r="H4445" t="s">
        <v>27248</v>
      </c>
      <c r="I4445" t="s">
        <v>35832</v>
      </c>
      <c r="J4445" t="s">
        <v>8873</v>
      </c>
      <c r="L4445" t="s">
        <v>27250</v>
      </c>
      <c r="M4445" t="s">
        <v>27251</v>
      </c>
      <c r="N4445" t="s">
        <v>27252</v>
      </c>
      <c r="Q4445" s="1">
        <v>44846</v>
      </c>
      <c r="R4445" t="s">
        <v>27253</v>
      </c>
      <c r="S4445" t="s">
        <v>27254</v>
      </c>
      <c r="T4445" t="s">
        <v>27255</v>
      </c>
    </row>
    <row r="4446" spans="1:20" x14ac:dyDescent="0.3">
      <c r="A4446" t="str">
        <f>"0611861994050"</f>
        <v>0611861994050</v>
      </c>
      <c r="B4446" t="str">
        <f>"CR3695"</f>
        <v>CR3695</v>
      </c>
      <c r="C4446" t="s">
        <v>35831</v>
      </c>
      <c r="D4446" t="s">
        <v>27263</v>
      </c>
      <c r="E4446" t="str">
        <f t="shared" si="69"/>
        <v>001390</v>
      </c>
      <c r="F4446" t="s">
        <v>27246</v>
      </c>
      <c r="G4446" t="s">
        <v>27247</v>
      </c>
      <c r="H4446" t="s">
        <v>27248</v>
      </c>
      <c r="I4446" t="s">
        <v>35833</v>
      </c>
      <c r="J4446" t="s">
        <v>8875</v>
      </c>
      <c r="L4446" t="s">
        <v>27250</v>
      </c>
      <c r="M4446" t="s">
        <v>27251</v>
      </c>
      <c r="N4446" t="s">
        <v>27252</v>
      </c>
      <c r="Q4446" s="1">
        <v>44846</v>
      </c>
      <c r="R4446" t="s">
        <v>27253</v>
      </c>
      <c r="S4446" t="s">
        <v>27254</v>
      </c>
      <c r="T4446" t="s">
        <v>27265</v>
      </c>
    </row>
    <row r="4447" spans="1:20" x14ac:dyDescent="0.3">
      <c r="A4447" t="str">
        <f>"0611856949025"</f>
        <v>0611856949025</v>
      </c>
      <c r="B4447" t="str">
        <f>"MC4423"</f>
        <v>MC4423</v>
      </c>
      <c r="C4447" t="s">
        <v>35834</v>
      </c>
      <c r="D4447" t="s">
        <v>27267</v>
      </c>
      <c r="E4447" t="str">
        <f t="shared" si="69"/>
        <v>001390</v>
      </c>
      <c r="F4447" t="s">
        <v>27246</v>
      </c>
      <c r="G4447" t="s">
        <v>27247</v>
      </c>
      <c r="H4447" t="s">
        <v>27248</v>
      </c>
      <c r="I4447" t="s">
        <v>35835</v>
      </c>
      <c r="J4447" t="s">
        <v>8877</v>
      </c>
      <c r="L4447" t="s">
        <v>27250</v>
      </c>
      <c r="M4447" t="s">
        <v>27251</v>
      </c>
      <c r="N4447" t="s">
        <v>27252</v>
      </c>
      <c r="Q4447" s="1">
        <v>44812</v>
      </c>
      <c r="R4447" t="s">
        <v>27253</v>
      </c>
      <c r="S4447" t="s">
        <v>27254</v>
      </c>
      <c r="T4447" t="s">
        <v>27269</v>
      </c>
    </row>
    <row r="4448" spans="1:20" x14ac:dyDescent="0.3">
      <c r="A4448" t="str">
        <f>"0611861995100"</f>
        <v>0611861995100</v>
      </c>
      <c r="B4448" t="str">
        <f>"CN5163"</f>
        <v>CN5163</v>
      </c>
      <c r="C4448" t="s">
        <v>35836</v>
      </c>
      <c r="D4448" t="s">
        <v>27335</v>
      </c>
      <c r="E4448" t="str">
        <f t="shared" si="69"/>
        <v>001390</v>
      </c>
      <c r="F4448" t="s">
        <v>27246</v>
      </c>
      <c r="G4448" t="s">
        <v>27247</v>
      </c>
      <c r="H4448" t="s">
        <v>27248</v>
      </c>
      <c r="I4448" t="s">
        <v>35837</v>
      </c>
      <c r="J4448" t="s">
        <v>8879</v>
      </c>
      <c r="L4448" t="s">
        <v>27250</v>
      </c>
      <c r="M4448" t="s">
        <v>27251</v>
      </c>
      <c r="N4448" t="s">
        <v>27252</v>
      </c>
      <c r="Q4448" s="1">
        <v>44846</v>
      </c>
      <c r="R4448" t="s">
        <v>27253</v>
      </c>
      <c r="S4448" t="s">
        <v>27254</v>
      </c>
      <c r="T4448" t="s">
        <v>27255</v>
      </c>
    </row>
    <row r="4449" spans="1:20" x14ac:dyDescent="0.3">
      <c r="A4449" t="str">
        <f>"0611834255100"</f>
        <v>0611834255100</v>
      </c>
      <c r="B4449" t="str">
        <f>"LB2612"</f>
        <v>LB2612</v>
      </c>
      <c r="C4449" t="s">
        <v>35838</v>
      </c>
      <c r="D4449" t="s">
        <v>27245</v>
      </c>
      <c r="E4449" t="str">
        <f t="shared" si="69"/>
        <v>001390</v>
      </c>
      <c r="F4449" t="s">
        <v>27246</v>
      </c>
      <c r="G4449" t="s">
        <v>27247</v>
      </c>
      <c r="H4449" t="s">
        <v>27248</v>
      </c>
      <c r="I4449" t="s">
        <v>35839</v>
      </c>
      <c r="J4449" t="s">
        <v>8881</v>
      </c>
      <c r="L4449" t="s">
        <v>27250</v>
      </c>
      <c r="M4449" t="s">
        <v>27251</v>
      </c>
      <c r="N4449" t="s">
        <v>27252</v>
      </c>
      <c r="Q4449" s="1">
        <v>44538</v>
      </c>
      <c r="R4449" t="s">
        <v>27253</v>
      </c>
      <c r="S4449" t="s">
        <v>27254</v>
      </c>
      <c r="T4449" t="s">
        <v>27255</v>
      </c>
    </row>
    <row r="4450" spans="1:20" x14ac:dyDescent="0.3">
      <c r="A4450" t="str">
        <f>"0611861996050"</f>
        <v>0611861996050</v>
      </c>
      <c r="B4450" t="str">
        <f>"CR2198"</f>
        <v>CR2198</v>
      </c>
      <c r="C4450" t="s">
        <v>35840</v>
      </c>
      <c r="D4450" t="s">
        <v>27263</v>
      </c>
      <c r="E4450" t="str">
        <f t="shared" si="69"/>
        <v>001390</v>
      </c>
      <c r="F4450" t="s">
        <v>27246</v>
      </c>
      <c r="G4450" t="s">
        <v>27247</v>
      </c>
      <c r="H4450" t="s">
        <v>27248</v>
      </c>
      <c r="I4450" t="s">
        <v>35841</v>
      </c>
      <c r="J4450" t="s">
        <v>8883</v>
      </c>
      <c r="L4450" t="s">
        <v>27250</v>
      </c>
      <c r="M4450" t="s">
        <v>27251</v>
      </c>
      <c r="N4450" t="s">
        <v>27252</v>
      </c>
      <c r="Q4450" s="1">
        <v>44846</v>
      </c>
      <c r="R4450" t="s">
        <v>27253</v>
      </c>
      <c r="S4450" t="s">
        <v>27254</v>
      </c>
      <c r="T4450" t="s">
        <v>27265</v>
      </c>
    </row>
    <row r="4451" spans="1:20" x14ac:dyDescent="0.3">
      <c r="A4451" t="str">
        <f>"0611861997050"</f>
        <v>0611861997050</v>
      </c>
      <c r="B4451" t="str">
        <f>"CR2199"</f>
        <v>CR2199</v>
      </c>
      <c r="C4451" t="s">
        <v>35842</v>
      </c>
      <c r="D4451" t="s">
        <v>27263</v>
      </c>
      <c r="E4451" t="str">
        <f t="shared" si="69"/>
        <v>001390</v>
      </c>
      <c r="F4451" t="s">
        <v>27246</v>
      </c>
      <c r="G4451" t="s">
        <v>27247</v>
      </c>
      <c r="H4451" t="s">
        <v>27248</v>
      </c>
      <c r="I4451" t="s">
        <v>35843</v>
      </c>
      <c r="J4451" t="s">
        <v>8885</v>
      </c>
      <c r="L4451" t="s">
        <v>27250</v>
      </c>
      <c r="M4451" t="s">
        <v>27251</v>
      </c>
      <c r="N4451" t="s">
        <v>27252</v>
      </c>
      <c r="Q4451" s="1">
        <v>44846</v>
      </c>
      <c r="R4451" t="s">
        <v>27253</v>
      </c>
      <c r="S4451" t="s">
        <v>27254</v>
      </c>
      <c r="T4451" t="s">
        <v>27265</v>
      </c>
    </row>
    <row r="4452" spans="1:20" x14ac:dyDescent="0.3">
      <c r="A4452" t="str">
        <f>"0611861998050"</f>
        <v>0611861998050</v>
      </c>
      <c r="B4452" t="str">
        <f>"CR2200"</f>
        <v>CR2200</v>
      </c>
      <c r="C4452" t="s">
        <v>35844</v>
      </c>
      <c r="D4452" t="s">
        <v>27263</v>
      </c>
      <c r="E4452" t="str">
        <f t="shared" si="69"/>
        <v>001390</v>
      </c>
      <c r="F4452" t="s">
        <v>27246</v>
      </c>
      <c r="G4452" t="s">
        <v>27247</v>
      </c>
      <c r="H4452" t="s">
        <v>27248</v>
      </c>
      <c r="I4452" t="s">
        <v>35845</v>
      </c>
      <c r="J4452" t="s">
        <v>8887</v>
      </c>
      <c r="L4452" t="s">
        <v>27250</v>
      </c>
      <c r="M4452" t="s">
        <v>27251</v>
      </c>
      <c r="N4452" t="s">
        <v>27252</v>
      </c>
      <c r="Q4452" s="1">
        <v>44846</v>
      </c>
      <c r="R4452" t="s">
        <v>27253</v>
      </c>
      <c r="S4452" t="s">
        <v>27254</v>
      </c>
      <c r="T4452" t="s">
        <v>27265</v>
      </c>
    </row>
    <row r="4453" spans="1:20" x14ac:dyDescent="0.3">
      <c r="A4453" t="str">
        <f>"0611861999050"</f>
        <v>0611861999050</v>
      </c>
      <c r="B4453" t="str">
        <f>"CR2201"</f>
        <v>CR2201</v>
      </c>
      <c r="C4453" t="s">
        <v>35846</v>
      </c>
      <c r="D4453" t="s">
        <v>27263</v>
      </c>
      <c r="E4453" t="str">
        <f t="shared" si="69"/>
        <v>001390</v>
      </c>
      <c r="F4453" t="s">
        <v>27246</v>
      </c>
      <c r="G4453" t="s">
        <v>27247</v>
      </c>
      <c r="H4453" t="s">
        <v>27248</v>
      </c>
      <c r="I4453" t="s">
        <v>35847</v>
      </c>
      <c r="J4453" t="s">
        <v>8889</v>
      </c>
      <c r="L4453" t="s">
        <v>27250</v>
      </c>
      <c r="M4453" t="s">
        <v>27251</v>
      </c>
      <c r="N4453" t="s">
        <v>27252</v>
      </c>
      <c r="Q4453" s="1">
        <v>44846</v>
      </c>
      <c r="R4453" t="s">
        <v>27253</v>
      </c>
      <c r="S4453" t="s">
        <v>27254</v>
      </c>
      <c r="T4453" t="s">
        <v>27265</v>
      </c>
    </row>
    <row r="4454" spans="1:20" x14ac:dyDescent="0.3">
      <c r="A4454" t="str">
        <f>"0611862000050"</f>
        <v>0611862000050</v>
      </c>
      <c r="B4454" t="str">
        <f>"CR2202"</f>
        <v>CR2202</v>
      </c>
      <c r="C4454" t="s">
        <v>35848</v>
      </c>
      <c r="D4454" t="s">
        <v>27263</v>
      </c>
      <c r="E4454" t="str">
        <f t="shared" si="69"/>
        <v>001390</v>
      </c>
      <c r="F4454" t="s">
        <v>27246</v>
      </c>
      <c r="G4454" t="s">
        <v>27247</v>
      </c>
      <c r="H4454" t="s">
        <v>27248</v>
      </c>
      <c r="I4454" t="s">
        <v>35849</v>
      </c>
      <c r="J4454" t="s">
        <v>8891</v>
      </c>
      <c r="L4454" t="s">
        <v>27250</v>
      </c>
      <c r="M4454" t="s">
        <v>27251</v>
      </c>
      <c r="N4454" t="s">
        <v>27252</v>
      </c>
      <c r="Q4454" s="1">
        <v>44846</v>
      </c>
      <c r="R4454" t="s">
        <v>27253</v>
      </c>
      <c r="S4454" t="s">
        <v>27254</v>
      </c>
      <c r="T4454" t="s">
        <v>27265</v>
      </c>
    </row>
    <row r="4455" spans="1:20" x14ac:dyDescent="0.3">
      <c r="A4455" t="str">
        <f>"0611884210100"</f>
        <v>0611884210100</v>
      </c>
      <c r="B4455" t="str">
        <f>"LQ3915"</f>
        <v>LQ3915</v>
      </c>
      <c r="C4455" t="s">
        <v>35850</v>
      </c>
      <c r="D4455" t="s">
        <v>27245</v>
      </c>
      <c r="E4455" t="str">
        <f t="shared" si="69"/>
        <v>001390</v>
      </c>
      <c r="F4455" t="s">
        <v>27246</v>
      </c>
      <c r="G4455" t="s">
        <v>27247</v>
      </c>
      <c r="H4455" t="s">
        <v>27248</v>
      </c>
      <c r="I4455" t="s">
        <v>35851</v>
      </c>
      <c r="J4455" t="s">
        <v>8893</v>
      </c>
      <c r="L4455" t="s">
        <v>27430</v>
      </c>
      <c r="M4455" t="s">
        <v>27251</v>
      </c>
      <c r="N4455" t="s">
        <v>27252</v>
      </c>
      <c r="Q4455" s="1">
        <v>45250</v>
      </c>
      <c r="R4455" t="s">
        <v>27253</v>
      </c>
      <c r="S4455" t="s">
        <v>27254</v>
      </c>
      <c r="T4455" t="s">
        <v>27255</v>
      </c>
    </row>
    <row r="4456" spans="1:20" x14ac:dyDescent="0.3">
      <c r="A4456" t="str">
        <f>"0611834256100"</f>
        <v>0611834256100</v>
      </c>
      <c r="B4456" t="str">
        <f>"LQ0882"</f>
        <v>LQ0882</v>
      </c>
      <c r="C4456" t="s">
        <v>35852</v>
      </c>
      <c r="D4456" t="s">
        <v>27245</v>
      </c>
      <c r="E4456" t="str">
        <f t="shared" si="69"/>
        <v>001390</v>
      </c>
      <c r="F4456" t="s">
        <v>27246</v>
      </c>
      <c r="G4456" t="s">
        <v>27247</v>
      </c>
      <c r="H4456" t="s">
        <v>27248</v>
      </c>
      <c r="I4456" t="s">
        <v>35853</v>
      </c>
      <c r="J4456" t="s">
        <v>8895</v>
      </c>
      <c r="L4456" t="s">
        <v>27250</v>
      </c>
      <c r="M4456" t="s">
        <v>27251</v>
      </c>
      <c r="N4456" t="s">
        <v>27252</v>
      </c>
      <c r="Q4456" s="1">
        <v>44538</v>
      </c>
      <c r="R4456" t="s">
        <v>27253</v>
      </c>
      <c r="S4456" t="s">
        <v>27254</v>
      </c>
      <c r="T4456" t="s">
        <v>27255</v>
      </c>
    </row>
    <row r="4457" spans="1:20" x14ac:dyDescent="0.3">
      <c r="A4457" t="str">
        <f>"0611834258100"</f>
        <v>0611834258100</v>
      </c>
      <c r="B4457" t="str">
        <f>"LQ0571"</f>
        <v>LQ0571</v>
      </c>
      <c r="C4457" t="s">
        <v>35854</v>
      </c>
      <c r="D4457" t="s">
        <v>27245</v>
      </c>
      <c r="E4457" t="str">
        <f t="shared" si="69"/>
        <v>001390</v>
      </c>
      <c r="F4457" t="s">
        <v>27246</v>
      </c>
      <c r="G4457" t="s">
        <v>27247</v>
      </c>
      <c r="H4457" t="s">
        <v>27248</v>
      </c>
      <c r="I4457" t="s">
        <v>35855</v>
      </c>
      <c r="J4457" t="s">
        <v>8897</v>
      </c>
      <c r="L4457" t="s">
        <v>27250</v>
      </c>
      <c r="M4457" t="s">
        <v>27251</v>
      </c>
      <c r="N4457" t="s">
        <v>27252</v>
      </c>
      <c r="Q4457" s="1">
        <v>44538</v>
      </c>
      <c r="R4457" t="s">
        <v>27253</v>
      </c>
      <c r="S4457" t="s">
        <v>27254</v>
      </c>
      <c r="T4457" t="s">
        <v>27255</v>
      </c>
    </row>
    <row r="4458" spans="1:20" x14ac:dyDescent="0.3">
      <c r="A4458" t="str">
        <f>"0611862001100"</f>
        <v>0611862001100</v>
      </c>
      <c r="B4458" t="str">
        <f>"CN5164"</f>
        <v>CN5164</v>
      </c>
      <c r="C4458" t="s">
        <v>35856</v>
      </c>
      <c r="D4458" t="s">
        <v>27335</v>
      </c>
      <c r="E4458" t="str">
        <f t="shared" si="69"/>
        <v>001390</v>
      </c>
      <c r="F4458" t="s">
        <v>27246</v>
      </c>
      <c r="G4458" t="s">
        <v>27247</v>
      </c>
      <c r="H4458" t="s">
        <v>27248</v>
      </c>
      <c r="I4458" t="s">
        <v>35857</v>
      </c>
      <c r="J4458" t="s">
        <v>8899</v>
      </c>
      <c r="L4458" t="s">
        <v>27250</v>
      </c>
      <c r="M4458" t="s">
        <v>27251</v>
      </c>
      <c r="N4458" t="s">
        <v>27252</v>
      </c>
      <c r="Q4458" s="1">
        <v>44846</v>
      </c>
      <c r="R4458" t="s">
        <v>27253</v>
      </c>
      <c r="S4458" t="s">
        <v>27254</v>
      </c>
      <c r="T4458" t="s">
        <v>27255</v>
      </c>
    </row>
    <row r="4459" spans="1:20" x14ac:dyDescent="0.3">
      <c r="A4459" t="str">
        <f>"0611862002050"</f>
        <v>0611862002050</v>
      </c>
      <c r="B4459" t="str">
        <f>"CR4278"</f>
        <v>CR4278</v>
      </c>
      <c r="C4459" t="s">
        <v>35856</v>
      </c>
      <c r="D4459" t="s">
        <v>27263</v>
      </c>
      <c r="E4459" t="str">
        <f t="shared" si="69"/>
        <v>001390</v>
      </c>
      <c r="F4459" t="s">
        <v>27246</v>
      </c>
      <c r="G4459" t="s">
        <v>27247</v>
      </c>
      <c r="H4459" t="s">
        <v>27248</v>
      </c>
      <c r="I4459" t="s">
        <v>35858</v>
      </c>
      <c r="J4459" t="s">
        <v>8901</v>
      </c>
      <c r="L4459" t="s">
        <v>27250</v>
      </c>
      <c r="M4459" t="s">
        <v>27251</v>
      </c>
      <c r="N4459" t="s">
        <v>27252</v>
      </c>
      <c r="Q4459" s="1">
        <v>44846</v>
      </c>
      <c r="R4459" t="s">
        <v>27253</v>
      </c>
      <c r="S4459" t="s">
        <v>27254</v>
      </c>
      <c r="T4459" t="s">
        <v>27265</v>
      </c>
    </row>
    <row r="4460" spans="1:20" x14ac:dyDescent="0.3">
      <c r="A4460" t="str">
        <f>"0611834260100"</f>
        <v>0611834260100</v>
      </c>
      <c r="B4460" t="str">
        <f>"LG2553"</f>
        <v>LG2553</v>
      </c>
      <c r="C4460" t="s">
        <v>35859</v>
      </c>
      <c r="D4460" t="s">
        <v>27245</v>
      </c>
      <c r="E4460" t="str">
        <f t="shared" si="69"/>
        <v>001390</v>
      </c>
      <c r="F4460" t="s">
        <v>27246</v>
      </c>
      <c r="G4460" t="s">
        <v>27247</v>
      </c>
      <c r="H4460" t="s">
        <v>27248</v>
      </c>
      <c r="I4460" t="s">
        <v>35860</v>
      </c>
      <c r="J4460" t="s">
        <v>8903</v>
      </c>
      <c r="L4460" t="s">
        <v>27250</v>
      </c>
      <c r="M4460" t="s">
        <v>27251</v>
      </c>
      <c r="N4460" t="s">
        <v>27252</v>
      </c>
      <c r="Q4460" s="1">
        <v>44538</v>
      </c>
      <c r="R4460" t="s">
        <v>27253</v>
      </c>
      <c r="S4460" t="s">
        <v>27254</v>
      </c>
      <c r="T4460" t="s">
        <v>27255</v>
      </c>
    </row>
    <row r="4461" spans="1:20" x14ac:dyDescent="0.3">
      <c r="A4461" t="str">
        <f>"0611834262100"</f>
        <v>0611834262100</v>
      </c>
      <c r="B4461" t="str">
        <f>"LK3251"</f>
        <v>LK3251</v>
      </c>
      <c r="C4461" t="s">
        <v>35861</v>
      </c>
      <c r="D4461" t="s">
        <v>27245</v>
      </c>
      <c r="E4461" t="str">
        <f t="shared" si="69"/>
        <v>001390</v>
      </c>
      <c r="F4461" t="s">
        <v>27246</v>
      </c>
      <c r="G4461" t="s">
        <v>27247</v>
      </c>
      <c r="H4461" t="s">
        <v>27248</v>
      </c>
      <c r="I4461" t="s">
        <v>35862</v>
      </c>
      <c r="J4461" t="s">
        <v>8905</v>
      </c>
      <c r="L4461" t="s">
        <v>27250</v>
      </c>
      <c r="M4461" t="s">
        <v>27251</v>
      </c>
      <c r="N4461" t="s">
        <v>27252</v>
      </c>
      <c r="Q4461" s="1">
        <v>44538</v>
      </c>
      <c r="R4461" t="s">
        <v>27253</v>
      </c>
      <c r="S4461" t="s">
        <v>27254</v>
      </c>
      <c r="T4461" t="s">
        <v>27255</v>
      </c>
    </row>
    <row r="4462" spans="1:20" x14ac:dyDescent="0.3">
      <c r="A4462" t="str">
        <f>"0611834263100"</f>
        <v>0611834263100</v>
      </c>
      <c r="B4462" t="str">
        <f>"LH0044"</f>
        <v>LH0044</v>
      </c>
      <c r="C4462" t="s">
        <v>35863</v>
      </c>
      <c r="D4462" t="s">
        <v>27245</v>
      </c>
      <c r="E4462" t="str">
        <f t="shared" si="69"/>
        <v>001390</v>
      </c>
      <c r="F4462" t="s">
        <v>27246</v>
      </c>
      <c r="G4462" t="s">
        <v>27247</v>
      </c>
      <c r="H4462" t="s">
        <v>27248</v>
      </c>
      <c r="I4462" t="s">
        <v>35864</v>
      </c>
      <c r="J4462" t="s">
        <v>8907</v>
      </c>
      <c r="L4462" t="s">
        <v>27250</v>
      </c>
      <c r="M4462" t="s">
        <v>27251</v>
      </c>
      <c r="N4462" t="s">
        <v>27252</v>
      </c>
      <c r="Q4462" s="1">
        <v>44538</v>
      </c>
      <c r="R4462" t="s">
        <v>27253</v>
      </c>
      <c r="S4462" t="s">
        <v>27254</v>
      </c>
      <c r="T4462" t="s">
        <v>27255</v>
      </c>
    </row>
    <row r="4463" spans="1:20" x14ac:dyDescent="0.3">
      <c r="A4463" t="str">
        <f>"0611834264100"</f>
        <v>0611834264100</v>
      </c>
      <c r="B4463" t="str">
        <f>"LK4259"</f>
        <v>LK4259</v>
      </c>
      <c r="C4463" t="s">
        <v>35865</v>
      </c>
      <c r="D4463" t="s">
        <v>27245</v>
      </c>
      <c r="E4463" t="str">
        <f t="shared" si="69"/>
        <v>001390</v>
      </c>
      <c r="F4463" t="s">
        <v>27246</v>
      </c>
      <c r="G4463" t="s">
        <v>27247</v>
      </c>
      <c r="H4463" t="s">
        <v>27248</v>
      </c>
      <c r="I4463" t="s">
        <v>35866</v>
      </c>
      <c r="J4463" t="s">
        <v>8909</v>
      </c>
      <c r="L4463" t="s">
        <v>27250</v>
      </c>
      <c r="M4463" t="s">
        <v>27251</v>
      </c>
      <c r="N4463" t="s">
        <v>27252</v>
      </c>
      <c r="Q4463" s="1">
        <v>44538</v>
      </c>
      <c r="R4463" t="s">
        <v>27253</v>
      </c>
      <c r="S4463" t="s">
        <v>27254</v>
      </c>
      <c r="T4463" t="s">
        <v>27255</v>
      </c>
    </row>
    <row r="4464" spans="1:20" x14ac:dyDescent="0.3">
      <c r="A4464" t="str">
        <f>"0611862003050"</f>
        <v>0611862003050</v>
      </c>
      <c r="B4464" t="str">
        <f>"CR4825"</f>
        <v>CR4825</v>
      </c>
      <c r="C4464" t="s">
        <v>35867</v>
      </c>
      <c r="D4464" t="s">
        <v>27271</v>
      </c>
      <c r="E4464" t="str">
        <f t="shared" si="69"/>
        <v>001390</v>
      </c>
      <c r="F4464" t="s">
        <v>27246</v>
      </c>
      <c r="G4464" t="s">
        <v>27247</v>
      </c>
      <c r="H4464" t="s">
        <v>27248</v>
      </c>
      <c r="I4464" t="s">
        <v>35868</v>
      </c>
      <c r="J4464" t="s">
        <v>8911</v>
      </c>
      <c r="L4464" t="s">
        <v>27250</v>
      </c>
      <c r="M4464" t="s">
        <v>27251</v>
      </c>
      <c r="N4464" t="s">
        <v>27252</v>
      </c>
      <c r="P4464" t="s">
        <v>27341</v>
      </c>
      <c r="Q4464" s="1">
        <v>44846</v>
      </c>
      <c r="R4464" t="s">
        <v>27253</v>
      </c>
      <c r="S4464" t="s">
        <v>27254</v>
      </c>
      <c r="T4464" t="s">
        <v>27265</v>
      </c>
    </row>
    <row r="4465" spans="1:20" x14ac:dyDescent="0.3">
      <c r="A4465" t="str">
        <f>"0611834280100"</f>
        <v>0611834280100</v>
      </c>
      <c r="B4465" t="str">
        <f>"LB2646"</f>
        <v>LB2646</v>
      </c>
      <c r="C4465" t="s">
        <v>35869</v>
      </c>
      <c r="D4465" t="s">
        <v>27245</v>
      </c>
      <c r="E4465" t="str">
        <f t="shared" si="69"/>
        <v>001390</v>
      </c>
      <c r="F4465" t="s">
        <v>27246</v>
      </c>
      <c r="G4465" t="s">
        <v>27247</v>
      </c>
      <c r="H4465" t="s">
        <v>27248</v>
      </c>
      <c r="I4465" t="s">
        <v>35870</v>
      </c>
      <c r="J4465" t="s">
        <v>8913</v>
      </c>
      <c r="L4465" t="s">
        <v>27250</v>
      </c>
      <c r="M4465" t="s">
        <v>27251</v>
      </c>
      <c r="N4465" t="s">
        <v>27252</v>
      </c>
      <c r="Q4465" s="1">
        <v>44538</v>
      </c>
      <c r="R4465" t="s">
        <v>27253</v>
      </c>
      <c r="S4465" t="s">
        <v>27254</v>
      </c>
      <c r="T4465" t="s">
        <v>27255</v>
      </c>
    </row>
    <row r="4466" spans="1:20" x14ac:dyDescent="0.3">
      <c r="A4466" t="str">
        <f>"0611834281100"</f>
        <v>0611834281100</v>
      </c>
      <c r="B4466" t="str">
        <f>"LK1223"</f>
        <v>LK1223</v>
      </c>
      <c r="C4466" t="s">
        <v>35871</v>
      </c>
      <c r="D4466" t="s">
        <v>27245</v>
      </c>
      <c r="E4466" t="str">
        <f t="shared" si="69"/>
        <v>001390</v>
      </c>
      <c r="F4466" t="s">
        <v>27246</v>
      </c>
      <c r="G4466" t="s">
        <v>27247</v>
      </c>
      <c r="H4466" t="s">
        <v>27248</v>
      </c>
      <c r="I4466" t="s">
        <v>35872</v>
      </c>
      <c r="J4466" t="s">
        <v>8915</v>
      </c>
      <c r="L4466" t="s">
        <v>27250</v>
      </c>
      <c r="M4466" t="s">
        <v>27251</v>
      </c>
      <c r="N4466" t="s">
        <v>27252</v>
      </c>
      <c r="Q4466" s="1">
        <v>44538</v>
      </c>
      <c r="R4466" t="s">
        <v>27253</v>
      </c>
      <c r="S4466" t="s">
        <v>27254</v>
      </c>
      <c r="T4466" t="s">
        <v>27255</v>
      </c>
    </row>
    <row r="4467" spans="1:20" x14ac:dyDescent="0.3">
      <c r="A4467" t="str">
        <f>"0611862004050"</f>
        <v>0611862004050</v>
      </c>
      <c r="B4467" t="str">
        <f>"CR2203"</f>
        <v>CR2203</v>
      </c>
      <c r="C4467" t="s">
        <v>35871</v>
      </c>
      <c r="D4467" t="s">
        <v>27263</v>
      </c>
      <c r="E4467" t="str">
        <f t="shared" si="69"/>
        <v>001390</v>
      </c>
      <c r="F4467" t="s">
        <v>27246</v>
      </c>
      <c r="G4467" t="s">
        <v>27247</v>
      </c>
      <c r="H4467" t="s">
        <v>27248</v>
      </c>
      <c r="I4467" t="s">
        <v>35873</v>
      </c>
      <c r="J4467" t="s">
        <v>8917</v>
      </c>
      <c r="L4467" t="s">
        <v>27250</v>
      </c>
      <c r="M4467" t="s">
        <v>27251</v>
      </c>
      <c r="N4467" t="s">
        <v>27252</v>
      </c>
      <c r="Q4467" s="1">
        <v>44846</v>
      </c>
      <c r="R4467" t="s">
        <v>27253</v>
      </c>
      <c r="S4467" t="s">
        <v>27254</v>
      </c>
      <c r="T4467" t="s">
        <v>27265</v>
      </c>
    </row>
    <row r="4468" spans="1:20" x14ac:dyDescent="0.3">
      <c r="A4468" t="str">
        <f>"0611834282100"</f>
        <v>0611834282100</v>
      </c>
      <c r="B4468" t="str">
        <f>"LK7012"</f>
        <v>LK7012</v>
      </c>
      <c r="C4468" t="s">
        <v>35874</v>
      </c>
      <c r="D4468" t="s">
        <v>27245</v>
      </c>
      <c r="E4468" t="str">
        <f t="shared" si="69"/>
        <v>001390</v>
      </c>
      <c r="F4468" t="s">
        <v>27246</v>
      </c>
      <c r="G4468" t="s">
        <v>27247</v>
      </c>
      <c r="H4468" t="s">
        <v>27248</v>
      </c>
      <c r="I4468" t="s">
        <v>35875</v>
      </c>
      <c r="J4468" t="s">
        <v>8919</v>
      </c>
      <c r="L4468" t="s">
        <v>27430</v>
      </c>
      <c r="M4468" t="s">
        <v>27251</v>
      </c>
      <c r="N4468" t="s">
        <v>27252</v>
      </c>
      <c r="Q4468" s="1">
        <v>44538</v>
      </c>
      <c r="R4468" t="s">
        <v>27253</v>
      </c>
      <c r="S4468" t="s">
        <v>27254</v>
      </c>
      <c r="T4468" t="s">
        <v>27255</v>
      </c>
    </row>
    <row r="4469" spans="1:20" x14ac:dyDescent="0.3">
      <c r="A4469" t="str">
        <f>"0611834284050"</f>
        <v>0611834284050</v>
      </c>
      <c r="B4469" t="str">
        <f>"NM1174"</f>
        <v>NM1174</v>
      </c>
      <c r="C4469" t="s">
        <v>35876</v>
      </c>
      <c r="D4469" t="s">
        <v>35877</v>
      </c>
      <c r="E4469" t="str">
        <f t="shared" si="69"/>
        <v>001390</v>
      </c>
      <c r="F4469" t="s">
        <v>27246</v>
      </c>
      <c r="G4469" t="s">
        <v>27247</v>
      </c>
      <c r="H4469" t="s">
        <v>27248</v>
      </c>
      <c r="I4469" t="s">
        <v>35878</v>
      </c>
      <c r="J4469" t="s">
        <v>8921</v>
      </c>
      <c r="L4469" t="s">
        <v>27250</v>
      </c>
      <c r="M4469" t="s">
        <v>27251</v>
      </c>
      <c r="N4469" t="s">
        <v>27252</v>
      </c>
      <c r="Q4469" s="1">
        <v>44538</v>
      </c>
      <c r="R4469" t="s">
        <v>27253</v>
      </c>
      <c r="S4469" t="s">
        <v>27254</v>
      </c>
      <c r="T4469" t="s">
        <v>35879</v>
      </c>
    </row>
    <row r="4470" spans="1:20" x14ac:dyDescent="0.3">
      <c r="A4470" t="str">
        <f>"0611834285025"</f>
        <v>0611834285025</v>
      </c>
      <c r="B4470" t="str">
        <f>"MQ6026"</f>
        <v>MQ6026</v>
      </c>
      <c r="C4470" t="s">
        <v>35880</v>
      </c>
      <c r="D4470" t="s">
        <v>27267</v>
      </c>
      <c r="E4470" t="str">
        <f t="shared" si="69"/>
        <v>001390</v>
      </c>
      <c r="F4470" t="s">
        <v>27246</v>
      </c>
      <c r="G4470" t="s">
        <v>27247</v>
      </c>
      <c r="H4470" t="s">
        <v>27248</v>
      </c>
      <c r="I4470" t="s">
        <v>35881</v>
      </c>
      <c r="J4470" t="s">
        <v>8923</v>
      </c>
      <c r="L4470" t="s">
        <v>27250</v>
      </c>
      <c r="M4470" t="s">
        <v>27251</v>
      </c>
      <c r="N4470" t="s">
        <v>27252</v>
      </c>
      <c r="Q4470" s="1">
        <v>44538</v>
      </c>
      <c r="R4470" t="s">
        <v>27253</v>
      </c>
      <c r="S4470" t="s">
        <v>27254</v>
      </c>
      <c r="T4470" t="s">
        <v>27269</v>
      </c>
    </row>
    <row r="4471" spans="1:20" x14ac:dyDescent="0.3">
      <c r="A4471" t="str">
        <f>"0611834286100"</f>
        <v>0611834286100</v>
      </c>
      <c r="B4471" t="str">
        <f>"LB2480"</f>
        <v>LB2480</v>
      </c>
      <c r="C4471" t="s">
        <v>35882</v>
      </c>
      <c r="D4471" t="s">
        <v>27245</v>
      </c>
      <c r="E4471" t="str">
        <f t="shared" si="69"/>
        <v>001390</v>
      </c>
      <c r="F4471" t="s">
        <v>27246</v>
      </c>
      <c r="G4471" t="s">
        <v>27247</v>
      </c>
      <c r="H4471" t="s">
        <v>27248</v>
      </c>
      <c r="I4471" t="s">
        <v>35883</v>
      </c>
      <c r="J4471" t="s">
        <v>8925</v>
      </c>
      <c r="L4471" t="s">
        <v>27250</v>
      </c>
      <c r="M4471" t="s">
        <v>27251</v>
      </c>
      <c r="N4471" t="s">
        <v>27252</v>
      </c>
      <c r="Q4471" s="1">
        <v>44538</v>
      </c>
      <c r="R4471" t="s">
        <v>27253</v>
      </c>
      <c r="S4471" t="s">
        <v>27254</v>
      </c>
      <c r="T4471" t="s">
        <v>27255</v>
      </c>
    </row>
    <row r="4472" spans="1:20" x14ac:dyDescent="0.3">
      <c r="A4472" t="str">
        <f>"0611834287100"</f>
        <v>0611834287100</v>
      </c>
      <c r="B4472" t="str">
        <f>"LQ5946"</f>
        <v>LQ5946</v>
      </c>
      <c r="C4472" t="s">
        <v>35884</v>
      </c>
      <c r="D4472" t="s">
        <v>27245</v>
      </c>
      <c r="E4472" t="str">
        <f t="shared" si="69"/>
        <v>001390</v>
      </c>
      <c r="F4472" t="s">
        <v>27246</v>
      </c>
      <c r="G4472" t="s">
        <v>27247</v>
      </c>
      <c r="H4472" t="s">
        <v>27248</v>
      </c>
      <c r="I4472" t="s">
        <v>35885</v>
      </c>
      <c r="J4472" t="s">
        <v>8927</v>
      </c>
      <c r="L4472" t="s">
        <v>27250</v>
      </c>
      <c r="M4472" t="s">
        <v>27251</v>
      </c>
      <c r="N4472" t="s">
        <v>27252</v>
      </c>
      <c r="Q4472" s="1">
        <v>44538</v>
      </c>
      <c r="R4472" t="s">
        <v>27253</v>
      </c>
      <c r="S4472" t="s">
        <v>27254</v>
      </c>
      <c r="T4472" t="s">
        <v>27255</v>
      </c>
    </row>
    <row r="4473" spans="1:20" x14ac:dyDescent="0.3">
      <c r="A4473" t="str">
        <f>"0611834318100"</f>
        <v>0611834318100</v>
      </c>
      <c r="B4473" t="str">
        <f>"LC6309"</f>
        <v>LC6309</v>
      </c>
      <c r="C4473" t="s">
        <v>35886</v>
      </c>
      <c r="D4473" t="s">
        <v>27245</v>
      </c>
      <c r="E4473" t="str">
        <f t="shared" si="69"/>
        <v>001390</v>
      </c>
      <c r="F4473" t="s">
        <v>27246</v>
      </c>
      <c r="G4473" t="s">
        <v>27247</v>
      </c>
      <c r="H4473" t="s">
        <v>27248</v>
      </c>
      <c r="I4473" t="s">
        <v>35887</v>
      </c>
      <c r="J4473" t="s">
        <v>8929</v>
      </c>
      <c r="L4473" t="s">
        <v>27250</v>
      </c>
      <c r="M4473" t="s">
        <v>27251</v>
      </c>
      <c r="N4473" t="s">
        <v>27252</v>
      </c>
      <c r="Q4473" s="1">
        <v>44538</v>
      </c>
      <c r="R4473" t="s">
        <v>27253</v>
      </c>
      <c r="S4473" t="s">
        <v>27254</v>
      </c>
      <c r="T4473" t="s">
        <v>27255</v>
      </c>
    </row>
    <row r="4474" spans="1:20" x14ac:dyDescent="0.3">
      <c r="A4474" t="str">
        <f>"0611834320100"</f>
        <v>0611834320100</v>
      </c>
      <c r="B4474" t="str">
        <f>"LC6307"</f>
        <v>LC6307</v>
      </c>
      <c r="C4474" t="s">
        <v>35888</v>
      </c>
      <c r="D4474" t="s">
        <v>27245</v>
      </c>
      <c r="E4474" t="str">
        <f t="shared" si="69"/>
        <v>001390</v>
      </c>
      <c r="F4474" t="s">
        <v>27246</v>
      </c>
      <c r="G4474" t="s">
        <v>27247</v>
      </c>
      <c r="H4474" t="s">
        <v>27248</v>
      </c>
      <c r="I4474" t="s">
        <v>35889</v>
      </c>
      <c r="J4474" t="s">
        <v>8933</v>
      </c>
      <c r="L4474" t="s">
        <v>27250</v>
      </c>
      <c r="M4474" t="s">
        <v>27251</v>
      </c>
      <c r="N4474" t="s">
        <v>27252</v>
      </c>
      <c r="Q4474" s="1">
        <v>44538</v>
      </c>
      <c r="R4474" t="s">
        <v>27253</v>
      </c>
      <c r="S4474" t="s">
        <v>27254</v>
      </c>
      <c r="T4474" t="s">
        <v>27255</v>
      </c>
    </row>
    <row r="4475" spans="1:20" x14ac:dyDescent="0.3">
      <c r="A4475" t="str">
        <f>"0611834319100"</f>
        <v>0611834319100</v>
      </c>
      <c r="B4475" t="str">
        <f>"LC6306"</f>
        <v>LC6306</v>
      </c>
      <c r="C4475" t="s">
        <v>35890</v>
      </c>
      <c r="D4475" t="s">
        <v>27245</v>
      </c>
      <c r="E4475" t="str">
        <f t="shared" si="69"/>
        <v>001390</v>
      </c>
      <c r="F4475" t="s">
        <v>27246</v>
      </c>
      <c r="G4475" t="s">
        <v>27247</v>
      </c>
      <c r="H4475" t="s">
        <v>27248</v>
      </c>
      <c r="I4475" t="s">
        <v>35891</v>
      </c>
      <c r="J4475" t="s">
        <v>8935</v>
      </c>
      <c r="L4475" t="s">
        <v>27250</v>
      </c>
      <c r="M4475" t="s">
        <v>27251</v>
      </c>
      <c r="N4475" t="s">
        <v>27252</v>
      </c>
      <c r="Q4475" s="1">
        <v>44538</v>
      </c>
      <c r="R4475" t="s">
        <v>27253</v>
      </c>
      <c r="S4475" t="s">
        <v>27254</v>
      </c>
      <c r="T4475" t="s">
        <v>27255</v>
      </c>
    </row>
    <row r="4476" spans="1:20" x14ac:dyDescent="0.3">
      <c r="A4476" t="str">
        <f>"0611834289025"</f>
        <v>0611834289025</v>
      </c>
      <c r="B4476" t="str">
        <f>"MC0011"</f>
        <v>MC0011</v>
      </c>
      <c r="C4476" t="s">
        <v>35892</v>
      </c>
      <c r="D4476" t="s">
        <v>27267</v>
      </c>
      <c r="E4476" t="str">
        <f t="shared" si="69"/>
        <v>001390</v>
      </c>
      <c r="F4476" t="s">
        <v>27246</v>
      </c>
      <c r="G4476" t="s">
        <v>27247</v>
      </c>
      <c r="H4476" t="s">
        <v>27248</v>
      </c>
      <c r="I4476" t="s">
        <v>35893</v>
      </c>
      <c r="J4476" t="s">
        <v>8939</v>
      </c>
      <c r="L4476" t="s">
        <v>27250</v>
      </c>
      <c r="M4476" t="s">
        <v>27251</v>
      </c>
      <c r="N4476" t="s">
        <v>27252</v>
      </c>
      <c r="Q4476" s="1">
        <v>44538</v>
      </c>
      <c r="R4476" t="s">
        <v>27253</v>
      </c>
      <c r="S4476" t="s">
        <v>27254</v>
      </c>
      <c r="T4476" t="s">
        <v>27269</v>
      </c>
    </row>
    <row r="4477" spans="1:20" x14ac:dyDescent="0.3">
      <c r="A4477" t="str">
        <f>"0611831108100"</f>
        <v>0611831108100</v>
      </c>
      <c r="B4477" t="str">
        <f>"LF0620"</f>
        <v>LF0620</v>
      </c>
      <c r="C4477" t="s">
        <v>35894</v>
      </c>
      <c r="D4477" t="s">
        <v>27245</v>
      </c>
      <c r="E4477" t="str">
        <f t="shared" si="69"/>
        <v>001390</v>
      </c>
      <c r="F4477" t="s">
        <v>27246</v>
      </c>
      <c r="G4477" t="s">
        <v>27247</v>
      </c>
      <c r="H4477" t="s">
        <v>27248</v>
      </c>
      <c r="I4477" t="s">
        <v>35895</v>
      </c>
      <c r="J4477" t="s">
        <v>1116</v>
      </c>
      <c r="L4477" t="s">
        <v>27250</v>
      </c>
      <c r="M4477" t="s">
        <v>27251</v>
      </c>
      <c r="N4477" t="s">
        <v>27252</v>
      </c>
      <c r="Q4477" s="1">
        <v>44538</v>
      </c>
      <c r="R4477" t="s">
        <v>27253</v>
      </c>
      <c r="S4477" t="s">
        <v>27254</v>
      </c>
      <c r="T4477" t="s">
        <v>27255</v>
      </c>
    </row>
    <row r="4478" spans="1:20" x14ac:dyDescent="0.3">
      <c r="A4478" t="str">
        <f>"0611831109100"</f>
        <v>0611831109100</v>
      </c>
      <c r="B4478" t="str">
        <f>"LG8028"</f>
        <v>LG8028</v>
      </c>
      <c r="C4478" t="s">
        <v>35896</v>
      </c>
      <c r="D4478" t="s">
        <v>27245</v>
      </c>
      <c r="E4478" t="str">
        <f t="shared" si="69"/>
        <v>001390</v>
      </c>
      <c r="F4478" t="s">
        <v>27246</v>
      </c>
      <c r="G4478" t="s">
        <v>27247</v>
      </c>
      <c r="H4478" t="s">
        <v>27248</v>
      </c>
      <c r="I4478" t="s">
        <v>35897</v>
      </c>
      <c r="J4478" t="s">
        <v>1118</v>
      </c>
      <c r="L4478" t="s">
        <v>27250</v>
      </c>
      <c r="M4478" t="s">
        <v>27251</v>
      </c>
      <c r="N4478" t="s">
        <v>27252</v>
      </c>
      <c r="Q4478" s="1">
        <v>44538</v>
      </c>
      <c r="R4478" t="s">
        <v>27253</v>
      </c>
      <c r="S4478" t="s">
        <v>27254</v>
      </c>
      <c r="T4478" t="s">
        <v>27255</v>
      </c>
    </row>
    <row r="4479" spans="1:20" x14ac:dyDescent="0.3">
      <c r="A4479" t="str">
        <f>"0611831110100"</f>
        <v>0611831110100</v>
      </c>
      <c r="B4479" t="str">
        <f>"LF0625"</f>
        <v>LF0625</v>
      </c>
      <c r="C4479" t="s">
        <v>35898</v>
      </c>
      <c r="D4479" t="s">
        <v>27245</v>
      </c>
      <c r="E4479" t="str">
        <f t="shared" si="69"/>
        <v>001390</v>
      </c>
      <c r="F4479" t="s">
        <v>27246</v>
      </c>
      <c r="G4479" t="s">
        <v>27247</v>
      </c>
      <c r="H4479" t="s">
        <v>27248</v>
      </c>
      <c r="I4479" t="s">
        <v>35899</v>
      </c>
      <c r="J4479" t="s">
        <v>1120</v>
      </c>
      <c r="L4479" t="s">
        <v>27250</v>
      </c>
      <c r="M4479" t="s">
        <v>27251</v>
      </c>
      <c r="N4479" t="s">
        <v>27252</v>
      </c>
      <c r="Q4479" s="1">
        <v>44538</v>
      </c>
      <c r="R4479" t="s">
        <v>27253</v>
      </c>
      <c r="S4479" t="s">
        <v>27254</v>
      </c>
      <c r="T4479" t="s">
        <v>27255</v>
      </c>
    </row>
    <row r="4480" spans="1:20" x14ac:dyDescent="0.3">
      <c r="A4480" t="str">
        <f>"0611831111100"</f>
        <v>0611831111100</v>
      </c>
      <c r="B4480" t="str">
        <f>"MB0627"</f>
        <v>MB0627</v>
      </c>
      <c r="C4480" t="s">
        <v>35900</v>
      </c>
      <c r="D4480" t="s">
        <v>27274</v>
      </c>
      <c r="E4480" t="str">
        <f t="shared" si="69"/>
        <v>001390</v>
      </c>
      <c r="F4480" t="s">
        <v>27246</v>
      </c>
      <c r="G4480" t="s">
        <v>27247</v>
      </c>
      <c r="H4480" t="s">
        <v>27248</v>
      </c>
      <c r="I4480" t="s">
        <v>35901</v>
      </c>
      <c r="J4480" t="s">
        <v>1122</v>
      </c>
      <c r="L4480" t="s">
        <v>27250</v>
      </c>
      <c r="M4480" t="s">
        <v>27251</v>
      </c>
      <c r="N4480" t="s">
        <v>27252</v>
      </c>
      <c r="Q4480" s="1">
        <v>44538</v>
      </c>
      <c r="R4480" t="s">
        <v>27253</v>
      </c>
      <c r="S4480" t="s">
        <v>27254</v>
      </c>
      <c r="T4480" t="s">
        <v>27276</v>
      </c>
    </row>
    <row r="4481" spans="1:20" x14ac:dyDescent="0.3">
      <c r="A4481" t="str">
        <f>"0611831112100"</f>
        <v>0611831112100</v>
      </c>
      <c r="B4481" t="str">
        <f>"LF0627"</f>
        <v>LF0627</v>
      </c>
      <c r="C4481" t="s">
        <v>35900</v>
      </c>
      <c r="D4481" t="s">
        <v>27245</v>
      </c>
      <c r="E4481" t="str">
        <f t="shared" si="69"/>
        <v>001390</v>
      </c>
      <c r="F4481" t="s">
        <v>27246</v>
      </c>
      <c r="G4481" t="s">
        <v>27247</v>
      </c>
      <c r="H4481" t="s">
        <v>27248</v>
      </c>
      <c r="I4481" t="s">
        <v>35902</v>
      </c>
      <c r="J4481" t="s">
        <v>1124</v>
      </c>
      <c r="L4481" t="s">
        <v>27250</v>
      </c>
      <c r="M4481" t="s">
        <v>27251</v>
      </c>
      <c r="N4481" t="s">
        <v>27252</v>
      </c>
      <c r="Q4481" s="1">
        <v>44538</v>
      </c>
      <c r="R4481" t="s">
        <v>27253</v>
      </c>
      <c r="S4481" t="s">
        <v>27254</v>
      </c>
      <c r="T4481" t="s">
        <v>27255</v>
      </c>
    </row>
    <row r="4482" spans="1:20" x14ac:dyDescent="0.3">
      <c r="A4482" t="str">
        <f>"0611834290025"</f>
        <v>0611834290025</v>
      </c>
      <c r="B4482" t="str">
        <f>"MC4126"</f>
        <v>MC4126</v>
      </c>
      <c r="C4482" t="s">
        <v>35903</v>
      </c>
      <c r="D4482" t="s">
        <v>27267</v>
      </c>
      <c r="E4482" t="str">
        <f t="shared" ref="E4482:E4545" si="70">"001390"</f>
        <v>001390</v>
      </c>
      <c r="F4482" t="s">
        <v>27246</v>
      </c>
      <c r="G4482" t="s">
        <v>27247</v>
      </c>
      <c r="H4482" t="s">
        <v>27248</v>
      </c>
      <c r="I4482" t="s">
        <v>35904</v>
      </c>
      <c r="J4482" t="s">
        <v>8941</v>
      </c>
      <c r="L4482" t="s">
        <v>27250</v>
      </c>
      <c r="M4482" t="s">
        <v>27251</v>
      </c>
      <c r="N4482" t="s">
        <v>27252</v>
      </c>
      <c r="Q4482" s="1">
        <v>44538</v>
      </c>
      <c r="R4482" t="s">
        <v>27253</v>
      </c>
      <c r="S4482" t="s">
        <v>27254</v>
      </c>
      <c r="T4482" t="s">
        <v>27269</v>
      </c>
    </row>
    <row r="4483" spans="1:20" x14ac:dyDescent="0.3">
      <c r="A4483" t="str">
        <f>"0611834291025"</f>
        <v>0611834291025</v>
      </c>
      <c r="B4483" t="str">
        <f>"MC2809"</f>
        <v>MC2809</v>
      </c>
      <c r="C4483" t="s">
        <v>35905</v>
      </c>
      <c r="D4483" t="s">
        <v>27267</v>
      </c>
      <c r="E4483" t="str">
        <f t="shared" si="70"/>
        <v>001390</v>
      </c>
      <c r="F4483" t="s">
        <v>27246</v>
      </c>
      <c r="G4483" t="s">
        <v>27247</v>
      </c>
      <c r="H4483" t="s">
        <v>27248</v>
      </c>
      <c r="I4483" t="s">
        <v>35906</v>
      </c>
      <c r="J4483" t="s">
        <v>8943</v>
      </c>
      <c r="L4483" t="s">
        <v>27250</v>
      </c>
      <c r="M4483" t="s">
        <v>27251</v>
      </c>
      <c r="N4483" t="s">
        <v>27252</v>
      </c>
      <c r="Q4483" s="1">
        <v>44538</v>
      </c>
      <c r="R4483" t="s">
        <v>27253</v>
      </c>
      <c r="S4483" t="s">
        <v>27254</v>
      </c>
      <c r="T4483" t="s">
        <v>27269</v>
      </c>
    </row>
    <row r="4484" spans="1:20" x14ac:dyDescent="0.3">
      <c r="A4484" t="str">
        <f>"0611834292025"</f>
        <v>0611834292025</v>
      </c>
      <c r="B4484" t="str">
        <f>"MC0123"</f>
        <v>MC0123</v>
      </c>
      <c r="C4484" t="s">
        <v>35907</v>
      </c>
      <c r="D4484" t="s">
        <v>27267</v>
      </c>
      <c r="E4484" t="str">
        <f t="shared" si="70"/>
        <v>001390</v>
      </c>
      <c r="F4484" t="s">
        <v>27246</v>
      </c>
      <c r="G4484" t="s">
        <v>27247</v>
      </c>
      <c r="H4484" t="s">
        <v>27248</v>
      </c>
      <c r="I4484" t="s">
        <v>35908</v>
      </c>
      <c r="J4484" t="s">
        <v>8945</v>
      </c>
      <c r="L4484" t="s">
        <v>27250</v>
      </c>
      <c r="M4484" t="s">
        <v>27251</v>
      </c>
      <c r="N4484" t="s">
        <v>27252</v>
      </c>
      <c r="Q4484" s="1">
        <v>44538</v>
      </c>
      <c r="R4484" t="s">
        <v>27253</v>
      </c>
      <c r="S4484" t="s">
        <v>27254</v>
      </c>
      <c r="T4484" t="s">
        <v>27269</v>
      </c>
    </row>
    <row r="4485" spans="1:20" x14ac:dyDescent="0.3">
      <c r="A4485" t="str">
        <f>"0611834293025"</f>
        <v>0611834293025</v>
      </c>
      <c r="B4485" t="str">
        <f>"MC3221"</f>
        <v>MC3221</v>
      </c>
      <c r="C4485" t="s">
        <v>35909</v>
      </c>
      <c r="D4485" t="s">
        <v>27267</v>
      </c>
      <c r="E4485" t="str">
        <f t="shared" si="70"/>
        <v>001390</v>
      </c>
      <c r="F4485" t="s">
        <v>27246</v>
      </c>
      <c r="G4485" t="s">
        <v>27247</v>
      </c>
      <c r="H4485" t="s">
        <v>27248</v>
      </c>
      <c r="I4485" t="s">
        <v>35910</v>
      </c>
      <c r="J4485" t="s">
        <v>8947</v>
      </c>
      <c r="L4485" t="s">
        <v>27250</v>
      </c>
      <c r="M4485" t="s">
        <v>27251</v>
      </c>
      <c r="N4485" t="s">
        <v>27252</v>
      </c>
      <c r="Q4485" s="1">
        <v>44538</v>
      </c>
      <c r="R4485" t="s">
        <v>27253</v>
      </c>
      <c r="S4485" t="s">
        <v>27254</v>
      </c>
      <c r="T4485" t="s">
        <v>27269</v>
      </c>
    </row>
    <row r="4486" spans="1:20" x14ac:dyDescent="0.3">
      <c r="A4486" t="str">
        <f>"0611834294025"</f>
        <v>0611834294025</v>
      </c>
      <c r="B4486" t="str">
        <f>"MC0124"</f>
        <v>MC0124</v>
      </c>
      <c r="C4486" t="s">
        <v>35911</v>
      </c>
      <c r="D4486" t="s">
        <v>27267</v>
      </c>
      <c r="E4486" t="str">
        <f t="shared" si="70"/>
        <v>001390</v>
      </c>
      <c r="F4486" t="s">
        <v>27246</v>
      </c>
      <c r="G4486" t="s">
        <v>27247</v>
      </c>
      <c r="H4486" t="s">
        <v>27248</v>
      </c>
      <c r="I4486" t="s">
        <v>35912</v>
      </c>
      <c r="J4486" t="s">
        <v>8949</v>
      </c>
      <c r="L4486" t="s">
        <v>27250</v>
      </c>
      <c r="M4486" t="s">
        <v>27251</v>
      </c>
      <c r="N4486" t="s">
        <v>27252</v>
      </c>
      <c r="Q4486" s="1">
        <v>44538</v>
      </c>
      <c r="R4486" t="s">
        <v>27253</v>
      </c>
      <c r="S4486" t="s">
        <v>27254</v>
      </c>
      <c r="T4486" t="s">
        <v>27269</v>
      </c>
    </row>
    <row r="4487" spans="1:20" x14ac:dyDescent="0.3">
      <c r="A4487" t="str">
        <f>"0611834295100"</f>
        <v>0611834295100</v>
      </c>
      <c r="B4487" t="str">
        <f>"MB5075"</f>
        <v>MB5075</v>
      </c>
      <c r="C4487" t="s">
        <v>35913</v>
      </c>
      <c r="D4487" t="s">
        <v>27274</v>
      </c>
      <c r="E4487" t="str">
        <f t="shared" si="70"/>
        <v>001390</v>
      </c>
      <c r="F4487" t="s">
        <v>27246</v>
      </c>
      <c r="G4487" t="s">
        <v>27247</v>
      </c>
      <c r="H4487" t="s">
        <v>27248</v>
      </c>
      <c r="I4487" t="s">
        <v>35914</v>
      </c>
      <c r="J4487" t="s">
        <v>8967</v>
      </c>
      <c r="L4487" t="s">
        <v>27250</v>
      </c>
      <c r="M4487" t="s">
        <v>27251</v>
      </c>
      <c r="N4487" t="s">
        <v>27252</v>
      </c>
      <c r="Q4487" s="1">
        <v>44538</v>
      </c>
      <c r="R4487" t="s">
        <v>27253</v>
      </c>
      <c r="S4487" t="s">
        <v>27254</v>
      </c>
      <c r="T4487" t="s">
        <v>27276</v>
      </c>
    </row>
    <row r="4488" spans="1:20" x14ac:dyDescent="0.3">
      <c r="A4488" t="str">
        <f>"0611834296100"</f>
        <v>0611834296100</v>
      </c>
      <c r="B4488" t="str">
        <f>"LF5075"</f>
        <v>LF5075</v>
      </c>
      <c r="C4488" t="s">
        <v>35913</v>
      </c>
      <c r="D4488" t="s">
        <v>27245</v>
      </c>
      <c r="E4488" t="str">
        <f t="shared" si="70"/>
        <v>001390</v>
      </c>
      <c r="F4488" t="s">
        <v>27246</v>
      </c>
      <c r="G4488" t="s">
        <v>27247</v>
      </c>
      <c r="H4488" t="s">
        <v>27248</v>
      </c>
      <c r="I4488" t="s">
        <v>35915</v>
      </c>
      <c r="J4488" t="s">
        <v>8951</v>
      </c>
      <c r="L4488" t="s">
        <v>27250</v>
      </c>
      <c r="M4488" t="s">
        <v>27251</v>
      </c>
      <c r="N4488" t="s">
        <v>27252</v>
      </c>
      <c r="Q4488" s="1">
        <v>44538</v>
      </c>
      <c r="R4488" t="s">
        <v>27253</v>
      </c>
      <c r="S4488" t="s">
        <v>27254</v>
      </c>
      <c r="T4488" t="s">
        <v>27255</v>
      </c>
    </row>
    <row r="4489" spans="1:20" x14ac:dyDescent="0.3">
      <c r="A4489" t="str">
        <f>"0611834297025"</f>
        <v>0611834297025</v>
      </c>
      <c r="B4489" t="str">
        <f>"MC1162"</f>
        <v>MC1162</v>
      </c>
      <c r="C4489" t="s">
        <v>35916</v>
      </c>
      <c r="D4489" t="s">
        <v>27267</v>
      </c>
      <c r="E4489" t="str">
        <f t="shared" si="70"/>
        <v>001390</v>
      </c>
      <c r="F4489" t="s">
        <v>27246</v>
      </c>
      <c r="G4489" t="s">
        <v>27247</v>
      </c>
      <c r="H4489" t="s">
        <v>27248</v>
      </c>
      <c r="I4489" t="s">
        <v>35917</v>
      </c>
      <c r="J4489" t="s">
        <v>8953</v>
      </c>
      <c r="L4489" t="s">
        <v>27250</v>
      </c>
      <c r="M4489" t="s">
        <v>27251</v>
      </c>
      <c r="N4489" t="s">
        <v>27252</v>
      </c>
      <c r="Q4489" s="1">
        <v>44538</v>
      </c>
      <c r="R4489" t="s">
        <v>27253</v>
      </c>
      <c r="S4489" t="s">
        <v>27254</v>
      </c>
      <c r="T4489" t="s">
        <v>27269</v>
      </c>
    </row>
    <row r="4490" spans="1:20" x14ac:dyDescent="0.3">
      <c r="A4490" t="str">
        <f>"0611834298025"</f>
        <v>0611834298025</v>
      </c>
      <c r="B4490" t="str">
        <f>"MC1157"</f>
        <v>MC1157</v>
      </c>
      <c r="C4490" t="s">
        <v>35918</v>
      </c>
      <c r="D4490" t="s">
        <v>27267</v>
      </c>
      <c r="E4490" t="str">
        <f t="shared" si="70"/>
        <v>001390</v>
      </c>
      <c r="F4490" t="s">
        <v>27246</v>
      </c>
      <c r="G4490" t="s">
        <v>27247</v>
      </c>
      <c r="H4490" t="s">
        <v>27248</v>
      </c>
      <c r="I4490" t="s">
        <v>35919</v>
      </c>
      <c r="J4490" t="s">
        <v>8955</v>
      </c>
      <c r="L4490" t="s">
        <v>27250</v>
      </c>
      <c r="M4490" t="s">
        <v>27251</v>
      </c>
      <c r="N4490" t="s">
        <v>27252</v>
      </c>
      <c r="Q4490" s="1">
        <v>44538</v>
      </c>
      <c r="R4490" t="s">
        <v>27253</v>
      </c>
      <c r="S4490" t="s">
        <v>27254</v>
      </c>
      <c r="T4490" t="s">
        <v>27269</v>
      </c>
    </row>
    <row r="4491" spans="1:20" x14ac:dyDescent="0.3">
      <c r="A4491" t="str">
        <f>"0611834101025"</f>
        <v>0611834101025</v>
      </c>
      <c r="B4491" t="str">
        <f>"MC0275"</f>
        <v>MC0275</v>
      </c>
      <c r="C4491" t="s">
        <v>35920</v>
      </c>
      <c r="D4491" t="s">
        <v>27267</v>
      </c>
      <c r="E4491" t="str">
        <f t="shared" si="70"/>
        <v>001390</v>
      </c>
      <c r="F4491" t="s">
        <v>27246</v>
      </c>
      <c r="G4491" t="s">
        <v>27247</v>
      </c>
      <c r="H4491" t="s">
        <v>27248</v>
      </c>
      <c r="I4491" t="s">
        <v>35921</v>
      </c>
      <c r="J4491" t="s">
        <v>8957</v>
      </c>
      <c r="L4491" t="s">
        <v>27250</v>
      </c>
      <c r="M4491" t="s">
        <v>27251</v>
      </c>
      <c r="N4491" t="s">
        <v>27252</v>
      </c>
      <c r="Q4491" s="1">
        <v>44538</v>
      </c>
      <c r="R4491" t="s">
        <v>27253</v>
      </c>
      <c r="S4491" t="s">
        <v>27254</v>
      </c>
      <c r="T4491" t="s">
        <v>27269</v>
      </c>
    </row>
    <row r="4492" spans="1:20" x14ac:dyDescent="0.3">
      <c r="A4492" t="str">
        <f>"0611834299025"</f>
        <v>0611834299025</v>
      </c>
      <c r="B4492" t="str">
        <f>"MC1160"</f>
        <v>MC1160</v>
      </c>
      <c r="C4492" t="s">
        <v>35922</v>
      </c>
      <c r="D4492" t="s">
        <v>27267</v>
      </c>
      <c r="E4492" t="str">
        <f t="shared" si="70"/>
        <v>001390</v>
      </c>
      <c r="F4492" t="s">
        <v>27246</v>
      </c>
      <c r="G4492" t="s">
        <v>27247</v>
      </c>
      <c r="H4492" t="s">
        <v>27248</v>
      </c>
      <c r="I4492" t="s">
        <v>35923</v>
      </c>
      <c r="J4492" t="s">
        <v>8959</v>
      </c>
      <c r="L4492" t="s">
        <v>27250</v>
      </c>
      <c r="M4492" t="s">
        <v>27251</v>
      </c>
      <c r="N4492" t="s">
        <v>27252</v>
      </c>
      <c r="Q4492" s="1">
        <v>44538</v>
      </c>
      <c r="R4492" t="s">
        <v>27253</v>
      </c>
      <c r="S4492" t="s">
        <v>27254</v>
      </c>
      <c r="T4492" t="s">
        <v>27269</v>
      </c>
    </row>
    <row r="4493" spans="1:20" x14ac:dyDescent="0.3">
      <c r="A4493" t="str">
        <f>"0611834306100"</f>
        <v>0611834306100</v>
      </c>
      <c r="B4493" t="str">
        <f>"LF2550"</f>
        <v>LF2550</v>
      </c>
      <c r="C4493" t="s">
        <v>35924</v>
      </c>
      <c r="D4493" t="s">
        <v>27245</v>
      </c>
      <c r="E4493" t="str">
        <f t="shared" si="70"/>
        <v>001390</v>
      </c>
      <c r="F4493" t="s">
        <v>27246</v>
      </c>
      <c r="G4493" t="s">
        <v>27247</v>
      </c>
      <c r="H4493" t="s">
        <v>27248</v>
      </c>
      <c r="I4493" t="s">
        <v>35925</v>
      </c>
      <c r="J4493" t="s">
        <v>8961</v>
      </c>
      <c r="L4493" t="s">
        <v>27250</v>
      </c>
      <c r="M4493" t="s">
        <v>27251</v>
      </c>
      <c r="N4493" t="s">
        <v>27252</v>
      </c>
      <c r="Q4493" s="1">
        <v>44538</v>
      </c>
      <c r="R4493" t="s">
        <v>27253</v>
      </c>
      <c r="S4493" t="s">
        <v>27254</v>
      </c>
      <c r="T4493" t="s">
        <v>27255</v>
      </c>
    </row>
    <row r="4494" spans="1:20" x14ac:dyDescent="0.3">
      <c r="A4494" t="str">
        <f>"0611834842025"</f>
        <v>0611834842025</v>
      </c>
      <c r="B4494" t="str">
        <f>"MC1161"</f>
        <v>MC1161</v>
      </c>
      <c r="C4494" t="s">
        <v>35926</v>
      </c>
      <c r="D4494" t="s">
        <v>27267</v>
      </c>
      <c r="E4494" t="str">
        <f t="shared" si="70"/>
        <v>001390</v>
      </c>
      <c r="F4494" t="s">
        <v>27246</v>
      </c>
      <c r="G4494" t="s">
        <v>27247</v>
      </c>
      <c r="H4494" t="s">
        <v>27248</v>
      </c>
      <c r="I4494" t="s">
        <v>35927</v>
      </c>
      <c r="J4494" t="s">
        <v>8963</v>
      </c>
      <c r="L4494" t="s">
        <v>27250</v>
      </c>
      <c r="M4494" t="s">
        <v>27251</v>
      </c>
      <c r="N4494" t="s">
        <v>27252</v>
      </c>
      <c r="Q4494" s="1">
        <v>44538</v>
      </c>
      <c r="R4494" t="s">
        <v>27253</v>
      </c>
      <c r="S4494" t="s">
        <v>27254</v>
      </c>
      <c r="T4494" t="s">
        <v>27269</v>
      </c>
    </row>
    <row r="4495" spans="1:20" x14ac:dyDescent="0.3">
      <c r="A4495" t="str">
        <f>"0611834300100"</f>
        <v>0611834300100</v>
      </c>
      <c r="B4495" t="str">
        <f>"LF9101"</f>
        <v>LF9101</v>
      </c>
      <c r="C4495" t="s">
        <v>35928</v>
      </c>
      <c r="D4495" t="s">
        <v>27245</v>
      </c>
      <c r="E4495" t="str">
        <f t="shared" si="70"/>
        <v>001390</v>
      </c>
      <c r="F4495" t="s">
        <v>27246</v>
      </c>
      <c r="G4495" t="s">
        <v>27247</v>
      </c>
      <c r="H4495" t="s">
        <v>27248</v>
      </c>
      <c r="I4495" t="s">
        <v>35929</v>
      </c>
      <c r="J4495" t="s">
        <v>8975</v>
      </c>
      <c r="L4495" t="s">
        <v>27250</v>
      </c>
      <c r="M4495" t="s">
        <v>27251</v>
      </c>
      <c r="N4495" t="s">
        <v>27252</v>
      </c>
      <c r="Q4495" s="1">
        <v>44538</v>
      </c>
      <c r="R4495" t="s">
        <v>27253</v>
      </c>
      <c r="S4495" t="s">
        <v>27254</v>
      </c>
      <c r="T4495" t="s">
        <v>27255</v>
      </c>
    </row>
    <row r="4496" spans="1:20" x14ac:dyDescent="0.3">
      <c r="A4496" t="str">
        <f>"0611856950100"</f>
        <v>0611856950100</v>
      </c>
      <c r="B4496" t="str">
        <f>"LK6998"</f>
        <v>LK6998</v>
      </c>
      <c r="C4496" t="s">
        <v>35930</v>
      </c>
      <c r="D4496" t="s">
        <v>27245</v>
      </c>
      <c r="E4496" t="str">
        <f t="shared" si="70"/>
        <v>001390</v>
      </c>
      <c r="F4496" t="s">
        <v>27246</v>
      </c>
      <c r="G4496" t="s">
        <v>27247</v>
      </c>
      <c r="H4496" t="s">
        <v>27248</v>
      </c>
      <c r="I4496" t="s">
        <v>35931</v>
      </c>
      <c r="J4496" t="s">
        <v>8969</v>
      </c>
      <c r="L4496" t="s">
        <v>27250</v>
      </c>
      <c r="M4496" t="s">
        <v>27251</v>
      </c>
      <c r="N4496" t="s">
        <v>27252</v>
      </c>
      <c r="Q4496" s="1">
        <v>44812</v>
      </c>
      <c r="R4496" t="s">
        <v>27253</v>
      </c>
      <c r="S4496" t="s">
        <v>27254</v>
      </c>
      <c r="T4496" t="s">
        <v>27255</v>
      </c>
    </row>
    <row r="4497" spans="1:20" x14ac:dyDescent="0.3">
      <c r="A4497" t="str">
        <f>"0611836951100"</f>
        <v>0611836951100</v>
      </c>
      <c r="B4497" t="str">
        <f>"MB5073"</f>
        <v>MB5073</v>
      </c>
      <c r="C4497" t="s">
        <v>35932</v>
      </c>
      <c r="D4497" t="s">
        <v>27274</v>
      </c>
      <c r="E4497" t="str">
        <f t="shared" si="70"/>
        <v>001390</v>
      </c>
      <c r="F4497" t="s">
        <v>27246</v>
      </c>
      <c r="G4497" t="s">
        <v>27247</v>
      </c>
      <c r="H4497" t="s">
        <v>27248</v>
      </c>
      <c r="I4497" t="s">
        <v>35933</v>
      </c>
      <c r="J4497" t="s">
        <v>8971</v>
      </c>
      <c r="L4497" t="s">
        <v>27250</v>
      </c>
      <c r="M4497" t="s">
        <v>27251</v>
      </c>
      <c r="N4497" t="s">
        <v>27252</v>
      </c>
      <c r="Q4497" s="1">
        <v>44538</v>
      </c>
      <c r="R4497" t="s">
        <v>27253</v>
      </c>
      <c r="S4497" t="s">
        <v>27254</v>
      </c>
      <c r="T4497" t="s">
        <v>27276</v>
      </c>
    </row>
    <row r="4498" spans="1:20" x14ac:dyDescent="0.3">
      <c r="A4498" t="str">
        <f>"0611836952100"</f>
        <v>0611836952100</v>
      </c>
      <c r="B4498" t="str">
        <f>"LF5073"</f>
        <v>LF5073</v>
      </c>
      <c r="C4498" t="s">
        <v>35932</v>
      </c>
      <c r="D4498" t="s">
        <v>27245</v>
      </c>
      <c r="E4498" t="str">
        <f t="shared" si="70"/>
        <v>001390</v>
      </c>
      <c r="F4498" t="s">
        <v>27246</v>
      </c>
      <c r="G4498" t="s">
        <v>27247</v>
      </c>
      <c r="H4498" t="s">
        <v>27248</v>
      </c>
      <c r="I4498" t="s">
        <v>35934</v>
      </c>
      <c r="J4498" t="s">
        <v>8973</v>
      </c>
      <c r="L4498" t="s">
        <v>27250</v>
      </c>
      <c r="M4498" t="s">
        <v>27251</v>
      </c>
      <c r="N4498" t="s">
        <v>27252</v>
      </c>
      <c r="Q4498" s="1">
        <v>44538</v>
      </c>
      <c r="R4498" t="s">
        <v>27253</v>
      </c>
      <c r="S4498" t="s">
        <v>27254</v>
      </c>
      <c r="T4498" t="s">
        <v>27255</v>
      </c>
    </row>
    <row r="4499" spans="1:20" x14ac:dyDescent="0.3">
      <c r="A4499" t="str">
        <f>"0611834301025"</f>
        <v>0611834301025</v>
      </c>
      <c r="B4499" t="str">
        <f>"MC0557"</f>
        <v>MC0557</v>
      </c>
      <c r="C4499" t="s">
        <v>35935</v>
      </c>
      <c r="D4499" t="s">
        <v>27267</v>
      </c>
      <c r="E4499" t="str">
        <f t="shared" si="70"/>
        <v>001390</v>
      </c>
      <c r="F4499" t="s">
        <v>27246</v>
      </c>
      <c r="G4499" t="s">
        <v>27247</v>
      </c>
      <c r="H4499" t="s">
        <v>27248</v>
      </c>
      <c r="I4499" t="s">
        <v>35936</v>
      </c>
      <c r="J4499" t="s">
        <v>8979</v>
      </c>
      <c r="L4499" t="s">
        <v>27250</v>
      </c>
      <c r="M4499" t="s">
        <v>27251</v>
      </c>
      <c r="N4499" t="s">
        <v>27252</v>
      </c>
      <c r="Q4499" s="1">
        <v>44538</v>
      </c>
      <c r="R4499" t="s">
        <v>27253</v>
      </c>
      <c r="S4499" t="s">
        <v>27254</v>
      </c>
      <c r="T4499" t="s">
        <v>27269</v>
      </c>
    </row>
    <row r="4500" spans="1:20" x14ac:dyDescent="0.3">
      <c r="A4500" t="str">
        <f>"0611837070025"</f>
        <v>0611837070025</v>
      </c>
      <c r="B4500" t="str">
        <f>"MC0558"</f>
        <v>MC0558</v>
      </c>
      <c r="C4500" t="s">
        <v>35937</v>
      </c>
      <c r="D4500" t="s">
        <v>27267</v>
      </c>
      <c r="E4500" t="str">
        <f t="shared" si="70"/>
        <v>001390</v>
      </c>
      <c r="F4500" t="s">
        <v>27246</v>
      </c>
      <c r="G4500" t="s">
        <v>27247</v>
      </c>
      <c r="H4500" t="s">
        <v>27248</v>
      </c>
      <c r="I4500" t="s">
        <v>35938</v>
      </c>
      <c r="J4500" t="s">
        <v>8981</v>
      </c>
      <c r="L4500" t="s">
        <v>27250</v>
      </c>
      <c r="M4500" t="s">
        <v>27251</v>
      </c>
      <c r="N4500" t="s">
        <v>27252</v>
      </c>
      <c r="Q4500" s="1">
        <v>44538</v>
      </c>
      <c r="R4500" t="s">
        <v>27253</v>
      </c>
      <c r="S4500" t="s">
        <v>27254</v>
      </c>
      <c r="T4500" t="s">
        <v>27269</v>
      </c>
    </row>
    <row r="4501" spans="1:20" x14ac:dyDescent="0.3">
      <c r="A4501" t="str">
        <f>"0611834302025"</f>
        <v>0611834302025</v>
      </c>
      <c r="B4501" t="str">
        <f>"MC0530"</f>
        <v>MC0530</v>
      </c>
      <c r="C4501" t="s">
        <v>35939</v>
      </c>
      <c r="D4501" t="s">
        <v>27267</v>
      </c>
      <c r="E4501" t="str">
        <f t="shared" si="70"/>
        <v>001390</v>
      </c>
      <c r="F4501" t="s">
        <v>27246</v>
      </c>
      <c r="G4501" t="s">
        <v>27247</v>
      </c>
      <c r="H4501" t="s">
        <v>27248</v>
      </c>
      <c r="I4501" t="s">
        <v>35940</v>
      </c>
      <c r="J4501" t="s">
        <v>8965</v>
      </c>
      <c r="L4501" t="s">
        <v>27250</v>
      </c>
      <c r="M4501" t="s">
        <v>27251</v>
      </c>
      <c r="N4501" t="s">
        <v>27252</v>
      </c>
      <c r="Q4501" s="1">
        <v>44538</v>
      </c>
      <c r="R4501" t="s">
        <v>27253</v>
      </c>
      <c r="S4501" t="s">
        <v>27254</v>
      </c>
      <c r="T4501" t="s">
        <v>27269</v>
      </c>
    </row>
    <row r="4502" spans="1:20" x14ac:dyDescent="0.3">
      <c r="A4502" t="str">
        <f>"0611834303025"</f>
        <v>0611834303025</v>
      </c>
      <c r="B4502" t="str">
        <f>"MC0635"</f>
        <v>MC0635</v>
      </c>
      <c r="C4502" t="s">
        <v>35941</v>
      </c>
      <c r="D4502" t="s">
        <v>27267</v>
      </c>
      <c r="E4502" t="str">
        <f t="shared" si="70"/>
        <v>001390</v>
      </c>
      <c r="F4502" t="s">
        <v>27246</v>
      </c>
      <c r="G4502" t="s">
        <v>27247</v>
      </c>
      <c r="H4502" t="s">
        <v>27248</v>
      </c>
      <c r="I4502" t="s">
        <v>35942</v>
      </c>
      <c r="J4502" t="s">
        <v>8983</v>
      </c>
      <c r="L4502" t="s">
        <v>27250</v>
      </c>
      <c r="M4502" t="s">
        <v>27251</v>
      </c>
      <c r="N4502" t="s">
        <v>27252</v>
      </c>
      <c r="Q4502" s="1">
        <v>44538</v>
      </c>
      <c r="R4502" t="s">
        <v>27253</v>
      </c>
      <c r="S4502" t="s">
        <v>27254</v>
      </c>
      <c r="T4502" t="s">
        <v>27269</v>
      </c>
    </row>
    <row r="4503" spans="1:20" x14ac:dyDescent="0.3">
      <c r="A4503" t="str">
        <f>"0611834304025"</f>
        <v>0611834304025</v>
      </c>
      <c r="B4503" t="str">
        <f>"MC1164"</f>
        <v>MC1164</v>
      </c>
      <c r="C4503" t="s">
        <v>35943</v>
      </c>
      <c r="D4503" t="s">
        <v>27267</v>
      </c>
      <c r="E4503" t="str">
        <f t="shared" si="70"/>
        <v>001390</v>
      </c>
      <c r="F4503" t="s">
        <v>27246</v>
      </c>
      <c r="G4503" t="s">
        <v>27247</v>
      </c>
      <c r="H4503" t="s">
        <v>27248</v>
      </c>
      <c r="I4503" t="s">
        <v>35944</v>
      </c>
      <c r="J4503" t="s">
        <v>8985</v>
      </c>
      <c r="L4503" t="s">
        <v>27250</v>
      </c>
      <c r="M4503" t="s">
        <v>27251</v>
      </c>
      <c r="N4503" t="s">
        <v>27252</v>
      </c>
      <c r="Q4503" s="1">
        <v>44538</v>
      </c>
      <c r="R4503" t="s">
        <v>27253</v>
      </c>
      <c r="S4503" t="s">
        <v>27254</v>
      </c>
      <c r="T4503" t="s">
        <v>27269</v>
      </c>
    </row>
    <row r="4504" spans="1:20" x14ac:dyDescent="0.3">
      <c r="A4504" t="str">
        <f>"0611834305100"</f>
        <v>0611834305100</v>
      </c>
      <c r="B4504" t="str">
        <f>"LG8029"</f>
        <v>LG8029</v>
      </c>
      <c r="C4504" t="s">
        <v>35945</v>
      </c>
      <c r="D4504" t="s">
        <v>27245</v>
      </c>
      <c r="E4504" t="str">
        <f t="shared" si="70"/>
        <v>001390</v>
      </c>
      <c r="F4504" t="s">
        <v>27246</v>
      </c>
      <c r="G4504" t="s">
        <v>27247</v>
      </c>
      <c r="H4504" t="s">
        <v>27248</v>
      </c>
      <c r="I4504" t="s">
        <v>35946</v>
      </c>
      <c r="J4504" t="s">
        <v>8977</v>
      </c>
      <c r="L4504" t="s">
        <v>27250</v>
      </c>
      <c r="M4504" t="s">
        <v>27251</v>
      </c>
      <c r="N4504" t="s">
        <v>27252</v>
      </c>
      <c r="Q4504" s="1">
        <v>44538</v>
      </c>
      <c r="R4504" t="s">
        <v>27253</v>
      </c>
      <c r="S4504" t="s">
        <v>27254</v>
      </c>
      <c r="T4504" t="s">
        <v>27255</v>
      </c>
    </row>
    <row r="4505" spans="1:20" x14ac:dyDescent="0.3">
      <c r="A4505" t="str">
        <f>"0611834783025"</f>
        <v>0611834783025</v>
      </c>
      <c r="B4505" t="str">
        <f>"MC4203"</f>
        <v>MC4203</v>
      </c>
      <c r="C4505" t="s">
        <v>35947</v>
      </c>
      <c r="D4505" t="s">
        <v>27267</v>
      </c>
      <c r="E4505" t="str">
        <f t="shared" si="70"/>
        <v>001390</v>
      </c>
      <c r="F4505" t="s">
        <v>27246</v>
      </c>
      <c r="G4505" t="s">
        <v>27247</v>
      </c>
      <c r="H4505" t="s">
        <v>27248</v>
      </c>
      <c r="I4505" t="s">
        <v>35948</v>
      </c>
      <c r="J4505" t="s">
        <v>8987</v>
      </c>
      <c r="L4505" t="s">
        <v>27250</v>
      </c>
      <c r="M4505" t="s">
        <v>27251</v>
      </c>
      <c r="N4505" t="s">
        <v>27252</v>
      </c>
      <c r="Q4505" s="1">
        <v>44538</v>
      </c>
      <c r="R4505" t="s">
        <v>27253</v>
      </c>
      <c r="S4505" t="s">
        <v>27254</v>
      </c>
      <c r="T4505" t="s">
        <v>27269</v>
      </c>
    </row>
    <row r="4506" spans="1:20" x14ac:dyDescent="0.3">
      <c r="A4506" t="str">
        <f>"0611834784025"</f>
        <v>0611834784025</v>
      </c>
      <c r="B4506" t="str">
        <f>"MC3136"</f>
        <v>MC3136</v>
      </c>
      <c r="C4506" t="s">
        <v>35949</v>
      </c>
      <c r="D4506" t="s">
        <v>27267</v>
      </c>
      <c r="E4506" t="str">
        <f t="shared" si="70"/>
        <v>001390</v>
      </c>
      <c r="F4506" t="s">
        <v>27246</v>
      </c>
      <c r="G4506" t="s">
        <v>27247</v>
      </c>
      <c r="H4506" t="s">
        <v>27248</v>
      </c>
      <c r="I4506" t="s">
        <v>35950</v>
      </c>
      <c r="J4506" t="s">
        <v>8989</v>
      </c>
      <c r="L4506" t="s">
        <v>27250</v>
      </c>
      <c r="M4506" t="s">
        <v>27251</v>
      </c>
      <c r="N4506" t="s">
        <v>27252</v>
      </c>
      <c r="Q4506" s="1">
        <v>44538</v>
      </c>
      <c r="R4506" t="s">
        <v>27253</v>
      </c>
      <c r="S4506" t="s">
        <v>27254</v>
      </c>
      <c r="T4506" t="s">
        <v>27269</v>
      </c>
    </row>
    <row r="4507" spans="1:20" x14ac:dyDescent="0.3">
      <c r="A4507" t="str">
        <f>"0611834785100"</f>
        <v>0611834785100</v>
      </c>
      <c r="B4507" t="str">
        <f>"LH8950"</f>
        <v>LH8950</v>
      </c>
      <c r="C4507" t="s">
        <v>35951</v>
      </c>
      <c r="D4507" t="s">
        <v>27245</v>
      </c>
      <c r="E4507" t="str">
        <f t="shared" si="70"/>
        <v>001390</v>
      </c>
      <c r="F4507" t="s">
        <v>27246</v>
      </c>
      <c r="G4507" t="s">
        <v>27247</v>
      </c>
      <c r="H4507" t="s">
        <v>27248</v>
      </c>
      <c r="I4507" t="s">
        <v>35952</v>
      </c>
      <c r="J4507" t="s">
        <v>8991</v>
      </c>
      <c r="L4507" t="s">
        <v>27250</v>
      </c>
      <c r="M4507" t="s">
        <v>27251</v>
      </c>
      <c r="N4507" t="s">
        <v>27252</v>
      </c>
      <c r="Q4507" s="1">
        <v>44538</v>
      </c>
      <c r="R4507" t="s">
        <v>27253</v>
      </c>
      <c r="S4507" t="s">
        <v>27254</v>
      </c>
      <c r="T4507" t="s">
        <v>27255</v>
      </c>
    </row>
    <row r="4508" spans="1:20" x14ac:dyDescent="0.3">
      <c r="A4508" t="str">
        <f>"0611834786025"</f>
        <v>0611834786025</v>
      </c>
      <c r="B4508" t="str">
        <f>"MC0289"</f>
        <v>MC0289</v>
      </c>
      <c r="C4508" t="s">
        <v>35953</v>
      </c>
      <c r="D4508" t="s">
        <v>27267</v>
      </c>
      <c r="E4508" t="str">
        <f t="shared" si="70"/>
        <v>001390</v>
      </c>
      <c r="F4508" t="s">
        <v>27246</v>
      </c>
      <c r="G4508" t="s">
        <v>27247</v>
      </c>
      <c r="H4508" t="s">
        <v>27248</v>
      </c>
      <c r="I4508" t="s">
        <v>35954</v>
      </c>
      <c r="J4508" t="s">
        <v>8993</v>
      </c>
      <c r="L4508" t="s">
        <v>27250</v>
      </c>
      <c r="M4508" t="s">
        <v>27251</v>
      </c>
      <c r="N4508" t="s">
        <v>27252</v>
      </c>
      <c r="Q4508" s="1">
        <v>44538</v>
      </c>
      <c r="R4508" t="s">
        <v>27253</v>
      </c>
      <c r="S4508" t="s">
        <v>27254</v>
      </c>
      <c r="T4508" t="s">
        <v>27269</v>
      </c>
    </row>
    <row r="4509" spans="1:20" x14ac:dyDescent="0.3">
      <c r="A4509" t="str">
        <f>"0611834787025"</f>
        <v>0611834787025</v>
      </c>
      <c r="B4509" t="str">
        <f>"MC2667"</f>
        <v>MC2667</v>
      </c>
      <c r="C4509" t="s">
        <v>35955</v>
      </c>
      <c r="D4509" t="s">
        <v>27267</v>
      </c>
      <c r="E4509" t="str">
        <f t="shared" si="70"/>
        <v>001390</v>
      </c>
      <c r="F4509" t="s">
        <v>27246</v>
      </c>
      <c r="G4509" t="s">
        <v>27247</v>
      </c>
      <c r="H4509" t="s">
        <v>27248</v>
      </c>
      <c r="I4509" t="s">
        <v>35956</v>
      </c>
      <c r="J4509" t="s">
        <v>8995</v>
      </c>
      <c r="L4509" t="s">
        <v>27250</v>
      </c>
      <c r="M4509" t="s">
        <v>27251</v>
      </c>
      <c r="N4509" t="s">
        <v>27252</v>
      </c>
      <c r="Q4509" s="1">
        <v>44538</v>
      </c>
      <c r="R4509" t="s">
        <v>27253</v>
      </c>
      <c r="S4509" t="s">
        <v>27254</v>
      </c>
      <c r="T4509" t="s">
        <v>27269</v>
      </c>
    </row>
    <row r="4510" spans="1:20" x14ac:dyDescent="0.3">
      <c r="A4510" t="str">
        <f>"0611834788100"</f>
        <v>0611834788100</v>
      </c>
      <c r="B4510" t="str">
        <f>"LH3901"</f>
        <v>LH3901</v>
      </c>
      <c r="C4510" t="s">
        <v>35957</v>
      </c>
      <c r="D4510" t="s">
        <v>27245</v>
      </c>
      <c r="E4510" t="str">
        <f t="shared" si="70"/>
        <v>001390</v>
      </c>
      <c r="F4510" t="s">
        <v>27246</v>
      </c>
      <c r="G4510" t="s">
        <v>27247</v>
      </c>
      <c r="H4510" t="s">
        <v>27248</v>
      </c>
      <c r="I4510" t="s">
        <v>35958</v>
      </c>
      <c r="J4510" t="s">
        <v>8997</v>
      </c>
      <c r="L4510" t="s">
        <v>27250</v>
      </c>
      <c r="M4510" t="s">
        <v>27251</v>
      </c>
      <c r="N4510" t="s">
        <v>27252</v>
      </c>
      <c r="Q4510" s="1">
        <v>44538</v>
      </c>
      <c r="R4510" t="s">
        <v>27253</v>
      </c>
      <c r="S4510" t="s">
        <v>27254</v>
      </c>
      <c r="T4510" t="s">
        <v>27255</v>
      </c>
    </row>
    <row r="4511" spans="1:20" x14ac:dyDescent="0.3">
      <c r="A4511" t="str">
        <f>"0611834789025"</f>
        <v>0611834789025</v>
      </c>
      <c r="B4511" t="str">
        <f>"MC0290"</f>
        <v>MC0290</v>
      </c>
      <c r="C4511" t="s">
        <v>35957</v>
      </c>
      <c r="D4511" t="s">
        <v>27267</v>
      </c>
      <c r="E4511" t="str">
        <f t="shared" si="70"/>
        <v>001390</v>
      </c>
      <c r="F4511" t="s">
        <v>27246</v>
      </c>
      <c r="G4511" t="s">
        <v>27247</v>
      </c>
      <c r="H4511" t="s">
        <v>27248</v>
      </c>
      <c r="I4511" t="s">
        <v>35959</v>
      </c>
      <c r="J4511" t="s">
        <v>8999</v>
      </c>
      <c r="L4511" t="s">
        <v>27250</v>
      </c>
      <c r="M4511" t="s">
        <v>27251</v>
      </c>
      <c r="N4511" t="s">
        <v>27252</v>
      </c>
      <c r="Q4511" s="1">
        <v>44538</v>
      </c>
      <c r="R4511" t="s">
        <v>27253</v>
      </c>
      <c r="S4511" t="s">
        <v>27254</v>
      </c>
      <c r="T4511" t="s">
        <v>27269</v>
      </c>
    </row>
    <row r="4512" spans="1:20" x14ac:dyDescent="0.3">
      <c r="A4512" t="str">
        <f>"0611834790025"</f>
        <v>0611834790025</v>
      </c>
      <c r="B4512" t="str">
        <f>"MC2438"</f>
        <v>MC2438</v>
      </c>
      <c r="C4512" t="s">
        <v>35960</v>
      </c>
      <c r="D4512" t="s">
        <v>27267</v>
      </c>
      <c r="E4512" t="str">
        <f t="shared" si="70"/>
        <v>001390</v>
      </c>
      <c r="F4512" t="s">
        <v>27246</v>
      </c>
      <c r="G4512" t="s">
        <v>27247</v>
      </c>
      <c r="H4512" t="s">
        <v>27248</v>
      </c>
      <c r="I4512" t="s">
        <v>35961</v>
      </c>
      <c r="J4512" t="s">
        <v>9001</v>
      </c>
      <c r="L4512" t="s">
        <v>27250</v>
      </c>
      <c r="M4512" t="s">
        <v>27251</v>
      </c>
      <c r="N4512" t="s">
        <v>27252</v>
      </c>
      <c r="Q4512" s="1">
        <v>44538</v>
      </c>
      <c r="R4512" t="s">
        <v>27253</v>
      </c>
      <c r="S4512" t="s">
        <v>27254</v>
      </c>
      <c r="T4512" t="s">
        <v>27269</v>
      </c>
    </row>
    <row r="4513" spans="1:20" x14ac:dyDescent="0.3">
      <c r="A4513" t="str">
        <f>"0611834307100"</f>
        <v>0611834307100</v>
      </c>
      <c r="B4513" t="str">
        <f>"LF2600"</f>
        <v>LF2600</v>
      </c>
      <c r="C4513" t="s">
        <v>35962</v>
      </c>
      <c r="D4513" t="s">
        <v>27245</v>
      </c>
      <c r="E4513" t="str">
        <f t="shared" si="70"/>
        <v>001390</v>
      </c>
      <c r="F4513" t="s">
        <v>27246</v>
      </c>
      <c r="G4513" t="s">
        <v>27247</v>
      </c>
      <c r="H4513" t="s">
        <v>27248</v>
      </c>
      <c r="I4513" t="s">
        <v>35963</v>
      </c>
      <c r="J4513" t="s">
        <v>9003</v>
      </c>
      <c r="L4513" t="s">
        <v>27250</v>
      </c>
      <c r="M4513" t="s">
        <v>27251</v>
      </c>
      <c r="N4513" t="s">
        <v>27252</v>
      </c>
      <c r="Q4513" s="1">
        <v>44538</v>
      </c>
      <c r="R4513" t="s">
        <v>27253</v>
      </c>
      <c r="S4513" t="s">
        <v>27254</v>
      </c>
      <c r="T4513" t="s">
        <v>27255</v>
      </c>
    </row>
    <row r="4514" spans="1:20" x14ac:dyDescent="0.3">
      <c r="A4514" t="str">
        <f>"0611834308100"</f>
        <v>0611834308100</v>
      </c>
      <c r="B4514" t="str">
        <f>"LF2603"</f>
        <v>LF2603</v>
      </c>
      <c r="C4514" t="s">
        <v>35964</v>
      </c>
      <c r="D4514" t="s">
        <v>27245</v>
      </c>
      <c r="E4514" t="str">
        <f t="shared" si="70"/>
        <v>001390</v>
      </c>
      <c r="F4514" t="s">
        <v>27246</v>
      </c>
      <c r="G4514" t="s">
        <v>27247</v>
      </c>
      <c r="H4514" t="s">
        <v>27248</v>
      </c>
      <c r="I4514" t="s">
        <v>35965</v>
      </c>
      <c r="J4514" t="s">
        <v>9005</v>
      </c>
      <c r="L4514" t="s">
        <v>27250</v>
      </c>
      <c r="M4514" t="s">
        <v>27251</v>
      </c>
      <c r="N4514" t="s">
        <v>27252</v>
      </c>
      <c r="Q4514" s="1">
        <v>44538</v>
      </c>
      <c r="R4514" t="s">
        <v>27253</v>
      </c>
      <c r="S4514" t="s">
        <v>27254</v>
      </c>
      <c r="T4514" t="s">
        <v>27255</v>
      </c>
    </row>
    <row r="4515" spans="1:20" x14ac:dyDescent="0.3">
      <c r="A4515" t="str">
        <f>"0611834309100"</f>
        <v>0611834309100</v>
      </c>
      <c r="B4515" t="str">
        <f>"LF0028"</f>
        <v>LF0028</v>
      </c>
      <c r="C4515" t="s">
        <v>35966</v>
      </c>
      <c r="D4515" t="s">
        <v>27245</v>
      </c>
      <c r="E4515" t="str">
        <f t="shared" si="70"/>
        <v>001390</v>
      </c>
      <c r="F4515" t="s">
        <v>27246</v>
      </c>
      <c r="G4515" t="s">
        <v>27247</v>
      </c>
      <c r="H4515" t="s">
        <v>27248</v>
      </c>
      <c r="I4515" t="s">
        <v>35967</v>
      </c>
      <c r="J4515" t="s">
        <v>9007</v>
      </c>
      <c r="L4515" t="s">
        <v>27250</v>
      </c>
      <c r="M4515" t="s">
        <v>27251</v>
      </c>
      <c r="N4515" t="s">
        <v>27252</v>
      </c>
      <c r="Q4515" s="1">
        <v>44538</v>
      </c>
      <c r="R4515" t="s">
        <v>27253</v>
      </c>
      <c r="S4515" t="s">
        <v>27254</v>
      </c>
      <c r="T4515" t="s">
        <v>27255</v>
      </c>
    </row>
    <row r="4516" spans="1:20" x14ac:dyDescent="0.3">
      <c r="A4516" t="str">
        <f>"0611834310100"</f>
        <v>0611834310100</v>
      </c>
      <c r="B4516" t="str">
        <f>"LF2617"</f>
        <v>LF2617</v>
      </c>
      <c r="C4516" t="s">
        <v>35968</v>
      </c>
      <c r="D4516" t="s">
        <v>27245</v>
      </c>
      <c r="E4516" t="str">
        <f t="shared" si="70"/>
        <v>001390</v>
      </c>
      <c r="F4516" t="s">
        <v>27246</v>
      </c>
      <c r="G4516" t="s">
        <v>27247</v>
      </c>
      <c r="H4516" t="s">
        <v>27248</v>
      </c>
      <c r="I4516" t="s">
        <v>35969</v>
      </c>
      <c r="J4516" t="s">
        <v>9009</v>
      </c>
      <c r="L4516" t="s">
        <v>27250</v>
      </c>
      <c r="M4516" t="s">
        <v>27251</v>
      </c>
      <c r="N4516" t="s">
        <v>27252</v>
      </c>
      <c r="Q4516" s="1">
        <v>44538</v>
      </c>
      <c r="R4516" t="s">
        <v>27253</v>
      </c>
      <c r="S4516" t="s">
        <v>27254</v>
      </c>
      <c r="T4516" t="s">
        <v>27255</v>
      </c>
    </row>
    <row r="4517" spans="1:20" x14ac:dyDescent="0.3">
      <c r="A4517" t="str">
        <f>"0611834311100"</f>
        <v>0611834311100</v>
      </c>
      <c r="B4517" t="str">
        <f>"LF2609"</f>
        <v>LF2609</v>
      </c>
      <c r="C4517" t="s">
        <v>35970</v>
      </c>
      <c r="D4517" t="s">
        <v>27245</v>
      </c>
      <c r="E4517" t="str">
        <f t="shared" si="70"/>
        <v>001390</v>
      </c>
      <c r="F4517" t="s">
        <v>27246</v>
      </c>
      <c r="G4517" t="s">
        <v>27247</v>
      </c>
      <c r="H4517" t="s">
        <v>27248</v>
      </c>
      <c r="I4517" t="s">
        <v>35971</v>
      </c>
      <c r="J4517" t="s">
        <v>9011</v>
      </c>
      <c r="L4517" t="s">
        <v>27250</v>
      </c>
      <c r="M4517" t="s">
        <v>27251</v>
      </c>
      <c r="N4517" t="s">
        <v>27252</v>
      </c>
      <c r="Q4517" s="1">
        <v>44538</v>
      </c>
      <c r="R4517" t="s">
        <v>27253</v>
      </c>
      <c r="S4517" t="s">
        <v>27254</v>
      </c>
      <c r="T4517" t="s">
        <v>27255</v>
      </c>
    </row>
    <row r="4518" spans="1:20" x14ac:dyDescent="0.3">
      <c r="A4518" t="str">
        <f>"0611834312100"</f>
        <v>0611834312100</v>
      </c>
      <c r="B4518" t="str">
        <f>"LF0029"</f>
        <v>LF0029</v>
      </c>
      <c r="C4518" t="s">
        <v>35972</v>
      </c>
      <c r="D4518" t="s">
        <v>27245</v>
      </c>
      <c r="E4518" t="str">
        <f t="shared" si="70"/>
        <v>001390</v>
      </c>
      <c r="F4518" t="s">
        <v>27246</v>
      </c>
      <c r="G4518" t="s">
        <v>27247</v>
      </c>
      <c r="H4518" t="s">
        <v>27248</v>
      </c>
      <c r="I4518" t="s">
        <v>35973</v>
      </c>
      <c r="J4518" t="s">
        <v>9013</v>
      </c>
      <c r="L4518" t="s">
        <v>27250</v>
      </c>
      <c r="M4518" t="s">
        <v>27251</v>
      </c>
      <c r="N4518" t="s">
        <v>27252</v>
      </c>
      <c r="Q4518" s="1">
        <v>44538</v>
      </c>
      <c r="R4518" t="s">
        <v>27253</v>
      </c>
      <c r="S4518" t="s">
        <v>27254</v>
      </c>
      <c r="T4518" t="s">
        <v>27255</v>
      </c>
    </row>
    <row r="4519" spans="1:20" x14ac:dyDescent="0.3">
      <c r="A4519" t="str">
        <f>"0611834313100"</f>
        <v>0611834313100</v>
      </c>
      <c r="B4519" t="str">
        <f>"LF2628"</f>
        <v>LF2628</v>
      </c>
      <c r="C4519" t="s">
        <v>35974</v>
      </c>
      <c r="D4519" t="s">
        <v>27245</v>
      </c>
      <c r="E4519" t="str">
        <f t="shared" si="70"/>
        <v>001390</v>
      </c>
      <c r="F4519" t="s">
        <v>27246</v>
      </c>
      <c r="G4519" t="s">
        <v>27247</v>
      </c>
      <c r="H4519" t="s">
        <v>27248</v>
      </c>
      <c r="I4519" t="s">
        <v>35975</v>
      </c>
      <c r="J4519" t="s">
        <v>9015</v>
      </c>
      <c r="L4519" t="s">
        <v>27250</v>
      </c>
      <c r="M4519" t="s">
        <v>27251</v>
      </c>
      <c r="N4519" t="s">
        <v>27252</v>
      </c>
      <c r="Q4519" s="1">
        <v>44538</v>
      </c>
      <c r="R4519" t="s">
        <v>27253</v>
      </c>
      <c r="S4519" t="s">
        <v>27254</v>
      </c>
      <c r="T4519" t="s">
        <v>27255</v>
      </c>
    </row>
    <row r="4520" spans="1:20" x14ac:dyDescent="0.3">
      <c r="A4520" t="str">
        <f>"0611834314100"</f>
        <v>0611834314100</v>
      </c>
      <c r="B4520" t="str">
        <f>"LF0030"</f>
        <v>LF0030</v>
      </c>
      <c r="C4520" t="s">
        <v>35976</v>
      </c>
      <c r="D4520" t="s">
        <v>27245</v>
      </c>
      <c r="E4520" t="str">
        <f t="shared" si="70"/>
        <v>001390</v>
      </c>
      <c r="F4520" t="s">
        <v>27246</v>
      </c>
      <c r="G4520" t="s">
        <v>27247</v>
      </c>
      <c r="H4520" t="s">
        <v>27248</v>
      </c>
      <c r="I4520" t="s">
        <v>35977</v>
      </c>
      <c r="J4520" t="s">
        <v>9017</v>
      </c>
      <c r="L4520" t="s">
        <v>27250</v>
      </c>
      <c r="M4520" t="s">
        <v>27251</v>
      </c>
      <c r="N4520" t="s">
        <v>27252</v>
      </c>
      <c r="Q4520" s="1">
        <v>44538</v>
      </c>
      <c r="R4520" t="s">
        <v>27253</v>
      </c>
      <c r="S4520" t="s">
        <v>27254</v>
      </c>
      <c r="T4520" t="s">
        <v>27255</v>
      </c>
    </row>
    <row r="4521" spans="1:20" x14ac:dyDescent="0.3">
      <c r="A4521" t="str">
        <f>"0611834315100"</f>
        <v>0611834315100</v>
      </c>
      <c r="B4521" t="str">
        <f>"LF0031"</f>
        <v>LF0031</v>
      </c>
      <c r="C4521" t="s">
        <v>35978</v>
      </c>
      <c r="D4521" t="s">
        <v>27245</v>
      </c>
      <c r="E4521" t="str">
        <f t="shared" si="70"/>
        <v>001390</v>
      </c>
      <c r="F4521" t="s">
        <v>27246</v>
      </c>
      <c r="G4521" t="s">
        <v>27247</v>
      </c>
      <c r="H4521" t="s">
        <v>27248</v>
      </c>
      <c r="I4521" t="s">
        <v>35979</v>
      </c>
      <c r="J4521" t="s">
        <v>9019</v>
      </c>
      <c r="L4521" t="s">
        <v>27250</v>
      </c>
      <c r="M4521" t="s">
        <v>27251</v>
      </c>
      <c r="N4521" t="s">
        <v>27252</v>
      </c>
      <c r="Q4521" s="1">
        <v>44538</v>
      </c>
      <c r="R4521" t="s">
        <v>27253</v>
      </c>
      <c r="S4521" t="s">
        <v>27254</v>
      </c>
      <c r="T4521" t="s">
        <v>27255</v>
      </c>
    </row>
    <row r="4522" spans="1:20" x14ac:dyDescent="0.3">
      <c r="A4522" t="str">
        <f>"0611834316100"</f>
        <v>0611834316100</v>
      </c>
      <c r="B4522" t="str">
        <f>"LG0995"</f>
        <v>LG0995</v>
      </c>
      <c r="C4522" t="s">
        <v>35980</v>
      </c>
      <c r="D4522" t="s">
        <v>27245</v>
      </c>
      <c r="E4522" t="str">
        <f t="shared" si="70"/>
        <v>001390</v>
      </c>
      <c r="F4522" t="s">
        <v>27246</v>
      </c>
      <c r="G4522" t="s">
        <v>27247</v>
      </c>
      <c r="H4522" t="s">
        <v>27248</v>
      </c>
      <c r="I4522" t="s">
        <v>35981</v>
      </c>
      <c r="J4522" t="s">
        <v>9021</v>
      </c>
      <c r="L4522" t="s">
        <v>27250</v>
      </c>
      <c r="M4522" t="s">
        <v>27251</v>
      </c>
      <c r="N4522" t="s">
        <v>27252</v>
      </c>
      <c r="Q4522" s="1">
        <v>44538</v>
      </c>
      <c r="R4522" t="s">
        <v>27253</v>
      </c>
      <c r="S4522" t="s">
        <v>27254</v>
      </c>
      <c r="T4522" t="s">
        <v>27255</v>
      </c>
    </row>
    <row r="4523" spans="1:20" x14ac:dyDescent="0.3">
      <c r="A4523" t="str">
        <f>"0611834317100"</f>
        <v>0611834317100</v>
      </c>
      <c r="B4523" t="str">
        <f>"MB2580"</f>
        <v>MB2580</v>
      </c>
      <c r="C4523" t="s">
        <v>35982</v>
      </c>
      <c r="D4523" t="s">
        <v>27274</v>
      </c>
      <c r="E4523" t="str">
        <f t="shared" si="70"/>
        <v>001390</v>
      </c>
      <c r="F4523" t="s">
        <v>27246</v>
      </c>
      <c r="G4523" t="s">
        <v>27247</v>
      </c>
      <c r="H4523" t="s">
        <v>27248</v>
      </c>
      <c r="I4523" t="s">
        <v>35983</v>
      </c>
      <c r="J4523" t="s">
        <v>9023</v>
      </c>
      <c r="L4523" t="s">
        <v>27250</v>
      </c>
      <c r="M4523" t="s">
        <v>27251</v>
      </c>
      <c r="N4523" t="s">
        <v>27252</v>
      </c>
      <c r="Q4523" s="1">
        <v>44538</v>
      </c>
      <c r="R4523" t="s">
        <v>27253</v>
      </c>
      <c r="S4523" t="s">
        <v>27254</v>
      </c>
      <c r="T4523" t="s">
        <v>27276</v>
      </c>
    </row>
    <row r="4524" spans="1:20" x14ac:dyDescent="0.3">
      <c r="A4524" t="str">
        <f>"0611884211025"</f>
        <v>0611884211025</v>
      </c>
      <c r="B4524" t="str">
        <f>"MC1448"</f>
        <v>MC1448</v>
      </c>
      <c r="C4524" t="s">
        <v>35984</v>
      </c>
      <c r="D4524" t="s">
        <v>27267</v>
      </c>
      <c r="E4524" t="str">
        <f t="shared" si="70"/>
        <v>001390</v>
      </c>
      <c r="F4524" t="s">
        <v>27246</v>
      </c>
      <c r="G4524" t="s">
        <v>27247</v>
      </c>
      <c r="H4524" t="s">
        <v>27248</v>
      </c>
      <c r="I4524" t="s">
        <v>35985</v>
      </c>
      <c r="J4524" t="s">
        <v>8931</v>
      </c>
      <c r="L4524" t="s">
        <v>27430</v>
      </c>
      <c r="M4524" t="s">
        <v>27251</v>
      </c>
      <c r="N4524" t="s">
        <v>27252</v>
      </c>
      <c r="Q4524" s="1">
        <v>45250</v>
      </c>
      <c r="R4524" t="s">
        <v>27253</v>
      </c>
      <c r="S4524" t="s">
        <v>27254</v>
      </c>
      <c r="T4524" t="s">
        <v>27269</v>
      </c>
    </row>
    <row r="4525" spans="1:20" x14ac:dyDescent="0.3">
      <c r="A4525" t="str">
        <f>"0611884212025"</f>
        <v>0611884212025</v>
      </c>
      <c r="B4525" t="str">
        <f>"MC4475"</f>
        <v>MC4475</v>
      </c>
      <c r="C4525" t="s">
        <v>35986</v>
      </c>
      <c r="D4525" t="s">
        <v>27267</v>
      </c>
      <c r="E4525" t="str">
        <f t="shared" si="70"/>
        <v>001390</v>
      </c>
      <c r="F4525" t="s">
        <v>27246</v>
      </c>
      <c r="G4525" t="s">
        <v>27247</v>
      </c>
      <c r="H4525" t="s">
        <v>27248</v>
      </c>
      <c r="I4525" t="s">
        <v>35987</v>
      </c>
      <c r="J4525" t="s">
        <v>8937</v>
      </c>
      <c r="L4525" t="s">
        <v>27430</v>
      </c>
      <c r="M4525" t="s">
        <v>27251</v>
      </c>
      <c r="N4525" t="s">
        <v>27252</v>
      </c>
      <c r="Q4525" s="1">
        <v>45250</v>
      </c>
      <c r="R4525" t="s">
        <v>27253</v>
      </c>
      <c r="S4525" t="s">
        <v>27254</v>
      </c>
      <c r="T4525" t="s">
        <v>27269</v>
      </c>
    </row>
    <row r="4526" spans="1:20" x14ac:dyDescent="0.3">
      <c r="A4526" t="str">
        <f>"0611834321100"</f>
        <v>0611834321100</v>
      </c>
      <c r="B4526" t="str">
        <f>"LL8111"</f>
        <v>LL8111</v>
      </c>
      <c r="C4526" t="s">
        <v>35988</v>
      </c>
      <c r="D4526" t="s">
        <v>27245</v>
      </c>
      <c r="E4526" t="str">
        <f t="shared" si="70"/>
        <v>001390</v>
      </c>
      <c r="F4526" t="s">
        <v>27246</v>
      </c>
      <c r="G4526" t="s">
        <v>27247</v>
      </c>
      <c r="H4526" t="s">
        <v>27248</v>
      </c>
      <c r="I4526" t="s">
        <v>35989</v>
      </c>
      <c r="J4526" t="s">
        <v>9025</v>
      </c>
      <c r="L4526" t="s">
        <v>27250</v>
      </c>
      <c r="M4526" t="s">
        <v>27251</v>
      </c>
      <c r="N4526" t="s">
        <v>27252</v>
      </c>
      <c r="Q4526" s="1">
        <v>44538</v>
      </c>
      <c r="R4526" t="s">
        <v>27253</v>
      </c>
      <c r="S4526" t="s">
        <v>27254</v>
      </c>
      <c r="T4526" t="s">
        <v>27255</v>
      </c>
    </row>
    <row r="4527" spans="1:20" x14ac:dyDescent="0.3">
      <c r="A4527" t="str">
        <f>"0611834322100"</f>
        <v>0611834322100</v>
      </c>
      <c r="B4527" t="str">
        <f>"LL3840"</f>
        <v>LL3840</v>
      </c>
      <c r="C4527" t="s">
        <v>35990</v>
      </c>
      <c r="D4527" t="s">
        <v>27245</v>
      </c>
      <c r="E4527" t="str">
        <f t="shared" si="70"/>
        <v>001390</v>
      </c>
      <c r="F4527" t="s">
        <v>27246</v>
      </c>
      <c r="G4527" t="s">
        <v>27247</v>
      </c>
      <c r="H4527" t="s">
        <v>27248</v>
      </c>
      <c r="I4527" t="s">
        <v>35991</v>
      </c>
      <c r="J4527" t="s">
        <v>9027</v>
      </c>
      <c r="L4527" t="s">
        <v>27250</v>
      </c>
      <c r="M4527" t="s">
        <v>27251</v>
      </c>
      <c r="N4527" t="s">
        <v>27252</v>
      </c>
      <c r="Q4527" s="1">
        <v>44538</v>
      </c>
      <c r="R4527" t="s">
        <v>27253</v>
      </c>
      <c r="S4527" t="s">
        <v>27254</v>
      </c>
      <c r="T4527" t="s">
        <v>27255</v>
      </c>
    </row>
    <row r="4528" spans="1:20" x14ac:dyDescent="0.3">
      <c r="A4528" t="str">
        <f>"0611834324100"</f>
        <v>0611834324100</v>
      </c>
      <c r="B4528" t="str">
        <f>"LL4856"</f>
        <v>LL4856</v>
      </c>
      <c r="C4528" t="s">
        <v>35992</v>
      </c>
      <c r="D4528" t="s">
        <v>27245</v>
      </c>
      <c r="E4528" t="str">
        <f t="shared" si="70"/>
        <v>001390</v>
      </c>
      <c r="F4528" t="s">
        <v>27246</v>
      </c>
      <c r="G4528" t="s">
        <v>27247</v>
      </c>
      <c r="H4528" t="s">
        <v>27248</v>
      </c>
      <c r="I4528" t="s">
        <v>35993</v>
      </c>
      <c r="J4528" t="s">
        <v>9031</v>
      </c>
      <c r="L4528" t="s">
        <v>27250</v>
      </c>
      <c r="M4528" t="s">
        <v>27251</v>
      </c>
      <c r="N4528" t="s">
        <v>27252</v>
      </c>
      <c r="Q4528" s="1">
        <v>44538</v>
      </c>
      <c r="R4528" t="s">
        <v>27253</v>
      </c>
      <c r="S4528" t="s">
        <v>27254</v>
      </c>
      <c r="T4528" t="s">
        <v>27255</v>
      </c>
    </row>
    <row r="4529" spans="1:20" x14ac:dyDescent="0.3">
      <c r="A4529" t="str">
        <f>"0611834325100"</f>
        <v>0611834325100</v>
      </c>
      <c r="B4529" t="str">
        <f>"LL4857"</f>
        <v>LL4857</v>
      </c>
      <c r="C4529" t="s">
        <v>35994</v>
      </c>
      <c r="D4529" t="s">
        <v>27245</v>
      </c>
      <c r="E4529" t="str">
        <f t="shared" si="70"/>
        <v>001390</v>
      </c>
      <c r="F4529" t="s">
        <v>27246</v>
      </c>
      <c r="G4529" t="s">
        <v>27247</v>
      </c>
      <c r="H4529" t="s">
        <v>27248</v>
      </c>
      <c r="I4529" t="s">
        <v>35995</v>
      </c>
      <c r="J4529" t="s">
        <v>9033</v>
      </c>
      <c r="L4529" t="s">
        <v>27250</v>
      </c>
      <c r="M4529" t="s">
        <v>27251</v>
      </c>
      <c r="N4529" t="s">
        <v>27252</v>
      </c>
      <c r="Q4529" s="1">
        <v>44538</v>
      </c>
      <c r="R4529" t="s">
        <v>27253</v>
      </c>
      <c r="S4529" t="s">
        <v>27254</v>
      </c>
      <c r="T4529" t="s">
        <v>27255</v>
      </c>
    </row>
    <row r="4530" spans="1:20" x14ac:dyDescent="0.3">
      <c r="A4530" t="str">
        <f>"0611834326100"</f>
        <v>0611834326100</v>
      </c>
      <c r="B4530" t="str">
        <f>"LH8021"</f>
        <v>LH8021</v>
      </c>
      <c r="C4530" t="s">
        <v>35996</v>
      </c>
      <c r="D4530" t="s">
        <v>27245</v>
      </c>
      <c r="E4530" t="str">
        <f t="shared" si="70"/>
        <v>001390</v>
      </c>
      <c r="F4530" t="s">
        <v>27246</v>
      </c>
      <c r="G4530" t="s">
        <v>27247</v>
      </c>
      <c r="H4530" t="s">
        <v>27248</v>
      </c>
      <c r="I4530" t="s">
        <v>35997</v>
      </c>
      <c r="J4530" t="s">
        <v>9035</v>
      </c>
      <c r="L4530" t="s">
        <v>27250</v>
      </c>
      <c r="M4530" t="s">
        <v>27251</v>
      </c>
      <c r="N4530" t="s">
        <v>27252</v>
      </c>
      <c r="Q4530" s="1">
        <v>44538</v>
      </c>
      <c r="R4530" t="s">
        <v>27253</v>
      </c>
      <c r="S4530" t="s">
        <v>27254</v>
      </c>
      <c r="T4530" t="s">
        <v>27255</v>
      </c>
    </row>
    <row r="4531" spans="1:20" x14ac:dyDescent="0.3">
      <c r="A4531" t="str">
        <f>"0611834323100"</f>
        <v>0611834323100</v>
      </c>
      <c r="B4531" t="str">
        <f>"LG2591"</f>
        <v>LG2591</v>
      </c>
      <c r="C4531" t="s">
        <v>35998</v>
      </c>
      <c r="D4531" t="s">
        <v>27245</v>
      </c>
      <c r="E4531" t="str">
        <f t="shared" si="70"/>
        <v>001390</v>
      </c>
      <c r="F4531" t="s">
        <v>27246</v>
      </c>
      <c r="G4531" t="s">
        <v>27247</v>
      </c>
      <c r="H4531" t="s">
        <v>27248</v>
      </c>
      <c r="I4531" t="s">
        <v>35999</v>
      </c>
      <c r="J4531" t="s">
        <v>9029</v>
      </c>
      <c r="L4531" t="s">
        <v>27250</v>
      </c>
      <c r="M4531" t="s">
        <v>27251</v>
      </c>
      <c r="N4531" t="s">
        <v>27252</v>
      </c>
      <c r="Q4531" s="1">
        <v>44538</v>
      </c>
      <c r="R4531" t="s">
        <v>27253</v>
      </c>
      <c r="S4531" t="s">
        <v>27254</v>
      </c>
      <c r="T4531" t="s">
        <v>27255</v>
      </c>
    </row>
    <row r="4532" spans="1:20" x14ac:dyDescent="0.3">
      <c r="A4532" t="str">
        <f>"0611834329100"</f>
        <v>0611834329100</v>
      </c>
      <c r="B4532" t="str">
        <f>"LL8297"</f>
        <v>LL8297</v>
      </c>
      <c r="C4532" t="s">
        <v>36000</v>
      </c>
      <c r="D4532" t="s">
        <v>27245</v>
      </c>
      <c r="E4532" t="str">
        <f t="shared" si="70"/>
        <v>001390</v>
      </c>
      <c r="F4532" t="s">
        <v>27246</v>
      </c>
      <c r="G4532" t="s">
        <v>27247</v>
      </c>
      <c r="H4532" t="s">
        <v>27248</v>
      </c>
      <c r="I4532" t="s">
        <v>36001</v>
      </c>
      <c r="J4532" t="s">
        <v>9037</v>
      </c>
      <c r="L4532" t="s">
        <v>27250</v>
      </c>
      <c r="M4532" t="s">
        <v>27251</v>
      </c>
      <c r="N4532" t="s">
        <v>27252</v>
      </c>
      <c r="Q4532" s="1">
        <v>44538</v>
      </c>
      <c r="R4532" t="s">
        <v>27253</v>
      </c>
      <c r="S4532" t="s">
        <v>27254</v>
      </c>
      <c r="T4532" t="s">
        <v>27255</v>
      </c>
    </row>
    <row r="4533" spans="1:20" x14ac:dyDescent="0.3">
      <c r="A4533" t="str">
        <f>"0611834330100"</f>
        <v>0611834330100</v>
      </c>
      <c r="B4533" t="str">
        <f>"LH8020"</f>
        <v>LH8020</v>
      </c>
      <c r="C4533" t="s">
        <v>36002</v>
      </c>
      <c r="D4533" t="s">
        <v>27245</v>
      </c>
      <c r="E4533" t="str">
        <f t="shared" si="70"/>
        <v>001390</v>
      </c>
      <c r="F4533" t="s">
        <v>27246</v>
      </c>
      <c r="G4533" t="s">
        <v>27247</v>
      </c>
      <c r="H4533" t="s">
        <v>27248</v>
      </c>
      <c r="I4533" t="s">
        <v>36003</v>
      </c>
      <c r="J4533" t="s">
        <v>9039</v>
      </c>
      <c r="L4533" t="s">
        <v>27250</v>
      </c>
      <c r="M4533" t="s">
        <v>27251</v>
      </c>
      <c r="N4533" t="s">
        <v>27252</v>
      </c>
      <c r="Q4533" s="1">
        <v>44538</v>
      </c>
      <c r="R4533" t="s">
        <v>27253</v>
      </c>
      <c r="S4533" t="s">
        <v>27254</v>
      </c>
      <c r="T4533" t="s">
        <v>27255</v>
      </c>
    </row>
    <row r="4534" spans="1:20" x14ac:dyDescent="0.3">
      <c r="A4534" t="str">
        <f>"0611834331025"</f>
        <v>0611834331025</v>
      </c>
      <c r="B4534" t="str">
        <f>"MC0705"</f>
        <v>MC0705</v>
      </c>
      <c r="C4534" t="s">
        <v>36002</v>
      </c>
      <c r="D4534" t="s">
        <v>27267</v>
      </c>
      <c r="E4534" t="str">
        <f t="shared" si="70"/>
        <v>001390</v>
      </c>
      <c r="F4534" t="s">
        <v>27246</v>
      </c>
      <c r="G4534" t="s">
        <v>27247</v>
      </c>
      <c r="H4534" t="s">
        <v>27248</v>
      </c>
      <c r="I4534" t="s">
        <v>36004</v>
      </c>
      <c r="J4534" t="s">
        <v>9041</v>
      </c>
      <c r="L4534" t="s">
        <v>27250</v>
      </c>
      <c r="M4534" t="s">
        <v>27251</v>
      </c>
      <c r="N4534" t="s">
        <v>27252</v>
      </c>
      <c r="Q4534" s="1">
        <v>44538</v>
      </c>
      <c r="R4534" t="s">
        <v>27253</v>
      </c>
      <c r="S4534" t="s">
        <v>27254</v>
      </c>
      <c r="T4534" t="s">
        <v>27269</v>
      </c>
    </row>
    <row r="4535" spans="1:20" x14ac:dyDescent="0.3">
      <c r="A4535" t="str">
        <f>"0611834332100"</f>
        <v>0611834332100</v>
      </c>
      <c r="B4535" t="str">
        <f>"LL8112"</f>
        <v>LL8112</v>
      </c>
      <c r="C4535" t="s">
        <v>36005</v>
      </c>
      <c r="D4535" t="s">
        <v>27245</v>
      </c>
      <c r="E4535" t="str">
        <f t="shared" si="70"/>
        <v>001390</v>
      </c>
      <c r="F4535" t="s">
        <v>27246</v>
      </c>
      <c r="G4535" t="s">
        <v>27247</v>
      </c>
      <c r="H4535" t="s">
        <v>27248</v>
      </c>
      <c r="I4535" t="s">
        <v>36006</v>
      </c>
      <c r="J4535" t="s">
        <v>9043</v>
      </c>
      <c r="L4535" t="s">
        <v>27250</v>
      </c>
      <c r="M4535" t="s">
        <v>27251</v>
      </c>
      <c r="N4535" t="s">
        <v>27252</v>
      </c>
      <c r="Q4535" s="1">
        <v>44538</v>
      </c>
      <c r="R4535" t="s">
        <v>27253</v>
      </c>
      <c r="S4535" t="s">
        <v>27254</v>
      </c>
      <c r="T4535" t="s">
        <v>27255</v>
      </c>
    </row>
    <row r="4536" spans="1:20" x14ac:dyDescent="0.3">
      <c r="A4536" t="str">
        <f>"0611834334100"</f>
        <v>0611834334100</v>
      </c>
      <c r="B4536" t="str">
        <f>"LL8113"</f>
        <v>LL8113</v>
      </c>
      <c r="C4536" t="s">
        <v>36007</v>
      </c>
      <c r="D4536" t="s">
        <v>27245</v>
      </c>
      <c r="E4536" t="str">
        <f t="shared" si="70"/>
        <v>001390</v>
      </c>
      <c r="F4536" t="s">
        <v>27246</v>
      </c>
      <c r="G4536" t="s">
        <v>27247</v>
      </c>
      <c r="H4536" t="s">
        <v>27248</v>
      </c>
      <c r="I4536" t="s">
        <v>36008</v>
      </c>
      <c r="J4536" t="s">
        <v>9045</v>
      </c>
      <c r="L4536" t="s">
        <v>27250</v>
      </c>
      <c r="M4536" t="s">
        <v>27251</v>
      </c>
      <c r="N4536" t="s">
        <v>27252</v>
      </c>
      <c r="Q4536" s="1">
        <v>44538</v>
      </c>
      <c r="R4536" t="s">
        <v>27253</v>
      </c>
      <c r="S4536" t="s">
        <v>27254</v>
      </c>
      <c r="T4536" t="s">
        <v>27255</v>
      </c>
    </row>
    <row r="4537" spans="1:20" x14ac:dyDescent="0.3">
      <c r="A4537" t="str">
        <f>"0611834335100"</f>
        <v>0611834335100</v>
      </c>
      <c r="B4537" t="str">
        <f>"LL3841"</f>
        <v>LL3841</v>
      </c>
      <c r="C4537" t="s">
        <v>36009</v>
      </c>
      <c r="D4537" t="s">
        <v>27245</v>
      </c>
      <c r="E4537" t="str">
        <f t="shared" si="70"/>
        <v>001390</v>
      </c>
      <c r="F4537" t="s">
        <v>27246</v>
      </c>
      <c r="G4537" t="s">
        <v>27247</v>
      </c>
      <c r="H4537" t="s">
        <v>27248</v>
      </c>
      <c r="I4537" t="s">
        <v>36010</v>
      </c>
      <c r="J4537" t="s">
        <v>9047</v>
      </c>
      <c r="L4537" t="s">
        <v>27250</v>
      </c>
      <c r="M4537" t="s">
        <v>27251</v>
      </c>
      <c r="N4537" t="s">
        <v>27252</v>
      </c>
      <c r="Q4537" s="1">
        <v>44538</v>
      </c>
      <c r="R4537" t="s">
        <v>27253</v>
      </c>
      <c r="S4537" t="s">
        <v>27254</v>
      </c>
      <c r="T4537" t="s">
        <v>27255</v>
      </c>
    </row>
    <row r="4538" spans="1:20" x14ac:dyDescent="0.3">
      <c r="A4538" t="str">
        <f>"0611834336100"</f>
        <v>0611834336100</v>
      </c>
      <c r="B4538" t="str">
        <f>"LL8114"</f>
        <v>LL8114</v>
      </c>
      <c r="C4538" t="s">
        <v>36011</v>
      </c>
      <c r="D4538" t="s">
        <v>27245</v>
      </c>
      <c r="E4538" t="str">
        <f t="shared" si="70"/>
        <v>001390</v>
      </c>
      <c r="F4538" t="s">
        <v>27246</v>
      </c>
      <c r="G4538" t="s">
        <v>27247</v>
      </c>
      <c r="H4538" t="s">
        <v>27248</v>
      </c>
      <c r="I4538" t="s">
        <v>36012</v>
      </c>
      <c r="J4538" t="s">
        <v>9049</v>
      </c>
      <c r="L4538" t="s">
        <v>27250</v>
      </c>
      <c r="M4538" t="s">
        <v>27251</v>
      </c>
      <c r="N4538" t="s">
        <v>27252</v>
      </c>
      <c r="Q4538" s="1">
        <v>44538</v>
      </c>
      <c r="R4538" t="s">
        <v>27253</v>
      </c>
      <c r="S4538" t="s">
        <v>27254</v>
      </c>
      <c r="T4538" t="s">
        <v>27255</v>
      </c>
    </row>
    <row r="4539" spans="1:20" x14ac:dyDescent="0.3">
      <c r="A4539" t="str">
        <f>"0611834337100"</f>
        <v>0611834337100</v>
      </c>
      <c r="B4539" t="str">
        <f>"LH8023"</f>
        <v>LH8023</v>
      </c>
      <c r="C4539" t="s">
        <v>36013</v>
      </c>
      <c r="D4539" t="s">
        <v>27245</v>
      </c>
      <c r="E4539" t="str">
        <f t="shared" si="70"/>
        <v>001390</v>
      </c>
      <c r="F4539" t="s">
        <v>27246</v>
      </c>
      <c r="G4539" t="s">
        <v>27247</v>
      </c>
      <c r="H4539" t="s">
        <v>27248</v>
      </c>
      <c r="I4539" t="s">
        <v>36014</v>
      </c>
      <c r="J4539" t="s">
        <v>9051</v>
      </c>
      <c r="L4539" t="s">
        <v>27250</v>
      </c>
      <c r="M4539" t="s">
        <v>27251</v>
      </c>
      <c r="N4539" t="s">
        <v>27252</v>
      </c>
      <c r="Q4539" s="1">
        <v>44538</v>
      </c>
      <c r="R4539" t="s">
        <v>27253</v>
      </c>
      <c r="S4539" t="s">
        <v>27254</v>
      </c>
      <c r="T4539" t="s">
        <v>27255</v>
      </c>
    </row>
    <row r="4540" spans="1:20" x14ac:dyDescent="0.3">
      <c r="A4540" t="str">
        <f>"0611834339100"</f>
        <v>0611834339100</v>
      </c>
      <c r="B4540" t="str">
        <f>"LL4844"</f>
        <v>LL4844</v>
      </c>
      <c r="C4540" t="s">
        <v>36015</v>
      </c>
      <c r="D4540" t="s">
        <v>27245</v>
      </c>
      <c r="E4540" t="str">
        <f t="shared" si="70"/>
        <v>001390</v>
      </c>
      <c r="F4540" t="s">
        <v>27246</v>
      </c>
      <c r="G4540" t="s">
        <v>27247</v>
      </c>
      <c r="H4540" t="s">
        <v>27248</v>
      </c>
      <c r="I4540" t="s">
        <v>36016</v>
      </c>
      <c r="J4540" t="s">
        <v>9053</v>
      </c>
      <c r="L4540" t="s">
        <v>27250</v>
      </c>
      <c r="M4540" t="s">
        <v>27251</v>
      </c>
      <c r="N4540" t="s">
        <v>27252</v>
      </c>
      <c r="Q4540" s="1">
        <v>44538</v>
      </c>
      <c r="R4540" t="s">
        <v>27253</v>
      </c>
      <c r="S4540" t="s">
        <v>27254</v>
      </c>
      <c r="T4540" t="s">
        <v>27255</v>
      </c>
    </row>
    <row r="4541" spans="1:20" x14ac:dyDescent="0.3">
      <c r="A4541" t="str">
        <f>"0611834340100"</f>
        <v>0611834340100</v>
      </c>
      <c r="B4541" t="str">
        <f>"LL8115"</f>
        <v>LL8115</v>
      </c>
      <c r="C4541" t="s">
        <v>36017</v>
      </c>
      <c r="D4541" t="s">
        <v>27245</v>
      </c>
      <c r="E4541" t="str">
        <f t="shared" si="70"/>
        <v>001390</v>
      </c>
      <c r="F4541" t="s">
        <v>27246</v>
      </c>
      <c r="G4541" t="s">
        <v>27247</v>
      </c>
      <c r="H4541" t="s">
        <v>27248</v>
      </c>
      <c r="I4541" t="s">
        <v>36018</v>
      </c>
      <c r="J4541" t="s">
        <v>9055</v>
      </c>
      <c r="L4541" t="s">
        <v>27250</v>
      </c>
      <c r="M4541" t="s">
        <v>27251</v>
      </c>
      <c r="N4541" t="s">
        <v>27252</v>
      </c>
      <c r="Q4541" s="1">
        <v>44538</v>
      </c>
      <c r="R4541" t="s">
        <v>27253</v>
      </c>
      <c r="S4541" t="s">
        <v>27254</v>
      </c>
      <c r="T4541" t="s">
        <v>27255</v>
      </c>
    </row>
    <row r="4542" spans="1:20" x14ac:dyDescent="0.3">
      <c r="A4542" t="str">
        <f>"0611834341100"</f>
        <v>0611834341100</v>
      </c>
      <c r="B4542" t="str">
        <f>"LL8116"</f>
        <v>LL8116</v>
      </c>
      <c r="C4542" t="s">
        <v>36019</v>
      </c>
      <c r="D4542" t="s">
        <v>27245</v>
      </c>
      <c r="E4542" t="str">
        <f t="shared" si="70"/>
        <v>001390</v>
      </c>
      <c r="F4542" t="s">
        <v>27246</v>
      </c>
      <c r="G4542" t="s">
        <v>27247</v>
      </c>
      <c r="H4542" t="s">
        <v>27248</v>
      </c>
      <c r="I4542" t="s">
        <v>36020</v>
      </c>
      <c r="J4542" t="s">
        <v>9057</v>
      </c>
      <c r="L4542" t="s">
        <v>27250</v>
      </c>
      <c r="M4542" t="s">
        <v>27251</v>
      </c>
      <c r="N4542" t="s">
        <v>27252</v>
      </c>
      <c r="Q4542" s="1">
        <v>44538</v>
      </c>
      <c r="R4542" t="s">
        <v>27253</v>
      </c>
      <c r="S4542" t="s">
        <v>27254</v>
      </c>
      <c r="T4542" t="s">
        <v>27255</v>
      </c>
    </row>
    <row r="4543" spans="1:20" x14ac:dyDescent="0.3">
      <c r="A4543" t="str">
        <f>"0611834342100"</f>
        <v>0611834342100</v>
      </c>
      <c r="B4543" t="str">
        <f>"LL8242"</f>
        <v>LL8242</v>
      </c>
      <c r="C4543" t="s">
        <v>36021</v>
      </c>
      <c r="D4543" t="s">
        <v>27245</v>
      </c>
      <c r="E4543" t="str">
        <f t="shared" si="70"/>
        <v>001390</v>
      </c>
      <c r="F4543" t="s">
        <v>27246</v>
      </c>
      <c r="G4543" t="s">
        <v>27247</v>
      </c>
      <c r="H4543" t="s">
        <v>27248</v>
      </c>
      <c r="I4543" t="s">
        <v>36022</v>
      </c>
      <c r="J4543" t="s">
        <v>9059</v>
      </c>
      <c r="L4543" t="s">
        <v>27250</v>
      </c>
      <c r="M4543" t="s">
        <v>27251</v>
      </c>
      <c r="N4543" t="s">
        <v>27252</v>
      </c>
      <c r="Q4543" s="1">
        <v>44538</v>
      </c>
      <c r="R4543" t="s">
        <v>27253</v>
      </c>
      <c r="S4543" t="s">
        <v>27254</v>
      </c>
      <c r="T4543" t="s">
        <v>27255</v>
      </c>
    </row>
    <row r="4544" spans="1:20" x14ac:dyDescent="0.3">
      <c r="A4544" t="str">
        <f>"0611834343100"</f>
        <v>0611834343100</v>
      </c>
      <c r="B4544" t="str">
        <f>"LH8035"</f>
        <v>LH8035</v>
      </c>
      <c r="C4544" t="s">
        <v>36023</v>
      </c>
      <c r="D4544" t="s">
        <v>27245</v>
      </c>
      <c r="E4544" t="str">
        <f t="shared" si="70"/>
        <v>001390</v>
      </c>
      <c r="F4544" t="s">
        <v>27246</v>
      </c>
      <c r="G4544" t="s">
        <v>27247</v>
      </c>
      <c r="H4544" t="s">
        <v>27248</v>
      </c>
      <c r="I4544" t="s">
        <v>36024</v>
      </c>
      <c r="J4544" t="s">
        <v>9061</v>
      </c>
      <c r="L4544" t="s">
        <v>27250</v>
      </c>
      <c r="M4544" t="s">
        <v>27251</v>
      </c>
      <c r="N4544" t="s">
        <v>27252</v>
      </c>
      <c r="Q4544" s="1">
        <v>44538</v>
      </c>
      <c r="R4544" t="s">
        <v>27253</v>
      </c>
      <c r="S4544" t="s">
        <v>27254</v>
      </c>
      <c r="T4544" t="s">
        <v>27255</v>
      </c>
    </row>
    <row r="4545" spans="1:20" x14ac:dyDescent="0.3">
      <c r="A4545" t="str">
        <f>"0611834344100"</f>
        <v>0611834344100</v>
      </c>
      <c r="B4545" t="str">
        <f>"LH0026"</f>
        <v>LH0026</v>
      </c>
      <c r="C4545" t="s">
        <v>36025</v>
      </c>
      <c r="D4545" t="s">
        <v>27245</v>
      </c>
      <c r="E4545" t="str">
        <f t="shared" si="70"/>
        <v>001390</v>
      </c>
      <c r="F4545" t="s">
        <v>27246</v>
      </c>
      <c r="G4545" t="s">
        <v>27247</v>
      </c>
      <c r="H4545" t="s">
        <v>27248</v>
      </c>
      <c r="I4545" t="s">
        <v>36026</v>
      </c>
      <c r="J4545" t="s">
        <v>9063</v>
      </c>
      <c r="L4545" t="s">
        <v>27250</v>
      </c>
      <c r="M4545" t="s">
        <v>27251</v>
      </c>
      <c r="N4545" t="s">
        <v>27252</v>
      </c>
      <c r="Q4545" s="1">
        <v>44538</v>
      </c>
      <c r="R4545" t="s">
        <v>27253</v>
      </c>
      <c r="S4545" t="s">
        <v>27254</v>
      </c>
      <c r="T4545" t="s">
        <v>27255</v>
      </c>
    </row>
    <row r="4546" spans="1:20" x14ac:dyDescent="0.3">
      <c r="A4546" t="str">
        <f>"0611834345100"</f>
        <v>0611834345100</v>
      </c>
      <c r="B4546" t="str">
        <f>"LL8117"</f>
        <v>LL8117</v>
      </c>
      <c r="C4546" t="s">
        <v>36027</v>
      </c>
      <c r="D4546" t="s">
        <v>27245</v>
      </c>
      <c r="E4546" t="str">
        <f t="shared" ref="E4546:E4609" si="71">"001390"</f>
        <v>001390</v>
      </c>
      <c r="F4546" t="s">
        <v>27246</v>
      </c>
      <c r="G4546" t="s">
        <v>27247</v>
      </c>
      <c r="H4546" t="s">
        <v>27248</v>
      </c>
      <c r="I4546" t="s">
        <v>36028</v>
      </c>
      <c r="J4546" t="s">
        <v>9065</v>
      </c>
      <c r="L4546" t="s">
        <v>27250</v>
      </c>
      <c r="M4546" t="s">
        <v>27251</v>
      </c>
      <c r="N4546" t="s">
        <v>27252</v>
      </c>
      <c r="Q4546" s="1">
        <v>44538</v>
      </c>
      <c r="R4546" t="s">
        <v>27253</v>
      </c>
      <c r="S4546" t="s">
        <v>27254</v>
      </c>
      <c r="T4546" t="s">
        <v>27255</v>
      </c>
    </row>
    <row r="4547" spans="1:20" x14ac:dyDescent="0.3">
      <c r="A4547" t="str">
        <f>"0611834346100"</f>
        <v>0611834346100</v>
      </c>
      <c r="B4547" t="str">
        <f>"LH8022"</f>
        <v>LH8022</v>
      </c>
      <c r="C4547" t="s">
        <v>36029</v>
      </c>
      <c r="D4547" t="s">
        <v>27245</v>
      </c>
      <c r="E4547" t="str">
        <f t="shared" si="71"/>
        <v>001390</v>
      </c>
      <c r="F4547" t="s">
        <v>27246</v>
      </c>
      <c r="G4547" t="s">
        <v>27247</v>
      </c>
      <c r="H4547" t="s">
        <v>27248</v>
      </c>
      <c r="I4547" t="s">
        <v>36030</v>
      </c>
      <c r="J4547" t="s">
        <v>9067</v>
      </c>
      <c r="L4547" t="s">
        <v>27250</v>
      </c>
      <c r="M4547" t="s">
        <v>27251</v>
      </c>
      <c r="N4547" t="s">
        <v>27252</v>
      </c>
      <c r="Q4547" s="1">
        <v>44538</v>
      </c>
      <c r="R4547" t="s">
        <v>27253</v>
      </c>
      <c r="S4547" t="s">
        <v>27254</v>
      </c>
      <c r="T4547" t="s">
        <v>27255</v>
      </c>
    </row>
    <row r="4548" spans="1:20" x14ac:dyDescent="0.3">
      <c r="A4548" t="str">
        <f>"0611834347100"</f>
        <v>0611834347100</v>
      </c>
      <c r="B4548" t="str">
        <f>"LL3842"</f>
        <v>LL3842</v>
      </c>
      <c r="C4548" t="s">
        <v>36031</v>
      </c>
      <c r="D4548" t="s">
        <v>27245</v>
      </c>
      <c r="E4548" t="str">
        <f t="shared" si="71"/>
        <v>001390</v>
      </c>
      <c r="F4548" t="s">
        <v>27246</v>
      </c>
      <c r="G4548" t="s">
        <v>27247</v>
      </c>
      <c r="H4548" t="s">
        <v>27248</v>
      </c>
      <c r="I4548" t="s">
        <v>36032</v>
      </c>
      <c r="J4548" t="s">
        <v>9069</v>
      </c>
      <c r="L4548" t="s">
        <v>27250</v>
      </c>
      <c r="M4548" t="s">
        <v>27251</v>
      </c>
      <c r="N4548" t="s">
        <v>27252</v>
      </c>
      <c r="Q4548" s="1">
        <v>44538</v>
      </c>
      <c r="R4548" t="s">
        <v>27253</v>
      </c>
      <c r="S4548" t="s">
        <v>27254</v>
      </c>
      <c r="T4548" t="s">
        <v>27255</v>
      </c>
    </row>
    <row r="4549" spans="1:20" x14ac:dyDescent="0.3">
      <c r="A4549" t="str">
        <f>"061-FRT"</f>
        <v>061-FRT</v>
      </c>
      <c r="B4549" t="str">
        <f>""</f>
        <v/>
      </c>
      <c r="C4549" t="s">
        <v>36033</v>
      </c>
      <c r="D4549" t="s">
        <v>36034</v>
      </c>
      <c r="E4549" t="str">
        <f t="shared" si="71"/>
        <v>001390</v>
      </c>
      <c r="F4549" t="s">
        <v>27246</v>
      </c>
      <c r="G4549" t="s">
        <v>27247</v>
      </c>
      <c r="O4549">
        <v>42</v>
      </c>
      <c r="Q4549" s="1">
        <v>43475</v>
      </c>
      <c r="R4549" t="s">
        <v>27253</v>
      </c>
    </row>
    <row r="4550" spans="1:20" x14ac:dyDescent="0.3">
      <c r="A4550" t="str">
        <f>"0611862005050"</f>
        <v>0611862005050</v>
      </c>
      <c r="B4550" t="str">
        <f>"CR2637"</f>
        <v>CR2637</v>
      </c>
      <c r="C4550" t="s">
        <v>36035</v>
      </c>
      <c r="D4550" t="s">
        <v>27263</v>
      </c>
      <c r="E4550" t="str">
        <f t="shared" si="71"/>
        <v>001390</v>
      </c>
      <c r="F4550" t="s">
        <v>27246</v>
      </c>
      <c r="G4550" t="s">
        <v>27247</v>
      </c>
      <c r="H4550" t="s">
        <v>27248</v>
      </c>
      <c r="I4550" t="s">
        <v>36036</v>
      </c>
      <c r="J4550" t="s">
        <v>9071</v>
      </c>
      <c r="L4550" t="s">
        <v>27250</v>
      </c>
      <c r="M4550" t="s">
        <v>27251</v>
      </c>
      <c r="N4550" t="s">
        <v>27252</v>
      </c>
      <c r="Q4550" s="1">
        <v>44846</v>
      </c>
      <c r="R4550" t="s">
        <v>27253</v>
      </c>
      <c r="S4550" t="s">
        <v>27254</v>
      </c>
      <c r="T4550" t="s">
        <v>27265</v>
      </c>
    </row>
    <row r="4551" spans="1:20" x14ac:dyDescent="0.3">
      <c r="A4551" t="str">
        <f>"0611862006050"</f>
        <v>0611862006050</v>
      </c>
      <c r="B4551" t="str">
        <f>"CR2207"</f>
        <v>CR2207</v>
      </c>
      <c r="C4551" t="s">
        <v>36037</v>
      </c>
      <c r="D4551" t="s">
        <v>27263</v>
      </c>
      <c r="E4551" t="str">
        <f t="shared" si="71"/>
        <v>001390</v>
      </c>
      <c r="F4551" t="s">
        <v>27246</v>
      </c>
      <c r="G4551" t="s">
        <v>27247</v>
      </c>
      <c r="H4551" t="s">
        <v>27248</v>
      </c>
      <c r="I4551" t="s">
        <v>36038</v>
      </c>
      <c r="J4551" t="s">
        <v>9075</v>
      </c>
      <c r="L4551" t="s">
        <v>27250</v>
      </c>
      <c r="M4551" t="s">
        <v>27251</v>
      </c>
      <c r="N4551" t="s">
        <v>27252</v>
      </c>
      <c r="Q4551" s="1">
        <v>44846</v>
      </c>
      <c r="R4551" t="s">
        <v>27253</v>
      </c>
      <c r="S4551" t="s">
        <v>27254</v>
      </c>
      <c r="T4551" t="s">
        <v>27265</v>
      </c>
    </row>
    <row r="4552" spans="1:20" x14ac:dyDescent="0.3">
      <c r="A4552" t="str">
        <f>"0611862007050"</f>
        <v>0611862007050</v>
      </c>
      <c r="B4552" t="str">
        <f>"CR3307"</f>
        <v>CR3307</v>
      </c>
      <c r="C4552" t="s">
        <v>36039</v>
      </c>
      <c r="D4552" t="s">
        <v>27263</v>
      </c>
      <c r="E4552" t="str">
        <f t="shared" si="71"/>
        <v>001390</v>
      </c>
      <c r="F4552" t="s">
        <v>27246</v>
      </c>
      <c r="G4552" t="s">
        <v>27247</v>
      </c>
      <c r="H4552" t="s">
        <v>27248</v>
      </c>
      <c r="I4552" t="s">
        <v>36040</v>
      </c>
      <c r="J4552" t="s">
        <v>9079</v>
      </c>
      <c r="L4552" t="s">
        <v>27250</v>
      </c>
      <c r="M4552" t="s">
        <v>27251</v>
      </c>
      <c r="N4552" t="s">
        <v>27252</v>
      </c>
      <c r="Q4552" s="1">
        <v>44846</v>
      </c>
      <c r="R4552" t="s">
        <v>27253</v>
      </c>
      <c r="S4552" t="s">
        <v>27254</v>
      </c>
      <c r="T4552" t="s">
        <v>27265</v>
      </c>
    </row>
    <row r="4553" spans="1:20" x14ac:dyDescent="0.3">
      <c r="A4553" t="str">
        <f>"0611862008050"</f>
        <v>0611862008050</v>
      </c>
      <c r="B4553" t="str">
        <f>"CR2209"</f>
        <v>CR2209</v>
      </c>
      <c r="C4553" t="s">
        <v>36041</v>
      </c>
      <c r="D4553" t="s">
        <v>27263</v>
      </c>
      <c r="E4553" t="str">
        <f t="shared" si="71"/>
        <v>001390</v>
      </c>
      <c r="F4553" t="s">
        <v>27246</v>
      </c>
      <c r="G4553" t="s">
        <v>27247</v>
      </c>
      <c r="H4553" t="s">
        <v>27248</v>
      </c>
      <c r="I4553" t="s">
        <v>36042</v>
      </c>
      <c r="J4553" t="s">
        <v>9081</v>
      </c>
      <c r="L4553" t="s">
        <v>27250</v>
      </c>
      <c r="M4553" t="s">
        <v>27251</v>
      </c>
      <c r="N4553" t="s">
        <v>27252</v>
      </c>
      <c r="Q4553" s="1">
        <v>44846</v>
      </c>
      <c r="R4553" t="s">
        <v>27253</v>
      </c>
      <c r="S4553" t="s">
        <v>27254</v>
      </c>
      <c r="T4553" t="s">
        <v>27265</v>
      </c>
    </row>
    <row r="4554" spans="1:20" x14ac:dyDescent="0.3">
      <c r="A4554" t="str">
        <f>"0611862009050"</f>
        <v>0611862009050</v>
      </c>
      <c r="B4554" t="str">
        <f>"CR2204"</f>
        <v>CR2204</v>
      </c>
      <c r="C4554" t="s">
        <v>36043</v>
      </c>
      <c r="D4554" t="s">
        <v>27263</v>
      </c>
      <c r="E4554" t="str">
        <f t="shared" si="71"/>
        <v>001390</v>
      </c>
      <c r="F4554" t="s">
        <v>27246</v>
      </c>
      <c r="G4554" t="s">
        <v>27247</v>
      </c>
      <c r="H4554" t="s">
        <v>27248</v>
      </c>
      <c r="I4554" t="s">
        <v>36044</v>
      </c>
      <c r="J4554" t="s">
        <v>9083</v>
      </c>
      <c r="L4554" t="s">
        <v>27250</v>
      </c>
      <c r="M4554" t="s">
        <v>27251</v>
      </c>
      <c r="N4554" t="s">
        <v>27252</v>
      </c>
      <c r="Q4554" s="1">
        <v>44846</v>
      </c>
      <c r="R4554" t="s">
        <v>27253</v>
      </c>
      <c r="S4554" t="s">
        <v>27254</v>
      </c>
      <c r="T4554" t="s">
        <v>27265</v>
      </c>
    </row>
    <row r="4555" spans="1:20" x14ac:dyDescent="0.3">
      <c r="A4555" t="str">
        <f>"0611862010050"</f>
        <v>0611862010050</v>
      </c>
      <c r="B4555" t="str">
        <f>"CR2638"</f>
        <v>CR2638</v>
      </c>
      <c r="C4555" t="s">
        <v>36045</v>
      </c>
      <c r="D4555" t="s">
        <v>27271</v>
      </c>
      <c r="E4555" t="str">
        <f t="shared" si="71"/>
        <v>001390</v>
      </c>
      <c r="F4555" t="s">
        <v>27246</v>
      </c>
      <c r="G4555" t="s">
        <v>27247</v>
      </c>
      <c r="H4555" t="s">
        <v>27248</v>
      </c>
      <c r="I4555" t="s">
        <v>36046</v>
      </c>
      <c r="J4555" t="s">
        <v>9091</v>
      </c>
      <c r="L4555" t="s">
        <v>27250</v>
      </c>
      <c r="M4555" t="s">
        <v>27251</v>
      </c>
      <c r="N4555" t="s">
        <v>27252</v>
      </c>
      <c r="P4555" t="s">
        <v>27341</v>
      </c>
      <c r="Q4555" s="1">
        <v>44846</v>
      </c>
      <c r="R4555" t="s">
        <v>27253</v>
      </c>
      <c r="S4555" t="s">
        <v>27254</v>
      </c>
      <c r="T4555" t="s">
        <v>27265</v>
      </c>
    </row>
    <row r="4556" spans="1:20" x14ac:dyDescent="0.3">
      <c r="A4556" t="str">
        <f>"0611862011050"</f>
        <v>0611862011050</v>
      </c>
      <c r="B4556" t="str">
        <f>"CR2205"</f>
        <v>CR2205</v>
      </c>
      <c r="C4556" t="s">
        <v>36047</v>
      </c>
      <c r="D4556" t="s">
        <v>27271</v>
      </c>
      <c r="E4556" t="str">
        <f t="shared" si="71"/>
        <v>001390</v>
      </c>
      <c r="F4556" t="s">
        <v>27246</v>
      </c>
      <c r="G4556" t="s">
        <v>27247</v>
      </c>
      <c r="H4556" t="s">
        <v>27248</v>
      </c>
      <c r="I4556" t="s">
        <v>36048</v>
      </c>
      <c r="J4556" t="s">
        <v>9095</v>
      </c>
      <c r="L4556" t="s">
        <v>27250</v>
      </c>
      <c r="M4556" t="s">
        <v>27251</v>
      </c>
      <c r="N4556" t="s">
        <v>27252</v>
      </c>
      <c r="P4556" t="s">
        <v>27341</v>
      </c>
      <c r="Q4556" s="1">
        <v>44846</v>
      </c>
      <c r="R4556" t="s">
        <v>27253</v>
      </c>
      <c r="S4556" t="s">
        <v>27254</v>
      </c>
      <c r="T4556" t="s">
        <v>27265</v>
      </c>
    </row>
    <row r="4557" spans="1:20" x14ac:dyDescent="0.3">
      <c r="A4557" t="str">
        <f>"0611862012050"</f>
        <v>0611862012050</v>
      </c>
      <c r="B4557" t="str">
        <f>"CR2206"</f>
        <v>CR2206</v>
      </c>
      <c r="C4557" t="s">
        <v>36049</v>
      </c>
      <c r="D4557" t="s">
        <v>27271</v>
      </c>
      <c r="E4557" t="str">
        <f t="shared" si="71"/>
        <v>001390</v>
      </c>
      <c r="F4557" t="s">
        <v>27246</v>
      </c>
      <c r="G4557" t="s">
        <v>27247</v>
      </c>
      <c r="H4557" t="s">
        <v>27248</v>
      </c>
      <c r="I4557" t="s">
        <v>36050</v>
      </c>
      <c r="J4557" t="s">
        <v>9099</v>
      </c>
      <c r="L4557" t="s">
        <v>27250</v>
      </c>
      <c r="M4557" t="s">
        <v>27251</v>
      </c>
      <c r="N4557" t="s">
        <v>27252</v>
      </c>
      <c r="P4557" t="s">
        <v>27341</v>
      </c>
      <c r="Q4557" s="1">
        <v>44846</v>
      </c>
      <c r="R4557" t="s">
        <v>27253</v>
      </c>
      <c r="S4557" t="s">
        <v>27254</v>
      </c>
      <c r="T4557" t="s">
        <v>27265</v>
      </c>
    </row>
    <row r="4558" spans="1:20" x14ac:dyDescent="0.3">
      <c r="A4558" t="str">
        <f>"0611862013050"</f>
        <v>0611862013050</v>
      </c>
      <c r="B4558" t="str">
        <f>"CR3715"</f>
        <v>CR3715</v>
      </c>
      <c r="C4558" t="s">
        <v>36051</v>
      </c>
      <c r="D4558" t="s">
        <v>27263</v>
      </c>
      <c r="E4558" t="str">
        <f t="shared" si="71"/>
        <v>001390</v>
      </c>
      <c r="F4558" t="s">
        <v>27246</v>
      </c>
      <c r="G4558" t="s">
        <v>27247</v>
      </c>
      <c r="H4558" t="s">
        <v>27248</v>
      </c>
      <c r="I4558" t="s">
        <v>36052</v>
      </c>
      <c r="J4558" t="s">
        <v>9073</v>
      </c>
      <c r="L4558" t="s">
        <v>27250</v>
      </c>
      <c r="M4558" t="s">
        <v>27251</v>
      </c>
      <c r="N4558" t="s">
        <v>27252</v>
      </c>
      <c r="Q4558" s="1">
        <v>44846</v>
      </c>
      <c r="R4558" t="s">
        <v>27253</v>
      </c>
      <c r="S4558" t="s">
        <v>27254</v>
      </c>
      <c r="T4558" t="s">
        <v>27265</v>
      </c>
    </row>
    <row r="4559" spans="1:20" x14ac:dyDescent="0.3">
      <c r="A4559" t="str">
        <f>"0611862014050"</f>
        <v>0611862014050</v>
      </c>
      <c r="B4559" t="str">
        <f>"CR3682"</f>
        <v>CR3682</v>
      </c>
      <c r="C4559" t="s">
        <v>36053</v>
      </c>
      <c r="D4559" t="s">
        <v>27271</v>
      </c>
      <c r="E4559" t="str">
        <f t="shared" si="71"/>
        <v>001390</v>
      </c>
      <c r="F4559" t="s">
        <v>27246</v>
      </c>
      <c r="G4559" t="s">
        <v>27247</v>
      </c>
      <c r="H4559" t="s">
        <v>27248</v>
      </c>
      <c r="I4559" t="s">
        <v>36054</v>
      </c>
      <c r="J4559" t="s">
        <v>9077</v>
      </c>
      <c r="L4559" t="s">
        <v>27250</v>
      </c>
      <c r="M4559" t="s">
        <v>27251</v>
      </c>
      <c r="N4559" t="s">
        <v>27252</v>
      </c>
      <c r="P4559" t="s">
        <v>27341</v>
      </c>
      <c r="Q4559" s="1">
        <v>44846</v>
      </c>
      <c r="R4559" t="s">
        <v>27253</v>
      </c>
      <c r="S4559" t="s">
        <v>27254</v>
      </c>
      <c r="T4559" t="s">
        <v>27265</v>
      </c>
    </row>
    <row r="4560" spans="1:20" x14ac:dyDescent="0.3">
      <c r="A4560" t="str">
        <f>"0611862015050"</f>
        <v>0611862015050</v>
      </c>
      <c r="B4560" t="str">
        <f>"CR2208"</f>
        <v>CR2208</v>
      </c>
      <c r="C4560" t="s">
        <v>36055</v>
      </c>
      <c r="D4560" t="s">
        <v>27263</v>
      </c>
      <c r="E4560" t="str">
        <f t="shared" si="71"/>
        <v>001390</v>
      </c>
      <c r="F4560" t="s">
        <v>27246</v>
      </c>
      <c r="G4560" t="s">
        <v>27247</v>
      </c>
      <c r="H4560" t="s">
        <v>27248</v>
      </c>
      <c r="I4560" t="s">
        <v>36056</v>
      </c>
      <c r="J4560" t="s">
        <v>9085</v>
      </c>
      <c r="L4560" t="s">
        <v>27250</v>
      </c>
      <c r="M4560" t="s">
        <v>27251</v>
      </c>
      <c r="N4560" t="s">
        <v>27252</v>
      </c>
      <c r="Q4560" s="1">
        <v>44846</v>
      </c>
      <c r="R4560" t="s">
        <v>27253</v>
      </c>
      <c r="S4560" t="s">
        <v>27254</v>
      </c>
      <c r="T4560" t="s">
        <v>27265</v>
      </c>
    </row>
    <row r="4561" spans="1:20" x14ac:dyDescent="0.3">
      <c r="A4561" t="str">
        <f>"0611862016050"</f>
        <v>0611862016050</v>
      </c>
      <c r="B4561" t="str">
        <f>"CR4767"</f>
        <v>CR4767</v>
      </c>
      <c r="C4561" t="s">
        <v>36057</v>
      </c>
      <c r="D4561" t="s">
        <v>27263</v>
      </c>
      <c r="E4561" t="str">
        <f t="shared" si="71"/>
        <v>001390</v>
      </c>
      <c r="F4561" t="s">
        <v>27246</v>
      </c>
      <c r="G4561" t="s">
        <v>27247</v>
      </c>
      <c r="H4561" t="s">
        <v>27248</v>
      </c>
      <c r="I4561" t="s">
        <v>36058</v>
      </c>
      <c r="J4561" t="s">
        <v>9087</v>
      </c>
      <c r="L4561" t="s">
        <v>27250</v>
      </c>
      <c r="M4561" t="s">
        <v>27251</v>
      </c>
      <c r="N4561" t="s">
        <v>27252</v>
      </c>
      <c r="Q4561" s="1">
        <v>44846</v>
      </c>
      <c r="R4561" t="s">
        <v>27253</v>
      </c>
      <c r="S4561" t="s">
        <v>27254</v>
      </c>
      <c r="T4561" t="s">
        <v>27265</v>
      </c>
    </row>
    <row r="4562" spans="1:20" x14ac:dyDescent="0.3">
      <c r="A4562" t="str">
        <f>"0611862017050"</f>
        <v>0611862017050</v>
      </c>
      <c r="B4562" t="str">
        <f>"CR4826"</f>
        <v>CR4826</v>
      </c>
      <c r="C4562" t="s">
        <v>36059</v>
      </c>
      <c r="D4562" t="s">
        <v>27271</v>
      </c>
      <c r="E4562" t="str">
        <f t="shared" si="71"/>
        <v>001390</v>
      </c>
      <c r="F4562" t="s">
        <v>27246</v>
      </c>
      <c r="G4562" t="s">
        <v>27247</v>
      </c>
      <c r="H4562" t="s">
        <v>27248</v>
      </c>
      <c r="I4562" t="s">
        <v>36060</v>
      </c>
      <c r="J4562" t="s">
        <v>9089</v>
      </c>
      <c r="L4562" t="s">
        <v>27250</v>
      </c>
      <c r="M4562" t="s">
        <v>27251</v>
      </c>
      <c r="N4562" t="s">
        <v>27252</v>
      </c>
      <c r="P4562" t="s">
        <v>27341</v>
      </c>
      <c r="Q4562" s="1">
        <v>44846</v>
      </c>
      <c r="R4562" t="s">
        <v>27253</v>
      </c>
      <c r="S4562" t="s">
        <v>27254</v>
      </c>
      <c r="T4562" t="s">
        <v>27265</v>
      </c>
    </row>
    <row r="4563" spans="1:20" x14ac:dyDescent="0.3">
      <c r="A4563" t="str">
        <f>"0611862018050"</f>
        <v>0611862018050</v>
      </c>
      <c r="B4563" t="str">
        <f>"CR3683"</f>
        <v>CR3683</v>
      </c>
      <c r="C4563" t="s">
        <v>36061</v>
      </c>
      <c r="D4563" t="s">
        <v>27271</v>
      </c>
      <c r="E4563" t="str">
        <f t="shared" si="71"/>
        <v>001390</v>
      </c>
      <c r="F4563" t="s">
        <v>27246</v>
      </c>
      <c r="G4563" t="s">
        <v>27247</v>
      </c>
      <c r="H4563" t="s">
        <v>27248</v>
      </c>
      <c r="I4563" t="s">
        <v>36062</v>
      </c>
      <c r="J4563" t="s">
        <v>9093</v>
      </c>
      <c r="L4563" t="s">
        <v>27250</v>
      </c>
      <c r="M4563" t="s">
        <v>27251</v>
      </c>
      <c r="N4563" t="s">
        <v>27252</v>
      </c>
      <c r="P4563" t="s">
        <v>27341</v>
      </c>
      <c r="Q4563" s="1">
        <v>44846</v>
      </c>
      <c r="R4563" t="s">
        <v>27253</v>
      </c>
      <c r="S4563" t="s">
        <v>27254</v>
      </c>
      <c r="T4563" t="s">
        <v>27265</v>
      </c>
    </row>
    <row r="4564" spans="1:20" x14ac:dyDescent="0.3">
      <c r="A4564" t="str">
        <f>"0611862019050"</f>
        <v>0611862019050</v>
      </c>
      <c r="B4564" t="str">
        <f>"CR3684"</f>
        <v>CR3684</v>
      </c>
      <c r="C4564" t="s">
        <v>36063</v>
      </c>
      <c r="D4564" t="s">
        <v>27271</v>
      </c>
      <c r="E4564" t="str">
        <f t="shared" si="71"/>
        <v>001390</v>
      </c>
      <c r="F4564" t="s">
        <v>27246</v>
      </c>
      <c r="G4564" t="s">
        <v>27247</v>
      </c>
      <c r="H4564" t="s">
        <v>27248</v>
      </c>
      <c r="I4564" t="s">
        <v>36064</v>
      </c>
      <c r="J4564" t="s">
        <v>9097</v>
      </c>
      <c r="L4564" t="s">
        <v>27250</v>
      </c>
      <c r="M4564" t="s">
        <v>27251</v>
      </c>
      <c r="N4564" t="s">
        <v>27252</v>
      </c>
      <c r="P4564" t="s">
        <v>27341</v>
      </c>
      <c r="Q4564" s="1">
        <v>44846</v>
      </c>
      <c r="R4564" t="s">
        <v>27253</v>
      </c>
      <c r="S4564" t="s">
        <v>27254</v>
      </c>
      <c r="T4564" t="s">
        <v>27265</v>
      </c>
    </row>
    <row r="4565" spans="1:20" x14ac:dyDescent="0.3">
      <c r="A4565" t="str">
        <f>"0611862020050"</f>
        <v>0611862020050</v>
      </c>
      <c r="B4565" t="str">
        <f>"CR2822"</f>
        <v>CR2822</v>
      </c>
      <c r="C4565" t="s">
        <v>36065</v>
      </c>
      <c r="D4565" t="s">
        <v>27271</v>
      </c>
      <c r="E4565" t="str">
        <f t="shared" si="71"/>
        <v>001390</v>
      </c>
      <c r="F4565" t="s">
        <v>27246</v>
      </c>
      <c r="G4565" t="s">
        <v>27247</v>
      </c>
      <c r="H4565" t="s">
        <v>27248</v>
      </c>
      <c r="I4565" t="s">
        <v>36066</v>
      </c>
      <c r="J4565" t="s">
        <v>9101</v>
      </c>
      <c r="L4565" t="s">
        <v>27250</v>
      </c>
      <c r="M4565" t="s">
        <v>27251</v>
      </c>
      <c r="N4565" t="s">
        <v>27252</v>
      </c>
      <c r="P4565" t="s">
        <v>27341</v>
      </c>
      <c r="Q4565" s="1">
        <v>44846</v>
      </c>
      <c r="R4565" t="s">
        <v>27253</v>
      </c>
      <c r="S4565" t="s">
        <v>27254</v>
      </c>
      <c r="T4565" t="s">
        <v>27265</v>
      </c>
    </row>
    <row r="4566" spans="1:20" x14ac:dyDescent="0.3">
      <c r="A4566" t="str">
        <f>"0611834351100"</f>
        <v>0611834351100</v>
      </c>
      <c r="B4566" t="str">
        <f>"LK3757"</f>
        <v>LK3757</v>
      </c>
      <c r="C4566" t="s">
        <v>36067</v>
      </c>
      <c r="D4566" t="s">
        <v>27245</v>
      </c>
      <c r="E4566" t="str">
        <f t="shared" si="71"/>
        <v>001390</v>
      </c>
      <c r="F4566" t="s">
        <v>27246</v>
      </c>
      <c r="G4566" t="s">
        <v>27247</v>
      </c>
      <c r="H4566" t="s">
        <v>27248</v>
      </c>
      <c r="I4566" t="s">
        <v>36068</v>
      </c>
      <c r="J4566" t="s">
        <v>9103</v>
      </c>
      <c r="L4566" t="s">
        <v>27250</v>
      </c>
      <c r="M4566" t="s">
        <v>27251</v>
      </c>
      <c r="N4566" t="s">
        <v>27252</v>
      </c>
      <c r="Q4566" s="1">
        <v>44538</v>
      </c>
      <c r="R4566" t="s">
        <v>27253</v>
      </c>
      <c r="S4566" t="s">
        <v>27254</v>
      </c>
      <c r="T4566" t="s">
        <v>27255</v>
      </c>
    </row>
    <row r="4567" spans="1:20" x14ac:dyDescent="0.3">
      <c r="A4567" t="str">
        <f>"0611862021050"</f>
        <v>0611862021050</v>
      </c>
      <c r="B4567" t="str">
        <f>"CR2944"</f>
        <v>CR2944</v>
      </c>
      <c r="C4567" t="s">
        <v>36067</v>
      </c>
      <c r="D4567" t="s">
        <v>27263</v>
      </c>
      <c r="E4567" t="str">
        <f t="shared" si="71"/>
        <v>001390</v>
      </c>
      <c r="F4567" t="s">
        <v>27246</v>
      </c>
      <c r="G4567" t="s">
        <v>27247</v>
      </c>
      <c r="H4567" t="s">
        <v>27248</v>
      </c>
      <c r="I4567" t="s">
        <v>36069</v>
      </c>
      <c r="J4567" t="s">
        <v>9105</v>
      </c>
      <c r="L4567" t="s">
        <v>27250</v>
      </c>
      <c r="M4567" t="s">
        <v>27251</v>
      </c>
      <c r="N4567" t="s">
        <v>27252</v>
      </c>
      <c r="Q4567" s="1">
        <v>44846</v>
      </c>
      <c r="R4567" t="s">
        <v>27253</v>
      </c>
      <c r="S4567" t="s">
        <v>27254</v>
      </c>
      <c r="T4567" t="s">
        <v>27265</v>
      </c>
    </row>
    <row r="4568" spans="1:20" x14ac:dyDescent="0.3">
      <c r="A4568" t="str">
        <f>"0611884213050"</f>
        <v>0611884213050</v>
      </c>
      <c r="B4568" t="str">
        <f>"CR5337"</f>
        <v>CR5337</v>
      </c>
      <c r="C4568" t="s">
        <v>36070</v>
      </c>
      <c r="D4568" t="s">
        <v>27263</v>
      </c>
      <c r="E4568" t="str">
        <f t="shared" si="71"/>
        <v>001390</v>
      </c>
      <c r="F4568" t="s">
        <v>27246</v>
      </c>
      <c r="G4568" t="s">
        <v>27247</v>
      </c>
      <c r="H4568" t="s">
        <v>27248</v>
      </c>
      <c r="I4568" t="s">
        <v>36071</v>
      </c>
      <c r="J4568" t="s">
        <v>9107</v>
      </c>
      <c r="L4568" t="s">
        <v>27430</v>
      </c>
      <c r="M4568" t="s">
        <v>27251</v>
      </c>
      <c r="N4568" t="s">
        <v>27252</v>
      </c>
      <c r="Q4568" s="1">
        <v>45250</v>
      </c>
      <c r="R4568" t="s">
        <v>27253</v>
      </c>
      <c r="S4568" t="s">
        <v>27254</v>
      </c>
      <c r="T4568" t="s">
        <v>27265</v>
      </c>
    </row>
    <row r="4569" spans="1:20" x14ac:dyDescent="0.3">
      <c r="A4569" t="str">
        <f>"0611884214050"</f>
        <v>0611884214050</v>
      </c>
      <c r="B4569" t="str">
        <f>"CR5344"</f>
        <v>CR5344</v>
      </c>
      <c r="C4569" t="s">
        <v>36072</v>
      </c>
      <c r="D4569" t="s">
        <v>27263</v>
      </c>
      <c r="E4569" t="str">
        <f t="shared" si="71"/>
        <v>001390</v>
      </c>
      <c r="F4569" t="s">
        <v>27246</v>
      </c>
      <c r="G4569" t="s">
        <v>27247</v>
      </c>
      <c r="H4569" t="s">
        <v>27248</v>
      </c>
      <c r="I4569" t="s">
        <v>36073</v>
      </c>
      <c r="J4569" t="s">
        <v>9109</v>
      </c>
      <c r="L4569" t="s">
        <v>27430</v>
      </c>
      <c r="M4569" t="s">
        <v>27251</v>
      </c>
      <c r="N4569" t="s">
        <v>27252</v>
      </c>
      <c r="Q4569" s="1">
        <v>45250</v>
      </c>
      <c r="R4569" t="s">
        <v>27253</v>
      </c>
      <c r="S4569" t="s">
        <v>27254</v>
      </c>
      <c r="T4569" t="s">
        <v>27265</v>
      </c>
    </row>
    <row r="4570" spans="1:20" x14ac:dyDescent="0.3">
      <c r="A4570" t="str">
        <f>"0611884215050"</f>
        <v>0611884215050</v>
      </c>
      <c r="B4570" t="str">
        <f>"CR5363"</f>
        <v>CR5363</v>
      </c>
      <c r="C4570" t="s">
        <v>36074</v>
      </c>
      <c r="D4570" t="s">
        <v>27263</v>
      </c>
      <c r="E4570" t="str">
        <f t="shared" si="71"/>
        <v>001390</v>
      </c>
      <c r="F4570" t="s">
        <v>27246</v>
      </c>
      <c r="G4570" t="s">
        <v>27247</v>
      </c>
      <c r="H4570" t="s">
        <v>27248</v>
      </c>
      <c r="I4570" t="s">
        <v>36075</v>
      </c>
      <c r="J4570" t="s">
        <v>9111</v>
      </c>
      <c r="L4570" t="s">
        <v>27430</v>
      </c>
      <c r="M4570" t="s">
        <v>27251</v>
      </c>
      <c r="N4570" t="s">
        <v>27252</v>
      </c>
      <c r="Q4570" s="1">
        <v>45250</v>
      </c>
      <c r="R4570" t="s">
        <v>27253</v>
      </c>
      <c r="S4570" t="s">
        <v>27254</v>
      </c>
      <c r="T4570" t="s">
        <v>27265</v>
      </c>
    </row>
    <row r="4571" spans="1:20" x14ac:dyDescent="0.3">
      <c r="A4571" t="str">
        <f>"0611884216050"</f>
        <v>0611884216050</v>
      </c>
      <c r="B4571" t="str">
        <f>"CR5364"</f>
        <v>CR5364</v>
      </c>
      <c r="C4571" t="s">
        <v>36076</v>
      </c>
      <c r="D4571" t="s">
        <v>27263</v>
      </c>
      <c r="E4571" t="str">
        <f t="shared" si="71"/>
        <v>001390</v>
      </c>
      <c r="F4571" t="s">
        <v>27246</v>
      </c>
      <c r="G4571" t="s">
        <v>27247</v>
      </c>
      <c r="H4571" t="s">
        <v>27248</v>
      </c>
      <c r="I4571" t="s">
        <v>36077</v>
      </c>
      <c r="J4571" t="s">
        <v>9113</v>
      </c>
      <c r="L4571" t="s">
        <v>27430</v>
      </c>
      <c r="M4571" t="s">
        <v>27251</v>
      </c>
      <c r="N4571" t="s">
        <v>27252</v>
      </c>
      <c r="Q4571" s="1">
        <v>45250</v>
      </c>
      <c r="R4571" t="s">
        <v>27253</v>
      </c>
      <c r="S4571" t="s">
        <v>27254</v>
      </c>
      <c r="T4571" t="s">
        <v>27265</v>
      </c>
    </row>
    <row r="4572" spans="1:20" x14ac:dyDescent="0.3">
      <c r="A4572" t="str">
        <f>"0611884217050"</f>
        <v>0611884217050</v>
      </c>
      <c r="B4572" t="str">
        <f>"CR5365"</f>
        <v>CR5365</v>
      </c>
      <c r="C4572" t="s">
        <v>36078</v>
      </c>
      <c r="D4572" t="s">
        <v>27263</v>
      </c>
      <c r="E4572" t="str">
        <f t="shared" si="71"/>
        <v>001390</v>
      </c>
      <c r="F4572" t="s">
        <v>27246</v>
      </c>
      <c r="G4572" t="s">
        <v>27247</v>
      </c>
      <c r="H4572" t="s">
        <v>27248</v>
      </c>
      <c r="I4572" t="s">
        <v>36079</v>
      </c>
      <c r="J4572" t="s">
        <v>9115</v>
      </c>
      <c r="L4572" t="s">
        <v>27430</v>
      </c>
      <c r="M4572" t="s">
        <v>27251</v>
      </c>
      <c r="N4572" t="s">
        <v>27252</v>
      </c>
      <c r="Q4572" s="1">
        <v>45250</v>
      </c>
      <c r="R4572" t="s">
        <v>27253</v>
      </c>
      <c r="S4572" t="s">
        <v>27254</v>
      </c>
      <c r="T4572" t="s">
        <v>27265</v>
      </c>
    </row>
    <row r="4573" spans="1:20" x14ac:dyDescent="0.3">
      <c r="A4573" t="str">
        <f>"0611884218050"</f>
        <v>0611884218050</v>
      </c>
      <c r="B4573" t="str">
        <f>"CR5327"</f>
        <v>CR5327</v>
      </c>
      <c r="C4573" t="s">
        <v>36080</v>
      </c>
      <c r="D4573" t="s">
        <v>27263</v>
      </c>
      <c r="E4573" t="str">
        <f t="shared" si="71"/>
        <v>001390</v>
      </c>
      <c r="F4573" t="s">
        <v>27246</v>
      </c>
      <c r="G4573" t="s">
        <v>27247</v>
      </c>
      <c r="H4573" t="s">
        <v>27248</v>
      </c>
      <c r="I4573" t="s">
        <v>36081</v>
      </c>
      <c r="J4573" t="s">
        <v>9117</v>
      </c>
      <c r="L4573" t="s">
        <v>27430</v>
      </c>
      <c r="M4573" t="s">
        <v>27251</v>
      </c>
      <c r="N4573" t="s">
        <v>27252</v>
      </c>
      <c r="Q4573" s="1">
        <v>45250</v>
      </c>
      <c r="R4573" t="s">
        <v>27253</v>
      </c>
      <c r="S4573" t="s">
        <v>27254</v>
      </c>
      <c r="T4573" t="s">
        <v>27265</v>
      </c>
    </row>
    <row r="4574" spans="1:20" x14ac:dyDescent="0.3">
      <c r="A4574" t="str">
        <f>"0611884219050"</f>
        <v>0611884219050</v>
      </c>
      <c r="B4574" t="str">
        <f>"CR5328"</f>
        <v>CR5328</v>
      </c>
      <c r="C4574" t="s">
        <v>36082</v>
      </c>
      <c r="D4574" t="s">
        <v>27263</v>
      </c>
      <c r="E4574" t="str">
        <f t="shared" si="71"/>
        <v>001390</v>
      </c>
      <c r="F4574" t="s">
        <v>27246</v>
      </c>
      <c r="G4574" t="s">
        <v>27247</v>
      </c>
      <c r="H4574" t="s">
        <v>27248</v>
      </c>
      <c r="I4574" t="s">
        <v>36083</v>
      </c>
      <c r="J4574" t="s">
        <v>9119</v>
      </c>
      <c r="L4574" t="s">
        <v>27430</v>
      </c>
      <c r="M4574" t="s">
        <v>27251</v>
      </c>
      <c r="N4574" t="s">
        <v>27252</v>
      </c>
      <c r="Q4574" s="1">
        <v>45250</v>
      </c>
      <c r="R4574" t="s">
        <v>27253</v>
      </c>
      <c r="S4574" t="s">
        <v>27254</v>
      </c>
      <c r="T4574" t="s">
        <v>27265</v>
      </c>
    </row>
    <row r="4575" spans="1:20" x14ac:dyDescent="0.3">
      <c r="A4575" t="str">
        <f>"0611884220050"</f>
        <v>0611884220050</v>
      </c>
      <c r="B4575" t="str">
        <f>"CR5329"</f>
        <v>CR5329</v>
      </c>
      <c r="C4575" t="s">
        <v>36084</v>
      </c>
      <c r="D4575" t="s">
        <v>27263</v>
      </c>
      <c r="E4575" t="str">
        <f t="shared" si="71"/>
        <v>001390</v>
      </c>
      <c r="F4575" t="s">
        <v>27246</v>
      </c>
      <c r="G4575" t="s">
        <v>27247</v>
      </c>
      <c r="H4575" t="s">
        <v>27248</v>
      </c>
      <c r="I4575" t="s">
        <v>36085</v>
      </c>
      <c r="J4575" t="s">
        <v>9121</v>
      </c>
      <c r="L4575" t="s">
        <v>27430</v>
      </c>
      <c r="M4575" t="s">
        <v>27251</v>
      </c>
      <c r="N4575" t="s">
        <v>27252</v>
      </c>
      <c r="Q4575" s="1">
        <v>45250</v>
      </c>
      <c r="R4575" t="s">
        <v>27253</v>
      </c>
      <c r="S4575" t="s">
        <v>27254</v>
      </c>
      <c r="T4575" t="s">
        <v>27265</v>
      </c>
    </row>
    <row r="4576" spans="1:20" x14ac:dyDescent="0.3">
      <c r="A4576" t="str">
        <f>"0611834352100"</f>
        <v>0611834352100</v>
      </c>
      <c r="B4576" t="str">
        <f>"LK4571"</f>
        <v>LK4571</v>
      </c>
      <c r="C4576" t="s">
        <v>36086</v>
      </c>
      <c r="D4576" t="s">
        <v>27245</v>
      </c>
      <c r="E4576" t="str">
        <f t="shared" si="71"/>
        <v>001390</v>
      </c>
      <c r="F4576" t="s">
        <v>27246</v>
      </c>
      <c r="G4576" t="s">
        <v>27247</v>
      </c>
      <c r="H4576" t="s">
        <v>27248</v>
      </c>
      <c r="I4576" t="s">
        <v>36087</v>
      </c>
      <c r="J4576" t="s">
        <v>9123</v>
      </c>
      <c r="L4576" t="s">
        <v>27250</v>
      </c>
      <c r="M4576" t="s">
        <v>27251</v>
      </c>
      <c r="N4576" t="s">
        <v>27252</v>
      </c>
      <c r="Q4576" s="1">
        <v>44538</v>
      </c>
      <c r="R4576" t="s">
        <v>27253</v>
      </c>
      <c r="S4576" t="s">
        <v>27254</v>
      </c>
      <c r="T4576" t="s">
        <v>27255</v>
      </c>
    </row>
    <row r="4577" spans="1:20" x14ac:dyDescent="0.3">
      <c r="A4577" t="str">
        <f>"0611834354100"</f>
        <v>0611834354100</v>
      </c>
      <c r="B4577" t="str">
        <f>"LK6744"</f>
        <v>LK6744</v>
      </c>
      <c r="C4577" t="s">
        <v>36088</v>
      </c>
      <c r="D4577" t="s">
        <v>27245</v>
      </c>
      <c r="E4577" t="str">
        <f t="shared" si="71"/>
        <v>001390</v>
      </c>
      <c r="F4577" t="s">
        <v>27246</v>
      </c>
      <c r="G4577" t="s">
        <v>27247</v>
      </c>
      <c r="H4577" t="s">
        <v>27248</v>
      </c>
      <c r="I4577" t="s">
        <v>36089</v>
      </c>
      <c r="J4577" t="s">
        <v>9125</v>
      </c>
      <c r="L4577" t="s">
        <v>27250</v>
      </c>
      <c r="M4577" t="s">
        <v>27251</v>
      </c>
      <c r="N4577" t="s">
        <v>27252</v>
      </c>
      <c r="Q4577" s="1">
        <v>44538</v>
      </c>
      <c r="R4577" t="s">
        <v>27253</v>
      </c>
      <c r="S4577" t="s">
        <v>27254</v>
      </c>
      <c r="T4577" t="s">
        <v>27255</v>
      </c>
    </row>
    <row r="4578" spans="1:20" x14ac:dyDescent="0.3">
      <c r="A4578" t="str">
        <f>"0611834355100"</f>
        <v>0611834355100</v>
      </c>
      <c r="B4578" t="str">
        <f>"LK3213"</f>
        <v>LK3213</v>
      </c>
      <c r="C4578" t="s">
        <v>36090</v>
      </c>
      <c r="D4578" t="s">
        <v>27245</v>
      </c>
      <c r="E4578" t="str">
        <f t="shared" si="71"/>
        <v>001390</v>
      </c>
      <c r="F4578" t="s">
        <v>27246</v>
      </c>
      <c r="G4578" t="s">
        <v>27247</v>
      </c>
      <c r="H4578" t="s">
        <v>27248</v>
      </c>
      <c r="I4578" t="s">
        <v>36091</v>
      </c>
      <c r="J4578" t="s">
        <v>9127</v>
      </c>
      <c r="L4578" t="s">
        <v>27250</v>
      </c>
      <c r="M4578" t="s">
        <v>27251</v>
      </c>
      <c r="N4578" t="s">
        <v>27252</v>
      </c>
      <c r="Q4578" s="1">
        <v>44538</v>
      </c>
      <c r="R4578" t="s">
        <v>27253</v>
      </c>
      <c r="S4578" t="s">
        <v>27254</v>
      </c>
      <c r="T4578" t="s">
        <v>27255</v>
      </c>
    </row>
    <row r="4579" spans="1:20" x14ac:dyDescent="0.3">
      <c r="A4579" t="str">
        <f>"0611834357100"</f>
        <v>0611834357100</v>
      </c>
      <c r="B4579" t="str">
        <f>"LB2701"</f>
        <v>LB2701</v>
      </c>
      <c r="C4579" t="s">
        <v>36092</v>
      </c>
      <c r="D4579" t="s">
        <v>27245</v>
      </c>
      <c r="E4579" t="str">
        <f t="shared" si="71"/>
        <v>001390</v>
      </c>
      <c r="F4579" t="s">
        <v>27246</v>
      </c>
      <c r="G4579" t="s">
        <v>27247</v>
      </c>
      <c r="H4579" t="s">
        <v>27248</v>
      </c>
      <c r="I4579" t="s">
        <v>36093</v>
      </c>
      <c r="J4579" t="s">
        <v>9129</v>
      </c>
      <c r="L4579" t="s">
        <v>27250</v>
      </c>
      <c r="M4579" t="s">
        <v>27251</v>
      </c>
      <c r="N4579" t="s">
        <v>27252</v>
      </c>
      <c r="Q4579" s="1">
        <v>44538</v>
      </c>
      <c r="R4579" t="s">
        <v>27253</v>
      </c>
      <c r="S4579" t="s">
        <v>27254</v>
      </c>
      <c r="T4579" t="s">
        <v>27255</v>
      </c>
    </row>
    <row r="4580" spans="1:20" x14ac:dyDescent="0.3">
      <c r="A4580" t="str">
        <f>"0611834358100"</f>
        <v>0611834358100</v>
      </c>
      <c r="B4580" t="str">
        <f>"LQ0337"</f>
        <v>LQ0337</v>
      </c>
      <c r="C4580" t="s">
        <v>36094</v>
      </c>
      <c r="D4580" t="s">
        <v>27245</v>
      </c>
      <c r="E4580" t="str">
        <f t="shared" si="71"/>
        <v>001390</v>
      </c>
      <c r="F4580" t="s">
        <v>27246</v>
      </c>
      <c r="G4580" t="s">
        <v>27247</v>
      </c>
      <c r="H4580" t="s">
        <v>27248</v>
      </c>
      <c r="I4580" t="s">
        <v>36095</v>
      </c>
      <c r="J4580" t="s">
        <v>9131</v>
      </c>
      <c r="L4580" t="s">
        <v>27250</v>
      </c>
      <c r="M4580" t="s">
        <v>27251</v>
      </c>
      <c r="N4580" t="s">
        <v>27252</v>
      </c>
      <c r="Q4580" s="1">
        <v>44538</v>
      </c>
      <c r="R4580" t="s">
        <v>27253</v>
      </c>
      <c r="S4580" t="s">
        <v>27254</v>
      </c>
      <c r="T4580" t="s">
        <v>27255</v>
      </c>
    </row>
    <row r="4581" spans="1:20" x14ac:dyDescent="0.3">
      <c r="A4581" t="str">
        <f>"0611834360100"</f>
        <v>0611834360100</v>
      </c>
      <c r="B4581" t="str">
        <f>"LB2672"</f>
        <v>LB2672</v>
      </c>
      <c r="C4581" t="s">
        <v>36096</v>
      </c>
      <c r="D4581" t="s">
        <v>27245</v>
      </c>
      <c r="E4581" t="str">
        <f t="shared" si="71"/>
        <v>001390</v>
      </c>
      <c r="F4581" t="s">
        <v>27246</v>
      </c>
      <c r="G4581" t="s">
        <v>27247</v>
      </c>
      <c r="H4581" t="s">
        <v>27248</v>
      </c>
      <c r="I4581" t="s">
        <v>36097</v>
      </c>
      <c r="J4581" t="s">
        <v>9133</v>
      </c>
      <c r="L4581" t="s">
        <v>27250</v>
      </c>
      <c r="M4581" t="s">
        <v>27251</v>
      </c>
      <c r="N4581" t="s">
        <v>27252</v>
      </c>
      <c r="Q4581" s="1">
        <v>44538</v>
      </c>
      <c r="R4581" t="s">
        <v>27253</v>
      </c>
      <c r="S4581" t="s">
        <v>27254</v>
      </c>
      <c r="T4581" t="s">
        <v>27255</v>
      </c>
    </row>
    <row r="4582" spans="1:20" x14ac:dyDescent="0.3">
      <c r="A4582" t="str">
        <f>"0611862022050"</f>
        <v>0611862022050</v>
      </c>
      <c r="B4582" t="str">
        <f>"CR3531"</f>
        <v>CR3531</v>
      </c>
      <c r="C4582" t="s">
        <v>36096</v>
      </c>
      <c r="D4582" t="s">
        <v>27263</v>
      </c>
      <c r="E4582" t="str">
        <f t="shared" si="71"/>
        <v>001390</v>
      </c>
      <c r="F4582" t="s">
        <v>27246</v>
      </c>
      <c r="G4582" t="s">
        <v>27247</v>
      </c>
      <c r="H4582" t="s">
        <v>27248</v>
      </c>
      <c r="I4582" t="s">
        <v>36098</v>
      </c>
      <c r="J4582" t="s">
        <v>9135</v>
      </c>
      <c r="L4582" t="s">
        <v>27250</v>
      </c>
      <c r="M4582" t="s">
        <v>27251</v>
      </c>
      <c r="N4582" t="s">
        <v>27252</v>
      </c>
      <c r="Q4582" s="1">
        <v>44846</v>
      </c>
      <c r="R4582" t="s">
        <v>27253</v>
      </c>
      <c r="S4582" t="s">
        <v>27254</v>
      </c>
      <c r="T4582" t="s">
        <v>27265</v>
      </c>
    </row>
    <row r="4583" spans="1:20" x14ac:dyDescent="0.3">
      <c r="A4583" t="str">
        <f>"0611862023050"</f>
        <v>0611862023050</v>
      </c>
      <c r="B4583" t="str">
        <f>"CR2930"</f>
        <v>CR2930</v>
      </c>
      <c r="C4583" t="s">
        <v>36099</v>
      </c>
      <c r="D4583" t="s">
        <v>27263</v>
      </c>
      <c r="E4583" t="str">
        <f t="shared" si="71"/>
        <v>001390</v>
      </c>
      <c r="F4583" t="s">
        <v>27246</v>
      </c>
      <c r="G4583" t="s">
        <v>27247</v>
      </c>
      <c r="H4583" t="s">
        <v>27248</v>
      </c>
      <c r="I4583" t="s">
        <v>36100</v>
      </c>
      <c r="J4583" t="s">
        <v>9139</v>
      </c>
      <c r="L4583" t="s">
        <v>27250</v>
      </c>
      <c r="M4583" t="s">
        <v>27251</v>
      </c>
      <c r="N4583" t="s">
        <v>27252</v>
      </c>
      <c r="Q4583" s="1">
        <v>44846</v>
      </c>
      <c r="R4583" t="s">
        <v>27253</v>
      </c>
      <c r="S4583" t="s">
        <v>27254</v>
      </c>
      <c r="T4583" t="s">
        <v>27265</v>
      </c>
    </row>
    <row r="4584" spans="1:20" x14ac:dyDescent="0.3">
      <c r="A4584" t="str">
        <f>"0611834364100"</f>
        <v>0611834364100</v>
      </c>
      <c r="B4584" t="str">
        <f>"LQ3222"</f>
        <v>LQ3222</v>
      </c>
      <c r="C4584" t="s">
        <v>36101</v>
      </c>
      <c r="D4584" t="s">
        <v>27245</v>
      </c>
      <c r="E4584" t="str">
        <f t="shared" si="71"/>
        <v>001390</v>
      </c>
      <c r="F4584" t="s">
        <v>27246</v>
      </c>
      <c r="G4584" t="s">
        <v>27247</v>
      </c>
      <c r="H4584" t="s">
        <v>27248</v>
      </c>
      <c r="I4584" t="s">
        <v>36102</v>
      </c>
      <c r="J4584" t="s">
        <v>9141</v>
      </c>
      <c r="L4584" t="s">
        <v>27250</v>
      </c>
      <c r="M4584" t="s">
        <v>27251</v>
      </c>
      <c r="N4584" t="s">
        <v>27252</v>
      </c>
      <c r="Q4584" s="1">
        <v>44538</v>
      </c>
      <c r="R4584" t="s">
        <v>27253</v>
      </c>
      <c r="S4584" t="s">
        <v>27254</v>
      </c>
      <c r="T4584" t="s">
        <v>27255</v>
      </c>
    </row>
    <row r="4585" spans="1:20" x14ac:dyDescent="0.3">
      <c r="A4585" t="str">
        <f>"0611834366100"</f>
        <v>0611834366100</v>
      </c>
      <c r="B4585" t="str">
        <f>"LQ3224"</f>
        <v>LQ3224</v>
      </c>
      <c r="C4585" t="s">
        <v>36103</v>
      </c>
      <c r="D4585" t="s">
        <v>27245</v>
      </c>
      <c r="E4585" t="str">
        <f t="shared" si="71"/>
        <v>001390</v>
      </c>
      <c r="F4585" t="s">
        <v>27246</v>
      </c>
      <c r="G4585" t="s">
        <v>27247</v>
      </c>
      <c r="H4585" t="s">
        <v>27248</v>
      </c>
      <c r="I4585" t="s">
        <v>36104</v>
      </c>
      <c r="J4585" t="s">
        <v>9143</v>
      </c>
      <c r="L4585" t="s">
        <v>27250</v>
      </c>
      <c r="M4585" t="s">
        <v>27251</v>
      </c>
      <c r="N4585" t="s">
        <v>27252</v>
      </c>
      <c r="Q4585" s="1">
        <v>44538</v>
      </c>
      <c r="R4585" t="s">
        <v>27253</v>
      </c>
      <c r="S4585" t="s">
        <v>27254</v>
      </c>
      <c r="T4585" t="s">
        <v>27255</v>
      </c>
    </row>
    <row r="4586" spans="1:20" x14ac:dyDescent="0.3">
      <c r="A4586" t="str">
        <f>"0611834367100"</f>
        <v>0611834367100</v>
      </c>
      <c r="B4586" t="str">
        <f>"LQ3225"</f>
        <v>LQ3225</v>
      </c>
      <c r="C4586" t="s">
        <v>36105</v>
      </c>
      <c r="D4586" t="s">
        <v>27245</v>
      </c>
      <c r="E4586" t="str">
        <f t="shared" si="71"/>
        <v>001390</v>
      </c>
      <c r="F4586" t="s">
        <v>27246</v>
      </c>
      <c r="G4586" t="s">
        <v>27247</v>
      </c>
      <c r="H4586" t="s">
        <v>27248</v>
      </c>
      <c r="I4586" t="s">
        <v>36106</v>
      </c>
      <c r="J4586" t="s">
        <v>9145</v>
      </c>
      <c r="L4586" t="s">
        <v>27250</v>
      </c>
      <c r="M4586" t="s">
        <v>27251</v>
      </c>
      <c r="N4586" t="s">
        <v>27252</v>
      </c>
      <c r="Q4586" s="1">
        <v>44538</v>
      </c>
      <c r="R4586" t="s">
        <v>27253</v>
      </c>
      <c r="S4586" t="s">
        <v>27254</v>
      </c>
      <c r="T4586" t="s">
        <v>27255</v>
      </c>
    </row>
    <row r="4587" spans="1:20" x14ac:dyDescent="0.3">
      <c r="A4587" t="str">
        <f>"0611834368100"</f>
        <v>0611834368100</v>
      </c>
      <c r="B4587" t="str">
        <f>"LB2651"</f>
        <v>LB2651</v>
      </c>
      <c r="C4587" t="s">
        <v>36107</v>
      </c>
      <c r="D4587" t="s">
        <v>27245</v>
      </c>
      <c r="E4587" t="str">
        <f t="shared" si="71"/>
        <v>001390</v>
      </c>
      <c r="F4587" t="s">
        <v>27246</v>
      </c>
      <c r="G4587" t="s">
        <v>27247</v>
      </c>
      <c r="H4587" t="s">
        <v>27248</v>
      </c>
      <c r="I4587" t="s">
        <v>36108</v>
      </c>
      <c r="J4587" t="s">
        <v>9147</v>
      </c>
      <c r="L4587" t="s">
        <v>27250</v>
      </c>
      <c r="M4587" t="s">
        <v>27251</v>
      </c>
      <c r="N4587" t="s">
        <v>27252</v>
      </c>
      <c r="Q4587" s="1">
        <v>44538</v>
      </c>
      <c r="R4587" t="s">
        <v>27253</v>
      </c>
      <c r="S4587" t="s">
        <v>27254</v>
      </c>
      <c r="T4587" t="s">
        <v>27255</v>
      </c>
    </row>
    <row r="4588" spans="1:20" x14ac:dyDescent="0.3">
      <c r="A4588" t="str">
        <f>"0611862024050"</f>
        <v>0611862024050</v>
      </c>
      <c r="B4588" t="str">
        <f>"CR2210"</f>
        <v>CR2210</v>
      </c>
      <c r="C4588" t="s">
        <v>36107</v>
      </c>
      <c r="D4588" t="s">
        <v>27263</v>
      </c>
      <c r="E4588" t="str">
        <f t="shared" si="71"/>
        <v>001390</v>
      </c>
      <c r="F4588" t="s">
        <v>27246</v>
      </c>
      <c r="G4588" t="s">
        <v>27247</v>
      </c>
      <c r="H4588" t="s">
        <v>27248</v>
      </c>
      <c r="I4588" t="s">
        <v>36109</v>
      </c>
      <c r="J4588" t="s">
        <v>9149</v>
      </c>
      <c r="L4588" t="s">
        <v>27250</v>
      </c>
      <c r="M4588" t="s">
        <v>27251</v>
      </c>
      <c r="N4588" t="s">
        <v>27252</v>
      </c>
      <c r="Q4588" s="1">
        <v>44846</v>
      </c>
      <c r="R4588" t="s">
        <v>27253</v>
      </c>
      <c r="S4588" t="s">
        <v>27254</v>
      </c>
      <c r="T4588" t="s">
        <v>27265</v>
      </c>
    </row>
    <row r="4589" spans="1:20" x14ac:dyDescent="0.3">
      <c r="A4589" t="str">
        <f>"0611834369100"</f>
        <v>0611834369100</v>
      </c>
      <c r="B4589" t="str">
        <f>"LK3741"</f>
        <v>LK3741</v>
      </c>
      <c r="C4589" t="s">
        <v>36110</v>
      </c>
      <c r="D4589" t="s">
        <v>27245</v>
      </c>
      <c r="E4589" t="str">
        <f t="shared" si="71"/>
        <v>001390</v>
      </c>
      <c r="F4589" t="s">
        <v>27246</v>
      </c>
      <c r="G4589" t="s">
        <v>27247</v>
      </c>
      <c r="H4589" t="s">
        <v>27248</v>
      </c>
      <c r="I4589" t="s">
        <v>36111</v>
      </c>
      <c r="J4589" t="s">
        <v>9151</v>
      </c>
      <c r="L4589" t="s">
        <v>27250</v>
      </c>
      <c r="M4589" t="s">
        <v>27251</v>
      </c>
      <c r="N4589" t="s">
        <v>27252</v>
      </c>
      <c r="Q4589" s="1">
        <v>44538</v>
      </c>
      <c r="R4589" t="s">
        <v>27253</v>
      </c>
      <c r="S4589" t="s">
        <v>27254</v>
      </c>
      <c r="T4589" t="s">
        <v>27255</v>
      </c>
    </row>
    <row r="4590" spans="1:20" x14ac:dyDescent="0.3">
      <c r="A4590" t="str">
        <f>"0611834370100"</f>
        <v>0611834370100</v>
      </c>
      <c r="B4590" t="str">
        <f>"LK4977"</f>
        <v>LK4977</v>
      </c>
      <c r="C4590" t="s">
        <v>36112</v>
      </c>
      <c r="D4590" t="s">
        <v>27245</v>
      </c>
      <c r="E4590" t="str">
        <f t="shared" si="71"/>
        <v>001390</v>
      </c>
      <c r="F4590" t="s">
        <v>27246</v>
      </c>
      <c r="G4590" t="s">
        <v>27247</v>
      </c>
      <c r="H4590" t="s">
        <v>27248</v>
      </c>
      <c r="I4590" t="s">
        <v>36113</v>
      </c>
      <c r="J4590" t="s">
        <v>9153</v>
      </c>
      <c r="L4590" t="s">
        <v>27250</v>
      </c>
      <c r="M4590" t="s">
        <v>27251</v>
      </c>
      <c r="N4590" t="s">
        <v>27252</v>
      </c>
      <c r="Q4590" s="1">
        <v>44538</v>
      </c>
      <c r="R4590" t="s">
        <v>27253</v>
      </c>
      <c r="S4590" t="s">
        <v>27254</v>
      </c>
      <c r="T4590" t="s">
        <v>27255</v>
      </c>
    </row>
    <row r="4591" spans="1:20" x14ac:dyDescent="0.3">
      <c r="A4591" t="str">
        <f>"0611834372100"</f>
        <v>0611834372100</v>
      </c>
      <c r="B4591" t="str">
        <f>"LB2653"</f>
        <v>LB2653</v>
      </c>
      <c r="C4591" t="s">
        <v>36114</v>
      </c>
      <c r="D4591" t="s">
        <v>27245</v>
      </c>
      <c r="E4591" t="str">
        <f t="shared" si="71"/>
        <v>001390</v>
      </c>
      <c r="F4591" t="s">
        <v>27246</v>
      </c>
      <c r="G4591" t="s">
        <v>27247</v>
      </c>
      <c r="H4591" t="s">
        <v>27248</v>
      </c>
      <c r="I4591" t="s">
        <v>36115</v>
      </c>
      <c r="J4591" t="s">
        <v>9155</v>
      </c>
      <c r="L4591" t="s">
        <v>27250</v>
      </c>
      <c r="M4591" t="s">
        <v>27251</v>
      </c>
      <c r="N4591" t="s">
        <v>27252</v>
      </c>
      <c r="Q4591" s="1">
        <v>44538</v>
      </c>
      <c r="R4591" t="s">
        <v>27253</v>
      </c>
      <c r="S4591" t="s">
        <v>27254</v>
      </c>
      <c r="T4591" t="s">
        <v>27255</v>
      </c>
    </row>
    <row r="4592" spans="1:20" x14ac:dyDescent="0.3">
      <c r="A4592" t="str">
        <f>"0611862025050"</f>
        <v>0611862025050</v>
      </c>
      <c r="B4592" t="str">
        <f>"CR2211"</f>
        <v>CR2211</v>
      </c>
      <c r="C4592" t="s">
        <v>36114</v>
      </c>
      <c r="D4592" t="s">
        <v>27263</v>
      </c>
      <c r="E4592" t="str">
        <f t="shared" si="71"/>
        <v>001390</v>
      </c>
      <c r="F4592" t="s">
        <v>27246</v>
      </c>
      <c r="G4592" t="s">
        <v>27247</v>
      </c>
      <c r="H4592" t="s">
        <v>27248</v>
      </c>
      <c r="I4592" t="s">
        <v>36116</v>
      </c>
      <c r="J4592" t="s">
        <v>9157</v>
      </c>
      <c r="L4592" t="s">
        <v>27250</v>
      </c>
      <c r="M4592" t="s">
        <v>27251</v>
      </c>
      <c r="N4592" t="s">
        <v>27252</v>
      </c>
      <c r="Q4592" s="1">
        <v>44846</v>
      </c>
      <c r="R4592" t="s">
        <v>27253</v>
      </c>
      <c r="S4592" t="s">
        <v>27254</v>
      </c>
      <c r="T4592" t="s">
        <v>27265</v>
      </c>
    </row>
    <row r="4593" spans="1:20" x14ac:dyDescent="0.3">
      <c r="A4593" t="str">
        <f>"0611862026050"</f>
        <v>0611862026050</v>
      </c>
      <c r="B4593" t="str">
        <f>"CR3182"</f>
        <v>CR3182</v>
      </c>
      <c r="C4593" t="s">
        <v>36117</v>
      </c>
      <c r="D4593" t="s">
        <v>27263</v>
      </c>
      <c r="E4593" t="str">
        <f t="shared" si="71"/>
        <v>001390</v>
      </c>
      <c r="F4593" t="s">
        <v>27246</v>
      </c>
      <c r="G4593" t="s">
        <v>27247</v>
      </c>
      <c r="H4593" t="s">
        <v>27248</v>
      </c>
      <c r="I4593" t="s">
        <v>36118</v>
      </c>
      <c r="J4593" t="s">
        <v>9159</v>
      </c>
      <c r="L4593" t="s">
        <v>27250</v>
      </c>
      <c r="M4593" t="s">
        <v>27251</v>
      </c>
      <c r="N4593" t="s">
        <v>27252</v>
      </c>
      <c r="Q4593" s="1">
        <v>44846</v>
      </c>
      <c r="R4593" t="s">
        <v>27253</v>
      </c>
      <c r="S4593" t="s">
        <v>27254</v>
      </c>
      <c r="T4593" t="s">
        <v>27265</v>
      </c>
    </row>
    <row r="4594" spans="1:20" x14ac:dyDescent="0.3">
      <c r="A4594" t="str">
        <f>"0611862027050"</f>
        <v>0611862027050</v>
      </c>
      <c r="B4594" t="str">
        <f>"CR2212"</f>
        <v>CR2212</v>
      </c>
      <c r="C4594" t="s">
        <v>36119</v>
      </c>
      <c r="D4594" t="s">
        <v>27263</v>
      </c>
      <c r="E4594" t="str">
        <f t="shared" si="71"/>
        <v>001390</v>
      </c>
      <c r="F4594" t="s">
        <v>27246</v>
      </c>
      <c r="G4594" t="s">
        <v>27247</v>
      </c>
      <c r="H4594" t="s">
        <v>27248</v>
      </c>
      <c r="I4594" t="s">
        <v>36120</v>
      </c>
      <c r="J4594" t="s">
        <v>9161</v>
      </c>
      <c r="L4594" t="s">
        <v>27250</v>
      </c>
      <c r="M4594" t="s">
        <v>27251</v>
      </c>
      <c r="N4594" t="s">
        <v>27252</v>
      </c>
      <c r="Q4594" s="1">
        <v>44846</v>
      </c>
      <c r="R4594" t="s">
        <v>27253</v>
      </c>
      <c r="S4594" t="s">
        <v>27254</v>
      </c>
      <c r="T4594" t="s">
        <v>27265</v>
      </c>
    </row>
    <row r="4595" spans="1:20" x14ac:dyDescent="0.3">
      <c r="A4595" t="str">
        <f>"0611834374100"</f>
        <v>0611834374100</v>
      </c>
      <c r="B4595" t="str">
        <f>"LK4978"</f>
        <v>LK4978</v>
      </c>
      <c r="C4595" t="s">
        <v>36121</v>
      </c>
      <c r="D4595" t="s">
        <v>27245</v>
      </c>
      <c r="E4595" t="str">
        <f t="shared" si="71"/>
        <v>001390</v>
      </c>
      <c r="F4595" t="s">
        <v>27246</v>
      </c>
      <c r="G4595" t="s">
        <v>27247</v>
      </c>
      <c r="H4595" t="s">
        <v>27248</v>
      </c>
      <c r="I4595" t="s">
        <v>36122</v>
      </c>
      <c r="J4595" t="s">
        <v>9163</v>
      </c>
      <c r="L4595" t="s">
        <v>27250</v>
      </c>
      <c r="M4595" t="s">
        <v>27251</v>
      </c>
      <c r="N4595" t="s">
        <v>27252</v>
      </c>
      <c r="Q4595" s="1">
        <v>44538</v>
      </c>
      <c r="R4595" t="s">
        <v>27253</v>
      </c>
      <c r="S4595" t="s">
        <v>27254</v>
      </c>
      <c r="T4595" t="s">
        <v>27255</v>
      </c>
    </row>
    <row r="4596" spans="1:20" x14ac:dyDescent="0.3">
      <c r="A4596" t="str">
        <f>"0611834375100"</f>
        <v>0611834375100</v>
      </c>
      <c r="B4596" t="str">
        <f>"LK5678"</f>
        <v>LK5678</v>
      </c>
      <c r="C4596" t="s">
        <v>36123</v>
      </c>
      <c r="D4596" t="s">
        <v>27245</v>
      </c>
      <c r="E4596" t="str">
        <f t="shared" si="71"/>
        <v>001390</v>
      </c>
      <c r="F4596" t="s">
        <v>27246</v>
      </c>
      <c r="G4596" t="s">
        <v>27247</v>
      </c>
      <c r="H4596" t="s">
        <v>27248</v>
      </c>
      <c r="I4596" t="s">
        <v>36124</v>
      </c>
      <c r="J4596" t="s">
        <v>9165</v>
      </c>
      <c r="L4596" t="s">
        <v>27250</v>
      </c>
      <c r="M4596" t="s">
        <v>27251</v>
      </c>
      <c r="N4596" t="s">
        <v>27252</v>
      </c>
      <c r="Q4596" s="1">
        <v>44538</v>
      </c>
      <c r="R4596" t="s">
        <v>27253</v>
      </c>
      <c r="S4596" t="s">
        <v>27254</v>
      </c>
      <c r="T4596" t="s">
        <v>27255</v>
      </c>
    </row>
    <row r="4597" spans="1:20" x14ac:dyDescent="0.3">
      <c r="A4597" t="str">
        <f>"0611834377100"</f>
        <v>0611834377100</v>
      </c>
      <c r="B4597" t="str">
        <f>"LK3759"</f>
        <v>LK3759</v>
      </c>
      <c r="C4597" t="s">
        <v>36125</v>
      </c>
      <c r="D4597" t="s">
        <v>27245</v>
      </c>
      <c r="E4597" t="str">
        <f t="shared" si="71"/>
        <v>001390</v>
      </c>
      <c r="F4597" t="s">
        <v>27246</v>
      </c>
      <c r="G4597" t="s">
        <v>27247</v>
      </c>
      <c r="H4597" t="s">
        <v>27248</v>
      </c>
      <c r="I4597" t="s">
        <v>36126</v>
      </c>
      <c r="J4597" t="s">
        <v>9169</v>
      </c>
      <c r="L4597" t="s">
        <v>27250</v>
      </c>
      <c r="M4597" t="s">
        <v>27251</v>
      </c>
      <c r="N4597" t="s">
        <v>27252</v>
      </c>
      <c r="Q4597" s="1">
        <v>44538</v>
      </c>
      <c r="R4597" t="s">
        <v>27253</v>
      </c>
      <c r="S4597" t="s">
        <v>27254</v>
      </c>
      <c r="T4597" t="s">
        <v>27255</v>
      </c>
    </row>
    <row r="4598" spans="1:20" x14ac:dyDescent="0.3">
      <c r="A4598" t="str">
        <f>"0611834378100"</f>
        <v>0611834378100</v>
      </c>
      <c r="B4598" t="str">
        <f>"MB2610"</f>
        <v>MB2610</v>
      </c>
      <c r="C4598" t="s">
        <v>36127</v>
      </c>
      <c r="D4598" t="s">
        <v>27274</v>
      </c>
      <c r="E4598" t="str">
        <f t="shared" si="71"/>
        <v>001390</v>
      </c>
      <c r="F4598" t="s">
        <v>27246</v>
      </c>
      <c r="G4598" t="s">
        <v>27247</v>
      </c>
      <c r="H4598" t="s">
        <v>27248</v>
      </c>
      <c r="I4598" t="s">
        <v>36128</v>
      </c>
      <c r="J4598" t="s">
        <v>9175</v>
      </c>
      <c r="L4598" t="s">
        <v>27250</v>
      </c>
      <c r="M4598" t="s">
        <v>27251</v>
      </c>
      <c r="N4598" t="s">
        <v>27252</v>
      </c>
      <c r="Q4598" s="1">
        <v>44538</v>
      </c>
      <c r="R4598" t="s">
        <v>27253</v>
      </c>
      <c r="S4598" t="s">
        <v>27254</v>
      </c>
      <c r="T4598" t="s">
        <v>27276</v>
      </c>
    </row>
    <row r="4599" spans="1:20" x14ac:dyDescent="0.3">
      <c r="A4599" t="str">
        <f>"0611834379100"</f>
        <v>0611834379100</v>
      </c>
      <c r="B4599" t="str">
        <f>"LB2697"</f>
        <v>LB2697</v>
      </c>
      <c r="C4599" t="s">
        <v>36127</v>
      </c>
      <c r="D4599" t="s">
        <v>27245</v>
      </c>
      <c r="E4599" t="str">
        <f t="shared" si="71"/>
        <v>001390</v>
      </c>
      <c r="F4599" t="s">
        <v>27246</v>
      </c>
      <c r="G4599" t="s">
        <v>27247</v>
      </c>
      <c r="H4599" t="s">
        <v>27248</v>
      </c>
      <c r="I4599" t="s">
        <v>36129</v>
      </c>
      <c r="J4599" t="s">
        <v>9177</v>
      </c>
      <c r="L4599" t="s">
        <v>27250</v>
      </c>
      <c r="M4599" t="s">
        <v>27251</v>
      </c>
      <c r="N4599" t="s">
        <v>27252</v>
      </c>
      <c r="Q4599" s="1">
        <v>44538</v>
      </c>
      <c r="R4599" t="s">
        <v>27253</v>
      </c>
      <c r="S4599" t="s">
        <v>27254</v>
      </c>
      <c r="T4599" t="s">
        <v>27255</v>
      </c>
    </row>
    <row r="4600" spans="1:20" x14ac:dyDescent="0.3">
      <c r="A4600" t="str">
        <f>"0611834380100"</f>
        <v>0611834380100</v>
      </c>
      <c r="B4600" t="str">
        <f>"LB2605"</f>
        <v>LB2605</v>
      </c>
      <c r="C4600" t="s">
        <v>36130</v>
      </c>
      <c r="D4600" t="s">
        <v>27245</v>
      </c>
      <c r="E4600" t="str">
        <f t="shared" si="71"/>
        <v>001390</v>
      </c>
      <c r="F4600" t="s">
        <v>27246</v>
      </c>
      <c r="G4600" t="s">
        <v>27247</v>
      </c>
      <c r="H4600" t="s">
        <v>27248</v>
      </c>
      <c r="I4600" t="s">
        <v>36131</v>
      </c>
      <c r="J4600" t="s">
        <v>9171</v>
      </c>
      <c r="L4600" t="s">
        <v>27250</v>
      </c>
      <c r="M4600" t="s">
        <v>27251</v>
      </c>
      <c r="N4600" t="s">
        <v>27252</v>
      </c>
      <c r="Q4600" s="1">
        <v>44538</v>
      </c>
      <c r="R4600" t="s">
        <v>27253</v>
      </c>
      <c r="S4600" t="s">
        <v>27254</v>
      </c>
      <c r="T4600" t="s">
        <v>27255</v>
      </c>
    </row>
    <row r="4601" spans="1:20" x14ac:dyDescent="0.3">
      <c r="A4601" t="str">
        <f>"0611862028050"</f>
        <v>0611862028050</v>
      </c>
      <c r="B4601" t="str">
        <f>"CR2213"</f>
        <v>CR2213</v>
      </c>
      <c r="C4601" t="s">
        <v>36132</v>
      </c>
      <c r="D4601" t="s">
        <v>27263</v>
      </c>
      <c r="E4601" t="str">
        <f t="shared" si="71"/>
        <v>001390</v>
      </c>
      <c r="F4601" t="s">
        <v>27246</v>
      </c>
      <c r="G4601" t="s">
        <v>27247</v>
      </c>
      <c r="H4601" t="s">
        <v>27248</v>
      </c>
      <c r="I4601" t="s">
        <v>36133</v>
      </c>
      <c r="J4601" t="s">
        <v>9179</v>
      </c>
      <c r="L4601" t="s">
        <v>27250</v>
      </c>
      <c r="M4601" t="s">
        <v>27251</v>
      </c>
      <c r="N4601" t="s">
        <v>27252</v>
      </c>
      <c r="Q4601" s="1">
        <v>44846</v>
      </c>
      <c r="R4601" t="s">
        <v>27253</v>
      </c>
      <c r="S4601" t="s">
        <v>27254</v>
      </c>
      <c r="T4601" t="s">
        <v>27265</v>
      </c>
    </row>
    <row r="4602" spans="1:20" x14ac:dyDescent="0.3">
      <c r="A4602" t="str">
        <f>"0611834387100"</f>
        <v>0611834387100</v>
      </c>
      <c r="B4602" t="str">
        <f>"LK4980"</f>
        <v>LK4980</v>
      </c>
      <c r="C4602" t="s">
        <v>36134</v>
      </c>
      <c r="D4602" t="s">
        <v>27245</v>
      </c>
      <c r="E4602" t="str">
        <f t="shared" si="71"/>
        <v>001390</v>
      </c>
      <c r="F4602" t="s">
        <v>27246</v>
      </c>
      <c r="G4602" t="s">
        <v>27247</v>
      </c>
      <c r="H4602" t="s">
        <v>27248</v>
      </c>
      <c r="I4602" t="s">
        <v>36135</v>
      </c>
      <c r="J4602" t="s">
        <v>9181</v>
      </c>
      <c r="L4602" t="s">
        <v>27250</v>
      </c>
      <c r="M4602" t="s">
        <v>27251</v>
      </c>
      <c r="N4602" t="s">
        <v>27252</v>
      </c>
      <c r="Q4602" s="1">
        <v>44538</v>
      </c>
      <c r="R4602" t="s">
        <v>27253</v>
      </c>
      <c r="S4602" t="s">
        <v>27254</v>
      </c>
      <c r="T4602" t="s">
        <v>27255</v>
      </c>
    </row>
    <row r="4603" spans="1:20" x14ac:dyDescent="0.3">
      <c r="A4603" t="str">
        <f>"0611834390100"</f>
        <v>0611834390100</v>
      </c>
      <c r="B4603" t="str">
        <f>"LB2700"</f>
        <v>LB2700</v>
      </c>
      <c r="C4603" t="s">
        <v>36136</v>
      </c>
      <c r="D4603" t="s">
        <v>27245</v>
      </c>
      <c r="E4603" t="str">
        <f t="shared" si="71"/>
        <v>001390</v>
      </c>
      <c r="F4603" t="s">
        <v>27246</v>
      </c>
      <c r="G4603" t="s">
        <v>27247</v>
      </c>
      <c r="H4603" t="s">
        <v>27248</v>
      </c>
      <c r="I4603" t="s">
        <v>36137</v>
      </c>
      <c r="J4603" t="s">
        <v>9183</v>
      </c>
      <c r="L4603" t="s">
        <v>27250</v>
      </c>
      <c r="M4603" t="s">
        <v>27251</v>
      </c>
      <c r="N4603" t="s">
        <v>27252</v>
      </c>
      <c r="Q4603" s="1">
        <v>44538</v>
      </c>
      <c r="R4603" t="s">
        <v>27253</v>
      </c>
      <c r="S4603" t="s">
        <v>27254</v>
      </c>
      <c r="T4603" t="s">
        <v>27255</v>
      </c>
    </row>
    <row r="4604" spans="1:20" x14ac:dyDescent="0.3">
      <c r="A4604" t="str">
        <f>"0611834393100"</f>
        <v>0611834393100</v>
      </c>
      <c r="B4604" t="str">
        <f>"LK3256"</f>
        <v>LK3256</v>
      </c>
      <c r="C4604" t="s">
        <v>36138</v>
      </c>
      <c r="D4604" t="s">
        <v>27245</v>
      </c>
      <c r="E4604" t="str">
        <f t="shared" si="71"/>
        <v>001390</v>
      </c>
      <c r="F4604" t="s">
        <v>27246</v>
      </c>
      <c r="G4604" t="s">
        <v>27247</v>
      </c>
      <c r="H4604" t="s">
        <v>27248</v>
      </c>
      <c r="I4604" t="s">
        <v>36139</v>
      </c>
      <c r="J4604" t="s">
        <v>9185</v>
      </c>
      <c r="L4604" t="s">
        <v>27250</v>
      </c>
      <c r="M4604" t="s">
        <v>27251</v>
      </c>
      <c r="N4604" t="s">
        <v>27252</v>
      </c>
      <c r="Q4604" s="1">
        <v>44538</v>
      </c>
      <c r="R4604" t="s">
        <v>27253</v>
      </c>
      <c r="S4604" t="s">
        <v>27254</v>
      </c>
      <c r="T4604" t="s">
        <v>27255</v>
      </c>
    </row>
    <row r="4605" spans="1:20" x14ac:dyDescent="0.3">
      <c r="A4605" t="str">
        <f>"0611834394100"</f>
        <v>0611834394100</v>
      </c>
      <c r="B4605" t="str">
        <f>"LK3760"</f>
        <v>LK3760</v>
      </c>
      <c r="C4605" t="s">
        <v>36140</v>
      </c>
      <c r="D4605" t="s">
        <v>27245</v>
      </c>
      <c r="E4605" t="str">
        <f t="shared" si="71"/>
        <v>001390</v>
      </c>
      <c r="F4605" t="s">
        <v>27246</v>
      </c>
      <c r="G4605" t="s">
        <v>27247</v>
      </c>
      <c r="H4605" t="s">
        <v>27248</v>
      </c>
      <c r="I4605" t="s">
        <v>36141</v>
      </c>
      <c r="J4605" t="s">
        <v>9187</v>
      </c>
      <c r="L4605" t="s">
        <v>27250</v>
      </c>
      <c r="M4605" t="s">
        <v>27251</v>
      </c>
      <c r="N4605" t="s">
        <v>27252</v>
      </c>
      <c r="Q4605" s="1">
        <v>44538</v>
      </c>
      <c r="R4605" t="s">
        <v>27253</v>
      </c>
      <c r="S4605" t="s">
        <v>27254</v>
      </c>
      <c r="T4605" t="s">
        <v>27255</v>
      </c>
    </row>
    <row r="4606" spans="1:20" x14ac:dyDescent="0.3">
      <c r="A4606" t="str">
        <f>"0611862029050"</f>
        <v>0611862029050</v>
      </c>
      <c r="B4606" t="str">
        <f>"CR2214"</f>
        <v>CR2214</v>
      </c>
      <c r="C4606" t="s">
        <v>36140</v>
      </c>
      <c r="D4606" t="s">
        <v>27263</v>
      </c>
      <c r="E4606" t="str">
        <f t="shared" si="71"/>
        <v>001390</v>
      </c>
      <c r="F4606" t="s">
        <v>27246</v>
      </c>
      <c r="G4606" t="s">
        <v>27247</v>
      </c>
      <c r="H4606" t="s">
        <v>27248</v>
      </c>
      <c r="I4606" t="s">
        <v>36142</v>
      </c>
      <c r="J4606" t="s">
        <v>9189</v>
      </c>
      <c r="L4606" t="s">
        <v>27250</v>
      </c>
      <c r="M4606" t="s">
        <v>27251</v>
      </c>
      <c r="N4606" t="s">
        <v>27252</v>
      </c>
      <c r="Q4606" s="1">
        <v>44846</v>
      </c>
      <c r="R4606" t="s">
        <v>27253</v>
      </c>
      <c r="S4606" t="s">
        <v>27254</v>
      </c>
      <c r="T4606" t="s">
        <v>27265</v>
      </c>
    </row>
    <row r="4607" spans="1:20" x14ac:dyDescent="0.3">
      <c r="A4607" t="str">
        <f>"0611834395100"</f>
        <v>0611834395100</v>
      </c>
      <c r="B4607" t="str">
        <f>"LB2654"</f>
        <v>LB2654</v>
      </c>
      <c r="C4607" t="s">
        <v>36143</v>
      </c>
      <c r="D4607" t="s">
        <v>27245</v>
      </c>
      <c r="E4607" t="str">
        <f t="shared" si="71"/>
        <v>001390</v>
      </c>
      <c r="F4607" t="s">
        <v>27246</v>
      </c>
      <c r="G4607" t="s">
        <v>27247</v>
      </c>
      <c r="H4607" t="s">
        <v>27248</v>
      </c>
      <c r="I4607" t="s">
        <v>36144</v>
      </c>
      <c r="J4607" t="s">
        <v>9191</v>
      </c>
      <c r="L4607" t="s">
        <v>27250</v>
      </c>
      <c r="M4607" t="s">
        <v>27251</v>
      </c>
      <c r="N4607" t="s">
        <v>27252</v>
      </c>
      <c r="Q4607" s="1">
        <v>44538</v>
      </c>
      <c r="R4607" t="s">
        <v>27253</v>
      </c>
      <c r="S4607" t="s">
        <v>27254</v>
      </c>
      <c r="T4607" t="s">
        <v>27255</v>
      </c>
    </row>
    <row r="4608" spans="1:20" x14ac:dyDescent="0.3">
      <c r="A4608" t="str">
        <f>"0611834397100"</f>
        <v>0611834397100</v>
      </c>
      <c r="B4608" t="str">
        <f>"LB2655"</f>
        <v>LB2655</v>
      </c>
      <c r="C4608" t="s">
        <v>36145</v>
      </c>
      <c r="D4608" t="s">
        <v>27245</v>
      </c>
      <c r="E4608" t="str">
        <f t="shared" si="71"/>
        <v>001390</v>
      </c>
      <c r="F4608" t="s">
        <v>27246</v>
      </c>
      <c r="G4608" t="s">
        <v>27247</v>
      </c>
      <c r="H4608" t="s">
        <v>27248</v>
      </c>
      <c r="I4608" t="s">
        <v>36146</v>
      </c>
      <c r="J4608" t="s">
        <v>9195</v>
      </c>
      <c r="L4608" t="s">
        <v>27250</v>
      </c>
      <c r="M4608" t="s">
        <v>27251</v>
      </c>
      <c r="N4608" t="s">
        <v>27252</v>
      </c>
      <c r="Q4608" s="1">
        <v>44538</v>
      </c>
      <c r="R4608" t="s">
        <v>27253</v>
      </c>
      <c r="S4608" t="s">
        <v>27254</v>
      </c>
      <c r="T4608" t="s">
        <v>27255</v>
      </c>
    </row>
    <row r="4609" spans="1:20" x14ac:dyDescent="0.3">
      <c r="A4609" t="str">
        <f>"0611834398100"</f>
        <v>0611834398100</v>
      </c>
      <c r="B4609" t="str">
        <f>"LK3742"</f>
        <v>LK3742</v>
      </c>
      <c r="C4609" t="s">
        <v>36147</v>
      </c>
      <c r="D4609" t="s">
        <v>27245</v>
      </c>
      <c r="E4609" t="str">
        <f t="shared" si="71"/>
        <v>001390</v>
      </c>
      <c r="F4609" t="s">
        <v>27246</v>
      </c>
      <c r="G4609" t="s">
        <v>27247</v>
      </c>
      <c r="H4609" t="s">
        <v>27248</v>
      </c>
      <c r="I4609" t="s">
        <v>36148</v>
      </c>
      <c r="J4609" t="s">
        <v>9199</v>
      </c>
      <c r="L4609" t="s">
        <v>27250</v>
      </c>
      <c r="M4609" t="s">
        <v>27251</v>
      </c>
      <c r="N4609" t="s">
        <v>27252</v>
      </c>
      <c r="Q4609" s="1">
        <v>44538</v>
      </c>
      <c r="R4609" t="s">
        <v>27253</v>
      </c>
      <c r="S4609" t="s">
        <v>27254</v>
      </c>
      <c r="T4609" t="s">
        <v>27255</v>
      </c>
    </row>
    <row r="4610" spans="1:20" x14ac:dyDescent="0.3">
      <c r="A4610" t="str">
        <f>"0611834399100"</f>
        <v>0611834399100</v>
      </c>
      <c r="B4610" t="str">
        <f>"LB2696"</f>
        <v>LB2696</v>
      </c>
      <c r="C4610" t="s">
        <v>36149</v>
      </c>
      <c r="D4610" t="s">
        <v>27245</v>
      </c>
      <c r="E4610" t="str">
        <f t="shared" ref="E4610:E4673" si="72">"001390"</f>
        <v>001390</v>
      </c>
      <c r="F4610" t="s">
        <v>27246</v>
      </c>
      <c r="G4610" t="s">
        <v>27247</v>
      </c>
      <c r="H4610" t="s">
        <v>27248</v>
      </c>
      <c r="I4610" t="s">
        <v>36150</v>
      </c>
      <c r="J4610" t="s">
        <v>9201</v>
      </c>
      <c r="L4610" t="s">
        <v>27250</v>
      </c>
      <c r="M4610" t="s">
        <v>27251</v>
      </c>
      <c r="N4610" t="s">
        <v>27252</v>
      </c>
      <c r="Q4610" s="1">
        <v>44538</v>
      </c>
      <c r="R4610" t="s">
        <v>27253</v>
      </c>
      <c r="S4610" t="s">
        <v>27254</v>
      </c>
      <c r="T4610" t="s">
        <v>27255</v>
      </c>
    </row>
    <row r="4611" spans="1:20" x14ac:dyDescent="0.3">
      <c r="A4611" t="str">
        <f>"0611862030050"</f>
        <v>0611862030050</v>
      </c>
      <c r="B4611" t="str">
        <f>"CR3532"</f>
        <v>CR3532</v>
      </c>
      <c r="C4611" t="s">
        <v>36151</v>
      </c>
      <c r="D4611" t="s">
        <v>27263</v>
      </c>
      <c r="E4611" t="str">
        <f t="shared" si="72"/>
        <v>001390</v>
      </c>
      <c r="F4611" t="s">
        <v>27246</v>
      </c>
      <c r="G4611" t="s">
        <v>27247</v>
      </c>
      <c r="H4611" t="s">
        <v>27248</v>
      </c>
      <c r="I4611" t="s">
        <v>36152</v>
      </c>
      <c r="J4611" t="s">
        <v>9203</v>
      </c>
      <c r="L4611" t="s">
        <v>27250</v>
      </c>
      <c r="M4611" t="s">
        <v>27251</v>
      </c>
      <c r="N4611" t="s">
        <v>27252</v>
      </c>
      <c r="Q4611" s="1">
        <v>44846</v>
      </c>
      <c r="R4611" t="s">
        <v>27253</v>
      </c>
      <c r="S4611" t="s">
        <v>27254</v>
      </c>
      <c r="T4611" t="s">
        <v>27265</v>
      </c>
    </row>
    <row r="4612" spans="1:20" x14ac:dyDescent="0.3">
      <c r="A4612" t="str">
        <f>"0611834401100"</f>
        <v>0611834401100</v>
      </c>
      <c r="B4612" t="str">
        <f>"LK4985"</f>
        <v>LK4985</v>
      </c>
      <c r="C4612" t="s">
        <v>36153</v>
      </c>
      <c r="D4612" t="s">
        <v>27245</v>
      </c>
      <c r="E4612" t="str">
        <f t="shared" si="72"/>
        <v>001390</v>
      </c>
      <c r="F4612" t="s">
        <v>27246</v>
      </c>
      <c r="G4612" t="s">
        <v>27247</v>
      </c>
      <c r="H4612" t="s">
        <v>27248</v>
      </c>
      <c r="I4612" t="s">
        <v>36154</v>
      </c>
      <c r="J4612" t="s">
        <v>9205</v>
      </c>
      <c r="L4612" t="s">
        <v>27250</v>
      </c>
      <c r="M4612" t="s">
        <v>27251</v>
      </c>
      <c r="N4612" t="s">
        <v>27252</v>
      </c>
      <c r="Q4612" s="1">
        <v>44538</v>
      </c>
      <c r="R4612" t="s">
        <v>27253</v>
      </c>
      <c r="S4612" t="s">
        <v>27254</v>
      </c>
      <c r="T4612" t="s">
        <v>27255</v>
      </c>
    </row>
    <row r="4613" spans="1:20" x14ac:dyDescent="0.3">
      <c r="A4613" t="str">
        <f>"0611834402100"</f>
        <v>0611834402100</v>
      </c>
      <c r="B4613" t="str">
        <f>"LK4598"</f>
        <v>LK4598</v>
      </c>
      <c r="C4613" t="s">
        <v>36155</v>
      </c>
      <c r="D4613" t="s">
        <v>27245</v>
      </c>
      <c r="E4613" t="str">
        <f t="shared" si="72"/>
        <v>001390</v>
      </c>
      <c r="F4613" t="s">
        <v>27246</v>
      </c>
      <c r="G4613" t="s">
        <v>27247</v>
      </c>
      <c r="H4613" t="s">
        <v>27248</v>
      </c>
      <c r="I4613" t="s">
        <v>36156</v>
      </c>
      <c r="J4613" t="s">
        <v>9207</v>
      </c>
      <c r="L4613" t="s">
        <v>27250</v>
      </c>
      <c r="M4613" t="s">
        <v>27251</v>
      </c>
      <c r="N4613" t="s">
        <v>27252</v>
      </c>
      <c r="Q4613" s="1">
        <v>44538</v>
      </c>
      <c r="R4613" t="s">
        <v>27253</v>
      </c>
      <c r="S4613" t="s">
        <v>27254</v>
      </c>
      <c r="T4613" t="s">
        <v>27255</v>
      </c>
    </row>
    <row r="4614" spans="1:20" x14ac:dyDescent="0.3">
      <c r="A4614" t="str">
        <f>"0611834403100"</f>
        <v>0611834403100</v>
      </c>
      <c r="B4614" t="str">
        <f>"LK3753"</f>
        <v>LK3753</v>
      </c>
      <c r="C4614" t="s">
        <v>36157</v>
      </c>
      <c r="D4614" t="s">
        <v>27245</v>
      </c>
      <c r="E4614" t="str">
        <f t="shared" si="72"/>
        <v>001390</v>
      </c>
      <c r="F4614" t="s">
        <v>27246</v>
      </c>
      <c r="G4614" t="s">
        <v>27247</v>
      </c>
      <c r="H4614" t="s">
        <v>27248</v>
      </c>
      <c r="I4614" t="s">
        <v>36158</v>
      </c>
      <c r="J4614" t="s">
        <v>9209</v>
      </c>
      <c r="L4614" t="s">
        <v>27250</v>
      </c>
      <c r="M4614" t="s">
        <v>27251</v>
      </c>
      <c r="N4614" t="s">
        <v>27252</v>
      </c>
      <c r="Q4614" s="1">
        <v>44538</v>
      </c>
      <c r="R4614" t="s">
        <v>27253</v>
      </c>
      <c r="S4614" t="s">
        <v>27254</v>
      </c>
      <c r="T4614" t="s">
        <v>27255</v>
      </c>
    </row>
    <row r="4615" spans="1:20" x14ac:dyDescent="0.3">
      <c r="A4615" t="str">
        <f>"0611862031050"</f>
        <v>0611862031050</v>
      </c>
      <c r="B4615" t="str">
        <f>"CR2215"</f>
        <v>CR2215</v>
      </c>
      <c r="C4615" t="s">
        <v>36157</v>
      </c>
      <c r="D4615" t="s">
        <v>27263</v>
      </c>
      <c r="E4615" t="str">
        <f t="shared" si="72"/>
        <v>001390</v>
      </c>
      <c r="F4615" t="s">
        <v>27246</v>
      </c>
      <c r="G4615" t="s">
        <v>27247</v>
      </c>
      <c r="H4615" t="s">
        <v>27248</v>
      </c>
      <c r="I4615" t="s">
        <v>36159</v>
      </c>
      <c r="J4615" t="s">
        <v>9211</v>
      </c>
      <c r="L4615" t="s">
        <v>27250</v>
      </c>
      <c r="M4615" t="s">
        <v>27251</v>
      </c>
      <c r="N4615" t="s">
        <v>27252</v>
      </c>
      <c r="Q4615" s="1">
        <v>44846</v>
      </c>
      <c r="R4615" t="s">
        <v>27253</v>
      </c>
      <c r="S4615" t="s">
        <v>27254</v>
      </c>
      <c r="T4615" t="s">
        <v>27265</v>
      </c>
    </row>
    <row r="4616" spans="1:20" x14ac:dyDescent="0.3">
      <c r="A4616" t="str">
        <f>"0611834404100"</f>
        <v>0611834404100</v>
      </c>
      <c r="B4616" t="str">
        <f>"LK4599"</f>
        <v>LK4599</v>
      </c>
      <c r="C4616" t="s">
        <v>36160</v>
      </c>
      <c r="D4616" t="s">
        <v>27245</v>
      </c>
      <c r="E4616" t="str">
        <f t="shared" si="72"/>
        <v>001390</v>
      </c>
      <c r="F4616" t="s">
        <v>27246</v>
      </c>
      <c r="G4616" t="s">
        <v>27247</v>
      </c>
      <c r="H4616" t="s">
        <v>27248</v>
      </c>
      <c r="I4616" t="s">
        <v>36161</v>
      </c>
      <c r="J4616" t="s">
        <v>9213</v>
      </c>
      <c r="L4616" t="s">
        <v>27250</v>
      </c>
      <c r="M4616" t="s">
        <v>27251</v>
      </c>
      <c r="N4616" t="s">
        <v>27252</v>
      </c>
      <c r="Q4616" s="1">
        <v>44538</v>
      </c>
      <c r="R4616" t="s">
        <v>27253</v>
      </c>
      <c r="S4616" t="s">
        <v>27254</v>
      </c>
      <c r="T4616" t="s">
        <v>27255</v>
      </c>
    </row>
    <row r="4617" spans="1:20" x14ac:dyDescent="0.3">
      <c r="A4617" t="str">
        <f>"0611834405100"</f>
        <v>0611834405100</v>
      </c>
      <c r="B4617" t="str">
        <f>"LK3761"</f>
        <v>LK3761</v>
      </c>
      <c r="C4617" t="s">
        <v>36162</v>
      </c>
      <c r="D4617" t="s">
        <v>27245</v>
      </c>
      <c r="E4617" t="str">
        <f t="shared" si="72"/>
        <v>001390</v>
      </c>
      <c r="F4617" t="s">
        <v>27246</v>
      </c>
      <c r="G4617" t="s">
        <v>27247</v>
      </c>
      <c r="H4617" t="s">
        <v>27248</v>
      </c>
      <c r="I4617" t="s">
        <v>36163</v>
      </c>
      <c r="J4617" t="s">
        <v>9215</v>
      </c>
      <c r="L4617" t="s">
        <v>27250</v>
      </c>
      <c r="M4617" t="s">
        <v>27251</v>
      </c>
      <c r="N4617" t="s">
        <v>27252</v>
      </c>
      <c r="Q4617" s="1">
        <v>44538</v>
      </c>
      <c r="R4617" t="s">
        <v>27253</v>
      </c>
      <c r="S4617" t="s">
        <v>27254</v>
      </c>
      <c r="T4617" t="s">
        <v>27255</v>
      </c>
    </row>
    <row r="4618" spans="1:20" x14ac:dyDescent="0.3">
      <c r="A4618" t="str">
        <f>"0611834406100"</f>
        <v>0611834406100</v>
      </c>
      <c r="B4618" t="str">
        <f>"LK3762"</f>
        <v>LK3762</v>
      </c>
      <c r="C4618" t="s">
        <v>36164</v>
      </c>
      <c r="D4618" t="s">
        <v>27245</v>
      </c>
      <c r="E4618" t="str">
        <f t="shared" si="72"/>
        <v>001390</v>
      </c>
      <c r="F4618" t="s">
        <v>27246</v>
      </c>
      <c r="G4618" t="s">
        <v>27247</v>
      </c>
      <c r="H4618" t="s">
        <v>27248</v>
      </c>
      <c r="I4618" t="s">
        <v>36165</v>
      </c>
      <c r="J4618" t="s">
        <v>9217</v>
      </c>
      <c r="L4618" t="s">
        <v>27250</v>
      </c>
      <c r="M4618" t="s">
        <v>27251</v>
      </c>
      <c r="N4618" t="s">
        <v>27252</v>
      </c>
      <c r="Q4618" s="1">
        <v>44538</v>
      </c>
      <c r="R4618" t="s">
        <v>27253</v>
      </c>
      <c r="S4618" t="s">
        <v>27254</v>
      </c>
      <c r="T4618" t="s">
        <v>27255</v>
      </c>
    </row>
    <row r="4619" spans="1:20" x14ac:dyDescent="0.3">
      <c r="A4619" t="str">
        <f>"0611834407100"</f>
        <v>0611834407100</v>
      </c>
      <c r="B4619" t="str">
        <f>"LB2692"</f>
        <v>LB2692</v>
      </c>
      <c r="C4619" t="s">
        <v>36166</v>
      </c>
      <c r="D4619" t="s">
        <v>27245</v>
      </c>
      <c r="E4619" t="str">
        <f t="shared" si="72"/>
        <v>001390</v>
      </c>
      <c r="F4619" t="s">
        <v>27246</v>
      </c>
      <c r="G4619" t="s">
        <v>27247</v>
      </c>
      <c r="H4619" t="s">
        <v>27248</v>
      </c>
      <c r="I4619" t="s">
        <v>36167</v>
      </c>
      <c r="J4619" t="s">
        <v>9219</v>
      </c>
      <c r="L4619" t="s">
        <v>27250</v>
      </c>
      <c r="M4619" t="s">
        <v>27251</v>
      </c>
      <c r="N4619" t="s">
        <v>27252</v>
      </c>
      <c r="Q4619" s="1">
        <v>44538</v>
      </c>
      <c r="R4619" t="s">
        <v>27253</v>
      </c>
      <c r="S4619" t="s">
        <v>27254</v>
      </c>
      <c r="T4619" t="s">
        <v>27255</v>
      </c>
    </row>
    <row r="4620" spans="1:20" x14ac:dyDescent="0.3">
      <c r="A4620" t="str">
        <f>"0611834409100"</f>
        <v>0611834409100</v>
      </c>
      <c r="B4620" t="str">
        <f>"LK6007"</f>
        <v>LK6007</v>
      </c>
      <c r="C4620" t="s">
        <v>36168</v>
      </c>
      <c r="D4620" t="s">
        <v>27245</v>
      </c>
      <c r="E4620" t="str">
        <f t="shared" si="72"/>
        <v>001390</v>
      </c>
      <c r="F4620" t="s">
        <v>27246</v>
      </c>
      <c r="G4620" t="s">
        <v>27247</v>
      </c>
      <c r="H4620" t="s">
        <v>27248</v>
      </c>
      <c r="I4620" t="s">
        <v>36169</v>
      </c>
      <c r="J4620" t="s">
        <v>9223</v>
      </c>
      <c r="L4620" t="s">
        <v>27250</v>
      </c>
      <c r="M4620" t="s">
        <v>27251</v>
      </c>
      <c r="N4620" t="s">
        <v>27252</v>
      </c>
      <c r="Q4620" s="1">
        <v>44538</v>
      </c>
      <c r="R4620" t="s">
        <v>27253</v>
      </c>
      <c r="S4620" t="s">
        <v>27254</v>
      </c>
      <c r="T4620" t="s">
        <v>27255</v>
      </c>
    </row>
    <row r="4621" spans="1:20" x14ac:dyDescent="0.3">
      <c r="A4621" t="str">
        <f>"0611834410100"</f>
        <v>0611834410100</v>
      </c>
      <c r="B4621" t="str">
        <f>"LK3754"</f>
        <v>LK3754</v>
      </c>
      <c r="C4621" t="s">
        <v>36170</v>
      </c>
      <c r="D4621" t="s">
        <v>27245</v>
      </c>
      <c r="E4621" t="str">
        <f t="shared" si="72"/>
        <v>001390</v>
      </c>
      <c r="F4621" t="s">
        <v>27246</v>
      </c>
      <c r="G4621" t="s">
        <v>27247</v>
      </c>
      <c r="H4621" t="s">
        <v>27248</v>
      </c>
      <c r="I4621" t="s">
        <v>36171</v>
      </c>
      <c r="J4621" t="s">
        <v>9225</v>
      </c>
      <c r="L4621" t="s">
        <v>27250</v>
      </c>
      <c r="M4621" t="s">
        <v>27251</v>
      </c>
      <c r="N4621" t="s">
        <v>27252</v>
      </c>
      <c r="Q4621" s="1">
        <v>44538</v>
      </c>
      <c r="R4621" t="s">
        <v>27253</v>
      </c>
      <c r="S4621" t="s">
        <v>27254</v>
      </c>
      <c r="T4621" t="s">
        <v>27255</v>
      </c>
    </row>
    <row r="4622" spans="1:20" x14ac:dyDescent="0.3">
      <c r="A4622" t="str">
        <f>"0611834414100"</f>
        <v>0611834414100</v>
      </c>
      <c r="B4622" t="str">
        <f>"LK6008"</f>
        <v>LK6008</v>
      </c>
      <c r="C4622" t="s">
        <v>36172</v>
      </c>
      <c r="D4622" t="s">
        <v>27245</v>
      </c>
      <c r="E4622" t="str">
        <f t="shared" si="72"/>
        <v>001390</v>
      </c>
      <c r="F4622" t="s">
        <v>27246</v>
      </c>
      <c r="G4622" t="s">
        <v>27247</v>
      </c>
      <c r="H4622" t="s">
        <v>27248</v>
      </c>
      <c r="I4622" t="s">
        <v>36173</v>
      </c>
      <c r="J4622" t="s">
        <v>9227</v>
      </c>
      <c r="L4622" t="s">
        <v>27250</v>
      </c>
      <c r="M4622" t="s">
        <v>27251</v>
      </c>
      <c r="N4622" t="s">
        <v>27252</v>
      </c>
      <c r="Q4622" s="1">
        <v>44538</v>
      </c>
      <c r="R4622" t="s">
        <v>27253</v>
      </c>
      <c r="S4622" t="s">
        <v>27254</v>
      </c>
      <c r="T4622" t="s">
        <v>27255</v>
      </c>
    </row>
    <row r="4623" spans="1:20" x14ac:dyDescent="0.3">
      <c r="A4623" t="str">
        <f>"0611862032050"</f>
        <v>0611862032050</v>
      </c>
      <c r="B4623" t="str">
        <f>"CR4827"</f>
        <v>CR4827</v>
      </c>
      <c r="C4623" t="s">
        <v>36174</v>
      </c>
      <c r="D4623" t="s">
        <v>27263</v>
      </c>
      <c r="E4623" t="str">
        <f t="shared" si="72"/>
        <v>001390</v>
      </c>
      <c r="F4623" t="s">
        <v>27246</v>
      </c>
      <c r="G4623" t="s">
        <v>27247</v>
      </c>
      <c r="H4623" t="s">
        <v>27248</v>
      </c>
      <c r="I4623" t="s">
        <v>36175</v>
      </c>
      <c r="J4623" t="s">
        <v>9229</v>
      </c>
      <c r="L4623" t="s">
        <v>27250</v>
      </c>
      <c r="M4623" t="s">
        <v>27251</v>
      </c>
      <c r="N4623" t="s">
        <v>27252</v>
      </c>
      <c r="Q4623" s="1">
        <v>44846</v>
      </c>
      <c r="R4623" t="s">
        <v>27253</v>
      </c>
      <c r="S4623" t="s">
        <v>27254</v>
      </c>
      <c r="T4623" t="s">
        <v>27265</v>
      </c>
    </row>
    <row r="4624" spans="1:20" x14ac:dyDescent="0.3">
      <c r="A4624" t="str">
        <f>"0611834416100"</f>
        <v>0611834416100</v>
      </c>
      <c r="B4624" t="str">
        <f>"LB2657"</f>
        <v>LB2657</v>
      </c>
      <c r="C4624" t="s">
        <v>36176</v>
      </c>
      <c r="D4624" t="s">
        <v>27245</v>
      </c>
      <c r="E4624" t="str">
        <f t="shared" si="72"/>
        <v>001390</v>
      </c>
      <c r="F4624" t="s">
        <v>27246</v>
      </c>
      <c r="G4624" t="s">
        <v>27247</v>
      </c>
      <c r="H4624" t="s">
        <v>27248</v>
      </c>
      <c r="I4624" t="s">
        <v>36177</v>
      </c>
      <c r="J4624" t="s">
        <v>9231</v>
      </c>
      <c r="L4624" t="s">
        <v>27250</v>
      </c>
      <c r="M4624" t="s">
        <v>27251</v>
      </c>
      <c r="N4624" t="s">
        <v>27252</v>
      </c>
      <c r="Q4624" s="1">
        <v>44538</v>
      </c>
      <c r="R4624" t="s">
        <v>27253</v>
      </c>
      <c r="S4624" t="s">
        <v>27254</v>
      </c>
      <c r="T4624" t="s">
        <v>27255</v>
      </c>
    </row>
    <row r="4625" spans="1:20" x14ac:dyDescent="0.3">
      <c r="A4625" t="str">
        <f>"0611862033050"</f>
        <v>0611862033050</v>
      </c>
      <c r="B4625" t="str">
        <f>"CR2220"</f>
        <v>CR2220</v>
      </c>
      <c r="C4625" t="s">
        <v>36176</v>
      </c>
      <c r="D4625" t="s">
        <v>27263</v>
      </c>
      <c r="E4625" t="str">
        <f t="shared" si="72"/>
        <v>001390</v>
      </c>
      <c r="F4625" t="s">
        <v>27246</v>
      </c>
      <c r="G4625" t="s">
        <v>27247</v>
      </c>
      <c r="H4625" t="s">
        <v>27248</v>
      </c>
      <c r="I4625" t="s">
        <v>36178</v>
      </c>
      <c r="J4625" t="s">
        <v>9233</v>
      </c>
      <c r="L4625" t="s">
        <v>27250</v>
      </c>
      <c r="M4625" t="s">
        <v>27251</v>
      </c>
      <c r="N4625" t="s">
        <v>27252</v>
      </c>
      <c r="Q4625" s="1">
        <v>44846</v>
      </c>
      <c r="R4625" t="s">
        <v>27253</v>
      </c>
      <c r="S4625" t="s">
        <v>27254</v>
      </c>
      <c r="T4625" t="s">
        <v>27265</v>
      </c>
    </row>
    <row r="4626" spans="1:20" x14ac:dyDescent="0.3">
      <c r="A4626" t="str">
        <f>"0611834418100"</f>
        <v>0611834418100</v>
      </c>
      <c r="B4626" t="str">
        <f>"LQ3529"</f>
        <v>LQ3529</v>
      </c>
      <c r="C4626" t="s">
        <v>36179</v>
      </c>
      <c r="D4626" t="s">
        <v>27245</v>
      </c>
      <c r="E4626" t="str">
        <f t="shared" si="72"/>
        <v>001390</v>
      </c>
      <c r="F4626" t="s">
        <v>27246</v>
      </c>
      <c r="G4626" t="s">
        <v>27247</v>
      </c>
      <c r="H4626" t="s">
        <v>27248</v>
      </c>
      <c r="I4626" t="s">
        <v>36180</v>
      </c>
      <c r="J4626" t="s">
        <v>9235</v>
      </c>
      <c r="L4626" t="s">
        <v>27250</v>
      </c>
      <c r="M4626" t="s">
        <v>27251</v>
      </c>
      <c r="N4626" t="s">
        <v>27252</v>
      </c>
      <c r="Q4626" s="1">
        <v>44538</v>
      </c>
      <c r="R4626" t="s">
        <v>27253</v>
      </c>
      <c r="S4626" t="s">
        <v>27254</v>
      </c>
      <c r="T4626" t="s">
        <v>27255</v>
      </c>
    </row>
    <row r="4627" spans="1:20" x14ac:dyDescent="0.3">
      <c r="A4627" t="str">
        <f>"0611834419100"</f>
        <v>0611834419100</v>
      </c>
      <c r="B4627" t="str">
        <f>"LQ0076"</f>
        <v>LQ0076</v>
      </c>
      <c r="C4627" t="s">
        <v>36181</v>
      </c>
      <c r="D4627" t="s">
        <v>27245</v>
      </c>
      <c r="E4627" t="str">
        <f t="shared" si="72"/>
        <v>001390</v>
      </c>
      <c r="F4627" t="s">
        <v>27246</v>
      </c>
      <c r="G4627" t="s">
        <v>27247</v>
      </c>
      <c r="H4627" t="s">
        <v>27248</v>
      </c>
      <c r="I4627" t="s">
        <v>36182</v>
      </c>
      <c r="J4627" t="s">
        <v>9237</v>
      </c>
      <c r="L4627" t="s">
        <v>27250</v>
      </c>
      <c r="M4627" t="s">
        <v>27251</v>
      </c>
      <c r="N4627" t="s">
        <v>27252</v>
      </c>
      <c r="Q4627" s="1">
        <v>44538</v>
      </c>
      <c r="R4627" t="s">
        <v>27253</v>
      </c>
      <c r="S4627" t="s">
        <v>27254</v>
      </c>
      <c r="T4627" t="s">
        <v>27255</v>
      </c>
    </row>
    <row r="4628" spans="1:20" x14ac:dyDescent="0.3">
      <c r="A4628" t="str">
        <f>"0611834420100"</f>
        <v>0611834420100</v>
      </c>
      <c r="B4628" t="str">
        <f>"LQ0124"</f>
        <v>LQ0124</v>
      </c>
      <c r="C4628" t="s">
        <v>36183</v>
      </c>
      <c r="D4628" t="s">
        <v>27245</v>
      </c>
      <c r="E4628" t="str">
        <f t="shared" si="72"/>
        <v>001390</v>
      </c>
      <c r="F4628" t="s">
        <v>27246</v>
      </c>
      <c r="G4628" t="s">
        <v>27247</v>
      </c>
      <c r="H4628" t="s">
        <v>27248</v>
      </c>
      <c r="I4628" t="s">
        <v>36184</v>
      </c>
      <c r="J4628" t="s">
        <v>9239</v>
      </c>
      <c r="L4628" t="s">
        <v>27250</v>
      </c>
      <c r="M4628" t="s">
        <v>27251</v>
      </c>
      <c r="N4628" t="s">
        <v>27252</v>
      </c>
      <c r="Q4628" s="1">
        <v>44538</v>
      </c>
      <c r="R4628" t="s">
        <v>27253</v>
      </c>
      <c r="S4628" t="s">
        <v>27254</v>
      </c>
      <c r="T4628" t="s">
        <v>27255</v>
      </c>
    </row>
    <row r="4629" spans="1:20" x14ac:dyDescent="0.3">
      <c r="A4629" t="str">
        <f>"0611834422100"</f>
        <v>0611834422100</v>
      </c>
      <c r="B4629" t="str">
        <f>"LQ0040"</f>
        <v>LQ0040</v>
      </c>
      <c r="C4629" t="s">
        <v>36185</v>
      </c>
      <c r="D4629" t="s">
        <v>27245</v>
      </c>
      <c r="E4629" t="str">
        <f t="shared" si="72"/>
        <v>001390</v>
      </c>
      <c r="F4629" t="s">
        <v>27246</v>
      </c>
      <c r="G4629" t="s">
        <v>27247</v>
      </c>
      <c r="H4629" t="s">
        <v>27248</v>
      </c>
      <c r="I4629" t="s">
        <v>36186</v>
      </c>
      <c r="J4629" t="s">
        <v>9241</v>
      </c>
      <c r="L4629" t="s">
        <v>27250</v>
      </c>
      <c r="M4629" t="s">
        <v>27251</v>
      </c>
      <c r="N4629" t="s">
        <v>27252</v>
      </c>
      <c r="Q4629" s="1">
        <v>44538</v>
      </c>
      <c r="R4629" t="s">
        <v>27253</v>
      </c>
      <c r="S4629" t="s">
        <v>27254</v>
      </c>
      <c r="T4629" t="s">
        <v>27255</v>
      </c>
    </row>
    <row r="4630" spans="1:20" x14ac:dyDescent="0.3">
      <c r="A4630" t="str">
        <f>"0611834423100"</f>
        <v>0611834423100</v>
      </c>
      <c r="B4630" t="str">
        <f>"LQ0339"</f>
        <v>LQ0339</v>
      </c>
      <c r="C4630" t="s">
        <v>36187</v>
      </c>
      <c r="D4630" t="s">
        <v>27245</v>
      </c>
      <c r="E4630" t="str">
        <f t="shared" si="72"/>
        <v>001390</v>
      </c>
      <c r="F4630" t="s">
        <v>27246</v>
      </c>
      <c r="G4630" t="s">
        <v>27247</v>
      </c>
      <c r="H4630" t="s">
        <v>27248</v>
      </c>
      <c r="I4630" t="s">
        <v>36188</v>
      </c>
      <c r="J4630" t="s">
        <v>9243</v>
      </c>
      <c r="L4630" t="s">
        <v>27250</v>
      </c>
      <c r="M4630" t="s">
        <v>27251</v>
      </c>
      <c r="N4630" t="s">
        <v>27252</v>
      </c>
      <c r="Q4630" s="1">
        <v>44538</v>
      </c>
      <c r="R4630" t="s">
        <v>27253</v>
      </c>
      <c r="S4630" t="s">
        <v>27254</v>
      </c>
      <c r="T4630" t="s">
        <v>27255</v>
      </c>
    </row>
    <row r="4631" spans="1:20" x14ac:dyDescent="0.3">
      <c r="A4631" t="str">
        <f>"0611834424100"</f>
        <v>0611834424100</v>
      </c>
      <c r="B4631" t="str">
        <f>"LQ0380"</f>
        <v>LQ0380</v>
      </c>
      <c r="C4631" t="s">
        <v>36189</v>
      </c>
      <c r="D4631" t="s">
        <v>27245</v>
      </c>
      <c r="E4631" t="str">
        <f t="shared" si="72"/>
        <v>001390</v>
      </c>
      <c r="F4631" t="s">
        <v>27246</v>
      </c>
      <c r="G4631" t="s">
        <v>27247</v>
      </c>
      <c r="H4631" t="s">
        <v>27248</v>
      </c>
      <c r="I4631" t="s">
        <v>36190</v>
      </c>
      <c r="J4631" t="s">
        <v>9245</v>
      </c>
      <c r="L4631" t="s">
        <v>27250</v>
      </c>
      <c r="M4631" t="s">
        <v>27251</v>
      </c>
      <c r="N4631" t="s">
        <v>27252</v>
      </c>
      <c r="Q4631" s="1">
        <v>44538</v>
      </c>
      <c r="R4631" t="s">
        <v>27253</v>
      </c>
      <c r="S4631" t="s">
        <v>27254</v>
      </c>
      <c r="T4631" t="s">
        <v>27255</v>
      </c>
    </row>
    <row r="4632" spans="1:20" x14ac:dyDescent="0.3">
      <c r="A4632" t="str">
        <f>"0611834425100"</f>
        <v>0611834425100</v>
      </c>
      <c r="B4632" t="str">
        <f>"LQ0041"</f>
        <v>LQ0041</v>
      </c>
      <c r="C4632" t="s">
        <v>36191</v>
      </c>
      <c r="D4632" t="s">
        <v>27245</v>
      </c>
      <c r="E4632" t="str">
        <f t="shared" si="72"/>
        <v>001390</v>
      </c>
      <c r="F4632" t="s">
        <v>27246</v>
      </c>
      <c r="G4632" t="s">
        <v>27247</v>
      </c>
      <c r="H4632" t="s">
        <v>27248</v>
      </c>
      <c r="I4632" t="s">
        <v>36192</v>
      </c>
      <c r="J4632" t="s">
        <v>9247</v>
      </c>
      <c r="L4632" t="s">
        <v>27250</v>
      </c>
      <c r="M4632" t="s">
        <v>27251</v>
      </c>
      <c r="N4632" t="s">
        <v>27252</v>
      </c>
      <c r="Q4632" s="1">
        <v>44538</v>
      </c>
      <c r="R4632" t="s">
        <v>27253</v>
      </c>
      <c r="S4632" t="s">
        <v>27254</v>
      </c>
      <c r="T4632" t="s">
        <v>27255</v>
      </c>
    </row>
    <row r="4633" spans="1:20" x14ac:dyDescent="0.3">
      <c r="A4633" t="str">
        <f>"0611834426100"</f>
        <v>0611834426100</v>
      </c>
      <c r="B4633" t="str">
        <f>"LB2659"</f>
        <v>LB2659</v>
      </c>
      <c r="C4633" t="s">
        <v>36193</v>
      </c>
      <c r="D4633" t="s">
        <v>27245</v>
      </c>
      <c r="E4633" t="str">
        <f t="shared" si="72"/>
        <v>001390</v>
      </c>
      <c r="F4633" t="s">
        <v>27246</v>
      </c>
      <c r="G4633" t="s">
        <v>27247</v>
      </c>
      <c r="H4633" t="s">
        <v>27248</v>
      </c>
      <c r="I4633" t="s">
        <v>36194</v>
      </c>
      <c r="J4633" t="s">
        <v>9249</v>
      </c>
      <c r="L4633" t="s">
        <v>27250</v>
      </c>
      <c r="M4633" t="s">
        <v>27251</v>
      </c>
      <c r="N4633" t="s">
        <v>27252</v>
      </c>
      <c r="Q4633" s="1">
        <v>44538</v>
      </c>
      <c r="R4633" t="s">
        <v>27253</v>
      </c>
      <c r="S4633" t="s">
        <v>27254</v>
      </c>
      <c r="T4633" t="s">
        <v>27255</v>
      </c>
    </row>
    <row r="4634" spans="1:20" x14ac:dyDescent="0.3">
      <c r="A4634" t="str">
        <f>"0611862034050"</f>
        <v>0611862034050</v>
      </c>
      <c r="B4634" t="str">
        <f>"CR2218"</f>
        <v>CR2218</v>
      </c>
      <c r="C4634" t="s">
        <v>36193</v>
      </c>
      <c r="D4634" t="s">
        <v>27263</v>
      </c>
      <c r="E4634" t="str">
        <f t="shared" si="72"/>
        <v>001390</v>
      </c>
      <c r="F4634" t="s">
        <v>27246</v>
      </c>
      <c r="G4634" t="s">
        <v>27247</v>
      </c>
      <c r="H4634" t="s">
        <v>27248</v>
      </c>
      <c r="I4634" t="s">
        <v>36195</v>
      </c>
      <c r="J4634" t="s">
        <v>9251</v>
      </c>
      <c r="L4634" t="s">
        <v>27250</v>
      </c>
      <c r="M4634" t="s">
        <v>27251</v>
      </c>
      <c r="N4634" t="s">
        <v>27252</v>
      </c>
      <c r="Q4634" s="1">
        <v>44846</v>
      </c>
      <c r="R4634" t="s">
        <v>27253</v>
      </c>
      <c r="S4634" t="s">
        <v>27254</v>
      </c>
      <c r="T4634" t="s">
        <v>27265</v>
      </c>
    </row>
    <row r="4635" spans="1:20" x14ac:dyDescent="0.3">
      <c r="A4635" t="str">
        <f>"0611862035050"</f>
        <v>0611862035050</v>
      </c>
      <c r="B4635" t="str">
        <f>"CR2219"</f>
        <v>CR2219</v>
      </c>
      <c r="C4635" t="s">
        <v>36196</v>
      </c>
      <c r="D4635" t="s">
        <v>27263</v>
      </c>
      <c r="E4635" t="str">
        <f t="shared" si="72"/>
        <v>001390</v>
      </c>
      <c r="F4635" t="s">
        <v>27246</v>
      </c>
      <c r="G4635" t="s">
        <v>27247</v>
      </c>
      <c r="H4635" t="s">
        <v>27248</v>
      </c>
      <c r="I4635" t="s">
        <v>36197</v>
      </c>
      <c r="J4635" t="s">
        <v>9137</v>
      </c>
      <c r="L4635" t="s">
        <v>27250</v>
      </c>
      <c r="M4635" t="s">
        <v>27251</v>
      </c>
      <c r="N4635" t="s">
        <v>27252</v>
      </c>
      <c r="Q4635" s="1">
        <v>44846</v>
      </c>
      <c r="R4635" t="s">
        <v>27253</v>
      </c>
      <c r="S4635" t="s">
        <v>27254</v>
      </c>
      <c r="T4635" t="s">
        <v>27265</v>
      </c>
    </row>
    <row r="4636" spans="1:20" x14ac:dyDescent="0.3">
      <c r="A4636" t="str">
        <f>"0611834429100"</f>
        <v>0611834429100</v>
      </c>
      <c r="B4636" t="str">
        <f>"LB2660"</f>
        <v>LB2660</v>
      </c>
      <c r="C4636" t="s">
        <v>36198</v>
      </c>
      <c r="D4636" t="s">
        <v>27245</v>
      </c>
      <c r="E4636" t="str">
        <f t="shared" si="72"/>
        <v>001390</v>
      </c>
      <c r="F4636" t="s">
        <v>27246</v>
      </c>
      <c r="G4636" t="s">
        <v>27247</v>
      </c>
      <c r="H4636" t="s">
        <v>27248</v>
      </c>
      <c r="I4636" t="s">
        <v>36199</v>
      </c>
      <c r="J4636" t="s">
        <v>9253</v>
      </c>
      <c r="L4636" t="s">
        <v>27250</v>
      </c>
      <c r="M4636" t="s">
        <v>27251</v>
      </c>
      <c r="N4636" t="s">
        <v>27252</v>
      </c>
      <c r="Q4636" s="1">
        <v>44538</v>
      </c>
      <c r="R4636" t="s">
        <v>27253</v>
      </c>
      <c r="S4636" t="s">
        <v>27254</v>
      </c>
      <c r="T4636" t="s">
        <v>27255</v>
      </c>
    </row>
    <row r="4637" spans="1:20" x14ac:dyDescent="0.3">
      <c r="A4637" t="str">
        <f>"0611862036050"</f>
        <v>0611862036050</v>
      </c>
      <c r="B4637" t="str">
        <f>"CR2951"</f>
        <v>CR2951</v>
      </c>
      <c r="C4637" t="s">
        <v>36200</v>
      </c>
      <c r="D4637" t="s">
        <v>27263</v>
      </c>
      <c r="E4637" t="str">
        <f t="shared" si="72"/>
        <v>001390</v>
      </c>
      <c r="F4637" t="s">
        <v>27246</v>
      </c>
      <c r="G4637" t="s">
        <v>27247</v>
      </c>
      <c r="H4637" t="s">
        <v>27248</v>
      </c>
      <c r="I4637" t="s">
        <v>36201</v>
      </c>
      <c r="J4637" t="s">
        <v>9193</v>
      </c>
      <c r="L4637" t="s">
        <v>27250</v>
      </c>
      <c r="M4637" t="s">
        <v>27251</v>
      </c>
      <c r="N4637" t="s">
        <v>27252</v>
      </c>
      <c r="Q4637" s="1">
        <v>44846</v>
      </c>
      <c r="R4637" t="s">
        <v>27253</v>
      </c>
      <c r="S4637" t="s">
        <v>27254</v>
      </c>
      <c r="T4637" t="s">
        <v>27265</v>
      </c>
    </row>
    <row r="4638" spans="1:20" x14ac:dyDescent="0.3">
      <c r="A4638" t="str">
        <f>"0611862037050"</f>
        <v>0611862037050</v>
      </c>
      <c r="B4638" t="str">
        <f>"CR2952"</f>
        <v>CR2952</v>
      </c>
      <c r="C4638" t="s">
        <v>36202</v>
      </c>
      <c r="D4638" t="s">
        <v>27263</v>
      </c>
      <c r="E4638" t="str">
        <f t="shared" si="72"/>
        <v>001390</v>
      </c>
      <c r="F4638" t="s">
        <v>27246</v>
      </c>
      <c r="G4638" t="s">
        <v>27247</v>
      </c>
      <c r="H4638" t="s">
        <v>27248</v>
      </c>
      <c r="I4638" t="s">
        <v>36203</v>
      </c>
      <c r="J4638" t="s">
        <v>9197</v>
      </c>
      <c r="L4638" t="s">
        <v>27250</v>
      </c>
      <c r="M4638" t="s">
        <v>27251</v>
      </c>
      <c r="N4638" t="s">
        <v>27252</v>
      </c>
      <c r="Q4638" s="1">
        <v>44846</v>
      </c>
      <c r="R4638" t="s">
        <v>27253</v>
      </c>
      <c r="S4638" t="s">
        <v>27254</v>
      </c>
      <c r="T4638" t="s">
        <v>27265</v>
      </c>
    </row>
    <row r="4639" spans="1:20" x14ac:dyDescent="0.3">
      <c r="A4639" t="str">
        <f>"0611862038050"</f>
        <v>0611862038050</v>
      </c>
      <c r="B4639" t="str">
        <f>"CR2953"</f>
        <v>CR2953</v>
      </c>
      <c r="C4639" t="s">
        <v>36204</v>
      </c>
      <c r="D4639" t="s">
        <v>27263</v>
      </c>
      <c r="E4639" t="str">
        <f t="shared" si="72"/>
        <v>001390</v>
      </c>
      <c r="F4639" t="s">
        <v>27246</v>
      </c>
      <c r="G4639" t="s">
        <v>27247</v>
      </c>
      <c r="H4639" t="s">
        <v>27248</v>
      </c>
      <c r="I4639" t="s">
        <v>36205</v>
      </c>
      <c r="J4639" t="s">
        <v>9221</v>
      </c>
      <c r="L4639" t="s">
        <v>27250</v>
      </c>
      <c r="M4639" t="s">
        <v>27251</v>
      </c>
      <c r="N4639" t="s">
        <v>27252</v>
      </c>
      <c r="Q4639" s="1">
        <v>44846</v>
      </c>
      <c r="R4639" t="s">
        <v>27253</v>
      </c>
      <c r="S4639" t="s">
        <v>27254</v>
      </c>
      <c r="T4639" t="s">
        <v>27265</v>
      </c>
    </row>
    <row r="4640" spans="1:20" x14ac:dyDescent="0.3">
      <c r="A4640" t="str">
        <f>"0611862039050"</f>
        <v>0611862039050</v>
      </c>
      <c r="B4640" t="str">
        <f>"CR2954"</f>
        <v>CR2954</v>
      </c>
      <c r="C4640" t="s">
        <v>36206</v>
      </c>
      <c r="D4640" t="s">
        <v>27263</v>
      </c>
      <c r="E4640" t="str">
        <f t="shared" si="72"/>
        <v>001390</v>
      </c>
      <c r="F4640" t="s">
        <v>27246</v>
      </c>
      <c r="G4640" t="s">
        <v>27247</v>
      </c>
      <c r="H4640" t="s">
        <v>27248</v>
      </c>
      <c r="I4640" t="s">
        <v>36207</v>
      </c>
      <c r="J4640" t="s">
        <v>9263</v>
      </c>
      <c r="L4640" t="s">
        <v>27250</v>
      </c>
      <c r="M4640" t="s">
        <v>27251</v>
      </c>
      <c r="N4640" t="s">
        <v>27252</v>
      </c>
      <c r="Q4640" s="1">
        <v>44846</v>
      </c>
      <c r="R4640" t="s">
        <v>27253</v>
      </c>
      <c r="S4640" t="s">
        <v>27254</v>
      </c>
      <c r="T4640" t="s">
        <v>27265</v>
      </c>
    </row>
    <row r="4641" spans="1:20" x14ac:dyDescent="0.3">
      <c r="A4641" t="str">
        <f>"0611862040050"</f>
        <v>0611862040050</v>
      </c>
      <c r="B4641" t="str">
        <f>"CR2955"</f>
        <v>CR2955</v>
      </c>
      <c r="C4641" t="s">
        <v>36208</v>
      </c>
      <c r="D4641" t="s">
        <v>27263</v>
      </c>
      <c r="E4641" t="str">
        <f t="shared" si="72"/>
        <v>001390</v>
      </c>
      <c r="F4641" t="s">
        <v>27246</v>
      </c>
      <c r="G4641" t="s">
        <v>27247</v>
      </c>
      <c r="H4641" t="s">
        <v>27248</v>
      </c>
      <c r="I4641" t="s">
        <v>36209</v>
      </c>
      <c r="J4641" t="s">
        <v>9167</v>
      </c>
      <c r="L4641" t="s">
        <v>27250</v>
      </c>
      <c r="M4641" t="s">
        <v>27251</v>
      </c>
      <c r="N4641" t="s">
        <v>27252</v>
      </c>
      <c r="Q4641" s="1">
        <v>44846</v>
      </c>
      <c r="R4641" t="s">
        <v>27253</v>
      </c>
      <c r="S4641" t="s">
        <v>27254</v>
      </c>
      <c r="T4641" t="s">
        <v>27265</v>
      </c>
    </row>
    <row r="4642" spans="1:20" x14ac:dyDescent="0.3">
      <c r="A4642" t="str">
        <f>"0611862041050"</f>
        <v>0611862041050</v>
      </c>
      <c r="B4642" t="str">
        <f>"CR2956"</f>
        <v>CR2956</v>
      </c>
      <c r="C4642" t="s">
        <v>36210</v>
      </c>
      <c r="D4642" t="s">
        <v>27263</v>
      </c>
      <c r="E4642" t="str">
        <f t="shared" si="72"/>
        <v>001390</v>
      </c>
      <c r="F4642" t="s">
        <v>27246</v>
      </c>
      <c r="G4642" t="s">
        <v>27247</v>
      </c>
      <c r="H4642" t="s">
        <v>27248</v>
      </c>
      <c r="I4642" t="s">
        <v>36211</v>
      </c>
      <c r="J4642" t="s">
        <v>9173</v>
      </c>
      <c r="L4642" t="s">
        <v>27250</v>
      </c>
      <c r="M4642" t="s">
        <v>27251</v>
      </c>
      <c r="N4642" t="s">
        <v>27252</v>
      </c>
      <c r="Q4642" s="1">
        <v>44846</v>
      </c>
      <c r="R4642" t="s">
        <v>27253</v>
      </c>
      <c r="S4642" t="s">
        <v>27254</v>
      </c>
      <c r="T4642" t="s">
        <v>27265</v>
      </c>
    </row>
    <row r="4643" spans="1:20" x14ac:dyDescent="0.3">
      <c r="A4643" t="str">
        <f>"0611834430100"</f>
        <v>0611834430100</v>
      </c>
      <c r="B4643" t="str">
        <f>"LB2665"</f>
        <v>LB2665</v>
      </c>
      <c r="C4643" t="s">
        <v>36212</v>
      </c>
      <c r="D4643" t="s">
        <v>27245</v>
      </c>
      <c r="E4643" t="str">
        <f t="shared" si="72"/>
        <v>001390</v>
      </c>
      <c r="F4643" t="s">
        <v>27246</v>
      </c>
      <c r="G4643" t="s">
        <v>27247</v>
      </c>
      <c r="H4643" t="s">
        <v>27248</v>
      </c>
      <c r="I4643" t="s">
        <v>36213</v>
      </c>
      <c r="J4643" t="s">
        <v>9255</v>
      </c>
      <c r="L4643" t="s">
        <v>27250</v>
      </c>
      <c r="M4643" t="s">
        <v>27251</v>
      </c>
      <c r="N4643" t="s">
        <v>27252</v>
      </c>
      <c r="Q4643" s="1">
        <v>44538</v>
      </c>
      <c r="R4643" t="s">
        <v>27253</v>
      </c>
      <c r="S4643" t="s">
        <v>27254</v>
      </c>
      <c r="T4643" t="s">
        <v>27255</v>
      </c>
    </row>
    <row r="4644" spans="1:20" x14ac:dyDescent="0.3">
      <c r="A4644" t="str">
        <f>"0611862042050"</f>
        <v>0611862042050</v>
      </c>
      <c r="B4644" t="str">
        <f>"CR3534"</f>
        <v>CR3534</v>
      </c>
      <c r="C4644" t="s">
        <v>36214</v>
      </c>
      <c r="D4644" t="s">
        <v>27263</v>
      </c>
      <c r="E4644" t="str">
        <f t="shared" si="72"/>
        <v>001390</v>
      </c>
      <c r="F4644" t="s">
        <v>27246</v>
      </c>
      <c r="G4644" t="s">
        <v>27247</v>
      </c>
      <c r="H4644" t="s">
        <v>27248</v>
      </c>
      <c r="I4644" t="s">
        <v>36215</v>
      </c>
      <c r="J4644" t="s">
        <v>9259</v>
      </c>
      <c r="L4644" t="s">
        <v>27250</v>
      </c>
      <c r="M4644" t="s">
        <v>27251</v>
      </c>
      <c r="N4644" t="s">
        <v>27252</v>
      </c>
      <c r="Q4644" s="1">
        <v>44846</v>
      </c>
      <c r="R4644" t="s">
        <v>27253</v>
      </c>
      <c r="S4644" t="s">
        <v>27254</v>
      </c>
      <c r="T4644" t="s">
        <v>27265</v>
      </c>
    </row>
    <row r="4645" spans="1:20" x14ac:dyDescent="0.3">
      <c r="A4645" t="str">
        <f>"0611834432100"</f>
        <v>0611834432100</v>
      </c>
      <c r="B4645" t="str">
        <f>"LB2731"</f>
        <v>LB2731</v>
      </c>
      <c r="C4645" t="s">
        <v>36216</v>
      </c>
      <c r="D4645" t="s">
        <v>27245</v>
      </c>
      <c r="E4645" t="str">
        <f t="shared" si="72"/>
        <v>001390</v>
      </c>
      <c r="F4645" t="s">
        <v>27246</v>
      </c>
      <c r="G4645" t="s">
        <v>27247</v>
      </c>
      <c r="H4645" t="s">
        <v>27248</v>
      </c>
      <c r="I4645" t="s">
        <v>36217</v>
      </c>
      <c r="J4645" t="s">
        <v>9257</v>
      </c>
      <c r="L4645" t="s">
        <v>27250</v>
      </c>
      <c r="M4645" t="s">
        <v>27251</v>
      </c>
      <c r="N4645" t="s">
        <v>27252</v>
      </c>
      <c r="Q4645" s="1">
        <v>44538</v>
      </c>
      <c r="R4645" t="s">
        <v>27253</v>
      </c>
      <c r="S4645" t="s">
        <v>27254</v>
      </c>
      <c r="T4645" t="s">
        <v>27255</v>
      </c>
    </row>
    <row r="4646" spans="1:20" x14ac:dyDescent="0.3">
      <c r="A4646" t="str">
        <f>"0611834433100"</f>
        <v>0611834433100</v>
      </c>
      <c r="B4646" t="str">
        <f>"LB2732"</f>
        <v>LB2732</v>
      </c>
      <c r="C4646" t="s">
        <v>36218</v>
      </c>
      <c r="D4646" t="s">
        <v>27245</v>
      </c>
      <c r="E4646" t="str">
        <f t="shared" si="72"/>
        <v>001390</v>
      </c>
      <c r="F4646" t="s">
        <v>27246</v>
      </c>
      <c r="G4646" t="s">
        <v>27247</v>
      </c>
      <c r="H4646" t="s">
        <v>27248</v>
      </c>
      <c r="I4646" t="s">
        <v>36219</v>
      </c>
      <c r="J4646" t="s">
        <v>9261</v>
      </c>
      <c r="L4646" t="s">
        <v>27250</v>
      </c>
      <c r="M4646" t="s">
        <v>27251</v>
      </c>
      <c r="N4646" t="s">
        <v>27252</v>
      </c>
      <c r="Q4646" s="1">
        <v>44538</v>
      </c>
      <c r="R4646" t="s">
        <v>27253</v>
      </c>
      <c r="S4646" t="s">
        <v>27254</v>
      </c>
      <c r="T4646" t="s">
        <v>27255</v>
      </c>
    </row>
    <row r="4647" spans="1:20" x14ac:dyDescent="0.3">
      <c r="A4647" t="str">
        <f>"0611834436100"</f>
        <v>0611834436100</v>
      </c>
      <c r="B4647" t="str">
        <f>"LB2666"</f>
        <v>LB2666</v>
      </c>
      <c r="C4647" t="s">
        <v>36220</v>
      </c>
      <c r="D4647" t="s">
        <v>27245</v>
      </c>
      <c r="E4647" t="str">
        <f t="shared" si="72"/>
        <v>001390</v>
      </c>
      <c r="F4647" t="s">
        <v>27246</v>
      </c>
      <c r="G4647" t="s">
        <v>27247</v>
      </c>
      <c r="H4647" t="s">
        <v>27248</v>
      </c>
      <c r="I4647" t="s">
        <v>36221</v>
      </c>
      <c r="J4647" t="s">
        <v>9269</v>
      </c>
      <c r="L4647" t="s">
        <v>27250</v>
      </c>
      <c r="M4647" t="s">
        <v>27251</v>
      </c>
      <c r="N4647" t="s">
        <v>27252</v>
      </c>
      <c r="Q4647" s="1">
        <v>44538</v>
      </c>
      <c r="R4647" t="s">
        <v>27253</v>
      </c>
      <c r="S4647" t="s">
        <v>27254</v>
      </c>
      <c r="T4647" t="s">
        <v>27255</v>
      </c>
    </row>
    <row r="4648" spans="1:20" x14ac:dyDescent="0.3">
      <c r="A4648" t="str">
        <f>"0611834434100"</f>
        <v>0611834434100</v>
      </c>
      <c r="B4648" t="str">
        <f>"LK6745"</f>
        <v>LK6745</v>
      </c>
      <c r="C4648" t="s">
        <v>36222</v>
      </c>
      <c r="D4648" t="s">
        <v>27245</v>
      </c>
      <c r="E4648" t="str">
        <f t="shared" si="72"/>
        <v>001390</v>
      </c>
      <c r="F4648" t="s">
        <v>27246</v>
      </c>
      <c r="G4648" t="s">
        <v>27247</v>
      </c>
      <c r="H4648" t="s">
        <v>27248</v>
      </c>
      <c r="I4648" t="s">
        <v>36223</v>
      </c>
      <c r="J4648" t="s">
        <v>9265</v>
      </c>
      <c r="L4648" t="s">
        <v>27250</v>
      </c>
      <c r="M4648" t="s">
        <v>27251</v>
      </c>
      <c r="N4648" t="s">
        <v>27252</v>
      </c>
      <c r="Q4648" s="1">
        <v>44538</v>
      </c>
      <c r="R4648" t="s">
        <v>27253</v>
      </c>
      <c r="S4648" t="s">
        <v>27254</v>
      </c>
      <c r="T4648" t="s">
        <v>27255</v>
      </c>
    </row>
    <row r="4649" spans="1:20" x14ac:dyDescent="0.3">
      <c r="A4649" t="str">
        <f>"0611834435100"</f>
        <v>0611834435100</v>
      </c>
      <c r="B4649" t="str">
        <f>"LK6746"</f>
        <v>LK6746</v>
      </c>
      <c r="C4649" t="s">
        <v>36224</v>
      </c>
      <c r="D4649" t="s">
        <v>27245</v>
      </c>
      <c r="E4649" t="str">
        <f t="shared" si="72"/>
        <v>001390</v>
      </c>
      <c r="F4649" t="s">
        <v>27246</v>
      </c>
      <c r="G4649" t="s">
        <v>27247</v>
      </c>
      <c r="H4649" t="s">
        <v>27248</v>
      </c>
      <c r="I4649" t="s">
        <v>36225</v>
      </c>
      <c r="J4649" t="s">
        <v>9267</v>
      </c>
      <c r="L4649" t="s">
        <v>27250</v>
      </c>
      <c r="M4649" t="s">
        <v>27251</v>
      </c>
      <c r="N4649" t="s">
        <v>27252</v>
      </c>
      <c r="Q4649" s="1">
        <v>44538</v>
      </c>
      <c r="R4649" t="s">
        <v>27253</v>
      </c>
      <c r="S4649" t="s">
        <v>27254</v>
      </c>
      <c r="T4649" t="s">
        <v>27255</v>
      </c>
    </row>
    <row r="4650" spans="1:20" x14ac:dyDescent="0.3">
      <c r="A4650" t="str">
        <f>"0611834437025"</f>
        <v>0611834437025</v>
      </c>
      <c r="B4650" t="str">
        <f>"MC3861"</f>
        <v>MC3861</v>
      </c>
      <c r="C4650" t="s">
        <v>36226</v>
      </c>
      <c r="D4650" t="s">
        <v>27267</v>
      </c>
      <c r="E4650" t="str">
        <f t="shared" si="72"/>
        <v>001390</v>
      </c>
      <c r="F4650" t="s">
        <v>27246</v>
      </c>
      <c r="G4650" t="s">
        <v>27247</v>
      </c>
      <c r="H4650" t="s">
        <v>27248</v>
      </c>
      <c r="I4650" t="s">
        <v>36227</v>
      </c>
      <c r="J4650" t="s">
        <v>9271</v>
      </c>
      <c r="L4650" t="s">
        <v>27250</v>
      </c>
      <c r="M4650" t="s">
        <v>27251</v>
      </c>
      <c r="N4650" t="s">
        <v>27252</v>
      </c>
      <c r="Q4650" s="1">
        <v>44538</v>
      </c>
      <c r="R4650" t="s">
        <v>27253</v>
      </c>
      <c r="S4650" t="s">
        <v>27254</v>
      </c>
      <c r="T4650" t="s">
        <v>27269</v>
      </c>
    </row>
    <row r="4651" spans="1:20" x14ac:dyDescent="0.3">
      <c r="A4651" t="str">
        <f>"0611834439025"</f>
        <v>0611834439025</v>
      </c>
      <c r="B4651" t="str">
        <f>"MC3509"</f>
        <v>MC3509</v>
      </c>
      <c r="C4651" t="s">
        <v>36228</v>
      </c>
      <c r="D4651" t="s">
        <v>27267</v>
      </c>
      <c r="E4651" t="str">
        <f t="shared" si="72"/>
        <v>001390</v>
      </c>
      <c r="F4651" t="s">
        <v>27246</v>
      </c>
      <c r="G4651" t="s">
        <v>27247</v>
      </c>
      <c r="H4651" t="s">
        <v>27248</v>
      </c>
      <c r="I4651" t="s">
        <v>36229</v>
      </c>
      <c r="J4651" t="s">
        <v>9273</v>
      </c>
      <c r="L4651" t="s">
        <v>27250</v>
      </c>
      <c r="M4651" t="s">
        <v>27251</v>
      </c>
      <c r="N4651" t="s">
        <v>27252</v>
      </c>
      <c r="Q4651" s="1">
        <v>44538</v>
      </c>
      <c r="R4651" t="s">
        <v>27253</v>
      </c>
      <c r="S4651" t="s">
        <v>27254</v>
      </c>
      <c r="T4651" t="s">
        <v>27269</v>
      </c>
    </row>
    <row r="4652" spans="1:20" x14ac:dyDescent="0.3">
      <c r="A4652" t="str">
        <f>"0611834440025"</f>
        <v>0611834440025</v>
      </c>
      <c r="B4652" t="str">
        <f>"MC3416"</f>
        <v>MC3416</v>
      </c>
      <c r="C4652" t="s">
        <v>36230</v>
      </c>
      <c r="D4652" t="s">
        <v>27267</v>
      </c>
      <c r="E4652" t="str">
        <f t="shared" si="72"/>
        <v>001390</v>
      </c>
      <c r="F4652" t="s">
        <v>27246</v>
      </c>
      <c r="G4652" t="s">
        <v>27247</v>
      </c>
      <c r="H4652" t="s">
        <v>27248</v>
      </c>
      <c r="I4652" t="s">
        <v>36231</v>
      </c>
      <c r="J4652" t="s">
        <v>9275</v>
      </c>
      <c r="L4652" t="s">
        <v>27250</v>
      </c>
      <c r="M4652" t="s">
        <v>27251</v>
      </c>
      <c r="N4652" t="s">
        <v>27252</v>
      </c>
      <c r="Q4652" s="1">
        <v>44538</v>
      </c>
      <c r="R4652" t="s">
        <v>27253</v>
      </c>
      <c r="S4652" t="s">
        <v>27254</v>
      </c>
      <c r="T4652" t="s">
        <v>27269</v>
      </c>
    </row>
    <row r="4653" spans="1:20" x14ac:dyDescent="0.3">
      <c r="A4653" t="str">
        <f>"0611834441025"</f>
        <v>0611834441025</v>
      </c>
      <c r="B4653" t="str">
        <f>"MC2425"</f>
        <v>MC2425</v>
      </c>
      <c r="C4653" t="s">
        <v>36232</v>
      </c>
      <c r="D4653" t="s">
        <v>27267</v>
      </c>
      <c r="E4653" t="str">
        <f t="shared" si="72"/>
        <v>001390</v>
      </c>
      <c r="F4653" t="s">
        <v>27246</v>
      </c>
      <c r="G4653" t="s">
        <v>27247</v>
      </c>
      <c r="H4653" t="s">
        <v>27248</v>
      </c>
      <c r="I4653" t="s">
        <v>36233</v>
      </c>
      <c r="J4653" t="s">
        <v>9277</v>
      </c>
      <c r="L4653" t="s">
        <v>27250</v>
      </c>
      <c r="M4653" t="s">
        <v>27251</v>
      </c>
      <c r="N4653" t="s">
        <v>27252</v>
      </c>
      <c r="Q4653" s="1">
        <v>44538</v>
      </c>
      <c r="R4653" t="s">
        <v>27253</v>
      </c>
      <c r="S4653" t="s">
        <v>27254</v>
      </c>
      <c r="T4653" t="s">
        <v>27269</v>
      </c>
    </row>
    <row r="4654" spans="1:20" x14ac:dyDescent="0.3">
      <c r="A4654" t="str">
        <f>"0611834442025"</f>
        <v>0611834442025</v>
      </c>
      <c r="B4654" t="str">
        <f>"MQ0573"</f>
        <v>MQ0573</v>
      </c>
      <c r="C4654" t="s">
        <v>36234</v>
      </c>
      <c r="D4654" t="s">
        <v>28057</v>
      </c>
      <c r="E4654" t="str">
        <f t="shared" si="72"/>
        <v>001390</v>
      </c>
      <c r="F4654" t="s">
        <v>27246</v>
      </c>
      <c r="G4654" t="s">
        <v>27247</v>
      </c>
      <c r="H4654" t="s">
        <v>27248</v>
      </c>
      <c r="I4654" t="s">
        <v>36235</v>
      </c>
      <c r="J4654" t="s">
        <v>9279</v>
      </c>
      <c r="L4654" t="s">
        <v>27250</v>
      </c>
      <c r="M4654" t="s">
        <v>27251</v>
      </c>
      <c r="N4654" t="s">
        <v>27252</v>
      </c>
      <c r="P4654" t="s">
        <v>27925</v>
      </c>
      <c r="Q4654" s="1">
        <v>44538</v>
      </c>
      <c r="R4654" t="s">
        <v>27253</v>
      </c>
      <c r="S4654" t="s">
        <v>27254</v>
      </c>
      <c r="T4654" t="s">
        <v>27269</v>
      </c>
    </row>
    <row r="4655" spans="1:20" x14ac:dyDescent="0.3">
      <c r="A4655" t="str">
        <f>"0611834443025"</f>
        <v>0611834443025</v>
      </c>
      <c r="B4655" t="str">
        <f>"MQ0497"</f>
        <v>MQ0497</v>
      </c>
      <c r="C4655" t="s">
        <v>36236</v>
      </c>
      <c r="D4655" t="s">
        <v>28057</v>
      </c>
      <c r="E4655" t="str">
        <f t="shared" si="72"/>
        <v>001390</v>
      </c>
      <c r="F4655" t="s">
        <v>27246</v>
      </c>
      <c r="G4655" t="s">
        <v>27247</v>
      </c>
      <c r="H4655" t="s">
        <v>27248</v>
      </c>
      <c r="I4655" t="s">
        <v>36237</v>
      </c>
      <c r="J4655" t="s">
        <v>9281</v>
      </c>
      <c r="L4655" t="s">
        <v>27250</v>
      </c>
      <c r="M4655" t="s">
        <v>27251</v>
      </c>
      <c r="N4655" t="s">
        <v>27252</v>
      </c>
      <c r="P4655" t="s">
        <v>27925</v>
      </c>
      <c r="Q4655" s="1">
        <v>44538</v>
      </c>
      <c r="R4655" t="s">
        <v>27253</v>
      </c>
      <c r="S4655" t="s">
        <v>27254</v>
      </c>
      <c r="T4655" t="s">
        <v>27269</v>
      </c>
    </row>
    <row r="4656" spans="1:20" x14ac:dyDescent="0.3">
      <c r="A4656" t="str">
        <f>"0611834444100"</f>
        <v>0611834444100</v>
      </c>
      <c r="B4656" t="str">
        <f>"LH4134"</f>
        <v>LH4134</v>
      </c>
      <c r="C4656" t="s">
        <v>36238</v>
      </c>
      <c r="D4656" t="s">
        <v>27245</v>
      </c>
      <c r="E4656" t="str">
        <f t="shared" si="72"/>
        <v>001390</v>
      </c>
      <c r="F4656" t="s">
        <v>27246</v>
      </c>
      <c r="G4656" t="s">
        <v>27247</v>
      </c>
      <c r="H4656" t="s">
        <v>27248</v>
      </c>
      <c r="I4656" t="s">
        <v>36239</v>
      </c>
      <c r="J4656" t="s">
        <v>9283</v>
      </c>
      <c r="L4656" t="s">
        <v>27250</v>
      </c>
      <c r="M4656" t="s">
        <v>27251</v>
      </c>
      <c r="N4656" t="s">
        <v>27252</v>
      </c>
      <c r="Q4656" s="1">
        <v>44538</v>
      </c>
      <c r="R4656" t="s">
        <v>27253</v>
      </c>
      <c r="S4656" t="s">
        <v>27254</v>
      </c>
      <c r="T4656" t="s">
        <v>27255</v>
      </c>
    </row>
    <row r="4657" spans="1:20" x14ac:dyDescent="0.3">
      <c r="A4657" t="str">
        <f>"0611862043100"</f>
        <v>0611862043100</v>
      </c>
      <c r="B4657" t="str">
        <f>"CN5179"</f>
        <v>CN5179</v>
      </c>
      <c r="C4657" t="s">
        <v>36240</v>
      </c>
      <c r="D4657" t="s">
        <v>27335</v>
      </c>
      <c r="E4657" t="str">
        <f t="shared" si="72"/>
        <v>001390</v>
      </c>
      <c r="F4657" t="s">
        <v>27246</v>
      </c>
      <c r="G4657" t="s">
        <v>27247</v>
      </c>
      <c r="H4657" t="s">
        <v>27248</v>
      </c>
      <c r="I4657" t="s">
        <v>36241</v>
      </c>
      <c r="J4657" t="s">
        <v>9285</v>
      </c>
      <c r="L4657" t="s">
        <v>27250</v>
      </c>
      <c r="M4657" t="s">
        <v>27251</v>
      </c>
      <c r="N4657" t="s">
        <v>27252</v>
      </c>
      <c r="Q4657" s="1">
        <v>44846</v>
      </c>
      <c r="R4657" t="s">
        <v>27253</v>
      </c>
      <c r="S4657" t="s">
        <v>27254</v>
      </c>
      <c r="T4657" t="s">
        <v>27255</v>
      </c>
    </row>
    <row r="4658" spans="1:20" x14ac:dyDescent="0.3">
      <c r="A4658" t="str">
        <f>"0611862044050"</f>
        <v>0611862044050</v>
      </c>
      <c r="B4658" t="str">
        <f>"CR4286"</f>
        <v>CR4286</v>
      </c>
      <c r="C4658" t="s">
        <v>36240</v>
      </c>
      <c r="D4658" t="s">
        <v>27263</v>
      </c>
      <c r="E4658" t="str">
        <f t="shared" si="72"/>
        <v>001390</v>
      </c>
      <c r="F4658" t="s">
        <v>27246</v>
      </c>
      <c r="G4658" t="s">
        <v>27247</v>
      </c>
      <c r="H4658" t="s">
        <v>27248</v>
      </c>
      <c r="I4658" t="s">
        <v>36242</v>
      </c>
      <c r="J4658" t="s">
        <v>9287</v>
      </c>
      <c r="L4658" t="s">
        <v>27250</v>
      </c>
      <c r="M4658" t="s">
        <v>27251</v>
      </c>
      <c r="N4658" t="s">
        <v>27252</v>
      </c>
      <c r="Q4658" s="1">
        <v>44846</v>
      </c>
      <c r="R4658" t="s">
        <v>27253</v>
      </c>
      <c r="S4658" t="s">
        <v>27254</v>
      </c>
      <c r="T4658" t="s">
        <v>27265</v>
      </c>
    </row>
    <row r="4659" spans="1:20" x14ac:dyDescent="0.3">
      <c r="A4659" t="str">
        <f>"0611862045100"</f>
        <v>0611862045100</v>
      </c>
      <c r="B4659" t="str">
        <f>"CN5167"</f>
        <v>CN5167</v>
      </c>
      <c r="C4659" t="s">
        <v>36243</v>
      </c>
      <c r="D4659" t="s">
        <v>27335</v>
      </c>
      <c r="E4659" t="str">
        <f t="shared" si="72"/>
        <v>001390</v>
      </c>
      <c r="F4659" t="s">
        <v>27246</v>
      </c>
      <c r="G4659" t="s">
        <v>27247</v>
      </c>
      <c r="H4659" t="s">
        <v>27248</v>
      </c>
      <c r="I4659" t="s">
        <v>36244</v>
      </c>
      <c r="J4659" t="s">
        <v>9289</v>
      </c>
      <c r="L4659" t="s">
        <v>27250</v>
      </c>
      <c r="M4659" t="s">
        <v>27251</v>
      </c>
      <c r="N4659" t="s">
        <v>27252</v>
      </c>
      <c r="Q4659" s="1">
        <v>44846</v>
      </c>
      <c r="R4659" t="s">
        <v>27253</v>
      </c>
      <c r="S4659" t="s">
        <v>27254</v>
      </c>
      <c r="T4659" t="s">
        <v>27255</v>
      </c>
    </row>
    <row r="4660" spans="1:20" x14ac:dyDescent="0.3">
      <c r="A4660" t="str">
        <f>"0611862046100"</f>
        <v>0611862046100</v>
      </c>
      <c r="B4660" t="str">
        <f>"CN5168"</f>
        <v>CN5168</v>
      </c>
      <c r="C4660" t="s">
        <v>36245</v>
      </c>
      <c r="D4660" t="s">
        <v>27245</v>
      </c>
      <c r="E4660" t="str">
        <f t="shared" si="72"/>
        <v>001390</v>
      </c>
      <c r="F4660" t="s">
        <v>27246</v>
      </c>
      <c r="G4660" t="s">
        <v>27247</v>
      </c>
      <c r="H4660" t="s">
        <v>27248</v>
      </c>
      <c r="I4660" t="s">
        <v>36246</v>
      </c>
      <c r="J4660" t="s">
        <v>9291</v>
      </c>
      <c r="L4660" t="s">
        <v>27250</v>
      </c>
      <c r="M4660" t="s">
        <v>27251</v>
      </c>
      <c r="N4660" t="s">
        <v>27252</v>
      </c>
      <c r="Q4660" s="1">
        <v>44846</v>
      </c>
      <c r="R4660" t="s">
        <v>27253</v>
      </c>
      <c r="S4660" t="s">
        <v>27254</v>
      </c>
      <c r="T4660" t="s">
        <v>27255</v>
      </c>
    </row>
    <row r="4661" spans="1:20" x14ac:dyDescent="0.3">
      <c r="A4661" t="str">
        <f>"0611862047050"</f>
        <v>0611862047050</v>
      </c>
      <c r="B4661" t="str">
        <f>"CR4288"</f>
        <v>CR4288</v>
      </c>
      <c r="C4661" t="s">
        <v>36245</v>
      </c>
      <c r="D4661" t="s">
        <v>27286</v>
      </c>
      <c r="E4661" t="str">
        <f t="shared" si="72"/>
        <v>001390</v>
      </c>
      <c r="F4661" t="s">
        <v>27246</v>
      </c>
      <c r="G4661" t="s">
        <v>27247</v>
      </c>
      <c r="H4661" t="s">
        <v>27248</v>
      </c>
      <c r="I4661" t="s">
        <v>36247</v>
      </c>
      <c r="J4661" t="s">
        <v>9293</v>
      </c>
      <c r="L4661" t="s">
        <v>27250</v>
      </c>
      <c r="M4661" t="s">
        <v>27251</v>
      </c>
      <c r="N4661" t="s">
        <v>27252</v>
      </c>
      <c r="Q4661" s="1">
        <v>44846</v>
      </c>
      <c r="R4661" t="s">
        <v>27253</v>
      </c>
      <c r="S4661" t="s">
        <v>27254</v>
      </c>
      <c r="T4661" t="s">
        <v>27265</v>
      </c>
    </row>
    <row r="4662" spans="1:20" x14ac:dyDescent="0.3">
      <c r="A4662" t="str">
        <f>"0611862048100"</f>
        <v>0611862048100</v>
      </c>
      <c r="B4662" t="str">
        <f>"CN5166"</f>
        <v>CN5166</v>
      </c>
      <c r="C4662" t="s">
        <v>36248</v>
      </c>
      <c r="D4662" t="s">
        <v>27335</v>
      </c>
      <c r="E4662" t="str">
        <f t="shared" si="72"/>
        <v>001390</v>
      </c>
      <c r="F4662" t="s">
        <v>27246</v>
      </c>
      <c r="G4662" t="s">
        <v>27247</v>
      </c>
      <c r="H4662" t="s">
        <v>27248</v>
      </c>
      <c r="I4662" t="s">
        <v>36249</v>
      </c>
      <c r="J4662" t="s">
        <v>9295</v>
      </c>
      <c r="L4662" t="s">
        <v>27250</v>
      </c>
      <c r="M4662" t="s">
        <v>27251</v>
      </c>
      <c r="N4662" t="s">
        <v>27252</v>
      </c>
      <c r="Q4662" s="1">
        <v>44846</v>
      </c>
      <c r="R4662" t="s">
        <v>27253</v>
      </c>
      <c r="S4662" t="s">
        <v>27254</v>
      </c>
      <c r="T4662" t="s">
        <v>27255</v>
      </c>
    </row>
    <row r="4663" spans="1:20" x14ac:dyDescent="0.3">
      <c r="A4663" t="str">
        <f>"0611862049050"</f>
        <v>0611862049050</v>
      </c>
      <c r="B4663" t="str">
        <f>"CR4289"</f>
        <v>CR4289</v>
      </c>
      <c r="C4663" t="s">
        <v>36248</v>
      </c>
      <c r="D4663" t="s">
        <v>27263</v>
      </c>
      <c r="E4663" t="str">
        <f t="shared" si="72"/>
        <v>001390</v>
      </c>
      <c r="F4663" t="s">
        <v>27246</v>
      </c>
      <c r="G4663" t="s">
        <v>27247</v>
      </c>
      <c r="H4663" t="s">
        <v>27248</v>
      </c>
      <c r="I4663" t="s">
        <v>36250</v>
      </c>
      <c r="J4663" t="s">
        <v>9297</v>
      </c>
      <c r="L4663" t="s">
        <v>27250</v>
      </c>
      <c r="M4663" t="s">
        <v>27251</v>
      </c>
      <c r="N4663" t="s">
        <v>27252</v>
      </c>
      <c r="Q4663" s="1">
        <v>44846</v>
      </c>
      <c r="R4663" t="s">
        <v>27253</v>
      </c>
      <c r="S4663" t="s">
        <v>27254</v>
      </c>
      <c r="T4663" t="s">
        <v>27265</v>
      </c>
    </row>
    <row r="4664" spans="1:20" x14ac:dyDescent="0.3">
      <c r="A4664" t="str">
        <f>"0611834446025"</f>
        <v>0611834446025</v>
      </c>
      <c r="B4664" t="str">
        <f>"MQ6027"</f>
        <v>MQ6027</v>
      </c>
      <c r="C4664" t="s">
        <v>36251</v>
      </c>
      <c r="D4664" t="s">
        <v>27267</v>
      </c>
      <c r="E4664" t="str">
        <f t="shared" si="72"/>
        <v>001390</v>
      </c>
      <c r="F4664" t="s">
        <v>27246</v>
      </c>
      <c r="G4664" t="s">
        <v>27247</v>
      </c>
      <c r="H4664" t="s">
        <v>27248</v>
      </c>
      <c r="I4664" t="s">
        <v>36252</v>
      </c>
      <c r="J4664" t="s">
        <v>9299</v>
      </c>
      <c r="L4664" t="s">
        <v>27250</v>
      </c>
      <c r="M4664" t="s">
        <v>27251</v>
      </c>
      <c r="N4664" t="s">
        <v>27252</v>
      </c>
      <c r="Q4664" s="1">
        <v>44538</v>
      </c>
      <c r="R4664" t="s">
        <v>27253</v>
      </c>
      <c r="S4664" t="s">
        <v>27254</v>
      </c>
      <c r="T4664" t="s">
        <v>27269</v>
      </c>
    </row>
    <row r="4665" spans="1:20" x14ac:dyDescent="0.3">
      <c r="A4665" t="str">
        <f>"0611834447100"</f>
        <v>0611834447100</v>
      </c>
      <c r="B4665" t="str">
        <f>"LH4147"</f>
        <v>LH4147</v>
      </c>
      <c r="C4665" t="s">
        <v>36253</v>
      </c>
      <c r="D4665" t="s">
        <v>27245</v>
      </c>
      <c r="E4665" t="str">
        <f t="shared" si="72"/>
        <v>001390</v>
      </c>
      <c r="F4665" t="s">
        <v>27246</v>
      </c>
      <c r="G4665" t="s">
        <v>27247</v>
      </c>
      <c r="H4665" t="s">
        <v>27248</v>
      </c>
      <c r="I4665" t="s">
        <v>36254</v>
      </c>
      <c r="J4665" t="s">
        <v>9303</v>
      </c>
      <c r="L4665" t="s">
        <v>27250</v>
      </c>
      <c r="M4665" t="s">
        <v>27251</v>
      </c>
      <c r="N4665" t="s">
        <v>27252</v>
      </c>
      <c r="Q4665" s="1">
        <v>44538</v>
      </c>
      <c r="R4665" t="s">
        <v>27253</v>
      </c>
      <c r="S4665" t="s">
        <v>27254</v>
      </c>
      <c r="T4665" t="s">
        <v>27255</v>
      </c>
    </row>
    <row r="4666" spans="1:20" x14ac:dyDescent="0.3">
      <c r="A4666" t="str">
        <f>"0611834448025"</f>
        <v>0611834448025</v>
      </c>
      <c r="B4666" t="str">
        <f>"MC3729"</f>
        <v>MC3729</v>
      </c>
      <c r="C4666" t="s">
        <v>36253</v>
      </c>
      <c r="D4666" t="s">
        <v>27267</v>
      </c>
      <c r="E4666" t="str">
        <f t="shared" si="72"/>
        <v>001390</v>
      </c>
      <c r="F4666" t="s">
        <v>27246</v>
      </c>
      <c r="G4666" t="s">
        <v>27247</v>
      </c>
      <c r="H4666" t="s">
        <v>27248</v>
      </c>
      <c r="I4666" t="s">
        <v>36255</v>
      </c>
      <c r="J4666" t="s">
        <v>9305</v>
      </c>
      <c r="L4666" t="s">
        <v>27250</v>
      </c>
      <c r="M4666" t="s">
        <v>27251</v>
      </c>
      <c r="N4666" t="s">
        <v>27252</v>
      </c>
      <c r="Q4666" s="1">
        <v>44538</v>
      </c>
      <c r="R4666" t="s">
        <v>27253</v>
      </c>
      <c r="S4666" t="s">
        <v>27254</v>
      </c>
      <c r="T4666" t="s">
        <v>27269</v>
      </c>
    </row>
    <row r="4667" spans="1:20" x14ac:dyDescent="0.3">
      <c r="A4667" t="str">
        <f>"0611834453025"</f>
        <v>0611834453025</v>
      </c>
      <c r="B4667" t="str">
        <f>"MQ5127"</f>
        <v>MQ5127</v>
      </c>
      <c r="C4667" t="s">
        <v>36256</v>
      </c>
      <c r="D4667" t="s">
        <v>27267</v>
      </c>
      <c r="E4667" t="str">
        <f t="shared" si="72"/>
        <v>001390</v>
      </c>
      <c r="F4667" t="s">
        <v>27246</v>
      </c>
      <c r="G4667" t="s">
        <v>27247</v>
      </c>
      <c r="H4667" t="s">
        <v>27248</v>
      </c>
      <c r="I4667" t="s">
        <v>36257</v>
      </c>
      <c r="J4667" t="s">
        <v>9301</v>
      </c>
      <c r="L4667" t="s">
        <v>27250</v>
      </c>
      <c r="M4667" t="s">
        <v>27251</v>
      </c>
      <c r="N4667" t="s">
        <v>27252</v>
      </c>
      <c r="Q4667" s="1">
        <v>44538</v>
      </c>
      <c r="R4667" t="s">
        <v>27253</v>
      </c>
      <c r="S4667" t="s">
        <v>27254</v>
      </c>
      <c r="T4667" t="s">
        <v>27269</v>
      </c>
    </row>
    <row r="4668" spans="1:20" x14ac:dyDescent="0.3">
      <c r="A4668" t="str">
        <f>"0611834454100"</f>
        <v>0611834454100</v>
      </c>
      <c r="B4668" t="str">
        <f>"LH4150"</f>
        <v>LH4150</v>
      </c>
      <c r="C4668" t="s">
        <v>36258</v>
      </c>
      <c r="D4668" t="s">
        <v>27245</v>
      </c>
      <c r="E4668" t="str">
        <f t="shared" si="72"/>
        <v>001390</v>
      </c>
      <c r="F4668" t="s">
        <v>27246</v>
      </c>
      <c r="G4668" t="s">
        <v>27247</v>
      </c>
      <c r="H4668" t="s">
        <v>27248</v>
      </c>
      <c r="I4668" t="s">
        <v>36259</v>
      </c>
      <c r="J4668" t="s">
        <v>9307</v>
      </c>
      <c r="L4668" t="s">
        <v>27250</v>
      </c>
      <c r="M4668" t="s">
        <v>27251</v>
      </c>
      <c r="N4668" t="s">
        <v>27252</v>
      </c>
      <c r="Q4668" s="1">
        <v>44538</v>
      </c>
      <c r="R4668" t="s">
        <v>27253</v>
      </c>
      <c r="S4668" t="s">
        <v>27254</v>
      </c>
      <c r="T4668" t="s">
        <v>27255</v>
      </c>
    </row>
    <row r="4669" spans="1:20" x14ac:dyDescent="0.3">
      <c r="A4669" t="str">
        <f>"0611834455025"</f>
        <v>0611834455025</v>
      </c>
      <c r="B4669" t="str">
        <f>"MC0296"</f>
        <v>MC0296</v>
      </c>
      <c r="C4669" t="s">
        <v>36258</v>
      </c>
      <c r="D4669" t="s">
        <v>27267</v>
      </c>
      <c r="E4669" t="str">
        <f t="shared" si="72"/>
        <v>001390</v>
      </c>
      <c r="F4669" t="s">
        <v>27246</v>
      </c>
      <c r="G4669" t="s">
        <v>27247</v>
      </c>
      <c r="H4669" t="s">
        <v>27248</v>
      </c>
      <c r="I4669" t="s">
        <v>36260</v>
      </c>
      <c r="J4669" t="s">
        <v>9309</v>
      </c>
      <c r="L4669" t="s">
        <v>27250</v>
      </c>
      <c r="M4669" t="s">
        <v>27251</v>
      </c>
      <c r="N4669" t="s">
        <v>27252</v>
      </c>
      <c r="Q4669" s="1">
        <v>44538</v>
      </c>
      <c r="R4669" t="s">
        <v>27253</v>
      </c>
      <c r="S4669" t="s">
        <v>27254</v>
      </c>
      <c r="T4669" t="s">
        <v>27269</v>
      </c>
    </row>
    <row r="4670" spans="1:20" x14ac:dyDescent="0.3">
      <c r="A4670" t="str">
        <f>"0611856951025"</f>
        <v>0611856951025</v>
      </c>
      <c r="B4670" t="str">
        <f>"MQ0781"</f>
        <v>MQ0781</v>
      </c>
      <c r="C4670" t="s">
        <v>36261</v>
      </c>
      <c r="D4670" t="s">
        <v>27267</v>
      </c>
      <c r="E4670" t="str">
        <f t="shared" si="72"/>
        <v>001390</v>
      </c>
      <c r="F4670" t="s">
        <v>27246</v>
      </c>
      <c r="G4670" t="s">
        <v>27247</v>
      </c>
      <c r="H4670" t="s">
        <v>27248</v>
      </c>
      <c r="I4670" t="s">
        <v>36262</v>
      </c>
      <c r="J4670" t="s">
        <v>9311</v>
      </c>
      <c r="L4670" t="s">
        <v>27250</v>
      </c>
      <c r="M4670" t="s">
        <v>27251</v>
      </c>
      <c r="N4670" t="s">
        <v>27252</v>
      </c>
      <c r="Q4670" s="1">
        <v>44812</v>
      </c>
      <c r="R4670" t="s">
        <v>27253</v>
      </c>
      <c r="S4670" t="s">
        <v>27254</v>
      </c>
      <c r="T4670" t="s">
        <v>27269</v>
      </c>
    </row>
    <row r="4671" spans="1:20" x14ac:dyDescent="0.3">
      <c r="A4671" t="str">
        <f>"0611856952025"</f>
        <v>0611856952025</v>
      </c>
      <c r="B4671" t="str">
        <f>"MQ0782"</f>
        <v>MQ0782</v>
      </c>
      <c r="C4671" t="s">
        <v>36263</v>
      </c>
      <c r="D4671" t="s">
        <v>27267</v>
      </c>
      <c r="E4671" t="str">
        <f t="shared" si="72"/>
        <v>001390</v>
      </c>
      <c r="F4671" t="s">
        <v>27246</v>
      </c>
      <c r="G4671" t="s">
        <v>27247</v>
      </c>
      <c r="H4671" t="s">
        <v>27248</v>
      </c>
      <c r="I4671" t="s">
        <v>36264</v>
      </c>
      <c r="J4671" t="s">
        <v>9313</v>
      </c>
      <c r="L4671" t="s">
        <v>27250</v>
      </c>
      <c r="M4671" t="s">
        <v>27251</v>
      </c>
      <c r="N4671" t="s">
        <v>27252</v>
      </c>
      <c r="Q4671" s="1">
        <v>44812</v>
      </c>
      <c r="R4671" t="s">
        <v>27253</v>
      </c>
      <c r="S4671" t="s">
        <v>27254</v>
      </c>
      <c r="T4671" t="s">
        <v>27269</v>
      </c>
    </row>
    <row r="4672" spans="1:20" x14ac:dyDescent="0.3">
      <c r="A4672" t="str">
        <f>"0611856953025"</f>
        <v>0611856953025</v>
      </c>
      <c r="B4672" t="str">
        <f>"MQ0783"</f>
        <v>MQ0783</v>
      </c>
      <c r="C4672" t="s">
        <v>36265</v>
      </c>
      <c r="D4672" t="s">
        <v>27267</v>
      </c>
      <c r="E4672" t="str">
        <f t="shared" si="72"/>
        <v>001390</v>
      </c>
      <c r="F4672" t="s">
        <v>27246</v>
      </c>
      <c r="G4672" t="s">
        <v>27247</v>
      </c>
      <c r="H4672" t="s">
        <v>27248</v>
      </c>
      <c r="I4672" t="s">
        <v>36266</v>
      </c>
      <c r="J4672" t="s">
        <v>9315</v>
      </c>
      <c r="L4672" t="s">
        <v>27250</v>
      </c>
      <c r="M4672" t="s">
        <v>27251</v>
      </c>
      <c r="N4672" t="s">
        <v>27252</v>
      </c>
      <c r="Q4672" s="1">
        <v>44812</v>
      </c>
      <c r="R4672" t="s">
        <v>27253</v>
      </c>
      <c r="S4672" t="s">
        <v>27254</v>
      </c>
      <c r="T4672" t="s">
        <v>27269</v>
      </c>
    </row>
    <row r="4673" spans="1:20" x14ac:dyDescent="0.3">
      <c r="A4673" t="str">
        <f>"0611856954025"</f>
        <v>0611856954025</v>
      </c>
      <c r="B4673" t="str">
        <f>"MQ0784"</f>
        <v>MQ0784</v>
      </c>
      <c r="C4673" t="s">
        <v>36267</v>
      </c>
      <c r="D4673" t="s">
        <v>27267</v>
      </c>
      <c r="E4673" t="str">
        <f t="shared" si="72"/>
        <v>001390</v>
      </c>
      <c r="F4673" t="s">
        <v>27246</v>
      </c>
      <c r="G4673" t="s">
        <v>27247</v>
      </c>
      <c r="H4673" t="s">
        <v>27248</v>
      </c>
      <c r="I4673" t="s">
        <v>36268</v>
      </c>
      <c r="J4673" t="s">
        <v>9317</v>
      </c>
      <c r="L4673" t="s">
        <v>27250</v>
      </c>
      <c r="M4673" t="s">
        <v>27251</v>
      </c>
      <c r="N4673" t="s">
        <v>27252</v>
      </c>
      <c r="Q4673" s="1">
        <v>44812</v>
      </c>
      <c r="R4673" t="s">
        <v>27253</v>
      </c>
      <c r="S4673" t="s">
        <v>27254</v>
      </c>
      <c r="T4673" t="s">
        <v>27269</v>
      </c>
    </row>
    <row r="4674" spans="1:20" x14ac:dyDescent="0.3">
      <c r="A4674" t="str">
        <f>"0611834456025"</f>
        <v>0611834456025</v>
      </c>
      <c r="B4674" t="str">
        <f>"MQ6028"</f>
        <v>MQ6028</v>
      </c>
      <c r="C4674" t="s">
        <v>36269</v>
      </c>
      <c r="D4674" t="s">
        <v>27267</v>
      </c>
      <c r="E4674" t="str">
        <f t="shared" ref="E4674:E4737" si="73">"001390"</f>
        <v>001390</v>
      </c>
      <c r="F4674" t="s">
        <v>27246</v>
      </c>
      <c r="G4674" t="s">
        <v>27247</v>
      </c>
      <c r="H4674" t="s">
        <v>27248</v>
      </c>
      <c r="I4674" t="s">
        <v>36270</v>
      </c>
      <c r="J4674" t="s">
        <v>9319</v>
      </c>
      <c r="L4674" t="s">
        <v>27250</v>
      </c>
      <c r="M4674" t="s">
        <v>27251</v>
      </c>
      <c r="N4674" t="s">
        <v>27252</v>
      </c>
      <c r="Q4674" s="1">
        <v>44538</v>
      </c>
      <c r="R4674" t="s">
        <v>27253</v>
      </c>
      <c r="S4674" t="s">
        <v>27254</v>
      </c>
      <c r="T4674" t="s">
        <v>27269</v>
      </c>
    </row>
    <row r="4675" spans="1:20" x14ac:dyDescent="0.3">
      <c r="A4675" t="str">
        <f>"0611834457025"</f>
        <v>0611834457025</v>
      </c>
      <c r="B4675" t="str">
        <f>"MQ6029"</f>
        <v>MQ6029</v>
      </c>
      <c r="C4675" t="s">
        <v>36271</v>
      </c>
      <c r="D4675" t="s">
        <v>27267</v>
      </c>
      <c r="E4675" t="str">
        <f t="shared" si="73"/>
        <v>001390</v>
      </c>
      <c r="F4675" t="s">
        <v>27246</v>
      </c>
      <c r="G4675" t="s">
        <v>27247</v>
      </c>
      <c r="H4675" t="s">
        <v>27248</v>
      </c>
      <c r="I4675" t="s">
        <v>36272</v>
      </c>
      <c r="J4675" t="s">
        <v>9321</v>
      </c>
      <c r="L4675" t="s">
        <v>27250</v>
      </c>
      <c r="M4675" t="s">
        <v>27251</v>
      </c>
      <c r="N4675" t="s">
        <v>27252</v>
      </c>
      <c r="Q4675" s="1">
        <v>44538</v>
      </c>
      <c r="R4675" t="s">
        <v>27253</v>
      </c>
      <c r="S4675" t="s">
        <v>27254</v>
      </c>
      <c r="T4675" t="s">
        <v>27269</v>
      </c>
    </row>
    <row r="4676" spans="1:20" x14ac:dyDescent="0.3">
      <c r="A4676" t="str">
        <f>"0611834458025"</f>
        <v>0611834458025</v>
      </c>
      <c r="B4676" t="str">
        <f>"MQ0574"</f>
        <v>MQ0574</v>
      </c>
      <c r="C4676" t="s">
        <v>36273</v>
      </c>
      <c r="D4676" t="s">
        <v>27267</v>
      </c>
      <c r="E4676" t="str">
        <f t="shared" si="73"/>
        <v>001390</v>
      </c>
      <c r="F4676" t="s">
        <v>27246</v>
      </c>
      <c r="G4676" t="s">
        <v>27247</v>
      </c>
      <c r="H4676" t="s">
        <v>27248</v>
      </c>
      <c r="I4676" t="s">
        <v>36274</v>
      </c>
      <c r="J4676" t="s">
        <v>9323</v>
      </c>
      <c r="L4676" t="s">
        <v>27250</v>
      </c>
      <c r="M4676" t="s">
        <v>27251</v>
      </c>
      <c r="N4676" t="s">
        <v>27252</v>
      </c>
      <c r="Q4676" s="1">
        <v>44538</v>
      </c>
      <c r="R4676" t="s">
        <v>27253</v>
      </c>
      <c r="S4676" t="s">
        <v>27254</v>
      </c>
      <c r="T4676" t="s">
        <v>27269</v>
      </c>
    </row>
    <row r="4677" spans="1:20" x14ac:dyDescent="0.3">
      <c r="A4677" t="str">
        <f>"0611834459025"</f>
        <v>0611834459025</v>
      </c>
      <c r="B4677" t="str">
        <f>"MQ0498"</f>
        <v>MQ0498</v>
      </c>
      <c r="C4677" t="s">
        <v>36275</v>
      </c>
      <c r="D4677" t="s">
        <v>27267</v>
      </c>
      <c r="E4677" t="str">
        <f t="shared" si="73"/>
        <v>001390</v>
      </c>
      <c r="F4677" t="s">
        <v>27246</v>
      </c>
      <c r="G4677" t="s">
        <v>27247</v>
      </c>
      <c r="H4677" t="s">
        <v>27248</v>
      </c>
      <c r="I4677" t="s">
        <v>36276</v>
      </c>
      <c r="J4677" t="s">
        <v>9325</v>
      </c>
      <c r="L4677" t="s">
        <v>27250</v>
      </c>
      <c r="M4677" t="s">
        <v>27251</v>
      </c>
      <c r="N4677" t="s">
        <v>27252</v>
      </c>
      <c r="Q4677" s="1">
        <v>44538</v>
      </c>
      <c r="R4677" t="s">
        <v>27253</v>
      </c>
      <c r="S4677" t="s">
        <v>27254</v>
      </c>
      <c r="T4677" t="s">
        <v>27269</v>
      </c>
    </row>
    <row r="4678" spans="1:20" x14ac:dyDescent="0.3">
      <c r="A4678" t="str">
        <f>"0611834460025"</f>
        <v>0611834460025</v>
      </c>
      <c r="B4678" t="str">
        <f>"MQ6030"</f>
        <v>MQ6030</v>
      </c>
      <c r="C4678" t="s">
        <v>36277</v>
      </c>
      <c r="D4678" t="s">
        <v>27267</v>
      </c>
      <c r="E4678" t="str">
        <f t="shared" si="73"/>
        <v>001390</v>
      </c>
      <c r="F4678" t="s">
        <v>27246</v>
      </c>
      <c r="G4678" t="s">
        <v>27247</v>
      </c>
      <c r="H4678" t="s">
        <v>27248</v>
      </c>
      <c r="I4678" t="s">
        <v>36278</v>
      </c>
      <c r="J4678" t="s">
        <v>9327</v>
      </c>
      <c r="L4678" t="s">
        <v>27250</v>
      </c>
      <c r="M4678" t="s">
        <v>27251</v>
      </c>
      <c r="N4678" t="s">
        <v>27252</v>
      </c>
      <c r="Q4678" s="1">
        <v>44538</v>
      </c>
      <c r="R4678" t="s">
        <v>27253</v>
      </c>
      <c r="S4678" t="s">
        <v>27254</v>
      </c>
      <c r="T4678" t="s">
        <v>27269</v>
      </c>
    </row>
    <row r="4679" spans="1:20" x14ac:dyDescent="0.3">
      <c r="A4679" t="str">
        <f>"0611834461025"</f>
        <v>0611834461025</v>
      </c>
      <c r="B4679" t="str">
        <f>"MQ0499"</f>
        <v>MQ0499</v>
      </c>
      <c r="C4679" t="s">
        <v>36279</v>
      </c>
      <c r="D4679" t="s">
        <v>27267</v>
      </c>
      <c r="E4679" t="str">
        <f t="shared" si="73"/>
        <v>001390</v>
      </c>
      <c r="F4679" t="s">
        <v>27246</v>
      </c>
      <c r="G4679" t="s">
        <v>27247</v>
      </c>
      <c r="H4679" t="s">
        <v>27248</v>
      </c>
      <c r="I4679" t="s">
        <v>36280</v>
      </c>
      <c r="J4679" t="s">
        <v>9329</v>
      </c>
      <c r="L4679" t="s">
        <v>27250</v>
      </c>
      <c r="M4679" t="s">
        <v>27251</v>
      </c>
      <c r="N4679" t="s">
        <v>27252</v>
      </c>
      <c r="Q4679" s="1">
        <v>44538</v>
      </c>
      <c r="R4679" t="s">
        <v>27253</v>
      </c>
      <c r="S4679" t="s">
        <v>27254</v>
      </c>
      <c r="T4679" t="s">
        <v>27269</v>
      </c>
    </row>
    <row r="4680" spans="1:20" x14ac:dyDescent="0.3">
      <c r="A4680" t="str">
        <f>"0611834462025"</f>
        <v>0611834462025</v>
      </c>
      <c r="B4680" t="str">
        <f>"MC3347"</f>
        <v>MC3347</v>
      </c>
      <c r="C4680" t="s">
        <v>36281</v>
      </c>
      <c r="D4680" t="s">
        <v>27267</v>
      </c>
      <c r="E4680" t="str">
        <f t="shared" si="73"/>
        <v>001390</v>
      </c>
      <c r="F4680" t="s">
        <v>27246</v>
      </c>
      <c r="G4680" t="s">
        <v>27247</v>
      </c>
      <c r="H4680" t="s">
        <v>27248</v>
      </c>
      <c r="I4680" t="s">
        <v>36282</v>
      </c>
      <c r="J4680" t="s">
        <v>9331</v>
      </c>
      <c r="L4680" t="s">
        <v>27250</v>
      </c>
      <c r="M4680" t="s">
        <v>27251</v>
      </c>
      <c r="N4680" t="s">
        <v>27252</v>
      </c>
      <c r="Q4680" s="1">
        <v>44538</v>
      </c>
      <c r="R4680" t="s">
        <v>27253</v>
      </c>
      <c r="S4680" t="s">
        <v>27254</v>
      </c>
      <c r="T4680" t="s">
        <v>27269</v>
      </c>
    </row>
    <row r="4681" spans="1:20" x14ac:dyDescent="0.3">
      <c r="A4681" t="str">
        <f>"0611834463025"</f>
        <v>0611834463025</v>
      </c>
      <c r="B4681" t="str">
        <f>"MC3860"</f>
        <v>MC3860</v>
      </c>
      <c r="C4681" t="s">
        <v>36283</v>
      </c>
      <c r="D4681" t="s">
        <v>27267</v>
      </c>
      <c r="E4681" t="str">
        <f t="shared" si="73"/>
        <v>001390</v>
      </c>
      <c r="F4681" t="s">
        <v>27246</v>
      </c>
      <c r="G4681" t="s">
        <v>27247</v>
      </c>
      <c r="H4681" t="s">
        <v>27248</v>
      </c>
      <c r="I4681" t="s">
        <v>36284</v>
      </c>
      <c r="J4681" t="s">
        <v>9333</v>
      </c>
      <c r="L4681" t="s">
        <v>27250</v>
      </c>
      <c r="M4681" t="s">
        <v>27251</v>
      </c>
      <c r="N4681" t="s">
        <v>27252</v>
      </c>
      <c r="Q4681" s="1">
        <v>44538</v>
      </c>
      <c r="R4681" t="s">
        <v>27253</v>
      </c>
      <c r="S4681" t="s">
        <v>27254</v>
      </c>
      <c r="T4681" t="s">
        <v>27269</v>
      </c>
    </row>
    <row r="4682" spans="1:20" x14ac:dyDescent="0.3">
      <c r="A4682" t="str">
        <f>"0611834464025"</f>
        <v>0611834464025</v>
      </c>
      <c r="B4682" t="str">
        <f>"MC4099"</f>
        <v>MC4099</v>
      </c>
      <c r="C4682" t="s">
        <v>36285</v>
      </c>
      <c r="D4682" t="s">
        <v>27267</v>
      </c>
      <c r="E4682" t="str">
        <f t="shared" si="73"/>
        <v>001390</v>
      </c>
      <c r="F4682" t="s">
        <v>27246</v>
      </c>
      <c r="G4682" t="s">
        <v>27247</v>
      </c>
      <c r="H4682" t="s">
        <v>27248</v>
      </c>
      <c r="I4682" t="s">
        <v>36286</v>
      </c>
      <c r="J4682" t="s">
        <v>9335</v>
      </c>
      <c r="L4682" t="s">
        <v>27250</v>
      </c>
      <c r="M4682" t="s">
        <v>27251</v>
      </c>
      <c r="N4682" t="s">
        <v>27252</v>
      </c>
      <c r="Q4682" s="1">
        <v>44538</v>
      </c>
      <c r="R4682" t="s">
        <v>27253</v>
      </c>
      <c r="S4682" t="s">
        <v>27254</v>
      </c>
      <c r="T4682" t="s">
        <v>27269</v>
      </c>
    </row>
    <row r="4683" spans="1:20" x14ac:dyDescent="0.3">
      <c r="A4683" t="str">
        <f>"0611834465025"</f>
        <v>0611834465025</v>
      </c>
      <c r="B4683" t="str">
        <f>"MC3348"</f>
        <v>MC3348</v>
      </c>
      <c r="C4683" t="s">
        <v>36287</v>
      </c>
      <c r="D4683" t="s">
        <v>27267</v>
      </c>
      <c r="E4683" t="str">
        <f t="shared" si="73"/>
        <v>001390</v>
      </c>
      <c r="F4683" t="s">
        <v>27246</v>
      </c>
      <c r="G4683" t="s">
        <v>27247</v>
      </c>
      <c r="H4683" t="s">
        <v>27248</v>
      </c>
      <c r="I4683" t="s">
        <v>36288</v>
      </c>
      <c r="J4683" t="s">
        <v>9337</v>
      </c>
      <c r="L4683" t="s">
        <v>27250</v>
      </c>
      <c r="M4683" t="s">
        <v>27251</v>
      </c>
      <c r="N4683" t="s">
        <v>27252</v>
      </c>
      <c r="Q4683" s="1">
        <v>44538</v>
      </c>
      <c r="R4683" t="s">
        <v>27253</v>
      </c>
      <c r="S4683" t="s">
        <v>27254</v>
      </c>
      <c r="T4683" t="s">
        <v>27269</v>
      </c>
    </row>
    <row r="4684" spans="1:20" x14ac:dyDescent="0.3">
      <c r="A4684" t="str">
        <f>"0611834466025"</f>
        <v>0611834466025</v>
      </c>
      <c r="B4684" t="str">
        <f>"MQ0575"</f>
        <v>MQ0575</v>
      </c>
      <c r="C4684" t="s">
        <v>36289</v>
      </c>
      <c r="D4684" t="s">
        <v>28499</v>
      </c>
      <c r="E4684" t="str">
        <f t="shared" si="73"/>
        <v>001390</v>
      </c>
      <c r="F4684" t="s">
        <v>27246</v>
      </c>
      <c r="G4684" t="s">
        <v>27247</v>
      </c>
      <c r="H4684" t="s">
        <v>27248</v>
      </c>
      <c r="I4684" t="s">
        <v>36290</v>
      </c>
      <c r="J4684" t="s">
        <v>9341</v>
      </c>
      <c r="L4684" t="s">
        <v>27250</v>
      </c>
      <c r="M4684" t="s">
        <v>27251</v>
      </c>
      <c r="N4684" t="s">
        <v>27252</v>
      </c>
      <c r="P4684" t="s">
        <v>27341</v>
      </c>
      <c r="Q4684" s="1">
        <v>44538</v>
      </c>
      <c r="R4684" t="s">
        <v>27253</v>
      </c>
      <c r="S4684" t="s">
        <v>27254</v>
      </c>
      <c r="T4684" t="s">
        <v>27269</v>
      </c>
    </row>
    <row r="4685" spans="1:20" x14ac:dyDescent="0.3">
      <c r="A4685" t="str">
        <f>"0611862050100"</f>
        <v>0611862050100</v>
      </c>
      <c r="B4685" t="str">
        <f>"CN5169"</f>
        <v>CN5169</v>
      </c>
      <c r="C4685" t="s">
        <v>36289</v>
      </c>
      <c r="D4685" t="s">
        <v>27339</v>
      </c>
      <c r="E4685" t="str">
        <f t="shared" si="73"/>
        <v>001390</v>
      </c>
      <c r="F4685" t="s">
        <v>27246</v>
      </c>
      <c r="G4685" t="s">
        <v>27247</v>
      </c>
      <c r="H4685" t="s">
        <v>27248</v>
      </c>
      <c r="I4685" t="s">
        <v>36291</v>
      </c>
      <c r="J4685" t="s">
        <v>9339</v>
      </c>
      <c r="L4685" t="s">
        <v>27250</v>
      </c>
      <c r="M4685" t="s">
        <v>27251</v>
      </c>
      <c r="N4685" t="s">
        <v>27252</v>
      </c>
      <c r="P4685" t="s">
        <v>27341</v>
      </c>
      <c r="Q4685" s="1">
        <v>44846</v>
      </c>
      <c r="R4685" t="s">
        <v>27253</v>
      </c>
      <c r="S4685" t="s">
        <v>27254</v>
      </c>
      <c r="T4685" t="s">
        <v>27255</v>
      </c>
    </row>
    <row r="4686" spans="1:20" x14ac:dyDescent="0.3">
      <c r="A4686" t="str">
        <f>"0611862051050"</f>
        <v>0611862051050</v>
      </c>
      <c r="B4686" t="str">
        <f>"CR3934"</f>
        <v>CR3934</v>
      </c>
      <c r="C4686" t="s">
        <v>36289</v>
      </c>
      <c r="D4686" t="s">
        <v>27271</v>
      </c>
      <c r="E4686" t="str">
        <f t="shared" si="73"/>
        <v>001390</v>
      </c>
      <c r="F4686" t="s">
        <v>27246</v>
      </c>
      <c r="G4686" t="s">
        <v>27247</v>
      </c>
      <c r="H4686" t="s">
        <v>27248</v>
      </c>
      <c r="I4686" t="s">
        <v>36292</v>
      </c>
      <c r="J4686" t="s">
        <v>9343</v>
      </c>
      <c r="L4686" t="s">
        <v>27250</v>
      </c>
      <c r="M4686" t="s">
        <v>27251</v>
      </c>
      <c r="N4686" t="s">
        <v>27252</v>
      </c>
      <c r="P4686" t="s">
        <v>27341</v>
      </c>
      <c r="Q4686" s="1">
        <v>44846</v>
      </c>
      <c r="R4686" t="s">
        <v>27253</v>
      </c>
      <c r="S4686" t="s">
        <v>27254</v>
      </c>
      <c r="T4686" t="s">
        <v>27265</v>
      </c>
    </row>
    <row r="4687" spans="1:20" x14ac:dyDescent="0.3">
      <c r="A4687" t="str">
        <f>"0611862052100"</f>
        <v>0611862052100</v>
      </c>
      <c r="B4687" t="str">
        <f>"CN2367"</f>
        <v>CN2367</v>
      </c>
      <c r="C4687" t="s">
        <v>36293</v>
      </c>
      <c r="D4687" t="s">
        <v>27339</v>
      </c>
      <c r="E4687" t="str">
        <f t="shared" si="73"/>
        <v>001390</v>
      </c>
      <c r="F4687" t="s">
        <v>27246</v>
      </c>
      <c r="G4687" t="s">
        <v>27247</v>
      </c>
      <c r="H4687" t="s">
        <v>27248</v>
      </c>
      <c r="I4687" t="s">
        <v>36294</v>
      </c>
      <c r="J4687" t="s">
        <v>9345</v>
      </c>
      <c r="L4687" t="s">
        <v>27250</v>
      </c>
      <c r="M4687" t="s">
        <v>27251</v>
      </c>
      <c r="N4687" t="s">
        <v>27252</v>
      </c>
      <c r="P4687" t="s">
        <v>27341</v>
      </c>
      <c r="Q4687" s="1">
        <v>44846</v>
      </c>
      <c r="R4687" t="s">
        <v>27253</v>
      </c>
      <c r="S4687" t="s">
        <v>27254</v>
      </c>
      <c r="T4687" t="s">
        <v>27255</v>
      </c>
    </row>
    <row r="4688" spans="1:20" x14ac:dyDescent="0.3">
      <c r="A4688" t="str">
        <f>"0611862053100"</f>
        <v>0611862053100</v>
      </c>
      <c r="B4688" t="str">
        <f>"CN2309"</f>
        <v>CN2309</v>
      </c>
      <c r="C4688" t="s">
        <v>36295</v>
      </c>
      <c r="D4688" t="s">
        <v>27339</v>
      </c>
      <c r="E4688" t="str">
        <f t="shared" si="73"/>
        <v>001390</v>
      </c>
      <c r="F4688" t="s">
        <v>27246</v>
      </c>
      <c r="G4688" t="s">
        <v>27247</v>
      </c>
      <c r="H4688" t="s">
        <v>27248</v>
      </c>
      <c r="I4688" t="s">
        <v>36296</v>
      </c>
      <c r="J4688" t="s">
        <v>9347</v>
      </c>
      <c r="L4688" t="s">
        <v>27250</v>
      </c>
      <c r="M4688" t="s">
        <v>27251</v>
      </c>
      <c r="N4688" t="s">
        <v>27252</v>
      </c>
      <c r="P4688" t="s">
        <v>27341</v>
      </c>
      <c r="Q4688" s="1">
        <v>44846</v>
      </c>
      <c r="R4688" t="s">
        <v>27253</v>
      </c>
      <c r="S4688" t="s">
        <v>27254</v>
      </c>
      <c r="T4688" t="s">
        <v>27255</v>
      </c>
    </row>
    <row r="4689" spans="1:20" x14ac:dyDescent="0.3">
      <c r="A4689" t="str">
        <f>"0611834467025"</f>
        <v>0611834467025</v>
      </c>
      <c r="B4689" t="str">
        <f>"MQ0215"</f>
        <v>MQ0215</v>
      </c>
      <c r="C4689" t="s">
        <v>36297</v>
      </c>
      <c r="D4689" t="s">
        <v>28499</v>
      </c>
      <c r="E4689" t="str">
        <f t="shared" si="73"/>
        <v>001390</v>
      </c>
      <c r="F4689" t="s">
        <v>27246</v>
      </c>
      <c r="G4689" t="s">
        <v>27247</v>
      </c>
      <c r="H4689" t="s">
        <v>27248</v>
      </c>
      <c r="I4689" t="s">
        <v>36298</v>
      </c>
      <c r="J4689" t="s">
        <v>9351</v>
      </c>
      <c r="L4689" t="s">
        <v>27250</v>
      </c>
      <c r="M4689" t="s">
        <v>27251</v>
      </c>
      <c r="N4689" t="s">
        <v>27252</v>
      </c>
      <c r="P4689" t="s">
        <v>27341</v>
      </c>
      <c r="Q4689" s="1">
        <v>44538</v>
      </c>
      <c r="R4689" t="s">
        <v>27253</v>
      </c>
      <c r="S4689" t="s">
        <v>27254</v>
      </c>
      <c r="T4689" t="s">
        <v>27269</v>
      </c>
    </row>
    <row r="4690" spans="1:20" x14ac:dyDescent="0.3">
      <c r="A4690" t="str">
        <f>"0611862054100"</f>
        <v>0611862054100</v>
      </c>
      <c r="B4690" t="str">
        <f>"CN5170"</f>
        <v>CN5170</v>
      </c>
      <c r="C4690" t="s">
        <v>36297</v>
      </c>
      <c r="D4690" t="s">
        <v>27339</v>
      </c>
      <c r="E4690" t="str">
        <f t="shared" si="73"/>
        <v>001390</v>
      </c>
      <c r="F4690" t="s">
        <v>27246</v>
      </c>
      <c r="G4690" t="s">
        <v>27247</v>
      </c>
      <c r="H4690" t="s">
        <v>27248</v>
      </c>
      <c r="I4690" t="s">
        <v>36299</v>
      </c>
      <c r="J4690" t="s">
        <v>9349</v>
      </c>
      <c r="L4690" t="s">
        <v>27250</v>
      </c>
      <c r="M4690" t="s">
        <v>27251</v>
      </c>
      <c r="N4690" t="s">
        <v>27252</v>
      </c>
      <c r="P4690" t="s">
        <v>27341</v>
      </c>
      <c r="Q4690" s="1">
        <v>44846</v>
      </c>
      <c r="R4690" t="s">
        <v>27253</v>
      </c>
      <c r="S4690" t="s">
        <v>27254</v>
      </c>
      <c r="T4690" t="s">
        <v>27255</v>
      </c>
    </row>
    <row r="4691" spans="1:20" x14ac:dyDescent="0.3">
      <c r="A4691" t="str">
        <f>"0611862056100"</f>
        <v>0611862056100</v>
      </c>
      <c r="B4691" t="str">
        <f>"CN2368"</f>
        <v>CN2368</v>
      </c>
      <c r="C4691" t="s">
        <v>36300</v>
      </c>
      <c r="D4691" t="s">
        <v>27339</v>
      </c>
      <c r="E4691" t="str">
        <f t="shared" si="73"/>
        <v>001390</v>
      </c>
      <c r="F4691" t="s">
        <v>27246</v>
      </c>
      <c r="G4691" t="s">
        <v>27247</v>
      </c>
      <c r="H4691" t="s">
        <v>27248</v>
      </c>
      <c r="I4691" t="s">
        <v>36301</v>
      </c>
      <c r="J4691" t="s">
        <v>9353</v>
      </c>
      <c r="L4691" t="s">
        <v>27250</v>
      </c>
      <c r="M4691" t="s">
        <v>27251</v>
      </c>
      <c r="N4691" t="s">
        <v>27252</v>
      </c>
      <c r="P4691" t="s">
        <v>27341</v>
      </c>
      <c r="Q4691" s="1">
        <v>44846</v>
      </c>
      <c r="R4691" t="s">
        <v>27253</v>
      </c>
      <c r="S4691" t="s">
        <v>27254</v>
      </c>
      <c r="T4691" t="s">
        <v>27255</v>
      </c>
    </row>
    <row r="4692" spans="1:20" x14ac:dyDescent="0.3">
      <c r="A4692" t="str">
        <f>"0611834468025"</f>
        <v>0611834468025</v>
      </c>
      <c r="B4692" t="str">
        <f>"MQ0216"</f>
        <v>MQ0216</v>
      </c>
      <c r="C4692" t="s">
        <v>36302</v>
      </c>
      <c r="D4692" t="s">
        <v>28499</v>
      </c>
      <c r="E4692" t="str">
        <f t="shared" si="73"/>
        <v>001390</v>
      </c>
      <c r="F4692" t="s">
        <v>27246</v>
      </c>
      <c r="G4692" t="s">
        <v>27247</v>
      </c>
      <c r="H4692" t="s">
        <v>27248</v>
      </c>
      <c r="I4692" t="s">
        <v>36303</v>
      </c>
      <c r="J4692" t="s">
        <v>9357</v>
      </c>
      <c r="L4692" t="s">
        <v>27250</v>
      </c>
      <c r="M4692" t="s">
        <v>27251</v>
      </c>
      <c r="N4692" t="s">
        <v>27252</v>
      </c>
      <c r="P4692" t="s">
        <v>27341</v>
      </c>
      <c r="Q4692" s="1">
        <v>44538</v>
      </c>
      <c r="R4692" t="s">
        <v>27253</v>
      </c>
      <c r="S4692" t="s">
        <v>27254</v>
      </c>
      <c r="T4692" t="s">
        <v>27269</v>
      </c>
    </row>
    <row r="4693" spans="1:20" x14ac:dyDescent="0.3">
      <c r="A4693" t="str">
        <f>"0611862057100"</f>
        <v>0611862057100</v>
      </c>
      <c r="B4693" t="str">
        <f>"CN5171"</f>
        <v>CN5171</v>
      </c>
      <c r="C4693" t="s">
        <v>36302</v>
      </c>
      <c r="D4693" t="s">
        <v>27339</v>
      </c>
      <c r="E4693" t="str">
        <f t="shared" si="73"/>
        <v>001390</v>
      </c>
      <c r="F4693" t="s">
        <v>27246</v>
      </c>
      <c r="G4693" t="s">
        <v>27247</v>
      </c>
      <c r="H4693" t="s">
        <v>27248</v>
      </c>
      <c r="I4693" t="s">
        <v>36304</v>
      </c>
      <c r="J4693" t="s">
        <v>9355</v>
      </c>
      <c r="L4693" t="s">
        <v>27250</v>
      </c>
      <c r="M4693" t="s">
        <v>27251</v>
      </c>
      <c r="N4693" t="s">
        <v>27252</v>
      </c>
      <c r="P4693" t="s">
        <v>27341</v>
      </c>
      <c r="Q4693" s="1">
        <v>44846</v>
      </c>
      <c r="R4693" t="s">
        <v>27253</v>
      </c>
      <c r="S4693" t="s">
        <v>27254</v>
      </c>
      <c r="T4693" t="s">
        <v>27255</v>
      </c>
    </row>
    <row r="4694" spans="1:20" x14ac:dyDescent="0.3">
      <c r="A4694" t="str">
        <f>"0611834469025"</f>
        <v>0611834469025</v>
      </c>
      <c r="B4694" t="str">
        <f>"MQ0623"</f>
        <v>MQ0623</v>
      </c>
      <c r="C4694" t="s">
        <v>36305</v>
      </c>
      <c r="D4694" t="s">
        <v>28499</v>
      </c>
      <c r="E4694" t="str">
        <f t="shared" si="73"/>
        <v>001390</v>
      </c>
      <c r="F4694" t="s">
        <v>27246</v>
      </c>
      <c r="G4694" t="s">
        <v>27247</v>
      </c>
      <c r="H4694" t="s">
        <v>27248</v>
      </c>
      <c r="I4694" t="s">
        <v>36306</v>
      </c>
      <c r="J4694" t="s">
        <v>9361</v>
      </c>
      <c r="L4694" t="s">
        <v>27250</v>
      </c>
      <c r="M4694" t="s">
        <v>27251</v>
      </c>
      <c r="N4694" t="s">
        <v>27252</v>
      </c>
      <c r="P4694" t="s">
        <v>27341</v>
      </c>
      <c r="Q4694" s="1">
        <v>44538</v>
      </c>
      <c r="R4694" t="s">
        <v>27253</v>
      </c>
      <c r="S4694" t="s">
        <v>27254</v>
      </c>
      <c r="T4694" t="s">
        <v>27269</v>
      </c>
    </row>
    <row r="4695" spans="1:20" x14ac:dyDescent="0.3">
      <c r="A4695" t="str">
        <f>"0611862058100"</f>
        <v>0611862058100</v>
      </c>
      <c r="B4695" t="str">
        <f>"CN5172"</f>
        <v>CN5172</v>
      </c>
      <c r="C4695" t="s">
        <v>36305</v>
      </c>
      <c r="D4695" t="s">
        <v>27339</v>
      </c>
      <c r="E4695" t="str">
        <f t="shared" si="73"/>
        <v>001390</v>
      </c>
      <c r="F4695" t="s">
        <v>27246</v>
      </c>
      <c r="G4695" t="s">
        <v>27247</v>
      </c>
      <c r="H4695" t="s">
        <v>27248</v>
      </c>
      <c r="I4695" t="s">
        <v>36307</v>
      </c>
      <c r="J4695" t="s">
        <v>9359</v>
      </c>
      <c r="L4695" t="s">
        <v>27250</v>
      </c>
      <c r="M4695" t="s">
        <v>27251</v>
      </c>
      <c r="N4695" t="s">
        <v>27252</v>
      </c>
      <c r="P4695" t="s">
        <v>27341</v>
      </c>
      <c r="Q4695" s="1">
        <v>44846</v>
      </c>
      <c r="R4695" t="s">
        <v>27253</v>
      </c>
      <c r="S4695" t="s">
        <v>27254</v>
      </c>
      <c r="T4695" t="s">
        <v>27255</v>
      </c>
    </row>
    <row r="4696" spans="1:20" x14ac:dyDescent="0.3">
      <c r="A4696" t="str">
        <f>"0611862059050"</f>
        <v>0611862059050</v>
      </c>
      <c r="B4696" t="str">
        <f>"CR3706"</f>
        <v>CR3706</v>
      </c>
      <c r="C4696" t="s">
        <v>36305</v>
      </c>
      <c r="D4696" t="s">
        <v>27271</v>
      </c>
      <c r="E4696" t="str">
        <f t="shared" si="73"/>
        <v>001390</v>
      </c>
      <c r="F4696" t="s">
        <v>27246</v>
      </c>
      <c r="G4696" t="s">
        <v>27247</v>
      </c>
      <c r="H4696" t="s">
        <v>27248</v>
      </c>
      <c r="I4696" t="s">
        <v>36308</v>
      </c>
      <c r="J4696" t="s">
        <v>9363</v>
      </c>
      <c r="L4696" t="s">
        <v>27250</v>
      </c>
      <c r="M4696" t="s">
        <v>27251</v>
      </c>
      <c r="N4696" t="s">
        <v>27252</v>
      </c>
      <c r="P4696" t="s">
        <v>27341</v>
      </c>
      <c r="Q4696" s="1">
        <v>44846</v>
      </c>
      <c r="R4696" t="s">
        <v>27253</v>
      </c>
      <c r="S4696" t="s">
        <v>27254</v>
      </c>
      <c r="T4696" t="s">
        <v>27265</v>
      </c>
    </row>
    <row r="4697" spans="1:20" x14ac:dyDescent="0.3">
      <c r="A4697" t="str">
        <f>"0611834470025"</f>
        <v>0611834470025</v>
      </c>
      <c r="B4697" t="str">
        <f>"MQ0624"</f>
        <v>MQ0624</v>
      </c>
      <c r="C4697" t="s">
        <v>36309</v>
      </c>
      <c r="D4697" t="s">
        <v>28499</v>
      </c>
      <c r="E4697" t="str">
        <f t="shared" si="73"/>
        <v>001390</v>
      </c>
      <c r="F4697" t="s">
        <v>27246</v>
      </c>
      <c r="G4697" t="s">
        <v>27247</v>
      </c>
      <c r="H4697" t="s">
        <v>27248</v>
      </c>
      <c r="I4697" t="s">
        <v>36310</v>
      </c>
      <c r="J4697" t="s">
        <v>9365</v>
      </c>
      <c r="L4697" t="s">
        <v>27250</v>
      </c>
      <c r="M4697" t="s">
        <v>27251</v>
      </c>
      <c r="N4697" t="s">
        <v>27252</v>
      </c>
      <c r="P4697" t="s">
        <v>27341</v>
      </c>
      <c r="Q4697" s="1">
        <v>44538</v>
      </c>
      <c r="R4697" t="s">
        <v>27253</v>
      </c>
      <c r="S4697" t="s">
        <v>27254</v>
      </c>
      <c r="T4697" t="s">
        <v>27269</v>
      </c>
    </row>
    <row r="4698" spans="1:20" x14ac:dyDescent="0.3">
      <c r="A4698" t="str">
        <f>"0611834471025"</f>
        <v>0611834471025</v>
      </c>
      <c r="B4698" t="str">
        <f>"MQ0217"</f>
        <v>MQ0217</v>
      </c>
      <c r="C4698" t="s">
        <v>36311</v>
      </c>
      <c r="D4698" t="s">
        <v>28499</v>
      </c>
      <c r="E4698" t="str">
        <f t="shared" si="73"/>
        <v>001390</v>
      </c>
      <c r="F4698" t="s">
        <v>27246</v>
      </c>
      <c r="G4698" t="s">
        <v>27247</v>
      </c>
      <c r="H4698" t="s">
        <v>27248</v>
      </c>
      <c r="I4698" t="s">
        <v>36312</v>
      </c>
      <c r="J4698" t="s">
        <v>9369</v>
      </c>
      <c r="L4698" t="s">
        <v>27250</v>
      </c>
      <c r="M4698" t="s">
        <v>27251</v>
      </c>
      <c r="N4698" t="s">
        <v>27252</v>
      </c>
      <c r="P4698" t="s">
        <v>27341</v>
      </c>
      <c r="Q4698" s="1">
        <v>44538</v>
      </c>
      <c r="R4698" t="s">
        <v>27253</v>
      </c>
      <c r="S4698" t="s">
        <v>27254</v>
      </c>
      <c r="T4698" t="s">
        <v>27269</v>
      </c>
    </row>
    <row r="4699" spans="1:20" x14ac:dyDescent="0.3">
      <c r="A4699" t="str">
        <f>"0611862060100"</f>
        <v>0611862060100</v>
      </c>
      <c r="B4699" t="str">
        <f>"CN5173"</f>
        <v>CN5173</v>
      </c>
      <c r="C4699" t="s">
        <v>36311</v>
      </c>
      <c r="D4699" t="s">
        <v>27339</v>
      </c>
      <c r="E4699" t="str">
        <f t="shared" si="73"/>
        <v>001390</v>
      </c>
      <c r="F4699" t="s">
        <v>27246</v>
      </c>
      <c r="G4699" t="s">
        <v>27247</v>
      </c>
      <c r="H4699" t="s">
        <v>27248</v>
      </c>
      <c r="I4699" t="s">
        <v>36313</v>
      </c>
      <c r="J4699" t="s">
        <v>9367</v>
      </c>
      <c r="L4699" t="s">
        <v>27250</v>
      </c>
      <c r="M4699" t="s">
        <v>27251</v>
      </c>
      <c r="N4699" t="s">
        <v>27252</v>
      </c>
      <c r="P4699" t="s">
        <v>27341</v>
      </c>
      <c r="Q4699" s="1">
        <v>44846</v>
      </c>
      <c r="R4699" t="s">
        <v>27253</v>
      </c>
      <c r="S4699" t="s">
        <v>27254</v>
      </c>
      <c r="T4699" t="s">
        <v>27255</v>
      </c>
    </row>
    <row r="4700" spans="1:20" x14ac:dyDescent="0.3">
      <c r="A4700" t="str">
        <f>"0611862061050"</f>
        <v>0611862061050</v>
      </c>
      <c r="B4700" t="str">
        <f>"CR3709"</f>
        <v>CR3709</v>
      </c>
      <c r="C4700" t="s">
        <v>36311</v>
      </c>
      <c r="D4700" t="s">
        <v>27271</v>
      </c>
      <c r="E4700" t="str">
        <f t="shared" si="73"/>
        <v>001390</v>
      </c>
      <c r="F4700" t="s">
        <v>27246</v>
      </c>
      <c r="G4700" t="s">
        <v>27247</v>
      </c>
      <c r="H4700" t="s">
        <v>27248</v>
      </c>
      <c r="I4700" t="s">
        <v>36314</v>
      </c>
      <c r="J4700" t="s">
        <v>9371</v>
      </c>
      <c r="L4700" t="s">
        <v>27250</v>
      </c>
      <c r="M4700" t="s">
        <v>27251</v>
      </c>
      <c r="N4700" t="s">
        <v>27252</v>
      </c>
      <c r="P4700" t="s">
        <v>27341</v>
      </c>
      <c r="Q4700" s="1">
        <v>44846</v>
      </c>
      <c r="R4700" t="s">
        <v>27253</v>
      </c>
      <c r="S4700" t="s">
        <v>27254</v>
      </c>
      <c r="T4700" t="s">
        <v>27265</v>
      </c>
    </row>
    <row r="4701" spans="1:20" x14ac:dyDescent="0.3">
      <c r="A4701" t="str">
        <f>"0611834472025"</f>
        <v>0611834472025</v>
      </c>
      <c r="B4701" t="str">
        <f>"MQ6031"</f>
        <v>MQ6031</v>
      </c>
      <c r="C4701" t="s">
        <v>36315</v>
      </c>
      <c r="D4701" t="s">
        <v>27267</v>
      </c>
      <c r="E4701" t="str">
        <f t="shared" si="73"/>
        <v>001390</v>
      </c>
      <c r="F4701" t="s">
        <v>27246</v>
      </c>
      <c r="G4701" t="s">
        <v>27247</v>
      </c>
      <c r="H4701" t="s">
        <v>27248</v>
      </c>
      <c r="I4701" t="s">
        <v>36316</v>
      </c>
      <c r="J4701" t="s">
        <v>9373</v>
      </c>
      <c r="L4701" t="s">
        <v>27250</v>
      </c>
      <c r="M4701" t="s">
        <v>27251</v>
      </c>
      <c r="N4701" t="s">
        <v>27252</v>
      </c>
      <c r="Q4701" s="1">
        <v>44538</v>
      </c>
      <c r="R4701" t="s">
        <v>27253</v>
      </c>
      <c r="S4701" t="s">
        <v>27254</v>
      </c>
      <c r="T4701" t="s">
        <v>27269</v>
      </c>
    </row>
    <row r="4702" spans="1:20" x14ac:dyDescent="0.3">
      <c r="A4702" t="str">
        <f>"0611834473025"</f>
        <v>0611834473025</v>
      </c>
      <c r="B4702" t="str">
        <f>"MQ6032"</f>
        <v>MQ6032</v>
      </c>
      <c r="C4702" t="s">
        <v>36317</v>
      </c>
      <c r="D4702" t="s">
        <v>27267</v>
      </c>
      <c r="E4702" t="str">
        <f t="shared" si="73"/>
        <v>001390</v>
      </c>
      <c r="F4702" t="s">
        <v>27246</v>
      </c>
      <c r="G4702" t="s">
        <v>27247</v>
      </c>
      <c r="H4702" t="s">
        <v>27248</v>
      </c>
      <c r="I4702" t="s">
        <v>36318</v>
      </c>
      <c r="J4702" t="s">
        <v>9375</v>
      </c>
      <c r="L4702" t="s">
        <v>27250</v>
      </c>
      <c r="M4702" t="s">
        <v>27251</v>
      </c>
      <c r="N4702" t="s">
        <v>27252</v>
      </c>
      <c r="Q4702" s="1">
        <v>44538</v>
      </c>
      <c r="R4702" t="s">
        <v>27253</v>
      </c>
      <c r="S4702" t="s">
        <v>27254</v>
      </c>
      <c r="T4702" t="s">
        <v>27269</v>
      </c>
    </row>
    <row r="4703" spans="1:20" x14ac:dyDescent="0.3">
      <c r="A4703" t="str">
        <f>"0611834474025"</f>
        <v>0611834474025</v>
      </c>
      <c r="B4703" t="str">
        <f>"MQ6033"</f>
        <v>MQ6033</v>
      </c>
      <c r="C4703" t="s">
        <v>36319</v>
      </c>
      <c r="D4703" t="s">
        <v>27267</v>
      </c>
      <c r="E4703" t="str">
        <f t="shared" si="73"/>
        <v>001390</v>
      </c>
      <c r="F4703" t="s">
        <v>27246</v>
      </c>
      <c r="G4703" t="s">
        <v>27247</v>
      </c>
      <c r="H4703" t="s">
        <v>27248</v>
      </c>
      <c r="I4703" t="s">
        <v>36320</v>
      </c>
      <c r="J4703" t="s">
        <v>9377</v>
      </c>
      <c r="L4703" t="s">
        <v>27250</v>
      </c>
      <c r="M4703" t="s">
        <v>27251</v>
      </c>
      <c r="N4703" t="s">
        <v>27252</v>
      </c>
      <c r="Q4703" s="1">
        <v>44538</v>
      </c>
      <c r="R4703" t="s">
        <v>27253</v>
      </c>
      <c r="S4703" t="s">
        <v>27254</v>
      </c>
      <c r="T4703" t="s">
        <v>27269</v>
      </c>
    </row>
    <row r="4704" spans="1:20" x14ac:dyDescent="0.3">
      <c r="A4704" t="str">
        <f>"0611862062050"</f>
        <v>0611862062050</v>
      </c>
      <c r="B4704" t="str">
        <f>"CE0413"</f>
        <v>CE0413</v>
      </c>
      <c r="C4704" t="s">
        <v>36321</v>
      </c>
      <c r="D4704" t="s">
        <v>27923</v>
      </c>
      <c r="E4704" t="str">
        <f t="shared" si="73"/>
        <v>001390</v>
      </c>
      <c r="F4704" t="s">
        <v>27246</v>
      </c>
      <c r="G4704" t="s">
        <v>27247</v>
      </c>
      <c r="H4704" t="s">
        <v>27248</v>
      </c>
      <c r="I4704" t="s">
        <v>36322</v>
      </c>
      <c r="J4704" t="s">
        <v>9379</v>
      </c>
      <c r="L4704" t="s">
        <v>27250</v>
      </c>
      <c r="M4704" t="s">
        <v>27251</v>
      </c>
      <c r="N4704" t="s">
        <v>27252</v>
      </c>
      <c r="P4704" t="s">
        <v>27925</v>
      </c>
      <c r="Q4704" s="1">
        <v>44846</v>
      </c>
      <c r="R4704" t="s">
        <v>27253</v>
      </c>
      <c r="S4704" t="s">
        <v>27254</v>
      </c>
      <c r="T4704" t="s">
        <v>27265</v>
      </c>
    </row>
    <row r="4705" spans="1:20" x14ac:dyDescent="0.3">
      <c r="A4705" t="str">
        <f>"0611862063050"</f>
        <v>0611862063050</v>
      </c>
      <c r="B4705" t="str">
        <f>"CE0415"</f>
        <v>CE0415</v>
      </c>
      <c r="C4705" t="s">
        <v>36323</v>
      </c>
      <c r="D4705" t="s">
        <v>27923</v>
      </c>
      <c r="E4705" t="str">
        <f t="shared" si="73"/>
        <v>001390</v>
      </c>
      <c r="F4705" t="s">
        <v>27246</v>
      </c>
      <c r="G4705" t="s">
        <v>27247</v>
      </c>
      <c r="H4705" t="s">
        <v>27248</v>
      </c>
      <c r="I4705" t="s">
        <v>36324</v>
      </c>
      <c r="J4705" t="s">
        <v>9381</v>
      </c>
      <c r="L4705" t="s">
        <v>27250</v>
      </c>
      <c r="M4705" t="s">
        <v>27251</v>
      </c>
      <c r="N4705" t="s">
        <v>27252</v>
      </c>
      <c r="P4705" t="s">
        <v>27925</v>
      </c>
      <c r="Q4705" s="1">
        <v>44846</v>
      </c>
      <c r="R4705" t="s">
        <v>27253</v>
      </c>
      <c r="S4705" t="s">
        <v>27254</v>
      </c>
      <c r="T4705" t="s">
        <v>27265</v>
      </c>
    </row>
    <row r="4706" spans="1:20" x14ac:dyDescent="0.3">
      <c r="A4706" t="str">
        <f>"0611862064050"</f>
        <v>0611862064050</v>
      </c>
      <c r="B4706" t="str">
        <f>"CE1061"</f>
        <v>CE1061</v>
      </c>
      <c r="C4706" t="s">
        <v>36325</v>
      </c>
      <c r="D4706" t="s">
        <v>27923</v>
      </c>
      <c r="E4706" t="str">
        <f t="shared" si="73"/>
        <v>001390</v>
      </c>
      <c r="F4706" t="s">
        <v>27246</v>
      </c>
      <c r="G4706" t="s">
        <v>27247</v>
      </c>
      <c r="H4706" t="s">
        <v>27248</v>
      </c>
      <c r="I4706" t="s">
        <v>36326</v>
      </c>
      <c r="J4706" t="s">
        <v>9383</v>
      </c>
      <c r="L4706" t="s">
        <v>27250</v>
      </c>
      <c r="M4706" t="s">
        <v>27251</v>
      </c>
      <c r="N4706" t="s">
        <v>27252</v>
      </c>
      <c r="P4706" t="s">
        <v>27925</v>
      </c>
      <c r="Q4706" s="1">
        <v>44846</v>
      </c>
      <c r="R4706" t="s">
        <v>27253</v>
      </c>
      <c r="S4706" t="s">
        <v>27254</v>
      </c>
      <c r="T4706" t="s">
        <v>27265</v>
      </c>
    </row>
    <row r="4707" spans="1:20" x14ac:dyDescent="0.3">
      <c r="A4707" t="str">
        <f>"0611862065050"</f>
        <v>0611862065050</v>
      </c>
      <c r="B4707" t="str">
        <f>"CE1428"</f>
        <v>CE1428</v>
      </c>
      <c r="C4707" t="s">
        <v>36327</v>
      </c>
      <c r="D4707" t="s">
        <v>27923</v>
      </c>
      <c r="E4707" t="str">
        <f t="shared" si="73"/>
        <v>001390</v>
      </c>
      <c r="F4707" t="s">
        <v>27246</v>
      </c>
      <c r="G4707" t="s">
        <v>27247</v>
      </c>
      <c r="H4707" t="s">
        <v>27248</v>
      </c>
      <c r="I4707" t="s">
        <v>36328</v>
      </c>
      <c r="J4707" t="s">
        <v>9385</v>
      </c>
      <c r="L4707" t="s">
        <v>27250</v>
      </c>
      <c r="M4707" t="s">
        <v>27251</v>
      </c>
      <c r="N4707" t="s">
        <v>27252</v>
      </c>
      <c r="P4707" t="s">
        <v>27925</v>
      </c>
      <c r="Q4707" s="1">
        <v>44846</v>
      </c>
      <c r="R4707" t="s">
        <v>27253</v>
      </c>
      <c r="S4707" t="s">
        <v>27254</v>
      </c>
      <c r="T4707" t="s">
        <v>27265</v>
      </c>
    </row>
    <row r="4708" spans="1:20" x14ac:dyDescent="0.3">
      <c r="A4708" t="str">
        <f>"0611862066100"</f>
        <v>0611862066100</v>
      </c>
      <c r="B4708" t="str">
        <f>"CN5174"</f>
        <v>CN5174</v>
      </c>
      <c r="C4708" t="s">
        <v>36329</v>
      </c>
      <c r="D4708" t="s">
        <v>27335</v>
      </c>
      <c r="E4708" t="str">
        <f t="shared" si="73"/>
        <v>001390</v>
      </c>
      <c r="F4708" t="s">
        <v>27246</v>
      </c>
      <c r="G4708" t="s">
        <v>27247</v>
      </c>
      <c r="H4708" t="s">
        <v>27248</v>
      </c>
      <c r="I4708" t="s">
        <v>36330</v>
      </c>
      <c r="J4708" t="s">
        <v>9387</v>
      </c>
      <c r="L4708" t="s">
        <v>27250</v>
      </c>
      <c r="M4708" t="s">
        <v>27251</v>
      </c>
      <c r="N4708" t="s">
        <v>27252</v>
      </c>
      <c r="Q4708" s="1">
        <v>44846</v>
      </c>
      <c r="R4708" t="s">
        <v>27253</v>
      </c>
      <c r="S4708" t="s">
        <v>27254</v>
      </c>
      <c r="T4708" t="s">
        <v>27255</v>
      </c>
    </row>
    <row r="4709" spans="1:20" x14ac:dyDescent="0.3">
      <c r="A4709" t="str">
        <f>"0611862067100"</f>
        <v>0611862067100</v>
      </c>
      <c r="B4709" t="str">
        <f>"CN5175"</f>
        <v>CN5175</v>
      </c>
      <c r="C4709" t="s">
        <v>36331</v>
      </c>
      <c r="D4709" t="s">
        <v>27335</v>
      </c>
      <c r="E4709" t="str">
        <f t="shared" si="73"/>
        <v>001390</v>
      </c>
      <c r="F4709" t="s">
        <v>27246</v>
      </c>
      <c r="G4709" t="s">
        <v>27247</v>
      </c>
      <c r="H4709" t="s">
        <v>27248</v>
      </c>
      <c r="I4709" t="s">
        <v>36332</v>
      </c>
      <c r="J4709" t="s">
        <v>9389</v>
      </c>
      <c r="L4709" t="s">
        <v>27250</v>
      </c>
      <c r="M4709" t="s">
        <v>27251</v>
      </c>
      <c r="N4709" t="s">
        <v>27252</v>
      </c>
      <c r="Q4709" s="1">
        <v>44846</v>
      </c>
      <c r="R4709" t="s">
        <v>27253</v>
      </c>
      <c r="S4709" t="s">
        <v>27254</v>
      </c>
      <c r="T4709" t="s">
        <v>27255</v>
      </c>
    </row>
    <row r="4710" spans="1:20" x14ac:dyDescent="0.3">
      <c r="A4710" t="str">
        <f>"0611862068050"</f>
        <v>0611862068050</v>
      </c>
      <c r="B4710" t="str">
        <f>"CR4283"</f>
        <v>CR4283</v>
      </c>
      <c r="C4710" t="s">
        <v>36333</v>
      </c>
      <c r="D4710" t="s">
        <v>27286</v>
      </c>
      <c r="E4710" t="str">
        <f t="shared" si="73"/>
        <v>001390</v>
      </c>
      <c r="F4710" t="s">
        <v>27246</v>
      </c>
      <c r="G4710" t="s">
        <v>27247</v>
      </c>
      <c r="H4710" t="s">
        <v>27248</v>
      </c>
      <c r="I4710" t="s">
        <v>36334</v>
      </c>
      <c r="J4710" t="s">
        <v>9391</v>
      </c>
      <c r="L4710" t="s">
        <v>27250</v>
      </c>
      <c r="M4710" t="s">
        <v>27251</v>
      </c>
      <c r="N4710" t="s">
        <v>27252</v>
      </c>
      <c r="Q4710" s="1">
        <v>44846</v>
      </c>
      <c r="R4710" t="s">
        <v>27253</v>
      </c>
      <c r="S4710" t="s">
        <v>27254</v>
      </c>
      <c r="T4710" t="s">
        <v>27265</v>
      </c>
    </row>
    <row r="4711" spans="1:20" x14ac:dyDescent="0.3">
      <c r="A4711" t="str">
        <f>"0611862069100"</f>
        <v>0611862069100</v>
      </c>
      <c r="B4711" t="str">
        <f>"CN5176"</f>
        <v>CN5176</v>
      </c>
      <c r="C4711" t="s">
        <v>36335</v>
      </c>
      <c r="D4711" t="s">
        <v>27335</v>
      </c>
      <c r="E4711" t="str">
        <f t="shared" si="73"/>
        <v>001390</v>
      </c>
      <c r="F4711" t="s">
        <v>27246</v>
      </c>
      <c r="G4711" t="s">
        <v>27247</v>
      </c>
      <c r="H4711" t="s">
        <v>27248</v>
      </c>
      <c r="I4711" t="s">
        <v>36336</v>
      </c>
      <c r="J4711" t="s">
        <v>9393</v>
      </c>
      <c r="L4711" t="s">
        <v>27250</v>
      </c>
      <c r="M4711" t="s">
        <v>27251</v>
      </c>
      <c r="N4711" t="s">
        <v>27252</v>
      </c>
      <c r="Q4711" s="1">
        <v>44846</v>
      </c>
      <c r="R4711" t="s">
        <v>27253</v>
      </c>
      <c r="S4711" t="s">
        <v>27254</v>
      </c>
      <c r="T4711" t="s">
        <v>27255</v>
      </c>
    </row>
    <row r="4712" spans="1:20" x14ac:dyDescent="0.3">
      <c r="A4712" t="str">
        <f>"0611862070050"</f>
        <v>0611862070050</v>
      </c>
      <c r="B4712" t="str">
        <f>"CR4281"</f>
        <v>CR4281</v>
      </c>
      <c r="C4712" t="s">
        <v>36337</v>
      </c>
      <c r="D4712" t="s">
        <v>27263</v>
      </c>
      <c r="E4712" t="str">
        <f t="shared" si="73"/>
        <v>001390</v>
      </c>
      <c r="F4712" t="s">
        <v>27246</v>
      </c>
      <c r="G4712" t="s">
        <v>27247</v>
      </c>
      <c r="H4712" t="s">
        <v>27248</v>
      </c>
      <c r="I4712" t="s">
        <v>36338</v>
      </c>
      <c r="J4712" t="s">
        <v>9395</v>
      </c>
      <c r="L4712" t="s">
        <v>27250</v>
      </c>
      <c r="M4712" t="s">
        <v>27251</v>
      </c>
      <c r="N4712" t="s">
        <v>27252</v>
      </c>
      <c r="Q4712" s="1">
        <v>44846</v>
      </c>
      <c r="R4712" t="s">
        <v>27253</v>
      </c>
      <c r="S4712" t="s">
        <v>27254</v>
      </c>
      <c r="T4712" t="s">
        <v>27265</v>
      </c>
    </row>
    <row r="4713" spans="1:20" x14ac:dyDescent="0.3">
      <c r="A4713" t="str">
        <f>"0611862071100"</f>
        <v>0611862071100</v>
      </c>
      <c r="B4713" t="str">
        <f>"CN5177"</f>
        <v>CN5177</v>
      </c>
      <c r="C4713" t="s">
        <v>36339</v>
      </c>
      <c r="D4713" t="s">
        <v>27335</v>
      </c>
      <c r="E4713" t="str">
        <f t="shared" si="73"/>
        <v>001390</v>
      </c>
      <c r="F4713" t="s">
        <v>27246</v>
      </c>
      <c r="G4713" t="s">
        <v>27247</v>
      </c>
      <c r="H4713" t="s">
        <v>27248</v>
      </c>
      <c r="I4713" t="s">
        <v>36340</v>
      </c>
      <c r="J4713" t="s">
        <v>9397</v>
      </c>
      <c r="L4713" t="s">
        <v>27250</v>
      </c>
      <c r="M4713" t="s">
        <v>27251</v>
      </c>
      <c r="N4713" t="s">
        <v>27252</v>
      </c>
      <c r="Q4713" s="1">
        <v>44846</v>
      </c>
      <c r="R4713" t="s">
        <v>27253</v>
      </c>
      <c r="S4713" t="s">
        <v>27254</v>
      </c>
      <c r="T4713" t="s">
        <v>27255</v>
      </c>
    </row>
    <row r="4714" spans="1:20" x14ac:dyDescent="0.3">
      <c r="A4714" t="str">
        <f>"0611862072050"</f>
        <v>0611862072050</v>
      </c>
      <c r="B4714" t="str">
        <f>"CR4284"</f>
        <v>CR4284</v>
      </c>
      <c r="C4714" t="s">
        <v>36341</v>
      </c>
      <c r="D4714" t="s">
        <v>27286</v>
      </c>
      <c r="E4714" t="str">
        <f t="shared" si="73"/>
        <v>001390</v>
      </c>
      <c r="F4714" t="s">
        <v>27246</v>
      </c>
      <c r="G4714" t="s">
        <v>27247</v>
      </c>
      <c r="H4714" t="s">
        <v>27248</v>
      </c>
      <c r="I4714" t="s">
        <v>36342</v>
      </c>
      <c r="J4714" t="s">
        <v>9399</v>
      </c>
      <c r="L4714" t="s">
        <v>27250</v>
      </c>
      <c r="M4714" t="s">
        <v>27251</v>
      </c>
      <c r="N4714" t="s">
        <v>27252</v>
      </c>
      <c r="Q4714" s="1">
        <v>44846</v>
      </c>
      <c r="R4714" t="s">
        <v>27253</v>
      </c>
      <c r="S4714" t="s">
        <v>27254</v>
      </c>
      <c r="T4714" t="s">
        <v>27265</v>
      </c>
    </row>
    <row r="4715" spans="1:20" x14ac:dyDescent="0.3">
      <c r="A4715" t="str">
        <f>"0611862073100"</f>
        <v>0611862073100</v>
      </c>
      <c r="B4715" t="str">
        <f>"CN5178"</f>
        <v>CN5178</v>
      </c>
      <c r="C4715" t="s">
        <v>36343</v>
      </c>
      <c r="D4715" t="s">
        <v>27335</v>
      </c>
      <c r="E4715" t="str">
        <f t="shared" si="73"/>
        <v>001390</v>
      </c>
      <c r="F4715" t="s">
        <v>27246</v>
      </c>
      <c r="G4715" t="s">
        <v>27247</v>
      </c>
      <c r="H4715" t="s">
        <v>27248</v>
      </c>
      <c r="I4715" t="s">
        <v>36344</v>
      </c>
      <c r="J4715" t="s">
        <v>9401</v>
      </c>
      <c r="L4715" t="s">
        <v>27250</v>
      </c>
      <c r="M4715" t="s">
        <v>27251</v>
      </c>
      <c r="N4715" t="s">
        <v>27252</v>
      </c>
      <c r="Q4715" s="1">
        <v>44846</v>
      </c>
      <c r="R4715" t="s">
        <v>27253</v>
      </c>
      <c r="S4715" t="s">
        <v>27254</v>
      </c>
      <c r="T4715" t="s">
        <v>27255</v>
      </c>
    </row>
    <row r="4716" spans="1:20" x14ac:dyDescent="0.3">
      <c r="A4716" t="str">
        <f>"0611862074050"</f>
        <v>0611862074050</v>
      </c>
      <c r="B4716" t="str">
        <f>"CE0947"</f>
        <v>CE0947</v>
      </c>
      <c r="C4716" t="s">
        <v>36345</v>
      </c>
      <c r="D4716" t="s">
        <v>27263</v>
      </c>
      <c r="E4716" t="str">
        <f t="shared" si="73"/>
        <v>001390</v>
      </c>
      <c r="F4716" t="s">
        <v>27246</v>
      </c>
      <c r="G4716" t="s">
        <v>27247</v>
      </c>
      <c r="H4716" t="s">
        <v>27248</v>
      </c>
      <c r="I4716" t="s">
        <v>36346</v>
      </c>
      <c r="J4716" t="s">
        <v>9403</v>
      </c>
      <c r="L4716" t="s">
        <v>27250</v>
      </c>
      <c r="M4716" t="s">
        <v>27251</v>
      </c>
      <c r="N4716" t="s">
        <v>27252</v>
      </c>
      <c r="Q4716" s="1">
        <v>44846</v>
      </c>
      <c r="R4716" t="s">
        <v>27253</v>
      </c>
      <c r="S4716" t="s">
        <v>27254</v>
      </c>
      <c r="T4716" t="s">
        <v>27265</v>
      </c>
    </row>
    <row r="4717" spans="1:20" x14ac:dyDescent="0.3">
      <c r="A4717" t="str">
        <f>"0611834475100"</f>
        <v>0611834475100</v>
      </c>
      <c r="B4717" t="str">
        <f>"LH4080"</f>
        <v>LH4080</v>
      </c>
      <c r="C4717" t="s">
        <v>36347</v>
      </c>
      <c r="D4717" t="s">
        <v>27245</v>
      </c>
      <c r="E4717" t="str">
        <f t="shared" si="73"/>
        <v>001390</v>
      </c>
      <c r="F4717" t="s">
        <v>27246</v>
      </c>
      <c r="G4717" t="s">
        <v>27247</v>
      </c>
      <c r="H4717" t="s">
        <v>27248</v>
      </c>
      <c r="I4717" t="s">
        <v>36348</v>
      </c>
      <c r="J4717" t="s">
        <v>9405</v>
      </c>
      <c r="L4717" t="s">
        <v>27250</v>
      </c>
      <c r="M4717" t="s">
        <v>27251</v>
      </c>
      <c r="N4717" t="s">
        <v>27252</v>
      </c>
      <c r="Q4717" s="1">
        <v>44538</v>
      </c>
      <c r="R4717" t="s">
        <v>27253</v>
      </c>
      <c r="S4717" t="s">
        <v>27254</v>
      </c>
      <c r="T4717" t="s">
        <v>27255</v>
      </c>
    </row>
    <row r="4718" spans="1:20" x14ac:dyDescent="0.3">
      <c r="A4718" t="str">
        <f>"0611834476025"</f>
        <v>0611834476025</v>
      </c>
      <c r="B4718" t="str">
        <f>"MC0297"</f>
        <v>MC0297</v>
      </c>
      <c r="C4718" t="s">
        <v>36347</v>
      </c>
      <c r="D4718" t="s">
        <v>27267</v>
      </c>
      <c r="E4718" t="str">
        <f t="shared" si="73"/>
        <v>001390</v>
      </c>
      <c r="F4718" t="s">
        <v>27246</v>
      </c>
      <c r="G4718" t="s">
        <v>27247</v>
      </c>
      <c r="H4718" t="s">
        <v>27248</v>
      </c>
      <c r="I4718" t="s">
        <v>36349</v>
      </c>
      <c r="J4718" t="s">
        <v>9407</v>
      </c>
      <c r="L4718" t="s">
        <v>27250</v>
      </c>
      <c r="M4718" t="s">
        <v>27251</v>
      </c>
      <c r="N4718" t="s">
        <v>27252</v>
      </c>
      <c r="Q4718" s="1">
        <v>44538</v>
      </c>
      <c r="R4718" t="s">
        <v>27253</v>
      </c>
      <c r="S4718" t="s">
        <v>27254</v>
      </c>
      <c r="T4718" t="s">
        <v>27269</v>
      </c>
    </row>
    <row r="4719" spans="1:20" x14ac:dyDescent="0.3">
      <c r="A4719" t="str">
        <f>"0611834477100"</f>
        <v>0611834477100</v>
      </c>
      <c r="B4719" t="str">
        <f>"LC9600"</f>
        <v>LC9600</v>
      </c>
      <c r="C4719" t="s">
        <v>36350</v>
      </c>
      <c r="D4719" t="s">
        <v>27245</v>
      </c>
      <c r="E4719" t="str">
        <f t="shared" si="73"/>
        <v>001390</v>
      </c>
      <c r="F4719" t="s">
        <v>27246</v>
      </c>
      <c r="G4719" t="s">
        <v>27247</v>
      </c>
      <c r="H4719" t="s">
        <v>27248</v>
      </c>
      <c r="I4719" t="s">
        <v>36351</v>
      </c>
      <c r="J4719" t="s">
        <v>9409</v>
      </c>
      <c r="L4719" t="s">
        <v>27250</v>
      </c>
      <c r="M4719" t="s">
        <v>27251</v>
      </c>
      <c r="N4719" t="s">
        <v>27252</v>
      </c>
      <c r="Q4719" s="1">
        <v>44538</v>
      </c>
      <c r="R4719" t="s">
        <v>27253</v>
      </c>
      <c r="S4719" t="s">
        <v>27254</v>
      </c>
      <c r="T4719" t="s">
        <v>27255</v>
      </c>
    </row>
    <row r="4720" spans="1:20" x14ac:dyDescent="0.3">
      <c r="A4720" t="str">
        <f>"0611862075100"</f>
        <v>0611862075100</v>
      </c>
      <c r="B4720" t="str">
        <f>"CN5180"</f>
        <v>CN5180</v>
      </c>
      <c r="C4720" t="s">
        <v>36352</v>
      </c>
      <c r="D4720" t="s">
        <v>27335</v>
      </c>
      <c r="E4720" t="str">
        <f t="shared" si="73"/>
        <v>001390</v>
      </c>
      <c r="F4720" t="s">
        <v>27246</v>
      </c>
      <c r="G4720" t="s">
        <v>27247</v>
      </c>
      <c r="H4720" t="s">
        <v>27248</v>
      </c>
      <c r="I4720" t="s">
        <v>36353</v>
      </c>
      <c r="J4720" t="s">
        <v>9411</v>
      </c>
      <c r="L4720" t="s">
        <v>27250</v>
      </c>
      <c r="M4720" t="s">
        <v>27251</v>
      </c>
      <c r="N4720" t="s">
        <v>27252</v>
      </c>
      <c r="Q4720" s="1">
        <v>44846</v>
      </c>
      <c r="R4720" t="s">
        <v>27253</v>
      </c>
      <c r="S4720" t="s">
        <v>27254</v>
      </c>
      <c r="T4720" t="s">
        <v>27255</v>
      </c>
    </row>
    <row r="4721" spans="1:20" x14ac:dyDescent="0.3">
      <c r="A4721" t="str">
        <f>"0611834478100"</f>
        <v>0611834478100</v>
      </c>
      <c r="B4721" t="str">
        <f>"LC6626"</f>
        <v>LC6626</v>
      </c>
      <c r="C4721" t="s">
        <v>36354</v>
      </c>
      <c r="D4721" t="s">
        <v>27245</v>
      </c>
      <c r="E4721" t="str">
        <f t="shared" si="73"/>
        <v>001390</v>
      </c>
      <c r="F4721" t="s">
        <v>27246</v>
      </c>
      <c r="G4721" t="s">
        <v>27247</v>
      </c>
      <c r="H4721" t="s">
        <v>27248</v>
      </c>
      <c r="I4721" t="s">
        <v>36355</v>
      </c>
      <c r="J4721" t="s">
        <v>9413</v>
      </c>
      <c r="L4721" t="s">
        <v>27250</v>
      </c>
      <c r="M4721" t="s">
        <v>27251</v>
      </c>
      <c r="N4721" t="s">
        <v>27252</v>
      </c>
      <c r="Q4721" s="1">
        <v>44538</v>
      </c>
      <c r="R4721" t="s">
        <v>27253</v>
      </c>
      <c r="S4721" t="s">
        <v>27254</v>
      </c>
      <c r="T4721" t="s">
        <v>27255</v>
      </c>
    </row>
    <row r="4722" spans="1:20" x14ac:dyDescent="0.3">
      <c r="A4722" t="str">
        <f>"0611884221100"</f>
        <v>0611884221100</v>
      </c>
      <c r="B4722" t="str">
        <f>"CN5440"</f>
        <v>CN5440</v>
      </c>
      <c r="C4722" t="s">
        <v>36356</v>
      </c>
      <c r="D4722" t="s">
        <v>27335</v>
      </c>
      <c r="E4722" t="str">
        <f t="shared" si="73"/>
        <v>001390</v>
      </c>
      <c r="F4722" t="s">
        <v>27246</v>
      </c>
      <c r="G4722" t="s">
        <v>27247</v>
      </c>
      <c r="H4722" t="s">
        <v>27248</v>
      </c>
      <c r="I4722" t="s">
        <v>36357</v>
      </c>
      <c r="J4722" t="s">
        <v>9415</v>
      </c>
      <c r="L4722" t="s">
        <v>27430</v>
      </c>
      <c r="M4722" t="s">
        <v>27251</v>
      </c>
      <c r="N4722" t="s">
        <v>27252</v>
      </c>
      <c r="Q4722" s="1">
        <v>45250</v>
      </c>
      <c r="R4722" t="s">
        <v>27253</v>
      </c>
      <c r="S4722" t="s">
        <v>27254</v>
      </c>
      <c r="T4722" t="s">
        <v>27255</v>
      </c>
    </row>
    <row r="4723" spans="1:20" x14ac:dyDescent="0.3">
      <c r="A4723" t="str">
        <f>"0611862092100"</f>
        <v>0611862092100</v>
      </c>
      <c r="B4723" t="str">
        <f>"CN2105"</f>
        <v>CN2105</v>
      </c>
      <c r="C4723" t="s">
        <v>36358</v>
      </c>
      <c r="D4723" t="s">
        <v>27335</v>
      </c>
      <c r="E4723" t="str">
        <f t="shared" si="73"/>
        <v>001390</v>
      </c>
      <c r="F4723" t="s">
        <v>27246</v>
      </c>
      <c r="G4723" t="s">
        <v>27247</v>
      </c>
      <c r="H4723" t="s">
        <v>27248</v>
      </c>
      <c r="I4723" t="s">
        <v>36359</v>
      </c>
      <c r="J4723" t="s">
        <v>9417</v>
      </c>
      <c r="L4723" t="s">
        <v>27250</v>
      </c>
      <c r="M4723" t="s">
        <v>27251</v>
      </c>
      <c r="N4723" t="s">
        <v>27252</v>
      </c>
      <c r="Q4723" s="1">
        <v>44846</v>
      </c>
      <c r="R4723" t="s">
        <v>27253</v>
      </c>
      <c r="S4723" t="s">
        <v>27254</v>
      </c>
      <c r="T4723" t="s">
        <v>27255</v>
      </c>
    </row>
    <row r="4724" spans="1:20" x14ac:dyDescent="0.3">
      <c r="A4724" t="str">
        <f>"0611862093100"</f>
        <v>0611862093100</v>
      </c>
      <c r="B4724" t="str">
        <f>"CN2106"</f>
        <v>CN2106</v>
      </c>
      <c r="C4724" t="s">
        <v>36360</v>
      </c>
      <c r="D4724" t="s">
        <v>27335</v>
      </c>
      <c r="E4724" t="str">
        <f t="shared" si="73"/>
        <v>001390</v>
      </c>
      <c r="F4724" t="s">
        <v>27246</v>
      </c>
      <c r="G4724" t="s">
        <v>27247</v>
      </c>
      <c r="H4724" t="s">
        <v>27248</v>
      </c>
      <c r="I4724" t="s">
        <v>36361</v>
      </c>
      <c r="J4724" t="s">
        <v>9419</v>
      </c>
      <c r="L4724" t="s">
        <v>27250</v>
      </c>
      <c r="M4724" t="s">
        <v>27251</v>
      </c>
      <c r="N4724" t="s">
        <v>27252</v>
      </c>
      <c r="Q4724" s="1">
        <v>44846</v>
      </c>
      <c r="R4724" t="s">
        <v>27253</v>
      </c>
      <c r="S4724" t="s">
        <v>27254</v>
      </c>
      <c r="T4724" t="s">
        <v>27255</v>
      </c>
    </row>
    <row r="4725" spans="1:20" x14ac:dyDescent="0.3">
      <c r="A4725" t="str">
        <f>"0611862094100"</f>
        <v>0611862094100</v>
      </c>
      <c r="B4725" t="str">
        <f>"CN2107"</f>
        <v>CN2107</v>
      </c>
      <c r="C4725" t="s">
        <v>36362</v>
      </c>
      <c r="D4725" t="s">
        <v>27335</v>
      </c>
      <c r="E4725" t="str">
        <f t="shared" si="73"/>
        <v>001390</v>
      </c>
      <c r="F4725" t="s">
        <v>27246</v>
      </c>
      <c r="G4725" t="s">
        <v>27247</v>
      </c>
      <c r="H4725" t="s">
        <v>27248</v>
      </c>
      <c r="I4725" t="s">
        <v>36363</v>
      </c>
      <c r="J4725" t="s">
        <v>9421</v>
      </c>
      <c r="L4725" t="s">
        <v>27250</v>
      </c>
      <c r="M4725" t="s">
        <v>27251</v>
      </c>
      <c r="N4725" t="s">
        <v>27252</v>
      </c>
      <c r="Q4725" s="1">
        <v>44846</v>
      </c>
      <c r="R4725" t="s">
        <v>27253</v>
      </c>
      <c r="S4725" t="s">
        <v>27254</v>
      </c>
      <c r="T4725" t="s">
        <v>27255</v>
      </c>
    </row>
    <row r="4726" spans="1:20" x14ac:dyDescent="0.3">
      <c r="A4726" t="str">
        <f>"0611862095100"</f>
        <v>0611862095100</v>
      </c>
      <c r="B4726" t="str">
        <f>"CN2108"</f>
        <v>CN2108</v>
      </c>
      <c r="C4726" t="s">
        <v>36364</v>
      </c>
      <c r="D4726" t="s">
        <v>27335</v>
      </c>
      <c r="E4726" t="str">
        <f t="shared" si="73"/>
        <v>001390</v>
      </c>
      <c r="F4726" t="s">
        <v>27246</v>
      </c>
      <c r="G4726" t="s">
        <v>27247</v>
      </c>
      <c r="H4726" t="s">
        <v>27248</v>
      </c>
      <c r="I4726" t="s">
        <v>36365</v>
      </c>
      <c r="J4726" t="s">
        <v>9423</v>
      </c>
      <c r="L4726" t="s">
        <v>27250</v>
      </c>
      <c r="M4726" t="s">
        <v>27251</v>
      </c>
      <c r="N4726" t="s">
        <v>27252</v>
      </c>
      <c r="Q4726" s="1">
        <v>44846</v>
      </c>
      <c r="R4726" t="s">
        <v>27253</v>
      </c>
      <c r="S4726" t="s">
        <v>27254</v>
      </c>
      <c r="T4726" t="s">
        <v>27255</v>
      </c>
    </row>
    <row r="4727" spans="1:20" x14ac:dyDescent="0.3">
      <c r="A4727" t="str">
        <f>"0611862096100"</f>
        <v>0611862096100</v>
      </c>
      <c r="B4727" t="str">
        <f>"CN2109"</f>
        <v>CN2109</v>
      </c>
      <c r="C4727" t="s">
        <v>36366</v>
      </c>
      <c r="D4727" t="s">
        <v>27335</v>
      </c>
      <c r="E4727" t="str">
        <f t="shared" si="73"/>
        <v>001390</v>
      </c>
      <c r="F4727" t="s">
        <v>27246</v>
      </c>
      <c r="G4727" t="s">
        <v>27247</v>
      </c>
      <c r="H4727" t="s">
        <v>27248</v>
      </c>
      <c r="I4727" t="s">
        <v>36367</v>
      </c>
      <c r="J4727" t="s">
        <v>9425</v>
      </c>
      <c r="L4727" t="s">
        <v>27250</v>
      </c>
      <c r="M4727" t="s">
        <v>27251</v>
      </c>
      <c r="N4727" t="s">
        <v>27252</v>
      </c>
      <c r="Q4727" s="1">
        <v>44846</v>
      </c>
      <c r="R4727" t="s">
        <v>27253</v>
      </c>
      <c r="S4727" t="s">
        <v>27254</v>
      </c>
      <c r="T4727" t="s">
        <v>27255</v>
      </c>
    </row>
    <row r="4728" spans="1:20" x14ac:dyDescent="0.3">
      <c r="A4728" t="str">
        <f>"0611834479100"</f>
        <v>0611834479100</v>
      </c>
      <c r="B4728" t="str">
        <f>"LG0999"</f>
        <v>LG0999</v>
      </c>
      <c r="C4728" t="s">
        <v>36368</v>
      </c>
      <c r="D4728" t="s">
        <v>27245</v>
      </c>
      <c r="E4728" t="str">
        <f t="shared" si="73"/>
        <v>001390</v>
      </c>
      <c r="F4728" t="s">
        <v>27246</v>
      </c>
      <c r="G4728" t="s">
        <v>27247</v>
      </c>
      <c r="H4728" t="s">
        <v>27248</v>
      </c>
      <c r="I4728" t="s">
        <v>36369</v>
      </c>
      <c r="J4728" t="s">
        <v>9427</v>
      </c>
      <c r="L4728" t="s">
        <v>27250</v>
      </c>
      <c r="M4728" t="s">
        <v>27251</v>
      </c>
      <c r="N4728" t="s">
        <v>27252</v>
      </c>
      <c r="Q4728" s="1">
        <v>44538</v>
      </c>
      <c r="R4728" t="s">
        <v>27253</v>
      </c>
      <c r="S4728" t="s">
        <v>27254</v>
      </c>
      <c r="T4728" t="s">
        <v>27255</v>
      </c>
    </row>
    <row r="4729" spans="1:20" x14ac:dyDescent="0.3">
      <c r="A4729" t="str">
        <f>"0611862097100"</f>
        <v>0611862097100</v>
      </c>
      <c r="B4729" t="str">
        <f>"CN2110"</f>
        <v>CN2110</v>
      </c>
      <c r="C4729" t="s">
        <v>36370</v>
      </c>
      <c r="D4729" t="s">
        <v>27335</v>
      </c>
      <c r="E4729" t="str">
        <f t="shared" si="73"/>
        <v>001390</v>
      </c>
      <c r="F4729" t="s">
        <v>27246</v>
      </c>
      <c r="G4729" t="s">
        <v>27247</v>
      </c>
      <c r="H4729" t="s">
        <v>27248</v>
      </c>
      <c r="I4729" t="s">
        <v>36371</v>
      </c>
      <c r="J4729" t="s">
        <v>9429</v>
      </c>
      <c r="L4729" t="s">
        <v>27250</v>
      </c>
      <c r="M4729" t="s">
        <v>27251</v>
      </c>
      <c r="N4729" t="s">
        <v>27252</v>
      </c>
      <c r="Q4729" s="1">
        <v>44846</v>
      </c>
      <c r="R4729" t="s">
        <v>27253</v>
      </c>
      <c r="S4729" t="s">
        <v>27254</v>
      </c>
      <c r="T4729" t="s">
        <v>27255</v>
      </c>
    </row>
    <row r="4730" spans="1:20" x14ac:dyDescent="0.3">
      <c r="A4730" t="str">
        <f>"0611862098100"</f>
        <v>0611862098100</v>
      </c>
      <c r="B4730" t="str">
        <f>"CN2111"</f>
        <v>CN2111</v>
      </c>
      <c r="C4730" t="s">
        <v>36372</v>
      </c>
      <c r="D4730" t="s">
        <v>27335</v>
      </c>
      <c r="E4730" t="str">
        <f t="shared" si="73"/>
        <v>001390</v>
      </c>
      <c r="F4730" t="s">
        <v>27246</v>
      </c>
      <c r="G4730" t="s">
        <v>27247</v>
      </c>
      <c r="H4730" t="s">
        <v>27248</v>
      </c>
      <c r="I4730" t="s">
        <v>36373</v>
      </c>
      <c r="J4730" t="s">
        <v>9431</v>
      </c>
      <c r="L4730" t="s">
        <v>27250</v>
      </c>
      <c r="M4730" t="s">
        <v>27251</v>
      </c>
      <c r="N4730" t="s">
        <v>27252</v>
      </c>
      <c r="Q4730" s="1">
        <v>44846</v>
      </c>
      <c r="R4730" t="s">
        <v>27253</v>
      </c>
      <c r="S4730" t="s">
        <v>27254</v>
      </c>
      <c r="T4730" t="s">
        <v>27255</v>
      </c>
    </row>
    <row r="4731" spans="1:20" x14ac:dyDescent="0.3">
      <c r="A4731" t="str">
        <f>"0611862099100"</f>
        <v>0611862099100</v>
      </c>
      <c r="B4731" t="str">
        <f>"CN2112"</f>
        <v>CN2112</v>
      </c>
      <c r="C4731" t="s">
        <v>36374</v>
      </c>
      <c r="D4731" t="s">
        <v>27335</v>
      </c>
      <c r="E4731" t="str">
        <f t="shared" si="73"/>
        <v>001390</v>
      </c>
      <c r="F4731" t="s">
        <v>27246</v>
      </c>
      <c r="G4731" t="s">
        <v>27247</v>
      </c>
      <c r="H4731" t="s">
        <v>27248</v>
      </c>
      <c r="I4731" t="s">
        <v>36375</v>
      </c>
      <c r="J4731" t="s">
        <v>9433</v>
      </c>
      <c r="L4731" t="s">
        <v>27250</v>
      </c>
      <c r="M4731" t="s">
        <v>27251</v>
      </c>
      <c r="N4731" t="s">
        <v>27252</v>
      </c>
      <c r="Q4731" s="1">
        <v>44846</v>
      </c>
      <c r="R4731" t="s">
        <v>27253</v>
      </c>
      <c r="S4731" t="s">
        <v>27254</v>
      </c>
      <c r="T4731" t="s">
        <v>27255</v>
      </c>
    </row>
    <row r="4732" spans="1:20" x14ac:dyDescent="0.3">
      <c r="A4732" t="str">
        <f>"0611862100100"</f>
        <v>0611862100100</v>
      </c>
      <c r="B4732" t="str">
        <f>"CN2113"</f>
        <v>CN2113</v>
      </c>
      <c r="C4732" t="s">
        <v>36376</v>
      </c>
      <c r="D4732" t="s">
        <v>27335</v>
      </c>
      <c r="E4732" t="str">
        <f t="shared" si="73"/>
        <v>001390</v>
      </c>
      <c r="F4732" t="s">
        <v>27246</v>
      </c>
      <c r="G4732" t="s">
        <v>27247</v>
      </c>
      <c r="H4732" t="s">
        <v>27248</v>
      </c>
      <c r="I4732" t="s">
        <v>36377</v>
      </c>
      <c r="J4732" t="s">
        <v>9435</v>
      </c>
      <c r="L4732" t="s">
        <v>27250</v>
      </c>
      <c r="M4732" t="s">
        <v>27251</v>
      </c>
      <c r="N4732" t="s">
        <v>27252</v>
      </c>
      <c r="Q4732" s="1">
        <v>44846</v>
      </c>
      <c r="R4732" t="s">
        <v>27253</v>
      </c>
      <c r="S4732" t="s">
        <v>27254</v>
      </c>
      <c r="T4732" t="s">
        <v>27255</v>
      </c>
    </row>
    <row r="4733" spans="1:20" x14ac:dyDescent="0.3">
      <c r="A4733" t="str">
        <f>"0611862101100"</f>
        <v>0611862101100</v>
      </c>
      <c r="B4733" t="str">
        <f>"CN2114"</f>
        <v>CN2114</v>
      </c>
      <c r="C4733" t="s">
        <v>36378</v>
      </c>
      <c r="D4733" t="s">
        <v>27335</v>
      </c>
      <c r="E4733" t="str">
        <f t="shared" si="73"/>
        <v>001390</v>
      </c>
      <c r="F4733" t="s">
        <v>27246</v>
      </c>
      <c r="G4733" t="s">
        <v>27247</v>
      </c>
      <c r="H4733" t="s">
        <v>27248</v>
      </c>
      <c r="I4733" t="s">
        <v>36379</v>
      </c>
      <c r="J4733" t="s">
        <v>9437</v>
      </c>
      <c r="L4733" t="s">
        <v>27250</v>
      </c>
      <c r="M4733" t="s">
        <v>27251</v>
      </c>
      <c r="N4733" t="s">
        <v>27252</v>
      </c>
      <c r="Q4733" s="1">
        <v>44846</v>
      </c>
      <c r="R4733" t="s">
        <v>27253</v>
      </c>
      <c r="S4733" t="s">
        <v>27254</v>
      </c>
      <c r="T4733" t="s">
        <v>27255</v>
      </c>
    </row>
    <row r="4734" spans="1:20" x14ac:dyDescent="0.3">
      <c r="A4734" t="str">
        <f>"0611862102100"</f>
        <v>0611862102100</v>
      </c>
      <c r="B4734" t="str">
        <f>"CN2115"</f>
        <v>CN2115</v>
      </c>
      <c r="C4734" t="s">
        <v>36380</v>
      </c>
      <c r="D4734" t="s">
        <v>27335</v>
      </c>
      <c r="E4734" t="str">
        <f t="shared" si="73"/>
        <v>001390</v>
      </c>
      <c r="F4734" t="s">
        <v>27246</v>
      </c>
      <c r="G4734" t="s">
        <v>27247</v>
      </c>
      <c r="H4734" t="s">
        <v>27248</v>
      </c>
      <c r="I4734" t="s">
        <v>36381</v>
      </c>
      <c r="J4734" t="s">
        <v>9439</v>
      </c>
      <c r="L4734" t="s">
        <v>27250</v>
      </c>
      <c r="M4734" t="s">
        <v>27251</v>
      </c>
      <c r="N4734" t="s">
        <v>27252</v>
      </c>
      <c r="Q4734" s="1">
        <v>44846</v>
      </c>
      <c r="R4734" t="s">
        <v>27253</v>
      </c>
      <c r="S4734" t="s">
        <v>27254</v>
      </c>
      <c r="T4734" t="s">
        <v>27255</v>
      </c>
    </row>
    <row r="4735" spans="1:20" x14ac:dyDescent="0.3">
      <c r="A4735" t="str">
        <f>"0611862103100"</f>
        <v>0611862103100</v>
      </c>
      <c r="B4735" t="str">
        <f>"CN2116"</f>
        <v>CN2116</v>
      </c>
      <c r="C4735" t="s">
        <v>36382</v>
      </c>
      <c r="D4735" t="s">
        <v>27335</v>
      </c>
      <c r="E4735" t="str">
        <f t="shared" si="73"/>
        <v>001390</v>
      </c>
      <c r="F4735" t="s">
        <v>27246</v>
      </c>
      <c r="G4735" t="s">
        <v>27247</v>
      </c>
      <c r="H4735" t="s">
        <v>27248</v>
      </c>
      <c r="I4735" t="s">
        <v>36383</v>
      </c>
      <c r="J4735" t="s">
        <v>9441</v>
      </c>
      <c r="L4735" t="s">
        <v>27250</v>
      </c>
      <c r="M4735" t="s">
        <v>27251</v>
      </c>
      <c r="N4735" t="s">
        <v>27252</v>
      </c>
      <c r="Q4735" s="1">
        <v>44846</v>
      </c>
      <c r="R4735" t="s">
        <v>27253</v>
      </c>
      <c r="S4735" t="s">
        <v>27254</v>
      </c>
      <c r="T4735" t="s">
        <v>27255</v>
      </c>
    </row>
    <row r="4736" spans="1:20" x14ac:dyDescent="0.3">
      <c r="A4736" t="str">
        <f>"0611862104100"</f>
        <v>0611862104100</v>
      </c>
      <c r="B4736" t="str">
        <f>"CN2117"</f>
        <v>CN2117</v>
      </c>
      <c r="C4736" t="s">
        <v>36384</v>
      </c>
      <c r="D4736" t="s">
        <v>27335</v>
      </c>
      <c r="E4736" t="str">
        <f t="shared" si="73"/>
        <v>001390</v>
      </c>
      <c r="F4736" t="s">
        <v>27246</v>
      </c>
      <c r="G4736" t="s">
        <v>27247</v>
      </c>
      <c r="H4736" t="s">
        <v>27248</v>
      </c>
      <c r="I4736" t="s">
        <v>36385</v>
      </c>
      <c r="J4736" t="s">
        <v>9443</v>
      </c>
      <c r="L4736" t="s">
        <v>27250</v>
      </c>
      <c r="M4736" t="s">
        <v>27251</v>
      </c>
      <c r="N4736" t="s">
        <v>27252</v>
      </c>
      <c r="Q4736" s="1">
        <v>44846</v>
      </c>
      <c r="R4736" t="s">
        <v>27253</v>
      </c>
      <c r="S4736" t="s">
        <v>27254</v>
      </c>
      <c r="T4736" t="s">
        <v>27255</v>
      </c>
    </row>
    <row r="4737" spans="1:20" x14ac:dyDescent="0.3">
      <c r="A4737" t="str">
        <f>"0611862105100"</f>
        <v>0611862105100</v>
      </c>
      <c r="B4737" t="str">
        <f>"CN2118"</f>
        <v>CN2118</v>
      </c>
      <c r="C4737" t="s">
        <v>36386</v>
      </c>
      <c r="D4737" t="s">
        <v>27335</v>
      </c>
      <c r="E4737" t="str">
        <f t="shared" si="73"/>
        <v>001390</v>
      </c>
      <c r="F4737" t="s">
        <v>27246</v>
      </c>
      <c r="G4737" t="s">
        <v>27247</v>
      </c>
      <c r="H4737" t="s">
        <v>27248</v>
      </c>
      <c r="I4737" t="s">
        <v>36387</v>
      </c>
      <c r="J4737" t="s">
        <v>9445</v>
      </c>
      <c r="L4737" t="s">
        <v>27250</v>
      </c>
      <c r="M4737" t="s">
        <v>27251</v>
      </c>
      <c r="N4737" t="s">
        <v>27252</v>
      </c>
      <c r="Q4737" s="1">
        <v>44846</v>
      </c>
      <c r="R4737" t="s">
        <v>27253</v>
      </c>
      <c r="S4737" t="s">
        <v>27254</v>
      </c>
      <c r="T4737" t="s">
        <v>27255</v>
      </c>
    </row>
    <row r="4738" spans="1:20" x14ac:dyDescent="0.3">
      <c r="A4738" t="str">
        <f>"0611862106100"</f>
        <v>0611862106100</v>
      </c>
      <c r="B4738" t="str">
        <f>"CN2119"</f>
        <v>CN2119</v>
      </c>
      <c r="C4738" t="s">
        <v>36388</v>
      </c>
      <c r="D4738" t="s">
        <v>27335</v>
      </c>
      <c r="E4738" t="str">
        <f t="shared" ref="E4738:E4801" si="74">"001390"</f>
        <v>001390</v>
      </c>
      <c r="F4738" t="s">
        <v>27246</v>
      </c>
      <c r="G4738" t="s">
        <v>27247</v>
      </c>
      <c r="H4738" t="s">
        <v>27248</v>
      </c>
      <c r="I4738" t="s">
        <v>36389</v>
      </c>
      <c r="J4738" t="s">
        <v>9447</v>
      </c>
      <c r="L4738" t="s">
        <v>27250</v>
      </c>
      <c r="M4738" t="s">
        <v>27251</v>
      </c>
      <c r="N4738" t="s">
        <v>27252</v>
      </c>
      <c r="Q4738" s="1">
        <v>44846</v>
      </c>
      <c r="R4738" t="s">
        <v>27253</v>
      </c>
      <c r="S4738" t="s">
        <v>27254</v>
      </c>
      <c r="T4738" t="s">
        <v>27255</v>
      </c>
    </row>
    <row r="4739" spans="1:20" x14ac:dyDescent="0.3">
      <c r="A4739" t="str">
        <f>"0611862107100"</f>
        <v>0611862107100</v>
      </c>
      <c r="B4739" t="str">
        <f>"CN2120"</f>
        <v>CN2120</v>
      </c>
      <c r="C4739" t="s">
        <v>36390</v>
      </c>
      <c r="D4739" t="s">
        <v>27335</v>
      </c>
      <c r="E4739" t="str">
        <f t="shared" si="74"/>
        <v>001390</v>
      </c>
      <c r="F4739" t="s">
        <v>27246</v>
      </c>
      <c r="G4739" t="s">
        <v>27247</v>
      </c>
      <c r="H4739" t="s">
        <v>27248</v>
      </c>
      <c r="I4739" t="s">
        <v>36391</v>
      </c>
      <c r="J4739" t="s">
        <v>9449</v>
      </c>
      <c r="L4739" t="s">
        <v>27250</v>
      </c>
      <c r="M4739" t="s">
        <v>27251</v>
      </c>
      <c r="N4739" t="s">
        <v>27252</v>
      </c>
      <c r="Q4739" s="1">
        <v>44846</v>
      </c>
      <c r="R4739" t="s">
        <v>27253</v>
      </c>
      <c r="S4739" t="s">
        <v>27254</v>
      </c>
      <c r="T4739" t="s">
        <v>27255</v>
      </c>
    </row>
    <row r="4740" spans="1:20" x14ac:dyDescent="0.3">
      <c r="A4740" t="str">
        <f>"0611834480025"</f>
        <v>0611834480025</v>
      </c>
      <c r="B4740" t="str">
        <f>"MQ0576"</f>
        <v>MQ0576</v>
      </c>
      <c r="C4740" t="s">
        <v>36392</v>
      </c>
      <c r="D4740" t="s">
        <v>27267</v>
      </c>
      <c r="E4740" t="str">
        <f t="shared" si="74"/>
        <v>001390</v>
      </c>
      <c r="F4740" t="s">
        <v>27246</v>
      </c>
      <c r="G4740" t="s">
        <v>27247</v>
      </c>
      <c r="H4740" t="s">
        <v>27248</v>
      </c>
      <c r="I4740" t="s">
        <v>36393</v>
      </c>
      <c r="J4740" t="s">
        <v>9451</v>
      </c>
      <c r="L4740" t="s">
        <v>27250</v>
      </c>
      <c r="M4740" t="s">
        <v>27251</v>
      </c>
      <c r="N4740" t="s">
        <v>27252</v>
      </c>
      <c r="Q4740" s="1">
        <v>44538</v>
      </c>
      <c r="R4740" t="s">
        <v>27253</v>
      </c>
      <c r="S4740" t="s">
        <v>27254</v>
      </c>
      <c r="T4740" t="s">
        <v>27269</v>
      </c>
    </row>
    <row r="4741" spans="1:20" x14ac:dyDescent="0.3">
      <c r="A4741" t="str">
        <f>"0611834481025"</f>
        <v>0611834481025</v>
      </c>
      <c r="B4741" t="str">
        <f>"MQ0087"</f>
        <v>MQ0087</v>
      </c>
      <c r="C4741" t="s">
        <v>36394</v>
      </c>
      <c r="D4741" t="s">
        <v>27267</v>
      </c>
      <c r="E4741" t="str">
        <f t="shared" si="74"/>
        <v>001390</v>
      </c>
      <c r="F4741" t="s">
        <v>27246</v>
      </c>
      <c r="G4741" t="s">
        <v>27247</v>
      </c>
      <c r="H4741" t="s">
        <v>27248</v>
      </c>
      <c r="I4741" t="s">
        <v>36395</v>
      </c>
      <c r="J4741" t="s">
        <v>9453</v>
      </c>
      <c r="L4741" t="s">
        <v>27250</v>
      </c>
      <c r="M4741" t="s">
        <v>27251</v>
      </c>
      <c r="N4741" t="s">
        <v>27252</v>
      </c>
      <c r="Q4741" s="1">
        <v>44538</v>
      </c>
      <c r="R4741" t="s">
        <v>27253</v>
      </c>
      <c r="S4741" t="s">
        <v>27254</v>
      </c>
      <c r="T4741" t="s">
        <v>27269</v>
      </c>
    </row>
    <row r="4742" spans="1:20" x14ac:dyDescent="0.3">
      <c r="A4742" t="str">
        <f>"0611834482025"</f>
        <v>0611834482025</v>
      </c>
      <c r="B4742" t="str">
        <f>"MC4338"</f>
        <v>MC4338</v>
      </c>
      <c r="C4742" t="s">
        <v>36396</v>
      </c>
      <c r="D4742" t="s">
        <v>27267</v>
      </c>
      <c r="E4742" t="str">
        <f t="shared" si="74"/>
        <v>001390</v>
      </c>
      <c r="F4742" t="s">
        <v>27246</v>
      </c>
      <c r="G4742" t="s">
        <v>27247</v>
      </c>
      <c r="H4742" t="s">
        <v>27248</v>
      </c>
      <c r="I4742" t="s">
        <v>36397</v>
      </c>
      <c r="J4742" t="s">
        <v>9455</v>
      </c>
      <c r="L4742" t="s">
        <v>27250</v>
      </c>
      <c r="M4742" t="s">
        <v>27251</v>
      </c>
      <c r="N4742" t="s">
        <v>27252</v>
      </c>
      <c r="Q4742" s="1">
        <v>44538</v>
      </c>
      <c r="R4742" t="s">
        <v>27253</v>
      </c>
      <c r="S4742" t="s">
        <v>27254</v>
      </c>
      <c r="T4742" t="s">
        <v>27269</v>
      </c>
    </row>
    <row r="4743" spans="1:20" x14ac:dyDescent="0.3">
      <c r="A4743" t="str">
        <f>"0611834483025"</f>
        <v>0611834483025</v>
      </c>
      <c r="B4743" t="str">
        <f>"MQ0543"</f>
        <v>MQ0543</v>
      </c>
      <c r="C4743" t="s">
        <v>36398</v>
      </c>
      <c r="D4743" t="s">
        <v>27267</v>
      </c>
      <c r="E4743" t="str">
        <f t="shared" si="74"/>
        <v>001390</v>
      </c>
      <c r="F4743" t="s">
        <v>27246</v>
      </c>
      <c r="G4743" t="s">
        <v>27247</v>
      </c>
      <c r="H4743" t="s">
        <v>27248</v>
      </c>
      <c r="I4743" t="s">
        <v>36399</v>
      </c>
      <c r="J4743" t="s">
        <v>9457</v>
      </c>
      <c r="L4743" t="s">
        <v>27250</v>
      </c>
      <c r="M4743" t="s">
        <v>27251</v>
      </c>
      <c r="N4743" t="s">
        <v>27252</v>
      </c>
      <c r="Q4743" s="1">
        <v>44538</v>
      </c>
      <c r="R4743" t="s">
        <v>27253</v>
      </c>
      <c r="S4743" t="s">
        <v>27254</v>
      </c>
      <c r="T4743" t="s">
        <v>27269</v>
      </c>
    </row>
    <row r="4744" spans="1:20" x14ac:dyDescent="0.3">
      <c r="A4744" t="str">
        <f>"0611834484025"</f>
        <v>0611834484025</v>
      </c>
      <c r="B4744" t="str">
        <f>"MQ0577"</f>
        <v>MQ0577</v>
      </c>
      <c r="C4744" t="s">
        <v>36400</v>
      </c>
      <c r="D4744" t="s">
        <v>27267</v>
      </c>
      <c r="E4744" t="str">
        <f t="shared" si="74"/>
        <v>001390</v>
      </c>
      <c r="F4744" t="s">
        <v>27246</v>
      </c>
      <c r="G4744" t="s">
        <v>27247</v>
      </c>
      <c r="H4744" t="s">
        <v>27248</v>
      </c>
      <c r="I4744" t="s">
        <v>36401</v>
      </c>
      <c r="J4744" t="s">
        <v>9459</v>
      </c>
      <c r="L4744" t="s">
        <v>27250</v>
      </c>
      <c r="M4744" t="s">
        <v>27251</v>
      </c>
      <c r="N4744" t="s">
        <v>27252</v>
      </c>
      <c r="Q4744" s="1">
        <v>44538</v>
      </c>
      <c r="R4744" t="s">
        <v>27253</v>
      </c>
      <c r="S4744" t="s">
        <v>27254</v>
      </c>
      <c r="T4744" t="s">
        <v>27269</v>
      </c>
    </row>
    <row r="4745" spans="1:20" x14ac:dyDescent="0.3">
      <c r="A4745" t="str">
        <f>"0611834485025"</f>
        <v>0611834485025</v>
      </c>
      <c r="B4745" t="str">
        <f>"MQ0088"</f>
        <v>MQ0088</v>
      </c>
      <c r="C4745" t="s">
        <v>36402</v>
      </c>
      <c r="D4745" t="s">
        <v>27267</v>
      </c>
      <c r="E4745" t="str">
        <f t="shared" si="74"/>
        <v>001390</v>
      </c>
      <c r="F4745" t="s">
        <v>27246</v>
      </c>
      <c r="G4745" t="s">
        <v>27247</v>
      </c>
      <c r="H4745" t="s">
        <v>27248</v>
      </c>
      <c r="I4745" t="s">
        <v>36403</v>
      </c>
      <c r="J4745" t="s">
        <v>9461</v>
      </c>
      <c r="L4745" t="s">
        <v>27250</v>
      </c>
      <c r="M4745" t="s">
        <v>27251</v>
      </c>
      <c r="N4745" t="s">
        <v>27252</v>
      </c>
      <c r="Q4745" s="1">
        <v>44538</v>
      </c>
      <c r="R4745" t="s">
        <v>27253</v>
      </c>
      <c r="S4745" t="s">
        <v>27254</v>
      </c>
      <c r="T4745" t="s">
        <v>27269</v>
      </c>
    </row>
    <row r="4746" spans="1:20" x14ac:dyDescent="0.3">
      <c r="A4746" t="str">
        <f>"0611834486025"</f>
        <v>0611834486025</v>
      </c>
      <c r="B4746" t="str">
        <f>"MQ0089"</f>
        <v>MQ0089</v>
      </c>
      <c r="C4746" t="s">
        <v>36404</v>
      </c>
      <c r="D4746" t="s">
        <v>27267</v>
      </c>
      <c r="E4746" t="str">
        <f t="shared" si="74"/>
        <v>001390</v>
      </c>
      <c r="F4746" t="s">
        <v>27246</v>
      </c>
      <c r="G4746" t="s">
        <v>27247</v>
      </c>
      <c r="H4746" t="s">
        <v>27248</v>
      </c>
      <c r="I4746" t="s">
        <v>36405</v>
      </c>
      <c r="J4746" t="s">
        <v>9465</v>
      </c>
      <c r="L4746" t="s">
        <v>27250</v>
      </c>
      <c r="M4746" t="s">
        <v>27251</v>
      </c>
      <c r="N4746" t="s">
        <v>27252</v>
      </c>
      <c r="Q4746" s="1">
        <v>44538</v>
      </c>
      <c r="R4746" t="s">
        <v>27253</v>
      </c>
      <c r="S4746" t="s">
        <v>27254</v>
      </c>
      <c r="T4746" t="s">
        <v>27269</v>
      </c>
    </row>
    <row r="4747" spans="1:20" x14ac:dyDescent="0.3">
      <c r="A4747" t="str">
        <f>"0611862108100"</f>
        <v>0611862108100</v>
      </c>
      <c r="B4747" t="str">
        <f>"CN5181"</f>
        <v>CN5181</v>
      </c>
      <c r="C4747" t="s">
        <v>36404</v>
      </c>
      <c r="D4747" t="s">
        <v>27335</v>
      </c>
      <c r="E4747" t="str">
        <f t="shared" si="74"/>
        <v>001390</v>
      </c>
      <c r="F4747" t="s">
        <v>27246</v>
      </c>
      <c r="G4747" t="s">
        <v>27247</v>
      </c>
      <c r="H4747" t="s">
        <v>27248</v>
      </c>
      <c r="I4747" t="s">
        <v>36406</v>
      </c>
      <c r="J4747" t="s">
        <v>9463</v>
      </c>
      <c r="L4747" t="s">
        <v>27250</v>
      </c>
      <c r="M4747" t="s">
        <v>27251</v>
      </c>
      <c r="N4747" t="s">
        <v>27252</v>
      </c>
      <c r="Q4747" s="1">
        <v>44846</v>
      </c>
      <c r="R4747" t="s">
        <v>27253</v>
      </c>
      <c r="S4747" t="s">
        <v>27254</v>
      </c>
      <c r="T4747" t="s">
        <v>27255</v>
      </c>
    </row>
    <row r="4748" spans="1:20" x14ac:dyDescent="0.3">
      <c r="A4748" t="str">
        <f>"0611834487025"</f>
        <v>0611834487025</v>
      </c>
      <c r="B4748" t="str">
        <f>"MQ0090"</f>
        <v>MQ0090</v>
      </c>
      <c r="C4748" t="s">
        <v>36407</v>
      </c>
      <c r="D4748" t="s">
        <v>27267</v>
      </c>
      <c r="E4748" t="str">
        <f t="shared" si="74"/>
        <v>001390</v>
      </c>
      <c r="F4748" t="s">
        <v>27246</v>
      </c>
      <c r="G4748" t="s">
        <v>27247</v>
      </c>
      <c r="H4748" t="s">
        <v>27248</v>
      </c>
      <c r="I4748" t="s">
        <v>36408</v>
      </c>
      <c r="J4748" t="s">
        <v>9469</v>
      </c>
      <c r="L4748" t="s">
        <v>27250</v>
      </c>
      <c r="M4748" t="s">
        <v>27251</v>
      </c>
      <c r="N4748" t="s">
        <v>27252</v>
      </c>
      <c r="Q4748" s="1">
        <v>44538</v>
      </c>
      <c r="R4748" t="s">
        <v>27253</v>
      </c>
      <c r="S4748" t="s">
        <v>27254</v>
      </c>
      <c r="T4748" t="s">
        <v>27269</v>
      </c>
    </row>
    <row r="4749" spans="1:20" x14ac:dyDescent="0.3">
      <c r="A4749" t="str">
        <f>"0611862109100"</f>
        <v>0611862109100</v>
      </c>
      <c r="B4749" t="str">
        <f>"CN5182"</f>
        <v>CN5182</v>
      </c>
      <c r="C4749" t="s">
        <v>36407</v>
      </c>
      <c r="D4749" t="s">
        <v>27335</v>
      </c>
      <c r="E4749" t="str">
        <f t="shared" si="74"/>
        <v>001390</v>
      </c>
      <c r="F4749" t="s">
        <v>27246</v>
      </c>
      <c r="G4749" t="s">
        <v>27247</v>
      </c>
      <c r="H4749" t="s">
        <v>27248</v>
      </c>
      <c r="I4749" t="s">
        <v>36409</v>
      </c>
      <c r="J4749" t="s">
        <v>9467</v>
      </c>
      <c r="L4749" t="s">
        <v>27250</v>
      </c>
      <c r="M4749" t="s">
        <v>27251</v>
      </c>
      <c r="N4749" t="s">
        <v>27252</v>
      </c>
      <c r="Q4749" s="1">
        <v>44846</v>
      </c>
      <c r="R4749" t="s">
        <v>27253</v>
      </c>
      <c r="S4749" t="s">
        <v>27254</v>
      </c>
      <c r="T4749" t="s">
        <v>27255</v>
      </c>
    </row>
    <row r="4750" spans="1:20" x14ac:dyDescent="0.3">
      <c r="A4750" t="str">
        <f>"0611834488025"</f>
        <v>0611834488025</v>
      </c>
      <c r="B4750" t="str">
        <f>"MQ0708"</f>
        <v>MQ0708</v>
      </c>
      <c r="C4750" t="s">
        <v>36410</v>
      </c>
      <c r="D4750" t="s">
        <v>27267</v>
      </c>
      <c r="E4750" t="str">
        <f t="shared" si="74"/>
        <v>001390</v>
      </c>
      <c r="F4750" t="s">
        <v>27246</v>
      </c>
      <c r="G4750" t="s">
        <v>27247</v>
      </c>
      <c r="H4750" t="s">
        <v>27248</v>
      </c>
      <c r="I4750" t="s">
        <v>36411</v>
      </c>
      <c r="J4750" t="s">
        <v>9471</v>
      </c>
      <c r="L4750" t="s">
        <v>27250</v>
      </c>
      <c r="M4750" t="s">
        <v>27251</v>
      </c>
      <c r="N4750" t="s">
        <v>27252</v>
      </c>
      <c r="Q4750" s="1">
        <v>44538</v>
      </c>
      <c r="R4750" t="s">
        <v>27253</v>
      </c>
      <c r="S4750" t="s">
        <v>27254</v>
      </c>
      <c r="T4750" t="s">
        <v>27269</v>
      </c>
    </row>
    <row r="4751" spans="1:20" x14ac:dyDescent="0.3">
      <c r="A4751" t="str">
        <f>"0611834489025"</f>
        <v>0611834489025</v>
      </c>
      <c r="B4751" t="str">
        <f>"MC2426"</f>
        <v>MC2426</v>
      </c>
      <c r="C4751" t="s">
        <v>36412</v>
      </c>
      <c r="D4751" t="s">
        <v>27267</v>
      </c>
      <c r="E4751" t="str">
        <f t="shared" si="74"/>
        <v>001390</v>
      </c>
      <c r="F4751" t="s">
        <v>27246</v>
      </c>
      <c r="G4751" t="s">
        <v>27247</v>
      </c>
      <c r="H4751" t="s">
        <v>27248</v>
      </c>
      <c r="I4751" t="s">
        <v>36413</v>
      </c>
      <c r="J4751" t="s">
        <v>9473</v>
      </c>
      <c r="L4751" t="s">
        <v>27250</v>
      </c>
      <c r="M4751" t="s">
        <v>27251</v>
      </c>
      <c r="N4751" t="s">
        <v>27252</v>
      </c>
      <c r="Q4751" s="1">
        <v>44538</v>
      </c>
      <c r="R4751" t="s">
        <v>27253</v>
      </c>
      <c r="S4751" t="s">
        <v>27254</v>
      </c>
      <c r="T4751" t="s">
        <v>27269</v>
      </c>
    </row>
    <row r="4752" spans="1:20" x14ac:dyDescent="0.3">
      <c r="A4752" t="str">
        <f>"0611834491025"</f>
        <v>0611834491025</v>
      </c>
      <c r="B4752" t="str">
        <f>"MQ0709"</f>
        <v>MQ0709</v>
      </c>
      <c r="C4752" t="s">
        <v>36414</v>
      </c>
      <c r="D4752" t="s">
        <v>27267</v>
      </c>
      <c r="E4752" t="str">
        <f t="shared" si="74"/>
        <v>001390</v>
      </c>
      <c r="F4752" t="s">
        <v>27246</v>
      </c>
      <c r="G4752" t="s">
        <v>27247</v>
      </c>
      <c r="H4752" t="s">
        <v>27248</v>
      </c>
      <c r="I4752" t="s">
        <v>36415</v>
      </c>
      <c r="J4752" t="s">
        <v>9475</v>
      </c>
      <c r="L4752" t="s">
        <v>27250</v>
      </c>
      <c r="M4752" t="s">
        <v>27251</v>
      </c>
      <c r="N4752" t="s">
        <v>27252</v>
      </c>
      <c r="Q4752" s="1">
        <v>44538</v>
      </c>
      <c r="R4752" t="s">
        <v>27253</v>
      </c>
      <c r="S4752" t="s">
        <v>27254</v>
      </c>
      <c r="T4752" t="s">
        <v>27269</v>
      </c>
    </row>
    <row r="4753" spans="1:20" x14ac:dyDescent="0.3">
      <c r="A4753" t="str">
        <f>"0611884222100"</f>
        <v>0611884222100</v>
      </c>
      <c r="B4753" t="str">
        <f>"LH8077"</f>
        <v>LH8077</v>
      </c>
      <c r="C4753" t="s">
        <v>36416</v>
      </c>
      <c r="D4753" t="s">
        <v>27245</v>
      </c>
      <c r="E4753" t="str">
        <f t="shared" si="74"/>
        <v>001390</v>
      </c>
      <c r="F4753" t="s">
        <v>27246</v>
      </c>
      <c r="G4753" t="s">
        <v>27247</v>
      </c>
      <c r="H4753" t="s">
        <v>27248</v>
      </c>
      <c r="I4753" t="s">
        <v>36417</v>
      </c>
      <c r="J4753" t="s">
        <v>9477</v>
      </c>
      <c r="L4753" t="s">
        <v>27430</v>
      </c>
      <c r="M4753" t="s">
        <v>27251</v>
      </c>
      <c r="N4753" t="s">
        <v>27252</v>
      </c>
      <c r="Q4753" s="1">
        <v>45250</v>
      </c>
      <c r="R4753" t="s">
        <v>27253</v>
      </c>
      <c r="S4753" t="s">
        <v>27254</v>
      </c>
      <c r="T4753" t="s">
        <v>27255</v>
      </c>
    </row>
    <row r="4754" spans="1:20" x14ac:dyDescent="0.3">
      <c r="A4754" t="str">
        <f>"0611834493025"</f>
        <v>0611834493025</v>
      </c>
      <c r="B4754" t="str">
        <f>"MQ3149"</f>
        <v>MQ3149</v>
      </c>
      <c r="C4754" t="s">
        <v>36418</v>
      </c>
      <c r="D4754" t="s">
        <v>27267</v>
      </c>
      <c r="E4754" t="str">
        <f t="shared" si="74"/>
        <v>001390</v>
      </c>
      <c r="F4754" t="s">
        <v>27246</v>
      </c>
      <c r="G4754" t="s">
        <v>27247</v>
      </c>
      <c r="H4754" t="s">
        <v>27248</v>
      </c>
      <c r="I4754" t="s">
        <v>36419</v>
      </c>
      <c r="J4754" t="s">
        <v>9479</v>
      </c>
      <c r="L4754" t="s">
        <v>27250</v>
      </c>
      <c r="M4754" t="s">
        <v>27251</v>
      </c>
      <c r="N4754" t="s">
        <v>27252</v>
      </c>
      <c r="Q4754" s="1">
        <v>44538</v>
      </c>
      <c r="R4754" t="s">
        <v>27253</v>
      </c>
      <c r="S4754" t="s">
        <v>27254</v>
      </c>
      <c r="T4754" t="s">
        <v>27269</v>
      </c>
    </row>
    <row r="4755" spans="1:20" x14ac:dyDescent="0.3">
      <c r="A4755" t="str">
        <f>"0611834495025"</f>
        <v>0611834495025</v>
      </c>
      <c r="B4755" t="str">
        <f>"MQ9011"</f>
        <v>MQ9011</v>
      </c>
      <c r="C4755" t="s">
        <v>36420</v>
      </c>
      <c r="D4755" t="s">
        <v>27267</v>
      </c>
      <c r="E4755" t="str">
        <f t="shared" si="74"/>
        <v>001390</v>
      </c>
      <c r="F4755" t="s">
        <v>27246</v>
      </c>
      <c r="G4755" t="s">
        <v>27247</v>
      </c>
      <c r="H4755" t="s">
        <v>27248</v>
      </c>
      <c r="I4755" t="s">
        <v>36421</v>
      </c>
      <c r="J4755" t="s">
        <v>9481</v>
      </c>
      <c r="L4755" t="s">
        <v>27250</v>
      </c>
      <c r="M4755" t="s">
        <v>27251</v>
      </c>
      <c r="N4755" t="s">
        <v>27252</v>
      </c>
      <c r="Q4755" s="1">
        <v>44538</v>
      </c>
      <c r="R4755" t="s">
        <v>27253</v>
      </c>
      <c r="S4755" t="s">
        <v>27254</v>
      </c>
      <c r="T4755" t="s">
        <v>27269</v>
      </c>
    </row>
    <row r="4756" spans="1:20" x14ac:dyDescent="0.3">
      <c r="A4756" t="str">
        <f>"0611834497025"</f>
        <v>0611834497025</v>
      </c>
      <c r="B4756" t="str">
        <f>"MQ5158"</f>
        <v>MQ5158</v>
      </c>
      <c r="C4756" t="s">
        <v>36422</v>
      </c>
      <c r="D4756" t="s">
        <v>27267</v>
      </c>
      <c r="E4756" t="str">
        <f t="shared" si="74"/>
        <v>001390</v>
      </c>
      <c r="F4756" t="s">
        <v>27246</v>
      </c>
      <c r="G4756" t="s">
        <v>27247</v>
      </c>
      <c r="H4756" t="s">
        <v>27248</v>
      </c>
      <c r="I4756" t="s">
        <v>36423</v>
      </c>
      <c r="J4756" t="s">
        <v>9483</v>
      </c>
      <c r="L4756" t="s">
        <v>27250</v>
      </c>
      <c r="M4756" t="s">
        <v>27251</v>
      </c>
      <c r="N4756" t="s">
        <v>27252</v>
      </c>
      <c r="Q4756" s="1">
        <v>44538</v>
      </c>
      <c r="R4756" t="s">
        <v>27253</v>
      </c>
      <c r="S4756" t="s">
        <v>27254</v>
      </c>
      <c r="T4756" t="s">
        <v>27269</v>
      </c>
    </row>
    <row r="4757" spans="1:20" x14ac:dyDescent="0.3">
      <c r="A4757" t="str">
        <f>"0611862110100"</f>
        <v>0611862110100</v>
      </c>
      <c r="B4757" t="str">
        <f>"CN2369"</f>
        <v>CN2369</v>
      </c>
      <c r="C4757" t="s">
        <v>36424</v>
      </c>
      <c r="D4757" t="s">
        <v>27339</v>
      </c>
      <c r="E4757" t="str">
        <f t="shared" si="74"/>
        <v>001390</v>
      </c>
      <c r="F4757" t="s">
        <v>27246</v>
      </c>
      <c r="G4757" t="s">
        <v>27247</v>
      </c>
      <c r="H4757" t="s">
        <v>27248</v>
      </c>
      <c r="I4757" t="s">
        <v>36425</v>
      </c>
      <c r="J4757" t="s">
        <v>9485</v>
      </c>
      <c r="L4757" t="s">
        <v>27250</v>
      </c>
      <c r="M4757" t="s">
        <v>27251</v>
      </c>
      <c r="N4757" t="s">
        <v>27252</v>
      </c>
      <c r="P4757" t="s">
        <v>27341</v>
      </c>
      <c r="Q4757" s="1">
        <v>44846</v>
      </c>
      <c r="R4757" t="s">
        <v>27253</v>
      </c>
      <c r="S4757" t="s">
        <v>27254</v>
      </c>
      <c r="T4757" t="s">
        <v>27255</v>
      </c>
    </row>
    <row r="4758" spans="1:20" x14ac:dyDescent="0.3">
      <c r="A4758" t="str">
        <f>"0611862111100"</f>
        <v>0611862111100</v>
      </c>
      <c r="B4758" t="str">
        <f>"CN5183"</f>
        <v>CN5183</v>
      </c>
      <c r="C4758" t="s">
        <v>36426</v>
      </c>
      <c r="D4758" t="s">
        <v>27339</v>
      </c>
      <c r="E4758" t="str">
        <f t="shared" si="74"/>
        <v>001390</v>
      </c>
      <c r="F4758" t="s">
        <v>27246</v>
      </c>
      <c r="G4758" t="s">
        <v>27247</v>
      </c>
      <c r="H4758" t="s">
        <v>27248</v>
      </c>
      <c r="I4758" t="s">
        <v>36427</v>
      </c>
      <c r="J4758" t="s">
        <v>9487</v>
      </c>
      <c r="L4758" t="s">
        <v>27250</v>
      </c>
      <c r="M4758" t="s">
        <v>27251</v>
      </c>
      <c r="N4758" t="s">
        <v>27252</v>
      </c>
      <c r="P4758" t="s">
        <v>27341</v>
      </c>
      <c r="Q4758" s="1">
        <v>44846</v>
      </c>
      <c r="R4758" t="s">
        <v>27253</v>
      </c>
      <c r="S4758" t="s">
        <v>27254</v>
      </c>
      <c r="T4758" t="s">
        <v>27255</v>
      </c>
    </row>
    <row r="4759" spans="1:20" x14ac:dyDescent="0.3">
      <c r="A4759" t="str">
        <f>"0611862112100"</f>
        <v>0611862112100</v>
      </c>
      <c r="B4759" t="str">
        <f>"CN5184"</f>
        <v>CN5184</v>
      </c>
      <c r="C4759" t="s">
        <v>36428</v>
      </c>
      <c r="D4759" t="s">
        <v>27339</v>
      </c>
      <c r="E4759" t="str">
        <f t="shared" si="74"/>
        <v>001390</v>
      </c>
      <c r="F4759" t="s">
        <v>27246</v>
      </c>
      <c r="G4759" t="s">
        <v>27247</v>
      </c>
      <c r="H4759" t="s">
        <v>27248</v>
      </c>
      <c r="I4759" t="s">
        <v>36429</v>
      </c>
      <c r="J4759" t="s">
        <v>9489</v>
      </c>
      <c r="L4759" t="s">
        <v>27250</v>
      </c>
      <c r="M4759" t="s">
        <v>27251</v>
      </c>
      <c r="N4759" t="s">
        <v>27252</v>
      </c>
      <c r="P4759" t="s">
        <v>27341</v>
      </c>
      <c r="Q4759" s="1">
        <v>44846</v>
      </c>
      <c r="R4759" t="s">
        <v>27253</v>
      </c>
      <c r="S4759" t="s">
        <v>27254</v>
      </c>
      <c r="T4759" t="s">
        <v>27255</v>
      </c>
    </row>
    <row r="4760" spans="1:20" x14ac:dyDescent="0.3">
      <c r="A4760" t="str">
        <f>"0611862113050"</f>
        <v>0611862113050</v>
      </c>
      <c r="B4760" t="str">
        <f>"CR3798"</f>
        <v>CR3798</v>
      </c>
      <c r="C4760" t="s">
        <v>36428</v>
      </c>
      <c r="D4760" t="s">
        <v>27271</v>
      </c>
      <c r="E4760" t="str">
        <f t="shared" si="74"/>
        <v>001390</v>
      </c>
      <c r="F4760" t="s">
        <v>27246</v>
      </c>
      <c r="G4760" t="s">
        <v>27247</v>
      </c>
      <c r="H4760" t="s">
        <v>27248</v>
      </c>
      <c r="I4760" t="s">
        <v>36430</v>
      </c>
      <c r="J4760" t="s">
        <v>9491</v>
      </c>
      <c r="L4760" t="s">
        <v>27250</v>
      </c>
      <c r="M4760" t="s">
        <v>27251</v>
      </c>
      <c r="N4760" t="s">
        <v>27252</v>
      </c>
      <c r="P4760" t="s">
        <v>27341</v>
      </c>
      <c r="Q4760" s="1">
        <v>44846</v>
      </c>
      <c r="R4760" t="s">
        <v>27253</v>
      </c>
      <c r="S4760" t="s">
        <v>27254</v>
      </c>
      <c r="T4760" t="s">
        <v>27265</v>
      </c>
    </row>
    <row r="4761" spans="1:20" x14ac:dyDescent="0.3">
      <c r="A4761" t="str">
        <f>"0611862114100"</f>
        <v>0611862114100</v>
      </c>
      <c r="B4761" t="str">
        <f>"CN5185"</f>
        <v>CN5185</v>
      </c>
      <c r="C4761" t="s">
        <v>36431</v>
      </c>
      <c r="D4761" t="s">
        <v>27339</v>
      </c>
      <c r="E4761" t="str">
        <f t="shared" si="74"/>
        <v>001390</v>
      </c>
      <c r="F4761" t="s">
        <v>27246</v>
      </c>
      <c r="G4761" t="s">
        <v>27247</v>
      </c>
      <c r="H4761" t="s">
        <v>27248</v>
      </c>
      <c r="I4761" t="s">
        <v>36432</v>
      </c>
      <c r="J4761" t="s">
        <v>9493</v>
      </c>
      <c r="L4761" t="s">
        <v>27250</v>
      </c>
      <c r="M4761" t="s">
        <v>27251</v>
      </c>
      <c r="N4761" t="s">
        <v>27252</v>
      </c>
      <c r="P4761" t="s">
        <v>27341</v>
      </c>
      <c r="Q4761" s="1">
        <v>44846</v>
      </c>
      <c r="R4761" t="s">
        <v>27253</v>
      </c>
      <c r="S4761" t="s">
        <v>27254</v>
      </c>
      <c r="T4761" t="s">
        <v>27255</v>
      </c>
    </row>
    <row r="4762" spans="1:20" x14ac:dyDescent="0.3">
      <c r="A4762" t="str">
        <f>"0611834498100"</f>
        <v>0611834498100</v>
      </c>
      <c r="B4762" t="str">
        <f>"LH0012"</f>
        <v>LH0012</v>
      </c>
      <c r="C4762" t="s">
        <v>36433</v>
      </c>
      <c r="D4762" t="s">
        <v>27245</v>
      </c>
      <c r="E4762" t="str">
        <f t="shared" si="74"/>
        <v>001390</v>
      </c>
      <c r="F4762" t="s">
        <v>27246</v>
      </c>
      <c r="G4762" t="s">
        <v>27247</v>
      </c>
      <c r="H4762" t="s">
        <v>27248</v>
      </c>
      <c r="I4762" t="s">
        <v>36434</v>
      </c>
      <c r="J4762" t="s">
        <v>9495</v>
      </c>
      <c r="L4762" t="s">
        <v>27250</v>
      </c>
      <c r="M4762" t="s">
        <v>27251</v>
      </c>
      <c r="N4762" t="s">
        <v>27252</v>
      </c>
      <c r="Q4762" s="1">
        <v>44538</v>
      </c>
      <c r="R4762" t="s">
        <v>27253</v>
      </c>
      <c r="S4762" t="s">
        <v>27254</v>
      </c>
      <c r="T4762" t="s">
        <v>27255</v>
      </c>
    </row>
    <row r="4763" spans="1:20" x14ac:dyDescent="0.3">
      <c r="A4763" t="str">
        <f>"0611834500025"</f>
        <v>0611834500025</v>
      </c>
      <c r="B4763" t="str">
        <f>"MQ3150"</f>
        <v>MQ3150</v>
      </c>
      <c r="C4763" t="s">
        <v>36435</v>
      </c>
      <c r="D4763" t="s">
        <v>27267</v>
      </c>
      <c r="E4763" t="str">
        <f t="shared" si="74"/>
        <v>001390</v>
      </c>
      <c r="F4763" t="s">
        <v>27246</v>
      </c>
      <c r="G4763" t="s">
        <v>27247</v>
      </c>
      <c r="H4763" t="s">
        <v>27248</v>
      </c>
      <c r="I4763" t="s">
        <v>36436</v>
      </c>
      <c r="J4763" t="s">
        <v>9497</v>
      </c>
      <c r="L4763" t="s">
        <v>27250</v>
      </c>
      <c r="M4763" t="s">
        <v>27251</v>
      </c>
      <c r="N4763" t="s">
        <v>27252</v>
      </c>
      <c r="Q4763" s="1">
        <v>44538</v>
      </c>
      <c r="R4763" t="s">
        <v>27253</v>
      </c>
      <c r="S4763" t="s">
        <v>27254</v>
      </c>
      <c r="T4763" t="s">
        <v>27269</v>
      </c>
    </row>
    <row r="4764" spans="1:20" x14ac:dyDescent="0.3">
      <c r="A4764" t="str">
        <f>"0611834501025"</f>
        <v>0611834501025</v>
      </c>
      <c r="B4764" t="str">
        <f>"MQ0022"</f>
        <v>MQ0022</v>
      </c>
      <c r="C4764" t="s">
        <v>36437</v>
      </c>
      <c r="D4764" t="s">
        <v>27267</v>
      </c>
      <c r="E4764" t="str">
        <f t="shared" si="74"/>
        <v>001390</v>
      </c>
      <c r="F4764" t="s">
        <v>27246</v>
      </c>
      <c r="G4764" t="s">
        <v>27247</v>
      </c>
      <c r="H4764" t="s">
        <v>27248</v>
      </c>
      <c r="I4764" t="s">
        <v>36438</v>
      </c>
      <c r="J4764" t="s">
        <v>9499</v>
      </c>
      <c r="L4764" t="s">
        <v>27250</v>
      </c>
      <c r="M4764" t="s">
        <v>27251</v>
      </c>
      <c r="N4764" t="s">
        <v>27252</v>
      </c>
      <c r="Q4764" s="1">
        <v>44538</v>
      </c>
      <c r="R4764" t="s">
        <v>27253</v>
      </c>
      <c r="S4764" t="s">
        <v>27254</v>
      </c>
      <c r="T4764" t="s">
        <v>27269</v>
      </c>
    </row>
    <row r="4765" spans="1:20" x14ac:dyDescent="0.3">
      <c r="A4765" t="str">
        <f>"0611834502025"</f>
        <v>0611834502025</v>
      </c>
      <c r="B4765" t="str">
        <f>"MQ0023"</f>
        <v>MQ0023</v>
      </c>
      <c r="C4765" t="s">
        <v>36439</v>
      </c>
      <c r="D4765" t="s">
        <v>27267</v>
      </c>
      <c r="E4765" t="str">
        <f t="shared" si="74"/>
        <v>001390</v>
      </c>
      <c r="F4765" t="s">
        <v>27246</v>
      </c>
      <c r="G4765" t="s">
        <v>27247</v>
      </c>
      <c r="H4765" t="s">
        <v>27248</v>
      </c>
      <c r="I4765" t="s">
        <v>36440</v>
      </c>
      <c r="J4765" t="s">
        <v>9503</v>
      </c>
      <c r="L4765" t="s">
        <v>27250</v>
      </c>
      <c r="M4765" t="s">
        <v>27251</v>
      </c>
      <c r="N4765" t="s">
        <v>27252</v>
      </c>
      <c r="Q4765" s="1">
        <v>44538</v>
      </c>
      <c r="R4765" t="s">
        <v>27253</v>
      </c>
      <c r="S4765" t="s">
        <v>27254</v>
      </c>
      <c r="T4765" t="s">
        <v>27269</v>
      </c>
    </row>
    <row r="4766" spans="1:20" x14ac:dyDescent="0.3">
      <c r="A4766" t="str">
        <f>"0611862115100"</f>
        <v>0611862115100</v>
      </c>
      <c r="B4766" t="str">
        <f>"CN5186"</f>
        <v>CN5186</v>
      </c>
      <c r="C4766" t="s">
        <v>36439</v>
      </c>
      <c r="D4766" t="s">
        <v>27335</v>
      </c>
      <c r="E4766" t="str">
        <f t="shared" si="74"/>
        <v>001390</v>
      </c>
      <c r="F4766" t="s">
        <v>27246</v>
      </c>
      <c r="G4766" t="s">
        <v>27247</v>
      </c>
      <c r="H4766" t="s">
        <v>27248</v>
      </c>
      <c r="I4766" t="s">
        <v>36441</v>
      </c>
      <c r="J4766" t="s">
        <v>9501</v>
      </c>
      <c r="L4766" t="s">
        <v>27250</v>
      </c>
      <c r="M4766" t="s">
        <v>27251</v>
      </c>
      <c r="N4766" t="s">
        <v>27252</v>
      </c>
      <c r="Q4766" s="1">
        <v>44846</v>
      </c>
      <c r="R4766" t="s">
        <v>27253</v>
      </c>
      <c r="S4766" t="s">
        <v>27254</v>
      </c>
      <c r="T4766" t="s">
        <v>27255</v>
      </c>
    </row>
    <row r="4767" spans="1:20" x14ac:dyDescent="0.3">
      <c r="A4767" t="str">
        <f>"0611834503025"</f>
        <v>0611834503025</v>
      </c>
      <c r="B4767" t="str">
        <f>"MC3561"</f>
        <v>MC3561</v>
      </c>
      <c r="C4767" t="s">
        <v>36442</v>
      </c>
      <c r="D4767" t="s">
        <v>27267</v>
      </c>
      <c r="E4767" t="str">
        <f t="shared" si="74"/>
        <v>001390</v>
      </c>
      <c r="F4767" t="s">
        <v>27246</v>
      </c>
      <c r="G4767" t="s">
        <v>27247</v>
      </c>
      <c r="H4767" t="s">
        <v>27248</v>
      </c>
      <c r="I4767" t="s">
        <v>36443</v>
      </c>
      <c r="J4767" t="s">
        <v>9505</v>
      </c>
      <c r="L4767" t="s">
        <v>27250</v>
      </c>
      <c r="M4767" t="s">
        <v>27251</v>
      </c>
      <c r="N4767" t="s">
        <v>27252</v>
      </c>
      <c r="Q4767" s="1">
        <v>44538</v>
      </c>
      <c r="R4767" t="s">
        <v>27253</v>
      </c>
      <c r="S4767" t="s">
        <v>27254</v>
      </c>
      <c r="T4767" t="s">
        <v>27269</v>
      </c>
    </row>
    <row r="4768" spans="1:20" x14ac:dyDescent="0.3">
      <c r="A4768" t="str">
        <f>"0611834505025"</f>
        <v>0611834505025</v>
      </c>
      <c r="B4768" t="str">
        <f>"MQ0710"</f>
        <v>MQ0710</v>
      </c>
      <c r="C4768" t="s">
        <v>36444</v>
      </c>
      <c r="D4768" t="s">
        <v>27267</v>
      </c>
      <c r="E4768" t="str">
        <f t="shared" si="74"/>
        <v>001390</v>
      </c>
      <c r="F4768" t="s">
        <v>27246</v>
      </c>
      <c r="G4768" t="s">
        <v>27247</v>
      </c>
      <c r="H4768" t="s">
        <v>27248</v>
      </c>
      <c r="I4768" t="s">
        <v>36445</v>
      </c>
      <c r="J4768" t="s">
        <v>9509</v>
      </c>
      <c r="L4768" t="s">
        <v>27250</v>
      </c>
      <c r="M4768" t="s">
        <v>27251</v>
      </c>
      <c r="N4768" t="s">
        <v>27252</v>
      </c>
      <c r="Q4768" s="1">
        <v>44538</v>
      </c>
      <c r="R4768" t="s">
        <v>27253</v>
      </c>
      <c r="S4768" t="s">
        <v>27254</v>
      </c>
      <c r="T4768" t="s">
        <v>27269</v>
      </c>
    </row>
    <row r="4769" spans="1:20" x14ac:dyDescent="0.3">
      <c r="A4769" t="str">
        <f>"0611862116100"</f>
        <v>0611862116100</v>
      </c>
      <c r="B4769" t="str">
        <f>"CN5187"</f>
        <v>CN5187</v>
      </c>
      <c r="C4769" t="s">
        <v>36444</v>
      </c>
      <c r="D4769" t="s">
        <v>27335</v>
      </c>
      <c r="E4769" t="str">
        <f t="shared" si="74"/>
        <v>001390</v>
      </c>
      <c r="F4769" t="s">
        <v>27246</v>
      </c>
      <c r="G4769" t="s">
        <v>27247</v>
      </c>
      <c r="H4769" t="s">
        <v>27248</v>
      </c>
      <c r="I4769" t="s">
        <v>36446</v>
      </c>
      <c r="J4769" t="s">
        <v>9507</v>
      </c>
      <c r="L4769" t="s">
        <v>27250</v>
      </c>
      <c r="M4769" t="s">
        <v>27251</v>
      </c>
      <c r="N4769" t="s">
        <v>27252</v>
      </c>
      <c r="Q4769" s="1">
        <v>44846</v>
      </c>
      <c r="R4769" t="s">
        <v>27253</v>
      </c>
      <c r="S4769" t="s">
        <v>27254</v>
      </c>
      <c r="T4769" t="s">
        <v>27255</v>
      </c>
    </row>
    <row r="4770" spans="1:20" x14ac:dyDescent="0.3">
      <c r="A4770" t="str">
        <f>"0611834506025"</f>
        <v>0611834506025</v>
      </c>
      <c r="B4770" t="str">
        <f>"MC0860"</f>
        <v>MC0860</v>
      </c>
      <c r="C4770" t="s">
        <v>36447</v>
      </c>
      <c r="D4770" t="s">
        <v>27267</v>
      </c>
      <c r="E4770" t="str">
        <f t="shared" si="74"/>
        <v>001390</v>
      </c>
      <c r="F4770" t="s">
        <v>27246</v>
      </c>
      <c r="G4770" t="s">
        <v>27247</v>
      </c>
      <c r="H4770" t="s">
        <v>27248</v>
      </c>
      <c r="I4770" t="s">
        <v>36448</v>
      </c>
      <c r="J4770" t="s">
        <v>9513</v>
      </c>
      <c r="L4770" t="s">
        <v>27250</v>
      </c>
      <c r="M4770" t="s">
        <v>27251</v>
      </c>
      <c r="N4770" t="s">
        <v>27252</v>
      </c>
      <c r="Q4770" s="1">
        <v>44538</v>
      </c>
      <c r="R4770" t="s">
        <v>27253</v>
      </c>
      <c r="S4770" t="s">
        <v>27254</v>
      </c>
      <c r="T4770" t="s">
        <v>27269</v>
      </c>
    </row>
    <row r="4771" spans="1:20" x14ac:dyDescent="0.3">
      <c r="A4771" t="str">
        <f>"0611862117100"</f>
        <v>0611862117100</v>
      </c>
      <c r="B4771" t="str">
        <f>"CN5188"</f>
        <v>CN5188</v>
      </c>
      <c r="C4771" t="s">
        <v>36447</v>
      </c>
      <c r="D4771" t="s">
        <v>27335</v>
      </c>
      <c r="E4771" t="str">
        <f t="shared" si="74"/>
        <v>001390</v>
      </c>
      <c r="F4771" t="s">
        <v>27246</v>
      </c>
      <c r="G4771" t="s">
        <v>27247</v>
      </c>
      <c r="H4771" t="s">
        <v>27248</v>
      </c>
      <c r="I4771" t="s">
        <v>36449</v>
      </c>
      <c r="J4771" t="s">
        <v>9511</v>
      </c>
      <c r="L4771" t="s">
        <v>27250</v>
      </c>
      <c r="M4771" t="s">
        <v>27251</v>
      </c>
      <c r="N4771" t="s">
        <v>27252</v>
      </c>
      <c r="Q4771" s="1">
        <v>44846</v>
      </c>
      <c r="R4771" t="s">
        <v>27253</v>
      </c>
      <c r="S4771" t="s">
        <v>27254</v>
      </c>
      <c r="T4771" t="s">
        <v>27255</v>
      </c>
    </row>
    <row r="4772" spans="1:20" x14ac:dyDescent="0.3">
      <c r="A4772" t="str">
        <f>"0611862118050"</f>
        <v>0611862118050</v>
      </c>
      <c r="B4772" t="str">
        <f>"CR4310"</f>
        <v>CR4310</v>
      </c>
      <c r="C4772" t="s">
        <v>36450</v>
      </c>
      <c r="D4772" t="s">
        <v>27286</v>
      </c>
      <c r="E4772" t="str">
        <f t="shared" si="74"/>
        <v>001390</v>
      </c>
      <c r="F4772" t="s">
        <v>27246</v>
      </c>
      <c r="G4772" t="s">
        <v>27247</v>
      </c>
      <c r="H4772" t="s">
        <v>27248</v>
      </c>
      <c r="I4772" t="s">
        <v>36451</v>
      </c>
      <c r="J4772" t="s">
        <v>9515</v>
      </c>
      <c r="L4772" t="s">
        <v>27250</v>
      </c>
      <c r="M4772" t="s">
        <v>27251</v>
      </c>
      <c r="N4772" t="s">
        <v>27252</v>
      </c>
      <c r="Q4772" s="1">
        <v>44846</v>
      </c>
      <c r="R4772" t="s">
        <v>27253</v>
      </c>
      <c r="S4772" t="s">
        <v>27254</v>
      </c>
      <c r="T4772" t="s">
        <v>27265</v>
      </c>
    </row>
    <row r="4773" spans="1:20" x14ac:dyDescent="0.3">
      <c r="A4773" t="str">
        <f>"0611834507025"</f>
        <v>0611834507025</v>
      </c>
      <c r="B4773" t="str">
        <f>"MC3878"</f>
        <v>MC3878</v>
      </c>
      <c r="C4773" t="s">
        <v>36452</v>
      </c>
      <c r="D4773" t="s">
        <v>27267</v>
      </c>
      <c r="E4773" t="str">
        <f t="shared" si="74"/>
        <v>001390</v>
      </c>
      <c r="F4773" t="s">
        <v>27246</v>
      </c>
      <c r="G4773" t="s">
        <v>27247</v>
      </c>
      <c r="H4773" t="s">
        <v>27248</v>
      </c>
      <c r="I4773" t="s">
        <v>36453</v>
      </c>
      <c r="J4773" t="s">
        <v>9517</v>
      </c>
      <c r="L4773" t="s">
        <v>27250</v>
      </c>
      <c r="M4773" t="s">
        <v>27251</v>
      </c>
      <c r="N4773" t="s">
        <v>27252</v>
      </c>
      <c r="Q4773" s="1">
        <v>44538</v>
      </c>
      <c r="R4773" t="s">
        <v>27253</v>
      </c>
      <c r="S4773" t="s">
        <v>27254</v>
      </c>
      <c r="T4773" t="s">
        <v>27269</v>
      </c>
    </row>
    <row r="4774" spans="1:20" x14ac:dyDescent="0.3">
      <c r="A4774" t="str">
        <f>"0611834508025"</f>
        <v>0611834508025</v>
      </c>
      <c r="B4774" t="str">
        <f>"MQ5159"</f>
        <v>MQ5159</v>
      </c>
      <c r="C4774" t="s">
        <v>36454</v>
      </c>
      <c r="D4774" t="s">
        <v>27267</v>
      </c>
      <c r="E4774" t="str">
        <f t="shared" si="74"/>
        <v>001390</v>
      </c>
      <c r="F4774" t="s">
        <v>27246</v>
      </c>
      <c r="G4774" t="s">
        <v>27247</v>
      </c>
      <c r="H4774" t="s">
        <v>27248</v>
      </c>
      <c r="I4774" t="s">
        <v>36455</v>
      </c>
      <c r="J4774" t="s">
        <v>9519</v>
      </c>
      <c r="L4774" t="s">
        <v>27250</v>
      </c>
      <c r="M4774" t="s">
        <v>27251</v>
      </c>
      <c r="N4774" t="s">
        <v>27252</v>
      </c>
      <c r="Q4774" s="1">
        <v>44538</v>
      </c>
      <c r="R4774" t="s">
        <v>27253</v>
      </c>
      <c r="S4774" t="s">
        <v>27254</v>
      </c>
      <c r="T4774" t="s">
        <v>27269</v>
      </c>
    </row>
    <row r="4775" spans="1:20" x14ac:dyDescent="0.3">
      <c r="A4775" t="str">
        <f>"0611834509025"</f>
        <v>0611834509025</v>
      </c>
      <c r="B4775" t="str">
        <f>"MQ5160"</f>
        <v>MQ5160</v>
      </c>
      <c r="C4775" t="s">
        <v>36456</v>
      </c>
      <c r="D4775" t="s">
        <v>27267</v>
      </c>
      <c r="E4775" t="str">
        <f t="shared" si="74"/>
        <v>001390</v>
      </c>
      <c r="F4775" t="s">
        <v>27246</v>
      </c>
      <c r="G4775" t="s">
        <v>27247</v>
      </c>
      <c r="H4775" t="s">
        <v>27248</v>
      </c>
      <c r="I4775" t="s">
        <v>36457</v>
      </c>
      <c r="J4775" t="s">
        <v>9521</v>
      </c>
      <c r="L4775" t="s">
        <v>27250</v>
      </c>
      <c r="M4775" t="s">
        <v>27251</v>
      </c>
      <c r="N4775" t="s">
        <v>27252</v>
      </c>
      <c r="Q4775" s="1">
        <v>44538</v>
      </c>
      <c r="R4775" t="s">
        <v>27253</v>
      </c>
      <c r="S4775" t="s">
        <v>27254</v>
      </c>
      <c r="T4775" t="s">
        <v>27269</v>
      </c>
    </row>
    <row r="4776" spans="1:20" x14ac:dyDescent="0.3">
      <c r="A4776" t="str">
        <f>"0611856955025"</f>
        <v>0611856955025</v>
      </c>
      <c r="B4776" t="str">
        <f>"MQ0785"</f>
        <v>MQ0785</v>
      </c>
      <c r="C4776" t="s">
        <v>36458</v>
      </c>
      <c r="D4776" t="s">
        <v>27267</v>
      </c>
      <c r="E4776" t="str">
        <f t="shared" si="74"/>
        <v>001390</v>
      </c>
      <c r="F4776" t="s">
        <v>27246</v>
      </c>
      <c r="G4776" t="s">
        <v>27247</v>
      </c>
      <c r="H4776" t="s">
        <v>27248</v>
      </c>
      <c r="I4776" t="s">
        <v>36459</v>
      </c>
      <c r="J4776" t="s">
        <v>9523</v>
      </c>
      <c r="L4776" t="s">
        <v>27250</v>
      </c>
      <c r="M4776" t="s">
        <v>27251</v>
      </c>
      <c r="N4776" t="s">
        <v>27252</v>
      </c>
      <c r="Q4776" s="1">
        <v>44812</v>
      </c>
      <c r="R4776" t="s">
        <v>27253</v>
      </c>
      <c r="S4776" t="s">
        <v>27254</v>
      </c>
      <c r="T4776" t="s">
        <v>27269</v>
      </c>
    </row>
    <row r="4777" spans="1:20" x14ac:dyDescent="0.3">
      <c r="A4777" t="str">
        <f>"0611834512025"</f>
        <v>0611834512025</v>
      </c>
      <c r="B4777" t="str">
        <f>"MC0299"</f>
        <v>MC0299</v>
      </c>
      <c r="C4777" t="s">
        <v>36460</v>
      </c>
      <c r="D4777" t="s">
        <v>27267</v>
      </c>
      <c r="E4777" t="str">
        <f t="shared" si="74"/>
        <v>001390</v>
      </c>
      <c r="F4777" t="s">
        <v>27246</v>
      </c>
      <c r="G4777" t="s">
        <v>27247</v>
      </c>
      <c r="H4777" t="s">
        <v>27248</v>
      </c>
      <c r="I4777" t="s">
        <v>36461</v>
      </c>
      <c r="J4777" t="s">
        <v>9527</v>
      </c>
      <c r="L4777" t="s">
        <v>27250</v>
      </c>
      <c r="M4777" t="s">
        <v>27251</v>
      </c>
      <c r="N4777" t="s">
        <v>27252</v>
      </c>
      <c r="Q4777" s="1">
        <v>44538</v>
      </c>
      <c r="R4777" t="s">
        <v>27253</v>
      </c>
      <c r="S4777" t="s">
        <v>27254</v>
      </c>
      <c r="T4777" t="s">
        <v>27269</v>
      </c>
    </row>
    <row r="4778" spans="1:20" x14ac:dyDescent="0.3">
      <c r="A4778" t="str">
        <f>"0611862119100"</f>
        <v>0611862119100</v>
      </c>
      <c r="B4778" t="str">
        <f>"CN5189"</f>
        <v>CN5189</v>
      </c>
      <c r="C4778" t="s">
        <v>36460</v>
      </c>
      <c r="D4778" t="s">
        <v>27335</v>
      </c>
      <c r="E4778" t="str">
        <f t="shared" si="74"/>
        <v>001390</v>
      </c>
      <c r="F4778" t="s">
        <v>27246</v>
      </c>
      <c r="G4778" t="s">
        <v>27247</v>
      </c>
      <c r="H4778" t="s">
        <v>27248</v>
      </c>
      <c r="I4778" t="s">
        <v>36462</v>
      </c>
      <c r="J4778" t="s">
        <v>9525</v>
      </c>
      <c r="L4778" t="s">
        <v>27250</v>
      </c>
      <c r="M4778" t="s">
        <v>27251</v>
      </c>
      <c r="N4778" t="s">
        <v>27252</v>
      </c>
      <c r="Q4778" s="1">
        <v>44846</v>
      </c>
      <c r="R4778" t="s">
        <v>27253</v>
      </c>
      <c r="S4778" t="s">
        <v>27254</v>
      </c>
      <c r="T4778" t="s">
        <v>27255</v>
      </c>
    </row>
    <row r="4779" spans="1:20" x14ac:dyDescent="0.3">
      <c r="A4779" t="str">
        <f>"0611834513025"</f>
        <v>0611834513025</v>
      </c>
      <c r="B4779" t="str">
        <f>"MQ3151"</f>
        <v>MQ3151</v>
      </c>
      <c r="C4779" t="s">
        <v>36463</v>
      </c>
      <c r="D4779" t="s">
        <v>27267</v>
      </c>
      <c r="E4779" t="str">
        <f t="shared" si="74"/>
        <v>001390</v>
      </c>
      <c r="F4779" t="s">
        <v>27246</v>
      </c>
      <c r="G4779" t="s">
        <v>27247</v>
      </c>
      <c r="H4779" t="s">
        <v>27248</v>
      </c>
      <c r="I4779" t="s">
        <v>36464</v>
      </c>
      <c r="J4779" t="s">
        <v>9529</v>
      </c>
      <c r="L4779" t="s">
        <v>27250</v>
      </c>
      <c r="M4779" t="s">
        <v>27251</v>
      </c>
      <c r="N4779" t="s">
        <v>27252</v>
      </c>
      <c r="Q4779" s="1">
        <v>44538</v>
      </c>
      <c r="R4779" t="s">
        <v>27253</v>
      </c>
      <c r="S4779" t="s">
        <v>27254</v>
      </c>
      <c r="T4779" t="s">
        <v>27269</v>
      </c>
    </row>
    <row r="4780" spans="1:20" x14ac:dyDescent="0.3">
      <c r="A4780" t="str">
        <f>"0611834514025"</f>
        <v>0611834514025</v>
      </c>
      <c r="B4780" t="str">
        <f>"MQ0041"</f>
        <v>MQ0041</v>
      </c>
      <c r="C4780" t="s">
        <v>36465</v>
      </c>
      <c r="D4780" t="s">
        <v>27267</v>
      </c>
      <c r="E4780" t="str">
        <f t="shared" si="74"/>
        <v>001390</v>
      </c>
      <c r="F4780" t="s">
        <v>27246</v>
      </c>
      <c r="G4780" t="s">
        <v>27247</v>
      </c>
      <c r="H4780" t="s">
        <v>27248</v>
      </c>
      <c r="I4780" t="s">
        <v>36466</v>
      </c>
      <c r="J4780" t="s">
        <v>9531</v>
      </c>
      <c r="L4780" t="s">
        <v>27250</v>
      </c>
      <c r="M4780" t="s">
        <v>27251</v>
      </c>
      <c r="N4780" t="s">
        <v>27252</v>
      </c>
      <c r="Q4780" s="1">
        <v>44538</v>
      </c>
      <c r="R4780" t="s">
        <v>27253</v>
      </c>
      <c r="S4780" t="s">
        <v>27254</v>
      </c>
      <c r="T4780" t="s">
        <v>27269</v>
      </c>
    </row>
    <row r="4781" spans="1:20" x14ac:dyDescent="0.3">
      <c r="A4781" t="str">
        <f>"0611834544100"</f>
        <v>0611834544100</v>
      </c>
      <c r="B4781" t="str">
        <f>"LK6388"</f>
        <v>LK6388</v>
      </c>
      <c r="C4781" t="s">
        <v>36467</v>
      </c>
      <c r="D4781" t="s">
        <v>28138</v>
      </c>
      <c r="E4781" t="str">
        <f t="shared" si="74"/>
        <v>001390</v>
      </c>
      <c r="F4781" t="s">
        <v>27246</v>
      </c>
      <c r="G4781" t="s">
        <v>27247</v>
      </c>
      <c r="H4781" t="s">
        <v>27248</v>
      </c>
      <c r="I4781" t="s">
        <v>36468</v>
      </c>
      <c r="J4781" t="s">
        <v>9533</v>
      </c>
      <c r="L4781" t="s">
        <v>27250</v>
      </c>
      <c r="M4781" t="s">
        <v>27251</v>
      </c>
      <c r="N4781" t="s">
        <v>27252</v>
      </c>
      <c r="P4781" t="s">
        <v>27925</v>
      </c>
      <c r="Q4781" s="1">
        <v>44538</v>
      </c>
      <c r="R4781" t="s">
        <v>27253</v>
      </c>
      <c r="S4781" t="s">
        <v>27254</v>
      </c>
      <c r="T4781" t="s">
        <v>27255</v>
      </c>
    </row>
    <row r="4782" spans="1:20" x14ac:dyDescent="0.3">
      <c r="A4782" t="str">
        <f>"0611834545100"</f>
        <v>0611834545100</v>
      </c>
      <c r="B4782" t="str">
        <f>"LK7010"</f>
        <v>LK7010</v>
      </c>
      <c r="C4782" t="s">
        <v>36469</v>
      </c>
      <c r="D4782" t="s">
        <v>28138</v>
      </c>
      <c r="E4782" t="str">
        <f t="shared" si="74"/>
        <v>001390</v>
      </c>
      <c r="F4782" t="s">
        <v>27246</v>
      </c>
      <c r="G4782" t="s">
        <v>27247</v>
      </c>
      <c r="H4782" t="s">
        <v>27248</v>
      </c>
      <c r="I4782" t="s">
        <v>36470</v>
      </c>
      <c r="J4782" t="s">
        <v>9535</v>
      </c>
      <c r="L4782" t="s">
        <v>27250</v>
      </c>
      <c r="M4782" t="s">
        <v>27251</v>
      </c>
      <c r="N4782" t="s">
        <v>27252</v>
      </c>
      <c r="P4782" t="s">
        <v>27925</v>
      </c>
      <c r="Q4782" s="1">
        <v>44538</v>
      </c>
      <c r="R4782" t="s">
        <v>27253</v>
      </c>
      <c r="S4782" t="s">
        <v>27254</v>
      </c>
      <c r="T4782" t="s">
        <v>27255</v>
      </c>
    </row>
    <row r="4783" spans="1:20" x14ac:dyDescent="0.3">
      <c r="A4783" t="str">
        <f>"0611834546100"</f>
        <v>0611834546100</v>
      </c>
      <c r="B4783" t="str">
        <f>"LK5559"</f>
        <v>LK5559</v>
      </c>
      <c r="C4783" t="s">
        <v>36471</v>
      </c>
      <c r="D4783" t="s">
        <v>28138</v>
      </c>
      <c r="E4783" t="str">
        <f t="shared" si="74"/>
        <v>001390</v>
      </c>
      <c r="F4783" t="s">
        <v>27246</v>
      </c>
      <c r="G4783" t="s">
        <v>27247</v>
      </c>
      <c r="H4783" t="s">
        <v>27248</v>
      </c>
      <c r="I4783" t="s">
        <v>36472</v>
      </c>
      <c r="J4783" t="s">
        <v>9537</v>
      </c>
      <c r="L4783" t="s">
        <v>27250</v>
      </c>
      <c r="M4783" t="s">
        <v>27251</v>
      </c>
      <c r="N4783" t="s">
        <v>27252</v>
      </c>
      <c r="P4783" t="s">
        <v>27925</v>
      </c>
      <c r="Q4783" s="1">
        <v>44538</v>
      </c>
      <c r="R4783" t="s">
        <v>27253</v>
      </c>
      <c r="S4783" t="s">
        <v>27254</v>
      </c>
      <c r="T4783" t="s">
        <v>27255</v>
      </c>
    </row>
    <row r="4784" spans="1:20" x14ac:dyDescent="0.3">
      <c r="A4784" t="str">
        <f>"0611834547100"</f>
        <v>0611834547100</v>
      </c>
      <c r="B4784" t="str">
        <f>"LK4296"</f>
        <v>LK4296</v>
      </c>
      <c r="C4784" t="s">
        <v>36473</v>
      </c>
      <c r="D4784" t="s">
        <v>28138</v>
      </c>
      <c r="E4784" t="str">
        <f t="shared" si="74"/>
        <v>001390</v>
      </c>
      <c r="F4784" t="s">
        <v>27246</v>
      </c>
      <c r="G4784" t="s">
        <v>27247</v>
      </c>
      <c r="H4784" t="s">
        <v>27248</v>
      </c>
      <c r="I4784" t="s">
        <v>36474</v>
      </c>
      <c r="J4784" t="s">
        <v>9539</v>
      </c>
      <c r="L4784" t="s">
        <v>27250</v>
      </c>
      <c r="M4784" t="s">
        <v>27251</v>
      </c>
      <c r="N4784" t="s">
        <v>27252</v>
      </c>
      <c r="P4784" t="s">
        <v>27925</v>
      </c>
      <c r="Q4784" s="1">
        <v>44538</v>
      </c>
      <c r="R4784" t="s">
        <v>27253</v>
      </c>
      <c r="S4784" t="s">
        <v>27254</v>
      </c>
      <c r="T4784" t="s">
        <v>27255</v>
      </c>
    </row>
    <row r="4785" spans="1:20" x14ac:dyDescent="0.3">
      <c r="A4785" t="str">
        <f>"0611834548100"</f>
        <v>0611834548100</v>
      </c>
      <c r="B4785" t="str">
        <f>"LK6050"</f>
        <v>LK6050</v>
      </c>
      <c r="C4785" t="s">
        <v>36475</v>
      </c>
      <c r="D4785" t="s">
        <v>28138</v>
      </c>
      <c r="E4785" t="str">
        <f t="shared" si="74"/>
        <v>001390</v>
      </c>
      <c r="F4785" t="s">
        <v>27246</v>
      </c>
      <c r="G4785" t="s">
        <v>27247</v>
      </c>
      <c r="H4785" t="s">
        <v>27248</v>
      </c>
      <c r="I4785" t="s">
        <v>36476</v>
      </c>
      <c r="J4785" t="s">
        <v>9541</v>
      </c>
      <c r="L4785" t="s">
        <v>27250</v>
      </c>
      <c r="M4785" t="s">
        <v>27251</v>
      </c>
      <c r="N4785" t="s">
        <v>27252</v>
      </c>
      <c r="P4785" t="s">
        <v>27925</v>
      </c>
      <c r="Q4785" s="1">
        <v>44538</v>
      </c>
      <c r="R4785" t="s">
        <v>27253</v>
      </c>
      <c r="S4785" t="s">
        <v>27254</v>
      </c>
      <c r="T4785" t="s">
        <v>27255</v>
      </c>
    </row>
    <row r="4786" spans="1:20" x14ac:dyDescent="0.3">
      <c r="A4786" t="str">
        <f>"0611834549100"</f>
        <v>0611834549100</v>
      </c>
      <c r="B4786" t="str">
        <f>"LK4297"</f>
        <v>LK4297</v>
      </c>
      <c r="C4786" t="s">
        <v>36477</v>
      </c>
      <c r="D4786" t="s">
        <v>28138</v>
      </c>
      <c r="E4786" t="str">
        <f t="shared" si="74"/>
        <v>001390</v>
      </c>
      <c r="F4786" t="s">
        <v>27246</v>
      </c>
      <c r="G4786" t="s">
        <v>27247</v>
      </c>
      <c r="H4786" t="s">
        <v>27248</v>
      </c>
      <c r="I4786" t="s">
        <v>36478</v>
      </c>
      <c r="J4786" t="s">
        <v>9543</v>
      </c>
      <c r="L4786" t="s">
        <v>27250</v>
      </c>
      <c r="M4786" t="s">
        <v>27251</v>
      </c>
      <c r="N4786" t="s">
        <v>27252</v>
      </c>
      <c r="P4786" t="s">
        <v>27925</v>
      </c>
      <c r="Q4786" s="1">
        <v>44538</v>
      </c>
      <c r="R4786" t="s">
        <v>27253</v>
      </c>
      <c r="S4786" t="s">
        <v>27254</v>
      </c>
      <c r="T4786" t="s">
        <v>27255</v>
      </c>
    </row>
    <row r="4787" spans="1:20" x14ac:dyDescent="0.3">
      <c r="A4787" t="str">
        <f>"0611834550100"</f>
        <v>0611834550100</v>
      </c>
      <c r="B4787" t="str">
        <f>"LK5560"</f>
        <v>LK5560</v>
      </c>
      <c r="C4787" t="s">
        <v>36479</v>
      </c>
      <c r="D4787" t="s">
        <v>28138</v>
      </c>
      <c r="E4787" t="str">
        <f t="shared" si="74"/>
        <v>001390</v>
      </c>
      <c r="F4787" t="s">
        <v>27246</v>
      </c>
      <c r="G4787" t="s">
        <v>27247</v>
      </c>
      <c r="H4787" t="s">
        <v>27248</v>
      </c>
      <c r="I4787" t="s">
        <v>36480</v>
      </c>
      <c r="J4787" t="s">
        <v>9545</v>
      </c>
      <c r="L4787" t="s">
        <v>27250</v>
      </c>
      <c r="M4787" t="s">
        <v>27251</v>
      </c>
      <c r="N4787" t="s">
        <v>27252</v>
      </c>
      <c r="P4787" t="s">
        <v>27925</v>
      </c>
      <c r="Q4787" s="1">
        <v>44538</v>
      </c>
      <c r="R4787" t="s">
        <v>27253</v>
      </c>
      <c r="S4787" t="s">
        <v>27254</v>
      </c>
      <c r="T4787" t="s">
        <v>27255</v>
      </c>
    </row>
    <row r="4788" spans="1:20" x14ac:dyDescent="0.3">
      <c r="A4788" t="str">
        <f>"0611834551100"</f>
        <v>0611834551100</v>
      </c>
      <c r="B4788" t="str">
        <f>"LK4298"</f>
        <v>LK4298</v>
      </c>
      <c r="C4788" t="s">
        <v>36481</v>
      </c>
      <c r="D4788" t="s">
        <v>28138</v>
      </c>
      <c r="E4788" t="str">
        <f t="shared" si="74"/>
        <v>001390</v>
      </c>
      <c r="F4788" t="s">
        <v>27246</v>
      </c>
      <c r="G4788" t="s">
        <v>27247</v>
      </c>
      <c r="H4788" t="s">
        <v>27248</v>
      </c>
      <c r="I4788" t="s">
        <v>36482</v>
      </c>
      <c r="J4788" t="s">
        <v>9547</v>
      </c>
      <c r="L4788" t="s">
        <v>27250</v>
      </c>
      <c r="M4788" t="s">
        <v>27251</v>
      </c>
      <c r="N4788" t="s">
        <v>27252</v>
      </c>
      <c r="P4788" t="s">
        <v>27925</v>
      </c>
      <c r="Q4788" s="1">
        <v>44538</v>
      </c>
      <c r="R4788" t="s">
        <v>27253</v>
      </c>
      <c r="S4788" t="s">
        <v>27254</v>
      </c>
      <c r="T4788" t="s">
        <v>27255</v>
      </c>
    </row>
    <row r="4789" spans="1:20" x14ac:dyDescent="0.3">
      <c r="A4789" t="str">
        <f>"0611834515100"</f>
        <v>0611834515100</v>
      </c>
      <c r="B4789" t="str">
        <f>"LK4993"</f>
        <v>LK4993</v>
      </c>
      <c r="C4789" t="s">
        <v>36483</v>
      </c>
      <c r="D4789" t="s">
        <v>27245</v>
      </c>
      <c r="E4789" t="str">
        <f t="shared" si="74"/>
        <v>001390</v>
      </c>
      <c r="F4789" t="s">
        <v>27246</v>
      </c>
      <c r="G4789" t="s">
        <v>27247</v>
      </c>
      <c r="H4789" t="s">
        <v>27248</v>
      </c>
      <c r="I4789" t="s">
        <v>36484</v>
      </c>
      <c r="J4789" t="s">
        <v>9549</v>
      </c>
      <c r="L4789" t="s">
        <v>27250</v>
      </c>
      <c r="M4789" t="s">
        <v>27251</v>
      </c>
      <c r="N4789" t="s">
        <v>27252</v>
      </c>
      <c r="Q4789" s="1">
        <v>44538</v>
      </c>
      <c r="R4789" t="s">
        <v>27253</v>
      </c>
      <c r="S4789" t="s">
        <v>27254</v>
      </c>
      <c r="T4789" t="s">
        <v>27255</v>
      </c>
    </row>
    <row r="4790" spans="1:20" x14ac:dyDescent="0.3">
      <c r="A4790" t="str">
        <f>"0611834516100"</f>
        <v>0611834516100</v>
      </c>
      <c r="B4790" t="str">
        <f>"LK4808"</f>
        <v>LK4808</v>
      </c>
      <c r="C4790" t="s">
        <v>36485</v>
      </c>
      <c r="D4790" t="s">
        <v>27245</v>
      </c>
      <c r="E4790" t="str">
        <f t="shared" si="74"/>
        <v>001390</v>
      </c>
      <c r="F4790" t="s">
        <v>27246</v>
      </c>
      <c r="G4790" t="s">
        <v>27247</v>
      </c>
      <c r="H4790" t="s">
        <v>27248</v>
      </c>
      <c r="I4790" t="s">
        <v>36486</v>
      </c>
      <c r="J4790" t="s">
        <v>9551</v>
      </c>
      <c r="L4790" t="s">
        <v>27250</v>
      </c>
      <c r="M4790" t="s">
        <v>27251</v>
      </c>
      <c r="N4790" t="s">
        <v>27252</v>
      </c>
      <c r="Q4790" s="1">
        <v>44538</v>
      </c>
      <c r="R4790" t="s">
        <v>27253</v>
      </c>
      <c r="S4790" t="s">
        <v>27254</v>
      </c>
      <c r="T4790" t="s">
        <v>27255</v>
      </c>
    </row>
    <row r="4791" spans="1:20" x14ac:dyDescent="0.3">
      <c r="A4791" t="str">
        <f>"0611834517100"</f>
        <v>0611834517100</v>
      </c>
      <c r="B4791" t="str">
        <f>"LK4809"</f>
        <v>LK4809</v>
      </c>
      <c r="C4791" t="s">
        <v>36487</v>
      </c>
      <c r="D4791" t="s">
        <v>27245</v>
      </c>
      <c r="E4791" t="str">
        <f t="shared" si="74"/>
        <v>001390</v>
      </c>
      <c r="F4791" t="s">
        <v>27246</v>
      </c>
      <c r="G4791" t="s">
        <v>27247</v>
      </c>
      <c r="H4791" t="s">
        <v>27248</v>
      </c>
      <c r="I4791" t="s">
        <v>36488</v>
      </c>
      <c r="J4791" t="s">
        <v>9553</v>
      </c>
      <c r="L4791" t="s">
        <v>27250</v>
      </c>
      <c r="M4791" t="s">
        <v>27251</v>
      </c>
      <c r="N4791" t="s">
        <v>27252</v>
      </c>
      <c r="Q4791" s="1">
        <v>44538</v>
      </c>
      <c r="R4791" t="s">
        <v>27253</v>
      </c>
      <c r="S4791" t="s">
        <v>27254</v>
      </c>
      <c r="T4791" t="s">
        <v>27255</v>
      </c>
    </row>
    <row r="4792" spans="1:20" x14ac:dyDescent="0.3">
      <c r="A4792" t="str">
        <f>"0611834518100"</f>
        <v>0611834518100</v>
      </c>
      <c r="B4792" t="str">
        <f>"LK4810"</f>
        <v>LK4810</v>
      </c>
      <c r="C4792" t="s">
        <v>36489</v>
      </c>
      <c r="D4792" t="s">
        <v>27245</v>
      </c>
      <c r="E4792" t="str">
        <f t="shared" si="74"/>
        <v>001390</v>
      </c>
      <c r="F4792" t="s">
        <v>27246</v>
      </c>
      <c r="G4792" t="s">
        <v>27247</v>
      </c>
      <c r="H4792" t="s">
        <v>27248</v>
      </c>
      <c r="I4792" t="s">
        <v>36490</v>
      </c>
      <c r="J4792" t="s">
        <v>9555</v>
      </c>
      <c r="L4792" t="s">
        <v>27250</v>
      </c>
      <c r="M4792" t="s">
        <v>27251</v>
      </c>
      <c r="N4792" t="s">
        <v>27252</v>
      </c>
      <c r="Q4792" s="1">
        <v>44538</v>
      </c>
      <c r="R4792" t="s">
        <v>27253</v>
      </c>
      <c r="S4792" t="s">
        <v>27254</v>
      </c>
      <c r="T4792" t="s">
        <v>27255</v>
      </c>
    </row>
    <row r="4793" spans="1:20" x14ac:dyDescent="0.3">
      <c r="A4793" t="str">
        <f>"0611834519100"</f>
        <v>0611834519100</v>
      </c>
      <c r="B4793" t="str">
        <f>"LK4811"</f>
        <v>LK4811</v>
      </c>
      <c r="C4793" t="s">
        <v>36491</v>
      </c>
      <c r="D4793" t="s">
        <v>27245</v>
      </c>
      <c r="E4793" t="str">
        <f t="shared" si="74"/>
        <v>001390</v>
      </c>
      <c r="F4793" t="s">
        <v>27246</v>
      </c>
      <c r="G4793" t="s">
        <v>27247</v>
      </c>
      <c r="H4793" t="s">
        <v>27248</v>
      </c>
      <c r="I4793" t="s">
        <v>36492</v>
      </c>
      <c r="J4793" t="s">
        <v>9557</v>
      </c>
      <c r="L4793" t="s">
        <v>27250</v>
      </c>
      <c r="M4793" t="s">
        <v>27251</v>
      </c>
      <c r="N4793" t="s">
        <v>27252</v>
      </c>
      <c r="Q4793" s="1">
        <v>44538</v>
      </c>
      <c r="R4793" t="s">
        <v>27253</v>
      </c>
      <c r="S4793" t="s">
        <v>27254</v>
      </c>
      <c r="T4793" t="s">
        <v>27255</v>
      </c>
    </row>
    <row r="4794" spans="1:20" x14ac:dyDescent="0.3">
      <c r="A4794" t="str">
        <f>"0611834520100"</f>
        <v>0611834520100</v>
      </c>
      <c r="B4794" t="str">
        <f>"LK5460"</f>
        <v>LK5460</v>
      </c>
      <c r="C4794" t="s">
        <v>36493</v>
      </c>
      <c r="D4794" t="s">
        <v>27245</v>
      </c>
      <c r="E4794" t="str">
        <f t="shared" si="74"/>
        <v>001390</v>
      </c>
      <c r="F4794" t="s">
        <v>27246</v>
      </c>
      <c r="G4794" t="s">
        <v>27247</v>
      </c>
      <c r="H4794" t="s">
        <v>27248</v>
      </c>
      <c r="I4794" t="s">
        <v>36494</v>
      </c>
      <c r="J4794" t="s">
        <v>9559</v>
      </c>
      <c r="L4794" t="s">
        <v>27250</v>
      </c>
      <c r="M4794" t="s">
        <v>27251</v>
      </c>
      <c r="N4794" t="s">
        <v>27252</v>
      </c>
      <c r="Q4794" s="1">
        <v>44538</v>
      </c>
      <c r="R4794" t="s">
        <v>27253</v>
      </c>
      <c r="S4794" t="s">
        <v>27254</v>
      </c>
      <c r="T4794" t="s">
        <v>27255</v>
      </c>
    </row>
    <row r="4795" spans="1:20" x14ac:dyDescent="0.3">
      <c r="A4795" t="str">
        <f>"0611834521100"</f>
        <v>0611834521100</v>
      </c>
      <c r="B4795" t="str">
        <f>"LK5753"</f>
        <v>LK5753</v>
      </c>
      <c r="C4795" t="s">
        <v>36495</v>
      </c>
      <c r="D4795" t="s">
        <v>27245</v>
      </c>
      <c r="E4795" t="str">
        <f t="shared" si="74"/>
        <v>001390</v>
      </c>
      <c r="F4795" t="s">
        <v>27246</v>
      </c>
      <c r="G4795" t="s">
        <v>27247</v>
      </c>
      <c r="H4795" t="s">
        <v>27248</v>
      </c>
      <c r="I4795" t="s">
        <v>36496</v>
      </c>
      <c r="J4795" t="s">
        <v>9561</v>
      </c>
      <c r="L4795" t="s">
        <v>27250</v>
      </c>
      <c r="M4795" t="s">
        <v>27251</v>
      </c>
      <c r="N4795" t="s">
        <v>27252</v>
      </c>
      <c r="Q4795" s="1">
        <v>44538</v>
      </c>
      <c r="R4795" t="s">
        <v>27253</v>
      </c>
      <c r="S4795" t="s">
        <v>27254</v>
      </c>
      <c r="T4795" t="s">
        <v>27255</v>
      </c>
    </row>
    <row r="4796" spans="1:20" x14ac:dyDescent="0.3">
      <c r="A4796" t="str">
        <f>"0611834522100"</f>
        <v>0611834522100</v>
      </c>
      <c r="B4796" t="str">
        <f>"LK5562"</f>
        <v>LK5562</v>
      </c>
      <c r="C4796" t="s">
        <v>36497</v>
      </c>
      <c r="D4796" t="s">
        <v>27245</v>
      </c>
      <c r="E4796" t="str">
        <f t="shared" si="74"/>
        <v>001390</v>
      </c>
      <c r="F4796" t="s">
        <v>27246</v>
      </c>
      <c r="G4796" t="s">
        <v>27247</v>
      </c>
      <c r="H4796" t="s">
        <v>27248</v>
      </c>
      <c r="I4796" t="s">
        <v>36498</v>
      </c>
      <c r="J4796" t="s">
        <v>9563</v>
      </c>
      <c r="L4796" t="s">
        <v>27250</v>
      </c>
      <c r="M4796" t="s">
        <v>27251</v>
      </c>
      <c r="N4796" t="s">
        <v>27252</v>
      </c>
      <c r="Q4796" s="1">
        <v>44538</v>
      </c>
      <c r="R4796" t="s">
        <v>27253</v>
      </c>
      <c r="S4796" t="s">
        <v>27254</v>
      </c>
      <c r="T4796" t="s">
        <v>27255</v>
      </c>
    </row>
    <row r="4797" spans="1:20" x14ac:dyDescent="0.3">
      <c r="A4797" t="str">
        <f>"0611834523100"</f>
        <v>0611834523100</v>
      </c>
      <c r="B4797" t="str">
        <f>"LK4994"</f>
        <v>LK4994</v>
      </c>
      <c r="C4797" t="s">
        <v>36499</v>
      </c>
      <c r="D4797" t="s">
        <v>27245</v>
      </c>
      <c r="E4797" t="str">
        <f t="shared" si="74"/>
        <v>001390</v>
      </c>
      <c r="F4797" t="s">
        <v>27246</v>
      </c>
      <c r="G4797" t="s">
        <v>27247</v>
      </c>
      <c r="H4797" t="s">
        <v>27248</v>
      </c>
      <c r="I4797" t="s">
        <v>36500</v>
      </c>
      <c r="J4797" t="s">
        <v>9565</v>
      </c>
      <c r="L4797" t="s">
        <v>27250</v>
      </c>
      <c r="M4797" t="s">
        <v>27251</v>
      </c>
      <c r="N4797" t="s">
        <v>27252</v>
      </c>
      <c r="Q4797" s="1">
        <v>44538</v>
      </c>
      <c r="R4797" t="s">
        <v>27253</v>
      </c>
      <c r="S4797" t="s">
        <v>27254</v>
      </c>
      <c r="T4797" t="s">
        <v>27255</v>
      </c>
    </row>
    <row r="4798" spans="1:20" x14ac:dyDescent="0.3">
      <c r="A4798" t="str">
        <f>"0611834524100"</f>
        <v>0611834524100</v>
      </c>
      <c r="B4798" t="str">
        <f>"LK4995"</f>
        <v>LK4995</v>
      </c>
      <c r="C4798" t="s">
        <v>36501</v>
      </c>
      <c r="D4798" t="s">
        <v>27245</v>
      </c>
      <c r="E4798" t="str">
        <f t="shared" si="74"/>
        <v>001390</v>
      </c>
      <c r="F4798" t="s">
        <v>27246</v>
      </c>
      <c r="G4798" t="s">
        <v>27247</v>
      </c>
      <c r="H4798" t="s">
        <v>27248</v>
      </c>
      <c r="I4798" t="s">
        <v>36502</v>
      </c>
      <c r="J4798" t="s">
        <v>9567</v>
      </c>
      <c r="L4798" t="s">
        <v>27250</v>
      </c>
      <c r="M4798" t="s">
        <v>27251</v>
      </c>
      <c r="N4798" t="s">
        <v>27252</v>
      </c>
      <c r="Q4798" s="1">
        <v>44538</v>
      </c>
      <c r="R4798" t="s">
        <v>27253</v>
      </c>
      <c r="S4798" t="s">
        <v>27254</v>
      </c>
      <c r="T4798" t="s">
        <v>27255</v>
      </c>
    </row>
    <row r="4799" spans="1:20" x14ac:dyDescent="0.3">
      <c r="A4799" t="str">
        <f>"0611834525100"</f>
        <v>0611834525100</v>
      </c>
      <c r="B4799" t="str">
        <f>"LK5754"</f>
        <v>LK5754</v>
      </c>
      <c r="C4799" t="s">
        <v>36503</v>
      </c>
      <c r="D4799" t="s">
        <v>27245</v>
      </c>
      <c r="E4799" t="str">
        <f t="shared" si="74"/>
        <v>001390</v>
      </c>
      <c r="F4799" t="s">
        <v>27246</v>
      </c>
      <c r="G4799" t="s">
        <v>27247</v>
      </c>
      <c r="H4799" t="s">
        <v>27248</v>
      </c>
      <c r="I4799" t="s">
        <v>36504</v>
      </c>
      <c r="J4799" t="s">
        <v>9569</v>
      </c>
      <c r="L4799" t="s">
        <v>27250</v>
      </c>
      <c r="M4799" t="s">
        <v>27251</v>
      </c>
      <c r="N4799" t="s">
        <v>27252</v>
      </c>
      <c r="Q4799" s="1">
        <v>44538</v>
      </c>
      <c r="R4799" t="s">
        <v>27253</v>
      </c>
      <c r="S4799" t="s">
        <v>27254</v>
      </c>
      <c r="T4799" t="s">
        <v>27255</v>
      </c>
    </row>
    <row r="4800" spans="1:20" x14ac:dyDescent="0.3">
      <c r="A4800" t="str">
        <f>"0611834526100"</f>
        <v>0611834526100</v>
      </c>
      <c r="B4800" t="str">
        <f>"LK4812"</f>
        <v>LK4812</v>
      </c>
      <c r="C4800" t="s">
        <v>36505</v>
      </c>
      <c r="D4800" t="s">
        <v>27245</v>
      </c>
      <c r="E4800" t="str">
        <f t="shared" si="74"/>
        <v>001390</v>
      </c>
      <c r="F4800" t="s">
        <v>27246</v>
      </c>
      <c r="G4800" t="s">
        <v>27247</v>
      </c>
      <c r="H4800" t="s">
        <v>27248</v>
      </c>
      <c r="I4800" t="s">
        <v>36506</v>
      </c>
      <c r="J4800" t="s">
        <v>9571</v>
      </c>
      <c r="L4800" t="s">
        <v>27250</v>
      </c>
      <c r="M4800" t="s">
        <v>27251</v>
      </c>
      <c r="N4800" t="s">
        <v>27252</v>
      </c>
      <c r="Q4800" s="1">
        <v>44538</v>
      </c>
      <c r="R4800" t="s">
        <v>27253</v>
      </c>
      <c r="S4800" t="s">
        <v>27254</v>
      </c>
      <c r="T4800" t="s">
        <v>27255</v>
      </c>
    </row>
    <row r="4801" spans="1:20" x14ac:dyDescent="0.3">
      <c r="A4801" t="str">
        <f>"0611834527100"</f>
        <v>0611834527100</v>
      </c>
      <c r="B4801" t="str">
        <f>"LK4813"</f>
        <v>LK4813</v>
      </c>
      <c r="C4801" t="s">
        <v>36507</v>
      </c>
      <c r="D4801" t="s">
        <v>27245</v>
      </c>
      <c r="E4801" t="str">
        <f t="shared" si="74"/>
        <v>001390</v>
      </c>
      <c r="F4801" t="s">
        <v>27246</v>
      </c>
      <c r="G4801" t="s">
        <v>27247</v>
      </c>
      <c r="H4801" t="s">
        <v>27248</v>
      </c>
      <c r="I4801" t="s">
        <v>36508</v>
      </c>
      <c r="J4801" t="s">
        <v>9573</v>
      </c>
      <c r="L4801" t="s">
        <v>27250</v>
      </c>
      <c r="M4801" t="s">
        <v>27251</v>
      </c>
      <c r="N4801" t="s">
        <v>27252</v>
      </c>
      <c r="Q4801" s="1">
        <v>44538</v>
      </c>
      <c r="R4801" t="s">
        <v>27253</v>
      </c>
      <c r="S4801" t="s">
        <v>27254</v>
      </c>
      <c r="T4801" t="s">
        <v>27255</v>
      </c>
    </row>
    <row r="4802" spans="1:20" x14ac:dyDescent="0.3">
      <c r="A4802" t="str">
        <f>"0611834528100"</f>
        <v>0611834528100</v>
      </c>
      <c r="B4802" t="str">
        <f>"LB3244"</f>
        <v>LB3244</v>
      </c>
      <c r="C4802" t="s">
        <v>36509</v>
      </c>
      <c r="D4802" t="s">
        <v>27245</v>
      </c>
      <c r="E4802" t="str">
        <f t="shared" ref="E4802:E4865" si="75">"001390"</f>
        <v>001390</v>
      </c>
      <c r="F4802" t="s">
        <v>27246</v>
      </c>
      <c r="G4802" t="s">
        <v>27247</v>
      </c>
      <c r="H4802" t="s">
        <v>27248</v>
      </c>
      <c r="I4802" t="s">
        <v>36510</v>
      </c>
      <c r="J4802" t="s">
        <v>9575</v>
      </c>
      <c r="L4802" t="s">
        <v>27250</v>
      </c>
      <c r="M4802" t="s">
        <v>27251</v>
      </c>
      <c r="N4802" t="s">
        <v>27252</v>
      </c>
      <c r="Q4802" s="1">
        <v>44538</v>
      </c>
      <c r="R4802" t="s">
        <v>27253</v>
      </c>
      <c r="S4802" t="s">
        <v>27254</v>
      </c>
      <c r="T4802" t="s">
        <v>27255</v>
      </c>
    </row>
    <row r="4803" spans="1:20" x14ac:dyDescent="0.3">
      <c r="A4803" t="str">
        <f>"0611834529100"</f>
        <v>0611834529100</v>
      </c>
      <c r="B4803" t="str">
        <f>"LB2706"</f>
        <v>LB2706</v>
      </c>
      <c r="C4803" t="s">
        <v>36511</v>
      </c>
      <c r="D4803" t="s">
        <v>27245</v>
      </c>
      <c r="E4803" t="str">
        <f t="shared" si="75"/>
        <v>001390</v>
      </c>
      <c r="F4803" t="s">
        <v>27246</v>
      </c>
      <c r="G4803" t="s">
        <v>27247</v>
      </c>
      <c r="H4803" t="s">
        <v>27248</v>
      </c>
      <c r="I4803" t="s">
        <v>36512</v>
      </c>
      <c r="J4803" t="s">
        <v>9577</v>
      </c>
      <c r="L4803" t="s">
        <v>27250</v>
      </c>
      <c r="M4803" t="s">
        <v>27251</v>
      </c>
      <c r="N4803" t="s">
        <v>27252</v>
      </c>
      <c r="Q4803" s="1">
        <v>44538</v>
      </c>
      <c r="R4803" t="s">
        <v>27253</v>
      </c>
      <c r="S4803" t="s">
        <v>27254</v>
      </c>
      <c r="T4803" t="s">
        <v>27255</v>
      </c>
    </row>
    <row r="4804" spans="1:20" x14ac:dyDescent="0.3">
      <c r="A4804" t="str">
        <f>"0611834530100"</f>
        <v>0611834530100</v>
      </c>
      <c r="B4804" t="str">
        <f>"LB2676"</f>
        <v>LB2676</v>
      </c>
      <c r="C4804" t="s">
        <v>36513</v>
      </c>
      <c r="D4804" t="s">
        <v>27245</v>
      </c>
      <c r="E4804" t="str">
        <f t="shared" si="75"/>
        <v>001390</v>
      </c>
      <c r="F4804" t="s">
        <v>27246</v>
      </c>
      <c r="G4804" t="s">
        <v>27247</v>
      </c>
      <c r="H4804" t="s">
        <v>27248</v>
      </c>
      <c r="I4804" t="s">
        <v>36514</v>
      </c>
      <c r="J4804" t="s">
        <v>9579</v>
      </c>
      <c r="L4804" t="s">
        <v>27250</v>
      </c>
      <c r="M4804" t="s">
        <v>27251</v>
      </c>
      <c r="N4804" t="s">
        <v>27252</v>
      </c>
      <c r="Q4804" s="1">
        <v>44538</v>
      </c>
      <c r="R4804" t="s">
        <v>27253</v>
      </c>
      <c r="S4804" t="s">
        <v>27254</v>
      </c>
      <c r="T4804" t="s">
        <v>27255</v>
      </c>
    </row>
    <row r="4805" spans="1:20" x14ac:dyDescent="0.3">
      <c r="A4805" t="str">
        <f>"0611834531100"</f>
        <v>0611834531100</v>
      </c>
      <c r="B4805" t="str">
        <f>"LB2699"</f>
        <v>LB2699</v>
      </c>
      <c r="C4805" t="s">
        <v>36515</v>
      </c>
      <c r="D4805" t="s">
        <v>27245</v>
      </c>
      <c r="E4805" t="str">
        <f t="shared" si="75"/>
        <v>001390</v>
      </c>
      <c r="F4805" t="s">
        <v>27246</v>
      </c>
      <c r="G4805" t="s">
        <v>27247</v>
      </c>
      <c r="H4805" t="s">
        <v>27248</v>
      </c>
      <c r="I4805" t="s">
        <v>36516</v>
      </c>
      <c r="J4805" t="s">
        <v>9581</v>
      </c>
      <c r="L4805" t="s">
        <v>27250</v>
      </c>
      <c r="M4805" t="s">
        <v>27251</v>
      </c>
      <c r="N4805" t="s">
        <v>27252</v>
      </c>
      <c r="Q4805" s="1">
        <v>44538</v>
      </c>
      <c r="R4805" t="s">
        <v>27253</v>
      </c>
      <c r="S4805" t="s">
        <v>27254</v>
      </c>
      <c r="T4805" t="s">
        <v>27255</v>
      </c>
    </row>
    <row r="4806" spans="1:20" x14ac:dyDescent="0.3">
      <c r="A4806" t="str">
        <f>"0611834532100"</f>
        <v>0611834532100</v>
      </c>
      <c r="B4806" t="str">
        <f>"LB0371"</f>
        <v>LB0371</v>
      </c>
      <c r="C4806" t="s">
        <v>36517</v>
      </c>
      <c r="D4806" t="s">
        <v>27245</v>
      </c>
      <c r="E4806" t="str">
        <f t="shared" si="75"/>
        <v>001390</v>
      </c>
      <c r="F4806" t="s">
        <v>27246</v>
      </c>
      <c r="G4806" t="s">
        <v>27247</v>
      </c>
      <c r="H4806" t="s">
        <v>27248</v>
      </c>
      <c r="I4806" t="s">
        <v>36518</v>
      </c>
      <c r="J4806" t="s">
        <v>9583</v>
      </c>
      <c r="L4806" t="s">
        <v>27250</v>
      </c>
      <c r="M4806" t="s">
        <v>27251</v>
      </c>
      <c r="N4806" t="s">
        <v>27252</v>
      </c>
      <c r="Q4806" s="1">
        <v>44538</v>
      </c>
      <c r="R4806" t="s">
        <v>27253</v>
      </c>
      <c r="S4806" t="s">
        <v>27254</v>
      </c>
      <c r="T4806" t="s">
        <v>27255</v>
      </c>
    </row>
    <row r="4807" spans="1:20" x14ac:dyDescent="0.3">
      <c r="A4807" t="str">
        <f>"0611834534100"</f>
        <v>0611834534100</v>
      </c>
      <c r="B4807" t="str">
        <f>"LK7009"</f>
        <v>LK7009</v>
      </c>
      <c r="C4807" t="s">
        <v>36519</v>
      </c>
      <c r="D4807" t="s">
        <v>27245</v>
      </c>
      <c r="E4807" t="str">
        <f t="shared" si="75"/>
        <v>001390</v>
      </c>
      <c r="F4807" t="s">
        <v>27246</v>
      </c>
      <c r="G4807" t="s">
        <v>27247</v>
      </c>
      <c r="H4807" t="s">
        <v>27248</v>
      </c>
      <c r="I4807" t="s">
        <v>36520</v>
      </c>
      <c r="J4807" t="s">
        <v>9585</v>
      </c>
      <c r="L4807" t="s">
        <v>27250</v>
      </c>
      <c r="M4807" t="s">
        <v>27251</v>
      </c>
      <c r="N4807" t="s">
        <v>27252</v>
      </c>
      <c r="Q4807" s="1">
        <v>44538</v>
      </c>
      <c r="R4807" t="s">
        <v>27253</v>
      </c>
      <c r="S4807" t="s">
        <v>27254</v>
      </c>
      <c r="T4807" t="s">
        <v>27255</v>
      </c>
    </row>
    <row r="4808" spans="1:20" x14ac:dyDescent="0.3">
      <c r="A4808" t="str">
        <f>"0611834535100"</f>
        <v>0611834535100</v>
      </c>
      <c r="B4808" t="str">
        <f>"MB2700"</f>
        <v>MB2700</v>
      </c>
      <c r="C4808" t="s">
        <v>36521</v>
      </c>
      <c r="D4808" t="s">
        <v>27274</v>
      </c>
      <c r="E4808" t="str">
        <f t="shared" si="75"/>
        <v>001390</v>
      </c>
      <c r="F4808" t="s">
        <v>27246</v>
      </c>
      <c r="G4808" t="s">
        <v>27247</v>
      </c>
      <c r="H4808" t="s">
        <v>27248</v>
      </c>
      <c r="I4808" t="s">
        <v>36522</v>
      </c>
      <c r="J4808" t="s">
        <v>9589</v>
      </c>
      <c r="L4808" t="s">
        <v>27250</v>
      </c>
      <c r="M4808" t="s">
        <v>27251</v>
      </c>
      <c r="N4808" t="s">
        <v>27252</v>
      </c>
      <c r="Q4808" s="1">
        <v>44538</v>
      </c>
      <c r="R4808" t="s">
        <v>27253</v>
      </c>
      <c r="S4808" t="s">
        <v>27254</v>
      </c>
      <c r="T4808" t="s">
        <v>27276</v>
      </c>
    </row>
    <row r="4809" spans="1:20" x14ac:dyDescent="0.3">
      <c r="A4809" t="str">
        <f>"0611834536100"</f>
        <v>0611834536100</v>
      </c>
      <c r="B4809" t="str">
        <f>"LB2711"</f>
        <v>LB2711</v>
      </c>
      <c r="C4809" t="s">
        <v>36521</v>
      </c>
      <c r="D4809" t="s">
        <v>27245</v>
      </c>
      <c r="E4809" t="str">
        <f t="shared" si="75"/>
        <v>001390</v>
      </c>
      <c r="F4809" t="s">
        <v>27246</v>
      </c>
      <c r="G4809" t="s">
        <v>27247</v>
      </c>
      <c r="H4809" t="s">
        <v>27248</v>
      </c>
      <c r="I4809" t="s">
        <v>36523</v>
      </c>
      <c r="J4809" t="s">
        <v>9591</v>
      </c>
      <c r="L4809" t="s">
        <v>27250</v>
      </c>
      <c r="M4809" t="s">
        <v>27251</v>
      </c>
      <c r="N4809" t="s">
        <v>27252</v>
      </c>
      <c r="Q4809" s="1">
        <v>44538</v>
      </c>
      <c r="R4809" t="s">
        <v>27253</v>
      </c>
      <c r="S4809" t="s">
        <v>27254</v>
      </c>
      <c r="T4809" t="s">
        <v>27255</v>
      </c>
    </row>
    <row r="4810" spans="1:20" x14ac:dyDescent="0.3">
      <c r="A4810" t="str">
        <f>"0611834540100"</f>
        <v>0611834540100</v>
      </c>
      <c r="B4810" t="str">
        <f>"LK0491"</f>
        <v>LK0491</v>
      </c>
      <c r="C4810" t="s">
        <v>36524</v>
      </c>
      <c r="D4810" t="s">
        <v>27245</v>
      </c>
      <c r="E4810" t="str">
        <f t="shared" si="75"/>
        <v>001390</v>
      </c>
      <c r="F4810" t="s">
        <v>27246</v>
      </c>
      <c r="G4810" t="s">
        <v>27247</v>
      </c>
      <c r="H4810" t="s">
        <v>27248</v>
      </c>
      <c r="I4810" t="s">
        <v>36525</v>
      </c>
      <c r="J4810" t="s">
        <v>9587</v>
      </c>
      <c r="L4810" t="s">
        <v>27250</v>
      </c>
      <c r="M4810" t="s">
        <v>27251</v>
      </c>
      <c r="N4810" t="s">
        <v>27252</v>
      </c>
      <c r="Q4810" s="1">
        <v>44538</v>
      </c>
      <c r="R4810" t="s">
        <v>27253</v>
      </c>
      <c r="S4810" t="s">
        <v>27254</v>
      </c>
      <c r="T4810" t="s">
        <v>27255</v>
      </c>
    </row>
    <row r="4811" spans="1:20" x14ac:dyDescent="0.3">
      <c r="A4811" t="str">
        <f>"0611834543025"</f>
        <v>0611834543025</v>
      </c>
      <c r="B4811" t="str">
        <f>"MC4027"</f>
        <v>MC4027</v>
      </c>
      <c r="C4811" t="s">
        <v>36526</v>
      </c>
      <c r="D4811" t="s">
        <v>27267</v>
      </c>
      <c r="E4811" t="str">
        <f t="shared" si="75"/>
        <v>001390</v>
      </c>
      <c r="F4811" t="s">
        <v>27246</v>
      </c>
      <c r="G4811" t="s">
        <v>27247</v>
      </c>
      <c r="H4811" t="s">
        <v>27248</v>
      </c>
      <c r="I4811" t="s">
        <v>36527</v>
      </c>
      <c r="J4811" t="s">
        <v>9593</v>
      </c>
      <c r="L4811" t="s">
        <v>27250</v>
      </c>
      <c r="M4811" t="s">
        <v>27251</v>
      </c>
      <c r="N4811" t="s">
        <v>27252</v>
      </c>
      <c r="Q4811" s="1">
        <v>44538</v>
      </c>
      <c r="R4811" t="s">
        <v>27253</v>
      </c>
      <c r="S4811" t="s">
        <v>27254</v>
      </c>
      <c r="T4811" t="s">
        <v>27269</v>
      </c>
    </row>
    <row r="4812" spans="1:20" x14ac:dyDescent="0.3">
      <c r="A4812" t="str">
        <f>"0611834552100"</f>
        <v>0611834552100</v>
      </c>
      <c r="B4812" t="str">
        <f>"LK3321"</f>
        <v>LK3321</v>
      </c>
      <c r="C4812" t="s">
        <v>36528</v>
      </c>
      <c r="D4812" t="s">
        <v>28138</v>
      </c>
      <c r="E4812" t="str">
        <f t="shared" si="75"/>
        <v>001390</v>
      </c>
      <c r="F4812" t="s">
        <v>27246</v>
      </c>
      <c r="G4812" t="s">
        <v>27247</v>
      </c>
      <c r="H4812" t="s">
        <v>27248</v>
      </c>
      <c r="I4812" t="s">
        <v>36529</v>
      </c>
      <c r="J4812" t="s">
        <v>9595</v>
      </c>
      <c r="L4812" t="s">
        <v>27250</v>
      </c>
      <c r="M4812" t="s">
        <v>27251</v>
      </c>
      <c r="N4812" t="s">
        <v>27252</v>
      </c>
      <c r="P4812" t="s">
        <v>27925</v>
      </c>
      <c r="Q4812" s="1">
        <v>44538</v>
      </c>
      <c r="R4812" t="s">
        <v>27253</v>
      </c>
      <c r="S4812" t="s">
        <v>27254</v>
      </c>
      <c r="T4812" t="s">
        <v>27255</v>
      </c>
    </row>
    <row r="4813" spans="1:20" x14ac:dyDescent="0.3">
      <c r="A4813" t="str">
        <f>"0611834553100"</f>
        <v>0611834553100</v>
      </c>
      <c r="B4813" t="str">
        <f>"LK5749"</f>
        <v>LK5749</v>
      </c>
      <c r="C4813" t="s">
        <v>36530</v>
      </c>
      <c r="D4813" t="s">
        <v>28138</v>
      </c>
      <c r="E4813" t="str">
        <f t="shared" si="75"/>
        <v>001390</v>
      </c>
      <c r="F4813" t="s">
        <v>27246</v>
      </c>
      <c r="G4813" t="s">
        <v>27247</v>
      </c>
      <c r="H4813" t="s">
        <v>27248</v>
      </c>
      <c r="I4813" t="s">
        <v>36531</v>
      </c>
      <c r="J4813" t="s">
        <v>9597</v>
      </c>
      <c r="L4813" t="s">
        <v>27250</v>
      </c>
      <c r="M4813" t="s">
        <v>27251</v>
      </c>
      <c r="N4813" t="s">
        <v>27252</v>
      </c>
      <c r="P4813" t="s">
        <v>27925</v>
      </c>
      <c r="Q4813" s="1">
        <v>44538</v>
      </c>
      <c r="R4813" t="s">
        <v>27253</v>
      </c>
      <c r="S4813" t="s">
        <v>27254</v>
      </c>
      <c r="T4813" t="s">
        <v>27255</v>
      </c>
    </row>
    <row r="4814" spans="1:20" x14ac:dyDescent="0.3">
      <c r="A4814" t="str">
        <f>"0611834554100"</f>
        <v>0611834554100</v>
      </c>
      <c r="B4814" t="str">
        <f>"LK0707"</f>
        <v>LK0707</v>
      </c>
      <c r="C4814" t="s">
        <v>36532</v>
      </c>
      <c r="D4814" t="s">
        <v>28138</v>
      </c>
      <c r="E4814" t="str">
        <f t="shared" si="75"/>
        <v>001390</v>
      </c>
      <c r="F4814" t="s">
        <v>27246</v>
      </c>
      <c r="G4814" t="s">
        <v>27247</v>
      </c>
      <c r="H4814" t="s">
        <v>27248</v>
      </c>
      <c r="I4814" t="s">
        <v>36533</v>
      </c>
      <c r="J4814" t="s">
        <v>9599</v>
      </c>
      <c r="L4814" t="s">
        <v>27250</v>
      </c>
      <c r="M4814" t="s">
        <v>27251</v>
      </c>
      <c r="N4814" t="s">
        <v>27252</v>
      </c>
      <c r="P4814" t="s">
        <v>27925</v>
      </c>
      <c r="Q4814" s="1">
        <v>44538</v>
      </c>
      <c r="R4814" t="s">
        <v>27253</v>
      </c>
      <c r="S4814" t="s">
        <v>27254</v>
      </c>
      <c r="T4814" t="s">
        <v>27255</v>
      </c>
    </row>
    <row r="4815" spans="1:20" x14ac:dyDescent="0.3">
      <c r="A4815" t="str">
        <f>"0611834555100"</f>
        <v>0611834555100</v>
      </c>
      <c r="B4815" t="str">
        <f>"LK5459"</f>
        <v>LK5459</v>
      </c>
      <c r="C4815" t="s">
        <v>36534</v>
      </c>
      <c r="D4815" t="s">
        <v>28138</v>
      </c>
      <c r="E4815" t="str">
        <f t="shared" si="75"/>
        <v>001390</v>
      </c>
      <c r="F4815" t="s">
        <v>27246</v>
      </c>
      <c r="G4815" t="s">
        <v>27247</v>
      </c>
      <c r="H4815" t="s">
        <v>27248</v>
      </c>
      <c r="I4815" t="s">
        <v>36535</v>
      </c>
      <c r="J4815" t="s">
        <v>9601</v>
      </c>
      <c r="L4815" t="s">
        <v>27250</v>
      </c>
      <c r="M4815" t="s">
        <v>27251</v>
      </c>
      <c r="N4815" t="s">
        <v>27252</v>
      </c>
      <c r="P4815" t="s">
        <v>27925</v>
      </c>
      <c r="Q4815" s="1">
        <v>44538</v>
      </c>
      <c r="R4815" t="s">
        <v>27253</v>
      </c>
      <c r="S4815" t="s">
        <v>27254</v>
      </c>
      <c r="T4815" t="s">
        <v>27255</v>
      </c>
    </row>
    <row r="4816" spans="1:20" x14ac:dyDescent="0.3">
      <c r="A4816" t="str">
        <f>"0611834556100"</f>
        <v>0611834556100</v>
      </c>
      <c r="B4816" t="str">
        <f>"LK5750"</f>
        <v>LK5750</v>
      </c>
      <c r="C4816" t="s">
        <v>36536</v>
      </c>
      <c r="D4816" t="s">
        <v>28138</v>
      </c>
      <c r="E4816" t="str">
        <f t="shared" si="75"/>
        <v>001390</v>
      </c>
      <c r="F4816" t="s">
        <v>27246</v>
      </c>
      <c r="G4816" t="s">
        <v>27247</v>
      </c>
      <c r="H4816" t="s">
        <v>27248</v>
      </c>
      <c r="I4816" t="s">
        <v>36537</v>
      </c>
      <c r="J4816" t="s">
        <v>9603</v>
      </c>
      <c r="L4816" t="s">
        <v>27250</v>
      </c>
      <c r="M4816" t="s">
        <v>27251</v>
      </c>
      <c r="N4816" t="s">
        <v>27252</v>
      </c>
      <c r="P4816" t="s">
        <v>27925</v>
      </c>
      <c r="Q4816" s="1">
        <v>44538</v>
      </c>
      <c r="R4816" t="s">
        <v>27253</v>
      </c>
      <c r="S4816" t="s">
        <v>27254</v>
      </c>
      <c r="T4816" t="s">
        <v>27255</v>
      </c>
    </row>
    <row r="4817" spans="1:20" x14ac:dyDescent="0.3">
      <c r="A4817" t="str">
        <f>"0611834557100"</f>
        <v>0611834557100</v>
      </c>
      <c r="B4817" t="str">
        <f>"LK4992"</f>
        <v>LK4992</v>
      </c>
      <c r="C4817" t="s">
        <v>36538</v>
      </c>
      <c r="D4817" t="s">
        <v>28138</v>
      </c>
      <c r="E4817" t="str">
        <f t="shared" si="75"/>
        <v>001390</v>
      </c>
      <c r="F4817" t="s">
        <v>27246</v>
      </c>
      <c r="G4817" t="s">
        <v>27247</v>
      </c>
      <c r="H4817" t="s">
        <v>27248</v>
      </c>
      <c r="I4817" t="s">
        <v>36539</v>
      </c>
      <c r="J4817" t="s">
        <v>9605</v>
      </c>
      <c r="L4817" t="s">
        <v>27250</v>
      </c>
      <c r="M4817" t="s">
        <v>27251</v>
      </c>
      <c r="N4817" t="s">
        <v>27252</v>
      </c>
      <c r="P4817" t="s">
        <v>27925</v>
      </c>
      <c r="Q4817" s="1">
        <v>44538</v>
      </c>
      <c r="R4817" t="s">
        <v>27253</v>
      </c>
      <c r="S4817" t="s">
        <v>27254</v>
      </c>
      <c r="T4817" t="s">
        <v>27255</v>
      </c>
    </row>
    <row r="4818" spans="1:20" x14ac:dyDescent="0.3">
      <c r="A4818" t="str">
        <f>"0611834558100"</f>
        <v>0611834558100</v>
      </c>
      <c r="B4818" t="str">
        <f>"LK5751"</f>
        <v>LK5751</v>
      </c>
      <c r="C4818" t="s">
        <v>36540</v>
      </c>
      <c r="D4818" t="s">
        <v>28138</v>
      </c>
      <c r="E4818" t="str">
        <f t="shared" si="75"/>
        <v>001390</v>
      </c>
      <c r="F4818" t="s">
        <v>27246</v>
      </c>
      <c r="G4818" t="s">
        <v>27247</v>
      </c>
      <c r="H4818" t="s">
        <v>27248</v>
      </c>
      <c r="I4818" t="s">
        <v>36541</v>
      </c>
      <c r="J4818" t="s">
        <v>9607</v>
      </c>
      <c r="L4818" t="s">
        <v>27250</v>
      </c>
      <c r="M4818" t="s">
        <v>27251</v>
      </c>
      <c r="N4818" t="s">
        <v>27252</v>
      </c>
      <c r="P4818" t="s">
        <v>27925</v>
      </c>
      <c r="Q4818" s="1">
        <v>44538</v>
      </c>
      <c r="R4818" t="s">
        <v>27253</v>
      </c>
      <c r="S4818" t="s">
        <v>27254</v>
      </c>
      <c r="T4818" t="s">
        <v>27255</v>
      </c>
    </row>
    <row r="4819" spans="1:20" x14ac:dyDescent="0.3">
      <c r="A4819" t="str">
        <f>"0611834559100"</f>
        <v>0611834559100</v>
      </c>
      <c r="B4819" t="str">
        <f>"LK4471"</f>
        <v>LK4471</v>
      </c>
      <c r="C4819" t="s">
        <v>36542</v>
      </c>
      <c r="D4819" t="s">
        <v>28138</v>
      </c>
      <c r="E4819" t="str">
        <f t="shared" si="75"/>
        <v>001390</v>
      </c>
      <c r="F4819" t="s">
        <v>27246</v>
      </c>
      <c r="G4819" t="s">
        <v>27247</v>
      </c>
      <c r="H4819" t="s">
        <v>27248</v>
      </c>
      <c r="I4819" t="s">
        <v>36543</v>
      </c>
      <c r="J4819" t="s">
        <v>9609</v>
      </c>
      <c r="L4819" t="s">
        <v>27250</v>
      </c>
      <c r="M4819" t="s">
        <v>27251</v>
      </c>
      <c r="N4819" t="s">
        <v>27252</v>
      </c>
      <c r="P4819" t="s">
        <v>27925</v>
      </c>
      <c r="Q4819" s="1">
        <v>44538</v>
      </c>
      <c r="R4819" t="s">
        <v>27253</v>
      </c>
      <c r="S4819" t="s">
        <v>27254</v>
      </c>
      <c r="T4819" t="s">
        <v>27255</v>
      </c>
    </row>
    <row r="4820" spans="1:20" x14ac:dyDescent="0.3">
      <c r="A4820" t="str">
        <f>"0611834560100"</f>
        <v>0611834560100</v>
      </c>
      <c r="B4820" t="str">
        <f>"LK5752"</f>
        <v>LK5752</v>
      </c>
      <c r="C4820" t="s">
        <v>36544</v>
      </c>
      <c r="D4820" t="s">
        <v>28138</v>
      </c>
      <c r="E4820" t="str">
        <f t="shared" si="75"/>
        <v>001390</v>
      </c>
      <c r="F4820" t="s">
        <v>27246</v>
      </c>
      <c r="G4820" t="s">
        <v>27247</v>
      </c>
      <c r="H4820" t="s">
        <v>27248</v>
      </c>
      <c r="I4820" t="s">
        <v>36545</v>
      </c>
      <c r="J4820" t="s">
        <v>9611</v>
      </c>
      <c r="L4820" t="s">
        <v>27250</v>
      </c>
      <c r="M4820" t="s">
        <v>27251</v>
      </c>
      <c r="N4820" t="s">
        <v>27252</v>
      </c>
      <c r="P4820" t="s">
        <v>27925</v>
      </c>
      <c r="Q4820" s="1">
        <v>44538</v>
      </c>
      <c r="R4820" t="s">
        <v>27253</v>
      </c>
      <c r="S4820" t="s">
        <v>27254</v>
      </c>
      <c r="T4820" t="s">
        <v>27255</v>
      </c>
    </row>
    <row r="4821" spans="1:20" x14ac:dyDescent="0.3">
      <c r="A4821" t="str">
        <f>"0611834561100"</f>
        <v>0611834561100</v>
      </c>
      <c r="B4821" t="str">
        <f>"LK1561"</f>
        <v>LK1561</v>
      </c>
      <c r="C4821" t="s">
        <v>36546</v>
      </c>
      <c r="D4821" t="s">
        <v>28138</v>
      </c>
      <c r="E4821" t="str">
        <f t="shared" si="75"/>
        <v>001390</v>
      </c>
      <c r="F4821" t="s">
        <v>27246</v>
      </c>
      <c r="G4821" t="s">
        <v>27247</v>
      </c>
      <c r="H4821" t="s">
        <v>27248</v>
      </c>
      <c r="I4821" t="s">
        <v>36547</v>
      </c>
      <c r="J4821" t="s">
        <v>9613</v>
      </c>
      <c r="L4821" t="s">
        <v>27250</v>
      </c>
      <c r="M4821" t="s">
        <v>27251</v>
      </c>
      <c r="N4821" t="s">
        <v>27252</v>
      </c>
      <c r="P4821" t="s">
        <v>27925</v>
      </c>
      <c r="Q4821" s="1">
        <v>44538</v>
      </c>
      <c r="R4821" t="s">
        <v>27253</v>
      </c>
      <c r="S4821" t="s">
        <v>27254</v>
      </c>
      <c r="T4821" t="s">
        <v>27255</v>
      </c>
    </row>
    <row r="4822" spans="1:20" x14ac:dyDescent="0.3">
      <c r="A4822" t="str">
        <f>"0611834562100"</f>
        <v>0611834562100</v>
      </c>
      <c r="B4822" t="str">
        <f>"LK0139"</f>
        <v>LK0139</v>
      </c>
      <c r="C4822" t="s">
        <v>36548</v>
      </c>
      <c r="D4822" t="s">
        <v>28138</v>
      </c>
      <c r="E4822" t="str">
        <f t="shared" si="75"/>
        <v>001390</v>
      </c>
      <c r="F4822" t="s">
        <v>27246</v>
      </c>
      <c r="G4822" t="s">
        <v>27247</v>
      </c>
      <c r="H4822" t="s">
        <v>27248</v>
      </c>
      <c r="I4822" t="s">
        <v>36549</v>
      </c>
      <c r="J4822" t="s">
        <v>9615</v>
      </c>
      <c r="L4822" t="s">
        <v>27250</v>
      </c>
      <c r="M4822" t="s">
        <v>27251</v>
      </c>
      <c r="N4822" t="s">
        <v>27252</v>
      </c>
      <c r="P4822" t="s">
        <v>27925</v>
      </c>
      <c r="Q4822" s="1">
        <v>44538</v>
      </c>
      <c r="R4822" t="s">
        <v>27253</v>
      </c>
      <c r="S4822" t="s">
        <v>27254</v>
      </c>
      <c r="T4822" t="s">
        <v>27255</v>
      </c>
    </row>
    <row r="4823" spans="1:20" x14ac:dyDescent="0.3">
      <c r="A4823" t="str">
        <f>"0611834563100"</f>
        <v>0611834563100</v>
      </c>
      <c r="B4823" t="str">
        <f>"LK0140"</f>
        <v>LK0140</v>
      </c>
      <c r="C4823" t="s">
        <v>36550</v>
      </c>
      <c r="D4823" t="s">
        <v>28138</v>
      </c>
      <c r="E4823" t="str">
        <f t="shared" si="75"/>
        <v>001390</v>
      </c>
      <c r="F4823" t="s">
        <v>27246</v>
      </c>
      <c r="G4823" t="s">
        <v>27247</v>
      </c>
      <c r="H4823" t="s">
        <v>27248</v>
      </c>
      <c r="I4823" t="s">
        <v>36551</v>
      </c>
      <c r="J4823" t="s">
        <v>9617</v>
      </c>
      <c r="L4823" t="s">
        <v>27250</v>
      </c>
      <c r="M4823" t="s">
        <v>27251</v>
      </c>
      <c r="N4823" t="s">
        <v>27252</v>
      </c>
      <c r="P4823" t="s">
        <v>27925</v>
      </c>
      <c r="Q4823" s="1">
        <v>44538</v>
      </c>
      <c r="R4823" t="s">
        <v>27253</v>
      </c>
      <c r="S4823" t="s">
        <v>27254</v>
      </c>
      <c r="T4823" t="s">
        <v>27255</v>
      </c>
    </row>
    <row r="4824" spans="1:20" x14ac:dyDescent="0.3">
      <c r="A4824" t="str">
        <f>"0611834564100"</f>
        <v>0611834564100</v>
      </c>
      <c r="B4824" t="str">
        <f>"LK3821"</f>
        <v>LK3821</v>
      </c>
      <c r="C4824" t="s">
        <v>36552</v>
      </c>
      <c r="D4824" t="s">
        <v>28138</v>
      </c>
      <c r="E4824" t="str">
        <f t="shared" si="75"/>
        <v>001390</v>
      </c>
      <c r="F4824" t="s">
        <v>27246</v>
      </c>
      <c r="G4824" t="s">
        <v>27247</v>
      </c>
      <c r="H4824" t="s">
        <v>27248</v>
      </c>
      <c r="I4824" t="s">
        <v>36553</v>
      </c>
      <c r="J4824" t="s">
        <v>9619</v>
      </c>
      <c r="L4824" t="s">
        <v>27250</v>
      </c>
      <c r="M4824" t="s">
        <v>27251</v>
      </c>
      <c r="N4824" t="s">
        <v>27252</v>
      </c>
      <c r="P4824" t="s">
        <v>27925</v>
      </c>
      <c r="Q4824" s="1">
        <v>44538</v>
      </c>
      <c r="R4824" t="s">
        <v>27253</v>
      </c>
      <c r="S4824" t="s">
        <v>27254</v>
      </c>
      <c r="T4824" t="s">
        <v>27255</v>
      </c>
    </row>
    <row r="4825" spans="1:20" x14ac:dyDescent="0.3">
      <c r="A4825" t="str">
        <f>"0611856956100"</f>
        <v>0611856956100</v>
      </c>
      <c r="B4825" t="str">
        <f>"LK7087"</f>
        <v>LK7087</v>
      </c>
      <c r="C4825" t="s">
        <v>36554</v>
      </c>
      <c r="D4825" t="s">
        <v>28138</v>
      </c>
      <c r="E4825" t="str">
        <f t="shared" si="75"/>
        <v>001390</v>
      </c>
      <c r="F4825" t="s">
        <v>27246</v>
      </c>
      <c r="G4825" t="s">
        <v>27247</v>
      </c>
      <c r="H4825" t="s">
        <v>27248</v>
      </c>
      <c r="I4825" t="s">
        <v>36555</v>
      </c>
      <c r="J4825" t="s">
        <v>9621</v>
      </c>
      <c r="L4825" t="s">
        <v>27250</v>
      </c>
      <c r="M4825" t="s">
        <v>27251</v>
      </c>
      <c r="N4825" t="s">
        <v>27252</v>
      </c>
      <c r="P4825" t="s">
        <v>27925</v>
      </c>
      <c r="Q4825" s="1">
        <v>44812</v>
      </c>
      <c r="R4825" t="s">
        <v>27253</v>
      </c>
      <c r="S4825" t="s">
        <v>27254</v>
      </c>
      <c r="T4825" t="s">
        <v>27255</v>
      </c>
    </row>
    <row r="4826" spans="1:20" x14ac:dyDescent="0.3">
      <c r="A4826" t="str">
        <f>"0611834565100"</f>
        <v>0611834565100</v>
      </c>
      <c r="B4826" t="str">
        <f>"LK0141"</f>
        <v>LK0141</v>
      </c>
      <c r="C4826" t="s">
        <v>36556</v>
      </c>
      <c r="D4826" t="s">
        <v>28138</v>
      </c>
      <c r="E4826" t="str">
        <f t="shared" si="75"/>
        <v>001390</v>
      </c>
      <c r="F4826" t="s">
        <v>27246</v>
      </c>
      <c r="G4826" t="s">
        <v>27247</v>
      </c>
      <c r="H4826" t="s">
        <v>27248</v>
      </c>
      <c r="I4826" t="s">
        <v>36557</v>
      </c>
      <c r="J4826" t="s">
        <v>9623</v>
      </c>
      <c r="L4826" t="s">
        <v>27250</v>
      </c>
      <c r="M4826" t="s">
        <v>27251</v>
      </c>
      <c r="N4826" t="s">
        <v>27252</v>
      </c>
      <c r="P4826" t="s">
        <v>27925</v>
      </c>
      <c r="Q4826" s="1">
        <v>44538</v>
      </c>
      <c r="R4826" t="s">
        <v>27253</v>
      </c>
      <c r="S4826" t="s">
        <v>27254</v>
      </c>
      <c r="T4826" t="s">
        <v>27255</v>
      </c>
    </row>
    <row r="4827" spans="1:20" x14ac:dyDescent="0.3">
      <c r="A4827" t="str">
        <f>"0611834566100"</f>
        <v>0611834566100</v>
      </c>
      <c r="B4827" t="str">
        <f>"LK3323"</f>
        <v>LK3323</v>
      </c>
      <c r="C4827" t="s">
        <v>36558</v>
      </c>
      <c r="D4827" t="s">
        <v>28138</v>
      </c>
      <c r="E4827" t="str">
        <f t="shared" si="75"/>
        <v>001390</v>
      </c>
      <c r="F4827" t="s">
        <v>27246</v>
      </c>
      <c r="G4827" t="s">
        <v>27247</v>
      </c>
      <c r="H4827" t="s">
        <v>27248</v>
      </c>
      <c r="I4827" t="s">
        <v>36559</v>
      </c>
      <c r="J4827" t="s">
        <v>9625</v>
      </c>
      <c r="L4827" t="s">
        <v>27250</v>
      </c>
      <c r="M4827" t="s">
        <v>27251</v>
      </c>
      <c r="N4827" t="s">
        <v>27252</v>
      </c>
      <c r="P4827" t="s">
        <v>27925</v>
      </c>
      <c r="Q4827" s="1">
        <v>44538</v>
      </c>
      <c r="R4827" t="s">
        <v>27253</v>
      </c>
      <c r="S4827" t="s">
        <v>27254</v>
      </c>
      <c r="T4827" t="s">
        <v>27255</v>
      </c>
    </row>
    <row r="4828" spans="1:20" x14ac:dyDescent="0.3">
      <c r="A4828" t="str">
        <f>"0611834567100"</f>
        <v>0611834567100</v>
      </c>
      <c r="B4828" t="str">
        <f>"LK0142"</f>
        <v>LK0142</v>
      </c>
      <c r="C4828" t="s">
        <v>36560</v>
      </c>
      <c r="D4828" t="s">
        <v>28138</v>
      </c>
      <c r="E4828" t="str">
        <f t="shared" si="75"/>
        <v>001390</v>
      </c>
      <c r="F4828" t="s">
        <v>27246</v>
      </c>
      <c r="G4828" t="s">
        <v>27247</v>
      </c>
      <c r="H4828" t="s">
        <v>27248</v>
      </c>
      <c r="I4828" t="s">
        <v>36561</v>
      </c>
      <c r="J4828" t="s">
        <v>9627</v>
      </c>
      <c r="L4828" t="s">
        <v>27250</v>
      </c>
      <c r="M4828" t="s">
        <v>27251</v>
      </c>
      <c r="N4828" t="s">
        <v>27252</v>
      </c>
      <c r="P4828" t="s">
        <v>27925</v>
      </c>
      <c r="Q4828" s="1">
        <v>44538</v>
      </c>
      <c r="R4828" t="s">
        <v>27253</v>
      </c>
      <c r="S4828" t="s">
        <v>27254</v>
      </c>
      <c r="T4828" t="s">
        <v>27255</v>
      </c>
    </row>
    <row r="4829" spans="1:20" x14ac:dyDescent="0.3">
      <c r="A4829" t="str">
        <f>"0611856957100"</f>
        <v>0611856957100</v>
      </c>
      <c r="B4829" t="str">
        <f>"LK7088"</f>
        <v>LK7088</v>
      </c>
      <c r="C4829" t="s">
        <v>36562</v>
      </c>
      <c r="D4829" t="s">
        <v>28138</v>
      </c>
      <c r="E4829" t="str">
        <f t="shared" si="75"/>
        <v>001390</v>
      </c>
      <c r="F4829" t="s">
        <v>27246</v>
      </c>
      <c r="G4829" t="s">
        <v>27247</v>
      </c>
      <c r="H4829" t="s">
        <v>27248</v>
      </c>
      <c r="I4829" t="s">
        <v>36563</v>
      </c>
      <c r="J4829" t="s">
        <v>9629</v>
      </c>
      <c r="L4829" t="s">
        <v>27250</v>
      </c>
      <c r="M4829" t="s">
        <v>27251</v>
      </c>
      <c r="N4829" t="s">
        <v>27252</v>
      </c>
      <c r="P4829" t="s">
        <v>27925</v>
      </c>
      <c r="Q4829" s="1">
        <v>44812</v>
      </c>
      <c r="R4829" t="s">
        <v>27253</v>
      </c>
      <c r="S4829" t="s">
        <v>27254</v>
      </c>
      <c r="T4829" t="s">
        <v>27255</v>
      </c>
    </row>
    <row r="4830" spans="1:20" x14ac:dyDescent="0.3">
      <c r="A4830" t="str">
        <f>"0611834568100"</f>
        <v>0611834568100</v>
      </c>
      <c r="B4830" t="str">
        <f>"LK0143"</f>
        <v>LK0143</v>
      </c>
      <c r="C4830" t="s">
        <v>36564</v>
      </c>
      <c r="D4830" t="s">
        <v>28138</v>
      </c>
      <c r="E4830" t="str">
        <f t="shared" si="75"/>
        <v>001390</v>
      </c>
      <c r="F4830" t="s">
        <v>27246</v>
      </c>
      <c r="G4830" t="s">
        <v>27247</v>
      </c>
      <c r="H4830" t="s">
        <v>27248</v>
      </c>
      <c r="I4830" t="s">
        <v>36565</v>
      </c>
      <c r="J4830" t="s">
        <v>9631</v>
      </c>
      <c r="L4830" t="s">
        <v>27250</v>
      </c>
      <c r="M4830" t="s">
        <v>27251</v>
      </c>
      <c r="N4830" t="s">
        <v>27252</v>
      </c>
      <c r="P4830" t="s">
        <v>27925</v>
      </c>
      <c r="Q4830" s="1">
        <v>44538</v>
      </c>
      <c r="R4830" t="s">
        <v>27253</v>
      </c>
      <c r="S4830" t="s">
        <v>27254</v>
      </c>
      <c r="T4830" t="s">
        <v>27255</v>
      </c>
    </row>
    <row r="4831" spans="1:20" x14ac:dyDescent="0.3">
      <c r="A4831" t="str">
        <f>"0611834569100"</f>
        <v>0611834569100</v>
      </c>
      <c r="B4831" t="str">
        <f>"LK1562"</f>
        <v>LK1562</v>
      </c>
      <c r="C4831" t="s">
        <v>36566</v>
      </c>
      <c r="D4831" t="s">
        <v>28138</v>
      </c>
      <c r="E4831" t="str">
        <f t="shared" si="75"/>
        <v>001390</v>
      </c>
      <c r="F4831" t="s">
        <v>27246</v>
      </c>
      <c r="G4831" t="s">
        <v>27247</v>
      </c>
      <c r="H4831" t="s">
        <v>27248</v>
      </c>
      <c r="I4831" t="s">
        <v>36567</v>
      </c>
      <c r="J4831" t="s">
        <v>9633</v>
      </c>
      <c r="L4831" t="s">
        <v>27250</v>
      </c>
      <c r="M4831" t="s">
        <v>27251</v>
      </c>
      <c r="N4831" t="s">
        <v>27252</v>
      </c>
      <c r="P4831" t="s">
        <v>27925</v>
      </c>
      <c r="Q4831" s="1">
        <v>44538</v>
      </c>
      <c r="R4831" t="s">
        <v>27253</v>
      </c>
      <c r="S4831" t="s">
        <v>27254</v>
      </c>
      <c r="T4831" t="s">
        <v>27255</v>
      </c>
    </row>
    <row r="4832" spans="1:20" x14ac:dyDescent="0.3">
      <c r="A4832" t="str">
        <f>"0611834571100"</f>
        <v>0611834571100</v>
      </c>
      <c r="B4832" t="str">
        <f>"LB2685"</f>
        <v>LB2685</v>
      </c>
      <c r="C4832" t="s">
        <v>36568</v>
      </c>
      <c r="D4832" t="s">
        <v>27245</v>
      </c>
      <c r="E4832" t="str">
        <f t="shared" si="75"/>
        <v>001390</v>
      </c>
      <c r="F4832" t="s">
        <v>27246</v>
      </c>
      <c r="G4832" t="s">
        <v>27247</v>
      </c>
      <c r="H4832" t="s">
        <v>27248</v>
      </c>
      <c r="I4832" t="s">
        <v>36569</v>
      </c>
      <c r="J4832" t="s">
        <v>9635</v>
      </c>
      <c r="L4832" t="s">
        <v>27250</v>
      </c>
      <c r="M4832" t="s">
        <v>27251</v>
      </c>
      <c r="N4832" t="s">
        <v>27252</v>
      </c>
      <c r="Q4832" s="1">
        <v>44538</v>
      </c>
      <c r="R4832" t="s">
        <v>27253</v>
      </c>
      <c r="S4832" t="s">
        <v>27254</v>
      </c>
      <c r="T4832" t="s">
        <v>27255</v>
      </c>
    </row>
    <row r="4833" spans="1:20" x14ac:dyDescent="0.3">
      <c r="A4833" t="str">
        <f>"0611834573100"</f>
        <v>0611834573100</v>
      </c>
      <c r="B4833" t="str">
        <f>"LQ9007"</f>
        <v>LQ9007</v>
      </c>
      <c r="C4833" t="s">
        <v>36570</v>
      </c>
      <c r="D4833" t="s">
        <v>27245</v>
      </c>
      <c r="E4833" t="str">
        <f t="shared" si="75"/>
        <v>001390</v>
      </c>
      <c r="F4833" t="s">
        <v>27246</v>
      </c>
      <c r="G4833" t="s">
        <v>27247</v>
      </c>
      <c r="H4833" t="s">
        <v>27248</v>
      </c>
      <c r="I4833" t="s">
        <v>36571</v>
      </c>
      <c r="J4833" t="s">
        <v>9637</v>
      </c>
      <c r="L4833" t="s">
        <v>27250</v>
      </c>
      <c r="M4833" t="s">
        <v>27251</v>
      </c>
      <c r="N4833" t="s">
        <v>27252</v>
      </c>
      <c r="Q4833" s="1">
        <v>44538</v>
      </c>
      <c r="R4833" t="s">
        <v>27253</v>
      </c>
      <c r="S4833" t="s">
        <v>27254</v>
      </c>
      <c r="T4833" t="s">
        <v>27255</v>
      </c>
    </row>
    <row r="4834" spans="1:20" x14ac:dyDescent="0.3">
      <c r="A4834" t="str">
        <f>"0611834575100"</f>
        <v>0611834575100</v>
      </c>
      <c r="B4834" t="str">
        <f>"LQ9014"</f>
        <v>LQ9014</v>
      </c>
      <c r="C4834" t="s">
        <v>36572</v>
      </c>
      <c r="D4834" t="s">
        <v>27245</v>
      </c>
      <c r="E4834" t="str">
        <f t="shared" si="75"/>
        <v>001390</v>
      </c>
      <c r="F4834" t="s">
        <v>27246</v>
      </c>
      <c r="G4834" t="s">
        <v>27247</v>
      </c>
      <c r="H4834" t="s">
        <v>27248</v>
      </c>
      <c r="I4834" t="s">
        <v>36573</v>
      </c>
      <c r="J4834" t="s">
        <v>9639</v>
      </c>
      <c r="L4834" t="s">
        <v>27250</v>
      </c>
      <c r="M4834" t="s">
        <v>27251</v>
      </c>
      <c r="N4834" t="s">
        <v>27252</v>
      </c>
      <c r="Q4834" s="1">
        <v>44538</v>
      </c>
      <c r="R4834" t="s">
        <v>27253</v>
      </c>
      <c r="S4834" t="s">
        <v>27254</v>
      </c>
      <c r="T4834" t="s">
        <v>27255</v>
      </c>
    </row>
    <row r="4835" spans="1:20" x14ac:dyDescent="0.3">
      <c r="A4835" t="str">
        <f>"0611834576100"</f>
        <v>0611834576100</v>
      </c>
      <c r="B4835" t="str">
        <f>"LQ9011"</f>
        <v>LQ9011</v>
      </c>
      <c r="C4835" t="s">
        <v>36574</v>
      </c>
      <c r="D4835" t="s">
        <v>27245</v>
      </c>
      <c r="E4835" t="str">
        <f t="shared" si="75"/>
        <v>001390</v>
      </c>
      <c r="F4835" t="s">
        <v>27246</v>
      </c>
      <c r="G4835" t="s">
        <v>27247</v>
      </c>
      <c r="H4835" t="s">
        <v>27248</v>
      </c>
      <c r="I4835" t="s">
        <v>36575</v>
      </c>
      <c r="J4835" t="s">
        <v>9641</v>
      </c>
      <c r="L4835" t="s">
        <v>27250</v>
      </c>
      <c r="M4835" t="s">
        <v>27251</v>
      </c>
      <c r="N4835" t="s">
        <v>27252</v>
      </c>
      <c r="Q4835" s="1">
        <v>44538</v>
      </c>
      <c r="R4835" t="s">
        <v>27253</v>
      </c>
      <c r="S4835" t="s">
        <v>27254</v>
      </c>
      <c r="T4835" t="s">
        <v>27255</v>
      </c>
    </row>
    <row r="4836" spans="1:20" x14ac:dyDescent="0.3">
      <c r="A4836" t="str">
        <f>"0611884223100"</f>
        <v>0611884223100</v>
      </c>
      <c r="B4836" t="str">
        <f>"LQ3934"</f>
        <v>LQ3934</v>
      </c>
      <c r="C4836" t="s">
        <v>36576</v>
      </c>
      <c r="D4836" t="s">
        <v>27245</v>
      </c>
      <c r="E4836" t="str">
        <f t="shared" si="75"/>
        <v>001390</v>
      </c>
      <c r="F4836" t="s">
        <v>27246</v>
      </c>
      <c r="G4836" t="s">
        <v>27247</v>
      </c>
      <c r="H4836" t="s">
        <v>27248</v>
      </c>
      <c r="I4836" t="s">
        <v>36577</v>
      </c>
      <c r="J4836" t="s">
        <v>9643</v>
      </c>
      <c r="L4836" t="s">
        <v>27430</v>
      </c>
      <c r="M4836" t="s">
        <v>27251</v>
      </c>
      <c r="N4836" t="s">
        <v>27252</v>
      </c>
      <c r="Q4836" s="1">
        <v>45250</v>
      </c>
      <c r="R4836" t="s">
        <v>27253</v>
      </c>
      <c r="S4836" t="s">
        <v>27254</v>
      </c>
      <c r="T4836" t="s">
        <v>27255</v>
      </c>
    </row>
    <row r="4837" spans="1:20" x14ac:dyDescent="0.3">
      <c r="A4837" t="str">
        <f>"0611834578100"</f>
        <v>0611834578100</v>
      </c>
      <c r="B4837" t="str">
        <f>"LB3241"</f>
        <v>LB3241</v>
      </c>
      <c r="C4837" t="s">
        <v>36578</v>
      </c>
      <c r="D4837" t="s">
        <v>27245</v>
      </c>
      <c r="E4837" t="str">
        <f t="shared" si="75"/>
        <v>001390</v>
      </c>
      <c r="F4837" t="s">
        <v>27246</v>
      </c>
      <c r="G4837" t="s">
        <v>27247</v>
      </c>
      <c r="H4837" t="s">
        <v>27248</v>
      </c>
      <c r="I4837" t="s">
        <v>36579</v>
      </c>
      <c r="J4837" t="s">
        <v>9645</v>
      </c>
      <c r="L4837" t="s">
        <v>27250</v>
      </c>
      <c r="M4837" t="s">
        <v>27251</v>
      </c>
      <c r="N4837" t="s">
        <v>27252</v>
      </c>
      <c r="Q4837" s="1">
        <v>44538</v>
      </c>
      <c r="R4837" t="s">
        <v>27253</v>
      </c>
      <c r="S4837" t="s">
        <v>27254</v>
      </c>
      <c r="T4837" t="s">
        <v>27255</v>
      </c>
    </row>
    <row r="4838" spans="1:20" x14ac:dyDescent="0.3">
      <c r="A4838" t="str">
        <f>"0611834579100"</f>
        <v>0611834579100</v>
      </c>
      <c r="B4838" t="str">
        <f>"LK0709"</f>
        <v>LK0709</v>
      </c>
      <c r="C4838" t="s">
        <v>36580</v>
      </c>
      <c r="D4838" t="s">
        <v>27245</v>
      </c>
      <c r="E4838" t="str">
        <f t="shared" si="75"/>
        <v>001390</v>
      </c>
      <c r="F4838" t="s">
        <v>27246</v>
      </c>
      <c r="G4838" t="s">
        <v>27247</v>
      </c>
      <c r="H4838" t="s">
        <v>27248</v>
      </c>
      <c r="I4838" t="s">
        <v>36581</v>
      </c>
      <c r="J4838" t="s">
        <v>9647</v>
      </c>
      <c r="L4838" t="s">
        <v>27250</v>
      </c>
      <c r="M4838" t="s">
        <v>27251</v>
      </c>
      <c r="N4838" t="s">
        <v>27252</v>
      </c>
      <c r="Q4838" s="1">
        <v>44538</v>
      </c>
      <c r="R4838" t="s">
        <v>27253</v>
      </c>
      <c r="S4838" t="s">
        <v>27254</v>
      </c>
      <c r="T4838" t="s">
        <v>27255</v>
      </c>
    </row>
    <row r="4839" spans="1:20" x14ac:dyDescent="0.3">
      <c r="A4839" t="str">
        <f>"0611834580100"</f>
        <v>0611834580100</v>
      </c>
      <c r="B4839" t="str">
        <f>"LK6819"</f>
        <v>LK6819</v>
      </c>
      <c r="C4839" t="s">
        <v>36582</v>
      </c>
      <c r="D4839" t="s">
        <v>27245</v>
      </c>
      <c r="E4839" t="str">
        <f t="shared" si="75"/>
        <v>001390</v>
      </c>
      <c r="F4839" t="s">
        <v>27246</v>
      </c>
      <c r="G4839" t="s">
        <v>27247</v>
      </c>
      <c r="H4839" t="s">
        <v>27248</v>
      </c>
      <c r="I4839" t="s">
        <v>36583</v>
      </c>
      <c r="J4839" t="s">
        <v>9649</v>
      </c>
      <c r="L4839" t="s">
        <v>27250</v>
      </c>
      <c r="M4839" t="s">
        <v>27251</v>
      </c>
      <c r="N4839" t="s">
        <v>27252</v>
      </c>
      <c r="Q4839" s="1">
        <v>44538</v>
      </c>
      <c r="R4839" t="s">
        <v>27253</v>
      </c>
      <c r="S4839" t="s">
        <v>27254</v>
      </c>
      <c r="T4839" t="s">
        <v>27255</v>
      </c>
    </row>
    <row r="4840" spans="1:20" x14ac:dyDescent="0.3">
      <c r="A4840" t="str">
        <f>"0611834581100"</f>
        <v>0611834581100</v>
      </c>
      <c r="B4840" t="str">
        <f>"LK6820"</f>
        <v>LK6820</v>
      </c>
      <c r="C4840" t="s">
        <v>36584</v>
      </c>
      <c r="D4840" t="s">
        <v>27245</v>
      </c>
      <c r="E4840" t="str">
        <f t="shared" si="75"/>
        <v>001390</v>
      </c>
      <c r="F4840" t="s">
        <v>27246</v>
      </c>
      <c r="G4840" t="s">
        <v>27247</v>
      </c>
      <c r="H4840" t="s">
        <v>27248</v>
      </c>
      <c r="I4840" t="s">
        <v>36585</v>
      </c>
      <c r="J4840" t="s">
        <v>9651</v>
      </c>
      <c r="L4840" t="s">
        <v>27250</v>
      </c>
      <c r="M4840" t="s">
        <v>27251</v>
      </c>
      <c r="N4840" t="s">
        <v>27252</v>
      </c>
      <c r="Q4840" s="1">
        <v>44538</v>
      </c>
      <c r="R4840" t="s">
        <v>27253</v>
      </c>
      <c r="S4840" t="s">
        <v>27254</v>
      </c>
      <c r="T4840" t="s">
        <v>27255</v>
      </c>
    </row>
    <row r="4841" spans="1:20" x14ac:dyDescent="0.3">
      <c r="A4841" t="str">
        <f>"0611834582100"</f>
        <v>0611834582100</v>
      </c>
      <c r="B4841" t="str">
        <f>"LK6821"</f>
        <v>LK6821</v>
      </c>
      <c r="C4841" t="s">
        <v>36586</v>
      </c>
      <c r="D4841" t="s">
        <v>27245</v>
      </c>
      <c r="E4841" t="str">
        <f t="shared" si="75"/>
        <v>001390</v>
      </c>
      <c r="F4841" t="s">
        <v>27246</v>
      </c>
      <c r="G4841" t="s">
        <v>27247</v>
      </c>
      <c r="H4841" t="s">
        <v>27248</v>
      </c>
      <c r="I4841" t="s">
        <v>36587</v>
      </c>
      <c r="J4841" t="s">
        <v>9653</v>
      </c>
      <c r="L4841" t="s">
        <v>27250</v>
      </c>
      <c r="M4841" t="s">
        <v>27251</v>
      </c>
      <c r="N4841" t="s">
        <v>27252</v>
      </c>
      <c r="Q4841" s="1">
        <v>44538</v>
      </c>
      <c r="R4841" t="s">
        <v>27253</v>
      </c>
      <c r="S4841" t="s">
        <v>27254</v>
      </c>
      <c r="T4841" t="s">
        <v>27255</v>
      </c>
    </row>
    <row r="4842" spans="1:20" x14ac:dyDescent="0.3">
      <c r="A4842" t="str">
        <f>"0611834583100"</f>
        <v>0611834583100</v>
      </c>
      <c r="B4842" t="str">
        <f>"LK6822"</f>
        <v>LK6822</v>
      </c>
      <c r="C4842" t="s">
        <v>36588</v>
      </c>
      <c r="D4842" t="s">
        <v>27245</v>
      </c>
      <c r="E4842" t="str">
        <f t="shared" si="75"/>
        <v>001390</v>
      </c>
      <c r="F4842" t="s">
        <v>27246</v>
      </c>
      <c r="G4842" t="s">
        <v>27247</v>
      </c>
      <c r="H4842" t="s">
        <v>27248</v>
      </c>
      <c r="I4842" t="s">
        <v>36589</v>
      </c>
      <c r="J4842" t="s">
        <v>9655</v>
      </c>
      <c r="L4842" t="s">
        <v>27250</v>
      </c>
      <c r="M4842" t="s">
        <v>27251</v>
      </c>
      <c r="N4842" t="s">
        <v>27252</v>
      </c>
      <c r="Q4842" s="1">
        <v>44538</v>
      </c>
      <c r="R4842" t="s">
        <v>27253</v>
      </c>
      <c r="S4842" t="s">
        <v>27254</v>
      </c>
      <c r="T4842" t="s">
        <v>27255</v>
      </c>
    </row>
    <row r="4843" spans="1:20" x14ac:dyDescent="0.3">
      <c r="A4843" t="str">
        <f>"0611834584100"</f>
        <v>0611834584100</v>
      </c>
      <c r="B4843" t="str">
        <f>"LK6823"</f>
        <v>LK6823</v>
      </c>
      <c r="C4843" t="s">
        <v>36590</v>
      </c>
      <c r="D4843" t="s">
        <v>27245</v>
      </c>
      <c r="E4843" t="str">
        <f t="shared" si="75"/>
        <v>001390</v>
      </c>
      <c r="F4843" t="s">
        <v>27246</v>
      </c>
      <c r="G4843" t="s">
        <v>27247</v>
      </c>
      <c r="H4843" t="s">
        <v>27248</v>
      </c>
      <c r="I4843" t="s">
        <v>36591</v>
      </c>
      <c r="J4843" t="s">
        <v>9657</v>
      </c>
      <c r="L4843" t="s">
        <v>27250</v>
      </c>
      <c r="M4843" t="s">
        <v>27251</v>
      </c>
      <c r="N4843" t="s">
        <v>27252</v>
      </c>
      <c r="Q4843" s="1">
        <v>44538</v>
      </c>
      <c r="R4843" t="s">
        <v>27253</v>
      </c>
      <c r="S4843" t="s">
        <v>27254</v>
      </c>
      <c r="T4843" t="s">
        <v>27255</v>
      </c>
    </row>
    <row r="4844" spans="1:20" x14ac:dyDescent="0.3">
      <c r="A4844" t="str">
        <f>"0611834585100"</f>
        <v>0611834585100</v>
      </c>
      <c r="B4844" t="str">
        <f>"LK6824"</f>
        <v>LK6824</v>
      </c>
      <c r="C4844" t="s">
        <v>36592</v>
      </c>
      <c r="D4844" t="s">
        <v>27245</v>
      </c>
      <c r="E4844" t="str">
        <f t="shared" si="75"/>
        <v>001390</v>
      </c>
      <c r="F4844" t="s">
        <v>27246</v>
      </c>
      <c r="G4844" t="s">
        <v>27247</v>
      </c>
      <c r="H4844" t="s">
        <v>27248</v>
      </c>
      <c r="I4844" t="s">
        <v>36593</v>
      </c>
      <c r="J4844" t="s">
        <v>9659</v>
      </c>
      <c r="L4844" t="s">
        <v>27250</v>
      </c>
      <c r="M4844" t="s">
        <v>27251</v>
      </c>
      <c r="N4844" t="s">
        <v>27252</v>
      </c>
      <c r="Q4844" s="1">
        <v>44538</v>
      </c>
      <c r="R4844" t="s">
        <v>27253</v>
      </c>
      <c r="S4844" t="s">
        <v>27254</v>
      </c>
      <c r="T4844" t="s">
        <v>27255</v>
      </c>
    </row>
    <row r="4845" spans="1:20" x14ac:dyDescent="0.3">
      <c r="A4845" t="str">
        <f>"0611831990025"</f>
        <v>0611831990025</v>
      </c>
      <c r="B4845" t="str">
        <f>"MC4396"</f>
        <v>MC4396</v>
      </c>
      <c r="C4845" t="s">
        <v>36594</v>
      </c>
      <c r="D4845" t="s">
        <v>27267</v>
      </c>
      <c r="E4845" t="str">
        <f t="shared" si="75"/>
        <v>001390</v>
      </c>
      <c r="F4845" t="s">
        <v>27246</v>
      </c>
      <c r="G4845" t="s">
        <v>27247</v>
      </c>
      <c r="H4845" t="s">
        <v>27248</v>
      </c>
      <c r="I4845" t="s">
        <v>36595</v>
      </c>
      <c r="J4845" t="s">
        <v>9663</v>
      </c>
      <c r="L4845" t="s">
        <v>27250</v>
      </c>
      <c r="M4845" t="s">
        <v>27251</v>
      </c>
      <c r="N4845" t="s">
        <v>27252</v>
      </c>
      <c r="Q4845" s="1">
        <v>44538</v>
      </c>
      <c r="R4845" t="s">
        <v>27253</v>
      </c>
      <c r="S4845" t="s">
        <v>27254</v>
      </c>
      <c r="T4845" t="s">
        <v>27269</v>
      </c>
    </row>
    <row r="4846" spans="1:20" x14ac:dyDescent="0.3">
      <c r="A4846" t="str">
        <f>"0611884224100"</f>
        <v>0611884224100</v>
      </c>
      <c r="B4846" t="str">
        <f>"BS4701"</f>
        <v>BS4701</v>
      </c>
      <c r="C4846" t="s">
        <v>36594</v>
      </c>
      <c r="D4846" t="s">
        <v>36596</v>
      </c>
      <c r="E4846" t="str">
        <f t="shared" si="75"/>
        <v>001390</v>
      </c>
      <c r="F4846" t="s">
        <v>27246</v>
      </c>
      <c r="G4846" t="s">
        <v>27247</v>
      </c>
      <c r="H4846" t="s">
        <v>27248</v>
      </c>
      <c r="I4846" t="s">
        <v>36597</v>
      </c>
      <c r="J4846" t="s">
        <v>9661</v>
      </c>
      <c r="L4846" t="s">
        <v>27430</v>
      </c>
      <c r="M4846" t="s">
        <v>27251</v>
      </c>
      <c r="N4846" t="s">
        <v>27252</v>
      </c>
      <c r="Q4846" s="1">
        <v>45250</v>
      </c>
      <c r="R4846" t="s">
        <v>27253</v>
      </c>
      <c r="S4846" t="s">
        <v>27254</v>
      </c>
      <c r="T4846" t="s">
        <v>36598</v>
      </c>
    </row>
    <row r="4847" spans="1:20" x14ac:dyDescent="0.3">
      <c r="A4847" t="str">
        <f>"0611884225100"</f>
        <v>0611884225100</v>
      </c>
      <c r="B4847" t="str">
        <f>"BS4702"</f>
        <v>BS4702</v>
      </c>
      <c r="C4847" t="s">
        <v>36599</v>
      </c>
      <c r="D4847" t="s">
        <v>36596</v>
      </c>
      <c r="E4847" t="str">
        <f t="shared" si="75"/>
        <v>001390</v>
      </c>
      <c r="F4847" t="s">
        <v>27246</v>
      </c>
      <c r="G4847" t="s">
        <v>27247</v>
      </c>
      <c r="H4847" t="s">
        <v>27248</v>
      </c>
      <c r="I4847" t="s">
        <v>36600</v>
      </c>
      <c r="J4847" t="s">
        <v>9665</v>
      </c>
      <c r="L4847" t="s">
        <v>27430</v>
      </c>
      <c r="M4847" t="s">
        <v>27251</v>
      </c>
      <c r="N4847" t="s">
        <v>27252</v>
      </c>
      <c r="Q4847" s="1">
        <v>45250</v>
      </c>
      <c r="R4847" t="s">
        <v>27253</v>
      </c>
      <c r="S4847" t="s">
        <v>27254</v>
      </c>
      <c r="T4847" t="s">
        <v>36598</v>
      </c>
    </row>
    <row r="4848" spans="1:20" x14ac:dyDescent="0.3">
      <c r="A4848" t="str">
        <f>"0611836748025"</f>
        <v>0611836748025</v>
      </c>
      <c r="B4848" t="str">
        <f>"MC4398"</f>
        <v>MC4398</v>
      </c>
      <c r="C4848" t="s">
        <v>36601</v>
      </c>
      <c r="D4848" t="s">
        <v>27267</v>
      </c>
      <c r="E4848" t="str">
        <f t="shared" si="75"/>
        <v>001390</v>
      </c>
      <c r="F4848" t="s">
        <v>27246</v>
      </c>
      <c r="G4848" t="s">
        <v>27247</v>
      </c>
      <c r="H4848" t="s">
        <v>27248</v>
      </c>
      <c r="I4848" t="s">
        <v>36602</v>
      </c>
      <c r="J4848" t="s">
        <v>9669</v>
      </c>
      <c r="L4848" t="s">
        <v>27250</v>
      </c>
      <c r="M4848" t="s">
        <v>27251</v>
      </c>
      <c r="N4848" t="s">
        <v>27252</v>
      </c>
      <c r="Q4848" s="1">
        <v>44538</v>
      </c>
      <c r="R4848" t="s">
        <v>27253</v>
      </c>
      <c r="S4848" t="s">
        <v>27254</v>
      </c>
      <c r="T4848" t="s">
        <v>27269</v>
      </c>
    </row>
    <row r="4849" spans="1:20" x14ac:dyDescent="0.3">
      <c r="A4849" t="str">
        <f>"0611884226100"</f>
        <v>0611884226100</v>
      </c>
      <c r="B4849" t="str">
        <f>"BS4700"</f>
        <v>BS4700</v>
      </c>
      <c r="C4849" t="s">
        <v>36601</v>
      </c>
      <c r="D4849" t="s">
        <v>36596</v>
      </c>
      <c r="E4849" t="str">
        <f t="shared" si="75"/>
        <v>001390</v>
      </c>
      <c r="F4849" t="s">
        <v>27246</v>
      </c>
      <c r="G4849" t="s">
        <v>27247</v>
      </c>
      <c r="H4849" t="s">
        <v>27248</v>
      </c>
      <c r="I4849" t="s">
        <v>36603</v>
      </c>
      <c r="J4849" t="s">
        <v>9667</v>
      </c>
      <c r="L4849" t="s">
        <v>27430</v>
      </c>
      <c r="M4849" t="s">
        <v>27251</v>
      </c>
      <c r="N4849" t="s">
        <v>27252</v>
      </c>
      <c r="Q4849" s="1">
        <v>45250</v>
      </c>
      <c r="R4849" t="s">
        <v>27253</v>
      </c>
      <c r="S4849" t="s">
        <v>27254</v>
      </c>
      <c r="T4849" t="s">
        <v>36598</v>
      </c>
    </row>
    <row r="4850" spans="1:20" x14ac:dyDescent="0.3">
      <c r="A4850" t="str">
        <f>"0611837482025"</f>
        <v>0611837482025</v>
      </c>
      <c r="B4850" t="str">
        <f>"MC2343"</f>
        <v>MC2343</v>
      </c>
      <c r="C4850" t="s">
        <v>36604</v>
      </c>
      <c r="D4850" t="s">
        <v>27267</v>
      </c>
      <c r="E4850" t="str">
        <f t="shared" si="75"/>
        <v>001390</v>
      </c>
      <c r="F4850" t="s">
        <v>27246</v>
      </c>
      <c r="G4850" t="s">
        <v>27247</v>
      </c>
      <c r="H4850" t="s">
        <v>27248</v>
      </c>
      <c r="I4850" t="s">
        <v>36605</v>
      </c>
      <c r="J4850" t="s">
        <v>9671</v>
      </c>
      <c r="L4850" t="s">
        <v>27250</v>
      </c>
      <c r="M4850" t="s">
        <v>27251</v>
      </c>
      <c r="N4850" t="s">
        <v>27252</v>
      </c>
      <c r="Q4850" s="1">
        <v>44538</v>
      </c>
      <c r="R4850" t="s">
        <v>27253</v>
      </c>
      <c r="S4850" t="s">
        <v>27254</v>
      </c>
      <c r="T4850" t="s">
        <v>27269</v>
      </c>
    </row>
    <row r="4851" spans="1:20" x14ac:dyDescent="0.3">
      <c r="A4851" t="str">
        <f>"0611862120050"</f>
        <v>0611862120050</v>
      </c>
      <c r="B4851" t="str">
        <f>"CE0667"</f>
        <v>CE0667</v>
      </c>
      <c r="C4851" t="s">
        <v>36606</v>
      </c>
      <c r="D4851" t="s">
        <v>27923</v>
      </c>
      <c r="E4851" t="str">
        <f t="shared" si="75"/>
        <v>001390</v>
      </c>
      <c r="F4851" t="s">
        <v>27246</v>
      </c>
      <c r="G4851" t="s">
        <v>27247</v>
      </c>
      <c r="H4851" t="s">
        <v>27248</v>
      </c>
      <c r="I4851" t="s">
        <v>36607</v>
      </c>
      <c r="J4851" t="s">
        <v>9673</v>
      </c>
      <c r="L4851" t="s">
        <v>27250</v>
      </c>
      <c r="M4851" t="s">
        <v>27251</v>
      </c>
      <c r="N4851" t="s">
        <v>27252</v>
      </c>
      <c r="P4851" t="s">
        <v>27925</v>
      </c>
      <c r="Q4851" s="1">
        <v>44846</v>
      </c>
      <c r="R4851" t="s">
        <v>27253</v>
      </c>
      <c r="S4851" t="s">
        <v>27254</v>
      </c>
      <c r="T4851" t="s">
        <v>27265</v>
      </c>
    </row>
    <row r="4852" spans="1:20" x14ac:dyDescent="0.3">
      <c r="A4852" t="str">
        <f>"0611862121050"</f>
        <v>0611862121050</v>
      </c>
      <c r="B4852" t="str">
        <f>"CE0668"</f>
        <v>CE0668</v>
      </c>
      <c r="C4852" t="s">
        <v>36608</v>
      </c>
      <c r="D4852" t="s">
        <v>27923</v>
      </c>
      <c r="E4852" t="str">
        <f t="shared" si="75"/>
        <v>001390</v>
      </c>
      <c r="F4852" t="s">
        <v>27246</v>
      </c>
      <c r="G4852" t="s">
        <v>27247</v>
      </c>
      <c r="H4852" t="s">
        <v>27248</v>
      </c>
      <c r="I4852" t="s">
        <v>36609</v>
      </c>
      <c r="J4852" t="s">
        <v>9675</v>
      </c>
      <c r="L4852" t="s">
        <v>27250</v>
      </c>
      <c r="M4852" t="s">
        <v>27251</v>
      </c>
      <c r="N4852" t="s">
        <v>27252</v>
      </c>
      <c r="P4852" t="s">
        <v>27925</v>
      </c>
      <c r="Q4852" s="1">
        <v>44846</v>
      </c>
      <c r="R4852" t="s">
        <v>27253</v>
      </c>
      <c r="S4852" t="s">
        <v>27254</v>
      </c>
      <c r="T4852" t="s">
        <v>27265</v>
      </c>
    </row>
    <row r="4853" spans="1:20" x14ac:dyDescent="0.3">
      <c r="A4853" t="str">
        <f>"0611862122050"</f>
        <v>0611862122050</v>
      </c>
      <c r="B4853" t="str">
        <f>"CE0670"</f>
        <v>CE0670</v>
      </c>
      <c r="C4853" t="s">
        <v>36610</v>
      </c>
      <c r="D4853" t="s">
        <v>27923</v>
      </c>
      <c r="E4853" t="str">
        <f t="shared" si="75"/>
        <v>001390</v>
      </c>
      <c r="F4853" t="s">
        <v>27246</v>
      </c>
      <c r="G4853" t="s">
        <v>27247</v>
      </c>
      <c r="H4853" t="s">
        <v>27248</v>
      </c>
      <c r="I4853" t="s">
        <v>36611</v>
      </c>
      <c r="J4853" t="s">
        <v>9677</v>
      </c>
      <c r="L4853" t="s">
        <v>27250</v>
      </c>
      <c r="M4853" t="s">
        <v>27251</v>
      </c>
      <c r="N4853" t="s">
        <v>27252</v>
      </c>
      <c r="P4853" t="s">
        <v>27925</v>
      </c>
      <c r="Q4853" s="1">
        <v>44846</v>
      </c>
      <c r="R4853" t="s">
        <v>27253</v>
      </c>
      <c r="S4853" t="s">
        <v>27254</v>
      </c>
      <c r="T4853" t="s">
        <v>27265</v>
      </c>
    </row>
    <row r="4854" spans="1:20" x14ac:dyDescent="0.3">
      <c r="A4854" t="str">
        <f>"0611862123050"</f>
        <v>0611862123050</v>
      </c>
      <c r="B4854" t="str">
        <f>"CE0672"</f>
        <v>CE0672</v>
      </c>
      <c r="C4854" t="s">
        <v>36612</v>
      </c>
      <c r="D4854" t="s">
        <v>27923</v>
      </c>
      <c r="E4854" t="str">
        <f t="shared" si="75"/>
        <v>001390</v>
      </c>
      <c r="F4854" t="s">
        <v>27246</v>
      </c>
      <c r="G4854" t="s">
        <v>27247</v>
      </c>
      <c r="H4854" t="s">
        <v>27248</v>
      </c>
      <c r="I4854" t="s">
        <v>36613</v>
      </c>
      <c r="J4854" t="s">
        <v>9679</v>
      </c>
      <c r="L4854" t="s">
        <v>27250</v>
      </c>
      <c r="M4854" t="s">
        <v>27251</v>
      </c>
      <c r="N4854" t="s">
        <v>27252</v>
      </c>
      <c r="P4854" t="s">
        <v>27925</v>
      </c>
      <c r="Q4854" s="1">
        <v>44846</v>
      </c>
      <c r="R4854" t="s">
        <v>27253</v>
      </c>
      <c r="S4854" t="s">
        <v>27254</v>
      </c>
      <c r="T4854" t="s">
        <v>27265</v>
      </c>
    </row>
    <row r="4855" spans="1:20" x14ac:dyDescent="0.3">
      <c r="A4855" t="str">
        <f>"0611862124050"</f>
        <v>0611862124050</v>
      </c>
      <c r="B4855" t="str">
        <f>"CE0682"</f>
        <v>CE0682</v>
      </c>
      <c r="C4855" t="s">
        <v>36614</v>
      </c>
      <c r="D4855" t="s">
        <v>27923</v>
      </c>
      <c r="E4855" t="str">
        <f t="shared" si="75"/>
        <v>001390</v>
      </c>
      <c r="F4855" t="s">
        <v>27246</v>
      </c>
      <c r="G4855" t="s">
        <v>27247</v>
      </c>
      <c r="H4855" t="s">
        <v>27248</v>
      </c>
      <c r="I4855" t="s">
        <v>36615</v>
      </c>
      <c r="J4855" t="s">
        <v>9681</v>
      </c>
      <c r="L4855" t="s">
        <v>27250</v>
      </c>
      <c r="M4855" t="s">
        <v>27251</v>
      </c>
      <c r="N4855" t="s">
        <v>27252</v>
      </c>
      <c r="P4855" t="s">
        <v>27925</v>
      </c>
      <c r="Q4855" s="1">
        <v>44846</v>
      </c>
      <c r="R4855" t="s">
        <v>27253</v>
      </c>
      <c r="S4855" t="s">
        <v>27254</v>
      </c>
      <c r="T4855" t="s">
        <v>27265</v>
      </c>
    </row>
    <row r="4856" spans="1:20" x14ac:dyDescent="0.3">
      <c r="A4856" t="str">
        <f>"0611862125050"</f>
        <v>0611862125050</v>
      </c>
      <c r="B4856" t="str">
        <f>"CE0930"</f>
        <v>CE0930</v>
      </c>
      <c r="C4856" t="s">
        <v>36616</v>
      </c>
      <c r="D4856" t="s">
        <v>27923</v>
      </c>
      <c r="E4856" t="str">
        <f t="shared" si="75"/>
        <v>001390</v>
      </c>
      <c r="F4856" t="s">
        <v>27246</v>
      </c>
      <c r="G4856" t="s">
        <v>27247</v>
      </c>
      <c r="H4856" t="s">
        <v>27248</v>
      </c>
      <c r="I4856" t="s">
        <v>36617</v>
      </c>
      <c r="J4856" t="s">
        <v>9683</v>
      </c>
      <c r="L4856" t="s">
        <v>27250</v>
      </c>
      <c r="M4856" t="s">
        <v>27251</v>
      </c>
      <c r="N4856" t="s">
        <v>27252</v>
      </c>
      <c r="P4856" t="s">
        <v>27925</v>
      </c>
      <c r="Q4856" s="1">
        <v>44846</v>
      </c>
      <c r="R4856" t="s">
        <v>27253</v>
      </c>
      <c r="S4856" t="s">
        <v>27254</v>
      </c>
      <c r="T4856" t="s">
        <v>27265</v>
      </c>
    </row>
    <row r="4857" spans="1:20" x14ac:dyDescent="0.3">
      <c r="A4857" t="str">
        <f>"0611862126050"</f>
        <v>0611862126050</v>
      </c>
      <c r="B4857" t="str">
        <f>"CE0931"</f>
        <v>CE0931</v>
      </c>
      <c r="C4857" t="s">
        <v>36618</v>
      </c>
      <c r="D4857" t="s">
        <v>27923</v>
      </c>
      <c r="E4857" t="str">
        <f t="shared" si="75"/>
        <v>001390</v>
      </c>
      <c r="F4857" t="s">
        <v>27246</v>
      </c>
      <c r="G4857" t="s">
        <v>27247</v>
      </c>
      <c r="H4857" t="s">
        <v>27248</v>
      </c>
      <c r="I4857" t="s">
        <v>36619</v>
      </c>
      <c r="J4857" t="s">
        <v>9685</v>
      </c>
      <c r="L4857" t="s">
        <v>27250</v>
      </c>
      <c r="M4857" t="s">
        <v>27251</v>
      </c>
      <c r="N4857" t="s">
        <v>27252</v>
      </c>
      <c r="P4857" t="s">
        <v>27925</v>
      </c>
      <c r="Q4857" s="1">
        <v>44846</v>
      </c>
      <c r="R4857" t="s">
        <v>27253</v>
      </c>
      <c r="S4857" t="s">
        <v>27254</v>
      </c>
      <c r="T4857" t="s">
        <v>27265</v>
      </c>
    </row>
    <row r="4858" spans="1:20" x14ac:dyDescent="0.3">
      <c r="A4858" t="str">
        <f>"0611862127050"</f>
        <v>0611862127050</v>
      </c>
      <c r="B4858" t="str">
        <f>"CE0673"</f>
        <v>CE0673</v>
      </c>
      <c r="C4858" t="s">
        <v>36620</v>
      </c>
      <c r="D4858" t="s">
        <v>27923</v>
      </c>
      <c r="E4858" t="str">
        <f t="shared" si="75"/>
        <v>001390</v>
      </c>
      <c r="F4858" t="s">
        <v>27246</v>
      </c>
      <c r="G4858" t="s">
        <v>27247</v>
      </c>
      <c r="H4858" t="s">
        <v>27248</v>
      </c>
      <c r="I4858" t="s">
        <v>36621</v>
      </c>
      <c r="J4858" t="s">
        <v>9687</v>
      </c>
      <c r="L4858" t="s">
        <v>27250</v>
      </c>
      <c r="M4858" t="s">
        <v>27251</v>
      </c>
      <c r="N4858" t="s">
        <v>27252</v>
      </c>
      <c r="P4858" t="s">
        <v>27925</v>
      </c>
      <c r="Q4858" s="1">
        <v>44846</v>
      </c>
      <c r="R4858" t="s">
        <v>27253</v>
      </c>
      <c r="S4858" t="s">
        <v>27254</v>
      </c>
      <c r="T4858" t="s">
        <v>27265</v>
      </c>
    </row>
    <row r="4859" spans="1:20" x14ac:dyDescent="0.3">
      <c r="A4859" t="str">
        <f>"0611862128050"</f>
        <v>0611862128050</v>
      </c>
      <c r="B4859" t="str">
        <f>"CE0674"</f>
        <v>CE0674</v>
      </c>
      <c r="C4859" t="s">
        <v>36622</v>
      </c>
      <c r="D4859" t="s">
        <v>27923</v>
      </c>
      <c r="E4859" t="str">
        <f t="shared" si="75"/>
        <v>001390</v>
      </c>
      <c r="F4859" t="s">
        <v>27246</v>
      </c>
      <c r="G4859" t="s">
        <v>27247</v>
      </c>
      <c r="H4859" t="s">
        <v>27248</v>
      </c>
      <c r="I4859" t="s">
        <v>36623</v>
      </c>
      <c r="J4859" t="s">
        <v>9689</v>
      </c>
      <c r="L4859" t="s">
        <v>27250</v>
      </c>
      <c r="M4859" t="s">
        <v>27251</v>
      </c>
      <c r="N4859" t="s">
        <v>27252</v>
      </c>
      <c r="P4859" t="s">
        <v>27925</v>
      </c>
      <c r="Q4859" s="1">
        <v>44846</v>
      </c>
      <c r="R4859" t="s">
        <v>27253</v>
      </c>
      <c r="S4859" t="s">
        <v>27254</v>
      </c>
      <c r="T4859" t="s">
        <v>27265</v>
      </c>
    </row>
    <row r="4860" spans="1:20" x14ac:dyDescent="0.3">
      <c r="A4860" t="str">
        <f>"0611862129050"</f>
        <v>0611862129050</v>
      </c>
      <c r="B4860" t="str">
        <f>"CE0675"</f>
        <v>CE0675</v>
      </c>
      <c r="C4860" t="s">
        <v>36624</v>
      </c>
      <c r="D4860" t="s">
        <v>27923</v>
      </c>
      <c r="E4860" t="str">
        <f t="shared" si="75"/>
        <v>001390</v>
      </c>
      <c r="F4860" t="s">
        <v>27246</v>
      </c>
      <c r="G4860" t="s">
        <v>27247</v>
      </c>
      <c r="H4860" t="s">
        <v>27248</v>
      </c>
      <c r="I4860" t="s">
        <v>36625</v>
      </c>
      <c r="J4860" t="s">
        <v>9691</v>
      </c>
      <c r="L4860" t="s">
        <v>27250</v>
      </c>
      <c r="M4860" t="s">
        <v>27251</v>
      </c>
      <c r="N4860" t="s">
        <v>27252</v>
      </c>
      <c r="P4860" t="s">
        <v>27925</v>
      </c>
      <c r="Q4860" s="1">
        <v>44846</v>
      </c>
      <c r="R4860" t="s">
        <v>27253</v>
      </c>
      <c r="S4860" t="s">
        <v>27254</v>
      </c>
      <c r="T4860" t="s">
        <v>27265</v>
      </c>
    </row>
    <row r="4861" spans="1:20" x14ac:dyDescent="0.3">
      <c r="A4861" t="str">
        <f>"0611862130050"</f>
        <v>0611862130050</v>
      </c>
      <c r="B4861" t="str">
        <f>"CE0676"</f>
        <v>CE0676</v>
      </c>
      <c r="C4861" t="s">
        <v>36626</v>
      </c>
      <c r="D4861" t="s">
        <v>27923</v>
      </c>
      <c r="E4861" t="str">
        <f t="shared" si="75"/>
        <v>001390</v>
      </c>
      <c r="F4861" t="s">
        <v>27246</v>
      </c>
      <c r="G4861" t="s">
        <v>27247</v>
      </c>
      <c r="H4861" t="s">
        <v>27248</v>
      </c>
      <c r="I4861" t="s">
        <v>36627</v>
      </c>
      <c r="J4861" t="s">
        <v>9693</v>
      </c>
      <c r="L4861" t="s">
        <v>27250</v>
      </c>
      <c r="M4861" t="s">
        <v>27251</v>
      </c>
      <c r="N4861" t="s">
        <v>27252</v>
      </c>
      <c r="P4861" t="s">
        <v>27925</v>
      </c>
      <c r="Q4861" s="1">
        <v>44846</v>
      </c>
      <c r="R4861" t="s">
        <v>27253</v>
      </c>
      <c r="S4861" t="s">
        <v>27254</v>
      </c>
      <c r="T4861" t="s">
        <v>27265</v>
      </c>
    </row>
    <row r="4862" spans="1:20" x14ac:dyDescent="0.3">
      <c r="A4862" t="str">
        <f>"0611862131050"</f>
        <v>0611862131050</v>
      </c>
      <c r="B4862" t="str">
        <f>"CE1197"</f>
        <v>CE1197</v>
      </c>
      <c r="C4862" t="s">
        <v>36628</v>
      </c>
      <c r="D4862" t="s">
        <v>27923</v>
      </c>
      <c r="E4862" t="str">
        <f t="shared" si="75"/>
        <v>001390</v>
      </c>
      <c r="F4862" t="s">
        <v>27246</v>
      </c>
      <c r="G4862" t="s">
        <v>27247</v>
      </c>
      <c r="H4862" t="s">
        <v>27248</v>
      </c>
      <c r="I4862" t="s">
        <v>36629</v>
      </c>
      <c r="J4862" t="s">
        <v>9695</v>
      </c>
      <c r="L4862" t="s">
        <v>27250</v>
      </c>
      <c r="M4862" t="s">
        <v>27251</v>
      </c>
      <c r="N4862" t="s">
        <v>27252</v>
      </c>
      <c r="P4862" t="s">
        <v>27925</v>
      </c>
      <c r="Q4862" s="1">
        <v>44846</v>
      </c>
      <c r="R4862" t="s">
        <v>27253</v>
      </c>
      <c r="S4862" t="s">
        <v>27254</v>
      </c>
      <c r="T4862" t="s">
        <v>27265</v>
      </c>
    </row>
    <row r="4863" spans="1:20" x14ac:dyDescent="0.3">
      <c r="A4863" t="str">
        <f>"0611862132050"</f>
        <v>0611862132050</v>
      </c>
      <c r="B4863" t="str">
        <f>"CE0677"</f>
        <v>CE0677</v>
      </c>
      <c r="C4863" t="s">
        <v>36630</v>
      </c>
      <c r="D4863" t="s">
        <v>27923</v>
      </c>
      <c r="E4863" t="str">
        <f t="shared" si="75"/>
        <v>001390</v>
      </c>
      <c r="F4863" t="s">
        <v>27246</v>
      </c>
      <c r="G4863" t="s">
        <v>27247</v>
      </c>
      <c r="H4863" t="s">
        <v>27248</v>
      </c>
      <c r="I4863" t="s">
        <v>36631</v>
      </c>
      <c r="J4863" t="s">
        <v>9697</v>
      </c>
      <c r="L4863" t="s">
        <v>27250</v>
      </c>
      <c r="M4863" t="s">
        <v>27251</v>
      </c>
      <c r="N4863" t="s">
        <v>27252</v>
      </c>
      <c r="P4863" t="s">
        <v>27925</v>
      </c>
      <c r="Q4863" s="1">
        <v>44846</v>
      </c>
      <c r="R4863" t="s">
        <v>27253</v>
      </c>
      <c r="S4863" t="s">
        <v>27254</v>
      </c>
      <c r="T4863" t="s">
        <v>27265</v>
      </c>
    </row>
    <row r="4864" spans="1:20" x14ac:dyDescent="0.3">
      <c r="A4864" t="str">
        <f>"0611862133050"</f>
        <v>0611862133050</v>
      </c>
      <c r="B4864" t="str">
        <f>"CE0678"</f>
        <v>CE0678</v>
      </c>
      <c r="C4864" t="s">
        <v>36632</v>
      </c>
      <c r="D4864" t="s">
        <v>27923</v>
      </c>
      <c r="E4864" t="str">
        <f t="shared" si="75"/>
        <v>001390</v>
      </c>
      <c r="F4864" t="s">
        <v>27246</v>
      </c>
      <c r="G4864" t="s">
        <v>27247</v>
      </c>
      <c r="H4864" t="s">
        <v>27248</v>
      </c>
      <c r="I4864" t="s">
        <v>36633</v>
      </c>
      <c r="J4864" t="s">
        <v>9699</v>
      </c>
      <c r="L4864" t="s">
        <v>27250</v>
      </c>
      <c r="M4864" t="s">
        <v>27251</v>
      </c>
      <c r="N4864" t="s">
        <v>27252</v>
      </c>
      <c r="P4864" t="s">
        <v>27925</v>
      </c>
      <c r="Q4864" s="1">
        <v>44846</v>
      </c>
      <c r="R4864" t="s">
        <v>27253</v>
      </c>
      <c r="S4864" t="s">
        <v>27254</v>
      </c>
      <c r="T4864" t="s">
        <v>27265</v>
      </c>
    </row>
    <row r="4865" spans="1:20" x14ac:dyDescent="0.3">
      <c r="A4865" t="str">
        <f>"0611862135050"</f>
        <v>0611862135050</v>
      </c>
      <c r="B4865" t="str">
        <f>"CE1481"</f>
        <v>CE1481</v>
      </c>
      <c r="C4865" t="s">
        <v>36634</v>
      </c>
      <c r="D4865" t="s">
        <v>27923</v>
      </c>
      <c r="E4865" t="str">
        <f t="shared" si="75"/>
        <v>001390</v>
      </c>
      <c r="F4865" t="s">
        <v>27246</v>
      </c>
      <c r="G4865" t="s">
        <v>27247</v>
      </c>
      <c r="H4865" t="s">
        <v>27248</v>
      </c>
      <c r="I4865" t="s">
        <v>36635</v>
      </c>
      <c r="J4865" t="s">
        <v>9701</v>
      </c>
      <c r="L4865" t="s">
        <v>27250</v>
      </c>
      <c r="M4865" t="s">
        <v>27251</v>
      </c>
      <c r="N4865" t="s">
        <v>27252</v>
      </c>
      <c r="P4865" t="s">
        <v>27925</v>
      </c>
      <c r="Q4865" s="1">
        <v>44846</v>
      </c>
      <c r="R4865" t="s">
        <v>27253</v>
      </c>
      <c r="S4865" t="s">
        <v>27254</v>
      </c>
      <c r="T4865" t="s">
        <v>27265</v>
      </c>
    </row>
    <row r="4866" spans="1:20" x14ac:dyDescent="0.3">
      <c r="A4866" t="str">
        <f>"0611862136050"</f>
        <v>0611862136050</v>
      </c>
      <c r="B4866" t="str">
        <f>"CE0679"</f>
        <v>CE0679</v>
      </c>
      <c r="C4866" t="s">
        <v>36636</v>
      </c>
      <c r="D4866" t="s">
        <v>27923</v>
      </c>
      <c r="E4866" t="str">
        <f t="shared" ref="E4866:E4929" si="76">"001390"</f>
        <v>001390</v>
      </c>
      <c r="F4866" t="s">
        <v>27246</v>
      </c>
      <c r="G4866" t="s">
        <v>27247</v>
      </c>
      <c r="H4866" t="s">
        <v>27248</v>
      </c>
      <c r="I4866" t="s">
        <v>36637</v>
      </c>
      <c r="J4866" t="s">
        <v>9703</v>
      </c>
      <c r="L4866" t="s">
        <v>27250</v>
      </c>
      <c r="M4866" t="s">
        <v>27251</v>
      </c>
      <c r="N4866" t="s">
        <v>27252</v>
      </c>
      <c r="P4866" t="s">
        <v>27925</v>
      </c>
      <c r="Q4866" s="1">
        <v>44846</v>
      </c>
      <c r="R4866" t="s">
        <v>27253</v>
      </c>
      <c r="S4866" t="s">
        <v>27254</v>
      </c>
      <c r="T4866" t="s">
        <v>27265</v>
      </c>
    </row>
    <row r="4867" spans="1:20" x14ac:dyDescent="0.3">
      <c r="A4867" t="str">
        <f>"0611862137050"</f>
        <v>0611862137050</v>
      </c>
      <c r="B4867" t="str">
        <f>"CE1341"</f>
        <v>CE1341</v>
      </c>
      <c r="C4867" t="s">
        <v>36638</v>
      </c>
      <c r="D4867" t="s">
        <v>27923</v>
      </c>
      <c r="E4867" t="str">
        <f t="shared" si="76"/>
        <v>001390</v>
      </c>
      <c r="F4867" t="s">
        <v>27246</v>
      </c>
      <c r="G4867" t="s">
        <v>27247</v>
      </c>
      <c r="H4867" t="s">
        <v>27248</v>
      </c>
      <c r="I4867" t="s">
        <v>36639</v>
      </c>
      <c r="J4867" t="s">
        <v>9705</v>
      </c>
      <c r="L4867" t="s">
        <v>27250</v>
      </c>
      <c r="M4867" t="s">
        <v>27251</v>
      </c>
      <c r="N4867" t="s">
        <v>27252</v>
      </c>
      <c r="P4867" t="s">
        <v>27925</v>
      </c>
      <c r="Q4867" s="1">
        <v>44846</v>
      </c>
      <c r="R4867" t="s">
        <v>27253</v>
      </c>
      <c r="S4867" t="s">
        <v>27254</v>
      </c>
      <c r="T4867" t="s">
        <v>27265</v>
      </c>
    </row>
    <row r="4868" spans="1:20" x14ac:dyDescent="0.3">
      <c r="A4868" t="str">
        <f>"0611862138050"</f>
        <v>0611862138050</v>
      </c>
      <c r="B4868" t="str">
        <f>"CE0680"</f>
        <v>CE0680</v>
      </c>
      <c r="C4868" t="s">
        <v>36640</v>
      </c>
      <c r="D4868" t="s">
        <v>27923</v>
      </c>
      <c r="E4868" t="str">
        <f t="shared" si="76"/>
        <v>001390</v>
      </c>
      <c r="F4868" t="s">
        <v>27246</v>
      </c>
      <c r="G4868" t="s">
        <v>27247</v>
      </c>
      <c r="H4868" t="s">
        <v>27248</v>
      </c>
      <c r="I4868" t="s">
        <v>36641</v>
      </c>
      <c r="J4868" t="s">
        <v>9707</v>
      </c>
      <c r="L4868" t="s">
        <v>27250</v>
      </c>
      <c r="M4868" t="s">
        <v>27251</v>
      </c>
      <c r="N4868" t="s">
        <v>27252</v>
      </c>
      <c r="P4868" t="s">
        <v>27925</v>
      </c>
      <c r="Q4868" s="1">
        <v>44846</v>
      </c>
      <c r="R4868" t="s">
        <v>27253</v>
      </c>
      <c r="S4868" t="s">
        <v>27254</v>
      </c>
      <c r="T4868" t="s">
        <v>27265</v>
      </c>
    </row>
    <row r="4869" spans="1:20" x14ac:dyDescent="0.3">
      <c r="A4869" t="str">
        <f>"0611862139050"</f>
        <v>0611862139050</v>
      </c>
      <c r="B4869" t="str">
        <f>"CE0681"</f>
        <v>CE0681</v>
      </c>
      <c r="C4869" t="s">
        <v>36642</v>
      </c>
      <c r="D4869" t="s">
        <v>27923</v>
      </c>
      <c r="E4869" t="str">
        <f t="shared" si="76"/>
        <v>001390</v>
      </c>
      <c r="F4869" t="s">
        <v>27246</v>
      </c>
      <c r="G4869" t="s">
        <v>27247</v>
      </c>
      <c r="H4869" t="s">
        <v>27248</v>
      </c>
      <c r="I4869" t="s">
        <v>36643</v>
      </c>
      <c r="J4869" t="s">
        <v>9709</v>
      </c>
      <c r="L4869" t="s">
        <v>27250</v>
      </c>
      <c r="M4869" t="s">
        <v>27251</v>
      </c>
      <c r="N4869" t="s">
        <v>27252</v>
      </c>
      <c r="P4869" t="s">
        <v>27925</v>
      </c>
      <c r="Q4869" s="1">
        <v>44846</v>
      </c>
      <c r="R4869" t="s">
        <v>27253</v>
      </c>
      <c r="S4869" t="s">
        <v>27254</v>
      </c>
      <c r="T4869" t="s">
        <v>27265</v>
      </c>
    </row>
    <row r="4870" spans="1:20" x14ac:dyDescent="0.3">
      <c r="A4870" t="str">
        <f>"0611837169100"</f>
        <v>0611837169100</v>
      </c>
      <c r="B4870" t="str">
        <f>"LK5237"</f>
        <v>LK5237</v>
      </c>
      <c r="C4870" t="s">
        <v>36644</v>
      </c>
      <c r="D4870" t="s">
        <v>27245</v>
      </c>
      <c r="E4870" t="str">
        <f t="shared" si="76"/>
        <v>001390</v>
      </c>
      <c r="F4870" t="s">
        <v>27246</v>
      </c>
      <c r="G4870" t="s">
        <v>27247</v>
      </c>
      <c r="H4870" t="s">
        <v>27248</v>
      </c>
      <c r="I4870" t="s">
        <v>36645</v>
      </c>
      <c r="J4870" t="s">
        <v>9711</v>
      </c>
      <c r="L4870" t="s">
        <v>27250</v>
      </c>
      <c r="M4870" t="s">
        <v>27251</v>
      </c>
      <c r="N4870" t="s">
        <v>27252</v>
      </c>
      <c r="Q4870" s="1">
        <v>44538</v>
      </c>
      <c r="R4870" t="s">
        <v>27253</v>
      </c>
      <c r="S4870" t="s">
        <v>27254</v>
      </c>
      <c r="T4870" t="s">
        <v>27255</v>
      </c>
    </row>
    <row r="4871" spans="1:20" x14ac:dyDescent="0.3">
      <c r="A4871" t="str">
        <f>"0611837170100"</f>
        <v>0611837170100</v>
      </c>
      <c r="B4871" t="str">
        <f>"LK6747"</f>
        <v>LK6747</v>
      </c>
      <c r="C4871" t="s">
        <v>36646</v>
      </c>
      <c r="D4871" t="s">
        <v>27245</v>
      </c>
      <c r="E4871" t="str">
        <f t="shared" si="76"/>
        <v>001390</v>
      </c>
      <c r="F4871" t="s">
        <v>27246</v>
      </c>
      <c r="G4871" t="s">
        <v>27247</v>
      </c>
      <c r="H4871" t="s">
        <v>27248</v>
      </c>
      <c r="I4871" t="s">
        <v>36647</v>
      </c>
      <c r="J4871" t="s">
        <v>9713</v>
      </c>
      <c r="L4871" t="s">
        <v>27250</v>
      </c>
      <c r="M4871" t="s">
        <v>27251</v>
      </c>
      <c r="N4871" t="s">
        <v>27252</v>
      </c>
      <c r="Q4871" s="1">
        <v>44538</v>
      </c>
      <c r="R4871" t="s">
        <v>27253</v>
      </c>
      <c r="S4871" t="s">
        <v>27254</v>
      </c>
      <c r="T4871" t="s">
        <v>27255</v>
      </c>
    </row>
    <row r="4872" spans="1:20" x14ac:dyDescent="0.3">
      <c r="A4872" t="str">
        <f>"0611856958100"</f>
        <v>0611856958100</v>
      </c>
      <c r="B4872" t="str">
        <f>"LC3411"</f>
        <v>LC3411</v>
      </c>
      <c r="C4872" t="s">
        <v>36648</v>
      </c>
      <c r="D4872" t="s">
        <v>27245</v>
      </c>
      <c r="E4872" t="str">
        <f t="shared" si="76"/>
        <v>001390</v>
      </c>
      <c r="F4872" t="s">
        <v>27246</v>
      </c>
      <c r="G4872" t="s">
        <v>27247</v>
      </c>
      <c r="H4872" t="s">
        <v>27248</v>
      </c>
      <c r="I4872" t="s">
        <v>36649</v>
      </c>
      <c r="J4872" t="s">
        <v>9715</v>
      </c>
      <c r="L4872" t="s">
        <v>27250</v>
      </c>
      <c r="M4872" t="s">
        <v>27251</v>
      </c>
      <c r="N4872" t="s">
        <v>27252</v>
      </c>
      <c r="Q4872" s="1">
        <v>44812</v>
      </c>
      <c r="R4872" t="s">
        <v>27253</v>
      </c>
      <c r="S4872" t="s">
        <v>27254</v>
      </c>
      <c r="T4872" t="s">
        <v>27255</v>
      </c>
    </row>
    <row r="4873" spans="1:20" x14ac:dyDescent="0.3">
      <c r="A4873" t="str">
        <f>"0611837171100"</f>
        <v>0611837171100</v>
      </c>
      <c r="B4873" t="str">
        <f>"LC6662"</f>
        <v>LC6662</v>
      </c>
      <c r="C4873" t="s">
        <v>36650</v>
      </c>
      <c r="D4873" t="s">
        <v>27245</v>
      </c>
      <c r="E4873" t="str">
        <f t="shared" si="76"/>
        <v>001390</v>
      </c>
      <c r="F4873" t="s">
        <v>27246</v>
      </c>
      <c r="G4873" t="s">
        <v>27247</v>
      </c>
      <c r="H4873" t="s">
        <v>27248</v>
      </c>
      <c r="I4873" t="s">
        <v>36651</v>
      </c>
      <c r="J4873" t="s">
        <v>9717</v>
      </c>
      <c r="L4873" t="s">
        <v>27250</v>
      </c>
      <c r="M4873" t="s">
        <v>27251</v>
      </c>
      <c r="N4873" t="s">
        <v>27252</v>
      </c>
      <c r="Q4873" s="1">
        <v>44538</v>
      </c>
      <c r="R4873" t="s">
        <v>27253</v>
      </c>
      <c r="S4873" t="s">
        <v>27254</v>
      </c>
      <c r="T4873" t="s">
        <v>27255</v>
      </c>
    </row>
    <row r="4874" spans="1:20" x14ac:dyDescent="0.3">
      <c r="A4874" t="str">
        <f>"0611884227100"</f>
        <v>0611884227100</v>
      </c>
      <c r="B4874" t="str">
        <f>"LK7163"</f>
        <v>LK7163</v>
      </c>
      <c r="C4874" t="s">
        <v>36652</v>
      </c>
      <c r="D4874" t="s">
        <v>27245</v>
      </c>
      <c r="E4874" t="str">
        <f t="shared" si="76"/>
        <v>001390</v>
      </c>
      <c r="F4874" t="s">
        <v>27246</v>
      </c>
      <c r="G4874" t="s">
        <v>27247</v>
      </c>
      <c r="H4874" t="s">
        <v>27248</v>
      </c>
      <c r="I4874" t="s">
        <v>36653</v>
      </c>
      <c r="J4874" t="s">
        <v>9719</v>
      </c>
      <c r="L4874" t="s">
        <v>27430</v>
      </c>
      <c r="M4874" t="s">
        <v>27251</v>
      </c>
      <c r="N4874" t="s">
        <v>27252</v>
      </c>
      <c r="Q4874" s="1">
        <v>45250</v>
      </c>
      <c r="R4874" t="s">
        <v>27253</v>
      </c>
      <c r="S4874" t="s">
        <v>27254</v>
      </c>
      <c r="T4874" t="s">
        <v>27255</v>
      </c>
    </row>
    <row r="4875" spans="1:20" x14ac:dyDescent="0.3">
      <c r="A4875" t="str">
        <f>"0611862140050"</f>
        <v>0611862140050</v>
      </c>
      <c r="B4875" t="str">
        <f>"CR4979"</f>
        <v>CR4979</v>
      </c>
      <c r="C4875" t="s">
        <v>36654</v>
      </c>
      <c r="D4875" t="s">
        <v>27271</v>
      </c>
      <c r="E4875" t="str">
        <f t="shared" si="76"/>
        <v>001390</v>
      </c>
      <c r="F4875" t="s">
        <v>27246</v>
      </c>
      <c r="G4875" t="s">
        <v>27247</v>
      </c>
      <c r="H4875" t="s">
        <v>27248</v>
      </c>
      <c r="I4875" t="s">
        <v>36655</v>
      </c>
      <c r="J4875" t="s">
        <v>9721</v>
      </c>
      <c r="L4875" t="s">
        <v>27250</v>
      </c>
      <c r="M4875" t="s">
        <v>27251</v>
      </c>
      <c r="N4875" t="s">
        <v>27252</v>
      </c>
      <c r="P4875" t="s">
        <v>27341</v>
      </c>
      <c r="Q4875" s="1">
        <v>44846</v>
      </c>
      <c r="R4875" t="s">
        <v>27253</v>
      </c>
      <c r="S4875" t="s">
        <v>27254</v>
      </c>
      <c r="T4875" t="s">
        <v>27265</v>
      </c>
    </row>
    <row r="4876" spans="1:20" x14ac:dyDescent="0.3">
      <c r="A4876" t="str">
        <f>"0611862141050"</f>
        <v>0611862141050</v>
      </c>
      <c r="B4876" t="str">
        <f>"CR3079"</f>
        <v>CR3079</v>
      </c>
      <c r="C4876" t="s">
        <v>36656</v>
      </c>
      <c r="D4876" t="s">
        <v>27271</v>
      </c>
      <c r="E4876" t="str">
        <f t="shared" si="76"/>
        <v>001390</v>
      </c>
      <c r="F4876" t="s">
        <v>27246</v>
      </c>
      <c r="G4876" t="s">
        <v>27247</v>
      </c>
      <c r="H4876" t="s">
        <v>27248</v>
      </c>
      <c r="I4876" t="s">
        <v>36657</v>
      </c>
      <c r="J4876" t="s">
        <v>9723</v>
      </c>
      <c r="L4876" t="s">
        <v>27250</v>
      </c>
      <c r="M4876" t="s">
        <v>27251</v>
      </c>
      <c r="N4876" t="s">
        <v>27252</v>
      </c>
      <c r="P4876" t="s">
        <v>27341</v>
      </c>
      <c r="Q4876" s="1">
        <v>44846</v>
      </c>
      <c r="R4876" t="s">
        <v>27253</v>
      </c>
      <c r="S4876" t="s">
        <v>27254</v>
      </c>
      <c r="T4876" t="s">
        <v>27265</v>
      </c>
    </row>
    <row r="4877" spans="1:20" x14ac:dyDescent="0.3">
      <c r="A4877" t="str">
        <f>"0611862142050"</f>
        <v>0611862142050</v>
      </c>
      <c r="B4877" t="str">
        <f>"CR3901"</f>
        <v>CR3901</v>
      </c>
      <c r="C4877" t="s">
        <v>36658</v>
      </c>
      <c r="D4877" t="s">
        <v>27271</v>
      </c>
      <c r="E4877" t="str">
        <f t="shared" si="76"/>
        <v>001390</v>
      </c>
      <c r="F4877" t="s">
        <v>27246</v>
      </c>
      <c r="G4877" t="s">
        <v>27247</v>
      </c>
      <c r="H4877" t="s">
        <v>27248</v>
      </c>
      <c r="I4877" t="s">
        <v>36659</v>
      </c>
      <c r="J4877" t="s">
        <v>9725</v>
      </c>
      <c r="L4877" t="s">
        <v>27250</v>
      </c>
      <c r="M4877" t="s">
        <v>27251</v>
      </c>
      <c r="N4877" t="s">
        <v>27252</v>
      </c>
      <c r="P4877" t="s">
        <v>27341</v>
      </c>
      <c r="Q4877" s="1">
        <v>44846</v>
      </c>
      <c r="R4877" t="s">
        <v>27253</v>
      </c>
      <c r="S4877" t="s">
        <v>27254</v>
      </c>
      <c r="T4877" t="s">
        <v>27265</v>
      </c>
    </row>
    <row r="4878" spans="1:20" x14ac:dyDescent="0.3">
      <c r="A4878" t="str">
        <f>"0611862143050"</f>
        <v>0611862143050</v>
      </c>
      <c r="B4878" t="str">
        <f>"CR2222"</f>
        <v>CR2222</v>
      </c>
      <c r="C4878" t="s">
        <v>36660</v>
      </c>
      <c r="D4878" t="s">
        <v>27271</v>
      </c>
      <c r="E4878" t="str">
        <f t="shared" si="76"/>
        <v>001390</v>
      </c>
      <c r="F4878" t="s">
        <v>27246</v>
      </c>
      <c r="G4878" t="s">
        <v>27247</v>
      </c>
      <c r="H4878" t="s">
        <v>27248</v>
      </c>
      <c r="I4878" t="s">
        <v>36661</v>
      </c>
      <c r="J4878" t="s">
        <v>9727</v>
      </c>
      <c r="L4878" t="s">
        <v>27250</v>
      </c>
      <c r="M4878" t="s">
        <v>27251</v>
      </c>
      <c r="N4878" t="s">
        <v>27252</v>
      </c>
      <c r="P4878" t="s">
        <v>27341</v>
      </c>
      <c r="Q4878" s="1">
        <v>44846</v>
      </c>
      <c r="R4878" t="s">
        <v>27253</v>
      </c>
      <c r="S4878" t="s">
        <v>27254</v>
      </c>
      <c r="T4878" t="s">
        <v>27265</v>
      </c>
    </row>
    <row r="4879" spans="1:20" x14ac:dyDescent="0.3">
      <c r="A4879" t="str">
        <f>"0611862144050"</f>
        <v>0611862144050</v>
      </c>
      <c r="B4879" t="str">
        <f>"CR2223"</f>
        <v>CR2223</v>
      </c>
      <c r="C4879" t="s">
        <v>36662</v>
      </c>
      <c r="D4879" t="s">
        <v>27271</v>
      </c>
      <c r="E4879" t="str">
        <f t="shared" si="76"/>
        <v>001390</v>
      </c>
      <c r="F4879" t="s">
        <v>27246</v>
      </c>
      <c r="G4879" t="s">
        <v>27247</v>
      </c>
      <c r="H4879" t="s">
        <v>27248</v>
      </c>
      <c r="I4879" t="s">
        <v>36663</v>
      </c>
      <c r="J4879" t="s">
        <v>9729</v>
      </c>
      <c r="L4879" t="s">
        <v>27250</v>
      </c>
      <c r="M4879" t="s">
        <v>27251</v>
      </c>
      <c r="N4879" t="s">
        <v>27252</v>
      </c>
      <c r="P4879" t="s">
        <v>27341</v>
      </c>
      <c r="Q4879" s="1">
        <v>44846</v>
      </c>
      <c r="R4879" t="s">
        <v>27253</v>
      </c>
      <c r="S4879" t="s">
        <v>27254</v>
      </c>
      <c r="T4879" t="s">
        <v>27265</v>
      </c>
    </row>
    <row r="4880" spans="1:20" x14ac:dyDescent="0.3">
      <c r="A4880" t="str">
        <f>"0611862145050"</f>
        <v>0611862145050</v>
      </c>
      <c r="B4880" t="str">
        <f>"CR2224"</f>
        <v>CR2224</v>
      </c>
      <c r="C4880" t="s">
        <v>36664</v>
      </c>
      <c r="D4880" t="s">
        <v>27271</v>
      </c>
      <c r="E4880" t="str">
        <f t="shared" si="76"/>
        <v>001390</v>
      </c>
      <c r="F4880" t="s">
        <v>27246</v>
      </c>
      <c r="G4880" t="s">
        <v>27247</v>
      </c>
      <c r="H4880" t="s">
        <v>27248</v>
      </c>
      <c r="I4880" t="s">
        <v>36665</v>
      </c>
      <c r="J4880" t="s">
        <v>9731</v>
      </c>
      <c r="L4880" t="s">
        <v>27250</v>
      </c>
      <c r="M4880" t="s">
        <v>27251</v>
      </c>
      <c r="N4880" t="s">
        <v>27252</v>
      </c>
      <c r="P4880" t="s">
        <v>27341</v>
      </c>
      <c r="Q4880" s="1">
        <v>44846</v>
      </c>
      <c r="R4880" t="s">
        <v>27253</v>
      </c>
      <c r="S4880" t="s">
        <v>27254</v>
      </c>
      <c r="T4880" t="s">
        <v>27265</v>
      </c>
    </row>
    <row r="4881" spans="1:20" x14ac:dyDescent="0.3">
      <c r="A4881" t="str">
        <f>"0611884228050"</f>
        <v>0611884228050</v>
      </c>
      <c r="B4881" t="str">
        <f>"CR5381"</f>
        <v>CR5381</v>
      </c>
      <c r="C4881" t="s">
        <v>36666</v>
      </c>
      <c r="D4881" t="s">
        <v>27271</v>
      </c>
      <c r="E4881" t="str">
        <f t="shared" si="76"/>
        <v>001390</v>
      </c>
      <c r="F4881" t="s">
        <v>27246</v>
      </c>
      <c r="G4881" t="s">
        <v>27247</v>
      </c>
      <c r="H4881" t="s">
        <v>27248</v>
      </c>
      <c r="I4881" t="s">
        <v>36667</v>
      </c>
      <c r="J4881" t="s">
        <v>9733</v>
      </c>
      <c r="L4881" t="s">
        <v>27430</v>
      </c>
      <c r="M4881" t="s">
        <v>27251</v>
      </c>
      <c r="N4881" t="s">
        <v>27252</v>
      </c>
      <c r="P4881" t="s">
        <v>27341</v>
      </c>
      <c r="Q4881" s="1">
        <v>45250</v>
      </c>
      <c r="R4881" t="s">
        <v>27253</v>
      </c>
      <c r="S4881" t="s">
        <v>27254</v>
      </c>
      <c r="T4881" t="s">
        <v>27265</v>
      </c>
    </row>
    <row r="4882" spans="1:20" x14ac:dyDescent="0.3">
      <c r="A4882" t="str">
        <f>"0611862146050"</f>
        <v>0611862146050</v>
      </c>
      <c r="B4882" t="str">
        <f>"CR4980"</f>
        <v>CR4980</v>
      </c>
      <c r="C4882" t="s">
        <v>36668</v>
      </c>
      <c r="D4882" t="s">
        <v>27271</v>
      </c>
      <c r="E4882" t="str">
        <f t="shared" si="76"/>
        <v>001390</v>
      </c>
      <c r="F4882" t="s">
        <v>27246</v>
      </c>
      <c r="G4882" t="s">
        <v>27247</v>
      </c>
      <c r="H4882" t="s">
        <v>27248</v>
      </c>
      <c r="I4882" t="s">
        <v>36669</v>
      </c>
      <c r="J4882" t="s">
        <v>9735</v>
      </c>
      <c r="L4882" t="s">
        <v>27250</v>
      </c>
      <c r="M4882" t="s">
        <v>27251</v>
      </c>
      <c r="N4882" t="s">
        <v>27252</v>
      </c>
      <c r="P4882" t="s">
        <v>27341</v>
      </c>
      <c r="Q4882" s="1">
        <v>44846</v>
      </c>
      <c r="R4882" t="s">
        <v>27253</v>
      </c>
      <c r="S4882" t="s">
        <v>27254</v>
      </c>
      <c r="T4882" t="s">
        <v>27265</v>
      </c>
    </row>
    <row r="4883" spans="1:20" x14ac:dyDescent="0.3">
      <c r="A4883" t="str">
        <f>"0611862147050"</f>
        <v>0611862147050</v>
      </c>
      <c r="B4883" t="str">
        <f>"CR4842"</f>
        <v>CR4842</v>
      </c>
      <c r="C4883" t="s">
        <v>36670</v>
      </c>
      <c r="D4883" t="s">
        <v>27271</v>
      </c>
      <c r="E4883" t="str">
        <f t="shared" si="76"/>
        <v>001390</v>
      </c>
      <c r="F4883" t="s">
        <v>27246</v>
      </c>
      <c r="G4883" t="s">
        <v>27247</v>
      </c>
      <c r="H4883" t="s">
        <v>27248</v>
      </c>
      <c r="I4883" t="s">
        <v>36671</v>
      </c>
      <c r="J4883" t="s">
        <v>9737</v>
      </c>
      <c r="L4883" t="s">
        <v>27250</v>
      </c>
      <c r="M4883" t="s">
        <v>27251</v>
      </c>
      <c r="N4883" t="s">
        <v>27252</v>
      </c>
      <c r="P4883" t="s">
        <v>27341</v>
      </c>
      <c r="Q4883" s="1">
        <v>44846</v>
      </c>
      <c r="R4883" t="s">
        <v>27253</v>
      </c>
      <c r="S4883" t="s">
        <v>27254</v>
      </c>
      <c r="T4883" t="s">
        <v>27265</v>
      </c>
    </row>
    <row r="4884" spans="1:20" x14ac:dyDescent="0.3">
      <c r="A4884" t="str">
        <f>"0611862148050"</f>
        <v>0611862148050</v>
      </c>
      <c r="B4884" t="str">
        <f>"CR5186"</f>
        <v>CR5186</v>
      </c>
      <c r="C4884" t="s">
        <v>36672</v>
      </c>
      <c r="D4884" t="s">
        <v>27271</v>
      </c>
      <c r="E4884" t="str">
        <f t="shared" si="76"/>
        <v>001390</v>
      </c>
      <c r="F4884" t="s">
        <v>27246</v>
      </c>
      <c r="G4884" t="s">
        <v>27247</v>
      </c>
      <c r="H4884" t="s">
        <v>27248</v>
      </c>
      <c r="I4884" t="s">
        <v>36673</v>
      </c>
      <c r="J4884" t="s">
        <v>9739</v>
      </c>
      <c r="L4884" t="s">
        <v>27250</v>
      </c>
      <c r="M4884" t="s">
        <v>27251</v>
      </c>
      <c r="N4884" t="s">
        <v>27252</v>
      </c>
      <c r="P4884" t="s">
        <v>27341</v>
      </c>
      <c r="Q4884" s="1">
        <v>44846</v>
      </c>
      <c r="R4884" t="s">
        <v>27253</v>
      </c>
      <c r="S4884" t="s">
        <v>27254</v>
      </c>
      <c r="T4884" t="s">
        <v>27265</v>
      </c>
    </row>
    <row r="4885" spans="1:20" x14ac:dyDescent="0.3">
      <c r="A4885" t="str">
        <f>"0611862149050"</f>
        <v>0611862149050</v>
      </c>
      <c r="B4885" t="str">
        <f>"CR4527"</f>
        <v>CR4527</v>
      </c>
      <c r="C4885" t="s">
        <v>36674</v>
      </c>
      <c r="D4885" t="s">
        <v>27271</v>
      </c>
      <c r="E4885" t="str">
        <f t="shared" si="76"/>
        <v>001390</v>
      </c>
      <c r="F4885" t="s">
        <v>27246</v>
      </c>
      <c r="G4885" t="s">
        <v>27247</v>
      </c>
      <c r="H4885" t="s">
        <v>27248</v>
      </c>
      <c r="I4885" t="s">
        <v>36675</v>
      </c>
      <c r="J4885" t="s">
        <v>9741</v>
      </c>
      <c r="L4885" t="s">
        <v>27250</v>
      </c>
      <c r="M4885" t="s">
        <v>27251</v>
      </c>
      <c r="N4885" t="s">
        <v>27252</v>
      </c>
      <c r="P4885" t="s">
        <v>27341</v>
      </c>
      <c r="Q4885" s="1">
        <v>44846</v>
      </c>
      <c r="R4885" t="s">
        <v>27253</v>
      </c>
      <c r="S4885" t="s">
        <v>27254</v>
      </c>
      <c r="T4885" t="s">
        <v>27265</v>
      </c>
    </row>
    <row r="4886" spans="1:20" x14ac:dyDescent="0.3">
      <c r="A4886" t="str">
        <f>"0611884229050"</f>
        <v>0611884229050</v>
      </c>
      <c r="B4886" t="str">
        <f>"CR5420"</f>
        <v>CR5420</v>
      </c>
      <c r="C4886" t="s">
        <v>36676</v>
      </c>
      <c r="D4886" t="s">
        <v>27271</v>
      </c>
      <c r="E4886" t="str">
        <f t="shared" si="76"/>
        <v>001390</v>
      </c>
      <c r="F4886" t="s">
        <v>27246</v>
      </c>
      <c r="G4886" t="s">
        <v>27247</v>
      </c>
      <c r="H4886" t="s">
        <v>27248</v>
      </c>
      <c r="I4886" t="s">
        <v>36677</v>
      </c>
      <c r="J4886" t="s">
        <v>9743</v>
      </c>
      <c r="L4886" t="s">
        <v>27430</v>
      </c>
      <c r="M4886" t="s">
        <v>27251</v>
      </c>
      <c r="N4886" t="s">
        <v>27252</v>
      </c>
      <c r="P4886" t="s">
        <v>27341</v>
      </c>
      <c r="Q4886" s="1">
        <v>45250</v>
      </c>
      <c r="R4886" t="s">
        <v>27253</v>
      </c>
      <c r="S4886" t="s">
        <v>27254</v>
      </c>
      <c r="T4886" t="s">
        <v>27265</v>
      </c>
    </row>
    <row r="4887" spans="1:20" x14ac:dyDescent="0.3">
      <c r="A4887" t="str">
        <f>"0611834587025"</f>
        <v>0611834587025</v>
      </c>
      <c r="B4887" t="str">
        <f>"MC0302"</f>
        <v>MC0302</v>
      </c>
      <c r="C4887" t="s">
        <v>36678</v>
      </c>
      <c r="D4887" t="s">
        <v>27267</v>
      </c>
      <c r="E4887" t="str">
        <f t="shared" si="76"/>
        <v>001390</v>
      </c>
      <c r="F4887" t="s">
        <v>27246</v>
      </c>
      <c r="G4887" t="s">
        <v>27247</v>
      </c>
      <c r="H4887" t="s">
        <v>27248</v>
      </c>
      <c r="I4887" t="s">
        <v>36679</v>
      </c>
      <c r="J4887" t="s">
        <v>9745</v>
      </c>
      <c r="L4887" t="s">
        <v>27250</v>
      </c>
      <c r="M4887" t="s">
        <v>27251</v>
      </c>
      <c r="N4887" t="s">
        <v>27252</v>
      </c>
      <c r="Q4887" s="1">
        <v>44538</v>
      </c>
      <c r="R4887" t="s">
        <v>27253</v>
      </c>
      <c r="S4887" t="s">
        <v>27254</v>
      </c>
      <c r="T4887" t="s">
        <v>27269</v>
      </c>
    </row>
    <row r="4888" spans="1:20" x14ac:dyDescent="0.3">
      <c r="A4888" t="str">
        <f>"0611862150050"</f>
        <v>0611862150050</v>
      </c>
      <c r="B4888" t="str">
        <f>"CE0638"</f>
        <v>CE0638</v>
      </c>
      <c r="C4888" t="s">
        <v>36680</v>
      </c>
      <c r="D4888" t="s">
        <v>27923</v>
      </c>
      <c r="E4888" t="str">
        <f t="shared" si="76"/>
        <v>001390</v>
      </c>
      <c r="F4888" t="s">
        <v>27246</v>
      </c>
      <c r="G4888" t="s">
        <v>27247</v>
      </c>
      <c r="H4888" t="s">
        <v>27248</v>
      </c>
      <c r="I4888" t="s">
        <v>36681</v>
      </c>
      <c r="J4888" t="s">
        <v>9747</v>
      </c>
      <c r="L4888" t="s">
        <v>27250</v>
      </c>
      <c r="M4888" t="s">
        <v>27251</v>
      </c>
      <c r="N4888" t="s">
        <v>27252</v>
      </c>
      <c r="P4888" t="s">
        <v>27925</v>
      </c>
      <c r="Q4888" s="1">
        <v>44846</v>
      </c>
      <c r="R4888" t="s">
        <v>27253</v>
      </c>
      <c r="S4888" t="s">
        <v>27254</v>
      </c>
      <c r="T4888" t="s">
        <v>27265</v>
      </c>
    </row>
    <row r="4889" spans="1:20" x14ac:dyDescent="0.3">
      <c r="A4889" t="str">
        <f>"0611862151050"</f>
        <v>0611862151050</v>
      </c>
      <c r="B4889" t="str">
        <f>"CE0639"</f>
        <v>CE0639</v>
      </c>
      <c r="C4889" t="s">
        <v>36682</v>
      </c>
      <c r="D4889" t="s">
        <v>27923</v>
      </c>
      <c r="E4889" t="str">
        <f t="shared" si="76"/>
        <v>001390</v>
      </c>
      <c r="F4889" t="s">
        <v>27246</v>
      </c>
      <c r="G4889" t="s">
        <v>27247</v>
      </c>
      <c r="H4889" t="s">
        <v>27248</v>
      </c>
      <c r="I4889" t="s">
        <v>36683</v>
      </c>
      <c r="J4889" t="s">
        <v>9749</v>
      </c>
      <c r="L4889" t="s">
        <v>27250</v>
      </c>
      <c r="M4889" t="s">
        <v>27251</v>
      </c>
      <c r="N4889" t="s">
        <v>27252</v>
      </c>
      <c r="P4889" t="s">
        <v>27925</v>
      </c>
      <c r="Q4889" s="1">
        <v>44846</v>
      </c>
      <c r="R4889" t="s">
        <v>27253</v>
      </c>
      <c r="S4889" t="s">
        <v>27254</v>
      </c>
      <c r="T4889" t="s">
        <v>27265</v>
      </c>
    </row>
    <row r="4890" spans="1:20" x14ac:dyDescent="0.3">
      <c r="A4890" t="str">
        <f>"0611862152050"</f>
        <v>0611862152050</v>
      </c>
      <c r="B4890" t="str">
        <f>"CE0640"</f>
        <v>CE0640</v>
      </c>
      <c r="C4890" t="s">
        <v>36684</v>
      </c>
      <c r="D4890" t="s">
        <v>27923</v>
      </c>
      <c r="E4890" t="str">
        <f t="shared" si="76"/>
        <v>001390</v>
      </c>
      <c r="F4890" t="s">
        <v>27246</v>
      </c>
      <c r="G4890" t="s">
        <v>27247</v>
      </c>
      <c r="H4890" t="s">
        <v>27248</v>
      </c>
      <c r="I4890" t="s">
        <v>36685</v>
      </c>
      <c r="J4890" t="s">
        <v>9751</v>
      </c>
      <c r="L4890" t="s">
        <v>27250</v>
      </c>
      <c r="M4890" t="s">
        <v>27251</v>
      </c>
      <c r="N4890" t="s">
        <v>27252</v>
      </c>
      <c r="P4890" t="s">
        <v>27925</v>
      </c>
      <c r="Q4890" s="1">
        <v>44846</v>
      </c>
      <c r="R4890" t="s">
        <v>27253</v>
      </c>
      <c r="S4890" t="s">
        <v>27254</v>
      </c>
      <c r="T4890" t="s">
        <v>27265</v>
      </c>
    </row>
    <row r="4891" spans="1:20" x14ac:dyDescent="0.3">
      <c r="A4891" t="str">
        <f>"0611862153050"</f>
        <v>0611862153050</v>
      </c>
      <c r="B4891" t="str">
        <f>"CE0641"</f>
        <v>CE0641</v>
      </c>
      <c r="C4891" t="s">
        <v>36686</v>
      </c>
      <c r="D4891" t="s">
        <v>27923</v>
      </c>
      <c r="E4891" t="str">
        <f t="shared" si="76"/>
        <v>001390</v>
      </c>
      <c r="F4891" t="s">
        <v>27246</v>
      </c>
      <c r="G4891" t="s">
        <v>27247</v>
      </c>
      <c r="H4891" t="s">
        <v>27248</v>
      </c>
      <c r="I4891" t="s">
        <v>36687</v>
      </c>
      <c r="J4891" t="s">
        <v>9753</v>
      </c>
      <c r="L4891" t="s">
        <v>27250</v>
      </c>
      <c r="M4891" t="s">
        <v>27251</v>
      </c>
      <c r="N4891" t="s">
        <v>27252</v>
      </c>
      <c r="P4891" t="s">
        <v>27925</v>
      </c>
      <c r="Q4891" s="1">
        <v>44846</v>
      </c>
      <c r="R4891" t="s">
        <v>27253</v>
      </c>
      <c r="S4891" t="s">
        <v>27254</v>
      </c>
      <c r="T4891" t="s">
        <v>27265</v>
      </c>
    </row>
    <row r="4892" spans="1:20" x14ac:dyDescent="0.3">
      <c r="A4892" t="str">
        <f>"0611862154050"</f>
        <v>0611862154050</v>
      </c>
      <c r="B4892" t="str">
        <f>"CE0642"</f>
        <v>CE0642</v>
      </c>
      <c r="C4892" t="s">
        <v>36688</v>
      </c>
      <c r="D4892" t="s">
        <v>27923</v>
      </c>
      <c r="E4892" t="str">
        <f t="shared" si="76"/>
        <v>001390</v>
      </c>
      <c r="F4892" t="s">
        <v>27246</v>
      </c>
      <c r="G4892" t="s">
        <v>27247</v>
      </c>
      <c r="H4892" t="s">
        <v>27248</v>
      </c>
      <c r="I4892" t="s">
        <v>36689</v>
      </c>
      <c r="J4892" t="s">
        <v>9755</v>
      </c>
      <c r="L4892" t="s">
        <v>27250</v>
      </c>
      <c r="M4892" t="s">
        <v>27251</v>
      </c>
      <c r="N4892" t="s">
        <v>27252</v>
      </c>
      <c r="P4892" t="s">
        <v>27925</v>
      </c>
      <c r="Q4892" s="1">
        <v>44846</v>
      </c>
      <c r="R4892" t="s">
        <v>27253</v>
      </c>
      <c r="S4892" t="s">
        <v>27254</v>
      </c>
      <c r="T4892" t="s">
        <v>27265</v>
      </c>
    </row>
    <row r="4893" spans="1:20" x14ac:dyDescent="0.3">
      <c r="A4893" t="str">
        <f>"0611837173100"</f>
        <v>0611837173100</v>
      </c>
      <c r="B4893" t="str">
        <f>"LS0022"</f>
        <v>LS0022</v>
      </c>
      <c r="C4893" t="s">
        <v>36690</v>
      </c>
      <c r="D4893" t="s">
        <v>27245</v>
      </c>
      <c r="E4893" t="str">
        <f t="shared" si="76"/>
        <v>001390</v>
      </c>
      <c r="F4893" t="s">
        <v>27246</v>
      </c>
      <c r="G4893" t="s">
        <v>27247</v>
      </c>
      <c r="H4893" t="s">
        <v>27248</v>
      </c>
      <c r="I4893" t="s">
        <v>36691</v>
      </c>
      <c r="J4893" t="s">
        <v>9757</v>
      </c>
      <c r="L4893" t="s">
        <v>27250</v>
      </c>
      <c r="M4893" t="s">
        <v>27251</v>
      </c>
      <c r="N4893" t="s">
        <v>27252</v>
      </c>
      <c r="Q4893" s="1">
        <v>44538</v>
      </c>
      <c r="R4893" t="s">
        <v>27253</v>
      </c>
      <c r="S4893" t="s">
        <v>27254</v>
      </c>
      <c r="T4893" t="s">
        <v>27255</v>
      </c>
    </row>
    <row r="4894" spans="1:20" x14ac:dyDescent="0.3">
      <c r="A4894" t="str">
        <f>"0611837174100"</f>
        <v>0611837174100</v>
      </c>
      <c r="B4894" t="str">
        <f>"LS0023"</f>
        <v>LS0023</v>
      </c>
      <c r="C4894" t="s">
        <v>36692</v>
      </c>
      <c r="D4894" t="s">
        <v>27245</v>
      </c>
      <c r="E4894" t="str">
        <f t="shared" si="76"/>
        <v>001390</v>
      </c>
      <c r="F4894" t="s">
        <v>27246</v>
      </c>
      <c r="G4894" t="s">
        <v>27247</v>
      </c>
      <c r="H4894" t="s">
        <v>27248</v>
      </c>
      <c r="I4894" t="s">
        <v>36693</v>
      </c>
      <c r="J4894" t="s">
        <v>9759</v>
      </c>
      <c r="L4894" t="s">
        <v>27250</v>
      </c>
      <c r="M4894" t="s">
        <v>27251</v>
      </c>
      <c r="N4894" t="s">
        <v>27252</v>
      </c>
      <c r="Q4894" s="1">
        <v>44538</v>
      </c>
      <c r="R4894" t="s">
        <v>27253</v>
      </c>
      <c r="S4894" t="s">
        <v>27254</v>
      </c>
      <c r="T4894" t="s">
        <v>27255</v>
      </c>
    </row>
    <row r="4895" spans="1:20" x14ac:dyDescent="0.3">
      <c r="A4895" t="str">
        <f>"0611862156050"</f>
        <v>0611862156050</v>
      </c>
      <c r="B4895" t="str">
        <f>"CR2227"</f>
        <v>CR2227</v>
      </c>
      <c r="C4895" t="s">
        <v>36694</v>
      </c>
      <c r="D4895" t="s">
        <v>27271</v>
      </c>
      <c r="E4895" t="str">
        <f t="shared" si="76"/>
        <v>001390</v>
      </c>
      <c r="F4895" t="s">
        <v>27246</v>
      </c>
      <c r="G4895" t="s">
        <v>27247</v>
      </c>
      <c r="H4895" t="s">
        <v>27248</v>
      </c>
      <c r="I4895" t="s">
        <v>36695</v>
      </c>
      <c r="J4895" t="s">
        <v>9761</v>
      </c>
      <c r="L4895" t="s">
        <v>27250</v>
      </c>
      <c r="M4895" t="s">
        <v>27251</v>
      </c>
      <c r="N4895" t="s">
        <v>27252</v>
      </c>
      <c r="P4895" t="s">
        <v>27341</v>
      </c>
      <c r="Q4895" s="1">
        <v>44846</v>
      </c>
      <c r="R4895" t="s">
        <v>27253</v>
      </c>
      <c r="S4895" t="s">
        <v>27254</v>
      </c>
      <c r="T4895" t="s">
        <v>27265</v>
      </c>
    </row>
    <row r="4896" spans="1:20" x14ac:dyDescent="0.3">
      <c r="A4896" t="str">
        <f>"0611862157050"</f>
        <v>0611862157050</v>
      </c>
      <c r="B4896" t="str">
        <f>"CR2228"</f>
        <v>CR2228</v>
      </c>
      <c r="C4896" t="s">
        <v>36696</v>
      </c>
      <c r="D4896" t="s">
        <v>27271</v>
      </c>
      <c r="E4896" t="str">
        <f t="shared" si="76"/>
        <v>001390</v>
      </c>
      <c r="F4896" t="s">
        <v>27246</v>
      </c>
      <c r="G4896" t="s">
        <v>27247</v>
      </c>
      <c r="H4896" t="s">
        <v>27248</v>
      </c>
      <c r="I4896" t="s">
        <v>36697</v>
      </c>
      <c r="J4896" t="s">
        <v>9763</v>
      </c>
      <c r="L4896" t="s">
        <v>27250</v>
      </c>
      <c r="M4896" t="s">
        <v>27251</v>
      </c>
      <c r="N4896" t="s">
        <v>27252</v>
      </c>
      <c r="P4896" t="s">
        <v>27341</v>
      </c>
      <c r="Q4896" s="1">
        <v>44846</v>
      </c>
      <c r="R4896" t="s">
        <v>27253</v>
      </c>
      <c r="S4896" t="s">
        <v>27254</v>
      </c>
      <c r="T4896" t="s">
        <v>27265</v>
      </c>
    </row>
    <row r="4897" spans="1:20" x14ac:dyDescent="0.3">
      <c r="A4897" t="str">
        <f>"0611862158050"</f>
        <v>0611862158050</v>
      </c>
      <c r="B4897" t="str">
        <f>"CR2229"</f>
        <v>CR2229</v>
      </c>
      <c r="C4897" t="s">
        <v>36698</v>
      </c>
      <c r="D4897" t="s">
        <v>27271</v>
      </c>
      <c r="E4897" t="str">
        <f t="shared" si="76"/>
        <v>001390</v>
      </c>
      <c r="F4897" t="s">
        <v>27246</v>
      </c>
      <c r="G4897" t="s">
        <v>27247</v>
      </c>
      <c r="H4897" t="s">
        <v>27248</v>
      </c>
      <c r="I4897" t="s">
        <v>36699</v>
      </c>
      <c r="J4897" t="s">
        <v>9765</v>
      </c>
      <c r="L4897" t="s">
        <v>27250</v>
      </c>
      <c r="M4897" t="s">
        <v>27251</v>
      </c>
      <c r="N4897" t="s">
        <v>27252</v>
      </c>
      <c r="P4897" t="s">
        <v>27341</v>
      </c>
      <c r="Q4897" s="1">
        <v>44846</v>
      </c>
      <c r="R4897" t="s">
        <v>27253</v>
      </c>
      <c r="S4897" t="s">
        <v>27254</v>
      </c>
      <c r="T4897" t="s">
        <v>27265</v>
      </c>
    </row>
    <row r="4898" spans="1:20" x14ac:dyDescent="0.3">
      <c r="A4898" t="str">
        <f>"0611862159050"</f>
        <v>0611862159050</v>
      </c>
      <c r="B4898" t="str">
        <f>"CR2231"</f>
        <v>CR2231</v>
      </c>
      <c r="C4898" t="s">
        <v>36700</v>
      </c>
      <c r="D4898" t="s">
        <v>27263</v>
      </c>
      <c r="E4898" t="str">
        <f t="shared" si="76"/>
        <v>001390</v>
      </c>
      <c r="F4898" t="s">
        <v>27246</v>
      </c>
      <c r="G4898" t="s">
        <v>27247</v>
      </c>
      <c r="H4898" t="s">
        <v>27248</v>
      </c>
      <c r="I4898" t="s">
        <v>36701</v>
      </c>
      <c r="J4898" t="s">
        <v>9767</v>
      </c>
      <c r="L4898" t="s">
        <v>27250</v>
      </c>
      <c r="M4898" t="s">
        <v>27251</v>
      </c>
      <c r="N4898" t="s">
        <v>27252</v>
      </c>
      <c r="Q4898" s="1">
        <v>44846</v>
      </c>
      <c r="R4898" t="s">
        <v>27253</v>
      </c>
      <c r="S4898" t="s">
        <v>27254</v>
      </c>
      <c r="T4898" t="s">
        <v>27265</v>
      </c>
    </row>
    <row r="4899" spans="1:20" x14ac:dyDescent="0.3">
      <c r="A4899" t="str">
        <f>"0611862155050"</f>
        <v>0611862155050</v>
      </c>
      <c r="B4899" t="str">
        <f>"CR2233"</f>
        <v>CR2233</v>
      </c>
      <c r="C4899" t="s">
        <v>36702</v>
      </c>
      <c r="D4899" t="s">
        <v>27271</v>
      </c>
      <c r="E4899" t="str">
        <f t="shared" si="76"/>
        <v>001390</v>
      </c>
      <c r="F4899" t="s">
        <v>27246</v>
      </c>
      <c r="G4899" t="s">
        <v>27247</v>
      </c>
      <c r="H4899" t="s">
        <v>27248</v>
      </c>
      <c r="I4899" t="s">
        <v>36703</v>
      </c>
      <c r="J4899" t="s">
        <v>9769</v>
      </c>
      <c r="L4899" t="s">
        <v>27250</v>
      </c>
      <c r="M4899" t="s">
        <v>27251</v>
      </c>
      <c r="N4899" t="s">
        <v>27252</v>
      </c>
      <c r="P4899" t="s">
        <v>27341</v>
      </c>
      <c r="Q4899" s="1">
        <v>44846</v>
      </c>
      <c r="R4899" t="s">
        <v>27253</v>
      </c>
      <c r="S4899" t="s">
        <v>27254</v>
      </c>
      <c r="T4899" t="s">
        <v>27265</v>
      </c>
    </row>
    <row r="4900" spans="1:20" x14ac:dyDescent="0.3">
      <c r="A4900" t="str">
        <f>"0611834588025"</f>
        <v>0611834588025</v>
      </c>
      <c r="B4900" t="str">
        <f>"MC2839"</f>
        <v>MC2839</v>
      </c>
      <c r="C4900" t="s">
        <v>36704</v>
      </c>
      <c r="D4900" t="s">
        <v>27267</v>
      </c>
      <c r="E4900" t="str">
        <f t="shared" si="76"/>
        <v>001390</v>
      </c>
      <c r="F4900" t="s">
        <v>27246</v>
      </c>
      <c r="G4900" t="s">
        <v>27247</v>
      </c>
      <c r="H4900" t="s">
        <v>27248</v>
      </c>
      <c r="I4900" t="s">
        <v>36705</v>
      </c>
      <c r="J4900" t="s">
        <v>9771</v>
      </c>
      <c r="L4900" t="s">
        <v>27250</v>
      </c>
      <c r="M4900" t="s">
        <v>27251</v>
      </c>
      <c r="N4900" t="s">
        <v>27252</v>
      </c>
      <c r="Q4900" s="1">
        <v>44538</v>
      </c>
      <c r="R4900" t="s">
        <v>27253</v>
      </c>
      <c r="S4900" t="s">
        <v>27254</v>
      </c>
      <c r="T4900" t="s">
        <v>27269</v>
      </c>
    </row>
    <row r="4901" spans="1:20" x14ac:dyDescent="0.3">
      <c r="A4901" t="str">
        <f>"0611837175100"</f>
        <v>0611837175100</v>
      </c>
      <c r="B4901" t="str">
        <f>"LK1563"</f>
        <v>LK1563</v>
      </c>
      <c r="C4901" t="s">
        <v>36706</v>
      </c>
      <c r="D4901" t="s">
        <v>28138</v>
      </c>
      <c r="E4901" t="str">
        <f t="shared" si="76"/>
        <v>001390</v>
      </c>
      <c r="F4901" t="s">
        <v>27246</v>
      </c>
      <c r="G4901" t="s">
        <v>27247</v>
      </c>
      <c r="H4901" t="s">
        <v>27248</v>
      </c>
      <c r="I4901" t="s">
        <v>36707</v>
      </c>
      <c r="J4901" t="s">
        <v>9773</v>
      </c>
      <c r="L4901" t="s">
        <v>27250</v>
      </c>
      <c r="M4901" t="s">
        <v>27251</v>
      </c>
      <c r="N4901" t="s">
        <v>27252</v>
      </c>
      <c r="P4901" t="s">
        <v>27925</v>
      </c>
      <c r="Q4901" s="1">
        <v>44538</v>
      </c>
      <c r="R4901" t="s">
        <v>27253</v>
      </c>
      <c r="S4901" t="s">
        <v>27254</v>
      </c>
      <c r="T4901" t="s">
        <v>27255</v>
      </c>
    </row>
    <row r="4902" spans="1:20" x14ac:dyDescent="0.3">
      <c r="A4902" t="str">
        <f>"0611837176100"</f>
        <v>0611837176100</v>
      </c>
      <c r="B4902" t="str">
        <f>"LK1564"</f>
        <v>LK1564</v>
      </c>
      <c r="C4902" t="s">
        <v>36708</v>
      </c>
      <c r="D4902" t="s">
        <v>28138</v>
      </c>
      <c r="E4902" t="str">
        <f t="shared" si="76"/>
        <v>001390</v>
      </c>
      <c r="F4902" t="s">
        <v>27246</v>
      </c>
      <c r="G4902" t="s">
        <v>27247</v>
      </c>
      <c r="H4902" t="s">
        <v>27248</v>
      </c>
      <c r="I4902" t="s">
        <v>36709</v>
      </c>
      <c r="J4902" t="s">
        <v>9775</v>
      </c>
      <c r="L4902" t="s">
        <v>27250</v>
      </c>
      <c r="M4902" t="s">
        <v>27251</v>
      </c>
      <c r="N4902" t="s">
        <v>27252</v>
      </c>
      <c r="P4902" t="s">
        <v>27925</v>
      </c>
      <c r="Q4902" s="1">
        <v>44538</v>
      </c>
      <c r="R4902" t="s">
        <v>27253</v>
      </c>
      <c r="S4902" t="s">
        <v>27254</v>
      </c>
      <c r="T4902" t="s">
        <v>27255</v>
      </c>
    </row>
    <row r="4903" spans="1:20" x14ac:dyDescent="0.3">
      <c r="A4903" t="str">
        <f>"0611837177100"</f>
        <v>0611837177100</v>
      </c>
      <c r="B4903" t="str">
        <f>"LK4177"</f>
        <v>LK4177</v>
      </c>
      <c r="C4903" t="s">
        <v>36710</v>
      </c>
      <c r="D4903" t="s">
        <v>28138</v>
      </c>
      <c r="E4903" t="str">
        <f t="shared" si="76"/>
        <v>001390</v>
      </c>
      <c r="F4903" t="s">
        <v>27246</v>
      </c>
      <c r="G4903" t="s">
        <v>27247</v>
      </c>
      <c r="H4903" t="s">
        <v>27248</v>
      </c>
      <c r="I4903" t="s">
        <v>36711</v>
      </c>
      <c r="J4903" t="s">
        <v>9777</v>
      </c>
      <c r="L4903" t="s">
        <v>27250</v>
      </c>
      <c r="M4903" t="s">
        <v>27251</v>
      </c>
      <c r="N4903" t="s">
        <v>27252</v>
      </c>
      <c r="P4903" t="s">
        <v>27925</v>
      </c>
      <c r="Q4903" s="1">
        <v>44538</v>
      </c>
      <c r="R4903" t="s">
        <v>27253</v>
      </c>
      <c r="S4903" t="s">
        <v>27254</v>
      </c>
      <c r="T4903" t="s">
        <v>27255</v>
      </c>
    </row>
    <row r="4904" spans="1:20" x14ac:dyDescent="0.3">
      <c r="A4904" t="str">
        <f>"0611837178100"</f>
        <v>0611837178100</v>
      </c>
      <c r="B4904" t="str">
        <f>"LK4996"</f>
        <v>LK4996</v>
      </c>
      <c r="C4904" t="s">
        <v>36712</v>
      </c>
      <c r="D4904" t="s">
        <v>28138</v>
      </c>
      <c r="E4904" t="str">
        <f t="shared" si="76"/>
        <v>001390</v>
      </c>
      <c r="F4904" t="s">
        <v>27246</v>
      </c>
      <c r="G4904" t="s">
        <v>27247</v>
      </c>
      <c r="H4904" t="s">
        <v>27248</v>
      </c>
      <c r="I4904" t="s">
        <v>36713</v>
      </c>
      <c r="J4904" t="s">
        <v>9779</v>
      </c>
      <c r="L4904" t="s">
        <v>27250</v>
      </c>
      <c r="M4904" t="s">
        <v>27251</v>
      </c>
      <c r="N4904" t="s">
        <v>27252</v>
      </c>
      <c r="P4904" t="s">
        <v>27925</v>
      </c>
      <c r="Q4904" s="1">
        <v>44538</v>
      </c>
      <c r="R4904" t="s">
        <v>27253</v>
      </c>
      <c r="S4904" t="s">
        <v>27254</v>
      </c>
      <c r="T4904" t="s">
        <v>27255</v>
      </c>
    </row>
    <row r="4905" spans="1:20" x14ac:dyDescent="0.3">
      <c r="A4905" t="str">
        <f>"0611837179100"</f>
        <v>0611837179100</v>
      </c>
      <c r="B4905" t="str">
        <f>"LK1565"</f>
        <v>LK1565</v>
      </c>
      <c r="C4905" t="s">
        <v>36714</v>
      </c>
      <c r="D4905" t="s">
        <v>28138</v>
      </c>
      <c r="E4905" t="str">
        <f t="shared" si="76"/>
        <v>001390</v>
      </c>
      <c r="F4905" t="s">
        <v>27246</v>
      </c>
      <c r="G4905" t="s">
        <v>27247</v>
      </c>
      <c r="H4905" t="s">
        <v>27248</v>
      </c>
      <c r="I4905" t="s">
        <v>36715</v>
      </c>
      <c r="J4905" t="s">
        <v>9781</v>
      </c>
      <c r="L4905" t="s">
        <v>27250</v>
      </c>
      <c r="M4905" t="s">
        <v>27251</v>
      </c>
      <c r="N4905" t="s">
        <v>27252</v>
      </c>
      <c r="P4905" t="s">
        <v>27925</v>
      </c>
      <c r="Q4905" s="1">
        <v>44538</v>
      </c>
      <c r="R4905" t="s">
        <v>27253</v>
      </c>
      <c r="S4905" t="s">
        <v>27254</v>
      </c>
      <c r="T4905" t="s">
        <v>27255</v>
      </c>
    </row>
    <row r="4906" spans="1:20" x14ac:dyDescent="0.3">
      <c r="A4906" t="str">
        <f>"0611837180100"</f>
        <v>0611837180100</v>
      </c>
      <c r="B4906" t="str">
        <f>"LK1566"</f>
        <v>LK1566</v>
      </c>
      <c r="C4906" t="s">
        <v>36716</v>
      </c>
      <c r="D4906" t="s">
        <v>28138</v>
      </c>
      <c r="E4906" t="str">
        <f t="shared" si="76"/>
        <v>001390</v>
      </c>
      <c r="F4906" t="s">
        <v>27246</v>
      </c>
      <c r="G4906" t="s">
        <v>27247</v>
      </c>
      <c r="H4906" t="s">
        <v>27248</v>
      </c>
      <c r="I4906" t="s">
        <v>36717</v>
      </c>
      <c r="J4906" t="s">
        <v>9783</v>
      </c>
      <c r="L4906" t="s">
        <v>27250</v>
      </c>
      <c r="M4906" t="s">
        <v>27251</v>
      </c>
      <c r="N4906" t="s">
        <v>27252</v>
      </c>
      <c r="P4906" t="s">
        <v>27925</v>
      </c>
      <c r="Q4906" s="1">
        <v>44538</v>
      </c>
      <c r="R4906" t="s">
        <v>27253</v>
      </c>
      <c r="S4906" t="s">
        <v>27254</v>
      </c>
      <c r="T4906" t="s">
        <v>27255</v>
      </c>
    </row>
    <row r="4907" spans="1:20" x14ac:dyDescent="0.3">
      <c r="A4907" t="str">
        <f>"0611862160050"</f>
        <v>0611862160050</v>
      </c>
      <c r="B4907" t="str">
        <f>"CE1659"</f>
        <v>CE1659</v>
      </c>
      <c r="C4907" t="s">
        <v>36718</v>
      </c>
      <c r="D4907" t="s">
        <v>27923</v>
      </c>
      <c r="E4907" t="str">
        <f t="shared" si="76"/>
        <v>001390</v>
      </c>
      <c r="F4907" t="s">
        <v>27246</v>
      </c>
      <c r="G4907" t="s">
        <v>27247</v>
      </c>
      <c r="H4907" t="s">
        <v>27248</v>
      </c>
      <c r="I4907" t="s">
        <v>36719</v>
      </c>
      <c r="J4907" t="s">
        <v>9785</v>
      </c>
      <c r="L4907" t="s">
        <v>27250</v>
      </c>
      <c r="M4907" t="s">
        <v>27251</v>
      </c>
      <c r="N4907" t="s">
        <v>27252</v>
      </c>
      <c r="P4907" t="s">
        <v>27925</v>
      </c>
      <c r="Q4907" s="1">
        <v>44846</v>
      </c>
      <c r="R4907" t="s">
        <v>27253</v>
      </c>
      <c r="S4907" t="s">
        <v>27254</v>
      </c>
      <c r="T4907" t="s">
        <v>27265</v>
      </c>
    </row>
    <row r="4908" spans="1:20" x14ac:dyDescent="0.3">
      <c r="A4908" t="str">
        <f>"0611862161050"</f>
        <v>0611862161050</v>
      </c>
      <c r="B4908" t="str">
        <f>"CE1439"</f>
        <v>CE1439</v>
      </c>
      <c r="C4908" t="s">
        <v>36720</v>
      </c>
      <c r="D4908" t="s">
        <v>27923</v>
      </c>
      <c r="E4908" t="str">
        <f t="shared" si="76"/>
        <v>001390</v>
      </c>
      <c r="F4908" t="s">
        <v>27246</v>
      </c>
      <c r="G4908" t="s">
        <v>27247</v>
      </c>
      <c r="H4908" t="s">
        <v>27248</v>
      </c>
      <c r="I4908" t="s">
        <v>36721</v>
      </c>
      <c r="J4908" t="s">
        <v>9787</v>
      </c>
      <c r="L4908" t="s">
        <v>27250</v>
      </c>
      <c r="M4908" t="s">
        <v>27251</v>
      </c>
      <c r="N4908" t="s">
        <v>27252</v>
      </c>
      <c r="P4908" t="s">
        <v>27925</v>
      </c>
      <c r="Q4908" s="1">
        <v>44846</v>
      </c>
      <c r="R4908" t="s">
        <v>27253</v>
      </c>
      <c r="S4908" t="s">
        <v>27254</v>
      </c>
      <c r="T4908" t="s">
        <v>27265</v>
      </c>
    </row>
    <row r="4909" spans="1:20" x14ac:dyDescent="0.3">
      <c r="A4909" t="str">
        <f>"0611862162050"</f>
        <v>0611862162050</v>
      </c>
      <c r="B4909" t="str">
        <f>"CE1437"</f>
        <v>CE1437</v>
      </c>
      <c r="C4909" t="s">
        <v>36722</v>
      </c>
      <c r="D4909" t="s">
        <v>27923</v>
      </c>
      <c r="E4909" t="str">
        <f t="shared" si="76"/>
        <v>001390</v>
      </c>
      <c r="F4909" t="s">
        <v>27246</v>
      </c>
      <c r="G4909" t="s">
        <v>27247</v>
      </c>
      <c r="H4909" t="s">
        <v>27248</v>
      </c>
      <c r="I4909" t="s">
        <v>36723</v>
      </c>
      <c r="J4909" t="s">
        <v>9789</v>
      </c>
      <c r="L4909" t="s">
        <v>27250</v>
      </c>
      <c r="M4909" t="s">
        <v>27251</v>
      </c>
      <c r="N4909" t="s">
        <v>27252</v>
      </c>
      <c r="P4909" t="s">
        <v>27925</v>
      </c>
      <c r="Q4909" s="1">
        <v>44846</v>
      </c>
      <c r="R4909" t="s">
        <v>27253</v>
      </c>
      <c r="S4909" t="s">
        <v>27254</v>
      </c>
      <c r="T4909" t="s">
        <v>27265</v>
      </c>
    </row>
    <row r="4910" spans="1:20" x14ac:dyDescent="0.3">
      <c r="A4910" t="str">
        <f>"0611862163050"</f>
        <v>0611862163050</v>
      </c>
      <c r="B4910" t="str">
        <f>"CE1438"</f>
        <v>CE1438</v>
      </c>
      <c r="C4910" t="s">
        <v>36724</v>
      </c>
      <c r="D4910" t="s">
        <v>27923</v>
      </c>
      <c r="E4910" t="str">
        <f t="shared" si="76"/>
        <v>001390</v>
      </c>
      <c r="F4910" t="s">
        <v>27246</v>
      </c>
      <c r="G4910" t="s">
        <v>27247</v>
      </c>
      <c r="H4910" t="s">
        <v>27248</v>
      </c>
      <c r="I4910" t="s">
        <v>36725</v>
      </c>
      <c r="J4910" t="s">
        <v>9791</v>
      </c>
      <c r="L4910" t="s">
        <v>27250</v>
      </c>
      <c r="M4910" t="s">
        <v>27251</v>
      </c>
      <c r="N4910" t="s">
        <v>27252</v>
      </c>
      <c r="P4910" t="s">
        <v>27925</v>
      </c>
      <c r="Q4910" s="1">
        <v>44846</v>
      </c>
      <c r="R4910" t="s">
        <v>27253</v>
      </c>
      <c r="S4910" t="s">
        <v>27254</v>
      </c>
      <c r="T4910" t="s">
        <v>27265</v>
      </c>
    </row>
    <row r="4911" spans="1:20" x14ac:dyDescent="0.3">
      <c r="A4911" t="str">
        <f>"0611862164050"</f>
        <v>0611862164050</v>
      </c>
      <c r="B4911" t="str">
        <f>"CE0925"</f>
        <v>CE0925</v>
      </c>
      <c r="C4911" t="s">
        <v>36726</v>
      </c>
      <c r="D4911" t="s">
        <v>27923</v>
      </c>
      <c r="E4911" t="str">
        <f t="shared" si="76"/>
        <v>001390</v>
      </c>
      <c r="F4911" t="s">
        <v>27246</v>
      </c>
      <c r="G4911" t="s">
        <v>27247</v>
      </c>
      <c r="H4911" t="s">
        <v>27248</v>
      </c>
      <c r="I4911" t="s">
        <v>36727</v>
      </c>
      <c r="J4911" t="s">
        <v>9793</v>
      </c>
      <c r="L4911" t="s">
        <v>27250</v>
      </c>
      <c r="M4911" t="s">
        <v>27251</v>
      </c>
      <c r="N4911" t="s">
        <v>27252</v>
      </c>
      <c r="P4911" t="s">
        <v>27925</v>
      </c>
      <c r="Q4911" s="1">
        <v>44846</v>
      </c>
      <c r="R4911" t="s">
        <v>27253</v>
      </c>
      <c r="S4911" t="s">
        <v>27254</v>
      </c>
      <c r="T4911" t="s">
        <v>27265</v>
      </c>
    </row>
    <row r="4912" spans="1:20" x14ac:dyDescent="0.3">
      <c r="A4912" t="str">
        <f>"0611862165050"</f>
        <v>0611862165050</v>
      </c>
      <c r="B4912" t="str">
        <f>"CE0626"</f>
        <v>CE0626</v>
      </c>
      <c r="C4912" t="s">
        <v>36728</v>
      </c>
      <c r="D4912" t="s">
        <v>27923</v>
      </c>
      <c r="E4912" t="str">
        <f t="shared" si="76"/>
        <v>001390</v>
      </c>
      <c r="F4912" t="s">
        <v>27246</v>
      </c>
      <c r="G4912" t="s">
        <v>27247</v>
      </c>
      <c r="H4912" t="s">
        <v>27248</v>
      </c>
      <c r="I4912" t="s">
        <v>36729</v>
      </c>
      <c r="J4912" t="s">
        <v>9795</v>
      </c>
      <c r="L4912" t="s">
        <v>27250</v>
      </c>
      <c r="M4912" t="s">
        <v>27251</v>
      </c>
      <c r="N4912" t="s">
        <v>27252</v>
      </c>
      <c r="P4912" t="s">
        <v>27925</v>
      </c>
      <c r="Q4912" s="1">
        <v>44846</v>
      </c>
      <c r="R4912" t="s">
        <v>27253</v>
      </c>
      <c r="S4912" t="s">
        <v>27254</v>
      </c>
      <c r="T4912" t="s">
        <v>27265</v>
      </c>
    </row>
    <row r="4913" spans="1:20" x14ac:dyDescent="0.3">
      <c r="A4913" t="str">
        <f>"0611862166050"</f>
        <v>0611862166050</v>
      </c>
      <c r="B4913" t="str">
        <f>"CE0627"</f>
        <v>CE0627</v>
      </c>
      <c r="C4913" t="s">
        <v>36730</v>
      </c>
      <c r="D4913" t="s">
        <v>27923</v>
      </c>
      <c r="E4913" t="str">
        <f t="shared" si="76"/>
        <v>001390</v>
      </c>
      <c r="F4913" t="s">
        <v>27246</v>
      </c>
      <c r="G4913" t="s">
        <v>27247</v>
      </c>
      <c r="H4913" t="s">
        <v>27248</v>
      </c>
      <c r="I4913" t="s">
        <v>36731</v>
      </c>
      <c r="J4913" t="s">
        <v>9797</v>
      </c>
      <c r="L4913" t="s">
        <v>27250</v>
      </c>
      <c r="M4913" t="s">
        <v>27251</v>
      </c>
      <c r="N4913" t="s">
        <v>27252</v>
      </c>
      <c r="P4913" t="s">
        <v>27925</v>
      </c>
      <c r="Q4913" s="1">
        <v>44846</v>
      </c>
      <c r="R4913" t="s">
        <v>27253</v>
      </c>
      <c r="S4913" t="s">
        <v>27254</v>
      </c>
      <c r="T4913" t="s">
        <v>27265</v>
      </c>
    </row>
    <row r="4914" spans="1:20" x14ac:dyDescent="0.3">
      <c r="A4914" t="str">
        <f>"0611862167050"</f>
        <v>0611862167050</v>
      </c>
      <c r="B4914" t="str">
        <f>"CE0628"</f>
        <v>CE0628</v>
      </c>
      <c r="C4914" t="s">
        <v>36732</v>
      </c>
      <c r="D4914" t="s">
        <v>27923</v>
      </c>
      <c r="E4914" t="str">
        <f t="shared" si="76"/>
        <v>001390</v>
      </c>
      <c r="F4914" t="s">
        <v>27246</v>
      </c>
      <c r="G4914" t="s">
        <v>27247</v>
      </c>
      <c r="H4914" t="s">
        <v>27248</v>
      </c>
      <c r="I4914" t="s">
        <v>36733</v>
      </c>
      <c r="J4914" t="s">
        <v>9799</v>
      </c>
      <c r="L4914" t="s">
        <v>27250</v>
      </c>
      <c r="M4914" t="s">
        <v>27251</v>
      </c>
      <c r="N4914" t="s">
        <v>27252</v>
      </c>
      <c r="P4914" t="s">
        <v>27925</v>
      </c>
      <c r="Q4914" s="1">
        <v>44846</v>
      </c>
      <c r="R4914" t="s">
        <v>27253</v>
      </c>
      <c r="S4914" t="s">
        <v>27254</v>
      </c>
      <c r="T4914" t="s">
        <v>27265</v>
      </c>
    </row>
    <row r="4915" spans="1:20" x14ac:dyDescent="0.3">
      <c r="A4915" t="str">
        <f>"0611862168050"</f>
        <v>0611862168050</v>
      </c>
      <c r="B4915" t="str">
        <f>"CE0629"</f>
        <v>CE0629</v>
      </c>
      <c r="C4915" t="s">
        <v>36734</v>
      </c>
      <c r="D4915" t="s">
        <v>27923</v>
      </c>
      <c r="E4915" t="str">
        <f t="shared" si="76"/>
        <v>001390</v>
      </c>
      <c r="F4915" t="s">
        <v>27246</v>
      </c>
      <c r="G4915" t="s">
        <v>27247</v>
      </c>
      <c r="H4915" t="s">
        <v>27248</v>
      </c>
      <c r="I4915" t="s">
        <v>36735</v>
      </c>
      <c r="J4915" t="s">
        <v>9801</v>
      </c>
      <c r="L4915" t="s">
        <v>27250</v>
      </c>
      <c r="M4915" t="s">
        <v>27251</v>
      </c>
      <c r="N4915" t="s">
        <v>27252</v>
      </c>
      <c r="P4915" t="s">
        <v>27925</v>
      </c>
      <c r="Q4915" s="1">
        <v>44846</v>
      </c>
      <c r="R4915" t="s">
        <v>27253</v>
      </c>
      <c r="S4915" t="s">
        <v>27254</v>
      </c>
      <c r="T4915" t="s">
        <v>27265</v>
      </c>
    </row>
    <row r="4916" spans="1:20" x14ac:dyDescent="0.3">
      <c r="A4916" t="str">
        <f>"0611862169050"</f>
        <v>0611862169050</v>
      </c>
      <c r="B4916" t="str">
        <f>"CE1099"</f>
        <v>CE1099</v>
      </c>
      <c r="C4916" t="s">
        <v>36736</v>
      </c>
      <c r="D4916" t="s">
        <v>27923</v>
      </c>
      <c r="E4916" t="str">
        <f t="shared" si="76"/>
        <v>001390</v>
      </c>
      <c r="F4916" t="s">
        <v>27246</v>
      </c>
      <c r="G4916" t="s">
        <v>27247</v>
      </c>
      <c r="H4916" t="s">
        <v>27248</v>
      </c>
      <c r="I4916" t="s">
        <v>36737</v>
      </c>
      <c r="J4916" t="s">
        <v>9803</v>
      </c>
      <c r="L4916" t="s">
        <v>27250</v>
      </c>
      <c r="M4916" t="s">
        <v>27251</v>
      </c>
      <c r="N4916" t="s">
        <v>27252</v>
      </c>
      <c r="P4916" t="s">
        <v>27925</v>
      </c>
      <c r="Q4916" s="1">
        <v>44846</v>
      </c>
      <c r="R4916" t="s">
        <v>27253</v>
      </c>
      <c r="S4916" t="s">
        <v>27254</v>
      </c>
      <c r="T4916" t="s">
        <v>27265</v>
      </c>
    </row>
    <row r="4917" spans="1:20" x14ac:dyDescent="0.3">
      <c r="A4917" t="str">
        <f>"0611862170050"</f>
        <v>0611862170050</v>
      </c>
      <c r="B4917" t="str">
        <f>"CE0630"</f>
        <v>CE0630</v>
      </c>
      <c r="C4917" t="s">
        <v>36738</v>
      </c>
      <c r="D4917" t="s">
        <v>27923</v>
      </c>
      <c r="E4917" t="str">
        <f t="shared" si="76"/>
        <v>001390</v>
      </c>
      <c r="F4917" t="s">
        <v>27246</v>
      </c>
      <c r="G4917" t="s">
        <v>27247</v>
      </c>
      <c r="H4917" t="s">
        <v>27248</v>
      </c>
      <c r="I4917" t="s">
        <v>36739</v>
      </c>
      <c r="J4917" t="s">
        <v>9805</v>
      </c>
      <c r="L4917" t="s">
        <v>27250</v>
      </c>
      <c r="M4917" t="s">
        <v>27251</v>
      </c>
      <c r="N4917" t="s">
        <v>27252</v>
      </c>
      <c r="P4917" t="s">
        <v>27925</v>
      </c>
      <c r="Q4917" s="1">
        <v>44846</v>
      </c>
      <c r="R4917" t="s">
        <v>27253</v>
      </c>
      <c r="S4917" t="s">
        <v>27254</v>
      </c>
      <c r="T4917" t="s">
        <v>27265</v>
      </c>
    </row>
    <row r="4918" spans="1:20" x14ac:dyDescent="0.3">
      <c r="A4918" t="str">
        <f>"0611862171050"</f>
        <v>0611862171050</v>
      </c>
      <c r="B4918" t="str">
        <f>"CE0631"</f>
        <v>CE0631</v>
      </c>
      <c r="C4918" t="s">
        <v>36740</v>
      </c>
      <c r="D4918" t="s">
        <v>27923</v>
      </c>
      <c r="E4918" t="str">
        <f t="shared" si="76"/>
        <v>001390</v>
      </c>
      <c r="F4918" t="s">
        <v>27246</v>
      </c>
      <c r="G4918" t="s">
        <v>27247</v>
      </c>
      <c r="H4918" t="s">
        <v>27248</v>
      </c>
      <c r="I4918" t="s">
        <v>36741</v>
      </c>
      <c r="J4918" t="s">
        <v>9807</v>
      </c>
      <c r="L4918" t="s">
        <v>27250</v>
      </c>
      <c r="M4918" t="s">
        <v>27251</v>
      </c>
      <c r="N4918" t="s">
        <v>27252</v>
      </c>
      <c r="P4918" t="s">
        <v>27925</v>
      </c>
      <c r="Q4918" s="1">
        <v>44846</v>
      </c>
      <c r="R4918" t="s">
        <v>27253</v>
      </c>
      <c r="S4918" t="s">
        <v>27254</v>
      </c>
      <c r="T4918" t="s">
        <v>27265</v>
      </c>
    </row>
    <row r="4919" spans="1:20" x14ac:dyDescent="0.3">
      <c r="A4919" t="str">
        <f>"0611862172050"</f>
        <v>0611862172050</v>
      </c>
      <c r="B4919" t="str">
        <f>"CE0632"</f>
        <v>CE0632</v>
      </c>
      <c r="C4919" t="s">
        <v>36742</v>
      </c>
      <c r="D4919" t="s">
        <v>27923</v>
      </c>
      <c r="E4919" t="str">
        <f t="shared" si="76"/>
        <v>001390</v>
      </c>
      <c r="F4919" t="s">
        <v>27246</v>
      </c>
      <c r="G4919" t="s">
        <v>27247</v>
      </c>
      <c r="H4919" t="s">
        <v>27248</v>
      </c>
      <c r="I4919" t="s">
        <v>36743</v>
      </c>
      <c r="J4919" t="s">
        <v>9809</v>
      </c>
      <c r="L4919" t="s">
        <v>27250</v>
      </c>
      <c r="M4919" t="s">
        <v>27251</v>
      </c>
      <c r="N4919" t="s">
        <v>27252</v>
      </c>
      <c r="P4919" t="s">
        <v>27925</v>
      </c>
      <c r="Q4919" s="1">
        <v>44846</v>
      </c>
      <c r="R4919" t="s">
        <v>27253</v>
      </c>
      <c r="S4919" t="s">
        <v>27254</v>
      </c>
      <c r="T4919" t="s">
        <v>27265</v>
      </c>
    </row>
    <row r="4920" spans="1:20" x14ac:dyDescent="0.3">
      <c r="A4920" t="str">
        <f>"0611862173050"</f>
        <v>0611862173050</v>
      </c>
      <c r="B4920" t="str">
        <f>"CE1100"</f>
        <v>CE1100</v>
      </c>
      <c r="C4920" t="s">
        <v>36744</v>
      </c>
      <c r="D4920" t="s">
        <v>27923</v>
      </c>
      <c r="E4920" t="str">
        <f t="shared" si="76"/>
        <v>001390</v>
      </c>
      <c r="F4920" t="s">
        <v>27246</v>
      </c>
      <c r="G4920" t="s">
        <v>27247</v>
      </c>
      <c r="H4920" t="s">
        <v>27248</v>
      </c>
      <c r="I4920" t="s">
        <v>36745</v>
      </c>
      <c r="J4920" t="s">
        <v>9811</v>
      </c>
      <c r="L4920" t="s">
        <v>27250</v>
      </c>
      <c r="M4920" t="s">
        <v>27251</v>
      </c>
      <c r="N4920" t="s">
        <v>27252</v>
      </c>
      <c r="P4920" t="s">
        <v>27925</v>
      </c>
      <c r="Q4920" s="1">
        <v>44846</v>
      </c>
      <c r="R4920" t="s">
        <v>27253</v>
      </c>
      <c r="S4920" t="s">
        <v>27254</v>
      </c>
      <c r="T4920" t="s">
        <v>27265</v>
      </c>
    </row>
    <row r="4921" spans="1:20" x14ac:dyDescent="0.3">
      <c r="A4921" t="str">
        <f>"0611862174050"</f>
        <v>0611862174050</v>
      </c>
      <c r="B4921" t="str">
        <f>"CE1743"</f>
        <v>CE1743</v>
      </c>
      <c r="C4921" t="s">
        <v>36746</v>
      </c>
      <c r="D4921" t="s">
        <v>27923</v>
      </c>
      <c r="E4921" t="str">
        <f t="shared" si="76"/>
        <v>001390</v>
      </c>
      <c r="F4921" t="s">
        <v>27246</v>
      </c>
      <c r="G4921" t="s">
        <v>27247</v>
      </c>
      <c r="H4921" t="s">
        <v>27248</v>
      </c>
      <c r="I4921" t="s">
        <v>36747</v>
      </c>
      <c r="J4921" t="s">
        <v>9813</v>
      </c>
      <c r="L4921" t="s">
        <v>27250</v>
      </c>
      <c r="M4921" t="s">
        <v>27251</v>
      </c>
      <c r="N4921" t="s">
        <v>27252</v>
      </c>
      <c r="P4921" t="s">
        <v>27925</v>
      </c>
      <c r="Q4921" s="1">
        <v>44846</v>
      </c>
      <c r="R4921" t="s">
        <v>27253</v>
      </c>
      <c r="S4921" t="s">
        <v>27254</v>
      </c>
      <c r="T4921" t="s">
        <v>27265</v>
      </c>
    </row>
    <row r="4922" spans="1:20" x14ac:dyDescent="0.3">
      <c r="A4922" t="str">
        <f>"0611862175050"</f>
        <v>0611862175050</v>
      </c>
      <c r="B4922" t="str">
        <f>"CE0633"</f>
        <v>CE0633</v>
      </c>
      <c r="C4922" t="s">
        <v>36748</v>
      </c>
      <c r="D4922" t="s">
        <v>27923</v>
      </c>
      <c r="E4922" t="str">
        <f t="shared" si="76"/>
        <v>001390</v>
      </c>
      <c r="F4922" t="s">
        <v>27246</v>
      </c>
      <c r="G4922" t="s">
        <v>27247</v>
      </c>
      <c r="H4922" t="s">
        <v>27248</v>
      </c>
      <c r="I4922" t="s">
        <v>36749</v>
      </c>
      <c r="J4922" t="s">
        <v>9815</v>
      </c>
      <c r="L4922" t="s">
        <v>27250</v>
      </c>
      <c r="M4922" t="s">
        <v>27251</v>
      </c>
      <c r="N4922" t="s">
        <v>27252</v>
      </c>
      <c r="P4922" t="s">
        <v>27925</v>
      </c>
      <c r="Q4922" s="1">
        <v>44846</v>
      </c>
      <c r="R4922" t="s">
        <v>27253</v>
      </c>
      <c r="S4922" t="s">
        <v>27254</v>
      </c>
      <c r="T4922" t="s">
        <v>27265</v>
      </c>
    </row>
    <row r="4923" spans="1:20" x14ac:dyDescent="0.3">
      <c r="A4923" t="str">
        <f>"0611862176050"</f>
        <v>0611862176050</v>
      </c>
      <c r="B4923" t="str">
        <f>"CE1280"</f>
        <v>CE1280</v>
      </c>
      <c r="C4923" t="s">
        <v>36750</v>
      </c>
      <c r="D4923" t="s">
        <v>27923</v>
      </c>
      <c r="E4923" t="str">
        <f t="shared" si="76"/>
        <v>001390</v>
      </c>
      <c r="F4923" t="s">
        <v>27246</v>
      </c>
      <c r="G4923" t="s">
        <v>27247</v>
      </c>
      <c r="H4923" t="s">
        <v>27248</v>
      </c>
      <c r="I4923" t="s">
        <v>36751</v>
      </c>
      <c r="J4923" t="s">
        <v>9817</v>
      </c>
      <c r="L4923" t="s">
        <v>27250</v>
      </c>
      <c r="M4923" t="s">
        <v>27251</v>
      </c>
      <c r="N4923" t="s">
        <v>27252</v>
      </c>
      <c r="P4923" t="s">
        <v>27925</v>
      </c>
      <c r="Q4923" s="1">
        <v>44846</v>
      </c>
      <c r="R4923" t="s">
        <v>27253</v>
      </c>
      <c r="S4923" t="s">
        <v>27254</v>
      </c>
      <c r="T4923" t="s">
        <v>27265</v>
      </c>
    </row>
    <row r="4924" spans="1:20" x14ac:dyDescent="0.3">
      <c r="A4924" t="str">
        <f>"0611862177050"</f>
        <v>0611862177050</v>
      </c>
      <c r="B4924" t="str">
        <f>"CE0634"</f>
        <v>CE0634</v>
      </c>
      <c r="C4924" t="s">
        <v>36752</v>
      </c>
      <c r="D4924" t="s">
        <v>27923</v>
      </c>
      <c r="E4924" t="str">
        <f t="shared" si="76"/>
        <v>001390</v>
      </c>
      <c r="F4924" t="s">
        <v>27246</v>
      </c>
      <c r="G4924" t="s">
        <v>27247</v>
      </c>
      <c r="H4924" t="s">
        <v>27248</v>
      </c>
      <c r="I4924" t="s">
        <v>36753</v>
      </c>
      <c r="J4924" t="s">
        <v>9819</v>
      </c>
      <c r="L4924" t="s">
        <v>27250</v>
      </c>
      <c r="M4924" t="s">
        <v>27251</v>
      </c>
      <c r="N4924" t="s">
        <v>27252</v>
      </c>
      <c r="P4924" t="s">
        <v>27925</v>
      </c>
      <c r="Q4924" s="1">
        <v>44846</v>
      </c>
      <c r="R4924" t="s">
        <v>27253</v>
      </c>
      <c r="S4924" t="s">
        <v>27254</v>
      </c>
      <c r="T4924" t="s">
        <v>27265</v>
      </c>
    </row>
    <row r="4925" spans="1:20" x14ac:dyDescent="0.3">
      <c r="A4925" t="str">
        <f>"0611862178050"</f>
        <v>0611862178050</v>
      </c>
      <c r="B4925" t="str">
        <f>"CE1182"</f>
        <v>CE1182</v>
      </c>
      <c r="C4925" t="s">
        <v>36754</v>
      </c>
      <c r="D4925" t="s">
        <v>27923</v>
      </c>
      <c r="E4925" t="str">
        <f t="shared" si="76"/>
        <v>001390</v>
      </c>
      <c r="F4925" t="s">
        <v>27246</v>
      </c>
      <c r="G4925" t="s">
        <v>27247</v>
      </c>
      <c r="H4925" t="s">
        <v>27248</v>
      </c>
      <c r="I4925" t="s">
        <v>36755</v>
      </c>
      <c r="J4925" t="s">
        <v>9821</v>
      </c>
      <c r="L4925" t="s">
        <v>27250</v>
      </c>
      <c r="M4925" t="s">
        <v>27251</v>
      </c>
      <c r="N4925" t="s">
        <v>27252</v>
      </c>
      <c r="P4925" t="s">
        <v>27925</v>
      </c>
      <c r="Q4925" s="1">
        <v>44846</v>
      </c>
      <c r="R4925" t="s">
        <v>27253</v>
      </c>
      <c r="S4925" t="s">
        <v>27254</v>
      </c>
      <c r="T4925" t="s">
        <v>27265</v>
      </c>
    </row>
    <row r="4926" spans="1:20" x14ac:dyDescent="0.3">
      <c r="A4926" t="str">
        <f>"0611862179050"</f>
        <v>0611862179050</v>
      </c>
      <c r="B4926" t="str">
        <f>"CE1183"</f>
        <v>CE1183</v>
      </c>
      <c r="C4926" t="s">
        <v>36756</v>
      </c>
      <c r="D4926" t="s">
        <v>27923</v>
      </c>
      <c r="E4926" t="str">
        <f t="shared" si="76"/>
        <v>001390</v>
      </c>
      <c r="F4926" t="s">
        <v>27246</v>
      </c>
      <c r="G4926" t="s">
        <v>27247</v>
      </c>
      <c r="H4926" t="s">
        <v>27248</v>
      </c>
      <c r="I4926" t="s">
        <v>36757</v>
      </c>
      <c r="J4926" t="s">
        <v>9823</v>
      </c>
      <c r="L4926" t="s">
        <v>27250</v>
      </c>
      <c r="M4926" t="s">
        <v>27251</v>
      </c>
      <c r="N4926" t="s">
        <v>27252</v>
      </c>
      <c r="P4926" t="s">
        <v>27925</v>
      </c>
      <c r="Q4926" s="1">
        <v>44846</v>
      </c>
      <c r="R4926" t="s">
        <v>27253</v>
      </c>
      <c r="S4926" t="s">
        <v>27254</v>
      </c>
      <c r="T4926" t="s">
        <v>27265</v>
      </c>
    </row>
    <row r="4927" spans="1:20" x14ac:dyDescent="0.3">
      <c r="A4927" t="str">
        <f>"0611862180050"</f>
        <v>0611862180050</v>
      </c>
      <c r="B4927" t="str">
        <f>"CE1190"</f>
        <v>CE1190</v>
      </c>
      <c r="C4927" t="s">
        <v>36758</v>
      </c>
      <c r="D4927" t="s">
        <v>27923</v>
      </c>
      <c r="E4927" t="str">
        <f t="shared" si="76"/>
        <v>001390</v>
      </c>
      <c r="F4927" t="s">
        <v>27246</v>
      </c>
      <c r="G4927" t="s">
        <v>27247</v>
      </c>
      <c r="H4927" t="s">
        <v>27248</v>
      </c>
      <c r="I4927" t="s">
        <v>36759</v>
      </c>
      <c r="J4927" t="s">
        <v>9827</v>
      </c>
      <c r="L4927" t="s">
        <v>27250</v>
      </c>
      <c r="M4927" t="s">
        <v>27251</v>
      </c>
      <c r="N4927" t="s">
        <v>27252</v>
      </c>
      <c r="P4927" t="s">
        <v>27925</v>
      </c>
      <c r="Q4927" s="1">
        <v>44846</v>
      </c>
      <c r="R4927" t="s">
        <v>27253</v>
      </c>
      <c r="S4927" t="s">
        <v>27254</v>
      </c>
      <c r="T4927" t="s">
        <v>27265</v>
      </c>
    </row>
    <row r="4928" spans="1:20" x14ac:dyDescent="0.3">
      <c r="A4928" t="str">
        <f>"0611862181050"</f>
        <v>0611862181050</v>
      </c>
      <c r="B4928" t="str">
        <f>"CE1184"</f>
        <v>CE1184</v>
      </c>
      <c r="C4928" t="s">
        <v>36760</v>
      </c>
      <c r="D4928" t="s">
        <v>27923</v>
      </c>
      <c r="E4928" t="str">
        <f t="shared" si="76"/>
        <v>001390</v>
      </c>
      <c r="F4928" t="s">
        <v>27246</v>
      </c>
      <c r="G4928" t="s">
        <v>27247</v>
      </c>
      <c r="H4928" t="s">
        <v>27248</v>
      </c>
      <c r="I4928" t="s">
        <v>36761</v>
      </c>
      <c r="J4928" t="s">
        <v>9825</v>
      </c>
      <c r="L4928" t="s">
        <v>27250</v>
      </c>
      <c r="M4928" t="s">
        <v>27251</v>
      </c>
      <c r="N4928" t="s">
        <v>27252</v>
      </c>
      <c r="P4928" t="s">
        <v>27925</v>
      </c>
      <c r="Q4928" s="1">
        <v>44846</v>
      </c>
      <c r="R4928" t="s">
        <v>27253</v>
      </c>
      <c r="S4928" t="s">
        <v>27254</v>
      </c>
      <c r="T4928" t="s">
        <v>27265</v>
      </c>
    </row>
    <row r="4929" spans="1:20" x14ac:dyDescent="0.3">
      <c r="A4929" t="str">
        <f>"0611862182050"</f>
        <v>0611862182050</v>
      </c>
      <c r="B4929" t="str">
        <f>"CE1106"</f>
        <v>CE1106</v>
      </c>
      <c r="C4929" t="s">
        <v>36762</v>
      </c>
      <c r="D4929" t="s">
        <v>27923</v>
      </c>
      <c r="E4929" t="str">
        <f t="shared" si="76"/>
        <v>001390</v>
      </c>
      <c r="F4929" t="s">
        <v>27246</v>
      </c>
      <c r="G4929" t="s">
        <v>27247</v>
      </c>
      <c r="H4929" t="s">
        <v>27248</v>
      </c>
      <c r="I4929" t="s">
        <v>36763</v>
      </c>
      <c r="J4929" t="s">
        <v>9829</v>
      </c>
      <c r="L4929" t="s">
        <v>27250</v>
      </c>
      <c r="M4929" t="s">
        <v>27251</v>
      </c>
      <c r="N4929" t="s">
        <v>27252</v>
      </c>
      <c r="P4929" t="s">
        <v>27925</v>
      </c>
      <c r="Q4929" s="1">
        <v>44846</v>
      </c>
      <c r="R4929" t="s">
        <v>27253</v>
      </c>
      <c r="S4929" t="s">
        <v>27254</v>
      </c>
      <c r="T4929" t="s">
        <v>27265</v>
      </c>
    </row>
    <row r="4930" spans="1:20" x14ac:dyDescent="0.3">
      <c r="A4930" t="str">
        <f>"0611862183050"</f>
        <v>0611862183050</v>
      </c>
      <c r="B4930" t="str">
        <f>"CE1281"</f>
        <v>CE1281</v>
      </c>
      <c r="C4930" t="s">
        <v>36764</v>
      </c>
      <c r="D4930" t="s">
        <v>27923</v>
      </c>
      <c r="E4930" t="str">
        <f t="shared" ref="E4930:E4993" si="77">"001390"</f>
        <v>001390</v>
      </c>
      <c r="F4930" t="s">
        <v>27246</v>
      </c>
      <c r="G4930" t="s">
        <v>27247</v>
      </c>
      <c r="H4930" t="s">
        <v>27248</v>
      </c>
      <c r="I4930" t="s">
        <v>36765</v>
      </c>
      <c r="J4930" t="s">
        <v>9831</v>
      </c>
      <c r="L4930" t="s">
        <v>27250</v>
      </c>
      <c r="M4930" t="s">
        <v>27251</v>
      </c>
      <c r="N4930" t="s">
        <v>27252</v>
      </c>
      <c r="P4930" t="s">
        <v>27925</v>
      </c>
      <c r="Q4930" s="1">
        <v>44846</v>
      </c>
      <c r="R4930" t="s">
        <v>27253</v>
      </c>
      <c r="S4930" t="s">
        <v>27254</v>
      </c>
      <c r="T4930" t="s">
        <v>27265</v>
      </c>
    </row>
    <row r="4931" spans="1:20" x14ac:dyDescent="0.3">
      <c r="A4931" t="str">
        <f>"0611862184050"</f>
        <v>0611862184050</v>
      </c>
      <c r="B4931" t="str">
        <f>"CE0926"</f>
        <v>CE0926</v>
      </c>
      <c r="C4931" t="s">
        <v>36766</v>
      </c>
      <c r="D4931" t="s">
        <v>27923</v>
      </c>
      <c r="E4931" t="str">
        <f t="shared" si="77"/>
        <v>001390</v>
      </c>
      <c r="F4931" t="s">
        <v>27246</v>
      </c>
      <c r="G4931" t="s">
        <v>27247</v>
      </c>
      <c r="H4931" t="s">
        <v>27248</v>
      </c>
      <c r="I4931" t="s">
        <v>36767</v>
      </c>
      <c r="J4931" t="s">
        <v>9833</v>
      </c>
      <c r="L4931" t="s">
        <v>27250</v>
      </c>
      <c r="M4931" t="s">
        <v>27251</v>
      </c>
      <c r="N4931" t="s">
        <v>27252</v>
      </c>
      <c r="P4931" t="s">
        <v>27925</v>
      </c>
      <c r="Q4931" s="1">
        <v>44846</v>
      </c>
      <c r="R4931" t="s">
        <v>27253</v>
      </c>
      <c r="S4931" t="s">
        <v>27254</v>
      </c>
      <c r="T4931" t="s">
        <v>27265</v>
      </c>
    </row>
    <row r="4932" spans="1:20" x14ac:dyDescent="0.3">
      <c r="A4932" t="str">
        <f>"0611862185050"</f>
        <v>0611862185050</v>
      </c>
      <c r="B4932" t="str">
        <f>"CE1185"</f>
        <v>CE1185</v>
      </c>
      <c r="C4932" t="s">
        <v>36768</v>
      </c>
      <c r="D4932" t="s">
        <v>28556</v>
      </c>
      <c r="E4932" t="str">
        <f t="shared" si="77"/>
        <v>001390</v>
      </c>
      <c r="F4932" t="s">
        <v>27246</v>
      </c>
      <c r="G4932" t="s">
        <v>27247</v>
      </c>
      <c r="H4932" t="s">
        <v>27248</v>
      </c>
      <c r="I4932" t="s">
        <v>36769</v>
      </c>
      <c r="J4932" t="s">
        <v>9835</v>
      </c>
      <c r="L4932" t="s">
        <v>27250</v>
      </c>
      <c r="M4932" t="s">
        <v>27251</v>
      </c>
      <c r="N4932" t="s">
        <v>27252</v>
      </c>
      <c r="P4932" t="s">
        <v>27925</v>
      </c>
      <c r="Q4932" s="1">
        <v>44846</v>
      </c>
      <c r="R4932" t="s">
        <v>27253</v>
      </c>
      <c r="S4932" t="s">
        <v>27254</v>
      </c>
      <c r="T4932" t="s">
        <v>28378</v>
      </c>
    </row>
    <row r="4933" spans="1:20" x14ac:dyDescent="0.3">
      <c r="A4933" t="str">
        <f>"0611862186050"</f>
        <v>0611862186050</v>
      </c>
      <c r="B4933" t="str">
        <f>"CE1186"</f>
        <v>CE1186</v>
      </c>
      <c r="C4933" t="s">
        <v>36770</v>
      </c>
      <c r="D4933" t="s">
        <v>27923</v>
      </c>
      <c r="E4933" t="str">
        <f t="shared" si="77"/>
        <v>001390</v>
      </c>
      <c r="F4933" t="s">
        <v>27246</v>
      </c>
      <c r="G4933" t="s">
        <v>27247</v>
      </c>
      <c r="H4933" t="s">
        <v>27248</v>
      </c>
      <c r="I4933" t="s">
        <v>36771</v>
      </c>
      <c r="J4933" t="s">
        <v>9837</v>
      </c>
      <c r="L4933" t="s">
        <v>27250</v>
      </c>
      <c r="M4933" t="s">
        <v>27251</v>
      </c>
      <c r="N4933" t="s">
        <v>27252</v>
      </c>
      <c r="P4933" t="s">
        <v>27925</v>
      </c>
      <c r="Q4933" s="1">
        <v>44846</v>
      </c>
      <c r="R4933" t="s">
        <v>27253</v>
      </c>
      <c r="S4933" t="s">
        <v>27254</v>
      </c>
      <c r="T4933" t="s">
        <v>27265</v>
      </c>
    </row>
    <row r="4934" spans="1:20" x14ac:dyDescent="0.3">
      <c r="A4934" t="str">
        <f>"0611862187050"</f>
        <v>0611862187050</v>
      </c>
      <c r="B4934" t="str">
        <f>"CE1107"</f>
        <v>CE1107</v>
      </c>
      <c r="C4934" t="s">
        <v>36772</v>
      </c>
      <c r="D4934" t="s">
        <v>27923</v>
      </c>
      <c r="E4934" t="str">
        <f t="shared" si="77"/>
        <v>001390</v>
      </c>
      <c r="F4934" t="s">
        <v>27246</v>
      </c>
      <c r="G4934" t="s">
        <v>27247</v>
      </c>
      <c r="H4934" t="s">
        <v>27248</v>
      </c>
      <c r="I4934" t="s">
        <v>36773</v>
      </c>
      <c r="J4934" t="s">
        <v>9839</v>
      </c>
      <c r="L4934" t="s">
        <v>27250</v>
      </c>
      <c r="M4934" t="s">
        <v>27251</v>
      </c>
      <c r="N4934" t="s">
        <v>27252</v>
      </c>
      <c r="P4934" t="s">
        <v>27925</v>
      </c>
      <c r="Q4934" s="1">
        <v>44846</v>
      </c>
      <c r="R4934" t="s">
        <v>27253</v>
      </c>
      <c r="S4934" t="s">
        <v>27254</v>
      </c>
      <c r="T4934" t="s">
        <v>27265</v>
      </c>
    </row>
    <row r="4935" spans="1:20" x14ac:dyDescent="0.3">
      <c r="A4935" t="str">
        <f>"0611862188050"</f>
        <v>0611862188050</v>
      </c>
      <c r="B4935" t="str">
        <f>"CE0637"</f>
        <v>CE0637</v>
      </c>
      <c r="C4935" t="s">
        <v>36774</v>
      </c>
      <c r="D4935" t="s">
        <v>27923</v>
      </c>
      <c r="E4935" t="str">
        <f t="shared" si="77"/>
        <v>001390</v>
      </c>
      <c r="F4935" t="s">
        <v>27246</v>
      </c>
      <c r="G4935" t="s">
        <v>27247</v>
      </c>
      <c r="H4935" t="s">
        <v>27248</v>
      </c>
      <c r="I4935" t="s">
        <v>36775</v>
      </c>
      <c r="J4935" t="s">
        <v>9841</v>
      </c>
      <c r="L4935" t="s">
        <v>27250</v>
      </c>
      <c r="M4935" t="s">
        <v>27251</v>
      </c>
      <c r="N4935" t="s">
        <v>27252</v>
      </c>
      <c r="P4935" t="s">
        <v>27925</v>
      </c>
      <c r="Q4935" s="1">
        <v>44846</v>
      </c>
      <c r="R4935" t="s">
        <v>27253</v>
      </c>
      <c r="S4935" t="s">
        <v>27254</v>
      </c>
      <c r="T4935" t="s">
        <v>27265</v>
      </c>
    </row>
    <row r="4936" spans="1:20" x14ac:dyDescent="0.3">
      <c r="A4936" t="str">
        <f>"0611862189050"</f>
        <v>0611862189050</v>
      </c>
      <c r="B4936" t="str">
        <f>"CE1606"</f>
        <v>CE1606</v>
      </c>
      <c r="C4936" t="s">
        <v>36776</v>
      </c>
      <c r="D4936" t="s">
        <v>27923</v>
      </c>
      <c r="E4936" t="str">
        <f t="shared" si="77"/>
        <v>001390</v>
      </c>
      <c r="F4936" t="s">
        <v>27246</v>
      </c>
      <c r="G4936" t="s">
        <v>27247</v>
      </c>
      <c r="H4936" t="s">
        <v>27248</v>
      </c>
      <c r="I4936" t="s">
        <v>36777</v>
      </c>
      <c r="J4936" t="s">
        <v>9843</v>
      </c>
      <c r="L4936" t="s">
        <v>27250</v>
      </c>
      <c r="M4936" t="s">
        <v>27251</v>
      </c>
      <c r="N4936" t="s">
        <v>27252</v>
      </c>
      <c r="P4936" t="s">
        <v>27925</v>
      </c>
      <c r="Q4936" s="1">
        <v>44846</v>
      </c>
      <c r="R4936" t="s">
        <v>27253</v>
      </c>
      <c r="S4936" t="s">
        <v>27254</v>
      </c>
      <c r="T4936" t="s">
        <v>27265</v>
      </c>
    </row>
    <row r="4937" spans="1:20" x14ac:dyDescent="0.3">
      <c r="A4937" t="str">
        <f>"0611862190050"</f>
        <v>0611862190050</v>
      </c>
      <c r="B4937" t="str">
        <f>"CE1661"</f>
        <v>CE1661</v>
      </c>
      <c r="C4937" t="s">
        <v>36778</v>
      </c>
      <c r="D4937" t="s">
        <v>27923</v>
      </c>
      <c r="E4937" t="str">
        <f t="shared" si="77"/>
        <v>001390</v>
      </c>
      <c r="F4937" t="s">
        <v>27246</v>
      </c>
      <c r="G4937" t="s">
        <v>27247</v>
      </c>
      <c r="H4937" t="s">
        <v>27248</v>
      </c>
      <c r="I4937" t="s">
        <v>36779</v>
      </c>
      <c r="J4937" t="s">
        <v>9845</v>
      </c>
      <c r="L4937" t="s">
        <v>27250</v>
      </c>
      <c r="M4937" t="s">
        <v>27251</v>
      </c>
      <c r="N4937" t="s">
        <v>27252</v>
      </c>
      <c r="P4937" t="s">
        <v>27925</v>
      </c>
      <c r="Q4937" s="1">
        <v>44846</v>
      </c>
      <c r="R4937" t="s">
        <v>27253</v>
      </c>
      <c r="S4937" t="s">
        <v>27254</v>
      </c>
      <c r="T4937" t="s">
        <v>27265</v>
      </c>
    </row>
    <row r="4938" spans="1:20" x14ac:dyDescent="0.3">
      <c r="A4938" t="str">
        <f>"0611862191050"</f>
        <v>0611862191050</v>
      </c>
      <c r="B4938" t="str">
        <f>"CE1283"</f>
        <v>CE1283</v>
      </c>
      <c r="C4938" t="s">
        <v>36780</v>
      </c>
      <c r="D4938" t="s">
        <v>27923</v>
      </c>
      <c r="E4938" t="str">
        <f t="shared" si="77"/>
        <v>001390</v>
      </c>
      <c r="F4938" t="s">
        <v>27246</v>
      </c>
      <c r="G4938" t="s">
        <v>27247</v>
      </c>
      <c r="H4938" t="s">
        <v>27248</v>
      </c>
      <c r="I4938" t="s">
        <v>36781</v>
      </c>
      <c r="J4938" t="s">
        <v>9847</v>
      </c>
      <c r="L4938" t="s">
        <v>27250</v>
      </c>
      <c r="M4938" t="s">
        <v>27251</v>
      </c>
      <c r="N4938" t="s">
        <v>27252</v>
      </c>
      <c r="P4938" t="s">
        <v>27925</v>
      </c>
      <c r="Q4938" s="1">
        <v>44846</v>
      </c>
      <c r="R4938" t="s">
        <v>27253</v>
      </c>
      <c r="S4938" t="s">
        <v>27254</v>
      </c>
      <c r="T4938" t="s">
        <v>27265</v>
      </c>
    </row>
    <row r="4939" spans="1:20" x14ac:dyDescent="0.3">
      <c r="A4939" t="str">
        <f>"0611862192050"</f>
        <v>0611862192050</v>
      </c>
      <c r="B4939" t="str">
        <f>"CE1109"</f>
        <v>CE1109</v>
      </c>
      <c r="C4939" t="s">
        <v>36782</v>
      </c>
      <c r="D4939" t="s">
        <v>27923</v>
      </c>
      <c r="E4939" t="str">
        <f t="shared" si="77"/>
        <v>001390</v>
      </c>
      <c r="F4939" t="s">
        <v>27246</v>
      </c>
      <c r="G4939" t="s">
        <v>27247</v>
      </c>
      <c r="H4939" t="s">
        <v>27248</v>
      </c>
      <c r="I4939" t="s">
        <v>36783</v>
      </c>
      <c r="J4939" t="s">
        <v>9849</v>
      </c>
      <c r="L4939" t="s">
        <v>27250</v>
      </c>
      <c r="M4939" t="s">
        <v>27251</v>
      </c>
      <c r="N4939" t="s">
        <v>27252</v>
      </c>
      <c r="P4939" t="s">
        <v>27925</v>
      </c>
      <c r="Q4939" s="1">
        <v>44846</v>
      </c>
      <c r="R4939" t="s">
        <v>27253</v>
      </c>
      <c r="S4939" t="s">
        <v>27254</v>
      </c>
      <c r="T4939" t="s">
        <v>27265</v>
      </c>
    </row>
    <row r="4940" spans="1:20" x14ac:dyDescent="0.3">
      <c r="A4940" t="str">
        <f>"0611862193050"</f>
        <v>0611862193050</v>
      </c>
      <c r="B4940" t="str">
        <f>"CE1482"</f>
        <v>CE1482</v>
      </c>
      <c r="C4940" t="s">
        <v>36784</v>
      </c>
      <c r="D4940" t="s">
        <v>27923</v>
      </c>
      <c r="E4940" t="str">
        <f t="shared" si="77"/>
        <v>001390</v>
      </c>
      <c r="F4940" t="s">
        <v>27246</v>
      </c>
      <c r="G4940" t="s">
        <v>27247</v>
      </c>
      <c r="H4940" t="s">
        <v>27248</v>
      </c>
      <c r="I4940" t="s">
        <v>36785</v>
      </c>
      <c r="J4940" t="s">
        <v>9851</v>
      </c>
      <c r="L4940" t="s">
        <v>27250</v>
      </c>
      <c r="M4940" t="s">
        <v>27251</v>
      </c>
      <c r="N4940" t="s">
        <v>27252</v>
      </c>
      <c r="P4940" t="s">
        <v>27925</v>
      </c>
      <c r="Q4940" s="1">
        <v>44846</v>
      </c>
      <c r="R4940" t="s">
        <v>27253</v>
      </c>
      <c r="S4940" t="s">
        <v>27254</v>
      </c>
      <c r="T4940" t="s">
        <v>27265</v>
      </c>
    </row>
    <row r="4941" spans="1:20" x14ac:dyDescent="0.3">
      <c r="A4941" t="str">
        <f>"0611862194050"</f>
        <v>0611862194050</v>
      </c>
      <c r="B4941" t="str">
        <f>"CE0852"</f>
        <v>CE0852</v>
      </c>
      <c r="C4941" t="s">
        <v>36786</v>
      </c>
      <c r="D4941" t="s">
        <v>27923</v>
      </c>
      <c r="E4941" t="str">
        <f t="shared" si="77"/>
        <v>001390</v>
      </c>
      <c r="F4941" t="s">
        <v>27246</v>
      </c>
      <c r="G4941" t="s">
        <v>27247</v>
      </c>
      <c r="H4941" t="s">
        <v>27248</v>
      </c>
      <c r="I4941" t="s">
        <v>36787</v>
      </c>
      <c r="J4941" t="s">
        <v>9853</v>
      </c>
      <c r="L4941" t="s">
        <v>27250</v>
      </c>
      <c r="M4941" t="s">
        <v>27251</v>
      </c>
      <c r="N4941" t="s">
        <v>27252</v>
      </c>
      <c r="P4941" t="s">
        <v>27925</v>
      </c>
      <c r="Q4941" s="1">
        <v>44846</v>
      </c>
      <c r="R4941" t="s">
        <v>27253</v>
      </c>
      <c r="S4941" t="s">
        <v>27254</v>
      </c>
      <c r="T4941" t="s">
        <v>27265</v>
      </c>
    </row>
    <row r="4942" spans="1:20" x14ac:dyDescent="0.3">
      <c r="A4942" t="str">
        <f>"0611862195050"</f>
        <v>0611862195050</v>
      </c>
      <c r="B4942" t="str">
        <f>"CE1282"</f>
        <v>CE1282</v>
      </c>
      <c r="C4942" t="s">
        <v>36788</v>
      </c>
      <c r="D4942" t="s">
        <v>27923</v>
      </c>
      <c r="E4942" t="str">
        <f t="shared" si="77"/>
        <v>001390</v>
      </c>
      <c r="F4942" t="s">
        <v>27246</v>
      </c>
      <c r="G4942" t="s">
        <v>27247</v>
      </c>
      <c r="H4942" t="s">
        <v>27248</v>
      </c>
      <c r="I4942" t="s">
        <v>36789</v>
      </c>
      <c r="J4942" t="s">
        <v>9855</v>
      </c>
      <c r="L4942" t="s">
        <v>27250</v>
      </c>
      <c r="M4942" t="s">
        <v>27251</v>
      </c>
      <c r="N4942" t="s">
        <v>27252</v>
      </c>
      <c r="P4942" t="s">
        <v>27925</v>
      </c>
      <c r="Q4942" s="1">
        <v>44846</v>
      </c>
      <c r="R4942" t="s">
        <v>27253</v>
      </c>
      <c r="S4942" t="s">
        <v>27254</v>
      </c>
      <c r="T4942" t="s">
        <v>27265</v>
      </c>
    </row>
    <row r="4943" spans="1:20" x14ac:dyDescent="0.3">
      <c r="A4943" t="str">
        <f>"0611862196050"</f>
        <v>0611862196050</v>
      </c>
      <c r="B4943" t="str">
        <f>"CE1607"</f>
        <v>CE1607</v>
      </c>
      <c r="C4943" t="s">
        <v>36790</v>
      </c>
      <c r="D4943" t="s">
        <v>27923</v>
      </c>
      <c r="E4943" t="str">
        <f t="shared" si="77"/>
        <v>001390</v>
      </c>
      <c r="F4943" t="s">
        <v>27246</v>
      </c>
      <c r="G4943" t="s">
        <v>27247</v>
      </c>
      <c r="H4943" t="s">
        <v>27248</v>
      </c>
      <c r="I4943" t="s">
        <v>36791</v>
      </c>
      <c r="J4943" t="s">
        <v>9859</v>
      </c>
      <c r="L4943" t="s">
        <v>27250</v>
      </c>
      <c r="M4943" t="s">
        <v>27251</v>
      </c>
      <c r="N4943" t="s">
        <v>27252</v>
      </c>
      <c r="P4943" t="s">
        <v>27925</v>
      </c>
      <c r="Q4943" s="1">
        <v>44846</v>
      </c>
      <c r="R4943" t="s">
        <v>27253</v>
      </c>
      <c r="S4943" t="s">
        <v>27254</v>
      </c>
      <c r="T4943" t="s">
        <v>27265</v>
      </c>
    </row>
    <row r="4944" spans="1:20" x14ac:dyDescent="0.3">
      <c r="A4944" t="str">
        <f>"0611862197050"</f>
        <v>0611862197050</v>
      </c>
      <c r="B4944" t="str">
        <f>"CE1111"</f>
        <v>CE1111</v>
      </c>
      <c r="C4944" t="s">
        <v>36792</v>
      </c>
      <c r="D4944" t="s">
        <v>27923</v>
      </c>
      <c r="E4944" t="str">
        <f t="shared" si="77"/>
        <v>001390</v>
      </c>
      <c r="F4944" t="s">
        <v>27246</v>
      </c>
      <c r="G4944" t="s">
        <v>27247</v>
      </c>
      <c r="H4944" t="s">
        <v>27248</v>
      </c>
      <c r="I4944" t="s">
        <v>36793</v>
      </c>
      <c r="J4944" t="s">
        <v>9857</v>
      </c>
      <c r="L4944" t="s">
        <v>27250</v>
      </c>
      <c r="M4944" t="s">
        <v>27251</v>
      </c>
      <c r="N4944" t="s">
        <v>27252</v>
      </c>
      <c r="P4944" t="s">
        <v>27925</v>
      </c>
      <c r="Q4944" s="1">
        <v>44846</v>
      </c>
      <c r="R4944" t="s">
        <v>27253</v>
      </c>
      <c r="S4944" t="s">
        <v>27254</v>
      </c>
      <c r="T4944" t="s">
        <v>27265</v>
      </c>
    </row>
    <row r="4945" spans="1:20" x14ac:dyDescent="0.3">
      <c r="A4945" t="str">
        <f>"0611862198050"</f>
        <v>0611862198050</v>
      </c>
      <c r="B4945" t="str">
        <f>"CE1110"</f>
        <v>CE1110</v>
      </c>
      <c r="C4945" t="s">
        <v>36794</v>
      </c>
      <c r="D4945" t="s">
        <v>27923</v>
      </c>
      <c r="E4945" t="str">
        <f t="shared" si="77"/>
        <v>001390</v>
      </c>
      <c r="F4945" t="s">
        <v>27246</v>
      </c>
      <c r="G4945" t="s">
        <v>27247</v>
      </c>
      <c r="H4945" t="s">
        <v>27248</v>
      </c>
      <c r="I4945" t="s">
        <v>36795</v>
      </c>
      <c r="J4945" t="s">
        <v>9861</v>
      </c>
      <c r="L4945" t="s">
        <v>27250</v>
      </c>
      <c r="M4945" t="s">
        <v>27251</v>
      </c>
      <c r="N4945" t="s">
        <v>27252</v>
      </c>
      <c r="P4945" t="s">
        <v>27925</v>
      </c>
      <c r="Q4945" s="1">
        <v>44846</v>
      </c>
      <c r="R4945" t="s">
        <v>27253</v>
      </c>
      <c r="S4945" t="s">
        <v>27254</v>
      </c>
      <c r="T4945" t="s">
        <v>27265</v>
      </c>
    </row>
    <row r="4946" spans="1:20" x14ac:dyDescent="0.3">
      <c r="A4946" t="str">
        <f>"0611862199050"</f>
        <v>0611862199050</v>
      </c>
      <c r="B4946" t="str">
        <f>"CE0635"</f>
        <v>CE0635</v>
      </c>
      <c r="C4946" t="s">
        <v>36796</v>
      </c>
      <c r="D4946" t="s">
        <v>27923</v>
      </c>
      <c r="E4946" t="str">
        <f t="shared" si="77"/>
        <v>001390</v>
      </c>
      <c r="F4946" t="s">
        <v>27246</v>
      </c>
      <c r="G4946" t="s">
        <v>27247</v>
      </c>
      <c r="H4946" t="s">
        <v>27248</v>
      </c>
      <c r="I4946" t="s">
        <v>36797</v>
      </c>
      <c r="J4946" t="s">
        <v>9863</v>
      </c>
      <c r="L4946" t="s">
        <v>27250</v>
      </c>
      <c r="M4946" t="s">
        <v>27251</v>
      </c>
      <c r="N4946" t="s">
        <v>27252</v>
      </c>
      <c r="P4946" t="s">
        <v>27925</v>
      </c>
      <c r="Q4946" s="1">
        <v>44846</v>
      </c>
      <c r="R4946" t="s">
        <v>27253</v>
      </c>
      <c r="S4946" t="s">
        <v>27254</v>
      </c>
      <c r="T4946" t="s">
        <v>27265</v>
      </c>
    </row>
    <row r="4947" spans="1:20" x14ac:dyDescent="0.3">
      <c r="A4947" t="str">
        <f>"0611862200050"</f>
        <v>0611862200050</v>
      </c>
      <c r="B4947" t="str">
        <f>"CE1187"</f>
        <v>CE1187</v>
      </c>
      <c r="C4947" t="s">
        <v>36798</v>
      </c>
      <c r="D4947" t="s">
        <v>27923</v>
      </c>
      <c r="E4947" t="str">
        <f t="shared" si="77"/>
        <v>001390</v>
      </c>
      <c r="F4947" t="s">
        <v>27246</v>
      </c>
      <c r="G4947" t="s">
        <v>27247</v>
      </c>
      <c r="H4947" t="s">
        <v>27248</v>
      </c>
      <c r="I4947" t="s">
        <v>36799</v>
      </c>
      <c r="J4947" t="s">
        <v>9865</v>
      </c>
      <c r="L4947" t="s">
        <v>27250</v>
      </c>
      <c r="M4947" t="s">
        <v>27251</v>
      </c>
      <c r="N4947" t="s">
        <v>27252</v>
      </c>
      <c r="P4947" t="s">
        <v>27925</v>
      </c>
      <c r="Q4947" s="1">
        <v>44846</v>
      </c>
      <c r="R4947" t="s">
        <v>27253</v>
      </c>
      <c r="S4947" t="s">
        <v>27254</v>
      </c>
      <c r="T4947" t="s">
        <v>27265</v>
      </c>
    </row>
    <row r="4948" spans="1:20" x14ac:dyDescent="0.3">
      <c r="A4948" t="str">
        <f>"0611862201050"</f>
        <v>0611862201050</v>
      </c>
      <c r="B4948" t="str">
        <f>"CE0636"</f>
        <v>CE0636</v>
      </c>
      <c r="C4948" t="s">
        <v>36800</v>
      </c>
      <c r="D4948" t="s">
        <v>27923</v>
      </c>
      <c r="E4948" t="str">
        <f t="shared" si="77"/>
        <v>001390</v>
      </c>
      <c r="F4948" t="s">
        <v>27246</v>
      </c>
      <c r="G4948" t="s">
        <v>27247</v>
      </c>
      <c r="H4948" t="s">
        <v>27248</v>
      </c>
      <c r="I4948" t="s">
        <v>36801</v>
      </c>
      <c r="J4948" t="s">
        <v>9867</v>
      </c>
      <c r="L4948" t="s">
        <v>27250</v>
      </c>
      <c r="M4948" t="s">
        <v>27251</v>
      </c>
      <c r="N4948" t="s">
        <v>27252</v>
      </c>
      <c r="P4948" t="s">
        <v>27925</v>
      </c>
      <c r="Q4948" s="1">
        <v>44846</v>
      </c>
      <c r="R4948" t="s">
        <v>27253</v>
      </c>
      <c r="S4948" t="s">
        <v>27254</v>
      </c>
      <c r="T4948" t="s">
        <v>27265</v>
      </c>
    </row>
    <row r="4949" spans="1:20" x14ac:dyDescent="0.3">
      <c r="A4949" t="str">
        <f>"0611862203050"</f>
        <v>0611862203050</v>
      </c>
      <c r="B4949" t="str">
        <f>"CE0928"</f>
        <v>CE0928</v>
      </c>
      <c r="C4949" t="s">
        <v>36802</v>
      </c>
      <c r="D4949" t="s">
        <v>27923</v>
      </c>
      <c r="E4949" t="str">
        <f t="shared" si="77"/>
        <v>001390</v>
      </c>
      <c r="F4949" t="s">
        <v>27246</v>
      </c>
      <c r="G4949" t="s">
        <v>27247</v>
      </c>
      <c r="H4949" t="s">
        <v>27248</v>
      </c>
      <c r="I4949" t="s">
        <v>36803</v>
      </c>
      <c r="J4949" t="s">
        <v>9869</v>
      </c>
      <c r="L4949" t="s">
        <v>27250</v>
      </c>
      <c r="M4949" t="s">
        <v>27251</v>
      </c>
      <c r="N4949" t="s">
        <v>27252</v>
      </c>
      <c r="P4949" t="s">
        <v>27925</v>
      </c>
      <c r="Q4949" s="1">
        <v>44846</v>
      </c>
      <c r="R4949" t="s">
        <v>27253</v>
      </c>
      <c r="S4949" t="s">
        <v>27254</v>
      </c>
      <c r="T4949" t="s">
        <v>27265</v>
      </c>
    </row>
    <row r="4950" spans="1:20" x14ac:dyDescent="0.3">
      <c r="A4950" t="str">
        <f>"0611862204050"</f>
        <v>0611862204050</v>
      </c>
      <c r="B4950" t="str">
        <f>"CE1206"</f>
        <v>CE1206</v>
      </c>
      <c r="C4950" t="s">
        <v>36804</v>
      </c>
      <c r="D4950" t="s">
        <v>27923</v>
      </c>
      <c r="E4950" t="str">
        <f t="shared" si="77"/>
        <v>001390</v>
      </c>
      <c r="F4950" t="s">
        <v>27246</v>
      </c>
      <c r="G4950" t="s">
        <v>27247</v>
      </c>
      <c r="H4950" t="s">
        <v>27248</v>
      </c>
      <c r="I4950" t="s">
        <v>36805</v>
      </c>
      <c r="J4950" t="s">
        <v>9871</v>
      </c>
      <c r="L4950" t="s">
        <v>27250</v>
      </c>
      <c r="M4950" t="s">
        <v>27251</v>
      </c>
      <c r="N4950" t="s">
        <v>27252</v>
      </c>
      <c r="P4950" t="s">
        <v>27925</v>
      </c>
      <c r="Q4950" s="1">
        <v>44846</v>
      </c>
      <c r="R4950" t="s">
        <v>27253</v>
      </c>
      <c r="S4950" t="s">
        <v>27254</v>
      </c>
      <c r="T4950" t="s">
        <v>27265</v>
      </c>
    </row>
    <row r="4951" spans="1:20" x14ac:dyDescent="0.3">
      <c r="A4951" t="str">
        <f>"0611862205050"</f>
        <v>0611862205050</v>
      </c>
      <c r="B4951" t="str">
        <f>"CE1189"</f>
        <v>CE1189</v>
      </c>
      <c r="C4951" t="s">
        <v>36806</v>
      </c>
      <c r="D4951" t="s">
        <v>27923</v>
      </c>
      <c r="E4951" t="str">
        <f t="shared" si="77"/>
        <v>001390</v>
      </c>
      <c r="F4951" t="s">
        <v>27246</v>
      </c>
      <c r="G4951" t="s">
        <v>27247</v>
      </c>
      <c r="H4951" t="s">
        <v>27248</v>
      </c>
      <c r="I4951" t="s">
        <v>36807</v>
      </c>
      <c r="J4951" t="s">
        <v>9873</v>
      </c>
      <c r="L4951" t="s">
        <v>27250</v>
      </c>
      <c r="M4951" t="s">
        <v>27251</v>
      </c>
      <c r="N4951" t="s">
        <v>27252</v>
      </c>
      <c r="P4951" t="s">
        <v>27925</v>
      </c>
      <c r="Q4951" s="1">
        <v>44846</v>
      </c>
      <c r="R4951" t="s">
        <v>27253</v>
      </c>
      <c r="S4951" t="s">
        <v>27254</v>
      </c>
      <c r="T4951" t="s">
        <v>27265</v>
      </c>
    </row>
    <row r="4952" spans="1:20" x14ac:dyDescent="0.3">
      <c r="A4952" t="str">
        <f>"0611862206050"</f>
        <v>0611862206050</v>
      </c>
      <c r="B4952" t="str">
        <f>"CE1662"</f>
        <v>CE1662</v>
      </c>
      <c r="C4952" t="s">
        <v>36808</v>
      </c>
      <c r="D4952" t="s">
        <v>27923</v>
      </c>
      <c r="E4952" t="str">
        <f t="shared" si="77"/>
        <v>001390</v>
      </c>
      <c r="F4952" t="s">
        <v>27246</v>
      </c>
      <c r="G4952" t="s">
        <v>27247</v>
      </c>
      <c r="H4952" t="s">
        <v>27248</v>
      </c>
      <c r="I4952" t="s">
        <v>36809</v>
      </c>
      <c r="J4952" t="s">
        <v>9875</v>
      </c>
      <c r="L4952" t="s">
        <v>27250</v>
      </c>
      <c r="M4952" t="s">
        <v>27251</v>
      </c>
      <c r="N4952" t="s">
        <v>27252</v>
      </c>
      <c r="P4952" t="s">
        <v>27925</v>
      </c>
      <c r="Q4952" s="1">
        <v>44846</v>
      </c>
      <c r="R4952" t="s">
        <v>27253</v>
      </c>
      <c r="S4952" t="s">
        <v>27254</v>
      </c>
      <c r="T4952" t="s">
        <v>27265</v>
      </c>
    </row>
    <row r="4953" spans="1:20" x14ac:dyDescent="0.3">
      <c r="A4953" t="str">
        <f>"0611862207050"</f>
        <v>0611862207050</v>
      </c>
      <c r="B4953" t="str">
        <f>"CE0929"</f>
        <v>CE0929</v>
      </c>
      <c r="C4953" t="s">
        <v>36810</v>
      </c>
      <c r="D4953" t="s">
        <v>27923</v>
      </c>
      <c r="E4953" t="str">
        <f t="shared" si="77"/>
        <v>001390</v>
      </c>
      <c r="F4953" t="s">
        <v>27246</v>
      </c>
      <c r="G4953" t="s">
        <v>27247</v>
      </c>
      <c r="H4953" t="s">
        <v>27248</v>
      </c>
      <c r="I4953" t="s">
        <v>36811</v>
      </c>
      <c r="J4953" t="s">
        <v>9877</v>
      </c>
      <c r="L4953" t="s">
        <v>27250</v>
      </c>
      <c r="M4953" t="s">
        <v>27251</v>
      </c>
      <c r="N4953" t="s">
        <v>27252</v>
      </c>
      <c r="P4953" t="s">
        <v>27925</v>
      </c>
      <c r="Q4953" s="1">
        <v>44846</v>
      </c>
      <c r="R4953" t="s">
        <v>27253</v>
      </c>
      <c r="S4953" t="s">
        <v>27254</v>
      </c>
      <c r="T4953" t="s">
        <v>27265</v>
      </c>
    </row>
    <row r="4954" spans="1:20" x14ac:dyDescent="0.3">
      <c r="A4954" t="str">
        <f>"0611862208050"</f>
        <v>0611862208050</v>
      </c>
      <c r="B4954" t="str">
        <f>"CE1112"</f>
        <v>CE1112</v>
      </c>
      <c r="C4954" t="s">
        <v>36812</v>
      </c>
      <c r="D4954" t="s">
        <v>27923</v>
      </c>
      <c r="E4954" t="str">
        <f t="shared" si="77"/>
        <v>001390</v>
      </c>
      <c r="F4954" t="s">
        <v>27246</v>
      </c>
      <c r="G4954" t="s">
        <v>27247</v>
      </c>
      <c r="H4954" t="s">
        <v>27248</v>
      </c>
      <c r="I4954" t="s">
        <v>36813</v>
      </c>
      <c r="J4954" t="s">
        <v>9879</v>
      </c>
      <c r="L4954" t="s">
        <v>27250</v>
      </c>
      <c r="M4954" t="s">
        <v>27251</v>
      </c>
      <c r="N4954" t="s">
        <v>27252</v>
      </c>
      <c r="P4954" t="s">
        <v>27925</v>
      </c>
      <c r="Q4954" s="1">
        <v>44846</v>
      </c>
      <c r="R4954" t="s">
        <v>27253</v>
      </c>
      <c r="S4954" t="s">
        <v>27254</v>
      </c>
      <c r="T4954" t="s">
        <v>27265</v>
      </c>
    </row>
    <row r="4955" spans="1:20" x14ac:dyDescent="0.3">
      <c r="A4955" t="str">
        <f>"0611862209050"</f>
        <v>0611862209050</v>
      </c>
      <c r="B4955" t="str">
        <f>"CE1113"</f>
        <v>CE1113</v>
      </c>
      <c r="C4955" t="s">
        <v>36814</v>
      </c>
      <c r="D4955" t="s">
        <v>27923</v>
      </c>
      <c r="E4955" t="str">
        <f t="shared" si="77"/>
        <v>001390</v>
      </c>
      <c r="F4955" t="s">
        <v>27246</v>
      </c>
      <c r="G4955" t="s">
        <v>27247</v>
      </c>
      <c r="H4955" t="s">
        <v>27248</v>
      </c>
      <c r="I4955" t="s">
        <v>36815</v>
      </c>
      <c r="J4955" t="s">
        <v>9881</v>
      </c>
      <c r="L4955" t="s">
        <v>27250</v>
      </c>
      <c r="M4955" t="s">
        <v>27251</v>
      </c>
      <c r="N4955" t="s">
        <v>27252</v>
      </c>
      <c r="P4955" t="s">
        <v>27925</v>
      </c>
      <c r="Q4955" s="1">
        <v>44846</v>
      </c>
      <c r="R4955" t="s">
        <v>27253</v>
      </c>
      <c r="S4955" t="s">
        <v>27254</v>
      </c>
      <c r="T4955" t="s">
        <v>27265</v>
      </c>
    </row>
    <row r="4956" spans="1:20" x14ac:dyDescent="0.3">
      <c r="A4956" t="str">
        <f>"0611884230050"</f>
        <v>0611884230050</v>
      </c>
      <c r="B4956" t="str">
        <f>"CE1748"</f>
        <v>CE1748</v>
      </c>
      <c r="C4956" t="s">
        <v>36816</v>
      </c>
      <c r="D4956" t="s">
        <v>27923</v>
      </c>
      <c r="E4956" t="str">
        <f t="shared" si="77"/>
        <v>001390</v>
      </c>
      <c r="F4956" t="s">
        <v>27246</v>
      </c>
      <c r="G4956" t="s">
        <v>27247</v>
      </c>
      <c r="H4956" t="s">
        <v>27248</v>
      </c>
      <c r="I4956" t="s">
        <v>36817</v>
      </c>
      <c r="J4956" t="s">
        <v>9883</v>
      </c>
      <c r="L4956" t="s">
        <v>27430</v>
      </c>
      <c r="M4956" t="s">
        <v>27251</v>
      </c>
      <c r="N4956" t="s">
        <v>27252</v>
      </c>
      <c r="P4956" t="s">
        <v>27925</v>
      </c>
      <c r="Q4956" s="1">
        <v>45250</v>
      </c>
      <c r="R4956" t="s">
        <v>27253</v>
      </c>
      <c r="S4956" t="s">
        <v>27254</v>
      </c>
      <c r="T4956" t="s">
        <v>27265</v>
      </c>
    </row>
    <row r="4957" spans="1:20" x14ac:dyDescent="0.3">
      <c r="A4957" t="str">
        <f>"0611856959100"</f>
        <v>0611856959100</v>
      </c>
      <c r="B4957" t="str">
        <f>"LQ3882"</f>
        <v>LQ3882</v>
      </c>
      <c r="C4957" t="s">
        <v>36818</v>
      </c>
      <c r="D4957" t="s">
        <v>27245</v>
      </c>
      <c r="E4957" t="str">
        <f t="shared" si="77"/>
        <v>001390</v>
      </c>
      <c r="F4957" t="s">
        <v>27246</v>
      </c>
      <c r="G4957" t="s">
        <v>27247</v>
      </c>
      <c r="H4957" t="s">
        <v>27248</v>
      </c>
      <c r="I4957" t="s">
        <v>36819</v>
      </c>
      <c r="J4957" t="s">
        <v>9885</v>
      </c>
      <c r="L4957" t="s">
        <v>27250</v>
      </c>
      <c r="M4957" t="s">
        <v>27251</v>
      </c>
      <c r="N4957" t="s">
        <v>27252</v>
      </c>
      <c r="Q4957" s="1">
        <v>44812</v>
      </c>
      <c r="R4957" t="s">
        <v>27253</v>
      </c>
      <c r="S4957" t="s">
        <v>27254</v>
      </c>
      <c r="T4957" t="s">
        <v>27255</v>
      </c>
    </row>
    <row r="4958" spans="1:20" x14ac:dyDescent="0.3">
      <c r="A4958" t="str">
        <f>"0611862210050"</f>
        <v>0611862210050</v>
      </c>
      <c r="B4958" t="str">
        <f>"CR2960"</f>
        <v>CR2960</v>
      </c>
      <c r="C4958" t="s">
        <v>36820</v>
      </c>
      <c r="D4958" t="s">
        <v>27263</v>
      </c>
      <c r="E4958" t="str">
        <f t="shared" si="77"/>
        <v>001390</v>
      </c>
      <c r="F4958" t="s">
        <v>27246</v>
      </c>
      <c r="G4958" t="s">
        <v>27247</v>
      </c>
      <c r="H4958" t="s">
        <v>27248</v>
      </c>
      <c r="I4958" t="s">
        <v>36821</v>
      </c>
      <c r="J4958" t="s">
        <v>9887</v>
      </c>
      <c r="L4958" t="s">
        <v>27250</v>
      </c>
      <c r="M4958" t="s">
        <v>27251</v>
      </c>
      <c r="N4958" t="s">
        <v>27252</v>
      </c>
      <c r="Q4958" s="1">
        <v>44846</v>
      </c>
      <c r="R4958" t="s">
        <v>27253</v>
      </c>
      <c r="S4958" t="s">
        <v>27254</v>
      </c>
      <c r="T4958" t="s">
        <v>27265</v>
      </c>
    </row>
    <row r="4959" spans="1:20" x14ac:dyDescent="0.3">
      <c r="A4959" t="str">
        <f>"0611862211050"</f>
        <v>0611862211050</v>
      </c>
      <c r="B4959" t="str">
        <f>"CR3380"</f>
        <v>CR3380</v>
      </c>
      <c r="C4959" t="s">
        <v>36822</v>
      </c>
      <c r="D4959" t="s">
        <v>27263</v>
      </c>
      <c r="E4959" t="str">
        <f t="shared" si="77"/>
        <v>001390</v>
      </c>
      <c r="F4959" t="s">
        <v>27246</v>
      </c>
      <c r="G4959" t="s">
        <v>27247</v>
      </c>
      <c r="H4959" t="s">
        <v>27248</v>
      </c>
      <c r="I4959" t="s">
        <v>36823</v>
      </c>
      <c r="J4959" t="s">
        <v>9889</v>
      </c>
      <c r="L4959" t="s">
        <v>27250</v>
      </c>
      <c r="M4959" t="s">
        <v>27251</v>
      </c>
      <c r="N4959" t="s">
        <v>27252</v>
      </c>
      <c r="Q4959" s="1">
        <v>44846</v>
      </c>
      <c r="R4959" t="s">
        <v>27253</v>
      </c>
      <c r="S4959" t="s">
        <v>27254</v>
      </c>
      <c r="T4959" t="s">
        <v>27265</v>
      </c>
    </row>
    <row r="4960" spans="1:20" x14ac:dyDescent="0.3">
      <c r="A4960" t="str">
        <f>"0611862212050"</f>
        <v>0611862212050</v>
      </c>
      <c r="B4960" t="str">
        <f>"CR3378"</f>
        <v>CR3378</v>
      </c>
      <c r="C4960" t="s">
        <v>36824</v>
      </c>
      <c r="D4960" t="s">
        <v>27263</v>
      </c>
      <c r="E4960" t="str">
        <f t="shared" si="77"/>
        <v>001390</v>
      </c>
      <c r="F4960" t="s">
        <v>27246</v>
      </c>
      <c r="G4960" t="s">
        <v>27247</v>
      </c>
      <c r="H4960" t="s">
        <v>27248</v>
      </c>
      <c r="I4960" t="s">
        <v>36825</v>
      </c>
      <c r="J4960" t="s">
        <v>9891</v>
      </c>
      <c r="L4960" t="s">
        <v>27250</v>
      </c>
      <c r="M4960" t="s">
        <v>27251</v>
      </c>
      <c r="N4960" t="s">
        <v>27252</v>
      </c>
      <c r="Q4960" s="1">
        <v>44846</v>
      </c>
      <c r="R4960" t="s">
        <v>27253</v>
      </c>
      <c r="S4960" t="s">
        <v>27254</v>
      </c>
      <c r="T4960" t="s">
        <v>27265</v>
      </c>
    </row>
    <row r="4961" spans="1:20" x14ac:dyDescent="0.3">
      <c r="A4961" t="str">
        <f>"0611862213050"</f>
        <v>0611862213050</v>
      </c>
      <c r="B4961" t="str">
        <f>"CR4026"</f>
        <v>CR4026</v>
      </c>
      <c r="C4961" t="s">
        <v>36826</v>
      </c>
      <c r="D4961" t="s">
        <v>27263</v>
      </c>
      <c r="E4961" t="str">
        <f t="shared" si="77"/>
        <v>001390</v>
      </c>
      <c r="F4961" t="s">
        <v>27246</v>
      </c>
      <c r="G4961" t="s">
        <v>27247</v>
      </c>
      <c r="H4961" t="s">
        <v>27248</v>
      </c>
      <c r="I4961" t="s">
        <v>36827</v>
      </c>
      <c r="J4961" t="s">
        <v>9893</v>
      </c>
      <c r="L4961" t="s">
        <v>27250</v>
      </c>
      <c r="M4961" t="s">
        <v>27251</v>
      </c>
      <c r="N4961" t="s">
        <v>27252</v>
      </c>
      <c r="Q4961" s="1">
        <v>44846</v>
      </c>
      <c r="R4961" t="s">
        <v>27253</v>
      </c>
      <c r="S4961" t="s">
        <v>27254</v>
      </c>
      <c r="T4961" t="s">
        <v>27265</v>
      </c>
    </row>
    <row r="4962" spans="1:20" x14ac:dyDescent="0.3">
      <c r="A4962" t="str">
        <f>"0611862214050"</f>
        <v>0611862214050</v>
      </c>
      <c r="B4962" t="str">
        <f>"CR4028"</f>
        <v>CR4028</v>
      </c>
      <c r="C4962" t="s">
        <v>36828</v>
      </c>
      <c r="D4962" t="s">
        <v>27263</v>
      </c>
      <c r="E4962" t="str">
        <f t="shared" si="77"/>
        <v>001390</v>
      </c>
      <c r="F4962" t="s">
        <v>27246</v>
      </c>
      <c r="G4962" t="s">
        <v>27247</v>
      </c>
      <c r="H4962" t="s">
        <v>27248</v>
      </c>
      <c r="I4962" t="s">
        <v>36829</v>
      </c>
      <c r="J4962" t="s">
        <v>9895</v>
      </c>
      <c r="L4962" t="s">
        <v>27250</v>
      </c>
      <c r="M4962" t="s">
        <v>27251</v>
      </c>
      <c r="N4962" t="s">
        <v>27252</v>
      </c>
      <c r="Q4962" s="1">
        <v>44846</v>
      </c>
      <c r="R4962" t="s">
        <v>27253</v>
      </c>
      <c r="S4962" t="s">
        <v>27254</v>
      </c>
      <c r="T4962" t="s">
        <v>27265</v>
      </c>
    </row>
    <row r="4963" spans="1:20" x14ac:dyDescent="0.3">
      <c r="A4963" t="str">
        <f>"0611862215050"</f>
        <v>0611862215050</v>
      </c>
      <c r="B4963" t="str">
        <f>"CR3299"</f>
        <v>CR3299</v>
      </c>
      <c r="C4963" t="s">
        <v>36830</v>
      </c>
      <c r="D4963" t="s">
        <v>27263</v>
      </c>
      <c r="E4963" t="str">
        <f t="shared" si="77"/>
        <v>001390</v>
      </c>
      <c r="F4963" t="s">
        <v>27246</v>
      </c>
      <c r="G4963" t="s">
        <v>27247</v>
      </c>
      <c r="H4963" t="s">
        <v>27248</v>
      </c>
      <c r="I4963" t="s">
        <v>36831</v>
      </c>
      <c r="J4963" t="s">
        <v>9897</v>
      </c>
      <c r="L4963" t="s">
        <v>27250</v>
      </c>
      <c r="M4963" t="s">
        <v>27251</v>
      </c>
      <c r="N4963" t="s">
        <v>27252</v>
      </c>
      <c r="Q4963" s="1">
        <v>44846</v>
      </c>
      <c r="R4963" t="s">
        <v>27253</v>
      </c>
      <c r="S4963" t="s">
        <v>27254</v>
      </c>
      <c r="T4963" t="s">
        <v>27265</v>
      </c>
    </row>
    <row r="4964" spans="1:20" x14ac:dyDescent="0.3">
      <c r="A4964" t="str">
        <f>"0611862216050"</f>
        <v>0611862216050</v>
      </c>
      <c r="B4964" t="str">
        <f>"CR2237"</f>
        <v>CR2237</v>
      </c>
      <c r="C4964" t="s">
        <v>36832</v>
      </c>
      <c r="D4964" t="s">
        <v>27263</v>
      </c>
      <c r="E4964" t="str">
        <f t="shared" si="77"/>
        <v>001390</v>
      </c>
      <c r="F4964" t="s">
        <v>27246</v>
      </c>
      <c r="G4964" t="s">
        <v>27247</v>
      </c>
      <c r="H4964" t="s">
        <v>27248</v>
      </c>
      <c r="I4964" t="s">
        <v>36833</v>
      </c>
      <c r="J4964" t="s">
        <v>9899</v>
      </c>
      <c r="L4964" t="s">
        <v>27250</v>
      </c>
      <c r="M4964" t="s">
        <v>27251</v>
      </c>
      <c r="N4964" t="s">
        <v>27252</v>
      </c>
      <c r="Q4964" s="1">
        <v>44846</v>
      </c>
      <c r="R4964" t="s">
        <v>27253</v>
      </c>
      <c r="S4964" t="s">
        <v>27254</v>
      </c>
      <c r="T4964" t="s">
        <v>27265</v>
      </c>
    </row>
    <row r="4965" spans="1:20" x14ac:dyDescent="0.3">
      <c r="A4965" t="str">
        <f>"0611862217050"</f>
        <v>0611862217050</v>
      </c>
      <c r="B4965" t="str">
        <f>"CR2235"</f>
        <v>CR2235</v>
      </c>
      <c r="C4965" t="s">
        <v>36834</v>
      </c>
      <c r="D4965" t="s">
        <v>27263</v>
      </c>
      <c r="E4965" t="str">
        <f t="shared" si="77"/>
        <v>001390</v>
      </c>
      <c r="F4965" t="s">
        <v>27246</v>
      </c>
      <c r="G4965" t="s">
        <v>27247</v>
      </c>
      <c r="H4965" t="s">
        <v>27248</v>
      </c>
      <c r="I4965" t="s">
        <v>36835</v>
      </c>
      <c r="J4965" t="s">
        <v>9901</v>
      </c>
      <c r="L4965" t="s">
        <v>27250</v>
      </c>
      <c r="M4965" t="s">
        <v>27251</v>
      </c>
      <c r="N4965" t="s">
        <v>27252</v>
      </c>
      <c r="Q4965" s="1">
        <v>44846</v>
      </c>
      <c r="R4965" t="s">
        <v>27253</v>
      </c>
      <c r="S4965" t="s">
        <v>27254</v>
      </c>
      <c r="T4965" t="s">
        <v>27265</v>
      </c>
    </row>
    <row r="4966" spans="1:20" x14ac:dyDescent="0.3">
      <c r="A4966" t="str">
        <f>"0611862218050"</f>
        <v>0611862218050</v>
      </c>
      <c r="B4966" t="str">
        <f>"CR2236"</f>
        <v>CR2236</v>
      </c>
      <c r="C4966" t="s">
        <v>36836</v>
      </c>
      <c r="D4966" t="s">
        <v>27263</v>
      </c>
      <c r="E4966" t="str">
        <f t="shared" si="77"/>
        <v>001390</v>
      </c>
      <c r="F4966" t="s">
        <v>27246</v>
      </c>
      <c r="G4966" t="s">
        <v>27247</v>
      </c>
      <c r="H4966" t="s">
        <v>27248</v>
      </c>
      <c r="I4966" t="s">
        <v>36837</v>
      </c>
      <c r="J4966" t="s">
        <v>9903</v>
      </c>
      <c r="L4966" t="s">
        <v>27250</v>
      </c>
      <c r="M4966" t="s">
        <v>27251</v>
      </c>
      <c r="N4966" t="s">
        <v>27252</v>
      </c>
      <c r="Q4966" s="1">
        <v>44846</v>
      </c>
      <c r="R4966" t="s">
        <v>27253</v>
      </c>
      <c r="S4966" t="s">
        <v>27254</v>
      </c>
      <c r="T4966" t="s">
        <v>27265</v>
      </c>
    </row>
    <row r="4967" spans="1:20" x14ac:dyDescent="0.3">
      <c r="A4967" t="str">
        <f>"0611862219050"</f>
        <v>0611862219050</v>
      </c>
      <c r="B4967" t="str">
        <f>"CE0643"</f>
        <v>CE0643</v>
      </c>
      <c r="C4967" t="s">
        <v>36838</v>
      </c>
      <c r="D4967" t="s">
        <v>27923</v>
      </c>
      <c r="E4967" t="str">
        <f t="shared" si="77"/>
        <v>001390</v>
      </c>
      <c r="F4967" t="s">
        <v>27246</v>
      </c>
      <c r="G4967" t="s">
        <v>27247</v>
      </c>
      <c r="H4967" t="s">
        <v>27248</v>
      </c>
      <c r="I4967" t="s">
        <v>36839</v>
      </c>
      <c r="J4967" t="s">
        <v>9905</v>
      </c>
      <c r="L4967" t="s">
        <v>27250</v>
      </c>
      <c r="M4967" t="s">
        <v>27251</v>
      </c>
      <c r="N4967" t="s">
        <v>27252</v>
      </c>
      <c r="P4967" t="s">
        <v>27925</v>
      </c>
      <c r="Q4967" s="1">
        <v>44846</v>
      </c>
      <c r="R4967" t="s">
        <v>27253</v>
      </c>
      <c r="S4967" t="s">
        <v>27254</v>
      </c>
      <c r="T4967" t="s">
        <v>27265</v>
      </c>
    </row>
    <row r="4968" spans="1:20" x14ac:dyDescent="0.3">
      <c r="A4968" t="str">
        <f>"0611862220050"</f>
        <v>0611862220050</v>
      </c>
      <c r="B4968" t="str">
        <f>"CE1328"</f>
        <v>CE1328</v>
      </c>
      <c r="C4968" t="s">
        <v>36840</v>
      </c>
      <c r="D4968" t="s">
        <v>27923</v>
      </c>
      <c r="E4968" t="str">
        <f t="shared" si="77"/>
        <v>001390</v>
      </c>
      <c r="F4968" t="s">
        <v>27246</v>
      </c>
      <c r="G4968" t="s">
        <v>27247</v>
      </c>
      <c r="H4968" t="s">
        <v>27248</v>
      </c>
      <c r="I4968" t="s">
        <v>36841</v>
      </c>
      <c r="J4968" t="s">
        <v>9907</v>
      </c>
      <c r="L4968" t="s">
        <v>27250</v>
      </c>
      <c r="M4968" t="s">
        <v>27251</v>
      </c>
      <c r="N4968" t="s">
        <v>27252</v>
      </c>
      <c r="P4968" t="s">
        <v>27925</v>
      </c>
      <c r="Q4968" s="1">
        <v>44846</v>
      </c>
      <c r="R4968" t="s">
        <v>27253</v>
      </c>
      <c r="S4968" t="s">
        <v>27254</v>
      </c>
      <c r="T4968" t="s">
        <v>27265</v>
      </c>
    </row>
    <row r="4969" spans="1:20" x14ac:dyDescent="0.3">
      <c r="A4969" t="str">
        <f>"0611862221050"</f>
        <v>0611862221050</v>
      </c>
      <c r="B4969" t="str">
        <f>"CE0644"</f>
        <v>CE0644</v>
      </c>
      <c r="C4969" t="s">
        <v>36842</v>
      </c>
      <c r="D4969" t="s">
        <v>27923</v>
      </c>
      <c r="E4969" t="str">
        <f t="shared" si="77"/>
        <v>001390</v>
      </c>
      <c r="F4969" t="s">
        <v>27246</v>
      </c>
      <c r="G4969" t="s">
        <v>27247</v>
      </c>
      <c r="H4969" t="s">
        <v>27248</v>
      </c>
      <c r="I4969" t="s">
        <v>36843</v>
      </c>
      <c r="J4969" t="s">
        <v>9909</v>
      </c>
      <c r="L4969" t="s">
        <v>27250</v>
      </c>
      <c r="M4969" t="s">
        <v>27251</v>
      </c>
      <c r="N4969" t="s">
        <v>27252</v>
      </c>
      <c r="P4969" t="s">
        <v>27925</v>
      </c>
      <c r="Q4969" s="1">
        <v>44846</v>
      </c>
      <c r="R4969" t="s">
        <v>27253</v>
      </c>
      <c r="S4969" t="s">
        <v>27254</v>
      </c>
      <c r="T4969" t="s">
        <v>27265</v>
      </c>
    </row>
    <row r="4970" spans="1:20" x14ac:dyDescent="0.3">
      <c r="A4970" t="str">
        <f>"0611862222050"</f>
        <v>0611862222050</v>
      </c>
      <c r="B4970" t="str">
        <f>"CE1329"</f>
        <v>CE1329</v>
      </c>
      <c r="C4970" t="s">
        <v>36844</v>
      </c>
      <c r="D4970" t="s">
        <v>27923</v>
      </c>
      <c r="E4970" t="str">
        <f t="shared" si="77"/>
        <v>001390</v>
      </c>
      <c r="F4970" t="s">
        <v>27246</v>
      </c>
      <c r="G4970" t="s">
        <v>27247</v>
      </c>
      <c r="H4970" t="s">
        <v>27248</v>
      </c>
      <c r="I4970" t="s">
        <v>36845</v>
      </c>
      <c r="J4970" t="s">
        <v>9911</v>
      </c>
      <c r="L4970" t="s">
        <v>27250</v>
      </c>
      <c r="M4970" t="s">
        <v>27251</v>
      </c>
      <c r="N4970" t="s">
        <v>27252</v>
      </c>
      <c r="P4970" t="s">
        <v>27925</v>
      </c>
      <c r="Q4970" s="1">
        <v>44846</v>
      </c>
      <c r="R4970" t="s">
        <v>27253</v>
      </c>
      <c r="S4970" t="s">
        <v>27254</v>
      </c>
      <c r="T4970" t="s">
        <v>27265</v>
      </c>
    </row>
    <row r="4971" spans="1:20" x14ac:dyDescent="0.3">
      <c r="A4971" t="str">
        <f>"0611862223050"</f>
        <v>0611862223050</v>
      </c>
      <c r="B4971" t="str">
        <f>"CE0645"</f>
        <v>CE0645</v>
      </c>
      <c r="C4971" t="s">
        <v>36846</v>
      </c>
      <c r="D4971" t="s">
        <v>27923</v>
      </c>
      <c r="E4971" t="str">
        <f t="shared" si="77"/>
        <v>001390</v>
      </c>
      <c r="F4971" t="s">
        <v>27246</v>
      </c>
      <c r="G4971" t="s">
        <v>27247</v>
      </c>
      <c r="H4971" t="s">
        <v>27248</v>
      </c>
      <c r="I4971" t="s">
        <v>36847</v>
      </c>
      <c r="J4971" t="s">
        <v>9913</v>
      </c>
      <c r="L4971" t="s">
        <v>27250</v>
      </c>
      <c r="M4971" t="s">
        <v>27251</v>
      </c>
      <c r="N4971" t="s">
        <v>27252</v>
      </c>
      <c r="P4971" t="s">
        <v>27925</v>
      </c>
      <c r="Q4971" s="1">
        <v>44846</v>
      </c>
      <c r="R4971" t="s">
        <v>27253</v>
      </c>
      <c r="S4971" t="s">
        <v>27254</v>
      </c>
      <c r="T4971" t="s">
        <v>27265</v>
      </c>
    </row>
    <row r="4972" spans="1:20" x14ac:dyDescent="0.3">
      <c r="A4972" t="str">
        <f>"0611862224050"</f>
        <v>0611862224050</v>
      </c>
      <c r="B4972" t="str">
        <f>"CE0646"</f>
        <v>CE0646</v>
      </c>
      <c r="C4972" t="s">
        <v>36848</v>
      </c>
      <c r="D4972" t="s">
        <v>27923</v>
      </c>
      <c r="E4972" t="str">
        <f t="shared" si="77"/>
        <v>001390</v>
      </c>
      <c r="F4972" t="s">
        <v>27246</v>
      </c>
      <c r="G4972" t="s">
        <v>27247</v>
      </c>
      <c r="H4972" t="s">
        <v>27248</v>
      </c>
      <c r="I4972" t="s">
        <v>36849</v>
      </c>
      <c r="J4972" t="s">
        <v>9915</v>
      </c>
      <c r="L4972" t="s">
        <v>27250</v>
      </c>
      <c r="M4972" t="s">
        <v>27251</v>
      </c>
      <c r="N4972" t="s">
        <v>27252</v>
      </c>
      <c r="P4972" t="s">
        <v>27925</v>
      </c>
      <c r="Q4972" s="1">
        <v>44846</v>
      </c>
      <c r="R4972" t="s">
        <v>27253</v>
      </c>
      <c r="S4972" t="s">
        <v>27254</v>
      </c>
      <c r="T4972" t="s">
        <v>27265</v>
      </c>
    </row>
    <row r="4973" spans="1:20" x14ac:dyDescent="0.3">
      <c r="A4973" t="str">
        <f>"0611862225050"</f>
        <v>0611862225050</v>
      </c>
      <c r="B4973" t="str">
        <f>"CE0647"</f>
        <v>CE0647</v>
      </c>
      <c r="C4973" t="s">
        <v>36850</v>
      </c>
      <c r="D4973" t="s">
        <v>27923</v>
      </c>
      <c r="E4973" t="str">
        <f t="shared" si="77"/>
        <v>001390</v>
      </c>
      <c r="F4973" t="s">
        <v>27246</v>
      </c>
      <c r="G4973" t="s">
        <v>27247</v>
      </c>
      <c r="H4973" t="s">
        <v>27248</v>
      </c>
      <c r="I4973" t="s">
        <v>36851</v>
      </c>
      <c r="J4973" t="s">
        <v>9917</v>
      </c>
      <c r="L4973" t="s">
        <v>27250</v>
      </c>
      <c r="M4973" t="s">
        <v>27251</v>
      </c>
      <c r="N4973" t="s">
        <v>27252</v>
      </c>
      <c r="P4973" t="s">
        <v>27925</v>
      </c>
      <c r="Q4973" s="1">
        <v>44846</v>
      </c>
      <c r="R4973" t="s">
        <v>27253</v>
      </c>
      <c r="S4973" t="s">
        <v>27254</v>
      </c>
      <c r="T4973" t="s">
        <v>27265</v>
      </c>
    </row>
    <row r="4974" spans="1:20" x14ac:dyDescent="0.3">
      <c r="A4974" t="str">
        <f>"0611837187100"</f>
        <v>0611837187100</v>
      </c>
      <c r="B4974" t="str">
        <f>"LQ3803"</f>
        <v>LQ3803</v>
      </c>
      <c r="C4974" t="s">
        <v>36852</v>
      </c>
      <c r="D4974" t="s">
        <v>27245</v>
      </c>
      <c r="E4974" t="str">
        <f t="shared" si="77"/>
        <v>001390</v>
      </c>
      <c r="F4974" t="s">
        <v>27246</v>
      </c>
      <c r="G4974" t="s">
        <v>27247</v>
      </c>
      <c r="H4974" t="s">
        <v>27248</v>
      </c>
      <c r="I4974" t="s">
        <v>36853</v>
      </c>
      <c r="J4974" t="s">
        <v>9919</v>
      </c>
      <c r="L4974" t="s">
        <v>27250</v>
      </c>
      <c r="M4974" t="s">
        <v>27251</v>
      </c>
      <c r="N4974" t="s">
        <v>27252</v>
      </c>
      <c r="Q4974" s="1">
        <v>44538</v>
      </c>
      <c r="R4974" t="s">
        <v>27253</v>
      </c>
      <c r="S4974" t="s">
        <v>27254</v>
      </c>
      <c r="T4974" t="s">
        <v>27255</v>
      </c>
    </row>
    <row r="4975" spans="1:20" x14ac:dyDescent="0.3">
      <c r="A4975" t="str">
        <f>"0611837188100"</f>
        <v>0611837188100</v>
      </c>
      <c r="B4975" t="str">
        <f>"LQ3592"</f>
        <v>LQ3592</v>
      </c>
      <c r="C4975" t="s">
        <v>36854</v>
      </c>
      <c r="D4975" t="s">
        <v>27245</v>
      </c>
      <c r="E4975" t="str">
        <f t="shared" si="77"/>
        <v>001390</v>
      </c>
      <c r="F4975" t="s">
        <v>27246</v>
      </c>
      <c r="G4975" t="s">
        <v>27247</v>
      </c>
      <c r="H4975" t="s">
        <v>27248</v>
      </c>
      <c r="I4975" t="s">
        <v>36855</v>
      </c>
      <c r="J4975" t="s">
        <v>9921</v>
      </c>
      <c r="L4975" t="s">
        <v>27250</v>
      </c>
      <c r="M4975" t="s">
        <v>27251</v>
      </c>
      <c r="N4975" t="s">
        <v>27252</v>
      </c>
      <c r="Q4975" s="1">
        <v>44538</v>
      </c>
      <c r="R4975" t="s">
        <v>27253</v>
      </c>
      <c r="S4975" t="s">
        <v>27254</v>
      </c>
      <c r="T4975" t="s">
        <v>27255</v>
      </c>
    </row>
    <row r="4976" spans="1:20" x14ac:dyDescent="0.3">
      <c r="A4976" t="str">
        <f>"0611837189100"</f>
        <v>0611837189100</v>
      </c>
      <c r="B4976" t="str">
        <f>"LQ3593"</f>
        <v>LQ3593</v>
      </c>
      <c r="C4976" t="s">
        <v>36856</v>
      </c>
      <c r="D4976" t="s">
        <v>27245</v>
      </c>
      <c r="E4976" t="str">
        <f t="shared" si="77"/>
        <v>001390</v>
      </c>
      <c r="F4976" t="s">
        <v>27246</v>
      </c>
      <c r="G4976" t="s">
        <v>27247</v>
      </c>
      <c r="H4976" t="s">
        <v>27248</v>
      </c>
      <c r="I4976" t="s">
        <v>36857</v>
      </c>
      <c r="J4976" t="s">
        <v>9923</v>
      </c>
      <c r="L4976" t="s">
        <v>27250</v>
      </c>
      <c r="M4976" t="s">
        <v>27251</v>
      </c>
      <c r="N4976" t="s">
        <v>27252</v>
      </c>
      <c r="Q4976" s="1">
        <v>44538</v>
      </c>
      <c r="R4976" t="s">
        <v>27253</v>
      </c>
      <c r="S4976" t="s">
        <v>27254</v>
      </c>
      <c r="T4976" t="s">
        <v>27255</v>
      </c>
    </row>
    <row r="4977" spans="1:20" x14ac:dyDescent="0.3">
      <c r="A4977" t="str">
        <f>"0611837190100"</f>
        <v>0611837190100</v>
      </c>
      <c r="B4977" t="str">
        <f>"LQ3804"</f>
        <v>LQ3804</v>
      </c>
      <c r="C4977" t="s">
        <v>36858</v>
      </c>
      <c r="D4977" t="s">
        <v>27245</v>
      </c>
      <c r="E4977" t="str">
        <f t="shared" si="77"/>
        <v>001390</v>
      </c>
      <c r="F4977" t="s">
        <v>27246</v>
      </c>
      <c r="G4977" t="s">
        <v>27247</v>
      </c>
      <c r="H4977" t="s">
        <v>27248</v>
      </c>
      <c r="I4977" t="s">
        <v>36859</v>
      </c>
      <c r="J4977" t="s">
        <v>9925</v>
      </c>
      <c r="L4977" t="s">
        <v>27250</v>
      </c>
      <c r="M4977" t="s">
        <v>27251</v>
      </c>
      <c r="N4977" t="s">
        <v>27252</v>
      </c>
      <c r="Q4977" s="1">
        <v>44538</v>
      </c>
      <c r="R4977" t="s">
        <v>27253</v>
      </c>
      <c r="S4977" t="s">
        <v>27254</v>
      </c>
      <c r="T4977" t="s">
        <v>27255</v>
      </c>
    </row>
    <row r="4978" spans="1:20" x14ac:dyDescent="0.3">
      <c r="A4978" t="str">
        <f>"0611837191100"</f>
        <v>0611837191100</v>
      </c>
      <c r="B4978" t="str">
        <f>"LQ3594"</f>
        <v>LQ3594</v>
      </c>
      <c r="C4978" t="s">
        <v>36860</v>
      </c>
      <c r="D4978" t="s">
        <v>27245</v>
      </c>
      <c r="E4978" t="str">
        <f t="shared" si="77"/>
        <v>001390</v>
      </c>
      <c r="F4978" t="s">
        <v>27246</v>
      </c>
      <c r="G4978" t="s">
        <v>27247</v>
      </c>
      <c r="H4978" t="s">
        <v>27248</v>
      </c>
      <c r="I4978" t="s">
        <v>36861</v>
      </c>
      <c r="J4978" t="s">
        <v>9927</v>
      </c>
      <c r="L4978" t="s">
        <v>27250</v>
      </c>
      <c r="M4978" t="s">
        <v>27251</v>
      </c>
      <c r="N4978" t="s">
        <v>27252</v>
      </c>
      <c r="Q4978" s="1">
        <v>44538</v>
      </c>
      <c r="R4978" t="s">
        <v>27253</v>
      </c>
      <c r="S4978" t="s">
        <v>27254</v>
      </c>
      <c r="T4978" t="s">
        <v>27255</v>
      </c>
    </row>
    <row r="4979" spans="1:20" x14ac:dyDescent="0.3">
      <c r="A4979" t="str">
        <f>"0611862226050"</f>
        <v>0611862226050</v>
      </c>
      <c r="B4979" t="str">
        <f>"CR4989"</f>
        <v>CR4989</v>
      </c>
      <c r="C4979" t="s">
        <v>36862</v>
      </c>
      <c r="D4979" t="s">
        <v>27263</v>
      </c>
      <c r="E4979" t="str">
        <f t="shared" si="77"/>
        <v>001390</v>
      </c>
      <c r="F4979" t="s">
        <v>27246</v>
      </c>
      <c r="G4979" t="s">
        <v>27247</v>
      </c>
      <c r="H4979" t="s">
        <v>27248</v>
      </c>
      <c r="I4979" t="s">
        <v>36863</v>
      </c>
      <c r="J4979" t="s">
        <v>9931</v>
      </c>
      <c r="L4979" t="s">
        <v>27250</v>
      </c>
      <c r="M4979" t="s">
        <v>27251</v>
      </c>
      <c r="N4979" t="s">
        <v>27252</v>
      </c>
      <c r="Q4979" s="1">
        <v>44846</v>
      </c>
      <c r="R4979" t="s">
        <v>27253</v>
      </c>
      <c r="S4979" t="s">
        <v>27254</v>
      </c>
      <c r="T4979" t="s">
        <v>27265</v>
      </c>
    </row>
    <row r="4980" spans="1:20" x14ac:dyDescent="0.3">
      <c r="A4980" t="str">
        <f>"0611837192100"</f>
        <v>0611837192100</v>
      </c>
      <c r="B4980" t="str">
        <f>"LC6659"</f>
        <v>LC6659</v>
      </c>
      <c r="C4980" t="s">
        <v>36864</v>
      </c>
      <c r="D4980" t="s">
        <v>27245</v>
      </c>
      <c r="E4980" t="str">
        <f t="shared" si="77"/>
        <v>001390</v>
      </c>
      <c r="F4980" t="s">
        <v>27246</v>
      </c>
      <c r="G4980" t="s">
        <v>27247</v>
      </c>
      <c r="H4980" t="s">
        <v>27248</v>
      </c>
      <c r="I4980" t="s">
        <v>36865</v>
      </c>
      <c r="J4980" t="s">
        <v>9933</v>
      </c>
      <c r="L4980" t="s">
        <v>27250</v>
      </c>
      <c r="M4980" t="s">
        <v>27251</v>
      </c>
      <c r="N4980" t="s">
        <v>27252</v>
      </c>
      <c r="Q4980" s="1">
        <v>44538</v>
      </c>
      <c r="R4980" t="s">
        <v>27253</v>
      </c>
      <c r="S4980" t="s">
        <v>27254</v>
      </c>
      <c r="T4980" t="s">
        <v>27255</v>
      </c>
    </row>
    <row r="4981" spans="1:20" x14ac:dyDescent="0.3">
      <c r="A4981" t="str">
        <f>"0611862227050"</f>
        <v>0611862227050</v>
      </c>
      <c r="B4981" t="str">
        <f>"CE0685"</f>
        <v>CE0685</v>
      </c>
      <c r="C4981" t="s">
        <v>36866</v>
      </c>
      <c r="D4981" t="s">
        <v>27923</v>
      </c>
      <c r="E4981" t="str">
        <f t="shared" si="77"/>
        <v>001390</v>
      </c>
      <c r="F4981" t="s">
        <v>27246</v>
      </c>
      <c r="G4981" t="s">
        <v>27247</v>
      </c>
      <c r="H4981" t="s">
        <v>27248</v>
      </c>
      <c r="I4981" t="s">
        <v>36867</v>
      </c>
      <c r="J4981" t="s">
        <v>9935</v>
      </c>
      <c r="L4981" t="s">
        <v>27250</v>
      </c>
      <c r="M4981" t="s">
        <v>27251</v>
      </c>
      <c r="N4981" t="s">
        <v>27252</v>
      </c>
      <c r="P4981" t="s">
        <v>27925</v>
      </c>
      <c r="Q4981" s="1">
        <v>44846</v>
      </c>
      <c r="R4981" t="s">
        <v>27253</v>
      </c>
      <c r="S4981" t="s">
        <v>27254</v>
      </c>
      <c r="T4981" t="s">
        <v>27265</v>
      </c>
    </row>
    <row r="4982" spans="1:20" x14ac:dyDescent="0.3">
      <c r="A4982" t="str">
        <f>"0611862228050"</f>
        <v>0611862228050</v>
      </c>
      <c r="B4982" t="str">
        <f>"CE0779"</f>
        <v>CE0779</v>
      </c>
      <c r="C4982" t="s">
        <v>36868</v>
      </c>
      <c r="D4982" t="s">
        <v>27923</v>
      </c>
      <c r="E4982" t="str">
        <f t="shared" si="77"/>
        <v>001390</v>
      </c>
      <c r="F4982" t="s">
        <v>27246</v>
      </c>
      <c r="G4982" t="s">
        <v>27247</v>
      </c>
      <c r="H4982" t="s">
        <v>27248</v>
      </c>
      <c r="I4982" t="s">
        <v>36869</v>
      </c>
      <c r="J4982" t="s">
        <v>9937</v>
      </c>
      <c r="L4982" t="s">
        <v>27250</v>
      </c>
      <c r="M4982" t="s">
        <v>27251</v>
      </c>
      <c r="N4982" t="s">
        <v>27252</v>
      </c>
      <c r="P4982" t="s">
        <v>27925</v>
      </c>
      <c r="Q4982" s="1">
        <v>44846</v>
      </c>
      <c r="R4982" t="s">
        <v>27253</v>
      </c>
      <c r="S4982" t="s">
        <v>27254</v>
      </c>
      <c r="T4982" t="s">
        <v>27265</v>
      </c>
    </row>
    <row r="4983" spans="1:20" x14ac:dyDescent="0.3">
      <c r="A4983" t="str">
        <f>"0611837195100"</f>
        <v>0611837195100</v>
      </c>
      <c r="B4983" t="str">
        <f>"LK3571"</f>
        <v>LK3571</v>
      </c>
      <c r="C4983" t="s">
        <v>36870</v>
      </c>
      <c r="D4983" t="s">
        <v>27245</v>
      </c>
      <c r="E4983" t="str">
        <f t="shared" si="77"/>
        <v>001390</v>
      </c>
      <c r="F4983" t="s">
        <v>27246</v>
      </c>
      <c r="G4983" t="s">
        <v>27247</v>
      </c>
      <c r="H4983" t="s">
        <v>27248</v>
      </c>
      <c r="I4983" t="s">
        <v>36871</v>
      </c>
      <c r="J4983" t="s">
        <v>9939</v>
      </c>
      <c r="L4983" t="s">
        <v>27250</v>
      </c>
      <c r="M4983" t="s">
        <v>27251</v>
      </c>
      <c r="N4983" t="s">
        <v>27252</v>
      </c>
      <c r="Q4983" s="1">
        <v>44538</v>
      </c>
      <c r="R4983" t="s">
        <v>27253</v>
      </c>
      <c r="S4983" t="s">
        <v>27254</v>
      </c>
      <c r="T4983" t="s">
        <v>27255</v>
      </c>
    </row>
    <row r="4984" spans="1:20" x14ac:dyDescent="0.3">
      <c r="A4984" t="str">
        <f>"0611862230050"</f>
        <v>0611862230050</v>
      </c>
      <c r="B4984" t="str">
        <f>"CE0648"</f>
        <v>CE0648</v>
      </c>
      <c r="C4984" t="s">
        <v>36872</v>
      </c>
      <c r="D4984" t="s">
        <v>28556</v>
      </c>
      <c r="E4984" t="str">
        <f t="shared" si="77"/>
        <v>001390</v>
      </c>
      <c r="F4984" t="s">
        <v>27246</v>
      </c>
      <c r="G4984" t="s">
        <v>27247</v>
      </c>
      <c r="H4984" t="s">
        <v>27248</v>
      </c>
      <c r="I4984" t="s">
        <v>36873</v>
      </c>
      <c r="J4984" t="s">
        <v>9941</v>
      </c>
      <c r="L4984" t="s">
        <v>27250</v>
      </c>
      <c r="M4984" t="s">
        <v>27251</v>
      </c>
      <c r="N4984" t="s">
        <v>27252</v>
      </c>
      <c r="P4984" t="s">
        <v>27925</v>
      </c>
      <c r="Q4984" s="1">
        <v>44846</v>
      </c>
      <c r="R4984" t="s">
        <v>27253</v>
      </c>
      <c r="S4984" t="s">
        <v>27254</v>
      </c>
      <c r="T4984" t="s">
        <v>28378</v>
      </c>
    </row>
    <row r="4985" spans="1:20" x14ac:dyDescent="0.3">
      <c r="A4985" t="str">
        <f>"0611862238050"</f>
        <v>0611862238050</v>
      </c>
      <c r="B4985" t="str">
        <f>"CE0655"</f>
        <v>CE0655</v>
      </c>
      <c r="C4985" t="s">
        <v>36874</v>
      </c>
      <c r="D4985" t="s">
        <v>28556</v>
      </c>
      <c r="E4985" t="str">
        <f t="shared" si="77"/>
        <v>001390</v>
      </c>
      <c r="F4985" t="s">
        <v>27246</v>
      </c>
      <c r="G4985" t="s">
        <v>27247</v>
      </c>
      <c r="H4985" t="s">
        <v>27248</v>
      </c>
      <c r="I4985" t="s">
        <v>36875</v>
      </c>
      <c r="J4985" t="s">
        <v>9943</v>
      </c>
      <c r="L4985" t="s">
        <v>27250</v>
      </c>
      <c r="M4985" t="s">
        <v>27251</v>
      </c>
      <c r="N4985" t="s">
        <v>27252</v>
      </c>
      <c r="P4985" t="s">
        <v>27925</v>
      </c>
      <c r="Q4985" s="1">
        <v>44846</v>
      </c>
      <c r="R4985" t="s">
        <v>27253</v>
      </c>
      <c r="S4985" t="s">
        <v>27254</v>
      </c>
      <c r="T4985" t="s">
        <v>28378</v>
      </c>
    </row>
    <row r="4986" spans="1:20" x14ac:dyDescent="0.3">
      <c r="A4986" t="str">
        <f>"0611837196100"</f>
        <v>0611837196100</v>
      </c>
      <c r="B4986" t="str">
        <f>"LS0024"</f>
        <v>LS0024</v>
      </c>
      <c r="C4986" t="s">
        <v>36876</v>
      </c>
      <c r="D4986" t="s">
        <v>27245</v>
      </c>
      <c r="E4986" t="str">
        <f t="shared" si="77"/>
        <v>001390</v>
      </c>
      <c r="F4986" t="s">
        <v>27246</v>
      </c>
      <c r="G4986" t="s">
        <v>27247</v>
      </c>
      <c r="H4986" t="s">
        <v>27248</v>
      </c>
      <c r="I4986" t="s">
        <v>36877</v>
      </c>
      <c r="J4986" t="s">
        <v>9945</v>
      </c>
      <c r="L4986" t="s">
        <v>27250</v>
      </c>
      <c r="M4986" t="s">
        <v>27251</v>
      </c>
      <c r="N4986" t="s">
        <v>27252</v>
      </c>
      <c r="Q4986" s="1">
        <v>44538</v>
      </c>
      <c r="R4986" t="s">
        <v>27253</v>
      </c>
      <c r="S4986" t="s">
        <v>27254</v>
      </c>
      <c r="T4986" t="s">
        <v>27255</v>
      </c>
    </row>
    <row r="4987" spans="1:20" x14ac:dyDescent="0.3">
      <c r="A4987" t="str">
        <f>"0611837198100"</f>
        <v>0611837198100</v>
      </c>
      <c r="B4987" t="str">
        <f>"LK4768"</f>
        <v>LK4768</v>
      </c>
      <c r="C4987" t="s">
        <v>36878</v>
      </c>
      <c r="D4987" t="s">
        <v>27245</v>
      </c>
      <c r="E4987" t="str">
        <f t="shared" si="77"/>
        <v>001390</v>
      </c>
      <c r="F4987" t="s">
        <v>27246</v>
      </c>
      <c r="G4987" t="s">
        <v>27247</v>
      </c>
      <c r="H4987" t="s">
        <v>27248</v>
      </c>
      <c r="I4987" t="s">
        <v>36879</v>
      </c>
      <c r="J4987" t="s">
        <v>9947</v>
      </c>
      <c r="L4987" t="s">
        <v>27250</v>
      </c>
      <c r="M4987" t="s">
        <v>27251</v>
      </c>
      <c r="N4987" t="s">
        <v>27252</v>
      </c>
      <c r="Q4987" s="1">
        <v>44538</v>
      </c>
      <c r="R4987" t="s">
        <v>27253</v>
      </c>
      <c r="S4987" t="s">
        <v>27254</v>
      </c>
      <c r="T4987" t="s">
        <v>27255</v>
      </c>
    </row>
    <row r="4988" spans="1:20" x14ac:dyDescent="0.3">
      <c r="A4988" t="str">
        <f>"0611862240050"</f>
        <v>0611862240050</v>
      </c>
      <c r="B4988" t="str">
        <f>"CR2238"</f>
        <v>CR2238</v>
      </c>
      <c r="C4988" t="s">
        <v>36880</v>
      </c>
      <c r="D4988" t="s">
        <v>27271</v>
      </c>
      <c r="E4988" t="str">
        <f t="shared" si="77"/>
        <v>001390</v>
      </c>
      <c r="F4988" t="s">
        <v>27246</v>
      </c>
      <c r="G4988" t="s">
        <v>27247</v>
      </c>
      <c r="H4988" t="s">
        <v>27248</v>
      </c>
      <c r="I4988" t="s">
        <v>36881</v>
      </c>
      <c r="J4988" t="s">
        <v>9949</v>
      </c>
      <c r="L4988" t="s">
        <v>27250</v>
      </c>
      <c r="M4988" t="s">
        <v>27251</v>
      </c>
      <c r="N4988" t="s">
        <v>27252</v>
      </c>
      <c r="P4988" t="s">
        <v>27341</v>
      </c>
      <c r="Q4988" s="1">
        <v>44846</v>
      </c>
      <c r="R4988" t="s">
        <v>27253</v>
      </c>
      <c r="S4988" t="s">
        <v>27254</v>
      </c>
      <c r="T4988" t="s">
        <v>27265</v>
      </c>
    </row>
    <row r="4989" spans="1:20" x14ac:dyDescent="0.3">
      <c r="A4989" t="str">
        <f>"0611862241050"</f>
        <v>0611862241050</v>
      </c>
      <c r="B4989" t="str">
        <f>"CR2239"</f>
        <v>CR2239</v>
      </c>
      <c r="C4989" t="s">
        <v>36882</v>
      </c>
      <c r="D4989" t="s">
        <v>27271</v>
      </c>
      <c r="E4989" t="str">
        <f t="shared" si="77"/>
        <v>001390</v>
      </c>
      <c r="F4989" t="s">
        <v>27246</v>
      </c>
      <c r="G4989" t="s">
        <v>27247</v>
      </c>
      <c r="H4989" t="s">
        <v>27248</v>
      </c>
      <c r="I4989" t="s">
        <v>36883</v>
      </c>
      <c r="J4989" t="s">
        <v>9951</v>
      </c>
      <c r="L4989" t="s">
        <v>27250</v>
      </c>
      <c r="M4989" t="s">
        <v>27251</v>
      </c>
      <c r="N4989" t="s">
        <v>27252</v>
      </c>
      <c r="P4989" t="s">
        <v>27341</v>
      </c>
      <c r="Q4989" s="1">
        <v>44846</v>
      </c>
      <c r="R4989" t="s">
        <v>27253</v>
      </c>
      <c r="S4989" t="s">
        <v>27254</v>
      </c>
      <c r="T4989" t="s">
        <v>27265</v>
      </c>
    </row>
    <row r="4990" spans="1:20" x14ac:dyDescent="0.3">
      <c r="A4990" t="str">
        <f>"0611862242050"</f>
        <v>0611862242050</v>
      </c>
      <c r="B4990" t="str">
        <f>"CR2240"</f>
        <v>CR2240</v>
      </c>
      <c r="C4990" t="s">
        <v>36884</v>
      </c>
      <c r="D4990" t="s">
        <v>27271</v>
      </c>
      <c r="E4990" t="str">
        <f t="shared" si="77"/>
        <v>001390</v>
      </c>
      <c r="F4990" t="s">
        <v>27246</v>
      </c>
      <c r="G4990" t="s">
        <v>27247</v>
      </c>
      <c r="H4990" t="s">
        <v>27248</v>
      </c>
      <c r="I4990" t="s">
        <v>36885</v>
      </c>
      <c r="J4990" t="s">
        <v>9953</v>
      </c>
      <c r="L4990" t="s">
        <v>27250</v>
      </c>
      <c r="M4990" t="s">
        <v>27251</v>
      </c>
      <c r="N4990" t="s">
        <v>27252</v>
      </c>
      <c r="P4990" t="s">
        <v>27341</v>
      </c>
      <c r="Q4990" s="1">
        <v>44846</v>
      </c>
      <c r="R4990" t="s">
        <v>27253</v>
      </c>
      <c r="S4990" t="s">
        <v>27254</v>
      </c>
      <c r="T4990" t="s">
        <v>27265</v>
      </c>
    </row>
    <row r="4991" spans="1:20" x14ac:dyDescent="0.3">
      <c r="A4991" t="str">
        <f>"0611862243050"</f>
        <v>0611862243050</v>
      </c>
      <c r="B4991" t="str">
        <f>"CR2241"</f>
        <v>CR2241</v>
      </c>
      <c r="C4991" t="s">
        <v>36886</v>
      </c>
      <c r="D4991" t="s">
        <v>27271</v>
      </c>
      <c r="E4991" t="str">
        <f t="shared" si="77"/>
        <v>001390</v>
      </c>
      <c r="F4991" t="s">
        <v>27246</v>
      </c>
      <c r="G4991" t="s">
        <v>27247</v>
      </c>
      <c r="H4991" t="s">
        <v>27248</v>
      </c>
      <c r="I4991" t="s">
        <v>36887</v>
      </c>
      <c r="J4991" t="s">
        <v>9955</v>
      </c>
      <c r="L4991" t="s">
        <v>27250</v>
      </c>
      <c r="M4991" t="s">
        <v>27251</v>
      </c>
      <c r="N4991" t="s">
        <v>27252</v>
      </c>
      <c r="P4991" t="s">
        <v>27341</v>
      </c>
      <c r="Q4991" s="1">
        <v>44846</v>
      </c>
      <c r="R4991" t="s">
        <v>27253</v>
      </c>
      <c r="S4991" t="s">
        <v>27254</v>
      </c>
      <c r="T4991" t="s">
        <v>27265</v>
      </c>
    </row>
    <row r="4992" spans="1:20" x14ac:dyDescent="0.3">
      <c r="A4992" t="str">
        <f>"0611837201100"</f>
        <v>0611837201100</v>
      </c>
      <c r="B4992" t="str">
        <f>"LQ3750"</f>
        <v>LQ3750</v>
      </c>
      <c r="C4992" t="s">
        <v>36888</v>
      </c>
      <c r="D4992" t="s">
        <v>27245</v>
      </c>
      <c r="E4992" t="str">
        <f t="shared" si="77"/>
        <v>001390</v>
      </c>
      <c r="F4992" t="s">
        <v>27246</v>
      </c>
      <c r="G4992" t="s">
        <v>27247</v>
      </c>
      <c r="H4992" t="s">
        <v>27248</v>
      </c>
      <c r="I4992" t="s">
        <v>36889</v>
      </c>
      <c r="J4992" t="s">
        <v>9959</v>
      </c>
      <c r="L4992" t="s">
        <v>27250</v>
      </c>
      <c r="M4992" t="s">
        <v>27251</v>
      </c>
      <c r="N4992" t="s">
        <v>27252</v>
      </c>
      <c r="Q4992" s="1">
        <v>44538</v>
      </c>
      <c r="R4992" t="s">
        <v>27253</v>
      </c>
      <c r="S4992" t="s">
        <v>27254</v>
      </c>
      <c r="T4992" t="s">
        <v>27255</v>
      </c>
    </row>
    <row r="4993" spans="1:20" x14ac:dyDescent="0.3">
      <c r="A4993" t="str">
        <f>"0611837202100"</f>
        <v>0611837202100</v>
      </c>
      <c r="B4993" t="str">
        <f>"LQ3595"</f>
        <v>LQ3595</v>
      </c>
      <c r="C4993" t="s">
        <v>36890</v>
      </c>
      <c r="D4993" t="s">
        <v>27245</v>
      </c>
      <c r="E4993" t="str">
        <f t="shared" si="77"/>
        <v>001390</v>
      </c>
      <c r="F4993" t="s">
        <v>27246</v>
      </c>
      <c r="G4993" t="s">
        <v>27247</v>
      </c>
      <c r="H4993" t="s">
        <v>27248</v>
      </c>
      <c r="I4993" t="s">
        <v>36891</v>
      </c>
      <c r="J4993" t="s">
        <v>9961</v>
      </c>
      <c r="L4993" t="s">
        <v>27250</v>
      </c>
      <c r="M4993" t="s">
        <v>27251</v>
      </c>
      <c r="N4993" t="s">
        <v>27252</v>
      </c>
      <c r="Q4993" s="1">
        <v>44538</v>
      </c>
      <c r="R4993" t="s">
        <v>27253</v>
      </c>
      <c r="S4993" t="s">
        <v>27254</v>
      </c>
      <c r="T4993" t="s">
        <v>27255</v>
      </c>
    </row>
    <row r="4994" spans="1:20" x14ac:dyDescent="0.3">
      <c r="A4994" t="str">
        <f>"0611837203100"</f>
        <v>0611837203100</v>
      </c>
      <c r="B4994" t="str">
        <f>"LQ3596"</f>
        <v>LQ3596</v>
      </c>
      <c r="C4994" t="s">
        <v>36892</v>
      </c>
      <c r="D4994" t="s">
        <v>27245</v>
      </c>
      <c r="E4994" t="str">
        <f t="shared" ref="E4994:E5057" si="78">"001390"</f>
        <v>001390</v>
      </c>
      <c r="F4994" t="s">
        <v>27246</v>
      </c>
      <c r="G4994" t="s">
        <v>27247</v>
      </c>
      <c r="H4994" t="s">
        <v>27248</v>
      </c>
      <c r="I4994" t="s">
        <v>36893</v>
      </c>
      <c r="J4994" t="s">
        <v>9963</v>
      </c>
      <c r="L4994" t="s">
        <v>27250</v>
      </c>
      <c r="M4994" t="s">
        <v>27251</v>
      </c>
      <c r="N4994" t="s">
        <v>27252</v>
      </c>
      <c r="Q4994" s="1">
        <v>44538</v>
      </c>
      <c r="R4994" t="s">
        <v>27253</v>
      </c>
      <c r="S4994" t="s">
        <v>27254</v>
      </c>
      <c r="T4994" t="s">
        <v>27255</v>
      </c>
    </row>
    <row r="4995" spans="1:20" x14ac:dyDescent="0.3">
      <c r="A4995" t="str">
        <f>"0611862244050"</f>
        <v>0611862244050</v>
      </c>
      <c r="B4995" t="str">
        <f>"CR2242"</f>
        <v>CR2242</v>
      </c>
      <c r="C4995" t="s">
        <v>36894</v>
      </c>
      <c r="D4995" t="s">
        <v>27263</v>
      </c>
      <c r="E4995" t="str">
        <f t="shared" si="78"/>
        <v>001390</v>
      </c>
      <c r="F4995" t="s">
        <v>27246</v>
      </c>
      <c r="G4995" t="s">
        <v>27247</v>
      </c>
      <c r="H4995" t="s">
        <v>27248</v>
      </c>
      <c r="I4995" t="s">
        <v>36895</v>
      </c>
      <c r="J4995" t="s">
        <v>9965</v>
      </c>
      <c r="L4995" t="s">
        <v>27250</v>
      </c>
      <c r="M4995" t="s">
        <v>27251</v>
      </c>
      <c r="N4995" t="s">
        <v>27252</v>
      </c>
      <c r="Q4995" s="1">
        <v>44846</v>
      </c>
      <c r="R4995" t="s">
        <v>27253</v>
      </c>
      <c r="S4995" t="s">
        <v>27254</v>
      </c>
      <c r="T4995" t="s">
        <v>27265</v>
      </c>
    </row>
    <row r="4996" spans="1:20" x14ac:dyDescent="0.3">
      <c r="A4996" t="str">
        <f>"0611837204100"</f>
        <v>0611837204100</v>
      </c>
      <c r="B4996" t="str">
        <f>"LQ3754"</f>
        <v>LQ3754</v>
      </c>
      <c r="C4996" t="s">
        <v>36896</v>
      </c>
      <c r="D4996" t="s">
        <v>27245</v>
      </c>
      <c r="E4996" t="str">
        <f t="shared" si="78"/>
        <v>001390</v>
      </c>
      <c r="F4996" t="s">
        <v>27246</v>
      </c>
      <c r="G4996" t="s">
        <v>27247</v>
      </c>
      <c r="H4996" t="s">
        <v>27248</v>
      </c>
      <c r="I4996" t="s">
        <v>36897</v>
      </c>
      <c r="J4996" t="s">
        <v>9967</v>
      </c>
      <c r="L4996" t="s">
        <v>27250</v>
      </c>
      <c r="M4996" t="s">
        <v>27251</v>
      </c>
      <c r="N4996" t="s">
        <v>27252</v>
      </c>
      <c r="Q4996" s="1">
        <v>44538</v>
      </c>
      <c r="R4996" t="s">
        <v>27253</v>
      </c>
      <c r="S4996" t="s">
        <v>27254</v>
      </c>
      <c r="T4996" t="s">
        <v>27255</v>
      </c>
    </row>
    <row r="4997" spans="1:20" x14ac:dyDescent="0.3">
      <c r="A4997" t="str">
        <f>"0611837206100"</f>
        <v>0611837206100</v>
      </c>
      <c r="B4997" t="str">
        <f>"LS0026"</f>
        <v>LS0026</v>
      </c>
      <c r="C4997" t="s">
        <v>36898</v>
      </c>
      <c r="D4997" t="s">
        <v>27245</v>
      </c>
      <c r="E4997" t="str">
        <f t="shared" si="78"/>
        <v>001390</v>
      </c>
      <c r="F4997" t="s">
        <v>27246</v>
      </c>
      <c r="G4997" t="s">
        <v>27247</v>
      </c>
      <c r="H4997" t="s">
        <v>27248</v>
      </c>
      <c r="I4997" t="s">
        <v>36899</v>
      </c>
      <c r="J4997" t="s">
        <v>9969</v>
      </c>
      <c r="L4997" t="s">
        <v>27250</v>
      </c>
      <c r="M4997" t="s">
        <v>27251</v>
      </c>
      <c r="N4997" t="s">
        <v>27252</v>
      </c>
      <c r="Q4997" s="1">
        <v>44538</v>
      </c>
      <c r="R4997" t="s">
        <v>27253</v>
      </c>
      <c r="S4997" t="s">
        <v>27254</v>
      </c>
      <c r="T4997" t="s">
        <v>27255</v>
      </c>
    </row>
    <row r="4998" spans="1:20" x14ac:dyDescent="0.3">
      <c r="A4998" t="str">
        <f>"0611837205100"</f>
        <v>0611837205100</v>
      </c>
      <c r="B4998" t="str">
        <f>"LS0025"</f>
        <v>LS0025</v>
      </c>
      <c r="C4998" t="s">
        <v>36900</v>
      </c>
      <c r="D4998" t="s">
        <v>27245</v>
      </c>
      <c r="E4998" t="str">
        <f t="shared" si="78"/>
        <v>001390</v>
      </c>
      <c r="F4998" t="s">
        <v>27246</v>
      </c>
      <c r="G4998" t="s">
        <v>27247</v>
      </c>
      <c r="H4998" t="s">
        <v>27248</v>
      </c>
      <c r="I4998" t="s">
        <v>36901</v>
      </c>
      <c r="J4998" t="s">
        <v>9957</v>
      </c>
      <c r="L4998" t="s">
        <v>27250</v>
      </c>
      <c r="M4998" t="s">
        <v>27251</v>
      </c>
      <c r="N4998" t="s">
        <v>27252</v>
      </c>
      <c r="Q4998" s="1">
        <v>44538</v>
      </c>
      <c r="R4998" t="s">
        <v>27253</v>
      </c>
      <c r="S4998" t="s">
        <v>27254</v>
      </c>
      <c r="T4998" t="s">
        <v>27255</v>
      </c>
    </row>
    <row r="4999" spans="1:20" x14ac:dyDescent="0.3">
      <c r="A4999" t="str">
        <f>"0611837207100"</f>
        <v>0611837207100</v>
      </c>
      <c r="B4999" t="str">
        <f>"LQ3751"</f>
        <v>LQ3751</v>
      </c>
      <c r="C4999" t="s">
        <v>36902</v>
      </c>
      <c r="D4999" t="s">
        <v>27245</v>
      </c>
      <c r="E4999" t="str">
        <f t="shared" si="78"/>
        <v>001390</v>
      </c>
      <c r="F4999" t="s">
        <v>27246</v>
      </c>
      <c r="G4999" t="s">
        <v>27247</v>
      </c>
      <c r="H4999" t="s">
        <v>27248</v>
      </c>
      <c r="I4999" t="s">
        <v>36903</v>
      </c>
      <c r="J4999" t="s">
        <v>9971</v>
      </c>
      <c r="L4999" t="s">
        <v>27250</v>
      </c>
      <c r="M4999" t="s">
        <v>27251</v>
      </c>
      <c r="N4999" t="s">
        <v>27252</v>
      </c>
      <c r="Q4999" s="1">
        <v>44538</v>
      </c>
      <c r="R4999" t="s">
        <v>27253</v>
      </c>
      <c r="S4999" t="s">
        <v>27254</v>
      </c>
      <c r="T4999" t="s">
        <v>27255</v>
      </c>
    </row>
    <row r="5000" spans="1:20" x14ac:dyDescent="0.3">
      <c r="A5000" t="str">
        <f>"0611862245050"</f>
        <v>0611862245050</v>
      </c>
      <c r="B5000" t="str">
        <f>"CR2826"</f>
        <v>CR2826</v>
      </c>
      <c r="C5000" t="s">
        <v>36904</v>
      </c>
      <c r="D5000" t="s">
        <v>27271</v>
      </c>
      <c r="E5000" t="str">
        <f t="shared" si="78"/>
        <v>001390</v>
      </c>
      <c r="F5000" t="s">
        <v>27246</v>
      </c>
      <c r="G5000" t="s">
        <v>27247</v>
      </c>
      <c r="H5000" t="s">
        <v>27248</v>
      </c>
      <c r="I5000" t="s">
        <v>36905</v>
      </c>
      <c r="J5000" t="s">
        <v>9973</v>
      </c>
      <c r="L5000" t="s">
        <v>27250</v>
      </c>
      <c r="M5000" t="s">
        <v>27251</v>
      </c>
      <c r="N5000" t="s">
        <v>27252</v>
      </c>
      <c r="P5000" t="s">
        <v>27341</v>
      </c>
      <c r="Q5000" s="1">
        <v>44846</v>
      </c>
      <c r="R5000" t="s">
        <v>27253</v>
      </c>
      <c r="S5000" t="s">
        <v>27254</v>
      </c>
      <c r="T5000" t="s">
        <v>27265</v>
      </c>
    </row>
    <row r="5001" spans="1:20" x14ac:dyDescent="0.3">
      <c r="A5001" t="str">
        <f>"0611862246050"</f>
        <v>0611862246050</v>
      </c>
      <c r="B5001" t="str">
        <f>"CR2827"</f>
        <v>CR2827</v>
      </c>
      <c r="C5001" t="s">
        <v>36906</v>
      </c>
      <c r="D5001" t="s">
        <v>27271</v>
      </c>
      <c r="E5001" t="str">
        <f t="shared" si="78"/>
        <v>001390</v>
      </c>
      <c r="F5001" t="s">
        <v>27246</v>
      </c>
      <c r="G5001" t="s">
        <v>27247</v>
      </c>
      <c r="H5001" t="s">
        <v>27248</v>
      </c>
      <c r="I5001" t="s">
        <v>36907</v>
      </c>
      <c r="J5001" t="s">
        <v>9975</v>
      </c>
      <c r="L5001" t="s">
        <v>27250</v>
      </c>
      <c r="M5001" t="s">
        <v>27251</v>
      </c>
      <c r="N5001" t="s">
        <v>27252</v>
      </c>
      <c r="P5001" t="s">
        <v>27341</v>
      </c>
      <c r="Q5001" s="1">
        <v>44846</v>
      </c>
      <c r="R5001" t="s">
        <v>27253</v>
      </c>
      <c r="S5001" t="s">
        <v>27254</v>
      </c>
      <c r="T5001" t="s">
        <v>27265</v>
      </c>
    </row>
    <row r="5002" spans="1:20" x14ac:dyDescent="0.3">
      <c r="A5002" t="str">
        <f>"0611862247050"</f>
        <v>0611862247050</v>
      </c>
      <c r="B5002" t="str">
        <f>"CR2828"</f>
        <v>CR2828</v>
      </c>
      <c r="C5002" t="s">
        <v>36908</v>
      </c>
      <c r="D5002" t="s">
        <v>27271</v>
      </c>
      <c r="E5002" t="str">
        <f t="shared" si="78"/>
        <v>001390</v>
      </c>
      <c r="F5002" t="s">
        <v>27246</v>
      </c>
      <c r="G5002" t="s">
        <v>27247</v>
      </c>
      <c r="H5002" t="s">
        <v>27248</v>
      </c>
      <c r="I5002" t="s">
        <v>36909</v>
      </c>
      <c r="J5002" t="s">
        <v>9977</v>
      </c>
      <c r="L5002" t="s">
        <v>27250</v>
      </c>
      <c r="M5002" t="s">
        <v>27251</v>
      </c>
      <c r="N5002" t="s">
        <v>27252</v>
      </c>
      <c r="P5002" t="s">
        <v>27341</v>
      </c>
      <c r="Q5002" s="1">
        <v>44846</v>
      </c>
      <c r="R5002" t="s">
        <v>27253</v>
      </c>
      <c r="S5002" t="s">
        <v>27254</v>
      </c>
      <c r="T5002" t="s">
        <v>27265</v>
      </c>
    </row>
    <row r="5003" spans="1:20" x14ac:dyDescent="0.3">
      <c r="A5003" t="str">
        <f>"0611862248050"</f>
        <v>0611862248050</v>
      </c>
      <c r="B5003" t="str">
        <f>"CR2830"</f>
        <v>CR2830</v>
      </c>
      <c r="C5003" t="s">
        <v>36910</v>
      </c>
      <c r="D5003" t="s">
        <v>27271</v>
      </c>
      <c r="E5003" t="str">
        <f t="shared" si="78"/>
        <v>001390</v>
      </c>
      <c r="F5003" t="s">
        <v>27246</v>
      </c>
      <c r="G5003" t="s">
        <v>27247</v>
      </c>
      <c r="H5003" t="s">
        <v>27248</v>
      </c>
      <c r="I5003" t="s">
        <v>36911</v>
      </c>
      <c r="J5003" t="s">
        <v>9979</v>
      </c>
      <c r="L5003" t="s">
        <v>27250</v>
      </c>
      <c r="M5003" t="s">
        <v>27251</v>
      </c>
      <c r="N5003" t="s">
        <v>27252</v>
      </c>
      <c r="P5003" t="s">
        <v>27341</v>
      </c>
      <c r="Q5003" s="1">
        <v>44846</v>
      </c>
      <c r="R5003" t="s">
        <v>27253</v>
      </c>
      <c r="S5003" t="s">
        <v>27254</v>
      </c>
      <c r="T5003" t="s">
        <v>27265</v>
      </c>
    </row>
    <row r="5004" spans="1:20" x14ac:dyDescent="0.3">
      <c r="A5004" t="str">
        <f>"0611862249050"</f>
        <v>0611862249050</v>
      </c>
      <c r="B5004" t="str">
        <f>"CR2831"</f>
        <v>CR2831</v>
      </c>
      <c r="C5004" t="s">
        <v>36912</v>
      </c>
      <c r="D5004" t="s">
        <v>27271</v>
      </c>
      <c r="E5004" t="str">
        <f t="shared" si="78"/>
        <v>001390</v>
      </c>
      <c r="F5004" t="s">
        <v>27246</v>
      </c>
      <c r="G5004" t="s">
        <v>27247</v>
      </c>
      <c r="H5004" t="s">
        <v>27248</v>
      </c>
      <c r="I5004" t="s">
        <v>36913</v>
      </c>
      <c r="J5004" t="s">
        <v>9981</v>
      </c>
      <c r="L5004" t="s">
        <v>27250</v>
      </c>
      <c r="M5004" t="s">
        <v>27251</v>
      </c>
      <c r="N5004" t="s">
        <v>27252</v>
      </c>
      <c r="P5004" t="s">
        <v>27341</v>
      </c>
      <c r="Q5004" s="1">
        <v>44846</v>
      </c>
      <c r="R5004" t="s">
        <v>27253</v>
      </c>
      <c r="S5004" t="s">
        <v>27254</v>
      </c>
      <c r="T5004" t="s">
        <v>27265</v>
      </c>
    </row>
    <row r="5005" spans="1:20" x14ac:dyDescent="0.3">
      <c r="A5005" t="str">
        <f>"0611862250050"</f>
        <v>0611862250050</v>
      </c>
      <c r="B5005" t="str">
        <f>"CR2833"</f>
        <v>CR2833</v>
      </c>
      <c r="C5005" t="s">
        <v>36914</v>
      </c>
      <c r="D5005" t="s">
        <v>27271</v>
      </c>
      <c r="E5005" t="str">
        <f t="shared" si="78"/>
        <v>001390</v>
      </c>
      <c r="F5005" t="s">
        <v>27246</v>
      </c>
      <c r="G5005" t="s">
        <v>27247</v>
      </c>
      <c r="H5005" t="s">
        <v>27248</v>
      </c>
      <c r="I5005" t="s">
        <v>36915</v>
      </c>
      <c r="J5005" t="s">
        <v>9983</v>
      </c>
      <c r="L5005" t="s">
        <v>27250</v>
      </c>
      <c r="M5005" t="s">
        <v>27251</v>
      </c>
      <c r="N5005" t="s">
        <v>27252</v>
      </c>
      <c r="P5005" t="s">
        <v>27341</v>
      </c>
      <c r="Q5005" s="1">
        <v>44846</v>
      </c>
      <c r="R5005" t="s">
        <v>27253</v>
      </c>
      <c r="S5005" t="s">
        <v>27254</v>
      </c>
      <c r="T5005" t="s">
        <v>27265</v>
      </c>
    </row>
    <row r="5006" spans="1:20" x14ac:dyDescent="0.3">
      <c r="A5006" t="str">
        <f>"0611862251050"</f>
        <v>0611862251050</v>
      </c>
      <c r="B5006" t="str">
        <f>"CR2834"</f>
        <v>CR2834</v>
      </c>
      <c r="C5006" t="s">
        <v>36916</v>
      </c>
      <c r="D5006" t="s">
        <v>27271</v>
      </c>
      <c r="E5006" t="str">
        <f t="shared" si="78"/>
        <v>001390</v>
      </c>
      <c r="F5006" t="s">
        <v>27246</v>
      </c>
      <c r="G5006" t="s">
        <v>27247</v>
      </c>
      <c r="H5006" t="s">
        <v>27248</v>
      </c>
      <c r="I5006" t="s">
        <v>36917</v>
      </c>
      <c r="J5006" t="s">
        <v>9987</v>
      </c>
      <c r="L5006" t="s">
        <v>27250</v>
      </c>
      <c r="M5006" t="s">
        <v>27251</v>
      </c>
      <c r="N5006" t="s">
        <v>27252</v>
      </c>
      <c r="P5006" t="s">
        <v>27341</v>
      </c>
      <c r="Q5006" s="1">
        <v>44846</v>
      </c>
      <c r="R5006" t="s">
        <v>27253</v>
      </c>
      <c r="S5006" t="s">
        <v>27254</v>
      </c>
      <c r="T5006" t="s">
        <v>27265</v>
      </c>
    </row>
    <row r="5007" spans="1:20" x14ac:dyDescent="0.3">
      <c r="A5007" t="str">
        <f>"0611862252050"</f>
        <v>0611862252050</v>
      </c>
      <c r="B5007" t="str">
        <f>"CR2835"</f>
        <v>CR2835</v>
      </c>
      <c r="C5007" t="s">
        <v>36918</v>
      </c>
      <c r="D5007" t="s">
        <v>27271</v>
      </c>
      <c r="E5007" t="str">
        <f t="shared" si="78"/>
        <v>001390</v>
      </c>
      <c r="F5007" t="s">
        <v>27246</v>
      </c>
      <c r="G5007" t="s">
        <v>27247</v>
      </c>
      <c r="H5007" t="s">
        <v>27248</v>
      </c>
      <c r="I5007" t="s">
        <v>36919</v>
      </c>
      <c r="J5007" t="s">
        <v>9989</v>
      </c>
      <c r="L5007" t="s">
        <v>27250</v>
      </c>
      <c r="M5007" t="s">
        <v>27251</v>
      </c>
      <c r="N5007" t="s">
        <v>27252</v>
      </c>
      <c r="P5007" t="s">
        <v>27341</v>
      </c>
      <c r="Q5007" s="1">
        <v>44846</v>
      </c>
      <c r="R5007" t="s">
        <v>27253</v>
      </c>
      <c r="S5007" t="s">
        <v>27254</v>
      </c>
      <c r="T5007" t="s">
        <v>27265</v>
      </c>
    </row>
    <row r="5008" spans="1:20" x14ac:dyDescent="0.3">
      <c r="A5008" t="str">
        <f>"0611862253050"</f>
        <v>0611862253050</v>
      </c>
      <c r="B5008" t="str">
        <f>"CR2836"</f>
        <v>CR2836</v>
      </c>
      <c r="C5008" t="s">
        <v>36920</v>
      </c>
      <c r="D5008" t="s">
        <v>27271</v>
      </c>
      <c r="E5008" t="str">
        <f t="shared" si="78"/>
        <v>001390</v>
      </c>
      <c r="F5008" t="s">
        <v>27246</v>
      </c>
      <c r="G5008" t="s">
        <v>27247</v>
      </c>
      <c r="H5008" t="s">
        <v>27248</v>
      </c>
      <c r="I5008" t="s">
        <v>36921</v>
      </c>
      <c r="J5008" t="s">
        <v>9985</v>
      </c>
      <c r="L5008" t="s">
        <v>27250</v>
      </c>
      <c r="M5008" t="s">
        <v>27251</v>
      </c>
      <c r="N5008" t="s">
        <v>27252</v>
      </c>
      <c r="P5008" t="s">
        <v>27341</v>
      </c>
      <c r="Q5008" s="1">
        <v>44846</v>
      </c>
      <c r="R5008" t="s">
        <v>27253</v>
      </c>
      <c r="S5008" t="s">
        <v>27254</v>
      </c>
      <c r="T5008" t="s">
        <v>27265</v>
      </c>
    </row>
    <row r="5009" spans="1:20" x14ac:dyDescent="0.3">
      <c r="A5009" t="str">
        <f>"0611862254050"</f>
        <v>0611862254050</v>
      </c>
      <c r="B5009" t="str">
        <f>"CR2838"</f>
        <v>CR2838</v>
      </c>
      <c r="C5009" t="s">
        <v>36922</v>
      </c>
      <c r="D5009" t="s">
        <v>27271</v>
      </c>
      <c r="E5009" t="str">
        <f t="shared" si="78"/>
        <v>001390</v>
      </c>
      <c r="F5009" t="s">
        <v>27246</v>
      </c>
      <c r="G5009" t="s">
        <v>27247</v>
      </c>
      <c r="H5009" t="s">
        <v>27248</v>
      </c>
      <c r="I5009" t="s">
        <v>36923</v>
      </c>
      <c r="J5009" t="s">
        <v>9991</v>
      </c>
      <c r="L5009" t="s">
        <v>27250</v>
      </c>
      <c r="M5009" t="s">
        <v>27251</v>
      </c>
      <c r="N5009" t="s">
        <v>27252</v>
      </c>
      <c r="P5009" t="s">
        <v>27341</v>
      </c>
      <c r="Q5009" s="1">
        <v>44846</v>
      </c>
      <c r="R5009" t="s">
        <v>27253</v>
      </c>
      <c r="S5009" t="s">
        <v>27254</v>
      </c>
      <c r="T5009" t="s">
        <v>27265</v>
      </c>
    </row>
    <row r="5010" spans="1:20" x14ac:dyDescent="0.3">
      <c r="A5010" t="str">
        <f>"0611862255050"</f>
        <v>0611862255050</v>
      </c>
      <c r="B5010" t="str">
        <f>"CR2839"</f>
        <v>CR2839</v>
      </c>
      <c r="C5010" t="s">
        <v>36924</v>
      </c>
      <c r="D5010" t="s">
        <v>27271</v>
      </c>
      <c r="E5010" t="str">
        <f t="shared" si="78"/>
        <v>001390</v>
      </c>
      <c r="F5010" t="s">
        <v>27246</v>
      </c>
      <c r="G5010" t="s">
        <v>27247</v>
      </c>
      <c r="H5010" t="s">
        <v>27248</v>
      </c>
      <c r="I5010" t="s">
        <v>36925</v>
      </c>
      <c r="J5010" t="s">
        <v>9993</v>
      </c>
      <c r="L5010" t="s">
        <v>27250</v>
      </c>
      <c r="M5010" t="s">
        <v>27251</v>
      </c>
      <c r="N5010" t="s">
        <v>27252</v>
      </c>
      <c r="P5010" t="s">
        <v>27341</v>
      </c>
      <c r="Q5010" s="1">
        <v>44846</v>
      </c>
      <c r="R5010" t="s">
        <v>27253</v>
      </c>
      <c r="S5010" t="s">
        <v>27254</v>
      </c>
      <c r="T5010" t="s">
        <v>27265</v>
      </c>
    </row>
    <row r="5011" spans="1:20" x14ac:dyDescent="0.3">
      <c r="A5011" t="str">
        <f>"0611862256050"</f>
        <v>0611862256050</v>
      </c>
      <c r="B5011" t="str">
        <f>"CR2840"</f>
        <v>CR2840</v>
      </c>
      <c r="C5011" t="s">
        <v>36926</v>
      </c>
      <c r="D5011" t="s">
        <v>27271</v>
      </c>
      <c r="E5011" t="str">
        <f t="shared" si="78"/>
        <v>001390</v>
      </c>
      <c r="F5011" t="s">
        <v>27246</v>
      </c>
      <c r="G5011" t="s">
        <v>27247</v>
      </c>
      <c r="H5011" t="s">
        <v>27248</v>
      </c>
      <c r="I5011" t="s">
        <v>36927</v>
      </c>
      <c r="J5011" t="s">
        <v>9995</v>
      </c>
      <c r="L5011" t="s">
        <v>27250</v>
      </c>
      <c r="M5011" t="s">
        <v>27251</v>
      </c>
      <c r="N5011" t="s">
        <v>27252</v>
      </c>
      <c r="P5011" t="s">
        <v>27341</v>
      </c>
      <c r="Q5011" s="1">
        <v>44846</v>
      </c>
      <c r="R5011" t="s">
        <v>27253</v>
      </c>
      <c r="S5011" t="s">
        <v>27254</v>
      </c>
      <c r="T5011" t="s">
        <v>27265</v>
      </c>
    </row>
    <row r="5012" spans="1:20" x14ac:dyDescent="0.3">
      <c r="A5012" t="str">
        <f>"0611862257050"</f>
        <v>0611862257050</v>
      </c>
      <c r="B5012" t="str">
        <f>"CR2841"</f>
        <v>CR2841</v>
      </c>
      <c r="C5012" t="s">
        <v>36928</v>
      </c>
      <c r="D5012" t="s">
        <v>27271</v>
      </c>
      <c r="E5012" t="str">
        <f t="shared" si="78"/>
        <v>001390</v>
      </c>
      <c r="F5012" t="s">
        <v>27246</v>
      </c>
      <c r="G5012" t="s">
        <v>27247</v>
      </c>
      <c r="H5012" t="s">
        <v>27248</v>
      </c>
      <c r="I5012" t="s">
        <v>36929</v>
      </c>
      <c r="J5012" t="s">
        <v>9997</v>
      </c>
      <c r="L5012" t="s">
        <v>27250</v>
      </c>
      <c r="M5012" t="s">
        <v>27251</v>
      </c>
      <c r="N5012" t="s">
        <v>27252</v>
      </c>
      <c r="P5012" t="s">
        <v>27341</v>
      </c>
      <c r="Q5012" s="1">
        <v>44846</v>
      </c>
      <c r="R5012" t="s">
        <v>27253</v>
      </c>
      <c r="S5012" t="s">
        <v>27254</v>
      </c>
      <c r="T5012" t="s">
        <v>27265</v>
      </c>
    </row>
    <row r="5013" spans="1:20" x14ac:dyDescent="0.3">
      <c r="A5013" t="str">
        <f>"0611862258050"</f>
        <v>0611862258050</v>
      </c>
      <c r="B5013" t="str">
        <f>"CR2842"</f>
        <v>CR2842</v>
      </c>
      <c r="C5013" t="s">
        <v>36930</v>
      </c>
      <c r="D5013" t="s">
        <v>27271</v>
      </c>
      <c r="E5013" t="str">
        <f t="shared" si="78"/>
        <v>001390</v>
      </c>
      <c r="F5013" t="s">
        <v>27246</v>
      </c>
      <c r="G5013" t="s">
        <v>27247</v>
      </c>
      <c r="H5013" t="s">
        <v>27248</v>
      </c>
      <c r="I5013" t="s">
        <v>36931</v>
      </c>
      <c r="J5013" t="s">
        <v>9999</v>
      </c>
      <c r="L5013" t="s">
        <v>27250</v>
      </c>
      <c r="M5013" t="s">
        <v>27251</v>
      </c>
      <c r="N5013" t="s">
        <v>27252</v>
      </c>
      <c r="P5013" t="s">
        <v>27341</v>
      </c>
      <c r="Q5013" s="1">
        <v>44846</v>
      </c>
      <c r="R5013" t="s">
        <v>27253</v>
      </c>
      <c r="S5013" t="s">
        <v>27254</v>
      </c>
      <c r="T5013" t="s">
        <v>27265</v>
      </c>
    </row>
    <row r="5014" spans="1:20" x14ac:dyDescent="0.3">
      <c r="A5014" t="str">
        <f>"0611862259050"</f>
        <v>0611862259050</v>
      </c>
      <c r="B5014" t="str">
        <f>"CE1612"</f>
        <v>CE1612</v>
      </c>
      <c r="C5014" t="s">
        <v>36932</v>
      </c>
      <c r="D5014" t="s">
        <v>27923</v>
      </c>
      <c r="E5014" t="str">
        <f t="shared" si="78"/>
        <v>001390</v>
      </c>
      <c r="F5014" t="s">
        <v>27246</v>
      </c>
      <c r="G5014" t="s">
        <v>27247</v>
      </c>
      <c r="H5014" t="s">
        <v>27248</v>
      </c>
      <c r="I5014" t="s">
        <v>36933</v>
      </c>
      <c r="J5014" t="s">
        <v>10001</v>
      </c>
      <c r="L5014" t="s">
        <v>27250</v>
      </c>
      <c r="M5014" t="s">
        <v>27251</v>
      </c>
      <c r="N5014" t="s">
        <v>27252</v>
      </c>
      <c r="P5014" t="s">
        <v>27925</v>
      </c>
      <c r="Q5014" s="1">
        <v>44846</v>
      </c>
      <c r="R5014" t="s">
        <v>27253</v>
      </c>
      <c r="S5014" t="s">
        <v>27254</v>
      </c>
      <c r="T5014" t="s">
        <v>27265</v>
      </c>
    </row>
    <row r="5015" spans="1:20" x14ac:dyDescent="0.3">
      <c r="A5015" t="str">
        <f>"0611837208100"</f>
        <v>0611837208100</v>
      </c>
      <c r="B5015" t="str">
        <f>"LQ3752"</f>
        <v>LQ3752</v>
      </c>
      <c r="C5015" t="s">
        <v>36934</v>
      </c>
      <c r="D5015" t="s">
        <v>27245</v>
      </c>
      <c r="E5015" t="str">
        <f t="shared" si="78"/>
        <v>001390</v>
      </c>
      <c r="F5015" t="s">
        <v>27246</v>
      </c>
      <c r="G5015" t="s">
        <v>27247</v>
      </c>
      <c r="H5015" t="s">
        <v>27248</v>
      </c>
      <c r="I5015" t="s">
        <v>36935</v>
      </c>
      <c r="J5015" t="s">
        <v>10003</v>
      </c>
      <c r="L5015" t="s">
        <v>27250</v>
      </c>
      <c r="M5015" t="s">
        <v>27251</v>
      </c>
      <c r="N5015" t="s">
        <v>27252</v>
      </c>
      <c r="Q5015" s="1">
        <v>44538</v>
      </c>
      <c r="R5015" t="s">
        <v>27253</v>
      </c>
      <c r="S5015" t="s">
        <v>27254</v>
      </c>
      <c r="T5015" t="s">
        <v>27255</v>
      </c>
    </row>
    <row r="5016" spans="1:20" x14ac:dyDescent="0.3">
      <c r="A5016" t="str">
        <f>"0611837210100"</f>
        <v>0611837210100</v>
      </c>
      <c r="B5016" t="str">
        <f>"LC9615"</f>
        <v>LC9615</v>
      </c>
      <c r="C5016" t="s">
        <v>36936</v>
      </c>
      <c r="D5016" t="s">
        <v>27245</v>
      </c>
      <c r="E5016" t="str">
        <f t="shared" si="78"/>
        <v>001390</v>
      </c>
      <c r="F5016" t="s">
        <v>27246</v>
      </c>
      <c r="G5016" t="s">
        <v>27247</v>
      </c>
      <c r="H5016" t="s">
        <v>27248</v>
      </c>
      <c r="I5016" t="s">
        <v>36937</v>
      </c>
      <c r="J5016" t="s">
        <v>10005</v>
      </c>
      <c r="L5016" t="s">
        <v>27250</v>
      </c>
      <c r="M5016" t="s">
        <v>27251</v>
      </c>
      <c r="N5016" t="s">
        <v>27252</v>
      </c>
      <c r="Q5016" s="1">
        <v>44538</v>
      </c>
      <c r="R5016" t="s">
        <v>27253</v>
      </c>
      <c r="S5016" t="s">
        <v>27254</v>
      </c>
      <c r="T5016" t="s">
        <v>27255</v>
      </c>
    </row>
    <row r="5017" spans="1:20" x14ac:dyDescent="0.3">
      <c r="A5017" t="str">
        <f>"0611837212100"</f>
        <v>0611837212100</v>
      </c>
      <c r="B5017" t="str">
        <f>"MB2800"</f>
        <v>MB2800</v>
      </c>
      <c r="C5017" t="s">
        <v>36938</v>
      </c>
      <c r="D5017" t="s">
        <v>27274</v>
      </c>
      <c r="E5017" t="str">
        <f t="shared" si="78"/>
        <v>001390</v>
      </c>
      <c r="F5017" t="s">
        <v>27246</v>
      </c>
      <c r="G5017" t="s">
        <v>27247</v>
      </c>
      <c r="H5017" t="s">
        <v>27248</v>
      </c>
      <c r="I5017" t="s">
        <v>36939</v>
      </c>
      <c r="J5017" t="s">
        <v>10007</v>
      </c>
      <c r="L5017" t="s">
        <v>27250</v>
      </c>
      <c r="M5017" t="s">
        <v>27251</v>
      </c>
      <c r="N5017" t="s">
        <v>27252</v>
      </c>
      <c r="Q5017" s="1">
        <v>44538</v>
      </c>
      <c r="R5017" t="s">
        <v>27253</v>
      </c>
      <c r="S5017" t="s">
        <v>27254</v>
      </c>
      <c r="T5017" t="s">
        <v>27276</v>
      </c>
    </row>
    <row r="5018" spans="1:20" x14ac:dyDescent="0.3">
      <c r="A5018" t="str">
        <f>"0611837213025"</f>
        <v>0611837213025</v>
      </c>
      <c r="B5018" t="str">
        <f>"MC2204"</f>
        <v>MC2204</v>
      </c>
      <c r="C5018" t="s">
        <v>36938</v>
      </c>
      <c r="D5018" t="s">
        <v>27267</v>
      </c>
      <c r="E5018" t="str">
        <f t="shared" si="78"/>
        <v>001390</v>
      </c>
      <c r="F5018" t="s">
        <v>27246</v>
      </c>
      <c r="G5018" t="s">
        <v>27247</v>
      </c>
      <c r="H5018" t="s">
        <v>27248</v>
      </c>
      <c r="I5018" t="s">
        <v>36940</v>
      </c>
      <c r="J5018" t="s">
        <v>10009</v>
      </c>
      <c r="L5018" t="s">
        <v>27250</v>
      </c>
      <c r="M5018" t="s">
        <v>27251</v>
      </c>
      <c r="N5018" t="s">
        <v>27252</v>
      </c>
      <c r="Q5018" s="1">
        <v>44538</v>
      </c>
      <c r="R5018" t="s">
        <v>27253</v>
      </c>
      <c r="S5018" t="s">
        <v>27254</v>
      </c>
      <c r="T5018" t="s">
        <v>27269</v>
      </c>
    </row>
    <row r="5019" spans="1:20" x14ac:dyDescent="0.3">
      <c r="A5019" t="str">
        <f>"0611837211100"</f>
        <v>0611837211100</v>
      </c>
      <c r="B5019" t="str">
        <f>"LS0021"</f>
        <v>LS0021</v>
      </c>
      <c r="C5019" t="s">
        <v>36941</v>
      </c>
      <c r="D5019" t="s">
        <v>27245</v>
      </c>
      <c r="E5019" t="str">
        <f t="shared" si="78"/>
        <v>001390</v>
      </c>
      <c r="F5019" t="s">
        <v>27246</v>
      </c>
      <c r="G5019" t="s">
        <v>27247</v>
      </c>
      <c r="H5019" t="s">
        <v>27248</v>
      </c>
      <c r="I5019" t="s">
        <v>36942</v>
      </c>
      <c r="J5019" t="s">
        <v>10011</v>
      </c>
      <c r="L5019" t="s">
        <v>27250</v>
      </c>
      <c r="M5019" t="s">
        <v>27251</v>
      </c>
      <c r="N5019" t="s">
        <v>27252</v>
      </c>
      <c r="Q5019" s="1">
        <v>44538</v>
      </c>
      <c r="R5019" t="s">
        <v>27253</v>
      </c>
      <c r="S5019" t="s">
        <v>27254</v>
      </c>
      <c r="T5019" t="s">
        <v>27255</v>
      </c>
    </row>
    <row r="5020" spans="1:20" x14ac:dyDescent="0.3">
      <c r="A5020" t="str">
        <f>"0611862264050"</f>
        <v>0611862264050</v>
      </c>
      <c r="B5020" t="str">
        <f>"CR2843"</f>
        <v>CR2843</v>
      </c>
      <c r="C5020" t="s">
        <v>36943</v>
      </c>
      <c r="D5020" t="s">
        <v>27263</v>
      </c>
      <c r="E5020" t="str">
        <f t="shared" si="78"/>
        <v>001390</v>
      </c>
      <c r="F5020" t="s">
        <v>27246</v>
      </c>
      <c r="G5020" t="s">
        <v>27247</v>
      </c>
      <c r="H5020" t="s">
        <v>27248</v>
      </c>
      <c r="I5020" t="s">
        <v>36944</v>
      </c>
      <c r="J5020" t="s">
        <v>10013</v>
      </c>
      <c r="L5020" t="s">
        <v>27250</v>
      </c>
      <c r="M5020" t="s">
        <v>27251</v>
      </c>
      <c r="N5020" t="s">
        <v>27252</v>
      </c>
      <c r="Q5020" s="1">
        <v>44846</v>
      </c>
      <c r="R5020" t="s">
        <v>27253</v>
      </c>
      <c r="S5020" t="s">
        <v>27254</v>
      </c>
      <c r="T5020" t="s">
        <v>27265</v>
      </c>
    </row>
    <row r="5021" spans="1:20" x14ac:dyDescent="0.3">
      <c r="A5021" t="str">
        <f>"0611862265050"</f>
        <v>0611862265050</v>
      </c>
      <c r="B5021" t="str">
        <f>"CR2254"</f>
        <v>CR2254</v>
      </c>
      <c r="C5021" t="s">
        <v>36945</v>
      </c>
      <c r="D5021" t="s">
        <v>27263</v>
      </c>
      <c r="E5021" t="str">
        <f t="shared" si="78"/>
        <v>001390</v>
      </c>
      <c r="F5021" t="s">
        <v>27246</v>
      </c>
      <c r="G5021" t="s">
        <v>27247</v>
      </c>
      <c r="H5021" t="s">
        <v>27248</v>
      </c>
      <c r="I5021" t="s">
        <v>36946</v>
      </c>
      <c r="J5021" t="s">
        <v>10015</v>
      </c>
      <c r="L5021" t="s">
        <v>27250</v>
      </c>
      <c r="M5021" t="s">
        <v>27251</v>
      </c>
      <c r="N5021" t="s">
        <v>27252</v>
      </c>
      <c r="Q5021" s="1">
        <v>44846</v>
      </c>
      <c r="R5021" t="s">
        <v>27253</v>
      </c>
      <c r="S5021" t="s">
        <v>27254</v>
      </c>
      <c r="T5021" t="s">
        <v>27265</v>
      </c>
    </row>
    <row r="5022" spans="1:20" x14ac:dyDescent="0.3">
      <c r="A5022" t="str">
        <f>"0611862266050"</f>
        <v>0611862266050</v>
      </c>
      <c r="B5022" t="str">
        <f>"CR2844"</f>
        <v>CR2844</v>
      </c>
      <c r="C5022" t="s">
        <v>36947</v>
      </c>
      <c r="D5022" t="s">
        <v>27263</v>
      </c>
      <c r="E5022" t="str">
        <f t="shared" si="78"/>
        <v>001390</v>
      </c>
      <c r="F5022" t="s">
        <v>27246</v>
      </c>
      <c r="G5022" t="s">
        <v>27247</v>
      </c>
      <c r="H5022" t="s">
        <v>27248</v>
      </c>
      <c r="I5022" t="s">
        <v>36948</v>
      </c>
      <c r="J5022" t="s">
        <v>10017</v>
      </c>
      <c r="L5022" t="s">
        <v>27250</v>
      </c>
      <c r="M5022" t="s">
        <v>27251</v>
      </c>
      <c r="N5022" t="s">
        <v>27252</v>
      </c>
      <c r="Q5022" s="1">
        <v>44846</v>
      </c>
      <c r="R5022" t="s">
        <v>27253</v>
      </c>
      <c r="S5022" t="s">
        <v>27254</v>
      </c>
      <c r="T5022" t="s">
        <v>27265</v>
      </c>
    </row>
    <row r="5023" spans="1:20" x14ac:dyDescent="0.3">
      <c r="A5023" t="str">
        <f>"0611862267050"</f>
        <v>0611862267050</v>
      </c>
      <c r="B5023" t="str">
        <f>"CR2255"</f>
        <v>CR2255</v>
      </c>
      <c r="C5023" t="s">
        <v>36949</v>
      </c>
      <c r="D5023" t="s">
        <v>27263</v>
      </c>
      <c r="E5023" t="str">
        <f t="shared" si="78"/>
        <v>001390</v>
      </c>
      <c r="F5023" t="s">
        <v>27246</v>
      </c>
      <c r="G5023" t="s">
        <v>27247</v>
      </c>
      <c r="H5023" t="s">
        <v>27248</v>
      </c>
      <c r="I5023" t="s">
        <v>36950</v>
      </c>
      <c r="J5023" t="s">
        <v>10019</v>
      </c>
      <c r="L5023" t="s">
        <v>27250</v>
      </c>
      <c r="M5023" t="s">
        <v>27251</v>
      </c>
      <c r="N5023" t="s">
        <v>27252</v>
      </c>
      <c r="Q5023" s="1">
        <v>44846</v>
      </c>
      <c r="R5023" t="s">
        <v>27253</v>
      </c>
      <c r="S5023" t="s">
        <v>27254</v>
      </c>
      <c r="T5023" t="s">
        <v>27265</v>
      </c>
    </row>
    <row r="5024" spans="1:20" x14ac:dyDescent="0.3">
      <c r="A5024" t="str">
        <f>"0611862268050"</f>
        <v>0611862268050</v>
      </c>
      <c r="B5024" t="str">
        <f>"CR2845"</f>
        <v>CR2845</v>
      </c>
      <c r="C5024" t="s">
        <v>36951</v>
      </c>
      <c r="D5024" t="s">
        <v>27263</v>
      </c>
      <c r="E5024" t="str">
        <f t="shared" si="78"/>
        <v>001390</v>
      </c>
      <c r="F5024" t="s">
        <v>27246</v>
      </c>
      <c r="G5024" t="s">
        <v>27247</v>
      </c>
      <c r="H5024" t="s">
        <v>27248</v>
      </c>
      <c r="I5024" t="s">
        <v>36952</v>
      </c>
      <c r="J5024" t="s">
        <v>10021</v>
      </c>
      <c r="L5024" t="s">
        <v>27250</v>
      </c>
      <c r="M5024" t="s">
        <v>27251</v>
      </c>
      <c r="N5024" t="s">
        <v>27252</v>
      </c>
      <c r="Q5024" s="1">
        <v>44846</v>
      </c>
      <c r="R5024" t="s">
        <v>27253</v>
      </c>
      <c r="S5024" t="s">
        <v>27254</v>
      </c>
      <c r="T5024" t="s">
        <v>27265</v>
      </c>
    </row>
    <row r="5025" spans="1:20" x14ac:dyDescent="0.3">
      <c r="A5025" t="str">
        <f>"0611862269050"</f>
        <v>0611862269050</v>
      </c>
      <c r="B5025" t="str">
        <f>"CR2256"</f>
        <v>CR2256</v>
      </c>
      <c r="C5025" t="s">
        <v>36953</v>
      </c>
      <c r="D5025" t="s">
        <v>27263</v>
      </c>
      <c r="E5025" t="str">
        <f t="shared" si="78"/>
        <v>001390</v>
      </c>
      <c r="F5025" t="s">
        <v>27246</v>
      </c>
      <c r="G5025" t="s">
        <v>27247</v>
      </c>
      <c r="H5025" t="s">
        <v>27248</v>
      </c>
      <c r="I5025" t="s">
        <v>36954</v>
      </c>
      <c r="J5025" t="s">
        <v>10023</v>
      </c>
      <c r="L5025" t="s">
        <v>27250</v>
      </c>
      <c r="M5025" t="s">
        <v>27251</v>
      </c>
      <c r="N5025" t="s">
        <v>27252</v>
      </c>
      <c r="Q5025" s="1">
        <v>44846</v>
      </c>
      <c r="R5025" t="s">
        <v>27253</v>
      </c>
      <c r="S5025" t="s">
        <v>27254</v>
      </c>
      <c r="T5025" t="s">
        <v>27265</v>
      </c>
    </row>
    <row r="5026" spans="1:20" x14ac:dyDescent="0.3">
      <c r="A5026" t="str">
        <f>"0611862270050"</f>
        <v>0611862270050</v>
      </c>
      <c r="B5026" t="str">
        <f>"CR2243"</f>
        <v>CR2243</v>
      </c>
      <c r="C5026" t="s">
        <v>36955</v>
      </c>
      <c r="D5026" t="s">
        <v>27271</v>
      </c>
      <c r="E5026" t="str">
        <f t="shared" si="78"/>
        <v>001390</v>
      </c>
      <c r="F5026" t="s">
        <v>27246</v>
      </c>
      <c r="G5026" t="s">
        <v>27247</v>
      </c>
      <c r="H5026" t="s">
        <v>27248</v>
      </c>
      <c r="I5026" t="s">
        <v>36956</v>
      </c>
      <c r="J5026" t="s">
        <v>10029</v>
      </c>
      <c r="L5026" t="s">
        <v>27250</v>
      </c>
      <c r="M5026" t="s">
        <v>27251</v>
      </c>
      <c r="N5026" t="s">
        <v>27252</v>
      </c>
      <c r="P5026" t="s">
        <v>27341</v>
      </c>
      <c r="Q5026" s="1">
        <v>44846</v>
      </c>
      <c r="R5026" t="s">
        <v>27253</v>
      </c>
      <c r="S5026" t="s">
        <v>27254</v>
      </c>
      <c r="T5026" t="s">
        <v>27265</v>
      </c>
    </row>
    <row r="5027" spans="1:20" x14ac:dyDescent="0.3">
      <c r="A5027" t="str">
        <f>"0611862271050"</f>
        <v>0611862271050</v>
      </c>
      <c r="B5027" t="str">
        <f>"CR2244"</f>
        <v>CR2244</v>
      </c>
      <c r="C5027" t="s">
        <v>36957</v>
      </c>
      <c r="D5027" t="s">
        <v>27271</v>
      </c>
      <c r="E5027" t="str">
        <f t="shared" si="78"/>
        <v>001390</v>
      </c>
      <c r="F5027" t="s">
        <v>27246</v>
      </c>
      <c r="G5027" t="s">
        <v>27247</v>
      </c>
      <c r="H5027" t="s">
        <v>27248</v>
      </c>
      <c r="I5027" t="s">
        <v>36958</v>
      </c>
      <c r="J5027" t="s">
        <v>10031</v>
      </c>
      <c r="L5027" t="s">
        <v>27250</v>
      </c>
      <c r="M5027" t="s">
        <v>27251</v>
      </c>
      <c r="N5027" t="s">
        <v>27252</v>
      </c>
      <c r="P5027" t="s">
        <v>27341</v>
      </c>
      <c r="Q5027" s="1">
        <v>44846</v>
      </c>
      <c r="R5027" t="s">
        <v>27253</v>
      </c>
      <c r="S5027" t="s">
        <v>27254</v>
      </c>
      <c r="T5027" t="s">
        <v>27265</v>
      </c>
    </row>
    <row r="5028" spans="1:20" x14ac:dyDescent="0.3">
      <c r="A5028" t="str">
        <f>"0611862272050"</f>
        <v>0611862272050</v>
      </c>
      <c r="B5028" t="str">
        <f>"CR4981"</f>
        <v>CR4981</v>
      </c>
      <c r="C5028" t="s">
        <v>36959</v>
      </c>
      <c r="D5028" t="s">
        <v>27271</v>
      </c>
      <c r="E5028" t="str">
        <f t="shared" si="78"/>
        <v>001390</v>
      </c>
      <c r="F5028" t="s">
        <v>27246</v>
      </c>
      <c r="G5028" t="s">
        <v>27247</v>
      </c>
      <c r="H5028" t="s">
        <v>27248</v>
      </c>
      <c r="I5028" t="s">
        <v>36960</v>
      </c>
      <c r="J5028" t="s">
        <v>10033</v>
      </c>
      <c r="L5028" t="s">
        <v>27250</v>
      </c>
      <c r="M5028" t="s">
        <v>27251</v>
      </c>
      <c r="N5028" t="s">
        <v>27252</v>
      </c>
      <c r="P5028" t="s">
        <v>27341</v>
      </c>
      <c r="Q5028" s="1">
        <v>44846</v>
      </c>
      <c r="R5028" t="s">
        <v>27253</v>
      </c>
      <c r="S5028" t="s">
        <v>27254</v>
      </c>
      <c r="T5028" t="s">
        <v>27265</v>
      </c>
    </row>
    <row r="5029" spans="1:20" x14ac:dyDescent="0.3">
      <c r="A5029" t="str">
        <f>"0611862273050"</f>
        <v>0611862273050</v>
      </c>
      <c r="B5029" t="str">
        <f>"CR2246"</f>
        <v>CR2246</v>
      </c>
      <c r="C5029" t="s">
        <v>36961</v>
      </c>
      <c r="D5029" t="s">
        <v>27271</v>
      </c>
      <c r="E5029" t="str">
        <f t="shared" si="78"/>
        <v>001390</v>
      </c>
      <c r="F5029" t="s">
        <v>27246</v>
      </c>
      <c r="G5029" t="s">
        <v>27247</v>
      </c>
      <c r="H5029" t="s">
        <v>27248</v>
      </c>
      <c r="I5029" t="s">
        <v>36962</v>
      </c>
      <c r="J5029" t="s">
        <v>10035</v>
      </c>
      <c r="L5029" t="s">
        <v>27250</v>
      </c>
      <c r="M5029" t="s">
        <v>27251</v>
      </c>
      <c r="N5029" t="s">
        <v>27252</v>
      </c>
      <c r="P5029" t="s">
        <v>27341</v>
      </c>
      <c r="Q5029" s="1">
        <v>44846</v>
      </c>
      <c r="R5029" t="s">
        <v>27253</v>
      </c>
      <c r="S5029" t="s">
        <v>27254</v>
      </c>
      <c r="T5029" t="s">
        <v>27265</v>
      </c>
    </row>
    <row r="5030" spans="1:20" x14ac:dyDescent="0.3">
      <c r="A5030" t="str">
        <f>"0611884231050"</f>
        <v>0611884231050</v>
      </c>
      <c r="B5030" t="str">
        <f>"CR5421"</f>
        <v>CR5421</v>
      </c>
      <c r="C5030" t="s">
        <v>36963</v>
      </c>
      <c r="D5030" t="s">
        <v>27271</v>
      </c>
      <c r="E5030" t="str">
        <f t="shared" si="78"/>
        <v>001390</v>
      </c>
      <c r="F5030" t="s">
        <v>27246</v>
      </c>
      <c r="G5030" t="s">
        <v>27247</v>
      </c>
      <c r="H5030" t="s">
        <v>27248</v>
      </c>
      <c r="I5030" t="s">
        <v>36964</v>
      </c>
      <c r="J5030" t="s">
        <v>10025</v>
      </c>
      <c r="L5030" t="s">
        <v>27430</v>
      </c>
      <c r="M5030" t="s">
        <v>27251</v>
      </c>
      <c r="N5030" t="s">
        <v>27252</v>
      </c>
      <c r="P5030" t="s">
        <v>27341</v>
      </c>
      <c r="Q5030" s="1">
        <v>45250</v>
      </c>
      <c r="R5030" t="s">
        <v>27253</v>
      </c>
      <c r="S5030" t="s">
        <v>27254</v>
      </c>
      <c r="T5030" t="s">
        <v>27265</v>
      </c>
    </row>
    <row r="5031" spans="1:20" x14ac:dyDescent="0.3">
      <c r="A5031" t="str">
        <f>"0611862274050"</f>
        <v>0611862274050</v>
      </c>
      <c r="B5031" t="str">
        <f>"CR3084"</f>
        <v>CR3084</v>
      </c>
      <c r="C5031" t="s">
        <v>36965</v>
      </c>
      <c r="D5031" t="s">
        <v>27271</v>
      </c>
      <c r="E5031" t="str">
        <f t="shared" si="78"/>
        <v>001390</v>
      </c>
      <c r="F5031" t="s">
        <v>27246</v>
      </c>
      <c r="G5031" t="s">
        <v>27247</v>
      </c>
      <c r="H5031" t="s">
        <v>27248</v>
      </c>
      <c r="I5031" t="s">
        <v>36966</v>
      </c>
      <c r="J5031" t="s">
        <v>10037</v>
      </c>
      <c r="L5031" t="s">
        <v>27250</v>
      </c>
      <c r="M5031" t="s">
        <v>27251</v>
      </c>
      <c r="N5031" t="s">
        <v>27252</v>
      </c>
      <c r="P5031" t="s">
        <v>27341</v>
      </c>
      <c r="Q5031" s="1">
        <v>44846</v>
      </c>
      <c r="R5031" t="s">
        <v>27253</v>
      </c>
      <c r="S5031" t="s">
        <v>27254</v>
      </c>
      <c r="T5031" t="s">
        <v>27265</v>
      </c>
    </row>
    <row r="5032" spans="1:20" x14ac:dyDescent="0.3">
      <c r="A5032" t="str">
        <f>"0611862275050"</f>
        <v>0611862275050</v>
      </c>
      <c r="B5032" t="str">
        <f>"CR2247"</f>
        <v>CR2247</v>
      </c>
      <c r="C5032" t="s">
        <v>36967</v>
      </c>
      <c r="D5032" t="s">
        <v>27271</v>
      </c>
      <c r="E5032" t="str">
        <f t="shared" si="78"/>
        <v>001390</v>
      </c>
      <c r="F5032" t="s">
        <v>27246</v>
      </c>
      <c r="G5032" t="s">
        <v>27247</v>
      </c>
      <c r="H5032" t="s">
        <v>27248</v>
      </c>
      <c r="I5032" t="s">
        <v>36968</v>
      </c>
      <c r="J5032" t="s">
        <v>10039</v>
      </c>
      <c r="L5032" t="s">
        <v>27250</v>
      </c>
      <c r="M5032" t="s">
        <v>27251</v>
      </c>
      <c r="N5032" t="s">
        <v>27252</v>
      </c>
      <c r="P5032" t="s">
        <v>27341</v>
      </c>
      <c r="Q5032" s="1">
        <v>44846</v>
      </c>
      <c r="R5032" t="s">
        <v>27253</v>
      </c>
      <c r="S5032" t="s">
        <v>27254</v>
      </c>
      <c r="T5032" t="s">
        <v>27265</v>
      </c>
    </row>
    <row r="5033" spans="1:20" x14ac:dyDescent="0.3">
      <c r="A5033" t="str">
        <f>"0611884232050"</f>
        <v>0611884232050</v>
      </c>
      <c r="B5033" t="str">
        <f>"CR5422"</f>
        <v>CR5422</v>
      </c>
      <c r="C5033" t="s">
        <v>36969</v>
      </c>
      <c r="D5033" t="s">
        <v>27271</v>
      </c>
      <c r="E5033" t="str">
        <f t="shared" si="78"/>
        <v>001390</v>
      </c>
      <c r="F5033" t="s">
        <v>27246</v>
      </c>
      <c r="G5033" t="s">
        <v>27247</v>
      </c>
      <c r="H5033" t="s">
        <v>27248</v>
      </c>
      <c r="I5033" t="s">
        <v>36970</v>
      </c>
      <c r="J5033" t="s">
        <v>10027</v>
      </c>
      <c r="L5033" t="s">
        <v>27430</v>
      </c>
      <c r="M5033" t="s">
        <v>27251</v>
      </c>
      <c r="N5033" t="s">
        <v>27252</v>
      </c>
      <c r="P5033" t="s">
        <v>27341</v>
      </c>
      <c r="Q5033" s="1">
        <v>45250</v>
      </c>
      <c r="R5033" t="s">
        <v>27253</v>
      </c>
      <c r="S5033" t="s">
        <v>27254</v>
      </c>
      <c r="T5033" t="s">
        <v>27265</v>
      </c>
    </row>
    <row r="5034" spans="1:20" x14ac:dyDescent="0.3">
      <c r="A5034" t="str">
        <f>"0611862276050"</f>
        <v>0611862276050</v>
      </c>
      <c r="B5034" t="str">
        <f>"CR4982"</f>
        <v>CR4982</v>
      </c>
      <c r="C5034" t="s">
        <v>36971</v>
      </c>
      <c r="D5034" t="s">
        <v>27271</v>
      </c>
      <c r="E5034" t="str">
        <f t="shared" si="78"/>
        <v>001390</v>
      </c>
      <c r="F5034" t="s">
        <v>27246</v>
      </c>
      <c r="G5034" t="s">
        <v>27247</v>
      </c>
      <c r="H5034" t="s">
        <v>27248</v>
      </c>
      <c r="I5034" t="s">
        <v>36972</v>
      </c>
      <c r="J5034" t="s">
        <v>10041</v>
      </c>
      <c r="L5034" t="s">
        <v>27250</v>
      </c>
      <c r="M5034" t="s">
        <v>27251</v>
      </c>
      <c r="N5034" t="s">
        <v>27252</v>
      </c>
      <c r="P5034" t="s">
        <v>27341</v>
      </c>
      <c r="Q5034" s="1">
        <v>44846</v>
      </c>
      <c r="R5034" t="s">
        <v>27253</v>
      </c>
      <c r="S5034" t="s">
        <v>27254</v>
      </c>
      <c r="T5034" t="s">
        <v>27265</v>
      </c>
    </row>
    <row r="5035" spans="1:20" x14ac:dyDescent="0.3">
      <c r="A5035" t="str">
        <f>"0611862277050"</f>
        <v>0611862277050</v>
      </c>
      <c r="B5035" t="str">
        <f>"CR4983"</f>
        <v>CR4983</v>
      </c>
      <c r="C5035" t="s">
        <v>36973</v>
      </c>
      <c r="D5035" t="s">
        <v>27271</v>
      </c>
      <c r="E5035" t="str">
        <f t="shared" si="78"/>
        <v>001390</v>
      </c>
      <c r="F5035" t="s">
        <v>27246</v>
      </c>
      <c r="G5035" t="s">
        <v>27247</v>
      </c>
      <c r="H5035" t="s">
        <v>27248</v>
      </c>
      <c r="I5035" t="s">
        <v>36974</v>
      </c>
      <c r="J5035" t="s">
        <v>10043</v>
      </c>
      <c r="L5035" t="s">
        <v>27250</v>
      </c>
      <c r="M5035" t="s">
        <v>27251</v>
      </c>
      <c r="N5035" t="s">
        <v>27252</v>
      </c>
      <c r="P5035" t="s">
        <v>27341</v>
      </c>
      <c r="Q5035" s="1">
        <v>44846</v>
      </c>
      <c r="R5035" t="s">
        <v>27253</v>
      </c>
      <c r="S5035" t="s">
        <v>27254</v>
      </c>
      <c r="T5035" t="s">
        <v>27265</v>
      </c>
    </row>
    <row r="5036" spans="1:20" x14ac:dyDescent="0.3">
      <c r="A5036" t="str">
        <f>"0611862278050"</f>
        <v>0611862278050</v>
      </c>
      <c r="B5036" t="str">
        <f>"CR2249"</f>
        <v>CR2249</v>
      </c>
      <c r="C5036" t="s">
        <v>36975</v>
      </c>
      <c r="D5036" t="s">
        <v>27271</v>
      </c>
      <c r="E5036" t="str">
        <f t="shared" si="78"/>
        <v>001390</v>
      </c>
      <c r="F5036" t="s">
        <v>27246</v>
      </c>
      <c r="G5036" t="s">
        <v>27247</v>
      </c>
      <c r="H5036" t="s">
        <v>27248</v>
      </c>
      <c r="I5036" t="s">
        <v>36976</v>
      </c>
      <c r="J5036" t="s">
        <v>10045</v>
      </c>
      <c r="L5036" t="s">
        <v>27250</v>
      </c>
      <c r="M5036" t="s">
        <v>27251</v>
      </c>
      <c r="N5036" t="s">
        <v>27252</v>
      </c>
      <c r="P5036" t="s">
        <v>27341</v>
      </c>
      <c r="Q5036" s="1">
        <v>44846</v>
      </c>
      <c r="R5036" t="s">
        <v>27253</v>
      </c>
      <c r="S5036" t="s">
        <v>27254</v>
      </c>
      <c r="T5036" t="s">
        <v>27265</v>
      </c>
    </row>
    <row r="5037" spans="1:20" x14ac:dyDescent="0.3">
      <c r="A5037" t="str">
        <f>"0611862279050"</f>
        <v>0611862279050</v>
      </c>
      <c r="B5037" t="str">
        <f>"CR4984"</f>
        <v>CR4984</v>
      </c>
      <c r="C5037" t="s">
        <v>36977</v>
      </c>
      <c r="D5037" t="s">
        <v>27271</v>
      </c>
      <c r="E5037" t="str">
        <f t="shared" si="78"/>
        <v>001390</v>
      </c>
      <c r="F5037" t="s">
        <v>27246</v>
      </c>
      <c r="G5037" t="s">
        <v>27247</v>
      </c>
      <c r="H5037" t="s">
        <v>27248</v>
      </c>
      <c r="I5037" t="s">
        <v>36978</v>
      </c>
      <c r="J5037" t="s">
        <v>10049</v>
      </c>
      <c r="L5037" t="s">
        <v>27250</v>
      </c>
      <c r="M5037" t="s">
        <v>27251</v>
      </c>
      <c r="N5037" t="s">
        <v>27252</v>
      </c>
      <c r="P5037" t="s">
        <v>27341</v>
      </c>
      <c r="Q5037" s="1">
        <v>44846</v>
      </c>
      <c r="R5037" t="s">
        <v>27253</v>
      </c>
      <c r="S5037" t="s">
        <v>27254</v>
      </c>
      <c r="T5037" t="s">
        <v>27265</v>
      </c>
    </row>
    <row r="5038" spans="1:20" x14ac:dyDescent="0.3">
      <c r="A5038" t="str">
        <f>"0611862280050"</f>
        <v>0611862280050</v>
      </c>
      <c r="B5038" t="str">
        <f>"CR2250"</f>
        <v>CR2250</v>
      </c>
      <c r="C5038" t="s">
        <v>36979</v>
      </c>
      <c r="D5038" t="s">
        <v>27271</v>
      </c>
      <c r="E5038" t="str">
        <f t="shared" si="78"/>
        <v>001390</v>
      </c>
      <c r="F5038" t="s">
        <v>27246</v>
      </c>
      <c r="G5038" t="s">
        <v>27247</v>
      </c>
      <c r="H5038" t="s">
        <v>27248</v>
      </c>
      <c r="I5038" t="s">
        <v>36980</v>
      </c>
      <c r="J5038" t="s">
        <v>10047</v>
      </c>
      <c r="L5038" t="s">
        <v>27250</v>
      </c>
      <c r="M5038" t="s">
        <v>27251</v>
      </c>
      <c r="N5038" t="s">
        <v>27252</v>
      </c>
      <c r="P5038" t="s">
        <v>27341</v>
      </c>
      <c r="Q5038" s="1">
        <v>44846</v>
      </c>
      <c r="R5038" t="s">
        <v>27253</v>
      </c>
      <c r="S5038" t="s">
        <v>27254</v>
      </c>
      <c r="T5038" t="s">
        <v>27265</v>
      </c>
    </row>
    <row r="5039" spans="1:20" x14ac:dyDescent="0.3">
      <c r="A5039" t="str">
        <f>"0611862281050"</f>
        <v>0611862281050</v>
      </c>
      <c r="B5039" t="str">
        <f>"CR3957"</f>
        <v>CR3957</v>
      </c>
      <c r="C5039" t="s">
        <v>36981</v>
      </c>
      <c r="D5039" t="s">
        <v>27271</v>
      </c>
      <c r="E5039" t="str">
        <f t="shared" si="78"/>
        <v>001390</v>
      </c>
      <c r="F5039" t="s">
        <v>27246</v>
      </c>
      <c r="G5039" t="s">
        <v>27247</v>
      </c>
      <c r="H5039" t="s">
        <v>27248</v>
      </c>
      <c r="I5039" t="s">
        <v>36982</v>
      </c>
      <c r="J5039" t="s">
        <v>10051</v>
      </c>
      <c r="L5039" t="s">
        <v>27250</v>
      </c>
      <c r="M5039" t="s">
        <v>27251</v>
      </c>
      <c r="N5039" t="s">
        <v>27252</v>
      </c>
      <c r="P5039" t="s">
        <v>27341</v>
      </c>
      <c r="Q5039" s="1">
        <v>44846</v>
      </c>
      <c r="R5039" t="s">
        <v>27253</v>
      </c>
      <c r="S5039" t="s">
        <v>27254</v>
      </c>
      <c r="T5039" t="s">
        <v>27265</v>
      </c>
    </row>
    <row r="5040" spans="1:20" x14ac:dyDescent="0.3">
      <c r="A5040" t="str">
        <f>"0611862282050"</f>
        <v>0611862282050</v>
      </c>
      <c r="B5040" t="str">
        <f>"CR3902"</f>
        <v>CR3902</v>
      </c>
      <c r="C5040" t="s">
        <v>36983</v>
      </c>
      <c r="D5040" t="s">
        <v>27271</v>
      </c>
      <c r="E5040" t="str">
        <f t="shared" si="78"/>
        <v>001390</v>
      </c>
      <c r="F5040" t="s">
        <v>27246</v>
      </c>
      <c r="G5040" t="s">
        <v>27247</v>
      </c>
      <c r="H5040" t="s">
        <v>27248</v>
      </c>
      <c r="I5040" t="s">
        <v>36984</v>
      </c>
      <c r="J5040" t="s">
        <v>10053</v>
      </c>
      <c r="L5040" t="s">
        <v>27250</v>
      </c>
      <c r="M5040" t="s">
        <v>27251</v>
      </c>
      <c r="N5040" t="s">
        <v>27252</v>
      </c>
      <c r="P5040" t="s">
        <v>27341</v>
      </c>
      <c r="Q5040" s="1">
        <v>44846</v>
      </c>
      <c r="R5040" t="s">
        <v>27253</v>
      </c>
      <c r="S5040" t="s">
        <v>27254</v>
      </c>
      <c r="T5040" t="s">
        <v>27265</v>
      </c>
    </row>
    <row r="5041" spans="1:20" x14ac:dyDescent="0.3">
      <c r="A5041" t="str">
        <f>"0611862283050"</f>
        <v>0611862283050</v>
      </c>
      <c r="B5041" t="str">
        <f>"CR2252"</f>
        <v>CR2252</v>
      </c>
      <c r="C5041" t="s">
        <v>36985</v>
      </c>
      <c r="D5041" t="s">
        <v>27271</v>
      </c>
      <c r="E5041" t="str">
        <f t="shared" si="78"/>
        <v>001390</v>
      </c>
      <c r="F5041" t="s">
        <v>27246</v>
      </c>
      <c r="G5041" t="s">
        <v>27247</v>
      </c>
      <c r="H5041" t="s">
        <v>27248</v>
      </c>
      <c r="I5041" t="s">
        <v>36986</v>
      </c>
      <c r="J5041" t="s">
        <v>10055</v>
      </c>
      <c r="L5041" t="s">
        <v>27250</v>
      </c>
      <c r="M5041" t="s">
        <v>27251</v>
      </c>
      <c r="N5041" t="s">
        <v>27252</v>
      </c>
      <c r="P5041" t="s">
        <v>27341</v>
      </c>
      <c r="Q5041" s="1">
        <v>44846</v>
      </c>
      <c r="R5041" t="s">
        <v>27253</v>
      </c>
      <c r="S5041" t="s">
        <v>27254</v>
      </c>
      <c r="T5041" t="s">
        <v>27265</v>
      </c>
    </row>
    <row r="5042" spans="1:20" x14ac:dyDescent="0.3">
      <c r="A5042" t="str">
        <f>"0611834591025"</f>
        <v>0611834591025</v>
      </c>
      <c r="B5042" t="str">
        <f>"MC1175"</f>
        <v>MC1175</v>
      </c>
      <c r="C5042" t="s">
        <v>36987</v>
      </c>
      <c r="D5042" t="s">
        <v>27267</v>
      </c>
      <c r="E5042" t="str">
        <f t="shared" si="78"/>
        <v>001390</v>
      </c>
      <c r="F5042" t="s">
        <v>27246</v>
      </c>
      <c r="G5042" t="s">
        <v>27247</v>
      </c>
      <c r="H5042" t="s">
        <v>27248</v>
      </c>
      <c r="I5042" t="s">
        <v>36988</v>
      </c>
      <c r="J5042" t="s">
        <v>10057</v>
      </c>
      <c r="L5042" t="s">
        <v>27250</v>
      </c>
      <c r="M5042" t="s">
        <v>27251</v>
      </c>
      <c r="N5042" t="s">
        <v>27252</v>
      </c>
      <c r="Q5042" s="1">
        <v>44538</v>
      </c>
      <c r="R5042" t="s">
        <v>27253</v>
      </c>
      <c r="S5042" t="s">
        <v>27254</v>
      </c>
      <c r="T5042" t="s">
        <v>27269</v>
      </c>
    </row>
    <row r="5043" spans="1:20" x14ac:dyDescent="0.3">
      <c r="A5043" t="str">
        <f>"0611837199100"</f>
        <v>0611837199100</v>
      </c>
      <c r="B5043" t="str">
        <f>"LQ3749"</f>
        <v>LQ3749</v>
      </c>
      <c r="C5043" t="s">
        <v>36989</v>
      </c>
      <c r="D5043" t="s">
        <v>27245</v>
      </c>
      <c r="E5043" t="str">
        <f t="shared" si="78"/>
        <v>001390</v>
      </c>
      <c r="F5043" t="s">
        <v>27246</v>
      </c>
      <c r="G5043" t="s">
        <v>27247</v>
      </c>
      <c r="H5043" t="s">
        <v>27248</v>
      </c>
      <c r="I5043" t="s">
        <v>36990</v>
      </c>
      <c r="J5043" t="s">
        <v>10059</v>
      </c>
      <c r="L5043" t="s">
        <v>27250</v>
      </c>
      <c r="M5043" t="s">
        <v>27251</v>
      </c>
      <c r="N5043" t="s">
        <v>27252</v>
      </c>
      <c r="Q5043" s="1">
        <v>44538</v>
      </c>
      <c r="R5043" t="s">
        <v>27253</v>
      </c>
      <c r="S5043" t="s">
        <v>27254</v>
      </c>
      <c r="T5043" t="s">
        <v>27255</v>
      </c>
    </row>
    <row r="5044" spans="1:20" x14ac:dyDescent="0.3">
      <c r="A5044" t="str">
        <f>"0611837216100"</f>
        <v>0611837216100</v>
      </c>
      <c r="B5044" t="str">
        <f>"MB2820"</f>
        <v>MB2820</v>
      </c>
      <c r="C5044" t="s">
        <v>36991</v>
      </c>
      <c r="D5044" t="s">
        <v>27274</v>
      </c>
      <c r="E5044" t="str">
        <f t="shared" si="78"/>
        <v>001390</v>
      </c>
      <c r="F5044" t="s">
        <v>27246</v>
      </c>
      <c r="G5044" t="s">
        <v>27247</v>
      </c>
      <c r="H5044" t="s">
        <v>27248</v>
      </c>
      <c r="I5044" t="s">
        <v>36992</v>
      </c>
      <c r="J5044" t="s">
        <v>10061</v>
      </c>
      <c r="L5044" t="s">
        <v>27250</v>
      </c>
      <c r="M5044" t="s">
        <v>27251</v>
      </c>
      <c r="N5044" t="s">
        <v>27252</v>
      </c>
      <c r="Q5044" s="1">
        <v>44538</v>
      </c>
      <c r="R5044" t="s">
        <v>27253</v>
      </c>
      <c r="S5044" t="s">
        <v>27254</v>
      </c>
      <c r="T5044" t="s">
        <v>27276</v>
      </c>
    </row>
    <row r="5045" spans="1:20" x14ac:dyDescent="0.3">
      <c r="A5045" t="str">
        <f>"0611837217100"</f>
        <v>0611837217100</v>
      </c>
      <c r="B5045" t="str">
        <f>"LB4250"</f>
        <v>LB4250</v>
      </c>
      <c r="C5045" t="s">
        <v>36991</v>
      </c>
      <c r="D5045" t="s">
        <v>27245</v>
      </c>
      <c r="E5045" t="str">
        <f t="shared" si="78"/>
        <v>001390</v>
      </c>
      <c r="F5045" t="s">
        <v>27246</v>
      </c>
      <c r="G5045" t="s">
        <v>27247</v>
      </c>
      <c r="H5045" t="s">
        <v>27248</v>
      </c>
      <c r="I5045" t="s">
        <v>36993</v>
      </c>
      <c r="J5045" t="s">
        <v>10063</v>
      </c>
      <c r="L5045" t="s">
        <v>27250</v>
      </c>
      <c r="M5045" t="s">
        <v>27251</v>
      </c>
      <c r="N5045" t="s">
        <v>27252</v>
      </c>
      <c r="Q5045" s="1">
        <v>44538</v>
      </c>
      <c r="R5045" t="s">
        <v>27253</v>
      </c>
      <c r="S5045" t="s">
        <v>27254</v>
      </c>
      <c r="T5045" t="s">
        <v>27255</v>
      </c>
    </row>
    <row r="5046" spans="1:20" x14ac:dyDescent="0.3">
      <c r="A5046" t="str">
        <f>"0611837220100"</f>
        <v>0611837220100</v>
      </c>
      <c r="B5046" t="str">
        <f>"LB4223"</f>
        <v>LB4223</v>
      </c>
      <c r="C5046" t="s">
        <v>36994</v>
      </c>
      <c r="D5046" t="s">
        <v>28138</v>
      </c>
      <c r="E5046" t="str">
        <f t="shared" si="78"/>
        <v>001390</v>
      </c>
      <c r="F5046" t="s">
        <v>27246</v>
      </c>
      <c r="G5046" t="s">
        <v>27247</v>
      </c>
      <c r="H5046" t="s">
        <v>27248</v>
      </c>
      <c r="I5046" t="s">
        <v>36995</v>
      </c>
      <c r="J5046" t="s">
        <v>10065</v>
      </c>
      <c r="L5046" t="s">
        <v>27250</v>
      </c>
      <c r="M5046" t="s">
        <v>27251</v>
      </c>
      <c r="N5046" t="s">
        <v>27252</v>
      </c>
      <c r="P5046" t="s">
        <v>27925</v>
      </c>
      <c r="Q5046" s="1">
        <v>44538</v>
      </c>
      <c r="R5046" t="s">
        <v>27253</v>
      </c>
      <c r="S5046" t="s">
        <v>27254</v>
      </c>
      <c r="T5046" t="s">
        <v>27255</v>
      </c>
    </row>
    <row r="5047" spans="1:20" x14ac:dyDescent="0.3">
      <c r="A5047" t="str">
        <f>"0611862285050"</f>
        <v>0611862285050</v>
      </c>
      <c r="B5047" t="str">
        <f>"CE1611"</f>
        <v>CE1611</v>
      </c>
      <c r="C5047" t="s">
        <v>36996</v>
      </c>
      <c r="D5047" t="s">
        <v>27923</v>
      </c>
      <c r="E5047" t="str">
        <f t="shared" si="78"/>
        <v>001390</v>
      </c>
      <c r="F5047" t="s">
        <v>27246</v>
      </c>
      <c r="G5047" t="s">
        <v>27247</v>
      </c>
      <c r="H5047" t="s">
        <v>27248</v>
      </c>
      <c r="I5047" t="s">
        <v>36997</v>
      </c>
      <c r="J5047" t="s">
        <v>10067</v>
      </c>
      <c r="L5047" t="s">
        <v>27250</v>
      </c>
      <c r="M5047" t="s">
        <v>27251</v>
      </c>
      <c r="N5047" t="s">
        <v>27252</v>
      </c>
      <c r="P5047" t="s">
        <v>27925</v>
      </c>
      <c r="Q5047" s="1">
        <v>44846</v>
      </c>
      <c r="R5047" t="s">
        <v>27253</v>
      </c>
      <c r="S5047" t="s">
        <v>27254</v>
      </c>
      <c r="T5047" t="s">
        <v>27265</v>
      </c>
    </row>
    <row r="5048" spans="1:20" x14ac:dyDescent="0.3">
      <c r="A5048" t="str">
        <f>"0611862286050"</f>
        <v>0611862286050</v>
      </c>
      <c r="B5048" t="str">
        <f>"CE1331"</f>
        <v>CE1331</v>
      </c>
      <c r="C5048" t="s">
        <v>36998</v>
      </c>
      <c r="D5048" t="s">
        <v>27923</v>
      </c>
      <c r="E5048" t="str">
        <f t="shared" si="78"/>
        <v>001390</v>
      </c>
      <c r="F5048" t="s">
        <v>27246</v>
      </c>
      <c r="G5048" t="s">
        <v>27247</v>
      </c>
      <c r="H5048" t="s">
        <v>27248</v>
      </c>
      <c r="I5048" t="s">
        <v>36999</v>
      </c>
      <c r="J5048" t="s">
        <v>10069</v>
      </c>
      <c r="L5048" t="s">
        <v>27250</v>
      </c>
      <c r="M5048" t="s">
        <v>27251</v>
      </c>
      <c r="N5048" t="s">
        <v>27252</v>
      </c>
      <c r="P5048" t="s">
        <v>27925</v>
      </c>
      <c r="Q5048" s="1">
        <v>44846</v>
      </c>
      <c r="R5048" t="s">
        <v>27253</v>
      </c>
      <c r="S5048" t="s">
        <v>27254</v>
      </c>
      <c r="T5048" t="s">
        <v>27265</v>
      </c>
    </row>
    <row r="5049" spans="1:20" x14ac:dyDescent="0.3">
      <c r="A5049" t="str">
        <f>"0611862287050"</f>
        <v>0611862287050</v>
      </c>
      <c r="B5049" t="str">
        <f>"CE1332"</f>
        <v>CE1332</v>
      </c>
      <c r="C5049" t="s">
        <v>37000</v>
      </c>
      <c r="D5049" t="s">
        <v>27923</v>
      </c>
      <c r="E5049" t="str">
        <f t="shared" si="78"/>
        <v>001390</v>
      </c>
      <c r="F5049" t="s">
        <v>27246</v>
      </c>
      <c r="G5049" t="s">
        <v>27247</v>
      </c>
      <c r="H5049" t="s">
        <v>27248</v>
      </c>
      <c r="I5049" t="s">
        <v>37001</v>
      </c>
      <c r="J5049" t="s">
        <v>10071</v>
      </c>
      <c r="L5049" t="s">
        <v>27250</v>
      </c>
      <c r="M5049" t="s">
        <v>27251</v>
      </c>
      <c r="N5049" t="s">
        <v>27252</v>
      </c>
      <c r="P5049" t="s">
        <v>27925</v>
      </c>
      <c r="Q5049" s="1">
        <v>44846</v>
      </c>
      <c r="R5049" t="s">
        <v>27253</v>
      </c>
      <c r="S5049" t="s">
        <v>27254</v>
      </c>
      <c r="T5049" t="s">
        <v>27265</v>
      </c>
    </row>
    <row r="5050" spans="1:20" x14ac:dyDescent="0.3">
      <c r="A5050" t="str">
        <f>"0611862288050"</f>
        <v>0611862288050</v>
      </c>
      <c r="B5050" t="str">
        <f>"CE1333"</f>
        <v>CE1333</v>
      </c>
      <c r="C5050" t="s">
        <v>37002</v>
      </c>
      <c r="D5050" t="s">
        <v>27923</v>
      </c>
      <c r="E5050" t="str">
        <f t="shared" si="78"/>
        <v>001390</v>
      </c>
      <c r="F5050" t="s">
        <v>27246</v>
      </c>
      <c r="G5050" t="s">
        <v>27247</v>
      </c>
      <c r="H5050" t="s">
        <v>27248</v>
      </c>
      <c r="I5050" t="s">
        <v>37003</v>
      </c>
      <c r="J5050" t="s">
        <v>10073</v>
      </c>
      <c r="L5050" t="s">
        <v>27250</v>
      </c>
      <c r="M5050" t="s">
        <v>27251</v>
      </c>
      <c r="N5050" t="s">
        <v>27252</v>
      </c>
      <c r="P5050" t="s">
        <v>27925</v>
      </c>
      <c r="Q5050" s="1">
        <v>44846</v>
      </c>
      <c r="R5050" t="s">
        <v>27253</v>
      </c>
      <c r="S5050" t="s">
        <v>27254</v>
      </c>
      <c r="T5050" t="s">
        <v>27265</v>
      </c>
    </row>
    <row r="5051" spans="1:20" x14ac:dyDescent="0.3">
      <c r="A5051" t="str">
        <f>"0611862289050"</f>
        <v>0611862289050</v>
      </c>
      <c r="B5051" t="str">
        <f>"CE1491"</f>
        <v>CE1491</v>
      </c>
      <c r="C5051" t="s">
        <v>37004</v>
      </c>
      <c r="D5051" t="s">
        <v>27923</v>
      </c>
      <c r="E5051" t="str">
        <f t="shared" si="78"/>
        <v>001390</v>
      </c>
      <c r="F5051" t="s">
        <v>27246</v>
      </c>
      <c r="G5051" t="s">
        <v>27247</v>
      </c>
      <c r="H5051" t="s">
        <v>27248</v>
      </c>
      <c r="I5051" t="s">
        <v>37005</v>
      </c>
      <c r="J5051" t="s">
        <v>10075</v>
      </c>
      <c r="L5051" t="s">
        <v>27250</v>
      </c>
      <c r="M5051" t="s">
        <v>27251</v>
      </c>
      <c r="N5051" t="s">
        <v>27252</v>
      </c>
      <c r="P5051" t="s">
        <v>27925</v>
      </c>
      <c r="Q5051" s="1">
        <v>44846</v>
      </c>
      <c r="R5051" t="s">
        <v>27253</v>
      </c>
      <c r="S5051" t="s">
        <v>27254</v>
      </c>
      <c r="T5051" t="s">
        <v>27265</v>
      </c>
    </row>
    <row r="5052" spans="1:20" x14ac:dyDescent="0.3">
      <c r="A5052" t="str">
        <f>"0611862290050"</f>
        <v>0611862290050</v>
      </c>
      <c r="B5052" t="str">
        <f>"CE1334"</f>
        <v>CE1334</v>
      </c>
      <c r="C5052" t="s">
        <v>37006</v>
      </c>
      <c r="D5052" t="s">
        <v>27923</v>
      </c>
      <c r="E5052" t="str">
        <f t="shared" si="78"/>
        <v>001390</v>
      </c>
      <c r="F5052" t="s">
        <v>27246</v>
      </c>
      <c r="G5052" t="s">
        <v>27247</v>
      </c>
      <c r="H5052" t="s">
        <v>27248</v>
      </c>
      <c r="I5052" t="s">
        <v>37007</v>
      </c>
      <c r="J5052" t="s">
        <v>10077</v>
      </c>
      <c r="L5052" t="s">
        <v>27250</v>
      </c>
      <c r="M5052" t="s">
        <v>27251</v>
      </c>
      <c r="N5052" t="s">
        <v>27252</v>
      </c>
      <c r="P5052" t="s">
        <v>27925</v>
      </c>
      <c r="Q5052" s="1">
        <v>44846</v>
      </c>
      <c r="R5052" t="s">
        <v>27253</v>
      </c>
      <c r="S5052" t="s">
        <v>27254</v>
      </c>
      <c r="T5052" t="s">
        <v>27265</v>
      </c>
    </row>
    <row r="5053" spans="1:20" x14ac:dyDescent="0.3">
      <c r="A5053" t="str">
        <f>"0611862291050"</f>
        <v>0611862291050</v>
      </c>
      <c r="B5053" t="str">
        <f>"CE1335"</f>
        <v>CE1335</v>
      </c>
      <c r="C5053" t="s">
        <v>37008</v>
      </c>
      <c r="D5053" t="s">
        <v>27923</v>
      </c>
      <c r="E5053" t="str">
        <f t="shared" si="78"/>
        <v>001390</v>
      </c>
      <c r="F5053" t="s">
        <v>27246</v>
      </c>
      <c r="G5053" t="s">
        <v>27247</v>
      </c>
      <c r="H5053" t="s">
        <v>27248</v>
      </c>
      <c r="I5053" t="s">
        <v>37009</v>
      </c>
      <c r="J5053" t="s">
        <v>10079</v>
      </c>
      <c r="L5053" t="s">
        <v>27250</v>
      </c>
      <c r="M5053" t="s">
        <v>27251</v>
      </c>
      <c r="N5053" t="s">
        <v>27252</v>
      </c>
      <c r="P5053" t="s">
        <v>27925</v>
      </c>
      <c r="Q5053" s="1">
        <v>44846</v>
      </c>
      <c r="R5053" t="s">
        <v>27253</v>
      </c>
      <c r="S5053" t="s">
        <v>27254</v>
      </c>
      <c r="T5053" t="s">
        <v>27265</v>
      </c>
    </row>
    <row r="5054" spans="1:20" x14ac:dyDescent="0.3">
      <c r="A5054" t="str">
        <f>"0611862292050"</f>
        <v>0611862292050</v>
      </c>
      <c r="B5054" t="str">
        <f>"CE1336"</f>
        <v>CE1336</v>
      </c>
      <c r="C5054" t="s">
        <v>37010</v>
      </c>
      <c r="D5054" t="s">
        <v>27923</v>
      </c>
      <c r="E5054" t="str">
        <f t="shared" si="78"/>
        <v>001390</v>
      </c>
      <c r="F5054" t="s">
        <v>27246</v>
      </c>
      <c r="G5054" t="s">
        <v>27247</v>
      </c>
      <c r="H5054" t="s">
        <v>27248</v>
      </c>
      <c r="I5054" t="s">
        <v>37011</v>
      </c>
      <c r="J5054" t="s">
        <v>10081</v>
      </c>
      <c r="L5054" t="s">
        <v>27250</v>
      </c>
      <c r="M5054" t="s">
        <v>27251</v>
      </c>
      <c r="N5054" t="s">
        <v>27252</v>
      </c>
      <c r="P5054" t="s">
        <v>27925</v>
      </c>
      <c r="Q5054" s="1">
        <v>44846</v>
      </c>
      <c r="R5054" t="s">
        <v>27253</v>
      </c>
      <c r="S5054" t="s">
        <v>27254</v>
      </c>
      <c r="T5054" t="s">
        <v>27265</v>
      </c>
    </row>
    <row r="5055" spans="1:20" x14ac:dyDescent="0.3">
      <c r="A5055" t="str">
        <f>"0611862293050"</f>
        <v>0611862293050</v>
      </c>
      <c r="B5055" t="str">
        <f>"CE1337"</f>
        <v>CE1337</v>
      </c>
      <c r="C5055" t="s">
        <v>37012</v>
      </c>
      <c r="D5055" t="s">
        <v>27923</v>
      </c>
      <c r="E5055" t="str">
        <f t="shared" si="78"/>
        <v>001390</v>
      </c>
      <c r="F5055" t="s">
        <v>27246</v>
      </c>
      <c r="G5055" t="s">
        <v>27247</v>
      </c>
      <c r="H5055" t="s">
        <v>27248</v>
      </c>
      <c r="I5055" t="s">
        <v>37013</v>
      </c>
      <c r="J5055" t="s">
        <v>10083</v>
      </c>
      <c r="L5055" t="s">
        <v>27250</v>
      </c>
      <c r="M5055" t="s">
        <v>27251</v>
      </c>
      <c r="N5055" t="s">
        <v>27252</v>
      </c>
      <c r="P5055" t="s">
        <v>27925</v>
      </c>
      <c r="Q5055" s="1">
        <v>44846</v>
      </c>
      <c r="R5055" t="s">
        <v>27253</v>
      </c>
      <c r="S5055" t="s">
        <v>27254</v>
      </c>
      <c r="T5055" t="s">
        <v>27265</v>
      </c>
    </row>
    <row r="5056" spans="1:20" x14ac:dyDescent="0.3">
      <c r="A5056" t="str">
        <f>"0611862294050"</f>
        <v>0611862294050</v>
      </c>
      <c r="B5056" t="str">
        <f>"CE1338"</f>
        <v>CE1338</v>
      </c>
      <c r="C5056" t="s">
        <v>37014</v>
      </c>
      <c r="D5056" t="s">
        <v>27923</v>
      </c>
      <c r="E5056" t="str">
        <f t="shared" si="78"/>
        <v>001390</v>
      </c>
      <c r="F5056" t="s">
        <v>27246</v>
      </c>
      <c r="G5056" t="s">
        <v>27247</v>
      </c>
      <c r="H5056" t="s">
        <v>27248</v>
      </c>
      <c r="I5056" t="s">
        <v>37015</v>
      </c>
      <c r="J5056" t="s">
        <v>10085</v>
      </c>
      <c r="L5056" t="s">
        <v>27250</v>
      </c>
      <c r="M5056" t="s">
        <v>27251</v>
      </c>
      <c r="N5056" t="s">
        <v>27252</v>
      </c>
      <c r="P5056" t="s">
        <v>27925</v>
      </c>
      <c r="Q5056" s="1">
        <v>44846</v>
      </c>
      <c r="R5056" t="s">
        <v>27253</v>
      </c>
      <c r="S5056" t="s">
        <v>27254</v>
      </c>
      <c r="T5056" t="s">
        <v>27265</v>
      </c>
    </row>
    <row r="5057" spans="1:20" x14ac:dyDescent="0.3">
      <c r="A5057" t="str">
        <f>"0611862295050"</f>
        <v>0611862295050</v>
      </c>
      <c r="B5057" t="str">
        <f>"CE1339"</f>
        <v>CE1339</v>
      </c>
      <c r="C5057" t="s">
        <v>37016</v>
      </c>
      <c r="D5057" t="s">
        <v>27923</v>
      </c>
      <c r="E5057" t="str">
        <f t="shared" si="78"/>
        <v>001390</v>
      </c>
      <c r="F5057" t="s">
        <v>27246</v>
      </c>
      <c r="G5057" t="s">
        <v>27247</v>
      </c>
      <c r="H5057" t="s">
        <v>27248</v>
      </c>
      <c r="I5057" t="s">
        <v>37017</v>
      </c>
      <c r="J5057" t="s">
        <v>10087</v>
      </c>
      <c r="L5057" t="s">
        <v>27250</v>
      </c>
      <c r="M5057" t="s">
        <v>27251</v>
      </c>
      <c r="N5057" t="s">
        <v>27252</v>
      </c>
      <c r="P5057" t="s">
        <v>27925</v>
      </c>
      <c r="Q5057" s="1">
        <v>44846</v>
      </c>
      <c r="R5057" t="s">
        <v>27253</v>
      </c>
      <c r="S5057" t="s">
        <v>27254</v>
      </c>
      <c r="T5057" t="s">
        <v>27265</v>
      </c>
    </row>
    <row r="5058" spans="1:20" x14ac:dyDescent="0.3">
      <c r="A5058" t="str">
        <f>"0611862296050"</f>
        <v>0611862296050</v>
      </c>
      <c r="B5058" t="str">
        <f>"CE1340"</f>
        <v>CE1340</v>
      </c>
      <c r="C5058" t="s">
        <v>37018</v>
      </c>
      <c r="D5058" t="s">
        <v>27923</v>
      </c>
      <c r="E5058" t="str">
        <f t="shared" ref="E5058:E5121" si="79">"001390"</f>
        <v>001390</v>
      </c>
      <c r="F5058" t="s">
        <v>27246</v>
      </c>
      <c r="G5058" t="s">
        <v>27247</v>
      </c>
      <c r="H5058" t="s">
        <v>27248</v>
      </c>
      <c r="I5058" t="s">
        <v>37019</v>
      </c>
      <c r="J5058" t="s">
        <v>10089</v>
      </c>
      <c r="L5058" t="s">
        <v>27250</v>
      </c>
      <c r="M5058" t="s">
        <v>27251</v>
      </c>
      <c r="N5058" t="s">
        <v>27252</v>
      </c>
      <c r="P5058" t="s">
        <v>27925</v>
      </c>
      <c r="Q5058" s="1">
        <v>44846</v>
      </c>
      <c r="R5058" t="s">
        <v>27253</v>
      </c>
      <c r="S5058" t="s">
        <v>27254</v>
      </c>
      <c r="T5058" t="s">
        <v>27265</v>
      </c>
    </row>
    <row r="5059" spans="1:20" x14ac:dyDescent="0.3">
      <c r="A5059" t="str">
        <f>"0611837284100"</f>
        <v>0611837284100</v>
      </c>
      <c r="B5059" t="str">
        <f>"LK6389"</f>
        <v>LK6389</v>
      </c>
      <c r="C5059" t="s">
        <v>37020</v>
      </c>
      <c r="D5059" t="s">
        <v>28138</v>
      </c>
      <c r="E5059" t="str">
        <f t="shared" si="79"/>
        <v>001390</v>
      </c>
      <c r="F5059" t="s">
        <v>27246</v>
      </c>
      <c r="G5059" t="s">
        <v>27247</v>
      </c>
      <c r="H5059" t="s">
        <v>27248</v>
      </c>
      <c r="I5059" t="s">
        <v>37021</v>
      </c>
      <c r="J5059" t="s">
        <v>10091</v>
      </c>
      <c r="L5059" t="s">
        <v>27250</v>
      </c>
      <c r="M5059" t="s">
        <v>27251</v>
      </c>
      <c r="N5059" t="s">
        <v>27252</v>
      </c>
      <c r="P5059" t="s">
        <v>27925</v>
      </c>
      <c r="Q5059" s="1">
        <v>44538</v>
      </c>
      <c r="R5059" t="s">
        <v>27253</v>
      </c>
      <c r="S5059" t="s">
        <v>27254</v>
      </c>
      <c r="T5059" t="s">
        <v>27255</v>
      </c>
    </row>
    <row r="5060" spans="1:20" x14ac:dyDescent="0.3">
      <c r="A5060" t="str">
        <f>"0611837285100"</f>
        <v>0611837285100</v>
      </c>
      <c r="B5060" t="str">
        <f>"LB4226"</f>
        <v>LB4226</v>
      </c>
      <c r="C5060" t="s">
        <v>37022</v>
      </c>
      <c r="D5060" t="s">
        <v>28138</v>
      </c>
      <c r="E5060" t="str">
        <f t="shared" si="79"/>
        <v>001390</v>
      </c>
      <c r="F5060" t="s">
        <v>27246</v>
      </c>
      <c r="G5060" t="s">
        <v>27247</v>
      </c>
      <c r="H5060" t="s">
        <v>27248</v>
      </c>
      <c r="I5060" t="s">
        <v>37023</v>
      </c>
      <c r="J5060" t="s">
        <v>10093</v>
      </c>
      <c r="L5060" t="s">
        <v>27250</v>
      </c>
      <c r="M5060" t="s">
        <v>27251</v>
      </c>
      <c r="N5060" t="s">
        <v>27252</v>
      </c>
      <c r="P5060" t="s">
        <v>27925</v>
      </c>
      <c r="Q5060" s="1">
        <v>44538</v>
      </c>
      <c r="R5060" t="s">
        <v>27253</v>
      </c>
      <c r="S5060" t="s">
        <v>27254</v>
      </c>
      <c r="T5060" t="s">
        <v>27255</v>
      </c>
    </row>
    <row r="5061" spans="1:20" x14ac:dyDescent="0.3">
      <c r="A5061" t="str">
        <f>"0611837307100"</f>
        <v>0611837307100</v>
      </c>
      <c r="B5061" t="str">
        <f>"LK5757"</f>
        <v>LK5757</v>
      </c>
      <c r="C5061" t="s">
        <v>37024</v>
      </c>
      <c r="D5061" t="s">
        <v>28138</v>
      </c>
      <c r="E5061" t="str">
        <f t="shared" si="79"/>
        <v>001390</v>
      </c>
      <c r="F5061" t="s">
        <v>27246</v>
      </c>
      <c r="G5061" t="s">
        <v>27247</v>
      </c>
      <c r="H5061" t="s">
        <v>27248</v>
      </c>
      <c r="I5061" t="s">
        <v>37025</v>
      </c>
      <c r="J5061" t="s">
        <v>10095</v>
      </c>
      <c r="L5061" t="s">
        <v>27250</v>
      </c>
      <c r="M5061" t="s">
        <v>27251</v>
      </c>
      <c r="N5061" t="s">
        <v>27252</v>
      </c>
      <c r="P5061" t="s">
        <v>27925</v>
      </c>
      <c r="Q5061" s="1">
        <v>44538</v>
      </c>
      <c r="R5061" t="s">
        <v>27253</v>
      </c>
      <c r="S5061" t="s">
        <v>27254</v>
      </c>
      <c r="T5061" t="s">
        <v>27255</v>
      </c>
    </row>
    <row r="5062" spans="1:20" x14ac:dyDescent="0.3">
      <c r="A5062" t="str">
        <f>"0611837315100"</f>
        <v>0611837315100</v>
      </c>
      <c r="B5062" t="str">
        <f>"LK2828"</f>
        <v>LK2828</v>
      </c>
      <c r="C5062" t="s">
        <v>37026</v>
      </c>
      <c r="D5062" t="s">
        <v>28138</v>
      </c>
      <c r="E5062" t="str">
        <f t="shared" si="79"/>
        <v>001390</v>
      </c>
      <c r="F5062" t="s">
        <v>27246</v>
      </c>
      <c r="G5062" t="s">
        <v>27247</v>
      </c>
      <c r="H5062" t="s">
        <v>27248</v>
      </c>
      <c r="I5062" t="s">
        <v>37027</v>
      </c>
      <c r="J5062" t="s">
        <v>10097</v>
      </c>
      <c r="L5062" t="s">
        <v>27250</v>
      </c>
      <c r="M5062" t="s">
        <v>27251</v>
      </c>
      <c r="N5062" t="s">
        <v>27252</v>
      </c>
      <c r="P5062" t="s">
        <v>27925</v>
      </c>
      <c r="Q5062" s="1">
        <v>44538</v>
      </c>
      <c r="R5062" t="s">
        <v>27253</v>
      </c>
      <c r="S5062" t="s">
        <v>27254</v>
      </c>
      <c r="T5062" t="s">
        <v>27255</v>
      </c>
    </row>
    <row r="5063" spans="1:20" x14ac:dyDescent="0.3">
      <c r="A5063" t="str">
        <f>"0611834592025"</f>
        <v>0611834592025</v>
      </c>
      <c r="B5063" t="str">
        <f>"MC0301"</f>
        <v>MC0301</v>
      </c>
      <c r="C5063" t="s">
        <v>37028</v>
      </c>
      <c r="D5063" t="s">
        <v>27267</v>
      </c>
      <c r="E5063" t="str">
        <f t="shared" si="79"/>
        <v>001390</v>
      </c>
      <c r="F5063" t="s">
        <v>27246</v>
      </c>
      <c r="G5063" t="s">
        <v>27247</v>
      </c>
      <c r="H5063" t="s">
        <v>27248</v>
      </c>
      <c r="I5063" t="s">
        <v>37029</v>
      </c>
      <c r="J5063" t="s">
        <v>10099</v>
      </c>
      <c r="L5063" t="s">
        <v>27250</v>
      </c>
      <c r="M5063" t="s">
        <v>27251</v>
      </c>
      <c r="N5063" t="s">
        <v>27252</v>
      </c>
      <c r="Q5063" s="1">
        <v>44538</v>
      </c>
      <c r="R5063" t="s">
        <v>27253</v>
      </c>
      <c r="S5063" t="s">
        <v>27254</v>
      </c>
      <c r="T5063" t="s">
        <v>27269</v>
      </c>
    </row>
    <row r="5064" spans="1:20" x14ac:dyDescent="0.3">
      <c r="A5064" t="str">
        <f>"0611834593025"</f>
        <v>0611834593025</v>
      </c>
      <c r="B5064" t="str">
        <f>"MC1897"</f>
        <v>MC1897</v>
      </c>
      <c r="C5064" t="s">
        <v>37030</v>
      </c>
      <c r="D5064" t="s">
        <v>27267</v>
      </c>
      <c r="E5064" t="str">
        <f t="shared" si="79"/>
        <v>001390</v>
      </c>
      <c r="F5064" t="s">
        <v>27246</v>
      </c>
      <c r="G5064" t="s">
        <v>27247</v>
      </c>
      <c r="H5064" t="s">
        <v>27248</v>
      </c>
      <c r="I5064" t="s">
        <v>37031</v>
      </c>
      <c r="J5064" t="s">
        <v>10101</v>
      </c>
      <c r="L5064" t="s">
        <v>27250</v>
      </c>
      <c r="M5064" t="s">
        <v>27251</v>
      </c>
      <c r="N5064" t="s">
        <v>27252</v>
      </c>
      <c r="Q5064" s="1">
        <v>44538</v>
      </c>
      <c r="R5064" t="s">
        <v>27253</v>
      </c>
      <c r="S5064" t="s">
        <v>27254</v>
      </c>
      <c r="T5064" t="s">
        <v>27269</v>
      </c>
    </row>
    <row r="5065" spans="1:20" x14ac:dyDescent="0.3">
      <c r="A5065" t="str">
        <f>"0611837218025"</f>
        <v>0611837218025</v>
      </c>
      <c r="B5065" t="str">
        <f>"MC3099"</f>
        <v>MC3099</v>
      </c>
      <c r="C5065" t="s">
        <v>37032</v>
      </c>
      <c r="D5065" t="s">
        <v>27267</v>
      </c>
      <c r="E5065" t="str">
        <f t="shared" si="79"/>
        <v>001390</v>
      </c>
      <c r="F5065" t="s">
        <v>27246</v>
      </c>
      <c r="G5065" t="s">
        <v>27247</v>
      </c>
      <c r="H5065" t="s">
        <v>27248</v>
      </c>
      <c r="I5065" t="s">
        <v>37033</v>
      </c>
      <c r="J5065" t="s">
        <v>10103</v>
      </c>
      <c r="L5065" t="s">
        <v>27250</v>
      </c>
      <c r="M5065" t="s">
        <v>27251</v>
      </c>
      <c r="N5065" t="s">
        <v>27252</v>
      </c>
      <c r="Q5065" s="1">
        <v>44538</v>
      </c>
      <c r="R5065" t="s">
        <v>27253</v>
      </c>
      <c r="S5065" t="s">
        <v>27254</v>
      </c>
      <c r="T5065" t="s">
        <v>27269</v>
      </c>
    </row>
    <row r="5066" spans="1:20" x14ac:dyDescent="0.3">
      <c r="A5066" t="str">
        <f>"0611837219100"</f>
        <v>0611837219100</v>
      </c>
      <c r="B5066" t="str">
        <f>"LS0028"</f>
        <v>LS0028</v>
      </c>
      <c r="C5066" t="s">
        <v>37034</v>
      </c>
      <c r="D5066" t="s">
        <v>27245</v>
      </c>
      <c r="E5066" t="str">
        <f t="shared" si="79"/>
        <v>001390</v>
      </c>
      <c r="F5066" t="s">
        <v>27246</v>
      </c>
      <c r="G5066" t="s">
        <v>27247</v>
      </c>
      <c r="H5066" t="s">
        <v>27248</v>
      </c>
      <c r="I5066" t="s">
        <v>37035</v>
      </c>
      <c r="J5066" t="s">
        <v>10105</v>
      </c>
      <c r="L5066" t="s">
        <v>27250</v>
      </c>
      <c r="M5066" t="s">
        <v>27251</v>
      </c>
      <c r="N5066" t="s">
        <v>27252</v>
      </c>
      <c r="Q5066" s="1">
        <v>44538</v>
      </c>
      <c r="R5066" t="s">
        <v>27253</v>
      </c>
      <c r="S5066" t="s">
        <v>27254</v>
      </c>
      <c r="T5066" t="s">
        <v>27255</v>
      </c>
    </row>
    <row r="5067" spans="1:20" x14ac:dyDescent="0.3">
      <c r="A5067" t="str">
        <f>"0611837222100"</f>
        <v>0611837222100</v>
      </c>
      <c r="B5067" t="str">
        <f>"LQ3600"</f>
        <v>LQ3600</v>
      </c>
      <c r="C5067" t="s">
        <v>37036</v>
      </c>
      <c r="D5067" t="s">
        <v>27245</v>
      </c>
      <c r="E5067" t="str">
        <f t="shared" si="79"/>
        <v>001390</v>
      </c>
      <c r="F5067" t="s">
        <v>27246</v>
      </c>
      <c r="G5067" t="s">
        <v>27247</v>
      </c>
      <c r="H5067" t="s">
        <v>27248</v>
      </c>
      <c r="I5067" t="s">
        <v>37037</v>
      </c>
      <c r="J5067" t="s">
        <v>10107</v>
      </c>
      <c r="L5067" t="s">
        <v>27250</v>
      </c>
      <c r="M5067" t="s">
        <v>27251</v>
      </c>
      <c r="N5067" t="s">
        <v>27252</v>
      </c>
      <c r="Q5067" s="1">
        <v>44538</v>
      </c>
      <c r="R5067" t="s">
        <v>27253</v>
      </c>
      <c r="S5067" t="s">
        <v>27254</v>
      </c>
      <c r="T5067" t="s">
        <v>27255</v>
      </c>
    </row>
    <row r="5068" spans="1:20" x14ac:dyDescent="0.3">
      <c r="A5068" t="str">
        <f>"0611837223100"</f>
        <v>0611837223100</v>
      </c>
      <c r="B5068" t="str">
        <f>"LS0029"</f>
        <v>LS0029</v>
      </c>
      <c r="C5068" t="s">
        <v>37038</v>
      </c>
      <c r="D5068" t="s">
        <v>27245</v>
      </c>
      <c r="E5068" t="str">
        <f t="shared" si="79"/>
        <v>001390</v>
      </c>
      <c r="F5068" t="s">
        <v>27246</v>
      </c>
      <c r="G5068" t="s">
        <v>27247</v>
      </c>
      <c r="H5068" t="s">
        <v>27248</v>
      </c>
      <c r="I5068" t="s">
        <v>37039</v>
      </c>
      <c r="J5068" t="s">
        <v>10109</v>
      </c>
      <c r="L5068" t="s">
        <v>27250</v>
      </c>
      <c r="M5068" t="s">
        <v>27251</v>
      </c>
      <c r="N5068" t="s">
        <v>27252</v>
      </c>
      <c r="Q5068" s="1">
        <v>44538</v>
      </c>
      <c r="R5068" t="s">
        <v>27253</v>
      </c>
      <c r="S5068" t="s">
        <v>27254</v>
      </c>
      <c r="T5068" t="s">
        <v>27255</v>
      </c>
    </row>
    <row r="5069" spans="1:20" x14ac:dyDescent="0.3">
      <c r="A5069" t="str">
        <f>"0611837224100"</f>
        <v>0611837224100</v>
      </c>
      <c r="B5069" t="str">
        <f>"LS0030"</f>
        <v>LS0030</v>
      </c>
      <c r="C5069" t="s">
        <v>37040</v>
      </c>
      <c r="D5069" t="s">
        <v>27245</v>
      </c>
      <c r="E5069" t="str">
        <f t="shared" si="79"/>
        <v>001390</v>
      </c>
      <c r="F5069" t="s">
        <v>27246</v>
      </c>
      <c r="G5069" t="s">
        <v>27247</v>
      </c>
      <c r="H5069" t="s">
        <v>27248</v>
      </c>
      <c r="I5069" t="s">
        <v>37041</v>
      </c>
      <c r="J5069" t="s">
        <v>10111</v>
      </c>
      <c r="L5069" t="s">
        <v>27250</v>
      </c>
      <c r="M5069" t="s">
        <v>27251</v>
      </c>
      <c r="N5069" t="s">
        <v>27252</v>
      </c>
      <c r="Q5069" s="1">
        <v>44538</v>
      </c>
      <c r="R5069" t="s">
        <v>27253</v>
      </c>
      <c r="S5069" t="s">
        <v>27254</v>
      </c>
      <c r="T5069" t="s">
        <v>27255</v>
      </c>
    </row>
    <row r="5070" spans="1:20" x14ac:dyDescent="0.3">
      <c r="A5070" t="str">
        <f>"0611862297050"</f>
        <v>0611862297050</v>
      </c>
      <c r="B5070" t="str">
        <f>"CR2266"</f>
        <v>CR2266</v>
      </c>
      <c r="C5070" t="s">
        <v>37042</v>
      </c>
      <c r="D5070" t="s">
        <v>27271</v>
      </c>
      <c r="E5070" t="str">
        <f t="shared" si="79"/>
        <v>001390</v>
      </c>
      <c r="F5070" t="s">
        <v>27246</v>
      </c>
      <c r="G5070" t="s">
        <v>27247</v>
      </c>
      <c r="H5070" t="s">
        <v>27248</v>
      </c>
      <c r="I5070" t="s">
        <v>37043</v>
      </c>
      <c r="J5070" t="s">
        <v>10113</v>
      </c>
      <c r="L5070" t="s">
        <v>27250</v>
      </c>
      <c r="M5070" t="s">
        <v>27251</v>
      </c>
      <c r="N5070" t="s">
        <v>27252</v>
      </c>
      <c r="P5070" t="s">
        <v>27341</v>
      </c>
      <c r="Q5070" s="1">
        <v>44846</v>
      </c>
      <c r="R5070" t="s">
        <v>27253</v>
      </c>
      <c r="S5070" t="s">
        <v>27254</v>
      </c>
      <c r="T5070" t="s">
        <v>27265</v>
      </c>
    </row>
    <row r="5071" spans="1:20" x14ac:dyDescent="0.3">
      <c r="A5071" t="str">
        <f>"0611862298050"</f>
        <v>0611862298050</v>
      </c>
      <c r="B5071" t="str">
        <f>"CR2267"</f>
        <v>CR2267</v>
      </c>
      <c r="C5071" t="s">
        <v>37044</v>
      </c>
      <c r="D5071" t="s">
        <v>27271</v>
      </c>
      <c r="E5071" t="str">
        <f t="shared" si="79"/>
        <v>001390</v>
      </c>
      <c r="F5071" t="s">
        <v>27246</v>
      </c>
      <c r="G5071" t="s">
        <v>27247</v>
      </c>
      <c r="H5071" t="s">
        <v>27248</v>
      </c>
      <c r="I5071" t="s">
        <v>37045</v>
      </c>
      <c r="J5071" t="s">
        <v>10115</v>
      </c>
      <c r="L5071" t="s">
        <v>27250</v>
      </c>
      <c r="M5071" t="s">
        <v>27251</v>
      </c>
      <c r="N5071" t="s">
        <v>27252</v>
      </c>
      <c r="P5071" t="s">
        <v>27341</v>
      </c>
      <c r="Q5071" s="1">
        <v>44846</v>
      </c>
      <c r="R5071" t="s">
        <v>27253</v>
      </c>
      <c r="S5071" t="s">
        <v>27254</v>
      </c>
      <c r="T5071" t="s">
        <v>27265</v>
      </c>
    </row>
    <row r="5072" spans="1:20" x14ac:dyDescent="0.3">
      <c r="A5072" t="str">
        <f>"0611862299050"</f>
        <v>0611862299050</v>
      </c>
      <c r="B5072" t="str">
        <f>"CR2270"</f>
        <v>CR2270</v>
      </c>
      <c r="C5072" t="s">
        <v>37046</v>
      </c>
      <c r="D5072" t="s">
        <v>27271</v>
      </c>
      <c r="E5072" t="str">
        <f t="shared" si="79"/>
        <v>001390</v>
      </c>
      <c r="F5072" t="s">
        <v>27246</v>
      </c>
      <c r="G5072" t="s">
        <v>27247</v>
      </c>
      <c r="H5072" t="s">
        <v>27248</v>
      </c>
      <c r="I5072" t="s">
        <v>37047</v>
      </c>
      <c r="J5072" t="s">
        <v>10117</v>
      </c>
      <c r="L5072" t="s">
        <v>27250</v>
      </c>
      <c r="M5072" t="s">
        <v>27251</v>
      </c>
      <c r="N5072" t="s">
        <v>27252</v>
      </c>
      <c r="P5072" t="s">
        <v>27341</v>
      </c>
      <c r="Q5072" s="1">
        <v>44846</v>
      </c>
      <c r="R5072" t="s">
        <v>27253</v>
      </c>
      <c r="S5072" t="s">
        <v>27254</v>
      </c>
      <c r="T5072" t="s">
        <v>27265</v>
      </c>
    </row>
    <row r="5073" spans="1:20" x14ac:dyDescent="0.3">
      <c r="A5073" t="str">
        <f>"0611862300050"</f>
        <v>0611862300050</v>
      </c>
      <c r="B5073" t="str">
        <f>"CR2271"</f>
        <v>CR2271</v>
      </c>
      <c r="C5073" t="s">
        <v>37048</v>
      </c>
      <c r="D5073" t="s">
        <v>27271</v>
      </c>
      <c r="E5073" t="str">
        <f t="shared" si="79"/>
        <v>001390</v>
      </c>
      <c r="F5073" t="s">
        <v>27246</v>
      </c>
      <c r="G5073" t="s">
        <v>27247</v>
      </c>
      <c r="H5073" t="s">
        <v>27248</v>
      </c>
      <c r="I5073" t="s">
        <v>37049</v>
      </c>
      <c r="J5073" t="s">
        <v>10119</v>
      </c>
      <c r="L5073" t="s">
        <v>27250</v>
      </c>
      <c r="M5073" t="s">
        <v>27251</v>
      </c>
      <c r="N5073" t="s">
        <v>27252</v>
      </c>
      <c r="P5073" t="s">
        <v>27341</v>
      </c>
      <c r="Q5073" s="1">
        <v>44846</v>
      </c>
      <c r="R5073" t="s">
        <v>27253</v>
      </c>
      <c r="S5073" t="s">
        <v>27254</v>
      </c>
      <c r="T5073" t="s">
        <v>27265</v>
      </c>
    </row>
    <row r="5074" spans="1:20" x14ac:dyDescent="0.3">
      <c r="A5074" t="str">
        <f>"0611862301050"</f>
        <v>0611862301050</v>
      </c>
      <c r="B5074" t="str">
        <f>"CR2272"</f>
        <v>CR2272</v>
      </c>
      <c r="C5074" t="s">
        <v>37050</v>
      </c>
      <c r="D5074" t="s">
        <v>27271</v>
      </c>
      <c r="E5074" t="str">
        <f t="shared" si="79"/>
        <v>001390</v>
      </c>
      <c r="F5074" t="s">
        <v>27246</v>
      </c>
      <c r="G5074" t="s">
        <v>27247</v>
      </c>
      <c r="H5074" t="s">
        <v>27248</v>
      </c>
      <c r="I5074" t="s">
        <v>37051</v>
      </c>
      <c r="J5074" t="s">
        <v>10121</v>
      </c>
      <c r="L5074" t="s">
        <v>27250</v>
      </c>
      <c r="M5074" t="s">
        <v>27251</v>
      </c>
      <c r="N5074" t="s">
        <v>27252</v>
      </c>
      <c r="P5074" t="s">
        <v>27341</v>
      </c>
      <c r="Q5074" s="1">
        <v>44846</v>
      </c>
      <c r="R5074" t="s">
        <v>27253</v>
      </c>
      <c r="S5074" t="s">
        <v>27254</v>
      </c>
      <c r="T5074" t="s">
        <v>27265</v>
      </c>
    </row>
    <row r="5075" spans="1:20" x14ac:dyDescent="0.3">
      <c r="A5075" t="str">
        <f>"0611862302050"</f>
        <v>0611862302050</v>
      </c>
      <c r="B5075" t="str">
        <f>"CR2273"</f>
        <v>CR2273</v>
      </c>
      <c r="C5075" t="s">
        <v>37052</v>
      </c>
      <c r="D5075" t="s">
        <v>27271</v>
      </c>
      <c r="E5075" t="str">
        <f t="shared" si="79"/>
        <v>001390</v>
      </c>
      <c r="F5075" t="s">
        <v>27246</v>
      </c>
      <c r="G5075" t="s">
        <v>27247</v>
      </c>
      <c r="H5075" t="s">
        <v>27248</v>
      </c>
      <c r="I5075" t="s">
        <v>37053</v>
      </c>
      <c r="J5075" t="s">
        <v>10123</v>
      </c>
      <c r="L5075" t="s">
        <v>27250</v>
      </c>
      <c r="M5075" t="s">
        <v>27251</v>
      </c>
      <c r="N5075" t="s">
        <v>27252</v>
      </c>
      <c r="P5075" t="s">
        <v>27341</v>
      </c>
      <c r="Q5075" s="1">
        <v>44846</v>
      </c>
      <c r="R5075" t="s">
        <v>27253</v>
      </c>
      <c r="S5075" t="s">
        <v>27254</v>
      </c>
      <c r="T5075" t="s">
        <v>27265</v>
      </c>
    </row>
    <row r="5076" spans="1:20" x14ac:dyDescent="0.3">
      <c r="A5076" t="str">
        <f>"0611862303050"</f>
        <v>0611862303050</v>
      </c>
      <c r="B5076" t="str">
        <f>"CR2274"</f>
        <v>CR2274</v>
      </c>
      <c r="C5076" t="s">
        <v>37054</v>
      </c>
      <c r="D5076" t="s">
        <v>27271</v>
      </c>
      <c r="E5076" t="str">
        <f t="shared" si="79"/>
        <v>001390</v>
      </c>
      <c r="F5076" t="s">
        <v>27246</v>
      </c>
      <c r="G5076" t="s">
        <v>27247</v>
      </c>
      <c r="H5076" t="s">
        <v>27248</v>
      </c>
      <c r="I5076" t="s">
        <v>37055</v>
      </c>
      <c r="J5076" t="s">
        <v>10125</v>
      </c>
      <c r="L5076" t="s">
        <v>27250</v>
      </c>
      <c r="M5076" t="s">
        <v>27251</v>
      </c>
      <c r="N5076" t="s">
        <v>27252</v>
      </c>
      <c r="P5076" t="s">
        <v>27341</v>
      </c>
      <c r="Q5076" s="1">
        <v>44846</v>
      </c>
      <c r="R5076" t="s">
        <v>27253</v>
      </c>
      <c r="S5076" t="s">
        <v>27254</v>
      </c>
      <c r="T5076" t="s">
        <v>27265</v>
      </c>
    </row>
    <row r="5077" spans="1:20" x14ac:dyDescent="0.3">
      <c r="A5077" t="str">
        <f>"0611862304050"</f>
        <v>0611862304050</v>
      </c>
      <c r="B5077" t="str">
        <f>"CR4985"</f>
        <v>CR4985</v>
      </c>
      <c r="C5077" t="s">
        <v>37056</v>
      </c>
      <c r="D5077" t="s">
        <v>27271</v>
      </c>
      <c r="E5077" t="str">
        <f t="shared" si="79"/>
        <v>001390</v>
      </c>
      <c r="F5077" t="s">
        <v>27246</v>
      </c>
      <c r="G5077" t="s">
        <v>27247</v>
      </c>
      <c r="H5077" t="s">
        <v>27248</v>
      </c>
      <c r="I5077" t="s">
        <v>37057</v>
      </c>
      <c r="J5077" t="s">
        <v>10129</v>
      </c>
      <c r="L5077" t="s">
        <v>27250</v>
      </c>
      <c r="M5077" t="s">
        <v>27251</v>
      </c>
      <c r="N5077" t="s">
        <v>27252</v>
      </c>
      <c r="P5077" t="s">
        <v>27341</v>
      </c>
      <c r="Q5077" s="1">
        <v>44846</v>
      </c>
      <c r="R5077" t="s">
        <v>27253</v>
      </c>
      <c r="S5077" t="s">
        <v>27254</v>
      </c>
      <c r="T5077" t="s">
        <v>27265</v>
      </c>
    </row>
    <row r="5078" spans="1:20" x14ac:dyDescent="0.3">
      <c r="A5078" t="str">
        <f>"0611862305050"</f>
        <v>0611862305050</v>
      </c>
      <c r="B5078" t="str">
        <f>"CR2275"</f>
        <v>CR2275</v>
      </c>
      <c r="C5078" t="s">
        <v>37058</v>
      </c>
      <c r="D5078" t="s">
        <v>27271</v>
      </c>
      <c r="E5078" t="str">
        <f t="shared" si="79"/>
        <v>001390</v>
      </c>
      <c r="F5078" t="s">
        <v>27246</v>
      </c>
      <c r="G5078" t="s">
        <v>27247</v>
      </c>
      <c r="H5078" t="s">
        <v>27248</v>
      </c>
      <c r="I5078" t="s">
        <v>37059</v>
      </c>
      <c r="J5078" t="s">
        <v>10127</v>
      </c>
      <c r="L5078" t="s">
        <v>27250</v>
      </c>
      <c r="M5078" t="s">
        <v>27251</v>
      </c>
      <c r="N5078" t="s">
        <v>27252</v>
      </c>
      <c r="P5078" t="s">
        <v>27341</v>
      </c>
      <c r="Q5078" s="1">
        <v>44846</v>
      </c>
      <c r="R5078" t="s">
        <v>27253</v>
      </c>
      <c r="S5078" t="s">
        <v>27254</v>
      </c>
      <c r="T5078" t="s">
        <v>27265</v>
      </c>
    </row>
    <row r="5079" spans="1:20" x14ac:dyDescent="0.3">
      <c r="A5079" t="str">
        <f>"0611862306050"</f>
        <v>0611862306050</v>
      </c>
      <c r="B5079" t="str">
        <f>"CR2269"</f>
        <v>CR2269</v>
      </c>
      <c r="C5079" t="s">
        <v>37060</v>
      </c>
      <c r="D5079" t="s">
        <v>27271</v>
      </c>
      <c r="E5079" t="str">
        <f t="shared" si="79"/>
        <v>001390</v>
      </c>
      <c r="F5079" t="s">
        <v>27246</v>
      </c>
      <c r="G5079" t="s">
        <v>27247</v>
      </c>
      <c r="H5079" t="s">
        <v>27248</v>
      </c>
      <c r="I5079" t="s">
        <v>37061</v>
      </c>
      <c r="J5079" t="s">
        <v>10131</v>
      </c>
      <c r="L5079" t="s">
        <v>27250</v>
      </c>
      <c r="M5079" t="s">
        <v>27251</v>
      </c>
      <c r="N5079" t="s">
        <v>27252</v>
      </c>
      <c r="P5079" t="s">
        <v>27341</v>
      </c>
      <c r="Q5079" s="1">
        <v>44846</v>
      </c>
      <c r="R5079" t="s">
        <v>27253</v>
      </c>
      <c r="S5079" t="s">
        <v>27254</v>
      </c>
      <c r="T5079" t="s">
        <v>27265</v>
      </c>
    </row>
    <row r="5080" spans="1:20" x14ac:dyDescent="0.3">
      <c r="A5080" t="str">
        <f>"0611862307050"</f>
        <v>0611862307050</v>
      </c>
      <c r="B5080" t="str">
        <f>"CR4986"</f>
        <v>CR4986</v>
      </c>
      <c r="C5080" t="s">
        <v>37062</v>
      </c>
      <c r="D5080" t="s">
        <v>27271</v>
      </c>
      <c r="E5080" t="str">
        <f t="shared" si="79"/>
        <v>001390</v>
      </c>
      <c r="F5080" t="s">
        <v>27246</v>
      </c>
      <c r="G5080" t="s">
        <v>27247</v>
      </c>
      <c r="H5080" t="s">
        <v>27248</v>
      </c>
      <c r="I5080" t="s">
        <v>37063</v>
      </c>
      <c r="J5080" t="s">
        <v>10133</v>
      </c>
      <c r="L5080" t="s">
        <v>27250</v>
      </c>
      <c r="M5080" t="s">
        <v>27251</v>
      </c>
      <c r="N5080" t="s">
        <v>27252</v>
      </c>
      <c r="P5080" t="s">
        <v>27341</v>
      </c>
      <c r="Q5080" s="1">
        <v>44846</v>
      </c>
      <c r="R5080" t="s">
        <v>27253</v>
      </c>
      <c r="S5080" t="s">
        <v>27254</v>
      </c>
      <c r="T5080" t="s">
        <v>27265</v>
      </c>
    </row>
    <row r="5081" spans="1:20" x14ac:dyDescent="0.3">
      <c r="A5081" t="str">
        <f>"0611862308050"</f>
        <v>0611862308050</v>
      </c>
      <c r="B5081" t="str">
        <f>"CR2277"</f>
        <v>CR2277</v>
      </c>
      <c r="C5081" t="s">
        <v>37064</v>
      </c>
      <c r="D5081" t="s">
        <v>27271</v>
      </c>
      <c r="E5081" t="str">
        <f t="shared" si="79"/>
        <v>001390</v>
      </c>
      <c r="F5081" t="s">
        <v>27246</v>
      </c>
      <c r="G5081" t="s">
        <v>27247</v>
      </c>
      <c r="H5081" t="s">
        <v>27248</v>
      </c>
      <c r="I5081" t="s">
        <v>37065</v>
      </c>
      <c r="J5081" t="s">
        <v>10135</v>
      </c>
      <c r="L5081" t="s">
        <v>27250</v>
      </c>
      <c r="M5081" t="s">
        <v>27251</v>
      </c>
      <c r="N5081" t="s">
        <v>27252</v>
      </c>
      <c r="P5081" t="s">
        <v>27341</v>
      </c>
      <c r="Q5081" s="1">
        <v>44846</v>
      </c>
      <c r="R5081" t="s">
        <v>27253</v>
      </c>
      <c r="S5081" t="s">
        <v>27254</v>
      </c>
      <c r="T5081" t="s">
        <v>27265</v>
      </c>
    </row>
    <row r="5082" spans="1:20" x14ac:dyDescent="0.3">
      <c r="A5082" t="str">
        <f>"0611862309050"</f>
        <v>0611862309050</v>
      </c>
      <c r="B5082" t="str">
        <f>"CE1663"</f>
        <v>CE1663</v>
      </c>
      <c r="C5082" t="s">
        <v>37066</v>
      </c>
      <c r="D5082" t="s">
        <v>27923</v>
      </c>
      <c r="E5082" t="str">
        <f t="shared" si="79"/>
        <v>001390</v>
      </c>
      <c r="F5082" t="s">
        <v>27246</v>
      </c>
      <c r="G5082" t="s">
        <v>27247</v>
      </c>
      <c r="H5082" t="s">
        <v>27248</v>
      </c>
      <c r="I5082" t="s">
        <v>37067</v>
      </c>
      <c r="J5082" t="s">
        <v>10139</v>
      </c>
      <c r="L5082" t="s">
        <v>27250</v>
      </c>
      <c r="M5082" t="s">
        <v>27251</v>
      </c>
      <c r="N5082" t="s">
        <v>27252</v>
      </c>
      <c r="P5082" t="s">
        <v>27925</v>
      </c>
      <c r="Q5082" s="1">
        <v>44846</v>
      </c>
      <c r="R5082" t="s">
        <v>27253</v>
      </c>
      <c r="S5082" t="s">
        <v>27254</v>
      </c>
      <c r="T5082" t="s">
        <v>27265</v>
      </c>
    </row>
    <row r="5083" spans="1:20" x14ac:dyDescent="0.3">
      <c r="A5083" t="str">
        <f>"0611862310050"</f>
        <v>0611862310050</v>
      </c>
      <c r="B5083" t="str">
        <f>"CE1664"</f>
        <v>CE1664</v>
      </c>
      <c r="C5083" t="s">
        <v>37068</v>
      </c>
      <c r="D5083" t="s">
        <v>27923</v>
      </c>
      <c r="E5083" t="str">
        <f t="shared" si="79"/>
        <v>001390</v>
      </c>
      <c r="F5083" t="s">
        <v>27246</v>
      </c>
      <c r="G5083" t="s">
        <v>27247</v>
      </c>
      <c r="H5083" t="s">
        <v>27248</v>
      </c>
      <c r="I5083" t="s">
        <v>37069</v>
      </c>
      <c r="J5083" t="s">
        <v>10141</v>
      </c>
      <c r="L5083" t="s">
        <v>27250</v>
      </c>
      <c r="M5083" t="s">
        <v>27251</v>
      </c>
      <c r="N5083" t="s">
        <v>27252</v>
      </c>
      <c r="P5083" t="s">
        <v>27925</v>
      </c>
      <c r="Q5083" s="1">
        <v>44846</v>
      </c>
      <c r="R5083" t="s">
        <v>27253</v>
      </c>
      <c r="S5083" t="s">
        <v>27254</v>
      </c>
      <c r="T5083" t="s">
        <v>27265</v>
      </c>
    </row>
    <row r="5084" spans="1:20" x14ac:dyDescent="0.3">
      <c r="A5084" t="str">
        <f>"0611862311050"</f>
        <v>0611862311050</v>
      </c>
      <c r="B5084" t="str">
        <f>"CE1665"</f>
        <v>CE1665</v>
      </c>
      <c r="C5084" t="s">
        <v>37070</v>
      </c>
      <c r="D5084" t="s">
        <v>27923</v>
      </c>
      <c r="E5084" t="str">
        <f t="shared" si="79"/>
        <v>001390</v>
      </c>
      <c r="F5084" t="s">
        <v>27246</v>
      </c>
      <c r="G5084" t="s">
        <v>27247</v>
      </c>
      <c r="H5084" t="s">
        <v>27248</v>
      </c>
      <c r="I5084" t="s">
        <v>37071</v>
      </c>
      <c r="J5084" t="s">
        <v>10143</v>
      </c>
      <c r="L5084" t="s">
        <v>27250</v>
      </c>
      <c r="M5084" t="s">
        <v>27251</v>
      </c>
      <c r="N5084" t="s">
        <v>27252</v>
      </c>
      <c r="P5084" t="s">
        <v>27925</v>
      </c>
      <c r="Q5084" s="1">
        <v>44846</v>
      </c>
      <c r="R5084" t="s">
        <v>27253</v>
      </c>
      <c r="S5084" t="s">
        <v>27254</v>
      </c>
      <c r="T5084" t="s">
        <v>27265</v>
      </c>
    </row>
    <row r="5085" spans="1:20" x14ac:dyDescent="0.3">
      <c r="A5085" t="str">
        <f>"0611837225100"</f>
        <v>0611837225100</v>
      </c>
      <c r="B5085" t="str">
        <f>"LB2882"</f>
        <v>LB2882</v>
      </c>
      <c r="C5085" t="s">
        <v>37072</v>
      </c>
      <c r="D5085" t="s">
        <v>27245</v>
      </c>
      <c r="E5085" t="str">
        <f t="shared" si="79"/>
        <v>001390</v>
      </c>
      <c r="F5085" t="s">
        <v>27246</v>
      </c>
      <c r="G5085" t="s">
        <v>27247</v>
      </c>
      <c r="H5085" t="s">
        <v>27248</v>
      </c>
      <c r="I5085" t="s">
        <v>37073</v>
      </c>
      <c r="J5085" t="s">
        <v>10145</v>
      </c>
      <c r="L5085" t="s">
        <v>27250</v>
      </c>
      <c r="M5085" t="s">
        <v>27251</v>
      </c>
      <c r="N5085" t="s">
        <v>27252</v>
      </c>
      <c r="Q5085" s="1">
        <v>44538</v>
      </c>
      <c r="R5085" t="s">
        <v>27253</v>
      </c>
      <c r="S5085" t="s">
        <v>27254</v>
      </c>
      <c r="T5085" t="s">
        <v>27255</v>
      </c>
    </row>
    <row r="5086" spans="1:20" x14ac:dyDescent="0.3">
      <c r="A5086" t="str">
        <f>"0611837226100"</f>
        <v>0611837226100</v>
      </c>
      <c r="B5086" t="str">
        <f>"LK1835"</f>
        <v>LK1835</v>
      </c>
      <c r="C5086" t="s">
        <v>37074</v>
      </c>
      <c r="D5086" t="s">
        <v>28138</v>
      </c>
      <c r="E5086" t="str">
        <f t="shared" si="79"/>
        <v>001390</v>
      </c>
      <c r="F5086" t="s">
        <v>27246</v>
      </c>
      <c r="G5086" t="s">
        <v>27247</v>
      </c>
      <c r="H5086" t="s">
        <v>27248</v>
      </c>
      <c r="I5086" t="s">
        <v>37075</v>
      </c>
      <c r="J5086" t="s">
        <v>10147</v>
      </c>
      <c r="L5086" t="s">
        <v>27250</v>
      </c>
      <c r="M5086" t="s">
        <v>27251</v>
      </c>
      <c r="N5086" t="s">
        <v>27252</v>
      </c>
      <c r="P5086" t="s">
        <v>27925</v>
      </c>
      <c r="Q5086" s="1">
        <v>44538</v>
      </c>
      <c r="R5086" t="s">
        <v>27253</v>
      </c>
      <c r="S5086" t="s">
        <v>27254</v>
      </c>
      <c r="T5086" t="s">
        <v>27255</v>
      </c>
    </row>
    <row r="5087" spans="1:20" x14ac:dyDescent="0.3">
      <c r="A5087" t="str">
        <f>"0611837227100"</f>
        <v>0611837227100</v>
      </c>
      <c r="B5087" t="str">
        <f>"LB0461"</f>
        <v>LB0461</v>
      </c>
      <c r="C5087" t="s">
        <v>37076</v>
      </c>
      <c r="D5087" t="s">
        <v>28138</v>
      </c>
      <c r="E5087" t="str">
        <f t="shared" si="79"/>
        <v>001390</v>
      </c>
      <c r="F5087" t="s">
        <v>27246</v>
      </c>
      <c r="G5087" t="s">
        <v>27247</v>
      </c>
      <c r="H5087" t="s">
        <v>27248</v>
      </c>
      <c r="I5087" t="s">
        <v>37077</v>
      </c>
      <c r="J5087" t="s">
        <v>10149</v>
      </c>
      <c r="L5087" t="s">
        <v>27250</v>
      </c>
      <c r="M5087" t="s">
        <v>27251</v>
      </c>
      <c r="N5087" t="s">
        <v>27252</v>
      </c>
      <c r="P5087" t="s">
        <v>27925</v>
      </c>
      <c r="Q5087" s="1">
        <v>44538</v>
      </c>
      <c r="R5087" t="s">
        <v>27253</v>
      </c>
      <c r="S5087" t="s">
        <v>27254</v>
      </c>
      <c r="T5087" t="s">
        <v>27255</v>
      </c>
    </row>
    <row r="5088" spans="1:20" x14ac:dyDescent="0.3">
      <c r="A5088" t="str">
        <f>"0611837229100"</f>
        <v>0611837229100</v>
      </c>
      <c r="B5088" t="str">
        <f>"LB2817"</f>
        <v>LB2817</v>
      </c>
      <c r="C5088" t="s">
        <v>37078</v>
      </c>
      <c r="D5088" t="s">
        <v>28138</v>
      </c>
      <c r="E5088" t="str">
        <f t="shared" si="79"/>
        <v>001390</v>
      </c>
      <c r="F5088" t="s">
        <v>27246</v>
      </c>
      <c r="G5088" t="s">
        <v>27247</v>
      </c>
      <c r="H5088" t="s">
        <v>27248</v>
      </c>
      <c r="I5088" t="s">
        <v>37079</v>
      </c>
      <c r="J5088" t="s">
        <v>10151</v>
      </c>
      <c r="L5088" t="s">
        <v>27250</v>
      </c>
      <c r="M5088" t="s">
        <v>27251</v>
      </c>
      <c r="N5088" t="s">
        <v>27252</v>
      </c>
      <c r="P5088" t="s">
        <v>27925</v>
      </c>
      <c r="Q5088" s="1">
        <v>44538</v>
      </c>
      <c r="R5088" t="s">
        <v>27253</v>
      </c>
      <c r="S5088" t="s">
        <v>27254</v>
      </c>
      <c r="T5088" t="s">
        <v>27255</v>
      </c>
    </row>
    <row r="5089" spans="1:20" x14ac:dyDescent="0.3">
      <c r="A5089" t="str">
        <f>"0611837230100"</f>
        <v>0611837230100</v>
      </c>
      <c r="B5089" t="str">
        <f>"LK2103"</f>
        <v>LK2103</v>
      </c>
      <c r="C5089" t="s">
        <v>37080</v>
      </c>
      <c r="D5089" t="s">
        <v>28138</v>
      </c>
      <c r="E5089" t="str">
        <f t="shared" si="79"/>
        <v>001390</v>
      </c>
      <c r="F5089" t="s">
        <v>27246</v>
      </c>
      <c r="G5089" t="s">
        <v>27247</v>
      </c>
      <c r="H5089" t="s">
        <v>27248</v>
      </c>
      <c r="I5089" t="s">
        <v>37081</v>
      </c>
      <c r="J5089" t="s">
        <v>10153</v>
      </c>
      <c r="L5089" t="s">
        <v>27250</v>
      </c>
      <c r="M5089" t="s">
        <v>27251</v>
      </c>
      <c r="N5089" t="s">
        <v>27252</v>
      </c>
      <c r="P5089" t="s">
        <v>27925</v>
      </c>
      <c r="Q5089" s="1">
        <v>44538</v>
      </c>
      <c r="R5089" t="s">
        <v>27253</v>
      </c>
      <c r="S5089" t="s">
        <v>27254</v>
      </c>
      <c r="T5089" t="s">
        <v>27255</v>
      </c>
    </row>
    <row r="5090" spans="1:20" x14ac:dyDescent="0.3">
      <c r="A5090" t="str">
        <f>"0611837231100"</f>
        <v>0611837231100</v>
      </c>
      <c r="B5090" t="str">
        <f>"LB2880"</f>
        <v>LB2880</v>
      </c>
      <c r="C5090" t="s">
        <v>37082</v>
      </c>
      <c r="D5090" t="s">
        <v>28138</v>
      </c>
      <c r="E5090" t="str">
        <f t="shared" si="79"/>
        <v>001390</v>
      </c>
      <c r="F5090" t="s">
        <v>27246</v>
      </c>
      <c r="G5090" t="s">
        <v>27247</v>
      </c>
      <c r="H5090" t="s">
        <v>27248</v>
      </c>
      <c r="I5090" t="s">
        <v>37083</v>
      </c>
      <c r="J5090" t="s">
        <v>10155</v>
      </c>
      <c r="L5090" t="s">
        <v>27250</v>
      </c>
      <c r="M5090" t="s">
        <v>27251</v>
      </c>
      <c r="N5090" t="s">
        <v>27252</v>
      </c>
      <c r="P5090" t="s">
        <v>27925</v>
      </c>
      <c r="Q5090" s="1">
        <v>44538</v>
      </c>
      <c r="R5090" t="s">
        <v>27253</v>
      </c>
      <c r="S5090" t="s">
        <v>27254</v>
      </c>
      <c r="T5090" t="s">
        <v>27255</v>
      </c>
    </row>
    <row r="5091" spans="1:20" x14ac:dyDescent="0.3">
      <c r="A5091" t="str">
        <f>"0611837232100"</f>
        <v>0611837232100</v>
      </c>
      <c r="B5091" t="str">
        <f>"LK0155"</f>
        <v>LK0155</v>
      </c>
      <c r="C5091" t="s">
        <v>37084</v>
      </c>
      <c r="D5091" t="s">
        <v>28138</v>
      </c>
      <c r="E5091" t="str">
        <f t="shared" si="79"/>
        <v>001390</v>
      </c>
      <c r="F5091" t="s">
        <v>27246</v>
      </c>
      <c r="G5091" t="s">
        <v>27247</v>
      </c>
      <c r="H5091" t="s">
        <v>27248</v>
      </c>
      <c r="I5091" t="s">
        <v>37085</v>
      </c>
      <c r="J5091" t="s">
        <v>10157</v>
      </c>
      <c r="L5091" t="s">
        <v>27250</v>
      </c>
      <c r="M5091" t="s">
        <v>27251</v>
      </c>
      <c r="N5091" t="s">
        <v>27252</v>
      </c>
      <c r="P5091" t="s">
        <v>27925</v>
      </c>
      <c r="Q5091" s="1">
        <v>44538</v>
      </c>
      <c r="R5091" t="s">
        <v>27253</v>
      </c>
      <c r="S5091" t="s">
        <v>27254</v>
      </c>
      <c r="T5091" t="s">
        <v>27255</v>
      </c>
    </row>
    <row r="5092" spans="1:20" x14ac:dyDescent="0.3">
      <c r="A5092" t="str">
        <f>"0611837233100"</f>
        <v>0611837233100</v>
      </c>
      <c r="B5092" t="str">
        <f>"LB2881"</f>
        <v>LB2881</v>
      </c>
      <c r="C5092" t="s">
        <v>37086</v>
      </c>
      <c r="D5092" t="s">
        <v>28138</v>
      </c>
      <c r="E5092" t="str">
        <f t="shared" si="79"/>
        <v>001390</v>
      </c>
      <c r="F5092" t="s">
        <v>27246</v>
      </c>
      <c r="G5092" t="s">
        <v>27247</v>
      </c>
      <c r="H5092" t="s">
        <v>27248</v>
      </c>
      <c r="I5092" t="s">
        <v>37087</v>
      </c>
      <c r="J5092" t="s">
        <v>10159</v>
      </c>
      <c r="L5092" t="s">
        <v>27250</v>
      </c>
      <c r="M5092" t="s">
        <v>27251</v>
      </c>
      <c r="N5092" t="s">
        <v>27252</v>
      </c>
      <c r="P5092" t="s">
        <v>27925</v>
      </c>
      <c r="Q5092" s="1">
        <v>44538</v>
      </c>
      <c r="R5092" t="s">
        <v>27253</v>
      </c>
      <c r="S5092" t="s">
        <v>27254</v>
      </c>
      <c r="T5092" t="s">
        <v>27255</v>
      </c>
    </row>
    <row r="5093" spans="1:20" x14ac:dyDescent="0.3">
      <c r="A5093" t="str">
        <f>"0611837234100"</f>
        <v>0611837234100</v>
      </c>
      <c r="B5093" t="str">
        <f>"LK4997"</f>
        <v>LK4997</v>
      </c>
      <c r="C5093" t="s">
        <v>37088</v>
      </c>
      <c r="D5093" t="s">
        <v>28138</v>
      </c>
      <c r="E5093" t="str">
        <f t="shared" si="79"/>
        <v>001390</v>
      </c>
      <c r="F5093" t="s">
        <v>27246</v>
      </c>
      <c r="G5093" t="s">
        <v>27247</v>
      </c>
      <c r="H5093" t="s">
        <v>27248</v>
      </c>
      <c r="I5093" t="s">
        <v>37089</v>
      </c>
      <c r="J5093" t="s">
        <v>10161</v>
      </c>
      <c r="L5093" t="s">
        <v>27250</v>
      </c>
      <c r="M5093" t="s">
        <v>27251</v>
      </c>
      <c r="N5093" t="s">
        <v>27252</v>
      </c>
      <c r="P5093" t="s">
        <v>27925</v>
      </c>
      <c r="Q5093" s="1">
        <v>44538</v>
      </c>
      <c r="R5093" t="s">
        <v>27253</v>
      </c>
      <c r="S5093" t="s">
        <v>27254</v>
      </c>
      <c r="T5093" t="s">
        <v>27255</v>
      </c>
    </row>
    <row r="5094" spans="1:20" x14ac:dyDescent="0.3">
      <c r="A5094" t="str">
        <f>"0611837235100"</f>
        <v>0611837235100</v>
      </c>
      <c r="B5094" t="str">
        <f>"LB2884"</f>
        <v>LB2884</v>
      </c>
      <c r="C5094" t="s">
        <v>37090</v>
      </c>
      <c r="D5094" t="s">
        <v>28138</v>
      </c>
      <c r="E5094" t="str">
        <f t="shared" si="79"/>
        <v>001390</v>
      </c>
      <c r="F5094" t="s">
        <v>27246</v>
      </c>
      <c r="G5094" t="s">
        <v>27247</v>
      </c>
      <c r="H5094" t="s">
        <v>27248</v>
      </c>
      <c r="I5094" t="s">
        <v>37091</v>
      </c>
      <c r="J5094" t="s">
        <v>10163</v>
      </c>
      <c r="L5094" t="s">
        <v>27250</v>
      </c>
      <c r="M5094" t="s">
        <v>27251</v>
      </c>
      <c r="N5094" t="s">
        <v>27252</v>
      </c>
      <c r="P5094" t="s">
        <v>27925</v>
      </c>
      <c r="Q5094" s="1">
        <v>44538</v>
      </c>
      <c r="R5094" t="s">
        <v>27253</v>
      </c>
      <c r="S5094" t="s">
        <v>27254</v>
      </c>
      <c r="T5094" t="s">
        <v>27255</v>
      </c>
    </row>
    <row r="5095" spans="1:20" x14ac:dyDescent="0.3">
      <c r="A5095" t="str">
        <f>"0611837236100"</f>
        <v>0611837236100</v>
      </c>
      <c r="B5095" t="str">
        <f>"LB2889"</f>
        <v>LB2889</v>
      </c>
      <c r="C5095" t="s">
        <v>37092</v>
      </c>
      <c r="D5095" t="s">
        <v>28138</v>
      </c>
      <c r="E5095" t="str">
        <f t="shared" si="79"/>
        <v>001390</v>
      </c>
      <c r="F5095" t="s">
        <v>27246</v>
      </c>
      <c r="G5095" t="s">
        <v>27247</v>
      </c>
      <c r="H5095" t="s">
        <v>27248</v>
      </c>
      <c r="I5095" t="s">
        <v>37093</v>
      </c>
      <c r="J5095" t="s">
        <v>10165</v>
      </c>
      <c r="L5095" t="s">
        <v>27250</v>
      </c>
      <c r="M5095" t="s">
        <v>27251</v>
      </c>
      <c r="N5095" t="s">
        <v>27252</v>
      </c>
      <c r="P5095" t="s">
        <v>27925</v>
      </c>
      <c r="Q5095" s="1">
        <v>44538</v>
      </c>
      <c r="R5095" t="s">
        <v>27253</v>
      </c>
      <c r="S5095" t="s">
        <v>27254</v>
      </c>
      <c r="T5095" t="s">
        <v>27255</v>
      </c>
    </row>
    <row r="5096" spans="1:20" x14ac:dyDescent="0.3">
      <c r="A5096" t="str">
        <f>"0611837237100"</f>
        <v>0611837237100</v>
      </c>
      <c r="B5096" t="str">
        <f>"LK5462"</f>
        <v>LK5462</v>
      </c>
      <c r="C5096" t="s">
        <v>37094</v>
      </c>
      <c r="D5096" t="s">
        <v>28138</v>
      </c>
      <c r="E5096" t="str">
        <f t="shared" si="79"/>
        <v>001390</v>
      </c>
      <c r="F5096" t="s">
        <v>27246</v>
      </c>
      <c r="G5096" t="s">
        <v>27247</v>
      </c>
      <c r="H5096" t="s">
        <v>27248</v>
      </c>
      <c r="I5096" t="s">
        <v>37095</v>
      </c>
      <c r="J5096" t="s">
        <v>10167</v>
      </c>
      <c r="L5096" t="s">
        <v>27250</v>
      </c>
      <c r="M5096" t="s">
        <v>27251</v>
      </c>
      <c r="N5096" t="s">
        <v>27252</v>
      </c>
      <c r="P5096" t="s">
        <v>27925</v>
      </c>
      <c r="Q5096" s="1">
        <v>44538</v>
      </c>
      <c r="R5096" t="s">
        <v>27253</v>
      </c>
      <c r="S5096" t="s">
        <v>27254</v>
      </c>
      <c r="T5096" t="s">
        <v>27255</v>
      </c>
    </row>
    <row r="5097" spans="1:20" x14ac:dyDescent="0.3">
      <c r="A5097" t="str">
        <f>"0611837238100"</f>
        <v>0611837238100</v>
      </c>
      <c r="B5097" t="str">
        <f>"LB2874"</f>
        <v>LB2874</v>
      </c>
      <c r="C5097" t="s">
        <v>37096</v>
      </c>
      <c r="D5097" t="s">
        <v>28138</v>
      </c>
      <c r="E5097" t="str">
        <f t="shared" si="79"/>
        <v>001390</v>
      </c>
      <c r="F5097" t="s">
        <v>27246</v>
      </c>
      <c r="G5097" t="s">
        <v>27247</v>
      </c>
      <c r="H5097" t="s">
        <v>27248</v>
      </c>
      <c r="I5097" t="s">
        <v>37097</v>
      </c>
      <c r="J5097" t="s">
        <v>10169</v>
      </c>
      <c r="L5097" t="s">
        <v>27250</v>
      </c>
      <c r="M5097" t="s">
        <v>27251</v>
      </c>
      <c r="N5097" t="s">
        <v>27252</v>
      </c>
      <c r="P5097" t="s">
        <v>27925</v>
      </c>
      <c r="Q5097" s="1">
        <v>44538</v>
      </c>
      <c r="R5097" t="s">
        <v>27253</v>
      </c>
      <c r="S5097" t="s">
        <v>27254</v>
      </c>
      <c r="T5097" t="s">
        <v>27255</v>
      </c>
    </row>
    <row r="5098" spans="1:20" x14ac:dyDescent="0.3">
      <c r="A5098" t="str">
        <f>"0611837239100"</f>
        <v>0611837239100</v>
      </c>
      <c r="B5098" t="str">
        <f>"LB2818"</f>
        <v>LB2818</v>
      </c>
      <c r="C5098" t="s">
        <v>37098</v>
      </c>
      <c r="D5098" t="s">
        <v>28138</v>
      </c>
      <c r="E5098" t="str">
        <f t="shared" si="79"/>
        <v>001390</v>
      </c>
      <c r="F5098" t="s">
        <v>27246</v>
      </c>
      <c r="G5098" t="s">
        <v>27247</v>
      </c>
      <c r="H5098" t="s">
        <v>27248</v>
      </c>
      <c r="I5098" t="s">
        <v>37099</v>
      </c>
      <c r="J5098" t="s">
        <v>10171</v>
      </c>
      <c r="L5098" t="s">
        <v>27250</v>
      </c>
      <c r="M5098" t="s">
        <v>27251</v>
      </c>
      <c r="N5098" t="s">
        <v>27252</v>
      </c>
      <c r="P5098" t="s">
        <v>27925</v>
      </c>
      <c r="Q5098" s="1">
        <v>44538</v>
      </c>
      <c r="R5098" t="s">
        <v>27253</v>
      </c>
      <c r="S5098" t="s">
        <v>27254</v>
      </c>
      <c r="T5098" t="s">
        <v>27255</v>
      </c>
    </row>
    <row r="5099" spans="1:20" x14ac:dyDescent="0.3">
      <c r="A5099" t="str">
        <f>"0611837240100"</f>
        <v>0611837240100</v>
      </c>
      <c r="B5099" t="str">
        <f>"LK6332"</f>
        <v>LK6332</v>
      </c>
      <c r="C5099" t="s">
        <v>37100</v>
      </c>
      <c r="D5099" t="s">
        <v>28138</v>
      </c>
      <c r="E5099" t="str">
        <f t="shared" si="79"/>
        <v>001390</v>
      </c>
      <c r="F5099" t="s">
        <v>27246</v>
      </c>
      <c r="G5099" t="s">
        <v>27247</v>
      </c>
      <c r="H5099" t="s">
        <v>27248</v>
      </c>
      <c r="I5099" t="s">
        <v>37101</v>
      </c>
      <c r="J5099" t="s">
        <v>10173</v>
      </c>
      <c r="L5099" t="s">
        <v>27250</v>
      </c>
      <c r="M5099" t="s">
        <v>27251</v>
      </c>
      <c r="N5099" t="s">
        <v>27252</v>
      </c>
      <c r="P5099" t="s">
        <v>27925</v>
      </c>
      <c r="Q5099" s="1">
        <v>44538</v>
      </c>
      <c r="R5099" t="s">
        <v>27253</v>
      </c>
      <c r="S5099" t="s">
        <v>27254</v>
      </c>
      <c r="T5099" t="s">
        <v>27255</v>
      </c>
    </row>
    <row r="5100" spans="1:20" x14ac:dyDescent="0.3">
      <c r="A5100" t="str">
        <f>"0611837241100"</f>
        <v>0611837241100</v>
      </c>
      <c r="B5100" t="str">
        <f>"LB2891"</f>
        <v>LB2891</v>
      </c>
      <c r="C5100" t="s">
        <v>37102</v>
      </c>
      <c r="D5100" t="s">
        <v>28138</v>
      </c>
      <c r="E5100" t="str">
        <f t="shared" si="79"/>
        <v>001390</v>
      </c>
      <c r="F5100" t="s">
        <v>27246</v>
      </c>
      <c r="G5100" t="s">
        <v>27247</v>
      </c>
      <c r="H5100" t="s">
        <v>27248</v>
      </c>
      <c r="I5100" t="s">
        <v>37103</v>
      </c>
      <c r="J5100" t="s">
        <v>10175</v>
      </c>
      <c r="L5100" t="s">
        <v>27250</v>
      </c>
      <c r="M5100" t="s">
        <v>27251</v>
      </c>
      <c r="N5100" t="s">
        <v>27252</v>
      </c>
      <c r="P5100" t="s">
        <v>27925</v>
      </c>
      <c r="Q5100" s="1">
        <v>44538</v>
      </c>
      <c r="R5100" t="s">
        <v>27253</v>
      </c>
      <c r="S5100" t="s">
        <v>27254</v>
      </c>
      <c r="T5100" t="s">
        <v>27255</v>
      </c>
    </row>
    <row r="5101" spans="1:20" x14ac:dyDescent="0.3">
      <c r="A5101" t="str">
        <f>"0611834594025"</f>
        <v>0611834594025</v>
      </c>
      <c r="B5101" t="str">
        <f>"MC1174"</f>
        <v>MC1174</v>
      </c>
      <c r="C5101" t="s">
        <v>37104</v>
      </c>
      <c r="D5101" t="s">
        <v>27267</v>
      </c>
      <c r="E5101" t="str">
        <f t="shared" si="79"/>
        <v>001390</v>
      </c>
      <c r="F5101" t="s">
        <v>27246</v>
      </c>
      <c r="G5101" t="s">
        <v>27247</v>
      </c>
      <c r="H5101" t="s">
        <v>27248</v>
      </c>
      <c r="I5101" t="s">
        <v>37105</v>
      </c>
      <c r="J5101" t="s">
        <v>10177</v>
      </c>
      <c r="L5101" t="s">
        <v>27250</v>
      </c>
      <c r="M5101" t="s">
        <v>27251</v>
      </c>
      <c r="N5101" t="s">
        <v>27252</v>
      </c>
      <c r="Q5101" s="1">
        <v>44538</v>
      </c>
      <c r="R5101" t="s">
        <v>27253</v>
      </c>
      <c r="S5101" t="s">
        <v>27254</v>
      </c>
      <c r="T5101" t="s">
        <v>27269</v>
      </c>
    </row>
    <row r="5102" spans="1:20" x14ac:dyDescent="0.3">
      <c r="A5102" t="str">
        <f>"0611837242100"</f>
        <v>0611837242100</v>
      </c>
      <c r="B5102" t="str">
        <f>"LS0031"</f>
        <v>LS0031</v>
      </c>
      <c r="C5102" t="s">
        <v>37106</v>
      </c>
      <c r="D5102" t="s">
        <v>27245</v>
      </c>
      <c r="E5102" t="str">
        <f t="shared" si="79"/>
        <v>001390</v>
      </c>
      <c r="F5102" t="s">
        <v>27246</v>
      </c>
      <c r="G5102" t="s">
        <v>27247</v>
      </c>
      <c r="H5102" t="s">
        <v>27248</v>
      </c>
      <c r="I5102" t="s">
        <v>37107</v>
      </c>
      <c r="J5102" t="s">
        <v>10137</v>
      </c>
      <c r="L5102" t="s">
        <v>27250</v>
      </c>
      <c r="M5102" t="s">
        <v>27251</v>
      </c>
      <c r="N5102" t="s">
        <v>27252</v>
      </c>
      <c r="Q5102" s="1">
        <v>44538</v>
      </c>
      <c r="R5102" t="s">
        <v>27253</v>
      </c>
      <c r="S5102" t="s">
        <v>27254</v>
      </c>
      <c r="T5102" t="s">
        <v>27255</v>
      </c>
    </row>
    <row r="5103" spans="1:20" x14ac:dyDescent="0.3">
      <c r="A5103" t="str">
        <f>"0611862312050"</f>
        <v>0611862312050</v>
      </c>
      <c r="B5103" t="str">
        <f>"CR2263"</f>
        <v>CR2263</v>
      </c>
      <c r="C5103" t="s">
        <v>37108</v>
      </c>
      <c r="D5103" t="s">
        <v>27271</v>
      </c>
      <c r="E5103" t="str">
        <f t="shared" si="79"/>
        <v>001390</v>
      </c>
      <c r="F5103" t="s">
        <v>27246</v>
      </c>
      <c r="G5103" t="s">
        <v>27247</v>
      </c>
      <c r="H5103" t="s">
        <v>27248</v>
      </c>
      <c r="I5103" t="s">
        <v>37109</v>
      </c>
      <c r="J5103" t="s">
        <v>10179</v>
      </c>
      <c r="L5103" t="s">
        <v>27250</v>
      </c>
      <c r="M5103" t="s">
        <v>27251</v>
      </c>
      <c r="N5103" t="s">
        <v>27252</v>
      </c>
      <c r="P5103" t="s">
        <v>27341</v>
      </c>
      <c r="Q5103" s="1">
        <v>44846</v>
      </c>
      <c r="R5103" t="s">
        <v>27253</v>
      </c>
      <c r="S5103" t="s">
        <v>27254</v>
      </c>
      <c r="T5103" t="s">
        <v>27265</v>
      </c>
    </row>
    <row r="5104" spans="1:20" x14ac:dyDescent="0.3">
      <c r="A5104" t="str">
        <f>"0611862313050"</f>
        <v>0611862313050</v>
      </c>
      <c r="B5104" t="str">
        <f>"CR2264"</f>
        <v>CR2264</v>
      </c>
      <c r="C5104" t="s">
        <v>37110</v>
      </c>
      <c r="D5104" t="s">
        <v>27271</v>
      </c>
      <c r="E5104" t="str">
        <f t="shared" si="79"/>
        <v>001390</v>
      </c>
      <c r="F5104" t="s">
        <v>27246</v>
      </c>
      <c r="G5104" t="s">
        <v>27247</v>
      </c>
      <c r="H5104" t="s">
        <v>27248</v>
      </c>
      <c r="I5104" t="s">
        <v>37111</v>
      </c>
      <c r="J5104" t="s">
        <v>10181</v>
      </c>
      <c r="L5104" t="s">
        <v>27250</v>
      </c>
      <c r="M5104" t="s">
        <v>27251</v>
      </c>
      <c r="N5104" t="s">
        <v>27252</v>
      </c>
      <c r="P5104" t="s">
        <v>27341</v>
      </c>
      <c r="Q5104" s="1">
        <v>44846</v>
      </c>
      <c r="R5104" t="s">
        <v>27253</v>
      </c>
      <c r="S5104" t="s">
        <v>27254</v>
      </c>
      <c r="T5104" t="s">
        <v>27265</v>
      </c>
    </row>
    <row r="5105" spans="1:20" x14ac:dyDescent="0.3">
      <c r="A5105" t="str">
        <f>"0611862314050"</f>
        <v>0611862314050</v>
      </c>
      <c r="B5105" t="str">
        <f>"CR2265"</f>
        <v>CR2265</v>
      </c>
      <c r="C5105" t="s">
        <v>37112</v>
      </c>
      <c r="D5105" t="s">
        <v>27271</v>
      </c>
      <c r="E5105" t="str">
        <f t="shared" si="79"/>
        <v>001390</v>
      </c>
      <c r="F5105" t="s">
        <v>27246</v>
      </c>
      <c r="G5105" t="s">
        <v>27247</v>
      </c>
      <c r="H5105" t="s">
        <v>27248</v>
      </c>
      <c r="I5105" t="s">
        <v>37113</v>
      </c>
      <c r="J5105" t="s">
        <v>10183</v>
      </c>
      <c r="L5105" t="s">
        <v>27250</v>
      </c>
      <c r="M5105" t="s">
        <v>27251</v>
      </c>
      <c r="N5105" t="s">
        <v>27252</v>
      </c>
      <c r="P5105" t="s">
        <v>27341</v>
      </c>
      <c r="Q5105" s="1">
        <v>44846</v>
      </c>
      <c r="R5105" t="s">
        <v>27253</v>
      </c>
      <c r="S5105" t="s">
        <v>27254</v>
      </c>
      <c r="T5105" t="s">
        <v>27265</v>
      </c>
    </row>
    <row r="5106" spans="1:20" x14ac:dyDescent="0.3">
      <c r="A5106" t="str">
        <f>"0611862315050"</f>
        <v>0611862315050</v>
      </c>
      <c r="B5106" t="str">
        <f>"CE1483"</f>
        <v>CE1483</v>
      </c>
      <c r="C5106" t="s">
        <v>37114</v>
      </c>
      <c r="D5106" t="s">
        <v>27923</v>
      </c>
      <c r="E5106" t="str">
        <f t="shared" si="79"/>
        <v>001390</v>
      </c>
      <c r="F5106" t="s">
        <v>27246</v>
      </c>
      <c r="G5106" t="s">
        <v>27247</v>
      </c>
      <c r="H5106" t="s">
        <v>27248</v>
      </c>
      <c r="I5106" t="s">
        <v>37115</v>
      </c>
      <c r="J5106" t="s">
        <v>10185</v>
      </c>
      <c r="L5106" t="s">
        <v>27250</v>
      </c>
      <c r="M5106" t="s">
        <v>27251</v>
      </c>
      <c r="N5106" t="s">
        <v>27252</v>
      </c>
      <c r="P5106" t="s">
        <v>27925</v>
      </c>
      <c r="Q5106" s="1">
        <v>44846</v>
      </c>
      <c r="R5106" t="s">
        <v>27253</v>
      </c>
      <c r="S5106" t="s">
        <v>27254</v>
      </c>
      <c r="T5106" t="s">
        <v>27265</v>
      </c>
    </row>
    <row r="5107" spans="1:20" x14ac:dyDescent="0.3">
      <c r="A5107" t="str">
        <f>"0611862316050"</f>
        <v>0611862316050</v>
      </c>
      <c r="B5107" t="str">
        <f>"CE1608"</f>
        <v>CE1608</v>
      </c>
      <c r="C5107" t="s">
        <v>37116</v>
      </c>
      <c r="D5107" t="s">
        <v>27923</v>
      </c>
      <c r="E5107" t="str">
        <f t="shared" si="79"/>
        <v>001390</v>
      </c>
      <c r="F5107" t="s">
        <v>27246</v>
      </c>
      <c r="G5107" t="s">
        <v>27247</v>
      </c>
      <c r="H5107" t="s">
        <v>27248</v>
      </c>
      <c r="I5107" t="s">
        <v>37117</v>
      </c>
      <c r="J5107" t="s">
        <v>10187</v>
      </c>
      <c r="L5107" t="s">
        <v>27250</v>
      </c>
      <c r="M5107" t="s">
        <v>27251</v>
      </c>
      <c r="N5107" t="s">
        <v>27252</v>
      </c>
      <c r="P5107" t="s">
        <v>27925</v>
      </c>
      <c r="Q5107" s="1">
        <v>44846</v>
      </c>
      <c r="R5107" t="s">
        <v>27253</v>
      </c>
      <c r="S5107" t="s">
        <v>27254</v>
      </c>
      <c r="T5107" t="s">
        <v>27265</v>
      </c>
    </row>
    <row r="5108" spans="1:20" x14ac:dyDescent="0.3">
      <c r="A5108" t="str">
        <f>"0611862317050"</f>
        <v>0611862317050</v>
      </c>
      <c r="B5108" t="str">
        <f>"CE1284"</f>
        <v>CE1284</v>
      </c>
      <c r="C5108" t="s">
        <v>37118</v>
      </c>
      <c r="D5108" t="s">
        <v>27923</v>
      </c>
      <c r="E5108" t="str">
        <f t="shared" si="79"/>
        <v>001390</v>
      </c>
      <c r="F5108" t="s">
        <v>27246</v>
      </c>
      <c r="G5108" t="s">
        <v>27247</v>
      </c>
      <c r="H5108" t="s">
        <v>27248</v>
      </c>
      <c r="I5108" t="s">
        <v>37119</v>
      </c>
      <c r="J5108" t="s">
        <v>10189</v>
      </c>
      <c r="L5108" t="s">
        <v>27250</v>
      </c>
      <c r="M5108" t="s">
        <v>27251</v>
      </c>
      <c r="N5108" t="s">
        <v>27252</v>
      </c>
      <c r="P5108" t="s">
        <v>27925</v>
      </c>
      <c r="Q5108" s="1">
        <v>44846</v>
      </c>
      <c r="R5108" t="s">
        <v>27253</v>
      </c>
      <c r="S5108" t="s">
        <v>27254</v>
      </c>
      <c r="T5108" t="s">
        <v>27265</v>
      </c>
    </row>
    <row r="5109" spans="1:20" x14ac:dyDescent="0.3">
      <c r="A5109" t="str">
        <f>"0611862318050"</f>
        <v>0611862318050</v>
      </c>
      <c r="B5109" t="str">
        <f>"CE1609"</f>
        <v>CE1609</v>
      </c>
      <c r="C5109" t="s">
        <v>37120</v>
      </c>
      <c r="D5109" t="s">
        <v>27923</v>
      </c>
      <c r="E5109" t="str">
        <f t="shared" si="79"/>
        <v>001390</v>
      </c>
      <c r="F5109" t="s">
        <v>27246</v>
      </c>
      <c r="G5109" t="s">
        <v>27247</v>
      </c>
      <c r="H5109" t="s">
        <v>27248</v>
      </c>
      <c r="I5109" t="s">
        <v>37121</v>
      </c>
      <c r="J5109" t="s">
        <v>10191</v>
      </c>
      <c r="L5109" t="s">
        <v>27250</v>
      </c>
      <c r="M5109" t="s">
        <v>27251</v>
      </c>
      <c r="N5109" t="s">
        <v>27252</v>
      </c>
      <c r="P5109" t="s">
        <v>27925</v>
      </c>
      <c r="Q5109" s="1">
        <v>44846</v>
      </c>
      <c r="R5109" t="s">
        <v>27253</v>
      </c>
      <c r="S5109" t="s">
        <v>27254</v>
      </c>
      <c r="T5109" t="s">
        <v>27265</v>
      </c>
    </row>
    <row r="5110" spans="1:20" x14ac:dyDescent="0.3">
      <c r="A5110" t="str">
        <f>"0611862319050"</f>
        <v>0611862319050</v>
      </c>
      <c r="B5110" t="str">
        <f>"CE1666"</f>
        <v>CE1666</v>
      </c>
      <c r="C5110" t="s">
        <v>37122</v>
      </c>
      <c r="D5110" t="s">
        <v>27923</v>
      </c>
      <c r="E5110" t="str">
        <f t="shared" si="79"/>
        <v>001390</v>
      </c>
      <c r="F5110" t="s">
        <v>27246</v>
      </c>
      <c r="G5110" t="s">
        <v>27247</v>
      </c>
      <c r="H5110" t="s">
        <v>27248</v>
      </c>
      <c r="I5110" t="s">
        <v>37123</v>
      </c>
      <c r="J5110" t="s">
        <v>10193</v>
      </c>
      <c r="L5110" t="s">
        <v>27250</v>
      </c>
      <c r="M5110" t="s">
        <v>27251</v>
      </c>
      <c r="N5110" t="s">
        <v>27252</v>
      </c>
      <c r="P5110" t="s">
        <v>27925</v>
      </c>
      <c r="Q5110" s="1">
        <v>44846</v>
      </c>
      <c r="R5110" t="s">
        <v>27253</v>
      </c>
      <c r="S5110" t="s">
        <v>27254</v>
      </c>
      <c r="T5110" t="s">
        <v>27265</v>
      </c>
    </row>
    <row r="5111" spans="1:20" x14ac:dyDescent="0.3">
      <c r="A5111" t="str">
        <f>"0611862320050"</f>
        <v>0611862320050</v>
      </c>
      <c r="B5111" t="str">
        <f>"CE1484"</f>
        <v>CE1484</v>
      </c>
      <c r="C5111" t="s">
        <v>37124</v>
      </c>
      <c r="D5111" t="s">
        <v>27923</v>
      </c>
      <c r="E5111" t="str">
        <f t="shared" si="79"/>
        <v>001390</v>
      </c>
      <c r="F5111" t="s">
        <v>27246</v>
      </c>
      <c r="G5111" t="s">
        <v>27247</v>
      </c>
      <c r="H5111" t="s">
        <v>27248</v>
      </c>
      <c r="I5111" t="s">
        <v>37125</v>
      </c>
      <c r="J5111" t="s">
        <v>10195</v>
      </c>
      <c r="L5111" t="s">
        <v>27250</v>
      </c>
      <c r="M5111" t="s">
        <v>27251</v>
      </c>
      <c r="N5111" t="s">
        <v>27252</v>
      </c>
      <c r="P5111" t="s">
        <v>27925</v>
      </c>
      <c r="Q5111" s="1">
        <v>44846</v>
      </c>
      <c r="R5111" t="s">
        <v>27253</v>
      </c>
      <c r="S5111" t="s">
        <v>27254</v>
      </c>
      <c r="T5111" t="s">
        <v>27265</v>
      </c>
    </row>
    <row r="5112" spans="1:20" x14ac:dyDescent="0.3">
      <c r="A5112" t="str">
        <f>"0611862321050"</f>
        <v>0611862321050</v>
      </c>
      <c r="B5112" t="str">
        <f>"CE1485"</f>
        <v>CE1485</v>
      </c>
      <c r="C5112" t="s">
        <v>37126</v>
      </c>
      <c r="D5112" t="s">
        <v>27923</v>
      </c>
      <c r="E5112" t="str">
        <f t="shared" si="79"/>
        <v>001390</v>
      </c>
      <c r="F5112" t="s">
        <v>27246</v>
      </c>
      <c r="G5112" t="s">
        <v>27247</v>
      </c>
      <c r="H5112" t="s">
        <v>27248</v>
      </c>
      <c r="I5112" t="s">
        <v>37127</v>
      </c>
      <c r="J5112" t="s">
        <v>10197</v>
      </c>
      <c r="L5112" t="s">
        <v>27250</v>
      </c>
      <c r="M5112" t="s">
        <v>27251</v>
      </c>
      <c r="N5112" t="s">
        <v>27252</v>
      </c>
      <c r="P5112" t="s">
        <v>27925</v>
      </c>
      <c r="Q5112" s="1">
        <v>44846</v>
      </c>
      <c r="R5112" t="s">
        <v>27253</v>
      </c>
      <c r="S5112" t="s">
        <v>27254</v>
      </c>
      <c r="T5112" t="s">
        <v>27265</v>
      </c>
    </row>
    <row r="5113" spans="1:20" x14ac:dyDescent="0.3">
      <c r="A5113" t="str">
        <f>"0611884233050"</f>
        <v>0611884233050</v>
      </c>
      <c r="B5113" t="str">
        <f>"CE1343"</f>
        <v>CE1343</v>
      </c>
      <c r="C5113" t="s">
        <v>37128</v>
      </c>
      <c r="D5113" t="s">
        <v>27923</v>
      </c>
      <c r="E5113" t="str">
        <f t="shared" si="79"/>
        <v>001390</v>
      </c>
      <c r="F5113" t="s">
        <v>27246</v>
      </c>
      <c r="G5113" t="s">
        <v>27247</v>
      </c>
      <c r="H5113" t="s">
        <v>27248</v>
      </c>
      <c r="I5113" t="s">
        <v>37129</v>
      </c>
      <c r="J5113" t="s">
        <v>10199</v>
      </c>
      <c r="L5113" t="s">
        <v>27430</v>
      </c>
      <c r="M5113" t="s">
        <v>27251</v>
      </c>
      <c r="N5113" t="s">
        <v>27252</v>
      </c>
      <c r="P5113" t="s">
        <v>27925</v>
      </c>
      <c r="Q5113" s="1">
        <v>45250</v>
      </c>
      <c r="R5113" t="s">
        <v>27253</v>
      </c>
      <c r="S5113" t="s">
        <v>27254</v>
      </c>
      <c r="T5113" t="s">
        <v>27265</v>
      </c>
    </row>
    <row r="5114" spans="1:20" x14ac:dyDescent="0.3">
      <c r="A5114" t="str">
        <f>"0611862322050"</f>
        <v>0611862322050</v>
      </c>
      <c r="B5114" t="str">
        <f>"CE1486"</f>
        <v>CE1486</v>
      </c>
      <c r="C5114" t="s">
        <v>37130</v>
      </c>
      <c r="D5114" t="s">
        <v>27923</v>
      </c>
      <c r="E5114" t="str">
        <f t="shared" si="79"/>
        <v>001390</v>
      </c>
      <c r="F5114" t="s">
        <v>27246</v>
      </c>
      <c r="G5114" t="s">
        <v>27247</v>
      </c>
      <c r="H5114" t="s">
        <v>27248</v>
      </c>
      <c r="I5114" t="s">
        <v>37131</v>
      </c>
      <c r="J5114" t="s">
        <v>10201</v>
      </c>
      <c r="L5114" t="s">
        <v>27250</v>
      </c>
      <c r="M5114" t="s">
        <v>27251</v>
      </c>
      <c r="N5114" t="s">
        <v>27252</v>
      </c>
      <c r="P5114" t="s">
        <v>27925</v>
      </c>
      <c r="Q5114" s="1">
        <v>44846</v>
      </c>
      <c r="R5114" t="s">
        <v>27253</v>
      </c>
      <c r="S5114" t="s">
        <v>27254</v>
      </c>
      <c r="T5114" t="s">
        <v>27265</v>
      </c>
    </row>
    <row r="5115" spans="1:20" x14ac:dyDescent="0.3">
      <c r="A5115" t="str">
        <f>"0611862323050"</f>
        <v>0611862323050</v>
      </c>
      <c r="B5115" t="str">
        <f>"CE1191"</f>
        <v>CE1191</v>
      </c>
      <c r="C5115" t="s">
        <v>37132</v>
      </c>
      <c r="D5115" t="s">
        <v>27923</v>
      </c>
      <c r="E5115" t="str">
        <f t="shared" si="79"/>
        <v>001390</v>
      </c>
      <c r="F5115" t="s">
        <v>27246</v>
      </c>
      <c r="G5115" t="s">
        <v>27247</v>
      </c>
      <c r="H5115" t="s">
        <v>27248</v>
      </c>
      <c r="I5115" t="s">
        <v>37133</v>
      </c>
      <c r="J5115" t="s">
        <v>10203</v>
      </c>
      <c r="L5115" t="s">
        <v>27250</v>
      </c>
      <c r="M5115" t="s">
        <v>27251</v>
      </c>
      <c r="N5115" t="s">
        <v>27252</v>
      </c>
      <c r="P5115" t="s">
        <v>27925</v>
      </c>
      <c r="Q5115" s="1">
        <v>44846</v>
      </c>
      <c r="R5115" t="s">
        <v>27253</v>
      </c>
      <c r="S5115" t="s">
        <v>27254</v>
      </c>
      <c r="T5115" t="s">
        <v>27265</v>
      </c>
    </row>
    <row r="5116" spans="1:20" x14ac:dyDescent="0.3">
      <c r="A5116" t="str">
        <f>"0611862325050"</f>
        <v>0611862325050</v>
      </c>
      <c r="B5116" t="str">
        <f>"CE1194"</f>
        <v>CE1194</v>
      </c>
      <c r="C5116" t="s">
        <v>37134</v>
      </c>
      <c r="D5116" t="s">
        <v>27923</v>
      </c>
      <c r="E5116" t="str">
        <f t="shared" si="79"/>
        <v>001390</v>
      </c>
      <c r="F5116" t="s">
        <v>27246</v>
      </c>
      <c r="G5116" t="s">
        <v>27247</v>
      </c>
      <c r="H5116" t="s">
        <v>27248</v>
      </c>
      <c r="I5116" t="s">
        <v>37135</v>
      </c>
      <c r="J5116" t="s">
        <v>10205</v>
      </c>
      <c r="L5116" t="s">
        <v>27250</v>
      </c>
      <c r="M5116" t="s">
        <v>27251</v>
      </c>
      <c r="N5116" t="s">
        <v>27252</v>
      </c>
      <c r="P5116" t="s">
        <v>27925</v>
      </c>
      <c r="Q5116" s="1">
        <v>44846</v>
      </c>
      <c r="R5116" t="s">
        <v>27253</v>
      </c>
      <c r="S5116" t="s">
        <v>27254</v>
      </c>
      <c r="T5116" t="s">
        <v>27265</v>
      </c>
    </row>
    <row r="5117" spans="1:20" x14ac:dyDescent="0.3">
      <c r="A5117" t="str">
        <f>"0611862326050"</f>
        <v>0611862326050</v>
      </c>
      <c r="B5117" t="str">
        <f>"CE1285"</f>
        <v>CE1285</v>
      </c>
      <c r="C5117" t="s">
        <v>37136</v>
      </c>
      <c r="D5117" t="s">
        <v>27923</v>
      </c>
      <c r="E5117" t="str">
        <f t="shared" si="79"/>
        <v>001390</v>
      </c>
      <c r="F5117" t="s">
        <v>27246</v>
      </c>
      <c r="G5117" t="s">
        <v>27247</v>
      </c>
      <c r="H5117" t="s">
        <v>27248</v>
      </c>
      <c r="I5117" t="s">
        <v>37137</v>
      </c>
      <c r="J5117" t="s">
        <v>10207</v>
      </c>
      <c r="L5117" t="s">
        <v>27250</v>
      </c>
      <c r="M5117" t="s">
        <v>27251</v>
      </c>
      <c r="N5117" t="s">
        <v>27252</v>
      </c>
      <c r="P5117" t="s">
        <v>27925</v>
      </c>
      <c r="Q5117" s="1">
        <v>44846</v>
      </c>
      <c r="R5117" t="s">
        <v>27253</v>
      </c>
      <c r="S5117" t="s">
        <v>27254</v>
      </c>
      <c r="T5117" t="s">
        <v>27265</v>
      </c>
    </row>
    <row r="5118" spans="1:20" x14ac:dyDescent="0.3">
      <c r="A5118" t="str">
        <f>"0611862327050"</f>
        <v>0611862327050</v>
      </c>
      <c r="B5118" t="str">
        <f>"CE1487"</f>
        <v>CE1487</v>
      </c>
      <c r="C5118" t="s">
        <v>37138</v>
      </c>
      <c r="D5118" t="s">
        <v>27923</v>
      </c>
      <c r="E5118" t="str">
        <f t="shared" si="79"/>
        <v>001390</v>
      </c>
      <c r="F5118" t="s">
        <v>27246</v>
      </c>
      <c r="G5118" t="s">
        <v>27247</v>
      </c>
      <c r="H5118" t="s">
        <v>27248</v>
      </c>
      <c r="I5118" t="s">
        <v>37139</v>
      </c>
      <c r="J5118" t="s">
        <v>10209</v>
      </c>
      <c r="L5118" t="s">
        <v>27250</v>
      </c>
      <c r="M5118" t="s">
        <v>27251</v>
      </c>
      <c r="N5118" t="s">
        <v>27252</v>
      </c>
      <c r="P5118" t="s">
        <v>27925</v>
      </c>
      <c r="Q5118" s="1">
        <v>44846</v>
      </c>
      <c r="R5118" t="s">
        <v>27253</v>
      </c>
      <c r="S5118" t="s">
        <v>27254</v>
      </c>
      <c r="T5118" t="s">
        <v>27265</v>
      </c>
    </row>
    <row r="5119" spans="1:20" x14ac:dyDescent="0.3">
      <c r="A5119" t="str">
        <f>"0611862328050"</f>
        <v>0611862328050</v>
      </c>
      <c r="B5119" t="str">
        <f>"CE1193"</f>
        <v>CE1193</v>
      </c>
      <c r="C5119" t="s">
        <v>37140</v>
      </c>
      <c r="D5119" t="s">
        <v>27923</v>
      </c>
      <c r="E5119" t="str">
        <f t="shared" si="79"/>
        <v>001390</v>
      </c>
      <c r="F5119" t="s">
        <v>27246</v>
      </c>
      <c r="G5119" t="s">
        <v>27247</v>
      </c>
      <c r="H5119" t="s">
        <v>27248</v>
      </c>
      <c r="I5119" t="s">
        <v>37141</v>
      </c>
      <c r="J5119" t="s">
        <v>10211</v>
      </c>
      <c r="L5119" t="s">
        <v>27250</v>
      </c>
      <c r="M5119" t="s">
        <v>27251</v>
      </c>
      <c r="N5119" t="s">
        <v>27252</v>
      </c>
      <c r="P5119" t="s">
        <v>27925</v>
      </c>
      <c r="Q5119" s="1">
        <v>44846</v>
      </c>
      <c r="R5119" t="s">
        <v>27253</v>
      </c>
      <c r="S5119" t="s">
        <v>27254</v>
      </c>
      <c r="T5119" t="s">
        <v>27265</v>
      </c>
    </row>
    <row r="5120" spans="1:20" x14ac:dyDescent="0.3">
      <c r="A5120" t="str">
        <f>"0611862329050"</f>
        <v>0611862329050</v>
      </c>
      <c r="B5120" t="str">
        <f>"CE1610"</f>
        <v>CE1610</v>
      </c>
      <c r="C5120" t="s">
        <v>37142</v>
      </c>
      <c r="D5120" t="s">
        <v>27923</v>
      </c>
      <c r="E5120" t="str">
        <f t="shared" si="79"/>
        <v>001390</v>
      </c>
      <c r="F5120" t="s">
        <v>27246</v>
      </c>
      <c r="G5120" t="s">
        <v>27247</v>
      </c>
      <c r="H5120" t="s">
        <v>27248</v>
      </c>
      <c r="I5120" t="s">
        <v>37143</v>
      </c>
      <c r="J5120" t="s">
        <v>10213</v>
      </c>
      <c r="L5120" t="s">
        <v>27250</v>
      </c>
      <c r="M5120" t="s">
        <v>27251</v>
      </c>
      <c r="N5120" t="s">
        <v>27252</v>
      </c>
      <c r="P5120" t="s">
        <v>27925</v>
      </c>
      <c r="Q5120" s="1">
        <v>44846</v>
      </c>
      <c r="R5120" t="s">
        <v>27253</v>
      </c>
      <c r="S5120" t="s">
        <v>27254</v>
      </c>
      <c r="T5120" t="s">
        <v>27265</v>
      </c>
    </row>
    <row r="5121" spans="1:20" x14ac:dyDescent="0.3">
      <c r="A5121" t="str">
        <f>"0611862330050"</f>
        <v>0611862330050</v>
      </c>
      <c r="B5121" t="str">
        <f>"CE1195"</f>
        <v>CE1195</v>
      </c>
      <c r="C5121" t="s">
        <v>37144</v>
      </c>
      <c r="D5121" t="s">
        <v>27923</v>
      </c>
      <c r="E5121" t="str">
        <f t="shared" si="79"/>
        <v>001390</v>
      </c>
      <c r="F5121" t="s">
        <v>27246</v>
      </c>
      <c r="G5121" t="s">
        <v>27247</v>
      </c>
      <c r="H5121" t="s">
        <v>27248</v>
      </c>
      <c r="I5121" t="s">
        <v>37145</v>
      </c>
      <c r="J5121" t="s">
        <v>10215</v>
      </c>
      <c r="L5121" t="s">
        <v>27250</v>
      </c>
      <c r="M5121" t="s">
        <v>27251</v>
      </c>
      <c r="N5121" t="s">
        <v>27252</v>
      </c>
      <c r="P5121" t="s">
        <v>27925</v>
      </c>
      <c r="Q5121" s="1">
        <v>44846</v>
      </c>
      <c r="R5121" t="s">
        <v>27253</v>
      </c>
      <c r="S5121" t="s">
        <v>27254</v>
      </c>
      <c r="T5121" t="s">
        <v>27265</v>
      </c>
    </row>
    <row r="5122" spans="1:20" x14ac:dyDescent="0.3">
      <c r="A5122" t="str">
        <f>"0611862331050"</f>
        <v>0611862331050</v>
      </c>
      <c r="B5122" t="str">
        <f>"CE1488"</f>
        <v>CE1488</v>
      </c>
      <c r="C5122" t="s">
        <v>37146</v>
      </c>
      <c r="D5122" t="s">
        <v>27923</v>
      </c>
      <c r="E5122" t="str">
        <f t="shared" ref="E5122:E5185" si="80">"001390"</f>
        <v>001390</v>
      </c>
      <c r="F5122" t="s">
        <v>27246</v>
      </c>
      <c r="G5122" t="s">
        <v>27247</v>
      </c>
      <c r="H5122" t="s">
        <v>27248</v>
      </c>
      <c r="I5122" t="s">
        <v>37147</v>
      </c>
      <c r="J5122" t="s">
        <v>10217</v>
      </c>
      <c r="L5122" t="s">
        <v>27250</v>
      </c>
      <c r="M5122" t="s">
        <v>27251</v>
      </c>
      <c r="N5122" t="s">
        <v>27252</v>
      </c>
      <c r="P5122" t="s">
        <v>27925</v>
      </c>
      <c r="Q5122" s="1">
        <v>44846</v>
      </c>
      <c r="R5122" t="s">
        <v>27253</v>
      </c>
      <c r="S5122" t="s">
        <v>27254</v>
      </c>
      <c r="T5122" t="s">
        <v>27265</v>
      </c>
    </row>
    <row r="5123" spans="1:20" x14ac:dyDescent="0.3">
      <c r="A5123" t="str">
        <f>"0611862332050"</f>
        <v>0611862332050</v>
      </c>
      <c r="B5123" t="str">
        <f>"CE1196"</f>
        <v>CE1196</v>
      </c>
      <c r="C5123" t="s">
        <v>37148</v>
      </c>
      <c r="D5123" t="s">
        <v>27923</v>
      </c>
      <c r="E5123" t="str">
        <f t="shared" si="80"/>
        <v>001390</v>
      </c>
      <c r="F5123" t="s">
        <v>27246</v>
      </c>
      <c r="G5123" t="s">
        <v>27247</v>
      </c>
      <c r="H5123" t="s">
        <v>27248</v>
      </c>
      <c r="I5123" t="s">
        <v>37149</v>
      </c>
      <c r="J5123" t="s">
        <v>10219</v>
      </c>
      <c r="L5123" t="s">
        <v>27250</v>
      </c>
      <c r="M5123" t="s">
        <v>27251</v>
      </c>
      <c r="N5123" t="s">
        <v>27252</v>
      </c>
      <c r="P5123" t="s">
        <v>27925</v>
      </c>
      <c r="Q5123" s="1">
        <v>44846</v>
      </c>
      <c r="R5123" t="s">
        <v>27253</v>
      </c>
      <c r="S5123" t="s">
        <v>27254</v>
      </c>
      <c r="T5123" t="s">
        <v>27265</v>
      </c>
    </row>
    <row r="5124" spans="1:20" x14ac:dyDescent="0.3">
      <c r="A5124" t="str">
        <f>"0611837244100"</f>
        <v>0611837244100</v>
      </c>
      <c r="B5124" t="str">
        <f>"LK4774"</f>
        <v>LK4774</v>
      </c>
      <c r="C5124" t="s">
        <v>37150</v>
      </c>
      <c r="D5124" t="s">
        <v>27245</v>
      </c>
      <c r="E5124" t="str">
        <f t="shared" si="80"/>
        <v>001390</v>
      </c>
      <c r="F5124" t="s">
        <v>27246</v>
      </c>
      <c r="G5124" t="s">
        <v>27247</v>
      </c>
      <c r="H5124" t="s">
        <v>27248</v>
      </c>
      <c r="I5124" t="s">
        <v>37151</v>
      </c>
      <c r="J5124" t="s">
        <v>10221</v>
      </c>
      <c r="L5124" t="s">
        <v>27250</v>
      </c>
      <c r="M5124" t="s">
        <v>27251</v>
      </c>
      <c r="N5124" t="s">
        <v>27252</v>
      </c>
      <c r="Q5124" s="1">
        <v>44538</v>
      </c>
      <c r="R5124" t="s">
        <v>27253</v>
      </c>
      <c r="S5124" t="s">
        <v>27254</v>
      </c>
      <c r="T5124" t="s">
        <v>27255</v>
      </c>
    </row>
    <row r="5125" spans="1:20" x14ac:dyDescent="0.3">
      <c r="A5125" t="str">
        <f>"0611837245100"</f>
        <v>0611837245100</v>
      </c>
      <c r="B5125" t="str">
        <f>"LK5755"</f>
        <v>LK5755</v>
      </c>
      <c r="C5125" t="s">
        <v>37152</v>
      </c>
      <c r="D5125" t="s">
        <v>28138</v>
      </c>
      <c r="E5125" t="str">
        <f t="shared" si="80"/>
        <v>001390</v>
      </c>
      <c r="F5125" t="s">
        <v>27246</v>
      </c>
      <c r="G5125" t="s">
        <v>27247</v>
      </c>
      <c r="H5125" t="s">
        <v>27248</v>
      </c>
      <c r="I5125" t="s">
        <v>37153</v>
      </c>
      <c r="J5125" t="s">
        <v>10223</v>
      </c>
      <c r="L5125" t="s">
        <v>27250</v>
      </c>
      <c r="M5125" t="s">
        <v>27251</v>
      </c>
      <c r="N5125" t="s">
        <v>27252</v>
      </c>
      <c r="P5125" t="s">
        <v>27925</v>
      </c>
      <c r="Q5125" s="1">
        <v>44538</v>
      </c>
      <c r="R5125" t="s">
        <v>27253</v>
      </c>
      <c r="S5125" t="s">
        <v>27254</v>
      </c>
      <c r="T5125" t="s">
        <v>27255</v>
      </c>
    </row>
    <row r="5126" spans="1:20" x14ac:dyDescent="0.3">
      <c r="A5126" t="str">
        <f>"0611837247100"</f>
        <v>0611837247100</v>
      </c>
      <c r="B5126" t="str">
        <f>"LK7011"</f>
        <v>LK7011</v>
      </c>
      <c r="C5126" t="s">
        <v>37154</v>
      </c>
      <c r="D5126" t="s">
        <v>28138</v>
      </c>
      <c r="E5126" t="str">
        <f t="shared" si="80"/>
        <v>001390</v>
      </c>
      <c r="F5126" t="s">
        <v>27246</v>
      </c>
      <c r="G5126" t="s">
        <v>27247</v>
      </c>
      <c r="H5126" t="s">
        <v>27248</v>
      </c>
      <c r="I5126" t="s">
        <v>37155</v>
      </c>
      <c r="J5126" t="s">
        <v>10225</v>
      </c>
      <c r="L5126" t="s">
        <v>27250</v>
      </c>
      <c r="M5126" t="s">
        <v>27251</v>
      </c>
      <c r="N5126" t="s">
        <v>27252</v>
      </c>
      <c r="P5126" t="s">
        <v>27925</v>
      </c>
      <c r="Q5126" s="1">
        <v>44538</v>
      </c>
      <c r="R5126" t="s">
        <v>27253</v>
      </c>
      <c r="S5126" t="s">
        <v>27254</v>
      </c>
      <c r="T5126" t="s">
        <v>27255</v>
      </c>
    </row>
    <row r="5127" spans="1:20" x14ac:dyDescent="0.3">
      <c r="A5127" t="str">
        <f>"0611837248100"</f>
        <v>0611837248100</v>
      </c>
      <c r="B5127" t="str">
        <f>"LB2823"</f>
        <v>LB2823</v>
      </c>
      <c r="C5127" t="s">
        <v>37156</v>
      </c>
      <c r="D5127" t="s">
        <v>28138</v>
      </c>
      <c r="E5127" t="str">
        <f t="shared" si="80"/>
        <v>001390</v>
      </c>
      <c r="F5127" t="s">
        <v>27246</v>
      </c>
      <c r="G5127" t="s">
        <v>27247</v>
      </c>
      <c r="H5127" t="s">
        <v>27248</v>
      </c>
      <c r="I5127" t="s">
        <v>37157</v>
      </c>
      <c r="J5127" t="s">
        <v>10227</v>
      </c>
      <c r="L5127" t="s">
        <v>27250</v>
      </c>
      <c r="M5127" t="s">
        <v>27251</v>
      </c>
      <c r="N5127" t="s">
        <v>27252</v>
      </c>
      <c r="P5127" t="s">
        <v>27925</v>
      </c>
      <c r="Q5127" s="1">
        <v>44538</v>
      </c>
      <c r="R5127" t="s">
        <v>27253</v>
      </c>
      <c r="S5127" t="s">
        <v>27254</v>
      </c>
      <c r="T5127" t="s">
        <v>27255</v>
      </c>
    </row>
    <row r="5128" spans="1:20" x14ac:dyDescent="0.3">
      <c r="A5128" t="str">
        <f>"0611837249100"</f>
        <v>0611837249100</v>
      </c>
      <c r="B5128" t="str">
        <f>"LB2824"</f>
        <v>LB2824</v>
      </c>
      <c r="C5128" t="s">
        <v>37158</v>
      </c>
      <c r="D5128" t="s">
        <v>28138</v>
      </c>
      <c r="E5128" t="str">
        <f t="shared" si="80"/>
        <v>001390</v>
      </c>
      <c r="F5128" t="s">
        <v>27246</v>
      </c>
      <c r="G5128" t="s">
        <v>27247</v>
      </c>
      <c r="H5128" t="s">
        <v>27248</v>
      </c>
      <c r="I5128" t="s">
        <v>37159</v>
      </c>
      <c r="J5128" t="s">
        <v>10229</v>
      </c>
      <c r="L5128" t="s">
        <v>27250</v>
      </c>
      <c r="M5128" t="s">
        <v>27251</v>
      </c>
      <c r="N5128" t="s">
        <v>27252</v>
      </c>
      <c r="P5128" t="s">
        <v>27925</v>
      </c>
      <c r="Q5128" s="1">
        <v>44538</v>
      </c>
      <c r="R5128" t="s">
        <v>27253</v>
      </c>
      <c r="S5128" t="s">
        <v>27254</v>
      </c>
      <c r="T5128" t="s">
        <v>27255</v>
      </c>
    </row>
    <row r="5129" spans="1:20" x14ac:dyDescent="0.3">
      <c r="A5129" t="str">
        <f>"0611837250100"</f>
        <v>0611837250100</v>
      </c>
      <c r="B5129" t="str">
        <f>"LB2825"</f>
        <v>LB2825</v>
      </c>
      <c r="C5129" t="s">
        <v>37160</v>
      </c>
      <c r="D5129" t="s">
        <v>28138</v>
      </c>
      <c r="E5129" t="str">
        <f t="shared" si="80"/>
        <v>001390</v>
      </c>
      <c r="F5129" t="s">
        <v>27246</v>
      </c>
      <c r="G5129" t="s">
        <v>27247</v>
      </c>
      <c r="H5129" t="s">
        <v>27248</v>
      </c>
      <c r="I5129" t="s">
        <v>37161</v>
      </c>
      <c r="J5129" t="s">
        <v>10231</v>
      </c>
      <c r="L5129" t="s">
        <v>27250</v>
      </c>
      <c r="M5129" t="s">
        <v>27251</v>
      </c>
      <c r="N5129" t="s">
        <v>27252</v>
      </c>
      <c r="P5129" t="s">
        <v>27925</v>
      </c>
      <c r="Q5129" s="1">
        <v>44538</v>
      </c>
      <c r="R5129" t="s">
        <v>27253</v>
      </c>
      <c r="S5129" t="s">
        <v>27254</v>
      </c>
      <c r="T5129" t="s">
        <v>27255</v>
      </c>
    </row>
    <row r="5130" spans="1:20" x14ac:dyDescent="0.3">
      <c r="A5130" t="str">
        <f>"0611837251100"</f>
        <v>0611837251100</v>
      </c>
      <c r="B5130" t="str">
        <f>"LK4998"</f>
        <v>LK4998</v>
      </c>
      <c r="C5130" t="s">
        <v>37162</v>
      </c>
      <c r="D5130" t="s">
        <v>28138</v>
      </c>
      <c r="E5130" t="str">
        <f t="shared" si="80"/>
        <v>001390</v>
      </c>
      <c r="F5130" t="s">
        <v>27246</v>
      </c>
      <c r="G5130" t="s">
        <v>27247</v>
      </c>
      <c r="H5130" t="s">
        <v>27248</v>
      </c>
      <c r="I5130" t="s">
        <v>37163</v>
      </c>
      <c r="J5130" t="s">
        <v>10233</v>
      </c>
      <c r="L5130" t="s">
        <v>27250</v>
      </c>
      <c r="M5130" t="s">
        <v>27251</v>
      </c>
      <c r="N5130" t="s">
        <v>27252</v>
      </c>
      <c r="P5130" t="s">
        <v>27925</v>
      </c>
      <c r="Q5130" s="1">
        <v>44538</v>
      </c>
      <c r="R5130" t="s">
        <v>27253</v>
      </c>
      <c r="S5130" t="s">
        <v>27254</v>
      </c>
      <c r="T5130" t="s">
        <v>27255</v>
      </c>
    </row>
    <row r="5131" spans="1:20" x14ac:dyDescent="0.3">
      <c r="A5131" t="str">
        <f>"0611837252100"</f>
        <v>0611837252100</v>
      </c>
      <c r="B5131" t="str">
        <f>"LB2828"</f>
        <v>LB2828</v>
      </c>
      <c r="C5131" t="s">
        <v>37164</v>
      </c>
      <c r="D5131" t="s">
        <v>28138</v>
      </c>
      <c r="E5131" t="str">
        <f t="shared" si="80"/>
        <v>001390</v>
      </c>
      <c r="F5131" t="s">
        <v>27246</v>
      </c>
      <c r="G5131" t="s">
        <v>27247</v>
      </c>
      <c r="H5131" t="s">
        <v>27248</v>
      </c>
      <c r="I5131" t="s">
        <v>37165</v>
      </c>
      <c r="J5131" t="s">
        <v>10235</v>
      </c>
      <c r="L5131" t="s">
        <v>27250</v>
      </c>
      <c r="M5131" t="s">
        <v>27251</v>
      </c>
      <c r="N5131" t="s">
        <v>27252</v>
      </c>
      <c r="P5131" t="s">
        <v>27925</v>
      </c>
      <c r="Q5131" s="1">
        <v>44538</v>
      </c>
      <c r="R5131" t="s">
        <v>27253</v>
      </c>
      <c r="S5131" t="s">
        <v>27254</v>
      </c>
      <c r="T5131" t="s">
        <v>27255</v>
      </c>
    </row>
    <row r="5132" spans="1:20" x14ac:dyDescent="0.3">
      <c r="A5132" t="str">
        <f>"0611837254100"</f>
        <v>0611837254100</v>
      </c>
      <c r="B5132" t="str">
        <f>"LK5246"</f>
        <v>LK5246</v>
      </c>
      <c r="C5132" t="s">
        <v>37166</v>
      </c>
      <c r="D5132" t="s">
        <v>27245</v>
      </c>
      <c r="E5132" t="str">
        <f t="shared" si="80"/>
        <v>001390</v>
      </c>
      <c r="F5132" t="s">
        <v>27246</v>
      </c>
      <c r="G5132" t="s">
        <v>27247</v>
      </c>
      <c r="H5132" t="s">
        <v>27248</v>
      </c>
      <c r="I5132" t="s">
        <v>37167</v>
      </c>
      <c r="J5132" t="s">
        <v>10237</v>
      </c>
      <c r="L5132" t="s">
        <v>27250</v>
      </c>
      <c r="M5132" t="s">
        <v>27251</v>
      </c>
      <c r="N5132" t="s">
        <v>27252</v>
      </c>
      <c r="Q5132" s="1">
        <v>44538</v>
      </c>
      <c r="R5132" t="s">
        <v>27253</v>
      </c>
      <c r="S5132" t="s">
        <v>27254</v>
      </c>
      <c r="T5132" t="s">
        <v>27255</v>
      </c>
    </row>
    <row r="5133" spans="1:20" x14ac:dyDescent="0.3">
      <c r="A5133" t="str">
        <f>"0611856960100"</f>
        <v>0611856960100</v>
      </c>
      <c r="B5133" t="str">
        <f>"LQ3883"</f>
        <v>LQ3883</v>
      </c>
      <c r="C5133" t="s">
        <v>37168</v>
      </c>
      <c r="D5133" t="s">
        <v>27245</v>
      </c>
      <c r="E5133" t="str">
        <f t="shared" si="80"/>
        <v>001390</v>
      </c>
      <c r="F5133" t="s">
        <v>27246</v>
      </c>
      <c r="G5133" t="s">
        <v>27247</v>
      </c>
      <c r="H5133" t="s">
        <v>27248</v>
      </c>
      <c r="I5133" t="s">
        <v>37169</v>
      </c>
      <c r="J5133" t="s">
        <v>10239</v>
      </c>
      <c r="L5133" t="s">
        <v>27250</v>
      </c>
      <c r="M5133" t="s">
        <v>27251</v>
      </c>
      <c r="N5133" t="s">
        <v>27252</v>
      </c>
      <c r="Q5133" s="1">
        <v>44812</v>
      </c>
      <c r="R5133" t="s">
        <v>27253</v>
      </c>
      <c r="S5133" t="s">
        <v>27254</v>
      </c>
      <c r="T5133" t="s">
        <v>27255</v>
      </c>
    </row>
    <row r="5134" spans="1:20" x14ac:dyDescent="0.3">
      <c r="A5134" t="str">
        <f>"0611862333050"</f>
        <v>0611862333050</v>
      </c>
      <c r="B5134" t="str">
        <f>"CR2221"</f>
        <v>CR2221</v>
      </c>
      <c r="C5134" t="s">
        <v>37170</v>
      </c>
      <c r="D5134" t="s">
        <v>27271</v>
      </c>
      <c r="E5134" t="str">
        <f t="shared" si="80"/>
        <v>001390</v>
      </c>
      <c r="F5134" t="s">
        <v>27246</v>
      </c>
      <c r="G5134" t="s">
        <v>27247</v>
      </c>
      <c r="H5134" t="s">
        <v>27248</v>
      </c>
      <c r="I5134" t="s">
        <v>37171</v>
      </c>
      <c r="J5134" t="s">
        <v>10241</v>
      </c>
      <c r="L5134" t="s">
        <v>27250</v>
      </c>
      <c r="M5134" t="s">
        <v>27251</v>
      </c>
      <c r="N5134" t="s">
        <v>27252</v>
      </c>
      <c r="P5134" t="s">
        <v>27341</v>
      </c>
      <c r="Q5134" s="1">
        <v>44846</v>
      </c>
      <c r="R5134" t="s">
        <v>27253</v>
      </c>
      <c r="S5134" t="s">
        <v>27254</v>
      </c>
      <c r="T5134" t="s">
        <v>27265</v>
      </c>
    </row>
    <row r="5135" spans="1:20" x14ac:dyDescent="0.3">
      <c r="A5135" t="str">
        <f>"0611862334050"</f>
        <v>0611862334050</v>
      </c>
      <c r="B5135" t="str">
        <f>"CR2278"</f>
        <v>CR2278</v>
      </c>
      <c r="C5135" t="s">
        <v>37172</v>
      </c>
      <c r="D5135" t="s">
        <v>27271</v>
      </c>
      <c r="E5135" t="str">
        <f t="shared" si="80"/>
        <v>001390</v>
      </c>
      <c r="F5135" t="s">
        <v>27246</v>
      </c>
      <c r="G5135" t="s">
        <v>27247</v>
      </c>
      <c r="H5135" t="s">
        <v>27248</v>
      </c>
      <c r="I5135" t="s">
        <v>37173</v>
      </c>
      <c r="J5135" t="s">
        <v>10245</v>
      </c>
      <c r="L5135" t="s">
        <v>27250</v>
      </c>
      <c r="M5135" t="s">
        <v>27251</v>
      </c>
      <c r="N5135" t="s">
        <v>27252</v>
      </c>
      <c r="P5135" t="s">
        <v>27341</v>
      </c>
      <c r="Q5135" s="1">
        <v>44846</v>
      </c>
      <c r="R5135" t="s">
        <v>27253</v>
      </c>
      <c r="S5135" t="s">
        <v>27254</v>
      </c>
      <c r="T5135" t="s">
        <v>27265</v>
      </c>
    </row>
    <row r="5136" spans="1:20" x14ac:dyDescent="0.3">
      <c r="A5136" t="str">
        <f>"0611862335050"</f>
        <v>0611862335050</v>
      </c>
      <c r="B5136" t="str">
        <f>"CR2279"</f>
        <v>CR2279</v>
      </c>
      <c r="C5136" t="s">
        <v>37174</v>
      </c>
      <c r="D5136" t="s">
        <v>27271</v>
      </c>
      <c r="E5136" t="str">
        <f t="shared" si="80"/>
        <v>001390</v>
      </c>
      <c r="F5136" t="s">
        <v>27246</v>
      </c>
      <c r="G5136" t="s">
        <v>27247</v>
      </c>
      <c r="H5136" t="s">
        <v>27248</v>
      </c>
      <c r="I5136" t="s">
        <v>37175</v>
      </c>
      <c r="J5136" t="s">
        <v>10247</v>
      </c>
      <c r="L5136" t="s">
        <v>27250</v>
      </c>
      <c r="M5136" t="s">
        <v>27251</v>
      </c>
      <c r="N5136" t="s">
        <v>27252</v>
      </c>
      <c r="P5136" t="s">
        <v>27341</v>
      </c>
      <c r="Q5136" s="1">
        <v>44846</v>
      </c>
      <c r="R5136" t="s">
        <v>27253</v>
      </c>
      <c r="S5136" t="s">
        <v>27254</v>
      </c>
      <c r="T5136" t="s">
        <v>27265</v>
      </c>
    </row>
    <row r="5137" spans="1:20" x14ac:dyDescent="0.3">
      <c r="A5137" t="str">
        <f>"0611862336050"</f>
        <v>0611862336050</v>
      </c>
      <c r="B5137" t="str">
        <f>"CR2280"</f>
        <v>CR2280</v>
      </c>
      <c r="C5137" t="s">
        <v>37176</v>
      </c>
      <c r="D5137" t="s">
        <v>27271</v>
      </c>
      <c r="E5137" t="str">
        <f t="shared" si="80"/>
        <v>001390</v>
      </c>
      <c r="F5137" t="s">
        <v>27246</v>
      </c>
      <c r="G5137" t="s">
        <v>27247</v>
      </c>
      <c r="H5137" t="s">
        <v>27248</v>
      </c>
      <c r="I5137" t="s">
        <v>37177</v>
      </c>
      <c r="J5137" t="s">
        <v>10249</v>
      </c>
      <c r="L5137" t="s">
        <v>27250</v>
      </c>
      <c r="M5137" t="s">
        <v>27251</v>
      </c>
      <c r="N5137" t="s">
        <v>27252</v>
      </c>
      <c r="P5137" t="s">
        <v>27341</v>
      </c>
      <c r="Q5137" s="1">
        <v>44846</v>
      </c>
      <c r="R5137" t="s">
        <v>27253</v>
      </c>
      <c r="S5137" t="s">
        <v>27254</v>
      </c>
      <c r="T5137" t="s">
        <v>27265</v>
      </c>
    </row>
    <row r="5138" spans="1:20" x14ac:dyDescent="0.3">
      <c r="A5138" t="str">
        <f>"0611862337050"</f>
        <v>0611862337050</v>
      </c>
      <c r="B5138" t="str">
        <f>"CR3536"</f>
        <v>CR3536</v>
      </c>
      <c r="C5138" t="s">
        <v>37178</v>
      </c>
      <c r="D5138" t="s">
        <v>27271</v>
      </c>
      <c r="E5138" t="str">
        <f t="shared" si="80"/>
        <v>001390</v>
      </c>
      <c r="F5138" t="s">
        <v>27246</v>
      </c>
      <c r="G5138" t="s">
        <v>27247</v>
      </c>
      <c r="H5138" t="s">
        <v>27248</v>
      </c>
      <c r="I5138" t="s">
        <v>37179</v>
      </c>
      <c r="J5138" t="s">
        <v>10243</v>
      </c>
      <c r="L5138" t="s">
        <v>27250</v>
      </c>
      <c r="M5138" t="s">
        <v>27251</v>
      </c>
      <c r="N5138" t="s">
        <v>27252</v>
      </c>
      <c r="P5138" t="s">
        <v>27341</v>
      </c>
      <c r="Q5138" s="1">
        <v>44846</v>
      </c>
      <c r="R5138" t="s">
        <v>27253</v>
      </c>
      <c r="S5138" t="s">
        <v>27254</v>
      </c>
      <c r="T5138" t="s">
        <v>27265</v>
      </c>
    </row>
    <row r="5139" spans="1:20" x14ac:dyDescent="0.3">
      <c r="A5139" t="str">
        <f>"0611862338050"</f>
        <v>0611862338050</v>
      </c>
      <c r="B5139" t="str">
        <f>"CR2281"</f>
        <v>CR2281</v>
      </c>
      <c r="C5139" t="s">
        <v>37180</v>
      </c>
      <c r="D5139" t="s">
        <v>27271</v>
      </c>
      <c r="E5139" t="str">
        <f t="shared" si="80"/>
        <v>001390</v>
      </c>
      <c r="F5139" t="s">
        <v>27246</v>
      </c>
      <c r="G5139" t="s">
        <v>27247</v>
      </c>
      <c r="H5139" t="s">
        <v>27248</v>
      </c>
      <c r="I5139" t="s">
        <v>37181</v>
      </c>
      <c r="J5139" t="s">
        <v>10251</v>
      </c>
      <c r="L5139" t="s">
        <v>27250</v>
      </c>
      <c r="M5139" t="s">
        <v>27251</v>
      </c>
      <c r="N5139" t="s">
        <v>27252</v>
      </c>
      <c r="P5139" t="s">
        <v>27341</v>
      </c>
      <c r="Q5139" s="1">
        <v>44846</v>
      </c>
      <c r="R5139" t="s">
        <v>27253</v>
      </c>
      <c r="S5139" t="s">
        <v>27254</v>
      </c>
      <c r="T5139" t="s">
        <v>27265</v>
      </c>
    </row>
    <row r="5140" spans="1:20" x14ac:dyDescent="0.3">
      <c r="A5140" t="str">
        <f>"0611862339050"</f>
        <v>0611862339050</v>
      </c>
      <c r="B5140" t="str">
        <f>"CR2283"</f>
        <v>CR2283</v>
      </c>
      <c r="C5140" t="s">
        <v>37182</v>
      </c>
      <c r="D5140" t="s">
        <v>27271</v>
      </c>
      <c r="E5140" t="str">
        <f t="shared" si="80"/>
        <v>001390</v>
      </c>
      <c r="F5140" t="s">
        <v>27246</v>
      </c>
      <c r="G5140" t="s">
        <v>27247</v>
      </c>
      <c r="H5140" t="s">
        <v>27248</v>
      </c>
      <c r="I5140" t="s">
        <v>37183</v>
      </c>
      <c r="J5140" t="s">
        <v>10253</v>
      </c>
      <c r="L5140" t="s">
        <v>27250</v>
      </c>
      <c r="M5140" t="s">
        <v>27251</v>
      </c>
      <c r="N5140" t="s">
        <v>27252</v>
      </c>
      <c r="P5140" t="s">
        <v>27341</v>
      </c>
      <c r="Q5140" s="1">
        <v>44846</v>
      </c>
      <c r="R5140" t="s">
        <v>27253</v>
      </c>
      <c r="S5140" t="s">
        <v>27254</v>
      </c>
      <c r="T5140" t="s">
        <v>27265</v>
      </c>
    </row>
    <row r="5141" spans="1:20" x14ac:dyDescent="0.3">
      <c r="A5141" t="str">
        <f>"0611862340050"</f>
        <v>0611862340050</v>
      </c>
      <c r="B5141" t="str">
        <f>"CR2284"</f>
        <v>CR2284</v>
      </c>
      <c r="C5141" t="s">
        <v>37184</v>
      </c>
      <c r="D5141" t="s">
        <v>27271</v>
      </c>
      <c r="E5141" t="str">
        <f t="shared" si="80"/>
        <v>001390</v>
      </c>
      <c r="F5141" t="s">
        <v>27246</v>
      </c>
      <c r="G5141" t="s">
        <v>27247</v>
      </c>
      <c r="H5141" t="s">
        <v>27248</v>
      </c>
      <c r="I5141" t="s">
        <v>37185</v>
      </c>
      <c r="J5141" t="s">
        <v>10255</v>
      </c>
      <c r="L5141" t="s">
        <v>27250</v>
      </c>
      <c r="M5141" t="s">
        <v>27251</v>
      </c>
      <c r="N5141" t="s">
        <v>27252</v>
      </c>
      <c r="P5141" t="s">
        <v>27341</v>
      </c>
      <c r="Q5141" s="1">
        <v>44846</v>
      </c>
      <c r="R5141" t="s">
        <v>27253</v>
      </c>
      <c r="S5141" t="s">
        <v>27254</v>
      </c>
      <c r="T5141" t="s">
        <v>27265</v>
      </c>
    </row>
    <row r="5142" spans="1:20" x14ac:dyDescent="0.3">
      <c r="A5142" t="str">
        <f>"0611862341050"</f>
        <v>0611862341050</v>
      </c>
      <c r="B5142" t="str">
        <f>"CR2285"</f>
        <v>CR2285</v>
      </c>
      <c r="C5142" t="s">
        <v>37186</v>
      </c>
      <c r="D5142" t="s">
        <v>27271</v>
      </c>
      <c r="E5142" t="str">
        <f t="shared" si="80"/>
        <v>001390</v>
      </c>
      <c r="F5142" t="s">
        <v>27246</v>
      </c>
      <c r="G5142" t="s">
        <v>27247</v>
      </c>
      <c r="H5142" t="s">
        <v>27248</v>
      </c>
      <c r="I5142" t="s">
        <v>37187</v>
      </c>
      <c r="J5142" t="s">
        <v>10257</v>
      </c>
      <c r="L5142" t="s">
        <v>27250</v>
      </c>
      <c r="M5142" t="s">
        <v>27251</v>
      </c>
      <c r="N5142" t="s">
        <v>27252</v>
      </c>
      <c r="P5142" t="s">
        <v>27341</v>
      </c>
      <c r="Q5142" s="1">
        <v>44846</v>
      </c>
      <c r="R5142" t="s">
        <v>27253</v>
      </c>
      <c r="S5142" t="s">
        <v>27254</v>
      </c>
      <c r="T5142" t="s">
        <v>27265</v>
      </c>
    </row>
    <row r="5143" spans="1:20" x14ac:dyDescent="0.3">
      <c r="A5143" t="str">
        <f>"0611862342050"</f>
        <v>0611862342050</v>
      </c>
      <c r="B5143" t="str">
        <f>"CR2287"</f>
        <v>CR2287</v>
      </c>
      <c r="C5143" t="s">
        <v>37188</v>
      </c>
      <c r="D5143" t="s">
        <v>27271</v>
      </c>
      <c r="E5143" t="str">
        <f t="shared" si="80"/>
        <v>001390</v>
      </c>
      <c r="F5143" t="s">
        <v>27246</v>
      </c>
      <c r="G5143" t="s">
        <v>27247</v>
      </c>
      <c r="H5143" t="s">
        <v>27248</v>
      </c>
      <c r="I5143" t="s">
        <v>37189</v>
      </c>
      <c r="J5143" t="s">
        <v>10259</v>
      </c>
      <c r="L5143" t="s">
        <v>27250</v>
      </c>
      <c r="M5143" t="s">
        <v>27251</v>
      </c>
      <c r="N5143" t="s">
        <v>27252</v>
      </c>
      <c r="P5143" t="s">
        <v>27341</v>
      </c>
      <c r="Q5143" s="1">
        <v>44846</v>
      </c>
      <c r="R5143" t="s">
        <v>27253</v>
      </c>
      <c r="S5143" t="s">
        <v>27254</v>
      </c>
      <c r="T5143" t="s">
        <v>27265</v>
      </c>
    </row>
    <row r="5144" spans="1:20" x14ac:dyDescent="0.3">
      <c r="A5144" t="str">
        <f>"0611862343050"</f>
        <v>0611862343050</v>
      </c>
      <c r="B5144" t="str">
        <f>"CR4843"</f>
        <v>CR4843</v>
      </c>
      <c r="C5144" t="s">
        <v>37190</v>
      </c>
      <c r="D5144" t="s">
        <v>27271</v>
      </c>
      <c r="E5144" t="str">
        <f t="shared" si="80"/>
        <v>001390</v>
      </c>
      <c r="F5144" t="s">
        <v>27246</v>
      </c>
      <c r="G5144" t="s">
        <v>27247</v>
      </c>
      <c r="H5144" t="s">
        <v>27248</v>
      </c>
      <c r="I5144" t="s">
        <v>37191</v>
      </c>
      <c r="J5144" t="s">
        <v>10261</v>
      </c>
      <c r="L5144" t="s">
        <v>27250</v>
      </c>
      <c r="M5144" t="s">
        <v>27251</v>
      </c>
      <c r="N5144" t="s">
        <v>27252</v>
      </c>
      <c r="P5144" t="s">
        <v>27341</v>
      </c>
      <c r="Q5144" s="1">
        <v>44846</v>
      </c>
      <c r="R5144" t="s">
        <v>27253</v>
      </c>
      <c r="S5144" t="s">
        <v>27254</v>
      </c>
      <c r="T5144" t="s">
        <v>27265</v>
      </c>
    </row>
    <row r="5145" spans="1:20" x14ac:dyDescent="0.3">
      <c r="A5145" t="str">
        <f>"0611862344050"</f>
        <v>0611862344050</v>
      </c>
      <c r="B5145" t="str">
        <f>"CR2288"</f>
        <v>CR2288</v>
      </c>
      <c r="C5145" t="s">
        <v>37192</v>
      </c>
      <c r="D5145" t="s">
        <v>27271</v>
      </c>
      <c r="E5145" t="str">
        <f t="shared" si="80"/>
        <v>001390</v>
      </c>
      <c r="F5145" t="s">
        <v>27246</v>
      </c>
      <c r="G5145" t="s">
        <v>27247</v>
      </c>
      <c r="H5145" t="s">
        <v>27248</v>
      </c>
      <c r="I5145" t="s">
        <v>37193</v>
      </c>
      <c r="J5145" t="s">
        <v>10263</v>
      </c>
      <c r="L5145" t="s">
        <v>27250</v>
      </c>
      <c r="M5145" t="s">
        <v>27251</v>
      </c>
      <c r="N5145" t="s">
        <v>27252</v>
      </c>
      <c r="P5145" t="s">
        <v>27341</v>
      </c>
      <c r="Q5145" s="1">
        <v>44846</v>
      </c>
      <c r="R5145" t="s">
        <v>27253</v>
      </c>
      <c r="S5145" t="s">
        <v>27254</v>
      </c>
      <c r="T5145" t="s">
        <v>27265</v>
      </c>
    </row>
    <row r="5146" spans="1:20" x14ac:dyDescent="0.3">
      <c r="A5146" t="str">
        <f>"0611862345050"</f>
        <v>0611862345050</v>
      </c>
      <c r="B5146" t="str">
        <f>"CR2290"</f>
        <v>CR2290</v>
      </c>
      <c r="C5146" t="s">
        <v>37194</v>
      </c>
      <c r="D5146" t="s">
        <v>27271</v>
      </c>
      <c r="E5146" t="str">
        <f t="shared" si="80"/>
        <v>001390</v>
      </c>
      <c r="F5146" t="s">
        <v>27246</v>
      </c>
      <c r="G5146" t="s">
        <v>27247</v>
      </c>
      <c r="H5146" t="s">
        <v>27248</v>
      </c>
      <c r="I5146" t="s">
        <v>37195</v>
      </c>
      <c r="J5146" t="s">
        <v>10265</v>
      </c>
      <c r="L5146" t="s">
        <v>27250</v>
      </c>
      <c r="M5146" t="s">
        <v>27251</v>
      </c>
      <c r="N5146" t="s">
        <v>27252</v>
      </c>
      <c r="P5146" t="s">
        <v>27341</v>
      </c>
      <c r="Q5146" s="1">
        <v>44846</v>
      </c>
      <c r="R5146" t="s">
        <v>27253</v>
      </c>
      <c r="S5146" t="s">
        <v>27254</v>
      </c>
      <c r="T5146" t="s">
        <v>27265</v>
      </c>
    </row>
    <row r="5147" spans="1:20" x14ac:dyDescent="0.3">
      <c r="A5147" t="str">
        <f>"0611862346050"</f>
        <v>0611862346050</v>
      </c>
      <c r="B5147" t="str">
        <f>"CR2291"</f>
        <v>CR2291</v>
      </c>
      <c r="C5147" t="s">
        <v>37196</v>
      </c>
      <c r="D5147" t="s">
        <v>27271</v>
      </c>
      <c r="E5147" t="str">
        <f t="shared" si="80"/>
        <v>001390</v>
      </c>
      <c r="F5147" t="s">
        <v>27246</v>
      </c>
      <c r="G5147" t="s">
        <v>27247</v>
      </c>
      <c r="H5147" t="s">
        <v>27248</v>
      </c>
      <c r="I5147" t="s">
        <v>37197</v>
      </c>
      <c r="J5147" t="s">
        <v>10267</v>
      </c>
      <c r="L5147" t="s">
        <v>27250</v>
      </c>
      <c r="M5147" t="s">
        <v>27251</v>
      </c>
      <c r="N5147" t="s">
        <v>27252</v>
      </c>
      <c r="P5147" t="s">
        <v>27341</v>
      </c>
      <c r="Q5147" s="1">
        <v>44846</v>
      </c>
      <c r="R5147" t="s">
        <v>27253</v>
      </c>
      <c r="S5147" t="s">
        <v>27254</v>
      </c>
      <c r="T5147" t="s">
        <v>27265</v>
      </c>
    </row>
    <row r="5148" spans="1:20" x14ac:dyDescent="0.3">
      <c r="A5148" t="str">
        <f>"0611862347050"</f>
        <v>0611862347050</v>
      </c>
      <c r="B5148" t="str">
        <f>"CR2293"</f>
        <v>CR2293</v>
      </c>
      <c r="C5148" t="s">
        <v>37198</v>
      </c>
      <c r="D5148" t="s">
        <v>27271</v>
      </c>
      <c r="E5148" t="str">
        <f t="shared" si="80"/>
        <v>001390</v>
      </c>
      <c r="F5148" t="s">
        <v>27246</v>
      </c>
      <c r="G5148" t="s">
        <v>27247</v>
      </c>
      <c r="H5148" t="s">
        <v>27248</v>
      </c>
      <c r="I5148" t="s">
        <v>37199</v>
      </c>
      <c r="J5148" t="s">
        <v>10269</v>
      </c>
      <c r="L5148" t="s">
        <v>27250</v>
      </c>
      <c r="M5148" t="s">
        <v>27251</v>
      </c>
      <c r="N5148" t="s">
        <v>27252</v>
      </c>
      <c r="P5148" t="s">
        <v>27341</v>
      </c>
      <c r="Q5148" s="1">
        <v>44846</v>
      </c>
      <c r="R5148" t="s">
        <v>27253</v>
      </c>
      <c r="S5148" t="s">
        <v>27254</v>
      </c>
      <c r="T5148" t="s">
        <v>27265</v>
      </c>
    </row>
    <row r="5149" spans="1:20" x14ac:dyDescent="0.3">
      <c r="A5149" t="str">
        <f>"0611862348050"</f>
        <v>0611862348050</v>
      </c>
      <c r="B5149" t="str">
        <f>"CR2294"</f>
        <v>CR2294</v>
      </c>
      <c r="C5149" t="s">
        <v>37200</v>
      </c>
      <c r="D5149" t="s">
        <v>27271</v>
      </c>
      <c r="E5149" t="str">
        <f t="shared" si="80"/>
        <v>001390</v>
      </c>
      <c r="F5149" t="s">
        <v>27246</v>
      </c>
      <c r="G5149" t="s">
        <v>27247</v>
      </c>
      <c r="H5149" t="s">
        <v>27248</v>
      </c>
      <c r="I5149" t="s">
        <v>37201</v>
      </c>
      <c r="J5149" t="s">
        <v>10271</v>
      </c>
      <c r="L5149" t="s">
        <v>27250</v>
      </c>
      <c r="M5149" t="s">
        <v>27251</v>
      </c>
      <c r="N5149" t="s">
        <v>27252</v>
      </c>
      <c r="P5149" t="s">
        <v>27341</v>
      </c>
      <c r="Q5149" s="1">
        <v>44846</v>
      </c>
      <c r="R5149" t="s">
        <v>27253</v>
      </c>
      <c r="S5149" t="s">
        <v>27254</v>
      </c>
      <c r="T5149" t="s">
        <v>27265</v>
      </c>
    </row>
    <row r="5150" spans="1:20" x14ac:dyDescent="0.3">
      <c r="A5150" t="str">
        <f>"0611862349050"</f>
        <v>0611862349050</v>
      </c>
      <c r="B5150" t="str">
        <f>"CR2295"</f>
        <v>CR2295</v>
      </c>
      <c r="C5150" t="s">
        <v>37202</v>
      </c>
      <c r="D5150" t="s">
        <v>27271</v>
      </c>
      <c r="E5150" t="str">
        <f t="shared" si="80"/>
        <v>001390</v>
      </c>
      <c r="F5150" t="s">
        <v>27246</v>
      </c>
      <c r="G5150" t="s">
        <v>27247</v>
      </c>
      <c r="H5150" t="s">
        <v>27248</v>
      </c>
      <c r="I5150" t="s">
        <v>37203</v>
      </c>
      <c r="J5150" t="s">
        <v>10273</v>
      </c>
      <c r="L5150" t="s">
        <v>27250</v>
      </c>
      <c r="M5150" t="s">
        <v>27251</v>
      </c>
      <c r="N5150" t="s">
        <v>27252</v>
      </c>
      <c r="P5150" t="s">
        <v>27341</v>
      </c>
      <c r="Q5150" s="1">
        <v>44846</v>
      </c>
      <c r="R5150" t="s">
        <v>27253</v>
      </c>
      <c r="S5150" t="s">
        <v>27254</v>
      </c>
      <c r="T5150" t="s">
        <v>27265</v>
      </c>
    </row>
    <row r="5151" spans="1:20" x14ac:dyDescent="0.3">
      <c r="A5151" t="str">
        <f>"0611837255100"</f>
        <v>0611837255100</v>
      </c>
      <c r="B5151" t="str">
        <f>"LK6832"</f>
        <v>LK6832</v>
      </c>
      <c r="C5151" t="s">
        <v>37204</v>
      </c>
      <c r="D5151" t="s">
        <v>27245</v>
      </c>
      <c r="E5151" t="str">
        <f t="shared" si="80"/>
        <v>001390</v>
      </c>
      <c r="F5151" t="s">
        <v>27246</v>
      </c>
      <c r="G5151" t="s">
        <v>27247</v>
      </c>
      <c r="H5151" t="s">
        <v>27248</v>
      </c>
      <c r="I5151" t="s">
        <v>37205</v>
      </c>
      <c r="J5151" t="s">
        <v>10275</v>
      </c>
      <c r="L5151" t="s">
        <v>27250</v>
      </c>
      <c r="M5151" t="s">
        <v>27251</v>
      </c>
      <c r="N5151" t="s">
        <v>27252</v>
      </c>
      <c r="Q5151" s="1">
        <v>44538</v>
      </c>
      <c r="R5151" t="s">
        <v>27253</v>
      </c>
      <c r="S5151" t="s">
        <v>27254</v>
      </c>
      <c r="T5151" t="s">
        <v>27255</v>
      </c>
    </row>
    <row r="5152" spans="1:20" x14ac:dyDescent="0.3">
      <c r="A5152" t="str">
        <f>"0611837256100"</f>
        <v>0611837256100</v>
      </c>
      <c r="B5152" t="str">
        <f>"LK5248"</f>
        <v>LK5248</v>
      </c>
      <c r="C5152" t="s">
        <v>37206</v>
      </c>
      <c r="D5152" t="s">
        <v>27245</v>
      </c>
      <c r="E5152" t="str">
        <f t="shared" si="80"/>
        <v>001390</v>
      </c>
      <c r="F5152" t="s">
        <v>27246</v>
      </c>
      <c r="G5152" t="s">
        <v>27247</v>
      </c>
      <c r="H5152" t="s">
        <v>27248</v>
      </c>
      <c r="I5152" t="s">
        <v>37207</v>
      </c>
      <c r="J5152" t="s">
        <v>10277</v>
      </c>
      <c r="L5152" t="s">
        <v>27250</v>
      </c>
      <c r="M5152" t="s">
        <v>27251</v>
      </c>
      <c r="N5152" t="s">
        <v>27252</v>
      </c>
      <c r="Q5152" s="1">
        <v>44538</v>
      </c>
      <c r="R5152" t="s">
        <v>27253</v>
      </c>
      <c r="S5152" t="s">
        <v>27254</v>
      </c>
      <c r="T5152" t="s">
        <v>27255</v>
      </c>
    </row>
    <row r="5153" spans="1:20" x14ac:dyDescent="0.3">
      <c r="A5153" t="str">
        <f>"0611837257100"</f>
        <v>0611837257100</v>
      </c>
      <c r="B5153" t="str">
        <f>"LB4225"</f>
        <v>LB4225</v>
      </c>
      <c r="C5153" t="s">
        <v>37208</v>
      </c>
      <c r="D5153" t="s">
        <v>27245</v>
      </c>
      <c r="E5153" t="str">
        <f t="shared" si="80"/>
        <v>001390</v>
      </c>
      <c r="F5153" t="s">
        <v>27246</v>
      </c>
      <c r="G5153" t="s">
        <v>27247</v>
      </c>
      <c r="H5153" t="s">
        <v>27248</v>
      </c>
      <c r="I5153" t="s">
        <v>37209</v>
      </c>
      <c r="J5153" t="s">
        <v>10279</v>
      </c>
      <c r="L5153" t="s">
        <v>27250</v>
      </c>
      <c r="M5153" t="s">
        <v>27251</v>
      </c>
      <c r="N5153" t="s">
        <v>27252</v>
      </c>
      <c r="Q5153" s="1">
        <v>44538</v>
      </c>
      <c r="R5153" t="s">
        <v>27253</v>
      </c>
      <c r="S5153" t="s">
        <v>27254</v>
      </c>
      <c r="T5153" t="s">
        <v>27255</v>
      </c>
    </row>
    <row r="5154" spans="1:20" x14ac:dyDescent="0.3">
      <c r="A5154" t="str">
        <f>"0611837279100"</f>
        <v>0611837279100</v>
      </c>
      <c r="B5154" t="str">
        <f>"LS0033"</f>
        <v>LS0033</v>
      </c>
      <c r="C5154" t="s">
        <v>37210</v>
      </c>
      <c r="D5154" t="s">
        <v>27245</v>
      </c>
      <c r="E5154" t="str">
        <f t="shared" si="80"/>
        <v>001390</v>
      </c>
      <c r="F5154" t="s">
        <v>27246</v>
      </c>
      <c r="G5154" t="s">
        <v>27247</v>
      </c>
      <c r="H5154" t="s">
        <v>27248</v>
      </c>
      <c r="I5154" t="s">
        <v>37211</v>
      </c>
      <c r="J5154" t="s">
        <v>10281</v>
      </c>
      <c r="L5154" t="s">
        <v>27250</v>
      </c>
      <c r="M5154" t="s">
        <v>27251</v>
      </c>
      <c r="N5154" t="s">
        <v>27252</v>
      </c>
      <c r="Q5154" s="1">
        <v>44538</v>
      </c>
      <c r="R5154" t="s">
        <v>27253</v>
      </c>
      <c r="S5154" t="s">
        <v>27254</v>
      </c>
      <c r="T5154" t="s">
        <v>27255</v>
      </c>
    </row>
    <row r="5155" spans="1:20" x14ac:dyDescent="0.3">
      <c r="A5155" t="str">
        <f>"0611862350050"</f>
        <v>0611862350050</v>
      </c>
      <c r="B5155" t="str">
        <f>"CR2296"</f>
        <v>CR2296</v>
      </c>
      <c r="C5155" t="s">
        <v>37212</v>
      </c>
      <c r="D5155" t="s">
        <v>27271</v>
      </c>
      <c r="E5155" t="str">
        <f t="shared" si="80"/>
        <v>001390</v>
      </c>
      <c r="F5155" t="s">
        <v>27246</v>
      </c>
      <c r="G5155" t="s">
        <v>27247</v>
      </c>
      <c r="H5155" t="s">
        <v>27248</v>
      </c>
      <c r="I5155" t="s">
        <v>37213</v>
      </c>
      <c r="J5155" t="s">
        <v>10283</v>
      </c>
      <c r="L5155" t="s">
        <v>27250</v>
      </c>
      <c r="M5155" t="s">
        <v>27251</v>
      </c>
      <c r="N5155" t="s">
        <v>27252</v>
      </c>
      <c r="P5155" t="s">
        <v>27341</v>
      </c>
      <c r="Q5155" s="1">
        <v>44846</v>
      </c>
      <c r="R5155" t="s">
        <v>27253</v>
      </c>
      <c r="S5155" t="s">
        <v>27254</v>
      </c>
      <c r="T5155" t="s">
        <v>27265</v>
      </c>
    </row>
    <row r="5156" spans="1:20" x14ac:dyDescent="0.3">
      <c r="A5156" t="str">
        <f>"0611862351050"</f>
        <v>0611862351050</v>
      </c>
      <c r="B5156" t="str">
        <f>"CR2298"</f>
        <v>CR2298</v>
      </c>
      <c r="C5156" t="s">
        <v>37214</v>
      </c>
      <c r="D5156" t="s">
        <v>27271</v>
      </c>
      <c r="E5156" t="str">
        <f t="shared" si="80"/>
        <v>001390</v>
      </c>
      <c r="F5156" t="s">
        <v>27246</v>
      </c>
      <c r="G5156" t="s">
        <v>27247</v>
      </c>
      <c r="H5156" t="s">
        <v>27248</v>
      </c>
      <c r="I5156" t="s">
        <v>37215</v>
      </c>
      <c r="J5156" t="s">
        <v>10285</v>
      </c>
      <c r="L5156" t="s">
        <v>27250</v>
      </c>
      <c r="M5156" t="s">
        <v>27251</v>
      </c>
      <c r="N5156" t="s">
        <v>27252</v>
      </c>
      <c r="P5156" t="s">
        <v>27341</v>
      </c>
      <c r="Q5156" s="1">
        <v>44846</v>
      </c>
      <c r="R5156" t="s">
        <v>27253</v>
      </c>
      <c r="S5156" t="s">
        <v>27254</v>
      </c>
      <c r="T5156" t="s">
        <v>27265</v>
      </c>
    </row>
    <row r="5157" spans="1:20" x14ac:dyDescent="0.3">
      <c r="A5157" t="str">
        <f>"0611837260100"</f>
        <v>0611837260100</v>
      </c>
      <c r="B5157" t="str">
        <f>"LB2922"</f>
        <v>LB2922</v>
      </c>
      <c r="C5157" t="s">
        <v>37216</v>
      </c>
      <c r="D5157" t="s">
        <v>28138</v>
      </c>
      <c r="E5157" t="str">
        <f t="shared" si="80"/>
        <v>001390</v>
      </c>
      <c r="F5157" t="s">
        <v>27246</v>
      </c>
      <c r="G5157" t="s">
        <v>27247</v>
      </c>
      <c r="H5157" t="s">
        <v>27248</v>
      </c>
      <c r="I5157" t="s">
        <v>37217</v>
      </c>
      <c r="J5157" t="s">
        <v>10287</v>
      </c>
      <c r="L5157" t="s">
        <v>27250</v>
      </c>
      <c r="M5157" t="s">
        <v>27251</v>
      </c>
      <c r="N5157" t="s">
        <v>27252</v>
      </c>
      <c r="P5157" t="s">
        <v>27925</v>
      </c>
      <c r="Q5157" s="1">
        <v>44538</v>
      </c>
      <c r="R5157" t="s">
        <v>27253</v>
      </c>
      <c r="S5157" t="s">
        <v>27254</v>
      </c>
      <c r="T5157" t="s">
        <v>27255</v>
      </c>
    </row>
    <row r="5158" spans="1:20" x14ac:dyDescent="0.3">
      <c r="A5158" t="str">
        <f>"0611837262100"</f>
        <v>0611837262100</v>
      </c>
      <c r="B5158" t="str">
        <f>"LK4816"</f>
        <v>LK4816</v>
      </c>
      <c r="C5158" t="s">
        <v>37218</v>
      </c>
      <c r="D5158" t="s">
        <v>28138</v>
      </c>
      <c r="E5158" t="str">
        <f t="shared" si="80"/>
        <v>001390</v>
      </c>
      <c r="F5158" t="s">
        <v>27246</v>
      </c>
      <c r="G5158" t="s">
        <v>27247</v>
      </c>
      <c r="H5158" t="s">
        <v>27248</v>
      </c>
      <c r="I5158" t="s">
        <v>37219</v>
      </c>
      <c r="J5158" t="s">
        <v>10289</v>
      </c>
      <c r="L5158" t="s">
        <v>27250</v>
      </c>
      <c r="M5158" t="s">
        <v>27251</v>
      </c>
      <c r="N5158" t="s">
        <v>27252</v>
      </c>
      <c r="P5158" t="s">
        <v>27925</v>
      </c>
      <c r="Q5158" s="1">
        <v>44538</v>
      </c>
      <c r="R5158" t="s">
        <v>27253</v>
      </c>
      <c r="S5158" t="s">
        <v>27254</v>
      </c>
      <c r="T5158" t="s">
        <v>27255</v>
      </c>
    </row>
    <row r="5159" spans="1:20" x14ac:dyDescent="0.3">
      <c r="A5159" t="str">
        <f>"0611837263100"</f>
        <v>0611837263100</v>
      </c>
      <c r="B5159" t="str">
        <f>"LK4817"</f>
        <v>LK4817</v>
      </c>
      <c r="C5159" t="s">
        <v>37220</v>
      </c>
      <c r="D5159" t="s">
        <v>28138</v>
      </c>
      <c r="E5159" t="str">
        <f t="shared" si="80"/>
        <v>001390</v>
      </c>
      <c r="F5159" t="s">
        <v>27246</v>
      </c>
      <c r="G5159" t="s">
        <v>27247</v>
      </c>
      <c r="H5159" t="s">
        <v>27248</v>
      </c>
      <c r="I5159" t="s">
        <v>37221</v>
      </c>
      <c r="J5159" t="s">
        <v>10291</v>
      </c>
      <c r="L5159" t="s">
        <v>27250</v>
      </c>
      <c r="M5159" t="s">
        <v>27251</v>
      </c>
      <c r="N5159" t="s">
        <v>27252</v>
      </c>
      <c r="P5159" t="s">
        <v>27925</v>
      </c>
      <c r="Q5159" s="1">
        <v>44538</v>
      </c>
      <c r="R5159" t="s">
        <v>27253</v>
      </c>
      <c r="S5159" t="s">
        <v>27254</v>
      </c>
      <c r="T5159" t="s">
        <v>27255</v>
      </c>
    </row>
    <row r="5160" spans="1:20" x14ac:dyDescent="0.3">
      <c r="A5160" t="str">
        <f>"0611837264100"</f>
        <v>0611837264100</v>
      </c>
      <c r="B5160" t="str">
        <f>"LK4818"</f>
        <v>LK4818</v>
      </c>
      <c r="C5160" t="s">
        <v>37222</v>
      </c>
      <c r="D5160" t="s">
        <v>28138</v>
      </c>
      <c r="E5160" t="str">
        <f t="shared" si="80"/>
        <v>001390</v>
      </c>
      <c r="F5160" t="s">
        <v>27246</v>
      </c>
      <c r="G5160" t="s">
        <v>27247</v>
      </c>
      <c r="H5160" t="s">
        <v>27248</v>
      </c>
      <c r="I5160" t="s">
        <v>37223</v>
      </c>
      <c r="J5160" t="s">
        <v>10293</v>
      </c>
      <c r="L5160" t="s">
        <v>27250</v>
      </c>
      <c r="M5160" t="s">
        <v>27251</v>
      </c>
      <c r="N5160" t="s">
        <v>27252</v>
      </c>
      <c r="P5160" t="s">
        <v>27925</v>
      </c>
      <c r="Q5160" s="1">
        <v>44538</v>
      </c>
      <c r="R5160" t="s">
        <v>27253</v>
      </c>
      <c r="S5160" t="s">
        <v>27254</v>
      </c>
      <c r="T5160" t="s">
        <v>27255</v>
      </c>
    </row>
    <row r="5161" spans="1:20" x14ac:dyDescent="0.3">
      <c r="A5161" t="str">
        <f>"0611884234100"</f>
        <v>0611884234100</v>
      </c>
      <c r="B5161" t="str">
        <f>"LK7164"</f>
        <v>LK7164</v>
      </c>
      <c r="C5161" t="s">
        <v>37224</v>
      </c>
      <c r="D5161" t="s">
        <v>28138</v>
      </c>
      <c r="E5161" t="str">
        <f t="shared" si="80"/>
        <v>001390</v>
      </c>
      <c r="F5161" t="s">
        <v>27246</v>
      </c>
      <c r="G5161" t="s">
        <v>27247</v>
      </c>
      <c r="H5161" t="s">
        <v>27248</v>
      </c>
      <c r="I5161" t="s">
        <v>37225</v>
      </c>
      <c r="J5161" t="s">
        <v>10295</v>
      </c>
      <c r="L5161" t="s">
        <v>27430</v>
      </c>
      <c r="M5161" t="s">
        <v>27251</v>
      </c>
      <c r="N5161" t="s">
        <v>27252</v>
      </c>
      <c r="P5161" t="s">
        <v>27925</v>
      </c>
      <c r="Q5161" s="1">
        <v>45250</v>
      </c>
      <c r="R5161" t="s">
        <v>27253</v>
      </c>
      <c r="S5161" t="s">
        <v>27254</v>
      </c>
      <c r="T5161" t="s">
        <v>27255</v>
      </c>
    </row>
    <row r="5162" spans="1:20" x14ac:dyDescent="0.3">
      <c r="A5162" t="str">
        <f>"0611837265100"</f>
        <v>0611837265100</v>
      </c>
      <c r="B5162" t="str">
        <f>"LK6237"</f>
        <v>LK6237</v>
      </c>
      <c r="C5162" t="s">
        <v>37226</v>
      </c>
      <c r="D5162" t="s">
        <v>28138</v>
      </c>
      <c r="E5162" t="str">
        <f t="shared" si="80"/>
        <v>001390</v>
      </c>
      <c r="F5162" t="s">
        <v>27246</v>
      </c>
      <c r="G5162" t="s">
        <v>27247</v>
      </c>
      <c r="H5162" t="s">
        <v>27248</v>
      </c>
      <c r="I5162" t="s">
        <v>37227</v>
      </c>
      <c r="J5162" t="s">
        <v>10297</v>
      </c>
      <c r="L5162" t="s">
        <v>27250</v>
      </c>
      <c r="M5162" t="s">
        <v>27251</v>
      </c>
      <c r="N5162" t="s">
        <v>27252</v>
      </c>
      <c r="P5162" t="s">
        <v>27925</v>
      </c>
      <c r="Q5162" s="1">
        <v>44538</v>
      </c>
      <c r="R5162" t="s">
        <v>27253</v>
      </c>
      <c r="S5162" t="s">
        <v>27254</v>
      </c>
      <c r="T5162" t="s">
        <v>27255</v>
      </c>
    </row>
    <row r="5163" spans="1:20" x14ac:dyDescent="0.3">
      <c r="A5163" t="str">
        <f>"0611837267100"</f>
        <v>0611837267100</v>
      </c>
      <c r="B5163" t="str">
        <f>"LK4819"</f>
        <v>LK4819</v>
      </c>
      <c r="C5163" t="s">
        <v>37228</v>
      </c>
      <c r="D5163" t="s">
        <v>28138</v>
      </c>
      <c r="E5163" t="str">
        <f t="shared" si="80"/>
        <v>001390</v>
      </c>
      <c r="F5163" t="s">
        <v>27246</v>
      </c>
      <c r="G5163" t="s">
        <v>27247</v>
      </c>
      <c r="H5163" t="s">
        <v>27248</v>
      </c>
      <c r="I5163" t="s">
        <v>37229</v>
      </c>
      <c r="J5163" t="s">
        <v>10299</v>
      </c>
      <c r="L5163" t="s">
        <v>27250</v>
      </c>
      <c r="M5163" t="s">
        <v>27251</v>
      </c>
      <c r="N5163" t="s">
        <v>27252</v>
      </c>
      <c r="P5163" t="s">
        <v>27925</v>
      </c>
      <c r="Q5163" s="1">
        <v>44538</v>
      </c>
      <c r="R5163" t="s">
        <v>27253</v>
      </c>
      <c r="S5163" t="s">
        <v>27254</v>
      </c>
      <c r="T5163" t="s">
        <v>27255</v>
      </c>
    </row>
    <row r="5164" spans="1:20" x14ac:dyDescent="0.3">
      <c r="A5164" t="str">
        <f>"0611837266100"</f>
        <v>0611837266100</v>
      </c>
      <c r="B5164" t="str">
        <f>"LK5563"</f>
        <v>LK5563</v>
      </c>
      <c r="C5164" t="s">
        <v>37230</v>
      </c>
      <c r="D5164" t="s">
        <v>28138</v>
      </c>
      <c r="E5164" t="str">
        <f t="shared" si="80"/>
        <v>001390</v>
      </c>
      <c r="F5164" t="s">
        <v>27246</v>
      </c>
      <c r="G5164" t="s">
        <v>27247</v>
      </c>
      <c r="H5164" t="s">
        <v>27248</v>
      </c>
      <c r="I5164" t="s">
        <v>37231</v>
      </c>
      <c r="J5164" t="s">
        <v>10301</v>
      </c>
      <c r="L5164" t="s">
        <v>27250</v>
      </c>
      <c r="M5164" t="s">
        <v>27251</v>
      </c>
      <c r="N5164" t="s">
        <v>27252</v>
      </c>
      <c r="P5164" t="s">
        <v>27925</v>
      </c>
      <c r="Q5164" s="1">
        <v>44538</v>
      </c>
      <c r="R5164" t="s">
        <v>27253</v>
      </c>
      <c r="S5164" t="s">
        <v>27254</v>
      </c>
      <c r="T5164" t="s">
        <v>27255</v>
      </c>
    </row>
    <row r="5165" spans="1:20" x14ac:dyDescent="0.3">
      <c r="A5165" t="str">
        <f>"0611837268100"</f>
        <v>0611837268100</v>
      </c>
      <c r="B5165" t="str">
        <f>"LK5564"</f>
        <v>LK5564</v>
      </c>
      <c r="C5165" t="s">
        <v>37232</v>
      </c>
      <c r="D5165" t="s">
        <v>28138</v>
      </c>
      <c r="E5165" t="str">
        <f t="shared" si="80"/>
        <v>001390</v>
      </c>
      <c r="F5165" t="s">
        <v>27246</v>
      </c>
      <c r="G5165" t="s">
        <v>27247</v>
      </c>
      <c r="H5165" t="s">
        <v>27248</v>
      </c>
      <c r="I5165" t="s">
        <v>37233</v>
      </c>
      <c r="J5165" t="s">
        <v>10303</v>
      </c>
      <c r="L5165" t="s">
        <v>27250</v>
      </c>
      <c r="M5165" t="s">
        <v>27251</v>
      </c>
      <c r="N5165" t="s">
        <v>27252</v>
      </c>
      <c r="P5165" t="s">
        <v>27925</v>
      </c>
      <c r="Q5165" s="1">
        <v>44538</v>
      </c>
      <c r="R5165" t="s">
        <v>27253</v>
      </c>
      <c r="S5165" t="s">
        <v>27254</v>
      </c>
      <c r="T5165" t="s">
        <v>27255</v>
      </c>
    </row>
    <row r="5166" spans="1:20" x14ac:dyDescent="0.3">
      <c r="A5166" t="str">
        <f>"0611837269100"</f>
        <v>0611837269100</v>
      </c>
      <c r="B5166" t="str">
        <f>"LK6051"</f>
        <v>LK6051</v>
      </c>
      <c r="C5166" t="s">
        <v>37234</v>
      </c>
      <c r="D5166" t="s">
        <v>28138</v>
      </c>
      <c r="E5166" t="str">
        <f t="shared" si="80"/>
        <v>001390</v>
      </c>
      <c r="F5166" t="s">
        <v>27246</v>
      </c>
      <c r="G5166" t="s">
        <v>27247</v>
      </c>
      <c r="H5166" t="s">
        <v>27248</v>
      </c>
      <c r="I5166" t="s">
        <v>37235</v>
      </c>
      <c r="J5166" t="s">
        <v>10305</v>
      </c>
      <c r="L5166" t="s">
        <v>27250</v>
      </c>
      <c r="M5166" t="s">
        <v>27251</v>
      </c>
      <c r="N5166" t="s">
        <v>27252</v>
      </c>
      <c r="P5166" t="s">
        <v>27925</v>
      </c>
      <c r="Q5166" s="1">
        <v>44538</v>
      </c>
      <c r="R5166" t="s">
        <v>27253</v>
      </c>
      <c r="S5166" t="s">
        <v>27254</v>
      </c>
      <c r="T5166" t="s">
        <v>27255</v>
      </c>
    </row>
    <row r="5167" spans="1:20" x14ac:dyDescent="0.3">
      <c r="A5167" t="str">
        <f>"0611837270100"</f>
        <v>0611837270100</v>
      </c>
      <c r="B5167" t="str">
        <f>"LK5463"</f>
        <v>LK5463</v>
      </c>
      <c r="C5167" t="s">
        <v>37236</v>
      </c>
      <c r="D5167" t="s">
        <v>28138</v>
      </c>
      <c r="E5167" t="str">
        <f t="shared" si="80"/>
        <v>001390</v>
      </c>
      <c r="F5167" t="s">
        <v>27246</v>
      </c>
      <c r="G5167" t="s">
        <v>27247</v>
      </c>
      <c r="H5167" t="s">
        <v>27248</v>
      </c>
      <c r="I5167" t="s">
        <v>37237</v>
      </c>
      <c r="J5167" t="s">
        <v>10307</v>
      </c>
      <c r="L5167" t="s">
        <v>27250</v>
      </c>
      <c r="M5167" t="s">
        <v>27251</v>
      </c>
      <c r="N5167" t="s">
        <v>27252</v>
      </c>
      <c r="P5167" t="s">
        <v>27925</v>
      </c>
      <c r="Q5167" s="1">
        <v>44538</v>
      </c>
      <c r="R5167" t="s">
        <v>27253</v>
      </c>
      <c r="S5167" t="s">
        <v>27254</v>
      </c>
      <c r="T5167" t="s">
        <v>27255</v>
      </c>
    </row>
    <row r="5168" spans="1:20" x14ac:dyDescent="0.3">
      <c r="A5168" t="str">
        <f>"0611837271100"</f>
        <v>0611837271100</v>
      </c>
      <c r="B5168" t="str">
        <f>"LK5464"</f>
        <v>LK5464</v>
      </c>
      <c r="C5168" t="s">
        <v>37238</v>
      </c>
      <c r="D5168" t="s">
        <v>28138</v>
      </c>
      <c r="E5168" t="str">
        <f t="shared" si="80"/>
        <v>001390</v>
      </c>
      <c r="F5168" t="s">
        <v>27246</v>
      </c>
      <c r="G5168" t="s">
        <v>27247</v>
      </c>
      <c r="H5168" t="s">
        <v>27248</v>
      </c>
      <c r="I5168" t="s">
        <v>37239</v>
      </c>
      <c r="J5168" t="s">
        <v>10309</v>
      </c>
      <c r="L5168" t="s">
        <v>27250</v>
      </c>
      <c r="M5168" t="s">
        <v>27251</v>
      </c>
      <c r="N5168" t="s">
        <v>27252</v>
      </c>
      <c r="P5168" t="s">
        <v>27925</v>
      </c>
      <c r="Q5168" s="1">
        <v>44538</v>
      </c>
      <c r="R5168" t="s">
        <v>27253</v>
      </c>
      <c r="S5168" t="s">
        <v>27254</v>
      </c>
      <c r="T5168" t="s">
        <v>27255</v>
      </c>
    </row>
    <row r="5169" spans="1:20" x14ac:dyDescent="0.3">
      <c r="A5169" t="str">
        <f>"0611837272100"</f>
        <v>0611837272100</v>
      </c>
      <c r="B5169" t="str">
        <f>"LK4821"</f>
        <v>LK4821</v>
      </c>
      <c r="C5169" t="s">
        <v>37240</v>
      </c>
      <c r="D5169" t="s">
        <v>28138</v>
      </c>
      <c r="E5169" t="str">
        <f t="shared" si="80"/>
        <v>001390</v>
      </c>
      <c r="F5169" t="s">
        <v>27246</v>
      </c>
      <c r="G5169" t="s">
        <v>27247</v>
      </c>
      <c r="H5169" t="s">
        <v>27248</v>
      </c>
      <c r="I5169" t="s">
        <v>37241</v>
      </c>
      <c r="J5169" t="s">
        <v>10311</v>
      </c>
      <c r="L5169" t="s">
        <v>27250</v>
      </c>
      <c r="M5169" t="s">
        <v>27251</v>
      </c>
      <c r="N5169" t="s">
        <v>27252</v>
      </c>
      <c r="P5169" t="s">
        <v>27925</v>
      </c>
      <c r="Q5169" s="1">
        <v>44538</v>
      </c>
      <c r="R5169" t="s">
        <v>27253</v>
      </c>
      <c r="S5169" t="s">
        <v>27254</v>
      </c>
      <c r="T5169" t="s">
        <v>27255</v>
      </c>
    </row>
    <row r="5170" spans="1:20" x14ac:dyDescent="0.3">
      <c r="A5170" t="str">
        <f>"0611837261100"</f>
        <v>0611837261100</v>
      </c>
      <c r="B5170" t="str">
        <f>"LK4822"</f>
        <v>LK4822</v>
      </c>
      <c r="C5170" t="s">
        <v>37242</v>
      </c>
      <c r="D5170" t="s">
        <v>28138</v>
      </c>
      <c r="E5170" t="str">
        <f t="shared" si="80"/>
        <v>001390</v>
      </c>
      <c r="F5170" t="s">
        <v>27246</v>
      </c>
      <c r="G5170" t="s">
        <v>27247</v>
      </c>
      <c r="H5170" t="s">
        <v>27248</v>
      </c>
      <c r="I5170" t="s">
        <v>37243</v>
      </c>
      <c r="J5170" t="s">
        <v>10313</v>
      </c>
      <c r="L5170" t="s">
        <v>27250</v>
      </c>
      <c r="M5170" t="s">
        <v>27251</v>
      </c>
      <c r="N5170" t="s">
        <v>27252</v>
      </c>
      <c r="P5170" t="s">
        <v>27925</v>
      </c>
      <c r="Q5170" s="1">
        <v>44538</v>
      </c>
      <c r="R5170" t="s">
        <v>27253</v>
      </c>
      <c r="S5170" t="s">
        <v>27254</v>
      </c>
      <c r="T5170" t="s">
        <v>27255</v>
      </c>
    </row>
    <row r="5171" spans="1:20" x14ac:dyDescent="0.3">
      <c r="A5171" t="str">
        <f>"0611837273100"</f>
        <v>0611837273100</v>
      </c>
      <c r="B5171" t="str">
        <f>"LK4823"</f>
        <v>LK4823</v>
      </c>
      <c r="C5171" t="s">
        <v>37244</v>
      </c>
      <c r="D5171" t="s">
        <v>28138</v>
      </c>
      <c r="E5171" t="str">
        <f t="shared" si="80"/>
        <v>001390</v>
      </c>
      <c r="F5171" t="s">
        <v>27246</v>
      </c>
      <c r="G5171" t="s">
        <v>27247</v>
      </c>
      <c r="H5171" t="s">
        <v>27248</v>
      </c>
      <c r="I5171" t="s">
        <v>37245</v>
      </c>
      <c r="J5171" t="s">
        <v>10315</v>
      </c>
      <c r="L5171" t="s">
        <v>27250</v>
      </c>
      <c r="M5171" t="s">
        <v>27251</v>
      </c>
      <c r="N5171" t="s">
        <v>27252</v>
      </c>
      <c r="P5171" t="s">
        <v>27925</v>
      </c>
      <c r="Q5171" s="1">
        <v>44538</v>
      </c>
      <c r="R5171" t="s">
        <v>27253</v>
      </c>
      <c r="S5171" t="s">
        <v>27254</v>
      </c>
      <c r="T5171" t="s">
        <v>27255</v>
      </c>
    </row>
    <row r="5172" spans="1:20" x14ac:dyDescent="0.3">
      <c r="A5172" t="str">
        <f>"0611837274100"</f>
        <v>0611837274100</v>
      </c>
      <c r="B5172" t="str">
        <f>"LK4824"</f>
        <v>LK4824</v>
      </c>
      <c r="C5172" t="s">
        <v>37246</v>
      </c>
      <c r="D5172" t="s">
        <v>28138</v>
      </c>
      <c r="E5172" t="str">
        <f t="shared" si="80"/>
        <v>001390</v>
      </c>
      <c r="F5172" t="s">
        <v>27246</v>
      </c>
      <c r="G5172" t="s">
        <v>27247</v>
      </c>
      <c r="H5172" t="s">
        <v>27248</v>
      </c>
      <c r="I5172" t="s">
        <v>37247</v>
      </c>
      <c r="J5172" t="s">
        <v>10317</v>
      </c>
      <c r="L5172" t="s">
        <v>27250</v>
      </c>
      <c r="M5172" t="s">
        <v>27251</v>
      </c>
      <c r="N5172" t="s">
        <v>27252</v>
      </c>
      <c r="P5172" t="s">
        <v>27925</v>
      </c>
      <c r="Q5172" s="1">
        <v>44538</v>
      </c>
      <c r="R5172" t="s">
        <v>27253</v>
      </c>
      <c r="S5172" t="s">
        <v>27254</v>
      </c>
      <c r="T5172" t="s">
        <v>27255</v>
      </c>
    </row>
    <row r="5173" spans="1:20" x14ac:dyDescent="0.3">
      <c r="A5173" t="str">
        <f>"0611837276100"</f>
        <v>0611837276100</v>
      </c>
      <c r="B5173" t="str">
        <f>"LB2926"</f>
        <v>LB2926</v>
      </c>
      <c r="C5173" t="s">
        <v>37248</v>
      </c>
      <c r="D5173" t="s">
        <v>28138</v>
      </c>
      <c r="E5173" t="str">
        <f t="shared" si="80"/>
        <v>001390</v>
      </c>
      <c r="F5173" t="s">
        <v>27246</v>
      </c>
      <c r="G5173" t="s">
        <v>27247</v>
      </c>
      <c r="H5173" t="s">
        <v>27248</v>
      </c>
      <c r="I5173" t="s">
        <v>37249</v>
      </c>
      <c r="J5173" t="s">
        <v>10319</v>
      </c>
      <c r="L5173" t="s">
        <v>27250</v>
      </c>
      <c r="M5173" t="s">
        <v>27251</v>
      </c>
      <c r="N5173" t="s">
        <v>27252</v>
      </c>
      <c r="P5173" t="s">
        <v>27925</v>
      </c>
      <c r="Q5173" s="1">
        <v>44538</v>
      </c>
      <c r="R5173" t="s">
        <v>27253</v>
      </c>
      <c r="S5173" t="s">
        <v>27254</v>
      </c>
      <c r="T5173" t="s">
        <v>27255</v>
      </c>
    </row>
    <row r="5174" spans="1:20" x14ac:dyDescent="0.3">
      <c r="A5174" t="str">
        <f>"0611837275100"</f>
        <v>0611837275100</v>
      </c>
      <c r="B5174" t="str">
        <f>"LK5425"</f>
        <v>LK5425</v>
      </c>
      <c r="C5174" t="s">
        <v>37250</v>
      </c>
      <c r="D5174" t="s">
        <v>28138</v>
      </c>
      <c r="E5174" t="str">
        <f t="shared" si="80"/>
        <v>001390</v>
      </c>
      <c r="F5174" t="s">
        <v>27246</v>
      </c>
      <c r="G5174" t="s">
        <v>27247</v>
      </c>
      <c r="H5174" t="s">
        <v>27248</v>
      </c>
      <c r="I5174" t="s">
        <v>37251</v>
      </c>
      <c r="J5174" t="s">
        <v>10321</v>
      </c>
      <c r="L5174" t="s">
        <v>27250</v>
      </c>
      <c r="M5174" t="s">
        <v>27251</v>
      </c>
      <c r="N5174" t="s">
        <v>27252</v>
      </c>
      <c r="P5174" t="s">
        <v>27925</v>
      </c>
      <c r="Q5174" s="1">
        <v>44538</v>
      </c>
      <c r="R5174" t="s">
        <v>27253</v>
      </c>
      <c r="S5174" t="s">
        <v>27254</v>
      </c>
      <c r="T5174" t="s">
        <v>27255</v>
      </c>
    </row>
    <row r="5175" spans="1:20" x14ac:dyDescent="0.3">
      <c r="A5175" t="str">
        <f>"0611837277100"</f>
        <v>0611837277100</v>
      </c>
      <c r="B5175" t="str">
        <f>"LB2915"</f>
        <v>LB2915</v>
      </c>
      <c r="C5175" t="s">
        <v>37252</v>
      </c>
      <c r="D5175" t="s">
        <v>28138</v>
      </c>
      <c r="E5175" t="str">
        <f t="shared" si="80"/>
        <v>001390</v>
      </c>
      <c r="F5175" t="s">
        <v>27246</v>
      </c>
      <c r="G5175" t="s">
        <v>27247</v>
      </c>
      <c r="H5175" t="s">
        <v>27248</v>
      </c>
      <c r="I5175" t="s">
        <v>37253</v>
      </c>
      <c r="J5175" t="s">
        <v>10323</v>
      </c>
      <c r="L5175" t="s">
        <v>27250</v>
      </c>
      <c r="M5175" t="s">
        <v>27251</v>
      </c>
      <c r="N5175" t="s">
        <v>27252</v>
      </c>
      <c r="P5175" t="s">
        <v>27925</v>
      </c>
      <c r="Q5175" s="1">
        <v>44538</v>
      </c>
      <c r="R5175" t="s">
        <v>27253</v>
      </c>
      <c r="S5175" t="s">
        <v>27254</v>
      </c>
      <c r="T5175" t="s">
        <v>27255</v>
      </c>
    </row>
    <row r="5176" spans="1:20" x14ac:dyDescent="0.3">
      <c r="A5176" t="str">
        <f>"0611862352050"</f>
        <v>0611862352050</v>
      </c>
      <c r="B5176" t="str">
        <f>"CE1210"</f>
        <v>CE1210</v>
      </c>
      <c r="C5176" t="s">
        <v>37254</v>
      </c>
      <c r="D5176" t="s">
        <v>27923</v>
      </c>
      <c r="E5176" t="str">
        <f t="shared" si="80"/>
        <v>001390</v>
      </c>
      <c r="F5176" t="s">
        <v>27246</v>
      </c>
      <c r="G5176" t="s">
        <v>27247</v>
      </c>
      <c r="H5176" t="s">
        <v>27248</v>
      </c>
      <c r="I5176" t="s">
        <v>37255</v>
      </c>
      <c r="J5176" t="s">
        <v>10325</v>
      </c>
      <c r="L5176" t="s">
        <v>27250</v>
      </c>
      <c r="M5176" t="s">
        <v>27251</v>
      </c>
      <c r="N5176" t="s">
        <v>27252</v>
      </c>
      <c r="P5176" t="s">
        <v>27925</v>
      </c>
      <c r="Q5176" s="1">
        <v>44846</v>
      </c>
      <c r="R5176" t="s">
        <v>27253</v>
      </c>
      <c r="S5176" t="s">
        <v>27254</v>
      </c>
      <c r="T5176" t="s">
        <v>27265</v>
      </c>
    </row>
    <row r="5177" spans="1:20" x14ac:dyDescent="0.3">
      <c r="A5177" t="str">
        <f>"0611837280100"</f>
        <v>0611837280100</v>
      </c>
      <c r="B5177" t="str">
        <f>"LS0034"</f>
        <v>LS0034</v>
      </c>
      <c r="C5177" t="s">
        <v>37256</v>
      </c>
      <c r="D5177" t="s">
        <v>27245</v>
      </c>
      <c r="E5177" t="str">
        <f t="shared" si="80"/>
        <v>001390</v>
      </c>
      <c r="F5177" t="s">
        <v>27246</v>
      </c>
      <c r="G5177" t="s">
        <v>27247</v>
      </c>
      <c r="H5177" t="s">
        <v>27248</v>
      </c>
      <c r="I5177" t="s">
        <v>37257</v>
      </c>
      <c r="J5177" t="s">
        <v>10327</v>
      </c>
      <c r="L5177" t="s">
        <v>27250</v>
      </c>
      <c r="M5177" t="s">
        <v>27251</v>
      </c>
      <c r="N5177" t="s">
        <v>27252</v>
      </c>
      <c r="Q5177" s="1">
        <v>44538</v>
      </c>
      <c r="R5177" t="s">
        <v>27253</v>
      </c>
      <c r="S5177" t="s">
        <v>27254</v>
      </c>
      <c r="T5177" t="s">
        <v>27255</v>
      </c>
    </row>
    <row r="5178" spans="1:20" x14ac:dyDescent="0.3">
      <c r="A5178" t="str">
        <f>"0611834595100"</f>
        <v>0611834595100</v>
      </c>
      <c r="B5178" t="str">
        <f>"LC9609"</f>
        <v>LC9609</v>
      </c>
      <c r="C5178" t="s">
        <v>37258</v>
      </c>
      <c r="D5178" t="s">
        <v>27245</v>
      </c>
      <c r="E5178" t="str">
        <f t="shared" si="80"/>
        <v>001390</v>
      </c>
      <c r="F5178" t="s">
        <v>27246</v>
      </c>
      <c r="G5178" t="s">
        <v>27247</v>
      </c>
      <c r="H5178" t="s">
        <v>27248</v>
      </c>
      <c r="I5178" t="s">
        <v>37259</v>
      </c>
      <c r="J5178" t="s">
        <v>10329</v>
      </c>
      <c r="L5178" t="s">
        <v>27250</v>
      </c>
      <c r="M5178" t="s">
        <v>27251</v>
      </c>
      <c r="N5178" t="s">
        <v>27252</v>
      </c>
      <c r="Q5178" s="1">
        <v>44538</v>
      </c>
      <c r="R5178" t="s">
        <v>27253</v>
      </c>
      <c r="S5178" t="s">
        <v>27254</v>
      </c>
      <c r="T5178" t="s">
        <v>27255</v>
      </c>
    </row>
    <row r="5179" spans="1:20" x14ac:dyDescent="0.3">
      <c r="A5179" t="str">
        <f>"0611837286100"</f>
        <v>0611837286100</v>
      </c>
      <c r="B5179" t="str">
        <f>"LS0035"</f>
        <v>LS0035</v>
      </c>
      <c r="C5179" t="s">
        <v>37260</v>
      </c>
      <c r="D5179" t="s">
        <v>27245</v>
      </c>
      <c r="E5179" t="str">
        <f t="shared" si="80"/>
        <v>001390</v>
      </c>
      <c r="F5179" t="s">
        <v>27246</v>
      </c>
      <c r="G5179" t="s">
        <v>27247</v>
      </c>
      <c r="H5179" t="s">
        <v>27248</v>
      </c>
      <c r="I5179" t="s">
        <v>37261</v>
      </c>
      <c r="J5179" t="s">
        <v>10331</v>
      </c>
      <c r="L5179" t="s">
        <v>27250</v>
      </c>
      <c r="M5179" t="s">
        <v>27251</v>
      </c>
      <c r="N5179" t="s">
        <v>27252</v>
      </c>
      <c r="Q5179" s="1">
        <v>44538</v>
      </c>
      <c r="R5179" t="s">
        <v>27253</v>
      </c>
      <c r="S5179" t="s">
        <v>27254</v>
      </c>
      <c r="T5179" t="s">
        <v>27255</v>
      </c>
    </row>
    <row r="5180" spans="1:20" x14ac:dyDescent="0.3">
      <c r="A5180" t="str">
        <f>"0611837287100"</f>
        <v>0611837287100</v>
      </c>
      <c r="B5180" t="str">
        <f>"LB2979"</f>
        <v>LB2979</v>
      </c>
      <c r="C5180" t="s">
        <v>37262</v>
      </c>
      <c r="D5180" t="s">
        <v>28138</v>
      </c>
      <c r="E5180" t="str">
        <f t="shared" si="80"/>
        <v>001390</v>
      </c>
      <c r="F5180" t="s">
        <v>27246</v>
      </c>
      <c r="G5180" t="s">
        <v>27247</v>
      </c>
      <c r="H5180" t="s">
        <v>27248</v>
      </c>
      <c r="I5180" t="s">
        <v>37263</v>
      </c>
      <c r="J5180" t="s">
        <v>10333</v>
      </c>
      <c r="L5180" t="s">
        <v>27250</v>
      </c>
      <c r="M5180" t="s">
        <v>27251</v>
      </c>
      <c r="N5180" t="s">
        <v>27252</v>
      </c>
      <c r="P5180" t="s">
        <v>27925</v>
      </c>
      <c r="Q5180" s="1">
        <v>44538</v>
      </c>
      <c r="R5180" t="s">
        <v>27253</v>
      </c>
      <c r="S5180" t="s">
        <v>27254</v>
      </c>
      <c r="T5180" t="s">
        <v>27255</v>
      </c>
    </row>
    <row r="5181" spans="1:20" x14ac:dyDescent="0.3">
      <c r="A5181" t="str">
        <f>"0611837288100"</f>
        <v>0611837288100</v>
      </c>
      <c r="B5181" t="str">
        <f>"LK0716"</f>
        <v>LK0716</v>
      </c>
      <c r="C5181" t="s">
        <v>37264</v>
      </c>
      <c r="D5181" t="s">
        <v>28138</v>
      </c>
      <c r="E5181" t="str">
        <f t="shared" si="80"/>
        <v>001390</v>
      </c>
      <c r="F5181" t="s">
        <v>27246</v>
      </c>
      <c r="G5181" t="s">
        <v>27247</v>
      </c>
      <c r="H5181" t="s">
        <v>27248</v>
      </c>
      <c r="I5181" t="s">
        <v>37265</v>
      </c>
      <c r="J5181" t="s">
        <v>10335</v>
      </c>
      <c r="L5181" t="s">
        <v>27250</v>
      </c>
      <c r="M5181" t="s">
        <v>27251</v>
      </c>
      <c r="N5181" t="s">
        <v>27252</v>
      </c>
      <c r="P5181" t="s">
        <v>27925</v>
      </c>
      <c r="Q5181" s="1">
        <v>44538</v>
      </c>
      <c r="R5181" t="s">
        <v>27253</v>
      </c>
      <c r="S5181" t="s">
        <v>27254</v>
      </c>
      <c r="T5181" t="s">
        <v>27255</v>
      </c>
    </row>
    <row r="5182" spans="1:20" x14ac:dyDescent="0.3">
      <c r="A5182" t="str">
        <f>"0611837289100"</f>
        <v>0611837289100</v>
      </c>
      <c r="B5182" t="str">
        <f>"LB2964"</f>
        <v>LB2964</v>
      </c>
      <c r="C5182" t="s">
        <v>37266</v>
      </c>
      <c r="D5182" t="s">
        <v>28138</v>
      </c>
      <c r="E5182" t="str">
        <f t="shared" si="80"/>
        <v>001390</v>
      </c>
      <c r="F5182" t="s">
        <v>27246</v>
      </c>
      <c r="G5182" t="s">
        <v>27247</v>
      </c>
      <c r="H5182" t="s">
        <v>27248</v>
      </c>
      <c r="I5182" t="s">
        <v>37267</v>
      </c>
      <c r="J5182" t="s">
        <v>10337</v>
      </c>
      <c r="L5182" t="s">
        <v>27250</v>
      </c>
      <c r="M5182" t="s">
        <v>27251</v>
      </c>
      <c r="N5182" t="s">
        <v>27252</v>
      </c>
      <c r="P5182" t="s">
        <v>27925</v>
      </c>
      <c r="Q5182" s="1">
        <v>44538</v>
      </c>
      <c r="R5182" t="s">
        <v>27253</v>
      </c>
      <c r="S5182" t="s">
        <v>27254</v>
      </c>
      <c r="T5182" t="s">
        <v>27255</v>
      </c>
    </row>
    <row r="5183" spans="1:20" x14ac:dyDescent="0.3">
      <c r="A5183" t="str">
        <f>"0611837290100"</f>
        <v>0611837290100</v>
      </c>
      <c r="B5183" t="str">
        <f>"LB2965"</f>
        <v>LB2965</v>
      </c>
      <c r="C5183" t="s">
        <v>37268</v>
      </c>
      <c r="D5183" t="s">
        <v>28138</v>
      </c>
      <c r="E5183" t="str">
        <f t="shared" si="80"/>
        <v>001390</v>
      </c>
      <c r="F5183" t="s">
        <v>27246</v>
      </c>
      <c r="G5183" t="s">
        <v>27247</v>
      </c>
      <c r="H5183" t="s">
        <v>27248</v>
      </c>
      <c r="I5183" t="s">
        <v>37269</v>
      </c>
      <c r="J5183" t="s">
        <v>10339</v>
      </c>
      <c r="L5183" t="s">
        <v>27250</v>
      </c>
      <c r="M5183" t="s">
        <v>27251</v>
      </c>
      <c r="N5183" t="s">
        <v>27252</v>
      </c>
      <c r="P5183" t="s">
        <v>27925</v>
      </c>
      <c r="Q5183" s="1">
        <v>44538</v>
      </c>
      <c r="R5183" t="s">
        <v>27253</v>
      </c>
      <c r="S5183" t="s">
        <v>27254</v>
      </c>
      <c r="T5183" t="s">
        <v>27255</v>
      </c>
    </row>
    <row r="5184" spans="1:20" x14ac:dyDescent="0.3">
      <c r="A5184" t="str">
        <f>"0611837291100"</f>
        <v>0611837291100</v>
      </c>
      <c r="B5184" t="str">
        <f>"LB2876"</f>
        <v>LB2876</v>
      </c>
      <c r="C5184" t="s">
        <v>37270</v>
      </c>
      <c r="D5184" t="s">
        <v>28138</v>
      </c>
      <c r="E5184" t="str">
        <f t="shared" si="80"/>
        <v>001390</v>
      </c>
      <c r="F5184" t="s">
        <v>27246</v>
      </c>
      <c r="G5184" t="s">
        <v>27247</v>
      </c>
      <c r="H5184" t="s">
        <v>27248</v>
      </c>
      <c r="I5184" t="s">
        <v>37271</v>
      </c>
      <c r="J5184" t="s">
        <v>10341</v>
      </c>
      <c r="L5184" t="s">
        <v>27250</v>
      </c>
      <c r="M5184" t="s">
        <v>27251</v>
      </c>
      <c r="N5184" t="s">
        <v>27252</v>
      </c>
      <c r="P5184" t="s">
        <v>27925</v>
      </c>
      <c r="Q5184" s="1">
        <v>44538</v>
      </c>
      <c r="R5184" t="s">
        <v>27253</v>
      </c>
      <c r="S5184" t="s">
        <v>27254</v>
      </c>
      <c r="T5184" t="s">
        <v>27255</v>
      </c>
    </row>
    <row r="5185" spans="1:20" x14ac:dyDescent="0.3">
      <c r="A5185" t="str">
        <f>"0611837292100"</f>
        <v>0611837292100</v>
      </c>
      <c r="B5185" t="str">
        <f>"LB2717"</f>
        <v>LB2717</v>
      </c>
      <c r="C5185" t="s">
        <v>37272</v>
      </c>
      <c r="D5185" t="s">
        <v>28138</v>
      </c>
      <c r="E5185" t="str">
        <f t="shared" si="80"/>
        <v>001390</v>
      </c>
      <c r="F5185" t="s">
        <v>27246</v>
      </c>
      <c r="G5185" t="s">
        <v>27247</v>
      </c>
      <c r="H5185" t="s">
        <v>27248</v>
      </c>
      <c r="I5185" t="s">
        <v>37273</v>
      </c>
      <c r="J5185" t="s">
        <v>10343</v>
      </c>
      <c r="L5185" t="s">
        <v>27250</v>
      </c>
      <c r="M5185" t="s">
        <v>27251</v>
      </c>
      <c r="N5185" t="s">
        <v>27252</v>
      </c>
      <c r="P5185" t="s">
        <v>27925</v>
      </c>
      <c r="Q5185" s="1">
        <v>44538</v>
      </c>
      <c r="R5185" t="s">
        <v>27253</v>
      </c>
      <c r="S5185" t="s">
        <v>27254</v>
      </c>
      <c r="T5185" t="s">
        <v>27255</v>
      </c>
    </row>
    <row r="5186" spans="1:20" x14ac:dyDescent="0.3">
      <c r="A5186" t="str">
        <f>"0611837293100"</f>
        <v>0611837293100</v>
      </c>
      <c r="B5186" t="str">
        <f>"LB2877"</f>
        <v>LB2877</v>
      </c>
      <c r="C5186" t="s">
        <v>37274</v>
      </c>
      <c r="D5186" t="s">
        <v>28138</v>
      </c>
      <c r="E5186" t="str">
        <f t="shared" ref="E5186:E5249" si="81">"001390"</f>
        <v>001390</v>
      </c>
      <c r="F5186" t="s">
        <v>27246</v>
      </c>
      <c r="G5186" t="s">
        <v>27247</v>
      </c>
      <c r="H5186" t="s">
        <v>27248</v>
      </c>
      <c r="I5186" t="s">
        <v>37275</v>
      </c>
      <c r="J5186" t="s">
        <v>10345</v>
      </c>
      <c r="L5186" t="s">
        <v>27250</v>
      </c>
      <c r="M5186" t="s">
        <v>27251</v>
      </c>
      <c r="N5186" t="s">
        <v>27252</v>
      </c>
      <c r="P5186" t="s">
        <v>27925</v>
      </c>
      <c r="Q5186" s="1">
        <v>44538</v>
      </c>
      <c r="R5186" t="s">
        <v>27253</v>
      </c>
      <c r="S5186" t="s">
        <v>27254</v>
      </c>
      <c r="T5186" t="s">
        <v>27255</v>
      </c>
    </row>
    <row r="5187" spans="1:20" x14ac:dyDescent="0.3">
      <c r="A5187" t="str">
        <f>"0611837294100"</f>
        <v>0611837294100</v>
      </c>
      <c r="B5187" t="str">
        <f>"LB2980"</f>
        <v>LB2980</v>
      </c>
      <c r="C5187" t="s">
        <v>37276</v>
      </c>
      <c r="D5187" t="s">
        <v>28138</v>
      </c>
      <c r="E5187" t="str">
        <f t="shared" si="81"/>
        <v>001390</v>
      </c>
      <c r="F5187" t="s">
        <v>27246</v>
      </c>
      <c r="G5187" t="s">
        <v>27247</v>
      </c>
      <c r="H5187" t="s">
        <v>27248</v>
      </c>
      <c r="I5187" t="s">
        <v>37277</v>
      </c>
      <c r="J5187" t="s">
        <v>10347</v>
      </c>
      <c r="L5187" t="s">
        <v>27250</v>
      </c>
      <c r="M5187" t="s">
        <v>27251</v>
      </c>
      <c r="N5187" t="s">
        <v>27252</v>
      </c>
      <c r="P5187" t="s">
        <v>27925</v>
      </c>
      <c r="Q5187" s="1">
        <v>44538</v>
      </c>
      <c r="R5187" t="s">
        <v>27253</v>
      </c>
      <c r="S5187" t="s">
        <v>27254</v>
      </c>
      <c r="T5187" t="s">
        <v>27255</v>
      </c>
    </row>
    <row r="5188" spans="1:20" x14ac:dyDescent="0.3">
      <c r="A5188" t="str">
        <f>"0611837295100"</f>
        <v>0611837295100</v>
      </c>
      <c r="B5188" t="str">
        <f>"LB2967"</f>
        <v>LB2967</v>
      </c>
      <c r="C5188" t="s">
        <v>37278</v>
      </c>
      <c r="D5188" t="s">
        <v>28138</v>
      </c>
      <c r="E5188" t="str">
        <f t="shared" si="81"/>
        <v>001390</v>
      </c>
      <c r="F5188" t="s">
        <v>27246</v>
      </c>
      <c r="G5188" t="s">
        <v>27247</v>
      </c>
      <c r="H5188" t="s">
        <v>27248</v>
      </c>
      <c r="I5188" t="s">
        <v>37279</v>
      </c>
      <c r="J5188" t="s">
        <v>10349</v>
      </c>
      <c r="L5188" t="s">
        <v>27250</v>
      </c>
      <c r="M5188" t="s">
        <v>27251</v>
      </c>
      <c r="N5188" t="s">
        <v>27252</v>
      </c>
      <c r="P5188" t="s">
        <v>27925</v>
      </c>
      <c r="Q5188" s="1">
        <v>44538</v>
      </c>
      <c r="R5188" t="s">
        <v>27253</v>
      </c>
      <c r="S5188" t="s">
        <v>27254</v>
      </c>
      <c r="T5188" t="s">
        <v>27255</v>
      </c>
    </row>
    <row r="5189" spans="1:20" x14ac:dyDescent="0.3">
      <c r="A5189" t="str">
        <f>"0611837296100"</f>
        <v>0611837296100</v>
      </c>
      <c r="B5189" t="str">
        <f>"LB2981"</f>
        <v>LB2981</v>
      </c>
      <c r="C5189" t="s">
        <v>37280</v>
      </c>
      <c r="D5189" t="s">
        <v>28138</v>
      </c>
      <c r="E5189" t="str">
        <f t="shared" si="81"/>
        <v>001390</v>
      </c>
      <c r="F5189" t="s">
        <v>27246</v>
      </c>
      <c r="G5189" t="s">
        <v>27247</v>
      </c>
      <c r="H5189" t="s">
        <v>27248</v>
      </c>
      <c r="I5189" t="s">
        <v>37281</v>
      </c>
      <c r="J5189" t="s">
        <v>10351</v>
      </c>
      <c r="L5189" t="s">
        <v>27250</v>
      </c>
      <c r="M5189" t="s">
        <v>27251</v>
      </c>
      <c r="N5189" t="s">
        <v>27252</v>
      </c>
      <c r="P5189" t="s">
        <v>27925</v>
      </c>
      <c r="Q5189" s="1">
        <v>44538</v>
      </c>
      <c r="R5189" t="s">
        <v>27253</v>
      </c>
      <c r="S5189" t="s">
        <v>27254</v>
      </c>
      <c r="T5189" t="s">
        <v>27255</v>
      </c>
    </row>
    <row r="5190" spans="1:20" x14ac:dyDescent="0.3">
      <c r="A5190" t="str">
        <f>"0611837297100"</f>
        <v>0611837297100</v>
      </c>
      <c r="B5190" t="str">
        <f>"LB2968"</f>
        <v>LB2968</v>
      </c>
      <c r="C5190" t="s">
        <v>37282</v>
      </c>
      <c r="D5190" t="s">
        <v>28138</v>
      </c>
      <c r="E5190" t="str">
        <f t="shared" si="81"/>
        <v>001390</v>
      </c>
      <c r="F5190" t="s">
        <v>27246</v>
      </c>
      <c r="G5190" t="s">
        <v>27247</v>
      </c>
      <c r="H5190" t="s">
        <v>27248</v>
      </c>
      <c r="I5190" t="s">
        <v>37283</v>
      </c>
      <c r="J5190" t="s">
        <v>10353</v>
      </c>
      <c r="L5190" t="s">
        <v>27250</v>
      </c>
      <c r="M5190" t="s">
        <v>27251</v>
      </c>
      <c r="N5190" t="s">
        <v>27252</v>
      </c>
      <c r="P5190" t="s">
        <v>27925</v>
      </c>
      <c r="Q5190" s="1">
        <v>44538</v>
      </c>
      <c r="R5190" t="s">
        <v>27253</v>
      </c>
      <c r="S5190" t="s">
        <v>27254</v>
      </c>
      <c r="T5190" t="s">
        <v>27255</v>
      </c>
    </row>
    <row r="5191" spans="1:20" x14ac:dyDescent="0.3">
      <c r="A5191" t="str">
        <f>"0611837298100"</f>
        <v>0611837298100</v>
      </c>
      <c r="B5191" t="str">
        <f>"LB2975"</f>
        <v>LB2975</v>
      </c>
      <c r="C5191" t="s">
        <v>37284</v>
      </c>
      <c r="D5191" t="s">
        <v>28138</v>
      </c>
      <c r="E5191" t="str">
        <f t="shared" si="81"/>
        <v>001390</v>
      </c>
      <c r="F5191" t="s">
        <v>27246</v>
      </c>
      <c r="G5191" t="s">
        <v>27247</v>
      </c>
      <c r="H5191" t="s">
        <v>27248</v>
      </c>
      <c r="I5191" t="s">
        <v>37285</v>
      </c>
      <c r="J5191" t="s">
        <v>10355</v>
      </c>
      <c r="L5191" t="s">
        <v>27250</v>
      </c>
      <c r="M5191" t="s">
        <v>27251</v>
      </c>
      <c r="N5191" t="s">
        <v>27252</v>
      </c>
      <c r="P5191" t="s">
        <v>27925</v>
      </c>
      <c r="Q5191" s="1">
        <v>44538</v>
      </c>
      <c r="R5191" t="s">
        <v>27253</v>
      </c>
      <c r="S5191" t="s">
        <v>27254</v>
      </c>
      <c r="T5191" t="s">
        <v>27255</v>
      </c>
    </row>
    <row r="5192" spans="1:20" x14ac:dyDescent="0.3">
      <c r="A5192" t="str">
        <f>"0611862353050"</f>
        <v>0611862353050</v>
      </c>
      <c r="B5192" t="str">
        <f>"CE0699"</f>
        <v>CE0699</v>
      </c>
      <c r="C5192" t="s">
        <v>37286</v>
      </c>
      <c r="D5192" t="s">
        <v>27923</v>
      </c>
      <c r="E5192" t="str">
        <f t="shared" si="81"/>
        <v>001390</v>
      </c>
      <c r="F5192" t="s">
        <v>27246</v>
      </c>
      <c r="G5192" t="s">
        <v>27247</v>
      </c>
      <c r="H5192" t="s">
        <v>27248</v>
      </c>
      <c r="I5192" t="s">
        <v>37287</v>
      </c>
      <c r="J5192" t="s">
        <v>10357</v>
      </c>
      <c r="L5192" t="s">
        <v>27250</v>
      </c>
      <c r="M5192" t="s">
        <v>27251</v>
      </c>
      <c r="N5192" t="s">
        <v>27252</v>
      </c>
      <c r="P5192" t="s">
        <v>27925</v>
      </c>
      <c r="Q5192" s="1">
        <v>44846</v>
      </c>
      <c r="R5192" t="s">
        <v>27253</v>
      </c>
      <c r="S5192" t="s">
        <v>27254</v>
      </c>
      <c r="T5192" t="s">
        <v>27265</v>
      </c>
    </row>
    <row r="5193" spans="1:20" x14ac:dyDescent="0.3">
      <c r="A5193" t="str">
        <f>"0611862354050"</f>
        <v>0611862354050</v>
      </c>
      <c r="B5193" t="str">
        <f>"CE0700"</f>
        <v>CE0700</v>
      </c>
      <c r="C5193" t="s">
        <v>37288</v>
      </c>
      <c r="D5193" t="s">
        <v>27923</v>
      </c>
      <c r="E5193" t="str">
        <f t="shared" si="81"/>
        <v>001390</v>
      </c>
      <c r="F5193" t="s">
        <v>27246</v>
      </c>
      <c r="G5193" t="s">
        <v>27247</v>
      </c>
      <c r="H5193" t="s">
        <v>27248</v>
      </c>
      <c r="I5193" t="s">
        <v>37289</v>
      </c>
      <c r="J5193" t="s">
        <v>10359</v>
      </c>
      <c r="L5193" t="s">
        <v>27250</v>
      </c>
      <c r="M5193" t="s">
        <v>27251</v>
      </c>
      <c r="N5193" t="s">
        <v>27252</v>
      </c>
      <c r="P5193" t="s">
        <v>27925</v>
      </c>
      <c r="Q5193" s="1">
        <v>44846</v>
      </c>
      <c r="R5193" t="s">
        <v>27253</v>
      </c>
      <c r="S5193" t="s">
        <v>27254</v>
      </c>
      <c r="T5193" t="s">
        <v>27265</v>
      </c>
    </row>
    <row r="5194" spans="1:20" x14ac:dyDescent="0.3">
      <c r="A5194" t="str">
        <f>"0611862355050"</f>
        <v>0611862355050</v>
      </c>
      <c r="B5194" t="str">
        <f>"CE0698"</f>
        <v>CE0698</v>
      </c>
      <c r="C5194" t="s">
        <v>37290</v>
      </c>
      <c r="D5194" t="s">
        <v>27923</v>
      </c>
      <c r="E5194" t="str">
        <f t="shared" si="81"/>
        <v>001390</v>
      </c>
      <c r="F5194" t="s">
        <v>27246</v>
      </c>
      <c r="G5194" t="s">
        <v>27247</v>
      </c>
      <c r="H5194" t="s">
        <v>27248</v>
      </c>
      <c r="I5194" t="s">
        <v>37291</v>
      </c>
      <c r="J5194" t="s">
        <v>10361</v>
      </c>
      <c r="L5194" t="s">
        <v>27250</v>
      </c>
      <c r="M5194" t="s">
        <v>27251</v>
      </c>
      <c r="N5194" t="s">
        <v>27252</v>
      </c>
      <c r="P5194" t="s">
        <v>27925</v>
      </c>
      <c r="Q5194" s="1">
        <v>44846</v>
      </c>
      <c r="R5194" t="s">
        <v>27253</v>
      </c>
      <c r="S5194" t="s">
        <v>27254</v>
      </c>
      <c r="T5194" t="s">
        <v>27265</v>
      </c>
    </row>
    <row r="5195" spans="1:20" x14ac:dyDescent="0.3">
      <c r="A5195" t="str">
        <f>"0611862356050"</f>
        <v>0611862356050</v>
      </c>
      <c r="B5195" t="str">
        <f>"CE0701"</f>
        <v>CE0701</v>
      </c>
      <c r="C5195" t="s">
        <v>37292</v>
      </c>
      <c r="D5195" t="s">
        <v>27923</v>
      </c>
      <c r="E5195" t="str">
        <f t="shared" si="81"/>
        <v>001390</v>
      </c>
      <c r="F5195" t="s">
        <v>27246</v>
      </c>
      <c r="G5195" t="s">
        <v>27247</v>
      </c>
      <c r="H5195" t="s">
        <v>27248</v>
      </c>
      <c r="I5195" t="s">
        <v>37293</v>
      </c>
      <c r="J5195" t="s">
        <v>10363</v>
      </c>
      <c r="L5195" t="s">
        <v>27250</v>
      </c>
      <c r="M5195" t="s">
        <v>27251</v>
      </c>
      <c r="N5195" t="s">
        <v>27252</v>
      </c>
      <c r="P5195" t="s">
        <v>27925</v>
      </c>
      <c r="Q5195" s="1">
        <v>44846</v>
      </c>
      <c r="R5195" t="s">
        <v>27253</v>
      </c>
      <c r="S5195" t="s">
        <v>27254</v>
      </c>
      <c r="T5195" t="s">
        <v>27265</v>
      </c>
    </row>
    <row r="5196" spans="1:20" x14ac:dyDescent="0.3">
      <c r="A5196" t="str">
        <f>"0611862357050"</f>
        <v>0611862357050</v>
      </c>
      <c r="B5196" t="str">
        <f>"CE0702"</f>
        <v>CE0702</v>
      </c>
      <c r="C5196" t="s">
        <v>37294</v>
      </c>
      <c r="D5196" t="s">
        <v>27923</v>
      </c>
      <c r="E5196" t="str">
        <f t="shared" si="81"/>
        <v>001390</v>
      </c>
      <c r="F5196" t="s">
        <v>27246</v>
      </c>
      <c r="G5196" t="s">
        <v>27247</v>
      </c>
      <c r="H5196" t="s">
        <v>27248</v>
      </c>
      <c r="I5196" t="s">
        <v>37295</v>
      </c>
      <c r="J5196" t="s">
        <v>10365</v>
      </c>
      <c r="L5196" t="s">
        <v>27250</v>
      </c>
      <c r="M5196" t="s">
        <v>27251</v>
      </c>
      <c r="N5196" t="s">
        <v>27252</v>
      </c>
      <c r="P5196" t="s">
        <v>27925</v>
      </c>
      <c r="Q5196" s="1">
        <v>44846</v>
      </c>
      <c r="R5196" t="s">
        <v>27253</v>
      </c>
      <c r="S5196" t="s">
        <v>27254</v>
      </c>
      <c r="T5196" t="s">
        <v>27265</v>
      </c>
    </row>
    <row r="5197" spans="1:20" x14ac:dyDescent="0.3">
      <c r="A5197" t="str">
        <f>"0611862358050"</f>
        <v>0611862358050</v>
      </c>
      <c r="B5197" t="str">
        <f>"CE0703"</f>
        <v>CE0703</v>
      </c>
      <c r="C5197" t="s">
        <v>37296</v>
      </c>
      <c r="D5197" t="s">
        <v>27923</v>
      </c>
      <c r="E5197" t="str">
        <f t="shared" si="81"/>
        <v>001390</v>
      </c>
      <c r="F5197" t="s">
        <v>27246</v>
      </c>
      <c r="G5197" t="s">
        <v>27247</v>
      </c>
      <c r="H5197" t="s">
        <v>27248</v>
      </c>
      <c r="I5197" t="s">
        <v>37297</v>
      </c>
      <c r="J5197" t="s">
        <v>10367</v>
      </c>
      <c r="L5197" t="s">
        <v>27250</v>
      </c>
      <c r="M5197" t="s">
        <v>27251</v>
      </c>
      <c r="N5197" t="s">
        <v>27252</v>
      </c>
      <c r="P5197" t="s">
        <v>27925</v>
      </c>
      <c r="Q5197" s="1">
        <v>44846</v>
      </c>
      <c r="R5197" t="s">
        <v>27253</v>
      </c>
      <c r="S5197" t="s">
        <v>27254</v>
      </c>
      <c r="T5197" t="s">
        <v>27265</v>
      </c>
    </row>
    <row r="5198" spans="1:20" x14ac:dyDescent="0.3">
      <c r="A5198" t="str">
        <f>"0611862359050"</f>
        <v>0611862359050</v>
      </c>
      <c r="B5198" t="str">
        <f>"CE0704"</f>
        <v>CE0704</v>
      </c>
      <c r="C5198" t="s">
        <v>37298</v>
      </c>
      <c r="D5198" t="s">
        <v>27923</v>
      </c>
      <c r="E5198" t="str">
        <f t="shared" si="81"/>
        <v>001390</v>
      </c>
      <c r="F5198" t="s">
        <v>27246</v>
      </c>
      <c r="G5198" t="s">
        <v>27247</v>
      </c>
      <c r="H5198" t="s">
        <v>27248</v>
      </c>
      <c r="I5198" t="s">
        <v>37299</v>
      </c>
      <c r="J5198" t="s">
        <v>10369</v>
      </c>
      <c r="L5198" t="s">
        <v>27250</v>
      </c>
      <c r="M5198" t="s">
        <v>27251</v>
      </c>
      <c r="N5198" t="s">
        <v>27252</v>
      </c>
      <c r="P5198" t="s">
        <v>27925</v>
      </c>
      <c r="Q5198" s="1">
        <v>44846</v>
      </c>
      <c r="R5198" t="s">
        <v>27253</v>
      </c>
      <c r="S5198" t="s">
        <v>27254</v>
      </c>
      <c r="T5198" t="s">
        <v>27265</v>
      </c>
    </row>
    <row r="5199" spans="1:20" x14ac:dyDescent="0.3">
      <c r="A5199" t="str">
        <f>"0611862360050"</f>
        <v>0611862360050</v>
      </c>
      <c r="B5199" t="str">
        <f>"CE0705"</f>
        <v>CE0705</v>
      </c>
      <c r="C5199" t="s">
        <v>37300</v>
      </c>
      <c r="D5199" t="s">
        <v>27923</v>
      </c>
      <c r="E5199" t="str">
        <f t="shared" si="81"/>
        <v>001390</v>
      </c>
      <c r="F5199" t="s">
        <v>27246</v>
      </c>
      <c r="G5199" t="s">
        <v>27247</v>
      </c>
      <c r="H5199" t="s">
        <v>27248</v>
      </c>
      <c r="I5199" t="s">
        <v>37301</v>
      </c>
      <c r="J5199" t="s">
        <v>10371</v>
      </c>
      <c r="L5199" t="s">
        <v>27250</v>
      </c>
      <c r="M5199" t="s">
        <v>27251</v>
      </c>
      <c r="N5199" t="s">
        <v>27252</v>
      </c>
      <c r="P5199" t="s">
        <v>27925</v>
      </c>
      <c r="Q5199" s="1">
        <v>44846</v>
      </c>
      <c r="R5199" t="s">
        <v>27253</v>
      </c>
      <c r="S5199" t="s">
        <v>27254</v>
      </c>
      <c r="T5199" t="s">
        <v>27265</v>
      </c>
    </row>
    <row r="5200" spans="1:20" x14ac:dyDescent="0.3">
      <c r="A5200" t="str">
        <f>"0611862362050"</f>
        <v>0611862362050</v>
      </c>
      <c r="B5200" t="str">
        <f>"CE0707"</f>
        <v>CE0707</v>
      </c>
      <c r="C5200" t="s">
        <v>37302</v>
      </c>
      <c r="D5200" t="s">
        <v>27923</v>
      </c>
      <c r="E5200" t="str">
        <f t="shared" si="81"/>
        <v>001390</v>
      </c>
      <c r="F5200" t="s">
        <v>27246</v>
      </c>
      <c r="G5200" t="s">
        <v>27247</v>
      </c>
      <c r="H5200" t="s">
        <v>27248</v>
      </c>
      <c r="I5200" t="s">
        <v>37303</v>
      </c>
      <c r="J5200" t="s">
        <v>10373</v>
      </c>
      <c r="L5200" t="s">
        <v>27250</v>
      </c>
      <c r="M5200" t="s">
        <v>27251</v>
      </c>
      <c r="N5200" t="s">
        <v>27252</v>
      </c>
      <c r="P5200" t="s">
        <v>27925</v>
      </c>
      <c r="Q5200" s="1">
        <v>44846</v>
      </c>
      <c r="R5200" t="s">
        <v>27253</v>
      </c>
      <c r="S5200" t="s">
        <v>27254</v>
      </c>
      <c r="T5200" t="s">
        <v>27265</v>
      </c>
    </row>
    <row r="5201" spans="1:20" x14ac:dyDescent="0.3">
      <c r="A5201" t="str">
        <f>"0611862363050"</f>
        <v>0611862363050</v>
      </c>
      <c r="B5201" t="str">
        <f>"CE0708"</f>
        <v>CE0708</v>
      </c>
      <c r="C5201" t="s">
        <v>37304</v>
      </c>
      <c r="D5201" t="s">
        <v>27923</v>
      </c>
      <c r="E5201" t="str">
        <f t="shared" si="81"/>
        <v>001390</v>
      </c>
      <c r="F5201" t="s">
        <v>27246</v>
      </c>
      <c r="G5201" t="s">
        <v>27247</v>
      </c>
      <c r="H5201" t="s">
        <v>27248</v>
      </c>
      <c r="I5201" t="s">
        <v>37305</v>
      </c>
      <c r="J5201" t="s">
        <v>10375</v>
      </c>
      <c r="L5201" t="s">
        <v>27250</v>
      </c>
      <c r="M5201" t="s">
        <v>27251</v>
      </c>
      <c r="N5201" t="s">
        <v>27252</v>
      </c>
      <c r="P5201" t="s">
        <v>27925</v>
      </c>
      <c r="Q5201" s="1">
        <v>44846</v>
      </c>
      <c r="R5201" t="s">
        <v>27253</v>
      </c>
      <c r="S5201" t="s">
        <v>27254</v>
      </c>
      <c r="T5201" t="s">
        <v>27265</v>
      </c>
    </row>
    <row r="5202" spans="1:20" x14ac:dyDescent="0.3">
      <c r="A5202" t="str">
        <f>"0611862364050"</f>
        <v>0611862364050</v>
      </c>
      <c r="B5202" t="str">
        <f>"CE0709"</f>
        <v>CE0709</v>
      </c>
      <c r="C5202" t="s">
        <v>37306</v>
      </c>
      <c r="D5202" t="s">
        <v>27923</v>
      </c>
      <c r="E5202" t="str">
        <f t="shared" si="81"/>
        <v>001390</v>
      </c>
      <c r="F5202" t="s">
        <v>27246</v>
      </c>
      <c r="G5202" t="s">
        <v>27247</v>
      </c>
      <c r="H5202" t="s">
        <v>27248</v>
      </c>
      <c r="I5202" t="s">
        <v>37307</v>
      </c>
      <c r="J5202" t="s">
        <v>10377</v>
      </c>
      <c r="L5202" t="s">
        <v>27250</v>
      </c>
      <c r="M5202" t="s">
        <v>27251</v>
      </c>
      <c r="N5202" t="s">
        <v>27252</v>
      </c>
      <c r="P5202" t="s">
        <v>27925</v>
      </c>
      <c r="Q5202" s="1">
        <v>44846</v>
      </c>
      <c r="R5202" t="s">
        <v>27253</v>
      </c>
      <c r="S5202" t="s">
        <v>27254</v>
      </c>
      <c r="T5202" t="s">
        <v>27265</v>
      </c>
    </row>
    <row r="5203" spans="1:20" x14ac:dyDescent="0.3">
      <c r="A5203" t="str">
        <f>"0611862365050"</f>
        <v>0611862365050</v>
      </c>
      <c r="B5203" t="str">
        <f>"CE1490"</f>
        <v>CE1490</v>
      </c>
      <c r="C5203" t="s">
        <v>37308</v>
      </c>
      <c r="D5203" t="s">
        <v>27923</v>
      </c>
      <c r="E5203" t="str">
        <f t="shared" si="81"/>
        <v>001390</v>
      </c>
      <c r="F5203" t="s">
        <v>27246</v>
      </c>
      <c r="G5203" t="s">
        <v>27247</v>
      </c>
      <c r="H5203" t="s">
        <v>27248</v>
      </c>
      <c r="I5203" t="s">
        <v>37309</v>
      </c>
      <c r="J5203" t="s">
        <v>10379</v>
      </c>
      <c r="L5203" t="s">
        <v>27250</v>
      </c>
      <c r="M5203" t="s">
        <v>27251</v>
      </c>
      <c r="N5203" t="s">
        <v>27252</v>
      </c>
      <c r="P5203" t="s">
        <v>27925</v>
      </c>
      <c r="Q5203" s="1">
        <v>44846</v>
      </c>
      <c r="R5203" t="s">
        <v>27253</v>
      </c>
      <c r="S5203" t="s">
        <v>27254</v>
      </c>
      <c r="T5203" t="s">
        <v>27265</v>
      </c>
    </row>
    <row r="5204" spans="1:20" x14ac:dyDescent="0.3">
      <c r="A5204" t="str">
        <f>"0611837300100"</f>
        <v>0611837300100</v>
      </c>
      <c r="B5204" t="str">
        <f>"LS0036"</f>
        <v>LS0036</v>
      </c>
      <c r="C5204" t="s">
        <v>37310</v>
      </c>
      <c r="D5204" t="s">
        <v>27245</v>
      </c>
      <c r="E5204" t="str">
        <f t="shared" si="81"/>
        <v>001390</v>
      </c>
      <c r="F5204" t="s">
        <v>27246</v>
      </c>
      <c r="G5204" t="s">
        <v>27247</v>
      </c>
      <c r="H5204" t="s">
        <v>27248</v>
      </c>
      <c r="I5204" t="s">
        <v>37311</v>
      </c>
      <c r="J5204" t="s">
        <v>10381</v>
      </c>
      <c r="L5204" t="s">
        <v>27250</v>
      </c>
      <c r="M5204" t="s">
        <v>27251</v>
      </c>
      <c r="N5204" t="s">
        <v>27252</v>
      </c>
      <c r="Q5204" s="1">
        <v>44538</v>
      </c>
      <c r="R5204" t="s">
        <v>27253</v>
      </c>
      <c r="S5204" t="s">
        <v>27254</v>
      </c>
      <c r="T5204" t="s">
        <v>27255</v>
      </c>
    </row>
    <row r="5205" spans="1:20" x14ac:dyDescent="0.3">
      <c r="A5205" t="str">
        <f>"0611834596025"</f>
        <v>0611834596025</v>
      </c>
      <c r="B5205" t="str">
        <f>"MC0305"</f>
        <v>MC0305</v>
      </c>
      <c r="C5205" t="s">
        <v>37312</v>
      </c>
      <c r="D5205" t="s">
        <v>27267</v>
      </c>
      <c r="E5205" t="str">
        <f t="shared" si="81"/>
        <v>001390</v>
      </c>
      <c r="F5205" t="s">
        <v>27246</v>
      </c>
      <c r="G5205" t="s">
        <v>27247</v>
      </c>
      <c r="H5205" t="s">
        <v>27248</v>
      </c>
      <c r="I5205" t="s">
        <v>37313</v>
      </c>
      <c r="J5205" t="s">
        <v>10385</v>
      </c>
      <c r="L5205" t="s">
        <v>27250</v>
      </c>
      <c r="M5205" t="s">
        <v>27251</v>
      </c>
      <c r="N5205" t="s">
        <v>27252</v>
      </c>
      <c r="Q5205" s="1">
        <v>44538</v>
      </c>
      <c r="R5205" t="s">
        <v>27253</v>
      </c>
      <c r="S5205" t="s">
        <v>27254</v>
      </c>
      <c r="T5205" t="s">
        <v>27269</v>
      </c>
    </row>
    <row r="5206" spans="1:20" x14ac:dyDescent="0.3">
      <c r="A5206" t="str">
        <f>"0611862366050"</f>
        <v>0611862366050</v>
      </c>
      <c r="B5206" t="str">
        <f>"CR5187"</f>
        <v>CR5187</v>
      </c>
      <c r="C5206" t="s">
        <v>37314</v>
      </c>
      <c r="D5206" t="s">
        <v>27271</v>
      </c>
      <c r="E5206" t="str">
        <f t="shared" si="81"/>
        <v>001390</v>
      </c>
      <c r="F5206" t="s">
        <v>27246</v>
      </c>
      <c r="G5206" t="s">
        <v>27247</v>
      </c>
      <c r="H5206" t="s">
        <v>27248</v>
      </c>
      <c r="I5206" t="s">
        <v>37315</v>
      </c>
      <c r="J5206" t="s">
        <v>10387</v>
      </c>
      <c r="L5206" t="s">
        <v>27250</v>
      </c>
      <c r="M5206" t="s">
        <v>27251</v>
      </c>
      <c r="N5206" t="s">
        <v>27252</v>
      </c>
      <c r="P5206" t="s">
        <v>27341</v>
      </c>
      <c r="Q5206" s="1">
        <v>44846</v>
      </c>
      <c r="R5206" t="s">
        <v>27253</v>
      </c>
      <c r="S5206" t="s">
        <v>27254</v>
      </c>
      <c r="T5206" t="s">
        <v>27265</v>
      </c>
    </row>
    <row r="5207" spans="1:20" x14ac:dyDescent="0.3">
      <c r="A5207" t="str">
        <f>"0611862367050"</f>
        <v>0611862367050</v>
      </c>
      <c r="B5207" t="str">
        <f>"CR5188"</f>
        <v>CR5188</v>
      </c>
      <c r="C5207" t="s">
        <v>37316</v>
      </c>
      <c r="D5207" t="s">
        <v>27271</v>
      </c>
      <c r="E5207" t="str">
        <f t="shared" si="81"/>
        <v>001390</v>
      </c>
      <c r="F5207" t="s">
        <v>27246</v>
      </c>
      <c r="G5207" t="s">
        <v>27247</v>
      </c>
      <c r="H5207" t="s">
        <v>27248</v>
      </c>
      <c r="I5207" t="s">
        <v>37317</v>
      </c>
      <c r="J5207" t="s">
        <v>10389</v>
      </c>
      <c r="L5207" t="s">
        <v>27250</v>
      </c>
      <c r="M5207" t="s">
        <v>27251</v>
      </c>
      <c r="N5207" t="s">
        <v>27252</v>
      </c>
      <c r="P5207" t="s">
        <v>27341</v>
      </c>
      <c r="Q5207" s="1">
        <v>44846</v>
      </c>
      <c r="R5207" t="s">
        <v>27253</v>
      </c>
      <c r="S5207" t="s">
        <v>27254</v>
      </c>
      <c r="T5207" t="s">
        <v>27265</v>
      </c>
    </row>
    <row r="5208" spans="1:20" x14ac:dyDescent="0.3">
      <c r="A5208" t="str">
        <f>"0611862368050"</f>
        <v>0611862368050</v>
      </c>
      <c r="B5208" t="str">
        <f>"CR5071"</f>
        <v>CR5071</v>
      </c>
      <c r="C5208" t="s">
        <v>37318</v>
      </c>
      <c r="D5208" t="s">
        <v>27271</v>
      </c>
      <c r="E5208" t="str">
        <f t="shared" si="81"/>
        <v>001390</v>
      </c>
      <c r="F5208" t="s">
        <v>27246</v>
      </c>
      <c r="G5208" t="s">
        <v>27247</v>
      </c>
      <c r="H5208" t="s">
        <v>27248</v>
      </c>
      <c r="I5208" t="s">
        <v>37319</v>
      </c>
      <c r="J5208" t="s">
        <v>10391</v>
      </c>
      <c r="L5208" t="s">
        <v>27250</v>
      </c>
      <c r="M5208" t="s">
        <v>27251</v>
      </c>
      <c r="N5208" t="s">
        <v>27252</v>
      </c>
      <c r="P5208" t="s">
        <v>27341</v>
      </c>
      <c r="Q5208" s="1">
        <v>44846</v>
      </c>
      <c r="R5208" t="s">
        <v>27253</v>
      </c>
      <c r="S5208" t="s">
        <v>27254</v>
      </c>
      <c r="T5208" t="s">
        <v>27265</v>
      </c>
    </row>
    <row r="5209" spans="1:20" x14ac:dyDescent="0.3">
      <c r="A5209" t="str">
        <f>"0611862369050"</f>
        <v>0611862369050</v>
      </c>
      <c r="B5209" t="str">
        <f>"CR5189"</f>
        <v>CR5189</v>
      </c>
      <c r="C5209" t="s">
        <v>37320</v>
      </c>
      <c r="D5209" t="s">
        <v>27271</v>
      </c>
      <c r="E5209" t="str">
        <f t="shared" si="81"/>
        <v>001390</v>
      </c>
      <c r="F5209" t="s">
        <v>27246</v>
      </c>
      <c r="G5209" t="s">
        <v>27247</v>
      </c>
      <c r="H5209" t="s">
        <v>27248</v>
      </c>
      <c r="I5209" t="s">
        <v>37321</v>
      </c>
      <c r="J5209" t="s">
        <v>10393</v>
      </c>
      <c r="L5209" t="s">
        <v>27250</v>
      </c>
      <c r="M5209" t="s">
        <v>27251</v>
      </c>
      <c r="N5209" t="s">
        <v>27252</v>
      </c>
      <c r="P5209" t="s">
        <v>27341</v>
      </c>
      <c r="Q5209" s="1">
        <v>44846</v>
      </c>
      <c r="R5209" t="s">
        <v>27253</v>
      </c>
      <c r="S5209" t="s">
        <v>27254</v>
      </c>
      <c r="T5209" t="s">
        <v>27265</v>
      </c>
    </row>
    <row r="5210" spans="1:20" x14ac:dyDescent="0.3">
      <c r="A5210" t="str">
        <f>"0611862370050"</f>
        <v>0611862370050</v>
      </c>
      <c r="B5210" t="str">
        <f>"CR5072"</f>
        <v>CR5072</v>
      </c>
      <c r="C5210" t="s">
        <v>37322</v>
      </c>
      <c r="D5210" t="s">
        <v>27271</v>
      </c>
      <c r="E5210" t="str">
        <f t="shared" si="81"/>
        <v>001390</v>
      </c>
      <c r="F5210" t="s">
        <v>27246</v>
      </c>
      <c r="G5210" t="s">
        <v>27247</v>
      </c>
      <c r="H5210" t="s">
        <v>27248</v>
      </c>
      <c r="I5210" t="s">
        <v>37323</v>
      </c>
      <c r="J5210" t="s">
        <v>10395</v>
      </c>
      <c r="L5210" t="s">
        <v>27250</v>
      </c>
      <c r="M5210" t="s">
        <v>27251</v>
      </c>
      <c r="N5210" t="s">
        <v>27252</v>
      </c>
      <c r="P5210" t="s">
        <v>27341</v>
      </c>
      <c r="Q5210" s="1">
        <v>44846</v>
      </c>
      <c r="R5210" t="s">
        <v>27253</v>
      </c>
      <c r="S5210" t="s">
        <v>27254</v>
      </c>
      <c r="T5210" t="s">
        <v>27265</v>
      </c>
    </row>
    <row r="5211" spans="1:20" x14ac:dyDescent="0.3">
      <c r="A5211" t="str">
        <f>"0611862371050"</f>
        <v>0611862371050</v>
      </c>
      <c r="B5211" t="str">
        <f>"CR5190"</f>
        <v>CR5190</v>
      </c>
      <c r="C5211" t="s">
        <v>37324</v>
      </c>
      <c r="D5211" t="s">
        <v>27271</v>
      </c>
      <c r="E5211" t="str">
        <f t="shared" si="81"/>
        <v>001390</v>
      </c>
      <c r="F5211" t="s">
        <v>27246</v>
      </c>
      <c r="G5211" t="s">
        <v>27247</v>
      </c>
      <c r="H5211" t="s">
        <v>27248</v>
      </c>
      <c r="I5211" t="s">
        <v>37325</v>
      </c>
      <c r="J5211" t="s">
        <v>10397</v>
      </c>
      <c r="L5211" t="s">
        <v>27250</v>
      </c>
      <c r="M5211" t="s">
        <v>27251</v>
      </c>
      <c r="N5211" t="s">
        <v>27252</v>
      </c>
      <c r="P5211" t="s">
        <v>27341</v>
      </c>
      <c r="Q5211" s="1">
        <v>44846</v>
      </c>
      <c r="R5211" t="s">
        <v>27253</v>
      </c>
      <c r="S5211" t="s">
        <v>27254</v>
      </c>
      <c r="T5211" t="s">
        <v>27265</v>
      </c>
    </row>
    <row r="5212" spans="1:20" x14ac:dyDescent="0.3">
      <c r="A5212" t="str">
        <f>"0611862372050"</f>
        <v>0611862372050</v>
      </c>
      <c r="B5212" t="str">
        <f>"CR5191"</f>
        <v>CR5191</v>
      </c>
      <c r="C5212" t="s">
        <v>37326</v>
      </c>
      <c r="D5212" t="s">
        <v>27271</v>
      </c>
      <c r="E5212" t="str">
        <f t="shared" si="81"/>
        <v>001390</v>
      </c>
      <c r="F5212" t="s">
        <v>27246</v>
      </c>
      <c r="G5212" t="s">
        <v>27247</v>
      </c>
      <c r="H5212" t="s">
        <v>27248</v>
      </c>
      <c r="I5212" t="s">
        <v>37327</v>
      </c>
      <c r="J5212" t="s">
        <v>10399</v>
      </c>
      <c r="L5212" t="s">
        <v>27250</v>
      </c>
      <c r="M5212" t="s">
        <v>27251</v>
      </c>
      <c r="N5212" t="s">
        <v>27252</v>
      </c>
      <c r="P5212" t="s">
        <v>27341</v>
      </c>
      <c r="Q5212" s="1">
        <v>44846</v>
      </c>
      <c r="R5212" t="s">
        <v>27253</v>
      </c>
      <c r="S5212" t="s">
        <v>27254</v>
      </c>
      <c r="T5212" t="s">
        <v>27265</v>
      </c>
    </row>
    <row r="5213" spans="1:20" x14ac:dyDescent="0.3">
      <c r="A5213" t="str">
        <f>"0611862373050"</f>
        <v>0611862373050</v>
      </c>
      <c r="B5213" t="str">
        <f>"CR2304"</f>
        <v>CR2304</v>
      </c>
      <c r="C5213" t="s">
        <v>37328</v>
      </c>
      <c r="D5213" t="s">
        <v>27271</v>
      </c>
      <c r="E5213" t="str">
        <f t="shared" si="81"/>
        <v>001390</v>
      </c>
      <c r="F5213" t="s">
        <v>27246</v>
      </c>
      <c r="G5213" t="s">
        <v>27247</v>
      </c>
      <c r="H5213" t="s">
        <v>27248</v>
      </c>
      <c r="I5213" t="s">
        <v>37329</v>
      </c>
      <c r="J5213" t="s">
        <v>10401</v>
      </c>
      <c r="L5213" t="s">
        <v>27250</v>
      </c>
      <c r="M5213" t="s">
        <v>27251</v>
      </c>
      <c r="N5213" t="s">
        <v>27252</v>
      </c>
      <c r="P5213" t="s">
        <v>27341</v>
      </c>
      <c r="Q5213" s="1">
        <v>44846</v>
      </c>
      <c r="R5213" t="s">
        <v>27253</v>
      </c>
      <c r="S5213" t="s">
        <v>27254</v>
      </c>
      <c r="T5213" t="s">
        <v>27265</v>
      </c>
    </row>
    <row r="5214" spans="1:20" x14ac:dyDescent="0.3">
      <c r="A5214" t="str">
        <f>"0611862374050"</f>
        <v>0611862374050</v>
      </c>
      <c r="B5214" t="str">
        <f>"CR2305"</f>
        <v>CR2305</v>
      </c>
      <c r="C5214" t="s">
        <v>37330</v>
      </c>
      <c r="D5214" t="s">
        <v>27271</v>
      </c>
      <c r="E5214" t="str">
        <f t="shared" si="81"/>
        <v>001390</v>
      </c>
      <c r="F5214" t="s">
        <v>27246</v>
      </c>
      <c r="G5214" t="s">
        <v>27247</v>
      </c>
      <c r="H5214" t="s">
        <v>27248</v>
      </c>
      <c r="I5214" t="s">
        <v>37331</v>
      </c>
      <c r="J5214" t="s">
        <v>10403</v>
      </c>
      <c r="L5214" t="s">
        <v>27250</v>
      </c>
      <c r="M5214" t="s">
        <v>27251</v>
      </c>
      <c r="N5214" t="s">
        <v>27252</v>
      </c>
      <c r="P5214" t="s">
        <v>27341</v>
      </c>
      <c r="Q5214" s="1">
        <v>44846</v>
      </c>
      <c r="R5214" t="s">
        <v>27253</v>
      </c>
      <c r="S5214" t="s">
        <v>27254</v>
      </c>
      <c r="T5214" t="s">
        <v>27265</v>
      </c>
    </row>
    <row r="5215" spans="1:20" x14ac:dyDescent="0.3">
      <c r="A5215" t="str">
        <f>"0611862375050"</f>
        <v>0611862375050</v>
      </c>
      <c r="B5215" t="str">
        <f>"CR2306"</f>
        <v>CR2306</v>
      </c>
      <c r="C5215" t="s">
        <v>37332</v>
      </c>
      <c r="D5215" t="s">
        <v>27271</v>
      </c>
      <c r="E5215" t="str">
        <f t="shared" si="81"/>
        <v>001390</v>
      </c>
      <c r="F5215" t="s">
        <v>27246</v>
      </c>
      <c r="G5215" t="s">
        <v>27247</v>
      </c>
      <c r="H5215" t="s">
        <v>27248</v>
      </c>
      <c r="I5215" t="s">
        <v>37333</v>
      </c>
      <c r="J5215" t="s">
        <v>10405</v>
      </c>
      <c r="L5215" t="s">
        <v>27250</v>
      </c>
      <c r="M5215" t="s">
        <v>27251</v>
      </c>
      <c r="N5215" t="s">
        <v>27252</v>
      </c>
      <c r="P5215" t="s">
        <v>27341</v>
      </c>
      <c r="Q5215" s="1">
        <v>44846</v>
      </c>
      <c r="R5215" t="s">
        <v>27253</v>
      </c>
      <c r="S5215" t="s">
        <v>27254</v>
      </c>
      <c r="T5215" t="s">
        <v>27265</v>
      </c>
    </row>
    <row r="5216" spans="1:20" x14ac:dyDescent="0.3">
      <c r="A5216" t="str">
        <f>"0611862376050"</f>
        <v>0611862376050</v>
      </c>
      <c r="B5216" t="str">
        <f>"CR2641"</f>
        <v>CR2641</v>
      </c>
      <c r="C5216" t="s">
        <v>37334</v>
      </c>
      <c r="D5216" t="s">
        <v>27271</v>
      </c>
      <c r="E5216" t="str">
        <f t="shared" si="81"/>
        <v>001390</v>
      </c>
      <c r="F5216" t="s">
        <v>27246</v>
      </c>
      <c r="G5216" t="s">
        <v>27247</v>
      </c>
      <c r="H5216" t="s">
        <v>27248</v>
      </c>
      <c r="I5216" t="s">
        <v>37335</v>
      </c>
      <c r="J5216" t="s">
        <v>10407</v>
      </c>
      <c r="L5216" t="s">
        <v>27250</v>
      </c>
      <c r="M5216" t="s">
        <v>27251</v>
      </c>
      <c r="N5216" t="s">
        <v>27252</v>
      </c>
      <c r="P5216" t="s">
        <v>27341</v>
      </c>
      <c r="Q5216" s="1">
        <v>44846</v>
      </c>
      <c r="R5216" t="s">
        <v>27253</v>
      </c>
      <c r="S5216" t="s">
        <v>27254</v>
      </c>
      <c r="T5216" t="s">
        <v>27265</v>
      </c>
    </row>
    <row r="5217" spans="1:20" x14ac:dyDescent="0.3">
      <c r="A5217" t="str">
        <f>"0611862377050"</f>
        <v>0611862377050</v>
      </c>
      <c r="B5217" t="str">
        <f>"CR2642"</f>
        <v>CR2642</v>
      </c>
      <c r="C5217" t="s">
        <v>37336</v>
      </c>
      <c r="D5217" t="s">
        <v>27271</v>
      </c>
      <c r="E5217" t="str">
        <f t="shared" si="81"/>
        <v>001390</v>
      </c>
      <c r="F5217" t="s">
        <v>27246</v>
      </c>
      <c r="G5217" t="s">
        <v>27247</v>
      </c>
      <c r="H5217" t="s">
        <v>27248</v>
      </c>
      <c r="I5217" t="s">
        <v>37337</v>
      </c>
      <c r="J5217" t="s">
        <v>10409</v>
      </c>
      <c r="L5217" t="s">
        <v>27250</v>
      </c>
      <c r="M5217" t="s">
        <v>27251</v>
      </c>
      <c r="N5217" t="s">
        <v>27252</v>
      </c>
      <c r="P5217" t="s">
        <v>27341</v>
      </c>
      <c r="Q5217" s="1">
        <v>44846</v>
      </c>
      <c r="R5217" t="s">
        <v>27253</v>
      </c>
      <c r="S5217" t="s">
        <v>27254</v>
      </c>
      <c r="T5217" t="s">
        <v>27265</v>
      </c>
    </row>
    <row r="5218" spans="1:20" x14ac:dyDescent="0.3">
      <c r="A5218" t="str">
        <f>"0611862378050"</f>
        <v>0611862378050</v>
      </c>
      <c r="B5218" t="str">
        <f>"CR2307"</f>
        <v>CR2307</v>
      </c>
      <c r="C5218" t="s">
        <v>37338</v>
      </c>
      <c r="D5218" t="s">
        <v>27271</v>
      </c>
      <c r="E5218" t="str">
        <f t="shared" si="81"/>
        <v>001390</v>
      </c>
      <c r="F5218" t="s">
        <v>27246</v>
      </c>
      <c r="G5218" t="s">
        <v>27247</v>
      </c>
      <c r="H5218" t="s">
        <v>27248</v>
      </c>
      <c r="I5218" t="s">
        <v>37339</v>
      </c>
      <c r="J5218" t="s">
        <v>10411</v>
      </c>
      <c r="L5218" t="s">
        <v>27250</v>
      </c>
      <c r="M5218" t="s">
        <v>27251</v>
      </c>
      <c r="N5218" t="s">
        <v>27252</v>
      </c>
      <c r="P5218" t="s">
        <v>27341</v>
      </c>
      <c r="Q5218" s="1">
        <v>44846</v>
      </c>
      <c r="R5218" t="s">
        <v>27253</v>
      </c>
      <c r="S5218" t="s">
        <v>27254</v>
      </c>
      <c r="T5218" t="s">
        <v>27265</v>
      </c>
    </row>
    <row r="5219" spans="1:20" x14ac:dyDescent="0.3">
      <c r="A5219" t="str">
        <f>"0611862379050"</f>
        <v>0611862379050</v>
      </c>
      <c r="B5219" t="str">
        <f>"CR5192"</f>
        <v>CR5192</v>
      </c>
      <c r="C5219" t="s">
        <v>37340</v>
      </c>
      <c r="D5219" t="s">
        <v>27271</v>
      </c>
      <c r="E5219" t="str">
        <f t="shared" si="81"/>
        <v>001390</v>
      </c>
      <c r="F5219" t="s">
        <v>27246</v>
      </c>
      <c r="G5219" t="s">
        <v>27247</v>
      </c>
      <c r="H5219" t="s">
        <v>27248</v>
      </c>
      <c r="I5219" t="s">
        <v>37341</v>
      </c>
      <c r="J5219" t="s">
        <v>10413</v>
      </c>
      <c r="L5219" t="s">
        <v>27250</v>
      </c>
      <c r="M5219" t="s">
        <v>27251</v>
      </c>
      <c r="N5219" t="s">
        <v>27252</v>
      </c>
      <c r="P5219" t="s">
        <v>27341</v>
      </c>
      <c r="Q5219" s="1">
        <v>44846</v>
      </c>
      <c r="R5219" t="s">
        <v>27253</v>
      </c>
      <c r="S5219" t="s">
        <v>27254</v>
      </c>
      <c r="T5219" t="s">
        <v>27265</v>
      </c>
    </row>
    <row r="5220" spans="1:20" x14ac:dyDescent="0.3">
      <c r="A5220" t="str">
        <f>"0611862380050"</f>
        <v>0611862380050</v>
      </c>
      <c r="B5220" t="str">
        <f>"CR2308"</f>
        <v>CR2308</v>
      </c>
      <c r="C5220" t="s">
        <v>37342</v>
      </c>
      <c r="D5220" t="s">
        <v>27271</v>
      </c>
      <c r="E5220" t="str">
        <f t="shared" si="81"/>
        <v>001390</v>
      </c>
      <c r="F5220" t="s">
        <v>27246</v>
      </c>
      <c r="G5220" t="s">
        <v>27247</v>
      </c>
      <c r="H5220" t="s">
        <v>27248</v>
      </c>
      <c r="I5220" t="s">
        <v>37343</v>
      </c>
      <c r="J5220" t="s">
        <v>10415</v>
      </c>
      <c r="L5220" t="s">
        <v>27250</v>
      </c>
      <c r="M5220" t="s">
        <v>27251</v>
      </c>
      <c r="N5220" t="s">
        <v>27252</v>
      </c>
      <c r="P5220" t="s">
        <v>27341</v>
      </c>
      <c r="Q5220" s="1">
        <v>44846</v>
      </c>
      <c r="R5220" t="s">
        <v>27253</v>
      </c>
      <c r="S5220" t="s">
        <v>27254</v>
      </c>
      <c r="T5220" t="s">
        <v>27265</v>
      </c>
    </row>
    <row r="5221" spans="1:20" x14ac:dyDescent="0.3">
      <c r="A5221" t="str">
        <f>"0611862381050"</f>
        <v>0611862381050</v>
      </c>
      <c r="B5221" t="str">
        <f>"CR4097"</f>
        <v>CR4097</v>
      </c>
      <c r="C5221" t="s">
        <v>37344</v>
      </c>
      <c r="D5221" t="s">
        <v>27271</v>
      </c>
      <c r="E5221" t="str">
        <f t="shared" si="81"/>
        <v>001390</v>
      </c>
      <c r="F5221" t="s">
        <v>27246</v>
      </c>
      <c r="G5221" t="s">
        <v>27247</v>
      </c>
      <c r="H5221" t="s">
        <v>27248</v>
      </c>
      <c r="I5221" t="s">
        <v>37345</v>
      </c>
      <c r="J5221" t="s">
        <v>10417</v>
      </c>
      <c r="L5221" t="s">
        <v>27250</v>
      </c>
      <c r="M5221" t="s">
        <v>27251</v>
      </c>
      <c r="N5221" t="s">
        <v>27252</v>
      </c>
      <c r="P5221" t="s">
        <v>27341</v>
      </c>
      <c r="Q5221" s="1">
        <v>44846</v>
      </c>
      <c r="R5221" t="s">
        <v>27253</v>
      </c>
      <c r="S5221" t="s">
        <v>27254</v>
      </c>
      <c r="T5221" t="s">
        <v>27265</v>
      </c>
    </row>
    <row r="5222" spans="1:20" x14ac:dyDescent="0.3">
      <c r="A5222" t="str">
        <f>"0611862382050"</f>
        <v>0611862382050</v>
      </c>
      <c r="B5222" t="str">
        <f>"CR2309"</f>
        <v>CR2309</v>
      </c>
      <c r="C5222" t="s">
        <v>37346</v>
      </c>
      <c r="D5222" t="s">
        <v>27271</v>
      </c>
      <c r="E5222" t="str">
        <f t="shared" si="81"/>
        <v>001390</v>
      </c>
      <c r="F5222" t="s">
        <v>27246</v>
      </c>
      <c r="G5222" t="s">
        <v>27247</v>
      </c>
      <c r="H5222" t="s">
        <v>27248</v>
      </c>
      <c r="I5222" t="s">
        <v>37347</v>
      </c>
      <c r="J5222" t="s">
        <v>10419</v>
      </c>
      <c r="L5222" t="s">
        <v>27250</v>
      </c>
      <c r="M5222" t="s">
        <v>27251</v>
      </c>
      <c r="N5222" t="s">
        <v>27252</v>
      </c>
      <c r="P5222" t="s">
        <v>27341</v>
      </c>
      <c r="Q5222" s="1">
        <v>44846</v>
      </c>
      <c r="R5222" t="s">
        <v>27253</v>
      </c>
      <c r="S5222" t="s">
        <v>27254</v>
      </c>
      <c r="T5222" t="s">
        <v>27265</v>
      </c>
    </row>
    <row r="5223" spans="1:20" x14ac:dyDescent="0.3">
      <c r="A5223" t="str">
        <f>"0611862383050"</f>
        <v>0611862383050</v>
      </c>
      <c r="B5223" t="str">
        <f>"CR2310"</f>
        <v>CR2310</v>
      </c>
      <c r="C5223" t="s">
        <v>37348</v>
      </c>
      <c r="D5223" t="s">
        <v>27271</v>
      </c>
      <c r="E5223" t="str">
        <f t="shared" si="81"/>
        <v>001390</v>
      </c>
      <c r="F5223" t="s">
        <v>27246</v>
      </c>
      <c r="G5223" t="s">
        <v>27247</v>
      </c>
      <c r="H5223" t="s">
        <v>27248</v>
      </c>
      <c r="I5223" t="s">
        <v>37349</v>
      </c>
      <c r="J5223" t="s">
        <v>10421</v>
      </c>
      <c r="L5223" t="s">
        <v>27250</v>
      </c>
      <c r="M5223" t="s">
        <v>27251</v>
      </c>
      <c r="N5223" t="s">
        <v>27252</v>
      </c>
      <c r="P5223" t="s">
        <v>27341</v>
      </c>
      <c r="Q5223" s="1">
        <v>44846</v>
      </c>
      <c r="R5223" t="s">
        <v>27253</v>
      </c>
      <c r="S5223" t="s">
        <v>27254</v>
      </c>
      <c r="T5223" t="s">
        <v>27265</v>
      </c>
    </row>
    <row r="5224" spans="1:20" x14ac:dyDescent="0.3">
      <c r="A5224" t="str">
        <f>"0611862384050"</f>
        <v>0611862384050</v>
      </c>
      <c r="B5224" t="str">
        <f>"CR2311"</f>
        <v>CR2311</v>
      </c>
      <c r="C5224" t="s">
        <v>37350</v>
      </c>
      <c r="D5224" t="s">
        <v>27271</v>
      </c>
      <c r="E5224" t="str">
        <f t="shared" si="81"/>
        <v>001390</v>
      </c>
      <c r="F5224" t="s">
        <v>27246</v>
      </c>
      <c r="G5224" t="s">
        <v>27247</v>
      </c>
      <c r="H5224" t="s">
        <v>27248</v>
      </c>
      <c r="I5224" t="s">
        <v>37351</v>
      </c>
      <c r="J5224" t="s">
        <v>10423</v>
      </c>
      <c r="L5224" t="s">
        <v>27250</v>
      </c>
      <c r="M5224" t="s">
        <v>27251</v>
      </c>
      <c r="N5224" t="s">
        <v>27252</v>
      </c>
      <c r="P5224" t="s">
        <v>27341</v>
      </c>
      <c r="Q5224" s="1">
        <v>44846</v>
      </c>
      <c r="R5224" t="s">
        <v>27253</v>
      </c>
      <c r="S5224" t="s">
        <v>27254</v>
      </c>
      <c r="T5224" t="s">
        <v>27265</v>
      </c>
    </row>
    <row r="5225" spans="1:20" x14ac:dyDescent="0.3">
      <c r="A5225" t="str">
        <f>"0611862385050"</f>
        <v>0611862385050</v>
      </c>
      <c r="B5225" t="str">
        <f>"CR2961"</f>
        <v>CR2961</v>
      </c>
      <c r="C5225" t="s">
        <v>37352</v>
      </c>
      <c r="D5225" t="s">
        <v>27271</v>
      </c>
      <c r="E5225" t="str">
        <f t="shared" si="81"/>
        <v>001390</v>
      </c>
      <c r="F5225" t="s">
        <v>27246</v>
      </c>
      <c r="G5225" t="s">
        <v>27247</v>
      </c>
      <c r="H5225" t="s">
        <v>27248</v>
      </c>
      <c r="I5225" t="s">
        <v>37353</v>
      </c>
      <c r="J5225" t="s">
        <v>10425</v>
      </c>
      <c r="L5225" t="s">
        <v>27250</v>
      </c>
      <c r="M5225" t="s">
        <v>27251</v>
      </c>
      <c r="N5225" t="s">
        <v>27252</v>
      </c>
      <c r="P5225" t="s">
        <v>27341</v>
      </c>
      <c r="Q5225" s="1">
        <v>44846</v>
      </c>
      <c r="R5225" t="s">
        <v>27253</v>
      </c>
      <c r="S5225" t="s">
        <v>27254</v>
      </c>
      <c r="T5225" t="s">
        <v>27265</v>
      </c>
    </row>
    <row r="5226" spans="1:20" x14ac:dyDescent="0.3">
      <c r="A5226" t="str">
        <f>"0611862386050"</f>
        <v>0611862386050</v>
      </c>
      <c r="B5226" t="str">
        <f>"CR2312"</f>
        <v>CR2312</v>
      </c>
      <c r="C5226" t="s">
        <v>37354</v>
      </c>
      <c r="D5226" t="s">
        <v>27271</v>
      </c>
      <c r="E5226" t="str">
        <f t="shared" si="81"/>
        <v>001390</v>
      </c>
      <c r="F5226" t="s">
        <v>27246</v>
      </c>
      <c r="G5226" t="s">
        <v>27247</v>
      </c>
      <c r="H5226" t="s">
        <v>27248</v>
      </c>
      <c r="I5226" t="s">
        <v>37355</v>
      </c>
      <c r="J5226" t="s">
        <v>10427</v>
      </c>
      <c r="L5226" t="s">
        <v>27250</v>
      </c>
      <c r="M5226" t="s">
        <v>27251</v>
      </c>
      <c r="N5226" t="s">
        <v>27252</v>
      </c>
      <c r="P5226" t="s">
        <v>27341</v>
      </c>
      <c r="Q5226" s="1">
        <v>44846</v>
      </c>
      <c r="R5226" t="s">
        <v>27253</v>
      </c>
      <c r="S5226" t="s">
        <v>27254</v>
      </c>
      <c r="T5226" t="s">
        <v>27265</v>
      </c>
    </row>
    <row r="5227" spans="1:20" x14ac:dyDescent="0.3">
      <c r="A5227" t="str">
        <f>"0611862387050"</f>
        <v>0611862387050</v>
      </c>
      <c r="B5227" t="str">
        <f>"CR2313"</f>
        <v>CR2313</v>
      </c>
      <c r="C5227" t="s">
        <v>37356</v>
      </c>
      <c r="D5227" t="s">
        <v>27271</v>
      </c>
      <c r="E5227" t="str">
        <f t="shared" si="81"/>
        <v>001390</v>
      </c>
      <c r="F5227" t="s">
        <v>27246</v>
      </c>
      <c r="G5227" t="s">
        <v>27247</v>
      </c>
      <c r="H5227" t="s">
        <v>27248</v>
      </c>
      <c r="I5227" t="s">
        <v>37357</v>
      </c>
      <c r="J5227" t="s">
        <v>10429</v>
      </c>
      <c r="L5227" t="s">
        <v>27250</v>
      </c>
      <c r="M5227" t="s">
        <v>27251</v>
      </c>
      <c r="N5227" t="s">
        <v>27252</v>
      </c>
      <c r="P5227" t="s">
        <v>27341</v>
      </c>
      <c r="Q5227" s="1">
        <v>44846</v>
      </c>
      <c r="R5227" t="s">
        <v>27253</v>
      </c>
      <c r="S5227" t="s">
        <v>27254</v>
      </c>
      <c r="T5227" t="s">
        <v>27265</v>
      </c>
    </row>
    <row r="5228" spans="1:20" x14ac:dyDescent="0.3">
      <c r="A5228" t="str">
        <f>"0611862388050"</f>
        <v>0611862388050</v>
      </c>
      <c r="B5228" t="str">
        <f>"CR3467"</f>
        <v>CR3467</v>
      </c>
      <c r="C5228" t="s">
        <v>37358</v>
      </c>
      <c r="D5228" t="s">
        <v>27271</v>
      </c>
      <c r="E5228" t="str">
        <f t="shared" si="81"/>
        <v>001390</v>
      </c>
      <c r="F5228" t="s">
        <v>27246</v>
      </c>
      <c r="G5228" t="s">
        <v>27247</v>
      </c>
      <c r="H5228" t="s">
        <v>27248</v>
      </c>
      <c r="I5228" t="s">
        <v>37359</v>
      </c>
      <c r="J5228" t="s">
        <v>10431</v>
      </c>
      <c r="L5228" t="s">
        <v>27250</v>
      </c>
      <c r="M5228" t="s">
        <v>27251</v>
      </c>
      <c r="N5228" t="s">
        <v>27252</v>
      </c>
      <c r="P5228" t="s">
        <v>27341</v>
      </c>
      <c r="Q5228" s="1">
        <v>44846</v>
      </c>
      <c r="R5228" t="s">
        <v>27253</v>
      </c>
      <c r="S5228" t="s">
        <v>27254</v>
      </c>
      <c r="T5228" t="s">
        <v>27265</v>
      </c>
    </row>
    <row r="5229" spans="1:20" x14ac:dyDescent="0.3">
      <c r="A5229" t="str">
        <f>"0611862389050"</f>
        <v>0611862389050</v>
      </c>
      <c r="B5229" t="str">
        <f>"CR2315"</f>
        <v>CR2315</v>
      </c>
      <c r="C5229" t="s">
        <v>37360</v>
      </c>
      <c r="D5229" t="s">
        <v>27271</v>
      </c>
      <c r="E5229" t="str">
        <f t="shared" si="81"/>
        <v>001390</v>
      </c>
      <c r="F5229" t="s">
        <v>27246</v>
      </c>
      <c r="G5229" t="s">
        <v>27247</v>
      </c>
      <c r="H5229" t="s">
        <v>27248</v>
      </c>
      <c r="I5229" t="s">
        <v>37361</v>
      </c>
      <c r="J5229" t="s">
        <v>10433</v>
      </c>
      <c r="L5229" t="s">
        <v>27250</v>
      </c>
      <c r="M5229" t="s">
        <v>27251</v>
      </c>
      <c r="N5229" t="s">
        <v>27252</v>
      </c>
      <c r="P5229" t="s">
        <v>27341</v>
      </c>
      <c r="Q5229" s="1">
        <v>44846</v>
      </c>
      <c r="R5229" t="s">
        <v>27253</v>
      </c>
      <c r="S5229" t="s">
        <v>27254</v>
      </c>
      <c r="T5229" t="s">
        <v>27265</v>
      </c>
    </row>
    <row r="5230" spans="1:20" x14ac:dyDescent="0.3">
      <c r="A5230" t="str">
        <f>"0611862390050"</f>
        <v>0611862390050</v>
      </c>
      <c r="B5230" t="str">
        <f>"CR2314"</f>
        <v>CR2314</v>
      </c>
      <c r="C5230" t="s">
        <v>37362</v>
      </c>
      <c r="D5230" t="s">
        <v>27271</v>
      </c>
      <c r="E5230" t="str">
        <f t="shared" si="81"/>
        <v>001390</v>
      </c>
      <c r="F5230" t="s">
        <v>27246</v>
      </c>
      <c r="G5230" t="s">
        <v>27247</v>
      </c>
      <c r="H5230" t="s">
        <v>27248</v>
      </c>
      <c r="I5230" t="s">
        <v>37363</v>
      </c>
      <c r="J5230" t="s">
        <v>10435</v>
      </c>
      <c r="L5230" t="s">
        <v>27250</v>
      </c>
      <c r="M5230" t="s">
        <v>27251</v>
      </c>
      <c r="N5230" t="s">
        <v>27252</v>
      </c>
      <c r="P5230" t="s">
        <v>27341</v>
      </c>
      <c r="Q5230" s="1">
        <v>44846</v>
      </c>
      <c r="R5230" t="s">
        <v>27253</v>
      </c>
      <c r="S5230" t="s">
        <v>27254</v>
      </c>
      <c r="T5230" t="s">
        <v>27265</v>
      </c>
    </row>
    <row r="5231" spans="1:20" x14ac:dyDescent="0.3">
      <c r="A5231" t="str">
        <f>"0611862391050"</f>
        <v>0611862391050</v>
      </c>
      <c r="B5231" t="str">
        <f>"CR2316"</f>
        <v>CR2316</v>
      </c>
      <c r="C5231" t="s">
        <v>37364</v>
      </c>
      <c r="D5231" t="s">
        <v>27271</v>
      </c>
      <c r="E5231" t="str">
        <f t="shared" si="81"/>
        <v>001390</v>
      </c>
      <c r="F5231" t="s">
        <v>27246</v>
      </c>
      <c r="G5231" t="s">
        <v>27247</v>
      </c>
      <c r="H5231" t="s">
        <v>27248</v>
      </c>
      <c r="I5231" t="s">
        <v>37365</v>
      </c>
      <c r="J5231" t="s">
        <v>10437</v>
      </c>
      <c r="L5231" t="s">
        <v>27250</v>
      </c>
      <c r="M5231" t="s">
        <v>27251</v>
      </c>
      <c r="N5231" t="s">
        <v>27252</v>
      </c>
      <c r="P5231" t="s">
        <v>27341</v>
      </c>
      <c r="Q5231" s="1">
        <v>44846</v>
      </c>
      <c r="R5231" t="s">
        <v>27253</v>
      </c>
      <c r="S5231" t="s">
        <v>27254</v>
      </c>
      <c r="T5231" t="s">
        <v>27265</v>
      </c>
    </row>
    <row r="5232" spans="1:20" x14ac:dyDescent="0.3">
      <c r="A5232" t="str">
        <f>"0611884235050"</f>
        <v>0611884235050</v>
      </c>
      <c r="B5232" t="str">
        <f>"CR5409"</f>
        <v>CR5409</v>
      </c>
      <c r="C5232" t="s">
        <v>37366</v>
      </c>
      <c r="D5232" t="s">
        <v>27271</v>
      </c>
      <c r="E5232" t="str">
        <f t="shared" si="81"/>
        <v>001390</v>
      </c>
      <c r="F5232" t="s">
        <v>27246</v>
      </c>
      <c r="G5232" t="s">
        <v>27247</v>
      </c>
      <c r="H5232" t="s">
        <v>27248</v>
      </c>
      <c r="I5232" t="s">
        <v>37367</v>
      </c>
      <c r="J5232" t="s">
        <v>10439</v>
      </c>
      <c r="L5232" t="s">
        <v>27430</v>
      </c>
      <c r="M5232" t="s">
        <v>27251</v>
      </c>
      <c r="N5232" t="s">
        <v>27252</v>
      </c>
      <c r="P5232" t="s">
        <v>27341</v>
      </c>
      <c r="Q5232" s="1">
        <v>45250</v>
      </c>
      <c r="R5232" t="s">
        <v>27253</v>
      </c>
      <c r="S5232" t="s">
        <v>27254</v>
      </c>
      <c r="T5232" t="s">
        <v>27265</v>
      </c>
    </row>
    <row r="5233" spans="1:20" x14ac:dyDescent="0.3">
      <c r="A5233" t="str">
        <f>"0611862392050"</f>
        <v>0611862392050</v>
      </c>
      <c r="B5233" t="str">
        <f>"CR3090"</f>
        <v>CR3090</v>
      </c>
      <c r="C5233" t="s">
        <v>37368</v>
      </c>
      <c r="D5233" t="s">
        <v>27271</v>
      </c>
      <c r="E5233" t="str">
        <f t="shared" si="81"/>
        <v>001390</v>
      </c>
      <c r="F5233" t="s">
        <v>27246</v>
      </c>
      <c r="G5233" t="s">
        <v>27247</v>
      </c>
      <c r="H5233" t="s">
        <v>27248</v>
      </c>
      <c r="I5233" t="s">
        <v>37369</v>
      </c>
      <c r="J5233" t="s">
        <v>10441</v>
      </c>
      <c r="L5233" t="s">
        <v>27250</v>
      </c>
      <c r="M5233" t="s">
        <v>27251</v>
      </c>
      <c r="N5233" t="s">
        <v>27252</v>
      </c>
      <c r="P5233" t="s">
        <v>27341</v>
      </c>
      <c r="Q5233" s="1">
        <v>44846</v>
      </c>
      <c r="R5233" t="s">
        <v>27253</v>
      </c>
      <c r="S5233" t="s">
        <v>27254</v>
      </c>
      <c r="T5233" t="s">
        <v>27265</v>
      </c>
    </row>
    <row r="5234" spans="1:20" x14ac:dyDescent="0.3">
      <c r="A5234" t="str">
        <f>"0611862393050"</f>
        <v>0611862393050</v>
      </c>
      <c r="B5234" t="str">
        <f>"CR2318"</f>
        <v>CR2318</v>
      </c>
      <c r="C5234" t="s">
        <v>37370</v>
      </c>
      <c r="D5234" t="s">
        <v>27271</v>
      </c>
      <c r="E5234" t="str">
        <f t="shared" si="81"/>
        <v>001390</v>
      </c>
      <c r="F5234" t="s">
        <v>27246</v>
      </c>
      <c r="G5234" t="s">
        <v>27247</v>
      </c>
      <c r="H5234" t="s">
        <v>27248</v>
      </c>
      <c r="I5234" t="s">
        <v>37371</v>
      </c>
      <c r="J5234" t="s">
        <v>10443</v>
      </c>
      <c r="L5234" t="s">
        <v>27250</v>
      </c>
      <c r="M5234" t="s">
        <v>27251</v>
      </c>
      <c r="N5234" t="s">
        <v>27252</v>
      </c>
      <c r="P5234" t="s">
        <v>27341</v>
      </c>
      <c r="Q5234" s="1">
        <v>44846</v>
      </c>
      <c r="R5234" t="s">
        <v>27253</v>
      </c>
      <c r="S5234" t="s">
        <v>27254</v>
      </c>
      <c r="T5234" t="s">
        <v>27265</v>
      </c>
    </row>
    <row r="5235" spans="1:20" x14ac:dyDescent="0.3">
      <c r="A5235" t="str">
        <f>"0611862394050"</f>
        <v>0611862394050</v>
      </c>
      <c r="B5235" t="str">
        <f>"CR2319"</f>
        <v>CR2319</v>
      </c>
      <c r="C5235" t="s">
        <v>37372</v>
      </c>
      <c r="D5235" t="s">
        <v>27271</v>
      </c>
      <c r="E5235" t="str">
        <f t="shared" si="81"/>
        <v>001390</v>
      </c>
      <c r="F5235" t="s">
        <v>27246</v>
      </c>
      <c r="G5235" t="s">
        <v>27247</v>
      </c>
      <c r="H5235" t="s">
        <v>27248</v>
      </c>
      <c r="I5235" t="s">
        <v>37373</v>
      </c>
      <c r="J5235" t="s">
        <v>10445</v>
      </c>
      <c r="L5235" t="s">
        <v>27250</v>
      </c>
      <c r="M5235" t="s">
        <v>27251</v>
      </c>
      <c r="N5235" t="s">
        <v>27252</v>
      </c>
      <c r="P5235" t="s">
        <v>27341</v>
      </c>
      <c r="Q5235" s="1">
        <v>44846</v>
      </c>
      <c r="R5235" t="s">
        <v>27253</v>
      </c>
      <c r="S5235" t="s">
        <v>27254</v>
      </c>
      <c r="T5235" t="s">
        <v>27265</v>
      </c>
    </row>
    <row r="5236" spans="1:20" x14ac:dyDescent="0.3">
      <c r="A5236" t="str">
        <f>"0611862395050"</f>
        <v>0611862395050</v>
      </c>
      <c r="B5236" t="str">
        <f>"CR2643"</f>
        <v>CR2643</v>
      </c>
      <c r="C5236" t="s">
        <v>37374</v>
      </c>
      <c r="D5236" t="s">
        <v>27271</v>
      </c>
      <c r="E5236" t="str">
        <f t="shared" si="81"/>
        <v>001390</v>
      </c>
      <c r="F5236" t="s">
        <v>27246</v>
      </c>
      <c r="G5236" t="s">
        <v>27247</v>
      </c>
      <c r="H5236" t="s">
        <v>27248</v>
      </c>
      <c r="I5236" t="s">
        <v>37375</v>
      </c>
      <c r="J5236" t="s">
        <v>10447</v>
      </c>
      <c r="L5236" t="s">
        <v>27250</v>
      </c>
      <c r="M5236" t="s">
        <v>27251</v>
      </c>
      <c r="N5236" t="s">
        <v>27252</v>
      </c>
      <c r="P5236" t="s">
        <v>27341</v>
      </c>
      <c r="Q5236" s="1">
        <v>44846</v>
      </c>
      <c r="R5236" t="s">
        <v>27253</v>
      </c>
      <c r="S5236" t="s">
        <v>27254</v>
      </c>
      <c r="T5236" t="s">
        <v>27265</v>
      </c>
    </row>
    <row r="5237" spans="1:20" x14ac:dyDescent="0.3">
      <c r="A5237" t="str">
        <f>"0611862396050"</f>
        <v>0611862396050</v>
      </c>
      <c r="B5237" t="str">
        <f>"CR2320"</f>
        <v>CR2320</v>
      </c>
      <c r="C5237" t="s">
        <v>37376</v>
      </c>
      <c r="D5237" t="s">
        <v>27271</v>
      </c>
      <c r="E5237" t="str">
        <f t="shared" si="81"/>
        <v>001390</v>
      </c>
      <c r="F5237" t="s">
        <v>27246</v>
      </c>
      <c r="G5237" t="s">
        <v>27247</v>
      </c>
      <c r="H5237" t="s">
        <v>27248</v>
      </c>
      <c r="I5237" t="s">
        <v>37377</v>
      </c>
      <c r="J5237" t="s">
        <v>10449</v>
      </c>
      <c r="L5237" t="s">
        <v>27250</v>
      </c>
      <c r="M5237" t="s">
        <v>27251</v>
      </c>
      <c r="N5237" t="s">
        <v>27252</v>
      </c>
      <c r="P5237" t="s">
        <v>27341</v>
      </c>
      <c r="Q5237" s="1">
        <v>44846</v>
      </c>
      <c r="R5237" t="s">
        <v>27253</v>
      </c>
      <c r="S5237" t="s">
        <v>27254</v>
      </c>
      <c r="T5237" t="s">
        <v>27265</v>
      </c>
    </row>
    <row r="5238" spans="1:20" x14ac:dyDescent="0.3">
      <c r="A5238" t="str">
        <f>"0611862397050"</f>
        <v>0611862397050</v>
      </c>
      <c r="B5238" t="str">
        <f>"CR2321"</f>
        <v>CR2321</v>
      </c>
      <c r="C5238" t="s">
        <v>37378</v>
      </c>
      <c r="D5238" t="s">
        <v>27271</v>
      </c>
      <c r="E5238" t="str">
        <f t="shared" si="81"/>
        <v>001390</v>
      </c>
      <c r="F5238" t="s">
        <v>27246</v>
      </c>
      <c r="G5238" t="s">
        <v>27247</v>
      </c>
      <c r="H5238" t="s">
        <v>27248</v>
      </c>
      <c r="I5238" t="s">
        <v>37379</v>
      </c>
      <c r="J5238" t="s">
        <v>10451</v>
      </c>
      <c r="L5238" t="s">
        <v>27250</v>
      </c>
      <c r="M5238" t="s">
        <v>27251</v>
      </c>
      <c r="N5238" t="s">
        <v>27252</v>
      </c>
      <c r="P5238" t="s">
        <v>27341</v>
      </c>
      <c r="Q5238" s="1">
        <v>44846</v>
      </c>
      <c r="R5238" t="s">
        <v>27253</v>
      </c>
      <c r="S5238" t="s">
        <v>27254</v>
      </c>
      <c r="T5238" t="s">
        <v>27265</v>
      </c>
    </row>
    <row r="5239" spans="1:20" x14ac:dyDescent="0.3">
      <c r="A5239" t="str">
        <f>"0611862398050"</f>
        <v>0611862398050</v>
      </c>
      <c r="B5239" t="str">
        <f>"CR2322"</f>
        <v>CR2322</v>
      </c>
      <c r="C5239" t="s">
        <v>37380</v>
      </c>
      <c r="D5239" t="s">
        <v>27271</v>
      </c>
      <c r="E5239" t="str">
        <f t="shared" si="81"/>
        <v>001390</v>
      </c>
      <c r="F5239" t="s">
        <v>27246</v>
      </c>
      <c r="G5239" t="s">
        <v>27247</v>
      </c>
      <c r="H5239" t="s">
        <v>27248</v>
      </c>
      <c r="I5239" t="s">
        <v>37381</v>
      </c>
      <c r="J5239" t="s">
        <v>10453</v>
      </c>
      <c r="L5239" t="s">
        <v>27250</v>
      </c>
      <c r="M5239" t="s">
        <v>27251</v>
      </c>
      <c r="N5239" t="s">
        <v>27252</v>
      </c>
      <c r="P5239" t="s">
        <v>27341</v>
      </c>
      <c r="Q5239" s="1">
        <v>44846</v>
      </c>
      <c r="R5239" t="s">
        <v>27253</v>
      </c>
      <c r="S5239" t="s">
        <v>27254</v>
      </c>
      <c r="T5239" t="s">
        <v>27265</v>
      </c>
    </row>
    <row r="5240" spans="1:20" x14ac:dyDescent="0.3">
      <c r="A5240" t="str">
        <f>"0611862399050"</f>
        <v>0611862399050</v>
      </c>
      <c r="B5240" t="str">
        <f>"CR2323"</f>
        <v>CR2323</v>
      </c>
      <c r="C5240" t="s">
        <v>37382</v>
      </c>
      <c r="D5240" t="s">
        <v>27271</v>
      </c>
      <c r="E5240" t="str">
        <f t="shared" si="81"/>
        <v>001390</v>
      </c>
      <c r="F5240" t="s">
        <v>27246</v>
      </c>
      <c r="G5240" t="s">
        <v>27247</v>
      </c>
      <c r="H5240" t="s">
        <v>27248</v>
      </c>
      <c r="I5240" t="s">
        <v>37383</v>
      </c>
      <c r="J5240" t="s">
        <v>10455</v>
      </c>
      <c r="L5240" t="s">
        <v>27250</v>
      </c>
      <c r="M5240" t="s">
        <v>27251</v>
      </c>
      <c r="N5240" t="s">
        <v>27252</v>
      </c>
      <c r="P5240" t="s">
        <v>27341</v>
      </c>
      <c r="Q5240" s="1">
        <v>44846</v>
      </c>
      <c r="R5240" t="s">
        <v>27253</v>
      </c>
      <c r="S5240" t="s">
        <v>27254</v>
      </c>
      <c r="T5240" t="s">
        <v>27265</v>
      </c>
    </row>
    <row r="5241" spans="1:20" x14ac:dyDescent="0.3">
      <c r="A5241" t="str">
        <f>"0611862401050"</f>
        <v>0611862401050</v>
      </c>
      <c r="B5241" t="str">
        <f>"CR2324"</f>
        <v>CR2324</v>
      </c>
      <c r="C5241" t="s">
        <v>37384</v>
      </c>
      <c r="D5241" t="s">
        <v>27271</v>
      </c>
      <c r="E5241" t="str">
        <f t="shared" si="81"/>
        <v>001390</v>
      </c>
      <c r="F5241" t="s">
        <v>27246</v>
      </c>
      <c r="G5241" t="s">
        <v>27247</v>
      </c>
      <c r="H5241" t="s">
        <v>27248</v>
      </c>
      <c r="I5241" t="s">
        <v>37385</v>
      </c>
      <c r="J5241" t="s">
        <v>10457</v>
      </c>
      <c r="L5241" t="s">
        <v>27250</v>
      </c>
      <c r="M5241" t="s">
        <v>27251</v>
      </c>
      <c r="N5241" t="s">
        <v>27252</v>
      </c>
      <c r="P5241" t="s">
        <v>27341</v>
      </c>
      <c r="Q5241" s="1">
        <v>44846</v>
      </c>
      <c r="R5241" t="s">
        <v>27253</v>
      </c>
      <c r="S5241" t="s">
        <v>27254</v>
      </c>
      <c r="T5241" t="s">
        <v>27265</v>
      </c>
    </row>
    <row r="5242" spans="1:20" x14ac:dyDescent="0.3">
      <c r="A5242" t="str">
        <f>"0611862400050"</f>
        <v>0611862400050</v>
      </c>
      <c r="B5242" t="str">
        <f>"CR3091"</f>
        <v>CR3091</v>
      </c>
      <c r="C5242" t="s">
        <v>37386</v>
      </c>
      <c r="D5242" t="s">
        <v>27271</v>
      </c>
      <c r="E5242" t="str">
        <f t="shared" si="81"/>
        <v>001390</v>
      </c>
      <c r="F5242" t="s">
        <v>27246</v>
      </c>
      <c r="G5242" t="s">
        <v>27247</v>
      </c>
      <c r="H5242" t="s">
        <v>27248</v>
      </c>
      <c r="I5242" t="s">
        <v>37387</v>
      </c>
      <c r="J5242" t="s">
        <v>10459</v>
      </c>
      <c r="L5242" t="s">
        <v>27250</v>
      </c>
      <c r="M5242" t="s">
        <v>27251</v>
      </c>
      <c r="N5242" t="s">
        <v>27252</v>
      </c>
      <c r="P5242" t="s">
        <v>27341</v>
      </c>
      <c r="Q5242" s="1">
        <v>44846</v>
      </c>
      <c r="R5242" t="s">
        <v>27253</v>
      </c>
      <c r="S5242" t="s">
        <v>27254</v>
      </c>
      <c r="T5242" t="s">
        <v>27265</v>
      </c>
    </row>
    <row r="5243" spans="1:20" x14ac:dyDescent="0.3">
      <c r="A5243" t="str">
        <f>"0611837302100"</f>
        <v>0611837302100</v>
      </c>
      <c r="B5243" t="str">
        <f>"LS0038"</f>
        <v>LS0038</v>
      </c>
      <c r="C5243" t="s">
        <v>37388</v>
      </c>
      <c r="D5243" t="s">
        <v>27245</v>
      </c>
      <c r="E5243" t="str">
        <f t="shared" si="81"/>
        <v>001390</v>
      </c>
      <c r="F5243" t="s">
        <v>27246</v>
      </c>
      <c r="G5243" t="s">
        <v>27247</v>
      </c>
      <c r="H5243" t="s">
        <v>27248</v>
      </c>
      <c r="I5243" t="s">
        <v>37389</v>
      </c>
      <c r="J5243" t="s">
        <v>10461</v>
      </c>
      <c r="L5243" t="s">
        <v>27250</v>
      </c>
      <c r="M5243" t="s">
        <v>27251</v>
      </c>
      <c r="N5243" t="s">
        <v>27252</v>
      </c>
      <c r="Q5243" s="1">
        <v>44538</v>
      </c>
      <c r="R5243" t="s">
        <v>27253</v>
      </c>
      <c r="S5243" t="s">
        <v>27254</v>
      </c>
      <c r="T5243" t="s">
        <v>27255</v>
      </c>
    </row>
    <row r="5244" spans="1:20" x14ac:dyDescent="0.3">
      <c r="A5244" t="str">
        <f>"0611837301100"</f>
        <v>0611837301100</v>
      </c>
      <c r="B5244" t="str">
        <f>"LC6660"</f>
        <v>LC6660</v>
      </c>
      <c r="C5244" t="s">
        <v>37390</v>
      </c>
      <c r="D5244" t="s">
        <v>27245</v>
      </c>
      <c r="E5244" t="str">
        <f t="shared" si="81"/>
        <v>001390</v>
      </c>
      <c r="F5244" t="s">
        <v>27246</v>
      </c>
      <c r="G5244" t="s">
        <v>27247</v>
      </c>
      <c r="H5244" t="s">
        <v>27248</v>
      </c>
      <c r="I5244" t="s">
        <v>37391</v>
      </c>
      <c r="J5244" t="s">
        <v>10463</v>
      </c>
      <c r="L5244" t="s">
        <v>27250</v>
      </c>
      <c r="M5244" t="s">
        <v>27251</v>
      </c>
      <c r="N5244" t="s">
        <v>27252</v>
      </c>
      <c r="Q5244" s="1">
        <v>44538</v>
      </c>
      <c r="R5244" t="s">
        <v>27253</v>
      </c>
      <c r="S5244" t="s">
        <v>27254</v>
      </c>
      <c r="T5244" t="s">
        <v>27255</v>
      </c>
    </row>
    <row r="5245" spans="1:20" x14ac:dyDescent="0.3">
      <c r="A5245" t="str">
        <f>"0611837303100"</f>
        <v>0611837303100</v>
      </c>
      <c r="B5245" t="str">
        <f>"LK5461"</f>
        <v>LK5461</v>
      </c>
      <c r="C5245" t="s">
        <v>37392</v>
      </c>
      <c r="D5245" t="s">
        <v>27245</v>
      </c>
      <c r="E5245" t="str">
        <f t="shared" si="81"/>
        <v>001390</v>
      </c>
      <c r="F5245" t="s">
        <v>27246</v>
      </c>
      <c r="G5245" t="s">
        <v>27247</v>
      </c>
      <c r="H5245" t="s">
        <v>27248</v>
      </c>
      <c r="I5245" t="s">
        <v>37393</v>
      </c>
      <c r="J5245" t="s">
        <v>10465</v>
      </c>
      <c r="L5245" t="s">
        <v>27250</v>
      </c>
      <c r="M5245" t="s">
        <v>27251</v>
      </c>
      <c r="N5245" t="s">
        <v>27252</v>
      </c>
      <c r="Q5245" s="1">
        <v>44538</v>
      </c>
      <c r="R5245" t="s">
        <v>27253</v>
      </c>
      <c r="S5245" t="s">
        <v>27254</v>
      </c>
      <c r="T5245" t="s">
        <v>27255</v>
      </c>
    </row>
    <row r="5246" spans="1:20" x14ac:dyDescent="0.3">
      <c r="A5246" t="str">
        <f>"0611837304100"</f>
        <v>0611837304100</v>
      </c>
      <c r="B5246" t="str">
        <f>"LS0037"</f>
        <v>LS0037</v>
      </c>
      <c r="C5246" t="s">
        <v>37394</v>
      </c>
      <c r="D5246" t="s">
        <v>27245</v>
      </c>
      <c r="E5246" t="str">
        <f t="shared" si="81"/>
        <v>001390</v>
      </c>
      <c r="F5246" t="s">
        <v>27246</v>
      </c>
      <c r="G5246" t="s">
        <v>27247</v>
      </c>
      <c r="H5246" t="s">
        <v>27248</v>
      </c>
      <c r="I5246" t="s">
        <v>37395</v>
      </c>
      <c r="J5246" t="s">
        <v>10383</v>
      </c>
      <c r="L5246" t="s">
        <v>27250</v>
      </c>
      <c r="M5246" t="s">
        <v>27251</v>
      </c>
      <c r="N5246" t="s">
        <v>27252</v>
      </c>
      <c r="Q5246" s="1">
        <v>44538</v>
      </c>
      <c r="R5246" t="s">
        <v>27253</v>
      </c>
      <c r="S5246" t="s">
        <v>27254</v>
      </c>
      <c r="T5246" t="s">
        <v>27255</v>
      </c>
    </row>
    <row r="5247" spans="1:20" x14ac:dyDescent="0.3">
      <c r="A5247" t="str">
        <f>"0611862402050"</f>
        <v>0611862402050</v>
      </c>
      <c r="B5247" t="str">
        <f>"CE1613"</f>
        <v>CE1613</v>
      </c>
      <c r="C5247" t="s">
        <v>37396</v>
      </c>
      <c r="D5247" t="s">
        <v>27923</v>
      </c>
      <c r="E5247" t="str">
        <f t="shared" si="81"/>
        <v>001390</v>
      </c>
      <c r="F5247" t="s">
        <v>27246</v>
      </c>
      <c r="G5247" t="s">
        <v>27247</v>
      </c>
      <c r="H5247" t="s">
        <v>27248</v>
      </c>
      <c r="I5247" t="s">
        <v>37397</v>
      </c>
      <c r="J5247" t="s">
        <v>10467</v>
      </c>
      <c r="L5247" t="s">
        <v>27250</v>
      </c>
      <c r="M5247" t="s">
        <v>27251</v>
      </c>
      <c r="N5247" t="s">
        <v>27252</v>
      </c>
      <c r="P5247" t="s">
        <v>27925</v>
      </c>
      <c r="Q5247" s="1">
        <v>44846</v>
      </c>
      <c r="R5247" t="s">
        <v>27253</v>
      </c>
      <c r="S5247" t="s">
        <v>27254</v>
      </c>
      <c r="T5247" t="s">
        <v>27265</v>
      </c>
    </row>
    <row r="5248" spans="1:20" x14ac:dyDescent="0.3">
      <c r="A5248" t="str">
        <f>"0611862403050"</f>
        <v>0611862403050</v>
      </c>
      <c r="B5248" t="str">
        <f>"CR2325"</f>
        <v>CR2325</v>
      </c>
      <c r="C5248" t="s">
        <v>37398</v>
      </c>
      <c r="D5248" t="s">
        <v>27263</v>
      </c>
      <c r="E5248" t="str">
        <f t="shared" si="81"/>
        <v>001390</v>
      </c>
      <c r="F5248" t="s">
        <v>27246</v>
      </c>
      <c r="G5248" t="s">
        <v>27247</v>
      </c>
      <c r="H5248" t="s">
        <v>27248</v>
      </c>
      <c r="I5248" t="s">
        <v>37399</v>
      </c>
      <c r="J5248" t="s">
        <v>10469</v>
      </c>
      <c r="L5248" t="s">
        <v>27250</v>
      </c>
      <c r="M5248" t="s">
        <v>27251</v>
      </c>
      <c r="N5248" t="s">
        <v>27252</v>
      </c>
      <c r="Q5248" s="1">
        <v>44846</v>
      </c>
      <c r="R5248" t="s">
        <v>27253</v>
      </c>
      <c r="S5248" t="s">
        <v>27254</v>
      </c>
      <c r="T5248" t="s">
        <v>27265</v>
      </c>
    </row>
    <row r="5249" spans="1:20" x14ac:dyDescent="0.3">
      <c r="A5249" t="str">
        <f>"0611862404050"</f>
        <v>0611862404050</v>
      </c>
      <c r="B5249" t="str">
        <f>"CR2853"</f>
        <v>CR2853</v>
      </c>
      <c r="C5249" t="s">
        <v>37400</v>
      </c>
      <c r="D5249" t="s">
        <v>27263</v>
      </c>
      <c r="E5249" t="str">
        <f t="shared" si="81"/>
        <v>001390</v>
      </c>
      <c r="F5249" t="s">
        <v>27246</v>
      </c>
      <c r="G5249" t="s">
        <v>27247</v>
      </c>
      <c r="H5249" t="s">
        <v>27248</v>
      </c>
      <c r="I5249" t="s">
        <v>37401</v>
      </c>
      <c r="J5249" t="s">
        <v>10471</v>
      </c>
      <c r="L5249" t="s">
        <v>27250</v>
      </c>
      <c r="M5249" t="s">
        <v>27251</v>
      </c>
      <c r="N5249" t="s">
        <v>27252</v>
      </c>
      <c r="Q5249" s="1">
        <v>44846</v>
      </c>
      <c r="R5249" t="s">
        <v>27253</v>
      </c>
      <c r="S5249" t="s">
        <v>27254</v>
      </c>
      <c r="T5249" t="s">
        <v>27265</v>
      </c>
    </row>
    <row r="5250" spans="1:20" x14ac:dyDescent="0.3">
      <c r="A5250" t="str">
        <f>"0611862405050"</f>
        <v>0611862405050</v>
      </c>
      <c r="B5250" t="str">
        <f>"CR2326"</f>
        <v>CR2326</v>
      </c>
      <c r="C5250" t="s">
        <v>37402</v>
      </c>
      <c r="D5250" t="s">
        <v>27263</v>
      </c>
      <c r="E5250" t="str">
        <f t="shared" ref="E5250:E5313" si="82">"001390"</f>
        <v>001390</v>
      </c>
      <c r="F5250" t="s">
        <v>27246</v>
      </c>
      <c r="G5250" t="s">
        <v>27247</v>
      </c>
      <c r="H5250" t="s">
        <v>27248</v>
      </c>
      <c r="I5250" t="s">
        <v>37403</v>
      </c>
      <c r="J5250" t="s">
        <v>10473</v>
      </c>
      <c r="L5250" t="s">
        <v>27250</v>
      </c>
      <c r="M5250" t="s">
        <v>27251</v>
      </c>
      <c r="N5250" t="s">
        <v>27252</v>
      </c>
      <c r="Q5250" s="1">
        <v>44846</v>
      </c>
      <c r="R5250" t="s">
        <v>27253</v>
      </c>
      <c r="S5250" t="s">
        <v>27254</v>
      </c>
      <c r="T5250" t="s">
        <v>27265</v>
      </c>
    </row>
    <row r="5251" spans="1:20" x14ac:dyDescent="0.3">
      <c r="A5251" t="str">
        <f>"0611862406050"</f>
        <v>0611862406050</v>
      </c>
      <c r="B5251" t="str">
        <f>"CR2856"</f>
        <v>CR2856</v>
      </c>
      <c r="C5251" t="s">
        <v>37404</v>
      </c>
      <c r="D5251" t="s">
        <v>27263</v>
      </c>
      <c r="E5251" t="str">
        <f t="shared" si="82"/>
        <v>001390</v>
      </c>
      <c r="F5251" t="s">
        <v>27246</v>
      </c>
      <c r="G5251" t="s">
        <v>27247</v>
      </c>
      <c r="H5251" t="s">
        <v>27248</v>
      </c>
      <c r="I5251" t="s">
        <v>37405</v>
      </c>
      <c r="J5251" t="s">
        <v>10475</v>
      </c>
      <c r="L5251" t="s">
        <v>27250</v>
      </c>
      <c r="M5251" t="s">
        <v>27251</v>
      </c>
      <c r="N5251" t="s">
        <v>27252</v>
      </c>
      <c r="Q5251" s="1">
        <v>44846</v>
      </c>
      <c r="R5251" t="s">
        <v>27253</v>
      </c>
      <c r="S5251" t="s">
        <v>27254</v>
      </c>
      <c r="T5251" t="s">
        <v>27265</v>
      </c>
    </row>
    <row r="5252" spans="1:20" x14ac:dyDescent="0.3">
      <c r="A5252" t="str">
        <f>"0611862407050"</f>
        <v>0611862407050</v>
      </c>
      <c r="B5252" t="str">
        <f>"CR2858"</f>
        <v>CR2858</v>
      </c>
      <c r="C5252" t="s">
        <v>37406</v>
      </c>
      <c r="D5252" t="s">
        <v>27263</v>
      </c>
      <c r="E5252" t="str">
        <f t="shared" si="82"/>
        <v>001390</v>
      </c>
      <c r="F5252" t="s">
        <v>27246</v>
      </c>
      <c r="G5252" t="s">
        <v>27247</v>
      </c>
      <c r="H5252" t="s">
        <v>27248</v>
      </c>
      <c r="I5252" t="s">
        <v>37407</v>
      </c>
      <c r="J5252" t="s">
        <v>10477</v>
      </c>
      <c r="L5252" t="s">
        <v>27250</v>
      </c>
      <c r="M5252" t="s">
        <v>27251</v>
      </c>
      <c r="N5252" t="s">
        <v>27252</v>
      </c>
      <c r="Q5252" s="1">
        <v>44846</v>
      </c>
      <c r="R5252" t="s">
        <v>27253</v>
      </c>
      <c r="S5252" t="s">
        <v>27254</v>
      </c>
      <c r="T5252" t="s">
        <v>27265</v>
      </c>
    </row>
    <row r="5253" spans="1:20" x14ac:dyDescent="0.3">
      <c r="A5253" t="str">
        <f>"0611862408050"</f>
        <v>0611862408050</v>
      </c>
      <c r="B5253" t="str">
        <f>"CR2859"</f>
        <v>CR2859</v>
      </c>
      <c r="C5253" t="s">
        <v>37408</v>
      </c>
      <c r="D5253" t="s">
        <v>27263</v>
      </c>
      <c r="E5253" t="str">
        <f t="shared" si="82"/>
        <v>001390</v>
      </c>
      <c r="F5253" t="s">
        <v>27246</v>
      </c>
      <c r="G5253" t="s">
        <v>27247</v>
      </c>
      <c r="H5253" t="s">
        <v>27248</v>
      </c>
      <c r="I5253" t="s">
        <v>37409</v>
      </c>
      <c r="J5253" t="s">
        <v>10479</v>
      </c>
      <c r="L5253" t="s">
        <v>27250</v>
      </c>
      <c r="M5253" t="s">
        <v>27251</v>
      </c>
      <c r="N5253" t="s">
        <v>27252</v>
      </c>
      <c r="Q5253" s="1">
        <v>44846</v>
      </c>
      <c r="R5253" t="s">
        <v>27253</v>
      </c>
      <c r="S5253" t="s">
        <v>27254</v>
      </c>
      <c r="T5253" t="s">
        <v>27265</v>
      </c>
    </row>
    <row r="5254" spans="1:20" x14ac:dyDescent="0.3">
      <c r="A5254" t="str">
        <f>"0611862409050"</f>
        <v>0611862409050</v>
      </c>
      <c r="B5254" t="str">
        <f>"CR2327"</f>
        <v>CR2327</v>
      </c>
      <c r="C5254" t="s">
        <v>37410</v>
      </c>
      <c r="D5254" t="s">
        <v>27271</v>
      </c>
      <c r="E5254" t="str">
        <f t="shared" si="82"/>
        <v>001390</v>
      </c>
      <c r="F5254" t="s">
        <v>27246</v>
      </c>
      <c r="G5254" t="s">
        <v>27247</v>
      </c>
      <c r="H5254" t="s">
        <v>27248</v>
      </c>
      <c r="I5254" t="s">
        <v>37411</v>
      </c>
      <c r="J5254" t="s">
        <v>10481</v>
      </c>
      <c r="L5254" t="s">
        <v>27250</v>
      </c>
      <c r="M5254" t="s">
        <v>27251</v>
      </c>
      <c r="N5254" t="s">
        <v>27252</v>
      </c>
      <c r="P5254" t="s">
        <v>27341</v>
      </c>
      <c r="Q5254" s="1">
        <v>44846</v>
      </c>
      <c r="R5254" t="s">
        <v>27253</v>
      </c>
      <c r="S5254" t="s">
        <v>27254</v>
      </c>
      <c r="T5254" t="s">
        <v>27265</v>
      </c>
    </row>
    <row r="5255" spans="1:20" x14ac:dyDescent="0.3">
      <c r="A5255" t="str">
        <f>"0611862410050"</f>
        <v>0611862410050</v>
      </c>
      <c r="B5255" t="str">
        <f>"CR2328"</f>
        <v>CR2328</v>
      </c>
      <c r="C5255" t="s">
        <v>37412</v>
      </c>
      <c r="D5255" t="s">
        <v>27271</v>
      </c>
      <c r="E5255" t="str">
        <f t="shared" si="82"/>
        <v>001390</v>
      </c>
      <c r="F5255" t="s">
        <v>27246</v>
      </c>
      <c r="G5255" t="s">
        <v>27247</v>
      </c>
      <c r="H5255" t="s">
        <v>27248</v>
      </c>
      <c r="I5255" t="s">
        <v>37413</v>
      </c>
      <c r="J5255" t="s">
        <v>10483</v>
      </c>
      <c r="L5255" t="s">
        <v>27250</v>
      </c>
      <c r="M5255" t="s">
        <v>27251</v>
      </c>
      <c r="N5255" t="s">
        <v>27252</v>
      </c>
      <c r="P5255" t="s">
        <v>27341</v>
      </c>
      <c r="Q5255" s="1">
        <v>44846</v>
      </c>
      <c r="R5255" t="s">
        <v>27253</v>
      </c>
      <c r="S5255" t="s">
        <v>27254</v>
      </c>
      <c r="T5255" t="s">
        <v>27265</v>
      </c>
    </row>
    <row r="5256" spans="1:20" x14ac:dyDescent="0.3">
      <c r="A5256" t="str">
        <f>"0611862411050"</f>
        <v>0611862411050</v>
      </c>
      <c r="B5256" t="str">
        <f>"CR2329"</f>
        <v>CR2329</v>
      </c>
      <c r="C5256" t="s">
        <v>37414</v>
      </c>
      <c r="D5256" t="s">
        <v>27271</v>
      </c>
      <c r="E5256" t="str">
        <f t="shared" si="82"/>
        <v>001390</v>
      </c>
      <c r="F5256" t="s">
        <v>27246</v>
      </c>
      <c r="G5256" t="s">
        <v>27247</v>
      </c>
      <c r="H5256" t="s">
        <v>27248</v>
      </c>
      <c r="I5256" t="s">
        <v>37415</v>
      </c>
      <c r="J5256" t="s">
        <v>10485</v>
      </c>
      <c r="L5256" t="s">
        <v>27250</v>
      </c>
      <c r="M5256" t="s">
        <v>27251</v>
      </c>
      <c r="N5256" t="s">
        <v>27252</v>
      </c>
      <c r="P5256" t="s">
        <v>27341</v>
      </c>
      <c r="Q5256" s="1">
        <v>44846</v>
      </c>
      <c r="R5256" t="s">
        <v>27253</v>
      </c>
      <c r="S5256" t="s">
        <v>27254</v>
      </c>
      <c r="T5256" t="s">
        <v>27265</v>
      </c>
    </row>
    <row r="5257" spans="1:20" x14ac:dyDescent="0.3">
      <c r="A5257" t="str">
        <f>"0611862413050"</f>
        <v>0611862413050</v>
      </c>
      <c r="B5257" t="str">
        <f>"CR2330"</f>
        <v>CR2330</v>
      </c>
      <c r="C5257" t="s">
        <v>37416</v>
      </c>
      <c r="D5257" t="s">
        <v>27271</v>
      </c>
      <c r="E5257" t="str">
        <f t="shared" si="82"/>
        <v>001390</v>
      </c>
      <c r="F5257" t="s">
        <v>27246</v>
      </c>
      <c r="G5257" t="s">
        <v>27247</v>
      </c>
      <c r="H5257" t="s">
        <v>27248</v>
      </c>
      <c r="I5257" t="s">
        <v>37417</v>
      </c>
      <c r="J5257" t="s">
        <v>10487</v>
      </c>
      <c r="L5257" t="s">
        <v>27250</v>
      </c>
      <c r="M5257" t="s">
        <v>27251</v>
      </c>
      <c r="N5257" t="s">
        <v>27252</v>
      </c>
      <c r="P5257" t="s">
        <v>27341</v>
      </c>
      <c r="Q5257" s="1">
        <v>44846</v>
      </c>
      <c r="R5257" t="s">
        <v>27253</v>
      </c>
      <c r="S5257" t="s">
        <v>27254</v>
      </c>
      <c r="T5257" t="s">
        <v>27265</v>
      </c>
    </row>
    <row r="5258" spans="1:20" x14ac:dyDescent="0.3">
      <c r="A5258" t="str">
        <f>"0611862414050"</f>
        <v>0611862414050</v>
      </c>
      <c r="B5258" t="str">
        <f>"CR2331"</f>
        <v>CR2331</v>
      </c>
      <c r="C5258" t="s">
        <v>37418</v>
      </c>
      <c r="D5258" t="s">
        <v>27271</v>
      </c>
      <c r="E5258" t="str">
        <f t="shared" si="82"/>
        <v>001390</v>
      </c>
      <c r="F5258" t="s">
        <v>27246</v>
      </c>
      <c r="G5258" t="s">
        <v>27247</v>
      </c>
      <c r="H5258" t="s">
        <v>27248</v>
      </c>
      <c r="I5258" t="s">
        <v>37419</v>
      </c>
      <c r="J5258" t="s">
        <v>10489</v>
      </c>
      <c r="L5258" t="s">
        <v>27250</v>
      </c>
      <c r="M5258" t="s">
        <v>27251</v>
      </c>
      <c r="N5258" t="s">
        <v>27252</v>
      </c>
      <c r="P5258" t="s">
        <v>27341</v>
      </c>
      <c r="Q5258" s="1">
        <v>44846</v>
      </c>
      <c r="R5258" t="s">
        <v>27253</v>
      </c>
      <c r="S5258" t="s">
        <v>27254</v>
      </c>
      <c r="T5258" t="s">
        <v>27265</v>
      </c>
    </row>
    <row r="5259" spans="1:20" x14ac:dyDescent="0.3">
      <c r="A5259" t="str">
        <f>"0611862415050"</f>
        <v>0611862415050</v>
      </c>
      <c r="B5259" t="str">
        <f>"CR2332"</f>
        <v>CR2332</v>
      </c>
      <c r="C5259" t="s">
        <v>37420</v>
      </c>
      <c r="D5259" t="s">
        <v>27271</v>
      </c>
      <c r="E5259" t="str">
        <f t="shared" si="82"/>
        <v>001390</v>
      </c>
      <c r="F5259" t="s">
        <v>27246</v>
      </c>
      <c r="G5259" t="s">
        <v>27247</v>
      </c>
      <c r="H5259" t="s">
        <v>27248</v>
      </c>
      <c r="I5259" t="s">
        <v>37421</v>
      </c>
      <c r="J5259" t="s">
        <v>10491</v>
      </c>
      <c r="L5259" t="s">
        <v>27250</v>
      </c>
      <c r="M5259" t="s">
        <v>27251</v>
      </c>
      <c r="N5259" t="s">
        <v>27252</v>
      </c>
      <c r="P5259" t="s">
        <v>27341</v>
      </c>
      <c r="Q5259" s="1">
        <v>44846</v>
      </c>
      <c r="R5259" t="s">
        <v>27253</v>
      </c>
      <c r="S5259" t="s">
        <v>27254</v>
      </c>
      <c r="T5259" t="s">
        <v>27265</v>
      </c>
    </row>
    <row r="5260" spans="1:20" x14ac:dyDescent="0.3">
      <c r="A5260" t="str">
        <f>"0611862416050"</f>
        <v>0611862416050</v>
      </c>
      <c r="B5260" t="str">
        <f>"CR2333"</f>
        <v>CR2333</v>
      </c>
      <c r="C5260" t="s">
        <v>37422</v>
      </c>
      <c r="D5260" t="s">
        <v>27271</v>
      </c>
      <c r="E5260" t="str">
        <f t="shared" si="82"/>
        <v>001390</v>
      </c>
      <c r="F5260" t="s">
        <v>27246</v>
      </c>
      <c r="G5260" t="s">
        <v>27247</v>
      </c>
      <c r="H5260" t="s">
        <v>27248</v>
      </c>
      <c r="I5260" t="s">
        <v>37423</v>
      </c>
      <c r="J5260" t="s">
        <v>10493</v>
      </c>
      <c r="L5260" t="s">
        <v>27250</v>
      </c>
      <c r="M5260" t="s">
        <v>27251</v>
      </c>
      <c r="N5260" t="s">
        <v>27252</v>
      </c>
      <c r="P5260" t="s">
        <v>27341</v>
      </c>
      <c r="Q5260" s="1">
        <v>44846</v>
      </c>
      <c r="R5260" t="s">
        <v>27253</v>
      </c>
      <c r="S5260" t="s">
        <v>27254</v>
      </c>
      <c r="T5260" t="s">
        <v>27265</v>
      </c>
    </row>
    <row r="5261" spans="1:20" x14ac:dyDescent="0.3">
      <c r="A5261" t="str">
        <f>"0611862417050"</f>
        <v>0611862417050</v>
      </c>
      <c r="B5261" t="str">
        <f>"CR2334"</f>
        <v>CR2334</v>
      </c>
      <c r="C5261" t="s">
        <v>37424</v>
      </c>
      <c r="D5261" t="s">
        <v>27271</v>
      </c>
      <c r="E5261" t="str">
        <f t="shared" si="82"/>
        <v>001390</v>
      </c>
      <c r="F5261" t="s">
        <v>27246</v>
      </c>
      <c r="G5261" t="s">
        <v>27247</v>
      </c>
      <c r="H5261" t="s">
        <v>27248</v>
      </c>
      <c r="I5261" t="s">
        <v>37425</v>
      </c>
      <c r="J5261" t="s">
        <v>10495</v>
      </c>
      <c r="L5261" t="s">
        <v>27250</v>
      </c>
      <c r="M5261" t="s">
        <v>27251</v>
      </c>
      <c r="N5261" t="s">
        <v>27252</v>
      </c>
      <c r="P5261" t="s">
        <v>27341</v>
      </c>
      <c r="Q5261" s="1">
        <v>44846</v>
      </c>
      <c r="R5261" t="s">
        <v>27253</v>
      </c>
      <c r="S5261" t="s">
        <v>27254</v>
      </c>
      <c r="T5261" t="s">
        <v>27265</v>
      </c>
    </row>
    <row r="5262" spans="1:20" x14ac:dyDescent="0.3">
      <c r="A5262" t="str">
        <f>"0611862418050"</f>
        <v>0611862418050</v>
      </c>
      <c r="B5262" t="str">
        <f>"CR2336"</f>
        <v>CR2336</v>
      </c>
      <c r="C5262" t="s">
        <v>37426</v>
      </c>
      <c r="D5262" t="s">
        <v>27271</v>
      </c>
      <c r="E5262" t="str">
        <f t="shared" si="82"/>
        <v>001390</v>
      </c>
      <c r="F5262" t="s">
        <v>27246</v>
      </c>
      <c r="G5262" t="s">
        <v>27247</v>
      </c>
      <c r="H5262" t="s">
        <v>27248</v>
      </c>
      <c r="I5262" t="s">
        <v>37427</v>
      </c>
      <c r="J5262" t="s">
        <v>10497</v>
      </c>
      <c r="L5262" t="s">
        <v>27250</v>
      </c>
      <c r="M5262" t="s">
        <v>27251</v>
      </c>
      <c r="N5262" t="s">
        <v>27252</v>
      </c>
      <c r="P5262" t="s">
        <v>27341</v>
      </c>
      <c r="Q5262" s="1">
        <v>44846</v>
      </c>
      <c r="R5262" t="s">
        <v>27253</v>
      </c>
      <c r="S5262" t="s">
        <v>27254</v>
      </c>
      <c r="T5262" t="s">
        <v>27265</v>
      </c>
    </row>
    <row r="5263" spans="1:20" x14ac:dyDescent="0.3">
      <c r="A5263" t="str">
        <f>"0611862419050"</f>
        <v>0611862419050</v>
      </c>
      <c r="B5263" t="str">
        <f>"CR4987"</f>
        <v>CR4987</v>
      </c>
      <c r="C5263" t="s">
        <v>37428</v>
      </c>
      <c r="D5263" t="s">
        <v>27271</v>
      </c>
      <c r="E5263" t="str">
        <f t="shared" si="82"/>
        <v>001390</v>
      </c>
      <c r="F5263" t="s">
        <v>27246</v>
      </c>
      <c r="G5263" t="s">
        <v>27247</v>
      </c>
      <c r="H5263" t="s">
        <v>27248</v>
      </c>
      <c r="I5263" t="s">
        <v>37429</v>
      </c>
      <c r="J5263" t="s">
        <v>10499</v>
      </c>
      <c r="L5263" t="s">
        <v>27250</v>
      </c>
      <c r="M5263" t="s">
        <v>27251</v>
      </c>
      <c r="N5263" t="s">
        <v>27252</v>
      </c>
      <c r="P5263" t="s">
        <v>27341</v>
      </c>
      <c r="Q5263" s="1">
        <v>44846</v>
      </c>
      <c r="R5263" t="s">
        <v>27253</v>
      </c>
      <c r="S5263" t="s">
        <v>27254</v>
      </c>
      <c r="T5263" t="s">
        <v>27265</v>
      </c>
    </row>
    <row r="5264" spans="1:20" x14ac:dyDescent="0.3">
      <c r="A5264" t="str">
        <f>"0611862420050"</f>
        <v>0611862420050</v>
      </c>
      <c r="B5264" t="str">
        <f>"CR5249"</f>
        <v>CR5249</v>
      </c>
      <c r="C5264" t="s">
        <v>37430</v>
      </c>
      <c r="D5264" t="s">
        <v>27271</v>
      </c>
      <c r="E5264" t="str">
        <f t="shared" si="82"/>
        <v>001390</v>
      </c>
      <c r="F5264" t="s">
        <v>27246</v>
      </c>
      <c r="G5264" t="s">
        <v>27247</v>
      </c>
      <c r="H5264" t="s">
        <v>27248</v>
      </c>
      <c r="I5264" t="s">
        <v>37431</v>
      </c>
      <c r="J5264" t="s">
        <v>10501</v>
      </c>
      <c r="L5264" t="s">
        <v>27250</v>
      </c>
      <c r="M5264" t="s">
        <v>27251</v>
      </c>
      <c r="N5264" t="s">
        <v>27252</v>
      </c>
      <c r="P5264" t="s">
        <v>27341</v>
      </c>
      <c r="Q5264" s="1">
        <v>44846</v>
      </c>
      <c r="R5264" t="s">
        <v>27253</v>
      </c>
      <c r="S5264" t="s">
        <v>27254</v>
      </c>
      <c r="T5264" t="s">
        <v>27265</v>
      </c>
    </row>
    <row r="5265" spans="1:20" x14ac:dyDescent="0.3">
      <c r="A5265" t="str">
        <f>"0611862421050"</f>
        <v>0611862421050</v>
      </c>
      <c r="B5265" t="str">
        <f>"CR2337"</f>
        <v>CR2337</v>
      </c>
      <c r="C5265" t="s">
        <v>37432</v>
      </c>
      <c r="D5265" t="s">
        <v>27271</v>
      </c>
      <c r="E5265" t="str">
        <f t="shared" si="82"/>
        <v>001390</v>
      </c>
      <c r="F5265" t="s">
        <v>27246</v>
      </c>
      <c r="G5265" t="s">
        <v>27247</v>
      </c>
      <c r="H5265" t="s">
        <v>27248</v>
      </c>
      <c r="I5265" t="s">
        <v>37433</v>
      </c>
      <c r="J5265" t="s">
        <v>10503</v>
      </c>
      <c r="L5265" t="s">
        <v>27250</v>
      </c>
      <c r="M5265" t="s">
        <v>27251</v>
      </c>
      <c r="N5265" t="s">
        <v>27252</v>
      </c>
      <c r="P5265" t="s">
        <v>27341</v>
      </c>
      <c r="Q5265" s="1">
        <v>44846</v>
      </c>
      <c r="R5265" t="s">
        <v>27253</v>
      </c>
      <c r="S5265" t="s">
        <v>27254</v>
      </c>
      <c r="T5265" t="s">
        <v>27265</v>
      </c>
    </row>
    <row r="5266" spans="1:20" x14ac:dyDescent="0.3">
      <c r="A5266" t="str">
        <f>"0611862422050"</f>
        <v>0611862422050</v>
      </c>
      <c r="B5266" t="str">
        <f>"CR2340"</f>
        <v>CR2340</v>
      </c>
      <c r="C5266" t="s">
        <v>37434</v>
      </c>
      <c r="D5266" t="s">
        <v>27271</v>
      </c>
      <c r="E5266" t="str">
        <f t="shared" si="82"/>
        <v>001390</v>
      </c>
      <c r="F5266" t="s">
        <v>27246</v>
      </c>
      <c r="G5266" t="s">
        <v>27247</v>
      </c>
      <c r="H5266" t="s">
        <v>27248</v>
      </c>
      <c r="I5266" t="s">
        <v>37435</v>
      </c>
      <c r="J5266" t="s">
        <v>10505</v>
      </c>
      <c r="L5266" t="s">
        <v>27250</v>
      </c>
      <c r="M5266" t="s">
        <v>27251</v>
      </c>
      <c r="N5266" t="s">
        <v>27252</v>
      </c>
      <c r="P5266" t="s">
        <v>27341</v>
      </c>
      <c r="Q5266" s="1">
        <v>44846</v>
      </c>
      <c r="R5266" t="s">
        <v>27253</v>
      </c>
      <c r="S5266" t="s">
        <v>27254</v>
      </c>
      <c r="T5266" t="s">
        <v>27265</v>
      </c>
    </row>
    <row r="5267" spans="1:20" x14ac:dyDescent="0.3">
      <c r="A5267" t="str">
        <f>"0611862423050"</f>
        <v>0611862423050</v>
      </c>
      <c r="B5267" t="str">
        <f>"CR4120"</f>
        <v>CR4120</v>
      </c>
      <c r="C5267" t="s">
        <v>37436</v>
      </c>
      <c r="D5267" t="s">
        <v>27271</v>
      </c>
      <c r="E5267" t="str">
        <f t="shared" si="82"/>
        <v>001390</v>
      </c>
      <c r="F5267" t="s">
        <v>27246</v>
      </c>
      <c r="G5267" t="s">
        <v>27247</v>
      </c>
      <c r="H5267" t="s">
        <v>27248</v>
      </c>
      <c r="I5267" t="s">
        <v>37437</v>
      </c>
      <c r="J5267" t="s">
        <v>10507</v>
      </c>
      <c r="L5267" t="s">
        <v>27250</v>
      </c>
      <c r="M5267" t="s">
        <v>27251</v>
      </c>
      <c r="N5267" t="s">
        <v>27252</v>
      </c>
      <c r="P5267" t="s">
        <v>27341</v>
      </c>
      <c r="Q5267" s="1">
        <v>44846</v>
      </c>
      <c r="R5267" t="s">
        <v>27253</v>
      </c>
      <c r="S5267" t="s">
        <v>27254</v>
      </c>
      <c r="T5267" t="s">
        <v>27265</v>
      </c>
    </row>
    <row r="5268" spans="1:20" x14ac:dyDescent="0.3">
      <c r="A5268" t="str">
        <f>"0611862425050"</f>
        <v>0611862425050</v>
      </c>
      <c r="B5268" t="str">
        <f>"CR2339"</f>
        <v>CR2339</v>
      </c>
      <c r="C5268" t="s">
        <v>37438</v>
      </c>
      <c r="D5268" t="s">
        <v>27271</v>
      </c>
      <c r="E5268" t="str">
        <f t="shared" si="82"/>
        <v>001390</v>
      </c>
      <c r="F5268" t="s">
        <v>27246</v>
      </c>
      <c r="G5268" t="s">
        <v>27247</v>
      </c>
      <c r="H5268" t="s">
        <v>27248</v>
      </c>
      <c r="I5268" t="s">
        <v>37439</v>
      </c>
      <c r="J5268" t="s">
        <v>10509</v>
      </c>
      <c r="L5268" t="s">
        <v>27250</v>
      </c>
      <c r="M5268" t="s">
        <v>27251</v>
      </c>
      <c r="N5268" t="s">
        <v>27252</v>
      </c>
      <c r="P5268" t="s">
        <v>27341</v>
      </c>
      <c r="Q5268" s="1">
        <v>44846</v>
      </c>
      <c r="R5268" t="s">
        <v>27253</v>
      </c>
      <c r="S5268" t="s">
        <v>27254</v>
      </c>
      <c r="T5268" t="s">
        <v>27265</v>
      </c>
    </row>
    <row r="5269" spans="1:20" x14ac:dyDescent="0.3">
      <c r="A5269" t="str">
        <f>"0611862424050"</f>
        <v>0611862424050</v>
      </c>
      <c r="B5269" t="str">
        <f>"CR2338"</f>
        <v>CR2338</v>
      </c>
      <c r="C5269" t="s">
        <v>37440</v>
      </c>
      <c r="D5269" t="s">
        <v>27271</v>
      </c>
      <c r="E5269" t="str">
        <f t="shared" si="82"/>
        <v>001390</v>
      </c>
      <c r="F5269" t="s">
        <v>27246</v>
      </c>
      <c r="G5269" t="s">
        <v>27247</v>
      </c>
      <c r="H5269" t="s">
        <v>27248</v>
      </c>
      <c r="I5269" t="s">
        <v>37441</v>
      </c>
      <c r="J5269" t="s">
        <v>10511</v>
      </c>
      <c r="L5269" t="s">
        <v>27250</v>
      </c>
      <c r="M5269" t="s">
        <v>27251</v>
      </c>
      <c r="N5269" t="s">
        <v>27252</v>
      </c>
      <c r="P5269" t="s">
        <v>27341</v>
      </c>
      <c r="Q5269" s="1">
        <v>44846</v>
      </c>
      <c r="R5269" t="s">
        <v>27253</v>
      </c>
      <c r="S5269" t="s">
        <v>27254</v>
      </c>
      <c r="T5269" t="s">
        <v>27265</v>
      </c>
    </row>
    <row r="5270" spans="1:20" x14ac:dyDescent="0.3">
      <c r="A5270" t="str">
        <f>"0611862427050"</f>
        <v>0611862427050</v>
      </c>
      <c r="B5270" t="str">
        <f>"CR2343"</f>
        <v>CR2343</v>
      </c>
      <c r="C5270" t="s">
        <v>37442</v>
      </c>
      <c r="D5270" t="s">
        <v>27271</v>
      </c>
      <c r="E5270" t="str">
        <f t="shared" si="82"/>
        <v>001390</v>
      </c>
      <c r="F5270" t="s">
        <v>27246</v>
      </c>
      <c r="G5270" t="s">
        <v>27247</v>
      </c>
      <c r="H5270" t="s">
        <v>27248</v>
      </c>
      <c r="I5270" t="s">
        <v>37443</v>
      </c>
      <c r="J5270" t="s">
        <v>10513</v>
      </c>
      <c r="L5270" t="s">
        <v>27250</v>
      </c>
      <c r="M5270" t="s">
        <v>27251</v>
      </c>
      <c r="N5270" t="s">
        <v>27252</v>
      </c>
      <c r="P5270" t="s">
        <v>27341</v>
      </c>
      <c r="Q5270" s="1">
        <v>44846</v>
      </c>
      <c r="R5270" t="s">
        <v>27253</v>
      </c>
      <c r="S5270" t="s">
        <v>27254</v>
      </c>
      <c r="T5270" t="s">
        <v>27265</v>
      </c>
    </row>
    <row r="5271" spans="1:20" x14ac:dyDescent="0.3">
      <c r="A5271" t="str">
        <f>"0611862426050"</f>
        <v>0611862426050</v>
      </c>
      <c r="B5271" t="str">
        <f>"CR2342"</f>
        <v>CR2342</v>
      </c>
      <c r="C5271" t="s">
        <v>37444</v>
      </c>
      <c r="D5271" t="s">
        <v>27271</v>
      </c>
      <c r="E5271" t="str">
        <f t="shared" si="82"/>
        <v>001390</v>
      </c>
      <c r="F5271" t="s">
        <v>27246</v>
      </c>
      <c r="G5271" t="s">
        <v>27247</v>
      </c>
      <c r="H5271" t="s">
        <v>27248</v>
      </c>
      <c r="I5271" t="s">
        <v>37445</v>
      </c>
      <c r="J5271" t="s">
        <v>10515</v>
      </c>
      <c r="L5271" t="s">
        <v>27250</v>
      </c>
      <c r="M5271" t="s">
        <v>27251</v>
      </c>
      <c r="N5271" t="s">
        <v>27252</v>
      </c>
      <c r="P5271" t="s">
        <v>27341</v>
      </c>
      <c r="Q5271" s="1">
        <v>44846</v>
      </c>
      <c r="R5271" t="s">
        <v>27253</v>
      </c>
      <c r="S5271" t="s">
        <v>27254</v>
      </c>
      <c r="T5271" t="s">
        <v>27265</v>
      </c>
    </row>
    <row r="5272" spans="1:20" x14ac:dyDescent="0.3">
      <c r="A5272" t="str">
        <f>"0611862428050"</f>
        <v>0611862428050</v>
      </c>
      <c r="B5272" t="str">
        <f>"CR2344"</f>
        <v>CR2344</v>
      </c>
      <c r="C5272" t="s">
        <v>37446</v>
      </c>
      <c r="D5272" t="s">
        <v>27271</v>
      </c>
      <c r="E5272" t="str">
        <f t="shared" si="82"/>
        <v>001390</v>
      </c>
      <c r="F5272" t="s">
        <v>27246</v>
      </c>
      <c r="G5272" t="s">
        <v>27247</v>
      </c>
      <c r="H5272" t="s">
        <v>27248</v>
      </c>
      <c r="I5272" t="s">
        <v>37447</v>
      </c>
      <c r="J5272" t="s">
        <v>10517</v>
      </c>
      <c r="L5272" t="s">
        <v>27250</v>
      </c>
      <c r="M5272" t="s">
        <v>27251</v>
      </c>
      <c r="N5272" t="s">
        <v>27252</v>
      </c>
      <c r="P5272" t="s">
        <v>27341</v>
      </c>
      <c r="Q5272" s="1">
        <v>44846</v>
      </c>
      <c r="R5272" t="s">
        <v>27253</v>
      </c>
      <c r="S5272" t="s">
        <v>27254</v>
      </c>
      <c r="T5272" t="s">
        <v>27265</v>
      </c>
    </row>
    <row r="5273" spans="1:20" x14ac:dyDescent="0.3">
      <c r="A5273" t="str">
        <f>"0611862429050"</f>
        <v>0611862429050</v>
      </c>
      <c r="B5273" t="str">
        <f>"CR4988"</f>
        <v>CR4988</v>
      </c>
      <c r="C5273" t="s">
        <v>37448</v>
      </c>
      <c r="D5273" t="s">
        <v>27271</v>
      </c>
      <c r="E5273" t="str">
        <f t="shared" si="82"/>
        <v>001390</v>
      </c>
      <c r="F5273" t="s">
        <v>27246</v>
      </c>
      <c r="G5273" t="s">
        <v>27247</v>
      </c>
      <c r="H5273" t="s">
        <v>27248</v>
      </c>
      <c r="I5273" t="s">
        <v>37449</v>
      </c>
      <c r="J5273" t="s">
        <v>10519</v>
      </c>
      <c r="L5273" t="s">
        <v>27250</v>
      </c>
      <c r="M5273" t="s">
        <v>27251</v>
      </c>
      <c r="N5273" t="s">
        <v>27252</v>
      </c>
      <c r="P5273" t="s">
        <v>27341</v>
      </c>
      <c r="Q5273" s="1">
        <v>44846</v>
      </c>
      <c r="R5273" t="s">
        <v>27253</v>
      </c>
      <c r="S5273" t="s">
        <v>27254</v>
      </c>
      <c r="T5273" t="s">
        <v>27265</v>
      </c>
    </row>
    <row r="5274" spans="1:20" x14ac:dyDescent="0.3">
      <c r="A5274" t="str">
        <f>"0611862430050"</f>
        <v>0611862430050</v>
      </c>
      <c r="B5274" t="str">
        <f>"CR2345"</f>
        <v>CR2345</v>
      </c>
      <c r="C5274" t="s">
        <v>37450</v>
      </c>
      <c r="D5274" t="s">
        <v>27271</v>
      </c>
      <c r="E5274" t="str">
        <f t="shared" si="82"/>
        <v>001390</v>
      </c>
      <c r="F5274" t="s">
        <v>27246</v>
      </c>
      <c r="G5274" t="s">
        <v>27247</v>
      </c>
      <c r="H5274" t="s">
        <v>27248</v>
      </c>
      <c r="I5274" t="s">
        <v>37451</v>
      </c>
      <c r="J5274" t="s">
        <v>10521</v>
      </c>
      <c r="L5274" t="s">
        <v>27250</v>
      </c>
      <c r="M5274" t="s">
        <v>27251</v>
      </c>
      <c r="N5274" t="s">
        <v>27252</v>
      </c>
      <c r="P5274" t="s">
        <v>27341</v>
      </c>
      <c r="Q5274" s="1">
        <v>44846</v>
      </c>
      <c r="R5274" t="s">
        <v>27253</v>
      </c>
      <c r="S5274" t="s">
        <v>27254</v>
      </c>
      <c r="T5274" t="s">
        <v>27265</v>
      </c>
    </row>
    <row r="5275" spans="1:20" x14ac:dyDescent="0.3">
      <c r="A5275" t="str">
        <f>"0611837305100"</f>
        <v>0611837305100</v>
      </c>
      <c r="B5275" t="str">
        <f>"LC9616"</f>
        <v>LC9616</v>
      </c>
      <c r="C5275" t="s">
        <v>37452</v>
      </c>
      <c r="D5275" t="s">
        <v>27245</v>
      </c>
      <c r="E5275" t="str">
        <f t="shared" si="82"/>
        <v>001390</v>
      </c>
      <c r="F5275" t="s">
        <v>27246</v>
      </c>
      <c r="G5275" t="s">
        <v>27247</v>
      </c>
      <c r="H5275" t="s">
        <v>27248</v>
      </c>
      <c r="I5275" t="s">
        <v>37453</v>
      </c>
      <c r="J5275" t="s">
        <v>10523</v>
      </c>
      <c r="L5275" t="s">
        <v>27250</v>
      </c>
      <c r="M5275" t="s">
        <v>27251</v>
      </c>
      <c r="N5275" t="s">
        <v>27252</v>
      </c>
      <c r="Q5275" s="1">
        <v>44538</v>
      </c>
      <c r="R5275" t="s">
        <v>27253</v>
      </c>
      <c r="S5275" t="s">
        <v>27254</v>
      </c>
      <c r="T5275" t="s">
        <v>27255</v>
      </c>
    </row>
    <row r="5276" spans="1:20" x14ac:dyDescent="0.3">
      <c r="A5276" t="str">
        <f>"0611862431050"</f>
        <v>0611862431050</v>
      </c>
      <c r="B5276" t="str">
        <f>"CE1117"</f>
        <v>CE1117</v>
      </c>
      <c r="C5276" t="s">
        <v>37454</v>
      </c>
      <c r="D5276" t="s">
        <v>27923</v>
      </c>
      <c r="E5276" t="str">
        <f t="shared" si="82"/>
        <v>001390</v>
      </c>
      <c r="F5276" t="s">
        <v>27246</v>
      </c>
      <c r="G5276" t="s">
        <v>27247</v>
      </c>
      <c r="H5276" t="s">
        <v>27248</v>
      </c>
      <c r="I5276" t="s">
        <v>37455</v>
      </c>
      <c r="J5276" t="s">
        <v>10525</v>
      </c>
      <c r="L5276" t="s">
        <v>27250</v>
      </c>
      <c r="M5276" t="s">
        <v>27251</v>
      </c>
      <c r="N5276" t="s">
        <v>27252</v>
      </c>
      <c r="P5276" t="s">
        <v>27925</v>
      </c>
      <c r="Q5276" s="1">
        <v>44846</v>
      </c>
      <c r="R5276" t="s">
        <v>27253</v>
      </c>
      <c r="S5276" t="s">
        <v>27254</v>
      </c>
      <c r="T5276" t="s">
        <v>27265</v>
      </c>
    </row>
    <row r="5277" spans="1:20" x14ac:dyDescent="0.3">
      <c r="A5277" t="str">
        <f>"0611862432050"</f>
        <v>0611862432050</v>
      </c>
      <c r="B5277" t="str">
        <f>"CE0711"</f>
        <v>CE0711</v>
      </c>
      <c r="C5277" t="s">
        <v>37456</v>
      </c>
      <c r="D5277" t="s">
        <v>27923</v>
      </c>
      <c r="E5277" t="str">
        <f t="shared" si="82"/>
        <v>001390</v>
      </c>
      <c r="F5277" t="s">
        <v>27246</v>
      </c>
      <c r="G5277" t="s">
        <v>27247</v>
      </c>
      <c r="H5277" t="s">
        <v>27248</v>
      </c>
      <c r="I5277" t="s">
        <v>37457</v>
      </c>
      <c r="J5277" t="s">
        <v>10527</v>
      </c>
      <c r="L5277" t="s">
        <v>27250</v>
      </c>
      <c r="M5277" t="s">
        <v>27251</v>
      </c>
      <c r="N5277" t="s">
        <v>27252</v>
      </c>
      <c r="P5277" t="s">
        <v>27925</v>
      </c>
      <c r="Q5277" s="1">
        <v>44846</v>
      </c>
      <c r="R5277" t="s">
        <v>27253</v>
      </c>
      <c r="S5277" t="s">
        <v>27254</v>
      </c>
      <c r="T5277" t="s">
        <v>27265</v>
      </c>
    </row>
    <row r="5278" spans="1:20" x14ac:dyDescent="0.3">
      <c r="A5278" t="str">
        <f>"0611862433050"</f>
        <v>0611862433050</v>
      </c>
      <c r="B5278" t="str">
        <f>"CE0712"</f>
        <v>CE0712</v>
      </c>
      <c r="C5278" t="s">
        <v>37458</v>
      </c>
      <c r="D5278" t="s">
        <v>27923</v>
      </c>
      <c r="E5278" t="str">
        <f t="shared" si="82"/>
        <v>001390</v>
      </c>
      <c r="F5278" t="s">
        <v>27246</v>
      </c>
      <c r="G5278" t="s">
        <v>27247</v>
      </c>
      <c r="H5278" t="s">
        <v>27248</v>
      </c>
      <c r="I5278" t="s">
        <v>37459</v>
      </c>
      <c r="J5278" t="s">
        <v>10529</v>
      </c>
      <c r="L5278" t="s">
        <v>27250</v>
      </c>
      <c r="M5278" t="s">
        <v>27251</v>
      </c>
      <c r="N5278" t="s">
        <v>27252</v>
      </c>
      <c r="P5278" t="s">
        <v>27925</v>
      </c>
      <c r="Q5278" s="1">
        <v>44846</v>
      </c>
      <c r="R5278" t="s">
        <v>27253</v>
      </c>
      <c r="S5278" t="s">
        <v>27254</v>
      </c>
      <c r="T5278" t="s">
        <v>27265</v>
      </c>
    </row>
    <row r="5279" spans="1:20" x14ac:dyDescent="0.3">
      <c r="A5279" t="str">
        <f>"0611862434050"</f>
        <v>0611862434050</v>
      </c>
      <c r="B5279" t="str">
        <f>"CE0713"</f>
        <v>CE0713</v>
      </c>
      <c r="C5279" t="s">
        <v>37460</v>
      </c>
      <c r="D5279" t="s">
        <v>27923</v>
      </c>
      <c r="E5279" t="str">
        <f t="shared" si="82"/>
        <v>001390</v>
      </c>
      <c r="F5279" t="s">
        <v>27246</v>
      </c>
      <c r="G5279" t="s">
        <v>27247</v>
      </c>
      <c r="H5279" t="s">
        <v>27248</v>
      </c>
      <c r="I5279" t="s">
        <v>37461</v>
      </c>
      <c r="J5279" t="s">
        <v>10531</v>
      </c>
      <c r="L5279" t="s">
        <v>27250</v>
      </c>
      <c r="M5279" t="s">
        <v>27251</v>
      </c>
      <c r="N5279" t="s">
        <v>27252</v>
      </c>
      <c r="P5279" t="s">
        <v>27925</v>
      </c>
      <c r="Q5279" s="1">
        <v>44846</v>
      </c>
      <c r="R5279" t="s">
        <v>27253</v>
      </c>
      <c r="S5279" t="s">
        <v>27254</v>
      </c>
      <c r="T5279" t="s">
        <v>27265</v>
      </c>
    </row>
    <row r="5280" spans="1:20" x14ac:dyDescent="0.3">
      <c r="A5280" t="str">
        <f>"0611862435050"</f>
        <v>0611862435050</v>
      </c>
      <c r="B5280" t="str">
        <f>"CE1215"</f>
        <v>CE1215</v>
      </c>
      <c r="C5280" t="s">
        <v>37462</v>
      </c>
      <c r="D5280" t="s">
        <v>27923</v>
      </c>
      <c r="E5280" t="str">
        <f t="shared" si="82"/>
        <v>001390</v>
      </c>
      <c r="F5280" t="s">
        <v>27246</v>
      </c>
      <c r="G5280" t="s">
        <v>27247</v>
      </c>
      <c r="H5280" t="s">
        <v>27248</v>
      </c>
      <c r="I5280" t="s">
        <v>37463</v>
      </c>
      <c r="J5280" t="s">
        <v>10533</v>
      </c>
      <c r="L5280" t="s">
        <v>27250</v>
      </c>
      <c r="M5280" t="s">
        <v>27251</v>
      </c>
      <c r="N5280" t="s">
        <v>27252</v>
      </c>
      <c r="P5280" t="s">
        <v>27925</v>
      </c>
      <c r="Q5280" s="1">
        <v>44846</v>
      </c>
      <c r="R5280" t="s">
        <v>27253</v>
      </c>
      <c r="S5280" t="s">
        <v>27254</v>
      </c>
      <c r="T5280" t="s">
        <v>27265</v>
      </c>
    </row>
    <row r="5281" spans="1:20" x14ac:dyDescent="0.3">
      <c r="A5281" t="str">
        <f>"0611862436050"</f>
        <v>0611862436050</v>
      </c>
      <c r="B5281" t="str">
        <f>"CE0714"</f>
        <v>CE0714</v>
      </c>
      <c r="C5281" t="s">
        <v>37464</v>
      </c>
      <c r="D5281" t="s">
        <v>27923</v>
      </c>
      <c r="E5281" t="str">
        <f t="shared" si="82"/>
        <v>001390</v>
      </c>
      <c r="F5281" t="s">
        <v>27246</v>
      </c>
      <c r="G5281" t="s">
        <v>27247</v>
      </c>
      <c r="H5281" t="s">
        <v>27248</v>
      </c>
      <c r="I5281" t="s">
        <v>37465</v>
      </c>
      <c r="J5281" t="s">
        <v>10535</v>
      </c>
      <c r="L5281" t="s">
        <v>27250</v>
      </c>
      <c r="M5281" t="s">
        <v>27251</v>
      </c>
      <c r="N5281" t="s">
        <v>27252</v>
      </c>
      <c r="P5281" t="s">
        <v>27925</v>
      </c>
      <c r="Q5281" s="1">
        <v>44846</v>
      </c>
      <c r="R5281" t="s">
        <v>27253</v>
      </c>
      <c r="S5281" t="s">
        <v>27254</v>
      </c>
      <c r="T5281" t="s">
        <v>27265</v>
      </c>
    </row>
    <row r="5282" spans="1:20" x14ac:dyDescent="0.3">
      <c r="A5282" t="str">
        <f>"0611862437050"</f>
        <v>0611862437050</v>
      </c>
      <c r="B5282" t="str">
        <f>"CE0715"</f>
        <v>CE0715</v>
      </c>
      <c r="C5282" t="s">
        <v>37466</v>
      </c>
      <c r="D5282" t="s">
        <v>27923</v>
      </c>
      <c r="E5282" t="str">
        <f t="shared" si="82"/>
        <v>001390</v>
      </c>
      <c r="F5282" t="s">
        <v>27246</v>
      </c>
      <c r="G5282" t="s">
        <v>27247</v>
      </c>
      <c r="H5282" t="s">
        <v>27248</v>
      </c>
      <c r="I5282" t="s">
        <v>37467</v>
      </c>
      <c r="J5282" t="s">
        <v>10537</v>
      </c>
      <c r="L5282" t="s">
        <v>27250</v>
      </c>
      <c r="M5282" t="s">
        <v>27251</v>
      </c>
      <c r="N5282" t="s">
        <v>27252</v>
      </c>
      <c r="P5282" t="s">
        <v>27925</v>
      </c>
      <c r="Q5282" s="1">
        <v>44846</v>
      </c>
      <c r="R5282" t="s">
        <v>27253</v>
      </c>
      <c r="S5282" t="s">
        <v>27254</v>
      </c>
      <c r="T5282" t="s">
        <v>27265</v>
      </c>
    </row>
    <row r="5283" spans="1:20" x14ac:dyDescent="0.3">
      <c r="A5283" t="str">
        <f>"0611862438050"</f>
        <v>0611862438050</v>
      </c>
      <c r="B5283" t="str">
        <f>"CE0716"</f>
        <v>CE0716</v>
      </c>
      <c r="C5283" t="s">
        <v>37468</v>
      </c>
      <c r="D5283" t="s">
        <v>27923</v>
      </c>
      <c r="E5283" t="str">
        <f t="shared" si="82"/>
        <v>001390</v>
      </c>
      <c r="F5283" t="s">
        <v>27246</v>
      </c>
      <c r="G5283" t="s">
        <v>27247</v>
      </c>
      <c r="H5283" t="s">
        <v>27248</v>
      </c>
      <c r="I5283" t="s">
        <v>37469</v>
      </c>
      <c r="J5283" t="s">
        <v>10539</v>
      </c>
      <c r="L5283" t="s">
        <v>27250</v>
      </c>
      <c r="M5283" t="s">
        <v>27251</v>
      </c>
      <c r="N5283" t="s">
        <v>27252</v>
      </c>
      <c r="P5283" t="s">
        <v>27925</v>
      </c>
      <c r="Q5283" s="1">
        <v>44846</v>
      </c>
      <c r="R5283" t="s">
        <v>27253</v>
      </c>
      <c r="S5283" t="s">
        <v>27254</v>
      </c>
      <c r="T5283" t="s">
        <v>27265</v>
      </c>
    </row>
    <row r="5284" spans="1:20" x14ac:dyDescent="0.3">
      <c r="A5284" t="str">
        <f>"0611862439050"</f>
        <v>0611862439050</v>
      </c>
      <c r="B5284" t="str">
        <f>"CE0717"</f>
        <v>CE0717</v>
      </c>
      <c r="C5284" t="s">
        <v>37470</v>
      </c>
      <c r="D5284" t="s">
        <v>27923</v>
      </c>
      <c r="E5284" t="str">
        <f t="shared" si="82"/>
        <v>001390</v>
      </c>
      <c r="F5284" t="s">
        <v>27246</v>
      </c>
      <c r="G5284" t="s">
        <v>27247</v>
      </c>
      <c r="H5284" t="s">
        <v>27248</v>
      </c>
      <c r="I5284" t="s">
        <v>37471</v>
      </c>
      <c r="J5284" t="s">
        <v>10541</v>
      </c>
      <c r="L5284" t="s">
        <v>27250</v>
      </c>
      <c r="M5284" t="s">
        <v>27251</v>
      </c>
      <c r="N5284" t="s">
        <v>27252</v>
      </c>
      <c r="P5284" t="s">
        <v>27925</v>
      </c>
      <c r="Q5284" s="1">
        <v>44846</v>
      </c>
      <c r="R5284" t="s">
        <v>27253</v>
      </c>
      <c r="S5284" t="s">
        <v>27254</v>
      </c>
      <c r="T5284" t="s">
        <v>27265</v>
      </c>
    </row>
    <row r="5285" spans="1:20" x14ac:dyDescent="0.3">
      <c r="A5285" t="str">
        <f>"0611862440050"</f>
        <v>0611862440050</v>
      </c>
      <c r="B5285" t="str">
        <f>"CE0718"</f>
        <v>CE0718</v>
      </c>
      <c r="C5285" t="s">
        <v>37472</v>
      </c>
      <c r="D5285" t="s">
        <v>27923</v>
      </c>
      <c r="E5285" t="str">
        <f t="shared" si="82"/>
        <v>001390</v>
      </c>
      <c r="F5285" t="s">
        <v>27246</v>
      </c>
      <c r="G5285" t="s">
        <v>27247</v>
      </c>
      <c r="H5285" t="s">
        <v>27248</v>
      </c>
      <c r="I5285" t="s">
        <v>37473</v>
      </c>
      <c r="J5285" t="s">
        <v>10543</v>
      </c>
      <c r="L5285" t="s">
        <v>27250</v>
      </c>
      <c r="M5285" t="s">
        <v>27251</v>
      </c>
      <c r="N5285" t="s">
        <v>27252</v>
      </c>
      <c r="P5285" t="s">
        <v>27925</v>
      </c>
      <c r="Q5285" s="1">
        <v>44846</v>
      </c>
      <c r="R5285" t="s">
        <v>27253</v>
      </c>
      <c r="S5285" t="s">
        <v>27254</v>
      </c>
      <c r="T5285" t="s">
        <v>27265</v>
      </c>
    </row>
    <row r="5286" spans="1:20" x14ac:dyDescent="0.3">
      <c r="A5286" t="str">
        <f>"0611862441050"</f>
        <v>0611862441050</v>
      </c>
      <c r="B5286" t="str">
        <f>"CE1345"</f>
        <v>CE1345</v>
      </c>
      <c r="C5286" t="s">
        <v>37474</v>
      </c>
      <c r="D5286" t="s">
        <v>27923</v>
      </c>
      <c r="E5286" t="str">
        <f t="shared" si="82"/>
        <v>001390</v>
      </c>
      <c r="F5286" t="s">
        <v>27246</v>
      </c>
      <c r="G5286" t="s">
        <v>27247</v>
      </c>
      <c r="H5286" t="s">
        <v>27248</v>
      </c>
      <c r="I5286" t="s">
        <v>37475</v>
      </c>
      <c r="J5286" t="s">
        <v>10545</v>
      </c>
      <c r="L5286" t="s">
        <v>27250</v>
      </c>
      <c r="M5286" t="s">
        <v>27251</v>
      </c>
      <c r="N5286" t="s">
        <v>27252</v>
      </c>
      <c r="P5286" t="s">
        <v>27925</v>
      </c>
      <c r="Q5286" s="1">
        <v>44846</v>
      </c>
      <c r="R5286" t="s">
        <v>27253</v>
      </c>
      <c r="S5286" t="s">
        <v>27254</v>
      </c>
      <c r="T5286" t="s">
        <v>27265</v>
      </c>
    </row>
    <row r="5287" spans="1:20" x14ac:dyDescent="0.3">
      <c r="A5287" t="str">
        <f>"0611862442050"</f>
        <v>0611862442050</v>
      </c>
      <c r="B5287" t="str">
        <f>"CE1346"</f>
        <v>CE1346</v>
      </c>
      <c r="C5287" t="s">
        <v>37476</v>
      </c>
      <c r="D5287" t="s">
        <v>27923</v>
      </c>
      <c r="E5287" t="str">
        <f t="shared" si="82"/>
        <v>001390</v>
      </c>
      <c r="F5287" t="s">
        <v>27246</v>
      </c>
      <c r="G5287" t="s">
        <v>27247</v>
      </c>
      <c r="H5287" t="s">
        <v>27248</v>
      </c>
      <c r="I5287" t="s">
        <v>37477</v>
      </c>
      <c r="J5287" t="s">
        <v>10547</v>
      </c>
      <c r="L5287" t="s">
        <v>27250</v>
      </c>
      <c r="M5287" t="s">
        <v>27251</v>
      </c>
      <c r="N5287" t="s">
        <v>27252</v>
      </c>
      <c r="P5287" t="s">
        <v>27925</v>
      </c>
      <c r="Q5287" s="1">
        <v>44846</v>
      </c>
      <c r="R5287" t="s">
        <v>27253</v>
      </c>
      <c r="S5287" t="s">
        <v>27254</v>
      </c>
      <c r="T5287" t="s">
        <v>27265</v>
      </c>
    </row>
    <row r="5288" spans="1:20" x14ac:dyDescent="0.3">
      <c r="A5288" t="str">
        <f>"0611862443050"</f>
        <v>0611862443050</v>
      </c>
      <c r="B5288" t="str">
        <f>"CE0720"</f>
        <v>CE0720</v>
      </c>
      <c r="C5288" t="s">
        <v>37478</v>
      </c>
      <c r="D5288" t="s">
        <v>27923</v>
      </c>
      <c r="E5288" t="str">
        <f t="shared" si="82"/>
        <v>001390</v>
      </c>
      <c r="F5288" t="s">
        <v>27246</v>
      </c>
      <c r="G5288" t="s">
        <v>27247</v>
      </c>
      <c r="H5288" t="s">
        <v>27248</v>
      </c>
      <c r="I5288" t="s">
        <v>37479</v>
      </c>
      <c r="J5288" t="s">
        <v>10549</v>
      </c>
      <c r="L5288" t="s">
        <v>27250</v>
      </c>
      <c r="M5288" t="s">
        <v>27251</v>
      </c>
      <c r="N5288" t="s">
        <v>27252</v>
      </c>
      <c r="P5288" t="s">
        <v>27925</v>
      </c>
      <c r="Q5288" s="1">
        <v>44846</v>
      </c>
      <c r="R5288" t="s">
        <v>27253</v>
      </c>
      <c r="S5288" t="s">
        <v>27254</v>
      </c>
      <c r="T5288" t="s">
        <v>27265</v>
      </c>
    </row>
    <row r="5289" spans="1:20" x14ac:dyDescent="0.3">
      <c r="A5289" t="str">
        <f>"0611862444050"</f>
        <v>0611862444050</v>
      </c>
      <c r="B5289" t="str">
        <f>"CE0721"</f>
        <v>CE0721</v>
      </c>
      <c r="C5289" t="s">
        <v>37480</v>
      </c>
      <c r="D5289" t="s">
        <v>27923</v>
      </c>
      <c r="E5289" t="str">
        <f t="shared" si="82"/>
        <v>001390</v>
      </c>
      <c r="F5289" t="s">
        <v>27246</v>
      </c>
      <c r="G5289" t="s">
        <v>27247</v>
      </c>
      <c r="H5289" t="s">
        <v>27248</v>
      </c>
      <c r="I5289" t="s">
        <v>37481</v>
      </c>
      <c r="J5289" t="s">
        <v>10551</v>
      </c>
      <c r="L5289" t="s">
        <v>27250</v>
      </c>
      <c r="M5289" t="s">
        <v>27251</v>
      </c>
      <c r="N5289" t="s">
        <v>27252</v>
      </c>
      <c r="P5289" t="s">
        <v>27925</v>
      </c>
      <c r="Q5289" s="1">
        <v>44846</v>
      </c>
      <c r="R5289" t="s">
        <v>27253</v>
      </c>
      <c r="S5289" t="s">
        <v>27254</v>
      </c>
      <c r="T5289" t="s">
        <v>27265</v>
      </c>
    </row>
    <row r="5290" spans="1:20" x14ac:dyDescent="0.3">
      <c r="A5290" t="str">
        <f>"0611862445050"</f>
        <v>0611862445050</v>
      </c>
      <c r="B5290" t="str">
        <f>"CE1347"</f>
        <v>CE1347</v>
      </c>
      <c r="C5290" t="s">
        <v>37482</v>
      </c>
      <c r="D5290" t="s">
        <v>27923</v>
      </c>
      <c r="E5290" t="str">
        <f t="shared" si="82"/>
        <v>001390</v>
      </c>
      <c r="F5290" t="s">
        <v>27246</v>
      </c>
      <c r="G5290" t="s">
        <v>27247</v>
      </c>
      <c r="H5290" t="s">
        <v>27248</v>
      </c>
      <c r="I5290" t="s">
        <v>37483</v>
      </c>
      <c r="J5290" t="s">
        <v>10553</v>
      </c>
      <c r="L5290" t="s">
        <v>27250</v>
      </c>
      <c r="M5290" t="s">
        <v>27251</v>
      </c>
      <c r="N5290" t="s">
        <v>27252</v>
      </c>
      <c r="P5290" t="s">
        <v>27925</v>
      </c>
      <c r="Q5290" s="1">
        <v>44846</v>
      </c>
      <c r="R5290" t="s">
        <v>27253</v>
      </c>
      <c r="S5290" t="s">
        <v>27254</v>
      </c>
      <c r="T5290" t="s">
        <v>27265</v>
      </c>
    </row>
    <row r="5291" spans="1:20" x14ac:dyDescent="0.3">
      <c r="A5291" t="str">
        <f>"0611862446050"</f>
        <v>0611862446050</v>
      </c>
      <c r="B5291" t="str">
        <f>"CE0722"</f>
        <v>CE0722</v>
      </c>
      <c r="C5291" t="s">
        <v>37484</v>
      </c>
      <c r="D5291" t="s">
        <v>27923</v>
      </c>
      <c r="E5291" t="str">
        <f t="shared" si="82"/>
        <v>001390</v>
      </c>
      <c r="F5291" t="s">
        <v>27246</v>
      </c>
      <c r="G5291" t="s">
        <v>27247</v>
      </c>
      <c r="H5291" t="s">
        <v>27248</v>
      </c>
      <c r="I5291" t="s">
        <v>37485</v>
      </c>
      <c r="J5291" t="s">
        <v>10555</v>
      </c>
      <c r="L5291" t="s">
        <v>27250</v>
      </c>
      <c r="M5291" t="s">
        <v>27251</v>
      </c>
      <c r="N5291" t="s">
        <v>27252</v>
      </c>
      <c r="P5291" t="s">
        <v>27925</v>
      </c>
      <c r="Q5291" s="1">
        <v>44846</v>
      </c>
      <c r="R5291" t="s">
        <v>27253</v>
      </c>
      <c r="S5291" t="s">
        <v>27254</v>
      </c>
      <c r="T5291" t="s">
        <v>27265</v>
      </c>
    </row>
    <row r="5292" spans="1:20" x14ac:dyDescent="0.3">
      <c r="A5292" t="str">
        <f>"0611862447050"</f>
        <v>0611862447050</v>
      </c>
      <c r="B5292" t="str">
        <f>"CE0723"</f>
        <v>CE0723</v>
      </c>
      <c r="C5292" t="s">
        <v>37486</v>
      </c>
      <c r="D5292" t="s">
        <v>27923</v>
      </c>
      <c r="E5292" t="str">
        <f t="shared" si="82"/>
        <v>001390</v>
      </c>
      <c r="F5292" t="s">
        <v>27246</v>
      </c>
      <c r="G5292" t="s">
        <v>27247</v>
      </c>
      <c r="H5292" t="s">
        <v>27248</v>
      </c>
      <c r="I5292" t="s">
        <v>37487</v>
      </c>
      <c r="J5292" t="s">
        <v>10557</v>
      </c>
      <c r="L5292" t="s">
        <v>27250</v>
      </c>
      <c r="M5292" t="s">
        <v>27251</v>
      </c>
      <c r="N5292" t="s">
        <v>27252</v>
      </c>
      <c r="P5292" t="s">
        <v>27925</v>
      </c>
      <c r="Q5292" s="1">
        <v>44846</v>
      </c>
      <c r="R5292" t="s">
        <v>27253</v>
      </c>
      <c r="S5292" t="s">
        <v>27254</v>
      </c>
      <c r="T5292" t="s">
        <v>27265</v>
      </c>
    </row>
    <row r="5293" spans="1:20" x14ac:dyDescent="0.3">
      <c r="A5293" t="str">
        <f>"0611862448050"</f>
        <v>0611862448050</v>
      </c>
      <c r="B5293" t="str">
        <f>"CE0724"</f>
        <v>CE0724</v>
      </c>
      <c r="C5293" t="s">
        <v>37488</v>
      </c>
      <c r="D5293" t="s">
        <v>27923</v>
      </c>
      <c r="E5293" t="str">
        <f t="shared" si="82"/>
        <v>001390</v>
      </c>
      <c r="F5293" t="s">
        <v>27246</v>
      </c>
      <c r="G5293" t="s">
        <v>27247</v>
      </c>
      <c r="H5293" t="s">
        <v>27248</v>
      </c>
      <c r="I5293" t="s">
        <v>37489</v>
      </c>
      <c r="J5293" t="s">
        <v>10559</v>
      </c>
      <c r="L5293" t="s">
        <v>27250</v>
      </c>
      <c r="M5293" t="s">
        <v>27251</v>
      </c>
      <c r="N5293" t="s">
        <v>27252</v>
      </c>
      <c r="P5293" t="s">
        <v>27925</v>
      </c>
      <c r="Q5293" s="1">
        <v>44846</v>
      </c>
      <c r="R5293" t="s">
        <v>27253</v>
      </c>
      <c r="S5293" t="s">
        <v>27254</v>
      </c>
      <c r="T5293" t="s">
        <v>27265</v>
      </c>
    </row>
    <row r="5294" spans="1:20" x14ac:dyDescent="0.3">
      <c r="A5294" t="str">
        <f>"0611862449050"</f>
        <v>0611862449050</v>
      </c>
      <c r="B5294" t="str">
        <f>"CE0725"</f>
        <v>CE0725</v>
      </c>
      <c r="C5294" t="s">
        <v>37490</v>
      </c>
      <c r="D5294" t="s">
        <v>27923</v>
      </c>
      <c r="E5294" t="str">
        <f t="shared" si="82"/>
        <v>001390</v>
      </c>
      <c r="F5294" t="s">
        <v>27246</v>
      </c>
      <c r="G5294" t="s">
        <v>27247</v>
      </c>
      <c r="H5294" t="s">
        <v>27248</v>
      </c>
      <c r="I5294" t="s">
        <v>37491</v>
      </c>
      <c r="J5294" t="s">
        <v>10561</v>
      </c>
      <c r="L5294" t="s">
        <v>27250</v>
      </c>
      <c r="M5294" t="s">
        <v>27251</v>
      </c>
      <c r="N5294" t="s">
        <v>27252</v>
      </c>
      <c r="P5294" t="s">
        <v>27925</v>
      </c>
      <c r="Q5294" s="1">
        <v>44846</v>
      </c>
      <c r="R5294" t="s">
        <v>27253</v>
      </c>
      <c r="S5294" t="s">
        <v>27254</v>
      </c>
      <c r="T5294" t="s">
        <v>27265</v>
      </c>
    </row>
    <row r="5295" spans="1:20" x14ac:dyDescent="0.3">
      <c r="A5295" t="str">
        <f>"0611862450050"</f>
        <v>0611862450050</v>
      </c>
      <c r="B5295" t="str">
        <f>"CE1216"</f>
        <v>CE1216</v>
      </c>
      <c r="C5295" t="s">
        <v>37492</v>
      </c>
      <c r="D5295" t="s">
        <v>27923</v>
      </c>
      <c r="E5295" t="str">
        <f t="shared" si="82"/>
        <v>001390</v>
      </c>
      <c r="F5295" t="s">
        <v>27246</v>
      </c>
      <c r="G5295" t="s">
        <v>27247</v>
      </c>
      <c r="H5295" t="s">
        <v>27248</v>
      </c>
      <c r="I5295" t="s">
        <v>37493</v>
      </c>
      <c r="J5295" t="s">
        <v>10563</v>
      </c>
      <c r="L5295" t="s">
        <v>27250</v>
      </c>
      <c r="M5295" t="s">
        <v>27251</v>
      </c>
      <c r="N5295" t="s">
        <v>27252</v>
      </c>
      <c r="P5295" t="s">
        <v>27925</v>
      </c>
      <c r="Q5295" s="1">
        <v>44846</v>
      </c>
      <c r="R5295" t="s">
        <v>27253</v>
      </c>
      <c r="S5295" t="s">
        <v>27254</v>
      </c>
      <c r="T5295" t="s">
        <v>27265</v>
      </c>
    </row>
    <row r="5296" spans="1:20" x14ac:dyDescent="0.3">
      <c r="A5296" t="str">
        <f>"0611884236100"</f>
        <v>0611884236100</v>
      </c>
      <c r="B5296" t="str">
        <f>"LB2994"</f>
        <v>LB2994</v>
      </c>
      <c r="C5296" t="s">
        <v>37494</v>
      </c>
      <c r="D5296" t="s">
        <v>28138</v>
      </c>
      <c r="E5296" t="str">
        <f t="shared" si="82"/>
        <v>001390</v>
      </c>
      <c r="F5296" t="s">
        <v>27246</v>
      </c>
      <c r="G5296" t="s">
        <v>27247</v>
      </c>
      <c r="H5296" t="s">
        <v>27248</v>
      </c>
      <c r="I5296" t="s">
        <v>37495</v>
      </c>
      <c r="J5296" t="s">
        <v>10565</v>
      </c>
      <c r="L5296" t="s">
        <v>27430</v>
      </c>
      <c r="M5296" t="s">
        <v>27251</v>
      </c>
      <c r="N5296" t="s">
        <v>27252</v>
      </c>
      <c r="P5296" t="s">
        <v>27925</v>
      </c>
      <c r="Q5296" s="1">
        <v>45250</v>
      </c>
      <c r="R5296" t="s">
        <v>27253</v>
      </c>
      <c r="S5296" t="s">
        <v>27254</v>
      </c>
      <c r="T5296" t="s">
        <v>27255</v>
      </c>
    </row>
    <row r="5297" spans="1:20" x14ac:dyDescent="0.3">
      <c r="A5297" t="str">
        <f>"0611837308100"</f>
        <v>0611837308100</v>
      </c>
      <c r="B5297" t="str">
        <f>"LQ3755"</f>
        <v>LQ3755</v>
      </c>
      <c r="C5297" t="s">
        <v>37496</v>
      </c>
      <c r="D5297" t="s">
        <v>27245</v>
      </c>
      <c r="E5297" t="str">
        <f t="shared" si="82"/>
        <v>001390</v>
      </c>
      <c r="F5297" t="s">
        <v>27246</v>
      </c>
      <c r="G5297" t="s">
        <v>27247</v>
      </c>
      <c r="H5297" t="s">
        <v>27248</v>
      </c>
      <c r="I5297" t="s">
        <v>37497</v>
      </c>
      <c r="J5297" t="s">
        <v>10567</v>
      </c>
      <c r="L5297" t="s">
        <v>27250</v>
      </c>
      <c r="M5297" t="s">
        <v>27251</v>
      </c>
      <c r="N5297" t="s">
        <v>27252</v>
      </c>
      <c r="Q5297" s="1">
        <v>44538</v>
      </c>
      <c r="R5297" t="s">
        <v>27253</v>
      </c>
      <c r="S5297" t="s">
        <v>27254</v>
      </c>
      <c r="T5297" t="s">
        <v>27255</v>
      </c>
    </row>
    <row r="5298" spans="1:20" x14ac:dyDescent="0.3">
      <c r="A5298" t="str">
        <f>"0611837309100"</f>
        <v>0611837309100</v>
      </c>
      <c r="B5298" t="str">
        <f>"LK4776"</f>
        <v>LK4776</v>
      </c>
      <c r="C5298" t="s">
        <v>37498</v>
      </c>
      <c r="D5298" t="s">
        <v>27552</v>
      </c>
      <c r="E5298" t="str">
        <f t="shared" si="82"/>
        <v>001390</v>
      </c>
      <c r="F5298" t="s">
        <v>27246</v>
      </c>
      <c r="G5298" t="s">
        <v>27247</v>
      </c>
      <c r="H5298" t="s">
        <v>27248</v>
      </c>
      <c r="I5298" t="s">
        <v>37499</v>
      </c>
      <c r="J5298" t="s">
        <v>10569</v>
      </c>
      <c r="L5298" t="s">
        <v>27250</v>
      </c>
      <c r="M5298" t="s">
        <v>27251</v>
      </c>
      <c r="N5298" t="s">
        <v>27252</v>
      </c>
      <c r="P5298" t="s">
        <v>27341</v>
      </c>
      <c r="Q5298" s="1">
        <v>44538</v>
      </c>
      <c r="R5298" t="s">
        <v>27253</v>
      </c>
      <c r="S5298" t="s">
        <v>27254</v>
      </c>
      <c r="T5298" t="s">
        <v>27255</v>
      </c>
    </row>
    <row r="5299" spans="1:20" x14ac:dyDescent="0.3">
      <c r="A5299" t="str">
        <f>"0611862459050"</f>
        <v>0611862459050</v>
      </c>
      <c r="B5299" t="str">
        <f>"CR3535"</f>
        <v>CR3535</v>
      </c>
      <c r="C5299" t="s">
        <v>37498</v>
      </c>
      <c r="D5299" t="s">
        <v>27271</v>
      </c>
      <c r="E5299" t="str">
        <f t="shared" si="82"/>
        <v>001390</v>
      </c>
      <c r="F5299" t="s">
        <v>27246</v>
      </c>
      <c r="G5299" t="s">
        <v>27247</v>
      </c>
      <c r="H5299" t="s">
        <v>27248</v>
      </c>
      <c r="I5299" t="s">
        <v>37500</v>
      </c>
      <c r="J5299" t="s">
        <v>10571</v>
      </c>
      <c r="L5299" t="s">
        <v>27250</v>
      </c>
      <c r="M5299" t="s">
        <v>27251</v>
      </c>
      <c r="N5299" t="s">
        <v>27252</v>
      </c>
      <c r="P5299" t="s">
        <v>27341</v>
      </c>
      <c r="Q5299" s="1">
        <v>44846</v>
      </c>
      <c r="R5299" t="s">
        <v>27253</v>
      </c>
      <c r="S5299" t="s">
        <v>27254</v>
      </c>
      <c r="T5299" t="s">
        <v>27265</v>
      </c>
    </row>
    <row r="5300" spans="1:20" x14ac:dyDescent="0.3">
      <c r="A5300" t="str">
        <f>"0611837310100"</f>
        <v>0611837310100</v>
      </c>
      <c r="B5300" t="str">
        <f>"LB2942"</f>
        <v>LB2942</v>
      </c>
      <c r="C5300" t="s">
        <v>37501</v>
      </c>
      <c r="D5300" t="s">
        <v>27245</v>
      </c>
      <c r="E5300" t="str">
        <f t="shared" si="82"/>
        <v>001390</v>
      </c>
      <c r="F5300" t="s">
        <v>27246</v>
      </c>
      <c r="G5300" t="s">
        <v>27247</v>
      </c>
      <c r="H5300" t="s">
        <v>27248</v>
      </c>
      <c r="I5300" t="s">
        <v>37502</v>
      </c>
      <c r="J5300" t="s">
        <v>10573</v>
      </c>
      <c r="L5300" t="s">
        <v>27250</v>
      </c>
      <c r="M5300" t="s">
        <v>27251</v>
      </c>
      <c r="N5300" t="s">
        <v>27252</v>
      </c>
      <c r="Q5300" s="1">
        <v>44538</v>
      </c>
      <c r="R5300" t="s">
        <v>27253</v>
      </c>
      <c r="S5300" t="s">
        <v>27254</v>
      </c>
      <c r="T5300" t="s">
        <v>27255</v>
      </c>
    </row>
    <row r="5301" spans="1:20" x14ac:dyDescent="0.3">
      <c r="A5301" t="str">
        <f>"0611837311100"</f>
        <v>0611837311100</v>
      </c>
      <c r="B5301" t="str">
        <f>"LB3036"</f>
        <v>LB3036</v>
      </c>
      <c r="C5301" t="s">
        <v>37503</v>
      </c>
      <c r="D5301" t="s">
        <v>27245</v>
      </c>
      <c r="E5301" t="str">
        <f t="shared" si="82"/>
        <v>001390</v>
      </c>
      <c r="F5301" t="s">
        <v>27246</v>
      </c>
      <c r="G5301" t="s">
        <v>27247</v>
      </c>
      <c r="H5301" t="s">
        <v>27248</v>
      </c>
      <c r="I5301" t="s">
        <v>37504</v>
      </c>
      <c r="J5301" t="s">
        <v>10575</v>
      </c>
      <c r="L5301" t="s">
        <v>27250</v>
      </c>
      <c r="M5301" t="s">
        <v>27251</v>
      </c>
      <c r="N5301" t="s">
        <v>27252</v>
      </c>
      <c r="Q5301" s="1">
        <v>44538</v>
      </c>
      <c r="R5301" t="s">
        <v>27253</v>
      </c>
      <c r="S5301" t="s">
        <v>27254</v>
      </c>
      <c r="T5301" t="s">
        <v>27255</v>
      </c>
    </row>
    <row r="5302" spans="1:20" x14ac:dyDescent="0.3">
      <c r="A5302" t="str">
        <f>"0611837312025"</f>
        <v>0611837312025</v>
      </c>
      <c r="B5302" t="str">
        <f>"MC1429"</f>
        <v>MC1429</v>
      </c>
      <c r="C5302" t="s">
        <v>37503</v>
      </c>
      <c r="D5302" t="s">
        <v>27267</v>
      </c>
      <c r="E5302" t="str">
        <f t="shared" si="82"/>
        <v>001390</v>
      </c>
      <c r="F5302" t="s">
        <v>27246</v>
      </c>
      <c r="G5302" t="s">
        <v>27247</v>
      </c>
      <c r="H5302" t="s">
        <v>27248</v>
      </c>
      <c r="I5302" t="s">
        <v>37505</v>
      </c>
      <c r="J5302" t="s">
        <v>10577</v>
      </c>
      <c r="L5302" t="s">
        <v>27250</v>
      </c>
      <c r="M5302" t="s">
        <v>27251</v>
      </c>
      <c r="N5302" t="s">
        <v>27252</v>
      </c>
      <c r="Q5302" s="1">
        <v>44538</v>
      </c>
      <c r="R5302" t="s">
        <v>27253</v>
      </c>
      <c r="S5302" t="s">
        <v>27254</v>
      </c>
      <c r="T5302" t="s">
        <v>27269</v>
      </c>
    </row>
    <row r="5303" spans="1:20" x14ac:dyDescent="0.3">
      <c r="A5303" t="str">
        <f>"0611862460050"</f>
        <v>0611862460050</v>
      </c>
      <c r="B5303" t="str">
        <f>"CR3087"</f>
        <v>CR3087</v>
      </c>
      <c r="C5303" t="s">
        <v>37506</v>
      </c>
      <c r="D5303" t="s">
        <v>27263</v>
      </c>
      <c r="E5303" t="str">
        <f t="shared" si="82"/>
        <v>001390</v>
      </c>
      <c r="F5303" t="s">
        <v>27246</v>
      </c>
      <c r="G5303" t="s">
        <v>27247</v>
      </c>
      <c r="H5303" t="s">
        <v>27248</v>
      </c>
      <c r="I5303" t="s">
        <v>37507</v>
      </c>
      <c r="J5303" t="s">
        <v>10579</v>
      </c>
      <c r="L5303" t="s">
        <v>27250</v>
      </c>
      <c r="M5303" t="s">
        <v>27251</v>
      </c>
      <c r="N5303" t="s">
        <v>27252</v>
      </c>
      <c r="Q5303" s="1">
        <v>44846</v>
      </c>
      <c r="R5303" t="s">
        <v>27253</v>
      </c>
      <c r="S5303" t="s">
        <v>27254</v>
      </c>
      <c r="T5303" t="s">
        <v>27265</v>
      </c>
    </row>
    <row r="5304" spans="1:20" x14ac:dyDescent="0.3">
      <c r="A5304" t="str">
        <f>"0611862461050"</f>
        <v>0611862461050</v>
      </c>
      <c r="B5304" t="str">
        <f>"CR3089"</f>
        <v>CR3089</v>
      </c>
      <c r="C5304" t="s">
        <v>37508</v>
      </c>
      <c r="D5304" t="s">
        <v>27263</v>
      </c>
      <c r="E5304" t="str">
        <f t="shared" si="82"/>
        <v>001390</v>
      </c>
      <c r="F5304" t="s">
        <v>27246</v>
      </c>
      <c r="G5304" t="s">
        <v>27247</v>
      </c>
      <c r="H5304" t="s">
        <v>27248</v>
      </c>
      <c r="I5304" t="s">
        <v>37509</v>
      </c>
      <c r="J5304" t="s">
        <v>10581</v>
      </c>
      <c r="L5304" t="s">
        <v>27250</v>
      </c>
      <c r="M5304" t="s">
        <v>27251</v>
      </c>
      <c r="N5304" t="s">
        <v>27252</v>
      </c>
      <c r="Q5304" s="1">
        <v>44846</v>
      </c>
      <c r="R5304" t="s">
        <v>27253</v>
      </c>
      <c r="S5304" t="s">
        <v>27254</v>
      </c>
      <c r="T5304" t="s">
        <v>27265</v>
      </c>
    </row>
    <row r="5305" spans="1:20" x14ac:dyDescent="0.3">
      <c r="A5305" t="str">
        <f>"0611837313100"</f>
        <v>0611837313100</v>
      </c>
      <c r="B5305" t="str">
        <f>"LS0039"</f>
        <v>LS0039</v>
      </c>
      <c r="C5305" t="s">
        <v>37510</v>
      </c>
      <c r="D5305" t="s">
        <v>27245</v>
      </c>
      <c r="E5305" t="str">
        <f t="shared" si="82"/>
        <v>001390</v>
      </c>
      <c r="F5305" t="s">
        <v>27246</v>
      </c>
      <c r="G5305" t="s">
        <v>27247</v>
      </c>
      <c r="H5305" t="s">
        <v>27248</v>
      </c>
      <c r="I5305" t="s">
        <v>37511</v>
      </c>
      <c r="J5305" t="s">
        <v>10583</v>
      </c>
      <c r="L5305" t="s">
        <v>27250</v>
      </c>
      <c r="M5305" t="s">
        <v>27251</v>
      </c>
      <c r="N5305" t="s">
        <v>27252</v>
      </c>
      <c r="Q5305" s="1">
        <v>44538</v>
      </c>
      <c r="R5305" t="s">
        <v>27253</v>
      </c>
      <c r="S5305" t="s">
        <v>27254</v>
      </c>
      <c r="T5305" t="s">
        <v>27255</v>
      </c>
    </row>
    <row r="5306" spans="1:20" x14ac:dyDescent="0.3">
      <c r="A5306" t="str">
        <f>"0611834597025"</f>
        <v>0611834597025</v>
      </c>
      <c r="B5306" t="str">
        <f>"MC3887"</f>
        <v>MC3887</v>
      </c>
      <c r="C5306" t="s">
        <v>37512</v>
      </c>
      <c r="D5306" t="s">
        <v>27267</v>
      </c>
      <c r="E5306" t="str">
        <f t="shared" si="82"/>
        <v>001390</v>
      </c>
      <c r="F5306" t="s">
        <v>27246</v>
      </c>
      <c r="G5306" t="s">
        <v>27247</v>
      </c>
      <c r="H5306" t="s">
        <v>27248</v>
      </c>
      <c r="I5306" t="s">
        <v>37513</v>
      </c>
      <c r="J5306" t="s">
        <v>10585</v>
      </c>
      <c r="L5306" t="s">
        <v>27250</v>
      </c>
      <c r="M5306" t="s">
        <v>27251</v>
      </c>
      <c r="N5306" t="s">
        <v>27252</v>
      </c>
      <c r="Q5306" s="1">
        <v>44538</v>
      </c>
      <c r="R5306" t="s">
        <v>27253</v>
      </c>
      <c r="S5306" t="s">
        <v>27254</v>
      </c>
      <c r="T5306" t="s">
        <v>27269</v>
      </c>
    </row>
    <row r="5307" spans="1:20" x14ac:dyDescent="0.3">
      <c r="A5307" t="str">
        <f>"0611837314100"</f>
        <v>0611837314100</v>
      </c>
      <c r="B5307" t="str">
        <f>"LS0040"</f>
        <v>LS0040</v>
      </c>
      <c r="C5307" t="s">
        <v>37514</v>
      </c>
      <c r="D5307" t="s">
        <v>27245</v>
      </c>
      <c r="E5307" t="str">
        <f t="shared" si="82"/>
        <v>001390</v>
      </c>
      <c r="F5307" t="s">
        <v>27246</v>
      </c>
      <c r="G5307" t="s">
        <v>27247</v>
      </c>
      <c r="H5307" t="s">
        <v>27248</v>
      </c>
      <c r="I5307" t="s">
        <v>37515</v>
      </c>
      <c r="J5307" t="s">
        <v>10587</v>
      </c>
      <c r="L5307" t="s">
        <v>27250</v>
      </c>
      <c r="M5307" t="s">
        <v>27251</v>
      </c>
      <c r="N5307" t="s">
        <v>27252</v>
      </c>
      <c r="Q5307" s="1">
        <v>44538</v>
      </c>
      <c r="R5307" t="s">
        <v>27253</v>
      </c>
      <c r="S5307" t="s">
        <v>27254</v>
      </c>
      <c r="T5307" t="s">
        <v>27255</v>
      </c>
    </row>
    <row r="5308" spans="1:20" x14ac:dyDescent="0.3">
      <c r="A5308" t="str">
        <f>"0611837316100"</f>
        <v>0611837316100</v>
      </c>
      <c r="B5308" t="str">
        <f>"LB3039"</f>
        <v>LB3039</v>
      </c>
      <c r="C5308" t="s">
        <v>37516</v>
      </c>
      <c r="D5308" t="s">
        <v>27552</v>
      </c>
      <c r="E5308" t="str">
        <f t="shared" si="82"/>
        <v>001390</v>
      </c>
      <c r="F5308" t="s">
        <v>27246</v>
      </c>
      <c r="G5308" t="s">
        <v>27247</v>
      </c>
      <c r="H5308" t="s">
        <v>27248</v>
      </c>
      <c r="I5308" t="s">
        <v>37517</v>
      </c>
      <c r="J5308" t="s">
        <v>10589</v>
      </c>
      <c r="L5308" t="s">
        <v>27250</v>
      </c>
      <c r="M5308" t="s">
        <v>27251</v>
      </c>
      <c r="N5308" t="s">
        <v>27252</v>
      </c>
      <c r="P5308" t="s">
        <v>27341</v>
      </c>
      <c r="Q5308" s="1">
        <v>44538</v>
      </c>
      <c r="R5308" t="s">
        <v>27253</v>
      </c>
      <c r="S5308" t="s">
        <v>27254</v>
      </c>
      <c r="T5308" t="s">
        <v>27255</v>
      </c>
    </row>
    <row r="5309" spans="1:20" x14ac:dyDescent="0.3">
      <c r="A5309" t="str">
        <f>"0611862462050"</f>
        <v>0611862462050</v>
      </c>
      <c r="B5309" t="str">
        <f>"CE0778"</f>
        <v>CE0778</v>
      </c>
      <c r="C5309" t="s">
        <v>37516</v>
      </c>
      <c r="D5309" t="s">
        <v>27271</v>
      </c>
      <c r="E5309" t="str">
        <f t="shared" si="82"/>
        <v>001390</v>
      </c>
      <c r="F5309" t="s">
        <v>27246</v>
      </c>
      <c r="G5309" t="s">
        <v>27247</v>
      </c>
      <c r="H5309" t="s">
        <v>27248</v>
      </c>
      <c r="I5309" t="s">
        <v>37518</v>
      </c>
      <c r="J5309" t="s">
        <v>10591</v>
      </c>
      <c r="L5309" t="s">
        <v>27250</v>
      </c>
      <c r="M5309" t="s">
        <v>27251</v>
      </c>
      <c r="N5309" t="s">
        <v>27252</v>
      </c>
      <c r="P5309" t="s">
        <v>27341</v>
      </c>
      <c r="Q5309" s="1">
        <v>44846</v>
      </c>
      <c r="R5309" t="s">
        <v>27253</v>
      </c>
      <c r="S5309" t="s">
        <v>27254</v>
      </c>
      <c r="T5309" t="s">
        <v>27265</v>
      </c>
    </row>
    <row r="5310" spans="1:20" x14ac:dyDescent="0.3">
      <c r="A5310" t="str">
        <f>"0611837317100"</f>
        <v>0611837317100</v>
      </c>
      <c r="B5310" t="str">
        <f>"LQ3805"</f>
        <v>LQ3805</v>
      </c>
      <c r="C5310" t="s">
        <v>37519</v>
      </c>
      <c r="D5310" t="s">
        <v>27245</v>
      </c>
      <c r="E5310" t="str">
        <f t="shared" si="82"/>
        <v>001390</v>
      </c>
      <c r="F5310" t="s">
        <v>27246</v>
      </c>
      <c r="G5310" t="s">
        <v>27247</v>
      </c>
      <c r="H5310" t="s">
        <v>27248</v>
      </c>
      <c r="I5310" t="s">
        <v>37520</v>
      </c>
      <c r="J5310" t="s">
        <v>10593</v>
      </c>
      <c r="L5310" t="s">
        <v>27250</v>
      </c>
      <c r="M5310" t="s">
        <v>27251</v>
      </c>
      <c r="N5310" t="s">
        <v>27252</v>
      </c>
      <c r="Q5310" s="1">
        <v>44538</v>
      </c>
      <c r="R5310" t="s">
        <v>27253</v>
      </c>
      <c r="S5310" t="s">
        <v>27254</v>
      </c>
      <c r="T5310" t="s">
        <v>27255</v>
      </c>
    </row>
    <row r="5311" spans="1:20" x14ac:dyDescent="0.3">
      <c r="A5311" t="str">
        <f>"0611837318100"</f>
        <v>0611837318100</v>
      </c>
      <c r="B5311" t="str">
        <f>"MB0011"</f>
        <v>MB0011</v>
      </c>
      <c r="C5311" t="s">
        <v>37521</v>
      </c>
      <c r="D5311" t="s">
        <v>27274</v>
      </c>
      <c r="E5311" t="str">
        <f t="shared" si="82"/>
        <v>001390</v>
      </c>
      <c r="F5311" t="s">
        <v>27246</v>
      </c>
      <c r="G5311" t="s">
        <v>27247</v>
      </c>
      <c r="H5311" t="s">
        <v>27248</v>
      </c>
      <c r="I5311" t="s">
        <v>37522</v>
      </c>
      <c r="J5311" t="s">
        <v>10595</v>
      </c>
      <c r="L5311" t="s">
        <v>27250</v>
      </c>
      <c r="M5311" t="s">
        <v>27251</v>
      </c>
      <c r="N5311" t="s">
        <v>27252</v>
      </c>
      <c r="Q5311" s="1">
        <v>44538</v>
      </c>
      <c r="R5311" t="s">
        <v>27253</v>
      </c>
      <c r="S5311" t="s">
        <v>27254</v>
      </c>
      <c r="T5311" t="s">
        <v>27276</v>
      </c>
    </row>
    <row r="5312" spans="1:20" x14ac:dyDescent="0.3">
      <c r="A5312" t="str">
        <f>"0611834598100"</f>
        <v>0611834598100</v>
      </c>
      <c r="B5312" t="str">
        <f>"LK5758"</f>
        <v>LK5758</v>
      </c>
      <c r="C5312" t="s">
        <v>37523</v>
      </c>
      <c r="D5312" t="s">
        <v>28138</v>
      </c>
      <c r="E5312" t="str">
        <f t="shared" si="82"/>
        <v>001390</v>
      </c>
      <c r="F5312" t="s">
        <v>27246</v>
      </c>
      <c r="G5312" t="s">
        <v>27247</v>
      </c>
      <c r="H5312" t="s">
        <v>27248</v>
      </c>
      <c r="I5312" t="s">
        <v>37524</v>
      </c>
      <c r="J5312" t="s">
        <v>10597</v>
      </c>
      <c r="L5312" t="s">
        <v>27250</v>
      </c>
      <c r="M5312" t="s">
        <v>27251</v>
      </c>
      <c r="N5312" t="s">
        <v>27252</v>
      </c>
      <c r="P5312" t="s">
        <v>27925</v>
      </c>
      <c r="Q5312" s="1">
        <v>44538</v>
      </c>
      <c r="R5312" t="s">
        <v>27253</v>
      </c>
      <c r="S5312" t="s">
        <v>27254</v>
      </c>
      <c r="T5312" t="s">
        <v>27255</v>
      </c>
    </row>
    <row r="5313" spans="1:20" x14ac:dyDescent="0.3">
      <c r="A5313" t="str">
        <f>"0611834600100"</f>
        <v>0611834600100</v>
      </c>
      <c r="B5313" t="str">
        <f>"LK5760"</f>
        <v>LK5760</v>
      </c>
      <c r="C5313" t="s">
        <v>37525</v>
      </c>
      <c r="D5313" t="s">
        <v>28138</v>
      </c>
      <c r="E5313" t="str">
        <f t="shared" si="82"/>
        <v>001390</v>
      </c>
      <c r="F5313" t="s">
        <v>27246</v>
      </c>
      <c r="G5313" t="s">
        <v>27247</v>
      </c>
      <c r="H5313" t="s">
        <v>27248</v>
      </c>
      <c r="I5313" t="s">
        <v>37526</v>
      </c>
      <c r="J5313" t="s">
        <v>10599</v>
      </c>
      <c r="L5313" t="s">
        <v>27250</v>
      </c>
      <c r="M5313" t="s">
        <v>27251</v>
      </c>
      <c r="N5313" t="s">
        <v>27252</v>
      </c>
      <c r="P5313" t="s">
        <v>27925</v>
      </c>
      <c r="Q5313" s="1">
        <v>44538</v>
      </c>
      <c r="R5313" t="s">
        <v>27253</v>
      </c>
      <c r="S5313" t="s">
        <v>27254</v>
      </c>
      <c r="T5313" t="s">
        <v>27255</v>
      </c>
    </row>
    <row r="5314" spans="1:20" x14ac:dyDescent="0.3">
      <c r="A5314" t="str">
        <f>"0611834601100"</f>
        <v>0611834601100</v>
      </c>
      <c r="B5314" t="str">
        <f>"LK5761"</f>
        <v>LK5761</v>
      </c>
      <c r="C5314" t="s">
        <v>37527</v>
      </c>
      <c r="D5314" t="s">
        <v>28138</v>
      </c>
      <c r="E5314" t="str">
        <f t="shared" ref="E5314:E5377" si="83">"001390"</f>
        <v>001390</v>
      </c>
      <c r="F5314" t="s">
        <v>27246</v>
      </c>
      <c r="G5314" t="s">
        <v>27247</v>
      </c>
      <c r="H5314" t="s">
        <v>27248</v>
      </c>
      <c r="I5314" t="s">
        <v>37528</v>
      </c>
      <c r="J5314" t="s">
        <v>10601</v>
      </c>
      <c r="L5314" t="s">
        <v>27250</v>
      </c>
      <c r="M5314" t="s">
        <v>27251</v>
      </c>
      <c r="N5314" t="s">
        <v>27252</v>
      </c>
      <c r="P5314" t="s">
        <v>27925</v>
      </c>
      <c r="Q5314" s="1">
        <v>44538</v>
      </c>
      <c r="R5314" t="s">
        <v>27253</v>
      </c>
      <c r="S5314" t="s">
        <v>27254</v>
      </c>
      <c r="T5314" t="s">
        <v>27255</v>
      </c>
    </row>
    <row r="5315" spans="1:20" x14ac:dyDescent="0.3">
      <c r="A5315" t="str">
        <f>"0611834602100"</f>
        <v>0611834602100</v>
      </c>
      <c r="B5315" t="str">
        <f>"LK5762"</f>
        <v>LK5762</v>
      </c>
      <c r="C5315" t="s">
        <v>37529</v>
      </c>
      <c r="D5315" t="s">
        <v>28138</v>
      </c>
      <c r="E5315" t="str">
        <f t="shared" si="83"/>
        <v>001390</v>
      </c>
      <c r="F5315" t="s">
        <v>27246</v>
      </c>
      <c r="G5315" t="s">
        <v>27247</v>
      </c>
      <c r="H5315" t="s">
        <v>27248</v>
      </c>
      <c r="I5315" t="s">
        <v>37530</v>
      </c>
      <c r="J5315" t="s">
        <v>10603</v>
      </c>
      <c r="L5315" t="s">
        <v>27250</v>
      </c>
      <c r="M5315" t="s">
        <v>27251</v>
      </c>
      <c r="N5315" t="s">
        <v>27252</v>
      </c>
      <c r="P5315" t="s">
        <v>27925</v>
      </c>
      <c r="Q5315" s="1">
        <v>44538</v>
      </c>
      <c r="R5315" t="s">
        <v>27253</v>
      </c>
      <c r="S5315" t="s">
        <v>27254</v>
      </c>
      <c r="T5315" t="s">
        <v>27255</v>
      </c>
    </row>
    <row r="5316" spans="1:20" x14ac:dyDescent="0.3">
      <c r="A5316" t="str">
        <f>"0611834604100"</f>
        <v>0611834604100</v>
      </c>
      <c r="B5316" t="str">
        <f>"LK6642"</f>
        <v>LK6642</v>
      </c>
      <c r="C5316" t="s">
        <v>37531</v>
      </c>
      <c r="D5316" t="s">
        <v>28138</v>
      </c>
      <c r="E5316" t="str">
        <f t="shared" si="83"/>
        <v>001390</v>
      </c>
      <c r="F5316" t="s">
        <v>27246</v>
      </c>
      <c r="G5316" t="s">
        <v>27247</v>
      </c>
      <c r="H5316" t="s">
        <v>27248</v>
      </c>
      <c r="I5316" t="s">
        <v>37532</v>
      </c>
      <c r="J5316" t="s">
        <v>10605</v>
      </c>
      <c r="L5316" t="s">
        <v>27250</v>
      </c>
      <c r="M5316" t="s">
        <v>27251</v>
      </c>
      <c r="N5316" t="s">
        <v>27252</v>
      </c>
      <c r="P5316" t="s">
        <v>27925</v>
      </c>
      <c r="Q5316" s="1">
        <v>44538</v>
      </c>
      <c r="R5316" t="s">
        <v>27253</v>
      </c>
      <c r="S5316" t="s">
        <v>27254</v>
      </c>
      <c r="T5316" t="s">
        <v>27255</v>
      </c>
    </row>
    <row r="5317" spans="1:20" x14ac:dyDescent="0.3">
      <c r="A5317" t="str">
        <f>"0611834605100"</f>
        <v>0611834605100</v>
      </c>
      <c r="B5317" t="str">
        <f>"LK5764"</f>
        <v>LK5764</v>
      </c>
      <c r="C5317" t="s">
        <v>37533</v>
      </c>
      <c r="D5317" t="s">
        <v>28138</v>
      </c>
      <c r="E5317" t="str">
        <f t="shared" si="83"/>
        <v>001390</v>
      </c>
      <c r="F5317" t="s">
        <v>27246</v>
      </c>
      <c r="G5317" t="s">
        <v>27247</v>
      </c>
      <c r="H5317" t="s">
        <v>27248</v>
      </c>
      <c r="I5317" t="s">
        <v>37534</v>
      </c>
      <c r="J5317" t="s">
        <v>10607</v>
      </c>
      <c r="L5317" t="s">
        <v>27250</v>
      </c>
      <c r="M5317" t="s">
        <v>27251</v>
      </c>
      <c r="N5317" t="s">
        <v>27252</v>
      </c>
      <c r="P5317" t="s">
        <v>27925</v>
      </c>
      <c r="Q5317" s="1">
        <v>44538</v>
      </c>
      <c r="R5317" t="s">
        <v>27253</v>
      </c>
      <c r="S5317" t="s">
        <v>27254</v>
      </c>
      <c r="T5317" t="s">
        <v>27255</v>
      </c>
    </row>
    <row r="5318" spans="1:20" x14ac:dyDescent="0.3">
      <c r="A5318" t="str">
        <f>"0611834606100"</f>
        <v>0611834606100</v>
      </c>
      <c r="B5318" t="str">
        <f>"LK4999"</f>
        <v>LK4999</v>
      </c>
      <c r="C5318" t="s">
        <v>37535</v>
      </c>
      <c r="D5318" t="s">
        <v>28138</v>
      </c>
      <c r="E5318" t="str">
        <f t="shared" si="83"/>
        <v>001390</v>
      </c>
      <c r="F5318" t="s">
        <v>27246</v>
      </c>
      <c r="G5318" t="s">
        <v>27247</v>
      </c>
      <c r="H5318" t="s">
        <v>27248</v>
      </c>
      <c r="I5318" t="s">
        <v>37536</v>
      </c>
      <c r="J5318" t="s">
        <v>10609</v>
      </c>
      <c r="L5318" t="s">
        <v>27250</v>
      </c>
      <c r="M5318" t="s">
        <v>27251</v>
      </c>
      <c r="N5318" t="s">
        <v>27252</v>
      </c>
      <c r="P5318" t="s">
        <v>27925</v>
      </c>
      <c r="Q5318" s="1">
        <v>44538</v>
      </c>
      <c r="R5318" t="s">
        <v>27253</v>
      </c>
      <c r="S5318" t="s">
        <v>27254</v>
      </c>
      <c r="T5318" t="s">
        <v>27255</v>
      </c>
    </row>
    <row r="5319" spans="1:20" x14ac:dyDescent="0.3">
      <c r="A5319" t="str">
        <f>"0611834607100"</f>
        <v>0611834607100</v>
      </c>
      <c r="B5319" t="str">
        <f>"LK5000"</f>
        <v>LK5000</v>
      </c>
      <c r="C5319" t="s">
        <v>37537</v>
      </c>
      <c r="D5319" t="s">
        <v>28138</v>
      </c>
      <c r="E5319" t="str">
        <f t="shared" si="83"/>
        <v>001390</v>
      </c>
      <c r="F5319" t="s">
        <v>27246</v>
      </c>
      <c r="G5319" t="s">
        <v>27247</v>
      </c>
      <c r="H5319" t="s">
        <v>27248</v>
      </c>
      <c r="I5319" t="s">
        <v>37538</v>
      </c>
      <c r="J5319" t="s">
        <v>10611</v>
      </c>
      <c r="L5319" t="s">
        <v>27250</v>
      </c>
      <c r="M5319" t="s">
        <v>27251</v>
      </c>
      <c r="N5319" t="s">
        <v>27252</v>
      </c>
      <c r="P5319" t="s">
        <v>27925</v>
      </c>
      <c r="Q5319" s="1">
        <v>44538</v>
      </c>
      <c r="R5319" t="s">
        <v>27253</v>
      </c>
      <c r="S5319" t="s">
        <v>27254</v>
      </c>
      <c r="T5319" t="s">
        <v>27255</v>
      </c>
    </row>
    <row r="5320" spans="1:20" x14ac:dyDescent="0.3">
      <c r="A5320" t="str">
        <f>"0611834609100"</f>
        <v>0611834609100</v>
      </c>
      <c r="B5320" t="str">
        <f>"LK5466"</f>
        <v>LK5466</v>
      </c>
      <c r="C5320" t="s">
        <v>37539</v>
      </c>
      <c r="D5320" t="s">
        <v>28138</v>
      </c>
      <c r="E5320" t="str">
        <f t="shared" si="83"/>
        <v>001390</v>
      </c>
      <c r="F5320" t="s">
        <v>27246</v>
      </c>
      <c r="G5320" t="s">
        <v>27247</v>
      </c>
      <c r="H5320" t="s">
        <v>27248</v>
      </c>
      <c r="I5320" t="s">
        <v>37540</v>
      </c>
      <c r="J5320" t="s">
        <v>10613</v>
      </c>
      <c r="L5320" t="s">
        <v>27250</v>
      </c>
      <c r="M5320" t="s">
        <v>27251</v>
      </c>
      <c r="N5320" t="s">
        <v>27252</v>
      </c>
      <c r="P5320" t="s">
        <v>27925</v>
      </c>
      <c r="Q5320" s="1">
        <v>44538</v>
      </c>
      <c r="R5320" t="s">
        <v>27253</v>
      </c>
      <c r="S5320" t="s">
        <v>27254</v>
      </c>
      <c r="T5320" t="s">
        <v>27255</v>
      </c>
    </row>
    <row r="5321" spans="1:20" x14ac:dyDescent="0.3">
      <c r="A5321" t="str">
        <f>"0611834610100"</f>
        <v>0611834610100</v>
      </c>
      <c r="B5321" t="str">
        <f>"LK6964"</f>
        <v>LK6964</v>
      </c>
      <c r="C5321" t="s">
        <v>37541</v>
      </c>
      <c r="D5321" t="s">
        <v>27245</v>
      </c>
      <c r="E5321" t="str">
        <f t="shared" si="83"/>
        <v>001390</v>
      </c>
      <c r="F5321" t="s">
        <v>27246</v>
      </c>
      <c r="G5321" t="s">
        <v>27247</v>
      </c>
      <c r="H5321" t="s">
        <v>27248</v>
      </c>
      <c r="I5321" t="s">
        <v>37542</v>
      </c>
      <c r="J5321" t="s">
        <v>10615</v>
      </c>
      <c r="L5321" t="s">
        <v>27250</v>
      </c>
      <c r="M5321" t="s">
        <v>27251</v>
      </c>
      <c r="N5321" t="s">
        <v>27252</v>
      </c>
      <c r="Q5321" s="1">
        <v>44538</v>
      </c>
      <c r="R5321" t="s">
        <v>27253</v>
      </c>
      <c r="S5321" t="s">
        <v>27254</v>
      </c>
      <c r="T5321" t="s">
        <v>27255</v>
      </c>
    </row>
    <row r="5322" spans="1:20" x14ac:dyDescent="0.3">
      <c r="A5322" t="str">
        <f>"0611834611100"</f>
        <v>0611834611100</v>
      </c>
      <c r="B5322" t="str">
        <f>"LK6702"</f>
        <v>LK6702</v>
      </c>
      <c r="C5322" t="s">
        <v>37543</v>
      </c>
      <c r="D5322" t="s">
        <v>27245</v>
      </c>
      <c r="E5322" t="str">
        <f t="shared" si="83"/>
        <v>001390</v>
      </c>
      <c r="F5322" t="s">
        <v>27246</v>
      </c>
      <c r="G5322" t="s">
        <v>27247</v>
      </c>
      <c r="H5322" t="s">
        <v>27248</v>
      </c>
      <c r="I5322" t="s">
        <v>37544</v>
      </c>
      <c r="J5322" t="s">
        <v>10617</v>
      </c>
      <c r="L5322" t="s">
        <v>27250</v>
      </c>
      <c r="M5322" t="s">
        <v>27251</v>
      </c>
      <c r="N5322" t="s">
        <v>27252</v>
      </c>
      <c r="Q5322" s="1">
        <v>44538</v>
      </c>
      <c r="R5322" t="s">
        <v>27253</v>
      </c>
      <c r="S5322" t="s">
        <v>27254</v>
      </c>
      <c r="T5322" t="s">
        <v>27255</v>
      </c>
    </row>
    <row r="5323" spans="1:20" x14ac:dyDescent="0.3">
      <c r="A5323" t="str">
        <f>"0611834612100"</f>
        <v>0611834612100</v>
      </c>
      <c r="B5323" t="str">
        <f>"LK6965"</f>
        <v>LK6965</v>
      </c>
      <c r="C5323" t="s">
        <v>37545</v>
      </c>
      <c r="D5323" t="s">
        <v>27245</v>
      </c>
      <c r="E5323" t="str">
        <f t="shared" si="83"/>
        <v>001390</v>
      </c>
      <c r="F5323" t="s">
        <v>27246</v>
      </c>
      <c r="G5323" t="s">
        <v>27247</v>
      </c>
      <c r="H5323" t="s">
        <v>27248</v>
      </c>
      <c r="I5323" t="s">
        <v>37546</v>
      </c>
      <c r="J5323" t="s">
        <v>10619</v>
      </c>
      <c r="L5323" t="s">
        <v>27250</v>
      </c>
      <c r="M5323" t="s">
        <v>27251</v>
      </c>
      <c r="N5323" t="s">
        <v>27252</v>
      </c>
      <c r="Q5323" s="1">
        <v>44538</v>
      </c>
      <c r="R5323" t="s">
        <v>27253</v>
      </c>
      <c r="S5323" t="s">
        <v>27254</v>
      </c>
      <c r="T5323" t="s">
        <v>27255</v>
      </c>
    </row>
    <row r="5324" spans="1:20" x14ac:dyDescent="0.3">
      <c r="A5324" t="str">
        <f>"0611834613100"</f>
        <v>0611834613100</v>
      </c>
      <c r="B5324" t="str">
        <f>"LK6703"</f>
        <v>LK6703</v>
      </c>
      <c r="C5324" t="s">
        <v>37547</v>
      </c>
      <c r="D5324" t="s">
        <v>27245</v>
      </c>
      <c r="E5324" t="str">
        <f t="shared" si="83"/>
        <v>001390</v>
      </c>
      <c r="F5324" t="s">
        <v>27246</v>
      </c>
      <c r="G5324" t="s">
        <v>27247</v>
      </c>
      <c r="H5324" t="s">
        <v>27248</v>
      </c>
      <c r="I5324" t="s">
        <v>37548</v>
      </c>
      <c r="J5324" t="s">
        <v>10621</v>
      </c>
      <c r="L5324" t="s">
        <v>27250</v>
      </c>
      <c r="M5324" t="s">
        <v>27251</v>
      </c>
      <c r="N5324" t="s">
        <v>27252</v>
      </c>
      <c r="Q5324" s="1">
        <v>44538</v>
      </c>
      <c r="R5324" t="s">
        <v>27253</v>
      </c>
      <c r="S5324" t="s">
        <v>27254</v>
      </c>
      <c r="T5324" t="s">
        <v>27255</v>
      </c>
    </row>
    <row r="5325" spans="1:20" x14ac:dyDescent="0.3">
      <c r="A5325" t="str">
        <f>"0611834614100"</f>
        <v>0611834614100</v>
      </c>
      <c r="B5325" t="str">
        <f>"LK6704"</f>
        <v>LK6704</v>
      </c>
      <c r="C5325" t="s">
        <v>37549</v>
      </c>
      <c r="D5325" t="s">
        <v>27245</v>
      </c>
      <c r="E5325" t="str">
        <f t="shared" si="83"/>
        <v>001390</v>
      </c>
      <c r="F5325" t="s">
        <v>27246</v>
      </c>
      <c r="G5325" t="s">
        <v>27247</v>
      </c>
      <c r="H5325" t="s">
        <v>27248</v>
      </c>
      <c r="I5325" t="s">
        <v>37550</v>
      </c>
      <c r="J5325" t="s">
        <v>10623</v>
      </c>
      <c r="L5325" t="s">
        <v>27250</v>
      </c>
      <c r="M5325" t="s">
        <v>27251</v>
      </c>
      <c r="N5325" t="s">
        <v>27252</v>
      </c>
      <c r="Q5325" s="1">
        <v>44538</v>
      </c>
      <c r="R5325" t="s">
        <v>27253</v>
      </c>
      <c r="S5325" t="s">
        <v>27254</v>
      </c>
      <c r="T5325" t="s">
        <v>27255</v>
      </c>
    </row>
    <row r="5326" spans="1:20" x14ac:dyDescent="0.3">
      <c r="A5326" t="str">
        <f>"0611834615100"</f>
        <v>0611834615100</v>
      </c>
      <c r="B5326" t="str">
        <f>"LK6643"</f>
        <v>LK6643</v>
      </c>
      <c r="C5326" t="s">
        <v>37551</v>
      </c>
      <c r="D5326" t="s">
        <v>27245</v>
      </c>
      <c r="E5326" t="str">
        <f t="shared" si="83"/>
        <v>001390</v>
      </c>
      <c r="F5326" t="s">
        <v>27246</v>
      </c>
      <c r="G5326" t="s">
        <v>27247</v>
      </c>
      <c r="H5326" t="s">
        <v>27248</v>
      </c>
      <c r="I5326" t="s">
        <v>37552</v>
      </c>
      <c r="J5326" t="s">
        <v>10625</v>
      </c>
      <c r="L5326" t="s">
        <v>27250</v>
      </c>
      <c r="M5326" t="s">
        <v>27251</v>
      </c>
      <c r="N5326" t="s">
        <v>27252</v>
      </c>
      <c r="Q5326" s="1">
        <v>44538</v>
      </c>
      <c r="R5326" t="s">
        <v>27253</v>
      </c>
      <c r="S5326" t="s">
        <v>27254</v>
      </c>
      <c r="T5326" t="s">
        <v>27255</v>
      </c>
    </row>
    <row r="5327" spans="1:20" x14ac:dyDescent="0.3">
      <c r="A5327" t="str">
        <f>"0611834616100"</f>
        <v>0611834616100</v>
      </c>
      <c r="B5327" t="str">
        <f>"LK6843"</f>
        <v>LK6843</v>
      </c>
      <c r="C5327" t="s">
        <v>37553</v>
      </c>
      <c r="D5327" t="s">
        <v>27245</v>
      </c>
      <c r="E5327" t="str">
        <f t="shared" si="83"/>
        <v>001390</v>
      </c>
      <c r="F5327" t="s">
        <v>27246</v>
      </c>
      <c r="G5327" t="s">
        <v>27247</v>
      </c>
      <c r="H5327" t="s">
        <v>27248</v>
      </c>
      <c r="I5327" t="s">
        <v>37554</v>
      </c>
      <c r="J5327" t="s">
        <v>10627</v>
      </c>
      <c r="L5327" t="s">
        <v>27250</v>
      </c>
      <c r="M5327" t="s">
        <v>27251</v>
      </c>
      <c r="N5327" t="s">
        <v>27252</v>
      </c>
      <c r="Q5327" s="1">
        <v>44538</v>
      </c>
      <c r="R5327" t="s">
        <v>27253</v>
      </c>
      <c r="S5327" t="s">
        <v>27254</v>
      </c>
      <c r="T5327" t="s">
        <v>27255</v>
      </c>
    </row>
    <row r="5328" spans="1:20" x14ac:dyDescent="0.3">
      <c r="A5328" t="str">
        <f>"0611834617100"</f>
        <v>0611834617100</v>
      </c>
      <c r="B5328" t="str">
        <f>"LK6705"</f>
        <v>LK6705</v>
      </c>
      <c r="C5328" t="s">
        <v>37555</v>
      </c>
      <c r="D5328" t="s">
        <v>27245</v>
      </c>
      <c r="E5328" t="str">
        <f t="shared" si="83"/>
        <v>001390</v>
      </c>
      <c r="F5328" t="s">
        <v>27246</v>
      </c>
      <c r="G5328" t="s">
        <v>27247</v>
      </c>
      <c r="H5328" t="s">
        <v>27248</v>
      </c>
      <c r="I5328" t="s">
        <v>37556</v>
      </c>
      <c r="J5328" t="s">
        <v>10629</v>
      </c>
      <c r="L5328" t="s">
        <v>27250</v>
      </c>
      <c r="M5328" t="s">
        <v>27251</v>
      </c>
      <c r="N5328" t="s">
        <v>27252</v>
      </c>
      <c r="Q5328" s="1">
        <v>44538</v>
      </c>
      <c r="R5328" t="s">
        <v>27253</v>
      </c>
      <c r="S5328" t="s">
        <v>27254</v>
      </c>
      <c r="T5328" t="s">
        <v>27255</v>
      </c>
    </row>
    <row r="5329" spans="1:20" x14ac:dyDescent="0.3">
      <c r="A5329" t="str">
        <f>"0611834618100"</f>
        <v>0611834618100</v>
      </c>
      <c r="B5329" t="str">
        <f>"LK6901"</f>
        <v>LK6901</v>
      </c>
      <c r="C5329" t="s">
        <v>37557</v>
      </c>
      <c r="D5329" t="s">
        <v>27245</v>
      </c>
      <c r="E5329" t="str">
        <f t="shared" si="83"/>
        <v>001390</v>
      </c>
      <c r="F5329" t="s">
        <v>27246</v>
      </c>
      <c r="G5329" t="s">
        <v>27247</v>
      </c>
      <c r="H5329" t="s">
        <v>27248</v>
      </c>
      <c r="I5329" t="s">
        <v>37558</v>
      </c>
      <c r="J5329" t="s">
        <v>10633</v>
      </c>
      <c r="L5329" t="s">
        <v>27250</v>
      </c>
      <c r="M5329" t="s">
        <v>27251</v>
      </c>
      <c r="N5329" t="s">
        <v>27252</v>
      </c>
      <c r="Q5329" s="1">
        <v>44538</v>
      </c>
      <c r="R5329" t="s">
        <v>27253</v>
      </c>
      <c r="S5329" t="s">
        <v>27254</v>
      </c>
      <c r="T5329" t="s">
        <v>27255</v>
      </c>
    </row>
    <row r="5330" spans="1:20" x14ac:dyDescent="0.3">
      <c r="A5330" t="str">
        <f>"0611884237100"</f>
        <v>0611884237100</v>
      </c>
      <c r="B5330" t="str">
        <f>"LK7134"</f>
        <v>LK7134</v>
      </c>
      <c r="C5330" t="s">
        <v>37559</v>
      </c>
      <c r="D5330" t="s">
        <v>27245</v>
      </c>
      <c r="E5330" t="str">
        <f t="shared" si="83"/>
        <v>001390</v>
      </c>
      <c r="F5330" t="s">
        <v>27246</v>
      </c>
      <c r="G5330" t="s">
        <v>27247</v>
      </c>
      <c r="H5330" t="s">
        <v>27248</v>
      </c>
      <c r="I5330" t="s">
        <v>37560</v>
      </c>
      <c r="J5330" t="s">
        <v>10631</v>
      </c>
      <c r="L5330" t="s">
        <v>27430</v>
      </c>
      <c r="M5330" t="s">
        <v>27251</v>
      </c>
      <c r="N5330" t="s">
        <v>27252</v>
      </c>
      <c r="Q5330" s="1">
        <v>45250</v>
      </c>
      <c r="R5330" t="s">
        <v>27253</v>
      </c>
      <c r="S5330" t="s">
        <v>27254</v>
      </c>
      <c r="T5330" t="s">
        <v>27255</v>
      </c>
    </row>
    <row r="5331" spans="1:20" x14ac:dyDescent="0.3">
      <c r="A5331" t="str">
        <f>"0611834619100"</f>
        <v>0611834619100</v>
      </c>
      <c r="B5331" t="str">
        <f>"LK6706"</f>
        <v>LK6706</v>
      </c>
      <c r="C5331" t="s">
        <v>37561</v>
      </c>
      <c r="D5331" t="s">
        <v>27245</v>
      </c>
      <c r="E5331" t="str">
        <f t="shared" si="83"/>
        <v>001390</v>
      </c>
      <c r="F5331" t="s">
        <v>27246</v>
      </c>
      <c r="G5331" t="s">
        <v>27247</v>
      </c>
      <c r="H5331" t="s">
        <v>27248</v>
      </c>
      <c r="I5331" t="s">
        <v>37562</v>
      </c>
      <c r="J5331" t="s">
        <v>10635</v>
      </c>
      <c r="L5331" t="s">
        <v>27250</v>
      </c>
      <c r="M5331" t="s">
        <v>27251</v>
      </c>
      <c r="N5331" t="s">
        <v>27252</v>
      </c>
      <c r="Q5331" s="1">
        <v>44538</v>
      </c>
      <c r="R5331" t="s">
        <v>27253</v>
      </c>
      <c r="S5331" t="s">
        <v>27254</v>
      </c>
      <c r="T5331" t="s">
        <v>27255</v>
      </c>
    </row>
    <row r="5332" spans="1:20" x14ac:dyDescent="0.3">
      <c r="A5332" t="str">
        <f>"0611834620100"</f>
        <v>0611834620100</v>
      </c>
      <c r="B5332" t="str">
        <f>"LB3045"</f>
        <v>LB3045</v>
      </c>
      <c r="C5332" t="s">
        <v>37563</v>
      </c>
      <c r="D5332" t="s">
        <v>27245</v>
      </c>
      <c r="E5332" t="str">
        <f t="shared" si="83"/>
        <v>001390</v>
      </c>
      <c r="F5332" t="s">
        <v>27246</v>
      </c>
      <c r="G5332" t="s">
        <v>27247</v>
      </c>
      <c r="H5332" t="s">
        <v>27248</v>
      </c>
      <c r="I5332" t="s">
        <v>37564</v>
      </c>
      <c r="J5332" t="s">
        <v>10637</v>
      </c>
      <c r="L5332" t="s">
        <v>27250</v>
      </c>
      <c r="M5332" t="s">
        <v>27251</v>
      </c>
      <c r="N5332" t="s">
        <v>27252</v>
      </c>
      <c r="Q5332" s="1">
        <v>44538</v>
      </c>
      <c r="R5332" t="s">
        <v>27253</v>
      </c>
      <c r="S5332" t="s">
        <v>27254</v>
      </c>
      <c r="T5332" t="s">
        <v>27255</v>
      </c>
    </row>
    <row r="5333" spans="1:20" x14ac:dyDescent="0.3">
      <c r="A5333" t="str">
        <f>"0611834621100"</f>
        <v>0611834621100</v>
      </c>
      <c r="B5333" t="str">
        <f>"LK5002"</f>
        <v>LK5002</v>
      </c>
      <c r="C5333" t="s">
        <v>37565</v>
      </c>
      <c r="D5333" t="s">
        <v>28138</v>
      </c>
      <c r="E5333" t="str">
        <f t="shared" si="83"/>
        <v>001390</v>
      </c>
      <c r="F5333" t="s">
        <v>27246</v>
      </c>
      <c r="G5333" t="s">
        <v>27247</v>
      </c>
      <c r="H5333" t="s">
        <v>27248</v>
      </c>
      <c r="I5333" t="s">
        <v>37566</v>
      </c>
      <c r="J5333" t="s">
        <v>10639</v>
      </c>
      <c r="L5333" t="s">
        <v>27250</v>
      </c>
      <c r="M5333" t="s">
        <v>27251</v>
      </c>
      <c r="N5333" t="s">
        <v>27252</v>
      </c>
      <c r="P5333" t="s">
        <v>27925</v>
      </c>
      <c r="Q5333" s="1">
        <v>44538</v>
      </c>
      <c r="R5333" t="s">
        <v>27253</v>
      </c>
      <c r="S5333" t="s">
        <v>27254</v>
      </c>
      <c r="T5333" t="s">
        <v>27255</v>
      </c>
    </row>
    <row r="5334" spans="1:20" x14ac:dyDescent="0.3">
      <c r="A5334" t="str">
        <f>"0611834628100"</f>
        <v>0611834628100</v>
      </c>
      <c r="B5334" t="str">
        <f>"LK5766"</f>
        <v>LK5766</v>
      </c>
      <c r="C5334" t="s">
        <v>37567</v>
      </c>
      <c r="D5334" t="s">
        <v>27245</v>
      </c>
      <c r="E5334" t="str">
        <f t="shared" si="83"/>
        <v>001390</v>
      </c>
      <c r="F5334" t="s">
        <v>27246</v>
      </c>
      <c r="G5334" t="s">
        <v>27247</v>
      </c>
      <c r="H5334" t="s">
        <v>27248</v>
      </c>
      <c r="I5334" t="s">
        <v>37568</v>
      </c>
      <c r="J5334" t="s">
        <v>10641</v>
      </c>
      <c r="L5334" t="s">
        <v>27250</v>
      </c>
      <c r="M5334" t="s">
        <v>27251</v>
      </c>
      <c r="N5334" t="s">
        <v>27252</v>
      </c>
      <c r="Q5334" s="1">
        <v>44538</v>
      </c>
      <c r="R5334" t="s">
        <v>27253</v>
      </c>
      <c r="S5334" t="s">
        <v>27254</v>
      </c>
      <c r="T5334" t="s">
        <v>27255</v>
      </c>
    </row>
    <row r="5335" spans="1:20" x14ac:dyDescent="0.3">
      <c r="A5335" t="str">
        <f>"0611834630100"</f>
        <v>0611834630100</v>
      </c>
      <c r="B5335" t="str">
        <f>"LB3022"</f>
        <v>LB3022</v>
      </c>
      <c r="C5335" t="s">
        <v>37569</v>
      </c>
      <c r="D5335" t="s">
        <v>27245</v>
      </c>
      <c r="E5335" t="str">
        <f t="shared" si="83"/>
        <v>001390</v>
      </c>
      <c r="F5335" t="s">
        <v>27246</v>
      </c>
      <c r="G5335" t="s">
        <v>27247</v>
      </c>
      <c r="H5335" t="s">
        <v>27248</v>
      </c>
      <c r="I5335" t="s">
        <v>37570</v>
      </c>
      <c r="J5335" t="s">
        <v>10643</v>
      </c>
      <c r="L5335" t="s">
        <v>27250</v>
      </c>
      <c r="M5335" t="s">
        <v>27251</v>
      </c>
      <c r="N5335" t="s">
        <v>27252</v>
      </c>
      <c r="Q5335" s="1">
        <v>44538</v>
      </c>
      <c r="R5335" t="s">
        <v>27253</v>
      </c>
      <c r="S5335" t="s">
        <v>27254</v>
      </c>
      <c r="T5335" t="s">
        <v>27255</v>
      </c>
    </row>
    <row r="5336" spans="1:20" x14ac:dyDescent="0.3">
      <c r="A5336" t="str">
        <f>"0611834631100"</f>
        <v>0611834631100</v>
      </c>
      <c r="B5336" t="str">
        <f>"LK3326"</f>
        <v>LK3326</v>
      </c>
      <c r="C5336" t="s">
        <v>37571</v>
      </c>
      <c r="D5336" t="s">
        <v>27245</v>
      </c>
      <c r="E5336" t="str">
        <f t="shared" si="83"/>
        <v>001390</v>
      </c>
      <c r="F5336" t="s">
        <v>27246</v>
      </c>
      <c r="G5336" t="s">
        <v>27247</v>
      </c>
      <c r="H5336" t="s">
        <v>27248</v>
      </c>
      <c r="I5336" t="s">
        <v>37572</v>
      </c>
      <c r="J5336" t="s">
        <v>10645</v>
      </c>
      <c r="L5336" t="s">
        <v>27250</v>
      </c>
      <c r="M5336" t="s">
        <v>27251</v>
      </c>
      <c r="N5336" t="s">
        <v>27252</v>
      </c>
      <c r="Q5336" s="1">
        <v>44538</v>
      </c>
      <c r="R5336" t="s">
        <v>27253</v>
      </c>
      <c r="S5336" t="s">
        <v>27254</v>
      </c>
      <c r="T5336" t="s">
        <v>27255</v>
      </c>
    </row>
    <row r="5337" spans="1:20" x14ac:dyDescent="0.3">
      <c r="A5337" t="str">
        <f>"0611834632100"</f>
        <v>0611834632100</v>
      </c>
      <c r="B5337" t="str">
        <f>"LB2945"</f>
        <v>LB2945</v>
      </c>
      <c r="C5337" t="s">
        <v>37573</v>
      </c>
      <c r="D5337" t="s">
        <v>27245</v>
      </c>
      <c r="E5337" t="str">
        <f t="shared" si="83"/>
        <v>001390</v>
      </c>
      <c r="F5337" t="s">
        <v>27246</v>
      </c>
      <c r="G5337" t="s">
        <v>27247</v>
      </c>
      <c r="H5337" t="s">
        <v>27248</v>
      </c>
      <c r="I5337" t="s">
        <v>37574</v>
      </c>
      <c r="J5337" t="s">
        <v>10647</v>
      </c>
      <c r="L5337" t="s">
        <v>27250</v>
      </c>
      <c r="M5337" t="s">
        <v>27251</v>
      </c>
      <c r="N5337" t="s">
        <v>27252</v>
      </c>
      <c r="Q5337" s="1">
        <v>44538</v>
      </c>
      <c r="R5337" t="s">
        <v>27253</v>
      </c>
      <c r="S5337" t="s">
        <v>27254</v>
      </c>
      <c r="T5337" t="s">
        <v>27255</v>
      </c>
    </row>
    <row r="5338" spans="1:20" x14ac:dyDescent="0.3">
      <c r="A5338" t="str">
        <f>"0611834633100"</f>
        <v>0611834633100</v>
      </c>
      <c r="B5338" t="str">
        <f>"LQ0932"</f>
        <v>LQ0932</v>
      </c>
      <c r="C5338" t="s">
        <v>37575</v>
      </c>
      <c r="D5338" t="s">
        <v>27245</v>
      </c>
      <c r="E5338" t="str">
        <f t="shared" si="83"/>
        <v>001390</v>
      </c>
      <c r="F5338" t="s">
        <v>27246</v>
      </c>
      <c r="G5338" t="s">
        <v>27247</v>
      </c>
      <c r="H5338" t="s">
        <v>27248</v>
      </c>
      <c r="I5338" t="s">
        <v>37576</v>
      </c>
      <c r="J5338" t="s">
        <v>10649</v>
      </c>
      <c r="L5338" t="s">
        <v>27250</v>
      </c>
      <c r="M5338" t="s">
        <v>27251</v>
      </c>
      <c r="N5338" t="s">
        <v>27252</v>
      </c>
      <c r="Q5338" s="1">
        <v>44538</v>
      </c>
      <c r="R5338" t="s">
        <v>27253</v>
      </c>
      <c r="S5338" t="s">
        <v>27254</v>
      </c>
      <c r="T5338" t="s">
        <v>27255</v>
      </c>
    </row>
    <row r="5339" spans="1:20" x14ac:dyDescent="0.3">
      <c r="A5339" t="str">
        <f>"0611834634100"</f>
        <v>0611834634100</v>
      </c>
      <c r="B5339" t="str">
        <f>"LQ0933"</f>
        <v>LQ0933</v>
      </c>
      <c r="C5339" t="s">
        <v>37577</v>
      </c>
      <c r="D5339" t="s">
        <v>27245</v>
      </c>
      <c r="E5339" t="str">
        <f t="shared" si="83"/>
        <v>001390</v>
      </c>
      <c r="F5339" t="s">
        <v>27246</v>
      </c>
      <c r="G5339" t="s">
        <v>27247</v>
      </c>
      <c r="H5339" t="s">
        <v>27248</v>
      </c>
      <c r="I5339" t="s">
        <v>37578</v>
      </c>
      <c r="J5339" t="s">
        <v>10651</v>
      </c>
      <c r="L5339" t="s">
        <v>27250</v>
      </c>
      <c r="M5339" t="s">
        <v>27251</v>
      </c>
      <c r="N5339" t="s">
        <v>27252</v>
      </c>
      <c r="Q5339" s="1">
        <v>44538</v>
      </c>
      <c r="R5339" t="s">
        <v>27253</v>
      </c>
      <c r="S5339" t="s">
        <v>27254</v>
      </c>
      <c r="T5339" t="s">
        <v>27255</v>
      </c>
    </row>
    <row r="5340" spans="1:20" x14ac:dyDescent="0.3">
      <c r="A5340" t="str">
        <f>"0611834635100"</f>
        <v>0611834635100</v>
      </c>
      <c r="B5340" t="str">
        <f>"LQ3285"</f>
        <v>LQ3285</v>
      </c>
      <c r="C5340" t="s">
        <v>37579</v>
      </c>
      <c r="D5340" t="s">
        <v>27245</v>
      </c>
      <c r="E5340" t="str">
        <f t="shared" si="83"/>
        <v>001390</v>
      </c>
      <c r="F5340" t="s">
        <v>27246</v>
      </c>
      <c r="G5340" t="s">
        <v>27247</v>
      </c>
      <c r="H5340" t="s">
        <v>27248</v>
      </c>
      <c r="I5340" t="s">
        <v>37580</v>
      </c>
      <c r="J5340" t="s">
        <v>10653</v>
      </c>
      <c r="L5340" t="s">
        <v>27250</v>
      </c>
      <c r="M5340" t="s">
        <v>27251</v>
      </c>
      <c r="N5340" t="s">
        <v>27252</v>
      </c>
      <c r="Q5340" s="1">
        <v>44538</v>
      </c>
      <c r="R5340" t="s">
        <v>27253</v>
      </c>
      <c r="S5340" t="s">
        <v>27254</v>
      </c>
      <c r="T5340" t="s">
        <v>27255</v>
      </c>
    </row>
    <row r="5341" spans="1:20" x14ac:dyDescent="0.3">
      <c r="A5341" t="str">
        <f>"0611834636100"</f>
        <v>0611834636100</v>
      </c>
      <c r="B5341" t="str">
        <f>"LQ0949"</f>
        <v>LQ0949</v>
      </c>
      <c r="C5341" t="s">
        <v>37581</v>
      </c>
      <c r="D5341" t="s">
        <v>27245</v>
      </c>
      <c r="E5341" t="str">
        <f t="shared" si="83"/>
        <v>001390</v>
      </c>
      <c r="F5341" t="s">
        <v>27246</v>
      </c>
      <c r="G5341" t="s">
        <v>27247</v>
      </c>
      <c r="H5341" t="s">
        <v>27248</v>
      </c>
      <c r="I5341" t="s">
        <v>37582</v>
      </c>
      <c r="J5341" t="s">
        <v>10655</v>
      </c>
      <c r="L5341" t="s">
        <v>27250</v>
      </c>
      <c r="M5341" t="s">
        <v>27251</v>
      </c>
      <c r="N5341" t="s">
        <v>27252</v>
      </c>
      <c r="Q5341" s="1">
        <v>44538</v>
      </c>
      <c r="R5341" t="s">
        <v>27253</v>
      </c>
      <c r="S5341" t="s">
        <v>27254</v>
      </c>
      <c r="T5341" t="s">
        <v>27255</v>
      </c>
    </row>
    <row r="5342" spans="1:20" x14ac:dyDescent="0.3">
      <c r="A5342" t="str">
        <f>"0611834637100"</f>
        <v>0611834637100</v>
      </c>
      <c r="B5342" t="str">
        <f>"LQ0950"</f>
        <v>LQ0950</v>
      </c>
      <c r="C5342" t="s">
        <v>37583</v>
      </c>
      <c r="D5342" t="s">
        <v>27245</v>
      </c>
      <c r="E5342" t="str">
        <f t="shared" si="83"/>
        <v>001390</v>
      </c>
      <c r="F5342" t="s">
        <v>27246</v>
      </c>
      <c r="G5342" t="s">
        <v>27247</v>
      </c>
      <c r="H5342" t="s">
        <v>27248</v>
      </c>
      <c r="I5342" t="s">
        <v>37584</v>
      </c>
      <c r="J5342" t="s">
        <v>10657</v>
      </c>
      <c r="L5342" t="s">
        <v>27250</v>
      </c>
      <c r="M5342" t="s">
        <v>27251</v>
      </c>
      <c r="N5342" t="s">
        <v>27252</v>
      </c>
      <c r="Q5342" s="1">
        <v>44538</v>
      </c>
      <c r="R5342" t="s">
        <v>27253</v>
      </c>
      <c r="S5342" t="s">
        <v>27254</v>
      </c>
      <c r="T5342" t="s">
        <v>27255</v>
      </c>
    </row>
    <row r="5343" spans="1:20" x14ac:dyDescent="0.3">
      <c r="A5343" t="str">
        <f>"0611834638100"</f>
        <v>0611834638100</v>
      </c>
      <c r="B5343" t="str">
        <f>"LQ0951"</f>
        <v>LQ0951</v>
      </c>
      <c r="C5343" t="s">
        <v>37585</v>
      </c>
      <c r="D5343" t="s">
        <v>27245</v>
      </c>
      <c r="E5343" t="str">
        <f t="shared" si="83"/>
        <v>001390</v>
      </c>
      <c r="F5343" t="s">
        <v>27246</v>
      </c>
      <c r="G5343" t="s">
        <v>27247</v>
      </c>
      <c r="H5343" t="s">
        <v>27248</v>
      </c>
      <c r="I5343" t="s">
        <v>37586</v>
      </c>
      <c r="J5343" t="s">
        <v>10659</v>
      </c>
      <c r="L5343" t="s">
        <v>27250</v>
      </c>
      <c r="M5343" t="s">
        <v>27251</v>
      </c>
      <c r="N5343" t="s">
        <v>27252</v>
      </c>
      <c r="Q5343" s="1">
        <v>44538</v>
      </c>
      <c r="R5343" t="s">
        <v>27253</v>
      </c>
      <c r="S5343" t="s">
        <v>27254</v>
      </c>
      <c r="T5343" t="s">
        <v>27255</v>
      </c>
    </row>
    <row r="5344" spans="1:20" x14ac:dyDescent="0.3">
      <c r="A5344" t="str">
        <f>"0611834639100"</f>
        <v>0611834639100</v>
      </c>
      <c r="B5344" t="str">
        <f>"LQ3271"</f>
        <v>LQ3271</v>
      </c>
      <c r="C5344" t="s">
        <v>37587</v>
      </c>
      <c r="D5344" t="s">
        <v>27245</v>
      </c>
      <c r="E5344" t="str">
        <f t="shared" si="83"/>
        <v>001390</v>
      </c>
      <c r="F5344" t="s">
        <v>27246</v>
      </c>
      <c r="G5344" t="s">
        <v>27247</v>
      </c>
      <c r="H5344" t="s">
        <v>27248</v>
      </c>
      <c r="I5344" t="s">
        <v>37588</v>
      </c>
      <c r="J5344" t="s">
        <v>10661</v>
      </c>
      <c r="L5344" t="s">
        <v>27250</v>
      </c>
      <c r="M5344" t="s">
        <v>27251</v>
      </c>
      <c r="N5344" t="s">
        <v>27252</v>
      </c>
      <c r="Q5344" s="1">
        <v>44538</v>
      </c>
      <c r="R5344" t="s">
        <v>27253</v>
      </c>
      <c r="S5344" t="s">
        <v>27254</v>
      </c>
      <c r="T5344" t="s">
        <v>27255</v>
      </c>
    </row>
    <row r="5345" spans="1:20" x14ac:dyDescent="0.3">
      <c r="A5345" t="str">
        <f>"0611834640100"</f>
        <v>0611834640100</v>
      </c>
      <c r="B5345" t="str">
        <f>"LQ3272"</f>
        <v>LQ3272</v>
      </c>
      <c r="C5345" t="s">
        <v>37589</v>
      </c>
      <c r="D5345" t="s">
        <v>27245</v>
      </c>
      <c r="E5345" t="str">
        <f t="shared" si="83"/>
        <v>001390</v>
      </c>
      <c r="F5345" t="s">
        <v>27246</v>
      </c>
      <c r="G5345" t="s">
        <v>27247</v>
      </c>
      <c r="H5345" t="s">
        <v>27248</v>
      </c>
      <c r="I5345" t="s">
        <v>37590</v>
      </c>
      <c r="J5345" t="s">
        <v>10663</v>
      </c>
      <c r="L5345" t="s">
        <v>27250</v>
      </c>
      <c r="M5345" t="s">
        <v>27251</v>
      </c>
      <c r="N5345" t="s">
        <v>27252</v>
      </c>
      <c r="Q5345" s="1">
        <v>44538</v>
      </c>
      <c r="R5345" t="s">
        <v>27253</v>
      </c>
      <c r="S5345" t="s">
        <v>27254</v>
      </c>
      <c r="T5345" t="s">
        <v>27255</v>
      </c>
    </row>
    <row r="5346" spans="1:20" x14ac:dyDescent="0.3">
      <c r="A5346" t="str">
        <f>"0611834641100"</f>
        <v>0611834641100</v>
      </c>
      <c r="B5346" t="str">
        <f>"LQ0952"</f>
        <v>LQ0952</v>
      </c>
      <c r="C5346" t="s">
        <v>37591</v>
      </c>
      <c r="D5346" t="s">
        <v>27245</v>
      </c>
      <c r="E5346" t="str">
        <f t="shared" si="83"/>
        <v>001390</v>
      </c>
      <c r="F5346" t="s">
        <v>27246</v>
      </c>
      <c r="G5346" t="s">
        <v>27247</v>
      </c>
      <c r="H5346" t="s">
        <v>27248</v>
      </c>
      <c r="I5346" t="s">
        <v>37592</v>
      </c>
      <c r="J5346" t="s">
        <v>10665</v>
      </c>
      <c r="L5346" t="s">
        <v>27250</v>
      </c>
      <c r="M5346" t="s">
        <v>27251</v>
      </c>
      <c r="N5346" t="s">
        <v>27252</v>
      </c>
      <c r="Q5346" s="1">
        <v>44538</v>
      </c>
      <c r="R5346" t="s">
        <v>27253</v>
      </c>
      <c r="S5346" t="s">
        <v>27254</v>
      </c>
      <c r="T5346" t="s">
        <v>27255</v>
      </c>
    </row>
    <row r="5347" spans="1:20" x14ac:dyDescent="0.3">
      <c r="A5347" t="str">
        <f>"0611834642100"</f>
        <v>0611834642100</v>
      </c>
      <c r="B5347" t="str">
        <f>"LQ0953"</f>
        <v>LQ0953</v>
      </c>
      <c r="C5347" t="s">
        <v>37593</v>
      </c>
      <c r="D5347" t="s">
        <v>27245</v>
      </c>
      <c r="E5347" t="str">
        <f t="shared" si="83"/>
        <v>001390</v>
      </c>
      <c r="F5347" t="s">
        <v>27246</v>
      </c>
      <c r="G5347" t="s">
        <v>27247</v>
      </c>
      <c r="H5347" t="s">
        <v>27248</v>
      </c>
      <c r="I5347" t="s">
        <v>37594</v>
      </c>
      <c r="J5347" t="s">
        <v>10667</v>
      </c>
      <c r="L5347" t="s">
        <v>27250</v>
      </c>
      <c r="M5347" t="s">
        <v>27251</v>
      </c>
      <c r="N5347" t="s">
        <v>27252</v>
      </c>
      <c r="Q5347" s="1">
        <v>44538</v>
      </c>
      <c r="R5347" t="s">
        <v>27253</v>
      </c>
      <c r="S5347" t="s">
        <v>27254</v>
      </c>
      <c r="T5347" t="s">
        <v>27255</v>
      </c>
    </row>
    <row r="5348" spans="1:20" x14ac:dyDescent="0.3">
      <c r="A5348" t="str">
        <f>"0611834643100"</f>
        <v>0611834643100</v>
      </c>
      <c r="B5348" t="str">
        <f>"LQ0954"</f>
        <v>LQ0954</v>
      </c>
      <c r="C5348" t="s">
        <v>37595</v>
      </c>
      <c r="D5348" t="s">
        <v>27245</v>
      </c>
      <c r="E5348" t="str">
        <f t="shared" si="83"/>
        <v>001390</v>
      </c>
      <c r="F5348" t="s">
        <v>27246</v>
      </c>
      <c r="G5348" t="s">
        <v>27247</v>
      </c>
      <c r="H5348" t="s">
        <v>27248</v>
      </c>
      <c r="I5348" t="s">
        <v>37596</v>
      </c>
      <c r="J5348" t="s">
        <v>10669</v>
      </c>
      <c r="L5348" t="s">
        <v>27250</v>
      </c>
      <c r="M5348" t="s">
        <v>27251</v>
      </c>
      <c r="N5348" t="s">
        <v>27252</v>
      </c>
      <c r="Q5348" s="1">
        <v>44538</v>
      </c>
      <c r="R5348" t="s">
        <v>27253</v>
      </c>
      <c r="S5348" t="s">
        <v>27254</v>
      </c>
      <c r="T5348" t="s">
        <v>27255</v>
      </c>
    </row>
    <row r="5349" spans="1:20" x14ac:dyDescent="0.3">
      <c r="A5349" t="str">
        <f>"0611856961100"</f>
        <v>0611856961100</v>
      </c>
      <c r="B5349" t="str">
        <f>"LQ3276"</f>
        <v>LQ3276</v>
      </c>
      <c r="C5349" t="s">
        <v>37597</v>
      </c>
      <c r="D5349" t="s">
        <v>27245</v>
      </c>
      <c r="E5349" t="str">
        <f t="shared" si="83"/>
        <v>001390</v>
      </c>
      <c r="F5349" t="s">
        <v>27246</v>
      </c>
      <c r="G5349" t="s">
        <v>27247</v>
      </c>
      <c r="H5349" t="s">
        <v>27248</v>
      </c>
      <c r="I5349" t="s">
        <v>37598</v>
      </c>
      <c r="J5349" t="s">
        <v>10671</v>
      </c>
      <c r="L5349" t="s">
        <v>27250</v>
      </c>
      <c r="M5349" t="s">
        <v>27251</v>
      </c>
      <c r="N5349" t="s">
        <v>27252</v>
      </c>
      <c r="Q5349" s="1">
        <v>44812</v>
      </c>
      <c r="R5349" t="s">
        <v>27253</v>
      </c>
      <c r="S5349" t="s">
        <v>27254</v>
      </c>
      <c r="T5349" t="s">
        <v>27255</v>
      </c>
    </row>
    <row r="5350" spans="1:20" x14ac:dyDescent="0.3">
      <c r="A5350" t="str">
        <f>"0611856962100"</f>
        <v>0611856962100</v>
      </c>
      <c r="B5350" t="str">
        <f>"LQ3884"</f>
        <v>LQ3884</v>
      </c>
      <c r="C5350" t="s">
        <v>37599</v>
      </c>
      <c r="D5350" t="s">
        <v>27245</v>
      </c>
      <c r="E5350" t="str">
        <f t="shared" si="83"/>
        <v>001390</v>
      </c>
      <c r="F5350" t="s">
        <v>27246</v>
      </c>
      <c r="G5350" t="s">
        <v>27247</v>
      </c>
      <c r="H5350" t="s">
        <v>27248</v>
      </c>
      <c r="I5350" t="s">
        <v>37600</v>
      </c>
      <c r="J5350" t="s">
        <v>10673</v>
      </c>
      <c r="L5350" t="s">
        <v>27250</v>
      </c>
      <c r="M5350" t="s">
        <v>27251</v>
      </c>
      <c r="N5350" t="s">
        <v>27252</v>
      </c>
      <c r="Q5350" s="1">
        <v>44812</v>
      </c>
      <c r="R5350" t="s">
        <v>27253</v>
      </c>
      <c r="S5350" t="s">
        <v>27254</v>
      </c>
      <c r="T5350" t="s">
        <v>27255</v>
      </c>
    </row>
    <row r="5351" spans="1:20" x14ac:dyDescent="0.3">
      <c r="A5351" t="str">
        <f>"0611834644100"</f>
        <v>0611834644100</v>
      </c>
      <c r="B5351" t="str">
        <f>"LQ3273"</f>
        <v>LQ3273</v>
      </c>
      <c r="C5351" t="s">
        <v>37601</v>
      </c>
      <c r="D5351" t="s">
        <v>27245</v>
      </c>
      <c r="E5351" t="str">
        <f t="shared" si="83"/>
        <v>001390</v>
      </c>
      <c r="F5351" t="s">
        <v>27246</v>
      </c>
      <c r="G5351" t="s">
        <v>27247</v>
      </c>
      <c r="H5351" t="s">
        <v>27248</v>
      </c>
      <c r="I5351" t="s">
        <v>37602</v>
      </c>
      <c r="J5351" t="s">
        <v>10675</v>
      </c>
      <c r="L5351" t="s">
        <v>27250</v>
      </c>
      <c r="M5351" t="s">
        <v>27251</v>
      </c>
      <c r="N5351" t="s">
        <v>27252</v>
      </c>
      <c r="Q5351" s="1">
        <v>44538</v>
      </c>
      <c r="R5351" t="s">
        <v>27253</v>
      </c>
      <c r="S5351" t="s">
        <v>27254</v>
      </c>
      <c r="T5351" t="s">
        <v>27255</v>
      </c>
    </row>
    <row r="5352" spans="1:20" x14ac:dyDescent="0.3">
      <c r="A5352" t="str">
        <f>"0611834645100"</f>
        <v>0611834645100</v>
      </c>
      <c r="B5352" t="str">
        <f>"LQ0955"</f>
        <v>LQ0955</v>
      </c>
      <c r="C5352" t="s">
        <v>37603</v>
      </c>
      <c r="D5352" t="s">
        <v>27245</v>
      </c>
      <c r="E5352" t="str">
        <f t="shared" si="83"/>
        <v>001390</v>
      </c>
      <c r="F5352" t="s">
        <v>27246</v>
      </c>
      <c r="G5352" t="s">
        <v>27247</v>
      </c>
      <c r="H5352" t="s">
        <v>27248</v>
      </c>
      <c r="I5352" t="s">
        <v>37604</v>
      </c>
      <c r="J5352" t="s">
        <v>10677</v>
      </c>
      <c r="L5352" t="s">
        <v>27250</v>
      </c>
      <c r="M5352" t="s">
        <v>27251</v>
      </c>
      <c r="N5352" t="s">
        <v>27252</v>
      </c>
      <c r="Q5352" s="1">
        <v>44538</v>
      </c>
      <c r="R5352" t="s">
        <v>27253</v>
      </c>
      <c r="S5352" t="s">
        <v>27254</v>
      </c>
      <c r="T5352" t="s">
        <v>27255</v>
      </c>
    </row>
    <row r="5353" spans="1:20" x14ac:dyDescent="0.3">
      <c r="A5353" t="str">
        <f>"0611834646100"</f>
        <v>0611834646100</v>
      </c>
      <c r="B5353" t="str">
        <f>"LQ3277"</f>
        <v>LQ3277</v>
      </c>
      <c r="C5353" t="s">
        <v>37605</v>
      </c>
      <c r="D5353" t="s">
        <v>27245</v>
      </c>
      <c r="E5353" t="str">
        <f t="shared" si="83"/>
        <v>001390</v>
      </c>
      <c r="F5353" t="s">
        <v>27246</v>
      </c>
      <c r="G5353" t="s">
        <v>27247</v>
      </c>
      <c r="H5353" t="s">
        <v>27248</v>
      </c>
      <c r="I5353" t="s">
        <v>37606</v>
      </c>
      <c r="J5353" t="s">
        <v>10679</v>
      </c>
      <c r="L5353" t="s">
        <v>27250</v>
      </c>
      <c r="M5353" t="s">
        <v>27251</v>
      </c>
      <c r="N5353" t="s">
        <v>27252</v>
      </c>
      <c r="Q5353" s="1">
        <v>44538</v>
      </c>
      <c r="R5353" t="s">
        <v>27253</v>
      </c>
      <c r="S5353" t="s">
        <v>27254</v>
      </c>
      <c r="T5353" t="s">
        <v>27255</v>
      </c>
    </row>
    <row r="5354" spans="1:20" x14ac:dyDescent="0.3">
      <c r="A5354" t="str">
        <f>"0611856963100"</f>
        <v>0611856963100</v>
      </c>
      <c r="B5354" t="str">
        <f>"LQ3885"</f>
        <v>LQ3885</v>
      </c>
      <c r="C5354" t="s">
        <v>37607</v>
      </c>
      <c r="D5354" t="s">
        <v>27245</v>
      </c>
      <c r="E5354" t="str">
        <f t="shared" si="83"/>
        <v>001390</v>
      </c>
      <c r="F5354" t="s">
        <v>27246</v>
      </c>
      <c r="G5354" t="s">
        <v>27247</v>
      </c>
      <c r="H5354" t="s">
        <v>27248</v>
      </c>
      <c r="I5354" t="s">
        <v>37608</v>
      </c>
      <c r="J5354" t="s">
        <v>10681</v>
      </c>
      <c r="L5354" t="s">
        <v>27250</v>
      </c>
      <c r="M5354" t="s">
        <v>27251</v>
      </c>
      <c r="N5354" t="s">
        <v>27252</v>
      </c>
      <c r="Q5354" s="1">
        <v>44812</v>
      </c>
      <c r="R5354" t="s">
        <v>27253</v>
      </c>
      <c r="S5354" t="s">
        <v>27254</v>
      </c>
      <c r="T5354" t="s">
        <v>27255</v>
      </c>
    </row>
    <row r="5355" spans="1:20" x14ac:dyDescent="0.3">
      <c r="A5355" t="str">
        <f>"0611834649100"</f>
        <v>0611834649100</v>
      </c>
      <c r="B5355" t="str">
        <f>"LS0041"</f>
        <v>LS0041</v>
      </c>
      <c r="C5355" t="s">
        <v>37609</v>
      </c>
      <c r="D5355" t="s">
        <v>27245</v>
      </c>
      <c r="E5355" t="str">
        <f t="shared" si="83"/>
        <v>001390</v>
      </c>
      <c r="F5355" t="s">
        <v>27246</v>
      </c>
      <c r="G5355" t="s">
        <v>27247</v>
      </c>
      <c r="H5355" t="s">
        <v>27248</v>
      </c>
      <c r="I5355" t="s">
        <v>37610</v>
      </c>
      <c r="J5355" t="s">
        <v>10685</v>
      </c>
      <c r="L5355" t="s">
        <v>27250</v>
      </c>
      <c r="M5355" t="s">
        <v>27251</v>
      </c>
      <c r="N5355" t="s">
        <v>27252</v>
      </c>
      <c r="Q5355" s="1">
        <v>44538</v>
      </c>
      <c r="R5355" t="s">
        <v>27253</v>
      </c>
      <c r="S5355" t="s">
        <v>27254</v>
      </c>
      <c r="T5355" t="s">
        <v>27255</v>
      </c>
    </row>
    <row r="5356" spans="1:20" x14ac:dyDescent="0.3">
      <c r="A5356" t="str">
        <f>"0611834648025"</f>
        <v>0611834648025</v>
      </c>
      <c r="B5356" t="str">
        <f>"MC1431"</f>
        <v>MC1431</v>
      </c>
      <c r="C5356" t="s">
        <v>37611</v>
      </c>
      <c r="D5356" t="s">
        <v>27267</v>
      </c>
      <c r="E5356" t="str">
        <f t="shared" si="83"/>
        <v>001390</v>
      </c>
      <c r="F5356" t="s">
        <v>27246</v>
      </c>
      <c r="G5356" t="s">
        <v>27247</v>
      </c>
      <c r="H5356" t="s">
        <v>27248</v>
      </c>
      <c r="I5356" t="s">
        <v>37612</v>
      </c>
      <c r="J5356" t="s">
        <v>10683</v>
      </c>
      <c r="L5356" t="s">
        <v>27250</v>
      </c>
      <c r="M5356" t="s">
        <v>27251</v>
      </c>
      <c r="N5356" t="s">
        <v>27252</v>
      </c>
      <c r="Q5356" s="1">
        <v>44538</v>
      </c>
      <c r="R5356" t="s">
        <v>27253</v>
      </c>
      <c r="S5356" t="s">
        <v>27254</v>
      </c>
      <c r="T5356" t="s">
        <v>27269</v>
      </c>
    </row>
    <row r="5357" spans="1:20" x14ac:dyDescent="0.3">
      <c r="A5357" t="str">
        <f>"0611834650100"</f>
        <v>0611834650100</v>
      </c>
      <c r="B5357" t="str">
        <f>"LK1247"</f>
        <v>LK1247</v>
      </c>
      <c r="C5357" t="s">
        <v>37613</v>
      </c>
      <c r="D5357" t="s">
        <v>28138</v>
      </c>
      <c r="E5357" t="str">
        <f t="shared" si="83"/>
        <v>001390</v>
      </c>
      <c r="F5357" t="s">
        <v>27246</v>
      </c>
      <c r="G5357" t="s">
        <v>27247</v>
      </c>
      <c r="H5357" t="s">
        <v>27248</v>
      </c>
      <c r="I5357" t="s">
        <v>37614</v>
      </c>
      <c r="J5357" t="s">
        <v>10687</v>
      </c>
      <c r="L5357" t="s">
        <v>27250</v>
      </c>
      <c r="M5357" t="s">
        <v>27251</v>
      </c>
      <c r="N5357" t="s">
        <v>27252</v>
      </c>
      <c r="P5357" t="s">
        <v>27925</v>
      </c>
      <c r="Q5357" s="1">
        <v>44538</v>
      </c>
      <c r="R5357" t="s">
        <v>27253</v>
      </c>
      <c r="S5357" t="s">
        <v>27254</v>
      </c>
      <c r="T5357" t="s">
        <v>27255</v>
      </c>
    </row>
    <row r="5358" spans="1:20" x14ac:dyDescent="0.3">
      <c r="A5358" t="str">
        <f>"0611834651100"</f>
        <v>0611834651100</v>
      </c>
      <c r="B5358" t="str">
        <f>"LK0726"</f>
        <v>LK0726</v>
      </c>
      <c r="C5358" t="s">
        <v>37615</v>
      </c>
      <c r="D5358" t="s">
        <v>28138</v>
      </c>
      <c r="E5358" t="str">
        <f t="shared" si="83"/>
        <v>001390</v>
      </c>
      <c r="F5358" t="s">
        <v>27246</v>
      </c>
      <c r="G5358" t="s">
        <v>27247</v>
      </c>
      <c r="H5358" t="s">
        <v>27248</v>
      </c>
      <c r="I5358" t="s">
        <v>37616</v>
      </c>
      <c r="J5358" t="s">
        <v>10689</v>
      </c>
      <c r="L5358" t="s">
        <v>27250</v>
      </c>
      <c r="M5358" t="s">
        <v>27251</v>
      </c>
      <c r="N5358" t="s">
        <v>27252</v>
      </c>
      <c r="P5358" t="s">
        <v>27925</v>
      </c>
      <c r="Q5358" s="1">
        <v>44538</v>
      </c>
      <c r="R5358" t="s">
        <v>27253</v>
      </c>
      <c r="S5358" t="s">
        <v>27254</v>
      </c>
      <c r="T5358" t="s">
        <v>27255</v>
      </c>
    </row>
    <row r="5359" spans="1:20" x14ac:dyDescent="0.3">
      <c r="A5359" t="str">
        <f>"0611834653100"</f>
        <v>0611834653100</v>
      </c>
      <c r="B5359" t="str">
        <f>"LK1575"</f>
        <v>LK1575</v>
      </c>
      <c r="C5359" t="s">
        <v>37617</v>
      </c>
      <c r="D5359" t="s">
        <v>28138</v>
      </c>
      <c r="E5359" t="str">
        <f t="shared" si="83"/>
        <v>001390</v>
      </c>
      <c r="F5359" t="s">
        <v>27246</v>
      </c>
      <c r="G5359" t="s">
        <v>27247</v>
      </c>
      <c r="H5359" t="s">
        <v>27248</v>
      </c>
      <c r="I5359" t="s">
        <v>37618</v>
      </c>
      <c r="J5359" t="s">
        <v>10691</v>
      </c>
      <c r="L5359" t="s">
        <v>27250</v>
      </c>
      <c r="M5359" t="s">
        <v>27251</v>
      </c>
      <c r="N5359" t="s">
        <v>27252</v>
      </c>
      <c r="P5359" t="s">
        <v>27925</v>
      </c>
      <c r="Q5359" s="1">
        <v>44538</v>
      </c>
      <c r="R5359" t="s">
        <v>27253</v>
      </c>
      <c r="S5359" t="s">
        <v>27254</v>
      </c>
      <c r="T5359" t="s">
        <v>27255</v>
      </c>
    </row>
    <row r="5360" spans="1:20" x14ac:dyDescent="0.3">
      <c r="A5360" t="str">
        <f>"0611834654100"</f>
        <v>0611834654100</v>
      </c>
      <c r="B5360" t="str">
        <f>"LK4475"</f>
        <v>LK4475</v>
      </c>
      <c r="C5360" t="s">
        <v>37619</v>
      </c>
      <c r="D5360" t="s">
        <v>28138</v>
      </c>
      <c r="E5360" t="str">
        <f t="shared" si="83"/>
        <v>001390</v>
      </c>
      <c r="F5360" t="s">
        <v>27246</v>
      </c>
      <c r="G5360" t="s">
        <v>27247</v>
      </c>
      <c r="H5360" t="s">
        <v>27248</v>
      </c>
      <c r="I5360" t="s">
        <v>37620</v>
      </c>
      <c r="J5360" t="s">
        <v>10693</v>
      </c>
      <c r="L5360" t="s">
        <v>27250</v>
      </c>
      <c r="M5360" t="s">
        <v>27251</v>
      </c>
      <c r="N5360" t="s">
        <v>27252</v>
      </c>
      <c r="P5360" t="s">
        <v>27925</v>
      </c>
      <c r="Q5360" s="1">
        <v>44538</v>
      </c>
      <c r="R5360" t="s">
        <v>27253</v>
      </c>
      <c r="S5360" t="s">
        <v>27254</v>
      </c>
      <c r="T5360" t="s">
        <v>27255</v>
      </c>
    </row>
    <row r="5361" spans="1:20" x14ac:dyDescent="0.3">
      <c r="A5361" t="str">
        <f>"0611834656100"</f>
        <v>0611834656100</v>
      </c>
      <c r="B5361" t="str">
        <f>"LB3009"</f>
        <v>LB3009</v>
      </c>
      <c r="C5361" t="s">
        <v>37621</v>
      </c>
      <c r="D5361" t="s">
        <v>28138</v>
      </c>
      <c r="E5361" t="str">
        <f t="shared" si="83"/>
        <v>001390</v>
      </c>
      <c r="F5361" t="s">
        <v>27246</v>
      </c>
      <c r="G5361" t="s">
        <v>27247</v>
      </c>
      <c r="H5361" t="s">
        <v>27248</v>
      </c>
      <c r="I5361" t="s">
        <v>37622</v>
      </c>
      <c r="J5361" t="s">
        <v>10695</v>
      </c>
      <c r="L5361" t="s">
        <v>27250</v>
      </c>
      <c r="M5361" t="s">
        <v>27251</v>
      </c>
      <c r="N5361" t="s">
        <v>27252</v>
      </c>
      <c r="P5361" t="s">
        <v>27925</v>
      </c>
      <c r="Q5361" s="1">
        <v>44538</v>
      </c>
      <c r="R5361" t="s">
        <v>27253</v>
      </c>
      <c r="S5361" t="s">
        <v>27254</v>
      </c>
      <c r="T5361" t="s">
        <v>27255</v>
      </c>
    </row>
    <row r="5362" spans="1:20" x14ac:dyDescent="0.3">
      <c r="A5362" t="str">
        <f>"0611834657100"</f>
        <v>0611834657100</v>
      </c>
      <c r="B5362" t="str">
        <f>"LK4181"</f>
        <v>LK4181</v>
      </c>
      <c r="C5362" t="s">
        <v>37623</v>
      </c>
      <c r="D5362" t="s">
        <v>28138</v>
      </c>
      <c r="E5362" t="str">
        <f t="shared" si="83"/>
        <v>001390</v>
      </c>
      <c r="F5362" t="s">
        <v>27246</v>
      </c>
      <c r="G5362" t="s">
        <v>27247</v>
      </c>
      <c r="H5362" t="s">
        <v>27248</v>
      </c>
      <c r="I5362" t="s">
        <v>37624</v>
      </c>
      <c r="J5362" t="s">
        <v>10697</v>
      </c>
      <c r="L5362" t="s">
        <v>27250</v>
      </c>
      <c r="M5362" t="s">
        <v>27251</v>
      </c>
      <c r="N5362" t="s">
        <v>27252</v>
      </c>
      <c r="P5362" t="s">
        <v>27925</v>
      </c>
      <c r="Q5362" s="1">
        <v>44538</v>
      </c>
      <c r="R5362" t="s">
        <v>27253</v>
      </c>
      <c r="S5362" t="s">
        <v>27254</v>
      </c>
      <c r="T5362" t="s">
        <v>27255</v>
      </c>
    </row>
    <row r="5363" spans="1:20" x14ac:dyDescent="0.3">
      <c r="A5363" t="str">
        <f>"0611834658100"</f>
        <v>0611834658100</v>
      </c>
      <c r="B5363" t="str">
        <f>"LK2834"</f>
        <v>LK2834</v>
      </c>
      <c r="C5363" t="s">
        <v>37625</v>
      </c>
      <c r="D5363" t="s">
        <v>28138</v>
      </c>
      <c r="E5363" t="str">
        <f t="shared" si="83"/>
        <v>001390</v>
      </c>
      <c r="F5363" t="s">
        <v>27246</v>
      </c>
      <c r="G5363" t="s">
        <v>27247</v>
      </c>
      <c r="H5363" t="s">
        <v>27248</v>
      </c>
      <c r="I5363" t="s">
        <v>37626</v>
      </c>
      <c r="J5363" t="s">
        <v>10699</v>
      </c>
      <c r="L5363" t="s">
        <v>27250</v>
      </c>
      <c r="M5363" t="s">
        <v>27251</v>
      </c>
      <c r="N5363" t="s">
        <v>27252</v>
      </c>
      <c r="P5363" t="s">
        <v>27925</v>
      </c>
      <c r="Q5363" s="1">
        <v>44538</v>
      </c>
      <c r="R5363" t="s">
        <v>27253</v>
      </c>
      <c r="S5363" t="s">
        <v>27254</v>
      </c>
      <c r="T5363" t="s">
        <v>27255</v>
      </c>
    </row>
    <row r="5364" spans="1:20" x14ac:dyDescent="0.3">
      <c r="A5364" t="str">
        <f>"0611834660100"</f>
        <v>0611834660100</v>
      </c>
      <c r="B5364" t="str">
        <f>"LK1576"</f>
        <v>LK1576</v>
      </c>
      <c r="C5364" t="s">
        <v>37627</v>
      </c>
      <c r="D5364" t="s">
        <v>28138</v>
      </c>
      <c r="E5364" t="str">
        <f t="shared" si="83"/>
        <v>001390</v>
      </c>
      <c r="F5364" t="s">
        <v>27246</v>
      </c>
      <c r="G5364" t="s">
        <v>27247</v>
      </c>
      <c r="H5364" t="s">
        <v>27248</v>
      </c>
      <c r="I5364" t="s">
        <v>37628</v>
      </c>
      <c r="J5364" t="s">
        <v>10703</v>
      </c>
      <c r="L5364" t="s">
        <v>27250</v>
      </c>
      <c r="M5364" t="s">
        <v>27251</v>
      </c>
      <c r="N5364" t="s">
        <v>27252</v>
      </c>
      <c r="P5364" t="s">
        <v>27925</v>
      </c>
      <c r="Q5364" s="1">
        <v>44538</v>
      </c>
      <c r="R5364" t="s">
        <v>27253</v>
      </c>
      <c r="S5364" t="s">
        <v>27254</v>
      </c>
      <c r="T5364" t="s">
        <v>27255</v>
      </c>
    </row>
    <row r="5365" spans="1:20" x14ac:dyDescent="0.3">
      <c r="A5365" t="str">
        <f>"0611834659100"</f>
        <v>0611834659100</v>
      </c>
      <c r="B5365" t="str">
        <f>"LK1094"</f>
        <v>LK1094</v>
      </c>
      <c r="C5365" t="s">
        <v>37629</v>
      </c>
      <c r="D5365" t="s">
        <v>28138</v>
      </c>
      <c r="E5365" t="str">
        <f t="shared" si="83"/>
        <v>001390</v>
      </c>
      <c r="F5365" t="s">
        <v>27246</v>
      </c>
      <c r="G5365" t="s">
        <v>27247</v>
      </c>
      <c r="H5365" t="s">
        <v>27248</v>
      </c>
      <c r="I5365" t="s">
        <v>37630</v>
      </c>
      <c r="J5365" t="s">
        <v>10701</v>
      </c>
      <c r="L5365" t="s">
        <v>27250</v>
      </c>
      <c r="M5365" t="s">
        <v>27251</v>
      </c>
      <c r="N5365" t="s">
        <v>27252</v>
      </c>
      <c r="P5365" t="s">
        <v>27925</v>
      </c>
      <c r="Q5365" s="1">
        <v>44538</v>
      </c>
      <c r="R5365" t="s">
        <v>27253</v>
      </c>
      <c r="S5365" t="s">
        <v>27254</v>
      </c>
      <c r="T5365" t="s">
        <v>27255</v>
      </c>
    </row>
    <row r="5366" spans="1:20" x14ac:dyDescent="0.3">
      <c r="A5366" t="str">
        <f>"0611834662100"</f>
        <v>0611834662100</v>
      </c>
      <c r="B5366" t="str">
        <f>"LK4826"</f>
        <v>LK4826</v>
      </c>
      <c r="C5366" t="s">
        <v>37631</v>
      </c>
      <c r="D5366" t="s">
        <v>28138</v>
      </c>
      <c r="E5366" t="str">
        <f t="shared" si="83"/>
        <v>001390</v>
      </c>
      <c r="F5366" t="s">
        <v>27246</v>
      </c>
      <c r="G5366" t="s">
        <v>27247</v>
      </c>
      <c r="H5366" t="s">
        <v>27248</v>
      </c>
      <c r="I5366" t="s">
        <v>37632</v>
      </c>
      <c r="J5366" t="s">
        <v>10705</v>
      </c>
      <c r="L5366" t="s">
        <v>27250</v>
      </c>
      <c r="M5366" t="s">
        <v>27251</v>
      </c>
      <c r="N5366" t="s">
        <v>27252</v>
      </c>
      <c r="P5366" t="s">
        <v>27925</v>
      </c>
      <c r="Q5366" s="1">
        <v>44538</v>
      </c>
      <c r="R5366" t="s">
        <v>27253</v>
      </c>
      <c r="S5366" t="s">
        <v>27254</v>
      </c>
      <c r="T5366" t="s">
        <v>27255</v>
      </c>
    </row>
    <row r="5367" spans="1:20" x14ac:dyDescent="0.3">
      <c r="A5367" t="str">
        <f>"0611834663100"</f>
        <v>0611834663100</v>
      </c>
      <c r="B5367" t="str">
        <f>"LK5468"</f>
        <v>LK5468</v>
      </c>
      <c r="C5367" t="s">
        <v>37633</v>
      </c>
      <c r="D5367" t="s">
        <v>28138</v>
      </c>
      <c r="E5367" t="str">
        <f t="shared" si="83"/>
        <v>001390</v>
      </c>
      <c r="F5367" t="s">
        <v>27246</v>
      </c>
      <c r="G5367" t="s">
        <v>27247</v>
      </c>
      <c r="H5367" t="s">
        <v>27248</v>
      </c>
      <c r="I5367" t="s">
        <v>37634</v>
      </c>
      <c r="J5367" t="s">
        <v>10707</v>
      </c>
      <c r="L5367" t="s">
        <v>27250</v>
      </c>
      <c r="M5367" t="s">
        <v>27251</v>
      </c>
      <c r="N5367" t="s">
        <v>27252</v>
      </c>
      <c r="P5367" t="s">
        <v>27925</v>
      </c>
      <c r="Q5367" s="1">
        <v>44538</v>
      </c>
      <c r="R5367" t="s">
        <v>27253</v>
      </c>
      <c r="S5367" t="s">
        <v>27254</v>
      </c>
      <c r="T5367" t="s">
        <v>27255</v>
      </c>
    </row>
    <row r="5368" spans="1:20" x14ac:dyDescent="0.3">
      <c r="A5368" t="str">
        <f>"0611834671100"</f>
        <v>0611834671100</v>
      </c>
      <c r="B5368" t="str">
        <f>"LK3595"</f>
        <v>LK3595</v>
      </c>
      <c r="C5368" t="s">
        <v>37635</v>
      </c>
      <c r="D5368" t="s">
        <v>28138</v>
      </c>
      <c r="E5368" t="str">
        <f t="shared" si="83"/>
        <v>001390</v>
      </c>
      <c r="F5368" t="s">
        <v>27246</v>
      </c>
      <c r="G5368" t="s">
        <v>27247</v>
      </c>
      <c r="H5368" t="s">
        <v>27248</v>
      </c>
      <c r="I5368" t="s">
        <v>37636</v>
      </c>
      <c r="J5368" t="s">
        <v>10721</v>
      </c>
      <c r="L5368" t="s">
        <v>27250</v>
      </c>
      <c r="M5368" t="s">
        <v>27251</v>
      </c>
      <c r="N5368" t="s">
        <v>27252</v>
      </c>
      <c r="P5368" t="s">
        <v>27925</v>
      </c>
      <c r="Q5368" s="1">
        <v>44538</v>
      </c>
      <c r="R5368" t="s">
        <v>27253</v>
      </c>
      <c r="S5368" t="s">
        <v>27254</v>
      </c>
      <c r="T5368" t="s">
        <v>27255</v>
      </c>
    </row>
    <row r="5369" spans="1:20" x14ac:dyDescent="0.3">
      <c r="A5369" t="str">
        <f>"0611834664100"</f>
        <v>0611834664100</v>
      </c>
      <c r="B5369" t="str">
        <f>"LK3328"</f>
        <v>LK3328</v>
      </c>
      <c r="C5369" t="s">
        <v>37637</v>
      </c>
      <c r="D5369" t="s">
        <v>28138</v>
      </c>
      <c r="E5369" t="str">
        <f t="shared" si="83"/>
        <v>001390</v>
      </c>
      <c r="F5369" t="s">
        <v>27246</v>
      </c>
      <c r="G5369" t="s">
        <v>27247</v>
      </c>
      <c r="H5369" t="s">
        <v>27248</v>
      </c>
      <c r="I5369" t="s">
        <v>37638</v>
      </c>
      <c r="J5369" t="s">
        <v>10709</v>
      </c>
      <c r="L5369" t="s">
        <v>27250</v>
      </c>
      <c r="M5369" t="s">
        <v>27251</v>
      </c>
      <c r="N5369" t="s">
        <v>27252</v>
      </c>
      <c r="P5369" t="s">
        <v>27925</v>
      </c>
      <c r="Q5369" s="1">
        <v>44538</v>
      </c>
      <c r="R5369" t="s">
        <v>27253</v>
      </c>
      <c r="S5369" t="s">
        <v>27254</v>
      </c>
      <c r="T5369" t="s">
        <v>27255</v>
      </c>
    </row>
    <row r="5370" spans="1:20" x14ac:dyDescent="0.3">
      <c r="A5370" t="str">
        <f>"0611834665100"</f>
        <v>0611834665100</v>
      </c>
      <c r="B5370" t="str">
        <f>"LK4827"</f>
        <v>LK4827</v>
      </c>
      <c r="C5370" t="s">
        <v>37639</v>
      </c>
      <c r="D5370" t="s">
        <v>28138</v>
      </c>
      <c r="E5370" t="str">
        <f t="shared" si="83"/>
        <v>001390</v>
      </c>
      <c r="F5370" t="s">
        <v>27246</v>
      </c>
      <c r="G5370" t="s">
        <v>27247</v>
      </c>
      <c r="H5370" t="s">
        <v>27248</v>
      </c>
      <c r="I5370" t="s">
        <v>37640</v>
      </c>
      <c r="J5370" t="s">
        <v>10711</v>
      </c>
      <c r="L5370" t="s">
        <v>27250</v>
      </c>
      <c r="M5370" t="s">
        <v>27251</v>
      </c>
      <c r="N5370" t="s">
        <v>27252</v>
      </c>
      <c r="P5370" t="s">
        <v>27925</v>
      </c>
      <c r="Q5370" s="1">
        <v>44538</v>
      </c>
      <c r="R5370" t="s">
        <v>27253</v>
      </c>
      <c r="S5370" t="s">
        <v>27254</v>
      </c>
      <c r="T5370" t="s">
        <v>27255</v>
      </c>
    </row>
    <row r="5371" spans="1:20" x14ac:dyDescent="0.3">
      <c r="A5371" t="str">
        <f>"0611834666100"</f>
        <v>0611834666100</v>
      </c>
      <c r="B5371" t="str">
        <f>"LK2108"</f>
        <v>LK2108</v>
      </c>
      <c r="C5371" t="s">
        <v>37641</v>
      </c>
      <c r="D5371" t="s">
        <v>28138</v>
      </c>
      <c r="E5371" t="str">
        <f t="shared" si="83"/>
        <v>001390</v>
      </c>
      <c r="F5371" t="s">
        <v>27246</v>
      </c>
      <c r="G5371" t="s">
        <v>27247</v>
      </c>
      <c r="H5371" t="s">
        <v>27248</v>
      </c>
      <c r="I5371" t="s">
        <v>37642</v>
      </c>
      <c r="J5371" t="s">
        <v>10713</v>
      </c>
      <c r="L5371" t="s">
        <v>27250</v>
      </c>
      <c r="M5371" t="s">
        <v>27251</v>
      </c>
      <c r="N5371" t="s">
        <v>27252</v>
      </c>
      <c r="P5371" t="s">
        <v>27925</v>
      </c>
      <c r="Q5371" s="1">
        <v>44538</v>
      </c>
      <c r="R5371" t="s">
        <v>27253</v>
      </c>
      <c r="S5371" t="s">
        <v>27254</v>
      </c>
      <c r="T5371" t="s">
        <v>27255</v>
      </c>
    </row>
    <row r="5372" spans="1:20" x14ac:dyDescent="0.3">
      <c r="A5372" t="str">
        <f>"0611834668100"</f>
        <v>0611834668100</v>
      </c>
      <c r="B5372" t="str">
        <f>"LK1577"</f>
        <v>LK1577</v>
      </c>
      <c r="C5372" t="s">
        <v>37643</v>
      </c>
      <c r="D5372" t="s">
        <v>28138</v>
      </c>
      <c r="E5372" t="str">
        <f t="shared" si="83"/>
        <v>001390</v>
      </c>
      <c r="F5372" t="s">
        <v>27246</v>
      </c>
      <c r="G5372" t="s">
        <v>27247</v>
      </c>
      <c r="H5372" t="s">
        <v>27248</v>
      </c>
      <c r="I5372" t="s">
        <v>37644</v>
      </c>
      <c r="J5372" t="s">
        <v>10715</v>
      </c>
      <c r="L5372" t="s">
        <v>27250</v>
      </c>
      <c r="M5372" t="s">
        <v>27251</v>
      </c>
      <c r="N5372" t="s">
        <v>27252</v>
      </c>
      <c r="P5372" t="s">
        <v>27925</v>
      </c>
      <c r="Q5372" s="1">
        <v>44538</v>
      </c>
      <c r="R5372" t="s">
        <v>27253</v>
      </c>
      <c r="S5372" t="s">
        <v>27254</v>
      </c>
      <c r="T5372" t="s">
        <v>27255</v>
      </c>
    </row>
    <row r="5373" spans="1:20" x14ac:dyDescent="0.3">
      <c r="A5373" t="str">
        <f>"0611834669100"</f>
        <v>0611834669100</v>
      </c>
      <c r="B5373" t="str">
        <f>"LK0728"</f>
        <v>LK0728</v>
      </c>
      <c r="C5373" t="s">
        <v>37645</v>
      </c>
      <c r="D5373" t="s">
        <v>28138</v>
      </c>
      <c r="E5373" t="str">
        <f t="shared" si="83"/>
        <v>001390</v>
      </c>
      <c r="F5373" t="s">
        <v>27246</v>
      </c>
      <c r="G5373" t="s">
        <v>27247</v>
      </c>
      <c r="H5373" t="s">
        <v>27248</v>
      </c>
      <c r="I5373" t="s">
        <v>37646</v>
      </c>
      <c r="J5373" t="s">
        <v>10717</v>
      </c>
      <c r="L5373" t="s">
        <v>27250</v>
      </c>
      <c r="M5373" t="s">
        <v>27251</v>
      </c>
      <c r="N5373" t="s">
        <v>27252</v>
      </c>
      <c r="P5373" t="s">
        <v>27925</v>
      </c>
      <c r="Q5373" s="1">
        <v>44538</v>
      </c>
      <c r="R5373" t="s">
        <v>27253</v>
      </c>
      <c r="S5373" t="s">
        <v>27254</v>
      </c>
      <c r="T5373" t="s">
        <v>27255</v>
      </c>
    </row>
    <row r="5374" spans="1:20" x14ac:dyDescent="0.3">
      <c r="A5374" t="str">
        <f>"0611834670100"</f>
        <v>0611834670100</v>
      </c>
      <c r="B5374" t="str">
        <f>"LK0178"</f>
        <v>LK0178</v>
      </c>
      <c r="C5374" t="s">
        <v>37647</v>
      </c>
      <c r="D5374" t="s">
        <v>28138</v>
      </c>
      <c r="E5374" t="str">
        <f t="shared" si="83"/>
        <v>001390</v>
      </c>
      <c r="F5374" t="s">
        <v>27246</v>
      </c>
      <c r="G5374" t="s">
        <v>27247</v>
      </c>
      <c r="H5374" t="s">
        <v>27248</v>
      </c>
      <c r="I5374" t="s">
        <v>37648</v>
      </c>
      <c r="J5374" t="s">
        <v>10719</v>
      </c>
      <c r="L5374" t="s">
        <v>27250</v>
      </c>
      <c r="M5374" t="s">
        <v>27251</v>
      </c>
      <c r="N5374" t="s">
        <v>27252</v>
      </c>
      <c r="P5374" t="s">
        <v>27925</v>
      </c>
      <c r="Q5374" s="1">
        <v>44538</v>
      </c>
      <c r="R5374" t="s">
        <v>27253</v>
      </c>
      <c r="S5374" t="s">
        <v>27254</v>
      </c>
      <c r="T5374" t="s">
        <v>27255</v>
      </c>
    </row>
    <row r="5375" spans="1:20" x14ac:dyDescent="0.3">
      <c r="A5375" t="str">
        <f>"0611884238100"</f>
        <v>0611884238100</v>
      </c>
      <c r="B5375" t="str">
        <f>"LK7165"</f>
        <v>LK7165</v>
      </c>
      <c r="C5375" t="s">
        <v>37649</v>
      </c>
      <c r="D5375" t="s">
        <v>27245</v>
      </c>
      <c r="E5375" t="str">
        <f t="shared" si="83"/>
        <v>001390</v>
      </c>
      <c r="F5375" t="s">
        <v>27246</v>
      </c>
      <c r="G5375" t="s">
        <v>27247</v>
      </c>
      <c r="H5375" t="s">
        <v>27248</v>
      </c>
      <c r="I5375" t="s">
        <v>37650</v>
      </c>
      <c r="J5375" t="s">
        <v>10723</v>
      </c>
      <c r="L5375" t="s">
        <v>27430</v>
      </c>
      <c r="M5375" t="s">
        <v>27251</v>
      </c>
      <c r="N5375" t="s">
        <v>27252</v>
      </c>
      <c r="Q5375" s="1">
        <v>45250</v>
      </c>
      <c r="R5375" t="s">
        <v>27253</v>
      </c>
      <c r="S5375" t="s">
        <v>27254</v>
      </c>
      <c r="T5375" t="s">
        <v>27255</v>
      </c>
    </row>
    <row r="5376" spans="1:20" x14ac:dyDescent="0.3">
      <c r="A5376" t="str">
        <f>"0611834673100"</f>
        <v>0611834673100</v>
      </c>
      <c r="B5376" t="str">
        <f>"LK6056"</f>
        <v>LK6056</v>
      </c>
      <c r="C5376" t="s">
        <v>37651</v>
      </c>
      <c r="D5376" t="s">
        <v>27245</v>
      </c>
      <c r="E5376" t="str">
        <f t="shared" si="83"/>
        <v>001390</v>
      </c>
      <c r="F5376" t="s">
        <v>27246</v>
      </c>
      <c r="G5376" t="s">
        <v>27247</v>
      </c>
      <c r="H5376" t="s">
        <v>27248</v>
      </c>
      <c r="I5376" t="s">
        <v>37652</v>
      </c>
      <c r="J5376" t="s">
        <v>10725</v>
      </c>
      <c r="L5376" t="s">
        <v>27250</v>
      </c>
      <c r="M5376" t="s">
        <v>27251</v>
      </c>
      <c r="N5376" t="s">
        <v>27252</v>
      </c>
      <c r="Q5376" s="1">
        <v>44538</v>
      </c>
      <c r="R5376" t="s">
        <v>27253</v>
      </c>
      <c r="S5376" t="s">
        <v>27254</v>
      </c>
      <c r="T5376" t="s">
        <v>27255</v>
      </c>
    </row>
    <row r="5377" spans="1:20" x14ac:dyDescent="0.3">
      <c r="A5377" t="str">
        <f>"0611834674100"</f>
        <v>0611834674100</v>
      </c>
      <c r="B5377" t="str">
        <f>"LK6057"</f>
        <v>LK6057</v>
      </c>
      <c r="C5377" t="s">
        <v>37653</v>
      </c>
      <c r="D5377" t="s">
        <v>27245</v>
      </c>
      <c r="E5377" t="str">
        <f t="shared" si="83"/>
        <v>001390</v>
      </c>
      <c r="F5377" t="s">
        <v>27246</v>
      </c>
      <c r="G5377" t="s">
        <v>27247</v>
      </c>
      <c r="H5377" t="s">
        <v>27248</v>
      </c>
      <c r="I5377" t="s">
        <v>37654</v>
      </c>
      <c r="J5377" t="s">
        <v>10727</v>
      </c>
      <c r="L5377" t="s">
        <v>27250</v>
      </c>
      <c r="M5377" t="s">
        <v>27251</v>
      </c>
      <c r="N5377" t="s">
        <v>27252</v>
      </c>
      <c r="Q5377" s="1">
        <v>44538</v>
      </c>
      <c r="R5377" t="s">
        <v>27253</v>
      </c>
      <c r="S5377" t="s">
        <v>27254</v>
      </c>
      <c r="T5377" t="s">
        <v>27255</v>
      </c>
    </row>
    <row r="5378" spans="1:20" x14ac:dyDescent="0.3">
      <c r="A5378" t="str">
        <f>"0611834675100"</f>
        <v>0611834675100</v>
      </c>
      <c r="B5378" t="str">
        <f>"LK6058"</f>
        <v>LK6058</v>
      </c>
      <c r="C5378" t="s">
        <v>37655</v>
      </c>
      <c r="D5378" t="s">
        <v>27245</v>
      </c>
      <c r="E5378" t="str">
        <f t="shared" ref="E5378:E5441" si="84">"001390"</f>
        <v>001390</v>
      </c>
      <c r="F5378" t="s">
        <v>27246</v>
      </c>
      <c r="G5378" t="s">
        <v>27247</v>
      </c>
      <c r="H5378" t="s">
        <v>27248</v>
      </c>
      <c r="I5378" t="s">
        <v>37656</v>
      </c>
      <c r="J5378" t="s">
        <v>10729</v>
      </c>
      <c r="L5378" t="s">
        <v>27250</v>
      </c>
      <c r="M5378" t="s">
        <v>27251</v>
      </c>
      <c r="N5378" t="s">
        <v>27252</v>
      </c>
      <c r="Q5378" s="1">
        <v>44538</v>
      </c>
      <c r="R5378" t="s">
        <v>27253</v>
      </c>
      <c r="S5378" t="s">
        <v>27254</v>
      </c>
      <c r="T5378" t="s">
        <v>27255</v>
      </c>
    </row>
    <row r="5379" spans="1:20" x14ac:dyDescent="0.3">
      <c r="A5379" t="str">
        <f>"0611834676100"</f>
        <v>0611834676100</v>
      </c>
      <c r="B5379" t="str">
        <f>"LK6238"</f>
        <v>LK6238</v>
      </c>
      <c r="C5379" t="s">
        <v>37657</v>
      </c>
      <c r="D5379" t="s">
        <v>27245</v>
      </c>
      <c r="E5379" t="str">
        <f t="shared" si="84"/>
        <v>001390</v>
      </c>
      <c r="F5379" t="s">
        <v>27246</v>
      </c>
      <c r="G5379" t="s">
        <v>27247</v>
      </c>
      <c r="H5379" t="s">
        <v>27248</v>
      </c>
      <c r="I5379" t="s">
        <v>37658</v>
      </c>
      <c r="J5379" t="s">
        <v>10731</v>
      </c>
      <c r="L5379" t="s">
        <v>27250</v>
      </c>
      <c r="M5379" t="s">
        <v>27251</v>
      </c>
      <c r="N5379" t="s">
        <v>27252</v>
      </c>
      <c r="Q5379" s="1">
        <v>44538</v>
      </c>
      <c r="R5379" t="s">
        <v>27253</v>
      </c>
      <c r="S5379" t="s">
        <v>27254</v>
      </c>
      <c r="T5379" t="s">
        <v>27255</v>
      </c>
    </row>
    <row r="5380" spans="1:20" x14ac:dyDescent="0.3">
      <c r="A5380" t="str">
        <f>"0611834677100"</f>
        <v>0611834677100</v>
      </c>
      <c r="B5380" t="str">
        <f>"LK6059"</f>
        <v>LK6059</v>
      </c>
      <c r="C5380" t="s">
        <v>37659</v>
      </c>
      <c r="D5380" t="s">
        <v>27245</v>
      </c>
      <c r="E5380" t="str">
        <f t="shared" si="84"/>
        <v>001390</v>
      </c>
      <c r="F5380" t="s">
        <v>27246</v>
      </c>
      <c r="G5380" t="s">
        <v>27247</v>
      </c>
      <c r="H5380" t="s">
        <v>27248</v>
      </c>
      <c r="I5380" t="s">
        <v>37660</v>
      </c>
      <c r="J5380" t="s">
        <v>10733</v>
      </c>
      <c r="L5380" t="s">
        <v>27250</v>
      </c>
      <c r="M5380" t="s">
        <v>27251</v>
      </c>
      <c r="N5380" t="s">
        <v>27252</v>
      </c>
      <c r="Q5380" s="1">
        <v>44538</v>
      </c>
      <c r="R5380" t="s">
        <v>27253</v>
      </c>
      <c r="S5380" t="s">
        <v>27254</v>
      </c>
      <c r="T5380" t="s">
        <v>27255</v>
      </c>
    </row>
    <row r="5381" spans="1:20" x14ac:dyDescent="0.3">
      <c r="A5381" t="str">
        <f>"0611834679100"</f>
        <v>0611834679100</v>
      </c>
      <c r="B5381" t="str">
        <f>"LK6061"</f>
        <v>LK6061</v>
      </c>
      <c r="C5381" t="s">
        <v>37661</v>
      </c>
      <c r="D5381" t="s">
        <v>27245</v>
      </c>
      <c r="E5381" t="str">
        <f t="shared" si="84"/>
        <v>001390</v>
      </c>
      <c r="F5381" t="s">
        <v>27246</v>
      </c>
      <c r="G5381" t="s">
        <v>27247</v>
      </c>
      <c r="H5381" t="s">
        <v>27248</v>
      </c>
      <c r="I5381" t="s">
        <v>37662</v>
      </c>
      <c r="J5381" t="s">
        <v>10735</v>
      </c>
      <c r="L5381" t="s">
        <v>27250</v>
      </c>
      <c r="M5381" t="s">
        <v>27251</v>
      </c>
      <c r="N5381" t="s">
        <v>27252</v>
      </c>
      <c r="Q5381" s="1">
        <v>44538</v>
      </c>
      <c r="R5381" t="s">
        <v>27253</v>
      </c>
      <c r="S5381" t="s">
        <v>27254</v>
      </c>
      <c r="T5381" t="s">
        <v>27255</v>
      </c>
    </row>
    <row r="5382" spans="1:20" x14ac:dyDescent="0.3">
      <c r="A5382" t="str">
        <f>"0611834680100"</f>
        <v>0611834680100</v>
      </c>
      <c r="B5382" t="str">
        <f>"LK6062"</f>
        <v>LK6062</v>
      </c>
      <c r="C5382" t="s">
        <v>37663</v>
      </c>
      <c r="D5382" t="s">
        <v>27245</v>
      </c>
      <c r="E5382" t="str">
        <f t="shared" si="84"/>
        <v>001390</v>
      </c>
      <c r="F5382" t="s">
        <v>27246</v>
      </c>
      <c r="G5382" t="s">
        <v>27247</v>
      </c>
      <c r="H5382" t="s">
        <v>27248</v>
      </c>
      <c r="I5382" t="s">
        <v>37664</v>
      </c>
      <c r="J5382" t="s">
        <v>10737</v>
      </c>
      <c r="L5382" t="s">
        <v>27250</v>
      </c>
      <c r="M5382" t="s">
        <v>27251</v>
      </c>
      <c r="N5382" t="s">
        <v>27252</v>
      </c>
      <c r="Q5382" s="1">
        <v>44538</v>
      </c>
      <c r="R5382" t="s">
        <v>27253</v>
      </c>
      <c r="S5382" t="s">
        <v>27254</v>
      </c>
      <c r="T5382" t="s">
        <v>27255</v>
      </c>
    </row>
    <row r="5383" spans="1:20" x14ac:dyDescent="0.3">
      <c r="A5383" t="str">
        <f>"0611834681100"</f>
        <v>0611834681100</v>
      </c>
      <c r="B5383" t="str">
        <f>"LB3024"</f>
        <v>LB3024</v>
      </c>
      <c r="C5383" t="s">
        <v>37665</v>
      </c>
      <c r="D5383" t="s">
        <v>27245</v>
      </c>
      <c r="E5383" t="str">
        <f t="shared" si="84"/>
        <v>001390</v>
      </c>
      <c r="F5383" t="s">
        <v>27246</v>
      </c>
      <c r="G5383" t="s">
        <v>27247</v>
      </c>
      <c r="H5383" t="s">
        <v>27248</v>
      </c>
      <c r="I5383" t="s">
        <v>37666</v>
      </c>
      <c r="J5383" t="s">
        <v>10757</v>
      </c>
      <c r="L5383" t="s">
        <v>27250</v>
      </c>
      <c r="M5383" t="s">
        <v>27251</v>
      </c>
      <c r="N5383" t="s">
        <v>27252</v>
      </c>
      <c r="Q5383" s="1">
        <v>44538</v>
      </c>
      <c r="R5383" t="s">
        <v>27253</v>
      </c>
      <c r="S5383" t="s">
        <v>27254</v>
      </c>
      <c r="T5383" t="s">
        <v>27255</v>
      </c>
    </row>
    <row r="5384" spans="1:20" x14ac:dyDescent="0.3">
      <c r="A5384" t="str">
        <f>"0611834682100"</f>
        <v>0611834682100</v>
      </c>
      <c r="B5384" t="str">
        <f>"LQ0956"</f>
        <v>LQ0956</v>
      </c>
      <c r="C5384" t="s">
        <v>37667</v>
      </c>
      <c r="D5384" t="s">
        <v>27245</v>
      </c>
      <c r="E5384" t="str">
        <f t="shared" si="84"/>
        <v>001390</v>
      </c>
      <c r="F5384" t="s">
        <v>27246</v>
      </c>
      <c r="G5384" t="s">
        <v>27247</v>
      </c>
      <c r="H5384" t="s">
        <v>27248</v>
      </c>
      <c r="I5384" t="s">
        <v>37668</v>
      </c>
      <c r="J5384" t="s">
        <v>10759</v>
      </c>
      <c r="L5384" t="s">
        <v>27250</v>
      </c>
      <c r="M5384" t="s">
        <v>27251</v>
      </c>
      <c r="N5384" t="s">
        <v>27252</v>
      </c>
      <c r="Q5384" s="1">
        <v>44538</v>
      </c>
      <c r="R5384" t="s">
        <v>27253</v>
      </c>
      <c r="S5384" t="s">
        <v>27254</v>
      </c>
      <c r="T5384" t="s">
        <v>27255</v>
      </c>
    </row>
    <row r="5385" spans="1:20" x14ac:dyDescent="0.3">
      <c r="A5385" t="str">
        <f>"0611834684100"</f>
        <v>0611834684100</v>
      </c>
      <c r="B5385" t="str">
        <f>"LQ0957"</f>
        <v>LQ0957</v>
      </c>
      <c r="C5385" t="s">
        <v>37669</v>
      </c>
      <c r="D5385" t="s">
        <v>27245</v>
      </c>
      <c r="E5385" t="str">
        <f t="shared" si="84"/>
        <v>001390</v>
      </c>
      <c r="F5385" t="s">
        <v>27246</v>
      </c>
      <c r="G5385" t="s">
        <v>27247</v>
      </c>
      <c r="H5385" t="s">
        <v>27248</v>
      </c>
      <c r="I5385" t="s">
        <v>37670</v>
      </c>
      <c r="J5385" t="s">
        <v>10761</v>
      </c>
      <c r="L5385" t="s">
        <v>27250</v>
      </c>
      <c r="M5385" t="s">
        <v>27251</v>
      </c>
      <c r="N5385" t="s">
        <v>27252</v>
      </c>
      <c r="Q5385" s="1">
        <v>44538</v>
      </c>
      <c r="R5385" t="s">
        <v>27253</v>
      </c>
      <c r="S5385" t="s">
        <v>27254</v>
      </c>
      <c r="T5385" t="s">
        <v>27255</v>
      </c>
    </row>
    <row r="5386" spans="1:20" x14ac:dyDescent="0.3">
      <c r="A5386" t="str">
        <f>"0611834685100"</f>
        <v>0611834685100</v>
      </c>
      <c r="B5386" t="str">
        <f>"LQ3756"</f>
        <v>LQ3756</v>
      </c>
      <c r="C5386" t="s">
        <v>37671</v>
      </c>
      <c r="D5386" t="s">
        <v>27245</v>
      </c>
      <c r="E5386" t="str">
        <f t="shared" si="84"/>
        <v>001390</v>
      </c>
      <c r="F5386" t="s">
        <v>27246</v>
      </c>
      <c r="G5386" t="s">
        <v>27247</v>
      </c>
      <c r="H5386" t="s">
        <v>27248</v>
      </c>
      <c r="I5386" t="s">
        <v>37672</v>
      </c>
      <c r="J5386" t="s">
        <v>10763</v>
      </c>
      <c r="L5386" t="s">
        <v>27250</v>
      </c>
      <c r="M5386" t="s">
        <v>27251</v>
      </c>
      <c r="N5386" t="s">
        <v>27252</v>
      </c>
      <c r="Q5386" s="1">
        <v>44538</v>
      </c>
      <c r="R5386" t="s">
        <v>27253</v>
      </c>
      <c r="S5386" t="s">
        <v>27254</v>
      </c>
      <c r="T5386" t="s">
        <v>27255</v>
      </c>
    </row>
    <row r="5387" spans="1:20" x14ac:dyDescent="0.3">
      <c r="A5387" t="str">
        <f>"0611834715100"</f>
        <v>0611834715100</v>
      </c>
      <c r="B5387" t="str">
        <f>"LK6239"</f>
        <v>LK6239</v>
      </c>
      <c r="C5387" t="s">
        <v>37673</v>
      </c>
      <c r="D5387" t="s">
        <v>27245</v>
      </c>
      <c r="E5387" t="str">
        <f t="shared" si="84"/>
        <v>001390</v>
      </c>
      <c r="F5387" t="s">
        <v>27246</v>
      </c>
      <c r="G5387" t="s">
        <v>27247</v>
      </c>
      <c r="H5387" t="s">
        <v>27248</v>
      </c>
      <c r="I5387" t="s">
        <v>37674</v>
      </c>
      <c r="J5387" t="s">
        <v>10765</v>
      </c>
      <c r="L5387" t="s">
        <v>27250</v>
      </c>
      <c r="M5387" t="s">
        <v>27251</v>
      </c>
      <c r="N5387" t="s">
        <v>27252</v>
      </c>
      <c r="Q5387" s="1">
        <v>44538</v>
      </c>
      <c r="R5387" t="s">
        <v>27253</v>
      </c>
      <c r="S5387" t="s">
        <v>27254</v>
      </c>
      <c r="T5387" t="s">
        <v>27255</v>
      </c>
    </row>
    <row r="5388" spans="1:20" x14ac:dyDescent="0.3">
      <c r="A5388" t="str">
        <f>"0611834711100"</f>
        <v>0611834711100</v>
      </c>
      <c r="B5388" t="str">
        <f>"LK6063"</f>
        <v>LK6063</v>
      </c>
      <c r="C5388" t="s">
        <v>37675</v>
      </c>
      <c r="D5388" t="s">
        <v>27245</v>
      </c>
      <c r="E5388" t="str">
        <f t="shared" si="84"/>
        <v>001390</v>
      </c>
      <c r="F5388" t="s">
        <v>27246</v>
      </c>
      <c r="G5388" t="s">
        <v>27247</v>
      </c>
      <c r="H5388" t="s">
        <v>27248</v>
      </c>
      <c r="I5388" t="s">
        <v>37676</v>
      </c>
      <c r="J5388" t="s">
        <v>10767</v>
      </c>
      <c r="L5388" t="s">
        <v>27250</v>
      </c>
      <c r="M5388" t="s">
        <v>27251</v>
      </c>
      <c r="N5388" t="s">
        <v>27252</v>
      </c>
      <c r="Q5388" s="1">
        <v>44538</v>
      </c>
      <c r="R5388" t="s">
        <v>27253</v>
      </c>
      <c r="S5388" t="s">
        <v>27254</v>
      </c>
      <c r="T5388" t="s">
        <v>27255</v>
      </c>
    </row>
    <row r="5389" spans="1:20" x14ac:dyDescent="0.3">
      <c r="A5389" t="str">
        <f>"0611834712100"</f>
        <v>0611834712100</v>
      </c>
      <c r="B5389" t="str">
        <f>"LK6064"</f>
        <v>LK6064</v>
      </c>
      <c r="C5389" t="s">
        <v>37677</v>
      </c>
      <c r="D5389" t="s">
        <v>27245</v>
      </c>
      <c r="E5389" t="str">
        <f t="shared" si="84"/>
        <v>001390</v>
      </c>
      <c r="F5389" t="s">
        <v>27246</v>
      </c>
      <c r="G5389" t="s">
        <v>27247</v>
      </c>
      <c r="H5389" t="s">
        <v>27248</v>
      </c>
      <c r="I5389" t="s">
        <v>37678</v>
      </c>
      <c r="J5389" t="s">
        <v>10769</v>
      </c>
      <c r="L5389" t="s">
        <v>27250</v>
      </c>
      <c r="M5389" t="s">
        <v>27251</v>
      </c>
      <c r="N5389" t="s">
        <v>27252</v>
      </c>
      <c r="Q5389" s="1">
        <v>44538</v>
      </c>
      <c r="R5389" t="s">
        <v>27253</v>
      </c>
      <c r="S5389" t="s">
        <v>27254</v>
      </c>
      <c r="T5389" t="s">
        <v>27255</v>
      </c>
    </row>
    <row r="5390" spans="1:20" x14ac:dyDescent="0.3">
      <c r="A5390" t="str">
        <f>"0611834713100"</f>
        <v>0611834713100</v>
      </c>
      <c r="B5390" t="str">
        <f>"LK6065"</f>
        <v>LK6065</v>
      </c>
      <c r="C5390" t="s">
        <v>37679</v>
      </c>
      <c r="D5390" t="s">
        <v>27245</v>
      </c>
      <c r="E5390" t="str">
        <f t="shared" si="84"/>
        <v>001390</v>
      </c>
      <c r="F5390" t="s">
        <v>27246</v>
      </c>
      <c r="G5390" t="s">
        <v>27247</v>
      </c>
      <c r="H5390" t="s">
        <v>27248</v>
      </c>
      <c r="I5390" t="s">
        <v>37680</v>
      </c>
      <c r="J5390" t="s">
        <v>10771</v>
      </c>
      <c r="L5390" t="s">
        <v>27250</v>
      </c>
      <c r="M5390" t="s">
        <v>27251</v>
      </c>
      <c r="N5390" t="s">
        <v>27252</v>
      </c>
      <c r="Q5390" s="1">
        <v>44538</v>
      </c>
      <c r="R5390" t="s">
        <v>27253</v>
      </c>
      <c r="S5390" t="s">
        <v>27254</v>
      </c>
      <c r="T5390" t="s">
        <v>27255</v>
      </c>
    </row>
    <row r="5391" spans="1:20" x14ac:dyDescent="0.3">
      <c r="A5391" t="str">
        <f>"0611834714100"</f>
        <v>0611834714100</v>
      </c>
      <c r="B5391" t="str">
        <f>"LK5774"</f>
        <v>LK5774</v>
      </c>
      <c r="C5391" t="s">
        <v>37681</v>
      </c>
      <c r="D5391" t="s">
        <v>27245</v>
      </c>
      <c r="E5391" t="str">
        <f t="shared" si="84"/>
        <v>001390</v>
      </c>
      <c r="F5391" t="s">
        <v>27246</v>
      </c>
      <c r="G5391" t="s">
        <v>27247</v>
      </c>
      <c r="H5391" t="s">
        <v>27248</v>
      </c>
      <c r="I5391" t="s">
        <v>37682</v>
      </c>
      <c r="J5391" t="s">
        <v>10773</v>
      </c>
      <c r="L5391" t="s">
        <v>27250</v>
      </c>
      <c r="M5391" t="s">
        <v>27251</v>
      </c>
      <c r="N5391" t="s">
        <v>27252</v>
      </c>
      <c r="Q5391" s="1">
        <v>44538</v>
      </c>
      <c r="R5391" t="s">
        <v>27253</v>
      </c>
      <c r="S5391" t="s">
        <v>27254</v>
      </c>
      <c r="T5391" t="s">
        <v>27255</v>
      </c>
    </row>
    <row r="5392" spans="1:20" x14ac:dyDescent="0.3">
      <c r="A5392" t="str">
        <f>"0611834688100"</f>
        <v>0611834688100</v>
      </c>
      <c r="B5392" t="str">
        <f>"LK5565"</f>
        <v>LK5565</v>
      </c>
      <c r="C5392" t="s">
        <v>37683</v>
      </c>
      <c r="D5392" t="s">
        <v>27245</v>
      </c>
      <c r="E5392" t="str">
        <f t="shared" si="84"/>
        <v>001390</v>
      </c>
      <c r="F5392" t="s">
        <v>27246</v>
      </c>
      <c r="G5392" t="s">
        <v>27247</v>
      </c>
      <c r="H5392" t="s">
        <v>27248</v>
      </c>
      <c r="I5392" t="s">
        <v>37684</v>
      </c>
      <c r="J5392" t="s">
        <v>10775</v>
      </c>
      <c r="L5392" t="s">
        <v>27250</v>
      </c>
      <c r="M5392" t="s">
        <v>27251</v>
      </c>
      <c r="N5392" t="s">
        <v>27252</v>
      </c>
      <c r="Q5392" s="1">
        <v>44538</v>
      </c>
      <c r="R5392" t="s">
        <v>27253</v>
      </c>
      <c r="S5392" t="s">
        <v>27254</v>
      </c>
      <c r="T5392" t="s">
        <v>27255</v>
      </c>
    </row>
    <row r="5393" spans="1:20" x14ac:dyDescent="0.3">
      <c r="A5393" t="str">
        <f>"0611834689100"</f>
        <v>0611834689100</v>
      </c>
      <c r="B5393" t="str">
        <f>"LK5775"</f>
        <v>LK5775</v>
      </c>
      <c r="C5393" t="s">
        <v>37685</v>
      </c>
      <c r="D5393" t="s">
        <v>27245</v>
      </c>
      <c r="E5393" t="str">
        <f t="shared" si="84"/>
        <v>001390</v>
      </c>
      <c r="F5393" t="s">
        <v>27246</v>
      </c>
      <c r="G5393" t="s">
        <v>27247</v>
      </c>
      <c r="H5393" t="s">
        <v>27248</v>
      </c>
      <c r="I5393" t="s">
        <v>37686</v>
      </c>
      <c r="J5393" t="s">
        <v>10777</v>
      </c>
      <c r="L5393" t="s">
        <v>27250</v>
      </c>
      <c r="M5393" t="s">
        <v>27251</v>
      </c>
      <c r="N5393" t="s">
        <v>27252</v>
      </c>
      <c r="Q5393" s="1">
        <v>44538</v>
      </c>
      <c r="R5393" t="s">
        <v>27253</v>
      </c>
      <c r="S5393" t="s">
        <v>27254</v>
      </c>
      <c r="T5393" t="s">
        <v>27255</v>
      </c>
    </row>
    <row r="5394" spans="1:20" x14ac:dyDescent="0.3">
      <c r="A5394" t="str">
        <f>"0611834716100"</f>
        <v>0611834716100</v>
      </c>
      <c r="B5394" t="str">
        <f>"LK6066"</f>
        <v>LK6066</v>
      </c>
      <c r="C5394" t="s">
        <v>37687</v>
      </c>
      <c r="D5394" t="s">
        <v>27245</v>
      </c>
      <c r="E5394" t="str">
        <f t="shared" si="84"/>
        <v>001390</v>
      </c>
      <c r="F5394" t="s">
        <v>27246</v>
      </c>
      <c r="G5394" t="s">
        <v>27247</v>
      </c>
      <c r="H5394" t="s">
        <v>27248</v>
      </c>
      <c r="I5394" t="s">
        <v>37688</v>
      </c>
      <c r="J5394" t="s">
        <v>10779</v>
      </c>
      <c r="L5394" t="s">
        <v>27250</v>
      </c>
      <c r="M5394" t="s">
        <v>27251</v>
      </c>
      <c r="N5394" t="s">
        <v>27252</v>
      </c>
      <c r="Q5394" s="1">
        <v>44538</v>
      </c>
      <c r="R5394" t="s">
        <v>27253</v>
      </c>
      <c r="S5394" t="s">
        <v>27254</v>
      </c>
      <c r="T5394" t="s">
        <v>27255</v>
      </c>
    </row>
    <row r="5395" spans="1:20" x14ac:dyDescent="0.3">
      <c r="A5395" t="str">
        <f>"0611834690100"</f>
        <v>0611834690100</v>
      </c>
      <c r="B5395" t="str">
        <f>"LK6902"</f>
        <v>LK6902</v>
      </c>
      <c r="C5395" t="s">
        <v>37689</v>
      </c>
      <c r="D5395" t="s">
        <v>27245</v>
      </c>
      <c r="E5395" t="str">
        <f t="shared" si="84"/>
        <v>001390</v>
      </c>
      <c r="F5395" t="s">
        <v>27246</v>
      </c>
      <c r="G5395" t="s">
        <v>27247</v>
      </c>
      <c r="H5395" t="s">
        <v>27248</v>
      </c>
      <c r="I5395" t="s">
        <v>37690</v>
      </c>
      <c r="J5395" t="s">
        <v>10781</v>
      </c>
      <c r="L5395" t="s">
        <v>27250</v>
      </c>
      <c r="M5395" t="s">
        <v>27251</v>
      </c>
      <c r="N5395" t="s">
        <v>27252</v>
      </c>
      <c r="Q5395" s="1">
        <v>44538</v>
      </c>
      <c r="R5395" t="s">
        <v>27253</v>
      </c>
      <c r="S5395" t="s">
        <v>27254</v>
      </c>
      <c r="T5395" t="s">
        <v>27255</v>
      </c>
    </row>
    <row r="5396" spans="1:20" x14ac:dyDescent="0.3">
      <c r="A5396" t="str">
        <f>"0611834717100"</f>
        <v>0611834717100</v>
      </c>
      <c r="B5396" t="str">
        <f>"LK6644"</f>
        <v>LK6644</v>
      </c>
      <c r="C5396" t="s">
        <v>37691</v>
      </c>
      <c r="D5396" t="s">
        <v>27245</v>
      </c>
      <c r="E5396" t="str">
        <f t="shared" si="84"/>
        <v>001390</v>
      </c>
      <c r="F5396" t="s">
        <v>27246</v>
      </c>
      <c r="G5396" t="s">
        <v>27247</v>
      </c>
      <c r="H5396" t="s">
        <v>27248</v>
      </c>
      <c r="I5396" t="s">
        <v>37692</v>
      </c>
      <c r="J5396" t="s">
        <v>10783</v>
      </c>
      <c r="L5396" t="s">
        <v>27250</v>
      </c>
      <c r="M5396" t="s">
        <v>27251</v>
      </c>
      <c r="N5396" t="s">
        <v>27252</v>
      </c>
      <c r="Q5396" s="1">
        <v>44538</v>
      </c>
      <c r="R5396" t="s">
        <v>27253</v>
      </c>
      <c r="S5396" t="s">
        <v>27254</v>
      </c>
      <c r="T5396" t="s">
        <v>27255</v>
      </c>
    </row>
    <row r="5397" spans="1:20" x14ac:dyDescent="0.3">
      <c r="A5397" t="str">
        <f>"0611834692100"</f>
        <v>0611834692100</v>
      </c>
      <c r="B5397" t="str">
        <f>"LK5469"</f>
        <v>LK5469</v>
      </c>
      <c r="C5397" t="s">
        <v>37693</v>
      </c>
      <c r="D5397" t="s">
        <v>27245</v>
      </c>
      <c r="E5397" t="str">
        <f t="shared" si="84"/>
        <v>001390</v>
      </c>
      <c r="F5397" t="s">
        <v>27246</v>
      </c>
      <c r="G5397" t="s">
        <v>27247</v>
      </c>
      <c r="H5397" t="s">
        <v>27248</v>
      </c>
      <c r="I5397" t="s">
        <v>37694</v>
      </c>
      <c r="J5397" t="s">
        <v>10785</v>
      </c>
      <c r="L5397" t="s">
        <v>27250</v>
      </c>
      <c r="M5397" t="s">
        <v>27251</v>
      </c>
      <c r="N5397" t="s">
        <v>27252</v>
      </c>
      <c r="Q5397" s="1">
        <v>44538</v>
      </c>
      <c r="R5397" t="s">
        <v>27253</v>
      </c>
      <c r="S5397" t="s">
        <v>27254</v>
      </c>
      <c r="T5397" t="s">
        <v>27255</v>
      </c>
    </row>
    <row r="5398" spans="1:20" x14ac:dyDescent="0.3">
      <c r="A5398" t="str">
        <f>"0611834693100"</f>
        <v>0611834693100</v>
      </c>
      <c r="B5398" t="str">
        <f>"LK6645"</f>
        <v>LK6645</v>
      </c>
      <c r="C5398" t="s">
        <v>37695</v>
      </c>
      <c r="D5398" t="s">
        <v>27245</v>
      </c>
      <c r="E5398" t="str">
        <f t="shared" si="84"/>
        <v>001390</v>
      </c>
      <c r="F5398" t="s">
        <v>27246</v>
      </c>
      <c r="G5398" t="s">
        <v>27247</v>
      </c>
      <c r="H5398" t="s">
        <v>27248</v>
      </c>
      <c r="I5398" t="s">
        <v>37696</v>
      </c>
      <c r="J5398" t="s">
        <v>10739</v>
      </c>
      <c r="L5398" t="s">
        <v>27250</v>
      </c>
      <c r="M5398" t="s">
        <v>27251</v>
      </c>
      <c r="N5398" t="s">
        <v>27252</v>
      </c>
      <c r="Q5398" s="1">
        <v>44538</v>
      </c>
      <c r="R5398" t="s">
        <v>27253</v>
      </c>
      <c r="S5398" t="s">
        <v>27254</v>
      </c>
      <c r="T5398" t="s">
        <v>27255</v>
      </c>
    </row>
    <row r="5399" spans="1:20" x14ac:dyDescent="0.3">
      <c r="A5399" t="str">
        <f>"0611834697100"</f>
        <v>0611834697100</v>
      </c>
      <c r="B5399" t="str">
        <f>"LK6646"</f>
        <v>LK6646</v>
      </c>
      <c r="C5399" t="s">
        <v>37697</v>
      </c>
      <c r="D5399" t="s">
        <v>27245</v>
      </c>
      <c r="E5399" t="str">
        <f t="shared" si="84"/>
        <v>001390</v>
      </c>
      <c r="F5399" t="s">
        <v>27246</v>
      </c>
      <c r="G5399" t="s">
        <v>27247</v>
      </c>
      <c r="H5399" t="s">
        <v>27248</v>
      </c>
      <c r="I5399" t="s">
        <v>37698</v>
      </c>
      <c r="J5399" t="s">
        <v>10745</v>
      </c>
      <c r="L5399" t="s">
        <v>27250</v>
      </c>
      <c r="M5399" t="s">
        <v>27251</v>
      </c>
      <c r="N5399" t="s">
        <v>27252</v>
      </c>
      <c r="Q5399" s="1">
        <v>44538</v>
      </c>
      <c r="R5399" t="s">
        <v>27253</v>
      </c>
      <c r="S5399" t="s">
        <v>27254</v>
      </c>
      <c r="T5399" t="s">
        <v>27255</v>
      </c>
    </row>
    <row r="5400" spans="1:20" x14ac:dyDescent="0.3">
      <c r="A5400" t="str">
        <f>"0611834694100"</f>
        <v>0611834694100</v>
      </c>
      <c r="B5400" t="str">
        <f>"LK6240"</f>
        <v>LK6240</v>
      </c>
      <c r="C5400" t="s">
        <v>37699</v>
      </c>
      <c r="D5400" t="s">
        <v>27245</v>
      </c>
      <c r="E5400" t="str">
        <f t="shared" si="84"/>
        <v>001390</v>
      </c>
      <c r="F5400" t="s">
        <v>27246</v>
      </c>
      <c r="G5400" t="s">
        <v>27247</v>
      </c>
      <c r="H5400" t="s">
        <v>27248</v>
      </c>
      <c r="I5400" t="s">
        <v>37700</v>
      </c>
      <c r="J5400" t="s">
        <v>10741</v>
      </c>
      <c r="L5400" t="s">
        <v>27250</v>
      </c>
      <c r="M5400" t="s">
        <v>27251</v>
      </c>
      <c r="N5400" t="s">
        <v>27252</v>
      </c>
      <c r="Q5400" s="1">
        <v>44538</v>
      </c>
      <c r="R5400" t="s">
        <v>27253</v>
      </c>
      <c r="S5400" t="s">
        <v>27254</v>
      </c>
      <c r="T5400" t="s">
        <v>27255</v>
      </c>
    </row>
    <row r="5401" spans="1:20" x14ac:dyDescent="0.3">
      <c r="A5401" t="str">
        <f>"0611834718100"</f>
        <v>0611834718100</v>
      </c>
      <c r="B5401" t="str">
        <f>"LK2835"</f>
        <v>LK2835</v>
      </c>
      <c r="C5401" t="s">
        <v>37701</v>
      </c>
      <c r="D5401" t="s">
        <v>27245</v>
      </c>
      <c r="E5401" t="str">
        <f t="shared" si="84"/>
        <v>001390</v>
      </c>
      <c r="F5401" t="s">
        <v>27246</v>
      </c>
      <c r="G5401" t="s">
        <v>27247</v>
      </c>
      <c r="H5401" t="s">
        <v>27248</v>
      </c>
      <c r="I5401" t="s">
        <v>37702</v>
      </c>
      <c r="J5401" t="s">
        <v>10787</v>
      </c>
      <c r="L5401" t="s">
        <v>27250</v>
      </c>
      <c r="M5401" t="s">
        <v>27251</v>
      </c>
      <c r="N5401" t="s">
        <v>27252</v>
      </c>
      <c r="Q5401" s="1">
        <v>44538</v>
      </c>
      <c r="R5401" t="s">
        <v>27253</v>
      </c>
      <c r="S5401" t="s">
        <v>27254</v>
      </c>
      <c r="T5401" t="s">
        <v>27255</v>
      </c>
    </row>
    <row r="5402" spans="1:20" x14ac:dyDescent="0.3">
      <c r="A5402" t="str">
        <f>"0611834695100"</f>
        <v>0611834695100</v>
      </c>
      <c r="B5402" t="str">
        <f>"LK6067"</f>
        <v>LK6067</v>
      </c>
      <c r="C5402" t="s">
        <v>37703</v>
      </c>
      <c r="D5402" t="s">
        <v>27245</v>
      </c>
      <c r="E5402" t="str">
        <f t="shared" si="84"/>
        <v>001390</v>
      </c>
      <c r="F5402" t="s">
        <v>27246</v>
      </c>
      <c r="G5402" t="s">
        <v>27247</v>
      </c>
      <c r="H5402" t="s">
        <v>27248</v>
      </c>
      <c r="I5402" t="s">
        <v>37704</v>
      </c>
      <c r="J5402" t="s">
        <v>10743</v>
      </c>
      <c r="L5402" t="s">
        <v>27250</v>
      </c>
      <c r="M5402" t="s">
        <v>27251</v>
      </c>
      <c r="N5402" t="s">
        <v>27252</v>
      </c>
      <c r="Q5402" s="1">
        <v>44538</v>
      </c>
      <c r="R5402" t="s">
        <v>27253</v>
      </c>
      <c r="S5402" t="s">
        <v>27254</v>
      </c>
      <c r="T5402" t="s">
        <v>27255</v>
      </c>
    </row>
    <row r="5403" spans="1:20" x14ac:dyDescent="0.3">
      <c r="A5403" t="str">
        <f>"0611884239100"</f>
        <v>0611884239100</v>
      </c>
      <c r="B5403" t="str">
        <f>"LK7136"</f>
        <v>LK7136</v>
      </c>
      <c r="C5403" t="s">
        <v>37705</v>
      </c>
      <c r="D5403" t="s">
        <v>27245</v>
      </c>
      <c r="E5403" t="str">
        <f t="shared" si="84"/>
        <v>001390</v>
      </c>
      <c r="F5403" t="s">
        <v>27246</v>
      </c>
      <c r="G5403" t="s">
        <v>27247</v>
      </c>
      <c r="H5403" t="s">
        <v>27248</v>
      </c>
      <c r="I5403" t="s">
        <v>37706</v>
      </c>
      <c r="J5403" t="s">
        <v>10789</v>
      </c>
      <c r="L5403" t="s">
        <v>27430</v>
      </c>
      <c r="M5403" t="s">
        <v>27251</v>
      </c>
      <c r="N5403" t="s">
        <v>27252</v>
      </c>
      <c r="Q5403" s="1">
        <v>45250</v>
      </c>
      <c r="R5403" t="s">
        <v>27253</v>
      </c>
      <c r="S5403" t="s">
        <v>27254</v>
      </c>
      <c r="T5403" t="s">
        <v>27255</v>
      </c>
    </row>
    <row r="5404" spans="1:20" x14ac:dyDescent="0.3">
      <c r="A5404" t="str">
        <f>"0611834699100"</f>
        <v>0611834699100</v>
      </c>
      <c r="B5404" t="str">
        <f>"LK6068"</f>
        <v>LK6068</v>
      </c>
      <c r="C5404" t="s">
        <v>37707</v>
      </c>
      <c r="D5404" t="s">
        <v>27245</v>
      </c>
      <c r="E5404" t="str">
        <f t="shared" si="84"/>
        <v>001390</v>
      </c>
      <c r="F5404" t="s">
        <v>27246</v>
      </c>
      <c r="G5404" t="s">
        <v>27247</v>
      </c>
      <c r="H5404" t="s">
        <v>27248</v>
      </c>
      <c r="I5404" t="s">
        <v>37708</v>
      </c>
      <c r="J5404" t="s">
        <v>10749</v>
      </c>
      <c r="L5404" t="s">
        <v>27250</v>
      </c>
      <c r="M5404" t="s">
        <v>27251</v>
      </c>
      <c r="N5404" t="s">
        <v>27252</v>
      </c>
      <c r="Q5404" s="1">
        <v>44538</v>
      </c>
      <c r="R5404" t="s">
        <v>27253</v>
      </c>
      <c r="S5404" t="s">
        <v>27254</v>
      </c>
      <c r="T5404" t="s">
        <v>27255</v>
      </c>
    </row>
    <row r="5405" spans="1:20" x14ac:dyDescent="0.3">
      <c r="A5405" t="str">
        <f>"0611834719100"</f>
        <v>0611834719100</v>
      </c>
      <c r="B5405" t="str">
        <f>"LK3837"</f>
        <v>LK3837</v>
      </c>
      <c r="C5405" t="s">
        <v>37709</v>
      </c>
      <c r="D5405" t="s">
        <v>27245</v>
      </c>
      <c r="E5405" t="str">
        <f t="shared" si="84"/>
        <v>001390</v>
      </c>
      <c r="F5405" t="s">
        <v>27246</v>
      </c>
      <c r="G5405" t="s">
        <v>27247</v>
      </c>
      <c r="H5405" t="s">
        <v>27248</v>
      </c>
      <c r="I5405" t="s">
        <v>37710</v>
      </c>
      <c r="J5405" t="s">
        <v>10791</v>
      </c>
      <c r="L5405" t="s">
        <v>27250</v>
      </c>
      <c r="M5405" t="s">
        <v>27251</v>
      </c>
      <c r="N5405" t="s">
        <v>27252</v>
      </c>
      <c r="Q5405" s="1">
        <v>44538</v>
      </c>
      <c r="R5405" t="s">
        <v>27253</v>
      </c>
      <c r="S5405" t="s">
        <v>27254</v>
      </c>
      <c r="T5405" t="s">
        <v>27255</v>
      </c>
    </row>
    <row r="5406" spans="1:20" x14ac:dyDescent="0.3">
      <c r="A5406" t="str">
        <f>"0611834700100"</f>
        <v>0611834700100</v>
      </c>
      <c r="B5406" t="str">
        <f>"LK5778"</f>
        <v>LK5778</v>
      </c>
      <c r="C5406" t="s">
        <v>37711</v>
      </c>
      <c r="D5406" t="s">
        <v>27245</v>
      </c>
      <c r="E5406" t="str">
        <f t="shared" si="84"/>
        <v>001390</v>
      </c>
      <c r="F5406" t="s">
        <v>27246</v>
      </c>
      <c r="G5406" t="s">
        <v>27247</v>
      </c>
      <c r="H5406" t="s">
        <v>27248</v>
      </c>
      <c r="I5406" t="s">
        <v>37712</v>
      </c>
      <c r="J5406" t="s">
        <v>10747</v>
      </c>
      <c r="L5406" t="s">
        <v>27250</v>
      </c>
      <c r="M5406" t="s">
        <v>27251</v>
      </c>
      <c r="N5406" t="s">
        <v>27252</v>
      </c>
      <c r="Q5406" s="1">
        <v>44538</v>
      </c>
      <c r="R5406" t="s">
        <v>27253</v>
      </c>
      <c r="S5406" t="s">
        <v>27254</v>
      </c>
      <c r="T5406" t="s">
        <v>27255</v>
      </c>
    </row>
    <row r="5407" spans="1:20" x14ac:dyDescent="0.3">
      <c r="A5407" t="str">
        <f>"0611834701100"</f>
        <v>0611834701100</v>
      </c>
      <c r="B5407" t="str">
        <f>"LK4655"</f>
        <v>LK4655</v>
      </c>
      <c r="C5407" t="s">
        <v>37713</v>
      </c>
      <c r="D5407" t="s">
        <v>27245</v>
      </c>
      <c r="E5407" t="str">
        <f t="shared" si="84"/>
        <v>001390</v>
      </c>
      <c r="F5407" t="s">
        <v>27246</v>
      </c>
      <c r="G5407" t="s">
        <v>27247</v>
      </c>
      <c r="H5407" t="s">
        <v>27248</v>
      </c>
      <c r="I5407" t="s">
        <v>37714</v>
      </c>
      <c r="J5407" t="s">
        <v>10751</v>
      </c>
      <c r="L5407" t="s">
        <v>27250</v>
      </c>
      <c r="M5407" t="s">
        <v>27251</v>
      </c>
      <c r="N5407" t="s">
        <v>27252</v>
      </c>
      <c r="Q5407" s="1">
        <v>44538</v>
      </c>
      <c r="R5407" t="s">
        <v>27253</v>
      </c>
      <c r="S5407" t="s">
        <v>27254</v>
      </c>
      <c r="T5407" t="s">
        <v>27255</v>
      </c>
    </row>
    <row r="5408" spans="1:20" x14ac:dyDescent="0.3">
      <c r="A5408" t="str">
        <f>"0611834702100"</f>
        <v>0611834702100</v>
      </c>
      <c r="B5408" t="str">
        <f>"LK6069"</f>
        <v>LK6069</v>
      </c>
      <c r="C5408" t="s">
        <v>37715</v>
      </c>
      <c r="D5408" t="s">
        <v>27245</v>
      </c>
      <c r="E5408" t="str">
        <f t="shared" si="84"/>
        <v>001390</v>
      </c>
      <c r="F5408" t="s">
        <v>27246</v>
      </c>
      <c r="G5408" t="s">
        <v>27247</v>
      </c>
      <c r="H5408" t="s">
        <v>27248</v>
      </c>
      <c r="I5408" t="s">
        <v>37716</v>
      </c>
      <c r="J5408" t="s">
        <v>10753</v>
      </c>
      <c r="L5408" t="s">
        <v>27250</v>
      </c>
      <c r="M5408" t="s">
        <v>27251</v>
      </c>
      <c r="N5408" t="s">
        <v>27252</v>
      </c>
      <c r="Q5408" s="1">
        <v>44538</v>
      </c>
      <c r="R5408" t="s">
        <v>27253</v>
      </c>
      <c r="S5408" t="s">
        <v>27254</v>
      </c>
      <c r="T5408" t="s">
        <v>27255</v>
      </c>
    </row>
    <row r="5409" spans="1:20" x14ac:dyDescent="0.3">
      <c r="A5409" t="str">
        <f>"0611834703100"</f>
        <v>0611834703100</v>
      </c>
      <c r="B5409" t="str">
        <f>"LK6070"</f>
        <v>LK6070</v>
      </c>
      <c r="C5409" t="s">
        <v>37717</v>
      </c>
      <c r="D5409" t="s">
        <v>27245</v>
      </c>
      <c r="E5409" t="str">
        <f t="shared" si="84"/>
        <v>001390</v>
      </c>
      <c r="F5409" t="s">
        <v>27246</v>
      </c>
      <c r="G5409" t="s">
        <v>27247</v>
      </c>
      <c r="H5409" t="s">
        <v>27248</v>
      </c>
      <c r="I5409" t="s">
        <v>37718</v>
      </c>
      <c r="J5409" t="s">
        <v>10755</v>
      </c>
      <c r="L5409" t="s">
        <v>27250</v>
      </c>
      <c r="M5409" t="s">
        <v>27251</v>
      </c>
      <c r="N5409" t="s">
        <v>27252</v>
      </c>
      <c r="Q5409" s="1">
        <v>44538</v>
      </c>
      <c r="R5409" t="s">
        <v>27253</v>
      </c>
      <c r="S5409" t="s">
        <v>27254</v>
      </c>
      <c r="T5409" t="s">
        <v>27255</v>
      </c>
    </row>
    <row r="5410" spans="1:20" x14ac:dyDescent="0.3">
      <c r="A5410" t="str">
        <f>"0611834720100"</f>
        <v>0611834720100</v>
      </c>
      <c r="B5410" t="str">
        <f>"LK0181"</f>
        <v>LK0181</v>
      </c>
      <c r="C5410" t="s">
        <v>37719</v>
      </c>
      <c r="D5410" t="s">
        <v>27245</v>
      </c>
      <c r="E5410" t="str">
        <f t="shared" si="84"/>
        <v>001390</v>
      </c>
      <c r="F5410" t="s">
        <v>27246</v>
      </c>
      <c r="G5410" t="s">
        <v>27247</v>
      </c>
      <c r="H5410" t="s">
        <v>27248</v>
      </c>
      <c r="I5410" t="s">
        <v>37720</v>
      </c>
      <c r="J5410" t="s">
        <v>10793</v>
      </c>
      <c r="L5410" t="s">
        <v>27250</v>
      </c>
      <c r="M5410" t="s">
        <v>27251</v>
      </c>
      <c r="N5410" t="s">
        <v>27252</v>
      </c>
      <c r="Q5410" s="1">
        <v>44538</v>
      </c>
      <c r="R5410" t="s">
        <v>27253</v>
      </c>
      <c r="S5410" t="s">
        <v>27254</v>
      </c>
      <c r="T5410" t="s">
        <v>27255</v>
      </c>
    </row>
    <row r="5411" spans="1:20" x14ac:dyDescent="0.3">
      <c r="A5411" t="str">
        <f>"0611834721100"</f>
        <v>0611834721100</v>
      </c>
      <c r="B5411" t="str">
        <f>"LK5568"</f>
        <v>LK5568</v>
      </c>
      <c r="C5411" t="s">
        <v>37721</v>
      </c>
      <c r="D5411" t="s">
        <v>27245</v>
      </c>
      <c r="E5411" t="str">
        <f t="shared" si="84"/>
        <v>001390</v>
      </c>
      <c r="F5411" t="s">
        <v>27246</v>
      </c>
      <c r="G5411" t="s">
        <v>27247</v>
      </c>
      <c r="H5411" t="s">
        <v>27248</v>
      </c>
      <c r="I5411" t="s">
        <v>37722</v>
      </c>
      <c r="J5411" t="s">
        <v>10797</v>
      </c>
      <c r="L5411" t="s">
        <v>27250</v>
      </c>
      <c r="M5411" t="s">
        <v>27251</v>
      </c>
      <c r="N5411" t="s">
        <v>27252</v>
      </c>
      <c r="Q5411" s="1">
        <v>44538</v>
      </c>
      <c r="R5411" t="s">
        <v>27253</v>
      </c>
      <c r="S5411" t="s">
        <v>27254</v>
      </c>
      <c r="T5411" t="s">
        <v>27255</v>
      </c>
    </row>
    <row r="5412" spans="1:20" x14ac:dyDescent="0.3">
      <c r="A5412" t="str">
        <f>"0611884240100"</f>
        <v>0611884240100</v>
      </c>
      <c r="B5412" t="str">
        <f>"LK7135"</f>
        <v>LK7135</v>
      </c>
      <c r="C5412" t="s">
        <v>37723</v>
      </c>
      <c r="D5412" t="s">
        <v>27245</v>
      </c>
      <c r="E5412" t="str">
        <f t="shared" si="84"/>
        <v>001390</v>
      </c>
      <c r="F5412" t="s">
        <v>27246</v>
      </c>
      <c r="G5412" t="s">
        <v>27247</v>
      </c>
      <c r="H5412" t="s">
        <v>27248</v>
      </c>
      <c r="I5412" t="s">
        <v>37724</v>
      </c>
      <c r="J5412" t="s">
        <v>10795</v>
      </c>
      <c r="L5412" t="s">
        <v>27430</v>
      </c>
      <c r="M5412" t="s">
        <v>27251</v>
      </c>
      <c r="N5412" t="s">
        <v>27252</v>
      </c>
      <c r="Q5412" s="1">
        <v>45250</v>
      </c>
      <c r="R5412" t="s">
        <v>27253</v>
      </c>
      <c r="S5412" t="s">
        <v>27254</v>
      </c>
      <c r="T5412" t="s">
        <v>27255</v>
      </c>
    </row>
    <row r="5413" spans="1:20" x14ac:dyDescent="0.3">
      <c r="A5413" t="str">
        <f>"0611834706100"</f>
        <v>0611834706100</v>
      </c>
      <c r="B5413" t="str">
        <f>"LK0731"</f>
        <v>LK0731</v>
      </c>
      <c r="C5413" t="s">
        <v>37725</v>
      </c>
      <c r="D5413" t="s">
        <v>27245</v>
      </c>
      <c r="E5413" t="str">
        <f t="shared" si="84"/>
        <v>001390</v>
      </c>
      <c r="F5413" t="s">
        <v>27246</v>
      </c>
      <c r="G5413" t="s">
        <v>27247</v>
      </c>
      <c r="H5413" t="s">
        <v>27248</v>
      </c>
      <c r="I5413" t="s">
        <v>37726</v>
      </c>
      <c r="J5413" t="s">
        <v>10799</v>
      </c>
      <c r="L5413" t="s">
        <v>27250</v>
      </c>
      <c r="M5413" t="s">
        <v>27251</v>
      </c>
      <c r="N5413" t="s">
        <v>27252</v>
      </c>
      <c r="Q5413" s="1">
        <v>44538</v>
      </c>
      <c r="R5413" t="s">
        <v>27253</v>
      </c>
      <c r="S5413" t="s">
        <v>27254</v>
      </c>
      <c r="T5413" t="s">
        <v>27255</v>
      </c>
    </row>
    <row r="5414" spans="1:20" x14ac:dyDescent="0.3">
      <c r="A5414" t="str">
        <f>"0611834707100"</f>
        <v>0611834707100</v>
      </c>
      <c r="B5414" t="str">
        <f>"LK0733"</f>
        <v>LK0733</v>
      </c>
      <c r="C5414" t="s">
        <v>37727</v>
      </c>
      <c r="D5414" t="s">
        <v>27245</v>
      </c>
      <c r="E5414" t="str">
        <f t="shared" si="84"/>
        <v>001390</v>
      </c>
      <c r="F5414" t="s">
        <v>27246</v>
      </c>
      <c r="G5414" t="s">
        <v>27247</v>
      </c>
      <c r="H5414" t="s">
        <v>27248</v>
      </c>
      <c r="I5414" t="s">
        <v>37728</v>
      </c>
      <c r="J5414" t="s">
        <v>10801</v>
      </c>
      <c r="L5414" t="s">
        <v>27250</v>
      </c>
      <c r="M5414" t="s">
        <v>27251</v>
      </c>
      <c r="N5414" t="s">
        <v>27252</v>
      </c>
      <c r="Q5414" s="1">
        <v>44538</v>
      </c>
      <c r="R5414" t="s">
        <v>27253</v>
      </c>
      <c r="S5414" t="s">
        <v>27254</v>
      </c>
      <c r="T5414" t="s">
        <v>27255</v>
      </c>
    </row>
    <row r="5415" spans="1:20" x14ac:dyDescent="0.3">
      <c r="A5415" t="str">
        <f>"0611834723100"</f>
        <v>0611834723100</v>
      </c>
      <c r="B5415" t="str">
        <f>"LK5779"</f>
        <v>LK5779</v>
      </c>
      <c r="C5415" t="s">
        <v>37729</v>
      </c>
      <c r="D5415" t="s">
        <v>27245</v>
      </c>
      <c r="E5415" t="str">
        <f t="shared" si="84"/>
        <v>001390</v>
      </c>
      <c r="F5415" t="s">
        <v>27246</v>
      </c>
      <c r="G5415" t="s">
        <v>27247</v>
      </c>
      <c r="H5415" t="s">
        <v>27248</v>
      </c>
      <c r="I5415" t="s">
        <v>37730</v>
      </c>
      <c r="J5415" t="s">
        <v>10803</v>
      </c>
      <c r="L5415" t="s">
        <v>27250</v>
      </c>
      <c r="M5415" t="s">
        <v>27251</v>
      </c>
      <c r="N5415" t="s">
        <v>27252</v>
      </c>
      <c r="Q5415" s="1">
        <v>44538</v>
      </c>
      <c r="R5415" t="s">
        <v>27253</v>
      </c>
      <c r="S5415" t="s">
        <v>27254</v>
      </c>
      <c r="T5415" t="s">
        <v>27255</v>
      </c>
    </row>
    <row r="5416" spans="1:20" x14ac:dyDescent="0.3">
      <c r="A5416" t="str">
        <f>"0611834708100"</f>
        <v>0611834708100</v>
      </c>
      <c r="B5416" t="str">
        <f>"LK1579"</f>
        <v>LK1579</v>
      </c>
      <c r="C5416" t="s">
        <v>37731</v>
      </c>
      <c r="D5416" t="s">
        <v>27245</v>
      </c>
      <c r="E5416" t="str">
        <f t="shared" si="84"/>
        <v>001390</v>
      </c>
      <c r="F5416" t="s">
        <v>27246</v>
      </c>
      <c r="G5416" t="s">
        <v>27247</v>
      </c>
      <c r="H5416" t="s">
        <v>27248</v>
      </c>
      <c r="I5416" t="s">
        <v>37732</v>
      </c>
      <c r="J5416" t="s">
        <v>10807</v>
      </c>
      <c r="L5416" t="s">
        <v>27250</v>
      </c>
      <c r="M5416" t="s">
        <v>27251</v>
      </c>
      <c r="N5416" t="s">
        <v>27252</v>
      </c>
      <c r="Q5416" s="1">
        <v>44538</v>
      </c>
      <c r="R5416" t="s">
        <v>27253</v>
      </c>
      <c r="S5416" t="s">
        <v>27254</v>
      </c>
      <c r="T5416" t="s">
        <v>27255</v>
      </c>
    </row>
    <row r="5417" spans="1:20" x14ac:dyDescent="0.3">
      <c r="A5417" t="str">
        <f>"0611834725100"</f>
        <v>0611834725100</v>
      </c>
      <c r="B5417" t="str">
        <f>"LK6071"</f>
        <v>LK6071</v>
      </c>
      <c r="C5417" t="s">
        <v>37733</v>
      </c>
      <c r="D5417" t="s">
        <v>27245</v>
      </c>
      <c r="E5417" t="str">
        <f t="shared" si="84"/>
        <v>001390</v>
      </c>
      <c r="F5417" t="s">
        <v>27246</v>
      </c>
      <c r="G5417" t="s">
        <v>27247</v>
      </c>
      <c r="H5417" t="s">
        <v>27248</v>
      </c>
      <c r="I5417" t="s">
        <v>37734</v>
      </c>
      <c r="J5417" t="s">
        <v>10809</v>
      </c>
      <c r="L5417" t="s">
        <v>27250</v>
      </c>
      <c r="M5417" t="s">
        <v>27251</v>
      </c>
      <c r="N5417" t="s">
        <v>27252</v>
      </c>
      <c r="Q5417" s="1">
        <v>44538</v>
      </c>
      <c r="R5417" t="s">
        <v>27253</v>
      </c>
      <c r="S5417" t="s">
        <v>27254</v>
      </c>
      <c r="T5417" t="s">
        <v>27255</v>
      </c>
    </row>
    <row r="5418" spans="1:20" x14ac:dyDescent="0.3">
      <c r="A5418" t="str">
        <f>"0611834709100"</f>
        <v>0611834709100</v>
      </c>
      <c r="B5418" t="str">
        <f>"LK6241"</f>
        <v>LK6241</v>
      </c>
      <c r="C5418" t="s">
        <v>37735</v>
      </c>
      <c r="D5418" t="s">
        <v>27245</v>
      </c>
      <c r="E5418" t="str">
        <f t="shared" si="84"/>
        <v>001390</v>
      </c>
      <c r="F5418" t="s">
        <v>27246</v>
      </c>
      <c r="G5418" t="s">
        <v>27247</v>
      </c>
      <c r="H5418" t="s">
        <v>27248</v>
      </c>
      <c r="I5418" t="s">
        <v>37736</v>
      </c>
      <c r="J5418" t="s">
        <v>10805</v>
      </c>
      <c r="L5418" t="s">
        <v>27250</v>
      </c>
      <c r="M5418" t="s">
        <v>27251</v>
      </c>
      <c r="N5418" t="s">
        <v>27252</v>
      </c>
      <c r="Q5418" s="1">
        <v>44538</v>
      </c>
      <c r="R5418" t="s">
        <v>27253</v>
      </c>
      <c r="S5418" t="s">
        <v>27254</v>
      </c>
      <c r="T5418" t="s">
        <v>27255</v>
      </c>
    </row>
    <row r="5419" spans="1:20" x14ac:dyDescent="0.3">
      <c r="A5419" t="str">
        <f>"0611834728100"</f>
        <v>0611834728100</v>
      </c>
      <c r="B5419" t="str">
        <f>"LK4656"</f>
        <v>LK4656</v>
      </c>
      <c r="C5419" t="s">
        <v>37737</v>
      </c>
      <c r="D5419" t="s">
        <v>27245</v>
      </c>
      <c r="E5419" t="str">
        <f t="shared" si="84"/>
        <v>001390</v>
      </c>
      <c r="F5419" t="s">
        <v>27246</v>
      </c>
      <c r="G5419" t="s">
        <v>27247</v>
      </c>
      <c r="H5419" t="s">
        <v>27248</v>
      </c>
      <c r="I5419" t="s">
        <v>37738</v>
      </c>
      <c r="J5419" t="s">
        <v>10811</v>
      </c>
      <c r="L5419" t="s">
        <v>27250</v>
      </c>
      <c r="M5419" t="s">
        <v>27251</v>
      </c>
      <c r="N5419" t="s">
        <v>27252</v>
      </c>
      <c r="Q5419" s="1">
        <v>44538</v>
      </c>
      <c r="R5419" t="s">
        <v>27253</v>
      </c>
      <c r="S5419" t="s">
        <v>27254</v>
      </c>
      <c r="T5419" t="s">
        <v>27255</v>
      </c>
    </row>
    <row r="5420" spans="1:20" x14ac:dyDescent="0.3">
      <c r="A5420" t="str">
        <f>"0611834727100"</f>
        <v>0611834727100</v>
      </c>
      <c r="B5420" t="str">
        <f>"LK5569"</f>
        <v>LK5569</v>
      </c>
      <c r="C5420" t="s">
        <v>37739</v>
      </c>
      <c r="D5420" t="s">
        <v>27245</v>
      </c>
      <c r="E5420" t="str">
        <f t="shared" si="84"/>
        <v>001390</v>
      </c>
      <c r="F5420" t="s">
        <v>27246</v>
      </c>
      <c r="G5420" t="s">
        <v>27247</v>
      </c>
      <c r="H5420" t="s">
        <v>27248</v>
      </c>
      <c r="I5420" t="s">
        <v>37740</v>
      </c>
      <c r="J5420" t="s">
        <v>10813</v>
      </c>
      <c r="L5420" t="s">
        <v>27250</v>
      </c>
      <c r="M5420" t="s">
        <v>27251</v>
      </c>
      <c r="N5420" t="s">
        <v>27252</v>
      </c>
      <c r="Q5420" s="1">
        <v>44538</v>
      </c>
      <c r="R5420" t="s">
        <v>27253</v>
      </c>
      <c r="S5420" t="s">
        <v>27254</v>
      </c>
      <c r="T5420" t="s">
        <v>27255</v>
      </c>
    </row>
    <row r="5421" spans="1:20" x14ac:dyDescent="0.3">
      <c r="A5421" t="str">
        <f>"0611834710100"</f>
        <v>0611834710100</v>
      </c>
      <c r="B5421" t="str">
        <f>"LK0736"</f>
        <v>LK0736</v>
      </c>
      <c r="C5421" t="s">
        <v>37741</v>
      </c>
      <c r="D5421" t="s">
        <v>27245</v>
      </c>
      <c r="E5421" t="str">
        <f t="shared" si="84"/>
        <v>001390</v>
      </c>
      <c r="F5421" t="s">
        <v>27246</v>
      </c>
      <c r="G5421" t="s">
        <v>27247</v>
      </c>
      <c r="H5421" t="s">
        <v>27248</v>
      </c>
      <c r="I5421" t="s">
        <v>37742</v>
      </c>
      <c r="J5421" t="s">
        <v>10815</v>
      </c>
      <c r="L5421" t="s">
        <v>27250</v>
      </c>
      <c r="M5421" t="s">
        <v>27251</v>
      </c>
      <c r="N5421" t="s">
        <v>27252</v>
      </c>
      <c r="Q5421" s="1">
        <v>44538</v>
      </c>
      <c r="R5421" t="s">
        <v>27253</v>
      </c>
      <c r="S5421" t="s">
        <v>27254</v>
      </c>
      <c r="T5421" t="s">
        <v>27255</v>
      </c>
    </row>
    <row r="5422" spans="1:20" x14ac:dyDescent="0.3">
      <c r="A5422" t="str">
        <f>"0611834729100"</f>
        <v>0611834729100</v>
      </c>
      <c r="B5422" t="str">
        <f>"LK4184"</f>
        <v>LK4184</v>
      </c>
      <c r="C5422" t="s">
        <v>37743</v>
      </c>
      <c r="D5422" t="s">
        <v>27245</v>
      </c>
      <c r="E5422" t="str">
        <f t="shared" si="84"/>
        <v>001390</v>
      </c>
      <c r="F5422" t="s">
        <v>27246</v>
      </c>
      <c r="G5422" t="s">
        <v>27247</v>
      </c>
      <c r="H5422" t="s">
        <v>27248</v>
      </c>
      <c r="I5422" t="s">
        <v>37744</v>
      </c>
      <c r="J5422" t="s">
        <v>10817</v>
      </c>
      <c r="L5422" t="s">
        <v>27250</v>
      </c>
      <c r="M5422" t="s">
        <v>27251</v>
      </c>
      <c r="N5422" t="s">
        <v>27252</v>
      </c>
      <c r="Q5422" s="1">
        <v>44538</v>
      </c>
      <c r="R5422" t="s">
        <v>27253</v>
      </c>
      <c r="S5422" t="s">
        <v>27254</v>
      </c>
      <c r="T5422" t="s">
        <v>27255</v>
      </c>
    </row>
    <row r="5423" spans="1:20" x14ac:dyDescent="0.3">
      <c r="A5423" t="str">
        <f>"0611834730100"</f>
        <v>0611834730100</v>
      </c>
      <c r="B5423" t="str">
        <f>"LK2635"</f>
        <v>LK2635</v>
      </c>
      <c r="C5423" t="s">
        <v>37745</v>
      </c>
      <c r="D5423" t="s">
        <v>27245</v>
      </c>
      <c r="E5423" t="str">
        <f t="shared" si="84"/>
        <v>001390</v>
      </c>
      <c r="F5423" t="s">
        <v>27246</v>
      </c>
      <c r="G5423" t="s">
        <v>27247</v>
      </c>
      <c r="H5423" t="s">
        <v>27248</v>
      </c>
      <c r="I5423" t="s">
        <v>37746</v>
      </c>
      <c r="J5423" t="s">
        <v>10819</v>
      </c>
      <c r="L5423" t="s">
        <v>27250</v>
      </c>
      <c r="M5423" t="s">
        <v>27251</v>
      </c>
      <c r="N5423" t="s">
        <v>27252</v>
      </c>
      <c r="Q5423" s="1">
        <v>44538</v>
      </c>
      <c r="R5423" t="s">
        <v>27253</v>
      </c>
      <c r="S5423" t="s">
        <v>27254</v>
      </c>
      <c r="T5423" t="s">
        <v>27255</v>
      </c>
    </row>
    <row r="5424" spans="1:20" x14ac:dyDescent="0.3">
      <c r="A5424" t="str">
        <f>"0611834731100"</f>
        <v>0611834731100</v>
      </c>
      <c r="B5424" t="str">
        <f>"LK2636"</f>
        <v>LK2636</v>
      </c>
      <c r="C5424" t="s">
        <v>37747</v>
      </c>
      <c r="D5424" t="s">
        <v>27245</v>
      </c>
      <c r="E5424" t="str">
        <f t="shared" si="84"/>
        <v>001390</v>
      </c>
      <c r="F5424" t="s">
        <v>27246</v>
      </c>
      <c r="G5424" t="s">
        <v>27247</v>
      </c>
      <c r="H5424" t="s">
        <v>27248</v>
      </c>
      <c r="I5424" t="s">
        <v>37748</v>
      </c>
      <c r="J5424" t="s">
        <v>10821</v>
      </c>
      <c r="L5424" t="s">
        <v>27250</v>
      </c>
      <c r="M5424" t="s">
        <v>27251</v>
      </c>
      <c r="N5424" t="s">
        <v>27252</v>
      </c>
      <c r="Q5424" s="1">
        <v>44538</v>
      </c>
      <c r="R5424" t="s">
        <v>27253</v>
      </c>
      <c r="S5424" t="s">
        <v>27254</v>
      </c>
      <c r="T5424" t="s">
        <v>27255</v>
      </c>
    </row>
    <row r="5425" spans="1:20" x14ac:dyDescent="0.3">
      <c r="A5425" t="str">
        <f>"0611834732100"</f>
        <v>0611834732100</v>
      </c>
      <c r="B5425" t="str">
        <f>"LK2638"</f>
        <v>LK2638</v>
      </c>
      <c r="C5425" t="s">
        <v>37749</v>
      </c>
      <c r="D5425" t="s">
        <v>27245</v>
      </c>
      <c r="E5425" t="str">
        <f t="shared" si="84"/>
        <v>001390</v>
      </c>
      <c r="F5425" t="s">
        <v>27246</v>
      </c>
      <c r="G5425" t="s">
        <v>27247</v>
      </c>
      <c r="H5425" t="s">
        <v>27248</v>
      </c>
      <c r="I5425" t="s">
        <v>37750</v>
      </c>
      <c r="J5425" t="s">
        <v>10823</v>
      </c>
      <c r="L5425" t="s">
        <v>27250</v>
      </c>
      <c r="M5425" t="s">
        <v>27251</v>
      </c>
      <c r="N5425" t="s">
        <v>27252</v>
      </c>
      <c r="Q5425" s="1">
        <v>44538</v>
      </c>
      <c r="R5425" t="s">
        <v>27253</v>
      </c>
      <c r="S5425" t="s">
        <v>27254</v>
      </c>
      <c r="T5425" t="s">
        <v>27255</v>
      </c>
    </row>
    <row r="5426" spans="1:20" x14ac:dyDescent="0.3">
      <c r="A5426" t="str">
        <f>"0611834733100"</f>
        <v>0611834733100</v>
      </c>
      <c r="B5426" t="str">
        <f>"LK2640"</f>
        <v>LK2640</v>
      </c>
      <c r="C5426" t="s">
        <v>37751</v>
      </c>
      <c r="D5426" t="s">
        <v>27245</v>
      </c>
      <c r="E5426" t="str">
        <f t="shared" si="84"/>
        <v>001390</v>
      </c>
      <c r="F5426" t="s">
        <v>27246</v>
      </c>
      <c r="G5426" t="s">
        <v>27247</v>
      </c>
      <c r="H5426" t="s">
        <v>27248</v>
      </c>
      <c r="I5426" t="s">
        <v>37752</v>
      </c>
      <c r="J5426" t="s">
        <v>10825</v>
      </c>
      <c r="L5426" t="s">
        <v>27250</v>
      </c>
      <c r="M5426" t="s">
        <v>27251</v>
      </c>
      <c r="N5426" t="s">
        <v>27252</v>
      </c>
      <c r="O5426">
        <v>100</v>
      </c>
      <c r="Q5426" s="1">
        <v>44538</v>
      </c>
      <c r="R5426" t="s">
        <v>27253</v>
      </c>
      <c r="S5426" t="s">
        <v>27254</v>
      </c>
      <c r="T5426" t="s">
        <v>27255</v>
      </c>
    </row>
    <row r="5427" spans="1:20" x14ac:dyDescent="0.3">
      <c r="A5427" t="str">
        <f>"0611834734100"</f>
        <v>0611834734100</v>
      </c>
      <c r="B5427" t="str">
        <f>"LK2642"</f>
        <v>LK2642</v>
      </c>
      <c r="C5427" t="s">
        <v>37753</v>
      </c>
      <c r="D5427" t="s">
        <v>27245</v>
      </c>
      <c r="E5427" t="str">
        <f t="shared" si="84"/>
        <v>001390</v>
      </c>
      <c r="F5427" t="s">
        <v>27246</v>
      </c>
      <c r="G5427" t="s">
        <v>27247</v>
      </c>
      <c r="H5427" t="s">
        <v>27248</v>
      </c>
      <c r="I5427" t="s">
        <v>37754</v>
      </c>
      <c r="J5427" t="s">
        <v>10827</v>
      </c>
      <c r="L5427" t="s">
        <v>27250</v>
      </c>
      <c r="M5427" t="s">
        <v>27251</v>
      </c>
      <c r="N5427" t="s">
        <v>27252</v>
      </c>
      <c r="Q5427" s="1">
        <v>44538</v>
      </c>
      <c r="R5427" t="s">
        <v>27253</v>
      </c>
      <c r="S5427" t="s">
        <v>27254</v>
      </c>
      <c r="T5427" t="s">
        <v>27255</v>
      </c>
    </row>
    <row r="5428" spans="1:20" x14ac:dyDescent="0.3">
      <c r="A5428" t="str">
        <f>"0611834735100"</f>
        <v>0611834735100</v>
      </c>
      <c r="B5428" t="str">
        <f>"LK6072"</f>
        <v>LK6072</v>
      </c>
      <c r="C5428" t="s">
        <v>37755</v>
      </c>
      <c r="D5428" t="s">
        <v>27245</v>
      </c>
      <c r="E5428" t="str">
        <f t="shared" si="84"/>
        <v>001390</v>
      </c>
      <c r="F5428" t="s">
        <v>27246</v>
      </c>
      <c r="G5428" t="s">
        <v>27247</v>
      </c>
      <c r="H5428" t="s">
        <v>27248</v>
      </c>
      <c r="I5428" t="s">
        <v>37756</v>
      </c>
      <c r="J5428" t="s">
        <v>10829</v>
      </c>
      <c r="L5428" t="s">
        <v>27250</v>
      </c>
      <c r="M5428" t="s">
        <v>27251</v>
      </c>
      <c r="N5428" t="s">
        <v>27252</v>
      </c>
      <c r="Q5428" s="1">
        <v>44538</v>
      </c>
      <c r="R5428" t="s">
        <v>27253</v>
      </c>
      <c r="S5428" t="s">
        <v>27254</v>
      </c>
      <c r="T5428" t="s">
        <v>27255</v>
      </c>
    </row>
    <row r="5429" spans="1:20" x14ac:dyDescent="0.3">
      <c r="A5429" t="str">
        <f>"0611834736100"</f>
        <v>0611834736100</v>
      </c>
      <c r="B5429" t="str">
        <f>"LK2643"</f>
        <v>LK2643</v>
      </c>
      <c r="C5429" t="s">
        <v>37757</v>
      </c>
      <c r="D5429" t="s">
        <v>27245</v>
      </c>
      <c r="E5429" t="str">
        <f t="shared" si="84"/>
        <v>001390</v>
      </c>
      <c r="F5429" t="s">
        <v>27246</v>
      </c>
      <c r="G5429" t="s">
        <v>27247</v>
      </c>
      <c r="H5429" t="s">
        <v>27248</v>
      </c>
      <c r="I5429" t="s">
        <v>37758</v>
      </c>
      <c r="J5429" t="s">
        <v>10831</v>
      </c>
      <c r="L5429" t="s">
        <v>27250</v>
      </c>
      <c r="M5429" t="s">
        <v>27251</v>
      </c>
      <c r="N5429" t="s">
        <v>27252</v>
      </c>
      <c r="Q5429" s="1">
        <v>44538</v>
      </c>
      <c r="R5429" t="s">
        <v>27253</v>
      </c>
      <c r="S5429" t="s">
        <v>27254</v>
      </c>
      <c r="T5429" t="s">
        <v>27255</v>
      </c>
    </row>
    <row r="5430" spans="1:20" x14ac:dyDescent="0.3">
      <c r="A5430" t="str">
        <f>"0611834737100"</f>
        <v>0611834737100</v>
      </c>
      <c r="B5430" t="str">
        <f>"LK2644"</f>
        <v>LK2644</v>
      </c>
      <c r="C5430" t="s">
        <v>37759</v>
      </c>
      <c r="D5430" t="s">
        <v>27245</v>
      </c>
      <c r="E5430" t="str">
        <f t="shared" si="84"/>
        <v>001390</v>
      </c>
      <c r="F5430" t="s">
        <v>27246</v>
      </c>
      <c r="G5430" t="s">
        <v>27247</v>
      </c>
      <c r="H5430" t="s">
        <v>27248</v>
      </c>
      <c r="I5430" t="s">
        <v>37760</v>
      </c>
      <c r="J5430" t="s">
        <v>10833</v>
      </c>
      <c r="L5430" t="s">
        <v>27250</v>
      </c>
      <c r="M5430" t="s">
        <v>27251</v>
      </c>
      <c r="N5430" t="s">
        <v>27252</v>
      </c>
      <c r="Q5430" s="1">
        <v>44538</v>
      </c>
      <c r="R5430" t="s">
        <v>27253</v>
      </c>
      <c r="S5430" t="s">
        <v>27254</v>
      </c>
      <c r="T5430" t="s">
        <v>27255</v>
      </c>
    </row>
    <row r="5431" spans="1:20" x14ac:dyDescent="0.3">
      <c r="A5431" t="str">
        <f>"0611834738100"</f>
        <v>0611834738100</v>
      </c>
      <c r="B5431" t="str">
        <f>"LK2645"</f>
        <v>LK2645</v>
      </c>
      <c r="C5431" t="s">
        <v>37761</v>
      </c>
      <c r="D5431" t="s">
        <v>27245</v>
      </c>
      <c r="E5431" t="str">
        <f t="shared" si="84"/>
        <v>001390</v>
      </c>
      <c r="F5431" t="s">
        <v>27246</v>
      </c>
      <c r="G5431" t="s">
        <v>27247</v>
      </c>
      <c r="H5431" t="s">
        <v>27248</v>
      </c>
      <c r="I5431" t="s">
        <v>37762</v>
      </c>
      <c r="J5431" t="s">
        <v>10835</v>
      </c>
      <c r="L5431" t="s">
        <v>27250</v>
      </c>
      <c r="M5431" t="s">
        <v>27251</v>
      </c>
      <c r="N5431" t="s">
        <v>27252</v>
      </c>
      <c r="Q5431" s="1">
        <v>44538</v>
      </c>
      <c r="R5431" t="s">
        <v>27253</v>
      </c>
      <c r="S5431" t="s">
        <v>27254</v>
      </c>
      <c r="T5431" t="s">
        <v>27255</v>
      </c>
    </row>
    <row r="5432" spans="1:20" x14ac:dyDescent="0.3">
      <c r="A5432" t="str">
        <f>"0611834739100"</f>
        <v>0611834739100</v>
      </c>
      <c r="B5432" t="str">
        <f>"LK2651"</f>
        <v>LK2651</v>
      </c>
      <c r="C5432" t="s">
        <v>37763</v>
      </c>
      <c r="D5432" t="s">
        <v>27245</v>
      </c>
      <c r="E5432" t="str">
        <f t="shared" si="84"/>
        <v>001390</v>
      </c>
      <c r="F5432" t="s">
        <v>27246</v>
      </c>
      <c r="G5432" t="s">
        <v>27247</v>
      </c>
      <c r="H5432" t="s">
        <v>27248</v>
      </c>
      <c r="I5432" t="s">
        <v>37764</v>
      </c>
      <c r="J5432" t="s">
        <v>10837</v>
      </c>
      <c r="L5432" t="s">
        <v>27250</v>
      </c>
      <c r="M5432" t="s">
        <v>27251</v>
      </c>
      <c r="N5432" t="s">
        <v>27252</v>
      </c>
      <c r="Q5432" s="1">
        <v>44538</v>
      </c>
      <c r="R5432" t="s">
        <v>27253</v>
      </c>
      <c r="S5432" t="s">
        <v>27254</v>
      </c>
      <c r="T5432" t="s">
        <v>27255</v>
      </c>
    </row>
    <row r="5433" spans="1:20" x14ac:dyDescent="0.3">
      <c r="A5433" t="str">
        <f>"0611834740100"</f>
        <v>0611834740100</v>
      </c>
      <c r="B5433" t="str">
        <f>"LH8840"</f>
        <v>LH8840</v>
      </c>
      <c r="C5433" t="s">
        <v>37765</v>
      </c>
      <c r="D5433" t="s">
        <v>27245</v>
      </c>
      <c r="E5433" t="str">
        <f t="shared" si="84"/>
        <v>001390</v>
      </c>
      <c r="F5433" t="s">
        <v>27246</v>
      </c>
      <c r="G5433" t="s">
        <v>27247</v>
      </c>
      <c r="H5433" t="s">
        <v>27248</v>
      </c>
      <c r="I5433" t="s">
        <v>37766</v>
      </c>
      <c r="J5433" t="s">
        <v>10839</v>
      </c>
      <c r="L5433" t="s">
        <v>27250</v>
      </c>
      <c r="M5433" t="s">
        <v>27251</v>
      </c>
      <c r="N5433" t="s">
        <v>27252</v>
      </c>
      <c r="Q5433" s="1">
        <v>44538</v>
      </c>
      <c r="R5433" t="s">
        <v>27253</v>
      </c>
      <c r="S5433" t="s">
        <v>27254</v>
      </c>
      <c r="T5433" t="s">
        <v>27255</v>
      </c>
    </row>
    <row r="5434" spans="1:20" x14ac:dyDescent="0.3">
      <c r="A5434" t="str">
        <f>"0611834741025"</f>
        <v>0611834741025</v>
      </c>
      <c r="B5434" t="str">
        <f>"MC4202"</f>
        <v>MC4202</v>
      </c>
      <c r="C5434" t="s">
        <v>37765</v>
      </c>
      <c r="D5434" t="s">
        <v>27267</v>
      </c>
      <c r="E5434" t="str">
        <f t="shared" si="84"/>
        <v>001390</v>
      </c>
      <c r="F5434" t="s">
        <v>27246</v>
      </c>
      <c r="G5434" t="s">
        <v>27247</v>
      </c>
      <c r="H5434" t="s">
        <v>27248</v>
      </c>
      <c r="I5434" t="s">
        <v>37767</v>
      </c>
      <c r="J5434" t="s">
        <v>10841</v>
      </c>
      <c r="L5434" t="s">
        <v>27250</v>
      </c>
      <c r="M5434" t="s">
        <v>27251</v>
      </c>
      <c r="N5434" t="s">
        <v>27252</v>
      </c>
      <c r="Q5434" s="1">
        <v>44538</v>
      </c>
      <c r="R5434" t="s">
        <v>27253</v>
      </c>
      <c r="S5434" t="s">
        <v>27254</v>
      </c>
      <c r="T5434" t="s">
        <v>27269</v>
      </c>
    </row>
    <row r="5435" spans="1:20" x14ac:dyDescent="0.3">
      <c r="A5435" t="str">
        <f>"0611834743025"</f>
        <v>0611834743025</v>
      </c>
      <c r="B5435" t="str">
        <f>"MQ0222"</f>
        <v>MQ0222</v>
      </c>
      <c r="C5435" t="s">
        <v>37768</v>
      </c>
      <c r="D5435" t="s">
        <v>27267</v>
      </c>
      <c r="E5435" t="str">
        <f t="shared" si="84"/>
        <v>001390</v>
      </c>
      <c r="F5435" t="s">
        <v>27246</v>
      </c>
      <c r="G5435" t="s">
        <v>27247</v>
      </c>
      <c r="H5435" t="s">
        <v>27248</v>
      </c>
      <c r="I5435" t="s">
        <v>37769</v>
      </c>
      <c r="J5435" t="s">
        <v>10843</v>
      </c>
      <c r="L5435" t="s">
        <v>27250</v>
      </c>
      <c r="M5435" t="s">
        <v>27251</v>
      </c>
      <c r="N5435" t="s">
        <v>27252</v>
      </c>
      <c r="Q5435" s="1">
        <v>44538</v>
      </c>
      <c r="R5435" t="s">
        <v>27253</v>
      </c>
      <c r="S5435" t="s">
        <v>27254</v>
      </c>
      <c r="T5435" t="s">
        <v>27269</v>
      </c>
    </row>
    <row r="5436" spans="1:20" x14ac:dyDescent="0.3">
      <c r="A5436" t="str">
        <f>"0611834744025"</f>
        <v>0611834744025</v>
      </c>
      <c r="B5436" t="str">
        <f>"MC1899"</f>
        <v>MC1899</v>
      </c>
      <c r="C5436" t="s">
        <v>37770</v>
      </c>
      <c r="D5436" t="s">
        <v>27267</v>
      </c>
      <c r="E5436" t="str">
        <f t="shared" si="84"/>
        <v>001390</v>
      </c>
      <c r="F5436" t="s">
        <v>27246</v>
      </c>
      <c r="G5436" t="s">
        <v>27247</v>
      </c>
      <c r="H5436" t="s">
        <v>27248</v>
      </c>
      <c r="I5436" t="s">
        <v>37771</v>
      </c>
      <c r="J5436" t="s">
        <v>10845</v>
      </c>
      <c r="L5436" t="s">
        <v>27250</v>
      </c>
      <c r="M5436" t="s">
        <v>27251</v>
      </c>
      <c r="N5436" t="s">
        <v>27252</v>
      </c>
      <c r="Q5436" s="1">
        <v>44538</v>
      </c>
      <c r="R5436" t="s">
        <v>27253</v>
      </c>
      <c r="S5436" t="s">
        <v>27254</v>
      </c>
      <c r="T5436" t="s">
        <v>27269</v>
      </c>
    </row>
    <row r="5437" spans="1:20" x14ac:dyDescent="0.3">
      <c r="A5437" t="str">
        <f>"0611834746025"</f>
        <v>0611834746025</v>
      </c>
      <c r="B5437" t="str">
        <f>"MC3732"</f>
        <v>MC3732</v>
      </c>
      <c r="C5437" t="s">
        <v>37772</v>
      </c>
      <c r="D5437" t="s">
        <v>27267</v>
      </c>
      <c r="E5437" t="str">
        <f t="shared" si="84"/>
        <v>001390</v>
      </c>
      <c r="F5437" t="s">
        <v>27246</v>
      </c>
      <c r="G5437" t="s">
        <v>27247</v>
      </c>
      <c r="H5437" t="s">
        <v>27248</v>
      </c>
      <c r="I5437" t="s">
        <v>37773</v>
      </c>
      <c r="J5437" t="s">
        <v>10847</v>
      </c>
      <c r="L5437" t="s">
        <v>27250</v>
      </c>
      <c r="M5437" t="s">
        <v>27251</v>
      </c>
      <c r="N5437" t="s">
        <v>27252</v>
      </c>
      <c r="Q5437" s="1">
        <v>44538</v>
      </c>
      <c r="R5437" t="s">
        <v>27253</v>
      </c>
      <c r="S5437" t="s">
        <v>27254</v>
      </c>
      <c r="T5437" t="s">
        <v>27269</v>
      </c>
    </row>
    <row r="5438" spans="1:20" x14ac:dyDescent="0.3">
      <c r="A5438" t="str">
        <f>"0611834747025"</f>
        <v>0611834747025</v>
      </c>
      <c r="B5438" t="str">
        <f>"MC3350"</f>
        <v>MC3350</v>
      </c>
      <c r="C5438" t="s">
        <v>37774</v>
      </c>
      <c r="D5438" t="s">
        <v>27267</v>
      </c>
      <c r="E5438" t="str">
        <f t="shared" si="84"/>
        <v>001390</v>
      </c>
      <c r="F5438" t="s">
        <v>27246</v>
      </c>
      <c r="G5438" t="s">
        <v>27247</v>
      </c>
      <c r="H5438" t="s">
        <v>27248</v>
      </c>
      <c r="I5438" t="s">
        <v>37775</v>
      </c>
      <c r="J5438" t="s">
        <v>10849</v>
      </c>
      <c r="L5438" t="s">
        <v>27250</v>
      </c>
      <c r="M5438" t="s">
        <v>27251</v>
      </c>
      <c r="N5438" t="s">
        <v>27252</v>
      </c>
      <c r="Q5438" s="1">
        <v>44538</v>
      </c>
      <c r="R5438" t="s">
        <v>27253</v>
      </c>
      <c r="S5438" t="s">
        <v>27254</v>
      </c>
      <c r="T5438" t="s">
        <v>27269</v>
      </c>
    </row>
    <row r="5439" spans="1:20" x14ac:dyDescent="0.3">
      <c r="A5439" t="str">
        <f>"0611834748025"</f>
        <v>0611834748025</v>
      </c>
      <c r="B5439" t="str">
        <f>"MC0307"</f>
        <v>MC0307</v>
      </c>
      <c r="C5439" t="s">
        <v>37776</v>
      </c>
      <c r="D5439" t="s">
        <v>27267</v>
      </c>
      <c r="E5439" t="str">
        <f t="shared" si="84"/>
        <v>001390</v>
      </c>
      <c r="F5439" t="s">
        <v>27246</v>
      </c>
      <c r="G5439" t="s">
        <v>27247</v>
      </c>
      <c r="H5439" t="s">
        <v>27248</v>
      </c>
      <c r="I5439" t="s">
        <v>37777</v>
      </c>
      <c r="J5439" t="s">
        <v>10851</v>
      </c>
      <c r="L5439" t="s">
        <v>27250</v>
      </c>
      <c r="M5439" t="s">
        <v>27251</v>
      </c>
      <c r="N5439" t="s">
        <v>27252</v>
      </c>
      <c r="Q5439" s="1">
        <v>44538</v>
      </c>
      <c r="R5439" t="s">
        <v>27253</v>
      </c>
      <c r="S5439" t="s">
        <v>27254</v>
      </c>
      <c r="T5439" t="s">
        <v>27269</v>
      </c>
    </row>
    <row r="5440" spans="1:20" x14ac:dyDescent="0.3">
      <c r="A5440" t="str">
        <f>"0611834749100"</f>
        <v>0611834749100</v>
      </c>
      <c r="B5440" t="str">
        <f>"LH4228"</f>
        <v>LH4228</v>
      </c>
      <c r="C5440" t="s">
        <v>37778</v>
      </c>
      <c r="D5440" t="s">
        <v>27245</v>
      </c>
      <c r="E5440" t="str">
        <f t="shared" si="84"/>
        <v>001390</v>
      </c>
      <c r="F5440" t="s">
        <v>27246</v>
      </c>
      <c r="G5440" t="s">
        <v>27247</v>
      </c>
      <c r="H5440" t="s">
        <v>27248</v>
      </c>
      <c r="I5440" t="s">
        <v>37779</v>
      </c>
      <c r="J5440" t="s">
        <v>10853</v>
      </c>
      <c r="L5440" t="s">
        <v>27250</v>
      </c>
      <c r="M5440" t="s">
        <v>27251</v>
      </c>
      <c r="N5440" t="s">
        <v>27252</v>
      </c>
      <c r="Q5440" s="1">
        <v>44538</v>
      </c>
      <c r="R5440" t="s">
        <v>27253</v>
      </c>
      <c r="S5440" t="s">
        <v>27254</v>
      </c>
      <c r="T5440" t="s">
        <v>27255</v>
      </c>
    </row>
    <row r="5441" spans="1:20" x14ac:dyDescent="0.3">
      <c r="A5441" t="str">
        <f>"0611834750025"</f>
        <v>0611834750025</v>
      </c>
      <c r="B5441" t="str">
        <f>"MC0308"</f>
        <v>MC0308</v>
      </c>
      <c r="C5441" t="s">
        <v>37778</v>
      </c>
      <c r="D5441" t="s">
        <v>27267</v>
      </c>
      <c r="E5441" t="str">
        <f t="shared" si="84"/>
        <v>001390</v>
      </c>
      <c r="F5441" t="s">
        <v>27246</v>
      </c>
      <c r="G5441" t="s">
        <v>27247</v>
      </c>
      <c r="H5441" t="s">
        <v>27248</v>
      </c>
      <c r="I5441" t="s">
        <v>37780</v>
      </c>
      <c r="J5441" t="s">
        <v>10855</v>
      </c>
      <c r="L5441" t="s">
        <v>27250</v>
      </c>
      <c r="M5441" t="s">
        <v>27251</v>
      </c>
      <c r="N5441" t="s">
        <v>27252</v>
      </c>
      <c r="Q5441" s="1">
        <v>44538</v>
      </c>
      <c r="R5441" t="s">
        <v>27253</v>
      </c>
      <c r="S5441" t="s">
        <v>27254</v>
      </c>
      <c r="T5441" t="s">
        <v>27269</v>
      </c>
    </row>
    <row r="5442" spans="1:20" x14ac:dyDescent="0.3">
      <c r="A5442" t="str">
        <f>"0611834752025"</f>
        <v>0611834752025</v>
      </c>
      <c r="B5442" t="str">
        <f>"MQ5106"</f>
        <v>MQ5106</v>
      </c>
      <c r="C5442" t="s">
        <v>37781</v>
      </c>
      <c r="D5442" t="s">
        <v>27267</v>
      </c>
      <c r="E5442" t="str">
        <f t="shared" ref="E5442:E5505" si="85">"001390"</f>
        <v>001390</v>
      </c>
      <c r="F5442" t="s">
        <v>27246</v>
      </c>
      <c r="G5442" t="s">
        <v>27247</v>
      </c>
      <c r="H5442" t="s">
        <v>27248</v>
      </c>
      <c r="I5442" t="s">
        <v>37782</v>
      </c>
      <c r="J5442" t="s">
        <v>10857</v>
      </c>
      <c r="L5442" t="s">
        <v>27250</v>
      </c>
      <c r="M5442" t="s">
        <v>27251</v>
      </c>
      <c r="N5442" t="s">
        <v>27252</v>
      </c>
      <c r="Q5442" s="1">
        <v>44538</v>
      </c>
      <c r="R5442" t="s">
        <v>27253</v>
      </c>
      <c r="S5442" t="s">
        <v>27254</v>
      </c>
      <c r="T5442" t="s">
        <v>27269</v>
      </c>
    </row>
    <row r="5443" spans="1:20" x14ac:dyDescent="0.3">
      <c r="A5443" t="str">
        <f>"0611834753100"</f>
        <v>0611834753100</v>
      </c>
      <c r="B5443" t="str">
        <f>"MB2950"</f>
        <v>MB2950</v>
      </c>
      <c r="C5443" t="s">
        <v>37783</v>
      </c>
      <c r="D5443" t="s">
        <v>27274</v>
      </c>
      <c r="E5443" t="str">
        <f t="shared" si="85"/>
        <v>001390</v>
      </c>
      <c r="F5443" t="s">
        <v>27246</v>
      </c>
      <c r="G5443" t="s">
        <v>27247</v>
      </c>
      <c r="H5443" t="s">
        <v>27248</v>
      </c>
      <c r="I5443" t="s">
        <v>37784</v>
      </c>
      <c r="J5443" t="s">
        <v>10859</v>
      </c>
      <c r="L5443" t="s">
        <v>27250</v>
      </c>
      <c r="M5443" t="s">
        <v>27251</v>
      </c>
      <c r="N5443" t="s">
        <v>27252</v>
      </c>
      <c r="Q5443" s="1">
        <v>44538</v>
      </c>
      <c r="R5443" t="s">
        <v>27253</v>
      </c>
      <c r="S5443" t="s">
        <v>27254</v>
      </c>
      <c r="T5443" t="s">
        <v>27276</v>
      </c>
    </row>
    <row r="5444" spans="1:20" x14ac:dyDescent="0.3">
      <c r="A5444" t="str">
        <f>"0611834754100"</f>
        <v>0611834754100</v>
      </c>
      <c r="B5444" t="str">
        <f>"LF2950"</f>
        <v>LF2950</v>
      </c>
      <c r="C5444" t="s">
        <v>37783</v>
      </c>
      <c r="D5444" t="s">
        <v>27245</v>
      </c>
      <c r="E5444" t="str">
        <f t="shared" si="85"/>
        <v>001390</v>
      </c>
      <c r="F5444" t="s">
        <v>27246</v>
      </c>
      <c r="G5444" t="s">
        <v>27247</v>
      </c>
      <c r="H5444" t="s">
        <v>27248</v>
      </c>
      <c r="I5444" t="s">
        <v>37785</v>
      </c>
      <c r="J5444" t="s">
        <v>10861</v>
      </c>
      <c r="L5444" t="s">
        <v>27250</v>
      </c>
      <c r="M5444" t="s">
        <v>27251</v>
      </c>
      <c r="N5444" t="s">
        <v>27252</v>
      </c>
      <c r="Q5444" s="1">
        <v>44538</v>
      </c>
      <c r="R5444" t="s">
        <v>27253</v>
      </c>
      <c r="S5444" t="s">
        <v>27254</v>
      </c>
      <c r="T5444" t="s">
        <v>27255</v>
      </c>
    </row>
    <row r="5445" spans="1:20" x14ac:dyDescent="0.3">
      <c r="A5445" t="str">
        <f>"0611834755100"</f>
        <v>0611834755100</v>
      </c>
      <c r="B5445" t="str">
        <f>"LH4300"</f>
        <v>LH4300</v>
      </c>
      <c r="C5445" t="s">
        <v>37786</v>
      </c>
      <c r="D5445" t="s">
        <v>27245</v>
      </c>
      <c r="E5445" t="str">
        <f t="shared" si="85"/>
        <v>001390</v>
      </c>
      <c r="F5445" t="s">
        <v>27246</v>
      </c>
      <c r="G5445" t="s">
        <v>27247</v>
      </c>
      <c r="H5445" t="s">
        <v>27248</v>
      </c>
      <c r="I5445" t="s">
        <v>37787</v>
      </c>
      <c r="J5445" t="s">
        <v>10865</v>
      </c>
      <c r="L5445" t="s">
        <v>27250</v>
      </c>
      <c r="M5445" t="s">
        <v>27251</v>
      </c>
      <c r="N5445" t="s">
        <v>27252</v>
      </c>
      <c r="Q5445" s="1">
        <v>44538</v>
      </c>
      <c r="R5445" t="s">
        <v>27253</v>
      </c>
      <c r="S5445" t="s">
        <v>27254</v>
      </c>
      <c r="T5445" t="s">
        <v>27255</v>
      </c>
    </row>
    <row r="5446" spans="1:20" x14ac:dyDescent="0.3">
      <c r="A5446" t="str">
        <f>"0611862463050"</f>
        <v>0611862463050</v>
      </c>
      <c r="B5446" t="str">
        <f>"CR2346"</f>
        <v>CR2346</v>
      </c>
      <c r="C5446" t="s">
        <v>37788</v>
      </c>
      <c r="D5446" t="s">
        <v>27263</v>
      </c>
      <c r="E5446" t="str">
        <f t="shared" si="85"/>
        <v>001390</v>
      </c>
      <c r="F5446" t="s">
        <v>27246</v>
      </c>
      <c r="G5446" t="s">
        <v>27247</v>
      </c>
      <c r="H5446" t="s">
        <v>27248</v>
      </c>
      <c r="I5446" t="s">
        <v>37789</v>
      </c>
      <c r="J5446" t="s">
        <v>10863</v>
      </c>
      <c r="L5446" t="s">
        <v>27250</v>
      </c>
      <c r="M5446" t="s">
        <v>27251</v>
      </c>
      <c r="N5446" t="s">
        <v>27252</v>
      </c>
      <c r="Q5446" s="1">
        <v>44846</v>
      </c>
      <c r="R5446" t="s">
        <v>27253</v>
      </c>
      <c r="S5446" t="s">
        <v>27254</v>
      </c>
      <c r="T5446" t="s">
        <v>27265</v>
      </c>
    </row>
    <row r="5447" spans="1:20" x14ac:dyDescent="0.3">
      <c r="A5447" t="str">
        <f>"0611834756025"</f>
        <v>0611834756025</v>
      </c>
      <c r="B5447" t="str">
        <f>"MC2282"</f>
        <v>MC2282</v>
      </c>
      <c r="C5447" t="s">
        <v>37790</v>
      </c>
      <c r="D5447" t="s">
        <v>27267</v>
      </c>
      <c r="E5447" t="str">
        <f t="shared" si="85"/>
        <v>001390</v>
      </c>
      <c r="F5447" t="s">
        <v>27246</v>
      </c>
      <c r="G5447" t="s">
        <v>27247</v>
      </c>
      <c r="H5447" t="s">
        <v>27248</v>
      </c>
      <c r="I5447" t="s">
        <v>37791</v>
      </c>
      <c r="J5447" t="s">
        <v>10867</v>
      </c>
      <c r="L5447" t="s">
        <v>27250</v>
      </c>
      <c r="M5447" t="s">
        <v>27251</v>
      </c>
      <c r="N5447" t="s">
        <v>27252</v>
      </c>
      <c r="Q5447" s="1">
        <v>44538</v>
      </c>
      <c r="R5447" t="s">
        <v>27253</v>
      </c>
      <c r="S5447" t="s">
        <v>27254</v>
      </c>
      <c r="T5447" t="s">
        <v>27269</v>
      </c>
    </row>
    <row r="5448" spans="1:20" x14ac:dyDescent="0.3">
      <c r="A5448" t="str">
        <f>"0611862464050"</f>
        <v>0611862464050</v>
      </c>
      <c r="B5448" t="str">
        <f>"CR3537"</f>
        <v>CR3537</v>
      </c>
      <c r="C5448" t="s">
        <v>37792</v>
      </c>
      <c r="D5448" t="s">
        <v>27286</v>
      </c>
      <c r="E5448" t="str">
        <f t="shared" si="85"/>
        <v>001390</v>
      </c>
      <c r="F5448" t="s">
        <v>27246</v>
      </c>
      <c r="G5448" t="s">
        <v>27247</v>
      </c>
      <c r="H5448" t="s">
        <v>27248</v>
      </c>
      <c r="I5448" t="s">
        <v>37793</v>
      </c>
      <c r="J5448" t="s">
        <v>10869</v>
      </c>
      <c r="L5448" t="s">
        <v>27250</v>
      </c>
      <c r="M5448" t="s">
        <v>27251</v>
      </c>
      <c r="N5448" t="s">
        <v>27252</v>
      </c>
      <c r="Q5448" s="1">
        <v>44846</v>
      </c>
      <c r="R5448" t="s">
        <v>27253</v>
      </c>
      <c r="S5448" t="s">
        <v>27254</v>
      </c>
      <c r="T5448" t="s">
        <v>27265</v>
      </c>
    </row>
    <row r="5449" spans="1:20" x14ac:dyDescent="0.3">
      <c r="A5449" t="str">
        <f>"0611833097100"</f>
        <v>0611833097100</v>
      </c>
      <c r="B5449" t="str">
        <f>"LB9478"</f>
        <v>LB9478</v>
      </c>
      <c r="C5449" t="s">
        <v>37794</v>
      </c>
      <c r="D5449" t="s">
        <v>27245</v>
      </c>
      <c r="E5449" t="str">
        <f t="shared" si="85"/>
        <v>001390</v>
      </c>
      <c r="F5449" t="s">
        <v>27246</v>
      </c>
      <c r="G5449" t="s">
        <v>27247</v>
      </c>
      <c r="H5449" t="s">
        <v>27248</v>
      </c>
      <c r="I5449" t="s">
        <v>37795</v>
      </c>
      <c r="J5449" t="s">
        <v>10871</v>
      </c>
      <c r="L5449" t="s">
        <v>27250</v>
      </c>
      <c r="M5449" t="s">
        <v>27251</v>
      </c>
      <c r="N5449" t="s">
        <v>27252</v>
      </c>
      <c r="Q5449" s="1">
        <v>44538</v>
      </c>
      <c r="R5449" t="s">
        <v>27253</v>
      </c>
      <c r="S5449" t="s">
        <v>27254</v>
      </c>
      <c r="T5449" t="s">
        <v>27255</v>
      </c>
    </row>
    <row r="5450" spans="1:20" x14ac:dyDescent="0.3">
      <c r="A5450" t="str">
        <f>"0611834758100"</f>
        <v>0611834758100</v>
      </c>
      <c r="B5450" t="str">
        <f>"LK5780"</f>
        <v>LK5780</v>
      </c>
      <c r="C5450" t="s">
        <v>37796</v>
      </c>
      <c r="D5450" t="s">
        <v>27245</v>
      </c>
      <c r="E5450" t="str">
        <f t="shared" si="85"/>
        <v>001390</v>
      </c>
      <c r="F5450" t="s">
        <v>27246</v>
      </c>
      <c r="G5450" t="s">
        <v>27247</v>
      </c>
      <c r="H5450" t="s">
        <v>27248</v>
      </c>
      <c r="I5450" t="s">
        <v>37797</v>
      </c>
      <c r="J5450" t="s">
        <v>10873</v>
      </c>
      <c r="L5450" t="s">
        <v>27250</v>
      </c>
      <c r="M5450" t="s">
        <v>27251</v>
      </c>
      <c r="N5450" t="s">
        <v>27252</v>
      </c>
      <c r="Q5450" s="1">
        <v>44538</v>
      </c>
      <c r="R5450" t="s">
        <v>27253</v>
      </c>
      <c r="S5450" t="s">
        <v>27254</v>
      </c>
      <c r="T5450" t="s">
        <v>27255</v>
      </c>
    </row>
    <row r="5451" spans="1:20" x14ac:dyDescent="0.3">
      <c r="A5451" t="str">
        <f>"0611834759100"</f>
        <v>0611834759100</v>
      </c>
      <c r="B5451" t="str">
        <f>"LB3076"</f>
        <v>LB3076</v>
      </c>
      <c r="C5451" t="s">
        <v>37798</v>
      </c>
      <c r="D5451" t="s">
        <v>27245</v>
      </c>
      <c r="E5451" t="str">
        <f t="shared" si="85"/>
        <v>001390</v>
      </c>
      <c r="F5451" t="s">
        <v>27246</v>
      </c>
      <c r="G5451" t="s">
        <v>27247</v>
      </c>
      <c r="H5451" t="s">
        <v>27248</v>
      </c>
      <c r="I5451" t="s">
        <v>37799</v>
      </c>
      <c r="J5451" t="s">
        <v>10875</v>
      </c>
      <c r="L5451" t="s">
        <v>27250</v>
      </c>
      <c r="M5451" t="s">
        <v>27251</v>
      </c>
      <c r="N5451" t="s">
        <v>27252</v>
      </c>
      <c r="Q5451" s="1">
        <v>44538</v>
      </c>
      <c r="R5451" t="s">
        <v>27253</v>
      </c>
      <c r="S5451" t="s">
        <v>27254</v>
      </c>
      <c r="T5451" t="s">
        <v>27255</v>
      </c>
    </row>
    <row r="5452" spans="1:20" x14ac:dyDescent="0.3">
      <c r="A5452" t="str">
        <f>"0611834760100"</f>
        <v>0611834760100</v>
      </c>
      <c r="B5452" t="str">
        <f>"LB3058"</f>
        <v>LB3058</v>
      </c>
      <c r="C5452" t="s">
        <v>37800</v>
      </c>
      <c r="D5452" t="s">
        <v>27245</v>
      </c>
      <c r="E5452" t="str">
        <f t="shared" si="85"/>
        <v>001390</v>
      </c>
      <c r="F5452" t="s">
        <v>27246</v>
      </c>
      <c r="G5452" t="s">
        <v>27247</v>
      </c>
      <c r="H5452" t="s">
        <v>27248</v>
      </c>
      <c r="I5452" t="s">
        <v>37801</v>
      </c>
      <c r="J5452" t="s">
        <v>10877</v>
      </c>
      <c r="L5452" t="s">
        <v>27250</v>
      </c>
      <c r="M5452" t="s">
        <v>27251</v>
      </c>
      <c r="N5452" t="s">
        <v>27252</v>
      </c>
      <c r="Q5452" s="1">
        <v>44538</v>
      </c>
      <c r="R5452" t="s">
        <v>27253</v>
      </c>
      <c r="S5452" t="s">
        <v>27254</v>
      </c>
      <c r="T5452" t="s">
        <v>27255</v>
      </c>
    </row>
    <row r="5453" spans="1:20" x14ac:dyDescent="0.3">
      <c r="A5453" t="str">
        <f>"0611834761100"</f>
        <v>0611834761100</v>
      </c>
      <c r="B5453" t="str">
        <f>"LK5781"</f>
        <v>LK5781</v>
      </c>
      <c r="C5453" t="s">
        <v>37802</v>
      </c>
      <c r="D5453" t="s">
        <v>27245</v>
      </c>
      <c r="E5453" t="str">
        <f t="shared" si="85"/>
        <v>001390</v>
      </c>
      <c r="F5453" t="s">
        <v>27246</v>
      </c>
      <c r="G5453" t="s">
        <v>27247</v>
      </c>
      <c r="H5453" t="s">
        <v>27248</v>
      </c>
      <c r="I5453" t="s">
        <v>37803</v>
      </c>
      <c r="J5453" t="s">
        <v>10879</v>
      </c>
      <c r="L5453" t="s">
        <v>27250</v>
      </c>
      <c r="M5453" t="s">
        <v>27251</v>
      </c>
      <c r="N5453" t="s">
        <v>27252</v>
      </c>
      <c r="Q5453" s="1">
        <v>44538</v>
      </c>
      <c r="R5453" t="s">
        <v>27253</v>
      </c>
      <c r="S5453" t="s">
        <v>27254</v>
      </c>
      <c r="T5453" t="s">
        <v>27255</v>
      </c>
    </row>
    <row r="5454" spans="1:20" x14ac:dyDescent="0.3">
      <c r="A5454" t="str">
        <f>"0611834762100"</f>
        <v>0611834762100</v>
      </c>
      <c r="B5454" t="str">
        <f>"LK4311"</f>
        <v>LK4311</v>
      </c>
      <c r="C5454" t="s">
        <v>37804</v>
      </c>
      <c r="D5454" t="s">
        <v>27245</v>
      </c>
      <c r="E5454" t="str">
        <f t="shared" si="85"/>
        <v>001390</v>
      </c>
      <c r="F5454" t="s">
        <v>27246</v>
      </c>
      <c r="G5454" t="s">
        <v>27247</v>
      </c>
      <c r="H5454" t="s">
        <v>27248</v>
      </c>
      <c r="I5454" t="s">
        <v>37805</v>
      </c>
      <c r="J5454" t="s">
        <v>10881</v>
      </c>
      <c r="L5454" t="s">
        <v>27250</v>
      </c>
      <c r="M5454" t="s">
        <v>27251</v>
      </c>
      <c r="N5454" t="s">
        <v>27252</v>
      </c>
      <c r="Q5454" s="1">
        <v>44538</v>
      </c>
      <c r="R5454" t="s">
        <v>27253</v>
      </c>
      <c r="S5454" t="s">
        <v>27254</v>
      </c>
      <c r="T5454" t="s">
        <v>27255</v>
      </c>
    </row>
    <row r="5455" spans="1:20" x14ac:dyDescent="0.3">
      <c r="A5455" t="str">
        <f>"0611834763100"</f>
        <v>0611834763100</v>
      </c>
      <c r="B5455" t="str">
        <f>"LB3130"</f>
        <v>LB3130</v>
      </c>
      <c r="C5455" t="s">
        <v>37806</v>
      </c>
      <c r="D5455" t="s">
        <v>27245</v>
      </c>
      <c r="E5455" t="str">
        <f t="shared" si="85"/>
        <v>001390</v>
      </c>
      <c r="F5455" t="s">
        <v>27246</v>
      </c>
      <c r="G5455" t="s">
        <v>27247</v>
      </c>
      <c r="H5455" t="s">
        <v>27248</v>
      </c>
      <c r="I5455" t="s">
        <v>37807</v>
      </c>
      <c r="J5455" t="s">
        <v>10883</v>
      </c>
      <c r="L5455" t="s">
        <v>27250</v>
      </c>
      <c r="M5455" t="s">
        <v>27251</v>
      </c>
      <c r="N5455" t="s">
        <v>27252</v>
      </c>
      <c r="Q5455" s="1">
        <v>44538</v>
      </c>
      <c r="R5455" t="s">
        <v>27253</v>
      </c>
      <c r="S5455" t="s">
        <v>27254</v>
      </c>
      <c r="T5455" t="s">
        <v>27255</v>
      </c>
    </row>
    <row r="5456" spans="1:20" x14ac:dyDescent="0.3">
      <c r="A5456" t="str">
        <f>"0611834764100"</f>
        <v>0611834764100</v>
      </c>
      <c r="B5456" t="str">
        <f>"LB3131"</f>
        <v>LB3131</v>
      </c>
      <c r="C5456" t="s">
        <v>37808</v>
      </c>
      <c r="D5456" t="s">
        <v>27245</v>
      </c>
      <c r="E5456" t="str">
        <f t="shared" si="85"/>
        <v>001390</v>
      </c>
      <c r="F5456" t="s">
        <v>27246</v>
      </c>
      <c r="G5456" t="s">
        <v>27247</v>
      </c>
      <c r="H5456" t="s">
        <v>27248</v>
      </c>
      <c r="I5456" t="s">
        <v>37809</v>
      </c>
      <c r="J5456" t="s">
        <v>10885</v>
      </c>
      <c r="L5456" t="s">
        <v>27250</v>
      </c>
      <c r="M5456" t="s">
        <v>27251</v>
      </c>
      <c r="N5456" t="s">
        <v>27252</v>
      </c>
      <c r="Q5456" s="1">
        <v>44538</v>
      </c>
      <c r="R5456" t="s">
        <v>27253</v>
      </c>
      <c r="S5456" t="s">
        <v>27254</v>
      </c>
      <c r="T5456" t="s">
        <v>27255</v>
      </c>
    </row>
    <row r="5457" spans="1:20" x14ac:dyDescent="0.3">
      <c r="A5457" t="str">
        <f>"0611834765100"</f>
        <v>0611834765100</v>
      </c>
      <c r="B5457" t="str">
        <f>"LB3132"</f>
        <v>LB3132</v>
      </c>
      <c r="C5457" t="s">
        <v>37810</v>
      </c>
      <c r="D5457" t="s">
        <v>27245</v>
      </c>
      <c r="E5457" t="str">
        <f t="shared" si="85"/>
        <v>001390</v>
      </c>
      <c r="F5457" t="s">
        <v>27246</v>
      </c>
      <c r="G5457" t="s">
        <v>27247</v>
      </c>
      <c r="H5457" t="s">
        <v>27248</v>
      </c>
      <c r="I5457" t="s">
        <v>37811</v>
      </c>
      <c r="J5457" t="s">
        <v>10887</v>
      </c>
      <c r="L5457" t="s">
        <v>27250</v>
      </c>
      <c r="M5457" t="s">
        <v>27251</v>
      </c>
      <c r="N5457" t="s">
        <v>27252</v>
      </c>
      <c r="Q5457" s="1">
        <v>44538</v>
      </c>
      <c r="R5457" t="s">
        <v>27253</v>
      </c>
      <c r="S5457" t="s">
        <v>27254</v>
      </c>
      <c r="T5457" t="s">
        <v>27255</v>
      </c>
    </row>
    <row r="5458" spans="1:20" x14ac:dyDescent="0.3">
      <c r="A5458" t="str">
        <f>"0611834766100"</f>
        <v>0611834766100</v>
      </c>
      <c r="B5458" t="str">
        <f>"LB3133"</f>
        <v>LB3133</v>
      </c>
      <c r="C5458" t="s">
        <v>37812</v>
      </c>
      <c r="D5458" t="s">
        <v>27245</v>
      </c>
      <c r="E5458" t="str">
        <f t="shared" si="85"/>
        <v>001390</v>
      </c>
      <c r="F5458" t="s">
        <v>27246</v>
      </c>
      <c r="G5458" t="s">
        <v>27247</v>
      </c>
      <c r="H5458" t="s">
        <v>27248</v>
      </c>
      <c r="I5458" t="s">
        <v>37813</v>
      </c>
      <c r="J5458" t="s">
        <v>10889</v>
      </c>
      <c r="L5458" t="s">
        <v>27250</v>
      </c>
      <c r="M5458" t="s">
        <v>27251</v>
      </c>
      <c r="N5458" t="s">
        <v>27252</v>
      </c>
      <c r="Q5458" s="1">
        <v>44538</v>
      </c>
      <c r="R5458" t="s">
        <v>27253</v>
      </c>
      <c r="S5458" t="s">
        <v>27254</v>
      </c>
      <c r="T5458" t="s">
        <v>27255</v>
      </c>
    </row>
    <row r="5459" spans="1:20" x14ac:dyDescent="0.3">
      <c r="A5459" t="str">
        <f>"0611834767100"</f>
        <v>0611834767100</v>
      </c>
      <c r="B5459" t="str">
        <f>"LK0183"</f>
        <v>LK0183</v>
      </c>
      <c r="C5459" t="s">
        <v>37814</v>
      </c>
      <c r="D5459" t="s">
        <v>27245</v>
      </c>
      <c r="E5459" t="str">
        <f t="shared" si="85"/>
        <v>001390</v>
      </c>
      <c r="F5459" t="s">
        <v>27246</v>
      </c>
      <c r="G5459" t="s">
        <v>27247</v>
      </c>
      <c r="H5459" t="s">
        <v>27248</v>
      </c>
      <c r="I5459" t="s">
        <v>37815</v>
      </c>
      <c r="J5459" t="s">
        <v>10891</v>
      </c>
      <c r="L5459" t="s">
        <v>27250</v>
      </c>
      <c r="M5459" t="s">
        <v>27251</v>
      </c>
      <c r="N5459" t="s">
        <v>27252</v>
      </c>
      <c r="Q5459" s="1">
        <v>44538</v>
      </c>
      <c r="R5459" t="s">
        <v>27253</v>
      </c>
      <c r="S5459" t="s">
        <v>27254</v>
      </c>
      <c r="T5459" t="s">
        <v>27255</v>
      </c>
    </row>
    <row r="5460" spans="1:20" x14ac:dyDescent="0.3">
      <c r="A5460" t="str">
        <f>"0611834768100"</f>
        <v>0611834768100</v>
      </c>
      <c r="B5460" t="str">
        <f>"LK4312"</f>
        <v>LK4312</v>
      </c>
      <c r="C5460" t="s">
        <v>37816</v>
      </c>
      <c r="D5460" t="s">
        <v>27245</v>
      </c>
      <c r="E5460" t="str">
        <f t="shared" si="85"/>
        <v>001390</v>
      </c>
      <c r="F5460" t="s">
        <v>27246</v>
      </c>
      <c r="G5460" t="s">
        <v>27247</v>
      </c>
      <c r="H5460" t="s">
        <v>27248</v>
      </c>
      <c r="I5460" t="s">
        <v>37817</v>
      </c>
      <c r="J5460" t="s">
        <v>10893</v>
      </c>
      <c r="L5460" t="s">
        <v>27250</v>
      </c>
      <c r="M5460" t="s">
        <v>27251</v>
      </c>
      <c r="N5460" t="s">
        <v>27252</v>
      </c>
      <c r="Q5460" s="1">
        <v>44538</v>
      </c>
      <c r="R5460" t="s">
        <v>27253</v>
      </c>
      <c r="S5460" t="s">
        <v>27254</v>
      </c>
      <c r="T5460" t="s">
        <v>27255</v>
      </c>
    </row>
    <row r="5461" spans="1:20" x14ac:dyDescent="0.3">
      <c r="A5461" t="str">
        <f>"0611834769100"</f>
        <v>0611834769100</v>
      </c>
      <c r="B5461" t="str">
        <f>"LB3071"</f>
        <v>LB3071</v>
      </c>
      <c r="C5461" t="s">
        <v>37818</v>
      </c>
      <c r="D5461" t="s">
        <v>27245</v>
      </c>
      <c r="E5461" t="str">
        <f t="shared" si="85"/>
        <v>001390</v>
      </c>
      <c r="F5461" t="s">
        <v>27246</v>
      </c>
      <c r="G5461" t="s">
        <v>27247</v>
      </c>
      <c r="H5461" t="s">
        <v>27248</v>
      </c>
      <c r="I5461" t="s">
        <v>37819</v>
      </c>
      <c r="J5461" t="s">
        <v>10895</v>
      </c>
      <c r="L5461" t="s">
        <v>27250</v>
      </c>
      <c r="M5461" t="s">
        <v>27251</v>
      </c>
      <c r="N5461" t="s">
        <v>27252</v>
      </c>
      <c r="Q5461" s="1">
        <v>44538</v>
      </c>
      <c r="R5461" t="s">
        <v>27253</v>
      </c>
      <c r="S5461" t="s">
        <v>27254</v>
      </c>
      <c r="T5461" t="s">
        <v>27255</v>
      </c>
    </row>
    <row r="5462" spans="1:20" x14ac:dyDescent="0.3">
      <c r="A5462" t="str">
        <f>"0611834770100"</f>
        <v>0611834770100</v>
      </c>
      <c r="B5462" t="str">
        <f>"LK6073"</f>
        <v>LK6073</v>
      </c>
      <c r="C5462" t="s">
        <v>37820</v>
      </c>
      <c r="D5462" t="s">
        <v>27245</v>
      </c>
      <c r="E5462" t="str">
        <f t="shared" si="85"/>
        <v>001390</v>
      </c>
      <c r="F5462" t="s">
        <v>27246</v>
      </c>
      <c r="G5462" t="s">
        <v>27247</v>
      </c>
      <c r="H5462" t="s">
        <v>27248</v>
      </c>
      <c r="I5462" t="s">
        <v>37821</v>
      </c>
      <c r="J5462" t="s">
        <v>10897</v>
      </c>
      <c r="L5462" t="s">
        <v>27250</v>
      </c>
      <c r="M5462" t="s">
        <v>27251</v>
      </c>
      <c r="N5462" t="s">
        <v>27252</v>
      </c>
      <c r="Q5462" s="1">
        <v>44538</v>
      </c>
      <c r="R5462" t="s">
        <v>27253</v>
      </c>
      <c r="S5462" t="s">
        <v>27254</v>
      </c>
      <c r="T5462" t="s">
        <v>27255</v>
      </c>
    </row>
    <row r="5463" spans="1:20" x14ac:dyDescent="0.3">
      <c r="A5463" t="str">
        <f>"0611834771100"</f>
        <v>0611834771100</v>
      </c>
      <c r="B5463" t="str">
        <f>"LK6074"</f>
        <v>LK6074</v>
      </c>
      <c r="C5463" t="s">
        <v>37822</v>
      </c>
      <c r="D5463" t="s">
        <v>27245</v>
      </c>
      <c r="E5463" t="str">
        <f t="shared" si="85"/>
        <v>001390</v>
      </c>
      <c r="F5463" t="s">
        <v>27246</v>
      </c>
      <c r="G5463" t="s">
        <v>27247</v>
      </c>
      <c r="H5463" t="s">
        <v>27248</v>
      </c>
      <c r="I5463" t="s">
        <v>37823</v>
      </c>
      <c r="J5463" t="s">
        <v>10899</v>
      </c>
      <c r="L5463" t="s">
        <v>27250</v>
      </c>
      <c r="M5463" t="s">
        <v>27251</v>
      </c>
      <c r="N5463" t="s">
        <v>27252</v>
      </c>
      <c r="Q5463" s="1">
        <v>44538</v>
      </c>
      <c r="R5463" t="s">
        <v>27253</v>
      </c>
      <c r="S5463" t="s">
        <v>27254</v>
      </c>
      <c r="T5463" t="s">
        <v>27255</v>
      </c>
    </row>
    <row r="5464" spans="1:20" x14ac:dyDescent="0.3">
      <c r="A5464" t="str">
        <f>"0611834772100"</f>
        <v>0611834772100</v>
      </c>
      <c r="B5464" t="str">
        <f>"LK6076"</f>
        <v>LK6076</v>
      </c>
      <c r="C5464" t="s">
        <v>37824</v>
      </c>
      <c r="D5464" t="s">
        <v>27245</v>
      </c>
      <c r="E5464" t="str">
        <f t="shared" si="85"/>
        <v>001390</v>
      </c>
      <c r="F5464" t="s">
        <v>27246</v>
      </c>
      <c r="G5464" t="s">
        <v>27247</v>
      </c>
      <c r="H5464" t="s">
        <v>27248</v>
      </c>
      <c r="I5464" t="s">
        <v>37825</v>
      </c>
      <c r="J5464" t="s">
        <v>10901</v>
      </c>
      <c r="L5464" t="s">
        <v>27250</v>
      </c>
      <c r="M5464" t="s">
        <v>27251</v>
      </c>
      <c r="N5464" t="s">
        <v>27252</v>
      </c>
      <c r="Q5464" s="1">
        <v>44538</v>
      </c>
      <c r="R5464" t="s">
        <v>27253</v>
      </c>
      <c r="S5464" t="s">
        <v>27254</v>
      </c>
      <c r="T5464" t="s">
        <v>27255</v>
      </c>
    </row>
    <row r="5465" spans="1:20" x14ac:dyDescent="0.3">
      <c r="A5465" t="str">
        <f>"0611834773100"</f>
        <v>0611834773100</v>
      </c>
      <c r="B5465" t="str">
        <f>"LK6077"</f>
        <v>LK6077</v>
      </c>
      <c r="C5465" t="s">
        <v>37826</v>
      </c>
      <c r="D5465" t="s">
        <v>27245</v>
      </c>
      <c r="E5465" t="str">
        <f t="shared" si="85"/>
        <v>001390</v>
      </c>
      <c r="F5465" t="s">
        <v>27246</v>
      </c>
      <c r="G5465" t="s">
        <v>27247</v>
      </c>
      <c r="H5465" t="s">
        <v>27248</v>
      </c>
      <c r="I5465" t="s">
        <v>37827</v>
      </c>
      <c r="J5465" t="s">
        <v>10903</v>
      </c>
      <c r="L5465" t="s">
        <v>27250</v>
      </c>
      <c r="M5465" t="s">
        <v>27251</v>
      </c>
      <c r="N5465" t="s">
        <v>27252</v>
      </c>
      <c r="Q5465" s="1">
        <v>44538</v>
      </c>
      <c r="R5465" t="s">
        <v>27253</v>
      </c>
      <c r="S5465" t="s">
        <v>27254</v>
      </c>
      <c r="T5465" t="s">
        <v>27255</v>
      </c>
    </row>
    <row r="5466" spans="1:20" x14ac:dyDescent="0.3">
      <c r="A5466" t="str">
        <f>"0611834774100"</f>
        <v>0611834774100</v>
      </c>
      <c r="B5466" t="str">
        <f>"LK6078"</f>
        <v>LK6078</v>
      </c>
      <c r="C5466" t="s">
        <v>37828</v>
      </c>
      <c r="D5466" t="s">
        <v>27245</v>
      </c>
      <c r="E5466" t="str">
        <f t="shared" si="85"/>
        <v>001390</v>
      </c>
      <c r="F5466" t="s">
        <v>27246</v>
      </c>
      <c r="G5466" t="s">
        <v>27247</v>
      </c>
      <c r="H5466" t="s">
        <v>27248</v>
      </c>
      <c r="I5466" t="s">
        <v>37829</v>
      </c>
      <c r="J5466" t="s">
        <v>10905</v>
      </c>
      <c r="L5466" t="s">
        <v>27250</v>
      </c>
      <c r="M5466" t="s">
        <v>27251</v>
      </c>
      <c r="N5466" t="s">
        <v>27252</v>
      </c>
      <c r="Q5466" s="1">
        <v>44538</v>
      </c>
      <c r="R5466" t="s">
        <v>27253</v>
      </c>
      <c r="S5466" t="s">
        <v>27254</v>
      </c>
      <c r="T5466" t="s">
        <v>27255</v>
      </c>
    </row>
    <row r="5467" spans="1:20" x14ac:dyDescent="0.3">
      <c r="A5467" t="str">
        <f>"0611834775100"</f>
        <v>0611834775100</v>
      </c>
      <c r="B5467" t="str">
        <f>"LK6079"</f>
        <v>LK6079</v>
      </c>
      <c r="C5467" t="s">
        <v>37830</v>
      </c>
      <c r="D5467" t="s">
        <v>27245</v>
      </c>
      <c r="E5467" t="str">
        <f t="shared" si="85"/>
        <v>001390</v>
      </c>
      <c r="F5467" t="s">
        <v>27246</v>
      </c>
      <c r="G5467" t="s">
        <v>27247</v>
      </c>
      <c r="H5467" t="s">
        <v>27248</v>
      </c>
      <c r="I5467" t="s">
        <v>37831</v>
      </c>
      <c r="J5467" t="s">
        <v>10907</v>
      </c>
      <c r="L5467" t="s">
        <v>27250</v>
      </c>
      <c r="M5467" t="s">
        <v>27251</v>
      </c>
      <c r="N5467" t="s">
        <v>27252</v>
      </c>
      <c r="Q5467" s="1">
        <v>44538</v>
      </c>
      <c r="R5467" t="s">
        <v>27253</v>
      </c>
      <c r="S5467" t="s">
        <v>27254</v>
      </c>
      <c r="T5467" t="s">
        <v>27255</v>
      </c>
    </row>
    <row r="5468" spans="1:20" x14ac:dyDescent="0.3">
      <c r="A5468" t="str">
        <f>"0611834776100"</f>
        <v>0611834776100</v>
      </c>
      <c r="B5468" t="str">
        <f>"LB3072"</f>
        <v>LB3072</v>
      </c>
      <c r="C5468" t="s">
        <v>37832</v>
      </c>
      <c r="D5468" t="s">
        <v>27245</v>
      </c>
      <c r="E5468" t="str">
        <f t="shared" si="85"/>
        <v>001390</v>
      </c>
      <c r="F5468" t="s">
        <v>27246</v>
      </c>
      <c r="G5468" t="s">
        <v>27247</v>
      </c>
      <c r="H5468" t="s">
        <v>27248</v>
      </c>
      <c r="I5468" t="s">
        <v>37833</v>
      </c>
      <c r="J5468" t="s">
        <v>10909</v>
      </c>
      <c r="L5468" t="s">
        <v>27250</v>
      </c>
      <c r="M5468" t="s">
        <v>27251</v>
      </c>
      <c r="N5468" t="s">
        <v>27252</v>
      </c>
      <c r="Q5468" s="1">
        <v>44538</v>
      </c>
      <c r="R5468" t="s">
        <v>27253</v>
      </c>
      <c r="S5468" t="s">
        <v>27254</v>
      </c>
      <c r="T5468" t="s">
        <v>27255</v>
      </c>
    </row>
    <row r="5469" spans="1:20" x14ac:dyDescent="0.3">
      <c r="A5469" t="str">
        <f>"0611834777100"</f>
        <v>0611834777100</v>
      </c>
      <c r="B5469" t="str">
        <f>"LB3075"</f>
        <v>LB3075</v>
      </c>
      <c r="C5469" t="s">
        <v>37834</v>
      </c>
      <c r="D5469" t="s">
        <v>27245</v>
      </c>
      <c r="E5469" t="str">
        <f t="shared" si="85"/>
        <v>001390</v>
      </c>
      <c r="F5469" t="s">
        <v>27246</v>
      </c>
      <c r="G5469" t="s">
        <v>27247</v>
      </c>
      <c r="H5469" t="s">
        <v>27248</v>
      </c>
      <c r="I5469" t="s">
        <v>37835</v>
      </c>
      <c r="J5469" t="s">
        <v>10911</v>
      </c>
      <c r="L5469" t="s">
        <v>27250</v>
      </c>
      <c r="M5469" t="s">
        <v>27251</v>
      </c>
      <c r="N5469" t="s">
        <v>27252</v>
      </c>
      <c r="Q5469" s="1">
        <v>44538</v>
      </c>
      <c r="R5469" t="s">
        <v>27253</v>
      </c>
      <c r="S5469" t="s">
        <v>27254</v>
      </c>
      <c r="T5469" t="s">
        <v>27255</v>
      </c>
    </row>
    <row r="5470" spans="1:20" x14ac:dyDescent="0.3">
      <c r="A5470" t="str">
        <f>"0611834778100"</f>
        <v>0611834778100</v>
      </c>
      <c r="B5470" t="str">
        <f>"LK5266"</f>
        <v>LK5266</v>
      </c>
      <c r="C5470" t="s">
        <v>37836</v>
      </c>
      <c r="D5470" t="s">
        <v>27245</v>
      </c>
      <c r="E5470" t="str">
        <f t="shared" si="85"/>
        <v>001390</v>
      </c>
      <c r="F5470" t="s">
        <v>27246</v>
      </c>
      <c r="G5470" t="s">
        <v>27247</v>
      </c>
      <c r="H5470" t="s">
        <v>27248</v>
      </c>
      <c r="I5470" t="s">
        <v>37837</v>
      </c>
      <c r="J5470" t="s">
        <v>10913</v>
      </c>
      <c r="L5470" t="s">
        <v>27250</v>
      </c>
      <c r="M5470" t="s">
        <v>27251</v>
      </c>
      <c r="N5470" t="s">
        <v>27252</v>
      </c>
      <c r="Q5470" s="1">
        <v>44538</v>
      </c>
      <c r="R5470" t="s">
        <v>27253</v>
      </c>
      <c r="S5470" t="s">
        <v>27254</v>
      </c>
      <c r="T5470" t="s">
        <v>27255</v>
      </c>
    </row>
    <row r="5471" spans="1:20" x14ac:dyDescent="0.3">
      <c r="A5471" t="str">
        <f>"0611834779100"</f>
        <v>0611834779100</v>
      </c>
      <c r="B5471" t="str">
        <f>"LK5267"</f>
        <v>LK5267</v>
      </c>
      <c r="C5471" t="s">
        <v>37838</v>
      </c>
      <c r="D5471" t="s">
        <v>27245</v>
      </c>
      <c r="E5471" t="str">
        <f t="shared" si="85"/>
        <v>001390</v>
      </c>
      <c r="F5471" t="s">
        <v>27246</v>
      </c>
      <c r="G5471" t="s">
        <v>27247</v>
      </c>
      <c r="H5471" t="s">
        <v>27248</v>
      </c>
      <c r="I5471" t="s">
        <v>37839</v>
      </c>
      <c r="J5471" t="s">
        <v>10915</v>
      </c>
      <c r="L5471" t="s">
        <v>27250</v>
      </c>
      <c r="M5471" t="s">
        <v>27251</v>
      </c>
      <c r="N5471" t="s">
        <v>27252</v>
      </c>
      <c r="Q5471" s="1">
        <v>44538</v>
      </c>
      <c r="R5471" t="s">
        <v>27253</v>
      </c>
      <c r="S5471" t="s">
        <v>27254</v>
      </c>
      <c r="T5471" t="s">
        <v>27255</v>
      </c>
    </row>
    <row r="5472" spans="1:20" x14ac:dyDescent="0.3">
      <c r="A5472" t="str">
        <f>"0611833581100"</f>
        <v>0611833581100</v>
      </c>
      <c r="B5472" t="str">
        <f>"LL3833"</f>
        <v>LL3833</v>
      </c>
      <c r="C5472" t="s">
        <v>37840</v>
      </c>
      <c r="D5472" t="s">
        <v>27245</v>
      </c>
      <c r="E5472" t="str">
        <f t="shared" si="85"/>
        <v>001390</v>
      </c>
      <c r="F5472" t="s">
        <v>27246</v>
      </c>
      <c r="G5472" t="s">
        <v>27247</v>
      </c>
      <c r="H5472" t="s">
        <v>27248</v>
      </c>
      <c r="I5472" t="s">
        <v>37841</v>
      </c>
      <c r="J5472" t="s">
        <v>10917</v>
      </c>
      <c r="L5472" t="s">
        <v>27250</v>
      </c>
      <c r="M5472" t="s">
        <v>27251</v>
      </c>
      <c r="N5472" t="s">
        <v>27252</v>
      </c>
      <c r="Q5472" s="1">
        <v>44538</v>
      </c>
      <c r="R5472" t="s">
        <v>27253</v>
      </c>
      <c r="S5472" t="s">
        <v>27254</v>
      </c>
      <c r="T5472" t="s">
        <v>27255</v>
      </c>
    </row>
    <row r="5473" spans="1:20" x14ac:dyDescent="0.3">
      <c r="A5473" t="str">
        <f>"0611884241100"</f>
        <v>0611884241100</v>
      </c>
      <c r="B5473" t="str">
        <f>"CN2121"</f>
        <v>CN2121</v>
      </c>
      <c r="C5473" t="s">
        <v>37842</v>
      </c>
      <c r="D5473" t="s">
        <v>27335</v>
      </c>
      <c r="E5473" t="str">
        <f t="shared" si="85"/>
        <v>001390</v>
      </c>
      <c r="F5473" t="s">
        <v>27246</v>
      </c>
      <c r="G5473" t="s">
        <v>27247</v>
      </c>
      <c r="H5473" t="s">
        <v>27248</v>
      </c>
      <c r="I5473" t="s">
        <v>37843</v>
      </c>
      <c r="J5473" t="s">
        <v>10925</v>
      </c>
      <c r="L5473" t="s">
        <v>27430</v>
      </c>
      <c r="M5473" t="s">
        <v>27251</v>
      </c>
      <c r="N5473" t="s">
        <v>27252</v>
      </c>
      <c r="Q5473" s="1">
        <v>45250</v>
      </c>
      <c r="R5473" t="s">
        <v>27253</v>
      </c>
      <c r="S5473" t="s">
        <v>27254</v>
      </c>
      <c r="T5473" t="s">
        <v>27255</v>
      </c>
    </row>
    <row r="5474" spans="1:20" x14ac:dyDescent="0.3">
      <c r="A5474" t="str">
        <f>"0611834780100"</f>
        <v>0611834780100</v>
      </c>
      <c r="B5474" t="str">
        <f>"LF0018"</f>
        <v>LF0018</v>
      </c>
      <c r="C5474" t="s">
        <v>37844</v>
      </c>
      <c r="D5474" t="s">
        <v>27245</v>
      </c>
      <c r="E5474" t="str">
        <f t="shared" si="85"/>
        <v>001390</v>
      </c>
      <c r="F5474" t="s">
        <v>27246</v>
      </c>
      <c r="G5474" t="s">
        <v>27247</v>
      </c>
      <c r="H5474" t="s">
        <v>27248</v>
      </c>
      <c r="I5474" t="s">
        <v>37845</v>
      </c>
      <c r="J5474" t="s">
        <v>10919</v>
      </c>
      <c r="L5474" t="s">
        <v>27250</v>
      </c>
      <c r="M5474" t="s">
        <v>27251</v>
      </c>
      <c r="N5474" t="s">
        <v>27252</v>
      </c>
      <c r="Q5474" s="1">
        <v>44538</v>
      </c>
      <c r="R5474" t="s">
        <v>27253</v>
      </c>
      <c r="S5474" t="s">
        <v>27254</v>
      </c>
      <c r="T5474" t="s">
        <v>27255</v>
      </c>
    </row>
    <row r="5475" spans="1:20" x14ac:dyDescent="0.3">
      <c r="A5475" t="str">
        <f>"0611834781100"</f>
        <v>0611834781100</v>
      </c>
      <c r="B5475" t="str">
        <f>"LF0011"</f>
        <v>LF0011</v>
      </c>
      <c r="C5475" t="s">
        <v>37846</v>
      </c>
      <c r="D5475" t="s">
        <v>27245</v>
      </c>
      <c r="E5475" t="str">
        <f t="shared" si="85"/>
        <v>001390</v>
      </c>
      <c r="F5475" t="s">
        <v>27246</v>
      </c>
      <c r="G5475" t="s">
        <v>27247</v>
      </c>
      <c r="H5475" t="s">
        <v>27248</v>
      </c>
      <c r="I5475" t="s">
        <v>37847</v>
      </c>
      <c r="J5475" t="s">
        <v>10921</v>
      </c>
      <c r="L5475" t="s">
        <v>27250</v>
      </c>
      <c r="M5475" t="s">
        <v>27251</v>
      </c>
      <c r="N5475" t="s">
        <v>27252</v>
      </c>
      <c r="Q5475" s="1">
        <v>44538</v>
      </c>
      <c r="R5475" t="s">
        <v>27253</v>
      </c>
      <c r="S5475" t="s">
        <v>27254</v>
      </c>
      <c r="T5475" t="s">
        <v>27255</v>
      </c>
    </row>
    <row r="5476" spans="1:20" x14ac:dyDescent="0.3">
      <c r="A5476" t="str">
        <f>"0611834782100"</f>
        <v>0611834782100</v>
      </c>
      <c r="B5476" t="str">
        <f>"LF0012"</f>
        <v>LF0012</v>
      </c>
      <c r="C5476" t="s">
        <v>37848</v>
      </c>
      <c r="D5476" t="s">
        <v>27245</v>
      </c>
      <c r="E5476" t="str">
        <f t="shared" si="85"/>
        <v>001390</v>
      </c>
      <c r="F5476" t="s">
        <v>27246</v>
      </c>
      <c r="G5476" t="s">
        <v>27247</v>
      </c>
      <c r="H5476" t="s">
        <v>27248</v>
      </c>
      <c r="I5476" t="s">
        <v>37849</v>
      </c>
      <c r="J5476" t="s">
        <v>10923</v>
      </c>
      <c r="L5476" t="s">
        <v>27250</v>
      </c>
      <c r="M5476" t="s">
        <v>27251</v>
      </c>
      <c r="N5476" t="s">
        <v>27252</v>
      </c>
      <c r="Q5476" s="1">
        <v>44538</v>
      </c>
      <c r="R5476" t="s">
        <v>27253</v>
      </c>
      <c r="S5476" t="s">
        <v>27254</v>
      </c>
      <c r="T5476" t="s">
        <v>27255</v>
      </c>
    </row>
    <row r="5477" spans="1:20" x14ac:dyDescent="0.3">
      <c r="A5477" t="str">
        <f>"0611862465100"</f>
        <v>0611862465100</v>
      </c>
      <c r="B5477" t="str">
        <f>"CN2122"</f>
        <v>CN2122</v>
      </c>
      <c r="C5477" t="s">
        <v>37850</v>
      </c>
      <c r="D5477" t="s">
        <v>27335</v>
      </c>
      <c r="E5477" t="str">
        <f t="shared" si="85"/>
        <v>001390</v>
      </c>
      <c r="F5477" t="s">
        <v>27246</v>
      </c>
      <c r="G5477" t="s">
        <v>27247</v>
      </c>
      <c r="H5477" t="s">
        <v>27248</v>
      </c>
      <c r="I5477" t="s">
        <v>37851</v>
      </c>
      <c r="J5477" t="s">
        <v>10927</v>
      </c>
      <c r="L5477" t="s">
        <v>27250</v>
      </c>
      <c r="M5477" t="s">
        <v>27251</v>
      </c>
      <c r="N5477" t="s">
        <v>27252</v>
      </c>
      <c r="Q5477" s="1">
        <v>44846</v>
      </c>
      <c r="R5477" t="s">
        <v>27253</v>
      </c>
      <c r="S5477" t="s">
        <v>27254</v>
      </c>
      <c r="T5477" t="s">
        <v>27255</v>
      </c>
    </row>
    <row r="5478" spans="1:20" x14ac:dyDescent="0.3">
      <c r="A5478" t="str">
        <f>"0611834825100"</f>
        <v>0611834825100</v>
      </c>
      <c r="B5478" t="str">
        <f>"LF3077"</f>
        <v>LF3077</v>
      </c>
      <c r="C5478" t="s">
        <v>37852</v>
      </c>
      <c r="D5478" t="s">
        <v>27245</v>
      </c>
      <c r="E5478" t="str">
        <f t="shared" si="85"/>
        <v>001390</v>
      </c>
      <c r="F5478" t="s">
        <v>27246</v>
      </c>
      <c r="G5478" t="s">
        <v>27247</v>
      </c>
      <c r="H5478" t="s">
        <v>27248</v>
      </c>
      <c r="I5478" t="s">
        <v>37853</v>
      </c>
      <c r="J5478" t="s">
        <v>10929</v>
      </c>
      <c r="L5478" t="s">
        <v>27250</v>
      </c>
      <c r="M5478" t="s">
        <v>27251</v>
      </c>
      <c r="N5478" t="s">
        <v>27252</v>
      </c>
      <c r="Q5478" s="1">
        <v>44538</v>
      </c>
      <c r="R5478" t="s">
        <v>27253</v>
      </c>
      <c r="S5478" t="s">
        <v>27254</v>
      </c>
      <c r="T5478" t="s">
        <v>27255</v>
      </c>
    </row>
    <row r="5479" spans="1:20" x14ac:dyDescent="0.3">
      <c r="A5479" t="str">
        <f>"0611834826025"</f>
        <v>0611834826025</v>
      </c>
      <c r="B5479" t="str">
        <f>"MC0317"</f>
        <v>MC0317</v>
      </c>
      <c r="C5479" t="s">
        <v>37854</v>
      </c>
      <c r="D5479" t="s">
        <v>27267</v>
      </c>
      <c r="E5479" t="str">
        <f t="shared" si="85"/>
        <v>001390</v>
      </c>
      <c r="F5479" t="s">
        <v>27246</v>
      </c>
      <c r="G5479" t="s">
        <v>27247</v>
      </c>
      <c r="H5479" t="s">
        <v>27248</v>
      </c>
      <c r="I5479" t="s">
        <v>37855</v>
      </c>
      <c r="J5479" t="s">
        <v>10931</v>
      </c>
      <c r="L5479" t="s">
        <v>27250</v>
      </c>
      <c r="M5479" t="s">
        <v>27251</v>
      </c>
      <c r="N5479" t="s">
        <v>27252</v>
      </c>
      <c r="Q5479" s="1">
        <v>44538</v>
      </c>
      <c r="R5479" t="s">
        <v>27253</v>
      </c>
      <c r="S5479" t="s">
        <v>27254</v>
      </c>
      <c r="T5479" t="s">
        <v>27269</v>
      </c>
    </row>
    <row r="5480" spans="1:20" x14ac:dyDescent="0.3">
      <c r="A5480" t="str">
        <f>"0611834827100"</f>
        <v>0611834827100</v>
      </c>
      <c r="B5480" t="str">
        <f>"LH0005"</f>
        <v>LH0005</v>
      </c>
      <c r="C5480" t="s">
        <v>37856</v>
      </c>
      <c r="D5480" t="s">
        <v>27245</v>
      </c>
      <c r="E5480" t="str">
        <f t="shared" si="85"/>
        <v>001390</v>
      </c>
      <c r="F5480" t="s">
        <v>27246</v>
      </c>
      <c r="G5480" t="s">
        <v>27247</v>
      </c>
      <c r="H5480" t="s">
        <v>27248</v>
      </c>
      <c r="I5480" t="s">
        <v>37857</v>
      </c>
      <c r="J5480" t="s">
        <v>10933</v>
      </c>
      <c r="L5480" t="s">
        <v>27250</v>
      </c>
      <c r="M5480" t="s">
        <v>27251</v>
      </c>
      <c r="N5480" t="s">
        <v>27252</v>
      </c>
      <c r="Q5480" s="1">
        <v>44538</v>
      </c>
      <c r="R5480" t="s">
        <v>27253</v>
      </c>
      <c r="S5480" t="s">
        <v>27254</v>
      </c>
      <c r="T5480" t="s">
        <v>27255</v>
      </c>
    </row>
    <row r="5481" spans="1:20" x14ac:dyDescent="0.3">
      <c r="A5481" t="str">
        <f>"0611834828100"</f>
        <v>0611834828100</v>
      </c>
      <c r="B5481" t="str">
        <f>"LH8954"</f>
        <v>LH8954</v>
      </c>
      <c r="C5481" t="s">
        <v>37858</v>
      </c>
      <c r="D5481" t="s">
        <v>27245</v>
      </c>
      <c r="E5481" t="str">
        <f t="shared" si="85"/>
        <v>001390</v>
      </c>
      <c r="F5481" t="s">
        <v>27246</v>
      </c>
      <c r="G5481" t="s">
        <v>27247</v>
      </c>
      <c r="H5481" t="s">
        <v>27248</v>
      </c>
      <c r="I5481" t="s">
        <v>37859</v>
      </c>
      <c r="J5481" t="s">
        <v>10935</v>
      </c>
      <c r="L5481" t="s">
        <v>27250</v>
      </c>
      <c r="M5481" t="s">
        <v>27251</v>
      </c>
      <c r="N5481" t="s">
        <v>27252</v>
      </c>
      <c r="Q5481" s="1">
        <v>44538</v>
      </c>
      <c r="R5481" t="s">
        <v>27253</v>
      </c>
      <c r="S5481" t="s">
        <v>27254</v>
      </c>
      <c r="T5481" t="s">
        <v>27255</v>
      </c>
    </row>
    <row r="5482" spans="1:20" x14ac:dyDescent="0.3">
      <c r="A5482" t="str">
        <f>"0611834829025"</f>
        <v>0611834829025</v>
      </c>
      <c r="B5482" t="str">
        <f>"MC1543"</f>
        <v>MC1543</v>
      </c>
      <c r="C5482" t="s">
        <v>37860</v>
      </c>
      <c r="D5482" t="s">
        <v>27267</v>
      </c>
      <c r="E5482" t="str">
        <f t="shared" si="85"/>
        <v>001390</v>
      </c>
      <c r="F5482" t="s">
        <v>27246</v>
      </c>
      <c r="G5482" t="s">
        <v>27247</v>
      </c>
      <c r="H5482" t="s">
        <v>27248</v>
      </c>
      <c r="I5482" t="s">
        <v>37861</v>
      </c>
      <c r="J5482" t="s">
        <v>10937</v>
      </c>
      <c r="L5482" t="s">
        <v>27250</v>
      </c>
      <c r="M5482" t="s">
        <v>27251</v>
      </c>
      <c r="N5482" t="s">
        <v>27252</v>
      </c>
      <c r="Q5482" s="1">
        <v>44538</v>
      </c>
      <c r="R5482" t="s">
        <v>27253</v>
      </c>
      <c r="S5482" t="s">
        <v>27254</v>
      </c>
      <c r="T5482" t="s">
        <v>27269</v>
      </c>
    </row>
    <row r="5483" spans="1:20" x14ac:dyDescent="0.3">
      <c r="A5483" t="str">
        <f>"0611834830025"</f>
        <v>0611834830025</v>
      </c>
      <c r="B5483" t="str">
        <f>"MQ5109"</f>
        <v>MQ5109</v>
      </c>
      <c r="C5483" t="s">
        <v>37862</v>
      </c>
      <c r="D5483" t="s">
        <v>27267</v>
      </c>
      <c r="E5483" t="str">
        <f t="shared" si="85"/>
        <v>001390</v>
      </c>
      <c r="F5483" t="s">
        <v>27246</v>
      </c>
      <c r="G5483" t="s">
        <v>27247</v>
      </c>
      <c r="H5483" t="s">
        <v>27248</v>
      </c>
      <c r="I5483" t="s">
        <v>37863</v>
      </c>
      <c r="J5483" t="s">
        <v>10939</v>
      </c>
      <c r="L5483" t="s">
        <v>27250</v>
      </c>
      <c r="M5483" t="s">
        <v>27251</v>
      </c>
      <c r="N5483" t="s">
        <v>27252</v>
      </c>
      <c r="Q5483" s="1">
        <v>44538</v>
      </c>
      <c r="R5483" t="s">
        <v>27253</v>
      </c>
      <c r="S5483" t="s">
        <v>27254</v>
      </c>
      <c r="T5483" t="s">
        <v>27269</v>
      </c>
    </row>
    <row r="5484" spans="1:20" x14ac:dyDescent="0.3">
      <c r="A5484" t="str">
        <f>"0611834831025"</f>
        <v>0611834831025</v>
      </c>
      <c r="B5484" t="str">
        <f>"MC3419"</f>
        <v>MC3419</v>
      </c>
      <c r="C5484" t="s">
        <v>37864</v>
      </c>
      <c r="D5484" t="s">
        <v>27267</v>
      </c>
      <c r="E5484" t="str">
        <f t="shared" si="85"/>
        <v>001390</v>
      </c>
      <c r="F5484" t="s">
        <v>27246</v>
      </c>
      <c r="G5484" t="s">
        <v>27247</v>
      </c>
      <c r="H5484" t="s">
        <v>27248</v>
      </c>
      <c r="I5484" t="s">
        <v>37865</v>
      </c>
      <c r="J5484" t="s">
        <v>10941</v>
      </c>
      <c r="L5484" t="s">
        <v>27250</v>
      </c>
      <c r="M5484" t="s">
        <v>27251</v>
      </c>
      <c r="N5484" t="s">
        <v>27252</v>
      </c>
      <c r="Q5484" s="1">
        <v>44538</v>
      </c>
      <c r="R5484" t="s">
        <v>27253</v>
      </c>
      <c r="S5484" t="s">
        <v>27254</v>
      </c>
      <c r="T5484" t="s">
        <v>27269</v>
      </c>
    </row>
    <row r="5485" spans="1:20" x14ac:dyDescent="0.3">
      <c r="A5485" t="str">
        <f>"0611834832025"</f>
        <v>0611834832025</v>
      </c>
      <c r="B5485" t="str">
        <f>"MC3353"</f>
        <v>MC3353</v>
      </c>
      <c r="C5485" t="s">
        <v>37866</v>
      </c>
      <c r="D5485" t="s">
        <v>27267</v>
      </c>
      <c r="E5485" t="str">
        <f t="shared" si="85"/>
        <v>001390</v>
      </c>
      <c r="F5485" t="s">
        <v>27246</v>
      </c>
      <c r="G5485" t="s">
        <v>27247</v>
      </c>
      <c r="H5485" t="s">
        <v>27248</v>
      </c>
      <c r="I5485" t="s">
        <v>37867</v>
      </c>
      <c r="J5485" t="s">
        <v>10943</v>
      </c>
      <c r="L5485" t="s">
        <v>27250</v>
      </c>
      <c r="M5485" t="s">
        <v>27251</v>
      </c>
      <c r="N5485" t="s">
        <v>27252</v>
      </c>
      <c r="Q5485" s="1">
        <v>44538</v>
      </c>
      <c r="R5485" t="s">
        <v>27253</v>
      </c>
      <c r="S5485" t="s">
        <v>27254</v>
      </c>
      <c r="T5485" t="s">
        <v>27269</v>
      </c>
    </row>
    <row r="5486" spans="1:20" x14ac:dyDescent="0.3">
      <c r="A5486" t="str">
        <f>"0611834833100"</f>
        <v>0611834833100</v>
      </c>
      <c r="B5486" t="str">
        <f>"LB0891"</f>
        <v>LB0891</v>
      </c>
      <c r="C5486" t="s">
        <v>37868</v>
      </c>
      <c r="D5486" t="s">
        <v>27245</v>
      </c>
      <c r="E5486" t="str">
        <f t="shared" si="85"/>
        <v>001390</v>
      </c>
      <c r="F5486" t="s">
        <v>27246</v>
      </c>
      <c r="G5486" t="s">
        <v>27247</v>
      </c>
      <c r="H5486" t="s">
        <v>27248</v>
      </c>
      <c r="I5486" t="s">
        <v>37869</v>
      </c>
      <c r="J5486" t="s">
        <v>10945</v>
      </c>
      <c r="L5486" t="s">
        <v>27250</v>
      </c>
      <c r="M5486" t="s">
        <v>27251</v>
      </c>
      <c r="N5486" t="s">
        <v>27252</v>
      </c>
      <c r="Q5486" s="1">
        <v>44538</v>
      </c>
      <c r="R5486" t="s">
        <v>27253</v>
      </c>
      <c r="S5486" t="s">
        <v>27254</v>
      </c>
      <c r="T5486" t="s">
        <v>27255</v>
      </c>
    </row>
    <row r="5487" spans="1:20" x14ac:dyDescent="0.3">
      <c r="A5487" t="str">
        <f>"0611834834100"</f>
        <v>0611834834100</v>
      </c>
      <c r="B5487" t="str">
        <f>"LK1185"</f>
        <v>LK1185</v>
      </c>
      <c r="C5487" t="s">
        <v>37870</v>
      </c>
      <c r="D5487" t="s">
        <v>27245</v>
      </c>
      <c r="E5487" t="str">
        <f t="shared" si="85"/>
        <v>001390</v>
      </c>
      <c r="F5487" t="s">
        <v>27246</v>
      </c>
      <c r="G5487" t="s">
        <v>27247</v>
      </c>
      <c r="H5487" t="s">
        <v>27248</v>
      </c>
      <c r="I5487" t="s">
        <v>37871</v>
      </c>
      <c r="J5487" t="s">
        <v>10947</v>
      </c>
      <c r="L5487" t="s">
        <v>27250</v>
      </c>
      <c r="M5487" t="s">
        <v>27251</v>
      </c>
      <c r="N5487" t="s">
        <v>27252</v>
      </c>
      <c r="Q5487" s="1">
        <v>44538</v>
      </c>
      <c r="R5487" t="s">
        <v>27253</v>
      </c>
      <c r="S5487" t="s">
        <v>27254</v>
      </c>
      <c r="T5487" t="s">
        <v>27255</v>
      </c>
    </row>
    <row r="5488" spans="1:20" x14ac:dyDescent="0.3">
      <c r="A5488" t="str">
        <f>"0611834835100"</f>
        <v>0611834835100</v>
      </c>
      <c r="B5488" t="str">
        <f>"LK5430"</f>
        <v>LK5430</v>
      </c>
      <c r="C5488" t="s">
        <v>37872</v>
      </c>
      <c r="D5488" t="s">
        <v>27245</v>
      </c>
      <c r="E5488" t="str">
        <f t="shared" si="85"/>
        <v>001390</v>
      </c>
      <c r="F5488" t="s">
        <v>27246</v>
      </c>
      <c r="G5488" t="s">
        <v>27247</v>
      </c>
      <c r="H5488" t="s">
        <v>27248</v>
      </c>
      <c r="I5488" t="s">
        <v>37873</v>
      </c>
      <c r="J5488" t="s">
        <v>10949</v>
      </c>
      <c r="L5488" t="s">
        <v>27250</v>
      </c>
      <c r="M5488" t="s">
        <v>27251</v>
      </c>
      <c r="N5488" t="s">
        <v>27252</v>
      </c>
      <c r="Q5488" s="1">
        <v>44538</v>
      </c>
      <c r="R5488" t="s">
        <v>27253</v>
      </c>
      <c r="S5488" t="s">
        <v>27254</v>
      </c>
      <c r="T5488" t="s">
        <v>27255</v>
      </c>
    </row>
    <row r="5489" spans="1:20" x14ac:dyDescent="0.3">
      <c r="A5489" t="str">
        <f>"0611834836025"</f>
        <v>0611834836025</v>
      </c>
      <c r="B5489" t="str">
        <f>"MC3563"</f>
        <v>MC3563</v>
      </c>
      <c r="C5489" t="s">
        <v>37874</v>
      </c>
      <c r="D5489" t="s">
        <v>27267</v>
      </c>
      <c r="E5489" t="str">
        <f t="shared" si="85"/>
        <v>001390</v>
      </c>
      <c r="F5489" t="s">
        <v>27246</v>
      </c>
      <c r="G5489" t="s">
        <v>27247</v>
      </c>
      <c r="H5489" t="s">
        <v>27248</v>
      </c>
      <c r="I5489" t="s">
        <v>37875</v>
      </c>
      <c r="J5489" t="s">
        <v>10951</v>
      </c>
      <c r="L5489" t="s">
        <v>27250</v>
      </c>
      <c r="M5489" t="s">
        <v>27251</v>
      </c>
      <c r="N5489" t="s">
        <v>27252</v>
      </c>
      <c r="Q5489" s="1">
        <v>44538</v>
      </c>
      <c r="R5489" t="s">
        <v>27253</v>
      </c>
      <c r="S5489" t="s">
        <v>27254</v>
      </c>
      <c r="T5489" t="s">
        <v>27269</v>
      </c>
    </row>
    <row r="5490" spans="1:20" x14ac:dyDescent="0.3">
      <c r="A5490" t="str">
        <f>"0611884242025"</f>
        <v>0611884242025</v>
      </c>
      <c r="B5490" t="str">
        <f>"MC4522"</f>
        <v>MC4522</v>
      </c>
      <c r="C5490" t="s">
        <v>37876</v>
      </c>
      <c r="D5490" t="s">
        <v>27267</v>
      </c>
      <c r="E5490" t="str">
        <f t="shared" si="85"/>
        <v>001390</v>
      </c>
      <c r="F5490" t="s">
        <v>27246</v>
      </c>
      <c r="G5490" t="s">
        <v>27247</v>
      </c>
      <c r="H5490" t="s">
        <v>27248</v>
      </c>
      <c r="I5490" t="s">
        <v>37877</v>
      </c>
      <c r="J5490" t="s">
        <v>10959</v>
      </c>
      <c r="L5490" t="s">
        <v>27430</v>
      </c>
      <c r="M5490" t="s">
        <v>27251</v>
      </c>
      <c r="N5490" t="s">
        <v>27252</v>
      </c>
      <c r="Q5490" s="1">
        <v>45250</v>
      </c>
      <c r="R5490" t="s">
        <v>27253</v>
      </c>
      <c r="S5490" t="s">
        <v>27254</v>
      </c>
      <c r="T5490" t="s">
        <v>27269</v>
      </c>
    </row>
    <row r="5491" spans="1:20" x14ac:dyDescent="0.3">
      <c r="A5491" t="str">
        <f>"0611834837100"</f>
        <v>0611834837100</v>
      </c>
      <c r="B5491" t="str">
        <f>"LH4340"</f>
        <v>LH4340</v>
      </c>
      <c r="C5491" t="s">
        <v>37878</v>
      </c>
      <c r="D5491" t="s">
        <v>27245</v>
      </c>
      <c r="E5491" t="str">
        <f t="shared" si="85"/>
        <v>001390</v>
      </c>
      <c r="F5491" t="s">
        <v>27246</v>
      </c>
      <c r="G5491" t="s">
        <v>27247</v>
      </c>
      <c r="H5491" t="s">
        <v>27248</v>
      </c>
      <c r="I5491" t="s">
        <v>37879</v>
      </c>
      <c r="J5491" t="s">
        <v>10953</v>
      </c>
      <c r="L5491" t="s">
        <v>27250</v>
      </c>
      <c r="M5491" t="s">
        <v>27251</v>
      </c>
      <c r="N5491" t="s">
        <v>27252</v>
      </c>
      <c r="Q5491" s="1">
        <v>44538</v>
      </c>
      <c r="R5491" t="s">
        <v>27253</v>
      </c>
      <c r="S5491" t="s">
        <v>27254</v>
      </c>
      <c r="T5491" t="s">
        <v>27255</v>
      </c>
    </row>
    <row r="5492" spans="1:20" x14ac:dyDescent="0.3">
      <c r="A5492" t="str">
        <f>"0611834838025"</f>
        <v>0611834838025</v>
      </c>
      <c r="B5492" t="str">
        <f>"MC0318"</f>
        <v>MC0318</v>
      </c>
      <c r="C5492" t="s">
        <v>37878</v>
      </c>
      <c r="D5492" t="s">
        <v>27267</v>
      </c>
      <c r="E5492" t="str">
        <f t="shared" si="85"/>
        <v>001390</v>
      </c>
      <c r="F5492" t="s">
        <v>27246</v>
      </c>
      <c r="G5492" t="s">
        <v>27247</v>
      </c>
      <c r="H5492" t="s">
        <v>27248</v>
      </c>
      <c r="I5492" t="s">
        <v>37880</v>
      </c>
      <c r="J5492" t="s">
        <v>10955</v>
      </c>
      <c r="L5492" t="s">
        <v>27250</v>
      </c>
      <c r="M5492" t="s">
        <v>27251</v>
      </c>
      <c r="N5492" t="s">
        <v>27252</v>
      </c>
      <c r="Q5492" s="1">
        <v>44538</v>
      </c>
      <c r="R5492" t="s">
        <v>27253</v>
      </c>
      <c r="S5492" t="s">
        <v>27254</v>
      </c>
      <c r="T5492" t="s">
        <v>27269</v>
      </c>
    </row>
    <row r="5493" spans="1:20" x14ac:dyDescent="0.3">
      <c r="A5493" t="str">
        <f>"0611834839025"</f>
        <v>0611834839025</v>
      </c>
      <c r="B5493" t="str">
        <f>"MC0316"</f>
        <v>MC0316</v>
      </c>
      <c r="C5493" t="s">
        <v>37881</v>
      </c>
      <c r="D5493" t="s">
        <v>27267</v>
      </c>
      <c r="E5493" t="str">
        <f t="shared" si="85"/>
        <v>001390</v>
      </c>
      <c r="F5493" t="s">
        <v>27246</v>
      </c>
      <c r="G5493" t="s">
        <v>27247</v>
      </c>
      <c r="H5493" t="s">
        <v>27248</v>
      </c>
      <c r="I5493" t="s">
        <v>37882</v>
      </c>
      <c r="J5493" t="s">
        <v>10957</v>
      </c>
      <c r="L5493" t="s">
        <v>27250</v>
      </c>
      <c r="M5493" t="s">
        <v>27251</v>
      </c>
      <c r="N5493" t="s">
        <v>27252</v>
      </c>
      <c r="Q5493" s="1">
        <v>44538</v>
      </c>
      <c r="R5493" t="s">
        <v>27253</v>
      </c>
      <c r="S5493" t="s">
        <v>27254</v>
      </c>
      <c r="T5493" t="s">
        <v>27269</v>
      </c>
    </row>
    <row r="5494" spans="1:20" x14ac:dyDescent="0.3">
      <c r="A5494" t="str">
        <f>"0611834840025"</f>
        <v>0611834840025</v>
      </c>
      <c r="B5494" t="str">
        <f>"MC4204"</f>
        <v>MC4204</v>
      </c>
      <c r="C5494" t="s">
        <v>37883</v>
      </c>
      <c r="D5494" t="s">
        <v>27267</v>
      </c>
      <c r="E5494" t="str">
        <f t="shared" si="85"/>
        <v>001390</v>
      </c>
      <c r="F5494" t="s">
        <v>27246</v>
      </c>
      <c r="G5494" t="s">
        <v>27247</v>
      </c>
      <c r="H5494" t="s">
        <v>27248</v>
      </c>
      <c r="I5494" t="s">
        <v>37884</v>
      </c>
      <c r="J5494" t="s">
        <v>10961</v>
      </c>
      <c r="L5494" t="s">
        <v>27250</v>
      </c>
      <c r="M5494" t="s">
        <v>27251</v>
      </c>
      <c r="N5494" t="s">
        <v>27252</v>
      </c>
      <c r="Q5494" s="1">
        <v>44538</v>
      </c>
      <c r="R5494" t="s">
        <v>27253</v>
      </c>
      <c r="S5494" t="s">
        <v>27254</v>
      </c>
      <c r="T5494" t="s">
        <v>27269</v>
      </c>
    </row>
    <row r="5495" spans="1:20" x14ac:dyDescent="0.3">
      <c r="A5495" t="str">
        <f>"0611834841025"</f>
        <v>0611834841025</v>
      </c>
      <c r="B5495" t="str">
        <f>"MC1180"</f>
        <v>MC1180</v>
      </c>
      <c r="C5495" t="s">
        <v>37885</v>
      </c>
      <c r="D5495" t="s">
        <v>27267</v>
      </c>
      <c r="E5495" t="str">
        <f t="shared" si="85"/>
        <v>001390</v>
      </c>
      <c r="F5495" t="s">
        <v>27246</v>
      </c>
      <c r="G5495" t="s">
        <v>27247</v>
      </c>
      <c r="H5495" t="s">
        <v>27248</v>
      </c>
      <c r="I5495" t="s">
        <v>37886</v>
      </c>
      <c r="J5495" t="s">
        <v>10963</v>
      </c>
      <c r="L5495" t="s">
        <v>27250</v>
      </c>
      <c r="M5495" t="s">
        <v>27251</v>
      </c>
      <c r="N5495" t="s">
        <v>27252</v>
      </c>
      <c r="Q5495" s="1">
        <v>44538</v>
      </c>
      <c r="R5495" t="s">
        <v>27253</v>
      </c>
      <c r="S5495" t="s">
        <v>27254</v>
      </c>
      <c r="T5495" t="s">
        <v>27269</v>
      </c>
    </row>
    <row r="5496" spans="1:20" x14ac:dyDescent="0.3">
      <c r="A5496" t="str">
        <f>"0611515686100"</f>
        <v>0611515686100</v>
      </c>
      <c r="B5496" t="str">
        <f>""</f>
        <v/>
      </c>
      <c r="C5496" t="s">
        <v>37887</v>
      </c>
      <c r="D5496" t="s">
        <v>37888</v>
      </c>
      <c r="E5496" t="str">
        <f t="shared" si="85"/>
        <v>001390</v>
      </c>
      <c r="F5496" t="s">
        <v>27246</v>
      </c>
      <c r="G5496" t="s">
        <v>27247</v>
      </c>
      <c r="H5496" t="s">
        <v>27248</v>
      </c>
      <c r="I5496" t="s">
        <v>37889</v>
      </c>
      <c r="J5496" t="s">
        <v>10965</v>
      </c>
      <c r="L5496" t="s">
        <v>27250</v>
      </c>
      <c r="M5496" t="s">
        <v>27251</v>
      </c>
      <c r="N5496" t="s">
        <v>27252</v>
      </c>
      <c r="O5496">
        <v>600</v>
      </c>
      <c r="Q5496" s="1">
        <v>41656</v>
      </c>
      <c r="R5496" t="s">
        <v>27253</v>
      </c>
      <c r="S5496" t="s">
        <v>27254</v>
      </c>
      <c r="T5496" t="s">
        <v>27276</v>
      </c>
    </row>
    <row r="5497" spans="1:20" x14ac:dyDescent="0.3">
      <c r="A5497" t="str">
        <f>"0611862466100"</f>
        <v>0611862466100</v>
      </c>
      <c r="B5497" t="str">
        <f>"CN2124"</f>
        <v>CN2124</v>
      </c>
      <c r="C5497" t="s">
        <v>37890</v>
      </c>
      <c r="D5497" t="s">
        <v>27335</v>
      </c>
      <c r="E5497" t="str">
        <f t="shared" si="85"/>
        <v>001390</v>
      </c>
      <c r="F5497" t="s">
        <v>27246</v>
      </c>
      <c r="G5497" t="s">
        <v>27247</v>
      </c>
      <c r="H5497" t="s">
        <v>27248</v>
      </c>
      <c r="I5497" t="s">
        <v>37891</v>
      </c>
      <c r="J5497" t="s">
        <v>10967</v>
      </c>
      <c r="L5497" t="s">
        <v>27250</v>
      </c>
      <c r="M5497" t="s">
        <v>27251</v>
      </c>
      <c r="N5497" t="s">
        <v>27252</v>
      </c>
      <c r="Q5497" s="1">
        <v>44846</v>
      </c>
      <c r="R5497" t="s">
        <v>27253</v>
      </c>
      <c r="S5497" t="s">
        <v>27254</v>
      </c>
      <c r="T5497" t="s">
        <v>27255</v>
      </c>
    </row>
    <row r="5498" spans="1:20" x14ac:dyDescent="0.3">
      <c r="A5498" t="str">
        <f>"0611862467100"</f>
        <v>0611862467100</v>
      </c>
      <c r="B5498" t="str">
        <f>"CN2125"</f>
        <v>CN2125</v>
      </c>
      <c r="C5498" t="s">
        <v>37892</v>
      </c>
      <c r="D5498" t="s">
        <v>27335</v>
      </c>
      <c r="E5498" t="str">
        <f t="shared" si="85"/>
        <v>001390</v>
      </c>
      <c r="F5498" t="s">
        <v>27246</v>
      </c>
      <c r="G5498" t="s">
        <v>27247</v>
      </c>
      <c r="H5498" t="s">
        <v>27248</v>
      </c>
      <c r="I5498" t="s">
        <v>37893</v>
      </c>
      <c r="J5498" t="s">
        <v>10969</v>
      </c>
      <c r="L5498" t="s">
        <v>27250</v>
      </c>
      <c r="M5498" t="s">
        <v>27251</v>
      </c>
      <c r="N5498" t="s">
        <v>27252</v>
      </c>
      <c r="Q5498" s="1">
        <v>44846</v>
      </c>
      <c r="R5498" t="s">
        <v>27253</v>
      </c>
      <c r="S5498" t="s">
        <v>27254</v>
      </c>
      <c r="T5498" t="s">
        <v>27255</v>
      </c>
    </row>
    <row r="5499" spans="1:20" x14ac:dyDescent="0.3">
      <c r="A5499" t="str">
        <f>"0611862468100"</f>
        <v>0611862468100</v>
      </c>
      <c r="B5499" t="str">
        <f>"CN2126"</f>
        <v>CN2126</v>
      </c>
      <c r="C5499" t="s">
        <v>37894</v>
      </c>
      <c r="D5499" t="s">
        <v>27335</v>
      </c>
      <c r="E5499" t="str">
        <f t="shared" si="85"/>
        <v>001390</v>
      </c>
      <c r="F5499" t="s">
        <v>27246</v>
      </c>
      <c r="G5499" t="s">
        <v>27247</v>
      </c>
      <c r="H5499" t="s">
        <v>27248</v>
      </c>
      <c r="I5499" t="s">
        <v>37895</v>
      </c>
      <c r="J5499" t="s">
        <v>10971</v>
      </c>
      <c r="L5499" t="s">
        <v>27250</v>
      </c>
      <c r="M5499" t="s">
        <v>27251</v>
      </c>
      <c r="N5499" t="s">
        <v>27252</v>
      </c>
      <c r="Q5499" s="1">
        <v>44846</v>
      </c>
      <c r="R5499" t="s">
        <v>27253</v>
      </c>
      <c r="S5499" t="s">
        <v>27254</v>
      </c>
      <c r="T5499" t="s">
        <v>27255</v>
      </c>
    </row>
    <row r="5500" spans="1:20" x14ac:dyDescent="0.3">
      <c r="A5500" t="str">
        <f>"0611862469100"</f>
        <v>0611862469100</v>
      </c>
      <c r="B5500" t="str">
        <f>"CN2127"</f>
        <v>CN2127</v>
      </c>
      <c r="C5500" t="s">
        <v>37896</v>
      </c>
      <c r="D5500" t="s">
        <v>27335</v>
      </c>
      <c r="E5500" t="str">
        <f t="shared" si="85"/>
        <v>001390</v>
      </c>
      <c r="F5500" t="s">
        <v>27246</v>
      </c>
      <c r="G5500" t="s">
        <v>27247</v>
      </c>
      <c r="H5500" t="s">
        <v>27248</v>
      </c>
      <c r="I5500" t="s">
        <v>37897</v>
      </c>
      <c r="J5500" t="s">
        <v>10973</v>
      </c>
      <c r="L5500" t="s">
        <v>27250</v>
      </c>
      <c r="M5500" t="s">
        <v>27251</v>
      </c>
      <c r="N5500" t="s">
        <v>27252</v>
      </c>
      <c r="Q5500" s="1">
        <v>44846</v>
      </c>
      <c r="R5500" t="s">
        <v>27253</v>
      </c>
      <c r="S5500" t="s">
        <v>27254</v>
      </c>
      <c r="T5500" t="s">
        <v>27255</v>
      </c>
    </row>
    <row r="5501" spans="1:20" x14ac:dyDescent="0.3">
      <c r="A5501" t="str">
        <f>"0611862470100"</f>
        <v>0611862470100</v>
      </c>
      <c r="B5501" t="str">
        <f>"CN2132"</f>
        <v>CN2132</v>
      </c>
      <c r="C5501" t="s">
        <v>37898</v>
      </c>
      <c r="D5501" t="s">
        <v>27335</v>
      </c>
      <c r="E5501" t="str">
        <f t="shared" si="85"/>
        <v>001390</v>
      </c>
      <c r="F5501" t="s">
        <v>27246</v>
      </c>
      <c r="G5501" t="s">
        <v>27247</v>
      </c>
      <c r="H5501" t="s">
        <v>27248</v>
      </c>
      <c r="I5501" t="s">
        <v>37899</v>
      </c>
      <c r="J5501" t="s">
        <v>10975</v>
      </c>
      <c r="L5501" t="s">
        <v>27250</v>
      </c>
      <c r="M5501" t="s">
        <v>27251</v>
      </c>
      <c r="N5501" t="s">
        <v>27252</v>
      </c>
      <c r="Q5501" s="1">
        <v>44846</v>
      </c>
      <c r="R5501" t="s">
        <v>27253</v>
      </c>
      <c r="S5501" t="s">
        <v>27254</v>
      </c>
      <c r="T5501" t="s">
        <v>27255</v>
      </c>
    </row>
    <row r="5502" spans="1:20" x14ac:dyDescent="0.3">
      <c r="A5502" t="str">
        <f>"0611862471100"</f>
        <v>0611862471100</v>
      </c>
      <c r="B5502" t="str">
        <f>"CN2134"</f>
        <v>CN2134</v>
      </c>
      <c r="C5502" t="s">
        <v>37900</v>
      </c>
      <c r="D5502" t="s">
        <v>27335</v>
      </c>
      <c r="E5502" t="str">
        <f t="shared" si="85"/>
        <v>001390</v>
      </c>
      <c r="F5502" t="s">
        <v>27246</v>
      </c>
      <c r="G5502" t="s">
        <v>27247</v>
      </c>
      <c r="H5502" t="s">
        <v>27248</v>
      </c>
      <c r="I5502" t="s">
        <v>37901</v>
      </c>
      <c r="J5502" t="s">
        <v>10977</v>
      </c>
      <c r="L5502" t="s">
        <v>27250</v>
      </c>
      <c r="M5502" t="s">
        <v>27251</v>
      </c>
      <c r="N5502" t="s">
        <v>27252</v>
      </c>
      <c r="Q5502" s="1">
        <v>44846</v>
      </c>
      <c r="R5502" t="s">
        <v>27253</v>
      </c>
      <c r="S5502" t="s">
        <v>27254</v>
      </c>
      <c r="T5502" t="s">
        <v>27255</v>
      </c>
    </row>
    <row r="5503" spans="1:20" x14ac:dyDescent="0.3">
      <c r="A5503" t="str">
        <f>"0611862472100"</f>
        <v>0611862472100</v>
      </c>
      <c r="B5503" t="str">
        <f>"CN2128"</f>
        <v>CN2128</v>
      </c>
      <c r="C5503" t="s">
        <v>37902</v>
      </c>
      <c r="D5503" t="s">
        <v>27335</v>
      </c>
      <c r="E5503" t="str">
        <f t="shared" si="85"/>
        <v>001390</v>
      </c>
      <c r="F5503" t="s">
        <v>27246</v>
      </c>
      <c r="G5503" t="s">
        <v>27247</v>
      </c>
      <c r="H5503" t="s">
        <v>27248</v>
      </c>
      <c r="I5503" t="s">
        <v>37903</v>
      </c>
      <c r="J5503" t="s">
        <v>10979</v>
      </c>
      <c r="L5503" t="s">
        <v>27250</v>
      </c>
      <c r="M5503" t="s">
        <v>27251</v>
      </c>
      <c r="N5503" t="s">
        <v>27252</v>
      </c>
      <c r="Q5503" s="1">
        <v>44846</v>
      </c>
      <c r="R5503" t="s">
        <v>27253</v>
      </c>
      <c r="S5503" t="s">
        <v>27254</v>
      </c>
      <c r="T5503" t="s">
        <v>27255</v>
      </c>
    </row>
    <row r="5504" spans="1:20" x14ac:dyDescent="0.3">
      <c r="A5504" t="str">
        <f>"0611862473100"</f>
        <v>0611862473100</v>
      </c>
      <c r="B5504" t="str">
        <f>"CN2133"</f>
        <v>CN2133</v>
      </c>
      <c r="C5504" t="s">
        <v>37904</v>
      </c>
      <c r="D5504" t="s">
        <v>27335</v>
      </c>
      <c r="E5504" t="str">
        <f t="shared" si="85"/>
        <v>001390</v>
      </c>
      <c r="F5504" t="s">
        <v>27246</v>
      </c>
      <c r="G5504" t="s">
        <v>27247</v>
      </c>
      <c r="H5504" t="s">
        <v>27248</v>
      </c>
      <c r="I5504" t="s">
        <v>37905</v>
      </c>
      <c r="J5504" t="s">
        <v>10981</v>
      </c>
      <c r="L5504" t="s">
        <v>27250</v>
      </c>
      <c r="M5504" t="s">
        <v>27251</v>
      </c>
      <c r="N5504" t="s">
        <v>27252</v>
      </c>
      <c r="Q5504" s="1">
        <v>44846</v>
      </c>
      <c r="R5504" t="s">
        <v>27253</v>
      </c>
      <c r="S5504" t="s">
        <v>27254</v>
      </c>
      <c r="T5504" t="s">
        <v>27255</v>
      </c>
    </row>
    <row r="5505" spans="1:20" x14ac:dyDescent="0.3">
      <c r="A5505" t="str">
        <f>"0611862474100"</f>
        <v>0611862474100</v>
      </c>
      <c r="B5505" t="str">
        <f>"CN2129"</f>
        <v>CN2129</v>
      </c>
      <c r="C5505" t="s">
        <v>37906</v>
      </c>
      <c r="D5505" t="s">
        <v>27335</v>
      </c>
      <c r="E5505" t="str">
        <f t="shared" si="85"/>
        <v>001390</v>
      </c>
      <c r="F5505" t="s">
        <v>27246</v>
      </c>
      <c r="G5505" t="s">
        <v>27247</v>
      </c>
      <c r="H5505" t="s">
        <v>27248</v>
      </c>
      <c r="I5505" t="s">
        <v>37907</v>
      </c>
      <c r="J5505" t="s">
        <v>10983</v>
      </c>
      <c r="L5505" t="s">
        <v>27250</v>
      </c>
      <c r="M5505" t="s">
        <v>27251</v>
      </c>
      <c r="N5505" t="s">
        <v>27252</v>
      </c>
      <c r="Q5505" s="1">
        <v>44846</v>
      </c>
      <c r="R5505" t="s">
        <v>27253</v>
      </c>
      <c r="S5505" t="s">
        <v>27254</v>
      </c>
      <c r="T5505" t="s">
        <v>27255</v>
      </c>
    </row>
    <row r="5506" spans="1:20" x14ac:dyDescent="0.3">
      <c r="A5506" t="str">
        <f>"0611862475100"</f>
        <v>0611862475100</v>
      </c>
      <c r="B5506" t="str">
        <f>"CN2130"</f>
        <v>CN2130</v>
      </c>
      <c r="C5506" t="s">
        <v>37908</v>
      </c>
      <c r="D5506" t="s">
        <v>27335</v>
      </c>
      <c r="E5506" t="str">
        <f t="shared" ref="E5506:E5569" si="86">"001390"</f>
        <v>001390</v>
      </c>
      <c r="F5506" t="s">
        <v>27246</v>
      </c>
      <c r="G5506" t="s">
        <v>27247</v>
      </c>
      <c r="H5506" t="s">
        <v>27248</v>
      </c>
      <c r="I5506" t="s">
        <v>37909</v>
      </c>
      <c r="J5506" t="s">
        <v>10985</v>
      </c>
      <c r="L5506" t="s">
        <v>27250</v>
      </c>
      <c r="M5506" t="s">
        <v>27251</v>
      </c>
      <c r="N5506" t="s">
        <v>27252</v>
      </c>
      <c r="Q5506" s="1">
        <v>44846</v>
      </c>
      <c r="R5506" t="s">
        <v>27253</v>
      </c>
      <c r="S5506" t="s">
        <v>27254</v>
      </c>
      <c r="T5506" t="s">
        <v>27255</v>
      </c>
    </row>
    <row r="5507" spans="1:20" x14ac:dyDescent="0.3">
      <c r="A5507" t="str">
        <f>"0611862476100"</f>
        <v>0611862476100</v>
      </c>
      <c r="B5507" t="str">
        <f>"CN2131"</f>
        <v>CN2131</v>
      </c>
      <c r="C5507" t="s">
        <v>37910</v>
      </c>
      <c r="D5507" t="s">
        <v>27335</v>
      </c>
      <c r="E5507" t="str">
        <f t="shared" si="86"/>
        <v>001390</v>
      </c>
      <c r="F5507" t="s">
        <v>27246</v>
      </c>
      <c r="G5507" t="s">
        <v>27247</v>
      </c>
      <c r="H5507" t="s">
        <v>27248</v>
      </c>
      <c r="I5507" t="s">
        <v>37911</v>
      </c>
      <c r="J5507" t="s">
        <v>10987</v>
      </c>
      <c r="L5507" t="s">
        <v>27250</v>
      </c>
      <c r="M5507" t="s">
        <v>27251</v>
      </c>
      <c r="N5507" t="s">
        <v>27252</v>
      </c>
      <c r="Q5507" s="1">
        <v>44846</v>
      </c>
      <c r="R5507" t="s">
        <v>27253</v>
      </c>
      <c r="S5507" t="s">
        <v>27254</v>
      </c>
      <c r="T5507" t="s">
        <v>27255</v>
      </c>
    </row>
    <row r="5508" spans="1:20" x14ac:dyDescent="0.3">
      <c r="A5508" t="str">
        <f>"0611862477100"</f>
        <v>0611862477100</v>
      </c>
      <c r="B5508" t="str">
        <f>"CN2135"</f>
        <v>CN2135</v>
      </c>
      <c r="C5508" t="s">
        <v>37912</v>
      </c>
      <c r="D5508" t="s">
        <v>27335</v>
      </c>
      <c r="E5508" t="str">
        <f t="shared" si="86"/>
        <v>001390</v>
      </c>
      <c r="F5508" t="s">
        <v>27246</v>
      </c>
      <c r="G5508" t="s">
        <v>27247</v>
      </c>
      <c r="H5508" t="s">
        <v>27248</v>
      </c>
      <c r="I5508" t="s">
        <v>37913</v>
      </c>
      <c r="J5508" t="s">
        <v>10989</v>
      </c>
      <c r="L5508" t="s">
        <v>27250</v>
      </c>
      <c r="M5508" t="s">
        <v>27251</v>
      </c>
      <c r="N5508" t="s">
        <v>27252</v>
      </c>
      <c r="Q5508" s="1">
        <v>44846</v>
      </c>
      <c r="R5508" t="s">
        <v>27253</v>
      </c>
      <c r="S5508" t="s">
        <v>27254</v>
      </c>
      <c r="T5508" t="s">
        <v>27255</v>
      </c>
    </row>
    <row r="5509" spans="1:20" x14ac:dyDescent="0.3">
      <c r="A5509" t="str">
        <f>"0611862478100"</f>
        <v>0611862478100</v>
      </c>
      <c r="B5509" t="str">
        <f>"CN2138"</f>
        <v>CN2138</v>
      </c>
      <c r="C5509" t="s">
        <v>37914</v>
      </c>
      <c r="D5509" t="s">
        <v>27335</v>
      </c>
      <c r="E5509" t="str">
        <f t="shared" si="86"/>
        <v>001390</v>
      </c>
      <c r="F5509" t="s">
        <v>27246</v>
      </c>
      <c r="G5509" t="s">
        <v>27247</v>
      </c>
      <c r="H5509" t="s">
        <v>27248</v>
      </c>
      <c r="I5509" t="s">
        <v>37915</v>
      </c>
      <c r="J5509" t="s">
        <v>10991</v>
      </c>
      <c r="L5509" t="s">
        <v>27250</v>
      </c>
      <c r="M5509" t="s">
        <v>27251</v>
      </c>
      <c r="N5509" t="s">
        <v>27252</v>
      </c>
      <c r="Q5509" s="1">
        <v>44846</v>
      </c>
      <c r="R5509" t="s">
        <v>27253</v>
      </c>
      <c r="S5509" t="s">
        <v>27254</v>
      </c>
      <c r="T5509" t="s">
        <v>27255</v>
      </c>
    </row>
    <row r="5510" spans="1:20" x14ac:dyDescent="0.3">
      <c r="A5510" t="str">
        <f>"0611834843100"</f>
        <v>0611834843100</v>
      </c>
      <c r="B5510" t="str">
        <f>"LG1001"</f>
        <v>LG1001</v>
      </c>
      <c r="C5510" t="s">
        <v>37916</v>
      </c>
      <c r="D5510" t="s">
        <v>27245</v>
      </c>
      <c r="E5510" t="str">
        <f t="shared" si="86"/>
        <v>001390</v>
      </c>
      <c r="F5510" t="s">
        <v>27246</v>
      </c>
      <c r="G5510" t="s">
        <v>27247</v>
      </c>
      <c r="H5510" t="s">
        <v>27248</v>
      </c>
      <c r="I5510" t="s">
        <v>37917</v>
      </c>
      <c r="J5510" t="s">
        <v>10993</v>
      </c>
      <c r="L5510" t="s">
        <v>27250</v>
      </c>
      <c r="M5510" t="s">
        <v>27251</v>
      </c>
      <c r="N5510" t="s">
        <v>27252</v>
      </c>
      <c r="Q5510" s="1">
        <v>44538</v>
      </c>
      <c r="R5510" t="s">
        <v>27253</v>
      </c>
      <c r="S5510" t="s">
        <v>27254</v>
      </c>
      <c r="T5510" t="s">
        <v>27255</v>
      </c>
    </row>
    <row r="5511" spans="1:20" x14ac:dyDescent="0.3">
      <c r="A5511" t="str">
        <f>"0611862479100"</f>
        <v>0611862479100</v>
      </c>
      <c r="B5511" t="str">
        <f>"CN2139"</f>
        <v>CN2139</v>
      </c>
      <c r="C5511" t="s">
        <v>37918</v>
      </c>
      <c r="D5511" t="s">
        <v>27335</v>
      </c>
      <c r="E5511" t="str">
        <f t="shared" si="86"/>
        <v>001390</v>
      </c>
      <c r="F5511" t="s">
        <v>27246</v>
      </c>
      <c r="G5511" t="s">
        <v>27247</v>
      </c>
      <c r="H5511" t="s">
        <v>27248</v>
      </c>
      <c r="I5511" t="s">
        <v>37919</v>
      </c>
      <c r="J5511" t="s">
        <v>10995</v>
      </c>
      <c r="L5511" t="s">
        <v>27250</v>
      </c>
      <c r="M5511" t="s">
        <v>27251</v>
      </c>
      <c r="N5511" t="s">
        <v>27252</v>
      </c>
      <c r="Q5511" s="1">
        <v>44846</v>
      </c>
      <c r="R5511" t="s">
        <v>27253</v>
      </c>
      <c r="S5511" t="s">
        <v>27254</v>
      </c>
      <c r="T5511" t="s">
        <v>27255</v>
      </c>
    </row>
    <row r="5512" spans="1:20" x14ac:dyDescent="0.3">
      <c r="A5512" t="str">
        <f>"0611862480100"</f>
        <v>0611862480100</v>
      </c>
      <c r="B5512" t="str">
        <f>"CN2140"</f>
        <v>CN2140</v>
      </c>
      <c r="C5512" t="s">
        <v>37920</v>
      </c>
      <c r="D5512" t="s">
        <v>27335</v>
      </c>
      <c r="E5512" t="str">
        <f t="shared" si="86"/>
        <v>001390</v>
      </c>
      <c r="F5512" t="s">
        <v>27246</v>
      </c>
      <c r="G5512" t="s">
        <v>27247</v>
      </c>
      <c r="H5512" t="s">
        <v>27248</v>
      </c>
      <c r="I5512" t="s">
        <v>37921</v>
      </c>
      <c r="J5512" t="s">
        <v>10997</v>
      </c>
      <c r="L5512" t="s">
        <v>27250</v>
      </c>
      <c r="M5512" t="s">
        <v>27251</v>
      </c>
      <c r="N5512" t="s">
        <v>27252</v>
      </c>
      <c r="Q5512" s="1">
        <v>44846</v>
      </c>
      <c r="R5512" t="s">
        <v>27253</v>
      </c>
      <c r="S5512" t="s">
        <v>27254</v>
      </c>
      <c r="T5512" t="s">
        <v>27255</v>
      </c>
    </row>
    <row r="5513" spans="1:20" x14ac:dyDescent="0.3">
      <c r="A5513" t="str">
        <f>"0611862481100"</f>
        <v>0611862481100</v>
      </c>
      <c r="B5513" t="str">
        <f>"CN2141"</f>
        <v>CN2141</v>
      </c>
      <c r="C5513" t="s">
        <v>37922</v>
      </c>
      <c r="D5513" t="s">
        <v>27335</v>
      </c>
      <c r="E5513" t="str">
        <f t="shared" si="86"/>
        <v>001390</v>
      </c>
      <c r="F5513" t="s">
        <v>27246</v>
      </c>
      <c r="G5513" t="s">
        <v>27247</v>
      </c>
      <c r="H5513" t="s">
        <v>27248</v>
      </c>
      <c r="I5513" t="s">
        <v>37923</v>
      </c>
      <c r="J5513" t="s">
        <v>10999</v>
      </c>
      <c r="L5513" t="s">
        <v>27250</v>
      </c>
      <c r="M5513" t="s">
        <v>27251</v>
      </c>
      <c r="N5513" t="s">
        <v>27252</v>
      </c>
      <c r="Q5513" s="1">
        <v>44846</v>
      </c>
      <c r="R5513" t="s">
        <v>27253</v>
      </c>
      <c r="S5513" t="s">
        <v>27254</v>
      </c>
      <c r="T5513" t="s">
        <v>27255</v>
      </c>
    </row>
    <row r="5514" spans="1:20" x14ac:dyDescent="0.3">
      <c r="A5514" t="str">
        <f>"0611862482100"</f>
        <v>0611862482100</v>
      </c>
      <c r="B5514" t="str">
        <f>"CN2325"</f>
        <v>CN2325</v>
      </c>
      <c r="C5514" t="s">
        <v>37924</v>
      </c>
      <c r="D5514" t="s">
        <v>27335</v>
      </c>
      <c r="E5514" t="str">
        <f t="shared" si="86"/>
        <v>001390</v>
      </c>
      <c r="F5514" t="s">
        <v>27246</v>
      </c>
      <c r="G5514" t="s">
        <v>27247</v>
      </c>
      <c r="H5514" t="s">
        <v>27248</v>
      </c>
      <c r="I5514" t="s">
        <v>37925</v>
      </c>
      <c r="J5514" t="s">
        <v>11001</v>
      </c>
      <c r="L5514" t="s">
        <v>27250</v>
      </c>
      <c r="M5514" t="s">
        <v>27251</v>
      </c>
      <c r="N5514" t="s">
        <v>27252</v>
      </c>
      <c r="Q5514" s="1">
        <v>44846</v>
      </c>
      <c r="R5514" t="s">
        <v>27253</v>
      </c>
      <c r="S5514" t="s">
        <v>27254</v>
      </c>
      <c r="T5514" t="s">
        <v>27255</v>
      </c>
    </row>
    <row r="5515" spans="1:20" x14ac:dyDescent="0.3">
      <c r="A5515" t="str">
        <f>"0611862483100"</f>
        <v>0611862483100</v>
      </c>
      <c r="B5515" t="str">
        <f>"CN2145"</f>
        <v>CN2145</v>
      </c>
      <c r="C5515" t="s">
        <v>37926</v>
      </c>
      <c r="D5515" t="s">
        <v>27335</v>
      </c>
      <c r="E5515" t="str">
        <f t="shared" si="86"/>
        <v>001390</v>
      </c>
      <c r="F5515" t="s">
        <v>27246</v>
      </c>
      <c r="G5515" t="s">
        <v>27247</v>
      </c>
      <c r="H5515" t="s">
        <v>27248</v>
      </c>
      <c r="I5515" t="s">
        <v>37927</v>
      </c>
      <c r="J5515" t="s">
        <v>11003</v>
      </c>
      <c r="L5515" t="s">
        <v>27250</v>
      </c>
      <c r="M5515" t="s">
        <v>27251</v>
      </c>
      <c r="N5515" t="s">
        <v>27252</v>
      </c>
      <c r="Q5515" s="1">
        <v>44846</v>
      </c>
      <c r="R5515" t="s">
        <v>27253</v>
      </c>
      <c r="S5515" t="s">
        <v>27254</v>
      </c>
      <c r="T5515" t="s">
        <v>27255</v>
      </c>
    </row>
    <row r="5516" spans="1:20" x14ac:dyDescent="0.3">
      <c r="A5516" t="str">
        <f>"0611862484100"</f>
        <v>0611862484100</v>
      </c>
      <c r="B5516" t="str">
        <f>"CN2146"</f>
        <v>CN2146</v>
      </c>
      <c r="C5516" t="s">
        <v>37928</v>
      </c>
      <c r="D5516" t="s">
        <v>27335</v>
      </c>
      <c r="E5516" t="str">
        <f t="shared" si="86"/>
        <v>001390</v>
      </c>
      <c r="F5516" t="s">
        <v>27246</v>
      </c>
      <c r="G5516" t="s">
        <v>27247</v>
      </c>
      <c r="H5516" t="s">
        <v>27248</v>
      </c>
      <c r="I5516" t="s">
        <v>37929</v>
      </c>
      <c r="J5516" t="s">
        <v>11005</v>
      </c>
      <c r="L5516" t="s">
        <v>27250</v>
      </c>
      <c r="M5516" t="s">
        <v>27251</v>
      </c>
      <c r="N5516" t="s">
        <v>27252</v>
      </c>
      <c r="Q5516" s="1">
        <v>44846</v>
      </c>
      <c r="R5516" t="s">
        <v>27253</v>
      </c>
      <c r="S5516" t="s">
        <v>27254</v>
      </c>
      <c r="T5516" t="s">
        <v>27255</v>
      </c>
    </row>
    <row r="5517" spans="1:20" x14ac:dyDescent="0.3">
      <c r="A5517" t="str">
        <f>"0611862485100"</f>
        <v>0611862485100</v>
      </c>
      <c r="B5517" t="str">
        <f>"CN2136"</f>
        <v>CN2136</v>
      </c>
      <c r="C5517" t="s">
        <v>37930</v>
      </c>
      <c r="D5517" t="s">
        <v>27335</v>
      </c>
      <c r="E5517" t="str">
        <f t="shared" si="86"/>
        <v>001390</v>
      </c>
      <c r="F5517" t="s">
        <v>27246</v>
      </c>
      <c r="G5517" t="s">
        <v>27247</v>
      </c>
      <c r="H5517" t="s">
        <v>27248</v>
      </c>
      <c r="I5517" t="s">
        <v>37931</v>
      </c>
      <c r="J5517" t="s">
        <v>11007</v>
      </c>
      <c r="L5517" t="s">
        <v>27250</v>
      </c>
      <c r="M5517" t="s">
        <v>27251</v>
      </c>
      <c r="N5517" t="s">
        <v>27252</v>
      </c>
      <c r="Q5517" s="1">
        <v>44846</v>
      </c>
      <c r="R5517" t="s">
        <v>27253</v>
      </c>
      <c r="S5517" t="s">
        <v>27254</v>
      </c>
      <c r="T5517" t="s">
        <v>27255</v>
      </c>
    </row>
    <row r="5518" spans="1:20" x14ac:dyDescent="0.3">
      <c r="A5518" t="str">
        <f>"0611862486100"</f>
        <v>0611862486100</v>
      </c>
      <c r="B5518" t="str">
        <f>"CN2147"</f>
        <v>CN2147</v>
      </c>
      <c r="C5518" t="s">
        <v>37932</v>
      </c>
      <c r="D5518" t="s">
        <v>27335</v>
      </c>
      <c r="E5518" t="str">
        <f t="shared" si="86"/>
        <v>001390</v>
      </c>
      <c r="F5518" t="s">
        <v>27246</v>
      </c>
      <c r="G5518" t="s">
        <v>27247</v>
      </c>
      <c r="H5518" t="s">
        <v>27248</v>
      </c>
      <c r="I5518" t="s">
        <v>37933</v>
      </c>
      <c r="J5518" t="s">
        <v>11009</v>
      </c>
      <c r="L5518" t="s">
        <v>27250</v>
      </c>
      <c r="M5518" t="s">
        <v>27251</v>
      </c>
      <c r="N5518" t="s">
        <v>27252</v>
      </c>
      <c r="Q5518" s="1">
        <v>44846</v>
      </c>
      <c r="R5518" t="s">
        <v>27253</v>
      </c>
      <c r="S5518" t="s">
        <v>27254</v>
      </c>
      <c r="T5518" t="s">
        <v>27255</v>
      </c>
    </row>
    <row r="5519" spans="1:20" x14ac:dyDescent="0.3">
      <c r="A5519" t="str">
        <f>"0611862487100"</f>
        <v>0611862487100</v>
      </c>
      <c r="B5519" t="str">
        <f>"CN2319"</f>
        <v>CN2319</v>
      </c>
      <c r="C5519" t="s">
        <v>37934</v>
      </c>
      <c r="D5519" t="s">
        <v>27335</v>
      </c>
      <c r="E5519" t="str">
        <f t="shared" si="86"/>
        <v>001390</v>
      </c>
      <c r="F5519" t="s">
        <v>27246</v>
      </c>
      <c r="G5519" t="s">
        <v>27247</v>
      </c>
      <c r="H5519" t="s">
        <v>27248</v>
      </c>
      <c r="I5519" t="s">
        <v>37935</v>
      </c>
      <c r="J5519" t="s">
        <v>11011</v>
      </c>
      <c r="L5519" t="s">
        <v>27250</v>
      </c>
      <c r="M5519" t="s">
        <v>27251</v>
      </c>
      <c r="N5519" t="s">
        <v>27252</v>
      </c>
      <c r="Q5519" s="1">
        <v>44846</v>
      </c>
      <c r="R5519" t="s">
        <v>27253</v>
      </c>
      <c r="S5519" t="s">
        <v>27254</v>
      </c>
      <c r="T5519" t="s">
        <v>27255</v>
      </c>
    </row>
    <row r="5520" spans="1:20" x14ac:dyDescent="0.3">
      <c r="A5520" t="str">
        <f>"0611862488100"</f>
        <v>0611862488100</v>
      </c>
      <c r="B5520" t="str">
        <f>"CN2137"</f>
        <v>CN2137</v>
      </c>
      <c r="C5520" t="s">
        <v>37936</v>
      </c>
      <c r="D5520" t="s">
        <v>27335</v>
      </c>
      <c r="E5520" t="str">
        <f t="shared" si="86"/>
        <v>001390</v>
      </c>
      <c r="F5520" t="s">
        <v>27246</v>
      </c>
      <c r="G5520" t="s">
        <v>27247</v>
      </c>
      <c r="H5520" t="s">
        <v>27248</v>
      </c>
      <c r="I5520" t="s">
        <v>37937</v>
      </c>
      <c r="J5520" t="s">
        <v>11013</v>
      </c>
      <c r="L5520" t="s">
        <v>27250</v>
      </c>
      <c r="M5520" t="s">
        <v>27251</v>
      </c>
      <c r="N5520" t="s">
        <v>27252</v>
      </c>
      <c r="Q5520" s="1">
        <v>44846</v>
      </c>
      <c r="R5520" t="s">
        <v>27253</v>
      </c>
      <c r="S5520" t="s">
        <v>27254</v>
      </c>
      <c r="T5520" t="s">
        <v>27255</v>
      </c>
    </row>
    <row r="5521" spans="1:20" x14ac:dyDescent="0.3">
      <c r="A5521" t="str">
        <f>"0611862489100"</f>
        <v>0611862489100</v>
      </c>
      <c r="B5521" t="str">
        <f>"CN2148"</f>
        <v>CN2148</v>
      </c>
      <c r="C5521" t="s">
        <v>37938</v>
      </c>
      <c r="D5521" t="s">
        <v>27335</v>
      </c>
      <c r="E5521" t="str">
        <f t="shared" si="86"/>
        <v>001390</v>
      </c>
      <c r="F5521" t="s">
        <v>27246</v>
      </c>
      <c r="G5521" t="s">
        <v>27247</v>
      </c>
      <c r="H5521" t="s">
        <v>27248</v>
      </c>
      <c r="I5521" t="s">
        <v>37939</v>
      </c>
      <c r="J5521" t="s">
        <v>11015</v>
      </c>
      <c r="L5521" t="s">
        <v>27250</v>
      </c>
      <c r="M5521" t="s">
        <v>27251</v>
      </c>
      <c r="N5521" t="s">
        <v>27252</v>
      </c>
      <c r="Q5521" s="1">
        <v>44846</v>
      </c>
      <c r="R5521" t="s">
        <v>27253</v>
      </c>
      <c r="S5521" t="s">
        <v>27254</v>
      </c>
      <c r="T5521" t="s">
        <v>27255</v>
      </c>
    </row>
    <row r="5522" spans="1:20" x14ac:dyDescent="0.3">
      <c r="A5522" t="str">
        <f>"0611862490100"</f>
        <v>0611862490100</v>
      </c>
      <c r="B5522" t="str">
        <f>"CN2149"</f>
        <v>CN2149</v>
      </c>
      <c r="C5522" t="s">
        <v>37940</v>
      </c>
      <c r="D5522" t="s">
        <v>27335</v>
      </c>
      <c r="E5522" t="str">
        <f t="shared" si="86"/>
        <v>001390</v>
      </c>
      <c r="F5522" t="s">
        <v>27246</v>
      </c>
      <c r="G5522" t="s">
        <v>27247</v>
      </c>
      <c r="H5522" t="s">
        <v>27248</v>
      </c>
      <c r="I5522" t="s">
        <v>37941</v>
      </c>
      <c r="J5522" t="s">
        <v>11017</v>
      </c>
      <c r="L5522" t="s">
        <v>27250</v>
      </c>
      <c r="M5522" t="s">
        <v>27251</v>
      </c>
      <c r="N5522" t="s">
        <v>27252</v>
      </c>
      <c r="Q5522" s="1">
        <v>44846</v>
      </c>
      <c r="R5522" t="s">
        <v>27253</v>
      </c>
      <c r="S5522" t="s">
        <v>27254</v>
      </c>
      <c r="T5522" t="s">
        <v>27255</v>
      </c>
    </row>
    <row r="5523" spans="1:20" x14ac:dyDescent="0.3">
      <c r="A5523" t="str">
        <f>"0611862491100"</f>
        <v>0611862491100</v>
      </c>
      <c r="B5523" t="str">
        <f>"CN2150"</f>
        <v>CN2150</v>
      </c>
      <c r="C5523" t="s">
        <v>37942</v>
      </c>
      <c r="D5523" t="s">
        <v>27335</v>
      </c>
      <c r="E5523" t="str">
        <f t="shared" si="86"/>
        <v>001390</v>
      </c>
      <c r="F5523" t="s">
        <v>27246</v>
      </c>
      <c r="G5523" t="s">
        <v>27247</v>
      </c>
      <c r="H5523" t="s">
        <v>27248</v>
      </c>
      <c r="I5523" t="s">
        <v>37943</v>
      </c>
      <c r="J5523" t="s">
        <v>11019</v>
      </c>
      <c r="L5523" t="s">
        <v>27250</v>
      </c>
      <c r="M5523" t="s">
        <v>27251</v>
      </c>
      <c r="N5523" t="s">
        <v>27252</v>
      </c>
      <c r="Q5523" s="1">
        <v>44846</v>
      </c>
      <c r="R5523" t="s">
        <v>27253</v>
      </c>
      <c r="S5523" t="s">
        <v>27254</v>
      </c>
      <c r="T5523" t="s">
        <v>27255</v>
      </c>
    </row>
    <row r="5524" spans="1:20" x14ac:dyDescent="0.3">
      <c r="A5524" t="str">
        <f>"0611862492100"</f>
        <v>0611862492100</v>
      </c>
      <c r="B5524" t="str">
        <f>"CN2142"</f>
        <v>CN2142</v>
      </c>
      <c r="C5524" t="s">
        <v>37944</v>
      </c>
      <c r="D5524" t="s">
        <v>27335</v>
      </c>
      <c r="E5524" t="str">
        <f t="shared" si="86"/>
        <v>001390</v>
      </c>
      <c r="F5524" t="s">
        <v>27246</v>
      </c>
      <c r="G5524" t="s">
        <v>27247</v>
      </c>
      <c r="H5524" t="s">
        <v>27248</v>
      </c>
      <c r="I5524" t="s">
        <v>37945</v>
      </c>
      <c r="J5524" t="s">
        <v>11021</v>
      </c>
      <c r="L5524" t="s">
        <v>27250</v>
      </c>
      <c r="M5524" t="s">
        <v>27251</v>
      </c>
      <c r="N5524" t="s">
        <v>27252</v>
      </c>
      <c r="Q5524" s="1">
        <v>44846</v>
      </c>
      <c r="R5524" t="s">
        <v>27253</v>
      </c>
      <c r="S5524" t="s">
        <v>27254</v>
      </c>
      <c r="T5524" t="s">
        <v>27255</v>
      </c>
    </row>
    <row r="5525" spans="1:20" x14ac:dyDescent="0.3">
      <c r="A5525" t="str">
        <f>"0611862493100"</f>
        <v>0611862493100</v>
      </c>
      <c r="B5525" t="str">
        <f>"CN2151"</f>
        <v>CN2151</v>
      </c>
      <c r="C5525" t="s">
        <v>37946</v>
      </c>
      <c r="D5525" t="s">
        <v>27335</v>
      </c>
      <c r="E5525" t="str">
        <f t="shared" si="86"/>
        <v>001390</v>
      </c>
      <c r="F5525" t="s">
        <v>27246</v>
      </c>
      <c r="G5525" t="s">
        <v>27247</v>
      </c>
      <c r="H5525" t="s">
        <v>27248</v>
      </c>
      <c r="I5525" t="s">
        <v>37947</v>
      </c>
      <c r="J5525" t="s">
        <v>11023</v>
      </c>
      <c r="L5525" t="s">
        <v>27250</v>
      </c>
      <c r="M5525" t="s">
        <v>27251</v>
      </c>
      <c r="N5525" t="s">
        <v>27252</v>
      </c>
      <c r="Q5525" s="1">
        <v>44846</v>
      </c>
      <c r="R5525" t="s">
        <v>27253</v>
      </c>
      <c r="S5525" t="s">
        <v>27254</v>
      </c>
      <c r="T5525" t="s">
        <v>27255</v>
      </c>
    </row>
    <row r="5526" spans="1:20" x14ac:dyDescent="0.3">
      <c r="A5526" t="str">
        <f>"0611862494100"</f>
        <v>0611862494100</v>
      </c>
      <c r="B5526" t="str">
        <f>"CN2143"</f>
        <v>CN2143</v>
      </c>
      <c r="C5526" t="s">
        <v>37948</v>
      </c>
      <c r="D5526" t="s">
        <v>27335</v>
      </c>
      <c r="E5526" t="str">
        <f t="shared" si="86"/>
        <v>001390</v>
      </c>
      <c r="F5526" t="s">
        <v>27246</v>
      </c>
      <c r="G5526" t="s">
        <v>27247</v>
      </c>
      <c r="H5526" t="s">
        <v>27248</v>
      </c>
      <c r="I5526" t="s">
        <v>37949</v>
      </c>
      <c r="J5526" t="s">
        <v>11025</v>
      </c>
      <c r="L5526" t="s">
        <v>27250</v>
      </c>
      <c r="M5526" t="s">
        <v>27251</v>
      </c>
      <c r="N5526" t="s">
        <v>27252</v>
      </c>
      <c r="Q5526" s="1">
        <v>44846</v>
      </c>
      <c r="R5526" t="s">
        <v>27253</v>
      </c>
      <c r="S5526" t="s">
        <v>27254</v>
      </c>
      <c r="T5526" t="s">
        <v>27255</v>
      </c>
    </row>
    <row r="5527" spans="1:20" x14ac:dyDescent="0.3">
      <c r="A5527" t="str">
        <f>"0611834844100"</f>
        <v>0611834844100</v>
      </c>
      <c r="B5527" t="str">
        <f>"LF5919"</f>
        <v>LF5919</v>
      </c>
      <c r="C5527" t="s">
        <v>37950</v>
      </c>
      <c r="D5527" t="s">
        <v>27245</v>
      </c>
      <c r="E5527" t="str">
        <f t="shared" si="86"/>
        <v>001390</v>
      </c>
      <c r="F5527" t="s">
        <v>27246</v>
      </c>
      <c r="G5527" t="s">
        <v>27247</v>
      </c>
      <c r="H5527" t="s">
        <v>27248</v>
      </c>
      <c r="I5527" t="s">
        <v>37951</v>
      </c>
      <c r="J5527" t="s">
        <v>11027</v>
      </c>
      <c r="L5527" t="s">
        <v>27250</v>
      </c>
      <c r="M5527" t="s">
        <v>27251</v>
      </c>
      <c r="N5527" t="s">
        <v>27252</v>
      </c>
      <c r="Q5527" s="1">
        <v>44538</v>
      </c>
      <c r="R5527" t="s">
        <v>27253</v>
      </c>
      <c r="S5527" t="s">
        <v>27254</v>
      </c>
      <c r="T5527" t="s">
        <v>27255</v>
      </c>
    </row>
    <row r="5528" spans="1:20" x14ac:dyDescent="0.3">
      <c r="A5528" t="str">
        <f>"0611834845100"</f>
        <v>0611834845100</v>
      </c>
      <c r="B5528" t="str">
        <f>"LK6226"</f>
        <v>LK6226</v>
      </c>
      <c r="C5528" t="s">
        <v>37952</v>
      </c>
      <c r="D5528" t="s">
        <v>27245</v>
      </c>
      <c r="E5528" t="str">
        <f t="shared" si="86"/>
        <v>001390</v>
      </c>
      <c r="F5528" t="s">
        <v>27246</v>
      </c>
      <c r="G5528" t="s">
        <v>27247</v>
      </c>
      <c r="H5528" t="s">
        <v>27248</v>
      </c>
      <c r="I5528" t="s">
        <v>37953</v>
      </c>
      <c r="J5528" t="s">
        <v>11029</v>
      </c>
      <c r="L5528" t="s">
        <v>27250</v>
      </c>
      <c r="M5528" t="s">
        <v>27251</v>
      </c>
      <c r="N5528" t="s">
        <v>27252</v>
      </c>
      <c r="Q5528" s="1">
        <v>44538</v>
      </c>
      <c r="R5528" t="s">
        <v>27253</v>
      </c>
      <c r="S5528" t="s">
        <v>27254</v>
      </c>
      <c r="T5528" t="s">
        <v>27255</v>
      </c>
    </row>
    <row r="5529" spans="1:20" x14ac:dyDescent="0.3">
      <c r="A5529" t="str">
        <f>"0611862498100"</f>
        <v>0611862498100</v>
      </c>
      <c r="B5529" t="str">
        <f>"CN5199"</f>
        <v>CN5199</v>
      </c>
      <c r="C5529" t="s">
        <v>37954</v>
      </c>
      <c r="D5529" t="s">
        <v>27335</v>
      </c>
      <c r="E5529" t="str">
        <f t="shared" si="86"/>
        <v>001390</v>
      </c>
      <c r="F5529" t="s">
        <v>27246</v>
      </c>
      <c r="G5529" t="s">
        <v>27247</v>
      </c>
      <c r="H5529" t="s">
        <v>27248</v>
      </c>
      <c r="I5529" t="s">
        <v>37955</v>
      </c>
      <c r="J5529" t="s">
        <v>11031</v>
      </c>
      <c r="L5529" t="s">
        <v>27250</v>
      </c>
      <c r="M5529" t="s">
        <v>27251</v>
      </c>
      <c r="N5529" t="s">
        <v>27252</v>
      </c>
      <c r="Q5529" s="1">
        <v>44846</v>
      </c>
      <c r="R5529" t="s">
        <v>27253</v>
      </c>
      <c r="S5529" t="s">
        <v>27254</v>
      </c>
      <c r="T5529" t="s">
        <v>27255</v>
      </c>
    </row>
    <row r="5530" spans="1:20" x14ac:dyDescent="0.3">
      <c r="A5530" t="str">
        <f>"0611834849100"</f>
        <v>0611834849100</v>
      </c>
      <c r="B5530" t="str">
        <f>"LF3134"</f>
        <v>LF3134</v>
      </c>
      <c r="C5530" t="s">
        <v>37956</v>
      </c>
      <c r="D5530" t="s">
        <v>27245</v>
      </c>
      <c r="E5530" t="str">
        <f t="shared" si="86"/>
        <v>001390</v>
      </c>
      <c r="F5530" t="s">
        <v>27246</v>
      </c>
      <c r="G5530" t="s">
        <v>27247</v>
      </c>
      <c r="H5530" t="s">
        <v>27248</v>
      </c>
      <c r="I5530" t="s">
        <v>37957</v>
      </c>
      <c r="J5530" t="s">
        <v>11033</v>
      </c>
      <c r="L5530" t="s">
        <v>27250</v>
      </c>
      <c r="M5530" t="s">
        <v>27251</v>
      </c>
      <c r="N5530" t="s">
        <v>27252</v>
      </c>
      <c r="Q5530" s="1">
        <v>44538</v>
      </c>
      <c r="R5530" t="s">
        <v>27253</v>
      </c>
      <c r="S5530" t="s">
        <v>27254</v>
      </c>
      <c r="T5530" t="s">
        <v>27255</v>
      </c>
    </row>
    <row r="5531" spans="1:20" x14ac:dyDescent="0.3">
      <c r="A5531" t="str">
        <f>"0611834850100"</f>
        <v>0611834850100</v>
      </c>
      <c r="B5531" t="str">
        <f>"LF3120"</f>
        <v>LF3120</v>
      </c>
      <c r="C5531" t="s">
        <v>37958</v>
      </c>
      <c r="D5531" t="s">
        <v>27245</v>
      </c>
      <c r="E5531" t="str">
        <f t="shared" si="86"/>
        <v>001390</v>
      </c>
      <c r="F5531" t="s">
        <v>27246</v>
      </c>
      <c r="G5531" t="s">
        <v>27247</v>
      </c>
      <c r="H5531" t="s">
        <v>27248</v>
      </c>
      <c r="I5531" t="s">
        <v>37959</v>
      </c>
      <c r="J5531" t="s">
        <v>11035</v>
      </c>
      <c r="L5531" t="s">
        <v>27250</v>
      </c>
      <c r="M5531" t="s">
        <v>27251</v>
      </c>
      <c r="N5531" t="s">
        <v>27252</v>
      </c>
      <c r="Q5531" s="1">
        <v>44538</v>
      </c>
      <c r="R5531" t="s">
        <v>27253</v>
      </c>
      <c r="S5531" t="s">
        <v>27254</v>
      </c>
      <c r="T5531" t="s">
        <v>27255</v>
      </c>
    </row>
    <row r="5532" spans="1:20" x14ac:dyDescent="0.3">
      <c r="A5532" t="str">
        <f>"0611834851100"</f>
        <v>0611834851100</v>
      </c>
      <c r="B5532" t="str">
        <f>"LF0001"</f>
        <v>LF0001</v>
      </c>
      <c r="C5532" t="s">
        <v>37960</v>
      </c>
      <c r="D5532" t="s">
        <v>27245</v>
      </c>
      <c r="E5532" t="str">
        <f t="shared" si="86"/>
        <v>001390</v>
      </c>
      <c r="F5532" t="s">
        <v>27246</v>
      </c>
      <c r="G5532" t="s">
        <v>27247</v>
      </c>
      <c r="H5532" t="s">
        <v>27248</v>
      </c>
      <c r="I5532" t="s">
        <v>37961</v>
      </c>
      <c r="J5532" t="s">
        <v>11037</v>
      </c>
      <c r="L5532" t="s">
        <v>27250</v>
      </c>
      <c r="M5532" t="s">
        <v>27251</v>
      </c>
      <c r="N5532" t="s">
        <v>27252</v>
      </c>
      <c r="Q5532" s="1">
        <v>44538</v>
      </c>
      <c r="R5532" t="s">
        <v>27253</v>
      </c>
      <c r="S5532" t="s">
        <v>27254</v>
      </c>
      <c r="T5532" t="s">
        <v>27255</v>
      </c>
    </row>
    <row r="5533" spans="1:20" x14ac:dyDescent="0.3">
      <c r="A5533" t="str">
        <f>"0611834852100"</f>
        <v>0611834852100</v>
      </c>
      <c r="B5533" t="str">
        <f>"LK3183"</f>
        <v>LK3183</v>
      </c>
      <c r="C5533" t="s">
        <v>37962</v>
      </c>
      <c r="D5533" t="s">
        <v>27245</v>
      </c>
      <c r="E5533" t="str">
        <f t="shared" si="86"/>
        <v>001390</v>
      </c>
      <c r="F5533" t="s">
        <v>27246</v>
      </c>
      <c r="G5533" t="s">
        <v>27247</v>
      </c>
      <c r="H5533" t="s">
        <v>27248</v>
      </c>
      <c r="I5533" t="s">
        <v>37963</v>
      </c>
      <c r="J5533" t="s">
        <v>11039</v>
      </c>
      <c r="L5533" t="s">
        <v>27250</v>
      </c>
      <c r="M5533" t="s">
        <v>27251</v>
      </c>
      <c r="N5533" t="s">
        <v>27252</v>
      </c>
      <c r="Q5533" s="1">
        <v>44538</v>
      </c>
      <c r="R5533" t="s">
        <v>27253</v>
      </c>
      <c r="S5533" t="s">
        <v>27254</v>
      </c>
      <c r="T5533" t="s">
        <v>27255</v>
      </c>
    </row>
    <row r="5534" spans="1:20" x14ac:dyDescent="0.3">
      <c r="A5534" t="str">
        <f>"0611862499100"</f>
        <v>0611862499100</v>
      </c>
      <c r="B5534" t="str">
        <f>"CN5192"</f>
        <v>CN5192</v>
      </c>
      <c r="C5534" t="s">
        <v>37964</v>
      </c>
      <c r="D5534" t="s">
        <v>27335</v>
      </c>
      <c r="E5534" t="str">
        <f t="shared" si="86"/>
        <v>001390</v>
      </c>
      <c r="F5534" t="s">
        <v>27246</v>
      </c>
      <c r="G5534" t="s">
        <v>27247</v>
      </c>
      <c r="H5534" t="s">
        <v>27248</v>
      </c>
      <c r="I5534" t="s">
        <v>37965</v>
      </c>
      <c r="J5534" t="s">
        <v>11041</v>
      </c>
      <c r="L5534" t="s">
        <v>27250</v>
      </c>
      <c r="M5534" t="s">
        <v>27251</v>
      </c>
      <c r="N5534" t="s">
        <v>27252</v>
      </c>
      <c r="Q5534" s="1">
        <v>44846</v>
      </c>
      <c r="R5534" t="s">
        <v>27253</v>
      </c>
      <c r="S5534" t="s">
        <v>27254</v>
      </c>
      <c r="T5534" t="s">
        <v>27255</v>
      </c>
    </row>
    <row r="5535" spans="1:20" x14ac:dyDescent="0.3">
      <c r="A5535" t="str">
        <f>"0611834854100"</f>
        <v>0611834854100</v>
      </c>
      <c r="B5535" t="str">
        <f>"LF3137"</f>
        <v>LF3137</v>
      </c>
      <c r="C5535" t="s">
        <v>37966</v>
      </c>
      <c r="D5535" t="s">
        <v>27245</v>
      </c>
      <c r="E5535" t="str">
        <f t="shared" si="86"/>
        <v>001390</v>
      </c>
      <c r="F5535" t="s">
        <v>27246</v>
      </c>
      <c r="G5535" t="s">
        <v>27247</v>
      </c>
      <c r="H5535" t="s">
        <v>27248</v>
      </c>
      <c r="I5535" t="s">
        <v>37967</v>
      </c>
      <c r="J5535" t="s">
        <v>11043</v>
      </c>
      <c r="L5535" t="s">
        <v>27250</v>
      </c>
      <c r="M5535" t="s">
        <v>27251</v>
      </c>
      <c r="N5535" t="s">
        <v>27252</v>
      </c>
      <c r="Q5535" s="1">
        <v>44538</v>
      </c>
      <c r="R5535" t="s">
        <v>27253</v>
      </c>
      <c r="S5535" t="s">
        <v>27254</v>
      </c>
      <c r="T5535" t="s">
        <v>27255</v>
      </c>
    </row>
    <row r="5536" spans="1:20" x14ac:dyDescent="0.3">
      <c r="A5536" t="str">
        <f>"0611834855025"</f>
        <v>0611834855025</v>
      </c>
      <c r="B5536" t="str">
        <f>"MC4205"</f>
        <v>MC4205</v>
      </c>
      <c r="C5536" t="s">
        <v>37966</v>
      </c>
      <c r="D5536" t="s">
        <v>27267</v>
      </c>
      <c r="E5536" t="str">
        <f t="shared" si="86"/>
        <v>001390</v>
      </c>
      <c r="F5536" t="s">
        <v>27246</v>
      </c>
      <c r="G5536" t="s">
        <v>27247</v>
      </c>
      <c r="H5536" t="s">
        <v>27248</v>
      </c>
      <c r="I5536" t="s">
        <v>37968</v>
      </c>
      <c r="J5536" t="s">
        <v>11045</v>
      </c>
      <c r="L5536" t="s">
        <v>27250</v>
      </c>
      <c r="M5536" t="s">
        <v>27251</v>
      </c>
      <c r="N5536" t="s">
        <v>27252</v>
      </c>
      <c r="Q5536" s="1">
        <v>44538</v>
      </c>
      <c r="R5536" t="s">
        <v>27253</v>
      </c>
      <c r="S5536" t="s">
        <v>27254</v>
      </c>
      <c r="T5536" t="s">
        <v>27269</v>
      </c>
    </row>
    <row r="5537" spans="1:20" x14ac:dyDescent="0.3">
      <c r="A5537" t="str">
        <f>"0611862500050"</f>
        <v>0611862500050</v>
      </c>
      <c r="B5537" t="str">
        <f>"CR4315"</f>
        <v>CR4315</v>
      </c>
      <c r="C5537" t="s">
        <v>37966</v>
      </c>
      <c r="D5537" t="s">
        <v>27263</v>
      </c>
      <c r="E5537" t="str">
        <f t="shared" si="86"/>
        <v>001390</v>
      </c>
      <c r="F5537" t="s">
        <v>27246</v>
      </c>
      <c r="G5537" t="s">
        <v>27247</v>
      </c>
      <c r="H5537" t="s">
        <v>27248</v>
      </c>
      <c r="I5537" t="s">
        <v>37969</v>
      </c>
      <c r="J5537" t="s">
        <v>11047</v>
      </c>
      <c r="L5537" t="s">
        <v>27250</v>
      </c>
      <c r="M5537" t="s">
        <v>27251</v>
      </c>
      <c r="N5537" t="s">
        <v>27252</v>
      </c>
      <c r="Q5537" s="1">
        <v>44846</v>
      </c>
      <c r="R5537" t="s">
        <v>27253</v>
      </c>
      <c r="S5537" t="s">
        <v>27254</v>
      </c>
      <c r="T5537" t="s">
        <v>27265</v>
      </c>
    </row>
    <row r="5538" spans="1:20" x14ac:dyDescent="0.3">
      <c r="A5538" t="str">
        <f>"0611862501100"</f>
        <v>0611862501100</v>
      </c>
      <c r="B5538" t="str">
        <f>"CN5193"</f>
        <v>CN5193</v>
      </c>
      <c r="C5538" t="s">
        <v>37970</v>
      </c>
      <c r="D5538" t="s">
        <v>27335</v>
      </c>
      <c r="E5538" t="str">
        <f t="shared" si="86"/>
        <v>001390</v>
      </c>
      <c r="F5538" t="s">
        <v>27246</v>
      </c>
      <c r="G5538" t="s">
        <v>27247</v>
      </c>
      <c r="H5538" t="s">
        <v>27248</v>
      </c>
      <c r="I5538" t="s">
        <v>37971</v>
      </c>
      <c r="J5538" t="s">
        <v>11049</v>
      </c>
      <c r="L5538" t="s">
        <v>27250</v>
      </c>
      <c r="M5538" t="s">
        <v>27251</v>
      </c>
      <c r="N5538" t="s">
        <v>27252</v>
      </c>
      <c r="Q5538" s="1">
        <v>44846</v>
      </c>
      <c r="R5538" t="s">
        <v>27253</v>
      </c>
      <c r="S5538" t="s">
        <v>27254</v>
      </c>
      <c r="T5538" t="s">
        <v>27255</v>
      </c>
    </row>
    <row r="5539" spans="1:20" x14ac:dyDescent="0.3">
      <c r="A5539" t="str">
        <f>"0611834856100"</f>
        <v>0611834856100</v>
      </c>
      <c r="B5539" t="str">
        <f>"LF5920"</f>
        <v>LF5920</v>
      </c>
      <c r="C5539" t="s">
        <v>37972</v>
      </c>
      <c r="D5539" t="s">
        <v>27245</v>
      </c>
      <c r="E5539" t="str">
        <f t="shared" si="86"/>
        <v>001390</v>
      </c>
      <c r="F5539" t="s">
        <v>27246</v>
      </c>
      <c r="G5539" t="s">
        <v>27247</v>
      </c>
      <c r="H5539" t="s">
        <v>27248</v>
      </c>
      <c r="I5539" t="s">
        <v>37973</v>
      </c>
      <c r="J5539" t="s">
        <v>11051</v>
      </c>
      <c r="L5539" t="s">
        <v>27250</v>
      </c>
      <c r="M5539" t="s">
        <v>27251</v>
      </c>
      <c r="N5539" t="s">
        <v>27252</v>
      </c>
      <c r="Q5539" s="1">
        <v>44538</v>
      </c>
      <c r="R5539" t="s">
        <v>27253</v>
      </c>
      <c r="S5539" t="s">
        <v>27254</v>
      </c>
      <c r="T5539" t="s">
        <v>27255</v>
      </c>
    </row>
    <row r="5540" spans="1:20" x14ac:dyDescent="0.3">
      <c r="A5540" t="str">
        <f>"0611834857025"</f>
        <v>0611834857025</v>
      </c>
      <c r="B5540" t="str">
        <f>"MC4206"</f>
        <v>MC4206</v>
      </c>
      <c r="C5540" t="s">
        <v>37972</v>
      </c>
      <c r="D5540" t="s">
        <v>27267</v>
      </c>
      <c r="E5540" t="str">
        <f t="shared" si="86"/>
        <v>001390</v>
      </c>
      <c r="F5540" t="s">
        <v>27246</v>
      </c>
      <c r="G5540" t="s">
        <v>27247</v>
      </c>
      <c r="H5540" t="s">
        <v>27248</v>
      </c>
      <c r="I5540" t="s">
        <v>37974</v>
      </c>
      <c r="J5540" t="s">
        <v>11053</v>
      </c>
      <c r="L5540" t="s">
        <v>27250</v>
      </c>
      <c r="M5540" t="s">
        <v>27251</v>
      </c>
      <c r="N5540" t="s">
        <v>27252</v>
      </c>
      <c r="Q5540" s="1">
        <v>44538</v>
      </c>
      <c r="R5540" t="s">
        <v>27253</v>
      </c>
      <c r="S5540" t="s">
        <v>27254</v>
      </c>
      <c r="T5540" t="s">
        <v>27269</v>
      </c>
    </row>
    <row r="5541" spans="1:20" x14ac:dyDescent="0.3">
      <c r="A5541" t="str">
        <f>"0611862502100"</f>
        <v>0611862502100</v>
      </c>
      <c r="B5541" t="str">
        <f>"CN5194"</f>
        <v>CN5194</v>
      </c>
      <c r="C5541" t="s">
        <v>37975</v>
      </c>
      <c r="D5541" t="s">
        <v>27335</v>
      </c>
      <c r="E5541" t="str">
        <f t="shared" si="86"/>
        <v>001390</v>
      </c>
      <c r="F5541" t="s">
        <v>27246</v>
      </c>
      <c r="G5541" t="s">
        <v>27247</v>
      </c>
      <c r="H5541" t="s">
        <v>27248</v>
      </c>
      <c r="I5541" t="s">
        <v>37976</v>
      </c>
      <c r="J5541" t="s">
        <v>11055</v>
      </c>
      <c r="L5541" t="s">
        <v>27250</v>
      </c>
      <c r="M5541" t="s">
        <v>27251</v>
      </c>
      <c r="N5541" t="s">
        <v>27252</v>
      </c>
      <c r="Q5541" s="1">
        <v>44846</v>
      </c>
      <c r="R5541" t="s">
        <v>27253</v>
      </c>
      <c r="S5541" t="s">
        <v>27254</v>
      </c>
      <c r="T5541" t="s">
        <v>27255</v>
      </c>
    </row>
    <row r="5542" spans="1:20" x14ac:dyDescent="0.3">
      <c r="A5542" t="str">
        <f>"0611834858100"</f>
        <v>0611834858100</v>
      </c>
      <c r="B5542" t="str">
        <f>"LK3187"</f>
        <v>LK3187</v>
      </c>
      <c r="C5542" t="s">
        <v>37977</v>
      </c>
      <c r="D5542" t="s">
        <v>27245</v>
      </c>
      <c r="E5542" t="str">
        <f t="shared" si="86"/>
        <v>001390</v>
      </c>
      <c r="F5542" t="s">
        <v>27246</v>
      </c>
      <c r="G5542" t="s">
        <v>27247</v>
      </c>
      <c r="H5542" t="s">
        <v>27248</v>
      </c>
      <c r="I5542" t="s">
        <v>37978</v>
      </c>
      <c r="J5542" t="s">
        <v>11057</v>
      </c>
      <c r="L5542" t="s">
        <v>27250</v>
      </c>
      <c r="M5542" t="s">
        <v>27251</v>
      </c>
      <c r="N5542" t="s">
        <v>27252</v>
      </c>
      <c r="Q5542" s="1">
        <v>44538</v>
      </c>
      <c r="R5542" t="s">
        <v>27253</v>
      </c>
      <c r="S5542" t="s">
        <v>27254</v>
      </c>
      <c r="T5542" t="s">
        <v>27255</v>
      </c>
    </row>
    <row r="5543" spans="1:20" x14ac:dyDescent="0.3">
      <c r="A5543" t="str">
        <f>"0611834859100"</f>
        <v>0611834859100</v>
      </c>
      <c r="B5543" t="str">
        <f>"LK2548"</f>
        <v>LK2548</v>
      </c>
      <c r="C5543" t="s">
        <v>37979</v>
      </c>
      <c r="D5543" t="s">
        <v>27245</v>
      </c>
      <c r="E5543" t="str">
        <f t="shared" si="86"/>
        <v>001390</v>
      </c>
      <c r="F5543" t="s">
        <v>27246</v>
      </c>
      <c r="G5543" t="s">
        <v>27247</v>
      </c>
      <c r="H5543" t="s">
        <v>27248</v>
      </c>
      <c r="I5543" t="s">
        <v>37980</v>
      </c>
      <c r="J5543" t="s">
        <v>11059</v>
      </c>
      <c r="L5543" t="s">
        <v>27250</v>
      </c>
      <c r="M5543" t="s">
        <v>27251</v>
      </c>
      <c r="N5543" t="s">
        <v>27252</v>
      </c>
      <c r="Q5543" s="1">
        <v>44538</v>
      </c>
      <c r="R5543" t="s">
        <v>27253</v>
      </c>
      <c r="S5543" t="s">
        <v>27254</v>
      </c>
      <c r="T5543" t="s">
        <v>27255</v>
      </c>
    </row>
    <row r="5544" spans="1:20" x14ac:dyDescent="0.3">
      <c r="A5544" t="str">
        <f>"0611834860025"</f>
        <v>0611834860025</v>
      </c>
      <c r="B5544" t="str">
        <f>"MC0321"</f>
        <v>MC0321</v>
      </c>
      <c r="C5544" t="s">
        <v>37981</v>
      </c>
      <c r="D5544" t="s">
        <v>27267</v>
      </c>
      <c r="E5544" t="str">
        <f t="shared" si="86"/>
        <v>001390</v>
      </c>
      <c r="F5544" t="s">
        <v>27246</v>
      </c>
      <c r="G5544" t="s">
        <v>27247</v>
      </c>
      <c r="H5544" t="s">
        <v>27248</v>
      </c>
      <c r="I5544" t="s">
        <v>37982</v>
      </c>
      <c r="J5544" t="s">
        <v>11061</v>
      </c>
      <c r="L5544" t="s">
        <v>27250</v>
      </c>
      <c r="M5544" t="s">
        <v>27251</v>
      </c>
      <c r="N5544" t="s">
        <v>27252</v>
      </c>
      <c r="Q5544" s="1">
        <v>44538</v>
      </c>
      <c r="R5544" t="s">
        <v>27253</v>
      </c>
      <c r="S5544" t="s">
        <v>27254</v>
      </c>
      <c r="T5544" t="s">
        <v>27269</v>
      </c>
    </row>
    <row r="5545" spans="1:20" x14ac:dyDescent="0.3">
      <c r="A5545" t="str">
        <f>"0611834863100"</f>
        <v>0611834863100</v>
      </c>
      <c r="B5545" t="str">
        <f>"LF3125"</f>
        <v>LF3125</v>
      </c>
      <c r="C5545" t="s">
        <v>37983</v>
      </c>
      <c r="D5545" t="s">
        <v>27245</v>
      </c>
      <c r="E5545" t="str">
        <f t="shared" si="86"/>
        <v>001390</v>
      </c>
      <c r="F5545" t="s">
        <v>27246</v>
      </c>
      <c r="G5545" t="s">
        <v>27247</v>
      </c>
      <c r="H5545" t="s">
        <v>27248</v>
      </c>
      <c r="I5545" t="s">
        <v>37984</v>
      </c>
      <c r="J5545" t="s">
        <v>11079</v>
      </c>
      <c r="L5545" t="s">
        <v>27250</v>
      </c>
      <c r="M5545" t="s">
        <v>27251</v>
      </c>
      <c r="N5545" t="s">
        <v>27252</v>
      </c>
      <c r="Q5545" s="1">
        <v>44538</v>
      </c>
      <c r="R5545" t="s">
        <v>27253</v>
      </c>
      <c r="S5545" t="s">
        <v>27254</v>
      </c>
      <c r="T5545" t="s">
        <v>27255</v>
      </c>
    </row>
    <row r="5546" spans="1:20" x14ac:dyDescent="0.3">
      <c r="A5546" t="str">
        <f>"0611834864100"</f>
        <v>0611834864100</v>
      </c>
      <c r="B5546" t="str">
        <f>"LF3129"</f>
        <v>LF3129</v>
      </c>
      <c r="C5546" t="s">
        <v>37985</v>
      </c>
      <c r="D5546" t="s">
        <v>27245</v>
      </c>
      <c r="E5546" t="str">
        <f t="shared" si="86"/>
        <v>001390</v>
      </c>
      <c r="F5546" t="s">
        <v>27246</v>
      </c>
      <c r="G5546" t="s">
        <v>27247</v>
      </c>
      <c r="H5546" t="s">
        <v>27248</v>
      </c>
      <c r="I5546" t="s">
        <v>37986</v>
      </c>
      <c r="J5546" t="s">
        <v>11063</v>
      </c>
      <c r="L5546" t="s">
        <v>27250</v>
      </c>
      <c r="M5546" t="s">
        <v>27251</v>
      </c>
      <c r="N5546" t="s">
        <v>27252</v>
      </c>
      <c r="Q5546" s="1">
        <v>44538</v>
      </c>
      <c r="R5546" t="s">
        <v>27253</v>
      </c>
      <c r="S5546" t="s">
        <v>27254</v>
      </c>
      <c r="T5546" t="s">
        <v>27255</v>
      </c>
    </row>
    <row r="5547" spans="1:20" x14ac:dyDescent="0.3">
      <c r="A5547" t="str">
        <f>"0611862495100"</f>
        <v>0611862495100</v>
      </c>
      <c r="B5547" t="str">
        <f>"CN5190"</f>
        <v>CN5190</v>
      </c>
      <c r="C5547" t="s">
        <v>37987</v>
      </c>
      <c r="D5547" t="s">
        <v>27335</v>
      </c>
      <c r="E5547" t="str">
        <f t="shared" si="86"/>
        <v>001390</v>
      </c>
      <c r="F5547" t="s">
        <v>27246</v>
      </c>
      <c r="G5547" t="s">
        <v>27247</v>
      </c>
      <c r="H5547" t="s">
        <v>27248</v>
      </c>
      <c r="I5547" t="s">
        <v>37988</v>
      </c>
      <c r="J5547" t="s">
        <v>11067</v>
      </c>
      <c r="L5547" t="s">
        <v>27250</v>
      </c>
      <c r="M5547" t="s">
        <v>27251</v>
      </c>
      <c r="N5547" t="s">
        <v>27252</v>
      </c>
      <c r="Q5547" s="1">
        <v>44846</v>
      </c>
      <c r="R5547" t="s">
        <v>27253</v>
      </c>
      <c r="S5547" t="s">
        <v>27254</v>
      </c>
      <c r="T5547" t="s">
        <v>27255</v>
      </c>
    </row>
    <row r="5548" spans="1:20" x14ac:dyDescent="0.3">
      <c r="A5548" t="str">
        <f>"0611862496050"</f>
        <v>0611862496050</v>
      </c>
      <c r="B5548" t="str">
        <f>"CR4313"</f>
        <v>CR4313</v>
      </c>
      <c r="C5548" t="s">
        <v>37989</v>
      </c>
      <c r="D5548" t="s">
        <v>27286</v>
      </c>
      <c r="E5548" t="str">
        <f t="shared" si="86"/>
        <v>001390</v>
      </c>
      <c r="F5548" t="s">
        <v>27246</v>
      </c>
      <c r="G5548" t="s">
        <v>27247</v>
      </c>
      <c r="H5548" t="s">
        <v>27248</v>
      </c>
      <c r="I5548" t="s">
        <v>37990</v>
      </c>
      <c r="J5548" t="s">
        <v>11065</v>
      </c>
      <c r="L5548" t="s">
        <v>27250</v>
      </c>
      <c r="M5548" t="s">
        <v>27251</v>
      </c>
      <c r="N5548" t="s">
        <v>27252</v>
      </c>
      <c r="Q5548" s="1">
        <v>44846</v>
      </c>
      <c r="R5548" t="s">
        <v>27253</v>
      </c>
      <c r="S5548" t="s">
        <v>27254</v>
      </c>
      <c r="T5548" t="s">
        <v>27265</v>
      </c>
    </row>
    <row r="5549" spans="1:20" x14ac:dyDescent="0.3">
      <c r="A5549" t="str">
        <f>"0611834847100"</f>
        <v>0611834847100</v>
      </c>
      <c r="B5549" t="str">
        <f>"LH4880"</f>
        <v>LH4880</v>
      </c>
      <c r="C5549" t="s">
        <v>37991</v>
      </c>
      <c r="D5549" t="s">
        <v>27245</v>
      </c>
      <c r="E5549" t="str">
        <f t="shared" si="86"/>
        <v>001390</v>
      </c>
      <c r="F5549" t="s">
        <v>27246</v>
      </c>
      <c r="G5549" t="s">
        <v>27247</v>
      </c>
      <c r="H5549" t="s">
        <v>27248</v>
      </c>
      <c r="I5549" t="s">
        <v>37992</v>
      </c>
      <c r="J5549" t="s">
        <v>11069</v>
      </c>
      <c r="L5549" t="s">
        <v>27250</v>
      </c>
      <c r="M5549" t="s">
        <v>27251</v>
      </c>
      <c r="N5549" t="s">
        <v>27252</v>
      </c>
      <c r="Q5549" s="1">
        <v>44538</v>
      </c>
      <c r="R5549" t="s">
        <v>27253</v>
      </c>
      <c r="S5549" t="s">
        <v>27254</v>
      </c>
      <c r="T5549" t="s">
        <v>27255</v>
      </c>
    </row>
    <row r="5550" spans="1:20" x14ac:dyDescent="0.3">
      <c r="A5550" t="str">
        <f>"0611834848025"</f>
        <v>0611834848025</v>
      </c>
      <c r="B5550" t="str">
        <f>"MC0319"</f>
        <v>MC0319</v>
      </c>
      <c r="C5550" t="s">
        <v>37991</v>
      </c>
      <c r="D5550" t="s">
        <v>27267</v>
      </c>
      <c r="E5550" t="str">
        <f t="shared" si="86"/>
        <v>001390</v>
      </c>
      <c r="F5550" t="s">
        <v>27246</v>
      </c>
      <c r="G5550" t="s">
        <v>27247</v>
      </c>
      <c r="H5550" t="s">
        <v>27248</v>
      </c>
      <c r="I5550" t="s">
        <v>37993</v>
      </c>
      <c r="J5550" t="s">
        <v>11071</v>
      </c>
      <c r="L5550" t="s">
        <v>27250</v>
      </c>
      <c r="M5550" t="s">
        <v>27251</v>
      </c>
      <c r="N5550" t="s">
        <v>27252</v>
      </c>
      <c r="Q5550" s="1">
        <v>44538</v>
      </c>
      <c r="R5550" t="s">
        <v>27253</v>
      </c>
      <c r="S5550" t="s">
        <v>27254</v>
      </c>
      <c r="T5550" t="s">
        <v>27269</v>
      </c>
    </row>
    <row r="5551" spans="1:20" x14ac:dyDescent="0.3">
      <c r="A5551" t="str">
        <f>"0611862497050"</f>
        <v>0611862497050</v>
      </c>
      <c r="B5551" t="str">
        <f>"CR4322"</f>
        <v>CR4322</v>
      </c>
      <c r="C5551" t="s">
        <v>37991</v>
      </c>
      <c r="D5551" t="s">
        <v>27263</v>
      </c>
      <c r="E5551" t="str">
        <f t="shared" si="86"/>
        <v>001390</v>
      </c>
      <c r="F5551" t="s">
        <v>27246</v>
      </c>
      <c r="G5551" t="s">
        <v>27247</v>
      </c>
      <c r="H5551" t="s">
        <v>27248</v>
      </c>
      <c r="I5551" t="s">
        <v>37994</v>
      </c>
      <c r="J5551" t="s">
        <v>11073</v>
      </c>
      <c r="L5551" t="s">
        <v>27250</v>
      </c>
      <c r="M5551" t="s">
        <v>27251</v>
      </c>
      <c r="N5551" t="s">
        <v>27252</v>
      </c>
      <c r="Q5551" s="1">
        <v>44846</v>
      </c>
      <c r="R5551" t="s">
        <v>27253</v>
      </c>
      <c r="S5551" t="s">
        <v>27254</v>
      </c>
      <c r="T5551" t="s">
        <v>27265</v>
      </c>
    </row>
    <row r="5552" spans="1:20" x14ac:dyDescent="0.3">
      <c r="A5552" t="str">
        <f>"0611862503100"</f>
        <v>0611862503100</v>
      </c>
      <c r="B5552" t="str">
        <f>"CN5191"</f>
        <v>CN5191</v>
      </c>
      <c r="C5552" t="s">
        <v>37995</v>
      </c>
      <c r="D5552" t="s">
        <v>27335</v>
      </c>
      <c r="E5552" t="str">
        <f t="shared" si="86"/>
        <v>001390</v>
      </c>
      <c r="F5552" t="s">
        <v>27246</v>
      </c>
      <c r="G5552" t="s">
        <v>27247</v>
      </c>
      <c r="H5552" t="s">
        <v>27248</v>
      </c>
      <c r="I5552" t="s">
        <v>37996</v>
      </c>
      <c r="J5552" t="s">
        <v>11075</v>
      </c>
      <c r="L5552" t="s">
        <v>27250</v>
      </c>
      <c r="M5552" t="s">
        <v>27251</v>
      </c>
      <c r="N5552" t="s">
        <v>27252</v>
      </c>
      <c r="Q5552" s="1">
        <v>44846</v>
      </c>
      <c r="R5552" t="s">
        <v>27253</v>
      </c>
      <c r="S5552" t="s">
        <v>27254</v>
      </c>
      <c r="T5552" t="s">
        <v>27255</v>
      </c>
    </row>
    <row r="5553" spans="1:20" x14ac:dyDescent="0.3">
      <c r="A5553" t="str">
        <f>"0611862504050"</f>
        <v>0611862504050</v>
      </c>
      <c r="B5553" t="str">
        <f>"CR3232"</f>
        <v>CR3232</v>
      </c>
      <c r="C5553" t="s">
        <v>37995</v>
      </c>
      <c r="D5553" t="s">
        <v>27263</v>
      </c>
      <c r="E5553" t="str">
        <f t="shared" si="86"/>
        <v>001390</v>
      </c>
      <c r="F5553" t="s">
        <v>27246</v>
      </c>
      <c r="G5553" t="s">
        <v>27247</v>
      </c>
      <c r="H5553" t="s">
        <v>27248</v>
      </c>
      <c r="I5553" t="s">
        <v>37997</v>
      </c>
      <c r="J5553" t="s">
        <v>11077</v>
      </c>
      <c r="L5553" t="s">
        <v>27250</v>
      </c>
      <c r="M5553" t="s">
        <v>27251</v>
      </c>
      <c r="N5553" t="s">
        <v>27252</v>
      </c>
      <c r="Q5553" s="1">
        <v>44846</v>
      </c>
      <c r="R5553" t="s">
        <v>27253</v>
      </c>
      <c r="S5553" t="s">
        <v>27254</v>
      </c>
      <c r="T5553" t="s">
        <v>27265</v>
      </c>
    </row>
    <row r="5554" spans="1:20" x14ac:dyDescent="0.3">
      <c r="A5554" t="str">
        <f>"0611834865100"</f>
        <v>0611834865100</v>
      </c>
      <c r="B5554" t="str">
        <f>"LS0042"</f>
        <v>LS0042</v>
      </c>
      <c r="C5554" t="s">
        <v>37998</v>
      </c>
      <c r="D5554" t="s">
        <v>27245</v>
      </c>
      <c r="E5554" t="str">
        <f t="shared" si="86"/>
        <v>001390</v>
      </c>
      <c r="F5554" t="s">
        <v>27246</v>
      </c>
      <c r="G5554" t="s">
        <v>27247</v>
      </c>
      <c r="H5554" t="s">
        <v>27248</v>
      </c>
      <c r="I5554" t="s">
        <v>37999</v>
      </c>
      <c r="J5554" t="s">
        <v>11081</v>
      </c>
      <c r="L5554" t="s">
        <v>27250</v>
      </c>
      <c r="M5554" t="s">
        <v>27251</v>
      </c>
      <c r="N5554" t="s">
        <v>27252</v>
      </c>
      <c r="Q5554" s="1">
        <v>44538</v>
      </c>
      <c r="R5554" t="s">
        <v>27253</v>
      </c>
      <c r="S5554" t="s">
        <v>27254</v>
      </c>
      <c r="T5554" t="s">
        <v>27255</v>
      </c>
    </row>
    <row r="5555" spans="1:20" x14ac:dyDescent="0.3">
      <c r="A5555" t="str">
        <f>"0611862505100"</f>
        <v>0611862505100</v>
      </c>
      <c r="B5555" t="str">
        <f>"CN5195"</f>
        <v>CN5195</v>
      </c>
      <c r="C5555" t="s">
        <v>38000</v>
      </c>
      <c r="D5555" t="s">
        <v>27335</v>
      </c>
      <c r="E5555" t="str">
        <f t="shared" si="86"/>
        <v>001390</v>
      </c>
      <c r="F5555" t="s">
        <v>27246</v>
      </c>
      <c r="G5555" t="s">
        <v>27247</v>
      </c>
      <c r="H5555" t="s">
        <v>27248</v>
      </c>
      <c r="I5555" t="s">
        <v>38001</v>
      </c>
      <c r="J5555" t="s">
        <v>11083</v>
      </c>
      <c r="L5555" t="s">
        <v>27250</v>
      </c>
      <c r="M5555" t="s">
        <v>27251</v>
      </c>
      <c r="N5555" t="s">
        <v>27252</v>
      </c>
      <c r="Q5555" s="1">
        <v>44846</v>
      </c>
      <c r="R5555" t="s">
        <v>27253</v>
      </c>
      <c r="S5555" t="s">
        <v>27254</v>
      </c>
      <c r="T5555" t="s">
        <v>27255</v>
      </c>
    </row>
    <row r="5556" spans="1:20" x14ac:dyDescent="0.3">
      <c r="A5556" t="str">
        <f>"0611834866100"</f>
        <v>0611834866100</v>
      </c>
      <c r="B5556" t="str">
        <f>"LK3197"</f>
        <v>LK3197</v>
      </c>
      <c r="C5556" t="s">
        <v>38002</v>
      </c>
      <c r="D5556" t="s">
        <v>27245</v>
      </c>
      <c r="E5556" t="str">
        <f t="shared" si="86"/>
        <v>001390</v>
      </c>
      <c r="F5556" t="s">
        <v>27246</v>
      </c>
      <c r="G5556" t="s">
        <v>27247</v>
      </c>
      <c r="H5556" t="s">
        <v>27248</v>
      </c>
      <c r="I5556" t="s">
        <v>38003</v>
      </c>
      <c r="J5556" t="s">
        <v>11085</v>
      </c>
      <c r="L5556" t="s">
        <v>27250</v>
      </c>
      <c r="M5556" t="s">
        <v>27251</v>
      </c>
      <c r="N5556" t="s">
        <v>27252</v>
      </c>
      <c r="Q5556" s="1">
        <v>44538</v>
      </c>
      <c r="R5556" t="s">
        <v>27253</v>
      </c>
      <c r="S5556" t="s">
        <v>27254</v>
      </c>
      <c r="T5556" t="s">
        <v>27255</v>
      </c>
    </row>
    <row r="5557" spans="1:20" x14ac:dyDescent="0.3">
      <c r="A5557" t="str">
        <f>"0611834867100"</f>
        <v>0611834867100</v>
      </c>
      <c r="B5557" t="str">
        <f>"LH4991"</f>
        <v>LH4991</v>
      </c>
      <c r="C5557" t="s">
        <v>38004</v>
      </c>
      <c r="D5557" t="s">
        <v>27245</v>
      </c>
      <c r="E5557" t="str">
        <f t="shared" si="86"/>
        <v>001390</v>
      </c>
      <c r="F5557" t="s">
        <v>27246</v>
      </c>
      <c r="G5557" t="s">
        <v>27247</v>
      </c>
      <c r="H5557" t="s">
        <v>27248</v>
      </c>
      <c r="I5557" t="s">
        <v>38005</v>
      </c>
      <c r="J5557" t="s">
        <v>11087</v>
      </c>
      <c r="L5557" t="s">
        <v>27250</v>
      </c>
      <c r="M5557" t="s">
        <v>27251</v>
      </c>
      <c r="N5557" t="s">
        <v>27252</v>
      </c>
      <c r="Q5557" s="1">
        <v>44538</v>
      </c>
      <c r="R5557" t="s">
        <v>27253</v>
      </c>
      <c r="S5557" t="s">
        <v>27254</v>
      </c>
      <c r="T5557" t="s">
        <v>27255</v>
      </c>
    </row>
    <row r="5558" spans="1:20" x14ac:dyDescent="0.3">
      <c r="A5558" t="str">
        <f>"0611862507050"</f>
        <v>0611862507050</v>
      </c>
      <c r="B5558" t="str">
        <f>"CR4321"</f>
        <v>CR4321</v>
      </c>
      <c r="C5558" t="s">
        <v>38006</v>
      </c>
      <c r="D5558" t="s">
        <v>27286</v>
      </c>
      <c r="E5558" t="str">
        <f t="shared" si="86"/>
        <v>001390</v>
      </c>
      <c r="F5558" t="s">
        <v>27246</v>
      </c>
      <c r="G5558" t="s">
        <v>27247</v>
      </c>
      <c r="H5558" t="s">
        <v>27248</v>
      </c>
      <c r="I5558" t="s">
        <v>38007</v>
      </c>
      <c r="J5558" t="s">
        <v>11089</v>
      </c>
      <c r="L5558" t="s">
        <v>27250</v>
      </c>
      <c r="M5558" t="s">
        <v>27251</v>
      </c>
      <c r="N5558" t="s">
        <v>27252</v>
      </c>
      <c r="Q5558" s="1">
        <v>44846</v>
      </c>
      <c r="R5558" t="s">
        <v>27253</v>
      </c>
      <c r="S5558" t="s">
        <v>27254</v>
      </c>
      <c r="T5558" t="s">
        <v>27265</v>
      </c>
    </row>
    <row r="5559" spans="1:20" x14ac:dyDescent="0.3">
      <c r="A5559" t="str">
        <f>"0611834868100"</f>
        <v>0611834868100</v>
      </c>
      <c r="B5559" t="str">
        <f>"LK3200"</f>
        <v>LK3200</v>
      </c>
      <c r="C5559" t="s">
        <v>38008</v>
      </c>
      <c r="D5559" t="s">
        <v>27245</v>
      </c>
      <c r="E5559" t="str">
        <f t="shared" si="86"/>
        <v>001390</v>
      </c>
      <c r="F5559" t="s">
        <v>27246</v>
      </c>
      <c r="G5559" t="s">
        <v>27247</v>
      </c>
      <c r="H5559" t="s">
        <v>27248</v>
      </c>
      <c r="I5559" t="s">
        <v>38009</v>
      </c>
      <c r="J5559" t="s">
        <v>11091</v>
      </c>
      <c r="L5559" t="s">
        <v>27250</v>
      </c>
      <c r="M5559" t="s">
        <v>27251</v>
      </c>
      <c r="N5559" t="s">
        <v>27252</v>
      </c>
      <c r="Q5559" s="1">
        <v>44538</v>
      </c>
      <c r="R5559" t="s">
        <v>27253</v>
      </c>
      <c r="S5559" t="s">
        <v>27254</v>
      </c>
      <c r="T5559" t="s">
        <v>27255</v>
      </c>
    </row>
    <row r="5560" spans="1:20" x14ac:dyDescent="0.3">
      <c r="A5560" t="str">
        <f>"0611862508100"</f>
        <v>0611862508100</v>
      </c>
      <c r="B5560" t="str">
        <f>"CN5197"</f>
        <v>CN5197</v>
      </c>
      <c r="C5560" t="s">
        <v>38010</v>
      </c>
      <c r="D5560" t="s">
        <v>27335</v>
      </c>
      <c r="E5560" t="str">
        <f t="shared" si="86"/>
        <v>001390</v>
      </c>
      <c r="F5560" t="s">
        <v>27246</v>
      </c>
      <c r="G5560" t="s">
        <v>27247</v>
      </c>
      <c r="H5560" t="s">
        <v>27248</v>
      </c>
      <c r="I5560" t="s">
        <v>38011</v>
      </c>
      <c r="J5560" t="s">
        <v>11093</v>
      </c>
      <c r="L5560" t="s">
        <v>27250</v>
      </c>
      <c r="M5560" t="s">
        <v>27251</v>
      </c>
      <c r="N5560" t="s">
        <v>27252</v>
      </c>
      <c r="Q5560" s="1">
        <v>44846</v>
      </c>
      <c r="R5560" t="s">
        <v>27253</v>
      </c>
      <c r="S5560" t="s">
        <v>27254</v>
      </c>
      <c r="T5560" t="s">
        <v>27255</v>
      </c>
    </row>
    <row r="5561" spans="1:20" x14ac:dyDescent="0.3">
      <c r="A5561" t="str">
        <f>"0611834869100"</f>
        <v>0611834869100</v>
      </c>
      <c r="B5561" t="str">
        <f>"LF0003"</f>
        <v>LF0003</v>
      </c>
      <c r="C5561" t="s">
        <v>38012</v>
      </c>
      <c r="D5561" t="s">
        <v>27245</v>
      </c>
      <c r="E5561" t="str">
        <f t="shared" si="86"/>
        <v>001390</v>
      </c>
      <c r="F5561" t="s">
        <v>27246</v>
      </c>
      <c r="G5561" t="s">
        <v>27247</v>
      </c>
      <c r="H5561" t="s">
        <v>27248</v>
      </c>
      <c r="I5561" t="s">
        <v>38013</v>
      </c>
      <c r="J5561" t="s">
        <v>11095</v>
      </c>
      <c r="L5561" t="s">
        <v>27250</v>
      </c>
      <c r="M5561" t="s">
        <v>27251</v>
      </c>
      <c r="N5561" t="s">
        <v>27252</v>
      </c>
      <c r="Q5561" s="1">
        <v>44538</v>
      </c>
      <c r="R5561" t="s">
        <v>27253</v>
      </c>
      <c r="S5561" t="s">
        <v>27254</v>
      </c>
      <c r="T5561" t="s">
        <v>27255</v>
      </c>
    </row>
    <row r="5562" spans="1:20" x14ac:dyDescent="0.3">
      <c r="A5562" t="str">
        <f>"0611834870025"</f>
        <v>0611834870025</v>
      </c>
      <c r="B5562" t="str">
        <f>"MC0320"</f>
        <v>MC0320</v>
      </c>
      <c r="C5562" t="s">
        <v>38014</v>
      </c>
      <c r="D5562" t="s">
        <v>27267</v>
      </c>
      <c r="E5562" t="str">
        <f t="shared" si="86"/>
        <v>001390</v>
      </c>
      <c r="F5562" t="s">
        <v>27246</v>
      </c>
      <c r="G5562" t="s">
        <v>27247</v>
      </c>
      <c r="H5562" t="s">
        <v>27248</v>
      </c>
      <c r="I5562" t="s">
        <v>38015</v>
      </c>
      <c r="J5562" t="s">
        <v>11099</v>
      </c>
      <c r="L5562" t="s">
        <v>27250</v>
      </c>
      <c r="M5562" t="s">
        <v>27251</v>
      </c>
      <c r="N5562" t="s">
        <v>27252</v>
      </c>
      <c r="Q5562" s="1">
        <v>44538</v>
      </c>
      <c r="R5562" t="s">
        <v>27253</v>
      </c>
      <c r="S5562" t="s">
        <v>27254</v>
      </c>
      <c r="T5562" t="s">
        <v>27269</v>
      </c>
    </row>
    <row r="5563" spans="1:20" x14ac:dyDescent="0.3">
      <c r="A5563" t="str">
        <f>"0611862509100"</f>
        <v>0611862509100</v>
      </c>
      <c r="B5563" t="str">
        <f>"CN5198"</f>
        <v>CN5198</v>
      </c>
      <c r="C5563" t="s">
        <v>38014</v>
      </c>
      <c r="D5563" t="s">
        <v>27335</v>
      </c>
      <c r="E5563" t="str">
        <f t="shared" si="86"/>
        <v>001390</v>
      </c>
      <c r="F5563" t="s">
        <v>27246</v>
      </c>
      <c r="G5563" t="s">
        <v>27247</v>
      </c>
      <c r="H5563" t="s">
        <v>27248</v>
      </c>
      <c r="I5563" t="s">
        <v>38016</v>
      </c>
      <c r="J5563" t="s">
        <v>11097</v>
      </c>
      <c r="L5563" t="s">
        <v>27250</v>
      </c>
      <c r="M5563" t="s">
        <v>27251</v>
      </c>
      <c r="N5563" t="s">
        <v>27252</v>
      </c>
      <c r="Q5563" s="1">
        <v>44846</v>
      </c>
      <c r="R5563" t="s">
        <v>27253</v>
      </c>
      <c r="S5563" t="s">
        <v>27254</v>
      </c>
      <c r="T5563" t="s">
        <v>27255</v>
      </c>
    </row>
    <row r="5564" spans="1:20" x14ac:dyDescent="0.3">
      <c r="A5564" t="str">
        <f>"0611862510050"</f>
        <v>0611862510050</v>
      </c>
      <c r="B5564" t="str">
        <f>"CR4314"</f>
        <v>CR4314</v>
      </c>
      <c r="C5564" t="s">
        <v>38017</v>
      </c>
      <c r="D5564" t="s">
        <v>27286</v>
      </c>
      <c r="E5564" t="str">
        <f t="shared" si="86"/>
        <v>001390</v>
      </c>
      <c r="F5564" t="s">
        <v>27246</v>
      </c>
      <c r="G5564" t="s">
        <v>27247</v>
      </c>
      <c r="H5564" t="s">
        <v>27248</v>
      </c>
      <c r="I5564" t="s">
        <v>38018</v>
      </c>
      <c r="J5564" t="s">
        <v>11101</v>
      </c>
      <c r="L5564" t="s">
        <v>27250</v>
      </c>
      <c r="M5564" t="s">
        <v>27251</v>
      </c>
      <c r="N5564" t="s">
        <v>27252</v>
      </c>
      <c r="Q5564" s="1">
        <v>44846</v>
      </c>
      <c r="R5564" t="s">
        <v>27253</v>
      </c>
      <c r="S5564" t="s">
        <v>27254</v>
      </c>
      <c r="T5564" t="s">
        <v>27265</v>
      </c>
    </row>
    <row r="5565" spans="1:20" x14ac:dyDescent="0.3">
      <c r="A5565" t="str">
        <f>"0611834871100"</f>
        <v>0611834871100</v>
      </c>
      <c r="B5565" t="str">
        <f>"LF3121"</f>
        <v>LF3121</v>
      </c>
      <c r="C5565" t="s">
        <v>38019</v>
      </c>
      <c r="D5565" t="s">
        <v>27245</v>
      </c>
      <c r="E5565" t="str">
        <f t="shared" si="86"/>
        <v>001390</v>
      </c>
      <c r="F5565" t="s">
        <v>27246</v>
      </c>
      <c r="G5565" t="s">
        <v>27247</v>
      </c>
      <c r="H5565" t="s">
        <v>27248</v>
      </c>
      <c r="I5565" t="s">
        <v>38020</v>
      </c>
      <c r="J5565" t="s">
        <v>11103</v>
      </c>
      <c r="L5565" t="s">
        <v>27250</v>
      </c>
      <c r="M5565" t="s">
        <v>27251</v>
      </c>
      <c r="N5565" t="s">
        <v>27252</v>
      </c>
      <c r="Q5565" s="1">
        <v>44538</v>
      </c>
      <c r="R5565" t="s">
        <v>27253</v>
      </c>
      <c r="S5565" t="s">
        <v>27254</v>
      </c>
      <c r="T5565" t="s">
        <v>27255</v>
      </c>
    </row>
    <row r="5566" spans="1:20" x14ac:dyDescent="0.3">
      <c r="A5566" t="str">
        <f>"0611834872100"</f>
        <v>0611834872100</v>
      </c>
      <c r="B5566" t="str">
        <f>"LK3263"</f>
        <v>LK3263</v>
      </c>
      <c r="C5566" t="s">
        <v>38021</v>
      </c>
      <c r="D5566" t="s">
        <v>27245</v>
      </c>
      <c r="E5566" t="str">
        <f t="shared" si="86"/>
        <v>001390</v>
      </c>
      <c r="F5566" t="s">
        <v>27246</v>
      </c>
      <c r="G5566" t="s">
        <v>27247</v>
      </c>
      <c r="H5566" t="s">
        <v>27248</v>
      </c>
      <c r="I5566" t="s">
        <v>38022</v>
      </c>
      <c r="J5566" t="s">
        <v>11105</v>
      </c>
      <c r="L5566" t="s">
        <v>27250</v>
      </c>
      <c r="M5566" t="s">
        <v>27251</v>
      </c>
      <c r="N5566" t="s">
        <v>27252</v>
      </c>
      <c r="Q5566" s="1">
        <v>44538</v>
      </c>
      <c r="R5566" t="s">
        <v>27253</v>
      </c>
      <c r="S5566" t="s">
        <v>27254</v>
      </c>
      <c r="T5566" t="s">
        <v>27255</v>
      </c>
    </row>
    <row r="5567" spans="1:20" x14ac:dyDescent="0.3">
      <c r="A5567" t="str">
        <f>"0611834873100"</f>
        <v>0611834873100</v>
      </c>
      <c r="B5567" t="str">
        <f>"LF0004"</f>
        <v>LF0004</v>
      </c>
      <c r="C5567" t="s">
        <v>38023</v>
      </c>
      <c r="D5567" t="s">
        <v>27245</v>
      </c>
      <c r="E5567" t="str">
        <f t="shared" si="86"/>
        <v>001390</v>
      </c>
      <c r="F5567" t="s">
        <v>27246</v>
      </c>
      <c r="G5567" t="s">
        <v>27247</v>
      </c>
      <c r="H5567" t="s">
        <v>27248</v>
      </c>
      <c r="I5567" t="s">
        <v>38024</v>
      </c>
      <c r="J5567" t="s">
        <v>11107</v>
      </c>
      <c r="L5567" t="s">
        <v>27250</v>
      </c>
      <c r="M5567" t="s">
        <v>27251</v>
      </c>
      <c r="N5567" t="s">
        <v>27252</v>
      </c>
      <c r="Q5567" s="1">
        <v>44538</v>
      </c>
      <c r="R5567" t="s">
        <v>27253</v>
      </c>
      <c r="S5567" t="s">
        <v>27254</v>
      </c>
      <c r="T5567" t="s">
        <v>27255</v>
      </c>
    </row>
    <row r="5568" spans="1:20" x14ac:dyDescent="0.3">
      <c r="A5568" t="str">
        <f>"0611834874100"</f>
        <v>0611834874100</v>
      </c>
      <c r="B5568" t="str">
        <f>"LK3207"</f>
        <v>LK3207</v>
      </c>
      <c r="C5568" t="s">
        <v>38025</v>
      </c>
      <c r="D5568" t="s">
        <v>27245</v>
      </c>
      <c r="E5568" t="str">
        <f t="shared" si="86"/>
        <v>001390</v>
      </c>
      <c r="F5568" t="s">
        <v>27246</v>
      </c>
      <c r="G5568" t="s">
        <v>27247</v>
      </c>
      <c r="H5568" t="s">
        <v>27248</v>
      </c>
      <c r="I5568" t="s">
        <v>38026</v>
      </c>
      <c r="J5568" t="s">
        <v>11109</v>
      </c>
      <c r="L5568" t="s">
        <v>27250</v>
      </c>
      <c r="M5568" t="s">
        <v>27251</v>
      </c>
      <c r="N5568" t="s">
        <v>27252</v>
      </c>
      <c r="Q5568" s="1">
        <v>44538</v>
      </c>
      <c r="R5568" t="s">
        <v>27253</v>
      </c>
      <c r="S5568" t="s">
        <v>27254</v>
      </c>
      <c r="T5568" t="s">
        <v>27255</v>
      </c>
    </row>
    <row r="5569" spans="1:20" x14ac:dyDescent="0.3">
      <c r="A5569" t="str">
        <f>"0611834875025"</f>
        <v>0611834875025</v>
      </c>
      <c r="B5569" t="str">
        <f>"MC4207"</f>
        <v>MC4207</v>
      </c>
      <c r="C5569" t="s">
        <v>38025</v>
      </c>
      <c r="D5569" t="s">
        <v>27267</v>
      </c>
      <c r="E5569" t="str">
        <f t="shared" si="86"/>
        <v>001390</v>
      </c>
      <c r="F5569" t="s">
        <v>27246</v>
      </c>
      <c r="G5569" t="s">
        <v>27247</v>
      </c>
      <c r="H5569" t="s">
        <v>27248</v>
      </c>
      <c r="I5569" t="s">
        <v>38027</v>
      </c>
      <c r="J5569" t="s">
        <v>11111</v>
      </c>
      <c r="L5569" t="s">
        <v>27250</v>
      </c>
      <c r="M5569" t="s">
        <v>27251</v>
      </c>
      <c r="N5569" t="s">
        <v>27252</v>
      </c>
      <c r="Q5569" s="1">
        <v>44538</v>
      </c>
      <c r="R5569" t="s">
        <v>27253</v>
      </c>
      <c r="S5569" t="s">
        <v>27254</v>
      </c>
      <c r="T5569" t="s">
        <v>27269</v>
      </c>
    </row>
    <row r="5570" spans="1:20" x14ac:dyDescent="0.3">
      <c r="A5570" t="str">
        <f>"0611862511050"</f>
        <v>0611862511050</v>
      </c>
      <c r="B5570" t="str">
        <f>"CE0785"</f>
        <v>CE0785</v>
      </c>
      <c r="C5570" t="s">
        <v>38025</v>
      </c>
      <c r="D5570" t="s">
        <v>27263</v>
      </c>
      <c r="E5570" t="str">
        <f t="shared" ref="E5570:E5633" si="87">"001390"</f>
        <v>001390</v>
      </c>
      <c r="F5570" t="s">
        <v>27246</v>
      </c>
      <c r="G5570" t="s">
        <v>27247</v>
      </c>
      <c r="H5570" t="s">
        <v>27248</v>
      </c>
      <c r="I5570" t="s">
        <v>38028</v>
      </c>
      <c r="J5570" t="s">
        <v>11113</v>
      </c>
      <c r="L5570" t="s">
        <v>27250</v>
      </c>
      <c r="M5570" t="s">
        <v>27251</v>
      </c>
      <c r="N5570" t="s">
        <v>27252</v>
      </c>
      <c r="Q5570" s="1">
        <v>44846</v>
      </c>
      <c r="R5570" t="s">
        <v>27253</v>
      </c>
      <c r="S5570" t="s">
        <v>27254</v>
      </c>
      <c r="T5570" t="s">
        <v>27265</v>
      </c>
    </row>
    <row r="5571" spans="1:20" x14ac:dyDescent="0.3">
      <c r="A5571" t="str">
        <f>"0611834876025"</f>
        <v>0611834876025</v>
      </c>
      <c r="B5571" t="str">
        <f>"MC2662"</f>
        <v>MC2662</v>
      </c>
      <c r="C5571" t="s">
        <v>38029</v>
      </c>
      <c r="D5571" t="s">
        <v>27267</v>
      </c>
      <c r="E5571" t="str">
        <f t="shared" si="87"/>
        <v>001390</v>
      </c>
      <c r="F5571" t="s">
        <v>27246</v>
      </c>
      <c r="G5571" t="s">
        <v>27247</v>
      </c>
      <c r="H5571" t="s">
        <v>27248</v>
      </c>
      <c r="I5571" t="s">
        <v>38030</v>
      </c>
      <c r="J5571" t="s">
        <v>11115</v>
      </c>
      <c r="L5571" t="s">
        <v>27250</v>
      </c>
      <c r="M5571" t="s">
        <v>27251</v>
      </c>
      <c r="N5571" t="s">
        <v>27252</v>
      </c>
      <c r="Q5571" s="1">
        <v>44538</v>
      </c>
      <c r="R5571" t="s">
        <v>27253</v>
      </c>
      <c r="S5571" t="s">
        <v>27254</v>
      </c>
      <c r="T5571" t="s">
        <v>27269</v>
      </c>
    </row>
    <row r="5572" spans="1:20" x14ac:dyDescent="0.3">
      <c r="A5572" t="str">
        <f>"0611834877025"</f>
        <v>0611834877025</v>
      </c>
      <c r="B5572" t="str">
        <f>"MQ6034"</f>
        <v>MQ6034</v>
      </c>
      <c r="C5572" t="s">
        <v>38031</v>
      </c>
      <c r="D5572" t="s">
        <v>28057</v>
      </c>
      <c r="E5572" t="str">
        <f t="shared" si="87"/>
        <v>001390</v>
      </c>
      <c r="F5572" t="s">
        <v>27246</v>
      </c>
      <c r="G5572" t="s">
        <v>27247</v>
      </c>
      <c r="H5572" t="s">
        <v>27248</v>
      </c>
      <c r="I5572" t="s">
        <v>38032</v>
      </c>
      <c r="J5572" t="s">
        <v>11117</v>
      </c>
      <c r="L5572" t="s">
        <v>27250</v>
      </c>
      <c r="M5572" t="s">
        <v>27251</v>
      </c>
      <c r="N5572" t="s">
        <v>27252</v>
      </c>
      <c r="P5572" t="s">
        <v>27925</v>
      </c>
      <c r="Q5572" s="1">
        <v>44538</v>
      </c>
      <c r="R5572" t="s">
        <v>27253</v>
      </c>
      <c r="S5572" t="s">
        <v>27254</v>
      </c>
      <c r="T5572" t="s">
        <v>27269</v>
      </c>
    </row>
    <row r="5573" spans="1:20" x14ac:dyDescent="0.3">
      <c r="A5573" t="str">
        <f>"0611834878025"</f>
        <v>0611834878025</v>
      </c>
      <c r="B5573" t="str">
        <f>"MQ6035"</f>
        <v>MQ6035</v>
      </c>
      <c r="C5573" t="s">
        <v>38033</v>
      </c>
      <c r="D5573" t="s">
        <v>28057</v>
      </c>
      <c r="E5573" t="str">
        <f t="shared" si="87"/>
        <v>001390</v>
      </c>
      <c r="F5573" t="s">
        <v>27246</v>
      </c>
      <c r="G5573" t="s">
        <v>27247</v>
      </c>
      <c r="H5573" t="s">
        <v>27248</v>
      </c>
      <c r="I5573" t="s">
        <v>38034</v>
      </c>
      <c r="J5573" t="s">
        <v>11119</v>
      </c>
      <c r="L5573" t="s">
        <v>27250</v>
      </c>
      <c r="M5573" t="s">
        <v>27251</v>
      </c>
      <c r="N5573" t="s">
        <v>27252</v>
      </c>
      <c r="P5573" t="s">
        <v>27925</v>
      </c>
      <c r="Q5573" s="1">
        <v>44538</v>
      </c>
      <c r="R5573" t="s">
        <v>27253</v>
      </c>
      <c r="S5573" t="s">
        <v>27254</v>
      </c>
      <c r="T5573" t="s">
        <v>27269</v>
      </c>
    </row>
    <row r="5574" spans="1:20" x14ac:dyDescent="0.3">
      <c r="A5574" t="str">
        <f>"0611834879025"</f>
        <v>0611834879025</v>
      </c>
      <c r="B5574" t="str">
        <f>"MQ6036"</f>
        <v>MQ6036</v>
      </c>
      <c r="C5574" t="s">
        <v>38035</v>
      </c>
      <c r="D5574" t="s">
        <v>28057</v>
      </c>
      <c r="E5574" t="str">
        <f t="shared" si="87"/>
        <v>001390</v>
      </c>
      <c r="F5574" t="s">
        <v>27246</v>
      </c>
      <c r="G5574" t="s">
        <v>27247</v>
      </c>
      <c r="H5574" t="s">
        <v>27248</v>
      </c>
      <c r="I5574" t="s">
        <v>38036</v>
      </c>
      <c r="J5574" t="s">
        <v>11121</v>
      </c>
      <c r="L5574" t="s">
        <v>27250</v>
      </c>
      <c r="M5574" t="s">
        <v>27251</v>
      </c>
      <c r="N5574" t="s">
        <v>27252</v>
      </c>
      <c r="P5574" t="s">
        <v>27925</v>
      </c>
      <c r="Q5574" s="1">
        <v>44538</v>
      </c>
      <c r="R5574" t="s">
        <v>27253</v>
      </c>
      <c r="S5574" t="s">
        <v>27254</v>
      </c>
      <c r="T5574" t="s">
        <v>27269</v>
      </c>
    </row>
    <row r="5575" spans="1:20" x14ac:dyDescent="0.3">
      <c r="A5575" t="str">
        <f>"0611834880025"</f>
        <v>0611834880025</v>
      </c>
      <c r="B5575" t="str">
        <f>"MQ6037"</f>
        <v>MQ6037</v>
      </c>
      <c r="C5575" t="s">
        <v>38037</v>
      </c>
      <c r="D5575" t="s">
        <v>28057</v>
      </c>
      <c r="E5575" t="str">
        <f t="shared" si="87"/>
        <v>001390</v>
      </c>
      <c r="F5575" t="s">
        <v>27246</v>
      </c>
      <c r="G5575" t="s">
        <v>27247</v>
      </c>
      <c r="H5575" t="s">
        <v>27248</v>
      </c>
      <c r="I5575" t="s">
        <v>38038</v>
      </c>
      <c r="J5575" t="s">
        <v>11123</v>
      </c>
      <c r="L5575" t="s">
        <v>27250</v>
      </c>
      <c r="M5575" t="s">
        <v>27251</v>
      </c>
      <c r="N5575" t="s">
        <v>27252</v>
      </c>
      <c r="P5575" t="s">
        <v>27925</v>
      </c>
      <c r="Q5575" s="1">
        <v>44538</v>
      </c>
      <c r="R5575" t="s">
        <v>27253</v>
      </c>
      <c r="S5575" t="s">
        <v>27254</v>
      </c>
      <c r="T5575" t="s">
        <v>27269</v>
      </c>
    </row>
    <row r="5576" spans="1:20" x14ac:dyDescent="0.3">
      <c r="A5576" t="str">
        <f>"0611834881025"</f>
        <v>0611834881025</v>
      </c>
      <c r="B5576" t="str">
        <f>"MQ6038"</f>
        <v>MQ6038</v>
      </c>
      <c r="C5576" t="s">
        <v>38039</v>
      </c>
      <c r="D5576" t="s">
        <v>28057</v>
      </c>
      <c r="E5576" t="str">
        <f t="shared" si="87"/>
        <v>001390</v>
      </c>
      <c r="F5576" t="s">
        <v>27246</v>
      </c>
      <c r="G5576" t="s">
        <v>27247</v>
      </c>
      <c r="H5576" t="s">
        <v>27248</v>
      </c>
      <c r="I5576" t="s">
        <v>38040</v>
      </c>
      <c r="J5576" t="s">
        <v>11125</v>
      </c>
      <c r="L5576" t="s">
        <v>27250</v>
      </c>
      <c r="M5576" t="s">
        <v>27251</v>
      </c>
      <c r="N5576" t="s">
        <v>27252</v>
      </c>
      <c r="P5576" t="s">
        <v>27925</v>
      </c>
      <c r="Q5576" s="1">
        <v>44538</v>
      </c>
      <c r="R5576" t="s">
        <v>27253</v>
      </c>
      <c r="S5576" t="s">
        <v>27254</v>
      </c>
      <c r="T5576" t="s">
        <v>27269</v>
      </c>
    </row>
    <row r="5577" spans="1:20" x14ac:dyDescent="0.3">
      <c r="A5577" t="str">
        <f>"0611834882025"</f>
        <v>0611834882025</v>
      </c>
      <c r="B5577" t="str">
        <f>"MC1665"</f>
        <v>MC1665</v>
      </c>
      <c r="C5577" t="s">
        <v>38041</v>
      </c>
      <c r="D5577" t="s">
        <v>27267</v>
      </c>
      <c r="E5577" t="str">
        <f t="shared" si="87"/>
        <v>001390</v>
      </c>
      <c r="F5577" t="s">
        <v>27246</v>
      </c>
      <c r="G5577" t="s">
        <v>27247</v>
      </c>
      <c r="H5577" t="s">
        <v>27248</v>
      </c>
      <c r="I5577" t="s">
        <v>38042</v>
      </c>
      <c r="J5577" t="s">
        <v>11127</v>
      </c>
      <c r="L5577" t="s">
        <v>27250</v>
      </c>
      <c r="M5577" t="s">
        <v>27251</v>
      </c>
      <c r="N5577" t="s">
        <v>27252</v>
      </c>
      <c r="Q5577" s="1">
        <v>44538</v>
      </c>
      <c r="R5577" t="s">
        <v>27253</v>
      </c>
      <c r="S5577" t="s">
        <v>27254</v>
      </c>
      <c r="T5577" t="s">
        <v>27269</v>
      </c>
    </row>
    <row r="5578" spans="1:20" x14ac:dyDescent="0.3">
      <c r="A5578" t="str">
        <f>"0611834883025"</f>
        <v>0611834883025</v>
      </c>
      <c r="B5578" t="str">
        <f>"MC3734"</f>
        <v>MC3734</v>
      </c>
      <c r="C5578" t="s">
        <v>38043</v>
      </c>
      <c r="D5578" t="s">
        <v>27267</v>
      </c>
      <c r="E5578" t="str">
        <f t="shared" si="87"/>
        <v>001390</v>
      </c>
      <c r="F5578" t="s">
        <v>27246</v>
      </c>
      <c r="G5578" t="s">
        <v>27247</v>
      </c>
      <c r="H5578" t="s">
        <v>27248</v>
      </c>
      <c r="I5578" t="s">
        <v>38044</v>
      </c>
      <c r="J5578" t="s">
        <v>11129</v>
      </c>
      <c r="L5578" t="s">
        <v>27250</v>
      </c>
      <c r="M5578" t="s">
        <v>27251</v>
      </c>
      <c r="N5578" t="s">
        <v>27252</v>
      </c>
      <c r="Q5578" s="1">
        <v>44538</v>
      </c>
      <c r="R5578" t="s">
        <v>27253</v>
      </c>
      <c r="S5578" t="s">
        <v>27254</v>
      </c>
      <c r="T5578" t="s">
        <v>27269</v>
      </c>
    </row>
    <row r="5579" spans="1:20" x14ac:dyDescent="0.3">
      <c r="A5579" t="str">
        <f>"0611862512100"</f>
        <v>0611862512100</v>
      </c>
      <c r="B5579" t="str">
        <f>"CN2370"</f>
        <v>CN2370</v>
      </c>
      <c r="C5579" t="s">
        <v>38045</v>
      </c>
      <c r="D5579" t="s">
        <v>27335</v>
      </c>
      <c r="E5579" t="str">
        <f t="shared" si="87"/>
        <v>001390</v>
      </c>
      <c r="F5579" t="s">
        <v>27246</v>
      </c>
      <c r="G5579" t="s">
        <v>27247</v>
      </c>
      <c r="H5579" t="s">
        <v>27248</v>
      </c>
      <c r="I5579" t="s">
        <v>38046</v>
      </c>
      <c r="J5579" t="s">
        <v>11131</v>
      </c>
      <c r="L5579" t="s">
        <v>27250</v>
      </c>
      <c r="M5579" t="s">
        <v>27251</v>
      </c>
      <c r="N5579" t="s">
        <v>27252</v>
      </c>
      <c r="Q5579" s="1">
        <v>44846</v>
      </c>
      <c r="R5579" t="s">
        <v>27253</v>
      </c>
      <c r="S5579" t="s">
        <v>27254</v>
      </c>
      <c r="T5579" t="s">
        <v>27255</v>
      </c>
    </row>
    <row r="5580" spans="1:20" x14ac:dyDescent="0.3">
      <c r="A5580" t="str">
        <f>"0611834885025"</f>
        <v>0611834885025</v>
      </c>
      <c r="B5580" t="str">
        <f>"MQ0421"</f>
        <v>MQ0421</v>
      </c>
      <c r="C5580" t="s">
        <v>38047</v>
      </c>
      <c r="D5580" t="s">
        <v>27267</v>
      </c>
      <c r="E5580" t="str">
        <f t="shared" si="87"/>
        <v>001390</v>
      </c>
      <c r="F5580" t="s">
        <v>27246</v>
      </c>
      <c r="G5580" t="s">
        <v>27247</v>
      </c>
      <c r="H5580" t="s">
        <v>27248</v>
      </c>
      <c r="I5580" t="s">
        <v>38048</v>
      </c>
      <c r="J5580" t="s">
        <v>11133</v>
      </c>
      <c r="L5580" t="s">
        <v>27250</v>
      </c>
      <c r="M5580" t="s">
        <v>27251</v>
      </c>
      <c r="N5580" t="s">
        <v>27252</v>
      </c>
      <c r="Q5580" s="1">
        <v>44538</v>
      </c>
      <c r="R5580" t="s">
        <v>27253</v>
      </c>
      <c r="S5580" t="s">
        <v>27254</v>
      </c>
      <c r="T5580" t="s">
        <v>27269</v>
      </c>
    </row>
    <row r="5581" spans="1:20" x14ac:dyDescent="0.3">
      <c r="A5581" t="str">
        <f>"0611862513100"</f>
        <v>0611862513100</v>
      </c>
      <c r="B5581" t="str">
        <f>"CN2371"</f>
        <v>CN2371</v>
      </c>
      <c r="C5581" t="s">
        <v>38049</v>
      </c>
      <c r="D5581" t="s">
        <v>27335</v>
      </c>
      <c r="E5581" t="str">
        <f t="shared" si="87"/>
        <v>001390</v>
      </c>
      <c r="F5581" t="s">
        <v>27246</v>
      </c>
      <c r="G5581" t="s">
        <v>27247</v>
      </c>
      <c r="H5581" t="s">
        <v>27248</v>
      </c>
      <c r="I5581" t="s">
        <v>38050</v>
      </c>
      <c r="J5581" t="s">
        <v>11135</v>
      </c>
      <c r="L5581" t="s">
        <v>27250</v>
      </c>
      <c r="M5581" t="s">
        <v>27251</v>
      </c>
      <c r="N5581" t="s">
        <v>27252</v>
      </c>
      <c r="Q5581" s="1">
        <v>44846</v>
      </c>
      <c r="R5581" t="s">
        <v>27253</v>
      </c>
      <c r="S5581" t="s">
        <v>27254</v>
      </c>
      <c r="T5581" t="s">
        <v>27255</v>
      </c>
    </row>
    <row r="5582" spans="1:20" x14ac:dyDescent="0.3">
      <c r="A5582" t="str">
        <f>"0611834886025"</f>
        <v>0611834886025</v>
      </c>
      <c r="B5582" t="str">
        <f>"MQ0422"</f>
        <v>MQ0422</v>
      </c>
      <c r="C5582" t="s">
        <v>38051</v>
      </c>
      <c r="D5582" t="s">
        <v>27267</v>
      </c>
      <c r="E5582" t="str">
        <f t="shared" si="87"/>
        <v>001390</v>
      </c>
      <c r="F5582" t="s">
        <v>27246</v>
      </c>
      <c r="G5582" t="s">
        <v>27247</v>
      </c>
      <c r="H5582" t="s">
        <v>27248</v>
      </c>
      <c r="I5582" t="s">
        <v>38052</v>
      </c>
      <c r="J5582" t="s">
        <v>11137</v>
      </c>
      <c r="L5582" t="s">
        <v>27250</v>
      </c>
      <c r="M5582" t="s">
        <v>27251</v>
      </c>
      <c r="N5582" t="s">
        <v>27252</v>
      </c>
      <c r="Q5582" s="1">
        <v>44538</v>
      </c>
      <c r="R5582" t="s">
        <v>27253</v>
      </c>
      <c r="S5582" t="s">
        <v>27254</v>
      </c>
      <c r="T5582" t="s">
        <v>27269</v>
      </c>
    </row>
    <row r="5583" spans="1:20" x14ac:dyDescent="0.3">
      <c r="A5583" t="str">
        <f>"0611862514100"</f>
        <v>0611862514100</v>
      </c>
      <c r="B5583" t="str">
        <f>"CN2372"</f>
        <v>CN2372</v>
      </c>
      <c r="C5583" t="s">
        <v>38053</v>
      </c>
      <c r="D5583" t="s">
        <v>27335</v>
      </c>
      <c r="E5583" t="str">
        <f t="shared" si="87"/>
        <v>001390</v>
      </c>
      <c r="F5583" t="s">
        <v>27246</v>
      </c>
      <c r="G5583" t="s">
        <v>27247</v>
      </c>
      <c r="H5583" t="s">
        <v>27248</v>
      </c>
      <c r="I5583" t="s">
        <v>38054</v>
      </c>
      <c r="J5583" t="s">
        <v>11139</v>
      </c>
      <c r="L5583" t="s">
        <v>27250</v>
      </c>
      <c r="M5583" t="s">
        <v>27251</v>
      </c>
      <c r="N5583" t="s">
        <v>27252</v>
      </c>
      <c r="Q5583" s="1">
        <v>44846</v>
      </c>
      <c r="R5583" t="s">
        <v>27253</v>
      </c>
      <c r="S5583" t="s">
        <v>27254</v>
      </c>
      <c r="T5583" t="s">
        <v>27255</v>
      </c>
    </row>
    <row r="5584" spans="1:20" x14ac:dyDescent="0.3">
      <c r="A5584" t="str">
        <f>"0611834887025"</f>
        <v>0611834887025</v>
      </c>
      <c r="B5584" t="str">
        <f>"MQ0423"</f>
        <v>MQ0423</v>
      </c>
      <c r="C5584" t="s">
        <v>38055</v>
      </c>
      <c r="D5584" t="s">
        <v>27267</v>
      </c>
      <c r="E5584" t="str">
        <f t="shared" si="87"/>
        <v>001390</v>
      </c>
      <c r="F5584" t="s">
        <v>27246</v>
      </c>
      <c r="G5584" t="s">
        <v>27247</v>
      </c>
      <c r="H5584" t="s">
        <v>27248</v>
      </c>
      <c r="I5584" t="s">
        <v>38056</v>
      </c>
      <c r="J5584" t="s">
        <v>11141</v>
      </c>
      <c r="L5584" t="s">
        <v>27250</v>
      </c>
      <c r="M5584" t="s">
        <v>27251</v>
      </c>
      <c r="N5584" t="s">
        <v>27252</v>
      </c>
      <c r="Q5584" s="1">
        <v>44538</v>
      </c>
      <c r="R5584" t="s">
        <v>27253</v>
      </c>
      <c r="S5584" t="s">
        <v>27254</v>
      </c>
      <c r="T5584" t="s">
        <v>27269</v>
      </c>
    </row>
    <row r="5585" spans="1:20" x14ac:dyDescent="0.3">
      <c r="A5585" t="str">
        <f>"0611834889100"</f>
        <v>0611834889100</v>
      </c>
      <c r="B5585" t="str">
        <f>"LB9025"</f>
        <v>LB9025</v>
      </c>
      <c r="C5585" t="s">
        <v>38057</v>
      </c>
      <c r="D5585" t="s">
        <v>27245</v>
      </c>
      <c r="E5585" t="str">
        <f t="shared" si="87"/>
        <v>001390</v>
      </c>
      <c r="F5585" t="s">
        <v>27246</v>
      </c>
      <c r="G5585" t="s">
        <v>27247</v>
      </c>
      <c r="H5585" t="s">
        <v>27248</v>
      </c>
      <c r="I5585" t="s">
        <v>38058</v>
      </c>
      <c r="J5585" t="s">
        <v>11147</v>
      </c>
      <c r="L5585" t="s">
        <v>27250</v>
      </c>
      <c r="M5585" t="s">
        <v>27251</v>
      </c>
      <c r="N5585" t="s">
        <v>27252</v>
      </c>
      <c r="Q5585" s="1">
        <v>44538</v>
      </c>
      <c r="R5585" t="s">
        <v>27253</v>
      </c>
      <c r="S5585" t="s">
        <v>27254</v>
      </c>
      <c r="T5585" t="s">
        <v>27255</v>
      </c>
    </row>
    <row r="5586" spans="1:20" x14ac:dyDescent="0.3">
      <c r="A5586" t="str">
        <f>"0611834890025"</f>
        <v>0611834890025</v>
      </c>
      <c r="B5586" t="str">
        <f>"MC4210"</f>
        <v>MC4210</v>
      </c>
      <c r="C5586" t="s">
        <v>38059</v>
      </c>
      <c r="D5586" t="s">
        <v>27267</v>
      </c>
      <c r="E5586" t="str">
        <f t="shared" si="87"/>
        <v>001390</v>
      </c>
      <c r="F5586" t="s">
        <v>27246</v>
      </c>
      <c r="G5586" t="s">
        <v>27247</v>
      </c>
      <c r="H5586" t="s">
        <v>27248</v>
      </c>
      <c r="I5586" t="s">
        <v>38060</v>
      </c>
      <c r="J5586" t="s">
        <v>11149</v>
      </c>
      <c r="L5586" t="s">
        <v>27250</v>
      </c>
      <c r="M5586" t="s">
        <v>27251</v>
      </c>
      <c r="N5586" t="s">
        <v>27252</v>
      </c>
      <c r="Q5586" s="1">
        <v>44538</v>
      </c>
      <c r="R5586" t="s">
        <v>27253</v>
      </c>
      <c r="S5586" t="s">
        <v>27254</v>
      </c>
      <c r="T5586" t="s">
        <v>27269</v>
      </c>
    </row>
    <row r="5587" spans="1:20" x14ac:dyDescent="0.3">
      <c r="A5587" t="str">
        <f>"0611834891100"</f>
        <v>0611834891100</v>
      </c>
      <c r="B5587" t="str">
        <f>"LK1772"</f>
        <v>LK1772</v>
      </c>
      <c r="C5587" t="s">
        <v>38061</v>
      </c>
      <c r="D5587" t="s">
        <v>27245</v>
      </c>
      <c r="E5587" t="str">
        <f t="shared" si="87"/>
        <v>001390</v>
      </c>
      <c r="F5587" t="s">
        <v>27246</v>
      </c>
      <c r="G5587" t="s">
        <v>27247</v>
      </c>
      <c r="H5587" t="s">
        <v>27248</v>
      </c>
      <c r="I5587" t="s">
        <v>38062</v>
      </c>
      <c r="J5587" t="s">
        <v>11151</v>
      </c>
      <c r="L5587" t="s">
        <v>27250</v>
      </c>
      <c r="M5587" t="s">
        <v>27251</v>
      </c>
      <c r="N5587" t="s">
        <v>27252</v>
      </c>
      <c r="Q5587" s="1">
        <v>44538</v>
      </c>
      <c r="R5587" t="s">
        <v>27253</v>
      </c>
      <c r="S5587" t="s">
        <v>27254</v>
      </c>
      <c r="T5587" t="s">
        <v>27255</v>
      </c>
    </row>
    <row r="5588" spans="1:20" x14ac:dyDescent="0.3">
      <c r="A5588" t="str">
        <f>"0611834892025"</f>
        <v>0611834892025</v>
      </c>
      <c r="B5588" t="str">
        <f>"MC3869"</f>
        <v>MC3869</v>
      </c>
      <c r="C5588" t="s">
        <v>38063</v>
      </c>
      <c r="D5588" t="s">
        <v>27267</v>
      </c>
      <c r="E5588" t="str">
        <f t="shared" si="87"/>
        <v>001390</v>
      </c>
      <c r="F5588" t="s">
        <v>27246</v>
      </c>
      <c r="G5588" t="s">
        <v>27247</v>
      </c>
      <c r="H5588" t="s">
        <v>27248</v>
      </c>
      <c r="I5588" t="s">
        <v>38064</v>
      </c>
      <c r="J5588" t="s">
        <v>11153</v>
      </c>
      <c r="L5588" t="s">
        <v>27250</v>
      </c>
      <c r="M5588" t="s">
        <v>27251</v>
      </c>
      <c r="N5588" t="s">
        <v>27252</v>
      </c>
      <c r="Q5588" s="1">
        <v>44538</v>
      </c>
      <c r="R5588" t="s">
        <v>27253</v>
      </c>
      <c r="S5588" t="s">
        <v>27254</v>
      </c>
      <c r="T5588" t="s">
        <v>27269</v>
      </c>
    </row>
    <row r="5589" spans="1:20" x14ac:dyDescent="0.3">
      <c r="A5589" t="str">
        <f>"0611834893025"</f>
        <v>0611834893025</v>
      </c>
      <c r="B5589" t="str">
        <f>"MQ9012"</f>
        <v>MQ9012</v>
      </c>
      <c r="C5589" t="s">
        <v>38065</v>
      </c>
      <c r="D5589" t="s">
        <v>27267</v>
      </c>
      <c r="E5589" t="str">
        <f t="shared" si="87"/>
        <v>001390</v>
      </c>
      <c r="F5589" t="s">
        <v>27246</v>
      </c>
      <c r="G5589" t="s">
        <v>27247</v>
      </c>
      <c r="H5589" t="s">
        <v>27248</v>
      </c>
      <c r="I5589" t="s">
        <v>38066</v>
      </c>
      <c r="J5589" t="s">
        <v>11155</v>
      </c>
      <c r="L5589" t="s">
        <v>27250</v>
      </c>
      <c r="M5589" t="s">
        <v>27251</v>
      </c>
      <c r="N5589" t="s">
        <v>27252</v>
      </c>
      <c r="Q5589" s="1">
        <v>44538</v>
      </c>
      <c r="R5589" t="s">
        <v>27253</v>
      </c>
      <c r="S5589" t="s">
        <v>27254</v>
      </c>
      <c r="T5589" t="s">
        <v>27269</v>
      </c>
    </row>
    <row r="5590" spans="1:20" x14ac:dyDescent="0.3">
      <c r="A5590" t="str">
        <f>"0611834894025"</f>
        <v>0611834894025</v>
      </c>
      <c r="B5590" t="str">
        <f>"MC3870"</f>
        <v>MC3870</v>
      </c>
      <c r="C5590" t="s">
        <v>38067</v>
      </c>
      <c r="D5590" t="s">
        <v>27267</v>
      </c>
      <c r="E5590" t="str">
        <f t="shared" si="87"/>
        <v>001390</v>
      </c>
      <c r="F5590" t="s">
        <v>27246</v>
      </c>
      <c r="G5590" t="s">
        <v>27247</v>
      </c>
      <c r="H5590" t="s">
        <v>27248</v>
      </c>
      <c r="I5590" t="s">
        <v>38068</v>
      </c>
      <c r="J5590" t="s">
        <v>11157</v>
      </c>
      <c r="L5590" t="s">
        <v>27250</v>
      </c>
      <c r="M5590" t="s">
        <v>27251</v>
      </c>
      <c r="N5590" t="s">
        <v>27252</v>
      </c>
      <c r="Q5590" s="1">
        <v>44538</v>
      </c>
      <c r="R5590" t="s">
        <v>27253</v>
      </c>
      <c r="S5590" t="s">
        <v>27254</v>
      </c>
      <c r="T5590" t="s">
        <v>27269</v>
      </c>
    </row>
    <row r="5591" spans="1:20" x14ac:dyDescent="0.3">
      <c r="A5591" t="str">
        <f>"0611834895100"</f>
        <v>0611834895100</v>
      </c>
      <c r="B5591" t="str">
        <f>"LK6459"</f>
        <v>LK6459</v>
      </c>
      <c r="C5591" t="s">
        <v>38069</v>
      </c>
      <c r="D5591" t="s">
        <v>27245</v>
      </c>
      <c r="E5591" t="str">
        <f t="shared" si="87"/>
        <v>001390</v>
      </c>
      <c r="F5591" t="s">
        <v>27246</v>
      </c>
      <c r="G5591" t="s">
        <v>27247</v>
      </c>
      <c r="H5591" t="s">
        <v>27248</v>
      </c>
      <c r="I5591" t="s">
        <v>38070</v>
      </c>
      <c r="J5591" t="s">
        <v>11159</v>
      </c>
      <c r="L5591" t="s">
        <v>27250</v>
      </c>
      <c r="M5591" t="s">
        <v>27251</v>
      </c>
      <c r="N5591" t="s">
        <v>27252</v>
      </c>
      <c r="Q5591" s="1">
        <v>44538</v>
      </c>
      <c r="R5591" t="s">
        <v>27253</v>
      </c>
      <c r="S5591" t="s">
        <v>27254</v>
      </c>
      <c r="T5591" t="s">
        <v>27255</v>
      </c>
    </row>
    <row r="5592" spans="1:20" x14ac:dyDescent="0.3">
      <c r="A5592" t="str">
        <f>"0611834896100"</f>
        <v>0611834896100</v>
      </c>
      <c r="B5592" t="str">
        <f>"LB3080"</f>
        <v>LB3080</v>
      </c>
      <c r="C5592" t="s">
        <v>38071</v>
      </c>
      <c r="D5592" t="s">
        <v>27245</v>
      </c>
      <c r="E5592" t="str">
        <f t="shared" si="87"/>
        <v>001390</v>
      </c>
      <c r="F5592" t="s">
        <v>27246</v>
      </c>
      <c r="G5592" t="s">
        <v>27247</v>
      </c>
      <c r="H5592" t="s">
        <v>27248</v>
      </c>
      <c r="I5592" t="s">
        <v>38072</v>
      </c>
      <c r="J5592" t="s">
        <v>11161</v>
      </c>
      <c r="L5592" t="s">
        <v>27250</v>
      </c>
      <c r="M5592" t="s">
        <v>27251</v>
      </c>
      <c r="N5592" t="s">
        <v>27252</v>
      </c>
      <c r="Q5592" s="1">
        <v>44538</v>
      </c>
      <c r="R5592" t="s">
        <v>27253</v>
      </c>
      <c r="S5592" t="s">
        <v>27254</v>
      </c>
      <c r="T5592" t="s">
        <v>27255</v>
      </c>
    </row>
    <row r="5593" spans="1:20" x14ac:dyDescent="0.3">
      <c r="A5593" t="str">
        <f>"0611834897100"</f>
        <v>0611834897100</v>
      </c>
      <c r="B5593" t="str">
        <f>"LK6525"</f>
        <v>LK6525</v>
      </c>
      <c r="C5593" t="s">
        <v>38073</v>
      </c>
      <c r="D5593" t="s">
        <v>27245</v>
      </c>
      <c r="E5593" t="str">
        <f t="shared" si="87"/>
        <v>001390</v>
      </c>
      <c r="F5593" t="s">
        <v>27246</v>
      </c>
      <c r="G5593" t="s">
        <v>27247</v>
      </c>
      <c r="H5593" t="s">
        <v>27248</v>
      </c>
      <c r="I5593" t="s">
        <v>38074</v>
      </c>
      <c r="J5593" t="s">
        <v>11163</v>
      </c>
      <c r="L5593" t="s">
        <v>27250</v>
      </c>
      <c r="M5593" t="s">
        <v>27251</v>
      </c>
      <c r="N5593" t="s">
        <v>27252</v>
      </c>
      <c r="Q5593" s="1">
        <v>44538</v>
      </c>
      <c r="R5593" t="s">
        <v>27253</v>
      </c>
      <c r="S5593" t="s">
        <v>27254</v>
      </c>
      <c r="T5593" t="s">
        <v>27255</v>
      </c>
    </row>
    <row r="5594" spans="1:20" x14ac:dyDescent="0.3">
      <c r="A5594" t="str">
        <f>"0611834898025"</f>
        <v>0611834898025</v>
      </c>
      <c r="B5594" t="str">
        <f>"MC4209"</f>
        <v>MC4209</v>
      </c>
      <c r="C5594" t="s">
        <v>38075</v>
      </c>
      <c r="D5594" t="s">
        <v>27267</v>
      </c>
      <c r="E5594" t="str">
        <f t="shared" si="87"/>
        <v>001390</v>
      </c>
      <c r="F5594" t="s">
        <v>27246</v>
      </c>
      <c r="G5594" t="s">
        <v>27247</v>
      </c>
      <c r="H5594" t="s">
        <v>27248</v>
      </c>
      <c r="I5594" t="s">
        <v>38076</v>
      </c>
      <c r="J5594" t="s">
        <v>11165</v>
      </c>
      <c r="L5594" t="s">
        <v>27250</v>
      </c>
      <c r="M5594" t="s">
        <v>27251</v>
      </c>
      <c r="N5594" t="s">
        <v>27252</v>
      </c>
      <c r="Q5594" s="1">
        <v>44538</v>
      </c>
      <c r="R5594" t="s">
        <v>27253</v>
      </c>
      <c r="S5594" t="s">
        <v>27254</v>
      </c>
      <c r="T5594" t="s">
        <v>27269</v>
      </c>
    </row>
    <row r="5595" spans="1:20" x14ac:dyDescent="0.3">
      <c r="A5595" t="str">
        <f>"0611834899025"</f>
        <v>0611834899025</v>
      </c>
      <c r="B5595" t="str">
        <f>"MQ9013"</f>
        <v>MQ9013</v>
      </c>
      <c r="C5595" t="s">
        <v>38077</v>
      </c>
      <c r="D5595" t="s">
        <v>27267</v>
      </c>
      <c r="E5595" t="str">
        <f t="shared" si="87"/>
        <v>001390</v>
      </c>
      <c r="F5595" t="s">
        <v>27246</v>
      </c>
      <c r="G5595" t="s">
        <v>27247</v>
      </c>
      <c r="H5595" t="s">
        <v>27248</v>
      </c>
      <c r="I5595" t="s">
        <v>38078</v>
      </c>
      <c r="J5595" t="s">
        <v>11167</v>
      </c>
      <c r="L5595" t="s">
        <v>27250</v>
      </c>
      <c r="M5595" t="s">
        <v>27251</v>
      </c>
      <c r="N5595" t="s">
        <v>27252</v>
      </c>
      <c r="Q5595" s="1">
        <v>44538</v>
      </c>
      <c r="R5595" t="s">
        <v>27253</v>
      </c>
      <c r="S5595" t="s">
        <v>27254</v>
      </c>
      <c r="T5595" t="s">
        <v>27269</v>
      </c>
    </row>
    <row r="5596" spans="1:20" x14ac:dyDescent="0.3">
      <c r="A5596" t="str">
        <f>"0611834900100"</f>
        <v>0611834900100</v>
      </c>
      <c r="B5596" t="str">
        <f>"LK3513"</f>
        <v>LK3513</v>
      </c>
      <c r="C5596" t="s">
        <v>38079</v>
      </c>
      <c r="D5596" t="s">
        <v>27245</v>
      </c>
      <c r="E5596" t="str">
        <f t="shared" si="87"/>
        <v>001390</v>
      </c>
      <c r="F5596" t="s">
        <v>27246</v>
      </c>
      <c r="G5596" t="s">
        <v>27247</v>
      </c>
      <c r="H5596" t="s">
        <v>27248</v>
      </c>
      <c r="I5596" t="s">
        <v>38080</v>
      </c>
      <c r="J5596" t="s">
        <v>11169</v>
      </c>
      <c r="L5596" t="s">
        <v>27250</v>
      </c>
      <c r="M5596" t="s">
        <v>27251</v>
      </c>
      <c r="N5596" t="s">
        <v>27252</v>
      </c>
      <c r="Q5596" s="1">
        <v>44538</v>
      </c>
      <c r="R5596" t="s">
        <v>27253</v>
      </c>
      <c r="S5596" t="s">
        <v>27254</v>
      </c>
      <c r="T5596" t="s">
        <v>27255</v>
      </c>
    </row>
    <row r="5597" spans="1:20" x14ac:dyDescent="0.3">
      <c r="A5597" t="str">
        <f>"0611834901100"</f>
        <v>0611834901100</v>
      </c>
      <c r="B5597" t="str">
        <f>"LK4711"</f>
        <v>LK4711</v>
      </c>
      <c r="C5597" t="s">
        <v>38081</v>
      </c>
      <c r="D5597" t="s">
        <v>27245</v>
      </c>
      <c r="E5597" t="str">
        <f t="shared" si="87"/>
        <v>001390</v>
      </c>
      <c r="F5597" t="s">
        <v>27246</v>
      </c>
      <c r="G5597" t="s">
        <v>27247</v>
      </c>
      <c r="H5597" t="s">
        <v>27248</v>
      </c>
      <c r="I5597" t="s">
        <v>38082</v>
      </c>
      <c r="J5597" t="s">
        <v>11171</v>
      </c>
      <c r="L5597" t="s">
        <v>27250</v>
      </c>
      <c r="M5597" t="s">
        <v>27251</v>
      </c>
      <c r="N5597" t="s">
        <v>27252</v>
      </c>
      <c r="Q5597" s="1">
        <v>44538</v>
      </c>
      <c r="R5597" t="s">
        <v>27253</v>
      </c>
      <c r="S5597" t="s">
        <v>27254</v>
      </c>
      <c r="T5597" t="s">
        <v>27255</v>
      </c>
    </row>
    <row r="5598" spans="1:20" x14ac:dyDescent="0.3">
      <c r="A5598" t="str">
        <f>"0611834902025"</f>
        <v>0611834902025</v>
      </c>
      <c r="B5598" t="str">
        <f>"MQ9014"</f>
        <v>MQ9014</v>
      </c>
      <c r="C5598" t="s">
        <v>38083</v>
      </c>
      <c r="D5598" t="s">
        <v>27267</v>
      </c>
      <c r="E5598" t="str">
        <f t="shared" si="87"/>
        <v>001390</v>
      </c>
      <c r="F5598" t="s">
        <v>27246</v>
      </c>
      <c r="G5598" t="s">
        <v>27247</v>
      </c>
      <c r="H5598" t="s">
        <v>27248</v>
      </c>
      <c r="I5598" t="s">
        <v>38084</v>
      </c>
      <c r="J5598" t="s">
        <v>11173</v>
      </c>
      <c r="L5598" t="s">
        <v>27250</v>
      </c>
      <c r="M5598" t="s">
        <v>27251</v>
      </c>
      <c r="N5598" t="s">
        <v>27252</v>
      </c>
      <c r="Q5598" s="1">
        <v>44538</v>
      </c>
      <c r="R5598" t="s">
        <v>27253</v>
      </c>
      <c r="S5598" t="s">
        <v>27254</v>
      </c>
      <c r="T5598" t="s">
        <v>27269</v>
      </c>
    </row>
    <row r="5599" spans="1:20" x14ac:dyDescent="0.3">
      <c r="A5599" t="str">
        <f>"0611834903100"</f>
        <v>0611834903100</v>
      </c>
      <c r="B5599" t="str">
        <f>"LK1175"</f>
        <v>LK1175</v>
      </c>
      <c r="C5599" t="s">
        <v>38085</v>
      </c>
      <c r="D5599" t="s">
        <v>27245</v>
      </c>
      <c r="E5599" t="str">
        <f t="shared" si="87"/>
        <v>001390</v>
      </c>
      <c r="F5599" t="s">
        <v>27246</v>
      </c>
      <c r="G5599" t="s">
        <v>27247</v>
      </c>
      <c r="H5599" t="s">
        <v>27248</v>
      </c>
      <c r="I5599" t="s">
        <v>38086</v>
      </c>
      <c r="J5599" t="s">
        <v>11175</v>
      </c>
      <c r="L5599" t="s">
        <v>27250</v>
      </c>
      <c r="M5599" t="s">
        <v>27251</v>
      </c>
      <c r="N5599" t="s">
        <v>27252</v>
      </c>
      <c r="Q5599" s="1">
        <v>44538</v>
      </c>
      <c r="R5599" t="s">
        <v>27253</v>
      </c>
      <c r="S5599" t="s">
        <v>27254</v>
      </c>
      <c r="T5599" t="s">
        <v>27255</v>
      </c>
    </row>
    <row r="5600" spans="1:20" x14ac:dyDescent="0.3">
      <c r="A5600" t="str">
        <f>"0611834904100"</f>
        <v>0611834904100</v>
      </c>
      <c r="B5600" t="str">
        <f>"LQ3777"</f>
        <v>LQ3777</v>
      </c>
      <c r="C5600" t="s">
        <v>38087</v>
      </c>
      <c r="D5600" t="s">
        <v>27245</v>
      </c>
      <c r="E5600" t="str">
        <f t="shared" si="87"/>
        <v>001390</v>
      </c>
      <c r="F5600" t="s">
        <v>27246</v>
      </c>
      <c r="G5600" t="s">
        <v>27247</v>
      </c>
      <c r="H5600" t="s">
        <v>27248</v>
      </c>
      <c r="I5600" t="s">
        <v>38088</v>
      </c>
      <c r="J5600" t="s">
        <v>11181</v>
      </c>
      <c r="L5600" t="s">
        <v>27250</v>
      </c>
      <c r="M5600" t="s">
        <v>27251</v>
      </c>
      <c r="N5600" t="s">
        <v>27252</v>
      </c>
      <c r="Q5600" s="1">
        <v>44538</v>
      </c>
      <c r="R5600" t="s">
        <v>27253</v>
      </c>
      <c r="S5600" t="s">
        <v>27254</v>
      </c>
      <c r="T5600" t="s">
        <v>27255</v>
      </c>
    </row>
    <row r="5601" spans="1:20" x14ac:dyDescent="0.3">
      <c r="A5601" t="str">
        <f>"0611834905025"</f>
        <v>0611834905025</v>
      </c>
      <c r="B5601" t="str">
        <f>"MC3871"</f>
        <v>MC3871</v>
      </c>
      <c r="C5601" t="s">
        <v>38089</v>
      </c>
      <c r="D5601" t="s">
        <v>27267</v>
      </c>
      <c r="E5601" t="str">
        <f t="shared" si="87"/>
        <v>001390</v>
      </c>
      <c r="F5601" t="s">
        <v>27246</v>
      </c>
      <c r="G5601" t="s">
        <v>27247</v>
      </c>
      <c r="H5601" t="s">
        <v>27248</v>
      </c>
      <c r="I5601" t="s">
        <v>38090</v>
      </c>
      <c r="J5601" t="s">
        <v>11183</v>
      </c>
      <c r="L5601" t="s">
        <v>27250</v>
      </c>
      <c r="M5601" t="s">
        <v>27251</v>
      </c>
      <c r="N5601" t="s">
        <v>27252</v>
      </c>
      <c r="Q5601" s="1">
        <v>44538</v>
      </c>
      <c r="R5601" t="s">
        <v>27253</v>
      </c>
      <c r="S5601" t="s">
        <v>27254</v>
      </c>
      <c r="T5601" t="s">
        <v>27269</v>
      </c>
    </row>
    <row r="5602" spans="1:20" x14ac:dyDescent="0.3">
      <c r="A5602" t="str">
        <f>"0611834906100"</f>
        <v>0611834906100</v>
      </c>
      <c r="B5602" t="str">
        <f>"LB9030"</f>
        <v>LB9030</v>
      </c>
      <c r="C5602" t="s">
        <v>38091</v>
      </c>
      <c r="D5602" t="s">
        <v>27245</v>
      </c>
      <c r="E5602" t="str">
        <f t="shared" si="87"/>
        <v>001390</v>
      </c>
      <c r="F5602" t="s">
        <v>27246</v>
      </c>
      <c r="G5602" t="s">
        <v>27247</v>
      </c>
      <c r="H5602" t="s">
        <v>27248</v>
      </c>
      <c r="I5602" t="s">
        <v>38092</v>
      </c>
      <c r="J5602" t="s">
        <v>11185</v>
      </c>
      <c r="L5602" t="s">
        <v>27250</v>
      </c>
      <c r="M5602" t="s">
        <v>27251</v>
      </c>
      <c r="N5602" t="s">
        <v>27252</v>
      </c>
      <c r="Q5602" s="1">
        <v>44538</v>
      </c>
      <c r="R5602" t="s">
        <v>27253</v>
      </c>
      <c r="S5602" t="s">
        <v>27254</v>
      </c>
      <c r="T5602" t="s">
        <v>27255</v>
      </c>
    </row>
    <row r="5603" spans="1:20" x14ac:dyDescent="0.3">
      <c r="A5603" t="str">
        <f>"0611834907100"</f>
        <v>0611834907100</v>
      </c>
      <c r="B5603" t="str">
        <f>"LK4370"</f>
        <v>LK4370</v>
      </c>
      <c r="C5603" t="s">
        <v>38093</v>
      </c>
      <c r="D5603" t="s">
        <v>27245</v>
      </c>
      <c r="E5603" t="str">
        <f t="shared" si="87"/>
        <v>001390</v>
      </c>
      <c r="F5603" t="s">
        <v>27246</v>
      </c>
      <c r="G5603" t="s">
        <v>27247</v>
      </c>
      <c r="H5603" t="s">
        <v>27248</v>
      </c>
      <c r="I5603" t="s">
        <v>38094</v>
      </c>
      <c r="J5603" t="s">
        <v>11187</v>
      </c>
      <c r="L5603" t="s">
        <v>27250</v>
      </c>
      <c r="M5603" t="s">
        <v>27251</v>
      </c>
      <c r="N5603" t="s">
        <v>27252</v>
      </c>
      <c r="Q5603" s="1">
        <v>44538</v>
      </c>
      <c r="R5603" t="s">
        <v>27253</v>
      </c>
      <c r="S5603" t="s">
        <v>27254</v>
      </c>
      <c r="T5603" t="s">
        <v>27255</v>
      </c>
    </row>
    <row r="5604" spans="1:20" x14ac:dyDescent="0.3">
      <c r="A5604" t="str">
        <f>"0611834908100"</f>
        <v>0611834908100</v>
      </c>
      <c r="B5604" t="str">
        <f>"LB9022"</f>
        <v>LB9022</v>
      </c>
      <c r="C5604" t="s">
        <v>38095</v>
      </c>
      <c r="D5604" t="s">
        <v>27245</v>
      </c>
      <c r="E5604" t="str">
        <f t="shared" si="87"/>
        <v>001390</v>
      </c>
      <c r="F5604" t="s">
        <v>27246</v>
      </c>
      <c r="G5604" t="s">
        <v>27247</v>
      </c>
      <c r="H5604" t="s">
        <v>27248</v>
      </c>
      <c r="I5604" t="s">
        <v>38096</v>
      </c>
      <c r="J5604" t="s">
        <v>11189</v>
      </c>
      <c r="L5604" t="s">
        <v>27250</v>
      </c>
      <c r="M5604" t="s">
        <v>27251</v>
      </c>
      <c r="N5604" t="s">
        <v>27252</v>
      </c>
      <c r="Q5604" s="1">
        <v>44538</v>
      </c>
      <c r="R5604" t="s">
        <v>27253</v>
      </c>
      <c r="S5604" t="s">
        <v>27254</v>
      </c>
      <c r="T5604" t="s">
        <v>27255</v>
      </c>
    </row>
    <row r="5605" spans="1:20" x14ac:dyDescent="0.3">
      <c r="A5605" t="str">
        <f>"0611834909100"</f>
        <v>0611834909100</v>
      </c>
      <c r="B5605" t="str">
        <f>"LK1405"</f>
        <v>LK1405</v>
      </c>
      <c r="C5605" t="s">
        <v>38097</v>
      </c>
      <c r="D5605" t="s">
        <v>27245</v>
      </c>
      <c r="E5605" t="str">
        <f t="shared" si="87"/>
        <v>001390</v>
      </c>
      <c r="F5605" t="s">
        <v>27246</v>
      </c>
      <c r="G5605" t="s">
        <v>27247</v>
      </c>
      <c r="H5605" t="s">
        <v>27248</v>
      </c>
      <c r="I5605" t="s">
        <v>38098</v>
      </c>
      <c r="J5605" t="s">
        <v>11191</v>
      </c>
      <c r="L5605" t="s">
        <v>27250</v>
      </c>
      <c r="M5605" t="s">
        <v>27251</v>
      </c>
      <c r="N5605" t="s">
        <v>27252</v>
      </c>
      <c r="Q5605" s="1">
        <v>44538</v>
      </c>
      <c r="R5605" t="s">
        <v>27253</v>
      </c>
      <c r="S5605" t="s">
        <v>27254</v>
      </c>
      <c r="T5605" t="s">
        <v>27255</v>
      </c>
    </row>
    <row r="5606" spans="1:20" x14ac:dyDescent="0.3">
      <c r="A5606" t="str">
        <f>"0611834911100"</f>
        <v>0611834911100</v>
      </c>
      <c r="B5606" t="str">
        <f>"LB9042"</f>
        <v>LB9042</v>
      </c>
      <c r="C5606" t="s">
        <v>38099</v>
      </c>
      <c r="D5606" t="s">
        <v>27245</v>
      </c>
      <c r="E5606" t="str">
        <f t="shared" si="87"/>
        <v>001390</v>
      </c>
      <c r="F5606" t="s">
        <v>27246</v>
      </c>
      <c r="G5606" t="s">
        <v>27247</v>
      </c>
      <c r="H5606" t="s">
        <v>27248</v>
      </c>
      <c r="I5606" t="s">
        <v>38100</v>
      </c>
      <c r="J5606" t="s">
        <v>11193</v>
      </c>
      <c r="L5606" t="s">
        <v>27250</v>
      </c>
      <c r="M5606" t="s">
        <v>27251</v>
      </c>
      <c r="N5606" t="s">
        <v>27252</v>
      </c>
      <c r="Q5606" s="1">
        <v>44538</v>
      </c>
      <c r="R5606" t="s">
        <v>27253</v>
      </c>
      <c r="S5606" t="s">
        <v>27254</v>
      </c>
      <c r="T5606" t="s">
        <v>27255</v>
      </c>
    </row>
    <row r="5607" spans="1:20" x14ac:dyDescent="0.3">
      <c r="A5607" t="str">
        <f>"0611834912100"</f>
        <v>0611834912100</v>
      </c>
      <c r="B5607" t="str">
        <f>"LK6978"</f>
        <v>LK6978</v>
      </c>
      <c r="C5607" t="s">
        <v>38101</v>
      </c>
      <c r="D5607" t="s">
        <v>27245</v>
      </c>
      <c r="E5607" t="str">
        <f t="shared" si="87"/>
        <v>001390</v>
      </c>
      <c r="F5607" t="s">
        <v>27246</v>
      </c>
      <c r="G5607" t="s">
        <v>27247</v>
      </c>
      <c r="H5607" t="s">
        <v>27248</v>
      </c>
      <c r="I5607" t="s">
        <v>38102</v>
      </c>
      <c r="J5607" t="s">
        <v>11195</v>
      </c>
      <c r="L5607" t="s">
        <v>27250</v>
      </c>
      <c r="M5607" t="s">
        <v>27251</v>
      </c>
      <c r="N5607" t="s">
        <v>27252</v>
      </c>
      <c r="Q5607" s="1">
        <v>44538</v>
      </c>
      <c r="R5607" t="s">
        <v>27253</v>
      </c>
      <c r="S5607" t="s">
        <v>27254</v>
      </c>
      <c r="T5607" t="s">
        <v>27255</v>
      </c>
    </row>
    <row r="5608" spans="1:20" x14ac:dyDescent="0.3">
      <c r="A5608" t="str">
        <f>"0611884243100"</f>
        <v>0611884243100</v>
      </c>
      <c r="B5608" t="str">
        <f>"LK7179"</f>
        <v>LK7179</v>
      </c>
      <c r="C5608" t="s">
        <v>38103</v>
      </c>
      <c r="D5608" t="s">
        <v>27245</v>
      </c>
      <c r="E5608" t="str">
        <f t="shared" si="87"/>
        <v>001390</v>
      </c>
      <c r="F5608" t="s">
        <v>27246</v>
      </c>
      <c r="G5608" t="s">
        <v>27247</v>
      </c>
      <c r="H5608" t="s">
        <v>27248</v>
      </c>
      <c r="I5608" t="s">
        <v>38104</v>
      </c>
      <c r="J5608" t="s">
        <v>11143</v>
      </c>
      <c r="L5608" t="s">
        <v>27430</v>
      </c>
      <c r="M5608" t="s">
        <v>27251</v>
      </c>
      <c r="N5608" t="s">
        <v>27252</v>
      </c>
      <c r="Q5608" s="1">
        <v>45250</v>
      </c>
      <c r="R5608" t="s">
        <v>27253</v>
      </c>
      <c r="S5608" t="s">
        <v>27254</v>
      </c>
      <c r="T5608" t="s">
        <v>27255</v>
      </c>
    </row>
    <row r="5609" spans="1:20" x14ac:dyDescent="0.3">
      <c r="A5609" t="str">
        <f>"0611834913100"</f>
        <v>0611834913100</v>
      </c>
      <c r="B5609" t="str">
        <f>"LK5653"</f>
        <v>LK5653</v>
      </c>
      <c r="C5609" t="s">
        <v>38105</v>
      </c>
      <c r="D5609" t="s">
        <v>27245</v>
      </c>
      <c r="E5609" t="str">
        <f t="shared" si="87"/>
        <v>001390</v>
      </c>
      <c r="F5609" t="s">
        <v>27246</v>
      </c>
      <c r="G5609" t="s">
        <v>27247</v>
      </c>
      <c r="H5609" t="s">
        <v>27248</v>
      </c>
      <c r="I5609" t="s">
        <v>38106</v>
      </c>
      <c r="J5609" t="s">
        <v>11219</v>
      </c>
      <c r="L5609" t="s">
        <v>27250</v>
      </c>
      <c r="M5609" t="s">
        <v>27251</v>
      </c>
      <c r="N5609" t="s">
        <v>27252</v>
      </c>
      <c r="Q5609" s="1">
        <v>44538</v>
      </c>
      <c r="R5609" t="s">
        <v>27253</v>
      </c>
      <c r="S5609" t="s">
        <v>27254</v>
      </c>
      <c r="T5609" t="s">
        <v>27255</v>
      </c>
    </row>
    <row r="5610" spans="1:20" x14ac:dyDescent="0.3">
      <c r="A5610" t="str">
        <f>"0611834914100"</f>
        <v>0611834914100</v>
      </c>
      <c r="B5610" t="str">
        <f>"LB9038"</f>
        <v>LB9038</v>
      </c>
      <c r="C5610" t="s">
        <v>38107</v>
      </c>
      <c r="D5610" t="s">
        <v>27245</v>
      </c>
      <c r="E5610" t="str">
        <f t="shared" si="87"/>
        <v>001390</v>
      </c>
      <c r="F5610" t="s">
        <v>27246</v>
      </c>
      <c r="G5610" t="s">
        <v>27247</v>
      </c>
      <c r="H5610" t="s">
        <v>27248</v>
      </c>
      <c r="I5610" t="s">
        <v>38108</v>
      </c>
      <c r="J5610" t="s">
        <v>11197</v>
      </c>
      <c r="L5610" t="s">
        <v>27250</v>
      </c>
      <c r="M5610" t="s">
        <v>27251</v>
      </c>
      <c r="N5610" t="s">
        <v>27252</v>
      </c>
      <c r="Q5610" s="1">
        <v>44538</v>
      </c>
      <c r="R5610" t="s">
        <v>27253</v>
      </c>
      <c r="S5610" t="s">
        <v>27254</v>
      </c>
      <c r="T5610" t="s">
        <v>27255</v>
      </c>
    </row>
    <row r="5611" spans="1:20" x14ac:dyDescent="0.3">
      <c r="A5611" t="str">
        <f>"0611834915100"</f>
        <v>0611834915100</v>
      </c>
      <c r="B5611" t="str">
        <f>"LQ6248"</f>
        <v>LQ6248</v>
      </c>
      <c r="C5611" t="s">
        <v>38109</v>
      </c>
      <c r="D5611" t="s">
        <v>27245</v>
      </c>
      <c r="E5611" t="str">
        <f t="shared" si="87"/>
        <v>001390</v>
      </c>
      <c r="F5611" t="s">
        <v>27246</v>
      </c>
      <c r="G5611" t="s">
        <v>27247</v>
      </c>
      <c r="H5611" t="s">
        <v>27248</v>
      </c>
      <c r="I5611" t="s">
        <v>38110</v>
      </c>
      <c r="J5611" t="s">
        <v>11199</v>
      </c>
      <c r="L5611" t="s">
        <v>27250</v>
      </c>
      <c r="M5611" t="s">
        <v>27251</v>
      </c>
      <c r="N5611" t="s">
        <v>27252</v>
      </c>
      <c r="Q5611" s="1">
        <v>44538</v>
      </c>
      <c r="R5611" t="s">
        <v>27253</v>
      </c>
      <c r="S5611" t="s">
        <v>27254</v>
      </c>
      <c r="T5611" t="s">
        <v>27255</v>
      </c>
    </row>
    <row r="5612" spans="1:20" x14ac:dyDescent="0.3">
      <c r="A5612" t="str">
        <f>"0611834916100"</f>
        <v>0611834916100</v>
      </c>
      <c r="B5612" t="str">
        <f>"LK6460"</f>
        <v>LK6460</v>
      </c>
      <c r="C5612" t="s">
        <v>38111</v>
      </c>
      <c r="D5612" t="s">
        <v>27245</v>
      </c>
      <c r="E5612" t="str">
        <f t="shared" si="87"/>
        <v>001390</v>
      </c>
      <c r="F5612" t="s">
        <v>27246</v>
      </c>
      <c r="G5612" t="s">
        <v>27247</v>
      </c>
      <c r="H5612" t="s">
        <v>27248</v>
      </c>
      <c r="I5612" t="s">
        <v>38112</v>
      </c>
      <c r="J5612" t="s">
        <v>11201</v>
      </c>
      <c r="L5612" t="s">
        <v>27250</v>
      </c>
      <c r="M5612" t="s">
        <v>27251</v>
      </c>
      <c r="N5612" t="s">
        <v>27252</v>
      </c>
      <c r="Q5612" s="1">
        <v>44538</v>
      </c>
      <c r="R5612" t="s">
        <v>27253</v>
      </c>
      <c r="S5612" t="s">
        <v>27254</v>
      </c>
      <c r="T5612" t="s">
        <v>27255</v>
      </c>
    </row>
    <row r="5613" spans="1:20" x14ac:dyDescent="0.3">
      <c r="A5613" t="str">
        <f>"0611856967025"</f>
        <v>0611856967025</v>
      </c>
      <c r="B5613" t="str">
        <f>"MQ0748"</f>
        <v>MQ0748</v>
      </c>
      <c r="C5613" t="s">
        <v>38113</v>
      </c>
      <c r="D5613" t="s">
        <v>27267</v>
      </c>
      <c r="E5613" t="str">
        <f t="shared" si="87"/>
        <v>001390</v>
      </c>
      <c r="F5613" t="s">
        <v>27246</v>
      </c>
      <c r="G5613" t="s">
        <v>27247</v>
      </c>
      <c r="H5613" t="s">
        <v>27248</v>
      </c>
      <c r="I5613" t="s">
        <v>38114</v>
      </c>
      <c r="J5613" t="s">
        <v>11203</v>
      </c>
      <c r="L5613" t="s">
        <v>27250</v>
      </c>
      <c r="M5613" t="s">
        <v>27251</v>
      </c>
      <c r="N5613" t="s">
        <v>27252</v>
      </c>
      <c r="Q5613" s="1">
        <v>44812</v>
      </c>
      <c r="R5613" t="s">
        <v>27253</v>
      </c>
      <c r="S5613" t="s">
        <v>27254</v>
      </c>
      <c r="T5613" t="s">
        <v>27269</v>
      </c>
    </row>
    <row r="5614" spans="1:20" x14ac:dyDescent="0.3">
      <c r="A5614" t="str">
        <f>"0611862515050"</f>
        <v>0611862515050</v>
      </c>
      <c r="B5614" t="str">
        <f>"CE1148"</f>
        <v>CE1148</v>
      </c>
      <c r="C5614" t="s">
        <v>38115</v>
      </c>
      <c r="D5614" t="s">
        <v>27923</v>
      </c>
      <c r="E5614" t="str">
        <f t="shared" si="87"/>
        <v>001390</v>
      </c>
      <c r="F5614" t="s">
        <v>27246</v>
      </c>
      <c r="G5614" t="s">
        <v>27247</v>
      </c>
      <c r="H5614" t="s">
        <v>27248</v>
      </c>
      <c r="I5614" t="s">
        <v>38116</v>
      </c>
      <c r="J5614" t="s">
        <v>11145</v>
      </c>
      <c r="L5614" t="s">
        <v>27250</v>
      </c>
      <c r="M5614" t="s">
        <v>27251</v>
      </c>
      <c r="N5614" t="s">
        <v>27252</v>
      </c>
      <c r="P5614" t="s">
        <v>27925</v>
      </c>
      <c r="Q5614" s="1">
        <v>44846</v>
      </c>
      <c r="R5614" t="s">
        <v>27253</v>
      </c>
      <c r="S5614" t="s">
        <v>27254</v>
      </c>
      <c r="T5614" t="s">
        <v>27265</v>
      </c>
    </row>
    <row r="5615" spans="1:20" x14ac:dyDescent="0.3">
      <c r="A5615" t="str">
        <f>"0611834917025"</f>
        <v>0611834917025</v>
      </c>
      <c r="B5615" t="str">
        <f>"MC4269"</f>
        <v>MC4269</v>
      </c>
      <c r="C5615" t="s">
        <v>38117</v>
      </c>
      <c r="D5615" t="s">
        <v>28057</v>
      </c>
      <c r="E5615" t="str">
        <f t="shared" si="87"/>
        <v>001390</v>
      </c>
      <c r="F5615" t="s">
        <v>27246</v>
      </c>
      <c r="G5615" t="s">
        <v>27247</v>
      </c>
      <c r="H5615" t="s">
        <v>27248</v>
      </c>
      <c r="I5615" t="s">
        <v>38118</v>
      </c>
      <c r="J5615" t="s">
        <v>11205</v>
      </c>
      <c r="L5615" t="s">
        <v>27250</v>
      </c>
      <c r="M5615" t="s">
        <v>27251</v>
      </c>
      <c r="N5615" t="s">
        <v>27252</v>
      </c>
      <c r="P5615" t="s">
        <v>27925</v>
      </c>
      <c r="Q5615" s="1">
        <v>44538</v>
      </c>
      <c r="R5615" t="s">
        <v>27253</v>
      </c>
      <c r="S5615" t="s">
        <v>27254</v>
      </c>
      <c r="T5615" t="s">
        <v>27269</v>
      </c>
    </row>
    <row r="5616" spans="1:20" x14ac:dyDescent="0.3">
      <c r="A5616" t="str">
        <f>"0611834918050"</f>
        <v>0611834918050</v>
      </c>
      <c r="B5616" t="str">
        <f>"NM0076"</f>
        <v>NM0076</v>
      </c>
      <c r="C5616" t="s">
        <v>38117</v>
      </c>
      <c r="D5616" t="s">
        <v>38119</v>
      </c>
      <c r="E5616" t="str">
        <f t="shared" si="87"/>
        <v>001390</v>
      </c>
      <c r="F5616" t="s">
        <v>27246</v>
      </c>
      <c r="G5616" t="s">
        <v>27247</v>
      </c>
      <c r="H5616" t="s">
        <v>27248</v>
      </c>
      <c r="I5616" t="s">
        <v>38120</v>
      </c>
      <c r="J5616" t="s">
        <v>11207</v>
      </c>
      <c r="L5616" t="s">
        <v>27250</v>
      </c>
      <c r="M5616" t="s">
        <v>27251</v>
      </c>
      <c r="N5616" t="s">
        <v>27252</v>
      </c>
      <c r="P5616" t="s">
        <v>27925</v>
      </c>
      <c r="Q5616" s="1">
        <v>44538</v>
      </c>
      <c r="R5616" t="s">
        <v>27253</v>
      </c>
      <c r="S5616" t="s">
        <v>27254</v>
      </c>
      <c r="T5616" t="s">
        <v>35879</v>
      </c>
    </row>
    <row r="5617" spans="1:20" x14ac:dyDescent="0.3">
      <c r="A5617" t="str">
        <f>"0611834919025"</f>
        <v>0611834919025</v>
      </c>
      <c r="B5617" t="str">
        <f>"MC4359"</f>
        <v>MC4359</v>
      </c>
      <c r="C5617" t="s">
        <v>38121</v>
      </c>
      <c r="D5617" t="s">
        <v>28057</v>
      </c>
      <c r="E5617" t="str">
        <f t="shared" si="87"/>
        <v>001390</v>
      </c>
      <c r="F5617" t="s">
        <v>27246</v>
      </c>
      <c r="G5617" t="s">
        <v>27247</v>
      </c>
      <c r="H5617" t="s">
        <v>27248</v>
      </c>
      <c r="I5617" t="s">
        <v>38122</v>
      </c>
      <c r="J5617" t="s">
        <v>11209</v>
      </c>
      <c r="L5617" t="s">
        <v>27250</v>
      </c>
      <c r="M5617" t="s">
        <v>27251</v>
      </c>
      <c r="N5617" t="s">
        <v>27252</v>
      </c>
      <c r="P5617" t="s">
        <v>27925</v>
      </c>
      <c r="Q5617" s="1">
        <v>44538</v>
      </c>
      <c r="R5617" t="s">
        <v>27253</v>
      </c>
      <c r="S5617" t="s">
        <v>27254</v>
      </c>
      <c r="T5617" t="s">
        <v>27269</v>
      </c>
    </row>
    <row r="5618" spans="1:20" x14ac:dyDescent="0.3">
      <c r="A5618" t="str">
        <f>"0611834920050"</f>
        <v>0611834920050</v>
      </c>
      <c r="B5618" t="str">
        <f>"NM0083"</f>
        <v>NM0083</v>
      </c>
      <c r="C5618" t="s">
        <v>38121</v>
      </c>
      <c r="D5618" t="s">
        <v>38119</v>
      </c>
      <c r="E5618" t="str">
        <f t="shared" si="87"/>
        <v>001390</v>
      </c>
      <c r="F5618" t="s">
        <v>27246</v>
      </c>
      <c r="G5618" t="s">
        <v>27247</v>
      </c>
      <c r="H5618" t="s">
        <v>27248</v>
      </c>
      <c r="I5618" t="s">
        <v>38123</v>
      </c>
      <c r="J5618" t="s">
        <v>11211</v>
      </c>
      <c r="L5618" t="s">
        <v>27250</v>
      </c>
      <c r="M5618" t="s">
        <v>27251</v>
      </c>
      <c r="N5618" t="s">
        <v>27252</v>
      </c>
      <c r="P5618" t="s">
        <v>27925</v>
      </c>
      <c r="Q5618" s="1">
        <v>44538</v>
      </c>
      <c r="R5618" t="s">
        <v>27253</v>
      </c>
      <c r="S5618" t="s">
        <v>27254</v>
      </c>
      <c r="T5618" t="s">
        <v>35879</v>
      </c>
    </row>
    <row r="5619" spans="1:20" x14ac:dyDescent="0.3">
      <c r="A5619" t="str">
        <f>"0611834921100"</f>
        <v>0611834921100</v>
      </c>
      <c r="B5619" t="str">
        <f>"LB8961"</f>
        <v>LB8961</v>
      </c>
      <c r="C5619" t="s">
        <v>38124</v>
      </c>
      <c r="D5619" t="s">
        <v>27245</v>
      </c>
      <c r="E5619" t="str">
        <f t="shared" si="87"/>
        <v>001390</v>
      </c>
      <c r="F5619" t="s">
        <v>27246</v>
      </c>
      <c r="G5619" t="s">
        <v>27247</v>
      </c>
      <c r="H5619" t="s">
        <v>27248</v>
      </c>
      <c r="I5619" t="s">
        <v>38125</v>
      </c>
      <c r="J5619" t="s">
        <v>11177</v>
      </c>
      <c r="L5619" t="s">
        <v>27250</v>
      </c>
      <c r="M5619" t="s">
        <v>27251</v>
      </c>
      <c r="N5619" t="s">
        <v>27252</v>
      </c>
      <c r="Q5619" s="1">
        <v>44538</v>
      </c>
      <c r="R5619" t="s">
        <v>27253</v>
      </c>
      <c r="S5619" t="s">
        <v>27254</v>
      </c>
      <c r="T5619" t="s">
        <v>27255</v>
      </c>
    </row>
    <row r="5620" spans="1:20" x14ac:dyDescent="0.3">
      <c r="A5620" t="str">
        <f>"0611834922025"</f>
        <v>0611834922025</v>
      </c>
      <c r="B5620" t="str">
        <f>"MC2206"</f>
        <v>MC2206</v>
      </c>
      <c r="C5620" t="s">
        <v>38124</v>
      </c>
      <c r="D5620" t="s">
        <v>27267</v>
      </c>
      <c r="E5620" t="str">
        <f t="shared" si="87"/>
        <v>001390</v>
      </c>
      <c r="F5620" t="s">
        <v>27246</v>
      </c>
      <c r="G5620" t="s">
        <v>27247</v>
      </c>
      <c r="H5620" t="s">
        <v>27248</v>
      </c>
      <c r="I5620" t="s">
        <v>38126</v>
      </c>
      <c r="J5620" t="s">
        <v>11179</v>
      </c>
      <c r="L5620" t="s">
        <v>27250</v>
      </c>
      <c r="M5620" t="s">
        <v>27251</v>
      </c>
      <c r="N5620" t="s">
        <v>27252</v>
      </c>
      <c r="Q5620" s="1">
        <v>44538</v>
      </c>
      <c r="R5620" t="s">
        <v>27253</v>
      </c>
      <c r="S5620" t="s">
        <v>27254</v>
      </c>
      <c r="T5620" t="s">
        <v>27269</v>
      </c>
    </row>
    <row r="5621" spans="1:20" x14ac:dyDescent="0.3">
      <c r="A5621" t="str">
        <f>"0611884244100"</f>
        <v>0611884244100</v>
      </c>
      <c r="B5621" t="str">
        <f>"LQ3930"</f>
        <v>LQ3930</v>
      </c>
      <c r="C5621" t="s">
        <v>38127</v>
      </c>
      <c r="D5621" t="s">
        <v>27245</v>
      </c>
      <c r="E5621" t="str">
        <f t="shared" si="87"/>
        <v>001390</v>
      </c>
      <c r="F5621" t="s">
        <v>27246</v>
      </c>
      <c r="G5621" t="s">
        <v>27247</v>
      </c>
      <c r="H5621" t="s">
        <v>27248</v>
      </c>
      <c r="I5621" t="s">
        <v>38128</v>
      </c>
      <c r="J5621" t="s">
        <v>11223</v>
      </c>
      <c r="L5621" t="s">
        <v>27430</v>
      </c>
      <c r="M5621" t="s">
        <v>27251</v>
      </c>
      <c r="N5621" t="s">
        <v>27252</v>
      </c>
      <c r="Q5621" s="1">
        <v>45250</v>
      </c>
      <c r="R5621" t="s">
        <v>27253</v>
      </c>
      <c r="S5621" t="s">
        <v>27254</v>
      </c>
      <c r="T5621" t="s">
        <v>27255</v>
      </c>
    </row>
    <row r="5622" spans="1:20" x14ac:dyDescent="0.3">
      <c r="A5622" t="str">
        <f>"0611834923100"</f>
        <v>0611834923100</v>
      </c>
      <c r="B5622" t="str">
        <f>"LK3045"</f>
        <v>LK3045</v>
      </c>
      <c r="C5622" t="s">
        <v>38129</v>
      </c>
      <c r="D5622" t="s">
        <v>27245</v>
      </c>
      <c r="E5622" t="str">
        <f t="shared" si="87"/>
        <v>001390</v>
      </c>
      <c r="F5622" t="s">
        <v>27246</v>
      </c>
      <c r="G5622" t="s">
        <v>27247</v>
      </c>
      <c r="H5622" t="s">
        <v>27248</v>
      </c>
      <c r="I5622" t="s">
        <v>38130</v>
      </c>
      <c r="J5622" t="s">
        <v>11217</v>
      </c>
      <c r="L5622" t="s">
        <v>27250</v>
      </c>
      <c r="M5622" t="s">
        <v>27251</v>
      </c>
      <c r="N5622" t="s">
        <v>27252</v>
      </c>
      <c r="Q5622" s="1">
        <v>44538</v>
      </c>
      <c r="R5622" t="s">
        <v>27253</v>
      </c>
      <c r="S5622" t="s">
        <v>27254</v>
      </c>
      <c r="T5622" t="s">
        <v>27255</v>
      </c>
    </row>
    <row r="5623" spans="1:20" x14ac:dyDescent="0.3">
      <c r="A5623" t="str">
        <f>"0611834925100"</f>
        <v>0611834925100</v>
      </c>
      <c r="B5623" t="str">
        <f>"LB3108"</f>
        <v>LB3108</v>
      </c>
      <c r="C5623" t="s">
        <v>38131</v>
      </c>
      <c r="D5623" t="s">
        <v>27245</v>
      </c>
      <c r="E5623" t="str">
        <f t="shared" si="87"/>
        <v>001390</v>
      </c>
      <c r="F5623" t="s">
        <v>27246</v>
      </c>
      <c r="G5623" t="s">
        <v>27247</v>
      </c>
      <c r="H5623" t="s">
        <v>27248</v>
      </c>
      <c r="I5623" t="s">
        <v>38132</v>
      </c>
      <c r="J5623" t="s">
        <v>11221</v>
      </c>
      <c r="L5623" t="s">
        <v>27250</v>
      </c>
      <c r="M5623" t="s">
        <v>27251</v>
      </c>
      <c r="N5623" t="s">
        <v>27252</v>
      </c>
      <c r="Q5623" s="1">
        <v>44538</v>
      </c>
      <c r="R5623" t="s">
        <v>27253</v>
      </c>
      <c r="S5623" t="s">
        <v>27254</v>
      </c>
      <c r="T5623" t="s">
        <v>27255</v>
      </c>
    </row>
    <row r="5624" spans="1:20" x14ac:dyDescent="0.3">
      <c r="A5624" t="str">
        <f>"0611834927100"</f>
        <v>0611834927100</v>
      </c>
      <c r="B5624" t="str">
        <f>"LC6070"</f>
        <v>LC6070</v>
      </c>
      <c r="C5624" t="s">
        <v>38133</v>
      </c>
      <c r="D5624" t="s">
        <v>27245</v>
      </c>
      <c r="E5624" t="str">
        <f t="shared" si="87"/>
        <v>001390</v>
      </c>
      <c r="F5624" t="s">
        <v>27246</v>
      </c>
      <c r="G5624" t="s">
        <v>27247</v>
      </c>
      <c r="H5624" t="s">
        <v>27248</v>
      </c>
      <c r="I5624" t="s">
        <v>38134</v>
      </c>
      <c r="J5624" t="s">
        <v>11225</v>
      </c>
      <c r="L5624" t="s">
        <v>27250</v>
      </c>
      <c r="M5624" t="s">
        <v>27251</v>
      </c>
      <c r="N5624" t="s">
        <v>27252</v>
      </c>
      <c r="Q5624" s="1">
        <v>44538</v>
      </c>
      <c r="R5624" t="s">
        <v>27253</v>
      </c>
      <c r="S5624" t="s">
        <v>27254</v>
      </c>
      <c r="T5624" t="s">
        <v>27255</v>
      </c>
    </row>
    <row r="5625" spans="1:20" x14ac:dyDescent="0.3">
      <c r="A5625" t="str">
        <f>"0611834928100"</f>
        <v>0611834928100</v>
      </c>
      <c r="B5625" t="str">
        <f>"LC6071"</f>
        <v>LC6071</v>
      </c>
      <c r="C5625" t="s">
        <v>38135</v>
      </c>
      <c r="D5625" t="s">
        <v>27245</v>
      </c>
      <c r="E5625" t="str">
        <f t="shared" si="87"/>
        <v>001390</v>
      </c>
      <c r="F5625" t="s">
        <v>27246</v>
      </c>
      <c r="G5625" t="s">
        <v>27247</v>
      </c>
      <c r="H5625" t="s">
        <v>27248</v>
      </c>
      <c r="I5625" t="s">
        <v>38136</v>
      </c>
      <c r="J5625" t="s">
        <v>11227</v>
      </c>
      <c r="L5625" t="s">
        <v>27250</v>
      </c>
      <c r="M5625" t="s">
        <v>27251</v>
      </c>
      <c r="N5625" t="s">
        <v>27252</v>
      </c>
      <c r="Q5625" s="1">
        <v>44538</v>
      </c>
      <c r="R5625" t="s">
        <v>27253</v>
      </c>
      <c r="S5625" t="s">
        <v>27254</v>
      </c>
      <c r="T5625" t="s">
        <v>27255</v>
      </c>
    </row>
    <row r="5626" spans="1:20" x14ac:dyDescent="0.3">
      <c r="A5626" t="str">
        <f>"0611884245025"</f>
        <v>0611884245025</v>
      </c>
      <c r="B5626" t="str">
        <f>"MC4471"</f>
        <v>MC4471</v>
      </c>
      <c r="C5626" t="s">
        <v>38135</v>
      </c>
      <c r="D5626" t="s">
        <v>27267</v>
      </c>
      <c r="E5626" t="str">
        <f t="shared" si="87"/>
        <v>001390</v>
      </c>
      <c r="F5626" t="s">
        <v>27246</v>
      </c>
      <c r="G5626" t="s">
        <v>27247</v>
      </c>
      <c r="H5626" t="s">
        <v>27248</v>
      </c>
      <c r="I5626" t="s">
        <v>38137</v>
      </c>
      <c r="J5626" t="s">
        <v>11229</v>
      </c>
      <c r="L5626" t="s">
        <v>27430</v>
      </c>
      <c r="M5626" t="s">
        <v>27251</v>
      </c>
      <c r="N5626" t="s">
        <v>27252</v>
      </c>
      <c r="Q5626" s="1">
        <v>45250</v>
      </c>
      <c r="R5626" t="s">
        <v>27253</v>
      </c>
      <c r="S5626" t="s">
        <v>27254</v>
      </c>
      <c r="T5626" t="s">
        <v>27269</v>
      </c>
    </row>
    <row r="5627" spans="1:20" x14ac:dyDescent="0.3">
      <c r="A5627" t="str">
        <f>"0611834929100"</f>
        <v>0611834929100</v>
      </c>
      <c r="B5627" t="str">
        <f>"LK2550"</f>
        <v>LK2550</v>
      </c>
      <c r="C5627" t="s">
        <v>38138</v>
      </c>
      <c r="D5627" t="s">
        <v>27245</v>
      </c>
      <c r="E5627" t="str">
        <f t="shared" si="87"/>
        <v>001390</v>
      </c>
      <c r="F5627" t="s">
        <v>27246</v>
      </c>
      <c r="G5627" t="s">
        <v>27247</v>
      </c>
      <c r="H5627" t="s">
        <v>27248</v>
      </c>
      <c r="I5627" t="s">
        <v>38139</v>
      </c>
      <c r="J5627" t="s">
        <v>11231</v>
      </c>
      <c r="L5627" t="s">
        <v>27250</v>
      </c>
      <c r="M5627" t="s">
        <v>27251</v>
      </c>
      <c r="N5627" t="s">
        <v>27252</v>
      </c>
      <c r="Q5627" s="1">
        <v>44538</v>
      </c>
      <c r="R5627" t="s">
        <v>27253</v>
      </c>
      <c r="S5627" t="s">
        <v>27254</v>
      </c>
      <c r="T5627" t="s">
        <v>27255</v>
      </c>
    </row>
    <row r="5628" spans="1:20" x14ac:dyDescent="0.3">
      <c r="A5628" t="str">
        <f>"0611862516050"</f>
        <v>0611862516050</v>
      </c>
      <c r="B5628" t="str">
        <f>"CE1417"</f>
        <v>CE1417</v>
      </c>
      <c r="C5628" t="s">
        <v>38140</v>
      </c>
      <c r="D5628" t="s">
        <v>27263</v>
      </c>
      <c r="E5628" t="str">
        <f t="shared" si="87"/>
        <v>001390</v>
      </c>
      <c r="F5628" t="s">
        <v>27246</v>
      </c>
      <c r="G5628" t="s">
        <v>27247</v>
      </c>
      <c r="H5628" t="s">
        <v>27248</v>
      </c>
      <c r="I5628" t="s">
        <v>38141</v>
      </c>
      <c r="J5628" t="s">
        <v>11233</v>
      </c>
      <c r="L5628" t="s">
        <v>27250</v>
      </c>
      <c r="M5628" t="s">
        <v>27251</v>
      </c>
      <c r="N5628" t="s">
        <v>27252</v>
      </c>
      <c r="Q5628" s="1">
        <v>44846</v>
      </c>
      <c r="R5628" t="s">
        <v>27253</v>
      </c>
      <c r="S5628" t="s">
        <v>27254</v>
      </c>
      <c r="T5628" t="s">
        <v>27265</v>
      </c>
    </row>
    <row r="5629" spans="1:20" x14ac:dyDescent="0.3">
      <c r="A5629" t="str">
        <f>"0611834930100"</f>
        <v>0611834930100</v>
      </c>
      <c r="B5629" t="str">
        <f>"LB4296"</f>
        <v>LB4296</v>
      </c>
      <c r="C5629" t="s">
        <v>38142</v>
      </c>
      <c r="D5629" t="s">
        <v>27245</v>
      </c>
      <c r="E5629" t="str">
        <f t="shared" si="87"/>
        <v>001390</v>
      </c>
      <c r="F5629" t="s">
        <v>27246</v>
      </c>
      <c r="G5629" t="s">
        <v>27247</v>
      </c>
      <c r="H5629" t="s">
        <v>27248</v>
      </c>
      <c r="I5629" t="s">
        <v>38143</v>
      </c>
      <c r="J5629" t="s">
        <v>11235</v>
      </c>
      <c r="L5629" t="s">
        <v>27250</v>
      </c>
      <c r="M5629" t="s">
        <v>27251</v>
      </c>
      <c r="N5629" t="s">
        <v>27252</v>
      </c>
      <c r="Q5629" s="1">
        <v>44538</v>
      </c>
      <c r="R5629" t="s">
        <v>27253</v>
      </c>
      <c r="S5629" t="s">
        <v>27254</v>
      </c>
      <c r="T5629" t="s">
        <v>27255</v>
      </c>
    </row>
    <row r="5630" spans="1:20" x14ac:dyDescent="0.3">
      <c r="A5630" t="str">
        <f>"0611862517050"</f>
        <v>0611862517050</v>
      </c>
      <c r="B5630" t="str">
        <f>"CR2860"</f>
        <v>CR2860</v>
      </c>
      <c r="C5630" t="s">
        <v>38144</v>
      </c>
      <c r="D5630" t="s">
        <v>27263</v>
      </c>
      <c r="E5630" t="str">
        <f t="shared" si="87"/>
        <v>001390</v>
      </c>
      <c r="F5630" t="s">
        <v>27246</v>
      </c>
      <c r="G5630" t="s">
        <v>27247</v>
      </c>
      <c r="H5630" t="s">
        <v>27248</v>
      </c>
      <c r="I5630" t="s">
        <v>38145</v>
      </c>
      <c r="J5630" t="s">
        <v>11237</v>
      </c>
      <c r="L5630" t="s">
        <v>27250</v>
      </c>
      <c r="M5630" t="s">
        <v>27251</v>
      </c>
      <c r="N5630" t="s">
        <v>27252</v>
      </c>
      <c r="Q5630" s="1">
        <v>44846</v>
      </c>
      <c r="R5630" t="s">
        <v>27253</v>
      </c>
      <c r="S5630" t="s">
        <v>27254</v>
      </c>
      <c r="T5630" t="s">
        <v>27265</v>
      </c>
    </row>
    <row r="5631" spans="1:20" x14ac:dyDescent="0.3">
      <c r="A5631" t="str">
        <f>"0611862518050"</f>
        <v>0611862518050</v>
      </c>
      <c r="B5631" t="str">
        <f>"CE1508"</f>
        <v>CE1508</v>
      </c>
      <c r="C5631" t="s">
        <v>38146</v>
      </c>
      <c r="D5631" t="s">
        <v>27263</v>
      </c>
      <c r="E5631" t="str">
        <f t="shared" si="87"/>
        <v>001390</v>
      </c>
      <c r="F5631" t="s">
        <v>27246</v>
      </c>
      <c r="G5631" t="s">
        <v>27247</v>
      </c>
      <c r="H5631" t="s">
        <v>27248</v>
      </c>
      <c r="I5631" t="s">
        <v>38147</v>
      </c>
      <c r="J5631" t="s">
        <v>11239</v>
      </c>
      <c r="L5631" t="s">
        <v>27250</v>
      </c>
      <c r="M5631" t="s">
        <v>27251</v>
      </c>
      <c r="N5631" t="s">
        <v>27252</v>
      </c>
      <c r="Q5631" s="1">
        <v>44846</v>
      </c>
      <c r="R5631" t="s">
        <v>27253</v>
      </c>
      <c r="S5631" t="s">
        <v>27254</v>
      </c>
      <c r="T5631" t="s">
        <v>27265</v>
      </c>
    </row>
    <row r="5632" spans="1:20" x14ac:dyDescent="0.3">
      <c r="A5632" t="str">
        <f>"0611834931100"</f>
        <v>0611834931100</v>
      </c>
      <c r="B5632" t="str">
        <f>"LK2156"</f>
        <v>LK2156</v>
      </c>
      <c r="C5632" t="s">
        <v>38148</v>
      </c>
      <c r="D5632" t="s">
        <v>27245</v>
      </c>
      <c r="E5632" t="str">
        <f t="shared" si="87"/>
        <v>001390</v>
      </c>
      <c r="F5632" t="s">
        <v>27246</v>
      </c>
      <c r="G5632" t="s">
        <v>27247</v>
      </c>
      <c r="H5632" t="s">
        <v>27248</v>
      </c>
      <c r="I5632" t="s">
        <v>38149</v>
      </c>
      <c r="J5632" t="s">
        <v>11241</v>
      </c>
      <c r="L5632" t="s">
        <v>27250</v>
      </c>
      <c r="M5632" t="s">
        <v>27251</v>
      </c>
      <c r="N5632" t="s">
        <v>27252</v>
      </c>
      <c r="Q5632" s="1">
        <v>44538</v>
      </c>
      <c r="R5632" t="s">
        <v>27253</v>
      </c>
      <c r="S5632" t="s">
        <v>27254</v>
      </c>
      <c r="T5632" t="s">
        <v>27255</v>
      </c>
    </row>
    <row r="5633" spans="1:20" x14ac:dyDescent="0.3">
      <c r="A5633" t="str">
        <f>"0611834932025"</f>
        <v>0611834932025</v>
      </c>
      <c r="B5633" t="str">
        <f>"MC1603"</f>
        <v>MC1603</v>
      </c>
      <c r="C5633" t="s">
        <v>38148</v>
      </c>
      <c r="D5633" t="s">
        <v>27267</v>
      </c>
      <c r="E5633" t="str">
        <f t="shared" si="87"/>
        <v>001390</v>
      </c>
      <c r="F5633" t="s">
        <v>27246</v>
      </c>
      <c r="G5633" t="s">
        <v>27247</v>
      </c>
      <c r="H5633" t="s">
        <v>27248</v>
      </c>
      <c r="I5633" t="s">
        <v>38150</v>
      </c>
      <c r="J5633" t="s">
        <v>11243</v>
      </c>
      <c r="L5633" t="s">
        <v>27250</v>
      </c>
      <c r="M5633" t="s">
        <v>27251</v>
      </c>
      <c r="N5633" t="s">
        <v>27252</v>
      </c>
      <c r="Q5633" s="1">
        <v>44538</v>
      </c>
      <c r="R5633" t="s">
        <v>27253</v>
      </c>
      <c r="S5633" t="s">
        <v>27254</v>
      </c>
      <c r="T5633" t="s">
        <v>27269</v>
      </c>
    </row>
    <row r="5634" spans="1:20" x14ac:dyDescent="0.3">
      <c r="A5634" t="str">
        <f>"0611834933100"</f>
        <v>0611834933100</v>
      </c>
      <c r="B5634" t="str">
        <f>"LS0073"</f>
        <v>LS0073</v>
      </c>
      <c r="C5634" t="s">
        <v>38151</v>
      </c>
      <c r="D5634" t="s">
        <v>27245</v>
      </c>
      <c r="E5634" t="str">
        <f t="shared" ref="E5634:E5697" si="88">"001390"</f>
        <v>001390</v>
      </c>
      <c r="F5634" t="s">
        <v>27246</v>
      </c>
      <c r="G5634" t="s">
        <v>27247</v>
      </c>
      <c r="H5634" t="s">
        <v>27248</v>
      </c>
      <c r="I5634" t="s">
        <v>38152</v>
      </c>
      <c r="J5634" t="s">
        <v>11245</v>
      </c>
      <c r="L5634" t="s">
        <v>27250</v>
      </c>
      <c r="M5634" t="s">
        <v>27251</v>
      </c>
      <c r="N5634" t="s">
        <v>27252</v>
      </c>
      <c r="Q5634" s="1">
        <v>44538</v>
      </c>
      <c r="R5634" t="s">
        <v>27253</v>
      </c>
      <c r="S5634" t="s">
        <v>27254</v>
      </c>
      <c r="T5634" t="s">
        <v>27255</v>
      </c>
    </row>
    <row r="5635" spans="1:20" x14ac:dyDescent="0.3">
      <c r="A5635" t="str">
        <f>"0611834934025"</f>
        <v>0611834934025</v>
      </c>
      <c r="B5635" t="str">
        <f>"MC1604"</f>
        <v>MC1604</v>
      </c>
      <c r="C5635" t="s">
        <v>38153</v>
      </c>
      <c r="D5635" t="s">
        <v>27267</v>
      </c>
      <c r="E5635" t="str">
        <f t="shared" si="88"/>
        <v>001390</v>
      </c>
      <c r="F5635" t="s">
        <v>27246</v>
      </c>
      <c r="G5635" t="s">
        <v>27247</v>
      </c>
      <c r="H5635" t="s">
        <v>27248</v>
      </c>
      <c r="I5635" t="s">
        <v>38154</v>
      </c>
      <c r="J5635" t="s">
        <v>11247</v>
      </c>
      <c r="L5635" t="s">
        <v>27250</v>
      </c>
      <c r="M5635" t="s">
        <v>27251</v>
      </c>
      <c r="N5635" t="s">
        <v>27252</v>
      </c>
      <c r="Q5635" s="1">
        <v>44538</v>
      </c>
      <c r="R5635" t="s">
        <v>27253</v>
      </c>
      <c r="S5635" t="s">
        <v>27254</v>
      </c>
      <c r="T5635" t="s">
        <v>27269</v>
      </c>
    </row>
    <row r="5636" spans="1:20" x14ac:dyDescent="0.3">
      <c r="A5636" t="str">
        <f>"0611834935100"</f>
        <v>0611834935100</v>
      </c>
      <c r="B5636" t="str">
        <f>"LK0778"</f>
        <v>LK0778</v>
      </c>
      <c r="C5636" t="s">
        <v>38155</v>
      </c>
      <c r="D5636" t="s">
        <v>38156</v>
      </c>
      <c r="E5636" t="str">
        <f t="shared" si="88"/>
        <v>001390</v>
      </c>
      <c r="F5636" t="s">
        <v>27246</v>
      </c>
      <c r="G5636" t="s">
        <v>27247</v>
      </c>
      <c r="H5636" t="s">
        <v>27248</v>
      </c>
      <c r="I5636" t="s">
        <v>38157</v>
      </c>
      <c r="J5636" t="s">
        <v>11249</v>
      </c>
      <c r="L5636" t="s">
        <v>27250</v>
      </c>
      <c r="M5636" t="s">
        <v>27251</v>
      </c>
      <c r="N5636" t="s">
        <v>27252</v>
      </c>
      <c r="P5636" t="s">
        <v>27925</v>
      </c>
      <c r="Q5636" s="1">
        <v>44538</v>
      </c>
      <c r="R5636" t="s">
        <v>27253</v>
      </c>
      <c r="S5636" t="s">
        <v>27254</v>
      </c>
      <c r="T5636" t="s">
        <v>27255</v>
      </c>
    </row>
    <row r="5637" spans="1:20" x14ac:dyDescent="0.3">
      <c r="A5637" t="str">
        <f>"0611862519050"</f>
        <v>0611862519050</v>
      </c>
      <c r="B5637" t="str">
        <f>"CE1510"</f>
        <v>CE1510</v>
      </c>
      <c r="C5637" t="s">
        <v>38158</v>
      </c>
      <c r="D5637" t="s">
        <v>27923</v>
      </c>
      <c r="E5637" t="str">
        <f t="shared" si="88"/>
        <v>001390</v>
      </c>
      <c r="F5637" t="s">
        <v>27246</v>
      </c>
      <c r="G5637" t="s">
        <v>27247</v>
      </c>
      <c r="H5637" t="s">
        <v>27248</v>
      </c>
      <c r="I5637" t="s">
        <v>38159</v>
      </c>
      <c r="J5637" t="s">
        <v>11251</v>
      </c>
      <c r="L5637" t="s">
        <v>27250</v>
      </c>
      <c r="M5637" t="s">
        <v>27251</v>
      </c>
      <c r="N5637" t="s">
        <v>27252</v>
      </c>
      <c r="P5637" t="s">
        <v>27925</v>
      </c>
      <c r="Q5637" s="1">
        <v>44846</v>
      </c>
      <c r="R5637" t="s">
        <v>27253</v>
      </c>
      <c r="S5637" t="s">
        <v>27254</v>
      </c>
      <c r="T5637" t="s">
        <v>27265</v>
      </c>
    </row>
    <row r="5638" spans="1:20" x14ac:dyDescent="0.3">
      <c r="A5638" t="str">
        <f>"0611834936100"</f>
        <v>0611834936100</v>
      </c>
      <c r="B5638" t="str">
        <f>"LK0779"</f>
        <v>LK0779</v>
      </c>
      <c r="C5638" t="s">
        <v>38160</v>
      </c>
      <c r="D5638" t="s">
        <v>27245</v>
      </c>
      <c r="E5638" t="str">
        <f t="shared" si="88"/>
        <v>001390</v>
      </c>
      <c r="F5638" t="s">
        <v>27246</v>
      </c>
      <c r="G5638" t="s">
        <v>27247</v>
      </c>
      <c r="H5638" t="s">
        <v>27248</v>
      </c>
      <c r="I5638" t="s">
        <v>38161</v>
      </c>
      <c r="J5638" t="s">
        <v>11253</v>
      </c>
      <c r="L5638" t="s">
        <v>27250</v>
      </c>
      <c r="M5638" t="s">
        <v>27251</v>
      </c>
      <c r="N5638" t="s">
        <v>27252</v>
      </c>
      <c r="Q5638" s="1">
        <v>44538</v>
      </c>
      <c r="R5638" t="s">
        <v>27253</v>
      </c>
      <c r="S5638" t="s">
        <v>27254</v>
      </c>
      <c r="T5638" t="s">
        <v>27255</v>
      </c>
    </row>
    <row r="5639" spans="1:20" x14ac:dyDescent="0.3">
      <c r="A5639" t="str">
        <f>"0611862520050"</f>
        <v>0611862520050</v>
      </c>
      <c r="B5639" t="str">
        <f>"CR2863"</f>
        <v>CR2863</v>
      </c>
      <c r="C5639" t="s">
        <v>38162</v>
      </c>
      <c r="D5639" t="s">
        <v>27263</v>
      </c>
      <c r="E5639" t="str">
        <f t="shared" si="88"/>
        <v>001390</v>
      </c>
      <c r="F5639" t="s">
        <v>27246</v>
      </c>
      <c r="G5639" t="s">
        <v>27247</v>
      </c>
      <c r="H5639" t="s">
        <v>27248</v>
      </c>
      <c r="I5639" t="s">
        <v>38163</v>
      </c>
      <c r="J5639" t="s">
        <v>11255</v>
      </c>
      <c r="L5639" t="s">
        <v>27250</v>
      </c>
      <c r="M5639" t="s">
        <v>27251</v>
      </c>
      <c r="N5639" t="s">
        <v>27252</v>
      </c>
      <c r="Q5639" s="1">
        <v>44846</v>
      </c>
      <c r="R5639" t="s">
        <v>27253</v>
      </c>
      <c r="S5639" t="s">
        <v>27254</v>
      </c>
      <c r="T5639" t="s">
        <v>27265</v>
      </c>
    </row>
    <row r="5640" spans="1:20" x14ac:dyDescent="0.3">
      <c r="A5640" t="str">
        <f>"0611834937100"</f>
        <v>0611834937100</v>
      </c>
      <c r="B5640" t="str">
        <f>"LK3707"</f>
        <v>LK3707</v>
      </c>
      <c r="C5640" t="s">
        <v>38164</v>
      </c>
      <c r="D5640" t="s">
        <v>27245</v>
      </c>
      <c r="E5640" t="str">
        <f t="shared" si="88"/>
        <v>001390</v>
      </c>
      <c r="F5640" t="s">
        <v>27246</v>
      </c>
      <c r="G5640" t="s">
        <v>27247</v>
      </c>
      <c r="H5640" t="s">
        <v>27248</v>
      </c>
      <c r="I5640" t="s">
        <v>38165</v>
      </c>
      <c r="J5640" t="s">
        <v>11257</v>
      </c>
      <c r="L5640" t="s">
        <v>27250</v>
      </c>
      <c r="M5640" t="s">
        <v>27251</v>
      </c>
      <c r="N5640" t="s">
        <v>27252</v>
      </c>
      <c r="Q5640" s="1">
        <v>44538</v>
      </c>
      <c r="R5640" t="s">
        <v>27253</v>
      </c>
      <c r="S5640" t="s">
        <v>27254</v>
      </c>
      <c r="T5640" t="s">
        <v>27255</v>
      </c>
    </row>
    <row r="5641" spans="1:20" x14ac:dyDescent="0.3">
      <c r="A5641" t="str">
        <f>"0611862521050"</f>
        <v>0611862521050</v>
      </c>
      <c r="B5641" t="str">
        <f>"CE1418"</f>
        <v>CE1418</v>
      </c>
      <c r="C5641" t="s">
        <v>38166</v>
      </c>
      <c r="D5641" t="s">
        <v>27263</v>
      </c>
      <c r="E5641" t="str">
        <f t="shared" si="88"/>
        <v>001390</v>
      </c>
      <c r="F5641" t="s">
        <v>27246</v>
      </c>
      <c r="G5641" t="s">
        <v>27247</v>
      </c>
      <c r="H5641" t="s">
        <v>27248</v>
      </c>
      <c r="I5641" t="s">
        <v>38167</v>
      </c>
      <c r="J5641" t="s">
        <v>11259</v>
      </c>
      <c r="L5641" t="s">
        <v>27250</v>
      </c>
      <c r="M5641" t="s">
        <v>27251</v>
      </c>
      <c r="N5641" t="s">
        <v>27252</v>
      </c>
      <c r="Q5641" s="1">
        <v>44846</v>
      </c>
      <c r="R5641" t="s">
        <v>27253</v>
      </c>
      <c r="S5641" t="s">
        <v>27254</v>
      </c>
      <c r="T5641" t="s">
        <v>27265</v>
      </c>
    </row>
    <row r="5642" spans="1:20" x14ac:dyDescent="0.3">
      <c r="A5642" t="str">
        <f>"0611834938100"</f>
        <v>0611834938100</v>
      </c>
      <c r="B5642" t="str">
        <f>"LK2555"</f>
        <v>LK2555</v>
      </c>
      <c r="C5642" t="s">
        <v>38168</v>
      </c>
      <c r="D5642" t="s">
        <v>27245</v>
      </c>
      <c r="E5642" t="str">
        <f t="shared" si="88"/>
        <v>001390</v>
      </c>
      <c r="F5642" t="s">
        <v>27246</v>
      </c>
      <c r="G5642" t="s">
        <v>27247</v>
      </c>
      <c r="H5642" t="s">
        <v>27248</v>
      </c>
      <c r="I5642" t="s">
        <v>38169</v>
      </c>
      <c r="J5642" t="s">
        <v>11261</v>
      </c>
      <c r="L5642" t="s">
        <v>27250</v>
      </c>
      <c r="M5642" t="s">
        <v>27251</v>
      </c>
      <c r="N5642" t="s">
        <v>27252</v>
      </c>
      <c r="Q5642" s="1">
        <v>44538</v>
      </c>
      <c r="R5642" t="s">
        <v>27253</v>
      </c>
      <c r="S5642" t="s">
        <v>27254</v>
      </c>
      <c r="T5642" t="s">
        <v>27255</v>
      </c>
    </row>
    <row r="5643" spans="1:20" x14ac:dyDescent="0.3">
      <c r="A5643" t="str">
        <f>"0611862522050"</f>
        <v>0611862522050</v>
      </c>
      <c r="B5643" t="str">
        <f>"CR2348"</f>
        <v>CR2348</v>
      </c>
      <c r="C5643" t="s">
        <v>38170</v>
      </c>
      <c r="D5643" t="s">
        <v>27263</v>
      </c>
      <c r="E5643" t="str">
        <f t="shared" si="88"/>
        <v>001390</v>
      </c>
      <c r="F5643" t="s">
        <v>27246</v>
      </c>
      <c r="G5643" t="s">
        <v>27247</v>
      </c>
      <c r="H5643" t="s">
        <v>27248</v>
      </c>
      <c r="I5643" t="s">
        <v>38171</v>
      </c>
      <c r="J5643" t="s">
        <v>11263</v>
      </c>
      <c r="L5643" t="s">
        <v>27250</v>
      </c>
      <c r="M5643" t="s">
        <v>27251</v>
      </c>
      <c r="N5643" t="s">
        <v>27252</v>
      </c>
      <c r="Q5643" s="1">
        <v>44846</v>
      </c>
      <c r="R5643" t="s">
        <v>27253</v>
      </c>
      <c r="S5643" t="s">
        <v>27254</v>
      </c>
      <c r="T5643" t="s">
        <v>27265</v>
      </c>
    </row>
    <row r="5644" spans="1:20" x14ac:dyDescent="0.3">
      <c r="A5644" t="str">
        <f>"0611834939100"</f>
        <v>0611834939100</v>
      </c>
      <c r="B5644" t="str">
        <f>"LK0597"</f>
        <v>LK0597</v>
      </c>
      <c r="C5644" t="s">
        <v>38172</v>
      </c>
      <c r="D5644" t="s">
        <v>27245</v>
      </c>
      <c r="E5644" t="str">
        <f t="shared" si="88"/>
        <v>001390</v>
      </c>
      <c r="F5644" t="s">
        <v>27246</v>
      </c>
      <c r="G5644" t="s">
        <v>27247</v>
      </c>
      <c r="H5644" t="s">
        <v>27248</v>
      </c>
      <c r="I5644" t="s">
        <v>38173</v>
      </c>
      <c r="J5644" t="s">
        <v>11265</v>
      </c>
      <c r="L5644" t="s">
        <v>27250</v>
      </c>
      <c r="M5644" t="s">
        <v>27251</v>
      </c>
      <c r="N5644" t="s">
        <v>27252</v>
      </c>
      <c r="Q5644" s="1">
        <v>44538</v>
      </c>
      <c r="R5644" t="s">
        <v>27253</v>
      </c>
      <c r="S5644" t="s">
        <v>27254</v>
      </c>
      <c r="T5644" t="s">
        <v>27255</v>
      </c>
    </row>
    <row r="5645" spans="1:20" x14ac:dyDescent="0.3">
      <c r="A5645" t="str">
        <f>"0611862523050"</f>
        <v>0611862523050</v>
      </c>
      <c r="B5645" t="str">
        <f>"CR2349"</f>
        <v>CR2349</v>
      </c>
      <c r="C5645" t="s">
        <v>38174</v>
      </c>
      <c r="D5645" t="s">
        <v>27263</v>
      </c>
      <c r="E5645" t="str">
        <f t="shared" si="88"/>
        <v>001390</v>
      </c>
      <c r="F5645" t="s">
        <v>27246</v>
      </c>
      <c r="G5645" t="s">
        <v>27247</v>
      </c>
      <c r="H5645" t="s">
        <v>27248</v>
      </c>
      <c r="I5645" t="s">
        <v>38175</v>
      </c>
      <c r="J5645" t="s">
        <v>11267</v>
      </c>
      <c r="L5645" t="s">
        <v>27250</v>
      </c>
      <c r="M5645" t="s">
        <v>27251</v>
      </c>
      <c r="N5645" t="s">
        <v>27252</v>
      </c>
      <c r="Q5645" s="1">
        <v>44846</v>
      </c>
      <c r="R5645" t="s">
        <v>27253</v>
      </c>
      <c r="S5645" t="s">
        <v>27254</v>
      </c>
      <c r="T5645" t="s">
        <v>27265</v>
      </c>
    </row>
    <row r="5646" spans="1:20" x14ac:dyDescent="0.3">
      <c r="A5646" t="str">
        <f>"0611834940100"</f>
        <v>0611834940100</v>
      </c>
      <c r="B5646" t="str">
        <f>"LQ0679"</f>
        <v>LQ0679</v>
      </c>
      <c r="C5646" t="s">
        <v>38176</v>
      </c>
      <c r="D5646" t="s">
        <v>27245</v>
      </c>
      <c r="E5646" t="str">
        <f t="shared" si="88"/>
        <v>001390</v>
      </c>
      <c r="F5646" t="s">
        <v>27246</v>
      </c>
      <c r="G5646" t="s">
        <v>27247</v>
      </c>
      <c r="H5646" t="s">
        <v>27248</v>
      </c>
      <c r="I5646" t="s">
        <v>38177</v>
      </c>
      <c r="J5646" t="s">
        <v>11269</v>
      </c>
      <c r="L5646" t="s">
        <v>27250</v>
      </c>
      <c r="M5646" t="s">
        <v>27251</v>
      </c>
      <c r="N5646" t="s">
        <v>27252</v>
      </c>
      <c r="Q5646" s="1">
        <v>44538</v>
      </c>
      <c r="R5646" t="s">
        <v>27253</v>
      </c>
      <c r="S5646" t="s">
        <v>27254</v>
      </c>
      <c r="T5646" t="s">
        <v>27255</v>
      </c>
    </row>
    <row r="5647" spans="1:20" x14ac:dyDescent="0.3">
      <c r="A5647" t="str">
        <f>"0611862524050"</f>
        <v>0611862524050</v>
      </c>
      <c r="B5647" t="str">
        <f>"CR3166"</f>
        <v>CR3166</v>
      </c>
      <c r="C5647" t="s">
        <v>38176</v>
      </c>
      <c r="D5647" t="s">
        <v>27263</v>
      </c>
      <c r="E5647" t="str">
        <f t="shared" si="88"/>
        <v>001390</v>
      </c>
      <c r="F5647" t="s">
        <v>27246</v>
      </c>
      <c r="G5647" t="s">
        <v>27247</v>
      </c>
      <c r="H5647" t="s">
        <v>27248</v>
      </c>
      <c r="I5647" t="s">
        <v>38178</v>
      </c>
      <c r="J5647" t="s">
        <v>11271</v>
      </c>
      <c r="L5647" t="s">
        <v>27250</v>
      </c>
      <c r="M5647" t="s">
        <v>27251</v>
      </c>
      <c r="N5647" t="s">
        <v>27252</v>
      </c>
      <c r="Q5647" s="1">
        <v>44846</v>
      </c>
      <c r="R5647" t="s">
        <v>27253</v>
      </c>
      <c r="S5647" t="s">
        <v>27254</v>
      </c>
      <c r="T5647" t="s">
        <v>27265</v>
      </c>
    </row>
    <row r="5648" spans="1:20" x14ac:dyDescent="0.3">
      <c r="A5648" t="str">
        <f>"0611884246025"</f>
        <v>0611884246025</v>
      </c>
      <c r="B5648" t="str">
        <f>"MC4472"</f>
        <v>MC4472</v>
      </c>
      <c r="C5648" t="s">
        <v>38179</v>
      </c>
      <c r="D5648" t="s">
        <v>27267</v>
      </c>
      <c r="E5648" t="str">
        <f t="shared" si="88"/>
        <v>001390</v>
      </c>
      <c r="F5648" t="s">
        <v>27246</v>
      </c>
      <c r="G5648" t="s">
        <v>27247</v>
      </c>
      <c r="H5648" t="s">
        <v>27248</v>
      </c>
      <c r="I5648" t="s">
        <v>38180</v>
      </c>
      <c r="J5648" t="s">
        <v>11273</v>
      </c>
      <c r="L5648" t="s">
        <v>27430</v>
      </c>
      <c r="M5648" t="s">
        <v>27251</v>
      </c>
      <c r="N5648" t="s">
        <v>27252</v>
      </c>
      <c r="Q5648" s="1">
        <v>45250</v>
      </c>
      <c r="R5648" t="s">
        <v>27253</v>
      </c>
      <c r="S5648" t="s">
        <v>27254</v>
      </c>
      <c r="T5648" t="s">
        <v>27269</v>
      </c>
    </row>
    <row r="5649" spans="1:20" x14ac:dyDescent="0.3">
      <c r="A5649" t="str">
        <f>"0611834941100"</f>
        <v>0611834941100</v>
      </c>
      <c r="B5649" t="str">
        <f>"LK0781"</f>
        <v>LK0781</v>
      </c>
      <c r="C5649" t="s">
        <v>38181</v>
      </c>
      <c r="D5649" t="s">
        <v>27245</v>
      </c>
      <c r="E5649" t="str">
        <f t="shared" si="88"/>
        <v>001390</v>
      </c>
      <c r="F5649" t="s">
        <v>27246</v>
      </c>
      <c r="G5649" t="s">
        <v>27247</v>
      </c>
      <c r="H5649" t="s">
        <v>27248</v>
      </c>
      <c r="I5649" t="s">
        <v>38182</v>
      </c>
      <c r="J5649" t="s">
        <v>11275</v>
      </c>
      <c r="L5649" t="s">
        <v>27250</v>
      </c>
      <c r="M5649" t="s">
        <v>27251</v>
      </c>
      <c r="N5649" t="s">
        <v>27252</v>
      </c>
      <c r="Q5649" s="1">
        <v>44538</v>
      </c>
      <c r="R5649" t="s">
        <v>27253</v>
      </c>
      <c r="S5649" t="s">
        <v>27254</v>
      </c>
      <c r="T5649" t="s">
        <v>27255</v>
      </c>
    </row>
    <row r="5650" spans="1:20" x14ac:dyDescent="0.3">
      <c r="A5650" t="str">
        <f>"0611834942025"</f>
        <v>0611834942025</v>
      </c>
      <c r="B5650" t="str">
        <f>"MC2269"</f>
        <v>MC2269</v>
      </c>
      <c r="C5650" t="s">
        <v>38183</v>
      </c>
      <c r="D5650" t="s">
        <v>27267</v>
      </c>
      <c r="E5650" t="str">
        <f t="shared" si="88"/>
        <v>001390</v>
      </c>
      <c r="F5650" t="s">
        <v>27246</v>
      </c>
      <c r="G5650" t="s">
        <v>27247</v>
      </c>
      <c r="H5650" t="s">
        <v>27248</v>
      </c>
      <c r="I5650" t="s">
        <v>38184</v>
      </c>
      <c r="J5650" t="s">
        <v>11277</v>
      </c>
      <c r="L5650" t="s">
        <v>27250</v>
      </c>
      <c r="M5650" t="s">
        <v>27251</v>
      </c>
      <c r="N5650" t="s">
        <v>27252</v>
      </c>
      <c r="Q5650" s="1">
        <v>44538</v>
      </c>
      <c r="R5650" t="s">
        <v>27253</v>
      </c>
      <c r="S5650" t="s">
        <v>27254</v>
      </c>
      <c r="T5650" t="s">
        <v>27269</v>
      </c>
    </row>
    <row r="5651" spans="1:20" x14ac:dyDescent="0.3">
      <c r="A5651" t="str">
        <f>"0611862525050"</f>
        <v>0611862525050</v>
      </c>
      <c r="B5651" t="str">
        <f>"CR2811"</f>
        <v>CR2811</v>
      </c>
      <c r="C5651" t="s">
        <v>38183</v>
      </c>
      <c r="D5651" t="s">
        <v>27263</v>
      </c>
      <c r="E5651" t="str">
        <f t="shared" si="88"/>
        <v>001390</v>
      </c>
      <c r="F5651" t="s">
        <v>27246</v>
      </c>
      <c r="G5651" t="s">
        <v>27247</v>
      </c>
      <c r="H5651" t="s">
        <v>27248</v>
      </c>
      <c r="I5651" t="s">
        <v>38185</v>
      </c>
      <c r="J5651" t="s">
        <v>11279</v>
      </c>
      <c r="L5651" t="s">
        <v>27250</v>
      </c>
      <c r="M5651" t="s">
        <v>27251</v>
      </c>
      <c r="N5651" t="s">
        <v>27252</v>
      </c>
      <c r="Q5651" s="1">
        <v>44846</v>
      </c>
      <c r="R5651" t="s">
        <v>27253</v>
      </c>
      <c r="S5651" t="s">
        <v>27254</v>
      </c>
      <c r="T5651" t="s">
        <v>27265</v>
      </c>
    </row>
    <row r="5652" spans="1:20" x14ac:dyDescent="0.3">
      <c r="A5652" t="str">
        <f>"0611856968100"</f>
        <v>0611856968100</v>
      </c>
      <c r="B5652" t="str">
        <f>"LQ3538"</f>
        <v>LQ3538</v>
      </c>
      <c r="C5652" t="s">
        <v>38186</v>
      </c>
      <c r="D5652" t="s">
        <v>27245</v>
      </c>
      <c r="E5652" t="str">
        <f t="shared" si="88"/>
        <v>001390</v>
      </c>
      <c r="F5652" t="s">
        <v>27246</v>
      </c>
      <c r="G5652" t="s">
        <v>27247</v>
      </c>
      <c r="H5652" t="s">
        <v>27248</v>
      </c>
      <c r="I5652" t="s">
        <v>38187</v>
      </c>
      <c r="J5652" t="s">
        <v>11281</v>
      </c>
      <c r="L5652" t="s">
        <v>27250</v>
      </c>
      <c r="M5652" t="s">
        <v>27251</v>
      </c>
      <c r="N5652" t="s">
        <v>27252</v>
      </c>
      <c r="Q5652" s="1">
        <v>44812</v>
      </c>
      <c r="R5652" t="s">
        <v>27253</v>
      </c>
      <c r="S5652" t="s">
        <v>27254</v>
      </c>
      <c r="T5652" t="s">
        <v>27255</v>
      </c>
    </row>
    <row r="5653" spans="1:20" x14ac:dyDescent="0.3">
      <c r="A5653" t="str">
        <f>"0611834943025"</f>
        <v>0611834943025</v>
      </c>
      <c r="B5653" t="str">
        <f>"MC1912"</f>
        <v>MC1912</v>
      </c>
      <c r="C5653" t="s">
        <v>38188</v>
      </c>
      <c r="D5653" t="s">
        <v>27267</v>
      </c>
      <c r="E5653" t="str">
        <f t="shared" si="88"/>
        <v>001390</v>
      </c>
      <c r="F5653" t="s">
        <v>27246</v>
      </c>
      <c r="G5653" t="s">
        <v>27247</v>
      </c>
      <c r="H5653" t="s">
        <v>27248</v>
      </c>
      <c r="I5653" t="s">
        <v>38189</v>
      </c>
      <c r="J5653" t="s">
        <v>11283</v>
      </c>
      <c r="L5653" t="s">
        <v>27250</v>
      </c>
      <c r="M5653" t="s">
        <v>27251</v>
      </c>
      <c r="N5653" t="s">
        <v>27252</v>
      </c>
      <c r="Q5653" s="1">
        <v>44538</v>
      </c>
      <c r="R5653" t="s">
        <v>27253</v>
      </c>
      <c r="S5653" t="s">
        <v>27254</v>
      </c>
      <c r="T5653" t="s">
        <v>27269</v>
      </c>
    </row>
    <row r="5654" spans="1:20" x14ac:dyDescent="0.3">
      <c r="A5654" t="str">
        <f>"0611834944025"</f>
        <v>0611834944025</v>
      </c>
      <c r="B5654" t="str">
        <f>"MC1187"</f>
        <v>MC1187</v>
      </c>
      <c r="C5654" t="s">
        <v>38190</v>
      </c>
      <c r="D5654" t="s">
        <v>27267</v>
      </c>
      <c r="E5654" t="str">
        <f t="shared" si="88"/>
        <v>001390</v>
      </c>
      <c r="F5654" t="s">
        <v>27246</v>
      </c>
      <c r="G5654" t="s">
        <v>27247</v>
      </c>
      <c r="H5654" t="s">
        <v>27248</v>
      </c>
      <c r="I5654" t="s">
        <v>38191</v>
      </c>
      <c r="J5654" t="s">
        <v>11285</v>
      </c>
      <c r="L5654" t="s">
        <v>27250</v>
      </c>
      <c r="M5654" t="s">
        <v>27251</v>
      </c>
      <c r="N5654" t="s">
        <v>27252</v>
      </c>
      <c r="Q5654" s="1">
        <v>44538</v>
      </c>
      <c r="R5654" t="s">
        <v>27253</v>
      </c>
      <c r="S5654" t="s">
        <v>27254</v>
      </c>
      <c r="T5654" t="s">
        <v>27269</v>
      </c>
    </row>
    <row r="5655" spans="1:20" x14ac:dyDescent="0.3">
      <c r="A5655" t="str">
        <f>"0611834945025"</f>
        <v>0611834945025</v>
      </c>
      <c r="B5655" t="str">
        <f>"MC4288"</f>
        <v>MC4288</v>
      </c>
      <c r="C5655" t="s">
        <v>38192</v>
      </c>
      <c r="D5655" t="s">
        <v>27267</v>
      </c>
      <c r="E5655" t="str">
        <f t="shared" si="88"/>
        <v>001390</v>
      </c>
      <c r="F5655" t="s">
        <v>27246</v>
      </c>
      <c r="G5655" t="s">
        <v>27247</v>
      </c>
      <c r="H5655" t="s">
        <v>27248</v>
      </c>
      <c r="I5655" t="s">
        <v>38193</v>
      </c>
      <c r="J5655" t="s">
        <v>11287</v>
      </c>
      <c r="L5655" t="s">
        <v>27250</v>
      </c>
      <c r="M5655" t="s">
        <v>27251</v>
      </c>
      <c r="N5655" t="s">
        <v>27252</v>
      </c>
      <c r="Q5655" s="1">
        <v>44538</v>
      </c>
      <c r="R5655" t="s">
        <v>27253</v>
      </c>
      <c r="S5655" t="s">
        <v>27254</v>
      </c>
      <c r="T5655" t="s">
        <v>27269</v>
      </c>
    </row>
    <row r="5656" spans="1:20" x14ac:dyDescent="0.3">
      <c r="A5656" t="str">
        <f>"0611834946025"</f>
        <v>0611834946025</v>
      </c>
      <c r="B5656" t="str">
        <f>"MC4289"</f>
        <v>MC4289</v>
      </c>
      <c r="C5656" t="s">
        <v>38194</v>
      </c>
      <c r="D5656" t="s">
        <v>27267</v>
      </c>
      <c r="E5656" t="str">
        <f t="shared" si="88"/>
        <v>001390</v>
      </c>
      <c r="F5656" t="s">
        <v>27246</v>
      </c>
      <c r="G5656" t="s">
        <v>27247</v>
      </c>
      <c r="H5656" t="s">
        <v>27248</v>
      </c>
      <c r="I5656" t="s">
        <v>38195</v>
      </c>
      <c r="J5656" t="s">
        <v>11289</v>
      </c>
      <c r="L5656" t="s">
        <v>27250</v>
      </c>
      <c r="M5656" t="s">
        <v>27251</v>
      </c>
      <c r="N5656" t="s">
        <v>27252</v>
      </c>
      <c r="Q5656" s="1">
        <v>44538</v>
      </c>
      <c r="R5656" t="s">
        <v>27253</v>
      </c>
      <c r="S5656" t="s">
        <v>27254</v>
      </c>
      <c r="T5656" t="s">
        <v>27269</v>
      </c>
    </row>
    <row r="5657" spans="1:20" x14ac:dyDescent="0.3">
      <c r="A5657" t="str">
        <f>"0611834947025"</f>
        <v>0611834947025</v>
      </c>
      <c r="B5657" t="str">
        <f>"MQ3153"</f>
        <v>MQ3153</v>
      </c>
      <c r="C5657" t="s">
        <v>38196</v>
      </c>
      <c r="D5657" t="s">
        <v>27267</v>
      </c>
      <c r="E5657" t="str">
        <f t="shared" si="88"/>
        <v>001390</v>
      </c>
      <c r="F5657" t="s">
        <v>27246</v>
      </c>
      <c r="G5657" t="s">
        <v>27247</v>
      </c>
      <c r="H5657" t="s">
        <v>27248</v>
      </c>
      <c r="I5657" t="s">
        <v>38197</v>
      </c>
      <c r="J5657" t="s">
        <v>11291</v>
      </c>
      <c r="L5657" t="s">
        <v>27250</v>
      </c>
      <c r="M5657" t="s">
        <v>27251</v>
      </c>
      <c r="N5657" t="s">
        <v>27252</v>
      </c>
      <c r="Q5657" s="1">
        <v>44538</v>
      </c>
      <c r="R5657" t="s">
        <v>27253</v>
      </c>
      <c r="S5657" t="s">
        <v>27254</v>
      </c>
      <c r="T5657" t="s">
        <v>27269</v>
      </c>
    </row>
    <row r="5658" spans="1:20" x14ac:dyDescent="0.3">
      <c r="A5658" t="str">
        <f>"0611834949025"</f>
        <v>0611834949025</v>
      </c>
      <c r="B5658" t="str">
        <f>"MQ0711"</f>
        <v>MQ0711</v>
      </c>
      <c r="C5658" t="s">
        <v>38198</v>
      </c>
      <c r="D5658" t="s">
        <v>27267</v>
      </c>
      <c r="E5658" t="str">
        <f t="shared" si="88"/>
        <v>001390</v>
      </c>
      <c r="F5658" t="s">
        <v>27246</v>
      </c>
      <c r="G5658" t="s">
        <v>27247</v>
      </c>
      <c r="H5658" t="s">
        <v>27248</v>
      </c>
      <c r="I5658" t="s">
        <v>38199</v>
      </c>
      <c r="J5658" t="s">
        <v>11293</v>
      </c>
      <c r="L5658" t="s">
        <v>27250</v>
      </c>
      <c r="M5658" t="s">
        <v>27251</v>
      </c>
      <c r="N5658" t="s">
        <v>27252</v>
      </c>
      <c r="Q5658" s="1">
        <v>44538</v>
      </c>
      <c r="R5658" t="s">
        <v>27253</v>
      </c>
      <c r="S5658" t="s">
        <v>27254</v>
      </c>
      <c r="T5658" t="s">
        <v>27269</v>
      </c>
    </row>
    <row r="5659" spans="1:20" x14ac:dyDescent="0.3">
      <c r="A5659" t="str">
        <f>"0611834950025"</f>
        <v>0611834950025</v>
      </c>
      <c r="B5659" t="str">
        <f>"MC2444"</f>
        <v>MC2444</v>
      </c>
      <c r="C5659" t="s">
        <v>38200</v>
      </c>
      <c r="D5659" t="s">
        <v>27267</v>
      </c>
      <c r="E5659" t="str">
        <f t="shared" si="88"/>
        <v>001390</v>
      </c>
      <c r="F5659" t="s">
        <v>27246</v>
      </c>
      <c r="G5659" t="s">
        <v>27247</v>
      </c>
      <c r="H5659" t="s">
        <v>27248</v>
      </c>
      <c r="I5659" t="s">
        <v>38201</v>
      </c>
      <c r="J5659" t="s">
        <v>11295</v>
      </c>
      <c r="L5659" t="s">
        <v>27250</v>
      </c>
      <c r="M5659" t="s">
        <v>27251</v>
      </c>
      <c r="N5659" t="s">
        <v>27252</v>
      </c>
      <c r="Q5659" s="1">
        <v>44538</v>
      </c>
      <c r="R5659" t="s">
        <v>27253</v>
      </c>
      <c r="S5659" t="s">
        <v>27254</v>
      </c>
      <c r="T5659" t="s">
        <v>27269</v>
      </c>
    </row>
    <row r="5660" spans="1:20" x14ac:dyDescent="0.3">
      <c r="A5660" t="str">
        <f>"0611834951100"</f>
        <v>0611834951100</v>
      </c>
      <c r="B5660" t="str">
        <f>"LH4420"</f>
        <v>LH4420</v>
      </c>
      <c r="C5660" t="s">
        <v>38202</v>
      </c>
      <c r="D5660" t="s">
        <v>27245</v>
      </c>
      <c r="E5660" t="str">
        <f t="shared" si="88"/>
        <v>001390</v>
      </c>
      <c r="F5660" t="s">
        <v>27246</v>
      </c>
      <c r="G5660" t="s">
        <v>27247</v>
      </c>
      <c r="H5660" t="s">
        <v>27248</v>
      </c>
      <c r="I5660" t="s">
        <v>38203</v>
      </c>
      <c r="J5660" t="s">
        <v>11297</v>
      </c>
      <c r="L5660" t="s">
        <v>27250</v>
      </c>
      <c r="M5660" t="s">
        <v>27251</v>
      </c>
      <c r="N5660" t="s">
        <v>27252</v>
      </c>
      <c r="Q5660" s="1">
        <v>44538</v>
      </c>
      <c r="R5660" t="s">
        <v>27253</v>
      </c>
      <c r="S5660" t="s">
        <v>27254</v>
      </c>
      <c r="T5660" t="s">
        <v>27255</v>
      </c>
    </row>
    <row r="5661" spans="1:20" x14ac:dyDescent="0.3">
      <c r="A5661" t="str">
        <f>"0611834952025"</f>
        <v>0611834952025</v>
      </c>
      <c r="B5661" t="str">
        <f>"MC0326"</f>
        <v>MC0326</v>
      </c>
      <c r="C5661" t="s">
        <v>38202</v>
      </c>
      <c r="D5661" t="s">
        <v>27267</v>
      </c>
      <c r="E5661" t="str">
        <f t="shared" si="88"/>
        <v>001390</v>
      </c>
      <c r="F5661" t="s">
        <v>27246</v>
      </c>
      <c r="G5661" t="s">
        <v>27247</v>
      </c>
      <c r="H5661" t="s">
        <v>27248</v>
      </c>
      <c r="I5661" t="s">
        <v>38204</v>
      </c>
      <c r="J5661" t="s">
        <v>11299</v>
      </c>
      <c r="L5661" t="s">
        <v>27250</v>
      </c>
      <c r="M5661" t="s">
        <v>27251</v>
      </c>
      <c r="N5661" t="s">
        <v>27252</v>
      </c>
      <c r="Q5661" s="1">
        <v>44538</v>
      </c>
      <c r="R5661" t="s">
        <v>27253</v>
      </c>
      <c r="S5661" t="s">
        <v>27254</v>
      </c>
      <c r="T5661" t="s">
        <v>27269</v>
      </c>
    </row>
    <row r="5662" spans="1:20" x14ac:dyDescent="0.3">
      <c r="A5662" t="str">
        <f>"0611834953025"</f>
        <v>0611834953025</v>
      </c>
      <c r="B5662" t="str">
        <f>"MQ0229"</f>
        <v>MQ0229</v>
      </c>
      <c r="C5662" t="s">
        <v>38205</v>
      </c>
      <c r="D5662" t="s">
        <v>27267</v>
      </c>
      <c r="E5662" t="str">
        <f t="shared" si="88"/>
        <v>001390</v>
      </c>
      <c r="F5662" t="s">
        <v>27246</v>
      </c>
      <c r="G5662" t="s">
        <v>27247</v>
      </c>
      <c r="H5662" t="s">
        <v>27248</v>
      </c>
      <c r="I5662" t="s">
        <v>38206</v>
      </c>
      <c r="J5662" t="s">
        <v>11303</v>
      </c>
      <c r="L5662" t="s">
        <v>27250</v>
      </c>
      <c r="M5662" t="s">
        <v>27251</v>
      </c>
      <c r="N5662" t="s">
        <v>27252</v>
      </c>
      <c r="Q5662" s="1">
        <v>44538</v>
      </c>
      <c r="R5662" t="s">
        <v>27253</v>
      </c>
      <c r="S5662" t="s">
        <v>27254</v>
      </c>
      <c r="T5662" t="s">
        <v>27269</v>
      </c>
    </row>
    <row r="5663" spans="1:20" x14ac:dyDescent="0.3">
      <c r="A5663" t="str">
        <f>"0611862526100"</f>
        <v>0611862526100</v>
      </c>
      <c r="B5663" t="str">
        <f>"CN5200"</f>
        <v>CN5200</v>
      </c>
      <c r="C5663" t="s">
        <v>38205</v>
      </c>
      <c r="D5663" t="s">
        <v>27335</v>
      </c>
      <c r="E5663" t="str">
        <f t="shared" si="88"/>
        <v>001390</v>
      </c>
      <c r="F5663" t="s">
        <v>27246</v>
      </c>
      <c r="G5663" t="s">
        <v>27247</v>
      </c>
      <c r="H5663" t="s">
        <v>27248</v>
      </c>
      <c r="I5663" t="s">
        <v>38207</v>
      </c>
      <c r="J5663" t="s">
        <v>11301</v>
      </c>
      <c r="L5663" t="s">
        <v>27250</v>
      </c>
      <c r="M5663" t="s">
        <v>27251</v>
      </c>
      <c r="N5663" t="s">
        <v>27252</v>
      </c>
      <c r="Q5663" s="1">
        <v>44846</v>
      </c>
      <c r="R5663" t="s">
        <v>27253</v>
      </c>
      <c r="S5663" t="s">
        <v>27254</v>
      </c>
      <c r="T5663" t="s">
        <v>27255</v>
      </c>
    </row>
    <row r="5664" spans="1:20" x14ac:dyDescent="0.3">
      <c r="A5664" t="str">
        <f>"0611862527050"</f>
        <v>0611862527050</v>
      </c>
      <c r="B5664" t="str">
        <f>"CR4323"</f>
        <v>CR4323</v>
      </c>
      <c r="C5664" t="s">
        <v>38205</v>
      </c>
      <c r="D5664" t="s">
        <v>27263</v>
      </c>
      <c r="E5664" t="str">
        <f t="shared" si="88"/>
        <v>001390</v>
      </c>
      <c r="F5664" t="s">
        <v>27246</v>
      </c>
      <c r="G5664" t="s">
        <v>27247</v>
      </c>
      <c r="H5664" t="s">
        <v>27248</v>
      </c>
      <c r="I5664" t="s">
        <v>38208</v>
      </c>
      <c r="J5664" t="s">
        <v>11305</v>
      </c>
      <c r="L5664" t="s">
        <v>27250</v>
      </c>
      <c r="M5664" t="s">
        <v>27251</v>
      </c>
      <c r="N5664" t="s">
        <v>27252</v>
      </c>
      <c r="Q5664" s="1">
        <v>44846</v>
      </c>
      <c r="R5664" t="s">
        <v>27253</v>
      </c>
      <c r="S5664" t="s">
        <v>27254</v>
      </c>
      <c r="T5664" t="s">
        <v>27265</v>
      </c>
    </row>
    <row r="5665" spans="1:20" x14ac:dyDescent="0.3">
      <c r="A5665" t="str">
        <f>"0611834955100"</f>
        <v>0611834955100</v>
      </c>
      <c r="B5665" t="str">
        <f>"LB3068"</f>
        <v>LB3068</v>
      </c>
      <c r="C5665" t="s">
        <v>38209</v>
      </c>
      <c r="D5665" t="s">
        <v>27245</v>
      </c>
      <c r="E5665" t="str">
        <f t="shared" si="88"/>
        <v>001390</v>
      </c>
      <c r="F5665" t="s">
        <v>27246</v>
      </c>
      <c r="G5665" t="s">
        <v>27247</v>
      </c>
      <c r="H5665" t="s">
        <v>27248</v>
      </c>
      <c r="I5665" t="s">
        <v>38210</v>
      </c>
      <c r="J5665" t="s">
        <v>11307</v>
      </c>
      <c r="L5665" t="s">
        <v>27250</v>
      </c>
      <c r="M5665" t="s">
        <v>27251</v>
      </c>
      <c r="N5665" t="s">
        <v>27252</v>
      </c>
      <c r="Q5665" s="1">
        <v>44538</v>
      </c>
      <c r="R5665" t="s">
        <v>27253</v>
      </c>
      <c r="S5665" t="s">
        <v>27254</v>
      </c>
      <c r="T5665" t="s">
        <v>27255</v>
      </c>
    </row>
    <row r="5666" spans="1:20" x14ac:dyDescent="0.3">
      <c r="A5666" t="str">
        <f>"0611862528050"</f>
        <v>0611862528050</v>
      </c>
      <c r="B5666" t="str">
        <f>"CR2963"</f>
        <v>CR2963</v>
      </c>
      <c r="C5666" t="s">
        <v>38209</v>
      </c>
      <c r="D5666" t="s">
        <v>27263</v>
      </c>
      <c r="E5666" t="str">
        <f t="shared" si="88"/>
        <v>001390</v>
      </c>
      <c r="F5666" t="s">
        <v>27246</v>
      </c>
      <c r="G5666" t="s">
        <v>27247</v>
      </c>
      <c r="H5666" t="s">
        <v>27248</v>
      </c>
      <c r="I5666" t="s">
        <v>38211</v>
      </c>
      <c r="J5666" t="s">
        <v>11309</v>
      </c>
      <c r="L5666" t="s">
        <v>27250</v>
      </c>
      <c r="M5666" t="s">
        <v>27251</v>
      </c>
      <c r="N5666" t="s">
        <v>27252</v>
      </c>
      <c r="Q5666" s="1">
        <v>44846</v>
      </c>
      <c r="R5666" t="s">
        <v>27253</v>
      </c>
      <c r="S5666" t="s">
        <v>27254</v>
      </c>
      <c r="T5666" t="s">
        <v>27265</v>
      </c>
    </row>
    <row r="5667" spans="1:20" x14ac:dyDescent="0.3">
      <c r="A5667" t="str">
        <f>"0611834956100"</f>
        <v>0611834956100</v>
      </c>
      <c r="B5667" t="str">
        <f>"LK0184"</f>
        <v>LK0184</v>
      </c>
      <c r="C5667" t="s">
        <v>38212</v>
      </c>
      <c r="D5667" t="s">
        <v>27245</v>
      </c>
      <c r="E5667" t="str">
        <f t="shared" si="88"/>
        <v>001390</v>
      </c>
      <c r="F5667" t="s">
        <v>27246</v>
      </c>
      <c r="G5667" t="s">
        <v>27247</v>
      </c>
      <c r="H5667" t="s">
        <v>27248</v>
      </c>
      <c r="I5667" t="s">
        <v>38213</v>
      </c>
      <c r="J5667" t="s">
        <v>11311</v>
      </c>
      <c r="L5667" t="s">
        <v>27250</v>
      </c>
      <c r="M5667" t="s">
        <v>27251</v>
      </c>
      <c r="N5667" t="s">
        <v>27252</v>
      </c>
      <c r="Q5667" s="1">
        <v>44538</v>
      </c>
      <c r="R5667" t="s">
        <v>27253</v>
      </c>
      <c r="S5667" t="s">
        <v>27254</v>
      </c>
      <c r="T5667" t="s">
        <v>27255</v>
      </c>
    </row>
    <row r="5668" spans="1:20" x14ac:dyDescent="0.3">
      <c r="A5668" t="str">
        <f>"0611834957025"</f>
        <v>0611834957025</v>
      </c>
      <c r="B5668" t="str">
        <f>"MC1432"</f>
        <v>MC1432</v>
      </c>
      <c r="C5668" t="s">
        <v>38212</v>
      </c>
      <c r="D5668" t="s">
        <v>27267</v>
      </c>
      <c r="E5668" t="str">
        <f t="shared" si="88"/>
        <v>001390</v>
      </c>
      <c r="F5668" t="s">
        <v>27246</v>
      </c>
      <c r="G5668" t="s">
        <v>27247</v>
      </c>
      <c r="H5668" t="s">
        <v>27248</v>
      </c>
      <c r="I5668" t="s">
        <v>38214</v>
      </c>
      <c r="J5668" t="s">
        <v>11313</v>
      </c>
      <c r="L5668" t="s">
        <v>27250</v>
      </c>
      <c r="M5668" t="s">
        <v>27251</v>
      </c>
      <c r="N5668" t="s">
        <v>27252</v>
      </c>
      <c r="Q5668" s="1">
        <v>44538</v>
      </c>
      <c r="R5668" t="s">
        <v>27253</v>
      </c>
      <c r="S5668" t="s">
        <v>27254</v>
      </c>
      <c r="T5668" t="s">
        <v>27269</v>
      </c>
    </row>
    <row r="5669" spans="1:20" x14ac:dyDescent="0.3">
      <c r="A5669" t="str">
        <f>"0611862529050"</f>
        <v>0611862529050</v>
      </c>
      <c r="B5669" t="str">
        <f>"CR4961"</f>
        <v>CR4961</v>
      </c>
      <c r="C5669" t="s">
        <v>38215</v>
      </c>
      <c r="D5669" t="s">
        <v>27271</v>
      </c>
      <c r="E5669" t="str">
        <f t="shared" si="88"/>
        <v>001390</v>
      </c>
      <c r="F5669" t="s">
        <v>27246</v>
      </c>
      <c r="G5669" t="s">
        <v>27247</v>
      </c>
      <c r="H5669" t="s">
        <v>27248</v>
      </c>
      <c r="I5669" t="s">
        <v>38216</v>
      </c>
      <c r="J5669" t="s">
        <v>11315</v>
      </c>
      <c r="L5669" t="s">
        <v>27250</v>
      </c>
      <c r="M5669" t="s">
        <v>27251</v>
      </c>
      <c r="N5669" t="s">
        <v>27252</v>
      </c>
      <c r="P5669" t="s">
        <v>27341</v>
      </c>
      <c r="Q5669" s="1">
        <v>44846</v>
      </c>
      <c r="R5669" t="s">
        <v>27253</v>
      </c>
      <c r="S5669" t="s">
        <v>27254</v>
      </c>
      <c r="T5669" t="s">
        <v>27265</v>
      </c>
    </row>
    <row r="5670" spans="1:20" x14ac:dyDescent="0.3">
      <c r="A5670" t="str">
        <f>"0611834958100"</f>
        <v>0611834958100</v>
      </c>
      <c r="B5670" t="str">
        <f>"LB3250"</f>
        <v>LB3250</v>
      </c>
      <c r="C5670" t="s">
        <v>38217</v>
      </c>
      <c r="D5670" t="s">
        <v>27245</v>
      </c>
      <c r="E5670" t="str">
        <f t="shared" si="88"/>
        <v>001390</v>
      </c>
      <c r="F5670" t="s">
        <v>27246</v>
      </c>
      <c r="G5670" t="s">
        <v>27247</v>
      </c>
      <c r="H5670" t="s">
        <v>27248</v>
      </c>
      <c r="I5670" t="s">
        <v>38218</v>
      </c>
      <c r="J5670" t="s">
        <v>11317</v>
      </c>
      <c r="L5670" t="s">
        <v>27250</v>
      </c>
      <c r="M5670" t="s">
        <v>27251</v>
      </c>
      <c r="N5670" t="s">
        <v>27252</v>
      </c>
      <c r="Q5670" s="1">
        <v>44538</v>
      </c>
      <c r="R5670" t="s">
        <v>27253</v>
      </c>
      <c r="S5670" t="s">
        <v>27254</v>
      </c>
      <c r="T5670" t="s">
        <v>27255</v>
      </c>
    </row>
    <row r="5671" spans="1:20" x14ac:dyDescent="0.3">
      <c r="A5671" t="str">
        <f>"0611834959100"</f>
        <v>0611834959100</v>
      </c>
      <c r="B5671" t="str">
        <f>"LQ3461"</f>
        <v>LQ3461</v>
      </c>
      <c r="C5671" t="s">
        <v>38219</v>
      </c>
      <c r="D5671" t="s">
        <v>27245</v>
      </c>
      <c r="E5671" t="str">
        <f t="shared" si="88"/>
        <v>001390</v>
      </c>
      <c r="F5671" t="s">
        <v>27246</v>
      </c>
      <c r="G5671" t="s">
        <v>27247</v>
      </c>
      <c r="H5671" t="s">
        <v>27248</v>
      </c>
      <c r="I5671" t="s">
        <v>38220</v>
      </c>
      <c r="J5671" t="s">
        <v>11319</v>
      </c>
      <c r="L5671" t="s">
        <v>27250</v>
      </c>
      <c r="M5671" t="s">
        <v>27251</v>
      </c>
      <c r="N5671" t="s">
        <v>27252</v>
      </c>
      <c r="Q5671" s="1">
        <v>44538</v>
      </c>
      <c r="R5671" t="s">
        <v>27253</v>
      </c>
      <c r="S5671" t="s">
        <v>27254</v>
      </c>
      <c r="T5671" t="s">
        <v>27255</v>
      </c>
    </row>
    <row r="5672" spans="1:20" x14ac:dyDescent="0.3">
      <c r="A5672" t="str">
        <f>"0611834960100"</f>
        <v>0611834960100</v>
      </c>
      <c r="B5672" t="str">
        <f>"LQ0381"</f>
        <v>LQ0381</v>
      </c>
      <c r="C5672" t="s">
        <v>38221</v>
      </c>
      <c r="D5672" t="s">
        <v>27245</v>
      </c>
      <c r="E5672" t="str">
        <f t="shared" si="88"/>
        <v>001390</v>
      </c>
      <c r="F5672" t="s">
        <v>27246</v>
      </c>
      <c r="G5672" t="s">
        <v>27247</v>
      </c>
      <c r="H5672" t="s">
        <v>27248</v>
      </c>
      <c r="I5672" t="s">
        <v>38222</v>
      </c>
      <c r="J5672" t="s">
        <v>11321</v>
      </c>
      <c r="L5672" t="s">
        <v>27250</v>
      </c>
      <c r="M5672" t="s">
        <v>27251</v>
      </c>
      <c r="N5672" t="s">
        <v>27252</v>
      </c>
      <c r="Q5672" s="1">
        <v>44538</v>
      </c>
      <c r="R5672" t="s">
        <v>27253</v>
      </c>
      <c r="S5672" t="s">
        <v>27254</v>
      </c>
      <c r="T5672" t="s">
        <v>27255</v>
      </c>
    </row>
    <row r="5673" spans="1:20" x14ac:dyDescent="0.3">
      <c r="A5673" t="str">
        <f>"0611862531050"</f>
        <v>0611862531050</v>
      </c>
      <c r="B5673" t="str">
        <f>"CE0430"</f>
        <v>CE0430</v>
      </c>
      <c r="C5673" t="s">
        <v>38223</v>
      </c>
      <c r="D5673" t="s">
        <v>27923</v>
      </c>
      <c r="E5673" t="str">
        <f t="shared" si="88"/>
        <v>001390</v>
      </c>
      <c r="F5673" t="s">
        <v>27246</v>
      </c>
      <c r="G5673" t="s">
        <v>27247</v>
      </c>
      <c r="H5673" t="s">
        <v>27248</v>
      </c>
      <c r="I5673" t="s">
        <v>38224</v>
      </c>
      <c r="J5673" t="s">
        <v>11323</v>
      </c>
      <c r="L5673" t="s">
        <v>27250</v>
      </c>
      <c r="M5673" t="s">
        <v>27251</v>
      </c>
      <c r="N5673" t="s">
        <v>27252</v>
      </c>
      <c r="P5673" t="s">
        <v>27925</v>
      </c>
      <c r="Q5673" s="1">
        <v>44846</v>
      </c>
      <c r="R5673" t="s">
        <v>27253</v>
      </c>
      <c r="S5673" t="s">
        <v>27254</v>
      </c>
      <c r="T5673" t="s">
        <v>27265</v>
      </c>
    </row>
    <row r="5674" spans="1:20" x14ac:dyDescent="0.3">
      <c r="A5674" t="str">
        <f>"0611834966025"</f>
        <v>0611834966025</v>
      </c>
      <c r="B5674" t="str">
        <f>"MQ0236"</f>
        <v>MQ0236</v>
      </c>
      <c r="C5674" t="s">
        <v>38225</v>
      </c>
      <c r="D5674" t="s">
        <v>27267</v>
      </c>
      <c r="E5674" t="str">
        <f t="shared" si="88"/>
        <v>001390</v>
      </c>
      <c r="F5674" t="s">
        <v>27246</v>
      </c>
      <c r="G5674" t="s">
        <v>27247</v>
      </c>
      <c r="H5674" t="s">
        <v>27248</v>
      </c>
      <c r="I5674" t="s">
        <v>38226</v>
      </c>
      <c r="J5674" t="s">
        <v>11325</v>
      </c>
      <c r="L5674" t="s">
        <v>27250</v>
      </c>
      <c r="M5674" t="s">
        <v>27251</v>
      </c>
      <c r="N5674" t="s">
        <v>27252</v>
      </c>
      <c r="Q5674" s="1">
        <v>44538</v>
      </c>
      <c r="R5674" t="s">
        <v>27253</v>
      </c>
      <c r="S5674" t="s">
        <v>27254</v>
      </c>
      <c r="T5674" t="s">
        <v>27269</v>
      </c>
    </row>
    <row r="5675" spans="1:20" x14ac:dyDescent="0.3">
      <c r="A5675" t="str">
        <f>"0611884247025"</f>
        <v>0611884247025</v>
      </c>
      <c r="B5675" t="str">
        <f>"MQ0235"</f>
        <v>MQ0235</v>
      </c>
      <c r="C5675" t="s">
        <v>38227</v>
      </c>
      <c r="D5675" t="s">
        <v>27267</v>
      </c>
      <c r="E5675" t="str">
        <f t="shared" si="88"/>
        <v>001390</v>
      </c>
      <c r="F5675" t="s">
        <v>27246</v>
      </c>
      <c r="G5675" t="s">
        <v>27247</v>
      </c>
      <c r="H5675" t="s">
        <v>27248</v>
      </c>
      <c r="I5675" t="s">
        <v>38228</v>
      </c>
      <c r="J5675" t="s">
        <v>11327</v>
      </c>
      <c r="L5675" t="s">
        <v>27430</v>
      </c>
      <c r="M5675" t="s">
        <v>27251</v>
      </c>
      <c r="N5675" t="s">
        <v>27252</v>
      </c>
      <c r="Q5675" s="1">
        <v>45250</v>
      </c>
      <c r="R5675" t="s">
        <v>27253</v>
      </c>
      <c r="S5675" t="s">
        <v>27254</v>
      </c>
      <c r="T5675" t="s">
        <v>27269</v>
      </c>
    </row>
    <row r="5676" spans="1:20" x14ac:dyDescent="0.3">
      <c r="A5676" t="str">
        <f>"0611834981025"</f>
        <v>0611834981025</v>
      </c>
      <c r="B5676" t="str">
        <f>"MC1199"</f>
        <v>MC1199</v>
      </c>
      <c r="C5676" t="s">
        <v>38229</v>
      </c>
      <c r="D5676" t="s">
        <v>27267</v>
      </c>
      <c r="E5676" t="str">
        <f t="shared" si="88"/>
        <v>001390</v>
      </c>
      <c r="F5676" t="s">
        <v>27246</v>
      </c>
      <c r="G5676" t="s">
        <v>27247</v>
      </c>
      <c r="H5676" t="s">
        <v>27248</v>
      </c>
      <c r="I5676" t="s">
        <v>38230</v>
      </c>
      <c r="J5676" t="s">
        <v>11329</v>
      </c>
      <c r="L5676" t="s">
        <v>27250</v>
      </c>
      <c r="M5676" t="s">
        <v>27251</v>
      </c>
      <c r="N5676" t="s">
        <v>27252</v>
      </c>
      <c r="O5676">
        <v>25</v>
      </c>
      <c r="Q5676" s="1">
        <v>44538</v>
      </c>
      <c r="R5676" t="s">
        <v>27253</v>
      </c>
      <c r="S5676" t="s">
        <v>27254</v>
      </c>
      <c r="T5676" t="s">
        <v>27269</v>
      </c>
    </row>
    <row r="5677" spans="1:20" x14ac:dyDescent="0.3">
      <c r="A5677" t="str">
        <f>"0611834982025"</f>
        <v>0611834982025</v>
      </c>
      <c r="B5677" t="str">
        <f>"MC2721"</f>
        <v>MC2721</v>
      </c>
      <c r="C5677" t="s">
        <v>38231</v>
      </c>
      <c r="D5677" t="s">
        <v>27267</v>
      </c>
      <c r="E5677" t="str">
        <f t="shared" si="88"/>
        <v>001390</v>
      </c>
      <c r="F5677" t="s">
        <v>27246</v>
      </c>
      <c r="G5677" t="s">
        <v>27247</v>
      </c>
      <c r="H5677" t="s">
        <v>27248</v>
      </c>
      <c r="I5677" t="s">
        <v>38232</v>
      </c>
      <c r="J5677" t="s">
        <v>11331</v>
      </c>
      <c r="L5677" t="s">
        <v>27250</v>
      </c>
      <c r="M5677" t="s">
        <v>27251</v>
      </c>
      <c r="N5677" t="s">
        <v>27252</v>
      </c>
      <c r="Q5677" s="1">
        <v>44538</v>
      </c>
      <c r="R5677" t="s">
        <v>27253</v>
      </c>
      <c r="S5677" t="s">
        <v>27254</v>
      </c>
      <c r="T5677" t="s">
        <v>27269</v>
      </c>
    </row>
    <row r="5678" spans="1:20" x14ac:dyDescent="0.3">
      <c r="A5678" t="str">
        <f>"0611834999100"</f>
        <v>0611834999100</v>
      </c>
      <c r="B5678" t="str">
        <f>"LF3250"</f>
        <v>LF3250</v>
      </c>
      <c r="C5678" t="s">
        <v>38233</v>
      </c>
      <c r="D5678" t="s">
        <v>27245</v>
      </c>
      <c r="E5678" t="str">
        <f t="shared" si="88"/>
        <v>001390</v>
      </c>
      <c r="F5678" t="s">
        <v>27246</v>
      </c>
      <c r="G5678" t="s">
        <v>27247</v>
      </c>
      <c r="H5678" t="s">
        <v>27248</v>
      </c>
      <c r="I5678" t="s">
        <v>38234</v>
      </c>
      <c r="J5678" t="s">
        <v>11333</v>
      </c>
      <c r="L5678" t="s">
        <v>27250</v>
      </c>
      <c r="M5678" t="s">
        <v>27251</v>
      </c>
      <c r="N5678" t="s">
        <v>27252</v>
      </c>
      <c r="Q5678" s="1">
        <v>44538</v>
      </c>
      <c r="R5678" t="s">
        <v>27253</v>
      </c>
      <c r="S5678" t="s">
        <v>27254</v>
      </c>
      <c r="T5678" t="s">
        <v>27255</v>
      </c>
    </row>
    <row r="5679" spans="1:20" x14ac:dyDescent="0.3">
      <c r="A5679" t="str">
        <f>"0611835000025"</f>
        <v>0611835000025</v>
      </c>
      <c r="B5679" t="str">
        <f>"MC3891"</f>
        <v>MC3891</v>
      </c>
      <c r="C5679" t="s">
        <v>38235</v>
      </c>
      <c r="D5679" t="s">
        <v>27267</v>
      </c>
      <c r="E5679" t="str">
        <f t="shared" si="88"/>
        <v>001390</v>
      </c>
      <c r="F5679" t="s">
        <v>27246</v>
      </c>
      <c r="G5679" t="s">
        <v>27247</v>
      </c>
      <c r="H5679" t="s">
        <v>27248</v>
      </c>
      <c r="I5679" t="s">
        <v>38236</v>
      </c>
      <c r="J5679" t="s">
        <v>11335</v>
      </c>
      <c r="L5679" t="s">
        <v>27250</v>
      </c>
      <c r="M5679" t="s">
        <v>27251</v>
      </c>
      <c r="N5679" t="s">
        <v>27252</v>
      </c>
      <c r="Q5679" s="1">
        <v>44538</v>
      </c>
      <c r="R5679" t="s">
        <v>27253</v>
      </c>
      <c r="S5679" t="s">
        <v>27254</v>
      </c>
      <c r="T5679" t="s">
        <v>27269</v>
      </c>
    </row>
    <row r="5680" spans="1:20" x14ac:dyDescent="0.3">
      <c r="A5680" t="str">
        <f>"0611835003025"</f>
        <v>0611835003025</v>
      </c>
      <c r="B5680" t="str">
        <f>"MC0869"</f>
        <v>MC0869</v>
      </c>
      <c r="C5680" t="s">
        <v>38237</v>
      </c>
      <c r="D5680" t="s">
        <v>27267</v>
      </c>
      <c r="E5680" t="str">
        <f t="shared" si="88"/>
        <v>001390</v>
      </c>
      <c r="F5680" t="s">
        <v>27246</v>
      </c>
      <c r="G5680" t="s">
        <v>27247</v>
      </c>
      <c r="H5680" t="s">
        <v>27248</v>
      </c>
      <c r="I5680" t="s">
        <v>38238</v>
      </c>
      <c r="J5680" t="s">
        <v>11337</v>
      </c>
      <c r="L5680" t="s">
        <v>27250</v>
      </c>
      <c r="M5680" t="s">
        <v>27251</v>
      </c>
      <c r="N5680" t="s">
        <v>27252</v>
      </c>
      <c r="Q5680" s="1">
        <v>44538</v>
      </c>
      <c r="R5680" t="s">
        <v>27253</v>
      </c>
      <c r="S5680" t="s">
        <v>27254</v>
      </c>
      <c r="T5680" t="s">
        <v>27269</v>
      </c>
    </row>
    <row r="5681" spans="1:20" x14ac:dyDescent="0.3">
      <c r="A5681" t="str">
        <f>"0611835004025"</f>
        <v>0611835004025</v>
      </c>
      <c r="B5681" t="str">
        <f>"MC0343"</f>
        <v>MC0343</v>
      </c>
      <c r="C5681" t="s">
        <v>38239</v>
      </c>
      <c r="D5681" t="s">
        <v>27267</v>
      </c>
      <c r="E5681" t="str">
        <f t="shared" si="88"/>
        <v>001390</v>
      </c>
      <c r="F5681" t="s">
        <v>27246</v>
      </c>
      <c r="G5681" t="s">
        <v>27247</v>
      </c>
      <c r="H5681" t="s">
        <v>27248</v>
      </c>
      <c r="I5681" t="s">
        <v>38240</v>
      </c>
      <c r="J5681" t="s">
        <v>11339</v>
      </c>
      <c r="L5681" t="s">
        <v>27250</v>
      </c>
      <c r="M5681" t="s">
        <v>27251</v>
      </c>
      <c r="N5681" t="s">
        <v>27252</v>
      </c>
      <c r="Q5681" s="1">
        <v>44538</v>
      </c>
      <c r="R5681" t="s">
        <v>27253</v>
      </c>
      <c r="S5681" t="s">
        <v>27254</v>
      </c>
      <c r="T5681" t="s">
        <v>27269</v>
      </c>
    </row>
    <row r="5682" spans="1:20" x14ac:dyDescent="0.3">
      <c r="A5682" t="str">
        <f>"0611835005025"</f>
        <v>0611835005025</v>
      </c>
      <c r="B5682" t="str">
        <f>"MC1951"</f>
        <v>MC1951</v>
      </c>
      <c r="C5682" t="s">
        <v>38241</v>
      </c>
      <c r="D5682" t="s">
        <v>27267</v>
      </c>
      <c r="E5682" t="str">
        <f t="shared" si="88"/>
        <v>001390</v>
      </c>
      <c r="F5682" t="s">
        <v>27246</v>
      </c>
      <c r="G5682" t="s">
        <v>27247</v>
      </c>
      <c r="H5682" t="s">
        <v>27248</v>
      </c>
      <c r="I5682" t="s">
        <v>38242</v>
      </c>
      <c r="J5682" t="s">
        <v>11341</v>
      </c>
      <c r="L5682" t="s">
        <v>27250</v>
      </c>
      <c r="M5682" t="s">
        <v>27251</v>
      </c>
      <c r="N5682" t="s">
        <v>27252</v>
      </c>
      <c r="Q5682" s="1">
        <v>44538</v>
      </c>
      <c r="R5682" t="s">
        <v>27253</v>
      </c>
      <c r="S5682" t="s">
        <v>27254</v>
      </c>
      <c r="T5682" t="s">
        <v>27269</v>
      </c>
    </row>
    <row r="5683" spans="1:20" x14ac:dyDescent="0.3">
      <c r="A5683" t="str">
        <f>"0611835006025"</f>
        <v>0611835006025</v>
      </c>
      <c r="B5683" t="str">
        <f>"MC1551"</f>
        <v>MC1551</v>
      </c>
      <c r="C5683" t="s">
        <v>38243</v>
      </c>
      <c r="D5683" t="s">
        <v>27267</v>
      </c>
      <c r="E5683" t="str">
        <f t="shared" si="88"/>
        <v>001390</v>
      </c>
      <c r="F5683" t="s">
        <v>27246</v>
      </c>
      <c r="G5683" t="s">
        <v>27247</v>
      </c>
      <c r="H5683" t="s">
        <v>27248</v>
      </c>
      <c r="I5683" t="s">
        <v>38244</v>
      </c>
      <c r="J5683" t="s">
        <v>11343</v>
      </c>
      <c r="L5683" t="s">
        <v>27250</v>
      </c>
      <c r="M5683" t="s">
        <v>27251</v>
      </c>
      <c r="N5683" t="s">
        <v>27252</v>
      </c>
      <c r="Q5683" s="1">
        <v>44538</v>
      </c>
      <c r="R5683" t="s">
        <v>27253</v>
      </c>
      <c r="S5683" t="s">
        <v>27254</v>
      </c>
      <c r="T5683" t="s">
        <v>27269</v>
      </c>
    </row>
    <row r="5684" spans="1:20" x14ac:dyDescent="0.3">
      <c r="A5684" t="str">
        <f>"0611835007025"</f>
        <v>0611835007025</v>
      </c>
      <c r="B5684" t="str">
        <f>"MC1955"</f>
        <v>MC1955</v>
      </c>
      <c r="C5684" t="s">
        <v>38245</v>
      </c>
      <c r="D5684" t="s">
        <v>27267</v>
      </c>
      <c r="E5684" t="str">
        <f t="shared" si="88"/>
        <v>001390</v>
      </c>
      <c r="F5684" t="s">
        <v>27246</v>
      </c>
      <c r="G5684" t="s">
        <v>27247</v>
      </c>
      <c r="H5684" t="s">
        <v>27248</v>
      </c>
      <c r="I5684" t="s">
        <v>38246</v>
      </c>
      <c r="J5684" t="s">
        <v>11345</v>
      </c>
      <c r="L5684" t="s">
        <v>27250</v>
      </c>
      <c r="M5684" t="s">
        <v>27251</v>
      </c>
      <c r="N5684" t="s">
        <v>27252</v>
      </c>
      <c r="Q5684" s="1">
        <v>44538</v>
      </c>
      <c r="R5684" t="s">
        <v>27253</v>
      </c>
      <c r="S5684" t="s">
        <v>27254</v>
      </c>
      <c r="T5684" t="s">
        <v>27269</v>
      </c>
    </row>
    <row r="5685" spans="1:20" x14ac:dyDescent="0.3">
      <c r="A5685" t="str">
        <f>"0611835008025"</f>
        <v>0611835008025</v>
      </c>
      <c r="B5685" t="str">
        <f>"MC1458"</f>
        <v>MC1458</v>
      </c>
      <c r="C5685" t="s">
        <v>38247</v>
      </c>
      <c r="D5685" t="s">
        <v>27267</v>
      </c>
      <c r="E5685" t="str">
        <f t="shared" si="88"/>
        <v>001390</v>
      </c>
      <c r="F5685" t="s">
        <v>27246</v>
      </c>
      <c r="G5685" t="s">
        <v>27247</v>
      </c>
      <c r="H5685" t="s">
        <v>27248</v>
      </c>
      <c r="I5685" t="s">
        <v>38248</v>
      </c>
      <c r="J5685" t="s">
        <v>11347</v>
      </c>
      <c r="L5685" t="s">
        <v>27250</v>
      </c>
      <c r="M5685" t="s">
        <v>27251</v>
      </c>
      <c r="N5685" t="s">
        <v>27252</v>
      </c>
      <c r="Q5685" s="1">
        <v>44538</v>
      </c>
      <c r="R5685" t="s">
        <v>27253</v>
      </c>
      <c r="S5685" t="s">
        <v>27254</v>
      </c>
      <c r="T5685" t="s">
        <v>27269</v>
      </c>
    </row>
    <row r="5686" spans="1:20" x14ac:dyDescent="0.3">
      <c r="A5686" t="str">
        <f>"0611835009025"</f>
        <v>0611835009025</v>
      </c>
      <c r="B5686" t="str">
        <f>"MC3595"</f>
        <v>MC3595</v>
      </c>
      <c r="C5686" t="s">
        <v>38249</v>
      </c>
      <c r="D5686" t="s">
        <v>27267</v>
      </c>
      <c r="E5686" t="str">
        <f t="shared" si="88"/>
        <v>001390</v>
      </c>
      <c r="F5686" t="s">
        <v>27246</v>
      </c>
      <c r="G5686" t="s">
        <v>27247</v>
      </c>
      <c r="H5686" t="s">
        <v>27248</v>
      </c>
      <c r="I5686" t="s">
        <v>38250</v>
      </c>
      <c r="J5686" t="s">
        <v>11349</v>
      </c>
      <c r="L5686" t="s">
        <v>27250</v>
      </c>
      <c r="M5686" t="s">
        <v>27251</v>
      </c>
      <c r="N5686" t="s">
        <v>27252</v>
      </c>
      <c r="Q5686" s="1">
        <v>44538</v>
      </c>
      <c r="R5686" t="s">
        <v>27253</v>
      </c>
      <c r="S5686" t="s">
        <v>27254</v>
      </c>
      <c r="T5686" t="s">
        <v>27269</v>
      </c>
    </row>
    <row r="5687" spans="1:20" x14ac:dyDescent="0.3">
      <c r="A5687" t="str">
        <f>"0611835010025"</f>
        <v>0611835010025</v>
      </c>
      <c r="B5687" t="str">
        <f>"MC0357"</f>
        <v>MC0357</v>
      </c>
      <c r="C5687" t="s">
        <v>38251</v>
      </c>
      <c r="D5687" t="s">
        <v>27267</v>
      </c>
      <c r="E5687" t="str">
        <f t="shared" si="88"/>
        <v>001390</v>
      </c>
      <c r="F5687" t="s">
        <v>27246</v>
      </c>
      <c r="G5687" t="s">
        <v>27247</v>
      </c>
      <c r="H5687" t="s">
        <v>27248</v>
      </c>
      <c r="I5687" t="s">
        <v>38252</v>
      </c>
      <c r="J5687" t="s">
        <v>11351</v>
      </c>
      <c r="L5687" t="s">
        <v>27250</v>
      </c>
      <c r="M5687" t="s">
        <v>27251</v>
      </c>
      <c r="N5687" t="s">
        <v>27252</v>
      </c>
      <c r="Q5687" s="1">
        <v>44538</v>
      </c>
      <c r="R5687" t="s">
        <v>27253</v>
      </c>
      <c r="S5687" t="s">
        <v>27254</v>
      </c>
      <c r="T5687" t="s">
        <v>27269</v>
      </c>
    </row>
    <row r="5688" spans="1:20" x14ac:dyDescent="0.3">
      <c r="A5688" t="str">
        <f>"0611835012100"</f>
        <v>0611835012100</v>
      </c>
      <c r="B5688" t="str">
        <f>"LF3260"</f>
        <v>LF3260</v>
      </c>
      <c r="C5688" t="s">
        <v>38253</v>
      </c>
      <c r="D5688" t="s">
        <v>27245</v>
      </c>
      <c r="E5688" t="str">
        <f t="shared" si="88"/>
        <v>001390</v>
      </c>
      <c r="F5688" t="s">
        <v>27246</v>
      </c>
      <c r="G5688" t="s">
        <v>27247</v>
      </c>
      <c r="H5688" t="s">
        <v>27248</v>
      </c>
      <c r="I5688" t="s">
        <v>38254</v>
      </c>
      <c r="J5688" t="s">
        <v>11353</v>
      </c>
      <c r="L5688" t="s">
        <v>27250</v>
      </c>
      <c r="M5688" t="s">
        <v>27251</v>
      </c>
      <c r="N5688" t="s">
        <v>27252</v>
      </c>
      <c r="Q5688" s="1">
        <v>44538</v>
      </c>
      <c r="R5688" t="s">
        <v>27253</v>
      </c>
      <c r="S5688" t="s">
        <v>27254</v>
      </c>
      <c r="T5688" t="s">
        <v>27255</v>
      </c>
    </row>
    <row r="5689" spans="1:20" x14ac:dyDescent="0.3">
      <c r="A5689" t="str">
        <f>"0611835013100"</f>
        <v>0611835013100</v>
      </c>
      <c r="B5689" t="str">
        <f>"LK5004"</f>
        <v>LK5004</v>
      </c>
      <c r="C5689" t="s">
        <v>38255</v>
      </c>
      <c r="D5689" t="s">
        <v>27245</v>
      </c>
      <c r="E5689" t="str">
        <f t="shared" si="88"/>
        <v>001390</v>
      </c>
      <c r="F5689" t="s">
        <v>27246</v>
      </c>
      <c r="G5689" t="s">
        <v>27247</v>
      </c>
      <c r="H5689" t="s">
        <v>27248</v>
      </c>
      <c r="I5689" t="s">
        <v>38256</v>
      </c>
      <c r="J5689" t="s">
        <v>11355</v>
      </c>
      <c r="L5689" t="s">
        <v>27250</v>
      </c>
      <c r="M5689" t="s">
        <v>27251</v>
      </c>
      <c r="N5689" t="s">
        <v>27252</v>
      </c>
      <c r="Q5689" s="1">
        <v>44538</v>
      </c>
      <c r="R5689" t="s">
        <v>27253</v>
      </c>
      <c r="S5689" t="s">
        <v>27254</v>
      </c>
      <c r="T5689" t="s">
        <v>27255</v>
      </c>
    </row>
    <row r="5690" spans="1:20" x14ac:dyDescent="0.3">
      <c r="A5690" t="str">
        <f>"0611835026100"</f>
        <v>0611835026100</v>
      </c>
      <c r="B5690" t="str">
        <f>"LC5000"</f>
        <v>LC5000</v>
      </c>
      <c r="C5690" t="s">
        <v>38257</v>
      </c>
      <c r="D5690" t="s">
        <v>27245</v>
      </c>
      <c r="E5690" t="str">
        <f t="shared" si="88"/>
        <v>001390</v>
      </c>
      <c r="F5690" t="s">
        <v>27246</v>
      </c>
      <c r="G5690" t="s">
        <v>27247</v>
      </c>
      <c r="H5690" t="s">
        <v>27248</v>
      </c>
      <c r="I5690" t="s">
        <v>38258</v>
      </c>
      <c r="J5690" t="s">
        <v>11361</v>
      </c>
      <c r="L5690" t="s">
        <v>27250</v>
      </c>
      <c r="M5690" t="s">
        <v>27251</v>
      </c>
      <c r="N5690" t="s">
        <v>27252</v>
      </c>
      <c r="Q5690" s="1">
        <v>44538</v>
      </c>
      <c r="R5690" t="s">
        <v>27253</v>
      </c>
      <c r="S5690" t="s">
        <v>27254</v>
      </c>
      <c r="T5690" t="s">
        <v>27255</v>
      </c>
    </row>
    <row r="5691" spans="1:20" x14ac:dyDescent="0.3">
      <c r="A5691" t="str">
        <f>"0611862571100"</f>
        <v>0611862571100</v>
      </c>
      <c r="B5691" t="str">
        <f>"CN5408"</f>
        <v>CN5408</v>
      </c>
      <c r="C5691" t="s">
        <v>38259</v>
      </c>
      <c r="D5691" t="s">
        <v>27335</v>
      </c>
      <c r="E5691" t="str">
        <f t="shared" si="88"/>
        <v>001390</v>
      </c>
      <c r="F5691" t="s">
        <v>27246</v>
      </c>
      <c r="G5691" t="s">
        <v>27247</v>
      </c>
      <c r="H5691" t="s">
        <v>27248</v>
      </c>
      <c r="I5691" t="s">
        <v>38260</v>
      </c>
      <c r="J5691" t="s">
        <v>24305</v>
      </c>
      <c r="L5691" t="s">
        <v>27250</v>
      </c>
      <c r="M5691" t="s">
        <v>27251</v>
      </c>
      <c r="N5691" t="s">
        <v>27252</v>
      </c>
      <c r="Q5691" s="1">
        <v>44846</v>
      </c>
      <c r="R5691" t="s">
        <v>27253</v>
      </c>
      <c r="S5691" t="s">
        <v>27254</v>
      </c>
      <c r="T5691" t="s">
        <v>27255</v>
      </c>
    </row>
    <row r="5692" spans="1:20" x14ac:dyDescent="0.3">
      <c r="A5692" t="str">
        <f>"0611835206025"</f>
        <v>0611835206025</v>
      </c>
      <c r="B5692" t="str">
        <f>"MQ0712"</f>
        <v>MQ0712</v>
      </c>
      <c r="C5692" t="s">
        <v>38261</v>
      </c>
      <c r="D5692" t="s">
        <v>27267</v>
      </c>
      <c r="E5692" t="str">
        <f t="shared" si="88"/>
        <v>001390</v>
      </c>
      <c r="F5692" t="s">
        <v>27246</v>
      </c>
      <c r="G5692" t="s">
        <v>27247</v>
      </c>
      <c r="H5692" t="s">
        <v>27248</v>
      </c>
      <c r="I5692" t="s">
        <v>38262</v>
      </c>
      <c r="J5692" t="s">
        <v>11369</v>
      </c>
      <c r="L5692" t="s">
        <v>27250</v>
      </c>
      <c r="M5692" t="s">
        <v>27251</v>
      </c>
      <c r="N5692" t="s">
        <v>27252</v>
      </c>
      <c r="Q5692" s="1">
        <v>44538</v>
      </c>
      <c r="R5692" t="s">
        <v>27253</v>
      </c>
      <c r="S5692" t="s">
        <v>27254</v>
      </c>
      <c r="T5692" t="s">
        <v>27269</v>
      </c>
    </row>
    <row r="5693" spans="1:20" x14ac:dyDescent="0.3">
      <c r="A5693" t="str">
        <f>"0611856981025"</f>
        <v>0611856981025</v>
      </c>
      <c r="B5693" t="str">
        <f>"MQ0786"</f>
        <v>MQ0786</v>
      </c>
      <c r="C5693" t="s">
        <v>38263</v>
      </c>
      <c r="D5693" t="s">
        <v>27267</v>
      </c>
      <c r="E5693" t="str">
        <f t="shared" si="88"/>
        <v>001390</v>
      </c>
      <c r="F5693" t="s">
        <v>27246</v>
      </c>
      <c r="G5693" t="s">
        <v>27247</v>
      </c>
      <c r="H5693" t="s">
        <v>27248</v>
      </c>
      <c r="I5693" t="s">
        <v>38264</v>
      </c>
      <c r="J5693" t="s">
        <v>11371</v>
      </c>
      <c r="L5693" t="s">
        <v>27250</v>
      </c>
      <c r="M5693" t="s">
        <v>27251</v>
      </c>
      <c r="N5693" t="s">
        <v>27252</v>
      </c>
      <c r="Q5693" s="1">
        <v>44812</v>
      </c>
      <c r="R5693" t="s">
        <v>27253</v>
      </c>
      <c r="S5693" t="s">
        <v>27254</v>
      </c>
      <c r="T5693" t="s">
        <v>27269</v>
      </c>
    </row>
    <row r="5694" spans="1:20" x14ac:dyDescent="0.3">
      <c r="A5694" t="str">
        <f>"0611835207025"</f>
        <v>0611835207025</v>
      </c>
      <c r="B5694" t="str">
        <f>"MC4212"</f>
        <v>MC4212</v>
      </c>
      <c r="C5694" t="s">
        <v>38265</v>
      </c>
      <c r="D5694" t="s">
        <v>27267</v>
      </c>
      <c r="E5694" t="str">
        <f t="shared" si="88"/>
        <v>001390</v>
      </c>
      <c r="F5694" t="s">
        <v>27246</v>
      </c>
      <c r="G5694" t="s">
        <v>27247</v>
      </c>
      <c r="H5694" t="s">
        <v>27248</v>
      </c>
      <c r="I5694" t="s">
        <v>38266</v>
      </c>
      <c r="J5694" t="s">
        <v>11373</v>
      </c>
      <c r="L5694" t="s">
        <v>27250</v>
      </c>
      <c r="M5694" t="s">
        <v>27251</v>
      </c>
      <c r="N5694" t="s">
        <v>27252</v>
      </c>
      <c r="Q5694" s="1">
        <v>44538</v>
      </c>
      <c r="R5694" t="s">
        <v>27253</v>
      </c>
      <c r="S5694" t="s">
        <v>27254</v>
      </c>
      <c r="T5694" t="s">
        <v>27269</v>
      </c>
    </row>
    <row r="5695" spans="1:20" x14ac:dyDescent="0.3">
      <c r="A5695" t="str">
        <f>"0611835209100"</f>
        <v>0611835209100</v>
      </c>
      <c r="B5695" t="str">
        <f>"LH4571"</f>
        <v>LH4571</v>
      </c>
      <c r="C5695" t="s">
        <v>38267</v>
      </c>
      <c r="D5695" t="s">
        <v>27245</v>
      </c>
      <c r="E5695" t="str">
        <f t="shared" si="88"/>
        <v>001390</v>
      </c>
      <c r="F5695" t="s">
        <v>27246</v>
      </c>
      <c r="G5695" t="s">
        <v>27247</v>
      </c>
      <c r="H5695" t="s">
        <v>27248</v>
      </c>
      <c r="I5695" t="s">
        <v>38268</v>
      </c>
      <c r="J5695" t="s">
        <v>11375</v>
      </c>
      <c r="L5695" t="s">
        <v>27250</v>
      </c>
      <c r="M5695" t="s">
        <v>27251</v>
      </c>
      <c r="N5695" t="s">
        <v>27252</v>
      </c>
      <c r="Q5695" s="1">
        <v>44538</v>
      </c>
      <c r="R5695" t="s">
        <v>27253</v>
      </c>
      <c r="S5695" t="s">
        <v>27254</v>
      </c>
      <c r="T5695" t="s">
        <v>27255</v>
      </c>
    </row>
    <row r="5696" spans="1:20" x14ac:dyDescent="0.3">
      <c r="A5696" t="str">
        <f>"0611835210025"</f>
        <v>0611835210025</v>
      </c>
      <c r="B5696" t="str">
        <f>"MC0368"</f>
        <v>MC0368</v>
      </c>
      <c r="C5696" t="s">
        <v>38267</v>
      </c>
      <c r="D5696" t="s">
        <v>27267</v>
      </c>
      <c r="E5696" t="str">
        <f t="shared" si="88"/>
        <v>001390</v>
      </c>
      <c r="F5696" t="s">
        <v>27246</v>
      </c>
      <c r="G5696" t="s">
        <v>27247</v>
      </c>
      <c r="H5696" t="s">
        <v>27248</v>
      </c>
      <c r="I5696" t="s">
        <v>38269</v>
      </c>
      <c r="J5696" t="s">
        <v>11377</v>
      </c>
      <c r="L5696" t="s">
        <v>27250</v>
      </c>
      <c r="M5696" t="s">
        <v>27251</v>
      </c>
      <c r="N5696" t="s">
        <v>27252</v>
      </c>
      <c r="Q5696" s="1">
        <v>44538</v>
      </c>
      <c r="R5696" t="s">
        <v>27253</v>
      </c>
      <c r="S5696" t="s">
        <v>27254</v>
      </c>
      <c r="T5696" t="s">
        <v>27269</v>
      </c>
    </row>
    <row r="5697" spans="1:20" x14ac:dyDescent="0.3">
      <c r="A5697" t="str">
        <f>"0611835212025"</f>
        <v>0611835212025</v>
      </c>
      <c r="B5697" t="str">
        <f>"MC4213"</f>
        <v>MC4213</v>
      </c>
      <c r="C5697" t="s">
        <v>38270</v>
      </c>
      <c r="D5697" t="s">
        <v>27267</v>
      </c>
      <c r="E5697" t="str">
        <f t="shared" si="88"/>
        <v>001390</v>
      </c>
      <c r="F5697" t="s">
        <v>27246</v>
      </c>
      <c r="G5697" t="s">
        <v>27247</v>
      </c>
      <c r="H5697" t="s">
        <v>27248</v>
      </c>
      <c r="I5697" t="s">
        <v>38271</v>
      </c>
      <c r="J5697" t="s">
        <v>11379</v>
      </c>
      <c r="L5697" t="s">
        <v>27250</v>
      </c>
      <c r="M5697" t="s">
        <v>27251</v>
      </c>
      <c r="N5697" t="s">
        <v>27252</v>
      </c>
      <c r="Q5697" s="1">
        <v>44538</v>
      </c>
      <c r="R5697" t="s">
        <v>27253</v>
      </c>
      <c r="S5697" t="s">
        <v>27254</v>
      </c>
      <c r="T5697" t="s">
        <v>27269</v>
      </c>
    </row>
    <row r="5698" spans="1:20" x14ac:dyDescent="0.3">
      <c r="A5698" t="str">
        <f>"0611835213025"</f>
        <v>0611835213025</v>
      </c>
      <c r="B5698" t="str">
        <f>"MQ3154"</f>
        <v>MQ3154</v>
      </c>
      <c r="C5698" t="s">
        <v>38272</v>
      </c>
      <c r="D5698" t="s">
        <v>27267</v>
      </c>
      <c r="E5698" t="str">
        <f t="shared" ref="E5698:E5761" si="89">"001390"</f>
        <v>001390</v>
      </c>
      <c r="F5698" t="s">
        <v>27246</v>
      </c>
      <c r="G5698" t="s">
        <v>27247</v>
      </c>
      <c r="H5698" t="s">
        <v>27248</v>
      </c>
      <c r="I5698" t="s">
        <v>38273</v>
      </c>
      <c r="J5698" t="s">
        <v>11381</v>
      </c>
      <c r="L5698" t="s">
        <v>27250</v>
      </c>
      <c r="M5698" t="s">
        <v>27251</v>
      </c>
      <c r="N5698" t="s">
        <v>27252</v>
      </c>
      <c r="Q5698" s="1">
        <v>44538</v>
      </c>
      <c r="R5698" t="s">
        <v>27253</v>
      </c>
      <c r="S5698" t="s">
        <v>27254</v>
      </c>
      <c r="T5698" t="s">
        <v>27269</v>
      </c>
    </row>
    <row r="5699" spans="1:20" x14ac:dyDescent="0.3">
      <c r="A5699" t="str">
        <f>"0611835214025"</f>
        <v>0611835214025</v>
      </c>
      <c r="B5699" t="str">
        <f>"MQ0713"</f>
        <v>MQ0713</v>
      </c>
      <c r="C5699" t="s">
        <v>38274</v>
      </c>
      <c r="D5699" t="s">
        <v>27267</v>
      </c>
      <c r="E5699" t="str">
        <f t="shared" si="89"/>
        <v>001390</v>
      </c>
      <c r="F5699" t="s">
        <v>27246</v>
      </c>
      <c r="G5699" t="s">
        <v>27247</v>
      </c>
      <c r="H5699" t="s">
        <v>27248</v>
      </c>
      <c r="I5699" t="s">
        <v>38275</v>
      </c>
      <c r="J5699" t="s">
        <v>11383</v>
      </c>
      <c r="L5699" t="s">
        <v>27250</v>
      </c>
      <c r="M5699" t="s">
        <v>27251</v>
      </c>
      <c r="N5699" t="s">
        <v>27252</v>
      </c>
      <c r="Q5699" s="1">
        <v>44538</v>
      </c>
      <c r="R5699" t="s">
        <v>27253</v>
      </c>
      <c r="S5699" t="s">
        <v>27254</v>
      </c>
      <c r="T5699" t="s">
        <v>27269</v>
      </c>
    </row>
    <row r="5700" spans="1:20" x14ac:dyDescent="0.3">
      <c r="A5700" t="str">
        <f>"0611835217025"</f>
        <v>0611835217025</v>
      </c>
      <c r="B5700" t="str">
        <f>"MQ3155"</f>
        <v>MQ3155</v>
      </c>
      <c r="C5700" t="s">
        <v>38276</v>
      </c>
      <c r="D5700" t="s">
        <v>27267</v>
      </c>
      <c r="E5700" t="str">
        <f t="shared" si="89"/>
        <v>001390</v>
      </c>
      <c r="F5700" t="s">
        <v>27246</v>
      </c>
      <c r="G5700" t="s">
        <v>27247</v>
      </c>
      <c r="H5700" t="s">
        <v>27248</v>
      </c>
      <c r="I5700" t="s">
        <v>38277</v>
      </c>
      <c r="J5700" t="s">
        <v>11385</v>
      </c>
      <c r="L5700" t="s">
        <v>27250</v>
      </c>
      <c r="M5700" t="s">
        <v>27251</v>
      </c>
      <c r="N5700" t="s">
        <v>27252</v>
      </c>
      <c r="Q5700" s="1">
        <v>44538</v>
      </c>
      <c r="R5700" t="s">
        <v>27253</v>
      </c>
      <c r="S5700" t="s">
        <v>27254</v>
      </c>
      <c r="T5700" t="s">
        <v>27269</v>
      </c>
    </row>
    <row r="5701" spans="1:20" x14ac:dyDescent="0.3">
      <c r="A5701" t="str">
        <f>"0611835216025"</f>
        <v>0611835216025</v>
      </c>
      <c r="B5701" t="str">
        <f>"MQ0714"</f>
        <v>MQ0714</v>
      </c>
      <c r="C5701" t="s">
        <v>38278</v>
      </c>
      <c r="D5701" t="s">
        <v>27267</v>
      </c>
      <c r="E5701" t="str">
        <f t="shared" si="89"/>
        <v>001390</v>
      </c>
      <c r="F5701" t="s">
        <v>27246</v>
      </c>
      <c r="G5701" t="s">
        <v>27247</v>
      </c>
      <c r="H5701" t="s">
        <v>27248</v>
      </c>
      <c r="I5701" t="s">
        <v>38279</v>
      </c>
      <c r="J5701" t="s">
        <v>11387</v>
      </c>
      <c r="L5701" t="s">
        <v>27250</v>
      </c>
      <c r="M5701" t="s">
        <v>27251</v>
      </c>
      <c r="N5701" t="s">
        <v>27252</v>
      </c>
      <c r="Q5701" s="1">
        <v>44538</v>
      </c>
      <c r="R5701" t="s">
        <v>27253</v>
      </c>
      <c r="S5701" t="s">
        <v>27254</v>
      </c>
      <c r="T5701" t="s">
        <v>27269</v>
      </c>
    </row>
    <row r="5702" spans="1:20" x14ac:dyDescent="0.3">
      <c r="A5702" t="str">
        <f>"0611835218025"</f>
        <v>0611835218025</v>
      </c>
      <c r="B5702" t="str">
        <f>"MQ3156"</f>
        <v>MQ3156</v>
      </c>
      <c r="C5702" t="s">
        <v>38280</v>
      </c>
      <c r="D5702" t="s">
        <v>27267</v>
      </c>
      <c r="E5702" t="str">
        <f t="shared" si="89"/>
        <v>001390</v>
      </c>
      <c r="F5702" t="s">
        <v>27246</v>
      </c>
      <c r="G5702" t="s">
        <v>27247</v>
      </c>
      <c r="H5702" t="s">
        <v>27248</v>
      </c>
      <c r="I5702" t="s">
        <v>38281</v>
      </c>
      <c r="J5702" t="s">
        <v>11389</v>
      </c>
      <c r="L5702" t="s">
        <v>27250</v>
      </c>
      <c r="M5702" t="s">
        <v>27251</v>
      </c>
      <c r="N5702" t="s">
        <v>27252</v>
      </c>
      <c r="Q5702" s="1">
        <v>44538</v>
      </c>
      <c r="R5702" t="s">
        <v>27253</v>
      </c>
      <c r="S5702" t="s">
        <v>27254</v>
      </c>
      <c r="T5702" t="s">
        <v>27269</v>
      </c>
    </row>
    <row r="5703" spans="1:20" x14ac:dyDescent="0.3">
      <c r="A5703" t="str">
        <f>"0611835215025"</f>
        <v>0611835215025</v>
      </c>
      <c r="B5703" t="str">
        <f>"MQ3157"</f>
        <v>MQ3157</v>
      </c>
      <c r="C5703" t="s">
        <v>38282</v>
      </c>
      <c r="D5703" t="s">
        <v>27267</v>
      </c>
      <c r="E5703" t="str">
        <f t="shared" si="89"/>
        <v>001390</v>
      </c>
      <c r="F5703" t="s">
        <v>27246</v>
      </c>
      <c r="G5703" t="s">
        <v>27247</v>
      </c>
      <c r="H5703" t="s">
        <v>27248</v>
      </c>
      <c r="I5703" t="s">
        <v>38283</v>
      </c>
      <c r="J5703" t="s">
        <v>11391</v>
      </c>
      <c r="L5703" t="s">
        <v>27250</v>
      </c>
      <c r="M5703" t="s">
        <v>27251</v>
      </c>
      <c r="N5703" t="s">
        <v>27252</v>
      </c>
      <c r="Q5703" s="1">
        <v>44538</v>
      </c>
      <c r="R5703" t="s">
        <v>27253</v>
      </c>
      <c r="S5703" t="s">
        <v>27254</v>
      </c>
      <c r="T5703" t="s">
        <v>27269</v>
      </c>
    </row>
    <row r="5704" spans="1:20" x14ac:dyDescent="0.3">
      <c r="A5704" t="str">
        <f>"0611835219025"</f>
        <v>0611835219025</v>
      </c>
      <c r="B5704" t="str">
        <f>"MQ3158"</f>
        <v>MQ3158</v>
      </c>
      <c r="C5704" t="s">
        <v>38284</v>
      </c>
      <c r="D5704" t="s">
        <v>27267</v>
      </c>
      <c r="E5704" t="str">
        <f t="shared" si="89"/>
        <v>001390</v>
      </c>
      <c r="F5704" t="s">
        <v>27246</v>
      </c>
      <c r="G5704" t="s">
        <v>27247</v>
      </c>
      <c r="H5704" t="s">
        <v>27248</v>
      </c>
      <c r="I5704" t="s">
        <v>38285</v>
      </c>
      <c r="J5704" t="s">
        <v>11393</v>
      </c>
      <c r="L5704" t="s">
        <v>27250</v>
      </c>
      <c r="M5704" t="s">
        <v>27251</v>
      </c>
      <c r="N5704" t="s">
        <v>27252</v>
      </c>
      <c r="Q5704" s="1">
        <v>44538</v>
      </c>
      <c r="R5704" t="s">
        <v>27253</v>
      </c>
      <c r="S5704" t="s">
        <v>27254</v>
      </c>
      <c r="T5704" t="s">
        <v>27269</v>
      </c>
    </row>
    <row r="5705" spans="1:20" x14ac:dyDescent="0.3">
      <c r="A5705" t="str">
        <f>"0611835220025"</f>
        <v>0611835220025</v>
      </c>
      <c r="B5705" t="str">
        <f>"MQ3159"</f>
        <v>MQ3159</v>
      </c>
      <c r="C5705" t="s">
        <v>38286</v>
      </c>
      <c r="D5705" t="s">
        <v>27267</v>
      </c>
      <c r="E5705" t="str">
        <f t="shared" si="89"/>
        <v>001390</v>
      </c>
      <c r="F5705" t="s">
        <v>27246</v>
      </c>
      <c r="G5705" t="s">
        <v>27247</v>
      </c>
      <c r="H5705" t="s">
        <v>27248</v>
      </c>
      <c r="I5705" t="s">
        <v>38287</v>
      </c>
      <c r="J5705" t="s">
        <v>11395</v>
      </c>
      <c r="L5705" t="s">
        <v>27250</v>
      </c>
      <c r="M5705" t="s">
        <v>27251</v>
      </c>
      <c r="N5705" t="s">
        <v>27252</v>
      </c>
      <c r="Q5705" s="1">
        <v>44538</v>
      </c>
      <c r="R5705" t="s">
        <v>27253</v>
      </c>
      <c r="S5705" t="s">
        <v>27254</v>
      </c>
      <c r="T5705" t="s">
        <v>27269</v>
      </c>
    </row>
    <row r="5706" spans="1:20" x14ac:dyDescent="0.3">
      <c r="A5706" t="str">
        <f>"0611835221025"</f>
        <v>0611835221025</v>
      </c>
      <c r="B5706" t="str">
        <f>"MQ3160"</f>
        <v>MQ3160</v>
      </c>
      <c r="C5706" t="s">
        <v>38288</v>
      </c>
      <c r="D5706" t="s">
        <v>27267</v>
      </c>
      <c r="E5706" t="str">
        <f t="shared" si="89"/>
        <v>001390</v>
      </c>
      <c r="F5706" t="s">
        <v>27246</v>
      </c>
      <c r="G5706" t="s">
        <v>27247</v>
      </c>
      <c r="H5706" t="s">
        <v>27248</v>
      </c>
      <c r="I5706" t="s">
        <v>38289</v>
      </c>
      <c r="J5706" t="s">
        <v>11397</v>
      </c>
      <c r="L5706" t="s">
        <v>27250</v>
      </c>
      <c r="M5706" t="s">
        <v>27251</v>
      </c>
      <c r="N5706" t="s">
        <v>27252</v>
      </c>
      <c r="Q5706" s="1">
        <v>44538</v>
      </c>
      <c r="R5706" t="s">
        <v>27253</v>
      </c>
      <c r="S5706" t="s">
        <v>27254</v>
      </c>
      <c r="T5706" t="s">
        <v>27269</v>
      </c>
    </row>
    <row r="5707" spans="1:20" x14ac:dyDescent="0.3">
      <c r="A5707" t="str">
        <f>"0611835222025"</f>
        <v>0611835222025</v>
      </c>
      <c r="B5707" t="str">
        <f>"MQ3161"</f>
        <v>MQ3161</v>
      </c>
      <c r="C5707" t="s">
        <v>38290</v>
      </c>
      <c r="D5707" t="s">
        <v>27267</v>
      </c>
      <c r="E5707" t="str">
        <f t="shared" si="89"/>
        <v>001390</v>
      </c>
      <c r="F5707" t="s">
        <v>27246</v>
      </c>
      <c r="G5707" t="s">
        <v>27247</v>
      </c>
      <c r="H5707" t="s">
        <v>27248</v>
      </c>
      <c r="I5707" t="s">
        <v>38291</v>
      </c>
      <c r="J5707" t="s">
        <v>11399</v>
      </c>
      <c r="L5707" t="s">
        <v>27250</v>
      </c>
      <c r="M5707" t="s">
        <v>27251</v>
      </c>
      <c r="N5707" t="s">
        <v>27252</v>
      </c>
      <c r="Q5707" s="1">
        <v>44538</v>
      </c>
      <c r="R5707" t="s">
        <v>27253</v>
      </c>
      <c r="S5707" t="s">
        <v>27254</v>
      </c>
      <c r="T5707" t="s">
        <v>27269</v>
      </c>
    </row>
    <row r="5708" spans="1:20" x14ac:dyDescent="0.3">
      <c r="A5708" t="str">
        <f>"0611835223025"</f>
        <v>0611835223025</v>
      </c>
      <c r="B5708" t="str">
        <f>"MQ3162"</f>
        <v>MQ3162</v>
      </c>
      <c r="C5708" t="s">
        <v>38292</v>
      </c>
      <c r="D5708" t="s">
        <v>27267</v>
      </c>
      <c r="E5708" t="str">
        <f t="shared" si="89"/>
        <v>001390</v>
      </c>
      <c r="F5708" t="s">
        <v>27246</v>
      </c>
      <c r="G5708" t="s">
        <v>27247</v>
      </c>
      <c r="H5708" t="s">
        <v>27248</v>
      </c>
      <c r="I5708" t="s">
        <v>38293</v>
      </c>
      <c r="J5708" t="s">
        <v>11401</v>
      </c>
      <c r="L5708" t="s">
        <v>27250</v>
      </c>
      <c r="M5708" t="s">
        <v>27251</v>
      </c>
      <c r="N5708" t="s">
        <v>27252</v>
      </c>
      <c r="Q5708" s="1">
        <v>44538</v>
      </c>
      <c r="R5708" t="s">
        <v>27253</v>
      </c>
      <c r="S5708" t="s">
        <v>27254</v>
      </c>
      <c r="T5708" t="s">
        <v>27269</v>
      </c>
    </row>
    <row r="5709" spans="1:20" x14ac:dyDescent="0.3">
      <c r="A5709" t="str">
        <f>"0611835224025"</f>
        <v>0611835224025</v>
      </c>
      <c r="B5709" t="str">
        <f>"MQ3164"</f>
        <v>MQ3164</v>
      </c>
      <c r="C5709" t="s">
        <v>38294</v>
      </c>
      <c r="D5709" t="s">
        <v>27267</v>
      </c>
      <c r="E5709" t="str">
        <f t="shared" si="89"/>
        <v>001390</v>
      </c>
      <c r="F5709" t="s">
        <v>27246</v>
      </c>
      <c r="G5709" t="s">
        <v>27247</v>
      </c>
      <c r="H5709" t="s">
        <v>27248</v>
      </c>
      <c r="I5709" t="s">
        <v>38295</v>
      </c>
      <c r="J5709" t="s">
        <v>11403</v>
      </c>
      <c r="L5709" t="s">
        <v>27250</v>
      </c>
      <c r="M5709" t="s">
        <v>27251</v>
      </c>
      <c r="N5709" t="s">
        <v>27252</v>
      </c>
      <c r="Q5709" s="1">
        <v>44538</v>
      </c>
      <c r="R5709" t="s">
        <v>27253</v>
      </c>
      <c r="S5709" t="s">
        <v>27254</v>
      </c>
      <c r="T5709" t="s">
        <v>27269</v>
      </c>
    </row>
    <row r="5710" spans="1:20" x14ac:dyDescent="0.3">
      <c r="A5710" t="str">
        <f>"0611835228100"</f>
        <v>0611835228100</v>
      </c>
      <c r="B5710" t="str">
        <f>"LH4575"</f>
        <v>LH4575</v>
      </c>
      <c r="C5710" t="s">
        <v>38296</v>
      </c>
      <c r="D5710" t="s">
        <v>27245</v>
      </c>
      <c r="E5710" t="str">
        <f t="shared" si="89"/>
        <v>001390</v>
      </c>
      <c r="F5710" t="s">
        <v>27246</v>
      </c>
      <c r="G5710" t="s">
        <v>27247</v>
      </c>
      <c r="H5710" t="s">
        <v>27248</v>
      </c>
      <c r="I5710" t="s">
        <v>38297</v>
      </c>
      <c r="J5710" t="s">
        <v>11405</v>
      </c>
      <c r="L5710" t="s">
        <v>27250</v>
      </c>
      <c r="M5710" t="s">
        <v>27251</v>
      </c>
      <c r="N5710" t="s">
        <v>27252</v>
      </c>
      <c r="Q5710" s="1">
        <v>44538</v>
      </c>
      <c r="R5710" t="s">
        <v>27253</v>
      </c>
      <c r="S5710" t="s">
        <v>27254</v>
      </c>
      <c r="T5710" t="s">
        <v>27255</v>
      </c>
    </row>
    <row r="5711" spans="1:20" x14ac:dyDescent="0.3">
      <c r="A5711" t="str">
        <f>"0611835229025"</f>
        <v>0611835229025</v>
      </c>
      <c r="B5711" t="str">
        <f>"MC3737"</f>
        <v>MC3737</v>
      </c>
      <c r="C5711" t="s">
        <v>38296</v>
      </c>
      <c r="D5711" t="s">
        <v>27267</v>
      </c>
      <c r="E5711" t="str">
        <f t="shared" si="89"/>
        <v>001390</v>
      </c>
      <c r="F5711" t="s">
        <v>27246</v>
      </c>
      <c r="G5711" t="s">
        <v>27247</v>
      </c>
      <c r="H5711" t="s">
        <v>27248</v>
      </c>
      <c r="I5711" t="s">
        <v>38298</v>
      </c>
      <c r="J5711" t="s">
        <v>11407</v>
      </c>
      <c r="L5711" t="s">
        <v>27250</v>
      </c>
      <c r="M5711" t="s">
        <v>27251</v>
      </c>
      <c r="N5711" t="s">
        <v>27252</v>
      </c>
      <c r="Q5711" s="1">
        <v>44538</v>
      </c>
      <c r="R5711" t="s">
        <v>27253</v>
      </c>
      <c r="S5711" t="s">
        <v>27254</v>
      </c>
      <c r="T5711" t="s">
        <v>27269</v>
      </c>
    </row>
    <row r="5712" spans="1:20" x14ac:dyDescent="0.3">
      <c r="A5712" t="str">
        <f>"0611835230025"</f>
        <v>0611835230025</v>
      </c>
      <c r="B5712" t="str">
        <f>"MC3354"</f>
        <v>MC3354</v>
      </c>
      <c r="C5712" t="s">
        <v>38299</v>
      </c>
      <c r="D5712" t="s">
        <v>28057</v>
      </c>
      <c r="E5712" t="str">
        <f t="shared" si="89"/>
        <v>001390</v>
      </c>
      <c r="F5712" t="s">
        <v>27246</v>
      </c>
      <c r="G5712" t="s">
        <v>27247</v>
      </c>
      <c r="H5712" t="s">
        <v>27248</v>
      </c>
      <c r="I5712" t="s">
        <v>38300</v>
      </c>
      <c r="J5712" t="s">
        <v>11409</v>
      </c>
      <c r="L5712" t="s">
        <v>27250</v>
      </c>
      <c r="M5712" t="s">
        <v>27251</v>
      </c>
      <c r="N5712" t="s">
        <v>27252</v>
      </c>
      <c r="P5712" t="s">
        <v>27925</v>
      </c>
      <c r="Q5712" s="1">
        <v>44538</v>
      </c>
      <c r="R5712" t="s">
        <v>27253</v>
      </c>
      <c r="S5712" t="s">
        <v>27254</v>
      </c>
      <c r="T5712" t="s">
        <v>27269</v>
      </c>
    </row>
    <row r="5713" spans="1:20" x14ac:dyDescent="0.3">
      <c r="A5713" t="str">
        <f>"0611835231025"</f>
        <v>0611835231025</v>
      </c>
      <c r="B5713" t="str">
        <f>"MC0877"</f>
        <v>MC0877</v>
      </c>
      <c r="C5713" t="s">
        <v>38301</v>
      </c>
      <c r="D5713" t="s">
        <v>27267</v>
      </c>
      <c r="E5713" t="str">
        <f t="shared" si="89"/>
        <v>001390</v>
      </c>
      <c r="F5713" t="s">
        <v>27246</v>
      </c>
      <c r="G5713" t="s">
        <v>27247</v>
      </c>
      <c r="H5713" t="s">
        <v>27248</v>
      </c>
      <c r="I5713" t="s">
        <v>38302</v>
      </c>
      <c r="J5713" t="s">
        <v>11411</v>
      </c>
      <c r="L5713" t="s">
        <v>27250</v>
      </c>
      <c r="M5713" t="s">
        <v>27251</v>
      </c>
      <c r="N5713" t="s">
        <v>27252</v>
      </c>
      <c r="Q5713" s="1">
        <v>44538</v>
      </c>
      <c r="R5713" t="s">
        <v>27253</v>
      </c>
      <c r="S5713" t="s">
        <v>27254</v>
      </c>
      <c r="T5713" t="s">
        <v>27269</v>
      </c>
    </row>
    <row r="5714" spans="1:20" x14ac:dyDescent="0.3">
      <c r="A5714" t="str">
        <f>"0611835236025"</f>
        <v>0611835236025</v>
      </c>
      <c r="B5714" t="str">
        <f>"MC0371"</f>
        <v>MC0371</v>
      </c>
      <c r="C5714" t="s">
        <v>38303</v>
      </c>
      <c r="D5714" t="s">
        <v>27267</v>
      </c>
      <c r="E5714" t="str">
        <f t="shared" si="89"/>
        <v>001390</v>
      </c>
      <c r="F5714" t="s">
        <v>27246</v>
      </c>
      <c r="G5714" t="s">
        <v>27247</v>
      </c>
      <c r="H5714" t="s">
        <v>27248</v>
      </c>
      <c r="I5714" t="s">
        <v>38304</v>
      </c>
      <c r="J5714" t="s">
        <v>11413</v>
      </c>
      <c r="L5714" t="s">
        <v>27250</v>
      </c>
      <c r="M5714" t="s">
        <v>27251</v>
      </c>
      <c r="N5714" t="s">
        <v>27252</v>
      </c>
      <c r="Q5714" s="1">
        <v>44538</v>
      </c>
      <c r="R5714" t="s">
        <v>27253</v>
      </c>
      <c r="S5714" t="s">
        <v>27254</v>
      </c>
      <c r="T5714" t="s">
        <v>27269</v>
      </c>
    </row>
    <row r="5715" spans="1:20" x14ac:dyDescent="0.3">
      <c r="A5715" t="str">
        <f>"0611835237025"</f>
        <v>0611835237025</v>
      </c>
      <c r="B5715" t="str">
        <f>"MQ0281"</f>
        <v>MQ0281</v>
      </c>
      <c r="C5715" t="s">
        <v>38305</v>
      </c>
      <c r="D5715" t="s">
        <v>27267</v>
      </c>
      <c r="E5715" t="str">
        <f t="shared" si="89"/>
        <v>001390</v>
      </c>
      <c r="F5715" t="s">
        <v>27246</v>
      </c>
      <c r="G5715" t="s">
        <v>27247</v>
      </c>
      <c r="H5715" t="s">
        <v>27248</v>
      </c>
      <c r="I5715" t="s">
        <v>38306</v>
      </c>
      <c r="J5715" t="s">
        <v>11415</v>
      </c>
      <c r="L5715" t="s">
        <v>27250</v>
      </c>
      <c r="M5715" t="s">
        <v>27251</v>
      </c>
      <c r="N5715" t="s">
        <v>27252</v>
      </c>
      <c r="Q5715" s="1">
        <v>44538</v>
      </c>
      <c r="R5715" t="s">
        <v>27253</v>
      </c>
      <c r="S5715" t="s">
        <v>27254</v>
      </c>
      <c r="T5715" t="s">
        <v>27269</v>
      </c>
    </row>
    <row r="5716" spans="1:20" x14ac:dyDescent="0.3">
      <c r="A5716" t="str">
        <f>"0611856982025"</f>
        <v>0611856982025</v>
      </c>
      <c r="B5716" t="str">
        <f>"MC4414"</f>
        <v>MC4414</v>
      </c>
      <c r="C5716" t="s">
        <v>38307</v>
      </c>
      <c r="D5716" t="s">
        <v>27267</v>
      </c>
      <c r="E5716" t="str">
        <f t="shared" si="89"/>
        <v>001390</v>
      </c>
      <c r="F5716" t="s">
        <v>27246</v>
      </c>
      <c r="G5716" t="s">
        <v>27247</v>
      </c>
      <c r="H5716" t="s">
        <v>27248</v>
      </c>
      <c r="I5716" t="s">
        <v>38308</v>
      </c>
      <c r="J5716" t="s">
        <v>11417</v>
      </c>
      <c r="L5716" t="s">
        <v>27250</v>
      </c>
      <c r="M5716" t="s">
        <v>27251</v>
      </c>
      <c r="N5716" t="s">
        <v>27252</v>
      </c>
      <c r="Q5716" s="1">
        <v>44812</v>
      </c>
      <c r="R5716" t="s">
        <v>27253</v>
      </c>
      <c r="S5716" t="s">
        <v>27254</v>
      </c>
      <c r="T5716" t="s">
        <v>27269</v>
      </c>
    </row>
    <row r="5717" spans="1:20" x14ac:dyDescent="0.3">
      <c r="A5717" t="str">
        <f>"0611835238025"</f>
        <v>0611835238025</v>
      </c>
      <c r="B5717" t="str">
        <f>"MQ0506"</f>
        <v>MQ0506</v>
      </c>
      <c r="C5717" t="s">
        <v>38309</v>
      </c>
      <c r="D5717" t="s">
        <v>27267</v>
      </c>
      <c r="E5717" t="str">
        <f t="shared" si="89"/>
        <v>001390</v>
      </c>
      <c r="F5717" t="s">
        <v>27246</v>
      </c>
      <c r="G5717" t="s">
        <v>27247</v>
      </c>
      <c r="H5717" t="s">
        <v>27248</v>
      </c>
      <c r="I5717" t="s">
        <v>38310</v>
      </c>
      <c r="J5717" t="s">
        <v>11419</v>
      </c>
      <c r="L5717" t="s">
        <v>27250</v>
      </c>
      <c r="M5717" t="s">
        <v>27251</v>
      </c>
      <c r="N5717" t="s">
        <v>27252</v>
      </c>
      <c r="Q5717" s="1">
        <v>44538</v>
      </c>
      <c r="R5717" t="s">
        <v>27253</v>
      </c>
      <c r="S5717" t="s">
        <v>27254</v>
      </c>
      <c r="T5717" t="s">
        <v>27269</v>
      </c>
    </row>
    <row r="5718" spans="1:20" x14ac:dyDescent="0.3">
      <c r="A5718" t="str">
        <f>"0611835240025"</f>
        <v>0611835240025</v>
      </c>
      <c r="B5718" t="str">
        <f>"MQ0292"</f>
        <v>MQ0292</v>
      </c>
      <c r="C5718" t="s">
        <v>38311</v>
      </c>
      <c r="D5718" t="s">
        <v>27267</v>
      </c>
      <c r="E5718" t="str">
        <f t="shared" si="89"/>
        <v>001390</v>
      </c>
      <c r="F5718" t="s">
        <v>27246</v>
      </c>
      <c r="G5718" t="s">
        <v>27247</v>
      </c>
      <c r="H5718" t="s">
        <v>27248</v>
      </c>
      <c r="I5718" t="s">
        <v>38312</v>
      </c>
      <c r="J5718" t="s">
        <v>11421</v>
      </c>
      <c r="L5718" t="s">
        <v>27250</v>
      </c>
      <c r="M5718" t="s">
        <v>27251</v>
      </c>
      <c r="N5718" t="s">
        <v>27252</v>
      </c>
      <c r="Q5718" s="1">
        <v>44538</v>
      </c>
      <c r="R5718" t="s">
        <v>27253</v>
      </c>
      <c r="S5718" t="s">
        <v>27254</v>
      </c>
      <c r="T5718" t="s">
        <v>27269</v>
      </c>
    </row>
    <row r="5719" spans="1:20" x14ac:dyDescent="0.3">
      <c r="A5719" t="str">
        <f>"0611835241025"</f>
        <v>0611835241025</v>
      </c>
      <c r="B5719" t="str">
        <f>"MQ5120"</f>
        <v>MQ5120</v>
      </c>
      <c r="C5719" t="s">
        <v>38313</v>
      </c>
      <c r="D5719" t="s">
        <v>27267</v>
      </c>
      <c r="E5719" t="str">
        <f t="shared" si="89"/>
        <v>001390</v>
      </c>
      <c r="F5719" t="s">
        <v>27246</v>
      </c>
      <c r="G5719" t="s">
        <v>27247</v>
      </c>
      <c r="H5719" t="s">
        <v>27248</v>
      </c>
      <c r="I5719" t="s">
        <v>38314</v>
      </c>
      <c r="J5719" t="s">
        <v>11423</v>
      </c>
      <c r="L5719" t="s">
        <v>27250</v>
      </c>
      <c r="M5719" t="s">
        <v>27251</v>
      </c>
      <c r="N5719" t="s">
        <v>27252</v>
      </c>
      <c r="Q5719" s="1">
        <v>44538</v>
      </c>
      <c r="R5719" t="s">
        <v>27253</v>
      </c>
      <c r="S5719" t="s">
        <v>27254</v>
      </c>
      <c r="T5719" t="s">
        <v>27269</v>
      </c>
    </row>
    <row r="5720" spans="1:20" x14ac:dyDescent="0.3">
      <c r="A5720" t="str">
        <f>"0611835244025"</f>
        <v>0611835244025</v>
      </c>
      <c r="B5720" t="str">
        <f>"MQ0283"</f>
        <v>MQ0283</v>
      </c>
      <c r="C5720" t="s">
        <v>38315</v>
      </c>
      <c r="D5720" t="s">
        <v>27267</v>
      </c>
      <c r="E5720" t="str">
        <f t="shared" si="89"/>
        <v>001390</v>
      </c>
      <c r="F5720" t="s">
        <v>27246</v>
      </c>
      <c r="G5720" t="s">
        <v>27247</v>
      </c>
      <c r="H5720" t="s">
        <v>27248</v>
      </c>
      <c r="I5720" t="s">
        <v>38316</v>
      </c>
      <c r="J5720" t="s">
        <v>11425</v>
      </c>
      <c r="L5720" t="s">
        <v>27250</v>
      </c>
      <c r="M5720" t="s">
        <v>27251</v>
      </c>
      <c r="N5720" t="s">
        <v>27252</v>
      </c>
      <c r="Q5720" s="1">
        <v>44538</v>
      </c>
      <c r="R5720" t="s">
        <v>27253</v>
      </c>
      <c r="S5720" t="s">
        <v>27254</v>
      </c>
      <c r="T5720" t="s">
        <v>27269</v>
      </c>
    </row>
    <row r="5721" spans="1:20" x14ac:dyDescent="0.3">
      <c r="A5721" t="str">
        <f>"0611835245025"</f>
        <v>0611835245025</v>
      </c>
      <c r="B5721" t="str">
        <f>"MC3356"</f>
        <v>MC3356</v>
      </c>
      <c r="C5721" t="s">
        <v>38317</v>
      </c>
      <c r="D5721" t="s">
        <v>28057</v>
      </c>
      <c r="E5721" t="str">
        <f t="shared" si="89"/>
        <v>001390</v>
      </c>
      <c r="F5721" t="s">
        <v>27246</v>
      </c>
      <c r="G5721" t="s">
        <v>27247</v>
      </c>
      <c r="H5721" t="s">
        <v>27248</v>
      </c>
      <c r="I5721" t="s">
        <v>38318</v>
      </c>
      <c r="J5721" t="s">
        <v>11427</v>
      </c>
      <c r="L5721" t="s">
        <v>27250</v>
      </c>
      <c r="M5721" t="s">
        <v>27251</v>
      </c>
      <c r="N5721" t="s">
        <v>27252</v>
      </c>
      <c r="P5721" t="s">
        <v>27925</v>
      </c>
      <c r="Q5721" s="1">
        <v>44538</v>
      </c>
      <c r="R5721" t="s">
        <v>27253</v>
      </c>
      <c r="S5721" t="s">
        <v>27254</v>
      </c>
      <c r="T5721" t="s">
        <v>27269</v>
      </c>
    </row>
    <row r="5722" spans="1:20" x14ac:dyDescent="0.3">
      <c r="A5722" t="str">
        <f>"0611835246025"</f>
        <v>0611835246025</v>
      </c>
      <c r="B5722" t="str">
        <f>"MC4290"</f>
        <v>MC4290</v>
      </c>
      <c r="C5722" t="s">
        <v>38319</v>
      </c>
      <c r="D5722" t="s">
        <v>28057</v>
      </c>
      <c r="E5722" t="str">
        <f t="shared" si="89"/>
        <v>001390</v>
      </c>
      <c r="F5722" t="s">
        <v>27246</v>
      </c>
      <c r="G5722" t="s">
        <v>27247</v>
      </c>
      <c r="H5722" t="s">
        <v>27248</v>
      </c>
      <c r="I5722" t="s">
        <v>38320</v>
      </c>
      <c r="J5722" t="s">
        <v>11429</v>
      </c>
      <c r="L5722" t="s">
        <v>27250</v>
      </c>
      <c r="M5722" t="s">
        <v>27251</v>
      </c>
      <c r="N5722" t="s">
        <v>27252</v>
      </c>
      <c r="P5722" t="s">
        <v>27925</v>
      </c>
      <c r="Q5722" s="1">
        <v>44538</v>
      </c>
      <c r="R5722" t="s">
        <v>27253</v>
      </c>
      <c r="S5722" t="s">
        <v>27254</v>
      </c>
      <c r="T5722" t="s">
        <v>27269</v>
      </c>
    </row>
    <row r="5723" spans="1:20" x14ac:dyDescent="0.3">
      <c r="A5723" t="str">
        <f>"0611835247025"</f>
        <v>0611835247025</v>
      </c>
      <c r="B5723" t="str">
        <f>"MQ0284"</f>
        <v>MQ0284</v>
      </c>
      <c r="C5723" t="s">
        <v>38321</v>
      </c>
      <c r="D5723" t="s">
        <v>27267</v>
      </c>
      <c r="E5723" t="str">
        <f t="shared" si="89"/>
        <v>001390</v>
      </c>
      <c r="F5723" t="s">
        <v>27246</v>
      </c>
      <c r="G5723" t="s">
        <v>27247</v>
      </c>
      <c r="H5723" t="s">
        <v>27248</v>
      </c>
      <c r="I5723" t="s">
        <v>38322</v>
      </c>
      <c r="J5723" t="s">
        <v>11431</v>
      </c>
      <c r="L5723" t="s">
        <v>27250</v>
      </c>
      <c r="M5723" t="s">
        <v>27251</v>
      </c>
      <c r="N5723" t="s">
        <v>27252</v>
      </c>
      <c r="Q5723" s="1">
        <v>44538</v>
      </c>
      <c r="R5723" t="s">
        <v>27253</v>
      </c>
      <c r="S5723" t="s">
        <v>27254</v>
      </c>
      <c r="T5723" t="s">
        <v>27269</v>
      </c>
    </row>
    <row r="5724" spans="1:20" x14ac:dyDescent="0.3">
      <c r="A5724" t="str">
        <f>"0611835248025"</f>
        <v>0611835248025</v>
      </c>
      <c r="B5724" t="str">
        <f>"MC3233"</f>
        <v>MC3233</v>
      </c>
      <c r="C5724" t="s">
        <v>38323</v>
      </c>
      <c r="D5724" t="s">
        <v>27267</v>
      </c>
      <c r="E5724" t="str">
        <f t="shared" si="89"/>
        <v>001390</v>
      </c>
      <c r="F5724" t="s">
        <v>27246</v>
      </c>
      <c r="G5724" t="s">
        <v>27247</v>
      </c>
      <c r="H5724" t="s">
        <v>27248</v>
      </c>
      <c r="I5724" t="s">
        <v>38324</v>
      </c>
      <c r="J5724" t="s">
        <v>11433</v>
      </c>
      <c r="L5724" t="s">
        <v>27250</v>
      </c>
      <c r="M5724" t="s">
        <v>27251</v>
      </c>
      <c r="N5724" t="s">
        <v>27252</v>
      </c>
      <c r="Q5724" s="1">
        <v>44538</v>
      </c>
      <c r="R5724" t="s">
        <v>27253</v>
      </c>
      <c r="S5724" t="s">
        <v>27254</v>
      </c>
      <c r="T5724" t="s">
        <v>27269</v>
      </c>
    </row>
    <row r="5725" spans="1:20" x14ac:dyDescent="0.3">
      <c r="A5725" t="str">
        <f>"0611835249025"</f>
        <v>0611835249025</v>
      </c>
      <c r="B5725" t="str">
        <f>"MQ3053"</f>
        <v>MQ3053</v>
      </c>
      <c r="C5725" t="s">
        <v>38325</v>
      </c>
      <c r="D5725" t="s">
        <v>27267</v>
      </c>
      <c r="E5725" t="str">
        <f t="shared" si="89"/>
        <v>001390</v>
      </c>
      <c r="F5725" t="s">
        <v>27246</v>
      </c>
      <c r="G5725" t="s">
        <v>27247</v>
      </c>
      <c r="H5725" t="s">
        <v>27248</v>
      </c>
      <c r="I5725" t="s">
        <v>38326</v>
      </c>
      <c r="J5725" t="s">
        <v>11435</v>
      </c>
      <c r="L5725" t="s">
        <v>27250</v>
      </c>
      <c r="M5725" t="s">
        <v>27251</v>
      </c>
      <c r="N5725" t="s">
        <v>27252</v>
      </c>
      <c r="Q5725" s="1">
        <v>44538</v>
      </c>
      <c r="R5725" t="s">
        <v>27253</v>
      </c>
      <c r="S5725" t="s">
        <v>27254</v>
      </c>
      <c r="T5725" t="s">
        <v>27269</v>
      </c>
    </row>
    <row r="5726" spans="1:20" x14ac:dyDescent="0.3">
      <c r="A5726" t="str">
        <f>"0611835250025"</f>
        <v>0611835250025</v>
      </c>
      <c r="B5726" t="str">
        <f>"MQ3031"</f>
        <v>MQ3031</v>
      </c>
      <c r="C5726" t="s">
        <v>38327</v>
      </c>
      <c r="D5726" t="s">
        <v>27267</v>
      </c>
      <c r="E5726" t="str">
        <f t="shared" si="89"/>
        <v>001390</v>
      </c>
      <c r="F5726" t="s">
        <v>27246</v>
      </c>
      <c r="G5726" t="s">
        <v>27247</v>
      </c>
      <c r="H5726" t="s">
        <v>27248</v>
      </c>
      <c r="I5726" t="s">
        <v>38328</v>
      </c>
      <c r="J5726" t="s">
        <v>11437</v>
      </c>
      <c r="L5726" t="s">
        <v>27250</v>
      </c>
      <c r="M5726" t="s">
        <v>27251</v>
      </c>
      <c r="N5726" t="s">
        <v>27252</v>
      </c>
      <c r="Q5726" s="1">
        <v>44538</v>
      </c>
      <c r="R5726" t="s">
        <v>27253</v>
      </c>
      <c r="S5726" t="s">
        <v>27254</v>
      </c>
      <c r="T5726" t="s">
        <v>27269</v>
      </c>
    </row>
    <row r="5727" spans="1:20" x14ac:dyDescent="0.3">
      <c r="A5727" t="str">
        <f>"0611835251100"</f>
        <v>0611835251100</v>
      </c>
      <c r="B5727" t="str">
        <f>"LH4583"</f>
        <v>LH4583</v>
      </c>
      <c r="C5727" t="s">
        <v>38329</v>
      </c>
      <c r="D5727" t="s">
        <v>27245</v>
      </c>
      <c r="E5727" t="str">
        <f t="shared" si="89"/>
        <v>001390</v>
      </c>
      <c r="F5727" t="s">
        <v>27246</v>
      </c>
      <c r="G5727" t="s">
        <v>27247</v>
      </c>
      <c r="H5727" t="s">
        <v>27248</v>
      </c>
      <c r="I5727" t="s">
        <v>38330</v>
      </c>
      <c r="J5727" t="s">
        <v>11439</v>
      </c>
      <c r="L5727" t="s">
        <v>27250</v>
      </c>
      <c r="M5727" t="s">
        <v>27251</v>
      </c>
      <c r="N5727" t="s">
        <v>27252</v>
      </c>
      <c r="Q5727" s="1">
        <v>44538</v>
      </c>
      <c r="R5727" t="s">
        <v>27253</v>
      </c>
      <c r="S5727" t="s">
        <v>27254</v>
      </c>
      <c r="T5727" t="s">
        <v>27255</v>
      </c>
    </row>
    <row r="5728" spans="1:20" x14ac:dyDescent="0.3">
      <c r="A5728" t="str">
        <f>"0611835252025"</f>
        <v>0611835252025</v>
      </c>
      <c r="B5728" t="str">
        <f>"MC0372"</f>
        <v>MC0372</v>
      </c>
      <c r="C5728" t="s">
        <v>38329</v>
      </c>
      <c r="D5728" t="s">
        <v>27267</v>
      </c>
      <c r="E5728" t="str">
        <f t="shared" si="89"/>
        <v>001390</v>
      </c>
      <c r="F5728" t="s">
        <v>27246</v>
      </c>
      <c r="G5728" t="s">
        <v>27247</v>
      </c>
      <c r="H5728" t="s">
        <v>27248</v>
      </c>
      <c r="I5728" t="s">
        <v>38331</v>
      </c>
      <c r="J5728" t="s">
        <v>11441</v>
      </c>
      <c r="L5728" t="s">
        <v>27250</v>
      </c>
      <c r="M5728" t="s">
        <v>27251</v>
      </c>
      <c r="N5728" t="s">
        <v>27252</v>
      </c>
      <c r="Q5728" s="1">
        <v>44538</v>
      </c>
      <c r="R5728" t="s">
        <v>27253</v>
      </c>
      <c r="S5728" t="s">
        <v>27254</v>
      </c>
      <c r="T5728" t="s">
        <v>27269</v>
      </c>
    </row>
    <row r="5729" spans="1:20" x14ac:dyDescent="0.3">
      <c r="A5729" t="str">
        <f>"0611835253025"</f>
        <v>0611835253025</v>
      </c>
      <c r="B5729" t="str">
        <f>"MC2462"</f>
        <v>MC2462</v>
      </c>
      <c r="C5729" t="s">
        <v>38332</v>
      </c>
      <c r="D5729" t="s">
        <v>27267</v>
      </c>
      <c r="E5729" t="str">
        <f t="shared" si="89"/>
        <v>001390</v>
      </c>
      <c r="F5729" t="s">
        <v>27246</v>
      </c>
      <c r="G5729" t="s">
        <v>27247</v>
      </c>
      <c r="H5729" t="s">
        <v>27248</v>
      </c>
      <c r="I5729" t="s">
        <v>38333</v>
      </c>
      <c r="J5729" t="s">
        <v>11443</v>
      </c>
      <c r="L5729" t="s">
        <v>27250</v>
      </c>
      <c r="M5729" t="s">
        <v>27251</v>
      </c>
      <c r="N5729" t="s">
        <v>27252</v>
      </c>
      <c r="Q5729" s="1">
        <v>44538</v>
      </c>
      <c r="R5729" t="s">
        <v>27253</v>
      </c>
      <c r="S5729" t="s">
        <v>27254</v>
      </c>
      <c r="T5729" t="s">
        <v>27269</v>
      </c>
    </row>
    <row r="5730" spans="1:20" x14ac:dyDescent="0.3">
      <c r="A5730" t="str">
        <f>"0611835255025"</f>
        <v>0611835255025</v>
      </c>
      <c r="B5730" t="str">
        <f>"MC1216"</f>
        <v>MC1216</v>
      </c>
      <c r="C5730" t="s">
        <v>38334</v>
      </c>
      <c r="D5730" t="s">
        <v>27267</v>
      </c>
      <c r="E5730" t="str">
        <f t="shared" si="89"/>
        <v>001390</v>
      </c>
      <c r="F5730" t="s">
        <v>27246</v>
      </c>
      <c r="G5730" t="s">
        <v>27247</v>
      </c>
      <c r="H5730" t="s">
        <v>27248</v>
      </c>
      <c r="I5730" t="s">
        <v>38335</v>
      </c>
      <c r="J5730" t="s">
        <v>11445</v>
      </c>
      <c r="L5730" t="s">
        <v>27250</v>
      </c>
      <c r="M5730" t="s">
        <v>27251</v>
      </c>
      <c r="N5730" t="s">
        <v>27252</v>
      </c>
      <c r="Q5730" s="1">
        <v>44538</v>
      </c>
      <c r="R5730" t="s">
        <v>27253</v>
      </c>
      <c r="S5730" t="s">
        <v>27254</v>
      </c>
      <c r="T5730" t="s">
        <v>27269</v>
      </c>
    </row>
    <row r="5731" spans="1:20" x14ac:dyDescent="0.3">
      <c r="A5731" t="str">
        <f>"0611835256025"</f>
        <v>0611835256025</v>
      </c>
      <c r="B5731" t="str">
        <f>"MC4324"</f>
        <v>MC4324</v>
      </c>
      <c r="C5731" t="s">
        <v>38336</v>
      </c>
      <c r="D5731" t="s">
        <v>27267</v>
      </c>
      <c r="E5731" t="str">
        <f t="shared" si="89"/>
        <v>001390</v>
      </c>
      <c r="F5731" t="s">
        <v>27246</v>
      </c>
      <c r="G5731" t="s">
        <v>27247</v>
      </c>
      <c r="H5731" t="s">
        <v>27248</v>
      </c>
      <c r="I5731" t="s">
        <v>38337</v>
      </c>
      <c r="J5731" t="s">
        <v>11447</v>
      </c>
      <c r="L5731" t="s">
        <v>27250</v>
      </c>
      <c r="M5731" t="s">
        <v>27251</v>
      </c>
      <c r="N5731" t="s">
        <v>27252</v>
      </c>
      <c r="Q5731" s="1">
        <v>44538</v>
      </c>
      <c r="R5731" t="s">
        <v>27253</v>
      </c>
      <c r="S5731" t="s">
        <v>27254</v>
      </c>
      <c r="T5731" t="s">
        <v>27269</v>
      </c>
    </row>
    <row r="5732" spans="1:20" x14ac:dyDescent="0.3">
      <c r="A5732" t="str">
        <f>"0611835257025"</f>
        <v>0611835257025</v>
      </c>
      <c r="B5732" t="str">
        <f>"MQ0507"</f>
        <v>MQ0507</v>
      </c>
      <c r="C5732" t="s">
        <v>38338</v>
      </c>
      <c r="D5732" t="s">
        <v>27267</v>
      </c>
      <c r="E5732" t="str">
        <f t="shared" si="89"/>
        <v>001390</v>
      </c>
      <c r="F5732" t="s">
        <v>27246</v>
      </c>
      <c r="G5732" t="s">
        <v>27247</v>
      </c>
      <c r="H5732" t="s">
        <v>27248</v>
      </c>
      <c r="I5732" t="s">
        <v>38339</v>
      </c>
      <c r="J5732" t="s">
        <v>11449</v>
      </c>
      <c r="L5732" t="s">
        <v>27250</v>
      </c>
      <c r="M5732" t="s">
        <v>27251</v>
      </c>
      <c r="N5732" t="s">
        <v>27252</v>
      </c>
      <c r="Q5732" s="1">
        <v>44538</v>
      </c>
      <c r="R5732" t="s">
        <v>27253</v>
      </c>
      <c r="S5732" t="s">
        <v>27254</v>
      </c>
      <c r="T5732" t="s">
        <v>27269</v>
      </c>
    </row>
    <row r="5733" spans="1:20" x14ac:dyDescent="0.3">
      <c r="A5733" t="str">
        <f>"0611835258025"</f>
        <v>0611835258025</v>
      </c>
      <c r="B5733" t="str">
        <f>"MC1973"</f>
        <v>MC1973</v>
      </c>
      <c r="C5733" t="s">
        <v>38340</v>
      </c>
      <c r="D5733" t="s">
        <v>27267</v>
      </c>
      <c r="E5733" t="str">
        <f t="shared" si="89"/>
        <v>001390</v>
      </c>
      <c r="F5733" t="s">
        <v>27246</v>
      </c>
      <c r="G5733" t="s">
        <v>27247</v>
      </c>
      <c r="H5733" t="s">
        <v>27248</v>
      </c>
      <c r="I5733" t="s">
        <v>38341</v>
      </c>
      <c r="J5733" t="s">
        <v>11451</v>
      </c>
      <c r="L5733" t="s">
        <v>27250</v>
      </c>
      <c r="M5733" t="s">
        <v>27251</v>
      </c>
      <c r="N5733" t="s">
        <v>27252</v>
      </c>
      <c r="Q5733" s="1">
        <v>44538</v>
      </c>
      <c r="R5733" t="s">
        <v>27253</v>
      </c>
      <c r="S5733" t="s">
        <v>27254</v>
      </c>
      <c r="T5733" t="s">
        <v>27269</v>
      </c>
    </row>
    <row r="5734" spans="1:20" x14ac:dyDescent="0.3">
      <c r="A5734" t="str">
        <f>"0611835260025"</f>
        <v>0611835260025</v>
      </c>
      <c r="B5734" t="str">
        <f>"MC1624"</f>
        <v>MC1624</v>
      </c>
      <c r="C5734" t="s">
        <v>38342</v>
      </c>
      <c r="D5734" t="s">
        <v>27267</v>
      </c>
      <c r="E5734" t="str">
        <f t="shared" si="89"/>
        <v>001390</v>
      </c>
      <c r="F5734" t="s">
        <v>27246</v>
      </c>
      <c r="G5734" t="s">
        <v>27247</v>
      </c>
      <c r="H5734" t="s">
        <v>27248</v>
      </c>
      <c r="I5734" t="s">
        <v>38343</v>
      </c>
      <c r="J5734" t="s">
        <v>11453</v>
      </c>
      <c r="L5734" t="s">
        <v>27250</v>
      </c>
      <c r="M5734" t="s">
        <v>27251</v>
      </c>
      <c r="N5734" t="s">
        <v>27252</v>
      </c>
      <c r="Q5734" s="1">
        <v>44538</v>
      </c>
      <c r="R5734" t="s">
        <v>27253</v>
      </c>
      <c r="S5734" t="s">
        <v>27254</v>
      </c>
      <c r="T5734" t="s">
        <v>27269</v>
      </c>
    </row>
    <row r="5735" spans="1:20" x14ac:dyDescent="0.3">
      <c r="A5735" t="str">
        <f>"0611835262025"</f>
        <v>0611835262025</v>
      </c>
      <c r="B5735" t="str">
        <f>"MC1218"</f>
        <v>MC1218</v>
      </c>
      <c r="C5735" t="s">
        <v>38344</v>
      </c>
      <c r="D5735" t="s">
        <v>27267</v>
      </c>
      <c r="E5735" t="str">
        <f t="shared" si="89"/>
        <v>001390</v>
      </c>
      <c r="F5735" t="s">
        <v>27246</v>
      </c>
      <c r="G5735" t="s">
        <v>27247</v>
      </c>
      <c r="H5735" t="s">
        <v>27248</v>
      </c>
      <c r="I5735" t="s">
        <v>38345</v>
      </c>
      <c r="J5735" t="s">
        <v>11455</v>
      </c>
      <c r="L5735" t="s">
        <v>27250</v>
      </c>
      <c r="M5735" t="s">
        <v>27251</v>
      </c>
      <c r="N5735" t="s">
        <v>27252</v>
      </c>
      <c r="Q5735" s="1">
        <v>44538</v>
      </c>
      <c r="R5735" t="s">
        <v>27253</v>
      </c>
      <c r="S5735" t="s">
        <v>27254</v>
      </c>
      <c r="T5735" t="s">
        <v>27269</v>
      </c>
    </row>
    <row r="5736" spans="1:20" x14ac:dyDescent="0.3">
      <c r="A5736" t="str">
        <f>"0611835204025"</f>
        <v>0611835204025</v>
      </c>
      <c r="B5736" t="str">
        <f>"MQ3057"</f>
        <v>MQ3057</v>
      </c>
      <c r="C5736" t="s">
        <v>38346</v>
      </c>
      <c r="D5736" t="s">
        <v>27267</v>
      </c>
      <c r="E5736" t="str">
        <f t="shared" si="89"/>
        <v>001390</v>
      </c>
      <c r="F5736" t="s">
        <v>27246</v>
      </c>
      <c r="G5736" t="s">
        <v>27247</v>
      </c>
      <c r="H5736" t="s">
        <v>27248</v>
      </c>
      <c r="I5736" t="s">
        <v>38347</v>
      </c>
      <c r="J5736" t="s">
        <v>11457</v>
      </c>
      <c r="L5736" t="s">
        <v>27250</v>
      </c>
      <c r="M5736" t="s">
        <v>27251</v>
      </c>
      <c r="N5736" t="s">
        <v>27252</v>
      </c>
      <c r="Q5736" s="1">
        <v>44538</v>
      </c>
      <c r="R5736" t="s">
        <v>27253</v>
      </c>
      <c r="S5736" t="s">
        <v>27254</v>
      </c>
      <c r="T5736" t="s">
        <v>27269</v>
      </c>
    </row>
    <row r="5737" spans="1:20" x14ac:dyDescent="0.3">
      <c r="A5737" t="str">
        <f>"0611835211025"</f>
        <v>0611835211025</v>
      </c>
      <c r="B5737" t="str">
        <f>"MQ3058"</f>
        <v>MQ3058</v>
      </c>
      <c r="C5737" t="s">
        <v>38348</v>
      </c>
      <c r="D5737" t="s">
        <v>27267</v>
      </c>
      <c r="E5737" t="str">
        <f t="shared" si="89"/>
        <v>001390</v>
      </c>
      <c r="F5737" t="s">
        <v>27246</v>
      </c>
      <c r="G5737" t="s">
        <v>27247</v>
      </c>
      <c r="H5737" t="s">
        <v>27248</v>
      </c>
      <c r="I5737" t="s">
        <v>38349</v>
      </c>
      <c r="J5737" t="s">
        <v>11459</v>
      </c>
      <c r="L5737" t="s">
        <v>27250</v>
      </c>
      <c r="M5737" t="s">
        <v>27251</v>
      </c>
      <c r="N5737" t="s">
        <v>27252</v>
      </c>
      <c r="Q5737" s="1">
        <v>44538</v>
      </c>
      <c r="R5737" t="s">
        <v>27253</v>
      </c>
      <c r="S5737" t="s">
        <v>27254</v>
      </c>
      <c r="T5737" t="s">
        <v>27269</v>
      </c>
    </row>
    <row r="5738" spans="1:20" x14ac:dyDescent="0.3">
      <c r="A5738" t="str">
        <f>"0611835242025"</f>
        <v>0611835242025</v>
      </c>
      <c r="B5738" t="str">
        <f>"MQ5113"</f>
        <v>MQ5113</v>
      </c>
      <c r="C5738" t="s">
        <v>38350</v>
      </c>
      <c r="D5738" t="s">
        <v>27267</v>
      </c>
      <c r="E5738" t="str">
        <f t="shared" si="89"/>
        <v>001390</v>
      </c>
      <c r="F5738" t="s">
        <v>27246</v>
      </c>
      <c r="G5738" t="s">
        <v>27247</v>
      </c>
      <c r="H5738" t="s">
        <v>27248</v>
      </c>
      <c r="I5738" t="s">
        <v>38351</v>
      </c>
      <c r="J5738" t="s">
        <v>11461</v>
      </c>
      <c r="L5738" t="s">
        <v>27250</v>
      </c>
      <c r="M5738" t="s">
        <v>27251</v>
      </c>
      <c r="N5738" t="s">
        <v>27252</v>
      </c>
      <c r="Q5738" s="1">
        <v>44538</v>
      </c>
      <c r="R5738" t="s">
        <v>27253</v>
      </c>
      <c r="S5738" t="s">
        <v>27254</v>
      </c>
      <c r="T5738" t="s">
        <v>27269</v>
      </c>
    </row>
    <row r="5739" spans="1:20" x14ac:dyDescent="0.3">
      <c r="A5739" t="str">
        <f>"0611835243025"</f>
        <v>0611835243025</v>
      </c>
      <c r="B5739" t="str">
        <f>"MQ5114"</f>
        <v>MQ5114</v>
      </c>
      <c r="C5739" t="s">
        <v>38352</v>
      </c>
      <c r="D5739" t="s">
        <v>27267</v>
      </c>
      <c r="E5739" t="str">
        <f t="shared" si="89"/>
        <v>001390</v>
      </c>
      <c r="F5739" t="s">
        <v>27246</v>
      </c>
      <c r="G5739" t="s">
        <v>27247</v>
      </c>
      <c r="H5739" t="s">
        <v>27248</v>
      </c>
      <c r="I5739" t="s">
        <v>38353</v>
      </c>
      <c r="J5739" t="s">
        <v>11463</v>
      </c>
      <c r="L5739" t="s">
        <v>27250</v>
      </c>
      <c r="M5739" t="s">
        <v>27251</v>
      </c>
      <c r="N5739" t="s">
        <v>27252</v>
      </c>
      <c r="Q5739" s="1">
        <v>44538</v>
      </c>
      <c r="R5739" t="s">
        <v>27253</v>
      </c>
      <c r="S5739" t="s">
        <v>27254</v>
      </c>
      <c r="T5739" t="s">
        <v>27269</v>
      </c>
    </row>
    <row r="5740" spans="1:20" x14ac:dyDescent="0.3">
      <c r="A5740" t="str">
        <f>"0611835265025"</f>
        <v>0611835265025</v>
      </c>
      <c r="B5740" t="str">
        <f>"MQ3060"</f>
        <v>MQ3060</v>
      </c>
      <c r="C5740" t="s">
        <v>38354</v>
      </c>
      <c r="D5740" t="s">
        <v>27267</v>
      </c>
      <c r="E5740" t="str">
        <f t="shared" si="89"/>
        <v>001390</v>
      </c>
      <c r="F5740" t="s">
        <v>27246</v>
      </c>
      <c r="G5740" t="s">
        <v>27247</v>
      </c>
      <c r="H5740" t="s">
        <v>27248</v>
      </c>
      <c r="I5740" t="s">
        <v>38355</v>
      </c>
      <c r="J5740" t="s">
        <v>11465</v>
      </c>
      <c r="L5740" t="s">
        <v>27250</v>
      </c>
      <c r="M5740" t="s">
        <v>27251</v>
      </c>
      <c r="N5740" t="s">
        <v>27252</v>
      </c>
      <c r="Q5740" s="1">
        <v>44538</v>
      </c>
      <c r="R5740" t="s">
        <v>27253</v>
      </c>
      <c r="S5740" t="s">
        <v>27254</v>
      </c>
      <c r="T5740" t="s">
        <v>27269</v>
      </c>
    </row>
    <row r="5741" spans="1:20" x14ac:dyDescent="0.3">
      <c r="A5741" t="str">
        <f>"0611835266100"</f>
        <v>0611835266100</v>
      </c>
      <c r="B5741" t="str">
        <f>"LH4624"</f>
        <v>LH4624</v>
      </c>
      <c r="C5741" t="s">
        <v>38356</v>
      </c>
      <c r="D5741" t="s">
        <v>27245</v>
      </c>
      <c r="E5741" t="str">
        <f t="shared" si="89"/>
        <v>001390</v>
      </c>
      <c r="F5741" t="s">
        <v>27246</v>
      </c>
      <c r="G5741" t="s">
        <v>27247</v>
      </c>
      <c r="H5741" t="s">
        <v>27248</v>
      </c>
      <c r="I5741" t="s">
        <v>38357</v>
      </c>
      <c r="J5741" t="s">
        <v>11467</v>
      </c>
      <c r="L5741" t="s">
        <v>27250</v>
      </c>
      <c r="M5741" t="s">
        <v>27251</v>
      </c>
      <c r="N5741" t="s">
        <v>27252</v>
      </c>
      <c r="Q5741" s="1">
        <v>44538</v>
      </c>
      <c r="R5741" t="s">
        <v>27253</v>
      </c>
      <c r="S5741" t="s">
        <v>27254</v>
      </c>
      <c r="T5741" t="s">
        <v>27255</v>
      </c>
    </row>
    <row r="5742" spans="1:20" x14ac:dyDescent="0.3">
      <c r="A5742" t="str">
        <f>"0611835267025"</f>
        <v>0611835267025</v>
      </c>
      <c r="B5742" t="str">
        <f>"MC0376"</f>
        <v>MC0376</v>
      </c>
      <c r="C5742" t="s">
        <v>38358</v>
      </c>
      <c r="D5742" t="s">
        <v>27267</v>
      </c>
      <c r="E5742" t="str">
        <f t="shared" si="89"/>
        <v>001390</v>
      </c>
      <c r="F5742" t="s">
        <v>27246</v>
      </c>
      <c r="G5742" t="s">
        <v>27247</v>
      </c>
      <c r="H5742" t="s">
        <v>27248</v>
      </c>
      <c r="I5742" t="s">
        <v>38359</v>
      </c>
      <c r="J5742" t="s">
        <v>11469</v>
      </c>
      <c r="L5742" t="s">
        <v>27250</v>
      </c>
      <c r="M5742" t="s">
        <v>27251</v>
      </c>
      <c r="N5742" t="s">
        <v>27252</v>
      </c>
      <c r="Q5742" s="1">
        <v>44538</v>
      </c>
      <c r="R5742" t="s">
        <v>27253</v>
      </c>
      <c r="S5742" t="s">
        <v>27254</v>
      </c>
      <c r="T5742" t="s">
        <v>27269</v>
      </c>
    </row>
    <row r="5743" spans="1:20" x14ac:dyDescent="0.3">
      <c r="A5743" t="str">
        <f>"0611835268100"</f>
        <v>0611835268100</v>
      </c>
      <c r="B5743" t="str">
        <f>"LH4625"</f>
        <v>LH4625</v>
      </c>
      <c r="C5743" t="s">
        <v>38360</v>
      </c>
      <c r="D5743" t="s">
        <v>27245</v>
      </c>
      <c r="E5743" t="str">
        <f t="shared" si="89"/>
        <v>001390</v>
      </c>
      <c r="F5743" t="s">
        <v>27246</v>
      </c>
      <c r="G5743" t="s">
        <v>27247</v>
      </c>
      <c r="H5743" t="s">
        <v>27248</v>
      </c>
      <c r="I5743" t="s">
        <v>38361</v>
      </c>
      <c r="J5743" t="s">
        <v>11471</v>
      </c>
      <c r="L5743" t="s">
        <v>27250</v>
      </c>
      <c r="M5743" t="s">
        <v>27251</v>
      </c>
      <c r="N5743" t="s">
        <v>27252</v>
      </c>
      <c r="Q5743" s="1">
        <v>44538</v>
      </c>
      <c r="R5743" t="s">
        <v>27253</v>
      </c>
      <c r="S5743" t="s">
        <v>27254</v>
      </c>
      <c r="T5743" t="s">
        <v>27255</v>
      </c>
    </row>
    <row r="5744" spans="1:20" x14ac:dyDescent="0.3">
      <c r="A5744" t="str">
        <f>"0611835270100"</f>
        <v>0611835270100</v>
      </c>
      <c r="B5744" t="str">
        <f>"LG2900"</f>
        <v>LG2900</v>
      </c>
      <c r="C5744" t="s">
        <v>38362</v>
      </c>
      <c r="D5744" t="s">
        <v>27245</v>
      </c>
      <c r="E5744" t="str">
        <f t="shared" si="89"/>
        <v>001390</v>
      </c>
      <c r="F5744" t="s">
        <v>27246</v>
      </c>
      <c r="G5744" t="s">
        <v>27247</v>
      </c>
      <c r="H5744" t="s">
        <v>27248</v>
      </c>
      <c r="I5744" t="s">
        <v>38363</v>
      </c>
      <c r="J5744" t="s">
        <v>11473</v>
      </c>
      <c r="L5744" t="s">
        <v>27250</v>
      </c>
      <c r="M5744" t="s">
        <v>27251</v>
      </c>
      <c r="N5744" t="s">
        <v>27252</v>
      </c>
      <c r="Q5744" s="1">
        <v>44538</v>
      </c>
      <c r="R5744" t="s">
        <v>27253</v>
      </c>
      <c r="S5744" t="s">
        <v>27254</v>
      </c>
      <c r="T5744" t="s">
        <v>27255</v>
      </c>
    </row>
    <row r="5745" spans="1:20" x14ac:dyDescent="0.3">
      <c r="A5745" t="str">
        <f>"0611856987025"</f>
        <v>0611856987025</v>
      </c>
      <c r="B5745" t="str">
        <f>"MD1019"</f>
        <v>MD1019</v>
      </c>
      <c r="C5745" t="s">
        <v>38364</v>
      </c>
      <c r="D5745" t="s">
        <v>27267</v>
      </c>
      <c r="E5745" t="str">
        <f t="shared" si="89"/>
        <v>001390</v>
      </c>
      <c r="F5745" t="s">
        <v>27246</v>
      </c>
      <c r="G5745" t="s">
        <v>27247</v>
      </c>
      <c r="H5745" t="s">
        <v>27248</v>
      </c>
      <c r="I5745" t="s">
        <v>38365</v>
      </c>
      <c r="J5745" t="s">
        <v>11475</v>
      </c>
      <c r="L5745" t="s">
        <v>27250</v>
      </c>
      <c r="M5745" t="s">
        <v>27251</v>
      </c>
      <c r="N5745" t="s">
        <v>27252</v>
      </c>
      <c r="Q5745" s="1">
        <v>44812</v>
      </c>
      <c r="R5745" t="s">
        <v>27253</v>
      </c>
      <c r="S5745" t="s">
        <v>27254</v>
      </c>
      <c r="T5745" t="s">
        <v>27269</v>
      </c>
    </row>
    <row r="5746" spans="1:20" x14ac:dyDescent="0.3">
      <c r="A5746" t="str">
        <f>"0611835271025"</f>
        <v>0611835271025</v>
      </c>
      <c r="B5746" t="str">
        <f>"MD1006"</f>
        <v>MD1006</v>
      </c>
      <c r="C5746" t="s">
        <v>38366</v>
      </c>
      <c r="D5746" t="s">
        <v>27267</v>
      </c>
      <c r="E5746" t="str">
        <f t="shared" si="89"/>
        <v>001390</v>
      </c>
      <c r="F5746" t="s">
        <v>27246</v>
      </c>
      <c r="G5746" t="s">
        <v>27247</v>
      </c>
      <c r="H5746" t="s">
        <v>27248</v>
      </c>
      <c r="I5746" t="s">
        <v>38367</v>
      </c>
      <c r="J5746" t="s">
        <v>11477</v>
      </c>
      <c r="L5746" t="s">
        <v>27250</v>
      </c>
      <c r="M5746" t="s">
        <v>27251</v>
      </c>
      <c r="N5746" t="s">
        <v>27252</v>
      </c>
      <c r="Q5746" s="1">
        <v>44538</v>
      </c>
      <c r="R5746" t="s">
        <v>27253</v>
      </c>
      <c r="S5746" t="s">
        <v>27254</v>
      </c>
      <c r="T5746" t="s">
        <v>27269</v>
      </c>
    </row>
    <row r="5747" spans="1:20" x14ac:dyDescent="0.3">
      <c r="A5747" t="str">
        <f>"0611835272025"</f>
        <v>0611835272025</v>
      </c>
      <c r="B5747" t="str">
        <f>"MD1003"</f>
        <v>MD1003</v>
      </c>
      <c r="C5747" t="s">
        <v>38368</v>
      </c>
      <c r="D5747" t="s">
        <v>27267</v>
      </c>
      <c r="E5747" t="str">
        <f t="shared" si="89"/>
        <v>001390</v>
      </c>
      <c r="F5747" t="s">
        <v>27246</v>
      </c>
      <c r="G5747" t="s">
        <v>27247</v>
      </c>
      <c r="H5747" t="s">
        <v>27248</v>
      </c>
      <c r="I5747" t="s">
        <v>38369</v>
      </c>
      <c r="J5747" t="s">
        <v>11479</v>
      </c>
      <c r="L5747" t="s">
        <v>27250</v>
      </c>
      <c r="M5747" t="s">
        <v>27251</v>
      </c>
      <c r="N5747" t="s">
        <v>27252</v>
      </c>
      <c r="Q5747" s="1">
        <v>44538</v>
      </c>
      <c r="R5747" t="s">
        <v>27253</v>
      </c>
      <c r="S5747" t="s">
        <v>27254</v>
      </c>
      <c r="T5747" t="s">
        <v>27269</v>
      </c>
    </row>
    <row r="5748" spans="1:20" x14ac:dyDescent="0.3">
      <c r="A5748" t="str">
        <f>"0611835273025"</f>
        <v>0611835273025</v>
      </c>
      <c r="B5748" t="str">
        <f>"MD1011"</f>
        <v>MD1011</v>
      </c>
      <c r="C5748" t="s">
        <v>38370</v>
      </c>
      <c r="D5748" t="s">
        <v>27267</v>
      </c>
      <c r="E5748" t="str">
        <f t="shared" si="89"/>
        <v>001390</v>
      </c>
      <c r="F5748" t="s">
        <v>27246</v>
      </c>
      <c r="G5748" t="s">
        <v>27247</v>
      </c>
      <c r="H5748" t="s">
        <v>27248</v>
      </c>
      <c r="I5748" t="s">
        <v>38371</v>
      </c>
      <c r="J5748" t="s">
        <v>11481</v>
      </c>
      <c r="L5748" t="s">
        <v>27250</v>
      </c>
      <c r="M5748" t="s">
        <v>27251</v>
      </c>
      <c r="N5748" t="s">
        <v>27252</v>
      </c>
      <c r="Q5748" s="1">
        <v>44538</v>
      </c>
      <c r="R5748" t="s">
        <v>27253</v>
      </c>
      <c r="S5748" t="s">
        <v>27254</v>
      </c>
      <c r="T5748" t="s">
        <v>27269</v>
      </c>
    </row>
    <row r="5749" spans="1:20" x14ac:dyDescent="0.3">
      <c r="A5749" t="str">
        <f>"0611884248025"</f>
        <v>0611884248025</v>
      </c>
      <c r="B5749" t="str">
        <f>"MD1017"</f>
        <v>MD1017</v>
      </c>
      <c r="C5749" t="s">
        <v>38372</v>
      </c>
      <c r="D5749" t="s">
        <v>27267</v>
      </c>
      <c r="E5749" t="str">
        <f t="shared" si="89"/>
        <v>001390</v>
      </c>
      <c r="F5749" t="s">
        <v>27246</v>
      </c>
      <c r="G5749" t="s">
        <v>27247</v>
      </c>
      <c r="H5749" t="s">
        <v>27248</v>
      </c>
      <c r="I5749" t="s">
        <v>38373</v>
      </c>
      <c r="J5749" t="s">
        <v>11483</v>
      </c>
      <c r="L5749" t="s">
        <v>27430</v>
      </c>
      <c r="M5749" t="s">
        <v>27251</v>
      </c>
      <c r="N5749" t="s">
        <v>27252</v>
      </c>
      <c r="Q5749" s="1">
        <v>45250</v>
      </c>
      <c r="R5749" t="s">
        <v>27253</v>
      </c>
      <c r="S5749" t="s">
        <v>27254</v>
      </c>
      <c r="T5749" t="s">
        <v>27269</v>
      </c>
    </row>
    <row r="5750" spans="1:20" x14ac:dyDescent="0.3">
      <c r="A5750" t="str">
        <f>"0611835274025"</f>
        <v>0611835274025</v>
      </c>
      <c r="B5750" t="str">
        <f>"MD1002"</f>
        <v>MD1002</v>
      </c>
      <c r="C5750" t="s">
        <v>38374</v>
      </c>
      <c r="D5750" t="s">
        <v>27267</v>
      </c>
      <c r="E5750" t="str">
        <f t="shared" si="89"/>
        <v>001390</v>
      </c>
      <c r="F5750" t="s">
        <v>27246</v>
      </c>
      <c r="G5750" t="s">
        <v>27247</v>
      </c>
      <c r="H5750" t="s">
        <v>27248</v>
      </c>
      <c r="I5750" t="s">
        <v>38375</v>
      </c>
      <c r="J5750" t="s">
        <v>11485</v>
      </c>
      <c r="L5750" t="s">
        <v>27250</v>
      </c>
      <c r="M5750" t="s">
        <v>27251</v>
      </c>
      <c r="N5750" t="s">
        <v>27252</v>
      </c>
      <c r="Q5750" s="1">
        <v>44538</v>
      </c>
      <c r="R5750" t="s">
        <v>27253</v>
      </c>
      <c r="S5750" t="s">
        <v>27254</v>
      </c>
      <c r="T5750" t="s">
        <v>27269</v>
      </c>
    </row>
    <row r="5751" spans="1:20" x14ac:dyDescent="0.3">
      <c r="A5751" t="str">
        <f>"0611835275025"</f>
        <v>0611835275025</v>
      </c>
      <c r="B5751" t="str">
        <f>"MD1007"</f>
        <v>MD1007</v>
      </c>
      <c r="C5751" t="s">
        <v>38376</v>
      </c>
      <c r="D5751" t="s">
        <v>27267</v>
      </c>
      <c r="E5751" t="str">
        <f t="shared" si="89"/>
        <v>001390</v>
      </c>
      <c r="F5751" t="s">
        <v>27246</v>
      </c>
      <c r="G5751" t="s">
        <v>27247</v>
      </c>
      <c r="H5751" t="s">
        <v>27248</v>
      </c>
      <c r="I5751" t="s">
        <v>38377</v>
      </c>
      <c r="J5751" t="s">
        <v>11487</v>
      </c>
      <c r="L5751" t="s">
        <v>27250</v>
      </c>
      <c r="M5751" t="s">
        <v>27251</v>
      </c>
      <c r="N5751" t="s">
        <v>27252</v>
      </c>
      <c r="Q5751" s="1">
        <v>44538</v>
      </c>
      <c r="R5751" t="s">
        <v>27253</v>
      </c>
      <c r="S5751" t="s">
        <v>27254</v>
      </c>
      <c r="T5751" t="s">
        <v>27269</v>
      </c>
    </row>
    <row r="5752" spans="1:20" x14ac:dyDescent="0.3">
      <c r="A5752" t="str">
        <f>"0611835276025"</f>
        <v>0611835276025</v>
      </c>
      <c r="B5752" t="str">
        <f>"MD1004"</f>
        <v>MD1004</v>
      </c>
      <c r="C5752" t="s">
        <v>38378</v>
      </c>
      <c r="D5752" t="s">
        <v>27267</v>
      </c>
      <c r="E5752" t="str">
        <f t="shared" si="89"/>
        <v>001390</v>
      </c>
      <c r="F5752" t="s">
        <v>27246</v>
      </c>
      <c r="G5752" t="s">
        <v>27247</v>
      </c>
      <c r="H5752" t="s">
        <v>27248</v>
      </c>
      <c r="I5752" t="s">
        <v>38379</v>
      </c>
      <c r="J5752" t="s">
        <v>11489</v>
      </c>
      <c r="L5752" t="s">
        <v>27250</v>
      </c>
      <c r="M5752" t="s">
        <v>27251</v>
      </c>
      <c r="N5752" t="s">
        <v>27252</v>
      </c>
      <c r="Q5752" s="1">
        <v>44538</v>
      </c>
      <c r="R5752" t="s">
        <v>27253</v>
      </c>
      <c r="S5752" t="s">
        <v>27254</v>
      </c>
      <c r="T5752" t="s">
        <v>27269</v>
      </c>
    </row>
    <row r="5753" spans="1:20" x14ac:dyDescent="0.3">
      <c r="A5753" t="str">
        <f>"0611835277025"</f>
        <v>0611835277025</v>
      </c>
      <c r="B5753" t="str">
        <f>"MD1001"</f>
        <v>MD1001</v>
      </c>
      <c r="C5753" t="s">
        <v>38380</v>
      </c>
      <c r="D5753" t="s">
        <v>27267</v>
      </c>
      <c r="E5753" t="str">
        <f t="shared" si="89"/>
        <v>001390</v>
      </c>
      <c r="F5753" t="s">
        <v>27246</v>
      </c>
      <c r="G5753" t="s">
        <v>27247</v>
      </c>
      <c r="H5753" t="s">
        <v>27248</v>
      </c>
      <c r="I5753" t="s">
        <v>38381</v>
      </c>
      <c r="J5753" t="s">
        <v>11491</v>
      </c>
      <c r="L5753" t="s">
        <v>27250</v>
      </c>
      <c r="M5753" t="s">
        <v>27251</v>
      </c>
      <c r="N5753" t="s">
        <v>27252</v>
      </c>
      <c r="Q5753" s="1">
        <v>44538</v>
      </c>
      <c r="R5753" t="s">
        <v>27253</v>
      </c>
      <c r="S5753" t="s">
        <v>27254</v>
      </c>
      <c r="T5753" t="s">
        <v>27269</v>
      </c>
    </row>
    <row r="5754" spans="1:20" x14ac:dyDescent="0.3">
      <c r="A5754" t="str">
        <f>"0611835278025"</f>
        <v>0611835278025</v>
      </c>
      <c r="B5754" t="str">
        <f>"MD1014"</f>
        <v>MD1014</v>
      </c>
      <c r="C5754" t="s">
        <v>38382</v>
      </c>
      <c r="D5754" t="s">
        <v>27267</v>
      </c>
      <c r="E5754" t="str">
        <f t="shared" si="89"/>
        <v>001390</v>
      </c>
      <c r="F5754" t="s">
        <v>27246</v>
      </c>
      <c r="G5754" t="s">
        <v>27247</v>
      </c>
      <c r="H5754" t="s">
        <v>27248</v>
      </c>
      <c r="I5754" t="s">
        <v>38383</v>
      </c>
      <c r="J5754" t="s">
        <v>11493</v>
      </c>
      <c r="L5754" t="s">
        <v>27250</v>
      </c>
      <c r="M5754" t="s">
        <v>27251</v>
      </c>
      <c r="N5754" t="s">
        <v>27252</v>
      </c>
      <c r="Q5754" s="1">
        <v>44538</v>
      </c>
      <c r="R5754" t="s">
        <v>27253</v>
      </c>
      <c r="S5754" t="s">
        <v>27254</v>
      </c>
      <c r="T5754" t="s">
        <v>27269</v>
      </c>
    </row>
    <row r="5755" spans="1:20" x14ac:dyDescent="0.3">
      <c r="A5755" t="str">
        <f>"0611856983025"</f>
        <v>0611856983025</v>
      </c>
      <c r="B5755" t="str">
        <f>"MD1015"</f>
        <v>MD1015</v>
      </c>
      <c r="C5755" t="s">
        <v>38384</v>
      </c>
      <c r="D5755" t="s">
        <v>27267</v>
      </c>
      <c r="E5755" t="str">
        <f t="shared" si="89"/>
        <v>001390</v>
      </c>
      <c r="F5755" t="s">
        <v>27246</v>
      </c>
      <c r="G5755" t="s">
        <v>27247</v>
      </c>
      <c r="H5755" t="s">
        <v>27248</v>
      </c>
      <c r="I5755" t="s">
        <v>38385</v>
      </c>
      <c r="J5755" t="s">
        <v>11495</v>
      </c>
      <c r="L5755" t="s">
        <v>27250</v>
      </c>
      <c r="M5755" t="s">
        <v>27251</v>
      </c>
      <c r="N5755" t="s">
        <v>27252</v>
      </c>
      <c r="Q5755" s="1">
        <v>44812</v>
      </c>
      <c r="R5755" t="s">
        <v>27253</v>
      </c>
      <c r="S5755" t="s">
        <v>27254</v>
      </c>
      <c r="T5755" t="s">
        <v>27269</v>
      </c>
    </row>
    <row r="5756" spans="1:20" x14ac:dyDescent="0.3">
      <c r="A5756" t="str">
        <f>"0611856984025"</f>
        <v>0611856984025</v>
      </c>
      <c r="B5756" t="str">
        <f>"MD1016"</f>
        <v>MD1016</v>
      </c>
      <c r="C5756" t="s">
        <v>38386</v>
      </c>
      <c r="D5756" t="s">
        <v>27267</v>
      </c>
      <c r="E5756" t="str">
        <f t="shared" si="89"/>
        <v>001390</v>
      </c>
      <c r="F5756" t="s">
        <v>27246</v>
      </c>
      <c r="G5756" t="s">
        <v>27247</v>
      </c>
      <c r="H5756" t="s">
        <v>27248</v>
      </c>
      <c r="I5756" t="s">
        <v>38387</v>
      </c>
      <c r="J5756" t="s">
        <v>11498</v>
      </c>
      <c r="L5756" t="s">
        <v>27250</v>
      </c>
      <c r="M5756" t="s">
        <v>27251</v>
      </c>
      <c r="N5756" t="s">
        <v>27252</v>
      </c>
      <c r="Q5756" s="1">
        <v>44812</v>
      </c>
      <c r="R5756" t="s">
        <v>27253</v>
      </c>
      <c r="S5756" t="s">
        <v>27254</v>
      </c>
      <c r="T5756" t="s">
        <v>27269</v>
      </c>
    </row>
    <row r="5757" spans="1:20" x14ac:dyDescent="0.3">
      <c r="A5757" t="str">
        <f>"0611835279025"</f>
        <v>0611835279025</v>
      </c>
      <c r="B5757" t="str">
        <f>"MD1008"</f>
        <v>MD1008</v>
      </c>
      <c r="C5757" t="s">
        <v>38388</v>
      </c>
      <c r="D5757" t="s">
        <v>27267</v>
      </c>
      <c r="E5757" t="str">
        <f t="shared" si="89"/>
        <v>001390</v>
      </c>
      <c r="F5757" t="s">
        <v>27246</v>
      </c>
      <c r="G5757" t="s">
        <v>27247</v>
      </c>
      <c r="H5757" t="s">
        <v>27248</v>
      </c>
      <c r="I5757" t="s">
        <v>38389</v>
      </c>
      <c r="J5757" t="s">
        <v>11500</v>
      </c>
      <c r="L5757" t="s">
        <v>27250</v>
      </c>
      <c r="M5757" t="s">
        <v>27251</v>
      </c>
      <c r="N5757" t="s">
        <v>27252</v>
      </c>
      <c r="Q5757" s="1">
        <v>44538</v>
      </c>
      <c r="R5757" t="s">
        <v>27253</v>
      </c>
      <c r="S5757" t="s">
        <v>27254</v>
      </c>
      <c r="T5757" t="s">
        <v>27269</v>
      </c>
    </row>
    <row r="5758" spans="1:20" x14ac:dyDescent="0.3">
      <c r="A5758" t="str">
        <f>"0611856985025"</f>
        <v>0611856985025</v>
      </c>
      <c r="B5758" t="str">
        <f>"MD0017"</f>
        <v>MD0017</v>
      </c>
      <c r="C5758" t="s">
        <v>38390</v>
      </c>
      <c r="D5758" t="s">
        <v>27267</v>
      </c>
      <c r="E5758" t="str">
        <f t="shared" si="89"/>
        <v>001390</v>
      </c>
      <c r="F5758" t="s">
        <v>27246</v>
      </c>
      <c r="G5758" t="s">
        <v>27247</v>
      </c>
      <c r="H5758" t="s">
        <v>27248</v>
      </c>
      <c r="I5758" t="s">
        <v>38391</v>
      </c>
      <c r="J5758" t="s">
        <v>11495</v>
      </c>
      <c r="L5758" t="s">
        <v>27250</v>
      </c>
      <c r="M5758" t="s">
        <v>27251</v>
      </c>
      <c r="N5758" t="s">
        <v>27252</v>
      </c>
      <c r="Q5758" s="1">
        <v>44812</v>
      </c>
      <c r="R5758" t="s">
        <v>27253</v>
      </c>
      <c r="S5758" t="s">
        <v>27254</v>
      </c>
      <c r="T5758" t="s">
        <v>27269</v>
      </c>
    </row>
    <row r="5759" spans="1:20" x14ac:dyDescent="0.3">
      <c r="A5759" t="str">
        <f>"0611835280025"</f>
        <v>0611835280025</v>
      </c>
      <c r="B5759" t="str">
        <f>"MD1009"</f>
        <v>MD1009</v>
      </c>
      <c r="C5759" t="s">
        <v>38392</v>
      </c>
      <c r="D5759" t="s">
        <v>27267</v>
      </c>
      <c r="E5759" t="str">
        <f t="shared" si="89"/>
        <v>001390</v>
      </c>
      <c r="F5759" t="s">
        <v>27246</v>
      </c>
      <c r="G5759" t="s">
        <v>27247</v>
      </c>
      <c r="H5759" t="s">
        <v>27248</v>
      </c>
      <c r="I5759" t="s">
        <v>38393</v>
      </c>
      <c r="J5759" t="s">
        <v>11502</v>
      </c>
      <c r="L5759" t="s">
        <v>27250</v>
      </c>
      <c r="M5759" t="s">
        <v>27251</v>
      </c>
      <c r="N5759" t="s">
        <v>27252</v>
      </c>
      <c r="Q5759" s="1">
        <v>44538</v>
      </c>
      <c r="R5759" t="s">
        <v>27253</v>
      </c>
      <c r="S5759" t="s">
        <v>27254</v>
      </c>
      <c r="T5759" t="s">
        <v>27269</v>
      </c>
    </row>
    <row r="5760" spans="1:20" x14ac:dyDescent="0.3">
      <c r="A5760" t="str">
        <f>"0611835281025"</f>
        <v>0611835281025</v>
      </c>
      <c r="B5760" t="str">
        <f>"MD1012"</f>
        <v>MD1012</v>
      </c>
      <c r="C5760" t="s">
        <v>38394</v>
      </c>
      <c r="D5760" t="s">
        <v>27267</v>
      </c>
      <c r="E5760" t="str">
        <f t="shared" si="89"/>
        <v>001390</v>
      </c>
      <c r="F5760" t="s">
        <v>27246</v>
      </c>
      <c r="G5760" t="s">
        <v>27247</v>
      </c>
      <c r="H5760" t="s">
        <v>27248</v>
      </c>
      <c r="I5760" t="s">
        <v>38395</v>
      </c>
      <c r="J5760" t="s">
        <v>11504</v>
      </c>
      <c r="L5760" t="s">
        <v>27250</v>
      </c>
      <c r="M5760" t="s">
        <v>27251</v>
      </c>
      <c r="N5760" t="s">
        <v>27252</v>
      </c>
      <c r="Q5760" s="1">
        <v>44538</v>
      </c>
      <c r="R5760" t="s">
        <v>27253</v>
      </c>
      <c r="S5760" t="s">
        <v>27254</v>
      </c>
      <c r="T5760" t="s">
        <v>27269</v>
      </c>
    </row>
    <row r="5761" spans="1:20" x14ac:dyDescent="0.3">
      <c r="A5761" t="str">
        <f>"0611835282025"</f>
        <v>0611835282025</v>
      </c>
      <c r="B5761" t="str">
        <f>"MD1013"</f>
        <v>MD1013</v>
      </c>
      <c r="C5761" t="s">
        <v>38396</v>
      </c>
      <c r="D5761" t="s">
        <v>27267</v>
      </c>
      <c r="E5761" t="str">
        <f t="shared" si="89"/>
        <v>001390</v>
      </c>
      <c r="F5761" t="s">
        <v>27246</v>
      </c>
      <c r="G5761" t="s">
        <v>27247</v>
      </c>
      <c r="H5761" t="s">
        <v>27248</v>
      </c>
      <c r="I5761" t="s">
        <v>38397</v>
      </c>
      <c r="J5761" t="s">
        <v>11506</v>
      </c>
      <c r="L5761" t="s">
        <v>27250</v>
      </c>
      <c r="M5761" t="s">
        <v>27251</v>
      </c>
      <c r="N5761" t="s">
        <v>27252</v>
      </c>
      <c r="Q5761" s="1">
        <v>44538</v>
      </c>
      <c r="R5761" t="s">
        <v>27253</v>
      </c>
      <c r="S5761" t="s">
        <v>27254</v>
      </c>
      <c r="T5761" t="s">
        <v>27269</v>
      </c>
    </row>
    <row r="5762" spans="1:20" x14ac:dyDescent="0.3">
      <c r="A5762" t="str">
        <f>"0611856986025"</f>
        <v>0611856986025</v>
      </c>
      <c r="B5762" t="str">
        <f>"MD1018"</f>
        <v>MD1018</v>
      </c>
      <c r="C5762" t="s">
        <v>38398</v>
      </c>
      <c r="D5762" t="s">
        <v>27267</v>
      </c>
      <c r="E5762" t="str">
        <f t="shared" ref="E5762:E5825" si="90">"001390"</f>
        <v>001390</v>
      </c>
      <c r="F5762" t="s">
        <v>27246</v>
      </c>
      <c r="G5762" t="s">
        <v>27247</v>
      </c>
      <c r="H5762" t="s">
        <v>27248</v>
      </c>
      <c r="I5762" t="s">
        <v>38399</v>
      </c>
      <c r="J5762" t="s">
        <v>11508</v>
      </c>
      <c r="L5762" t="s">
        <v>27250</v>
      </c>
      <c r="M5762" t="s">
        <v>27251</v>
      </c>
      <c r="N5762" t="s">
        <v>27252</v>
      </c>
      <c r="Q5762" s="1">
        <v>44812</v>
      </c>
      <c r="R5762" t="s">
        <v>27253</v>
      </c>
      <c r="S5762" t="s">
        <v>27254</v>
      </c>
      <c r="T5762" t="s">
        <v>27269</v>
      </c>
    </row>
    <row r="5763" spans="1:20" x14ac:dyDescent="0.3">
      <c r="A5763" t="str">
        <f>"0611884249025"</f>
        <v>0611884249025</v>
      </c>
      <c r="B5763" t="str">
        <f>"MD1020"</f>
        <v>MD1020</v>
      </c>
      <c r="C5763" t="s">
        <v>38400</v>
      </c>
      <c r="D5763" t="s">
        <v>27267</v>
      </c>
      <c r="E5763" t="str">
        <f t="shared" si="90"/>
        <v>001390</v>
      </c>
      <c r="F5763" t="s">
        <v>27246</v>
      </c>
      <c r="G5763" t="s">
        <v>27247</v>
      </c>
      <c r="H5763" t="s">
        <v>27248</v>
      </c>
      <c r="I5763" t="s">
        <v>38401</v>
      </c>
      <c r="J5763" t="s">
        <v>11512</v>
      </c>
      <c r="L5763" t="s">
        <v>27430</v>
      </c>
      <c r="M5763" t="s">
        <v>27251</v>
      </c>
      <c r="N5763" t="s">
        <v>27252</v>
      </c>
      <c r="Q5763" s="1">
        <v>45250</v>
      </c>
      <c r="R5763" t="s">
        <v>27253</v>
      </c>
      <c r="S5763" t="s">
        <v>27254</v>
      </c>
      <c r="T5763" t="s">
        <v>27269</v>
      </c>
    </row>
    <row r="5764" spans="1:20" x14ac:dyDescent="0.3">
      <c r="A5764" t="str">
        <f>"0611835283025"</f>
        <v>0611835283025</v>
      </c>
      <c r="B5764" t="str">
        <f>"MD1010"</f>
        <v>MD1010</v>
      </c>
      <c r="C5764" t="s">
        <v>38402</v>
      </c>
      <c r="D5764" t="s">
        <v>27267</v>
      </c>
      <c r="E5764" t="str">
        <f t="shared" si="90"/>
        <v>001390</v>
      </c>
      <c r="F5764" t="s">
        <v>27246</v>
      </c>
      <c r="G5764" t="s">
        <v>27247</v>
      </c>
      <c r="H5764" t="s">
        <v>27248</v>
      </c>
      <c r="I5764" t="s">
        <v>38403</v>
      </c>
      <c r="J5764" t="s">
        <v>11510</v>
      </c>
      <c r="L5764" t="s">
        <v>27250</v>
      </c>
      <c r="M5764" t="s">
        <v>27251</v>
      </c>
      <c r="N5764" t="s">
        <v>27252</v>
      </c>
      <c r="Q5764" s="1">
        <v>44538</v>
      </c>
      <c r="R5764" t="s">
        <v>27253</v>
      </c>
      <c r="S5764" t="s">
        <v>27254</v>
      </c>
      <c r="T5764" t="s">
        <v>27269</v>
      </c>
    </row>
    <row r="5765" spans="1:20" x14ac:dyDescent="0.3">
      <c r="A5765" t="str">
        <f>"0611835284025"</f>
        <v>0611835284025</v>
      </c>
      <c r="B5765" t="str">
        <f>"MD1005"</f>
        <v>MD1005</v>
      </c>
      <c r="C5765" t="s">
        <v>38404</v>
      </c>
      <c r="D5765" t="s">
        <v>27267</v>
      </c>
      <c r="E5765" t="str">
        <f t="shared" si="90"/>
        <v>001390</v>
      </c>
      <c r="F5765" t="s">
        <v>27246</v>
      </c>
      <c r="G5765" t="s">
        <v>27247</v>
      </c>
      <c r="H5765" t="s">
        <v>27248</v>
      </c>
      <c r="I5765" t="s">
        <v>38405</v>
      </c>
      <c r="J5765" t="s">
        <v>11514</v>
      </c>
      <c r="L5765" t="s">
        <v>27250</v>
      </c>
      <c r="M5765" t="s">
        <v>27251</v>
      </c>
      <c r="N5765" t="s">
        <v>27252</v>
      </c>
      <c r="Q5765" s="1">
        <v>44538</v>
      </c>
      <c r="R5765" t="s">
        <v>27253</v>
      </c>
      <c r="S5765" t="s">
        <v>27254</v>
      </c>
      <c r="T5765" t="s">
        <v>27269</v>
      </c>
    </row>
    <row r="5766" spans="1:20" x14ac:dyDescent="0.3">
      <c r="A5766" t="str">
        <f>"0611835285025"</f>
        <v>0611835285025</v>
      </c>
      <c r="B5766" t="str">
        <f>"MC4064"</f>
        <v>MC4064</v>
      </c>
      <c r="C5766" t="s">
        <v>38406</v>
      </c>
      <c r="D5766" t="s">
        <v>28057</v>
      </c>
      <c r="E5766" t="str">
        <f t="shared" si="90"/>
        <v>001390</v>
      </c>
      <c r="F5766" t="s">
        <v>27246</v>
      </c>
      <c r="G5766" t="s">
        <v>27247</v>
      </c>
      <c r="H5766" t="s">
        <v>27248</v>
      </c>
      <c r="I5766" t="s">
        <v>38407</v>
      </c>
      <c r="J5766" t="s">
        <v>11516</v>
      </c>
      <c r="L5766" t="s">
        <v>27250</v>
      </c>
      <c r="M5766" t="s">
        <v>27251</v>
      </c>
      <c r="N5766" t="s">
        <v>27252</v>
      </c>
      <c r="P5766" t="s">
        <v>27925</v>
      </c>
      <c r="Q5766" s="1">
        <v>44538</v>
      </c>
      <c r="R5766" t="s">
        <v>27253</v>
      </c>
      <c r="S5766" t="s">
        <v>27254</v>
      </c>
      <c r="T5766" t="s">
        <v>27269</v>
      </c>
    </row>
    <row r="5767" spans="1:20" x14ac:dyDescent="0.3">
      <c r="A5767" t="str">
        <f>"0611835286025"</f>
        <v>0611835286025</v>
      </c>
      <c r="B5767" t="str">
        <f>"MC4065"</f>
        <v>MC4065</v>
      </c>
      <c r="C5767" t="s">
        <v>38408</v>
      </c>
      <c r="D5767" t="s">
        <v>28057</v>
      </c>
      <c r="E5767" t="str">
        <f t="shared" si="90"/>
        <v>001390</v>
      </c>
      <c r="F5767" t="s">
        <v>27246</v>
      </c>
      <c r="G5767" t="s">
        <v>27247</v>
      </c>
      <c r="H5767" t="s">
        <v>27248</v>
      </c>
      <c r="I5767" t="s">
        <v>38409</v>
      </c>
      <c r="J5767" t="s">
        <v>11518</v>
      </c>
      <c r="L5767" t="s">
        <v>27250</v>
      </c>
      <c r="M5767" t="s">
        <v>27251</v>
      </c>
      <c r="N5767" t="s">
        <v>27252</v>
      </c>
      <c r="P5767" t="s">
        <v>27925</v>
      </c>
      <c r="Q5767" s="1">
        <v>44538</v>
      </c>
      <c r="R5767" t="s">
        <v>27253</v>
      </c>
      <c r="S5767" t="s">
        <v>27254</v>
      </c>
      <c r="T5767" t="s">
        <v>27269</v>
      </c>
    </row>
    <row r="5768" spans="1:20" x14ac:dyDescent="0.3">
      <c r="A5768" t="str">
        <f>"0611835288025"</f>
        <v>0611835288025</v>
      </c>
      <c r="B5768" t="str">
        <f>"MC4291"</f>
        <v>MC4291</v>
      </c>
      <c r="C5768" t="s">
        <v>38410</v>
      </c>
      <c r="D5768" t="s">
        <v>28057</v>
      </c>
      <c r="E5768" t="str">
        <f t="shared" si="90"/>
        <v>001390</v>
      </c>
      <c r="F5768" t="s">
        <v>27246</v>
      </c>
      <c r="G5768" t="s">
        <v>27247</v>
      </c>
      <c r="H5768" t="s">
        <v>27248</v>
      </c>
      <c r="I5768" t="s">
        <v>38411</v>
      </c>
      <c r="J5768" t="s">
        <v>11520</v>
      </c>
      <c r="L5768" t="s">
        <v>27250</v>
      </c>
      <c r="M5768" t="s">
        <v>27251</v>
      </c>
      <c r="N5768" t="s">
        <v>27252</v>
      </c>
      <c r="P5768" t="s">
        <v>27925</v>
      </c>
      <c r="Q5768" s="1">
        <v>44538</v>
      </c>
      <c r="R5768" t="s">
        <v>27253</v>
      </c>
      <c r="S5768" t="s">
        <v>27254</v>
      </c>
      <c r="T5768" t="s">
        <v>27269</v>
      </c>
    </row>
    <row r="5769" spans="1:20" x14ac:dyDescent="0.3">
      <c r="A5769" t="str">
        <f>"0611835289025"</f>
        <v>0611835289025</v>
      </c>
      <c r="B5769" t="str">
        <f>"MC3399"</f>
        <v>MC3399</v>
      </c>
      <c r="C5769" t="s">
        <v>38412</v>
      </c>
      <c r="D5769" t="s">
        <v>27267</v>
      </c>
      <c r="E5769" t="str">
        <f t="shared" si="90"/>
        <v>001390</v>
      </c>
      <c r="F5769" t="s">
        <v>27246</v>
      </c>
      <c r="G5769" t="s">
        <v>27247</v>
      </c>
      <c r="H5769" t="s">
        <v>27248</v>
      </c>
      <c r="I5769" t="s">
        <v>38413</v>
      </c>
      <c r="J5769" t="s">
        <v>11522</v>
      </c>
      <c r="L5769" t="s">
        <v>27250</v>
      </c>
      <c r="M5769" t="s">
        <v>27251</v>
      </c>
      <c r="N5769" t="s">
        <v>27252</v>
      </c>
      <c r="Q5769" s="1">
        <v>44538</v>
      </c>
      <c r="R5769" t="s">
        <v>27253</v>
      </c>
      <c r="S5769" t="s">
        <v>27254</v>
      </c>
      <c r="T5769" t="s">
        <v>27269</v>
      </c>
    </row>
    <row r="5770" spans="1:20" x14ac:dyDescent="0.3">
      <c r="A5770" t="str">
        <f>"0611835290025"</f>
        <v>0611835290025</v>
      </c>
      <c r="B5770" t="str">
        <f>"MC2650"</f>
        <v>MC2650</v>
      </c>
      <c r="C5770" t="s">
        <v>38414</v>
      </c>
      <c r="D5770" t="s">
        <v>27267</v>
      </c>
      <c r="E5770" t="str">
        <f t="shared" si="90"/>
        <v>001390</v>
      </c>
      <c r="F5770" t="s">
        <v>27246</v>
      </c>
      <c r="G5770" t="s">
        <v>27247</v>
      </c>
      <c r="H5770" t="s">
        <v>27248</v>
      </c>
      <c r="I5770" t="s">
        <v>38415</v>
      </c>
      <c r="J5770" t="s">
        <v>11524</v>
      </c>
      <c r="L5770" t="s">
        <v>27250</v>
      </c>
      <c r="M5770" t="s">
        <v>27251</v>
      </c>
      <c r="N5770" t="s">
        <v>27252</v>
      </c>
      <c r="Q5770" s="1">
        <v>44538</v>
      </c>
      <c r="R5770" t="s">
        <v>27253</v>
      </c>
      <c r="S5770" t="s">
        <v>27254</v>
      </c>
      <c r="T5770" t="s">
        <v>27269</v>
      </c>
    </row>
    <row r="5771" spans="1:20" x14ac:dyDescent="0.3">
      <c r="A5771" t="str">
        <f>"0611835291100"</f>
        <v>0611835291100</v>
      </c>
      <c r="B5771" t="str">
        <f>"LH4623"</f>
        <v>LH4623</v>
      </c>
      <c r="C5771" t="s">
        <v>38416</v>
      </c>
      <c r="D5771" t="s">
        <v>27245</v>
      </c>
      <c r="E5771" t="str">
        <f t="shared" si="90"/>
        <v>001390</v>
      </c>
      <c r="F5771" t="s">
        <v>27246</v>
      </c>
      <c r="G5771" t="s">
        <v>27247</v>
      </c>
      <c r="H5771" t="s">
        <v>27248</v>
      </c>
      <c r="I5771" t="s">
        <v>38417</v>
      </c>
      <c r="J5771" t="s">
        <v>11526</v>
      </c>
      <c r="L5771" t="s">
        <v>27250</v>
      </c>
      <c r="M5771" t="s">
        <v>27251</v>
      </c>
      <c r="N5771" t="s">
        <v>27252</v>
      </c>
      <c r="Q5771" s="1">
        <v>44538</v>
      </c>
      <c r="R5771" t="s">
        <v>27253</v>
      </c>
      <c r="S5771" t="s">
        <v>27254</v>
      </c>
      <c r="T5771" t="s">
        <v>27255</v>
      </c>
    </row>
    <row r="5772" spans="1:20" x14ac:dyDescent="0.3">
      <c r="A5772" t="str">
        <f>"0611835292025"</f>
        <v>0611835292025</v>
      </c>
      <c r="B5772" t="str">
        <f>"MC1978"</f>
        <v>MC1978</v>
      </c>
      <c r="C5772" t="s">
        <v>38416</v>
      </c>
      <c r="D5772" t="s">
        <v>27267</v>
      </c>
      <c r="E5772" t="str">
        <f t="shared" si="90"/>
        <v>001390</v>
      </c>
      <c r="F5772" t="s">
        <v>27246</v>
      </c>
      <c r="G5772" t="s">
        <v>27247</v>
      </c>
      <c r="H5772" t="s">
        <v>27248</v>
      </c>
      <c r="I5772" t="s">
        <v>38418</v>
      </c>
      <c r="J5772" t="s">
        <v>11528</v>
      </c>
      <c r="L5772" t="s">
        <v>27250</v>
      </c>
      <c r="M5772" t="s">
        <v>27251</v>
      </c>
      <c r="N5772" t="s">
        <v>27252</v>
      </c>
      <c r="Q5772" s="1">
        <v>44538</v>
      </c>
      <c r="R5772" t="s">
        <v>27253</v>
      </c>
      <c r="S5772" t="s">
        <v>27254</v>
      </c>
      <c r="T5772" t="s">
        <v>27269</v>
      </c>
    </row>
    <row r="5773" spans="1:20" x14ac:dyDescent="0.3">
      <c r="A5773" t="str">
        <f>"0611835293025"</f>
        <v>0611835293025</v>
      </c>
      <c r="B5773" t="str">
        <f>"MC3192"</f>
        <v>MC3192</v>
      </c>
      <c r="C5773" t="s">
        <v>38419</v>
      </c>
      <c r="D5773" t="s">
        <v>27267</v>
      </c>
      <c r="E5773" t="str">
        <f t="shared" si="90"/>
        <v>001390</v>
      </c>
      <c r="F5773" t="s">
        <v>27246</v>
      </c>
      <c r="G5773" t="s">
        <v>27247</v>
      </c>
      <c r="H5773" t="s">
        <v>27248</v>
      </c>
      <c r="I5773" t="s">
        <v>38420</v>
      </c>
      <c r="J5773" t="s">
        <v>11530</v>
      </c>
      <c r="L5773" t="s">
        <v>27250</v>
      </c>
      <c r="M5773" t="s">
        <v>27251</v>
      </c>
      <c r="N5773" t="s">
        <v>27252</v>
      </c>
      <c r="Q5773" s="1">
        <v>44538</v>
      </c>
      <c r="R5773" t="s">
        <v>27253</v>
      </c>
      <c r="S5773" t="s">
        <v>27254</v>
      </c>
      <c r="T5773" t="s">
        <v>27269</v>
      </c>
    </row>
    <row r="5774" spans="1:20" x14ac:dyDescent="0.3">
      <c r="A5774" t="str">
        <f>"0611835294025"</f>
        <v>0611835294025</v>
      </c>
      <c r="B5774" t="str">
        <f>"MC2651"</f>
        <v>MC2651</v>
      </c>
      <c r="C5774" t="s">
        <v>38421</v>
      </c>
      <c r="D5774" t="s">
        <v>27267</v>
      </c>
      <c r="E5774" t="str">
        <f t="shared" si="90"/>
        <v>001390</v>
      </c>
      <c r="F5774" t="s">
        <v>27246</v>
      </c>
      <c r="G5774" t="s">
        <v>27247</v>
      </c>
      <c r="H5774" t="s">
        <v>27248</v>
      </c>
      <c r="I5774" t="s">
        <v>38422</v>
      </c>
      <c r="J5774" t="s">
        <v>11532</v>
      </c>
      <c r="L5774" t="s">
        <v>27250</v>
      </c>
      <c r="M5774" t="s">
        <v>27251</v>
      </c>
      <c r="N5774" t="s">
        <v>27252</v>
      </c>
      <c r="Q5774" s="1">
        <v>44538</v>
      </c>
      <c r="R5774" t="s">
        <v>27253</v>
      </c>
      <c r="S5774" t="s">
        <v>27254</v>
      </c>
      <c r="T5774" t="s">
        <v>27269</v>
      </c>
    </row>
    <row r="5775" spans="1:20" x14ac:dyDescent="0.3">
      <c r="A5775" t="str">
        <f>"0611835295025"</f>
        <v>0611835295025</v>
      </c>
      <c r="B5775" t="str">
        <f>"MC3520"</f>
        <v>MC3520</v>
      </c>
      <c r="C5775" t="s">
        <v>38423</v>
      </c>
      <c r="D5775" t="s">
        <v>27267</v>
      </c>
      <c r="E5775" t="str">
        <f t="shared" si="90"/>
        <v>001390</v>
      </c>
      <c r="F5775" t="s">
        <v>27246</v>
      </c>
      <c r="G5775" t="s">
        <v>27247</v>
      </c>
      <c r="H5775" t="s">
        <v>27248</v>
      </c>
      <c r="I5775" t="s">
        <v>38424</v>
      </c>
      <c r="J5775" t="s">
        <v>11534</v>
      </c>
      <c r="L5775" t="s">
        <v>27250</v>
      </c>
      <c r="M5775" t="s">
        <v>27251</v>
      </c>
      <c r="N5775" t="s">
        <v>27252</v>
      </c>
      <c r="Q5775" s="1">
        <v>44538</v>
      </c>
      <c r="R5775" t="s">
        <v>27253</v>
      </c>
      <c r="S5775" t="s">
        <v>27254</v>
      </c>
      <c r="T5775" t="s">
        <v>27269</v>
      </c>
    </row>
    <row r="5776" spans="1:20" x14ac:dyDescent="0.3">
      <c r="A5776" t="str">
        <f>"0611835296025"</f>
        <v>0611835296025</v>
      </c>
      <c r="B5776" t="str">
        <f>"MC0878"</f>
        <v>MC0878</v>
      </c>
      <c r="C5776" t="s">
        <v>38425</v>
      </c>
      <c r="D5776" t="s">
        <v>27267</v>
      </c>
      <c r="E5776" t="str">
        <f t="shared" si="90"/>
        <v>001390</v>
      </c>
      <c r="F5776" t="s">
        <v>27246</v>
      </c>
      <c r="G5776" t="s">
        <v>27247</v>
      </c>
      <c r="H5776" t="s">
        <v>27248</v>
      </c>
      <c r="I5776" t="s">
        <v>38426</v>
      </c>
      <c r="J5776" t="s">
        <v>11536</v>
      </c>
      <c r="L5776" t="s">
        <v>27250</v>
      </c>
      <c r="M5776" t="s">
        <v>27251</v>
      </c>
      <c r="N5776" t="s">
        <v>27252</v>
      </c>
      <c r="Q5776" s="1">
        <v>44538</v>
      </c>
      <c r="R5776" t="s">
        <v>27253</v>
      </c>
      <c r="S5776" t="s">
        <v>27254</v>
      </c>
      <c r="T5776" t="s">
        <v>27269</v>
      </c>
    </row>
    <row r="5777" spans="1:20" x14ac:dyDescent="0.3">
      <c r="A5777" t="str">
        <f>"0611835298100"</f>
        <v>0611835298100</v>
      </c>
      <c r="B5777" t="str">
        <f>"LF1462"</f>
        <v>LF1462</v>
      </c>
      <c r="C5777" t="s">
        <v>38427</v>
      </c>
      <c r="D5777" t="s">
        <v>27245</v>
      </c>
      <c r="E5777" t="str">
        <f t="shared" si="90"/>
        <v>001390</v>
      </c>
      <c r="F5777" t="s">
        <v>27246</v>
      </c>
      <c r="G5777" t="s">
        <v>27247</v>
      </c>
      <c r="H5777" t="s">
        <v>27248</v>
      </c>
      <c r="I5777" t="s">
        <v>38428</v>
      </c>
      <c r="J5777" t="s">
        <v>11538</v>
      </c>
      <c r="L5777" t="s">
        <v>27250</v>
      </c>
      <c r="M5777" t="s">
        <v>27251</v>
      </c>
      <c r="N5777" t="s">
        <v>27252</v>
      </c>
      <c r="Q5777" s="1">
        <v>44538</v>
      </c>
      <c r="R5777" t="s">
        <v>27253</v>
      </c>
      <c r="S5777" t="s">
        <v>27254</v>
      </c>
      <c r="T5777" t="s">
        <v>27255</v>
      </c>
    </row>
    <row r="5778" spans="1:20" x14ac:dyDescent="0.3">
      <c r="A5778" t="str">
        <f>"0611884250100"</f>
        <v>0611884250100</v>
      </c>
      <c r="B5778" t="str">
        <f>"LQ3902"</f>
        <v>LQ3902</v>
      </c>
      <c r="C5778" t="s">
        <v>38429</v>
      </c>
      <c r="D5778" t="s">
        <v>27245</v>
      </c>
      <c r="E5778" t="str">
        <f t="shared" si="90"/>
        <v>001390</v>
      </c>
      <c r="F5778" t="s">
        <v>27246</v>
      </c>
      <c r="G5778" t="s">
        <v>27247</v>
      </c>
      <c r="H5778" t="s">
        <v>27248</v>
      </c>
      <c r="I5778" t="s">
        <v>38430</v>
      </c>
      <c r="J5778" t="s">
        <v>11540</v>
      </c>
      <c r="L5778" t="s">
        <v>27430</v>
      </c>
      <c r="M5778" t="s">
        <v>27251</v>
      </c>
      <c r="N5778" t="s">
        <v>27252</v>
      </c>
      <c r="Q5778" s="1">
        <v>45250</v>
      </c>
      <c r="R5778" t="s">
        <v>27253</v>
      </c>
      <c r="S5778" t="s">
        <v>27254</v>
      </c>
      <c r="T5778" t="s">
        <v>27255</v>
      </c>
    </row>
    <row r="5779" spans="1:20" x14ac:dyDescent="0.3">
      <c r="A5779" t="str">
        <f>"0611836712100"</f>
        <v>0611836712100</v>
      </c>
      <c r="B5779" t="str">
        <f>"LC6960"</f>
        <v>LC6960</v>
      </c>
      <c r="C5779" t="s">
        <v>38431</v>
      </c>
      <c r="D5779" t="s">
        <v>27245</v>
      </c>
      <c r="E5779" t="str">
        <f t="shared" si="90"/>
        <v>001390</v>
      </c>
      <c r="F5779" t="s">
        <v>27246</v>
      </c>
      <c r="G5779" t="s">
        <v>27247</v>
      </c>
      <c r="H5779" t="s">
        <v>27248</v>
      </c>
      <c r="I5779" t="s">
        <v>38432</v>
      </c>
      <c r="J5779" t="s">
        <v>11542</v>
      </c>
      <c r="L5779" t="s">
        <v>27250</v>
      </c>
      <c r="M5779" t="s">
        <v>27251</v>
      </c>
      <c r="N5779" t="s">
        <v>27252</v>
      </c>
      <c r="Q5779" s="1">
        <v>44538</v>
      </c>
      <c r="R5779" t="s">
        <v>27253</v>
      </c>
      <c r="S5779" t="s">
        <v>27254</v>
      </c>
      <c r="T5779" t="s">
        <v>27255</v>
      </c>
    </row>
    <row r="5780" spans="1:20" x14ac:dyDescent="0.3">
      <c r="A5780" t="str">
        <f>"0611835299025"</f>
        <v>0611835299025</v>
      </c>
      <c r="B5780" t="str">
        <f>"MC1979"</f>
        <v>MC1979</v>
      </c>
      <c r="C5780" t="s">
        <v>38433</v>
      </c>
      <c r="D5780" t="s">
        <v>27267</v>
      </c>
      <c r="E5780" t="str">
        <f t="shared" si="90"/>
        <v>001390</v>
      </c>
      <c r="F5780" t="s">
        <v>27246</v>
      </c>
      <c r="G5780" t="s">
        <v>27247</v>
      </c>
      <c r="H5780" t="s">
        <v>27248</v>
      </c>
      <c r="I5780" t="s">
        <v>38434</v>
      </c>
      <c r="J5780" t="s">
        <v>11544</v>
      </c>
      <c r="L5780" t="s">
        <v>27250</v>
      </c>
      <c r="M5780" t="s">
        <v>27251</v>
      </c>
      <c r="N5780" t="s">
        <v>27252</v>
      </c>
      <c r="Q5780" s="1">
        <v>44538</v>
      </c>
      <c r="R5780" t="s">
        <v>27253</v>
      </c>
      <c r="S5780" t="s">
        <v>27254</v>
      </c>
      <c r="T5780" t="s">
        <v>27269</v>
      </c>
    </row>
    <row r="5781" spans="1:20" x14ac:dyDescent="0.3">
      <c r="A5781" t="str">
        <f>"0611835300025"</f>
        <v>0611835300025</v>
      </c>
      <c r="B5781" t="str">
        <f>"MC0414"</f>
        <v>MC0414</v>
      </c>
      <c r="C5781" t="s">
        <v>38435</v>
      </c>
      <c r="D5781" t="s">
        <v>27267</v>
      </c>
      <c r="E5781" t="str">
        <f t="shared" si="90"/>
        <v>001390</v>
      </c>
      <c r="F5781" t="s">
        <v>27246</v>
      </c>
      <c r="G5781" t="s">
        <v>27247</v>
      </c>
      <c r="H5781" t="s">
        <v>27248</v>
      </c>
      <c r="I5781" t="s">
        <v>38436</v>
      </c>
      <c r="J5781" t="s">
        <v>11546</v>
      </c>
      <c r="L5781" t="s">
        <v>27250</v>
      </c>
      <c r="M5781" t="s">
        <v>27251</v>
      </c>
      <c r="N5781" t="s">
        <v>27252</v>
      </c>
      <c r="Q5781" s="1">
        <v>44538</v>
      </c>
      <c r="R5781" t="s">
        <v>27253</v>
      </c>
      <c r="S5781" t="s">
        <v>27254</v>
      </c>
      <c r="T5781" t="s">
        <v>27269</v>
      </c>
    </row>
    <row r="5782" spans="1:20" x14ac:dyDescent="0.3">
      <c r="A5782" t="str">
        <f>"0611835302025"</f>
        <v>0611835302025</v>
      </c>
      <c r="B5782" t="str">
        <f>"MC3996"</f>
        <v>MC3996</v>
      </c>
      <c r="C5782" t="s">
        <v>38437</v>
      </c>
      <c r="D5782" t="s">
        <v>27267</v>
      </c>
      <c r="E5782" t="str">
        <f t="shared" si="90"/>
        <v>001390</v>
      </c>
      <c r="F5782" t="s">
        <v>27246</v>
      </c>
      <c r="G5782" t="s">
        <v>27247</v>
      </c>
      <c r="H5782" t="s">
        <v>27248</v>
      </c>
      <c r="I5782" t="s">
        <v>38438</v>
      </c>
      <c r="J5782" t="s">
        <v>11548</v>
      </c>
      <c r="L5782" t="s">
        <v>27250</v>
      </c>
      <c r="M5782" t="s">
        <v>27251</v>
      </c>
      <c r="N5782" t="s">
        <v>27252</v>
      </c>
      <c r="Q5782" s="1">
        <v>44538</v>
      </c>
      <c r="R5782" t="s">
        <v>27253</v>
      </c>
      <c r="S5782" t="s">
        <v>27254</v>
      </c>
      <c r="T5782" t="s">
        <v>27269</v>
      </c>
    </row>
    <row r="5783" spans="1:20" x14ac:dyDescent="0.3">
      <c r="A5783" t="str">
        <f>"0611835303025"</f>
        <v>0611835303025</v>
      </c>
      <c r="B5783" t="str">
        <f>"MC0393"</f>
        <v>MC0393</v>
      </c>
      <c r="C5783" t="s">
        <v>38439</v>
      </c>
      <c r="D5783" t="s">
        <v>27267</v>
      </c>
      <c r="E5783" t="str">
        <f t="shared" si="90"/>
        <v>001390</v>
      </c>
      <c r="F5783" t="s">
        <v>27246</v>
      </c>
      <c r="G5783" t="s">
        <v>27247</v>
      </c>
      <c r="H5783" t="s">
        <v>27248</v>
      </c>
      <c r="I5783" t="s">
        <v>38440</v>
      </c>
      <c r="J5783" t="s">
        <v>11550</v>
      </c>
      <c r="L5783" t="s">
        <v>27250</v>
      </c>
      <c r="M5783" t="s">
        <v>27251</v>
      </c>
      <c r="N5783" t="s">
        <v>27252</v>
      </c>
      <c r="Q5783" s="1">
        <v>44538</v>
      </c>
      <c r="R5783" t="s">
        <v>27253</v>
      </c>
      <c r="S5783" t="s">
        <v>27254</v>
      </c>
      <c r="T5783" t="s">
        <v>27269</v>
      </c>
    </row>
    <row r="5784" spans="1:20" x14ac:dyDescent="0.3">
      <c r="A5784" t="str">
        <f>"0611835304025"</f>
        <v>0611835304025</v>
      </c>
      <c r="B5784" t="str">
        <f>"MC0416"</f>
        <v>MC0416</v>
      </c>
      <c r="C5784" t="s">
        <v>38441</v>
      </c>
      <c r="D5784" t="s">
        <v>27267</v>
      </c>
      <c r="E5784" t="str">
        <f t="shared" si="90"/>
        <v>001390</v>
      </c>
      <c r="F5784" t="s">
        <v>27246</v>
      </c>
      <c r="G5784" t="s">
        <v>27247</v>
      </c>
      <c r="H5784" t="s">
        <v>27248</v>
      </c>
      <c r="I5784" t="s">
        <v>38442</v>
      </c>
      <c r="J5784" t="s">
        <v>11552</v>
      </c>
      <c r="L5784" t="s">
        <v>27250</v>
      </c>
      <c r="M5784" t="s">
        <v>27251</v>
      </c>
      <c r="N5784" t="s">
        <v>27252</v>
      </c>
      <c r="Q5784" s="1">
        <v>44538</v>
      </c>
      <c r="R5784" t="s">
        <v>27253</v>
      </c>
      <c r="S5784" t="s">
        <v>27254</v>
      </c>
      <c r="T5784" t="s">
        <v>27269</v>
      </c>
    </row>
    <row r="5785" spans="1:20" x14ac:dyDescent="0.3">
      <c r="A5785" t="str">
        <f>"0611835305025"</f>
        <v>0611835305025</v>
      </c>
      <c r="B5785" t="str">
        <f>"MC1980"</f>
        <v>MC1980</v>
      </c>
      <c r="C5785" t="s">
        <v>38443</v>
      </c>
      <c r="D5785" t="s">
        <v>27267</v>
      </c>
      <c r="E5785" t="str">
        <f t="shared" si="90"/>
        <v>001390</v>
      </c>
      <c r="F5785" t="s">
        <v>27246</v>
      </c>
      <c r="G5785" t="s">
        <v>27247</v>
      </c>
      <c r="H5785" t="s">
        <v>27248</v>
      </c>
      <c r="I5785" t="s">
        <v>38444</v>
      </c>
      <c r="J5785" t="s">
        <v>11554</v>
      </c>
      <c r="L5785" t="s">
        <v>27250</v>
      </c>
      <c r="M5785" t="s">
        <v>27251</v>
      </c>
      <c r="N5785" t="s">
        <v>27252</v>
      </c>
      <c r="Q5785" s="1">
        <v>44538</v>
      </c>
      <c r="R5785" t="s">
        <v>27253</v>
      </c>
      <c r="S5785" t="s">
        <v>27254</v>
      </c>
      <c r="T5785" t="s">
        <v>27269</v>
      </c>
    </row>
    <row r="5786" spans="1:20" x14ac:dyDescent="0.3">
      <c r="A5786" t="str">
        <f>"0611835306025"</f>
        <v>0611835306025</v>
      </c>
      <c r="B5786" t="str">
        <f>"MC3858"</f>
        <v>MC3858</v>
      </c>
      <c r="C5786" t="s">
        <v>38445</v>
      </c>
      <c r="D5786" t="s">
        <v>27267</v>
      </c>
      <c r="E5786" t="str">
        <f t="shared" si="90"/>
        <v>001390</v>
      </c>
      <c r="F5786" t="s">
        <v>27246</v>
      </c>
      <c r="G5786" t="s">
        <v>27247</v>
      </c>
      <c r="H5786" t="s">
        <v>27248</v>
      </c>
      <c r="I5786" t="s">
        <v>38446</v>
      </c>
      <c r="J5786" t="s">
        <v>11556</v>
      </c>
      <c r="L5786" t="s">
        <v>27430</v>
      </c>
      <c r="M5786" t="s">
        <v>27251</v>
      </c>
      <c r="N5786" t="s">
        <v>27252</v>
      </c>
      <c r="Q5786" s="1">
        <v>44538</v>
      </c>
      <c r="R5786" t="s">
        <v>27253</v>
      </c>
      <c r="S5786" t="s">
        <v>27254</v>
      </c>
      <c r="T5786" t="s">
        <v>27269</v>
      </c>
    </row>
    <row r="5787" spans="1:20" x14ac:dyDescent="0.3">
      <c r="A5787" t="str">
        <f>"0611835307025"</f>
        <v>0611835307025</v>
      </c>
      <c r="B5787" t="str">
        <f>"MC1223"</f>
        <v>MC1223</v>
      </c>
      <c r="C5787" t="s">
        <v>38447</v>
      </c>
      <c r="D5787" t="s">
        <v>27267</v>
      </c>
      <c r="E5787" t="str">
        <f t="shared" si="90"/>
        <v>001390</v>
      </c>
      <c r="F5787" t="s">
        <v>27246</v>
      </c>
      <c r="G5787" t="s">
        <v>27247</v>
      </c>
      <c r="H5787" t="s">
        <v>27248</v>
      </c>
      <c r="I5787" t="s">
        <v>38448</v>
      </c>
      <c r="J5787" t="s">
        <v>11558</v>
      </c>
      <c r="L5787" t="s">
        <v>27250</v>
      </c>
      <c r="M5787" t="s">
        <v>27251</v>
      </c>
      <c r="N5787" t="s">
        <v>27252</v>
      </c>
      <c r="Q5787" s="1">
        <v>44538</v>
      </c>
      <c r="R5787" t="s">
        <v>27253</v>
      </c>
      <c r="S5787" t="s">
        <v>27254</v>
      </c>
      <c r="T5787" t="s">
        <v>27269</v>
      </c>
    </row>
    <row r="5788" spans="1:20" x14ac:dyDescent="0.3">
      <c r="A5788" t="str">
        <f>"0611835308025"</f>
        <v>0611835308025</v>
      </c>
      <c r="B5788" t="str">
        <f>"MC1224"</f>
        <v>MC1224</v>
      </c>
      <c r="C5788" t="s">
        <v>38449</v>
      </c>
      <c r="D5788" t="s">
        <v>27267</v>
      </c>
      <c r="E5788" t="str">
        <f t="shared" si="90"/>
        <v>001390</v>
      </c>
      <c r="F5788" t="s">
        <v>27246</v>
      </c>
      <c r="G5788" t="s">
        <v>27247</v>
      </c>
      <c r="H5788" t="s">
        <v>27248</v>
      </c>
      <c r="I5788" t="s">
        <v>38450</v>
      </c>
      <c r="J5788" t="s">
        <v>11560</v>
      </c>
      <c r="L5788" t="s">
        <v>27250</v>
      </c>
      <c r="M5788" t="s">
        <v>27251</v>
      </c>
      <c r="N5788" t="s">
        <v>27252</v>
      </c>
      <c r="Q5788" s="1">
        <v>44538</v>
      </c>
      <c r="R5788" t="s">
        <v>27253</v>
      </c>
      <c r="S5788" t="s">
        <v>27254</v>
      </c>
      <c r="T5788" t="s">
        <v>27269</v>
      </c>
    </row>
    <row r="5789" spans="1:20" x14ac:dyDescent="0.3">
      <c r="A5789" t="str">
        <f>"0611835309025"</f>
        <v>0611835309025</v>
      </c>
      <c r="B5789" t="str">
        <f>"MC4215"</f>
        <v>MC4215</v>
      </c>
      <c r="C5789" t="s">
        <v>38451</v>
      </c>
      <c r="D5789" t="s">
        <v>27267</v>
      </c>
      <c r="E5789" t="str">
        <f t="shared" si="90"/>
        <v>001390</v>
      </c>
      <c r="F5789" t="s">
        <v>27246</v>
      </c>
      <c r="G5789" t="s">
        <v>27247</v>
      </c>
      <c r="H5789" t="s">
        <v>27248</v>
      </c>
      <c r="I5789" t="s">
        <v>38452</v>
      </c>
      <c r="J5789" t="s">
        <v>11562</v>
      </c>
      <c r="L5789" t="s">
        <v>27250</v>
      </c>
      <c r="M5789" t="s">
        <v>27251</v>
      </c>
      <c r="N5789" t="s">
        <v>27252</v>
      </c>
      <c r="Q5789" s="1">
        <v>44538</v>
      </c>
      <c r="R5789" t="s">
        <v>27253</v>
      </c>
      <c r="S5789" t="s">
        <v>27254</v>
      </c>
      <c r="T5789" t="s">
        <v>27269</v>
      </c>
    </row>
    <row r="5790" spans="1:20" x14ac:dyDescent="0.3">
      <c r="A5790" t="str">
        <f>"0611835310025"</f>
        <v>0611835310025</v>
      </c>
      <c r="B5790" t="str">
        <f>"MC0394"</f>
        <v>MC0394</v>
      </c>
      <c r="C5790" t="s">
        <v>38453</v>
      </c>
      <c r="D5790" t="s">
        <v>27267</v>
      </c>
      <c r="E5790" t="str">
        <f t="shared" si="90"/>
        <v>001390</v>
      </c>
      <c r="F5790" t="s">
        <v>27246</v>
      </c>
      <c r="G5790" t="s">
        <v>27247</v>
      </c>
      <c r="H5790" t="s">
        <v>27248</v>
      </c>
      <c r="I5790" t="s">
        <v>38454</v>
      </c>
      <c r="J5790" t="s">
        <v>11564</v>
      </c>
      <c r="L5790" t="s">
        <v>27250</v>
      </c>
      <c r="M5790" t="s">
        <v>27251</v>
      </c>
      <c r="N5790" t="s">
        <v>27252</v>
      </c>
      <c r="Q5790" s="1">
        <v>44538</v>
      </c>
      <c r="R5790" t="s">
        <v>27253</v>
      </c>
      <c r="S5790" t="s">
        <v>27254</v>
      </c>
      <c r="T5790" t="s">
        <v>27269</v>
      </c>
    </row>
    <row r="5791" spans="1:20" x14ac:dyDescent="0.3">
      <c r="A5791" t="str">
        <f>"0611835311025"</f>
        <v>0611835311025</v>
      </c>
      <c r="B5791" t="str">
        <f>"MC3978"</f>
        <v>MC3978</v>
      </c>
      <c r="C5791" t="s">
        <v>38455</v>
      </c>
      <c r="D5791" t="s">
        <v>27267</v>
      </c>
      <c r="E5791" t="str">
        <f t="shared" si="90"/>
        <v>001390</v>
      </c>
      <c r="F5791" t="s">
        <v>27246</v>
      </c>
      <c r="G5791" t="s">
        <v>27247</v>
      </c>
      <c r="H5791" t="s">
        <v>27248</v>
      </c>
      <c r="I5791" t="s">
        <v>38456</v>
      </c>
      <c r="J5791" t="s">
        <v>11566</v>
      </c>
      <c r="L5791" t="s">
        <v>27250</v>
      </c>
      <c r="M5791" t="s">
        <v>27251</v>
      </c>
      <c r="N5791" t="s">
        <v>27252</v>
      </c>
      <c r="Q5791" s="1">
        <v>44538</v>
      </c>
      <c r="R5791" t="s">
        <v>27253</v>
      </c>
      <c r="S5791" t="s">
        <v>27254</v>
      </c>
      <c r="T5791" t="s">
        <v>27269</v>
      </c>
    </row>
    <row r="5792" spans="1:20" x14ac:dyDescent="0.3">
      <c r="A5792" t="str">
        <f>"0611835312025"</f>
        <v>0611835312025</v>
      </c>
      <c r="B5792" t="str">
        <f>"MQ0508"</f>
        <v>MQ0508</v>
      </c>
      <c r="C5792" t="s">
        <v>38457</v>
      </c>
      <c r="D5792" t="s">
        <v>27267</v>
      </c>
      <c r="E5792" t="str">
        <f t="shared" si="90"/>
        <v>001390</v>
      </c>
      <c r="F5792" t="s">
        <v>27246</v>
      </c>
      <c r="G5792" t="s">
        <v>27247</v>
      </c>
      <c r="H5792" t="s">
        <v>27248</v>
      </c>
      <c r="I5792" t="s">
        <v>38458</v>
      </c>
      <c r="J5792" t="s">
        <v>11568</v>
      </c>
      <c r="L5792" t="s">
        <v>27250</v>
      </c>
      <c r="M5792" t="s">
        <v>27251</v>
      </c>
      <c r="N5792" t="s">
        <v>27252</v>
      </c>
      <c r="Q5792" s="1">
        <v>44538</v>
      </c>
      <c r="R5792" t="s">
        <v>27253</v>
      </c>
      <c r="S5792" t="s">
        <v>27254</v>
      </c>
      <c r="T5792" t="s">
        <v>27269</v>
      </c>
    </row>
    <row r="5793" spans="1:20" x14ac:dyDescent="0.3">
      <c r="A5793" t="str">
        <f>"0611835313025"</f>
        <v>0611835313025</v>
      </c>
      <c r="B5793" t="str">
        <f>"MC3997"</f>
        <v>MC3997</v>
      </c>
      <c r="C5793" t="s">
        <v>38459</v>
      </c>
      <c r="D5793" t="s">
        <v>27267</v>
      </c>
      <c r="E5793" t="str">
        <f t="shared" si="90"/>
        <v>001390</v>
      </c>
      <c r="F5793" t="s">
        <v>27246</v>
      </c>
      <c r="G5793" t="s">
        <v>27247</v>
      </c>
      <c r="H5793" t="s">
        <v>27248</v>
      </c>
      <c r="I5793" t="s">
        <v>38460</v>
      </c>
      <c r="J5793" t="s">
        <v>11570</v>
      </c>
      <c r="L5793" t="s">
        <v>27250</v>
      </c>
      <c r="M5793" t="s">
        <v>27251</v>
      </c>
      <c r="N5793" t="s">
        <v>27252</v>
      </c>
      <c r="Q5793" s="1">
        <v>44538</v>
      </c>
      <c r="R5793" t="s">
        <v>27253</v>
      </c>
      <c r="S5793" t="s">
        <v>27254</v>
      </c>
      <c r="T5793" t="s">
        <v>27269</v>
      </c>
    </row>
    <row r="5794" spans="1:20" x14ac:dyDescent="0.3">
      <c r="A5794" t="str">
        <f>"0611835314025"</f>
        <v>0611835314025</v>
      </c>
      <c r="B5794" t="str">
        <f>"MC1981"</f>
        <v>MC1981</v>
      </c>
      <c r="C5794" t="s">
        <v>38461</v>
      </c>
      <c r="D5794" t="s">
        <v>27267</v>
      </c>
      <c r="E5794" t="str">
        <f t="shared" si="90"/>
        <v>001390</v>
      </c>
      <c r="F5794" t="s">
        <v>27246</v>
      </c>
      <c r="G5794" t="s">
        <v>27247</v>
      </c>
      <c r="H5794" t="s">
        <v>27248</v>
      </c>
      <c r="I5794" t="s">
        <v>38462</v>
      </c>
      <c r="J5794" t="s">
        <v>11572</v>
      </c>
      <c r="L5794" t="s">
        <v>27250</v>
      </c>
      <c r="M5794" t="s">
        <v>27251</v>
      </c>
      <c r="N5794" t="s">
        <v>27252</v>
      </c>
      <c r="Q5794" s="1">
        <v>44538</v>
      </c>
      <c r="R5794" t="s">
        <v>27253</v>
      </c>
      <c r="S5794" t="s">
        <v>27254</v>
      </c>
      <c r="T5794" t="s">
        <v>27269</v>
      </c>
    </row>
    <row r="5795" spans="1:20" x14ac:dyDescent="0.3">
      <c r="A5795" t="str">
        <f>"0611835316025"</f>
        <v>0611835316025</v>
      </c>
      <c r="B5795" t="str">
        <f>"MC4058"</f>
        <v>MC4058</v>
      </c>
      <c r="C5795" t="s">
        <v>38463</v>
      </c>
      <c r="D5795" t="s">
        <v>27267</v>
      </c>
      <c r="E5795" t="str">
        <f t="shared" si="90"/>
        <v>001390</v>
      </c>
      <c r="F5795" t="s">
        <v>27246</v>
      </c>
      <c r="G5795" t="s">
        <v>27247</v>
      </c>
      <c r="H5795" t="s">
        <v>27248</v>
      </c>
      <c r="I5795" t="s">
        <v>38464</v>
      </c>
      <c r="J5795" t="s">
        <v>11574</v>
      </c>
      <c r="L5795" t="s">
        <v>27250</v>
      </c>
      <c r="M5795" t="s">
        <v>27251</v>
      </c>
      <c r="N5795" t="s">
        <v>27252</v>
      </c>
      <c r="Q5795" s="1">
        <v>44538</v>
      </c>
      <c r="R5795" t="s">
        <v>27253</v>
      </c>
      <c r="S5795" t="s">
        <v>27254</v>
      </c>
      <c r="T5795" t="s">
        <v>27269</v>
      </c>
    </row>
    <row r="5796" spans="1:20" x14ac:dyDescent="0.3">
      <c r="A5796" t="str">
        <f>"0611835317025"</f>
        <v>0611835317025</v>
      </c>
      <c r="B5796" t="str">
        <f>"MC3740"</f>
        <v>MC3740</v>
      </c>
      <c r="C5796" t="s">
        <v>38465</v>
      </c>
      <c r="D5796" t="s">
        <v>27267</v>
      </c>
      <c r="E5796" t="str">
        <f t="shared" si="90"/>
        <v>001390</v>
      </c>
      <c r="F5796" t="s">
        <v>27246</v>
      </c>
      <c r="G5796" t="s">
        <v>27247</v>
      </c>
      <c r="H5796" t="s">
        <v>27248</v>
      </c>
      <c r="I5796" t="s">
        <v>38466</v>
      </c>
      <c r="J5796" t="s">
        <v>11576</v>
      </c>
      <c r="L5796" t="s">
        <v>27250</v>
      </c>
      <c r="M5796" t="s">
        <v>27251</v>
      </c>
      <c r="N5796" t="s">
        <v>27252</v>
      </c>
      <c r="Q5796" s="1">
        <v>44538</v>
      </c>
      <c r="R5796" t="s">
        <v>27253</v>
      </c>
      <c r="S5796" t="s">
        <v>27254</v>
      </c>
      <c r="T5796" t="s">
        <v>27269</v>
      </c>
    </row>
    <row r="5797" spans="1:20" x14ac:dyDescent="0.3">
      <c r="A5797" t="str">
        <f>"0611835318025"</f>
        <v>0611835318025</v>
      </c>
      <c r="B5797" t="str">
        <f>"MC3980"</f>
        <v>MC3980</v>
      </c>
      <c r="C5797" t="s">
        <v>38467</v>
      </c>
      <c r="D5797" t="s">
        <v>27267</v>
      </c>
      <c r="E5797" t="str">
        <f t="shared" si="90"/>
        <v>001390</v>
      </c>
      <c r="F5797" t="s">
        <v>27246</v>
      </c>
      <c r="G5797" t="s">
        <v>27247</v>
      </c>
      <c r="H5797" t="s">
        <v>27248</v>
      </c>
      <c r="I5797" t="s">
        <v>38468</v>
      </c>
      <c r="J5797" t="s">
        <v>11578</v>
      </c>
      <c r="L5797" t="s">
        <v>27250</v>
      </c>
      <c r="M5797" t="s">
        <v>27251</v>
      </c>
      <c r="N5797" t="s">
        <v>27252</v>
      </c>
      <c r="Q5797" s="1">
        <v>44538</v>
      </c>
      <c r="R5797" t="s">
        <v>27253</v>
      </c>
      <c r="S5797" t="s">
        <v>27254</v>
      </c>
      <c r="T5797" t="s">
        <v>27269</v>
      </c>
    </row>
    <row r="5798" spans="1:20" x14ac:dyDescent="0.3">
      <c r="A5798" t="str">
        <f>"0611835319025"</f>
        <v>0611835319025</v>
      </c>
      <c r="B5798" t="str">
        <f>"MC3981"</f>
        <v>MC3981</v>
      </c>
      <c r="C5798" t="s">
        <v>38469</v>
      </c>
      <c r="D5798" t="s">
        <v>27267</v>
      </c>
      <c r="E5798" t="str">
        <f t="shared" si="90"/>
        <v>001390</v>
      </c>
      <c r="F5798" t="s">
        <v>27246</v>
      </c>
      <c r="G5798" t="s">
        <v>27247</v>
      </c>
      <c r="H5798" t="s">
        <v>27248</v>
      </c>
      <c r="I5798" t="s">
        <v>38470</v>
      </c>
      <c r="J5798" t="s">
        <v>11580</v>
      </c>
      <c r="L5798" t="s">
        <v>27250</v>
      </c>
      <c r="M5798" t="s">
        <v>27251</v>
      </c>
      <c r="N5798" t="s">
        <v>27252</v>
      </c>
      <c r="Q5798" s="1">
        <v>44538</v>
      </c>
      <c r="R5798" t="s">
        <v>27253</v>
      </c>
      <c r="S5798" t="s">
        <v>27254</v>
      </c>
      <c r="T5798" t="s">
        <v>27269</v>
      </c>
    </row>
    <row r="5799" spans="1:20" x14ac:dyDescent="0.3">
      <c r="A5799" t="str">
        <f>"0611835320025"</f>
        <v>0611835320025</v>
      </c>
      <c r="B5799" t="str">
        <f>"MC0420"</f>
        <v>MC0420</v>
      </c>
      <c r="C5799" t="s">
        <v>38471</v>
      </c>
      <c r="D5799" t="s">
        <v>27267</v>
      </c>
      <c r="E5799" t="str">
        <f t="shared" si="90"/>
        <v>001390</v>
      </c>
      <c r="F5799" t="s">
        <v>27246</v>
      </c>
      <c r="G5799" t="s">
        <v>27247</v>
      </c>
      <c r="H5799" t="s">
        <v>27248</v>
      </c>
      <c r="I5799" t="s">
        <v>38472</v>
      </c>
      <c r="J5799" t="s">
        <v>11582</v>
      </c>
      <c r="L5799" t="s">
        <v>27250</v>
      </c>
      <c r="M5799" t="s">
        <v>27251</v>
      </c>
      <c r="N5799" t="s">
        <v>27252</v>
      </c>
      <c r="Q5799" s="1">
        <v>44538</v>
      </c>
      <c r="R5799" t="s">
        <v>27253</v>
      </c>
      <c r="S5799" t="s">
        <v>27254</v>
      </c>
      <c r="T5799" t="s">
        <v>27269</v>
      </c>
    </row>
    <row r="5800" spans="1:20" x14ac:dyDescent="0.3">
      <c r="A5800" t="str">
        <f>"0611835321025"</f>
        <v>0611835321025</v>
      </c>
      <c r="B5800" t="str">
        <f>"MC2468"</f>
        <v>MC2468</v>
      </c>
      <c r="C5800" t="s">
        <v>38473</v>
      </c>
      <c r="D5800" t="s">
        <v>27267</v>
      </c>
      <c r="E5800" t="str">
        <f t="shared" si="90"/>
        <v>001390</v>
      </c>
      <c r="F5800" t="s">
        <v>27246</v>
      </c>
      <c r="G5800" t="s">
        <v>27247</v>
      </c>
      <c r="H5800" t="s">
        <v>27248</v>
      </c>
      <c r="I5800" t="s">
        <v>38474</v>
      </c>
      <c r="J5800" t="s">
        <v>11584</v>
      </c>
      <c r="L5800" t="s">
        <v>27250</v>
      </c>
      <c r="M5800" t="s">
        <v>27251</v>
      </c>
      <c r="N5800" t="s">
        <v>27252</v>
      </c>
      <c r="Q5800" s="1">
        <v>44538</v>
      </c>
      <c r="R5800" t="s">
        <v>27253</v>
      </c>
      <c r="S5800" t="s">
        <v>27254</v>
      </c>
      <c r="T5800" t="s">
        <v>27269</v>
      </c>
    </row>
    <row r="5801" spans="1:20" x14ac:dyDescent="0.3">
      <c r="A5801" t="str">
        <f>"0611835322025"</f>
        <v>0611835322025</v>
      </c>
      <c r="B5801" t="str">
        <f>"MC3982"</f>
        <v>MC3982</v>
      </c>
      <c r="C5801" t="s">
        <v>38475</v>
      </c>
      <c r="D5801" t="s">
        <v>27267</v>
      </c>
      <c r="E5801" t="str">
        <f t="shared" si="90"/>
        <v>001390</v>
      </c>
      <c r="F5801" t="s">
        <v>27246</v>
      </c>
      <c r="G5801" t="s">
        <v>27247</v>
      </c>
      <c r="H5801" t="s">
        <v>27248</v>
      </c>
      <c r="I5801" t="s">
        <v>38476</v>
      </c>
      <c r="J5801" t="s">
        <v>11586</v>
      </c>
      <c r="L5801" t="s">
        <v>27250</v>
      </c>
      <c r="M5801" t="s">
        <v>27251</v>
      </c>
      <c r="N5801" t="s">
        <v>27252</v>
      </c>
      <c r="Q5801" s="1">
        <v>44538</v>
      </c>
      <c r="R5801" t="s">
        <v>27253</v>
      </c>
      <c r="S5801" t="s">
        <v>27254</v>
      </c>
      <c r="T5801" t="s">
        <v>27269</v>
      </c>
    </row>
    <row r="5802" spans="1:20" x14ac:dyDescent="0.3">
      <c r="A5802" t="str">
        <f>"0611835323025"</f>
        <v>0611835323025</v>
      </c>
      <c r="B5802" t="str">
        <f>"MC3513"</f>
        <v>MC3513</v>
      </c>
      <c r="C5802" t="s">
        <v>38477</v>
      </c>
      <c r="D5802" t="s">
        <v>27267</v>
      </c>
      <c r="E5802" t="str">
        <f t="shared" si="90"/>
        <v>001390</v>
      </c>
      <c r="F5802" t="s">
        <v>27246</v>
      </c>
      <c r="G5802" t="s">
        <v>27247</v>
      </c>
      <c r="H5802" t="s">
        <v>27248</v>
      </c>
      <c r="I5802" t="s">
        <v>38478</v>
      </c>
      <c r="J5802" t="s">
        <v>11588</v>
      </c>
      <c r="L5802" t="s">
        <v>27250</v>
      </c>
      <c r="M5802" t="s">
        <v>27251</v>
      </c>
      <c r="N5802" t="s">
        <v>27252</v>
      </c>
      <c r="Q5802" s="1">
        <v>44538</v>
      </c>
      <c r="R5802" t="s">
        <v>27253</v>
      </c>
      <c r="S5802" t="s">
        <v>27254</v>
      </c>
      <c r="T5802" t="s">
        <v>27269</v>
      </c>
    </row>
    <row r="5803" spans="1:20" x14ac:dyDescent="0.3">
      <c r="A5803" t="str">
        <f>"0611835324025"</f>
        <v>0611835324025</v>
      </c>
      <c r="B5803" t="str">
        <f>"MC2732"</f>
        <v>MC2732</v>
      </c>
      <c r="C5803" t="s">
        <v>38479</v>
      </c>
      <c r="D5803" t="s">
        <v>27267</v>
      </c>
      <c r="E5803" t="str">
        <f t="shared" si="90"/>
        <v>001390</v>
      </c>
      <c r="F5803" t="s">
        <v>27246</v>
      </c>
      <c r="G5803" t="s">
        <v>27247</v>
      </c>
      <c r="H5803" t="s">
        <v>27248</v>
      </c>
      <c r="I5803" t="s">
        <v>38480</v>
      </c>
      <c r="J5803" t="s">
        <v>11590</v>
      </c>
      <c r="L5803" t="s">
        <v>27250</v>
      </c>
      <c r="M5803" t="s">
        <v>27251</v>
      </c>
      <c r="N5803" t="s">
        <v>27252</v>
      </c>
      <c r="Q5803" s="1">
        <v>44538</v>
      </c>
      <c r="R5803" t="s">
        <v>27253</v>
      </c>
      <c r="S5803" t="s">
        <v>27254</v>
      </c>
      <c r="T5803" t="s">
        <v>27269</v>
      </c>
    </row>
    <row r="5804" spans="1:20" x14ac:dyDescent="0.3">
      <c r="A5804" t="str">
        <f>"0611835325025"</f>
        <v>0611835325025</v>
      </c>
      <c r="B5804" t="str">
        <f>"MC0396"</f>
        <v>MC0396</v>
      </c>
      <c r="C5804" t="s">
        <v>38481</v>
      </c>
      <c r="D5804" t="s">
        <v>27267</v>
      </c>
      <c r="E5804" t="str">
        <f t="shared" si="90"/>
        <v>001390</v>
      </c>
      <c r="F5804" t="s">
        <v>27246</v>
      </c>
      <c r="G5804" t="s">
        <v>27247</v>
      </c>
      <c r="H5804" t="s">
        <v>27248</v>
      </c>
      <c r="I5804" t="s">
        <v>38482</v>
      </c>
      <c r="J5804" t="s">
        <v>11592</v>
      </c>
      <c r="L5804" t="s">
        <v>27250</v>
      </c>
      <c r="M5804" t="s">
        <v>27251</v>
      </c>
      <c r="N5804" t="s">
        <v>27252</v>
      </c>
      <c r="Q5804" s="1">
        <v>44538</v>
      </c>
      <c r="R5804" t="s">
        <v>27253</v>
      </c>
      <c r="S5804" t="s">
        <v>27254</v>
      </c>
      <c r="T5804" t="s">
        <v>27269</v>
      </c>
    </row>
    <row r="5805" spans="1:20" x14ac:dyDescent="0.3">
      <c r="A5805" t="str">
        <f>"0611835326025"</f>
        <v>0611835326025</v>
      </c>
      <c r="B5805" t="str">
        <f>"MC0397"</f>
        <v>MC0397</v>
      </c>
      <c r="C5805" t="s">
        <v>38483</v>
      </c>
      <c r="D5805" t="s">
        <v>27267</v>
      </c>
      <c r="E5805" t="str">
        <f t="shared" si="90"/>
        <v>001390</v>
      </c>
      <c r="F5805" t="s">
        <v>27246</v>
      </c>
      <c r="G5805" t="s">
        <v>27247</v>
      </c>
      <c r="H5805" t="s">
        <v>27248</v>
      </c>
      <c r="I5805" t="s">
        <v>38484</v>
      </c>
      <c r="J5805" t="s">
        <v>11594</v>
      </c>
      <c r="L5805" t="s">
        <v>27250</v>
      </c>
      <c r="M5805" t="s">
        <v>27251</v>
      </c>
      <c r="N5805" t="s">
        <v>27252</v>
      </c>
      <c r="Q5805" s="1">
        <v>44538</v>
      </c>
      <c r="R5805" t="s">
        <v>27253</v>
      </c>
      <c r="S5805" t="s">
        <v>27254</v>
      </c>
      <c r="T5805" t="s">
        <v>27269</v>
      </c>
    </row>
    <row r="5806" spans="1:20" x14ac:dyDescent="0.3">
      <c r="A5806" t="str">
        <f>"0611884251025"</f>
        <v>0611884251025</v>
      </c>
      <c r="B5806" t="str">
        <f>"MC4523"</f>
        <v>MC4523</v>
      </c>
      <c r="C5806" t="s">
        <v>38485</v>
      </c>
      <c r="D5806" t="s">
        <v>27267</v>
      </c>
      <c r="E5806" t="str">
        <f t="shared" si="90"/>
        <v>001390</v>
      </c>
      <c r="F5806" t="s">
        <v>27246</v>
      </c>
      <c r="G5806" t="s">
        <v>27247</v>
      </c>
      <c r="H5806" t="s">
        <v>27248</v>
      </c>
      <c r="I5806" t="s">
        <v>38486</v>
      </c>
      <c r="J5806" t="s">
        <v>11596</v>
      </c>
      <c r="L5806" t="s">
        <v>27430</v>
      </c>
      <c r="M5806" t="s">
        <v>27251</v>
      </c>
      <c r="N5806" t="s">
        <v>27252</v>
      </c>
      <c r="Q5806" s="1">
        <v>45250</v>
      </c>
      <c r="R5806" t="s">
        <v>27253</v>
      </c>
      <c r="S5806" t="s">
        <v>27254</v>
      </c>
      <c r="T5806" t="s">
        <v>27269</v>
      </c>
    </row>
    <row r="5807" spans="1:20" x14ac:dyDescent="0.3">
      <c r="A5807" t="str">
        <f>"0611835327025"</f>
        <v>0611835327025</v>
      </c>
      <c r="B5807" t="str">
        <f>"MC0400"</f>
        <v>MC0400</v>
      </c>
      <c r="C5807" t="s">
        <v>38487</v>
      </c>
      <c r="D5807" t="s">
        <v>27267</v>
      </c>
      <c r="E5807" t="str">
        <f t="shared" si="90"/>
        <v>001390</v>
      </c>
      <c r="F5807" t="s">
        <v>27246</v>
      </c>
      <c r="G5807" t="s">
        <v>27247</v>
      </c>
      <c r="H5807" t="s">
        <v>27248</v>
      </c>
      <c r="I5807" t="s">
        <v>38488</v>
      </c>
      <c r="J5807" t="s">
        <v>11600</v>
      </c>
      <c r="L5807" t="s">
        <v>27250</v>
      </c>
      <c r="M5807" t="s">
        <v>27251</v>
      </c>
      <c r="N5807" t="s">
        <v>27252</v>
      </c>
      <c r="Q5807" s="1">
        <v>44538</v>
      </c>
      <c r="R5807" t="s">
        <v>27253</v>
      </c>
      <c r="S5807" t="s">
        <v>27254</v>
      </c>
      <c r="T5807" t="s">
        <v>27269</v>
      </c>
    </row>
    <row r="5808" spans="1:20" x14ac:dyDescent="0.3">
      <c r="A5808" t="str">
        <f>"0611835328025"</f>
        <v>0611835328025</v>
      </c>
      <c r="B5808" t="str">
        <f>"MC0401"</f>
        <v>MC0401</v>
      </c>
      <c r="C5808" t="s">
        <v>38489</v>
      </c>
      <c r="D5808" t="s">
        <v>27267</v>
      </c>
      <c r="E5808" t="str">
        <f t="shared" si="90"/>
        <v>001390</v>
      </c>
      <c r="F5808" t="s">
        <v>27246</v>
      </c>
      <c r="G5808" t="s">
        <v>27247</v>
      </c>
      <c r="H5808" t="s">
        <v>27248</v>
      </c>
      <c r="I5808" t="s">
        <v>38490</v>
      </c>
      <c r="J5808" t="s">
        <v>11602</v>
      </c>
      <c r="L5808" t="s">
        <v>27250</v>
      </c>
      <c r="M5808" t="s">
        <v>27251</v>
      </c>
      <c r="N5808" t="s">
        <v>27252</v>
      </c>
      <c r="Q5808" s="1">
        <v>44538</v>
      </c>
      <c r="R5808" t="s">
        <v>27253</v>
      </c>
      <c r="S5808" t="s">
        <v>27254</v>
      </c>
      <c r="T5808" t="s">
        <v>27269</v>
      </c>
    </row>
    <row r="5809" spans="1:20" x14ac:dyDescent="0.3">
      <c r="A5809" t="str">
        <f>"0611835329025"</f>
        <v>0611835329025</v>
      </c>
      <c r="B5809" t="str">
        <f>"MC0879"</f>
        <v>MC0879</v>
      </c>
      <c r="C5809" t="s">
        <v>38491</v>
      </c>
      <c r="D5809" t="s">
        <v>27267</v>
      </c>
      <c r="E5809" t="str">
        <f t="shared" si="90"/>
        <v>001390</v>
      </c>
      <c r="F5809" t="s">
        <v>27246</v>
      </c>
      <c r="G5809" t="s">
        <v>27247</v>
      </c>
      <c r="H5809" t="s">
        <v>27248</v>
      </c>
      <c r="I5809" t="s">
        <v>38492</v>
      </c>
      <c r="J5809" t="s">
        <v>11604</v>
      </c>
      <c r="L5809" t="s">
        <v>27250</v>
      </c>
      <c r="M5809" t="s">
        <v>27251</v>
      </c>
      <c r="N5809" t="s">
        <v>27252</v>
      </c>
      <c r="Q5809" s="1">
        <v>44538</v>
      </c>
      <c r="R5809" t="s">
        <v>27253</v>
      </c>
      <c r="S5809" t="s">
        <v>27254</v>
      </c>
      <c r="T5809" t="s">
        <v>27269</v>
      </c>
    </row>
    <row r="5810" spans="1:20" x14ac:dyDescent="0.3">
      <c r="A5810" t="str">
        <f>"0611835330025"</f>
        <v>0611835330025</v>
      </c>
      <c r="B5810" t="str">
        <f>"MC3893"</f>
        <v>MC3893</v>
      </c>
      <c r="C5810" t="s">
        <v>38493</v>
      </c>
      <c r="D5810" t="s">
        <v>27267</v>
      </c>
      <c r="E5810" t="str">
        <f t="shared" si="90"/>
        <v>001390</v>
      </c>
      <c r="F5810" t="s">
        <v>27246</v>
      </c>
      <c r="G5810" t="s">
        <v>27247</v>
      </c>
      <c r="H5810" t="s">
        <v>27248</v>
      </c>
      <c r="I5810" t="s">
        <v>38494</v>
      </c>
      <c r="J5810" t="s">
        <v>11606</v>
      </c>
      <c r="L5810" t="s">
        <v>27250</v>
      </c>
      <c r="M5810" t="s">
        <v>27251</v>
      </c>
      <c r="N5810" t="s">
        <v>27252</v>
      </c>
      <c r="Q5810" s="1">
        <v>44538</v>
      </c>
      <c r="R5810" t="s">
        <v>27253</v>
      </c>
      <c r="S5810" t="s">
        <v>27254</v>
      </c>
      <c r="T5810" t="s">
        <v>27269</v>
      </c>
    </row>
    <row r="5811" spans="1:20" x14ac:dyDescent="0.3">
      <c r="A5811" t="str">
        <f>"0611835331025"</f>
        <v>0611835331025</v>
      </c>
      <c r="B5811" t="str">
        <f>"MC4059"</f>
        <v>MC4059</v>
      </c>
      <c r="C5811" t="s">
        <v>38495</v>
      </c>
      <c r="D5811" t="s">
        <v>27267</v>
      </c>
      <c r="E5811" t="str">
        <f t="shared" si="90"/>
        <v>001390</v>
      </c>
      <c r="F5811" t="s">
        <v>27246</v>
      </c>
      <c r="G5811" t="s">
        <v>27247</v>
      </c>
      <c r="H5811" t="s">
        <v>27248</v>
      </c>
      <c r="I5811" t="s">
        <v>38496</v>
      </c>
      <c r="J5811" t="s">
        <v>11608</v>
      </c>
      <c r="L5811" t="s">
        <v>27250</v>
      </c>
      <c r="M5811" t="s">
        <v>27251</v>
      </c>
      <c r="N5811" t="s">
        <v>27252</v>
      </c>
      <c r="Q5811" s="1">
        <v>44538</v>
      </c>
      <c r="R5811" t="s">
        <v>27253</v>
      </c>
      <c r="S5811" t="s">
        <v>27254</v>
      </c>
      <c r="T5811" t="s">
        <v>27269</v>
      </c>
    </row>
    <row r="5812" spans="1:20" x14ac:dyDescent="0.3">
      <c r="A5812" t="str">
        <f>"0611835332025"</f>
        <v>0611835332025</v>
      </c>
      <c r="B5812" t="str">
        <f>"MC0403"</f>
        <v>MC0403</v>
      </c>
      <c r="C5812" t="s">
        <v>38497</v>
      </c>
      <c r="D5812" t="s">
        <v>27267</v>
      </c>
      <c r="E5812" t="str">
        <f t="shared" si="90"/>
        <v>001390</v>
      </c>
      <c r="F5812" t="s">
        <v>27246</v>
      </c>
      <c r="G5812" t="s">
        <v>27247</v>
      </c>
      <c r="H5812" t="s">
        <v>27248</v>
      </c>
      <c r="I5812" t="s">
        <v>38498</v>
      </c>
      <c r="J5812" t="s">
        <v>11610</v>
      </c>
      <c r="L5812" t="s">
        <v>27250</v>
      </c>
      <c r="M5812" t="s">
        <v>27251</v>
      </c>
      <c r="N5812" t="s">
        <v>27252</v>
      </c>
      <c r="Q5812" s="1">
        <v>44538</v>
      </c>
      <c r="R5812" t="s">
        <v>27253</v>
      </c>
      <c r="S5812" t="s">
        <v>27254</v>
      </c>
      <c r="T5812" t="s">
        <v>27269</v>
      </c>
    </row>
    <row r="5813" spans="1:20" x14ac:dyDescent="0.3">
      <c r="A5813" t="str">
        <f>"0611835333025"</f>
        <v>0611835333025</v>
      </c>
      <c r="B5813" t="str">
        <f>"MC0413"</f>
        <v>MC0413</v>
      </c>
      <c r="C5813" t="s">
        <v>38499</v>
      </c>
      <c r="D5813" t="s">
        <v>27267</v>
      </c>
      <c r="E5813" t="str">
        <f t="shared" si="90"/>
        <v>001390</v>
      </c>
      <c r="F5813" t="s">
        <v>27246</v>
      </c>
      <c r="G5813" t="s">
        <v>27247</v>
      </c>
      <c r="H5813" t="s">
        <v>27248</v>
      </c>
      <c r="I5813" t="s">
        <v>38500</v>
      </c>
      <c r="J5813" t="s">
        <v>11598</v>
      </c>
      <c r="L5813" t="s">
        <v>27250</v>
      </c>
      <c r="M5813" t="s">
        <v>27251</v>
      </c>
      <c r="N5813" t="s">
        <v>27252</v>
      </c>
      <c r="Q5813" s="1">
        <v>44538</v>
      </c>
      <c r="R5813" t="s">
        <v>27253</v>
      </c>
      <c r="S5813" t="s">
        <v>27254</v>
      </c>
      <c r="T5813" t="s">
        <v>27269</v>
      </c>
    </row>
    <row r="5814" spans="1:20" x14ac:dyDescent="0.3">
      <c r="A5814" t="str">
        <f>"0611835334025"</f>
        <v>0611835334025</v>
      </c>
      <c r="B5814" t="str">
        <f>"MC0417"</f>
        <v>MC0417</v>
      </c>
      <c r="C5814" t="s">
        <v>38501</v>
      </c>
      <c r="D5814" t="s">
        <v>27267</v>
      </c>
      <c r="E5814" t="str">
        <f t="shared" si="90"/>
        <v>001390</v>
      </c>
      <c r="F5814" t="s">
        <v>27246</v>
      </c>
      <c r="G5814" t="s">
        <v>27247</v>
      </c>
      <c r="H5814" t="s">
        <v>27248</v>
      </c>
      <c r="I5814" t="s">
        <v>38502</v>
      </c>
      <c r="J5814" t="s">
        <v>11612</v>
      </c>
      <c r="L5814" t="s">
        <v>27250</v>
      </c>
      <c r="M5814" t="s">
        <v>27251</v>
      </c>
      <c r="N5814" t="s">
        <v>27252</v>
      </c>
      <c r="Q5814" s="1">
        <v>44538</v>
      </c>
      <c r="R5814" t="s">
        <v>27253</v>
      </c>
      <c r="S5814" t="s">
        <v>27254</v>
      </c>
      <c r="T5814" t="s">
        <v>27269</v>
      </c>
    </row>
    <row r="5815" spans="1:20" x14ac:dyDescent="0.3">
      <c r="A5815" t="str">
        <f>"0611835335025"</f>
        <v>0611835335025</v>
      </c>
      <c r="B5815" t="str">
        <f>"MC1234"</f>
        <v>MC1234</v>
      </c>
      <c r="C5815" t="s">
        <v>38503</v>
      </c>
      <c r="D5815" t="s">
        <v>27267</v>
      </c>
      <c r="E5815" t="str">
        <f t="shared" si="90"/>
        <v>001390</v>
      </c>
      <c r="F5815" t="s">
        <v>27246</v>
      </c>
      <c r="G5815" t="s">
        <v>27247</v>
      </c>
      <c r="H5815" t="s">
        <v>27248</v>
      </c>
      <c r="I5815" t="s">
        <v>38504</v>
      </c>
      <c r="J5815" t="s">
        <v>11614</v>
      </c>
      <c r="L5815" t="s">
        <v>27250</v>
      </c>
      <c r="M5815" t="s">
        <v>27251</v>
      </c>
      <c r="N5815" t="s">
        <v>27252</v>
      </c>
      <c r="Q5815" s="1">
        <v>44538</v>
      </c>
      <c r="R5815" t="s">
        <v>27253</v>
      </c>
      <c r="S5815" t="s">
        <v>27254</v>
      </c>
      <c r="T5815" t="s">
        <v>27269</v>
      </c>
    </row>
    <row r="5816" spans="1:20" x14ac:dyDescent="0.3">
      <c r="A5816" t="str">
        <f>"0611835336025"</f>
        <v>0611835336025</v>
      </c>
      <c r="B5816" t="str">
        <f>"MC0405"</f>
        <v>MC0405</v>
      </c>
      <c r="C5816" t="s">
        <v>38505</v>
      </c>
      <c r="D5816" t="s">
        <v>27267</v>
      </c>
      <c r="E5816" t="str">
        <f t="shared" si="90"/>
        <v>001390</v>
      </c>
      <c r="F5816" t="s">
        <v>27246</v>
      </c>
      <c r="G5816" t="s">
        <v>27247</v>
      </c>
      <c r="H5816" t="s">
        <v>27248</v>
      </c>
      <c r="I5816" t="s">
        <v>38506</v>
      </c>
      <c r="J5816" t="s">
        <v>11616</v>
      </c>
      <c r="L5816" t="s">
        <v>27250</v>
      </c>
      <c r="M5816" t="s">
        <v>27251</v>
      </c>
      <c r="N5816" t="s">
        <v>27252</v>
      </c>
      <c r="Q5816" s="1">
        <v>44538</v>
      </c>
      <c r="R5816" t="s">
        <v>27253</v>
      </c>
      <c r="S5816" t="s">
        <v>27254</v>
      </c>
      <c r="T5816" t="s">
        <v>27269</v>
      </c>
    </row>
    <row r="5817" spans="1:20" x14ac:dyDescent="0.3">
      <c r="A5817" t="str">
        <f>"0611835338025"</f>
        <v>0611835338025</v>
      </c>
      <c r="B5817" t="str">
        <f>"MC2733"</f>
        <v>MC2733</v>
      </c>
      <c r="C5817" t="s">
        <v>38507</v>
      </c>
      <c r="D5817" t="s">
        <v>27267</v>
      </c>
      <c r="E5817" t="str">
        <f t="shared" si="90"/>
        <v>001390</v>
      </c>
      <c r="F5817" t="s">
        <v>27246</v>
      </c>
      <c r="G5817" t="s">
        <v>27247</v>
      </c>
      <c r="H5817" t="s">
        <v>27248</v>
      </c>
      <c r="I5817" t="s">
        <v>38508</v>
      </c>
      <c r="J5817" t="s">
        <v>11618</v>
      </c>
      <c r="L5817" t="s">
        <v>27250</v>
      </c>
      <c r="M5817" t="s">
        <v>27251</v>
      </c>
      <c r="N5817" t="s">
        <v>27252</v>
      </c>
      <c r="Q5817" s="1">
        <v>44538</v>
      </c>
      <c r="R5817" t="s">
        <v>27253</v>
      </c>
      <c r="S5817" t="s">
        <v>27254</v>
      </c>
      <c r="T5817" t="s">
        <v>27269</v>
      </c>
    </row>
    <row r="5818" spans="1:20" x14ac:dyDescent="0.3">
      <c r="A5818" t="str">
        <f>"0611835340025"</f>
        <v>0611835340025</v>
      </c>
      <c r="B5818" t="str">
        <f>"MC1460"</f>
        <v>MC1460</v>
      </c>
      <c r="C5818" t="s">
        <v>38509</v>
      </c>
      <c r="D5818" t="s">
        <v>27267</v>
      </c>
      <c r="E5818" t="str">
        <f t="shared" si="90"/>
        <v>001390</v>
      </c>
      <c r="F5818" t="s">
        <v>27246</v>
      </c>
      <c r="G5818" t="s">
        <v>27247</v>
      </c>
      <c r="H5818" t="s">
        <v>27248</v>
      </c>
      <c r="I5818" t="s">
        <v>38510</v>
      </c>
      <c r="J5818" t="s">
        <v>11620</v>
      </c>
      <c r="L5818" t="s">
        <v>27250</v>
      </c>
      <c r="M5818" t="s">
        <v>27251</v>
      </c>
      <c r="N5818" t="s">
        <v>27252</v>
      </c>
      <c r="Q5818" s="1">
        <v>44538</v>
      </c>
      <c r="R5818" t="s">
        <v>27253</v>
      </c>
      <c r="S5818" t="s">
        <v>27254</v>
      </c>
      <c r="T5818" t="s">
        <v>27269</v>
      </c>
    </row>
    <row r="5819" spans="1:20" x14ac:dyDescent="0.3">
      <c r="A5819" t="str">
        <f>"0611884252025"</f>
        <v>0611884252025</v>
      </c>
      <c r="B5819" t="str">
        <f>"MC4524"</f>
        <v>MC4524</v>
      </c>
      <c r="C5819" t="s">
        <v>38511</v>
      </c>
      <c r="D5819" t="s">
        <v>27267</v>
      </c>
      <c r="E5819" t="str">
        <f t="shared" si="90"/>
        <v>001390</v>
      </c>
      <c r="F5819" t="s">
        <v>27246</v>
      </c>
      <c r="G5819" t="s">
        <v>27247</v>
      </c>
      <c r="H5819" t="s">
        <v>27248</v>
      </c>
      <c r="I5819" t="s">
        <v>38512</v>
      </c>
      <c r="J5819" t="s">
        <v>11622</v>
      </c>
      <c r="L5819" t="s">
        <v>27430</v>
      </c>
      <c r="M5819" t="s">
        <v>27251</v>
      </c>
      <c r="N5819" t="s">
        <v>27252</v>
      </c>
      <c r="Q5819" s="1">
        <v>45250</v>
      </c>
      <c r="R5819" t="s">
        <v>27253</v>
      </c>
      <c r="S5819" t="s">
        <v>27254</v>
      </c>
      <c r="T5819" t="s">
        <v>27269</v>
      </c>
    </row>
    <row r="5820" spans="1:20" x14ac:dyDescent="0.3">
      <c r="A5820" t="str">
        <f>"0611835341025"</f>
        <v>0611835341025</v>
      </c>
      <c r="B5820" t="str">
        <f>"MC3565"</f>
        <v>MC3565</v>
      </c>
      <c r="C5820" t="s">
        <v>38513</v>
      </c>
      <c r="D5820" t="s">
        <v>27267</v>
      </c>
      <c r="E5820" t="str">
        <f t="shared" si="90"/>
        <v>001390</v>
      </c>
      <c r="F5820" t="s">
        <v>27246</v>
      </c>
      <c r="G5820" t="s">
        <v>27247</v>
      </c>
      <c r="H5820" t="s">
        <v>27248</v>
      </c>
      <c r="I5820" t="s">
        <v>38514</v>
      </c>
      <c r="J5820" t="s">
        <v>11624</v>
      </c>
      <c r="L5820" t="s">
        <v>27250</v>
      </c>
      <c r="M5820" t="s">
        <v>27251</v>
      </c>
      <c r="N5820" t="s">
        <v>27252</v>
      </c>
      <c r="Q5820" s="1">
        <v>44538</v>
      </c>
      <c r="R5820" t="s">
        <v>27253</v>
      </c>
      <c r="S5820" t="s">
        <v>27254</v>
      </c>
      <c r="T5820" t="s">
        <v>27269</v>
      </c>
    </row>
    <row r="5821" spans="1:20" x14ac:dyDescent="0.3">
      <c r="A5821" t="str">
        <f>"0611835342100"</f>
        <v>0611835342100</v>
      </c>
      <c r="B5821" t="str">
        <f>"LH4834"</f>
        <v>LH4834</v>
      </c>
      <c r="C5821" t="s">
        <v>38515</v>
      </c>
      <c r="D5821" t="s">
        <v>27245</v>
      </c>
      <c r="E5821" t="str">
        <f t="shared" si="90"/>
        <v>001390</v>
      </c>
      <c r="F5821" t="s">
        <v>27246</v>
      </c>
      <c r="G5821" t="s">
        <v>27247</v>
      </c>
      <c r="H5821" t="s">
        <v>27248</v>
      </c>
      <c r="I5821" t="s">
        <v>38516</v>
      </c>
      <c r="J5821" t="s">
        <v>11626</v>
      </c>
      <c r="L5821" t="s">
        <v>27250</v>
      </c>
      <c r="M5821" t="s">
        <v>27251</v>
      </c>
      <c r="N5821" t="s">
        <v>27252</v>
      </c>
      <c r="Q5821" s="1">
        <v>44538</v>
      </c>
      <c r="R5821" t="s">
        <v>27253</v>
      </c>
      <c r="S5821" t="s">
        <v>27254</v>
      </c>
      <c r="T5821" t="s">
        <v>27255</v>
      </c>
    </row>
    <row r="5822" spans="1:20" x14ac:dyDescent="0.3">
      <c r="A5822" t="str">
        <f>"0611835343025"</f>
        <v>0611835343025</v>
      </c>
      <c r="B5822" t="str">
        <f>"MC0406"</f>
        <v>MC0406</v>
      </c>
      <c r="C5822" t="s">
        <v>38515</v>
      </c>
      <c r="D5822" t="s">
        <v>27267</v>
      </c>
      <c r="E5822" t="str">
        <f t="shared" si="90"/>
        <v>001390</v>
      </c>
      <c r="F5822" t="s">
        <v>27246</v>
      </c>
      <c r="G5822" t="s">
        <v>27247</v>
      </c>
      <c r="H5822" t="s">
        <v>27248</v>
      </c>
      <c r="I5822" t="s">
        <v>38517</v>
      </c>
      <c r="J5822" t="s">
        <v>11628</v>
      </c>
      <c r="L5822" t="s">
        <v>27250</v>
      </c>
      <c r="M5822" t="s">
        <v>27251</v>
      </c>
      <c r="N5822" t="s">
        <v>27252</v>
      </c>
      <c r="Q5822" s="1">
        <v>44538</v>
      </c>
      <c r="R5822" t="s">
        <v>27253</v>
      </c>
      <c r="S5822" t="s">
        <v>27254</v>
      </c>
      <c r="T5822" t="s">
        <v>27269</v>
      </c>
    </row>
    <row r="5823" spans="1:20" x14ac:dyDescent="0.3">
      <c r="A5823" t="str">
        <f>"0611835344025"</f>
        <v>0611835344025</v>
      </c>
      <c r="B5823" t="str">
        <f>"MC0880"</f>
        <v>MC0880</v>
      </c>
      <c r="C5823" t="s">
        <v>38518</v>
      </c>
      <c r="D5823" t="s">
        <v>27267</v>
      </c>
      <c r="E5823" t="str">
        <f t="shared" si="90"/>
        <v>001390</v>
      </c>
      <c r="F5823" t="s">
        <v>27246</v>
      </c>
      <c r="G5823" t="s">
        <v>27247</v>
      </c>
      <c r="H5823" t="s">
        <v>27248</v>
      </c>
      <c r="I5823" t="s">
        <v>38519</v>
      </c>
      <c r="J5823" t="s">
        <v>11630</v>
      </c>
      <c r="L5823" t="s">
        <v>27250</v>
      </c>
      <c r="M5823" t="s">
        <v>27251</v>
      </c>
      <c r="N5823" t="s">
        <v>27252</v>
      </c>
      <c r="Q5823" s="1">
        <v>44538</v>
      </c>
      <c r="R5823" t="s">
        <v>27253</v>
      </c>
      <c r="S5823" t="s">
        <v>27254</v>
      </c>
      <c r="T5823" t="s">
        <v>27269</v>
      </c>
    </row>
    <row r="5824" spans="1:20" x14ac:dyDescent="0.3">
      <c r="A5824" t="str">
        <f>"0611835345025"</f>
        <v>0611835345025</v>
      </c>
      <c r="B5824" t="str">
        <f>"MC3517"</f>
        <v>MC3517</v>
      </c>
      <c r="C5824" t="s">
        <v>38520</v>
      </c>
      <c r="D5824" t="s">
        <v>27267</v>
      </c>
      <c r="E5824" t="str">
        <f t="shared" si="90"/>
        <v>001390</v>
      </c>
      <c r="F5824" t="s">
        <v>27246</v>
      </c>
      <c r="G5824" t="s">
        <v>27247</v>
      </c>
      <c r="H5824" t="s">
        <v>27248</v>
      </c>
      <c r="I5824" t="s">
        <v>38521</v>
      </c>
      <c r="J5824" t="s">
        <v>11632</v>
      </c>
      <c r="L5824" t="s">
        <v>27250</v>
      </c>
      <c r="M5824" t="s">
        <v>27251</v>
      </c>
      <c r="N5824" t="s">
        <v>27252</v>
      </c>
      <c r="Q5824" s="1">
        <v>44538</v>
      </c>
      <c r="R5824" t="s">
        <v>27253</v>
      </c>
      <c r="S5824" t="s">
        <v>27254</v>
      </c>
      <c r="T5824" t="s">
        <v>27269</v>
      </c>
    </row>
    <row r="5825" spans="1:20" x14ac:dyDescent="0.3">
      <c r="A5825" t="str">
        <f>"0611835347025"</f>
        <v>0611835347025</v>
      </c>
      <c r="B5825" t="str">
        <f>"MC3566"</f>
        <v>MC3566</v>
      </c>
      <c r="C5825" t="s">
        <v>38522</v>
      </c>
      <c r="D5825" t="s">
        <v>27267</v>
      </c>
      <c r="E5825" t="str">
        <f t="shared" si="90"/>
        <v>001390</v>
      </c>
      <c r="F5825" t="s">
        <v>27246</v>
      </c>
      <c r="G5825" t="s">
        <v>27247</v>
      </c>
      <c r="H5825" t="s">
        <v>27248</v>
      </c>
      <c r="I5825" t="s">
        <v>38523</v>
      </c>
      <c r="J5825" t="s">
        <v>11634</v>
      </c>
      <c r="L5825" t="s">
        <v>27250</v>
      </c>
      <c r="M5825" t="s">
        <v>27251</v>
      </c>
      <c r="N5825" t="s">
        <v>27252</v>
      </c>
      <c r="Q5825" s="1">
        <v>44538</v>
      </c>
      <c r="R5825" t="s">
        <v>27253</v>
      </c>
      <c r="S5825" t="s">
        <v>27254</v>
      </c>
      <c r="T5825" t="s">
        <v>27269</v>
      </c>
    </row>
    <row r="5826" spans="1:20" x14ac:dyDescent="0.3">
      <c r="A5826" t="str">
        <f>"0611835348025"</f>
        <v>0611835348025</v>
      </c>
      <c r="B5826" t="str">
        <f>"MC2470"</f>
        <v>MC2470</v>
      </c>
      <c r="C5826" t="s">
        <v>38524</v>
      </c>
      <c r="D5826" t="s">
        <v>27267</v>
      </c>
      <c r="E5826" t="str">
        <f t="shared" ref="E5826:E5889" si="91">"001390"</f>
        <v>001390</v>
      </c>
      <c r="F5826" t="s">
        <v>27246</v>
      </c>
      <c r="G5826" t="s">
        <v>27247</v>
      </c>
      <c r="H5826" t="s">
        <v>27248</v>
      </c>
      <c r="I5826" t="s">
        <v>38525</v>
      </c>
      <c r="J5826" t="s">
        <v>11636</v>
      </c>
      <c r="L5826" t="s">
        <v>27250</v>
      </c>
      <c r="M5826" t="s">
        <v>27251</v>
      </c>
      <c r="N5826" t="s">
        <v>27252</v>
      </c>
      <c r="Q5826" s="1">
        <v>44538</v>
      </c>
      <c r="R5826" t="s">
        <v>27253</v>
      </c>
      <c r="S5826" t="s">
        <v>27254</v>
      </c>
      <c r="T5826" t="s">
        <v>27269</v>
      </c>
    </row>
    <row r="5827" spans="1:20" x14ac:dyDescent="0.3">
      <c r="A5827" t="str">
        <f>"0611835349025"</f>
        <v>0611835349025</v>
      </c>
      <c r="B5827" t="str">
        <f>"MC3986"</f>
        <v>MC3986</v>
      </c>
      <c r="C5827" t="s">
        <v>38526</v>
      </c>
      <c r="D5827" t="s">
        <v>27267</v>
      </c>
      <c r="E5827" t="str">
        <f t="shared" si="91"/>
        <v>001390</v>
      </c>
      <c r="F5827" t="s">
        <v>27246</v>
      </c>
      <c r="G5827" t="s">
        <v>27247</v>
      </c>
      <c r="H5827" t="s">
        <v>27248</v>
      </c>
      <c r="I5827" t="s">
        <v>38527</v>
      </c>
      <c r="J5827" t="s">
        <v>11638</v>
      </c>
      <c r="L5827" t="s">
        <v>27250</v>
      </c>
      <c r="M5827" t="s">
        <v>27251</v>
      </c>
      <c r="N5827" t="s">
        <v>27252</v>
      </c>
      <c r="Q5827" s="1">
        <v>44538</v>
      </c>
      <c r="R5827" t="s">
        <v>27253</v>
      </c>
      <c r="S5827" t="s">
        <v>27254</v>
      </c>
      <c r="T5827" t="s">
        <v>27269</v>
      </c>
    </row>
    <row r="5828" spans="1:20" x14ac:dyDescent="0.3">
      <c r="A5828" t="str">
        <f>"0611835350025"</f>
        <v>0611835350025</v>
      </c>
      <c r="B5828" t="str">
        <f>"MC0388"</f>
        <v>MC0388</v>
      </c>
      <c r="C5828" t="s">
        <v>38528</v>
      </c>
      <c r="D5828" t="s">
        <v>27267</v>
      </c>
      <c r="E5828" t="str">
        <f t="shared" si="91"/>
        <v>001390</v>
      </c>
      <c r="F5828" t="s">
        <v>27246</v>
      </c>
      <c r="G5828" t="s">
        <v>27247</v>
      </c>
      <c r="H5828" t="s">
        <v>27248</v>
      </c>
      <c r="I5828" t="s">
        <v>38529</v>
      </c>
      <c r="J5828" t="s">
        <v>11640</v>
      </c>
      <c r="L5828" t="s">
        <v>27250</v>
      </c>
      <c r="M5828" t="s">
        <v>27251</v>
      </c>
      <c r="N5828" t="s">
        <v>27252</v>
      </c>
      <c r="Q5828" s="1">
        <v>44538</v>
      </c>
      <c r="R5828" t="s">
        <v>27253</v>
      </c>
      <c r="S5828" t="s">
        <v>27254</v>
      </c>
      <c r="T5828" t="s">
        <v>27269</v>
      </c>
    </row>
    <row r="5829" spans="1:20" x14ac:dyDescent="0.3">
      <c r="A5829" t="str">
        <f>"0611835352025"</f>
        <v>0611835352025</v>
      </c>
      <c r="B5829" t="str">
        <f>"MC0408"</f>
        <v>MC0408</v>
      </c>
      <c r="C5829" t="s">
        <v>38530</v>
      </c>
      <c r="D5829" t="s">
        <v>27267</v>
      </c>
      <c r="E5829" t="str">
        <f t="shared" si="91"/>
        <v>001390</v>
      </c>
      <c r="F5829" t="s">
        <v>27246</v>
      </c>
      <c r="G5829" t="s">
        <v>27247</v>
      </c>
      <c r="H5829" t="s">
        <v>27248</v>
      </c>
      <c r="I5829" t="s">
        <v>38531</v>
      </c>
      <c r="J5829" t="s">
        <v>11642</v>
      </c>
      <c r="L5829" t="s">
        <v>27250</v>
      </c>
      <c r="M5829" t="s">
        <v>27251</v>
      </c>
      <c r="N5829" t="s">
        <v>27252</v>
      </c>
      <c r="Q5829" s="1">
        <v>44538</v>
      </c>
      <c r="R5829" t="s">
        <v>27253</v>
      </c>
      <c r="S5829" t="s">
        <v>27254</v>
      </c>
      <c r="T5829" t="s">
        <v>27269</v>
      </c>
    </row>
    <row r="5830" spans="1:20" x14ac:dyDescent="0.3">
      <c r="A5830" t="str">
        <f>"0611835354025"</f>
        <v>0611835354025</v>
      </c>
      <c r="B5830" t="str">
        <f>"MC0389"</f>
        <v>MC0389</v>
      </c>
      <c r="C5830" t="s">
        <v>38532</v>
      </c>
      <c r="D5830" t="s">
        <v>27267</v>
      </c>
      <c r="E5830" t="str">
        <f t="shared" si="91"/>
        <v>001390</v>
      </c>
      <c r="F5830" t="s">
        <v>27246</v>
      </c>
      <c r="G5830" t="s">
        <v>27247</v>
      </c>
      <c r="H5830" t="s">
        <v>27248</v>
      </c>
      <c r="I5830" t="s">
        <v>38533</v>
      </c>
      <c r="J5830" t="s">
        <v>11644</v>
      </c>
      <c r="L5830" t="s">
        <v>27250</v>
      </c>
      <c r="M5830" t="s">
        <v>27251</v>
      </c>
      <c r="N5830" t="s">
        <v>27252</v>
      </c>
      <c r="Q5830" s="1">
        <v>44538</v>
      </c>
      <c r="R5830" t="s">
        <v>27253</v>
      </c>
      <c r="S5830" t="s">
        <v>27254</v>
      </c>
      <c r="T5830" t="s">
        <v>27269</v>
      </c>
    </row>
    <row r="5831" spans="1:20" x14ac:dyDescent="0.3">
      <c r="A5831" t="str">
        <f>"0611835355025"</f>
        <v>0611835355025</v>
      </c>
      <c r="B5831" t="str">
        <f>"MC3195"</f>
        <v>MC3195</v>
      </c>
      <c r="C5831" t="s">
        <v>38534</v>
      </c>
      <c r="D5831" t="s">
        <v>27267</v>
      </c>
      <c r="E5831" t="str">
        <f t="shared" si="91"/>
        <v>001390</v>
      </c>
      <c r="F5831" t="s">
        <v>27246</v>
      </c>
      <c r="G5831" t="s">
        <v>27247</v>
      </c>
      <c r="H5831" t="s">
        <v>27248</v>
      </c>
      <c r="I5831" t="s">
        <v>38535</v>
      </c>
      <c r="J5831" t="s">
        <v>11646</v>
      </c>
      <c r="L5831" t="s">
        <v>27250</v>
      </c>
      <c r="M5831" t="s">
        <v>27251</v>
      </c>
      <c r="N5831" t="s">
        <v>27252</v>
      </c>
      <c r="Q5831" s="1">
        <v>44538</v>
      </c>
      <c r="R5831" t="s">
        <v>27253</v>
      </c>
      <c r="S5831" t="s">
        <v>27254</v>
      </c>
      <c r="T5831" t="s">
        <v>27269</v>
      </c>
    </row>
    <row r="5832" spans="1:20" x14ac:dyDescent="0.3">
      <c r="A5832" t="str">
        <f>"0611835356025"</f>
        <v>0611835356025</v>
      </c>
      <c r="B5832" t="str">
        <f>"MC0411"</f>
        <v>MC0411</v>
      </c>
      <c r="C5832" t="s">
        <v>38536</v>
      </c>
      <c r="D5832" t="s">
        <v>27267</v>
      </c>
      <c r="E5832" t="str">
        <f t="shared" si="91"/>
        <v>001390</v>
      </c>
      <c r="F5832" t="s">
        <v>27246</v>
      </c>
      <c r="G5832" t="s">
        <v>27247</v>
      </c>
      <c r="H5832" t="s">
        <v>27248</v>
      </c>
      <c r="I5832" t="s">
        <v>38537</v>
      </c>
      <c r="J5832" t="s">
        <v>11648</v>
      </c>
      <c r="L5832" t="s">
        <v>27250</v>
      </c>
      <c r="M5832" t="s">
        <v>27251</v>
      </c>
      <c r="N5832" t="s">
        <v>27252</v>
      </c>
      <c r="Q5832" s="1">
        <v>44538</v>
      </c>
      <c r="R5832" t="s">
        <v>27253</v>
      </c>
      <c r="S5832" t="s">
        <v>27254</v>
      </c>
      <c r="T5832" t="s">
        <v>27269</v>
      </c>
    </row>
    <row r="5833" spans="1:20" x14ac:dyDescent="0.3">
      <c r="A5833" t="str">
        <f>"0611835357025"</f>
        <v>0611835357025</v>
      </c>
      <c r="B5833" t="str">
        <f>"MC4061"</f>
        <v>MC4061</v>
      </c>
      <c r="C5833" t="s">
        <v>38538</v>
      </c>
      <c r="D5833" t="s">
        <v>27267</v>
      </c>
      <c r="E5833" t="str">
        <f t="shared" si="91"/>
        <v>001390</v>
      </c>
      <c r="F5833" t="s">
        <v>27246</v>
      </c>
      <c r="G5833" t="s">
        <v>27247</v>
      </c>
      <c r="H5833" t="s">
        <v>27248</v>
      </c>
      <c r="I5833" t="s">
        <v>38539</v>
      </c>
      <c r="J5833" t="s">
        <v>11650</v>
      </c>
      <c r="L5833" t="s">
        <v>27250</v>
      </c>
      <c r="M5833" t="s">
        <v>27251</v>
      </c>
      <c r="N5833" t="s">
        <v>27252</v>
      </c>
      <c r="Q5833" s="1">
        <v>44538</v>
      </c>
      <c r="R5833" t="s">
        <v>27253</v>
      </c>
      <c r="S5833" t="s">
        <v>27254</v>
      </c>
      <c r="T5833" t="s">
        <v>27269</v>
      </c>
    </row>
    <row r="5834" spans="1:20" x14ac:dyDescent="0.3">
      <c r="A5834" t="str">
        <f>"0611835358025"</f>
        <v>0611835358025</v>
      </c>
      <c r="B5834" t="str">
        <f>"MC0421"</f>
        <v>MC0421</v>
      </c>
      <c r="C5834" t="s">
        <v>38540</v>
      </c>
      <c r="D5834" t="s">
        <v>27267</v>
      </c>
      <c r="E5834" t="str">
        <f t="shared" si="91"/>
        <v>001390</v>
      </c>
      <c r="F5834" t="s">
        <v>27246</v>
      </c>
      <c r="G5834" t="s">
        <v>27247</v>
      </c>
      <c r="H5834" t="s">
        <v>27248</v>
      </c>
      <c r="I5834" t="s">
        <v>38541</v>
      </c>
      <c r="J5834" t="s">
        <v>11652</v>
      </c>
      <c r="L5834" t="s">
        <v>27250</v>
      </c>
      <c r="M5834" t="s">
        <v>27251</v>
      </c>
      <c r="N5834" t="s">
        <v>27252</v>
      </c>
      <c r="Q5834" s="1">
        <v>44538</v>
      </c>
      <c r="R5834" t="s">
        <v>27253</v>
      </c>
      <c r="S5834" t="s">
        <v>27254</v>
      </c>
      <c r="T5834" t="s">
        <v>27269</v>
      </c>
    </row>
    <row r="5835" spans="1:20" x14ac:dyDescent="0.3">
      <c r="A5835" t="str">
        <f>"0611835359025"</f>
        <v>0611835359025</v>
      </c>
      <c r="B5835" t="str">
        <f>"MC0422"</f>
        <v>MC0422</v>
      </c>
      <c r="C5835" t="s">
        <v>38542</v>
      </c>
      <c r="D5835" t="s">
        <v>27267</v>
      </c>
      <c r="E5835" t="str">
        <f t="shared" si="91"/>
        <v>001390</v>
      </c>
      <c r="F5835" t="s">
        <v>27246</v>
      </c>
      <c r="G5835" t="s">
        <v>27247</v>
      </c>
      <c r="H5835" t="s">
        <v>27248</v>
      </c>
      <c r="I5835" t="s">
        <v>38543</v>
      </c>
      <c r="J5835" t="s">
        <v>11654</v>
      </c>
      <c r="L5835" t="s">
        <v>27250</v>
      </c>
      <c r="M5835" t="s">
        <v>27251</v>
      </c>
      <c r="N5835" t="s">
        <v>27252</v>
      </c>
      <c r="Q5835" s="1">
        <v>44538</v>
      </c>
      <c r="R5835" t="s">
        <v>27253</v>
      </c>
      <c r="S5835" t="s">
        <v>27254</v>
      </c>
      <c r="T5835" t="s">
        <v>27269</v>
      </c>
    </row>
    <row r="5836" spans="1:20" x14ac:dyDescent="0.3">
      <c r="A5836" t="str">
        <f>"0611835361025"</f>
        <v>0611835361025</v>
      </c>
      <c r="B5836" t="str">
        <f>"MC0412"</f>
        <v>MC0412</v>
      </c>
      <c r="C5836" t="s">
        <v>38544</v>
      </c>
      <c r="D5836" t="s">
        <v>27267</v>
      </c>
      <c r="E5836" t="str">
        <f t="shared" si="91"/>
        <v>001390</v>
      </c>
      <c r="F5836" t="s">
        <v>27246</v>
      </c>
      <c r="G5836" t="s">
        <v>27247</v>
      </c>
      <c r="H5836" t="s">
        <v>27248</v>
      </c>
      <c r="I5836" t="s">
        <v>38545</v>
      </c>
      <c r="J5836" t="s">
        <v>11656</v>
      </c>
      <c r="L5836" t="s">
        <v>27250</v>
      </c>
      <c r="M5836" t="s">
        <v>27251</v>
      </c>
      <c r="N5836" t="s">
        <v>27252</v>
      </c>
      <c r="Q5836" s="1">
        <v>44538</v>
      </c>
      <c r="R5836" t="s">
        <v>27253</v>
      </c>
      <c r="S5836" t="s">
        <v>27254</v>
      </c>
      <c r="T5836" t="s">
        <v>27269</v>
      </c>
    </row>
    <row r="5837" spans="1:20" x14ac:dyDescent="0.3">
      <c r="A5837" t="str">
        <f>"0611835363025"</f>
        <v>0611835363025</v>
      </c>
      <c r="B5837" t="str">
        <f>"MC0424"</f>
        <v>MC0424</v>
      </c>
      <c r="C5837" t="s">
        <v>38546</v>
      </c>
      <c r="D5837" t="s">
        <v>27267</v>
      </c>
      <c r="E5837" t="str">
        <f t="shared" si="91"/>
        <v>001390</v>
      </c>
      <c r="F5837" t="s">
        <v>27246</v>
      </c>
      <c r="G5837" t="s">
        <v>27247</v>
      </c>
      <c r="H5837" t="s">
        <v>27248</v>
      </c>
      <c r="I5837" t="s">
        <v>38547</v>
      </c>
      <c r="J5837" t="s">
        <v>11660</v>
      </c>
      <c r="L5837" t="s">
        <v>27250</v>
      </c>
      <c r="M5837" t="s">
        <v>27251</v>
      </c>
      <c r="N5837" t="s">
        <v>27252</v>
      </c>
      <c r="Q5837" s="1">
        <v>44538</v>
      </c>
      <c r="R5837" t="s">
        <v>27253</v>
      </c>
      <c r="S5837" t="s">
        <v>27254</v>
      </c>
      <c r="T5837" t="s">
        <v>27269</v>
      </c>
    </row>
    <row r="5838" spans="1:20" x14ac:dyDescent="0.3">
      <c r="A5838" t="str">
        <f>"0611862572100"</f>
        <v>0611862572100</v>
      </c>
      <c r="B5838" t="str">
        <f>"CN5201"</f>
        <v>CN5201</v>
      </c>
      <c r="C5838" t="s">
        <v>38546</v>
      </c>
      <c r="D5838" t="s">
        <v>27335</v>
      </c>
      <c r="E5838" t="str">
        <f t="shared" si="91"/>
        <v>001390</v>
      </c>
      <c r="F5838" t="s">
        <v>27246</v>
      </c>
      <c r="G5838" t="s">
        <v>27247</v>
      </c>
      <c r="H5838" t="s">
        <v>27248</v>
      </c>
      <c r="I5838" t="s">
        <v>38548</v>
      </c>
      <c r="J5838" t="s">
        <v>11658</v>
      </c>
      <c r="L5838" t="s">
        <v>27250</v>
      </c>
      <c r="M5838" t="s">
        <v>27251</v>
      </c>
      <c r="N5838" t="s">
        <v>27252</v>
      </c>
      <c r="Q5838" s="1">
        <v>44846</v>
      </c>
      <c r="R5838" t="s">
        <v>27253</v>
      </c>
      <c r="S5838" t="s">
        <v>27254</v>
      </c>
      <c r="T5838" t="s">
        <v>27255</v>
      </c>
    </row>
    <row r="5839" spans="1:20" x14ac:dyDescent="0.3">
      <c r="A5839" t="str">
        <f>"0611862573050"</f>
        <v>0611862573050</v>
      </c>
      <c r="B5839" t="str">
        <f>"CR4324"</f>
        <v>CR4324</v>
      </c>
      <c r="C5839" t="s">
        <v>38546</v>
      </c>
      <c r="D5839" t="s">
        <v>27263</v>
      </c>
      <c r="E5839" t="str">
        <f t="shared" si="91"/>
        <v>001390</v>
      </c>
      <c r="F5839" t="s">
        <v>27246</v>
      </c>
      <c r="G5839" t="s">
        <v>27247</v>
      </c>
      <c r="H5839" t="s">
        <v>27248</v>
      </c>
      <c r="I5839" t="s">
        <v>38549</v>
      </c>
      <c r="J5839" t="s">
        <v>11662</v>
      </c>
      <c r="L5839" t="s">
        <v>27250</v>
      </c>
      <c r="M5839" t="s">
        <v>27251</v>
      </c>
      <c r="N5839" t="s">
        <v>27252</v>
      </c>
      <c r="Q5839" s="1">
        <v>44846</v>
      </c>
      <c r="R5839" t="s">
        <v>27253</v>
      </c>
      <c r="S5839" t="s">
        <v>27254</v>
      </c>
      <c r="T5839" t="s">
        <v>27265</v>
      </c>
    </row>
    <row r="5840" spans="1:20" x14ac:dyDescent="0.3">
      <c r="A5840" t="str">
        <f>"0611835915100"</f>
        <v>0611835915100</v>
      </c>
      <c r="B5840" t="str">
        <f>"LK0186"</f>
        <v>LK0186</v>
      </c>
      <c r="C5840" t="s">
        <v>38550</v>
      </c>
      <c r="D5840" t="s">
        <v>27245</v>
      </c>
      <c r="E5840" t="str">
        <f t="shared" si="91"/>
        <v>001390</v>
      </c>
      <c r="F5840" t="s">
        <v>27246</v>
      </c>
      <c r="G5840" t="s">
        <v>27247</v>
      </c>
      <c r="H5840" t="s">
        <v>27248</v>
      </c>
      <c r="I5840" t="s">
        <v>38551</v>
      </c>
      <c r="J5840" t="s">
        <v>11664</v>
      </c>
      <c r="L5840" t="s">
        <v>27250</v>
      </c>
      <c r="M5840" t="s">
        <v>27251</v>
      </c>
      <c r="N5840" t="s">
        <v>27252</v>
      </c>
      <c r="Q5840" s="1">
        <v>44538</v>
      </c>
      <c r="R5840" t="s">
        <v>27253</v>
      </c>
      <c r="S5840" t="s">
        <v>27254</v>
      </c>
      <c r="T5840" t="s">
        <v>27255</v>
      </c>
    </row>
    <row r="5841" spans="1:20" x14ac:dyDescent="0.3">
      <c r="A5841" t="str">
        <f>"0611835364100"</f>
        <v>0611835364100</v>
      </c>
      <c r="B5841" t="str">
        <f>"LG3001"</f>
        <v>LG3001</v>
      </c>
      <c r="C5841" t="s">
        <v>38552</v>
      </c>
      <c r="D5841" t="s">
        <v>27245</v>
      </c>
      <c r="E5841" t="str">
        <f t="shared" si="91"/>
        <v>001390</v>
      </c>
      <c r="F5841" t="s">
        <v>27246</v>
      </c>
      <c r="G5841" t="s">
        <v>27247</v>
      </c>
      <c r="H5841" t="s">
        <v>27248</v>
      </c>
      <c r="I5841" t="s">
        <v>38553</v>
      </c>
      <c r="J5841" t="s">
        <v>11666</v>
      </c>
      <c r="L5841" t="s">
        <v>27250</v>
      </c>
      <c r="M5841" t="s">
        <v>27251</v>
      </c>
      <c r="N5841" t="s">
        <v>27252</v>
      </c>
      <c r="Q5841" s="1">
        <v>44538</v>
      </c>
      <c r="R5841" t="s">
        <v>27253</v>
      </c>
      <c r="S5841" t="s">
        <v>27254</v>
      </c>
      <c r="T5841" t="s">
        <v>27255</v>
      </c>
    </row>
    <row r="5842" spans="1:20" x14ac:dyDescent="0.3">
      <c r="A5842" t="str">
        <f>"0611835365100"</f>
        <v>0611835365100</v>
      </c>
      <c r="B5842" t="str">
        <f>"LG3007"</f>
        <v>LG3007</v>
      </c>
      <c r="C5842" t="s">
        <v>38554</v>
      </c>
      <c r="D5842" t="s">
        <v>27245</v>
      </c>
      <c r="E5842" t="str">
        <f t="shared" si="91"/>
        <v>001390</v>
      </c>
      <c r="F5842" t="s">
        <v>27246</v>
      </c>
      <c r="G5842" t="s">
        <v>27247</v>
      </c>
      <c r="H5842" t="s">
        <v>27248</v>
      </c>
      <c r="I5842" t="s">
        <v>38555</v>
      </c>
      <c r="J5842" t="s">
        <v>11668</v>
      </c>
      <c r="L5842" t="s">
        <v>27250</v>
      </c>
      <c r="M5842" t="s">
        <v>27251</v>
      </c>
      <c r="N5842" t="s">
        <v>27252</v>
      </c>
      <c r="Q5842" s="1">
        <v>44538</v>
      </c>
      <c r="R5842" t="s">
        <v>27253</v>
      </c>
      <c r="S5842" t="s">
        <v>27254</v>
      </c>
      <c r="T5842" t="s">
        <v>27255</v>
      </c>
    </row>
    <row r="5843" spans="1:20" x14ac:dyDescent="0.3">
      <c r="A5843" t="str">
        <f>"0611836863100"</f>
        <v>0611836863100</v>
      </c>
      <c r="B5843" t="str">
        <f>"LG3004"</f>
        <v>LG3004</v>
      </c>
      <c r="C5843" t="s">
        <v>38556</v>
      </c>
      <c r="D5843" t="s">
        <v>27245</v>
      </c>
      <c r="E5843" t="str">
        <f t="shared" si="91"/>
        <v>001390</v>
      </c>
      <c r="F5843" t="s">
        <v>27246</v>
      </c>
      <c r="G5843" t="s">
        <v>27247</v>
      </c>
      <c r="H5843" t="s">
        <v>27248</v>
      </c>
      <c r="I5843" t="s">
        <v>38557</v>
      </c>
      <c r="J5843" t="s">
        <v>11672</v>
      </c>
      <c r="L5843" t="s">
        <v>27250</v>
      </c>
      <c r="M5843" t="s">
        <v>27251</v>
      </c>
      <c r="N5843" t="s">
        <v>27252</v>
      </c>
      <c r="Q5843" s="1">
        <v>44538</v>
      </c>
      <c r="R5843" t="s">
        <v>27253</v>
      </c>
      <c r="S5843" t="s">
        <v>27254</v>
      </c>
      <c r="T5843" t="s">
        <v>27255</v>
      </c>
    </row>
    <row r="5844" spans="1:20" x14ac:dyDescent="0.3">
      <c r="A5844" t="str">
        <f>"0611835366100"</f>
        <v>0611835366100</v>
      </c>
      <c r="B5844" t="str">
        <f>"LG3000"</f>
        <v>LG3000</v>
      </c>
      <c r="C5844" t="s">
        <v>38558</v>
      </c>
      <c r="D5844" t="s">
        <v>27245</v>
      </c>
      <c r="E5844" t="str">
        <f t="shared" si="91"/>
        <v>001390</v>
      </c>
      <c r="F5844" t="s">
        <v>27246</v>
      </c>
      <c r="G5844" t="s">
        <v>27247</v>
      </c>
      <c r="H5844" t="s">
        <v>27248</v>
      </c>
      <c r="I5844" t="s">
        <v>38559</v>
      </c>
      <c r="J5844" t="s">
        <v>11670</v>
      </c>
      <c r="L5844" t="s">
        <v>27250</v>
      </c>
      <c r="M5844" t="s">
        <v>27251</v>
      </c>
      <c r="N5844" t="s">
        <v>27252</v>
      </c>
      <c r="Q5844" s="1">
        <v>44538</v>
      </c>
      <c r="R5844" t="s">
        <v>27253</v>
      </c>
      <c r="S5844" t="s">
        <v>27254</v>
      </c>
      <c r="T5844" t="s">
        <v>27255</v>
      </c>
    </row>
    <row r="5845" spans="1:20" x14ac:dyDescent="0.3">
      <c r="A5845" t="str">
        <f>"0611835367100"</f>
        <v>0611835367100</v>
      </c>
      <c r="B5845" t="str">
        <f>"LG3002"</f>
        <v>LG3002</v>
      </c>
      <c r="C5845" t="s">
        <v>38560</v>
      </c>
      <c r="D5845" t="s">
        <v>27245</v>
      </c>
      <c r="E5845" t="str">
        <f t="shared" si="91"/>
        <v>001390</v>
      </c>
      <c r="F5845" t="s">
        <v>27246</v>
      </c>
      <c r="G5845" t="s">
        <v>27247</v>
      </c>
      <c r="H5845" t="s">
        <v>27248</v>
      </c>
      <c r="I5845" t="s">
        <v>38561</v>
      </c>
      <c r="J5845" t="s">
        <v>11674</v>
      </c>
      <c r="L5845" t="s">
        <v>27250</v>
      </c>
      <c r="M5845" t="s">
        <v>27251</v>
      </c>
      <c r="N5845" t="s">
        <v>27252</v>
      </c>
      <c r="Q5845" s="1">
        <v>44538</v>
      </c>
      <c r="R5845" t="s">
        <v>27253</v>
      </c>
      <c r="S5845" t="s">
        <v>27254</v>
      </c>
      <c r="T5845" t="s">
        <v>27255</v>
      </c>
    </row>
    <row r="5846" spans="1:20" x14ac:dyDescent="0.3">
      <c r="A5846" t="str">
        <f>"0611856988100"</f>
        <v>0611856988100</v>
      </c>
      <c r="B5846" t="str">
        <f>"LG1008"</f>
        <v>LG1008</v>
      </c>
      <c r="C5846" t="s">
        <v>38562</v>
      </c>
      <c r="D5846" t="s">
        <v>27245</v>
      </c>
      <c r="E5846" t="str">
        <f t="shared" si="91"/>
        <v>001390</v>
      </c>
      <c r="F5846" t="s">
        <v>27246</v>
      </c>
      <c r="G5846" t="s">
        <v>27247</v>
      </c>
      <c r="H5846" t="s">
        <v>27248</v>
      </c>
      <c r="I5846" t="s">
        <v>38563</v>
      </c>
      <c r="J5846" t="s">
        <v>11676</v>
      </c>
      <c r="L5846" t="s">
        <v>27250</v>
      </c>
      <c r="M5846" t="s">
        <v>27251</v>
      </c>
      <c r="N5846" t="s">
        <v>27252</v>
      </c>
      <c r="Q5846" s="1">
        <v>44812</v>
      </c>
      <c r="R5846" t="s">
        <v>27253</v>
      </c>
      <c r="S5846" t="s">
        <v>27254</v>
      </c>
      <c r="T5846" t="s">
        <v>27255</v>
      </c>
    </row>
    <row r="5847" spans="1:20" x14ac:dyDescent="0.3">
      <c r="A5847" t="str">
        <f>"0611856989100"</f>
        <v>0611856989100</v>
      </c>
      <c r="B5847" t="str">
        <f>"LG1009"</f>
        <v>LG1009</v>
      </c>
      <c r="C5847" t="s">
        <v>38564</v>
      </c>
      <c r="D5847" t="s">
        <v>27245</v>
      </c>
      <c r="E5847" t="str">
        <f t="shared" si="91"/>
        <v>001390</v>
      </c>
      <c r="F5847" t="s">
        <v>27246</v>
      </c>
      <c r="G5847" t="s">
        <v>27247</v>
      </c>
      <c r="H5847" t="s">
        <v>27248</v>
      </c>
      <c r="I5847" t="s">
        <v>38565</v>
      </c>
      <c r="J5847" t="s">
        <v>11678</v>
      </c>
      <c r="L5847" t="s">
        <v>27250</v>
      </c>
      <c r="M5847" t="s">
        <v>27251</v>
      </c>
      <c r="N5847" t="s">
        <v>27252</v>
      </c>
      <c r="Q5847" s="1">
        <v>44812</v>
      </c>
      <c r="R5847" t="s">
        <v>27253</v>
      </c>
      <c r="S5847" t="s">
        <v>27254</v>
      </c>
      <c r="T5847" t="s">
        <v>27255</v>
      </c>
    </row>
    <row r="5848" spans="1:20" x14ac:dyDescent="0.3">
      <c r="A5848" t="str">
        <f>"0611835916100"</f>
        <v>0611835916100</v>
      </c>
      <c r="B5848" t="str">
        <f>"LB0210"</f>
        <v>LB0210</v>
      </c>
      <c r="C5848" t="s">
        <v>38566</v>
      </c>
      <c r="D5848" t="s">
        <v>27245</v>
      </c>
      <c r="E5848" t="str">
        <f t="shared" si="91"/>
        <v>001390</v>
      </c>
      <c r="F5848" t="s">
        <v>27246</v>
      </c>
      <c r="G5848" t="s">
        <v>27247</v>
      </c>
      <c r="H5848" t="s">
        <v>27248</v>
      </c>
      <c r="I5848" t="s">
        <v>38567</v>
      </c>
      <c r="J5848" t="s">
        <v>11680</v>
      </c>
      <c r="L5848" t="s">
        <v>27250</v>
      </c>
      <c r="M5848" t="s">
        <v>27251</v>
      </c>
      <c r="N5848" t="s">
        <v>27252</v>
      </c>
      <c r="Q5848" s="1">
        <v>44538</v>
      </c>
      <c r="R5848" t="s">
        <v>27253</v>
      </c>
      <c r="S5848" t="s">
        <v>27254</v>
      </c>
      <c r="T5848" t="s">
        <v>27255</v>
      </c>
    </row>
    <row r="5849" spans="1:20" x14ac:dyDescent="0.3">
      <c r="A5849" t="str">
        <f>"0611835368100"</f>
        <v>0611835368100</v>
      </c>
      <c r="B5849" t="str">
        <f>"LG3003"</f>
        <v>LG3003</v>
      </c>
      <c r="C5849" t="s">
        <v>38568</v>
      </c>
      <c r="D5849" t="s">
        <v>27245</v>
      </c>
      <c r="E5849" t="str">
        <f t="shared" si="91"/>
        <v>001390</v>
      </c>
      <c r="F5849" t="s">
        <v>27246</v>
      </c>
      <c r="G5849" t="s">
        <v>27247</v>
      </c>
      <c r="H5849" t="s">
        <v>27248</v>
      </c>
      <c r="I5849" t="s">
        <v>38569</v>
      </c>
      <c r="J5849" t="s">
        <v>11682</v>
      </c>
      <c r="L5849" t="s">
        <v>27250</v>
      </c>
      <c r="M5849" t="s">
        <v>27251</v>
      </c>
      <c r="N5849" t="s">
        <v>27252</v>
      </c>
      <c r="Q5849" s="1">
        <v>44538</v>
      </c>
      <c r="R5849" t="s">
        <v>27253</v>
      </c>
      <c r="S5849" t="s">
        <v>27254</v>
      </c>
      <c r="T5849" t="s">
        <v>27255</v>
      </c>
    </row>
    <row r="5850" spans="1:20" x14ac:dyDescent="0.3">
      <c r="A5850" t="str">
        <f>"0611862574050"</f>
        <v>0611862574050</v>
      </c>
      <c r="B5850" t="str">
        <f>"CE1708"</f>
        <v>CE1708</v>
      </c>
      <c r="C5850" t="s">
        <v>38570</v>
      </c>
      <c r="D5850" t="s">
        <v>27923</v>
      </c>
      <c r="E5850" t="str">
        <f t="shared" si="91"/>
        <v>001390</v>
      </c>
      <c r="F5850" t="s">
        <v>27246</v>
      </c>
      <c r="G5850" t="s">
        <v>27247</v>
      </c>
      <c r="H5850" t="s">
        <v>27248</v>
      </c>
      <c r="I5850" t="s">
        <v>38571</v>
      </c>
      <c r="J5850" t="s">
        <v>11688</v>
      </c>
      <c r="L5850" t="s">
        <v>27250</v>
      </c>
      <c r="M5850" t="s">
        <v>27251</v>
      </c>
      <c r="N5850" t="s">
        <v>27252</v>
      </c>
      <c r="P5850" t="s">
        <v>27925</v>
      </c>
      <c r="Q5850" s="1">
        <v>44846</v>
      </c>
      <c r="R5850" t="s">
        <v>27253</v>
      </c>
      <c r="S5850" t="s">
        <v>27254</v>
      </c>
      <c r="T5850" t="s">
        <v>27265</v>
      </c>
    </row>
    <row r="5851" spans="1:20" x14ac:dyDescent="0.3">
      <c r="A5851" t="str">
        <f>"0611862575050"</f>
        <v>0611862575050</v>
      </c>
      <c r="B5851" t="str">
        <f>"CE1586"</f>
        <v>CE1586</v>
      </c>
      <c r="C5851" t="s">
        <v>38572</v>
      </c>
      <c r="D5851" t="s">
        <v>27923</v>
      </c>
      <c r="E5851" t="str">
        <f t="shared" si="91"/>
        <v>001390</v>
      </c>
      <c r="F5851" t="s">
        <v>27246</v>
      </c>
      <c r="G5851" t="s">
        <v>27247</v>
      </c>
      <c r="H5851" t="s">
        <v>27248</v>
      </c>
      <c r="I5851" t="s">
        <v>38573</v>
      </c>
      <c r="J5851" t="s">
        <v>11690</v>
      </c>
      <c r="L5851" t="s">
        <v>27250</v>
      </c>
      <c r="M5851" t="s">
        <v>27251</v>
      </c>
      <c r="N5851" t="s">
        <v>27252</v>
      </c>
      <c r="P5851" t="s">
        <v>27925</v>
      </c>
      <c r="Q5851" s="1">
        <v>44846</v>
      </c>
      <c r="R5851" t="s">
        <v>27253</v>
      </c>
      <c r="S5851" t="s">
        <v>27254</v>
      </c>
      <c r="T5851" t="s">
        <v>27265</v>
      </c>
    </row>
    <row r="5852" spans="1:20" x14ac:dyDescent="0.3">
      <c r="A5852" t="str">
        <f>"0611862576050"</f>
        <v>0611862576050</v>
      </c>
      <c r="B5852" t="str">
        <f>"CE1709"</f>
        <v>CE1709</v>
      </c>
      <c r="C5852" t="s">
        <v>38574</v>
      </c>
      <c r="D5852" t="s">
        <v>27923</v>
      </c>
      <c r="E5852" t="str">
        <f t="shared" si="91"/>
        <v>001390</v>
      </c>
      <c r="F5852" t="s">
        <v>27246</v>
      </c>
      <c r="G5852" t="s">
        <v>27247</v>
      </c>
      <c r="H5852" t="s">
        <v>27248</v>
      </c>
      <c r="I5852" t="s">
        <v>38575</v>
      </c>
      <c r="J5852" t="s">
        <v>11692</v>
      </c>
      <c r="L5852" t="s">
        <v>27250</v>
      </c>
      <c r="M5852" t="s">
        <v>27251</v>
      </c>
      <c r="N5852" t="s">
        <v>27252</v>
      </c>
      <c r="P5852" t="s">
        <v>27925</v>
      </c>
      <c r="Q5852" s="1">
        <v>44846</v>
      </c>
      <c r="R5852" t="s">
        <v>27253</v>
      </c>
      <c r="S5852" t="s">
        <v>27254</v>
      </c>
      <c r="T5852" t="s">
        <v>27265</v>
      </c>
    </row>
    <row r="5853" spans="1:20" x14ac:dyDescent="0.3">
      <c r="A5853" t="str">
        <f>"0611862577050"</f>
        <v>0611862577050</v>
      </c>
      <c r="B5853" t="str">
        <f>"CE1585"</f>
        <v>CE1585</v>
      </c>
      <c r="C5853" t="s">
        <v>38576</v>
      </c>
      <c r="D5853" t="s">
        <v>27923</v>
      </c>
      <c r="E5853" t="str">
        <f t="shared" si="91"/>
        <v>001390</v>
      </c>
      <c r="F5853" t="s">
        <v>27246</v>
      </c>
      <c r="G5853" t="s">
        <v>27247</v>
      </c>
      <c r="H5853" t="s">
        <v>27248</v>
      </c>
      <c r="I5853" t="s">
        <v>38577</v>
      </c>
      <c r="J5853" t="s">
        <v>11694</v>
      </c>
      <c r="L5853" t="s">
        <v>27250</v>
      </c>
      <c r="M5853" t="s">
        <v>27251</v>
      </c>
      <c r="N5853" t="s">
        <v>27252</v>
      </c>
      <c r="P5853" t="s">
        <v>27925</v>
      </c>
      <c r="Q5853" s="1">
        <v>44846</v>
      </c>
      <c r="R5853" t="s">
        <v>27253</v>
      </c>
      <c r="S5853" t="s">
        <v>27254</v>
      </c>
      <c r="T5853" t="s">
        <v>27265</v>
      </c>
    </row>
    <row r="5854" spans="1:20" x14ac:dyDescent="0.3">
      <c r="A5854" t="str">
        <f>"0611862578050"</f>
        <v>0611862578050</v>
      </c>
      <c r="B5854" t="str">
        <f>"CE1584"</f>
        <v>CE1584</v>
      </c>
      <c r="C5854" t="s">
        <v>38578</v>
      </c>
      <c r="D5854" t="s">
        <v>27923</v>
      </c>
      <c r="E5854" t="str">
        <f t="shared" si="91"/>
        <v>001390</v>
      </c>
      <c r="F5854" t="s">
        <v>27246</v>
      </c>
      <c r="G5854" t="s">
        <v>27247</v>
      </c>
      <c r="H5854" t="s">
        <v>27248</v>
      </c>
      <c r="I5854" t="s">
        <v>38579</v>
      </c>
      <c r="J5854" t="s">
        <v>11696</v>
      </c>
      <c r="L5854" t="s">
        <v>27250</v>
      </c>
      <c r="M5854" t="s">
        <v>27251</v>
      </c>
      <c r="N5854" t="s">
        <v>27252</v>
      </c>
      <c r="P5854" t="s">
        <v>27925</v>
      </c>
      <c r="Q5854" s="1">
        <v>44846</v>
      </c>
      <c r="R5854" t="s">
        <v>27253</v>
      </c>
      <c r="S5854" t="s">
        <v>27254</v>
      </c>
      <c r="T5854" t="s">
        <v>27265</v>
      </c>
    </row>
    <row r="5855" spans="1:20" x14ac:dyDescent="0.3">
      <c r="A5855" t="str">
        <f>"0611862579050"</f>
        <v>0611862579050</v>
      </c>
      <c r="B5855" t="str">
        <f>"CE1587"</f>
        <v>CE1587</v>
      </c>
      <c r="C5855" t="s">
        <v>38580</v>
      </c>
      <c r="D5855" t="s">
        <v>27923</v>
      </c>
      <c r="E5855" t="str">
        <f t="shared" si="91"/>
        <v>001390</v>
      </c>
      <c r="F5855" t="s">
        <v>27246</v>
      </c>
      <c r="G5855" t="s">
        <v>27247</v>
      </c>
      <c r="H5855" t="s">
        <v>27248</v>
      </c>
      <c r="I5855" t="s">
        <v>38581</v>
      </c>
      <c r="J5855" t="s">
        <v>11698</v>
      </c>
      <c r="L5855" t="s">
        <v>27250</v>
      </c>
      <c r="M5855" t="s">
        <v>27251</v>
      </c>
      <c r="N5855" t="s">
        <v>27252</v>
      </c>
      <c r="P5855" t="s">
        <v>27925</v>
      </c>
      <c r="Q5855" s="1">
        <v>44846</v>
      </c>
      <c r="R5855" t="s">
        <v>27253</v>
      </c>
      <c r="S5855" t="s">
        <v>27254</v>
      </c>
      <c r="T5855" t="s">
        <v>27265</v>
      </c>
    </row>
    <row r="5856" spans="1:20" x14ac:dyDescent="0.3">
      <c r="A5856" t="str">
        <f>"0611835369100"</f>
        <v>0611835369100</v>
      </c>
      <c r="B5856" t="str">
        <f>"LG3500"</f>
        <v>LG3500</v>
      </c>
      <c r="C5856" t="s">
        <v>38582</v>
      </c>
      <c r="D5856" t="s">
        <v>27245</v>
      </c>
      <c r="E5856" t="str">
        <f t="shared" si="91"/>
        <v>001390</v>
      </c>
      <c r="F5856" t="s">
        <v>27246</v>
      </c>
      <c r="G5856" t="s">
        <v>27247</v>
      </c>
      <c r="H5856" t="s">
        <v>27248</v>
      </c>
      <c r="I5856" t="s">
        <v>38583</v>
      </c>
      <c r="J5856" t="s">
        <v>11684</v>
      </c>
      <c r="L5856" t="s">
        <v>27250</v>
      </c>
      <c r="M5856" t="s">
        <v>27251</v>
      </c>
      <c r="N5856" t="s">
        <v>27252</v>
      </c>
      <c r="Q5856" s="1">
        <v>44538</v>
      </c>
      <c r="R5856" t="s">
        <v>27253</v>
      </c>
      <c r="S5856" t="s">
        <v>27254</v>
      </c>
      <c r="T5856" t="s">
        <v>27255</v>
      </c>
    </row>
    <row r="5857" spans="1:20" x14ac:dyDescent="0.3">
      <c r="A5857" t="str">
        <f>"0611835370025"</f>
        <v>0611835370025</v>
      </c>
      <c r="B5857" t="str">
        <f>"MC3464"</f>
        <v>MC3464</v>
      </c>
      <c r="C5857" t="s">
        <v>38582</v>
      </c>
      <c r="D5857" t="s">
        <v>27267</v>
      </c>
      <c r="E5857" t="str">
        <f t="shared" si="91"/>
        <v>001390</v>
      </c>
      <c r="F5857" t="s">
        <v>27246</v>
      </c>
      <c r="G5857" t="s">
        <v>27247</v>
      </c>
      <c r="H5857" t="s">
        <v>27248</v>
      </c>
      <c r="I5857" t="s">
        <v>38584</v>
      </c>
      <c r="J5857" t="s">
        <v>11686</v>
      </c>
      <c r="L5857" t="s">
        <v>27250</v>
      </c>
      <c r="M5857" t="s">
        <v>27251</v>
      </c>
      <c r="N5857" t="s">
        <v>27252</v>
      </c>
      <c r="Q5857" s="1">
        <v>44538</v>
      </c>
      <c r="R5857" t="s">
        <v>27253</v>
      </c>
      <c r="S5857" t="s">
        <v>27254</v>
      </c>
      <c r="T5857" t="s">
        <v>27269</v>
      </c>
    </row>
    <row r="5858" spans="1:20" x14ac:dyDescent="0.3">
      <c r="A5858" t="str">
        <f>"0611835371025"</f>
        <v>0611835371025</v>
      </c>
      <c r="B5858" t="str">
        <f>"MC0426"</f>
        <v>MC0426</v>
      </c>
      <c r="C5858" t="s">
        <v>38585</v>
      </c>
      <c r="D5858" t="s">
        <v>27267</v>
      </c>
      <c r="E5858" t="str">
        <f t="shared" si="91"/>
        <v>001390</v>
      </c>
      <c r="F5858" t="s">
        <v>27246</v>
      </c>
      <c r="G5858" t="s">
        <v>27247</v>
      </c>
      <c r="H5858" t="s">
        <v>27248</v>
      </c>
      <c r="I5858" t="s">
        <v>38586</v>
      </c>
      <c r="J5858" t="s">
        <v>11700</v>
      </c>
      <c r="L5858" t="s">
        <v>27250</v>
      </c>
      <c r="M5858" t="s">
        <v>27251</v>
      </c>
      <c r="N5858" t="s">
        <v>27252</v>
      </c>
      <c r="Q5858" s="1">
        <v>44538</v>
      </c>
      <c r="R5858" t="s">
        <v>27253</v>
      </c>
      <c r="S5858" t="s">
        <v>27254</v>
      </c>
      <c r="T5858" t="s">
        <v>27269</v>
      </c>
    </row>
    <row r="5859" spans="1:20" x14ac:dyDescent="0.3">
      <c r="A5859" t="str">
        <f>"0611835372100"</f>
        <v>0611835372100</v>
      </c>
      <c r="B5859" t="str">
        <f>"LC6950"</f>
        <v>LC6950</v>
      </c>
      <c r="C5859" t="s">
        <v>38587</v>
      </c>
      <c r="D5859" t="s">
        <v>27245</v>
      </c>
      <c r="E5859" t="str">
        <f t="shared" si="91"/>
        <v>001390</v>
      </c>
      <c r="F5859" t="s">
        <v>27246</v>
      </c>
      <c r="G5859" t="s">
        <v>27247</v>
      </c>
      <c r="H5859" t="s">
        <v>27248</v>
      </c>
      <c r="I5859" t="s">
        <v>38588</v>
      </c>
      <c r="J5859" t="s">
        <v>11702</v>
      </c>
      <c r="L5859" t="s">
        <v>27250</v>
      </c>
      <c r="M5859" t="s">
        <v>27251</v>
      </c>
      <c r="N5859" t="s">
        <v>27252</v>
      </c>
      <c r="Q5859" s="1">
        <v>44538</v>
      </c>
      <c r="R5859" t="s">
        <v>27253</v>
      </c>
      <c r="S5859" t="s">
        <v>27254</v>
      </c>
      <c r="T5859" t="s">
        <v>27255</v>
      </c>
    </row>
    <row r="5860" spans="1:20" x14ac:dyDescent="0.3">
      <c r="A5860" t="str">
        <f>"0611835373100"</f>
        <v>0611835373100</v>
      </c>
      <c r="B5860" t="str">
        <f>"LH0014"</f>
        <v>LH0014</v>
      </c>
      <c r="C5860" t="s">
        <v>38589</v>
      </c>
      <c r="D5860" t="s">
        <v>27245</v>
      </c>
      <c r="E5860" t="str">
        <f t="shared" si="91"/>
        <v>001390</v>
      </c>
      <c r="F5860" t="s">
        <v>27246</v>
      </c>
      <c r="G5860" t="s">
        <v>27247</v>
      </c>
      <c r="H5860" t="s">
        <v>27248</v>
      </c>
      <c r="I5860" t="s">
        <v>38590</v>
      </c>
      <c r="J5860" t="s">
        <v>11704</v>
      </c>
      <c r="L5860" t="s">
        <v>27250</v>
      </c>
      <c r="M5860" t="s">
        <v>27251</v>
      </c>
      <c r="N5860" t="s">
        <v>27252</v>
      </c>
      <c r="Q5860" s="1">
        <v>44538</v>
      </c>
      <c r="R5860" t="s">
        <v>27253</v>
      </c>
      <c r="S5860" t="s">
        <v>27254</v>
      </c>
      <c r="T5860" t="s">
        <v>27255</v>
      </c>
    </row>
    <row r="5861" spans="1:20" x14ac:dyDescent="0.3">
      <c r="A5861" t="str">
        <f>"0611835374100"</f>
        <v>0611835374100</v>
      </c>
      <c r="B5861" t="str">
        <f>"LK4659"</f>
        <v>LK4659</v>
      </c>
      <c r="C5861" t="s">
        <v>38591</v>
      </c>
      <c r="D5861" t="s">
        <v>27245</v>
      </c>
      <c r="E5861" t="str">
        <f t="shared" si="91"/>
        <v>001390</v>
      </c>
      <c r="F5861" t="s">
        <v>27246</v>
      </c>
      <c r="G5861" t="s">
        <v>27247</v>
      </c>
      <c r="H5861" t="s">
        <v>27248</v>
      </c>
      <c r="I5861" t="s">
        <v>38592</v>
      </c>
      <c r="J5861" t="s">
        <v>11706</v>
      </c>
      <c r="L5861" t="s">
        <v>27250</v>
      </c>
      <c r="M5861" t="s">
        <v>27251</v>
      </c>
      <c r="N5861" t="s">
        <v>27252</v>
      </c>
      <c r="Q5861" s="1">
        <v>44538</v>
      </c>
      <c r="R5861" t="s">
        <v>27253</v>
      </c>
      <c r="S5861" t="s">
        <v>27254</v>
      </c>
      <c r="T5861" t="s">
        <v>27255</v>
      </c>
    </row>
    <row r="5862" spans="1:20" x14ac:dyDescent="0.3">
      <c r="A5862" t="str">
        <f>"0611835375100"</f>
        <v>0611835375100</v>
      </c>
      <c r="B5862" t="str">
        <f>"LF4870"</f>
        <v>LF4870</v>
      </c>
      <c r="C5862" t="s">
        <v>38593</v>
      </c>
      <c r="D5862" t="s">
        <v>27245</v>
      </c>
      <c r="E5862" t="str">
        <f t="shared" si="91"/>
        <v>001390</v>
      </c>
      <c r="F5862" t="s">
        <v>27246</v>
      </c>
      <c r="G5862" t="s">
        <v>27247</v>
      </c>
      <c r="H5862" t="s">
        <v>27248</v>
      </c>
      <c r="I5862" t="s">
        <v>38594</v>
      </c>
      <c r="J5862" t="s">
        <v>11708</v>
      </c>
      <c r="L5862" t="s">
        <v>27250</v>
      </c>
      <c r="M5862" t="s">
        <v>27251</v>
      </c>
      <c r="N5862" t="s">
        <v>27252</v>
      </c>
      <c r="Q5862" s="1">
        <v>44538</v>
      </c>
      <c r="R5862" t="s">
        <v>27253</v>
      </c>
      <c r="S5862" t="s">
        <v>27254</v>
      </c>
      <c r="T5862" t="s">
        <v>27255</v>
      </c>
    </row>
    <row r="5863" spans="1:20" x14ac:dyDescent="0.3">
      <c r="A5863" t="str">
        <f>"0611835376100"</f>
        <v>0611835376100</v>
      </c>
      <c r="B5863" t="str">
        <f>"LF3484"</f>
        <v>LF3484</v>
      </c>
      <c r="C5863" t="s">
        <v>38595</v>
      </c>
      <c r="D5863" t="s">
        <v>27245</v>
      </c>
      <c r="E5863" t="str">
        <f t="shared" si="91"/>
        <v>001390</v>
      </c>
      <c r="F5863" t="s">
        <v>27246</v>
      </c>
      <c r="G5863" t="s">
        <v>27247</v>
      </c>
      <c r="H5863" t="s">
        <v>27248</v>
      </c>
      <c r="I5863" t="s">
        <v>38596</v>
      </c>
      <c r="J5863" t="s">
        <v>11710</v>
      </c>
      <c r="L5863" t="s">
        <v>27250</v>
      </c>
      <c r="M5863" t="s">
        <v>27251</v>
      </c>
      <c r="N5863" t="s">
        <v>27252</v>
      </c>
      <c r="Q5863" s="1">
        <v>44538</v>
      </c>
      <c r="R5863" t="s">
        <v>27253</v>
      </c>
      <c r="S5863" t="s">
        <v>27254</v>
      </c>
      <c r="T5863" t="s">
        <v>27255</v>
      </c>
    </row>
    <row r="5864" spans="1:20" x14ac:dyDescent="0.3">
      <c r="A5864" t="str">
        <f>"0611835377100"</f>
        <v>0611835377100</v>
      </c>
      <c r="B5864" t="str">
        <f>"LF3482"</f>
        <v>LF3482</v>
      </c>
      <c r="C5864" t="s">
        <v>38597</v>
      </c>
      <c r="D5864" t="s">
        <v>27245</v>
      </c>
      <c r="E5864" t="str">
        <f t="shared" si="91"/>
        <v>001390</v>
      </c>
      <c r="F5864" t="s">
        <v>27246</v>
      </c>
      <c r="G5864" t="s">
        <v>27247</v>
      </c>
      <c r="H5864" t="s">
        <v>27248</v>
      </c>
      <c r="I5864" t="s">
        <v>38598</v>
      </c>
      <c r="J5864" t="s">
        <v>11712</v>
      </c>
      <c r="L5864" t="s">
        <v>27250</v>
      </c>
      <c r="M5864" t="s">
        <v>27251</v>
      </c>
      <c r="N5864" t="s">
        <v>27252</v>
      </c>
      <c r="Q5864" s="1">
        <v>44538</v>
      </c>
      <c r="R5864" t="s">
        <v>27253</v>
      </c>
      <c r="S5864" t="s">
        <v>27254</v>
      </c>
      <c r="T5864" t="s">
        <v>27255</v>
      </c>
    </row>
    <row r="5865" spans="1:20" x14ac:dyDescent="0.3">
      <c r="A5865" t="str">
        <f>"0611835378100"</f>
        <v>0611835378100</v>
      </c>
      <c r="B5865" t="str">
        <f>"LF3483"</f>
        <v>LF3483</v>
      </c>
      <c r="C5865" t="s">
        <v>38599</v>
      </c>
      <c r="D5865" t="s">
        <v>27245</v>
      </c>
      <c r="E5865" t="str">
        <f t="shared" si="91"/>
        <v>001390</v>
      </c>
      <c r="F5865" t="s">
        <v>27246</v>
      </c>
      <c r="G5865" t="s">
        <v>27247</v>
      </c>
      <c r="H5865" t="s">
        <v>27248</v>
      </c>
      <c r="I5865" t="s">
        <v>38600</v>
      </c>
      <c r="J5865" t="s">
        <v>11714</v>
      </c>
      <c r="L5865" t="s">
        <v>27250</v>
      </c>
      <c r="M5865" t="s">
        <v>27251</v>
      </c>
      <c r="N5865" t="s">
        <v>27252</v>
      </c>
      <c r="Q5865" s="1">
        <v>44538</v>
      </c>
      <c r="R5865" t="s">
        <v>27253</v>
      </c>
      <c r="S5865" t="s">
        <v>27254</v>
      </c>
      <c r="T5865" t="s">
        <v>27255</v>
      </c>
    </row>
    <row r="5866" spans="1:20" x14ac:dyDescent="0.3">
      <c r="A5866" t="str">
        <f>"0611884253100"</f>
        <v>0611884253100</v>
      </c>
      <c r="B5866" t="str">
        <f>"LF3480"</f>
        <v>LF3480</v>
      </c>
      <c r="C5866" t="s">
        <v>38601</v>
      </c>
      <c r="D5866" t="s">
        <v>27245</v>
      </c>
      <c r="E5866" t="str">
        <f t="shared" si="91"/>
        <v>001390</v>
      </c>
      <c r="F5866" t="s">
        <v>27246</v>
      </c>
      <c r="G5866" t="s">
        <v>27247</v>
      </c>
      <c r="H5866" t="s">
        <v>27248</v>
      </c>
      <c r="I5866" t="s">
        <v>38602</v>
      </c>
      <c r="J5866" t="s">
        <v>11718</v>
      </c>
      <c r="L5866" t="s">
        <v>27430</v>
      </c>
      <c r="M5866" t="s">
        <v>27251</v>
      </c>
      <c r="N5866" t="s">
        <v>27252</v>
      </c>
      <c r="Q5866" s="1">
        <v>45250</v>
      </c>
      <c r="R5866" t="s">
        <v>27253</v>
      </c>
      <c r="S5866" t="s">
        <v>27254</v>
      </c>
      <c r="T5866" t="s">
        <v>27255</v>
      </c>
    </row>
    <row r="5867" spans="1:20" x14ac:dyDescent="0.3">
      <c r="A5867" t="str">
        <f>"0611835381100"</f>
        <v>0611835381100</v>
      </c>
      <c r="B5867" t="str">
        <f>"LB3251"</f>
        <v>LB3251</v>
      </c>
      <c r="C5867" t="s">
        <v>38603</v>
      </c>
      <c r="D5867" t="s">
        <v>27245</v>
      </c>
      <c r="E5867" t="str">
        <f t="shared" si="91"/>
        <v>001390</v>
      </c>
      <c r="F5867" t="s">
        <v>27246</v>
      </c>
      <c r="G5867" t="s">
        <v>27247</v>
      </c>
      <c r="H5867" t="s">
        <v>27248</v>
      </c>
      <c r="I5867" t="s">
        <v>38604</v>
      </c>
      <c r="J5867" t="s">
        <v>11716</v>
      </c>
      <c r="L5867" t="s">
        <v>27250</v>
      </c>
      <c r="M5867" t="s">
        <v>27251</v>
      </c>
      <c r="N5867" t="s">
        <v>27252</v>
      </c>
      <c r="Q5867" s="1">
        <v>44538</v>
      </c>
      <c r="R5867" t="s">
        <v>27253</v>
      </c>
      <c r="S5867" t="s">
        <v>27254</v>
      </c>
      <c r="T5867" t="s">
        <v>27255</v>
      </c>
    </row>
    <row r="5868" spans="1:20" x14ac:dyDescent="0.3">
      <c r="A5868" t="str">
        <f>"0611884254100"</f>
        <v>0611884254100</v>
      </c>
      <c r="B5868" t="str">
        <f>"LQ3916"</f>
        <v>LQ3916</v>
      </c>
      <c r="C5868" t="s">
        <v>38605</v>
      </c>
      <c r="D5868" t="s">
        <v>27245</v>
      </c>
      <c r="E5868" t="str">
        <f t="shared" si="91"/>
        <v>001390</v>
      </c>
      <c r="F5868" t="s">
        <v>27246</v>
      </c>
      <c r="G5868" t="s">
        <v>27247</v>
      </c>
      <c r="H5868" t="s">
        <v>27248</v>
      </c>
      <c r="I5868" t="s">
        <v>38606</v>
      </c>
      <c r="J5868" t="s">
        <v>11720</v>
      </c>
      <c r="L5868" t="s">
        <v>27430</v>
      </c>
      <c r="M5868" t="s">
        <v>27251</v>
      </c>
      <c r="N5868" t="s">
        <v>27252</v>
      </c>
      <c r="Q5868" s="1">
        <v>45250</v>
      </c>
      <c r="R5868" t="s">
        <v>27253</v>
      </c>
      <c r="S5868" t="s">
        <v>27254</v>
      </c>
      <c r="T5868" t="s">
        <v>27255</v>
      </c>
    </row>
    <row r="5869" spans="1:20" x14ac:dyDescent="0.3">
      <c r="A5869" t="str">
        <f>"0611835382100"</f>
        <v>0611835382100</v>
      </c>
      <c r="B5869" t="str">
        <f>"LK4764"</f>
        <v>LK4764</v>
      </c>
      <c r="C5869" t="s">
        <v>38607</v>
      </c>
      <c r="D5869" t="s">
        <v>27245</v>
      </c>
      <c r="E5869" t="str">
        <f t="shared" si="91"/>
        <v>001390</v>
      </c>
      <c r="F5869" t="s">
        <v>27246</v>
      </c>
      <c r="G5869" t="s">
        <v>27247</v>
      </c>
      <c r="H5869" t="s">
        <v>27248</v>
      </c>
      <c r="I5869" t="s">
        <v>38608</v>
      </c>
      <c r="J5869" t="s">
        <v>11722</v>
      </c>
      <c r="L5869" t="s">
        <v>27250</v>
      </c>
      <c r="M5869" t="s">
        <v>27251</v>
      </c>
      <c r="N5869" t="s">
        <v>27252</v>
      </c>
      <c r="Q5869" s="1">
        <v>44538</v>
      </c>
      <c r="R5869" t="s">
        <v>27253</v>
      </c>
      <c r="S5869" t="s">
        <v>27254</v>
      </c>
      <c r="T5869" t="s">
        <v>27255</v>
      </c>
    </row>
    <row r="5870" spans="1:20" x14ac:dyDescent="0.3">
      <c r="A5870" t="str">
        <f>"0611835383100"</f>
        <v>0611835383100</v>
      </c>
      <c r="B5870" t="str">
        <f>"LB3252"</f>
        <v>LB3252</v>
      </c>
      <c r="C5870" t="s">
        <v>38609</v>
      </c>
      <c r="D5870" t="s">
        <v>27245</v>
      </c>
      <c r="E5870" t="str">
        <f t="shared" si="91"/>
        <v>001390</v>
      </c>
      <c r="F5870" t="s">
        <v>27246</v>
      </c>
      <c r="G5870" t="s">
        <v>27247</v>
      </c>
      <c r="H5870" t="s">
        <v>27248</v>
      </c>
      <c r="I5870" t="s">
        <v>38610</v>
      </c>
      <c r="J5870" t="s">
        <v>11724</v>
      </c>
      <c r="L5870" t="s">
        <v>27250</v>
      </c>
      <c r="M5870" t="s">
        <v>27251</v>
      </c>
      <c r="N5870" t="s">
        <v>27252</v>
      </c>
      <c r="Q5870" s="1">
        <v>44538</v>
      </c>
      <c r="R5870" t="s">
        <v>27253</v>
      </c>
      <c r="S5870" t="s">
        <v>27254</v>
      </c>
      <c r="T5870" t="s">
        <v>27255</v>
      </c>
    </row>
    <row r="5871" spans="1:20" x14ac:dyDescent="0.3">
      <c r="A5871" t="str">
        <f>"0611835384100"</f>
        <v>0611835384100</v>
      </c>
      <c r="B5871" t="str">
        <f>"LB3253"</f>
        <v>LB3253</v>
      </c>
      <c r="C5871" t="s">
        <v>38611</v>
      </c>
      <c r="D5871" t="s">
        <v>27245</v>
      </c>
      <c r="E5871" t="str">
        <f t="shared" si="91"/>
        <v>001390</v>
      </c>
      <c r="F5871" t="s">
        <v>27246</v>
      </c>
      <c r="G5871" t="s">
        <v>27247</v>
      </c>
      <c r="H5871" t="s">
        <v>27248</v>
      </c>
      <c r="I5871" t="s">
        <v>38612</v>
      </c>
      <c r="J5871" t="s">
        <v>11726</v>
      </c>
      <c r="L5871" t="s">
        <v>27250</v>
      </c>
      <c r="M5871" t="s">
        <v>27251</v>
      </c>
      <c r="N5871" t="s">
        <v>27252</v>
      </c>
      <c r="Q5871" s="1">
        <v>44538</v>
      </c>
      <c r="R5871" t="s">
        <v>27253</v>
      </c>
      <c r="S5871" t="s">
        <v>27254</v>
      </c>
      <c r="T5871" t="s">
        <v>27255</v>
      </c>
    </row>
    <row r="5872" spans="1:20" x14ac:dyDescent="0.3">
      <c r="A5872" t="str">
        <f>"0611835385100"</f>
        <v>0611835385100</v>
      </c>
      <c r="B5872" t="str">
        <f>"LB3254"</f>
        <v>LB3254</v>
      </c>
      <c r="C5872" t="s">
        <v>38613</v>
      </c>
      <c r="D5872" t="s">
        <v>27245</v>
      </c>
      <c r="E5872" t="str">
        <f t="shared" si="91"/>
        <v>001390</v>
      </c>
      <c r="F5872" t="s">
        <v>27246</v>
      </c>
      <c r="G5872" t="s">
        <v>27247</v>
      </c>
      <c r="H5872" t="s">
        <v>27248</v>
      </c>
      <c r="I5872" t="s">
        <v>38614</v>
      </c>
      <c r="J5872" t="s">
        <v>11728</v>
      </c>
      <c r="L5872" t="s">
        <v>27250</v>
      </c>
      <c r="M5872" t="s">
        <v>27251</v>
      </c>
      <c r="N5872" t="s">
        <v>27252</v>
      </c>
      <c r="Q5872" s="1">
        <v>44538</v>
      </c>
      <c r="R5872" t="s">
        <v>27253</v>
      </c>
      <c r="S5872" t="s">
        <v>27254</v>
      </c>
      <c r="T5872" t="s">
        <v>27255</v>
      </c>
    </row>
    <row r="5873" spans="1:20" x14ac:dyDescent="0.3">
      <c r="A5873" t="str">
        <f>"0611835386100"</f>
        <v>0611835386100</v>
      </c>
      <c r="B5873" t="str">
        <f>"LB3249"</f>
        <v>LB3249</v>
      </c>
      <c r="C5873" t="s">
        <v>38615</v>
      </c>
      <c r="D5873" t="s">
        <v>27245</v>
      </c>
      <c r="E5873" t="str">
        <f t="shared" si="91"/>
        <v>001390</v>
      </c>
      <c r="F5873" t="s">
        <v>27246</v>
      </c>
      <c r="G5873" t="s">
        <v>27247</v>
      </c>
      <c r="H5873" t="s">
        <v>27248</v>
      </c>
      <c r="I5873" t="s">
        <v>38616</v>
      </c>
      <c r="J5873" t="s">
        <v>11730</v>
      </c>
      <c r="L5873" t="s">
        <v>27250</v>
      </c>
      <c r="M5873" t="s">
        <v>27251</v>
      </c>
      <c r="N5873" t="s">
        <v>27252</v>
      </c>
      <c r="Q5873" s="1">
        <v>44538</v>
      </c>
      <c r="R5873" t="s">
        <v>27253</v>
      </c>
      <c r="S5873" t="s">
        <v>27254</v>
      </c>
      <c r="T5873" t="s">
        <v>27255</v>
      </c>
    </row>
    <row r="5874" spans="1:20" x14ac:dyDescent="0.3">
      <c r="A5874" t="str">
        <f>"0611835387100"</f>
        <v>0611835387100</v>
      </c>
      <c r="B5874" t="str">
        <f>"LC6970"</f>
        <v>LC6970</v>
      </c>
      <c r="C5874" t="s">
        <v>38617</v>
      </c>
      <c r="D5874" t="s">
        <v>27245</v>
      </c>
      <c r="E5874" t="str">
        <f t="shared" si="91"/>
        <v>001390</v>
      </c>
      <c r="F5874" t="s">
        <v>27246</v>
      </c>
      <c r="G5874" t="s">
        <v>27247</v>
      </c>
      <c r="H5874" t="s">
        <v>27248</v>
      </c>
      <c r="I5874" t="s">
        <v>38618</v>
      </c>
      <c r="J5874" t="s">
        <v>11732</v>
      </c>
      <c r="L5874" t="s">
        <v>27250</v>
      </c>
      <c r="M5874" t="s">
        <v>27251</v>
      </c>
      <c r="N5874" t="s">
        <v>27252</v>
      </c>
      <c r="Q5874" s="1">
        <v>44538</v>
      </c>
      <c r="R5874" t="s">
        <v>27253</v>
      </c>
      <c r="S5874" t="s">
        <v>27254</v>
      </c>
      <c r="T5874" t="s">
        <v>27255</v>
      </c>
    </row>
    <row r="5875" spans="1:20" x14ac:dyDescent="0.3">
      <c r="A5875" t="str">
        <f>"0611884255025"</f>
        <v>0611884255025</v>
      </c>
      <c r="B5875" t="str">
        <f>"MC4477"</f>
        <v>MC4477</v>
      </c>
      <c r="C5875" t="s">
        <v>38619</v>
      </c>
      <c r="D5875" t="s">
        <v>27267</v>
      </c>
      <c r="E5875" t="str">
        <f t="shared" si="91"/>
        <v>001390</v>
      </c>
      <c r="F5875" t="s">
        <v>27246</v>
      </c>
      <c r="G5875" t="s">
        <v>27247</v>
      </c>
      <c r="H5875" t="s">
        <v>27248</v>
      </c>
      <c r="I5875" t="s">
        <v>38620</v>
      </c>
      <c r="J5875" t="s">
        <v>11734</v>
      </c>
      <c r="L5875" t="s">
        <v>27430</v>
      </c>
      <c r="M5875" t="s">
        <v>27251</v>
      </c>
      <c r="N5875" t="s">
        <v>27252</v>
      </c>
      <c r="Q5875" s="1">
        <v>45250</v>
      </c>
      <c r="R5875" t="s">
        <v>27253</v>
      </c>
      <c r="S5875" t="s">
        <v>27254</v>
      </c>
      <c r="T5875" t="s">
        <v>27269</v>
      </c>
    </row>
    <row r="5876" spans="1:20" x14ac:dyDescent="0.3">
      <c r="A5876" t="str">
        <f>"0611835388025"</f>
        <v>0611835388025</v>
      </c>
      <c r="B5876" t="str">
        <f>"MC0427"</f>
        <v>MC0427</v>
      </c>
      <c r="C5876" t="s">
        <v>38621</v>
      </c>
      <c r="D5876" t="s">
        <v>27267</v>
      </c>
      <c r="E5876" t="str">
        <f t="shared" si="91"/>
        <v>001390</v>
      </c>
      <c r="F5876" t="s">
        <v>27246</v>
      </c>
      <c r="G5876" t="s">
        <v>27247</v>
      </c>
      <c r="H5876" t="s">
        <v>27248</v>
      </c>
      <c r="I5876" t="s">
        <v>38622</v>
      </c>
      <c r="J5876" t="s">
        <v>11736</v>
      </c>
      <c r="L5876" t="s">
        <v>27250</v>
      </c>
      <c r="M5876" t="s">
        <v>27251</v>
      </c>
      <c r="N5876" t="s">
        <v>27252</v>
      </c>
      <c r="Q5876" s="1">
        <v>44538</v>
      </c>
      <c r="R5876" t="s">
        <v>27253</v>
      </c>
      <c r="S5876" t="s">
        <v>27254</v>
      </c>
      <c r="T5876" t="s">
        <v>27269</v>
      </c>
    </row>
    <row r="5877" spans="1:20" x14ac:dyDescent="0.3">
      <c r="A5877" t="str">
        <f>"0611862580050"</f>
        <v>0611862580050</v>
      </c>
      <c r="B5877" t="str">
        <f>"CR4327"</f>
        <v>CR4327</v>
      </c>
      <c r="C5877" t="s">
        <v>38621</v>
      </c>
      <c r="D5877" t="s">
        <v>27263</v>
      </c>
      <c r="E5877" t="str">
        <f t="shared" si="91"/>
        <v>001390</v>
      </c>
      <c r="F5877" t="s">
        <v>27246</v>
      </c>
      <c r="G5877" t="s">
        <v>27247</v>
      </c>
      <c r="H5877" t="s">
        <v>27248</v>
      </c>
      <c r="I5877" t="s">
        <v>38623</v>
      </c>
      <c r="J5877" t="s">
        <v>11738</v>
      </c>
      <c r="L5877" t="s">
        <v>27250</v>
      </c>
      <c r="M5877" t="s">
        <v>27251</v>
      </c>
      <c r="N5877" t="s">
        <v>27252</v>
      </c>
      <c r="Q5877" s="1">
        <v>44846</v>
      </c>
      <c r="R5877" t="s">
        <v>27253</v>
      </c>
      <c r="S5877" t="s">
        <v>27254</v>
      </c>
      <c r="T5877" t="s">
        <v>27265</v>
      </c>
    </row>
    <row r="5878" spans="1:20" x14ac:dyDescent="0.3">
      <c r="A5878" t="str">
        <f>"0611835389025"</f>
        <v>0611835389025</v>
      </c>
      <c r="B5878" t="str">
        <f>"MQ6039"</f>
        <v>MQ6039</v>
      </c>
      <c r="C5878" t="s">
        <v>38624</v>
      </c>
      <c r="D5878" t="s">
        <v>27267</v>
      </c>
      <c r="E5878" t="str">
        <f t="shared" si="91"/>
        <v>001390</v>
      </c>
      <c r="F5878" t="s">
        <v>27246</v>
      </c>
      <c r="G5878" t="s">
        <v>27247</v>
      </c>
      <c r="H5878" t="s">
        <v>27248</v>
      </c>
      <c r="I5878" t="s">
        <v>38625</v>
      </c>
      <c r="J5878" t="s">
        <v>11740</v>
      </c>
      <c r="L5878" t="s">
        <v>27250</v>
      </c>
      <c r="M5878" t="s">
        <v>27251</v>
      </c>
      <c r="N5878" t="s">
        <v>27252</v>
      </c>
      <c r="Q5878" s="1">
        <v>44538</v>
      </c>
      <c r="R5878" t="s">
        <v>27253</v>
      </c>
      <c r="S5878" t="s">
        <v>27254</v>
      </c>
      <c r="T5878" t="s">
        <v>27269</v>
      </c>
    </row>
    <row r="5879" spans="1:20" x14ac:dyDescent="0.3">
      <c r="A5879" t="str">
        <f>"0611835390025"</f>
        <v>0611835390025</v>
      </c>
      <c r="B5879" t="str">
        <f>"MQ6040"</f>
        <v>MQ6040</v>
      </c>
      <c r="C5879" t="s">
        <v>38626</v>
      </c>
      <c r="D5879" t="s">
        <v>27267</v>
      </c>
      <c r="E5879" t="str">
        <f t="shared" si="91"/>
        <v>001390</v>
      </c>
      <c r="F5879" t="s">
        <v>27246</v>
      </c>
      <c r="G5879" t="s">
        <v>27247</v>
      </c>
      <c r="H5879" t="s">
        <v>27248</v>
      </c>
      <c r="I5879" t="s">
        <v>38627</v>
      </c>
      <c r="J5879" t="s">
        <v>11742</v>
      </c>
      <c r="L5879" t="s">
        <v>27250</v>
      </c>
      <c r="M5879" t="s">
        <v>27251</v>
      </c>
      <c r="N5879" t="s">
        <v>27252</v>
      </c>
      <c r="Q5879" s="1">
        <v>44538</v>
      </c>
      <c r="R5879" t="s">
        <v>27253</v>
      </c>
      <c r="S5879" t="s">
        <v>27254</v>
      </c>
      <c r="T5879" t="s">
        <v>27269</v>
      </c>
    </row>
    <row r="5880" spans="1:20" x14ac:dyDescent="0.3">
      <c r="A5880" t="str">
        <f>"0611835391025"</f>
        <v>0611835391025</v>
      </c>
      <c r="B5880" t="str">
        <f>"MQ6041"</f>
        <v>MQ6041</v>
      </c>
      <c r="C5880" t="s">
        <v>38628</v>
      </c>
      <c r="D5880" t="s">
        <v>27267</v>
      </c>
      <c r="E5880" t="str">
        <f t="shared" si="91"/>
        <v>001390</v>
      </c>
      <c r="F5880" t="s">
        <v>27246</v>
      </c>
      <c r="G5880" t="s">
        <v>27247</v>
      </c>
      <c r="H5880" t="s">
        <v>27248</v>
      </c>
      <c r="I5880" t="s">
        <v>38629</v>
      </c>
      <c r="J5880" t="s">
        <v>11744</v>
      </c>
      <c r="L5880" t="s">
        <v>27250</v>
      </c>
      <c r="M5880" t="s">
        <v>27251</v>
      </c>
      <c r="N5880" t="s">
        <v>27252</v>
      </c>
      <c r="Q5880" s="1">
        <v>44538</v>
      </c>
      <c r="R5880" t="s">
        <v>27253</v>
      </c>
      <c r="S5880" t="s">
        <v>27254</v>
      </c>
      <c r="T5880" t="s">
        <v>27269</v>
      </c>
    </row>
    <row r="5881" spans="1:20" x14ac:dyDescent="0.3">
      <c r="A5881" t="str">
        <f>"0611862581050"</f>
        <v>0611862581050</v>
      </c>
      <c r="B5881" t="str">
        <f>"CR4330"</f>
        <v>CR4330</v>
      </c>
      <c r="C5881" t="s">
        <v>38630</v>
      </c>
      <c r="D5881" t="s">
        <v>27263</v>
      </c>
      <c r="E5881" t="str">
        <f t="shared" si="91"/>
        <v>001390</v>
      </c>
      <c r="F5881" t="s">
        <v>27246</v>
      </c>
      <c r="G5881" t="s">
        <v>27247</v>
      </c>
      <c r="H5881" t="s">
        <v>27248</v>
      </c>
      <c r="I5881" t="s">
        <v>38631</v>
      </c>
      <c r="J5881" t="s">
        <v>11746</v>
      </c>
      <c r="L5881" t="s">
        <v>27250</v>
      </c>
      <c r="M5881" t="s">
        <v>27251</v>
      </c>
      <c r="N5881" t="s">
        <v>27252</v>
      </c>
      <c r="Q5881" s="1">
        <v>44846</v>
      </c>
      <c r="R5881" t="s">
        <v>27253</v>
      </c>
      <c r="S5881" t="s">
        <v>27254</v>
      </c>
      <c r="T5881" t="s">
        <v>27265</v>
      </c>
    </row>
    <row r="5882" spans="1:20" x14ac:dyDescent="0.3">
      <c r="A5882" t="str">
        <f>"0611835393025"</f>
        <v>0611835393025</v>
      </c>
      <c r="B5882" t="str">
        <f>"MC2842"</f>
        <v>MC2842</v>
      </c>
      <c r="C5882" t="s">
        <v>38632</v>
      </c>
      <c r="D5882" t="s">
        <v>27267</v>
      </c>
      <c r="E5882" t="str">
        <f t="shared" si="91"/>
        <v>001390</v>
      </c>
      <c r="F5882" t="s">
        <v>27246</v>
      </c>
      <c r="G5882" t="s">
        <v>27247</v>
      </c>
      <c r="H5882" t="s">
        <v>27248</v>
      </c>
      <c r="I5882" t="s">
        <v>38633</v>
      </c>
      <c r="J5882" t="s">
        <v>11748</v>
      </c>
      <c r="L5882" t="s">
        <v>27250</v>
      </c>
      <c r="M5882" t="s">
        <v>27251</v>
      </c>
      <c r="N5882" t="s">
        <v>27252</v>
      </c>
      <c r="Q5882" s="1">
        <v>44538</v>
      </c>
      <c r="R5882" t="s">
        <v>27253</v>
      </c>
      <c r="S5882" t="s">
        <v>27254</v>
      </c>
      <c r="T5882" t="s">
        <v>27269</v>
      </c>
    </row>
    <row r="5883" spans="1:20" x14ac:dyDescent="0.3">
      <c r="A5883" t="str">
        <f>"0611835394025"</f>
        <v>0611835394025</v>
      </c>
      <c r="B5883" t="str">
        <f>"MQ0715"</f>
        <v>MQ0715</v>
      </c>
      <c r="C5883" t="s">
        <v>38634</v>
      </c>
      <c r="D5883" t="s">
        <v>28057</v>
      </c>
      <c r="E5883" t="str">
        <f t="shared" si="91"/>
        <v>001390</v>
      </c>
      <c r="F5883" t="s">
        <v>27246</v>
      </c>
      <c r="G5883" t="s">
        <v>27247</v>
      </c>
      <c r="H5883" t="s">
        <v>27248</v>
      </c>
      <c r="I5883" t="s">
        <v>38635</v>
      </c>
      <c r="J5883" t="s">
        <v>11750</v>
      </c>
      <c r="L5883" t="s">
        <v>27250</v>
      </c>
      <c r="M5883" t="s">
        <v>27251</v>
      </c>
      <c r="N5883" t="s">
        <v>27252</v>
      </c>
      <c r="P5883" t="s">
        <v>27925</v>
      </c>
      <c r="Q5883" s="1">
        <v>44538</v>
      </c>
      <c r="R5883" t="s">
        <v>27253</v>
      </c>
      <c r="S5883" t="s">
        <v>27254</v>
      </c>
      <c r="T5883" t="s">
        <v>27269</v>
      </c>
    </row>
    <row r="5884" spans="1:20" x14ac:dyDescent="0.3">
      <c r="A5884" t="str">
        <f>"0611835395025"</f>
        <v>0611835395025</v>
      </c>
      <c r="B5884" t="str">
        <f>"MQ9008"</f>
        <v>MQ9008</v>
      </c>
      <c r="C5884" t="s">
        <v>38636</v>
      </c>
      <c r="D5884" t="s">
        <v>27267</v>
      </c>
      <c r="E5884" t="str">
        <f t="shared" si="91"/>
        <v>001390</v>
      </c>
      <c r="F5884" t="s">
        <v>27246</v>
      </c>
      <c r="G5884" t="s">
        <v>27247</v>
      </c>
      <c r="H5884" t="s">
        <v>27248</v>
      </c>
      <c r="I5884" t="s">
        <v>38637</v>
      </c>
      <c r="J5884" t="s">
        <v>11752</v>
      </c>
      <c r="L5884" t="s">
        <v>27250</v>
      </c>
      <c r="M5884" t="s">
        <v>27251</v>
      </c>
      <c r="N5884" t="s">
        <v>27252</v>
      </c>
      <c r="Q5884" s="1">
        <v>44538</v>
      </c>
      <c r="R5884" t="s">
        <v>27253</v>
      </c>
      <c r="S5884" t="s">
        <v>27254</v>
      </c>
      <c r="T5884" t="s">
        <v>27269</v>
      </c>
    </row>
    <row r="5885" spans="1:20" x14ac:dyDescent="0.3">
      <c r="A5885" t="str">
        <f>"0611862582100"</f>
        <v>0611862582100</v>
      </c>
      <c r="B5885" t="str">
        <f>"CN5202"</f>
        <v>CN5202</v>
      </c>
      <c r="C5885" t="s">
        <v>38638</v>
      </c>
      <c r="D5885" t="s">
        <v>27335</v>
      </c>
      <c r="E5885" t="str">
        <f t="shared" si="91"/>
        <v>001390</v>
      </c>
      <c r="F5885" t="s">
        <v>27246</v>
      </c>
      <c r="G5885" t="s">
        <v>27247</v>
      </c>
      <c r="H5885" t="s">
        <v>27248</v>
      </c>
      <c r="I5885" t="s">
        <v>38639</v>
      </c>
      <c r="J5885" t="s">
        <v>11754</v>
      </c>
      <c r="L5885" t="s">
        <v>27250</v>
      </c>
      <c r="M5885" t="s">
        <v>27251</v>
      </c>
      <c r="N5885" t="s">
        <v>27252</v>
      </c>
      <c r="Q5885" s="1">
        <v>44846</v>
      </c>
      <c r="R5885" t="s">
        <v>27253</v>
      </c>
      <c r="S5885" t="s">
        <v>27254</v>
      </c>
      <c r="T5885" t="s">
        <v>27255</v>
      </c>
    </row>
    <row r="5886" spans="1:20" x14ac:dyDescent="0.3">
      <c r="A5886" t="str">
        <f>"0611835396025"</f>
        <v>0611835396025</v>
      </c>
      <c r="B5886" t="str">
        <f>"MC1989"</f>
        <v>MC1989</v>
      </c>
      <c r="C5886" t="s">
        <v>38640</v>
      </c>
      <c r="D5886" t="s">
        <v>27267</v>
      </c>
      <c r="E5886" t="str">
        <f t="shared" si="91"/>
        <v>001390</v>
      </c>
      <c r="F5886" t="s">
        <v>27246</v>
      </c>
      <c r="G5886" t="s">
        <v>27247</v>
      </c>
      <c r="H5886" t="s">
        <v>27248</v>
      </c>
      <c r="I5886" t="s">
        <v>38641</v>
      </c>
      <c r="J5886" t="s">
        <v>11756</v>
      </c>
      <c r="L5886" t="s">
        <v>27250</v>
      </c>
      <c r="M5886" t="s">
        <v>27251</v>
      </c>
      <c r="N5886" t="s">
        <v>27252</v>
      </c>
      <c r="Q5886" s="1">
        <v>44538</v>
      </c>
      <c r="R5886" t="s">
        <v>27253</v>
      </c>
      <c r="S5886" t="s">
        <v>27254</v>
      </c>
      <c r="T5886" t="s">
        <v>27269</v>
      </c>
    </row>
    <row r="5887" spans="1:20" x14ac:dyDescent="0.3">
      <c r="A5887" t="str">
        <f>"0611835403025"</f>
        <v>0611835403025</v>
      </c>
      <c r="B5887" t="str">
        <f>"MC4403"</f>
        <v>MC4403</v>
      </c>
      <c r="C5887" t="s">
        <v>38642</v>
      </c>
      <c r="D5887" t="s">
        <v>27267</v>
      </c>
      <c r="E5887" t="str">
        <f t="shared" si="91"/>
        <v>001390</v>
      </c>
      <c r="F5887" t="s">
        <v>27246</v>
      </c>
      <c r="G5887" t="s">
        <v>27247</v>
      </c>
      <c r="H5887" t="s">
        <v>27248</v>
      </c>
      <c r="I5887" t="s">
        <v>38643</v>
      </c>
      <c r="J5887" t="s">
        <v>11758</v>
      </c>
      <c r="L5887" t="s">
        <v>27250</v>
      </c>
      <c r="M5887" t="s">
        <v>27251</v>
      </c>
      <c r="N5887" t="s">
        <v>27252</v>
      </c>
      <c r="Q5887" s="1">
        <v>44538</v>
      </c>
      <c r="R5887" t="s">
        <v>27253</v>
      </c>
      <c r="S5887" t="s">
        <v>27254</v>
      </c>
      <c r="T5887" t="s">
        <v>27269</v>
      </c>
    </row>
    <row r="5888" spans="1:20" x14ac:dyDescent="0.3">
      <c r="A5888" t="str">
        <f>"0611862583050"</f>
        <v>0611862583050</v>
      </c>
      <c r="B5888" t="str">
        <f>"CE0987"</f>
        <v>CE0987</v>
      </c>
      <c r="C5888" t="s">
        <v>38644</v>
      </c>
      <c r="D5888" t="s">
        <v>27923</v>
      </c>
      <c r="E5888" t="str">
        <f t="shared" si="91"/>
        <v>001390</v>
      </c>
      <c r="F5888" t="s">
        <v>27246</v>
      </c>
      <c r="G5888" t="s">
        <v>27247</v>
      </c>
      <c r="H5888" t="s">
        <v>27248</v>
      </c>
      <c r="I5888" t="s">
        <v>38645</v>
      </c>
      <c r="J5888" t="s">
        <v>11760</v>
      </c>
      <c r="L5888" t="s">
        <v>27250</v>
      </c>
      <c r="M5888" t="s">
        <v>27251</v>
      </c>
      <c r="N5888" t="s">
        <v>27252</v>
      </c>
      <c r="P5888" t="s">
        <v>27925</v>
      </c>
      <c r="Q5888" s="1">
        <v>44846</v>
      </c>
      <c r="R5888" t="s">
        <v>27253</v>
      </c>
      <c r="S5888" t="s">
        <v>27254</v>
      </c>
      <c r="T5888" t="s">
        <v>27265</v>
      </c>
    </row>
    <row r="5889" spans="1:20" x14ac:dyDescent="0.3">
      <c r="A5889" t="str">
        <f>"0611835404025"</f>
        <v>0611835404025</v>
      </c>
      <c r="B5889" t="str">
        <f>"MQ6042"</f>
        <v>MQ6042</v>
      </c>
      <c r="C5889" t="s">
        <v>38646</v>
      </c>
      <c r="D5889" t="s">
        <v>28057</v>
      </c>
      <c r="E5889" t="str">
        <f t="shared" si="91"/>
        <v>001390</v>
      </c>
      <c r="F5889" t="s">
        <v>27246</v>
      </c>
      <c r="G5889" t="s">
        <v>27247</v>
      </c>
      <c r="H5889" t="s">
        <v>27248</v>
      </c>
      <c r="I5889" t="s">
        <v>38647</v>
      </c>
      <c r="J5889" t="s">
        <v>11762</v>
      </c>
      <c r="L5889" t="s">
        <v>27250</v>
      </c>
      <c r="M5889" t="s">
        <v>27251</v>
      </c>
      <c r="N5889" t="s">
        <v>27252</v>
      </c>
      <c r="P5889" t="s">
        <v>27925</v>
      </c>
      <c r="Q5889" s="1">
        <v>44538</v>
      </c>
      <c r="R5889" t="s">
        <v>27253</v>
      </c>
      <c r="S5889" t="s">
        <v>27254</v>
      </c>
      <c r="T5889" t="s">
        <v>27269</v>
      </c>
    </row>
    <row r="5890" spans="1:20" x14ac:dyDescent="0.3">
      <c r="A5890" t="str">
        <f>"0611835398025"</f>
        <v>0611835398025</v>
      </c>
      <c r="B5890" t="str">
        <f>"MC4017"</f>
        <v>MC4017</v>
      </c>
      <c r="C5890" t="s">
        <v>38648</v>
      </c>
      <c r="D5890" t="s">
        <v>28057</v>
      </c>
      <c r="E5890" t="str">
        <f t="shared" ref="E5890:E5953" si="92">"001390"</f>
        <v>001390</v>
      </c>
      <c r="F5890" t="s">
        <v>27246</v>
      </c>
      <c r="G5890" t="s">
        <v>27247</v>
      </c>
      <c r="H5890" t="s">
        <v>27248</v>
      </c>
      <c r="I5890" t="s">
        <v>38649</v>
      </c>
      <c r="J5890" t="s">
        <v>11764</v>
      </c>
      <c r="L5890" t="s">
        <v>27250</v>
      </c>
      <c r="M5890" t="s">
        <v>27251</v>
      </c>
      <c r="N5890" t="s">
        <v>27252</v>
      </c>
      <c r="P5890" t="s">
        <v>27925</v>
      </c>
      <c r="Q5890" s="1">
        <v>44538</v>
      </c>
      <c r="R5890" t="s">
        <v>27253</v>
      </c>
      <c r="S5890" t="s">
        <v>27254</v>
      </c>
      <c r="T5890" t="s">
        <v>27269</v>
      </c>
    </row>
    <row r="5891" spans="1:20" x14ac:dyDescent="0.3">
      <c r="A5891" t="str">
        <f>"0611862584100"</f>
        <v>0611862584100</v>
      </c>
      <c r="B5891" t="str">
        <f>"CN5203"</f>
        <v>CN5203</v>
      </c>
      <c r="C5891" t="s">
        <v>38650</v>
      </c>
      <c r="D5891" t="s">
        <v>27335</v>
      </c>
      <c r="E5891" t="str">
        <f t="shared" si="92"/>
        <v>001390</v>
      </c>
      <c r="F5891" t="s">
        <v>27246</v>
      </c>
      <c r="G5891" t="s">
        <v>27247</v>
      </c>
      <c r="H5891" t="s">
        <v>27248</v>
      </c>
      <c r="I5891" t="s">
        <v>38651</v>
      </c>
      <c r="J5891" t="s">
        <v>11766</v>
      </c>
      <c r="L5891" t="s">
        <v>27250</v>
      </c>
      <c r="M5891" t="s">
        <v>27251</v>
      </c>
      <c r="N5891" t="s">
        <v>27252</v>
      </c>
      <c r="Q5891" s="1">
        <v>44846</v>
      </c>
      <c r="R5891" t="s">
        <v>27253</v>
      </c>
      <c r="S5891" t="s">
        <v>27254</v>
      </c>
      <c r="T5891" t="s">
        <v>27255</v>
      </c>
    </row>
    <row r="5892" spans="1:20" x14ac:dyDescent="0.3">
      <c r="A5892" t="str">
        <f>"0611862585050"</f>
        <v>0611862585050</v>
      </c>
      <c r="B5892" t="str">
        <f>"CR4328"</f>
        <v>CR4328</v>
      </c>
      <c r="C5892" t="s">
        <v>38652</v>
      </c>
      <c r="D5892" t="s">
        <v>27286</v>
      </c>
      <c r="E5892" t="str">
        <f t="shared" si="92"/>
        <v>001390</v>
      </c>
      <c r="F5892" t="s">
        <v>27246</v>
      </c>
      <c r="G5892" t="s">
        <v>27247</v>
      </c>
      <c r="H5892" t="s">
        <v>27248</v>
      </c>
      <c r="I5892" t="s">
        <v>38653</v>
      </c>
      <c r="J5892" t="s">
        <v>11768</v>
      </c>
      <c r="L5892" t="s">
        <v>27250</v>
      </c>
      <c r="M5892" t="s">
        <v>27251</v>
      </c>
      <c r="N5892" t="s">
        <v>27252</v>
      </c>
      <c r="Q5892" s="1">
        <v>44846</v>
      </c>
      <c r="R5892" t="s">
        <v>27253</v>
      </c>
      <c r="S5892" t="s">
        <v>27254</v>
      </c>
      <c r="T5892" t="s">
        <v>27265</v>
      </c>
    </row>
    <row r="5893" spans="1:20" x14ac:dyDescent="0.3">
      <c r="A5893" t="str">
        <f>"0611835399025"</f>
        <v>0611835399025</v>
      </c>
      <c r="B5893" t="str">
        <f>"MC0430"</f>
        <v>MC0430</v>
      </c>
      <c r="C5893" t="s">
        <v>38654</v>
      </c>
      <c r="D5893" t="s">
        <v>27267</v>
      </c>
      <c r="E5893" t="str">
        <f t="shared" si="92"/>
        <v>001390</v>
      </c>
      <c r="F5893" t="s">
        <v>27246</v>
      </c>
      <c r="G5893" t="s">
        <v>27247</v>
      </c>
      <c r="H5893" t="s">
        <v>27248</v>
      </c>
      <c r="I5893" t="s">
        <v>38655</v>
      </c>
      <c r="J5893" t="s">
        <v>11770</v>
      </c>
      <c r="L5893" t="s">
        <v>27250</v>
      </c>
      <c r="M5893" t="s">
        <v>27251</v>
      </c>
      <c r="N5893" t="s">
        <v>27252</v>
      </c>
      <c r="Q5893" s="1">
        <v>44538</v>
      </c>
      <c r="R5893" t="s">
        <v>27253</v>
      </c>
      <c r="S5893" t="s">
        <v>27254</v>
      </c>
      <c r="T5893" t="s">
        <v>27269</v>
      </c>
    </row>
    <row r="5894" spans="1:20" x14ac:dyDescent="0.3">
      <c r="A5894" t="str">
        <f>"0611835400025"</f>
        <v>0611835400025</v>
      </c>
      <c r="B5894" t="str">
        <f>"MQ0294"</f>
        <v>MQ0294</v>
      </c>
      <c r="C5894" t="s">
        <v>38656</v>
      </c>
      <c r="D5894" t="s">
        <v>27267</v>
      </c>
      <c r="E5894" t="str">
        <f t="shared" si="92"/>
        <v>001390</v>
      </c>
      <c r="F5894" t="s">
        <v>27246</v>
      </c>
      <c r="G5894" t="s">
        <v>27247</v>
      </c>
      <c r="H5894" t="s">
        <v>27248</v>
      </c>
      <c r="I5894" t="s">
        <v>38657</v>
      </c>
      <c r="J5894" t="s">
        <v>11772</v>
      </c>
      <c r="L5894" t="s">
        <v>27250</v>
      </c>
      <c r="M5894" t="s">
        <v>27251</v>
      </c>
      <c r="N5894" t="s">
        <v>27252</v>
      </c>
      <c r="Q5894" s="1">
        <v>44538</v>
      </c>
      <c r="R5894" t="s">
        <v>27253</v>
      </c>
      <c r="S5894" t="s">
        <v>27254</v>
      </c>
      <c r="T5894" t="s">
        <v>27269</v>
      </c>
    </row>
    <row r="5895" spans="1:20" x14ac:dyDescent="0.3">
      <c r="A5895" t="str">
        <f>"0611835401025"</f>
        <v>0611835401025</v>
      </c>
      <c r="B5895" t="str">
        <f>"MQ7156"</f>
        <v>MQ7156</v>
      </c>
      <c r="C5895" t="s">
        <v>38658</v>
      </c>
      <c r="D5895" t="s">
        <v>28057</v>
      </c>
      <c r="E5895" t="str">
        <f t="shared" si="92"/>
        <v>001390</v>
      </c>
      <c r="F5895" t="s">
        <v>27246</v>
      </c>
      <c r="G5895" t="s">
        <v>27247</v>
      </c>
      <c r="H5895" t="s">
        <v>27248</v>
      </c>
      <c r="I5895" t="s">
        <v>38659</v>
      </c>
      <c r="J5895" t="s">
        <v>11774</v>
      </c>
      <c r="L5895" t="s">
        <v>27250</v>
      </c>
      <c r="M5895" t="s">
        <v>27251</v>
      </c>
      <c r="N5895" t="s">
        <v>27252</v>
      </c>
      <c r="P5895" t="s">
        <v>27925</v>
      </c>
      <c r="Q5895" s="1">
        <v>44538</v>
      </c>
      <c r="R5895" t="s">
        <v>27253</v>
      </c>
      <c r="S5895" t="s">
        <v>27254</v>
      </c>
      <c r="T5895" t="s">
        <v>27269</v>
      </c>
    </row>
    <row r="5896" spans="1:20" x14ac:dyDescent="0.3">
      <c r="A5896" t="str">
        <f>"0611862586050"</f>
        <v>0611862586050</v>
      </c>
      <c r="B5896" t="str">
        <f>"CE0988"</f>
        <v>CE0988</v>
      </c>
      <c r="C5896" t="s">
        <v>38658</v>
      </c>
      <c r="D5896" t="s">
        <v>27923</v>
      </c>
      <c r="E5896" t="str">
        <f t="shared" si="92"/>
        <v>001390</v>
      </c>
      <c r="F5896" t="s">
        <v>27246</v>
      </c>
      <c r="G5896" t="s">
        <v>27247</v>
      </c>
      <c r="H5896" t="s">
        <v>27248</v>
      </c>
      <c r="I5896" t="s">
        <v>38660</v>
      </c>
      <c r="J5896" t="s">
        <v>11776</v>
      </c>
      <c r="L5896" t="s">
        <v>27250</v>
      </c>
      <c r="M5896" t="s">
        <v>27251</v>
      </c>
      <c r="N5896" t="s">
        <v>27252</v>
      </c>
      <c r="P5896" t="s">
        <v>27925</v>
      </c>
      <c r="Q5896" s="1">
        <v>44846</v>
      </c>
      <c r="R5896" t="s">
        <v>27253</v>
      </c>
      <c r="S5896" t="s">
        <v>27254</v>
      </c>
      <c r="T5896" t="s">
        <v>27265</v>
      </c>
    </row>
    <row r="5897" spans="1:20" x14ac:dyDescent="0.3">
      <c r="A5897" t="str">
        <f>"0611835402025"</f>
        <v>0611835402025</v>
      </c>
      <c r="B5897" t="str">
        <f>"MQ7157"</f>
        <v>MQ7157</v>
      </c>
      <c r="C5897" t="s">
        <v>38661</v>
      </c>
      <c r="D5897" t="s">
        <v>28057</v>
      </c>
      <c r="E5897" t="str">
        <f t="shared" si="92"/>
        <v>001390</v>
      </c>
      <c r="F5897" t="s">
        <v>27246</v>
      </c>
      <c r="G5897" t="s">
        <v>27247</v>
      </c>
      <c r="H5897" t="s">
        <v>27248</v>
      </c>
      <c r="I5897" t="s">
        <v>38662</v>
      </c>
      <c r="J5897" t="s">
        <v>11778</v>
      </c>
      <c r="L5897" t="s">
        <v>27250</v>
      </c>
      <c r="M5897" t="s">
        <v>27251</v>
      </c>
      <c r="N5897" t="s">
        <v>27252</v>
      </c>
      <c r="P5897" t="s">
        <v>27925</v>
      </c>
      <c r="Q5897" s="1">
        <v>44538</v>
      </c>
      <c r="R5897" t="s">
        <v>27253</v>
      </c>
      <c r="S5897" t="s">
        <v>27254</v>
      </c>
      <c r="T5897" t="s">
        <v>27269</v>
      </c>
    </row>
    <row r="5898" spans="1:20" x14ac:dyDescent="0.3">
      <c r="A5898" t="str">
        <f>"0611862587050"</f>
        <v>0611862587050</v>
      </c>
      <c r="B5898" t="str">
        <f>"CE0989"</f>
        <v>CE0989</v>
      </c>
      <c r="C5898" t="s">
        <v>38661</v>
      </c>
      <c r="D5898" t="s">
        <v>27923</v>
      </c>
      <c r="E5898" t="str">
        <f t="shared" si="92"/>
        <v>001390</v>
      </c>
      <c r="F5898" t="s">
        <v>27246</v>
      </c>
      <c r="G5898" t="s">
        <v>27247</v>
      </c>
      <c r="H5898" t="s">
        <v>27248</v>
      </c>
      <c r="I5898" t="s">
        <v>38663</v>
      </c>
      <c r="J5898" t="s">
        <v>11780</v>
      </c>
      <c r="L5898" t="s">
        <v>27250</v>
      </c>
      <c r="M5898" t="s">
        <v>27251</v>
      </c>
      <c r="N5898" t="s">
        <v>27252</v>
      </c>
      <c r="P5898" t="s">
        <v>27925</v>
      </c>
      <c r="Q5898" s="1">
        <v>44846</v>
      </c>
      <c r="R5898" t="s">
        <v>27253</v>
      </c>
      <c r="S5898" t="s">
        <v>27254</v>
      </c>
      <c r="T5898" t="s">
        <v>27265</v>
      </c>
    </row>
    <row r="5899" spans="1:20" x14ac:dyDescent="0.3">
      <c r="A5899" t="str">
        <f>"0611862588100"</f>
        <v>0611862588100</v>
      </c>
      <c r="B5899" t="str">
        <f>"CN5204"</f>
        <v>CN5204</v>
      </c>
      <c r="C5899" t="s">
        <v>38664</v>
      </c>
      <c r="D5899" t="s">
        <v>27339</v>
      </c>
      <c r="E5899" t="str">
        <f t="shared" si="92"/>
        <v>001390</v>
      </c>
      <c r="F5899" t="s">
        <v>27246</v>
      </c>
      <c r="G5899" t="s">
        <v>27247</v>
      </c>
      <c r="H5899" t="s">
        <v>27248</v>
      </c>
      <c r="I5899" t="s">
        <v>38665</v>
      </c>
      <c r="J5899" t="s">
        <v>11782</v>
      </c>
      <c r="L5899" t="s">
        <v>27250</v>
      </c>
      <c r="M5899" t="s">
        <v>27251</v>
      </c>
      <c r="N5899" t="s">
        <v>27252</v>
      </c>
      <c r="P5899" t="s">
        <v>27341</v>
      </c>
      <c r="Q5899" s="1">
        <v>44846</v>
      </c>
      <c r="R5899" t="s">
        <v>27253</v>
      </c>
      <c r="S5899" t="s">
        <v>27254</v>
      </c>
      <c r="T5899" t="s">
        <v>27255</v>
      </c>
    </row>
    <row r="5900" spans="1:20" x14ac:dyDescent="0.3">
      <c r="A5900" t="str">
        <f>"0611862589050"</f>
        <v>0611862589050</v>
      </c>
      <c r="B5900" t="str">
        <f>"CR4325"</f>
        <v>CR4325</v>
      </c>
      <c r="C5900" t="s">
        <v>38666</v>
      </c>
      <c r="D5900" t="s">
        <v>27271</v>
      </c>
      <c r="E5900" t="str">
        <f t="shared" si="92"/>
        <v>001390</v>
      </c>
      <c r="F5900" t="s">
        <v>27246</v>
      </c>
      <c r="G5900" t="s">
        <v>27247</v>
      </c>
      <c r="H5900" t="s">
        <v>27248</v>
      </c>
      <c r="I5900" t="s">
        <v>38667</v>
      </c>
      <c r="J5900" t="s">
        <v>11784</v>
      </c>
      <c r="L5900" t="s">
        <v>27250</v>
      </c>
      <c r="M5900" t="s">
        <v>27251</v>
      </c>
      <c r="N5900" t="s">
        <v>27252</v>
      </c>
      <c r="P5900" t="s">
        <v>27341</v>
      </c>
      <c r="Q5900" s="1">
        <v>44846</v>
      </c>
      <c r="R5900" t="s">
        <v>27253</v>
      </c>
      <c r="S5900" t="s">
        <v>27254</v>
      </c>
      <c r="T5900" t="s">
        <v>27265</v>
      </c>
    </row>
    <row r="5901" spans="1:20" x14ac:dyDescent="0.3">
      <c r="A5901" t="str">
        <f>"0611835405025"</f>
        <v>0611835405025</v>
      </c>
      <c r="B5901" t="str">
        <f>"MQ0413"</f>
        <v>MQ0413</v>
      </c>
      <c r="C5901" t="s">
        <v>38668</v>
      </c>
      <c r="D5901" t="s">
        <v>28057</v>
      </c>
      <c r="E5901" t="str">
        <f t="shared" si="92"/>
        <v>001390</v>
      </c>
      <c r="F5901" t="s">
        <v>27246</v>
      </c>
      <c r="G5901" t="s">
        <v>27247</v>
      </c>
      <c r="H5901" t="s">
        <v>27248</v>
      </c>
      <c r="I5901" t="s">
        <v>38669</v>
      </c>
      <c r="J5901" t="s">
        <v>11786</v>
      </c>
      <c r="L5901" t="s">
        <v>27250</v>
      </c>
      <c r="M5901" t="s">
        <v>27251</v>
      </c>
      <c r="N5901" t="s">
        <v>27252</v>
      </c>
      <c r="P5901" t="s">
        <v>27925</v>
      </c>
      <c r="Q5901" s="1">
        <v>44538</v>
      </c>
      <c r="R5901" t="s">
        <v>27253</v>
      </c>
      <c r="S5901" t="s">
        <v>27254</v>
      </c>
      <c r="T5901" t="s">
        <v>27269</v>
      </c>
    </row>
    <row r="5902" spans="1:20" x14ac:dyDescent="0.3">
      <c r="A5902" t="str">
        <f>"0611835406025"</f>
        <v>0611835406025</v>
      </c>
      <c r="B5902" t="str">
        <f>"MC2736"</f>
        <v>MC2736</v>
      </c>
      <c r="C5902" t="s">
        <v>38670</v>
      </c>
      <c r="D5902" t="s">
        <v>28057</v>
      </c>
      <c r="E5902" t="str">
        <f t="shared" si="92"/>
        <v>001390</v>
      </c>
      <c r="F5902" t="s">
        <v>27246</v>
      </c>
      <c r="G5902" t="s">
        <v>27247</v>
      </c>
      <c r="H5902" t="s">
        <v>27248</v>
      </c>
      <c r="I5902" t="s">
        <v>38671</v>
      </c>
      <c r="J5902" t="s">
        <v>11788</v>
      </c>
      <c r="L5902" t="s">
        <v>27250</v>
      </c>
      <c r="M5902" t="s">
        <v>27251</v>
      </c>
      <c r="N5902" t="s">
        <v>27252</v>
      </c>
      <c r="P5902" t="s">
        <v>27925</v>
      </c>
      <c r="Q5902" s="1">
        <v>44538</v>
      </c>
      <c r="R5902" t="s">
        <v>27253</v>
      </c>
      <c r="S5902" t="s">
        <v>27254</v>
      </c>
      <c r="T5902" t="s">
        <v>27269</v>
      </c>
    </row>
    <row r="5903" spans="1:20" x14ac:dyDescent="0.3">
      <c r="A5903" t="str">
        <f>"0611862590100"</f>
        <v>0611862590100</v>
      </c>
      <c r="B5903" t="str">
        <f>"CN5205"</f>
        <v>CN5205</v>
      </c>
      <c r="C5903" t="s">
        <v>38672</v>
      </c>
      <c r="D5903" t="s">
        <v>27339</v>
      </c>
      <c r="E5903" t="str">
        <f t="shared" si="92"/>
        <v>001390</v>
      </c>
      <c r="F5903" t="s">
        <v>27246</v>
      </c>
      <c r="G5903" t="s">
        <v>27247</v>
      </c>
      <c r="H5903" t="s">
        <v>27248</v>
      </c>
      <c r="I5903" t="s">
        <v>38673</v>
      </c>
      <c r="J5903" t="s">
        <v>11790</v>
      </c>
      <c r="L5903" t="s">
        <v>27250</v>
      </c>
      <c r="M5903" t="s">
        <v>27251</v>
      </c>
      <c r="N5903" t="s">
        <v>27252</v>
      </c>
      <c r="P5903" t="s">
        <v>27341</v>
      </c>
      <c r="Q5903" s="1">
        <v>44846</v>
      </c>
      <c r="R5903" t="s">
        <v>27253</v>
      </c>
      <c r="S5903" t="s">
        <v>27254</v>
      </c>
      <c r="T5903" t="s">
        <v>27255</v>
      </c>
    </row>
    <row r="5904" spans="1:20" x14ac:dyDescent="0.3">
      <c r="A5904" t="str">
        <f>"0611862591050"</f>
        <v>0611862591050</v>
      </c>
      <c r="B5904" t="str">
        <f>"CR4326"</f>
        <v>CR4326</v>
      </c>
      <c r="C5904" t="s">
        <v>38674</v>
      </c>
      <c r="D5904" t="s">
        <v>28376</v>
      </c>
      <c r="E5904" t="str">
        <f t="shared" si="92"/>
        <v>001390</v>
      </c>
      <c r="F5904" t="s">
        <v>27246</v>
      </c>
      <c r="G5904" t="s">
        <v>27247</v>
      </c>
      <c r="H5904" t="s">
        <v>27248</v>
      </c>
      <c r="I5904" t="s">
        <v>38675</v>
      </c>
      <c r="J5904" t="s">
        <v>11792</v>
      </c>
      <c r="L5904" t="s">
        <v>27250</v>
      </c>
      <c r="M5904" t="s">
        <v>27251</v>
      </c>
      <c r="N5904" t="s">
        <v>27252</v>
      </c>
      <c r="P5904" t="s">
        <v>27341</v>
      </c>
      <c r="Q5904" s="1">
        <v>44846</v>
      </c>
      <c r="R5904" t="s">
        <v>27253</v>
      </c>
      <c r="S5904" t="s">
        <v>27254</v>
      </c>
      <c r="T5904" t="s">
        <v>28378</v>
      </c>
    </row>
    <row r="5905" spans="1:20" x14ac:dyDescent="0.3">
      <c r="A5905" t="str">
        <f>"0611856990025"</f>
        <v>0611856990025</v>
      </c>
      <c r="B5905" t="str">
        <f>"MC4442"</f>
        <v>MC4442</v>
      </c>
      <c r="C5905" t="s">
        <v>38676</v>
      </c>
      <c r="D5905" t="s">
        <v>28057</v>
      </c>
      <c r="E5905" t="str">
        <f t="shared" si="92"/>
        <v>001390</v>
      </c>
      <c r="F5905" t="s">
        <v>27246</v>
      </c>
      <c r="G5905" t="s">
        <v>27247</v>
      </c>
      <c r="H5905" t="s">
        <v>27248</v>
      </c>
      <c r="I5905" t="s">
        <v>38677</v>
      </c>
      <c r="J5905" t="s">
        <v>11794</v>
      </c>
      <c r="L5905" t="s">
        <v>27250</v>
      </c>
      <c r="M5905" t="s">
        <v>27251</v>
      </c>
      <c r="N5905" t="s">
        <v>27252</v>
      </c>
      <c r="P5905" t="s">
        <v>27925</v>
      </c>
      <c r="Q5905" s="1">
        <v>44812</v>
      </c>
      <c r="R5905" t="s">
        <v>27253</v>
      </c>
      <c r="S5905" t="s">
        <v>27254</v>
      </c>
      <c r="T5905" t="s">
        <v>27269</v>
      </c>
    </row>
    <row r="5906" spans="1:20" x14ac:dyDescent="0.3">
      <c r="A5906" t="str">
        <f>"0611835407100"</f>
        <v>0611835407100</v>
      </c>
      <c r="B5906" t="str">
        <f>"LH1605"</f>
        <v>LH1605</v>
      </c>
      <c r="C5906" t="s">
        <v>38678</v>
      </c>
      <c r="D5906" t="s">
        <v>27245</v>
      </c>
      <c r="E5906" t="str">
        <f t="shared" si="92"/>
        <v>001390</v>
      </c>
      <c r="F5906" t="s">
        <v>27246</v>
      </c>
      <c r="G5906" t="s">
        <v>27247</v>
      </c>
      <c r="H5906" t="s">
        <v>27248</v>
      </c>
      <c r="I5906" t="s">
        <v>38679</v>
      </c>
      <c r="J5906" t="s">
        <v>11796</v>
      </c>
      <c r="L5906" t="s">
        <v>27250</v>
      </c>
      <c r="M5906" t="s">
        <v>27251</v>
      </c>
      <c r="N5906" t="s">
        <v>27252</v>
      </c>
      <c r="Q5906" s="1">
        <v>44538</v>
      </c>
      <c r="R5906" t="s">
        <v>27253</v>
      </c>
      <c r="S5906" t="s">
        <v>27254</v>
      </c>
      <c r="T5906" t="s">
        <v>27255</v>
      </c>
    </row>
    <row r="5907" spans="1:20" x14ac:dyDescent="0.3">
      <c r="A5907" t="str">
        <f>"0611862592100"</f>
        <v>0611862592100</v>
      </c>
      <c r="B5907" t="str">
        <f>"CN2373"</f>
        <v>CN2373</v>
      </c>
      <c r="C5907" t="s">
        <v>38680</v>
      </c>
      <c r="D5907" t="s">
        <v>27339</v>
      </c>
      <c r="E5907" t="str">
        <f t="shared" si="92"/>
        <v>001390</v>
      </c>
      <c r="F5907" t="s">
        <v>27246</v>
      </c>
      <c r="G5907" t="s">
        <v>27247</v>
      </c>
      <c r="H5907" t="s">
        <v>27248</v>
      </c>
      <c r="I5907" t="s">
        <v>38681</v>
      </c>
      <c r="J5907" t="s">
        <v>11798</v>
      </c>
      <c r="L5907" t="s">
        <v>27250</v>
      </c>
      <c r="M5907" t="s">
        <v>27251</v>
      </c>
      <c r="N5907" t="s">
        <v>27252</v>
      </c>
      <c r="P5907" t="s">
        <v>27341</v>
      </c>
      <c r="Q5907" s="1">
        <v>44846</v>
      </c>
      <c r="R5907" t="s">
        <v>27253</v>
      </c>
      <c r="S5907" t="s">
        <v>27254</v>
      </c>
      <c r="T5907" t="s">
        <v>27255</v>
      </c>
    </row>
    <row r="5908" spans="1:20" x14ac:dyDescent="0.3">
      <c r="A5908" t="str">
        <f>"0611835409025"</f>
        <v>0611835409025</v>
      </c>
      <c r="B5908" t="str">
        <f>"MC3922"</f>
        <v>MC3922</v>
      </c>
      <c r="C5908" t="s">
        <v>38682</v>
      </c>
      <c r="D5908" t="s">
        <v>27267</v>
      </c>
      <c r="E5908" t="str">
        <f t="shared" si="92"/>
        <v>001390</v>
      </c>
      <c r="F5908" t="s">
        <v>27246</v>
      </c>
      <c r="G5908" t="s">
        <v>27247</v>
      </c>
      <c r="H5908" t="s">
        <v>27248</v>
      </c>
      <c r="I5908" t="s">
        <v>38683</v>
      </c>
      <c r="J5908" t="s">
        <v>11800</v>
      </c>
      <c r="L5908" t="s">
        <v>27250</v>
      </c>
      <c r="M5908" t="s">
        <v>27251</v>
      </c>
      <c r="N5908" t="s">
        <v>27252</v>
      </c>
      <c r="Q5908" s="1">
        <v>44538</v>
      </c>
      <c r="R5908" t="s">
        <v>27253</v>
      </c>
      <c r="S5908" t="s">
        <v>27254</v>
      </c>
      <c r="T5908" t="s">
        <v>27269</v>
      </c>
    </row>
    <row r="5909" spans="1:20" x14ac:dyDescent="0.3">
      <c r="A5909" t="str">
        <f>"0611835410100"</f>
        <v>0611835410100</v>
      </c>
      <c r="B5909" t="str">
        <f>"LB3280"</f>
        <v>LB3280</v>
      </c>
      <c r="C5909" t="s">
        <v>38684</v>
      </c>
      <c r="D5909" t="s">
        <v>28138</v>
      </c>
      <c r="E5909" t="str">
        <f t="shared" si="92"/>
        <v>001390</v>
      </c>
      <c r="F5909" t="s">
        <v>27246</v>
      </c>
      <c r="G5909" t="s">
        <v>27247</v>
      </c>
      <c r="H5909" t="s">
        <v>27248</v>
      </c>
      <c r="I5909" t="s">
        <v>38685</v>
      </c>
      <c r="J5909" t="s">
        <v>11802</v>
      </c>
      <c r="L5909" t="s">
        <v>27250</v>
      </c>
      <c r="M5909" t="s">
        <v>27251</v>
      </c>
      <c r="N5909" t="s">
        <v>27252</v>
      </c>
      <c r="P5909" t="s">
        <v>27925</v>
      </c>
      <c r="Q5909" s="1">
        <v>44538</v>
      </c>
      <c r="R5909" t="s">
        <v>27253</v>
      </c>
      <c r="S5909" t="s">
        <v>27254</v>
      </c>
      <c r="T5909" t="s">
        <v>27255</v>
      </c>
    </row>
    <row r="5910" spans="1:20" x14ac:dyDescent="0.3">
      <c r="A5910" t="str">
        <f>"0611835411100"</f>
        <v>0611835411100</v>
      </c>
      <c r="B5910" t="str">
        <f>"LB3331"</f>
        <v>LB3331</v>
      </c>
      <c r="C5910" t="s">
        <v>38686</v>
      </c>
      <c r="D5910" t="s">
        <v>28138</v>
      </c>
      <c r="E5910" t="str">
        <f t="shared" si="92"/>
        <v>001390</v>
      </c>
      <c r="F5910" t="s">
        <v>27246</v>
      </c>
      <c r="G5910" t="s">
        <v>27247</v>
      </c>
      <c r="H5910" t="s">
        <v>27248</v>
      </c>
      <c r="I5910" t="s">
        <v>38687</v>
      </c>
      <c r="J5910" t="s">
        <v>11804</v>
      </c>
      <c r="L5910" t="s">
        <v>27250</v>
      </c>
      <c r="M5910" t="s">
        <v>27251</v>
      </c>
      <c r="N5910" t="s">
        <v>27252</v>
      </c>
      <c r="P5910" t="s">
        <v>27925</v>
      </c>
      <c r="Q5910" s="1">
        <v>44538</v>
      </c>
      <c r="R5910" t="s">
        <v>27253</v>
      </c>
      <c r="S5910" t="s">
        <v>27254</v>
      </c>
      <c r="T5910" t="s">
        <v>27255</v>
      </c>
    </row>
    <row r="5911" spans="1:20" x14ac:dyDescent="0.3">
      <c r="A5911" t="str">
        <f>"0611835412100"</f>
        <v>0611835412100</v>
      </c>
      <c r="B5911" t="str">
        <f>"LB3286"</f>
        <v>LB3286</v>
      </c>
      <c r="C5911" t="s">
        <v>38688</v>
      </c>
      <c r="D5911" t="s">
        <v>28138</v>
      </c>
      <c r="E5911" t="str">
        <f t="shared" si="92"/>
        <v>001390</v>
      </c>
      <c r="F5911" t="s">
        <v>27246</v>
      </c>
      <c r="G5911" t="s">
        <v>27247</v>
      </c>
      <c r="H5911" t="s">
        <v>27248</v>
      </c>
      <c r="I5911" t="s">
        <v>38689</v>
      </c>
      <c r="J5911" t="s">
        <v>11806</v>
      </c>
      <c r="L5911" t="s">
        <v>27250</v>
      </c>
      <c r="M5911" t="s">
        <v>27251</v>
      </c>
      <c r="N5911" t="s">
        <v>27252</v>
      </c>
      <c r="P5911" t="s">
        <v>27925</v>
      </c>
      <c r="Q5911" s="1">
        <v>44538</v>
      </c>
      <c r="R5911" t="s">
        <v>27253</v>
      </c>
      <c r="S5911" t="s">
        <v>27254</v>
      </c>
      <c r="T5911" t="s">
        <v>27255</v>
      </c>
    </row>
    <row r="5912" spans="1:20" x14ac:dyDescent="0.3">
      <c r="A5912" t="str">
        <f>"0611835413100"</f>
        <v>0611835413100</v>
      </c>
      <c r="B5912" t="str">
        <f>"LB3281"</f>
        <v>LB3281</v>
      </c>
      <c r="C5912" t="s">
        <v>38690</v>
      </c>
      <c r="D5912" t="s">
        <v>28138</v>
      </c>
      <c r="E5912" t="str">
        <f t="shared" si="92"/>
        <v>001390</v>
      </c>
      <c r="F5912" t="s">
        <v>27246</v>
      </c>
      <c r="G5912" t="s">
        <v>27247</v>
      </c>
      <c r="H5912" t="s">
        <v>27248</v>
      </c>
      <c r="I5912" t="s">
        <v>38691</v>
      </c>
      <c r="J5912" t="s">
        <v>11808</v>
      </c>
      <c r="L5912" t="s">
        <v>27250</v>
      </c>
      <c r="M5912" t="s">
        <v>27251</v>
      </c>
      <c r="N5912" t="s">
        <v>27252</v>
      </c>
      <c r="P5912" t="s">
        <v>27925</v>
      </c>
      <c r="Q5912" s="1">
        <v>44538</v>
      </c>
      <c r="R5912" t="s">
        <v>27253</v>
      </c>
      <c r="S5912" t="s">
        <v>27254</v>
      </c>
      <c r="T5912" t="s">
        <v>27255</v>
      </c>
    </row>
    <row r="5913" spans="1:20" x14ac:dyDescent="0.3">
      <c r="A5913" t="str">
        <f>"0611835414100"</f>
        <v>0611835414100</v>
      </c>
      <c r="B5913" t="str">
        <f>"LB3272"</f>
        <v>LB3272</v>
      </c>
      <c r="C5913" t="s">
        <v>38692</v>
      </c>
      <c r="D5913" t="s">
        <v>28138</v>
      </c>
      <c r="E5913" t="str">
        <f t="shared" si="92"/>
        <v>001390</v>
      </c>
      <c r="F5913" t="s">
        <v>27246</v>
      </c>
      <c r="G5913" t="s">
        <v>27247</v>
      </c>
      <c r="H5913" t="s">
        <v>27248</v>
      </c>
      <c r="I5913" t="s">
        <v>38693</v>
      </c>
      <c r="J5913" t="s">
        <v>11810</v>
      </c>
      <c r="L5913" t="s">
        <v>27250</v>
      </c>
      <c r="M5913" t="s">
        <v>27251</v>
      </c>
      <c r="N5913" t="s">
        <v>27252</v>
      </c>
      <c r="P5913" t="s">
        <v>27925</v>
      </c>
      <c r="Q5913" s="1">
        <v>44538</v>
      </c>
      <c r="R5913" t="s">
        <v>27253</v>
      </c>
      <c r="S5913" t="s">
        <v>27254</v>
      </c>
      <c r="T5913" t="s">
        <v>27255</v>
      </c>
    </row>
    <row r="5914" spans="1:20" x14ac:dyDescent="0.3">
      <c r="A5914" t="str">
        <f>"0611835415100"</f>
        <v>0611835415100</v>
      </c>
      <c r="B5914" t="str">
        <f>"LB3287"</f>
        <v>LB3287</v>
      </c>
      <c r="C5914" t="s">
        <v>38694</v>
      </c>
      <c r="D5914" t="s">
        <v>28138</v>
      </c>
      <c r="E5914" t="str">
        <f t="shared" si="92"/>
        <v>001390</v>
      </c>
      <c r="F5914" t="s">
        <v>27246</v>
      </c>
      <c r="G5914" t="s">
        <v>27247</v>
      </c>
      <c r="H5914" t="s">
        <v>27248</v>
      </c>
      <c r="I5914" t="s">
        <v>38695</v>
      </c>
      <c r="J5914" t="s">
        <v>11812</v>
      </c>
      <c r="L5914" t="s">
        <v>27250</v>
      </c>
      <c r="M5914" t="s">
        <v>27251</v>
      </c>
      <c r="N5914" t="s">
        <v>27252</v>
      </c>
      <c r="P5914" t="s">
        <v>27925</v>
      </c>
      <c r="Q5914" s="1">
        <v>44538</v>
      </c>
      <c r="R5914" t="s">
        <v>27253</v>
      </c>
      <c r="S5914" t="s">
        <v>27254</v>
      </c>
      <c r="T5914" t="s">
        <v>27255</v>
      </c>
    </row>
    <row r="5915" spans="1:20" x14ac:dyDescent="0.3">
      <c r="A5915" t="str">
        <f>"0611835416100"</f>
        <v>0611835416100</v>
      </c>
      <c r="B5915" t="str">
        <f>"LB3289"</f>
        <v>LB3289</v>
      </c>
      <c r="C5915" t="s">
        <v>38696</v>
      </c>
      <c r="D5915" t="s">
        <v>28138</v>
      </c>
      <c r="E5915" t="str">
        <f t="shared" si="92"/>
        <v>001390</v>
      </c>
      <c r="F5915" t="s">
        <v>27246</v>
      </c>
      <c r="G5915" t="s">
        <v>27247</v>
      </c>
      <c r="H5915" t="s">
        <v>27248</v>
      </c>
      <c r="I5915" t="s">
        <v>38697</v>
      </c>
      <c r="J5915" t="s">
        <v>11814</v>
      </c>
      <c r="L5915" t="s">
        <v>27250</v>
      </c>
      <c r="M5915" t="s">
        <v>27251</v>
      </c>
      <c r="N5915" t="s">
        <v>27252</v>
      </c>
      <c r="P5915" t="s">
        <v>27925</v>
      </c>
      <c r="Q5915" s="1">
        <v>44538</v>
      </c>
      <c r="R5915" t="s">
        <v>27253</v>
      </c>
      <c r="S5915" t="s">
        <v>27254</v>
      </c>
      <c r="T5915" t="s">
        <v>27255</v>
      </c>
    </row>
    <row r="5916" spans="1:20" x14ac:dyDescent="0.3">
      <c r="A5916" t="str">
        <f>"0611835417100"</f>
        <v>0611835417100</v>
      </c>
      <c r="B5916" t="str">
        <f>"LB3290"</f>
        <v>LB3290</v>
      </c>
      <c r="C5916" t="s">
        <v>38698</v>
      </c>
      <c r="D5916" t="s">
        <v>28138</v>
      </c>
      <c r="E5916" t="str">
        <f t="shared" si="92"/>
        <v>001390</v>
      </c>
      <c r="F5916" t="s">
        <v>27246</v>
      </c>
      <c r="G5916" t="s">
        <v>27247</v>
      </c>
      <c r="H5916" t="s">
        <v>27248</v>
      </c>
      <c r="I5916" t="s">
        <v>38699</v>
      </c>
      <c r="J5916" t="s">
        <v>11816</v>
      </c>
      <c r="L5916" t="s">
        <v>27250</v>
      </c>
      <c r="M5916" t="s">
        <v>27251</v>
      </c>
      <c r="N5916" t="s">
        <v>27252</v>
      </c>
      <c r="P5916" t="s">
        <v>27925</v>
      </c>
      <c r="Q5916" s="1">
        <v>44538</v>
      </c>
      <c r="R5916" t="s">
        <v>27253</v>
      </c>
      <c r="S5916" t="s">
        <v>27254</v>
      </c>
      <c r="T5916" t="s">
        <v>27255</v>
      </c>
    </row>
    <row r="5917" spans="1:20" x14ac:dyDescent="0.3">
      <c r="A5917" t="str">
        <f>"0611835418100"</f>
        <v>0611835418100</v>
      </c>
      <c r="B5917" t="str">
        <f>"LB3288"</f>
        <v>LB3288</v>
      </c>
      <c r="C5917" t="s">
        <v>38700</v>
      </c>
      <c r="D5917" t="s">
        <v>28138</v>
      </c>
      <c r="E5917" t="str">
        <f t="shared" si="92"/>
        <v>001390</v>
      </c>
      <c r="F5917" t="s">
        <v>27246</v>
      </c>
      <c r="G5917" t="s">
        <v>27247</v>
      </c>
      <c r="H5917" t="s">
        <v>27248</v>
      </c>
      <c r="I5917" t="s">
        <v>38701</v>
      </c>
      <c r="J5917" t="s">
        <v>11818</v>
      </c>
      <c r="L5917" t="s">
        <v>27250</v>
      </c>
      <c r="M5917" t="s">
        <v>27251</v>
      </c>
      <c r="N5917" t="s">
        <v>27252</v>
      </c>
      <c r="P5917" t="s">
        <v>27925</v>
      </c>
      <c r="Q5917" s="1">
        <v>44538</v>
      </c>
      <c r="R5917" t="s">
        <v>27253</v>
      </c>
      <c r="S5917" t="s">
        <v>27254</v>
      </c>
      <c r="T5917" t="s">
        <v>27255</v>
      </c>
    </row>
    <row r="5918" spans="1:20" x14ac:dyDescent="0.3">
      <c r="A5918" t="str">
        <f>"0611835419100"</f>
        <v>0611835419100</v>
      </c>
      <c r="B5918" t="str">
        <f>"LB3291"</f>
        <v>LB3291</v>
      </c>
      <c r="C5918" t="s">
        <v>38702</v>
      </c>
      <c r="D5918" t="s">
        <v>28138</v>
      </c>
      <c r="E5918" t="str">
        <f t="shared" si="92"/>
        <v>001390</v>
      </c>
      <c r="F5918" t="s">
        <v>27246</v>
      </c>
      <c r="G5918" t="s">
        <v>27247</v>
      </c>
      <c r="H5918" t="s">
        <v>27248</v>
      </c>
      <c r="I5918" t="s">
        <v>38703</v>
      </c>
      <c r="J5918" t="s">
        <v>11820</v>
      </c>
      <c r="L5918" t="s">
        <v>27250</v>
      </c>
      <c r="M5918" t="s">
        <v>27251</v>
      </c>
      <c r="N5918" t="s">
        <v>27252</v>
      </c>
      <c r="P5918" t="s">
        <v>27925</v>
      </c>
      <c r="Q5918" s="1">
        <v>44538</v>
      </c>
      <c r="R5918" t="s">
        <v>27253</v>
      </c>
      <c r="S5918" t="s">
        <v>27254</v>
      </c>
      <c r="T5918" t="s">
        <v>27255</v>
      </c>
    </row>
    <row r="5919" spans="1:20" x14ac:dyDescent="0.3">
      <c r="A5919" t="str">
        <f>"0611835420100"</f>
        <v>0611835420100</v>
      </c>
      <c r="B5919" t="str">
        <f>"LK4832"</f>
        <v>LK4832</v>
      </c>
      <c r="C5919" t="s">
        <v>38704</v>
      </c>
      <c r="D5919" t="s">
        <v>28138</v>
      </c>
      <c r="E5919" t="str">
        <f t="shared" si="92"/>
        <v>001390</v>
      </c>
      <c r="F5919" t="s">
        <v>27246</v>
      </c>
      <c r="G5919" t="s">
        <v>27247</v>
      </c>
      <c r="H5919" t="s">
        <v>27248</v>
      </c>
      <c r="I5919" t="s">
        <v>38705</v>
      </c>
      <c r="J5919" t="s">
        <v>11822</v>
      </c>
      <c r="L5919" t="s">
        <v>27250</v>
      </c>
      <c r="M5919" t="s">
        <v>27251</v>
      </c>
      <c r="N5919" t="s">
        <v>27252</v>
      </c>
      <c r="P5919" t="s">
        <v>27925</v>
      </c>
      <c r="Q5919" s="1">
        <v>44538</v>
      </c>
      <c r="R5919" t="s">
        <v>27253</v>
      </c>
      <c r="S5919" t="s">
        <v>27254</v>
      </c>
      <c r="T5919" t="s">
        <v>27255</v>
      </c>
    </row>
    <row r="5920" spans="1:20" x14ac:dyDescent="0.3">
      <c r="A5920" t="str">
        <f>"0611835426100"</f>
        <v>0611835426100</v>
      </c>
      <c r="B5920" t="str">
        <f>"LK4833"</f>
        <v>LK4833</v>
      </c>
      <c r="C5920" t="s">
        <v>38706</v>
      </c>
      <c r="D5920" t="s">
        <v>28138</v>
      </c>
      <c r="E5920" t="str">
        <f t="shared" si="92"/>
        <v>001390</v>
      </c>
      <c r="F5920" t="s">
        <v>27246</v>
      </c>
      <c r="G5920" t="s">
        <v>27247</v>
      </c>
      <c r="H5920" t="s">
        <v>27248</v>
      </c>
      <c r="I5920" t="s">
        <v>38707</v>
      </c>
      <c r="J5920" t="s">
        <v>11824</v>
      </c>
      <c r="L5920" t="s">
        <v>27250</v>
      </c>
      <c r="M5920" t="s">
        <v>27251</v>
      </c>
      <c r="N5920" t="s">
        <v>27252</v>
      </c>
      <c r="P5920" t="s">
        <v>27925</v>
      </c>
      <c r="Q5920" s="1">
        <v>44538</v>
      </c>
      <c r="R5920" t="s">
        <v>27253</v>
      </c>
      <c r="S5920" t="s">
        <v>27254</v>
      </c>
      <c r="T5920" t="s">
        <v>27255</v>
      </c>
    </row>
    <row r="5921" spans="1:20" x14ac:dyDescent="0.3">
      <c r="A5921" t="str">
        <f>"0611835427100"</f>
        <v>0611835427100</v>
      </c>
      <c r="B5921" t="str">
        <f>"LK4834"</f>
        <v>LK4834</v>
      </c>
      <c r="C5921" t="s">
        <v>38708</v>
      </c>
      <c r="D5921" t="s">
        <v>28138</v>
      </c>
      <c r="E5921" t="str">
        <f t="shared" si="92"/>
        <v>001390</v>
      </c>
      <c r="F5921" t="s">
        <v>27246</v>
      </c>
      <c r="G5921" t="s">
        <v>27247</v>
      </c>
      <c r="H5921" t="s">
        <v>27248</v>
      </c>
      <c r="I5921" t="s">
        <v>38709</v>
      </c>
      <c r="J5921" t="s">
        <v>11826</v>
      </c>
      <c r="L5921" t="s">
        <v>27250</v>
      </c>
      <c r="M5921" t="s">
        <v>27251</v>
      </c>
      <c r="N5921" t="s">
        <v>27252</v>
      </c>
      <c r="P5921" t="s">
        <v>27925</v>
      </c>
      <c r="Q5921" s="1">
        <v>44538</v>
      </c>
      <c r="R5921" t="s">
        <v>27253</v>
      </c>
      <c r="S5921" t="s">
        <v>27254</v>
      </c>
      <c r="T5921" t="s">
        <v>27255</v>
      </c>
    </row>
    <row r="5922" spans="1:20" x14ac:dyDescent="0.3">
      <c r="A5922" t="str">
        <f>"0611835428100"</f>
        <v>0611835428100</v>
      </c>
      <c r="B5922" t="str">
        <f>"LK4836"</f>
        <v>LK4836</v>
      </c>
      <c r="C5922" t="s">
        <v>38710</v>
      </c>
      <c r="D5922" t="s">
        <v>28138</v>
      </c>
      <c r="E5922" t="str">
        <f t="shared" si="92"/>
        <v>001390</v>
      </c>
      <c r="F5922" t="s">
        <v>27246</v>
      </c>
      <c r="G5922" t="s">
        <v>27247</v>
      </c>
      <c r="H5922" t="s">
        <v>27248</v>
      </c>
      <c r="I5922" t="s">
        <v>38711</v>
      </c>
      <c r="J5922" t="s">
        <v>11828</v>
      </c>
      <c r="L5922" t="s">
        <v>27250</v>
      </c>
      <c r="M5922" t="s">
        <v>27251</v>
      </c>
      <c r="N5922" t="s">
        <v>27252</v>
      </c>
      <c r="P5922" t="s">
        <v>27925</v>
      </c>
      <c r="Q5922" s="1">
        <v>44538</v>
      </c>
      <c r="R5922" t="s">
        <v>27253</v>
      </c>
      <c r="S5922" t="s">
        <v>27254</v>
      </c>
      <c r="T5922" t="s">
        <v>27255</v>
      </c>
    </row>
    <row r="5923" spans="1:20" x14ac:dyDescent="0.3">
      <c r="A5923" t="str">
        <f>"0611835422100"</f>
        <v>0611835422100</v>
      </c>
      <c r="B5923" t="str">
        <f>"LK5005"</f>
        <v>LK5005</v>
      </c>
      <c r="C5923" t="s">
        <v>38712</v>
      </c>
      <c r="D5923" t="s">
        <v>28138</v>
      </c>
      <c r="E5923" t="str">
        <f t="shared" si="92"/>
        <v>001390</v>
      </c>
      <c r="F5923" t="s">
        <v>27246</v>
      </c>
      <c r="G5923" t="s">
        <v>27247</v>
      </c>
      <c r="H5923" t="s">
        <v>27248</v>
      </c>
      <c r="I5923" t="s">
        <v>38713</v>
      </c>
      <c r="J5923" t="s">
        <v>11830</v>
      </c>
      <c r="L5923" t="s">
        <v>27250</v>
      </c>
      <c r="M5923" t="s">
        <v>27251</v>
      </c>
      <c r="N5923" t="s">
        <v>27252</v>
      </c>
      <c r="P5923" t="s">
        <v>27925</v>
      </c>
      <c r="Q5923" s="1">
        <v>44538</v>
      </c>
      <c r="R5923" t="s">
        <v>27253</v>
      </c>
      <c r="S5923" t="s">
        <v>27254</v>
      </c>
      <c r="T5923" t="s">
        <v>27255</v>
      </c>
    </row>
    <row r="5924" spans="1:20" x14ac:dyDescent="0.3">
      <c r="A5924" t="str">
        <f>"0611835429100"</f>
        <v>0611835429100</v>
      </c>
      <c r="B5924" t="str">
        <f>"LK4835"</f>
        <v>LK4835</v>
      </c>
      <c r="C5924" t="s">
        <v>38714</v>
      </c>
      <c r="D5924" t="s">
        <v>28138</v>
      </c>
      <c r="E5924" t="str">
        <f t="shared" si="92"/>
        <v>001390</v>
      </c>
      <c r="F5924" t="s">
        <v>27246</v>
      </c>
      <c r="G5924" t="s">
        <v>27247</v>
      </c>
      <c r="H5924" t="s">
        <v>27248</v>
      </c>
      <c r="I5924" t="s">
        <v>38715</v>
      </c>
      <c r="J5924" t="s">
        <v>11832</v>
      </c>
      <c r="L5924" t="s">
        <v>27250</v>
      </c>
      <c r="M5924" t="s">
        <v>27251</v>
      </c>
      <c r="N5924" t="s">
        <v>27252</v>
      </c>
      <c r="P5924" t="s">
        <v>27925</v>
      </c>
      <c r="Q5924" s="1">
        <v>44538</v>
      </c>
      <c r="R5924" t="s">
        <v>27253</v>
      </c>
      <c r="S5924" t="s">
        <v>27254</v>
      </c>
      <c r="T5924" t="s">
        <v>27255</v>
      </c>
    </row>
    <row r="5925" spans="1:20" x14ac:dyDescent="0.3">
      <c r="A5925" t="str">
        <f>"0611835423100"</f>
        <v>0611835423100</v>
      </c>
      <c r="B5925" t="str">
        <f>"LK5006"</f>
        <v>LK5006</v>
      </c>
      <c r="C5925" t="s">
        <v>38716</v>
      </c>
      <c r="D5925" t="s">
        <v>28138</v>
      </c>
      <c r="E5925" t="str">
        <f t="shared" si="92"/>
        <v>001390</v>
      </c>
      <c r="F5925" t="s">
        <v>27246</v>
      </c>
      <c r="G5925" t="s">
        <v>27247</v>
      </c>
      <c r="H5925" t="s">
        <v>27248</v>
      </c>
      <c r="I5925" t="s">
        <v>38717</v>
      </c>
      <c r="J5925" t="s">
        <v>11834</v>
      </c>
      <c r="L5925" t="s">
        <v>27250</v>
      </c>
      <c r="M5925" t="s">
        <v>27251</v>
      </c>
      <c r="N5925" t="s">
        <v>27252</v>
      </c>
      <c r="P5925" t="s">
        <v>27925</v>
      </c>
      <c r="Q5925" s="1">
        <v>44538</v>
      </c>
      <c r="R5925" t="s">
        <v>27253</v>
      </c>
      <c r="S5925" t="s">
        <v>27254</v>
      </c>
      <c r="T5925" t="s">
        <v>27255</v>
      </c>
    </row>
    <row r="5926" spans="1:20" x14ac:dyDescent="0.3">
      <c r="A5926" t="str">
        <f>"0611835430100"</f>
        <v>0611835430100</v>
      </c>
      <c r="B5926" t="str">
        <f>"LK4837"</f>
        <v>LK4837</v>
      </c>
      <c r="C5926" t="s">
        <v>38718</v>
      </c>
      <c r="D5926" t="s">
        <v>28138</v>
      </c>
      <c r="E5926" t="str">
        <f t="shared" si="92"/>
        <v>001390</v>
      </c>
      <c r="F5926" t="s">
        <v>27246</v>
      </c>
      <c r="G5926" t="s">
        <v>27247</v>
      </c>
      <c r="H5926" t="s">
        <v>27248</v>
      </c>
      <c r="I5926" t="s">
        <v>38719</v>
      </c>
      <c r="J5926" t="s">
        <v>11838</v>
      </c>
      <c r="L5926" t="s">
        <v>27250</v>
      </c>
      <c r="M5926" t="s">
        <v>27251</v>
      </c>
      <c r="N5926" t="s">
        <v>27252</v>
      </c>
      <c r="P5926" t="s">
        <v>27925</v>
      </c>
      <c r="Q5926" s="1">
        <v>44538</v>
      </c>
      <c r="R5926" t="s">
        <v>27253</v>
      </c>
      <c r="S5926" t="s">
        <v>27254</v>
      </c>
      <c r="T5926" t="s">
        <v>27255</v>
      </c>
    </row>
    <row r="5927" spans="1:20" x14ac:dyDescent="0.3">
      <c r="A5927" t="str">
        <f>"0611835424100"</f>
        <v>0611835424100</v>
      </c>
      <c r="B5927" t="str">
        <f>"LK5007"</f>
        <v>LK5007</v>
      </c>
      <c r="C5927" t="s">
        <v>38720</v>
      </c>
      <c r="D5927" t="s">
        <v>28138</v>
      </c>
      <c r="E5927" t="str">
        <f t="shared" si="92"/>
        <v>001390</v>
      </c>
      <c r="F5927" t="s">
        <v>27246</v>
      </c>
      <c r="G5927" t="s">
        <v>27247</v>
      </c>
      <c r="H5927" t="s">
        <v>27248</v>
      </c>
      <c r="I5927" t="s">
        <v>38721</v>
      </c>
      <c r="J5927" t="s">
        <v>11836</v>
      </c>
      <c r="L5927" t="s">
        <v>27250</v>
      </c>
      <c r="M5927" t="s">
        <v>27251</v>
      </c>
      <c r="N5927" t="s">
        <v>27252</v>
      </c>
      <c r="P5927" t="s">
        <v>27925</v>
      </c>
      <c r="Q5927" s="1">
        <v>44538</v>
      </c>
      <c r="R5927" t="s">
        <v>27253</v>
      </c>
      <c r="S5927" t="s">
        <v>27254</v>
      </c>
      <c r="T5927" t="s">
        <v>27255</v>
      </c>
    </row>
    <row r="5928" spans="1:20" x14ac:dyDescent="0.3">
      <c r="A5928" t="str">
        <f>"0611835431100"</f>
        <v>0611835431100</v>
      </c>
      <c r="B5928" t="str">
        <f>"LK4838"</f>
        <v>LK4838</v>
      </c>
      <c r="C5928" t="s">
        <v>38722</v>
      </c>
      <c r="D5928" t="s">
        <v>28138</v>
      </c>
      <c r="E5928" t="str">
        <f t="shared" si="92"/>
        <v>001390</v>
      </c>
      <c r="F5928" t="s">
        <v>27246</v>
      </c>
      <c r="G5928" t="s">
        <v>27247</v>
      </c>
      <c r="H5928" t="s">
        <v>27248</v>
      </c>
      <c r="I5928" t="s">
        <v>38723</v>
      </c>
      <c r="J5928" t="s">
        <v>11840</v>
      </c>
      <c r="L5928" t="s">
        <v>27250</v>
      </c>
      <c r="M5928" t="s">
        <v>27251</v>
      </c>
      <c r="N5928" t="s">
        <v>27252</v>
      </c>
      <c r="P5928" t="s">
        <v>27925</v>
      </c>
      <c r="Q5928" s="1">
        <v>44538</v>
      </c>
      <c r="R5928" t="s">
        <v>27253</v>
      </c>
      <c r="S5928" t="s">
        <v>27254</v>
      </c>
      <c r="T5928" t="s">
        <v>27255</v>
      </c>
    </row>
    <row r="5929" spans="1:20" x14ac:dyDescent="0.3">
      <c r="A5929" t="str">
        <f>"0611835432100"</f>
        <v>0611835432100</v>
      </c>
      <c r="B5929" t="str">
        <f>"LK4839"</f>
        <v>LK4839</v>
      </c>
      <c r="C5929" t="s">
        <v>38724</v>
      </c>
      <c r="D5929" t="s">
        <v>28138</v>
      </c>
      <c r="E5929" t="str">
        <f t="shared" si="92"/>
        <v>001390</v>
      </c>
      <c r="F5929" t="s">
        <v>27246</v>
      </c>
      <c r="G5929" t="s">
        <v>27247</v>
      </c>
      <c r="H5929" t="s">
        <v>27248</v>
      </c>
      <c r="I5929" t="s">
        <v>38725</v>
      </c>
      <c r="J5929" t="s">
        <v>11842</v>
      </c>
      <c r="L5929" t="s">
        <v>27250</v>
      </c>
      <c r="M5929" t="s">
        <v>27251</v>
      </c>
      <c r="N5929" t="s">
        <v>27252</v>
      </c>
      <c r="P5929" t="s">
        <v>27925</v>
      </c>
      <c r="Q5929" s="1">
        <v>44538</v>
      </c>
      <c r="R5929" t="s">
        <v>27253</v>
      </c>
      <c r="S5929" t="s">
        <v>27254</v>
      </c>
      <c r="T5929" t="s">
        <v>27255</v>
      </c>
    </row>
    <row r="5930" spans="1:20" x14ac:dyDescent="0.3">
      <c r="A5930" t="str">
        <f>"0611835433100"</f>
        <v>0611835433100</v>
      </c>
      <c r="B5930" t="str">
        <f>"LK4840"</f>
        <v>LK4840</v>
      </c>
      <c r="C5930" t="s">
        <v>38726</v>
      </c>
      <c r="D5930" t="s">
        <v>28138</v>
      </c>
      <c r="E5930" t="str">
        <f t="shared" si="92"/>
        <v>001390</v>
      </c>
      <c r="F5930" t="s">
        <v>27246</v>
      </c>
      <c r="G5930" t="s">
        <v>27247</v>
      </c>
      <c r="H5930" t="s">
        <v>27248</v>
      </c>
      <c r="I5930" t="s">
        <v>38727</v>
      </c>
      <c r="J5930" t="s">
        <v>11844</v>
      </c>
      <c r="L5930" t="s">
        <v>27250</v>
      </c>
      <c r="M5930" t="s">
        <v>27251</v>
      </c>
      <c r="N5930" t="s">
        <v>27252</v>
      </c>
      <c r="P5930" t="s">
        <v>27925</v>
      </c>
      <c r="Q5930" s="1">
        <v>44538</v>
      </c>
      <c r="R5930" t="s">
        <v>27253</v>
      </c>
      <c r="S5930" t="s">
        <v>27254</v>
      </c>
      <c r="T5930" t="s">
        <v>27255</v>
      </c>
    </row>
    <row r="5931" spans="1:20" x14ac:dyDescent="0.3">
      <c r="A5931" t="str">
        <f>"0611835434100"</f>
        <v>0611835434100</v>
      </c>
      <c r="B5931" t="str">
        <f>"LK4841"</f>
        <v>LK4841</v>
      </c>
      <c r="C5931" t="s">
        <v>38728</v>
      </c>
      <c r="D5931" t="s">
        <v>28138</v>
      </c>
      <c r="E5931" t="str">
        <f t="shared" si="92"/>
        <v>001390</v>
      </c>
      <c r="F5931" t="s">
        <v>27246</v>
      </c>
      <c r="G5931" t="s">
        <v>27247</v>
      </c>
      <c r="H5931" t="s">
        <v>27248</v>
      </c>
      <c r="I5931" t="s">
        <v>38729</v>
      </c>
      <c r="J5931" t="s">
        <v>11846</v>
      </c>
      <c r="L5931" t="s">
        <v>27250</v>
      </c>
      <c r="M5931" t="s">
        <v>27251</v>
      </c>
      <c r="N5931" t="s">
        <v>27252</v>
      </c>
      <c r="P5931" t="s">
        <v>27925</v>
      </c>
      <c r="Q5931" s="1">
        <v>44538</v>
      </c>
      <c r="R5931" t="s">
        <v>27253</v>
      </c>
      <c r="S5931" t="s">
        <v>27254</v>
      </c>
      <c r="T5931" t="s">
        <v>27255</v>
      </c>
    </row>
    <row r="5932" spans="1:20" x14ac:dyDescent="0.3">
      <c r="A5932" t="str">
        <f>"0611835425100"</f>
        <v>0611835425100</v>
      </c>
      <c r="B5932" t="str">
        <f>"LK4842"</f>
        <v>LK4842</v>
      </c>
      <c r="C5932" t="s">
        <v>38730</v>
      </c>
      <c r="D5932" t="s">
        <v>28138</v>
      </c>
      <c r="E5932" t="str">
        <f t="shared" si="92"/>
        <v>001390</v>
      </c>
      <c r="F5932" t="s">
        <v>27246</v>
      </c>
      <c r="G5932" t="s">
        <v>27247</v>
      </c>
      <c r="H5932" t="s">
        <v>27248</v>
      </c>
      <c r="I5932" t="s">
        <v>38731</v>
      </c>
      <c r="J5932" t="s">
        <v>11848</v>
      </c>
      <c r="L5932" t="s">
        <v>27250</v>
      </c>
      <c r="M5932" t="s">
        <v>27251</v>
      </c>
      <c r="N5932" t="s">
        <v>27252</v>
      </c>
      <c r="P5932" t="s">
        <v>27925</v>
      </c>
      <c r="Q5932" s="1">
        <v>44538</v>
      </c>
      <c r="R5932" t="s">
        <v>27253</v>
      </c>
      <c r="S5932" t="s">
        <v>27254</v>
      </c>
      <c r="T5932" t="s">
        <v>27255</v>
      </c>
    </row>
    <row r="5933" spans="1:20" x14ac:dyDescent="0.3">
      <c r="A5933" t="str">
        <f>"0611835435100"</f>
        <v>0611835435100</v>
      </c>
      <c r="B5933" t="str">
        <f>"LK4843"</f>
        <v>LK4843</v>
      </c>
      <c r="C5933" t="s">
        <v>38732</v>
      </c>
      <c r="D5933" t="s">
        <v>28138</v>
      </c>
      <c r="E5933" t="str">
        <f t="shared" si="92"/>
        <v>001390</v>
      </c>
      <c r="F5933" t="s">
        <v>27246</v>
      </c>
      <c r="G5933" t="s">
        <v>27247</v>
      </c>
      <c r="H5933" t="s">
        <v>27248</v>
      </c>
      <c r="I5933" t="s">
        <v>38733</v>
      </c>
      <c r="J5933" t="s">
        <v>11850</v>
      </c>
      <c r="L5933" t="s">
        <v>27250</v>
      </c>
      <c r="M5933" t="s">
        <v>27251</v>
      </c>
      <c r="N5933" t="s">
        <v>27252</v>
      </c>
      <c r="P5933" t="s">
        <v>27925</v>
      </c>
      <c r="Q5933" s="1">
        <v>44538</v>
      </c>
      <c r="R5933" t="s">
        <v>27253</v>
      </c>
      <c r="S5933" t="s">
        <v>27254</v>
      </c>
      <c r="T5933" t="s">
        <v>27255</v>
      </c>
    </row>
    <row r="5934" spans="1:20" x14ac:dyDescent="0.3">
      <c r="A5934" t="str">
        <f>"0611835436100"</f>
        <v>0611835436100</v>
      </c>
      <c r="B5934" t="str">
        <f>"LB3292"</f>
        <v>LB3292</v>
      </c>
      <c r="C5934" t="s">
        <v>38734</v>
      </c>
      <c r="D5934" t="s">
        <v>28138</v>
      </c>
      <c r="E5934" t="str">
        <f t="shared" si="92"/>
        <v>001390</v>
      </c>
      <c r="F5934" t="s">
        <v>27246</v>
      </c>
      <c r="G5934" t="s">
        <v>27247</v>
      </c>
      <c r="H5934" t="s">
        <v>27248</v>
      </c>
      <c r="I5934" t="s">
        <v>38735</v>
      </c>
      <c r="J5934" t="s">
        <v>11852</v>
      </c>
      <c r="L5934" t="s">
        <v>27250</v>
      </c>
      <c r="M5934" t="s">
        <v>27251</v>
      </c>
      <c r="N5934" t="s">
        <v>27252</v>
      </c>
      <c r="P5934" t="s">
        <v>27925</v>
      </c>
      <c r="Q5934" s="1">
        <v>44538</v>
      </c>
      <c r="R5934" t="s">
        <v>27253</v>
      </c>
      <c r="S5934" t="s">
        <v>27254</v>
      </c>
      <c r="T5934" t="s">
        <v>27255</v>
      </c>
    </row>
    <row r="5935" spans="1:20" x14ac:dyDescent="0.3">
      <c r="A5935" t="str">
        <f>"0611835437100"</f>
        <v>0611835437100</v>
      </c>
      <c r="B5935" t="str">
        <f>"LB3277"</f>
        <v>LB3277</v>
      </c>
      <c r="C5935" t="s">
        <v>38736</v>
      </c>
      <c r="D5935" t="s">
        <v>28138</v>
      </c>
      <c r="E5935" t="str">
        <f t="shared" si="92"/>
        <v>001390</v>
      </c>
      <c r="F5935" t="s">
        <v>27246</v>
      </c>
      <c r="G5935" t="s">
        <v>27247</v>
      </c>
      <c r="H5935" t="s">
        <v>27248</v>
      </c>
      <c r="I5935" t="s">
        <v>38737</v>
      </c>
      <c r="J5935" t="s">
        <v>11854</v>
      </c>
      <c r="L5935" t="s">
        <v>27250</v>
      </c>
      <c r="M5935" t="s">
        <v>27251</v>
      </c>
      <c r="N5935" t="s">
        <v>27252</v>
      </c>
      <c r="P5935" t="s">
        <v>27925</v>
      </c>
      <c r="Q5935" s="1">
        <v>44538</v>
      </c>
      <c r="R5935" t="s">
        <v>27253</v>
      </c>
      <c r="S5935" t="s">
        <v>27254</v>
      </c>
      <c r="T5935" t="s">
        <v>27255</v>
      </c>
    </row>
    <row r="5936" spans="1:20" x14ac:dyDescent="0.3">
      <c r="A5936" t="str">
        <f>"0611835438100"</f>
        <v>0611835438100</v>
      </c>
      <c r="B5936" t="str">
        <f>"LB3293"</f>
        <v>LB3293</v>
      </c>
      <c r="C5936" t="s">
        <v>38738</v>
      </c>
      <c r="D5936" t="s">
        <v>28138</v>
      </c>
      <c r="E5936" t="str">
        <f t="shared" si="92"/>
        <v>001390</v>
      </c>
      <c r="F5936" t="s">
        <v>27246</v>
      </c>
      <c r="G5936" t="s">
        <v>27247</v>
      </c>
      <c r="H5936" t="s">
        <v>27248</v>
      </c>
      <c r="I5936" t="s">
        <v>38739</v>
      </c>
      <c r="J5936" t="s">
        <v>11856</v>
      </c>
      <c r="L5936" t="s">
        <v>27250</v>
      </c>
      <c r="M5936" t="s">
        <v>27251</v>
      </c>
      <c r="N5936" t="s">
        <v>27252</v>
      </c>
      <c r="P5936" t="s">
        <v>27925</v>
      </c>
      <c r="Q5936" s="1">
        <v>44538</v>
      </c>
      <c r="R5936" t="s">
        <v>27253</v>
      </c>
      <c r="S5936" t="s">
        <v>27254</v>
      </c>
      <c r="T5936" t="s">
        <v>27255</v>
      </c>
    </row>
    <row r="5937" spans="1:20" x14ac:dyDescent="0.3">
      <c r="A5937" t="str">
        <f>"0611835439100"</f>
        <v>0611835439100</v>
      </c>
      <c r="B5937" t="str">
        <f>"LB3279"</f>
        <v>LB3279</v>
      </c>
      <c r="C5937" t="s">
        <v>38740</v>
      </c>
      <c r="D5937" t="s">
        <v>28138</v>
      </c>
      <c r="E5937" t="str">
        <f t="shared" si="92"/>
        <v>001390</v>
      </c>
      <c r="F5937" t="s">
        <v>27246</v>
      </c>
      <c r="G5937" t="s">
        <v>27247</v>
      </c>
      <c r="H5937" t="s">
        <v>27248</v>
      </c>
      <c r="I5937" t="s">
        <v>38741</v>
      </c>
      <c r="J5937" t="s">
        <v>11858</v>
      </c>
      <c r="L5937" t="s">
        <v>27250</v>
      </c>
      <c r="M5937" t="s">
        <v>27251</v>
      </c>
      <c r="N5937" t="s">
        <v>27252</v>
      </c>
      <c r="P5937" t="s">
        <v>27925</v>
      </c>
      <c r="Q5937" s="1">
        <v>44538</v>
      </c>
      <c r="R5937" t="s">
        <v>27253</v>
      </c>
      <c r="S5937" t="s">
        <v>27254</v>
      </c>
      <c r="T5937" t="s">
        <v>27255</v>
      </c>
    </row>
    <row r="5938" spans="1:20" x14ac:dyDescent="0.3">
      <c r="A5938" t="str">
        <f>"0611835440100"</f>
        <v>0611835440100</v>
      </c>
      <c r="B5938" t="str">
        <f>"LB3294"</f>
        <v>LB3294</v>
      </c>
      <c r="C5938" t="s">
        <v>38742</v>
      </c>
      <c r="D5938" t="s">
        <v>28138</v>
      </c>
      <c r="E5938" t="str">
        <f t="shared" si="92"/>
        <v>001390</v>
      </c>
      <c r="F5938" t="s">
        <v>27246</v>
      </c>
      <c r="G5938" t="s">
        <v>27247</v>
      </c>
      <c r="H5938" t="s">
        <v>27248</v>
      </c>
      <c r="I5938" t="s">
        <v>38743</v>
      </c>
      <c r="J5938" t="s">
        <v>11860</v>
      </c>
      <c r="L5938" t="s">
        <v>27250</v>
      </c>
      <c r="M5938" t="s">
        <v>27251</v>
      </c>
      <c r="N5938" t="s">
        <v>27252</v>
      </c>
      <c r="P5938" t="s">
        <v>27925</v>
      </c>
      <c r="Q5938" s="1">
        <v>44538</v>
      </c>
      <c r="R5938" t="s">
        <v>27253</v>
      </c>
      <c r="S5938" t="s">
        <v>27254</v>
      </c>
      <c r="T5938" t="s">
        <v>27255</v>
      </c>
    </row>
    <row r="5939" spans="1:20" x14ac:dyDescent="0.3">
      <c r="A5939" t="str">
        <f>"0611835442100"</f>
        <v>0611835442100</v>
      </c>
      <c r="B5939" t="str">
        <f>"LB3274"</f>
        <v>LB3274</v>
      </c>
      <c r="C5939" t="s">
        <v>38744</v>
      </c>
      <c r="D5939" t="s">
        <v>28138</v>
      </c>
      <c r="E5939" t="str">
        <f t="shared" si="92"/>
        <v>001390</v>
      </c>
      <c r="F5939" t="s">
        <v>27246</v>
      </c>
      <c r="G5939" t="s">
        <v>27247</v>
      </c>
      <c r="H5939" t="s">
        <v>27248</v>
      </c>
      <c r="I5939" t="s">
        <v>38745</v>
      </c>
      <c r="J5939" t="s">
        <v>11862</v>
      </c>
      <c r="L5939" t="s">
        <v>27250</v>
      </c>
      <c r="M5939" t="s">
        <v>27251</v>
      </c>
      <c r="N5939" t="s">
        <v>27252</v>
      </c>
      <c r="P5939" t="s">
        <v>27925</v>
      </c>
      <c r="Q5939" s="1">
        <v>44538</v>
      </c>
      <c r="R5939" t="s">
        <v>27253</v>
      </c>
      <c r="S5939" t="s">
        <v>27254</v>
      </c>
      <c r="T5939" t="s">
        <v>27255</v>
      </c>
    </row>
    <row r="5940" spans="1:20" x14ac:dyDescent="0.3">
      <c r="A5940" t="str">
        <f>"0611835443100"</f>
        <v>0611835443100</v>
      </c>
      <c r="B5940" t="str">
        <f>"LB3298"</f>
        <v>LB3298</v>
      </c>
      <c r="C5940" t="s">
        <v>38746</v>
      </c>
      <c r="D5940" t="s">
        <v>28138</v>
      </c>
      <c r="E5940" t="str">
        <f t="shared" si="92"/>
        <v>001390</v>
      </c>
      <c r="F5940" t="s">
        <v>27246</v>
      </c>
      <c r="G5940" t="s">
        <v>27247</v>
      </c>
      <c r="H5940" t="s">
        <v>27248</v>
      </c>
      <c r="I5940" t="s">
        <v>38747</v>
      </c>
      <c r="J5940" t="s">
        <v>11864</v>
      </c>
      <c r="L5940" t="s">
        <v>27250</v>
      </c>
      <c r="M5940" t="s">
        <v>27251</v>
      </c>
      <c r="N5940" t="s">
        <v>27252</v>
      </c>
      <c r="P5940" t="s">
        <v>27925</v>
      </c>
      <c r="Q5940" s="1">
        <v>44538</v>
      </c>
      <c r="R5940" t="s">
        <v>27253</v>
      </c>
      <c r="S5940" t="s">
        <v>27254</v>
      </c>
      <c r="T5940" t="s">
        <v>27255</v>
      </c>
    </row>
    <row r="5941" spans="1:20" x14ac:dyDescent="0.3">
      <c r="A5941" t="str">
        <f>"0611835444100"</f>
        <v>0611835444100</v>
      </c>
      <c r="B5941" t="str">
        <f>"LB3278"</f>
        <v>LB3278</v>
      </c>
      <c r="C5941" t="s">
        <v>38748</v>
      </c>
      <c r="D5941" t="s">
        <v>28138</v>
      </c>
      <c r="E5941" t="str">
        <f t="shared" si="92"/>
        <v>001390</v>
      </c>
      <c r="F5941" t="s">
        <v>27246</v>
      </c>
      <c r="G5941" t="s">
        <v>27247</v>
      </c>
      <c r="H5941" t="s">
        <v>27248</v>
      </c>
      <c r="I5941" t="s">
        <v>38749</v>
      </c>
      <c r="J5941" t="s">
        <v>11866</v>
      </c>
      <c r="L5941" t="s">
        <v>27250</v>
      </c>
      <c r="M5941" t="s">
        <v>27251</v>
      </c>
      <c r="N5941" t="s">
        <v>27252</v>
      </c>
      <c r="P5941" t="s">
        <v>27925</v>
      </c>
      <c r="Q5941" s="1">
        <v>44538</v>
      </c>
      <c r="R5941" t="s">
        <v>27253</v>
      </c>
      <c r="S5941" t="s">
        <v>27254</v>
      </c>
      <c r="T5941" t="s">
        <v>27255</v>
      </c>
    </row>
    <row r="5942" spans="1:20" x14ac:dyDescent="0.3">
      <c r="A5942" t="str">
        <f>"0611835445100"</f>
        <v>0611835445100</v>
      </c>
      <c r="B5942" t="str">
        <f>"LB3296"</f>
        <v>LB3296</v>
      </c>
      <c r="C5942" t="s">
        <v>38750</v>
      </c>
      <c r="D5942" t="s">
        <v>28138</v>
      </c>
      <c r="E5942" t="str">
        <f t="shared" si="92"/>
        <v>001390</v>
      </c>
      <c r="F5942" t="s">
        <v>27246</v>
      </c>
      <c r="G5942" t="s">
        <v>27247</v>
      </c>
      <c r="H5942" t="s">
        <v>27248</v>
      </c>
      <c r="I5942" t="s">
        <v>38751</v>
      </c>
      <c r="J5942" t="s">
        <v>11868</v>
      </c>
      <c r="L5942" t="s">
        <v>27250</v>
      </c>
      <c r="M5942" t="s">
        <v>27251</v>
      </c>
      <c r="N5942" t="s">
        <v>27252</v>
      </c>
      <c r="P5942" t="s">
        <v>27925</v>
      </c>
      <c r="Q5942" s="1">
        <v>44538</v>
      </c>
      <c r="R5942" t="s">
        <v>27253</v>
      </c>
      <c r="S5942" t="s">
        <v>27254</v>
      </c>
      <c r="T5942" t="s">
        <v>27255</v>
      </c>
    </row>
    <row r="5943" spans="1:20" x14ac:dyDescent="0.3">
      <c r="A5943" t="str">
        <f>"0611884256050"</f>
        <v>0611884256050</v>
      </c>
      <c r="B5943" t="str">
        <f>"CR5260"</f>
        <v>CR5260</v>
      </c>
      <c r="C5943" t="s">
        <v>38752</v>
      </c>
      <c r="D5943" t="s">
        <v>27263</v>
      </c>
      <c r="E5943" t="str">
        <f t="shared" si="92"/>
        <v>001390</v>
      </c>
      <c r="F5943" t="s">
        <v>27246</v>
      </c>
      <c r="G5943" t="s">
        <v>27247</v>
      </c>
      <c r="H5943" t="s">
        <v>27248</v>
      </c>
      <c r="I5943" t="s">
        <v>38753</v>
      </c>
      <c r="J5943" t="s">
        <v>11870</v>
      </c>
      <c r="L5943" t="s">
        <v>27430</v>
      </c>
      <c r="M5943" t="s">
        <v>27251</v>
      </c>
      <c r="N5943" t="s">
        <v>27252</v>
      </c>
      <c r="Q5943" s="1">
        <v>45250</v>
      </c>
      <c r="R5943" t="s">
        <v>27253</v>
      </c>
      <c r="S5943" t="s">
        <v>27254</v>
      </c>
      <c r="T5943" t="s">
        <v>27265</v>
      </c>
    </row>
    <row r="5944" spans="1:20" x14ac:dyDescent="0.3">
      <c r="A5944" t="str">
        <f>"0611835446100"</f>
        <v>0611835446100</v>
      </c>
      <c r="B5944" t="str">
        <f>"LK3597"</f>
        <v>LK3597</v>
      </c>
      <c r="C5944" t="s">
        <v>38754</v>
      </c>
      <c r="D5944" t="s">
        <v>28138</v>
      </c>
      <c r="E5944" t="str">
        <f t="shared" si="92"/>
        <v>001390</v>
      </c>
      <c r="F5944" t="s">
        <v>27246</v>
      </c>
      <c r="G5944" t="s">
        <v>27247</v>
      </c>
      <c r="H5944" t="s">
        <v>27248</v>
      </c>
      <c r="I5944" t="s">
        <v>38755</v>
      </c>
      <c r="J5944" t="s">
        <v>11872</v>
      </c>
      <c r="L5944" t="s">
        <v>27250</v>
      </c>
      <c r="M5944" t="s">
        <v>27251</v>
      </c>
      <c r="N5944" t="s">
        <v>27252</v>
      </c>
      <c r="P5944" t="s">
        <v>27925</v>
      </c>
      <c r="Q5944" s="1">
        <v>44538</v>
      </c>
      <c r="R5944" t="s">
        <v>27253</v>
      </c>
      <c r="S5944" t="s">
        <v>27254</v>
      </c>
      <c r="T5944" t="s">
        <v>27255</v>
      </c>
    </row>
    <row r="5945" spans="1:20" x14ac:dyDescent="0.3">
      <c r="A5945" t="str">
        <f>"0611835447100"</f>
        <v>0611835447100</v>
      </c>
      <c r="B5945" t="str">
        <f>"LK6579"</f>
        <v>LK6579</v>
      </c>
      <c r="C5945" t="s">
        <v>38756</v>
      </c>
      <c r="D5945" t="s">
        <v>27245</v>
      </c>
      <c r="E5945" t="str">
        <f t="shared" si="92"/>
        <v>001390</v>
      </c>
      <c r="F5945" t="s">
        <v>27246</v>
      </c>
      <c r="G5945" t="s">
        <v>27247</v>
      </c>
      <c r="H5945" t="s">
        <v>27248</v>
      </c>
      <c r="I5945" t="s">
        <v>38757</v>
      </c>
      <c r="J5945" t="s">
        <v>11874</v>
      </c>
      <c r="L5945" t="s">
        <v>27250</v>
      </c>
      <c r="M5945" t="s">
        <v>27251</v>
      </c>
      <c r="N5945" t="s">
        <v>27252</v>
      </c>
      <c r="Q5945" s="1">
        <v>44538</v>
      </c>
      <c r="R5945" t="s">
        <v>27253</v>
      </c>
      <c r="S5945" t="s">
        <v>27254</v>
      </c>
      <c r="T5945" t="s">
        <v>27255</v>
      </c>
    </row>
    <row r="5946" spans="1:20" x14ac:dyDescent="0.3">
      <c r="A5946" t="str">
        <f>"0611835448100"</f>
        <v>0611835448100</v>
      </c>
      <c r="B5946" t="str">
        <f>"LK6580"</f>
        <v>LK6580</v>
      </c>
      <c r="C5946" t="s">
        <v>38758</v>
      </c>
      <c r="D5946" t="s">
        <v>27245</v>
      </c>
      <c r="E5946" t="str">
        <f t="shared" si="92"/>
        <v>001390</v>
      </c>
      <c r="F5946" t="s">
        <v>27246</v>
      </c>
      <c r="G5946" t="s">
        <v>27247</v>
      </c>
      <c r="H5946" t="s">
        <v>27248</v>
      </c>
      <c r="I5946" t="s">
        <v>38759</v>
      </c>
      <c r="J5946" t="s">
        <v>11876</v>
      </c>
      <c r="L5946" t="s">
        <v>27250</v>
      </c>
      <c r="M5946" t="s">
        <v>27251</v>
      </c>
      <c r="N5946" t="s">
        <v>27252</v>
      </c>
      <c r="Q5946" s="1">
        <v>44538</v>
      </c>
      <c r="R5946" t="s">
        <v>27253</v>
      </c>
      <c r="S5946" t="s">
        <v>27254</v>
      </c>
      <c r="T5946" t="s">
        <v>27255</v>
      </c>
    </row>
    <row r="5947" spans="1:20" x14ac:dyDescent="0.3">
      <c r="A5947" t="str">
        <f>"0611856991100"</f>
        <v>0611856991100</v>
      </c>
      <c r="B5947" t="str">
        <f>"LK7050"</f>
        <v>LK7050</v>
      </c>
      <c r="C5947" t="s">
        <v>38760</v>
      </c>
      <c r="D5947" t="s">
        <v>27245</v>
      </c>
      <c r="E5947" t="str">
        <f t="shared" si="92"/>
        <v>001390</v>
      </c>
      <c r="F5947" t="s">
        <v>27246</v>
      </c>
      <c r="G5947" t="s">
        <v>27247</v>
      </c>
      <c r="H5947" t="s">
        <v>27248</v>
      </c>
      <c r="I5947" t="s">
        <v>38761</v>
      </c>
      <c r="J5947" t="s">
        <v>11878</v>
      </c>
      <c r="L5947" t="s">
        <v>27250</v>
      </c>
      <c r="M5947" t="s">
        <v>27251</v>
      </c>
      <c r="N5947" t="s">
        <v>27252</v>
      </c>
      <c r="Q5947" s="1">
        <v>44812</v>
      </c>
      <c r="R5947" t="s">
        <v>27253</v>
      </c>
      <c r="S5947" t="s">
        <v>27254</v>
      </c>
      <c r="T5947" t="s">
        <v>27255</v>
      </c>
    </row>
    <row r="5948" spans="1:20" x14ac:dyDescent="0.3">
      <c r="A5948" t="str">
        <f>"0611884257100"</f>
        <v>0611884257100</v>
      </c>
      <c r="B5948" t="str">
        <f>"LK7137"</f>
        <v>LK7137</v>
      </c>
      <c r="C5948" t="s">
        <v>38762</v>
      </c>
      <c r="D5948" t="s">
        <v>27245</v>
      </c>
      <c r="E5948" t="str">
        <f t="shared" si="92"/>
        <v>001390</v>
      </c>
      <c r="F5948" t="s">
        <v>27246</v>
      </c>
      <c r="G5948" t="s">
        <v>27247</v>
      </c>
      <c r="H5948" t="s">
        <v>27248</v>
      </c>
      <c r="I5948" t="s">
        <v>38763</v>
      </c>
      <c r="J5948" t="s">
        <v>11880</v>
      </c>
      <c r="L5948" t="s">
        <v>27430</v>
      </c>
      <c r="M5948" t="s">
        <v>27251</v>
      </c>
      <c r="N5948" t="s">
        <v>27252</v>
      </c>
      <c r="Q5948" s="1">
        <v>45250</v>
      </c>
      <c r="R5948" t="s">
        <v>27253</v>
      </c>
      <c r="S5948" t="s">
        <v>27254</v>
      </c>
      <c r="T5948" t="s">
        <v>27255</v>
      </c>
    </row>
    <row r="5949" spans="1:20" x14ac:dyDescent="0.3">
      <c r="A5949" t="str">
        <f>"0611835449100"</f>
        <v>0611835449100</v>
      </c>
      <c r="B5949" t="str">
        <f>"LK6966"</f>
        <v>LK6966</v>
      </c>
      <c r="C5949" t="s">
        <v>38764</v>
      </c>
      <c r="D5949" t="s">
        <v>27245</v>
      </c>
      <c r="E5949" t="str">
        <f t="shared" si="92"/>
        <v>001390</v>
      </c>
      <c r="F5949" t="s">
        <v>27246</v>
      </c>
      <c r="G5949" t="s">
        <v>27247</v>
      </c>
      <c r="H5949" t="s">
        <v>27248</v>
      </c>
      <c r="I5949" t="s">
        <v>38765</v>
      </c>
      <c r="J5949" t="s">
        <v>11882</v>
      </c>
      <c r="L5949" t="s">
        <v>27250</v>
      </c>
      <c r="M5949" t="s">
        <v>27251</v>
      </c>
      <c r="N5949" t="s">
        <v>27252</v>
      </c>
      <c r="Q5949" s="1">
        <v>44538</v>
      </c>
      <c r="R5949" t="s">
        <v>27253</v>
      </c>
      <c r="S5949" t="s">
        <v>27254</v>
      </c>
      <c r="T5949" t="s">
        <v>27255</v>
      </c>
    </row>
    <row r="5950" spans="1:20" x14ac:dyDescent="0.3">
      <c r="A5950" t="str">
        <f>"0611835450100"</f>
        <v>0611835450100</v>
      </c>
      <c r="B5950" t="str">
        <f>"LK6581"</f>
        <v>LK6581</v>
      </c>
      <c r="C5950" t="s">
        <v>38766</v>
      </c>
      <c r="D5950" t="s">
        <v>27245</v>
      </c>
      <c r="E5950" t="str">
        <f t="shared" si="92"/>
        <v>001390</v>
      </c>
      <c r="F5950" t="s">
        <v>27246</v>
      </c>
      <c r="G5950" t="s">
        <v>27247</v>
      </c>
      <c r="H5950" t="s">
        <v>27248</v>
      </c>
      <c r="I5950" t="s">
        <v>38767</v>
      </c>
      <c r="J5950" t="s">
        <v>11884</v>
      </c>
      <c r="L5950" t="s">
        <v>27250</v>
      </c>
      <c r="M5950" t="s">
        <v>27251</v>
      </c>
      <c r="N5950" t="s">
        <v>27252</v>
      </c>
      <c r="Q5950" s="1">
        <v>44538</v>
      </c>
      <c r="R5950" t="s">
        <v>27253</v>
      </c>
      <c r="S5950" t="s">
        <v>27254</v>
      </c>
      <c r="T5950" t="s">
        <v>27255</v>
      </c>
    </row>
    <row r="5951" spans="1:20" x14ac:dyDescent="0.3">
      <c r="A5951" t="str">
        <f>"0611884258100"</f>
        <v>0611884258100</v>
      </c>
      <c r="B5951" t="str">
        <f>"LK7138"</f>
        <v>LK7138</v>
      </c>
      <c r="C5951" t="s">
        <v>38768</v>
      </c>
      <c r="D5951" t="s">
        <v>27245</v>
      </c>
      <c r="E5951" t="str">
        <f t="shared" si="92"/>
        <v>001390</v>
      </c>
      <c r="F5951" t="s">
        <v>27246</v>
      </c>
      <c r="G5951" t="s">
        <v>27247</v>
      </c>
      <c r="H5951" t="s">
        <v>27248</v>
      </c>
      <c r="I5951" t="s">
        <v>38769</v>
      </c>
      <c r="J5951" t="s">
        <v>11886</v>
      </c>
      <c r="L5951" t="s">
        <v>27430</v>
      </c>
      <c r="M5951" t="s">
        <v>27251</v>
      </c>
      <c r="N5951" t="s">
        <v>27252</v>
      </c>
      <c r="Q5951" s="1">
        <v>45250</v>
      </c>
      <c r="R5951" t="s">
        <v>27253</v>
      </c>
      <c r="S5951" t="s">
        <v>27254</v>
      </c>
      <c r="T5951" t="s">
        <v>27255</v>
      </c>
    </row>
    <row r="5952" spans="1:20" x14ac:dyDescent="0.3">
      <c r="A5952" t="str">
        <f>"0611856992100"</f>
        <v>0611856992100</v>
      </c>
      <c r="B5952" t="str">
        <f>"LK7051"</f>
        <v>LK7051</v>
      </c>
      <c r="C5952" t="s">
        <v>38770</v>
      </c>
      <c r="D5952" t="s">
        <v>27245</v>
      </c>
      <c r="E5952" t="str">
        <f t="shared" si="92"/>
        <v>001390</v>
      </c>
      <c r="F5952" t="s">
        <v>27246</v>
      </c>
      <c r="G5952" t="s">
        <v>27247</v>
      </c>
      <c r="H5952" t="s">
        <v>27248</v>
      </c>
      <c r="I5952" t="s">
        <v>38771</v>
      </c>
      <c r="J5952" t="s">
        <v>11888</v>
      </c>
      <c r="L5952" t="s">
        <v>27250</v>
      </c>
      <c r="M5952" t="s">
        <v>27251</v>
      </c>
      <c r="N5952" t="s">
        <v>27252</v>
      </c>
      <c r="Q5952" s="1">
        <v>44812</v>
      </c>
      <c r="R5952" t="s">
        <v>27253</v>
      </c>
      <c r="S5952" t="s">
        <v>27254</v>
      </c>
      <c r="T5952" t="s">
        <v>27255</v>
      </c>
    </row>
    <row r="5953" spans="1:20" x14ac:dyDescent="0.3">
      <c r="A5953" t="str">
        <f>"0611835451100"</f>
        <v>0611835451100</v>
      </c>
      <c r="B5953" t="str">
        <f>"LK6582"</f>
        <v>LK6582</v>
      </c>
      <c r="C5953" t="s">
        <v>38772</v>
      </c>
      <c r="D5953" t="s">
        <v>27245</v>
      </c>
      <c r="E5953" t="str">
        <f t="shared" si="92"/>
        <v>001390</v>
      </c>
      <c r="F5953" t="s">
        <v>27246</v>
      </c>
      <c r="G5953" t="s">
        <v>27247</v>
      </c>
      <c r="H5953" t="s">
        <v>27248</v>
      </c>
      <c r="I5953" t="s">
        <v>38773</v>
      </c>
      <c r="J5953" t="s">
        <v>11890</v>
      </c>
      <c r="L5953" t="s">
        <v>27250</v>
      </c>
      <c r="M5953" t="s">
        <v>27251</v>
      </c>
      <c r="N5953" t="s">
        <v>27252</v>
      </c>
      <c r="Q5953" s="1">
        <v>44538</v>
      </c>
      <c r="R5953" t="s">
        <v>27253</v>
      </c>
      <c r="S5953" t="s">
        <v>27254</v>
      </c>
      <c r="T5953" t="s">
        <v>27255</v>
      </c>
    </row>
    <row r="5954" spans="1:20" x14ac:dyDescent="0.3">
      <c r="A5954" t="str">
        <f>"0611835452100"</f>
        <v>0611835452100</v>
      </c>
      <c r="B5954" t="str">
        <f>"LK6583"</f>
        <v>LK6583</v>
      </c>
      <c r="C5954" t="s">
        <v>38774</v>
      </c>
      <c r="D5954" t="s">
        <v>27245</v>
      </c>
      <c r="E5954" t="str">
        <f t="shared" ref="E5954:E6017" si="93">"001390"</f>
        <v>001390</v>
      </c>
      <c r="F5954" t="s">
        <v>27246</v>
      </c>
      <c r="G5954" t="s">
        <v>27247</v>
      </c>
      <c r="H5954" t="s">
        <v>27248</v>
      </c>
      <c r="I5954" t="s">
        <v>38775</v>
      </c>
      <c r="J5954" t="s">
        <v>11892</v>
      </c>
      <c r="L5954" t="s">
        <v>27250</v>
      </c>
      <c r="M5954" t="s">
        <v>27251</v>
      </c>
      <c r="N5954" t="s">
        <v>27252</v>
      </c>
      <c r="Q5954" s="1">
        <v>44538</v>
      </c>
      <c r="R5954" t="s">
        <v>27253</v>
      </c>
      <c r="S5954" t="s">
        <v>27254</v>
      </c>
      <c r="T5954" t="s">
        <v>27255</v>
      </c>
    </row>
    <row r="5955" spans="1:20" x14ac:dyDescent="0.3">
      <c r="A5955" t="str">
        <f>"0611835453100"</f>
        <v>0611835453100</v>
      </c>
      <c r="B5955" t="str">
        <f>"LK6844"</f>
        <v>LK6844</v>
      </c>
      <c r="C5955" t="s">
        <v>38776</v>
      </c>
      <c r="D5955" t="s">
        <v>27245</v>
      </c>
      <c r="E5955" t="str">
        <f t="shared" si="93"/>
        <v>001390</v>
      </c>
      <c r="F5955" t="s">
        <v>27246</v>
      </c>
      <c r="G5955" t="s">
        <v>27247</v>
      </c>
      <c r="H5955" t="s">
        <v>27248</v>
      </c>
      <c r="I5955" t="s">
        <v>38777</v>
      </c>
      <c r="J5955" t="s">
        <v>11894</v>
      </c>
      <c r="L5955" t="s">
        <v>27250</v>
      </c>
      <c r="M5955" t="s">
        <v>27251</v>
      </c>
      <c r="N5955" t="s">
        <v>27252</v>
      </c>
      <c r="Q5955" s="1">
        <v>44538</v>
      </c>
      <c r="R5955" t="s">
        <v>27253</v>
      </c>
      <c r="S5955" t="s">
        <v>27254</v>
      </c>
      <c r="T5955" t="s">
        <v>27255</v>
      </c>
    </row>
    <row r="5956" spans="1:20" x14ac:dyDescent="0.3">
      <c r="A5956" t="str">
        <f>"0611835454100"</f>
        <v>0611835454100</v>
      </c>
      <c r="B5956" t="str">
        <f>"LK6584"</f>
        <v>LK6584</v>
      </c>
      <c r="C5956" t="s">
        <v>38778</v>
      </c>
      <c r="D5956" t="s">
        <v>27245</v>
      </c>
      <c r="E5956" t="str">
        <f t="shared" si="93"/>
        <v>001390</v>
      </c>
      <c r="F5956" t="s">
        <v>27246</v>
      </c>
      <c r="G5956" t="s">
        <v>27247</v>
      </c>
      <c r="H5956" t="s">
        <v>27248</v>
      </c>
      <c r="I5956" t="s">
        <v>38779</v>
      </c>
      <c r="J5956" t="s">
        <v>11896</v>
      </c>
      <c r="L5956" t="s">
        <v>27250</v>
      </c>
      <c r="M5956" t="s">
        <v>27251</v>
      </c>
      <c r="N5956" t="s">
        <v>27252</v>
      </c>
      <c r="Q5956" s="1">
        <v>44538</v>
      </c>
      <c r="R5956" t="s">
        <v>27253</v>
      </c>
      <c r="S5956" t="s">
        <v>27254</v>
      </c>
      <c r="T5956" t="s">
        <v>27255</v>
      </c>
    </row>
    <row r="5957" spans="1:20" x14ac:dyDescent="0.3">
      <c r="A5957" t="str">
        <f>"0611856993100"</f>
        <v>0611856993100</v>
      </c>
      <c r="B5957" t="str">
        <f>"LK7052"</f>
        <v>LK7052</v>
      </c>
      <c r="C5957" t="s">
        <v>38780</v>
      </c>
      <c r="D5957" t="s">
        <v>27245</v>
      </c>
      <c r="E5957" t="str">
        <f t="shared" si="93"/>
        <v>001390</v>
      </c>
      <c r="F5957" t="s">
        <v>27246</v>
      </c>
      <c r="G5957" t="s">
        <v>27247</v>
      </c>
      <c r="H5957" t="s">
        <v>27248</v>
      </c>
      <c r="I5957" t="s">
        <v>38781</v>
      </c>
      <c r="J5957" t="s">
        <v>11898</v>
      </c>
      <c r="L5957" t="s">
        <v>27250</v>
      </c>
      <c r="M5957" t="s">
        <v>27251</v>
      </c>
      <c r="N5957" t="s">
        <v>27252</v>
      </c>
      <c r="Q5957" s="1">
        <v>44812</v>
      </c>
      <c r="R5957" t="s">
        <v>27253</v>
      </c>
      <c r="S5957" t="s">
        <v>27254</v>
      </c>
      <c r="T5957" t="s">
        <v>27255</v>
      </c>
    </row>
    <row r="5958" spans="1:20" x14ac:dyDescent="0.3">
      <c r="A5958" t="str">
        <f>"0611835455100"</f>
        <v>0611835455100</v>
      </c>
      <c r="B5958" t="str">
        <f>"LK6585"</f>
        <v>LK6585</v>
      </c>
      <c r="C5958" t="s">
        <v>38782</v>
      </c>
      <c r="D5958" t="s">
        <v>27245</v>
      </c>
      <c r="E5958" t="str">
        <f t="shared" si="93"/>
        <v>001390</v>
      </c>
      <c r="F5958" t="s">
        <v>27246</v>
      </c>
      <c r="G5958" t="s">
        <v>27247</v>
      </c>
      <c r="H5958" t="s">
        <v>27248</v>
      </c>
      <c r="I5958" t="s">
        <v>38783</v>
      </c>
      <c r="J5958" t="s">
        <v>11900</v>
      </c>
      <c r="L5958" t="s">
        <v>27250</v>
      </c>
      <c r="M5958" t="s">
        <v>27251</v>
      </c>
      <c r="N5958" t="s">
        <v>27252</v>
      </c>
      <c r="Q5958" s="1">
        <v>44538</v>
      </c>
      <c r="R5958" t="s">
        <v>27253</v>
      </c>
      <c r="S5958" t="s">
        <v>27254</v>
      </c>
      <c r="T5958" t="s">
        <v>27255</v>
      </c>
    </row>
    <row r="5959" spans="1:20" x14ac:dyDescent="0.3">
      <c r="A5959" t="str">
        <f>"0611835456100"</f>
        <v>0611835456100</v>
      </c>
      <c r="B5959" t="str">
        <f>"LK6586"</f>
        <v>LK6586</v>
      </c>
      <c r="C5959" t="s">
        <v>38784</v>
      </c>
      <c r="D5959" t="s">
        <v>27245</v>
      </c>
      <c r="E5959" t="str">
        <f t="shared" si="93"/>
        <v>001390</v>
      </c>
      <c r="F5959" t="s">
        <v>27246</v>
      </c>
      <c r="G5959" t="s">
        <v>27247</v>
      </c>
      <c r="H5959" t="s">
        <v>27248</v>
      </c>
      <c r="I5959" t="s">
        <v>38785</v>
      </c>
      <c r="J5959" t="s">
        <v>11902</v>
      </c>
      <c r="L5959" t="s">
        <v>27250</v>
      </c>
      <c r="M5959" t="s">
        <v>27251</v>
      </c>
      <c r="N5959" t="s">
        <v>27252</v>
      </c>
      <c r="Q5959" s="1">
        <v>44538</v>
      </c>
      <c r="R5959" t="s">
        <v>27253</v>
      </c>
      <c r="S5959" t="s">
        <v>27254</v>
      </c>
      <c r="T5959" t="s">
        <v>27255</v>
      </c>
    </row>
    <row r="5960" spans="1:20" x14ac:dyDescent="0.3">
      <c r="A5960" t="str">
        <f>"0611835457100"</f>
        <v>0611835457100</v>
      </c>
      <c r="B5960" t="str">
        <f>"LK6587"</f>
        <v>LK6587</v>
      </c>
      <c r="C5960" t="s">
        <v>38786</v>
      </c>
      <c r="D5960" t="s">
        <v>27245</v>
      </c>
      <c r="E5960" t="str">
        <f t="shared" si="93"/>
        <v>001390</v>
      </c>
      <c r="F5960" t="s">
        <v>27246</v>
      </c>
      <c r="G5960" t="s">
        <v>27247</v>
      </c>
      <c r="H5960" t="s">
        <v>27248</v>
      </c>
      <c r="I5960" t="s">
        <v>38787</v>
      </c>
      <c r="J5960" t="s">
        <v>11904</v>
      </c>
      <c r="L5960" t="s">
        <v>27250</v>
      </c>
      <c r="M5960" t="s">
        <v>27251</v>
      </c>
      <c r="N5960" t="s">
        <v>27252</v>
      </c>
      <c r="Q5960" s="1">
        <v>44538</v>
      </c>
      <c r="R5960" t="s">
        <v>27253</v>
      </c>
      <c r="S5960" t="s">
        <v>27254</v>
      </c>
      <c r="T5960" t="s">
        <v>27255</v>
      </c>
    </row>
    <row r="5961" spans="1:20" x14ac:dyDescent="0.3">
      <c r="A5961" t="str">
        <f>"0611835458100"</f>
        <v>0611835458100</v>
      </c>
      <c r="B5961" t="str">
        <f>"LS0045"</f>
        <v>LS0045</v>
      </c>
      <c r="C5961" t="s">
        <v>38788</v>
      </c>
      <c r="D5961" t="s">
        <v>27245</v>
      </c>
      <c r="E5961" t="str">
        <f t="shared" si="93"/>
        <v>001390</v>
      </c>
      <c r="F5961" t="s">
        <v>27246</v>
      </c>
      <c r="G5961" t="s">
        <v>27247</v>
      </c>
      <c r="H5961" t="s">
        <v>27248</v>
      </c>
      <c r="I5961" t="s">
        <v>38789</v>
      </c>
      <c r="J5961" t="s">
        <v>11906</v>
      </c>
      <c r="L5961" t="s">
        <v>27250</v>
      </c>
      <c r="M5961" t="s">
        <v>27251</v>
      </c>
      <c r="N5961" t="s">
        <v>27252</v>
      </c>
      <c r="Q5961" s="1">
        <v>44538</v>
      </c>
      <c r="R5961" t="s">
        <v>27253</v>
      </c>
      <c r="S5961" t="s">
        <v>27254</v>
      </c>
      <c r="T5961" t="s">
        <v>27255</v>
      </c>
    </row>
    <row r="5962" spans="1:20" x14ac:dyDescent="0.3">
      <c r="A5962" t="str">
        <f>"0611835459100"</f>
        <v>0611835459100</v>
      </c>
      <c r="B5962" t="str">
        <f>"LS0047"</f>
        <v>LS0047</v>
      </c>
      <c r="C5962" t="s">
        <v>38790</v>
      </c>
      <c r="D5962" t="s">
        <v>27245</v>
      </c>
      <c r="E5962" t="str">
        <f t="shared" si="93"/>
        <v>001390</v>
      </c>
      <c r="F5962" t="s">
        <v>27246</v>
      </c>
      <c r="G5962" t="s">
        <v>27247</v>
      </c>
      <c r="H5962" t="s">
        <v>27248</v>
      </c>
      <c r="I5962" t="s">
        <v>38791</v>
      </c>
      <c r="J5962" t="s">
        <v>11908</v>
      </c>
      <c r="L5962" t="s">
        <v>27250</v>
      </c>
      <c r="M5962" t="s">
        <v>27251</v>
      </c>
      <c r="N5962" t="s">
        <v>27252</v>
      </c>
      <c r="Q5962" s="1">
        <v>44538</v>
      </c>
      <c r="R5962" t="s">
        <v>27253</v>
      </c>
      <c r="S5962" t="s">
        <v>27254</v>
      </c>
      <c r="T5962" t="s">
        <v>27255</v>
      </c>
    </row>
    <row r="5963" spans="1:20" x14ac:dyDescent="0.3">
      <c r="A5963" t="str">
        <f>"0611835460100"</f>
        <v>0611835460100</v>
      </c>
      <c r="B5963" t="str">
        <f>"LS0048"</f>
        <v>LS0048</v>
      </c>
      <c r="C5963" t="s">
        <v>38792</v>
      </c>
      <c r="D5963" t="s">
        <v>27245</v>
      </c>
      <c r="E5963" t="str">
        <f t="shared" si="93"/>
        <v>001390</v>
      </c>
      <c r="F5963" t="s">
        <v>27246</v>
      </c>
      <c r="G5963" t="s">
        <v>27247</v>
      </c>
      <c r="H5963" t="s">
        <v>27248</v>
      </c>
      <c r="I5963" t="s">
        <v>38793</v>
      </c>
      <c r="J5963" t="s">
        <v>11910</v>
      </c>
      <c r="L5963" t="s">
        <v>27250</v>
      </c>
      <c r="M5963" t="s">
        <v>27251</v>
      </c>
      <c r="N5963" t="s">
        <v>27252</v>
      </c>
      <c r="Q5963" s="1">
        <v>44538</v>
      </c>
      <c r="R5963" t="s">
        <v>27253</v>
      </c>
      <c r="S5963" t="s">
        <v>27254</v>
      </c>
      <c r="T5963" t="s">
        <v>27255</v>
      </c>
    </row>
    <row r="5964" spans="1:20" x14ac:dyDescent="0.3">
      <c r="A5964" t="str">
        <f>"0611835464100"</f>
        <v>0611835464100</v>
      </c>
      <c r="B5964" t="str">
        <f>"LS0050"</f>
        <v>LS0050</v>
      </c>
      <c r="C5964" t="s">
        <v>38794</v>
      </c>
      <c r="D5964" t="s">
        <v>27245</v>
      </c>
      <c r="E5964" t="str">
        <f t="shared" si="93"/>
        <v>001390</v>
      </c>
      <c r="F5964" t="s">
        <v>27246</v>
      </c>
      <c r="G5964" t="s">
        <v>27247</v>
      </c>
      <c r="H5964" t="s">
        <v>27248</v>
      </c>
      <c r="I5964" t="s">
        <v>38795</v>
      </c>
      <c r="J5964" t="s">
        <v>11912</v>
      </c>
      <c r="L5964" t="s">
        <v>27250</v>
      </c>
      <c r="M5964" t="s">
        <v>27251</v>
      </c>
      <c r="N5964" t="s">
        <v>27252</v>
      </c>
      <c r="Q5964" s="1">
        <v>44538</v>
      </c>
      <c r="R5964" t="s">
        <v>27253</v>
      </c>
      <c r="S5964" t="s">
        <v>27254</v>
      </c>
      <c r="T5964" t="s">
        <v>27255</v>
      </c>
    </row>
    <row r="5965" spans="1:20" x14ac:dyDescent="0.3">
      <c r="A5965" t="str">
        <f>"0611835465100"</f>
        <v>0611835465100</v>
      </c>
      <c r="B5965" t="str">
        <f>"LS0051"</f>
        <v>LS0051</v>
      </c>
      <c r="C5965" t="s">
        <v>38796</v>
      </c>
      <c r="D5965" t="s">
        <v>27245</v>
      </c>
      <c r="E5965" t="str">
        <f t="shared" si="93"/>
        <v>001390</v>
      </c>
      <c r="F5965" t="s">
        <v>27246</v>
      </c>
      <c r="G5965" t="s">
        <v>27247</v>
      </c>
      <c r="H5965" t="s">
        <v>27248</v>
      </c>
      <c r="I5965" t="s">
        <v>38797</v>
      </c>
      <c r="J5965" t="s">
        <v>11914</v>
      </c>
      <c r="L5965" t="s">
        <v>27250</v>
      </c>
      <c r="M5965" t="s">
        <v>27251</v>
      </c>
      <c r="N5965" t="s">
        <v>27252</v>
      </c>
      <c r="Q5965" s="1">
        <v>44538</v>
      </c>
      <c r="R5965" t="s">
        <v>27253</v>
      </c>
      <c r="S5965" t="s">
        <v>27254</v>
      </c>
      <c r="T5965" t="s">
        <v>27255</v>
      </c>
    </row>
    <row r="5966" spans="1:20" x14ac:dyDescent="0.3">
      <c r="A5966" t="str">
        <f>"0611835476100"</f>
        <v>0611835476100</v>
      </c>
      <c r="B5966" t="str">
        <f>"LK3842"</f>
        <v>LK3842</v>
      </c>
      <c r="C5966" t="s">
        <v>38798</v>
      </c>
      <c r="D5966" t="s">
        <v>27245</v>
      </c>
      <c r="E5966" t="str">
        <f t="shared" si="93"/>
        <v>001390</v>
      </c>
      <c r="F5966" t="s">
        <v>27246</v>
      </c>
      <c r="G5966" t="s">
        <v>27247</v>
      </c>
      <c r="H5966" t="s">
        <v>27248</v>
      </c>
      <c r="I5966" t="s">
        <v>38799</v>
      </c>
      <c r="J5966" t="s">
        <v>11934</v>
      </c>
      <c r="L5966" t="s">
        <v>27250</v>
      </c>
      <c r="M5966" t="s">
        <v>27251</v>
      </c>
      <c r="N5966" t="s">
        <v>27252</v>
      </c>
      <c r="Q5966" s="1">
        <v>44538</v>
      </c>
      <c r="R5966" t="s">
        <v>27253</v>
      </c>
      <c r="S5966" t="s">
        <v>27254</v>
      </c>
      <c r="T5966" t="s">
        <v>27255</v>
      </c>
    </row>
    <row r="5967" spans="1:20" x14ac:dyDescent="0.3">
      <c r="A5967" t="str">
        <f>"0611835466100"</f>
        <v>0611835466100</v>
      </c>
      <c r="B5967" t="str">
        <f>"LK0754"</f>
        <v>LK0754</v>
      </c>
      <c r="C5967" t="s">
        <v>38800</v>
      </c>
      <c r="D5967" t="s">
        <v>27245</v>
      </c>
      <c r="E5967" t="str">
        <f t="shared" si="93"/>
        <v>001390</v>
      </c>
      <c r="F5967" t="s">
        <v>27246</v>
      </c>
      <c r="G5967" t="s">
        <v>27247</v>
      </c>
      <c r="H5967" t="s">
        <v>27248</v>
      </c>
      <c r="I5967" t="s">
        <v>38801</v>
      </c>
      <c r="J5967" t="s">
        <v>11916</v>
      </c>
      <c r="L5967" t="s">
        <v>27250</v>
      </c>
      <c r="M5967" t="s">
        <v>27251</v>
      </c>
      <c r="N5967" t="s">
        <v>27252</v>
      </c>
      <c r="Q5967" s="1">
        <v>44538</v>
      </c>
      <c r="R5967" t="s">
        <v>27253</v>
      </c>
      <c r="S5967" t="s">
        <v>27254</v>
      </c>
      <c r="T5967" t="s">
        <v>27255</v>
      </c>
    </row>
    <row r="5968" spans="1:20" x14ac:dyDescent="0.3">
      <c r="A5968" t="str">
        <f>"0611835467100"</f>
        <v>0611835467100</v>
      </c>
      <c r="B5968" t="str">
        <f>"LB3457"</f>
        <v>LB3457</v>
      </c>
      <c r="C5968" t="s">
        <v>38802</v>
      </c>
      <c r="D5968" t="s">
        <v>27245</v>
      </c>
      <c r="E5968" t="str">
        <f t="shared" si="93"/>
        <v>001390</v>
      </c>
      <c r="F5968" t="s">
        <v>27246</v>
      </c>
      <c r="G5968" t="s">
        <v>27247</v>
      </c>
      <c r="H5968" t="s">
        <v>27248</v>
      </c>
      <c r="I5968" t="s">
        <v>38803</v>
      </c>
      <c r="J5968" t="s">
        <v>11918</v>
      </c>
      <c r="L5968" t="s">
        <v>27250</v>
      </c>
      <c r="M5968" t="s">
        <v>27251</v>
      </c>
      <c r="N5968" t="s">
        <v>27252</v>
      </c>
      <c r="Q5968" s="1">
        <v>44538</v>
      </c>
      <c r="R5968" t="s">
        <v>27253</v>
      </c>
      <c r="S5968" t="s">
        <v>27254</v>
      </c>
      <c r="T5968" t="s">
        <v>27255</v>
      </c>
    </row>
    <row r="5969" spans="1:20" x14ac:dyDescent="0.3">
      <c r="A5969" t="str">
        <f>"0611835469100"</f>
        <v>0611835469100</v>
      </c>
      <c r="B5969" t="str">
        <f>"LB3446"</f>
        <v>LB3446</v>
      </c>
      <c r="C5969" t="s">
        <v>38804</v>
      </c>
      <c r="D5969" t="s">
        <v>27245</v>
      </c>
      <c r="E5969" t="str">
        <f t="shared" si="93"/>
        <v>001390</v>
      </c>
      <c r="F5969" t="s">
        <v>27246</v>
      </c>
      <c r="G5969" t="s">
        <v>27247</v>
      </c>
      <c r="H5969" t="s">
        <v>27248</v>
      </c>
      <c r="I5969" t="s">
        <v>38805</v>
      </c>
      <c r="J5969" t="s">
        <v>11920</v>
      </c>
      <c r="L5969" t="s">
        <v>27250</v>
      </c>
      <c r="M5969" t="s">
        <v>27251</v>
      </c>
      <c r="N5969" t="s">
        <v>27252</v>
      </c>
      <c r="Q5969" s="1">
        <v>44538</v>
      </c>
      <c r="R5969" t="s">
        <v>27253</v>
      </c>
      <c r="S5969" t="s">
        <v>27254</v>
      </c>
      <c r="T5969" t="s">
        <v>27255</v>
      </c>
    </row>
    <row r="5970" spans="1:20" x14ac:dyDescent="0.3">
      <c r="A5970" t="str">
        <f>"0611835470100"</f>
        <v>0611835470100</v>
      </c>
      <c r="B5970" t="str">
        <f>"LB3445"</f>
        <v>LB3445</v>
      </c>
      <c r="C5970" t="s">
        <v>38806</v>
      </c>
      <c r="D5970" t="s">
        <v>27245</v>
      </c>
      <c r="E5970" t="str">
        <f t="shared" si="93"/>
        <v>001390</v>
      </c>
      <c r="F5970" t="s">
        <v>27246</v>
      </c>
      <c r="G5970" t="s">
        <v>27247</v>
      </c>
      <c r="H5970" t="s">
        <v>27248</v>
      </c>
      <c r="I5970" t="s">
        <v>38807</v>
      </c>
      <c r="J5970" t="s">
        <v>11922</v>
      </c>
      <c r="L5970" t="s">
        <v>27250</v>
      </c>
      <c r="M5970" t="s">
        <v>27251</v>
      </c>
      <c r="N5970" t="s">
        <v>27252</v>
      </c>
      <c r="Q5970" s="1">
        <v>44538</v>
      </c>
      <c r="R5970" t="s">
        <v>27253</v>
      </c>
      <c r="S5970" t="s">
        <v>27254</v>
      </c>
      <c r="T5970" t="s">
        <v>27255</v>
      </c>
    </row>
    <row r="5971" spans="1:20" x14ac:dyDescent="0.3">
      <c r="A5971" t="str">
        <f>"0611835471100"</f>
        <v>0611835471100</v>
      </c>
      <c r="B5971" t="str">
        <f>"LB3265"</f>
        <v>LB3265</v>
      </c>
      <c r="C5971" t="s">
        <v>38808</v>
      </c>
      <c r="D5971" t="s">
        <v>27245</v>
      </c>
      <c r="E5971" t="str">
        <f t="shared" si="93"/>
        <v>001390</v>
      </c>
      <c r="F5971" t="s">
        <v>27246</v>
      </c>
      <c r="G5971" t="s">
        <v>27247</v>
      </c>
      <c r="H5971" t="s">
        <v>27248</v>
      </c>
      <c r="I5971" t="s">
        <v>38809</v>
      </c>
      <c r="J5971" t="s">
        <v>11924</v>
      </c>
      <c r="L5971" t="s">
        <v>27250</v>
      </c>
      <c r="M5971" t="s">
        <v>27251</v>
      </c>
      <c r="N5971" t="s">
        <v>27252</v>
      </c>
      <c r="Q5971" s="1">
        <v>44538</v>
      </c>
      <c r="R5971" t="s">
        <v>27253</v>
      </c>
      <c r="S5971" t="s">
        <v>27254</v>
      </c>
      <c r="T5971" t="s">
        <v>27255</v>
      </c>
    </row>
    <row r="5972" spans="1:20" x14ac:dyDescent="0.3">
      <c r="A5972" t="str">
        <f>"0611835472100"</f>
        <v>0611835472100</v>
      </c>
      <c r="B5972" t="str">
        <f>"LB3438"</f>
        <v>LB3438</v>
      </c>
      <c r="C5972" t="s">
        <v>38810</v>
      </c>
      <c r="D5972" t="s">
        <v>27245</v>
      </c>
      <c r="E5972" t="str">
        <f t="shared" si="93"/>
        <v>001390</v>
      </c>
      <c r="F5972" t="s">
        <v>27246</v>
      </c>
      <c r="G5972" t="s">
        <v>27247</v>
      </c>
      <c r="H5972" t="s">
        <v>27248</v>
      </c>
      <c r="I5972" t="s">
        <v>38811</v>
      </c>
      <c r="J5972" t="s">
        <v>11926</v>
      </c>
      <c r="L5972" t="s">
        <v>27250</v>
      </c>
      <c r="M5972" t="s">
        <v>27251</v>
      </c>
      <c r="N5972" t="s">
        <v>27252</v>
      </c>
      <c r="Q5972" s="1">
        <v>44538</v>
      </c>
      <c r="R5972" t="s">
        <v>27253</v>
      </c>
      <c r="S5972" t="s">
        <v>27254</v>
      </c>
      <c r="T5972" t="s">
        <v>27255</v>
      </c>
    </row>
    <row r="5973" spans="1:20" x14ac:dyDescent="0.3">
      <c r="A5973" t="str">
        <f>"0611835473100"</f>
        <v>0611835473100</v>
      </c>
      <c r="B5973" t="str">
        <f>"LB3475"</f>
        <v>LB3475</v>
      </c>
      <c r="C5973" t="s">
        <v>38812</v>
      </c>
      <c r="D5973" t="s">
        <v>27245</v>
      </c>
      <c r="E5973" t="str">
        <f t="shared" si="93"/>
        <v>001390</v>
      </c>
      <c r="F5973" t="s">
        <v>27246</v>
      </c>
      <c r="G5973" t="s">
        <v>27247</v>
      </c>
      <c r="H5973" t="s">
        <v>27248</v>
      </c>
      <c r="I5973" t="s">
        <v>38813</v>
      </c>
      <c r="J5973" t="s">
        <v>11928</v>
      </c>
      <c r="L5973" t="s">
        <v>27250</v>
      </c>
      <c r="M5973" t="s">
        <v>27251</v>
      </c>
      <c r="N5973" t="s">
        <v>27252</v>
      </c>
      <c r="Q5973" s="1">
        <v>44538</v>
      </c>
      <c r="R5973" t="s">
        <v>27253</v>
      </c>
      <c r="S5973" t="s">
        <v>27254</v>
      </c>
      <c r="T5973" t="s">
        <v>27255</v>
      </c>
    </row>
    <row r="5974" spans="1:20" x14ac:dyDescent="0.3">
      <c r="A5974" t="str">
        <f>"0611835474100"</f>
        <v>0611835474100</v>
      </c>
      <c r="B5974" t="str">
        <f>"LB3477"</f>
        <v>LB3477</v>
      </c>
      <c r="C5974" t="s">
        <v>38814</v>
      </c>
      <c r="D5974" t="s">
        <v>27245</v>
      </c>
      <c r="E5974" t="str">
        <f t="shared" si="93"/>
        <v>001390</v>
      </c>
      <c r="F5974" t="s">
        <v>27246</v>
      </c>
      <c r="G5974" t="s">
        <v>27247</v>
      </c>
      <c r="H5974" t="s">
        <v>27248</v>
      </c>
      <c r="I5974" t="s">
        <v>38815</v>
      </c>
      <c r="J5974" t="s">
        <v>11930</v>
      </c>
      <c r="L5974" t="s">
        <v>27250</v>
      </c>
      <c r="M5974" t="s">
        <v>27251</v>
      </c>
      <c r="N5974" t="s">
        <v>27252</v>
      </c>
      <c r="Q5974" s="1">
        <v>44538</v>
      </c>
      <c r="R5974" t="s">
        <v>27253</v>
      </c>
      <c r="S5974" t="s">
        <v>27254</v>
      </c>
      <c r="T5974" t="s">
        <v>27255</v>
      </c>
    </row>
    <row r="5975" spans="1:20" x14ac:dyDescent="0.3">
      <c r="A5975" t="str">
        <f>"0611835475100"</f>
        <v>0611835475100</v>
      </c>
      <c r="B5975" t="str">
        <f>"LB3447"</f>
        <v>LB3447</v>
      </c>
      <c r="C5975" t="s">
        <v>38816</v>
      </c>
      <c r="D5975" t="s">
        <v>27245</v>
      </c>
      <c r="E5975" t="str">
        <f t="shared" si="93"/>
        <v>001390</v>
      </c>
      <c r="F5975" t="s">
        <v>27246</v>
      </c>
      <c r="G5975" t="s">
        <v>27247</v>
      </c>
      <c r="H5975" t="s">
        <v>27248</v>
      </c>
      <c r="I5975" t="s">
        <v>38817</v>
      </c>
      <c r="J5975" t="s">
        <v>11932</v>
      </c>
      <c r="L5975" t="s">
        <v>27250</v>
      </c>
      <c r="M5975" t="s">
        <v>27251</v>
      </c>
      <c r="N5975" t="s">
        <v>27252</v>
      </c>
      <c r="Q5975" s="1">
        <v>44538</v>
      </c>
      <c r="R5975" t="s">
        <v>27253</v>
      </c>
      <c r="S5975" t="s">
        <v>27254</v>
      </c>
      <c r="T5975" t="s">
        <v>27255</v>
      </c>
    </row>
    <row r="5976" spans="1:20" x14ac:dyDescent="0.3">
      <c r="A5976" t="str">
        <f>"0611835477100"</f>
        <v>0611835477100</v>
      </c>
      <c r="B5976" t="str">
        <f>"LB3448"</f>
        <v>LB3448</v>
      </c>
      <c r="C5976" t="s">
        <v>38818</v>
      </c>
      <c r="D5976" t="s">
        <v>27245</v>
      </c>
      <c r="E5976" t="str">
        <f t="shared" si="93"/>
        <v>001390</v>
      </c>
      <c r="F5976" t="s">
        <v>27246</v>
      </c>
      <c r="G5976" t="s">
        <v>27247</v>
      </c>
      <c r="H5976" t="s">
        <v>27248</v>
      </c>
      <c r="I5976" t="s">
        <v>38819</v>
      </c>
      <c r="J5976" t="s">
        <v>11936</v>
      </c>
      <c r="L5976" t="s">
        <v>27250</v>
      </c>
      <c r="M5976" t="s">
        <v>27251</v>
      </c>
      <c r="N5976" t="s">
        <v>27252</v>
      </c>
      <c r="Q5976" s="1">
        <v>44538</v>
      </c>
      <c r="R5976" t="s">
        <v>27253</v>
      </c>
      <c r="S5976" t="s">
        <v>27254</v>
      </c>
      <c r="T5976" t="s">
        <v>27255</v>
      </c>
    </row>
    <row r="5977" spans="1:20" x14ac:dyDescent="0.3">
      <c r="A5977" t="str">
        <f>"0611835478100"</f>
        <v>0611835478100</v>
      </c>
      <c r="B5977" t="str">
        <f>"LK4845"</f>
        <v>LK4845</v>
      </c>
      <c r="C5977" t="s">
        <v>38820</v>
      </c>
      <c r="D5977" t="s">
        <v>27245</v>
      </c>
      <c r="E5977" t="str">
        <f t="shared" si="93"/>
        <v>001390</v>
      </c>
      <c r="F5977" t="s">
        <v>27246</v>
      </c>
      <c r="G5977" t="s">
        <v>27247</v>
      </c>
      <c r="H5977" t="s">
        <v>27248</v>
      </c>
      <c r="I5977" t="s">
        <v>38821</v>
      </c>
      <c r="J5977" t="s">
        <v>11938</v>
      </c>
      <c r="L5977" t="s">
        <v>27250</v>
      </c>
      <c r="M5977" t="s">
        <v>27251</v>
      </c>
      <c r="N5977" t="s">
        <v>27252</v>
      </c>
      <c r="Q5977" s="1">
        <v>44538</v>
      </c>
      <c r="R5977" t="s">
        <v>27253</v>
      </c>
      <c r="S5977" t="s">
        <v>27254</v>
      </c>
      <c r="T5977" t="s">
        <v>27255</v>
      </c>
    </row>
    <row r="5978" spans="1:20" x14ac:dyDescent="0.3">
      <c r="A5978" t="str">
        <f>"0611835479100"</f>
        <v>0611835479100</v>
      </c>
      <c r="B5978" t="str">
        <f>"LB3449"</f>
        <v>LB3449</v>
      </c>
      <c r="C5978" t="s">
        <v>38822</v>
      </c>
      <c r="D5978" t="s">
        <v>27245</v>
      </c>
      <c r="E5978" t="str">
        <f t="shared" si="93"/>
        <v>001390</v>
      </c>
      <c r="F5978" t="s">
        <v>27246</v>
      </c>
      <c r="G5978" t="s">
        <v>27247</v>
      </c>
      <c r="H5978" t="s">
        <v>27248</v>
      </c>
      <c r="I5978" t="s">
        <v>38823</v>
      </c>
      <c r="J5978" t="s">
        <v>11940</v>
      </c>
      <c r="L5978" t="s">
        <v>27250</v>
      </c>
      <c r="M5978" t="s">
        <v>27251</v>
      </c>
      <c r="N5978" t="s">
        <v>27252</v>
      </c>
      <c r="Q5978" s="1">
        <v>44538</v>
      </c>
      <c r="R5978" t="s">
        <v>27253</v>
      </c>
      <c r="S5978" t="s">
        <v>27254</v>
      </c>
      <c r="T5978" t="s">
        <v>27255</v>
      </c>
    </row>
    <row r="5979" spans="1:20" x14ac:dyDescent="0.3">
      <c r="A5979" t="str">
        <f>"0611835480100"</f>
        <v>0611835480100</v>
      </c>
      <c r="B5979" t="str">
        <f>"LB3458"</f>
        <v>LB3458</v>
      </c>
      <c r="C5979" t="s">
        <v>38824</v>
      </c>
      <c r="D5979" t="s">
        <v>27245</v>
      </c>
      <c r="E5979" t="str">
        <f t="shared" si="93"/>
        <v>001390</v>
      </c>
      <c r="F5979" t="s">
        <v>27246</v>
      </c>
      <c r="G5979" t="s">
        <v>27247</v>
      </c>
      <c r="H5979" t="s">
        <v>27248</v>
      </c>
      <c r="I5979" t="s">
        <v>38825</v>
      </c>
      <c r="J5979" t="s">
        <v>11942</v>
      </c>
      <c r="L5979" t="s">
        <v>27250</v>
      </c>
      <c r="M5979" t="s">
        <v>27251</v>
      </c>
      <c r="N5979" t="s">
        <v>27252</v>
      </c>
      <c r="Q5979" s="1">
        <v>44538</v>
      </c>
      <c r="R5979" t="s">
        <v>27253</v>
      </c>
      <c r="S5979" t="s">
        <v>27254</v>
      </c>
      <c r="T5979" t="s">
        <v>27255</v>
      </c>
    </row>
    <row r="5980" spans="1:20" x14ac:dyDescent="0.3">
      <c r="A5980" t="str">
        <f>"0611835481100"</f>
        <v>0611835481100</v>
      </c>
      <c r="B5980" t="str">
        <f>"LB3450"</f>
        <v>LB3450</v>
      </c>
      <c r="C5980" t="s">
        <v>38826</v>
      </c>
      <c r="D5980" t="s">
        <v>27245</v>
      </c>
      <c r="E5980" t="str">
        <f t="shared" si="93"/>
        <v>001390</v>
      </c>
      <c r="F5980" t="s">
        <v>27246</v>
      </c>
      <c r="G5980" t="s">
        <v>27247</v>
      </c>
      <c r="H5980" t="s">
        <v>27248</v>
      </c>
      <c r="I5980" t="s">
        <v>38827</v>
      </c>
      <c r="J5980" t="s">
        <v>11944</v>
      </c>
      <c r="L5980" t="s">
        <v>27250</v>
      </c>
      <c r="M5980" t="s">
        <v>27251</v>
      </c>
      <c r="N5980" t="s">
        <v>27252</v>
      </c>
      <c r="Q5980" s="1">
        <v>44538</v>
      </c>
      <c r="R5980" t="s">
        <v>27253</v>
      </c>
      <c r="S5980" t="s">
        <v>27254</v>
      </c>
      <c r="T5980" t="s">
        <v>27255</v>
      </c>
    </row>
    <row r="5981" spans="1:20" x14ac:dyDescent="0.3">
      <c r="A5981" t="str">
        <f>"0611835482100"</f>
        <v>0611835482100</v>
      </c>
      <c r="B5981" t="str">
        <f>"LB3451"</f>
        <v>LB3451</v>
      </c>
      <c r="C5981" t="s">
        <v>38828</v>
      </c>
      <c r="D5981" t="s">
        <v>27245</v>
      </c>
      <c r="E5981" t="str">
        <f t="shared" si="93"/>
        <v>001390</v>
      </c>
      <c r="F5981" t="s">
        <v>27246</v>
      </c>
      <c r="G5981" t="s">
        <v>27247</v>
      </c>
      <c r="H5981" t="s">
        <v>27248</v>
      </c>
      <c r="I5981" t="s">
        <v>38829</v>
      </c>
      <c r="J5981" t="s">
        <v>11946</v>
      </c>
      <c r="L5981" t="s">
        <v>27250</v>
      </c>
      <c r="M5981" t="s">
        <v>27251</v>
      </c>
      <c r="N5981" t="s">
        <v>27252</v>
      </c>
      <c r="Q5981" s="1">
        <v>44538</v>
      </c>
      <c r="R5981" t="s">
        <v>27253</v>
      </c>
      <c r="S5981" t="s">
        <v>27254</v>
      </c>
      <c r="T5981" t="s">
        <v>27255</v>
      </c>
    </row>
    <row r="5982" spans="1:20" x14ac:dyDescent="0.3">
      <c r="A5982" t="str">
        <f>"0611835483100"</f>
        <v>0611835483100</v>
      </c>
      <c r="B5982" t="str">
        <f>"LB3263"</f>
        <v>LB3263</v>
      </c>
      <c r="C5982" t="s">
        <v>38830</v>
      </c>
      <c r="D5982" t="s">
        <v>27245</v>
      </c>
      <c r="E5982" t="str">
        <f t="shared" si="93"/>
        <v>001390</v>
      </c>
      <c r="F5982" t="s">
        <v>27246</v>
      </c>
      <c r="G5982" t="s">
        <v>27247</v>
      </c>
      <c r="H5982" t="s">
        <v>27248</v>
      </c>
      <c r="I5982" t="s">
        <v>38831</v>
      </c>
      <c r="J5982" t="s">
        <v>11948</v>
      </c>
      <c r="L5982" t="s">
        <v>27250</v>
      </c>
      <c r="M5982" t="s">
        <v>27251</v>
      </c>
      <c r="N5982" t="s">
        <v>27252</v>
      </c>
      <c r="Q5982" s="1">
        <v>44538</v>
      </c>
      <c r="R5982" t="s">
        <v>27253</v>
      </c>
      <c r="S5982" t="s">
        <v>27254</v>
      </c>
      <c r="T5982" t="s">
        <v>27255</v>
      </c>
    </row>
    <row r="5983" spans="1:20" x14ac:dyDescent="0.3">
      <c r="A5983" t="str">
        <f>"0611835484100"</f>
        <v>0611835484100</v>
      </c>
      <c r="B5983" t="str">
        <f>"LK5008"</f>
        <v>LK5008</v>
      </c>
      <c r="C5983" t="s">
        <v>38832</v>
      </c>
      <c r="D5983" t="s">
        <v>27245</v>
      </c>
      <c r="E5983" t="str">
        <f t="shared" si="93"/>
        <v>001390</v>
      </c>
      <c r="F5983" t="s">
        <v>27246</v>
      </c>
      <c r="G5983" t="s">
        <v>27247</v>
      </c>
      <c r="H5983" t="s">
        <v>27248</v>
      </c>
      <c r="I5983" t="s">
        <v>38833</v>
      </c>
      <c r="J5983" t="s">
        <v>11950</v>
      </c>
      <c r="L5983" t="s">
        <v>27250</v>
      </c>
      <c r="M5983" t="s">
        <v>27251</v>
      </c>
      <c r="N5983" t="s">
        <v>27252</v>
      </c>
      <c r="Q5983" s="1">
        <v>44538</v>
      </c>
      <c r="R5983" t="s">
        <v>27253</v>
      </c>
      <c r="S5983" t="s">
        <v>27254</v>
      </c>
      <c r="T5983" t="s">
        <v>27255</v>
      </c>
    </row>
    <row r="5984" spans="1:20" x14ac:dyDescent="0.3">
      <c r="A5984" t="str">
        <f>"0611835485100"</f>
        <v>0611835485100</v>
      </c>
      <c r="B5984" t="str">
        <f>"LK5009"</f>
        <v>LK5009</v>
      </c>
      <c r="C5984" t="s">
        <v>38834</v>
      </c>
      <c r="D5984" t="s">
        <v>27245</v>
      </c>
      <c r="E5984" t="str">
        <f t="shared" si="93"/>
        <v>001390</v>
      </c>
      <c r="F5984" t="s">
        <v>27246</v>
      </c>
      <c r="G5984" t="s">
        <v>27247</v>
      </c>
      <c r="H5984" t="s">
        <v>27248</v>
      </c>
      <c r="I5984" t="s">
        <v>38835</v>
      </c>
      <c r="J5984" t="s">
        <v>11952</v>
      </c>
      <c r="L5984" t="s">
        <v>27250</v>
      </c>
      <c r="M5984" t="s">
        <v>27251</v>
      </c>
      <c r="N5984" t="s">
        <v>27252</v>
      </c>
      <c r="Q5984" s="1">
        <v>44538</v>
      </c>
      <c r="R5984" t="s">
        <v>27253</v>
      </c>
      <c r="S5984" t="s">
        <v>27254</v>
      </c>
      <c r="T5984" t="s">
        <v>27255</v>
      </c>
    </row>
    <row r="5985" spans="1:20" x14ac:dyDescent="0.3">
      <c r="A5985" t="str">
        <f>"0611835486100"</f>
        <v>0611835486100</v>
      </c>
      <c r="B5985" t="str">
        <f>"LK1836"</f>
        <v>LK1836</v>
      </c>
      <c r="C5985" t="s">
        <v>38836</v>
      </c>
      <c r="D5985" t="s">
        <v>27245</v>
      </c>
      <c r="E5985" t="str">
        <f t="shared" si="93"/>
        <v>001390</v>
      </c>
      <c r="F5985" t="s">
        <v>27246</v>
      </c>
      <c r="G5985" t="s">
        <v>27247</v>
      </c>
      <c r="H5985" t="s">
        <v>27248</v>
      </c>
      <c r="I5985" t="s">
        <v>38837</v>
      </c>
      <c r="J5985" t="s">
        <v>11954</v>
      </c>
      <c r="L5985" t="s">
        <v>27250</v>
      </c>
      <c r="M5985" t="s">
        <v>27251</v>
      </c>
      <c r="N5985" t="s">
        <v>27252</v>
      </c>
      <c r="Q5985" s="1">
        <v>44538</v>
      </c>
      <c r="R5985" t="s">
        <v>27253</v>
      </c>
      <c r="S5985" t="s">
        <v>27254</v>
      </c>
      <c r="T5985" t="s">
        <v>27255</v>
      </c>
    </row>
    <row r="5986" spans="1:20" x14ac:dyDescent="0.3">
      <c r="A5986" t="str">
        <f>"0611835487100"</f>
        <v>0611835487100</v>
      </c>
      <c r="B5986" t="str">
        <f>"LB3474"</f>
        <v>LB3474</v>
      </c>
      <c r="C5986" t="s">
        <v>38838</v>
      </c>
      <c r="D5986" t="s">
        <v>27245</v>
      </c>
      <c r="E5986" t="str">
        <f t="shared" si="93"/>
        <v>001390</v>
      </c>
      <c r="F5986" t="s">
        <v>27246</v>
      </c>
      <c r="G5986" t="s">
        <v>27247</v>
      </c>
      <c r="H5986" t="s">
        <v>27248</v>
      </c>
      <c r="I5986" t="s">
        <v>38839</v>
      </c>
      <c r="J5986" t="s">
        <v>11956</v>
      </c>
      <c r="L5986" t="s">
        <v>27250</v>
      </c>
      <c r="M5986" t="s">
        <v>27251</v>
      </c>
      <c r="N5986" t="s">
        <v>27252</v>
      </c>
      <c r="Q5986" s="1">
        <v>44538</v>
      </c>
      <c r="R5986" t="s">
        <v>27253</v>
      </c>
      <c r="S5986" t="s">
        <v>27254</v>
      </c>
      <c r="T5986" t="s">
        <v>27255</v>
      </c>
    </row>
    <row r="5987" spans="1:20" x14ac:dyDescent="0.3">
      <c r="A5987" t="str">
        <f>"0611835489100"</f>
        <v>0611835489100</v>
      </c>
      <c r="B5987" t="str">
        <f>"LB3452"</f>
        <v>LB3452</v>
      </c>
      <c r="C5987" t="s">
        <v>38840</v>
      </c>
      <c r="D5987" t="s">
        <v>27245</v>
      </c>
      <c r="E5987" t="str">
        <f t="shared" si="93"/>
        <v>001390</v>
      </c>
      <c r="F5987" t="s">
        <v>27246</v>
      </c>
      <c r="G5987" t="s">
        <v>27247</v>
      </c>
      <c r="H5987" t="s">
        <v>27248</v>
      </c>
      <c r="I5987" t="s">
        <v>38841</v>
      </c>
      <c r="J5987" t="s">
        <v>11958</v>
      </c>
      <c r="L5987" t="s">
        <v>27250</v>
      </c>
      <c r="M5987" t="s">
        <v>27251</v>
      </c>
      <c r="N5987" t="s">
        <v>27252</v>
      </c>
      <c r="Q5987" s="1">
        <v>44538</v>
      </c>
      <c r="R5987" t="s">
        <v>27253</v>
      </c>
      <c r="S5987" t="s">
        <v>27254</v>
      </c>
      <c r="T5987" t="s">
        <v>27255</v>
      </c>
    </row>
    <row r="5988" spans="1:20" x14ac:dyDescent="0.3">
      <c r="A5988" t="str">
        <f>"0611835490100"</f>
        <v>0611835490100</v>
      </c>
      <c r="B5988" t="str">
        <f>"LB3453"</f>
        <v>LB3453</v>
      </c>
      <c r="C5988" t="s">
        <v>38842</v>
      </c>
      <c r="D5988" t="s">
        <v>27245</v>
      </c>
      <c r="E5988" t="str">
        <f t="shared" si="93"/>
        <v>001390</v>
      </c>
      <c r="F5988" t="s">
        <v>27246</v>
      </c>
      <c r="G5988" t="s">
        <v>27247</v>
      </c>
      <c r="H5988" t="s">
        <v>27248</v>
      </c>
      <c r="I5988" t="s">
        <v>38843</v>
      </c>
      <c r="J5988" t="s">
        <v>11960</v>
      </c>
      <c r="L5988" t="s">
        <v>27250</v>
      </c>
      <c r="M5988" t="s">
        <v>27251</v>
      </c>
      <c r="N5988" t="s">
        <v>27252</v>
      </c>
      <c r="Q5988" s="1">
        <v>44538</v>
      </c>
      <c r="R5988" t="s">
        <v>27253</v>
      </c>
      <c r="S5988" t="s">
        <v>27254</v>
      </c>
      <c r="T5988" t="s">
        <v>27255</v>
      </c>
    </row>
    <row r="5989" spans="1:20" x14ac:dyDescent="0.3">
      <c r="A5989" t="str">
        <f>"0611835491100"</f>
        <v>0611835491100</v>
      </c>
      <c r="B5989" t="str">
        <f>"LS0052"</f>
        <v>LS0052</v>
      </c>
      <c r="C5989" t="s">
        <v>38844</v>
      </c>
      <c r="D5989" t="s">
        <v>27245</v>
      </c>
      <c r="E5989" t="str">
        <f t="shared" si="93"/>
        <v>001390</v>
      </c>
      <c r="F5989" t="s">
        <v>27246</v>
      </c>
      <c r="G5989" t="s">
        <v>27247</v>
      </c>
      <c r="H5989" t="s">
        <v>27248</v>
      </c>
      <c r="I5989" t="s">
        <v>38845</v>
      </c>
      <c r="J5989" t="s">
        <v>11996</v>
      </c>
      <c r="L5989" t="s">
        <v>27250</v>
      </c>
      <c r="M5989" t="s">
        <v>27251</v>
      </c>
      <c r="N5989" t="s">
        <v>27252</v>
      </c>
      <c r="Q5989" s="1">
        <v>44538</v>
      </c>
      <c r="R5989" t="s">
        <v>27253</v>
      </c>
      <c r="S5989" t="s">
        <v>27254</v>
      </c>
      <c r="T5989" t="s">
        <v>27255</v>
      </c>
    </row>
    <row r="5990" spans="1:20" x14ac:dyDescent="0.3">
      <c r="A5990" t="str">
        <f>"0611835492100"</f>
        <v>0611835492100</v>
      </c>
      <c r="B5990" t="str">
        <f>"LK5471"</f>
        <v>LK5471</v>
      </c>
      <c r="C5990" t="s">
        <v>38846</v>
      </c>
      <c r="D5990" t="s">
        <v>27245</v>
      </c>
      <c r="E5990" t="str">
        <f t="shared" si="93"/>
        <v>001390</v>
      </c>
      <c r="F5990" t="s">
        <v>27246</v>
      </c>
      <c r="G5990" t="s">
        <v>27247</v>
      </c>
      <c r="H5990" t="s">
        <v>27248</v>
      </c>
      <c r="I5990" t="s">
        <v>38847</v>
      </c>
      <c r="J5990" t="s">
        <v>11962</v>
      </c>
      <c r="L5990" t="s">
        <v>27250</v>
      </c>
      <c r="M5990" t="s">
        <v>27251</v>
      </c>
      <c r="N5990" t="s">
        <v>27252</v>
      </c>
      <c r="Q5990" s="1">
        <v>44538</v>
      </c>
      <c r="R5990" t="s">
        <v>27253</v>
      </c>
      <c r="S5990" t="s">
        <v>27254</v>
      </c>
      <c r="T5990" t="s">
        <v>27255</v>
      </c>
    </row>
    <row r="5991" spans="1:20" x14ac:dyDescent="0.3">
      <c r="A5991" t="str">
        <f>"0611835493100"</f>
        <v>0611835493100</v>
      </c>
      <c r="B5991" t="str">
        <f>"LK1958"</f>
        <v>LK1958</v>
      </c>
      <c r="C5991" t="s">
        <v>38848</v>
      </c>
      <c r="D5991" t="s">
        <v>27245</v>
      </c>
      <c r="E5991" t="str">
        <f t="shared" si="93"/>
        <v>001390</v>
      </c>
      <c r="F5991" t="s">
        <v>27246</v>
      </c>
      <c r="G5991" t="s">
        <v>27247</v>
      </c>
      <c r="H5991" t="s">
        <v>27248</v>
      </c>
      <c r="I5991" t="s">
        <v>38849</v>
      </c>
      <c r="J5991" t="s">
        <v>11964</v>
      </c>
      <c r="L5991" t="s">
        <v>27250</v>
      </c>
      <c r="M5991" t="s">
        <v>27251</v>
      </c>
      <c r="N5991" t="s">
        <v>27252</v>
      </c>
      <c r="Q5991" s="1">
        <v>44538</v>
      </c>
      <c r="R5991" t="s">
        <v>27253</v>
      </c>
      <c r="S5991" t="s">
        <v>27254</v>
      </c>
      <c r="T5991" t="s">
        <v>27255</v>
      </c>
    </row>
    <row r="5992" spans="1:20" x14ac:dyDescent="0.3">
      <c r="A5992" t="str">
        <f>"0611835496100"</f>
        <v>0611835496100</v>
      </c>
      <c r="B5992" t="str">
        <f>"LK1959"</f>
        <v>LK1959</v>
      </c>
      <c r="C5992" t="s">
        <v>38850</v>
      </c>
      <c r="D5992" t="s">
        <v>27245</v>
      </c>
      <c r="E5992" t="str">
        <f t="shared" si="93"/>
        <v>001390</v>
      </c>
      <c r="F5992" t="s">
        <v>27246</v>
      </c>
      <c r="G5992" t="s">
        <v>27247</v>
      </c>
      <c r="H5992" t="s">
        <v>27248</v>
      </c>
      <c r="I5992" t="s">
        <v>38851</v>
      </c>
      <c r="J5992" t="s">
        <v>11966</v>
      </c>
      <c r="L5992" t="s">
        <v>27250</v>
      </c>
      <c r="M5992" t="s">
        <v>27251</v>
      </c>
      <c r="N5992" t="s">
        <v>27252</v>
      </c>
      <c r="Q5992" s="1">
        <v>44538</v>
      </c>
      <c r="R5992" t="s">
        <v>27253</v>
      </c>
      <c r="S5992" t="s">
        <v>27254</v>
      </c>
      <c r="T5992" t="s">
        <v>27255</v>
      </c>
    </row>
    <row r="5993" spans="1:20" x14ac:dyDescent="0.3">
      <c r="A5993" t="str">
        <f>"0611835497100"</f>
        <v>0611835497100</v>
      </c>
      <c r="B5993" t="str">
        <f>"LK6080"</f>
        <v>LK6080</v>
      </c>
      <c r="C5993" t="s">
        <v>38852</v>
      </c>
      <c r="D5993" t="s">
        <v>27245</v>
      </c>
      <c r="E5993" t="str">
        <f t="shared" si="93"/>
        <v>001390</v>
      </c>
      <c r="F5993" t="s">
        <v>27246</v>
      </c>
      <c r="G5993" t="s">
        <v>27247</v>
      </c>
      <c r="H5993" t="s">
        <v>27248</v>
      </c>
      <c r="I5993" t="s">
        <v>38853</v>
      </c>
      <c r="J5993" t="s">
        <v>11968</v>
      </c>
      <c r="L5993" t="s">
        <v>27250</v>
      </c>
      <c r="M5993" t="s">
        <v>27251</v>
      </c>
      <c r="N5993" t="s">
        <v>27252</v>
      </c>
      <c r="Q5993" s="1">
        <v>44538</v>
      </c>
      <c r="R5993" t="s">
        <v>27253</v>
      </c>
      <c r="S5993" t="s">
        <v>27254</v>
      </c>
      <c r="T5993" t="s">
        <v>27255</v>
      </c>
    </row>
    <row r="5994" spans="1:20" x14ac:dyDescent="0.3">
      <c r="A5994" t="str">
        <f>"0611835498100"</f>
        <v>0611835498100</v>
      </c>
      <c r="B5994" t="str">
        <f>"LK1960"</f>
        <v>LK1960</v>
      </c>
      <c r="C5994" t="s">
        <v>38854</v>
      </c>
      <c r="D5994" t="s">
        <v>27245</v>
      </c>
      <c r="E5994" t="str">
        <f t="shared" si="93"/>
        <v>001390</v>
      </c>
      <c r="F5994" t="s">
        <v>27246</v>
      </c>
      <c r="G5994" t="s">
        <v>27247</v>
      </c>
      <c r="H5994" t="s">
        <v>27248</v>
      </c>
      <c r="I5994" t="s">
        <v>38855</v>
      </c>
      <c r="J5994" t="s">
        <v>11970</v>
      </c>
      <c r="L5994" t="s">
        <v>27250</v>
      </c>
      <c r="M5994" t="s">
        <v>27251</v>
      </c>
      <c r="N5994" t="s">
        <v>27252</v>
      </c>
      <c r="Q5994" s="1">
        <v>44538</v>
      </c>
      <c r="R5994" t="s">
        <v>27253</v>
      </c>
      <c r="S5994" t="s">
        <v>27254</v>
      </c>
      <c r="T5994" t="s">
        <v>27255</v>
      </c>
    </row>
    <row r="5995" spans="1:20" x14ac:dyDescent="0.3">
      <c r="A5995" t="str">
        <f>"0611835499100"</f>
        <v>0611835499100</v>
      </c>
      <c r="B5995" t="str">
        <f>"LK1961"</f>
        <v>LK1961</v>
      </c>
      <c r="C5995" t="s">
        <v>38856</v>
      </c>
      <c r="D5995" t="s">
        <v>27245</v>
      </c>
      <c r="E5995" t="str">
        <f t="shared" si="93"/>
        <v>001390</v>
      </c>
      <c r="F5995" t="s">
        <v>27246</v>
      </c>
      <c r="G5995" t="s">
        <v>27247</v>
      </c>
      <c r="H5995" t="s">
        <v>27248</v>
      </c>
      <c r="I5995" t="s">
        <v>38857</v>
      </c>
      <c r="J5995" t="s">
        <v>11972</v>
      </c>
      <c r="L5995" t="s">
        <v>27250</v>
      </c>
      <c r="M5995" t="s">
        <v>27251</v>
      </c>
      <c r="N5995" t="s">
        <v>27252</v>
      </c>
      <c r="Q5995" s="1">
        <v>44538</v>
      </c>
      <c r="R5995" t="s">
        <v>27253</v>
      </c>
      <c r="S5995" t="s">
        <v>27254</v>
      </c>
      <c r="T5995" t="s">
        <v>27255</v>
      </c>
    </row>
    <row r="5996" spans="1:20" x14ac:dyDescent="0.3">
      <c r="A5996" t="str">
        <f>"0611835500100"</f>
        <v>0611835500100</v>
      </c>
      <c r="B5996" t="str">
        <f>"LK1962"</f>
        <v>LK1962</v>
      </c>
      <c r="C5996" t="s">
        <v>38858</v>
      </c>
      <c r="D5996" t="s">
        <v>27245</v>
      </c>
      <c r="E5996" t="str">
        <f t="shared" si="93"/>
        <v>001390</v>
      </c>
      <c r="F5996" t="s">
        <v>27246</v>
      </c>
      <c r="G5996" t="s">
        <v>27247</v>
      </c>
      <c r="H5996" t="s">
        <v>27248</v>
      </c>
      <c r="I5996" t="s">
        <v>38859</v>
      </c>
      <c r="J5996" t="s">
        <v>11974</v>
      </c>
      <c r="L5996" t="s">
        <v>27250</v>
      </c>
      <c r="M5996" t="s">
        <v>27251</v>
      </c>
      <c r="N5996" t="s">
        <v>27252</v>
      </c>
      <c r="Q5996" s="1">
        <v>44538</v>
      </c>
      <c r="R5996" t="s">
        <v>27253</v>
      </c>
      <c r="S5996" t="s">
        <v>27254</v>
      </c>
      <c r="T5996" t="s">
        <v>27255</v>
      </c>
    </row>
    <row r="5997" spans="1:20" x14ac:dyDescent="0.3">
      <c r="A5997" t="str">
        <f>"0611835501100"</f>
        <v>0611835501100</v>
      </c>
      <c r="B5997" t="str">
        <f>"LK6081"</f>
        <v>LK6081</v>
      </c>
      <c r="C5997" t="s">
        <v>38860</v>
      </c>
      <c r="D5997" t="s">
        <v>27245</v>
      </c>
      <c r="E5997" t="str">
        <f t="shared" si="93"/>
        <v>001390</v>
      </c>
      <c r="F5997" t="s">
        <v>27246</v>
      </c>
      <c r="G5997" t="s">
        <v>27247</v>
      </c>
      <c r="H5997" t="s">
        <v>27248</v>
      </c>
      <c r="I5997" t="s">
        <v>38861</v>
      </c>
      <c r="J5997" t="s">
        <v>11978</v>
      </c>
      <c r="L5997" t="s">
        <v>27250</v>
      </c>
      <c r="M5997" t="s">
        <v>27251</v>
      </c>
      <c r="N5997" t="s">
        <v>27252</v>
      </c>
      <c r="Q5997" s="1">
        <v>44538</v>
      </c>
      <c r="R5997" t="s">
        <v>27253</v>
      </c>
      <c r="S5997" t="s">
        <v>27254</v>
      </c>
      <c r="T5997" t="s">
        <v>27255</v>
      </c>
    </row>
    <row r="5998" spans="1:20" x14ac:dyDescent="0.3">
      <c r="A5998" t="str">
        <f>"0611835502100"</f>
        <v>0611835502100</v>
      </c>
      <c r="B5998" t="str">
        <f>"LK4435"</f>
        <v>LK4435</v>
      </c>
      <c r="C5998" t="s">
        <v>38862</v>
      </c>
      <c r="D5998" t="s">
        <v>27245</v>
      </c>
      <c r="E5998" t="str">
        <f t="shared" si="93"/>
        <v>001390</v>
      </c>
      <c r="F5998" t="s">
        <v>27246</v>
      </c>
      <c r="G5998" t="s">
        <v>27247</v>
      </c>
      <c r="H5998" t="s">
        <v>27248</v>
      </c>
      <c r="I5998" t="s">
        <v>38863</v>
      </c>
      <c r="J5998" t="s">
        <v>11976</v>
      </c>
      <c r="L5998" t="s">
        <v>27250</v>
      </c>
      <c r="M5998" t="s">
        <v>27251</v>
      </c>
      <c r="N5998" t="s">
        <v>27252</v>
      </c>
      <c r="Q5998" s="1">
        <v>44538</v>
      </c>
      <c r="R5998" t="s">
        <v>27253</v>
      </c>
      <c r="S5998" t="s">
        <v>27254</v>
      </c>
      <c r="T5998" t="s">
        <v>27255</v>
      </c>
    </row>
    <row r="5999" spans="1:20" x14ac:dyDescent="0.3">
      <c r="A5999" t="str">
        <f>"0611835503100"</f>
        <v>0611835503100</v>
      </c>
      <c r="B5999" t="str">
        <f>"LK1963"</f>
        <v>LK1963</v>
      </c>
      <c r="C5999" t="s">
        <v>38864</v>
      </c>
      <c r="D5999" t="s">
        <v>27245</v>
      </c>
      <c r="E5999" t="str">
        <f t="shared" si="93"/>
        <v>001390</v>
      </c>
      <c r="F5999" t="s">
        <v>27246</v>
      </c>
      <c r="G5999" t="s">
        <v>27247</v>
      </c>
      <c r="H5999" t="s">
        <v>27248</v>
      </c>
      <c r="I5999" t="s">
        <v>38865</v>
      </c>
      <c r="J5999" t="s">
        <v>11980</v>
      </c>
      <c r="L5999" t="s">
        <v>27250</v>
      </c>
      <c r="M5999" t="s">
        <v>27251</v>
      </c>
      <c r="N5999" t="s">
        <v>27252</v>
      </c>
      <c r="Q5999" s="1">
        <v>44538</v>
      </c>
      <c r="R5999" t="s">
        <v>27253</v>
      </c>
      <c r="S5999" t="s">
        <v>27254</v>
      </c>
      <c r="T5999" t="s">
        <v>27255</v>
      </c>
    </row>
    <row r="6000" spans="1:20" x14ac:dyDescent="0.3">
      <c r="A6000" t="str">
        <f>"0611835504100"</f>
        <v>0611835504100</v>
      </c>
      <c r="B6000" t="str">
        <f>"LK6244"</f>
        <v>LK6244</v>
      </c>
      <c r="C6000" t="s">
        <v>38866</v>
      </c>
      <c r="D6000" t="s">
        <v>27245</v>
      </c>
      <c r="E6000" t="str">
        <f t="shared" si="93"/>
        <v>001390</v>
      </c>
      <c r="F6000" t="s">
        <v>27246</v>
      </c>
      <c r="G6000" t="s">
        <v>27247</v>
      </c>
      <c r="H6000" t="s">
        <v>27248</v>
      </c>
      <c r="I6000" t="s">
        <v>38867</v>
      </c>
      <c r="J6000" t="s">
        <v>11982</v>
      </c>
      <c r="L6000" t="s">
        <v>27250</v>
      </c>
      <c r="M6000" t="s">
        <v>27251</v>
      </c>
      <c r="N6000" t="s">
        <v>27252</v>
      </c>
      <c r="Q6000" s="1">
        <v>44538</v>
      </c>
      <c r="R6000" t="s">
        <v>27253</v>
      </c>
      <c r="S6000" t="s">
        <v>27254</v>
      </c>
      <c r="T6000" t="s">
        <v>27255</v>
      </c>
    </row>
    <row r="6001" spans="1:20" x14ac:dyDescent="0.3">
      <c r="A6001" t="str">
        <f>"0611835505100"</f>
        <v>0611835505100</v>
      </c>
      <c r="B6001" t="str">
        <f>"LK1964"</f>
        <v>LK1964</v>
      </c>
      <c r="C6001" t="s">
        <v>38868</v>
      </c>
      <c r="D6001" t="s">
        <v>27245</v>
      </c>
      <c r="E6001" t="str">
        <f t="shared" si="93"/>
        <v>001390</v>
      </c>
      <c r="F6001" t="s">
        <v>27246</v>
      </c>
      <c r="G6001" t="s">
        <v>27247</v>
      </c>
      <c r="H6001" t="s">
        <v>27248</v>
      </c>
      <c r="I6001" t="s">
        <v>38869</v>
      </c>
      <c r="J6001" t="s">
        <v>11984</v>
      </c>
      <c r="L6001" t="s">
        <v>27250</v>
      </c>
      <c r="M6001" t="s">
        <v>27251</v>
      </c>
      <c r="N6001" t="s">
        <v>27252</v>
      </c>
      <c r="Q6001" s="1">
        <v>44538</v>
      </c>
      <c r="R6001" t="s">
        <v>27253</v>
      </c>
      <c r="S6001" t="s">
        <v>27254</v>
      </c>
      <c r="T6001" t="s">
        <v>27255</v>
      </c>
    </row>
    <row r="6002" spans="1:20" x14ac:dyDescent="0.3">
      <c r="A6002" t="str">
        <f>"0611835507100"</f>
        <v>0611835507100</v>
      </c>
      <c r="B6002" t="str">
        <f>"LK1965"</f>
        <v>LK1965</v>
      </c>
      <c r="C6002" t="s">
        <v>38870</v>
      </c>
      <c r="D6002" t="s">
        <v>27245</v>
      </c>
      <c r="E6002" t="str">
        <f t="shared" si="93"/>
        <v>001390</v>
      </c>
      <c r="F6002" t="s">
        <v>27246</v>
      </c>
      <c r="G6002" t="s">
        <v>27247</v>
      </c>
      <c r="H6002" t="s">
        <v>27248</v>
      </c>
      <c r="I6002" t="s">
        <v>38871</v>
      </c>
      <c r="J6002" t="s">
        <v>11986</v>
      </c>
      <c r="L6002" t="s">
        <v>27250</v>
      </c>
      <c r="M6002" t="s">
        <v>27251</v>
      </c>
      <c r="N6002" t="s">
        <v>27252</v>
      </c>
      <c r="Q6002" s="1">
        <v>44538</v>
      </c>
      <c r="R6002" t="s">
        <v>27253</v>
      </c>
      <c r="S6002" t="s">
        <v>27254</v>
      </c>
      <c r="T6002" t="s">
        <v>27255</v>
      </c>
    </row>
    <row r="6003" spans="1:20" x14ac:dyDescent="0.3">
      <c r="A6003" t="str">
        <f>"0611835508100"</f>
        <v>0611835508100</v>
      </c>
      <c r="B6003" t="str">
        <f>"LK4318"</f>
        <v>LK4318</v>
      </c>
      <c r="C6003" t="s">
        <v>38872</v>
      </c>
      <c r="D6003" t="s">
        <v>27245</v>
      </c>
      <c r="E6003" t="str">
        <f t="shared" si="93"/>
        <v>001390</v>
      </c>
      <c r="F6003" t="s">
        <v>27246</v>
      </c>
      <c r="G6003" t="s">
        <v>27247</v>
      </c>
      <c r="H6003" t="s">
        <v>27248</v>
      </c>
      <c r="I6003" t="s">
        <v>38873</v>
      </c>
      <c r="J6003" t="s">
        <v>11988</v>
      </c>
      <c r="L6003" t="s">
        <v>27250</v>
      </c>
      <c r="M6003" t="s">
        <v>27251</v>
      </c>
      <c r="N6003" t="s">
        <v>27252</v>
      </c>
      <c r="Q6003" s="1">
        <v>44538</v>
      </c>
      <c r="R6003" t="s">
        <v>27253</v>
      </c>
      <c r="S6003" t="s">
        <v>27254</v>
      </c>
      <c r="T6003" t="s">
        <v>27255</v>
      </c>
    </row>
    <row r="6004" spans="1:20" x14ac:dyDescent="0.3">
      <c r="A6004" t="str">
        <f>"0611835509100"</f>
        <v>0611835509100</v>
      </c>
      <c r="B6004" t="str">
        <f>"LK1966"</f>
        <v>LK1966</v>
      </c>
      <c r="C6004" t="s">
        <v>38874</v>
      </c>
      <c r="D6004" t="s">
        <v>27245</v>
      </c>
      <c r="E6004" t="str">
        <f t="shared" si="93"/>
        <v>001390</v>
      </c>
      <c r="F6004" t="s">
        <v>27246</v>
      </c>
      <c r="G6004" t="s">
        <v>27247</v>
      </c>
      <c r="H6004" t="s">
        <v>27248</v>
      </c>
      <c r="I6004" t="s">
        <v>38875</v>
      </c>
      <c r="J6004" t="s">
        <v>11990</v>
      </c>
      <c r="L6004" t="s">
        <v>27250</v>
      </c>
      <c r="M6004" t="s">
        <v>27251</v>
      </c>
      <c r="N6004" t="s">
        <v>27252</v>
      </c>
      <c r="Q6004" s="1">
        <v>44538</v>
      </c>
      <c r="R6004" t="s">
        <v>27253</v>
      </c>
      <c r="S6004" t="s">
        <v>27254</v>
      </c>
      <c r="T6004" t="s">
        <v>27255</v>
      </c>
    </row>
    <row r="6005" spans="1:20" x14ac:dyDescent="0.3">
      <c r="A6005" t="str">
        <f>"0611835511100"</f>
        <v>0611835511100</v>
      </c>
      <c r="B6005" t="str">
        <f>"LK1967"</f>
        <v>LK1967</v>
      </c>
      <c r="C6005" t="s">
        <v>38876</v>
      </c>
      <c r="D6005" t="s">
        <v>27245</v>
      </c>
      <c r="E6005" t="str">
        <f t="shared" si="93"/>
        <v>001390</v>
      </c>
      <c r="F6005" t="s">
        <v>27246</v>
      </c>
      <c r="G6005" t="s">
        <v>27247</v>
      </c>
      <c r="H6005" t="s">
        <v>27248</v>
      </c>
      <c r="I6005" t="s">
        <v>38877</v>
      </c>
      <c r="J6005" t="s">
        <v>11992</v>
      </c>
      <c r="L6005" t="s">
        <v>27250</v>
      </c>
      <c r="M6005" t="s">
        <v>27251</v>
      </c>
      <c r="N6005" t="s">
        <v>27252</v>
      </c>
      <c r="Q6005" s="1">
        <v>44538</v>
      </c>
      <c r="R6005" t="s">
        <v>27253</v>
      </c>
      <c r="S6005" t="s">
        <v>27254</v>
      </c>
      <c r="T6005" t="s">
        <v>27255</v>
      </c>
    </row>
    <row r="6006" spans="1:20" x14ac:dyDescent="0.3">
      <c r="A6006" t="str">
        <f>"0611835513100"</f>
        <v>0611835513100</v>
      </c>
      <c r="B6006" t="str">
        <f>"MB3291"</f>
        <v>MB3291</v>
      </c>
      <c r="C6006" t="s">
        <v>38878</v>
      </c>
      <c r="D6006" t="s">
        <v>27274</v>
      </c>
      <c r="E6006" t="str">
        <f t="shared" si="93"/>
        <v>001390</v>
      </c>
      <c r="F6006" t="s">
        <v>27246</v>
      </c>
      <c r="G6006" t="s">
        <v>27247</v>
      </c>
      <c r="H6006" t="s">
        <v>27248</v>
      </c>
      <c r="I6006" t="s">
        <v>38879</v>
      </c>
      <c r="J6006" t="s">
        <v>11994</v>
      </c>
      <c r="L6006" t="s">
        <v>27250</v>
      </c>
      <c r="M6006" t="s">
        <v>27251</v>
      </c>
      <c r="N6006" t="s">
        <v>27252</v>
      </c>
      <c r="Q6006" s="1">
        <v>44538</v>
      </c>
      <c r="R6006" t="s">
        <v>27253</v>
      </c>
      <c r="S6006" t="s">
        <v>27254</v>
      </c>
      <c r="T6006" t="s">
        <v>27276</v>
      </c>
    </row>
    <row r="6007" spans="1:20" x14ac:dyDescent="0.3">
      <c r="A6007" t="str">
        <f>"0611835515100"</f>
        <v>0611835515100</v>
      </c>
      <c r="B6007" t="str">
        <f>"LB4170"</f>
        <v>LB4170</v>
      </c>
      <c r="C6007" t="s">
        <v>38880</v>
      </c>
      <c r="D6007" t="s">
        <v>27245</v>
      </c>
      <c r="E6007" t="str">
        <f t="shared" si="93"/>
        <v>001390</v>
      </c>
      <c r="F6007" t="s">
        <v>27246</v>
      </c>
      <c r="G6007" t="s">
        <v>27247</v>
      </c>
      <c r="H6007" t="s">
        <v>27248</v>
      </c>
      <c r="I6007" t="s">
        <v>38881</v>
      </c>
      <c r="J6007" t="s">
        <v>11998</v>
      </c>
      <c r="L6007" t="s">
        <v>27250</v>
      </c>
      <c r="M6007" t="s">
        <v>27251</v>
      </c>
      <c r="N6007" t="s">
        <v>27252</v>
      </c>
      <c r="Q6007" s="1">
        <v>44538</v>
      </c>
      <c r="R6007" t="s">
        <v>27253</v>
      </c>
      <c r="S6007" t="s">
        <v>27254</v>
      </c>
      <c r="T6007" t="s">
        <v>27255</v>
      </c>
    </row>
    <row r="6008" spans="1:20" x14ac:dyDescent="0.3">
      <c r="A6008" t="str">
        <f>"0611835516100"</f>
        <v>0611835516100</v>
      </c>
      <c r="B6008" t="str">
        <f>"LB3267"</f>
        <v>LB3267</v>
      </c>
      <c r="C6008" t="s">
        <v>38882</v>
      </c>
      <c r="D6008" t="s">
        <v>27245</v>
      </c>
      <c r="E6008" t="str">
        <f t="shared" si="93"/>
        <v>001390</v>
      </c>
      <c r="F6008" t="s">
        <v>27246</v>
      </c>
      <c r="G6008" t="s">
        <v>27247</v>
      </c>
      <c r="H6008" t="s">
        <v>27248</v>
      </c>
      <c r="I6008" t="s">
        <v>38883</v>
      </c>
      <c r="J6008" t="s">
        <v>12000</v>
      </c>
      <c r="L6008" t="s">
        <v>27250</v>
      </c>
      <c r="M6008" t="s">
        <v>27251</v>
      </c>
      <c r="N6008" t="s">
        <v>27252</v>
      </c>
      <c r="Q6008" s="1">
        <v>44538</v>
      </c>
      <c r="R6008" t="s">
        <v>27253</v>
      </c>
      <c r="S6008" t="s">
        <v>27254</v>
      </c>
      <c r="T6008" t="s">
        <v>27255</v>
      </c>
    </row>
    <row r="6009" spans="1:20" x14ac:dyDescent="0.3">
      <c r="A6009" t="str">
        <f>"0611835517100"</f>
        <v>0611835517100</v>
      </c>
      <c r="B6009" t="str">
        <f>"LB3275"</f>
        <v>LB3275</v>
      </c>
      <c r="C6009" t="s">
        <v>38884</v>
      </c>
      <c r="D6009" t="s">
        <v>27245</v>
      </c>
      <c r="E6009" t="str">
        <f t="shared" si="93"/>
        <v>001390</v>
      </c>
      <c r="F6009" t="s">
        <v>27246</v>
      </c>
      <c r="G6009" t="s">
        <v>27247</v>
      </c>
      <c r="H6009" t="s">
        <v>27248</v>
      </c>
      <c r="I6009" t="s">
        <v>38885</v>
      </c>
      <c r="J6009" t="s">
        <v>12002</v>
      </c>
      <c r="L6009" t="s">
        <v>27250</v>
      </c>
      <c r="M6009" t="s">
        <v>27251</v>
      </c>
      <c r="N6009" t="s">
        <v>27252</v>
      </c>
      <c r="Q6009" s="1">
        <v>44538</v>
      </c>
      <c r="R6009" t="s">
        <v>27253</v>
      </c>
      <c r="S6009" t="s">
        <v>27254</v>
      </c>
      <c r="T6009" t="s">
        <v>27255</v>
      </c>
    </row>
    <row r="6010" spans="1:20" x14ac:dyDescent="0.3">
      <c r="A6010" t="str">
        <f>"0611835518100"</f>
        <v>0611835518100</v>
      </c>
      <c r="B6010" t="str">
        <f>"LB4171"</f>
        <v>LB4171</v>
      </c>
      <c r="C6010" t="s">
        <v>38886</v>
      </c>
      <c r="D6010" t="s">
        <v>27245</v>
      </c>
      <c r="E6010" t="str">
        <f t="shared" si="93"/>
        <v>001390</v>
      </c>
      <c r="F6010" t="s">
        <v>27246</v>
      </c>
      <c r="G6010" t="s">
        <v>27247</v>
      </c>
      <c r="H6010" t="s">
        <v>27248</v>
      </c>
      <c r="I6010" t="s">
        <v>38887</v>
      </c>
      <c r="J6010" t="s">
        <v>12004</v>
      </c>
      <c r="L6010" t="s">
        <v>27250</v>
      </c>
      <c r="M6010" t="s">
        <v>27251</v>
      </c>
      <c r="N6010" t="s">
        <v>27252</v>
      </c>
      <c r="Q6010" s="1">
        <v>44538</v>
      </c>
      <c r="R6010" t="s">
        <v>27253</v>
      </c>
      <c r="S6010" t="s">
        <v>27254</v>
      </c>
      <c r="T6010" t="s">
        <v>27255</v>
      </c>
    </row>
    <row r="6011" spans="1:20" x14ac:dyDescent="0.3">
      <c r="A6011" t="str">
        <f>"0611835519100"</f>
        <v>0611835519100</v>
      </c>
      <c r="B6011" t="str">
        <f>"LB3282"</f>
        <v>LB3282</v>
      </c>
      <c r="C6011" t="s">
        <v>38888</v>
      </c>
      <c r="D6011" t="s">
        <v>27245</v>
      </c>
      <c r="E6011" t="str">
        <f t="shared" si="93"/>
        <v>001390</v>
      </c>
      <c r="F6011" t="s">
        <v>27246</v>
      </c>
      <c r="G6011" t="s">
        <v>27247</v>
      </c>
      <c r="H6011" t="s">
        <v>27248</v>
      </c>
      <c r="I6011" t="s">
        <v>38889</v>
      </c>
      <c r="J6011" t="s">
        <v>12008</v>
      </c>
      <c r="L6011" t="s">
        <v>27250</v>
      </c>
      <c r="M6011" t="s">
        <v>27251</v>
      </c>
      <c r="N6011" t="s">
        <v>27252</v>
      </c>
      <c r="Q6011" s="1">
        <v>44538</v>
      </c>
      <c r="R6011" t="s">
        <v>27253</v>
      </c>
      <c r="S6011" t="s">
        <v>27254</v>
      </c>
      <c r="T6011" t="s">
        <v>27255</v>
      </c>
    </row>
    <row r="6012" spans="1:20" x14ac:dyDescent="0.3">
      <c r="A6012" t="str">
        <f>"0611835520100"</f>
        <v>0611835520100</v>
      </c>
      <c r="B6012" t="str">
        <f>"LB3338"</f>
        <v>LB3338</v>
      </c>
      <c r="C6012" t="s">
        <v>38890</v>
      </c>
      <c r="D6012" t="s">
        <v>27245</v>
      </c>
      <c r="E6012" t="str">
        <f t="shared" si="93"/>
        <v>001390</v>
      </c>
      <c r="F6012" t="s">
        <v>27246</v>
      </c>
      <c r="G6012" t="s">
        <v>27247</v>
      </c>
      <c r="H6012" t="s">
        <v>27248</v>
      </c>
      <c r="I6012" t="s">
        <v>38891</v>
      </c>
      <c r="J6012" t="s">
        <v>12006</v>
      </c>
      <c r="L6012" t="s">
        <v>27250</v>
      </c>
      <c r="M6012" t="s">
        <v>27251</v>
      </c>
      <c r="N6012" t="s">
        <v>27252</v>
      </c>
      <c r="Q6012" s="1">
        <v>44538</v>
      </c>
      <c r="R6012" t="s">
        <v>27253</v>
      </c>
      <c r="S6012" t="s">
        <v>27254</v>
      </c>
      <c r="T6012" t="s">
        <v>27255</v>
      </c>
    </row>
    <row r="6013" spans="1:20" x14ac:dyDescent="0.3">
      <c r="A6013" t="str">
        <f>"0611835521100"</f>
        <v>0611835521100</v>
      </c>
      <c r="B6013" t="str">
        <f>"LB3283"</f>
        <v>LB3283</v>
      </c>
      <c r="C6013" t="s">
        <v>38892</v>
      </c>
      <c r="D6013" t="s">
        <v>27245</v>
      </c>
      <c r="E6013" t="str">
        <f t="shared" si="93"/>
        <v>001390</v>
      </c>
      <c r="F6013" t="s">
        <v>27246</v>
      </c>
      <c r="G6013" t="s">
        <v>27247</v>
      </c>
      <c r="H6013" t="s">
        <v>27248</v>
      </c>
      <c r="I6013" t="s">
        <v>38893</v>
      </c>
      <c r="J6013" t="s">
        <v>12010</v>
      </c>
      <c r="L6013" t="s">
        <v>27250</v>
      </c>
      <c r="M6013" t="s">
        <v>27251</v>
      </c>
      <c r="N6013" t="s">
        <v>27252</v>
      </c>
      <c r="Q6013" s="1">
        <v>44538</v>
      </c>
      <c r="R6013" t="s">
        <v>27253</v>
      </c>
      <c r="S6013" t="s">
        <v>27254</v>
      </c>
      <c r="T6013" t="s">
        <v>27255</v>
      </c>
    </row>
    <row r="6014" spans="1:20" x14ac:dyDescent="0.3">
      <c r="A6014" t="str">
        <f>"0611835522100"</f>
        <v>0611835522100</v>
      </c>
      <c r="B6014" t="str">
        <f>"LB3339"</f>
        <v>LB3339</v>
      </c>
      <c r="C6014" t="s">
        <v>38894</v>
      </c>
      <c r="D6014" t="s">
        <v>27245</v>
      </c>
      <c r="E6014" t="str">
        <f t="shared" si="93"/>
        <v>001390</v>
      </c>
      <c r="F6014" t="s">
        <v>27246</v>
      </c>
      <c r="G6014" t="s">
        <v>27247</v>
      </c>
      <c r="H6014" t="s">
        <v>27248</v>
      </c>
      <c r="I6014" t="s">
        <v>38895</v>
      </c>
      <c r="J6014" t="s">
        <v>12012</v>
      </c>
      <c r="L6014" t="s">
        <v>27250</v>
      </c>
      <c r="M6014" t="s">
        <v>27251</v>
      </c>
      <c r="N6014" t="s">
        <v>27252</v>
      </c>
      <c r="Q6014" s="1">
        <v>44538</v>
      </c>
      <c r="R6014" t="s">
        <v>27253</v>
      </c>
      <c r="S6014" t="s">
        <v>27254</v>
      </c>
      <c r="T6014" t="s">
        <v>27255</v>
      </c>
    </row>
    <row r="6015" spans="1:20" x14ac:dyDescent="0.3">
      <c r="A6015" t="str">
        <f>"0611835523100"</f>
        <v>0611835523100</v>
      </c>
      <c r="B6015" t="str">
        <f>"LB3340"</f>
        <v>LB3340</v>
      </c>
      <c r="C6015" t="s">
        <v>38896</v>
      </c>
      <c r="D6015" t="s">
        <v>27245</v>
      </c>
      <c r="E6015" t="str">
        <f t="shared" si="93"/>
        <v>001390</v>
      </c>
      <c r="F6015" t="s">
        <v>27246</v>
      </c>
      <c r="G6015" t="s">
        <v>27247</v>
      </c>
      <c r="H6015" t="s">
        <v>27248</v>
      </c>
      <c r="I6015" t="s">
        <v>38897</v>
      </c>
      <c r="J6015" t="s">
        <v>12014</v>
      </c>
      <c r="L6015" t="s">
        <v>27250</v>
      </c>
      <c r="M6015" t="s">
        <v>27251</v>
      </c>
      <c r="N6015" t="s">
        <v>27252</v>
      </c>
      <c r="Q6015" s="1">
        <v>44538</v>
      </c>
      <c r="R6015" t="s">
        <v>27253</v>
      </c>
      <c r="S6015" t="s">
        <v>27254</v>
      </c>
      <c r="T6015" t="s">
        <v>27255</v>
      </c>
    </row>
    <row r="6016" spans="1:20" x14ac:dyDescent="0.3">
      <c r="A6016" t="str">
        <f>"0611835524100"</f>
        <v>0611835524100</v>
      </c>
      <c r="B6016" t="str">
        <f>"LK4687"</f>
        <v>LK4687</v>
      </c>
      <c r="C6016" t="s">
        <v>38898</v>
      </c>
      <c r="D6016" t="s">
        <v>27245</v>
      </c>
      <c r="E6016" t="str">
        <f t="shared" si="93"/>
        <v>001390</v>
      </c>
      <c r="F6016" t="s">
        <v>27246</v>
      </c>
      <c r="G6016" t="s">
        <v>27247</v>
      </c>
      <c r="H6016" t="s">
        <v>27248</v>
      </c>
      <c r="I6016" t="s">
        <v>38899</v>
      </c>
      <c r="J6016" t="s">
        <v>12700</v>
      </c>
      <c r="L6016" t="s">
        <v>27250</v>
      </c>
      <c r="M6016" t="s">
        <v>27251</v>
      </c>
      <c r="N6016" t="s">
        <v>27252</v>
      </c>
      <c r="Q6016" s="1">
        <v>44538</v>
      </c>
      <c r="R6016" t="s">
        <v>27253</v>
      </c>
      <c r="S6016" t="s">
        <v>27254</v>
      </c>
      <c r="T6016" t="s">
        <v>27255</v>
      </c>
    </row>
    <row r="6017" spans="1:20" x14ac:dyDescent="0.3">
      <c r="A6017" t="str">
        <f>"0611835525100"</f>
        <v>0611835525100</v>
      </c>
      <c r="B6017" t="str">
        <f>"LK4483"</f>
        <v>LK4483</v>
      </c>
      <c r="C6017" t="s">
        <v>38900</v>
      </c>
      <c r="D6017" t="s">
        <v>27245</v>
      </c>
      <c r="E6017" t="str">
        <f t="shared" si="93"/>
        <v>001390</v>
      </c>
      <c r="F6017" t="s">
        <v>27246</v>
      </c>
      <c r="G6017" t="s">
        <v>27247</v>
      </c>
      <c r="H6017" t="s">
        <v>27248</v>
      </c>
      <c r="I6017" t="s">
        <v>38901</v>
      </c>
      <c r="J6017" t="s">
        <v>12718</v>
      </c>
      <c r="L6017" t="s">
        <v>27250</v>
      </c>
      <c r="M6017" t="s">
        <v>27251</v>
      </c>
      <c r="N6017" t="s">
        <v>27252</v>
      </c>
      <c r="Q6017" s="1">
        <v>44538</v>
      </c>
      <c r="R6017" t="s">
        <v>27253</v>
      </c>
      <c r="S6017" t="s">
        <v>27254</v>
      </c>
      <c r="T6017" t="s">
        <v>27255</v>
      </c>
    </row>
    <row r="6018" spans="1:20" x14ac:dyDescent="0.3">
      <c r="A6018" t="str">
        <f>"0611835526100"</f>
        <v>0611835526100</v>
      </c>
      <c r="B6018" t="str">
        <f>"LK4848"</f>
        <v>LK4848</v>
      </c>
      <c r="C6018" t="s">
        <v>38902</v>
      </c>
      <c r="D6018" t="s">
        <v>27245</v>
      </c>
      <c r="E6018" t="str">
        <f t="shared" ref="E6018:E6081" si="94">"001390"</f>
        <v>001390</v>
      </c>
      <c r="F6018" t="s">
        <v>27246</v>
      </c>
      <c r="G6018" t="s">
        <v>27247</v>
      </c>
      <c r="H6018" t="s">
        <v>27248</v>
      </c>
      <c r="I6018" t="s">
        <v>38903</v>
      </c>
      <c r="J6018" t="s">
        <v>12726</v>
      </c>
      <c r="L6018" t="s">
        <v>27250</v>
      </c>
      <c r="M6018" t="s">
        <v>27251</v>
      </c>
      <c r="N6018" t="s">
        <v>27252</v>
      </c>
      <c r="Q6018" s="1">
        <v>44538</v>
      </c>
      <c r="R6018" t="s">
        <v>27253</v>
      </c>
      <c r="S6018" t="s">
        <v>27254</v>
      </c>
      <c r="T6018" t="s">
        <v>27255</v>
      </c>
    </row>
    <row r="6019" spans="1:20" x14ac:dyDescent="0.3">
      <c r="A6019" t="str">
        <f>"0611835529100"</f>
        <v>0611835529100</v>
      </c>
      <c r="B6019" t="str">
        <f>"LK4485"</f>
        <v>LK4485</v>
      </c>
      <c r="C6019" t="s">
        <v>38904</v>
      </c>
      <c r="D6019" t="s">
        <v>27245</v>
      </c>
      <c r="E6019" t="str">
        <f t="shared" si="94"/>
        <v>001390</v>
      </c>
      <c r="F6019" t="s">
        <v>27246</v>
      </c>
      <c r="G6019" t="s">
        <v>27247</v>
      </c>
      <c r="H6019" t="s">
        <v>27248</v>
      </c>
      <c r="I6019" t="s">
        <v>38905</v>
      </c>
      <c r="J6019" t="s">
        <v>12734</v>
      </c>
      <c r="L6019" t="s">
        <v>27250</v>
      </c>
      <c r="M6019" t="s">
        <v>27251</v>
      </c>
      <c r="N6019" t="s">
        <v>27252</v>
      </c>
      <c r="Q6019" s="1">
        <v>44538</v>
      </c>
      <c r="R6019" t="s">
        <v>27253</v>
      </c>
      <c r="S6019" t="s">
        <v>27254</v>
      </c>
      <c r="T6019" t="s">
        <v>27255</v>
      </c>
    </row>
    <row r="6020" spans="1:20" x14ac:dyDescent="0.3">
      <c r="A6020" t="str">
        <f>"0611835530100"</f>
        <v>0611835530100</v>
      </c>
      <c r="B6020" t="str">
        <f>"LK5475"</f>
        <v>LK5475</v>
      </c>
      <c r="C6020" t="s">
        <v>38906</v>
      </c>
      <c r="D6020" t="s">
        <v>28138</v>
      </c>
      <c r="E6020" t="str">
        <f t="shared" si="94"/>
        <v>001390</v>
      </c>
      <c r="F6020" t="s">
        <v>27246</v>
      </c>
      <c r="G6020" t="s">
        <v>27247</v>
      </c>
      <c r="H6020" t="s">
        <v>27248</v>
      </c>
      <c r="I6020" t="s">
        <v>38907</v>
      </c>
      <c r="J6020" t="s">
        <v>12016</v>
      </c>
      <c r="L6020" t="s">
        <v>27250</v>
      </c>
      <c r="M6020" t="s">
        <v>27251</v>
      </c>
      <c r="N6020" t="s">
        <v>27252</v>
      </c>
      <c r="P6020" t="s">
        <v>27925</v>
      </c>
      <c r="Q6020" s="1">
        <v>44538</v>
      </c>
      <c r="R6020" t="s">
        <v>27253</v>
      </c>
      <c r="S6020" t="s">
        <v>27254</v>
      </c>
      <c r="T6020" t="s">
        <v>27255</v>
      </c>
    </row>
    <row r="6021" spans="1:20" x14ac:dyDescent="0.3">
      <c r="A6021" t="str">
        <f>"0611835531100"</f>
        <v>0611835531100</v>
      </c>
      <c r="B6021" t="str">
        <f>"LK5476"</f>
        <v>LK5476</v>
      </c>
      <c r="C6021" t="s">
        <v>38908</v>
      </c>
      <c r="D6021" t="s">
        <v>28138</v>
      </c>
      <c r="E6021" t="str">
        <f t="shared" si="94"/>
        <v>001390</v>
      </c>
      <c r="F6021" t="s">
        <v>27246</v>
      </c>
      <c r="G6021" t="s">
        <v>27247</v>
      </c>
      <c r="H6021" t="s">
        <v>27248</v>
      </c>
      <c r="I6021" t="s">
        <v>38909</v>
      </c>
      <c r="J6021" t="s">
        <v>12018</v>
      </c>
      <c r="L6021" t="s">
        <v>27250</v>
      </c>
      <c r="M6021" t="s">
        <v>27251</v>
      </c>
      <c r="N6021" t="s">
        <v>27252</v>
      </c>
      <c r="P6021" t="s">
        <v>27925</v>
      </c>
      <c r="Q6021" s="1">
        <v>44538</v>
      </c>
      <c r="R6021" t="s">
        <v>27253</v>
      </c>
      <c r="S6021" t="s">
        <v>27254</v>
      </c>
      <c r="T6021" t="s">
        <v>27255</v>
      </c>
    </row>
    <row r="6022" spans="1:20" x14ac:dyDescent="0.3">
      <c r="A6022" t="str">
        <f>"0611835532100"</f>
        <v>0611835532100</v>
      </c>
      <c r="B6022" t="str">
        <f>"LK5477"</f>
        <v>LK5477</v>
      </c>
      <c r="C6022" t="s">
        <v>38910</v>
      </c>
      <c r="D6022" t="s">
        <v>28138</v>
      </c>
      <c r="E6022" t="str">
        <f t="shared" si="94"/>
        <v>001390</v>
      </c>
      <c r="F6022" t="s">
        <v>27246</v>
      </c>
      <c r="G6022" t="s">
        <v>27247</v>
      </c>
      <c r="H6022" t="s">
        <v>27248</v>
      </c>
      <c r="I6022" t="s">
        <v>38911</v>
      </c>
      <c r="J6022" t="s">
        <v>12020</v>
      </c>
      <c r="L6022" t="s">
        <v>27250</v>
      </c>
      <c r="M6022" t="s">
        <v>27251</v>
      </c>
      <c r="N6022" t="s">
        <v>27252</v>
      </c>
      <c r="P6022" t="s">
        <v>27925</v>
      </c>
      <c r="Q6022" s="1">
        <v>44538</v>
      </c>
      <c r="R6022" t="s">
        <v>27253</v>
      </c>
      <c r="S6022" t="s">
        <v>27254</v>
      </c>
      <c r="T6022" t="s">
        <v>27255</v>
      </c>
    </row>
    <row r="6023" spans="1:20" x14ac:dyDescent="0.3">
      <c r="A6023" t="str">
        <f>"0611835533100"</f>
        <v>0611835533100</v>
      </c>
      <c r="B6023" t="str">
        <f>"LK5545"</f>
        <v>LK5545</v>
      </c>
      <c r="C6023" t="s">
        <v>38912</v>
      </c>
      <c r="D6023" t="s">
        <v>28138</v>
      </c>
      <c r="E6023" t="str">
        <f t="shared" si="94"/>
        <v>001390</v>
      </c>
      <c r="F6023" t="s">
        <v>27246</v>
      </c>
      <c r="G6023" t="s">
        <v>27247</v>
      </c>
      <c r="H6023" t="s">
        <v>27248</v>
      </c>
      <c r="I6023" t="s">
        <v>38913</v>
      </c>
      <c r="J6023" t="s">
        <v>12022</v>
      </c>
      <c r="L6023" t="s">
        <v>27250</v>
      </c>
      <c r="M6023" t="s">
        <v>27251</v>
      </c>
      <c r="N6023" t="s">
        <v>27252</v>
      </c>
      <c r="P6023" t="s">
        <v>27925</v>
      </c>
      <c r="Q6023" s="1">
        <v>44538</v>
      </c>
      <c r="R6023" t="s">
        <v>27253</v>
      </c>
      <c r="S6023" t="s">
        <v>27254</v>
      </c>
      <c r="T6023" t="s">
        <v>27255</v>
      </c>
    </row>
    <row r="6024" spans="1:20" x14ac:dyDescent="0.3">
      <c r="A6024" t="str">
        <f>"0611835534100"</f>
        <v>0611835534100</v>
      </c>
      <c r="B6024" t="str">
        <f>"LK5478"</f>
        <v>LK5478</v>
      </c>
      <c r="C6024" t="s">
        <v>38914</v>
      </c>
      <c r="D6024" t="s">
        <v>28138</v>
      </c>
      <c r="E6024" t="str">
        <f t="shared" si="94"/>
        <v>001390</v>
      </c>
      <c r="F6024" t="s">
        <v>27246</v>
      </c>
      <c r="G6024" t="s">
        <v>27247</v>
      </c>
      <c r="H6024" t="s">
        <v>27248</v>
      </c>
      <c r="I6024" t="s">
        <v>38915</v>
      </c>
      <c r="J6024" t="s">
        <v>12024</v>
      </c>
      <c r="L6024" t="s">
        <v>27250</v>
      </c>
      <c r="M6024" t="s">
        <v>27251</v>
      </c>
      <c r="N6024" t="s">
        <v>27252</v>
      </c>
      <c r="P6024" t="s">
        <v>27925</v>
      </c>
      <c r="Q6024" s="1">
        <v>44538</v>
      </c>
      <c r="R6024" t="s">
        <v>27253</v>
      </c>
      <c r="S6024" t="s">
        <v>27254</v>
      </c>
      <c r="T6024" t="s">
        <v>27255</v>
      </c>
    </row>
    <row r="6025" spans="1:20" x14ac:dyDescent="0.3">
      <c r="A6025" t="str">
        <f>"0611835535100"</f>
        <v>0611835535100</v>
      </c>
      <c r="B6025" t="str">
        <f>"LK5479"</f>
        <v>LK5479</v>
      </c>
      <c r="C6025" t="s">
        <v>38916</v>
      </c>
      <c r="D6025" t="s">
        <v>28138</v>
      </c>
      <c r="E6025" t="str">
        <f t="shared" si="94"/>
        <v>001390</v>
      </c>
      <c r="F6025" t="s">
        <v>27246</v>
      </c>
      <c r="G6025" t="s">
        <v>27247</v>
      </c>
      <c r="H6025" t="s">
        <v>27248</v>
      </c>
      <c r="I6025" t="s">
        <v>38917</v>
      </c>
      <c r="J6025" t="s">
        <v>12026</v>
      </c>
      <c r="L6025" t="s">
        <v>27250</v>
      </c>
      <c r="M6025" t="s">
        <v>27251</v>
      </c>
      <c r="N6025" t="s">
        <v>27252</v>
      </c>
      <c r="P6025" t="s">
        <v>27925</v>
      </c>
      <c r="Q6025" s="1">
        <v>44538</v>
      </c>
      <c r="R6025" t="s">
        <v>27253</v>
      </c>
      <c r="S6025" t="s">
        <v>27254</v>
      </c>
      <c r="T6025" t="s">
        <v>27255</v>
      </c>
    </row>
    <row r="6026" spans="1:20" x14ac:dyDescent="0.3">
      <c r="A6026" t="str">
        <f>"0611835618100"</f>
        <v>0611835618100</v>
      </c>
      <c r="B6026" t="str">
        <f>"MB3290"</f>
        <v>MB3290</v>
      </c>
      <c r="C6026" t="s">
        <v>38918</v>
      </c>
      <c r="D6026" t="s">
        <v>27274</v>
      </c>
      <c r="E6026" t="str">
        <f t="shared" si="94"/>
        <v>001390</v>
      </c>
      <c r="F6026" t="s">
        <v>27246</v>
      </c>
      <c r="G6026" t="s">
        <v>27247</v>
      </c>
      <c r="H6026" t="s">
        <v>27248</v>
      </c>
      <c r="I6026" t="s">
        <v>38919</v>
      </c>
      <c r="J6026" t="s">
        <v>12028</v>
      </c>
      <c r="L6026" t="s">
        <v>27250</v>
      </c>
      <c r="M6026" t="s">
        <v>27251</v>
      </c>
      <c r="N6026" t="s">
        <v>27252</v>
      </c>
      <c r="Q6026" s="1">
        <v>44538</v>
      </c>
      <c r="R6026" t="s">
        <v>27253</v>
      </c>
      <c r="S6026" t="s">
        <v>27254</v>
      </c>
      <c r="T6026" t="s">
        <v>27276</v>
      </c>
    </row>
    <row r="6027" spans="1:20" x14ac:dyDescent="0.3">
      <c r="A6027" t="str">
        <f>"0611835619025"</f>
        <v>0611835619025</v>
      </c>
      <c r="B6027" t="str">
        <f>"MC2303"</f>
        <v>MC2303</v>
      </c>
      <c r="C6027" t="s">
        <v>38918</v>
      </c>
      <c r="D6027" t="s">
        <v>27267</v>
      </c>
      <c r="E6027" t="str">
        <f t="shared" si="94"/>
        <v>001390</v>
      </c>
      <c r="F6027" t="s">
        <v>27246</v>
      </c>
      <c r="G6027" t="s">
        <v>27247</v>
      </c>
      <c r="H6027" t="s">
        <v>27248</v>
      </c>
      <c r="I6027" t="s">
        <v>38920</v>
      </c>
      <c r="J6027" t="s">
        <v>12030</v>
      </c>
      <c r="L6027" t="s">
        <v>27250</v>
      </c>
      <c r="M6027" t="s">
        <v>27251</v>
      </c>
      <c r="N6027" t="s">
        <v>27252</v>
      </c>
      <c r="Q6027" s="1">
        <v>44538</v>
      </c>
      <c r="R6027" t="s">
        <v>27253</v>
      </c>
      <c r="S6027" t="s">
        <v>27254</v>
      </c>
      <c r="T6027" t="s">
        <v>27269</v>
      </c>
    </row>
    <row r="6028" spans="1:20" x14ac:dyDescent="0.3">
      <c r="A6028" t="str">
        <f>"0611835537100"</f>
        <v>0611835537100</v>
      </c>
      <c r="B6028" t="str">
        <f>"LS0043"</f>
        <v>LS0043</v>
      </c>
      <c r="C6028" t="s">
        <v>38921</v>
      </c>
      <c r="D6028" t="s">
        <v>27245</v>
      </c>
      <c r="E6028" t="str">
        <f t="shared" si="94"/>
        <v>001390</v>
      </c>
      <c r="F6028" t="s">
        <v>27246</v>
      </c>
      <c r="G6028" t="s">
        <v>27247</v>
      </c>
      <c r="H6028" t="s">
        <v>27248</v>
      </c>
      <c r="I6028" t="s">
        <v>38922</v>
      </c>
      <c r="J6028" t="s">
        <v>12032</v>
      </c>
      <c r="L6028" t="s">
        <v>27250</v>
      </c>
      <c r="M6028" t="s">
        <v>27251</v>
      </c>
      <c r="N6028" t="s">
        <v>27252</v>
      </c>
      <c r="Q6028" s="1">
        <v>44538</v>
      </c>
      <c r="R6028" t="s">
        <v>27253</v>
      </c>
      <c r="S6028" t="s">
        <v>27254</v>
      </c>
      <c r="T6028" t="s">
        <v>27255</v>
      </c>
    </row>
    <row r="6029" spans="1:20" x14ac:dyDescent="0.3">
      <c r="A6029" t="str">
        <f>"0611835540100"</f>
        <v>0611835540100</v>
      </c>
      <c r="B6029" t="str">
        <f>"LQ5358"</f>
        <v>LQ5358</v>
      </c>
      <c r="C6029" t="s">
        <v>38923</v>
      </c>
      <c r="D6029" t="s">
        <v>27245</v>
      </c>
      <c r="E6029" t="str">
        <f t="shared" si="94"/>
        <v>001390</v>
      </c>
      <c r="F6029" t="s">
        <v>27246</v>
      </c>
      <c r="G6029" t="s">
        <v>27247</v>
      </c>
      <c r="H6029" t="s">
        <v>27248</v>
      </c>
      <c r="I6029" t="s">
        <v>38924</v>
      </c>
      <c r="J6029" t="s">
        <v>12034</v>
      </c>
      <c r="L6029" t="s">
        <v>27250</v>
      </c>
      <c r="M6029" t="s">
        <v>27251</v>
      </c>
      <c r="N6029" t="s">
        <v>27252</v>
      </c>
      <c r="Q6029" s="1">
        <v>44538</v>
      </c>
      <c r="R6029" t="s">
        <v>27253</v>
      </c>
      <c r="S6029" t="s">
        <v>27254</v>
      </c>
      <c r="T6029" t="s">
        <v>27255</v>
      </c>
    </row>
    <row r="6030" spans="1:20" x14ac:dyDescent="0.3">
      <c r="A6030" t="str">
        <f>"0611835541100"</f>
        <v>0611835541100</v>
      </c>
      <c r="B6030" t="str">
        <f>"LK6797"</f>
        <v>LK6797</v>
      </c>
      <c r="C6030" t="s">
        <v>38925</v>
      </c>
      <c r="D6030" t="s">
        <v>27245</v>
      </c>
      <c r="E6030" t="str">
        <f t="shared" si="94"/>
        <v>001390</v>
      </c>
      <c r="F6030" t="s">
        <v>27246</v>
      </c>
      <c r="G6030" t="s">
        <v>27247</v>
      </c>
      <c r="H6030" t="s">
        <v>27248</v>
      </c>
      <c r="I6030" t="s">
        <v>38926</v>
      </c>
      <c r="J6030" t="s">
        <v>12036</v>
      </c>
      <c r="L6030" t="s">
        <v>27250</v>
      </c>
      <c r="M6030" t="s">
        <v>27251</v>
      </c>
      <c r="N6030" t="s">
        <v>27252</v>
      </c>
      <c r="Q6030" s="1">
        <v>44538</v>
      </c>
      <c r="R6030" t="s">
        <v>27253</v>
      </c>
      <c r="S6030" t="s">
        <v>27254</v>
      </c>
      <c r="T6030" t="s">
        <v>27255</v>
      </c>
    </row>
    <row r="6031" spans="1:20" x14ac:dyDescent="0.3">
      <c r="A6031" t="str">
        <f>"0611835542100"</f>
        <v>0611835542100</v>
      </c>
      <c r="B6031" t="str">
        <f>"LQ6140"</f>
        <v>LQ6140</v>
      </c>
      <c r="C6031" t="s">
        <v>38927</v>
      </c>
      <c r="D6031" t="s">
        <v>27245</v>
      </c>
      <c r="E6031" t="str">
        <f t="shared" si="94"/>
        <v>001390</v>
      </c>
      <c r="F6031" t="s">
        <v>27246</v>
      </c>
      <c r="G6031" t="s">
        <v>27247</v>
      </c>
      <c r="H6031" t="s">
        <v>27248</v>
      </c>
      <c r="I6031" t="s">
        <v>38928</v>
      </c>
      <c r="J6031" t="s">
        <v>12038</v>
      </c>
      <c r="L6031" t="s">
        <v>27250</v>
      </c>
      <c r="M6031" t="s">
        <v>27251</v>
      </c>
      <c r="N6031" t="s">
        <v>27252</v>
      </c>
      <c r="Q6031" s="1">
        <v>44538</v>
      </c>
      <c r="R6031" t="s">
        <v>27253</v>
      </c>
      <c r="S6031" t="s">
        <v>27254</v>
      </c>
      <c r="T6031" t="s">
        <v>27255</v>
      </c>
    </row>
    <row r="6032" spans="1:20" x14ac:dyDescent="0.3">
      <c r="A6032" t="str">
        <f>"0611835543100"</f>
        <v>0611835543100</v>
      </c>
      <c r="B6032" t="str">
        <f>"LQ6141"</f>
        <v>LQ6141</v>
      </c>
      <c r="C6032" t="s">
        <v>38929</v>
      </c>
      <c r="D6032" t="s">
        <v>27245</v>
      </c>
      <c r="E6032" t="str">
        <f t="shared" si="94"/>
        <v>001390</v>
      </c>
      <c r="F6032" t="s">
        <v>27246</v>
      </c>
      <c r="G6032" t="s">
        <v>27247</v>
      </c>
      <c r="H6032" t="s">
        <v>27248</v>
      </c>
      <c r="I6032" t="s">
        <v>38930</v>
      </c>
      <c r="J6032" t="s">
        <v>12040</v>
      </c>
      <c r="L6032" t="s">
        <v>27250</v>
      </c>
      <c r="M6032" t="s">
        <v>27251</v>
      </c>
      <c r="N6032" t="s">
        <v>27252</v>
      </c>
      <c r="Q6032" s="1">
        <v>44538</v>
      </c>
      <c r="R6032" t="s">
        <v>27253</v>
      </c>
      <c r="S6032" t="s">
        <v>27254</v>
      </c>
      <c r="T6032" t="s">
        <v>27255</v>
      </c>
    </row>
    <row r="6033" spans="1:20" x14ac:dyDescent="0.3">
      <c r="A6033" t="str">
        <f>"0611835545100"</f>
        <v>0611835545100</v>
      </c>
      <c r="B6033" t="str">
        <f>"LQ6082"</f>
        <v>LQ6082</v>
      </c>
      <c r="C6033" t="s">
        <v>38931</v>
      </c>
      <c r="D6033" t="s">
        <v>27245</v>
      </c>
      <c r="E6033" t="str">
        <f t="shared" si="94"/>
        <v>001390</v>
      </c>
      <c r="F6033" t="s">
        <v>27246</v>
      </c>
      <c r="G6033" t="s">
        <v>27247</v>
      </c>
      <c r="H6033" t="s">
        <v>27248</v>
      </c>
      <c r="I6033" t="s">
        <v>38932</v>
      </c>
      <c r="J6033" t="s">
        <v>12042</v>
      </c>
      <c r="L6033" t="s">
        <v>27250</v>
      </c>
      <c r="M6033" t="s">
        <v>27251</v>
      </c>
      <c r="N6033" t="s">
        <v>27252</v>
      </c>
      <c r="Q6033" s="1">
        <v>44538</v>
      </c>
      <c r="R6033" t="s">
        <v>27253</v>
      </c>
      <c r="S6033" t="s">
        <v>27254</v>
      </c>
      <c r="T6033" t="s">
        <v>27255</v>
      </c>
    </row>
    <row r="6034" spans="1:20" x14ac:dyDescent="0.3">
      <c r="A6034" t="str">
        <f>"0611835546100"</f>
        <v>0611835546100</v>
      </c>
      <c r="B6034" t="str">
        <f>"LQ5361"</f>
        <v>LQ5361</v>
      </c>
      <c r="C6034" t="s">
        <v>38933</v>
      </c>
      <c r="D6034" t="s">
        <v>27245</v>
      </c>
      <c r="E6034" t="str">
        <f t="shared" si="94"/>
        <v>001390</v>
      </c>
      <c r="F6034" t="s">
        <v>27246</v>
      </c>
      <c r="G6034" t="s">
        <v>27247</v>
      </c>
      <c r="H6034" t="s">
        <v>27248</v>
      </c>
      <c r="I6034" t="s">
        <v>38934</v>
      </c>
      <c r="J6034" t="s">
        <v>12044</v>
      </c>
      <c r="L6034" t="s">
        <v>27250</v>
      </c>
      <c r="M6034" t="s">
        <v>27251</v>
      </c>
      <c r="N6034" t="s">
        <v>27252</v>
      </c>
      <c r="Q6034" s="1">
        <v>44538</v>
      </c>
      <c r="R6034" t="s">
        <v>27253</v>
      </c>
      <c r="S6034" t="s">
        <v>27254</v>
      </c>
      <c r="T6034" t="s">
        <v>27255</v>
      </c>
    </row>
    <row r="6035" spans="1:20" x14ac:dyDescent="0.3">
      <c r="A6035" t="str">
        <f>"0611856994100"</f>
        <v>0611856994100</v>
      </c>
      <c r="B6035" t="str">
        <f>"LQ6256"</f>
        <v>LQ6256</v>
      </c>
      <c r="C6035" t="s">
        <v>38935</v>
      </c>
      <c r="D6035" t="s">
        <v>27245</v>
      </c>
      <c r="E6035" t="str">
        <f t="shared" si="94"/>
        <v>001390</v>
      </c>
      <c r="F6035" t="s">
        <v>27246</v>
      </c>
      <c r="G6035" t="s">
        <v>27247</v>
      </c>
      <c r="H6035" t="s">
        <v>27248</v>
      </c>
      <c r="I6035" t="s">
        <v>38936</v>
      </c>
      <c r="J6035" t="s">
        <v>12046</v>
      </c>
      <c r="L6035" t="s">
        <v>27250</v>
      </c>
      <c r="M6035" t="s">
        <v>27251</v>
      </c>
      <c r="N6035" t="s">
        <v>27252</v>
      </c>
      <c r="Q6035" s="1">
        <v>44812</v>
      </c>
      <c r="R6035" t="s">
        <v>27253</v>
      </c>
      <c r="S6035" t="s">
        <v>27254</v>
      </c>
      <c r="T6035" t="s">
        <v>27255</v>
      </c>
    </row>
    <row r="6036" spans="1:20" x14ac:dyDescent="0.3">
      <c r="A6036" t="str">
        <f>"0611835547100"</f>
        <v>0611835547100</v>
      </c>
      <c r="B6036" t="str">
        <f>"LQ6235"</f>
        <v>LQ6235</v>
      </c>
      <c r="C6036" t="s">
        <v>38937</v>
      </c>
      <c r="D6036" t="s">
        <v>27245</v>
      </c>
      <c r="E6036" t="str">
        <f t="shared" si="94"/>
        <v>001390</v>
      </c>
      <c r="F6036" t="s">
        <v>27246</v>
      </c>
      <c r="G6036" t="s">
        <v>27247</v>
      </c>
      <c r="H6036" t="s">
        <v>27248</v>
      </c>
      <c r="I6036" t="s">
        <v>38938</v>
      </c>
      <c r="J6036" t="s">
        <v>12054</v>
      </c>
      <c r="L6036" t="s">
        <v>27250</v>
      </c>
      <c r="M6036" t="s">
        <v>27251</v>
      </c>
      <c r="N6036" t="s">
        <v>27252</v>
      </c>
      <c r="Q6036" s="1">
        <v>44538</v>
      </c>
      <c r="R6036" t="s">
        <v>27253</v>
      </c>
      <c r="S6036" t="s">
        <v>27254</v>
      </c>
      <c r="T6036" t="s">
        <v>27255</v>
      </c>
    </row>
    <row r="6037" spans="1:20" x14ac:dyDescent="0.3">
      <c r="A6037" t="str">
        <f>"0611835548100"</f>
        <v>0611835548100</v>
      </c>
      <c r="B6037" t="str">
        <f>"LQ6193"</f>
        <v>LQ6193</v>
      </c>
      <c r="C6037" t="s">
        <v>38939</v>
      </c>
      <c r="D6037" t="s">
        <v>27245</v>
      </c>
      <c r="E6037" t="str">
        <f t="shared" si="94"/>
        <v>001390</v>
      </c>
      <c r="F6037" t="s">
        <v>27246</v>
      </c>
      <c r="G6037" t="s">
        <v>27247</v>
      </c>
      <c r="H6037" t="s">
        <v>27248</v>
      </c>
      <c r="I6037" t="s">
        <v>38940</v>
      </c>
      <c r="J6037" t="s">
        <v>12058</v>
      </c>
      <c r="L6037" t="s">
        <v>27250</v>
      </c>
      <c r="M6037" t="s">
        <v>27251</v>
      </c>
      <c r="N6037" t="s">
        <v>27252</v>
      </c>
      <c r="Q6037" s="1">
        <v>44538</v>
      </c>
      <c r="R6037" t="s">
        <v>27253</v>
      </c>
      <c r="S6037" t="s">
        <v>27254</v>
      </c>
      <c r="T6037" t="s">
        <v>27255</v>
      </c>
    </row>
    <row r="6038" spans="1:20" x14ac:dyDescent="0.3">
      <c r="A6038" t="str">
        <f>"0611835549100"</f>
        <v>0611835549100</v>
      </c>
      <c r="B6038" t="str">
        <f>"LQ6194"</f>
        <v>LQ6194</v>
      </c>
      <c r="C6038" t="s">
        <v>38941</v>
      </c>
      <c r="D6038" t="s">
        <v>27245</v>
      </c>
      <c r="E6038" t="str">
        <f t="shared" si="94"/>
        <v>001390</v>
      </c>
      <c r="F6038" t="s">
        <v>27246</v>
      </c>
      <c r="G6038" t="s">
        <v>27247</v>
      </c>
      <c r="H6038" t="s">
        <v>27248</v>
      </c>
      <c r="I6038" t="s">
        <v>38942</v>
      </c>
      <c r="J6038" t="s">
        <v>12060</v>
      </c>
      <c r="L6038" t="s">
        <v>27250</v>
      </c>
      <c r="M6038" t="s">
        <v>27251</v>
      </c>
      <c r="N6038" t="s">
        <v>27252</v>
      </c>
      <c r="Q6038" s="1">
        <v>44538</v>
      </c>
      <c r="R6038" t="s">
        <v>27253</v>
      </c>
      <c r="S6038" t="s">
        <v>27254</v>
      </c>
      <c r="T6038" t="s">
        <v>27255</v>
      </c>
    </row>
    <row r="6039" spans="1:20" x14ac:dyDescent="0.3">
      <c r="A6039" t="str">
        <f>"0611835550100"</f>
        <v>0611835550100</v>
      </c>
      <c r="B6039" t="str">
        <f>"LQ5028"</f>
        <v>LQ5028</v>
      </c>
      <c r="C6039" t="s">
        <v>38943</v>
      </c>
      <c r="D6039" t="s">
        <v>27245</v>
      </c>
      <c r="E6039" t="str">
        <f t="shared" si="94"/>
        <v>001390</v>
      </c>
      <c r="F6039" t="s">
        <v>27246</v>
      </c>
      <c r="G6039" t="s">
        <v>27247</v>
      </c>
      <c r="H6039" t="s">
        <v>27248</v>
      </c>
      <c r="I6039" t="s">
        <v>38944</v>
      </c>
      <c r="J6039" t="s">
        <v>12062</v>
      </c>
      <c r="L6039" t="s">
        <v>27250</v>
      </c>
      <c r="M6039" t="s">
        <v>27251</v>
      </c>
      <c r="N6039" t="s">
        <v>27252</v>
      </c>
      <c r="Q6039" s="1">
        <v>44538</v>
      </c>
      <c r="R6039" t="s">
        <v>27253</v>
      </c>
      <c r="S6039" t="s">
        <v>27254</v>
      </c>
      <c r="T6039" t="s">
        <v>27255</v>
      </c>
    </row>
    <row r="6040" spans="1:20" x14ac:dyDescent="0.3">
      <c r="A6040" t="str">
        <f>"0611835551100"</f>
        <v>0611835551100</v>
      </c>
      <c r="B6040" t="str">
        <f>"LQ5029"</f>
        <v>LQ5029</v>
      </c>
      <c r="C6040" t="s">
        <v>38945</v>
      </c>
      <c r="D6040" t="s">
        <v>27245</v>
      </c>
      <c r="E6040" t="str">
        <f t="shared" si="94"/>
        <v>001390</v>
      </c>
      <c r="F6040" t="s">
        <v>27246</v>
      </c>
      <c r="G6040" t="s">
        <v>27247</v>
      </c>
      <c r="H6040" t="s">
        <v>27248</v>
      </c>
      <c r="I6040" t="s">
        <v>38946</v>
      </c>
      <c r="J6040" t="s">
        <v>12064</v>
      </c>
      <c r="L6040" t="s">
        <v>27250</v>
      </c>
      <c r="M6040" t="s">
        <v>27251</v>
      </c>
      <c r="N6040" t="s">
        <v>27252</v>
      </c>
      <c r="Q6040" s="1">
        <v>44538</v>
      </c>
      <c r="R6040" t="s">
        <v>27253</v>
      </c>
      <c r="S6040" t="s">
        <v>27254</v>
      </c>
      <c r="T6040" t="s">
        <v>27255</v>
      </c>
    </row>
    <row r="6041" spans="1:20" x14ac:dyDescent="0.3">
      <c r="A6041" t="str">
        <f>"0611835552100"</f>
        <v>0611835552100</v>
      </c>
      <c r="B6041" t="str">
        <f>"LQ5362"</f>
        <v>LQ5362</v>
      </c>
      <c r="C6041" t="s">
        <v>38947</v>
      </c>
      <c r="D6041" t="s">
        <v>27245</v>
      </c>
      <c r="E6041" t="str">
        <f t="shared" si="94"/>
        <v>001390</v>
      </c>
      <c r="F6041" t="s">
        <v>27246</v>
      </c>
      <c r="G6041" t="s">
        <v>27247</v>
      </c>
      <c r="H6041" t="s">
        <v>27248</v>
      </c>
      <c r="I6041" t="s">
        <v>38948</v>
      </c>
      <c r="J6041" t="s">
        <v>12066</v>
      </c>
      <c r="L6041" t="s">
        <v>27250</v>
      </c>
      <c r="M6041" t="s">
        <v>27251</v>
      </c>
      <c r="N6041" t="s">
        <v>27252</v>
      </c>
      <c r="Q6041" s="1">
        <v>44538</v>
      </c>
      <c r="R6041" t="s">
        <v>27253</v>
      </c>
      <c r="S6041" t="s">
        <v>27254</v>
      </c>
      <c r="T6041" t="s">
        <v>27255</v>
      </c>
    </row>
    <row r="6042" spans="1:20" x14ac:dyDescent="0.3">
      <c r="A6042" t="str">
        <f>"0611835553100"</f>
        <v>0611835553100</v>
      </c>
      <c r="B6042" t="str">
        <f>"LQ5031"</f>
        <v>LQ5031</v>
      </c>
      <c r="C6042" t="s">
        <v>38949</v>
      </c>
      <c r="D6042" t="s">
        <v>27245</v>
      </c>
      <c r="E6042" t="str">
        <f t="shared" si="94"/>
        <v>001390</v>
      </c>
      <c r="F6042" t="s">
        <v>27246</v>
      </c>
      <c r="G6042" t="s">
        <v>27247</v>
      </c>
      <c r="H6042" t="s">
        <v>27248</v>
      </c>
      <c r="I6042" t="s">
        <v>38950</v>
      </c>
      <c r="J6042" t="s">
        <v>12068</v>
      </c>
      <c r="L6042" t="s">
        <v>27250</v>
      </c>
      <c r="M6042" t="s">
        <v>27251</v>
      </c>
      <c r="N6042" t="s">
        <v>27252</v>
      </c>
      <c r="Q6042" s="1">
        <v>44538</v>
      </c>
      <c r="R6042" t="s">
        <v>27253</v>
      </c>
      <c r="S6042" t="s">
        <v>27254</v>
      </c>
      <c r="T6042" t="s">
        <v>27255</v>
      </c>
    </row>
    <row r="6043" spans="1:20" x14ac:dyDescent="0.3">
      <c r="A6043" t="str">
        <f>"0611835554100"</f>
        <v>0611835554100</v>
      </c>
      <c r="B6043" t="str">
        <f>"LQ5032"</f>
        <v>LQ5032</v>
      </c>
      <c r="C6043" t="s">
        <v>38951</v>
      </c>
      <c r="D6043" t="s">
        <v>27245</v>
      </c>
      <c r="E6043" t="str">
        <f t="shared" si="94"/>
        <v>001390</v>
      </c>
      <c r="F6043" t="s">
        <v>27246</v>
      </c>
      <c r="G6043" t="s">
        <v>27247</v>
      </c>
      <c r="H6043" t="s">
        <v>27248</v>
      </c>
      <c r="I6043" t="s">
        <v>38952</v>
      </c>
      <c r="J6043" t="s">
        <v>12070</v>
      </c>
      <c r="L6043" t="s">
        <v>27250</v>
      </c>
      <c r="M6043" t="s">
        <v>27251</v>
      </c>
      <c r="N6043" t="s">
        <v>27252</v>
      </c>
      <c r="Q6043" s="1">
        <v>44538</v>
      </c>
      <c r="R6043" t="s">
        <v>27253</v>
      </c>
      <c r="S6043" t="s">
        <v>27254</v>
      </c>
      <c r="T6043" t="s">
        <v>27255</v>
      </c>
    </row>
    <row r="6044" spans="1:20" x14ac:dyDescent="0.3">
      <c r="A6044" t="str">
        <f>"0611835555100"</f>
        <v>0611835555100</v>
      </c>
      <c r="B6044" t="str">
        <f>"LQ5951"</f>
        <v>LQ5951</v>
      </c>
      <c r="C6044" t="s">
        <v>38953</v>
      </c>
      <c r="D6044" t="s">
        <v>27245</v>
      </c>
      <c r="E6044" t="str">
        <f t="shared" si="94"/>
        <v>001390</v>
      </c>
      <c r="F6044" t="s">
        <v>27246</v>
      </c>
      <c r="G6044" t="s">
        <v>27247</v>
      </c>
      <c r="H6044" t="s">
        <v>27248</v>
      </c>
      <c r="I6044" t="s">
        <v>38954</v>
      </c>
      <c r="J6044" t="s">
        <v>12072</v>
      </c>
      <c r="L6044" t="s">
        <v>27250</v>
      </c>
      <c r="M6044" t="s">
        <v>27251</v>
      </c>
      <c r="N6044" t="s">
        <v>27252</v>
      </c>
      <c r="Q6044" s="1">
        <v>44538</v>
      </c>
      <c r="R6044" t="s">
        <v>27253</v>
      </c>
      <c r="S6044" t="s">
        <v>27254</v>
      </c>
      <c r="T6044" t="s">
        <v>27255</v>
      </c>
    </row>
    <row r="6045" spans="1:20" x14ac:dyDescent="0.3">
      <c r="A6045" t="str">
        <f>"0611835556100"</f>
        <v>0611835556100</v>
      </c>
      <c r="B6045" t="str">
        <f>"LQ5364"</f>
        <v>LQ5364</v>
      </c>
      <c r="C6045" t="s">
        <v>38955</v>
      </c>
      <c r="D6045" t="s">
        <v>27245</v>
      </c>
      <c r="E6045" t="str">
        <f t="shared" si="94"/>
        <v>001390</v>
      </c>
      <c r="F6045" t="s">
        <v>27246</v>
      </c>
      <c r="G6045" t="s">
        <v>27247</v>
      </c>
      <c r="H6045" t="s">
        <v>27248</v>
      </c>
      <c r="I6045" t="s">
        <v>38956</v>
      </c>
      <c r="J6045" t="s">
        <v>12074</v>
      </c>
      <c r="L6045" t="s">
        <v>27250</v>
      </c>
      <c r="M6045" t="s">
        <v>27251</v>
      </c>
      <c r="N6045" t="s">
        <v>27252</v>
      </c>
      <c r="Q6045" s="1">
        <v>44538</v>
      </c>
      <c r="R6045" t="s">
        <v>27253</v>
      </c>
      <c r="S6045" t="s">
        <v>27254</v>
      </c>
      <c r="T6045" t="s">
        <v>27255</v>
      </c>
    </row>
    <row r="6046" spans="1:20" x14ac:dyDescent="0.3">
      <c r="A6046" t="str">
        <f>"0611835557100"</f>
        <v>0611835557100</v>
      </c>
      <c r="B6046" t="str">
        <f>"LQ5033"</f>
        <v>LQ5033</v>
      </c>
      <c r="C6046" t="s">
        <v>38957</v>
      </c>
      <c r="D6046" t="s">
        <v>27245</v>
      </c>
      <c r="E6046" t="str">
        <f t="shared" si="94"/>
        <v>001390</v>
      </c>
      <c r="F6046" t="s">
        <v>27246</v>
      </c>
      <c r="G6046" t="s">
        <v>27247</v>
      </c>
      <c r="H6046" t="s">
        <v>27248</v>
      </c>
      <c r="I6046" t="s">
        <v>38958</v>
      </c>
      <c r="J6046" t="s">
        <v>12076</v>
      </c>
      <c r="L6046" t="s">
        <v>27250</v>
      </c>
      <c r="M6046" t="s">
        <v>27251</v>
      </c>
      <c r="N6046" t="s">
        <v>27252</v>
      </c>
      <c r="Q6046" s="1">
        <v>44538</v>
      </c>
      <c r="R6046" t="s">
        <v>27253</v>
      </c>
      <c r="S6046" t="s">
        <v>27254</v>
      </c>
      <c r="T6046" t="s">
        <v>27255</v>
      </c>
    </row>
    <row r="6047" spans="1:20" x14ac:dyDescent="0.3">
      <c r="A6047" t="str">
        <f>"0611835558100"</f>
        <v>0611835558100</v>
      </c>
      <c r="B6047" t="str">
        <f>"LK6798"</f>
        <v>LK6798</v>
      </c>
      <c r="C6047" t="s">
        <v>38959</v>
      </c>
      <c r="D6047" t="s">
        <v>27245</v>
      </c>
      <c r="E6047" t="str">
        <f t="shared" si="94"/>
        <v>001390</v>
      </c>
      <c r="F6047" t="s">
        <v>27246</v>
      </c>
      <c r="G6047" t="s">
        <v>27247</v>
      </c>
      <c r="H6047" t="s">
        <v>27248</v>
      </c>
      <c r="I6047" t="s">
        <v>38960</v>
      </c>
      <c r="J6047" t="s">
        <v>12078</v>
      </c>
      <c r="L6047" t="s">
        <v>27250</v>
      </c>
      <c r="M6047" t="s">
        <v>27251</v>
      </c>
      <c r="N6047" t="s">
        <v>27252</v>
      </c>
      <c r="Q6047" s="1">
        <v>44538</v>
      </c>
      <c r="R6047" t="s">
        <v>27253</v>
      </c>
      <c r="S6047" t="s">
        <v>27254</v>
      </c>
      <c r="T6047" t="s">
        <v>27255</v>
      </c>
    </row>
    <row r="6048" spans="1:20" x14ac:dyDescent="0.3">
      <c r="A6048" t="str">
        <f>"0611835559100"</f>
        <v>0611835559100</v>
      </c>
      <c r="B6048" t="str">
        <f>"LQ0445"</f>
        <v>LQ0445</v>
      </c>
      <c r="C6048" t="s">
        <v>38961</v>
      </c>
      <c r="D6048" t="s">
        <v>27245</v>
      </c>
      <c r="E6048" t="str">
        <f t="shared" si="94"/>
        <v>001390</v>
      </c>
      <c r="F6048" t="s">
        <v>27246</v>
      </c>
      <c r="G6048" t="s">
        <v>27247</v>
      </c>
      <c r="H6048" t="s">
        <v>27248</v>
      </c>
      <c r="I6048" t="s">
        <v>38962</v>
      </c>
      <c r="J6048" t="s">
        <v>12080</v>
      </c>
      <c r="L6048" t="s">
        <v>27250</v>
      </c>
      <c r="M6048" t="s">
        <v>27251</v>
      </c>
      <c r="N6048" t="s">
        <v>27252</v>
      </c>
      <c r="Q6048" s="1">
        <v>44538</v>
      </c>
      <c r="R6048" t="s">
        <v>27253</v>
      </c>
      <c r="S6048" t="s">
        <v>27254</v>
      </c>
      <c r="T6048" t="s">
        <v>27255</v>
      </c>
    </row>
    <row r="6049" spans="1:20" x14ac:dyDescent="0.3">
      <c r="A6049" t="str">
        <f>"0611835560100"</f>
        <v>0611835560100</v>
      </c>
      <c r="B6049" t="str">
        <f>"LQ5042"</f>
        <v>LQ5042</v>
      </c>
      <c r="C6049" t="s">
        <v>38963</v>
      </c>
      <c r="D6049" t="s">
        <v>27245</v>
      </c>
      <c r="E6049" t="str">
        <f t="shared" si="94"/>
        <v>001390</v>
      </c>
      <c r="F6049" t="s">
        <v>27246</v>
      </c>
      <c r="G6049" t="s">
        <v>27247</v>
      </c>
      <c r="H6049" t="s">
        <v>27248</v>
      </c>
      <c r="I6049" t="s">
        <v>38964</v>
      </c>
      <c r="J6049" t="s">
        <v>12082</v>
      </c>
      <c r="L6049" t="s">
        <v>27250</v>
      </c>
      <c r="M6049" t="s">
        <v>27251</v>
      </c>
      <c r="N6049" t="s">
        <v>27252</v>
      </c>
      <c r="Q6049" s="1">
        <v>44538</v>
      </c>
      <c r="R6049" t="s">
        <v>27253</v>
      </c>
      <c r="S6049" t="s">
        <v>27254</v>
      </c>
      <c r="T6049" t="s">
        <v>27255</v>
      </c>
    </row>
    <row r="6050" spans="1:20" x14ac:dyDescent="0.3">
      <c r="A6050" t="str">
        <f>"0611835561100"</f>
        <v>0611835561100</v>
      </c>
      <c r="B6050" t="str">
        <f>"LQ5953"</f>
        <v>LQ5953</v>
      </c>
      <c r="C6050" t="s">
        <v>38965</v>
      </c>
      <c r="D6050" t="s">
        <v>27245</v>
      </c>
      <c r="E6050" t="str">
        <f t="shared" si="94"/>
        <v>001390</v>
      </c>
      <c r="F6050" t="s">
        <v>27246</v>
      </c>
      <c r="G6050" t="s">
        <v>27247</v>
      </c>
      <c r="H6050" t="s">
        <v>27248</v>
      </c>
      <c r="I6050" t="s">
        <v>38966</v>
      </c>
      <c r="J6050" t="s">
        <v>12084</v>
      </c>
      <c r="L6050" t="s">
        <v>27250</v>
      </c>
      <c r="M6050" t="s">
        <v>27251</v>
      </c>
      <c r="N6050" t="s">
        <v>27252</v>
      </c>
      <c r="Q6050" s="1">
        <v>44538</v>
      </c>
      <c r="R6050" t="s">
        <v>27253</v>
      </c>
      <c r="S6050" t="s">
        <v>27254</v>
      </c>
      <c r="T6050" t="s">
        <v>27255</v>
      </c>
    </row>
    <row r="6051" spans="1:20" x14ac:dyDescent="0.3">
      <c r="A6051" t="str">
        <f>"0611835562100"</f>
        <v>0611835562100</v>
      </c>
      <c r="B6051" t="str">
        <f>"LQ5044"</f>
        <v>LQ5044</v>
      </c>
      <c r="C6051" t="s">
        <v>38967</v>
      </c>
      <c r="D6051" t="s">
        <v>27245</v>
      </c>
      <c r="E6051" t="str">
        <f t="shared" si="94"/>
        <v>001390</v>
      </c>
      <c r="F6051" t="s">
        <v>27246</v>
      </c>
      <c r="G6051" t="s">
        <v>27247</v>
      </c>
      <c r="H6051" t="s">
        <v>27248</v>
      </c>
      <c r="I6051" t="s">
        <v>38968</v>
      </c>
      <c r="J6051" t="s">
        <v>12086</v>
      </c>
      <c r="L6051" t="s">
        <v>27250</v>
      </c>
      <c r="M6051" t="s">
        <v>27251</v>
      </c>
      <c r="N6051" t="s">
        <v>27252</v>
      </c>
      <c r="Q6051" s="1">
        <v>44538</v>
      </c>
      <c r="R6051" t="s">
        <v>27253</v>
      </c>
      <c r="S6051" t="s">
        <v>27254</v>
      </c>
      <c r="T6051" t="s">
        <v>27255</v>
      </c>
    </row>
    <row r="6052" spans="1:20" x14ac:dyDescent="0.3">
      <c r="A6052" t="str">
        <f>"0611835563100"</f>
        <v>0611835563100</v>
      </c>
      <c r="B6052" t="str">
        <f>"LQ5045"</f>
        <v>LQ5045</v>
      </c>
      <c r="C6052" t="s">
        <v>38969</v>
      </c>
      <c r="D6052" t="s">
        <v>27245</v>
      </c>
      <c r="E6052" t="str">
        <f t="shared" si="94"/>
        <v>001390</v>
      </c>
      <c r="F6052" t="s">
        <v>27246</v>
      </c>
      <c r="G6052" t="s">
        <v>27247</v>
      </c>
      <c r="H6052" t="s">
        <v>27248</v>
      </c>
      <c r="I6052" t="s">
        <v>38970</v>
      </c>
      <c r="J6052" t="s">
        <v>12088</v>
      </c>
      <c r="L6052" t="s">
        <v>27250</v>
      </c>
      <c r="M6052" t="s">
        <v>27251</v>
      </c>
      <c r="N6052" t="s">
        <v>27252</v>
      </c>
      <c r="Q6052" s="1">
        <v>44538</v>
      </c>
      <c r="R6052" t="s">
        <v>27253</v>
      </c>
      <c r="S6052" t="s">
        <v>27254</v>
      </c>
      <c r="T6052" t="s">
        <v>27255</v>
      </c>
    </row>
    <row r="6053" spans="1:20" x14ac:dyDescent="0.3">
      <c r="A6053" t="str">
        <f>"0611835564100"</f>
        <v>0611835564100</v>
      </c>
      <c r="B6053" t="str">
        <f>"LQ5515"</f>
        <v>LQ5515</v>
      </c>
      <c r="C6053" t="s">
        <v>38971</v>
      </c>
      <c r="D6053" t="s">
        <v>27245</v>
      </c>
      <c r="E6053" t="str">
        <f t="shared" si="94"/>
        <v>001390</v>
      </c>
      <c r="F6053" t="s">
        <v>27246</v>
      </c>
      <c r="G6053" t="s">
        <v>27247</v>
      </c>
      <c r="H6053" t="s">
        <v>27248</v>
      </c>
      <c r="I6053" t="s">
        <v>38972</v>
      </c>
      <c r="J6053" t="s">
        <v>12090</v>
      </c>
      <c r="L6053" t="s">
        <v>27250</v>
      </c>
      <c r="M6053" t="s">
        <v>27251</v>
      </c>
      <c r="N6053" t="s">
        <v>27252</v>
      </c>
      <c r="Q6053" s="1">
        <v>44538</v>
      </c>
      <c r="R6053" t="s">
        <v>27253</v>
      </c>
      <c r="S6053" t="s">
        <v>27254</v>
      </c>
      <c r="T6053" t="s">
        <v>27255</v>
      </c>
    </row>
    <row r="6054" spans="1:20" x14ac:dyDescent="0.3">
      <c r="A6054" t="str">
        <f>"0611835565100"</f>
        <v>0611835565100</v>
      </c>
      <c r="B6054" t="str">
        <f>"LQ5516"</f>
        <v>LQ5516</v>
      </c>
      <c r="C6054" t="s">
        <v>38973</v>
      </c>
      <c r="D6054" t="s">
        <v>27245</v>
      </c>
      <c r="E6054" t="str">
        <f t="shared" si="94"/>
        <v>001390</v>
      </c>
      <c r="F6054" t="s">
        <v>27246</v>
      </c>
      <c r="G6054" t="s">
        <v>27247</v>
      </c>
      <c r="H6054" t="s">
        <v>27248</v>
      </c>
      <c r="I6054" t="s">
        <v>38974</v>
      </c>
      <c r="J6054" t="s">
        <v>12092</v>
      </c>
      <c r="L6054" t="s">
        <v>27250</v>
      </c>
      <c r="M6054" t="s">
        <v>27251</v>
      </c>
      <c r="N6054" t="s">
        <v>27252</v>
      </c>
      <c r="Q6054" s="1">
        <v>44538</v>
      </c>
      <c r="R6054" t="s">
        <v>27253</v>
      </c>
      <c r="S6054" t="s">
        <v>27254</v>
      </c>
      <c r="T6054" t="s">
        <v>27255</v>
      </c>
    </row>
    <row r="6055" spans="1:20" x14ac:dyDescent="0.3">
      <c r="A6055" t="str">
        <f>"0611835566100"</f>
        <v>0611835566100</v>
      </c>
      <c r="B6055" t="str">
        <f>"LQ6098"</f>
        <v>LQ6098</v>
      </c>
      <c r="C6055" t="s">
        <v>38975</v>
      </c>
      <c r="D6055" t="s">
        <v>27245</v>
      </c>
      <c r="E6055" t="str">
        <f t="shared" si="94"/>
        <v>001390</v>
      </c>
      <c r="F6055" t="s">
        <v>27246</v>
      </c>
      <c r="G6055" t="s">
        <v>27247</v>
      </c>
      <c r="H6055" t="s">
        <v>27248</v>
      </c>
      <c r="I6055" t="s">
        <v>38976</v>
      </c>
      <c r="J6055" t="s">
        <v>12094</v>
      </c>
      <c r="L6055" t="s">
        <v>27250</v>
      </c>
      <c r="M6055" t="s">
        <v>27251</v>
      </c>
      <c r="N6055" t="s">
        <v>27252</v>
      </c>
      <c r="Q6055" s="1">
        <v>44538</v>
      </c>
      <c r="R6055" t="s">
        <v>27253</v>
      </c>
      <c r="S6055" t="s">
        <v>27254</v>
      </c>
      <c r="T6055" t="s">
        <v>27255</v>
      </c>
    </row>
    <row r="6056" spans="1:20" x14ac:dyDescent="0.3">
      <c r="A6056" t="str">
        <f>"0611835567100"</f>
        <v>0611835567100</v>
      </c>
      <c r="B6056" t="str">
        <f>"LQ5050"</f>
        <v>LQ5050</v>
      </c>
      <c r="C6056" t="s">
        <v>38977</v>
      </c>
      <c r="D6056" t="s">
        <v>27245</v>
      </c>
      <c r="E6056" t="str">
        <f t="shared" si="94"/>
        <v>001390</v>
      </c>
      <c r="F6056" t="s">
        <v>27246</v>
      </c>
      <c r="G6056" t="s">
        <v>27247</v>
      </c>
      <c r="H6056" t="s">
        <v>27248</v>
      </c>
      <c r="I6056" t="s">
        <v>38978</v>
      </c>
      <c r="J6056" t="s">
        <v>12096</v>
      </c>
      <c r="L6056" t="s">
        <v>27250</v>
      </c>
      <c r="M6056" t="s">
        <v>27251</v>
      </c>
      <c r="N6056" t="s">
        <v>27252</v>
      </c>
      <c r="Q6056" s="1">
        <v>44538</v>
      </c>
      <c r="R6056" t="s">
        <v>27253</v>
      </c>
      <c r="S6056" t="s">
        <v>27254</v>
      </c>
      <c r="T6056" t="s">
        <v>27255</v>
      </c>
    </row>
    <row r="6057" spans="1:20" x14ac:dyDescent="0.3">
      <c r="A6057" t="str">
        <f>"0611835568100"</f>
        <v>0611835568100</v>
      </c>
      <c r="B6057" t="str">
        <f>"LQ5239"</f>
        <v>LQ5239</v>
      </c>
      <c r="C6057" t="s">
        <v>38979</v>
      </c>
      <c r="D6057" t="s">
        <v>27245</v>
      </c>
      <c r="E6057" t="str">
        <f t="shared" si="94"/>
        <v>001390</v>
      </c>
      <c r="F6057" t="s">
        <v>27246</v>
      </c>
      <c r="G6057" t="s">
        <v>27247</v>
      </c>
      <c r="H6057" t="s">
        <v>27248</v>
      </c>
      <c r="I6057" t="s">
        <v>38980</v>
      </c>
      <c r="J6057" t="s">
        <v>12098</v>
      </c>
      <c r="L6057" t="s">
        <v>27250</v>
      </c>
      <c r="M6057" t="s">
        <v>27251</v>
      </c>
      <c r="N6057" t="s">
        <v>27252</v>
      </c>
      <c r="Q6057" s="1">
        <v>44538</v>
      </c>
      <c r="R6057" t="s">
        <v>27253</v>
      </c>
      <c r="S6057" t="s">
        <v>27254</v>
      </c>
      <c r="T6057" t="s">
        <v>27255</v>
      </c>
    </row>
    <row r="6058" spans="1:20" x14ac:dyDescent="0.3">
      <c r="A6058" t="str">
        <f>"0611835570100"</f>
        <v>0611835570100</v>
      </c>
      <c r="B6058" t="str">
        <f>"LQ5718"</f>
        <v>LQ5718</v>
      </c>
      <c r="C6058" t="s">
        <v>38981</v>
      </c>
      <c r="D6058" t="s">
        <v>27245</v>
      </c>
      <c r="E6058" t="str">
        <f t="shared" si="94"/>
        <v>001390</v>
      </c>
      <c r="F6058" t="s">
        <v>27246</v>
      </c>
      <c r="G6058" t="s">
        <v>27247</v>
      </c>
      <c r="H6058" t="s">
        <v>27248</v>
      </c>
      <c r="I6058" t="s">
        <v>38982</v>
      </c>
      <c r="J6058" t="s">
        <v>12100</v>
      </c>
      <c r="L6058" t="s">
        <v>27250</v>
      </c>
      <c r="M6058" t="s">
        <v>27251</v>
      </c>
      <c r="N6058" t="s">
        <v>27252</v>
      </c>
      <c r="Q6058" s="1">
        <v>44538</v>
      </c>
      <c r="R6058" t="s">
        <v>27253</v>
      </c>
      <c r="S6058" t="s">
        <v>27254</v>
      </c>
      <c r="T6058" t="s">
        <v>27255</v>
      </c>
    </row>
    <row r="6059" spans="1:20" x14ac:dyDescent="0.3">
      <c r="A6059" t="str">
        <f>"0611835571100"</f>
        <v>0611835571100</v>
      </c>
      <c r="B6059" t="str">
        <f>"LQ6139"</f>
        <v>LQ6139</v>
      </c>
      <c r="C6059" t="s">
        <v>38983</v>
      </c>
      <c r="D6059" t="s">
        <v>27245</v>
      </c>
      <c r="E6059" t="str">
        <f t="shared" si="94"/>
        <v>001390</v>
      </c>
      <c r="F6059" t="s">
        <v>27246</v>
      </c>
      <c r="G6059" t="s">
        <v>27247</v>
      </c>
      <c r="H6059" t="s">
        <v>27248</v>
      </c>
      <c r="I6059" t="s">
        <v>38984</v>
      </c>
      <c r="J6059" t="s">
        <v>12102</v>
      </c>
      <c r="L6059" t="s">
        <v>27250</v>
      </c>
      <c r="M6059" t="s">
        <v>27251</v>
      </c>
      <c r="N6059" t="s">
        <v>27252</v>
      </c>
      <c r="Q6059" s="1">
        <v>44538</v>
      </c>
      <c r="R6059" t="s">
        <v>27253</v>
      </c>
      <c r="S6059" t="s">
        <v>27254</v>
      </c>
      <c r="T6059" t="s">
        <v>27255</v>
      </c>
    </row>
    <row r="6060" spans="1:20" x14ac:dyDescent="0.3">
      <c r="A6060" t="str">
        <f>"0611835572100"</f>
        <v>0611835572100</v>
      </c>
      <c r="B6060" t="str">
        <f>"LQ6017"</f>
        <v>LQ6017</v>
      </c>
      <c r="C6060" t="s">
        <v>38985</v>
      </c>
      <c r="D6060" t="s">
        <v>27245</v>
      </c>
      <c r="E6060" t="str">
        <f t="shared" si="94"/>
        <v>001390</v>
      </c>
      <c r="F6060" t="s">
        <v>27246</v>
      </c>
      <c r="G6060" t="s">
        <v>27247</v>
      </c>
      <c r="H6060" t="s">
        <v>27248</v>
      </c>
      <c r="I6060" t="s">
        <v>38986</v>
      </c>
      <c r="J6060" t="s">
        <v>12104</v>
      </c>
      <c r="L6060" t="s">
        <v>27250</v>
      </c>
      <c r="M6060" t="s">
        <v>27251</v>
      </c>
      <c r="N6060" t="s">
        <v>27252</v>
      </c>
      <c r="Q6060" s="1">
        <v>44538</v>
      </c>
      <c r="R6060" t="s">
        <v>27253</v>
      </c>
      <c r="S6060" t="s">
        <v>27254</v>
      </c>
      <c r="T6060" t="s">
        <v>27255</v>
      </c>
    </row>
    <row r="6061" spans="1:20" x14ac:dyDescent="0.3">
      <c r="A6061" t="str">
        <f>"0611835573100"</f>
        <v>0611835573100</v>
      </c>
      <c r="B6061" t="str">
        <f>"LQ6018"</f>
        <v>LQ6018</v>
      </c>
      <c r="C6061" t="s">
        <v>38987</v>
      </c>
      <c r="D6061" t="s">
        <v>27245</v>
      </c>
      <c r="E6061" t="str">
        <f t="shared" si="94"/>
        <v>001390</v>
      </c>
      <c r="F6061" t="s">
        <v>27246</v>
      </c>
      <c r="G6061" t="s">
        <v>27247</v>
      </c>
      <c r="H6061" t="s">
        <v>27248</v>
      </c>
      <c r="I6061" t="s">
        <v>38988</v>
      </c>
      <c r="J6061" t="s">
        <v>12106</v>
      </c>
      <c r="L6061" t="s">
        <v>27250</v>
      </c>
      <c r="M6061" t="s">
        <v>27251</v>
      </c>
      <c r="N6061" t="s">
        <v>27252</v>
      </c>
      <c r="Q6061" s="1">
        <v>44538</v>
      </c>
      <c r="R6061" t="s">
        <v>27253</v>
      </c>
      <c r="S6061" t="s">
        <v>27254</v>
      </c>
      <c r="T6061" t="s">
        <v>27255</v>
      </c>
    </row>
    <row r="6062" spans="1:20" x14ac:dyDescent="0.3">
      <c r="A6062" t="str">
        <f>"0611835575100"</f>
        <v>0611835575100</v>
      </c>
      <c r="B6062" t="str">
        <f>"LQ6020"</f>
        <v>LQ6020</v>
      </c>
      <c r="C6062" t="s">
        <v>38989</v>
      </c>
      <c r="D6062" t="s">
        <v>27245</v>
      </c>
      <c r="E6062" t="str">
        <f t="shared" si="94"/>
        <v>001390</v>
      </c>
      <c r="F6062" t="s">
        <v>27246</v>
      </c>
      <c r="G6062" t="s">
        <v>27247</v>
      </c>
      <c r="H6062" t="s">
        <v>27248</v>
      </c>
      <c r="I6062" t="s">
        <v>38990</v>
      </c>
      <c r="J6062" t="s">
        <v>12108</v>
      </c>
      <c r="L6062" t="s">
        <v>27250</v>
      </c>
      <c r="M6062" t="s">
        <v>27251</v>
      </c>
      <c r="N6062" t="s">
        <v>27252</v>
      </c>
      <c r="Q6062" s="1">
        <v>44538</v>
      </c>
      <c r="R6062" t="s">
        <v>27253</v>
      </c>
      <c r="S6062" t="s">
        <v>27254</v>
      </c>
      <c r="T6062" t="s">
        <v>27255</v>
      </c>
    </row>
    <row r="6063" spans="1:20" x14ac:dyDescent="0.3">
      <c r="A6063" t="str">
        <f>"0611835576100"</f>
        <v>0611835576100</v>
      </c>
      <c r="B6063" t="str">
        <f>"LQ5054"</f>
        <v>LQ5054</v>
      </c>
      <c r="C6063" t="s">
        <v>38991</v>
      </c>
      <c r="D6063" t="s">
        <v>27245</v>
      </c>
      <c r="E6063" t="str">
        <f t="shared" si="94"/>
        <v>001390</v>
      </c>
      <c r="F6063" t="s">
        <v>27246</v>
      </c>
      <c r="G6063" t="s">
        <v>27247</v>
      </c>
      <c r="H6063" t="s">
        <v>27248</v>
      </c>
      <c r="I6063" t="s">
        <v>38992</v>
      </c>
      <c r="J6063" t="s">
        <v>12110</v>
      </c>
      <c r="L6063" t="s">
        <v>27250</v>
      </c>
      <c r="M6063" t="s">
        <v>27251</v>
      </c>
      <c r="N6063" t="s">
        <v>27252</v>
      </c>
      <c r="Q6063" s="1">
        <v>44538</v>
      </c>
      <c r="R6063" t="s">
        <v>27253</v>
      </c>
      <c r="S6063" t="s">
        <v>27254</v>
      </c>
      <c r="T6063" t="s">
        <v>27255</v>
      </c>
    </row>
    <row r="6064" spans="1:20" x14ac:dyDescent="0.3">
      <c r="A6064" t="str">
        <f>"0611835578100"</f>
        <v>0611835578100</v>
      </c>
      <c r="B6064" t="str">
        <f>"LQ5517"</f>
        <v>LQ5517</v>
      </c>
      <c r="C6064" t="s">
        <v>38993</v>
      </c>
      <c r="D6064" t="s">
        <v>27245</v>
      </c>
      <c r="E6064" t="str">
        <f t="shared" si="94"/>
        <v>001390</v>
      </c>
      <c r="F6064" t="s">
        <v>27246</v>
      </c>
      <c r="G6064" t="s">
        <v>27247</v>
      </c>
      <c r="H6064" t="s">
        <v>27248</v>
      </c>
      <c r="I6064" t="s">
        <v>38994</v>
      </c>
      <c r="J6064" t="s">
        <v>12112</v>
      </c>
      <c r="L6064" t="s">
        <v>27250</v>
      </c>
      <c r="M6064" t="s">
        <v>27251</v>
      </c>
      <c r="N6064" t="s">
        <v>27252</v>
      </c>
      <c r="Q6064" s="1">
        <v>44538</v>
      </c>
      <c r="R6064" t="s">
        <v>27253</v>
      </c>
      <c r="S6064" t="s">
        <v>27254</v>
      </c>
      <c r="T6064" t="s">
        <v>27255</v>
      </c>
    </row>
    <row r="6065" spans="1:20" x14ac:dyDescent="0.3">
      <c r="A6065" t="str">
        <f>"0611835579100"</f>
        <v>0611835579100</v>
      </c>
      <c r="B6065" t="str">
        <f>"LQ5954"</f>
        <v>LQ5954</v>
      </c>
      <c r="C6065" t="s">
        <v>38995</v>
      </c>
      <c r="D6065" t="s">
        <v>27245</v>
      </c>
      <c r="E6065" t="str">
        <f t="shared" si="94"/>
        <v>001390</v>
      </c>
      <c r="F6065" t="s">
        <v>27246</v>
      </c>
      <c r="G6065" t="s">
        <v>27247</v>
      </c>
      <c r="H6065" t="s">
        <v>27248</v>
      </c>
      <c r="I6065" t="s">
        <v>38996</v>
      </c>
      <c r="J6065" t="s">
        <v>12114</v>
      </c>
      <c r="L6065" t="s">
        <v>27250</v>
      </c>
      <c r="M6065" t="s">
        <v>27251</v>
      </c>
      <c r="N6065" t="s">
        <v>27252</v>
      </c>
      <c r="Q6065" s="1">
        <v>44538</v>
      </c>
      <c r="R6065" t="s">
        <v>27253</v>
      </c>
      <c r="S6065" t="s">
        <v>27254</v>
      </c>
      <c r="T6065" t="s">
        <v>27255</v>
      </c>
    </row>
    <row r="6066" spans="1:20" x14ac:dyDescent="0.3">
      <c r="A6066" t="str">
        <f>"0611835580100"</f>
        <v>0611835580100</v>
      </c>
      <c r="B6066" t="str">
        <f>"LQ5489"</f>
        <v>LQ5489</v>
      </c>
      <c r="C6066" t="s">
        <v>38997</v>
      </c>
      <c r="D6066" t="s">
        <v>27245</v>
      </c>
      <c r="E6066" t="str">
        <f t="shared" si="94"/>
        <v>001390</v>
      </c>
      <c r="F6066" t="s">
        <v>27246</v>
      </c>
      <c r="G6066" t="s">
        <v>27247</v>
      </c>
      <c r="H6066" t="s">
        <v>27248</v>
      </c>
      <c r="I6066" t="s">
        <v>38998</v>
      </c>
      <c r="J6066" t="s">
        <v>12116</v>
      </c>
      <c r="L6066" t="s">
        <v>27250</v>
      </c>
      <c r="M6066" t="s">
        <v>27251</v>
      </c>
      <c r="N6066" t="s">
        <v>27252</v>
      </c>
      <c r="Q6066" s="1">
        <v>44538</v>
      </c>
      <c r="R6066" t="s">
        <v>27253</v>
      </c>
      <c r="S6066" t="s">
        <v>27254</v>
      </c>
      <c r="T6066" t="s">
        <v>27255</v>
      </c>
    </row>
    <row r="6067" spans="1:20" x14ac:dyDescent="0.3">
      <c r="A6067" t="str">
        <f>"0611835581100"</f>
        <v>0611835581100</v>
      </c>
      <c r="B6067" t="str">
        <f>"LQ5521"</f>
        <v>LQ5521</v>
      </c>
      <c r="C6067" t="s">
        <v>38999</v>
      </c>
      <c r="D6067" t="s">
        <v>27245</v>
      </c>
      <c r="E6067" t="str">
        <f t="shared" si="94"/>
        <v>001390</v>
      </c>
      <c r="F6067" t="s">
        <v>27246</v>
      </c>
      <c r="G6067" t="s">
        <v>27247</v>
      </c>
      <c r="H6067" t="s">
        <v>27248</v>
      </c>
      <c r="I6067" t="s">
        <v>39000</v>
      </c>
      <c r="J6067" t="s">
        <v>12118</v>
      </c>
      <c r="L6067" t="s">
        <v>27250</v>
      </c>
      <c r="M6067" t="s">
        <v>27251</v>
      </c>
      <c r="N6067" t="s">
        <v>27252</v>
      </c>
      <c r="Q6067" s="1">
        <v>44538</v>
      </c>
      <c r="R6067" t="s">
        <v>27253</v>
      </c>
      <c r="S6067" t="s">
        <v>27254</v>
      </c>
      <c r="T6067" t="s">
        <v>27255</v>
      </c>
    </row>
    <row r="6068" spans="1:20" x14ac:dyDescent="0.3">
      <c r="A6068" t="str">
        <f>"0611835585100"</f>
        <v>0611835585100</v>
      </c>
      <c r="B6068" t="str">
        <f>"LQ5962"</f>
        <v>LQ5962</v>
      </c>
      <c r="C6068" t="s">
        <v>39001</v>
      </c>
      <c r="D6068" t="s">
        <v>27245</v>
      </c>
      <c r="E6068" t="str">
        <f t="shared" si="94"/>
        <v>001390</v>
      </c>
      <c r="F6068" t="s">
        <v>27246</v>
      </c>
      <c r="G6068" t="s">
        <v>27247</v>
      </c>
      <c r="H6068" t="s">
        <v>27248</v>
      </c>
      <c r="I6068" t="s">
        <v>39002</v>
      </c>
      <c r="J6068" t="s">
        <v>12120</v>
      </c>
      <c r="L6068" t="s">
        <v>27250</v>
      </c>
      <c r="M6068" t="s">
        <v>27251</v>
      </c>
      <c r="N6068" t="s">
        <v>27252</v>
      </c>
      <c r="Q6068" s="1">
        <v>44538</v>
      </c>
      <c r="R6068" t="s">
        <v>27253</v>
      </c>
      <c r="S6068" t="s">
        <v>27254</v>
      </c>
      <c r="T6068" t="s">
        <v>27255</v>
      </c>
    </row>
    <row r="6069" spans="1:20" x14ac:dyDescent="0.3">
      <c r="A6069" t="str">
        <f>"0611835586100"</f>
        <v>0611835586100</v>
      </c>
      <c r="B6069" t="str">
        <f>"LK6799"</f>
        <v>LK6799</v>
      </c>
      <c r="C6069" t="s">
        <v>39003</v>
      </c>
      <c r="D6069" t="s">
        <v>27245</v>
      </c>
      <c r="E6069" t="str">
        <f t="shared" si="94"/>
        <v>001390</v>
      </c>
      <c r="F6069" t="s">
        <v>27246</v>
      </c>
      <c r="G6069" t="s">
        <v>27247</v>
      </c>
      <c r="H6069" t="s">
        <v>27248</v>
      </c>
      <c r="I6069" t="s">
        <v>39004</v>
      </c>
      <c r="J6069" t="s">
        <v>12122</v>
      </c>
      <c r="L6069" t="s">
        <v>27250</v>
      </c>
      <c r="M6069" t="s">
        <v>27251</v>
      </c>
      <c r="N6069" t="s">
        <v>27252</v>
      </c>
      <c r="Q6069" s="1">
        <v>44538</v>
      </c>
      <c r="R6069" t="s">
        <v>27253</v>
      </c>
      <c r="S6069" t="s">
        <v>27254</v>
      </c>
      <c r="T6069" t="s">
        <v>27255</v>
      </c>
    </row>
    <row r="6070" spans="1:20" x14ac:dyDescent="0.3">
      <c r="A6070" t="str">
        <f>"0611835587100"</f>
        <v>0611835587100</v>
      </c>
      <c r="B6070" t="str">
        <f>"LQ5059"</f>
        <v>LQ5059</v>
      </c>
      <c r="C6070" t="s">
        <v>39005</v>
      </c>
      <c r="D6070" t="s">
        <v>27245</v>
      </c>
      <c r="E6070" t="str">
        <f t="shared" si="94"/>
        <v>001390</v>
      </c>
      <c r="F6070" t="s">
        <v>27246</v>
      </c>
      <c r="G6070" t="s">
        <v>27247</v>
      </c>
      <c r="H6070" t="s">
        <v>27248</v>
      </c>
      <c r="I6070" t="s">
        <v>39006</v>
      </c>
      <c r="J6070" t="s">
        <v>12124</v>
      </c>
      <c r="L6070" t="s">
        <v>27250</v>
      </c>
      <c r="M6070" t="s">
        <v>27251</v>
      </c>
      <c r="N6070" t="s">
        <v>27252</v>
      </c>
      <c r="Q6070" s="1">
        <v>44538</v>
      </c>
      <c r="R6070" t="s">
        <v>27253</v>
      </c>
      <c r="S6070" t="s">
        <v>27254</v>
      </c>
      <c r="T6070" t="s">
        <v>27255</v>
      </c>
    </row>
    <row r="6071" spans="1:20" x14ac:dyDescent="0.3">
      <c r="A6071" t="str">
        <f>"0611835588100"</f>
        <v>0611835588100</v>
      </c>
      <c r="B6071" t="str">
        <f>"LQ5060"</f>
        <v>LQ5060</v>
      </c>
      <c r="C6071" t="s">
        <v>39007</v>
      </c>
      <c r="D6071" t="s">
        <v>27245</v>
      </c>
      <c r="E6071" t="str">
        <f t="shared" si="94"/>
        <v>001390</v>
      </c>
      <c r="F6071" t="s">
        <v>27246</v>
      </c>
      <c r="G6071" t="s">
        <v>27247</v>
      </c>
      <c r="H6071" t="s">
        <v>27248</v>
      </c>
      <c r="I6071" t="s">
        <v>39008</v>
      </c>
      <c r="J6071" t="s">
        <v>12126</v>
      </c>
      <c r="L6071" t="s">
        <v>27250</v>
      </c>
      <c r="M6071" t="s">
        <v>27251</v>
      </c>
      <c r="N6071" t="s">
        <v>27252</v>
      </c>
      <c r="Q6071" s="1">
        <v>44538</v>
      </c>
      <c r="R6071" t="s">
        <v>27253</v>
      </c>
      <c r="S6071" t="s">
        <v>27254</v>
      </c>
      <c r="T6071" t="s">
        <v>27255</v>
      </c>
    </row>
    <row r="6072" spans="1:20" x14ac:dyDescent="0.3">
      <c r="A6072" t="str">
        <f>"0611835592100"</f>
        <v>0611835592100</v>
      </c>
      <c r="B6072" t="str">
        <f>"LQ6234"</f>
        <v>LQ6234</v>
      </c>
      <c r="C6072" t="s">
        <v>39009</v>
      </c>
      <c r="D6072" t="s">
        <v>27245</v>
      </c>
      <c r="E6072" t="str">
        <f t="shared" si="94"/>
        <v>001390</v>
      </c>
      <c r="F6072" t="s">
        <v>27246</v>
      </c>
      <c r="G6072" t="s">
        <v>27247</v>
      </c>
      <c r="H6072" t="s">
        <v>27248</v>
      </c>
      <c r="I6072" t="s">
        <v>39010</v>
      </c>
      <c r="J6072" t="s">
        <v>12048</v>
      </c>
      <c r="L6072" t="s">
        <v>27250</v>
      </c>
      <c r="M6072" t="s">
        <v>27251</v>
      </c>
      <c r="N6072" t="s">
        <v>27252</v>
      </c>
      <c r="Q6072" s="1">
        <v>44538</v>
      </c>
      <c r="R6072" t="s">
        <v>27253</v>
      </c>
      <c r="S6072" t="s">
        <v>27254</v>
      </c>
      <c r="T6072" t="s">
        <v>27255</v>
      </c>
    </row>
    <row r="6073" spans="1:20" x14ac:dyDescent="0.3">
      <c r="A6073" t="str">
        <f>"0611835593100"</f>
        <v>0611835593100</v>
      </c>
      <c r="B6073" t="str">
        <f>"LQ6191"</f>
        <v>LQ6191</v>
      </c>
      <c r="C6073" t="s">
        <v>39011</v>
      </c>
      <c r="D6073" t="s">
        <v>27245</v>
      </c>
      <c r="E6073" t="str">
        <f t="shared" si="94"/>
        <v>001390</v>
      </c>
      <c r="F6073" t="s">
        <v>27246</v>
      </c>
      <c r="G6073" t="s">
        <v>27247</v>
      </c>
      <c r="H6073" t="s">
        <v>27248</v>
      </c>
      <c r="I6073" t="s">
        <v>39012</v>
      </c>
      <c r="J6073" t="s">
        <v>12050</v>
      </c>
      <c r="L6073" t="s">
        <v>27250</v>
      </c>
      <c r="M6073" t="s">
        <v>27251</v>
      </c>
      <c r="N6073" t="s">
        <v>27252</v>
      </c>
      <c r="Q6073" s="1">
        <v>44538</v>
      </c>
      <c r="R6073" t="s">
        <v>27253</v>
      </c>
      <c r="S6073" t="s">
        <v>27254</v>
      </c>
      <c r="T6073" t="s">
        <v>27255</v>
      </c>
    </row>
    <row r="6074" spans="1:20" x14ac:dyDescent="0.3">
      <c r="A6074" t="str">
        <f>"0611835594100"</f>
        <v>0611835594100</v>
      </c>
      <c r="B6074" t="str">
        <f>"LQ6192"</f>
        <v>LQ6192</v>
      </c>
      <c r="C6074" t="s">
        <v>39013</v>
      </c>
      <c r="D6074" t="s">
        <v>27245</v>
      </c>
      <c r="E6074" t="str">
        <f t="shared" si="94"/>
        <v>001390</v>
      </c>
      <c r="F6074" t="s">
        <v>27246</v>
      </c>
      <c r="G6074" t="s">
        <v>27247</v>
      </c>
      <c r="H6074" t="s">
        <v>27248</v>
      </c>
      <c r="I6074" t="s">
        <v>39014</v>
      </c>
      <c r="J6074" t="s">
        <v>12052</v>
      </c>
      <c r="L6074" t="s">
        <v>27250</v>
      </c>
      <c r="M6074" t="s">
        <v>27251</v>
      </c>
      <c r="N6074" t="s">
        <v>27252</v>
      </c>
      <c r="Q6074" s="1">
        <v>44538</v>
      </c>
      <c r="R6074" t="s">
        <v>27253</v>
      </c>
      <c r="S6074" t="s">
        <v>27254</v>
      </c>
      <c r="T6074" t="s">
        <v>27255</v>
      </c>
    </row>
    <row r="6075" spans="1:20" x14ac:dyDescent="0.3">
      <c r="A6075" t="str">
        <f>"0611835595100"</f>
        <v>0611835595100</v>
      </c>
      <c r="B6075" t="str">
        <f>"LQ6236"</f>
        <v>LQ6236</v>
      </c>
      <c r="C6075" t="s">
        <v>39015</v>
      </c>
      <c r="D6075" t="s">
        <v>27245</v>
      </c>
      <c r="E6075" t="str">
        <f t="shared" si="94"/>
        <v>001390</v>
      </c>
      <c r="F6075" t="s">
        <v>27246</v>
      </c>
      <c r="G6075" t="s">
        <v>27247</v>
      </c>
      <c r="H6075" t="s">
        <v>27248</v>
      </c>
      <c r="I6075" t="s">
        <v>39016</v>
      </c>
      <c r="J6075" t="s">
        <v>12056</v>
      </c>
      <c r="L6075" t="s">
        <v>27250</v>
      </c>
      <c r="M6075" t="s">
        <v>27251</v>
      </c>
      <c r="N6075" t="s">
        <v>27252</v>
      </c>
      <c r="Q6075" s="1">
        <v>44538</v>
      </c>
      <c r="R6075" t="s">
        <v>27253</v>
      </c>
      <c r="S6075" t="s">
        <v>27254</v>
      </c>
      <c r="T6075" t="s">
        <v>27255</v>
      </c>
    </row>
    <row r="6076" spans="1:20" x14ac:dyDescent="0.3">
      <c r="A6076" t="str">
        <f>"0611835596100"</f>
        <v>0611835596100</v>
      </c>
      <c r="B6076" t="str">
        <f>"LK6903"</f>
        <v>LK6903</v>
      </c>
      <c r="C6076" t="s">
        <v>39017</v>
      </c>
      <c r="D6076" t="s">
        <v>28138</v>
      </c>
      <c r="E6076" t="str">
        <f t="shared" si="94"/>
        <v>001390</v>
      </c>
      <c r="F6076" t="s">
        <v>27246</v>
      </c>
      <c r="G6076" t="s">
        <v>27247</v>
      </c>
      <c r="H6076" t="s">
        <v>27248</v>
      </c>
      <c r="I6076" t="s">
        <v>39018</v>
      </c>
      <c r="J6076" t="s">
        <v>12128</v>
      </c>
      <c r="L6076" t="s">
        <v>27250</v>
      </c>
      <c r="M6076" t="s">
        <v>27251</v>
      </c>
      <c r="N6076" t="s">
        <v>27252</v>
      </c>
      <c r="P6076" t="s">
        <v>27925</v>
      </c>
      <c r="Q6076" s="1">
        <v>44538</v>
      </c>
      <c r="R6076" t="s">
        <v>27253</v>
      </c>
      <c r="S6076" t="s">
        <v>27254</v>
      </c>
      <c r="T6076" t="s">
        <v>27255</v>
      </c>
    </row>
    <row r="6077" spans="1:20" x14ac:dyDescent="0.3">
      <c r="A6077" t="str">
        <f>"0611835597100"</f>
        <v>0611835597100</v>
      </c>
      <c r="B6077" t="str">
        <f>"LK6548"</f>
        <v>LK6548</v>
      </c>
      <c r="C6077" t="s">
        <v>39019</v>
      </c>
      <c r="D6077" t="s">
        <v>28138</v>
      </c>
      <c r="E6077" t="str">
        <f t="shared" si="94"/>
        <v>001390</v>
      </c>
      <c r="F6077" t="s">
        <v>27246</v>
      </c>
      <c r="G6077" t="s">
        <v>27247</v>
      </c>
      <c r="H6077" t="s">
        <v>27248</v>
      </c>
      <c r="I6077" t="s">
        <v>39020</v>
      </c>
      <c r="J6077" t="s">
        <v>12130</v>
      </c>
      <c r="L6077" t="s">
        <v>27250</v>
      </c>
      <c r="M6077" t="s">
        <v>27251</v>
      </c>
      <c r="N6077" t="s">
        <v>27252</v>
      </c>
      <c r="P6077" t="s">
        <v>27925</v>
      </c>
      <c r="Q6077" s="1">
        <v>44538</v>
      </c>
      <c r="R6077" t="s">
        <v>27253</v>
      </c>
      <c r="S6077" t="s">
        <v>27254</v>
      </c>
      <c r="T6077" t="s">
        <v>27255</v>
      </c>
    </row>
    <row r="6078" spans="1:20" x14ac:dyDescent="0.3">
      <c r="A6078" t="str">
        <f>"0611835598100"</f>
        <v>0611835598100</v>
      </c>
      <c r="B6078" t="str">
        <f>"LK6550"</f>
        <v>LK6550</v>
      </c>
      <c r="C6078" t="s">
        <v>39021</v>
      </c>
      <c r="D6078" t="s">
        <v>28138</v>
      </c>
      <c r="E6078" t="str">
        <f t="shared" si="94"/>
        <v>001390</v>
      </c>
      <c r="F6078" t="s">
        <v>27246</v>
      </c>
      <c r="G6078" t="s">
        <v>27247</v>
      </c>
      <c r="H6078" t="s">
        <v>27248</v>
      </c>
      <c r="I6078" t="s">
        <v>39022</v>
      </c>
      <c r="J6078" t="s">
        <v>12134</v>
      </c>
      <c r="L6078" t="s">
        <v>27250</v>
      </c>
      <c r="M6078" t="s">
        <v>27251</v>
      </c>
      <c r="N6078" t="s">
        <v>27252</v>
      </c>
      <c r="P6078" t="s">
        <v>27925</v>
      </c>
      <c r="Q6078" s="1">
        <v>44538</v>
      </c>
      <c r="R6078" t="s">
        <v>27253</v>
      </c>
      <c r="S6078" t="s">
        <v>27254</v>
      </c>
      <c r="T6078" t="s">
        <v>27255</v>
      </c>
    </row>
    <row r="6079" spans="1:20" x14ac:dyDescent="0.3">
      <c r="A6079" t="str">
        <f>"0611835599100"</f>
        <v>0611835599100</v>
      </c>
      <c r="B6079" t="str">
        <f>"LK6549"</f>
        <v>LK6549</v>
      </c>
      <c r="C6079" t="s">
        <v>39023</v>
      </c>
      <c r="D6079" t="s">
        <v>28138</v>
      </c>
      <c r="E6079" t="str">
        <f t="shared" si="94"/>
        <v>001390</v>
      </c>
      <c r="F6079" t="s">
        <v>27246</v>
      </c>
      <c r="G6079" t="s">
        <v>27247</v>
      </c>
      <c r="H6079" t="s">
        <v>27248</v>
      </c>
      <c r="I6079" t="s">
        <v>39024</v>
      </c>
      <c r="J6079" t="s">
        <v>12132</v>
      </c>
      <c r="L6079" t="s">
        <v>27250</v>
      </c>
      <c r="M6079" t="s">
        <v>27251</v>
      </c>
      <c r="N6079" t="s">
        <v>27252</v>
      </c>
      <c r="P6079" t="s">
        <v>27925</v>
      </c>
      <c r="Q6079" s="1">
        <v>44538</v>
      </c>
      <c r="R6079" t="s">
        <v>27253</v>
      </c>
      <c r="S6079" t="s">
        <v>27254</v>
      </c>
      <c r="T6079" t="s">
        <v>27255</v>
      </c>
    </row>
    <row r="6080" spans="1:20" x14ac:dyDescent="0.3">
      <c r="A6080" t="str">
        <f>"0611835600100"</f>
        <v>0611835600100</v>
      </c>
      <c r="B6080" t="str">
        <f>"LK6904"</f>
        <v>LK6904</v>
      </c>
      <c r="C6080" t="s">
        <v>39025</v>
      </c>
      <c r="D6080" t="s">
        <v>28138</v>
      </c>
      <c r="E6080" t="str">
        <f t="shared" si="94"/>
        <v>001390</v>
      </c>
      <c r="F6080" t="s">
        <v>27246</v>
      </c>
      <c r="G6080" t="s">
        <v>27247</v>
      </c>
      <c r="H6080" t="s">
        <v>27248</v>
      </c>
      <c r="I6080" t="s">
        <v>39026</v>
      </c>
      <c r="J6080" t="s">
        <v>12136</v>
      </c>
      <c r="L6080" t="s">
        <v>27250</v>
      </c>
      <c r="M6080" t="s">
        <v>27251</v>
      </c>
      <c r="N6080" t="s">
        <v>27252</v>
      </c>
      <c r="P6080" t="s">
        <v>27925</v>
      </c>
      <c r="Q6080" s="1">
        <v>44538</v>
      </c>
      <c r="R6080" t="s">
        <v>27253</v>
      </c>
      <c r="S6080" t="s">
        <v>27254</v>
      </c>
      <c r="T6080" t="s">
        <v>27255</v>
      </c>
    </row>
    <row r="6081" spans="1:20" x14ac:dyDescent="0.3">
      <c r="A6081" t="str">
        <f>"0611835601100"</f>
        <v>0611835601100</v>
      </c>
      <c r="B6081" t="str">
        <f>"LK6800"</f>
        <v>LK6800</v>
      </c>
      <c r="C6081" t="s">
        <v>39027</v>
      </c>
      <c r="D6081" t="s">
        <v>28138</v>
      </c>
      <c r="E6081" t="str">
        <f t="shared" si="94"/>
        <v>001390</v>
      </c>
      <c r="F6081" t="s">
        <v>27246</v>
      </c>
      <c r="G6081" t="s">
        <v>27247</v>
      </c>
      <c r="H6081" t="s">
        <v>27248</v>
      </c>
      <c r="I6081" t="s">
        <v>39028</v>
      </c>
      <c r="J6081" t="s">
        <v>12138</v>
      </c>
      <c r="L6081" t="s">
        <v>27250</v>
      </c>
      <c r="M6081" t="s">
        <v>27251</v>
      </c>
      <c r="N6081" t="s">
        <v>27252</v>
      </c>
      <c r="P6081" t="s">
        <v>27925</v>
      </c>
      <c r="Q6081" s="1">
        <v>44538</v>
      </c>
      <c r="R6081" t="s">
        <v>27253</v>
      </c>
      <c r="S6081" t="s">
        <v>27254</v>
      </c>
      <c r="T6081" t="s">
        <v>27255</v>
      </c>
    </row>
    <row r="6082" spans="1:20" x14ac:dyDescent="0.3">
      <c r="A6082" t="str">
        <f>"0611835602100"</f>
        <v>0611835602100</v>
      </c>
      <c r="B6082" t="str">
        <f>"LK6801"</f>
        <v>LK6801</v>
      </c>
      <c r="C6082" t="s">
        <v>39029</v>
      </c>
      <c r="D6082" t="s">
        <v>28138</v>
      </c>
      <c r="E6082" t="str">
        <f t="shared" ref="E6082:E6145" si="95">"001390"</f>
        <v>001390</v>
      </c>
      <c r="F6082" t="s">
        <v>27246</v>
      </c>
      <c r="G6082" t="s">
        <v>27247</v>
      </c>
      <c r="H6082" t="s">
        <v>27248</v>
      </c>
      <c r="I6082" t="s">
        <v>39030</v>
      </c>
      <c r="J6082" t="s">
        <v>12140</v>
      </c>
      <c r="L6082" t="s">
        <v>27250</v>
      </c>
      <c r="M6082" t="s">
        <v>27251</v>
      </c>
      <c r="N6082" t="s">
        <v>27252</v>
      </c>
      <c r="P6082" t="s">
        <v>27925</v>
      </c>
      <c r="Q6082" s="1">
        <v>44538</v>
      </c>
      <c r="R6082" t="s">
        <v>27253</v>
      </c>
      <c r="S6082" t="s">
        <v>27254</v>
      </c>
      <c r="T6082" t="s">
        <v>27255</v>
      </c>
    </row>
    <row r="6083" spans="1:20" x14ac:dyDescent="0.3">
      <c r="A6083" t="str">
        <f>"0611835603100"</f>
        <v>0611835603100</v>
      </c>
      <c r="B6083" t="str">
        <f>"LK6802"</f>
        <v>LK6802</v>
      </c>
      <c r="C6083" t="s">
        <v>39031</v>
      </c>
      <c r="D6083" t="s">
        <v>28138</v>
      </c>
      <c r="E6083" t="str">
        <f t="shared" si="95"/>
        <v>001390</v>
      </c>
      <c r="F6083" t="s">
        <v>27246</v>
      </c>
      <c r="G6083" t="s">
        <v>27247</v>
      </c>
      <c r="H6083" t="s">
        <v>27248</v>
      </c>
      <c r="I6083" t="s">
        <v>39032</v>
      </c>
      <c r="J6083" t="s">
        <v>12144</v>
      </c>
      <c r="L6083" t="s">
        <v>27250</v>
      </c>
      <c r="M6083" t="s">
        <v>27251</v>
      </c>
      <c r="N6083" t="s">
        <v>27252</v>
      </c>
      <c r="P6083" t="s">
        <v>27925</v>
      </c>
      <c r="Q6083" s="1">
        <v>44538</v>
      </c>
      <c r="R6083" t="s">
        <v>27253</v>
      </c>
      <c r="S6083" t="s">
        <v>27254</v>
      </c>
      <c r="T6083" t="s">
        <v>27255</v>
      </c>
    </row>
    <row r="6084" spans="1:20" x14ac:dyDescent="0.3">
      <c r="A6084" t="str">
        <f>"0611835604100"</f>
        <v>0611835604100</v>
      </c>
      <c r="B6084" t="str">
        <f>"LK6552"</f>
        <v>LK6552</v>
      </c>
      <c r="C6084" t="s">
        <v>39033</v>
      </c>
      <c r="D6084" t="s">
        <v>28138</v>
      </c>
      <c r="E6084" t="str">
        <f t="shared" si="95"/>
        <v>001390</v>
      </c>
      <c r="F6084" t="s">
        <v>27246</v>
      </c>
      <c r="G6084" t="s">
        <v>27247</v>
      </c>
      <c r="H6084" t="s">
        <v>27248</v>
      </c>
      <c r="I6084" t="s">
        <v>39034</v>
      </c>
      <c r="J6084" t="s">
        <v>12142</v>
      </c>
      <c r="L6084" t="s">
        <v>27250</v>
      </c>
      <c r="M6084" t="s">
        <v>27251</v>
      </c>
      <c r="N6084" t="s">
        <v>27252</v>
      </c>
      <c r="P6084" t="s">
        <v>27925</v>
      </c>
      <c r="Q6084" s="1">
        <v>44538</v>
      </c>
      <c r="R6084" t="s">
        <v>27253</v>
      </c>
      <c r="S6084" t="s">
        <v>27254</v>
      </c>
      <c r="T6084" t="s">
        <v>27255</v>
      </c>
    </row>
    <row r="6085" spans="1:20" x14ac:dyDescent="0.3">
      <c r="A6085" t="str">
        <f>"0611835605100"</f>
        <v>0611835605100</v>
      </c>
      <c r="B6085" t="str">
        <f>"LK6553"</f>
        <v>LK6553</v>
      </c>
      <c r="C6085" t="s">
        <v>39035</v>
      </c>
      <c r="D6085" t="s">
        <v>28138</v>
      </c>
      <c r="E6085" t="str">
        <f t="shared" si="95"/>
        <v>001390</v>
      </c>
      <c r="F6085" t="s">
        <v>27246</v>
      </c>
      <c r="G6085" t="s">
        <v>27247</v>
      </c>
      <c r="H6085" t="s">
        <v>27248</v>
      </c>
      <c r="I6085" t="s">
        <v>39036</v>
      </c>
      <c r="J6085" t="s">
        <v>12146</v>
      </c>
      <c r="L6085" t="s">
        <v>27250</v>
      </c>
      <c r="M6085" t="s">
        <v>27251</v>
      </c>
      <c r="N6085" t="s">
        <v>27252</v>
      </c>
      <c r="P6085" t="s">
        <v>27925</v>
      </c>
      <c r="Q6085" s="1">
        <v>44538</v>
      </c>
      <c r="R6085" t="s">
        <v>27253</v>
      </c>
      <c r="S6085" t="s">
        <v>27254</v>
      </c>
      <c r="T6085" t="s">
        <v>27255</v>
      </c>
    </row>
    <row r="6086" spans="1:20" x14ac:dyDescent="0.3">
      <c r="A6086" t="str">
        <f>"0611835606100"</f>
        <v>0611835606100</v>
      </c>
      <c r="B6086" t="str">
        <f>"LK6905"</f>
        <v>LK6905</v>
      </c>
      <c r="C6086" t="s">
        <v>39037</v>
      </c>
      <c r="D6086" t="s">
        <v>28138</v>
      </c>
      <c r="E6086" t="str">
        <f t="shared" si="95"/>
        <v>001390</v>
      </c>
      <c r="F6086" t="s">
        <v>27246</v>
      </c>
      <c r="G6086" t="s">
        <v>27247</v>
      </c>
      <c r="H6086" t="s">
        <v>27248</v>
      </c>
      <c r="I6086" t="s">
        <v>39038</v>
      </c>
      <c r="J6086" t="s">
        <v>12148</v>
      </c>
      <c r="L6086" t="s">
        <v>27250</v>
      </c>
      <c r="M6086" t="s">
        <v>27251</v>
      </c>
      <c r="N6086" t="s">
        <v>27252</v>
      </c>
      <c r="P6086" t="s">
        <v>27925</v>
      </c>
      <c r="Q6086" s="1">
        <v>44538</v>
      </c>
      <c r="R6086" t="s">
        <v>27253</v>
      </c>
      <c r="S6086" t="s">
        <v>27254</v>
      </c>
      <c r="T6086" t="s">
        <v>27255</v>
      </c>
    </row>
    <row r="6087" spans="1:20" x14ac:dyDescent="0.3">
      <c r="A6087" t="str">
        <f>"0611835607100"</f>
        <v>0611835607100</v>
      </c>
      <c r="B6087" t="str">
        <f>"LK6554"</f>
        <v>LK6554</v>
      </c>
      <c r="C6087" t="s">
        <v>39039</v>
      </c>
      <c r="D6087" t="s">
        <v>28138</v>
      </c>
      <c r="E6087" t="str">
        <f t="shared" si="95"/>
        <v>001390</v>
      </c>
      <c r="F6087" t="s">
        <v>27246</v>
      </c>
      <c r="G6087" t="s">
        <v>27247</v>
      </c>
      <c r="H6087" t="s">
        <v>27248</v>
      </c>
      <c r="I6087" t="s">
        <v>39040</v>
      </c>
      <c r="J6087" t="s">
        <v>12150</v>
      </c>
      <c r="L6087" t="s">
        <v>27250</v>
      </c>
      <c r="M6087" t="s">
        <v>27251</v>
      </c>
      <c r="N6087" t="s">
        <v>27252</v>
      </c>
      <c r="P6087" t="s">
        <v>27925</v>
      </c>
      <c r="Q6087" s="1">
        <v>44538</v>
      </c>
      <c r="R6087" t="s">
        <v>27253</v>
      </c>
      <c r="S6087" t="s">
        <v>27254</v>
      </c>
      <c r="T6087" t="s">
        <v>27255</v>
      </c>
    </row>
    <row r="6088" spans="1:20" x14ac:dyDescent="0.3">
      <c r="A6088" t="str">
        <f>"0611835608100"</f>
        <v>0611835608100</v>
      </c>
      <c r="B6088" t="str">
        <f>"LK6906"</f>
        <v>LK6906</v>
      </c>
      <c r="C6088" t="s">
        <v>39041</v>
      </c>
      <c r="D6088" t="s">
        <v>28138</v>
      </c>
      <c r="E6088" t="str">
        <f t="shared" si="95"/>
        <v>001390</v>
      </c>
      <c r="F6088" t="s">
        <v>27246</v>
      </c>
      <c r="G6088" t="s">
        <v>27247</v>
      </c>
      <c r="H6088" t="s">
        <v>27248</v>
      </c>
      <c r="I6088" t="s">
        <v>39042</v>
      </c>
      <c r="J6088" t="s">
        <v>12152</v>
      </c>
      <c r="L6088" t="s">
        <v>27250</v>
      </c>
      <c r="M6088" t="s">
        <v>27251</v>
      </c>
      <c r="N6088" t="s">
        <v>27252</v>
      </c>
      <c r="P6088" t="s">
        <v>27925</v>
      </c>
      <c r="Q6088" s="1">
        <v>44538</v>
      </c>
      <c r="R6088" t="s">
        <v>27253</v>
      </c>
      <c r="S6088" t="s">
        <v>27254</v>
      </c>
      <c r="T6088" t="s">
        <v>27255</v>
      </c>
    </row>
    <row r="6089" spans="1:20" x14ac:dyDescent="0.3">
      <c r="A6089" t="str">
        <f>"0611835609100"</f>
        <v>0611835609100</v>
      </c>
      <c r="B6089" t="str">
        <f>"LK6555"</f>
        <v>LK6555</v>
      </c>
      <c r="C6089" t="s">
        <v>39043</v>
      </c>
      <c r="D6089" t="s">
        <v>28138</v>
      </c>
      <c r="E6089" t="str">
        <f t="shared" si="95"/>
        <v>001390</v>
      </c>
      <c r="F6089" t="s">
        <v>27246</v>
      </c>
      <c r="G6089" t="s">
        <v>27247</v>
      </c>
      <c r="H6089" t="s">
        <v>27248</v>
      </c>
      <c r="I6089" t="s">
        <v>39044</v>
      </c>
      <c r="J6089" t="s">
        <v>12154</v>
      </c>
      <c r="L6089" t="s">
        <v>27250</v>
      </c>
      <c r="M6089" t="s">
        <v>27251</v>
      </c>
      <c r="N6089" t="s">
        <v>27252</v>
      </c>
      <c r="P6089" t="s">
        <v>27925</v>
      </c>
      <c r="Q6089" s="1">
        <v>44538</v>
      </c>
      <c r="R6089" t="s">
        <v>27253</v>
      </c>
      <c r="S6089" t="s">
        <v>27254</v>
      </c>
      <c r="T6089" t="s">
        <v>27255</v>
      </c>
    </row>
    <row r="6090" spans="1:20" x14ac:dyDescent="0.3">
      <c r="A6090" t="str">
        <f>"0611835610100"</f>
        <v>0611835610100</v>
      </c>
      <c r="B6090" t="str">
        <f>"LK6556"</f>
        <v>LK6556</v>
      </c>
      <c r="C6090" t="s">
        <v>39045</v>
      </c>
      <c r="D6090" t="s">
        <v>28138</v>
      </c>
      <c r="E6090" t="str">
        <f t="shared" si="95"/>
        <v>001390</v>
      </c>
      <c r="F6090" t="s">
        <v>27246</v>
      </c>
      <c r="G6090" t="s">
        <v>27247</v>
      </c>
      <c r="H6090" t="s">
        <v>27248</v>
      </c>
      <c r="I6090" t="s">
        <v>39046</v>
      </c>
      <c r="J6090" t="s">
        <v>12156</v>
      </c>
      <c r="L6090" t="s">
        <v>27250</v>
      </c>
      <c r="M6090" t="s">
        <v>27251</v>
      </c>
      <c r="N6090" t="s">
        <v>27252</v>
      </c>
      <c r="P6090" t="s">
        <v>27925</v>
      </c>
      <c r="Q6090" s="1">
        <v>44538</v>
      </c>
      <c r="R6090" t="s">
        <v>27253</v>
      </c>
      <c r="S6090" t="s">
        <v>27254</v>
      </c>
      <c r="T6090" t="s">
        <v>27255</v>
      </c>
    </row>
    <row r="6091" spans="1:20" x14ac:dyDescent="0.3">
      <c r="A6091" t="str">
        <f>"0611835611100"</f>
        <v>0611835611100</v>
      </c>
      <c r="B6091" t="str">
        <f>"LB3630"</f>
        <v>LB3630</v>
      </c>
      <c r="C6091" t="s">
        <v>39047</v>
      </c>
      <c r="D6091" t="s">
        <v>27245</v>
      </c>
      <c r="E6091" t="str">
        <f t="shared" si="95"/>
        <v>001390</v>
      </c>
      <c r="F6091" t="s">
        <v>27246</v>
      </c>
      <c r="G6091" t="s">
        <v>27247</v>
      </c>
      <c r="H6091" t="s">
        <v>27248</v>
      </c>
      <c r="I6091" t="s">
        <v>39048</v>
      </c>
      <c r="J6091" t="s">
        <v>12184</v>
      </c>
      <c r="L6091" t="s">
        <v>27250</v>
      </c>
      <c r="M6091" t="s">
        <v>27251</v>
      </c>
      <c r="N6091" t="s">
        <v>27252</v>
      </c>
      <c r="Q6091" s="1">
        <v>44538</v>
      </c>
      <c r="R6091" t="s">
        <v>27253</v>
      </c>
      <c r="S6091" t="s">
        <v>27254</v>
      </c>
      <c r="T6091" t="s">
        <v>27255</v>
      </c>
    </row>
    <row r="6092" spans="1:20" x14ac:dyDescent="0.3">
      <c r="A6092" t="str">
        <f>"0611835612100"</f>
        <v>0611835612100</v>
      </c>
      <c r="B6092" t="str">
        <f>"LB3635"</f>
        <v>LB3635</v>
      </c>
      <c r="C6092" t="s">
        <v>39049</v>
      </c>
      <c r="D6092" t="s">
        <v>27245</v>
      </c>
      <c r="E6092" t="str">
        <f t="shared" si="95"/>
        <v>001390</v>
      </c>
      <c r="F6092" t="s">
        <v>27246</v>
      </c>
      <c r="G6092" t="s">
        <v>27247</v>
      </c>
      <c r="H6092" t="s">
        <v>27248</v>
      </c>
      <c r="I6092" t="s">
        <v>39050</v>
      </c>
      <c r="J6092" t="s">
        <v>12186</v>
      </c>
      <c r="L6092" t="s">
        <v>27250</v>
      </c>
      <c r="M6092" t="s">
        <v>27251</v>
      </c>
      <c r="N6092" t="s">
        <v>27252</v>
      </c>
      <c r="Q6092" s="1">
        <v>44538</v>
      </c>
      <c r="R6092" t="s">
        <v>27253</v>
      </c>
      <c r="S6092" t="s">
        <v>27254</v>
      </c>
      <c r="T6092" t="s">
        <v>27255</v>
      </c>
    </row>
    <row r="6093" spans="1:20" x14ac:dyDescent="0.3">
      <c r="A6093" t="str">
        <f>"0611835613100"</f>
        <v>0611835613100</v>
      </c>
      <c r="B6093" t="str">
        <f>"LB3637"</f>
        <v>LB3637</v>
      </c>
      <c r="C6093" t="s">
        <v>39051</v>
      </c>
      <c r="D6093" t="s">
        <v>27245</v>
      </c>
      <c r="E6093" t="str">
        <f t="shared" si="95"/>
        <v>001390</v>
      </c>
      <c r="F6093" t="s">
        <v>27246</v>
      </c>
      <c r="G6093" t="s">
        <v>27247</v>
      </c>
      <c r="H6093" t="s">
        <v>27248</v>
      </c>
      <c r="I6093" t="s">
        <v>39052</v>
      </c>
      <c r="J6093" t="s">
        <v>12188</v>
      </c>
      <c r="L6093" t="s">
        <v>27250</v>
      </c>
      <c r="M6093" t="s">
        <v>27251</v>
      </c>
      <c r="N6093" t="s">
        <v>27252</v>
      </c>
      <c r="Q6093" s="1">
        <v>44538</v>
      </c>
      <c r="R6093" t="s">
        <v>27253</v>
      </c>
      <c r="S6093" t="s">
        <v>27254</v>
      </c>
      <c r="T6093" t="s">
        <v>27255</v>
      </c>
    </row>
    <row r="6094" spans="1:20" x14ac:dyDescent="0.3">
      <c r="A6094" t="str">
        <f>"0611835614100"</f>
        <v>0611835614100</v>
      </c>
      <c r="B6094" t="str">
        <f>"LB3640"</f>
        <v>LB3640</v>
      </c>
      <c r="C6094" t="s">
        <v>39053</v>
      </c>
      <c r="D6094" t="s">
        <v>27245</v>
      </c>
      <c r="E6094" t="str">
        <f t="shared" si="95"/>
        <v>001390</v>
      </c>
      <c r="F6094" t="s">
        <v>27246</v>
      </c>
      <c r="G6094" t="s">
        <v>27247</v>
      </c>
      <c r="H6094" t="s">
        <v>27248</v>
      </c>
      <c r="I6094" t="s">
        <v>39054</v>
      </c>
      <c r="J6094" t="s">
        <v>12190</v>
      </c>
      <c r="L6094" t="s">
        <v>27250</v>
      </c>
      <c r="M6094" t="s">
        <v>27251</v>
      </c>
      <c r="N6094" t="s">
        <v>27252</v>
      </c>
      <c r="Q6094" s="1">
        <v>44538</v>
      </c>
      <c r="R6094" t="s">
        <v>27253</v>
      </c>
      <c r="S6094" t="s">
        <v>27254</v>
      </c>
      <c r="T6094" t="s">
        <v>27255</v>
      </c>
    </row>
    <row r="6095" spans="1:20" x14ac:dyDescent="0.3">
      <c r="A6095" t="str">
        <f>"0611835615100"</f>
        <v>0611835615100</v>
      </c>
      <c r="B6095" t="str">
        <f>"LB3642"</f>
        <v>LB3642</v>
      </c>
      <c r="C6095" t="s">
        <v>39055</v>
      </c>
      <c r="D6095" t="s">
        <v>27245</v>
      </c>
      <c r="E6095" t="str">
        <f t="shared" si="95"/>
        <v>001390</v>
      </c>
      <c r="F6095" t="s">
        <v>27246</v>
      </c>
      <c r="G6095" t="s">
        <v>27247</v>
      </c>
      <c r="H6095" t="s">
        <v>27248</v>
      </c>
      <c r="I6095" t="s">
        <v>39056</v>
      </c>
      <c r="J6095" t="s">
        <v>12192</v>
      </c>
      <c r="L6095" t="s">
        <v>27250</v>
      </c>
      <c r="M6095" t="s">
        <v>27251</v>
      </c>
      <c r="N6095" t="s">
        <v>27252</v>
      </c>
      <c r="Q6095" s="1">
        <v>44538</v>
      </c>
      <c r="R6095" t="s">
        <v>27253</v>
      </c>
      <c r="S6095" t="s">
        <v>27254</v>
      </c>
      <c r="T6095" t="s">
        <v>27255</v>
      </c>
    </row>
    <row r="6096" spans="1:20" x14ac:dyDescent="0.3">
      <c r="A6096" t="str">
        <f>"0611835616100"</f>
        <v>0611835616100</v>
      </c>
      <c r="B6096" t="str">
        <f>"LB3646"</f>
        <v>LB3646</v>
      </c>
      <c r="C6096" t="s">
        <v>39057</v>
      </c>
      <c r="D6096" t="s">
        <v>27245</v>
      </c>
      <c r="E6096" t="str">
        <f t="shared" si="95"/>
        <v>001390</v>
      </c>
      <c r="F6096" t="s">
        <v>27246</v>
      </c>
      <c r="G6096" t="s">
        <v>27247</v>
      </c>
      <c r="H6096" t="s">
        <v>27248</v>
      </c>
      <c r="I6096" t="s">
        <v>39058</v>
      </c>
      <c r="J6096" t="s">
        <v>12194</v>
      </c>
      <c r="L6096" t="s">
        <v>27250</v>
      </c>
      <c r="M6096" t="s">
        <v>27251</v>
      </c>
      <c r="N6096" t="s">
        <v>27252</v>
      </c>
      <c r="Q6096" s="1">
        <v>44538</v>
      </c>
      <c r="R6096" t="s">
        <v>27253</v>
      </c>
      <c r="S6096" t="s">
        <v>27254</v>
      </c>
      <c r="T6096" t="s">
        <v>27255</v>
      </c>
    </row>
    <row r="6097" spans="1:20" x14ac:dyDescent="0.3">
      <c r="A6097" t="str">
        <f>"0611835617100"</f>
        <v>0611835617100</v>
      </c>
      <c r="B6097" t="str">
        <f>"LB3650"</f>
        <v>LB3650</v>
      </c>
      <c r="C6097" t="s">
        <v>39059</v>
      </c>
      <c r="D6097" t="s">
        <v>27245</v>
      </c>
      <c r="E6097" t="str">
        <f t="shared" si="95"/>
        <v>001390</v>
      </c>
      <c r="F6097" t="s">
        <v>27246</v>
      </c>
      <c r="G6097" t="s">
        <v>27247</v>
      </c>
      <c r="H6097" t="s">
        <v>27248</v>
      </c>
      <c r="I6097" t="s">
        <v>39060</v>
      </c>
      <c r="J6097" t="s">
        <v>12196</v>
      </c>
      <c r="L6097" t="s">
        <v>27250</v>
      </c>
      <c r="M6097" t="s">
        <v>27251</v>
      </c>
      <c r="N6097" t="s">
        <v>27252</v>
      </c>
      <c r="Q6097" s="1">
        <v>44538</v>
      </c>
      <c r="R6097" t="s">
        <v>27253</v>
      </c>
      <c r="S6097" t="s">
        <v>27254</v>
      </c>
      <c r="T6097" t="s">
        <v>27255</v>
      </c>
    </row>
    <row r="6098" spans="1:20" x14ac:dyDescent="0.3">
      <c r="A6098" t="str">
        <f>"0611835620100"</f>
        <v>0611835620100</v>
      </c>
      <c r="B6098" t="str">
        <f>"LK4670"</f>
        <v>LK4670</v>
      </c>
      <c r="C6098" t="s">
        <v>39061</v>
      </c>
      <c r="D6098" t="s">
        <v>27245</v>
      </c>
      <c r="E6098" t="str">
        <f t="shared" si="95"/>
        <v>001390</v>
      </c>
      <c r="F6098" t="s">
        <v>27246</v>
      </c>
      <c r="G6098" t="s">
        <v>27247</v>
      </c>
      <c r="H6098" t="s">
        <v>27248</v>
      </c>
      <c r="I6098" t="s">
        <v>39062</v>
      </c>
      <c r="J6098" t="s">
        <v>12158</v>
      </c>
      <c r="L6098" t="s">
        <v>27250</v>
      </c>
      <c r="M6098" t="s">
        <v>27251</v>
      </c>
      <c r="N6098" t="s">
        <v>27252</v>
      </c>
      <c r="Q6098" s="1">
        <v>44538</v>
      </c>
      <c r="R6098" t="s">
        <v>27253</v>
      </c>
      <c r="S6098" t="s">
        <v>27254</v>
      </c>
      <c r="T6098" t="s">
        <v>27255</v>
      </c>
    </row>
    <row r="6099" spans="1:20" x14ac:dyDescent="0.3">
      <c r="A6099" t="str">
        <f>"0611835621100"</f>
        <v>0611835621100</v>
      </c>
      <c r="B6099" t="str">
        <f>"LK4671"</f>
        <v>LK4671</v>
      </c>
      <c r="C6099" t="s">
        <v>39063</v>
      </c>
      <c r="D6099" t="s">
        <v>27245</v>
      </c>
      <c r="E6099" t="str">
        <f t="shared" si="95"/>
        <v>001390</v>
      </c>
      <c r="F6099" t="s">
        <v>27246</v>
      </c>
      <c r="G6099" t="s">
        <v>27247</v>
      </c>
      <c r="H6099" t="s">
        <v>27248</v>
      </c>
      <c r="I6099" t="s">
        <v>39064</v>
      </c>
      <c r="J6099" t="s">
        <v>12160</v>
      </c>
      <c r="L6099" t="s">
        <v>27250</v>
      </c>
      <c r="M6099" t="s">
        <v>27251</v>
      </c>
      <c r="N6099" t="s">
        <v>27252</v>
      </c>
      <c r="Q6099" s="1">
        <v>44538</v>
      </c>
      <c r="R6099" t="s">
        <v>27253</v>
      </c>
      <c r="S6099" t="s">
        <v>27254</v>
      </c>
      <c r="T6099" t="s">
        <v>27255</v>
      </c>
    </row>
    <row r="6100" spans="1:20" x14ac:dyDescent="0.3">
      <c r="A6100" t="str">
        <f>"0611835623100"</f>
        <v>0611835623100</v>
      </c>
      <c r="B6100" t="str">
        <f>"LK4476"</f>
        <v>LK4476</v>
      </c>
      <c r="C6100" t="s">
        <v>39065</v>
      </c>
      <c r="D6100" t="s">
        <v>27245</v>
      </c>
      <c r="E6100" t="str">
        <f t="shared" si="95"/>
        <v>001390</v>
      </c>
      <c r="F6100" t="s">
        <v>27246</v>
      </c>
      <c r="G6100" t="s">
        <v>27247</v>
      </c>
      <c r="H6100" t="s">
        <v>27248</v>
      </c>
      <c r="I6100" t="s">
        <v>39066</v>
      </c>
      <c r="J6100" t="s">
        <v>12162</v>
      </c>
      <c r="L6100" t="s">
        <v>27250</v>
      </c>
      <c r="M6100" t="s">
        <v>27251</v>
      </c>
      <c r="N6100" t="s">
        <v>27252</v>
      </c>
      <c r="Q6100" s="1">
        <v>44538</v>
      </c>
      <c r="R6100" t="s">
        <v>27253</v>
      </c>
      <c r="S6100" t="s">
        <v>27254</v>
      </c>
      <c r="T6100" t="s">
        <v>27255</v>
      </c>
    </row>
    <row r="6101" spans="1:20" x14ac:dyDescent="0.3">
      <c r="A6101" t="str">
        <f>"0611835624100"</f>
        <v>0611835624100</v>
      </c>
      <c r="B6101" t="str">
        <f>"LK4846"</f>
        <v>LK4846</v>
      </c>
      <c r="C6101" t="s">
        <v>39067</v>
      </c>
      <c r="D6101" t="s">
        <v>27245</v>
      </c>
      <c r="E6101" t="str">
        <f t="shared" si="95"/>
        <v>001390</v>
      </c>
      <c r="F6101" t="s">
        <v>27246</v>
      </c>
      <c r="G6101" t="s">
        <v>27247</v>
      </c>
      <c r="H6101" t="s">
        <v>27248</v>
      </c>
      <c r="I6101" t="s">
        <v>39068</v>
      </c>
      <c r="J6101" t="s">
        <v>12164</v>
      </c>
      <c r="L6101" t="s">
        <v>27250</v>
      </c>
      <c r="M6101" t="s">
        <v>27251</v>
      </c>
      <c r="N6101" t="s">
        <v>27252</v>
      </c>
      <c r="Q6101" s="1">
        <v>44538</v>
      </c>
      <c r="R6101" t="s">
        <v>27253</v>
      </c>
      <c r="S6101" t="s">
        <v>27254</v>
      </c>
      <c r="T6101" t="s">
        <v>27255</v>
      </c>
    </row>
    <row r="6102" spans="1:20" x14ac:dyDescent="0.3">
      <c r="A6102" t="str">
        <f>"0611835625100"</f>
        <v>0611835625100</v>
      </c>
      <c r="B6102" t="str">
        <f>"LK4940"</f>
        <v>LK4940</v>
      </c>
      <c r="C6102" t="s">
        <v>39069</v>
      </c>
      <c r="D6102" t="s">
        <v>27245</v>
      </c>
      <c r="E6102" t="str">
        <f t="shared" si="95"/>
        <v>001390</v>
      </c>
      <c r="F6102" t="s">
        <v>27246</v>
      </c>
      <c r="G6102" t="s">
        <v>27247</v>
      </c>
      <c r="H6102" t="s">
        <v>27248</v>
      </c>
      <c r="I6102" t="s">
        <v>39070</v>
      </c>
      <c r="J6102" t="s">
        <v>12166</v>
      </c>
      <c r="L6102" t="s">
        <v>27250</v>
      </c>
      <c r="M6102" t="s">
        <v>27251</v>
      </c>
      <c r="N6102" t="s">
        <v>27252</v>
      </c>
      <c r="Q6102" s="1">
        <v>44538</v>
      </c>
      <c r="R6102" t="s">
        <v>27253</v>
      </c>
      <c r="S6102" t="s">
        <v>27254</v>
      </c>
      <c r="T6102" t="s">
        <v>27255</v>
      </c>
    </row>
    <row r="6103" spans="1:20" x14ac:dyDescent="0.3">
      <c r="A6103" t="str">
        <f>"0611835626100"</f>
        <v>0611835626100</v>
      </c>
      <c r="B6103" t="str">
        <f>"LK5011"</f>
        <v>LK5011</v>
      </c>
      <c r="C6103" t="s">
        <v>39071</v>
      </c>
      <c r="D6103" t="s">
        <v>27245</v>
      </c>
      <c r="E6103" t="str">
        <f t="shared" si="95"/>
        <v>001390</v>
      </c>
      <c r="F6103" t="s">
        <v>27246</v>
      </c>
      <c r="G6103" t="s">
        <v>27247</v>
      </c>
      <c r="H6103" t="s">
        <v>27248</v>
      </c>
      <c r="I6103" t="s">
        <v>39072</v>
      </c>
      <c r="J6103" t="s">
        <v>12168</v>
      </c>
      <c r="L6103" t="s">
        <v>27250</v>
      </c>
      <c r="M6103" t="s">
        <v>27251</v>
      </c>
      <c r="N6103" t="s">
        <v>27252</v>
      </c>
      <c r="Q6103" s="1">
        <v>44538</v>
      </c>
      <c r="R6103" t="s">
        <v>27253</v>
      </c>
      <c r="S6103" t="s">
        <v>27254</v>
      </c>
      <c r="T6103" t="s">
        <v>27255</v>
      </c>
    </row>
    <row r="6104" spans="1:20" x14ac:dyDescent="0.3">
      <c r="A6104" t="str">
        <f>"0611835627100"</f>
        <v>0611835627100</v>
      </c>
      <c r="B6104" t="str">
        <f>"LK4673"</f>
        <v>LK4673</v>
      </c>
      <c r="C6104" t="s">
        <v>39073</v>
      </c>
      <c r="D6104" t="s">
        <v>27245</v>
      </c>
      <c r="E6104" t="str">
        <f t="shared" si="95"/>
        <v>001390</v>
      </c>
      <c r="F6104" t="s">
        <v>27246</v>
      </c>
      <c r="G6104" t="s">
        <v>27247</v>
      </c>
      <c r="H6104" t="s">
        <v>27248</v>
      </c>
      <c r="I6104" t="s">
        <v>39074</v>
      </c>
      <c r="J6104" t="s">
        <v>12170</v>
      </c>
      <c r="L6104" t="s">
        <v>27250</v>
      </c>
      <c r="M6104" t="s">
        <v>27251</v>
      </c>
      <c r="N6104" t="s">
        <v>27252</v>
      </c>
      <c r="Q6104" s="1">
        <v>44538</v>
      </c>
      <c r="R6104" t="s">
        <v>27253</v>
      </c>
      <c r="S6104" t="s">
        <v>27254</v>
      </c>
      <c r="T6104" t="s">
        <v>27255</v>
      </c>
    </row>
    <row r="6105" spans="1:20" x14ac:dyDescent="0.3">
      <c r="A6105" t="str">
        <f>"0611835628100"</f>
        <v>0611835628100</v>
      </c>
      <c r="B6105" t="str">
        <f>"LK4479"</f>
        <v>LK4479</v>
      </c>
      <c r="C6105" t="s">
        <v>39075</v>
      </c>
      <c r="D6105" t="s">
        <v>27245</v>
      </c>
      <c r="E6105" t="str">
        <f t="shared" si="95"/>
        <v>001390</v>
      </c>
      <c r="F6105" t="s">
        <v>27246</v>
      </c>
      <c r="G6105" t="s">
        <v>27247</v>
      </c>
      <c r="H6105" t="s">
        <v>27248</v>
      </c>
      <c r="I6105" t="s">
        <v>39076</v>
      </c>
      <c r="J6105" t="s">
        <v>12172</v>
      </c>
      <c r="L6105" t="s">
        <v>27250</v>
      </c>
      <c r="M6105" t="s">
        <v>27251</v>
      </c>
      <c r="N6105" t="s">
        <v>27252</v>
      </c>
      <c r="Q6105" s="1">
        <v>44538</v>
      </c>
      <c r="R6105" t="s">
        <v>27253</v>
      </c>
      <c r="S6105" t="s">
        <v>27254</v>
      </c>
      <c r="T6105" t="s">
        <v>27255</v>
      </c>
    </row>
    <row r="6106" spans="1:20" x14ac:dyDescent="0.3">
      <c r="A6106" t="str">
        <f>"0611835629100"</f>
        <v>0611835629100</v>
      </c>
      <c r="B6106" t="str">
        <f>"LK4674"</f>
        <v>LK4674</v>
      </c>
      <c r="C6106" t="s">
        <v>39077</v>
      </c>
      <c r="D6106" t="s">
        <v>27245</v>
      </c>
      <c r="E6106" t="str">
        <f t="shared" si="95"/>
        <v>001390</v>
      </c>
      <c r="F6106" t="s">
        <v>27246</v>
      </c>
      <c r="G6106" t="s">
        <v>27247</v>
      </c>
      <c r="H6106" t="s">
        <v>27248</v>
      </c>
      <c r="I6106" t="s">
        <v>39078</v>
      </c>
      <c r="J6106" t="s">
        <v>12174</v>
      </c>
      <c r="L6106" t="s">
        <v>27250</v>
      </c>
      <c r="M6106" t="s">
        <v>27251</v>
      </c>
      <c r="N6106" t="s">
        <v>27252</v>
      </c>
      <c r="Q6106" s="1">
        <v>44538</v>
      </c>
      <c r="R6106" t="s">
        <v>27253</v>
      </c>
      <c r="S6106" t="s">
        <v>27254</v>
      </c>
      <c r="T6106" t="s">
        <v>27255</v>
      </c>
    </row>
    <row r="6107" spans="1:20" x14ac:dyDescent="0.3">
      <c r="A6107" t="str">
        <f>"0611835630100"</f>
        <v>0611835630100</v>
      </c>
      <c r="B6107" t="str">
        <f>"LK4675"</f>
        <v>LK4675</v>
      </c>
      <c r="C6107" t="s">
        <v>39079</v>
      </c>
      <c r="D6107" t="s">
        <v>27245</v>
      </c>
      <c r="E6107" t="str">
        <f t="shared" si="95"/>
        <v>001390</v>
      </c>
      <c r="F6107" t="s">
        <v>27246</v>
      </c>
      <c r="G6107" t="s">
        <v>27247</v>
      </c>
      <c r="H6107" t="s">
        <v>27248</v>
      </c>
      <c r="I6107" t="s">
        <v>39080</v>
      </c>
      <c r="J6107" t="s">
        <v>12176</v>
      </c>
      <c r="L6107" t="s">
        <v>27250</v>
      </c>
      <c r="M6107" t="s">
        <v>27251</v>
      </c>
      <c r="N6107" t="s">
        <v>27252</v>
      </c>
      <c r="Q6107" s="1">
        <v>44538</v>
      </c>
      <c r="R6107" t="s">
        <v>27253</v>
      </c>
      <c r="S6107" t="s">
        <v>27254</v>
      </c>
      <c r="T6107" t="s">
        <v>27255</v>
      </c>
    </row>
    <row r="6108" spans="1:20" x14ac:dyDescent="0.3">
      <c r="A6108" t="str">
        <f>"0611835632100"</f>
        <v>0611835632100</v>
      </c>
      <c r="B6108" t="str">
        <f>"LK4676"</f>
        <v>LK4676</v>
      </c>
      <c r="C6108" t="s">
        <v>39081</v>
      </c>
      <c r="D6108" t="s">
        <v>27245</v>
      </c>
      <c r="E6108" t="str">
        <f t="shared" si="95"/>
        <v>001390</v>
      </c>
      <c r="F6108" t="s">
        <v>27246</v>
      </c>
      <c r="G6108" t="s">
        <v>27247</v>
      </c>
      <c r="H6108" t="s">
        <v>27248</v>
      </c>
      <c r="I6108" t="s">
        <v>39082</v>
      </c>
      <c r="J6108" t="s">
        <v>12178</v>
      </c>
      <c r="L6108" t="s">
        <v>27250</v>
      </c>
      <c r="M6108" t="s">
        <v>27251</v>
      </c>
      <c r="N6108" t="s">
        <v>27252</v>
      </c>
      <c r="Q6108" s="1">
        <v>44538</v>
      </c>
      <c r="R6108" t="s">
        <v>27253</v>
      </c>
      <c r="S6108" t="s">
        <v>27254</v>
      </c>
      <c r="T6108" t="s">
        <v>27255</v>
      </c>
    </row>
    <row r="6109" spans="1:20" x14ac:dyDescent="0.3">
      <c r="A6109" t="str">
        <f>"0611835633100"</f>
        <v>0611835633100</v>
      </c>
      <c r="B6109" t="str">
        <f>"LK4482"</f>
        <v>LK4482</v>
      </c>
      <c r="C6109" t="s">
        <v>39083</v>
      </c>
      <c r="D6109" t="s">
        <v>27245</v>
      </c>
      <c r="E6109" t="str">
        <f t="shared" si="95"/>
        <v>001390</v>
      </c>
      <c r="F6109" t="s">
        <v>27246</v>
      </c>
      <c r="G6109" t="s">
        <v>27247</v>
      </c>
      <c r="H6109" t="s">
        <v>27248</v>
      </c>
      <c r="I6109" t="s">
        <v>39084</v>
      </c>
      <c r="J6109" t="s">
        <v>12180</v>
      </c>
      <c r="L6109" t="s">
        <v>27250</v>
      </c>
      <c r="M6109" t="s">
        <v>27251</v>
      </c>
      <c r="N6109" t="s">
        <v>27252</v>
      </c>
      <c r="Q6109" s="1">
        <v>44538</v>
      </c>
      <c r="R6109" t="s">
        <v>27253</v>
      </c>
      <c r="S6109" t="s">
        <v>27254</v>
      </c>
      <c r="T6109" t="s">
        <v>27255</v>
      </c>
    </row>
    <row r="6110" spans="1:20" x14ac:dyDescent="0.3">
      <c r="A6110" t="str">
        <f>"0611835634100"</f>
        <v>0611835634100</v>
      </c>
      <c r="B6110" t="str">
        <f>"LK4677"</f>
        <v>LK4677</v>
      </c>
      <c r="C6110" t="s">
        <v>39085</v>
      </c>
      <c r="D6110" t="s">
        <v>27245</v>
      </c>
      <c r="E6110" t="str">
        <f t="shared" si="95"/>
        <v>001390</v>
      </c>
      <c r="F6110" t="s">
        <v>27246</v>
      </c>
      <c r="G6110" t="s">
        <v>27247</v>
      </c>
      <c r="H6110" t="s">
        <v>27248</v>
      </c>
      <c r="I6110" t="s">
        <v>39086</v>
      </c>
      <c r="J6110" t="s">
        <v>12182</v>
      </c>
      <c r="L6110" t="s">
        <v>27250</v>
      </c>
      <c r="M6110" t="s">
        <v>27251</v>
      </c>
      <c r="N6110" t="s">
        <v>27252</v>
      </c>
      <c r="Q6110" s="1">
        <v>44538</v>
      </c>
      <c r="R6110" t="s">
        <v>27253</v>
      </c>
      <c r="S6110" t="s">
        <v>27254</v>
      </c>
      <c r="T6110" t="s">
        <v>27255</v>
      </c>
    </row>
    <row r="6111" spans="1:20" x14ac:dyDescent="0.3">
      <c r="A6111" t="str">
        <f>"0611835635100"</f>
        <v>0611835635100</v>
      </c>
      <c r="B6111" t="str">
        <f>"LS0053"</f>
        <v>LS0053</v>
      </c>
      <c r="C6111" t="s">
        <v>39087</v>
      </c>
      <c r="D6111" t="s">
        <v>27245</v>
      </c>
      <c r="E6111" t="str">
        <f t="shared" si="95"/>
        <v>001390</v>
      </c>
      <c r="F6111" t="s">
        <v>27246</v>
      </c>
      <c r="G6111" t="s">
        <v>27247</v>
      </c>
      <c r="H6111" t="s">
        <v>27248</v>
      </c>
      <c r="I6111" t="s">
        <v>39088</v>
      </c>
      <c r="J6111" t="s">
        <v>12198</v>
      </c>
      <c r="L6111" t="s">
        <v>27250</v>
      </c>
      <c r="M6111" t="s">
        <v>27251</v>
      </c>
      <c r="N6111" t="s">
        <v>27252</v>
      </c>
      <c r="Q6111" s="1">
        <v>44538</v>
      </c>
      <c r="R6111" t="s">
        <v>27253</v>
      </c>
      <c r="S6111" t="s">
        <v>27254</v>
      </c>
      <c r="T6111" t="s">
        <v>27255</v>
      </c>
    </row>
    <row r="6112" spans="1:20" x14ac:dyDescent="0.3">
      <c r="A6112" t="str">
        <f>"0611835636100"</f>
        <v>0611835636100</v>
      </c>
      <c r="B6112" t="str">
        <f>"LS0055"</f>
        <v>LS0055</v>
      </c>
      <c r="C6112" t="s">
        <v>39089</v>
      </c>
      <c r="D6112" t="s">
        <v>27245</v>
      </c>
      <c r="E6112" t="str">
        <f t="shared" si="95"/>
        <v>001390</v>
      </c>
      <c r="F6112" t="s">
        <v>27246</v>
      </c>
      <c r="G6112" t="s">
        <v>27247</v>
      </c>
      <c r="H6112" t="s">
        <v>27248</v>
      </c>
      <c r="I6112" t="s">
        <v>39090</v>
      </c>
      <c r="J6112" t="s">
        <v>12202</v>
      </c>
      <c r="L6112" t="s">
        <v>27250</v>
      </c>
      <c r="M6112" t="s">
        <v>27251</v>
      </c>
      <c r="N6112" t="s">
        <v>27252</v>
      </c>
      <c r="Q6112" s="1">
        <v>44538</v>
      </c>
      <c r="R6112" t="s">
        <v>27253</v>
      </c>
      <c r="S6112" t="s">
        <v>27254</v>
      </c>
      <c r="T6112" t="s">
        <v>27255</v>
      </c>
    </row>
    <row r="6113" spans="1:20" x14ac:dyDescent="0.3">
      <c r="A6113" t="str">
        <f>"0611835637100"</f>
        <v>0611835637100</v>
      </c>
      <c r="B6113" t="str">
        <f>"LS0054"</f>
        <v>LS0054</v>
      </c>
      <c r="C6113" t="s">
        <v>39091</v>
      </c>
      <c r="D6113" t="s">
        <v>27245</v>
      </c>
      <c r="E6113" t="str">
        <f t="shared" si="95"/>
        <v>001390</v>
      </c>
      <c r="F6113" t="s">
        <v>27246</v>
      </c>
      <c r="G6113" t="s">
        <v>27247</v>
      </c>
      <c r="H6113" t="s">
        <v>27248</v>
      </c>
      <c r="I6113" t="s">
        <v>39092</v>
      </c>
      <c r="J6113" t="s">
        <v>12200</v>
      </c>
      <c r="L6113" t="s">
        <v>27250</v>
      </c>
      <c r="M6113" t="s">
        <v>27251</v>
      </c>
      <c r="N6113" t="s">
        <v>27252</v>
      </c>
      <c r="Q6113" s="1">
        <v>44538</v>
      </c>
      <c r="R6113" t="s">
        <v>27253</v>
      </c>
      <c r="S6113" t="s">
        <v>27254</v>
      </c>
      <c r="T6113" t="s">
        <v>27255</v>
      </c>
    </row>
    <row r="6114" spans="1:20" x14ac:dyDescent="0.3">
      <c r="A6114" t="str">
        <f>"0611856995100"</f>
        <v>0611856995100</v>
      </c>
      <c r="B6114" t="str">
        <f>"LK7089"</f>
        <v>LK7089</v>
      </c>
      <c r="C6114" t="s">
        <v>39093</v>
      </c>
      <c r="D6114" t="s">
        <v>27245</v>
      </c>
      <c r="E6114" t="str">
        <f t="shared" si="95"/>
        <v>001390</v>
      </c>
      <c r="F6114" t="s">
        <v>27246</v>
      </c>
      <c r="G6114" t="s">
        <v>27247</v>
      </c>
      <c r="H6114" t="s">
        <v>27248</v>
      </c>
      <c r="I6114" t="s">
        <v>39094</v>
      </c>
      <c r="J6114" t="s">
        <v>12204</v>
      </c>
      <c r="L6114" t="s">
        <v>27250</v>
      </c>
      <c r="M6114" t="s">
        <v>27251</v>
      </c>
      <c r="N6114" t="s">
        <v>27252</v>
      </c>
      <c r="Q6114" s="1">
        <v>44812</v>
      </c>
      <c r="R6114" t="s">
        <v>27253</v>
      </c>
      <c r="S6114" t="s">
        <v>27254</v>
      </c>
      <c r="T6114" t="s">
        <v>27255</v>
      </c>
    </row>
    <row r="6115" spans="1:20" x14ac:dyDescent="0.3">
      <c r="A6115" t="str">
        <f>"0611862598050"</f>
        <v>0611862598050</v>
      </c>
      <c r="B6115" t="str">
        <f>"CR2402"</f>
        <v>CR2402</v>
      </c>
      <c r="C6115" t="s">
        <v>39095</v>
      </c>
      <c r="D6115" t="s">
        <v>27271</v>
      </c>
      <c r="E6115" t="str">
        <f t="shared" si="95"/>
        <v>001390</v>
      </c>
      <c r="F6115" t="s">
        <v>27246</v>
      </c>
      <c r="G6115" t="s">
        <v>27247</v>
      </c>
      <c r="H6115" t="s">
        <v>27248</v>
      </c>
      <c r="I6115" t="s">
        <v>39096</v>
      </c>
      <c r="J6115" t="s">
        <v>12206</v>
      </c>
      <c r="L6115" t="s">
        <v>27250</v>
      </c>
      <c r="M6115" t="s">
        <v>27251</v>
      </c>
      <c r="N6115" t="s">
        <v>27252</v>
      </c>
      <c r="P6115" t="s">
        <v>27341</v>
      </c>
      <c r="Q6115" s="1">
        <v>44846</v>
      </c>
      <c r="R6115" t="s">
        <v>27253</v>
      </c>
      <c r="S6115" t="s">
        <v>27254</v>
      </c>
      <c r="T6115" t="s">
        <v>27265</v>
      </c>
    </row>
    <row r="6116" spans="1:20" x14ac:dyDescent="0.3">
      <c r="A6116" t="str">
        <f>"0611862599050"</f>
        <v>0611862599050</v>
      </c>
      <c r="B6116" t="str">
        <f>"CR3093"</f>
        <v>CR3093</v>
      </c>
      <c r="C6116" t="s">
        <v>39097</v>
      </c>
      <c r="D6116" t="s">
        <v>27271</v>
      </c>
      <c r="E6116" t="str">
        <f t="shared" si="95"/>
        <v>001390</v>
      </c>
      <c r="F6116" t="s">
        <v>27246</v>
      </c>
      <c r="G6116" t="s">
        <v>27247</v>
      </c>
      <c r="H6116" t="s">
        <v>27248</v>
      </c>
      <c r="I6116" t="s">
        <v>39098</v>
      </c>
      <c r="J6116" t="s">
        <v>12208</v>
      </c>
      <c r="L6116" t="s">
        <v>27250</v>
      </c>
      <c r="M6116" t="s">
        <v>27251</v>
      </c>
      <c r="N6116" t="s">
        <v>27252</v>
      </c>
      <c r="P6116" t="s">
        <v>27341</v>
      </c>
      <c r="Q6116" s="1">
        <v>44846</v>
      </c>
      <c r="R6116" t="s">
        <v>27253</v>
      </c>
      <c r="S6116" t="s">
        <v>27254</v>
      </c>
      <c r="T6116" t="s">
        <v>27265</v>
      </c>
    </row>
    <row r="6117" spans="1:20" x14ac:dyDescent="0.3">
      <c r="A6117" t="str">
        <f>"0611862600050"</f>
        <v>0611862600050</v>
      </c>
      <c r="B6117" t="str">
        <f>"CR2403"</f>
        <v>CR2403</v>
      </c>
      <c r="C6117" t="s">
        <v>39099</v>
      </c>
      <c r="D6117" t="s">
        <v>27271</v>
      </c>
      <c r="E6117" t="str">
        <f t="shared" si="95"/>
        <v>001390</v>
      </c>
      <c r="F6117" t="s">
        <v>27246</v>
      </c>
      <c r="G6117" t="s">
        <v>27247</v>
      </c>
      <c r="H6117" t="s">
        <v>27248</v>
      </c>
      <c r="I6117" t="s">
        <v>39100</v>
      </c>
      <c r="J6117" t="s">
        <v>12210</v>
      </c>
      <c r="L6117" t="s">
        <v>27250</v>
      </c>
      <c r="M6117" t="s">
        <v>27251</v>
      </c>
      <c r="N6117" t="s">
        <v>27252</v>
      </c>
      <c r="P6117" t="s">
        <v>27341</v>
      </c>
      <c r="Q6117" s="1">
        <v>44846</v>
      </c>
      <c r="R6117" t="s">
        <v>27253</v>
      </c>
      <c r="S6117" t="s">
        <v>27254</v>
      </c>
      <c r="T6117" t="s">
        <v>27265</v>
      </c>
    </row>
    <row r="6118" spans="1:20" x14ac:dyDescent="0.3">
      <c r="A6118" t="str">
        <f>"0611862601050"</f>
        <v>0611862601050</v>
      </c>
      <c r="B6118" t="str">
        <f>"CR2404"</f>
        <v>CR2404</v>
      </c>
      <c r="C6118" t="s">
        <v>39101</v>
      </c>
      <c r="D6118" t="s">
        <v>27271</v>
      </c>
      <c r="E6118" t="str">
        <f t="shared" si="95"/>
        <v>001390</v>
      </c>
      <c r="F6118" t="s">
        <v>27246</v>
      </c>
      <c r="G6118" t="s">
        <v>27247</v>
      </c>
      <c r="H6118" t="s">
        <v>27248</v>
      </c>
      <c r="I6118" t="s">
        <v>39102</v>
      </c>
      <c r="J6118" t="s">
        <v>12212</v>
      </c>
      <c r="L6118" t="s">
        <v>27250</v>
      </c>
      <c r="M6118" t="s">
        <v>27251</v>
      </c>
      <c r="N6118" t="s">
        <v>27252</v>
      </c>
      <c r="P6118" t="s">
        <v>27341</v>
      </c>
      <c r="Q6118" s="1">
        <v>44846</v>
      </c>
      <c r="R6118" t="s">
        <v>27253</v>
      </c>
      <c r="S6118" t="s">
        <v>27254</v>
      </c>
      <c r="T6118" t="s">
        <v>27265</v>
      </c>
    </row>
    <row r="6119" spans="1:20" x14ac:dyDescent="0.3">
      <c r="A6119" t="str">
        <f>"0611862602050"</f>
        <v>0611862602050</v>
      </c>
      <c r="B6119" t="str">
        <f>"CR2711"</f>
        <v>CR2711</v>
      </c>
      <c r="C6119" t="s">
        <v>39103</v>
      </c>
      <c r="D6119" t="s">
        <v>27271</v>
      </c>
      <c r="E6119" t="str">
        <f t="shared" si="95"/>
        <v>001390</v>
      </c>
      <c r="F6119" t="s">
        <v>27246</v>
      </c>
      <c r="G6119" t="s">
        <v>27247</v>
      </c>
      <c r="H6119" t="s">
        <v>27248</v>
      </c>
      <c r="I6119" t="s">
        <v>39104</v>
      </c>
      <c r="J6119" t="s">
        <v>12214</v>
      </c>
      <c r="L6119" t="s">
        <v>27250</v>
      </c>
      <c r="M6119" t="s">
        <v>27251</v>
      </c>
      <c r="N6119" t="s">
        <v>27252</v>
      </c>
      <c r="P6119" t="s">
        <v>27341</v>
      </c>
      <c r="Q6119" s="1">
        <v>44846</v>
      </c>
      <c r="R6119" t="s">
        <v>27253</v>
      </c>
      <c r="S6119" t="s">
        <v>27254</v>
      </c>
      <c r="T6119" t="s">
        <v>27265</v>
      </c>
    </row>
    <row r="6120" spans="1:20" x14ac:dyDescent="0.3">
      <c r="A6120" t="str">
        <f>"0611862603050"</f>
        <v>0611862603050</v>
      </c>
      <c r="B6120" t="str">
        <f>"CR2406"</f>
        <v>CR2406</v>
      </c>
      <c r="C6120" t="s">
        <v>39105</v>
      </c>
      <c r="D6120" t="s">
        <v>27271</v>
      </c>
      <c r="E6120" t="str">
        <f t="shared" si="95"/>
        <v>001390</v>
      </c>
      <c r="F6120" t="s">
        <v>27246</v>
      </c>
      <c r="G6120" t="s">
        <v>27247</v>
      </c>
      <c r="H6120" t="s">
        <v>27248</v>
      </c>
      <c r="I6120" t="s">
        <v>39106</v>
      </c>
      <c r="J6120" t="s">
        <v>12216</v>
      </c>
      <c r="L6120" t="s">
        <v>27250</v>
      </c>
      <c r="M6120" t="s">
        <v>27251</v>
      </c>
      <c r="N6120" t="s">
        <v>27252</v>
      </c>
      <c r="P6120" t="s">
        <v>27341</v>
      </c>
      <c r="Q6120" s="1">
        <v>44846</v>
      </c>
      <c r="R6120" t="s">
        <v>27253</v>
      </c>
      <c r="S6120" t="s">
        <v>27254</v>
      </c>
      <c r="T6120" t="s">
        <v>27265</v>
      </c>
    </row>
    <row r="6121" spans="1:20" x14ac:dyDescent="0.3">
      <c r="A6121" t="str">
        <f>"0611862604050"</f>
        <v>0611862604050</v>
      </c>
      <c r="B6121" t="str">
        <f>"CR3703"</f>
        <v>CR3703</v>
      </c>
      <c r="C6121" t="s">
        <v>39107</v>
      </c>
      <c r="D6121" t="s">
        <v>27271</v>
      </c>
      <c r="E6121" t="str">
        <f t="shared" si="95"/>
        <v>001390</v>
      </c>
      <c r="F6121" t="s">
        <v>27246</v>
      </c>
      <c r="G6121" t="s">
        <v>27247</v>
      </c>
      <c r="H6121" t="s">
        <v>27248</v>
      </c>
      <c r="I6121" t="s">
        <v>39108</v>
      </c>
      <c r="J6121" t="s">
        <v>12218</v>
      </c>
      <c r="L6121" t="s">
        <v>27250</v>
      </c>
      <c r="M6121" t="s">
        <v>27251</v>
      </c>
      <c r="N6121" t="s">
        <v>27252</v>
      </c>
      <c r="P6121" t="s">
        <v>27341</v>
      </c>
      <c r="Q6121" s="1">
        <v>44846</v>
      </c>
      <c r="R6121" t="s">
        <v>27253</v>
      </c>
      <c r="S6121" t="s">
        <v>27254</v>
      </c>
      <c r="T6121" t="s">
        <v>27265</v>
      </c>
    </row>
    <row r="6122" spans="1:20" x14ac:dyDescent="0.3">
      <c r="A6122" t="str">
        <f>"0611862605050"</f>
        <v>0611862605050</v>
      </c>
      <c r="B6122" t="str">
        <f>"CR2407"</f>
        <v>CR2407</v>
      </c>
      <c r="C6122" t="s">
        <v>39109</v>
      </c>
      <c r="D6122" t="s">
        <v>27271</v>
      </c>
      <c r="E6122" t="str">
        <f t="shared" si="95"/>
        <v>001390</v>
      </c>
      <c r="F6122" t="s">
        <v>27246</v>
      </c>
      <c r="G6122" t="s">
        <v>27247</v>
      </c>
      <c r="H6122" t="s">
        <v>27248</v>
      </c>
      <c r="I6122" t="s">
        <v>39110</v>
      </c>
      <c r="J6122" t="s">
        <v>12220</v>
      </c>
      <c r="L6122" t="s">
        <v>27250</v>
      </c>
      <c r="M6122" t="s">
        <v>27251</v>
      </c>
      <c r="N6122" t="s">
        <v>27252</v>
      </c>
      <c r="P6122" t="s">
        <v>27341</v>
      </c>
      <c r="Q6122" s="1">
        <v>44846</v>
      </c>
      <c r="R6122" t="s">
        <v>27253</v>
      </c>
      <c r="S6122" t="s">
        <v>27254</v>
      </c>
      <c r="T6122" t="s">
        <v>27265</v>
      </c>
    </row>
    <row r="6123" spans="1:20" x14ac:dyDescent="0.3">
      <c r="A6123" t="str">
        <f>"0611862606050"</f>
        <v>0611862606050</v>
      </c>
      <c r="B6123" t="str">
        <f>"CR4078"</f>
        <v>CR4078</v>
      </c>
      <c r="C6123" t="s">
        <v>39111</v>
      </c>
      <c r="D6123" t="s">
        <v>27271</v>
      </c>
      <c r="E6123" t="str">
        <f t="shared" si="95"/>
        <v>001390</v>
      </c>
      <c r="F6123" t="s">
        <v>27246</v>
      </c>
      <c r="G6123" t="s">
        <v>27247</v>
      </c>
      <c r="H6123" t="s">
        <v>27248</v>
      </c>
      <c r="I6123" t="s">
        <v>39112</v>
      </c>
      <c r="J6123" t="s">
        <v>12222</v>
      </c>
      <c r="L6123" t="s">
        <v>27250</v>
      </c>
      <c r="M6123" t="s">
        <v>27251</v>
      </c>
      <c r="N6123" t="s">
        <v>27252</v>
      </c>
      <c r="P6123" t="s">
        <v>27341</v>
      </c>
      <c r="Q6123" s="1">
        <v>44846</v>
      </c>
      <c r="R6123" t="s">
        <v>27253</v>
      </c>
      <c r="S6123" t="s">
        <v>27254</v>
      </c>
      <c r="T6123" t="s">
        <v>27265</v>
      </c>
    </row>
    <row r="6124" spans="1:20" x14ac:dyDescent="0.3">
      <c r="A6124" t="str">
        <f>"0611862607050"</f>
        <v>0611862607050</v>
      </c>
      <c r="B6124" t="str">
        <f>"CR4079"</f>
        <v>CR4079</v>
      </c>
      <c r="C6124" t="s">
        <v>39113</v>
      </c>
      <c r="D6124" t="s">
        <v>27271</v>
      </c>
      <c r="E6124" t="str">
        <f t="shared" si="95"/>
        <v>001390</v>
      </c>
      <c r="F6124" t="s">
        <v>27246</v>
      </c>
      <c r="G6124" t="s">
        <v>27247</v>
      </c>
      <c r="H6124" t="s">
        <v>27248</v>
      </c>
      <c r="I6124" t="s">
        <v>39114</v>
      </c>
      <c r="J6124" t="s">
        <v>12224</v>
      </c>
      <c r="L6124" t="s">
        <v>27250</v>
      </c>
      <c r="M6124" t="s">
        <v>27251</v>
      </c>
      <c r="N6124" t="s">
        <v>27252</v>
      </c>
      <c r="P6124" t="s">
        <v>27341</v>
      </c>
      <c r="Q6124" s="1">
        <v>44846</v>
      </c>
      <c r="R6124" t="s">
        <v>27253</v>
      </c>
      <c r="S6124" t="s">
        <v>27254</v>
      </c>
      <c r="T6124" t="s">
        <v>27265</v>
      </c>
    </row>
    <row r="6125" spans="1:20" x14ac:dyDescent="0.3">
      <c r="A6125" t="str">
        <f>"0611862608050"</f>
        <v>0611862608050</v>
      </c>
      <c r="B6125" t="str">
        <f>"CR4878"</f>
        <v>CR4878</v>
      </c>
      <c r="C6125" t="s">
        <v>39115</v>
      </c>
      <c r="D6125" t="s">
        <v>27271</v>
      </c>
      <c r="E6125" t="str">
        <f t="shared" si="95"/>
        <v>001390</v>
      </c>
      <c r="F6125" t="s">
        <v>27246</v>
      </c>
      <c r="G6125" t="s">
        <v>27247</v>
      </c>
      <c r="H6125" t="s">
        <v>27248</v>
      </c>
      <c r="I6125" t="s">
        <v>39116</v>
      </c>
      <c r="J6125" t="s">
        <v>12226</v>
      </c>
      <c r="L6125" t="s">
        <v>27250</v>
      </c>
      <c r="M6125" t="s">
        <v>27251</v>
      </c>
      <c r="N6125" t="s">
        <v>27252</v>
      </c>
      <c r="P6125" t="s">
        <v>27341</v>
      </c>
      <c r="Q6125" s="1">
        <v>44846</v>
      </c>
      <c r="R6125" t="s">
        <v>27253</v>
      </c>
      <c r="S6125" t="s">
        <v>27254</v>
      </c>
      <c r="T6125" t="s">
        <v>27265</v>
      </c>
    </row>
    <row r="6126" spans="1:20" x14ac:dyDescent="0.3">
      <c r="A6126" t="str">
        <f>"0611862609050"</f>
        <v>0611862609050</v>
      </c>
      <c r="B6126" t="str">
        <f>"CR2408"</f>
        <v>CR2408</v>
      </c>
      <c r="C6126" t="s">
        <v>39117</v>
      </c>
      <c r="D6126" t="s">
        <v>27271</v>
      </c>
      <c r="E6126" t="str">
        <f t="shared" si="95"/>
        <v>001390</v>
      </c>
      <c r="F6126" t="s">
        <v>27246</v>
      </c>
      <c r="G6126" t="s">
        <v>27247</v>
      </c>
      <c r="H6126" t="s">
        <v>27248</v>
      </c>
      <c r="I6126" t="s">
        <v>39118</v>
      </c>
      <c r="J6126" t="s">
        <v>12228</v>
      </c>
      <c r="L6126" t="s">
        <v>27250</v>
      </c>
      <c r="M6126" t="s">
        <v>27251</v>
      </c>
      <c r="N6126" t="s">
        <v>27252</v>
      </c>
      <c r="P6126" t="s">
        <v>27341</v>
      </c>
      <c r="Q6126" s="1">
        <v>44846</v>
      </c>
      <c r="R6126" t="s">
        <v>27253</v>
      </c>
      <c r="S6126" t="s">
        <v>27254</v>
      </c>
      <c r="T6126" t="s">
        <v>27265</v>
      </c>
    </row>
    <row r="6127" spans="1:20" x14ac:dyDescent="0.3">
      <c r="A6127" t="str">
        <f>"0611862610050"</f>
        <v>0611862610050</v>
      </c>
      <c r="B6127" t="str">
        <f>"CR2409"</f>
        <v>CR2409</v>
      </c>
      <c r="C6127" t="s">
        <v>39119</v>
      </c>
      <c r="D6127" t="s">
        <v>27271</v>
      </c>
      <c r="E6127" t="str">
        <f t="shared" si="95"/>
        <v>001390</v>
      </c>
      <c r="F6127" t="s">
        <v>27246</v>
      </c>
      <c r="G6127" t="s">
        <v>27247</v>
      </c>
      <c r="H6127" t="s">
        <v>27248</v>
      </c>
      <c r="I6127" t="s">
        <v>39120</v>
      </c>
      <c r="J6127" t="s">
        <v>12230</v>
      </c>
      <c r="L6127" t="s">
        <v>27250</v>
      </c>
      <c r="M6127" t="s">
        <v>27251</v>
      </c>
      <c r="N6127" t="s">
        <v>27252</v>
      </c>
      <c r="P6127" t="s">
        <v>27341</v>
      </c>
      <c r="Q6127" s="1">
        <v>44846</v>
      </c>
      <c r="R6127" t="s">
        <v>27253</v>
      </c>
      <c r="S6127" t="s">
        <v>27254</v>
      </c>
      <c r="T6127" t="s">
        <v>27265</v>
      </c>
    </row>
    <row r="6128" spans="1:20" x14ac:dyDescent="0.3">
      <c r="A6128" t="str">
        <f>"0611862611050"</f>
        <v>0611862611050</v>
      </c>
      <c r="B6128" t="str">
        <f>"CR2410"</f>
        <v>CR2410</v>
      </c>
      <c r="C6128" t="s">
        <v>39121</v>
      </c>
      <c r="D6128" t="s">
        <v>27271</v>
      </c>
      <c r="E6128" t="str">
        <f t="shared" si="95"/>
        <v>001390</v>
      </c>
      <c r="F6128" t="s">
        <v>27246</v>
      </c>
      <c r="G6128" t="s">
        <v>27247</v>
      </c>
      <c r="H6128" t="s">
        <v>27248</v>
      </c>
      <c r="I6128" t="s">
        <v>39122</v>
      </c>
      <c r="J6128" t="s">
        <v>12232</v>
      </c>
      <c r="L6128" t="s">
        <v>27250</v>
      </c>
      <c r="M6128" t="s">
        <v>27251</v>
      </c>
      <c r="N6128" t="s">
        <v>27252</v>
      </c>
      <c r="P6128" t="s">
        <v>27341</v>
      </c>
      <c r="Q6128" s="1">
        <v>44846</v>
      </c>
      <c r="R6128" t="s">
        <v>27253</v>
      </c>
      <c r="S6128" t="s">
        <v>27254</v>
      </c>
      <c r="T6128" t="s">
        <v>27265</v>
      </c>
    </row>
    <row r="6129" spans="1:20" x14ac:dyDescent="0.3">
      <c r="A6129" t="str">
        <f>"0611862612050"</f>
        <v>0611862612050</v>
      </c>
      <c r="B6129" t="str">
        <f>"CR2964"</f>
        <v>CR2964</v>
      </c>
      <c r="C6129" t="s">
        <v>39123</v>
      </c>
      <c r="D6129" t="s">
        <v>27271</v>
      </c>
      <c r="E6129" t="str">
        <f t="shared" si="95"/>
        <v>001390</v>
      </c>
      <c r="F6129" t="s">
        <v>27246</v>
      </c>
      <c r="G6129" t="s">
        <v>27247</v>
      </c>
      <c r="H6129" t="s">
        <v>27248</v>
      </c>
      <c r="I6129" t="s">
        <v>39124</v>
      </c>
      <c r="J6129" t="s">
        <v>12234</v>
      </c>
      <c r="L6129" t="s">
        <v>27250</v>
      </c>
      <c r="M6129" t="s">
        <v>27251</v>
      </c>
      <c r="N6129" t="s">
        <v>27252</v>
      </c>
      <c r="P6129" t="s">
        <v>27341</v>
      </c>
      <c r="Q6129" s="1">
        <v>44846</v>
      </c>
      <c r="R6129" t="s">
        <v>27253</v>
      </c>
      <c r="S6129" t="s">
        <v>27254</v>
      </c>
      <c r="T6129" t="s">
        <v>27265</v>
      </c>
    </row>
    <row r="6130" spans="1:20" x14ac:dyDescent="0.3">
      <c r="A6130" t="str">
        <f>"0611862613050"</f>
        <v>0611862613050</v>
      </c>
      <c r="B6130" t="str">
        <f>"CR2411"</f>
        <v>CR2411</v>
      </c>
      <c r="C6130" t="s">
        <v>39125</v>
      </c>
      <c r="D6130" t="s">
        <v>27271</v>
      </c>
      <c r="E6130" t="str">
        <f t="shared" si="95"/>
        <v>001390</v>
      </c>
      <c r="F6130" t="s">
        <v>27246</v>
      </c>
      <c r="G6130" t="s">
        <v>27247</v>
      </c>
      <c r="H6130" t="s">
        <v>27248</v>
      </c>
      <c r="I6130" t="s">
        <v>39126</v>
      </c>
      <c r="J6130" t="s">
        <v>12236</v>
      </c>
      <c r="L6130" t="s">
        <v>27250</v>
      </c>
      <c r="M6130" t="s">
        <v>27251</v>
      </c>
      <c r="N6130" t="s">
        <v>27252</v>
      </c>
      <c r="P6130" t="s">
        <v>27341</v>
      </c>
      <c r="Q6130" s="1">
        <v>44846</v>
      </c>
      <c r="R6130" t="s">
        <v>27253</v>
      </c>
      <c r="S6130" t="s">
        <v>27254</v>
      </c>
      <c r="T6130" t="s">
        <v>27265</v>
      </c>
    </row>
    <row r="6131" spans="1:20" x14ac:dyDescent="0.3">
      <c r="A6131" t="str">
        <f>"0611884259050"</f>
        <v>0611884259050</v>
      </c>
      <c r="B6131" t="str">
        <f>"CR5412"</f>
        <v>CR5412</v>
      </c>
      <c r="C6131" t="s">
        <v>39127</v>
      </c>
      <c r="D6131" t="s">
        <v>27271</v>
      </c>
      <c r="E6131" t="str">
        <f t="shared" si="95"/>
        <v>001390</v>
      </c>
      <c r="F6131" t="s">
        <v>27246</v>
      </c>
      <c r="G6131" t="s">
        <v>27247</v>
      </c>
      <c r="H6131" t="s">
        <v>27248</v>
      </c>
      <c r="I6131" t="s">
        <v>39128</v>
      </c>
      <c r="J6131" t="s">
        <v>12238</v>
      </c>
      <c r="L6131" t="s">
        <v>27430</v>
      </c>
      <c r="M6131" t="s">
        <v>27251</v>
      </c>
      <c r="N6131" t="s">
        <v>27252</v>
      </c>
      <c r="P6131" t="s">
        <v>27341</v>
      </c>
      <c r="Q6131" s="1">
        <v>45250</v>
      </c>
      <c r="R6131" t="s">
        <v>27253</v>
      </c>
      <c r="S6131" t="s">
        <v>27254</v>
      </c>
      <c r="T6131" t="s">
        <v>27265</v>
      </c>
    </row>
    <row r="6132" spans="1:20" x14ac:dyDescent="0.3">
      <c r="A6132" t="str">
        <f>"0611862614050"</f>
        <v>0611862614050</v>
      </c>
      <c r="B6132" t="str">
        <f>"CR2412"</f>
        <v>CR2412</v>
      </c>
      <c r="C6132" t="s">
        <v>39129</v>
      </c>
      <c r="D6132" t="s">
        <v>27271</v>
      </c>
      <c r="E6132" t="str">
        <f t="shared" si="95"/>
        <v>001390</v>
      </c>
      <c r="F6132" t="s">
        <v>27246</v>
      </c>
      <c r="G6132" t="s">
        <v>27247</v>
      </c>
      <c r="H6132" t="s">
        <v>27248</v>
      </c>
      <c r="I6132" t="s">
        <v>39130</v>
      </c>
      <c r="J6132" t="s">
        <v>12240</v>
      </c>
      <c r="L6132" t="s">
        <v>27250</v>
      </c>
      <c r="M6132" t="s">
        <v>27251</v>
      </c>
      <c r="N6132" t="s">
        <v>27252</v>
      </c>
      <c r="P6132" t="s">
        <v>27341</v>
      </c>
      <c r="Q6132" s="1">
        <v>44846</v>
      </c>
      <c r="R6132" t="s">
        <v>27253</v>
      </c>
      <c r="S6132" t="s">
        <v>27254</v>
      </c>
      <c r="T6132" t="s">
        <v>27265</v>
      </c>
    </row>
    <row r="6133" spans="1:20" x14ac:dyDescent="0.3">
      <c r="A6133" t="str">
        <f>"0611862615050"</f>
        <v>0611862615050</v>
      </c>
      <c r="B6133" t="str">
        <f>"CR4080"</f>
        <v>CR4080</v>
      </c>
      <c r="C6133" t="s">
        <v>39131</v>
      </c>
      <c r="D6133" t="s">
        <v>27271</v>
      </c>
      <c r="E6133" t="str">
        <f t="shared" si="95"/>
        <v>001390</v>
      </c>
      <c r="F6133" t="s">
        <v>27246</v>
      </c>
      <c r="G6133" t="s">
        <v>27247</v>
      </c>
      <c r="H6133" t="s">
        <v>27248</v>
      </c>
      <c r="I6133" t="s">
        <v>39132</v>
      </c>
      <c r="J6133" t="s">
        <v>12242</v>
      </c>
      <c r="L6133" t="s">
        <v>27250</v>
      </c>
      <c r="M6133" t="s">
        <v>27251</v>
      </c>
      <c r="N6133" t="s">
        <v>27252</v>
      </c>
      <c r="P6133" t="s">
        <v>27341</v>
      </c>
      <c r="Q6133" s="1">
        <v>44846</v>
      </c>
      <c r="R6133" t="s">
        <v>27253</v>
      </c>
      <c r="S6133" t="s">
        <v>27254</v>
      </c>
      <c r="T6133" t="s">
        <v>27265</v>
      </c>
    </row>
    <row r="6134" spans="1:20" x14ac:dyDescent="0.3">
      <c r="A6134" t="str">
        <f>"0611862616050"</f>
        <v>0611862616050</v>
      </c>
      <c r="B6134" t="str">
        <f>"CR2712"</f>
        <v>CR2712</v>
      </c>
      <c r="C6134" t="s">
        <v>39133</v>
      </c>
      <c r="D6134" t="s">
        <v>27271</v>
      </c>
      <c r="E6134" t="str">
        <f t="shared" si="95"/>
        <v>001390</v>
      </c>
      <c r="F6134" t="s">
        <v>27246</v>
      </c>
      <c r="G6134" t="s">
        <v>27247</v>
      </c>
      <c r="H6134" t="s">
        <v>27248</v>
      </c>
      <c r="I6134" t="s">
        <v>39134</v>
      </c>
      <c r="J6134" t="s">
        <v>12244</v>
      </c>
      <c r="L6134" t="s">
        <v>27250</v>
      </c>
      <c r="M6134" t="s">
        <v>27251</v>
      </c>
      <c r="N6134" t="s">
        <v>27252</v>
      </c>
      <c r="P6134" t="s">
        <v>27341</v>
      </c>
      <c r="Q6134" s="1">
        <v>44846</v>
      </c>
      <c r="R6134" t="s">
        <v>27253</v>
      </c>
      <c r="S6134" t="s">
        <v>27254</v>
      </c>
      <c r="T6134" t="s">
        <v>27265</v>
      </c>
    </row>
    <row r="6135" spans="1:20" x14ac:dyDescent="0.3">
      <c r="A6135" t="str">
        <f>"0611862617050"</f>
        <v>0611862617050</v>
      </c>
      <c r="B6135" t="str">
        <f>"CR2413"</f>
        <v>CR2413</v>
      </c>
      <c r="C6135" t="s">
        <v>39135</v>
      </c>
      <c r="D6135" t="s">
        <v>27271</v>
      </c>
      <c r="E6135" t="str">
        <f t="shared" si="95"/>
        <v>001390</v>
      </c>
      <c r="F6135" t="s">
        <v>27246</v>
      </c>
      <c r="G6135" t="s">
        <v>27247</v>
      </c>
      <c r="H6135" t="s">
        <v>27248</v>
      </c>
      <c r="I6135" t="s">
        <v>39136</v>
      </c>
      <c r="J6135" t="s">
        <v>12246</v>
      </c>
      <c r="L6135" t="s">
        <v>27250</v>
      </c>
      <c r="M6135" t="s">
        <v>27251</v>
      </c>
      <c r="N6135" t="s">
        <v>27252</v>
      </c>
      <c r="P6135" t="s">
        <v>27341</v>
      </c>
      <c r="Q6135" s="1">
        <v>44846</v>
      </c>
      <c r="R6135" t="s">
        <v>27253</v>
      </c>
      <c r="S6135" t="s">
        <v>27254</v>
      </c>
      <c r="T6135" t="s">
        <v>27265</v>
      </c>
    </row>
    <row r="6136" spans="1:20" x14ac:dyDescent="0.3">
      <c r="A6136" t="str">
        <f>"0611862618050"</f>
        <v>0611862618050</v>
      </c>
      <c r="B6136" t="str">
        <f>"CR4835"</f>
        <v>CR4835</v>
      </c>
      <c r="C6136" t="s">
        <v>39137</v>
      </c>
      <c r="D6136" t="s">
        <v>27271</v>
      </c>
      <c r="E6136" t="str">
        <f t="shared" si="95"/>
        <v>001390</v>
      </c>
      <c r="F6136" t="s">
        <v>27246</v>
      </c>
      <c r="G6136" t="s">
        <v>27247</v>
      </c>
      <c r="H6136" t="s">
        <v>27248</v>
      </c>
      <c r="I6136" t="s">
        <v>39138</v>
      </c>
      <c r="J6136" t="s">
        <v>12248</v>
      </c>
      <c r="L6136" t="s">
        <v>27250</v>
      </c>
      <c r="M6136" t="s">
        <v>27251</v>
      </c>
      <c r="N6136" t="s">
        <v>27252</v>
      </c>
      <c r="P6136" t="s">
        <v>27341</v>
      </c>
      <c r="Q6136" s="1">
        <v>44846</v>
      </c>
      <c r="R6136" t="s">
        <v>27253</v>
      </c>
      <c r="S6136" t="s">
        <v>27254</v>
      </c>
      <c r="T6136" t="s">
        <v>27265</v>
      </c>
    </row>
    <row r="6137" spans="1:20" x14ac:dyDescent="0.3">
      <c r="A6137" t="str">
        <f>"0611862619050"</f>
        <v>0611862619050</v>
      </c>
      <c r="B6137" t="str">
        <f>"CR5197"</f>
        <v>CR5197</v>
      </c>
      <c r="C6137" t="s">
        <v>39139</v>
      </c>
      <c r="D6137" t="s">
        <v>27271</v>
      </c>
      <c r="E6137" t="str">
        <f t="shared" si="95"/>
        <v>001390</v>
      </c>
      <c r="F6137" t="s">
        <v>27246</v>
      </c>
      <c r="G6137" t="s">
        <v>27247</v>
      </c>
      <c r="H6137" t="s">
        <v>27248</v>
      </c>
      <c r="I6137" t="s">
        <v>39140</v>
      </c>
      <c r="J6137" t="s">
        <v>12250</v>
      </c>
      <c r="L6137" t="s">
        <v>27250</v>
      </c>
      <c r="M6137" t="s">
        <v>27251</v>
      </c>
      <c r="N6137" t="s">
        <v>27252</v>
      </c>
      <c r="P6137" t="s">
        <v>27341</v>
      </c>
      <c r="Q6137" s="1">
        <v>44846</v>
      </c>
      <c r="R6137" t="s">
        <v>27253</v>
      </c>
      <c r="S6137" t="s">
        <v>27254</v>
      </c>
      <c r="T6137" t="s">
        <v>27265</v>
      </c>
    </row>
    <row r="6138" spans="1:20" x14ac:dyDescent="0.3">
      <c r="A6138" t="str">
        <f>"0611862620050"</f>
        <v>0611862620050</v>
      </c>
      <c r="B6138" t="str">
        <f>"CR5198"</f>
        <v>CR5198</v>
      </c>
      <c r="C6138" t="s">
        <v>39141</v>
      </c>
      <c r="D6138" t="s">
        <v>27271</v>
      </c>
      <c r="E6138" t="str">
        <f t="shared" si="95"/>
        <v>001390</v>
      </c>
      <c r="F6138" t="s">
        <v>27246</v>
      </c>
      <c r="G6138" t="s">
        <v>27247</v>
      </c>
      <c r="H6138" t="s">
        <v>27248</v>
      </c>
      <c r="I6138" t="s">
        <v>39142</v>
      </c>
      <c r="J6138" t="s">
        <v>12252</v>
      </c>
      <c r="L6138" t="s">
        <v>27250</v>
      </c>
      <c r="M6138" t="s">
        <v>27251</v>
      </c>
      <c r="N6138" t="s">
        <v>27252</v>
      </c>
      <c r="P6138" t="s">
        <v>27341</v>
      </c>
      <c r="Q6138" s="1">
        <v>44846</v>
      </c>
      <c r="R6138" t="s">
        <v>27253</v>
      </c>
      <c r="S6138" t="s">
        <v>27254</v>
      </c>
      <c r="T6138" t="s">
        <v>27265</v>
      </c>
    </row>
    <row r="6139" spans="1:20" x14ac:dyDescent="0.3">
      <c r="A6139" t="str">
        <f>"0611862621050"</f>
        <v>0611862621050</v>
      </c>
      <c r="B6139" t="str">
        <f>"CR5199"</f>
        <v>CR5199</v>
      </c>
      <c r="C6139" t="s">
        <v>39143</v>
      </c>
      <c r="D6139" t="s">
        <v>27271</v>
      </c>
      <c r="E6139" t="str">
        <f t="shared" si="95"/>
        <v>001390</v>
      </c>
      <c r="F6139" t="s">
        <v>27246</v>
      </c>
      <c r="G6139" t="s">
        <v>27247</v>
      </c>
      <c r="H6139" t="s">
        <v>27248</v>
      </c>
      <c r="I6139" t="s">
        <v>39144</v>
      </c>
      <c r="J6139" t="s">
        <v>12254</v>
      </c>
      <c r="L6139" t="s">
        <v>27250</v>
      </c>
      <c r="M6139" t="s">
        <v>27251</v>
      </c>
      <c r="N6139" t="s">
        <v>27252</v>
      </c>
      <c r="P6139" t="s">
        <v>27341</v>
      </c>
      <c r="Q6139" s="1">
        <v>44846</v>
      </c>
      <c r="R6139" t="s">
        <v>27253</v>
      </c>
      <c r="S6139" t="s">
        <v>27254</v>
      </c>
      <c r="T6139" t="s">
        <v>27265</v>
      </c>
    </row>
    <row r="6140" spans="1:20" x14ac:dyDescent="0.3">
      <c r="A6140" t="str">
        <f>"0611862622050"</f>
        <v>0611862622050</v>
      </c>
      <c r="B6140" t="str">
        <f>"CR5200"</f>
        <v>CR5200</v>
      </c>
      <c r="C6140" t="s">
        <v>39145</v>
      </c>
      <c r="D6140" t="s">
        <v>27271</v>
      </c>
      <c r="E6140" t="str">
        <f t="shared" si="95"/>
        <v>001390</v>
      </c>
      <c r="F6140" t="s">
        <v>27246</v>
      </c>
      <c r="G6140" t="s">
        <v>27247</v>
      </c>
      <c r="H6140" t="s">
        <v>27248</v>
      </c>
      <c r="I6140" t="s">
        <v>39146</v>
      </c>
      <c r="J6140" t="s">
        <v>12256</v>
      </c>
      <c r="L6140" t="s">
        <v>27250</v>
      </c>
      <c r="M6140" t="s">
        <v>27251</v>
      </c>
      <c r="N6140" t="s">
        <v>27252</v>
      </c>
      <c r="P6140" t="s">
        <v>27341</v>
      </c>
      <c r="Q6140" s="1">
        <v>44846</v>
      </c>
      <c r="R6140" t="s">
        <v>27253</v>
      </c>
      <c r="S6140" t="s">
        <v>27254</v>
      </c>
      <c r="T6140" t="s">
        <v>27265</v>
      </c>
    </row>
    <row r="6141" spans="1:20" x14ac:dyDescent="0.3">
      <c r="A6141" t="str">
        <f>"0611862623050"</f>
        <v>0611862623050</v>
      </c>
      <c r="B6141" t="str">
        <f>"CR5201"</f>
        <v>CR5201</v>
      </c>
      <c r="C6141" t="s">
        <v>39147</v>
      </c>
      <c r="D6141" t="s">
        <v>27271</v>
      </c>
      <c r="E6141" t="str">
        <f t="shared" si="95"/>
        <v>001390</v>
      </c>
      <c r="F6141" t="s">
        <v>27246</v>
      </c>
      <c r="G6141" t="s">
        <v>27247</v>
      </c>
      <c r="H6141" t="s">
        <v>27248</v>
      </c>
      <c r="I6141" t="s">
        <v>39148</v>
      </c>
      <c r="J6141" t="s">
        <v>12258</v>
      </c>
      <c r="L6141" t="s">
        <v>27250</v>
      </c>
      <c r="M6141" t="s">
        <v>27251</v>
      </c>
      <c r="N6141" t="s">
        <v>27252</v>
      </c>
      <c r="P6141" t="s">
        <v>27341</v>
      </c>
      <c r="Q6141" s="1">
        <v>44846</v>
      </c>
      <c r="R6141" t="s">
        <v>27253</v>
      </c>
      <c r="S6141" t="s">
        <v>27254</v>
      </c>
      <c r="T6141" t="s">
        <v>27265</v>
      </c>
    </row>
    <row r="6142" spans="1:20" x14ac:dyDescent="0.3">
      <c r="A6142" t="str">
        <f>"0611835650100"</f>
        <v>0611835650100</v>
      </c>
      <c r="B6142" t="str">
        <f>"LQ5706"</f>
        <v>LQ5706</v>
      </c>
      <c r="C6142" t="s">
        <v>39149</v>
      </c>
      <c r="D6142" t="s">
        <v>27245</v>
      </c>
      <c r="E6142" t="str">
        <f t="shared" si="95"/>
        <v>001390</v>
      </c>
      <c r="F6142" t="s">
        <v>27246</v>
      </c>
      <c r="G6142" t="s">
        <v>27247</v>
      </c>
      <c r="H6142" t="s">
        <v>27248</v>
      </c>
      <c r="I6142" t="s">
        <v>39150</v>
      </c>
      <c r="J6142" t="s">
        <v>12260</v>
      </c>
      <c r="L6142" t="s">
        <v>27250</v>
      </c>
      <c r="M6142" t="s">
        <v>27251</v>
      </c>
      <c r="N6142" t="s">
        <v>27252</v>
      </c>
      <c r="Q6142" s="1">
        <v>44538</v>
      </c>
      <c r="R6142" t="s">
        <v>27253</v>
      </c>
      <c r="S6142" t="s">
        <v>27254</v>
      </c>
      <c r="T6142" t="s">
        <v>27255</v>
      </c>
    </row>
    <row r="6143" spans="1:20" x14ac:dyDescent="0.3">
      <c r="A6143" t="str">
        <f>"0611835651100"</f>
        <v>0611835651100</v>
      </c>
      <c r="B6143" t="str">
        <f>"LQ5507"</f>
        <v>LQ5507</v>
      </c>
      <c r="C6143" t="s">
        <v>39151</v>
      </c>
      <c r="D6143" t="s">
        <v>27245</v>
      </c>
      <c r="E6143" t="str">
        <f t="shared" si="95"/>
        <v>001390</v>
      </c>
      <c r="F6143" t="s">
        <v>27246</v>
      </c>
      <c r="G6143" t="s">
        <v>27247</v>
      </c>
      <c r="H6143" t="s">
        <v>27248</v>
      </c>
      <c r="I6143" t="s">
        <v>39152</v>
      </c>
      <c r="J6143" t="s">
        <v>12262</v>
      </c>
      <c r="L6143" t="s">
        <v>27250</v>
      </c>
      <c r="M6143" t="s">
        <v>27251</v>
      </c>
      <c r="N6143" t="s">
        <v>27252</v>
      </c>
      <c r="Q6143" s="1">
        <v>44538</v>
      </c>
      <c r="R6143" t="s">
        <v>27253</v>
      </c>
      <c r="S6143" t="s">
        <v>27254</v>
      </c>
      <c r="T6143" t="s">
        <v>27255</v>
      </c>
    </row>
    <row r="6144" spans="1:20" x14ac:dyDescent="0.3">
      <c r="A6144" t="str">
        <f>"0611835652100"</f>
        <v>0611835652100</v>
      </c>
      <c r="B6144" t="str">
        <f>"LQ5325"</f>
        <v>LQ5325</v>
      </c>
      <c r="C6144" t="s">
        <v>39153</v>
      </c>
      <c r="D6144" t="s">
        <v>27245</v>
      </c>
      <c r="E6144" t="str">
        <f t="shared" si="95"/>
        <v>001390</v>
      </c>
      <c r="F6144" t="s">
        <v>27246</v>
      </c>
      <c r="G6144" t="s">
        <v>27247</v>
      </c>
      <c r="H6144" t="s">
        <v>27248</v>
      </c>
      <c r="I6144" t="s">
        <v>39154</v>
      </c>
      <c r="J6144" t="s">
        <v>12264</v>
      </c>
      <c r="L6144" t="s">
        <v>27250</v>
      </c>
      <c r="M6144" t="s">
        <v>27251</v>
      </c>
      <c r="N6144" t="s">
        <v>27252</v>
      </c>
      <c r="Q6144" s="1">
        <v>44538</v>
      </c>
      <c r="R6144" t="s">
        <v>27253</v>
      </c>
      <c r="S6144" t="s">
        <v>27254</v>
      </c>
      <c r="T6144" t="s">
        <v>27255</v>
      </c>
    </row>
    <row r="6145" spans="1:20" x14ac:dyDescent="0.3">
      <c r="A6145" t="str">
        <f>"0611835653100"</f>
        <v>0611835653100</v>
      </c>
      <c r="B6145" t="str">
        <f>"LQ6063"</f>
        <v>LQ6063</v>
      </c>
      <c r="C6145" t="s">
        <v>39155</v>
      </c>
      <c r="D6145" t="s">
        <v>27245</v>
      </c>
      <c r="E6145" t="str">
        <f t="shared" si="95"/>
        <v>001390</v>
      </c>
      <c r="F6145" t="s">
        <v>27246</v>
      </c>
      <c r="G6145" t="s">
        <v>27247</v>
      </c>
      <c r="H6145" t="s">
        <v>27248</v>
      </c>
      <c r="I6145" t="s">
        <v>39156</v>
      </c>
      <c r="J6145" t="s">
        <v>12266</v>
      </c>
      <c r="L6145" t="s">
        <v>27250</v>
      </c>
      <c r="M6145" t="s">
        <v>27251</v>
      </c>
      <c r="N6145" t="s">
        <v>27252</v>
      </c>
      <c r="Q6145" s="1">
        <v>44538</v>
      </c>
      <c r="R6145" t="s">
        <v>27253</v>
      </c>
      <c r="S6145" t="s">
        <v>27254</v>
      </c>
      <c r="T6145" t="s">
        <v>27255</v>
      </c>
    </row>
    <row r="6146" spans="1:20" x14ac:dyDescent="0.3">
      <c r="A6146" t="str">
        <f>"0611835654100"</f>
        <v>0611835654100</v>
      </c>
      <c r="B6146" t="str">
        <f>"LQ5708"</f>
        <v>LQ5708</v>
      </c>
      <c r="C6146" t="s">
        <v>39157</v>
      </c>
      <c r="D6146" t="s">
        <v>27245</v>
      </c>
      <c r="E6146" t="str">
        <f t="shared" ref="E6146:E6209" si="96">"001390"</f>
        <v>001390</v>
      </c>
      <c r="F6146" t="s">
        <v>27246</v>
      </c>
      <c r="G6146" t="s">
        <v>27247</v>
      </c>
      <c r="H6146" t="s">
        <v>27248</v>
      </c>
      <c r="I6146" t="s">
        <v>39158</v>
      </c>
      <c r="J6146" t="s">
        <v>12268</v>
      </c>
      <c r="L6146" t="s">
        <v>27250</v>
      </c>
      <c r="M6146" t="s">
        <v>27251</v>
      </c>
      <c r="N6146" t="s">
        <v>27252</v>
      </c>
      <c r="Q6146" s="1">
        <v>44538</v>
      </c>
      <c r="R6146" t="s">
        <v>27253</v>
      </c>
      <c r="S6146" t="s">
        <v>27254</v>
      </c>
      <c r="T6146" t="s">
        <v>27255</v>
      </c>
    </row>
    <row r="6147" spans="1:20" x14ac:dyDescent="0.3">
      <c r="A6147" t="str">
        <f>"0611835655100"</f>
        <v>0611835655100</v>
      </c>
      <c r="B6147" t="str">
        <f>"LQ5709"</f>
        <v>LQ5709</v>
      </c>
      <c r="C6147" t="s">
        <v>39159</v>
      </c>
      <c r="D6147" t="s">
        <v>27245</v>
      </c>
      <c r="E6147" t="str">
        <f t="shared" si="96"/>
        <v>001390</v>
      </c>
      <c r="F6147" t="s">
        <v>27246</v>
      </c>
      <c r="G6147" t="s">
        <v>27247</v>
      </c>
      <c r="H6147" t="s">
        <v>27248</v>
      </c>
      <c r="I6147" t="s">
        <v>39160</v>
      </c>
      <c r="J6147" t="s">
        <v>12270</v>
      </c>
      <c r="L6147" t="s">
        <v>27250</v>
      </c>
      <c r="M6147" t="s">
        <v>27251</v>
      </c>
      <c r="N6147" t="s">
        <v>27252</v>
      </c>
      <c r="Q6147" s="1">
        <v>44538</v>
      </c>
      <c r="R6147" t="s">
        <v>27253</v>
      </c>
      <c r="S6147" t="s">
        <v>27254</v>
      </c>
      <c r="T6147" t="s">
        <v>27255</v>
      </c>
    </row>
    <row r="6148" spans="1:20" x14ac:dyDescent="0.3">
      <c r="A6148" t="str">
        <f>"0611835656100"</f>
        <v>0611835656100</v>
      </c>
      <c r="B6148" t="str">
        <f>"LQ6233"</f>
        <v>LQ6233</v>
      </c>
      <c r="C6148" t="s">
        <v>39161</v>
      </c>
      <c r="D6148" t="s">
        <v>27245</v>
      </c>
      <c r="E6148" t="str">
        <f t="shared" si="96"/>
        <v>001390</v>
      </c>
      <c r="F6148" t="s">
        <v>27246</v>
      </c>
      <c r="G6148" t="s">
        <v>27247</v>
      </c>
      <c r="H6148" t="s">
        <v>27248</v>
      </c>
      <c r="I6148" t="s">
        <v>39162</v>
      </c>
      <c r="J6148" t="s">
        <v>12272</v>
      </c>
      <c r="L6148" t="s">
        <v>27250</v>
      </c>
      <c r="M6148" t="s">
        <v>27251</v>
      </c>
      <c r="N6148" t="s">
        <v>27252</v>
      </c>
      <c r="Q6148" s="1">
        <v>44538</v>
      </c>
      <c r="R6148" t="s">
        <v>27253</v>
      </c>
      <c r="S6148" t="s">
        <v>27254</v>
      </c>
      <c r="T6148" t="s">
        <v>27255</v>
      </c>
    </row>
    <row r="6149" spans="1:20" x14ac:dyDescent="0.3">
      <c r="A6149" t="str">
        <f>"0611835657100"</f>
        <v>0611835657100</v>
      </c>
      <c r="B6149" t="str">
        <f>"LQ0442"</f>
        <v>LQ0442</v>
      </c>
      <c r="C6149" t="s">
        <v>39163</v>
      </c>
      <c r="D6149" t="s">
        <v>27245</v>
      </c>
      <c r="E6149" t="str">
        <f t="shared" si="96"/>
        <v>001390</v>
      </c>
      <c r="F6149" t="s">
        <v>27246</v>
      </c>
      <c r="G6149" t="s">
        <v>27247</v>
      </c>
      <c r="H6149" t="s">
        <v>27248</v>
      </c>
      <c r="I6149" t="s">
        <v>39164</v>
      </c>
      <c r="J6149" t="s">
        <v>12274</v>
      </c>
      <c r="L6149" t="s">
        <v>27250</v>
      </c>
      <c r="M6149" t="s">
        <v>27251</v>
      </c>
      <c r="N6149" t="s">
        <v>27252</v>
      </c>
      <c r="Q6149" s="1">
        <v>44538</v>
      </c>
      <c r="R6149" t="s">
        <v>27253</v>
      </c>
      <c r="S6149" t="s">
        <v>27254</v>
      </c>
      <c r="T6149" t="s">
        <v>27255</v>
      </c>
    </row>
    <row r="6150" spans="1:20" x14ac:dyDescent="0.3">
      <c r="A6150" t="str">
        <f>"0611835658100"</f>
        <v>0611835658100</v>
      </c>
      <c r="B6150" t="str">
        <f>"LQ5327"</f>
        <v>LQ5327</v>
      </c>
      <c r="C6150" t="s">
        <v>39165</v>
      </c>
      <c r="D6150" t="s">
        <v>27245</v>
      </c>
      <c r="E6150" t="str">
        <f t="shared" si="96"/>
        <v>001390</v>
      </c>
      <c r="F6150" t="s">
        <v>27246</v>
      </c>
      <c r="G6150" t="s">
        <v>27247</v>
      </c>
      <c r="H6150" t="s">
        <v>27248</v>
      </c>
      <c r="I6150" t="s">
        <v>39166</v>
      </c>
      <c r="J6150" t="s">
        <v>12276</v>
      </c>
      <c r="L6150" t="s">
        <v>27250</v>
      </c>
      <c r="M6150" t="s">
        <v>27251</v>
      </c>
      <c r="N6150" t="s">
        <v>27252</v>
      </c>
      <c r="Q6150" s="1">
        <v>44538</v>
      </c>
      <c r="R6150" t="s">
        <v>27253</v>
      </c>
      <c r="S6150" t="s">
        <v>27254</v>
      </c>
      <c r="T6150" t="s">
        <v>27255</v>
      </c>
    </row>
    <row r="6151" spans="1:20" x14ac:dyDescent="0.3">
      <c r="A6151" t="str">
        <f>"0611835660100"</f>
        <v>0611835660100</v>
      </c>
      <c r="B6151" t="str">
        <f>"LQ5716"</f>
        <v>LQ5716</v>
      </c>
      <c r="C6151" t="s">
        <v>39167</v>
      </c>
      <c r="D6151" t="s">
        <v>27245</v>
      </c>
      <c r="E6151" t="str">
        <f t="shared" si="96"/>
        <v>001390</v>
      </c>
      <c r="F6151" t="s">
        <v>27246</v>
      </c>
      <c r="G6151" t="s">
        <v>27247</v>
      </c>
      <c r="H6151" t="s">
        <v>27248</v>
      </c>
      <c r="I6151" t="s">
        <v>39168</v>
      </c>
      <c r="J6151" t="s">
        <v>12278</v>
      </c>
      <c r="L6151" t="s">
        <v>27250</v>
      </c>
      <c r="M6151" t="s">
        <v>27251</v>
      </c>
      <c r="N6151" t="s">
        <v>27252</v>
      </c>
      <c r="Q6151" s="1">
        <v>44538</v>
      </c>
      <c r="R6151" t="s">
        <v>27253</v>
      </c>
      <c r="S6151" t="s">
        <v>27254</v>
      </c>
      <c r="T6151" t="s">
        <v>27255</v>
      </c>
    </row>
    <row r="6152" spans="1:20" x14ac:dyDescent="0.3">
      <c r="A6152" t="str">
        <f>"0611835539100"</f>
        <v>0611835539100</v>
      </c>
      <c r="B6152" t="str">
        <f>"MB3300"</f>
        <v>MB3300</v>
      </c>
      <c r="C6152" t="s">
        <v>39169</v>
      </c>
      <c r="D6152" t="s">
        <v>27274</v>
      </c>
      <c r="E6152" t="str">
        <f t="shared" si="96"/>
        <v>001390</v>
      </c>
      <c r="F6152" t="s">
        <v>27246</v>
      </c>
      <c r="G6152" t="s">
        <v>27247</v>
      </c>
      <c r="H6152" t="s">
        <v>27248</v>
      </c>
      <c r="I6152" t="s">
        <v>39170</v>
      </c>
      <c r="J6152" t="s">
        <v>12280</v>
      </c>
      <c r="L6152" t="s">
        <v>27250</v>
      </c>
      <c r="M6152" t="s">
        <v>27251</v>
      </c>
      <c r="N6152" t="s">
        <v>27252</v>
      </c>
      <c r="Q6152" s="1">
        <v>44538</v>
      </c>
      <c r="R6152" t="s">
        <v>27253</v>
      </c>
      <c r="S6152" t="s">
        <v>27254</v>
      </c>
      <c r="T6152" t="s">
        <v>27276</v>
      </c>
    </row>
    <row r="6153" spans="1:20" x14ac:dyDescent="0.3">
      <c r="A6153" t="str">
        <f>"0611835538100"</f>
        <v>0611835538100</v>
      </c>
      <c r="B6153" t="str">
        <f>"LS0056"</f>
        <v>LS0056</v>
      </c>
      <c r="C6153" t="s">
        <v>39171</v>
      </c>
      <c r="D6153" t="s">
        <v>27245</v>
      </c>
      <c r="E6153" t="str">
        <f t="shared" si="96"/>
        <v>001390</v>
      </c>
      <c r="F6153" t="s">
        <v>27246</v>
      </c>
      <c r="G6153" t="s">
        <v>27247</v>
      </c>
      <c r="H6153" t="s">
        <v>27248</v>
      </c>
      <c r="I6153" t="s">
        <v>39172</v>
      </c>
      <c r="J6153" t="s">
        <v>12282</v>
      </c>
      <c r="L6153" t="s">
        <v>27250</v>
      </c>
      <c r="M6153" t="s">
        <v>27251</v>
      </c>
      <c r="N6153" t="s">
        <v>27252</v>
      </c>
      <c r="Q6153" s="1">
        <v>44538</v>
      </c>
      <c r="R6153" t="s">
        <v>27253</v>
      </c>
      <c r="S6153" t="s">
        <v>27254</v>
      </c>
      <c r="T6153" t="s">
        <v>27255</v>
      </c>
    </row>
    <row r="6154" spans="1:20" x14ac:dyDescent="0.3">
      <c r="A6154" t="str">
        <f>"0611835662100"</f>
        <v>0611835662100</v>
      </c>
      <c r="B6154" t="str">
        <f>"LS0057"</f>
        <v>LS0057</v>
      </c>
      <c r="C6154" t="s">
        <v>39173</v>
      </c>
      <c r="D6154" t="s">
        <v>27245</v>
      </c>
      <c r="E6154" t="str">
        <f t="shared" si="96"/>
        <v>001390</v>
      </c>
      <c r="F6154" t="s">
        <v>27246</v>
      </c>
      <c r="G6154" t="s">
        <v>27247</v>
      </c>
      <c r="H6154" t="s">
        <v>27248</v>
      </c>
      <c r="I6154" t="s">
        <v>39174</v>
      </c>
      <c r="J6154" t="s">
        <v>12284</v>
      </c>
      <c r="L6154" t="s">
        <v>27250</v>
      </c>
      <c r="M6154" t="s">
        <v>27251</v>
      </c>
      <c r="N6154" t="s">
        <v>27252</v>
      </c>
      <c r="Q6154" s="1">
        <v>44538</v>
      </c>
      <c r="R6154" t="s">
        <v>27253</v>
      </c>
      <c r="S6154" t="s">
        <v>27254</v>
      </c>
      <c r="T6154" t="s">
        <v>27255</v>
      </c>
    </row>
    <row r="6155" spans="1:20" x14ac:dyDescent="0.3">
      <c r="A6155" t="str">
        <f>"0611835664100"</f>
        <v>0611835664100</v>
      </c>
      <c r="B6155" t="str">
        <f>"LQ3533"</f>
        <v>LQ3533</v>
      </c>
      <c r="C6155" t="s">
        <v>39175</v>
      </c>
      <c r="D6155" t="s">
        <v>27245</v>
      </c>
      <c r="E6155" t="str">
        <f t="shared" si="96"/>
        <v>001390</v>
      </c>
      <c r="F6155" t="s">
        <v>27246</v>
      </c>
      <c r="G6155" t="s">
        <v>27247</v>
      </c>
      <c r="H6155" t="s">
        <v>27248</v>
      </c>
      <c r="I6155" t="s">
        <v>39176</v>
      </c>
      <c r="J6155" t="s">
        <v>12286</v>
      </c>
      <c r="L6155" t="s">
        <v>27250</v>
      </c>
      <c r="M6155" t="s">
        <v>27251</v>
      </c>
      <c r="N6155" t="s">
        <v>27252</v>
      </c>
      <c r="Q6155" s="1">
        <v>44538</v>
      </c>
      <c r="R6155" t="s">
        <v>27253</v>
      </c>
      <c r="S6155" t="s">
        <v>27254</v>
      </c>
      <c r="T6155" t="s">
        <v>27255</v>
      </c>
    </row>
    <row r="6156" spans="1:20" x14ac:dyDescent="0.3">
      <c r="A6156" t="str">
        <f>"0611862624050"</f>
        <v>0611862624050</v>
      </c>
      <c r="B6156" t="str">
        <f>"CR2414"</f>
        <v>CR2414</v>
      </c>
      <c r="C6156" t="s">
        <v>39175</v>
      </c>
      <c r="D6156" t="s">
        <v>27263</v>
      </c>
      <c r="E6156" t="str">
        <f t="shared" si="96"/>
        <v>001390</v>
      </c>
      <c r="F6156" t="s">
        <v>27246</v>
      </c>
      <c r="G6156" t="s">
        <v>27247</v>
      </c>
      <c r="H6156" t="s">
        <v>27248</v>
      </c>
      <c r="I6156" t="s">
        <v>39177</v>
      </c>
      <c r="J6156" t="s">
        <v>12288</v>
      </c>
      <c r="L6156" t="s">
        <v>27250</v>
      </c>
      <c r="M6156" t="s">
        <v>27251</v>
      </c>
      <c r="N6156" t="s">
        <v>27252</v>
      </c>
      <c r="Q6156" s="1">
        <v>44846</v>
      </c>
      <c r="R6156" t="s">
        <v>27253</v>
      </c>
      <c r="S6156" t="s">
        <v>27254</v>
      </c>
      <c r="T6156" t="s">
        <v>27265</v>
      </c>
    </row>
    <row r="6157" spans="1:20" x14ac:dyDescent="0.3">
      <c r="A6157" t="str">
        <f>"0611835665100"</f>
        <v>0611835665100</v>
      </c>
      <c r="B6157" t="str">
        <f>"LQ3534"</f>
        <v>LQ3534</v>
      </c>
      <c r="C6157" t="s">
        <v>39178</v>
      </c>
      <c r="D6157" t="s">
        <v>27245</v>
      </c>
      <c r="E6157" t="str">
        <f t="shared" si="96"/>
        <v>001390</v>
      </c>
      <c r="F6157" t="s">
        <v>27246</v>
      </c>
      <c r="G6157" t="s">
        <v>27247</v>
      </c>
      <c r="H6157" t="s">
        <v>27248</v>
      </c>
      <c r="I6157" t="s">
        <v>39179</v>
      </c>
      <c r="J6157" t="s">
        <v>12290</v>
      </c>
      <c r="L6157" t="s">
        <v>27250</v>
      </c>
      <c r="M6157" t="s">
        <v>27251</v>
      </c>
      <c r="N6157" t="s">
        <v>27252</v>
      </c>
      <c r="Q6157" s="1">
        <v>44538</v>
      </c>
      <c r="R6157" t="s">
        <v>27253</v>
      </c>
      <c r="S6157" t="s">
        <v>27254</v>
      </c>
      <c r="T6157" t="s">
        <v>27255</v>
      </c>
    </row>
    <row r="6158" spans="1:20" x14ac:dyDescent="0.3">
      <c r="A6158" t="str">
        <f>"0611862625050"</f>
        <v>0611862625050</v>
      </c>
      <c r="B6158" t="str">
        <f>"CR2415"</f>
        <v>CR2415</v>
      </c>
      <c r="C6158" t="s">
        <v>39178</v>
      </c>
      <c r="D6158" t="s">
        <v>27263</v>
      </c>
      <c r="E6158" t="str">
        <f t="shared" si="96"/>
        <v>001390</v>
      </c>
      <c r="F6158" t="s">
        <v>27246</v>
      </c>
      <c r="G6158" t="s">
        <v>27247</v>
      </c>
      <c r="H6158" t="s">
        <v>27248</v>
      </c>
      <c r="I6158" t="s">
        <v>39180</v>
      </c>
      <c r="J6158" t="s">
        <v>12292</v>
      </c>
      <c r="L6158" t="s">
        <v>27250</v>
      </c>
      <c r="M6158" t="s">
        <v>27251</v>
      </c>
      <c r="N6158" t="s">
        <v>27252</v>
      </c>
      <c r="Q6158" s="1">
        <v>44846</v>
      </c>
      <c r="R6158" t="s">
        <v>27253</v>
      </c>
      <c r="S6158" t="s">
        <v>27254</v>
      </c>
      <c r="T6158" t="s">
        <v>27265</v>
      </c>
    </row>
    <row r="6159" spans="1:20" x14ac:dyDescent="0.3">
      <c r="A6159" t="str">
        <f>"0611835666100"</f>
        <v>0611835666100</v>
      </c>
      <c r="B6159" t="str">
        <f>"LQ3535"</f>
        <v>LQ3535</v>
      </c>
      <c r="C6159" t="s">
        <v>39181</v>
      </c>
      <c r="D6159" t="s">
        <v>27245</v>
      </c>
      <c r="E6159" t="str">
        <f t="shared" si="96"/>
        <v>001390</v>
      </c>
      <c r="F6159" t="s">
        <v>27246</v>
      </c>
      <c r="G6159" t="s">
        <v>27247</v>
      </c>
      <c r="H6159" t="s">
        <v>27248</v>
      </c>
      <c r="I6159" t="s">
        <v>39182</v>
      </c>
      <c r="J6159" t="s">
        <v>12294</v>
      </c>
      <c r="L6159" t="s">
        <v>27250</v>
      </c>
      <c r="M6159" t="s">
        <v>27251</v>
      </c>
      <c r="N6159" t="s">
        <v>27252</v>
      </c>
      <c r="Q6159" s="1">
        <v>44538</v>
      </c>
      <c r="R6159" t="s">
        <v>27253</v>
      </c>
      <c r="S6159" t="s">
        <v>27254</v>
      </c>
      <c r="T6159" t="s">
        <v>27255</v>
      </c>
    </row>
    <row r="6160" spans="1:20" x14ac:dyDescent="0.3">
      <c r="A6160" t="str">
        <f>"0611862626050"</f>
        <v>0611862626050</v>
      </c>
      <c r="B6160" t="str">
        <f>"CR2416"</f>
        <v>CR2416</v>
      </c>
      <c r="C6160" t="s">
        <v>39181</v>
      </c>
      <c r="D6160" t="s">
        <v>27263</v>
      </c>
      <c r="E6160" t="str">
        <f t="shared" si="96"/>
        <v>001390</v>
      </c>
      <c r="F6160" t="s">
        <v>27246</v>
      </c>
      <c r="G6160" t="s">
        <v>27247</v>
      </c>
      <c r="H6160" t="s">
        <v>27248</v>
      </c>
      <c r="I6160" t="s">
        <v>39183</v>
      </c>
      <c r="J6160" t="s">
        <v>12296</v>
      </c>
      <c r="L6160" t="s">
        <v>27250</v>
      </c>
      <c r="M6160" t="s">
        <v>27251</v>
      </c>
      <c r="N6160" t="s">
        <v>27252</v>
      </c>
      <c r="Q6160" s="1">
        <v>44846</v>
      </c>
      <c r="R6160" t="s">
        <v>27253</v>
      </c>
      <c r="S6160" t="s">
        <v>27254</v>
      </c>
      <c r="T6160" t="s">
        <v>27265</v>
      </c>
    </row>
    <row r="6161" spans="1:20" x14ac:dyDescent="0.3">
      <c r="A6161" t="str">
        <f>"0611835667100"</f>
        <v>0611835667100</v>
      </c>
      <c r="B6161" t="str">
        <f>"LQ3462"</f>
        <v>LQ3462</v>
      </c>
      <c r="C6161" t="s">
        <v>39184</v>
      </c>
      <c r="D6161" t="s">
        <v>27245</v>
      </c>
      <c r="E6161" t="str">
        <f t="shared" si="96"/>
        <v>001390</v>
      </c>
      <c r="F6161" t="s">
        <v>27246</v>
      </c>
      <c r="G6161" t="s">
        <v>27247</v>
      </c>
      <c r="H6161" t="s">
        <v>27248</v>
      </c>
      <c r="I6161" t="s">
        <v>39185</v>
      </c>
      <c r="J6161" t="s">
        <v>12298</v>
      </c>
      <c r="L6161" t="s">
        <v>27250</v>
      </c>
      <c r="M6161" t="s">
        <v>27251</v>
      </c>
      <c r="N6161" t="s">
        <v>27252</v>
      </c>
      <c r="Q6161" s="1">
        <v>44538</v>
      </c>
      <c r="R6161" t="s">
        <v>27253</v>
      </c>
      <c r="S6161" t="s">
        <v>27254</v>
      </c>
      <c r="T6161" t="s">
        <v>27255</v>
      </c>
    </row>
    <row r="6162" spans="1:20" x14ac:dyDescent="0.3">
      <c r="A6162" t="str">
        <f>"0611835668100"</f>
        <v>0611835668100</v>
      </c>
      <c r="B6162" t="str">
        <f>"LQ3537"</f>
        <v>LQ3537</v>
      </c>
      <c r="C6162" t="s">
        <v>39186</v>
      </c>
      <c r="D6162" t="s">
        <v>27245</v>
      </c>
      <c r="E6162" t="str">
        <f t="shared" si="96"/>
        <v>001390</v>
      </c>
      <c r="F6162" t="s">
        <v>27246</v>
      </c>
      <c r="G6162" t="s">
        <v>27247</v>
      </c>
      <c r="H6162" t="s">
        <v>27248</v>
      </c>
      <c r="I6162" t="s">
        <v>39187</v>
      </c>
      <c r="J6162" t="s">
        <v>12300</v>
      </c>
      <c r="L6162" t="s">
        <v>27250</v>
      </c>
      <c r="M6162" t="s">
        <v>27251</v>
      </c>
      <c r="N6162" t="s">
        <v>27252</v>
      </c>
      <c r="Q6162" s="1">
        <v>44538</v>
      </c>
      <c r="R6162" t="s">
        <v>27253</v>
      </c>
      <c r="S6162" t="s">
        <v>27254</v>
      </c>
      <c r="T6162" t="s">
        <v>27255</v>
      </c>
    </row>
    <row r="6163" spans="1:20" x14ac:dyDescent="0.3">
      <c r="A6163" t="str">
        <f>"0611862627050"</f>
        <v>0611862627050</v>
      </c>
      <c r="B6163" t="str">
        <f>"CR2870"</f>
        <v>CR2870</v>
      </c>
      <c r="C6163" t="s">
        <v>39186</v>
      </c>
      <c r="D6163" t="s">
        <v>27263</v>
      </c>
      <c r="E6163" t="str">
        <f t="shared" si="96"/>
        <v>001390</v>
      </c>
      <c r="F6163" t="s">
        <v>27246</v>
      </c>
      <c r="G6163" t="s">
        <v>27247</v>
      </c>
      <c r="H6163" t="s">
        <v>27248</v>
      </c>
      <c r="I6163" t="s">
        <v>39188</v>
      </c>
      <c r="J6163" t="s">
        <v>12302</v>
      </c>
      <c r="L6163" t="s">
        <v>27250</v>
      </c>
      <c r="M6163" t="s">
        <v>27251</v>
      </c>
      <c r="N6163" t="s">
        <v>27252</v>
      </c>
      <c r="Q6163" s="1">
        <v>44846</v>
      </c>
      <c r="R6163" t="s">
        <v>27253</v>
      </c>
      <c r="S6163" t="s">
        <v>27254</v>
      </c>
      <c r="T6163" t="s">
        <v>27265</v>
      </c>
    </row>
    <row r="6164" spans="1:20" x14ac:dyDescent="0.3">
      <c r="A6164" t="str">
        <f>"0611835670100"</f>
        <v>0611835670100</v>
      </c>
      <c r="B6164" t="str">
        <f>"LQ3354"</f>
        <v>LQ3354</v>
      </c>
      <c r="C6164" t="s">
        <v>39189</v>
      </c>
      <c r="D6164" t="s">
        <v>27245</v>
      </c>
      <c r="E6164" t="str">
        <f t="shared" si="96"/>
        <v>001390</v>
      </c>
      <c r="F6164" t="s">
        <v>27246</v>
      </c>
      <c r="G6164" t="s">
        <v>27247</v>
      </c>
      <c r="H6164" t="s">
        <v>27248</v>
      </c>
      <c r="I6164" t="s">
        <v>39190</v>
      </c>
      <c r="J6164" t="s">
        <v>12304</v>
      </c>
      <c r="L6164" t="s">
        <v>27250</v>
      </c>
      <c r="M6164" t="s">
        <v>27251</v>
      </c>
      <c r="N6164" t="s">
        <v>27252</v>
      </c>
      <c r="Q6164" s="1">
        <v>44538</v>
      </c>
      <c r="R6164" t="s">
        <v>27253</v>
      </c>
      <c r="S6164" t="s">
        <v>27254</v>
      </c>
      <c r="T6164" t="s">
        <v>27255</v>
      </c>
    </row>
    <row r="6165" spans="1:20" x14ac:dyDescent="0.3">
      <c r="A6165" t="str">
        <f>"0611862628050"</f>
        <v>0611862628050</v>
      </c>
      <c r="B6165" t="str">
        <f>"CR2713"</f>
        <v>CR2713</v>
      </c>
      <c r="C6165" t="s">
        <v>39191</v>
      </c>
      <c r="D6165" t="s">
        <v>27263</v>
      </c>
      <c r="E6165" t="str">
        <f t="shared" si="96"/>
        <v>001390</v>
      </c>
      <c r="F6165" t="s">
        <v>27246</v>
      </c>
      <c r="G6165" t="s">
        <v>27247</v>
      </c>
      <c r="H6165" t="s">
        <v>27248</v>
      </c>
      <c r="I6165" t="s">
        <v>39192</v>
      </c>
      <c r="J6165" t="s">
        <v>12306</v>
      </c>
      <c r="L6165" t="s">
        <v>27250</v>
      </c>
      <c r="M6165" t="s">
        <v>27251</v>
      </c>
      <c r="N6165" t="s">
        <v>27252</v>
      </c>
      <c r="Q6165" s="1">
        <v>44846</v>
      </c>
      <c r="R6165" t="s">
        <v>27253</v>
      </c>
      <c r="S6165" t="s">
        <v>27254</v>
      </c>
      <c r="T6165" t="s">
        <v>27265</v>
      </c>
    </row>
    <row r="6166" spans="1:20" x14ac:dyDescent="0.3">
      <c r="A6166" t="str">
        <f>"0611835672100"</f>
        <v>0611835672100</v>
      </c>
      <c r="B6166" t="str">
        <f>"LQ3463"</f>
        <v>LQ3463</v>
      </c>
      <c r="C6166" t="s">
        <v>39193</v>
      </c>
      <c r="D6166" t="s">
        <v>27245</v>
      </c>
      <c r="E6166" t="str">
        <f t="shared" si="96"/>
        <v>001390</v>
      </c>
      <c r="F6166" t="s">
        <v>27246</v>
      </c>
      <c r="G6166" t="s">
        <v>27247</v>
      </c>
      <c r="H6166" t="s">
        <v>27248</v>
      </c>
      <c r="I6166" t="s">
        <v>39194</v>
      </c>
      <c r="J6166" t="s">
        <v>12308</v>
      </c>
      <c r="L6166" t="s">
        <v>27250</v>
      </c>
      <c r="M6166" t="s">
        <v>27251</v>
      </c>
      <c r="N6166" t="s">
        <v>27252</v>
      </c>
      <c r="Q6166" s="1">
        <v>44538</v>
      </c>
      <c r="R6166" t="s">
        <v>27253</v>
      </c>
      <c r="S6166" t="s">
        <v>27254</v>
      </c>
      <c r="T6166" t="s">
        <v>27255</v>
      </c>
    </row>
    <row r="6167" spans="1:20" x14ac:dyDescent="0.3">
      <c r="A6167" t="str">
        <f>"0611862629050"</f>
        <v>0611862629050</v>
      </c>
      <c r="B6167" t="str">
        <f>"CR3361"</f>
        <v>CR3361</v>
      </c>
      <c r="C6167" t="s">
        <v>39195</v>
      </c>
      <c r="D6167" t="s">
        <v>27263</v>
      </c>
      <c r="E6167" t="str">
        <f t="shared" si="96"/>
        <v>001390</v>
      </c>
      <c r="F6167" t="s">
        <v>27246</v>
      </c>
      <c r="G6167" t="s">
        <v>27247</v>
      </c>
      <c r="H6167" t="s">
        <v>27248</v>
      </c>
      <c r="I6167" t="s">
        <v>39196</v>
      </c>
      <c r="J6167" t="s">
        <v>12310</v>
      </c>
      <c r="L6167" t="s">
        <v>27250</v>
      </c>
      <c r="M6167" t="s">
        <v>27251</v>
      </c>
      <c r="N6167" t="s">
        <v>27252</v>
      </c>
      <c r="Q6167" s="1">
        <v>44846</v>
      </c>
      <c r="R6167" t="s">
        <v>27253</v>
      </c>
      <c r="S6167" t="s">
        <v>27254</v>
      </c>
      <c r="T6167" t="s">
        <v>27265</v>
      </c>
    </row>
    <row r="6168" spans="1:20" x14ac:dyDescent="0.3">
      <c r="A6168" t="str">
        <f>"0611835673100"</f>
        <v>0611835673100</v>
      </c>
      <c r="B6168" t="str">
        <f>"LQ3356"</f>
        <v>LQ3356</v>
      </c>
      <c r="C6168" t="s">
        <v>39197</v>
      </c>
      <c r="D6168" t="s">
        <v>27245</v>
      </c>
      <c r="E6168" t="str">
        <f t="shared" si="96"/>
        <v>001390</v>
      </c>
      <c r="F6168" t="s">
        <v>27246</v>
      </c>
      <c r="G6168" t="s">
        <v>27247</v>
      </c>
      <c r="H6168" t="s">
        <v>27248</v>
      </c>
      <c r="I6168" t="s">
        <v>39198</v>
      </c>
      <c r="J6168" t="s">
        <v>12312</v>
      </c>
      <c r="L6168" t="s">
        <v>27250</v>
      </c>
      <c r="M6168" t="s">
        <v>27251</v>
      </c>
      <c r="N6168" t="s">
        <v>27252</v>
      </c>
      <c r="Q6168" s="1">
        <v>44538</v>
      </c>
      <c r="R6168" t="s">
        <v>27253</v>
      </c>
      <c r="S6168" t="s">
        <v>27254</v>
      </c>
      <c r="T6168" t="s">
        <v>27255</v>
      </c>
    </row>
    <row r="6169" spans="1:20" x14ac:dyDescent="0.3">
      <c r="A6169" t="str">
        <f>"0611862630050"</f>
        <v>0611862630050</v>
      </c>
      <c r="B6169" t="str">
        <f>"CR3300"</f>
        <v>CR3300</v>
      </c>
      <c r="C6169" t="s">
        <v>39199</v>
      </c>
      <c r="D6169" t="s">
        <v>27263</v>
      </c>
      <c r="E6169" t="str">
        <f t="shared" si="96"/>
        <v>001390</v>
      </c>
      <c r="F6169" t="s">
        <v>27246</v>
      </c>
      <c r="G6169" t="s">
        <v>27247</v>
      </c>
      <c r="H6169" t="s">
        <v>27248</v>
      </c>
      <c r="I6169" t="s">
        <v>39200</v>
      </c>
      <c r="J6169" t="s">
        <v>12314</v>
      </c>
      <c r="L6169" t="s">
        <v>27250</v>
      </c>
      <c r="M6169" t="s">
        <v>27251</v>
      </c>
      <c r="N6169" t="s">
        <v>27252</v>
      </c>
      <c r="Q6169" s="1">
        <v>44846</v>
      </c>
      <c r="R6169" t="s">
        <v>27253</v>
      </c>
      <c r="S6169" t="s">
        <v>27254</v>
      </c>
      <c r="T6169" t="s">
        <v>27265</v>
      </c>
    </row>
    <row r="6170" spans="1:20" x14ac:dyDescent="0.3">
      <c r="A6170" t="str">
        <f>"0611835674100"</f>
        <v>0611835674100</v>
      </c>
      <c r="B6170" t="str">
        <f>"LQ0970"</f>
        <v>LQ0970</v>
      </c>
      <c r="C6170" t="s">
        <v>39201</v>
      </c>
      <c r="D6170" t="s">
        <v>27245</v>
      </c>
      <c r="E6170" t="str">
        <f t="shared" si="96"/>
        <v>001390</v>
      </c>
      <c r="F6170" t="s">
        <v>27246</v>
      </c>
      <c r="G6170" t="s">
        <v>27247</v>
      </c>
      <c r="H6170" t="s">
        <v>27248</v>
      </c>
      <c r="I6170" t="s">
        <v>39202</v>
      </c>
      <c r="J6170" t="s">
        <v>12316</v>
      </c>
      <c r="L6170" t="s">
        <v>27250</v>
      </c>
      <c r="M6170" t="s">
        <v>27251</v>
      </c>
      <c r="N6170" t="s">
        <v>27252</v>
      </c>
      <c r="Q6170" s="1">
        <v>44538</v>
      </c>
      <c r="R6170" t="s">
        <v>27253</v>
      </c>
      <c r="S6170" t="s">
        <v>27254</v>
      </c>
      <c r="T6170" t="s">
        <v>27255</v>
      </c>
    </row>
    <row r="6171" spans="1:20" x14ac:dyDescent="0.3">
      <c r="A6171" t="str">
        <f>"0611862631050"</f>
        <v>0611862631050</v>
      </c>
      <c r="B6171" t="str">
        <f>"CR2417"</f>
        <v>CR2417</v>
      </c>
      <c r="C6171" t="s">
        <v>39203</v>
      </c>
      <c r="D6171" t="s">
        <v>27263</v>
      </c>
      <c r="E6171" t="str">
        <f t="shared" si="96"/>
        <v>001390</v>
      </c>
      <c r="F6171" t="s">
        <v>27246</v>
      </c>
      <c r="G6171" t="s">
        <v>27247</v>
      </c>
      <c r="H6171" t="s">
        <v>27248</v>
      </c>
      <c r="I6171" t="s">
        <v>39204</v>
      </c>
      <c r="J6171" t="s">
        <v>12318</v>
      </c>
      <c r="L6171" t="s">
        <v>27250</v>
      </c>
      <c r="M6171" t="s">
        <v>27251</v>
      </c>
      <c r="N6171" t="s">
        <v>27252</v>
      </c>
      <c r="Q6171" s="1">
        <v>44846</v>
      </c>
      <c r="R6171" t="s">
        <v>27253</v>
      </c>
      <c r="S6171" t="s">
        <v>27254</v>
      </c>
      <c r="T6171" t="s">
        <v>27265</v>
      </c>
    </row>
    <row r="6172" spans="1:20" x14ac:dyDescent="0.3">
      <c r="A6172" t="str">
        <f>"0611862632050"</f>
        <v>0611862632050</v>
      </c>
      <c r="B6172" t="str">
        <f>"CR2418"</f>
        <v>CR2418</v>
      </c>
      <c r="C6172" t="s">
        <v>39205</v>
      </c>
      <c r="D6172" t="s">
        <v>27263</v>
      </c>
      <c r="E6172" t="str">
        <f t="shared" si="96"/>
        <v>001390</v>
      </c>
      <c r="F6172" t="s">
        <v>27246</v>
      </c>
      <c r="G6172" t="s">
        <v>27247</v>
      </c>
      <c r="H6172" t="s">
        <v>27248</v>
      </c>
      <c r="I6172" t="s">
        <v>39206</v>
      </c>
      <c r="J6172" t="s">
        <v>12322</v>
      </c>
      <c r="L6172" t="s">
        <v>27250</v>
      </c>
      <c r="M6172" t="s">
        <v>27251</v>
      </c>
      <c r="N6172" t="s">
        <v>27252</v>
      </c>
      <c r="Q6172" s="1">
        <v>44846</v>
      </c>
      <c r="R6172" t="s">
        <v>27253</v>
      </c>
      <c r="S6172" t="s">
        <v>27254</v>
      </c>
      <c r="T6172" t="s">
        <v>27265</v>
      </c>
    </row>
    <row r="6173" spans="1:20" x14ac:dyDescent="0.3">
      <c r="A6173" t="str">
        <f>"0611835675100"</f>
        <v>0611835675100</v>
      </c>
      <c r="B6173" t="str">
        <f>"LQ3464"</f>
        <v>LQ3464</v>
      </c>
      <c r="C6173" t="s">
        <v>39207</v>
      </c>
      <c r="D6173" t="s">
        <v>27245</v>
      </c>
      <c r="E6173" t="str">
        <f t="shared" si="96"/>
        <v>001390</v>
      </c>
      <c r="F6173" t="s">
        <v>27246</v>
      </c>
      <c r="G6173" t="s">
        <v>27247</v>
      </c>
      <c r="H6173" t="s">
        <v>27248</v>
      </c>
      <c r="I6173" t="s">
        <v>39208</v>
      </c>
      <c r="J6173" t="s">
        <v>12320</v>
      </c>
      <c r="L6173" t="s">
        <v>27250</v>
      </c>
      <c r="M6173" t="s">
        <v>27251</v>
      </c>
      <c r="N6173" t="s">
        <v>27252</v>
      </c>
      <c r="Q6173" s="1">
        <v>44538</v>
      </c>
      <c r="R6173" t="s">
        <v>27253</v>
      </c>
      <c r="S6173" t="s">
        <v>27254</v>
      </c>
      <c r="T6173" t="s">
        <v>27255</v>
      </c>
    </row>
    <row r="6174" spans="1:20" x14ac:dyDescent="0.3">
      <c r="A6174" t="str">
        <f>"0611835676100"</f>
        <v>0611835676100</v>
      </c>
      <c r="B6174" t="str">
        <f>"LQ3357"</f>
        <v>LQ3357</v>
      </c>
      <c r="C6174" t="s">
        <v>39209</v>
      </c>
      <c r="D6174" t="s">
        <v>27245</v>
      </c>
      <c r="E6174" t="str">
        <f t="shared" si="96"/>
        <v>001390</v>
      </c>
      <c r="F6174" t="s">
        <v>27246</v>
      </c>
      <c r="G6174" t="s">
        <v>27247</v>
      </c>
      <c r="H6174" t="s">
        <v>27248</v>
      </c>
      <c r="I6174" t="s">
        <v>39210</v>
      </c>
      <c r="J6174" t="s">
        <v>12324</v>
      </c>
      <c r="L6174" t="s">
        <v>27250</v>
      </c>
      <c r="M6174" t="s">
        <v>27251</v>
      </c>
      <c r="N6174" t="s">
        <v>27252</v>
      </c>
      <c r="Q6174" s="1">
        <v>44538</v>
      </c>
      <c r="R6174" t="s">
        <v>27253</v>
      </c>
      <c r="S6174" t="s">
        <v>27254</v>
      </c>
      <c r="T6174" t="s">
        <v>27255</v>
      </c>
    </row>
    <row r="6175" spans="1:20" x14ac:dyDescent="0.3">
      <c r="A6175" t="str">
        <f>"0611862633050"</f>
        <v>0611862633050</v>
      </c>
      <c r="B6175" t="str">
        <f>"CR2419"</f>
        <v>CR2419</v>
      </c>
      <c r="C6175" t="s">
        <v>39211</v>
      </c>
      <c r="D6175" t="s">
        <v>27263</v>
      </c>
      <c r="E6175" t="str">
        <f t="shared" si="96"/>
        <v>001390</v>
      </c>
      <c r="F6175" t="s">
        <v>27246</v>
      </c>
      <c r="G6175" t="s">
        <v>27247</v>
      </c>
      <c r="H6175" t="s">
        <v>27248</v>
      </c>
      <c r="I6175" t="s">
        <v>39212</v>
      </c>
      <c r="J6175" t="s">
        <v>12326</v>
      </c>
      <c r="L6175" t="s">
        <v>27250</v>
      </c>
      <c r="M6175" t="s">
        <v>27251</v>
      </c>
      <c r="N6175" t="s">
        <v>27252</v>
      </c>
      <c r="Q6175" s="1">
        <v>44846</v>
      </c>
      <c r="R6175" t="s">
        <v>27253</v>
      </c>
      <c r="S6175" t="s">
        <v>27254</v>
      </c>
      <c r="T6175" t="s">
        <v>27265</v>
      </c>
    </row>
    <row r="6176" spans="1:20" x14ac:dyDescent="0.3">
      <c r="A6176" t="str">
        <f>"0611862634050"</f>
        <v>0611862634050</v>
      </c>
      <c r="B6176" t="str">
        <f>"CR2420"</f>
        <v>CR2420</v>
      </c>
      <c r="C6176" t="s">
        <v>39213</v>
      </c>
      <c r="D6176" t="s">
        <v>27263</v>
      </c>
      <c r="E6176" t="str">
        <f t="shared" si="96"/>
        <v>001390</v>
      </c>
      <c r="F6176" t="s">
        <v>27246</v>
      </c>
      <c r="G6176" t="s">
        <v>27247</v>
      </c>
      <c r="H6176" t="s">
        <v>27248</v>
      </c>
      <c r="I6176" t="s">
        <v>39214</v>
      </c>
      <c r="J6176" t="s">
        <v>12328</v>
      </c>
      <c r="L6176" t="s">
        <v>27250</v>
      </c>
      <c r="M6176" t="s">
        <v>27251</v>
      </c>
      <c r="N6176" t="s">
        <v>27252</v>
      </c>
      <c r="Q6176" s="1">
        <v>44846</v>
      </c>
      <c r="R6176" t="s">
        <v>27253</v>
      </c>
      <c r="S6176" t="s">
        <v>27254</v>
      </c>
      <c r="T6176" t="s">
        <v>27265</v>
      </c>
    </row>
    <row r="6177" spans="1:20" x14ac:dyDescent="0.3">
      <c r="A6177" t="str">
        <f>"0611862635050"</f>
        <v>0611862635050</v>
      </c>
      <c r="B6177" t="str">
        <f>"CR2421"</f>
        <v>CR2421</v>
      </c>
      <c r="C6177" t="s">
        <v>39215</v>
      </c>
      <c r="D6177" t="s">
        <v>27263</v>
      </c>
      <c r="E6177" t="str">
        <f t="shared" si="96"/>
        <v>001390</v>
      </c>
      <c r="F6177" t="s">
        <v>27246</v>
      </c>
      <c r="G6177" t="s">
        <v>27247</v>
      </c>
      <c r="H6177" t="s">
        <v>27248</v>
      </c>
      <c r="I6177" t="s">
        <v>39216</v>
      </c>
      <c r="J6177" t="s">
        <v>12330</v>
      </c>
      <c r="L6177" t="s">
        <v>27250</v>
      </c>
      <c r="M6177" t="s">
        <v>27251</v>
      </c>
      <c r="N6177" t="s">
        <v>27252</v>
      </c>
      <c r="Q6177" s="1">
        <v>44846</v>
      </c>
      <c r="R6177" t="s">
        <v>27253</v>
      </c>
      <c r="S6177" t="s">
        <v>27254</v>
      </c>
      <c r="T6177" t="s">
        <v>27265</v>
      </c>
    </row>
    <row r="6178" spans="1:20" x14ac:dyDescent="0.3">
      <c r="A6178" t="str">
        <f>"0611862636050"</f>
        <v>0611862636050</v>
      </c>
      <c r="B6178" t="str">
        <f>"CR3268"</f>
        <v>CR3268</v>
      </c>
      <c r="C6178" t="s">
        <v>39217</v>
      </c>
      <c r="D6178" t="s">
        <v>27263</v>
      </c>
      <c r="E6178" t="str">
        <f t="shared" si="96"/>
        <v>001390</v>
      </c>
      <c r="F6178" t="s">
        <v>27246</v>
      </c>
      <c r="G6178" t="s">
        <v>27247</v>
      </c>
      <c r="H6178" t="s">
        <v>27248</v>
      </c>
      <c r="I6178" t="s">
        <v>39218</v>
      </c>
      <c r="J6178" t="s">
        <v>12332</v>
      </c>
      <c r="L6178" t="s">
        <v>27250</v>
      </c>
      <c r="M6178" t="s">
        <v>27251</v>
      </c>
      <c r="N6178" t="s">
        <v>27252</v>
      </c>
      <c r="Q6178" s="1">
        <v>44846</v>
      </c>
      <c r="R6178" t="s">
        <v>27253</v>
      </c>
      <c r="S6178" t="s">
        <v>27254</v>
      </c>
      <c r="T6178" t="s">
        <v>27265</v>
      </c>
    </row>
    <row r="6179" spans="1:20" x14ac:dyDescent="0.3">
      <c r="A6179" t="str">
        <f>"0611862637050"</f>
        <v>0611862637050</v>
      </c>
      <c r="B6179" t="str">
        <f>"CR3212"</f>
        <v>CR3212</v>
      </c>
      <c r="C6179" t="s">
        <v>39219</v>
      </c>
      <c r="D6179" t="s">
        <v>27263</v>
      </c>
      <c r="E6179" t="str">
        <f t="shared" si="96"/>
        <v>001390</v>
      </c>
      <c r="F6179" t="s">
        <v>27246</v>
      </c>
      <c r="G6179" t="s">
        <v>27247</v>
      </c>
      <c r="H6179" t="s">
        <v>27248</v>
      </c>
      <c r="I6179" t="s">
        <v>39220</v>
      </c>
      <c r="J6179" t="s">
        <v>12334</v>
      </c>
      <c r="L6179" t="s">
        <v>27250</v>
      </c>
      <c r="M6179" t="s">
        <v>27251</v>
      </c>
      <c r="N6179" t="s">
        <v>27252</v>
      </c>
      <c r="Q6179" s="1">
        <v>44846</v>
      </c>
      <c r="R6179" t="s">
        <v>27253</v>
      </c>
      <c r="S6179" t="s">
        <v>27254</v>
      </c>
      <c r="T6179" t="s">
        <v>27265</v>
      </c>
    </row>
    <row r="6180" spans="1:20" x14ac:dyDescent="0.3">
      <c r="A6180" t="str">
        <f>"0611862638050"</f>
        <v>0611862638050</v>
      </c>
      <c r="B6180" t="str">
        <f>"CR2422"</f>
        <v>CR2422</v>
      </c>
      <c r="C6180" t="s">
        <v>39221</v>
      </c>
      <c r="D6180" t="s">
        <v>27263</v>
      </c>
      <c r="E6180" t="str">
        <f t="shared" si="96"/>
        <v>001390</v>
      </c>
      <c r="F6180" t="s">
        <v>27246</v>
      </c>
      <c r="G6180" t="s">
        <v>27247</v>
      </c>
      <c r="H6180" t="s">
        <v>27248</v>
      </c>
      <c r="I6180" t="s">
        <v>39222</v>
      </c>
      <c r="J6180" t="s">
        <v>12338</v>
      </c>
      <c r="L6180" t="s">
        <v>27250</v>
      </c>
      <c r="M6180" t="s">
        <v>27251</v>
      </c>
      <c r="N6180" t="s">
        <v>27252</v>
      </c>
      <c r="Q6180" s="1">
        <v>44846</v>
      </c>
      <c r="R6180" t="s">
        <v>27253</v>
      </c>
      <c r="S6180" t="s">
        <v>27254</v>
      </c>
      <c r="T6180" t="s">
        <v>27265</v>
      </c>
    </row>
    <row r="6181" spans="1:20" x14ac:dyDescent="0.3">
      <c r="A6181" t="str">
        <f>"0611835679100"</f>
        <v>0611835679100</v>
      </c>
      <c r="B6181" t="str">
        <f>"LQ3359"</f>
        <v>LQ3359</v>
      </c>
      <c r="C6181" t="s">
        <v>39223</v>
      </c>
      <c r="D6181" t="s">
        <v>27245</v>
      </c>
      <c r="E6181" t="str">
        <f t="shared" si="96"/>
        <v>001390</v>
      </c>
      <c r="F6181" t="s">
        <v>27246</v>
      </c>
      <c r="G6181" t="s">
        <v>27247</v>
      </c>
      <c r="H6181" t="s">
        <v>27248</v>
      </c>
      <c r="I6181" t="s">
        <v>39224</v>
      </c>
      <c r="J6181" t="s">
        <v>12336</v>
      </c>
      <c r="L6181" t="s">
        <v>27250</v>
      </c>
      <c r="M6181" t="s">
        <v>27251</v>
      </c>
      <c r="N6181" t="s">
        <v>27252</v>
      </c>
      <c r="Q6181" s="1">
        <v>44538</v>
      </c>
      <c r="R6181" t="s">
        <v>27253</v>
      </c>
      <c r="S6181" t="s">
        <v>27254</v>
      </c>
      <c r="T6181" t="s">
        <v>27255</v>
      </c>
    </row>
    <row r="6182" spans="1:20" x14ac:dyDescent="0.3">
      <c r="A6182" t="str">
        <f>"0611835680100"</f>
        <v>0611835680100</v>
      </c>
      <c r="B6182" t="str">
        <f>"LQ3465"</f>
        <v>LQ3465</v>
      </c>
      <c r="C6182" t="s">
        <v>39225</v>
      </c>
      <c r="D6182" t="s">
        <v>27245</v>
      </c>
      <c r="E6182" t="str">
        <f t="shared" si="96"/>
        <v>001390</v>
      </c>
      <c r="F6182" t="s">
        <v>27246</v>
      </c>
      <c r="G6182" t="s">
        <v>27247</v>
      </c>
      <c r="H6182" t="s">
        <v>27248</v>
      </c>
      <c r="I6182" t="s">
        <v>39226</v>
      </c>
      <c r="J6182" t="s">
        <v>12340</v>
      </c>
      <c r="L6182" t="s">
        <v>27250</v>
      </c>
      <c r="M6182" t="s">
        <v>27251</v>
      </c>
      <c r="N6182" t="s">
        <v>27252</v>
      </c>
      <c r="Q6182" s="1">
        <v>44538</v>
      </c>
      <c r="R6182" t="s">
        <v>27253</v>
      </c>
      <c r="S6182" t="s">
        <v>27254</v>
      </c>
      <c r="T6182" t="s">
        <v>27255</v>
      </c>
    </row>
    <row r="6183" spans="1:20" x14ac:dyDescent="0.3">
      <c r="A6183" t="str">
        <f>"0611835681100"</f>
        <v>0611835681100</v>
      </c>
      <c r="B6183" t="str">
        <f>"LQ3360"</f>
        <v>LQ3360</v>
      </c>
      <c r="C6183" t="s">
        <v>39227</v>
      </c>
      <c r="D6183" t="s">
        <v>27245</v>
      </c>
      <c r="E6183" t="str">
        <f t="shared" si="96"/>
        <v>001390</v>
      </c>
      <c r="F6183" t="s">
        <v>27246</v>
      </c>
      <c r="G6183" t="s">
        <v>27247</v>
      </c>
      <c r="H6183" t="s">
        <v>27248</v>
      </c>
      <c r="I6183" t="s">
        <v>39228</v>
      </c>
      <c r="J6183" t="s">
        <v>12342</v>
      </c>
      <c r="L6183" t="s">
        <v>27250</v>
      </c>
      <c r="M6183" t="s">
        <v>27251</v>
      </c>
      <c r="N6183" t="s">
        <v>27252</v>
      </c>
      <c r="Q6183" s="1">
        <v>44538</v>
      </c>
      <c r="R6183" t="s">
        <v>27253</v>
      </c>
      <c r="S6183" t="s">
        <v>27254</v>
      </c>
      <c r="T6183" t="s">
        <v>27255</v>
      </c>
    </row>
    <row r="6184" spans="1:20" x14ac:dyDescent="0.3">
      <c r="A6184" t="str">
        <f>"0611862639050"</f>
        <v>0611862639050</v>
      </c>
      <c r="B6184" t="str">
        <f>"CR3365"</f>
        <v>CR3365</v>
      </c>
      <c r="C6184" t="s">
        <v>39229</v>
      </c>
      <c r="D6184" t="s">
        <v>27263</v>
      </c>
      <c r="E6184" t="str">
        <f t="shared" si="96"/>
        <v>001390</v>
      </c>
      <c r="F6184" t="s">
        <v>27246</v>
      </c>
      <c r="G6184" t="s">
        <v>27247</v>
      </c>
      <c r="H6184" t="s">
        <v>27248</v>
      </c>
      <c r="I6184" t="s">
        <v>39230</v>
      </c>
      <c r="J6184" t="s">
        <v>12344</v>
      </c>
      <c r="L6184" t="s">
        <v>27250</v>
      </c>
      <c r="M6184" t="s">
        <v>27251</v>
      </c>
      <c r="N6184" t="s">
        <v>27252</v>
      </c>
      <c r="Q6184" s="1">
        <v>44846</v>
      </c>
      <c r="R6184" t="s">
        <v>27253</v>
      </c>
      <c r="S6184" t="s">
        <v>27254</v>
      </c>
      <c r="T6184" t="s">
        <v>27265</v>
      </c>
    </row>
    <row r="6185" spans="1:20" x14ac:dyDescent="0.3">
      <c r="A6185" t="str">
        <f>"0611862640050"</f>
        <v>0611862640050</v>
      </c>
      <c r="B6185" t="str">
        <f>"CR2714"</f>
        <v>CR2714</v>
      </c>
      <c r="C6185" t="s">
        <v>39231</v>
      </c>
      <c r="D6185" t="s">
        <v>27263</v>
      </c>
      <c r="E6185" t="str">
        <f t="shared" si="96"/>
        <v>001390</v>
      </c>
      <c r="F6185" t="s">
        <v>27246</v>
      </c>
      <c r="G6185" t="s">
        <v>27247</v>
      </c>
      <c r="H6185" t="s">
        <v>27248</v>
      </c>
      <c r="I6185" t="s">
        <v>39232</v>
      </c>
      <c r="J6185" t="s">
        <v>12346</v>
      </c>
      <c r="L6185" t="s">
        <v>27250</v>
      </c>
      <c r="M6185" t="s">
        <v>27251</v>
      </c>
      <c r="N6185" t="s">
        <v>27252</v>
      </c>
      <c r="Q6185" s="1">
        <v>44846</v>
      </c>
      <c r="R6185" t="s">
        <v>27253</v>
      </c>
      <c r="S6185" t="s">
        <v>27254</v>
      </c>
      <c r="T6185" t="s">
        <v>27265</v>
      </c>
    </row>
    <row r="6186" spans="1:20" x14ac:dyDescent="0.3">
      <c r="A6186" t="str">
        <f>"0611862641050"</f>
        <v>0611862641050</v>
      </c>
      <c r="B6186" t="str">
        <f>"CR2423"</f>
        <v>CR2423</v>
      </c>
      <c r="C6186" t="s">
        <v>39233</v>
      </c>
      <c r="D6186" t="s">
        <v>27263</v>
      </c>
      <c r="E6186" t="str">
        <f t="shared" si="96"/>
        <v>001390</v>
      </c>
      <c r="F6186" t="s">
        <v>27246</v>
      </c>
      <c r="G6186" t="s">
        <v>27247</v>
      </c>
      <c r="H6186" t="s">
        <v>27248</v>
      </c>
      <c r="I6186" t="s">
        <v>39234</v>
      </c>
      <c r="J6186" t="s">
        <v>12348</v>
      </c>
      <c r="L6186" t="s">
        <v>27250</v>
      </c>
      <c r="M6186" t="s">
        <v>27251</v>
      </c>
      <c r="N6186" t="s">
        <v>27252</v>
      </c>
      <c r="Q6186" s="1">
        <v>44846</v>
      </c>
      <c r="R6186" t="s">
        <v>27253</v>
      </c>
      <c r="S6186" t="s">
        <v>27254</v>
      </c>
      <c r="T6186" t="s">
        <v>27265</v>
      </c>
    </row>
    <row r="6187" spans="1:20" x14ac:dyDescent="0.3">
      <c r="A6187" t="str">
        <f>"0611862642050"</f>
        <v>0611862642050</v>
      </c>
      <c r="B6187" t="str">
        <f>"CR2715"</f>
        <v>CR2715</v>
      </c>
      <c r="C6187" t="s">
        <v>39235</v>
      </c>
      <c r="D6187" t="s">
        <v>27263</v>
      </c>
      <c r="E6187" t="str">
        <f t="shared" si="96"/>
        <v>001390</v>
      </c>
      <c r="F6187" t="s">
        <v>27246</v>
      </c>
      <c r="G6187" t="s">
        <v>27247</v>
      </c>
      <c r="H6187" t="s">
        <v>27248</v>
      </c>
      <c r="I6187" t="s">
        <v>39236</v>
      </c>
      <c r="J6187" t="s">
        <v>12350</v>
      </c>
      <c r="L6187" t="s">
        <v>27250</v>
      </c>
      <c r="M6187" t="s">
        <v>27251</v>
      </c>
      <c r="N6187" t="s">
        <v>27252</v>
      </c>
      <c r="Q6187" s="1">
        <v>44846</v>
      </c>
      <c r="R6187" t="s">
        <v>27253</v>
      </c>
      <c r="S6187" t="s">
        <v>27254</v>
      </c>
      <c r="T6187" t="s">
        <v>27265</v>
      </c>
    </row>
    <row r="6188" spans="1:20" x14ac:dyDescent="0.3">
      <c r="A6188" t="str">
        <f>"0611862643050"</f>
        <v>0611862643050</v>
      </c>
      <c r="B6188" t="str">
        <f>"CR3211"</f>
        <v>CR3211</v>
      </c>
      <c r="C6188" t="s">
        <v>39237</v>
      </c>
      <c r="D6188" t="s">
        <v>27263</v>
      </c>
      <c r="E6188" t="str">
        <f t="shared" si="96"/>
        <v>001390</v>
      </c>
      <c r="F6188" t="s">
        <v>27246</v>
      </c>
      <c r="G6188" t="s">
        <v>27247</v>
      </c>
      <c r="H6188" t="s">
        <v>27248</v>
      </c>
      <c r="I6188" t="s">
        <v>39238</v>
      </c>
      <c r="J6188" t="s">
        <v>12352</v>
      </c>
      <c r="L6188" t="s">
        <v>27250</v>
      </c>
      <c r="M6188" t="s">
        <v>27251</v>
      </c>
      <c r="N6188" t="s">
        <v>27252</v>
      </c>
      <c r="Q6188" s="1">
        <v>44846</v>
      </c>
      <c r="R6188" t="s">
        <v>27253</v>
      </c>
      <c r="S6188" t="s">
        <v>27254</v>
      </c>
      <c r="T6188" t="s">
        <v>27265</v>
      </c>
    </row>
    <row r="6189" spans="1:20" x14ac:dyDescent="0.3">
      <c r="A6189" t="str">
        <f>"0611862644050"</f>
        <v>0611862644050</v>
      </c>
      <c r="B6189" t="str">
        <f>"CR2424"</f>
        <v>CR2424</v>
      </c>
      <c r="C6189" t="s">
        <v>39239</v>
      </c>
      <c r="D6189" t="s">
        <v>27263</v>
      </c>
      <c r="E6189" t="str">
        <f t="shared" si="96"/>
        <v>001390</v>
      </c>
      <c r="F6189" t="s">
        <v>27246</v>
      </c>
      <c r="G6189" t="s">
        <v>27247</v>
      </c>
      <c r="H6189" t="s">
        <v>27248</v>
      </c>
      <c r="I6189" t="s">
        <v>39240</v>
      </c>
      <c r="J6189" t="s">
        <v>12354</v>
      </c>
      <c r="L6189" t="s">
        <v>27250</v>
      </c>
      <c r="M6189" t="s">
        <v>27251</v>
      </c>
      <c r="N6189" t="s">
        <v>27252</v>
      </c>
      <c r="Q6189" s="1">
        <v>44846</v>
      </c>
      <c r="R6189" t="s">
        <v>27253</v>
      </c>
      <c r="S6189" t="s">
        <v>27254</v>
      </c>
      <c r="T6189" t="s">
        <v>27265</v>
      </c>
    </row>
    <row r="6190" spans="1:20" x14ac:dyDescent="0.3">
      <c r="A6190" t="str">
        <f>"0611835683100"</f>
        <v>0611835683100</v>
      </c>
      <c r="B6190" t="str">
        <f>"LQ3361"</f>
        <v>LQ3361</v>
      </c>
      <c r="C6190" t="s">
        <v>39241</v>
      </c>
      <c r="D6190" t="s">
        <v>27245</v>
      </c>
      <c r="E6190" t="str">
        <f t="shared" si="96"/>
        <v>001390</v>
      </c>
      <c r="F6190" t="s">
        <v>27246</v>
      </c>
      <c r="G6190" t="s">
        <v>27247</v>
      </c>
      <c r="H6190" t="s">
        <v>27248</v>
      </c>
      <c r="I6190" t="s">
        <v>39242</v>
      </c>
      <c r="J6190" t="s">
        <v>12356</v>
      </c>
      <c r="L6190" t="s">
        <v>27250</v>
      </c>
      <c r="M6190" t="s">
        <v>27251</v>
      </c>
      <c r="N6190" t="s">
        <v>27252</v>
      </c>
      <c r="Q6190" s="1">
        <v>44538</v>
      </c>
      <c r="R6190" t="s">
        <v>27253</v>
      </c>
      <c r="S6190" t="s">
        <v>27254</v>
      </c>
      <c r="T6190" t="s">
        <v>27255</v>
      </c>
    </row>
    <row r="6191" spans="1:20" x14ac:dyDescent="0.3">
      <c r="A6191" t="str">
        <f>"0611862645050"</f>
        <v>0611862645050</v>
      </c>
      <c r="B6191" t="str">
        <f>"CR2871"</f>
        <v>CR2871</v>
      </c>
      <c r="C6191" t="s">
        <v>39243</v>
      </c>
      <c r="D6191" t="s">
        <v>27263</v>
      </c>
      <c r="E6191" t="str">
        <f t="shared" si="96"/>
        <v>001390</v>
      </c>
      <c r="F6191" t="s">
        <v>27246</v>
      </c>
      <c r="G6191" t="s">
        <v>27247</v>
      </c>
      <c r="H6191" t="s">
        <v>27248</v>
      </c>
      <c r="I6191" t="s">
        <v>39244</v>
      </c>
      <c r="J6191" t="s">
        <v>12358</v>
      </c>
      <c r="L6191" t="s">
        <v>27250</v>
      </c>
      <c r="M6191" t="s">
        <v>27251</v>
      </c>
      <c r="N6191" t="s">
        <v>27252</v>
      </c>
      <c r="Q6191" s="1">
        <v>44846</v>
      </c>
      <c r="R6191" t="s">
        <v>27253</v>
      </c>
      <c r="S6191" t="s">
        <v>27254</v>
      </c>
      <c r="T6191" t="s">
        <v>27265</v>
      </c>
    </row>
    <row r="6192" spans="1:20" x14ac:dyDescent="0.3">
      <c r="A6192" t="str">
        <f>"0611862646050"</f>
        <v>0611862646050</v>
      </c>
      <c r="B6192" t="str">
        <f>"CR3195"</f>
        <v>CR3195</v>
      </c>
      <c r="C6192" t="s">
        <v>39245</v>
      </c>
      <c r="D6192" t="s">
        <v>27263</v>
      </c>
      <c r="E6192" t="str">
        <f t="shared" si="96"/>
        <v>001390</v>
      </c>
      <c r="F6192" t="s">
        <v>27246</v>
      </c>
      <c r="G6192" t="s">
        <v>27247</v>
      </c>
      <c r="H6192" t="s">
        <v>27248</v>
      </c>
      <c r="I6192" t="s">
        <v>39246</v>
      </c>
      <c r="J6192" t="s">
        <v>12360</v>
      </c>
      <c r="L6192" t="s">
        <v>27250</v>
      </c>
      <c r="M6192" t="s">
        <v>27251</v>
      </c>
      <c r="N6192" t="s">
        <v>27252</v>
      </c>
      <c r="Q6192" s="1">
        <v>44846</v>
      </c>
      <c r="R6192" t="s">
        <v>27253</v>
      </c>
      <c r="S6192" t="s">
        <v>27254</v>
      </c>
      <c r="T6192" t="s">
        <v>27265</v>
      </c>
    </row>
    <row r="6193" spans="1:20" x14ac:dyDescent="0.3">
      <c r="A6193" t="str">
        <f>"0611862647050"</f>
        <v>0611862647050</v>
      </c>
      <c r="B6193" t="str">
        <f>"CR2873"</f>
        <v>CR2873</v>
      </c>
      <c r="C6193" t="s">
        <v>39247</v>
      </c>
      <c r="D6193" t="s">
        <v>27263</v>
      </c>
      <c r="E6193" t="str">
        <f t="shared" si="96"/>
        <v>001390</v>
      </c>
      <c r="F6193" t="s">
        <v>27246</v>
      </c>
      <c r="G6193" t="s">
        <v>27247</v>
      </c>
      <c r="H6193" t="s">
        <v>27248</v>
      </c>
      <c r="I6193" t="s">
        <v>39248</v>
      </c>
      <c r="J6193" t="s">
        <v>12362</v>
      </c>
      <c r="L6193" t="s">
        <v>27250</v>
      </c>
      <c r="M6193" t="s">
        <v>27251</v>
      </c>
      <c r="N6193" t="s">
        <v>27252</v>
      </c>
      <c r="Q6193" s="1">
        <v>44846</v>
      </c>
      <c r="R6193" t="s">
        <v>27253</v>
      </c>
      <c r="S6193" t="s">
        <v>27254</v>
      </c>
      <c r="T6193" t="s">
        <v>27265</v>
      </c>
    </row>
    <row r="6194" spans="1:20" x14ac:dyDescent="0.3">
      <c r="A6194" t="str">
        <f>"0611862648050"</f>
        <v>0611862648050</v>
      </c>
      <c r="B6194" t="str">
        <f>"CR3328"</f>
        <v>CR3328</v>
      </c>
      <c r="C6194" t="s">
        <v>39249</v>
      </c>
      <c r="D6194" t="s">
        <v>27263</v>
      </c>
      <c r="E6194" t="str">
        <f t="shared" si="96"/>
        <v>001390</v>
      </c>
      <c r="F6194" t="s">
        <v>27246</v>
      </c>
      <c r="G6194" t="s">
        <v>27247</v>
      </c>
      <c r="H6194" t="s">
        <v>27248</v>
      </c>
      <c r="I6194" t="s">
        <v>39250</v>
      </c>
      <c r="J6194" t="s">
        <v>12364</v>
      </c>
      <c r="L6194" t="s">
        <v>27250</v>
      </c>
      <c r="M6194" t="s">
        <v>27251</v>
      </c>
      <c r="N6194" t="s">
        <v>27252</v>
      </c>
      <c r="Q6194" s="1">
        <v>44846</v>
      </c>
      <c r="R6194" t="s">
        <v>27253</v>
      </c>
      <c r="S6194" t="s">
        <v>27254</v>
      </c>
      <c r="T6194" t="s">
        <v>27265</v>
      </c>
    </row>
    <row r="6195" spans="1:20" x14ac:dyDescent="0.3">
      <c r="A6195" t="str">
        <f>"0611862649050"</f>
        <v>0611862649050</v>
      </c>
      <c r="B6195" t="str">
        <f>"CR3539"</f>
        <v>CR3539</v>
      </c>
      <c r="C6195" t="s">
        <v>39251</v>
      </c>
      <c r="D6195" t="s">
        <v>27263</v>
      </c>
      <c r="E6195" t="str">
        <f t="shared" si="96"/>
        <v>001390</v>
      </c>
      <c r="F6195" t="s">
        <v>27246</v>
      </c>
      <c r="G6195" t="s">
        <v>27247</v>
      </c>
      <c r="H6195" t="s">
        <v>27248</v>
      </c>
      <c r="I6195" t="s">
        <v>39252</v>
      </c>
      <c r="J6195" t="s">
        <v>12366</v>
      </c>
      <c r="L6195" t="s">
        <v>27250</v>
      </c>
      <c r="M6195" t="s">
        <v>27251</v>
      </c>
      <c r="N6195" t="s">
        <v>27252</v>
      </c>
      <c r="Q6195" s="1">
        <v>44846</v>
      </c>
      <c r="R6195" t="s">
        <v>27253</v>
      </c>
      <c r="S6195" t="s">
        <v>27254</v>
      </c>
      <c r="T6195" t="s">
        <v>27265</v>
      </c>
    </row>
    <row r="6196" spans="1:20" x14ac:dyDescent="0.3">
      <c r="A6196" t="str">
        <f>"0611862651050"</f>
        <v>0611862651050</v>
      </c>
      <c r="B6196" t="str">
        <f>"CR3337"</f>
        <v>CR3337</v>
      </c>
      <c r="C6196" t="s">
        <v>39253</v>
      </c>
      <c r="D6196" t="s">
        <v>27263</v>
      </c>
      <c r="E6196" t="str">
        <f t="shared" si="96"/>
        <v>001390</v>
      </c>
      <c r="F6196" t="s">
        <v>27246</v>
      </c>
      <c r="G6196" t="s">
        <v>27247</v>
      </c>
      <c r="H6196" t="s">
        <v>27248</v>
      </c>
      <c r="I6196" t="s">
        <v>39254</v>
      </c>
      <c r="J6196" t="s">
        <v>12368</v>
      </c>
      <c r="L6196" t="s">
        <v>27250</v>
      </c>
      <c r="M6196" t="s">
        <v>27251</v>
      </c>
      <c r="N6196" t="s">
        <v>27252</v>
      </c>
      <c r="Q6196" s="1">
        <v>44846</v>
      </c>
      <c r="R6196" t="s">
        <v>27253</v>
      </c>
      <c r="S6196" t="s">
        <v>27254</v>
      </c>
      <c r="T6196" t="s">
        <v>27265</v>
      </c>
    </row>
    <row r="6197" spans="1:20" x14ac:dyDescent="0.3">
      <c r="A6197" t="str">
        <f>"0611835686100"</f>
        <v>0611835686100</v>
      </c>
      <c r="B6197" t="str">
        <f>"LQ5619"</f>
        <v>LQ5619</v>
      </c>
      <c r="C6197" t="s">
        <v>39255</v>
      </c>
      <c r="D6197" t="s">
        <v>27245</v>
      </c>
      <c r="E6197" t="str">
        <f t="shared" si="96"/>
        <v>001390</v>
      </c>
      <c r="F6197" t="s">
        <v>27246</v>
      </c>
      <c r="G6197" t="s">
        <v>27247</v>
      </c>
      <c r="H6197" t="s">
        <v>27248</v>
      </c>
      <c r="I6197" t="s">
        <v>39256</v>
      </c>
      <c r="J6197" t="s">
        <v>12370</v>
      </c>
      <c r="L6197" t="s">
        <v>27250</v>
      </c>
      <c r="M6197" t="s">
        <v>27251</v>
      </c>
      <c r="N6197" t="s">
        <v>27252</v>
      </c>
      <c r="Q6197" s="1">
        <v>44538</v>
      </c>
      <c r="R6197" t="s">
        <v>27253</v>
      </c>
      <c r="S6197" t="s">
        <v>27254</v>
      </c>
      <c r="T6197" t="s">
        <v>27255</v>
      </c>
    </row>
    <row r="6198" spans="1:20" x14ac:dyDescent="0.3">
      <c r="A6198" t="str">
        <f>"0611835688100"</f>
        <v>0611835688100</v>
      </c>
      <c r="B6198" t="str">
        <f>"LQ3364"</f>
        <v>LQ3364</v>
      </c>
      <c r="C6198" t="s">
        <v>39257</v>
      </c>
      <c r="D6198" t="s">
        <v>27245</v>
      </c>
      <c r="E6198" t="str">
        <f t="shared" si="96"/>
        <v>001390</v>
      </c>
      <c r="F6198" t="s">
        <v>27246</v>
      </c>
      <c r="G6198" t="s">
        <v>27247</v>
      </c>
      <c r="H6198" t="s">
        <v>27248</v>
      </c>
      <c r="I6198" t="s">
        <v>39258</v>
      </c>
      <c r="J6198" t="s">
        <v>12372</v>
      </c>
      <c r="L6198" t="s">
        <v>27250</v>
      </c>
      <c r="M6198" t="s">
        <v>27251</v>
      </c>
      <c r="N6198" t="s">
        <v>27252</v>
      </c>
      <c r="Q6198" s="1">
        <v>44538</v>
      </c>
      <c r="R6198" t="s">
        <v>27253</v>
      </c>
      <c r="S6198" t="s">
        <v>27254</v>
      </c>
      <c r="T6198" t="s">
        <v>27255</v>
      </c>
    </row>
    <row r="6199" spans="1:20" x14ac:dyDescent="0.3">
      <c r="A6199" t="str">
        <f>"0611862652050"</f>
        <v>0611862652050</v>
      </c>
      <c r="B6199" t="str">
        <f>"CR2425"</f>
        <v>CR2425</v>
      </c>
      <c r="C6199" t="s">
        <v>39259</v>
      </c>
      <c r="D6199" t="s">
        <v>27263</v>
      </c>
      <c r="E6199" t="str">
        <f t="shared" si="96"/>
        <v>001390</v>
      </c>
      <c r="F6199" t="s">
        <v>27246</v>
      </c>
      <c r="G6199" t="s">
        <v>27247</v>
      </c>
      <c r="H6199" t="s">
        <v>27248</v>
      </c>
      <c r="I6199" t="s">
        <v>39260</v>
      </c>
      <c r="J6199" t="s">
        <v>12374</v>
      </c>
      <c r="L6199" t="s">
        <v>27250</v>
      </c>
      <c r="M6199" t="s">
        <v>27251</v>
      </c>
      <c r="N6199" t="s">
        <v>27252</v>
      </c>
      <c r="Q6199" s="1">
        <v>44846</v>
      </c>
      <c r="R6199" t="s">
        <v>27253</v>
      </c>
      <c r="S6199" t="s">
        <v>27254</v>
      </c>
      <c r="T6199" t="s">
        <v>27265</v>
      </c>
    </row>
    <row r="6200" spans="1:20" x14ac:dyDescent="0.3">
      <c r="A6200" t="str">
        <f>"0611835689100"</f>
        <v>0611835689100</v>
      </c>
      <c r="B6200" t="str">
        <f>"LB3887"</f>
        <v>LB3887</v>
      </c>
      <c r="C6200" t="s">
        <v>39261</v>
      </c>
      <c r="D6200" t="s">
        <v>27245</v>
      </c>
      <c r="E6200" t="str">
        <f t="shared" si="96"/>
        <v>001390</v>
      </c>
      <c r="F6200" t="s">
        <v>27246</v>
      </c>
      <c r="G6200" t="s">
        <v>27247</v>
      </c>
      <c r="H6200" t="s">
        <v>27248</v>
      </c>
      <c r="I6200" t="s">
        <v>39262</v>
      </c>
      <c r="J6200" t="s">
        <v>12376</v>
      </c>
      <c r="L6200" t="s">
        <v>27250</v>
      </c>
      <c r="M6200" t="s">
        <v>27251</v>
      </c>
      <c r="N6200" t="s">
        <v>27252</v>
      </c>
      <c r="Q6200" s="1">
        <v>44538</v>
      </c>
      <c r="R6200" t="s">
        <v>27253</v>
      </c>
      <c r="S6200" t="s">
        <v>27254</v>
      </c>
      <c r="T6200" t="s">
        <v>27255</v>
      </c>
    </row>
    <row r="6201" spans="1:20" x14ac:dyDescent="0.3">
      <c r="A6201" t="str">
        <f>"0611862653050"</f>
        <v>0611862653050</v>
      </c>
      <c r="B6201" t="str">
        <f>"CR3094"</f>
        <v>CR3094</v>
      </c>
      <c r="C6201" t="s">
        <v>39263</v>
      </c>
      <c r="D6201" t="s">
        <v>27271</v>
      </c>
      <c r="E6201" t="str">
        <f t="shared" si="96"/>
        <v>001390</v>
      </c>
      <c r="F6201" t="s">
        <v>27246</v>
      </c>
      <c r="G6201" t="s">
        <v>27247</v>
      </c>
      <c r="H6201" t="s">
        <v>27248</v>
      </c>
      <c r="I6201" t="s">
        <v>39264</v>
      </c>
      <c r="J6201" t="s">
        <v>12378</v>
      </c>
      <c r="L6201" t="s">
        <v>27250</v>
      </c>
      <c r="M6201" t="s">
        <v>27251</v>
      </c>
      <c r="N6201" t="s">
        <v>27252</v>
      </c>
      <c r="P6201" t="s">
        <v>27341</v>
      </c>
      <c r="Q6201" s="1">
        <v>44846</v>
      </c>
      <c r="R6201" t="s">
        <v>27253</v>
      </c>
      <c r="S6201" t="s">
        <v>27254</v>
      </c>
      <c r="T6201" t="s">
        <v>27265</v>
      </c>
    </row>
    <row r="6202" spans="1:20" x14ac:dyDescent="0.3">
      <c r="A6202" t="str">
        <f>"0611862654050"</f>
        <v>0611862654050</v>
      </c>
      <c r="B6202" t="str">
        <f>"CR3095"</f>
        <v>CR3095</v>
      </c>
      <c r="C6202" t="s">
        <v>39265</v>
      </c>
      <c r="D6202" t="s">
        <v>27271</v>
      </c>
      <c r="E6202" t="str">
        <f t="shared" si="96"/>
        <v>001390</v>
      </c>
      <c r="F6202" t="s">
        <v>27246</v>
      </c>
      <c r="G6202" t="s">
        <v>27247</v>
      </c>
      <c r="H6202" t="s">
        <v>27248</v>
      </c>
      <c r="I6202" t="s">
        <v>39266</v>
      </c>
      <c r="J6202" t="s">
        <v>12380</v>
      </c>
      <c r="L6202" t="s">
        <v>27250</v>
      </c>
      <c r="M6202" t="s">
        <v>27251</v>
      </c>
      <c r="N6202" t="s">
        <v>27252</v>
      </c>
      <c r="P6202" t="s">
        <v>27341</v>
      </c>
      <c r="Q6202" s="1">
        <v>44846</v>
      </c>
      <c r="R6202" t="s">
        <v>27253</v>
      </c>
      <c r="S6202" t="s">
        <v>27254</v>
      </c>
      <c r="T6202" t="s">
        <v>27265</v>
      </c>
    </row>
    <row r="6203" spans="1:20" x14ac:dyDescent="0.3">
      <c r="A6203" t="str">
        <f>"0611862655050"</f>
        <v>0611862655050</v>
      </c>
      <c r="B6203" t="str">
        <f>"CR3096"</f>
        <v>CR3096</v>
      </c>
      <c r="C6203" t="s">
        <v>39267</v>
      </c>
      <c r="D6203" t="s">
        <v>27271</v>
      </c>
      <c r="E6203" t="str">
        <f t="shared" si="96"/>
        <v>001390</v>
      </c>
      <c r="F6203" t="s">
        <v>27246</v>
      </c>
      <c r="G6203" t="s">
        <v>27247</v>
      </c>
      <c r="H6203" t="s">
        <v>27248</v>
      </c>
      <c r="I6203" t="s">
        <v>39268</v>
      </c>
      <c r="J6203" t="s">
        <v>12382</v>
      </c>
      <c r="L6203" t="s">
        <v>27250</v>
      </c>
      <c r="M6203" t="s">
        <v>27251</v>
      </c>
      <c r="N6203" t="s">
        <v>27252</v>
      </c>
      <c r="P6203" t="s">
        <v>27341</v>
      </c>
      <c r="Q6203" s="1">
        <v>44846</v>
      </c>
      <c r="R6203" t="s">
        <v>27253</v>
      </c>
      <c r="S6203" t="s">
        <v>27254</v>
      </c>
      <c r="T6203" t="s">
        <v>27265</v>
      </c>
    </row>
    <row r="6204" spans="1:20" x14ac:dyDescent="0.3">
      <c r="A6204" t="str">
        <f>"0611862656050"</f>
        <v>0611862656050</v>
      </c>
      <c r="B6204" t="str">
        <f>"CR3097"</f>
        <v>CR3097</v>
      </c>
      <c r="C6204" t="s">
        <v>39269</v>
      </c>
      <c r="D6204" t="s">
        <v>27271</v>
      </c>
      <c r="E6204" t="str">
        <f t="shared" si="96"/>
        <v>001390</v>
      </c>
      <c r="F6204" t="s">
        <v>27246</v>
      </c>
      <c r="G6204" t="s">
        <v>27247</v>
      </c>
      <c r="H6204" t="s">
        <v>27248</v>
      </c>
      <c r="I6204" t="s">
        <v>39270</v>
      </c>
      <c r="J6204" t="s">
        <v>12386</v>
      </c>
      <c r="L6204" t="s">
        <v>27250</v>
      </c>
      <c r="M6204" t="s">
        <v>27251</v>
      </c>
      <c r="N6204" t="s">
        <v>27252</v>
      </c>
      <c r="P6204" t="s">
        <v>27341</v>
      </c>
      <c r="Q6204" s="1">
        <v>44846</v>
      </c>
      <c r="R6204" t="s">
        <v>27253</v>
      </c>
      <c r="S6204" t="s">
        <v>27254</v>
      </c>
      <c r="T6204" t="s">
        <v>27265</v>
      </c>
    </row>
    <row r="6205" spans="1:20" x14ac:dyDescent="0.3">
      <c r="A6205" t="str">
        <f>"0611862657050"</f>
        <v>0611862657050</v>
      </c>
      <c r="B6205" t="str">
        <f>"CR3543"</f>
        <v>CR3543</v>
      </c>
      <c r="C6205" t="s">
        <v>39271</v>
      </c>
      <c r="D6205" t="s">
        <v>27271</v>
      </c>
      <c r="E6205" t="str">
        <f t="shared" si="96"/>
        <v>001390</v>
      </c>
      <c r="F6205" t="s">
        <v>27246</v>
      </c>
      <c r="G6205" t="s">
        <v>27247</v>
      </c>
      <c r="H6205" t="s">
        <v>27248</v>
      </c>
      <c r="I6205" t="s">
        <v>39272</v>
      </c>
      <c r="J6205" t="s">
        <v>12384</v>
      </c>
      <c r="L6205" t="s">
        <v>27250</v>
      </c>
      <c r="M6205" t="s">
        <v>27251</v>
      </c>
      <c r="N6205" t="s">
        <v>27252</v>
      </c>
      <c r="P6205" t="s">
        <v>27341</v>
      </c>
      <c r="Q6205" s="1">
        <v>44846</v>
      </c>
      <c r="R6205" t="s">
        <v>27253</v>
      </c>
      <c r="S6205" t="s">
        <v>27254</v>
      </c>
      <c r="T6205" t="s">
        <v>27265</v>
      </c>
    </row>
    <row r="6206" spans="1:20" x14ac:dyDescent="0.3">
      <c r="A6206" t="str">
        <f>"0611862658050"</f>
        <v>0611862658050</v>
      </c>
      <c r="B6206" t="str">
        <f>"CR3098"</f>
        <v>CR3098</v>
      </c>
      <c r="C6206" t="s">
        <v>39273</v>
      </c>
      <c r="D6206" t="s">
        <v>27271</v>
      </c>
      <c r="E6206" t="str">
        <f t="shared" si="96"/>
        <v>001390</v>
      </c>
      <c r="F6206" t="s">
        <v>27246</v>
      </c>
      <c r="G6206" t="s">
        <v>27247</v>
      </c>
      <c r="H6206" t="s">
        <v>27248</v>
      </c>
      <c r="I6206" t="s">
        <v>39274</v>
      </c>
      <c r="J6206" t="s">
        <v>12388</v>
      </c>
      <c r="L6206" t="s">
        <v>27250</v>
      </c>
      <c r="M6206" t="s">
        <v>27251</v>
      </c>
      <c r="N6206" t="s">
        <v>27252</v>
      </c>
      <c r="P6206" t="s">
        <v>27341</v>
      </c>
      <c r="Q6206" s="1">
        <v>44846</v>
      </c>
      <c r="R6206" t="s">
        <v>27253</v>
      </c>
      <c r="S6206" t="s">
        <v>27254</v>
      </c>
      <c r="T6206" t="s">
        <v>27265</v>
      </c>
    </row>
    <row r="6207" spans="1:20" x14ac:dyDescent="0.3">
      <c r="A6207" t="str">
        <f>"0611862659050"</f>
        <v>0611862659050</v>
      </c>
      <c r="B6207" t="str">
        <f>"CR3111"</f>
        <v>CR3111</v>
      </c>
      <c r="C6207" t="s">
        <v>39275</v>
      </c>
      <c r="D6207" t="s">
        <v>27271</v>
      </c>
      <c r="E6207" t="str">
        <f t="shared" si="96"/>
        <v>001390</v>
      </c>
      <c r="F6207" t="s">
        <v>27246</v>
      </c>
      <c r="G6207" t="s">
        <v>27247</v>
      </c>
      <c r="H6207" t="s">
        <v>27248</v>
      </c>
      <c r="I6207" t="s">
        <v>39276</v>
      </c>
      <c r="J6207" t="s">
        <v>12390</v>
      </c>
      <c r="L6207" t="s">
        <v>27250</v>
      </c>
      <c r="M6207" t="s">
        <v>27251</v>
      </c>
      <c r="N6207" t="s">
        <v>27252</v>
      </c>
      <c r="P6207" t="s">
        <v>27341</v>
      </c>
      <c r="Q6207" s="1">
        <v>44846</v>
      </c>
      <c r="R6207" t="s">
        <v>27253</v>
      </c>
      <c r="S6207" t="s">
        <v>27254</v>
      </c>
      <c r="T6207" t="s">
        <v>27265</v>
      </c>
    </row>
    <row r="6208" spans="1:20" x14ac:dyDescent="0.3">
      <c r="A6208" t="str">
        <f>"0611862660050"</f>
        <v>0611862660050</v>
      </c>
      <c r="B6208" t="str">
        <f>"CR3099"</f>
        <v>CR3099</v>
      </c>
      <c r="C6208" t="s">
        <v>39277</v>
      </c>
      <c r="D6208" t="s">
        <v>27271</v>
      </c>
      <c r="E6208" t="str">
        <f t="shared" si="96"/>
        <v>001390</v>
      </c>
      <c r="F6208" t="s">
        <v>27246</v>
      </c>
      <c r="G6208" t="s">
        <v>27247</v>
      </c>
      <c r="H6208" t="s">
        <v>27248</v>
      </c>
      <c r="I6208" t="s">
        <v>39278</v>
      </c>
      <c r="J6208" t="s">
        <v>12392</v>
      </c>
      <c r="L6208" t="s">
        <v>27250</v>
      </c>
      <c r="M6208" t="s">
        <v>27251</v>
      </c>
      <c r="N6208" t="s">
        <v>27252</v>
      </c>
      <c r="P6208" t="s">
        <v>27341</v>
      </c>
      <c r="Q6208" s="1">
        <v>44846</v>
      </c>
      <c r="R6208" t="s">
        <v>27253</v>
      </c>
      <c r="S6208" t="s">
        <v>27254</v>
      </c>
      <c r="T6208" t="s">
        <v>27265</v>
      </c>
    </row>
    <row r="6209" spans="1:20" x14ac:dyDescent="0.3">
      <c r="A6209" t="str">
        <f>"0611884260050"</f>
        <v>0611884260050</v>
      </c>
      <c r="B6209" t="str">
        <f>"CR5423"</f>
        <v>CR5423</v>
      </c>
      <c r="C6209" t="s">
        <v>39279</v>
      </c>
      <c r="D6209" t="s">
        <v>27271</v>
      </c>
      <c r="E6209" t="str">
        <f t="shared" si="96"/>
        <v>001390</v>
      </c>
      <c r="F6209" t="s">
        <v>27246</v>
      </c>
      <c r="G6209" t="s">
        <v>27247</v>
      </c>
      <c r="H6209" t="s">
        <v>27248</v>
      </c>
      <c r="I6209" t="s">
        <v>39280</v>
      </c>
      <c r="J6209" t="s">
        <v>12394</v>
      </c>
      <c r="L6209" t="s">
        <v>27430</v>
      </c>
      <c r="M6209" t="s">
        <v>27251</v>
      </c>
      <c r="N6209" t="s">
        <v>27252</v>
      </c>
      <c r="P6209" t="s">
        <v>27341</v>
      </c>
      <c r="Q6209" s="1">
        <v>45250</v>
      </c>
      <c r="R6209" t="s">
        <v>27253</v>
      </c>
      <c r="S6209" t="s">
        <v>27254</v>
      </c>
      <c r="T6209" t="s">
        <v>27265</v>
      </c>
    </row>
    <row r="6210" spans="1:20" x14ac:dyDescent="0.3">
      <c r="A6210" t="str">
        <f>"0611862661050"</f>
        <v>0611862661050</v>
      </c>
      <c r="B6210" t="str">
        <f>"CR3892"</f>
        <v>CR3892</v>
      </c>
      <c r="C6210" t="s">
        <v>39281</v>
      </c>
      <c r="D6210" t="s">
        <v>27271</v>
      </c>
      <c r="E6210" t="str">
        <f t="shared" ref="E6210:E6273" si="97">"001390"</f>
        <v>001390</v>
      </c>
      <c r="F6210" t="s">
        <v>27246</v>
      </c>
      <c r="G6210" t="s">
        <v>27247</v>
      </c>
      <c r="H6210" t="s">
        <v>27248</v>
      </c>
      <c r="I6210" t="s">
        <v>39282</v>
      </c>
      <c r="J6210" t="s">
        <v>12396</v>
      </c>
      <c r="L6210" t="s">
        <v>27250</v>
      </c>
      <c r="M6210" t="s">
        <v>27251</v>
      </c>
      <c r="N6210" t="s">
        <v>27252</v>
      </c>
      <c r="P6210" t="s">
        <v>27341</v>
      </c>
      <c r="Q6210" s="1">
        <v>44846</v>
      </c>
      <c r="R6210" t="s">
        <v>27253</v>
      </c>
      <c r="S6210" t="s">
        <v>27254</v>
      </c>
      <c r="T6210" t="s">
        <v>27265</v>
      </c>
    </row>
    <row r="6211" spans="1:20" x14ac:dyDescent="0.3">
      <c r="A6211" t="str">
        <f>"0611862662050"</f>
        <v>0611862662050</v>
      </c>
      <c r="B6211" t="str">
        <f>"CR5202"</f>
        <v>CR5202</v>
      </c>
      <c r="C6211" t="s">
        <v>39283</v>
      </c>
      <c r="D6211" t="s">
        <v>27271</v>
      </c>
      <c r="E6211" t="str">
        <f t="shared" si="97"/>
        <v>001390</v>
      </c>
      <c r="F6211" t="s">
        <v>27246</v>
      </c>
      <c r="G6211" t="s">
        <v>27247</v>
      </c>
      <c r="H6211" t="s">
        <v>27248</v>
      </c>
      <c r="I6211" t="s">
        <v>39284</v>
      </c>
      <c r="J6211" t="s">
        <v>12400</v>
      </c>
      <c r="L6211" t="s">
        <v>27250</v>
      </c>
      <c r="M6211" t="s">
        <v>27251</v>
      </c>
      <c r="N6211" t="s">
        <v>27252</v>
      </c>
      <c r="P6211" t="s">
        <v>27341</v>
      </c>
      <c r="Q6211" s="1">
        <v>44846</v>
      </c>
      <c r="R6211" t="s">
        <v>27253</v>
      </c>
      <c r="S6211" t="s">
        <v>27254</v>
      </c>
      <c r="T6211" t="s">
        <v>27265</v>
      </c>
    </row>
    <row r="6212" spans="1:20" x14ac:dyDescent="0.3">
      <c r="A6212" t="str">
        <f>"0611862663050"</f>
        <v>0611862663050</v>
      </c>
      <c r="B6212" t="str">
        <f>"CR3100"</f>
        <v>CR3100</v>
      </c>
      <c r="C6212" t="s">
        <v>39285</v>
      </c>
      <c r="D6212" t="s">
        <v>27271</v>
      </c>
      <c r="E6212" t="str">
        <f t="shared" si="97"/>
        <v>001390</v>
      </c>
      <c r="F6212" t="s">
        <v>27246</v>
      </c>
      <c r="G6212" t="s">
        <v>27247</v>
      </c>
      <c r="H6212" t="s">
        <v>27248</v>
      </c>
      <c r="I6212" t="s">
        <v>39286</v>
      </c>
      <c r="J6212" t="s">
        <v>12398</v>
      </c>
      <c r="L6212" t="s">
        <v>27250</v>
      </c>
      <c r="M6212" t="s">
        <v>27251</v>
      </c>
      <c r="N6212" t="s">
        <v>27252</v>
      </c>
      <c r="P6212" t="s">
        <v>27341</v>
      </c>
      <c r="Q6212" s="1">
        <v>44846</v>
      </c>
      <c r="R6212" t="s">
        <v>27253</v>
      </c>
      <c r="S6212" t="s">
        <v>27254</v>
      </c>
      <c r="T6212" t="s">
        <v>27265</v>
      </c>
    </row>
    <row r="6213" spans="1:20" x14ac:dyDescent="0.3">
      <c r="A6213" t="str">
        <f>"0611862664050"</f>
        <v>0611862664050</v>
      </c>
      <c r="B6213" t="str">
        <f>"CR3101"</f>
        <v>CR3101</v>
      </c>
      <c r="C6213" t="s">
        <v>39287</v>
      </c>
      <c r="D6213" t="s">
        <v>27271</v>
      </c>
      <c r="E6213" t="str">
        <f t="shared" si="97"/>
        <v>001390</v>
      </c>
      <c r="F6213" t="s">
        <v>27246</v>
      </c>
      <c r="G6213" t="s">
        <v>27247</v>
      </c>
      <c r="H6213" t="s">
        <v>27248</v>
      </c>
      <c r="I6213" t="s">
        <v>39288</v>
      </c>
      <c r="J6213" t="s">
        <v>12402</v>
      </c>
      <c r="L6213" t="s">
        <v>27250</v>
      </c>
      <c r="M6213" t="s">
        <v>27251</v>
      </c>
      <c r="N6213" t="s">
        <v>27252</v>
      </c>
      <c r="P6213" t="s">
        <v>27341</v>
      </c>
      <c r="Q6213" s="1">
        <v>44846</v>
      </c>
      <c r="R6213" t="s">
        <v>27253</v>
      </c>
      <c r="S6213" t="s">
        <v>27254</v>
      </c>
      <c r="T6213" t="s">
        <v>27265</v>
      </c>
    </row>
    <row r="6214" spans="1:20" x14ac:dyDescent="0.3">
      <c r="A6214" t="str">
        <f>"0611862665050"</f>
        <v>0611862665050</v>
      </c>
      <c r="B6214" t="str">
        <f>"CR2429"</f>
        <v>CR2429</v>
      </c>
      <c r="C6214" t="s">
        <v>39289</v>
      </c>
      <c r="D6214" t="s">
        <v>27271</v>
      </c>
      <c r="E6214" t="str">
        <f t="shared" si="97"/>
        <v>001390</v>
      </c>
      <c r="F6214" t="s">
        <v>27246</v>
      </c>
      <c r="G6214" t="s">
        <v>27247</v>
      </c>
      <c r="H6214" t="s">
        <v>27248</v>
      </c>
      <c r="I6214" t="s">
        <v>39290</v>
      </c>
      <c r="J6214" t="s">
        <v>12404</v>
      </c>
      <c r="L6214" t="s">
        <v>27250</v>
      </c>
      <c r="M6214" t="s">
        <v>27251</v>
      </c>
      <c r="N6214" t="s">
        <v>27252</v>
      </c>
      <c r="P6214" t="s">
        <v>27341</v>
      </c>
      <c r="Q6214" s="1">
        <v>44846</v>
      </c>
      <c r="R6214" t="s">
        <v>27253</v>
      </c>
      <c r="S6214" t="s">
        <v>27254</v>
      </c>
      <c r="T6214" t="s">
        <v>27265</v>
      </c>
    </row>
    <row r="6215" spans="1:20" x14ac:dyDescent="0.3">
      <c r="A6215" t="str">
        <f>"0611862666050"</f>
        <v>0611862666050</v>
      </c>
      <c r="B6215" t="str">
        <f>"CR4974"</f>
        <v>CR4974</v>
      </c>
      <c r="C6215" t="s">
        <v>39291</v>
      </c>
      <c r="D6215" t="s">
        <v>27271</v>
      </c>
      <c r="E6215" t="str">
        <f t="shared" si="97"/>
        <v>001390</v>
      </c>
      <c r="F6215" t="s">
        <v>27246</v>
      </c>
      <c r="G6215" t="s">
        <v>27247</v>
      </c>
      <c r="H6215" t="s">
        <v>27248</v>
      </c>
      <c r="I6215" t="s">
        <v>39292</v>
      </c>
      <c r="J6215" t="s">
        <v>12406</v>
      </c>
      <c r="L6215" t="s">
        <v>27250</v>
      </c>
      <c r="M6215" t="s">
        <v>27251</v>
      </c>
      <c r="N6215" t="s">
        <v>27252</v>
      </c>
      <c r="P6215" t="s">
        <v>27341</v>
      </c>
      <c r="Q6215" s="1">
        <v>44846</v>
      </c>
      <c r="R6215" t="s">
        <v>27253</v>
      </c>
      <c r="S6215" t="s">
        <v>27254</v>
      </c>
      <c r="T6215" t="s">
        <v>27265</v>
      </c>
    </row>
    <row r="6216" spans="1:20" x14ac:dyDescent="0.3">
      <c r="A6216" t="str">
        <f>"0611862667050"</f>
        <v>0611862667050</v>
      </c>
      <c r="B6216" t="str">
        <f>"CR5203"</f>
        <v>CR5203</v>
      </c>
      <c r="C6216" t="s">
        <v>39293</v>
      </c>
      <c r="D6216" t="s">
        <v>27271</v>
      </c>
      <c r="E6216" t="str">
        <f t="shared" si="97"/>
        <v>001390</v>
      </c>
      <c r="F6216" t="s">
        <v>27246</v>
      </c>
      <c r="G6216" t="s">
        <v>27247</v>
      </c>
      <c r="H6216" t="s">
        <v>27248</v>
      </c>
      <c r="I6216" t="s">
        <v>39294</v>
      </c>
      <c r="J6216" t="s">
        <v>12408</v>
      </c>
      <c r="L6216" t="s">
        <v>27250</v>
      </c>
      <c r="M6216" t="s">
        <v>27251</v>
      </c>
      <c r="N6216" t="s">
        <v>27252</v>
      </c>
      <c r="P6216" t="s">
        <v>27341</v>
      </c>
      <c r="Q6216" s="1">
        <v>44846</v>
      </c>
      <c r="R6216" t="s">
        <v>27253</v>
      </c>
      <c r="S6216" t="s">
        <v>27254</v>
      </c>
      <c r="T6216" t="s">
        <v>27265</v>
      </c>
    </row>
    <row r="6217" spans="1:20" x14ac:dyDescent="0.3">
      <c r="A6217" t="str">
        <f>"0611862668050"</f>
        <v>0611862668050</v>
      </c>
      <c r="B6217" t="str">
        <f>"CR3106"</f>
        <v>CR3106</v>
      </c>
      <c r="C6217" t="s">
        <v>39295</v>
      </c>
      <c r="D6217" t="s">
        <v>27271</v>
      </c>
      <c r="E6217" t="str">
        <f t="shared" si="97"/>
        <v>001390</v>
      </c>
      <c r="F6217" t="s">
        <v>27246</v>
      </c>
      <c r="G6217" t="s">
        <v>27247</v>
      </c>
      <c r="H6217" t="s">
        <v>27248</v>
      </c>
      <c r="I6217" t="s">
        <v>39296</v>
      </c>
      <c r="J6217" t="s">
        <v>12410</v>
      </c>
      <c r="L6217" t="s">
        <v>27250</v>
      </c>
      <c r="M6217" t="s">
        <v>27251</v>
      </c>
      <c r="N6217" t="s">
        <v>27252</v>
      </c>
      <c r="P6217" t="s">
        <v>27341</v>
      </c>
      <c r="Q6217" s="1">
        <v>44846</v>
      </c>
      <c r="R6217" t="s">
        <v>27253</v>
      </c>
      <c r="S6217" t="s">
        <v>27254</v>
      </c>
      <c r="T6217" t="s">
        <v>27265</v>
      </c>
    </row>
    <row r="6218" spans="1:20" x14ac:dyDescent="0.3">
      <c r="A6218" t="str">
        <f>"0611862669050"</f>
        <v>0611862669050</v>
      </c>
      <c r="B6218" t="str">
        <f>"CR3102"</f>
        <v>CR3102</v>
      </c>
      <c r="C6218" t="s">
        <v>39297</v>
      </c>
      <c r="D6218" t="s">
        <v>27271</v>
      </c>
      <c r="E6218" t="str">
        <f t="shared" si="97"/>
        <v>001390</v>
      </c>
      <c r="F6218" t="s">
        <v>27246</v>
      </c>
      <c r="G6218" t="s">
        <v>27247</v>
      </c>
      <c r="H6218" t="s">
        <v>27248</v>
      </c>
      <c r="I6218" t="s">
        <v>39298</v>
      </c>
      <c r="J6218" t="s">
        <v>12412</v>
      </c>
      <c r="L6218" t="s">
        <v>27250</v>
      </c>
      <c r="M6218" t="s">
        <v>27251</v>
      </c>
      <c r="N6218" t="s">
        <v>27252</v>
      </c>
      <c r="P6218" t="s">
        <v>27341</v>
      </c>
      <c r="Q6218" s="1">
        <v>44846</v>
      </c>
      <c r="R6218" t="s">
        <v>27253</v>
      </c>
      <c r="S6218" t="s">
        <v>27254</v>
      </c>
      <c r="T6218" t="s">
        <v>27265</v>
      </c>
    </row>
    <row r="6219" spans="1:20" x14ac:dyDescent="0.3">
      <c r="A6219" t="str">
        <f>"0611862670050"</f>
        <v>0611862670050</v>
      </c>
      <c r="B6219" t="str">
        <f>"CR3103"</f>
        <v>CR3103</v>
      </c>
      <c r="C6219" t="s">
        <v>39299</v>
      </c>
      <c r="D6219" t="s">
        <v>27271</v>
      </c>
      <c r="E6219" t="str">
        <f t="shared" si="97"/>
        <v>001390</v>
      </c>
      <c r="F6219" t="s">
        <v>27246</v>
      </c>
      <c r="G6219" t="s">
        <v>27247</v>
      </c>
      <c r="H6219" t="s">
        <v>27248</v>
      </c>
      <c r="I6219" t="s">
        <v>39300</v>
      </c>
      <c r="J6219" t="s">
        <v>12416</v>
      </c>
      <c r="L6219" t="s">
        <v>27250</v>
      </c>
      <c r="M6219" t="s">
        <v>27251</v>
      </c>
      <c r="N6219" t="s">
        <v>27252</v>
      </c>
      <c r="P6219" t="s">
        <v>27341</v>
      </c>
      <c r="Q6219" s="1">
        <v>44846</v>
      </c>
      <c r="R6219" t="s">
        <v>27253</v>
      </c>
      <c r="S6219" t="s">
        <v>27254</v>
      </c>
      <c r="T6219" t="s">
        <v>27265</v>
      </c>
    </row>
    <row r="6220" spans="1:20" x14ac:dyDescent="0.3">
      <c r="A6220" t="str">
        <f>"0611862671050"</f>
        <v>0611862671050</v>
      </c>
      <c r="B6220" t="str">
        <f>"CR3104"</f>
        <v>CR3104</v>
      </c>
      <c r="C6220" t="s">
        <v>39301</v>
      </c>
      <c r="D6220" t="s">
        <v>27271</v>
      </c>
      <c r="E6220" t="str">
        <f t="shared" si="97"/>
        <v>001390</v>
      </c>
      <c r="F6220" t="s">
        <v>27246</v>
      </c>
      <c r="G6220" t="s">
        <v>27247</v>
      </c>
      <c r="H6220" t="s">
        <v>27248</v>
      </c>
      <c r="I6220" t="s">
        <v>39302</v>
      </c>
      <c r="J6220" t="s">
        <v>12418</v>
      </c>
      <c r="L6220" t="s">
        <v>27250</v>
      </c>
      <c r="M6220" t="s">
        <v>27251</v>
      </c>
      <c r="N6220" t="s">
        <v>27252</v>
      </c>
      <c r="P6220" t="s">
        <v>27341</v>
      </c>
      <c r="Q6220" s="1">
        <v>44846</v>
      </c>
      <c r="R6220" t="s">
        <v>27253</v>
      </c>
      <c r="S6220" t="s">
        <v>27254</v>
      </c>
      <c r="T6220" t="s">
        <v>27265</v>
      </c>
    </row>
    <row r="6221" spans="1:20" x14ac:dyDescent="0.3">
      <c r="A6221" t="str">
        <f>"0611862672050"</f>
        <v>0611862672050</v>
      </c>
      <c r="B6221" t="str">
        <f>"CR3898"</f>
        <v>CR3898</v>
      </c>
      <c r="C6221" t="s">
        <v>39303</v>
      </c>
      <c r="D6221" t="s">
        <v>27271</v>
      </c>
      <c r="E6221" t="str">
        <f t="shared" si="97"/>
        <v>001390</v>
      </c>
      <c r="F6221" t="s">
        <v>27246</v>
      </c>
      <c r="G6221" t="s">
        <v>27247</v>
      </c>
      <c r="H6221" t="s">
        <v>27248</v>
      </c>
      <c r="I6221" t="s">
        <v>39304</v>
      </c>
      <c r="J6221" t="s">
        <v>12420</v>
      </c>
      <c r="L6221" t="s">
        <v>27250</v>
      </c>
      <c r="M6221" t="s">
        <v>27251</v>
      </c>
      <c r="N6221" t="s">
        <v>27252</v>
      </c>
      <c r="P6221" t="s">
        <v>27341</v>
      </c>
      <c r="Q6221" s="1">
        <v>44846</v>
      </c>
      <c r="R6221" t="s">
        <v>27253</v>
      </c>
      <c r="S6221" t="s">
        <v>27254</v>
      </c>
      <c r="T6221" t="s">
        <v>27265</v>
      </c>
    </row>
    <row r="6222" spans="1:20" x14ac:dyDescent="0.3">
      <c r="A6222" t="str">
        <f>"0611862674050"</f>
        <v>0611862674050</v>
      </c>
      <c r="B6222" t="str">
        <f>"CR5204"</f>
        <v>CR5204</v>
      </c>
      <c r="C6222" t="s">
        <v>39305</v>
      </c>
      <c r="D6222" t="s">
        <v>27271</v>
      </c>
      <c r="E6222" t="str">
        <f t="shared" si="97"/>
        <v>001390</v>
      </c>
      <c r="F6222" t="s">
        <v>27246</v>
      </c>
      <c r="G6222" t="s">
        <v>27247</v>
      </c>
      <c r="H6222" t="s">
        <v>27248</v>
      </c>
      <c r="I6222" t="s">
        <v>39306</v>
      </c>
      <c r="J6222" t="s">
        <v>12422</v>
      </c>
      <c r="L6222" t="s">
        <v>27250</v>
      </c>
      <c r="M6222" t="s">
        <v>27251</v>
      </c>
      <c r="N6222" t="s">
        <v>27252</v>
      </c>
      <c r="P6222" t="s">
        <v>27341</v>
      </c>
      <c r="Q6222" s="1">
        <v>44846</v>
      </c>
      <c r="R6222" t="s">
        <v>27253</v>
      </c>
      <c r="S6222" t="s">
        <v>27254</v>
      </c>
      <c r="T6222" t="s">
        <v>27265</v>
      </c>
    </row>
    <row r="6223" spans="1:20" x14ac:dyDescent="0.3">
      <c r="A6223" t="str">
        <f>"0611884261050"</f>
        <v>0611884261050</v>
      </c>
      <c r="B6223" t="str">
        <f>"CR5289"</f>
        <v>CR5289</v>
      </c>
      <c r="C6223" t="s">
        <v>39307</v>
      </c>
      <c r="D6223" t="s">
        <v>27271</v>
      </c>
      <c r="E6223" t="str">
        <f t="shared" si="97"/>
        <v>001390</v>
      </c>
      <c r="F6223" t="s">
        <v>27246</v>
      </c>
      <c r="G6223" t="s">
        <v>27247</v>
      </c>
      <c r="H6223" t="s">
        <v>27248</v>
      </c>
      <c r="I6223" t="s">
        <v>39308</v>
      </c>
      <c r="J6223" t="s">
        <v>12414</v>
      </c>
      <c r="L6223" t="s">
        <v>27430</v>
      </c>
      <c r="M6223" t="s">
        <v>27251</v>
      </c>
      <c r="N6223" t="s">
        <v>27252</v>
      </c>
      <c r="P6223" t="s">
        <v>27341</v>
      </c>
      <c r="Q6223" s="1">
        <v>45250</v>
      </c>
      <c r="R6223" t="s">
        <v>27253</v>
      </c>
      <c r="S6223" t="s">
        <v>27254</v>
      </c>
      <c r="T6223" t="s">
        <v>27265</v>
      </c>
    </row>
    <row r="6224" spans="1:20" x14ac:dyDescent="0.3">
      <c r="A6224" t="str">
        <f>"0611862675050"</f>
        <v>0611862675050</v>
      </c>
      <c r="B6224" t="str">
        <f>"CR3108"</f>
        <v>CR3108</v>
      </c>
      <c r="C6224" t="s">
        <v>39309</v>
      </c>
      <c r="D6224" t="s">
        <v>27271</v>
      </c>
      <c r="E6224" t="str">
        <f t="shared" si="97"/>
        <v>001390</v>
      </c>
      <c r="F6224" t="s">
        <v>27246</v>
      </c>
      <c r="G6224" t="s">
        <v>27247</v>
      </c>
      <c r="H6224" t="s">
        <v>27248</v>
      </c>
      <c r="I6224" t="s">
        <v>39310</v>
      </c>
      <c r="J6224" t="s">
        <v>12428</v>
      </c>
      <c r="L6224" t="s">
        <v>27250</v>
      </c>
      <c r="M6224" t="s">
        <v>27251</v>
      </c>
      <c r="N6224" t="s">
        <v>27252</v>
      </c>
      <c r="P6224" t="s">
        <v>27341</v>
      </c>
      <c r="Q6224" s="1">
        <v>44846</v>
      </c>
      <c r="R6224" t="s">
        <v>27253</v>
      </c>
      <c r="S6224" t="s">
        <v>27254</v>
      </c>
      <c r="T6224" t="s">
        <v>27265</v>
      </c>
    </row>
    <row r="6225" spans="1:20" x14ac:dyDescent="0.3">
      <c r="A6225" t="str">
        <f>"0611862676050"</f>
        <v>0611862676050</v>
      </c>
      <c r="B6225" t="str">
        <f>"CR4836"</f>
        <v>CR4836</v>
      </c>
      <c r="C6225" t="s">
        <v>39311</v>
      </c>
      <c r="D6225" t="s">
        <v>27271</v>
      </c>
      <c r="E6225" t="str">
        <f t="shared" si="97"/>
        <v>001390</v>
      </c>
      <c r="F6225" t="s">
        <v>27246</v>
      </c>
      <c r="G6225" t="s">
        <v>27247</v>
      </c>
      <c r="H6225" t="s">
        <v>27248</v>
      </c>
      <c r="I6225" t="s">
        <v>39312</v>
      </c>
      <c r="J6225" t="s">
        <v>12426</v>
      </c>
      <c r="L6225" t="s">
        <v>27250</v>
      </c>
      <c r="M6225" t="s">
        <v>27251</v>
      </c>
      <c r="N6225" t="s">
        <v>27252</v>
      </c>
      <c r="P6225" t="s">
        <v>27341</v>
      </c>
      <c r="Q6225" s="1">
        <v>44846</v>
      </c>
      <c r="R6225" t="s">
        <v>27253</v>
      </c>
      <c r="S6225" t="s">
        <v>27254</v>
      </c>
      <c r="T6225" t="s">
        <v>27265</v>
      </c>
    </row>
    <row r="6226" spans="1:20" x14ac:dyDescent="0.3">
      <c r="A6226" t="str">
        <f>"0611862677050"</f>
        <v>0611862677050</v>
      </c>
      <c r="B6226" t="str">
        <f>"CR2432"</f>
        <v>CR2432</v>
      </c>
      <c r="C6226" t="s">
        <v>39313</v>
      </c>
      <c r="D6226" t="s">
        <v>27271</v>
      </c>
      <c r="E6226" t="str">
        <f t="shared" si="97"/>
        <v>001390</v>
      </c>
      <c r="F6226" t="s">
        <v>27246</v>
      </c>
      <c r="G6226" t="s">
        <v>27247</v>
      </c>
      <c r="H6226" t="s">
        <v>27248</v>
      </c>
      <c r="I6226" t="s">
        <v>39314</v>
      </c>
      <c r="J6226" t="s">
        <v>12424</v>
      </c>
      <c r="L6226" t="s">
        <v>27250</v>
      </c>
      <c r="M6226" t="s">
        <v>27251</v>
      </c>
      <c r="N6226" t="s">
        <v>27252</v>
      </c>
      <c r="P6226" t="s">
        <v>27341</v>
      </c>
      <c r="Q6226" s="1">
        <v>44846</v>
      </c>
      <c r="R6226" t="s">
        <v>27253</v>
      </c>
      <c r="S6226" t="s">
        <v>27254</v>
      </c>
      <c r="T6226" t="s">
        <v>27265</v>
      </c>
    </row>
    <row r="6227" spans="1:20" x14ac:dyDescent="0.3">
      <c r="A6227" t="str">
        <f>"0611862678050"</f>
        <v>0611862678050</v>
      </c>
      <c r="B6227" t="str">
        <f>"CR3109"</f>
        <v>CR3109</v>
      </c>
      <c r="C6227" t="s">
        <v>39315</v>
      </c>
      <c r="D6227" t="s">
        <v>27271</v>
      </c>
      <c r="E6227" t="str">
        <f t="shared" si="97"/>
        <v>001390</v>
      </c>
      <c r="F6227" t="s">
        <v>27246</v>
      </c>
      <c r="G6227" t="s">
        <v>27247</v>
      </c>
      <c r="H6227" t="s">
        <v>27248</v>
      </c>
      <c r="I6227" t="s">
        <v>39316</v>
      </c>
      <c r="J6227" t="s">
        <v>12430</v>
      </c>
      <c r="L6227" t="s">
        <v>27250</v>
      </c>
      <c r="M6227" t="s">
        <v>27251</v>
      </c>
      <c r="N6227" t="s">
        <v>27252</v>
      </c>
      <c r="P6227" t="s">
        <v>27341</v>
      </c>
      <c r="Q6227" s="1">
        <v>44846</v>
      </c>
      <c r="R6227" t="s">
        <v>27253</v>
      </c>
      <c r="S6227" t="s">
        <v>27254</v>
      </c>
      <c r="T6227" t="s">
        <v>27265</v>
      </c>
    </row>
    <row r="6228" spans="1:20" x14ac:dyDescent="0.3">
      <c r="A6228" t="str">
        <f>"0611862679050"</f>
        <v>0611862679050</v>
      </c>
      <c r="B6228" t="str">
        <f>"CR2967"</f>
        <v>CR2967</v>
      </c>
      <c r="C6228" t="s">
        <v>39317</v>
      </c>
      <c r="D6228" t="s">
        <v>27271</v>
      </c>
      <c r="E6228" t="str">
        <f t="shared" si="97"/>
        <v>001390</v>
      </c>
      <c r="F6228" t="s">
        <v>27246</v>
      </c>
      <c r="G6228" t="s">
        <v>27247</v>
      </c>
      <c r="H6228" t="s">
        <v>27248</v>
      </c>
      <c r="I6228" t="s">
        <v>39318</v>
      </c>
      <c r="J6228" t="s">
        <v>12432</v>
      </c>
      <c r="L6228" t="s">
        <v>27250</v>
      </c>
      <c r="M6228" t="s">
        <v>27251</v>
      </c>
      <c r="N6228" t="s">
        <v>27252</v>
      </c>
      <c r="P6228" t="s">
        <v>27341</v>
      </c>
      <c r="Q6228" s="1">
        <v>44846</v>
      </c>
      <c r="R6228" t="s">
        <v>27253</v>
      </c>
      <c r="S6228" t="s">
        <v>27254</v>
      </c>
      <c r="T6228" t="s">
        <v>27265</v>
      </c>
    </row>
    <row r="6229" spans="1:20" x14ac:dyDescent="0.3">
      <c r="A6229" t="str">
        <f>"0611862680050"</f>
        <v>0611862680050</v>
      </c>
      <c r="B6229" t="str">
        <f>"CR3110"</f>
        <v>CR3110</v>
      </c>
      <c r="C6229" t="s">
        <v>39319</v>
      </c>
      <c r="D6229" t="s">
        <v>27271</v>
      </c>
      <c r="E6229" t="str">
        <f t="shared" si="97"/>
        <v>001390</v>
      </c>
      <c r="F6229" t="s">
        <v>27246</v>
      </c>
      <c r="G6229" t="s">
        <v>27247</v>
      </c>
      <c r="H6229" t="s">
        <v>27248</v>
      </c>
      <c r="I6229" t="s">
        <v>39320</v>
      </c>
      <c r="J6229" t="s">
        <v>12434</v>
      </c>
      <c r="L6229" t="s">
        <v>27250</v>
      </c>
      <c r="M6229" t="s">
        <v>27251</v>
      </c>
      <c r="N6229" t="s">
        <v>27252</v>
      </c>
      <c r="P6229" t="s">
        <v>27341</v>
      </c>
      <c r="Q6229" s="1">
        <v>44846</v>
      </c>
      <c r="R6229" t="s">
        <v>27253</v>
      </c>
      <c r="S6229" t="s">
        <v>27254</v>
      </c>
      <c r="T6229" t="s">
        <v>27265</v>
      </c>
    </row>
    <row r="6230" spans="1:20" x14ac:dyDescent="0.3">
      <c r="A6230" t="str">
        <f>"0611862681050"</f>
        <v>0611862681050</v>
      </c>
      <c r="B6230" t="str">
        <f>"CR3893"</f>
        <v>CR3893</v>
      </c>
      <c r="C6230" t="s">
        <v>39321</v>
      </c>
      <c r="D6230" t="s">
        <v>27271</v>
      </c>
      <c r="E6230" t="str">
        <f t="shared" si="97"/>
        <v>001390</v>
      </c>
      <c r="F6230" t="s">
        <v>27246</v>
      </c>
      <c r="G6230" t="s">
        <v>27247</v>
      </c>
      <c r="H6230" t="s">
        <v>27248</v>
      </c>
      <c r="I6230" t="s">
        <v>39322</v>
      </c>
      <c r="J6230" t="s">
        <v>12436</v>
      </c>
      <c r="L6230" t="s">
        <v>27250</v>
      </c>
      <c r="M6230" t="s">
        <v>27251</v>
      </c>
      <c r="N6230" t="s">
        <v>27252</v>
      </c>
      <c r="P6230" t="s">
        <v>27341</v>
      </c>
      <c r="Q6230" s="1">
        <v>44846</v>
      </c>
      <c r="R6230" t="s">
        <v>27253</v>
      </c>
      <c r="S6230" t="s">
        <v>27254</v>
      </c>
      <c r="T6230" t="s">
        <v>27265</v>
      </c>
    </row>
    <row r="6231" spans="1:20" x14ac:dyDescent="0.3">
      <c r="A6231" t="str">
        <f>"0611862682050"</f>
        <v>0611862682050</v>
      </c>
      <c r="B6231" t="str">
        <f>"CR3112"</f>
        <v>CR3112</v>
      </c>
      <c r="C6231" t="s">
        <v>39323</v>
      </c>
      <c r="D6231" t="s">
        <v>27271</v>
      </c>
      <c r="E6231" t="str">
        <f t="shared" si="97"/>
        <v>001390</v>
      </c>
      <c r="F6231" t="s">
        <v>27246</v>
      </c>
      <c r="G6231" t="s">
        <v>27247</v>
      </c>
      <c r="H6231" t="s">
        <v>27248</v>
      </c>
      <c r="I6231" t="s">
        <v>39324</v>
      </c>
      <c r="J6231" t="s">
        <v>12438</v>
      </c>
      <c r="L6231" t="s">
        <v>27250</v>
      </c>
      <c r="M6231" t="s">
        <v>27251</v>
      </c>
      <c r="N6231" t="s">
        <v>27252</v>
      </c>
      <c r="P6231" t="s">
        <v>27341</v>
      </c>
      <c r="Q6231" s="1">
        <v>44846</v>
      </c>
      <c r="R6231" t="s">
        <v>27253</v>
      </c>
      <c r="S6231" t="s">
        <v>27254</v>
      </c>
      <c r="T6231" t="s">
        <v>27265</v>
      </c>
    </row>
    <row r="6232" spans="1:20" x14ac:dyDescent="0.3">
      <c r="A6232" t="str">
        <f>"0611862684050"</f>
        <v>0611862684050</v>
      </c>
      <c r="B6232" t="str">
        <f>"CR3964"</f>
        <v>CR3964</v>
      </c>
      <c r="C6232" t="s">
        <v>39325</v>
      </c>
      <c r="D6232" t="s">
        <v>27271</v>
      </c>
      <c r="E6232" t="str">
        <f t="shared" si="97"/>
        <v>001390</v>
      </c>
      <c r="F6232" t="s">
        <v>27246</v>
      </c>
      <c r="G6232" t="s">
        <v>27247</v>
      </c>
      <c r="H6232" t="s">
        <v>27248</v>
      </c>
      <c r="I6232" t="s">
        <v>39326</v>
      </c>
      <c r="J6232" t="s">
        <v>12440</v>
      </c>
      <c r="L6232" t="s">
        <v>27250</v>
      </c>
      <c r="M6232" t="s">
        <v>27251</v>
      </c>
      <c r="N6232" t="s">
        <v>27252</v>
      </c>
      <c r="P6232" t="s">
        <v>27341</v>
      </c>
      <c r="Q6232" s="1">
        <v>44846</v>
      </c>
      <c r="R6232" t="s">
        <v>27253</v>
      </c>
      <c r="S6232" t="s">
        <v>27254</v>
      </c>
      <c r="T6232" t="s">
        <v>27265</v>
      </c>
    </row>
    <row r="6233" spans="1:20" x14ac:dyDescent="0.3">
      <c r="A6233" t="str">
        <f>"0611884262050"</f>
        <v>0611884262050</v>
      </c>
      <c r="B6233" t="str">
        <f>"CR5413"</f>
        <v>CR5413</v>
      </c>
      <c r="C6233" t="s">
        <v>39327</v>
      </c>
      <c r="D6233" t="s">
        <v>27271</v>
      </c>
      <c r="E6233" t="str">
        <f t="shared" si="97"/>
        <v>001390</v>
      </c>
      <c r="F6233" t="s">
        <v>27246</v>
      </c>
      <c r="G6233" t="s">
        <v>27247</v>
      </c>
      <c r="H6233" t="s">
        <v>27248</v>
      </c>
      <c r="I6233" t="s">
        <v>39328</v>
      </c>
      <c r="J6233" t="s">
        <v>12442</v>
      </c>
      <c r="L6233" t="s">
        <v>27430</v>
      </c>
      <c r="M6233" t="s">
        <v>27251</v>
      </c>
      <c r="N6233" t="s">
        <v>27252</v>
      </c>
      <c r="P6233" t="s">
        <v>27341</v>
      </c>
      <c r="Q6233" s="1">
        <v>45250</v>
      </c>
      <c r="R6233" t="s">
        <v>27253</v>
      </c>
      <c r="S6233" t="s">
        <v>27254</v>
      </c>
      <c r="T6233" t="s">
        <v>27265</v>
      </c>
    </row>
    <row r="6234" spans="1:20" x14ac:dyDescent="0.3">
      <c r="A6234" t="str">
        <f>"0611862685050"</f>
        <v>0611862685050</v>
      </c>
      <c r="B6234" t="str">
        <f>"CR3113"</f>
        <v>CR3113</v>
      </c>
      <c r="C6234" t="s">
        <v>39329</v>
      </c>
      <c r="D6234" t="s">
        <v>27271</v>
      </c>
      <c r="E6234" t="str">
        <f t="shared" si="97"/>
        <v>001390</v>
      </c>
      <c r="F6234" t="s">
        <v>27246</v>
      </c>
      <c r="G6234" t="s">
        <v>27247</v>
      </c>
      <c r="H6234" t="s">
        <v>27248</v>
      </c>
      <c r="I6234" t="s">
        <v>39330</v>
      </c>
      <c r="J6234" t="s">
        <v>12444</v>
      </c>
      <c r="L6234" t="s">
        <v>27250</v>
      </c>
      <c r="M6234" t="s">
        <v>27251</v>
      </c>
      <c r="N6234" t="s">
        <v>27252</v>
      </c>
      <c r="P6234" t="s">
        <v>27341</v>
      </c>
      <c r="Q6234" s="1">
        <v>44846</v>
      </c>
      <c r="R6234" t="s">
        <v>27253</v>
      </c>
      <c r="S6234" t="s">
        <v>27254</v>
      </c>
      <c r="T6234" t="s">
        <v>27265</v>
      </c>
    </row>
    <row r="6235" spans="1:20" x14ac:dyDescent="0.3">
      <c r="A6235" t="str">
        <f>"0611835690100"</f>
        <v>0611835690100</v>
      </c>
      <c r="B6235" t="str">
        <f>"LS0060"</f>
        <v>LS0060</v>
      </c>
      <c r="C6235" t="s">
        <v>39331</v>
      </c>
      <c r="D6235" t="s">
        <v>27245</v>
      </c>
      <c r="E6235" t="str">
        <f t="shared" si="97"/>
        <v>001390</v>
      </c>
      <c r="F6235" t="s">
        <v>27246</v>
      </c>
      <c r="G6235" t="s">
        <v>27247</v>
      </c>
      <c r="H6235" t="s">
        <v>27248</v>
      </c>
      <c r="I6235" t="s">
        <v>39332</v>
      </c>
      <c r="J6235" t="s">
        <v>12446</v>
      </c>
      <c r="L6235" t="s">
        <v>27250</v>
      </c>
      <c r="M6235" t="s">
        <v>27251</v>
      </c>
      <c r="N6235" t="s">
        <v>27252</v>
      </c>
      <c r="Q6235" s="1">
        <v>44538</v>
      </c>
      <c r="R6235" t="s">
        <v>27253</v>
      </c>
      <c r="S6235" t="s">
        <v>27254</v>
      </c>
      <c r="T6235" t="s">
        <v>27255</v>
      </c>
    </row>
    <row r="6236" spans="1:20" x14ac:dyDescent="0.3">
      <c r="A6236" t="str">
        <f>"0611862686050"</f>
        <v>0611862686050</v>
      </c>
      <c r="B6236" t="str">
        <f>"CR2426"</f>
        <v>CR2426</v>
      </c>
      <c r="C6236" t="s">
        <v>39333</v>
      </c>
      <c r="D6236" t="s">
        <v>27263</v>
      </c>
      <c r="E6236" t="str">
        <f t="shared" si="97"/>
        <v>001390</v>
      </c>
      <c r="F6236" t="s">
        <v>27246</v>
      </c>
      <c r="G6236" t="s">
        <v>27247</v>
      </c>
      <c r="H6236" t="s">
        <v>27248</v>
      </c>
      <c r="I6236" t="s">
        <v>39334</v>
      </c>
      <c r="J6236" t="s">
        <v>12448</v>
      </c>
      <c r="L6236" t="s">
        <v>27250</v>
      </c>
      <c r="M6236" t="s">
        <v>27251</v>
      </c>
      <c r="N6236" t="s">
        <v>27252</v>
      </c>
      <c r="Q6236" s="1">
        <v>44846</v>
      </c>
      <c r="R6236" t="s">
        <v>27253</v>
      </c>
      <c r="S6236" t="s">
        <v>27254</v>
      </c>
      <c r="T6236" t="s">
        <v>27265</v>
      </c>
    </row>
    <row r="6237" spans="1:20" x14ac:dyDescent="0.3">
      <c r="A6237" t="str">
        <f>"0611862687050"</f>
        <v>0611862687050</v>
      </c>
      <c r="B6237" t="str">
        <f>"CR3363"</f>
        <v>CR3363</v>
      </c>
      <c r="C6237" t="s">
        <v>39335</v>
      </c>
      <c r="D6237" t="s">
        <v>27263</v>
      </c>
      <c r="E6237" t="str">
        <f t="shared" si="97"/>
        <v>001390</v>
      </c>
      <c r="F6237" t="s">
        <v>27246</v>
      </c>
      <c r="G6237" t="s">
        <v>27247</v>
      </c>
      <c r="H6237" t="s">
        <v>27248</v>
      </c>
      <c r="I6237" t="s">
        <v>39336</v>
      </c>
      <c r="J6237" t="s">
        <v>12450</v>
      </c>
      <c r="L6237" t="s">
        <v>27250</v>
      </c>
      <c r="M6237" t="s">
        <v>27251</v>
      </c>
      <c r="N6237" t="s">
        <v>27252</v>
      </c>
      <c r="Q6237" s="1">
        <v>44846</v>
      </c>
      <c r="R6237" t="s">
        <v>27253</v>
      </c>
      <c r="S6237" t="s">
        <v>27254</v>
      </c>
      <c r="T6237" t="s">
        <v>27265</v>
      </c>
    </row>
    <row r="6238" spans="1:20" x14ac:dyDescent="0.3">
      <c r="A6238" t="str">
        <f>"0611862688050"</f>
        <v>0611862688050</v>
      </c>
      <c r="B6238" t="str">
        <f>"CR2718"</f>
        <v>CR2718</v>
      </c>
      <c r="C6238" t="s">
        <v>39337</v>
      </c>
      <c r="D6238" t="s">
        <v>27263</v>
      </c>
      <c r="E6238" t="str">
        <f t="shared" si="97"/>
        <v>001390</v>
      </c>
      <c r="F6238" t="s">
        <v>27246</v>
      </c>
      <c r="G6238" t="s">
        <v>27247</v>
      </c>
      <c r="H6238" t="s">
        <v>27248</v>
      </c>
      <c r="I6238" t="s">
        <v>39338</v>
      </c>
      <c r="J6238" t="s">
        <v>12452</v>
      </c>
      <c r="L6238" t="s">
        <v>27250</v>
      </c>
      <c r="M6238" t="s">
        <v>27251</v>
      </c>
      <c r="N6238" t="s">
        <v>27252</v>
      </c>
      <c r="Q6238" s="1">
        <v>44846</v>
      </c>
      <c r="R6238" t="s">
        <v>27253</v>
      </c>
      <c r="S6238" t="s">
        <v>27254</v>
      </c>
      <c r="T6238" t="s">
        <v>27265</v>
      </c>
    </row>
    <row r="6239" spans="1:20" x14ac:dyDescent="0.3">
      <c r="A6239" t="str">
        <f>"0611862689050"</f>
        <v>0611862689050</v>
      </c>
      <c r="B6239" t="str">
        <f>"CR2427"</f>
        <v>CR2427</v>
      </c>
      <c r="C6239" t="s">
        <v>39339</v>
      </c>
      <c r="D6239" t="s">
        <v>27263</v>
      </c>
      <c r="E6239" t="str">
        <f t="shared" si="97"/>
        <v>001390</v>
      </c>
      <c r="F6239" t="s">
        <v>27246</v>
      </c>
      <c r="G6239" t="s">
        <v>27247</v>
      </c>
      <c r="H6239" t="s">
        <v>27248</v>
      </c>
      <c r="I6239" t="s">
        <v>39340</v>
      </c>
      <c r="J6239" t="s">
        <v>12454</v>
      </c>
      <c r="L6239" t="s">
        <v>27250</v>
      </c>
      <c r="M6239" t="s">
        <v>27251</v>
      </c>
      <c r="N6239" t="s">
        <v>27252</v>
      </c>
      <c r="Q6239" s="1">
        <v>44846</v>
      </c>
      <c r="R6239" t="s">
        <v>27253</v>
      </c>
      <c r="S6239" t="s">
        <v>27254</v>
      </c>
      <c r="T6239" t="s">
        <v>27265</v>
      </c>
    </row>
    <row r="6240" spans="1:20" x14ac:dyDescent="0.3">
      <c r="A6240" t="str">
        <f>"0611835691100"</f>
        <v>0611835691100</v>
      </c>
      <c r="B6240" t="str">
        <f>"LS0061"</f>
        <v>LS0061</v>
      </c>
      <c r="C6240" t="s">
        <v>39341</v>
      </c>
      <c r="D6240" t="s">
        <v>27245</v>
      </c>
      <c r="E6240" t="str">
        <f t="shared" si="97"/>
        <v>001390</v>
      </c>
      <c r="F6240" t="s">
        <v>27246</v>
      </c>
      <c r="G6240" t="s">
        <v>27247</v>
      </c>
      <c r="H6240" t="s">
        <v>27248</v>
      </c>
      <c r="I6240" t="s">
        <v>39342</v>
      </c>
      <c r="J6240" t="s">
        <v>12456</v>
      </c>
      <c r="L6240" t="s">
        <v>27250</v>
      </c>
      <c r="M6240" t="s">
        <v>27251</v>
      </c>
      <c r="N6240" t="s">
        <v>27252</v>
      </c>
      <c r="Q6240" s="1">
        <v>44538</v>
      </c>
      <c r="R6240" t="s">
        <v>27253</v>
      </c>
      <c r="S6240" t="s">
        <v>27254</v>
      </c>
      <c r="T6240" t="s">
        <v>27255</v>
      </c>
    </row>
    <row r="6241" spans="1:20" x14ac:dyDescent="0.3">
      <c r="A6241" t="str">
        <f>"0611835693100"</f>
        <v>0611835693100</v>
      </c>
      <c r="B6241" t="str">
        <f>"LS0062"</f>
        <v>LS0062</v>
      </c>
      <c r="C6241" t="s">
        <v>39343</v>
      </c>
      <c r="D6241" t="s">
        <v>27245</v>
      </c>
      <c r="E6241" t="str">
        <f t="shared" si="97"/>
        <v>001390</v>
      </c>
      <c r="F6241" t="s">
        <v>27246</v>
      </c>
      <c r="G6241" t="s">
        <v>27247</v>
      </c>
      <c r="H6241" t="s">
        <v>27248</v>
      </c>
      <c r="I6241" t="s">
        <v>39344</v>
      </c>
      <c r="J6241" t="s">
        <v>12460</v>
      </c>
      <c r="L6241" t="s">
        <v>27250</v>
      </c>
      <c r="M6241" t="s">
        <v>27251</v>
      </c>
      <c r="N6241" t="s">
        <v>27252</v>
      </c>
      <c r="Q6241" s="1">
        <v>44538</v>
      </c>
      <c r="R6241" t="s">
        <v>27253</v>
      </c>
      <c r="S6241" t="s">
        <v>27254</v>
      </c>
      <c r="T6241" t="s">
        <v>27255</v>
      </c>
    </row>
    <row r="6242" spans="1:20" x14ac:dyDescent="0.3">
      <c r="A6242" t="str">
        <f>"0611835692100"</f>
        <v>0611835692100</v>
      </c>
      <c r="B6242" t="str">
        <f>"LS0063"</f>
        <v>LS0063</v>
      </c>
      <c r="C6242" t="s">
        <v>39345</v>
      </c>
      <c r="D6242" t="s">
        <v>27245</v>
      </c>
      <c r="E6242" t="str">
        <f t="shared" si="97"/>
        <v>001390</v>
      </c>
      <c r="F6242" t="s">
        <v>27246</v>
      </c>
      <c r="G6242" t="s">
        <v>27247</v>
      </c>
      <c r="H6242" t="s">
        <v>27248</v>
      </c>
      <c r="I6242" t="s">
        <v>39346</v>
      </c>
      <c r="J6242" t="s">
        <v>12458</v>
      </c>
      <c r="L6242" t="s">
        <v>27250</v>
      </c>
      <c r="M6242" t="s">
        <v>27251</v>
      </c>
      <c r="N6242" t="s">
        <v>27252</v>
      </c>
      <c r="Q6242" s="1">
        <v>44538</v>
      </c>
      <c r="R6242" t="s">
        <v>27253</v>
      </c>
      <c r="S6242" t="s">
        <v>27254</v>
      </c>
      <c r="T6242" t="s">
        <v>27255</v>
      </c>
    </row>
    <row r="6243" spans="1:20" x14ac:dyDescent="0.3">
      <c r="A6243" t="str">
        <f>"0611884263050"</f>
        <v>0611884263050</v>
      </c>
      <c r="B6243" t="str">
        <f>"CR5382"</f>
        <v>CR5382</v>
      </c>
      <c r="C6243" t="s">
        <v>39347</v>
      </c>
      <c r="D6243" t="s">
        <v>27271</v>
      </c>
      <c r="E6243" t="str">
        <f t="shared" si="97"/>
        <v>001390</v>
      </c>
      <c r="F6243" t="s">
        <v>27246</v>
      </c>
      <c r="G6243" t="s">
        <v>27247</v>
      </c>
      <c r="H6243" t="s">
        <v>27248</v>
      </c>
      <c r="I6243" t="s">
        <v>39348</v>
      </c>
      <c r="J6243" t="s">
        <v>12462</v>
      </c>
      <c r="L6243" t="s">
        <v>27430</v>
      </c>
      <c r="M6243" t="s">
        <v>27251</v>
      </c>
      <c r="N6243" t="s">
        <v>27252</v>
      </c>
      <c r="P6243" t="s">
        <v>27341</v>
      </c>
      <c r="Q6243" s="1">
        <v>45250</v>
      </c>
      <c r="R6243" t="s">
        <v>27253</v>
      </c>
      <c r="S6243" t="s">
        <v>27254</v>
      </c>
      <c r="T6243" t="s">
        <v>27265</v>
      </c>
    </row>
    <row r="6244" spans="1:20" x14ac:dyDescent="0.3">
      <c r="A6244" t="str">
        <f>"0611884264050"</f>
        <v>0611884264050</v>
      </c>
      <c r="B6244" t="str">
        <f>"CR5414"</f>
        <v>CR5414</v>
      </c>
      <c r="C6244" t="s">
        <v>39349</v>
      </c>
      <c r="D6244" t="s">
        <v>27271</v>
      </c>
      <c r="E6244" t="str">
        <f t="shared" si="97"/>
        <v>001390</v>
      </c>
      <c r="F6244" t="s">
        <v>27246</v>
      </c>
      <c r="G6244" t="s">
        <v>27247</v>
      </c>
      <c r="H6244" t="s">
        <v>27248</v>
      </c>
      <c r="I6244" t="s">
        <v>39350</v>
      </c>
      <c r="J6244" t="s">
        <v>12464</v>
      </c>
      <c r="L6244" t="s">
        <v>27430</v>
      </c>
      <c r="M6244" t="s">
        <v>27251</v>
      </c>
      <c r="N6244" t="s">
        <v>27252</v>
      </c>
      <c r="P6244" t="s">
        <v>27341</v>
      </c>
      <c r="Q6244" s="1">
        <v>45250</v>
      </c>
      <c r="R6244" t="s">
        <v>27253</v>
      </c>
      <c r="S6244" t="s">
        <v>27254</v>
      </c>
      <c r="T6244" t="s">
        <v>27265</v>
      </c>
    </row>
    <row r="6245" spans="1:20" x14ac:dyDescent="0.3">
      <c r="A6245" t="str">
        <f>"0611862690050"</f>
        <v>0611862690050</v>
      </c>
      <c r="B6245" t="str">
        <f>"CR4838"</f>
        <v>CR4838</v>
      </c>
      <c r="C6245" t="s">
        <v>39351</v>
      </c>
      <c r="D6245" t="s">
        <v>27271</v>
      </c>
      <c r="E6245" t="str">
        <f t="shared" si="97"/>
        <v>001390</v>
      </c>
      <c r="F6245" t="s">
        <v>27246</v>
      </c>
      <c r="G6245" t="s">
        <v>27247</v>
      </c>
      <c r="H6245" t="s">
        <v>27248</v>
      </c>
      <c r="I6245" t="s">
        <v>39352</v>
      </c>
      <c r="J6245" t="s">
        <v>12466</v>
      </c>
      <c r="L6245" t="s">
        <v>27250</v>
      </c>
      <c r="M6245" t="s">
        <v>27251</v>
      </c>
      <c r="N6245" t="s">
        <v>27252</v>
      </c>
      <c r="P6245" t="s">
        <v>27341</v>
      </c>
      <c r="Q6245" s="1">
        <v>44846</v>
      </c>
      <c r="R6245" t="s">
        <v>27253</v>
      </c>
      <c r="S6245" t="s">
        <v>27254</v>
      </c>
      <c r="T6245" t="s">
        <v>27265</v>
      </c>
    </row>
    <row r="6246" spans="1:20" x14ac:dyDescent="0.3">
      <c r="A6246" t="str">
        <f>"0611862691050"</f>
        <v>0611862691050</v>
      </c>
      <c r="B6246" t="str">
        <f>"CR3894"</f>
        <v>CR3894</v>
      </c>
      <c r="C6246" t="s">
        <v>39353</v>
      </c>
      <c r="D6246" t="s">
        <v>27271</v>
      </c>
      <c r="E6246" t="str">
        <f t="shared" si="97"/>
        <v>001390</v>
      </c>
      <c r="F6246" t="s">
        <v>27246</v>
      </c>
      <c r="G6246" t="s">
        <v>27247</v>
      </c>
      <c r="H6246" t="s">
        <v>27248</v>
      </c>
      <c r="I6246" t="s">
        <v>39354</v>
      </c>
      <c r="J6246" t="s">
        <v>12468</v>
      </c>
      <c r="L6246" t="s">
        <v>27250</v>
      </c>
      <c r="M6246" t="s">
        <v>27251</v>
      </c>
      <c r="N6246" t="s">
        <v>27252</v>
      </c>
      <c r="P6246" t="s">
        <v>27341</v>
      </c>
      <c r="Q6246" s="1">
        <v>44846</v>
      </c>
      <c r="R6246" t="s">
        <v>27253</v>
      </c>
      <c r="S6246" t="s">
        <v>27254</v>
      </c>
      <c r="T6246" t="s">
        <v>27265</v>
      </c>
    </row>
    <row r="6247" spans="1:20" x14ac:dyDescent="0.3">
      <c r="A6247" t="str">
        <f>"0611862692050"</f>
        <v>0611862692050</v>
      </c>
      <c r="B6247" t="str">
        <f>"CR5205"</f>
        <v>CR5205</v>
      </c>
      <c r="C6247" t="s">
        <v>39355</v>
      </c>
      <c r="D6247" t="s">
        <v>27271</v>
      </c>
      <c r="E6247" t="str">
        <f t="shared" si="97"/>
        <v>001390</v>
      </c>
      <c r="F6247" t="s">
        <v>27246</v>
      </c>
      <c r="G6247" t="s">
        <v>27247</v>
      </c>
      <c r="H6247" t="s">
        <v>27248</v>
      </c>
      <c r="I6247" t="s">
        <v>39356</v>
      </c>
      <c r="J6247" t="s">
        <v>12470</v>
      </c>
      <c r="L6247" t="s">
        <v>27250</v>
      </c>
      <c r="M6247" t="s">
        <v>27251</v>
      </c>
      <c r="N6247" t="s">
        <v>27252</v>
      </c>
      <c r="P6247" t="s">
        <v>27341</v>
      </c>
      <c r="Q6247" s="1">
        <v>44846</v>
      </c>
      <c r="R6247" t="s">
        <v>27253</v>
      </c>
      <c r="S6247" t="s">
        <v>27254</v>
      </c>
      <c r="T6247" t="s">
        <v>27265</v>
      </c>
    </row>
    <row r="6248" spans="1:20" x14ac:dyDescent="0.3">
      <c r="A6248" t="str">
        <f>"0611862693050"</f>
        <v>0611862693050</v>
      </c>
      <c r="B6248" t="str">
        <f>"CR4839"</f>
        <v>CR4839</v>
      </c>
      <c r="C6248" t="s">
        <v>39357</v>
      </c>
      <c r="D6248" t="s">
        <v>27271</v>
      </c>
      <c r="E6248" t="str">
        <f t="shared" si="97"/>
        <v>001390</v>
      </c>
      <c r="F6248" t="s">
        <v>27246</v>
      </c>
      <c r="G6248" t="s">
        <v>27247</v>
      </c>
      <c r="H6248" t="s">
        <v>27248</v>
      </c>
      <c r="I6248" t="s">
        <v>39358</v>
      </c>
      <c r="J6248" t="s">
        <v>12472</v>
      </c>
      <c r="L6248" t="s">
        <v>27250</v>
      </c>
      <c r="M6248" t="s">
        <v>27251</v>
      </c>
      <c r="N6248" t="s">
        <v>27252</v>
      </c>
      <c r="P6248" t="s">
        <v>27341</v>
      </c>
      <c r="Q6248" s="1">
        <v>44846</v>
      </c>
      <c r="R6248" t="s">
        <v>27253</v>
      </c>
      <c r="S6248" t="s">
        <v>27254</v>
      </c>
      <c r="T6248" t="s">
        <v>27265</v>
      </c>
    </row>
    <row r="6249" spans="1:20" x14ac:dyDescent="0.3">
      <c r="A6249" t="str">
        <f>"0611862694050"</f>
        <v>0611862694050</v>
      </c>
      <c r="B6249" t="str">
        <f>"CR4840"</f>
        <v>CR4840</v>
      </c>
      <c r="C6249" t="s">
        <v>39359</v>
      </c>
      <c r="D6249" t="s">
        <v>27271</v>
      </c>
      <c r="E6249" t="str">
        <f t="shared" si="97"/>
        <v>001390</v>
      </c>
      <c r="F6249" t="s">
        <v>27246</v>
      </c>
      <c r="G6249" t="s">
        <v>27247</v>
      </c>
      <c r="H6249" t="s">
        <v>27248</v>
      </c>
      <c r="I6249" t="s">
        <v>39360</v>
      </c>
      <c r="J6249" t="s">
        <v>12474</v>
      </c>
      <c r="L6249" t="s">
        <v>27250</v>
      </c>
      <c r="M6249" t="s">
        <v>27251</v>
      </c>
      <c r="N6249" t="s">
        <v>27252</v>
      </c>
      <c r="P6249" t="s">
        <v>27341</v>
      </c>
      <c r="Q6249" s="1">
        <v>44846</v>
      </c>
      <c r="R6249" t="s">
        <v>27253</v>
      </c>
      <c r="S6249" t="s">
        <v>27254</v>
      </c>
      <c r="T6249" t="s">
        <v>27265</v>
      </c>
    </row>
    <row r="6250" spans="1:20" x14ac:dyDescent="0.3">
      <c r="A6250" t="str">
        <f>"0611862695050"</f>
        <v>0611862695050</v>
      </c>
      <c r="B6250" t="str">
        <f>"CR4837"</f>
        <v>CR4837</v>
      </c>
      <c r="C6250" t="s">
        <v>39361</v>
      </c>
      <c r="D6250" t="s">
        <v>27271</v>
      </c>
      <c r="E6250" t="str">
        <f t="shared" si="97"/>
        <v>001390</v>
      </c>
      <c r="F6250" t="s">
        <v>27246</v>
      </c>
      <c r="G6250" t="s">
        <v>27247</v>
      </c>
      <c r="H6250" t="s">
        <v>27248</v>
      </c>
      <c r="I6250" t="s">
        <v>39362</v>
      </c>
      <c r="J6250" t="s">
        <v>12476</v>
      </c>
      <c r="L6250" t="s">
        <v>27250</v>
      </c>
      <c r="M6250" t="s">
        <v>27251</v>
      </c>
      <c r="N6250" t="s">
        <v>27252</v>
      </c>
      <c r="P6250" t="s">
        <v>27341</v>
      </c>
      <c r="Q6250" s="1">
        <v>44846</v>
      </c>
      <c r="R6250" t="s">
        <v>27253</v>
      </c>
      <c r="S6250" t="s">
        <v>27254</v>
      </c>
      <c r="T6250" t="s">
        <v>27265</v>
      </c>
    </row>
    <row r="6251" spans="1:20" x14ac:dyDescent="0.3">
      <c r="A6251" t="str">
        <f>"0611862696050"</f>
        <v>0611862696050</v>
      </c>
      <c r="B6251" t="str">
        <f>"CR4841"</f>
        <v>CR4841</v>
      </c>
      <c r="C6251" t="s">
        <v>39363</v>
      </c>
      <c r="D6251" t="s">
        <v>27271</v>
      </c>
      <c r="E6251" t="str">
        <f t="shared" si="97"/>
        <v>001390</v>
      </c>
      <c r="F6251" t="s">
        <v>27246</v>
      </c>
      <c r="G6251" t="s">
        <v>27247</v>
      </c>
      <c r="H6251" t="s">
        <v>27248</v>
      </c>
      <c r="I6251" t="s">
        <v>39364</v>
      </c>
      <c r="J6251" t="s">
        <v>12478</v>
      </c>
      <c r="L6251" t="s">
        <v>27250</v>
      </c>
      <c r="M6251" t="s">
        <v>27251</v>
      </c>
      <c r="N6251" t="s">
        <v>27252</v>
      </c>
      <c r="P6251" t="s">
        <v>27341</v>
      </c>
      <c r="Q6251" s="1">
        <v>44846</v>
      </c>
      <c r="R6251" t="s">
        <v>27253</v>
      </c>
      <c r="S6251" t="s">
        <v>27254</v>
      </c>
      <c r="T6251" t="s">
        <v>27265</v>
      </c>
    </row>
    <row r="6252" spans="1:20" x14ac:dyDescent="0.3">
      <c r="A6252" t="str">
        <f>"0611835694100"</f>
        <v>0611835694100</v>
      </c>
      <c r="B6252" t="str">
        <f>"LS0064"</f>
        <v>LS0064</v>
      </c>
      <c r="C6252" t="s">
        <v>39365</v>
      </c>
      <c r="D6252" t="s">
        <v>27245</v>
      </c>
      <c r="E6252" t="str">
        <f t="shared" si="97"/>
        <v>001390</v>
      </c>
      <c r="F6252" t="s">
        <v>27246</v>
      </c>
      <c r="G6252" t="s">
        <v>27247</v>
      </c>
      <c r="H6252" t="s">
        <v>27248</v>
      </c>
      <c r="I6252" t="s">
        <v>39366</v>
      </c>
      <c r="J6252" t="s">
        <v>12480</v>
      </c>
      <c r="L6252" t="s">
        <v>27250</v>
      </c>
      <c r="M6252" t="s">
        <v>27251</v>
      </c>
      <c r="N6252" t="s">
        <v>27252</v>
      </c>
      <c r="Q6252" s="1">
        <v>44538</v>
      </c>
      <c r="R6252" t="s">
        <v>27253</v>
      </c>
      <c r="S6252" t="s">
        <v>27254</v>
      </c>
      <c r="T6252" t="s">
        <v>27255</v>
      </c>
    </row>
    <row r="6253" spans="1:20" x14ac:dyDescent="0.3">
      <c r="A6253" t="str">
        <f>"0611835697100"</f>
        <v>0611835697100</v>
      </c>
      <c r="B6253" t="str">
        <f>"LS0066"</f>
        <v>LS0066</v>
      </c>
      <c r="C6253" t="s">
        <v>39367</v>
      </c>
      <c r="D6253" t="s">
        <v>27245</v>
      </c>
      <c r="E6253" t="str">
        <f t="shared" si="97"/>
        <v>001390</v>
      </c>
      <c r="F6253" t="s">
        <v>27246</v>
      </c>
      <c r="G6253" t="s">
        <v>27247</v>
      </c>
      <c r="H6253" t="s">
        <v>27248</v>
      </c>
      <c r="I6253" t="s">
        <v>39368</v>
      </c>
      <c r="J6253" t="s">
        <v>12482</v>
      </c>
      <c r="L6253" t="s">
        <v>27250</v>
      </c>
      <c r="M6253" t="s">
        <v>27251</v>
      </c>
      <c r="N6253" t="s">
        <v>27252</v>
      </c>
      <c r="Q6253" s="1">
        <v>44538</v>
      </c>
      <c r="R6253" t="s">
        <v>27253</v>
      </c>
      <c r="S6253" t="s">
        <v>27254</v>
      </c>
      <c r="T6253" t="s">
        <v>27255</v>
      </c>
    </row>
    <row r="6254" spans="1:20" x14ac:dyDescent="0.3">
      <c r="A6254" t="str">
        <f>"0611862697050"</f>
        <v>0611862697050</v>
      </c>
      <c r="B6254" t="str">
        <f>"CE0431"</f>
        <v>CE0431</v>
      </c>
      <c r="C6254" t="s">
        <v>39369</v>
      </c>
      <c r="D6254" t="s">
        <v>27923</v>
      </c>
      <c r="E6254" t="str">
        <f t="shared" si="97"/>
        <v>001390</v>
      </c>
      <c r="F6254" t="s">
        <v>27246</v>
      </c>
      <c r="G6254" t="s">
        <v>27247</v>
      </c>
      <c r="H6254" t="s">
        <v>27248</v>
      </c>
      <c r="I6254" t="s">
        <v>39370</v>
      </c>
      <c r="J6254" t="s">
        <v>12484</v>
      </c>
      <c r="L6254" t="s">
        <v>27250</v>
      </c>
      <c r="M6254" t="s">
        <v>27251</v>
      </c>
      <c r="N6254" t="s">
        <v>27252</v>
      </c>
      <c r="P6254" t="s">
        <v>27925</v>
      </c>
      <c r="Q6254" s="1">
        <v>44846</v>
      </c>
      <c r="R6254" t="s">
        <v>27253</v>
      </c>
      <c r="S6254" t="s">
        <v>27254</v>
      </c>
      <c r="T6254" t="s">
        <v>27265</v>
      </c>
    </row>
    <row r="6255" spans="1:20" x14ac:dyDescent="0.3">
      <c r="A6255" t="str">
        <f>"0611862698050"</f>
        <v>0611862698050</v>
      </c>
      <c r="B6255" t="str">
        <f>"CE0432"</f>
        <v>CE0432</v>
      </c>
      <c r="C6255" t="s">
        <v>39371</v>
      </c>
      <c r="D6255" t="s">
        <v>27923</v>
      </c>
      <c r="E6255" t="str">
        <f t="shared" si="97"/>
        <v>001390</v>
      </c>
      <c r="F6255" t="s">
        <v>27246</v>
      </c>
      <c r="G6255" t="s">
        <v>27247</v>
      </c>
      <c r="H6255" t="s">
        <v>27248</v>
      </c>
      <c r="I6255" t="s">
        <v>39372</v>
      </c>
      <c r="J6255" t="s">
        <v>12486</v>
      </c>
      <c r="L6255" t="s">
        <v>27250</v>
      </c>
      <c r="M6255" t="s">
        <v>27251</v>
      </c>
      <c r="N6255" t="s">
        <v>27252</v>
      </c>
      <c r="P6255" t="s">
        <v>27925</v>
      </c>
      <c r="Q6255" s="1">
        <v>44846</v>
      </c>
      <c r="R6255" t="s">
        <v>27253</v>
      </c>
      <c r="S6255" t="s">
        <v>27254</v>
      </c>
      <c r="T6255" t="s">
        <v>27265</v>
      </c>
    </row>
    <row r="6256" spans="1:20" x14ac:dyDescent="0.3">
      <c r="A6256" t="str">
        <f>"0611862699050"</f>
        <v>0611862699050</v>
      </c>
      <c r="B6256" t="str">
        <f>"CE0435"</f>
        <v>CE0435</v>
      </c>
      <c r="C6256" t="s">
        <v>39373</v>
      </c>
      <c r="D6256" t="s">
        <v>27923</v>
      </c>
      <c r="E6256" t="str">
        <f t="shared" si="97"/>
        <v>001390</v>
      </c>
      <c r="F6256" t="s">
        <v>27246</v>
      </c>
      <c r="G6256" t="s">
        <v>27247</v>
      </c>
      <c r="H6256" t="s">
        <v>27248</v>
      </c>
      <c r="I6256" t="s">
        <v>39374</v>
      </c>
      <c r="J6256" t="s">
        <v>12488</v>
      </c>
      <c r="L6256" t="s">
        <v>27250</v>
      </c>
      <c r="M6256" t="s">
        <v>27251</v>
      </c>
      <c r="N6256" t="s">
        <v>27252</v>
      </c>
      <c r="P6256" t="s">
        <v>27925</v>
      </c>
      <c r="Q6256" s="1">
        <v>44846</v>
      </c>
      <c r="R6256" t="s">
        <v>27253</v>
      </c>
      <c r="S6256" t="s">
        <v>27254</v>
      </c>
      <c r="T6256" t="s">
        <v>27265</v>
      </c>
    </row>
    <row r="6257" spans="1:20" x14ac:dyDescent="0.3">
      <c r="A6257" t="str">
        <f>"0611862700050"</f>
        <v>0611862700050</v>
      </c>
      <c r="B6257" t="str">
        <f>"CE0436"</f>
        <v>CE0436</v>
      </c>
      <c r="C6257" t="s">
        <v>39375</v>
      </c>
      <c r="D6257" t="s">
        <v>27923</v>
      </c>
      <c r="E6257" t="str">
        <f t="shared" si="97"/>
        <v>001390</v>
      </c>
      <c r="F6257" t="s">
        <v>27246</v>
      </c>
      <c r="G6257" t="s">
        <v>27247</v>
      </c>
      <c r="H6257" t="s">
        <v>27248</v>
      </c>
      <c r="I6257" t="s">
        <v>39376</v>
      </c>
      <c r="J6257" t="s">
        <v>12490</v>
      </c>
      <c r="L6257" t="s">
        <v>27250</v>
      </c>
      <c r="M6257" t="s">
        <v>27251</v>
      </c>
      <c r="N6257" t="s">
        <v>27252</v>
      </c>
      <c r="P6257" t="s">
        <v>27925</v>
      </c>
      <c r="Q6257" s="1">
        <v>44846</v>
      </c>
      <c r="R6257" t="s">
        <v>27253</v>
      </c>
      <c r="S6257" t="s">
        <v>27254</v>
      </c>
      <c r="T6257" t="s">
        <v>27265</v>
      </c>
    </row>
    <row r="6258" spans="1:20" x14ac:dyDescent="0.3">
      <c r="A6258" t="str">
        <f>"0611862701050"</f>
        <v>0611862701050</v>
      </c>
      <c r="B6258" t="str">
        <f>"CE0437"</f>
        <v>CE0437</v>
      </c>
      <c r="C6258" t="s">
        <v>39377</v>
      </c>
      <c r="D6258" t="s">
        <v>27923</v>
      </c>
      <c r="E6258" t="str">
        <f t="shared" si="97"/>
        <v>001390</v>
      </c>
      <c r="F6258" t="s">
        <v>27246</v>
      </c>
      <c r="G6258" t="s">
        <v>27247</v>
      </c>
      <c r="H6258" t="s">
        <v>27248</v>
      </c>
      <c r="I6258" t="s">
        <v>39378</v>
      </c>
      <c r="J6258" t="s">
        <v>12492</v>
      </c>
      <c r="L6258" t="s">
        <v>27250</v>
      </c>
      <c r="M6258" t="s">
        <v>27251</v>
      </c>
      <c r="N6258" t="s">
        <v>27252</v>
      </c>
      <c r="P6258" t="s">
        <v>27925</v>
      </c>
      <c r="Q6258" s="1">
        <v>44846</v>
      </c>
      <c r="R6258" t="s">
        <v>27253</v>
      </c>
      <c r="S6258" t="s">
        <v>27254</v>
      </c>
      <c r="T6258" t="s">
        <v>27265</v>
      </c>
    </row>
    <row r="6259" spans="1:20" x14ac:dyDescent="0.3">
      <c r="A6259" t="str">
        <f>"0611862702050"</f>
        <v>0611862702050</v>
      </c>
      <c r="B6259" t="str">
        <f>"CE0438"</f>
        <v>CE0438</v>
      </c>
      <c r="C6259" t="s">
        <v>39379</v>
      </c>
      <c r="D6259" t="s">
        <v>27923</v>
      </c>
      <c r="E6259" t="str">
        <f t="shared" si="97"/>
        <v>001390</v>
      </c>
      <c r="F6259" t="s">
        <v>27246</v>
      </c>
      <c r="G6259" t="s">
        <v>27247</v>
      </c>
      <c r="H6259" t="s">
        <v>27248</v>
      </c>
      <c r="I6259" t="s">
        <v>39380</v>
      </c>
      <c r="J6259" t="s">
        <v>12494</v>
      </c>
      <c r="L6259" t="s">
        <v>27250</v>
      </c>
      <c r="M6259" t="s">
        <v>27251</v>
      </c>
      <c r="N6259" t="s">
        <v>27252</v>
      </c>
      <c r="P6259" t="s">
        <v>27925</v>
      </c>
      <c r="Q6259" s="1">
        <v>44846</v>
      </c>
      <c r="R6259" t="s">
        <v>27253</v>
      </c>
      <c r="S6259" t="s">
        <v>27254</v>
      </c>
      <c r="T6259" t="s">
        <v>27265</v>
      </c>
    </row>
    <row r="6260" spans="1:20" x14ac:dyDescent="0.3">
      <c r="A6260" t="str">
        <f>"0611862703050"</f>
        <v>0611862703050</v>
      </c>
      <c r="B6260" t="str">
        <f>"CE0439"</f>
        <v>CE0439</v>
      </c>
      <c r="C6260" t="s">
        <v>39381</v>
      </c>
      <c r="D6260" t="s">
        <v>27923</v>
      </c>
      <c r="E6260" t="str">
        <f t="shared" si="97"/>
        <v>001390</v>
      </c>
      <c r="F6260" t="s">
        <v>27246</v>
      </c>
      <c r="G6260" t="s">
        <v>27247</v>
      </c>
      <c r="H6260" t="s">
        <v>27248</v>
      </c>
      <c r="I6260" t="s">
        <v>39382</v>
      </c>
      <c r="J6260" t="s">
        <v>12496</v>
      </c>
      <c r="L6260" t="s">
        <v>27250</v>
      </c>
      <c r="M6260" t="s">
        <v>27251</v>
      </c>
      <c r="N6260" t="s">
        <v>27252</v>
      </c>
      <c r="P6260" t="s">
        <v>27925</v>
      </c>
      <c r="Q6260" s="1">
        <v>44846</v>
      </c>
      <c r="R6260" t="s">
        <v>27253</v>
      </c>
      <c r="S6260" t="s">
        <v>27254</v>
      </c>
      <c r="T6260" t="s">
        <v>27265</v>
      </c>
    </row>
    <row r="6261" spans="1:20" x14ac:dyDescent="0.3">
      <c r="A6261" t="str">
        <f>"0611862704050"</f>
        <v>0611862704050</v>
      </c>
      <c r="B6261" t="str">
        <f>"CE0440"</f>
        <v>CE0440</v>
      </c>
      <c r="C6261" t="s">
        <v>39383</v>
      </c>
      <c r="D6261" t="s">
        <v>27923</v>
      </c>
      <c r="E6261" t="str">
        <f t="shared" si="97"/>
        <v>001390</v>
      </c>
      <c r="F6261" t="s">
        <v>27246</v>
      </c>
      <c r="G6261" t="s">
        <v>27247</v>
      </c>
      <c r="H6261" t="s">
        <v>27248</v>
      </c>
      <c r="I6261" t="s">
        <v>39384</v>
      </c>
      <c r="J6261" t="s">
        <v>12498</v>
      </c>
      <c r="L6261" t="s">
        <v>27250</v>
      </c>
      <c r="M6261" t="s">
        <v>27251</v>
      </c>
      <c r="N6261" t="s">
        <v>27252</v>
      </c>
      <c r="P6261" t="s">
        <v>27925</v>
      </c>
      <c r="Q6261" s="1">
        <v>44846</v>
      </c>
      <c r="R6261" t="s">
        <v>27253</v>
      </c>
      <c r="S6261" t="s">
        <v>27254</v>
      </c>
      <c r="T6261" t="s">
        <v>27265</v>
      </c>
    </row>
    <row r="6262" spans="1:20" x14ac:dyDescent="0.3">
      <c r="A6262" t="str">
        <f>"0611862705050"</f>
        <v>0611862705050</v>
      </c>
      <c r="B6262" t="str">
        <f>"CE0441"</f>
        <v>CE0441</v>
      </c>
      <c r="C6262" t="s">
        <v>39385</v>
      </c>
      <c r="D6262" t="s">
        <v>27923</v>
      </c>
      <c r="E6262" t="str">
        <f t="shared" si="97"/>
        <v>001390</v>
      </c>
      <c r="F6262" t="s">
        <v>27246</v>
      </c>
      <c r="G6262" t="s">
        <v>27247</v>
      </c>
      <c r="H6262" t="s">
        <v>27248</v>
      </c>
      <c r="I6262" t="s">
        <v>39386</v>
      </c>
      <c r="J6262" t="s">
        <v>12500</v>
      </c>
      <c r="L6262" t="s">
        <v>27250</v>
      </c>
      <c r="M6262" t="s">
        <v>27251</v>
      </c>
      <c r="N6262" t="s">
        <v>27252</v>
      </c>
      <c r="P6262" t="s">
        <v>27925</v>
      </c>
      <c r="Q6262" s="1">
        <v>44846</v>
      </c>
      <c r="R6262" t="s">
        <v>27253</v>
      </c>
      <c r="S6262" t="s">
        <v>27254</v>
      </c>
      <c r="T6262" t="s">
        <v>27265</v>
      </c>
    </row>
    <row r="6263" spans="1:20" x14ac:dyDescent="0.3">
      <c r="A6263" t="str">
        <f>"0611862706050"</f>
        <v>0611862706050</v>
      </c>
      <c r="B6263" t="str">
        <f>"CR3958"</f>
        <v>CR3958</v>
      </c>
      <c r="C6263" t="s">
        <v>39387</v>
      </c>
      <c r="D6263" t="s">
        <v>28376</v>
      </c>
      <c r="E6263" t="str">
        <f t="shared" si="97"/>
        <v>001390</v>
      </c>
      <c r="F6263" t="s">
        <v>27246</v>
      </c>
      <c r="G6263" t="s">
        <v>27247</v>
      </c>
      <c r="H6263" t="s">
        <v>27248</v>
      </c>
      <c r="I6263" t="s">
        <v>39388</v>
      </c>
      <c r="J6263" t="s">
        <v>12614</v>
      </c>
      <c r="L6263" t="s">
        <v>27250</v>
      </c>
      <c r="M6263" t="s">
        <v>27251</v>
      </c>
      <c r="N6263" t="s">
        <v>27252</v>
      </c>
      <c r="P6263" t="s">
        <v>27341</v>
      </c>
      <c r="Q6263" s="1">
        <v>44846</v>
      </c>
      <c r="R6263" t="s">
        <v>27253</v>
      </c>
      <c r="S6263" t="s">
        <v>27254</v>
      </c>
      <c r="T6263" t="s">
        <v>28378</v>
      </c>
    </row>
    <row r="6264" spans="1:20" x14ac:dyDescent="0.3">
      <c r="A6264" t="str">
        <f>"0611862707050"</f>
        <v>0611862707050</v>
      </c>
      <c r="B6264" t="str">
        <f>"CR4906"</f>
        <v>CR4906</v>
      </c>
      <c r="C6264" t="s">
        <v>39389</v>
      </c>
      <c r="D6264" t="s">
        <v>27271</v>
      </c>
      <c r="E6264" t="str">
        <f t="shared" si="97"/>
        <v>001390</v>
      </c>
      <c r="F6264" t="s">
        <v>27246</v>
      </c>
      <c r="G6264" t="s">
        <v>27247</v>
      </c>
      <c r="H6264" t="s">
        <v>27248</v>
      </c>
      <c r="I6264" t="s">
        <v>39390</v>
      </c>
      <c r="J6264" t="s">
        <v>12612</v>
      </c>
      <c r="L6264" t="s">
        <v>27250</v>
      </c>
      <c r="M6264" t="s">
        <v>27251</v>
      </c>
      <c r="N6264" t="s">
        <v>27252</v>
      </c>
      <c r="P6264" t="s">
        <v>27341</v>
      </c>
      <c r="Q6264" s="1">
        <v>44846</v>
      </c>
      <c r="R6264" t="s">
        <v>27253</v>
      </c>
      <c r="S6264" t="s">
        <v>27254</v>
      </c>
      <c r="T6264" t="s">
        <v>27265</v>
      </c>
    </row>
    <row r="6265" spans="1:20" x14ac:dyDescent="0.3">
      <c r="A6265" t="str">
        <f>"0611862708050"</f>
        <v>0611862708050</v>
      </c>
      <c r="B6265" t="str">
        <f>"CR3776"</f>
        <v>CR3776</v>
      </c>
      <c r="C6265" t="s">
        <v>39391</v>
      </c>
      <c r="D6265" t="s">
        <v>27271</v>
      </c>
      <c r="E6265" t="str">
        <f t="shared" si="97"/>
        <v>001390</v>
      </c>
      <c r="F6265" t="s">
        <v>27246</v>
      </c>
      <c r="G6265" t="s">
        <v>27247</v>
      </c>
      <c r="H6265" t="s">
        <v>27248</v>
      </c>
      <c r="I6265" t="s">
        <v>39392</v>
      </c>
      <c r="J6265" t="s">
        <v>12616</v>
      </c>
      <c r="L6265" t="s">
        <v>27250</v>
      </c>
      <c r="M6265" t="s">
        <v>27251</v>
      </c>
      <c r="N6265" t="s">
        <v>27252</v>
      </c>
      <c r="P6265" t="s">
        <v>27341</v>
      </c>
      <c r="Q6265" s="1">
        <v>44846</v>
      </c>
      <c r="R6265" t="s">
        <v>27253</v>
      </c>
      <c r="S6265" t="s">
        <v>27254</v>
      </c>
      <c r="T6265" t="s">
        <v>27265</v>
      </c>
    </row>
    <row r="6266" spans="1:20" x14ac:dyDescent="0.3">
      <c r="A6266" t="str">
        <f>"0611862709050"</f>
        <v>0611862709050</v>
      </c>
      <c r="B6266" t="str">
        <f>"CR3777"</f>
        <v>CR3777</v>
      </c>
      <c r="C6266" t="s">
        <v>39393</v>
      </c>
      <c r="D6266" t="s">
        <v>27271</v>
      </c>
      <c r="E6266" t="str">
        <f t="shared" si="97"/>
        <v>001390</v>
      </c>
      <c r="F6266" t="s">
        <v>27246</v>
      </c>
      <c r="G6266" t="s">
        <v>27247</v>
      </c>
      <c r="H6266" t="s">
        <v>27248</v>
      </c>
      <c r="I6266" t="s">
        <v>39394</v>
      </c>
      <c r="J6266" t="s">
        <v>12618</v>
      </c>
      <c r="L6266" t="s">
        <v>27250</v>
      </c>
      <c r="M6266" t="s">
        <v>27251</v>
      </c>
      <c r="N6266" t="s">
        <v>27252</v>
      </c>
      <c r="P6266" t="s">
        <v>27341</v>
      </c>
      <c r="Q6266" s="1">
        <v>44846</v>
      </c>
      <c r="R6266" t="s">
        <v>27253</v>
      </c>
      <c r="S6266" t="s">
        <v>27254</v>
      </c>
      <c r="T6266" t="s">
        <v>27265</v>
      </c>
    </row>
    <row r="6267" spans="1:20" x14ac:dyDescent="0.3">
      <c r="A6267" t="str">
        <f>"0611862710050"</f>
        <v>0611862710050</v>
      </c>
      <c r="B6267" t="str">
        <f>"CR3778"</f>
        <v>CR3778</v>
      </c>
      <c r="C6267" t="s">
        <v>39395</v>
      </c>
      <c r="D6267" t="s">
        <v>27271</v>
      </c>
      <c r="E6267" t="str">
        <f t="shared" si="97"/>
        <v>001390</v>
      </c>
      <c r="F6267" t="s">
        <v>27246</v>
      </c>
      <c r="G6267" t="s">
        <v>27247</v>
      </c>
      <c r="H6267" t="s">
        <v>27248</v>
      </c>
      <c r="I6267" t="s">
        <v>39396</v>
      </c>
      <c r="J6267" t="s">
        <v>12620</v>
      </c>
      <c r="L6267" t="s">
        <v>27250</v>
      </c>
      <c r="M6267" t="s">
        <v>27251</v>
      </c>
      <c r="N6267" t="s">
        <v>27252</v>
      </c>
      <c r="P6267" t="s">
        <v>27341</v>
      </c>
      <c r="Q6267" s="1">
        <v>44846</v>
      </c>
      <c r="R6267" t="s">
        <v>27253</v>
      </c>
      <c r="S6267" t="s">
        <v>27254</v>
      </c>
      <c r="T6267" t="s">
        <v>27265</v>
      </c>
    </row>
    <row r="6268" spans="1:20" x14ac:dyDescent="0.3">
      <c r="A6268" t="str">
        <f>"0611884265050"</f>
        <v>0611884265050</v>
      </c>
      <c r="B6268" t="str">
        <f>"CR5309"</f>
        <v>CR5309</v>
      </c>
      <c r="C6268" t="s">
        <v>39397</v>
      </c>
      <c r="D6268" t="s">
        <v>27271</v>
      </c>
      <c r="E6268" t="str">
        <f t="shared" si="97"/>
        <v>001390</v>
      </c>
      <c r="F6268" t="s">
        <v>27246</v>
      </c>
      <c r="G6268" t="s">
        <v>27247</v>
      </c>
      <c r="H6268" t="s">
        <v>27248</v>
      </c>
      <c r="I6268" t="s">
        <v>39398</v>
      </c>
      <c r="J6268" t="s">
        <v>12622</v>
      </c>
      <c r="L6268" t="s">
        <v>27430</v>
      </c>
      <c r="M6268" t="s">
        <v>27251</v>
      </c>
      <c r="N6268" t="s">
        <v>27252</v>
      </c>
      <c r="P6268" t="s">
        <v>27341</v>
      </c>
      <c r="Q6268" s="1">
        <v>45250</v>
      </c>
      <c r="R6268" t="s">
        <v>27253</v>
      </c>
      <c r="S6268" t="s">
        <v>27254</v>
      </c>
      <c r="T6268" t="s">
        <v>27265</v>
      </c>
    </row>
    <row r="6269" spans="1:20" x14ac:dyDescent="0.3">
      <c r="A6269" t="str">
        <f>"0611862711050"</f>
        <v>0611862711050</v>
      </c>
      <c r="B6269" t="str">
        <f>"CR3780"</f>
        <v>CR3780</v>
      </c>
      <c r="C6269" t="s">
        <v>39399</v>
      </c>
      <c r="D6269" t="s">
        <v>27271</v>
      </c>
      <c r="E6269" t="str">
        <f t="shared" si="97"/>
        <v>001390</v>
      </c>
      <c r="F6269" t="s">
        <v>27246</v>
      </c>
      <c r="G6269" t="s">
        <v>27247</v>
      </c>
      <c r="H6269" t="s">
        <v>27248</v>
      </c>
      <c r="I6269" t="s">
        <v>39400</v>
      </c>
      <c r="J6269" t="s">
        <v>12624</v>
      </c>
      <c r="L6269" t="s">
        <v>27250</v>
      </c>
      <c r="M6269" t="s">
        <v>27251</v>
      </c>
      <c r="N6269" t="s">
        <v>27252</v>
      </c>
      <c r="P6269" t="s">
        <v>27341</v>
      </c>
      <c r="Q6269" s="1">
        <v>44846</v>
      </c>
      <c r="R6269" t="s">
        <v>27253</v>
      </c>
      <c r="S6269" t="s">
        <v>27254</v>
      </c>
      <c r="T6269" t="s">
        <v>27265</v>
      </c>
    </row>
    <row r="6270" spans="1:20" x14ac:dyDescent="0.3">
      <c r="A6270" t="str">
        <f>"0611884266050"</f>
        <v>0611884266050</v>
      </c>
      <c r="B6270" t="str">
        <f>"CR5310"</f>
        <v>CR5310</v>
      </c>
      <c r="C6270" t="s">
        <v>39401</v>
      </c>
      <c r="D6270" t="s">
        <v>27271</v>
      </c>
      <c r="E6270" t="str">
        <f t="shared" si="97"/>
        <v>001390</v>
      </c>
      <c r="F6270" t="s">
        <v>27246</v>
      </c>
      <c r="G6270" t="s">
        <v>27247</v>
      </c>
      <c r="H6270" t="s">
        <v>27248</v>
      </c>
      <c r="I6270" t="s">
        <v>39402</v>
      </c>
      <c r="J6270" t="s">
        <v>12626</v>
      </c>
      <c r="L6270" t="s">
        <v>27430</v>
      </c>
      <c r="M6270" t="s">
        <v>27251</v>
      </c>
      <c r="N6270" t="s">
        <v>27252</v>
      </c>
      <c r="P6270" t="s">
        <v>27341</v>
      </c>
      <c r="Q6270" s="1">
        <v>45250</v>
      </c>
      <c r="R6270" t="s">
        <v>27253</v>
      </c>
      <c r="S6270" t="s">
        <v>27254</v>
      </c>
      <c r="T6270" t="s">
        <v>27265</v>
      </c>
    </row>
    <row r="6271" spans="1:20" x14ac:dyDescent="0.3">
      <c r="A6271" t="str">
        <f>"0611862712050"</f>
        <v>0611862712050</v>
      </c>
      <c r="B6271" t="str">
        <f>"CR3540"</f>
        <v>CR3540</v>
      </c>
      <c r="C6271" t="s">
        <v>39403</v>
      </c>
      <c r="D6271" t="s">
        <v>27271</v>
      </c>
      <c r="E6271" t="str">
        <f t="shared" si="97"/>
        <v>001390</v>
      </c>
      <c r="F6271" t="s">
        <v>27246</v>
      </c>
      <c r="G6271" t="s">
        <v>27247</v>
      </c>
      <c r="H6271" t="s">
        <v>27248</v>
      </c>
      <c r="I6271" t="s">
        <v>39404</v>
      </c>
      <c r="J6271" t="s">
        <v>12628</v>
      </c>
      <c r="L6271" t="s">
        <v>27250</v>
      </c>
      <c r="M6271" t="s">
        <v>27251</v>
      </c>
      <c r="N6271" t="s">
        <v>27252</v>
      </c>
      <c r="P6271" t="s">
        <v>27341</v>
      </c>
      <c r="Q6271" s="1">
        <v>44846</v>
      </c>
      <c r="R6271" t="s">
        <v>27253</v>
      </c>
      <c r="S6271" t="s">
        <v>27254</v>
      </c>
      <c r="T6271" t="s">
        <v>27265</v>
      </c>
    </row>
    <row r="6272" spans="1:20" x14ac:dyDescent="0.3">
      <c r="A6272" t="str">
        <f>"0611862713050"</f>
        <v>0611862713050</v>
      </c>
      <c r="B6272" t="str">
        <f>"CR2591"</f>
        <v>CR2591</v>
      </c>
      <c r="C6272" t="s">
        <v>39405</v>
      </c>
      <c r="D6272" t="s">
        <v>27271</v>
      </c>
      <c r="E6272" t="str">
        <f t="shared" si="97"/>
        <v>001390</v>
      </c>
      <c r="F6272" t="s">
        <v>27246</v>
      </c>
      <c r="G6272" t="s">
        <v>27247</v>
      </c>
      <c r="H6272" t="s">
        <v>27248</v>
      </c>
      <c r="I6272" t="s">
        <v>39406</v>
      </c>
      <c r="J6272" t="s">
        <v>12630</v>
      </c>
      <c r="L6272" t="s">
        <v>27250</v>
      </c>
      <c r="M6272" t="s">
        <v>27251</v>
      </c>
      <c r="N6272" t="s">
        <v>27252</v>
      </c>
      <c r="P6272" t="s">
        <v>27341</v>
      </c>
      <c r="Q6272" s="1">
        <v>44846</v>
      </c>
      <c r="R6272" t="s">
        <v>27253</v>
      </c>
      <c r="S6272" t="s">
        <v>27254</v>
      </c>
      <c r="T6272" t="s">
        <v>27265</v>
      </c>
    </row>
    <row r="6273" spans="1:20" x14ac:dyDescent="0.3">
      <c r="A6273" t="str">
        <f>"0611862714050"</f>
        <v>0611862714050</v>
      </c>
      <c r="B6273" t="str">
        <f>"CR3541"</f>
        <v>CR3541</v>
      </c>
      <c r="C6273" t="s">
        <v>39407</v>
      </c>
      <c r="D6273" t="s">
        <v>27271</v>
      </c>
      <c r="E6273" t="str">
        <f t="shared" si="97"/>
        <v>001390</v>
      </c>
      <c r="F6273" t="s">
        <v>27246</v>
      </c>
      <c r="G6273" t="s">
        <v>27247</v>
      </c>
      <c r="H6273" t="s">
        <v>27248</v>
      </c>
      <c r="I6273" t="s">
        <v>39408</v>
      </c>
      <c r="J6273" t="s">
        <v>12632</v>
      </c>
      <c r="L6273" t="s">
        <v>27250</v>
      </c>
      <c r="M6273" t="s">
        <v>27251</v>
      </c>
      <c r="N6273" t="s">
        <v>27252</v>
      </c>
      <c r="P6273" t="s">
        <v>27341</v>
      </c>
      <c r="Q6273" s="1">
        <v>44846</v>
      </c>
      <c r="R6273" t="s">
        <v>27253</v>
      </c>
      <c r="S6273" t="s">
        <v>27254</v>
      </c>
      <c r="T6273" t="s">
        <v>27265</v>
      </c>
    </row>
    <row r="6274" spans="1:20" x14ac:dyDescent="0.3">
      <c r="A6274" t="str">
        <f>"0611862715050"</f>
        <v>0611862715050</v>
      </c>
      <c r="B6274" t="str">
        <f>"CR3782"</f>
        <v>CR3782</v>
      </c>
      <c r="C6274" t="s">
        <v>39409</v>
      </c>
      <c r="D6274" t="s">
        <v>27271</v>
      </c>
      <c r="E6274" t="str">
        <f t="shared" ref="E6274:E6337" si="98">"001390"</f>
        <v>001390</v>
      </c>
      <c r="F6274" t="s">
        <v>27246</v>
      </c>
      <c r="G6274" t="s">
        <v>27247</v>
      </c>
      <c r="H6274" t="s">
        <v>27248</v>
      </c>
      <c r="I6274" t="s">
        <v>39410</v>
      </c>
      <c r="J6274" t="s">
        <v>12634</v>
      </c>
      <c r="L6274" t="s">
        <v>27250</v>
      </c>
      <c r="M6274" t="s">
        <v>27251</v>
      </c>
      <c r="N6274" t="s">
        <v>27252</v>
      </c>
      <c r="P6274" t="s">
        <v>27341</v>
      </c>
      <c r="Q6274" s="1">
        <v>44846</v>
      </c>
      <c r="R6274" t="s">
        <v>27253</v>
      </c>
      <c r="S6274" t="s">
        <v>27254</v>
      </c>
      <c r="T6274" t="s">
        <v>27265</v>
      </c>
    </row>
    <row r="6275" spans="1:20" x14ac:dyDescent="0.3">
      <c r="A6275" t="str">
        <f>"0611862716050"</f>
        <v>0611862716050</v>
      </c>
      <c r="B6275" t="str">
        <f>"CR3542"</f>
        <v>CR3542</v>
      </c>
      <c r="C6275" t="s">
        <v>39411</v>
      </c>
      <c r="D6275" t="s">
        <v>28376</v>
      </c>
      <c r="E6275" t="str">
        <f t="shared" si="98"/>
        <v>001390</v>
      </c>
      <c r="F6275" t="s">
        <v>27246</v>
      </c>
      <c r="G6275" t="s">
        <v>27247</v>
      </c>
      <c r="H6275" t="s">
        <v>27248</v>
      </c>
      <c r="I6275" t="s">
        <v>39412</v>
      </c>
      <c r="J6275" t="s">
        <v>12636</v>
      </c>
      <c r="L6275" t="s">
        <v>27250</v>
      </c>
      <c r="M6275" t="s">
        <v>27251</v>
      </c>
      <c r="N6275" t="s">
        <v>27252</v>
      </c>
      <c r="P6275" t="s">
        <v>27341</v>
      </c>
      <c r="Q6275" s="1">
        <v>44846</v>
      </c>
      <c r="R6275" t="s">
        <v>27253</v>
      </c>
      <c r="S6275" t="s">
        <v>27254</v>
      </c>
      <c r="T6275" t="s">
        <v>28378</v>
      </c>
    </row>
    <row r="6276" spans="1:20" x14ac:dyDescent="0.3">
      <c r="A6276" t="str">
        <f>"0611862717050"</f>
        <v>0611862717050</v>
      </c>
      <c r="B6276" t="str">
        <f>"CR3959"</f>
        <v>CR3959</v>
      </c>
      <c r="C6276" t="s">
        <v>39413</v>
      </c>
      <c r="D6276" t="s">
        <v>27271</v>
      </c>
      <c r="E6276" t="str">
        <f t="shared" si="98"/>
        <v>001390</v>
      </c>
      <c r="F6276" t="s">
        <v>27246</v>
      </c>
      <c r="G6276" t="s">
        <v>27247</v>
      </c>
      <c r="H6276" t="s">
        <v>27248</v>
      </c>
      <c r="I6276" t="s">
        <v>39414</v>
      </c>
      <c r="J6276" t="s">
        <v>12638</v>
      </c>
      <c r="L6276" t="s">
        <v>27250</v>
      </c>
      <c r="M6276" t="s">
        <v>27251</v>
      </c>
      <c r="N6276" t="s">
        <v>27252</v>
      </c>
      <c r="P6276" t="s">
        <v>27341</v>
      </c>
      <c r="Q6276" s="1">
        <v>44846</v>
      </c>
      <c r="R6276" t="s">
        <v>27253</v>
      </c>
      <c r="S6276" t="s">
        <v>27254</v>
      </c>
      <c r="T6276" t="s">
        <v>27265</v>
      </c>
    </row>
    <row r="6277" spans="1:20" x14ac:dyDescent="0.3">
      <c r="A6277" t="str">
        <f>"0611862718050"</f>
        <v>0611862718050</v>
      </c>
      <c r="B6277" t="str">
        <f>"CR3960"</f>
        <v>CR3960</v>
      </c>
      <c r="C6277" t="s">
        <v>39415</v>
      </c>
      <c r="D6277" t="s">
        <v>27271</v>
      </c>
      <c r="E6277" t="str">
        <f t="shared" si="98"/>
        <v>001390</v>
      </c>
      <c r="F6277" t="s">
        <v>27246</v>
      </c>
      <c r="G6277" t="s">
        <v>27247</v>
      </c>
      <c r="H6277" t="s">
        <v>27248</v>
      </c>
      <c r="I6277" t="s">
        <v>39416</v>
      </c>
      <c r="J6277" t="s">
        <v>12640</v>
      </c>
      <c r="L6277" t="s">
        <v>27250</v>
      </c>
      <c r="M6277" t="s">
        <v>27251</v>
      </c>
      <c r="N6277" t="s">
        <v>27252</v>
      </c>
      <c r="P6277" t="s">
        <v>27341</v>
      </c>
      <c r="Q6277" s="1">
        <v>44846</v>
      </c>
      <c r="R6277" t="s">
        <v>27253</v>
      </c>
      <c r="S6277" t="s">
        <v>27254</v>
      </c>
      <c r="T6277" t="s">
        <v>27265</v>
      </c>
    </row>
    <row r="6278" spans="1:20" x14ac:dyDescent="0.3">
      <c r="A6278" t="str">
        <f>"0611862719050"</f>
        <v>0611862719050</v>
      </c>
      <c r="B6278" t="str">
        <f>"CR3961"</f>
        <v>CR3961</v>
      </c>
      <c r="C6278" t="s">
        <v>39417</v>
      </c>
      <c r="D6278" t="s">
        <v>27271</v>
      </c>
      <c r="E6278" t="str">
        <f t="shared" si="98"/>
        <v>001390</v>
      </c>
      <c r="F6278" t="s">
        <v>27246</v>
      </c>
      <c r="G6278" t="s">
        <v>27247</v>
      </c>
      <c r="H6278" t="s">
        <v>27248</v>
      </c>
      <c r="I6278" t="s">
        <v>39418</v>
      </c>
      <c r="J6278" t="s">
        <v>12642</v>
      </c>
      <c r="L6278" t="s">
        <v>27250</v>
      </c>
      <c r="M6278" t="s">
        <v>27251</v>
      </c>
      <c r="N6278" t="s">
        <v>27252</v>
      </c>
      <c r="P6278" t="s">
        <v>27341</v>
      </c>
      <c r="Q6278" s="1">
        <v>44846</v>
      </c>
      <c r="R6278" t="s">
        <v>27253</v>
      </c>
      <c r="S6278" t="s">
        <v>27254</v>
      </c>
      <c r="T6278" t="s">
        <v>27265</v>
      </c>
    </row>
    <row r="6279" spans="1:20" x14ac:dyDescent="0.3">
      <c r="A6279" t="str">
        <f>"0611862720050"</f>
        <v>0611862720050</v>
      </c>
      <c r="B6279" t="str">
        <f>"CR3962"</f>
        <v>CR3962</v>
      </c>
      <c r="C6279" t="s">
        <v>39419</v>
      </c>
      <c r="D6279" t="s">
        <v>27271</v>
      </c>
      <c r="E6279" t="str">
        <f t="shared" si="98"/>
        <v>001390</v>
      </c>
      <c r="F6279" t="s">
        <v>27246</v>
      </c>
      <c r="G6279" t="s">
        <v>27247</v>
      </c>
      <c r="H6279" t="s">
        <v>27248</v>
      </c>
      <c r="I6279" t="s">
        <v>39420</v>
      </c>
      <c r="J6279" t="s">
        <v>12644</v>
      </c>
      <c r="L6279" t="s">
        <v>27250</v>
      </c>
      <c r="M6279" t="s">
        <v>27251</v>
      </c>
      <c r="N6279" t="s">
        <v>27252</v>
      </c>
      <c r="P6279" t="s">
        <v>27341</v>
      </c>
      <c r="Q6279" s="1">
        <v>44846</v>
      </c>
      <c r="R6279" t="s">
        <v>27253</v>
      </c>
      <c r="S6279" t="s">
        <v>27254</v>
      </c>
      <c r="T6279" t="s">
        <v>27265</v>
      </c>
    </row>
    <row r="6280" spans="1:20" x14ac:dyDescent="0.3">
      <c r="A6280" t="str">
        <f>"0611862721050"</f>
        <v>0611862721050</v>
      </c>
      <c r="B6280" t="str">
        <f>"CR4106"</f>
        <v>CR4106</v>
      </c>
      <c r="C6280" t="s">
        <v>39421</v>
      </c>
      <c r="D6280" t="s">
        <v>27271</v>
      </c>
      <c r="E6280" t="str">
        <f t="shared" si="98"/>
        <v>001390</v>
      </c>
      <c r="F6280" t="s">
        <v>27246</v>
      </c>
      <c r="G6280" t="s">
        <v>27247</v>
      </c>
      <c r="H6280" t="s">
        <v>27248</v>
      </c>
      <c r="I6280" t="s">
        <v>39422</v>
      </c>
      <c r="J6280" t="s">
        <v>12646</v>
      </c>
      <c r="L6280" t="s">
        <v>27250</v>
      </c>
      <c r="M6280" t="s">
        <v>27251</v>
      </c>
      <c r="N6280" t="s">
        <v>27252</v>
      </c>
      <c r="P6280" t="s">
        <v>27341</v>
      </c>
      <c r="Q6280" s="1">
        <v>44846</v>
      </c>
      <c r="R6280" t="s">
        <v>27253</v>
      </c>
      <c r="S6280" t="s">
        <v>27254</v>
      </c>
      <c r="T6280" t="s">
        <v>27265</v>
      </c>
    </row>
    <row r="6281" spans="1:20" x14ac:dyDescent="0.3">
      <c r="A6281" t="str">
        <f>"0611862722050"</f>
        <v>0611862722050</v>
      </c>
      <c r="B6281" t="str">
        <f>"CR4655"</f>
        <v>CR4655</v>
      </c>
      <c r="C6281" t="s">
        <v>39423</v>
      </c>
      <c r="D6281" t="s">
        <v>27271</v>
      </c>
      <c r="E6281" t="str">
        <f t="shared" si="98"/>
        <v>001390</v>
      </c>
      <c r="F6281" t="s">
        <v>27246</v>
      </c>
      <c r="G6281" t="s">
        <v>27247</v>
      </c>
      <c r="H6281" t="s">
        <v>27248</v>
      </c>
      <c r="I6281" t="s">
        <v>39424</v>
      </c>
      <c r="J6281" t="s">
        <v>12648</v>
      </c>
      <c r="L6281" t="s">
        <v>27250</v>
      </c>
      <c r="M6281" t="s">
        <v>27251</v>
      </c>
      <c r="N6281" t="s">
        <v>27252</v>
      </c>
      <c r="P6281" t="s">
        <v>27341</v>
      </c>
      <c r="Q6281" s="1">
        <v>44846</v>
      </c>
      <c r="R6281" t="s">
        <v>27253</v>
      </c>
      <c r="S6281" t="s">
        <v>27254</v>
      </c>
      <c r="T6281" t="s">
        <v>27265</v>
      </c>
    </row>
    <row r="6282" spans="1:20" x14ac:dyDescent="0.3">
      <c r="A6282" t="str">
        <f>"0611862723050"</f>
        <v>0611862723050</v>
      </c>
      <c r="B6282" t="str">
        <f>"CR2594"</f>
        <v>CR2594</v>
      </c>
      <c r="C6282" t="s">
        <v>39425</v>
      </c>
      <c r="D6282" t="s">
        <v>27271</v>
      </c>
      <c r="E6282" t="str">
        <f t="shared" si="98"/>
        <v>001390</v>
      </c>
      <c r="F6282" t="s">
        <v>27246</v>
      </c>
      <c r="G6282" t="s">
        <v>27247</v>
      </c>
      <c r="H6282" t="s">
        <v>27248</v>
      </c>
      <c r="I6282" t="s">
        <v>39426</v>
      </c>
      <c r="J6282" t="s">
        <v>12650</v>
      </c>
      <c r="L6282" t="s">
        <v>27250</v>
      </c>
      <c r="M6282" t="s">
        <v>27251</v>
      </c>
      <c r="N6282" t="s">
        <v>27252</v>
      </c>
      <c r="P6282" t="s">
        <v>27341</v>
      </c>
      <c r="Q6282" s="1">
        <v>44846</v>
      </c>
      <c r="R6282" t="s">
        <v>27253</v>
      </c>
      <c r="S6282" t="s">
        <v>27254</v>
      </c>
      <c r="T6282" t="s">
        <v>27265</v>
      </c>
    </row>
    <row r="6283" spans="1:20" x14ac:dyDescent="0.3">
      <c r="A6283" t="str">
        <f>"0611862724050"</f>
        <v>0611862724050</v>
      </c>
      <c r="B6283" t="str">
        <f>"CR2596"</f>
        <v>CR2596</v>
      </c>
      <c r="C6283" t="s">
        <v>39427</v>
      </c>
      <c r="D6283" t="s">
        <v>27271</v>
      </c>
      <c r="E6283" t="str">
        <f t="shared" si="98"/>
        <v>001390</v>
      </c>
      <c r="F6283" t="s">
        <v>27246</v>
      </c>
      <c r="G6283" t="s">
        <v>27247</v>
      </c>
      <c r="H6283" t="s">
        <v>27248</v>
      </c>
      <c r="I6283" t="s">
        <v>39428</v>
      </c>
      <c r="J6283" t="s">
        <v>12652</v>
      </c>
      <c r="L6283" t="s">
        <v>27250</v>
      </c>
      <c r="M6283" t="s">
        <v>27251</v>
      </c>
      <c r="N6283" t="s">
        <v>27252</v>
      </c>
      <c r="P6283" t="s">
        <v>27341</v>
      </c>
      <c r="Q6283" s="1">
        <v>44846</v>
      </c>
      <c r="R6283" t="s">
        <v>27253</v>
      </c>
      <c r="S6283" t="s">
        <v>27254</v>
      </c>
      <c r="T6283" t="s">
        <v>27265</v>
      </c>
    </row>
    <row r="6284" spans="1:20" x14ac:dyDescent="0.3">
      <c r="A6284" t="str">
        <f>"0611862725050"</f>
        <v>0611862725050</v>
      </c>
      <c r="B6284" t="str">
        <f>"CR2597"</f>
        <v>CR2597</v>
      </c>
      <c r="C6284" t="s">
        <v>39429</v>
      </c>
      <c r="D6284" t="s">
        <v>27271</v>
      </c>
      <c r="E6284" t="str">
        <f t="shared" si="98"/>
        <v>001390</v>
      </c>
      <c r="F6284" t="s">
        <v>27246</v>
      </c>
      <c r="G6284" t="s">
        <v>27247</v>
      </c>
      <c r="H6284" t="s">
        <v>27248</v>
      </c>
      <c r="I6284" t="s">
        <v>39430</v>
      </c>
      <c r="J6284" t="s">
        <v>12654</v>
      </c>
      <c r="L6284" t="s">
        <v>27250</v>
      </c>
      <c r="M6284" t="s">
        <v>27251</v>
      </c>
      <c r="N6284" t="s">
        <v>27252</v>
      </c>
      <c r="P6284" t="s">
        <v>27341</v>
      </c>
      <c r="Q6284" s="1">
        <v>44846</v>
      </c>
      <c r="R6284" t="s">
        <v>27253</v>
      </c>
      <c r="S6284" t="s">
        <v>27254</v>
      </c>
      <c r="T6284" t="s">
        <v>27265</v>
      </c>
    </row>
    <row r="6285" spans="1:20" x14ac:dyDescent="0.3">
      <c r="A6285" t="str">
        <f>"0611862726050"</f>
        <v>0611862726050</v>
      </c>
      <c r="B6285" t="str">
        <f>"CR3781"</f>
        <v>CR3781</v>
      </c>
      <c r="C6285" t="s">
        <v>39431</v>
      </c>
      <c r="D6285" t="s">
        <v>27271</v>
      </c>
      <c r="E6285" t="str">
        <f t="shared" si="98"/>
        <v>001390</v>
      </c>
      <c r="F6285" t="s">
        <v>27246</v>
      </c>
      <c r="G6285" t="s">
        <v>27247</v>
      </c>
      <c r="H6285" t="s">
        <v>27248</v>
      </c>
      <c r="I6285" t="s">
        <v>39432</v>
      </c>
      <c r="J6285" t="s">
        <v>12656</v>
      </c>
      <c r="L6285" t="s">
        <v>27250</v>
      </c>
      <c r="M6285" t="s">
        <v>27251</v>
      </c>
      <c r="N6285" t="s">
        <v>27252</v>
      </c>
      <c r="P6285" t="s">
        <v>27341</v>
      </c>
      <c r="Q6285" s="1">
        <v>44846</v>
      </c>
      <c r="R6285" t="s">
        <v>27253</v>
      </c>
      <c r="S6285" t="s">
        <v>27254</v>
      </c>
      <c r="T6285" t="s">
        <v>27265</v>
      </c>
    </row>
    <row r="6286" spans="1:20" x14ac:dyDescent="0.3">
      <c r="A6286" t="str">
        <f>"0611862727050"</f>
        <v>0611862727050</v>
      </c>
      <c r="B6286" t="str">
        <f>"CR2599"</f>
        <v>CR2599</v>
      </c>
      <c r="C6286" t="s">
        <v>39433</v>
      </c>
      <c r="D6286" t="s">
        <v>27271</v>
      </c>
      <c r="E6286" t="str">
        <f t="shared" si="98"/>
        <v>001390</v>
      </c>
      <c r="F6286" t="s">
        <v>27246</v>
      </c>
      <c r="G6286" t="s">
        <v>27247</v>
      </c>
      <c r="H6286" t="s">
        <v>27248</v>
      </c>
      <c r="I6286" t="s">
        <v>39434</v>
      </c>
      <c r="J6286" t="s">
        <v>12658</v>
      </c>
      <c r="L6286" t="s">
        <v>27250</v>
      </c>
      <c r="M6286" t="s">
        <v>27251</v>
      </c>
      <c r="N6286" t="s">
        <v>27252</v>
      </c>
      <c r="P6286" t="s">
        <v>27341</v>
      </c>
      <c r="Q6286" s="1">
        <v>44846</v>
      </c>
      <c r="R6286" t="s">
        <v>27253</v>
      </c>
      <c r="S6286" t="s">
        <v>27254</v>
      </c>
      <c r="T6286" t="s">
        <v>27265</v>
      </c>
    </row>
    <row r="6287" spans="1:20" x14ac:dyDescent="0.3">
      <c r="A6287" t="str">
        <f>"0611862728050"</f>
        <v>0611862728050</v>
      </c>
      <c r="B6287" t="str">
        <f>"CR2965"</f>
        <v>CR2965</v>
      </c>
      <c r="C6287" t="s">
        <v>39435</v>
      </c>
      <c r="D6287" t="s">
        <v>27271</v>
      </c>
      <c r="E6287" t="str">
        <f t="shared" si="98"/>
        <v>001390</v>
      </c>
      <c r="F6287" t="s">
        <v>27246</v>
      </c>
      <c r="G6287" t="s">
        <v>27247</v>
      </c>
      <c r="H6287" t="s">
        <v>27248</v>
      </c>
      <c r="I6287" t="s">
        <v>39436</v>
      </c>
      <c r="J6287" t="s">
        <v>12660</v>
      </c>
      <c r="L6287" t="s">
        <v>27250</v>
      </c>
      <c r="M6287" t="s">
        <v>27251</v>
      </c>
      <c r="N6287" t="s">
        <v>27252</v>
      </c>
      <c r="P6287" t="s">
        <v>27341</v>
      </c>
      <c r="Q6287" s="1">
        <v>44846</v>
      </c>
      <c r="R6287" t="s">
        <v>27253</v>
      </c>
      <c r="S6287" t="s">
        <v>27254</v>
      </c>
      <c r="T6287" t="s">
        <v>27265</v>
      </c>
    </row>
    <row r="6288" spans="1:20" x14ac:dyDescent="0.3">
      <c r="A6288" t="str">
        <f>"0611862729050"</f>
        <v>0611862729050</v>
      </c>
      <c r="B6288" t="str">
        <f>"CR2600"</f>
        <v>CR2600</v>
      </c>
      <c r="C6288" t="s">
        <v>39437</v>
      </c>
      <c r="D6288" t="s">
        <v>27271</v>
      </c>
      <c r="E6288" t="str">
        <f t="shared" si="98"/>
        <v>001390</v>
      </c>
      <c r="F6288" t="s">
        <v>27246</v>
      </c>
      <c r="G6288" t="s">
        <v>27247</v>
      </c>
      <c r="H6288" t="s">
        <v>27248</v>
      </c>
      <c r="I6288" t="s">
        <v>39438</v>
      </c>
      <c r="J6288" t="s">
        <v>12662</v>
      </c>
      <c r="L6288" t="s">
        <v>27250</v>
      </c>
      <c r="M6288" t="s">
        <v>27251</v>
      </c>
      <c r="N6288" t="s">
        <v>27252</v>
      </c>
      <c r="P6288" t="s">
        <v>27341</v>
      </c>
      <c r="Q6288" s="1">
        <v>44846</v>
      </c>
      <c r="R6288" t="s">
        <v>27253</v>
      </c>
      <c r="S6288" t="s">
        <v>27254</v>
      </c>
      <c r="T6288" t="s">
        <v>27265</v>
      </c>
    </row>
    <row r="6289" spans="1:20" x14ac:dyDescent="0.3">
      <c r="A6289" t="str">
        <f>"0611862730050"</f>
        <v>0611862730050</v>
      </c>
      <c r="B6289" t="str">
        <f>"CR2601"</f>
        <v>CR2601</v>
      </c>
      <c r="C6289" t="s">
        <v>39439</v>
      </c>
      <c r="D6289" t="s">
        <v>27271</v>
      </c>
      <c r="E6289" t="str">
        <f t="shared" si="98"/>
        <v>001390</v>
      </c>
      <c r="F6289" t="s">
        <v>27246</v>
      </c>
      <c r="G6289" t="s">
        <v>27247</v>
      </c>
      <c r="H6289" t="s">
        <v>27248</v>
      </c>
      <c r="I6289" t="s">
        <v>39440</v>
      </c>
      <c r="J6289" t="s">
        <v>12664</v>
      </c>
      <c r="L6289" t="s">
        <v>27250</v>
      </c>
      <c r="M6289" t="s">
        <v>27251</v>
      </c>
      <c r="N6289" t="s">
        <v>27252</v>
      </c>
      <c r="P6289" t="s">
        <v>27341</v>
      </c>
      <c r="Q6289" s="1">
        <v>44846</v>
      </c>
      <c r="R6289" t="s">
        <v>27253</v>
      </c>
      <c r="S6289" t="s">
        <v>27254</v>
      </c>
      <c r="T6289" t="s">
        <v>27265</v>
      </c>
    </row>
    <row r="6290" spans="1:20" x14ac:dyDescent="0.3">
      <c r="A6290" t="str">
        <f>"0611862731050"</f>
        <v>0611862731050</v>
      </c>
      <c r="B6290" t="str">
        <f>"CR2602"</f>
        <v>CR2602</v>
      </c>
      <c r="C6290" t="s">
        <v>39441</v>
      </c>
      <c r="D6290" t="s">
        <v>27271</v>
      </c>
      <c r="E6290" t="str">
        <f t="shared" si="98"/>
        <v>001390</v>
      </c>
      <c r="F6290" t="s">
        <v>27246</v>
      </c>
      <c r="G6290" t="s">
        <v>27247</v>
      </c>
      <c r="H6290" t="s">
        <v>27248</v>
      </c>
      <c r="I6290" t="s">
        <v>39442</v>
      </c>
      <c r="J6290" t="s">
        <v>12666</v>
      </c>
      <c r="L6290" t="s">
        <v>27250</v>
      </c>
      <c r="M6290" t="s">
        <v>27251</v>
      </c>
      <c r="N6290" t="s">
        <v>27252</v>
      </c>
      <c r="P6290" t="s">
        <v>27341</v>
      </c>
      <c r="Q6290" s="1">
        <v>44846</v>
      </c>
      <c r="R6290" t="s">
        <v>27253</v>
      </c>
      <c r="S6290" t="s">
        <v>27254</v>
      </c>
      <c r="T6290" t="s">
        <v>27265</v>
      </c>
    </row>
    <row r="6291" spans="1:20" x14ac:dyDescent="0.3">
      <c r="A6291" t="str">
        <f>"0611862732050"</f>
        <v>0611862732050</v>
      </c>
      <c r="B6291" t="str">
        <f>"CR4108"</f>
        <v>CR4108</v>
      </c>
      <c r="C6291" t="s">
        <v>39443</v>
      </c>
      <c r="D6291" t="s">
        <v>28376</v>
      </c>
      <c r="E6291" t="str">
        <f t="shared" si="98"/>
        <v>001390</v>
      </c>
      <c r="F6291" t="s">
        <v>27246</v>
      </c>
      <c r="G6291" t="s">
        <v>27247</v>
      </c>
      <c r="H6291" t="s">
        <v>27248</v>
      </c>
      <c r="I6291" t="s">
        <v>39444</v>
      </c>
      <c r="J6291" t="s">
        <v>12670</v>
      </c>
      <c r="L6291" t="s">
        <v>27250</v>
      </c>
      <c r="M6291" t="s">
        <v>27251</v>
      </c>
      <c r="N6291" t="s">
        <v>27252</v>
      </c>
      <c r="P6291" t="s">
        <v>27341</v>
      </c>
      <c r="Q6291" s="1">
        <v>44846</v>
      </c>
      <c r="R6291" t="s">
        <v>27253</v>
      </c>
      <c r="S6291" t="s">
        <v>27254</v>
      </c>
      <c r="T6291" t="s">
        <v>28378</v>
      </c>
    </row>
    <row r="6292" spans="1:20" x14ac:dyDescent="0.3">
      <c r="A6292" t="str">
        <f>"0611862733050"</f>
        <v>0611862733050</v>
      </c>
      <c r="B6292" t="str">
        <f>"CR4112"</f>
        <v>CR4112</v>
      </c>
      <c r="C6292" t="s">
        <v>39445</v>
      </c>
      <c r="D6292" t="s">
        <v>28376</v>
      </c>
      <c r="E6292" t="str">
        <f t="shared" si="98"/>
        <v>001390</v>
      </c>
      <c r="F6292" t="s">
        <v>27246</v>
      </c>
      <c r="G6292" t="s">
        <v>27247</v>
      </c>
      <c r="H6292" t="s">
        <v>27248</v>
      </c>
      <c r="I6292" t="s">
        <v>39446</v>
      </c>
      <c r="J6292" t="s">
        <v>12672</v>
      </c>
      <c r="L6292" t="s">
        <v>27250</v>
      </c>
      <c r="M6292" t="s">
        <v>27251</v>
      </c>
      <c r="N6292" t="s">
        <v>27252</v>
      </c>
      <c r="P6292" t="s">
        <v>27341</v>
      </c>
      <c r="Q6292" s="1">
        <v>44846</v>
      </c>
      <c r="R6292" t="s">
        <v>27253</v>
      </c>
      <c r="S6292" t="s">
        <v>27254</v>
      </c>
      <c r="T6292" t="s">
        <v>28378</v>
      </c>
    </row>
    <row r="6293" spans="1:20" x14ac:dyDescent="0.3">
      <c r="A6293" t="str">
        <f>"0611862734050"</f>
        <v>0611862734050</v>
      </c>
      <c r="B6293" t="str">
        <f>"CR4107"</f>
        <v>CR4107</v>
      </c>
      <c r="C6293" t="s">
        <v>39447</v>
      </c>
      <c r="D6293" t="s">
        <v>28376</v>
      </c>
      <c r="E6293" t="str">
        <f t="shared" si="98"/>
        <v>001390</v>
      </c>
      <c r="F6293" t="s">
        <v>27246</v>
      </c>
      <c r="G6293" t="s">
        <v>27247</v>
      </c>
      <c r="H6293" t="s">
        <v>27248</v>
      </c>
      <c r="I6293" t="s">
        <v>39448</v>
      </c>
      <c r="J6293" t="s">
        <v>12668</v>
      </c>
      <c r="L6293" t="s">
        <v>27250</v>
      </c>
      <c r="M6293" t="s">
        <v>27251</v>
      </c>
      <c r="N6293" t="s">
        <v>27252</v>
      </c>
      <c r="P6293" t="s">
        <v>27341</v>
      </c>
      <c r="Q6293" s="1">
        <v>44846</v>
      </c>
      <c r="R6293" t="s">
        <v>27253</v>
      </c>
      <c r="S6293" t="s">
        <v>27254</v>
      </c>
      <c r="T6293" t="s">
        <v>28378</v>
      </c>
    </row>
    <row r="6294" spans="1:20" x14ac:dyDescent="0.3">
      <c r="A6294" t="str">
        <f>"0611862735050"</f>
        <v>0611862735050</v>
      </c>
      <c r="B6294" t="str">
        <f>"CR4109"</f>
        <v>CR4109</v>
      </c>
      <c r="C6294" t="s">
        <v>39449</v>
      </c>
      <c r="D6294" t="s">
        <v>28376</v>
      </c>
      <c r="E6294" t="str">
        <f t="shared" si="98"/>
        <v>001390</v>
      </c>
      <c r="F6294" t="s">
        <v>27246</v>
      </c>
      <c r="G6294" t="s">
        <v>27247</v>
      </c>
      <c r="H6294" t="s">
        <v>27248</v>
      </c>
      <c r="I6294" t="s">
        <v>39450</v>
      </c>
      <c r="J6294" t="s">
        <v>12676</v>
      </c>
      <c r="L6294" t="s">
        <v>27250</v>
      </c>
      <c r="M6294" t="s">
        <v>27251</v>
      </c>
      <c r="N6294" t="s">
        <v>27252</v>
      </c>
      <c r="P6294" t="s">
        <v>27341</v>
      </c>
      <c r="Q6294" s="1">
        <v>44846</v>
      </c>
      <c r="R6294" t="s">
        <v>27253</v>
      </c>
      <c r="S6294" t="s">
        <v>27254</v>
      </c>
      <c r="T6294" t="s">
        <v>28378</v>
      </c>
    </row>
    <row r="6295" spans="1:20" x14ac:dyDescent="0.3">
      <c r="A6295" t="str">
        <f>"0611862736050"</f>
        <v>0611862736050</v>
      </c>
      <c r="B6295" t="str">
        <f>"CR4110"</f>
        <v>CR4110</v>
      </c>
      <c r="C6295" t="s">
        <v>39451</v>
      </c>
      <c r="D6295" t="s">
        <v>28376</v>
      </c>
      <c r="E6295" t="str">
        <f t="shared" si="98"/>
        <v>001390</v>
      </c>
      <c r="F6295" t="s">
        <v>27246</v>
      </c>
      <c r="G6295" t="s">
        <v>27247</v>
      </c>
      <c r="H6295" t="s">
        <v>27248</v>
      </c>
      <c r="I6295" t="s">
        <v>39452</v>
      </c>
      <c r="J6295" t="s">
        <v>12674</v>
      </c>
      <c r="L6295" t="s">
        <v>27250</v>
      </c>
      <c r="M6295" t="s">
        <v>27251</v>
      </c>
      <c r="N6295" t="s">
        <v>27252</v>
      </c>
      <c r="P6295" t="s">
        <v>27341</v>
      </c>
      <c r="Q6295" s="1">
        <v>44846</v>
      </c>
      <c r="R6295" t="s">
        <v>27253</v>
      </c>
      <c r="S6295" t="s">
        <v>27254</v>
      </c>
      <c r="T6295" t="s">
        <v>28378</v>
      </c>
    </row>
    <row r="6296" spans="1:20" x14ac:dyDescent="0.3">
      <c r="A6296" t="str">
        <f>"0611862737050"</f>
        <v>0611862737050</v>
      </c>
      <c r="B6296" t="str">
        <f>"CR4111"</f>
        <v>CR4111</v>
      </c>
      <c r="C6296" t="s">
        <v>39453</v>
      </c>
      <c r="D6296" t="s">
        <v>28376</v>
      </c>
      <c r="E6296" t="str">
        <f t="shared" si="98"/>
        <v>001390</v>
      </c>
      <c r="F6296" t="s">
        <v>27246</v>
      </c>
      <c r="G6296" t="s">
        <v>27247</v>
      </c>
      <c r="H6296" t="s">
        <v>27248</v>
      </c>
      <c r="I6296" t="s">
        <v>39454</v>
      </c>
      <c r="J6296" t="s">
        <v>12678</v>
      </c>
      <c r="L6296" t="s">
        <v>27250</v>
      </c>
      <c r="M6296" t="s">
        <v>27251</v>
      </c>
      <c r="N6296" t="s">
        <v>27252</v>
      </c>
      <c r="P6296" t="s">
        <v>27341</v>
      </c>
      <c r="Q6296" s="1">
        <v>44846</v>
      </c>
      <c r="R6296" t="s">
        <v>27253</v>
      </c>
      <c r="S6296" t="s">
        <v>27254</v>
      </c>
      <c r="T6296" t="s">
        <v>28378</v>
      </c>
    </row>
    <row r="6297" spans="1:20" x14ac:dyDescent="0.3">
      <c r="A6297" t="str">
        <f>"0611862738050"</f>
        <v>0611862738050</v>
      </c>
      <c r="B6297" t="str">
        <f>"CR2604"</f>
        <v>CR2604</v>
      </c>
      <c r="C6297" t="s">
        <v>39455</v>
      </c>
      <c r="D6297" t="s">
        <v>27271</v>
      </c>
      <c r="E6297" t="str">
        <f t="shared" si="98"/>
        <v>001390</v>
      </c>
      <c r="F6297" t="s">
        <v>27246</v>
      </c>
      <c r="G6297" t="s">
        <v>27247</v>
      </c>
      <c r="H6297" t="s">
        <v>27248</v>
      </c>
      <c r="I6297" t="s">
        <v>39456</v>
      </c>
      <c r="J6297" t="s">
        <v>12680</v>
      </c>
      <c r="L6297" t="s">
        <v>27250</v>
      </c>
      <c r="M6297" t="s">
        <v>27251</v>
      </c>
      <c r="N6297" t="s">
        <v>27252</v>
      </c>
      <c r="P6297" t="s">
        <v>27341</v>
      </c>
      <c r="Q6297" s="1">
        <v>44846</v>
      </c>
      <c r="R6297" t="s">
        <v>27253</v>
      </c>
      <c r="S6297" t="s">
        <v>27254</v>
      </c>
      <c r="T6297" t="s">
        <v>27265</v>
      </c>
    </row>
    <row r="6298" spans="1:20" x14ac:dyDescent="0.3">
      <c r="A6298" t="str">
        <f>"0611835716100"</f>
        <v>0611835716100</v>
      </c>
      <c r="B6298" t="str">
        <f>"LQ6237"</f>
        <v>LQ6237</v>
      </c>
      <c r="C6298" t="s">
        <v>39457</v>
      </c>
      <c r="D6298" t="s">
        <v>27245</v>
      </c>
      <c r="E6298" t="str">
        <f t="shared" si="98"/>
        <v>001390</v>
      </c>
      <c r="F6298" t="s">
        <v>27246</v>
      </c>
      <c r="G6298" t="s">
        <v>27247</v>
      </c>
      <c r="H6298" t="s">
        <v>27248</v>
      </c>
      <c r="I6298" t="s">
        <v>39458</v>
      </c>
      <c r="J6298" t="s">
        <v>12502</v>
      </c>
      <c r="L6298" t="s">
        <v>27250</v>
      </c>
      <c r="M6298" t="s">
        <v>27251</v>
      </c>
      <c r="N6298" t="s">
        <v>27252</v>
      </c>
      <c r="Q6298" s="1">
        <v>44538</v>
      </c>
      <c r="R6298" t="s">
        <v>27253</v>
      </c>
      <c r="S6298" t="s">
        <v>27254</v>
      </c>
      <c r="T6298" t="s">
        <v>27255</v>
      </c>
    </row>
    <row r="6299" spans="1:20" x14ac:dyDescent="0.3">
      <c r="A6299" t="str">
        <f>"0611835717100"</f>
        <v>0611835717100</v>
      </c>
      <c r="B6299" t="str">
        <f>"LQ6195"</f>
        <v>LQ6195</v>
      </c>
      <c r="C6299" t="s">
        <v>39459</v>
      </c>
      <c r="D6299" t="s">
        <v>27245</v>
      </c>
      <c r="E6299" t="str">
        <f t="shared" si="98"/>
        <v>001390</v>
      </c>
      <c r="F6299" t="s">
        <v>27246</v>
      </c>
      <c r="G6299" t="s">
        <v>27247</v>
      </c>
      <c r="H6299" t="s">
        <v>27248</v>
      </c>
      <c r="I6299" t="s">
        <v>39460</v>
      </c>
      <c r="J6299" t="s">
        <v>12504</v>
      </c>
      <c r="L6299" t="s">
        <v>27250</v>
      </c>
      <c r="M6299" t="s">
        <v>27251</v>
      </c>
      <c r="N6299" t="s">
        <v>27252</v>
      </c>
      <c r="Q6299" s="1">
        <v>44538</v>
      </c>
      <c r="R6299" t="s">
        <v>27253</v>
      </c>
      <c r="S6299" t="s">
        <v>27254</v>
      </c>
      <c r="T6299" t="s">
        <v>27255</v>
      </c>
    </row>
    <row r="6300" spans="1:20" x14ac:dyDescent="0.3">
      <c r="A6300" t="str">
        <f>"0611835718100"</f>
        <v>0611835718100</v>
      </c>
      <c r="B6300" t="str">
        <f>"LQ6196"</f>
        <v>LQ6196</v>
      </c>
      <c r="C6300" t="s">
        <v>39461</v>
      </c>
      <c r="D6300" t="s">
        <v>27245</v>
      </c>
      <c r="E6300" t="str">
        <f t="shared" si="98"/>
        <v>001390</v>
      </c>
      <c r="F6300" t="s">
        <v>27246</v>
      </c>
      <c r="G6300" t="s">
        <v>27247</v>
      </c>
      <c r="H6300" t="s">
        <v>27248</v>
      </c>
      <c r="I6300" t="s">
        <v>39462</v>
      </c>
      <c r="J6300" t="s">
        <v>12506</v>
      </c>
      <c r="L6300" t="s">
        <v>27250</v>
      </c>
      <c r="M6300" t="s">
        <v>27251</v>
      </c>
      <c r="N6300" t="s">
        <v>27252</v>
      </c>
      <c r="Q6300" s="1">
        <v>44538</v>
      </c>
      <c r="R6300" t="s">
        <v>27253</v>
      </c>
      <c r="S6300" t="s">
        <v>27254</v>
      </c>
      <c r="T6300" t="s">
        <v>27255</v>
      </c>
    </row>
    <row r="6301" spans="1:20" x14ac:dyDescent="0.3">
      <c r="A6301" t="str">
        <f>"0611856996100"</f>
        <v>0611856996100</v>
      </c>
      <c r="B6301" t="str">
        <f>"LQ6267"</f>
        <v>LQ6267</v>
      </c>
      <c r="C6301" t="s">
        <v>39463</v>
      </c>
      <c r="D6301" t="s">
        <v>27245</v>
      </c>
      <c r="E6301" t="str">
        <f t="shared" si="98"/>
        <v>001390</v>
      </c>
      <c r="F6301" t="s">
        <v>27246</v>
      </c>
      <c r="G6301" t="s">
        <v>27247</v>
      </c>
      <c r="H6301" t="s">
        <v>27248</v>
      </c>
      <c r="I6301" t="s">
        <v>39464</v>
      </c>
      <c r="J6301" t="s">
        <v>12508</v>
      </c>
      <c r="L6301" t="s">
        <v>27250</v>
      </c>
      <c r="M6301" t="s">
        <v>27251</v>
      </c>
      <c r="N6301" t="s">
        <v>27252</v>
      </c>
      <c r="Q6301" s="1">
        <v>44812</v>
      </c>
      <c r="R6301" t="s">
        <v>27253</v>
      </c>
      <c r="S6301" t="s">
        <v>27254</v>
      </c>
      <c r="T6301" t="s">
        <v>27255</v>
      </c>
    </row>
    <row r="6302" spans="1:20" x14ac:dyDescent="0.3">
      <c r="A6302" t="str">
        <f>"0611835719100"</f>
        <v>0611835719100</v>
      </c>
      <c r="B6302" t="str">
        <f>"LQ6238"</f>
        <v>LQ6238</v>
      </c>
      <c r="C6302" t="s">
        <v>39465</v>
      </c>
      <c r="D6302" t="s">
        <v>27245</v>
      </c>
      <c r="E6302" t="str">
        <f t="shared" si="98"/>
        <v>001390</v>
      </c>
      <c r="F6302" t="s">
        <v>27246</v>
      </c>
      <c r="G6302" t="s">
        <v>27247</v>
      </c>
      <c r="H6302" t="s">
        <v>27248</v>
      </c>
      <c r="I6302" t="s">
        <v>39466</v>
      </c>
      <c r="J6302" t="s">
        <v>12510</v>
      </c>
      <c r="L6302" t="s">
        <v>27250</v>
      </c>
      <c r="M6302" t="s">
        <v>27251</v>
      </c>
      <c r="N6302" t="s">
        <v>27252</v>
      </c>
      <c r="Q6302" s="1">
        <v>44538</v>
      </c>
      <c r="R6302" t="s">
        <v>27253</v>
      </c>
      <c r="S6302" t="s">
        <v>27254</v>
      </c>
      <c r="T6302" t="s">
        <v>27255</v>
      </c>
    </row>
    <row r="6303" spans="1:20" x14ac:dyDescent="0.3">
      <c r="A6303" t="str">
        <f>"0611835720100"</f>
        <v>0611835720100</v>
      </c>
      <c r="B6303" t="str">
        <f>"LQ6197"</f>
        <v>LQ6197</v>
      </c>
      <c r="C6303" t="s">
        <v>39467</v>
      </c>
      <c r="D6303" t="s">
        <v>27245</v>
      </c>
      <c r="E6303" t="str">
        <f t="shared" si="98"/>
        <v>001390</v>
      </c>
      <c r="F6303" t="s">
        <v>27246</v>
      </c>
      <c r="G6303" t="s">
        <v>27247</v>
      </c>
      <c r="H6303" t="s">
        <v>27248</v>
      </c>
      <c r="I6303" t="s">
        <v>39468</v>
      </c>
      <c r="J6303" t="s">
        <v>12512</v>
      </c>
      <c r="L6303" t="s">
        <v>27250</v>
      </c>
      <c r="M6303" t="s">
        <v>27251</v>
      </c>
      <c r="N6303" t="s">
        <v>27252</v>
      </c>
      <c r="Q6303" s="1">
        <v>44538</v>
      </c>
      <c r="R6303" t="s">
        <v>27253</v>
      </c>
      <c r="S6303" t="s">
        <v>27254</v>
      </c>
      <c r="T6303" t="s">
        <v>27255</v>
      </c>
    </row>
    <row r="6304" spans="1:20" x14ac:dyDescent="0.3">
      <c r="A6304" t="str">
        <f>"0611856997100"</f>
        <v>0611856997100</v>
      </c>
      <c r="B6304" t="str">
        <f>"LQ6268"</f>
        <v>LQ6268</v>
      </c>
      <c r="C6304" t="s">
        <v>39469</v>
      </c>
      <c r="D6304" t="s">
        <v>27245</v>
      </c>
      <c r="E6304" t="str">
        <f t="shared" si="98"/>
        <v>001390</v>
      </c>
      <c r="F6304" t="s">
        <v>27246</v>
      </c>
      <c r="G6304" t="s">
        <v>27247</v>
      </c>
      <c r="H6304" t="s">
        <v>27248</v>
      </c>
      <c r="I6304" t="s">
        <v>39470</v>
      </c>
      <c r="J6304" t="s">
        <v>12514</v>
      </c>
      <c r="L6304" t="s">
        <v>27250</v>
      </c>
      <c r="M6304" t="s">
        <v>27251</v>
      </c>
      <c r="N6304" t="s">
        <v>27252</v>
      </c>
      <c r="Q6304" s="1">
        <v>44812</v>
      </c>
      <c r="R6304" t="s">
        <v>27253</v>
      </c>
      <c r="S6304" t="s">
        <v>27254</v>
      </c>
      <c r="T6304" t="s">
        <v>27255</v>
      </c>
    </row>
    <row r="6305" spans="1:20" x14ac:dyDescent="0.3">
      <c r="A6305" t="str">
        <f>"0611835721100"</f>
        <v>0611835721100</v>
      </c>
      <c r="B6305" t="str">
        <f>"LQ6198"</f>
        <v>LQ6198</v>
      </c>
      <c r="C6305" t="s">
        <v>39471</v>
      </c>
      <c r="D6305" t="s">
        <v>27245</v>
      </c>
      <c r="E6305" t="str">
        <f t="shared" si="98"/>
        <v>001390</v>
      </c>
      <c r="F6305" t="s">
        <v>27246</v>
      </c>
      <c r="G6305" t="s">
        <v>27247</v>
      </c>
      <c r="H6305" t="s">
        <v>27248</v>
      </c>
      <c r="I6305" t="s">
        <v>39472</v>
      </c>
      <c r="J6305" t="s">
        <v>12516</v>
      </c>
      <c r="L6305" t="s">
        <v>27250</v>
      </c>
      <c r="M6305" t="s">
        <v>27251</v>
      </c>
      <c r="N6305" t="s">
        <v>27252</v>
      </c>
      <c r="Q6305" s="1">
        <v>44538</v>
      </c>
      <c r="R6305" t="s">
        <v>27253</v>
      </c>
      <c r="S6305" t="s">
        <v>27254</v>
      </c>
      <c r="T6305" t="s">
        <v>27255</v>
      </c>
    </row>
    <row r="6306" spans="1:20" x14ac:dyDescent="0.3">
      <c r="A6306" t="str">
        <f>"0611856998100"</f>
        <v>0611856998100</v>
      </c>
      <c r="B6306" t="str">
        <f>"LQ6269"</f>
        <v>LQ6269</v>
      </c>
      <c r="C6306" t="s">
        <v>39473</v>
      </c>
      <c r="D6306" t="s">
        <v>27245</v>
      </c>
      <c r="E6306" t="str">
        <f t="shared" si="98"/>
        <v>001390</v>
      </c>
      <c r="F6306" t="s">
        <v>27246</v>
      </c>
      <c r="G6306" t="s">
        <v>27247</v>
      </c>
      <c r="H6306" t="s">
        <v>27248</v>
      </c>
      <c r="I6306" t="s">
        <v>39474</v>
      </c>
      <c r="J6306" t="s">
        <v>12518</v>
      </c>
      <c r="L6306" t="s">
        <v>27250</v>
      </c>
      <c r="M6306" t="s">
        <v>27251</v>
      </c>
      <c r="N6306" t="s">
        <v>27252</v>
      </c>
      <c r="Q6306" s="1">
        <v>44812</v>
      </c>
      <c r="R6306" t="s">
        <v>27253</v>
      </c>
      <c r="S6306" t="s">
        <v>27254</v>
      </c>
      <c r="T6306" t="s">
        <v>27255</v>
      </c>
    </row>
    <row r="6307" spans="1:20" x14ac:dyDescent="0.3">
      <c r="A6307" t="str">
        <f>"0611835722100"</f>
        <v>0611835722100</v>
      </c>
      <c r="B6307" t="str">
        <f>"LQ6239"</f>
        <v>LQ6239</v>
      </c>
      <c r="C6307" t="s">
        <v>39475</v>
      </c>
      <c r="D6307" t="s">
        <v>27245</v>
      </c>
      <c r="E6307" t="str">
        <f t="shared" si="98"/>
        <v>001390</v>
      </c>
      <c r="F6307" t="s">
        <v>27246</v>
      </c>
      <c r="G6307" t="s">
        <v>27247</v>
      </c>
      <c r="H6307" t="s">
        <v>27248</v>
      </c>
      <c r="I6307" t="s">
        <v>39476</v>
      </c>
      <c r="J6307" t="s">
        <v>12520</v>
      </c>
      <c r="L6307" t="s">
        <v>27250</v>
      </c>
      <c r="M6307" t="s">
        <v>27251</v>
      </c>
      <c r="N6307" t="s">
        <v>27252</v>
      </c>
      <c r="Q6307" s="1">
        <v>44538</v>
      </c>
      <c r="R6307" t="s">
        <v>27253</v>
      </c>
      <c r="S6307" t="s">
        <v>27254</v>
      </c>
      <c r="T6307" t="s">
        <v>27255</v>
      </c>
    </row>
    <row r="6308" spans="1:20" x14ac:dyDescent="0.3">
      <c r="A6308" t="str">
        <f>"0611856999100"</f>
        <v>0611856999100</v>
      </c>
      <c r="B6308" t="str">
        <f>"LK7053"</f>
        <v>LK7053</v>
      </c>
      <c r="C6308" t="s">
        <v>39477</v>
      </c>
      <c r="D6308" t="s">
        <v>27245</v>
      </c>
      <c r="E6308" t="str">
        <f t="shared" si="98"/>
        <v>001390</v>
      </c>
      <c r="F6308" t="s">
        <v>27246</v>
      </c>
      <c r="G6308" t="s">
        <v>27247</v>
      </c>
      <c r="H6308" t="s">
        <v>27248</v>
      </c>
      <c r="I6308" t="s">
        <v>39478</v>
      </c>
      <c r="J6308" t="s">
        <v>12522</v>
      </c>
      <c r="L6308" t="s">
        <v>27250</v>
      </c>
      <c r="M6308" t="s">
        <v>27251</v>
      </c>
      <c r="N6308" t="s">
        <v>27252</v>
      </c>
      <c r="Q6308" s="1">
        <v>44812</v>
      </c>
      <c r="R6308" t="s">
        <v>27253</v>
      </c>
      <c r="S6308" t="s">
        <v>27254</v>
      </c>
      <c r="T6308" t="s">
        <v>27255</v>
      </c>
    </row>
    <row r="6309" spans="1:20" x14ac:dyDescent="0.3">
      <c r="A6309" t="str">
        <f>"0611857000100"</f>
        <v>0611857000100</v>
      </c>
      <c r="B6309" t="str">
        <f>"LK7054"</f>
        <v>LK7054</v>
      </c>
      <c r="C6309" t="s">
        <v>39479</v>
      </c>
      <c r="D6309" t="s">
        <v>27245</v>
      </c>
      <c r="E6309" t="str">
        <f t="shared" si="98"/>
        <v>001390</v>
      </c>
      <c r="F6309" t="s">
        <v>27246</v>
      </c>
      <c r="G6309" t="s">
        <v>27247</v>
      </c>
      <c r="H6309" t="s">
        <v>27248</v>
      </c>
      <c r="I6309" t="s">
        <v>39480</v>
      </c>
      <c r="J6309" t="s">
        <v>12524</v>
      </c>
      <c r="L6309" t="s">
        <v>27250</v>
      </c>
      <c r="M6309" t="s">
        <v>27251</v>
      </c>
      <c r="N6309" t="s">
        <v>27252</v>
      </c>
      <c r="Q6309" s="1">
        <v>44812</v>
      </c>
      <c r="R6309" t="s">
        <v>27253</v>
      </c>
      <c r="S6309" t="s">
        <v>27254</v>
      </c>
      <c r="T6309" t="s">
        <v>27255</v>
      </c>
    </row>
    <row r="6310" spans="1:20" x14ac:dyDescent="0.3">
      <c r="A6310" t="str">
        <f>"0611857001100"</f>
        <v>0611857001100</v>
      </c>
      <c r="B6310" t="str">
        <f>"LK7055"</f>
        <v>LK7055</v>
      </c>
      <c r="C6310" t="s">
        <v>39481</v>
      </c>
      <c r="D6310" t="s">
        <v>27245</v>
      </c>
      <c r="E6310" t="str">
        <f t="shared" si="98"/>
        <v>001390</v>
      </c>
      <c r="F6310" t="s">
        <v>27246</v>
      </c>
      <c r="G6310" t="s">
        <v>27247</v>
      </c>
      <c r="H6310" t="s">
        <v>27248</v>
      </c>
      <c r="I6310" t="s">
        <v>39482</v>
      </c>
      <c r="J6310" t="s">
        <v>12526</v>
      </c>
      <c r="L6310" t="s">
        <v>27250</v>
      </c>
      <c r="M6310" t="s">
        <v>27251</v>
      </c>
      <c r="N6310" t="s">
        <v>27252</v>
      </c>
      <c r="Q6310" s="1">
        <v>44812</v>
      </c>
      <c r="R6310" t="s">
        <v>27253</v>
      </c>
      <c r="S6310" t="s">
        <v>27254</v>
      </c>
      <c r="T6310" t="s">
        <v>27255</v>
      </c>
    </row>
    <row r="6311" spans="1:20" x14ac:dyDescent="0.3">
      <c r="A6311" t="str">
        <f>"0611857002100"</f>
        <v>0611857002100</v>
      </c>
      <c r="B6311" t="str">
        <f>"LK7056"</f>
        <v>LK7056</v>
      </c>
      <c r="C6311" t="s">
        <v>39483</v>
      </c>
      <c r="D6311" t="s">
        <v>27245</v>
      </c>
      <c r="E6311" t="str">
        <f t="shared" si="98"/>
        <v>001390</v>
      </c>
      <c r="F6311" t="s">
        <v>27246</v>
      </c>
      <c r="G6311" t="s">
        <v>27247</v>
      </c>
      <c r="H6311" t="s">
        <v>27248</v>
      </c>
      <c r="I6311" t="s">
        <v>39484</v>
      </c>
      <c r="J6311" t="s">
        <v>12528</v>
      </c>
      <c r="L6311" t="s">
        <v>27250</v>
      </c>
      <c r="M6311" t="s">
        <v>27251</v>
      </c>
      <c r="N6311" t="s">
        <v>27252</v>
      </c>
      <c r="Q6311" s="1">
        <v>44812</v>
      </c>
      <c r="R6311" t="s">
        <v>27253</v>
      </c>
      <c r="S6311" t="s">
        <v>27254</v>
      </c>
      <c r="T6311" t="s">
        <v>27255</v>
      </c>
    </row>
    <row r="6312" spans="1:20" x14ac:dyDescent="0.3">
      <c r="A6312" t="str">
        <f>"0611857003100"</f>
        <v>0611857003100</v>
      </c>
      <c r="B6312" t="str">
        <f>"LK7057"</f>
        <v>LK7057</v>
      </c>
      <c r="C6312" t="s">
        <v>39485</v>
      </c>
      <c r="D6312" t="s">
        <v>27245</v>
      </c>
      <c r="E6312" t="str">
        <f t="shared" si="98"/>
        <v>001390</v>
      </c>
      <c r="F6312" t="s">
        <v>27246</v>
      </c>
      <c r="G6312" t="s">
        <v>27247</v>
      </c>
      <c r="H6312" t="s">
        <v>27248</v>
      </c>
      <c r="I6312" t="s">
        <v>39486</v>
      </c>
      <c r="J6312" t="s">
        <v>12530</v>
      </c>
      <c r="L6312" t="s">
        <v>27250</v>
      </c>
      <c r="M6312" t="s">
        <v>27251</v>
      </c>
      <c r="N6312" t="s">
        <v>27252</v>
      </c>
      <c r="Q6312" s="1">
        <v>44812</v>
      </c>
      <c r="R6312" t="s">
        <v>27253</v>
      </c>
      <c r="S6312" t="s">
        <v>27254</v>
      </c>
      <c r="T6312" t="s">
        <v>27255</v>
      </c>
    </row>
    <row r="6313" spans="1:20" x14ac:dyDescent="0.3">
      <c r="A6313" t="str">
        <f>"0611862739050"</f>
        <v>0611862739050</v>
      </c>
      <c r="B6313" t="str">
        <f>"CE0583"</f>
        <v>CE0583</v>
      </c>
      <c r="C6313" t="s">
        <v>39487</v>
      </c>
      <c r="D6313" t="s">
        <v>27923</v>
      </c>
      <c r="E6313" t="str">
        <f t="shared" si="98"/>
        <v>001390</v>
      </c>
      <c r="F6313" t="s">
        <v>27246</v>
      </c>
      <c r="G6313" t="s">
        <v>27247</v>
      </c>
      <c r="H6313" t="s">
        <v>27248</v>
      </c>
      <c r="I6313" t="s">
        <v>39488</v>
      </c>
      <c r="J6313" t="s">
        <v>12532</v>
      </c>
      <c r="L6313" t="s">
        <v>27250</v>
      </c>
      <c r="M6313" t="s">
        <v>27251</v>
      </c>
      <c r="N6313" t="s">
        <v>27252</v>
      </c>
      <c r="P6313" t="s">
        <v>27925</v>
      </c>
      <c r="Q6313" s="1">
        <v>44846</v>
      </c>
      <c r="R6313" t="s">
        <v>27253</v>
      </c>
      <c r="S6313" t="s">
        <v>27254</v>
      </c>
      <c r="T6313" t="s">
        <v>27265</v>
      </c>
    </row>
    <row r="6314" spans="1:20" x14ac:dyDescent="0.3">
      <c r="A6314" t="str">
        <f>"0611862740050"</f>
        <v>0611862740050</v>
      </c>
      <c r="B6314" t="str">
        <f>"CE0584"</f>
        <v>CE0584</v>
      </c>
      <c r="C6314" t="s">
        <v>39489</v>
      </c>
      <c r="D6314" t="s">
        <v>27923</v>
      </c>
      <c r="E6314" t="str">
        <f t="shared" si="98"/>
        <v>001390</v>
      </c>
      <c r="F6314" t="s">
        <v>27246</v>
      </c>
      <c r="G6314" t="s">
        <v>27247</v>
      </c>
      <c r="H6314" t="s">
        <v>27248</v>
      </c>
      <c r="I6314" t="s">
        <v>39490</v>
      </c>
      <c r="J6314" t="s">
        <v>12534</v>
      </c>
      <c r="L6314" t="s">
        <v>27250</v>
      </c>
      <c r="M6314" t="s">
        <v>27251</v>
      </c>
      <c r="N6314" t="s">
        <v>27252</v>
      </c>
      <c r="P6314" t="s">
        <v>27925</v>
      </c>
      <c r="Q6314" s="1">
        <v>44846</v>
      </c>
      <c r="R6314" t="s">
        <v>27253</v>
      </c>
      <c r="S6314" t="s">
        <v>27254</v>
      </c>
      <c r="T6314" t="s">
        <v>27265</v>
      </c>
    </row>
    <row r="6315" spans="1:20" x14ac:dyDescent="0.3">
      <c r="A6315" t="str">
        <f>"0611862741050"</f>
        <v>0611862741050</v>
      </c>
      <c r="B6315" t="str">
        <f>"CE0585"</f>
        <v>CE0585</v>
      </c>
      <c r="C6315" t="s">
        <v>39491</v>
      </c>
      <c r="D6315" t="s">
        <v>27923</v>
      </c>
      <c r="E6315" t="str">
        <f t="shared" si="98"/>
        <v>001390</v>
      </c>
      <c r="F6315" t="s">
        <v>27246</v>
      </c>
      <c r="G6315" t="s">
        <v>27247</v>
      </c>
      <c r="H6315" t="s">
        <v>27248</v>
      </c>
      <c r="I6315" t="s">
        <v>39492</v>
      </c>
      <c r="J6315" t="s">
        <v>12536</v>
      </c>
      <c r="L6315" t="s">
        <v>27250</v>
      </c>
      <c r="M6315" t="s">
        <v>27251</v>
      </c>
      <c r="N6315" t="s">
        <v>27252</v>
      </c>
      <c r="P6315" t="s">
        <v>27925</v>
      </c>
      <c r="Q6315" s="1">
        <v>44846</v>
      </c>
      <c r="R6315" t="s">
        <v>27253</v>
      </c>
      <c r="S6315" t="s">
        <v>27254</v>
      </c>
      <c r="T6315" t="s">
        <v>27265</v>
      </c>
    </row>
    <row r="6316" spans="1:20" x14ac:dyDescent="0.3">
      <c r="A6316" t="str">
        <f>"0611862742050"</f>
        <v>0611862742050</v>
      </c>
      <c r="B6316" t="str">
        <f>"CE0586"</f>
        <v>CE0586</v>
      </c>
      <c r="C6316" t="s">
        <v>39493</v>
      </c>
      <c r="D6316" t="s">
        <v>27923</v>
      </c>
      <c r="E6316" t="str">
        <f t="shared" si="98"/>
        <v>001390</v>
      </c>
      <c r="F6316" t="s">
        <v>27246</v>
      </c>
      <c r="G6316" t="s">
        <v>27247</v>
      </c>
      <c r="H6316" t="s">
        <v>27248</v>
      </c>
      <c r="I6316" t="s">
        <v>39494</v>
      </c>
      <c r="J6316" t="s">
        <v>12538</v>
      </c>
      <c r="L6316" t="s">
        <v>27250</v>
      </c>
      <c r="M6316" t="s">
        <v>27251</v>
      </c>
      <c r="N6316" t="s">
        <v>27252</v>
      </c>
      <c r="P6316" t="s">
        <v>27925</v>
      </c>
      <c r="Q6316" s="1">
        <v>44846</v>
      </c>
      <c r="R6316" t="s">
        <v>27253</v>
      </c>
      <c r="S6316" t="s">
        <v>27254</v>
      </c>
      <c r="T6316" t="s">
        <v>27265</v>
      </c>
    </row>
    <row r="6317" spans="1:20" x14ac:dyDescent="0.3">
      <c r="A6317" t="str">
        <f>"0611862743050"</f>
        <v>0611862743050</v>
      </c>
      <c r="B6317" t="str">
        <f>"CE1441"</f>
        <v>CE1441</v>
      </c>
      <c r="C6317" t="s">
        <v>39495</v>
      </c>
      <c r="D6317" t="s">
        <v>27923</v>
      </c>
      <c r="E6317" t="str">
        <f t="shared" si="98"/>
        <v>001390</v>
      </c>
      <c r="F6317" t="s">
        <v>27246</v>
      </c>
      <c r="G6317" t="s">
        <v>27247</v>
      </c>
      <c r="H6317" t="s">
        <v>27248</v>
      </c>
      <c r="I6317" t="s">
        <v>39496</v>
      </c>
      <c r="J6317" t="s">
        <v>12540</v>
      </c>
      <c r="L6317" t="s">
        <v>27250</v>
      </c>
      <c r="M6317" t="s">
        <v>27251</v>
      </c>
      <c r="N6317" t="s">
        <v>27252</v>
      </c>
      <c r="P6317" t="s">
        <v>27925</v>
      </c>
      <c r="Q6317" s="1">
        <v>44846</v>
      </c>
      <c r="R6317" t="s">
        <v>27253</v>
      </c>
      <c r="S6317" t="s">
        <v>27254</v>
      </c>
      <c r="T6317" t="s">
        <v>27265</v>
      </c>
    </row>
    <row r="6318" spans="1:20" x14ac:dyDescent="0.3">
      <c r="A6318" t="str">
        <f>"0611862744050"</f>
        <v>0611862744050</v>
      </c>
      <c r="B6318" t="str">
        <f>"CE0587"</f>
        <v>CE0587</v>
      </c>
      <c r="C6318" t="s">
        <v>39497</v>
      </c>
      <c r="D6318" t="s">
        <v>27923</v>
      </c>
      <c r="E6318" t="str">
        <f t="shared" si="98"/>
        <v>001390</v>
      </c>
      <c r="F6318" t="s">
        <v>27246</v>
      </c>
      <c r="G6318" t="s">
        <v>27247</v>
      </c>
      <c r="H6318" t="s">
        <v>27248</v>
      </c>
      <c r="I6318" t="s">
        <v>39498</v>
      </c>
      <c r="J6318" t="s">
        <v>12542</v>
      </c>
      <c r="L6318" t="s">
        <v>27250</v>
      </c>
      <c r="M6318" t="s">
        <v>27251</v>
      </c>
      <c r="N6318" t="s">
        <v>27252</v>
      </c>
      <c r="P6318" t="s">
        <v>27925</v>
      </c>
      <c r="Q6318" s="1">
        <v>44846</v>
      </c>
      <c r="R6318" t="s">
        <v>27253</v>
      </c>
      <c r="S6318" t="s">
        <v>27254</v>
      </c>
      <c r="T6318" t="s">
        <v>27265</v>
      </c>
    </row>
    <row r="6319" spans="1:20" x14ac:dyDescent="0.3">
      <c r="A6319" t="str">
        <f>"0611862745050"</f>
        <v>0611862745050</v>
      </c>
      <c r="B6319" t="str">
        <f>"CE0588"</f>
        <v>CE0588</v>
      </c>
      <c r="C6319" t="s">
        <v>39499</v>
      </c>
      <c r="D6319" t="s">
        <v>27923</v>
      </c>
      <c r="E6319" t="str">
        <f t="shared" si="98"/>
        <v>001390</v>
      </c>
      <c r="F6319" t="s">
        <v>27246</v>
      </c>
      <c r="G6319" t="s">
        <v>27247</v>
      </c>
      <c r="H6319" t="s">
        <v>27248</v>
      </c>
      <c r="I6319" t="s">
        <v>39500</v>
      </c>
      <c r="J6319" t="s">
        <v>12544</v>
      </c>
      <c r="L6319" t="s">
        <v>27250</v>
      </c>
      <c r="M6319" t="s">
        <v>27251</v>
      </c>
      <c r="N6319" t="s">
        <v>27252</v>
      </c>
      <c r="P6319" t="s">
        <v>27925</v>
      </c>
      <c r="Q6319" s="1">
        <v>44846</v>
      </c>
      <c r="R6319" t="s">
        <v>27253</v>
      </c>
      <c r="S6319" t="s">
        <v>27254</v>
      </c>
      <c r="T6319" t="s">
        <v>27265</v>
      </c>
    </row>
    <row r="6320" spans="1:20" x14ac:dyDescent="0.3">
      <c r="A6320" t="str">
        <f>"0611862746050"</f>
        <v>0611862746050</v>
      </c>
      <c r="B6320" t="str">
        <f>"CE0589"</f>
        <v>CE0589</v>
      </c>
      <c r="C6320" t="s">
        <v>39501</v>
      </c>
      <c r="D6320" t="s">
        <v>27923</v>
      </c>
      <c r="E6320" t="str">
        <f t="shared" si="98"/>
        <v>001390</v>
      </c>
      <c r="F6320" t="s">
        <v>27246</v>
      </c>
      <c r="G6320" t="s">
        <v>27247</v>
      </c>
      <c r="H6320" t="s">
        <v>27248</v>
      </c>
      <c r="I6320" t="s">
        <v>39502</v>
      </c>
      <c r="J6320" t="s">
        <v>12546</v>
      </c>
      <c r="L6320" t="s">
        <v>27250</v>
      </c>
      <c r="M6320" t="s">
        <v>27251</v>
      </c>
      <c r="N6320" t="s">
        <v>27252</v>
      </c>
      <c r="P6320" t="s">
        <v>27925</v>
      </c>
      <c r="Q6320" s="1">
        <v>44846</v>
      </c>
      <c r="R6320" t="s">
        <v>27253</v>
      </c>
      <c r="S6320" t="s">
        <v>27254</v>
      </c>
      <c r="T6320" t="s">
        <v>27265</v>
      </c>
    </row>
    <row r="6321" spans="1:20" x14ac:dyDescent="0.3">
      <c r="A6321" t="str">
        <f>"0611862747050"</f>
        <v>0611862747050</v>
      </c>
      <c r="B6321" t="str">
        <f>"CE0590"</f>
        <v>CE0590</v>
      </c>
      <c r="C6321" t="s">
        <v>39503</v>
      </c>
      <c r="D6321" t="s">
        <v>27923</v>
      </c>
      <c r="E6321" t="str">
        <f t="shared" si="98"/>
        <v>001390</v>
      </c>
      <c r="F6321" t="s">
        <v>27246</v>
      </c>
      <c r="G6321" t="s">
        <v>27247</v>
      </c>
      <c r="H6321" t="s">
        <v>27248</v>
      </c>
      <c r="I6321" t="s">
        <v>39504</v>
      </c>
      <c r="J6321" t="s">
        <v>12548</v>
      </c>
      <c r="L6321" t="s">
        <v>27250</v>
      </c>
      <c r="M6321" t="s">
        <v>27251</v>
      </c>
      <c r="N6321" t="s">
        <v>27252</v>
      </c>
      <c r="P6321" t="s">
        <v>27925</v>
      </c>
      <c r="Q6321" s="1">
        <v>44846</v>
      </c>
      <c r="R6321" t="s">
        <v>27253</v>
      </c>
      <c r="S6321" t="s">
        <v>27254</v>
      </c>
      <c r="T6321" t="s">
        <v>27265</v>
      </c>
    </row>
    <row r="6322" spans="1:20" x14ac:dyDescent="0.3">
      <c r="A6322" t="str">
        <f>"0611862748050"</f>
        <v>0611862748050</v>
      </c>
      <c r="B6322" t="str">
        <f>"CE0592"</f>
        <v>CE0592</v>
      </c>
      <c r="C6322" t="s">
        <v>39505</v>
      </c>
      <c r="D6322" t="s">
        <v>27923</v>
      </c>
      <c r="E6322" t="str">
        <f t="shared" si="98"/>
        <v>001390</v>
      </c>
      <c r="F6322" t="s">
        <v>27246</v>
      </c>
      <c r="G6322" t="s">
        <v>27247</v>
      </c>
      <c r="H6322" t="s">
        <v>27248</v>
      </c>
      <c r="I6322" t="s">
        <v>39506</v>
      </c>
      <c r="J6322" t="s">
        <v>12550</v>
      </c>
      <c r="L6322" t="s">
        <v>27250</v>
      </c>
      <c r="M6322" t="s">
        <v>27251</v>
      </c>
      <c r="N6322" t="s">
        <v>27252</v>
      </c>
      <c r="P6322" t="s">
        <v>27925</v>
      </c>
      <c r="Q6322" s="1">
        <v>44846</v>
      </c>
      <c r="R6322" t="s">
        <v>27253</v>
      </c>
      <c r="S6322" t="s">
        <v>27254</v>
      </c>
      <c r="T6322" t="s">
        <v>27265</v>
      </c>
    </row>
    <row r="6323" spans="1:20" x14ac:dyDescent="0.3">
      <c r="A6323" t="str">
        <f>"0611862749050"</f>
        <v>0611862749050</v>
      </c>
      <c r="B6323" t="str">
        <f>"CE0593"</f>
        <v>CE0593</v>
      </c>
      <c r="C6323" t="s">
        <v>39507</v>
      </c>
      <c r="D6323" t="s">
        <v>27923</v>
      </c>
      <c r="E6323" t="str">
        <f t="shared" si="98"/>
        <v>001390</v>
      </c>
      <c r="F6323" t="s">
        <v>27246</v>
      </c>
      <c r="G6323" t="s">
        <v>27247</v>
      </c>
      <c r="H6323" t="s">
        <v>27248</v>
      </c>
      <c r="I6323" t="s">
        <v>39508</v>
      </c>
      <c r="J6323" t="s">
        <v>12552</v>
      </c>
      <c r="L6323" t="s">
        <v>27250</v>
      </c>
      <c r="M6323" t="s">
        <v>27251</v>
      </c>
      <c r="N6323" t="s">
        <v>27252</v>
      </c>
      <c r="P6323" t="s">
        <v>27925</v>
      </c>
      <c r="Q6323" s="1">
        <v>44846</v>
      </c>
      <c r="R6323" t="s">
        <v>27253</v>
      </c>
      <c r="S6323" t="s">
        <v>27254</v>
      </c>
      <c r="T6323" t="s">
        <v>27265</v>
      </c>
    </row>
    <row r="6324" spans="1:20" x14ac:dyDescent="0.3">
      <c r="A6324" t="str">
        <f>"0611862750050"</f>
        <v>0611862750050</v>
      </c>
      <c r="B6324" t="str">
        <f>"CE0594"</f>
        <v>CE0594</v>
      </c>
      <c r="C6324" t="s">
        <v>39509</v>
      </c>
      <c r="D6324" t="s">
        <v>27923</v>
      </c>
      <c r="E6324" t="str">
        <f t="shared" si="98"/>
        <v>001390</v>
      </c>
      <c r="F6324" t="s">
        <v>27246</v>
      </c>
      <c r="G6324" t="s">
        <v>27247</v>
      </c>
      <c r="H6324" t="s">
        <v>27248</v>
      </c>
      <c r="I6324" t="s">
        <v>39510</v>
      </c>
      <c r="J6324" t="s">
        <v>12554</v>
      </c>
      <c r="L6324" t="s">
        <v>27250</v>
      </c>
      <c r="M6324" t="s">
        <v>27251</v>
      </c>
      <c r="N6324" t="s">
        <v>27252</v>
      </c>
      <c r="P6324" t="s">
        <v>27925</v>
      </c>
      <c r="Q6324" s="1">
        <v>44846</v>
      </c>
      <c r="R6324" t="s">
        <v>27253</v>
      </c>
      <c r="S6324" t="s">
        <v>27254</v>
      </c>
      <c r="T6324" t="s">
        <v>27265</v>
      </c>
    </row>
    <row r="6325" spans="1:20" x14ac:dyDescent="0.3">
      <c r="A6325" t="str">
        <f>"0611862751050"</f>
        <v>0611862751050</v>
      </c>
      <c r="B6325" t="str">
        <f>"CE0595"</f>
        <v>CE0595</v>
      </c>
      <c r="C6325" t="s">
        <v>39511</v>
      </c>
      <c r="D6325" t="s">
        <v>27923</v>
      </c>
      <c r="E6325" t="str">
        <f t="shared" si="98"/>
        <v>001390</v>
      </c>
      <c r="F6325" t="s">
        <v>27246</v>
      </c>
      <c r="G6325" t="s">
        <v>27247</v>
      </c>
      <c r="H6325" t="s">
        <v>27248</v>
      </c>
      <c r="I6325" t="s">
        <v>39512</v>
      </c>
      <c r="J6325" t="s">
        <v>12556</v>
      </c>
      <c r="L6325" t="s">
        <v>27250</v>
      </c>
      <c r="M6325" t="s">
        <v>27251</v>
      </c>
      <c r="N6325" t="s">
        <v>27252</v>
      </c>
      <c r="P6325" t="s">
        <v>27925</v>
      </c>
      <c r="Q6325" s="1">
        <v>44846</v>
      </c>
      <c r="R6325" t="s">
        <v>27253</v>
      </c>
      <c r="S6325" t="s">
        <v>27254</v>
      </c>
      <c r="T6325" t="s">
        <v>27265</v>
      </c>
    </row>
    <row r="6326" spans="1:20" x14ac:dyDescent="0.3">
      <c r="A6326" t="str">
        <f>"0611862752050"</f>
        <v>0611862752050</v>
      </c>
      <c r="B6326" t="str">
        <f>"CE0597"</f>
        <v>CE0597</v>
      </c>
      <c r="C6326" t="s">
        <v>39513</v>
      </c>
      <c r="D6326" t="s">
        <v>28556</v>
      </c>
      <c r="E6326" t="str">
        <f t="shared" si="98"/>
        <v>001390</v>
      </c>
      <c r="F6326" t="s">
        <v>27246</v>
      </c>
      <c r="G6326" t="s">
        <v>27247</v>
      </c>
      <c r="H6326" t="s">
        <v>27248</v>
      </c>
      <c r="I6326" t="s">
        <v>39514</v>
      </c>
      <c r="J6326" t="s">
        <v>12558</v>
      </c>
      <c r="L6326" t="s">
        <v>27250</v>
      </c>
      <c r="M6326" t="s">
        <v>27251</v>
      </c>
      <c r="N6326" t="s">
        <v>27252</v>
      </c>
      <c r="P6326" t="s">
        <v>27925</v>
      </c>
      <c r="Q6326" s="1">
        <v>44846</v>
      </c>
      <c r="R6326" t="s">
        <v>27253</v>
      </c>
      <c r="S6326" t="s">
        <v>27254</v>
      </c>
      <c r="T6326" t="s">
        <v>28378</v>
      </c>
    </row>
    <row r="6327" spans="1:20" x14ac:dyDescent="0.3">
      <c r="A6327" t="str">
        <f>"0611862753050"</f>
        <v>0611862753050</v>
      </c>
      <c r="B6327" t="str">
        <f>"CE0598"</f>
        <v>CE0598</v>
      </c>
      <c r="C6327" t="s">
        <v>39515</v>
      </c>
      <c r="D6327" t="s">
        <v>27923</v>
      </c>
      <c r="E6327" t="str">
        <f t="shared" si="98"/>
        <v>001390</v>
      </c>
      <c r="F6327" t="s">
        <v>27246</v>
      </c>
      <c r="G6327" t="s">
        <v>27247</v>
      </c>
      <c r="H6327" t="s">
        <v>27248</v>
      </c>
      <c r="I6327" t="s">
        <v>39516</v>
      </c>
      <c r="J6327" t="s">
        <v>12560</v>
      </c>
      <c r="L6327" t="s">
        <v>27250</v>
      </c>
      <c r="M6327" t="s">
        <v>27251</v>
      </c>
      <c r="N6327" t="s">
        <v>27252</v>
      </c>
      <c r="P6327" t="s">
        <v>27925</v>
      </c>
      <c r="Q6327" s="1">
        <v>44846</v>
      </c>
      <c r="R6327" t="s">
        <v>27253</v>
      </c>
      <c r="S6327" t="s">
        <v>27254</v>
      </c>
      <c r="T6327" t="s">
        <v>27265</v>
      </c>
    </row>
    <row r="6328" spans="1:20" x14ac:dyDescent="0.3">
      <c r="A6328" t="str">
        <f>"0611862754050"</f>
        <v>0611862754050</v>
      </c>
      <c r="B6328" t="str">
        <f>"CE0599"</f>
        <v>CE0599</v>
      </c>
      <c r="C6328" t="s">
        <v>39517</v>
      </c>
      <c r="D6328" t="s">
        <v>27923</v>
      </c>
      <c r="E6328" t="str">
        <f t="shared" si="98"/>
        <v>001390</v>
      </c>
      <c r="F6328" t="s">
        <v>27246</v>
      </c>
      <c r="G6328" t="s">
        <v>27247</v>
      </c>
      <c r="H6328" t="s">
        <v>27248</v>
      </c>
      <c r="I6328" t="s">
        <v>39518</v>
      </c>
      <c r="J6328" t="s">
        <v>12562</v>
      </c>
      <c r="L6328" t="s">
        <v>27250</v>
      </c>
      <c r="M6328" t="s">
        <v>27251</v>
      </c>
      <c r="N6328" t="s">
        <v>27252</v>
      </c>
      <c r="P6328" t="s">
        <v>27925</v>
      </c>
      <c r="Q6328" s="1">
        <v>44846</v>
      </c>
      <c r="R6328" t="s">
        <v>27253</v>
      </c>
      <c r="S6328" t="s">
        <v>27254</v>
      </c>
      <c r="T6328" t="s">
        <v>27265</v>
      </c>
    </row>
    <row r="6329" spans="1:20" x14ac:dyDescent="0.3">
      <c r="A6329" t="str">
        <f>"0611862755050"</f>
        <v>0611862755050</v>
      </c>
      <c r="B6329" t="str">
        <f>"CE0934"</f>
        <v>CE0934</v>
      </c>
      <c r="C6329" t="s">
        <v>39519</v>
      </c>
      <c r="D6329" t="s">
        <v>27923</v>
      </c>
      <c r="E6329" t="str">
        <f t="shared" si="98"/>
        <v>001390</v>
      </c>
      <c r="F6329" t="s">
        <v>27246</v>
      </c>
      <c r="G6329" t="s">
        <v>27247</v>
      </c>
      <c r="H6329" t="s">
        <v>27248</v>
      </c>
      <c r="I6329" t="s">
        <v>39520</v>
      </c>
      <c r="J6329" t="s">
        <v>12564</v>
      </c>
      <c r="L6329" t="s">
        <v>27250</v>
      </c>
      <c r="M6329" t="s">
        <v>27251</v>
      </c>
      <c r="N6329" t="s">
        <v>27252</v>
      </c>
      <c r="P6329" t="s">
        <v>27925</v>
      </c>
      <c r="Q6329" s="1">
        <v>44846</v>
      </c>
      <c r="R6329" t="s">
        <v>27253</v>
      </c>
      <c r="S6329" t="s">
        <v>27254</v>
      </c>
      <c r="T6329" t="s">
        <v>27265</v>
      </c>
    </row>
    <row r="6330" spans="1:20" x14ac:dyDescent="0.3">
      <c r="A6330" t="str">
        <f>"0611862756050"</f>
        <v>0611862756050</v>
      </c>
      <c r="B6330" t="str">
        <f>"CE0600"</f>
        <v>CE0600</v>
      </c>
      <c r="C6330" t="s">
        <v>39521</v>
      </c>
      <c r="D6330" t="s">
        <v>27923</v>
      </c>
      <c r="E6330" t="str">
        <f t="shared" si="98"/>
        <v>001390</v>
      </c>
      <c r="F6330" t="s">
        <v>27246</v>
      </c>
      <c r="G6330" t="s">
        <v>27247</v>
      </c>
      <c r="H6330" t="s">
        <v>27248</v>
      </c>
      <c r="I6330" t="s">
        <v>39522</v>
      </c>
      <c r="J6330" t="s">
        <v>12566</v>
      </c>
      <c r="L6330" t="s">
        <v>27250</v>
      </c>
      <c r="M6330" t="s">
        <v>27251</v>
      </c>
      <c r="N6330" t="s">
        <v>27252</v>
      </c>
      <c r="P6330" t="s">
        <v>27925</v>
      </c>
      <c r="Q6330" s="1">
        <v>44846</v>
      </c>
      <c r="R6330" t="s">
        <v>27253</v>
      </c>
      <c r="S6330" t="s">
        <v>27254</v>
      </c>
      <c r="T6330" t="s">
        <v>27265</v>
      </c>
    </row>
    <row r="6331" spans="1:20" x14ac:dyDescent="0.3">
      <c r="A6331" t="str">
        <f>"0611862757050"</f>
        <v>0611862757050</v>
      </c>
      <c r="B6331" t="str">
        <f>"CE1597"</f>
        <v>CE1597</v>
      </c>
      <c r="C6331" t="s">
        <v>39523</v>
      </c>
      <c r="D6331" t="s">
        <v>27923</v>
      </c>
      <c r="E6331" t="str">
        <f t="shared" si="98"/>
        <v>001390</v>
      </c>
      <c r="F6331" t="s">
        <v>27246</v>
      </c>
      <c r="G6331" t="s">
        <v>27247</v>
      </c>
      <c r="H6331" t="s">
        <v>27248</v>
      </c>
      <c r="I6331" t="s">
        <v>39524</v>
      </c>
      <c r="J6331" t="s">
        <v>12568</v>
      </c>
      <c r="L6331" t="s">
        <v>27250</v>
      </c>
      <c r="M6331" t="s">
        <v>27251</v>
      </c>
      <c r="N6331" t="s">
        <v>27252</v>
      </c>
      <c r="P6331" t="s">
        <v>27925</v>
      </c>
      <c r="Q6331" s="1">
        <v>44846</v>
      </c>
      <c r="R6331" t="s">
        <v>27253</v>
      </c>
      <c r="S6331" t="s">
        <v>27254</v>
      </c>
      <c r="T6331" t="s">
        <v>27265</v>
      </c>
    </row>
    <row r="6332" spans="1:20" x14ac:dyDescent="0.3">
      <c r="A6332" t="str">
        <f>"0611862758050"</f>
        <v>0611862758050</v>
      </c>
      <c r="B6332" t="str">
        <f>"CE1598"</f>
        <v>CE1598</v>
      </c>
      <c r="C6332" t="s">
        <v>39525</v>
      </c>
      <c r="D6332" t="s">
        <v>27923</v>
      </c>
      <c r="E6332" t="str">
        <f t="shared" si="98"/>
        <v>001390</v>
      </c>
      <c r="F6332" t="s">
        <v>27246</v>
      </c>
      <c r="G6332" t="s">
        <v>27247</v>
      </c>
      <c r="H6332" t="s">
        <v>27248</v>
      </c>
      <c r="I6332" t="s">
        <v>39526</v>
      </c>
      <c r="J6332" t="s">
        <v>12570</v>
      </c>
      <c r="L6332" t="s">
        <v>27250</v>
      </c>
      <c r="M6332" t="s">
        <v>27251</v>
      </c>
      <c r="N6332" t="s">
        <v>27252</v>
      </c>
      <c r="P6332" t="s">
        <v>27925</v>
      </c>
      <c r="Q6332" s="1">
        <v>44846</v>
      </c>
      <c r="R6332" t="s">
        <v>27253</v>
      </c>
      <c r="S6332" t="s">
        <v>27254</v>
      </c>
      <c r="T6332" t="s">
        <v>27265</v>
      </c>
    </row>
    <row r="6333" spans="1:20" x14ac:dyDescent="0.3">
      <c r="A6333" t="str">
        <f>"0611862759050"</f>
        <v>0611862759050</v>
      </c>
      <c r="B6333" t="str">
        <f>"CE1599"</f>
        <v>CE1599</v>
      </c>
      <c r="C6333" t="s">
        <v>39527</v>
      </c>
      <c r="D6333" t="s">
        <v>27923</v>
      </c>
      <c r="E6333" t="str">
        <f t="shared" si="98"/>
        <v>001390</v>
      </c>
      <c r="F6333" t="s">
        <v>27246</v>
      </c>
      <c r="G6333" t="s">
        <v>27247</v>
      </c>
      <c r="H6333" t="s">
        <v>27248</v>
      </c>
      <c r="I6333" t="s">
        <v>39528</v>
      </c>
      <c r="J6333" t="s">
        <v>12572</v>
      </c>
      <c r="L6333" t="s">
        <v>27250</v>
      </c>
      <c r="M6333" t="s">
        <v>27251</v>
      </c>
      <c r="N6333" t="s">
        <v>27252</v>
      </c>
      <c r="P6333" t="s">
        <v>27925</v>
      </c>
      <c r="Q6333" s="1">
        <v>44846</v>
      </c>
      <c r="R6333" t="s">
        <v>27253</v>
      </c>
      <c r="S6333" t="s">
        <v>27254</v>
      </c>
      <c r="T6333" t="s">
        <v>27265</v>
      </c>
    </row>
    <row r="6334" spans="1:20" x14ac:dyDescent="0.3">
      <c r="A6334" t="str">
        <f>"0611862760050"</f>
        <v>0611862760050</v>
      </c>
      <c r="B6334" t="str">
        <f>"CE1600"</f>
        <v>CE1600</v>
      </c>
      <c r="C6334" t="s">
        <v>39529</v>
      </c>
      <c r="D6334" t="s">
        <v>27923</v>
      </c>
      <c r="E6334" t="str">
        <f t="shared" si="98"/>
        <v>001390</v>
      </c>
      <c r="F6334" t="s">
        <v>27246</v>
      </c>
      <c r="G6334" t="s">
        <v>27247</v>
      </c>
      <c r="H6334" t="s">
        <v>27248</v>
      </c>
      <c r="I6334" t="s">
        <v>39530</v>
      </c>
      <c r="J6334" t="s">
        <v>12574</v>
      </c>
      <c r="L6334" t="s">
        <v>27250</v>
      </c>
      <c r="M6334" t="s">
        <v>27251</v>
      </c>
      <c r="N6334" t="s">
        <v>27252</v>
      </c>
      <c r="P6334" t="s">
        <v>27925</v>
      </c>
      <c r="Q6334" s="1">
        <v>44846</v>
      </c>
      <c r="R6334" t="s">
        <v>27253</v>
      </c>
      <c r="S6334" t="s">
        <v>27254</v>
      </c>
      <c r="T6334" t="s">
        <v>27265</v>
      </c>
    </row>
    <row r="6335" spans="1:20" x14ac:dyDescent="0.3">
      <c r="A6335" t="str">
        <f>"0611884267050"</f>
        <v>0611884267050</v>
      </c>
      <c r="B6335" t="str">
        <f>"CE1744"</f>
        <v>CE1744</v>
      </c>
      <c r="C6335" t="s">
        <v>39531</v>
      </c>
      <c r="D6335" t="s">
        <v>27923</v>
      </c>
      <c r="E6335" t="str">
        <f t="shared" si="98"/>
        <v>001390</v>
      </c>
      <c r="F6335" t="s">
        <v>27246</v>
      </c>
      <c r="G6335" t="s">
        <v>27247</v>
      </c>
      <c r="H6335" t="s">
        <v>27248</v>
      </c>
      <c r="I6335" t="s">
        <v>39532</v>
      </c>
      <c r="J6335" t="s">
        <v>12576</v>
      </c>
      <c r="L6335" t="s">
        <v>27430</v>
      </c>
      <c r="M6335" t="s">
        <v>27251</v>
      </c>
      <c r="N6335" t="s">
        <v>27252</v>
      </c>
      <c r="P6335" t="s">
        <v>27925</v>
      </c>
      <c r="Q6335" s="1">
        <v>45250</v>
      </c>
      <c r="R6335" t="s">
        <v>27253</v>
      </c>
      <c r="S6335" t="s">
        <v>27254</v>
      </c>
      <c r="T6335" t="s">
        <v>27265</v>
      </c>
    </row>
    <row r="6336" spans="1:20" x14ac:dyDescent="0.3">
      <c r="A6336" t="str">
        <f>"0611862761050"</f>
        <v>0611862761050</v>
      </c>
      <c r="B6336" t="str">
        <f>"CE1601"</f>
        <v>CE1601</v>
      </c>
      <c r="C6336" t="s">
        <v>39533</v>
      </c>
      <c r="D6336" t="s">
        <v>27923</v>
      </c>
      <c r="E6336" t="str">
        <f t="shared" si="98"/>
        <v>001390</v>
      </c>
      <c r="F6336" t="s">
        <v>27246</v>
      </c>
      <c r="G6336" t="s">
        <v>27247</v>
      </c>
      <c r="H6336" t="s">
        <v>27248</v>
      </c>
      <c r="I6336" t="s">
        <v>39534</v>
      </c>
      <c r="J6336" t="s">
        <v>12578</v>
      </c>
      <c r="L6336" t="s">
        <v>27250</v>
      </c>
      <c r="M6336" t="s">
        <v>27251</v>
      </c>
      <c r="N6336" t="s">
        <v>27252</v>
      </c>
      <c r="P6336" t="s">
        <v>27925</v>
      </c>
      <c r="Q6336" s="1">
        <v>44846</v>
      </c>
      <c r="R6336" t="s">
        <v>27253</v>
      </c>
      <c r="S6336" t="s">
        <v>27254</v>
      </c>
      <c r="T6336" t="s">
        <v>27265</v>
      </c>
    </row>
    <row r="6337" spans="1:20" x14ac:dyDescent="0.3">
      <c r="A6337" t="str">
        <f>"0611835725100"</f>
        <v>0611835725100</v>
      </c>
      <c r="B6337" t="str">
        <f>"LQ5847"</f>
        <v>LQ5847</v>
      </c>
      <c r="C6337" t="s">
        <v>39535</v>
      </c>
      <c r="D6337" t="s">
        <v>27245</v>
      </c>
      <c r="E6337" t="str">
        <f t="shared" si="98"/>
        <v>001390</v>
      </c>
      <c r="F6337" t="s">
        <v>27246</v>
      </c>
      <c r="G6337" t="s">
        <v>27247</v>
      </c>
      <c r="H6337" t="s">
        <v>27248</v>
      </c>
      <c r="I6337" t="s">
        <v>39536</v>
      </c>
      <c r="J6337" t="s">
        <v>12580</v>
      </c>
      <c r="L6337" t="s">
        <v>27250</v>
      </c>
      <c r="M6337" t="s">
        <v>27251</v>
      </c>
      <c r="N6337" t="s">
        <v>27252</v>
      </c>
      <c r="Q6337" s="1">
        <v>44538</v>
      </c>
      <c r="R6337" t="s">
        <v>27253</v>
      </c>
      <c r="S6337" t="s">
        <v>27254</v>
      </c>
      <c r="T6337" t="s">
        <v>27255</v>
      </c>
    </row>
    <row r="6338" spans="1:20" x14ac:dyDescent="0.3">
      <c r="A6338" t="str">
        <f>"0611835726100"</f>
        <v>0611835726100</v>
      </c>
      <c r="B6338" t="str">
        <f>"LQ5848"</f>
        <v>LQ5848</v>
      </c>
      <c r="C6338" t="s">
        <v>39537</v>
      </c>
      <c r="D6338" t="s">
        <v>27245</v>
      </c>
      <c r="E6338" t="str">
        <f t="shared" ref="E6338:E6401" si="99">"001390"</f>
        <v>001390</v>
      </c>
      <c r="F6338" t="s">
        <v>27246</v>
      </c>
      <c r="G6338" t="s">
        <v>27247</v>
      </c>
      <c r="H6338" t="s">
        <v>27248</v>
      </c>
      <c r="I6338" t="s">
        <v>39538</v>
      </c>
      <c r="J6338" t="s">
        <v>12582</v>
      </c>
      <c r="L6338" t="s">
        <v>27250</v>
      </c>
      <c r="M6338" t="s">
        <v>27251</v>
      </c>
      <c r="N6338" t="s">
        <v>27252</v>
      </c>
      <c r="Q6338" s="1">
        <v>44538</v>
      </c>
      <c r="R6338" t="s">
        <v>27253</v>
      </c>
      <c r="S6338" t="s">
        <v>27254</v>
      </c>
      <c r="T6338" t="s">
        <v>27255</v>
      </c>
    </row>
    <row r="6339" spans="1:20" x14ac:dyDescent="0.3">
      <c r="A6339" t="str">
        <f>"0611835727100"</f>
        <v>0611835727100</v>
      </c>
      <c r="B6339" t="str">
        <f>"LQ5850"</f>
        <v>LQ5850</v>
      </c>
      <c r="C6339" t="s">
        <v>39539</v>
      </c>
      <c r="D6339" t="s">
        <v>27245</v>
      </c>
      <c r="E6339" t="str">
        <f t="shared" si="99"/>
        <v>001390</v>
      </c>
      <c r="F6339" t="s">
        <v>27246</v>
      </c>
      <c r="G6339" t="s">
        <v>27247</v>
      </c>
      <c r="H6339" t="s">
        <v>27248</v>
      </c>
      <c r="I6339" t="s">
        <v>39540</v>
      </c>
      <c r="J6339" t="s">
        <v>12584</v>
      </c>
      <c r="L6339" t="s">
        <v>27250</v>
      </c>
      <c r="M6339" t="s">
        <v>27251</v>
      </c>
      <c r="N6339" t="s">
        <v>27252</v>
      </c>
      <c r="Q6339" s="1">
        <v>44538</v>
      </c>
      <c r="R6339" t="s">
        <v>27253</v>
      </c>
      <c r="S6339" t="s">
        <v>27254</v>
      </c>
      <c r="T6339" t="s">
        <v>27255</v>
      </c>
    </row>
    <row r="6340" spans="1:20" x14ac:dyDescent="0.3">
      <c r="A6340" t="str">
        <f>"0611835698100"</f>
        <v>0611835698100</v>
      </c>
      <c r="B6340" t="str">
        <f>"LQ6142"</f>
        <v>LQ6142</v>
      </c>
      <c r="C6340" t="s">
        <v>39541</v>
      </c>
      <c r="D6340" t="s">
        <v>27245</v>
      </c>
      <c r="E6340" t="str">
        <f t="shared" si="99"/>
        <v>001390</v>
      </c>
      <c r="F6340" t="s">
        <v>27246</v>
      </c>
      <c r="G6340" t="s">
        <v>27247</v>
      </c>
      <c r="H6340" t="s">
        <v>27248</v>
      </c>
      <c r="I6340" t="s">
        <v>39542</v>
      </c>
      <c r="J6340" t="s">
        <v>12586</v>
      </c>
      <c r="L6340" t="s">
        <v>27250</v>
      </c>
      <c r="M6340" t="s">
        <v>27251</v>
      </c>
      <c r="N6340" t="s">
        <v>27252</v>
      </c>
      <c r="Q6340" s="1">
        <v>44538</v>
      </c>
      <c r="R6340" t="s">
        <v>27253</v>
      </c>
      <c r="S6340" t="s">
        <v>27254</v>
      </c>
      <c r="T6340" t="s">
        <v>27255</v>
      </c>
    </row>
    <row r="6341" spans="1:20" x14ac:dyDescent="0.3">
      <c r="A6341" t="str">
        <f>"0611835728100"</f>
        <v>0611835728100</v>
      </c>
      <c r="B6341" t="str">
        <f>"LQ5958"</f>
        <v>LQ5958</v>
      </c>
      <c r="C6341" t="s">
        <v>39543</v>
      </c>
      <c r="D6341" t="s">
        <v>27245</v>
      </c>
      <c r="E6341" t="str">
        <f t="shared" si="99"/>
        <v>001390</v>
      </c>
      <c r="F6341" t="s">
        <v>27246</v>
      </c>
      <c r="G6341" t="s">
        <v>27247</v>
      </c>
      <c r="H6341" t="s">
        <v>27248</v>
      </c>
      <c r="I6341" t="s">
        <v>39544</v>
      </c>
      <c r="J6341" t="s">
        <v>12588</v>
      </c>
      <c r="L6341" t="s">
        <v>27250</v>
      </c>
      <c r="M6341" t="s">
        <v>27251</v>
      </c>
      <c r="N6341" t="s">
        <v>27252</v>
      </c>
      <c r="Q6341" s="1">
        <v>44538</v>
      </c>
      <c r="R6341" t="s">
        <v>27253</v>
      </c>
      <c r="S6341" t="s">
        <v>27254</v>
      </c>
      <c r="T6341" t="s">
        <v>27255</v>
      </c>
    </row>
    <row r="6342" spans="1:20" x14ac:dyDescent="0.3">
      <c r="A6342" t="str">
        <f>"0611835729100"</f>
        <v>0611835729100</v>
      </c>
      <c r="B6342" t="str">
        <f>"LQ5853"</f>
        <v>LQ5853</v>
      </c>
      <c r="C6342" t="s">
        <v>39545</v>
      </c>
      <c r="D6342" t="s">
        <v>27245</v>
      </c>
      <c r="E6342" t="str">
        <f t="shared" si="99"/>
        <v>001390</v>
      </c>
      <c r="F6342" t="s">
        <v>27246</v>
      </c>
      <c r="G6342" t="s">
        <v>27247</v>
      </c>
      <c r="H6342" t="s">
        <v>27248</v>
      </c>
      <c r="I6342" t="s">
        <v>39546</v>
      </c>
      <c r="J6342" t="s">
        <v>12590</v>
      </c>
      <c r="L6342" t="s">
        <v>27250</v>
      </c>
      <c r="M6342" t="s">
        <v>27251</v>
      </c>
      <c r="N6342" t="s">
        <v>27252</v>
      </c>
      <c r="Q6342" s="1">
        <v>44538</v>
      </c>
      <c r="R6342" t="s">
        <v>27253</v>
      </c>
      <c r="S6342" t="s">
        <v>27254</v>
      </c>
      <c r="T6342" t="s">
        <v>27255</v>
      </c>
    </row>
    <row r="6343" spans="1:20" x14ac:dyDescent="0.3">
      <c r="A6343" t="str">
        <f>"0611835730100"</f>
        <v>0611835730100</v>
      </c>
      <c r="B6343" t="str">
        <f>"LQ5959"</f>
        <v>LQ5959</v>
      </c>
      <c r="C6343" t="s">
        <v>39547</v>
      </c>
      <c r="D6343" t="s">
        <v>27245</v>
      </c>
      <c r="E6343" t="str">
        <f t="shared" si="99"/>
        <v>001390</v>
      </c>
      <c r="F6343" t="s">
        <v>27246</v>
      </c>
      <c r="G6343" t="s">
        <v>27247</v>
      </c>
      <c r="H6343" t="s">
        <v>27248</v>
      </c>
      <c r="I6343" t="s">
        <v>39548</v>
      </c>
      <c r="J6343" t="s">
        <v>12592</v>
      </c>
      <c r="L6343" t="s">
        <v>27250</v>
      </c>
      <c r="M6343" t="s">
        <v>27251</v>
      </c>
      <c r="N6343" t="s">
        <v>27252</v>
      </c>
      <c r="Q6343" s="1">
        <v>44538</v>
      </c>
      <c r="R6343" t="s">
        <v>27253</v>
      </c>
      <c r="S6343" t="s">
        <v>27254</v>
      </c>
      <c r="T6343" t="s">
        <v>27255</v>
      </c>
    </row>
    <row r="6344" spans="1:20" x14ac:dyDescent="0.3">
      <c r="A6344" t="str">
        <f>"0611835731100"</f>
        <v>0611835731100</v>
      </c>
      <c r="B6344" t="str">
        <f>"LQ5806"</f>
        <v>LQ5806</v>
      </c>
      <c r="C6344" t="s">
        <v>39549</v>
      </c>
      <c r="D6344" t="s">
        <v>27245</v>
      </c>
      <c r="E6344" t="str">
        <f t="shared" si="99"/>
        <v>001390</v>
      </c>
      <c r="F6344" t="s">
        <v>27246</v>
      </c>
      <c r="G6344" t="s">
        <v>27247</v>
      </c>
      <c r="H6344" t="s">
        <v>27248</v>
      </c>
      <c r="I6344" t="s">
        <v>39550</v>
      </c>
      <c r="J6344" t="s">
        <v>12594</v>
      </c>
      <c r="L6344" t="s">
        <v>27250</v>
      </c>
      <c r="M6344" t="s">
        <v>27251</v>
      </c>
      <c r="N6344" t="s">
        <v>27252</v>
      </c>
      <c r="Q6344" s="1">
        <v>44538</v>
      </c>
      <c r="R6344" t="s">
        <v>27253</v>
      </c>
      <c r="S6344" t="s">
        <v>27254</v>
      </c>
      <c r="T6344" t="s">
        <v>27255</v>
      </c>
    </row>
    <row r="6345" spans="1:20" x14ac:dyDescent="0.3">
      <c r="A6345" t="str">
        <f>"0611835733100"</f>
        <v>0611835733100</v>
      </c>
      <c r="B6345" t="str">
        <f>"LQ5854"</f>
        <v>LQ5854</v>
      </c>
      <c r="C6345" t="s">
        <v>39551</v>
      </c>
      <c r="D6345" t="s">
        <v>27245</v>
      </c>
      <c r="E6345" t="str">
        <f t="shared" si="99"/>
        <v>001390</v>
      </c>
      <c r="F6345" t="s">
        <v>27246</v>
      </c>
      <c r="G6345" t="s">
        <v>27247</v>
      </c>
      <c r="H6345" t="s">
        <v>27248</v>
      </c>
      <c r="I6345" t="s">
        <v>39552</v>
      </c>
      <c r="J6345" t="s">
        <v>12596</v>
      </c>
      <c r="L6345" t="s">
        <v>27250</v>
      </c>
      <c r="M6345" t="s">
        <v>27251</v>
      </c>
      <c r="N6345" t="s">
        <v>27252</v>
      </c>
      <c r="Q6345" s="1">
        <v>44538</v>
      </c>
      <c r="R6345" t="s">
        <v>27253</v>
      </c>
      <c r="S6345" t="s">
        <v>27254</v>
      </c>
      <c r="T6345" t="s">
        <v>27255</v>
      </c>
    </row>
    <row r="6346" spans="1:20" x14ac:dyDescent="0.3">
      <c r="A6346" t="str">
        <f>"0611835734100"</f>
        <v>0611835734100</v>
      </c>
      <c r="B6346" t="str">
        <f>"LQ5808"</f>
        <v>LQ5808</v>
      </c>
      <c r="C6346" t="s">
        <v>39553</v>
      </c>
      <c r="D6346" t="s">
        <v>27245</v>
      </c>
      <c r="E6346" t="str">
        <f t="shared" si="99"/>
        <v>001390</v>
      </c>
      <c r="F6346" t="s">
        <v>27246</v>
      </c>
      <c r="G6346" t="s">
        <v>27247</v>
      </c>
      <c r="H6346" t="s">
        <v>27248</v>
      </c>
      <c r="I6346" t="s">
        <v>39554</v>
      </c>
      <c r="J6346" t="s">
        <v>12598</v>
      </c>
      <c r="L6346" t="s">
        <v>27250</v>
      </c>
      <c r="M6346" t="s">
        <v>27251</v>
      </c>
      <c r="N6346" t="s">
        <v>27252</v>
      </c>
      <c r="Q6346" s="1">
        <v>44538</v>
      </c>
      <c r="R6346" t="s">
        <v>27253</v>
      </c>
      <c r="S6346" t="s">
        <v>27254</v>
      </c>
      <c r="T6346" t="s">
        <v>27255</v>
      </c>
    </row>
    <row r="6347" spans="1:20" x14ac:dyDescent="0.3">
      <c r="A6347" t="str">
        <f>"0611835735100"</f>
        <v>0611835735100</v>
      </c>
      <c r="B6347" t="str">
        <f>"LQ6068"</f>
        <v>LQ6068</v>
      </c>
      <c r="C6347" t="s">
        <v>39555</v>
      </c>
      <c r="D6347" t="s">
        <v>27245</v>
      </c>
      <c r="E6347" t="str">
        <f t="shared" si="99"/>
        <v>001390</v>
      </c>
      <c r="F6347" t="s">
        <v>27246</v>
      </c>
      <c r="G6347" t="s">
        <v>27247</v>
      </c>
      <c r="H6347" t="s">
        <v>27248</v>
      </c>
      <c r="I6347" t="s">
        <v>39556</v>
      </c>
      <c r="J6347" t="s">
        <v>12600</v>
      </c>
      <c r="L6347" t="s">
        <v>27250</v>
      </c>
      <c r="M6347" t="s">
        <v>27251</v>
      </c>
      <c r="N6347" t="s">
        <v>27252</v>
      </c>
      <c r="Q6347" s="1">
        <v>44538</v>
      </c>
      <c r="R6347" t="s">
        <v>27253</v>
      </c>
      <c r="S6347" t="s">
        <v>27254</v>
      </c>
      <c r="T6347" t="s">
        <v>27255</v>
      </c>
    </row>
    <row r="6348" spans="1:20" x14ac:dyDescent="0.3">
      <c r="A6348" t="str">
        <f>"0611835736100"</f>
        <v>0611835736100</v>
      </c>
      <c r="B6348" t="str">
        <f>"LQ5809"</f>
        <v>LQ5809</v>
      </c>
      <c r="C6348" t="s">
        <v>39557</v>
      </c>
      <c r="D6348" t="s">
        <v>27245</v>
      </c>
      <c r="E6348" t="str">
        <f t="shared" si="99"/>
        <v>001390</v>
      </c>
      <c r="F6348" t="s">
        <v>27246</v>
      </c>
      <c r="G6348" t="s">
        <v>27247</v>
      </c>
      <c r="H6348" t="s">
        <v>27248</v>
      </c>
      <c r="I6348" t="s">
        <v>39558</v>
      </c>
      <c r="J6348" t="s">
        <v>12602</v>
      </c>
      <c r="L6348" t="s">
        <v>27250</v>
      </c>
      <c r="M6348" t="s">
        <v>27251</v>
      </c>
      <c r="N6348" t="s">
        <v>27252</v>
      </c>
      <c r="Q6348" s="1">
        <v>44538</v>
      </c>
      <c r="R6348" t="s">
        <v>27253</v>
      </c>
      <c r="S6348" t="s">
        <v>27254</v>
      </c>
      <c r="T6348" t="s">
        <v>27255</v>
      </c>
    </row>
    <row r="6349" spans="1:20" x14ac:dyDescent="0.3">
      <c r="A6349" t="str">
        <f>"0611835737100"</f>
        <v>0611835737100</v>
      </c>
      <c r="B6349" t="str">
        <f>"LQ5960"</f>
        <v>LQ5960</v>
      </c>
      <c r="C6349" t="s">
        <v>39559</v>
      </c>
      <c r="D6349" t="s">
        <v>27245</v>
      </c>
      <c r="E6349" t="str">
        <f t="shared" si="99"/>
        <v>001390</v>
      </c>
      <c r="F6349" t="s">
        <v>27246</v>
      </c>
      <c r="G6349" t="s">
        <v>27247</v>
      </c>
      <c r="H6349" t="s">
        <v>27248</v>
      </c>
      <c r="I6349" t="s">
        <v>39560</v>
      </c>
      <c r="J6349" t="s">
        <v>12604</v>
      </c>
      <c r="L6349" t="s">
        <v>27250</v>
      </c>
      <c r="M6349" t="s">
        <v>27251</v>
      </c>
      <c r="N6349" t="s">
        <v>27252</v>
      </c>
      <c r="Q6349" s="1">
        <v>44538</v>
      </c>
      <c r="R6349" t="s">
        <v>27253</v>
      </c>
      <c r="S6349" t="s">
        <v>27254</v>
      </c>
      <c r="T6349" t="s">
        <v>27255</v>
      </c>
    </row>
    <row r="6350" spans="1:20" x14ac:dyDescent="0.3">
      <c r="A6350" t="str">
        <f>"0611835738100"</f>
        <v>0611835738100</v>
      </c>
      <c r="B6350" t="str">
        <f>"LQ5855"</f>
        <v>LQ5855</v>
      </c>
      <c r="C6350" t="s">
        <v>39561</v>
      </c>
      <c r="D6350" t="s">
        <v>27245</v>
      </c>
      <c r="E6350" t="str">
        <f t="shared" si="99"/>
        <v>001390</v>
      </c>
      <c r="F6350" t="s">
        <v>27246</v>
      </c>
      <c r="G6350" t="s">
        <v>27247</v>
      </c>
      <c r="H6350" t="s">
        <v>27248</v>
      </c>
      <c r="I6350" t="s">
        <v>39562</v>
      </c>
      <c r="J6350" t="s">
        <v>12606</v>
      </c>
      <c r="L6350" t="s">
        <v>27250</v>
      </c>
      <c r="M6350" t="s">
        <v>27251</v>
      </c>
      <c r="N6350" t="s">
        <v>27252</v>
      </c>
      <c r="Q6350" s="1">
        <v>44538</v>
      </c>
      <c r="R6350" t="s">
        <v>27253</v>
      </c>
      <c r="S6350" t="s">
        <v>27254</v>
      </c>
      <c r="T6350" t="s">
        <v>27255</v>
      </c>
    </row>
    <row r="6351" spans="1:20" x14ac:dyDescent="0.3">
      <c r="A6351" t="str">
        <f>"0611835739100"</f>
        <v>0611835739100</v>
      </c>
      <c r="B6351" t="str">
        <f>"LQ6069"</f>
        <v>LQ6069</v>
      </c>
      <c r="C6351" t="s">
        <v>39563</v>
      </c>
      <c r="D6351" t="s">
        <v>27245</v>
      </c>
      <c r="E6351" t="str">
        <f t="shared" si="99"/>
        <v>001390</v>
      </c>
      <c r="F6351" t="s">
        <v>27246</v>
      </c>
      <c r="G6351" t="s">
        <v>27247</v>
      </c>
      <c r="H6351" t="s">
        <v>27248</v>
      </c>
      <c r="I6351" t="s">
        <v>39564</v>
      </c>
      <c r="J6351" t="s">
        <v>12608</v>
      </c>
      <c r="L6351" t="s">
        <v>27250</v>
      </c>
      <c r="M6351" t="s">
        <v>27251</v>
      </c>
      <c r="N6351" t="s">
        <v>27252</v>
      </c>
      <c r="Q6351" s="1">
        <v>44538</v>
      </c>
      <c r="R6351" t="s">
        <v>27253</v>
      </c>
      <c r="S6351" t="s">
        <v>27254</v>
      </c>
      <c r="T6351" t="s">
        <v>27255</v>
      </c>
    </row>
    <row r="6352" spans="1:20" x14ac:dyDescent="0.3">
      <c r="A6352" t="str">
        <f>"0611835740100"</f>
        <v>0611835740100</v>
      </c>
      <c r="B6352" t="str">
        <f>"LQ6023"</f>
        <v>LQ6023</v>
      </c>
      <c r="C6352" t="s">
        <v>39565</v>
      </c>
      <c r="D6352" t="s">
        <v>27245</v>
      </c>
      <c r="E6352" t="str">
        <f t="shared" si="99"/>
        <v>001390</v>
      </c>
      <c r="F6352" t="s">
        <v>27246</v>
      </c>
      <c r="G6352" t="s">
        <v>27247</v>
      </c>
      <c r="H6352" t="s">
        <v>27248</v>
      </c>
      <c r="I6352" t="s">
        <v>39566</v>
      </c>
      <c r="J6352" t="s">
        <v>12610</v>
      </c>
      <c r="L6352" t="s">
        <v>27250</v>
      </c>
      <c r="M6352" t="s">
        <v>27251</v>
      </c>
      <c r="N6352" t="s">
        <v>27252</v>
      </c>
      <c r="Q6352" s="1">
        <v>44538</v>
      </c>
      <c r="R6352" t="s">
        <v>27253</v>
      </c>
      <c r="S6352" t="s">
        <v>27254</v>
      </c>
      <c r="T6352" t="s">
        <v>27255</v>
      </c>
    </row>
    <row r="6353" spans="1:20" x14ac:dyDescent="0.3">
      <c r="A6353" t="str">
        <f>"0611835756100"</f>
        <v>0611835756100</v>
      </c>
      <c r="B6353" t="str">
        <f>"LK3375"</f>
        <v>LK3375</v>
      </c>
      <c r="C6353" t="s">
        <v>39567</v>
      </c>
      <c r="D6353" t="s">
        <v>27245</v>
      </c>
      <c r="E6353" t="str">
        <f t="shared" si="99"/>
        <v>001390</v>
      </c>
      <c r="F6353" t="s">
        <v>27246</v>
      </c>
      <c r="G6353" t="s">
        <v>27247</v>
      </c>
      <c r="H6353" t="s">
        <v>27248</v>
      </c>
      <c r="I6353" t="s">
        <v>39568</v>
      </c>
      <c r="J6353" t="s">
        <v>12698</v>
      </c>
      <c r="L6353" t="s">
        <v>27250</v>
      </c>
      <c r="M6353" t="s">
        <v>27251</v>
      </c>
      <c r="N6353" t="s">
        <v>27252</v>
      </c>
      <c r="Q6353" s="1">
        <v>44538</v>
      </c>
      <c r="R6353" t="s">
        <v>27253</v>
      </c>
      <c r="S6353" t="s">
        <v>27254</v>
      </c>
      <c r="T6353" t="s">
        <v>27255</v>
      </c>
    </row>
    <row r="6354" spans="1:20" x14ac:dyDescent="0.3">
      <c r="A6354" t="str">
        <f>"0611835757100"</f>
        <v>0611835757100</v>
      </c>
      <c r="B6354" t="str">
        <f>"LB4150"</f>
        <v>LB4150</v>
      </c>
      <c r="C6354" t="s">
        <v>39569</v>
      </c>
      <c r="D6354" t="s">
        <v>27245</v>
      </c>
      <c r="E6354" t="str">
        <f t="shared" si="99"/>
        <v>001390</v>
      </c>
      <c r="F6354" t="s">
        <v>27246</v>
      </c>
      <c r="G6354" t="s">
        <v>27247</v>
      </c>
      <c r="H6354" t="s">
        <v>27248</v>
      </c>
      <c r="I6354" t="s">
        <v>39570</v>
      </c>
      <c r="J6354" t="s">
        <v>12682</v>
      </c>
      <c r="L6354" t="s">
        <v>27250</v>
      </c>
      <c r="M6354" t="s">
        <v>27251</v>
      </c>
      <c r="N6354" t="s">
        <v>27252</v>
      </c>
      <c r="Q6354" s="1">
        <v>44538</v>
      </c>
      <c r="R6354" t="s">
        <v>27253</v>
      </c>
      <c r="S6354" t="s">
        <v>27254</v>
      </c>
      <c r="T6354" t="s">
        <v>27255</v>
      </c>
    </row>
    <row r="6355" spans="1:20" x14ac:dyDescent="0.3">
      <c r="A6355" t="str">
        <f>"0611835758100"</f>
        <v>0611835758100</v>
      </c>
      <c r="B6355" t="str">
        <f>"LK1605"</f>
        <v>LK1605</v>
      </c>
      <c r="C6355" t="s">
        <v>39571</v>
      </c>
      <c r="D6355" t="s">
        <v>27245</v>
      </c>
      <c r="E6355" t="str">
        <f t="shared" si="99"/>
        <v>001390</v>
      </c>
      <c r="F6355" t="s">
        <v>27246</v>
      </c>
      <c r="G6355" t="s">
        <v>27247</v>
      </c>
      <c r="H6355" t="s">
        <v>27248</v>
      </c>
      <c r="I6355" t="s">
        <v>39572</v>
      </c>
      <c r="J6355" t="s">
        <v>12684</v>
      </c>
      <c r="L6355" t="s">
        <v>27250</v>
      </c>
      <c r="M6355" t="s">
        <v>27251</v>
      </c>
      <c r="N6355" t="s">
        <v>27252</v>
      </c>
      <c r="Q6355" s="1">
        <v>44538</v>
      </c>
      <c r="R6355" t="s">
        <v>27253</v>
      </c>
      <c r="S6355" t="s">
        <v>27254</v>
      </c>
      <c r="T6355" t="s">
        <v>27255</v>
      </c>
    </row>
    <row r="6356" spans="1:20" x14ac:dyDescent="0.3">
      <c r="A6356" t="str">
        <f>"0611835759100"</f>
        <v>0611835759100</v>
      </c>
      <c r="B6356" t="str">
        <f>"LK3377"</f>
        <v>LK3377</v>
      </c>
      <c r="C6356" t="s">
        <v>39573</v>
      </c>
      <c r="D6356" t="s">
        <v>27245</v>
      </c>
      <c r="E6356" t="str">
        <f t="shared" si="99"/>
        <v>001390</v>
      </c>
      <c r="F6356" t="s">
        <v>27246</v>
      </c>
      <c r="G6356" t="s">
        <v>27247</v>
      </c>
      <c r="H6356" t="s">
        <v>27248</v>
      </c>
      <c r="I6356" t="s">
        <v>39574</v>
      </c>
      <c r="J6356" t="s">
        <v>12702</v>
      </c>
      <c r="L6356" t="s">
        <v>27250</v>
      </c>
      <c r="M6356" t="s">
        <v>27251</v>
      </c>
      <c r="N6356" t="s">
        <v>27252</v>
      </c>
      <c r="Q6356" s="1">
        <v>44538</v>
      </c>
      <c r="R6356" t="s">
        <v>27253</v>
      </c>
      <c r="S6356" t="s">
        <v>27254</v>
      </c>
      <c r="T6356" t="s">
        <v>27255</v>
      </c>
    </row>
    <row r="6357" spans="1:20" x14ac:dyDescent="0.3">
      <c r="A6357" t="str">
        <f>"0611835760100"</f>
        <v>0611835760100</v>
      </c>
      <c r="B6357" t="str">
        <f>"LK3378"</f>
        <v>LK3378</v>
      </c>
      <c r="C6357" t="s">
        <v>39575</v>
      </c>
      <c r="D6357" t="s">
        <v>27245</v>
      </c>
      <c r="E6357" t="str">
        <f t="shared" si="99"/>
        <v>001390</v>
      </c>
      <c r="F6357" t="s">
        <v>27246</v>
      </c>
      <c r="G6357" t="s">
        <v>27247</v>
      </c>
      <c r="H6357" t="s">
        <v>27248</v>
      </c>
      <c r="I6357" t="s">
        <v>39576</v>
      </c>
      <c r="J6357" t="s">
        <v>12704</v>
      </c>
      <c r="L6357" t="s">
        <v>27250</v>
      </c>
      <c r="M6357" t="s">
        <v>27251</v>
      </c>
      <c r="N6357" t="s">
        <v>27252</v>
      </c>
      <c r="Q6357" s="1">
        <v>44538</v>
      </c>
      <c r="R6357" t="s">
        <v>27253</v>
      </c>
      <c r="S6357" t="s">
        <v>27254</v>
      </c>
      <c r="T6357" t="s">
        <v>27255</v>
      </c>
    </row>
    <row r="6358" spans="1:20" x14ac:dyDescent="0.3">
      <c r="A6358" t="str">
        <f>"0611835761100"</f>
        <v>0611835761100</v>
      </c>
      <c r="B6358" t="str">
        <f>"LK3379"</f>
        <v>LK3379</v>
      </c>
      <c r="C6358" t="s">
        <v>39577</v>
      </c>
      <c r="D6358" t="s">
        <v>27245</v>
      </c>
      <c r="E6358" t="str">
        <f t="shared" si="99"/>
        <v>001390</v>
      </c>
      <c r="F6358" t="s">
        <v>27246</v>
      </c>
      <c r="G6358" t="s">
        <v>27247</v>
      </c>
      <c r="H6358" t="s">
        <v>27248</v>
      </c>
      <c r="I6358" t="s">
        <v>39578</v>
      </c>
      <c r="J6358" t="s">
        <v>12706</v>
      </c>
      <c r="L6358" t="s">
        <v>27250</v>
      </c>
      <c r="M6358" t="s">
        <v>27251</v>
      </c>
      <c r="N6358" t="s">
        <v>27252</v>
      </c>
      <c r="Q6358" s="1">
        <v>44538</v>
      </c>
      <c r="R6358" t="s">
        <v>27253</v>
      </c>
      <c r="S6358" t="s">
        <v>27254</v>
      </c>
      <c r="T6358" t="s">
        <v>27255</v>
      </c>
    </row>
    <row r="6359" spans="1:20" x14ac:dyDescent="0.3">
      <c r="A6359" t="str">
        <f>"0611835762100"</f>
        <v>0611835762100</v>
      </c>
      <c r="B6359" t="str">
        <f>"LB3349"</f>
        <v>LB3349</v>
      </c>
      <c r="C6359" t="s">
        <v>39579</v>
      </c>
      <c r="D6359" t="s">
        <v>27245</v>
      </c>
      <c r="E6359" t="str">
        <f t="shared" si="99"/>
        <v>001390</v>
      </c>
      <c r="F6359" t="s">
        <v>27246</v>
      </c>
      <c r="G6359" t="s">
        <v>27247</v>
      </c>
      <c r="H6359" t="s">
        <v>27248</v>
      </c>
      <c r="I6359" t="s">
        <v>39580</v>
      </c>
      <c r="J6359" t="s">
        <v>12688</v>
      </c>
      <c r="L6359" t="s">
        <v>27250</v>
      </c>
      <c r="M6359" t="s">
        <v>27251</v>
      </c>
      <c r="N6359" t="s">
        <v>27252</v>
      </c>
      <c r="Q6359" s="1">
        <v>44538</v>
      </c>
      <c r="R6359" t="s">
        <v>27253</v>
      </c>
      <c r="S6359" t="s">
        <v>27254</v>
      </c>
      <c r="T6359" t="s">
        <v>27255</v>
      </c>
    </row>
    <row r="6360" spans="1:20" x14ac:dyDescent="0.3">
      <c r="A6360" t="str">
        <f>"0611835763100"</f>
        <v>0611835763100</v>
      </c>
      <c r="B6360" t="str">
        <f>"LK4688"</f>
        <v>LK4688</v>
      </c>
      <c r="C6360" t="s">
        <v>39581</v>
      </c>
      <c r="D6360" t="s">
        <v>27245</v>
      </c>
      <c r="E6360" t="str">
        <f t="shared" si="99"/>
        <v>001390</v>
      </c>
      <c r="F6360" t="s">
        <v>27246</v>
      </c>
      <c r="G6360" t="s">
        <v>27247</v>
      </c>
      <c r="H6360" t="s">
        <v>27248</v>
      </c>
      <c r="I6360" t="s">
        <v>39582</v>
      </c>
      <c r="J6360" t="s">
        <v>12708</v>
      </c>
      <c r="L6360" t="s">
        <v>27250</v>
      </c>
      <c r="M6360" t="s">
        <v>27251</v>
      </c>
      <c r="N6360" t="s">
        <v>27252</v>
      </c>
      <c r="Q6360" s="1">
        <v>44538</v>
      </c>
      <c r="R6360" t="s">
        <v>27253</v>
      </c>
      <c r="S6360" t="s">
        <v>27254</v>
      </c>
      <c r="T6360" t="s">
        <v>27255</v>
      </c>
    </row>
    <row r="6361" spans="1:20" x14ac:dyDescent="0.3">
      <c r="A6361" t="str">
        <f>"0611835764100"</f>
        <v>0611835764100</v>
      </c>
      <c r="B6361" t="str">
        <f>"LB4146"</f>
        <v>LB4146</v>
      </c>
      <c r="C6361" t="s">
        <v>39583</v>
      </c>
      <c r="D6361" t="s">
        <v>27245</v>
      </c>
      <c r="E6361" t="str">
        <f t="shared" si="99"/>
        <v>001390</v>
      </c>
      <c r="F6361" t="s">
        <v>27246</v>
      </c>
      <c r="G6361" t="s">
        <v>27247</v>
      </c>
      <c r="H6361" t="s">
        <v>27248</v>
      </c>
      <c r="I6361" t="s">
        <v>39584</v>
      </c>
      <c r="J6361" t="s">
        <v>12690</v>
      </c>
      <c r="L6361" t="s">
        <v>27250</v>
      </c>
      <c r="M6361" t="s">
        <v>27251</v>
      </c>
      <c r="N6361" t="s">
        <v>27252</v>
      </c>
      <c r="Q6361" s="1">
        <v>44538</v>
      </c>
      <c r="R6361" t="s">
        <v>27253</v>
      </c>
      <c r="S6361" t="s">
        <v>27254</v>
      </c>
      <c r="T6361" t="s">
        <v>27255</v>
      </c>
    </row>
    <row r="6362" spans="1:20" x14ac:dyDescent="0.3">
      <c r="A6362" t="str">
        <f>"0611835766100"</f>
        <v>0611835766100</v>
      </c>
      <c r="B6362" t="str">
        <f>"LK3381"</f>
        <v>LK3381</v>
      </c>
      <c r="C6362" t="s">
        <v>39585</v>
      </c>
      <c r="D6362" t="s">
        <v>27245</v>
      </c>
      <c r="E6362" t="str">
        <f t="shared" si="99"/>
        <v>001390</v>
      </c>
      <c r="F6362" t="s">
        <v>27246</v>
      </c>
      <c r="G6362" t="s">
        <v>27247</v>
      </c>
      <c r="H6362" t="s">
        <v>27248</v>
      </c>
      <c r="I6362" t="s">
        <v>39586</v>
      </c>
      <c r="J6362" t="s">
        <v>12710</v>
      </c>
      <c r="L6362" t="s">
        <v>27250</v>
      </c>
      <c r="M6362" t="s">
        <v>27251</v>
      </c>
      <c r="N6362" t="s">
        <v>27252</v>
      </c>
      <c r="Q6362" s="1">
        <v>44538</v>
      </c>
      <c r="R6362" t="s">
        <v>27253</v>
      </c>
      <c r="S6362" t="s">
        <v>27254</v>
      </c>
      <c r="T6362" t="s">
        <v>27255</v>
      </c>
    </row>
    <row r="6363" spans="1:20" x14ac:dyDescent="0.3">
      <c r="A6363" t="str">
        <f>"0611835768100"</f>
        <v>0611835768100</v>
      </c>
      <c r="B6363" t="str">
        <f>"LK3382"</f>
        <v>LK3382</v>
      </c>
      <c r="C6363" t="s">
        <v>39587</v>
      </c>
      <c r="D6363" t="s">
        <v>27245</v>
      </c>
      <c r="E6363" t="str">
        <f t="shared" si="99"/>
        <v>001390</v>
      </c>
      <c r="F6363" t="s">
        <v>27246</v>
      </c>
      <c r="G6363" t="s">
        <v>27247</v>
      </c>
      <c r="H6363" t="s">
        <v>27248</v>
      </c>
      <c r="I6363" t="s">
        <v>39588</v>
      </c>
      <c r="J6363" t="s">
        <v>12712</v>
      </c>
      <c r="L6363" t="s">
        <v>27250</v>
      </c>
      <c r="M6363" t="s">
        <v>27251</v>
      </c>
      <c r="N6363" t="s">
        <v>27252</v>
      </c>
      <c r="Q6363" s="1">
        <v>44538</v>
      </c>
      <c r="R6363" t="s">
        <v>27253</v>
      </c>
      <c r="S6363" t="s">
        <v>27254</v>
      </c>
      <c r="T6363" t="s">
        <v>27255</v>
      </c>
    </row>
    <row r="6364" spans="1:20" x14ac:dyDescent="0.3">
      <c r="A6364" t="str">
        <f>"0611835769100"</f>
        <v>0611835769100</v>
      </c>
      <c r="B6364" t="str">
        <f>"LK3383"</f>
        <v>LK3383</v>
      </c>
      <c r="C6364" t="s">
        <v>39589</v>
      </c>
      <c r="D6364" t="s">
        <v>27245</v>
      </c>
      <c r="E6364" t="str">
        <f t="shared" si="99"/>
        <v>001390</v>
      </c>
      <c r="F6364" t="s">
        <v>27246</v>
      </c>
      <c r="G6364" t="s">
        <v>27247</v>
      </c>
      <c r="H6364" t="s">
        <v>27248</v>
      </c>
      <c r="I6364" t="s">
        <v>39590</v>
      </c>
      <c r="J6364" t="s">
        <v>12714</v>
      </c>
      <c r="L6364" t="s">
        <v>27250</v>
      </c>
      <c r="M6364" t="s">
        <v>27251</v>
      </c>
      <c r="N6364" t="s">
        <v>27252</v>
      </c>
      <c r="Q6364" s="1">
        <v>44538</v>
      </c>
      <c r="R6364" t="s">
        <v>27253</v>
      </c>
      <c r="S6364" t="s">
        <v>27254</v>
      </c>
      <c r="T6364" t="s">
        <v>27255</v>
      </c>
    </row>
    <row r="6365" spans="1:20" x14ac:dyDescent="0.3">
      <c r="A6365" t="str">
        <f>"0611835770100"</f>
        <v>0611835770100</v>
      </c>
      <c r="B6365" t="str">
        <f>"LK3384"</f>
        <v>LK3384</v>
      </c>
      <c r="C6365" t="s">
        <v>39591</v>
      </c>
      <c r="D6365" t="s">
        <v>27245</v>
      </c>
      <c r="E6365" t="str">
        <f t="shared" si="99"/>
        <v>001390</v>
      </c>
      <c r="F6365" t="s">
        <v>27246</v>
      </c>
      <c r="G6365" t="s">
        <v>27247</v>
      </c>
      <c r="H6365" t="s">
        <v>27248</v>
      </c>
      <c r="I6365" t="s">
        <v>39592</v>
      </c>
      <c r="J6365" t="s">
        <v>12716</v>
      </c>
      <c r="L6365" t="s">
        <v>27250</v>
      </c>
      <c r="M6365" t="s">
        <v>27251</v>
      </c>
      <c r="N6365" t="s">
        <v>27252</v>
      </c>
      <c r="Q6365" s="1">
        <v>44538</v>
      </c>
      <c r="R6365" t="s">
        <v>27253</v>
      </c>
      <c r="S6365" t="s">
        <v>27254</v>
      </c>
      <c r="T6365" t="s">
        <v>27255</v>
      </c>
    </row>
    <row r="6366" spans="1:20" x14ac:dyDescent="0.3">
      <c r="A6366" t="str">
        <f>"0611835771100"</f>
        <v>0611835771100</v>
      </c>
      <c r="B6366" t="str">
        <f>"LK3385"</f>
        <v>LK3385</v>
      </c>
      <c r="C6366" t="s">
        <v>39593</v>
      </c>
      <c r="D6366" t="s">
        <v>27245</v>
      </c>
      <c r="E6366" t="str">
        <f t="shared" si="99"/>
        <v>001390</v>
      </c>
      <c r="F6366" t="s">
        <v>27246</v>
      </c>
      <c r="G6366" t="s">
        <v>27247</v>
      </c>
      <c r="H6366" t="s">
        <v>27248</v>
      </c>
      <c r="I6366" t="s">
        <v>39594</v>
      </c>
      <c r="J6366" t="s">
        <v>12722</v>
      </c>
      <c r="L6366" t="s">
        <v>27250</v>
      </c>
      <c r="M6366" t="s">
        <v>27251</v>
      </c>
      <c r="N6366" t="s">
        <v>27252</v>
      </c>
      <c r="Q6366" s="1">
        <v>44538</v>
      </c>
      <c r="R6366" t="s">
        <v>27253</v>
      </c>
      <c r="S6366" t="s">
        <v>27254</v>
      </c>
      <c r="T6366" t="s">
        <v>27255</v>
      </c>
    </row>
    <row r="6367" spans="1:20" x14ac:dyDescent="0.3">
      <c r="A6367" t="str">
        <f>"0611835772100"</f>
        <v>0611835772100</v>
      </c>
      <c r="B6367" t="str">
        <f>"LK0207"</f>
        <v>LK0207</v>
      </c>
      <c r="C6367" t="s">
        <v>39595</v>
      </c>
      <c r="D6367" t="s">
        <v>27245</v>
      </c>
      <c r="E6367" t="str">
        <f t="shared" si="99"/>
        <v>001390</v>
      </c>
      <c r="F6367" t="s">
        <v>27246</v>
      </c>
      <c r="G6367" t="s">
        <v>27247</v>
      </c>
      <c r="H6367" t="s">
        <v>27248</v>
      </c>
      <c r="I6367" t="s">
        <v>39596</v>
      </c>
      <c r="J6367" t="s">
        <v>12694</v>
      </c>
      <c r="L6367" t="s">
        <v>27250</v>
      </c>
      <c r="M6367" t="s">
        <v>27251</v>
      </c>
      <c r="N6367" t="s">
        <v>27252</v>
      </c>
      <c r="Q6367" s="1">
        <v>44538</v>
      </c>
      <c r="R6367" t="s">
        <v>27253</v>
      </c>
      <c r="S6367" t="s">
        <v>27254</v>
      </c>
      <c r="T6367" t="s">
        <v>27255</v>
      </c>
    </row>
    <row r="6368" spans="1:20" x14ac:dyDescent="0.3">
      <c r="A6368" t="str">
        <f>"0611835773100"</f>
        <v>0611835773100</v>
      </c>
      <c r="B6368" t="str">
        <f>"LK3386"</f>
        <v>LK3386</v>
      </c>
      <c r="C6368" t="s">
        <v>39597</v>
      </c>
      <c r="D6368" t="s">
        <v>27245</v>
      </c>
      <c r="E6368" t="str">
        <f t="shared" si="99"/>
        <v>001390</v>
      </c>
      <c r="F6368" t="s">
        <v>27246</v>
      </c>
      <c r="G6368" t="s">
        <v>27247</v>
      </c>
      <c r="H6368" t="s">
        <v>27248</v>
      </c>
      <c r="I6368" t="s">
        <v>39598</v>
      </c>
      <c r="J6368" t="s">
        <v>12724</v>
      </c>
      <c r="L6368" t="s">
        <v>27250</v>
      </c>
      <c r="M6368" t="s">
        <v>27251</v>
      </c>
      <c r="N6368" t="s">
        <v>27252</v>
      </c>
      <c r="Q6368" s="1">
        <v>44538</v>
      </c>
      <c r="R6368" t="s">
        <v>27253</v>
      </c>
      <c r="S6368" t="s">
        <v>27254</v>
      </c>
      <c r="T6368" t="s">
        <v>27255</v>
      </c>
    </row>
    <row r="6369" spans="1:20" x14ac:dyDescent="0.3">
      <c r="A6369" t="str">
        <f>"0611835775100"</f>
        <v>0611835775100</v>
      </c>
      <c r="B6369" t="str">
        <f>"LK3387"</f>
        <v>LK3387</v>
      </c>
      <c r="C6369" t="s">
        <v>39599</v>
      </c>
      <c r="D6369" t="s">
        <v>27245</v>
      </c>
      <c r="E6369" t="str">
        <f t="shared" si="99"/>
        <v>001390</v>
      </c>
      <c r="F6369" t="s">
        <v>27246</v>
      </c>
      <c r="G6369" t="s">
        <v>27247</v>
      </c>
      <c r="H6369" t="s">
        <v>27248</v>
      </c>
      <c r="I6369" t="s">
        <v>39600</v>
      </c>
      <c r="J6369" t="s">
        <v>12728</v>
      </c>
      <c r="L6369" t="s">
        <v>27250</v>
      </c>
      <c r="M6369" t="s">
        <v>27251</v>
      </c>
      <c r="N6369" t="s">
        <v>27252</v>
      </c>
      <c r="Q6369" s="1">
        <v>44538</v>
      </c>
      <c r="R6369" t="s">
        <v>27253</v>
      </c>
      <c r="S6369" t="s">
        <v>27254</v>
      </c>
      <c r="T6369" t="s">
        <v>27255</v>
      </c>
    </row>
    <row r="6370" spans="1:20" x14ac:dyDescent="0.3">
      <c r="A6370" t="str">
        <f>"0611835776100"</f>
        <v>0611835776100</v>
      </c>
      <c r="B6370" t="str">
        <f>"LK1606"</f>
        <v>LK1606</v>
      </c>
      <c r="C6370" t="s">
        <v>39601</v>
      </c>
      <c r="D6370" t="s">
        <v>27245</v>
      </c>
      <c r="E6370" t="str">
        <f t="shared" si="99"/>
        <v>001390</v>
      </c>
      <c r="F6370" t="s">
        <v>27246</v>
      </c>
      <c r="G6370" t="s">
        <v>27247</v>
      </c>
      <c r="H6370" t="s">
        <v>27248</v>
      </c>
      <c r="I6370" t="s">
        <v>39602</v>
      </c>
      <c r="J6370" t="s">
        <v>12696</v>
      </c>
      <c r="L6370" t="s">
        <v>27250</v>
      </c>
      <c r="M6370" t="s">
        <v>27251</v>
      </c>
      <c r="N6370" t="s">
        <v>27252</v>
      </c>
      <c r="Q6370" s="1">
        <v>44538</v>
      </c>
      <c r="R6370" t="s">
        <v>27253</v>
      </c>
      <c r="S6370" t="s">
        <v>27254</v>
      </c>
      <c r="T6370" t="s">
        <v>27255</v>
      </c>
    </row>
    <row r="6371" spans="1:20" x14ac:dyDescent="0.3">
      <c r="A6371" t="str">
        <f>"0611835778100"</f>
        <v>0611835778100</v>
      </c>
      <c r="B6371" t="str">
        <f>"LK3388"</f>
        <v>LK3388</v>
      </c>
      <c r="C6371" t="s">
        <v>39603</v>
      </c>
      <c r="D6371" t="s">
        <v>27245</v>
      </c>
      <c r="E6371" t="str">
        <f t="shared" si="99"/>
        <v>001390</v>
      </c>
      <c r="F6371" t="s">
        <v>27246</v>
      </c>
      <c r="G6371" t="s">
        <v>27247</v>
      </c>
      <c r="H6371" t="s">
        <v>27248</v>
      </c>
      <c r="I6371" t="s">
        <v>39604</v>
      </c>
      <c r="J6371" t="s">
        <v>12730</v>
      </c>
      <c r="L6371" t="s">
        <v>27250</v>
      </c>
      <c r="M6371" t="s">
        <v>27251</v>
      </c>
      <c r="N6371" t="s">
        <v>27252</v>
      </c>
      <c r="Q6371" s="1">
        <v>44538</v>
      </c>
      <c r="R6371" t="s">
        <v>27253</v>
      </c>
      <c r="S6371" t="s">
        <v>27254</v>
      </c>
      <c r="T6371" t="s">
        <v>27255</v>
      </c>
    </row>
    <row r="6372" spans="1:20" x14ac:dyDescent="0.3">
      <c r="A6372" t="str">
        <f>"0611835779100"</f>
        <v>0611835779100</v>
      </c>
      <c r="B6372" t="str">
        <f>"LK3392"</f>
        <v>LK3392</v>
      </c>
      <c r="C6372" t="s">
        <v>39605</v>
      </c>
      <c r="D6372" t="s">
        <v>27245</v>
      </c>
      <c r="E6372" t="str">
        <f t="shared" si="99"/>
        <v>001390</v>
      </c>
      <c r="F6372" t="s">
        <v>27246</v>
      </c>
      <c r="G6372" t="s">
        <v>27247</v>
      </c>
      <c r="H6372" t="s">
        <v>27248</v>
      </c>
      <c r="I6372" t="s">
        <v>39606</v>
      </c>
      <c r="J6372" t="s">
        <v>12732</v>
      </c>
      <c r="L6372" t="s">
        <v>27250</v>
      </c>
      <c r="M6372" t="s">
        <v>27251</v>
      </c>
      <c r="N6372" t="s">
        <v>27252</v>
      </c>
      <c r="Q6372" s="1">
        <v>44538</v>
      </c>
      <c r="R6372" t="s">
        <v>27253</v>
      </c>
      <c r="S6372" t="s">
        <v>27254</v>
      </c>
      <c r="T6372" t="s">
        <v>27255</v>
      </c>
    </row>
    <row r="6373" spans="1:20" x14ac:dyDescent="0.3">
      <c r="A6373" t="str">
        <f>"0611835780100"</f>
        <v>0611835780100</v>
      </c>
      <c r="B6373" t="str">
        <f>"LK3393"</f>
        <v>LK3393</v>
      </c>
      <c r="C6373" t="s">
        <v>39607</v>
      </c>
      <c r="D6373" t="s">
        <v>27245</v>
      </c>
      <c r="E6373" t="str">
        <f t="shared" si="99"/>
        <v>001390</v>
      </c>
      <c r="F6373" t="s">
        <v>27246</v>
      </c>
      <c r="G6373" t="s">
        <v>27247</v>
      </c>
      <c r="H6373" t="s">
        <v>27248</v>
      </c>
      <c r="I6373" t="s">
        <v>39608</v>
      </c>
      <c r="J6373" t="s">
        <v>12736</v>
      </c>
      <c r="L6373" t="s">
        <v>27250</v>
      </c>
      <c r="M6373" t="s">
        <v>27251</v>
      </c>
      <c r="N6373" t="s">
        <v>27252</v>
      </c>
      <c r="Q6373" s="1">
        <v>44538</v>
      </c>
      <c r="R6373" t="s">
        <v>27253</v>
      </c>
      <c r="S6373" t="s">
        <v>27254</v>
      </c>
      <c r="T6373" t="s">
        <v>27255</v>
      </c>
    </row>
    <row r="6374" spans="1:20" x14ac:dyDescent="0.3">
      <c r="A6374" t="str">
        <f>"0611835781100"</f>
        <v>0611835781100</v>
      </c>
      <c r="B6374" t="str">
        <f>"LK4749"</f>
        <v>LK4749</v>
      </c>
      <c r="C6374" t="s">
        <v>39609</v>
      </c>
      <c r="D6374" t="s">
        <v>27245</v>
      </c>
      <c r="E6374" t="str">
        <f t="shared" si="99"/>
        <v>001390</v>
      </c>
      <c r="F6374" t="s">
        <v>27246</v>
      </c>
      <c r="G6374" t="s">
        <v>27247</v>
      </c>
      <c r="H6374" t="s">
        <v>27248</v>
      </c>
      <c r="I6374" t="s">
        <v>39610</v>
      </c>
      <c r="J6374" t="s">
        <v>12686</v>
      </c>
      <c r="L6374" t="s">
        <v>27250</v>
      </c>
      <c r="M6374" t="s">
        <v>27251</v>
      </c>
      <c r="N6374" t="s">
        <v>27252</v>
      </c>
      <c r="Q6374" s="1">
        <v>44538</v>
      </c>
      <c r="R6374" t="s">
        <v>27253</v>
      </c>
      <c r="S6374" t="s">
        <v>27254</v>
      </c>
      <c r="T6374" t="s">
        <v>27255</v>
      </c>
    </row>
    <row r="6375" spans="1:20" x14ac:dyDescent="0.3">
      <c r="A6375" t="str">
        <f>"0611835782100"</f>
        <v>0611835782100</v>
      </c>
      <c r="B6375" t="str">
        <f>"LB3566"</f>
        <v>LB3566</v>
      </c>
      <c r="C6375" t="s">
        <v>39611</v>
      </c>
      <c r="D6375" t="s">
        <v>27245</v>
      </c>
      <c r="E6375" t="str">
        <f t="shared" si="99"/>
        <v>001390</v>
      </c>
      <c r="F6375" t="s">
        <v>27246</v>
      </c>
      <c r="G6375" t="s">
        <v>27247</v>
      </c>
      <c r="H6375" t="s">
        <v>27248</v>
      </c>
      <c r="I6375" t="s">
        <v>39612</v>
      </c>
      <c r="J6375" t="s">
        <v>12692</v>
      </c>
      <c r="L6375" t="s">
        <v>27250</v>
      </c>
      <c r="M6375" t="s">
        <v>27251</v>
      </c>
      <c r="N6375" t="s">
        <v>27252</v>
      </c>
      <c r="Q6375" s="1">
        <v>44538</v>
      </c>
      <c r="R6375" t="s">
        <v>27253</v>
      </c>
      <c r="S6375" t="s">
        <v>27254</v>
      </c>
      <c r="T6375" t="s">
        <v>27255</v>
      </c>
    </row>
    <row r="6376" spans="1:20" x14ac:dyDescent="0.3">
      <c r="A6376" t="str">
        <f>"0611835783100"</f>
        <v>0611835783100</v>
      </c>
      <c r="B6376" t="str">
        <f>"LK4750"</f>
        <v>LK4750</v>
      </c>
      <c r="C6376" t="s">
        <v>39613</v>
      </c>
      <c r="D6376" t="s">
        <v>27245</v>
      </c>
      <c r="E6376" t="str">
        <f t="shared" si="99"/>
        <v>001390</v>
      </c>
      <c r="F6376" t="s">
        <v>27246</v>
      </c>
      <c r="G6376" t="s">
        <v>27247</v>
      </c>
      <c r="H6376" t="s">
        <v>27248</v>
      </c>
      <c r="I6376" t="s">
        <v>39614</v>
      </c>
      <c r="J6376" t="s">
        <v>12720</v>
      </c>
      <c r="L6376" t="s">
        <v>27250</v>
      </c>
      <c r="M6376" t="s">
        <v>27251</v>
      </c>
      <c r="N6376" t="s">
        <v>27252</v>
      </c>
      <c r="Q6376" s="1">
        <v>44538</v>
      </c>
      <c r="R6376" t="s">
        <v>27253</v>
      </c>
      <c r="S6376" t="s">
        <v>27254</v>
      </c>
      <c r="T6376" t="s">
        <v>27255</v>
      </c>
    </row>
    <row r="6377" spans="1:20" x14ac:dyDescent="0.3">
      <c r="A6377" t="str">
        <f>"0611862762050"</f>
        <v>0611862762050</v>
      </c>
      <c r="B6377" t="str">
        <f>"CE1094"</f>
        <v>CE1094</v>
      </c>
      <c r="C6377" t="s">
        <v>39615</v>
      </c>
      <c r="D6377" t="s">
        <v>27923</v>
      </c>
      <c r="E6377" t="str">
        <f t="shared" si="99"/>
        <v>001390</v>
      </c>
      <c r="F6377" t="s">
        <v>27246</v>
      </c>
      <c r="G6377" t="s">
        <v>27247</v>
      </c>
      <c r="H6377" t="s">
        <v>27248</v>
      </c>
      <c r="I6377" t="s">
        <v>39616</v>
      </c>
      <c r="J6377" t="s">
        <v>12738</v>
      </c>
      <c r="L6377" t="s">
        <v>27250</v>
      </c>
      <c r="M6377" t="s">
        <v>27251</v>
      </c>
      <c r="N6377" t="s">
        <v>27252</v>
      </c>
      <c r="P6377" t="s">
        <v>27925</v>
      </c>
      <c r="Q6377" s="1">
        <v>44846</v>
      </c>
      <c r="R6377" t="s">
        <v>27253</v>
      </c>
      <c r="S6377" t="s">
        <v>27254</v>
      </c>
      <c r="T6377" t="s">
        <v>27265</v>
      </c>
    </row>
    <row r="6378" spans="1:20" x14ac:dyDescent="0.3">
      <c r="A6378" t="str">
        <f>"0611862763050"</f>
        <v>0611862763050</v>
      </c>
      <c r="B6378" t="str">
        <f>"CE0601"</f>
        <v>CE0601</v>
      </c>
      <c r="C6378" t="s">
        <v>39617</v>
      </c>
      <c r="D6378" t="s">
        <v>27923</v>
      </c>
      <c r="E6378" t="str">
        <f t="shared" si="99"/>
        <v>001390</v>
      </c>
      <c r="F6378" t="s">
        <v>27246</v>
      </c>
      <c r="G6378" t="s">
        <v>27247</v>
      </c>
      <c r="H6378" t="s">
        <v>27248</v>
      </c>
      <c r="I6378" t="s">
        <v>39618</v>
      </c>
      <c r="J6378" t="s">
        <v>12740</v>
      </c>
      <c r="L6378" t="s">
        <v>27250</v>
      </c>
      <c r="M6378" t="s">
        <v>27251</v>
      </c>
      <c r="N6378" t="s">
        <v>27252</v>
      </c>
      <c r="P6378" t="s">
        <v>27925</v>
      </c>
      <c r="Q6378" s="1">
        <v>44846</v>
      </c>
      <c r="R6378" t="s">
        <v>27253</v>
      </c>
      <c r="S6378" t="s">
        <v>27254</v>
      </c>
      <c r="T6378" t="s">
        <v>27265</v>
      </c>
    </row>
    <row r="6379" spans="1:20" x14ac:dyDescent="0.3">
      <c r="A6379" t="str">
        <f>"0611862764050"</f>
        <v>0611862764050</v>
      </c>
      <c r="B6379" t="str">
        <f>"CE1095"</f>
        <v>CE1095</v>
      </c>
      <c r="C6379" t="s">
        <v>39619</v>
      </c>
      <c r="D6379" t="s">
        <v>27923</v>
      </c>
      <c r="E6379" t="str">
        <f t="shared" si="99"/>
        <v>001390</v>
      </c>
      <c r="F6379" t="s">
        <v>27246</v>
      </c>
      <c r="G6379" t="s">
        <v>27247</v>
      </c>
      <c r="H6379" t="s">
        <v>27248</v>
      </c>
      <c r="I6379" t="s">
        <v>39620</v>
      </c>
      <c r="J6379" t="s">
        <v>12742</v>
      </c>
      <c r="L6379" t="s">
        <v>27250</v>
      </c>
      <c r="M6379" t="s">
        <v>27251</v>
      </c>
      <c r="N6379" t="s">
        <v>27252</v>
      </c>
      <c r="P6379" t="s">
        <v>27925</v>
      </c>
      <c r="Q6379" s="1">
        <v>44846</v>
      </c>
      <c r="R6379" t="s">
        <v>27253</v>
      </c>
      <c r="S6379" t="s">
        <v>27254</v>
      </c>
      <c r="T6379" t="s">
        <v>27265</v>
      </c>
    </row>
    <row r="6380" spans="1:20" x14ac:dyDescent="0.3">
      <c r="A6380" t="str">
        <f>"0611862766050"</f>
        <v>0611862766050</v>
      </c>
      <c r="B6380" t="str">
        <f>"CE1096"</f>
        <v>CE1096</v>
      </c>
      <c r="C6380" t="s">
        <v>39621</v>
      </c>
      <c r="D6380" t="s">
        <v>27923</v>
      </c>
      <c r="E6380" t="str">
        <f t="shared" si="99"/>
        <v>001390</v>
      </c>
      <c r="F6380" t="s">
        <v>27246</v>
      </c>
      <c r="G6380" t="s">
        <v>27247</v>
      </c>
      <c r="H6380" t="s">
        <v>27248</v>
      </c>
      <c r="I6380" t="s">
        <v>39622</v>
      </c>
      <c r="J6380" t="s">
        <v>12744</v>
      </c>
      <c r="L6380" t="s">
        <v>27250</v>
      </c>
      <c r="M6380" t="s">
        <v>27251</v>
      </c>
      <c r="N6380" t="s">
        <v>27252</v>
      </c>
      <c r="P6380" t="s">
        <v>27925</v>
      </c>
      <c r="Q6380" s="1">
        <v>44846</v>
      </c>
      <c r="R6380" t="s">
        <v>27253</v>
      </c>
      <c r="S6380" t="s">
        <v>27254</v>
      </c>
      <c r="T6380" t="s">
        <v>27265</v>
      </c>
    </row>
    <row r="6381" spans="1:20" x14ac:dyDescent="0.3">
      <c r="A6381" t="str">
        <f>"0611862767050"</f>
        <v>0611862767050</v>
      </c>
      <c r="B6381" t="str">
        <f>"CE0602"</f>
        <v>CE0602</v>
      </c>
      <c r="C6381" t="s">
        <v>39623</v>
      </c>
      <c r="D6381" t="s">
        <v>27923</v>
      </c>
      <c r="E6381" t="str">
        <f t="shared" si="99"/>
        <v>001390</v>
      </c>
      <c r="F6381" t="s">
        <v>27246</v>
      </c>
      <c r="G6381" t="s">
        <v>27247</v>
      </c>
      <c r="H6381" t="s">
        <v>27248</v>
      </c>
      <c r="I6381" t="s">
        <v>39624</v>
      </c>
      <c r="J6381" t="s">
        <v>12746</v>
      </c>
      <c r="L6381" t="s">
        <v>27250</v>
      </c>
      <c r="M6381" t="s">
        <v>27251</v>
      </c>
      <c r="N6381" t="s">
        <v>27252</v>
      </c>
      <c r="P6381" t="s">
        <v>27925</v>
      </c>
      <c r="Q6381" s="1">
        <v>44846</v>
      </c>
      <c r="R6381" t="s">
        <v>27253</v>
      </c>
      <c r="S6381" t="s">
        <v>27254</v>
      </c>
      <c r="T6381" t="s">
        <v>27265</v>
      </c>
    </row>
    <row r="6382" spans="1:20" x14ac:dyDescent="0.3">
      <c r="A6382" t="str">
        <f>"0611862768050"</f>
        <v>0611862768050</v>
      </c>
      <c r="B6382" t="str">
        <f>"CE0603"</f>
        <v>CE0603</v>
      </c>
      <c r="C6382" t="s">
        <v>39625</v>
      </c>
      <c r="D6382" t="s">
        <v>27923</v>
      </c>
      <c r="E6382" t="str">
        <f t="shared" si="99"/>
        <v>001390</v>
      </c>
      <c r="F6382" t="s">
        <v>27246</v>
      </c>
      <c r="G6382" t="s">
        <v>27247</v>
      </c>
      <c r="H6382" t="s">
        <v>27248</v>
      </c>
      <c r="I6382" t="s">
        <v>39626</v>
      </c>
      <c r="J6382" t="s">
        <v>12748</v>
      </c>
      <c r="L6382" t="s">
        <v>27250</v>
      </c>
      <c r="M6382" t="s">
        <v>27251</v>
      </c>
      <c r="N6382" t="s">
        <v>27252</v>
      </c>
      <c r="P6382" t="s">
        <v>27925</v>
      </c>
      <c r="Q6382" s="1">
        <v>44846</v>
      </c>
      <c r="R6382" t="s">
        <v>27253</v>
      </c>
      <c r="S6382" t="s">
        <v>27254</v>
      </c>
      <c r="T6382" t="s">
        <v>27265</v>
      </c>
    </row>
    <row r="6383" spans="1:20" x14ac:dyDescent="0.3">
      <c r="A6383" t="str">
        <f>"0611862769050"</f>
        <v>0611862769050</v>
      </c>
      <c r="B6383" t="str">
        <f>"CE0604"</f>
        <v>CE0604</v>
      </c>
      <c r="C6383" t="s">
        <v>39627</v>
      </c>
      <c r="D6383" t="s">
        <v>27923</v>
      </c>
      <c r="E6383" t="str">
        <f t="shared" si="99"/>
        <v>001390</v>
      </c>
      <c r="F6383" t="s">
        <v>27246</v>
      </c>
      <c r="G6383" t="s">
        <v>27247</v>
      </c>
      <c r="H6383" t="s">
        <v>27248</v>
      </c>
      <c r="I6383" t="s">
        <v>39628</v>
      </c>
      <c r="J6383" t="s">
        <v>12750</v>
      </c>
      <c r="L6383" t="s">
        <v>27250</v>
      </c>
      <c r="M6383" t="s">
        <v>27251</v>
      </c>
      <c r="N6383" t="s">
        <v>27252</v>
      </c>
      <c r="P6383" t="s">
        <v>27925</v>
      </c>
      <c r="Q6383" s="1">
        <v>44846</v>
      </c>
      <c r="R6383" t="s">
        <v>27253</v>
      </c>
      <c r="S6383" t="s">
        <v>27254</v>
      </c>
      <c r="T6383" t="s">
        <v>27265</v>
      </c>
    </row>
    <row r="6384" spans="1:20" x14ac:dyDescent="0.3">
      <c r="A6384" t="str">
        <f>"0611862770050"</f>
        <v>0611862770050</v>
      </c>
      <c r="B6384" t="str">
        <f>"CE0605"</f>
        <v>CE0605</v>
      </c>
      <c r="C6384" t="s">
        <v>39629</v>
      </c>
      <c r="D6384" t="s">
        <v>27923</v>
      </c>
      <c r="E6384" t="str">
        <f t="shared" si="99"/>
        <v>001390</v>
      </c>
      <c r="F6384" t="s">
        <v>27246</v>
      </c>
      <c r="G6384" t="s">
        <v>27247</v>
      </c>
      <c r="H6384" t="s">
        <v>27248</v>
      </c>
      <c r="I6384" t="s">
        <v>39630</v>
      </c>
      <c r="J6384" t="s">
        <v>12752</v>
      </c>
      <c r="L6384" t="s">
        <v>27250</v>
      </c>
      <c r="M6384" t="s">
        <v>27251</v>
      </c>
      <c r="N6384" t="s">
        <v>27252</v>
      </c>
      <c r="P6384" t="s">
        <v>27925</v>
      </c>
      <c r="Q6384" s="1">
        <v>44846</v>
      </c>
      <c r="R6384" t="s">
        <v>27253</v>
      </c>
      <c r="S6384" t="s">
        <v>27254</v>
      </c>
      <c r="T6384" t="s">
        <v>27265</v>
      </c>
    </row>
    <row r="6385" spans="1:20" x14ac:dyDescent="0.3">
      <c r="A6385" t="str">
        <f>"0611862771050"</f>
        <v>0611862771050</v>
      </c>
      <c r="B6385" t="str">
        <f>"CE0606"</f>
        <v>CE0606</v>
      </c>
      <c r="C6385" t="s">
        <v>39631</v>
      </c>
      <c r="D6385" t="s">
        <v>27923</v>
      </c>
      <c r="E6385" t="str">
        <f t="shared" si="99"/>
        <v>001390</v>
      </c>
      <c r="F6385" t="s">
        <v>27246</v>
      </c>
      <c r="G6385" t="s">
        <v>27247</v>
      </c>
      <c r="H6385" t="s">
        <v>27248</v>
      </c>
      <c r="I6385" t="s">
        <v>39632</v>
      </c>
      <c r="J6385" t="s">
        <v>12754</v>
      </c>
      <c r="L6385" t="s">
        <v>27250</v>
      </c>
      <c r="M6385" t="s">
        <v>27251</v>
      </c>
      <c r="N6385" t="s">
        <v>27252</v>
      </c>
      <c r="P6385" t="s">
        <v>27925</v>
      </c>
      <c r="Q6385" s="1">
        <v>44846</v>
      </c>
      <c r="R6385" t="s">
        <v>27253</v>
      </c>
      <c r="S6385" t="s">
        <v>27254</v>
      </c>
      <c r="T6385" t="s">
        <v>27265</v>
      </c>
    </row>
    <row r="6386" spans="1:20" x14ac:dyDescent="0.3">
      <c r="A6386" t="str">
        <f>"0611862772050"</f>
        <v>0611862772050</v>
      </c>
      <c r="B6386" t="str">
        <f>"CE0607"</f>
        <v>CE0607</v>
      </c>
      <c r="C6386" t="s">
        <v>39633</v>
      </c>
      <c r="D6386" t="s">
        <v>27923</v>
      </c>
      <c r="E6386" t="str">
        <f t="shared" si="99"/>
        <v>001390</v>
      </c>
      <c r="F6386" t="s">
        <v>27246</v>
      </c>
      <c r="G6386" t="s">
        <v>27247</v>
      </c>
      <c r="H6386" t="s">
        <v>27248</v>
      </c>
      <c r="I6386" t="s">
        <v>39634</v>
      </c>
      <c r="J6386" t="s">
        <v>12756</v>
      </c>
      <c r="L6386" t="s">
        <v>27250</v>
      </c>
      <c r="M6386" t="s">
        <v>27251</v>
      </c>
      <c r="N6386" t="s">
        <v>27252</v>
      </c>
      <c r="P6386" t="s">
        <v>27925</v>
      </c>
      <c r="Q6386" s="1">
        <v>44846</v>
      </c>
      <c r="R6386" t="s">
        <v>27253</v>
      </c>
      <c r="S6386" t="s">
        <v>27254</v>
      </c>
      <c r="T6386" t="s">
        <v>27265</v>
      </c>
    </row>
    <row r="6387" spans="1:20" x14ac:dyDescent="0.3">
      <c r="A6387" t="str">
        <f>"0611862773050"</f>
        <v>0611862773050</v>
      </c>
      <c r="B6387" t="str">
        <f>"CE0608"</f>
        <v>CE0608</v>
      </c>
      <c r="C6387" t="s">
        <v>39635</v>
      </c>
      <c r="D6387" t="s">
        <v>27923</v>
      </c>
      <c r="E6387" t="str">
        <f t="shared" si="99"/>
        <v>001390</v>
      </c>
      <c r="F6387" t="s">
        <v>27246</v>
      </c>
      <c r="G6387" t="s">
        <v>27247</v>
      </c>
      <c r="H6387" t="s">
        <v>27248</v>
      </c>
      <c r="I6387" t="s">
        <v>39636</v>
      </c>
      <c r="J6387" t="s">
        <v>12758</v>
      </c>
      <c r="L6387" t="s">
        <v>27250</v>
      </c>
      <c r="M6387" t="s">
        <v>27251</v>
      </c>
      <c r="N6387" t="s">
        <v>27252</v>
      </c>
      <c r="P6387" t="s">
        <v>27925</v>
      </c>
      <c r="Q6387" s="1">
        <v>44846</v>
      </c>
      <c r="R6387" t="s">
        <v>27253</v>
      </c>
      <c r="S6387" t="s">
        <v>27254</v>
      </c>
      <c r="T6387" t="s">
        <v>27265</v>
      </c>
    </row>
    <row r="6388" spans="1:20" x14ac:dyDescent="0.3">
      <c r="A6388" t="str">
        <f>"0611862774050"</f>
        <v>0611862774050</v>
      </c>
      <c r="B6388" t="str">
        <f>"CE0609"</f>
        <v>CE0609</v>
      </c>
      <c r="C6388" t="s">
        <v>39637</v>
      </c>
      <c r="D6388" t="s">
        <v>27923</v>
      </c>
      <c r="E6388" t="str">
        <f t="shared" si="99"/>
        <v>001390</v>
      </c>
      <c r="F6388" t="s">
        <v>27246</v>
      </c>
      <c r="G6388" t="s">
        <v>27247</v>
      </c>
      <c r="H6388" t="s">
        <v>27248</v>
      </c>
      <c r="I6388" t="s">
        <v>39638</v>
      </c>
      <c r="J6388" t="s">
        <v>12760</v>
      </c>
      <c r="L6388" t="s">
        <v>27250</v>
      </c>
      <c r="M6388" t="s">
        <v>27251</v>
      </c>
      <c r="N6388" t="s">
        <v>27252</v>
      </c>
      <c r="P6388" t="s">
        <v>27925</v>
      </c>
      <c r="Q6388" s="1">
        <v>44846</v>
      </c>
      <c r="R6388" t="s">
        <v>27253</v>
      </c>
      <c r="S6388" t="s">
        <v>27254</v>
      </c>
      <c r="T6388" t="s">
        <v>27265</v>
      </c>
    </row>
    <row r="6389" spans="1:20" x14ac:dyDescent="0.3">
      <c r="A6389" t="str">
        <f>"0611862775050"</f>
        <v>0611862775050</v>
      </c>
      <c r="B6389" t="str">
        <f>"CE0610"</f>
        <v>CE0610</v>
      </c>
      <c r="C6389" t="s">
        <v>39639</v>
      </c>
      <c r="D6389" t="s">
        <v>27923</v>
      </c>
      <c r="E6389" t="str">
        <f t="shared" si="99"/>
        <v>001390</v>
      </c>
      <c r="F6389" t="s">
        <v>27246</v>
      </c>
      <c r="G6389" t="s">
        <v>27247</v>
      </c>
      <c r="H6389" t="s">
        <v>27248</v>
      </c>
      <c r="I6389" t="s">
        <v>39640</v>
      </c>
      <c r="J6389" t="s">
        <v>12762</v>
      </c>
      <c r="L6389" t="s">
        <v>27250</v>
      </c>
      <c r="M6389" t="s">
        <v>27251</v>
      </c>
      <c r="N6389" t="s">
        <v>27252</v>
      </c>
      <c r="P6389" t="s">
        <v>27925</v>
      </c>
      <c r="Q6389" s="1">
        <v>44846</v>
      </c>
      <c r="R6389" t="s">
        <v>27253</v>
      </c>
      <c r="S6389" t="s">
        <v>27254</v>
      </c>
      <c r="T6389" t="s">
        <v>27265</v>
      </c>
    </row>
    <row r="6390" spans="1:20" x14ac:dyDescent="0.3">
      <c r="A6390" t="str">
        <f>"0611862776050"</f>
        <v>0611862776050</v>
      </c>
      <c r="B6390" t="str">
        <f>"CE0611"</f>
        <v>CE0611</v>
      </c>
      <c r="C6390" t="s">
        <v>39641</v>
      </c>
      <c r="D6390" t="s">
        <v>27923</v>
      </c>
      <c r="E6390" t="str">
        <f t="shared" si="99"/>
        <v>001390</v>
      </c>
      <c r="F6390" t="s">
        <v>27246</v>
      </c>
      <c r="G6390" t="s">
        <v>27247</v>
      </c>
      <c r="H6390" t="s">
        <v>27248</v>
      </c>
      <c r="I6390" t="s">
        <v>39642</v>
      </c>
      <c r="J6390" t="s">
        <v>12764</v>
      </c>
      <c r="L6390" t="s">
        <v>27250</v>
      </c>
      <c r="M6390" t="s">
        <v>27251</v>
      </c>
      <c r="N6390" t="s">
        <v>27252</v>
      </c>
      <c r="P6390" t="s">
        <v>27925</v>
      </c>
      <c r="Q6390" s="1">
        <v>44846</v>
      </c>
      <c r="R6390" t="s">
        <v>27253</v>
      </c>
      <c r="S6390" t="s">
        <v>27254</v>
      </c>
      <c r="T6390" t="s">
        <v>27265</v>
      </c>
    </row>
    <row r="6391" spans="1:20" x14ac:dyDescent="0.3">
      <c r="A6391" t="str">
        <f>"0611862777050"</f>
        <v>0611862777050</v>
      </c>
      <c r="B6391" t="str">
        <f>"CE0612"</f>
        <v>CE0612</v>
      </c>
      <c r="C6391" t="s">
        <v>39643</v>
      </c>
      <c r="D6391" t="s">
        <v>27923</v>
      </c>
      <c r="E6391" t="str">
        <f t="shared" si="99"/>
        <v>001390</v>
      </c>
      <c r="F6391" t="s">
        <v>27246</v>
      </c>
      <c r="G6391" t="s">
        <v>27247</v>
      </c>
      <c r="H6391" t="s">
        <v>27248</v>
      </c>
      <c r="I6391" t="s">
        <v>39644</v>
      </c>
      <c r="J6391" t="s">
        <v>12766</v>
      </c>
      <c r="L6391" t="s">
        <v>27250</v>
      </c>
      <c r="M6391" t="s">
        <v>27251</v>
      </c>
      <c r="N6391" t="s">
        <v>27252</v>
      </c>
      <c r="P6391" t="s">
        <v>27925</v>
      </c>
      <c r="Q6391" s="1">
        <v>44846</v>
      </c>
      <c r="R6391" t="s">
        <v>27253</v>
      </c>
      <c r="S6391" t="s">
        <v>27254</v>
      </c>
      <c r="T6391" t="s">
        <v>27265</v>
      </c>
    </row>
    <row r="6392" spans="1:20" x14ac:dyDescent="0.3">
      <c r="A6392" t="str">
        <f>"0611862778050"</f>
        <v>0611862778050</v>
      </c>
      <c r="B6392" t="str">
        <f>"CE0613"</f>
        <v>CE0613</v>
      </c>
      <c r="C6392" t="s">
        <v>39645</v>
      </c>
      <c r="D6392" t="s">
        <v>27923</v>
      </c>
      <c r="E6392" t="str">
        <f t="shared" si="99"/>
        <v>001390</v>
      </c>
      <c r="F6392" t="s">
        <v>27246</v>
      </c>
      <c r="G6392" t="s">
        <v>27247</v>
      </c>
      <c r="H6392" t="s">
        <v>27248</v>
      </c>
      <c r="I6392" t="s">
        <v>39646</v>
      </c>
      <c r="J6392" t="s">
        <v>12768</v>
      </c>
      <c r="L6392" t="s">
        <v>27250</v>
      </c>
      <c r="M6392" t="s">
        <v>27251</v>
      </c>
      <c r="N6392" t="s">
        <v>27252</v>
      </c>
      <c r="P6392" t="s">
        <v>27925</v>
      </c>
      <c r="Q6392" s="1">
        <v>44846</v>
      </c>
      <c r="R6392" t="s">
        <v>27253</v>
      </c>
      <c r="S6392" t="s">
        <v>27254</v>
      </c>
      <c r="T6392" t="s">
        <v>27265</v>
      </c>
    </row>
    <row r="6393" spans="1:20" x14ac:dyDescent="0.3">
      <c r="A6393" t="str">
        <f>"0611862781050"</f>
        <v>0611862781050</v>
      </c>
      <c r="B6393" t="str">
        <f>"CR3895"</f>
        <v>CR3895</v>
      </c>
      <c r="C6393" t="s">
        <v>39647</v>
      </c>
      <c r="D6393" t="s">
        <v>27263</v>
      </c>
      <c r="E6393" t="str">
        <f t="shared" si="99"/>
        <v>001390</v>
      </c>
      <c r="F6393" t="s">
        <v>27246</v>
      </c>
      <c r="G6393" t="s">
        <v>27247</v>
      </c>
      <c r="H6393" t="s">
        <v>27248</v>
      </c>
      <c r="I6393" t="s">
        <v>39648</v>
      </c>
      <c r="J6393" t="s">
        <v>12770</v>
      </c>
      <c r="L6393" t="s">
        <v>27250</v>
      </c>
      <c r="M6393" t="s">
        <v>27251</v>
      </c>
      <c r="N6393" t="s">
        <v>27252</v>
      </c>
      <c r="Q6393" s="1">
        <v>44846</v>
      </c>
      <c r="R6393" t="s">
        <v>27253</v>
      </c>
      <c r="S6393" t="s">
        <v>27254</v>
      </c>
      <c r="T6393" t="s">
        <v>27265</v>
      </c>
    </row>
    <row r="6394" spans="1:20" x14ac:dyDescent="0.3">
      <c r="A6394" t="str">
        <f>"0611862782050"</f>
        <v>0611862782050</v>
      </c>
      <c r="B6394" t="str">
        <f>"CR2428"</f>
        <v>CR2428</v>
      </c>
      <c r="C6394" t="s">
        <v>39649</v>
      </c>
      <c r="D6394" t="s">
        <v>27263</v>
      </c>
      <c r="E6394" t="str">
        <f t="shared" si="99"/>
        <v>001390</v>
      </c>
      <c r="F6394" t="s">
        <v>27246</v>
      </c>
      <c r="G6394" t="s">
        <v>27247</v>
      </c>
      <c r="H6394" t="s">
        <v>27248</v>
      </c>
      <c r="I6394" t="s">
        <v>39650</v>
      </c>
      <c r="J6394" t="s">
        <v>12772</v>
      </c>
      <c r="L6394" t="s">
        <v>27250</v>
      </c>
      <c r="M6394" t="s">
        <v>27251</v>
      </c>
      <c r="N6394" t="s">
        <v>27252</v>
      </c>
      <c r="Q6394" s="1">
        <v>44846</v>
      </c>
      <c r="R6394" t="s">
        <v>27253</v>
      </c>
      <c r="S6394" t="s">
        <v>27254</v>
      </c>
      <c r="T6394" t="s">
        <v>27265</v>
      </c>
    </row>
    <row r="6395" spans="1:20" x14ac:dyDescent="0.3">
      <c r="A6395" t="str">
        <f>"0611862784050"</f>
        <v>0611862784050</v>
      </c>
      <c r="B6395" t="str">
        <f>"CR3545"</f>
        <v>CR3545</v>
      </c>
      <c r="C6395" t="s">
        <v>39651</v>
      </c>
      <c r="D6395" t="s">
        <v>27263</v>
      </c>
      <c r="E6395" t="str">
        <f t="shared" si="99"/>
        <v>001390</v>
      </c>
      <c r="F6395" t="s">
        <v>27246</v>
      </c>
      <c r="G6395" t="s">
        <v>27247</v>
      </c>
      <c r="H6395" t="s">
        <v>27248</v>
      </c>
      <c r="I6395" t="s">
        <v>39652</v>
      </c>
      <c r="J6395" t="s">
        <v>12774</v>
      </c>
      <c r="L6395" t="s">
        <v>27250</v>
      </c>
      <c r="M6395" t="s">
        <v>27251</v>
      </c>
      <c r="N6395" t="s">
        <v>27252</v>
      </c>
      <c r="Q6395" s="1">
        <v>44846</v>
      </c>
      <c r="R6395" t="s">
        <v>27253</v>
      </c>
      <c r="S6395" t="s">
        <v>27254</v>
      </c>
      <c r="T6395" t="s">
        <v>27265</v>
      </c>
    </row>
    <row r="6396" spans="1:20" x14ac:dyDescent="0.3">
      <c r="A6396" t="str">
        <f>"0611862788050"</f>
        <v>0611862788050</v>
      </c>
      <c r="B6396" t="str">
        <f>"CR3963"</f>
        <v>CR3963</v>
      </c>
      <c r="C6396" t="s">
        <v>39653</v>
      </c>
      <c r="D6396" t="s">
        <v>27263</v>
      </c>
      <c r="E6396" t="str">
        <f t="shared" si="99"/>
        <v>001390</v>
      </c>
      <c r="F6396" t="s">
        <v>27246</v>
      </c>
      <c r="G6396" t="s">
        <v>27247</v>
      </c>
      <c r="H6396" t="s">
        <v>27248</v>
      </c>
      <c r="I6396" t="s">
        <v>39654</v>
      </c>
      <c r="J6396" t="s">
        <v>12776</v>
      </c>
      <c r="L6396" t="s">
        <v>27250</v>
      </c>
      <c r="M6396" t="s">
        <v>27251</v>
      </c>
      <c r="N6396" t="s">
        <v>27252</v>
      </c>
      <c r="Q6396" s="1">
        <v>44846</v>
      </c>
      <c r="R6396" t="s">
        <v>27253</v>
      </c>
      <c r="S6396" t="s">
        <v>27254</v>
      </c>
      <c r="T6396" t="s">
        <v>27265</v>
      </c>
    </row>
    <row r="6397" spans="1:20" x14ac:dyDescent="0.3">
      <c r="A6397" t="str">
        <f>"0611862789050"</f>
        <v>0611862789050</v>
      </c>
      <c r="B6397" t="str">
        <f>"CR2966"</f>
        <v>CR2966</v>
      </c>
      <c r="C6397" t="s">
        <v>39655</v>
      </c>
      <c r="D6397" t="s">
        <v>27263</v>
      </c>
      <c r="E6397" t="str">
        <f t="shared" si="99"/>
        <v>001390</v>
      </c>
      <c r="F6397" t="s">
        <v>27246</v>
      </c>
      <c r="G6397" t="s">
        <v>27247</v>
      </c>
      <c r="H6397" t="s">
        <v>27248</v>
      </c>
      <c r="I6397" t="s">
        <v>39656</v>
      </c>
      <c r="J6397" t="s">
        <v>12778</v>
      </c>
      <c r="L6397" t="s">
        <v>27250</v>
      </c>
      <c r="M6397" t="s">
        <v>27251</v>
      </c>
      <c r="N6397" t="s">
        <v>27252</v>
      </c>
      <c r="Q6397" s="1">
        <v>44846</v>
      </c>
      <c r="R6397" t="s">
        <v>27253</v>
      </c>
      <c r="S6397" t="s">
        <v>27254</v>
      </c>
      <c r="T6397" t="s">
        <v>27265</v>
      </c>
    </row>
    <row r="6398" spans="1:20" x14ac:dyDescent="0.3">
      <c r="A6398" t="str">
        <f>"0611862790050"</f>
        <v>0611862790050</v>
      </c>
      <c r="B6398" t="str">
        <f>"CR2434"</f>
        <v>CR2434</v>
      </c>
      <c r="C6398" t="s">
        <v>39657</v>
      </c>
      <c r="D6398" t="s">
        <v>27263</v>
      </c>
      <c r="E6398" t="str">
        <f t="shared" si="99"/>
        <v>001390</v>
      </c>
      <c r="F6398" t="s">
        <v>27246</v>
      </c>
      <c r="G6398" t="s">
        <v>27247</v>
      </c>
      <c r="H6398" t="s">
        <v>27248</v>
      </c>
      <c r="I6398" t="s">
        <v>39658</v>
      </c>
      <c r="J6398" t="s">
        <v>12780</v>
      </c>
      <c r="L6398" t="s">
        <v>27250</v>
      </c>
      <c r="M6398" t="s">
        <v>27251</v>
      </c>
      <c r="N6398" t="s">
        <v>27252</v>
      </c>
      <c r="Q6398" s="1">
        <v>44846</v>
      </c>
      <c r="R6398" t="s">
        <v>27253</v>
      </c>
      <c r="S6398" t="s">
        <v>27254</v>
      </c>
      <c r="T6398" t="s">
        <v>27265</v>
      </c>
    </row>
    <row r="6399" spans="1:20" x14ac:dyDescent="0.3">
      <c r="A6399" t="str">
        <f>"0611862791050"</f>
        <v>0611862791050</v>
      </c>
      <c r="B6399" t="str">
        <f>"CR2435"</f>
        <v>CR2435</v>
      </c>
      <c r="C6399" t="s">
        <v>39659</v>
      </c>
      <c r="D6399" t="s">
        <v>27263</v>
      </c>
      <c r="E6399" t="str">
        <f t="shared" si="99"/>
        <v>001390</v>
      </c>
      <c r="F6399" t="s">
        <v>27246</v>
      </c>
      <c r="G6399" t="s">
        <v>27247</v>
      </c>
      <c r="H6399" t="s">
        <v>27248</v>
      </c>
      <c r="I6399" t="s">
        <v>39660</v>
      </c>
      <c r="J6399" t="s">
        <v>12782</v>
      </c>
      <c r="L6399" t="s">
        <v>27250</v>
      </c>
      <c r="M6399" t="s">
        <v>27251</v>
      </c>
      <c r="N6399" t="s">
        <v>27252</v>
      </c>
      <c r="Q6399" s="1">
        <v>44846</v>
      </c>
      <c r="R6399" t="s">
        <v>27253</v>
      </c>
      <c r="S6399" t="s">
        <v>27254</v>
      </c>
      <c r="T6399" t="s">
        <v>27265</v>
      </c>
    </row>
    <row r="6400" spans="1:20" x14ac:dyDescent="0.3">
      <c r="A6400" t="str">
        <f>"0611862792050"</f>
        <v>0611862792050</v>
      </c>
      <c r="B6400" t="str">
        <f>"CR2436"</f>
        <v>CR2436</v>
      </c>
      <c r="C6400" t="s">
        <v>39661</v>
      </c>
      <c r="D6400" t="s">
        <v>27263</v>
      </c>
      <c r="E6400" t="str">
        <f t="shared" si="99"/>
        <v>001390</v>
      </c>
      <c r="F6400" t="s">
        <v>27246</v>
      </c>
      <c r="G6400" t="s">
        <v>27247</v>
      </c>
      <c r="H6400" t="s">
        <v>27248</v>
      </c>
      <c r="I6400" t="s">
        <v>39662</v>
      </c>
      <c r="J6400" t="s">
        <v>12784</v>
      </c>
      <c r="L6400" t="s">
        <v>27250</v>
      </c>
      <c r="M6400" t="s">
        <v>27251</v>
      </c>
      <c r="N6400" t="s">
        <v>27252</v>
      </c>
      <c r="Q6400" s="1">
        <v>44846</v>
      </c>
      <c r="R6400" t="s">
        <v>27253</v>
      </c>
      <c r="S6400" t="s">
        <v>27254</v>
      </c>
      <c r="T6400" t="s">
        <v>27265</v>
      </c>
    </row>
    <row r="6401" spans="1:20" x14ac:dyDescent="0.3">
      <c r="A6401" t="str">
        <f>"0611862793050"</f>
        <v>0611862793050</v>
      </c>
      <c r="B6401" t="str">
        <f>"CR2437"</f>
        <v>CR2437</v>
      </c>
      <c r="C6401" t="s">
        <v>39663</v>
      </c>
      <c r="D6401" t="s">
        <v>27263</v>
      </c>
      <c r="E6401" t="str">
        <f t="shared" si="99"/>
        <v>001390</v>
      </c>
      <c r="F6401" t="s">
        <v>27246</v>
      </c>
      <c r="G6401" t="s">
        <v>27247</v>
      </c>
      <c r="H6401" t="s">
        <v>27248</v>
      </c>
      <c r="I6401" t="s">
        <v>39664</v>
      </c>
      <c r="J6401" t="s">
        <v>12786</v>
      </c>
      <c r="L6401" t="s">
        <v>27250</v>
      </c>
      <c r="M6401" t="s">
        <v>27251</v>
      </c>
      <c r="N6401" t="s">
        <v>27252</v>
      </c>
      <c r="Q6401" s="1">
        <v>44846</v>
      </c>
      <c r="R6401" t="s">
        <v>27253</v>
      </c>
      <c r="S6401" t="s">
        <v>27254</v>
      </c>
      <c r="T6401" t="s">
        <v>27265</v>
      </c>
    </row>
    <row r="6402" spans="1:20" x14ac:dyDescent="0.3">
      <c r="A6402" t="str">
        <f>"0611835786100"</f>
        <v>0611835786100</v>
      </c>
      <c r="B6402" t="str">
        <f>"LB0741"</f>
        <v>LB0741</v>
      </c>
      <c r="C6402" t="s">
        <v>39665</v>
      </c>
      <c r="D6402" t="s">
        <v>27245</v>
      </c>
      <c r="E6402" t="str">
        <f t="shared" ref="E6402:E6465" si="100">"001390"</f>
        <v>001390</v>
      </c>
      <c r="F6402" t="s">
        <v>27246</v>
      </c>
      <c r="G6402" t="s">
        <v>27247</v>
      </c>
      <c r="H6402" t="s">
        <v>27248</v>
      </c>
      <c r="I6402" t="s">
        <v>39666</v>
      </c>
      <c r="J6402" t="s">
        <v>12788</v>
      </c>
      <c r="L6402" t="s">
        <v>27250</v>
      </c>
      <c r="M6402" t="s">
        <v>27251</v>
      </c>
      <c r="N6402" t="s">
        <v>27252</v>
      </c>
      <c r="Q6402" s="1">
        <v>44538</v>
      </c>
      <c r="R6402" t="s">
        <v>27253</v>
      </c>
      <c r="S6402" t="s">
        <v>27254</v>
      </c>
      <c r="T6402" t="s">
        <v>27255</v>
      </c>
    </row>
    <row r="6403" spans="1:20" x14ac:dyDescent="0.3">
      <c r="A6403" t="str">
        <f>"0611835797100"</f>
        <v>0611835797100</v>
      </c>
      <c r="B6403" t="str">
        <f>"LS0068"</f>
        <v>LS0068</v>
      </c>
      <c r="C6403" t="s">
        <v>39667</v>
      </c>
      <c r="D6403" t="s">
        <v>27245</v>
      </c>
      <c r="E6403" t="str">
        <f t="shared" si="100"/>
        <v>001390</v>
      </c>
      <c r="F6403" t="s">
        <v>27246</v>
      </c>
      <c r="G6403" t="s">
        <v>27247</v>
      </c>
      <c r="H6403" t="s">
        <v>27248</v>
      </c>
      <c r="I6403" t="s">
        <v>39668</v>
      </c>
      <c r="J6403" t="s">
        <v>12792</v>
      </c>
      <c r="L6403" t="s">
        <v>27250</v>
      </c>
      <c r="M6403" t="s">
        <v>27251</v>
      </c>
      <c r="N6403" t="s">
        <v>27252</v>
      </c>
      <c r="Q6403" s="1">
        <v>44538</v>
      </c>
      <c r="R6403" t="s">
        <v>27253</v>
      </c>
      <c r="S6403" t="s">
        <v>27254</v>
      </c>
      <c r="T6403" t="s">
        <v>27255</v>
      </c>
    </row>
    <row r="6404" spans="1:20" x14ac:dyDescent="0.3">
      <c r="A6404" t="str">
        <f>"0611835798100"</f>
        <v>0611835798100</v>
      </c>
      <c r="B6404" t="str">
        <f>"LS0069"</f>
        <v>LS0069</v>
      </c>
      <c r="C6404" t="s">
        <v>39669</v>
      </c>
      <c r="D6404" t="s">
        <v>27245</v>
      </c>
      <c r="E6404" t="str">
        <f t="shared" si="100"/>
        <v>001390</v>
      </c>
      <c r="F6404" t="s">
        <v>27246</v>
      </c>
      <c r="G6404" t="s">
        <v>27247</v>
      </c>
      <c r="H6404" t="s">
        <v>27248</v>
      </c>
      <c r="I6404" t="s">
        <v>39670</v>
      </c>
      <c r="J6404" t="s">
        <v>12790</v>
      </c>
      <c r="L6404" t="s">
        <v>27250</v>
      </c>
      <c r="M6404" t="s">
        <v>27251</v>
      </c>
      <c r="N6404" t="s">
        <v>27252</v>
      </c>
      <c r="Q6404" s="1">
        <v>44538</v>
      </c>
      <c r="R6404" t="s">
        <v>27253</v>
      </c>
      <c r="S6404" t="s">
        <v>27254</v>
      </c>
      <c r="T6404" t="s">
        <v>27255</v>
      </c>
    </row>
    <row r="6405" spans="1:20" x14ac:dyDescent="0.3">
      <c r="A6405" t="str">
        <f>"0611835799100"</f>
        <v>0611835799100</v>
      </c>
      <c r="B6405" t="str">
        <f>"LK0495"</f>
        <v>LK0495</v>
      </c>
      <c r="C6405" t="s">
        <v>39671</v>
      </c>
      <c r="D6405" t="s">
        <v>27245</v>
      </c>
      <c r="E6405" t="str">
        <f t="shared" si="100"/>
        <v>001390</v>
      </c>
      <c r="F6405" t="s">
        <v>27246</v>
      </c>
      <c r="G6405" t="s">
        <v>27247</v>
      </c>
      <c r="H6405" t="s">
        <v>27248</v>
      </c>
      <c r="I6405" t="s">
        <v>39672</v>
      </c>
      <c r="J6405" t="s">
        <v>12794</v>
      </c>
      <c r="L6405" t="s">
        <v>27250</v>
      </c>
      <c r="M6405" t="s">
        <v>27251</v>
      </c>
      <c r="N6405" t="s">
        <v>27252</v>
      </c>
      <c r="Q6405" s="1">
        <v>44538</v>
      </c>
      <c r="R6405" t="s">
        <v>27253</v>
      </c>
      <c r="S6405" t="s">
        <v>27254</v>
      </c>
      <c r="T6405" t="s">
        <v>27255</v>
      </c>
    </row>
    <row r="6406" spans="1:20" x14ac:dyDescent="0.3">
      <c r="A6406" t="str">
        <f>"0611835800100"</f>
        <v>0611835800100</v>
      </c>
      <c r="B6406" t="str">
        <f>"LK4422"</f>
        <v>LK4422</v>
      </c>
      <c r="C6406" t="s">
        <v>39673</v>
      </c>
      <c r="D6406" t="s">
        <v>27245</v>
      </c>
      <c r="E6406" t="str">
        <f t="shared" si="100"/>
        <v>001390</v>
      </c>
      <c r="F6406" t="s">
        <v>27246</v>
      </c>
      <c r="G6406" t="s">
        <v>27247</v>
      </c>
      <c r="H6406" t="s">
        <v>27248</v>
      </c>
      <c r="I6406" t="s">
        <v>39674</v>
      </c>
      <c r="J6406" t="s">
        <v>12796</v>
      </c>
      <c r="L6406" t="s">
        <v>27250</v>
      </c>
      <c r="M6406" t="s">
        <v>27251</v>
      </c>
      <c r="N6406" t="s">
        <v>27252</v>
      </c>
      <c r="Q6406" s="1">
        <v>44538</v>
      </c>
      <c r="R6406" t="s">
        <v>27253</v>
      </c>
      <c r="S6406" t="s">
        <v>27254</v>
      </c>
      <c r="T6406" t="s">
        <v>27255</v>
      </c>
    </row>
    <row r="6407" spans="1:20" x14ac:dyDescent="0.3">
      <c r="A6407" t="str">
        <f>"0611835801100"</f>
        <v>0611835801100</v>
      </c>
      <c r="B6407" t="str">
        <f>"LS0071"</f>
        <v>LS0071</v>
      </c>
      <c r="C6407" t="s">
        <v>39675</v>
      </c>
      <c r="D6407" t="s">
        <v>27245</v>
      </c>
      <c r="E6407" t="str">
        <f t="shared" si="100"/>
        <v>001390</v>
      </c>
      <c r="F6407" t="s">
        <v>27246</v>
      </c>
      <c r="G6407" t="s">
        <v>27247</v>
      </c>
      <c r="H6407" t="s">
        <v>27248</v>
      </c>
      <c r="I6407" t="s">
        <v>39676</v>
      </c>
      <c r="J6407" t="s">
        <v>12798</v>
      </c>
      <c r="L6407" t="s">
        <v>27250</v>
      </c>
      <c r="M6407" t="s">
        <v>27251</v>
      </c>
      <c r="N6407" t="s">
        <v>27252</v>
      </c>
      <c r="Q6407" s="1">
        <v>44538</v>
      </c>
      <c r="R6407" t="s">
        <v>27253</v>
      </c>
      <c r="S6407" t="s">
        <v>27254</v>
      </c>
      <c r="T6407" t="s">
        <v>27255</v>
      </c>
    </row>
    <row r="6408" spans="1:20" x14ac:dyDescent="0.3">
      <c r="A6408" t="str">
        <f>"0611862794050"</f>
        <v>0611862794050</v>
      </c>
      <c r="B6408" t="str">
        <f>"CR3546"</f>
        <v>CR3546</v>
      </c>
      <c r="C6408" t="s">
        <v>39677</v>
      </c>
      <c r="D6408" t="s">
        <v>27271</v>
      </c>
      <c r="E6408" t="str">
        <f t="shared" si="100"/>
        <v>001390</v>
      </c>
      <c r="F6408" t="s">
        <v>27246</v>
      </c>
      <c r="G6408" t="s">
        <v>27247</v>
      </c>
      <c r="H6408" t="s">
        <v>27248</v>
      </c>
      <c r="I6408" t="s">
        <v>39678</v>
      </c>
      <c r="J6408" t="s">
        <v>12800</v>
      </c>
      <c r="L6408" t="s">
        <v>27250</v>
      </c>
      <c r="M6408" t="s">
        <v>27251</v>
      </c>
      <c r="N6408" t="s">
        <v>27252</v>
      </c>
      <c r="P6408" t="s">
        <v>27341</v>
      </c>
      <c r="Q6408" s="1">
        <v>44846</v>
      </c>
      <c r="R6408" t="s">
        <v>27253</v>
      </c>
      <c r="S6408" t="s">
        <v>27254</v>
      </c>
      <c r="T6408" t="s">
        <v>27265</v>
      </c>
    </row>
    <row r="6409" spans="1:20" x14ac:dyDescent="0.3">
      <c r="A6409" t="str">
        <f>"0611862795050"</f>
        <v>0611862795050</v>
      </c>
      <c r="B6409" t="str">
        <f>"CR4975"</f>
        <v>CR4975</v>
      </c>
      <c r="C6409" t="s">
        <v>39679</v>
      </c>
      <c r="D6409" t="s">
        <v>27271</v>
      </c>
      <c r="E6409" t="str">
        <f t="shared" si="100"/>
        <v>001390</v>
      </c>
      <c r="F6409" t="s">
        <v>27246</v>
      </c>
      <c r="G6409" t="s">
        <v>27247</v>
      </c>
      <c r="H6409" t="s">
        <v>27248</v>
      </c>
      <c r="I6409" t="s">
        <v>39680</v>
      </c>
      <c r="J6409" t="s">
        <v>12802</v>
      </c>
      <c r="L6409" t="s">
        <v>27250</v>
      </c>
      <c r="M6409" t="s">
        <v>27251</v>
      </c>
      <c r="N6409" t="s">
        <v>27252</v>
      </c>
      <c r="P6409" t="s">
        <v>27341</v>
      </c>
      <c r="Q6409" s="1">
        <v>44846</v>
      </c>
      <c r="R6409" t="s">
        <v>27253</v>
      </c>
      <c r="S6409" t="s">
        <v>27254</v>
      </c>
      <c r="T6409" t="s">
        <v>27265</v>
      </c>
    </row>
    <row r="6410" spans="1:20" x14ac:dyDescent="0.3">
      <c r="A6410" t="str">
        <f>"0611862796050"</f>
        <v>0611862796050</v>
      </c>
      <c r="B6410" t="str">
        <f>"CR4976"</f>
        <v>CR4976</v>
      </c>
      <c r="C6410" t="s">
        <v>39681</v>
      </c>
      <c r="D6410" t="s">
        <v>27271</v>
      </c>
      <c r="E6410" t="str">
        <f t="shared" si="100"/>
        <v>001390</v>
      </c>
      <c r="F6410" t="s">
        <v>27246</v>
      </c>
      <c r="G6410" t="s">
        <v>27247</v>
      </c>
      <c r="H6410" t="s">
        <v>27248</v>
      </c>
      <c r="I6410" t="s">
        <v>39682</v>
      </c>
      <c r="J6410" t="s">
        <v>12804</v>
      </c>
      <c r="L6410" t="s">
        <v>27250</v>
      </c>
      <c r="M6410" t="s">
        <v>27251</v>
      </c>
      <c r="N6410" t="s">
        <v>27252</v>
      </c>
      <c r="P6410" t="s">
        <v>27341</v>
      </c>
      <c r="Q6410" s="1">
        <v>44846</v>
      </c>
      <c r="R6410" t="s">
        <v>27253</v>
      </c>
      <c r="S6410" t="s">
        <v>27254</v>
      </c>
      <c r="T6410" t="s">
        <v>27265</v>
      </c>
    </row>
    <row r="6411" spans="1:20" x14ac:dyDescent="0.3">
      <c r="A6411" t="str">
        <f>"0611862797050"</f>
        <v>0611862797050</v>
      </c>
      <c r="B6411" t="str">
        <f>"CR4977"</f>
        <v>CR4977</v>
      </c>
      <c r="C6411" t="s">
        <v>39683</v>
      </c>
      <c r="D6411" t="s">
        <v>27271</v>
      </c>
      <c r="E6411" t="str">
        <f t="shared" si="100"/>
        <v>001390</v>
      </c>
      <c r="F6411" t="s">
        <v>27246</v>
      </c>
      <c r="G6411" t="s">
        <v>27247</v>
      </c>
      <c r="H6411" t="s">
        <v>27248</v>
      </c>
      <c r="I6411" t="s">
        <v>39684</v>
      </c>
      <c r="J6411" t="s">
        <v>12806</v>
      </c>
      <c r="L6411" t="s">
        <v>27250</v>
      </c>
      <c r="M6411" t="s">
        <v>27251</v>
      </c>
      <c r="N6411" t="s">
        <v>27252</v>
      </c>
      <c r="P6411" t="s">
        <v>27341</v>
      </c>
      <c r="Q6411" s="1">
        <v>44846</v>
      </c>
      <c r="R6411" t="s">
        <v>27253</v>
      </c>
      <c r="S6411" t="s">
        <v>27254</v>
      </c>
      <c r="T6411" t="s">
        <v>27265</v>
      </c>
    </row>
    <row r="6412" spans="1:20" x14ac:dyDescent="0.3">
      <c r="A6412" t="str">
        <f>"0611862798050"</f>
        <v>0611862798050</v>
      </c>
      <c r="B6412" t="str">
        <f>"CR4978"</f>
        <v>CR4978</v>
      </c>
      <c r="C6412" t="s">
        <v>39685</v>
      </c>
      <c r="D6412" t="s">
        <v>27271</v>
      </c>
      <c r="E6412" t="str">
        <f t="shared" si="100"/>
        <v>001390</v>
      </c>
      <c r="F6412" t="s">
        <v>27246</v>
      </c>
      <c r="G6412" t="s">
        <v>27247</v>
      </c>
      <c r="H6412" t="s">
        <v>27248</v>
      </c>
      <c r="I6412" t="s">
        <v>39686</v>
      </c>
      <c r="J6412" t="s">
        <v>12808</v>
      </c>
      <c r="L6412" t="s">
        <v>27250</v>
      </c>
      <c r="M6412" t="s">
        <v>27251</v>
      </c>
      <c r="N6412" t="s">
        <v>27252</v>
      </c>
      <c r="P6412" t="s">
        <v>27341</v>
      </c>
      <c r="Q6412" s="1">
        <v>44846</v>
      </c>
      <c r="R6412" t="s">
        <v>27253</v>
      </c>
      <c r="S6412" t="s">
        <v>27254</v>
      </c>
      <c r="T6412" t="s">
        <v>27265</v>
      </c>
    </row>
    <row r="6413" spans="1:20" x14ac:dyDescent="0.3">
      <c r="A6413" t="str">
        <f>"0611884268050"</f>
        <v>0611884268050</v>
      </c>
      <c r="B6413" t="str">
        <f>"CR5415"</f>
        <v>CR5415</v>
      </c>
      <c r="C6413" t="s">
        <v>39687</v>
      </c>
      <c r="D6413" t="s">
        <v>27271</v>
      </c>
      <c r="E6413" t="str">
        <f t="shared" si="100"/>
        <v>001390</v>
      </c>
      <c r="F6413" t="s">
        <v>27246</v>
      </c>
      <c r="G6413" t="s">
        <v>27247</v>
      </c>
      <c r="H6413" t="s">
        <v>27248</v>
      </c>
      <c r="I6413" t="s">
        <v>39688</v>
      </c>
      <c r="J6413" t="s">
        <v>12810</v>
      </c>
      <c r="L6413" t="s">
        <v>27430</v>
      </c>
      <c r="M6413" t="s">
        <v>27251</v>
      </c>
      <c r="N6413" t="s">
        <v>27252</v>
      </c>
      <c r="P6413" t="s">
        <v>27341</v>
      </c>
      <c r="Q6413" s="1">
        <v>45250</v>
      </c>
      <c r="R6413" t="s">
        <v>27253</v>
      </c>
      <c r="S6413" t="s">
        <v>27254</v>
      </c>
      <c r="T6413" t="s">
        <v>27265</v>
      </c>
    </row>
    <row r="6414" spans="1:20" x14ac:dyDescent="0.3">
      <c r="A6414" t="str">
        <f>"0611862799050"</f>
        <v>0611862799050</v>
      </c>
      <c r="B6414" t="str">
        <f>"CR3899"</f>
        <v>CR3899</v>
      </c>
      <c r="C6414" t="s">
        <v>39689</v>
      </c>
      <c r="D6414" t="s">
        <v>27271</v>
      </c>
      <c r="E6414" t="str">
        <f t="shared" si="100"/>
        <v>001390</v>
      </c>
      <c r="F6414" t="s">
        <v>27246</v>
      </c>
      <c r="G6414" t="s">
        <v>27247</v>
      </c>
      <c r="H6414" t="s">
        <v>27248</v>
      </c>
      <c r="I6414" t="s">
        <v>39690</v>
      </c>
      <c r="J6414" t="s">
        <v>12812</v>
      </c>
      <c r="L6414" t="s">
        <v>27250</v>
      </c>
      <c r="M6414" t="s">
        <v>27251</v>
      </c>
      <c r="N6414" t="s">
        <v>27252</v>
      </c>
      <c r="P6414" t="s">
        <v>27341</v>
      </c>
      <c r="Q6414" s="1">
        <v>44846</v>
      </c>
      <c r="R6414" t="s">
        <v>27253</v>
      </c>
      <c r="S6414" t="s">
        <v>27254</v>
      </c>
      <c r="T6414" t="s">
        <v>27265</v>
      </c>
    </row>
    <row r="6415" spans="1:20" x14ac:dyDescent="0.3">
      <c r="A6415" t="str">
        <f>"0611862800050"</f>
        <v>0611862800050</v>
      </c>
      <c r="B6415" t="str">
        <f>"CR3547"</f>
        <v>CR3547</v>
      </c>
      <c r="C6415" t="s">
        <v>39691</v>
      </c>
      <c r="D6415" t="s">
        <v>27271</v>
      </c>
      <c r="E6415" t="str">
        <f t="shared" si="100"/>
        <v>001390</v>
      </c>
      <c r="F6415" t="s">
        <v>27246</v>
      </c>
      <c r="G6415" t="s">
        <v>27247</v>
      </c>
      <c r="H6415" t="s">
        <v>27248</v>
      </c>
      <c r="I6415" t="s">
        <v>39692</v>
      </c>
      <c r="J6415" t="s">
        <v>12814</v>
      </c>
      <c r="L6415" t="s">
        <v>27250</v>
      </c>
      <c r="M6415" t="s">
        <v>27251</v>
      </c>
      <c r="N6415" t="s">
        <v>27252</v>
      </c>
      <c r="P6415" t="s">
        <v>27341</v>
      </c>
      <c r="Q6415" s="1">
        <v>44846</v>
      </c>
      <c r="R6415" t="s">
        <v>27253</v>
      </c>
      <c r="S6415" t="s">
        <v>27254</v>
      </c>
      <c r="T6415" t="s">
        <v>27265</v>
      </c>
    </row>
    <row r="6416" spans="1:20" x14ac:dyDescent="0.3">
      <c r="A6416" t="str">
        <f>"0611835802100"</f>
        <v>0611835802100</v>
      </c>
      <c r="B6416" t="str">
        <f>"LK5792"</f>
        <v>LK5792</v>
      </c>
      <c r="C6416" t="s">
        <v>39693</v>
      </c>
      <c r="D6416" t="s">
        <v>28138</v>
      </c>
      <c r="E6416" t="str">
        <f t="shared" si="100"/>
        <v>001390</v>
      </c>
      <c r="F6416" t="s">
        <v>27246</v>
      </c>
      <c r="G6416" t="s">
        <v>27247</v>
      </c>
      <c r="H6416" t="s">
        <v>27248</v>
      </c>
      <c r="I6416" t="s">
        <v>39694</v>
      </c>
      <c r="J6416" t="s">
        <v>12816</v>
      </c>
      <c r="L6416" t="s">
        <v>27250</v>
      </c>
      <c r="M6416" t="s">
        <v>27251</v>
      </c>
      <c r="N6416" t="s">
        <v>27252</v>
      </c>
      <c r="P6416" t="s">
        <v>27925</v>
      </c>
      <c r="Q6416" s="1">
        <v>44538</v>
      </c>
      <c r="R6416" t="s">
        <v>27253</v>
      </c>
      <c r="S6416" t="s">
        <v>27254</v>
      </c>
      <c r="T6416" t="s">
        <v>27255</v>
      </c>
    </row>
    <row r="6417" spans="1:20" x14ac:dyDescent="0.3">
      <c r="A6417" t="str">
        <f>"0611835803100"</f>
        <v>0611835803100</v>
      </c>
      <c r="B6417" t="str">
        <f>"LK5793"</f>
        <v>LK5793</v>
      </c>
      <c r="C6417" t="s">
        <v>39695</v>
      </c>
      <c r="D6417" t="s">
        <v>28138</v>
      </c>
      <c r="E6417" t="str">
        <f t="shared" si="100"/>
        <v>001390</v>
      </c>
      <c r="F6417" t="s">
        <v>27246</v>
      </c>
      <c r="G6417" t="s">
        <v>27247</v>
      </c>
      <c r="H6417" t="s">
        <v>27248</v>
      </c>
      <c r="I6417" t="s">
        <v>39696</v>
      </c>
      <c r="J6417" t="s">
        <v>12818</v>
      </c>
      <c r="L6417" t="s">
        <v>27250</v>
      </c>
      <c r="M6417" t="s">
        <v>27251</v>
      </c>
      <c r="N6417" t="s">
        <v>27252</v>
      </c>
      <c r="P6417" t="s">
        <v>27925</v>
      </c>
      <c r="Q6417" s="1">
        <v>44538</v>
      </c>
      <c r="R6417" t="s">
        <v>27253</v>
      </c>
      <c r="S6417" t="s">
        <v>27254</v>
      </c>
      <c r="T6417" t="s">
        <v>27255</v>
      </c>
    </row>
    <row r="6418" spans="1:20" x14ac:dyDescent="0.3">
      <c r="A6418" t="str">
        <f>"0611835804100"</f>
        <v>0611835804100</v>
      </c>
      <c r="B6418" t="str">
        <f>"LK2873"</f>
        <v>LK2873</v>
      </c>
      <c r="C6418" t="s">
        <v>39697</v>
      </c>
      <c r="D6418" t="s">
        <v>28138</v>
      </c>
      <c r="E6418" t="str">
        <f t="shared" si="100"/>
        <v>001390</v>
      </c>
      <c r="F6418" t="s">
        <v>27246</v>
      </c>
      <c r="G6418" t="s">
        <v>27247</v>
      </c>
      <c r="H6418" t="s">
        <v>27248</v>
      </c>
      <c r="I6418" t="s">
        <v>39698</v>
      </c>
      <c r="J6418" t="s">
        <v>12820</v>
      </c>
      <c r="L6418" t="s">
        <v>27250</v>
      </c>
      <c r="M6418" t="s">
        <v>27251</v>
      </c>
      <c r="N6418" t="s">
        <v>27252</v>
      </c>
      <c r="P6418" t="s">
        <v>27925</v>
      </c>
      <c r="Q6418" s="1">
        <v>44538</v>
      </c>
      <c r="R6418" t="s">
        <v>27253</v>
      </c>
      <c r="S6418" t="s">
        <v>27254</v>
      </c>
      <c r="T6418" t="s">
        <v>27255</v>
      </c>
    </row>
    <row r="6419" spans="1:20" x14ac:dyDescent="0.3">
      <c r="A6419" t="str">
        <f>"0611835805100"</f>
        <v>0611835805100</v>
      </c>
      <c r="B6419" t="str">
        <f>"LK1512"</f>
        <v>LK1512</v>
      </c>
      <c r="C6419" t="s">
        <v>39699</v>
      </c>
      <c r="D6419" t="s">
        <v>28138</v>
      </c>
      <c r="E6419" t="str">
        <f t="shared" si="100"/>
        <v>001390</v>
      </c>
      <c r="F6419" t="s">
        <v>27246</v>
      </c>
      <c r="G6419" t="s">
        <v>27247</v>
      </c>
      <c r="H6419" t="s">
        <v>27248</v>
      </c>
      <c r="I6419" t="s">
        <v>39700</v>
      </c>
      <c r="J6419" t="s">
        <v>12822</v>
      </c>
      <c r="L6419" t="s">
        <v>27250</v>
      </c>
      <c r="M6419" t="s">
        <v>27251</v>
      </c>
      <c r="N6419" t="s">
        <v>27252</v>
      </c>
      <c r="P6419" t="s">
        <v>27925</v>
      </c>
      <c r="Q6419" s="1">
        <v>44538</v>
      </c>
      <c r="R6419" t="s">
        <v>27253</v>
      </c>
      <c r="S6419" t="s">
        <v>27254</v>
      </c>
      <c r="T6419" t="s">
        <v>27255</v>
      </c>
    </row>
    <row r="6420" spans="1:20" x14ac:dyDescent="0.3">
      <c r="A6420" t="str">
        <f>"0611835806100"</f>
        <v>0611835806100</v>
      </c>
      <c r="B6420" t="str">
        <f>"LK2153"</f>
        <v>LK2153</v>
      </c>
      <c r="C6420" t="s">
        <v>39701</v>
      </c>
      <c r="D6420" t="s">
        <v>28138</v>
      </c>
      <c r="E6420" t="str">
        <f t="shared" si="100"/>
        <v>001390</v>
      </c>
      <c r="F6420" t="s">
        <v>27246</v>
      </c>
      <c r="G6420" t="s">
        <v>27247</v>
      </c>
      <c r="H6420" t="s">
        <v>27248</v>
      </c>
      <c r="I6420" t="s">
        <v>39702</v>
      </c>
      <c r="J6420" t="s">
        <v>12824</v>
      </c>
      <c r="L6420" t="s">
        <v>27250</v>
      </c>
      <c r="M6420" t="s">
        <v>27251</v>
      </c>
      <c r="N6420" t="s">
        <v>27252</v>
      </c>
      <c r="P6420" t="s">
        <v>27925</v>
      </c>
      <c r="Q6420" s="1">
        <v>44538</v>
      </c>
      <c r="R6420" t="s">
        <v>27253</v>
      </c>
      <c r="S6420" t="s">
        <v>27254</v>
      </c>
      <c r="T6420" t="s">
        <v>27255</v>
      </c>
    </row>
    <row r="6421" spans="1:20" x14ac:dyDescent="0.3">
      <c r="A6421" t="str">
        <f>"0611835807100"</f>
        <v>0611835807100</v>
      </c>
      <c r="B6421" t="str">
        <f>"LK2874"</f>
        <v>LK2874</v>
      </c>
      <c r="C6421" t="s">
        <v>39703</v>
      </c>
      <c r="D6421" t="s">
        <v>28138</v>
      </c>
      <c r="E6421" t="str">
        <f t="shared" si="100"/>
        <v>001390</v>
      </c>
      <c r="F6421" t="s">
        <v>27246</v>
      </c>
      <c r="G6421" t="s">
        <v>27247</v>
      </c>
      <c r="H6421" t="s">
        <v>27248</v>
      </c>
      <c r="I6421" t="s">
        <v>39704</v>
      </c>
      <c r="J6421" t="s">
        <v>12826</v>
      </c>
      <c r="L6421" t="s">
        <v>27250</v>
      </c>
      <c r="M6421" t="s">
        <v>27251</v>
      </c>
      <c r="N6421" t="s">
        <v>27252</v>
      </c>
      <c r="P6421" t="s">
        <v>27925</v>
      </c>
      <c r="Q6421" s="1">
        <v>44538</v>
      </c>
      <c r="R6421" t="s">
        <v>27253</v>
      </c>
      <c r="S6421" t="s">
        <v>27254</v>
      </c>
      <c r="T6421" t="s">
        <v>27255</v>
      </c>
    </row>
    <row r="6422" spans="1:20" x14ac:dyDescent="0.3">
      <c r="A6422" t="str">
        <f>"0611835808100"</f>
        <v>0611835808100</v>
      </c>
      <c r="B6422" t="str">
        <f>"LK1863"</f>
        <v>LK1863</v>
      </c>
      <c r="C6422" t="s">
        <v>39705</v>
      </c>
      <c r="D6422" t="s">
        <v>28138</v>
      </c>
      <c r="E6422" t="str">
        <f t="shared" si="100"/>
        <v>001390</v>
      </c>
      <c r="F6422" t="s">
        <v>27246</v>
      </c>
      <c r="G6422" t="s">
        <v>27247</v>
      </c>
      <c r="H6422" t="s">
        <v>27248</v>
      </c>
      <c r="I6422" t="s">
        <v>39706</v>
      </c>
      <c r="J6422" t="s">
        <v>12828</v>
      </c>
      <c r="L6422" t="s">
        <v>27250</v>
      </c>
      <c r="M6422" t="s">
        <v>27251</v>
      </c>
      <c r="N6422" t="s">
        <v>27252</v>
      </c>
      <c r="P6422" t="s">
        <v>27925</v>
      </c>
      <c r="Q6422" s="1">
        <v>44538</v>
      </c>
      <c r="R6422" t="s">
        <v>27253</v>
      </c>
      <c r="S6422" t="s">
        <v>27254</v>
      </c>
      <c r="T6422" t="s">
        <v>27255</v>
      </c>
    </row>
    <row r="6423" spans="1:20" x14ac:dyDescent="0.3">
      <c r="A6423" t="str">
        <f>"0611835809100"</f>
        <v>0611835809100</v>
      </c>
      <c r="B6423" t="str">
        <f>"LK3394"</f>
        <v>LK3394</v>
      </c>
      <c r="C6423" t="s">
        <v>39707</v>
      </c>
      <c r="D6423" t="s">
        <v>28138</v>
      </c>
      <c r="E6423" t="str">
        <f t="shared" si="100"/>
        <v>001390</v>
      </c>
      <c r="F6423" t="s">
        <v>27246</v>
      </c>
      <c r="G6423" t="s">
        <v>27247</v>
      </c>
      <c r="H6423" t="s">
        <v>27248</v>
      </c>
      <c r="I6423" t="s">
        <v>39708</v>
      </c>
      <c r="J6423" t="s">
        <v>12830</v>
      </c>
      <c r="L6423" t="s">
        <v>27250</v>
      </c>
      <c r="M6423" t="s">
        <v>27251</v>
      </c>
      <c r="N6423" t="s">
        <v>27252</v>
      </c>
      <c r="P6423" t="s">
        <v>27925</v>
      </c>
      <c r="Q6423" s="1">
        <v>44538</v>
      </c>
      <c r="R6423" t="s">
        <v>27253</v>
      </c>
      <c r="S6423" t="s">
        <v>27254</v>
      </c>
      <c r="T6423" t="s">
        <v>27255</v>
      </c>
    </row>
    <row r="6424" spans="1:20" x14ac:dyDescent="0.3">
      <c r="A6424" t="str">
        <f>"0611835810100"</f>
        <v>0611835810100</v>
      </c>
      <c r="B6424" t="str">
        <f>"LK2875"</f>
        <v>LK2875</v>
      </c>
      <c r="C6424" t="s">
        <v>39709</v>
      </c>
      <c r="D6424" t="s">
        <v>28138</v>
      </c>
      <c r="E6424" t="str">
        <f t="shared" si="100"/>
        <v>001390</v>
      </c>
      <c r="F6424" t="s">
        <v>27246</v>
      </c>
      <c r="G6424" t="s">
        <v>27247</v>
      </c>
      <c r="H6424" t="s">
        <v>27248</v>
      </c>
      <c r="I6424" t="s">
        <v>39710</v>
      </c>
      <c r="J6424" t="s">
        <v>12832</v>
      </c>
      <c r="L6424" t="s">
        <v>27250</v>
      </c>
      <c r="M6424" t="s">
        <v>27251</v>
      </c>
      <c r="N6424" t="s">
        <v>27252</v>
      </c>
      <c r="P6424" t="s">
        <v>27925</v>
      </c>
      <c r="Q6424" s="1">
        <v>44538</v>
      </c>
      <c r="R6424" t="s">
        <v>27253</v>
      </c>
      <c r="S6424" t="s">
        <v>27254</v>
      </c>
      <c r="T6424" t="s">
        <v>27255</v>
      </c>
    </row>
    <row r="6425" spans="1:20" x14ac:dyDescent="0.3">
      <c r="A6425" t="str">
        <f>"0611835811100"</f>
        <v>0611835811100</v>
      </c>
      <c r="B6425" t="str">
        <f>"LK1513"</f>
        <v>LK1513</v>
      </c>
      <c r="C6425" t="s">
        <v>39711</v>
      </c>
      <c r="D6425" t="s">
        <v>28138</v>
      </c>
      <c r="E6425" t="str">
        <f t="shared" si="100"/>
        <v>001390</v>
      </c>
      <c r="F6425" t="s">
        <v>27246</v>
      </c>
      <c r="G6425" t="s">
        <v>27247</v>
      </c>
      <c r="H6425" t="s">
        <v>27248</v>
      </c>
      <c r="I6425" t="s">
        <v>39712</v>
      </c>
      <c r="J6425" t="s">
        <v>12834</v>
      </c>
      <c r="L6425" t="s">
        <v>27250</v>
      </c>
      <c r="M6425" t="s">
        <v>27251</v>
      </c>
      <c r="N6425" t="s">
        <v>27252</v>
      </c>
      <c r="P6425" t="s">
        <v>27925</v>
      </c>
      <c r="Q6425" s="1">
        <v>44538</v>
      </c>
      <c r="R6425" t="s">
        <v>27253</v>
      </c>
      <c r="S6425" t="s">
        <v>27254</v>
      </c>
      <c r="T6425" t="s">
        <v>27255</v>
      </c>
    </row>
    <row r="6426" spans="1:20" x14ac:dyDescent="0.3">
      <c r="A6426" t="str">
        <f>"0611835813100"</f>
        <v>0611835813100</v>
      </c>
      <c r="B6426" t="str">
        <f>"LK1514"</f>
        <v>LK1514</v>
      </c>
      <c r="C6426" t="s">
        <v>39713</v>
      </c>
      <c r="D6426" t="s">
        <v>28138</v>
      </c>
      <c r="E6426" t="str">
        <f t="shared" si="100"/>
        <v>001390</v>
      </c>
      <c r="F6426" t="s">
        <v>27246</v>
      </c>
      <c r="G6426" t="s">
        <v>27247</v>
      </c>
      <c r="H6426" t="s">
        <v>27248</v>
      </c>
      <c r="I6426" t="s">
        <v>39714</v>
      </c>
      <c r="J6426" t="s">
        <v>12836</v>
      </c>
      <c r="L6426" t="s">
        <v>27250</v>
      </c>
      <c r="M6426" t="s">
        <v>27251</v>
      </c>
      <c r="N6426" t="s">
        <v>27252</v>
      </c>
      <c r="P6426" t="s">
        <v>27925</v>
      </c>
      <c r="Q6426" s="1">
        <v>44538</v>
      </c>
      <c r="R6426" t="s">
        <v>27253</v>
      </c>
      <c r="S6426" t="s">
        <v>27254</v>
      </c>
      <c r="T6426" t="s">
        <v>27255</v>
      </c>
    </row>
    <row r="6427" spans="1:20" x14ac:dyDescent="0.3">
      <c r="A6427" t="str">
        <f>"0611835814100"</f>
        <v>0611835814100</v>
      </c>
      <c r="B6427" t="str">
        <f>"LK1515"</f>
        <v>LK1515</v>
      </c>
      <c r="C6427" t="s">
        <v>39715</v>
      </c>
      <c r="D6427" t="s">
        <v>28138</v>
      </c>
      <c r="E6427" t="str">
        <f t="shared" si="100"/>
        <v>001390</v>
      </c>
      <c r="F6427" t="s">
        <v>27246</v>
      </c>
      <c r="G6427" t="s">
        <v>27247</v>
      </c>
      <c r="H6427" t="s">
        <v>27248</v>
      </c>
      <c r="I6427" t="s">
        <v>39716</v>
      </c>
      <c r="J6427" t="s">
        <v>12838</v>
      </c>
      <c r="L6427" t="s">
        <v>27250</v>
      </c>
      <c r="M6427" t="s">
        <v>27251</v>
      </c>
      <c r="N6427" t="s">
        <v>27252</v>
      </c>
      <c r="P6427" t="s">
        <v>27925</v>
      </c>
      <c r="Q6427" s="1">
        <v>44538</v>
      </c>
      <c r="R6427" t="s">
        <v>27253</v>
      </c>
      <c r="S6427" t="s">
        <v>27254</v>
      </c>
      <c r="T6427" t="s">
        <v>27255</v>
      </c>
    </row>
    <row r="6428" spans="1:20" x14ac:dyDescent="0.3">
      <c r="A6428" t="str">
        <f>"0611835815100"</f>
        <v>0611835815100</v>
      </c>
      <c r="B6428" t="str">
        <f>"LK2876"</f>
        <v>LK2876</v>
      </c>
      <c r="C6428" t="s">
        <v>39717</v>
      </c>
      <c r="D6428" t="s">
        <v>28138</v>
      </c>
      <c r="E6428" t="str">
        <f t="shared" si="100"/>
        <v>001390</v>
      </c>
      <c r="F6428" t="s">
        <v>27246</v>
      </c>
      <c r="G6428" t="s">
        <v>27247</v>
      </c>
      <c r="H6428" t="s">
        <v>27248</v>
      </c>
      <c r="I6428" t="s">
        <v>39718</v>
      </c>
      <c r="J6428" t="s">
        <v>12840</v>
      </c>
      <c r="L6428" t="s">
        <v>27250</v>
      </c>
      <c r="M6428" t="s">
        <v>27251</v>
      </c>
      <c r="N6428" t="s">
        <v>27252</v>
      </c>
      <c r="P6428" t="s">
        <v>27925</v>
      </c>
      <c r="Q6428" s="1">
        <v>44538</v>
      </c>
      <c r="R6428" t="s">
        <v>27253</v>
      </c>
      <c r="S6428" t="s">
        <v>27254</v>
      </c>
      <c r="T6428" t="s">
        <v>27255</v>
      </c>
    </row>
    <row r="6429" spans="1:20" x14ac:dyDescent="0.3">
      <c r="A6429" t="str">
        <f>"0611835816100"</f>
        <v>0611835816100</v>
      </c>
      <c r="B6429" t="str">
        <f>"LK1516"</f>
        <v>LK1516</v>
      </c>
      <c r="C6429" t="s">
        <v>39719</v>
      </c>
      <c r="D6429" t="s">
        <v>28138</v>
      </c>
      <c r="E6429" t="str">
        <f t="shared" si="100"/>
        <v>001390</v>
      </c>
      <c r="F6429" t="s">
        <v>27246</v>
      </c>
      <c r="G6429" t="s">
        <v>27247</v>
      </c>
      <c r="H6429" t="s">
        <v>27248</v>
      </c>
      <c r="I6429" t="s">
        <v>39720</v>
      </c>
      <c r="J6429" t="s">
        <v>12842</v>
      </c>
      <c r="L6429" t="s">
        <v>27250</v>
      </c>
      <c r="M6429" t="s">
        <v>27251</v>
      </c>
      <c r="N6429" t="s">
        <v>27252</v>
      </c>
      <c r="P6429" t="s">
        <v>27925</v>
      </c>
      <c r="Q6429" s="1">
        <v>44538</v>
      </c>
      <c r="R6429" t="s">
        <v>27253</v>
      </c>
      <c r="S6429" t="s">
        <v>27254</v>
      </c>
      <c r="T6429" t="s">
        <v>27255</v>
      </c>
    </row>
    <row r="6430" spans="1:20" x14ac:dyDescent="0.3">
      <c r="A6430" t="str">
        <f>"0611835817100"</f>
        <v>0611835817100</v>
      </c>
      <c r="B6430" t="str">
        <f>"LK2877"</f>
        <v>LK2877</v>
      </c>
      <c r="C6430" t="s">
        <v>39721</v>
      </c>
      <c r="D6430" t="s">
        <v>28138</v>
      </c>
      <c r="E6430" t="str">
        <f t="shared" si="100"/>
        <v>001390</v>
      </c>
      <c r="F6430" t="s">
        <v>27246</v>
      </c>
      <c r="G6430" t="s">
        <v>27247</v>
      </c>
      <c r="H6430" t="s">
        <v>27248</v>
      </c>
      <c r="I6430" t="s">
        <v>39722</v>
      </c>
      <c r="J6430" t="s">
        <v>12844</v>
      </c>
      <c r="L6430" t="s">
        <v>27250</v>
      </c>
      <c r="M6430" t="s">
        <v>27251</v>
      </c>
      <c r="N6430" t="s">
        <v>27252</v>
      </c>
      <c r="P6430" t="s">
        <v>27925</v>
      </c>
      <c r="Q6430" s="1">
        <v>44538</v>
      </c>
      <c r="R6430" t="s">
        <v>27253</v>
      </c>
      <c r="S6430" t="s">
        <v>27254</v>
      </c>
      <c r="T6430" t="s">
        <v>27255</v>
      </c>
    </row>
    <row r="6431" spans="1:20" x14ac:dyDescent="0.3">
      <c r="A6431" t="str">
        <f>"0611835818100"</f>
        <v>0611835818100</v>
      </c>
      <c r="B6431" t="str">
        <f>"LK1517"</f>
        <v>LK1517</v>
      </c>
      <c r="C6431" t="s">
        <v>39723</v>
      </c>
      <c r="D6431" t="s">
        <v>28138</v>
      </c>
      <c r="E6431" t="str">
        <f t="shared" si="100"/>
        <v>001390</v>
      </c>
      <c r="F6431" t="s">
        <v>27246</v>
      </c>
      <c r="G6431" t="s">
        <v>27247</v>
      </c>
      <c r="H6431" t="s">
        <v>27248</v>
      </c>
      <c r="I6431" t="s">
        <v>39724</v>
      </c>
      <c r="J6431" t="s">
        <v>12846</v>
      </c>
      <c r="L6431" t="s">
        <v>27250</v>
      </c>
      <c r="M6431" t="s">
        <v>27251</v>
      </c>
      <c r="N6431" t="s">
        <v>27252</v>
      </c>
      <c r="P6431" t="s">
        <v>27925</v>
      </c>
      <c r="Q6431" s="1">
        <v>44538</v>
      </c>
      <c r="R6431" t="s">
        <v>27253</v>
      </c>
      <c r="S6431" t="s">
        <v>27254</v>
      </c>
      <c r="T6431" t="s">
        <v>27255</v>
      </c>
    </row>
    <row r="6432" spans="1:20" x14ac:dyDescent="0.3">
      <c r="A6432" t="str">
        <f>"0611835820100"</f>
        <v>0611835820100</v>
      </c>
      <c r="B6432" t="str">
        <f>"LK2878"</f>
        <v>LK2878</v>
      </c>
      <c r="C6432" t="s">
        <v>39725</v>
      </c>
      <c r="D6432" t="s">
        <v>28138</v>
      </c>
      <c r="E6432" t="str">
        <f t="shared" si="100"/>
        <v>001390</v>
      </c>
      <c r="F6432" t="s">
        <v>27246</v>
      </c>
      <c r="G6432" t="s">
        <v>27247</v>
      </c>
      <c r="H6432" t="s">
        <v>27248</v>
      </c>
      <c r="I6432" t="s">
        <v>39726</v>
      </c>
      <c r="J6432" t="s">
        <v>12848</v>
      </c>
      <c r="L6432" t="s">
        <v>27250</v>
      </c>
      <c r="M6432" t="s">
        <v>27251</v>
      </c>
      <c r="N6432" t="s">
        <v>27252</v>
      </c>
      <c r="P6432" t="s">
        <v>27925</v>
      </c>
      <c r="Q6432" s="1">
        <v>44538</v>
      </c>
      <c r="R6432" t="s">
        <v>27253</v>
      </c>
      <c r="S6432" t="s">
        <v>27254</v>
      </c>
      <c r="T6432" t="s">
        <v>27255</v>
      </c>
    </row>
    <row r="6433" spans="1:20" x14ac:dyDescent="0.3">
      <c r="A6433" t="str">
        <f>"0611835821100"</f>
        <v>0611835821100</v>
      </c>
      <c r="B6433" t="str">
        <f>"LK2879"</f>
        <v>LK2879</v>
      </c>
      <c r="C6433" t="s">
        <v>39727</v>
      </c>
      <c r="D6433" t="s">
        <v>28138</v>
      </c>
      <c r="E6433" t="str">
        <f t="shared" si="100"/>
        <v>001390</v>
      </c>
      <c r="F6433" t="s">
        <v>27246</v>
      </c>
      <c r="G6433" t="s">
        <v>27247</v>
      </c>
      <c r="H6433" t="s">
        <v>27248</v>
      </c>
      <c r="I6433" t="s">
        <v>39728</v>
      </c>
      <c r="J6433" t="s">
        <v>12850</v>
      </c>
      <c r="L6433" t="s">
        <v>27250</v>
      </c>
      <c r="M6433" t="s">
        <v>27251</v>
      </c>
      <c r="N6433" t="s">
        <v>27252</v>
      </c>
      <c r="P6433" t="s">
        <v>27925</v>
      </c>
      <c r="Q6433" s="1">
        <v>44538</v>
      </c>
      <c r="R6433" t="s">
        <v>27253</v>
      </c>
      <c r="S6433" t="s">
        <v>27254</v>
      </c>
      <c r="T6433" t="s">
        <v>27255</v>
      </c>
    </row>
    <row r="6434" spans="1:20" x14ac:dyDescent="0.3">
      <c r="A6434" t="str">
        <f>"0611835822100"</f>
        <v>0611835822100</v>
      </c>
      <c r="B6434" t="str">
        <f>"LK1518"</f>
        <v>LK1518</v>
      </c>
      <c r="C6434" t="s">
        <v>39729</v>
      </c>
      <c r="D6434" t="s">
        <v>28138</v>
      </c>
      <c r="E6434" t="str">
        <f t="shared" si="100"/>
        <v>001390</v>
      </c>
      <c r="F6434" t="s">
        <v>27246</v>
      </c>
      <c r="G6434" t="s">
        <v>27247</v>
      </c>
      <c r="H6434" t="s">
        <v>27248</v>
      </c>
      <c r="I6434" t="s">
        <v>39730</v>
      </c>
      <c r="J6434" t="s">
        <v>12852</v>
      </c>
      <c r="L6434" t="s">
        <v>27250</v>
      </c>
      <c r="M6434" t="s">
        <v>27251</v>
      </c>
      <c r="N6434" t="s">
        <v>27252</v>
      </c>
      <c r="P6434" t="s">
        <v>27925</v>
      </c>
      <c r="Q6434" s="1">
        <v>44538</v>
      </c>
      <c r="R6434" t="s">
        <v>27253</v>
      </c>
      <c r="S6434" t="s">
        <v>27254</v>
      </c>
      <c r="T6434" t="s">
        <v>27255</v>
      </c>
    </row>
    <row r="6435" spans="1:20" x14ac:dyDescent="0.3">
      <c r="A6435" t="str">
        <f>"0611835823100"</f>
        <v>0611835823100</v>
      </c>
      <c r="B6435" t="str">
        <f>"LK1519"</f>
        <v>LK1519</v>
      </c>
      <c r="C6435" t="s">
        <v>39731</v>
      </c>
      <c r="D6435" t="s">
        <v>28138</v>
      </c>
      <c r="E6435" t="str">
        <f t="shared" si="100"/>
        <v>001390</v>
      </c>
      <c r="F6435" t="s">
        <v>27246</v>
      </c>
      <c r="G6435" t="s">
        <v>27247</v>
      </c>
      <c r="H6435" t="s">
        <v>27248</v>
      </c>
      <c r="I6435" t="s">
        <v>39732</v>
      </c>
      <c r="J6435" t="s">
        <v>12854</v>
      </c>
      <c r="L6435" t="s">
        <v>27250</v>
      </c>
      <c r="M6435" t="s">
        <v>27251</v>
      </c>
      <c r="N6435" t="s">
        <v>27252</v>
      </c>
      <c r="P6435" t="s">
        <v>27925</v>
      </c>
      <c r="Q6435" s="1">
        <v>44538</v>
      </c>
      <c r="R6435" t="s">
        <v>27253</v>
      </c>
      <c r="S6435" t="s">
        <v>27254</v>
      </c>
      <c r="T6435" t="s">
        <v>27255</v>
      </c>
    </row>
    <row r="6436" spans="1:20" x14ac:dyDescent="0.3">
      <c r="A6436" t="str">
        <f>"0611835824025"</f>
        <v>0611835824025</v>
      </c>
      <c r="B6436" t="str">
        <f>"MC0432"</f>
        <v>MC0432</v>
      </c>
      <c r="C6436" t="s">
        <v>39733</v>
      </c>
      <c r="D6436" t="s">
        <v>27267</v>
      </c>
      <c r="E6436" t="str">
        <f t="shared" si="100"/>
        <v>001390</v>
      </c>
      <c r="F6436" t="s">
        <v>27246</v>
      </c>
      <c r="G6436" t="s">
        <v>27247</v>
      </c>
      <c r="H6436" t="s">
        <v>27248</v>
      </c>
      <c r="I6436" t="s">
        <v>39734</v>
      </c>
      <c r="J6436" t="s">
        <v>12856</v>
      </c>
      <c r="L6436" t="s">
        <v>27250</v>
      </c>
      <c r="M6436" t="s">
        <v>27251</v>
      </c>
      <c r="N6436" t="s">
        <v>27252</v>
      </c>
      <c r="Q6436" s="1">
        <v>44538</v>
      </c>
      <c r="R6436" t="s">
        <v>27253</v>
      </c>
      <c r="S6436" t="s">
        <v>27254</v>
      </c>
      <c r="T6436" t="s">
        <v>27269</v>
      </c>
    </row>
    <row r="6437" spans="1:20" x14ac:dyDescent="0.3">
      <c r="A6437" t="str">
        <f>"0611835825100"</f>
        <v>0611835825100</v>
      </c>
      <c r="B6437" t="str">
        <f>"LK0416"</f>
        <v>LK0416</v>
      </c>
      <c r="C6437" t="s">
        <v>39735</v>
      </c>
      <c r="D6437" t="s">
        <v>27245</v>
      </c>
      <c r="E6437" t="str">
        <f t="shared" si="100"/>
        <v>001390</v>
      </c>
      <c r="F6437" t="s">
        <v>27246</v>
      </c>
      <c r="G6437" t="s">
        <v>27247</v>
      </c>
      <c r="H6437" t="s">
        <v>27248</v>
      </c>
      <c r="I6437" t="s">
        <v>39736</v>
      </c>
      <c r="J6437" t="s">
        <v>12858</v>
      </c>
      <c r="L6437" t="s">
        <v>27250</v>
      </c>
      <c r="M6437" t="s">
        <v>27251</v>
      </c>
      <c r="N6437" t="s">
        <v>27252</v>
      </c>
      <c r="Q6437" s="1">
        <v>44538</v>
      </c>
      <c r="R6437" t="s">
        <v>27253</v>
      </c>
      <c r="S6437" t="s">
        <v>27254</v>
      </c>
      <c r="T6437" t="s">
        <v>27255</v>
      </c>
    </row>
    <row r="6438" spans="1:20" x14ac:dyDescent="0.3">
      <c r="A6438" t="str">
        <f>"0611835826100"</f>
        <v>0611835826100</v>
      </c>
      <c r="B6438" t="str">
        <f>"LL5000"</f>
        <v>LL5000</v>
      </c>
      <c r="C6438" t="s">
        <v>39737</v>
      </c>
      <c r="D6438" t="s">
        <v>27245</v>
      </c>
      <c r="E6438" t="str">
        <f t="shared" si="100"/>
        <v>001390</v>
      </c>
      <c r="F6438" t="s">
        <v>27246</v>
      </c>
      <c r="G6438" t="s">
        <v>27247</v>
      </c>
      <c r="H6438" t="s">
        <v>27248</v>
      </c>
      <c r="I6438" t="s">
        <v>39738</v>
      </c>
      <c r="J6438" t="s">
        <v>12860</v>
      </c>
      <c r="L6438" t="s">
        <v>27250</v>
      </c>
      <c r="M6438" t="s">
        <v>27251</v>
      </c>
      <c r="N6438" t="s">
        <v>27252</v>
      </c>
      <c r="Q6438" s="1">
        <v>44538</v>
      </c>
      <c r="R6438" t="s">
        <v>27253</v>
      </c>
      <c r="S6438" t="s">
        <v>27254</v>
      </c>
      <c r="T6438" t="s">
        <v>27255</v>
      </c>
    </row>
    <row r="6439" spans="1:20" x14ac:dyDescent="0.3">
      <c r="A6439" t="str">
        <f>"0611862801050"</f>
        <v>0611862801050</v>
      </c>
      <c r="B6439" t="str">
        <f>"CR4138"</f>
        <v>CR4138</v>
      </c>
      <c r="C6439" t="s">
        <v>39739</v>
      </c>
      <c r="D6439" t="s">
        <v>27923</v>
      </c>
      <c r="E6439" t="str">
        <f t="shared" si="100"/>
        <v>001390</v>
      </c>
      <c r="F6439" t="s">
        <v>27246</v>
      </c>
      <c r="G6439" t="s">
        <v>27247</v>
      </c>
      <c r="H6439" t="s">
        <v>27248</v>
      </c>
      <c r="I6439" t="s">
        <v>39740</v>
      </c>
      <c r="J6439" t="s">
        <v>12862</v>
      </c>
      <c r="L6439" t="s">
        <v>27250</v>
      </c>
      <c r="M6439" t="s">
        <v>27251</v>
      </c>
      <c r="N6439" t="s">
        <v>27252</v>
      </c>
      <c r="P6439" t="s">
        <v>27925</v>
      </c>
      <c r="Q6439" s="1">
        <v>44846</v>
      </c>
      <c r="R6439" t="s">
        <v>27253</v>
      </c>
      <c r="S6439" t="s">
        <v>27254</v>
      </c>
      <c r="T6439" t="s">
        <v>27265</v>
      </c>
    </row>
    <row r="6440" spans="1:20" x14ac:dyDescent="0.3">
      <c r="A6440" t="str">
        <f>"0611835828100"</f>
        <v>0611835828100</v>
      </c>
      <c r="B6440" t="str">
        <f>"LB4200"</f>
        <v>LB4200</v>
      </c>
      <c r="C6440" t="s">
        <v>39741</v>
      </c>
      <c r="D6440" t="s">
        <v>27245</v>
      </c>
      <c r="E6440" t="str">
        <f t="shared" si="100"/>
        <v>001390</v>
      </c>
      <c r="F6440" t="s">
        <v>27246</v>
      </c>
      <c r="G6440" t="s">
        <v>27247</v>
      </c>
      <c r="H6440" t="s">
        <v>27248</v>
      </c>
      <c r="I6440" t="s">
        <v>39742</v>
      </c>
      <c r="J6440" t="s">
        <v>12864</v>
      </c>
      <c r="L6440" t="s">
        <v>27250</v>
      </c>
      <c r="M6440" t="s">
        <v>27251</v>
      </c>
      <c r="N6440" t="s">
        <v>27252</v>
      </c>
      <c r="Q6440" s="1">
        <v>44538</v>
      </c>
      <c r="R6440" t="s">
        <v>27253</v>
      </c>
      <c r="S6440" t="s">
        <v>27254</v>
      </c>
      <c r="T6440" t="s">
        <v>27255</v>
      </c>
    </row>
    <row r="6441" spans="1:20" x14ac:dyDescent="0.3">
      <c r="A6441" t="str">
        <f>"0611835829025"</f>
        <v>0611835829025</v>
      </c>
      <c r="B6441" t="str">
        <f>"MC1439"</f>
        <v>MC1439</v>
      </c>
      <c r="C6441" t="s">
        <v>39741</v>
      </c>
      <c r="D6441" t="s">
        <v>27267</v>
      </c>
      <c r="E6441" t="str">
        <f t="shared" si="100"/>
        <v>001390</v>
      </c>
      <c r="F6441" t="s">
        <v>27246</v>
      </c>
      <c r="G6441" t="s">
        <v>27247</v>
      </c>
      <c r="H6441" t="s">
        <v>27248</v>
      </c>
      <c r="I6441" t="s">
        <v>39743</v>
      </c>
      <c r="J6441" t="s">
        <v>12866</v>
      </c>
      <c r="L6441" t="s">
        <v>27250</v>
      </c>
      <c r="M6441" t="s">
        <v>27251</v>
      </c>
      <c r="N6441" t="s">
        <v>27252</v>
      </c>
      <c r="Q6441" s="1">
        <v>44538</v>
      </c>
      <c r="R6441" t="s">
        <v>27253</v>
      </c>
      <c r="S6441" t="s">
        <v>27254</v>
      </c>
      <c r="T6441" t="s">
        <v>27269</v>
      </c>
    </row>
    <row r="6442" spans="1:20" x14ac:dyDescent="0.3">
      <c r="A6442" t="str">
        <f>"0611862802050"</f>
        <v>0611862802050</v>
      </c>
      <c r="B6442" t="str">
        <f>"CR3201"</f>
        <v>CR3201</v>
      </c>
      <c r="C6442" t="s">
        <v>39741</v>
      </c>
      <c r="D6442" t="s">
        <v>27263</v>
      </c>
      <c r="E6442" t="str">
        <f t="shared" si="100"/>
        <v>001390</v>
      </c>
      <c r="F6442" t="s">
        <v>27246</v>
      </c>
      <c r="G6442" t="s">
        <v>27247</v>
      </c>
      <c r="H6442" t="s">
        <v>27248</v>
      </c>
      <c r="I6442" t="s">
        <v>39744</v>
      </c>
      <c r="J6442" t="s">
        <v>12868</v>
      </c>
      <c r="L6442" t="s">
        <v>27250</v>
      </c>
      <c r="M6442" t="s">
        <v>27251</v>
      </c>
      <c r="N6442" t="s">
        <v>27252</v>
      </c>
      <c r="Q6442" s="1">
        <v>44846</v>
      </c>
      <c r="R6442" t="s">
        <v>27253</v>
      </c>
      <c r="S6442" t="s">
        <v>27254</v>
      </c>
      <c r="T6442" t="s">
        <v>27265</v>
      </c>
    </row>
    <row r="6443" spans="1:20" x14ac:dyDescent="0.3">
      <c r="A6443" t="str">
        <f>"0611835830100"</f>
        <v>0611835830100</v>
      </c>
      <c r="B6443" t="str">
        <f>"LL0137"</f>
        <v>LL0137</v>
      </c>
      <c r="C6443" t="s">
        <v>39745</v>
      </c>
      <c r="D6443" t="s">
        <v>27245</v>
      </c>
      <c r="E6443" t="str">
        <f t="shared" si="100"/>
        <v>001390</v>
      </c>
      <c r="F6443" t="s">
        <v>27246</v>
      </c>
      <c r="G6443" t="s">
        <v>27247</v>
      </c>
      <c r="H6443" t="s">
        <v>27248</v>
      </c>
      <c r="I6443" t="s">
        <v>39746</v>
      </c>
      <c r="J6443" t="s">
        <v>12870</v>
      </c>
      <c r="L6443" t="s">
        <v>27250</v>
      </c>
      <c r="M6443" t="s">
        <v>27251</v>
      </c>
      <c r="N6443" t="s">
        <v>27252</v>
      </c>
      <c r="Q6443" s="1">
        <v>44538</v>
      </c>
      <c r="R6443" t="s">
        <v>27253</v>
      </c>
      <c r="S6443" t="s">
        <v>27254</v>
      </c>
      <c r="T6443" t="s">
        <v>27255</v>
      </c>
    </row>
    <row r="6444" spans="1:20" x14ac:dyDescent="0.3">
      <c r="A6444" t="str">
        <f>"0611835831100"</f>
        <v>0611835831100</v>
      </c>
      <c r="B6444" t="str">
        <f>"LQ3780"</f>
        <v>LQ3780</v>
      </c>
      <c r="C6444" t="s">
        <v>39747</v>
      </c>
      <c r="D6444" t="s">
        <v>27245</v>
      </c>
      <c r="E6444" t="str">
        <f t="shared" si="100"/>
        <v>001390</v>
      </c>
      <c r="F6444" t="s">
        <v>27246</v>
      </c>
      <c r="G6444" t="s">
        <v>27247</v>
      </c>
      <c r="H6444" t="s">
        <v>27248</v>
      </c>
      <c r="I6444" t="s">
        <v>39748</v>
      </c>
      <c r="J6444" t="s">
        <v>12872</v>
      </c>
      <c r="L6444" t="s">
        <v>27250</v>
      </c>
      <c r="M6444" t="s">
        <v>27251</v>
      </c>
      <c r="N6444" t="s">
        <v>27252</v>
      </c>
      <c r="Q6444" s="1">
        <v>44538</v>
      </c>
      <c r="R6444" t="s">
        <v>27253</v>
      </c>
      <c r="S6444" t="s">
        <v>27254</v>
      </c>
      <c r="T6444" t="s">
        <v>27255</v>
      </c>
    </row>
    <row r="6445" spans="1:20" x14ac:dyDescent="0.3">
      <c r="A6445" t="str">
        <f>"0611835832100"</f>
        <v>0611835832100</v>
      </c>
      <c r="B6445" t="str">
        <f>"LQ3213"</f>
        <v>LQ3213</v>
      </c>
      <c r="C6445" t="s">
        <v>39749</v>
      </c>
      <c r="D6445" t="s">
        <v>27245</v>
      </c>
      <c r="E6445" t="str">
        <f t="shared" si="100"/>
        <v>001390</v>
      </c>
      <c r="F6445" t="s">
        <v>27246</v>
      </c>
      <c r="G6445" t="s">
        <v>27247</v>
      </c>
      <c r="H6445" t="s">
        <v>27248</v>
      </c>
      <c r="I6445" t="s">
        <v>39750</v>
      </c>
      <c r="J6445" t="s">
        <v>12874</v>
      </c>
      <c r="L6445" t="s">
        <v>27250</v>
      </c>
      <c r="M6445" t="s">
        <v>27251</v>
      </c>
      <c r="N6445" t="s">
        <v>27252</v>
      </c>
      <c r="Q6445" s="1">
        <v>44538</v>
      </c>
      <c r="R6445" t="s">
        <v>27253</v>
      </c>
      <c r="S6445" t="s">
        <v>27254</v>
      </c>
      <c r="T6445" t="s">
        <v>27255</v>
      </c>
    </row>
    <row r="6446" spans="1:20" x14ac:dyDescent="0.3">
      <c r="A6446" t="str">
        <f>"0611862803050"</f>
        <v>0611862803050</v>
      </c>
      <c r="B6446" t="str">
        <f>"CR2646"</f>
        <v>CR2646</v>
      </c>
      <c r="C6446" t="s">
        <v>39749</v>
      </c>
      <c r="D6446" t="s">
        <v>27263</v>
      </c>
      <c r="E6446" t="str">
        <f t="shared" si="100"/>
        <v>001390</v>
      </c>
      <c r="F6446" t="s">
        <v>27246</v>
      </c>
      <c r="G6446" t="s">
        <v>27247</v>
      </c>
      <c r="H6446" t="s">
        <v>27248</v>
      </c>
      <c r="I6446" t="s">
        <v>39751</v>
      </c>
      <c r="J6446" t="s">
        <v>12876</v>
      </c>
      <c r="L6446" t="s">
        <v>27250</v>
      </c>
      <c r="M6446" t="s">
        <v>27251</v>
      </c>
      <c r="N6446" t="s">
        <v>27252</v>
      </c>
      <c r="Q6446" s="1">
        <v>44846</v>
      </c>
      <c r="R6446" t="s">
        <v>27253</v>
      </c>
      <c r="S6446" t="s">
        <v>27254</v>
      </c>
      <c r="T6446" t="s">
        <v>27265</v>
      </c>
    </row>
    <row r="6447" spans="1:20" x14ac:dyDescent="0.3">
      <c r="A6447" t="str">
        <f>"0611835833100"</f>
        <v>0611835833100</v>
      </c>
      <c r="B6447" t="str">
        <f>"LQ3778"</f>
        <v>LQ3778</v>
      </c>
      <c r="C6447" t="s">
        <v>39752</v>
      </c>
      <c r="D6447" t="s">
        <v>27245</v>
      </c>
      <c r="E6447" t="str">
        <f t="shared" si="100"/>
        <v>001390</v>
      </c>
      <c r="F6447" t="s">
        <v>27246</v>
      </c>
      <c r="G6447" t="s">
        <v>27247</v>
      </c>
      <c r="H6447" t="s">
        <v>27248</v>
      </c>
      <c r="I6447" t="s">
        <v>39753</v>
      </c>
      <c r="J6447" t="s">
        <v>12878</v>
      </c>
      <c r="L6447" t="s">
        <v>27250</v>
      </c>
      <c r="M6447" t="s">
        <v>27251</v>
      </c>
      <c r="N6447" t="s">
        <v>27252</v>
      </c>
      <c r="Q6447" s="1">
        <v>44538</v>
      </c>
      <c r="R6447" t="s">
        <v>27253</v>
      </c>
      <c r="S6447" t="s">
        <v>27254</v>
      </c>
      <c r="T6447" t="s">
        <v>27255</v>
      </c>
    </row>
    <row r="6448" spans="1:20" x14ac:dyDescent="0.3">
      <c r="A6448" t="str">
        <f>"0611862804050"</f>
        <v>0611862804050</v>
      </c>
      <c r="B6448" t="str">
        <f>"CR3451"</f>
        <v>CR3451</v>
      </c>
      <c r="C6448" t="s">
        <v>39754</v>
      </c>
      <c r="D6448" t="s">
        <v>27263</v>
      </c>
      <c r="E6448" t="str">
        <f t="shared" si="100"/>
        <v>001390</v>
      </c>
      <c r="F6448" t="s">
        <v>27246</v>
      </c>
      <c r="G6448" t="s">
        <v>27247</v>
      </c>
      <c r="H6448" t="s">
        <v>27248</v>
      </c>
      <c r="I6448" t="s">
        <v>39755</v>
      </c>
      <c r="J6448" t="s">
        <v>12880</v>
      </c>
      <c r="L6448" t="s">
        <v>27250</v>
      </c>
      <c r="M6448" t="s">
        <v>27251</v>
      </c>
      <c r="N6448" t="s">
        <v>27252</v>
      </c>
      <c r="Q6448" s="1">
        <v>44846</v>
      </c>
      <c r="R6448" t="s">
        <v>27253</v>
      </c>
      <c r="S6448" t="s">
        <v>27254</v>
      </c>
      <c r="T6448" t="s">
        <v>27265</v>
      </c>
    </row>
    <row r="6449" spans="1:20" x14ac:dyDescent="0.3">
      <c r="A6449" t="str">
        <f>"0611862805050"</f>
        <v>0611862805050</v>
      </c>
      <c r="B6449" t="str">
        <f>"CR3293"</f>
        <v>CR3293</v>
      </c>
      <c r="C6449" t="s">
        <v>39756</v>
      </c>
      <c r="D6449" t="s">
        <v>27263</v>
      </c>
      <c r="E6449" t="str">
        <f t="shared" si="100"/>
        <v>001390</v>
      </c>
      <c r="F6449" t="s">
        <v>27246</v>
      </c>
      <c r="G6449" t="s">
        <v>27247</v>
      </c>
      <c r="H6449" t="s">
        <v>27248</v>
      </c>
      <c r="I6449" t="s">
        <v>39757</v>
      </c>
      <c r="J6449" t="s">
        <v>12882</v>
      </c>
      <c r="L6449" t="s">
        <v>27250</v>
      </c>
      <c r="M6449" t="s">
        <v>27251</v>
      </c>
      <c r="N6449" t="s">
        <v>27252</v>
      </c>
      <c r="Q6449" s="1">
        <v>44846</v>
      </c>
      <c r="R6449" t="s">
        <v>27253</v>
      </c>
      <c r="S6449" t="s">
        <v>27254</v>
      </c>
      <c r="T6449" t="s">
        <v>27265</v>
      </c>
    </row>
    <row r="6450" spans="1:20" x14ac:dyDescent="0.3">
      <c r="A6450" t="str">
        <f>"0611862806050"</f>
        <v>0611862806050</v>
      </c>
      <c r="B6450" t="str">
        <f>"CR3373"</f>
        <v>CR3373</v>
      </c>
      <c r="C6450" t="s">
        <v>39758</v>
      </c>
      <c r="D6450" t="s">
        <v>27263</v>
      </c>
      <c r="E6450" t="str">
        <f t="shared" si="100"/>
        <v>001390</v>
      </c>
      <c r="F6450" t="s">
        <v>27246</v>
      </c>
      <c r="G6450" t="s">
        <v>27247</v>
      </c>
      <c r="H6450" t="s">
        <v>27248</v>
      </c>
      <c r="I6450" t="s">
        <v>39759</v>
      </c>
      <c r="J6450" t="s">
        <v>12884</v>
      </c>
      <c r="L6450" t="s">
        <v>27250</v>
      </c>
      <c r="M6450" t="s">
        <v>27251</v>
      </c>
      <c r="N6450" t="s">
        <v>27252</v>
      </c>
      <c r="Q6450" s="1">
        <v>44846</v>
      </c>
      <c r="R6450" t="s">
        <v>27253</v>
      </c>
      <c r="S6450" t="s">
        <v>27254</v>
      </c>
      <c r="T6450" t="s">
        <v>27265</v>
      </c>
    </row>
    <row r="6451" spans="1:20" x14ac:dyDescent="0.3">
      <c r="A6451" t="str">
        <f>"0611835834100"</f>
        <v>0611835834100</v>
      </c>
      <c r="B6451" t="str">
        <f>"LQ3214"</f>
        <v>LQ3214</v>
      </c>
      <c r="C6451" t="s">
        <v>39760</v>
      </c>
      <c r="D6451" t="s">
        <v>27245</v>
      </c>
      <c r="E6451" t="str">
        <f t="shared" si="100"/>
        <v>001390</v>
      </c>
      <c r="F6451" t="s">
        <v>27246</v>
      </c>
      <c r="G6451" t="s">
        <v>27247</v>
      </c>
      <c r="H6451" t="s">
        <v>27248</v>
      </c>
      <c r="I6451" t="s">
        <v>39761</v>
      </c>
      <c r="J6451" t="s">
        <v>12886</v>
      </c>
      <c r="L6451" t="s">
        <v>27250</v>
      </c>
      <c r="M6451" t="s">
        <v>27251</v>
      </c>
      <c r="N6451" t="s">
        <v>27252</v>
      </c>
      <c r="Q6451" s="1">
        <v>44538</v>
      </c>
      <c r="R6451" t="s">
        <v>27253</v>
      </c>
      <c r="S6451" t="s">
        <v>27254</v>
      </c>
      <c r="T6451" t="s">
        <v>27255</v>
      </c>
    </row>
    <row r="6452" spans="1:20" x14ac:dyDescent="0.3">
      <c r="A6452" t="str">
        <f>"0611862807050"</f>
        <v>0611862807050</v>
      </c>
      <c r="B6452" t="str">
        <f>"CR2352"</f>
        <v>CR2352</v>
      </c>
      <c r="C6452" t="s">
        <v>39760</v>
      </c>
      <c r="D6452" t="s">
        <v>27263</v>
      </c>
      <c r="E6452" t="str">
        <f t="shared" si="100"/>
        <v>001390</v>
      </c>
      <c r="F6452" t="s">
        <v>27246</v>
      </c>
      <c r="G6452" t="s">
        <v>27247</v>
      </c>
      <c r="H6452" t="s">
        <v>27248</v>
      </c>
      <c r="I6452" t="s">
        <v>39762</v>
      </c>
      <c r="J6452" t="s">
        <v>12888</v>
      </c>
      <c r="L6452" t="s">
        <v>27250</v>
      </c>
      <c r="M6452" t="s">
        <v>27251</v>
      </c>
      <c r="N6452" t="s">
        <v>27252</v>
      </c>
      <c r="Q6452" s="1">
        <v>44846</v>
      </c>
      <c r="R6452" t="s">
        <v>27253</v>
      </c>
      <c r="S6452" t="s">
        <v>27254</v>
      </c>
      <c r="T6452" t="s">
        <v>27265</v>
      </c>
    </row>
    <row r="6453" spans="1:20" x14ac:dyDescent="0.3">
      <c r="A6453" t="str">
        <f>"0611835835100"</f>
        <v>0611835835100</v>
      </c>
      <c r="B6453" t="str">
        <f>"LQ3779"</f>
        <v>LQ3779</v>
      </c>
      <c r="C6453" t="s">
        <v>39763</v>
      </c>
      <c r="D6453" t="s">
        <v>27245</v>
      </c>
      <c r="E6453" t="str">
        <f t="shared" si="100"/>
        <v>001390</v>
      </c>
      <c r="F6453" t="s">
        <v>27246</v>
      </c>
      <c r="G6453" t="s">
        <v>27247</v>
      </c>
      <c r="H6453" t="s">
        <v>27248</v>
      </c>
      <c r="I6453" t="s">
        <v>39764</v>
      </c>
      <c r="J6453" t="s">
        <v>12890</v>
      </c>
      <c r="L6453" t="s">
        <v>27250</v>
      </c>
      <c r="M6453" t="s">
        <v>27251</v>
      </c>
      <c r="N6453" t="s">
        <v>27252</v>
      </c>
      <c r="Q6453" s="1">
        <v>44538</v>
      </c>
      <c r="R6453" t="s">
        <v>27253</v>
      </c>
      <c r="S6453" t="s">
        <v>27254</v>
      </c>
      <c r="T6453" t="s">
        <v>27255</v>
      </c>
    </row>
    <row r="6454" spans="1:20" x14ac:dyDescent="0.3">
      <c r="A6454" t="str">
        <f>"0611835836100"</f>
        <v>0611835836100</v>
      </c>
      <c r="B6454" t="str">
        <f>"LQ3215"</f>
        <v>LQ3215</v>
      </c>
      <c r="C6454" t="s">
        <v>39765</v>
      </c>
      <c r="D6454" t="s">
        <v>27245</v>
      </c>
      <c r="E6454" t="str">
        <f t="shared" si="100"/>
        <v>001390</v>
      </c>
      <c r="F6454" t="s">
        <v>27246</v>
      </c>
      <c r="G6454" t="s">
        <v>27247</v>
      </c>
      <c r="H6454" t="s">
        <v>27248</v>
      </c>
      <c r="I6454" t="s">
        <v>39766</v>
      </c>
      <c r="J6454" t="s">
        <v>12892</v>
      </c>
      <c r="L6454" t="s">
        <v>27250</v>
      </c>
      <c r="M6454" t="s">
        <v>27251</v>
      </c>
      <c r="N6454" t="s">
        <v>27252</v>
      </c>
      <c r="Q6454" s="1">
        <v>44538</v>
      </c>
      <c r="R6454" t="s">
        <v>27253</v>
      </c>
      <c r="S6454" t="s">
        <v>27254</v>
      </c>
      <c r="T6454" t="s">
        <v>27255</v>
      </c>
    </row>
    <row r="6455" spans="1:20" x14ac:dyDescent="0.3">
      <c r="A6455" t="str">
        <f>"0611862808050"</f>
        <v>0611862808050</v>
      </c>
      <c r="B6455" t="str">
        <f>"CR2865"</f>
        <v>CR2865</v>
      </c>
      <c r="C6455" t="s">
        <v>39765</v>
      </c>
      <c r="D6455" t="s">
        <v>27263</v>
      </c>
      <c r="E6455" t="str">
        <f t="shared" si="100"/>
        <v>001390</v>
      </c>
      <c r="F6455" t="s">
        <v>27246</v>
      </c>
      <c r="G6455" t="s">
        <v>27247</v>
      </c>
      <c r="H6455" t="s">
        <v>27248</v>
      </c>
      <c r="I6455" t="s">
        <v>39767</v>
      </c>
      <c r="J6455" t="s">
        <v>12894</v>
      </c>
      <c r="L6455" t="s">
        <v>27250</v>
      </c>
      <c r="M6455" t="s">
        <v>27251</v>
      </c>
      <c r="N6455" t="s">
        <v>27252</v>
      </c>
      <c r="Q6455" s="1">
        <v>44846</v>
      </c>
      <c r="R6455" t="s">
        <v>27253</v>
      </c>
      <c r="S6455" t="s">
        <v>27254</v>
      </c>
      <c r="T6455" t="s">
        <v>27265</v>
      </c>
    </row>
    <row r="6456" spans="1:20" x14ac:dyDescent="0.3">
      <c r="A6456" t="str">
        <f>"0611835838100"</f>
        <v>0611835838100</v>
      </c>
      <c r="B6456" t="str">
        <f>"LK0991"</f>
        <v>LK0991</v>
      </c>
      <c r="C6456" t="s">
        <v>39768</v>
      </c>
      <c r="D6456" t="s">
        <v>27245</v>
      </c>
      <c r="E6456" t="str">
        <f t="shared" si="100"/>
        <v>001390</v>
      </c>
      <c r="F6456" t="s">
        <v>27246</v>
      </c>
      <c r="G6456" t="s">
        <v>27247</v>
      </c>
      <c r="H6456" t="s">
        <v>27248</v>
      </c>
      <c r="I6456" t="s">
        <v>39769</v>
      </c>
      <c r="J6456" t="s">
        <v>12896</v>
      </c>
      <c r="L6456" t="s">
        <v>27250</v>
      </c>
      <c r="M6456" t="s">
        <v>27251</v>
      </c>
      <c r="N6456" t="s">
        <v>27252</v>
      </c>
      <c r="Q6456" s="1">
        <v>44538</v>
      </c>
      <c r="R6456" t="s">
        <v>27253</v>
      </c>
      <c r="S6456" t="s">
        <v>27254</v>
      </c>
      <c r="T6456" t="s">
        <v>27255</v>
      </c>
    </row>
    <row r="6457" spans="1:20" x14ac:dyDescent="0.3">
      <c r="A6457" t="str">
        <f>"0611835839100"</f>
        <v>0611835839100</v>
      </c>
      <c r="B6457" t="str">
        <f>"LK0503"</f>
        <v>LK0503</v>
      </c>
      <c r="C6457" t="s">
        <v>39770</v>
      </c>
      <c r="D6457" t="s">
        <v>27245</v>
      </c>
      <c r="E6457" t="str">
        <f t="shared" si="100"/>
        <v>001390</v>
      </c>
      <c r="F6457" t="s">
        <v>27246</v>
      </c>
      <c r="G6457" t="s">
        <v>27247</v>
      </c>
      <c r="H6457" t="s">
        <v>27248</v>
      </c>
      <c r="I6457" t="s">
        <v>39771</v>
      </c>
      <c r="J6457" t="s">
        <v>12898</v>
      </c>
      <c r="L6457" t="s">
        <v>27250</v>
      </c>
      <c r="M6457" t="s">
        <v>27251</v>
      </c>
      <c r="N6457" t="s">
        <v>27252</v>
      </c>
      <c r="Q6457" s="1">
        <v>44538</v>
      </c>
      <c r="R6457" t="s">
        <v>27253</v>
      </c>
      <c r="S6457" t="s">
        <v>27254</v>
      </c>
      <c r="T6457" t="s">
        <v>27255</v>
      </c>
    </row>
    <row r="6458" spans="1:20" x14ac:dyDescent="0.3">
      <c r="A6458" t="str">
        <f>"0611835840100"</f>
        <v>0611835840100</v>
      </c>
      <c r="B6458" t="str">
        <f>"LB5634"</f>
        <v>LB5634</v>
      </c>
      <c r="C6458" t="s">
        <v>39772</v>
      </c>
      <c r="D6458" t="s">
        <v>27245</v>
      </c>
      <c r="E6458" t="str">
        <f t="shared" si="100"/>
        <v>001390</v>
      </c>
      <c r="F6458" t="s">
        <v>27246</v>
      </c>
      <c r="G6458" t="s">
        <v>27247</v>
      </c>
      <c r="H6458" t="s">
        <v>27248</v>
      </c>
      <c r="I6458" t="s">
        <v>39773</v>
      </c>
      <c r="J6458" t="s">
        <v>12900</v>
      </c>
      <c r="L6458" t="s">
        <v>27250</v>
      </c>
      <c r="M6458" t="s">
        <v>27251</v>
      </c>
      <c r="N6458" t="s">
        <v>27252</v>
      </c>
      <c r="Q6458" s="1">
        <v>44538</v>
      </c>
      <c r="R6458" t="s">
        <v>27253</v>
      </c>
      <c r="S6458" t="s">
        <v>27254</v>
      </c>
      <c r="T6458" t="s">
        <v>27255</v>
      </c>
    </row>
    <row r="6459" spans="1:20" x14ac:dyDescent="0.3">
      <c r="A6459" t="str">
        <f>"0611835841100"</f>
        <v>0611835841100</v>
      </c>
      <c r="B6459" t="str">
        <f>"LK2784"</f>
        <v>LK2784</v>
      </c>
      <c r="C6459" t="s">
        <v>39774</v>
      </c>
      <c r="D6459" t="s">
        <v>27245</v>
      </c>
      <c r="E6459" t="str">
        <f t="shared" si="100"/>
        <v>001390</v>
      </c>
      <c r="F6459" t="s">
        <v>27246</v>
      </c>
      <c r="G6459" t="s">
        <v>27247</v>
      </c>
      <c r="H6459" t="s">
        <v>27248</v>
      </c>
      <c r="I6459" t="s">
        <v>39775</v>
      </c>
      <c r="J6459" t="s">
        <v>12902</v>
      </c>
      <c r="L6459" t="s">
        <v>27250</v>
      </c>
      <c r="M6459" t="s">
        <v>27251</v>
      </c>
      <c r="N6459" t="s">
        <v>27252</v>
      </c>
      <c r="Q6459" s="1">
        <v>44538</v>
      </c>
      <c r="R6459" t="s">
        <v>27253</v>
      </c>
      <c r="S6459" t="s">
        <v>27254</v>
      </c>
      <c r="T6459" t="s">
        <v>27255</v>
      </c>
    </row>
    <row r="6460" spans="1:20" x14ac:dyDescent="0.3">
      <c r="A6460" t="str">
        <f>"0611857004100"</f>
        <v>0611857004100</v>
      </c>
      <c r="B6460" t="str">
        <f>"LK7059"</f>
        <v>LK7059</v>
      </c>
      <c r="C6460" t="s">
        <v>39776</v>
      </c>
      <c r="D6460" t="s">
        <v>27245</v>
      </c>
      <c r="E6460" t="str">
        <f t="shared" si="100"/>
        <v>001390</v>
      </c>
      <c r="F6460" t="s">
        <v>27246</v>
      </c>
      <c r="G6460" t="s">
        <v>27247</v>
      </c>
      <c r="H6460" t="s">
        <v>27248</v>
      </c>
      <c r="I6460" t="s">
        <v>39777</v>
      </c>
      <c r="J6460" t="s">
        <v>12904</v>
      </c>
      <c r="L6460" t="s">
        <v>27250</v>
      </c>
      <c r="M6460" t="s">
        <v>27251</v>
      </c>
      <c r="N6460" t="s">
        <v>27252</v>
      </c>
      <c r="Q6460" s="1">
        <v>44812</v>
      </c>
      <c r="R6460" t="s">
        <v>27253</v>
      </c>
      <c r="S6460" t="s">
        <v>27254</v>
      </c>
      <c r="T6460" t="s">
        <v>27255</v>
      </c>
    </row>
    <row r="6461" spans="1:20" x14ac:dyDescent="0.3">
      <c r="A6461" t="str">
        <f>"0611835842100"</f>
        <v>0611835842100</v>
      </c>
      <c r="B6461" t="str">
        <f>"LL0139"</f>
        <v>LL0139</v>
      </c>
      <c r="C6461" t="s">
        <v>39778</v>
      </c>
      <c r="D6461" t="s">
        <v>27245</v>
      </c>
      <c r="E6461" t="str">
        <f t="shared" si="100"/>
        <v>001390</v>
      </c>
      <c r="F6461" t="s">
        <v>27246</v>
      </c>
      <c r="G6461" t="s">
        <v>27247</v>
      </c>
      <c r="H6461" t="s">
        <v>27248</v>
      </c>
      <c r="I6461" t="s">
        <v>39779</v>
      </c>
      <c r="J6461" t="s">
        <v>12906</v>
      </c>
      <c r="L6461" t="s">
        <v>27250</v>
      </c>
      <c r="M6461" t="s">
        <v>27251</v>
      </c>
      <c r="N6461" t="s">
        <v>27252</v>
      </c>
      <c r="Q6461" s="1">
        <v>44538</v>
      </c>
      <c r="R6461" t="s">
        <v>27253</v>
      </c>
      <c r="S6461" t="s">
        <v>27254</v>
      </c>
      <c r="T6461" t="s">
        <v>27255</v>
      </c>
    </row>
    <row r="6462" spans="1:20" x14ac:dyDescent="0.3">
      <c r="A6462" t="str">
        <f>"0611862809050"</f>
        <v>0611862809050</v>
      </c>
      <c r="B6462" t="str">
        <f>"CR3890"</f>
        <v>CR3890</v>
      </c>
      <c r="C6462" t="s">
        <v>39780</v>
      </c>
      <c r="D6462" t="s">
        <v>27271</v>
      </c>
      <c r="E6462" t="str">
        <f t="shared" si="100"/>
        <v>001390</v>
      </c>
      <c r="F6462" t="s">
        <v>27246</v>
      </c>
      <c r="G6462" t="s">
        <v>27247</v>
      </c>
      <c r="H6462" t="s">
        <v>27248</v>
      </c>
      <c r="I6462" t="s">
        <v>39781</v>
      </c>
      <c r="J6462" t="s">
        <v>12908</v>
      </c>
      <c r="L6462" t="s">
        <v>27250</v>
      </c>
      <c r="M6462" t="s">
        <v>27251</v>
      </c>
      <c r="N6462" t="s">
        <v>27252</v>
      </c>
      <c r="P6462" t="s">
        <v>27341</v>
      </c>
      <c r="Q6462" s="1">
        <v>44846</v>
      </c>
      <c r="R6462" t="s">
        <v>27253</v>
      </c>
      <c r="S6462" t="s">
        <v>27254</v>
      </c>
      <c r="T6462" t="s">
        <v>27265</v>
      </c>
    </row>
    <row r="6463" spans="1:20" x14ac:dyDescent="0.3">
      <c r="A6463" t="str">
        <f>"0611862810050"</f>
        <v>0611862810050</v>
      </c>
      <c r="B6463" t="str">
        <f>"CR2353"</f>
        <v>CR2353</v>
      </c>
      <c r="C6463" t="s">
        <v>39782</v>
      </c>
      <c r="D6463" t="s">
        <v>27271</v>
      </c>
      <c r="E6463" t="str">
        <f t="shared" si="100"/>
        <v>001390</v>
      </c>
      <c r="F6463" t="s">
        <v>27246</v>
      </c>
      <c r="G6463" t="s">
        <v>27247</v>
      </c>
      <c r="H6463" t="s">
        <v>27248</v>
      </c>
      <c r="I6463" t="s">
        <v>39783</v>
      </c>
      <c r="J6463" t="s">
        <v>12910</v>
      </c>
      <c r="L6463" t="s">
        <v>27250</v>
      </c>
      <c r="M6463" t="s">
        <v>27251</v>
      </c>
      <c r="N6463" t="s">
        <v>27252</v>
      </c>
      <c r="P6463" t="s">
        <v>27341</v>
      </c>
      <c r="Q6463" s="1">
        <v>44846</v>
      </c>
      <c r="R6463" t="s">
        <v>27253</v>
      </c>
      <c r="S6463" t="s">
        <v>27254</v>
      </c>
      <c r="T6463" t="s">
        <v>27265</v>
      </c>
    </row>
    <row r="6464" spans="1:20" x14ac:dyDescent="0.3">
      <c r="A6464" t="str">
        <f>"0611862811050"</f>
        <v>0611862811050</v>
      </c>
      <c r="B6464" t="str">
        <f>"CR2968"</f>
        <v>CR2968</v>
      </c>
      <c r="C6464" t="s">
        <v>39784</v>
      </c>
      <c r="D6464" t="s">
        <v>27271</v>
      </c>
      <c r="E6464" t="str">
        <f t="shared" si="100"/>
        <v>001390</v>
      </c>
      <c r="F6464" t="s">
        <v>27246</v>
      </c>
      <c r="G6464" t="s">
        <v>27247</v>
      </c>
      <c r="H6464" t="s">
        <v>27248</v>
      </c>
      <c r="I6464" t="s">
        <v>39785</v>
      </c>
      <c r="J6464" t="s">
        <v>12912</v>
      </c>
      <c r="L6464" t="s">
        <v>27250</v>
      </c>
      <c r="M6464" t="s">
        <v>27251</v>
      </c>
      <c r="N6464" t="s">
        <v>27252</v>
      </c>
      <c r="P6464" t="s">
        <v>27341</v>
      </c>
      <c r="Q6464" s="1">
        <v>44846</v>
      </c>
      <c r="R6464" t="s">
        <v>27253</v>
      </c>
      <c r="S6464" t="s">
        <v>27254</v>
      </c>
      <c r="T6464" t="s">
        <v>27265</v>
      </c>
    </row>
    <row r="6465" spans="1:20" x14ac:dyDescent="0.3">
      <c r="A6465" t="str">
        <f>"0611862812050"</f>
        <v>0611862812050</v>
      </c>
      <c r="B6465" t="str">
        <f>"CR3716"</f>
        <v>CR3716</v>
      </c>
      <c r="C6465" t="s">
        <v>39786</v>
      </c>
      <c r="D6465" t="s">
        <v>27271</v>
      </c>
      <c r="E6465" t="str">
        <f t="shared" si="100"/>
        <v>001390</v>
      </c>
      <c r="F6465" t="s">
        <v>27246</v>
      </c>
      <c r="G6465" t="s">
        <v>27247</v>
      </c>
      <c r="H6465" t="s">
        <v>27248</v>
      </c>
      <c r="I6465" t="s">
        <v>39787</v>
      </c>
      <c r="J6465" t="s">
        <v>12914</v>
      </c>
      <c r="L6465" t="s">
        <v>27250</v>
      </c>
      <c r="M6465" t="s">
        <v>27251</v>
      </c>
      <c r="N6465" t="s">
        <v>27252</v>
      </c>
      <c r="P6465" t="s">
        <v>27341</v>
      </c>
      <c r="Q6465" s="1">
        <v>44846</v>
      </c>
      <c r="R6465" t="s">
        <v>27253</v>
      </c>
      <c r="S6465" t="s">
        <v>27254</v>
      </c>
      <c r="T6465" t="s">
        <v>27265</v>
      </c>
    </row>
    <row r="6466" spans="1:20" x14ac:dyDescent="0.3">
      <c r="A6466" t="str">
        <f>"0611862813050"</f>
        <v>0611862813050</v>
      </c>
      <c r="B6466" t="str">
        <f>"CR2351"</f>
        <v>CR2351</v>
      </c>
      <c r="C6466" t="s">
        <v>39788</v>
      </c>
      <c r="D6466" t="s">
        <v>27271</v>
      </c>
      <c r="E6466" t="str">
        <f t="shared" ref="E6466:E6529" si="101">"001390"</f>
        <v>001390</v>
      </c>
      <c r="F6466" t="s">
        <v>27246</v>
      </c>
      <c r="G6466" t="s">
        <v>27247</v>
      </c>
      <c r="H6466" t="s">
        <v>27248</v>
      </c>
      <c r="I6466" t="s">
        <v>39789</v>
      </c>
      <c r="J6466" t="s">
        <v>12916</v>
      </c>
      <c r="L6466" t="s">
        <v>27250</v>
      </c>
      <c r="M6466" t="s">
        <v>27251</v>
      </c>
      <c r="N6466" t="s">
        <v>27252</v>
      </c>
      <c r="P6466" t="s">
        <v>27341</v>
      </c>
      <c r="Q6466" s="1">
        <v>44846</v>
      </c>
      <c r="R6466" t="s">
        <v>27253</v>
      </c>
      <c r="S6466" t="s">
        <v>27254</v>
      </c>
      <c r="T6466" t="s">
        <v>27265</v>
      </c>
    </row>
    <row r="6467" spans="1:20" x14ac:dyDescent="0.3">
      <c r="A6467" t="str">
        <f>"0611862814050"</f>
        <v>0611862814050</v>
      </c>
      <c r="B6467" t="str">
        <f>"CR2354"</f>
        <v>CR2354</v>
      </c>
      <c r="C6467" t="s">
        <v>39790</v>
      </c>
      <c r="D6467" t="s">
        <v>27271</v>
      </c>
      <c r="E6467" t="str">
        <f t="shared" si="101"/>
        <v>001390</v>
      </c>
      <c r="F6467" t="s">
        <v>27246</v>
      </c>
      <c r="G6467" t="s">
        <v>27247</v>
      </c>
      <c r="H6467" t="s">
        <v>27248</v>
      </c>
      <c r="I6467" t="s">
        <v>39791</v>
      </c>
      <c r="J6467" t="s">
        <v>12918</v>
      </c>
      <c r="L6467" t="s">
        <v>27250</v>
      </c>
      <c r="M6467" t="s">
        <v>27251</v>
      </c>
      <c r="N6467" t="s">
        <v>27252</v>
      </c>
      <c r="P6467" t="s">
        <v>27341</v>
      </c>
      <c r="Q6467" s="1">
        <v>44846</v>
      </c>
      <c r="R6467" t="s">
        <v>27253</v>
      </c>
      <c r="S6467" t="s">
        <v>27254</v>
      </c>
      <c r="T6467" t="s">
        <v>27265</v>
      </c>
    </row>
    <row r="6468" spans="1:20" x14ac:dyDescent="0.3">
      <c r="A6468" t="str">
        <f>"0611862815050"</f>
        <v>0611862815050</v>
      </c>
      <c r="B6468" t="str">
        <f>"CR2355"</f>
        <v>CR2355</v>
      </c>
      <c r="C6468" t="s">
        <v>39792</v>
      </c>
      <c r="D6468" t="s">
        <v>27271</v>
      </c>
      <c r="E6468" t="str">
        <f t="shared" si="101"/>
        <v>001390</v>
      </c>
      <c r="F6468" t="s">
        <v>27246</v>
      </c>
      <c r="G6468" t="s">
        <v>27247</v>
      </c>
      <c r="H6468" t="s">
        <v>27248</v>
      </c>
      <c r="I6468" t="s">
        <v>39793</v>
      </c>
      <c r="J6468" t="s">
        <v>12920</v>
      </c>
      <c r="L6468" t="s">
        <v>27250</v>
      </c>
      <c r="M6468" t="s">
        <v>27251</v>
      </c>
      <c r="N6468" t="s">
        <v>27252</v>
      </c>
      <c r="P6468" t="s">
        <v>27341</v>
      </c>
      <c r="Q6468" s="1">
        <v>44846</v>
      </c>
      <c r="R6468" t="s">
        <v>27253</v>
      </c>
      <c r="S6468" t="s">
        <v>27254</v>
      </c>
      <c r="T6468" t="s">
        <v>27265</v>
      </c>
    </row>
    <row r="6469" spans="1:20" x14ac:dyDescent="0.3">
      <c r="A6469" t="str">
        <f>"0611835843100"</f>
        <v>0611835843100</v>
      </c>
      <c r="B6469" t="str">
        <f>"LL5001"</f>
        <v>LL5001</v>
      </c>
      <c r="C6469" t="s">
        <v>39794</v>
      </c>
      <c r="D6469" t="s">
        <v>27245</v>
      </c>
      <c r="E6469" t="str">
        <f t="shared" si="101"/>
        <v>001390</v>
      </c>
      <c r="F6469" t="s">
        <v>27246</v>
      </c>
      <c r="G6469" t="s">
        <v>27247</v>
      </c>
      <c r="H6469" t="s">
        <v>27248</v>
      </c>
      <c r="I6469" t="s">
        <v>39795</v>
      </c>
      <c r="J6469" t="s">
        <v>12924</v>
      </c>
      <c r="L6469" t="s">
        <v>27250</v>
      </c>
      <c r="M6469" t="s">
        <v>27251</v>
      </c>
      <c r="N6469" t="s">
        <v>27252</v>
      </c>
      <c r="Q6469" s="1">
        <v>44538</v>
      </c>
      <c r="R6469" t="s">
        <v>27253</v>
      </c>
      <c r="S6469" t="s">
        <v>27254</v>
      </c>
      <c r="T6469" t="s">
        <v>27255</v>
      </c>
    </row>
    <row r="6470" spans="1:20" x14ac:dyDescent="0.3">
      <c r="A6470" t="str">
        <f>"0611857005100"</f>
        <v>0611857005100</v>
      </c>
      <c r="B6470" t="str">
        <f>"LK7060"</f>
        <v>LK7060</v>
      </c>
      <c r="C6470" t="s">
        <v>39796</v>
      </c>
      <c r="D6470" t="s">
        <v>27245</v>
      </c>
      <c r="E6470" t="str">
        <f t="shared" si="101"/>
        <v>001390</v>
      </c>
      <c r="F6470" t="s">
        <v>27246</v>
      </c>
      <c r="G6470" t="s">
        <v>27247</v>
      </c>
      <c r="H6470" t="s">
        <v>27248</v>
      </c>
      <c r="I6470" t="s">
        <v>39797</v>
      </c>
      <c r="J6470" t="s">
        <v>12926</v>
      </c>
      <c r="L6470" t="s">
        <v>27250</v>
      </c>
      <c r="M6470" t="s">
        <v>27251</v>
      </c>
      <c r="N6470" t="s">
        <v>27252</v>
      </c>
      <c r="Q6470" s="1">
        <v>44812</v>
      </c>
      <c r="R6470" t="s">
        <v>27253</v>
      </c>
      <c r="S6470" t="s">
        <v>27254</v>
      </c>
      <c r="T6470" t="s">
        <v>27255</v>
      </c>
    </row>
    <row r="6471" spans="1:20" x14ac:dyDescent="0.3">
      <c r="A6471" t="str">
        <f>"0611835844100"</f>
        <v>0611835844100</v>
      </c>
      <c r="B6471" t="str">
        <f>"LK0504"</f>
        <v>LK0504</v>
      </c>
      <c r="C6471" t="s">
        <v>39798</v>
      </c>
      <c r="D6471" t="s">
        <v>27245</v>
      </c>
      <c r="E6471" t="str">
        <f t="shared" si="101"/>
        <v>001390</v>
      </c>
      <c r="F6471" t="s">
        <v>27246</v>
      </c>
      <c r="G6471" t="s">
        <v>27247</v>
      </c>
      <c r="H6471" t="s">
        <v>27248</v>
      </c>
      <c r="I6471" t="s">
        <v>39799</v>
      </c>
      <c r="J6471" t="s">
        <v>12928</v>
      </c>
      <c r="L6471" t="s">
        <v>27250</v>
      </c>
      <c r="M6471" t="s">
        <v>27251</v>
      </c>
      <c r="N6471" t="s">
        <v>27252</v>
      </c>
      <c r="Q6471" s="1">
        <v>44538</v>
      </c>
      <c r="R6471" t="s">
        <v>27253</v>
      </c>
      <c r="S6471" t="s">
        <v>27254</v>
      </c>
      <c r="T6471" t="s">
        <v>27255</v>
      </c>
    </row>
    <row r="6472" spans="1:20" x14ac:dyDescent="0.3">
      <c r="A6472" t="str">
        <f>"0611835847100"</f>
        <v>0611835847100</v>
      </c>
      <c r="B6472" t="str">
        <f>"LK1864"</f>
        <v>LK1864</v>
      </c>
      <c r="C6472" t="s">
        <v>39800</v>
      </c>
      <c r="D6472" t="s">
        <v>27245</v>
      </c>
      <c r="E6472" t="str">
        <f t="shared" si="101"/>
        <v>001390</v>
      </c>
      <c r="F6472" t="s">
        <v>27246</v>
      </c>
      <c r="G6472" t="s">
        <v>27247</v>
      </c>
      <c r="H6472" t="s">
        <v>27248</v>
      </c>
      <c r="I6472" t="s">
        <v>39801</v>
      </c>
      <c r="J6472" t="s">
        <v>12930</v>
      </c>
      <c r="L6472" t="s">
        <v>27250</v>
      </c>
      <c r="M6472" t="s">
        <v>27251</v>
      </c>
      <c r="N6472" t="s">
        <v>27252</v>
      </c>
      <c r="Q6472" s="1">
        <v>44538</v>
      </c>
      <c r="R6472" t="s">
        <v>27253</v>
      </c>
      <c r="S6472" t="s">
        <v>27254</v>
      </c>
      <c r="T6472" t="s">
        <v>27255</v>
      </c>
    </row>
    <row r="6473" spans="1:20" x14ac:dyDescent="0.3">
      <c r="A6473" t="str">
        <f>"0611835848100"</f>
        <v>0611835848100</v>
      </c>
      <c r="B6473" t="str">
        <f>"LK3614"</f>
        <v>LK3614</v>
      </c>
      <c r="C6473" t="s">
        <v>39802</v>
      </c>
      <c r="D6473" t="s">
        <v>27245</v>
      </c>
      <c r="E6473" t="str">
        <f t="shared" si="101"/>
        <v>001390</v>
      </c>
      <c r="F6473" t="s">
        <v>27246</v>
      </c>
      <c r="G6473" t="s">
        <v>27247</v>
      </c>
      <c r="H6473" t="s">
        <v>27248</v>
      </c>
      <c r="I6473" t="s">
        <v>39803</v>
      </c>
      <c r="J6473" t="s">
        <v>12932</v>
      </c>
      <c r="L6473" t="s">
        <v>27250</v>
      </c>
      <c r="M6473" t="s">
        <v>27251</v>
      </c>
      <c r="N6473" t="s">
        <v>27252</v>
      </c>
      <c r="Q6473" s="1">
        <v>44538</v>
      </c>
      <c r="R6473" t="s">
        <v>27253</v>
      </c>
      <c r="S6473" t="s">
        <v>27254</v>
      </c>
      <c r="T6473" t="s">
        <v>27255</v>
      </c>
    </row>
    <row r="6474" spans="1:20" x14ac:dyDescent="0.3">
      <c r="A6474" t="str">
        <f>"0611835849100"</f>
        <v>0611835849100</v>
      </c>
      <c r="B6474" t="str">
        <f>"LB5635"</f>
        <v>LB5635</v>
      </c>
      <c r="C6474" t="s">
        <v>39804</v>
      </c>
      <c r="D6474" t="s">
        <v>27245</v>
      </c>
      <c r="E6474" t="str">
        <f t="shared" si="101"/>
        <v>001390</v>
      </c>
      <c r="F6474" t="s">
        <v>27246</v>
      </c>
      <c r="G6474" t="s">
        <v>27247</v>
      </c>
      <c r="H6474" t="s">
        <v>27248</v>
      </c>
      <c r="I6474" t="s">
        <v>39805</v>
      </c>
      <c r="J6474" t="s">
        <v>12934</v>
      </c>
      <c r="L6474" t="s">
        <v>27250</v>
      </c>
      <c r="M6474" t="s">
        <v>27251</v>
      </c>
      <c r="N6474" t="s">
        <v>27252</v>
      </c>
      <c r="Q6474" s="1">
        <v>44538</v>
      </c>
      <c r="R6474" t="s">
        <v>27253</v>
      </c>
      <c r="S6474" t="s">
        <v>27254</v>
      </c>
      <c r="T6474" t="s">
        <v>27255</v>
      </c>
    </row>
    <row r="6475" spans="1:20" x14ac:dyDescent="0.3">
      <c r="A6475" t="str">
        <f>"0611835850100"</f>
        <v>0611835850100</v>
      </c>
      <c r="B6475" t="str">
        <f>"MB3400"</f>
        <v>MB3400</v>
      </c>
      <c r="C6475" t="s">
        <v>39806</v>
      </c>
      <c r="D6475" t="s">
        <v>27274</v>
      </c>
      <c r="E6475" t="str">
        <f t="shared" si="101"/>
        <v>001390</v>
      </c>
      <c r="F6475" t="s">
        <v>27246</v>
      </c>
      <c r="G6475" t="s">
        <v>27247</v>
      </c>
      <c r="H6475" t="s">
        <v>27248</v>
      </c>
      <c r="I6475" t="s">
        <v>39807</v>
      </c>
      <c r="J6475" t="s">
        <v>12922</v>
      </c>
      <c r="L6475" t="s">
        <v>27250</v>
      </c>
      <c r="M6475" t="s">
        <v>27251</v>
      </c>
      <c r="N6475" t="s">
        <v>27252</v>
      </c>
      <c r="Q6475" s="1">
        <v>44538</v>
      </c>
      <c r="R6475" t="s">
        <v>27253</v>
      </c>
      <c r="S6475" t="s">
        <v>27254</v>
      </c>
      <c r="T6475" t="s">
        <v>27276</v>
      </c>
    </row>
    <row r="6476" spans="1:20" x14ac:dyDescent="0.3">
      <c r="A6476" t="str">
        <f>"0611835851100"</f>
        <v>0611835851100</v>
      </c>
      <c r="B6476" t="str">
        <f>"LQ3310"</f>
        <v>LQ3310</v>
      </c>
      <c r="C6476" t="s">
        <v>39808</v>
      </c>
      <c r="D6476" t="s">
        <v>27245</v>
      </c>
      <c r="E6476" t="str">
        <f t="shared" si="101"/>
        <v>001390</v>
      </c>
      <c r="F6476" t="s">
        <v>27246</v>
      </c>
      <c r="G6476" t="s">
        <v>27247</v>
      </c>
      <c r="H6476" t="s">
        <v>27248</v>
      </c>
      <c r="I6476" t="s">
        <v>39809</v>
      </c>
      <c r="J6476" t="s">
        <v>12936</v>
      </c>
      <c r="L6476" t="s">
        <v>27250</v>
      </c>
      <c r="M6476" t="s">
        <v>27251</v>
      </c>
      <c r="N6476" t="s">
        <v>27252</v>
      </c>
      <c r="Q6476" s="1">
        <v>44538</v>
      </c>
      <c r="R6476" t="s">
        <v>27253</v>
      </c>
      <c r="S6476" t="s">
        <v>27254</v>
      </c>
      <c r="T6476" t="s">
        <v>27255</v>
      </c>
    </row>
    <row r="6477" spans="1:20" x14ac:dyDescent="0.3">
      <c r="A6477" t="str">
        <f>"0611835852100"</f>
        <v>0611835852100</v>
      </c>
      <c r="B6477" t="str">
        <f>"LK3708"</f>
        <v>LK3708</v>
      </c>
      <c r="C6477" t="s">
        <v>39810</v>
      </c>
      <c r="D6477" t="s">
        <v>27245</v>
      </c>
      <c r="E6477" t="str">
        <f t="shared" si="101"/>
        <v>001390</v>
      </c>
      <c r="F6477" t="s">
        <v>27246</v>
      </c>
      <c r="G6477" t="s">
        <v>27247</v>
      </c>
      <c r="H6477" t="s">
        <v>27248</v>
      </c>
      <c r="I6477" t="s">
        <v>39811</v>
      </c>
      <c r="J6477" t="s">
        <v>12938</v>
      </c>
      <c r="L6477" t="s">
        <v>27250</v>
      </c>
      <c r="M6477" t="s">
        <v>27251</v>
      </c>
      <c r="N6477" t="s">
        <v>27252</v>
      </c>
      <c r="Q6477" s="1">
        <v>44538</v>
      </c>
      <c r="R6477" t="s">
        <v>27253</v>
      </c>
      <c r="S6477" t="s">
        <v>27254</v>
      </c>
      <c r="T6477" t="s">
        <v>27255</v>
      </c>
    </row>
    <row r="6478" spans="1:20" x14ac:dyDescent="0.3">
      <c r="A6478" t="str">
        <f>"0611835854100"</f>
        <v>0611835854100</v>
      </c>
      <c r="B6478" t="str">
        <f>"LB4201"</f>
        <v>LB4201</v>
      </c>
      <c r="C6478" t="s">
        <v>39812</v>
      </c>
      <c r="D6478" t="s">
        <v>27245</v>
      </c>
      <c r="E6478" t="str">
        <f t="shared" si="101"/>
        <v>001390</v>
      </c>
      <c r="F6478" t="s">
        <v>27246</v>
      </c>
      <c r="G6478" t="s">
        <v>27247</v>
      </c>
      <c r="H6478" t="s">
        <v>27248</v>
      </c>
      <c r="I6478" t="s">
        <v>39813</v>
      </c>
      <c r="J6478" t="s">
        <v>12940</v>
      </c>
      <c r="L6478" t="s">
        <v>27250</v>
      </c>
      <c r="M6478" t="s">
        <v>27251</v>
      </c>
      <c r="N6478" t="s">
        <v>27252</v>
      </c>
      <c r="Q6478" s="1">
        <v>44538</v>
      </c>
      <c r="R6478" t="s">
        <v>27253</v>
      </c>
      <c r="S6478" t="s">
        <v>27254</v>
      </c>
      <c r="T6478" t="s">
        <v>27255</v>
      </c>
    </row>
    <row r="6479" spans="1:20" x14ac:dyDescent="0.3">
      <c r="A6479" t="str">
        <f>"0611835855025"</f>
        <v>0611835855025</v>
      </c>
      <c r="B6479" t="str">
        <f>"MC1440"</f>
        <v>MC1440</v>
      </c>
      <c r="C6479" t="s">
        <v>39812</v>
      </c>
      <c r="D6479" t="s">
        <v>27267</v>
      </c>
      <c r="E6479" t="str">
        <f t="shared" si="101"/>
        <v>001390</v>
      </c>
      <c r="F6479" t="s">
        <v>27246</v>
      </c>
      <c r="G6479" t="s">
        <v>27247</v>
      </c>
      <c r="H6479" t="s">
        <v>27248</v>
      </c>
      <c r="I6479" t="s">
        <v>39814</v>
      </c>
      <c r="J6479" t="s">
        <v>12942</v>
      </c>
      <c r="L6479" t="s">
        <v>27250</v>
      </c>
      <c r="M6479" t="s">
        <v>27251</v>
      </c>
      <c r="N6479" t="s">
        <v>27252</v>
      </c>
      <c r="Q6479" s="1">
        <v>44538</v>
      </c>
      <c r="R6479" t="s">
        <v>27253</v>
      </c>
      <c r="S6479" t="s">
        <v>27254</v>
      </c>
      <c r="T6479" t="s">
        <v>27269</v>
      </c>
    </row>
    <row r="6480" spans="1:20" x14ac:dyDescent="0.3">
      <c r="A6480" t="str">
        <f>"0611862816050"</f>
        <v>0611862816050</v>
      </c>
      <c r="B6480" t="str">
        <f>"CR2356"</f>
        <v>CR2356</v>
      </c>
      <c r="C6480" t="s">
        <v>39812</v>
      </c>
      <c r="D6480" t="s">
        <v>27263</v>
      </c>
      <c r="E6480" t="str">
        <f t="shared" si="101"/>
        <v>001390</v>
      </c>
      <c r="F6480" t="s">
        <v>27246</v>
      </c>
      <c r="G6480" t="s">
        <v>27247</v>
      </c>
      <c r="H6480" t="s">
        <v>27248</v>
      </c>
      <c r="I6480" t="s">
        <v>39815</v>
      </c>
      <c r="J6480" t="s">
        <v>12944</v>
      </c>
      <c r="L6480" t="s">
        <v>27250</v>
      </c>
      <c r="M6480" t="s">
        <v>27251</v>
      </c>
      <c r="N6480" t="s">
        <v>27252</v>
      </c>
      <c r="Q6480" s="1">
        <v>44846</v>
      </c>
      <c r="R6480" t="s">
        <v>27253</v>
      </c>
      <c r="S6480" t="s">
        <v>27254</v>
      </c>
      <c r="T6480" t="s">
        <v>27265</v>
      </c>
    </row>
    <row r="6481" spans="1:20" x14ac:dyDescent="0.3">
      <c r="A6481" t="str">
        <f>"0611835856100"</f>
        <v>0611835856100</v>
      </c>
      <c r="B6481" t="str">
        <f>"LK5939"</f>
        <v>LK5939</v>
      </c>
      <c r="C6481" t="s">
        <v>39816</v>
      </c>
      <c r="D6481" t="s">
        <v>27245</v>
      </c>
      <c r="E6481" t="str">
        <f t="shared" si="101"/>
        <v>001390</v>
      </c>
      <c r="F6481" t="s">
        <v>27246</v>
      </c>
      <c r="G6481" t="s">
        <v>27247</v>
      </c>
      <c r="H6481" t="s">
        <v>27248</v>
      </c>
      <c r="I6481" t="s">
        <v>39817</v>
      </c>
      <c r="J6481" t="s">
        <v>12946</v>
      </c>
      <c r="L6481" t="s">
        <v>27250</v>
      </c>
      <c r="M6481" t="s">
        <v>27251</v>
      </c>
      <c r="N6481" t="s">
        <v>27252</v>
      </c>
      <c r="Q6481" s="1">
        <v>44538</v>
      </c>
      <c r="R6481" t="s">
        <v>27253</v>
      </c>
      <c r="S6481" t="s">
        <v>27254</v>
      </c>
      <c r="T6481" t="s">
        <v>27255</v>
      </c>
    </row>
    <row r="6482" spans="1:20" x14ac:dyDescent="0.3">
      <c r="A6482" t="str">
        <f>"0611835857100"</f>
        <v>0611835857100</v>
      </c>
      <c r="B6482" t="str">
        <f>"LK0240"</f>
        <v>LK0240</v>
      </c>
      <c r="C6482" t="s">
        <v>39818</v>
      </c>
      <c r="D6482" t="s">
        <v>27245</v>
      </c>
      <c r="E6482" t="str">
        <f t="shared" si="101"/>
        <v>001390</v>
      </c>
      <c r="F6482" t="s">
        <v>27246</v>
      </c>
      <c r="G6482" t="s">
        <v>27247</v>
      </c>
      <c r="H6482" t="s">
        <v>27248</v>
      </c>
      <c r="I6482" t="s">
        <v>39819</v>
      </c>
      <c r="J6482" t="s">
        <v>12948</v>
      </c>
      <c r="L6482" t="s">
        <v>27250</v>
      </c>
      <c r="M6482" t="s">
        <v>27251</v>
      </c>
      <c r="N6482" t="s">
        <v>27252</v>
      </c>
      <c r="Q6482" s="1">
        <v>44538</v>
      </c>
      <c r="R6482" t="s">
        <v>27253</v>
      </c>
      <c r="S6482" t="s">
        <v>27254</v>
      </c>
      <c r="T6482" t="s">
        <v>27255</v>
      </c>
    </row>
    <row r="6483" spans="1:20" x14ac:dyDescent="0.3">
      <c r="A6483" t="str">
        <f>"0611835858100"</f>
        <v>0611835858100</v>
      </c>
      <c r="B6483" t="str">
        <f>"LB5620"</f>
        <v>LB5620</v>
      </c>
      <c r="C6483" t="s">
        <v>39820</v>
      </c>
      <c r="D6483" t="s">
        <v>27245</v>
      </c>
      <c r="E6483" t="str">
        <f t="shared" si="101"/>
        <v>001390</v>
      </c>
      <c r="F6483" t="s">
        <v>27246</v>
      </c>
      <c r="G6483" t="s">
        <v>27247</v>
      </c>
      <c r="H6483" t="s">
        <v>27248</v>
      </c>
      <c r="I6483" t="s">
        <v>39821</v>
      </c>
      <c r="J6483" t="s">
        <v>12950</v>
      </c>
      <c r="L6483" t="s">
        <v>27250</v>
      </c>
      <c r="M6483" t="s">
        <v>27251</v>
      </c>
      <c r="N6483" t="s">
        <v>27252</v>
      </c>
      <c r="Q6483" s="1">
        <v>44538</v>
      </c>
      <c r="R6483" t="s">
        <v>27253</v>
      </c>
      <c r="S6483" t="s">
        <v>27254</v>
      </c>
      <c r="T6483" t="s">
        <v>27255</v>
      </c>
    </row>
    <row r="6484" spans="1:20" x14ac:dyDescent="0.3">
      <c r="A6484" t="str">
        <f>"0611835859100"</f>
        <v>0611835859100</v>
      </c>
      <c r="B6484" t="str">
        <f>"LB5631"</f>
        <v>LB5631</v>
      </c>
      <c r="C6484" t="s">
        <v>39822</v>
      </c>
      <c r="D6484" t="s">
        <v>27245</v>
      </c>
      <c r="E6484" t="str">
        <f t="shared" si="101"/>
        <v>001390</v>
      </c>
      <c r="F6484" t="s">
        <v>27246</v>
      </c>
      <c r="G6484" t="s">
        <v>27247</v>
      </c>
      <c r="H6484" t="s">
        <v>27248</v>
      </c>
      <c r="I6484" t="s">
        <v>39823</v>
      </c>
      <c r="J6484" t="s">
        <v>12952</v>
      </c>
      <c r="L6484" t="s">
        <v>27250</v>
      </c>
      <c r="M6484" t="s">
        <v>27251</v>
      </c>
      <c r="N6484" t="s">
        <v>27252</v>
      </c>
      <c r="Q6484" s="1">
        <v>44538</v>
      </c>
      <c r="R6484" t="s">
        <v>27253</v>
      </c>
      <c r="S6484" t="s">
        <v>27254</v>
      </c>
      <c r="T6484" t="s">
        <v>27255</v>
      </c>
    </row>
    <row r="6485" spans="1:20" x14ac:dyDescent="0.3">
      <c r="A6485" t="str">
        <f>"0611835861100"</f>
        <v>0611835861100</v>
      </c>
      <c r="B6485" t="str">
        <f>"LL0140"</f>
        <v>LL0140</v>
      </c>
      <c r="C6485" t="s">
        <v>39824</v>
      </c>
      <c r="D6485" t="s">
        <v>27245</v>
      </c>
      <c r="E6485" t="str">
        <f t="shared" si="101"/>
        <v>001390</v>
      </c>
      <c r="F6485" t="s">
        <v>27246</v>
      </c>
      <c r="G6485" t="s">
        <v>27247</v>
      </c>
      <c r="H6485" t="s">
        <v>27248</v>
      </c>
      <c r="I6485" t="s">
        <v>39825</v>
      </c>
      <c r="J6485" t="s">
        <v>12954</v>
      </c>
      <c r="L6485" t="s">
        <v>27250</v>
      </c>
      <c r="M6485" t="s">
        <v>27251</v>
      </c>
      <c r="N6485" t="s">
        <v>27252</v>
      </c>
      <c r="Q6485" s="1">
        <v>44538</v>
      </c>
      <c r="R6485" t="s">
        <v>27253</v>
      </c>
      <c r="S6485" t="s">
        <v>27254</v>
      </c>
      <c r="T6485" t="s">
        <v>27255</v>
      </c>
    </row>
    <row r="6486" spans="1:20" x14ac:dyDescent="0.3">
      <c r="A6486" t="str">
        <f>"0611835863100"</f>
        <v>0611835863100</v>
      </c>
      <c r="B6486" t="str">
        <f>"LB5636"</f>
        <v>LB5636</v>
      </c>
      <c r="C6486" t="s">
        <v>39826</v>
      </c>
      <c r="D6486" t="s">
        <v>27245</v>
      </c>
      <c r="E6486" t="str">
        <f t="shared" si="101"/>
        <v>001390</v>
      </c>
      <c r="F6486" t="s">
        <v>27246</v>
      </c>
      <c r="G6486" t="s">
        <v>27247</v>
      </c>
      <c r="H6486" t="s">
        <v>27248</v>
      </c>
      <c r="I6486" t="s">
        <v>39827</v>
      </c>
      <c r="J6486" t="s">
        <v>12956</v>
      </c>
      <c r="L6486" t="s">
        <v>27250</v>
      </c>
      <c r="M6486" t="s">
        <v>27251</v>
      </c>
      <c r="N6486" t="s">
        <v>27252</v>
      </c>
      <c r="Q6486" s="1">
        <v>44538</v>
      </c>
      <c r="R6486" t="s">
        <v>27253</v>
      </c>
      <c r="S6486" t="s">
        <v>27254</v>
      </c>
      <c r="T6486" t="s">
        <v>27255</v>
      </c>
    </row>
    <row r="6487" spans="1:20" x14ac:dyDescent="0.3">
      <c r="A6487" t="str">
        <f>"0611835865100"</f>
        <v>0611835865100</v>
      </c>
      <c r="B6487" t="str">
        <f>"LK0805"</f>
        <v>LK0805</v>
      </c>
      <c r="C6487" t="s">
        <v>39828</v>
      </c>
      <c r="D6487" t="s">
        <v>27245</v>
      </c>
      <c r="E6487" t="str">
        <f t="shared" si="101"/>
        <v>001390</v>
      </c>
      <c r="F6487" t="s">
        <v>27246</v>
      </c>
      <c r="G6487" t="s">
        <v>27247</v>
      </c>
      <c r="H6487" t="s">
        <v>27248</v>
      </c>
      <c r="I6487" t="s">
        <v>39829</v>
      </c>
      <c r="J6487" t="s">
        <v>12958</v>
      </c>
      <c r="L6487" t="s">
        <v>27250</v>
      </c>
      <c r="M6487" t="s">
        <v>27251</v>
      </c>
      <c r="N6487" t="s">
        <v>27252</v>
      </c>
      <c r="Q6487" s="1">
        <v>44538</v>
      </c>
      <c r="R6487" t="s">
        <v>27253</v>
      </c>
      <c r="S6487" t="s">
        <v>27254</v>
      </c>
      <c r="T6487" t="s">
        <v>27255</v>
      </c>
    </row>
    <row r="6488" spans="1:20" x14ac:dyDescent="0.3">
      <c r="A6488" t="str">
        <f>"0611862817050"</f>
        <v>0611862817050</v>
      </c>
      <c r="B6488" t="str">
        <f>"CE0442"</f>
        <v>CE0442</v>
      </c>
      <c r="C6488" t="s">
        <v>39830</v>
      </c>
      <c r="D6488" t="s">
        <v>27923</v>
      </c>
      <c r="E6488" t="str">
        <f t="shared" si="101"/>
        <v>001390</v>
      </c>
      <c r="F6488" t="s">
        <v>27246</v>
      </c>
      <c r="G6488" t="s">
        <v>27247</v>
      </c>
      <c r="H6488" t="s">
        <v>27248</v>
      </c>
      <c r="I6488" t="s">
        <v>39831</v>
      </c>
      <c r="J6488" t="s">
        <v>12960</v>
      </c>
      <c r="L6488" t="s">
        <v>27250</v>
      </c>
      <c r="M6488" t="s">
        <v>27251</v>
      </c>
      <c r="N6488" t="s">
        <v>27252</v>
      </c>
      <c r="P6488" t="s">
        <v>27925</v>
      </c>
      <c r="Q6488" s="1">
        <v>44846</v>
      </c>
      <c r="R6488" t="s">
        <v>27253</v>
      </c>
      <c r="S6488" t="s">
        <v>27254</v>
      </c>
      <c r="T6488" t="s">
        <v>27265</v>
      </c>
    </row>
    <row r="6489" spans="1:20" x14ac:dyDescent="0.3">
      <c r="A6489" t="str">
        <f>"0611862818050"</f>
        <v>0611862818050</v>
      </c>
      <c r="B6489" t="str">
        <f>"CE0443"</f>
        <v>CE0443</v>
      </c>
      <c r="C6489" t="s">
        <v>39832</v>
      </c>
      <c r="D6489" t="s">
        <v>27923</v>
      </c>
      <c r="E6489" t="str">
        <f t="shared" si="101"/>
        <v>001390</v>
      </c>
      <c r="F6489" t="s">
        <v>27246</v>
      </c>
      <c r="G6489" t="s">
        <v>27247</v>
      </c>
      <c r="H6489" t="s">
        <v>27248</v>
      </c>
      <c r="I6489" t="s">
        <v>39833</v>
      </c>
      <c r="J6489" t="s">
        <v>12962</v>
      </c>
      <c r="L6489" t="s">
        <v>27250</v>
      </c>
      <c r="M6489" t="s">
        <v>27251</v>
      </c>
      <c r="N6489" t="s">
        <v>27252</v>
      </c>
      <c r="P6489" t="s">
        <v>27925</v>
      </c>
      <c r="Q6489" s="1">
        <v>44846</v>
      </c>
      <c r="R6489" t="s">
        <v>27253</v>
      </c>
      <c r="S6489" t="s">
        <v>27254</v>
      </c>
      <c r="T6489" t="s">
        <v>27265</v>
      </c>
    </row>
    <row r="6490" spans="1:20" x14ac:dyDescent="0.3">
      <c r="A6490" t="str">
        <f>"0611862819050"</f>
        <v>0611862819050</v>
      </c>
      <c r="B6490" t="str">
        <f>"CE0813"</f>
        <v>CE0813</v>
      </c>
      <c r="C6490" t="s">
        <v>39834</v>
      </c>
      <c r="D6490" t="s">
        <v>27923</v>
      </c>
      <c r="E6490" t="str">
        <f t="shared" si="101"/>
        <v>001390</v>
      </c>
      <c r="F6490" t="s">
        <v>27246</v>
      </c>
      <c r="G6490" t="s">
        <v>27247</v>
      </c>
      <c r="H6490" t="s">
        <v>27248</v>
      </c>
      <c r="I6490" t="s">
        <v>39835</v>
      </c>
      <c r="J6490" t="s">
        <v>12964</v>
      </c>
      <c r="L6490" t="s">
        <v>27250</v>
      </c>
      <c r="M6490" t="s">
        <v>27251</v>
      </c>
      <c r="N6490" t="s">
        <v>27252</v>
      </c>
      <c r="P6490" t="s">
        <v>27925</v>
      </c>
      <c r="Q6490" s="1">
        <v>44846</v>
      </c>
      <c r="R6490" t="s">
        <v>27253</v>
      </c>
      <c r="S6490" t="s">
        <v>27254</v>
      </c>
      <c r="T6490" t="s">
        <v>27265</v>
      </c>
    </row>
    <row r="6491" spans="1:20" x14ac:dyDescent="0.3">
      <c r="A6491" t="str">
        <f>"0611862820050"</f>
        <v>0611862820050</v>
      </c>
      <c r="B6491" t="str">
        <f>"CE1232"</f>
        <v>CE1232</v>
      </c>
      <c r="C6491" t="s">
        <v>39836</v>
      </c>
      <c r="D6491" t="s">
        <v>27923</v>
      </c>
      <c r="E6491" t="str">
        <f t="shared" si="101"/>
        <v>001390</v>
      </c>
      <c r="F6491" t="s">
        <v>27246</v>
      </c>
      <c r="G6491" t="s">
        <v>27247</v>
      </c>
      <c r="H6491" t="s">
        <v>27248</v>
      </c>
      <c r="I6491" t="s">
        <v>39837</v>
      </c>
      <c r="J6491" t="s">
        <v>12966</v>
      </c>
      <c r="L6491" t="s">
        <v>27250</v>
      </c>
      <c r="M6491" t="s">
        <v>27251</v>
      </c>
      <c r="N6491" t="s">
        <v>27252</v>
      </c>
      <c r="P6491" t="s">
        <v>27925</v>
      </c>
      <c r="Q6491" s="1">
        <v>44846</v>
      </c>
      <c r="R6491" t="s">
        <v>27253</v>
      </c>
      <c r="S6491" t="s">
        <v>27254</v>
      </c>
      <c r="T6491" t="s">
        <v>27265</v>
      </c>
    </row>
    <row r="6492" spans="1:20" x14ac:dyDescent="0.3">
      <c r="A6492" t="str">
        <f>"0611862821050"</f>
        <v>0611862821050</v>
      </c>
      <c r="B6492" t="str">
        <f>"CE1233"</f>
        <v>CE1233</v>
      </c>
      <c r="C6492" t="s">
        <v>39838</v>
      </c>
      <c r="D6492" t="s">
        <v>27923</v>
      </c>
      <c r="E6492" t="str">
        <f t="shared" si="101"/>
        <v>001390</v>
      </c>
      <c r="F6492" t="s">
        <v>27246</v>
      </c>
      <c r="G6492" t="s">
        <v>27247</v>
      </c>
      <c r="H6492" t="s">
        <v>27248</v>
      </c>
      <c r="I6492" t="s">
        <v>39839</v>
      </c>
      <c r="J6492" t="s">
        <v>12968</v>
      </c>
      <c r="L6492" t="s">
        <v>27250</v>
      </c>
      <c r="M6492" t="s">
        <v>27251</v>
      </c>
      <c r="N6492" t="s">
        <v>27252</v>
      </c>
      <c r="P6492" t="s">
        <v>27925</v>
      </c>
      <c r="Q6492" s="1">
        <v>44846</v>
      </c>
      <c r="R6492" t="s">
        <v>27253</v>
      </c>
      <c r="S6492" t="s">
        <v>27254</v>
      </c>
      <c r="T6492" t="s">
        <v>27265</v>
      </c>
    </row>
    <row r="6493" spans="1:20" x14ac:dyDescent="0.3">
      <c r="A6493" t="str">
        <f>"0611862822050"</f>
        <v>0611862822050</v>
      </c>
      <c r="B6493" t="str">
        <f>"CE0781"</f>
        <v>CE0781</v>
      </c>
      <c r="C6493" t="s">
        <v>39840</v>
      </c>
      <c r="D6493" t="s">
        <v>27923</v>
      </c>
      <c r="E6493" t="str">
        <f t="shared" si="101"/>
        <v>001390</v>
      </c>
      <c r="F6493" t="s">
        <v>27246</v>
      </c>
      <c r="G6493" t="s">
        <v>27247</v>
      </c>
      <c r="H6493" t="s">
        <v>27248</v>
      </c>
      <c r="I6493" t="s">
        <v>39841</v>
      </c>
      <c r="J6493" t="s">
        <v>12970</v>
      </c>
      <c r="L6493" t="s">
        <v>27250</v>
      </c>
      <c r="M6493" t="s">
        <v>27251</v>
      </c>
      <c r="N6493" t="s">
        <v>27252</v>
      </c>
      <c r="P6493" t="s">
        <v>27925</v>
      </c>
      <c r="Q6493" s="1">
        <v>44846</v>
      </c>
      <c r="R6493" t="s">
        <v>27253</v>
      </c>
      <c r="S6493" t="s">
        <v>27254</v>
      </c>
      <c r="T6493" t="s">
        <v>27265</v>
      </c>
    </row>
    <row r="6494" spans="1:20" x14ac:dyDescent="0.3">
      <c r="A6494" t="str">
        <f>"0611835866100"</f>
        <v>0611835866100</v>
      </c>
      <c r="B6494" t="str">
        <f>"LB5633"</f>
        <v>LB5633</v>
      </c>
      <c r="C6494" t="s">
        <v>39842</v>
      </c>
      <c r="D6494" t="s">
        <v>27245</v>
      </c>
      <c r="E6494" t="str">
        <f t="shared" si="101"/>
        <v>001390</v>
      </c>
      <c r="F6494" t="s">
        <v>27246</v>
      </c>
      <c r="G6494" t="s">
        <v>27247</v>
      </c>
      <c r="H6494" t="s">
        <v>27248</v>
      </c>
      <c r="I6494" t="s">
        <v>39843</v>
      </c>
      <c r="J6494" t="s">
        <v>12972</v>
      </c>
      <c r="L6494" t="s">
        <v>27250</v>
      </c>
      <c r="M6494" t="s">
        <v>27251</v>
      </c>
      <c r="N6494" t="s">
        <v>27252</v>
      </c>
      <c r="Q6494" s="1">
        <v>44538</v>
      </c>
      <c r="R6494" t="s">
        <v>27253</v>
      </c>
      <c r="S6494" t="s">
        <v>27254</v>
      </c>
      <c r="T6494" t="s">
        <v>27255</v>
      </c>
    </row>
    <row r="6495" spans="1:20" x14ac:dyDescent="0.3">
      <c r="A6495" t="str">
        <f>"0611857006100"</f>
        <v>0611857006100</v>
      </c>
      <c r="B6495" t="str">
        <f>"LQ3900"</f>
        <v>LQ3900</v>
      </c>
      <c r="C6495" t="s">
        <v>39844</v>
      </c>
      <c r="D6495" t="s">
        <v>27245</v>
      </c>
      <c r="E6495" t="str">
        <f t="shared" si="101"/>
        <v>001390</v>
      </c>
      <c r="F6495" t="s">
        <v>27246</v>
      </c>
      <c r="G6495" t="s">
        <v>27247</v>
      </c>
      <c r="H6495" t="s">
        <v>27248</v>
      </c>
      <c r="I6495" t="s">
        <v>39845</v>
      </c>
      <c r="J6495" t="s">
        <v>12974</v>
      </c>
      <c r="L6495" t="s">
        <v>27250</v>
      </c>
      <c r="M6495" t="s">
        <v>27251</v>
      </c>
      <c r="N6495" t="s">
        <v>27252</v>
      </c>
      <c r="Q6495" s="1">
        <v>44812</v>
      </c>
      <c r="R6495" t="s">
        <v>27253</v>
      </c>
      <c r="S6495" t="s">
        <v>27254</v>
      </c>
      <c r="T6495" t="s">
        <v>27255</v>
      </c>
    </row>
    <row r="6496" spans="1:20" x14ac:dyDescent="0.3">
      <c r="A6496" t="str">
        <f>"0611835867100"</f>
        <v>0611835867100</v>
      </c>
      <c r="B6496" t="str">
        <f>"LQ3468"</f>
        <v>LQ3468</v>
      </c>
      <c r="C6496" t="s">
        <v>39846</v>
      </c>
      <c r="D6496" t="s">
        <v>27245</v>
      </c>
      <c r="E6496" t="str">
        <f t="shared" si="101"/>
        <v>001390</v>
      </c>
      <c r="F6496" t="s">
        <v>27246</v>
      </c>
      <c r="G6496" t="s">
        <v>27247</v>
      </c>
      <c r="H6496" t="s">
        <v>27248</v>
      </c>
      <c r="I6496" t="s">
        <v>39847</v>
      </c>
      <c r="J6496" t="s">
        <v>12976</v>
      </c>
      <c r="L6496" t="s">
        <v>27250</v>
      </c>
      <c r="M6496" t="s">
        <v>27251</v>
      </c>
      <c r="N6496" t="s">
        <v>27252</v>
      </c>
      <c r="Q6496" s="1">
        <v>44538</v>
      </c>
      <c r="R6496" t="s">
        <v>27253</v>
      </c>
      <c r="S6496" t="s">
        <v>27254</v>
      </c>
      <c r="T6496" t="s">
        <v>27255</v>
      </c>
    </row>
    <row r="6497" spans="1:20" x14ac:dyDescent="0.3">
      <c r="A6497" t="str">
        <f>"0611835868100"</f>
        <v>0611835868100</v>
      </c>
      <c r="B6497" t="str">
        <f>"LQ3469"</f>
        <v>LQ3469</v>
      </c>
      <c r="C6497" t="s">
        <v>39848</v>
      </c>
      <c r="D6497" t="s">
        <v>27245</v>
      </c>
      <c r="E6497" t="str">
        <f t="shared" si="101"/>
        <v>001390</v>
      </c>
      <c r="F6497" t="s">
        <v>27246</v>
      </c>
      <c r="G6497" t="s">
        <v>27247</v>
      </c>
      <c r="H6497" t="s">
        <v>27248</v>
      </c>
      <c r="I6497" t="s">
        <v>39849</v>
      </c>
      <c r="J6497" t="s">
        <v>12978</v>
      </c>
      <c r="L6497" t="s">
        <v>27250</v>
      </c>
      <c r="M6497" t="s">
        <v>27251</v>
      </c>
      <c r="N6497" t="s">
        <v>27252</v>
      </c>
      <c r="Q6497" s="1">
        <v>44538</v>
      </c>
      <c r="R6497" t="s">
        <v>27253</v>
      </c>
      <c r="S6497" t="s">
        <v>27254</v>
      </c>
      <c r="T6497" t="s">
        <v>27255</v>
      </c>
    </row>
    <row r="6498" spans="1:20" x14ac:dyDescent="0.3">
      <c r="A6498" t="str">
        <f>"0611835869100"</f>
        <v>0611835869100</v>
      </c>
      <c r="B6498" t="str">
        <f>"LQ3286"</f>
        <v>LQ3286</v>
      </c>
      <c r="C6498" t="s">
        <v>39850</v>
      </c>
      <c r="D6498" t="s">
        <v>27245</v>
      </c>
      <c r="E6498" t="str">
        <f t="shared" si="101"/>
        <v>001390</v>
      </c>
      <c r="F6498" t="s">
        <v>27246</v>
      </c>
      <c r="G6498" t="s">
        <v>27247</v>
      </c>
      <c r="H6498" t="s">
        <v>27248</v>
      </c>
      <c r="I6498" t="s">
        <v>39851</v>
      </c>
      <c r="J6498" t="s">
        <v>12980</v>
      </c>
      <c r="L6498" t="s">
        <v>27250</v>
      </c>
      <c r="M6498" t="s">
        <v>27251</v>
      </c>
      <c r="N6498" t="s">
        <v>27252</v>
      </c>
      <c r="Q6498" s="1">
        <v>44538</v>
      </c>
      <c r="R6498" t="s">
        <v>27253</v>
      </c>
      <c r="S6498" t="s">
        <v>27254</v>
      </c>
      <c r="T6498" t="s">
        <v>27255</v>
      </c>
    </row>
    <row r="6499" spans="1:20" x14ac:dyDescent="0.3">
      <c r="A6499" t="str">
        <f>"0611835870100"</f>
        <v>0611835870100</v>
      </c>
      <c r="B6499" t="str">
        <f>"LQ3691"</f>
        <v>LQ3691</v>
      </c>
      <c r="C6499" t="s">
        <v>39852</v>
      </c>
      <c r="D6499" t="s">
        <v>27245</v>
      </c>
      <c r="E6499" t="str">
        <f t="shared" si="101"/>
        <v>001390</v>
      </c>
      <c r="F6499" t="s">
        <v>27246</v>
      </c>
      <c r="G6499" t="s">
        <v>27247</v>
      </c>
      <c r="H6499" t="s">
        <v>27248</v>
      </c>
      <c r="I6499" t="s">
        <v>39853</v>
      </c>
      <c r="J6499" t="s">
        <v>12982</v>
      </c>
      <c r="L6499" t="s">
        <v>27250</v>
      </c>
      <c r="M6499" t="s">
        <v>27251</v>
      </c>
      <c r="N6499" t="s">
        <v>27252</v>
      </c>
      <c r="Q6499" s="1">
        <v>44538</v>
      </c>
      <c r="R6499" t="s">
        <v>27253</v>
      </c>
      <c r="S6499" t="s">
        <v>27254</v>
      </c>
      <c r="T6499" t="s">
        <v>27255</v>
      </c>
    </row>
    <row r="6500" spans="1:20" x14ac:dyDescent="0.3">
      <c r="A6500" t="str">
        <f>"0611835871100"</f>
        <v>0611835871100</v>
      </c>
      <c r="B6500" t="str">
        <f>"LQ3288"</f>
        <v>LQ3288</v>
      </c>
      <c r="C6500" t="s">
        <v>39854</v>
      </c>
      <c r="D6500" t="s">
        <v>27245</v>
      </c>
      <c r="E6500" t="str">
        <f t="shared" si="101"/>
        <v>001390</v>
      </c>
      <c r="F6500" t="s">
        <v>27246</v>
      </c>
      <c r="G6500" t="s">
        <v>27247</v>
      </c>
      <c r="H6500" t="s">
        <v>27248</v>
      </c>
      <c r="I6500" t="s">
        <v>39855</v>
      </c>
      <c r="J6500" t="s">
        <v>12986</v>
      </c>
      <c r="L6500" t="s">
        <v>27250</v>
      </c>
      <c r="M6500" t="s">
        <v>27251</v>
      </c>
      <c r="N6500" t="s">
        <v>27252</v>
      </c>
      <c r="Q6500" s="1">
        <v>44538</v>
      </c>
      <c r="R6500" t="s">
        <v>27253</v>
      </c>
      <c r="S6500" t="s">
        <v>27254</v>
      </c>
      <c r="T6500" t="s">
        <v>27255</v>
      </c>
    </row>
    <row r="6501" spans="1:20" x14ac:dyDescent="0.3">
      <c r="A6501" t="str">
        <f>"0611835872100"</f>
        <v>0611835872100</v>
      </c>
      <c r="B6501" t="str">
        <f>"LQ3289"</f>
        <v>LQ3289</v>
      </c>
      <c r="C6501" t="s">
        <v>39856</v>
      </c>
      <c r="D6501" t="s">
        <v>27245</v>
      </c>
      <c r="E6501" t="str">
        <f t="shared" si="101"/>
        <v>001390</v>
      </c>
      <c r="F6501" t="s">
        <v>27246</v>
      </c>
      <c r="G6501" t="s">
        <v>27247</v>
      </c>
      <c r="H6501" t="s">
        <v>27248</v>
      </c>
      <c r="I6501" t="s">
        <v>39857</v>
      </c>
      <c r="J6501" t="s">
        <v>12988</v>
      </c>
      <c r="L6501" t="s">
        <v>27250</v>
      </c>
      <c r="M6501" t="s">
        <v>27251</v>
      </c>
      <c r="N6501" t="s">
        <v>27252</v>
      </c>
      <c r="Q6501" s="1">
        <v>44538</v>
      </c>
      <c r="R6501" t="s">
        <v>27253</v>
      </c>
      <c r="S6501" t="s">
        <v>27254</v>
      </c>
      <c r="T6501" t="s">
        <v>27255</v>
      </c>
    </row>
    <row r="6502" spans="1:20" x14ac:dyDescent="0.3">
      <c r="A6502" t="str">
        <f>"0611884269100"</f>
        <v>0611884269100</v>
      </c>
      <c r="B6502" t="str">
        <f>"LQ3931"</f>
        <v>LQ3931</v>
      </c>
      <c r="C6502" t="s">
        <v>39858</v>
      </c>
      <c r="D6502" t="s">
        <v>27245</v>
      </c>
      <c r="E6502" t="str">
        <f t="shared" si="101"/>
        <v>001390</v>
      </c>
      <c r="F6502" t="s">
        <v>27246</v>
      </c>
      <c r="G6502" t="s">
        <v>27247</v>
      </c>
      <c r="H6502" t="s">
        <v>27248</v>
      </c>
      <c r="I6502" t="s">
        <v>39859</v>
      </c>
      <c r="J6502" t="s">
        <v>12990</v>
      </c>
      <c r="L6502" t="s">
        <v>27430</v>
      </c>
      <c r="M6502" t="s">
        <v>27251</v>
      </c>
      <c r="N6502" t="s">
        <v>27252</v>
      </c>
      <c r="Q6502" s="1">
        <v>45250</v>
      </c>
      <c r="R6502" t="s">
        <v>27253</v>
      </c>
      <c r="S6502" t="s">
        <v>27254</v>
      </c>
      <c r="T6502" t="s">
        <v>27255</v>
      </c>
    </row>
    <row r="6503" spans="1:20" x14ac:dyDescent="0.3">
      <c r="A6503" t="str">
        <f>"0611835874100"</f>
        <v>0611835874100</v>
      </c>
      <c r="B6503" t="str">
        <f>"LQ3287"</f>
        <v>LQ3287</v>
      </c>
      <c r="C6503" t="s">
        <v>39860</v>
      </c>
      <c r="D6503" t="s">
        <v>27245</v>
      </c>
      <c r="E6503" t="str">
        <f t="shared" si="101"/>
        <v>001390</v>
      </c>
      <c r="F6503" t="s">
        <v>27246</v>
      </c>
      <c r="G6503" t="s">
        <v>27247</v>
      </c>
      <c r="H6503" t="s">
        <v>27248</v>
      </c>
      <c r="I6503" t="s">
        <v>39861</v>
      </c>
      <c r="J6503" t="s">
        <v>12984</v>
      </c>
      <c r="L6503" t="s">
        <v>27250</v>
      </c>
      <c r="M6503" t="s">
        <v>27251</v>
      </c>
      <c r="N6503" t="s">
        <v>27252</v>
      </c>
      <c r="Q6503" s="1">
        <v>44538</v>
      </c>
      <c r="R6503" t="s">
        <v>27253</v>
      </c>
      <c r="S6503" t="s">
        <v>27254</v>
      </c>
      <c r="T6503" t="s">
        <v>27255</v>
      </c>
    </row>
    <row r="6504" spans="1:20" x14ac:dyDescent="0.3">
      <c r="A6504" t="str">
        <f>"0611857007100"</f>
        <v>0611857007100</v>
      </c>
      <c r="B6504" t="str">
        <f>"LQ3901"</f>
        <v>LQ3901</v>
      </c>
      <c r="C6504" t="s">
        <v>39862</v>
      </c>
      <c r="D6504" t="s">
        <v>27245</v>
      </c>
      <c r="E6504" t="str">
        <f t="shared" si="101"/>
        <v>001390</v>
      </c>
      <c r="F6504" t="s">
        <v>27246</v>
      </c>
      <c r="G6504" t="s">
        <v>27247</v>
      </c>
      <c r="H6504" t="s">
        <v>27248</v>
      </c>
      <c r="I6504" t="s">
        <v>39863</v>
      </c>
      <c r="J6504" t="s">
        <v>12992</v>
      </c>
      <c r="L6504" t="s">
        <v>27250</v>
      </c>
      <c r="M6504" t="s">
        <v>27251</v>
      </c>
      <c r="N6504" t="s">
        <v>27252</v>
      </c>
      <c r="Q6504" s="1">
        <v>44812</v>
      </c>
      <c r="R6504" t="s">
        <v>27253</v>
      </c>
      <c r="S6504" t="s">
        <v>27254</v>
      </c>
      <c r="T6504" t="s">
        <v>27255</v>
      </c>
    </row>
    <row r="6505" spans="1:20" x14ac:dyDescent="0.3">
      <c r="A6505" t="str">
        <f>"0611835875100"</f>
        <v>0611835875100</v>
      </c>
      <c r="B6505" t="str">
        <f>"LQ3692"</f>
        <v>LQ3692</v>
      </c>
      <c r="C6505" t="s">
        <v>39864</v>
      </c>
      <c r="D6505" t="s">
        <v>27245</v>
      </c>
      <c r="E6505" t="str">
        <f t="shared" si="101"/>
        <v>001390</v>
      </c>
      <c r="F6505" t="s">
        <v>27246</v>
      </c>
      <c r="G6505" t="s">
        <v>27247</v>
      </c>
      <c r="H6505" t="s">
        <v>27248</v>
      </c>
      <c r="I6505" t="s">
        <v>39865</v>
      </c>
      <c r="J6505" t="s">
        <v>12994</v>
      </c>
      <c r="L6505" t="s">
        <v>27250</v>
      </c>
      <c r="M6505" t="s">
        <v>27251</v>
      </c>
      <c r="N6505" t="s">
        <v>27252</v>
      </c>
      <c r="Q6505" s="1">
        <v>44538</v>
      </c>
      <c r="R6505" t="s">
        <v>27253</v>
      </c>
      <c r="S6505" t="s">
        <v>27254</v>
      </c>
      <c r="T6505" t="s">
        <v>27255</v>
      </c>
    </row>
    <row r="6506" spans="1:20" x14ac:dyDescent="0.3">
      <c r="A6506" t="str">
        <f>"0611835873100"</f>
        <v>0611835873100</v>
      </c>
      <c r="B6506" t="str">
        <f>"LL5003"</f>
        <v>LL5003</v>
      </c>
      <c r="C6506" t="s">
        <v>39866</v>
      </c>
      <c r="D6506" t="s">
        <v>27245</v>
      </c>
      <c r="E6506" t="str">
        <f t="shared" si="101"/>
        <v>001390</v>
      </c>
      <c r="F6506" t="s">
        <v>27246</v>
      </c>
      <c r="G6506" t="s">
        <v>27247</v>
      </c>
      <c r="H6506" t="s">
        <v>27248</v>
      </c>
      <c r="I6506" t="s">
        <v>39867</v>
      </c>
      <c r="J6506" t="s">
        <v>12996</v>
      </c>
      <c r="L6506" t="s">
        <v>27250</v>
      </c>
      <c r="M6506" t="s">
        <v>27251</v>
      </c>
      <c r="N6506" t="s">
        <v>27252</v>
      </c>
      <c r="Q6506" s="1">
        <v>44538</v>
      </c>
      <c r="R6506" t="s">
        <v>27253</v>
      </c>
      <c r="S6506" t="s">
        <v>27254</v>
      </c>
      <c r="T6506" t="s">
        <v>27255</v>
      </c>
    </row>
    <row r="6507" spans="1:20" x14ac:dyDescent="0.3">
      <c r="A6507" t="str">
        <f>"0611835876100"</f>
        <v>0611835876100</v>
      </c>
      <c r="B6507" t="str">
        <f>"LB4202"</f>
        <v>LB4202</v>
      </c>
      <c r="C6507" t="s">
        <v>39868</v>
      </c>
      <c r="D6507" t="s">
        <v>27552</v>
      </c>
      <c r="E6507" t="str">
        <f t="shared" si="101"/>
        <v>001390</v>
      </c>
      <c r="F6507" t="s">
        <v>27246</v>
      </c>
      <c r="G6507" t="s">
        <v>27247</v>
      </c>
      <c r="H6507" t="s">
        <v>27248</v>
      </c>
      <c r="I6507" t="s">
        <v>39869</v>
      </c>
      <c r="J6507" t="s">
        <v>12998</v>
      </c>
      <c r="L6507" t="s">
        <v>27250</v>
      </c>
      <c r="M6507" t="s">
        <v>27251</v>
      </c>
      <c r="N6507" t="s">
        <v>27252</v>
      </c>
      <c r="P6507" t="s">
        <v>27341</v>
      </c>
      <c r="Q6507" s="1">
        <v>44538</v>
      </c>
      <c r="R6507" t="s">
        <v>27253</v>
      </c>
      <c r="S6507" t="s">
        <v>27254</v>
      </c>
      <c r="T6507" t="s">
        <v>27255</v>
      </c>
    </row>
    <row r="6508" spans="1:20" x14ac:dyDescent="0.3">
      <c r="A6508" t="str">
        <f>"0611835877025"</f>
        <v>0611835877025</v>
      </c>
      <c r="B6508" t="str">
        <f>"MC1441"</f>
        <v>MC1441</v>
      </c>
      <c r="C6508" t="s">
        <v>39868</v>
      </c>
      <c r="D6508" t="s">
        <v>28499</v>
      </c>
      <c r="E6508" t="str">
        <f t="shared" si="101"/>
        <v>001390</v>
      </c>
      <c r="F6508" t="s">
        <v>27246</v>
      </c>
      <c r="G6508" t="s">
        <v>27247</v>
      </c>
      <c r="H6508" t="s">
        <v>27248</v>
      </c>
      <c r="I6508" t="s">
        <v>39870</v>
      </c>
      <c r="J6508" t="s">
        <v>13000</v>
      </c>
      <c r="L6508" t="s">
        <v>27250</v>
      </c>
      <c r="M6508" t="s">
        <v>27251</v>
      </c>
      <c r="N6508" t="s">
        <v>27252</v>
      </c>
      <c r="P6508" t="s">
        <v>27341</v>
      </c>
      <c r="Q6508" s="1">
        <v>44538</v>
      </c>
      <c r="R6508" t="s">
        <v>27253</v>
      </c>
      <c r="S6508" t="s">
        <v>27254</v>
      </c>
      <c r="T6508" t="s">
        <v>27269</v>
      </c>
    </row>
    <row r="6509" spans="1:20" x14ac:dyDescent="0.3">
      <c r="A6509" t="str">
        <f>"0611862823050"</f>
        <v>0611862823050</v>
      </c>
      <c r="B6509" t="str">
        <f>"CR4139"</f>
        <v>CR4139</v>
      </c>
      <c r="C6509" t="s">
        <v>39868</v>
      </c>
      <c r="D6509" t="s">
        <v>27271</v>
      </c>
      <c r="E6509" t="str">
        <f t="shared" si="101"/>
        <v>001390</v>
      </c>
      <c r="F6509" t="s">
        <v>27246</v>
      </c>
      <c r="G6509" t="s">
        <v>27247</v>
      </c>
      <c r="H6509" t="s">
        <v>27248</v>
      </c>
      <c r="I6509" t="s">
        <v>39871</v>
      </c>
      <c r="J6509" t="s">
        <v>13002</v>
      </c>
      <c r="L6509" t="s">
        <v>27250</v>
      </c>
      <c r="M6509" t="s">
        <v>27251</v>
      </c>
      <c r="N6509" t="s">
        <v>27252</v>
      </c>
      <c r="P6509" t="s">
        <v>27341</v>
      </c>
      <c r="Q6509" s="1">
        <v>44846</v>
      </c>
      <c r="R6509" t="s">
        <v>27253</v>
      </c>
      <c r="S6509" t="s">
        <v>27254</v>
      </c>
      <c r="T6509" t="s">
        <v>27265</v>
      </c>
    </row>
    <row r="6510" spans="1:20" x14ac:dyDescent="0.3">
      <c r="A6510" t="str">
        <f>"0611835879100"</f>
        <v>0611835879100</v>
      </c>
      <c r="B6510" t="str">
        <f>"LS0119"</f>
        <v>LS0119</v>
      </c>
      <c r="C6510" t="s">
        <v>39872</v>
      </c>
      <c r="D6510" t="s">
        <v>27245</v>
      </c>
      <c r="E6510" t="str">
        <f t="shared" si="101"/>
        <v>001390</v>
      </c>
      <c r="F6510" t="s">
        <v>27246</v>
      </c>
      <c r="G6510" t="s">
        <v>27247</v>
      </c>
      <c r="H6510" t="s">
        <v>27248</v>
      </c>
      <c r="I6510" t="s">
        <v>39873</v>
      </c>
      <c r="J6510" t="s">
        <v>13004</v>
      </c>
      <c r="L6510" t="s">
        <v>27250</v>
      </c>
      <c r="M6510" t="s">
        <v>27251</v>
      </c>
      <c r="N6510" t="s">
        <v>27252</v>
      </c>
      <c r="Q6510" s="1">
        <v>44538</v>
      </c>
      <c r="R6510" t="s">
        <v>27253</v>
      </c>
      <c r="S6510" t="s">
        <v>27254</v>
      </c>
      <c r="T6510" t="s">
        <v>27255</v>
      </c>
    </row>
    <row r="6511" spans="1:20" x14ac:dyDescent="0.3">
      <c r="A6511" t="str">
        <f>"0611862824050"</f>
        <v>0611862824050</v>
      </c>
      <c r="B6511" t="str">
        <f>"CR2969"</f>
        <v>CR2969</v>
      </c>
      <c r="C6511" t="s">
        <v>39874</v>
      </c>
      <c r="D6511" t="s">
        <v>27263</v>
      </c>
      <c r="E6511" t="str">
        <f t="shared" si="101"/>
        <v>001390</v>
      </c>
      <c r="F6511" t="s">
        <v>27246</v>
      </c>
      <c r="G6511" t="s">
        <v>27247</v>
      </c>
      <c r="H6511" t="s">
        <v>27248</v>
      </c>
      <c r="I6511" t="s">
        <v>39875</v>
      </c>
      <c r="J6511" t="s">
        <v>13006</v>
      </c>
      <c r="L6511" t="s">
        <v>27250</v>
      </c>
      <c r="M6511" t="s">
        <v>27251</v>
      </c>
      <c r="N6511" t="s">
        <v>27252</v>
      </c>
      <c r="Q6511" s="1">
        <v>44846</v>
      </c>
      <c r="R6511" t="s">
        <v>27253</v>
      </c>
      <c r="S6511" t="s">
        <v>27254</v>
      </c>
      <c r="T6511" t="s">
        <v>27265</v>
      </c>
    </row>
    <row r="6512" spans="1:20" x14ac:dyDescent="0.3">
      <c r="A6512" t="str">
        <f>"0611835880100"</f>
        <v>0611835880100</v>
      </c>
      <c r="B6512" t="str">
        <f>"LK6212"</f>
        <v>LK6212</v>
      </c>
      <c r="C6512" t="s">
        <v>39876</v>
      </c>
      <c r="D6512" t="s">
        <v>27245</v>
      </c>
      <c r="E6512" t="str">
        <f t="shared" si="101"/>
        <v>001390</v>
      </c>
      <c r="F6512" t="s">
        <v>27246</v>
      </c>
      <c r="G6512" t="s">
        <v>27247</v>
      </c>
      <c r="H6512" t="s">
        <v>27248</v>
      </c>
      <c r="I6512" t="s">
        <v>39877</v>
      </c>
      <c r="J6512" t="s">
        <v>13008</v>
      </c>
      <c r="L6512" t="s">
        <v>27250</v>
      </c>
      <c r="M6512" t="s">
        <v>27251</v>
      </c>
      <c r="N6512" t="s">
        <v>27252</v>
      </c>
      <c r="Q6512" s="1">
        <v>44538</v>
      </c>
      <c r="R6512" t="s">
        <v>27253</v>
      </c>
      <c r="S6512" t="s">
        <v>27254</v>
      </c>
      <c r="T6512" t="s">
        <v>27255</v>
      </c>
    </row>
    <row r="6513" spans="1:20" x14ac:dyDescent="0.3">
      <c r="A6513" t="str">
        <f>"0611835881100"</f>
        <v>0611835881100</v>
      </c>
      <c r="B6513" t="str">
        <f>"LK3268"</f>
        <v>LK3268</v>
      </c>
      <c r="C6513" t="s">
        <v>39878</v>
      </c>
      <c r="D6513" t="s">
        <v>27245</v>
      </c>
      <c r="E6513" t="str">
        <f t="shared" si="101"/>
        <v>001390</v>
      </c>
      <c r="F6513" t="s">
        <v>27246</v>
      </c>
      <c r="G6513" t="s">
        <v>27247</v>
      </c>
      <c r="H6513" t="s">
        <v>27248</v>
      </c>
      <c r="I6513" t="s">
        <v>39879</v>
      </c>
      <c r="J6513" t="s">
        <v>13010</v>
      </c>
      <c r="L6513" t="s">
        <v>27250</v>
      </c>
      <c r="M6513" t="s">
        <v>27251</v>
      </c>
      <c r="N6513" t="s">
        <v>27252</v>
      </c>
      <c r="Q6513" s="1">
        <v>44538</v>
      </c>
      <c r="R6513" t="s">
        <v>27253</v>
      </c>
      <c r="S6513" t="s">
        <v>27254</v>
      </c>
      <c r="T6513" t="s">
        <v>27255</v>
      </c>
    </row>
    <row r="6514" spans="1:20" x14ac:dyDescent="0.3">
      <c r="A6514" t="str">
        <f>"0611835882025"</f>
        <v>0611835882025</v>
      </c>
      <c r="B6514" t="str">
        <f>"MC1690"</f>
        <v>MC1690</v>
      </c>
      <c r="C6514" t="s">
        <v>39880</v>
      </c>
      <c r="D6514" t="s">
        <v>27267</v>
      </c>
      <c r="E6514" t="str">
        <f t="shared" si="101"/>
        <v>001390</v>
      </c>
      <c r="F6514" t="s">
        <v>27246</v>
      </c>
      <c r="G6514" t="s">
        <v>27247</v>
      </c>
      <c r="H6514" t="s">
        <v>27248</v>
      </c>
      <c r="I6514" t="s">
        <v>39881</v>
      </c>
      <c r="J6514" t="s">
        <v>13012</v>
      </c>
      <c r="L6514" t="s">
        <v>27250</v>
      </c>
      <c r="M6514" t="s">
        <v>27251</v>
      </c>
      <c r="N6514" t="s">
        <v>27252</v>
      </c>
      <c r="Q6514" s="1">
        <v>44538</v>
      </c>
      <c r="R6514" t="s">
        <v>27253</v>
      </c>
      <c r="S6514" t="s">
        <v>27254</v>
      </c>
      <c r="T6514" t="s">
        <v>27269</v>
      </c>
    </row>
    <row r="6515" spans="1:20" x14ac:dyDescent="0.3">
      <c r="A6515" t="str">
        <f>"0611835883100"</f>
        <v>0611835883100</v>
      </c>
      <c r="B6515" t="str">
        <f>"LK0596"</f>
        <v>LK0596</v>
      </c>
      <c r="C6515" t="s">
        <v>39882</v>
      </c>
      <c r="D6515" t="s">
        <v>27245</v>
      </c>
      <c r="E6515" t="str">
        <f t="shared" si="101"/>
        <v>001390</v>
      </c>
      <c r="F6515" t="s">
        <v>27246</v>
      </c>
      <c r="G6515" t="s">
        <v>27247</v>
      </c>
      <c r="H6515" t="s">
        <v>27248</v>
      </c>
      <c r="I6515" t="s">
        <v>39883</v>
      </c>
      <c r="J6515" t="s">
        <v>13014</v>
      </c>
      <c r="L6515" t="s">
        <v>27250</v>
      </c>
      <c r="M6515" t="s">
        <v>27251</v>
      </c>
      <c r="N6515" t="s">
        <v>27252</v>
      </c>
      <c r="Q6515" s="1">
        <v>44538</v>
      </c>
      <c r="R6515" t="s">
        <v>27253</v>
      </c>
      <c r="S6515" t="s">
        <v>27254</v>
      </c>
      <c r="T6515" t="s">
        <v>27255</v>
      </c>
    </row>
    <row r="6516" spans="1:20" x14ac:dyDescent="0.3">
      <c r="A6516" t="str">
        <f>"0611835884100"</f>
        <v>0611835884100</v>
      </c>
      <c r="B6516" t="str">
        <f>"LK5576"</f>
        <v>LK5576</v>
      </c>
      <c r="C6516" t="s">
        <v>39884</v>
      </c>
      <c r="D6516" t="s">
        <v>27245</v>
      </c>
      <c r="E6516" t="str">
        <f t="shared" si="101"/>
        <v>001390</v>
      </c>
      <c r="F6516" t="s">
        <v>27246</v>
      </c>
      <c r="G6516" t="s">
        <v>27247</v>
      </c>
      <c r="H6516" t="s">
        <v>27248</v>
      </c>
      <c r="I6516" t="s">
        <v>39885</v>
      </c>
      <c r="J6516" t="s">
        <v>13016</v>
      </c>
      <c r="L6516" t="s">
        <v>27250</v>
      </c>
      <c r="M6516" t="s">
        <v>27251</v>
      </c>
      <c r="N6516" t="s">
        <v>27252</v>
      </c>
      <c r="Q6516" s="1">
        <v>44538</v>
      </c>
      <c r="R6516" t="s">
        <v>27253</v>
      </c>
      <c r="S6516" t="s">
        <v>27254</v>
      </c>
      <c r="T6516" t="s">
        <v>27255</v>
      </c>
    </row>
    <row r="6517" spans="1:20" x14ac:dyDescent="0.3">
      <c r="A6517" t="str">
        <f>"0611835885100"</f>
        <v>0611835885100</v>
      </c>
      <c r="B6517" t="str">
        <f>"LK3269"</f>
        <v>LK3269</v>
      </c>
      <c r="C6517" t="s">
        <v>39886</v>
      </c>
      <c r="D6517" t="s">
        <v>27245</v>
      </c>
      <c r="E6517" t="str">
        <f t="shared" si="101"/>
        <v>001390</v>
      </c>
      <c r="F6517" t="s">
        <v>27246</v>
      </c>
      <c r="G6517" t="s">
        <v>27247</v>
      </c>
      <c r="H6517" t="s">
        <v>27248</v>
      </c>
      <c r="I6517" t="s">
        <v>39887</v>
      </c>
      <c r="J6517" t="s">
        <v>13018</v>
      </c>
      <c r="L6517" t="s">
        <v>27250</v>
      </c>
      <c r="M6517" t="s">
        <v>27251</v>
      </c>
      <c r="N6517" t="s">
        <v>27252</v>
      </c>
      <c r="Q6517" s="1">
        <v>44538</v>
      </c>
      <c r="R6517" t="s">
        <v>27253</v>
      </c>
      <c r="S6517" t="s">
        <v>27254</v>
      </c>
      <c r="T6517" t="s">
        <v>27255</v>
      </c>
    </row>
    <row r="6518" spans="1:20" x14ac:dyDescent="0.3">
      <c r="A6518" t="str">
        <f>"0611835886100"</f>
        <v>0611835886100</v>
      </c>
      <c r="B6518" t="str">
        <f>"LK3270"</f>
        <v>LK3270</v>
      </c>
      <c r="C6518" t="s">
        <v>39888</v>
      </c>
      <c r="D6518" t="s">
        <v>27245</v>
      </c>
      <c r="E6518" t="str">
        <f t="shared" si="101"/>
        <v>001390</v>
      </c>
      <c r="F6518" t="s">
        <v>27246</v>
      </c>
      <c r="G6518" t="s">
        <v>27247</v>
      </c>
      <c r="H6518" t="s">
        <v>27248</v>
      </c>
      <c r="I6518" t="s">
        <v>39889</v>
      </c>
      <c r="J6518" t="s">
        <v>13020</v>
      </c>
      <c r="L6518" t="s">
        <v>27250</v>
      </c>
      <c r="M6518" t="s">
        <v>27251</v>
      </c>
      <c r="N6518" t="s">
        <v>27252</v>
      </c>
      <c r="Q6518" s="1">
        <v>44538</v>
      </c>
      <c r="R6518" t="s">
        <v>27253</v>
      </c>
      <c r="S6518" t="s">
        <v>27254</v>
      </c>
      <c r="T6518" t="s">
        <v>27255</v>
      </c>
    </row>
    <row r="6519" spans="1:20" x14ac:dyDescent="0.3">
      <c r="A6519" t="str">
        <f>"0611835887025"</f>
        <v>0611835887025</v>
      </c>
      <c r="B6519" t="str">
        <f>"MC1255"</f>
        <v>MC1255</v>
      </c>
      <c r="C6519" t="s">
        <v>39890</v>
      </c>
      <c r="D6519" t="s">
        <v>27267</v>
      </c>
      <c r="E6519" t="str">
        <f t="shared" si="101"/>
        <v>001390</v>
      </c>
      <c r="F6519" t="s">
        <v>27246</v>
      </c>
      <c r="G6519" t="s">
        <v>27247</v>
      </c>
      <c r="H6519" t="s">
        <v>27248</v>
      </c>
      <c r="I6519" t="s">
        <v>39891</v>
      </c>
      <c r="J6519" t="s">
        <v>13022</v>
      </c>
      <c r="L6519" t="s">
        <v>27250</v>
      </c>
      <c r="M6519" t="s">
        <v>27251</v>
      </c>
      <c r="N6519" t="s">
        <v>27252</v>
      </c>
      <c r="Q6519" s="1">
        <v>44538</v>
      </c>
      <c r="R6519" t="s">
        <v>27253</v>
      </c>
      <c r="S6519" t="s">
        <v>27254</v>
      </c>
      <c r="T6519" t="s">
        <v>27269</v>
      </c>
    </row>
    <row r="6520" spans="1:20" x14ac:dyDescent="0.3">
      <c r="A6520" t="str">
        <f>"0611835888025"</f>
        <v>0611835888025</v>
      </c>
      <c r="B6520" t="str">
        <f>"MC0444"</f>
        <v>MC0444</v>
      </c>
      <c r="C6520" t="s">
        <v>39892</v>
      </c>
      <c r="D6520" t="s">
        <v>27267</v>
      </c>
      <c r="E6520" t="str">
        <f t="shared" si="101"/>
        <v>001390</v>
      </c>
      <c r="F6520" t="s">
        <v>27246</v>
      </c>
      <c r="G6520" t="s">
        <v>27247</v>
      </c>
      <c r="H6520" t="s">
        <v>27248</v>
      </c>
      <c r="I6520" t="s">
        <v>39893</v>
      </c>
      <c r="J6520" t="s">
        <v>13024</v>
      </c>
      <c r="L6520" t="s">
        <v>27250</v>
      </c>
      <c r="M6520" t="s">
        <v>27251</v>
      </c>
      <c r="N6520" t="s">
        <v>27252</v>
      </c>
      <c r="Q6520" s="1">
        <v>44538</v>
      </c>
      <c r="R6520" t="s">
        <v>27253</v>
      </c>
      <c r="S6520" t="s">
        <v>27254</v>
      </c>
      <c r="T6520" t="s">
        <v>27269</v>
      </c>
    </row>
    <row r="6521" spans="1:20" x14ac:dyDescent="0.3">
      <c r="A6521" t="str">
        <f>"0611835889025"</f>
        <v>0611835889025</v>
      </c>
      <c r="B6521" t="str">
        <f>"MC0445"</f>
        <v>MC0445</v>
      </c>
      <c r="C6521" t="s">
        <v>39894</v>
      </c>
      <c r="D6521" t="s">
        <v>27267</v>
      </c>
      <c r="E6521" t="str">
        <f t="shared" si="101"/>
        <v>001390</v>
      </c>
      <c r="F6521" t="s">
        <v>27246</v>
      </c>
      <c r="G6521" t="s">
        <v>27247</v>
      </c>
      <c r="H6521" t="s">
        <v>27248</v>
      </c>
      <c r="I6521" t="s">
        <v>39895</v>
      </c>
      <c r="J6521" t="s">
        <v>13026</v>
      </c>
      <c r="L6521" t="s">
        <v>27250</v>
      </c>
      <c r="M6521" t="s">
        <v>27251</v>
      </c>
      <c r="N6521" t="s">
        <v>27252</v>
      </c>
      <c r="Q6521" s="1">
        <v>44538</v>
      </c>
      <c r="R6521" t="s">
        <v>27253</v>
      </c>
      <c r="S6521" t="s">
        <v>27254</v>
      </c>
      <c r="T6521" t="s">
        <v>27269</v>
      </c>
    </row>
    <row r="6522" spans="1:20" x14ac:dyDescent="0.3">
      <c r="A6522" t="str">
        <f>"0611835890025"</f>
        <v>0611835890025</v>
      </c>
      <c r="B6522" t="str">
        <f>"MC3742"</f>
        <v>MC3742</v>
      </c>
      <c r="C6522" t="s">
        <v>39896</v>
      </c>
      <c r="D6522" t="s">
        <v>27267</v>
      </c>
      <c r="E6522" t="str">
        <f t="shared" si="101"/>
        <v>001390</v>
      </c>
      <c r="F6522" t="s">
        <v>27246</v>
      </c>
      <c r="G6522" t="s">
        <v>27247</v>
      </c>
      <c r="H6522" t="s">
        <v>27248</v>
      </c>
      <c r="I6522" t="s">
        <v>39897</v>
      </c>
      <c r="J6522" t="s">
        <v>13028</v>
      </c>
      <c r="L6522" t="s">
        <v>27250</v>
      </c>
      <c r="M6522" t="s">
        <v>27251</v>
      </c>
      <c r="N6522" t="s">
        <v>27252</v>
      </c>
      <c r="Q6522" s="1">
        <v>44538</v>
      </c>
      <c r="R6522" t="s">
        <v>27253</v>
      </c>
      <c r="S6522" t="s">
        <v>27254</v>
      </c>
      <c r="T6522" t="s">
        <v>27269</v>
      </c>
    </row>
    <row r="6523" spans="1:20" x14ac:dyDescent="0.3">
      <c r="A6523" t="str">
        <f>"0611835891025"</f>
        <v>0611835891025</v>
      </c>
      <c r="B6523" t="str">
        <f>"MC0439"</f>
        <v>MC0439</v>
      </c>
      <c r="C6523" t="s">
        <v>39898</v>
      </c>
      <c r="D6523" t="s">
        <v>27267</v>
      </c>
      <c r="E6523" t="str">
        <f t="shared" si="101"/>
        <v>001390</v>
      </c>
      <c r="F6523" t="s">
        <v>27246</v>
      </c>
      <c r="G6523" t="s">
        <v>27247</v>
      </c>
      <c r="H6523" t="s">
        <v>27248</v>
      </c>
      <c r="I6523" t="s">
        <v>39899</v>
      </c>
      <c r="J6523" t="s">
        <v>13030</v>
      </c>
      <c r="L6523" t="s">
        <v>27250</v>
      </c>
      <c r="M6523" t="s">
        <v>27251</v>
      </c>
      <c r="N6523" t="s">
        <v>27252</v>
      </c>
      <c r="Q6523" s="1">
        <v>44538</v>
      </c>
      <c r="R6523" t="s">
        <v>27253</v>
      </c>
      <c r="S6523" t="s">
        <v>27254</v>
      </c>
      <c r="T6523" t="s">
        <v>27269</v>
      </c>
    </row>
    <row r="6524" spans="1:20" x14ac:dyDescent="0.3">
      <c r="A6524" t="str">
        <f>"0611835892025"</f>
        <v>0611835892025</v>
      </c>
      <c r="B6524" t="str">
        <f>"MC1254"</f>
        <v>MC1254</v>
      </c>
      <c r="C6524" t="s">
        <v>39900</v>
      </c>
      <c r="D6524" t="s">
        <v>27267</v>
      </c>
      <c r="E6524" t="str">
        <f t="shared" si="101"/>
        <v>001390</v>
      </c>
      <c r="F6524" t="s">
        <v>27246</v>
      </c>
      <c r="G6524" t="s">
        <v>27247</v>
      </c>
      <c r="H6524" t="s">
        <v>27248</v>
      </c>
      <c r="I6524" t="s">
        <v>39901</v>
      </c>
      <c r="J6524" t="s">
        <v>13032</v>
      </c>
      <c r="L6524" t="s">
        <v>27250</v>
      </c>
      <c r="M6524" t="s">
        <v>27251</v>
      </c>
      <c r="N6524" t="s">
        <v>27252</v>
      </c>
      <c r="Q6524" s="1">
        <v>44538</v>
      </c>
      <c r="R6524" t="s">
        <v>27253</v>
      </c>
      <c r="S6524" t="s">
        <v>27254</v>
      </c>
      <c r="T6524" t="s">
        <v>27269</v>
      </c>
    </row>
    <row r="6525" spans="1:20" x14ac:dyDescent="0.3">
      <c r="A6525" t="str">
        <f>"0611835894025"</f>
        <v>0611835894025</v>
      </c>
      <c r="B6525" t="str">
        <f>"MC2486"</f>
        <v>MC2486</v>
      </c>
      <c r="C6525" t="s">
        <v>39902</v>
      </c>
      <c r="D6525" t="s">
        <v>27267</v>
      </c>
      <c r="E6525" t="str">
        <f t="shared" si="101"/>
        <v>001390</v>
      </c>
      <c r="F6525" t="s">
        <v>27246</v>
      </c>
      <c r="G6525" t="s">
        <v>27247</v>
      </c>
      <c r="H6525" t="s">
        <v>27248</v>
      </c>
      <c r="I6525" t="s">
        <v>39903</v>
      </c>
      <c r="J6525" t="s">
        <v>13034</v>
      </c>
      <c r="L6525" t="s">
        <v>27250</v>
      </c>
      <c r="M6525" t="s">
        <v>27251</v>
      </c>
      <c r="N6525" t="s">
        <v>27252</v>
      </c>
      <c r="Q6525" s="1">
        <v>44538</v>
      </c>
      <c r="R6525" t="s">
        <v>27253</v>
      </c>
      <c r="S6525" t="s">
        <v>27254</v>
      </c>
      <c r="T6525" t="s">
        <v>27269</v>
      </c>
    </row>
    <row r="6526" spans="1:20" x14ac:dyDescent="0.3">
      <c r="A6526" t="str">
        <f>"0611834799100"</f>
        <v>0611834799100</v>
      </c>
      <c r="B6526" t="str">
        <f>"LK2715"</f>
        <v>LK2715</v>
      </c>
      <c r="C6526" t="s">
        <v>39904</v>
      </c>
      <c r="D6526" t="s">
        <v>27245</v>
      </c>
      <c r="E6526" t="str">
        <f t="shared" si="101"/>
        <v>001390</v>
      </c>
      <c r="F6526" t="s">
        <v>27246</v>
      </c>
      <c r="G6526" t="s">
        <v>27247</v>
      </c>
      <c r="H6526" t="s">
        <v>27248</v>
      </c>
      <c r="I6526" t="s">
        <v>39905</v>
      </c>
      <c r="J6526" t="s">
        <v>14603</v>
      </c>
      <c r="L6526" t="s">
        <v>27250</v>
      </c>
      <c r="M6526" t="s">
        <v>27251</v>
      </c>
      <c r="N6526" t="s">
        <v>27252</v>
      </c>
      <c r="Q6526" s="1">
        <v>44538</v>
      </c>
      <c r="R6526" t="s">
        <v>27253</v>
      </c>
      <c r="S6526" t="s">
        <v>27254</v>
      </c>
      <c r="T6526" t="s">
        <v>27255</v>
      </c>
    </row>
    <row r="6527" spans="1:20" x14ac:dyDescent="0.3">
      <c r="A6527" t="str">
        <f>"0611835895100"</f>
        <v>0611835895100</v>
      </c>
      <c r="B6527" t="str">
        <f>"LK1257"</f>
        <v>LK1257</v>
      </c>
      <c r="C6527" t="s">
        <v>39906</v>
      </c>
      <c r="D6527" t="s">
        <v>27245</v>
      </c>
      <c r="E6527" t="str">
        <f t="shared" si="101"/>
        <v>001390</v>
      </c>
      <c r="F6527" t="s">
        <v>27246</v>
      </c>
      <c r="G6527" t="s">
        <v>27247</v>
      </c>
      <c r="H6527" t="s">
        <v>27248</v>
      </c>
      <c r="I6527" t="s">
        <v>39907</v>
      </c>
      <c r="J6527" t="s">
        <v>13036</v>
      </c>
      <c r="L6527" t="s">
        <v>27250</v>
      </c>
      <c r="M6527" t="s">
        <v>27251</v>
      </c>
      <c r="N6527" t="s">
        <v>27252</v>
      </c>
      <c r="Q6527" s="1">
        <v>44538</v>
      </c>
      <c r="R6527" t="s">
        <v>27253</v>
      </c>
      <c r="S6527" t="s">
        <v>27254</v>
      </c>
      <c r="T6527" t="s">
        <v>27255</v>
      </c>
    </row>
    <row r="6528" spans="1:20" x14ac:dyDescent="0.3">
      <c r="A6528" t="str">
        <f>"0611835896025"</f>
        <v>0611835896025</v>
      </c>
      <c r="B6528" t="str">
        <f>"MC1688"</f>
        <v>MC1688</v>
      </c>
      <c r="C6528" t="s">
        <v>39906</v>
      </c>
      <c r="D6528" t="s">
        <v>27267</v>
      </c>
      <c r="E6528" t="str">
        <f t="shared" si="101"/>
        <v>001390</v>
      </c>
      <c r="F6528" t="s">
        <v>27246</v>
      </c>
      <c r="G6528" t="s">
        <v>27247</v>
      </c>
      <c r="H6528" t="s">
        <v>27248</v>
      </c>
      <c r="I6528" t="s">
        <v>39908</v>
      </c>
      <c r="J6528" t="s">
        <v>13038</v>
      </c>
      <c r="L6528" t="s">
        <v>27250</v>
      </c>
      <c r="M6528" t="s">
        <v>27251</v>
      </c>
      <c r="N6528" t="s">
        <v>27252</v>
      </c>
      <c r="Q6528" s="1">
        <v>44538</v>
      </c>
      <c r="R6528" t="s">
        <v>27253</v>
      </c>
      <c r="S6528" t="s">
        <v>27254</v>
      </c>
      <c r="T6528" t="s">
        <v>27269</v>
      </c>
    </row>
    <row r="6529" spans="1:20" x14ac:dyDescent="0.3">
      <c r="A6529" t="str">
        <f>"0611862825050"</f>
        <v>0611862825050</v>
      </c>
      <c r="B6529" t="str">
        <f>"CR2970"</f>
        <v>CR2970</v>
      </c>
      <c r="C6529" t="s">
        <v>39909</v>
      </c>
      <c r="D6529" t="s">
        <v>27263</v>
      </c>
      <c r="E6529" t="str">
        <f t="shared" si="101"/>
        <v>001390</v>
      </c>
      <c r="F6529" t="s">
        <v>27246</v>
      </c>
      <c r="G6529" t="s">
        <v>27247</v>
      </c>
      <c r="H6529" t="s">
        <v>27248</v>
      </c>
      <c r="I6529" t="s">
        <v>39910</v>
      </c>
      <c r="J6529" t="s">
        <v>13044</v>
      </c>
      <c r="L6529" t="s">
        <v>27250</v>
      </c>
      <c r="M6529" t="s">
        <v>27251</v>
      </c>
      <c r="N6529" t="s">
        <v>27252</v>
      </c>
      <c r="Q6529" s="1">
        <v>44846</v>
      </c>
      <c r="R6529" t="s">
        <v>27253</v>
      </c>
      <c r="S6529" t="s">
        <v>27254</v>
      </c>
      <c r="T6529" t="s">
        <v>27265</v>
      </c>
    </row>
    <row r="6530" spans="1:20" x14ac:dyDescent="0.3">
      <c r="A6530" t="str">
        <f>"0611862826050"</f>
        <v>0611862826050</v>
      </c>
      <c r="B6530" t="str">
        <f>"CR4067"</f>
        <v>CR4067</v>
      </c>
      <c r="C6530" t="s">
        <v>39911</v>
      </c>
      <c r="D6530" t="s">
        <v>27263</v>
      </c>
      <c r="E6530" t="str">
        <f t="shared" ref="E6530:E6593" si="102">"001390"</f>
        <v>001390</v>
      </c>
      <c r="F6530" t="s">
        <v>27246</v>
      </c>
      <c r="G6530" t="s">
        <v>27247</v>
      </c>
      <c r="H6530" t="s">
        <v>27248</v>
      </c>
      <c r="I6530" t="s">
        <v>39912</v>
      </c>
      <c r="J6530" t="s">
        <v>13046</v>
      </c>
      <c r="L6530" t="s">
        <v>27250</v>
      </c>
      <c r="M6530" t="s">
        <v>27251</v>
      </c>
      <c r="N6530" t="s">
        <v>27252</v>
      </c>
      <c r="Q6530" s="1">
        <v>44846</v>
      </c>
      <c r="R6530" t="s">
        <v>27253</v>
      </c>
      <c r="S6530" t="s">
        <v>27254</v>
      </c>
      <c r="T6530" t="s">
        <v>27265</v>
      </c>
    </row>
    <row r="6531" spans="1:20" x14ac:dyDescent="0.3">
      <c r="A6531" t="str">
        <f>"0611835897100"</f>
        <v>0611835897100</v>
      </c>
      <c r="B6531" t="str">
        <f>"LK5480"</f>
        <v>LK5480</v>
      </c>
      <c r="C6531" t="s">
        <v>39913</v>
      </c>
      <c r="D6531" t="s">
        <v>27245</v>
      </c>
      <c r="E6531" t="str">
        <f t="shared" si="102"/>
        <v>001390</v>
      </c>
      <c r="F6531" t="s">
        <v>27246</v>
      </c>
      <c r="G6531" t="s">
        <v>27247</v>
      </c>
      <c r="H6531" t="s">
        <v>27248</v>
      </c>
      <c r="I6531" t="s">
        <v>39914</v>
      </c>
      <c r="J6531" t="s">
        <v>13058</v>
      </c>
      <c r="L6531" t="s">
        <v>27250</v>
      </c>
      <c r="M6531" t="s">
        <v>27251</v>
      </c>
      <c r="N6531" t="s">
        <v>27252</v>
      </c>
      <c r="Q6531" s="1">
        <v>44538</v>
      </c>
      <c r="R6531" t="s">
        <v>27253</v>
      </c>
      <c r="S6531" t="s">
        <v>27254</v>
      </c>
      <c r="T6531" t="s">
        <v>27255</v>
      </c>
    </row>
    <row r="6532" spans="1:20" x14ac:dyDescent="0.3">
      <c r="A6532" t="str">
        <f>"*90-61MISC"</f>
        <v>*90-61MISC</v>
      </c>
      <c r="B6532" t="str">
        <f>""</f>
        <v/>
      </c>
      <c r="C6532" t="s">
        <v>39915</v>
      </c>
      <c r="E6532" t="str">
        <f t="shared" si="102"/>
        <v>001390</v>
      </c>
      <c r="F6532" t="s">
        <v>27246</v>
      </c>
      <c r="G6532" t="s">
        <v>27247</v>
      </c>
      <c r="Q6532" s="1">
        <v>36423</v>
      </c>
      <c r="R6532" t="s">
        <v>27253</v>
      </c>
    </row>
    <row r="6533" spans="1:20" x14ac:dyDescent="0.3">
      <c r="A6533" t="str">
        <f>"49-6825"</f>
        <v>49-6825</v>
      </c>
      <c r="B6533" t="str">
        <f>""</f>
        <v/>
      </c>
      <c r="C6533" t="s">
        <v>39916</v>
      </c>
      <c r="D6533" t="s">
        <v>39917</v>
      </c>
      <c r="E6533" t="str">
        <f t="shared" si="102"/>
        <v>001390</v>
      </c>
      <c r="F6533" t="s">
        <v>27246</v>
      </c>
      <c r="G6533" t="s">
        <v>27247</v>
      </c>
      <c r="H6533" t="s">
        <v>27248</v>
      </c>
      <c r="I6533" t="s">
        <v>39918</v>
      </c>
      <c r="Q6533" s="1">
        <v>39763</v>
      </c>
      <c r="R6533" t="s">
        <v>27253</v>
      </c>
    </row>
    <row r="6534" spans="1:20" x14ac:dyDescent="0.3">
      <c r="A6534" t="str">
        <f>"0611834791100"</f>
        <v>0611834791100</v>
      </c>
      <c r="B6534" t="str">
        <f>"LH6003"</f>
        <v>LH6003</v>
      </c>
      <c r="C6534" t="s">
        <v>39919</v>
      </c>
      <c r="D6534" t="s">
        <v>27245</v>
      </c>
      <c r="E6534" t="str">
        <f t="shared" si="102"/>
        <v>001390</v>
      </c>
      <c r="F6534" t="s">
        <v>27246</v>
      </c>
      <c r="G6534" t="s">
        <v>27247</v>
      </c>
      <c r="H6534" t="s">
        <v>27248</v>
      </c>
      <c r="I6534" t="s">
        <v>39920</v>
      </c>
      <c r="J6534" t="s">
        <v>13060</v>
      </c>
      <c r="L6534" t="s">
        <v>27250</v>
      </c>
      <c r="M6534" t="s">
        <v>27251</v>
      </c>
      <c r="N6534" t="s">
        <v>27252</v>
      </c>
      <c r="Q6534" s="1">
        <v>44538</v>
      </c>
      <c r="R6534" t="s">
        <v>27253</v>
      </c>
      <c r="S6534" t="s">
        <v>27254</v>
      </c>
      <c r="T6534" t="s">
        <v>27255</v>
      </c>
    </row>
    <row r="6535" spans="1:20" x14ac:dyDescent="0.3">
      <c r="A6535" t="str">
        <f>"0611834792025"</f>
        <v>0611834792025</v>
      </c>
      <c r="B6535" t="str">
        <f>"MC3183"</f>
        <v>MC3183</v>
      </c>
      <c r="C6535" t="s">
        <v>39919</v>
      </c>
      <c r="D6535" t="s">
        <v>27267</v>
      </c>
      <c r="E6535" t="str">
        <f t="shared" si="102"/>
        <v>001390</v>
      </c>
      <c r="F6535" t="s">
        <v>27246</v>
      </c>
      <c r="G6535" t="s">
        <v>27247</v>
      </c>
      <c r="H6535" t="s">
        <v>27248</v>
      </c>
      <c r="I6535" t="s">
        <v>39921</v>
      </c>
      <c r="J6535" t="s">
        <v>13062</v>
      </c>
      <c r="L6535" t="s">
        <v>27250</v>
      </c>
      <c r="M6535" t="s">
        <v>27251</v>
      </c>
      <c r="N6535" t="s">
        <v>27252</v>
      </c>
      <c r="Q6535" s="1">
        <v>44538</v>
      </c>
      <c r="R6535" t="s">
        <v>27253</v>
      </c>
      <c r="S6535" t="s">
        <v>27254</v>
      </c>
      <c r="T6535" t="s">
        <v>27269</v>
      </c>
    </row>
    <row r="6536" spans="1:20" x14ac:dyDescent="0.3">
      <c r="A6536" t="str">
        <f>"0611834793025"</f>
        <v>0611834793025</v>
      </c>
      <c r="B6536" t="str">
        <f>"MC3295"</f>
        <v>MC3295</v>
      </c>
      <c r="C6536" t="s">
        <v>39922</v>
      </c>
      <c r="D6536" t="s">
        <v>27267</v>
      </c>
      <c r="E6536" t="str">
        <f t="shared" si="102"/>
        <v>001390</v>
      </c>
      <c r="F6536" t="s">
        <v>27246</v>
      </c>
      <c r="G6536" t="s">
        <v>27247</v>
      </c>
      <c r="H6536" t="s">
        <v>27248</v>
      </c>
      <c r="I6536" t="s">
        <v>39923</v>
      </c>
      <c r="J6536" t="s">
        <v>13064</v>
      </c>
      <c r="L6536" t="s">
        <v>27250</v>
      </c>
      <c r="M6536" t="s">
        <v>27251</v>
      </c>
      <c r="N6536" t="s">
        <v>27252</v>
      </c>
      <c r="Q6536" s="1">
        <v>44538</v>
      </c>
      <c r="R6536" t="s">
        <v>27253</v>
      </c>
      <c r="S6536" t="s">
        <v>27254</v>
      </c>
      <c r="T6536" t="s">
        <v>27269</v>
      </c>
    </row>
    <row r="6537" spans="1:20" x14ac:dyDescent="0.3">
      <c r="A6537" t="str">
        <f>"0611834794025"</f>
        <v>0611834794025</v>
      </c>
      <c r="B6537" t="str">
        <f>"MC3188"</f>
        <v>MC3188</v>
      </c>
      <c r="C6537" t="s">
        <v>39924</v>
      </c>
      <c r="D6537" t="s">
        <v>27267</v>
      </c>
      <c r="E6537" t="str">
        <f t="shared" si="102"/>
        <v>001390</v>
      </c>
      <c r="F6537" t="s">
        <v>27246</v>
      </c>
      <c r="G6537" t="s">
        <v>27247</v>
      </c>
      <c r="H6537" t="s">
        <v>27248</v>
      </c>
      <c r="I6537" t="s">
        <v>39925</v>
      </c>
      <c r="J6537" t="s">
        <v>13066</v>
      </c>
      <c r="L6537" t="s">
        <v>27250</v>
      </c>
      <c r="M6537" t="s">
        <v>27251</v>
      </c>
      <c r="N6537" t="s">
        <v>27252</v>
      </c>
      <c r="Q6537" s="1">
        <v>44538</v>
      </c>
      <c r="R6537" t="s">
        <v>27253</v>
      </c>
      <c r="S6537" t="s">
        <v>27254</v>
      </c>
      <c r="T6537" t="s">
        <v>27269</v>
      </c>
    </row>
    <row r="6538" spans="1:20" x14ac:dyDescent="0.3">
      <c r="A6538" t="str">
        <f>"0611834795100"</f>
        <v>0611834795100</v>
      </c>
      <c r="B6538" t="str">
        <f>"LH5100"</f>
        <v>LH5100</v>
      </c>
      <c r="C6538" t="s">
        <v>39926</v>
      </c>
      <c r="D6538" t="s">
        <v>27245</v>
      </c>
      <c r="E6538" t="str">
        <f t="shared" si="102"/>
        <v>001390</v>
      </c>
      <c r="F6538" t="s">
        <v>27246</v>
      </c>
      <c r="G6538" t="s">
        <v>27247</v>
      </c>
      <c r="H6538" t="s">
        <v>27248</v>
      </c>
      <c r="I6538" t="s">
        <v>39927</v>
      </c>
      <c r="J6538" t="s">
        <v>13068</v>
      </c>
      <c r="L6538" t="s">
        <v>27250</v>
      </c>
      <c r="M6538" t="s">
        <v>27251</v>
      </c>
      <c r="N6538" t="s">
        <v>27252</v>
      </c>
      <c r="Q6538" s="1">
        <v>44538</v>
      </c>
      <c r="R6538" t="s">
        <v>27253</v>
      </c>
      <c r="S6538" t="s">
        <v>27254</v>
      </c>
      <c r="T6538" t="s">
        <v>27255</v>
      </c>
    </row>
    <row r="6539" spans="1:20" x14ac:dyDescent="0.3">
      <c r="A6539" t="str">
        <f>"0611834796025"</f>
        <v>0611834796025</v>
      </c>
      <c r="B6539" t="str">
        <f>"MC3294"</f>
        <v>MC3294</v>
      </c>
      <c r="C6539" t="s">
        <v>39928</v>
      </c>
      <c r="D6539" t="s">
        <v>27267</v>
      </c>
      <c r="E6539" t="str">
        <f t="shared" si="102"/>
        <v>001390</v>
      </c>
      <c r="F6539" t="s">
        <v>27246</v>
      </c>
      <c r="G6539" t="s">
        <v>27247</v>
      </c>
      <c r="H6539" t="s">
        <v>27248</v>
      </c>
      <c r="I6539" t="s">
        <v>39929</v>
      </c>
      <c r="J6539" t="s">
        <v>13070</v>
      </c>
      <c r="L6539" t="s">
        <v>27250</v>
      </c>
      <c r="M6539" t="s">
        <v>27251</v>
      </c>
      <c r="N6539" t="s">
        <v>27252</v>
      </c>
      <c r="Q6539" s="1">
        <v>44538</v>
      </c>
      <c r="R6539" t="s">
        <v>27253</v>
      </c>
      <c r="S6539" t="s">
        <v>27254</v>
      </c>
      <c r="T6539" t="s">
        <v>27269</v>
      </c>
    </row>
    <row r="6540" spans="1:20" x14ac:dyDescent="0.3">
      <c r="A6540" t="str">
        <f>"0611834824025"</f>
        <v>0611834824025</v>
      </c>
      <c r="B6540" t="str">
        <f>"MC3296"</f>
        <v>MC3296</v>
      </c>
      <c r="C6540" t="s">
        <v>39930</v>
      </c>
      <c r="D6540" t="s">
        <v>27267</v>
      </c>
      <c r="E6540" t="str">
        <f t="shared" si="102"/>
        <v>001390</v>
      </c>
      <c r="F6540" t="s">
        <v>27246</v>
      </c>
      <c r="G6540" t="s">
        <v>27247</v>
      </c>
      <c r="H6540" t="s">
        <v>27248</v>
      </c>
      <c r="I6540" t="s">
        <v>39931</v>
      </c>
      <c r="J6540" t="s">
        <v>13072</v>
      </c>
      <c r="L6540" t="s">
        <v>27250</v>
      </c>
      <c r="M6540" t="s">
        <v>27251</v>
      </c>
      <c r="N6540" t="s">
        <v>27252</v>
      </c>
      <c r="Q6540" s="1">
        <v>44538</v>
      </c>
      <c r="R6540" t="s">
        <v>27253</v>
      </c>
      <c r="S6540" t="s">
        <v>27254</v>
      </c>
      <c r="T6540" t="s">
        <v>27269</v>
      </c>
    </row>
    <row r="6541" spans="1:20" x14ac:dyDescent="0.3">
      <c r="A6541" t="str">
        <f>"0611834797025"</f>
        <v>0611834797025</v>
      </c>
      <c r="B6541" t="str">
        <f>"MC3418"</f>
        <v>MC3418</v>
      </c>
      <c r="C6541" t="s">
        <v>39932</v>
      </c>
      <c r="D6541" t="s">
        <v>27267</v>
      </c>
      <c r="E6541" t="str">
        <f t="shared" si="102"/>
        <v>001390</v>
      </c>
      <c r="F6541" t="s">
        <v>27246</v>
      </c>
      <c r="G6541" t="s">
        <v>27247</v>
      </c>
      <c r="H6541" t="s">
        <v>27248</v>
      </c>
      <c r="I6541" t="s">
        <v>39933</v>
      </c>
      <c r="J6541" t="s">
        <v>13074</v>
      </c>
      <c r="L6541" t="s">
        <v>27250</v>
      </c>
      <c r="M6541" t="s">
        <v>27251</v>
      </c>
      <c r="N6541" t="s">
        <v>27252</v>
      </c>
      <c r="Q6541" s="1">
        <v>44538</v>
      </c>
      <c r="R6541" t="s">
        <v>27253</v>
      </c>
      <c r="S6541" t="s">
        <v>27254</v>
      </c>
      <c r="T6541" t="s">
        <v>27269</v>
      </c>
    </row>
    <row r="6542" spans="1:20" x14ac:dyDescent="0.3">
      <c r="A6542" t="str">
        <f>"0611834798025"</f>
        <v>0611834798025</v>
      </c>
      <c r="B6542" t="str">
        <f>"MC3297"</f>
        <v>MC3297</v>
      </c>
      <c r="C6542" t="s">
        <v>39934</v>
      </c>
      <c r="D6542" t="s">
        <v>27267</v>
      </c>
      <c r="E6542" t="str">
        <f t="shared" si="102"/>
        <v>001390</v>
      </c>
      <c r="F6542" t="s">
        <v>27246</v>
      </c>
      <c r="G6542" t="s">
        <v>27247</v>
      </c>
      <c r="H6542" t="s">
        <v>27248</v>
      </c>
      <c r="I6542" t="s">
        <v>39935</v>
      </c>
      <c r="J6542" t="s">
        <v>13076</v>
      </c>
      <c r="L6542" t="s">
        <v>27250</v>
      </c>
      <c r="M6542" t="s">
        <v>27251</v>
      </c>
      <c r="N6542" t="s">
        <v>27252</v>
      </c>
      <c r="Q6542" s="1">
        <v>44538</v>
      </c>
      <c r="R6542" t="s">
        <v>27253</v>
      </c>
      <c r="S6542" t="s">
        <v>27254</v>
      </c>
      <c r="T6542" t="s">
        <v>27269</v>
      </c>
    </row>
    <row r="6543" spans="1:20" x14ac:dyDescent="0.3">
      <c r="A6543" t="str">
        <f>"0611835898100"</f>
        <v>0611835898100</v>
      </c>
      <c r="B6543" t="str">
        <f>"LF4120"</f>
        <v>LF4120</v>
      </c>
      <c r="C6543" t="s">
        <v>39936</v>
      </c>
      <c r="D6543" t="s">
        <v>27245</v>
      </c>
      <c r="E6543" t="str">
        <f t="shared" si="102"/>
        <v>001390</v>
      </c>
      <c r="F6543" t="s">
        <v>27246</v>
      </c>
      <c r="G6543" t="s">
        <v>27247</v>
      </c>
      <c r="H6543" t="s">
        <v>27248</v>
      </c>
      <c r="I6543" t="s">
        <v>39937</v>
      </c>
      <c r="J6543" t="s">
        <v>13078</v>
      </c>
      <c r="L6543" t="s">
        <v>27250</v>
      </c>
      <c r="M6543" t="s">
        <v>27251</v>
      </c>
      <c r="N6543" t="s">
        <v>27252</v>
      </c>
      <c r="Q6543" s="1">
        <v>44538</v>
      </c>
      <c r="R6543" t="s">
        <v>27253</v>
      </c>
      <c r="S6543" t="s">
        <v>27254</v>
      </c>
      <c r="T6543" t="s">
        <v>27255</v>
      </c>
    </row>
    <row r="6544" spans="1:20" x14ac:dyDescent="0.3">
      <c r="A6544" t="str">
        <f>"0611835899100"</f>
        <v>0611835899100</v>
      </c>
      <c r="B6544" t="str">
        <f>"LF9104"</f>
        <v>LF9104</v>
      </c>
      <c r="C6544" t="s">
        <v>39938</v>
      </c>
      <c r="D6544" t="s">
        <v>27245</v>
      </c>
      <c r="E6544" t="str">
        <f t="shared" si="102"/>
        <v>001390</v>
      </c>
      <c r="F6544" t="s">
        <v>27246</v>
      </c>
      <c r="G6544" t="s">
        <v>27247</v>
      </c>
      <c r="H6544" t="s">
        <v>27248</v>
      </c>
      <c r="I6544" t="s">
        <v>39939</v>
      </c>
      <c r="J6544" t="s">
        <v>13080</v>
      </c>
      <c r="L6544" t="s">
        <v>27250</v>
      </c>
      <c r="M6544" t="s">
        <v>27251</v>
      </c>
      <c r="N6544" t="s">
        <v>27252</v>
      </c>
      <c r="Q6544" s="1">
        <v>44538</v>
      </c>
      <c r="R6544" t="s">
        <v>27253</v>
      </c>
      <c r="S6544" t="s">
        <v>27254</v>
      </c>
      <c r="T6544" t="s">
        <v>27255</v>
      </c>
    </row>
    <row r="6545" spans="1:20" x14ac:dyDescent="0.3">
      <c r="A6545" t="str">
        <f>"0611862827100"</f>
        <v>0611862827100</v>
      </c>
      <c r="B6545" t="str">
        <f>"CN2326"</f>
        <v>CN2326</v>
      </c>
      <c r="C6545" t="s">
        <v>39940</v>
      </c>
      <c r="D6545" t="s">
        <v>27335</v>
      </c>
      <c r="E6545" t="str">
        <f t="shared" si="102"/>
        <v>001390</v>
      </c>
      <c r="F6545" t="s">
        <v>27246</v>
      </c>
      <c r="G6545" t="s">
        <v>27247</v>
      </c>
      <c r="H6545" t="s">
        <v>27248</v>
      </c>
      <c r="I6545" t="s">
        <v>39941</v>
      </c>
      <c r="J6545" t="s">
        <v>13082</v>
      </c>
      <c r="L6545" t="s">
        <v>27250</v>
      </c>
      <c r="M6545" t="s">
        <v>27251</v>
      </c>
      <c r="N6545" t="s">
        <v>27252</v>
      </c>
      <c r="Q6545" s="1">
        <v>44846</v>
      </c>
      <c r="R6545" t="s">
        <v>27253</v>
      </c>
      <c r="S6545" t="s">
        <v>27254</v>
      </c>
      <c r="T6545" t="s">
        <v>27255</v>
      </c>
    </row>
    <row r="6546" spans="1:20" x14ac:dyDescent="0.3">
      <c r="A6546" t="str">
        <f>"0611862828100"</f>
        <v>0611862828100</v>
      </c>
      <c r="B6546" t="str">
        <f>"CN2183"</f>
        <v>CN2183</v>
      </c>
      <c r="C6546" t="s">
        <v>39942</v>
      </c>
      <c r="D6546" t="s">
        <v>27335</v>
      </c>
      <c r="E6546" t="str">
        <f t="shared" si="102"/>
        <v>001390</v>
      </c>
      <c r="F6546" t="s">
        <v>27246</v>
      </c>
      <c r="G6546" t="s">
        <v>27247</v>
      </c>
      <c r="H6546" t="s">
        <v>27248</v>
      </c>
      <c r="I6546" t="s">
        <v>39943</v>
      </c>
      <c r="J6546" t="s">
        <v>13191</v>
      </c>
      <c r="L6546" t="s">
        <v>27250</v>
      </c>
      <c r="M6546" t="s">
        <v>27251</v>
      </c>
      <c r="N6546" t="s">
        <v>27252</v>
      </c>
      <c r="Q6546" s="1">
        <v>44846</v>
      </c>
      <c r="R6546" t="s">
        <v>27253</v>
      </c>
      <c r="S6546" t="s">
        <v>27254</v>
      </c>
      <c r="T6546" t="s">
        <v>27255</v>
      </c>
    </row>
    <row r="6547" spans="1:20" x14ac:dyDescent="0.3">
      <c r="A6547" t="str">
        <f>"0611862829100"</f>
        <v>0611862829100</v>
      </c>
      <c r="B6547" t="str">
        <f>"CN2194"</f>
        <v>CN2194</v>
      </c>
      <c r="C6547" t="s">
        <v>39944</v>
      </c>
      <c r="D6547" t="s">
        <v>27335</v>
      </c>
      <c r="E6547" t="str">
        <f t="shared" si="102"/>
        <v>001390</v>
      </c>
      <c r="F6547" t="s">
        <v>27246</v>
      </c>
      <c r="G6547" t="s">
        <v>27247</v>
      </c>
      <c r="H6547" t="s">
        <v>27248</v>
      </c>
      <c r="I6547" t="s">
        <v>39945</v>
      </c>
      <c r="J6547" t="s">
        <v>13193</v>
      </c>
      <c r="L6547" t="s">
        <v>27250</v>
      </c>
      <c r="M6547" t="s">
        <v>27251</v>
      </c>
      <c r="N6547" t="s">
        <v>27252</v>
      </c>
      <c r="Q6547" s="1">
        <v>44846</v>
      </c>
      <c r="R6547" t="s">
        <v>27253</v>
      </c>
      <c r="S6547" t="s">
        <v>27254</v>
      </c>
      <c r="T6547" t="s">
        <v>27255</v>
      </c>
    </row>
    <row r="6548" spans="1:20" x14ac:dyDescent="0.3">
      <c r="A6548" t="str">
        <f>"0611862830100"</f>
        <v>0611862830100</v>
      </c>
      <c r="B6548" t="str">
        <f>"CN2332"</f>
        <v>CN2332</v>
      </c>
      <c r="C6548" t="s">
        <v>39946</v>
      </c>
      <c r="D6548" t="s">
        <v>27335</v>
      </c>
      <c r="E6548" t="str">
        <f t="shared" si="102"/>
        <v>001390</v>
      </c>
      <c r="F6548" t="s">
        <v>27246</v>
      </c>
      <c r="G6548" t="s">
        <v>27247</v>
      </c>
      <c r="H6548" t="s">
        <v>27248</v>
      </c>
      <c r="I6548" t="s">
        <v>39947</v>
      </c>
      <c r="J6548" t="s">
        <v>13084</v>
      </c>
      <c r="L6548" t="s">
        <v>27250</v>
      </c>
      <c r="M6548" t="s">
        <v>27251</v>
      </c>
      <c r="N6548" t="s">
        <v>27252</v>
      </c>
      <c r="Q6548" s="1">
        <v>44846</v>
      </c>
      <c r="R6548" t="s">
        <v>27253</v>
      </c>
      <c r="S6548" t="s">
        <v>27254</v>
      </c>
      <c r="T6548" t="s">
        <v>27255</v>
      </c>
    </row>
    <row r="6549" spans="1:20" x14ac:dyDescent="0.3">
      <c r="A6549" t="str">
        <f>"0611862831100"</f>
        <v>0611862831100</v>
      </c>
      <c r="B6549" t="str">
        <f>"CN2177"</f>
        <v>CN2177</v>
      </c>
      <c r="C6549" t="s">
        <v>39948</v>
      </c>
      <c r="D6549" t="s">
        <v>27245</v>
      </c>
      <c r="E6549" t="str">
        <f t="shared" si="102"/>
        <v>001390</v>
      </c>
      <c r="F6549" t="s">
        <v>27246</v>
      </c>
      <c r="G6549" t="s">
        <v>27247</v>
      </c>
      <c r="H6549" t="s">
        <v>27248</v>
      </c>
      <c r="I6549" t="s">
        <v>39949</v>
      </c>
      <c r="J6549" t="s">
        <v>13086</v>
      </c>
      <c r="L6549" t="s">
        <v>27250</v>
      </c>
      <c r="M6549" t="s">
        <v>27251</v>
      </c>
      <c r="N6549" t="s">
        <v>27252</v>
      </c>
      <c r="Q6549" s="1">
        <v>44846</v>
      </c>
      <c r="R6549" t="s">
        <v>27253</v>
      </c>
      <c r="S6549" t="s">
        <v>27254</v>
      </c>
      <c r="T6549" t="s">
        <v>27255</v>
      </c>
    </row>
    <row r="6550" spans="1:20" x14ac:dyDescent="0.3">
      <c r="A6550" t="str">
        <f>"0611862832100"</f>
        <v>0611862832100</v>
      </c>
      <c r="B6550" t="str">
        <f>"CN2273"</f>
        <v>CN2273</v>
      </c>
      <c r="C6550" t="s">
        <v>39950</v>
      </c>
      <c r="D6550" t="s">
        <v>27335</v>
      </c>
      <c r="E6550" t="str">
        <f t="shared" si="102"/>
        <v>001390</v>
      </c>
      <c r="F6550" t="s">
        <v>27246</v>
      </c>
      <c r="G6550" t="s">
        <v>27247</v>
      </c>
      <c r="H6550" t="s">
        <v>27248</v>
      </c>
      <c r="I6550" t="s">
        <v>39951</v>
      </c>
      <c r="J6550" t="s">
        <v>13088</v>
      </c>
      <c r="L6550" t="s">
        <v>27250</v>
      </c>
      <c r="M6550" t="s">
        <v>27251</v>
      </c>
      <c r="N6550" t="s">
        <v>27252</v>
      </c>
      <c r="Q6550" s="1">
        <v>44846</v>
      </c>
      <c r="R6550" t="s">
        <v>27253</v>
      </c>
      <c r="S6550" t="s">
        <v>27254</v>
      </c>
      <c r="T6550" t="s">
        <v>27255</v>
      </c>
    </row>
    <row r="6551" spans="1:20" x14ac:dyDescent="0.3">
      <c r="A6551" t="str">
        <f>"0611862833100"</f>
        <v>0611862833100</v>
      </c>
      <c r="B6551" t="str">
        <f>"CN2218"</f>
        <v>CN2218</v>
      </c>
      <c r="C6551" t="s">
        <v>39952</v>
      </c>
      <c r="D6551" t="s">
        <v>27245</v>
      </c>
      <c r="E6551" t="str">
        <f t="shared" si="102"/>
        <v>001390</v>
      </c>
      <c r="F6551" t="s">
        <v>27246</v>
      </c>
      <c r="G6551" t="s">
        <v>27247</v>
      </c>
      <c r="H6551" t="s">
        <v>27248</v>
      </c>
      <c r="I6551" t="s">
        <v>39953</v>
      </c>
      <c r="J6551" t="s">
        <v>13090</v>
      </c>
      <c r="L6551" t="s">
        <v>27250</v>
      </c>
      <c r="M6551" t="s">
        <v>27251</v>
      </c>
      <c r="N6551" t="s">
        <v>27252</v>
      </c>
      <c r="Q6551" s="1">
        <v>44846</v>
      </c>
      <c r="R6551" t="s">
        <v>27253</v>
      </c>
      <c r="S6551" t="s">
        <v>27254</v>
      </c>
      <c r="T6551" t="s">
        <v>27255</v>
      </c>
    </row>
    <row r="6552" spans="1:20" x14ac:dyDescent="0.3">
      <c r="A6552" t="str">
        <f>"0611862834100"</f>
        <v>0611862834100</v>
      </c>
      <c r="B6552" t="str">
        <f>"CN2203"</f>
        <v>CN2203</v>
      </c>
      <c r="C6552" t="s">
        <v>39954</v>
      </c>
      <c r="D6552" t="s">
        <v>27335</v>
      </c>
      <c r="E6552" t="str">
        <f t="shared" si="102"/>
        <v>001390</v>
      </c>
      <c r="F6552" t="s">
        <v>27246</v>
      </c>
      <c r="G6552" t="s">
        <v>27247</v>
      </c>
      <c r="H6552" t="s">
        <v>27248</v>
      </c>
      <c r="I6552" t="s">
        <v>39955</v>
      </c>
      <c r="J6552" t="s">
        <v>13092</v>
      </c>
      <c r="L6552" t="s">
        <v>27250</v>
      </c>
      <c r="M6552" t="s">
        <v>27251</v>
      </c>
      <c r="N6552" t="s">
        <v>27252</v>
      </c>
      <c r="Q6552" s="1">
        <v>44846</v>
      </c>
      <c r="R6552" t="s">
        <v>27253</v>
      </c>
      <c r="S6552" t="s">
        <v>27254</v>
      </c>
      <c r="T6552" t="s">
        <v>27255</v>
      </c>
    </row>
    <row r="6553" spans="1:20" x14ac:dyDescent="0.3">
      <c r="A6553" t="str">
        <f>"0611862835100"</f>
        <v>0611862835100</v>
      </c>
      <c r="B6553" t="str">
        <f>"CN2219"</f>
        <v>CN2219</v>
      </c>
      <c r="C6553" t="s">
        <v>39956</v>
      </c>
      <c r="D6553" t="s">
        <v>27245</v>
      </c>
      <c r="E6553" t="str">
        <f t="shared" si="102"/>
        <v>001390</v>
      </c>
      <c r="F6553" t="s">
        <v>27246</v>
      </c>
      <c r="G6553" t="s">
        <v>27247</v>
      </c>
      <c r="H6553" t="s">
        <v>27248</v>
      </c>
      <c r="I6553" t="s">
        <v>39957</v>
      </c>
      <c r="J6553" t="s">
        <v>13094</v>
      </c>
      <c r="L6553" t="s">
        <v>27250</v>
      </c>
      <c r="M6553" t="s">
        <v>27251</v>
      </c>
      <c r="N6553" t="s">
        <v>27252</v>
      </c>
      <c r="Q6553" s="1">
        <v>44846</v>
      </c>
      <c r="R6553" t="s">
        <v>27253</v>
      </c>
      <c r="S6553" t="s">
        <v>27254</v>
      </c>
      <c r="T6553" t="s">
        <v>27255</v>
      </c>
    </row>
    <row r="6554" spans="1:20" x14ac:dyDescent="0.3">
      <c r="A6554" t="str">
        <f>"0611862836100"</f>
        <v>0611862836100</v>
      </c>
      <c r="B6554" t="str">
        <f>"CN2283"</f>
        <v>CN2283</v>
      </c>
      <c r="C6554" t="s">
        <v>39958</v>
      </c>
      <c r="D6554" t="s">
        <v>27335</v>
      </c>
      <c r="E6554" t="str">
        <f t="shared" si="102"/>
        <v>001390</v>
      </c>
      <c r="F6554" t="s">
        <v>27246</v>
      </c>
      <c r="G6554" t="s">
        <v>27247</v>
      </c>
      <c r="H6554" t="s">
        <v>27248</v>
      </c>
      <c r="I6554" t="s">
        <v>39959</v>
      </c>
      <c r="J6554" t="s">
        <v>13096</v>
      </c>
      <c r="L6554" t="s">
        <v>27250</v>
      </c>
      <c r="M6554" t="s">
        <v>27251</v>
      </c>
      <c r="N6554" t="s">
        <v>27252</v>
      </c>
      <c r="Q6554" s="1">
        <v>44846</v>
      </c>
      <c r="R6554" t="s">
        <v>27253</v>
      </c>
      <c r="S6554" t="s">
        <v>27254</v>
      </c>
      <c r="T6554" t="s">
        <v>27255</v>
      </c>
    </row>
    <row r="6555" spans="1:20" x14ac:dyDescent="0.3">
      <c r="A6555" t="str">
        <f>"0611862837100"</f>
        <v>0611862837100</v>
      </c>
      <c r="B6555" t="str">
        <f>"CN2284"</f>
        <v>CN2284</v>
      </c>
      <c r="C6555" t="s">
        <v>39960</v>
      </c>
      <c r="D6555" t="s">
        <v>27335</v>
      </c>
      <c r="E6555" t="str">
        <f t="shared" si="102"/>
        <v>001390</v>
      </c>
      <c r="F6555" t="s">
        <v>27246</v>
      </c>
      <c r="G6555" t="s">
        <v>27247</v>
      </c>
      <c r="H6555" t="s">
        <v>27248</v>
      </c>
      <c r="I6555" t="s">
        <v>39961</v>
      </c>
      <c r="J6555" t="s">
        <v>13098</v>
      </c>
      <c r="L6555" t="s">
        <v>27250</v>
      </c>
      <c r="M6555" t="s">
        <v>27251</v>
      </c>
      <c r="N6555" t="s">
        <v>27252</v>
      </c>
      <c r="Q6555" s="1">
        <v>44846</v>
      </c>
      <c r="R6555" t="s">
        <v>27253</v>
      </c>
      <c r="S6555" t="s">
        <v>27254</v>
      </c>
      <c r="T6555" t="s">
        <v>27255</v>
      </c>
    </row>
    <row r="6556" spans="1:20" x14ac:dyDescent="0.3">
      <c r="A6556" t="str">
        <f>"0611862838100"</f>
        <v>0611862838100</v>
      </c>
      <c r="B6556" t="str">
        <f>"CN2282"</f>
        <v>CN2282</v>
      </c>
      <c r="C6556" t="s">
        <v>39962</v>
      </c>
      <c r="D6556" t="s">
        <v>27335</v>
      </c>
      <c r="E6556" t="str">
        <f t="shared" si="102"/>
        <v>001390</v>
      </c>
      <c r="F6556" t="s">
        <v>27246</v>
      </c>
      <c r="G6556" t="s">
        <v>27247</v>
      </c>
      <c r="H6556" t="s">
        <v>27248</v>
      </c>
      <c r="I6556" t="s">
        <v>39963</v>
      </c>
      <c r="J6556" t="s">
        <v>13100</v>
      </c>
      <c r="L6556" t="s">
        <v>27250</v>
      </c>
      <c r="M6556" t="s">
        <v>27251</v>
      </c>
      <c r="N6556" t="s">
        <v>27252</v>
      </c>
      <c r="Q6556" s="1">
        <v>44846</v>
      </c>
      <c r="R6556" t="s">
        <v>27253</v>
      </c>
      <c r="S6556" t="s">
        <v>27254</v>
      </c>
      <c r="T6556" t="s">
        <v>27255</v>
      </c>
    </row>
    <row r="6557" spans="1:20" x14ac:dyDescent="0.3">
      <c r="A6557" t="str">
        <f>"0611862839100"</f>
        <v>0611862839100</v>
      </c>
      <c r="B6557" t="str">
        <f>"CN2285"</f>
        <v>CN2285</v>
      </c>
      <c r="C6557" t="s">
        <v>39964</v>
      </c>
      <c r="D6557" t="s">
        <v>27335</v>
      </c>
      <c r="E6557" t="str">
        <f t="shared" si="102"/>
        <v>001390</v>
      </c>
      <c r="F6557" t="s">
        <v>27246</v>
      </c>
      <c r="G6557" t="s">
        <v>27247</v>
      </c>
      <c r="H6557" t="s">
        <v>27248</v>
      </c>
      <c r="I6557" t="s">
        <v>39965</v>
      </c>
      <c r="J6557" t="s">
        <v>13102</v>
      </c>
      <c r="L6557" t="s">
        <v>27250</v>
      </c>
      <c r="M6557" t="s">
        <v>27251</v>
      </c>
      <c r="N6557" t="s">
        <v>27252</v>
      </c>
      <c r="Q6557" s="1">
        <v>44846</v>
      </c>
      <c r="R6557" t="s">
        <v>27253</v>
      </c>
      <c r="S6557" t="s">
        <v>27254</v>
      </c>
      <c r="T6557" t="s">
        <v>27255</v>
      </c>
    </row>
    <row r="6558" spans="1:20" x14ac:dyDescent="0.3">
      <c r="A6558" t="str">
        <f>"0611862840100"</f>
        <v>0611862840100</v>
      </c>
      <c r="B6558" t="str">
        <f>"CN2296"</f>
        <v>CN2296</v>
      </c>
      <c r="C6558" t="s">
        <v>39966</v>
      </c>
      <c r="D6558" t="s">
        <v>27245</v>
      </c>
      <c r="E6558" t="str">
        <f t="shared" si="102"/>
        <v>001390</v>
      </c>
      <c r="F6558" t="s">
        <v>27246</v>
      </c>
      <c r="G6558" t="s">
        <v>27247</v>
      </c>
      <c r="H6558" t="s">
        <v>27248</v>
      </c>
      <c r="I6558" t="s">
        <v>39967</v>
      </c>
      <c r="J6558" t="s">
        <v>13104</v>
      </c>
      <c r="L6558" t="s">
        <v>27250</v>
      </c>
      <c r="M6558" t="s">
        <v>27251</v>
      </c>
      <c r="N6558" t="s">
        <v>27252</v>
      </c>
      <c r="Q6558" s="1">
        <v>44846</v>
      </c>
      <c r="R6558" t="s">
        <v>27253</v>
      </c>
      <c r="S6558" t="s">
        <v>27254</v>
      </c>
      <c r="T6558" t="s">
        <v>27255</v>
      </c>
    </row>
    <row r="6559" spans="1:20" x14ac:dyDescent="0.3">
      <c r="A6559" t="str">
        <f>"0611862841100"</f>
        <v>0611862841100</v>
      </c>
      <c r="B6559" t="str">
        <f>"CN2280"</f>
        <v>CN2280</v>
      </c>
      <c r="C6559" t="s">
        <v>39968</v>
      </c>
      <c r="D6559" t="s">
        <v>27335</v>
      </c>
      <c r="E6559" t="str">
        <f t="shared" si="102"/>
        <v>001390</v>
      </c>
      <c r="F6559" t="s">
        <v>27246</v>
      </c>
      <c r="G6559" t="s">
        <v>27247</v>
      </c>
      <c r="H6559" t="s">
        <v>27248</v>
      </c>
      <c r="I6559" t="s">
        <v>39969</v>
      </c>
      <c r="J6559" t="s">
        <v>13106</v>
      </c>
      <c r="L6559" t="s">
        <v>27250</v>
      </c>
      <c r="M6559" t="s">
        <v>27251</v>
      </c>
      <c r="N6559" t="s">
        <v>27252</v>
      </c>
      <c r="Q6559" s="1">
        <v>44846</v>
      </c>
      <c r="R6559" t="s">
        <v>27253</v>
      </c>
      <c r="S6559" t="s">
        <v>27254</v>
      </c>
      <c r="T6559" t="s">
        <v>27255</v>
      </c>
    </row>
    <row r="6560" spans="1:20" x14ac:dyDescent="0.3">
      <c r="A6560" t="str">
        <f>"0611862842100"</f>
        <v>0611862842100</v>
      </c>
      <c r="B6560" t="str">
        <f>"CN2279"</f>
        <v>CN2279</v>
      </c>
      <c r="C6560" t="s">
        <v>39970</v>
      </c>
      <c r="D6560" t="s">
        <v>27335</v>
      </c>
      <c r="E6560" t="str">
        <f t="shared" si="102"/>
        <v>001390</v>
      </c>
      <c r="F6560" t="s">
        <v>27246</v>
      </c>
      <c r="G6560" t="s">
        <v>27247</v>
      </c>
      <c r="H6560" t="s">
        <v>27248</v>
      </c>
      <c r="I6560" t="s">
        <v>39971</v>
      </c>
      <c r="J6560" t="s">
        <v>13108</v>
      </c>
      <c r="L6560" t="s">
        <v>27250</v>
      </c>
      <c r="M6560" t="s">
        <v>27251</v>
      </c>
      <c r="N6560" t="s">
        <v>27252</v>
      </c>
      <c r="Q6560" s="1">
        <v>44846</v>
      </c>
      <c r="R6560" t="s">
        <v>27253</v>
      </c>
      <c r="S6560" t="s">
        <v>27254</v>
      </c>
      <c r="T6560" t="s">
        <v>27255</v>
      </c>
    </row>
    <row r="6561" spans="1:20" x14ac:dyDescent="0.3">
      <c r="A6561" t="str">
        <f>"0611862843100"</f>
        <v>0611862843100</v>
      </c>
      <c r="B6561" t="str">
        <f>"CN2278"</f>
        <v>CN2278</v>
      </c>
      <c r="C6561" t="s">
        <v>39972</v>
      </c>
      <c r="D6561" t="s">
        <v>27335</v>
      </c>
      <c r="E6561" t="str">
        <f t="shared" si="102"/>
        <v>001390</v>
      </c>
      <c r="F6561" t="s">
        <v>27246</v>
      </c>
      <c r="G6561" t="s">
        <v>27247</v>
      </c>
      <c r="H6561" t="s">
        <v>27248</v>
      </c>
      <c r="I6561" t="s">
        <v>39973</v>
      </c>
      <c r="J6561" t="s">
        <v>13110</v>
      </c>
      <c r="L6561" t="s">
        <v>27250</v>
      </c>
      <c r="M6561" t="s">
        <v>27251</v>
      </c>
      <c r="N6561" t="s">
        <v>27252</v>
      </c>
      <c r="Q6561" s="1">
        <v>44846</v>
      </c>
      <c r="R6561" t="s">
        <v>27253</v>
      </c>
      <c r="S6561" t="s">
        <v>27254</v>
      </c>
      <c r="T6561" t="s">
        <v>27255</v>
      </c>
    </row>
    <row r="6562" spans="1:20" x14ac:dyDescent="0.3">
      <c r="A6562" t="str">
        <f>"0611862844100"</f>
        <v>0611862844100</v>
      </c>
      <c r="B6562" t="str">
        <f>"CN2281"</f>
        <v>CN2281</v>
      </c>
      <c r="C6562" t="s">
        <v>39974</v>
      </c>
      <c r="D6562" t="s">
        <v>27335</v>
      </c>
      <c r="E6562" t="str">
        <f t="shared" si="102"/>
        <v>001390</v>
      </c>
      <c r="F6562" t="s">
        <v>27246</v>
      </c>
      <c r="G6562" t="s">
        <v>27247</v>
      </c>
      <c r="H6562" t="s">
        <v>27248</v>
      </c>
      <c r="I6562" t="s">
        <v>39975</v>
      </c>
      <c r="J6562" t="s">
        <v>13112</v>
      </c>
      <c r="L6562" t="s">
        <v>27250</v>
      </c>
      <c r="M6562" t="s">
        <v>27251</v>
      </c>
      <c r="N6562" t="s">
        <v>27252</v>
      </c>
      <c r="Q6562" s="1">
        <v>44846</v>
      </c>
      <c r="R6562" t="s">
        <v>27253</v>
      </c>
      <c r="S6562" t="s">
        <v>27254</v>
      </c>
      <c r="T6562" t="s">
        <v>27255</v>
      </c>
    </row>
    <row r="6563" spans="1:20" x14ac:dyDescent="0.3">
      <c r="A6563" t="str">
        <f>"0611862845100"</f>
        <v>0611862845100</v>
      </c>
      <c r="B6563" t="str">
        <f>"CN2297"</f>
        <v>CN2297</v>
      </c>
      <c r="C6563" t="s">
        <v>39976</v>
      </c>
      <c r="D6563" t="s">
        <v>27335</v>
      </c>
      <c r="E6563" t="str">
        <f t="shared" si="102"/>
        <v>001390</v>
      </c>
      <c r="F6563" t="s">
        <v>27246</v>
      </c>
      <c r="G6563" t="s">
        <v>27247</v>
      </c>
      <c r="H6563" t="s">
        <v>27248</v>
      </c>
      <c r="I6563" t="s">
        <v>39977</v>
      </c>
      <c r="J6563" t="s">
        <v>13114</v>
      </c>
      <c r="L6563" t="s">
        <v>27250</v>
      </c>
      <c r="M6563" t="s">
        <v>27251</v>
      </c>
      <c r="N6563" t="s">
        <v>27252</v>
      </c>
      <c r="Q6563" s="1">
        <v>44846</v>
      </c>
      <c r="R6563" t="s">
        <v>27253</v>
      </c>
      <c r="S6563" t="s">
        <v>27254</v>
      </c>
      <c r="T6563" t="s">
        <v>27255</v>
      </c>
    </row>
    <row r="6564" spans="1:20" x14ac:dyDescent="0.3">
      <c r="A6564" t="str">
        <f>"0611862846100"</f>
        <v>0611862846100</v>
      </c>
      <c r="B6564" t="str">
        <f>"CN2287"</f>
        <v>CN2287</v>
      </c>
      <c r="C6564" t="s">
        <v>39978</v>
      </c>
      <c r="D6564" t="s">
        <v>27335</v>
      </c>
      <c r="E6564" t="str">
        <f t="shared" si="102"/>
        <v>001390</v>
      </c>
      <c r="F6564" t="s">
        <v>27246</v>
      </c>
      <c r="G6564" t="s">
        <v>27247</v>
      </c>
      <c r="H6564" t="s">
        <v>27248</v>
      </c>
      <c r="I6564" t="s">
        <v>39979</v>
      </c>
      <c r="J6564" t="s">
        <v>13116</v>
      </c>
      <c r="L6564" t="s">
        <v>27250</v>
      </c>
      <c r="M6564" t="s">
        <v>27251</v>
      </c>
      <c r="N6564" t="s">
        <v>27252</v>
      </c>
      <c r="Q6564" s="1">
        <v>44846</v>
      </c>
      <c r="R6564" t="s">
        <v>27253</v>
      </c>
      <c r="S6564" t="s">
        <v>27254</v>
      </c>
      <c r="T6564" t="s">
        <v>27255</v>
      </c>
    </row>
    <row r="6565" spans="1:20" x14ac:dyDescent="0.3">
      <c r="A6565" t="str">
        <f>"0611862847100"</f>
        <v>0611862847100</v>
      </c>
      <c r="B6565" t="str">
        <f>"CN2286"</f>
        <v>CN2286</v>
      </c>
      <c r="C6565" t="s">
        <v>39980</v>
      </c>
      <c r="D6565" t="s">
        <v>27335</v>
      </c>
      <c r="E6565" t="str">
        <f t="shared" si="102"/>
        <v>001390</v>
      </c>
      <c r="F6565" t="s">
        <v>27246</v>
      </c>
      <c r="G6565" t="s">
        <v>27247</v>
      </c>
      <c r="H6565" t="s">
        <v>27248</v>
      </c>
      <c r="I6565" t="s">
        <v>39981</v>
      </c>
      <c r="J6565" t="s">
        <v>13118</v>
      </c>
      <c r="L6565" t="s">
        <v>27250</v>
      </c>
      <c r="M6565" t="s">
        <v>27251</v>
      </c>
      <c r="N6565" t="s">
        <v>27252</v>
      </c>
      <c r="Q6565" s="1">
        <v>44846</v>
      </c>
      <c r="R6565" t="s">
        <v>27253</v>
      </c>
      <c r="S6565" t="s">
        <v>27254</v>
      </c>
      <c r="T6565" t="s">
        <v>27255</v>
      </c>
    </row>
    <row r="6566" spans="1:20" x14ac:dyDescent="0.3">
      <c r="A6566" t="str">
        <f>"0611862848100"</f>
        <v>0611862848100</v>
      </c>
      <c r="B6566" t="str">
        <f>"CN2289"</f>
        <v>CN2289</v>
      </c>
      <c r="C6566" t="s">
        <v>39982</v>
      </c>
      <c r="D6566" t="s">
        <v>27335</v>
      </c>
      <c r="E6566" t="str">
        <f t="shared" si="102"/>
        <v>001390</v>
      </c>
      <c r="F6566" t="s">
        <v>27246</v>
      </c>
      <c r="G6566" t="s">
        <v>27247</v>
      </c>
      <c r="H6566" t="s">
        <v>27248</v>
      </c>
      <c r="I6566" t="s">
        <v>39983</v>
      </c>
      <c r="J6566" t="s">
        <v>13120</v>
      </c>
      <c r="L6566" t="s">
        <v>27250</v>
      </c>
      <c r="M6566" t="s">
        <v>27251</v>
      </c>
      <c r="N6566" t="s">
        <v>27252</v>
      </c>
      <c r="Q6566" s="1">
        <v>44846</v>
      </c>
      <c r="R6566" t="s">
        <v>27253</v>
      </c>
      <c r="S6566" t="s">
        <v>27254</v>
      </c>
      <c r="T6566" t="s">
        <v>27255</v>
      </c>
    </row>
    <row r="6567" spans="1:20" x14ac:dyDescent="0.3">
      <c r="A6567" t="str">
        <f>"0611862849100"</f>
        <v>0611862849100</v>
      </c>
      <c r="B6567" t="str">
        <f>"CN2288"</f>
        <v>CN2288</v>
      </c>
      <c r="C6567" t="s">
        <v>39984</v>
      </c>
      <c r="D6567" t="s">
        <v>27335</v>
      </c>
      <c r="E6567" t="str">
        <f t="shared" si="102"/>
        <v>001390</v>
      </c>
      <c r="F6567" t="s">
        <v>27246</v>
      </c>
      <c r="G6567" t="s">
        <v>27247</v>
      </c>
      <c r="H6567" t="s">
        <v>27248</v>
      </c>
      <c r="I6567" t="s">
        <v>39985</v>
      </c>
      <c r="J6567" t="s">
        <v>13122</v>
      </c>
      <c r="L6567" t="s">
        <v>27250</v>
      </c>
      <c r="M6567" t="s">
        <v>27251</v>
      </c>
      <c r="N6567" t="s">
        <v>27252</v>
      </c>
      <c r="Q6567" s="1">
        <v>44846</v>
      </c>
      <c r="R6567" t="s">
        <v>27253</v>
      </c>
      <c r="S6567" t="s">
        <v>27254</v>
      </c>
      <c r="T6567" t="s">
        <v>27255</v>
      </c>
    </row>
    <row r="6568" spans="1:20" x14ac:dyDescent="0.3">
      <c r="A6568" t="str">
        <f>"0611862850100"</f>
        <v>0611862850100</v>
      </c>
      <c r="B6568" t="str">
        <f>"CN2293"</f>
        <v>CN2293</v>
      </c>
      <c r="C6568" t="s">
        <v>39986</v>
      </c>
      <c r="D6568" t="s">
        <v>27339</v>
      </c>
      <c r="E6568" t="str">
        <f t="shared" si="102"/>
        <v>001390</v>
      </c>
      <c r="F6568" t="s">
        <v>27246</v>
      </c>
      <c r="G6568" t="s">
        <v>27247</v>
      </c>
      <c r="H6568" t="s">
        <v>27248</v>
      </c>
      <c r="I6568" t="s">
        <v>39987</v>
      </c>
      <c r="J6568" t="s">
        <v>13124</v>
      </c>
      <c r="L6568" t="s">
        <v>27250</v>
      </c>
      <c r="M6568" t="s">
        <v>27251</v>
      </c>
      <c r="N6568" t="s">
        <v>27252</v>
      </c>
      <c r="P6568" t="s">
        <v>27341</v>
      </c>
      <c r="Q6568" s="1">
        <v>44846</v>
      </c>
      <c r="R6568" t="s">
        <v>27253</v>
      </c>
      <c r="S6568" t="s">
        <v>27254</v>
      </c>
      <c r="T6568" t="s">
        <v>27255</v>
      </c>
    </row>
    <row r="6569" spans="1:20" x14ac:dyDescent="0.3">
      <c r="A6569" t="str">
        <f>"0611884270100"</f>
        <v>0611884270100</v>
      </c>
      <c r="B6569" t="str">
        <f>"CN2420"</f>
        <v>CN2420</v>
      </c>
      <c r="C6569" t="s">
        <v>39988</v>
      </c>
      <c r="D6569" t="s">
        <v>27339</v>
      </c>
      <c r="E6569" t="str">
        <f t="shared" si="102"/>
        <v>001390</v>
      </c>
      <c r="F6569" t="s">
        <v>27246</v>
      </c>
      <c r="G6569" t="s">
        <v>27247</v>
      </c>
      <c r="H6569" t="s">
        <v>27248</v>
      </c>
      <c r="I6569" t="s">
        <v>39989</v>
      </c>
      <c r="J6569" t="s">
        <v>13126</v>
      </c>
      <c r="L6569" t="s">
        <v>27430</v>
      </c>
      <c r="M6569" t="s">
        <v>27251</v>
      </c>
      <c r="N6569" t="s">
        <v>27252</v>
      </c>
      <c r="P6569" t="s">
        <v>27341</v>
      </c>
      <c r="Q6569" s="1">
        <v>45250</v>
      </c>
      <c r="R6569" t="s">
        <v>27253</v>
      </c>
      <c r="S6569" t="s">
        <v>27254</v>
      </c>
      <c r="T6569" t="s">
        <v>27255</v>
      </c>
    </row>
    <row r="6570" spans="1:20" x14ac:dyDescent="0.3">
      <c r="A6570" t="str">
        <f>"0611862851100"</f>
        <v>0611862851100</v>
      </c>
      <c r="B6570" t="str">
        <f>"CN2294"</f>
        <v>CN2294</v>
      </c>
      <c r="C6570" t="s">
        <v>39990</v>
      </c>
      <c r="D6570" t="s">
        <v>27339</v>
      </c>
      <c r="E6570" t="str">
        <f t="shared" si="102"/>
        <v>001390</v>
      </c>
      <c r="F6570" t="s">
        <v>27246</v>
      </c>
      <c r="G6570" t="s">
        <v>27247</v>
      </c>
      <c r="H6570" t="s">
        <v>27248</v>
      </c>
      <c r="I6570" t="s">
        <v>39991</v>
      </c>
      <c r="J6570" t="s">
        <v>13128</v>
      </c>
      <c r="L6570" t="s">
        <v>27250</v>
      </c>
      <c r="M6570" t="s">
        <v>27251</v>
      </c>
      <c r="N6570" t="s">
        <v>27252</v>
      </c>
      <c r="P6570" t="s">
        <v>27341</v>
      </c>
      <c r="Q6570" s="1">
        <v>44846</v>
      </c>
      <c r="R6570" t="s">
        <v>27253</v>
      </c>
      <c r="S6570" t="s">
        <v>27254</v>
      </c>
      <c r="T6570" t="s">
        <v>27255</v>
      </c>
    </row>
    <row r="6571" spans="1:20" x14ac:dyDescent="0.3">
      <c r="A6571" t="str">
        <f>"0611884271100"</f>
        <v>0611884271100</v>
      </c>
      <c r="B6571" t="str">
        <f>"CN2418"</f>
        <v>CN2418</v>
      </c>
      <c r="C6571" t="s">
        <v>39992</v>
      </c>
      <c r="D6571" t="s">
        <v>27339</v>
      </c>
      <c r="E6571" t="str">
        <f t="shared" si="102"/>
        <v>001390</v>
      </c>
      <c r="F6571" t="s">
        <v>27246</v>
      </c>
      <c r="G6571" t="s">
        <v>27247</v>
      </c>
      <c r="H6571" t="s">
        <v>27248</v>
      </c>
      <c r="I6571" t="s">
        <v>39993</v>
      </c>
      <c r="J6571" t="s">
        <v>13130</v>
      </c>
      <c r="L6571" t="s">
        <v>27430</v>
      </c>
      <c r="M6571" t="s">
        <v>27251</v>
      </c>
      <c r="N6571" t="s">
        <v>27252</v>
      </c>
      <c r="P6571" t="s">
        <v>27341</v>
      </c>
      <c r="Q6571" s="1">
        <v>45250</v>
      </c>
      <c r="R6571" t="s">
        <v>27253</v>
      </c>
      <c r="S6571" t="s">
        <v>27254</v>
      </c>
      <c r="T6571" t="s">
        <v>27255</v>
      </c>
    </row>
    <row r="6572" spans="1:20" x14ac:dyDescent="0.3">
      <c r="A6572" t="str">
        <f>"0611862852100"</f>
        <v>0611862852100</v>
      </c>
      <c r="B6572" t="str">
        <f>"CN2292"</f>
        <v>CN2292</v>
      </c>
      <c r="C6572" t="s">
        <v>39994</v>
      </c>
      <c r="D6572" t="s">
        <v>27339</v>
      </c>
      <c r="E6572" t="str">
        <f t="shared" si="102"/>
        <v>001390</v>
      </c>
      <c r="F6572" t="s">
        <v>27246</v>
      </c>
      <c r="G6572" t="s">
        <v>27247</v>
      </c>
      <c r="H6572" t="s">
        <v>27248</v>
      </c>
      <c r="I6572" t="s">
        <v>39995</v>
      </c>
      <c r="J6572" t="s">
        <v>13132</v>
      </c>
      <c r="L6572" t="s">
        <v>27250</v>
      </c>
      <c r="M6572" t="s">
        <v>27251</v>
      </c>
      <c r="N6572" t="s">
        <v>27252</v>
      </c>
      <c r="P6572" t="s">
        <v>27341</v>
      </c>
      <c r="Q6572" s="1">
        <v>44846</v>
      </c>
      <c r="R6572" t="s">
        <v>27253</v>
      </c>
      <c r="S6572" t="s">
        <v>27254</v>
      </c>
      <c r="T6572" t="s">
        <v>27255</v>
      </c>
    </row>
    <row r="6573" spans="1:20" x14ac:dyDescent="0.3">
      <c r="A6573" t="str">
        <f>"0611862853100"</f>
        <v>0611862853100</v>
      </c>
      <c r="B6573" t="str">
        <f>"CN2291"</f>
        <v>CN2291</v>
      </c>
      <c r="C6573" t="s">
        <v>39996</v>
      </c>
      <c r="D6573" t="s">
        <v>27339</v>
      </c>
      <c r="E6573" t="str">
        <f t="shared" si="102"/>
        <v>001390</v>
      </c>
      <c r="F6573" t="s">
        <v>27246</v>
      </c>
      <c r="G6573" t="s">
        <v>27247</v>
      </c>
      <c r="H6573" t="s">
        <v>27248</v>
      </c>
      <c r="I6573" t="s">
        <v>39997</v>
      </c>
      <c r="J6573" t="s">
        <v>13134</v>
      </c>
      <c r="L6573" t="s">
        <v>27250</v>
      </c>
      <c r="M6573" t="s">
        <v>27251</v>
      </c>
      <c r="N6573" t="s">
        <v>27252</v>
      </c>
      <c r="P6573" t="s">
        <v>27341</v>
      </c>
      <c r="Q6573" s="1">
        <v>44846</v>
      </c>
      <c r="R6573" t="s">
        <v>27253</v>
      </c>
      <c r="S6573" t="s">
        <v>27254</v>
      </c>
      <c r="T6573" t="s">
        <v>27255</v>
      </c>
    </row>
    <row r="6574" spans="1:20" x14ac:dyDescent="0.3">
      <c r="A6574" t="str">
        <f>"0611862854100"</f>
        <v>0611862854100</v>
      </c>
      <c r="B6574" t="str">
        <f>"CN2290"</f>
        <v>CN2290</v>
      </c>
      <c r="C6574" t="s">
        <v>39998</v>
      </c>
      <c r="D6574" t="s">
        <v>27339</v>
      </c>
      <c r="E6574" t="str">
        <f t="shared" si="102"/>
        <v>001390</v>
      </c>
      <c r="F6574" t="s">
        <v>27246</v>
      </c>
      <c r="G6574" t="s">
        <v>27247</v>
      </c>
      <c r="H6574" t="s">
        <v>27248</v>
      </c>
      <c r="I6574" t="s">
        <v>39999</v>
      </c>
      <c r="J6574" t="s">
        <v>13136</v>
      </c>
      <c r="L6574" t="s">
        <v>27250</v>
      </c>
      <c r="M6574" t="s">
        <v>27251</v>
      </c>
      <c r="N6574" t="s">
        <v>27252</v>
      </c>
      <c r="P6574" t="s">
        <v>27341</v>
      </c>
      <c r="Q6574" s="1">
        <v>44846</v>
      </c>
      <c r="R6574" t="s">
        <v>27253</v>
      </c>
      <c r="S6574" t="s">
        <v>27254</v>
      </c>
      <c r="T6574" t="s">
        <v>27255</v>
      </c>
    </row>
    <row r="6575" spans="1:20" x14ac:dyDescent="0.3">
      <c r="A6575" t="str">
        <f>"0611884272100"</f>
        <v>0611884272100</v>
      </c>
      <c r="B6575" t="str">
        <f>"CN2419"</f>
        <v>CN2419</v>
      </c>
      <c r="C6575" t="s">
        <v>40000</v>
      </c>
      <c r="D6575" t="s">
        <v>27335</v>
      </c>
      <c r="E6575" t="str">
        <f t="shared" si="102"/>
        <v>001390</v>
      </c>
      <c r="F6575" t="s">
        <v>27246</v>
      </c>
      <c r="G6575" t="s">
        <v>27247</v>
      </c>
      <c r="H6575" t="s">
        <v>27248</v>
      </c>
      <c r="I6575" t="s">
        <v>40001</v>
      </c>
      <c r="J6575" t="s">
        <v>13138</v>
      </c>
      <c r="L6575" t="s">
        <v>27430</v>
      </c>
      <c r="M6575" t="s">
        <v>27251</v>
      </c>
      <c r="N6575" t="s">
        <v>27252</v>
      </c>
      <c r="Q6575" s="1">
        <v>45250</v>
      </c>
      <c r="R6575" t="s">
        <v>27253</v>
      </c>
      <c r="S6575" t="s">
        <v>27254</v>
      </c>
      <c r="T6575" t="s">
        <v>27255</v>
      </c>
    </row>
    <row r="6576" spans="1:20" x14ac:dyDescent="0.3">
      <c r="A6576" t="str">
        <f>"0611862855100"</f>
        <v>0611862855100</v>
      </c>
      <c r="B6576" t="str">
        <f>"CN2195"</f>
        <v>CN2195</v>
      </c>
      <c r="C6576" t="s">
        <v>40002</v>
      </c>
      <c r="D6576" t="s">
        <v>27335</v>
      </c>
      <c r="E6576" t="str">
        <f t="shared" si="102"/>
        <v>001390</v>
      </c>
      <c r="F6576" t="s">
        <v>27246</v>
      </c>
      <c r="G6576" t="s">
        <v>27247</v>
      </c>
      <c r="H6576" t="s">
        <v>27248</v>
      </c>
      <c r="I6576" t="s">
        <v>40003</v>
      </c>
      <c r="J6576" t="s">
        <v>13140</v>
      </c>
      <c r="L6576" t="s">
        <v>27250</v>
      </c>
      <c r="M6576" t="s">
        <v>27251</v>
      </c>
      <c r="N6576" t="s">
        <v>27252</v>
      </c>
      <c r="Q6576" s="1">
        <v>44846</v>
      </c>
      <c r="R6576" t="s">
        <v>27253</v>
      </c>
      <c r="S6576" t="s">
        <v>27254</v>
      </c>
      <c r="T6576" t="s">
        <v>27255</v>
      </c>
    </row>
    <row r="6577" spans="1:20" x14ac:dyDescent="0.3">
      <c r="A6577" t="str">
        <f>"0611862856100"</f>
        <v>0611862856100</v>
      </c>
      <c r="B6577" t="str">
        <f>"CN2220"</f>
        <v>CN2220</v>
      </c>
      <c r="C6577" t="s">
        <v>40004</v>
      </c>
      <c r="D6577" t="s">
        <v>27335</v>
      </c>
      <c r="E6577" t="str">
        <f t="shared" si="102"/>
        <v>001390</v>
      </c>
      <c r="F6577" t="s">
        <v>27246</v>
      </c>
      <c r="G6577" t="s">
        <v>27247</v>
      </c>
      <c r="H6577" t="s">
        <v>27248</v>
      </c>
      <c r="I6577" t="s">
        <v>40005</v>
      </c>
      <c r="J6577" t="s">
        <v>13142</v>
      </c>
      <c r="L6577" t="s">
        <v>27250</v>
      </c>
      <c r="M6577" t="s">
        <v>27251</v>
      </c>
      <c r="N6577" t="s">
        <v>27252</v>
      </c>
      <c r="Q6577" s="1">
        <v>44846</v>
      </c>
      <c r="R6577" t="s">
        <v>27253</v>
      </c>
      <c r="S6577" t="s">
        <v>27254</v>
      </c>
      <c r="T6577" t="s">
        <v>27255</v>
      </c>
    </row>
    <row r="6578" spans="1:20" x14ac:dyDescent="0.3">
      <c r="A6578" t="str">
        <f>"0611862857100"</f>
        <v>0611862857100</v>
      </c>
      <c r="B6578" t="str">
        <f>"CN2229"</f>
        <v>CN2229</v>
      </c>
      <c r="C6578" t="s">
        <v>40006</v>
      </c>
      <c r="D6578" t="s">
        <v>27335</v>
      </c>
      <c r="E6578" t="str">
        <f t="shared" si="102"/>
        <v>001390</v>
      </c>
      <c r="F6578" t="s">
        <v>27246</v>
      </c>
      <c r="G6578" t="s">
        <v>27247</v>
      </c>
      <c r="H6578" t="s">
        <v>27248</v>
      </c>
      <c r="I6578" t="s">
        <v>40007</v>
      </c>
      <c r="J6578" t="s">
        <v>13144</v>
      </c>
      <c r="L6578" t="s">
        <v>27250</v>
      </c>
      <c r="M6578" t="s">
        <v>27251</v>
      </c>
      <c r="N6578" t="s">
        <v>27252</v>
      </c>
      <c r="Q6578" s="1">
        <v>44846</v>
      </c>
      <c r="R6578" t="s">
        <v>27253</v>
      </c>
      <c r="S6578" t="s">
        <v>27254</v>
      </c>
      <c r="T6578" t="s">
        <v>27255</v>
      </c>
    </row>
    <row r="6579" spans="1:20" x14ac:dyDescent="0.3">
      <c r="A6579" t="str">
        <f>"0611862858100"</f>
        <v>0611862858100</v>
      </c>
      <c r="B6579" t="str">
        <f>"CN2204"</f>
        <v>CN2204</v>
      </c>
      <c r="C6579" t="s">
        <v>40008</v>
      </c>
      <c r="D6579" t="s">
        <v>27335</v>
      </c>
      <c r="E6579" t="str">
        <f t="shared" si="102"/>
        <v>001390</v>
      </c>
      <c r="F6579" t="s">
        <v>27246</v>
      </c>
      <c r="G6579" t="s">
        <v>27247</v>
      </c>
      <c r="H6579" t="s">
        <v>27248</v>
      </c>
      <c r="I6579" t="s">
        <v>40009</v>
      </c>
      <c r="J6579" t="s">
        <v>13146</v>
      </c>
      <c r="L6579" t="s">
        <v>27250</v>
      </c>
      <c r="M6579" t="s">
        <v>27251</v>
      </c>
      <c r="N6579" t="s">
        <v>27252</v>
      </c>
      <c r="Q6579" s="1">
        <v>44846</v>
      </c>
      <c r="R6579" t="s">
        <v>27253</v>
      </c>
      <c r="S6579" t="s">
        <v>27254</v>
      </c>
      <c r="T6579" t="s">
        <v>27255</v>
      </c>
    </row>
    <row r="6580" spans="1:20" x14ac:dyDescent="0.3">
      <c r="A6580" t="str">
        <f>"0611862859100"</f>
        <v>0611862859100</v>
      </c>
      <c r="B6580" t="str">
        <f>"CN2396"</f>
        <v>CN2396</v>
      </c>
      <c r="C6580" t="s">
        <v>40010</v>
      </c>
      <c r="D6580" t="s">
        <v>27335</v>
      </c>
      <c r="E6580" t="str">
        <f t="shared" si="102"/>
        <v>001390</v>
      </c>
      <c r="F6580" t="s">
        <v>27246</v>
      </c>
      <c r="G6580" t="s">
        <v>27247</v>
      </c>
      <c r="H6580" t="s">
        <v>27248</v>
      </c>
      <c r="I6580" t="s">
        <v>40011</v>
      </c>
      <c r="J6580" t="s">
        <v>13148</v>
      </c>
      <c r="L6580" t="s">
        <v>27250</v>
      </c>
      <c r="M6580" t="s">
        <v>27251</v>
      </c>
      <c r="N6580" t="s">
        <v>27252</v>
      </c>
      <c r="Q6580" s="1">
        <v>44846</v>
      </c>
      <c r="R6580" t="s">
        <v>27253</v>
      </c>
      <c r="S6580" t="s">
        <v>27254</v>
      </c>
      <c r="T6580" t="s">
        <v>27255</v>
      </c>
    </row>
    <row r="6581" spans="1:20" x14ac:dyDescent="0.3">
      <c r="A6581" t="str">
        <f>"0611862860100"</f>
        <v>0611862860100</v>
      </c>
      <c r="B6581" t="str">
        <f>"CN2185"</f>
        <v>CN2185</v>
      </c>
      <c r="C6581" t="s">
        <v>40012</v>
      </c>
      <c r="D6581" t="s">
        <v>27335</v>
      </c>
      <c r="E6581" t="str">
        <f t="shared" si="102"/>
        <v>001390</v>
      </c>
      <c r="F6581" t="s">
        <v>27246</v>
      </c>
      <c r="G6581" t="s">
        <v>27247</v>
      </c>
      <c r="H6581" t="s">
        <v>27248</v>
      </c>
      <c r="I6581" t="s">
        <v>40013</v>
      </c>
      <c r="J6581" t="s">
        <v>13150</v>
      </c>
      <c r="L6581" t="s">
        <v>27250</v>
      </c>
      <c r="M6581" t="s">
        <v>27251</v>
      </c>
      <c r="N6581" t="s">
        <v>27252</v>
      </c>
      <c r="Q6581" s="1">
        <v>44846</v>
      </c>
      <c r="R6581" t="s">
        <v>27253</v>
      </c>
      <c r="S6581" t="s">
        <v>27254</v>
      </c>
      <c r="T6581" t="s">
        <v>27255</v>
      </c>
    </row>
    <row r="6582" spans="1:20" x14ac:dyDescent="0.3">
      <c r="A6582" t="str">
        <f>"0611862861100"</f>
        <v>0611862861100</v>
      </c>
      <c r="B6582" t="str">
        <f>"CN2193"</f>
        <v>CN2193</v>
      </c>
      <c r="C6582" t="s">
        <v>40014</v>
      </c>
      <c r="D6582" t="s">
        <v>27245</v>
      </c>
      <c r="E6582" t="str">
        <f t="shared" si="102"/>
        <v>001390</v>
      </c>
      <c r="F6582" t="s">
        <v>27246</v>
      </c>
      <c r="G6582" t="s">
        <v>27247</v>
      </c>
      <c r="H6582" t="s">
        <v>27248</v>
      </c>
      <c r="I6582" t="s">
        <v>40015</v>
      </c>
      <c r="J6582" t="s">
        <v>13152</v>
      </c>
      <c r="L6582" t="s">
        <v>27250</v>
      </c>
      <c r="M6582" t="s">
        <v>27251</v>
      </c>
      <c r="N6582" t="s">
        <v>27252</v>
      </c>
      <c r="Q6582" s="1">
        <v>44846</v>
      </c>
      <c r="R6582" t="s">
        <v>27253</v>
      </c>
      <c r="S6582" t="s">
        <v>27254</v>
      </c>
      <c r="T6582" t="s">
        <v>27255</v>
      </c>
    </row>
    <row r="6583" spans="1:20" x14ac:dyDescent="0.3">
      <c r="A6583" t="str">
        <f>"0611862862100"</f>
        <v>0611862862100</v>
      </c>
      <c r="B6583" t="str">
        <f>"CN2205"</f>
        <v>CN2205</v>
      </c>
      <c r="C6583" t="s">
        <v>40016</v>
      </c>
      <c r="D6583" t="s">
        <v>27335</v>
      </c>
      <c r="E6583" t="str">
        <f t="shared" si="102"/>
        <v>001390</v>
      </c>
      <c r="F6583" t="s">
        <v>27246</v>
      </c>
      <c r="G6583" t="s">
        <v>27247</v>
      </c>
      <c r="H6583" t="s">
        <v>27248</v>
      </c>
      <c r="I6583" t="s">
        <v>40017</v>
      </c>
      <c r="J6583" t="s">
        <v>13154</v>
      </c>
      <c r="L6583" t="s">
        <v>27250</v>
      </c>
      <c r="M6583" t="s">
        <v>27251</v>
      </c>
      <c r="N6583" t="s">
        <v>27252</v>
      </c>
      <c r="Q6583" s="1">
        <v>44846</v>
      </c>
      <c r="R6583" t="s">
        <v>27253</v>
      </c>
      <c r="S6583" t="s">
        <v>27254</v>
      </c>
      <c r="T6583" t="s">
        <v>27255</v>
      </c>
    </row>
    <row r="6584" spans="1:20" x14ac:dyDescent="0.3">
      <c r="A6584" t="str">
        <f>"0611862863100"</f>
        <v>0611862863100</v>
      </c>
      <c r="B6584" t="str">
        <f>"CN2201"</f>
        <v>CN2201</v>
      </c>
      <c r="C6584" t="s">
        <v>40018</v>
      </c>
      <c r="D6584" t="s">
        <v>27245</v>
      </c>
      <c r="E6584" t="str">
        <f t="shared" si="102"/>
        <v>001390</v>
      </c>
      <c r="F6584" t="s">
        <v>27246</v>
      </c>
      <c r="G6584" t="s">
        <v>27247</v>
      </c>
      <c r="H6584" t="s">
        <v>27248</v>
      </c>
      <c r="I6584" t="s">
        <v>40019</v>
      </c>
      <c r="J6584" t="s">
        <v>13156</v>
      </c>
      <c r="L6584" t="s">
        <v>27250</v>
      </c>
      <c r="M6584" t="s">
        <v>27251</v>
      </c>
      <c r="N6584" t="s">
        <v>27252</v>
      </c>
      <c r="Q6584" s="1">
        <v>44846</v>
      </c>
      <c r="R6584" t="s">
        <v>27253</v>
      </c>
      <c r="S6584" t="s">
        <v>27254</v>
      </c>
      <c r="T6584" t="s">
        <v>27255</v>
      </c>
    </row>
    <row r="6585" spans="1:20" x14ac:dyDescent="0.3">
      <c r="A6585" t="str">
        <f>"0611862864100"</f>
        <v>0611862864100</v>
      </c>
      <c r="B6585" t="str">
        <f>"CN2206"</f>
        <v>CN2206</v>
      </c>
      <c r="C6585" t="s">
        <v>40020</v>
      </c>
      <c r="D6585" t="s">
        <v>27335</v>
      </c>
      <c r="E6585" t="str">
        <f t="shared" si="102"/>
        <v>001390</v>
      </c>
      <c r="F6585" t="s">
        <v>27246</v>
      </c>
      <c r="G6585" t="s">
        <v>27247</v>
      </c>
      <c r="H6585" t="s">
        <v>27248</v>
      </c>
      <c r="I6585" t="s">
        <v>40021</v>
      </c>
      <c r="J6585" t="s">
        <v>13158</v>
      </c>
      <c r="L6585" t="s">
        <v>27250</v>
      </c>
      <c r="M6585" t="s">
        <v>27251</v>
      </c>
      <c r="N6585" t="s">
        <v>27252</v>
      </c>
      <c r="Q6585" s="1">
        <v>44846</v>
      </c>
      <c r="R6585" t="s">
        <v>27253</v>
      </c>
      <c r="S6585" t="s">
        <v>27254</v>
      </c>
      <c r="T6585" t="s">
        <v>27255</v>
      </c>
    </row>
    <row r="6586" spans="1:20" x14ac:dyDescent="0.3">
      <c r="A6586" t="str">
        <f>"0611862865100"</f>
        <v>0611862865100</v>
      </c>
      <c r="B6586" t="str">
        <f>"CN2199"</f>
        <v>CN2199</v>
      </c>
      <c r="C6586" t="s">
        <v>40022</v>
      </c>
      <c r="D6586" t="s">
        <v>27245</v>
      </c>
      <c r="E6586" t="str">
        <f t="shared" si="102"/>
        <v>001390</v>
      </c>
      <c r="F6586" t="s">
        <v>27246</v>
      </c>
      <c r="G6586" t="s">
        <v>27247</v>
      </c>
      <c r="H6586" t="s">
        <v>27248</v>
      </c>
      <c r="I6586" t="s">
        <v>40023</v>
      </c>
      <c r="J6586" t="s">
        <v>13160</v>
      </c>
      <c r="L6586" t="s">
        <v>27250</v>
      </c>
      <c r="M6586" t="s">
        <v>27251</v>
      </c>
      <c r="N6586" t="s">
        <v>27252</v>
      </c>
      <c r="Q6586" s="1">
        <v>44846</v>
      </c>
      <c r="R6586" t="s">
        <v>27253</v>
      </c>
      <c r="S6586" t="s">
        <v>27254</v>
      </c>
      <c r="T6586" t="s">
        <v>27255</v>
      </c>
    </row>
    <row r="6587" spans="1:20" x14ac:dyDescent="0.3">
      <c r="A6587" t="str">
        <f>"0611862866100"</f>
        <v>0611862866100</v>
      </c>
      <c r="B6587" t="str">
        <f>"CN2152"</f>
        <v>CN2152</v>
      </c>
      <c r="C6587" t="s">
        <v>40024</v>
      </c>
      <c r="D6587" t="s">
        <v>27245</v>
      </c>
      <c r="E6587" t="str">
        <f t="shared" si="102"/>
        <v>001390</v>
      </c>
      <c r="F6587" t="s">
        <v>27246</v>
      </c>
      <c r="G6587" t="s">
        <v>27247</v>
      </c>
      <c r="H6587" t="s">
        <v>27248</v>
      </c>
      <c r="I6587" t="s">
        <v>40025</v>
      </c>
      <c r="J6587" t="s">
        <v>13162</v>
      </c>
      <c r="L6587" t="s">
        <v>27250</v>
      </c>
      <c r="M6587" t="s">
        <v>27251</v>
      </c>
      <c r="N6587" t="s">
        <v>27252</v>
      </c>
      <c r="Q6587" s="1">
        <v>44846</v>
      </c>
      <c r="R6587" t="s">
        <v>27253</v>
      </c>
      <c r="S6587" t="s">
        <v>27254</v>
      </c>
      <c r="T6587" t="s">
        <v>27255</v>
      </c>
    </row>
    <row r="6588" spans="1:20" x14ac:dyDescent="0.3">
      <c r="A6588" t="str">
        <f>"0611835901100"</f>
        <v>0611835901100</v>
      </c>
      <c r="B6588" t="str">
        <f>"LG8037"</f>
        <v>LG8037</v>
      </c>
      <c r="C6588" t="s">
        <v>40026</v>
      </c>
      <c r="D6588" t="s">
        <v>27245</v>
      </c>
      <c r="E6588" t="str">
        <f t="shared" si="102"/>
        <v>001390</v>
      </c>
      <c r="F6588" t="s">
        <v>27246</v>
      </c>
      <c r="G6588" t="s">
        <v>27247</v>
      </c>
      <c r="H6588" t="s">
        <v>27248</v>
      </c>
      <c r="I6588" t="s">
        <v>40027</v>
      </c>
      <c r="J6588" t="s">
        <v>13164</v>
      </c>
      <c r="L6588" t="s">
        <v>27250</v>
      </c>
      <c r="M6588" t="s">
        <v>27251</v>
      </c>
      <c r="N6588" t="s">
        <v>27252</v>
      </c>
      <c r="Q6588" s="1">
        <v>44538</v>
      </c>
      <c r="R6588" t="s">
        <v>27253</v>
      </c>
      <c r="S6588" t="s">
        <v>27254</v>
      </c>
      <c r="T6588" t="s">
        <v>27255</v>
      </c>
    </row>
    <row r="6589" spans="1:20" x14ac:dyDescent="0.3">
      <c r="A6589" t="str">
        <f>"0611884273100"</f>
        <v>0611884273100</v>
      </c>
      <c r="B6589" t="str">
        <f>"LF9106"</f>
        <v>LF9106</v>
      </c>
      <c r="C6589" t="s">
        <v>40028</v>
      </c>
      <c r="D6589" t="s">
        <v>27245</v>
      </c>
      <c r="E6589" t="str">
        <f t="shared" si="102"/>
        <v>001390</v>
      </c>
      <c r="F6589" t="s">
        <v>27246</v>
      </c>
      <c r="G6589" t="s">
        <v>27247</v>
      </c>
      <c r="H6589" t="s">
        <v>27248</v>
      </c>
      <c r="I6589" t="s">
        <v>40029</v>
      </c>
      <c r="J6589" t="s">
        <v>13166</v>
      </c>
      <c r="L6589" t="s">
        <v>27430</v>
      </c>
      <c r="M6589" t="s">
        <v>27251</v>
      </c>
      <c r="N6589" t="s">
        <v>27252</v>
      </c>
      <c r="Q6589" s="1">
        <v>45250</v>
      </c>
      <c r="R6589" t="s">
        <v>27253</v>
      </c>
      <c r="S6589" t="s">
        <v>27254</v>
      </c>
      <c r="T6589" t="s">
        <v>27255</v>
      </c>
    </row>
    <row r="6590" spans="1:20" x14ac:dyDescent="0.3">
      <c r="A6590" t="str">
        <f>"0611862867100"</f>
        <v>0611862867100</v>
      </c>
      <c r="B6590" t="str">
        <f>"CN2191"</f>
        <v>CN2191</v>
      </c>
      <c r="C6590" t="s">
        <v>40030</v>
      </c>
      <c r="D6590" t="s">
        <v>27245</v>
      </c>
      <c r="E6590" t="str">
        <f t="shared" si="102"/>
        <v>001390</v>
      </c>
      <c r="F6590" t="s">
        <v>27246</v>
      </c>
      <c r="G6590" t="s">
        <v>27247</v>
      </c>
      <c r="H6590" t="s">
        <v>27248</v>
      </c>
      <c r="I6590" t="s">
        <v>40031</v>
      </c>
      <c r="J6590" t="s">
        <v>13168</v>
      </c>
      <c r="L6590" t="s">
        <v>27250</v>
      </c>
      <c r="M6590" t="s">
        <v>27251</v>
      </c>
      <c r="N6590" t="s">
        <v>27252</v>
      </c>
      <c r="Q6590" s="1">
        <v>44846</v>
      </c>
      <c r="R6590" t="s">
        <v>27253</v>
      </c>
      <c r="S6590" t="s">
        <v>27254</v>
      </c>
      <c r="T6590" t="s">
        <v>27255</v>
      </c>
    </row>
    <row r="6591" spans="1:20" x14ac:dyDescent="0.3">
      <c r="A6591" t="str">
        <f>"0611862868100"</f>
        <v>0611862868100</v>
      </c>
      <c r="B6591" t="str">
        <f>"CN2153"</f>
        <v>CN2153</v>
      </c>
      <c r="C6591" t="s">
        <v>40032</v>
      </c>
      <c r="D6591" t="s">
        <v>27335</v>
      </c>
      <c r="E6591" t="str">
        <f t="shared" si="102"/>
        <v>001390</v>
      </c>
      <c r="F6591" t="s">
        <v>27246</v>
      </c>
      <c r="G6591" t="s">
        <v>27247</v>
      </c>
      <c r="H6591" t="s">
        <v>27248</v>
      </c>
      <c r="I6591" t="s">
        <v>40033</v>
      </c>
      <c r="J6591" t="s">
        <v>13170</v>
      </c>
      <c r="L6591" t="s">
        <v>27250</v>
      </c>
      <c r="M6591" t="s">
        <v>27251</v>
      </c>
      <c r="N6591" t="s">
        <v>27252</v>
      </c>
      <c r="Q6591" s="1">
        <v>44846</v>
      </c>
      <c r="R6591" t="s">
        <v>27253</v>
      </c>
      <c r="S6591" t="s">
        <v>27254</v>
      </c>
      <c r="T6591" t="s">
        <v>27255</v>
      </c>
    </row>
    <row r="6592" spans="1:20" x14ac:dyDescent="0.3">
      <c r="A6592" t="str">
        <f>"0611862869100"</f>
        <v>0611862869100</v>
      </c>
      <c r="B6592" t="str">
        <f>"CN2398"</f>
        <v>CN2398</v>
      </c>
      <c r="C6592" t="s">
        <v>40034</v>
      </c>
      <c r="D6592" t="s">
        <v>27335</v>
      </c>
      <c r="E6592" t="str">
        <f t="shared" si="102"/>
        <v>001390</v>
      </c>
      <c r="F6592" t="s">
        <v>27246</v>
      </c>
      <c r="G6592" t="s">
        <v>27247</v>
      </c>
      <c r="H6592" t="s">
        <v>27248</v>
      </c>
      <c r="I6592" t="s">
        <v>40035</v>
      </c>
      <c r="J6592" t="s">
        <v>13172</v>
      </c>
      <c r="L6592" t="s">
        <v>27250</v>
      </c>
      <c r="M6592" t="s">
        <v>27251</v>
      </c>
      <c r="N6592" t="s">
        <v>27252</v>
      </c>
      <c r="Q6592" s="1">
        <v>44846</v>
      </c>
      <c r="R6592" t="s">
        <v>27253</v>
      </c>
      <c r="S6592" t="s">
        <v>27254</v>
      </c>
      <c r="T6592" t="s">
        <v>27255</v>
      </c>
    </row>
    <row r="6593" spans="1:20" x14ac:dyDescent="0.3">
      <c r="A6593" t="str">
        <f>"0611835903100"</f>
        <v>0611835903100</v>
      </c>
      <c r="B6593" t="str">
        <f>"LG8038"</f>
        <v>LG8038</v>
      </c>
      <c r="C6593" t="s">
        <v>40036</v>
      </c>
      <c r="D6593" t="s">
        <v>27245</v>
      </c>
      <c r="E6593" t="str">
        <f t="shared" si="102"/>
        <v>001390</v>
      </c>
      <c r="F6593" t="s">
        <v>27246</v>
      </c>
      <c r="G6593" t="s">
        <v>27247</v>
      </c>
      <c r="H6593" t="s">
        <v>27248</v>
      </c>
      <c r="I6593" t="s">
        <v>40037</v>
      </c>
      <c r="J6593" t="s">
        <v>13174</v>
      </c>
      <c r="L6593" t="s">
        <v>27250</v>
      </c>
      <c r="M6593" t="s">
        <v>27251</v>
      </c>
      <c r="N6593" t="s">
        <v>27252</v>
      </c>
      <c r="Q6593" s="1">
        <v>44538</v>
      </c>
      <c r="R6593" t="s">
        <v>27253</v>
      </c>
      <c r="S6593" t="s">
        <v>27254</v>
      </c>
      <c r="T6593" t="s">
        <v>27255</v>
      </c>
    </row>
    <row r="6594" spans="1:20" x14ac:dyDescent="0.3">
      <c r="A6594" t="str">
        <f>"0611862870100"</f>
        <v>0611862870100</v>
      </c>
      <c r="B6594" t="str">
        <f>"CN2197"</f>
        <v>CN2197</v>
      </c>
      <c r="C6594" t="s">
        <v>40038</v>
      </c>
      <c r="D6594" t="s">
        <v>27335</v>
      </c>
      <c r="E6594" t="str">
        <f t="shared" ref="E6594:E6657" si="103">"001390"</f>
        <v>001390</v>
      </c>
      <c r="F6594" t="s">
        <v>27246</v>
      </c>
      <c r="G6594" t="s">
        <v>27247</v>
      </c>
      <c r="H6594" t="s">
        <v>27248</v>
      </c>
      <c r="I6594" t="s">
        <v>40039</v>
      </c>
      <c r="J6594" t="s">
        <v>13176</v>
      </c>
      <c r="L6594" t="s">
        <v>27250</v>
      </c>
      <c r="M6594" t="s">
        <v>27251</v>
      </c>
      <c r="N6594" t="s">
        <v>27252</v>
      </c>
      <c r="Q6594" s="1">
        <v>44846</v>
      </c>
      <c r="R6594" t="s">
        <v>27253</v>
      </c>
      <c r="S6594" t="s">
        <v>27254</v>
      </c>
      <c r="T6594" t="s">
        <v>27255</v>
      </c>
    </row>
    <row r="6595" spans="1:20" x14ac:dyDescent="0.3">
      <c r="A6595" t="str">
        <f>"0611862871100"</f>
        <v>0611862871100</v>
      </c>
      <c r="B6595" t="str">
        <f>"CN2154"</f>
        <v>CN2154</v>
      </c>
      <c r="C6595" t="s">
        <v>40040</v>
      </c>
      <c r="D6595" t="s">
        <v>27335</v>
      </c>
      <c r="E6595" t="str">
        <f t="shared" si="103"/>
        <v>001390</v>
      </c>
      <c r="F6595" t="s">
        <v>27246</v>
      </c>
      <c r="G6595" t="s">
        <v>27247</v>
      </c>
      <c r="H6595" t="s">
        <v>27248</v>
      </c>
      <c r="I6595" t="s">
        <v>40041</v>
      </c>
      <c r="J6595" t="s">
        <v>13178</v>
      </c>
      <c r="L6595" t="s">
        <v>27250</v>
      </c>
      <c r="M6595" t="s">
        <v>27251</v>
      </c>
      <c r="N6595" t="s">
        <v>27252</v>
      </c>
      <c r="Q6595" s="1">
        <v>44846</v>
      </c>
      <c r="R6595" t="s">
        <v>27253</v>
      </c>
      <c r="S6595" t="s">
        <v>27254</v>
      </c>
      <c r="T6595" t="s">
        <v>27255</v>
      </c>
    </row>
    <row r="6596" spans="1:20" x14ac:dyDescent="0.3">
      <c r="A6596" t="str">
        <f>"0611862872100"</f>
        <v>0611862872100</v>
      </c>
      <c r="B6596" t="str">
        <f>"CN2274"</f>
        <v>CN2274</v>
      </c>
      <c r="C6596" t="s">
        <v>40042</v>
      </c>
      <c r="D6596" t="s">
        <v>27335</v>
      </c>
      <c r="E6596" t="str">
        <f t="shared" si="103"/>
        <v>001390</v>
      </c>
      <c r="F6596" t="s">
        <v>27246</v>
      </c>
      <c r="G6596" t="s">
        <v>27247</v>
      </c>
      <c r="H6596" t="s">
        <v>27248</v>
      </c>
      <c r="I6596" t="s">
        <v>40043</v>
      </c>
      <c r="J6596" t="s">
        <v>13180</v>
      </c>
      <c r="L6596" t="s">
        <v>27250</v>
      </c>
      <c r="M6596" t="s">
        <v>27251</v>
      </c>
      <c r="N6596" t="s">
        <v>27252</v>
      </c>
      <c r="Q6596" s="1">
        <v>44846</v>
      </c>
      <c r="R6596" t="s">
        <v>27253</v>
      </c>
      <c r="S6596" t="s">
        <v>27254</v>
      </c>
      <c r="T6596" t="s">
        <v>27255</v>
      </c>
    </row>
    <row r="6597" spans="1:20" x14ac:dyDescent="0.3">
      <c r="A6597" t="str">
        <f>"0611862873100"</f>
        <v>0611862873100</v>
      </c>
      <c r="B6597" t="str">
        <f>"CN2155"</f>
        <v>CN2155</v>
      </c>
      <c r="C6597" t="s">
        <v>40044</v>
      </c>
      <c r="D6597" t="s">
        <v>27335</v>
      </c>
      <c r="E6597" t="str">
        <f t="shared" si="103"/>
        <v>001390</v>
      </c>
      <c r="F6597" t="s">
        <v>27246</v>
      </c>
      <c r="G6597" t="s">
        <v>27247</v>
      </c>
      <c r="H6597" t="s">
        <v>27248</v>
      </c>
      <c r="I6597" t="s">
        <v>40045</v>
      </c>
      <c r="J6597" t="s">
        <v>13182</v>
      </c>
      <c r="L6597" t="s">
        <v>27250</v>
      </c>
      <c r="M6597" t="s">
        <v>27251</v>
      </c>
      <c r="N6597" t="s">
        <v>27252</v>
      </c>
      <c r="Q6597" s="1">
        <v>44846</v>
      </c>
      <c r="R6597" t="s">
        <v>27253</v>
      </c>
      <c r="S6597" t="s">
        <v>27254</v>
      </c>
      <c r="T6597" t="s">
        <v>27255</v>
      </c>
    </row>
    <row r="6598" spans="1:20" x14ac:dyDescent="0.3">
      <c r="A6598" t="str">
        <f>"0611862874100"</f>
        <v>0611862874100</v>
      </c>
      <c r="B6598" t="str">
        <f>"CN2156"</f>
        <v>CN2156</v>
      </c>
      <c r="C6598" t="s">
        <v>40046</v>
      </c>
      <c r="D6598" t="s">
        <v>27335</v>
      </c>
      <c r="E6598" t="str">
        <f t="shared" si="103"/>
        <v>001390</v>
      </c>
      <c r="F6598" t="s">
        <v>27246</v>
      </c>
      <c r="G6598" t="s">
        <v>27247</v>
      </c>
      <c r="H6598" t="s">
        <v>27248</v>
      </c>
      <c r="I6598" t="s">
        <v>40047</v>
      </c>
      <c r="J6598" t="s">
        <v>13184</v>
      </c>
      <c r="L6598" t="s">
        <v>27250</v>
      </c>
      <c r="M6598" t="s">
        <v>27251</v>
      </c>
      <c r="N6598" t="s">
        <v>27252</v>
      </c>
      <c r="Q6598" s="1">
        <v>44846</v>
      </c>
      <c r="R6598" t="s">
        <v>27253</v>
      </c>
      <c r="S6598" t="s">
        <v>27254</v>
      </c>
      <c r="T6598" t="s">
        <v>27255</v>
      </c>
    </row>
    <row r="6599" spans="1:20" x14ac:dyDescent="0.3">
      <c r="A6599" t="str">
        <f>"0611862875100"</f>
        <v>0611862875100</v>
      </c>
      <c r="B6599" t="str">
        <f>"CN2221"</f>
        <v>CN2221</v>
      </c>
      <c r="C6599" t="s">
        <v>40048</v>
      </c>
      <c r="D6599" t="s">
        <v>27335</v>
      </c>
      <c r="E6599" t="str">
        <f t="shared" si="103"/>
        <v>001390</v>
      </c>
      <c r="F6599" t="s">
        <v>27246</v>
      </c>
      <c r="G6599" t="s">
        <v>27247</v>
      </c>
      <c r="H6599" t="s">
        <v>27248</v>
      </c>
      <c r="I6599" t="s">
        <v>40049</v>
      </c>
      <c r="J6599" t="s">
        <v>13186</v>
      </c>
      <c r="L6599" t="s">
        <v>27250</v>
      </c>
      <c r="M6599" t="s">
        <v>27251</v>
      </c>
      <c r="N6599" t="s">
        <v>27252</v>
      </c>
      <c r="Q6599" s="1">
        <v>44846</v>
      </c>
      <c r="R6599" t="s">
        <v>27253</v>
      </c>
      <c r="S6599" t="s">
        <v>27254</v>
      </c>
      <c r="T6599" t="s">
        <v>27255</v>
      </c>
    </row>
    <row r="6600" spans="1:20" x14ac:dyDescent="0.3">
      <c r="A6600" t="str">
        <f>"0611857008100"</f>
        <v>0611857008100</v>
      </c>
      <c r="B6600" t="str">
        <f>"LG4105"</f>
        <v>LG4105</v>
      </c>
      <c r="C6600" t="s">
        <v>40050</v>
      </c>
      <c r="D6600" t="s">
        <v>27245</v>
      </c>
      <c r="E6600" t="str">
        <f t="shared" si="103"/>
        <v>001390</v>
      </c>
      <c r="F6600" t="s">
        <v>27246</v>
      </c>
      <c r="G6600" t="s">
        <v>27247</v>
      </c>
      <c r="H6600" t="s">
        <v>27248</v>
      </c>
      <c r="I6600" t="s">
        <v>40051</v>
      </c>
      <c r="J6600" t="s">
        <v>13188</v>
      </c>
      <c r="L6600" t="s">
        <v>27250</v>
      </c>
      <c r="M6600" t="s">
        <v>27251</v>
      </c>
      <c r="N6600" t="s">
        <v>27252</v>
      </c>
      <c r="Q6600" s="1">
        <v>44812</v>
      </c>
      <c r="R6600" t="s">
        <v>27253</v>
      </c>
      <c r="S6600" t="s">
        <v>27254</v>
      </c>
      <c r="T6600" t="s">
        <v>27255</v>
      </c>
    </row>
    <row r="6601" spans="1:20" x14ac:dyDescent="0.3">
      <c r="A6601" t="str">
        <f>"0611835904100"</f>
        <v>0611835904100</v>
      </c>
      <c r="B6601" t="str">
        <f>"LK0212"</f>
        <v>LK0212</v>
      </c>
      <c r="C6601" t="s">
        <v>40052</v>
      </c>
      <c r="D6601" t="s">
        <v>27245</v>
      </c>
      <c r="E6601" t="str">
        <f t="shared" si="103"/>
        <v>001390</v>
      </c>
      <c r="F6601" t="s">
        <v>27246</v>
      </c>
      <c r="G6601" t="s">
        <v>27247</v>
      </c>
      <c r="H6601" t="s">
        <v>27248</v>
      </c>
      <c r="I6601" t="s">
        <v>40053</v>
      </c>
      <c r="J6601" t="s">
        <v>13188</v>
      </c>
      <c r="L6601" t="s">
        <v>27250</v>
      </c>
      <c r="M6601" t="s">
        <v>27251</v>
      </c>
      <c r="N6601" t="s">
        <v>27252</v>
      </c>
      <c r="Q6601" s="1">
        <v>44538</v>
      </c>
      <c r="R6601" t="s">
        <v>27253</v>
      </c>
      <c r="S6601" t="s">
        <v>27254</v>
      </c>
      <c r="T6601" t="s">
        <v>27255</v>
      </c>
    </row>
    <row r="6602" spans="1:20" x14ac:dyDescent="0.3">
      <c r="A6602" t="str">
        <f>"0611862876100"</f>
        <v>0611862876100</v>
      </c>
      <c r="B6602" t="str">
        <f>"CN2295"</f>
        <v>CN2295</v>
      </c>
      <c r="C6602" t="s">
        <v>40054</v>
      </c>
      <c r="D6602" t="s">
        <v>27335</v>
      </c>
      <c r="E6602" t="str">
        <f t="shared" si="103"/>
        <v>001390</v>
      </c>
      <c r="F6602" t="s">
        <v>27246</v>
      </c>
      <c r="G6602" t="s">
        <v>27247</v>
      </c>
      <c r="H6602" t="s">
        <v>27248</v>
      </c>
      <c r="I6602" t="s">
        <v>40055</v>
      </c>
      <c r="J6602" t="s">
        <v>13195</v>
      </c>
      <c r="L6602" t="s">
        <v>27250</v>
      </c>
      <c r="M6602" t="s">
        <v>27251</v>
      </c>
      <c r="N6602" t="s">
        <v>27252</v>
      </c>
      <c r="Q6602" s="1">
        <v>44846</v>
      </c>
      <c r="R6602" t="s">
        <v>27253</v>
      </c>
      <c r="S6602" t="s">
        <v>27254</v>
      </c>
      <c r="T6602" t="s">
        <v>27255</v>
      </c>
    </row>
    <row r="6603" spans="1:20" x14ac:dyDescent="0.3">
      <c r="A6603" t="str">
        <f>"0611862877100"</f>
        <v>0611862877100</v>
      </c>
      <c r="B6603" t="str">
        <f>"CN2157"</f>
        <v>CN2157</v>
      </c>
      <c r="C6603" t="s">
        <v>40056</v>
      </c>
      <c r="D6603" t="s">
        <v>27335</v>
      </c>
      <c r="E6603" t="str">
        <f t="shared" si="103"/>
        <v>001390</v>
      </c>
      <c r="F6603" t="s">
        <v>27246</v>
      </c>
      <c r="G6603" t="s">
        <v>27247</v>
      </c>
      <c r="H6603" t="s">
        <v>27248</v>
      </c>
      <c r="I6603" t="s">
        <v>40057</v>
      </c>
      <c r="J6603" t="s">
        <v>13197</v>
      </c>
      <c r="L6603" t="s">
        <v>27250</v>
      </c>
      <c r="M6603" t="s">
        <v>27251</v>
      </c>
      <c r="N6603" t="s">
        <v>27252</v>
      </c>
      <c r="Q6603" s="1">
        <v>44846</v>
      </c>
      <c r="R6603" t="s">
        <v>27253</v>
      </c>
      <c r="S6603" t="s">
        <v>27254</v>
      </c>
      <c r="T6603" t="s">
        <v>27255</v>
      </c>
    </row>
    <row r="6604" spans="1:20" x14ac:dyDescent="0.3">
      <c r="A6604" t="str">
        <f>"0611862878100"</f>
        <v>0611862878100</v>
      </c>
      <c r="B6604" t="str">
        <f>"CN2207"</f>
        <v>CN2207</v>
      </c>
      <c r="C6604" t="s">
        <v>40058</v>
      </c>
      <c r="D6604" t="s">
        <v>27335</v>
      </c>
      <c r="E6604" t="str">
        <f t="shared" si="103"/>
        <v>001390</v>
      </c>
      <c r="F6604" t="s">
        <v>27246</v>
      </c>
      <c r="G6604" t="s">
        <v>27247</v>
      </c>
      <c r="H6604" t="s">
        <v>27248</v>
      </c>
      <c r="I6604" t="s">
        <v>40059</v>
      </c>
      <c r="J6604" t="s">
        <v>13199</v>
      </c>
      <c r="L6604" t="s">
        <v>27250</v>
      </c>
      <c r="M6604" t="s">
        <v>27251</v>
      </c>
      <c r="N6604" t="s">
        <v>27252</v>
      </c>
      <c r="Q6604" s="1">
        <v>44846</v>
      </c>
      <c r="R6604" t="s">
        <v>27253</v>
      </c>
      <c r="S6604" t="s">
        <v>27254</v>
      </c>
      <c r="T6604" t="s">
        <v>27255</v>
      </c>
    </row>
    <row r="6605" spans="1:20" x14ac:dyDescent="0.3">
      <c r="A6605" t="str">
        <f>"0611862879100"</f>
        <v>0611862879100</v>
      </c>
      <c r="B6605" t="str">
        <f>"CN2158"</f>
        <v>CN2158</v>
      </c>
      <c r="C6605" t="s">
        <v>40060</v>
      </c>
      <c r="D6605" t="s">
        <v>27335</v>
      </c>
      <c r="E6605" t="str">
        <f t="shared" si="103"/>
        <v>001390</v>
      </c>
      <c r="F6605" t="s">
        <v>27246</v>
      </c>
      <c r="G6605" t="s">
        <v>27247</v>
      </c>
      <c r="H6605" t="s">
        <v>27248</v>
      </c>
      <c r="I6605" t="s">
        <v>40061</v>
      </c>
      <c r="J6605" t="s">
        <v>13201</v>
      </c>
      <c r="L6605" t="s">
        <v>27250</v>
      </c>
      <c r="M6605" t="s">
        <v>27251</v>
      </c>
      <c r="N6605" t="s">
        <v>27252</v>
      </c>
      <c r="Q6605" s="1">
        <v>44846</v>
      </c>
      <c r="R6605" t="s">
        <v>27253</v>
      </c>
      <c r="S6605" t="s">
        <v>27254</v>
      </c>
      <c r="T6605" t="s">
        <v>27255</v>
      </c>
    </row>
    <row r="6606" spans="1:20" x14ac:dyDescent="0.3">
      <c r="A6606" t="str">
        <f>"0611884274100"</f>
        <v>0611884274100</v>
      </c>
      <c r="B6606" t="str">
        <f>"LG1002"</f>
        <v>LG1002</v>
      </c>
      <c r="C6606" t="s">
        <v>40062</v>
      </c>
      <c r="D6606" t="s">
        <v>27245</v>
      </c>
      <c r="E6606" t="str">
        <f t="shared" si="103"/>
        <v>001390</v>
      </c>
      <c r="F6606" t="s">
        <v>27246</v>
      </c>
      <c r="G6606" t="s">
        <v>27247</v>
      </c>
      <c r="H6606" t="s">
        <v>27248</v>
      </c>
      <c r="I6606" t="s">
        <v>40063</v>
      </c>
      <c r="J6606" t="s">
        <v>13203</v>
      </c>
      <c r="L6606" t="s">
        <v>27430</v>
      </c>
      <c r="M6606" t="s">
        <v>27251</v>
      </c>
      <c r="N6606" t="s">
        <v>27252</v>
      </c>
      <c r="Q6606" s="1">
        <v>45250</v>
      </c>
      <c r="R6606" t="s">
        <v>27253</v>
      </c>
      <c r="S6606" t="s">
        <v>27254</v>
      </c>
      <c r="T6606" t="s">
        <v>27255</v>
      </c>
    </row>
    <row r="6607" spans="1:20" x14ac:dyDescent="0.3">
      <c r="A6607" t="str">
        <f>"0611862880100"</f>
        <v>0611862880100</v>
      </c>
      <c r="B6607" t="str">
        <f>"CN2159"</f>
        <v>CN2159</v>
      </c>
      <c r="C6607" t="s">
        <v>40064</v>
      </c>
      <c r="D6607" t="s">
        <v>27335</v>
      </c>
      <c r="E6607" t="str">
        <f t="shared" si="103"/>
        <v>001390</v>
      </c>
      <c r="F6607" t="s">
        <v>27246</v>
      </c>
      <c r="G6607" t="s">
        <v>27247</v>
      </c>
      <c r="H6607" t="s">
        <v>27248</v>
      </c>
      <c r="I6607" t="s">
        <v>40065</v>
      </c>
      <c r="J6607" t="s">
        <v>13205</v>
      </c>
      <c r="L6607" t="s">
        <v>27250</v>
      </c>
      <c r="M6607" t="s">
        <v>27251</v>
      </c>
      <c r="N6607" t="s">
        <v>27252</v>
      </c>
      <c r="Q6607" s="1">
        <v>44846</v>
      </c>
      <c r="R6607" t="s">
        <v>27253</v>
      </c>
      <c r="S6607" t="s">
        <v>27254</v>
      </c>
      <c r="T6607" t="s">
        <v>27255</v>
      </c>
    </row>
    <row r="6608" spans="1:20" x14ac:dyDescent="0.3">
      <c r="A6608" t="str">
        <f>"0611862881100"</f>
        <v>0611862881100</v>
      </c>
      <c r="B6608" t="str">
        <f>"CN2161"</f>
        <v>CN2161</v>
      </c>
      <c r="C6608" t="s">
        <v>40066</v>
      </c>
      <c r="D6608" t="s">
        <v>27335</v>
      </c>
      <c r="E6608" t="str">
        <f t="shared" si="103"/>
        <v>001390</v>
      </c>
      <c r="F6608" t="s">
        <v>27246</v>
      </c>
      <c r="G6608" t="s">
        <v>27247</v>
      </c>
      <c r="H6608" t="s">
        <v>27248</v>
      </c>
      <c r="I6608" t="s">
        <v>40067</v>
      </c>
      <c r="J6608" t="s">
        <v>13207</v>
      </c>
      <c r="L6608" t="s">
        <v>27250</v>
      </c>
      <c r="M6608" t="s">
        <v>27251</v>
      </c>
      <c r="N6608" t="s">
        <v>27252</v>
      </c>
      <c r="Q6608" s="1">
        <v>44846</v>
      </c>
      <c r="R6608" t="s">
        <v>27253</v>
      </c>
      <c r="S6608" t="s">
        <v>27254</v>
      </c>
      <c r="T6608" t="s">
        <v>27255</v>
      </c>
    </row>
    <row r="6609" spans="1:20" x14ac:dyDescent="0.3">
      <c r="A6609" t="str">
        <f>"0611862882100"</f>
        <v>0611862882100</v>
      </c>
      <c r="B6609" t="str">
        <f>"CN2179"</f>
        <v>CN2179</v>
      </c>
      <c r="C6609" t="s">
        <v>40068</v>
      </c>
      <c r="D6609" t="s">
        <v>27335</v>
      </c>
      <c r="E6609" t="str">
        <f t="shared" si="103"/>
        <v>001390</v>
      </c>
      <c r="F6609" t="s">
        <v>27246</v>
      </c>
      <c r="G6609" t="s">
        <v>27247</v>
      </c>
      <c r="H6609" t="s">
        <v>27248</v>
      </c>
      <c r="I6609" t="s">
        <v>40069</v>
      </c>
      <c r="J6609" t="s">
        <v>13209</v>
      </c>
      <c r="L6609" t="s">
        <v>27250</v>
      </c>
      <c r="M6609" t="s">
        <v>27251</v>
      </c>
      <c r="N6609" t="s">
        <v>27252</v>
      </c>
      <c r="Q6609" s="1">
        <v>44846</v>
      </c>
      <c r="R6609" t="s">
        <v>27253</v>
      </c>
      <c r="S6609" t="s">
        <v>27254</v>
      </c>
      <c r="T6609" t="s">
        <v>27255</v>
      </c>
    </row>
    <row r="6610" spans="1:20" x14ac:dyDescent="0.3">
      <c r="A6610" t="str">
        <f>"0611862883100"</f>
        <v>0611862883100</v>
      </c>
      <c r="B6610" t="str">
        <f>"CN2162"</f>
        <v>CN2162</v>
      </c>
      <c r="C6610" t="s">
        <v>40070</v>
      </c>
      <c r="D6610" t="s">
        <v>27335</v>
      </c>
      <c r="E6610" t="str">
        <f t="shared" si="103"/>
        <v>001390</v>
      </c>
      <c r="F6610" t="s">
        <v>27246</v>
      </c>
      <c r="G6610" t="s">
        <v>27247</v>
      </c>
      <c r="H6610" t="s">
        <v>27248</v>
      </c>
      <c r="I6610" t="s">
        <v>40071</v>
      </c>
      <c r="J6610" t="s">
        <v>13211</v>
      </c>
      <c r="L6610" t="s">
        <v>27250</v>
      </c>
      <c r="M6610" t="s">
        <v>27251</v>
      </c>
      <c r="N6610" t="s">
        <v>27252</v>
      </c>
      <c r="Q6610" s="1">
        <v>44846</v>
      </c>
      <c r="R6610" t="s">
        <v>27253</v>
      </c>
      <c r="S6610" t="s">
        <v>27254</v>
      </c>
      <c r="T6610" t="s">
        <v>27255</v>
      </c>
    </row>
    <row r="6611" spans="1:20" x14ac:dyDescent="0.3">
      <c r="A6611" t="str">
        <f>"0611862884100"</f>
        <v>0611862884100</v>
      </c>
      <c r="B6611" t="str">
        <f>"CN2163"</f>
        <v>CN2163</v>
      </c>
      <c r="C6611" t="s">
        <v>40072</v>
      </c>
      <c r="D6611" t="s">
        <v>27335</v>
      </c>
      <c r="E6611" t="str">
        <f t="shared" si="103"/>
        <v>001390</v>
      </c>
      <c r="F6611" t="s">
        <v>27246</v>
      </c>
      <c r="G6611" t="s">
        <v>27247</v>
      </c>
      <c r="H6611" t="s">
        <v>27248</v>
      </c>
      <c r="I6611" t="s">
        <v>40073</v>
      </c>
      <c r="J6611" t="s">
        <v>13213</v>
      </c>
      <c r="L6611" t="s">
        <v>27250</v>
      </c>
      <c r="M6611" t="s">
        <v>27251</v>
      </c>
      <c r="N6611" t="s">
        <v>27252</v>
      </c>
      <c r="Q6611" s="1">
        <v>44846</v>
      </c>
      <c r="R6611" t="s">
        <v>27253</v>
      </c>
      <c r="S6611" t="s">
        <v>27254</v>
      </c>
      <c r="T6611" t="s">
        <v>27255</v>
      </c>
    </row>
    <row r="6612" spans="1:20" x14ac:dyDescent="0.3">
      <c r="A6612" t="str">
        <f>"0611862885100"</f>
        <v>0611862885100</v>
      </c>
      <c r="B6612" t="str">
        <f>"CN2189"</f>
        <v>CN2189</v>
      </c>
      <c r="C6612" t="s">
        <v>40074</v>
      </c>
      <c r="D6612" t="s">
        <v>27335</v>
      </c>
      <c r="E6612" t="str">
        <f t="shared" si="103"/>
        <v>001390</v>
      </c>
      <c r="F6612" t="s">
        <v>27246</v>
      </c>
      <c r="G6612" t="s">
        <v>27247</v>
      </c>
      <c r="H6612" t="s">
        <v>27248</v>
      </c>
      <c r="I6612" t="s">
        <v>40075</v>
      </c>
      <c r="J6612" t="s">
        <v>13215</v>
      </c>
      <c r="L6612" t="s">
        <v>27250</v>
      </c>
      <c r="M6612" t="s">
        <v>27251</v>
      </c>
      <c r="N6612" t="s">
        <v>27252</v>
      </c>
      <c r="Q6612" s="1">
        <v>44846</v>
      </c>
      <c r="R6612" t="s">
        <v>27253</v>
      </c>
      <c r="S6612" t="s">
        <v>27254</v>
      </c>
      <c r="T6612" t="s">
        <v>27255</v>
      </c>
    </row>
    <row r="6613" spans="1:20" x14ac:dyDescent="0.3">
      <c r="A6613" t="str">
        <f>"0611862886100"</f>
        <v>0611862886100</v>
      </c>
      <c r="B6613" t="str">
        <f>"CN2334"</f>
        <v>CN2334</v>
      </c>
      <c r="C6613" t="s">
        <v>40076</v>
      </c>
      <c r="D6613" t="s">
        <v>27335</v>
      </c>
      <c r="E6613" t="str">
        <f t="shared" si="103"/>
        <v>001390</v>
      </c>
      <c r="F6613" t="s">
        <v>27246</v>
      </c>
      <c r="G6613" t="s">
        <v>27247</v>
      </c>
      <c r="H6613" t="s">
        <v>27248</v>
      </c>
      <c r="I6613" t="s">
        <v>40077</v>
      </c>
      <c r="J6613" t="s">
        <v>13217</v>
      </c>
      <c r="L6613" t="s">
        <v>27250</v>
      </c>
      <c r="M6613" t="s">
        <v>27251</v>
      </c>
      <c r="N6613" t="s">
        <v>27252</v>
      </c>
      <c r="Q6613" s="1">
        <v>44846</v>
      </c>
      <c r="R6613" t="s">
        <v>27253</v>
      </c>
      <c r="S6613" t="s">
        <v>27254</v>
      </c>
      <c r="T6613" t="s">
        <v>27255</v>
      </c>
    </row>
    <row r="6614" spans="1:20" x14ac:dyDescent="0.3">
      <c r="A6614" t="str">
        <f>"0611862887100"</f>
        <v>0611862887100</v>
      </c>
      <c r="B6614" t="str">
        <f>"CN2164"</f>
        <v>CN2164</v>
      </c>
      <c r="C6614" t="s">
        <v>40078</v>
      </c>
      <c r="D6614" t="s">
        <v>27335</v>
      </c>
      <c r="E6614" t="str">
        <f t="shared" si="103"/>
        <v>001390</v>
      </c>
      <c r="F6614" t="s">
        <v>27246</v>
      </c>
      <c r="G6614" t="s">
        <v>27247</v>
      </c>
      <c r="H6614" t="s">
        <v>27248</v>
      </c>
      <c r="I6614" t="s">
        <v>40079</v>
      </c>
      <c r="J6614" t="s">
        <v>13219</v>
      </c>
      <c r="L6614" t="s">
        <v>27250</v>
      </c>
      <c r="M6614" t="s">
        <v>27251</v>
      </c>
      <c r="N6614" t="s">
        <v>27252</v>
      </c>
      <c r="Q6614" s="1">
        <v>44846</v>
      </c>
      <c r="R6614" t="s">
        <v>27253</v>
      </c>
      <c r="S6614" t="s">
        <v>27254</v>
      </c>
      <c r="T6614" t="s">
        <v>27255</v>
      </c>
    </row>
    <row r="6615" spans="1:20" x14ac:dyDescent="0.3">
      <c r="A6615" t="str">
        <f>"0611862888100"</f>
        <v>0611862888100</v>
      </c>
      <c r="B6615" t="str">
        <f>"CN2165"</f>
        <v>CN2165</v>
      </c>
      <c r="C6615" t="s">
        <v>40080</v>
      </c>
      <c r="D6615" t="s">
        <v>27335</v>
      </c>
      <c r="E6615" t="str">
        <f t="shared" si="103"/>
        <v>001390</v>
      </c>
      <c r="F6615" t="s">
        <v>27246</v>
      </c>
      <c r="G6615" t="s">
        <v>27247</v>
      </c>
      <c r="H6615" t="s">
        <v>27248</v>
      </c>
      <c r="I6615" t="s">
        <v>40081</v>
      </c>
      <c r="J6615" t="s">
        <v>13221</v>
      </c>
      <c r="L6615" t="s">
        <v>27250</v>
      </c>
      <c r="M6615" t="s">
        <v>27251</v>
      </c>
      <c r="N6615" t="s">
        <v>27252</v>
      </c>
      <c r="Q6615" s="1">
        <v>44846</v>
      </c>
      <c r="R6615" t="s">
        <v>27253</v>
      </c>
      <c r="S6615" t="s">
        <v>27254</v>
      </c>
      <c r="T6615" t="s">
        <v>27255</v>
      </c>
    </row>
    <row r="6616" spans="1:20" x14ac:dyDescent="0.3">
      <c r="A6616" t="str">
        <f>"0611862889100"</f>
        <v>0611862889100</v>
      </c>
      <c r="B6616" t="str">
        <f>"CN2182"</f>
        <v>CN2182</v>
      </c>
      <c r="C6616" t="s">
        <v>40082</v>
      </c>
      <c r="D6616" t="s">
        <v>27245</v>
      </c>
      <c r="E6616" t="str">
        <f t="shared" si="103"/>
        <v>001390</v>
      </c>
      <c r="F6616" t="s">
        <v>27246</v>
      </c>
      <c r="G6616" t="s">
        <v>27247</v>
      </c>
      <c r="H6616" t="s">
        <v>27248</v>
      </c>
      <c r="I6616" t="s">
        <v>40083</v>
      </c>
      <c r="J6616" t="s">
        <v>13223</v>
      </c>
      <c r="L6616" t="s">
        <v>27250</v>
      </c>
      <c r="M6616" t="s">
        <v>27251</v>
      </c>
      <c r="N6616" t="s">
        <v>27252</v>
      </c>
      <c r="Q6616" s="1">
        <v>44846</v>
      </c>
      <c r="R6616" t="s">
        <v>27253</v>
      </c>
      <c r="S6616" t="s">
        <v>27254</v>
      </c>
      <c r="T6616" t="s">
        <v>27255</v>
      </c>
    </row>
    <row r="6617" spans="1:20" x14ac:dyDescent="0.3">
      <c r="A6617" t="str">
        <f>"0611862890100"</f>
        <v>0611862890100</v>
      </c>
      <c r="B6617" t="str">
        <f>"CN2226"</f>
        <v>CN2226</v>
      </c>
      <c r="C6617" t="s">
        <v>40084</v>
      </c>
      <c r="D6617" t="s">
        <v>27335</v>
      </c>
      <c r="E6617" t="str">
        <f t="shared" si="103"/>
        <v>001390</v>
      </c>
      <c r="F6617" t="s">
        <v>27246</v>
      </c>
      <c r="G6617" t="s">
        <v>27247</v>
      </c>
      <c r="H6617" t="s">
        <v>27248</v>
      </c>
      <c r="I6617" t="s">
        <v>40085</v>
      </c>
      <c r="J6617" t="s">
        <v>13225</v>
      </c>
      <c r="L6617" t="s">
        <v>27250</v>
      </c>
      <c r="M6617" t="s">
        <v>27251</v>
      </c>
      <c r="N6617" t="s">
        <v>27252</v>
      </c>
      <c r="Q6617" s="1">
        <v>44846</v>
      </c>
      <c r="R6617" t="s">
        <v>27253</v>
      </c>
      <c r="S6617" t="s">
        <v>27254</v>
      </c>
      <c r="T6617" t="s">
        <v>27255</v>
      </c>
    </row>
    <row r="6618" spans="1:20" x14ac:dyDescent="0.3">
      <c r="A6618" t="str">
        <f>"0611862891100"</f>
        <v>0611862891100</v>
      </c>
      <c r="B6618" t="str">
        <f>"CN2208"</f>
        <v>CN2208</v>
      </c>
      <c r="C6618" t="s">
        <v>40086</v>
      </c>
      <c r="D6618" t="s">
        <v>27245</v>
      </c>
      <c r="E6618" t="str">
        <f t="shared" si="103"/>
        <v>001390</v>
      </c>
      <c r="F6618" t="s">
        <v>27246</v>
      </c>
      <c r="G6618" t="s">
        <v>27247</v>
      </c>
      <c r="H6618" t="s">
        <v>27248</v>
      </c>
      <c r="I6618" t="s">
        <v>40087</v>
      </c>
      <c r="J6618" t="s">
        <v>13227</v>
      </c>
      <c r="L6618" t="s">
        <v>27250</v>
      </c>
      <c r="M6618" t="s">
        <v>27251</v>
      </c>
      <c r="N6618" t="s">
        <v>27252</v>
      </c>
      <c r="Q6618" s="1">
        <v>44846</v>
      </c>
      <c r="R6618" t="s">
        <v>27253</v>
      </c>
      <c r="S6618" t="s">
        <v>27254</v>
      </c>
      <c r="T6618" t="s">
        <v>27255</v>
      </c>
    </row>
    <row r="6619" spans="1:20" x14ac:dyDescent="0.3">
      <c r="A6619" t="str">
        <f>"0611862892100"</f>
        <v>0611862892100</v>
      </c>
      <c r="B6619" t="str">
        <f>"CN2209"</f>
        <v>CN2209</v>
      </c>
      <c r="C6619" t="s">
        <v>40088</v>
      </c>
      <c r="D6619" t="s">
        <v>27335</v>
      </c>
      <c r="E6619" t="str">
        <f t="shared" si="103"/>
        <v>001390</v>
      </c>
      <c r="F6619" t="s">
        <v>27246</v>
      </c>
      <c r="G6619" t="s">
        <v>27247</v>
      </c>
      <c r="H6619" t="s">
        <v>27248</v>
      </c>
      <c r="I6619" t="s">
        <v>40089</v>
      </c>
      <c r="J6619" t="s">
        <v>13229</v>
      </c>
      <c r="L6619" t="s">
        <v>27250</v>
      </c>
      <c r="M6619" t="s">
        <v>27251</v>
      </c>
      <c r="N6619" t="s">
        <v>27252</v>
      </c>
      <c r="Q6619" s="1">
        <v>44846</v>
      </c>
      <c r="R6619" t="s">
        <v>27253</v>
      </c>
      <c r="S6619" t="s">
        <v>27254</v>
      </c>
      <c r="T6619" t="s">
        <v>27255</v>
      </c>
    </row>
    <row r="6620" spans="1:20" x14ac:dyDescent="0.3">
      <c r="A6620" t="str">
        <f>"0611862893100"</f>
        <v>0611862893100</v>
      </c>
      <c r="B6620" t="str">
        <f>"CN2166"</f>
        <v>CN2166</v>
      </c>
      <c r="C6620" t="s">
        <v>40090</v>
      </c>
      <c r="D6620" t="s">
        <v>27245</v>
      </c>
      <c r="E6620" t="str">
        <f t="shared" si="103"/>
        <v>001390</v>
      </c>
      <c r="F6620" t="s">
        <v>27246</v>
      </c>
      <c r="G6620" t="s">
        <v>27247</v>
      </c>
      <c r="H6620" t="s">
        <v>27248</v>
      </c>
      <c r="I6620" t="s">
        <v>40091</v>
      </c>
      <c r="J6620" t="s">
        <v>13231</v>
      </c>
      <c r="L6620" t="s">
        <v>27250</v>
      </c>
      <c r="M6620" t="s">
        <v>27251</v>
      </c>
      <c r="N6620" t="s">
        <v>27252</v>
      </c>
      <c r="Q6620" s="1">
        <v>44846</v>
      </c>
      <c r="R6620" t="s">
        <v>27253</v>
      </c>
      <c r="S6620" t="s">
        <v>27254</v>
      </c>
      <c r="T6620" t="s">
        <v>27255</v>
      </c>
    </row>
    <row r="6621" spans="1:20" x14ac:dyDescent="0.3">
      <c r="A6621" t="str">
        <f>"0611862894100"</f>
        <v>0611862894100</v>
      </c>
      <c r="B6621" t="str">
        <f>"CN2176"</f>
        <v>CN2176</v>
      </c>
      <c r="C6621" t="s">
        <v>40092</v>
      </c>
      <c r="D6621" t="s">
        <v>27335</v>
      </c>
      <c r="E6621" t="str">
        <f t="shared" si="103"/>
        <v>001390</v>
      </c>
      <c r="F6621" t="s">
        <v>27246</v>
      </c>
      <c r="G6621" t="s">
        <v>27247</v>
      </c>
      <c r="H6621" t="s">
        <v>27248</v>
      </c>
      <c r="I6621" t="s">
        <v>40093</v>
      </c>
      <c r="J6621" t="s">
        <v>13233</v>
      </c>
      <c r="L6621" t="s">
        <v>27250</v>
      </c>
      <c r="M6621" t="s">
        <v>27251</v>
      </c>
      <c r="N6621" t="s">
        <v>27252</v>
      </c>
      <c r="Q6621" s="1">
        <v>44846</v>
      </c>
      <c r="R6621" t="s">
        <v>27253</v>
      </c>
      <c r="S6621" t="s">
        <v>27254</v>
      </c>
      <c r="T6621" t="s">
        <v>27255</v>
      </c>
    </row>
    <row r="6622" spans="1:20" x14ac:dyDescent="0.3">
      <c r="A6622" t="str">
        <f>"0611862895100"</f>
        <v>0611862895100</v>
      </c>
      <c r="B6622" t="str">
        <f>"CN2210"</f>
        <v>CN2210</v>
      </c>
      <c r="C6622" t="s">
        <v>40094</v>
      </c>
      <c r="D6622" t="s">
        <v>27335</v>
      </c>
      <c r="E6622" t="str">
        <f t="shared" si="103"/>
        <v>001390</v>
      </c>
      <c r="F6622" t="s">
        <v>27246</v>
      </c>
      <c r="G6622" t="s">
        <v>27247</v>
      </c>
      <c r="H6622" t="s">
        <v>27248</v>
      </c>
      <c r="I6622" t="s">
        <v>40095</v>
      </c>
      <c r="J6622" t="s">
        <v>13235</v>
      </c>
      <c r="L6622" t="s">
        <v>27250</v>
      </c>
      <c r="M6622" t="s">
        <v>27251</v>
      </c>
      <c r="N6622" t="s">
        <v>27252</v>
      </c>
      <c r="Q6622" s="1">
        <v>44846</v>
      </c>
      <c r="R6622" t="s">
        <v>27253</v>
      </c>
      <c r="S6622" t="s">
        <v>27254</v>
      </c>
      <c r="T6622" t="s">
        <v>27255</v>
      </c>
    </row>
    <row r="6623" spans="1:20" x14ac:dyDescent="0.3">
      <c r="A6623" t="str">
        <f>"0611862896100"</f>
        <v>0611862896100</v>
      </c>
      <c r="B6623" t="str">
        <f>"CN2167"</f>
        <v>CN2167</v>
      </c>
      <c r="C6623" t="s">
        <v>40096</v>
      </c>
      <c r="D6623" t="s">
        <v>27335</v>
      </c>
      <c r="E6623" t="str">
        <f t="shared" si="103"/>
        <v>001390</v>
      </c>
      <c r="F6623" t="s">
        <v>27246</v>
      </c>
      <c r="G6623" t="s">
        <v>27247</v>
      </c>
      <c r="H6623" t="s">
        <v>27248</v>
      </c>
      <c r="I6623" t="s">
        <v>40097</v>
      </c>
      <c r="J6623" t="s">
        <v>13237</v>
      </c>
      <c r="L6623" t="s">
        <v>27250</v>
      </c>
      <c r="M6623" t="s">
        <v>27251</v>
      </c>
      <c r="N6623" t="s">
        <v>27252</v>
      </c>
      <c r="Q6623" s="1">
        <v>44846</v>
      </c>
      <c r="R6623" t="s">
        <v>27253</v>
      </c>
      <c r="S6623" t="s">
        <v>27254</v>
      </c>
      <c r="T6623" t="s">
        <v>27255</v>
      </c>
    </row>
    <row r="6624" spans="1:20" x14ac:dyDescent="0.3">
      <c r="A6624" t="str">
        <f>"0611862897100"</f>
        <v>0611862897100</v>
      </c>
      <c r="B6624" t="str">
        <f>"CN2190"</f>
        <v>CN2190</v>
      </c>
      <c r="C6624" t="s">
        <v>40098</v>
      </c>
      <c r="D6624" t="s">
        <v>27335</v>
      </c>
      <c r="E6624" t="str">
        <f t="shared" si="103"/>
        <v>001390</v>
      </c>
      <c r="F6624" t="s">
        <v>27246</v>
      </c>
      <c r="G6624" t="s">
        <v>27247</v>
      </c>
      <c r="H6624" t="s">
        <v>27248</v>
      </c>
      <c r="I6624" t="s">
        <v>40099</v>
      </c>
      <c r="J6624" t="s">
        <v>13239</v>
      </c>
      <c r="L6624" t="s">
        <v>27250</v>
      </c>
      <c r="M6624" t="s">
        <v>27251</v>
      </c>
      <c r="N6624" t="s">
        <v>27252</v>
      </c>
      <c r="Q6624" s="1">
        <v>44846</v>
      </c>
      <c r="R6624" t="s">
        <v>27253</v>
      </c>
      <c r="S6624" t="s">
        <v>27254</v>
      </c>
      <c r="T6624" t="s">
        <v>27255</v>
      </c>
    </row>
    <row r="6625" spans="1:20" x14ac:dyDescent="0.3">
      <c r="A6625" t="str">
        <f>"0611862898100"</f>
        <v>0611862898100</v>
      </c>
      <c r="B6625" t="str">
        <f>"CN2188"</f>
        <v>CN2188</v>
      </c>
      <c r="C6625" t="s">
        <v>40100</v>
      </c>
      <c r="D6625" t="s">
        <v>27335</v>
      </c>
      <c r="E6625" t="str">
        <f t="shared" si="103"/>
        <v>001390</v>
      </c>
      <c r="F6625" t="s">
        <v>27246</v>
      </c>
      <c r="G6625" t="s">
        <v>27247</v>
      </c>
      <c r="H6625" t="s">
        <v>27248</v>
      </c>
      <c r="I6625" t="s">
        <v>40101</v>
      </c>
      <c r="J6625" t="s">
        <v>13241</v>
      </c>
      <c r="L6625" t="s">
        <v>27250</v>
      </c>
      <c r="M6625" t="s">
        <v>27251</v>
      </c>
      <c r="N6625" t="s">
        <v>27252</v>
      </c>
      <c r="Q6625" s="1">
        <v>44846</v>
      </c>
      <c r="R6625" t="s">
        <v>27253</v>
      </c>
      <c r="S6625" t="s">
        <v>27254</v>
      </c>
      <c r="T6625" t="s">
        <v>27255</v>
      </c>
    </row>
    <row r="6626" spans="1:20" x14ac:dyDescent="0.3">
      <c r="A6626" t="str">
        <f>"0611862899100"</f>
        <v>0611862899100</v>
      </c>
      <c r="B6626" t="str">
        <f>"CN2212"</f>
        <v>CN2212</v>
      </c>
      <c r="C6626" t="s">
        <v>40102</v>
      </c>
      <c r="D6626" t="s">
        <v>27335</v>
      </c>
      <c r="E6626" t="str">
        <f t="shared" si="103"/>
        <v>001390</v>
      </c>
      <c r="F6626" t="s">
        <v>27246</v>
      </c>
      <c r="G6626" t="s">
        <v>27247</v>
      </c>
      <c r="H6626" t="s">
        <v>27248</v>
      </c>
      <c r="I6626" t="s">
        <v>40103</v>
      </c>
      <c r="J6626" t="s">
        <v>13243</v>
      </c>
      <c r="L6626" t="s">
        <v>27250</v>
      </c>
      <c r="M6626" t="s">
        <v>27251</v>
      </c>
      <c r="N6626" t="s">
        <v>27252</v>
      </c>
      <c r="Q6626" s="1">
        <v>44846</v>
      </c>
      <c r="R6626" t="s">
        <v>27253</v>
      </c>
      <c r="S6626" t="s">
        <v>27254</v>
      </c>
      <c r="T6626" t="s">
        <v>27255</v>
      </c>
    </row>
    <row r="6627" spans="1:20" x14ac:dyDescent="0.3">
      <c r="A6627" t="str">
        <f>"0611862900100"</f>
        <v>0611862900100</v>
      </c>
      <c r="B6627" t="str">
        <f>"CN2327"</f>
        <v>CN2327</v>
      </c>
      <c r="C6627" t="s">
        <v>40104</v>
      </c>
      <c r="D6627" t="s">
        <v>27335</v>
      </c>
      <c r="E6627" t="str">
        <f t="shared" si="103"/>
        <v>001390</v>
      </c>
      <c r="F6627" t="s">
        <v>27246</v>
      </c>
      <c r="G6627" t="s">
        <v>27247</v>
      </c>
      <c r="H6627" t="s">
        <v>27248</v>
      </c>
      <c r="I6627" t="s">
        <v>40105</v>
      </c>
      <c r="J6627" t="s">
        <v>13245</v>
      </c>
      <c r="L6627" t="s">
        <v>27250</v>
      </c>
      <c r="M6627" t="s">
        <v>27251</v>
      </c>
      <c r="N6627" t="s">
        <v>27252</v>
      </c>
      <c r="Q6627" s="1">
        <v>44846</v>
      </c>
      <c r="R6627" t="s">
        <v>27253</v>
      </c>
      <c r="S6627" t="s">
        <v>27254</v>
      </c>
      <c r="T6627" t="s">
        <v>27255</v>
      </c>
    </row>
    <row r="6628" spans="1:20" x14ac:dyDescent="0.3">
      <c r="A6628" t="str">
        <f>"0611862901100"</f>
        <v>0611862901100</v>
      </c>
      <c r="B6628" t="str">
        <f>"CN2231"</f>
        <v>CN2231</v>
      </c>
      <c r="C6628" t="s">
        <v>40106</v>
      </c>
      <c r="D6628" t="s">
        <v>27335</v>
      </c>
      <c r="E6628" t="str">
        <f t="shared" si="103"/>
        <v>001390</v>
      </c>
      <c r="F6628" t="s">
        <v>27246</v>
      </c>
      <c r="G6628" t="s">
        <v>27247</v>
      </c>
      <c r="H6628" t="s">
        <v>27248</v>
      </c>
      <c r="I6628" t="s">
        <v>40107</v>
      </c>
      <c r="J6628" t="s">
        <v>13247</v>
      </c>
      <c r="L6628" t="s">
        <v>27250</v>
      </c>
      <c r="M6628" t="s">
        <v>27251</v>
      </c>
      <c r="N6628" t="s">
        <v>27252</v>
      </c>
      <c r="Q6628" s="1">
        <v>44846</v>
      </c>
      <c r="R6628" t="s">
        <v>27253</v>
      </c>
      <c r="S6628" t="s">
        <v>27254</v>
      </c>
      <c r="T6628" t="s">
        <v>27255</v>
      </c>
    </row>
    <row r="6629" spans="1:20" x14ac:dyDescent="0.3">
      <c r="A6629" t="str">
        <f>"0611862902100"</f>
        <v>0611862902100</v>
      </c>
      <c r="B6629" t="str">
        <f>"CN2222"</f>
        <v>CN2222</v>
      </c>
      <c r="C6629" t="s">
        <v>40108</v>
      </c>
      <c r="D6629" t="s">
        <v>27335</v>
      </c>
      <c r="E6629" t="str">
        <f t="shared" si="103"/>
        <v>001390</v>
      </c>
      <c r="F6629" t="s">
        <v>27246</v>
      </c>
      <c r="G6629" t="s">
        <v>27247</v>
      </c>
      <c r="H6629" t="s">
        <v>27248</v>
      </c>
      <c r="I6629" t="s">
        <v>40109</v>
      </c>
      <c r="J6629" t="s">
        <v>13249</v>
      </c>
      <c r="L6629" t="s">
        <v>27250</v>
      </c>
      <c r="M6629" t="s">
        <v>27251</v>
      </c>
      <c r="N6629" t="s">
        <v>27252</v>
      </c>
      <c r="Q6629" s="1">
        <v>44846</v>
      </c>
      <c r="R6629" t="s">
        <v>27253</v>
      </c>
      <c r="S6629" t="s">
        <v>27254</v>
      </c>
      <c r="T6629" t="s">
        <v>27255</v>
      </c>
    </row>
    <row r="6630" spans="1:20" x14ac:dyDescent="0.3">
      <c r="A6630" t="str">
        <f>"0611862903100"</f>
        <v>0611862903100</v>
      </c>
      <c r="B6630" t="str">
        <f>"CN2202"</f>
        <v>CN2202</v>
      </c>
      <c r="C6630" t="s">
        <v>40110</v>
      </c>
      <c r="D6630" t="s">
        <v>27335</v>
      </c>
      <c r="E6630" t="str">
        <f t="shared" si="103"/>
        <v>001390</v>
      </c>
      <c r="F6630" t="s">
        <v>27246</v>
      </c>
      <c r="G6630" t="s">
        <v>27247</v>
      </c>
      <c r="H6630" t="s">
        <v>27248</v>
      </c>
      <c r="I6630" t="s">
        <v>40111</v>
      </c>
      <c r="J6630" t="s">
        <v>13251</v>
      </c>
      <c r="L6630" t="s">
        <v>27250</v>
      </c>
      <c r="M6630" t="s">
        <v>27251</v>
      </c>
      <c r="N6630" t="s">
        <v>27252</v>
      </c>
      <c r="Q6630" s="1">
        <v>44846</v>
      </c>
      <c r="R6630" t="s">
        <v>27253</v>
      </c>
      <c r="S6630" t="s">
        <v>27254</v>
      </c>
      <c r="T6630" t="s">
        <v>27255</v>
      </c>
    </row>
    <row r="6631" spans="1:20" x14ac:dyDescent="0.3">
      <c r="A6631" t="str">
        <f>"0611862904100"</f>
        <v>0611862904100</v>
      </c>
      <c r="B6631" t="str">
        <f>"CN2227"</f>
        <v>CN2227</v>
      </c>
      <c r="C6631" t="s">
        <v>40112</v>
      </c>
      <c r="D6631" t="s">
        <v>27335</v>
      </c>
      <c r="E6631" t="str">
        <f t="shared" si="103"/>
        <v>001390</v>
      </c>
      <c r="F6631" t="s">
        <v>27246</v>
      </c>
      <c r="G6631" t="s">
        <v>27247</v>
      </c>
      <c r="H6631" t="s">
        <v>27248</v>
      </c>
      <c r="I6631" t="s">
        <v>40113</v>
      </c>
      <c r="J6631" t="s">
        <v>13253</v>
      </c>
      <c r="L6631" t="s">
        <v>27250</v>
      </c>
      <c r="M6631" t="s">
        <v>27251</v>
      </c>
      <c r="N6631" t="s">
        <v>27252</v>
      </c>
      <c r="Q6631" s="1">
        <v>44846</v>
      </c>
      <c r="R6631" t="s">
        <v>27253</v>
      </c>
      <c r="S6631" t="s">
        <v>27254</v>
      </c>
      <c r="T6631" t="s">
        <v>27255</v>
      </c>
    </row>
    <row r="6632" spans="1:20" x14ac:dyDescent="0.3">
      <c r="A6632" t="str">
        <f>"0611835905100"</f>
        <v>0611835905100</v>
      </c>
      <c r="B6632" t="str">
        <f>"LG8041"</f>
        <v>LG8041</v>
      </c>
      <c r="C6632" t="s">
        <v>40114</v>
      </c>
      <c r="D6632" t="s">
        <v>27245</v>
      </c>
      <c r="E6632" t="str">
        <f t="shared" si="103"/>
        <v>001390</v>
      </c>
      <c r="F6632" t="s">
        <v>27246</v>
      </c>
      <c r="G6632" t="s">
        <v>27247</v>
      </c>
      <c r="H6632" t="s">
        <v>27248</v>
      </c>
      <c r="I6632" t="s">
        <v>40115</v>
      </c>
      <c r="J6632" t="s">
        <v>13255</v>
      </c>
      <c r="L6632" t="s">
        <v>27250</v>
      </c>
      <c r="M6632" t="s">
        <v>27251</v>
      </c>
      <c r="N6632" t="s">
        <v>27252</v>
      </c>
      <c r="Q6632" s="1">
        <v>44538</v>
      </c>
      <c r="R6632" t="s">
        <v>27253</v>
      </c>
      <c r="S6632" t="s">
        <v>27254</v>
      </c>
      <c r="T6632" t="s">
        <v>27255</v>
      </c>
    </row>
    <row r="6633" spans="1:20" x14ac:dyDescent="0.3">
      <c r="A6633" t="str">
        <f>"0611862905100"</f>
        <v>0611862905100</v>
      </c>
      <c r="B6633" t="str">
        <f>"CN2298"</f>
        <v>CN2298</v>
      </c>
      <c r="C6633" t="s">
        <v>40116</v>
      </c>
      <c r="D6633" t="s">
        <v>27335</v>
      </c>
      <c r="E6633" t="str">
        <f t="shared" si="103"/>
        <v>001390</v>
      </c>
      <c r="F6633" t="s">
        <v>27246</v>
      </c>
      <c r="G6633" t="s">
        <v>27247</v>
      </c>
      <c r="H6633" t="s">
        <v>27248</v>
      </c>
      <c r="I6633" t="s">
        <v>40117</v>
      </c>
      <c r="J6633" t="s">
        <v>13257</v>
      </c>
      <c r="L6633" t="s">
        <v>27250</v>
      </c>
      <c r="M6633" t="s">
        <v>27251</v>
      </c>
      <c r="N6633" t="s">
        <v>27252</v>
      </c>
      <c r="Q6633" s="1">
        <v>44846</v>
      </c>
      <c r="R6633" t="s">
        <v>27253</v>
      </c>
      <c r="S6633" t="s">
        <v>27254</v>
      </c>
      <c r="T6633" t="s">
        <v>27255</v>
      </c>
    </row>
    <row r="6634" spans="1:20" x14ac:dyDescent="0.3">
      <c r="A6634" t="str">
        <f>"0611862906100"</f>
        <v>0611862906100</v>
      </c>
      <c r="B6634" t="str">
        <f>"CN2168"</f>
        <v>CN2168</v>
      </c>
      <c r="C6634" t="s">
        <v>40118</v>
      </c>
      <c r="D6634" t="s">
        <v>27335</v>
      </c>
      <c r="E6634" t="str">
        <f t="shared" si="103"/>
        <v>001390</v>
      </c>
      <c r="F6634" t="s">
        <v>27246</v>
      </c>
      <c r="G6634" t="s">
        <v>27247</v>
      </c>
      <c r="H6634" t="s">
        <v>27248</v>
      </c>
      <c r="I6634" t="s">
        <v>40119</v>
      </c>
      <c r="J6634" t="s">
        <v>13259</v>
      </c>
      <c r="L6634" t="s">
        <v>27250</v>
      </c>
      <c r="M6634" t="s">
        <v>27251</v>
      </c>
      <c r="N6634" t="s">
        <v>27252</v>
      </c>
      <c r="Q6634" s="1">
        <v>44846</v>
      </c>
      <c r="R6634" t="s">
        <v>27253</v>
      </c>
      <c r="S6634" t="s">
        <v>27254</v>
      </c>
      <c r="T6634" t="s">
        <v>27255</v>
      </c>
    </row>
    <row r="6635" spans="1:20" x14ac:dyDescent="0.3">
      <c r="A6635" t="str">
        <f>"0611862907100"</f>
        <v>0611862907100</v>
      </c>
      <c r="B6635" t="str">
        <f>"CN2169"</f>
        <v>CN2169</v>
      </c>
      <c r="C6635" t="s">
        <v>40120</v>
      </c>
      <c r="D6635" t="s">
        <v>27335</v>
      </c>
      <c r="E6635" t="str">
        <f t="shared" si="103"/>
        <v>001390</v>
      </c>
      <c r="F6635" t="s">
        <v>27246</v>
      </c>
      <c r="G6635" t="s">
        <v>27247</v>
      </c>
      <c r="H6635" t="s">
        <v>27248</v>
      </c>
      <c r="I6635" t="s">
        <v>40121</v>
      </c>
      <c r="J6635" t="s">
        <v>13261</v>
      </c>
      <c r="L6635" t="s">
        <v>27250</v>
      </c>
      <c r="M6635" t="s">
        <v>27251</v>
      </c>
      <c r="N6635" t="s">
        <v>27252</v>
      </c>
      <c r="Q6635" s="1">
        <v>44846</v>
      </c>
      <c r="R6635" t="s">
        <v>27253</v>
      </c>
      <c r="S6635" t="s">
        <v>27254</v>
      </c>
      <c r="T6635" t="s">
        <v>27255</v>
      </c>
    </row>
    <row r="6636" spans="1:20" x14ac:dyDescent="0.3">
      <c r="A6636" t="str">
        <f>"0611862908100"</f>
        <v>0611862908100</v>
      </c>
      <c r="B6636" t="str">
        <f>"CN2192"</f>
        <v>CN2192</v>
      </c>
      <c r="C6636" t="s">
        <v>40122</v>
      </c>
      <c r="D6636" t="s">
        <v>27335</v>
      </c>
      <c r="E6636" t="str">
        <f t="shared" si="103"/>
        <v>001390</v>
      </c>
      <c r="F6636" t="s">
        <v>27246</v>
      </c>
      <c r="G6636" t="s">
        <v>27247</v>
      </c>
      <c r="H6636" t="s">
        <v>27248</v>
      </c>
      <c r="I6636" t="s">
        <v>40123</v>
      </c>
      <c r="J6636" t="s">
        <v>13263</v>
      </c>
      <c r="L6636" t="s">
        <v>27250</v>
      </c>
      <c r="M6636" t="s">
        <v>27251</v>
      </c>
      <c r="N6636" t="s">
        <v>27252</v>
      </c>
      <c r="Q6636" s="1">
        <v>44846</v>
      </c>
      <c r="R6636" t="s">
        <v>27253</v>
      </c>
      <c r="S6636" t="s">
        <v>27254</v>
      </c>
      <c r="T6636" t="s">
        <v>27255</v>
      </c>
    </row>
    <row r="6637" spans="1:20" x14ac:dyDescent="0.3">
      <c r="A6637" t="str">
        <f>"0611862909100"</f>
        <v>0611862909100</v>
      </c>
      <c r="B6637" t="str">
        <f>"CN2213"</f>
        <v>CN2213</v>
      </c>
      <c r="C6637" t="s">
        <v>40124</v>
      </c>
      <c r="D6637" t="s">
        <v>27245</v>
      </c>
      <c r="E6637" t="str">
        <f t="shared" si="103"/>
        <v>001390</v>
      </c>
      <c r="F6637" t="s">
        <v>27246</v>
      </c>
      <c r="G6637" t="s">
        <v>27247</v>
      </c>
      <c r="H6637" t="s">
        <v>27248</v>
      </c>
      <c r="I6637" t="s">
        <v>40125</v>
      </c>
      <c r="J6637" t="s">
        <v>13265</v>
      </c>
      <c r="L6637" t="s">
        <v>27250</v>
      </c>
      <c r="M6637" t="s">
        <v>27251</v>
      </c>
      <c r="N6637" t="s">
        <v>27252</v>
      </c>
      <c r="Q6637" s="1">
        <v>44846</v>
      </c>
      <c r="R6637" t="s">
        <v>27253</v>
      </c>
      <c r="S6637" t="s">
        <v>27254</v>
      </c>
      <c r="T6637" t="s">
        <v>27255</v>
      </c>
    </row>
    <row r="6638" spans="1:20" x14ac:dyDescent="0.3">
      <c r="A6638" t="str">
        <f>"0611862910100"</f>
        <v>0611862910100</v>
      </c>
      <c r="B6638" t="str">
        <f>"CN2214"</f>
        <v>CN2214</v>
      </c>
      <c r="C6638" t="s">
        <v>40126</v>
      </c>
      <c r="D6638" t="s">
        <v>27245</v>
      </c>
      <c r="E6638" t="str">
        <f t="shared" si="103"/>
        <v>001390</v>
      </c>
      <c r="F6638" t="s">
        <v>27246</v>
      </c>
      <c r="G6638" t="s">
        <v>27247</v>
      </c>
      <c r="H6638" t="s">
        <v>27248</v>
      </c>
      <c r="I6638" t="s">
        <v>40127</v>
      </c>
      <c r="J6638" t="s">
        <v>13267</v>
      </c>
      <c r="L6638" t="s">
        <v>27250</v>
      </c>
      <c r="M6638" t="s">
        <v>27251</v>
      </c>
      <c r="N6638" t="s">
        <v>27252</v>
      </c>
      <c r="Q6638" s="1">
        <v>44846</v>
      </c>
      <c r="R6638" t="s">
        <v>27253</v>
      </c>
      <c r="S6638" t="s">
        <v>27254</v>
      </c>
      <c r="T6638" t="s">
        <v>27255</v>
      </c>
    </row>
    <row r="6639" spans="1:20" x14ac:dyDescent="0.3">
      <c r="A6639" t="str">
        <f>"0611862911100"</f>
        <v>0611862911100</v>
      </c>
      <c r="B6639" t="str">
        <f>"CN2299"</f>
        <v>CN2299</v>
      </c>
      <c r="C6639" t="s">
        <v>40128</v>
      </c>
      <c r="D6639" t="s">
        <v>27335</v>
      </c>
      <c r="E6639" t="str">
        <f t="shared" si="103"/>
        <v>001390</v>
      </c>
      <c r="F6639" t="s">
        <v>27246</v>
      </c>
      <c r="G6639" t="s">
        <v>27247</v>
      </c>
      <c r="H6639" t="s">
        <v>27248</v>
      </c>
      <c r="I6639" t="s">
        <v>40129</v>
      </c>
      <c r="J6639" t="s">
        <v>13269</v>
      </c>
      <c r="L6639" t="s">
        <v>27250</v>
      </c>
      <c r="M6639" t="s">
        <v>27251</v>
      </c>
      <c r="N6639" t="s">
        <v>27252</v>
      </c>
      <c r="Q6639" s="1">
        <v>44846</v>
      </c>
      <c r="R6639" t="s">
        <v>27253</v>
      </c>
      <c r="S6639" t="s">
        <v>27254</v>
      </c>
      <c r="T6639" t="s">
        <v>27255</v>
      </c>
    </row>
    <row r="6640" spans="1:20" x14ac:dyDescent="0.3">
      <c r="A6640" t="str">
        <f>"0611862912100"</f>
        <v>0611862912100</v>
      </c>
      <c r="B6640" t="str">
        <f>"CN2180"</f>
        <v>CN2180</v>
      </c>
      <c r="C6640" t="s">
        <v>40130</v>
      </c>
      <c r="D6640" t="s">
        <v>27335</v>
      </c>
      <c r="E6640" t="str">
        <f t="shared" si="103"/>
        <v>001390</v>
      </c>
      <c r="F6640" t="s">
        <v>27246</v>
      </c>
      <c r="G6640" t="s">
        <v>27247</v>
      </c>
      <c r="H6640" t="s">
        <v>27248</v>
      </c>
      <c r="I6640" t="s">
        <v>40131</v>
      </c>
      <c r="J6640" t="s">
        <v>13271</v>
      </c>
      <c r="L6640" t="s">
        <v>27250</v>
      </c>
      <c r="M6640" t="s">
        <v>27251</v>
      </c>
      <c r="N6640" t="s">
        <v>27252</v>
      </c>
      <c r="Q6640" s="1">
        <v>44846</v>
      </c>
      <c r="R6640" t="s">
        <v>27253</v>
      </c>
      <c r="S6640" t="s">
        <v>27254</v>
      </c>
      <c r="T6640" t="s">
        <v>27255</v>
      </c>
    </row>
    <row r="6641" spans="1:20" x14ac:dyDescent="0.3">
      <c r="A6641" t="str">
        <f>"0611862913100"</f>
        <v>0611862913100</v>
      </c>
      <c r="B6641" t="str">
        <f>"CN2170"</f>
        <v>CN2170</v>
      </c>
      <c r="C6641" t="s">
        <v>40132</v>
      </c>
      <c r="D6641" t="s">
        <v>27335</v>
      </c>
      <c r="E6641" t="str">
        <f t="shared" si="103"/>
        <v>001390</v>
      </c>
      <c r="F6641" t="s">
        <v>27246</v>
      </c>
      <c r="G6641" t="s">
        <v>27247</v>
      </c>
      <c r="H6641" t="s">
        <v>27248</v>
      </c>
      <c r="I6641" t="s">
        <v>40133</v>
      </c>
      <c r="J6641" t="s">
        <v>13273</v>
      </c>
      <c r="L6641" t="s">
        <v>27250</v>
      </c>
      <c r="M6641" t="s">
        <v>27251</v>
      </c>
      <c r="N6641" t="s">
        <v>27252</v>
      </c>
      <c r="Q6641" s="1">
        <v>44846</v>
      </c>
      <c r="R6641" t="s">
        <v>27253</v>
      </c>
      <c r="S6641" t="s">
        <v>27254</v>
      </c>
      <c r="T6641" t="s">
        <v>27255</v>
      </c>
    </row>
    <row r="6642" spans="1:20" x14ac:dyDescent="0.3">
      <c r="A6642" t="str">
        <f>"0611862914100"</f>
        <v>0611862914100</v>
      </c>
      <c r="B6642" t="str">
        <f>"CN2181"</f>
        <v>CN2181</v>
      </c>
      <c r="C6642" t="s">
        <v>40134</v>
      </c>
      <c r="D6642" t="s">
        <v>27335</v>
      </c>
      <c r="E6642" t="str">
        <f t="shared" si="103"/>
        <v>001390</v>
      </c>
      <c r="F6642" t="s">
        <v>27246</v>
      </c>
      <c r="G6642" t="s">
        <v>27247</v>
      </c>
      <c r="H6642" t="s">
        <v>27248</v>
      </c>
      <c r="I6642" t="s">
        <v>40135</v>
      </c>
      <c r="J6642" t="s">
        <v>13275</v>
      </c>
      <c r="L6642" t="s">
        <v>27250</v>
      </c>
      <c r="M6642" t="s">
        <v>27251</v>
      </c>
      <c r="N6642" t="s">
        <v>27252</v>
      </c>
      <c r="Q6642" s="1">
        <v>44846</v>
      </c>
      <c r="R6642" t="s">
        <v>27253</v>
      </c>
      <c r="S6642" t="s">
        <v>27254</v>
      </c>
      <c r="T6642" t="s">
        <v>27255</v>
      </c>
    </row>
    <row r="6643" spans="1:20" x14ac:dyDescent="0.3">
      <c r="A6643" t="str">
        <f>"0611862915100"</f>
        <v>0611862915100</v>
      </c>
      <c r="B6643" t="str">
        <f>"CN2215"</f>
        <v>CN2215</v>
      </c>
      <c r="C6643" t="s">
        <v>40136</v>
      </c>
      <c r="D6643" t="s">
        <v>27335</v>
      </c>
      <c r="E6643" t="str">
        <f t="shared" si="103"/>
        <v>001390</v>
      </c>
      <c r="F6643" t="s">
        <v>27246</v>
      </c>
      <c r="G6643" t="s">
        <v>27247</v>
      </c>
      <c r="H6643" t="s">
        <v>27248</v>
      </c>
      <c r="I6643" t="s">
        <v>40137</v>
      </c>
      <c r="J6643" t="s">
        <v>13277</v>
      </c>
      <c r="L6643" t="s">
        <v>27250</v>
      </c>
      <c r="M6643" t="s">
        <v>27251</v>
      </c>
      <c r="N6643" t="s">
        <v>27252</v>
      </c>
      <c r="Q6643" s="1">
        <v>44846</v>
      </c>
      <c r="R6643" t="s">
        <v>27253</v>
      </c>
      <c r="S6643" t="s">
        <v>27254</v>
      </c>
      <c r="T6643" t="s">
        <v>27255</v>
      </c>
    </row>
    <row r="6644" spans="1:20" x14ac:dyDescent="0.3">
      <c r="A6644" t="str">
        <f>"0611862916100"</f>
        <v>0611862916100</v>
      </c>
      <c r="B6644" t="str">
        <f>"CN2186"</f>
        <v>CN2186</v>
      </c>
      <c r="C6644" t="s">
        <v>40138</v>
      </c>
      <c r="D6644" t="s">
        <v>27335</v>
      </c>
      <c r="E6644" t="str">
        <f t="shared" si="103"/>
        <v>001390</v>
      </c>
      <c r="F6644" t="s">
        <v>27246</v>
      </c>
      <c r="G6644" t="s">
        <v>27247</v>
      </c>
      <c r="H6644" t="s">
        <v>27248</v>
      </c>
      <c r="I6644" t="s">
        <v>40139</v>
      </c>
      <c r="J6644" t="s">
        <v>13279</v>
      </c>
      <c r="L6644" t="s">
        <v>27250</v>
      </c>
      <c r="M6644" t="s">
        <v>27251</v>
      </c>
      <c r="N6644" t="s">
        <v>27252</v>
      </c>
      <c r="Q6644" s="1">
        <v>44846</v>
      </c>
      <c r="R6644" t="s">
        <v>27253</v>
      </c>
      <c r="S6644" t="s">
        <v>27254</v>
      </c>
      <c r="T6644" t="s">
        <v>27255</v>
      </c>
    </row>
    <row r="6645" spans="1:20" x14ac:dyDescent="0.3">
      <c r="A6645" t="str">
        <f>"0611884275100"</f>
        <v>0611884275100</v>
      </c>
      <c r="B6645" t="str">
        <f>"CN2401"</f>
        <v>CN2401</v>
      </c>
      <c r="C6645" t="s">
        <v>40140</v>
      </c>
      <c r="D6645" t="s">
        <v>27335</v>
      </c>
      <c r="E6645" t="str">
        <f t="shared" si="103"/>
        <v>001390</v>
      </c>
      <c r="F6645" t="s">
        <v>27246</v>
      </c>
      <c r="G6645" t="s">
        <v>27247</v>
      </c>
      <c r="H6645" t="s">
        <v>27248</v>
      </c>
      <c r="I6645" t="s">
        <v>40141</v>
      </c>
      <c r="J6645" t="s">
        <v>13281</v>
      </c>
      <c r="L6645" t="s">
        <v>27430</v>
      </c>
      <c r="M6645" t="s">
        <v>27251</v>
      </c>
      <c r="N6645" t="s">
        <v>27252</v>
      </c>
      <c r="Q6645" s="1">
        <v>45250</v>
      </c>
      <c r="R6645" t="s">
        <v>27253</v>
      </c>
      <c r="S6645" t="s">
        <v>27254</v>
      </c>
      <c r="T6645" t="s">
        <v>27255</v>
      </c>
    </row>
    <row r="6646" spans="1:20" x14ac:dyDescent="0.3">
      <c r="A6646" t="str">
        <f>"0611862917100"</f>
        <v>0611862917100</v>
      </c>
      <c r="B6646" t="str">
        <f>"CN2223"</f>
        <v>CN2223</v>
      </c>
      <c r="C6646" t="s">
        <v>40142</v>
      </c>
      <c r="D6646" t="s">
        <v>27335</v>
      </c>
      <c r="E6646" t="str">
        <f t="shared" si="103"/>
        <v>001390</v>
      </c>
      <c r="F6646" t="s">
        <v>27246</v>
      </c>
      <c r="G6646" t="s">
        <v>27247</v>
      </c>
      <c r="H6646" t="s">
        <v>27248</v>
      </c>
      <c r="I6646" t="s">
        <v>40143</v>
      </c>
      <c r="J6646" t="s">
        <v>13283</v>
      </c>
      <c r="L6646" t="s">
        <v>27250</v>
      </c>
      <c r="M6646" t="s">
        <v>27251</v>
      </c>
      <c r="N6646" t="s">
        <v>27252</v>
      </c>
      <c r="Q6646" s="1">
        <v>44846</v>
      </c>
      <c r="R6646" t="s">
        <v>27253</v>
      </c>
      <c r="S6646" t="s">
        <v>27254</v>
      </c>
      <c r="T6646" t="s">
        <v>27255</v>
      </c>
    </row>
    <row r="6647" spans="1:20" x14ac:dyDescent="0.3">
      <c r="A6647" t="str">
        <f>"0611862918100"</f>
        <v>0611862918100</v>
      </c>
      <c r="B6647" t="str">
        <f>"CN2171"</f>
        <v>CN2171</v>
      </c>
      <c r="C6647" t="s">
        <v>40144</v>
      </c>
      <c r="D6647" t="s">
        <v>27335</v>
      </c>
      <c r="E6647" t="str">
        <f t="shared" si="103"/>
        <v>001390</v>
      </c>
      <c r="F6647" t="s">
        <v>27246</v>
      </c>
      <c r="G6647" t="s">
        <v>27247</v>
      </c>
      <c r="H6647" t="s">
        <v>27248</v>
      </c>
      <c r="I6647" t="s">
        <v>40145</v>
      </c>
      <c r="J6647" t="s">
        <v>13285</v>
      </c>
      <c r="L6647" t="s">
        <v>27250</v>
      </c>
      <c r="M6647" t="s">
        <v>27251</v>
      </c>
      <c r="N6647" t="s">
        <v>27252</v>
      </c>
      <c r="Q6647" s="1">
        <v>44846</v>
      </c>
      <c r="R6647" t="s">
        <v>27253</v>
      </c>
      <c r="S6647" t="s">
        <v>27254</v>
      </c>
      <c r="T6647" t="s">
        <v>27255</v>
      </c>
    </row>
    <row r="6648" spans="1:20" x14ac:dyDescent="0.3">
      <c r="A6648" t="str">
        <f>"0611862919100"</f>
        <v>0611862919100</v>
      </c>
      <c r="B6648" t="str">
        <f>"CN2172"</f>
        <v>CN2172</v>
      </c>
      <c r="C6648" t="s">
        <v>40146</v>
      </c>
      <c r="D6648" t="s">
        <v>27335</v>
      </c>
      <c r="E6648" t="str">
        <f t="shared" si="103"/>
        <v>001390</v>
      </c>
      <c r="F6648" t="s">
        <v>27246</v>
      </c>
      <c r="G6648" t="s">
        <v>27247</v>
      </c>
      <c r="H6648" t="s">
        <v>27248</v>
      </c>
      <c r="I6648" t="s">
        <v>40147</v>
      </c>
      <c r="J6648" t="s">
        <v>13287</v>
      </c>
      <c r="L6648" t="s">
        <v>27250</v>
      </c>
      <c r="M6648" t="s">
        <v>27251</v>
      </c>
      <c r="N6648" t="s">
        <v>27252</v>
      </c>
      <c r="Q6648" s="1">
        <v>44846</v>
      </c>
      <c r="R6648" t="s">
        <v>27253</v>
      </c>
      <c r="S6648" t="s">
        <v>27254</v>
      </c>
      <c r="T6648" t="s">
        <v>27255</v>
      </c>
    </row>
    <row r="6649" spans="1:20" x14ac:dyDescent="0.3">
      <c r="A6649" t="str">
        <f>"0611862920100"</f>
        <v>0611862920100</v>
      </c>
      <c r="B6649" t="str">
        <f>"CN2228"</f>
        <v>CN2228</v>
      </c>
      <c r="C6649" t="s">
        <v>40148</v>
      </c>
      <c r="D6649" t="s">
        <v>27335</v>
      </c>
      <c r="E6649" t="str">
        <f t="shared" si="103"/>
        <v>001390</v>
      </c>
      <c r="F6649" t="s">
        <v>27246</v>
      </c>
      <c r="G6649" t="s">
        <v>27247</v>
      </c>
      <c r="H6649" t="s">
        <v>27248</v>
      </c>
      <c r="I6649" t="s">
        <v>40149</v>
      </c>
      <c r="J6649" t="s">
        <v>13289</v>
      </c>
      <c r="L6649" t="s">
        <v>27250</v>
      </c>
      <c r="M6649" t="s">
        <v>27251</v>
      </c>
      <c r="N6649" t="s">
        <v>27252</v>
      </c>
      <c r="Q6649" s="1">
        <v>44846</v>
      </c>
      <c r="R6649" t="s">
        <v>27253</v>
      </c>
      <c r="S6649" t="s">
        <v>27254</v>
      </c>
      <c r="T6649" t="s">
        <v>27255</v>
      </c>
    </row>
    <row r="6650" spans="1:20" x14ac:dyDescent="0.3">
      <c r="A6650" t="str">
        <f>"0611862921100"</f>
        <v>0611862921100</v>
      </c>
      <c r="B6650" t="str">
        <f>"CN2216"</f>
        <v>CN2216</v>
      </c>
      <c r="C6650" t="s">
        <v>40150</v>
      </c>
      <c r="D6650" t="s">
        <v>27335</v>
      </c>
      <c r="E6650" t="str">
        <f t="shared" si="103"/>
        <v>001390</v>
      </c>
      <c r="F6650" t="s">
        <v>27246</v>
      </c>
      <c r="G6650" t="s">
        <v>27247</v>
      </c>
      <c r="H6650" t="s">
        <v>27248</v>
      </c>
      <c r="I6650" t="s">
        <v>40151</v>
      </c>
      <c r="J6650" t="s">
        <v>13291</v>
      </c>
      <c r="L6650" t="s">
        <v>27250</v>
      </c>
      <c r="M6650" t="s">
        <v>27251</v>
      </c>
      <c r="N6650" t="s">
        <v>27252</v>
      </c>
      <c r="Q6650" s="1">
        <v>44846</v>
      </c>
      <c r="R6650" t="s">
        <v>27253</v>
      </c>
      <c r="S6650" t="s">
        <v>27254</v>
      </c>
      <c r="T6650" t="s">
        <v>27255</v>
      </c>
    </row>
    <row r="6651" spans="1:20" x14ac:dyDescent="0.3">
      <c r="A6651" t="str">
        <f>"0611862922100"</f>
        <v>0611862922100</v>
      </c>
      <c r="B6651" t="str">
        <f>"CN2196"</f>
        <v>CN2196</v>
      </c>
      <c r="C6651" t="s">
        <v>40152</v>
      </c>
      <c r="D6651" t="s">
        <v>27335</v>
      </c>
      <c r="E6651" t="str">
        <f t="shared" si="103"/>
        <v>001390</v>
      </c>
      <c r="F6651" t="s">
        <v>27246</v>
      </c>
      <c r="G6651" t="s">
        <v>27247</v>
      </c>
      <c r="H6651" t="s">
        <v>27248</v>
      </c>
      <c r="I6651" t="s">
        <v>40153</v>
      </c>
      <c r="J6651" t="s">
        <v>13293</v>
      </c>
      <c r="L6651" t="s">
        <v>27250</v>
      </c>
      <c r="M6651" t="s">
        <v>27251</v>
      </c>
      <c r="N6651" t="s">
        <v>27252</v>
      </c>
      <c r="Q6651" s="1">
        <v>44846</v>
      </c>
      <c r="R6651" t="s">
        <v>27253</v>
      </c>
      <c r="S6651" t="s">
        <v>27254</v>
      </c>
      <c r="T6651" t="s">
        <v>27255</v>
      </c>
    </row>
    <row r="6652" spans="1:20" x14ac:dyDescent="0.3">
      <c r="A6652" t="str">
        <f>"0611862923100"</f>
        <v>0611862923100</v>
      </c>
      <c r="B6652" t="str">
        <f>"CN2187"</f>
        <v>CN2187</v>
      </c>
      <c r="C6652" t="s">
        <v>40154</v>
      </c>
      <c r="D6652" t="s">
        <v>27335</v>
      </c>
      <c r="E6652" t="str">
        <f t="shared" si="103"/>
        <v>001390</v>
      </c>
      <c r="F6652" t="s">
        <v>27246</v>
      </c>
      <c r="G6652" t="s">
        <v>27247</v>
      </c>
      <c r="H6652" t="s">
        <v>27248</v>
      </c>
      <c r="I6652" t="s">
        <v>40155</v>
      </c>
      <c r="J6652" t="s">
        <v>13295</v>
      </c>
      <c r="L6652" t="s">
        <v>27250</v>
      </c>
      <c r="M6652" t="s">
        <v>27251</v>
      </c>
      <c r="N6652" t="s">
        <v>27252</v>
      </c>
      <c r="Q6652" s="1">
        <v>44846</v>
      </c>
      <c r="R6652" t="s">
        <v>27253</v>
      </c>
      <c r="S6652" t="s">
        <v>27254</v>
      </c>
      <c r="T6652" t="s">
        <v>27255</v>
      </c>
    </row>
    <row r="6653" spans="1:20" x14ac:dyDescent="0.3">
      <c r="A6653" t="str">
        <f>"0611862924100"</f>
        <v>0611862924100</v>
      </c>
      <c r="B6653" t="str">
        <f>"CN2230"</f>
        <v>CN2230</v>
      </c>
      <c r="C6653" t="s">
        <v>40156</v>
      </c>
      <c r="D6653" t="s">
        <v>27335</v>
      </c>
      <c r="E6653" t="str">
        <f t="shared" si="103"/>
        <v>001390</v>
      </c>
      <c r="F6653" t="s">
        <v>27246</v>
      </c>
      <c r="G6653" t="s">
        <v>27247</v>
      </c>
      <c r="H6653" t="s">
        <v>27248</v>
      </c>
      <c r="I6653" t="s">
        <v>40157</v>
      </c>
      <c r="J6653" t="s">
        <v>13297</v>
      </c>
      <c r="L6653" t="s">
        <v>27250</v>
      </c>
      <c r="M6653" t="s">
        <v>27251</v>
      </c>
      <c r="N6653" t="s">
        <v>27252</v>
      </c>
      <c r="Q6653" s="1">
        <v>44846</v>
      </c>
      <c r="R6653" t="s">
        <v>27253</v>
      </c>
      <c r="S6653" t="s">
        <v>27254</v>
      </c>
      <c r="T6653" t="s">
        <v>27255</v>
      </c>
    </row>
    <row r="6654" spans="1:20" x14ac:dyDescent="0.3">
      <c r="A6654" t="str">
        <f>"0611862925100"</f>
        <v>0611862925100</v>
      </c>
      <c r="B6654" t="str">
        <f>"CN2328"</f>
        <v>CN2328</v>
      </c>
      <c r="C6654" t="s">
        <v>40158</v>
      </c>
      <c r="D6654" t="s">
        <v>27335</v>
      </c>
      <c r="E6654" t="str">
        <f t="shared" si="103"/>
        <v>001390</v>
      </c>
      <c r="F6654" t="s">
        <v>27246</v>
      </c>
      <c r="G6654" t="s">
        <v>27247</v>
      </c>
      <c r="H6654" t="s">
        <v>27248</v>
      </c>
      <c r="I6654" t="s">
        <v>40159</v>
      </c>
      <c r="J6654" t="s">
        <v>13299</v>
      </c>
      <c r="L6654" t="s">
        <v>27250</v>
      </c>
      <c r="M6654" t="s">
        <v>27251</v>
      </c>
      <c r="N6654" t="s">
        <v>27252</v>
      </c>
      <c r="Q6654" s="1">
        <v>44846</v>
      </c>
      <c r="R6654" t="s">
        <v>27253</v>
      </c>
      <c r="S6654" t="s">
        <v>27254</v>
      </c>
      <c r="T6654" t="s">
        <v>27255</v>
      </c>
    </row>
    <row r="6655" spans="1:20" x14ac:dyDescent="0.3">
      <c r="A6655" t="str">
        <f>"0611862926100"</f>
        <v>0611862926100</v>
      </c>
      <c r="B6655" t="str">
        <f>"CN2160"</f>
        <v>CN2160</v>
      </c>
      <c r="C6655" t="s">
        <v>40160</v>
      </c>
      <c r="D6655" t="s">
        <v>27245</v>
      </c>
      <c r="E6655" t="str">
        <f t="shared" si="103"/>
        <v>001390</v>
      </c>
      <c r="F6655" t="s">
        <v>27246</v>
      </c>
      <c r="G6655" t="s">
        <v>27247</v>
      </c>
      <c r="H6655" t="s">
        <v>27248</v>
      </c>
      <c r="I6655" t="s">
        <v>40161</v>
      </c>
      <c r="J6655" t="s">
        <v>13301</v>
      </c>
      <c r="L6655" t="s">
        <v>27250</v>
      </c>
      <c r="M6655" t="s">
        <v>27251</v>
      </c>
      <c r="N6655" t="s">
        <v>27252</v>
      </c>
      <c r="Q6655" s="1">
        <v>44846</v>
      </c>
      <c r="R6655" t="s">
        <v>27253</v>
      </c>
      <c r="S6655" t="s">
        <v>27254</v>
      </c>
      <c r="T6655" t="s">
        <v>27255</v>
      </c>
    </row>
    <row r="6656" spans="1:20" x14ac:dyDescent="0.3">
      <c r="A6656" t="str">
        <f>"0611862927100"</f>
        <v>0611862927100</v>
      </c>
      <c r="B6656" t="str">
        <f>"CN2173"</f>
        <v>CN2173</v>
      </c>
      <c r="C6656" t="s">
        <v>40162</v>
      </c>
      <c r="D6656" t="s">
        <v>27335</v>
      </c>
      <c r="E6656" t="str">
        <f t="shared" si="103"/>
        <v>001390</v>
      </c>
      <c r="F6656" t="s">
        <v>27246</v>
      </c>
      <c r="G6656" t="s">
        <v>27247</v>
      </c>
      <c r="H6656" t="s">
        <v>27248</v>
      </c>
      <c r="I6656" t="s">
        <v>40163</v>
      </c>
      <c r="J6656" t="s">
        <v>13303</v>
      </c>
      <c r="L6656" t="s">
        <v>27250</v>
      </c>
      <c r="M6656" t="s">
        <v>27251</v>
      </c>
      <c r="N6656" t="s">
        <v>27252</v>
      </c>
      <c r="Q6656" s="1">
        <v>44846</v>
      </c>
      <c r="R6656" t="s">
        <v>27253</v>
      </c>
      <c r="S6656" t="s">
        <v>27254</v>
      </c>
      <c r="T6656" t="s">
        <v>27255</v>
      </c>
    </row>
    <row r="6657" spans="1:20" x14ac:dyDescent="0.3">
      <c r="A6657" t="str">
        <f>"0611862928100"</f>
        <v>0611862928100</v>
      </c>
      <c r="B6657" t="str">
        <f>"CN2174"</f>
        <v>CN2174</v>
      </c>
      <c r="C6657" t="s">
        <v>40164</v>
      </c>
      <c r="D6657" t="s">
        <v>27335</v>
      </c>
      <c r="E6657" t="str">
        <f t="shared" si="103"/>
        <v>001390</v>
      </c>
      <c r="F6657" t="s">
        <v>27246</v>
      </c>
      <c r="G6657" t="s">
        <v>27247</v>
      </c>
      <c r="H6657" t="s">
        <v>27248</v>
      </c>
      <c r="I6657" t="s">
        <v>40165</v>
      </c>
      <c r="J6657" t="s">
        <v>13305</v>
      </c>
      <c r="L6657" t="s">
        <v>27250</v>
      </c>
      <c r="M6657" t="s">
        <v>27251</v>
      </c>
      <c r="N6657" t="s">
        <v>27252</v>
      </c>
      <c r="Q6657" s="1">
        <v>44846</v>
      </c>
      <c r="R6657" t="s">
        <v>27253</v>
      </c>
      <c r="S6657" t="s">
        <v>27254</v>
      </c>
      <c r="T6657" t="s">
        <v>27255</v>
      </c>
    </row>
    <row r="6658" spans="1:20" x14ac:dyDescent="0.3">
      <c r="A6658" t="str">
        <f>"0611862929100"</f>
        <v>0611862929100</v>
      </c>
      <c r="B6658" t="str">
        <f>"CN2217"</f>
        <v>CN2217</v>
      </c>
      <c r="C6658" t="s">
        <v>40166</v>
      </c>
      <c r="D6658" t="s">
        <v>27245</v>
      </c>
      <c r="E6658" t="str">
        <f t="shared" ref="E6658:E6721" si="104">"001390"</f>
        <v>001390</v>
      </c>
      <c r="F6658" t="s">
        <v>27246</v>
      </c>
      <c r="G6658" t="s">
        <v>27247</v>
      </c>
      <c r="H6658" t="s">
        <v>27248</v>
      </c>
      <c r="I6658" t="s">
        <v>40167</v>
      </c>
      <c r="J6658" t="s">
        <v>13307</v>
      </c>
      <c r="L6658" t="s">
        <v>27250</v>
      </c>
      <c r="M6658" t="s">
        <v>27251</v>
      </c>
      <c r="N6658" t="s">
        <v>27252</v>
      </c>
      <c r="Q6658" s="1">
        <v>44846</v>
      </c>
      <c r="R6658" t="s">
        <v>27253</v>
      </c>
      <c r="S6658" t="s">
        <v>27254</v>
      </c>
      <c r="T6658" t="s">
        <v>27255</v>
      </c>
    </row>
    <row r="6659" spans="1:20" x14ac:dyDescent="0.3">
      <c r="A6659" t="str">
        <f>"0611862930100"</f>
        <v>0611862930100</v>
      </c>
      <c r="B6659" t="str">
        <f>"CN2232"</f>
        <v>CN2232</v>
      </c>
      <c r="C6659" t="s">
        <v>40168</v>
      </c>
      <c r="D6659" t="s">
        <v>27335</v>
      </c>
      <c r="E6659" t="str">
        <f t="shared" si="104"/>
        <v>001390</v>
      </c>
      <c r="F6659" t="s">
        <v>27246</v>
      </c>
      <c r="G6659" t="s">
        <v>27247</v>
      </c>
      <c r="H6659" t="s">
        <v>27248</v>
      </c>
      <c r="I6659" t="s">
        <v>40169</v>
      </c>
      <c r="J6659" t="s">
        <v>13309</v>
      </c>
      <c r="L6659" t="s">
        <v>27250</v>
      </c>
      <c r="M6659" t="s">
        <v>27251</v>
      </c>
      <c r="N6659" t="s">
        <v>27252</v>
      </c>
      <c r="Q6659" s="1">
        <v>44846</v>
      </c>
      <c r="R6659" t="s">
        <v>27253</v>
      </c>
      <c r="S6659" t="s">
        <v>27254</v>
      </c>
      <c r="T6659" t="s">
        <v>27255</v>
      </c>
    </row>
    <row r="6660" spans="1:20" x14ac:dyDescent="0.3">
      <c r="A6660" t="str">
        <f>"0611862931100"</f>
        <v>0611862931100</v>
      </c>
      <c r="B6660" t="str">
        <f>"CN2175"</f>
        <v>CN2175</v>
      </c>
      <c r="C6660" t="s">
        <v>40170</v>
      </c>
      <c r="D6660" t="s">
        <v>27335</v>
      </c>
      <c r="E6660" t="str">
        <f t="shared" si="104"/>
        <v>001390</v>
      </c>
      <c r="F6660" t="s">
        <v>27246</v>
      </c>
      <c r="G6660" t="s">
        <v>27247</v>
      </c>
      <c r="H6660" t="s">
        <v>27248</v>
      </c>
      <c r="I6660" t="s">
        <v>40171</v>
      </c>
      <c r="J6660" t="s">
        <v>13311</v>
      </c>
      <c r="L6660" t="s">
        <v>27250</v>
      </c>
      <c r="M6660" t="s">
        <v>27251</v>
      </c>
      <c r="N6660" t="s">
        <v>27252</v>
      </c>
      <c r="Q6660" s="1">
        <v>44846</v>
      </c>
      <c r="R6660" t="s">
        <v>27253</v>
      </c>
      <c r="S6660" t="s">
        <v>27254</v>
      </c>
      <c r="T6660" t="s">
        <v>27255</v>
      </c>
    </row>
    <row r="6661" spans="1:20" x14ac:dyDescent="0.3">
      <c r="A6661" t="str">
        <f>"0611862932100"</f>
        <v>0611862932100</v>
      </c>
      <c r="B6661" t="str">
        <f>"CN2200"</f>
        <v>CN2200</v>
      </c>
      <c r="C6661" t="s">
        <v>40172</v>
      </c>
      <c r="D6661" t="s">
        <v>27335</v>
      </c>
      <c r="E6661" t="str">
        <f t="shared" si="104"/>
        <v>001390</v>
      </c>
      <c r="F6661" t="s">
        <v>27246</v>
      </c>
      <c r="G6661" t="s">
        <v>27247</v>
      </c>
      <c r="H6661" t="s">
        <v>27248</v>
      </c>
      <c r="I6661" t="s">
        <v>40173</v>
      </c>
      <c r="J6661" t="s">
        <v>13313</v>
      </c>
      <c r="L6661" t="s">
        <v>27250</v>
      </c>
      <c r="M6661" t="s">
        <v>27251</v>
      </c>
      <c r="N6661" t="s">
        <v>27252</v>
      </c>
      <c r="Q6661" s="1">
        <v>44846</v>
      </c>
      <c r="R6661" t="s">
        <v>27253</v>
      </c>
      <c r="S6661" t="s">
        <v>27254</v>
      </c>
      <c r="T6661" t="s">
        <v>27255</v>
      </c>
    </row>
    <row r="6662" spans="1:20" x14ac:dyDescent="0.3">
      <c r="A6662" t="str">
        <f>"0611862933100"</f>
        <v>0611862933100</v>
      </c>
      <c r="B6662" t="str">
        <f>"CN2184"</f>
        <v>CN2184</v>
      </c>
      <c r="C6662" t="s">
        <v>40174</v>
      </c>
      <c r="D6662" t="s">
        <v>27335</v>
      </c>
      <c r="E6662" t="str">
        <f t="shared" si="104"/>
        <v>001390</v>
      </c>
      <c r="F6662" t="s">
        <v>27246</v>
      </c>
      <c r="G6662" t="s">
        <v>27247</v>
      </c>
      <c r="H6662" t="s">
        <v>27248</v>
      </c>
      <c r="I6662" t="s">
        <v>40175</v>
      </c>
      <c r="J6662" t="s">
        <v>13315</v>
      </c>
      <c r="L6662" t="s">
        <v>27250</v>
      </c>
      <c r="M6662" t="s">
        <v>27251</v>
      </c>
      <c r="N6662" t="s">
        <v>27252</v>
      </c>
      <c r="Q6662" s="1">
        <v>44846</v>
      </c>
      <c r="R6662" t="s">
        <v>27253</v>
      </c>
      <c r="S6662" t="s">
        <v>27254</v>
      </c>
      <c r="T6662" t="s">
        <v>27255</v>
      </c>
    </row>
    <row r="6663" spans="1:20" x14ac:dyDescent="0.3">
      <c r="A6663" t="str">
        <f>"0611862934100"</f>
        <v>0611862934100</v>
      </c>
      <c r="B6663" t="str">
        <f>"CN2224"</f>
        <v>CN2224</v>
      </c>
      <c r="C6663" t="s">
        <v>40176</v>
      </c>
      <c r="D6663" t="s">
        <v>27335</v>
      </c>
      <c r="E6663" t="str">
        <f t="shared" si="104"/>
        <v>001390</v>
      </c>
      <c r="F6663" t="s">
        <v>27246</v>
      </c>
      <c r="G6663" t="s">
        <v>27247</v>
      </c>
      <c r="H6663" t="s">
        <v>27248</v>
      </c>
      <c r="I6663" t="s">
        <v>40177</v>
      </c>
      <c r="J6663" t="s">
        <v>13317</v>
      </c>
      <c r="L6663" t="s">
        <v>27250</v>
      </c>
      <c r="M6663" t="s">
        <v>27251</v>
      </c>
      <c r="N6663" t="s">
        <v>27252</v>
      </c>
      <c r="Q6663" s="1">
        <v>44846</v>
      </c>
      <c r="R6663" t="s">
        <v>27253</v>
      </c>
      <c r="S6663" t="s">
        <v>27254</v>
      </c>
      <c r="T6663" t="s">
        <v>27255</v>
      </c>
    </row>
    <row r="6664" spans="1:20" x14ac:dyDescent="0.3">
      <c r="A6664" t="str">
        <f>"0611862935100"</f>
        <v>0611862935100</v>
      </c>
      <c r="B6664" t="str">
        <f>"CN2198"</f>
        <v>CN2198</v>
      </c>
      <c r="C6664" t="s">
        <v>40178</v>
      </c>
      <c r="D6664" t="s">
        <v>27335</v>
      </c>
      <c r="E6664" t="str">
        <f t="shared" si="104"/>
        <v>001390</v>
      </c>
      <c r="F6664" t="s">
        <v>27246</v>
      </c>
      <c r="G6664" t="s">
        <v>27247</v>
      </c>
      <c r="H6664" t="s">
        <v>27248</v>
      </c>
      <c r="I6664" t="s">
        <v>40179</v>
      </c>
      <c r="J6664" t="s">
        <v>13319</v>
      </c>
      <c r="L6664" t="s">
        <v>27250</v>
      </c>
      <c r="M6664" t="s">
        <v>27251</v>
      </c>
      <c r="N6664" t="s">
        <v>27252</v>
      </c>
      <c r="Q6664" s="1">
        <v>44846</v>
      </c>
      <c r="R6664" t="s">
        <v>27253</v>
      </c>
      <c r="S6664" t="s">
        <v>27254</v>
      </c>
      <c r="T6664" t="s">
        <v>27255</v>
      </c>
    </row>
    <row r="6665" spans="1:20" x14ac:dyDescent="0.3">
      <c r="A6665" t="str">
        <f>"0611862936100"</f>
        <v>0611862936100</v>
      </c>
      <c r="B6665" t="str">
        <f>"CN2178"</f>
        <v>CN2178</v>
      </c>
      <c r="C6665" t="s">
        <v>40180</v>
      </c>
      <c r="D6665" t="s">
        <v>27335</v>
      </c>
      <c r="E6665" t="str">
        <f t="shared" si="104"/>
        <v>001390</v>
      </c>
      <c r="F6665" t="s">
        <v>27246</v>
      </c>
      <c r="G6665" t="s">
        <v>27247</v>
      </c>
      <c r="H6665" t="s">
        <v>27248</v>
      </c>
      <c r="I6665" t="s">
        <v>40181</v>
      </c>
      <c r="J6665" t="s">
        <v>13321</v>
      </c>
      <c r="L6665" t="s">
        <v>27250</v>
      </c>
      <c r="M6665" t="s">
        <v>27251</v>
      </c>
      <c r="N6665" t="s">
        <v>27252</v>
      </c>
      <c r="Q6665" s="1">
        <v>44846</v>
      </c>
      <c r="R6665" t="s">
        <v>27253</v>
      </c>
      <c r="S6665" t="s">
        <v>27254</v>
      </c>
      <c r="T6665" t="s">
        <v>27255</v>
      </c>
    </row>
    <row r="6666" spans="1:20" x14ac:dyDescent="0.3">
      <c r="A6666" t="str">
        <f>"0611862937100"</f>
        <v>0611862937100</v>
      </c>
      <c r="B6666" t="str">
        <f>"CN2225"</f>
        <v>CN2225</v>
      </c>
      <c r="C6666" t="s">
        <v>40182</v>
      </c>
      <c r="D6666" t="s">
        <v>27335</v>
      </c>
      <c r="E6666" t="str">
        <f t="shared" si="104"/>
        <v>001390</v>
      </c>
      <c r="F6666" t="s">
        <v>27246</v>
      </c>
      <c r="G6666" t="s">
        <v>27247</v>
      </c>
      <c r="H6666" t="s">
        <v>27248</v>
      </c>
      <c r="I6666" t="s">
        <v>40183</v>
      </c>
      <c r="J6666" t="s">
        <v>13323</v>
      </c>
      <c r="L6666" t="s">
        <v>27250</v>
      </c>
      <c r="M6666" t="s">
        <v>27251</v>
      </c>
      <c r="N6666" t="s">
        <v>27252</v>
      </c>
      <c r="Q6666" s="1">
        <v>44846</v>
      </c>
      <c r="R6666" t="s">
        <v>27253</v>
      </c>
      <c r="S6666" t="s">
        <v>27254</v>
      </c>
      <c r="T6666" t="s">
        <v>27255</v>
      </c>
    </row>
    <row r="6667" spans="1:20" x14ac:dyDescent="0.3">
      <c r="A6667" t="str">
        <f>"0611831813100"</f>
        <v>0611831813100</v>
      </c>
      <c r="B6667" t="str">
        <f>"LL1950"</f>
        <v>LL1950</v>
      </c>
      <c r="C6667" t="s">
        <v>40184</v>
      </c>
      <c r="D6667" t="s">
        <v>27245</v>
      </c>
      <c r="E6667" t="str">
        <f t="shared" si="104"/>
        <v>001390</v>
      </c>
      <c r="F6667" t="s">
        <v>27246</v>
      </c>
      <c r="G6667" t="s">
        <v>27247</v>
      </c>
      <c r="H6667" t="s">
        <v>27248</v>
      </c>
      <c r="I6667" t="s">
        <v>40185</v>
      </c>
      <c r="J6667" t="s">
        <v>13325</v>
      </c>
      <c r="L6667" t="s">
        <v>27250</v>
      </c>
      <c r="M6667" t="s">
        <v>27251</v>
      </c>
      <c r="N6667" t="s">
        <v>27252</v>
      </c>
      <c r="Q6667" s="1">
        <v>44538</v>
      </c>
      <c r="R6667" t="s">
        <v>27253</v>
      </c>
      <c r="S6667" t="s">
        <v>27254</v>
      </c>
      <c r="T6667" t="s">
        <v>27255</v>
      </c>
    </row>
    <row r="6668" spans="1:20" x14ac:dyDescent="0.3">
      <c r="A6668" t="str">
        <f>"0611831832100"</f>
        <v>0611831832100</v>
      </c>
      <c r="B6668" t="str">
        <f>"LB5804"</f>
        <v>LB5804</v>
      </c>
      <c r="C6668" t="s">
        <v>40186</v>
      </c>
      <c r="D6668" t="s">
        <v>27245</v>
      </c>
      <c r="E6668" t="str">
        <f t="shared" si="104"/>
        <v>001390</v>
      </c>
      <c r="F6668" t="s">
        <v>27246</v>
      </c>
      <c r="G6668" t="s">
        <v>27247</v>
      </c>
      <c r="H6668" t="s">
        <v>27248</v>
      </c>
      <c r="I6668" t="s">
        <v>40187</v>
      </c>
      <c r="J6668" t="s">
        <v>16441</v>
      </c>
      <c r="L6668" t="s">
        <v>27250</v>
      </c>
      <c r="M6668" t="s">
        <v>27251</v>
      </c>
      <c r="N6668" t="s">
        <v>27252</v>
      </c>
      <c r="Q6668" s="1">
        <v>44538</v>
      </c>
      <c r="R6668" t="s">
        <v>27253</v>
      </c>
      <c r="S6668" t="s">
        <v>27254</v>
      </c>
      <c r="T6668" t="s">
        <v>27255</v>
      </c>
    </row>
    <row r="6669" spans="1:20" x14ac:dyDescent="0.3">
      <c r="A6669" t="str">
        <f>"0611831833100"</f>
        <v>0611831833100</v>
      </c>
      <c r="B6669" t="str">
        <f>"LB5805"</f>
        <v>LB5805</v>
      </c>
      <c r="C6669" t="s">
        <v>40188</v>
      </c>
      <c r="D6669" t="s">
        <v>27245</v>
      </c>
      <c r="E6669" t="str">
        <f t="shared" si="104"/>
        <v>001390</v>
      </c>
      <c r="F6669" t="s">
        <v>27246</v>
      </c>
      <c r="G6669" t="s">
        <v>27247</v>
      </c>
      <c r="H6669" t="s">
        <v>27248</v>
      </c>
      <c r="I6669" t="s">
        <v>40189</v>
      </c>
      <c r="J6669" t="s">
        <v>16443</v>
      </c>
      <c r="L6669" t="s">
        <v>27250</v>
      </c>
      <c r="M6669" t="s">
        <v>27251</v>
      </c>
      <c r="N6669" t="s">
        <v>27252</v>
      </c>
      <c r="Q6669" s="1">
        <v>44538</v>
      </c>
      <c r="R6669" t="s">
        <v>27253</v>
      </c>
      <c r="S6669" t="s">
        <v>27254</v>
      </c>
      <c r="T6669" t="s">
        <v>27255</v>
      </c>
    </row>
    <row r="6670" spans="1:20" x14ac:dyDescent="0.3">
      <c r="A6670" t="str">
        <f>"0611831837100"</f>
        <v>0611831837100</v>
      </c>
      <c r="B6670" t="str">
        <f>"LK6511"</f>
        <v>LK6511</v>
      </c>
      <c r="C6670" t="s">
        <v>40190</v>
      </c>
      <c r="D6670" t="s">
        <v>27245</v>
      </c>
      <c r="E6670" t="str">
        <f t="shared" si="104"/>
        <v>001390</v>
      </c>
      <c r="F6670" t="s">
        <v>27246</v>
      </c>
      <c r="G6670" t="s">
        <v>27247</v>
      </c>
      <c r="H6670" t="s">
        <v>27248</v>
      </c>
      <c r="I6670" t="s">
        <v>40191</v>
      </c>
      <c r="J6670" t="s">
        <v>16445</v>
      </c>
      <c r="L6670" t="s">
        <v>27250</v>
      </c>
      <c r="M6670" t="s">
        <v>27251</v>
      </c>
      <c r="N6670" t="s">
        <v>27252</v>
      </c>
      <c r="Q6670" s="1">
        <v>44538</v>
      </c>
      <c r="R6670" t="s">
        <v>27253</v>
      </c>
      <c r="S6670" t="s">
        <v>27254</v>
      </c>
      <c r="T6670" t="s">
        <v>27255</v>
      </c>
    </row>
    <row r="6671" spans="1:20" x14ac:dyDescent="0.3">
      <c r="A6671" t="str">
        <f>"0611831838100"</f>
        <v>0611831838100</v>
      </c>
      <c r="B6671" t="str">
        <f>"LK4412"</f>
        <v>LK4412</v>
      </c>
      <c r="C6671" t="s">
        <v>40192</v>
      </c>
      <c r="D6671" t="s">
        <v>27245</v>
      </c>
      <c r="E6671" t="str">
        <f t="shared" si="104"/>
        <v>001390</v>
      </c>
      <c r="F6671" t="s">
        <v>27246</v>
      </c>
      <c r="G6671" t="s">
        <v>27247</v>
      </c>
      <c r="H6671" t="s">
        <v>27248</v>
      </c>
      <c r="I6671" t="s">
        <v>40193</v>
      </c>
      <c r="J6671" t="s">
        <v>16447</v>
      </c>
      <c r="L6671" t="s">
        <v>27250</v>
      </c>
      <c r="M6671" t="s">
        <v>27251</v>
      </c>
      <c r="N6671" t="s">
        <v>27252</v>
      </c>
      <c r="Q6671" s="1">
        <v>44538</v>
      </c>
      <c r="R6671" t="s">
        <v>27253</v>
      </c>
      <c r="S6671" t="s">
        <v>27254</v>
      </c>
      <c r="T6671" t="s">
        <v>27255</v>
      </c>
    </row>
    <row r="6672" spans="1:20" x14ac:dyDescent="0.3">
      <c r="A6672" t="str">
        <f>"0611831839100"</f>
        <v>0611831839100</v>
      </c>
      <c r="B6672" t="str">
        <f>"LK0470"</f>
        <v>LK0470</v>
      </c>
      <c r="C6672" t="s">
        <v>40194</v>
      </c>
      <c r="D6672" t="s">
        <v>27245</v>
      </c>
      <c r="E6672" t="str">
        <f t="shared" si="104"/>
        <v>001390</v>
      </c>
      <c r="F6672" t="s">
        <v>27246</v>
      </c>
      <c r="G6672" t="s">
        <v>27247</v>
      </c>
      <c r="H6672" t="s">
        <v>27248</v>
      </c>
      <c r="I6672" t="s">
        <v>40195</v>
      </c>
      <c r="J6672" t="s">
        <v>16449</v>
      </c>
      <c r="L6672" t="s">
        <v>27250</v>
      </c>
      <c r="M6672" t="s">
        <v>27251</v>
      </c>
      <c r="N6672" t="s">
        <v>27252</v>
      </c>
      <c r="Q6672" s="1">
        <v>44538</v>
      </c>
      <c r="R6672" t="s">
        <v>27253</v>
      </c>
      <c r="S6672" t="s">
        <v>27254</v>
      </c>
      <c r="T6672" t="s">
        <v>27255</v>
      </c>
    </row>
    <row r="6673" spans="1:20" x14ac:dyDescent="0.3">
      <c r="A6673" t="str">
        <f>"0611831840100"</f>
        <v>0611831840100</v>
      </c>
      <c r="B6673" t="str">
        <f>"LK0471"</f>
        <v>LK0471</v>
      </c>
      <c r="C6673" t="s">
        <v>40196</v>
      </c>
      <c r="D6673" t="s">
        <v>27245</v>
      </c>
      <c r="E6673" t="str">
        <f t="shared" si="104"/>
        <v>001390</v>
      </c>
      <c r="F6673" t="s">
        <v>27246</v>
      </c>
      <c r="G6673" t="s">
        <v>27247</v>
      </c>
      <c r="H6673" t="s">
        <v>27248</v>
      </c>
      <c r="I6673" t="s">
        <v>40197</v>
      </c>
      <c r="J6673" t="s">
        <v>16451</v>
      </c>
      <c r="L6673" t="s">
        <v>27250</v>
      </c>
      <c r="M6673" t="s">
        <v>27251</v>
      </c>
      <c r="N6673" t="s">
        <v>27252</v>
      </c>
      <c r="Q6673" s="1">
        <v>44538</v>
      </c>
      <c r="R6673" t="s">
        <v>27253</v>
      </c>
      <c r="S6673" t="s">
        <v>27254</v>
      </c>
      <c r="T6673" t="s">
        <v>27255</v>
      </c>
    </row>
    <row r="6674" spans="1:20" x14ac:dyDescent="0.3">
      <c r="A6674" t="str">
        <f>"0611831843100"</f>
        <v>0611831843100</v>
      </c>
      <c r="B6674" t="str">
        <f>"LB0380"</f>
        <v>LB0380</v>
      </c>
      <c r="C6674" t="s">
        <v>40198</v>
      </c>
      <c r="D6674" t="s">
        <v>27245</v>
      </c>
      <c r="E6674" t="str">
        <f t="shared" si="104"/>
        <v>001390</v>
      </c>
      <c r="F6674" t="s">
        <v>27246</v>
      </c>
      <c r="G6674" t="s">
        <v>27247</v>
      </c>
      <c r="H6674" t="s">
        <v>27248</v>
      </c>
      <c r="I6674" t="s">
        <v>40199</v>
      </c>
      <c r="J6674" t="s">
        <v>16453</v>
      </c>
      <c r="L6674" t="s">
        <v>27250</v>
      </c>
      <c r="M6674" t="s">
        <v>27251</v>
      </c>
      <c r="N6674" t="s">
        <v>27252</v>
      </c>
      <c r="Q6674" s="1">
        <v>44538</v>
      </c>
      <c r="R6674" t="s">
        <v>27253</v>
      </c>
      <c r="S6674" t="s">
        <v>27254</v>
      </c>
      <c r="T6674" t="s">
        <v>27255</v>
      </c>
    </row>
    <row r="6675" spans="1:20" x14ac:dyDescent="0.3">
      <c r="A6675" t="str">
        <f>"0611831844100"</f>
        <v>0611831844100</v>
      </c>
      <c r="B6675" t="str">
        <f>"LB0381"</f>
        <v>LB0381</v>
      </c>
      <c r="C6675" t="s">
        <v>40200</v>
      </c>
      <c r="D6675" t="s">
        <v>27245</v>
      </c>
      <c r="E6675" t="str">
        <f t="shared" si="104"/>
        <v>001390</v>
      </c>
      <c r="F6675" t="s">
        <v>27246</v>
      </c>
      <c r="G6675" t="s">
        <v>27247</v>
      </c>
      <c r="H6675" t="s">
        <v>27248</v>
      </c>
      <c r="I6675" t="s">
        <v>40201</v>
      </c>
      <c r="J6675" t="s">
        <v>16455</v>
      </c>
      <c r="L6675" t="s">
        <v>27250</v>
      </c>
      <c r="M6675" t="s">
        <v>27251</v>
      </c>
      <c r="N6675" t="s">
        <v>27252</v>
      </c>
      <c r="Q6675" s="1">
        <v>44538</v>
      </c>
      <c r="R6675" t="s">
        <v>27253</v>
      </c>
      <c r="S6675" t="s">
        <v>27254</v>
      </c>
      <c r="T6675" t="s">
        <v>27255</v>
      </c>
    </row>
    <row r="6676" spans="1:20" x14ac:dyDescent="0.3">
      <c r="A6676" t="str">
        <f>"0611857009100"</f>
        <v>0611857009100</v>
      </c>
      <c r="B6676" t="str">
        <f>"LK7074"</f>
        <v>LK7074</v>
      </c>
      <c r="C6676" t="s">
        <v>40202</v>
      </c>
      <c r="D6676" t="s">
        <v>27245</v>
      </c>
      <c r="E6676" t="str">
        <f t="shared" si="104"/>
        <v>001390</v>
      </c>
      <c r="F6676" t="s">
        <v>27246</v>
      </c>
      <c r="G6676" t="s">
        <v>27247</v>
      </c>
      <c r="H6676" t="s">
        <v>27248</v>
      </c>
      <c r="I6676" t="s">
        <v>40203</v>
      </c>
      <c r="J6676" t="s">
        <v>16457</v>
      </c>
      <c r="L6676" t="s">
        <v>27250</v>
      </c>
      <c r="M6676" t="s">
        <v>27251</v>
      </c>
      <c r="N6676" t="s">
        <v>27252</v>
      </c>
      <c r="Q6676" s="1">
        <v>44812</v>
      </c>
      <c r="R6676" t="s">
        <v>27253</v>
      </c>
      <c r="S6676" t="s">
        <v>27254</v>
      </c>
      <c r="T6676" t="s">
        <v>27255</v>
      </c>
    </row>
    <row r="6677" spans="1:20" x14ac:dyDescent="0.3">
      <c r="A6677" t="str">
        <f>"0611857010100"</f>
        <v>0611857010100</v>
      </c>
      <c r="B6677" t="str">
        <f>"LK7075"</f>
        <v>LK7075</v>
      </c>
      <c r="C6677" t="s">
        <v>40204</v>
      </c>
      <c r="D6677" t="s">
        <v>27245</v>
      </c>
      <c r="E6677" t="str">
        <f t="shared" si="104"/>
        <v>001390</v>
      </c>
      <c r="F6677" t="s">
        <v>27246</v>
      </c>
      <c r="G6677" t="s">
        <v>27247</v>
      </c>
      <c r="H6677" t="s">
        <v>27248</v>
      </c>
      <c r="I6677" t="s">
        <v>40205</v>
      </c>
      <c r="J6677" t="s">
        <v>16459</v>
      </c>
      <c r="L6677" t="s">
        <v>27250</v>
      </c>
      <c r="M6677" t="s">
        <v>27251</v>
      </c>
      <c r="N6677" t="s">
        <v>27252</v>
      </c>
      <c r="Q6677" s="1">
        <v>44812</v>
      </c>
      <c r="R6677" t="s">
        <v>27253</v>
      </c>
      <c r="S6677" t="s">
        <v>27254</v>
      </c>
      <c r="T6677" t="s">
        <v>27255</v>
      </c>
    </row>
    <row r="6678" spans="1:20" x14ac:dyDescent="0.3">
      <c r="A6678" t="str">
        <f>"0611831845100"</f>
        <v>0611831845100</v>
      </c>
      <c r="B6678" t="str">
        <f>"LK6991"</f>
        <v>LK6991</v>
      </c>
      <c r="C6678" t="s">
        <v>40206</v>
      </c>
      <c r="D6678" t="s">
        <v>27245</v>
      </c>
      <c r="E6678" t="str">
        <f t="shared" si="104"/>
        <v>001390</v>
      </c>
      <c r="F6678" t="s">
        <v>27246</v>
      </c>
      <c r="G6678" t="s">
        <v>27247</v>
      </c>
      <c r="H6678" t="s">
        <v>27248</v>
      </c>
      <c r="I6678" t="s">
        <v>40207</v>
      </c>
      <c r="J6678" t="s">
        <v>16461</v>
      </c>
      <c r="L6678" t="s">
        <v>27250</v>
      </c>
      <c r="M6678" t="s">
        <v>27251</v>
      </c>
      <c r="N6678" t="s">
        <v>27252</v>
      </c>
      <c r="Q6678" s="1">
        <v>44538</v>
      </c>
      <c r="R6678" t="s">
        <v>27253</v>
      </c>
      <c r="S6678" t="s">
        <v>27254</v>
      </c>
      <c r="T6678" t="s">
        <v>27255</v>
      </c>
    </row>
    <row r="6679" spans="1:20" x14ac:dyDescent="0.3">
      <c r="A6679" t="str">
        <f>"0611831846100"</f>
        <v>0611831846100</v>
      </c>
      <c r="B6679" t="str">
        <f>"LK6992"</f>
        <v>LK6992</v>
      </c>
      <c r="C6679" t="s">
        <v>40208</v>
      </c>
      <c r="D6679" t="s">
        <v>27245</v>
      </c>
      <c r="E6679" t="str">
        <f t="shared" si="104"/>
        <v>001390</v>
      </c>
      <c r="F6679" t="s">
        <v>27246</v>
      </c>
      <c r="G6679" t="s">
        <v>27247</v>
      </c>
      <c r="H6679" t="s">
        <v>27248</v>
      </c>
      <c r="I6679" t="s">
        <v>40209</v>
      </c>
      <c r="J6679" t="s">
        <v>16463</v>
      </c>
      <c r="L6679" t="s">
        <v>27250</v>
      </c>
      <c r="M6679" t="s">
        <v>27251</v>
      </c>
      <c r="N6679" t="s">
        <v>27252</v>
      </c>
      <c r="Q6679" s="1">
        <v>44538</v>
      </c>
      <c r="R6679" t="s">
        <v>27253</v>
      </c>
      <c r="S6679" t="s">
        <v>27254</v>
      </c>
      <c r="T6679" t="s">
        <v>27255</v>
      </c>
    </row>
    <row r="6680" spans="1:20" x14ac:dyDescent="0.3">
      <c r="A6680" t="str">
        <f>"0611831863100"</f>
        <v>0611831863100</v>
      </c>
      <c r="B6680" t="str">
        <f>"LB0069"</f>
        <v>LB0069</v>
      </c>
      <c r="C6680" t="s">
        <v>40210</v>
      </c>
      <c r="D6680" t="s">
        <v>27245</v>
      </c>
      <c r="E6680" t="str">
        <f t="shared" si="104"/>
        <v>001390</v>
      </c>
      <c r="F6680" t="s">
        <v>27246</v>
      </c>
      <c r="G6680" t="s">
        <v>27247</v>
      </c>
      <c r="H6680" t="s">
        <v>27248</v>
      </c>
      <c r="I6680" t="s">
        <v>40211</v>
      </c>
      <c r="J6680" t="s">
        <v>16465</v>
      </c>
      <c r="L6680" t="s">
        <v>27250</v>
      </c>
      <c r="M6680" t="s">
        <v>27251</v>
      </c>
      <c r="N6680" t="s">
        <v>27252</v>
      </c>
      <c r="Q6680" s="1">
        <v>44538</v>
      </c>
      <c r="R6680" t="s">
        <v>27253</v>
      </c>
      <c r="S6680" t="s">
        <v>27254</v>
      </c>
      <c r="T6680" t="s">
        <v>27255</v>
      </c>
    </row>
    <row r="6681" spans="1:20" x14ac:dyDescent="0.3">
      <c r="A6681" t="str">
        <f>"0611831897100"</f>
        <v>0611831897100</v>
      </c>
      <c r="B6681" t="str">
        <f>"LL1951"</f>
        <v>LL1951</v>
      </c>
      <c r="C6681" t="s">
        <v>40212</v>
      </c>
      <c r="D6681" t="s">
        <v>27245</v>
      </c>
      <c r="E6681" t="str">
        <f t="shared" si="104"/>
        <v>001390</v>
      </c>
      <c r="F6681" t="s">
        <v>27246</v>
      </c>
      <c r="G6681" t="s">
        <v>27247</v>
      </c>
      <c r="H6681" t="s">
        <v>27248</v>
      </c>
      <c r="I6681" t="s">
        <v>40213</v>
      </c>
      <c r="J6681" t="s">
        <v>13327</v>
      </c>
      <c r="L6681" t="s">
        <v>27250</v>
      </c>
      <c r="M6681" t="s">
        <v>27251</v>
      </c>
      <c r="N6681" t="s">
        <v>27252</v>
      </c>
      <c r="Q6681" s="1">
        <v>44538</v>
      </c>
      <c r="R6681" t="s">
        <v>27253</v>
      </c>
      <c r="S6681" t="s">
        <v>27254</v>
      </c>
      <c r="T6681" t="s">
        <v>27255</v>
      </c>
    </row>
    <row r="6682" spans="1:20" x14ac:dyDescent="0.3">
      <c r="A6682" t="str">
        <f>"0611831872100"</f>
        <v>0611831872100</v>
      </c>
      <c r="B6682" t="str">
        <f>"LK4752"</f>
        <v>LK4752</v>
      </c>
      <c r="C6682" t="s">
        <v>40214</v>
      </c>
      <c r="D6682" t="s">
        <v>27245</v>
      </c>
      <c r="E6682" t="str">
        <f t="shared" si="104"/>
        <v>001390</v>
      </c>
      <c r="F6682" t="s">
        <v>27246</v>
      </c>
      <c r="G6682" t="s">
        <v>27247</v>
      </c>
      <c r="H6682" t="s">
        <v>27248</v>
      </c>
      <c r="I6682" t="s">
        <v>40215</v>
      </c>
      <c r="J6682" t="s">
        <v>16469</v>
      </c>
      <c r="L6682" t="s">
        <v>27250</v>
      </c>
      <c r="M6682" t="s">
        <v>27251</v>
      </c>
      <c r="N6682" t="s">
        <v>27252</v>
      </c>
      <c r="Q6682" s="1">
        <v>44538</v>
      </c>
      <c r="R6682" t="s">
        <v>27253</v>
      </c>
      <c r="S6682" t="s">
        <v>27254</v>
      </c>
      <c r="T6682" t="s">
        <v>27255</v>
      </c>
    </row>
    <row r="6683" spans="1:20" x14ac:dyDescent="0.3">
      <c r="A6683" t="str">
        <f>"0611857011100"</f>
        <v>0611857011100</v>
      </c>
      <c r="B6683" t="str">
        <f>"LK7076"</f>
        <v>LK7076</v>
      </c>
      <c r="C6683" t="s">
        <v>40216</v>
      </c>
      <c r="D6683" t="s">
        <v>27245</v>
      </c>
      <c r="E6683" t="str">
        <f t="shared" si="104"/>
        <v>001390</v>
      </c>
      <c r="F6683" t="s">
        <v>27246</v>
      </c>
      <c r="G6683" t="s">
        <v>27247</v>
      </c>
      <c r="H6683" t="s">
        <v>27248</v>
      </c>
      <c r="I6683" t="s">
        <v>40217</v>
      </c>
      <c r="J6683" t="s">
        <v>16471</v>
      </c>
      <c r="L6683" t="s">
        <v>27250</v>
      </c>
      <c r="M6683" t="s">
        <v>27251</v>
      </c>
      <c r="N6683" t="s">
        <v>27252</v>
      </c>
      <c r="Q6683" s="1">
        <v>44812</v>
      </c>
      <c r="R6683" t="s">
        <v>27253</v>
      </c>
      <c r="S6683" t="s">
        <v>27254</v>
      </c>
      <c r="T6683" t="s">
        <v>27255</v>
      </c>
    </row>
    <row r="6684" spans="1:20" x14ac:dyDescent="0.3">
      <c r="A6684" t="str">
        <f>"0611857012100"</f>
        <v>0611857012100</v>
      </c>
      <c r="B6684" t="str">
        <f>"LK7077"</f>
        <v>LK7077</v>
      </c>
      <c r="C6684" t="s">
        <v>40218</v>
      </c>
      <c r="D6684" t="s">
        <v>27245</v>
      </c>
      <c r="E6684" t="str">
        <f t="shared" si="104"/>
        <v>001390</v>
      </c>
      <c r="F6684" t="s">
        <v>27246</v>
      </c>
      <c r="G6684" t="s">
        <v>27247</v>
      </c>
      <c r="H6684" t="s">
        <v>27248</v>
      </c>
      <c r="I6684" t="s">
        <v>40219</v>
      </c>
      <c r="J6684" t="s">
        <v>16473</v>
      </c>
      <c r="L6684" t="s">
        <v>27250</v>
      </c>
      <c r="M6684" t="s">
        <v>27251</v>
      </c>
      <c r="N6684" t="s">
        <v>27252</v>
      </c>
      <c r="Q6684" s="1">
        <v>44812</v>
      </c>
      <c r="R6684" t="s">
        <v>27253</v>
      </c>
      <c r="S6684" t="s">
        <v>27254</v>
      </c>
      <c r="T6684" t="s">
        <v>27255</v>
      </c>
    </row>
    <row r="6685" spans="1:20" x14ac:dyDescent="0.3">
      <c r="A6685" t="str">
        <f>"0611831898100"</f>
        <v>0611831898100</v>
      </c>
      <c r="B6685" t="str">
        <f>"LK3299"</f>
        <v>LK3299</v>
      </c>
      <c r="C6685" t="s">
        <v>40220</v>
      </c>
      <c r="D6685" t="s">
        <v>27245</v>
      </c>
      <c r="E6685" t="str">
        <f t="shared" si="104"/>
        <v>001390</v>
      </c>
      <c r="F6685" t="s">
        <v>27246</v>
      </c>
      <c r="G6685" t="s">
        <v>27247</v>
      </c>
      <c r="H6685" t="s">
        <v>27248</v>
      </c>
      <c r="I6685" t="s">
        <v>40221</v>
      </c>
      <c r="J6685" t="s">
        <v>16475</v>
      </c>
      <c r="L6685" t="s">
        <v>27250</v>
      </c>
      <c r="M6685" t="s">
        <v>27251</v>
      </c>
      <c r="N6685" t="s">
        <v>27252</v>
      </c>
      <c r="Q6685" s="1">
        <v>44538</v>
      </c>
      <c r="R6685" t="s">
        <v>27253</v>
      </c>
      <c r="S6685" t="s">
        <v>27254</v>
      </c>
      <c r="T6685" t="s">
        <v>27255</v>
      </c>
    </row>
    <row r="6686" spans="1:20" x14ac:dyDescent="0.3">
      <c r="A6686" t="str">
        <f>"0611831899100"</f>
        <v>0611831899100</v>
      </c>
      <c r="B6686" t="str">
        <f>"LB5796"</f>
        <v>LB5796</v>
      </c>
      <c r="C6686" t="s">
        <v>40222</v>
      </c>
      <c r="D6686" t="s">
        <v>27245</v>
      </c>
      <c r="E6686" t="str">
        <f t="shared" si="104"/>
        <v>001390</v>
      </c>
      <c r="F6686" t="s">
        <v>27246</v>
      </c>
      <c r="G6686" t="s">
        <v>27247</v>
      </c>
      <c r="H6686" t="s">
        <v>27248</v>
      </c>
      <c r="I6686" t="s">
        <v>40223</v>
      </c>
      <c r="J6686" t="s">
        <v>16477</v>
      </c>
      <c r="L6686" t="s">
        <v>27250</v>
      </c>
      <c r="M6686" t="s">
        <v>27251</v>
      </c>
      <c r="N6686" t="s">
        <v>27252</v>
      </c>
      <c r="Q6686" s="1">
        <v>44538</v>
      </c>
      <c r="R6686" t="s">
        <v>27253</v>
      </c>
      <c r="S6686" t="s">
        <v>27254</v>
      </c>
      <c r="T6686" t="s">
        <v>27255</v>
      </c>
    </row>
    <row r="6687" spans="1:20" x14ac:dyDescent="0.3">
      <c r="A6687" t="str">
        <f>"0611831900100"</f>
        <v>0611831900100</v>
      </c>
      <c r="B6687" t="str">
        <f>"LB5797"</f>
        <v>LB5797</v>
      </c>
      <c r="C6687" t="s">
        <v>40224</v>
      </c>
      <c r="D6687" t="s">
        <v>27245</v>
      </c>
      <c r="E6687" t="str">
        <f t="shared" si="104"/>
        <v>001390</v>
      </c>
      <c r="F6687" t="s">
        <v>27246</v>
      </c>
      <c r="G6687" t="s">
        <v>27247</v>
      </c>
      <c r="H6687" t="s">
        <v>27248</v>
      </c>
      <c r="I6687" t="s">
        <v>40225</v>
      </c>
      <c r="J6687" t="s">
        <v>16479</v>
      </c>
      <c r="L6687" t="s">
        <v>27250</v>
      </c>
      <c r="M6687" t="s">
        <v>27251</v>
      </c>
      <c r="N6687" t="s">
        <v>27252</v>
      </c>
      <c r="Q6687" s="1">
        <v>44538</v>
      </c>
      <c r="R6687" t="s">
        <v>27253</v>
      </c>
      <c r="S6687" t="s">
        <v>27254</v>
      </c>
      <c r="T6687" t="s">
        <v>27255</v>
      </c>
    </row>
    <row r="6688" spans="1:20" x14ac:dyDescent="0.3">
      <c r="A6688" t="str">
        <f>"0611831903100"</f>
        <v>0611831903100</v>
      </c>
      <c r="B6688" t="str">
        <f>"LB5782"</f>
        <v>LB5782</v>
      </c>
      <c r="C6688" t="s">
        <v>40226</v>
      </c>
      <c r="D6688" t="s">
        <v>27245</v>
      </c>
      <c r="E6688" t="str">
        <f t="shared" si="104"/>
        <v>001390</v>
      </c>
      <c r="F6688" t="s">
        <v>27246</v>
      </c>
      <c r="G6688" t="s">
        <v>27247</v>
      </c>
      <c r="H6688" t="s">
        <v>27248</v>
      </c>
      <c r="I6688" t="s">
        <v>40227</v>
      </c>
      <c r="J6688" t="s">
        <v>13329</v>
      </c>
      <c r="L6688" t="s">
        <v>27250</v>
      </c>
      <c r="M6688" t="s">
        <v>27251</v>
      </c>
      <c r="N6688" t="s">
        <v>27252</v>
      </c>
      <c r="Q6688" s="1">
        <v>44538</v>
      </c>
      <c r="R6688" t="s">
        <v>27253</v>
      </c>
      <c r="S6688" t="s">
        <v>27254</v>
      </c>
      <c r="T6688" t="s">
        <v>27255</v>
      </c>
    </row>
    <row r="6689" spans="1:20" x14ac:dyDescent="0.3">
      <c r="A6689" t="str">
        <f>"0611831913100"</f>
        <v>0611831913100</v>
      </c>
      <c r="B6689" t="str">
        <f>"LB5781"</f>
        <v>LB5781</v>
      </c>
      <c r="C6689" t="s">
        <v>40228</v>
      </c>
      <c r="D6689" t="s">
        <v>27245</v>
      </c>
      <c r="E6689" t="str">
        <f t="shared" si="104"/>
        <v>001390</v>
      </c>
      <c r="F6689" t="s">
        <v>27246</v>
      </c>
      <c r="G6689" t="s">
        <v>27247</v>
      </c>
      <c r="H6689" t="s">
        <v>27248</v>
      </c>
      <c r="I6689" t="s">
        <v>40229</v>
      </c>
      <c r="J6689" t="s">
        <v>16481</v>
      </c>
      <c r="L6689" t="s">
        <v>27250</v>
      </c>
      <c r="M6689" t="s">
        <v>27251</v>
      </c>
      <c r="N6689" t="s">
        <v>27252</v>
      </c>
      <c r="Q6689" s="1">
        <v>44538</v>
      </c>
      <c r="R6689" t="s">
        <v>27253</v>
      </c>
      <c r="S6689" t="s">
        <v>27254</v>
      </c>
      <c r="T6689" t="s">
        <v>27255</v>
      </c>
    </row>
    <row r="6690" spans="1:20" x14ac:dyDescent="0.3">
      <c r="A6690" t="str">
        <f>"0611831914100"</f>
        <v>0611831914100</v>
      </c>
      <c r="B6690" t="str">
        <f>"LB5819"</f>
        <v>LB5819</v>
      </c>
      <c r="C6690" t="s">
        <v>40230</v>
      </c>
      <c r="D6690" t="s">
        <v>27245</v>
      </c>
      <c r="E6690" t="str">
        <f t="shared" si="104"/>
        <v>001390</v>
      </c>
      <c r="F6690" t="s">
        <v>27246</v>
      </c>
      <c r="G6690" t="s">
        <v>27247</v>
      </c>
      <c r="H6690" t="s">
        <v>27248</v>
      </c>
      <c r="I6690" t="s">
        <v>40231</v>
      </c>
      <c r="J6690" t="s">
        <v>16483</v>
      </c>
      <c r="L6690" t="s">
        <v>27250</v>
      </c>
      <c r="M6690" t="s">
        <v>27251</v>
      </c>
      <c r="N6690" t="s">
        <v>27252</v>
      </c>
      <c r="Q6690" s="1">
        <v>44538</v>
      </c>
      <c r="R6690" t="s">
        <v>27253</v>
      </c>
      <c r="S6690" t="s">
        <v>27254</v>
      </c>
      <c r="T6690" t="s">
        <v>27255</v>
      </c>
    </row>
    <row r="6691" spans="1:20" x14ac:dyDescent="0.3">
      <c r="A6691" t="str">
        <f>"0611831915100"</f>
        <v>0611831915100</v>
      </c>
      <c r="B6691" t="str">
        <f>"LB5783"</f>
        <v>LB5783</v>
      </c>
      <c r="C6691" t="s">
        <v>40232</v>
      </c>
      <c r="D6691" t="s">
        <v>27245</v>
      </c>
      <c r="E6691" t="str">
        <f t="shared" si="104"/>
        <v>001390</v>
      </c>
      <c r="F6691" t="s">
        <v>27246</v>
      </c>
      <c r="G6691" t="s">
        <v>27247</v>
      </c>
      <c r="H6691" t="s">
        <v>27248</v>
      </c>
      <c r="I6691" t="s">
        <v>40233</v>
      </c>
      <c r="J6691" t="s">
        <v>16485</v>
      </c>
      <c r="L6691" t="s">
        <v>27250</v>
      </c>
      <c r="M6691" t="s">
        <v>27251</v>
      </c>
      <c r="N6691" t="s">
        <v>27252</v>
      </c>
      <c r="Q6691" s="1">
        <v>44538</v>
      </c>
      <c r="R6691" t="s">
        <v>27253</v>
      </c>
      <c r="S6691" t="s">
        <v>27254</v>
      </c>
      <c r="T6691" t="s">
        <v>27255</v>
      </c>
    </row>
    <row r="6692" spans="1:20" x14ac:dyDescent="0.3">
      <c r="A6692" t="str">
        <f>"0611831916100"</f>
        <v>0611831916100</v>
      </c>
      <c r="B6692" t="str">
        <f>"LB5784"</f>
        <v>LB5784</v>
      </c>
      <c r="C6692" t="s">
        <v>40234</v>
      </c>
      <c r="D6692" t="s">
        <v>27245</v>
      </c>
      <c r="E6692" t="str">
        <f t="shared" si="104"/>
        <v>001390</v>
      </c>
      <c r="F6692" t="s">
        <v>27246</v>
      </c>
      <c r="G6692" t="s">
        <v>27247</v>
      </c>
      <c r="H6692" t="s">
        <v>27248</v>
      </c>
      <c r="I6692" t="s">
        <v>40235</v>
      </c>
      <c r="J6692" t="s">
        <v>16487</v>
      </c>
      <c r="L6692" t="s">
        <v>27250</v>
      </c>
      <c r="M6692" t="s">
        <v>27251</v>
      </c>
      <c r="N6692" t="s">
        <v>27252</v>
      </c>
      <c r="Q6692" s="1">
        <v>44538</v>
      </c>
      <c r="R6692" t="s">
        <v>27253</v>
      </c>
      <c r="S6692" t="s">
        <v>27254</v>
      </c>
      <c r="T6692" t="s">
        <v>27255</v>
      </c>
    </row>
    <row r="6693" spans="1:20" x14ac:dyDescent="0.3">
      <c r="A6693" t="str">
        <f>"0611857013100"</f>
        <v>0611857013100</v>
      </c>
      <c r="B6693" t="str">
        <f>"LK7078"</f>
        <v>LK7078</v>
      </c>
      <c r="C6693" t="s">
        <v>40236</v>
      </c>
      <c r="D6693" t="s">
        <v>27245</v>
      </c>
      <c r="E6693" t="str">
        <f t="shared" si="104"/>
        <v>001390</v>
      </c>
      <c r="F6693" t="s">
        <v>27246</v>
      </c>
      <c r="G6693" t="s">
        <v>27247</v>
      </c>
      <c r="H6693" t="s">
        <v>27248</v>
      </c>
      <c r="I6693" t="s">
        <v>40237</v>
      </c>
      <c r="J6693" t="s">
        <v>16489</v>
      </c>
      <c r="L6693" t="s">
        <v>27250</v>
      </c>
      <c r="M6693" t="s">
        <v>27251</v>
      </c>
      <c r="N6693" t="s">
        <v>27252</v>
      </c>
      <c r="Q6693" s="1">
        <v>44812</v>
      </c>
      <c r="R6693" t="s">
        <v>27253</v>
      </c>
      <c r="S6693" t="s">
        <v>27254</v>
      </c>
      <c r="T6693" t="s">
        <v>27255</v>
      </c>
    </row>
    <row r="6694" spans="1:20" x14ac:dyDescent="0.3">
      <c r="A6694" t="str">
        <f>"0611831918100"</f>
        <v>0611831918100</v>
      </c>
      <c r="B6694" t="str">
        <f>"LK6993"</f>
        <v>LK6993</v>
      </c>
      <c r="C6694" t="s">
        <v>40238</v>
      </c>
      <c r="D6694" t="s">
        <v>27245</v>
      </c>
      <c r="E6694" t="str">
        <f t="shared" si="104"/>
        <v>001390</v>
      </c>
      <c r="F6694" t="s">
        <v>27246</v>
      </c>
      <c r="G6694" t="s">
        <v>27247</v>
      </c>
      <c r="H6694" t="s">
        <v>27248</v>
      </c>
      <c r="I6694" t="s">
        <v>40239</v>
      </c>
      <c r="J6694" t="s">
        <v>16491</v>
      </c>
      <c r="L6694" t="s">
        <v>27250</v>
      </c>
      <c r="M6694" t="s">
        <v>27251</v>
      </c>
      <c r="N6694" t="s">
        <v>27252</v>
      </c>
      <c r="Q6694" s="1">
        <v>44538</v>
      </c>
      <c r="R6694" t="s">
        <v>27253</v>
      </c>
      <c r="S6694" t="s">
        <v>27254</v>
      </c>
      <c r="T6694" t="s">
        <v>27255</v>
      </c>
    </row>
    <row r="6695" spans="1:20" x14ac:dyDescent="0.3">
      <c r="A6695" t="str">
        <f>"0611831919100"</f>
        <v>0611831919100</v>
      </c>
      <c r="B6695" t="str">
        <f>"LB5798"</f>
        <v>LB5798</v>
      </c>
      <c r="C6695" t="s">
        <v>40240</v>
      </c>
      <c r="D6695" t="s">
        <v>27245</v>
      </c>
      <c r="E6695" t="str">
        <f t="shared" si="104"/>
        <v>001390</v>
      </c>
      <c r="F6695" t="s">
        <v>27246</v>
      </c>
      <c r="G6695" t="s">
        <v>27247</v>
      </c>
      <c r="H6695" t="s">
        <v>27248</v>
      </c>
      <c r="I6695" t="s">
        <v>40241</v>
      </c>
      <c r="J6695" t="s">
        <v>16493</v>
      </c>
      <c r="L6695" t="s">
        <v>27250</v>
      </c>
      <c r="M6695" t="s">
        <v>27251</v>
      </c>
      <c r="N6695" t="s">
        <v>27252</v>
      </c>
      <c r="Q6695" s="1">
        <v>44538</v>
      </c>
      <c r="R6695" t="s">
        <v>27253</v>
      </c>
      <c r="S6695" t="s">
        <v>27254</v>
      </c>
      <c r="T6695" t="s">
        <v>27255</v>
      </c>
    </row>
    <row r="6696" spans="1:20" x14ac:dyDescent="0.3">
      <c r="A6696" t="str">
        <f>"0611831920100"</f>
        <v>0611831920100</v>
      </c>
      <c r="B6696" t="str">
        <f>"LB5786"</f>
        <v>LB5786</v>
      </c>
      <c r="C6696" t="s">
        <v>40242</v>
      </c>
      <c r="D6696" t="s">
        <v>27245</v>
      </c>
      <c r="E6696" t="str">
        <f t="shared" si="104"/>
        <v>001390</v>
      </c>
      <c r="F6696" t="s">
        <v>27246</v>
      </c>
      <c r="G6696" t="s">
        <v>27247</v>
      </c>
      <c r="H6696" t="s">
        <v>27248</v>
      </c>
      <c r="I6696" t="s">
        <v>40243</v>
      </c>
      <c r="J6696" t="s">
        <v>16495</v>
      </c>
      <c r="L6696" t="s">
        <v>27250</v>
      </c>
      <c r="M6696" t="s">
        <v>27251</v>
      </c>
      <c r="N6696" t="s">
        <v>27252</v>
      </c>
      <c r="Q6696" s="1">
        <v>44538</v>
      </c>
      <c r="R6696" t="s">
        <v>27253</v>
      </c>
      <c r="S6696" t="s">
        <v>27254</v>
      </c>
      <c r="T6696" t="s">
        <v>27255</v>
      </c>
    </row>
    <row r="6697" spans="1:20" x14ac:dyDescent="0.3">
      <c r="A6697" t="str">
        <f>"0611831921100"</f>
        <v>0611831921100</v>
      </c>
      <c r="B6697" t="str">
        <f>"LB5787"</f>
        <v>LB5787</v>
      </c>
      <c r="C6697" t="s">
        <v>40244</v>
      </c>
      <c r="D6697" t="s">
        <v>27245</v>
      </c>
      <c r="E6697" t="str">
        <f t="shared" si="104"/>
        <v>001390</v>
      </c>
      <c r="F6697" t="s">
        <v>27246</v>
      </c>
      <c r="G6697" t="s">
        <v>27247</v>
      </c>
      <c r="H6697" t="s">
        <v>27248</v>
      </c>
      <c r="I6697" t="s">
        <v>40245</v>
      </c>
      <c r="J6697" t="s">
        <v>16497</v>
      </c>
      <c r="L6697" t="s">
        <v>27250</v>
      </c>
      <c r="M6697" t="s">
        <v>27251</v>
      </c>
      <c r="N6697" t="s">
        <v>27252</v>
      </c>
      <c r="Q6697" s="1">
        <v>44538</v>
      </c>
      <c r="R6697" t="s">
        <v>27253</v>
      </c>
      <c r="S6697" t="s">
        <v>27254</v>
      </c>
      <c r="T6697" t="s">
        <v>27255</v>
      </c>
    </row>
    <row r="6698" spans="1:20" x14ac:dyDescent="0.3">
      <c r="A6698" t="str">
        <f>"0611831922100"</f>
        <v>0611831922100</v>
      </c>
      <c r="B6698" t="str">
        <f>"LB5788"</f>
        <v>LB5788</v>
      </c>
      <c r="C6698" t="s">
        <v>40246</v>
      </c>
      <c r="D6698" t="s">
        <v>27245</v>
      </c>
      <c r="E6698" t="str">
        <f t="shared" si="104"/>
        <v>001390</v>
      </c>
      <c r="F6698" t="s">
        <v>27246</v>
      </c>
      <c r="G6698" t="s">
        <v>27247</v>
      </c>
      <c r="H6698" t="s">
        <v>27248</v>
      </c>
      <c r="I6698" t="s">
        <v>40247</v>
      </c>
      <c r="J6698" t="s">
        <v>16499</v>
      </c>
      <c r="L6698" t="s">
        <v>27250</v>
      </c>
      <c r="M6698" t="s">
        <v>27251</v>
      </c>
      <c r="N6698" t="s">
        <v>27252</v>
      </c>
      <c r="Q6698" s="1">
        <v>44538</v>
      </c>
      <c r="R6698" t="s">
        <v>27253</v>
      </c>
      <c r="S6698" t="s">
        <v>27254</v>
      </c>
      <c r="T6698" t="s">
        <v>27255</v>
      </c>
    </row>
    <row r="6699" spans="1:20" x14ac:dyDescent="0.3">
      <c r="A6699" t="str">
        <f>"0611831925100"</f>
        <v>0611831925100</v>
      </c>
      <c r="B6699" t="str">
        <f>"LB2669"</f>
        <v>LB2669</v>
      </c>
      <c r="C6699" t="s">
        <v>40248</v>
      </c>
      <c r="D6699" t="s">
        <v>27245</v>
      </c>
      <c r="E6699" t="str">
        <f t="shared" si="104"/>
        <v>001390</v>
      </c>
      <c r="F6699" t="s">
        <v>27246</v>
      </c>
      <c r="G6699" t="s">
        <v>27247</v>
      </c>
      <c r="H6699" t="s">
        <v>27248</v>
      </c>
      <c r="I6699" t="s">
        <v>40249</v>
      </c>
      <c r="J6699" t="s">
        <v>16501</v>
      </c>
      <c r="L6699" t="s">
        <v>27250</v>
      </c>
      <c r="M6699" t="s">
        <v>27251</v>
      </c>
      <c r="N6699" t="s">
        <v>27252</v>
      </c>
      <c r="Q6699" s="1">
        <v>44538</v>
      </c>
      <c r="R6699" t="s">
        <v>27253</v>
      </c>
      <c r="S6699" t="s">
        <v>27254</v>
      </c>
      <c r="T6699" t="s">
        <v>27255</v>
      </c>
    </row>
    <row r="6700" spans="1:20" x14ac:dyDescent="0.3">
      <c r="A6700" t="str">
        <f>"0611831926100"</f>
        <v>0611831926100</v>
      </c>
      <c r="B6700" t="str">
        <f>"LB2670"</f>
        <v>LB2670</v>
      </c>
      <c r="C6700" t="s">
        <v>40250</v>
      </c>
      <c r="D6700" t="s">
        <v>27245</v>
      </c>
      <c r="E6700" t="str">
        <f t="shared" si="104"/>
        <v>001390</v>
      </c>
      <c r="F6700" t="s">
        <v>27246</v>
      </c>
      <c r="G6700" t="s">
        <v>27247</v>
      </c>
      <c r="H6700" t="s">
        <v>27248</v>
      </c>
      <c r="I6700" t="s">
        <v>40251</v>
      </c>
      <c r="J6700" t="s">
        <v>16503</v>
      </c>
      <c r="L6700" t="s">
        <v>27250</v>
      </c>
      <c r="M6700" t="s">
        <v>27251</v>
      </c>
      <c r="N6700" t="s">
        <v>27252</v>
      </c>
      <c r="Q6700" s="1">
        <v>44538</v>
      </c>
      <c r="R6700" t="s">
        <v>27253</v>
      </c>
      <c r="S6700" t="s">
        <v>27254</v>
      </c>
      <c r="T6700" t="s">
        <v>27255</v>
      </c>
    </row>
    <row r="6701" spans="1:20" x14ac:dyDescent="0.3">
      <c r="A6701" t="str">
        <f>"0611831928100"</f>
        <v>0611831928100</v>
      </c>
      <c r="B6701" t="str">
        <f>"LK0468"</f>
        <v>LK0468</v>
      </c>
      <c r="C6701" t="s">
        <v>40252</v>
      </c>
      <c r="D6701" t="s">
        <v>27245</v>
      </c>
      <c r="E6701" t="str">
        <f t="shared" si="104"/>
        <v>001390</v>
      </c>
      <c r="F6701" t="s">
        <v>27246</v>
      </c>
      <c r="G6701" t="s">
        <v>27247</v>
      </c>
      <c r="H6701" t="s">
        <v>27248</v>
      </c>
      <c r="I6701" t="s">
        <v>40253</v>
      </c>
      <c r="J6701" t="s">
        <v>16505</v>
      </c>
      <c r="L6701" t="s">
        <v>27250</v>
      </c>
      <c r="M6701" t="s">
        <v>27251</v>
      </c>
      <c r="N6701" t="s">
        <v>27252</v>
      </c>
      <c r="Q6701" s="1">
        <v>44538</v>
      </c>
      <c r="R6701" t="s">
        <v>27253</v>
      </c>
      <c r="S6701" t="s">
        <v>27254</v>
      </c>
      <c r="T6701" t="s">
        <v>27255</v>
      </c>
    </row>
    <row r="6702" spans="1:20" x14ac:dyDescent="0.3">
      <c r="A6702" t="str">
        <f>"0611831929100"</f>
        <v>0611831929100</v>
      </c>
      <c r="B6702" t="str">
        <f>"LK0025"</f>
        <v>LK0025</v>
      </c>
      <c r="C6702" t="s">
        <v>40254</v>
      </c>
      <c r="D6702" t="s">
        <v>27245</v>
      </c>
      <c r="E6702" t="str">
        <f t="shared" si="104"/>
        <v>001390</v>
      </c>
      <c r="F6702" t="s">
        <v>27246</v>
      </c>
      <c r="G6702" t="s">
        <v>27247</v>
      </c>
      <c r="H6702" t="s">
        <v>27248</v>
      </c>
      <c r="I6702" t="s">
        <v>40255</v>
      </c>
      <c r="J6702" t="s">
        <v>16507</v>
      </c>
      <c r="L6702" t="s">
        <v>27250</v>
      </c>
      <c r="M6702" t="s">
        <v>27251</v>
      </c>
      <c r="N6702" t="s">
        <v>27252</v>
      </c>
      <c r="Q6702" s="1">
        <v>44538</v>
      </c>
      <c r="R6702" t="s">
        <v>27253</v>
      </c>
      <c r="S6702" t="s">
        <v>27254</v>
      </c>
      <c r="T6702" t="s">
        <v>27255</v>
      </c>
    </row>
    <row r="6703" spans="1:20" x14ac:dyDescent="0.3">
      <c r="A6703" t="str">
        <f>"0611831930100"</f>
        <v>0611831930100</v>
      </c>
      <c r="B6703" t="str">
        <f>"LK4639"</f>
        <v>LK4639</v>
      </c>
      <c r="C6703" t="s">
        <v>40256</v>
      </c>
      <c r="D6703" t="s">
        <v>27245</v>
      </c>
      <c r="E6703" t="str">
        <f t="shared" si="104"/>
        <v>001390</v>
      </c>
      <c r="F6703" t="s">
        <v>27246</v>
      </c>
      <c r="G6703" t="s">
        <v>27247</v>
      </c>
      <c r="H6703" t="s">
        <v>27248</v>
      </c>
      <c r="I6703" t="s">
        <v>40257</v>
      </c>
      <c r="J6703" t="s">
        <v>16509</v>
      </c>
      <c r="L6703" t="s">
        <v>27250</v>
      </c>
      <c r="M6703" t="s">
        <v>27251</v>
      </c>
      <c r="N6703" t="s">
        <v>27252</v>
      </c>
      <c r="Q6703" s="1">
        <v>44538</v>
      </c>
      <c r="R6703" t="s">
        <v>27253</v>
      </c>
      <c r="S6703" t="s">
        <v>27254</v>
      </c>
      <c r="T6703" t="s">
        <v>27255</v>
      </c>
    </row>
    <row r="6704" spans="1:20" x14ac:dyDescent="0.3">
      <c r="A6704" t="str">
        <f>"0611831931100"</f>
        <v>0611831931100</v>
      </c>
      <c r="B6704" t="str">
        <f>"LK4640"</f>
        <v>LK4640</v>
      </c>
      <c r="C6704" t="s">
        <v>40258</v>
      </c>
      <c r="D6704" t="s">
        <v>27245</v>
      </c>
      <c r="E6704" t="str">
        <f t="shared" si="104"/>
        <v>001390</v>
      </c>
      <c r="F6704" t="s">
        <v>27246</v>
      </c>
      <c r="G6704" t="s">
        <v>27247</v>
      </c>
      <c r="H6704" t="s">
        <v>27248</v>
      </c>
      <c r="I6704" t="s">
        <v>40259</v>
      </c>
      <c r="J6704" t="s">
        <v>16511</v>
      </c>
      <c r="L6704" t="s">
        <v>27250</v>
      </c>
      <c r="M6704" t="s">
        <v>27251</v>
      </c>
      <c r="N6704" t="s">
        <v>27252</v>
      </c>
      <c r="Q6704" s="1">
        <v>44538</v>
      </c>
      <c r="R6704" t="s">
        <v>27253</v>
      </c>
      <c r="S6704" t="s">
        <v>27254</v>
      </c>
      <c r="T6704" t="s">
        <v>27255</v>
      </c>
    </row>
    <row r="6705" spans="1:20" x14ac:dyDescent="0.3">
      <c r="A6705" t="str">
        <f>"0611831933100"</f>
        <v>0611831933100</v>
      </c>
      <c r="B6705" t="str">
        <f>"LB5793"</f>
        <v>LB5793</v>
      </c>
      <c r="C6705" t="s">
        <v>40260</v>
      </c>
      <c r="D6705" t="s">
        <v>27245</v>
      </c>
      <c r="E6705" t="str">
        <f t="shared" si="104"/>
        <v>001390</v>
      </c>
      <c r="F6705" t="s">
        <v>27246</v>
      </c>
      <c r="G6705" t="s">
        <v>27247</v>
      </c>
      <c r="H6705" t="s">
        <v>27248</v>
      </c>
      <c r="I6705" t="s">
        <v>40261</v>
      </c>
      <c r="J6705" t="s">
        <v>16513</v>
      </c>
      <c r="L6705" t="s">
        <v>27250</v>
      </c>
      <c r="M6705" t="s">
        <v>27251</v>
      </c>
      <c r="N6705" t="s">
        <v>27252</v>
      </c>
      <c r="Q6705" s="1">
        <v>44538</v>
      </c>
      <c r="R6705" t="s">
        <v>27253</v>
      </c>
      <c r="S6705" t="s">
        <v>27254</v>
      </c>
      <c r="T6705" t="s">
        <v>27255</v>
      </c>
    </row>
    <row r="6706" spans="1:20" x14ac:dyDescent="0.3">
      <c r="A6706" t="str">
        <f>"0611831936100"</f>
        <v>0611831936100</v>
      </c>
      <c r="B6706" t="str">
        <f>"LL8309"</f>
        <v>LL8309</v>
      </c>
      <c r="C6706" t="s">
        <v>40262</v>
      </c>
      <c r="D6706" t="s">
        <v>27245</v>
      </c>
      <c r="E6706" t="str">
        <f t="shared" si="104"/>
        <v>001390</v>
      </c>
      <c r="F6706" t="s">
        <v>27246</v>
      </c>
      <c r="G6706" t="s">
        <v>27247</v>
      </c>
      <c r="H6706" t="s">
        <v>27248</v>
      </c>
      <c r="I6706" t="s">
        <v>40263</v>
      </c>
      <c r="J6706" t="s">
        <v>13331</v>
      </c>
      <c r="L6706" t="s">
        <v>27250</v>
      </c>
      <c r="M6706" t="s">
        <v>27251</v>
      </c>
      <c r="N6706" t="s">
        <v>27252</v>
      </c>
      <c r="Q6706" s="1">
        <v>44538</v>
      </c>
      <c r="R6706" t="s">
        <v>27253</v>
      </c>
      <c r="S6706" t="s">
        <v>27254</v>
      </c>
      <c r="T6706" t="s">
        <v>27255</v>
      </c>
    </row>
    <row r="6707" spans="1:20" x14ac:dyDescent="0.3">
      <c r="A6707" t="str">
        <f>"0611831943100"</f>
        <v>0611831943100</v>
      </c>
      <c r="B6707" t="str">
        <f>"LB5794"</f>
        <v>LB5794</v>
      </c>
      <c r="C6707" t="s">
        <v>40264</v>
      </c>
      <c r="D6707" t="s">
        <v>27245</v>
      </c>
      <c r="E6707" t="str">
        <f t="shared" si="104"/>
        <v>001390</v>
      </c>
      <c r="F6707" t="s">
        <v>27246</v>
      </c>
      <c r="G6707" t="s">
        <v>27247</v>
      </c>
      <c r="H6707" t="s">
        <v>27248</v>
      </c>
      <c r="I6707" t="s">
        <v>40265</v>
      </c>
      <c r="J6707" t="s">
        <v>16515</v>
      </c>
      <c r="L6707" t="s">
        <v>27250</v>
      </c>
      <c r="M6707" t="s">
        <v>27251</v>
      </c>
      <c r="N6707" t="s">
        <v>27252</v>
      </c>
      <c r="Q6707" s="1">
        <v>44538</v>
      </c>
      <c r="R6707" t="s">
        <v>27253</v>
      </c>
      <c r="S6707" t="s">
        <v>27254</v>
      </c>
      <c r="T6707" t="s">
        <v>27255</v>
      </c>
    </row>
    <row r="6708" spans="1:20" x14ac:dyDescent="0.3">
      <c r="A6708" t="str">
        <f>"0611831945100"</f>
        <v>0611831945100</v>
      </c>
      <c r="B6708" t="str">
        <f>"LL1953"</f>
        <v>LL1953</v>
      </c>
      <c r="C6708" t="s">
        <v>40266</v>
      </c>
      <c r="D6708" t="s">
        <v>27245</v>
      </c>
      <c r="E6708" t="str">
        <f t="shared" si="104"/>
        <v>001390</v>
      </c>
      <c r="F6708" t="s">
        <v>27246</v>
      </c>
      <c r="G6708" t="s">
        <v>27247</v>
      </c>
      <c r="H6708" t="s">
        <v>27248</v>
      </c>
      <c r="I6708" t="s">
        <v>40267</v>
      </c>
      <c r="J6708" t="s">
        <v>13333</v>
      </c>
      <c r="L6708" t="s">
        <v>27250</v>
      </c>
      <c r="M6708" t="s">
        <v>27251</v>
      </c>
      <c r="N6708" t="s">
        <v>27252</v>
      </c>
      <c r="Q6708" s="1">
        <v>44538</v>
      </c>
      <c r="R6708" t="s">
        <v>27253</v>
      </c>
      <c r="S6708" t="s">
        <v>27254</v>
      </c>
      <c r="T6708" t="s">
        <v>27255</v>
      </c>
    </row>
    <row r="6709" spans="1:20" x14ac:dyDescent="0.3">
      <c r="A6709" t="str">
        <f>"0611831947100"</f>
        <v>0611831947100</v>
      </c>
      <c r="B6709" t="str">
        <f>"LL1952"</f>
        <v>LL1952</v>
      </c>
      <c r="C6709" t="s">
        <v>40268</v>
      </c>
      <c r="D6709" t="s">
        <v>27245</v>
      </c>
      <c r="E6709" t="str">
        <f t="shared" si="104"/>
        <v>001390</v>
      </c>
      <c r="F6709" t="s">
        <v>27246</v>
      </c>
      <c r="G6709" t="s">
        <v>27247</v>
      </c>
      <c r="H6709" t="s">
        <v>27248</v>
      </c>
      <c r="I6709" t="s">
        <v>40269</v>
      </c>
      <c r="J6709" t="s">
        <v>13335</v>
      </c>
      <c r="L6709" t="s">
        <v>27250</v>
      </c>
      <c r="M6709" t="s">
        <v>27251</v>
      </c>
      <c r="N6709" t="s">
        <v>27252</v>
      </c>
      <c r="Q6709" s="1">
        <v>44538</v>
      </c>
      <c r="R6709" t="s">
        <v>27253</v>
      </c>
      <c r="S6709" t="s">
        <v>27254</v>
      </c>
      <c r="T6709" t="s">
        <v>27255</v>
      </c>
    </row>
    <row r="6710" spans="1:20" x14ac:dyDescent="0.3">
      <c r="A6710" t="str">
        <f>"0611831955100"</f>
        <v>0611831955100</v>
      </c>
      <c r="B6710" t="str">
        <f>"LK5725"</f>
        <v>LK5725</v>
      </c>
      <c r="C6710" t="s">
        <v>40270</v>
      </c>
      <c r="D6710" t="s">
        <v>27245</v>
      </c>
      <c r="E6710" t="str">
        <f t="shared" si="104"/>
        <v>001390</v>
      </c>
      <c r="F6710" t="s">
        <v>27246</v>
      </c>
      <c r="G6710" t="s">
        <v>27247</v>
      </c>
      <c r="H6710" t="s">
        <v>27248</v>
      </c>
      <c r="I6710" t="s">
        <v>40271</v>
      </c>
      <c r="J6710" t="s">
        <v>16517</v>
      </c>
      <c r="L6710" t="s">
        <v>27250</v>
      </c>
      <c r="M6710" t="s">
        <v>27251</v>
      </c>
      <c r="N6710" t="s">
        <v>27252</v>
      </c>
      <c r="Q6710" s="1">
        <v>44538</v>
      </c>
      <c r="R6710" t="s">
        <v>27253</v>
      </c>
      <c r="S6710" t="s">
        <v>27254</v>
      </c>
      <c r="T6710" t="s">
        <v>27255</v>
      </c>
    </row>
    <row r="6711" spans="1:20" x14ac:dyDescent="0.3">
      <c r="A6711" t="str">
        <f>"0611831956100"</f>
        <v>0611831956100</v>
      </c>
      <c r="B6711" t="str">
        <f>"LL0022"</f>
        <v>LL0022</v>
      </c>
      <c r="C6711" t="s">
        <v>40272</v>
      </c>
      <c r="D6711" t="s">
        <v>27245</v>
      </c>
      <c r="E6711" t="str">
        <f t="shared" si="104"/>
        <v>001390</v>
      </c>
      <c r="F6711" t="s">
        <v>27246</v>
      </c>
      <c r="G6711" t="s">
        <v>27247</v>
      </c>
      <c r="H6711" t="s">
        <v>27248</v>
      </c>
      <c r="I6711" t="s">
        <v>40273</v>
      </c>
      <c r="J6711" t="s">
        <v>13337</v>
      </c>
      <c r="L6711" t="s">
        <v>27250</v>
      </c>
      <c r="M6711" t="s">
        <v>27251</v>
      </c>
      <c r="N6711" t="s">
        <v>27252</v>
      </c>
      <c r="Q6711" s="1">
        <v>44538</v>
      </c>
      <c r="R6711" t="s">
        <v>27253</v>
      </c>
      <c r="S6711" t="s">
        <v>27254</v>
      </c>
      <c r="T6711" t="s">
        <v>27255</v>
      </c>
    </row>
    <row r="6712" spans="1:20" x14ac:dyDescent="0.3">
      <c r="A6712" t="str">
        <f>"0611831959025"</f>
        <v>0611831959025</v>
      </c>
      <c r="B6712" t="str">
        <f>"MC4007"</f>
        <v>MC4007</v>
      </c>
      <c r="C6712" t="s">
        <v>40274</v>
      </c>
      <c r="D6712" t="s">
        <v>27267</v>
      </c>
      <c r="E6712" t="str">
        <f t="shared" si="104"/>
        <v>001390</v>
      </c>
      <c r="F6712" t="s">
        <v>27246</v>
      </c>
      <c r="G6712" t="s">
        <v>27247</v>
      </c>
      <c r="H6712" t="s">
        <v>27248</v>
      </c>
      <c r="I6712" t="s">
        <v>40275</v>
      </c>
      <c r="J6712" t="s">
        <v>13339</v>
      </c>
      <c r="L6712" t="s">
        <v>27250</v>
      </c>
      <c r="M6712" t="s">
        <v>27251</v>
      </c>
      <c r="N6712" t="s">
        <v>27252</v>
      </c>
      <c r="Q6712" s="1">
        <v>44538</v>
      </c>
      <c r="R6712" t="s">
        <v>27253</v>
      </c>
      <c r="S6712" t="s">
        <v>27254</v>
      </c>
      <c r="T6712" t="s">
        <v>27269</v>
      </c>
    </row>
    <row r="6713" spans="1:20" x14ac:dyDescent="0.3">
      <c r="A6713" t="str">
        <f>"0611831963100"</f>
        <v>0611831963100</v>
      </c>
      <c r="B6713" t="str">
        <f>"LK4788"</f>
        <v>LK4788</v>
      </c>
      <c r="C6713" t="s">
        <v>40276</v>
      </c>
      <c r="D6713" t="s">
        <v>27245</v>
      </c>
      <c r="E6713" t="str">
        <f t="shared" si="104"/>
        <v>001390</v>
      </c>
      <c r="F6713" t="s">
        <v>27246</v>
      </c>
      <c r="G6713" t="s">
        <v>27247</v>
      </c>
      <c r="H6713" t="s">
        <v>27248</v>
      </c>
      <c r="I6713" t="s">
        <v>40277</v>
      </c>
      <c r="J6713" t="s">
        <v>16519</v>
      </c>
      <c r="L6713" t="s">
        <v>27250</v>
      </c>
      <c r="M6713" t="s">
        <v>27251</v>
      </c>
      <c r="N6713" t="s">
        <v>27252</v>
      </c>
      <c r="Q6713" s="1">
        <v>44538</v>
      </c>
      <c r="R6713" t="s">
        <v>27253</v>
      </c>
      <c r="S6713" t="s">
        <v>27254</v>
      </c>
      <c r="T6713" t="s">
        <v>27255</v>
      </c>
    </row>
    <row r="6714" spans="1:20" x14ac:dyDescent="0.3">
      <c r="A6714" t="str">
        <f>"0611831964100"</f>
        <v>0611831964100</v>
      </c>
      <c r="B6714" t="str">
        <f>"LK4789"</f>
        <v>LK4789</v>
      </c>
      <c r="C6714" t="s">
        <v>40278</v>
      </c>
      <c r="D6714" t="s">
        <v>27245</v>
      </c>
      <c r="E6714" t="str">
        <f t="shared" si="104"/>
        <v>001390</v>
      </c>
      <c r="F6714" t="s">
        <v>27246</v>
      </c>
      <c r="G6714" t="s">
        <v>27247</v>
      </c>
      <c r="H6714" t="s">
        <v>27248</v>
      </c>
      <c r="I6714" t="s">
        <v>40279</v>
      </c>
      <c r="J6714" t="s">
        <v>16521</v>
      </c>
      <c r="L6714" t="s">
        <v>27250</v>
      </c>
      <c r="M6714" t="s">
        <v>27251</v>
      </c>
      <c r="N6714" t="s">
        <v>27252</v>
      </c>
      <c r="Q6714" s="1">
        <v>44538</v>
      </c>
      <c r="R6714" t="s">
        <v>27253</v>
      </c>
      <c r="S6714" t="s">
        <v>27254</v>
      </c>
      <c r="T6714" t="s">
        <v>27255</v>
      </c>
    </row>
    <row r="6715" spans="1:20" x14ac:dyDescent="0.3">
      <c r="A6715" t="str">
        <f>"0611831965100"</f>
        <v>0611831965100</v>
      </c>
      <c r="B6715" t="str">
        <f>"LK4790"</f>
        <v>LK4790</v>
      </c>
      <c r="C6715" t="s">
        <v>40280</v>
      </c>
      <c r="D6715" t="s">
        <v>27245</v>
      </c>
      <c r="E6715" t="str">
        <f t="shared" si="104"/>
        <v>001390</v>
      </c>
      <c r="F6715" t="s">
        <v>27246</v>
      </c>
      <c r="G6715" t="s">
        <v>27247</v>
      </c>
      <c r="H6715" t="s">
        <v>27248</v>
      </c>
      <c r="I6715" t="s">
        <v>40281</v>
      </c>
      <c r="J6715" t="s">
        <v>16523</v>
      </c>
      <c r="L6715" t="s">
        <v>27250</v>
      </c>
      <c r="M6715" t="s">
        <v>27251</v>
      </c>
      <c r="N6715" t="s">
        <v>27252</v>
      </c>
      <c r="Q6715" s="1">
        <v>44538</v>
      </c>
      <c r="R6715" t="s">
        <v>27253</v>
      </c>
      <c r="S6715" t="s">
        <v>27254</v>
      </c>
      <c r="T6715" t="s">
        <v>27255</v>
      </c>
    </row>
    <row r="6716" spans="1:20" x14ac:dyDescent="0.3">
      <c r="A6716" t="str">
        <f>"0611831966100"</f>
        <v>0611831966100</v>
      </c>
      <c r="B6716" t="str">
        <f>"LL5013"</f>
        <v>LL5013</v>
      </c>
      <c r="C6716" t="s">
        <v>40282</v>
      </c>
      <c r="D6716" t="s">
        <v>27245</v>
      </c>
      <c r="E6716" t="str">
        <f t="shared" si="104"/>
        <v>001390</v>
      </c>
      <c r="F6716" t="s">
        <v>27246</v>
      </c>
      <c r="G6716" t="s">
        <v>27247</v>
      </c>
      <c r="H6716" t="s">
        <v>27248</v>
      </c>
      <c r="I6716" t="s">
        <v>40283</v>
      </c>
      <c r="J6716" t="s">
        <v>13341</v>
      </c>
      <c r="L6716" t="s">
        <v>27250</v>
      </c>
      <c r="M6716" t="s">
        <v>27251</v>
      </c>
      <c r="N6716" t="s">
        <v>27252</v>
      </c>
      <c r="Q6716" s="1">
        <v>44538</v>
      </c>
      <c r="R6716" t="s">
        <v>27253</v>
      </c>
      <c r="S6716" t="s">
        <v>27254</v>
      </c>
      <c r="T6716" t="s">
        <v>27255</v>
      </c>
    </row>
    <row r="6717" spans="1:20" x14ac:dyDescent="0.3">
      <c r="A6717" t="str">
        <f>"0611831976100"</f>
        <v>0611831976100</v>
      </c>
      <c r="B6717" t="str">
        <f>"LK0023"</f>
        <v>LK0023</v>
      </c>
      <c r="C6717" t="s">
        <v>40284</v>
      </c>
      <c r="D6717" t="s">
        <v>27245</v>
      </c>
      <c r="E6717" t="str">
        <f t="shared" si="104"/>
        <v>001390</v>
      </c>
      <c r="F6717" t="s">
        <v>27246</v>
      </c>
      <c r="G6717" t="s">
        <v>27247</v>
      </c>
      <c r="H6717" t="s">
        <v>27248</v>
      </c>
      <c r="I6717" t="s">
        <v>40285</v>
      </c>
      <c r="J6717" t="s">
        <v>16525</v>
      </c>
      <c r="L6717" t="s">
        <v>27250</v>
      </c>
      <c r="M6717" t="s">
        <v>27251</v>
      </c>
      <c r="N6717" t="s">
        <v>27252</v>
      </c>
      <c r="Q6717" s="1">
        <v>44538</v>
      </c>
      <c r="R6717" t="s">
        <v>27253</v>
      </c>
      <c r="S6717" t="s">
        <v>27254</v>
      </c>
      <c r="T6717" t="s">
        <v>27255</v>
      </c>
    </row>
    <row r="6718" spans="1:20" x14ac:dyDescent="0.3">
      <c r="A6718" t="str">
        <f>"0611831984100"</f>
        <v>0611831984100</v>
      </c>
      <c r="B6718" t="str">
        <f>"LB2663"</f>
        <v>LB2663</v>
      </c>
      <c r="C6718" t="s">
        <v>40286</v>
      </c>
      <c r="D6718" t="s">
        <v>27245</v>
      </c>
      <c r="E6718" t="str">
        <f t="shared" si="104"/>
        <v>001390</v>
      </c>
      <c r="F6718" t="s">
        <v>27246</v>
      </c>
      <c r="G6718" t="s">
        <v>27247</v>
      </c>
      <c r="H6718" t="s">
        <v>27248</v>
      </c>
      <c r="I6718" t="s">
        <v>40287</v>
      </c>
      <c r="J6718" t="s">
        <v>16527</v>
      </c>
      <c r="L6718" t="s">
        <v>27250</v>
      </c>
      <c r="M6718" t="s">
        <v>27251</v>
      </c>
      <c r="N6718" t="s">
        <v>27252</v>
      </c>
      <c r="Q6718" s="1">
        <v>44538</v>
      </c>
      <c r="R6718" t="s">
        <v>27253</v>
      </c>
      <c r="S6718" t="s">
        <v>27254</v>
      </c>
      <c r="T6718" t="s">
        <v>27255</v>
      </c>
    </row>
    <row r="6719" spans="1:20" x14ac:dyDescent="0.3">
      <c r="A6719" t="str">
        <f>"0611831986100"</f>
        <v>0611831986100</v>
      </c>
      <c r="B6719" t="str">
        <f>"LL1954"</f>
        <v>LL1954</v>
      </c>
      <c r="C6719" t="s">
        <v>40288</v>
      </c>
      <c r="D6719" t="s">
        <v>27245</v>
      </c>
      <c r="E6719" t="str">
        <f t="shared" si="104"/>
        <v>001390</v>
      </c>
      <c r="F6719" t="s">
        <v>27246</v>
      </c>
      <c r="G6719" t="s">
        <v>27247</v>
      </c>
      <c r="H6719" t="s">
        <v>27248</v>
      </c>
      <c r="I6719" t="s">
        <v>40289</v>
      </c>
      <c r="J6719" t="s">
        <v>13343</v>
      </c>
      <c r="L6719" t="s">
        <v>27250</v>
      </c>
      <c r="M6719" t="s">
        <v>27251</v>
      </c>
      <c r="N6719" t="s">
        <v>27252</v>
      </c>
      <c r="Q6719" s="1">
        <v>44538</v>
      </c>
      <c r="R6719" t="s">
        <v>27253</v>
      </c>
      <c r="S6719" t="s">
        <v>27254</v>
      </c>
      <c r="T6719" t="s">
        <v>27255</v>
      </c>
    </row>
    <row r="6720" spans="1:20" x14ac:dyDescent="0.3">
      <c r="A6720" t="str">
        <f>"0611831987100"</f>
        <v>0611831987100</v>
      </c>
      <c r="B6720" t="str">
        <f>"LK1200"</f>
        <v>LK1200</v>
      </c>
      <c r="C6720" t="s">
        <v>40290</v>
      </c>
      <c r="D6720" t="s">
        <v>27245</v>
      </c>
      <c r="E6720" t="str">
        <f t="shared" si="104"/>
        <v>001390</v>
      </c>
      <c r="F6720" t="s">
        <v>27246</v>
      </c>
      <c r="G6720" t="s">
        <v>27247</v>
      </c>
      <c r="H6720" t="s">
        <v>27248</v>
      </c>
      <c r="I6720" t="s">
        <v>40291</v>
      </c>
      <c r="J6720" t="s">
        <v>16529</v>
      </c>
      <c r="L6720" t="s">
        <v>27250</v>
      </c>
      <c r="M6720" t="s">
        <v>27251</v>
      </c>
      <c r="N6720" t="s">
        <v>27252</v>
      </c>
      <c r="Q6720" s="1">
        <v>44538</v>
      </c>
      <c r="R6720" t="s">
        <v>27253</v>
      </c>
      <c r="S6720" t="s">
        <v>27254</v>
      </c>
      <c r="T6720" t="s">
        <v>27255</v>
      </c>
    </row>
    <row r="6721" spans="1:20" x14ac:dyDescent="0.3">
      <c r="A6721" t="str">
        <f>"0611831988100"</f>
        <v>0611831988100</v>
      </c>
      <c r="B6721" t="str">
        <f>"LK1571"</f>
        <v>LK1571</v>
      </c>
      <c r="C6721" t="s">
        <v>40292</v>
      </c>
      <c r="D6721" t="s">
        <v>27245</v>
      </c>
      <c r="E6721" t="str">
        <f t="shared" si="104"/>
        <v>001390</v>
      </c>
      <c r="F6721" t="s">
        <v>27246</v>
      </c>
      <c r="G6721" t="s">
        <v>27247</v>
      </c>
      <c r="H6721" t="s">
        <v>27248</v>
      </c>
      <c r="I6721" t="s">
        <v>40293</v>
      </c>
      <c r="J6721" t="s">
        <v>16531</v>
      </c>
      <c r="L6721" t="s">
        <v>27250</v>
      </c>
      <c r="M6721" t="s">
        <v>27251</v>
      </c>
      <c r="N6721" t="s">
        <v>27252</v>
      </c>
      <c r="Q6721" s="1">
        <v>44538</v>
      </c>
      <c r="R6721" t="s">
        <v>27253</v>
      </c>
      <c r="S6721" t="s">
        <v>27254</v>
      </c>
      <c r="T6721" t="s">
        <v>27255</v>
      </c>
    </row>
    <row r="6722" spans="1:20" x14ac:dyDescent="0.3">
      <c r="A6722" t="str">
        <f>"0611831989100"</f>
        <v>0611831989100</v>
      </c>
      <c r="B6722" t="str">
        <f>"LK1683"</f>
        <v>LK1683</v>
      </c>
      <c r="C6722" t="s">
        <v>40294</v>
      </c>
      <c r="D6722" t="s">
        <v>27245</v>
      </c>
      <c r="E6722" t="str">
        <f t="shared" ref="E6722:E6785" si="105">"001390"</f>
        <v>001390</v>
      </c>
      <c r="F6722" t="s">
        <v>27246</v>
      </c>
      <c r="G6722" t="s">
        <v>27247</v>
      </c>
      <c r="H6722" t="s">
        <v>27248</v>
      </c>
      <c r="I6722" t="s">
        <v>40295</v>
      </c>
      <c r="J6722" t="s">
        <v>16533</v>
      </c>
      <c r="L6722" t="s">
        <v>27250</v>
      </c>
      <c r="M6722" t="s">
        <v>27251</v>
      </c>
      <c r="N6722" t="s">
        <v>27252</v>
      </c>
      <c r="Q6722" s="1">
        <v>44538</v>
      </c>
      <c r="R6722" t="s">
        <v>27253</v>
      </c>
      <c r="S6722" t="s">
        <v>27254</v>
      </c>
      <c r="T6722" t="s">
        <v>27255</v>
      </c>
    </row>
    <row r="6723" spans="1:20" x14ac:dyDescent="0.3">
      <c r="A6723" t="str">
        <f>"0611835906025"</f>
        <v>0611835906025</v>
      </c>
      <c r="B6723" t="str">
        <f>"MC4218"</f>
        <v>MC4218</v>
      </c>
      <c r="C6723" t="s">
        <v>40296</v>
      </c>
      <c r="D6723" t="s">
        <v>27267</v>
      </c>
      <c r="E6723" t="str">
        <f t="shared" si="105"/>
        <v>001390</v>
      </c>
      <c r="F6723" t="s">
        <v>27246</v>
      </c>
      <c r="G6723" t="s">
        <v>27247</v>
      </c>
      <c r="H6723" t="s">
        <v>27248</v>
      </c>
      <c r="I6723" t="s">
        <v>40297</v>
      </c>
      <c r="J6723" t="s">
        <v>13345</v>
      </c>
      <c r="L6723" t="s">
        <v>27250</v>
      </c>
      <c r="M6723" t="s">
        <v>27251</v>
      </c>
      <c r="N6723" t="s">
        <v>27252</v>
      </c>
      <c r="Q6723" s="1">
        <v>44538</v>
      </c>
      <c r="R6723" t="s">
        <v>27253</v>
      </c>
      <c r="S6723" t="s">
        <v>27254</v>
      </c>
      <c r="T6723" t="s">
        <v>27269</v>
      </c>
    </row>
    <row r="6724" spans="1:20" x14ac:dyDescent="0.3">
      <c r="A6724" t="str">
        <f>"0611835907025"</f>
        <v>0611835907025</v>
      </c>
      <c r="B6724" t="str">
        <f>"MC0886"</f>
        <v>MC0886</v>
      </c>
      <c r="C6724" t="s">
        <v>40298</v>
      </c>
      <c r="D6724" t="s">
        <v>27267</v>
      </c>
      <c r="E6724" t="str">
        <f t="shared" si="105"/>
        <v>001390</v>
      </c>
      <c r="F6724" t="s">
        <v>27246</v>
      </c>
      <c r="G6724" t="s">
        <v>27247</v>
      </c>
      <c r="H6724" t="s">
        <v>27248</v>
      </c>
      <c r="I6724" t="s">
        <v>40299</v>
      </c>
      <c r="J6724" t="s">
        <v>13347</v>
      </c>
      <c r="L6724" t="s">
        <v>27250</v>
      </c>
      <c r="M6724" t="s">
        <v>27251</v>
      </c>
      <c r="N6724" t="s">
        <v>27252</v>
      </c>
      <c r="Q6724" s="1">
        <v>44538</v>
      </c>
      <c r="R6724" t="s">
        <v>27253</v>
      </c>
      <c r="S6724" t="s">
        <v>27254</v>
      </c>
      <c r="T6724" t="s">
        <v>27269</v>
      </c>
    </row>
    <row r="6725" spans="1:20" x14ac:dyDescent="0.3">
      <c r="A6725" t="str">
        <f>"0611857014025"</f>
        <v>0611857014025</v>
      </c>
      <c r="B6725" t="str">
        <f>"MQ0787"</f>
        <v>MQ0787</v>
      </c>
      <c r="C6725" t="s">
        <v>40300</v>
      </c>
      <c r="D6725" t="s">
        <v>27267</v>
      </c>
      <c r="E6725" t="str">
        <f t="shared" si="105"/>
        <v>001390</v>
      </c>
      <c r="F6725" t="s">
        <v>27246</v>
      </c>
      <c r="G6725" t="s">
        <v>27247</v>
      </c>
      <c r="H6725" t="s">
        <v>27248</v>
      </c>
      <c r="I6725" t="s">
        <v>40301</v>
      </c>
      <c r="J6725" t="s">
        <v>13349</v>
      </c>
      <c r="L6725" t="s">
        <v>27250</v>
      </c>
      <c r="M6725" t="s">
        <v>27251</v>
      </c>
      <c r="N6725" t="s">
        <v>27252</v>
      </c>
      <c r="Q6725" s="1">
        <v>44812</v>
      </c>
      <c r="R6725" t="s">
        <v>27253</v>
      </c>
      <c r="S6725" t="s">
        <v>27254</v>
      </c>
      <c r="T6725" t="s">
        <v>27269</v>
      </c>
    </row>
    <row r="6726" spans="1:20" x14ac:dyDescent="0.3">
      <c r="A6726" t="str">
        <f>"0611835908025"</f>
        <v>0611835908025</v>
      </c>
      <c r="B6726" t="str">
        <f>"MC4404"</f>
        <v>MC4404</v>
      </c>
      <c r="C6726" t="s">
        <v>40302</v>
      </c>
      <c r="D6726" t="s">
        <v>27267</v>
      </c>
      <c r="E6726" t="str">
        <f t="shared" si="105"/>
        <v>001390</v>
      </c>
      <c r="F6726" t="s">
        <v>27246</v>
      </c>
      <c r="G6726" t="s">
        <v>27247</v>
      </c>
      <c r="H6726" t="s">
        <v>27248</v>
      </c>
      <c r="I6726" t="s">
        <v>40303</v>
      </c>
      <c r="J6726" t="s">
        <v>13351</v>
      </c>
      <c r="L6726" t="s">
        <v>27250</v>
      </c>
      <c r="M6726" t="s">
        <v>27251</v>
      </c>
      <c r="N6726" t="s">
        <v>27252</v>
      </c>
      <c r="Q6726" s="1">
        <v>44538</v>
      </c>
      <c r="R6726" t="s">
        <v>27253</v>
      </c>
      <c r="S6726" t="s">
        <v>27254</v>
      </c>
      <c r="T6726" t="s">
        <v>27269</v>
      </c>
    </row>
    <row r="6727" spans="1:20" x14ac:dyDescent="0.3">
      <c r="A6727" t="str">
        <f>"0611835909025"</f>
        <v>0611835909025</v>
      </c>
      <c r="B6727" t="str">
        <f>"MQ0295"</f>
        <v>MQ0295</v>
      </c>
      <c r="C6727" t="s">
        <v>40304</v>
      </c>
      <c r="D6727" t="s">
        <v>27267</v>
      </c>
      <c r="E6727" t="str">
        <f t="shared" si="105"/>
        <v>001390</v>
      </c>
      <c r="F6727" t="s">
        <v>27246</v>
      </c>
      <c r="G6727" t="s">
        <v>27247</v>
      </c>
      <c r="H6727" t="s">
        <v>27248</v>
      </c>
      <c r="I6727" t="s">
        <v>40305</v>
      </c>
      <c r="J6727" t="s">
        <v>13353</v>
      </c>
      <c r="L6727" t="s">
        <v>27250</v>
      </c>
      <c r="M6727" t="s">
        <v>27251</v>
      </c>
      <c r="N6727" t="s">
        <v>27252</v>
      </c>
      <c r="Q6727" s="1">
        <v>44538</v>
      </c>
      <c r="R6727" t="s">
        <v>27253</v>
      </c>
      <c r="S6727" t="s">
        <v>27254</v>
      </c>
      <c r="T6727" t="s">
        <v>27269</v>
      </c>
    </row>
    <row r="6728" spans="1:20" x14ac:dyDescent="0.3">
      <c r="A6728" t="str">
        <f>"0611835910025"</f>
        <v>0611835910025</v>
      </c>
      <c r="B6728" t="str">
        <f>"MQ0296"</f>
        <v>MQ0296</v>
      </c>
      <c r="C6728" t="s">
        <v>40306</v>
      </c>
      <c r="D6728" t="s">
        <v>27267</v>
      </c>
      <c r="E6728" t="str">
        <f t="shared" si="105"/>
        <v>001390</v>
      </c>
      <c r="F6728" t="s">
        <v>27246</v>
      </c>
      <c r="G6728" t="s">
        <v>27247</v>
      </c>
      <c r="H6728" t="s">
        <v>27248</v>
      </c>
      <c r="I6728" t="s">
        <v>40307</v>
      </c>
      <c r="J6728" t="s">
        <v>13355</v>
      </c>
      <c r="L6728" t="s">
        <v>27250</v>
      </c>
      <c r="M6728" t="s">
        <v>27251</v>
      </c>
      <c r="N6728" t="s">
        <v>27252</v>
      </c>
      <c r="Q6728" s="1">
        <v>44538</v>
      </c>
      <c r="R6728" t="s">
        <v>27253</v>
      </c>
      <c r="S6728" t="s">
        <v>27254</v>
      </c>
      <c r="T6728" t="s">
        <v>27269</v>
      </c>
    </row>
    <row r="6729" spans="1:20" x14ac:dyDescent="0.3">
      <c r="A6729" t="str">
        <f>"0611835912100"</f>
        <v>0611835912100</v>
      </c>
      <c r="B6729" t="str">
        <f>"LH8420"</f>
        <v>LH8420</v>
      </c>
      <c r="C6729" t="s">
        <v>40308</v>
      </c>
      <c r="D6729" t="s">
        <v>27245</v>
      </c>
      <c r="E6729" t="str">
        <f t="shared" si="105"/>
        <v>001390</v>
      </c>
      <c r="F6729" t="s">
        <v>27246</v>
      </c>
      <c r="G6729" t="s">
        <v>27247</v>
      </c>
      <c r="H6729" t="s">
        <v>27248</v>
      </c>
      <c r="I6729" t="s">
        <v>40309</v>
      </c>
      <c r="J6729" t="s">
        <v>13357</v>
      </c>
      <c r="L6729" t="s">
        <v>27250</v>
      </c>
      <c r="M6729" t="s">
        <v>27251</v>
      </c>
      <c r="N6729" t="s">
        <v>27252</v>
      </c>
      <c r="Q6729" s="1">
        <v>44538</v>
      </c>
      <c r="R6729" t="s">
        <v>27253</v>
      </c>
      <c r="S6729" t="s">
        <v>27254</v>
      </c>
      <c r="T6729" t="s">
        <v>27255</v>
      </c>
    </row>
    <row r="6730" spans="1:20" x14ac:dyDescent="0.3">
      <c r="A6730" t="str">
        <f>"0611835913025"</f>
        <v>0611835913025</v>
      </c>
      <c r="B6730" t="str">
        <f>"MC0455"</f>
        <v>MC0455</v>
      </c>
      <c r="C6730" t="s">
        <v>40308</v>
      </c>
      <c r="D6730" t="s">
        <v>27267</v>
      </c>
      <c r="E6730" t="str">
        <f t="shared" si="105"/>
        <v>001390</v>
      </c>
      <c r="F6730" t="s">
        <v>27246</v>
      </c>
      <c r="G6730" t="s">
        <v>27247</v>
      </c>
      <c r="H6730" t="s">
        <v>27248</v>
      </c>
      <c r="I6730" t="s">
        <v>40310</v>
      </c>
      <c r="J6730" t="s">
        <v>13359</v>
      </c>
      <c r="L6730" t="s">
        <v>27250</v>
      </c>
      <c r="M6730" t="s">
        <v>27251</v>
      </c>
      <c r="N6730" t="s">
        <v>27252</v>
      </c>
      <c r="Q6730" s="1">
        <v>44538</v>
      </c>
      <c r="R6730" t="s">
        <v>27253</v>
      </c>
      <c r="S6730" t="s">
        <v>27254</v>
      </c>
      <c r="T6730" t="s">
        <v>27269</v>
      </c>
    </row>
    <row r="6731" spans="1:20" x14ac:dyDescent="0.3">
      <c r="A6731" t="str">
        <f>"0611835914025"</f>
        <v>0611835914025</v>
      </c>
      <c r="B6731" t="str">
        <f>"MC2668"</f>
        <v>MC2668</v>
      </c>
      <c r="C6731" t="s">
        <v>40311</v>
      </c>
      <c r="D6731" t="s">
        <v>27267</v>
      </c>
      <c r="E6731" t="str">
        <f t="shared" si="105"/>
        <v>001390</v>
      </c>
      <c r="F6731" t="s">
        <v>27246</v>
      </c>
      <c r="G6731" t="s">
        <v>27247</v>
      </c>
      <c r="H6731" t="s">
        <v>27248</v>
      </c>
      <c r="I6731" t="s">
        <v>40312</v>
      </c>
      <c r="J6731" t="s">
        <v>13361</v>
      </c>
      <c r="L6731" t="s">
        <v>27250</v>
      </c>
      <c r="M6731" t="s">
        <v>27251</v>
      </c>
      <c r="N6731" t="s">
        <v>27252</v>
      </c>
      <c r="Q6731" s="1">
        <v>44538</v>
      </c>
      <c r="R6731" t="s">
        <v>27253</v>
      </c>
      <c r="S6731" t="s">
        <v>27254</v>
      </c>
      <c r="T6731" t="s">
        <v>27269</v>
      </c>
    </row>
    <row r="6732" spans="1:20" x14ac:dyDescent="0.3">
      <c r="A6732" t="str">
        <f>"0611831857100"</f>
        <v>0611831857100</v>
      </c>
      <c r="B6732" t="str">
        <f>"LL2066"</f>
        <v>LL2066</v>
      </c>
      <c r="C6732" t="s">
        <v>40313</v>
      </c>
      <c r="D6732" t="s">
        <v>27245</v>
      </c>
      <c r="E6732" t="str">
        <f t="shared" si="105"/>
        <v>001390</v>
      </c>
      <c r="F6732" t="s">
        <v>27246</v>
      </c>
      <c r="G6732" t="s">
        <v>27247</v>
      </c>
      <c r="H6732" t="s">
        <v>27248</v>
      </c>
      <c r="I6732" t="s">
        <v>40314</v>
      </c>
      <c r="J6732" t="s">
        <v>13363</v>
      </c>
      <c r="L6732" t="s">
        <v>27250</v>
      </c>
      <c r="M6732" t="s">
        <v>27251</v>
      </c>
      <c r="N6732" t="s">
        <v>27252</v>
      </c>
      <c r="Q6732" s="1">
        <v>44538</v>
      </c>
      <c r="R6732" t="s">
        <v>27253</v>
      </c>
      <c r="S6732" t="s">
        <v>27254</v>
      </c>
      <c r="T6732" t="s">
        <v>27255</v>
      </c>
    </row>
    <row r="6733" spans="1:20" x14ac:dyDescent="0.3">
      <c r="A6733" t="str">
        <f>"0611831859100"</f>
        <v>0611831859100</v>
      </c>
      <c r="B6733" t="str">
        <f>"LL2055"</f>
        <v>LL2055</v>
      </c>
      <c r="C6733" t="s">
        <v>40315</v>
      </c>
      <c r="D6733" t="s">
        <v>27245</v>
      </c>
      <c r="E6733" t="str">
        <f t="shared" si="105"/>
        <v>001390</v>
      </c>
      <c r="F6733" t="s">
        <v>27246</v>
      </c>
      <c r="G6733" t="s">
        <v>27247</v>
      </c>
      <c r="H6733" t="s">
        <v>27248</v>
      </c>
      <c r="I6733" t="s">
        <v>40316</v>
      </c>
      <c r="J6733" t="s">
        <v>13365</v>
      </c>
      <c r="L6733" t="s">
        <v>27250</v>
      </c>
      <c r="M6733" t="s">
        <v>27251</v>
      </c>
      <c r="N6733" t="s">
        <v>27252</v>
      </c>
      <c r="Q6733" s="1">
        <v>44538</v>
      </c>
      <c r="R6733" t="s">
        <v>27253</v>
      </c>
      <c r="S6733" t="s">
        <v>27254</v>
      </c>
      <c r="T6733" t="s">
        <v>27255</v>
      </c>
    </row>
    <row r="6734" spans="1:20" x14ac:dyDescent="0.3">
      <c r="A6734" t="str">
        <f>"0611831871100"</f>
        <v>0611831871100</v>
      </c>
      <c r="B6734" t="str">
        <f>"LL0120"</f>
        <v>LL0120</v>
      </c>
      <c r="C6734" t="s">
        <v>40317</v>
      </c>
      <c r="D6734" t="s">
        <v>27245</v>
      </c>
      <c r="E6734" t="str">
        <f t="shared" si="105"/>
        <v>001390</v>
      </c>
      <c r="F6734" t="s">
        <v>27246</v>
      </c>
      <c r="G6734" t="s">
        <v>27247</v>
      </c>
      <c r="H6734" t="s">
        <v>27248</v>
      </c>
      <c r="I6734" t="s">
        <v>40318</v>
      </c>
      <c r="J6734" t="s">
        <v>13367</v>
      </c>
      <c r="L6734" t="s">
        <v>27250</v>
      </c>
      <c r="M6734" t="s">
        <v>27251</v>
      </c>
      <c r="N6734" t="s">
        <v>27252</v>
      </c>
      <c r="Q6734" s="1">
        <v>44538</v>
      </c>
      <c r="R6734" t="s">
        <v>27253</v>
      </c>
      <c r="S6734" t="s">
        <v>27254</v>
      </c>
      <c r="T6734" t="s">
        <v>27255</v>
      </c>
    </row>
    <row r="6735" spans="1:20" x14ac:dyDescent="0.3">
      <c r="A6735" t="str">
        <f>"0611831877100"</f>
        <v>0611831877100</v>
      </c>
      <c r="B6735" t="str">
        <f>"LL2062"</f>
        <v>LL2062</v>
      </c>
      <c r="C6735" t="s">
        <v>40319</v>
      </c>
      <c r="D6735" t="s">
        <v>27245</v>
      </c>
      <c r="E6735" t="str">
        <f t="shared" si="105"/>
        <v>001390</v>
      </c>
      <c r="F6735" t="s">
        <v>27246</v>
      </c>
      <c r="G6735" t="s">
        <v>27247</v>
      </c>
      <c r="H6735" t="s">
        <v>27248</v>
      </c>
      <c r="I6735" t="s">
        <v>40320</v>
      </c>
      <c r="J6735" t="s">
        <v>13369</v>
      </c>
      <c r="L6735" t="s">
        <v>27250</v>
      </c>
      <c r="M6735" t="s">
        <v>27251</v>
      </c>
      <c r="N6735" t="s">
        <v>27252</v>
      </c>
      <c r="Q6735" s="1">
        <v>44538</v>
      </c>
      <c r="R6735" t="s">
        <v>27253</v>
      </c>
      <c r="S6735" t="s">
        <v>27254</v>
      </c>
      <c r="T6735" t="s">
        <v>27255</v>
      </c>
    </row>
    <row r="6736" spans="1:20" x14ac:dyDescent="0.3">
      <c r="A6736" t="str">
        <f>"0611831878100"</f>
        <v>0611831878100</v>
      </c>
      <c r="B6736" t="str">
        <f>"LL2063"</f>
        <v>LL2063</v>
      </c>
      <c r="C6736" t="s">
        <v>40321</v>
      </c>
      <c r="D6736" t="s">
        <v>27245</v>
      </c>
      <c r="E6736" t="str">
        <f t="shared" si="105"/>
        <v>001390</v>
      </c>
      <c r="F6736" t="s">
        <v>27246</v>
      </c>
      <c r="G6736" t="s">
        <v>27247</v>
      </c>
      <c r="H6736" t="s">
        <v>27248</v>
      </c>
      <c r="I6736" t="s">
        <v>40322</v>
      </c>
      <c r="J6736" t="s">
        <v>13371</v>
      </c>
      <c r="L6736" t="s">
        <v>27250</v>
      </c>
      <c r="M6736" t="s">
        <v>27251</v>
      </c>
      <c r="N6736" t="s">
        <v>27252</v>
      </c>
      <c r="Q6736" s="1">
        <v>44538</v>
      </c>
      <c r="R6736" t="s">
        <v>27253</v>
      </c>
      <c r="S6736" t="s">
        <v>27254</v>
      </c>
      <c r="T6736" t="s">
        <v>27255</v>
      </c>
    </row>
    <row r="6737" spans="1:20" x14ac:dyDescent="0.3">
      <c r="A6737" t="str">
        <f>"0611831881100"</f>
        <v>0611831881100</v>
      </c>
      <c r="B6737" t="str">
        <f>"LL2065"</f>
        <v>LL2065</v>
      </c>
      <c r="C6737" t="s">
        <v>40323</v>
      </c>
      <c r="D6737" t="s">
        <v>27245</v>
      </c>
      <c r="E6737" t="str">
        <f t="shared" si="105"/>
        <v>001390</v>
      </c>
      <c r="F6737" t="s">
        <v>27246</v>
      </c>
      <c r="G6737" t="s">
        <v>27247</v>
      </c>
      <c r="H6737" t="s">
        <v>27248</v>
      </c>
      <c r="I6737" t="s">
        <v>40324</v>
      </c>
      <c r="J6737" t="s">
        <v>13373</v>
      </c>
      <c r="L6737" t="s">
        <v>27250</v>
      </c>
      <c r="M6737" t="s">
        <v>27251</v>
      </c>
      <c r="N6737" t="s">
        <v>27252</v>
      </c>
      <c r="Q6737" s="1">
        <v>44538</v>
      </c>
      <c r="R6737" t="s">
        <v>27253</v>
      </c>
      <c r="S6737" t="s">
        <v>27254</v>
      </c>
      <c r="T6737" t="s">
        <v>27255</v>
      </c>
    </row>
    <row r="6738" spans="1:20" x14ac:dyDescent="0.3">
      <c r="A6738" t="str">
        <f>"0611831902100"</f>
        <v>0611831902100</v>
      </c>
      <c r="B6738" t="str">
        <f>"LL8310"</f>
        <v>LL8310</v>
      </c>
      <c r="C6738" t="s">
        <v>40325</v>
      </c>
      <c r="D6738" t="s">
        <v>27245</v>
      </c>
      <c r="E6738" t="str">
        <f t="shared" si="105"/>
        <v>001390</v>
      </c>
      <c r="F6738" t="s">
        <v>27246</v>
      </c>
      <c r="G6738" t="s">
        <v>27247</v>
      </c>
      <c r="H6738" t="s">
        <v>27248</v>
      </c>
      <c r="I6738" t="s">
        <v>40326</v>
      </c>
      <c r="J6738" t="s">
        <v>13375</v>
      </c>
      <c r="L6738" t="s">
        <v>27250</v>
      </c>
      <c r="M6738" t="s">
        <v>27251</v>
      </c>
      <c r="N6738" t="s">
        <v>27252</v>
      </c>
      <c r="Q6738" s="1">
        <v>44538</v>
      </c>
      <c r="R6738" t="s">
        <v>27253</v>
      </c>
      <c r="S6738" t="s">
        <v>27254</v>
      </c>
      <c r="T6738" t="s">
        <v>27255</v>
      </c>
    </row>
    <row r="6739" spans="1:20" x14ac:dyDescent="0.3">
      <c r="A6739" t="str">
        <f>"0611831937100"</f>
        <v>0611831937100</v>
      </c>
      <c r="B6739" t="str">
        <f>"LL8192"</f>
        <v>LL8192</v>
      </c>
      <c r="C6739" t="s">
        <v>40327</v>
      </c>
      <c r="D6739" t="s">
        <v>27245</v>
      </c>
      <c r="E6739" t="str">
        <f t="shared" si="105"/>
        <v>001390</v>
      </c>
      <c r="F6739" t="s">
        <v>27246</v>
      </c>
      <c r="G6739" t="s">
        <v>27247</v>
      </c>
      <c r="H6739" t="s">
        <v>27248</v>
      </c>
      <c r="I6739" t="s">
        <v>40328</v>
      </c>
      <c r="J6739" t="s">
        <v>13377</v>
      </c>
      <c r="L6739" t="s">
        <v>27250</v>
      </c>
      <c r="M6739" t="s">
        <v>27251</v>
      </c>
      <c r="N6739" t="s">
        <v>27252</v>
      </c>
      <c r="Q6739" s="1">
        <v>44538</v>
      </c>
      <c r="R6739" t="s">
        <v>27253</v>
      </c>
      <c r="S6739" t="s">
        <v>27254</v>
      </c>
      <c r="T6739" t="s">
        <v>27255</v>
      </c>
    </row>
    <row r="6740" spans="1:20" x14ac:dyDescent="0.3">
      <c r="A6740" t="str">
        <f>"0611831985100"</f>
        <v>0611831985100</v>
      </c>
      <c r="B6740" t="str">
        <f>"LL8193"</f>
        <v>LL8193</v>
      </c>
      <c r="C6740" t="s">
        <v>40329</v>
      </c>
      <c r="D6740" t="s">
        <v>27245</v>
      </c>
      <c r="E6740" t="str">
        <f t="shared" si="105"/>
        <v>001390</v>
      </c>
      <c r="F6740" t="s">
        <v>27246</v>
      </c>
      <c r="G6740" t="s">
        <v>27247</v>
      </c>
      <c r="H6740" t="s">
        <v>27248</v>
      </c>
      <c r="I6740" t="s">
        <v>40330</v>
      </c>
      <c r="J6740" t="s">
        <v>13379</v>
      </c>
      <c r="L6740" t="s">
        <v>27250</v>
      </c>
      <c r="M6740" t="s">
        <v>27251</v>
      </c>
      <c r="N6740" t="s">
        <v>27252</v>
      </c>
      <c r="Q6740" s="1">
        <v>44538</v>
      </c>
      <c r="R6740" t="s">
        <v>27253</v>
      </c>
      <c r="S6740" t="s">
        <v>27254</v>
      </c>
      <c r="T6740" t="s">
        <v>27255</v>
      </c>
    </row>
    <row r="6741" spans="1:20" x14ac:dyDescent="0.3">
      <c r="A6741" t="str">
        <f>"0611862938050"</f>
        <v>0611862938050</v>
      </c>
      <c r="B6741" t="str">
        <f>"CE0906"</f>
        <v>CE0906</v>
      </c>
      <c r="C6741" t="s">
        <v>40331</v>
      </c>
      <c r="D6741" t="s">
        <v>27923</v>
      </c>
      <c r="E6741" t="str">
        <f t="shared" si="105"/>
        <v>001390</v>
      </c>
      <c r="F6741" t="s">
        <v>27246</v>
      </c>
      <c r="G6741" t="s">
        <v>27247</v>
      </c>
      <c r="H6741" t="s">
        <v>27248</v>
      </c>
      <c r="I6741" t="s">
        <v>40332</v>
      </c>
      <c r="J6741" t="s">
        <v>13381</v>
      </c>
      <c r="L6741" t="s">
        <v>27250</v>
      </c>
      <c r="M6741" t="s">
        <v>27251</v>
      </c>
      <c r="N6741" t="s">
        <v>27252</v>
      </c>
      <c r="P6741" t="s">
        <v>27925</v>
      </c>
      <c r="Q6741" s="1">
        <v>44846</v>
      </c>
      <c r="R6741" t="s">
        <v>27253</v>
      </c>
      <c r="S6741" t="s">
        <v>27254</v>
      </c>
      <c r="T6741" t="s">
        <v>27265</v>
      </c>
    </row>
    <row r="6742" spans="1:20" x14ac:dyDescent="0.3">
      <c r="A6742" t="str">
        <f>"0611862939050"</f>
        <v>0611862939050</v>
      </c>
      <c r="B6742" t="str">
        <f>"CE1511"</f>
        <v>CE1511</v>
      </c>
      <c r="C6742" t="s">
        <v>40333</v>
      </c>
      <c r="D6742" t="s">
        <v>27923</v>
      </c>
      <c r="E6742" t="str">
        <f t="shared" si="105"/>
        <v>001390</v>
      </c>
      <c r="F6742" t="s">
        <v>27246</v>
      </c>
      <c r="G6742" t="s">
        <v>27247</v>
      </c>
      <c r="H6742" t="s">
        <v>27248</v>
      </c>
      <c r="I6742" t="s">
        <v>40334</v>
      </c>
      <c r="J6742" t="s">
        <v>13383</v>
      </c>
      <c r="L6742" t="s">
        <v>27250</v>
      </c>
      <c r="M6742" t="s">
        <v>27251</v>
      </c>
      <c r="N6742" t="s">
        <v>27252</v>
      </c>
      <c r="P6742" t="s">
        <v>27925</v>
      </c>
      <c r="Q6742" s="1">
        <v>44846</v>
      </c>
      <c r="R6742" t="s">
        <v>27253</v>
      </c>
      <c r="S6742" t="s">
        <v>27254</v>
      </c>
      <c r="T6742" t="s">
        <v>27265</v>
      </c>
    </row>
    <row r="6743" spans="1:20" x14ac:dyDescent="0.3">
      <c r="A6743" t="str">
        <f>"0611862940050"</f>
        <v>0611862940050</v>
      </c>
      <c r="B6743" t="str">
        <f>"CE1602"</f>
        <v>CE1602</v>
      </c>
      <c r="C6743" t="s">
        <v>40335</v>
      </c>
      <c r="D6743" t="s">
        <v>27923</v>
      </c>
      <c r="E6743" t="str">
        <f t="shared" si="105"/>
        <v>001390</v>
      </c>
      <c r="F6743" t="s">
        <v>27246</v>
      </c>
      <c r="G6743" t="s">
        <v>27247</v>
      </c>
      <c r="H6743" t="s">
        <v>27248</v>
      </c>
      <c r="I6743" t="s">
        <v>40336</v>
      </c>
      <c r="J6743" t="s">
        <v>13385</v>
      </c>
      <c r="L6743" t="s">
        <v>27250</v>
      </c>
      <c r="M6743" t="s">
        <v>27251</v>
      </c>
      <c r="N6743" t="s">
        <v>27252</v>
      </c>
      <c r="P6743" t="s">
        <v>27925</v>
      </c>
      <c r="Q6743" s="1">
        <v>44846</v>
      </c>
      <c r="R6743" t="s">
        <v>27253</v>
      </c>
      <c r="S6743" t="s">
        <v>27254</v>
      </c>
      <c r="T6743" t="s">
        <v>27265</v>
      </c>
    </row>
    <row r="6744" spans="1:20" x14ac:dyDescent="0.3">
      <c r="A6744" t="str">
        <f>"0611862941050"</f>
        <v>0611862941050</v>
      </c>
      <c r="B6744" t="str">
        <f>"CE1379"</f>
        <v>CE1379</v>
      </c>
      <c r="C6744" t="s">
        <v>40337</v>
      </c>
      <c r="D6744" t="s">
        <v>27923</v>
      </c>
      <c r="E6744" t="str">
        <f t="shared" si="105"/>
        <v>001390</v>
      </c>
      <c r="F6744" t="s">
        <v>27246</v>
      </c>
      <c r="G6744" t="s">
        <v>27247</v>
      </c>
      <c r="H6744" t="s">
        <v>27248</v>
      </c>
      <c r="I6744" t="s">
        <v>40338</v>
      </c>
      <c r="J6744" t="s">
        <v>13387</v>
      </c>
      <c r="L6744" t="s">
        <v>27250</v>
      </c>
      <c r="M6744" t="s">
        <v>27251</v>
      </c>
      <c r="N6744" t="s">
        <v>27252</v>
      </c>
      <c r="P6744" t="s">
        <v>27925</v>
      </c>
      <c r="Q6744" s="1">
        <v>44846</v>
      </c>
      <c r="R6744" t="s">
        <v>27253</v>
      </c>
      <c r="S6744" t="s">
        <v>27254</v>
      </c>
      <c r="T6744" t="s">
        <v>27265</v>
      </c>
    </row>
    <row r="6745" spans="1:20" x14ac:dyDescent="0.3">
      <c r="A6745" t="str">
        <f>"0611862942050"</f>
        <v>0611862942050</v>
      </c>
      <c r="B6745" t="str">
        <f>"CE0726"</f>
        <v>CE0726</v>
      </c>
      <c r="C6745" t="s">
        <v>40339</v>
      </c>
      <c r="D6745" t="s">
        <v>27923</v>
      </c>
      <c r="E6745" t="str">
        <f t="shared" si="105"/>
        <v>001390</v>
      </c>
      <c r="F6745" t="s">
        <v>27246</v>
      </c>
      <c r="G6745" t="s">
        <v>27247</v>
      </c>
      <c r="H6745" t="s">
        <v>27248</v>
      </c>
      <c r="I6745" t="s">
        <v>40340</v>
      </c>
      <c r="J6745" t="s">
        <v>13389</v>
      </c>
      <c r="L6745" t="s">
        <v>27250</v>
      </c>
      <c r="M6745" t="s">
        <v>27251</v>
      </c>
      <c r="N6745" t="s">
        <v>27252</v>
      </c>
      <c r="P6745" t="s">
        <v>27925</v>
      </c>
      <c r="Q6745" s="1">
        <v>44846</v>
      </c>
      <c r="R6745" t="s">
        <v>27253</v>
      </c>
      <c r="S6745" t="s">
        <v>27254</v>
      </c>
      <c r="T6745" t="s">
        <v>27265</v>
      </c>
    </row>
    <row r="6746" spans="1:20" x14ac:dyDescent="0.3">
      <c r="A6746" t="str">
        <f>"0611862943050"</f>
        <v>0611862943050</v>
      </c>
      <c r="B6746" t="str">
        <f>"CE0727"</f>
        <v>CE0727</v>
      </c>
      <c r="C6746" t="s">
        <v>40341</v>
      </c>
      <c r="D6746" t="s">
        <v>27923</v>
      </c>
      <c r="E6746" t="str">
        <f t="shared" si="105"/>
        <v>001390</v>
      </c>
      <c r="F6746" t="s">
        <v>27246</v>
      </c>
      <c r="G6746" t="s">
        <v>27247</v>
      </c>
      <c r="H6746" t="s">
        <v>27248</v>
      </c>
      <c r="I6746" t="s">
        <v>40342</v>
      </c>
      <c r="J6746" t="s">
        <v>13391</v>
      </c>
      <c r="L6746" t="s">
        <v>27250</v>
      </c>
      <c r="M6746" t="s">
        <v>27251</v>
      </c>
      <c r="N6746" t="s">
        <v>27252</v>
      </c>
      <c r="P6746" t="s">
        <v>27925</v>
      </c>
      <c r="Q6746" s="1">
        <v>44846</v>
      </c>
      <c r="R6746" t="s">
        <v>27253</v>
      </c>
      <c r="S6746" t="s">
        <v>27254</v>
      </c>
      <c r="T6746" t="s">
        <v>27265</v>
      </c>
    </row>
    <row r="6747" spans="1:20" x14ac:dyDescent="0.3">
      <c r="A6747" t="str">
        <f>"0611862944050"</f>
        <v>0611862944050</v>
      </c>
      <c r="B6747" t="str">
        <f>"CE1380"</f>
        <v>CE1380</v>
      </c>
      <c r="C6747" t="s">
        <v>40343</v>
      </c>
      <c r="D6747" t="s">
        <v>27923</v>
      </c>
      <c r="E6747" t="str">
        <f t="shared" si="105"/>
        <v>001390</v>
      </c>
      <c r="F6747" t="s">
        <v>27246</v>
      </c>
      <c r="G6747" t="s">
        <v>27247</v>
      </c>
      <c r="H6747" t="s">
        <v>27248</v>
      </c>
      <c r="I6747" t="s">
        <v>40344</v>
      </c>
      <c r="J6747" t="s">
        <v>13393</v>
      </c>
      <c r="L6747" t="s">
        <v>27250</v>
      </c>
      <c r="M6747" t="s">
        <v>27251</v>
      </c>
      <c r="N6747" t="s">
        <v>27252</v>
      </c>
      <c r="P6747" t="s">
        <v>27925</v>
      </c>
      <c r="Q6747" s="1">
        <v>44846</v>
      </c>
      <c r="R6747" t="s">
        <v>27253</v>
      </c>
      <c r="S6747" t="s">
        <v>27254</v>
      </c>
      <c r="T6747" t="s">
        <v>27265</v>
      </c>
    </row>
    <row r="6748" spans="1:20" x14ac:dyDescent="0.3">
      <c r="A6748" t="str">
        <f>"0611884276050"</f>
        <v>0611884276050</v>
      </c>
      <c r="B6748" t="str">
        <f>"CE1751"</f>
        <v>CE1751</v>
      </c>
      <c r="C6748" t="s">
        <v>40345</v>
      </c>
      <c r="D6748" t="s">
        <v>27923</v>
      </c>
      <c r="E6748" t="str">
        <f t="shared" si="105"/>
        <v>001390</v>
      </c>
      <c r="F6748" t="s">
        <v>27246</v>
      </c>
      <c r="G6748" t="s">
        <v>27247</v>
      </c>
      <c r="H6748" t="s">
        <v>27248</v>
      </c>
      <c r="I6748" t="s">
        <v>40346</v>
      </c>
      <c r="J6748" t="s">
        <v>13395</v>
      </c>
      <c r="L6748" t="s">
        <v>27430</v>
      </c>
      <c r="M6748" t="s">
        <v>27251</v>
      </c>
      <c r="N6748" t="s">
        <v>27252</v>
      </c>
      <c r="P6748" t="s">
        <v>27925</v>
      </c>
      <c r="Q6748" s="1">
        <v>45250</v>
      </c>
      <c r="R6748" t="s">
        <v>27253</v>
      </c>
      <c r="S6748" t="s">
        <v>27254</v>
      </c>
      <c r="T6748" t="s">
        <v>27265</v>
      </c>
    </row>
    <row r="6749" spans="1:20" x14ac:dyDescent="0.3">
      <c r="A6749" t="str">
        <f>"0611884277050"</f>
        <v>0611884277050</v>
      </c>
      <c r="B6749" t="str">
        <f>"CE1752"</f>
        <v>CE1752</v>
      </c>
      <c r="C6749" t="s">
        <v>40347</v>
      </c>
      <c r="D6749" t="s">
        <v>27923</v>
      </c>
      <c r="E6749" t="str">
        <f t="shared" si="105"/>
        <v>001390</v>
      </c>
      <c r="F6749" t="s">
        <v>27246</v>
      </c>
      <c r="G6749" t="s">
        <v>27247</v>
      </c>
      <c r="H6749" t="s">
        <v>27248</v>
      </c>
      <c r="I6749" t="s">
        <v>40348</v>
      </c>
      <c r="J6749" t="s">
        <v>13397</v>
      </c>
      <c r="L6749" t="s">
        <v>27430</v>
      </c>
      <c r="M6749" t="s">
        <v>27251</v>
      </c>
      <c r="N6749" t="s">
        <v>27252</v>
      </c>
      <c r="P6749" t="s">
        <v>27925</v>
      </c>
      <c r="Q6749" s="1">
        <v>45250</v>
      </c>
      <c r="R6749" t="s">
        <v>27253</v>
      </c>
      <c r="S6749" t="s">
        <v>27254</v>
      </c>
      <c r="T6749" t="s">
        <v>27265</v>
      </c>
    </row>
    <row r="6750" spans="1:20" x14ac:dyDescent="0.3">
      <c r="A6750" t="str">
        <f>"0611862945050"</f>
        <v>0611862945050</v>
      </c>
      <c r="B6750" t="str">
        <f>"CE1377"</f>
        <v>CE1377</v>
      </c>
      <c r="C6750" t="s">
        <v>40349</v>
      </c>
      <c r="D6750" t="s">
        <v>27923</v>
      </c>
      <c r="E6750" t="str">
        <f t="shared" si="105"/>
        <v>001390</v>
      </c>
      <c r="F6750" t="s">
        <v>27246</v>
      </c>
      <c r="G6750" t="s">
        <v>27247</v>
      </c>
      <c r="H6750" t="s">
        <v>27248</v>
      </c>
      <c r="I6750" t="s">
        <v>40350</v>
      </c>
      <c r="J6750" t="s">
        <v>13399</v>
      </c>
      <c r="L6750" t="s">
        <v>27250</v>
      </c>
      <c r="M6750" t="s">
        <v>27251</v>
      </c>
      <c r="N6750" t="s">
        <v>27252</v>
      </c>
      <c r="P6750" t="s">
        <v>27925</v>
      </c>
      <c r="Q6750" s="1">
        <v>44846</v>
      </c>
      <c r="R6750" t="s">
        <v>27253</v>
      </c>
      <c r="S6750" t="s">
        <v>27254</v>
      </c>
      <c r="T6750" t="s">
        <v>27265</v>
      </c>
    </row>
    <row r="6751" spans="1:20" x14ac:dyDescent="0.3">
      <c r="A6751" t="str">
        <f>"0611862946050"</f>
        <v>0611862946050</v>
      </c>
      <c r="B6751" t="str">
        <f>"CE1680"</f>
        <v>CE1680</v>
      </c>
      <c r="C6751" t="s">
        <v>40351</v>
      </c>
      <c r="D6751" t="s">
        <v>27923</v>
      </c>
      <c r="E6751" t="str">
        <f t="shared" si="105"/>
        <v>001390</v>
      </c>
      <c r="F6751" t="s">
        <v>27246</v>
      </c>
      <c r="G6751" t="s">
        <v>27247</v>
      </c>
      <c r="H6751" t="s">
        <v>27248</v>
      </c>
      <c r="I6751" t="s">
        <v>40352</v>
      </c>
      <c r="J6751" t="s">
        <v>13401</v>
      </c>
      <c r="L6751" t="s">
        <v>27250</v>
      </c>
      <c r="M6751" t="s">
        <v>27251</v>
      </c>
      <c r="N6751" t="s">
        <v>27252</v>
      </c>
      <c r="P6751" t="s">
        <v>27925</v>
      </c>
      <c r="Q6751" s="1">
        <v>44846</v>
      </c>
      <c r="R6751" t="s">
        <v>27253</v>
      </c>
      <c r="S6751" t="s">
        <v>27254</v>
      </c>
      <c r="T6751" t="s">
        <v>27265</v>
      </c>
    </row>
    <row r="6752" spans="1:20" x14ac:dyDescent="0.3">
      <c r="A6752" t="str">
        <f>"0611862947050"</f>
        <v>0611862947050</v>
      </c>
      <c r="B6752" t="str">
        <f>"CE1274"</f>
        <v>CE1274</v>
      </c>
      <c r="C6752" t="s">
        <v>40353</v>
      </c>
      <c r="D6752" t="s">
        <v>27923</v>
      </c>
      <c r="E6752" t="str">
        <f t="shared" si="105"/>
        <v>001390</v>
      </c>
      <c r="F6752" t="s">
        <v>27246</v>
      </c>
      <c r="G6752" t="s">
        <v>27247</v>
      </c>
      <c r="H6752" t="s">
        <v>27248</v>
      </c>
      <c r="I6752" t="s">
        <v>40354</v>
      </c>
      <c r="J6752" t="s">
        <v>13403</v>
      </c>
      <c r="L6752" t="s">
        <v>27250</v>
      </c>
      <c r="M6752" t="s">
        <v>27251</v>
      </c>
      <c r="N6752" t="s">
        <v>27252</v>
      </c>
      <c r="P6752" t="s">
        <v>27925</v>
      </c>
      <c r="Q6752" s="1">
        <v>44846</v>
      </c>
      <c r="R6752" t="s">
        <v>27253</v>
      </c>
      <c r="S6752" t="s">
        <v>27254</v>
      </c>
      <c r="T6752" t="s">
        <v>27265</v>
      </c>
    </row>
    <row r="6753" spans="1:20" x14ac:dyDescent="0.3">
      <c r="A6753" t="str">
        <f>"0611862948050"</f>
        <v>0611862948050</v>
      </c>
      <c r="B6753" t="str">
        <f>"CE1149"</f>
        <v>CE1149</v>
      </c>
      <c r="C6753" t="s">
        <v>40355</v>
      </c>
      <c r="D6753" t="s">
        <v>27923</v>
      </c>
      <c r="E6753" t="str">
        <f t="shared" si="105"/>
        <v>001390</v>
      </c>
      <c r="F6753" t="s">
        <v>27246</v>
      </c>
      <c r="G6753" t="s">
        <v>27247</v>
      </c>
      <c r="H6753" t="s">
        <v>27248</v>
      </c>
      <c r="I6753" t="s">
        <v>40356</v>
      </c>
      <c r="J6753" t="s">
        <v>13405</v>
      </c>
      <c r="L6753" t="s">
        <v>27250</v>
      </c>
      <c r="M6753" t="s">
        <v>27251</v>
      </c>
      <c r="N6753" t="s">
        <v>27252</v>
      </c>
      <c r="P6753" t="s">
        <v>27925</v>
      </c>
      <c r="Q6753" s="1">
        <v>44846</v>
      </c>
      <c r="R6753" t="s">
        <v>27253</v>
      </c>
      <c r="S6753" t="s">
        <v>27254</v>
      </c>
      <c r="T6753" t="s">
        <v>27265</v>
      </c>
    </row>
    <row r="6754" spans="1:20" x14ac:dyDescent="0.3">
      <c r="A6754" t="str">
        <f>"0611862949050"</f>
        <v>0611862949050</v>
      </c>
      <c r="B6754" t="str">
        <f>"CE0814"</f>
        <v>CE0814</v>
      </c>
      <c r="C6754" t="s">
        <v>40357</v>
      </c>
      <c r="D6754" t="s">
        <v>27923</v>
      </c>
      <c r="E6754" t="str">
        <f t="shared" si="105"/>
        <v>001390</v>
      </c>
      <c r="F6754" t="s">
        <v>27246</v>
      </c>
      <c r="G6754" t="s">
        <v>27247</v>
      </c>
      <c r="H6754" t="s">
        <v>27248</v>
      </c>
      <c r="I6754" t="s">
        <v>40358</v>
      </c>
      <c r="J6754" t="s">
        <v>13407</v>
      </c>
      <c r="L6754" t="s">
        <v>27250</v>
      </c>
      <c r="M6754" t="s">
        <v>27251</v>
      </c>
      <c r="N6754" t="s">
        <v>27252</v>
      </c>
      <c r="P6754" t="s">
        <v>27925</v>
      </c>
      <c r="Q6754" s="1">
        <v>44846</v>
      </c>
      <c r="R6754" t="s">
        <v>27253</v>
      </c>
      <c r="S6754" t="s">
        <v>27254</v>
      </c>
      <c r="T6754" t="s">
        <v>27265</v>
      </c>
    </row>
    <row r="6755" spans="1:20" x14ac:dyDescent="0.3">
      <c r="A6755" t="str">
        <f>"0611862950050"</f>
        <v>0611862950050</v>
      </c>
      <c r="B6755" t="str">
        <f>"CE1211"</f>
        <v>CE1211</v>
      </c>
      <c r="C6755" t="s">
        <v>40359</v>
      </c>
      <c r="D6755" t="s">
        <v>27923</v>
      </c>
      <c r="E6755" t="str">
        <f t="shared" si="105"/>
        <v>001390</v>
      </c>
      <c r="F6755" t="s">
        <v>27246</v>
      </c>
      <c r="G6755" t="s">
        <v>27247</v>
      </c>
      <c r="H6755" t="s">
        <v>27248</v>
      </c>
      <c r="I6755" t="s">
        <v>40360</v>
      </c>
      <c r="J6755" t="s">
        <v>13409</v>
      </c>
      <c r="L6755" t="s">
        <v>27250</v>
      </c>
      <c r="M6755" t="s">
        <v>27251</v>
      </c>
      <c r="N6755" t="s">
        <v>27252</v>
      </c>
      <c r="P6755" t="s">
        <v>27925</v>
      </c>
      <c r="Q6755" s="1">
        <v>44846</v>
      </c>
      <c r="R6755" t="s">
        <v>27253</v>
      </c>
      <c r="S6755" t="s">
        <v>27254</v>
      </c>
      <c r="T6755" t="s">
        <v>27265</v>
      </c>
    </row>
    <row r="6756" spans="1:20" x14ac:dyDescent="0.3">
      <c r="A6756" t="str">
        <f>"0611884278050"</f>
        <v>0611884278050</v>
      </c>
      <c r="B6756" t="str">
        <f>"CE1753"</f>
        <v>CE1753</v>
      </c>
      <c r="C6756" t="s">
        <v>40361</v>
      </c>
      <c r="D6756" t="s">
        <v>27923</v>
      </c>
      <c r="E6756" t="str">
        <f t="shared" si="105"/>
        <v>001390</v>
      </c>
      <c r="F6756" t="s">
        <v>27246</v>
      </c>
      <c r="G6756" t="s">
        <v>27247</v>
      </c>
      <c r="H6756" t="s">
        <v>27248</v>
      </c>
      <c r="I6756" t="s">
        <v>40362</v>
      </c>
      <c r="J6756" t="s">
        <v>13411</v>
      </c>
      <c r="L6756" t="s">
        <v>27430</v>
      </c>
      <c r="M6756" t="s">
        <v>27251</v>
      </c>
      <c r="N6756" t="s">
        <v>27252</v>
      </c>
      <c r="P6756" t="s">
        <v>27925</v>
      </c>
      <c r="Q6756" s="1">
        <v>45250</v>
      </c>
      <c r="R6756" t="s">
        <v>27253</v>
      </c>
      <c r="S6756" t="s">
        <v>27254</v>
      </c>
      <c r="T6756" t="s">
        <v>27265</v>
      </c>
    </row>
    <row r="6757" spans="1:20" x14ac:dyDescent="0.3">
      <c r="A6757" t="str">
        <f>"0611862951050"</f>
        <v>0611862951050</v>
      </c>
      <c r="B6757" t="str">
        <f>"CE1624"</f>
        <v>CE1624</v>
      </c>
      <c r="C6757" t="s">
        <v>40363</v>
      </c>
      <c r="D6757" t="s">
        <v>27923</v>
      </c>
      <c r="E6757" t="str">
        <f t="shared" si="105"/>
        <v>001390</v>
      </c>
      <c r="F6757" t="s">
        <v>27246</v>
      </c>
      <c r="G6757" t="s">
        <v>27247</v>
      </c>
      <c r="H6757" t="s">
        <v>27248</v>
      </c>
      <c r="I6757" t="s">
        <v>40364</v>
      </c>
      <c r="J6757" t="s">
        <v>13413</v>
      </c>
      <c r="L6757" t="s">
        <v>27250</v>
      </c>
      <c r="M6757" t="s">
        <v>27251</v>
      </c>
      <c r="N6757" t="s">
        <v>27252</v>
      </c>
      <c r="P6757" t="s">
        <v>27925</v>
      </c>
      <c r="Q6757" s="1">
        <v>44846</v>
      </c>
      <c r="R6757" t="s">
        <v>27253</v>
      </c>
      <c r="S6757" t="s">
        <v>27254</v>
      </c>
      <c r="T6757" t="s">
        <v>27265</v>
      </c>
    </row>
    <row r="6758" spans="1:20" x14ac:dyDescent="0.3">
      <c r="A6758" t="str">
        <f>"0611862952050"</f>
        <v>0611862952050</v>
      </c>
      <c r="B6758" t="str">
        <f>"CE0728"</f>
        <v>CE0728</v>
      </c>
      <c r="C6758" t="s">
        <v>40365</v>
      </c>
      <c r="D6758" t="s">
        <v>27923</v>
      </c>
      <c r="E6758" t="str">
        <f t="shared" si="105"/>
        <v>001390</v>
      </c>
      <c r="F6758" t="s">
        <v>27246</v>
      </c>
      <c r="G6758" t="s">
        <v>27247</v>
      </c>
      <c r="H6758" t="s">
        <v>27248</v>
      </c>
      <c r="I6758" t="s">
        <v>40366</v>
      </c>
      <c r="J6758" t="s">
        <v>13415</v>
      </c>
      <c r="L6758" t="s">
        <v>27250</v>
      </c>
      <c r="M6758" t="s">
        <v>27251</v>
      </c>
      <c r="N6758" t="s">
        <v>27252</v>
      </c>
      <c r="P6758" t="s">
        <v>27925</v>
      </c>
      <c r="Q6758" s="1">
        <v>44846</v>
      </c>
      <c r="R6758" t="s">
        <v>27253</v>
      </c>
      <c r="S6758" t="s">
        <v>27254</v>
      </c>
      <c r="T6758" t="s">
        <v>27265</v>
      </c>
    </row>
    <row r="6759" spans="1:20" x14ac:dyDescent="0.3">
      <c r="A6759" t="str">
        <f>"0611862953050"</f>
        <v>0611862953050</v>
      </c>
      <c r="B6759" t="str">
        <f>"CE1390"</f>
        <v>CE1390</v>
      </c>
      <c r="C6759" t="s">
        <v>40367</v>
      </c>
      <c r="D6759" t="s">
        <v>27923</v>
      </c>
      <c r="E6759" t="str">
        <f t="shared" si="105"/>
        <v>001390</v>
      </c>
      <c r="F6759" t="s">
        <v>27246</v>
      </c>
      <c r="G6759" t="s">
        <v>27247</v>
      </c>
      <c r="H6759" t="s">
        <v>27248</v>
      </c>
      <c r="I6759" t="s">
        <v>40368</v>
      </c>
      <c r="J6759" t="s">
        <v>13417</v>
      </c>
      <c r="L6759" t="s">
        <v>27250</v>
      </c>
      <c r="M6759" t="s">
        <v>27251</v>
      </c>
      <c r="N6759" t="s">
        <v>27252</v>
      </c>
      <c r="P6759" t="s">
        <v>27925</v>
      </c>
      <c r="Q6759" s="1">
        <v>44846</v>
      </c>
      <c r="R6759" t="s">
        <v>27253</v>
      </c>
      <c r="S6759" t="s">
        <v>27254</v>
      </c>
      <c r="T6759" t="s">
        <v>27265</v>
      </c>
    </row>
    <row r="6760" spans="1:20" x14ac:dyDescent="0.3">
      <c r="A6760" t="str">
        <f>"0611862954050"</f>
        <v>0611862954050</v>
      </c>
      <c r="B6760" t="str">
        <f>"CE1398"</f>
        <v>CE1398</v>
      </c>
      <c r="C6760" t="s">
        <v>40369</v>
      </c>
      <c r="D6760" t="s">
        <v>27923</v>
      </c>
      <c r="E6760" t="str">
        <f t="shared" si="105"/>
        <v>001390</v>
      </c>
      <c r="F6760" t="s">
        <v>27246</v>
      </c>
      <c r="G6760" t="s">
        <v>27247</v>
      </c>
      <c r="H6760" t="s">
        <v>27248</v>
      </c>
      <c r="I6760" t="s">
        <v>40370</v>
      </c>
      <c r="J6760" t="s">
        <v>13419</v>
      </c>
      <c r="L6760" t="s">
        <v>27250</v>
      </c>
      <c r="M6760" t="s">
        <v>27251</v>
      </c>
      <c r="N6760" t="s">
        <v>27252</v>
      </c>
      <c r="P6760" t="s">
        <v>27925</v>
      </c>
      <c r="Q6760" s="1">
        <v>44846</v>
      </c>
      <c r="R6760" t="s">
        <v>27253</v>
      </c>
      <c r="S6760" t="s">
        <v>27254</v>
      </c>
      <c r="T6760" t="s">
        <v>27265</v>
      </c>
    </row>
    <row r="6761" spans="1:20" x14ac:dyDescent="0.3">
      <c r="A6761" t="str">
        <f>"0611862955050"</f>
        <v>0611862955050</v>
      </c>
      <c r="B6761" t="str">
        <f>"CE1396"</f>
        <v>CE1396</v>
      </c>
      <c r="C6761" t="s">
        <v>40371</v>
      </c>
      <c r="D6761" t="s">
        <v>27923</v>
      </c>
      <c r="E6761" t="str">
        <f t="shared" si="105"/>
        <v>001390</v>
      </c>
      <c r="F6761" t="s">
        <v>27246</v>
      </c>
      <c r="G6761" t="s">
        <v>27247</v>
      </c>
      <c r="H6761" t="s">
        <v>27248</v>
      </c>
      <c r="I6761" t="s">
        <v>40372</v>
      </c>
      <c r="J6761" t="s">
        <v>13421</v>
      </c>
      <c r="L6761" t="s">
        <v>27250</v>
      </c>
      <c r="M6761" t="s">
        <v>27251</v>
      </c>
      <c r="N6761" t="s">
        <v>27252</v>
      </c>
      <c r="P6761" t="s">
        <v>27925</v>
      </c>
      <c r="Q6761" s="1">
        <v>44846</v>
      </c>
      <c r="R6761" t="s">
        <v>27253</v>
      </c>
      <c r="S6761" t="s">
        <v>27254</v>
      </c>
      <c r="T6761" t="s">
        <v>27265</v>
      </c>
    </row>
    <row r="6762" spans="1:20" x14ac:dyDescent="0.3">
      <c r="A6762" t="str">
        <f>"0611862956050"</f>
        <v>0611862956050</v>
      </c>
      <c r="B6762" t="str">
        <f>"CE1395"</f>
        <v>CE1395</v>
      </c>
      <c r="C6762" t="s">
        <v>40373</v>
      </c>
      <c r="D6762" t="s">
        <v>27923</v>
      </c>
      <c r="E6762" t="str">
        <f t="shared" si="105"/>
        <v>001390</v>
      </c>
      <c r="F6762" t="s">
        <v>27246</v>
      </c>
      <c r="G6762" t="s">
        <v>27247</v>
      </c>
      <c r="H6762" t="s">
        <v>27248</v>
      </c>
      <c r="I6762" t="s">
        <v>40374</v>
      </c>
      <c r="J6762" t="s">
        <v>13423</v>
      </c>
      <c r="L6762" t="s">
        <v>27250</v>
      </c>
      <c r="M6762" t="s">
        <v>27251</v>
      </c>
      <c r="N6762" t="s">
        <v>27252</v>
      </c>
      <c r="P6762" t="s">
        <v>27925</v>
      </c>
      <c r="Q6762" s="1">
        <v>44846</v>
      </c>
      <c r="R6762" t="s">
        <v>27253</v>
      </c>
      <c r="S6762" t="s">
        <v>27254</v>
      </c>
      <c r="T6762" t="s">
        <v>27265</v>
      </c>
    </row>
    <row r="6763" spans="1:20" x14ac:dyDescent="0.3">
      <c r="A6763" t="str">
        <f>"0611862957050"</f>
        <v>0611862957050</v>
      </c>
      <c r="B6763" t="str">
        <f>"CE1397"</f>
        <v>CE1397</v>
      </c>
      <c r="C6763" t="s">
        <v>40375</v>
      </c>
      <c r="D6763" t="s">
        <v>27923</v>
      </c>
      <c r="E6763" t="str">
        <f t="shared" si="105"/>
        <v>001390</v>
      </c>
      <c r="F6763" t="s">
        <v>27246</v>
      </c>
      <c r="G6763" t="s">
        <v>27247</v>
      </c>
      <c r="H6763" t="s">
        <v>27248</v>
      </c>
      <c r="I6763" t="s">
        <v>40376</v>
      </c>
      <c r="J6763" t="s">
        <v>13425</v>
      </c>
      <c r="L6763" t="s">
        <v>27250</v>
      </c>
      <c r="M6763" t="s">
        <v>27251</v>
      </c>
      <c r="N6763" t="s">
        <v>27252</v>
      </c>
      <c r="P6763" t="s">
        <v>27925</v>
      </c>
      <c r="Q6763" s="1">
        <v>44846</v>
      </c>
      <c r="R6763" t="s">
        <v>27253</v>
      </c>
      <c r="S6763" t="s">
        <v>27254</v>
      </c>
      <c r="T6763" t="s">
        <v>27265</v>
      </c>
    </row>
    <row r="6764" spans="1:20" x14ac:dyDescent="0.3">
      <c r="A6764" t="str">
        <f>"0611862958050"</f>
        <v>0611862958050</v>
      </c>
      <c r="B6764" t="str">
        <f>"CE1394"</f>
        <v>CE1394</v>
      </c>
      <c r="C6764" t="s">
        <v>40377</v>
      </c>
      <c r="D6764" t="s">
        <v>27923</v>
      </c>
      <c r="E6764" t="str">
        <f t="shared" si="105"/>
        <v>001390</v>
      </c>
      <c r="F6764" t="s">
        <v>27246</v>
      </c>
      <c r="G6764" t="s">
        <v>27247</v>
      </c>
      <c r="H6764" t="s">
        <v>27248</v>
      </c>
      <c r="I6764" t="s">
        <v>40378</v>
      </c>
      <c r="J6764" t="s">
        <v>13427</v>
      </c>
      <c r="L6764" t="s">
        <v>27250</v>
      </c>
      <c r="M6764" t="s">
        <v>27251</v>
      </c>
      <c r="N6764" t="s">
        <v>27252</v>
      </c>
      <c r="P6764" t="s">
        <v>27925</v>
      </c>
      <c r="Q6764" s="1">
        <v>44846</v>
      </c>
      <c r="R6764" t="s">
        <v>27253</v>
      </c>
      <c r="S6764" t="s">
        <v>27254</v>
      </c>
      <c r="T6764" t="s">
        <v>27265</v>
      </c>
    </row>
    <row r="6765" spans="1:20" x14ac:dyDescent="0.3">
      <c r="A6765" t="str">
        <f>"0611862959050"</f>
        <v>0611862959050</v>
      </c>
      <c r="B6765" t="str">
        <f>"CE0729"</f>
        <v>CE0729</v>
      </c>
      <c r="C6765" t="s">
        <v>40379</v>
      </c>
      <c r="D6765" t="s">
        <v>27923</v>
      </c>
      <c r="E6765" t="str">
        <f t="shared" si="105"/>
        <v>001390</v>
      </c>
      <c r="F6765" t="s">
        <v>27246</v>
      </c>
      <c r="G6765" t="s">
        <v>27247</v>
      </c>
      <c r="H6765" t="s">
        <v>27248</v>
      </c>
      <c r="I6765" t="s">
        <v>40380</v>
      </c>
      <c r="J6765" t="s">
        <v>13429</v>
      </c>
      <c r="L6765" t="s">
        <v>27250</v>
      </c>
      <c r="M6765" t="s">
        <v>27251</v>
      </c>
      <c r="N6765" t="s">
        <v>27252</v>
      </c>
      <c r="P6765" t="s">
        <v>27925</v>
      </c>
      <c r="Q6765" s="1">
        <v>44846</v>
      </c>
      <c r="R6765" t="s">
        <v>27253</v>
      </c>
      <c r="S6765" t="s">
        <v>27254</v>
      </c>
      <c r="T6765" t="s">
        <v>27265</v>
      </c>
    </row>
    <row r="6766" spans="1:20" x14ac:dyDescent="0.3">
      <c r="A6766" t="str">
        <f>"0611862960050"</f>
        <v>0611862960050</v>
      </c>
      <c r="B6766" t="str">
        <f>"CE0730"</f>
        <v>CE0730</v>
      </c>
      <c r="C6766" t="s">
        <v>40381</v>
      </c>
      <c r="D6766" t="s">
        <v>27923</v>
      </c>
      <c r="E6766" t="str">
        <f t="shared" si="105"/>
        <v>001390</v>
      </c>
      <c r="F6766" t="s">
        <v>27246</v>
      </c>
      <c r="G6766" t="s">
        <v>27247</v>
      </c>
      <c r="H6766" t="s">
        <v>27248</v>
      </c>
      <c r="I6766" t="s">
        <v>40382</v>
      </c>
      <c r="J6766" t="s">
        <v>13431</v>
      </c>
      <c r="L6766" t="s">
        <v>27250</v>
      </c>
      <c r="M6766" t="s">
        <v>27251</v>
      </c>
      <c r="N6766" t="s">
        <v>27252</v>
      </c>
      <c r="P6766" t="s">
        <v>27925</v>
      </c>
      <c r="Q6766" s="1">
        <v>44846</v>
      </c>
      <c r="R6766" t="s">
        <v>27253</v>
      </c>
      <c r="S6766" t="s">
        <v>27254</v>
      </c>
      <c r="T6766" t="s">
        <v>27265</v>
      </c>
    </row>
    <row r="6767" spans="1:20" x14ac:dyDescent="0.3">
      <c r="A6767" t="str">
        <f>"0611862961050"</f>
        <v>0611862961050</v>
      </c>
      <c r="B6767" t="str">
        <f>"CE0731"</f>
        <v>CE0731</v>
      </c>
      <c r="C6767" t="s">
        <v>40383</v>
      </c>
      <c r="D6767" t="s">
        <v>27923</v>
      </c>
      <c r="E6767" t="str">
        <f t="shared" si="105"/>
        <v>001390</v>
      </c>
      <c r="F6767" t="s">
        <v>27246</v>
      </c>
      <c r="G6767" t="s">
        <v>27247</v>
      </c>
      <c r="H6767" t="s">
        <v>27248</v>
      </c>
      <c r="I6767" t="s">
        <v>40384</v>
      </c>
      <c r="J6767" t="s">
        <v>13433</v>
      </c>
      <c r="L6767" t="s">
        <v>27250</v>
      </c>
      <c r="M6767" t="s">
        <v>27251</v>
      </c>
      <c r="N6767" t="s">
        <v>27252</v>
      </c>
      <c r="P6767" t="s">
        <v>27925</v>
      </c>
      <c r="Q6767" s="1">
        <v>44846</v>
      </c>
      <c r="R6767" t="s">
        <v>27253</v>
      </c>
      <c r="S6767" t="s">
        <v>27254</v>
      </c>
      <c r="T6767" t="s">
        <v>27265</v>
      </c>
    </row>
    <row r="6768" spans="1:20" x14ac:dyDescent="0.3">
      <c r="A6768" t="str">
        <f>"0611862962050"</f>
        <v>0611862962050</v>
      </c>
      <c r="B6768" t="str">
        <f>"CE0732"</f>
        <v>CE0732</v>
      </c>
      <c r="C6768" t="s">
        <v>40385</v>
      </c>
      <c r="D6768" t="s">
        <v>27923</v>
      </c>
      <c r="E6768" t="str">
        <f t="shared" si="105"/>
        <v>001390</v>
      </c>
      <c r="F6768" t="s">
        <v>27246</v>
      </c>
      <c r="G6768" t="s">
        <v>27247</v>
      </c>
      <c r="H6768" t="s">
        <v>27248</v>
      </c>
      <c r="I6768" t="s">
        <v>40386</v>
      </c>
      <c r="J6768" t="s">
        <v>13435</v>
      </c>
      <c r="L6768" t="s">
        <v>27250</v>
      </c>
      <c r="M6768" t="s">
        <v>27251</v>
      </c>
      <c r="N6768" t="s">
        <v>27252</v>
      </c>
      <c r="P6768" t="s">
        <v>27925</v>
      </c>
      <c r="Q6768" s="1">
        <v>44846</v>
      </c>
      <c r="R6768" t="s">
        <v>27253</v>
      </c>
      <c r="S6768" t="s">
        <v>27254</v>
      </c>
      <c r="T6768" t="s">
        <v>27265</v>
      </c>
    </row>
    <row r="6769" spans="1:20" x14ac:dyDescent="0.3">
      <c r="A6769" t="str">
        <f>"0611862963050"</f>
        <v>0611862963050</v>
      </c>
      <c r="B6769" t="str">
        <f>"CE0815"</f>
        <v>CE0815</v>
      </c>
      <c r="C6769" t="s">
        <v>40387</v>
      </c>
      <c r="D6769" t="s">
        <v>27923</v>
      </c>
      <c r="E6769" t="str">
        <f t="shared" si="105"/>
        <v>001390</v>
      </c>
      <c r="F6769" t="s">
        <v>27246</v>
      </c>
      <c r="G6769" t="s">
        <v>27247</v>
      </c>
      <c r="H6769" t="s">
        <v>27248</v>
      </c>
      <c r="I6769" t="s">
        <v>40388</v>
      </c>
      <c r="J6769" t="s">
        <v>13437</v>
      </c>
      <c r="L6769" t="s">
        <v>27250</v>
      </c>
      <c r="M6769" t="s">
        <v>27251</v>
      </c>
      <c r="N6769" t="s">
        <v>27252</v>
      </c>
      <c r="P6769" t="s">
        <v>27925</v>
      </c>
      <c r="Q6769" s="1">
        <v>44846</v>
      </c>
      <c r="R6769" t="s">
        <v>27253</v>
      </c>
      <c r="S6769" t="s">
        <v>27254</v>
      </c>
      <c r="T6769" t="s">
        <v>27265</v>
      </c>
    </row>
    <row r="6770" spans="1:20" x14ac:dyDescent="0.3">
      <c r="A6770" t="str">
        <f>"0611862964050"</f>
        <v>0611862964050</v>
      </c>
      <c r="B6770" t="str">
        <f>"CE1275"</f>
        <v>CE1275</v>
      </c>
      <c r="C6770" t="s">
        <v>40389</v>
      </c>
      <c r="D6770" t="s">
        <v>27923</v>
      </c>
      <c r="E6770" t="str">
        <f t="shared" si="105"/>
        <v>001390</v>
      </c>
      <c r="F6770" t="s">
        <v>27246</v>
      </c>
      <c r="G6770" t="s">
        <v>27247</v>
      </c>
      <c r="H6770" t="s">
        <v>27248</v>
      </c>
      <c r="I6770" t="s">
        <v>40390</v>
      </c>
      <c r="J6770" t="s">
        <v>13439</v>
      </c>
      <c r="L6770" t="s">
        <v>27250</v>
      </c>
      <c r="M6770" t="s">
        <v>27251</v>
      </c>
      <c r="N6770" t="s">
        <v>27252</v>
      </c>
      <c r="P6770" t="s">
        <v>27925</v>
      </c>
      <c r="Q6770" s="1">
        <v>44846</v>
      </c>
      <c r="R6770" t="s">
        <v>27253</v>
      </c>
      <c r="S6770" t="s">
        <v>27254</v>
      </c>
      <c r="T6770" t="s">
        <v>27265</v>
      </c>
    </row>
    <row r="6771" spans="1:20" x14ac:dyDescent="0.3">
      <c r="A6771" t="str">
        <f>"0611862965050"</f>
        <v>0611862965050</v>
      </c>
      <c r="B6771" t="str">
        <f>"CE1457"</f>
        <v>CE1457</v>
      </c>
      <c r="C6771" t="s">
        <v>40391</v>
      </c>
      <c r="D6771" t="s">
        <v>27923</v>
      </c>
      <c r="E6771" t="str">
        <f t="shared" si="105"/>
        <v>001390</v>
      </c>
      <c r="F6771" t="s">
        <v>27246</v>
      </c>
      <c r="G6771" t="s">
        <v>27247</v>
      </c>
      <c r="H6771" t="s">
        <v>27248</v>
      </c>
      <c r="I6771" t="s">
        <v>40392</v>
      </c>
      <c r="J6771" t="s">
        <v>13441</v>
      </c>
      <c r="L6771" t="s">
        <v>27250</v>
      </c>
      <c r="M6771" t="s">
        <v>27251</v>
      </c>
      <c r="N6771" t="s">
        <v>27252</v>
      </c>
      <c r="P6771" t="s">
        <v>27925</v>
      </c>
      <c r="Q6771" s="1">
        <v>44846</v>
      </c>
      <c r="R6771" t="s">
        <v>27253</v>
      </c>
      <c r="S6771" t="s">
        <v>27254</v>
      </c>
      <c r="T6771" t="s">
        <v>27265</v>
      </c>
    </row>
    <row r="6772" spans="1:20" x14ac:dyDescent="0.3">
      <c r="A6772" t="str">
        <f>"0611862966050"</f>
        <v>0611862966050</v>
      </c>
      <c r="B6772" t="str">
        <f>"CE1224"</f>
        <v>CE1224</v>
      </c>
      <c r="C6772" t="s">
        <v>40393</v>
      </c>
      <c r="D6772" t="s">
        <v>27923</v>
      </c>
      <c r="E6772" t="str">
        <f t="shared" si="105"/>
        <v>001390</v>
      </c>
      <c r="F6772" t="s">
        <v>27246</v>
      </c>
      <c r="G6772" t="s">
        <v>27247</v>
      </c>
      <c r="H6772" t="s">
        <v>27248</v>
      </c>
      <c r="I6772" t="s">
        <v>40394</v>
      </c>
      <c r="J6772" t="s">
        <v>13443</v>
      </c>
      <c r="L6772" t="s">
        <v>27250</v>
      </c>
      <c r="M6772" t="s">
        <v>27251</v>
      </c>
      <c r="N6772" t="s">
        <v>27252</v>
      </c>
      <c r="P6772" t="s">
        <v>27925</v>
      </c>
      <c r="Q6772" s="1">
        <v>44846</v>
      </c>
      <c r="R6772" t="s">
        <v>27253</v>
      </c>
      <c r="S6772" t="s">
        <v>27254</v>
      </c>
      <c r="T6772" t="s">
        <v>27265</v>
      </c>
    </row>
    <row r="6773" spans="1:20" x14ac:dyDescent="0.3">
      <c r="A6773" t="str">
        <f>"0611862967050"</f>
        <v>0611862967050</v>
      </c>
      <c r="B6773" t="str">
        <f>"CE1389"</f>
        <v>CE1389</v>
      </c>
      <c r="C6773" t="s">
        <v>40395</v>
      </c>
      <c r="D6773" t="s">
        <v>27923</v>
      </c>
      <c r="E6773" t="str">
        <f t="shared" si="105"/>
        <v>001390</v>
      </c>
      <c r="F6773" t="s">
        <v>27246</v>
      </c>
      <c r="G6773" t="s">
        <v>27247</v>
      </c>
      <c r="H6773" t="s">
        <v>27248</v>
      </c>
      <c r="I6773" t="s">
        <v>40396</v>
      </c>
      <c r="J6773" t="s">
        <v>13445</v>
      </c>
      <c r="L6773" t="s">
        <v>27250</v>
      </c>
      <c r="M6773" t="s">
        <v>27251</v>
      </c>
      <c r="N6773" t="s">
        <v>27252</v>
      </c>
      <c r="P6773" t="s">
        <v>27925</v>
      </c>
      <c r="Q6773" s="1">
        <v>44846</v>
      </c>
      <c r="R6773" t="s">
        <v>27253</v>
      </c>
      <c r="S6773" t="s">
        <v>27254</v>
      </c>
      <c r="T6773" t="s">
        <v>27265</v>
      </c>
    </row>
    <row r="6774" spans="1:20" x14ac:dyDescent="0.3">
      <c r="A6774" t="str">
        <f>"0611862968050"</f>
        <v>0611862968050</v>
      </c>
      <c r="B6774" t="str">
        <f>"CE1502"</f>
        <v>CE1502</v>
      </c>
      <c r="C6774" t="s">
        <v>40397</v>
      </c>
      <c r="D6774" t="s">
        <v>27923</v>
      </c>
      <c r="E6774" t="str">
        <f t="shared" si="105"/>
        <v>001390</v>
      </c>
      <c r="F6774" t="s">
        <v>27246</v>
      </c>
      <c r="G6774" t="s">
        <v>27247</v>
      </c>
      <c r="H6774" t="s">
        <v>27248</v>
      </c>
      <c r="I6774" t="s">
        <v>40398</v>
      </c>
      <c r="J6774" t="s">
        <v>13447</v>
      </c>
      <c r="L6774" t="s">
        <v>27250</v>
      </c>
      <c r="M6774" t="s">
        <v>27251</v>
      </c>
      <c r="N6774" t="s">
        <v>27252</v>
      </c>
      <c r="P6774" t="s">
        <v>27925</v>
      </c>
      <c r="Q6774" s="1">
        <v>44846</v>
      </c>
      <c r="R6774" t="s">
        <v>27253</v>
      </c>
      <c r="S6774" t="s">
        <v>27254</v>
      </c>
      <c r="T6774" t="s">
        <v>27265</v>
      </c>
    </row>
    <row r="6775" spans="1:20" x14ac:dyDescent="0.3">
      <c r="A6775" t="str">
        <f>"0611862969050"</f>
        <v>0611862969050</v>
      </c>
      <c r="B6775" t="str">
        <f>"CE0888"</f>
        <v>CE0888</v>
      </c>
      <c r="C6775" t="s">
        <v>40399</v>
      </c>
      <c r="D6775" t="s">
        <v>27923</v>
      </c>
      <c r="E6775" t="str">
        <f t="shared" si="105"/>
        <v>001390</v>
      </c>
      <c r="F6775" t="s">
        <v>27246</v>
      </c>
      <c r="G6775" t="s">
        <v>27247</v>
      </c>
      <c r="H6775" t="s">
        <v>27248</v>
      </c>
      <c r="I6775" t="s">
        <v>40400</v>
      </c>
      <c r="J6775" t="s">
        <v>13449</v>
      </c>
      <c r="L6775" t="s">
        <v>27250</v>
      </c>
      <c r="M6775" t="s">
        <v>27251</v>
      </c>
      <c r="N6775" t="s">
        <v>27252</v>
      </c>
      <c r="P6775" t="s">
        <v>27925</v>
      </c>
      <c r="Q6775" s="1">
        <v>44846</v>
      </c>
      <c r="R6775" t="s">
        <v>27253</v>
      </c>
      <c r="S6775" t="s">
        <v>27254</v>
      </c>
      <c r="T6775" t="s">
        <v>27265</v>
      </c>
    </row>
    <row r="6776" spans="1:20" x14ac:dyDescent="0.3">
      <c r="A6776" t="str">
        <f>"0611862970050"</f>
        <v>0611862970050</v>
      </c>
      <c r="B6776" t="str">
        <f>"CE0734"</f>
        <v>CE0734</v>
      </c>
      <c r="C6776" t="s">
        <v>40401</v>
      </c>
      <c r="D6776" t="s">
        <v>27923</v>
      </c>
      <c r="E6776" t="str">
        <f t="shared" si="105"/>
        <v>001390</v>
      </c>
      <c r="F6776" t="s">
        <v>27246</v>
      </c>
      <c r="G6776" t="s">
        <v>27247</v>
      </c>
      <c r="H6776" t="s">
        <v>27248</v>
      </c>
      <c r="I6776" t="s">
        <v>40402</v>
      </c>
      <c r="J6776" t="s">
        <v>13451</v>
      </c>
      <c r="L6776" t="s">
        <v>27250</v>
      </c>
      <c r="M6776" t="s">
        <v>27251</v>
      </c>
      <c r="N6776" t="s">
        <v>27252</v>
      </c>
      <c r="P6776" t="s">
        <v>27925</v>
      </c>
      <c r="Q6776" s="1">
        <v>44846</v>
      </c>
      <c r="R6776" t="s">
        <v>27253</v>
      </c>
      <c r="S6776" t="s">
        <v>27254</v>
      </c>
      <c r="T6776" t="s">
        <v>27265</v>
      </c>
    </row>
    <row r="6777" spans="1:20" x14ac:dyDescent="0.3">
      <c r="A6777" t="str">
        <f>"0611862971050"</f>
        <v>0611862971050</v>
      </c>
      <c r="B6777" t="str">
        <f>"CE1681"</f>
        <v>CE1681</v>
      </c>
      <c r="C6777" t="s">
        <v>40403</v>
      </c>
      <c r="D6777" t="s">
        <v>27923</v>
      </c>
      <c r="E6777" t="str">
        <f t="shared" si="105"/>
        <v>001390</v>
      </c>
      <c r="F6777" t="s">
        <v>27246</v>
      </c>
      <c r="G6777" t="s">
        <v>27247</v>
      </c>
      <c r="H6777" t="s">
        <v>27248</v>
      </c>
      <c r="I6777" t="s">
        <v>40404</v>
      </c>
      <c r="J6777" t="s">
        <v>13453</v>
      </c>
      <c r="L6777" t="s">
        <v>27250</v>
      </c>
      <c r="M6777" t="s">
        <v>27251</v>
      </c>
      <c r="N6777" t="s">
        <v>27252</v>
      </c>
      <c r="P6777" t="s">
        <v>27925</v>
      </c>
      <c r="Q6777" s="1">
        <v>44846</v>
      </c>
      <c r="R6777" t="s">
        <v>27253</v>
      </c>
      <c r="S6777" t="s">
        <v>27254</v>
      </c>
      <c r="T6777" t="s">
        <v>27265</v>
      </c>
    </row>
    <row r="6778" spans="1:20" x14ac:dyDescent="0.3">
      <c r="A6778" t="str">
        <f>"0611884279050"</f>
        <v>0611884279050</v>
      </c>
      <c r="B6778" t="str">
        <f>"CE1754"</f>
        <v>CE1754</v>
      </c>
      <c r="C6778" t="s">
        <v>40405</v>
      </c>
      <c r="D6778" t="s">
        <v>27923</v>
      </c>
      <c r="E6778" t="str">
        <f t="shared" si="105"/>
        <v>001390</v>
      </c>
      <c r="F6778" t="s">
        <v>27246</v>
      </c>
      <c r="G6778" t="s">
        <v>27247</v>
      </c>
      <c r="H6778" t="s">
        <v>27248</v>
      </c>
      <c r="I6778" t="s">
        <v>40406</v>
      </c>
      <c r="J6778" t="s">
        <v>13455</v>
      </c>
      <c r="L6778" t="s">
        <v>27430</v>
      </c>
      <c r="M6778" t="s">
        <v>27251</v>
      </c>
      <c r="N6778" t="s">
        <v>27252</v>
      </c>
      <c r="P6778" t="s">
        <v>27925</v>
      </c>
      <c r="Q6778" s="1">
        <v>45250</v>
      </c>
      <c r="R6778" t="s">
        <v>27253</v>
      </c>
      <c r="S6778" t="s">
        <v>27254</v>
      </c>
      <c r="T6778" t="s">
        <v>27265</v>
      </c>
    </row>
    <row r="6779" spans="1:20" x14ac:dyDescent="0.3">
      <c r="A6779" t="str">
        <f>"0611862972050"</f>
        <v>0611862972050</v>
      </c>
      <c r="B6779" t="str">
        <f>"CE1383"</f>
        <v>CE1383</v>
      </c>
      <c r="C6779" t="s">
        <v>40407</v>
      </c>
      <c r="D6779" t="s">
        <v>27923</v>
      </c>
      <c r="E6779" t="str">
        <f t="shared" si="105"/>
        <v>001390</v>
      </c>
      <c r="F6779" t="s">
        <v>27246</v>
      </c>
      <c r="G6779" t="s">
        <v>27247</v>
      </c>
      <c r="H6779" t="s">
        <v>27248</v>
      </c>
      <c r="I6779" t="s">
        <v>40408</v>
      </c>
      <c r="J6779" t="s">
        <v>13457</v>
      </c>
      <c r="L6779" t="s">
        <v>27250</v>
      </c>
      <c r="M6779" t="s">
        <v>27251</v>
      </c>
      <c r="N6779" t="s">
        <v>27252</v>
      </c>
      <c r="P6779" t="s">
        <v>27925</v>
      </c>
      <c r="Q6779" s="1">
        <v>44846</v>
      </c>
      <c r="R6779" t="s">
        <v>27253</v>
      </c>
      <c r="S6779" t="s">
        <v>27254</v>
      </c>
      <c r="T6779" t="s">
        <v>27265</v>
      </c>
    </row>
    <row r="6780" spans="1:20" x14ac:dyDescent="0.3">
      <c r="A6780" t="str">
        <f>"0611862973050"</f>
        <v>0611862973050</v>
      </c>
      <c r="B6780" t="str">
        <f>"CE1382"</f>
        <v>CE1382</v>
      </c>
      <c r="C6780" t="s">
        <v>40409</v>
      </c>
      <c r="D6780" t="s">
        <v>27923</v>
      </c>
      <c r="E6780" t="str">
        <f t="shared" si="105"/>
        <v>001390</v>
      </c>
      <c r="F6780" t="s">
        <v>27246</v>
      </c>
      <c r="G6780" t="s">
        <v>27247</v>
      </c>
      <c r="H6780" t="s">
        <v>27248</v>
      </c>
      <c r="I6780" t="s">
        <v>40410</v>
      </c>
      <c r="J6780" t="s">
        <v>13459</v>
      </c>
      <c r="L6780" t="s">
        <v>27250</v>
      </c>
      <c r="M6780" t="s">
        <v>27251</v>
      </c>
      <c r="N6780" t="s">
        <v>27252</v>
      </c>
      <c r="P6780" t="s">
        <v>27925</v>
      </c>
      <c r="Q6780" s="1">
        <v>44846</v>
      </c>
      <c r="R6780" t="s">
        <v>27253</v>
      </c>
      <c r="S6780" t="s">
        <v>27254</v>
      </c>
      <c r="T6780" t="s">
        <v>27265</v>
      </c>
    </row>
    <row r="6781" spans="1:20" x14ac:dyDescent="0.3">
      <c r="A6781" t="str">
        <f>"0611862974050"</f>
        <v>0611862974050</v>
      </c>
      <c r="B6781" t="str">
        <f>"CE1384"</f>
        <v>CE1384</v>
      </c>
      <c r="C6781" t="s">
        <v>40411</v>
      </c>
      <c r="D6781" t="s">
        <v>27923</v>
      </c>
      <c r="E6781" t="str">
        <f t="shared" si="105"/>
        <v>001390</v>
      </c>
      <c r="F6781" t="s">
        <v>27246</v>
      </c>
      <c r="G6781" t="s">
        <v>27247</v>
      </c>
      <c r="H6781" t="s">
        <v>27248</v>
      </c>
      <c r="I6781" t="s">
        <v>40412</v>
      </c>
      <c r="J6781" t="s">
        <v>13461</v>
      </c>
      <c r="L6781" t="s">
        <v>27250</v>
      </c>
      <c r="M6781" t="s">
        <v>27251</v>
      </c>
      <c r="N6781" t="s">
        <v>27252</v>
      </c>
      <c r="P6781" t="s">
        <v>27925</v>
      </c>
      <c r="Q6781" s="1">
        <v>44846</v>
      </c>
      <c r="R6781" t="s">
        <v>27253</v>
      </c>
      <c r="S6781" t="s">
        <v>27254</v>
      </c>
      <c r="T6781" t="s">
        <v>27265</v>
      </c>
    </row>
    <row r="6782" spans="1:20" x14ac:dyDescent="0.3">
      <c r="A6782" t="str">
        <f>"0611862975050"</f>
        <v>0611862975050</v>
      </c>
      <c r="B6782" t="str">
        <f>"CE0908"</f>
        <v>CE0908</v>
      </c>
      <c r="C6782" t="s">
        <v>40413</v>
      </c>
      <c r="D6782" t="s">
        <v>27923</v>
      </c>
      <c r="E6782" t="str">
        <f t="shared" si="105"/>
        <v>001390</v>
      </c>
      <c r="F6782" t="s">
        <v>27246</v>
      </c>
      <c r="G6782" t="s">
        <v>27247</v>
      </c>
      <c r="H6782" t="s">
        <v>27248</v>
      </c>
      <c r="I6782" t="s">
        <v>40414</v>
      </c>
      <c r="J6782" t="s">
        <v>13463</v>
      </c>
      <c r="L6782" t="s">
        <v>27250</v>
      </c>
      <c r="M6782" t="s">
        <v>27251</v>
      </c>
      <c r="N6782" t="s">
        <v>27252</v>
      </c>
      <c r="P6782" t="s">
        <v>27925</v>
      </c>
      <c r="Q6782" s="1">
        <v>44846</v>
      </c>
      <c r="R6782" t="s">
        <v>27253</v>
      </c>
      <c r="S6782" t="s">
        <v>27254</v>
      </c>
      <c r="T6782" t="s">
        <v>27265</v>
      </c>
    </row>
    <row r="6783" spans="1:20" x14ac:dyDescent="0.3">
      <c r="A6783" t="str">
        <f>"0611862976050"</f>
        <v>0611862976050</v>
      </c>
      <c r="B6783" t="str">
        <f>"CE1512"</f>
        <v>CE1512</v>
      </c>
      <c r="C6783" t="s">
        <v>40415</v>
      </c>
      <c r="D6783" t="s">
        <v>27923</v>
      </c>
      <c r="E6783" t="str">
        <f t="shared" si="105"/>
        <v>001390</v>
      </c>
      <c r="F6783" t="s">
        <v>27246</v>
      </c>
      <c r="G6783" t="s">
        <v>27247</v>
      </c>
      <c r="H6783" t="s">
        <v>27248</v>
      </c>
      <c r="I6783" t="s">
        <v>40416</v>
      </c>
      <c r="J6783" t="s">
        <v>13465</v>
      </c>
      <c r="L6783" t="s">
        <v>27250</v>
      </c>
      <c r="M6783" t="s">
        <v>27251</v>
      </c>
      <c r="N6783" t="s">
        <v>27252</v>
      </c>
      <c r="P6783" t="s">
        <v>27925</v>
      </c>
      <c r="Q6783" s="1">
        <v>44846</v>
      </c>
      <c r="R6783" t="s">
        <v>27253</v>
      </c>
      <c r="S6783" t="s">
        <v>27254</v>
      </c>
      <c r="T6783" t="s">
        <v>27265</v>
      </c>
    </row>
    <row r="6784" spans="1:20" x14ac:dyDescent="0.3">
      <c r="A6784" t="str">
        <f>"0611862977050"</f>
        <v>0611862977050</v>
      </c>
      <c r="B6784" t="str">
        <f>"CE0736"</f>
        <v>CE0736</v>
      </c>
      <c r="C6784" t="s">
        <v>40417</v>
      </c>
      <c r="D6784" t="s">
        <v>27923</v>
      </c>
      <c r="E6784" t="str">
        <f t="shared" si="105"/>
        <v>001390</v>
      </c>
      <c r="F6784" t="s">
        <v>27246</v>
      </c>
      <c r="G6784" t="s">
        <v>27247</v>
      </c>
      <c r="H6784" t="s">
        <v>27248</v>
      </c>
      <c r="I6784" t="s">
        <v>40418</v>
      </c>
      <c r="J6784" t="s">
        <v>13467</v>
      </c>
      <c r="L6784" t="s">
        <v>27250</v>
      </c>
      <c r="M6784" t="s">
        <v>27251</v>
      </c>
      <c r="N6784" t="s">
        <v>27252</v>
      </c>
      <c r="P6784" t="s">
        <v>27925</v>
      </c>
      <c r="Q6784" s="1">
        <v>44846</v>
      </c>
      <c r="R6784" t="s">
        <v>27253</v>
      </c>
      <c r="S6784" t="s">
        <v>27254</v>
      </c>
      <c r="T6784" t="s">
        <v>27265</v>
      </c>
    </row>
    <row r="6785" spans="1:20" x14ac:dyDescent="0.3">
      <c r="A6785" t="str">
        <f>"0611862978050"</f>
        <v>0611862978050</v>
      </c>
      <c r="B6785" t="str">
        <f>"CE0909"</f>
        <v>CE0909</v>
      </c>
      <c r="C6785" t="s">
        <v>40419</v>
      </c>
      <c r="D6785" t="s">
        <v>27923</v>
      </c>
      <c r="E6785" t="str">
        <f t="shared" si="105"/>
        <v>001390</v>
      </c>
      <c r="F6785" t="s">
        <v>27246</v>
      </c>
      <c r="G6785" t="s">
        <v>27247</v>
      </c>
      <c r="H6785" t="s">
        <v>27248</v>
      </c>
      <c r="I6785" t="s">
        <v>40420</v>
      </c>
      <c r="J6785" t="s">
        <v>13469</v>
      </c>
      <c r="L6785" t="s">
        <v>27250</v>
      </c>
      <c r="M6785" t="s">
        <v>27251</v>
      </c>
      <c r="N6785" t="s">
        <v>27252</v>
      </c>
      <c r="P6785" t="s">
        <v>27925</v>
      </c>
      <c r="Q6785" s="1">
        <v>44846</v>
      </c>
      <c r="R6785" t="s">
        <v>27253</v>
      </c>
      <c r="S6785" t="s">
        <v>27254</v>
      </c>
      <c r="T6785" t="s">
        <v>27265</v>
      </c>
    </row>
    <row r="6786" spans="1:20" x14ac:dyDescent="0.3">
      <c r="A6786" t="str">
        <f>"0611862979050"</f>
        <v>0611862979050</v>
      </c>
      <c r="B6786" t="str">
        <f>"CE0737"</f>
        <v>CE0737</v>
      </c>
      <c r="C6786" t="s">
        <v>40421</v>
      </c>
      <c r="D6786" t="s">
        <v>27923</v>
      </c>
      <c r="E6786" t="str">
        <f t="shared" ref="E6786:E6849" si="106">"001390"</f>
        <v>001390</v>
      </c>
      <c r="F6786" t="s">
        <v>27246</v>
      </c>
      <c r="G6786" t="s">
        <v>27247</v>
      </c>
      <c r="H6786" t="s">
        <v>27248</v>
      </c>
      <c r="I6786" t="s">
        <v>40422</v>
      </c>
      <c r="J6786" t="s">
        <v>13471</v>
      </c>
      <c r="L6786" t="s">
        <v>27250</v>
      </c>
      <c r="M6786" t="s">
        <v>27251</v>
      </c>
      <c r="N6786" t="s">
        <v>27252</v>
      </c>
      <c r="P6786" t="s">
        <v>27925</v>
      </c>
      <c r="Q6786" s="1">
        <v>44846</v>
      </c>
      <c r="R6786" t="s">
        <v>27253</v>
      </c>
      <c r="S6786" t="s">
        <v>27254</v>
      </c>
      <c r="T6786" t="s">
        <v>27265</v>
      </c>
    </row>
    <row r="6787" spans="1:20" x14ac:dyDescent="0.3">
      <c r="A6787" t="str">
        <f>"0611862980050"</f>
        <v>0611862980050</v>
      </c>
      <c r="B6787" t="str">
        <f>"CE1513"</f>
        <v>CE1513</v>
      </c>
      <c r="C6787" t="s">
        <v>40423</v>
      </c>
      <c r="D6787" t="s">
        <v>27923</v>
      </c>
      <c r="E6787" t="str">
        <f t="shared" si="106"/>
        <v>001390</v>
      </c>
      <c r="F6787" t="s">
        <v>27246</v>
      </c>
      <c r="G6787" t="s">
        <v>27247</v>
      </c>
      <c r="H6787" t="s">
        <v>27248</v>
      </c>
      <c r="I6787" t="s">
        <v>40424</v>
      </c>
      <c r="J6787" t="s">
        <v>13473</v>
      </c>
      <c r="L6787" t="s">
        <v>27250</v>
      </c>
      <c r="M6787" t="s">
        <v>27251</v>
      </c>
      <c r="N6787" t="s">
        <v>27252</v>
      </c>
      <c r="P6787" t="s">
        <v>27925</v>
      </c>
      <c r="Q6787" s="1">
        <v>44846</v>
      </c>
      <c r="R6787" t="s">
        <v>27253</v>
      </c>
      <c r="S6787" t="s">
        <v>27254</v>
      </c>
      <c r="T6787" t="s">
        <v>27265</v>
      </c>
    </row>
    <row r="6788" spans="1:20" x14ac:dyDescent="0.3">
      <c r="A6788" t="str">
        <f>"0611862981050"</f>
        <v>0611862981050</v>
      </c>
      <c r="B6788" t="str">
        <f>"CE1378"</f>
        <v>CE1378</v>
      </c>
      <c r="C6788" t="s">
        <v>40425</v>
      </c>
      <c r="D6788" t="s">
        <v>27923</v>
      </c>
      <c r="E6788" t="str">
        <f t="shared" si="106"/>
        <v>001390</v>
      </c>
      <c r="F6788" t="s">
        <v>27246</v>
      </c>
      <c r="G6788" t="s">
        <v>27247</v>
      </c>
      <c r="H6788" t="s">
        <v>27248</v>
      </c>
      <c r="I6788" t="s">
        <v>40426</v>
      </c>
      <c r="J6788" t="s">
        <v>13475</v>
      </c>
      <c r="L6788" t="s">
        <v>27250</v>
      </c>
      <c r="M6788" t="s">
        <v>27251</v>
      </c>
      <c r="N6788" t="s">
        <v>27252</v>
      </c>
      <c r="P6788" t="s">
        <v>27925</v>
      </c>
      <c r="Q6788" s="1">
        <v>44846</v>
      </c>
      <c r="R6788" t="s">
        <v>27253</v>
      </c>
      <c r="S6788" t="s">
        <v>27254</v>
      </c>
      <c r="T6788" t="s">
        <v>27265</v>
      </c>
    </row>
    <row r="6789" spans="1:20" x14ac:dyDescent="0.3">
      <c r="A6789" t="str">
        <f>"0611862982050"</f>
        <v>0611862982050</v>
      </c>
      <c r="B6789" t="str">
        <f>"CE0889"</f>
        <v>CE0889</v>
      </c>
      <c r="C6789" t="s">
        <v>40427</v>
      </c>
      <c r="D6789" t="s">
        <v>27923</v>
      </c>
      <c r="E6789" t="str">
        <f t="shared" si="106"/>
        <v>001390</v>
      </c>
      <c r="F6789" t="s">
        <v>27246</v>
      </c>
      <c r="G6789" t="s">
        <v>27247</v>
      </c>
      <c r="H6789" t="s">
        <v>27248</v>
      </c>
      <c r="I6789" t="s">
        <v>40428</v>
      </c>
      <c r="J6789" t="s">
        <v>13477</v>
      </c>
      <c r="L6789" t="s">
        <v>27250</v>
      </c>
      <c r="M6789" t="s">
        <v>27251</v>
      </c>
      <c r="N6789" t="s">
        <v>27252</v>
      </c>
      <c r="P6789" t="s">
        <v>27925</v>
      </c>
      <c r="Q6789" s="1">
        <v>44846</v>
      </c>
      <c r="R6789" t="s">
        <v>27253</v>
      </c>
      <c r="S6789" t="s">
        <v>27254</v>
      </c>
      <c r="T6789" t="s">
        <v>27265</v>
      </c>
    </row>
    <row r="6790" spans="1:20" x14ac:dyDescent="0.3">
      <c r="A6790" t="str">
        <f>"0611862983050"</f>
        <v>0611862983050</v>
      </c>
      <c r="B6790" t="str">
        <f>"CE1503"</f>
        <v>CE1503</v>
      </c>
      <c r="C6790" t="s">
        <v>40429</v>
      </c>
      <c r="D6790" t="s">
        <v>27923</v>
      </c>
      <c r="E6790" t="str">
        <f t="shared" si="106"/>
        <v>001390</v>
      </c>
      <c r="F6790" t="s">
        <v>27246</v>
      </c>
      <c r="G6790" t="s">
        <v>27247</v>
      </c>
      <c r="H6790" t="s">
        <v>27248</v>
      </c>
      <c r="I6790" t="s">
        <v>40430</v>
      </c>
      <c r="J6790" t="s">
        <v>13479</v>
      </c>
      <c r="L6790" t="s">
        <v>27250</v>
      </c>
      <c r="M6790" t="s">
        <v>27251</v>
      </c>
      <c r="N6790" t="s">
        <v>27252</v>
      </c>
      <c r="P6790" t="s">
        <v>27925</v>
      </c>
      <c r="Q6790" s="1">
        <v>44846</v>
      </c>
      <c r="R6790" t="s">
        <v>27253</v>
      </c>
      <c r="S6790" t="s">
        <v>27254</v>
      </c>
      <c r="T6790" t="s">
        <v>27265</v>
      </c>
    </row>
    <row r="6791" spans="1:20" x14ac:dyDescent="0.3">
      <c r="A6791" t="str">
        <f>"0611862984050"</f>
        <v>0611862984050</v>
      </c>
      <c r="B6791" t="str">
        <f>"CE1682"</f>
        <v>CE1682</v>
      </c>
      <c r="C6791" t="s">
        <v>40431</v>
      </c>
      <c r="D6791" t="s">
        <v>27923</v>
      </c>
      <c r="E6791" t="str">
        <f t="shared" si="106"/>
        <v>001390</v>
      </c>
      <c r="F6791" t="s">
        <v>27246</v>
      </c>
      <c r="G6791" t="s">
        <v>27247</v>
      </c>
      <c r="H6791" t="s">
        <v>27248</v>
      </c>
      <c r="I6791" t="s">
        <v>40432</v>
      </c>
      <c r="J6791" t="s">
        <v>13481</v>
      </c>
      <c r="L6791" t="s">
        <v>27250</v>
      </c>
      <c r="M6791" t="s">
        <v>27251</v>
      </c>
      <c r="N6791" t="s">
        <v>27252</v>
      </c>
      <c r="P6791" t="s">
        <v>27925</v>
      </c>
      <c r="Q6791" s="1">
        <v>44846</v>
      </c>
      <c r="R6791" t="s">
        <v>27253</v>
      </c>
      <c r="S6791" t="s">
        <v>27254</v>
      </c>
      <c r="T6791" t="s">
        <v>27265</v>
      </c>
    </row>
    <row r="6792" spans="1:20" x14ac:dyDescent="0.3">
      <c r="A6792" t="str">
        <f>"0611862985050"</f>
        <v>0611862985050</v>
      </c>
      <c r="B6792" t="str">
        <f>"CE1683"</f>
        <v>CE1683</v>
      </c>
      <c r="C6792" t="s">
        <v>40433</v>
      </c>
      <c r="D6792" t="s">
        <v>27923</v>
      </c>
      <c r="E6792" t="str">
        <f t="shared" si="106"/>
        <v>001390</v>
      </c>
      <c r="F6792" t="s">
        <v>27246</v>
      </c>
      <c r="G6792" t="s">
        <v>27247</v>
      </c>
      <c r="H6792" t="s">
        <v>27248</v>
      </c>
      <c r="I6792" t="s">
        <v>40434</v>
      </c>
      <c r="J6792" t="s">
        <v>13483</v>
      </c>
      <c r="L6792" t="s">
        <v>27250</v>
      </c>
      <c r="M6792" t="s">
        <v>27251</v>
      </c>
      <c r="N6792" t="s">
        <v>27252</v>
      </c>
      <c r="P6792" t="s">
        <v>27925</v>
      </c>
      <c r="Q6792" s="1">
        <v>44846</v>
      </c>
      <c r="R6792" t="s">
        <v>27253</v>
      </c>
      <c r="S6792" t="s">
        <v>27254</v>
      </c>
      <c r="T6792" t="s">
        <v>27265</v>
      </c>
    </row>
    <row r="6793" spans="1:20" x14ac:dyDescent="0.3">
      <c r="A6793" t="str">
        <f>"0611884280050"</f>
        <v>0611884280050</v>
      </c>
      <c r="B6793" t="str">
        <f>"CE1755"</f>
        <v>CE1755</v>
      </c>
      <c r="C6793" t="s">
        <v>40435</v>
      </c>
      <c r="D6793" t="s">
        <v>27923</v>
      </c>
      <c r="E6793" t="str">
        <f t="shared" si="106"/>
        <v>001390</v>
      </c>
      <c r="F6793" t="s">
        <v>27246</v>
      </c>
      <c r="G6793" t="s">
        <v>27247</v>
      </c>
      <c r="H6793" t="s">
        <v>27248</v>
      </c>
      <c r="I6793" t="s">
        <v>40436</v>
      </c>
      <c r="J6793" t="s">
        <v>13485</v>
      </c>
      <c r="L6793" t="s">
        <v>27430</v>
      </c>
      <c r="M6793" t="s">
        <v>27251</v>
      </c>
      <c r="N6793" t="s">
        <v>27252</v>
      </c>
      <c r="P6793" t="s">
        <v>27925</v>
      </c>
      <c r="Q6793" s="1">
        <v>45250</v>
      </c>
      <c r="R6793" t="s">
        <v>27253</v>
      </c>
      <c r="S6793" t="s">
        <v>27254</v>
      </c>
      <c r="T6793" t="s">
        <v>27265</v>
      </c>
    </row>
    <row r="6794" spans="1:20" x14ac:dyDescent="0.3">
      <c r="A6794" t="str">
        <f>"0611862986050"</f>
        <v>0611862986050</v>
      </c>
      <c r="B6794" t="str">
        <f>"CE1684"</f>
        <v>CE1684</v>
      </c>
      <c r="C6794" t="s">
        <v>40437</v>
      </c>
      <c r="D6794" t="s">
        <v>27923</v>
      </c>
      <c r="E6794" t="str">
        <f t="shared" si="106"/>
        <v>001390</v>
      </c>
      <c r="F6794" t="s">
        <v>27246</v>
      </c>
      <c r="G6794" t="s">
        <v>27247</v>
      </c>
      <c r="H6794" t="s">
        <v>27248</v>
      </c>
      <c r="I6794" t="s">
        <v>40438</v>
      </c>
      <c r="J6794" t="s">
        <v>13487</v>
      </c>
      <c r="L6794" t="s">
        <v>27250</v>
      </c>
      <c r="M6794" t="s">
        <v>27251</v>
      </c>
      <c r="N6794" t="s">
        <v>27252</v>
      </c>
      <c r="P6794" t="s">
        <v>27925</v>
      </c>
      <c r="Q6794" s="1">
        <v>44846</v>
      </c>
      <c r="R6794" t="s">
        <v>27253</v>
      </c>
      <c r="S6794" t="s">
        <v>27254</v>
      </c>
      <c r="T6794" t="s">
        <v>27265</v>
      </c>
    </row>
    <row r="6795" spans="1:20" x14ac:dyDescent="0.3">
      <c r="A6795" t="str">
        <f>"0611862987050"</f>
        <v>0611862987050</v>
      </c>
      <c r="B6795" t="str">
        <f>"CE1514"</f>
        <v>CE1514</v>
      </c>
      <c r="C6795" t="s">
        <v>40439</v>
      </c>
      <c r="D6795" t="s">
        <v>27923</v>
      </c>
      <c r="E6795" t="str">
        <f t="shared" si="106"/>
        <v>001390</v>
      </c>
      <c r="F6795" t="s">
        <v>27246</v>
      </c>
      <c r="G6795" t="s">
        <v>27247</v>
      </c>
      <c r="H6795" t="s">
        <v>27248</v>
      </c>
      <c r="I6795" t="s">
        <v>40440</v>
      </c>
      <c r="J6795" t="s">
        <v>13489</v>
      </c>
      <c r="L6795" t="s">
        <v>27250</v>
      </c>
      <c r="M6795" t="s">
        <v>27251</v>
      </c>
      <c r="N6795" t="s">
        <v>27252</v>
      </c>
      <c r="P6795" t="s">
        <v>27925</v>
      </c>
      <c r="Q6795" s="1">
        <v>44846</v>
      </c>
      <c r="R6795" t="s">
        <v>27253</v>
      </c>
      <c r="S6795" t="s">
        <v>27254</v>
      </c>
      <c r="T6795" t="s">
        <v>27265</v>
      </c>
    </row>
    <row r="6796" spans="1:20" x14ac:dyDescent="0.3">
      <c r="A6796" t="str">
        <f>"0611862988050"</f>
        <v>0611862988050</v>
      </c>
      <c r="B6796" t="str">
        <f>"CE1515"</f>
        <v>CE1515</v>
      </c>
      <c r="C6796" t="s">
        <v>40441</v>
      </c>
      <c r="D6796" t="s">
        <v>27923</v>
      </c>
      <c r="E6796" t="str">
        <f t="shared" si="106"/>
        <v>001390</v>
      </c>
      <c r="F6796" t="s">
        <v>27246</v>
      </c>
      <c r="G6796" t="s">
        <v>27247</v>
      </c>
      <c r="H6796" t="s">
        <v>27248</v>
      </c>
      <c r="I6796" t="s">
        <v>40442</v>
      </c>
      <c r="J6796" t="s">
        <v>13491</v>
      </c>
      <c r="L6796" t="s">
        <v>27250</v>
      </c>
      <c r="M6796" t="s">
        <v>27251</v>
      </c>
      <c r="N6796" t="s">
        <v>27252</v>
      </c>
      <c r="P6796" t="s">
        <v>27925</v>
      </c>
      <c r="Q6796" s="1">
        <v>44846</v>
      </c>
      <c r="R6796" t="s">
        <v>27253</v>
      </c>
      <c r="S6796" t="s">
        <v>27254</v>
      </c>
      <c r="T6796" t="s">
        <v>27265</v>
      </c>
    </row>
    <row r="6797" spans="1:20" x14ac:dyDescent="0.3">
      <c r="A6797" t="str">
        <f>"0611862989050"</f>
        <v>0611862989050</v>
      </c>
      <c r="B6797" t="str">
        <f>"CE1223"</f>
        <v>CE1223</v>
      </c>
      <c r="C6797" t="s">
        <v>40443</v>
      </c>
      <c r="D6797" t="s">
        <v>27923</v>
      </c>
      <c r="E6797" t="str">
        <f t="shared" si="106"/>
        <v>001390</v>
      </c>
      <c r="F6797" t="s">
        <v>27246</v>
      </c>
      <c r="G6797" t="s">
        <v>27247</v>
      </c>
      <c r="H6797" t="s">
        <v>27248</v>
      </c>
      <c r="I6797" t="s">
        <v>40444</v>
      </c>
      <c r="J6797" t="s">
        <v>13493</v>
      </c>
      <c r="L6797" t="s">
        <v>27250</v>
      </c>
      <c r="M6797" t="s">
        <v>27251</v>
      </c>
      <c r="N6797" t="s">
        <v>27252</v>
      </c>
      <c r="P6797" t="s">
        <v>27925</v>
      </c>
      <c r="Q6797" s="1">
        <v>44846</v>
      </c>
      <c r="R6797" t="s">
        <v>27253</v>
      </c>
      <c r="S6797" t="s">
        <v>27254</v>
      </c>
      <c r="T6797" t="s">
        <v>27265</v>
      </c>
    </row>
    <row r="6798" spans="1:20" x14ac:dyDescent="0.3">
      <c r="A6798" t="str">
        <f>"0611862990050"</f>
        <v>0611862990050</v>
      </c>
      <c r="B6798" t="str">
        <f>"CE1516"</f>
        <v>CE1516</v>
      </c>
      <c r="C6798" t="s">
        <v>40445</v>
      </c>
      <c r="D6798" t="s">
        <v>27923</v>
      </c>
      <c r="E6798" t="str">
        <f t="shared" si="106"/>
        <v>001390</v>
      </c>
      <c r="F6798" t="s">
        <v>27246</v>
      </c>
      <c r="G6798" t="s">
        <v>27247</v>
      </c>
      <c r="H6798" t="s">
        <v>27248</v>
      </c>
      <c r="I6798" t="s">
        <v>40446</v>
      </c>
      <c r="J6798" t="s">
        <v>13495</v>
      </c>
      <c r="L6798" t="s">
        <v>27250</v>
      </c>
      <c r="M6798" t="s">
        <v>27251</v>
      </c>
      <c r="N6798" t="s">
        <v>27252</v>
      </c>
      <c r="P6798" t="s">
        <v>27925</v>
      </c>
      <c r="Q6798" s="1">
        <v>44846</v>
      </c>
      <c r="R6798" t="s">
        <v>27253</v>
      </c>
      <c r="S6798" t="s">
        <v>27254</v>
      </c>
      <c r="T6798" t="s">
        <v>27265</v>
      </c>
    </row>
    <row r="6799" spans="1:20" x14ac:dyDescent="0.3">
      <c r="A6799" t="str">
        <f>"0611862991050"</f>
        <v>0611862991050</v>
      </c>
      <c r="B6799" t="str">
        <f>"CE1222"</f>
        <v>CE1222</v>
      </c>
      <c r="C6799" t="s">
        <v>40447</v>
      </c>
      <c r="D6799" t="s">
        <v>27923</v>
      </c>
      <c r="E6799" t="str">
        <f t="shared" si="106"/>
        <v>001390</v>
      </c>
      <c r="F6799" t="s">
        <v>27246</v>
      </c>
      <c r="G6799" t="s">
        <v>27247</v>
      </c>
      <c r="H6799" t="s">
        <v>27248</v>
      </c>
      <c r="I6799" t="s">
        <v>40448</v>
      </c>
      <c r="J6799" t="s">
        <v>13497</v>
      </c>
      <c r="L6799" t="s">
        <v>27250</v>
      </c>
      <c r="M6799" t="s">
        <v>27251</v>
      </c>
      <c r="N6799" t="s">
        <v>27252</v>
      </c>
      <c r="P6799" t="s">
        <v>27925</v>
      </c>
      <c r="Q6799" s="1">
        <v>44846</v>
      </c>
      <c r="R6799" t="s">
        <v>27253</v>
      </c>
      <c r="S6799" t="s">
        <v>27254</v>
      </c>
      <c r="T6799" t="s">
        <v>27265</v>
      </c>
    </row>
    <row r="6800" spans="1:20" x14ac:dyDescent="0.3">
      <c r="A6800" t="str">
        <f>"0611862992050"</f>
        <v>0611862992050</v>
      </c>
      <c r="B6800" t="str">
        <f>"CE1517"</f>
        <v>CE1517</v>
      </c>
      <c r="C6800" t="s">
        <v>40449</v>
      </c>
      <c r="D6800" t="s">
        <v>27923</v>
      </c>
      <c r="E6800" t="str">
        <f t="shared" si="106"/>
        <v>001390</v>
      </c>
      <c r="F6800" t="s">
        <v>27246</v>
      </c>
      <c r="G6800" t="s">
        <v>27247</v>
      </c>
      <c r="H6800" t="s">
        <v>27248</v>
      </c>
      <c r="I6800" t="s">
        <v>40450</v>
      </c>
      <c r="J6800" t="s">
        <v>13499</v>
      </c>
      <c r="L6800" t="s">
        <v>27250</v>
      </c>
      <c r="M6800" t="s">
        <v>27251</v>
      </c>
      <c r="N6800" t="s">
        <v>27252</v>
      </c>
      <c r="P6800" t="s">
        <v>27925</v>
      </c>
      <c r="Q6800" s="1">
        <v>44846</v>
      </c>
      <c r="R6800" t="s">
        <v>27253</v>
      </c>
      <c r="S6800" t="s">
        <v>27254</v>
      </c>
      <c r="T6800" t="s">
        <v>27265</v>
      </c>
    </row>
    <row r="6801" spans="1:20" x14ac:dyDescent="0.3">
      <c r="A6801" t="str">
        <f>"0611862993050"</f>
        <v>0611862993050</v>
      </c>
      <c r="B6801" t="str">
        <f>"CE1504"</f>
        <v>CE1504</v>
      </c>
      <c r="C6801" t="s">
        <v>40451</v>
      </c>
      <c r="D6801" t="s">
        <v>27923</v>
      </c>
      <c r="E6801" t="str">
        <f t="shared" si="106"/>
        <v>001390</v>
      </c>
      <c r="F6801" t="s">
        <v>27246</v>
      </c>
      <c r="G6801" t="s">
        <v>27247</v>
      </c>
      <c r="H6801" t="s">
        <v>27248</v>
      </c>
      <c r="I6801" t="s">
        <v>40452</v>
      </c>
      <c r="J6801" t="s">
        <v>13501</v>
      </c>
      <c r="L6801" t="s">
        <v>27250</v>
      </c>
      <c r="M6801" t="s">
        <v>27251</v>
      </c>
      <c r="N6801" t="s">
        <v>27252</v>
      </c>
      <c r="P6801" t="s">
        <v>27925</v>
      </c>
      <c r="Q6801" s="1">
        <v>44846</v>
      </c>
      <c r="R6801" t="s">
        <v>27253</v>
      </c>
      <c r="S6801" t="s">
        <v>27254</v>
      </c>
      <c r="T6801" t="s">
        <v>27265</v>
      </c>
    </row>
    <row r="6802" spans="1:20" x14ac:dyDescent="0.3">
      <c r="A6802" t="str">
        <f>"0611862994050"</f>
        <v>0611862994050</v>
      </c>
      <c r="B6802" t="str">
        <f>"CE1603"</f>
        <v>CE1603</v>
      </c>
      <c r="C6802" t="s">
        <v>40453</v>
      </c>
      <c r="D6802" t="s">
        <v>27923</v>
      </c>
      <c r="E6802" t="str">
        <f t="shared" si="106"/>
        <v>001390</v>
      </c>
      <c r="F6802" t="s">
        <v>27246</v>
      </c>
      <c r="G6802" t="s">
        <v>27247</v>
      </c>
      <c r="H6802" t="s">
        <v>27248</v>
      </c>
      <c r="I6802" t="s">
        <v>40454</v>
      </c>
      <c r="J6802" t="s">
        <v>13503</v>
      </c>
      <c r="L6802" t="s">
        <v>27250</v>
      </c>
      <c r="M6802" t="s">
        <v>27251</v>
      </c>
      <c r="N6802" t="s">
        <v>27252</v>
      </c>
      <c r="P6802" t="s">
        <v>27925</v>
      </c>
      <c r="Q6802" s="1">
        <v>44846</v>
      </c>
      <c r="R6802" t="s">
        <v>27253</v>
      </c>
      <c r="S6802" t="s">
        <v>27254</v>
      </c>
      <c r="T6802" t="s">
        <v>27265</v>
      </c>
    </row>
    <row r="6803" spans="1:20" x14ac:dyDescent="0.3">
      <c r="A6803" t="str">
        <f>"0611862995050"</f>
        <v>0611862995050</v>
      </c>
      <c r="B6803" t="str">
        <f>"CE0890"</f>
        <v>CE0890</v>
      </c>
      <c r="C6803" t="s">
        <v>40455</v>
      </c>
      <c r="D6803" t="s">
        <v>27923</v>
      </c>
      <c r="E6803" t="str">
        <f t="shared" si="106"/>
        <v>001390</v>
      </c>
      <c r="F6803" t="s">
        <v>27246</v>
      </c>
      <c r="G6803" t="s">
        <v>27247</v>
      </c>
      <c r="H6803" t="s">
        <v>27248</v>
      </c>
      <c r="I6803" t="s">
        <v>40456</v>
      </c>
      <c r="J6803" t="s">
        <v>13505</v>
      </c>
      <c r="L6803" t="s">
        <v>27250</v>
      </c>
      <c r="M6803" t="s">
        <v>27251</v>
      </c>
      <c r="N6803" t="s">
        <v>27252</v>
      </c>
      <c r="P6803" t="s">
        <v>27925</v>
      </c>
      <c r="Q6803" s="1">
        <v>44846</v>
      </c>
      <c r="R6803" t="s">
        <v>27253</v>
      </c>
      <c r="S6803" t="s">
        <v>27254</v>
      </c>
      <c r="T6803" t="s">
        <v>27265</v>
      </c>
    </row>
    <row r="6804" spans="1:20" x14ac:dyDescent="0.3">
      <c r="A6804" t="str">
        <f>"0611862996050"</f>
        <v>0611862996050</v>
      </c>
      <c r="B6804" t="str">
        <f>"CE1230"</f>
        <v>CE1230</v>
      </c>
      <c r="C6804" t="s">
        <v>40457</v>
      </c>
      <c r="D6804" t="s">
        <v>27923</v>
      </c>
      <c r="E6804" t="str">
        <f t="shared" si="106"/>
        <v>001390</v>
      </c>
      <c r="F6804" t="s">
        <v>27246</v>
      </c>
      <c r="G6804" t="s">
        <v>27247</v>
      </c>
      <c r="H6804" t="s">
        <v>27248</v>
      </c>
      <c r="I6804" t="s">
        <v>40458</v>
      </c>
      <c r="J6804" t="s">
        <v>13507</v>
      </c>
      <c r="L6804" t="s">
        <v>27250</v>
      </c>
      <c r="M6804" t="s">
        <v>27251</v>
      </c>
      <c r="N6804" t="s">
        <v>27252</v>
      </c>
      <c r="P6804" t="s">
        <v>27925</v>
      </c>
      <c r="Q6804" s="1">
        <v>44846</v>
      </c>
      <c r="R6804" t="s">
        <v>27253</v>
      </c>
      <c r="S6804" t="s">
        <v>27254</v>
      </c>
      <c r="T6804" t="s">
        <v>27265</v>
      </c>
    </row>
    <row r="6805" spans="1:20" x14ac:dyDescent="0.3">
      <c r="A6805" t="str">
        <f>"0611862997050"</f>
        <v>0611862997050</v>
      </c>
      <c r="B6805" t="str">
        <f>"CE0742"</f>
        <v>CE0742</v>
      </c>
      <c r="C6805" t="s">
        <v>40459</v>
      </c>
      <c r="D6805" t="s">
        <v>27923</v>
      </c>
      <c r="E6805" t="str">
        <f t="shared" si="106"/>
        <v>001390</v>
      </c>
      <c r="F6805" t="s">
        <v>27246</v>
      </c>
      <c r="G6805" t="s">
        <v>27247</v>
      </c>
      <c r="H6805" t="s">
        <v>27248</v>
      </c>
      <c r="I6805" t="s">
        <v>40460</v>
      </c>
      <c r="J6805" t="s">
        <v>13509</v>
      </c>
      <c r="L6805" t="s">
        <v>27250</v>
      </c>
      <c r="M6805" t="s">
        <v>27251</v>
      </c>
      <c r="N6805" t="s">
        <v>27252</v>
      </c>
      <c r="P6805" t="s">
        <v>27925</v>
      </c>
      <c r="Q6805" s="1">
        <v>44846</v>
      </c>
      <c r="R6805" t="s">
        <v>27253</v>
      </c>
      <c r="S6805" t="s">
        <v>27254</v>
      </c>
      <c r="T6805" t="s">
        <v>27265</v>
      </c>
    </row>
    <row r="6806" spans="1:20" x14ac:dyDescent="0.3">
      <c r="A6806" t="str">
        <f>"0611862998050"</f>
        <v>0611862998050</v>
      </c>
      <c r="B6806" t="str">
        <f>"CE1381"</f>
        <v>CE1381</v>
      </c>
      <c r="C6806" t="s">
        <v>40461</v>
      </c>
      <c r="D6806" t="s">
        <v>27923</v>
      </c>
      <c r="E6806" t="str">
        <f t="shared" si="106"/>
        <v>001390</v>
      </c>
      <c r="F6806" t="s">
        <v>27246</v>
      </c>
      <c r="G6806" t="s">
        <v>27247</v>
      </c>
      <c r="H6806" t="s">
        <v>27248</v>
      </c>
      <c r="I6806" t="s">
        <v>40462</v>
      </c>
      <c r="J6806" t="s">
        <v>13511</v>
      </c>
      <c r="L6806" t="s">
        <v>27250</v>
      </c>
      <c r="M6806" t="s">
        <v>27251</v>
      </c>
      <c r="N6806" t="s">
        <v>27252</v>
      </c>
      <c r="P6806" t="s">
        <v>27925</v>
      </c>
      <c r="Q6806" s="1">
        <v>44846</v>
      </c>
      <c r="R6806" t="s">
        <v>27253</v>
      </c>
      <c r="S6806" t="s">
        <v>27254</v>
      </c>
      <c r="T6806" t="s">
        <v>27265</v>
      </c>
    </row>
    <row r="6807" spans="1:20" x14ac:dyDescent="0.3">
      <c r="A6807" t="str">
        <f>"0611862999050"</f>
        <v>0611862999050</v>
      </c>
      <c r="B6807" t="str">
        <f>"CE0892"</f>
        <v>CE0892</v>
      </c>
      <c r="C6807" t="s">
        <v>40463</v>
      </c>
      <c r="D6807" t="s">
        <v>27923</v>
      </c>
      <c r="E6807" t="str">
        <f t="shared" si="106"/>
        <v>001390</v>
      </c>
      <c r="F6807" t="s">
        <v>27246</v>
      </c>
      <c r="G6807" t="s">
        <v>27247</v>
      </c>
      <c r="H6807" t="s">
        <v>27248</v>
      </c>
      <c r="I6807" t="s">
        <v>40464</v>
      </c>
      <c r="J6807" t="s">
        <v>13513</v>
      </c>
      <c r="L6807" t="s">
        <v>27250</v>
      </c>
      <c r="M6807" t="s">
        <v>27251</v>
      </c>
      <c r="N6807" t="s">
        <v>27252</v>
      </c>
      <c r="P6807" t="s">
        <v>27925</v>
      </c>
      <c r="Q6807" s="1">
        <v>44846</v>
      </c>
      <c r="R6807" t="s">
        <v>27253</v>
      </c>
      <c r="S6807" t="s">
        <v>27254</v>
      </c>
      <c r="T6807" t="s">
        <v>27265</v>
      </c>
    </row>
    <row r="6808" spans="1:20" x14ac:dyDescent="0.3">
      <c r="A6808" t="str">
        <f>"0611863000050"</f>
        <v>0611863000050</v>
      </c>
      <c r="B6808" t="str">
        <f>"CE1388"</f>
        <v>CE1388</v>
      </c>
      <c r="C6808" t="s">
        <v>40465</v>
      </c>
      <c r="D6808" t="s">
        <v>27923</v>
      </c>
      <c r="E6808" t="str">
        <f t="shared" si="106"/>
        <v>001390</v>
      </c>
      <c r="F6808" t="s">
        <v>27246</v>
      </c>
      <c r="G6808" t="s">
        <v>27247</v>
      </c>
      <c r="H6808" t="s">
        <v>27248</v>
      </c>
      <c r="I6808" t="s">
        <v>40466</v>
      </c>
      <c r="J6808" t="s">
        <v>13515</v>
      </c>
      <c r="L6808" t="s">
        <v>27250</v>
      </c>
      <c r="M6808" t="s">
        <v>27251</v>
      </c>
      <c r="N6808" t="s">
        <v>27252</v>
      </c>
      <c r="P6808" t="s">
        <v>27925</v>
      </c>
      <c r="Q6808" s="1">
        <v>44846</v>
      </c>
      <c r="R6808" t="s">
        <v>27253</v>
      </c>
      <c r="S6808" t="s">
        <v>27254</v>
      </c>
      <c r="T6808" t="s">
        <v>27265</v>
      </c>
    </row>
    <row r="6809" spans="1:20" x14ac:dyDescent="0.3">
      <c r="A6809" t="str">
        <f>"0611863001050"</f>
        <v>0611863001050</v>
      </c>
      <c r="B6809" t="str">
        <f>"CE1229"</f>
        <v>CE1229</v>
      </c>
      <c r="C6809" t="s">
        <v>40467</v>
      </c>
      <c r="D6809" t="s">
        <v>27923</v>
      </c>
      <c r="E6809" t="str">
        <f t="shared" si="106"/>
        <v>001390</v>
      </c>
      <c r="F6809" t="s">
        <v>27246</v>
      </c>
      <c r="G6809" t="s">
        <v>27247</v>
      </c>
      <c r="H6809" t="s">
        <v>27248</v>
      </c>
      <c r="I6809" t="s">
        <v>40468</v>
      </c>
      <c r="J6809" t="s">
        <v>13517</v>
      </c>
      <c r="L6809" t="s">
        <v>27250</v>
      </c>
      <c r="M6809" t="s">
        <v>27251</v>
      </c>
      <c r="N6809" t="s">
        <v>27252</v>
      </c>
      <c r="P6809" t="s">
        <v>27925</v>
      </c>
      <c r="Q6809" s="1">
        <v>44846</v>
      </c>
      <c r="R6809" t="s">
        <v>27253</v>
      </c>
      <c r="S6809" t="s">
        <v>27254</v>
      </c>
      <c r="T6809" t="s">
        <v>27265</v>
      </c>
    </row>
    <row r="6810" spans="1:20" x14ac:dyDescent="0.3">
      <c r="A6810" t="str">
        <f>"0611863002050"</f>
        <v>0611863002050</v>
      </c>
      <c r="B6810" t="str">
        <f>"CE0744"</f>
        <v>CE0744</v>
      </c>
      <c r="C6810" t="s">
        <v>40469</v>
      </c>
      <c r="D6810" t="s">
        <v>27923</v>
      </c>
      <c r="E6810" t="str">
        <f t="shared" si="106"/>
        <v>001390</v>
      </c>
      <c r="F6810" t="s">
        <v>27246</v>
      </c>
      <c r="G6810" t="s">
        <v>27247</v>
      </c>
      <c r="H6810" t="s">
        <v>27248</v>
      </c>
      <c r="I6810" t="s">
        <v>40470</v>
      </c>
      <c r="J6810" t="s">
        <v>13519</v>
      </c>
      <c r="L6810" t="s">
        <v>27250</v>
      </c>
      <c r="M6810" t="s">
        <v>27251</v>
      </c>
      <c r="N6810" t="s">
        <v>27252</v>
      </c>
      <c r="P6810" t="s">
        <v>27925</v>
      </c>
      <c r="Q6810" s="1">
        <v>44846</v>
      </c>
      <c r="R6810" t="s">
        <v>27253</v>
      </c>
      <c r="S6810" t="s">
        <v>27254</v>
      </c>
      <c r="T6810" t="s">
        <v>27265</v>
      </c>
    </row>
    <row r="6811" spans="1:20" x14ac:dyDescent="0.3">
      <c r="A6811" t="str">
        <f>"0611863003050"</f>
        <v>0611863003050</v>
      </c>
      <c r="B6811" t="str">
        <f>"CE1213"</f>
        <v>CE1213</v>
      </c>
      <c r="C6811" t="s">
        <v>40471</v>
      </c>
      <c r="D6811" t="s">
        <v>27923</v>
      </c>
      <c r="E6811" t="str">
        <f t="shared" si="106"/>
        <v>001390</v>
      </c>
      <c r="F6811" t="s">
        <v>27246</v>
      </c>
      <c r="G6811" t="s">
        <v>27247</v>
      </c>
      <c r="H6811" t="s">
        <v>27248</v>
      </c>
      <c r="I6811" t="s">
        <v>40472</v>
      </c>
      <c r="J6811" t="s">
        <v>13521</v>
      </c>
      <c r="L6811" t="s">
        <v>27250</v>
      </c>
      <c r="M6811" t="s">
        <v>27251</v>
      </c>
      <c r="N6811" t="s">
        <v>27252</v>
      </c>
      <c r="P6811" t="s">
        <v>27925</v>
      </c>
      <c r="Q6811" s="1">
        <v>44846</v>
      </c>
      <c r="R6811" t="s">
        <v>27253</v>
      </c>
      <c r="S6811" t="s">
        <v>27254</v>
      </c>
      <c r="T6811" t="s">
        <v>27265</v>
      </c>
    </row>
    <row r="6812" spans="1:20" x14ac:dyDescent="0.3">
      <c r="A6812" t="str">
        <f>"0611863004050"</f>
        <v>0611863004050</v>
      </c>
      <c r="B6812" t="str">
        <f>"CE1150"</f>
        <v>CE1150</v>
      </c>
      <c r="C6812" t="s">
        <v>40473</v>
      </c>
      <c r="D6812" t="s">
        <v>27923</v>
      </c>
      <c r="E6812" t="str">
        <f t="shared" si="106"/>
        <v>001390</v>
      </c>
      <c r="F6812" t="s">
        <v>27246</v>
      </c>
      <c r="G6812" t="s">
        <v>27247</v>
      </c>
      <c r="H6812" t="s">
        <v>27248</v>
      </c>
      <c r="I6812" t="s">
        <v>40474</v>
      </c>
      <c r="J6812" t="s">
        <v>13523</v>
      </c>
      <c r="L6812" t="s">
        <v>27250</v>
      </c>
      <c r="M6812" t="s">
        <v>27251</v>
      </c>
      <c r="N6812" t="s">
        <v>27252</v>
      </c>
      <c r="P6812" t="s">
        <v>27925</v>
      </c>
      <c r="Q6812" s="1">
        <v>44846</v>
      </c>
      <c r="R6812" t="s">
        <v>27253</v>
      </c>
      <c r="S6812" t="s">
        <v>27254</v>
      </c>
      <c r="T6812" t="s">
        <v>27265</v>
      </c>
    </row>
    <row r="6813" spans="1:20" x14ac:dyDescent="0.3">
      <c r="A6813" t="str">
        <f>"0611863005050"</f>
        <v>0611863005050</v>
      </c>
      <c r="B6813" t="str">
        <f>"CE1212"</f>
        <v>CE1212</v>
      </c>
      <c r="C6813" t="s">
        <v>40475</v>
      </c>
      <c r="D6813" t="s">
        <v>27923</v>
      </c>
      <c r="E6813" t="str">
        <f t="shared" si="106"/>
        <v>001390</v>
      </c>
      <c r="F6813" t="s">
        <v>27246</v>
      </c>
      <c r="G6813" t="s">
        <v>27247</v>
      </c>
      <c r="H6813" t="s">
        <v>27248</v>
      </c>
      <c r="I6813" t="s">
        <v>40476</v>
      </c>
      <c r="J6813" t="s">
        <v>13525</v>
      </c>
      <c r="L6813" t="s">
        <v>27250</v>
      </c>
      <c r="M6813" t="s">
        <v>27251</v>
      </c>
      <c r="N6813" t="s">
        <v>27252</v>
      </c>
      <c r="P6813" t="s">
        <v>27925</v>
      </c>
      <c r="Q6813" s="1">
        <v>44846</v>
      </c>
      <c r="R6813" t="s">
        <v>27253</v>
      </c>
      <c r="S6813" t="s">
        <v>27254</v>
      </c>
      <c r="T6813" t="s">
        <v>27265</v>
      </c>
    </row>
    <row r="6814" spans="1:20" x14ac:dyDescent="0.3">
      <c r="A6814" t="str">
        <f>"0611863006050"</f>
        <v>0611863006050</v>
      </c>
      <c r="B6814" t="str">
        <f>"CE0746"</f>
        <v>CE0746</v>
      </c>
      <c r="C6814" t="s">
        <v>40477</v>
      </c>
      <c r="D6814" t="s">
        <v>27923</v>
      </c>
      <c r="E6814" t="str">
        <f t="shared" si="106"/>
        <v>001390</v>
      </c>
      <c r="F6814" t="s">
        <v>27246</v>
      </c>
      <c r="G6814" t="s">
        <v>27247</v>
      </c>
      <c r="H6814" t="s">
        <v>27248</v>
      </c>
      <c r="I6814" t="s">
        <v>40478</v>
      </c>
      <c r="J6814" t="s">
        <v>40479</v>
      </c>
      <c r="L6814" t="s">
        <v>27250</v>
      </c>
      <c r="M6814" t="s">
        <v>27251</v>
      </c>
      <c r="N6814" t="s">
        <v>27252</v>
      </c>
      <c r="P6814" t="s">
        <v>27925</v>
      </c>
      <c r="Q6814" s="1">
        <v>44846</v>
      </c>
      <c r="R6814" t="s">
        <v>27253</v>
      </c>
      <c r="S6814" t="s">
        <v>27254</v>
      </c>
      <c r="T6814" t="s">
        <v>27265</v>
      </c>
    </row>
    <row r="6815" spans="1:20" x14ac:dyDescent="0.3">
      <c r="A6815" t="str">
        <f>"0611863007050"</f>
        <v>0611863007050</v>
      </c>
      <c r="B6815" t="str">
        <f>"CE1459"</f>
        <v>CE1459</v>
      </c>
      <c r="C6815" t="s">
        <v>40480</v>
      </c>
      <c r="D6815" t="s">
        <v>27923</v>
      </c>
      <c r="E6815" t="str">
        <f t="shared" si="106"/>
        <v>001390</v>
      </c>
      <c r="F6815" t="s">
        <v>27246</v>
      </c>
      <c r="G6815" t="s">
        <v>27247</v>
      </c>
      <c r="H6815" t="s">
        <v>27248</v>
      </c>
      <c r="I6815" t="s">
        <v>40481</v>
      </c>
      <c r="J6815" t="s">
        <v>13529</v>
      </c>
      <c r="L6815" t="s">
        <v>27250</v>
      </c>
      <c r="M6815" t="s">
        <v>27251</v>
      </c>
      <c r="N6815" t="s">
        <v>27252</v>
      </c>
      <c r="P6815" t="s">
        <v>27925</v>
      </c>
      <c r="Q6815" s="1">
        <v>44846</v>
      </c>
      <c r="R6815" t="s">
        <v>27253</v>
      </c>
      <c r="S6815" t="s">
        <v>27254</v>
      </c>
      <c r="T6815" t="s">
        <v>27265</v>
      </c>
    </row>
    <row r="6816" spans="1:20" x14ac:dyDescent="0.3">
      <c r="A6816" t="str">
        <f>"0611863008050"</f>
        <v>0611863008050</v>
      </c>
      <c r="B6816" t="str">
        <f>"CE1219"</f>
        <v>CE1219</v>
      </c>
      <c r="C6816" t="s">
        <v>40482</v>
      </c>
      <c r="D6816" t="s">
        <v>27923</v>
      </c>
      <c r="E6816" t="str">
        <f t="shared" si="106"/>
        <v>001390</v>
      </c>
      <c r="F6816" t="s">
        <v>27246</v>
      </c>
      <c r="G6816" t="s">
        <v>27247</v>
      </c>
      <c r="H6816" t="s">
        <v>27248</v>
      </c>
      <c r="I6816" t="s">
        <v>40483</v>
      </c>
      <c r="J6816" t="s">
        <v>13531</v>
      </c>
      <c r="L6816" t="s">
        <v>27250</v>
      </c>
      <c r="M6816" t="s">
        <v>27251</v>
      </c>
      <c r="N6816" t="s">
        <v>27252</v>
      </c>
      <c r="P6816" t="s">
        <v>27925</v>
      </c>
      <c r="Q6816" s="1">
        <v>44846</v>
      </c>
      <c r="R6816" t="s">
        <v>27253</v>
      </c>
      <c r="S6816" t="s">
        <v>27254</v>
      </c>
      <c r="T6816" t="s">
        <v>27265</v>
      </c>
    </row>
    <row r="6817" spans="1:20" x14ac:dyDescent="0.3">
      <c r="A6817" t="str">
        <f>"0611863009050"</f>
        <v>0611863009050</v>
      </c>
      <c r="B6817" t="str">
        <f>"CE0818"</f>
        <v>CE0818</v>
      </c>
      <c r="C6817" t="s">
        <v>40484</v>
      </c>
      <c r="D6817" t="s">
        <v>27923</v>
      </c>
      <c r="E6817" t="str">
        <f t="shared" si="106"/>
        <v>001390</v>
      </c>
      <c r="F6817" t="s">
        <v>27246</v>
      </c>
      <c r="G6817" t="s">
        <v>27247</v>
      </c>
      <c r="H6817" t="s">
        <v>27248</v>
      </c>
      <c r="I6817" t="s">
        <v>40485</v>
      </c>
      <c r="J6817" t="s">
        <v>13533</v>
      </c>
      <c r="L6817" t="s">
        <v>27250</v>
      </c>
      <c r="M6817" t="s">
        <v>27251</v>
      </c>
      <c r="N6817" t="s">
        <v>27252</v>
      </c>
      <c r="P6817" t="s">
        <v>27925</v>
      </c>
      <c r="Q6817" s="1">
        <v>44846</v>
      </c>
      <c r="R6817" t="s">
        <v>27253</v>
      </c>
      <c r="S6817" t="s">
        <v>27254</v>
      </c>
      <c r="T6817" t="s">
        <v>27265</v>
      </c>
    </row>
    <row r="6818" spans="1:20" x14ac:dyDescent="0.3">
      <c r="A6818" t="str">
        <f>"0611863010050"</f>
        <v>0611863010050</v>
      </c>
      <c r="B6818" t="str">
        <f>"CE1385"</f>
        <v>CE1385</v>
      </c>
      <c r="C6818" t="s">
        <v>40486</v>
      </c>
      <c r="D6818" t="s">
        <v>27923</v>
      </c>
      <c r="E6818" t="str">
        <f t="shared" si="106"/>
        <v>001390</v>
      </c>
      <c r="F6818" t="s">
        <v>27246</v>
      </c>
      <c r="G6818" t="s">
        <v>27247</v>
      </c>
      <c r="H6818" t="s">
        <v>27248</v>
      </c>
      <c r="I6818" t="s">
        <v>40487</v>
      </c>
      <c r="J6818" t="s">
        <v>13535</v>
      </c>
      <c r="L6818" t="s">
        <v>27250</v>
      </c>
      <c r="M6818" t="s">
        <v>27251</v>
      </c>
      <c r="N6818" t="s">
        <v>27252</v>
      </c>
      <c r="P6818" t="s">
        <v>27925</v>
      </c>
      <c r="Q6818" s="1">
        <v>44846</v>
      </c>
      <c r="R6818" t="s">
        <v>27253</v>
      </c>
      <c r="S6818" t="s">
        <v>27254</v>
      </c>
      <c r="T6818" t="s">
        <v>27265</v>
      </c>
    </row>
    <row r="6819" spans="1:20" x14ac:dyDescent="0.3">
      <c r="A6819" t="str">
        <f>"0611863011050"</f>
        <v>0611863011050</v>
      </c>
      <c r="B6819" t="str">
        <f>"CE0819"</f>
        <v>CE0819</v>
      </c>
      <c r="C6819" t="s">
        <v>40488</v>
      </c>
      <c r="D6819" t="s">
        <v>27923</v>
      </c>
      <c r="E6819" t="str">
        <f t="shared" si="106"/>
        <v>001390</v>
      </c>
      <c r="F6819" t="s">
        <v>27246</v>
      </c>
      <c r="G6819" t="s">
        <v>27247</v>
      </c>
      <c r="H6819" t="s">
        <v>27248</v>
      </c>
      <c r="I6819" t="s">
        <v>40489</v>
      </c>
      <c r="J6819" t="s">
        <v>13537</v>
      </c>
      <c r="L6819" t="s">
        <v>27250</v>
      </c>
      <c r="M6819" t="s">
        <v>27251</v>
      </c>
      <c r="N6819" t="s">
        <v>27252</v>
      </c>
      <c r="P6819" t="s">
        <v>27925</v>
      </c>
      <c r="Q6819" s="1">
        <v>44846</v>
      </c>
      <c r="R6819" t="s">
        <v>27253</v>
      </c>
      <c r="S6819" t="s">
        <v>27254</v>
      </c>
      <c r="T6819" t="s">
        <v>27265</v>
      </c>
    </row>
    <row r="6820" spans="1:20" x14ac:dyDescent="0.3">
      <c r="A6820" t="str">
        <f>"0611863012050"</f>
        <v>0611863012050</v>
      </c>
      <c r="B6820" t="str">
        <f>"CE0912"</f>
        <v>CE0912</v>
      </c>
      <c r="C6820" t="s">
        <v>40490</v>
      </c>
      <c r="D6820" t="s">
        <v>27923</v>
      </c>
      <c r="E6820" t="str">
        <f t="shared" si="106"/>
        <v>001390</v>
      </c>
      <c r="F6820" t="s">
        <v>27246</v>
      </c>
      <c r="G6820" t="s">
        <v>27247</v>
      </c>
      <c r="H6820" t="s">
        <v>27248</v>
      </c>
      <c r="I6820" t="s">
        <v>40491</v>
      </c>
      <c r="J6820" t="s">
        <v>13539</v>
      </c>
      <c r="L6820" t="s">
        <v>27250</v>
      </c>
      <c r="M6820" t="s">
        <v>27251</v>
      </c>
      <c r="N6820" t="s">
        <v>27252</v>
      </c>
      <c r="P6820" t="s">
        <v>27925</v>
      </c>
      <c r="Q6820" s="1">
        <v>44846</v>
      </c>
      <c r="R6820" t="s">
        <v>27253</v>
      </c>
      <c r="S6820" t="s">
        <v>27254</v>
      </c>
      <c r="T6820" t="s">
        <v>27265</v>
      </c>
    </row>
    <row r="6821" spans="1:20" x14ac:dyDescent="0.3">
      <c r="A6821" t="str">
        <f>"0611863013050"</f>
        <v>0611863013050</v>
      </c>
      <c r="B6821" t="str">
        <f>"CE1509"</f>
        <v>CE1509</v>
      </c>
      <c r="C6821" t="s">
        <v>40492</v>
      </c>
      <c r="D6821" t="s">
        <v>27923</v>
      </c>
      <c r="E6821" t="str">
        <f t="shared" si="106"/>
        <v>001390</v>
      </c>
      <c r="F6821" t="s">
        <v>27246</v>
      </c>
      <c r="G6821" t="s">
        <v>27247</v>
      </c>
      <c r="H6821" t="s">
        <v>27248</v>
      </c>
      <c r="I6821" t="s">
        <v>40493</v>
      </c>
      <c r="J6821" t="s">
        <v>13541</v>
      </c>
      <c r="L6821" t="s">
        <v>27250</v>
      </c>
      <c r="M6821" t="s">
        <v>27251</v>
      </c>
      <c r="N6821" t="s">
        <v>27252</v>
      </c>
      <c r="P6821" t="s">
        <v>27925</v>
      </c>
      <c r="Q6821" s="1">
        <v>44846</v>
      </c>
      <c r="R6821" t="s">
        <v>27253</v>
      </c>
      <c r="S6821" t="s">
        <v>27254</v>
      </c>
      <c r="T6821" t="s">
        <v>27265</v>
      </c>
    </row>
    <row r="6822" spans="1:20" x14ac:dyDescent="0.3">
      <c r="A6822" t="str">
        <f>"0611863014050"</f>
        <v>0611863014050</v>
      </c>
      <c r="B6822" t="str">
        <f>"CE1414"</f>
        <v>CE1414</v>
      </c>
      <c r="C6822" t="s">
        <v>40494</v>
      </c>
      <c r="D6822" t="s">
        <v>27923</v>
      </c>
      <c r="E6822" t="str">
        <f t="shared" si="106"/>
        <v>001390</v>
      </c>
      <c r="F6822" t="s">
        <v>27246</v>
      </c>
      <c r="G6822" t="s">
        <v>27247</v>
      </c>
      <c r="H6822" t="s">
        <v>27248</v>
      </c>
      <c r="I6822" t="s">
        <v>40495</v>
      </c>
      <c r="J6822" t="s">
        <v>13543</v>
      </c>
      <c r="L6822" t="s">
        <v>27250</v>
      </c>
      <c r="M6822" t="s">
        <v>27251</v>
      </c>
      <c r="N6822" t="s">
        <v>27252</v>
      </c>
      <c r="P6822" t="s">
        <v>27925</v>
      </c>
      <c r="Q6822" s="1">
        <v>44846</v>
      </c>
      <c r="R6822" t="s">
        <v>27253</v>
      </c>
      <c r="S6822" t="s">
        <v>27254</v>
      </c>
      <c r="T6822" t="s">
        <v>27265</v>
      </c>
    </row>
    <row r="6823" spans="1:20" x14ac:dyDescent="0.3">
      <c r="A6823" t="str">
        <f>"0611863015050"</f>
        <v>0611863015050</v>
      </c>
      <c r="B6823" t="str">
        <f>"CE1218"</f>
        <v>CE1218</v>
      </c>
      <c r="C6823" t="s">
        <v>40496</v>
      </c>
      <c r="D6823" t="s">
        <v>27923</v>
      </c>
      <c r="E6823" t="str">
        <f t="shared" si="106"/>
        <v>001390</v>
      </c>
      <c r="F6823" t="s">
        <v>27246</v>
      </c>
      <c r="G6823" t="s">
        <v>27247</v>
      </c>
      <c r="H6823" t="s">
        <v>27248</v>
      </c>
      <c r="I6823" t="s">
        <v>40497</v>
      </c>
      <c r="J6823" t="s">
        <v>13545</v>
      </c>
      <c r="L6823" t="s">
        <v>27250</v>
      </c>
      <c r="M6823" t="s">
        <v>27251</v>
      </c>
      <c r="N6823" t="s">
        <v>27252</v>
      </c>
      <c r="P6823" t="s">
        <v>27925</v>
      </c>
      <c r="Q6823" s="1">
        <v>44846</v>
      </c>
      <c r="R6823" t="s">
        <v>27253</v>
      </c>
      <c r="S6823" t="s">
        <v>27254</v>
      </c>
      <c r="T6823" t="s">
        <v>27265</v>
      </c>
    </row>
    <row r="6824" spans="1:20" x14ac:dyDescent="0.3">
      <c r="A6824" t="str">
        <f>"0611863016050"</f>
        <v>0611863016050</v>
      </c>
      <c r="B6824" t="str">
        <f>"CE1276"</f>
        <v>CE1276</v>
      </c>
      <c r="C6824" t="s">
        <v>40498</v>
      </c>
      <c r="D6824" t="s">
        <v>27923</v>
      </c>
      <c r="E6824" t="str">
        <f t="shared" si="106"/>
        <v>001390</v>
      </c>
      <c r="F6824" t="s">
        <v>27246</v>
      </c>
      <c r="G6824" t="s">
        <v>27247</v>
      </c>
      <c r="H6824" t="s">
        <v>27248</v>
      </c>
      <c r="I6824" t="s">
        <v>40499</v>
      </c>
      <c r="J6824" t="s">
        <v>13547</v>
      </c>
      <c r="L6824" t="s">
        <v>27250</v>
      </c>
      <c r="M6824" t="s">
        <v>27251</v>
      </c>
      <c r="N6824" t="s">
        <v>27252</v>
      </c>
      <c r="P6824" t="s">
        <v>27925</v>
      </c>
      <c r="Q6824" s="1">
        <v>44846</v>
      </c>
      <c r="R6824" t="s">
        <v>27253</v>
      </c>
      <c r="S6824" t="s">
        <v>27254</v>
      </c>
      <c r="T6824" t="s">
        <v>27265</v>
      </c>
    </row>
    <row r="6825" spans="1:20" x14ac:dyDescent="0.3">
      <c r="A6825" t="str">
        <f>"0611863017050"</f>
        <v>0611863017050</v>
      </c>
      <c r="B6825" t="str">
        <f>"CE0748"</f>
        <v>CE0748</v>
      </c>
      <c r="C6825" t="s">
        <v>40500</v>
      </c>
      <c r="D6825" t="s">
        <v>27923</v>
      </c>
      <c r="E6825" t="str">
        <f t="shared" si="106"/>
        <v>001390</v>
      </c>
      <c r="F6825" t="s">
        <v>27246</v>
      </c>
      <c r="G6825" t="s">
        <v>27247</v>
      </c>
      <c r="H6825" t="s">
        <v>27248</v>
      </c>
      <c r="I6825" t="s">
        <v>40501</v>
      </c>
      <c r="J6825" t="s">
        <v>13549</v>
      </c>
      <c r="L6825" t="s">
        <v>27250</v>
      </c>
      <c r="M6825" t="s">
        <v>27251</v>
      </c>
      <c r="N6825" t="s">
        <v>27252</v>
      </c>
      <c r="P6825" t="s">
        <v>27925</v>
      </c>
      <c r="Q6825" s="1">
        <v>44846</v>
      </c>
      <c r="R6825" t="s">
        <v>27253</v>
      </c>
      <c r="S6825" t="s">
        <v>27254</v>
      </c>
      <c r="T6825" t="s">
        <v>27265</v>
      </c>
    </row>
    <row r="6826" spans="1:20" x14ac:dyDescent="0.3">
      <c r="A6826" t="str">
        <f>"0611863018050"</f>
        <v>0611863018050</v>
      </c>
      <c r="B6826" t="str">
        <f>"CE1393"</f>
        <v>CE1393</v>
      </c>
      <c r="C6826" t="s">
        <v>40502</v>
      </c>
      <c r="D6826" t="s">
        <v>27923</v>
      </c>
      <c r="E6826" t="str">
        <f t="shared" si="106"/>
        <v>001390</v>
      </c>
      <c r="F6826" t="s">
        <v>27246</v>
      </c>
      <c r="G6826" t="s">
        <v>27247</v>
      </c>
      <c r="H6826" t="s">
        <v>27248</v>
      </c>
      <c r="I6826" t="s">
        <v>40503</v>
      </c>
      <c r="J6826" t="s">
        <v>13551</v>
      </c>
      <c r="L6826" t="s">
        <v>27250</v>
      </c>
      <c r="M6826" t="s">
        <v>27251</v>
      </c>
      <c r="N6826" t="s">
        <v>27252</v>
      </c>
      <c r="P6826" t="s">
        <v>27925</v>
      </c>
      <c r="Q6826" s="1">
        <v>44846</v>
      </c>
      <c r="R6826" t="s">
        <v>27253</v>
      </c>
      <c r="S6826" t="s">
        <v>27254</v>
      </c>
      <c r="T6826" t="s">
        <v>27265</v>
      </c>
    </row>
    <row r="6827" spans="1:20" x14ac:dyDescent="0.3">
      <c r="A6827" t="str">
        <f>"0611863019050"</f>
        <v>0611863019050</v>
      </c>
      <c r="B6827" t="str">
        <f>"CE1153"</f>
        <v>CE1153</v>
      </c>
      <c r="C6827" t="s">
        <v>40504</v>
      </c>
      <c r="D6827" t="s">
        <v>27923</v>
      </c>
      <c r="E6827" t="str">
        <f t="shared" si="106"/>
        <v>001390</v>
      </c>
      <c r="F6827" t="s">
        <v>27246</v>
      </c>
      <c r="G6827" t="s">
        <v>27247</v>
      </c>
      <c r="H6827" t="s">
        <v>27248</v>
      </c>
      <c r="I6827" t="s">
        <v>40505</v>
      </c>
      <c r="J6827" t="s">
        <v>13553</v>
      </c>
      <c r="L6827" t="s">
        <v>27250</v>
      </c>
      <c r="M6827" t="s">
        <v>27251</v>
      </c>
      <c r="N6827" t="s">
        <v>27252</v>
      </c>
      <c r="P6827" t="s">
        <v>27925</v>
      </c>
      <c r="Q6827" s="1">
        <v>44846</v>
      </c>
      <c r="R6827" t="s">
        <v>27253</v>
      </c>
      <c r="S6827" t="s">
        <v>27254</v>
      </c>
      <c r="T6827" t="s">
        <v>27265</v>
      </c>
    </row>
    <row r="6828" spans="1:20" x14ac:dyDescent="0.3">
      <c r="A6828" t="str">
        <f>"0611863020050"</f>
        <v>0611863020050</v>
      </c>
      <c r="B6828" t="str">
        <f>"CE1376"</f>
        <v>CE1376</v>
      </c>
      <c r="C6828" t="s">
        <v>40506</v>
      </c>
      <c r="D6828" t="s">
        <v>27923</v>
      </c>
      <c r="E6828" t="str">
        <f t="shared" si="106"/>
        <v>001390</v>
      </c>
      <c r="F6828" t="s">
        <v>27246</v>
      </c>
      <c r="G6828" t="s">
        <v>27247</v>
      </c>
      <c r="H6828" t="s">
        <v>27248</v>
      </c>
      <c r="I6828" t="s">
        <v>40507</v>
      </c>
      <c r="J6828" t="s">
        <v>13555</v>
      </c>
      <c r="L6828" t="s">
        <v>27250</v>
      </c>
      <c r="M6828" t="s">
        <v>27251</v>
      </c>
      <c r="N6828" t="s">
        <v>27252</v>
      </c>
      <c r="P6828" t="s">
        <v>27925</v>
      </c>
      <c r="Q6828" s="1">
        <v>44846</v>
      </c>
      <c r="R6828" t="s">
        <v>27253</v>
      </c>
      <c r="S6828" t="s">
        <v>27254</v>
      </c>
      <c r="T6828" t="s">
        <v>27265</v>
      </c>
    </row>
    <row r="6829" spans="1:20" x14ac:dyDescent="0.3">
      <c r="A6829" t="str">
        <f>"0611863021050"</f>
        <v>0611863021050</v>
      </c>
      <c r="B6829" t="str">
        <f>"CE0749"</f>
        <v>CE0749</v>
      </c>
      <c r="C6829" t="s">
        <v>40508</v>
      </c>
      <c r="D6829" t="s">
        <v>27923</v>
      </c>
      <c r="E6829" t="str">
        <f t="shared" si="106"/>
        <v>001390</v>
      </c>
      <c r="F6829" t="s">
        <v>27246</v>
      </c>
      <c r="G6829" t="s">
        <v>27247</v>
      </c>
      <c r="H6829" t="s">
        <v>27248</v>
      </c>
      <c r="I6829" t="s">
        <v>40509</v>
      </c>
      <c r="J6829" t="s">
        <v>13557</v>
      </c>
      <c r="L6829" t="s">
        <v>27250</v>
      </c>
      <c r="M6829" t="s">
        <v>27251</v>
      </c>
      <c r="N6829" t="s">
        <v>27252</v>
      </c>
      <c r="P6829" t="s">
        <v>27925</v>
      </c>
      <c r="Q6829" s="1">
        <v>44846</v>
      </c>
      <c r="R6829" t="s">
        <v>27253</v>
      </c>
      <c r="S6829" t="s">
        <v>27254</v>
      </c>
      <c r="T6829" t="s">
        <v>27265</v>
      </c>
    </row>
    <row r="6830" spans="1:20" x14ac:dyDescent="0.3">
      <c r="A6830" t="str">
        <f>"0611863022050"</f>
        <v>0611863022050</v>
      </c>
      <c r="B6830" t="str">
        <f>"CE0750"</f>
        <v>CE0750</v>
      </c>
      <c r="C6830" t="s">
        <v>40510</v>
      </c>
      <c r="D6830" t="s">
        <v>27923</v>
      </c>
      <c r="E6830" t="str">
        <f t="shared" si="106"/>
        <v>001390</v>
      </c>
      <c r="F6830" t="s">
        <v>27246</v>
      </c>
      <c r="G6830" t="s">
        <v>27247</v>
      </c>
      <c r="H6830" t="s">
        <v>27248</v>
      </c>
      <c r="I6830" t="s">
        <v>40511</v>
      </c>
      <c r="J6830" t="s">
        <v>13559</v>
      </c>
      <c r="L6830" t="s">
        <v>27250</v>
      </c>
      <c r="M6830" t="s">
        <v>27251</v>
      </c>
      <c r="N6830" t="s">
        <v>27252</v>
      </c>
      <c r="P6830" t="s">
        <v>27925</v>
      </c>
      <c r="Q6830" s="1">
        <v>44846</v>
      </c>
      <c r="R6830" t="s">
        <v>27253</v>
      </c>
      <c r="S6830" t="s">
        <v>27254</v>
      </c>
      <c r="T6830" t="s">
        <v>27265</v>
      </c>
    </row>
    <row r="6831" spans="1:20" x14ac:dyDescent="0.3">
      <c r="A6831" t="str">
        <f>"0611863023050"</f>
        <v>0611863023050</v>
      </c>
      <c r="B6831" t="str">
        <f>"CE0751"</f>
        <v>CE0751</v>
      </c>
      <c r="C6831" t="s">
        <v>40512</v>
      </c>
      <c r="D6831" t="s">
        <v>27923</v>
      </c>
      <c r="E6831" t="str">
        <f t="shared" si="106"/>
        <v>001390</v>
      </c>
      <c r="F6831" t="s">
        <v>27246</v>
      </c>
      <c r="G6831" t="s">
        <v>27247</v>
      </c>
      <c r="H6831" t="s">
        <v>27248</v>
      </c>
      <c r="I6831" t="s">
        <v>40513</v>
      </c>
      <c r="J6831" t="s">
        <v>13561</v>
      </c>
      <c r="L6831" t="s">
        <v>27250</v>
      </c>
      <c r="M6831" t="s">
        <v>27251</v>
      </c>
      <c r="N6831" t="s">
        <v>27252</v>
      </c>
      <c r="P6831" t="s">
        <v>27925</v>
      </c>
      <c r="Q6831" s="1">
        <v>44846</v>
      </c>
      <c r="R6831" t="s">
        <v>27253</v>
      </c>
      <c r="S6831" t="s">
        <v>27254</v>
      </c>
      <c r="T6831" t="s">
        <v>27265</v>
      </c>
    </row>
    <row r="6832" spans="1:20" x14ac:dyDescent="0.3">
      <c r="A6832" t="str">
        <f>"0611863024050"</f>
        <v>0611863024050</v>
      </c>
      <c r="B6832" t="str">
        <f>"CE0752"</f>
        <v>CE0752</v>
      </c>
      <c r="C6832" t="s">
        <v>40514</v>
      </c>
      <c r="D6832" t="s">
        <v>27923</v>
      </c>
      <c r="E6832" t="str">
        <f t="shared" si="106"/>
        <v>001390</v>
      </c>
      <c r="F6832" t="s">
        <v>27246</v>
      </c>
      <c r="G6832" t="s">
        <v>27247</v>
      </c>
      <c r="H6832" t="s">
        <v>27248</v>
      </c>
      <c r="I6832" t="s">
        <v>40515</v>
      </c>
      <c r="J6832" t="s">
        <v>13563</v>
      </c>
      <c r="L6832" t="s">
        <v>27250</v>
      </c>
      <c r="M6832" t="s">
        <v>27251</v>
      </c>
      <c r="N6832" t="s">
        <v>27252</v>
      </c>
      <c r="P6832" t="s">
        <v>27925</v>
      </c>
      <c r="Q6832" s="1">
        <v>44846</v>
      </c>
      <c r="R6832" t="s">
        <v>27253</v>
      </c>
      <c r="S6832" t="s">
        <v>27254</v>
      </c>
      <c r="T6832" t="s">
        <v>27265</v>
      </c>
    </row>
    <row r="6833" spans="1:20" x14ac:dyDescent="0.3">
      <c r="A6833" t="str">
        <f>"0611863025050"</f>
        <v>0611863025050</v>
      </c>
      <c r="B6833" t="str">
        <f>"CE1217"</f>
        <v>CE1217</v>
      </c>
      <c r="C6833" t="s">
        <v>40516</v>
      </c>
      <c r="D6833" t="s">
        <v>27923</v>
      </c>
      <c r="E6833" t="str">
        <f t="shared" si="106"/>
        <v>001390</v>
      </c>
      <c r="F6833" t="s">
        <v>27246</v>
      </c>
      <c r="G6833" t="s">
        <v>27247</v>
      </c>
      <c r="H6833" t="s">
        <v>27248</v>
      </c>
      <c r="I6833" t="s">
        <v>40517</v>
      </c>
      <c r="J6833" t="s">
        <v>13565</v>
      </c>
      <c r="L6833" t="s">
        <v>27250</v>
      </c>
      <c r="M6833" t="s">
        <v>27251</v>
      </c>
      <c r="N6833" t="s">
        <v>27252</v>
      </c>
      <c r="P6833" t="s">
        <v>27925</v>
      </c>
      <c r="Q6833" s="1">
        <v>44846</v>
      </c>
      <c r="R6833" t="s">
        <v>27253</v>
      </c>
      <c r="S6833" t="s">
        <v>27254</v>
      </c>
      <c r="T6833" t="s">
        <v>27265</v>
      </c>
    </row>
    <row r="6834" spans="1:20" x14ac:dyDescent="0.3">
      <c r="A6834" t="str">
        <f>"0611863026050"</f>
        <v>0611863026050</v>
      </c>
      <c r="B6834" t="str">
        <f>"CE1220"</f>
        <v>CE1220</v>
      </c>
      <c r="C6834" t="s">
        <v>40518</v>
      </c>
      <c r="D6834" t="s">
        <v>27923</v>
      </c>
      <c r="E6834" t="str">
        <f t="shared" si="106"/>
        <v>001390</v>
      </c>
      <c r="F6834" t="s">
        <v>27246</v>
      </c>
      <c r="G6834" t="s">
        <v>27247</v>
      </c>
      <c r="H6834" t="s">
        <v>27248</v>
      </c>
      <c r="I6834" t="s">
        <v>40519</v>
      </c>
      <c r="J6834" t="s">
        <v>13567</v>
      </c>
      <c r="L6834" t="s">
        <v>27250</v>
      </c>
      <c r="M6834" t="s">
        <v>27251</v>
      </c>
      <c r="N6834" t="s">
        <v>27252</v>
      </c>
      <c r="P6834" t="s">
        <v>27925</v>
      </c>
      <c r="Q6834" s="1">
        <v>44846</v>
      </c>
      <c r="R6834" t="s">
        <v>27253</v>
      </c>
      <c r="S6834" t="s">
        <v>27254</v>
      </c>
      <c r="T6834" t="s">
        <v>27265</v>
      </c>
    </row>
    <row r="6835" spans="1:20" x14ac:dyDescent="0.3">
      <c r="A6835" t="str">
        <f>"0611863027050"</f>
        <v>0611863027050</v>
      </c>
      <c r="B6835" t="str">
        <f>"CE0821"</f>
        <v>CE0821</v>
      </c>
      <c r="C6835" t="s">
        <v>40520</v>
      </c>
      <c r="D6835" t="s">
        <v>27923</v>
      </c>
      <c r="E6835" t="str">
        <f t="shared" si="106"/>
        <v>001390</v>
      </c>
      <c r="F6835" t="s">
        <v>27246</v>
      </c>
      <c r="G6835" t="s">
        <v>27247</v>
      </c>
      <c r="H6835" t="s">
        <v>27248</v>
      </c>
      <c r="I6835" t="s">
        <v>40521</v>
      </c>
      <c r="J6835" t="s">
        <v>13569</v>
      </c>
      <c r="L6835" t="s">
        <v>27250</v>
      </c>
      <c r="M6835" t="s">
        <v>27251</v>
      </c>
      <c r="N6835" t="s">
        <v>27252</v>
      </c>
      <c r="P6835" t="s">
        <v>27925</v>
      </c>
      <c r="Q6835" s="1">
        <v>44846</v>
      </c>
      <c r="R6835" t="s">
        <v>27253</v>
      </c>
      <c r="S6835" t="s">
        <v>27254</v>
      </c>
      <c r="T6835" t="s">
        <v>27265</v>
      </c>
    </row>
    <row r="6836" spans="1:20" x14ac:dyDescent="0.3">
      <c r="A6836" t="str">
        <f>"0611863028050"</f>
        <v>0611863028050</v>
      </c>
      <c r="B6836" t="str">
        <f>"CE0914"</f>
        <v>CE0914</v>
      </c>
      <c r="C6836" t="s">
        <v>40522</v>
      </c>
      <c r="D6836" t="s">
        <v>27923</v>
      </c>
      <c r="E6836" t="str">
        <f t="shared" si="106"/>
        <v>001390</v>
      </c>
      <c r="F6836" t="s">
        <v>27246</v>
      </c>
      <c r="G6836" t="s">
        <v>27247</v>
      </c>
      <c r="H6836" t="s">
        <v>27248</v>
      </c>
      <c r="I6836" t="s">
        <v>40523</v>
      </c>
      <c r="J6836" t="s">
        <v>13571</v>
      </c>
      <c r="L6836" t="s">
        <v>27250</v>
      </c>
      <c r="M6836" t="s">
        <v>27251</v>
      </c>
      <c r="N6836" t="s">
        <v>27252</v>
      </c>
      <c r="P6836" t="s">
        <v>27925</v>
      </c>
      <c r="Q6836" s="1">
        <v>44846</v>
      </c>
      <c r="R6836" t="s">
        <v>27253</v>
      </c>
      <c r="S6836" t="s">
        <v>27254</v>
      </c>
      <c r="T6836" t="s">
        <v>27265</v>
      </c>
    </row>
    <row r="6837" spans="1:20" x14ac:dyDescent="0.3">
      <c r="A6837" t="str">
        <f>"0611863029050"</f>
        <v>0611863029050</v>
      </c>
      <c r="B6837" t="str">
        <f>"CE1392"</f>
        <v>CE1392</v>
      </c>
      <c r="C6837" t="s">
        <v>40524</v>
      </c>
      <c r="D6837" t="s">
        <v>27923</v>
      </c>
      <c r="E6837" t="str">
        <f t="shared" si="106"/>
        <v>001390</v>
      </c>
      <c r="F6837" t="s">
        <v>27246</v>
      </c>
      <c r="G6837" t="s">
        <v>27247</v>
      </c>
      <c r="H6837" t="s">
        <v>27248</v>
      </c>
      <c r="I6837" t="s">
        <v>40525</v>
      </c>
      <c r="J6837" t="s">
        <v>13573</v>
      </c>
      <c r="L6837" t="s">
        <v>27250</v>
      </c>
      <c r="M6837" t="s">
        <v>27251</v>
      </c>
      <c r="N6837" t="s">
        <v>27252</v>
      </c>
      <c r="P6837" t="s">
        <v>27925</v>
      </c>
      <c r="Q6837" s="1">
        <v>44846</v>
      </c>
      <c r="R6837" t="s">
        <v>27253</v>
      </c>
      <c r="S6837" t="s">
        <v>27254</v>
      </c>
      <c r="T6837" t="s">
        <v>27265</v>
      </c>
    </row>
    <row r="6838" spans="1:20" x14ac:dyDescent="0.3">
      <c r="A6838" t="str">
        <f>"0611863030050"</f>
        <v>0611863030050</v>
      </c>
      <c r="B6838" t="str">
        <f>"CE1391"</f>
        <v>CE1391</v>
      </c>
      <c r="C6838" t="s">
        <v>40526</v>
      </c>
      <c r="D6838" t="s">
        <v>27923</v>
      </c>
      <c r="E6838" t="str">
        <f t="shared" si="106"/>
        <v>001390</v>
      </c>
      <c r="F6838" t="s">
        <v>27246</v>
      </c>
      <c r="G6838" t="s">
        <v>27247</v>
      </c>
      <c r="H6838" t="s">
        <v>27248</v>
      </c>
      <c r="I6838" t="s">
        <v>40527</v>
      </c>
      <c r="J6838" t="s">
        <v>13575</v>
      </c>
      <c r="L6838" t="s">
        <v>27250</v>
      </c>
      <c r="M6838" t="s">
        <v>27251</v>
      </c>
      <c r="N6838" t="s">
        <v>27252</v>
      </c>
      <c r="P6838" t="s">
        <v>27925</v>
      </c>
      <c r="Q6838" s="1">
        <v>44846</v>
      </c>
      <c r="R6838" t="s">
        <v>27253</v>
      </c>
      <c r="S6838" t="s">
        <v>27254</v>
      </c>
      <c r="T6838" t="s">
        <v>27265</v>
      </c>
    </row>
    <row r="6839" spans="1:20" x14ac:dyDescent="0.3">
      <c r="A6839" t="str">
        <f>"0611863031050"</f>
        <v>0611863031050</v>
      </c>
      <c r="B6839" t="str">
        <f>"CE1387"</f>
        <v>CE1387</v>
      </c>
      <c r="C6839" t="s">
        <v>40528</v>
      </c>
      <c r="D6839" t="s">
        <v>27923</v>
      </c>
      <c r="E6839" t="str">
        <f t="shared" si="106"/>
        <v>001390</v>
      </c>
      <c r="F6839" t="s">
        <v>27246</v>
      </c>
      <c r="G6839" t="s">
        <v>27247</v>
      </c>
      <c r="H6839" t="s">
        <v>27248</v>
      </c>
      <c r="I6839" t="s">
        <v>40529</v>
      </c>
      <c r="J6839" t="s">
        <v>13577</v>
      </c>
      <c r="L6839" t="s">
        <v>27250</v>
      </c>
      <c r="M6839" t="s">
        <v>27251</v>
      </c>
      <c r="N6839" t="s">
        <v>27252</v>
      </c>
      <c r="P6839" t="s">
        <v>27925</v>
      </c>
      <c r="Q6839" s="1">
        <v>44846</v>
      </c>
      <c r="R6839" t="s">
        <v>27253</v>
      </c>
      <c r="S6839" t="s">
        <v>27254</v>
      </c>
      <c r="T6839" t="s">
        <v>27265</v>
      </c>
    </row>
    <row r="6840" spans="1:20" x14ac:dyDescent="0.3">
      <c r="A6840" t="str">
        <f>"0611863032050"</f>
        <v>0611863032050</v>
      </c>
      <c r="B6840" t="str">
        <f>"CE1226"</f>
        <v>CE1226</v>
      </c>
      <c r="C6840" t="s">
        <v>40530</v>
      </c>
      <c r="D6840" t="s">
        <v>27923</v>
      </c>
      <c r="E6840" t="str">
        <f t="shared" si="106"/>
        <v>001390</v>
      </c>
      <c r="F6840" t="s">
        <v>27246</v>
      </c>
      <c r="G6840" t="s">
        <v>27247</v>
      </c>
      <c r="H6840" t="s">
        <v>27248</v>
      </c>
      <c r="I6840" t="s">
        <v>40531</v>
      </c>
      <c r="J6840" t="s">
        <v>13579</v>
      </c>
      <c r="L6840" t="s">
        <v>27250</v>
      </c>
      <c r="M6840" t="s">
        <v>27251</v>
      </c>
      <c r="N6840" t="s">
        <v>27252</v>
      </c>
      <c r="P6840" t="s">
        <v>27925</v>
      </c>
      <c r="Q6840" s="1">
        <v>44846</v>
      </c>
      <c r="R6840" t="s">
        <v>27253</v>
      </c>
      <c r="S6840" t="s">
        <v>27254</v>
      </c>
      <c r="T6840" t="s">
        <v>27265</v>
      </c>
    </row>
    <row r="6841" spans="1:20" x14ac:dyDescent="0.3">
      <c r="A6841" t="str">
        <f>"0611863033050"</f>
        <v>0611863033050</v>
      </c>
      <c r="B6841" t="str">
        <f>"CE1604"</f>
        <v>CE1604</v>
      </c>
      <c r="C6841" t="s">
        <v>40532</v>
      </c>
      <c r="D6841" t="s">
        <v>27923</v>
      </c>
      <c r="E6841" t="str">
        <f t="shared" si="106"/>
        <v>001390</v>
      </c>
      <c r="F6841" t="s">
        <v>27246</v>
      </c>
      <c r="G6841" t="s">
        <v>27247</v>
      </c>
      <c r="H6841" t="s">
        <v>27248</v>
      </c>
      <c r="I6841" t="s">
        <v>40533</v>
      </c>
      <c r="J6841" t="s">
        <v>13581</v>
      </c>
      <c r="L6841" t="s">
        <v>27250</v>
      </c>
      <c r="M6841" t="s">
        <v>27251</v>
      </c>
      <c r="N6841" t="s">
        <v>27252</v>
      </c>
      <c r="P6841" t="s">
        <v>27925</v>
      </c>
      <c r="Q6841" s="1">
        <v>44846</v>
      </c>
      <c r="R6841" t="s">
        <v>27253</v>
      </c>
      <c r="S6841" t="s">
        <v>27254</v>
      </c>
      <c r="T6841" t="s">
        <v>27265</v>
      </c>
    </row>
    <row r="6842" spans="1:20" x14ac:dyDescent="0.3">
      <c r="A6842" t="str">
        <f>"0611863034050"</f>
        <v>0611863034050</v>
      </c>
      <c r="B6842" t="str">
        <f>"CE0895"</f>
        <v>CE0895</v>
      </c>
      <c r="C6842" t="s">
        <v>40534</v>
      </c>
      <c r="D6842" t="s">
        <v>27923</v>
      </c>
      <c r="E6842" t="str">
        <f t="shared" si="106"/>
        <v>001390</v>
      </c>
      <c r="F6842" t="s">
        <v>27246</v>
      </c>
      <c r="G6842" t="s">
        <v>27247</v>
      </c>
      <c r="H6842" t="s">
        <v>27248</v>
      </c>
      <c r="I6842" t="s">
        <v>40535</v>
      </c>
      <c r="J6842" t="s">
        <v>13583</v>
      </c>
      <c r="L6842" t="s">
        <v>27250</v>
      </c>
      <c r="M6842" t="s">
        <v>27251</v>
      </c>
      <c r="N6842" t="s">
        <v>27252</v>
      </c>
      <c r="P6842" t="s">
        <v>27925</v>
      </c>
      <c r="Q6842" s="1">
        <v>44846</v>
      </c>
      <c r="R6842" t="s">
        <v>27253</v>
      </c>
      <c r="S6842" t="s">
        <v>27254</v>
      </c>
      <c r="T6842" t="s">
        <v>27265</v>
      </c>
    </row>
    <row r="6843" spans="1:20" x14ac:dyDescent="0.3">
      <c r="A6843" t="str">
        <f>"0611863035050"</f>
        <v>0611863035050</v>
      </c>
      <c r="B6843" t="str">
        <f>"CE0916"</f>
        <v>CE0916</v>
      </c>
      <c r="C6843" t="s">
        <v>40536</v>
      </c>
      <c r="D6843" t="s">
        <v>27923</v>
      </c>
      <c r="E6843" t="str">
        <f t="shared" si="106"/>
        <v>001390</v>
      </c>
      <c r="F6843" t="s">
        <v>27246</v>
      </c>
      <c r="G6843" t="s">
        <v>27247</v>
      </c>
      <c r="H6843" t="s">
        <v>27248</v>
      </c>
      <c r="I6843" t="s">
        <v>40537</v>
      </c>
      <c r="J6843" t="s">
        <v>13585</v>
      </c>
      <c r="L6843" t="s">
        <v>27250</v>
      </c>
      <c r="M6843" t="s">
        <v>27251</v>
      </c>
      <c r="N6843" t="s">
        <v>27252</v>
      </c>
      <c r="P6843" t="s">
        <v>27925</v>
      </c>
      <c r="Q6843" s="1">
        <v>44846</v>
      </c>
      <c r="R6843" t="s">
        <v>27253</v>
      </c>
      <c r="S6843" t="s">
        <v>27254</v>
      </c>
      <c r="T6843" t="s">
        <v>27265</v>
      </c>
    </row>
    <row r="6844" spans="1:20" x14ac:dyDescent="0.3">
      <c r="A6844" t="str">
        <f>"0611863036050"</f>
        <v>0611863036050</v>
      </c>
      <c r="B6844" t="str">
        <f>"CE0896"</f>
        <v>CE0896</v>
      </c>
      <c r="C6844" t="s">
        <v>40538</v>
      </c>
      <c r="D6844" t="s">
        <v>28556</v>
      </c>
      <c r="E6844" t="str">
        <f t="shared" si="106"/>
        <v>001390</v>
      </c>
      <c r="F6844" t="s">
        <v>27246</v>
      </c>
      <c r="G6844" t="s">
        <v>27247</v>
      </c>
      <c r="H6844" t="s">
        <v>27248</v>
      </c>
      <c r="I6844" t="s">
        <v>40539</v>
      </c>
      <c r="J6844" t="s">
        <v>13587</v>
      </c>
      <c r="L6844" t="s">
        <v>27250</v>
      </c>
      <c r="M6844" t="s">
        <v>27251</v>
      </c>
      <c r="N6844" t="s">
        <v>27252</v>
      </c>
      <c r="P6844" t="s">
        <v>27925</v>
      </c>
      <c r="Q6844" s="1">
        <v>44846</v>
      </c>
      <c r="R6844" t="s">
        <v>27253</v>
      </c>
      <c r="S6844" t="s">
        <v>27254</v>
      </c>
      <c r="T6844" t="s">
        <v>28378</v>
      </c>
    </row>
    <row r="6845" spans="1:20" x14ac:dyDescent="0.3">
      <c r="A6845" t="str">
        <f>"0611863037050"</f>
        <v>0611863037050</v>
      </c>
      <c r="B6845" t="str">
        <f>"CE1227"</f>
        <v>CE1227</v>
      </c>
      <c r="C6845" t="s">
        <v>40540</v>
      </c>
      <c r="D6845" t="s">
        <v>27923</v>
      </c>
      <c r="E6845" t="str">
        <f t="shared" si="106"/>
        <v>001390</v>
      </c>
      <c r="F6845" t="s">
        <v>27246</v>
      </c>
      <c r="G6845" t="s">
        <v>27247</v>
      </c>
      <c r="H6845" t="s">
        <v>27248</v>
      </c>
      <c r="I6845" t="s">
        <v>40541</v>
      </c>
      <c r="J6845" t="s">
        <v>13589</v>
      </c>
      <c r="L6845" t="s">
        <v>27250</v>
      </c>
      <c r="M6845" t="s">
        <v>27251</v>
      </c>
      <c r="N6845" t="s">
        <v>27252</v>
      </c>
      <c r="P6845" t="s">
        <v>27925</v>
      </c>
      <c r="Q6845" s="1">
        <v>44846</v>
      </c>
      <c r="R6845" t="s">
        <v>27253</v>
      </c>
      <c r="S6845" t="s">
        <v>27254</v>
      </c>
      <c r="T6845" t="s">
        <v>27265</v>
      </c>
    </row>
    <row r="6846" spans="1:20" x14ac:dyDescent="0.3">
      <c r="A6846" t="str">
        <f>"0611863038050"</f>
        <v>0611863038050</v>
      </c>
      <c r="B6846" t="str">
        <f>"CE1228"</f>
        <v>CE1228</v>
      </c>
      <c r="C6846" t="s">
        <v>40542</v>
      </c>
      <c r="D6846" t="s">
        <v>27923</v>
      </c>
      <c r="E6846" t="str">
        <f t="shared" si="106"/>
        <v>001390</v>
      </c>
      <c r="F6846" t="s">
        <v>27246</v>
      </c>
      <c r="G6846" t="s">
        <v>27247</v>
      </c>
      <c r="H6846" t="s">
        <v>27248</v>
      </c>
      <c r="I6846" t="s">
        <v>40543</v>
      </c>
      <c r="J6846" t="s">
        <v>13591</v>
      </c>
      <c r="L6846" t="s">
        <v>27250</v>
      </c>
      <c r="M6846" t="s">
        <v>27251</v>
      </c>
      <c r="N6846" t="s">
        <v>27252</v>
      </c>
      <c r="P6846" t="s">
        <v>27925</v>
      </c>
      <c r="Q6846" s="1">
        <v>44846</v>
      </c>
      <c r="R6846" t="s">
        <v>27253</v>
      </c>
      <c r="S6846" t="s">
        <v>27254</v>
      </c>
      <c r="T6846" t="s">
        <v>27265</v>
      </c>
    </row>
    <row r="6847" spans="1:20" x14ac:dyDescent="0.3">
      <c r="A6847" t="str">
        <f>"0611863039050"</f>
        <v>0611863039050</v>
      </c>
      <c r="B6847" t="str">
        <f>"CE1225"</f>
        <v>CE1225</v>
      </c>
      <c r="C6847" t="s">
        <v>40544</v>
      </c>
      <c r="D6847" t="s">
        <v>27923</v>
      </c>
      <c r="E6847" t="str">
        <f t="shared" si="106"/>
        <v>001390</v>
      </c>
      <c r="F6847" t="s">
        <v>27246</v>
      </c>
      <c r="G6847" t="s">
        <v>27247</v>
      </c>
      <c r="H6847" t="s">
        <v>27248</v>
      </c>
      <c r="I6847" t="s">
        <v>40545</v>
      </c>
      <c r="J6847" t="s">
        <v>13593</v>
      </c>
      <c r="L6847" t="s">
        <v>27250</v>
      </c>
      <c r="M6847" t="s">
        <v>27251</v>
      </c>
      <c r="N6847" t="s">
        <v>27252</v>
      </c>
      <c r="P6847" t="s">
        <v>27925</v>
      </c>
      <c r="Q6847" s="1">
        <v>44846</v>
      </c>
      <c r="R6847" t="s">
        <v>27253</v>
      </c>
      <c r="S6847" t="s">
        <v>27254</v>
      </c>
      <c r="T6847" t="s">
        <v>27265</v>
      </c>
    </row>
    <row r="6848" spans="1:20" x14ac:dyDescent="0.3">
      <c r="A6848" t="str">
        <f>"0611863040050"</f>
        <v>0611863040050</v>
      </c>
      <c r="B6848" t="str">
        <f>"CE1518"</f>
        <v>CE1518</v>
      </c>
      <c r="C6848" t="s">
        <v>40546</v>
      </c>
      <c r="D6848" t="s">
        <v>27923</v>
      </c>
      <c r="E6848" t="str">
        <f t="shared" si="106"/>
        <v>001390</v>
      </c>
      <c r="F6848" t="s">
        <v>27246</v>
      </c>
      <c r="G6848" t="s">
        <v>27247</v>
      </c>
      <c r="H6848" t="s">
        <v>27248</v>
      </c>
      <c r="I6848" t="s">
        <v>40547</v>
      </c>
      <c r="J6848" t="s">
        <v>13595</v>
      </c>
      <c r="L6848" t="s">
        <v>27250</v>
      </c>
      <c r="M6848" t="s">
        <v>27251</v>
      </c>
      <c r="N6848" t="s">
        <v>27252</v>
      </c>
      <c r="P6848" t="s">
        <v>27925</v>
      </c>
      <c r="Q6848" s="1">
        <v>44846</v>
      </c>
      <c r="R6848" t="s">
        <v>27253</v>
      </c>
      <c r="S6848" t="s">
        <v>27254</v>
      </c>
      <c r="T6848" t="s">
        <v>27265</v>
      </c>
    </row>
    <row r="6849" spans="1:20" x14ac:dyDescent="0.3">
      <c r="A6849" t="str">
        <f>"0611863041050"</f>
        <v>0611863041050</v>
      </c>
      <c r="B6849" t="str">
        <f>"CE0822"</f>
        <v>CE0822</v>
      </c>
      <c r="C6849" t="s">
        <v>40548</v>
      </c>
      <c r="D6849" t="s">
        <v>27923</v>
      </c>
      <c r="E6849" t="str">
        <f t="shared" si="106"/>
        <v>001390</v>
      </c>
      <c r="F6849" t="s">
        <v>27246</v>
      </c>
      <c r="G6849" t="s">
        <v>27247</v>
      </c>
      <c r="H6849" t="s">
        <v>27248</v>
      </c>
      <c r="I6849" t="s">
        <v>40549</v>
      </c>
      <c r="J6849" t="s">
        <v>13597</v>
      </c>
      <c r="L6849" t="s">
        <v>27250</v>
      </c>
      <c r="M6849" t="s">
        <v>27251</v>
      </c>
      <c r="N6849" t="s">
        <v>27252</v>
      </c>
      <c r="P6849" t="s">
        <v>27925</v>
      </c>
      <c r="Q6849" s="1">
        <v>44846</v>
      </c>
      <c r="R6849" t="s">
        <v>27253</v>
      </c>
      <c r="S6849" t="s">
        <v>27254</v>
      </c>
      <c r="T6849" t="s">
        <v>27265</v>
      </c>
    </row>
    <row r="6850" spans="1:20" x14ac:dyDescent="0.3">
      <c r="A6850" t="str">
        <f>"0611863042050"</f>
        <v>0611863042050</v>
      </c>
      <c r="B6850" t="str">
        <f>"CE1505"</f>
        <v>CE1505</v>
      </c>
      <c r="C6850" t="s">
        <v>40550</v>
      </c>
      <c r="D6850" t="s">
        <v>27923</v>
      </c>
      <c r="E6850" t="str">
        <f t="shared" ref="E6850:E6913" si="107">"001390"</f>
        <v>001390</v>
      </c>
      <c r="F6850" t="s">
        <v>27246</v>
      </c>
      <c r="G6850" t="s">
        <v>27247</v>
      </c>
      <c r="H6850" t="s">
        <v>27248</v>
      </c>
      <c r="I6850" t="s">
        <v>40551</v>
      </c>
      <c r="J6850" t="s">
        <v>13599</v>
      </c>
      <c r="L6850" t="s">
        <v>27250</v>
      </c>
      <c r="M6850" t="s">
        <v>27251</v>
      </c>
      <c r="N6850" t="s">
        <v>27252</v>
      </c>
      <c r="P6850" t="s">
        <v>27925</v>
      </c>
      <c r="Q6850" s="1">
        <v>44846</v>
      </c>
      <c r="R6850" t="s">
        <v>27253</v>
      </c>
      <c r="S6850" t="s">
        <v>27254</v>
      </c>
      <c r="T6850" t="s">
        <v>27265</v>
      </c>
    </row>
    <row r="6851" spans="1:20" x14ac:dyDescent="0.3">
      <c r="A6851" t="str">
        <f>"0611863043050"</f>
        <v>0611863043050</v>
      </c>
      <c r="B6851" t="str">
        <f>"CE1386"</f>
        <v>CE1386</v>
      </c>
      <c r="C6851" t="s">
        <v>40552</v>
      </c>
      <c r="D6851" t="s">
        <v>27923</v>
      </c>
      <c r="E6851" t="str">
        <f t="shared" si="107"/>
        <v>001390</v>
      </c>
      <c r="F6851" t="s">
        <v>27246</v>
      </c>
      <c r="G6851" t="s">
        <v>27247</v>
      </c>
      <c r="H6851" t="s">
        <v>27248</v>
      </c>
      <c r="I6851" t="s">
        <v>40553</v>
      </c>
      <c r="J6851" t="s">
        <v>13601</v>
      </c>
      <c r="L6851" t="s">
        <v>27250</v>
      </c>
      <c r="M6851" t="s">
        <v>27251</v>
      </c>
      <c r="N6851" t="s">
        <v>27252</v>
      </c>
      <c r="P6851" t="s">
        <v>27925</v>
      </c>
      <c r="Q6851" s="1">
        <v>44846</v>
      </c>
      <c r="R6851" t="s">
        <v>27253</v>
      </c>
      <c r="S6851" t="s">
        <v>27254</v>
      </c>
      <c r="T6851" t="s">
        <v>27265</v>
      </c>
    </row>
    <row r="6852" spans="1:20" x14ac:dyDescent="0.3">
      <c r="A6852" t="str">
        <f>"0611863044050"</f>
        <v>0611863044050</v>
      </c>
      <c r="B6852" t="str">
        <f>"CE1221"</f>
        <v>CE1221</v>
      </c>
      <c r="C6852" t="s">
        <v>40554</v>
      </c>
      <c r="D6852" t="s">
        <v>27923</v>
      </c>
      <c r="E6852" t="str">
        <f t="shared" si="107"/>
        <v>001390</v>
      </c>
      <c r="F6852" t="s">
        <v>27246</v>
      </c>
      <c r="G6852" t="s">
        <v>27247</v>
      </c>
      <c r="H6852" t="s">
        <v>27248</v>
      </c>
      <c r="I6852" t="s">
        <v>40555</v>
      </c>
      <c r="J6852" t="s">
        <v>13603</v>
      </c>
      <c r="L6852" t="s">
        <v>27250</v>
      </c>
      <c r="M6852" t="s">
        <v>27251</v>
      </c>
      <c r="N6852" t="s">
        <v>27252</v>
      </c>
      <c r="P6852" t="s">
        <v>27925</v>
      </c>
      <c r="Q6852" s="1">
        <v>44846</v>
      </c>
      <c r="R6852" t="s">
        <v>27253</v>
      </c>
      <c r="S6852" t="s">
        <v>27254</v>
      </c>
      <c r="T6852" t="s">
        <v>27265</v>
      </c>
    </row>
    <row r="6853" spans="1:20" x14ac:dyDescent="0.3">
      <c r="A6853" t="str">
        <f>"0611863045050"</f>
        <v>0611863045050</v>
      </c>
      <c r="B6853" t="str">
        <f>"CE1277"</f>
        <v>CE1277</v>
      </c>
      <c r="C6853" t="s">
        <v>40556</v>
      </c>
      <c r="D6853" t="s">
        <v>27923</v>
      </c>
      <c r="E6853" t="str">
        <f t="shared" si="107"/>
        <v>001390</v>
      </c>
      <c r="F6853" t="s">
        <v>27246</v>
      </c>
      <c r="G6853" t="s">
        <v>27247</v>
      </c>
      <c r="H6853" t="s">
        <v>27248</v>
      </c>
      <c r="I6853" t="s">
        <v>40557</v>
      </c>
      <c r="J6853" t="s">
        <v>13605</v>
      </c>
      <c r="L6853" t="s">
        <v>27250</v>
      </c>
      <c r="M6853" t="s">
        <v>27251</v>
      </c>
      <c r="N6853" t="s">
        <v>27252</v>
      </c>
      <c r="P6853" t="s">
        <v>27925</v>
      </c>
      <c r="Q6853" s="1">
        <v>44846</v>
      </c>
      <c r="R6853" t="s">
        <v>27253</v>
      </c>
      <c r="S6853" t="s">
        <v>27254</v>
      </c>
      <c r="T6853" t="s">
        <v>27265</v>
      </c>
    </row>
    <row r="6854" spans="1:20" x14ac:dyDescent="0.3">
      <c r="A6854" t="str">
        <f>"0611863046050"</f>
        <v>0611863046050</v>
      </c>
      <c r="B6854" t="str">
        <f>"CE1605"</f>
        <v>CE1605</v>
      </c>
      <c r="C6854" t="s">
        <v>40558</v>
      </c>
      <c r="D6854" t="s">
        <v>27923</v>
      </c>
      <c r="E6854" t="str">
        <f t="shared" si="107"/>
        <v>001390</v>
      </c>
      <c r="F6854" t="s">
        <v>27246</v>
      </c>
      <c r="G6854" t="s">
        <v>27247</v>
      </c>
      <c r="H6854" t="s">
        <v>27248</v>
      </c>
      <c r="I6854" t="s">
        <v>40559</v>
      </c>
      <c r="J6854" t="s">
        <v>13607</v>
      </c>
      <c r="L6854" t="s">
        <v>27250</v>
      </c>
      <c r="M6854" t="s">
        <v>27251</v>
      </c>
      <c r="N6854" t="s">
        <v>27252</v>
      </c>
      <c r="P6854" t="s">
        <v>27925</v>
      </c>
      <c r="Q6854" s="1">
        <v>44846</v>
      </c>
      <c r="R6854" t="s">
        <v>27253</v>
      </c>
      <c r="S6854" t="s">
        <v>27254</v>
      </c>
      <c r="T6854" t="s">
        <v>27265</v>
      </c>
    </row>
    <row r="6855" spans="1:20" x14ac:dyDescent="0.3">
      <c r="A6855" t="str">
        <f>"0611863047050"</f>
        <v>0611863047050</v>
      </c>
      <c r="B6855" t="str">
        <f>"CE0917"</f>
        <v>CE0917</v>
      </c>
      <c r="C6855" t="s">
        <v>40560</v>
      </c>
      <c r="D6855" t="s">
        <v>27923</v>
      </c>
      <c r="E6855" t="str">
        <f t="shared" si="107"/>
        <v>001390</v>
      </c>
      <c r="F6855" t="s">
        <v>27246</v>
      </c>
      <c r="G6855" t="s">
        <v>27247</v>
      </c>
      <c r="H6855" t="s">
        <v>27248</v>
      </c>
      <c r="I6855" t="s">
        <v>40561</v>
      </c>
      <c r="J6855" t="s">
        <v>13609</v>
      </c>
      <c r="L6855" t="s">
        <v>27250</v>
      </c>
      <c r="M6855" t="s">
        <v>27251</v>
      </c>
      <c r="N6855" t="s">
        <v>27252</v>
      </c>
      <c r="P6855" t="s">
        <v>27925</v>
      </c>
      <c r="Q6855" s="1">
        <v>44846</v>
      </c>
      <c r="R6855" t="s">
        <v>27253</v>
      </c>
      <c r="S6855" t="s">
        <v>27254</v>
      </c>
      <c r="T6855" t="s">
        <v>27265</v>
      </c>
    </row>
    <row r="6856" spans="1:20" x14ac:dyDescent="0.3">
      <c r="A6856" t="str">
        <f>"0611835966100"</f>
        <v>0611835966100</v>
      </c>
      <c r="B6856" t="str">
        <f>"LB4311"</f>
        <v>LB4311</v>
      </c>
      <c r="C6856" t="s">
        <v>40562</v>
      </c>
      <c r="D6856" t="s">
        <v>27245</v>
      </c>
      <c r="E6856" t="str">
        <f t="shared" si="107"/>
        <v>001390</v>
      </c>
      <c r="F6856" t="s">
        <v>27246</v>
      </c>
      <c r="G6856" t="s">
        <v>27247</v>
      </c>
      <c r="H6856" t="s">
        <v>27248</v>
      </c>
      <c r="I6856" t="s">
        <v>40563</v>
      </c>
      <c r="J6856" t="s">
        <v>13611</v>
      </c>
      <c r="L6856" t="s">
        <v>27250</v>
      </c>
      <c r="M6856" t="s">
        <v>27251</v>
      </c>
      <c r="N6856" t="s">
        <v>27252</v>
      </c>
      <c r="Q6856" s="1">
        <v>44538</v>
      </c>
      <c r="R6856" t="s">
        <v>27253</v>
      </c>
      <c r="S6856" t="s">
        <v>27254</v>
      </c>
      <c r="T6856" t="s">
        <v>27255</v>
      </c>
    </row>
    <row r="6857" spans="1:20" x14ac:dyDescent="0.3">
      <c r="A6857" t="str">
        <f>"0611835967025"</f>
        <v>0611835967025</v>
      </c>
      <c r="B6857" t="str">
        <f>"MC0456"</f>
        <v>MC0456</v>
      </c>
      <c r="C6857" t="s">
        <v>40564</v>
      </c>
      <c r="D6857" t="s">
        <v>27267</v>
      </c>
      <c r="E6857" t="str">
        <f t="shared" si="107"/>
        <v>001390</v>
      </c>
      <c r="F6857" t="s">
        <v>27246</v>
      </c>
      <c r="G6857" t="s">
        <v>27247</v>
      </c>
      <c r="H6857" t="s">
        <v>27248</v>
      </c>
      <c r="I6857" t="s">
        <v>40565</v>
      </c>
      <c r="J6857" t="s">
        <v>13615</v>
      </c>
      <c r="L6857" t="s">
        <v>27250</v>
      </c>
      <c r="M6857" t="s">
        <v>27251</v>
      </c>
      <c r="N6857" t="s">
        <v>27252</v>
      </c>
      <c r="Q6857" s="1">
        <v>44538</v>
      </c>
      <c r="R6857" t="s">
        <v>27253</v>
      </c>
      <c r="S6857" t="s">
        <v>27254</v>
      </c>
      <c r="T6857" t="s">
        <v>27269</v>
      </c>
    </row>
    <row r="6858" spans="1:20" x14ac:dyDescent="0.3">
      <c r="A6858" t="str">
        <f>"0611863048100"</f>
        <v>0611863048100</v>
      </c>
      <c r="B6858" t="str">
        <f>"CN5206"</f>
        <v>CN5206</v>
      </c>
      <c r="C6858" t="s">
        <v>40564</v>
      </c>
      <c r="D6858" t="s">
        <v>27335</v>
      </c>
      <c r="E6858" t="str">
        <f t="shared" si="107"/>
        <v>001390</v>
      </c>
      <c r="F6858" t="s">
        <v>27246</v>
      </c>
      <c r="G6858" t="s">
        <v>27247</v>
      </c>
      <c r="H6858" t="s">
        <v>27248</v>
      </c>
      <c r="I6858" t="s">
        <v>40566</v>
      </c>
      <c r="J6858" t="s">
        <v>13613</v>
      </c>
      <c r="L6858" t="s">
        <v>27250</v>
      </c>
      <c r="M6858" t="s">
        <v>27251</v>
      </c>
      <c r="N6858" t="s">
        <v>27252</v>
      </c>
      <c r="Q6858" s="1">
        <v>44846</v>
      </c>
      <c r="R6858" t="s">
        <v>27253</v>
      </c>
      <c r="S6858" t="s">
        <v>27254</v>
      </c>
      <c r="T6858" t="s">
        <v>27255</v>
      </c>
    </row>
    <row r="6859" spans="1:20" x14ac:dyDescent="0.3">
      <c r="A6859" t="str">
        <f>"0611863049050"</f>
        <v>0611863049050</v>
      </c>
      <c r="B6859" t="str">
        <f>"CR2358"</f>
        <v>CR2358</v>
      </c>
      <c r="C6859" t="s">
        <v>40564</v>
      </c>
      <c r="D6859" t="s">
        <v>27263</v>
      </c>
      <c r="E6859" t="str">
        <f t="shared" si="107"/>
        <v>001390</v>
      </c>
      <c r="F6859" t="s">
        <v>27246</v>
      </c>
      <c r="G6859" t="s">
        <v>27247</v>
      </c>
      <c r="H6859" t="s">
        <v>27248</v>
      </c>
      <c r="I6859" t="s">
        <v>40567</v>
      </c>
      <c r="J6859" t="s">
        <v>13617</v>
      </c>
      <c r="L6859" t="s">
        <v>27250</v>
      </c>
      <c r="M6859" t="s">
        <v>27251</v>
      </c>
      <c r="N6859" t="s">
        <v>27252</v>
      </c>
      <c r="Q6859" s="1">
        <v>44846</v>
      </c>
      <c r="R6859" t="s">
        <v>27253</v>
      </c>
      <c r="S6859" t="s">
        <v>27254</v>
      </c>
      <c r="T6859" t="s">
        <v>27265</v>
      </c>
    </row>
    <row r="6860" spans="1:20" x14ac:dyDescent="0.3">
      <c r="A6860" t="str">
        <f>"0611835968025"</f>
        <v>0611835968025</v>
      </c>
      <c r="B6860" t="str">
        <f>"MC0457"</f>
        <v>MC0457</v>
      </c>
      <c r="C6860" t="s">
        <v>40568</v>
      </c>
      <c r="D6860" t="s">
        <v>27267</v>
      </c>
      <c r="E6860" t="str">
        <f t="shared" si="107"/>
        <v>001390</v>
      </c>
      <c r="F6860" t="s">
        <v>27246</v>
      </c>
      <c r="G6860" t="s">
        <v>27247</v>
      </c>
      <c r="H6860" t="s">
        <v>27248</v>
      </c>
      <c r="I6860" t="s">
        <v>40569</v>
      </c>
      <c r="J6860" t="s">
        <v>13619</v>
      </c>
      <c r="L6860" t="s">
        <v>27250</v>
      </c>
      <c r="M6860" t="s">
        <v>27251</v>
      </c>
      <c r="N6860" t="s">
        <v>27252</v>
      </c>
      <c r="Q6860" s="1">
        <v>44538</v>
      </c>
      <c r="R6860" t="s">
        <v>27253</v>
      </c>
      <c r="S6860" t="s">
        <v>27254</v>
      </c>
      <c r="T6860" t="s">
        <v>27269</v>
      </c>
    </row>
    <row r="6861" spans="1:20" x14ac:dyDescent="0.3">
      <c r="A6861" t="str">
        <f>"0611835969025"</f>
        <v>0611835969025</v>
      </c>
      <c r="B6861" t="str">
        <f>"MC1995"</f>
        <v>MC1995</v>
      </c>
      <c r="C6861" t="s">
        <v>40570</v>
      </c>
      <c r="D6861" t="s">
        <v>27267</v>
      </c>
      <c r="E6861" t="str">
        <f t="shared" si="107"/>
        <v>001390</v>
      </c>
      <c r="F6861" t="s">
        <v>27246</v>
      </c>
      <c r="G6861" t="s">
        <v>27247</v>
      </c>
      <c r="H6861" t="s">
        <v>27248</v>
      </c>
      <c r="I6861" t="s">
        <v>40571</v>
      </c>
      <c r="J6861" t="s">
        <v>13625</v>
      </c>
      <c r="L6861" t="s">
        <v>27250</v>
      </c>
      <c r="M6861" t="s">
        <v>27251</v>
      </c>
      <c r="N6861" t="s">
        <v>27252</v>
      </c>
      <c r="Q6861" s="1">
        <v>44538</v>
      </c>
      <c r="R6861" t="s">
        <v>27253</v>
      </c>
      <c r="S6861" t="s">
        <v>27254</v>
      </c>
      <c r="T6861" t="s">
        <v>27269</v>
      </c>
    </row>
    <row r="6862" spans="1:20" x14ac:dyDescent="0.3">
      <c r="A6862" t="str">
        <f>"0611863050100"</f>
        <v>0611863050100</v>
      </c>
      <c r="B6862" t="str">
        <f>"CN5207"</f>
        <v>CN5207</v>
      </c>
      <c r="C6862" t="s">
        <v>40570</v>
      </c>
      <c r="D6862" t="s">
        <v>27335</v>
      </c>
      <c r="E6862" t="str">
        <f t="shared" si="107"/>
        <v>001390</v>
      </c>
      <c r="F6862" t="s">
        <v>27246</v>
      </c>
      <c r="G6862" t="s">
        <v>27247</v>
      </c>
      <c r="H6862" t="s">
        <v>27248</v>
      </c>
      <c r="I6862" t="s">
        <v>40572</v>
      </c>
      <c r="J6862" t="s">
        <v>13621</v>
      </c>
      <c r="L6862" t="s">
        <v>27250</v>
      </c>
      <c r="M6862" t="s">
        <v>27251</v>
      </c>
      <c r="N6862" t="s">
        <v>27252</v>
      </c>
      <c r="Q6862" s="1">
        <v>44846</v>
      </c>
      <c r="R6862" t="s">
        <v>27253</v>
      </c>
      <c r="S6862" t="s">
        <v>27254</v>
      </c>
      <c r="T6862" t="s">
        <v>27255</v>
      </c>
    </row>
    <row r="6863" spans="1:20" x14ac:dyDescent="0.3">
      <c r="A6863" t="str">
        <f>"0611863051050"</f>
        <v>0611863051050</v>
      </c>
      <c r="B6863" t="str">
        <f>"CR4337"</f>
        <v>CR4337</v>
      </c>
      <c r="C6863" t="s">
        <v>40573</v>
      </c>
      <c r="D6863" t="s">
        <v>27286</v>
      </c>
      <c r="E6863" t="str">
        <f t="shared" si="107"/>
        <v>001390</v>
      </c>
      <c r="F6863" t="s">
        <v>27246</v>
      </c>
      <c r="G6863" t="s">
        <v>27247</v>
      </c>
      <c r="H6863" t="s">
        <v>27248</v>
      </c>
      <c r="I6863" t="s">
        <v>40574</v>
      </c>
      <c r="J6863" t="s">
        <v>13623</v>
      </c>
      <c r="L6863" t="s">
        <v>27250</v>
      </c>
      <c r="M6863" t="s">
        <v>27251</v>
      </c>
      <c r="N6863" t="s">
        <v>27252</v>
      </c>
      <c r="Q6863" s="1">
        <v>44846</v>
      </c>
      <c r="R6863" t="s">
        <v>27253</v>
      </c>
      <c r="S6863" t="s">
        <v>27254</v>
      </c>
      <c r="T6863" t="s">
        <v>27265</v>
      </c>
    </row>
    <row r="6864" spans="1:20" x14ac:dyDescent="0.3">
      <c r="A6864" t="str">
        <f>"0611863052050"</f>
        <v>0611863052050</v>
      </c>
      <c r="B6864" t="str">
        <f>"CR4335"</f>
        <v>CR4335</v>
      </c>
      <c r="C6864" t="s">
        <v>40575</v>
      </c>
      <c r="D6864" t="s">
        <v>27263</v>
      </c>
      <c r="E6864" t="str">
        <f t="shared" si="107"/>
        <v>001390</v>
      </c>
      <c r="F6864" t="s">
        <v>27246</v>
      </c>
      <c r="G6864" t="s">
        <v>27247</v>
      </c>
      <c r="H6864" t="s">
        <v>27248</v>
      </c>
      <c r="I6864" t="s">
        <v>40576</v>
      </c>
      <c r="J6864" t="s">
        <v>13627</v>
      </c>
      <c r="L6864" t="s">
        <v>27250</v>
      </c>
      <c r="M6864" t="s">
        <v>27251</v>
      </c>
      <c r="N6864" t="s">
        <v>27252</v>
      </c>
      <c r="Q6864" s="1">
        <v>44846</v>
      </c>
      <c r="R6864" t="s">
        <v>27253</v>
      </c>
      <c r="S6864" t="s">
        <v>27254</v>
      </c>
      <c r="T6864" t="s">
        <v>27265</v>
      </c>
    </row>
    <row r="6865" spans="1:20" x14ac:dyDescent="0.3">
      <c r="A6865" t="str">
        <f>"0611835970025"</f>
        <v>0611835970025</v>
      </c>
      <c r="B6865" t="str">
        <f>"MC1263"</f>
        <v>MC1263</v>
      </c>
      <c r="C6865" t="s">
        <v>40577</v>
      </c>
      <c r="D6865" t="s">
        <v>27267</v>
      </c>
      <c r="E6865" t="str">
        <f t="shared" si="107"/>
        <v>001390</v>
      </c>
      <c r="F6865" t="s">
        <v>27246</v>
      </c>
      <c r="G6865" t="s">
        <v>27247</v>
      </c>
      <c r="H6865" t="s">
        <v>27248</v>
      </c>
      <c r="I6865" t="s">
        <v>40578</v>
      </c>
      <c r="J6865" t="s">
        <v>13629</v>
      </c>
      <c r="L6865" t="s">
        <v>27250</v>
      </c>
      <c r="M6865" t="s">
        <v>27251</v>
      </c>
      <c r="N6865" t="s">
        <v>27252</v>
      </c>
      <c r="Q6865" s="1">
        <v>44538</v>
      </c>
      <c r="R6865" t="s">
        <v>27253</v>
      </c>
      <c r="S6865" t="s">
        <v>27254</v>
      </c>
      <c r="T6865" t="s">
        <v>27269</v>
      </c>
    </row>
    <row r="6866" spans="1:20" x14ac:dyDescent="0.3">
      <c r="A6866" t="str">
        <f>"0611835972025"</f>
        <v>0611835972025</v>
      </c>
      <c r="B6866" t="str">
        <f>"MC0458"</f>
        <v>MC0458</v>
      </c>
      <c r="C6866" t="s">
        <v>40579</v>
      </c>
      <c r="D6866" t="s">
        <v>27267</v>
      </c>
      <c r="E6866" t="str">
        <f t="shared" si="107"/>
        <v>001390</v>
      </c>
      <c r="F6866" t="s">
        <v>27246</v>
      </c>
      <c r="G6866" t="s">
        <v>27247</v>
      </c>
      <c r="H6866" t="s">
        <v>27248</v>
      </c>
      <c r="I6866" t="s">
        <v>40580</v>
      </c>
      <c r="J6866" t="s">
        <v>13633</v>
      </c>
      <c r="L6866" t="s">
        <v>27250</v>
      </c>
      <c r="M6866" t="s">
        <v>27251</v>
      </c>
      <c r="N6866" t="s">
        <v>27252</v>
      </c>
      <c r="Q6866" s="1">
        <v>44538</v>
      </c>
      <c r="R6866" t="s">
        <v>27253</v>
      </c>
      <c r="S6866" t="s">
        <v>27254</v>
      </c>
      <c r="T6866" t="s">
        <v>27269</v>
      </c>
    </row>
    <row r="6867" spans="1:20" x14ac:dyDescent="0.3">
      <c r="A6867" t="str">
        <f>"0611863053100"</f>
        <v>0611863053100</v>
      </c>
      <c r="B6867" t="str">
        <f>"CN5208"</f>
        <v>CN5208</v>
      </c>
      <c r="C6867" t="s">
        <v>40579</v>
      </c>
      <c r="D6867" t="s">
        <v>27335</v>
      </c>
      <c r="E6867" t="str">
        <f t="shared" si="107"/>
        <v>001390</v>
      </c>
      <c r="F6867" t="s">
        <v>27246</v>
      </c>
      <c r="G6867" t="s">
        <v>27247</v>
      </c>
      <c r="H6867" t="s">
        <v>27248</v>
      </c>
      <c r="I6867" t="s">
        <v>40581</v>
      </c>
      <c r="J6867" t="s">
        <v>13631</v>
      </c>
      <c r="L6867" t="s">
        <v>27250</v>
      </c>
      <c r="M6867" t="s">
        <v>27251</v>
      </c>
      <c r="N6867" t="s">
        <v>27252</v>
      </c>
      <c r="Q6867" s="1">
        <v>44846</v>
      </c>
      <c r="R6867" t="s">
        <v>27253</v>
      </c>
      <c r="S6867" t="s">
        <v>27254</v>
      </c>
      <c r="T6867" t="s">
        <v>27255</v>
      </c>
    </row>
    <row r="6868" spans="1:20" x14ac:dyDescent="0.3">
      <c r="A6868" t="str">
        <f>"0611863054100"</f>
        <v>0611863054100</v>
      </c>
      <c r="B6868" t="str">
        <f>"CN5209"</f>
        <v>CN5209</v>
      </c>
      <c r="C6868" t="s">
        <v>40582</v>
      </c>
      <c r="D6868" t="s">
        <v>27335</v>
      </c>
      <c r="E6868" t="str">
        <f t="shared" si="107"/>
        <v>001390</v>
      </c>
      <c r="F6868" t="s">
        <v>27246</v>
      </c>
      <c r="G6868" t="s">
        <v>27247</v>
      </c>
      <c r="H6868" t="s">
        <v>27248</v>
      </c>
      <c r="I6868" t="s">
        <v>40583</v>
      </c>
      <c r="J6868" t="s">
        <v>13637</v>
      </c>
      <c r="L6868" t="s">
        <v>27250</v>
      </c>
      <c r="M6868" t="s">
        <v>27251</v>
      </c>
      <c r="N6868" t="s">
        <v>27252</v>
      </c>
      <c r="Q6868" s="1">
        <v>44846</v>
      </c>
      <c r="R6868" t="s">
        <v>27253</v>
      </c>
      <c r="S6868" t="s">
        <v>27254</v>
      </c>
      <c r="T6868" t="s">
        <v>27255</v>
      </c>
    </row>
    <row r="6869" spans="1:20" x14ac:dyDescent="0.3">
      <c r="A6869" t="str">
        <f>"0611863055050"</f>
        <v>0611863055050</v>
      </c>
      <c r="B6869" t="str">
        <f>"CR4338"</f>
        <v>CR4338</v>
      </c>
      <c r="C6869" t="s">
        <v>40584</v>
      </c>
      <c r="D6869" t="s">
        <v>27286</v>
      </c>
      <c r="E6869" t="str">
        <f t="shared" si="107"/>
        <v>001390</v>
      </c>
      <c r="F6869" t="s">
        <v>27246</v>
      </c>
      <c r="G6869" t="s">
        <v>27247</v>
      </c>
      <c r="H6869" t="s">
        <v>27248</v>
      </c>
      <c r="I6869" t="s">
        <v>40585</v>
      </c>
      <c r="J6869" t="s">
        <v>13639</v>
      </c>
      <c r="L6869" t="s">
        <v>27250</v>
      </c>
      <c r="M6869" t="s">
        <v>27251</v>
      </c>
      <c r="N6869" t="s">
        <v>27252</v>
      </c>
      <c r="Q6869" s="1">
        <v>44846</v>
      </c>
      <c r="R6869" t="s">
        <v>27253</v>
      </c>
      <c r="S6869" t="s">
        <v>27254</v>
      </c>
      <c r="T6869" t="s">
        <v>27265</v>
      </c>
    </row>
    <row r="6870" spans="1:20" x14ac:dyDescent="0.3">
      <c r="A6870" t="str">
        <f>"0611835973025"</f>
        <v>0611835973025</v>
      </c>
      <c r="B6870" t="str">
        <f>"MC3423"</f>
        <v>MC3423</v>
      </c>
      <c r="C6870" t="s">
        <v>40586</v>
      </c>
      <c r="D6870" t="s">
        <v>27267</v>
      </c>
      <c r="E6870" t="str">
        <f t="shared" si="107"/>
        <v>001390</v>
      </c>
      <c r="F6870" t="s">
        <v>27246</v>
      </c>
      <c r="G6870" t="s">
        <v>27247</v>
      </c>
      <c r="H6870" t="s">
        <v>27248</v>
      </c>
      <c r="I6870" t="s">
        <v>40587</v>
      </c>
      <c r="J6870" t="s">
        <v>13641</v>
      </c>
      <c r="L6870" t="s">
        <v>27250</v>
      </c>
      <c r="M6870" t="s">
        <v>27251</v>
      </c>
      <c r="N6870" t="s">
        <v>27252</v>
      </c>
      <c r="Q6870" s="1">
        <v>44538</v>
      </c>
      <c r="R6870" t="s">
        <v>27253</v>
      </c>
      <c r="S6870" t="s">
        <v>27254</v>
      </c>
      <c r="T6870" t="s">
        <v>27269</v>
      </c>
    </row>
    <row r="6871" spans="1:20" x14ac:dyDescent="0.3">
      <c r="A6871" t="str">
        <f>"0611863056100"</f>
        <v>0611863056100</v>
      </c>
      <c r="B6871" t="str">
        <f>"CN5210"</f>
        <v>CN5210</v>
      </c>
      <c r="C6871" t="s">
        <v>40588</v>
      </c>
      <c r="D6871" t="s">
        <v>27335</v>
      </c>
      <c r="E6871" t="str">
        <f t="shared" si="107"/>
        <v>001390</v>
      </c>
      <c r="F6871" t="s">
        <v>27246</v>
      </c>
      <c r="G6871" t="s">
        <v>27247</v>
      </c>
      <c r="H6871" t="s">
        <v>27248</v>
      </c>
      <c r="I6871" t="s">
        <v>40589</v>
      </c>
      <c r="J6871" t="s">
        <v>13643</v>
      </c>
      <c r="L6871" t="s">
        <v>27250</v>
      </c>
      <c r="M6871" t="s">
        <v>27251</v>
      </c>
      <c r="N6871" t="s">
        <v>27252</v>
      </c>
      <c r="Q6871" s="1">
        <v>44846</v>
      </c>
      <c r="R6871" t="s">
        <v>27253</v>
      </c>
      <c r="S6871" t="s">
        <v>27254</v>
      </c>
      <c r="T6871" t="s">
        <v>27255</v>
      </c>
    </row>
    <row r="6872" spans="1:20" x14ac:dyDescent="0.3">
      <c r="A6872" t="str">
        <f>"0611835974100"</f>
        <v>0611835974100</v>
      </c>
      <c r="B6872" t="str">
        <f>"LQ6123"</f>
        <v>LQ6123</v>
      </c>
      <c r="C6872" t="s">
        <v>40590</v>
      </c>
      <c r="D6872" t="s">
        <v>27245</v>
      </c>
      <c r="E6872" t="str">
        <f t="shared" si="107"/>
        <v>001390</v>
      </c>
      <c r="F6872" t="s">
        <v>27246</v>
      </c>
      <c r="G6872" t="s">
        <v>27247</v>
      </c>
      <c r="H6872" t="s">
        <v>27248</v>
      </c>
      <c r="I6872" t="s">
        <v>40591</v>
      </c>
      <c r="J6872" t="s">
        <v>13645</v>
      </c>
      <c r="L6872" t="s">
        <v>27250</v>
      </c>
      <c r="M6872" t="s">
        <v>27251</v>
      </c>
      <c r="N6872" t="s">
        <v>27252</v>
      </c>
      <c r="Q6872" s="1">
        <v>44538</v>
      </c>
      <c r="R6872" t="s">
        <v>27253</v>
      </c>
      <c r="S6872" t="s">
        <v>27254</v>
      </c>
      <c r="T6872" t="s">
        <v>27255</v>
      </c>
    </row>
    <row r="6873" spans="1:20" x14ac:dyDescent="0.3">
      <c r="A6873" t="str">
        <f>"0611835975025"</f>
        <v>0611835975025</v>
      </c>
      <c r="B6873" t="str">
        <f>"MQ5115"</f>
        <v>MQ5115</v>
      </c>
      <c r="C6873" t="s">
        <v>40590</v>
      </c>
      <c r="D6873" t="s">
        <v>27267</v>
      </c>
      <c r="E6873" t="str">
        <f t="shared" si="107"/>
        <v>001390</v>
      </c>
      <c r="F6873" t="s">
        <v>27246</v>
      </c>
      <c r="G6873" t="s">
        <v>27247</v>
      </c>
      <c r="H6873" t="s">
        <v>27248</v>
      </c>
      <c r="I6873" t="s">
        <v>40592</v>
      </c>
      <c r="J6873" t="s">
        <v>13647</v>
      </c>
      <c r="L6873" t="s">
        <v>27250</v>
      </c>
      <c r="M6873" t="s">
        <v>27251</v>
      </c>
      <c r="N6873" t="s">
        <v>27252</v>
      </c>
      <c r="Q6873" s="1">
        <v>44538</v>
      </c>
      <c r="R6873" t="s">
        <v>27253</v>
      </c>
      <c r="S6873" t="s">
        <v>27254</v>
      </c>
      <c r="T6873" t="s">
        <v>27269</v>
      </c>
    </row>
    <row r="6874" spans="1:20" x14ac:dyDescent="0.3">
      <c r="A6874" t="str">
        <f>"0611835976100"</f>
        <v>0611835976100</v>
      </c>
      <c r="B6874" t="str">
        <f>"LQ6124"</f>
        <v>LQ6124</v>
      </c>
      <c r="C6874" t="s">
        <v>40593</v>
      </c>
      <c r="D6874" t="s">
        <v>27245</v>
      </c>
      <c r="E6874" t="str">
        <f t="shared" si="107"/>
        <v>001390</v>
      </c>
      <c r="F6874" t="s">
        <v>27246</v>
      </c>
      <c r="G6874" t="s">
        <v>27247</v>
      </c>
      <c r="H6874" t="s">
        <v>27248</v>
      </c>
      <c r="I6874" t="s">
        <v>40594</v>
      </c>
      <c r="J6874" t="s">
        <v>13649</v>
      </c>
      <c r="L6874" t="s">
        <v>27250</v>
      </c>
      <c r="M6874" t="s">
        <v>27251</v>
      </c>
      <c r="N6874" t="s">
        <v>27252</v>
      </c>
      <c r="Q6874" s="1">
        <v>44538</v>
      </c>
      <c r="R6874" t="s">
        <v>27253</v>
      </c>
      <c r="S6874" t="s">
        <v>27254</v>
      </c>
      <c r="T6874" t="s">
        <v>27255</v>
      </c>
    </row>
    <row r="6875" spans="1:20" x14ac:dyDescent="0.3">
      <c r="A6875" t="str">
        <f>"0611835977100"</f>
        <v>0611835977100</v>
      </c>
      <c r="B6875" t="str">
        <f>"LH8896"</f>
        <v>LH8896</v>
      </c>
      <c r="C6875" t="s">
        <v>40595</v>
      </c>
      <c r="D6875" t="s">
        <v>27245</v>
      </c>
      <c r="E6875" t="str">
        <f t="shared" si="107"/>
        <v>001390</v>
      </c>
      <c r="F6875" t="s">
        <v>27246</v>
      </c>
      <c r="G6875" t="s">
        <v>27247</v>
      </c>
      <c r="H6875" t="s">
        <v>27248</v>
      </c>
      <c r="I6875" t="s">
        <v>40596</v>
      </c>
      <c r="J6875" t="s">
        <v>13635</v>
      </c>
      <c r="L6875" t="s">
        <v>27250</v>
      </c>
      <c r="M6875" t="s">
        <v>27251</v>
      </c>
      <c r="N6875" t="s">
        <v>27252</v>
      </c>
      <c r="Q6875" s="1">
        <v>44538</v>
      </c>
      <c r="R6875" t="s">
        <v>27253</v>
      </c>
      <c r="S6875" t="s">
        <v>27254</v>
      </c>
      <c r="T6875" t="s">
        <v>27255</v>
      </c>
    </row>
    <row r="6876" spans="1:20" x14ac:dyDescent="0.3">
      <c r="A6876" t="str">
        <f>"0611835979025"</f>
        <v>0611835979025</v>
      </c>
      <c r="B6876" t="str">
        <f>"MC4219"</f>
        <v>MC4219</v>
      </c>
      <c r="C6876" t="s">
        <v>40597</v>
      </c>
      <c r="D6876" t="s">
        <v>27267</v>
      </c>
      <c r="E6876" t="str">
        <f t="shared" si="107"/>
        <v>001390</v>
      </c>
      <c r="F6876" t="s">
        <v>27246</v>
      </c>
      <c r="G6876" t="s">
        <v>27247</v>
      </c>
      <c r="H6876" t="s">
        <v>27248</v>
      </c>
      <c r="I6876" t="s">
        <v>40598</v>
      </c>
      <c r="J6876" t="s">
        <v>13651</v>
      </c>
      <c r="L6876" t="s">
        <v>27250</v>
      </c>
      <c r="M6876" t="s">
        <v>27251</v>
      </c>
      <c r="N6876" t="s">
        <v>27252</v>
      </c>
      <c r="Q6876" s="1">
        <v>44538</v>
      </c>
      <c r="R6876" t="s">
        <v>27253</v>
      </c>
      <c r="S6876" t="s">
        <v>27254</v>
      </c>
      <c r="T6876" t="s">
        <v>27269</v>
      </c>
    </row>
    <row r="6877" spans="1:20" x14ac:dyDescent="0.3">
      <c r="A6877" t="str">
        <f>"0611863057100"</f>
        <v>0611863057100</v>
      </c>
      <c r="B6877" t="str">
        <f>"CN5211"</f>
        <v>CN5211</v>
      </c>
      <c r="C6877" t="s">
        <v>40599</v>
      </c>
      <c r="D6877" t="s">
        <v>27335</v>
      </c>
      <c r="E6877" t="str">
        <f t="shared" si="107"/>
        <v>001390</v>
      </c>
      <c r="F6877" t="s">
        <v>27246</v>
      </c>
      <c r="G6877" t="s">
        <v>27247</v>
      </c>
      <c r="H6877" t="s">
        <v>27248</v>
      </c>
      <c r="I6877" t="s">
        <v>40600</v>
      </c>
      <c r="J6877" t="s">
        <v>13653</v>
      </c>
      <c r="L6877" t="s">
        <v>27250</v>
      </c>
      <c r="M6877" t="s">
        <v>27251</v>
      </c>
      <c r="N6877" t="s">
        <v>27252</v>
      </c>
      <c r="Q6877" s="1">
        <v>44846</v>
      </c>
      <c r="R6877" t="s">
        <v>27253</v>
      </c>
      <c r="S6877" t="s">
        <v>27254</v>
      </c>
      <c r="T6877" t="s">
        <v>27255</v>
      </c>
    </row>
    <row r="6878" spans="1:20" x14ac:dyDescent="0.3">
      <c r="A6878" t="str">
        <f>"0611863058100"</f>
        <v>0611863058100</v>
      </c>
      <c r="B6878" t="str">
        <f>"CN2374"</f>
        <v>CN2374</v>
      </c>
      <c r="C6878" t="s">
        <v>40601</v>
      </c>
      <c r="D6878" t="s">
        <v>27335</v>
      </c>
      <c r="E6878" t="str">
        <f t="shared" si="107"/>
        <v>001390</v>
      </c>
      <c r="F6878" t="s">
        <v>27246</v>
      </c>
      <c r="G6878" t="s">
        <v>27247</v>
      </c>
      <c r="H6878" t="s">
        <v>27248</v>
      </c>
      <c r="I6878" t="s">
        <v>40602</v>
      </c>
      <c r="J6878" t="s">
        <v>13655</v>
      </c>
      <c r="L6878" t="s">
        <v>27250</v>
      </c>
      <c r="M6878" t="s">
        <v>27251</v>
      </c>
      <c r="N6878" t="s">
        <v>27252</v>
      </c>
      <c r="Q6878" s="1">
        <v>44846</v>
      </c>
      <c r="R6878" t="s">
        <v>27253</v>
      </c>
      <c r="S6878" t="s">
        <v>27254</v>
      </c>
      <c r="T6878" t="s">
        <v>27255</v>
      </c>
    </row>
    <row r="6879" spans="1:20" x14ac:dyDescent="0.3">
      <c r="A6879" t="str">
        <f>"0611863059100"</f>
        <v>0611863059100</v>
      </c>
      <c r="B6879" t="str">
        <f>"CN2375"</f>
        <v>CN2375</v>
      </c>
      <c r="C6879" t="s">
        <v>40603</v>
      </c>
      <c r="D6879" t="s">
        <v>27335</v>
      </c>
      <c r="E6879" t="str">
        <f t="shared" si="107"/>
        <v>001390</v>
      </c>
      <c r="F6879" t="s">
        <v>27246</v>
      </c>
      <c r="G6879" t="s">
        <v>27247</v>
      </c>
      <c r="H6879" t="s">
        <v>27248</v>
      </c>
      <c r="I6879" t="s">
        <v>40604</v>
      </c>
      <c r="J6879" t="s">
        <v>13657</v>
      </c>
      <c r="L6879" t="s">
        <v>27250</v>
      </c>
      <c r="M6879" t="s">
        <v>27251</v>
      </c>
      <c r="N6879" t="s">
        <v>27252</v>
      </c>
      <c r="Q6879" s="1">
        <v>44846</v>
      </c>
      <c r="R6879" t="s">
        <v>27253</v>
      </c>
      <c r="S6879" t="s">
        <v>27254</v>
      </c>
      <c r="T6879" t="s">
        <v>27255</v>
      </c>
    </row>
    <row r="6880" spans="1:20" x14ac:dyDescent="0.3">
      <c r="A6880" t="str">
        <f>"0611863060050"</f>
        <v>0611863060050</v>
      </c>
      <c r="B6880" t="str">
        <f>"CR2359"</f>
        <v>CR2359</v>
      </c>
      <c r="C6880" t="s">
        <v>40605</v>
      </c>
      <c r="D6880" t="s">
        <v>27286</v>
      </c>
      <c r="E6880" t="str">
        <f t="shared" si="107"/>
        <v>001390</v>
      </c>
      <c r="F6880" t="s">
        <v>27246</v>
      </c>
      <c r="G6880" t="s">
        <v>27247</v>
      </c>
      <c r="H6880" t="s">
        <v>27248</v>
      </c>
      <c r="I6880" t="s">
        <v>40606</v>
      </c>
      <c r="J6880" t="s">
        <v>13659</v>
      </c>
      <c r="L6880" t="s">
        <v>27250</v>
      </c>
      <c r="M6880" t="s">
        <v>27251</v>
      </c>
      <c r="N6880" t="s">
        <v>27252</v>
      </c>
      <c r="Q6880" s="1">
        <v>44846</v>
      </c>
      <c r="R6880" t="s">
        <v>27253</v>
      </c>
      <c r="S6880" t="s">
        <v>27254</v>
      </c>
      <c r="T6880" t="s">
        <v>27265</v>
      </c>
    </row>
    <row r="6881" spans="1:20" x14ac:dyDescent="0.3">
      <c r="A6881" t="str">
        <f>"0611835980100"</f>
        <v>0611835980100</v>
      </c>
      <c r="B6881" t="str">
        <f>"LH8897"</f>
        <v>LH8897</v>
      </c>
      <c r="C6881" t="s">
        <v>40607</v>
      </c>
      <c r="D6881" t="s">
        <v>27245</v>
      </c>
      <c r="E6881" t="str">
        <f t="shared" si="107"/>
        <v>001390</v>
      </c>
      <c r="F6881" t="s">
        <v>27246</v>
      </c>
      <c r="G6881" t="s">
        <v>27247</v>
      </c>
      <c r="H6881" t="s">
        <v>27248</v>
      </c>
      <c r="I6881" t="s">
        <v>40608</v>
      </c>
      <c r="J6881" t="s">
        <v>13661</v>
      </c>
      <c r="L6881" t="s">
        <v>27250</v>
      </c>
      <c r="M6881" t="s">
        <v>27251</v>
      </c>
      <c r="N6881" t="s">
        <v>27252</v>
      </c>
      <c r="Q6881" s="1">
        <v>44538</v>
      </c>
      <c r="R6881" t="s">
        <v>27253</v>
      </c>
      <c r="S6881" t="s">
        <v>27254</v>
      </c>
      <c r="T6881" t="s">
        <v>27255</v>
      </c>
    </row>
    <row r="6882" spans="1:20" x14ac:dyDescent="0.3">
      <c r="A6882" t="str">
        <f>"0611835981025"</f>
        <v>0611835981025</v>
      </c>
      <c r="B6882" t="str">
        <f>"MQ0298"</f>
        <v>MQ0298</v>
      </c>
      <c r="C6882" t="s">
        <v>40607</v>
      </c>
      <c r="D6882" t="s">
        <v>27267</v>
      </c>
      <c r="E6882" t="str">
        <f t="shared" si="107"/>
        <v>001390</v>
      </c>
      <c r="F6882" t="s">
        <v>27246</v>
      </c>
      <c r="G6882" t="s">
        <v>27247</v>
      </c>
      <c r="H6882" t="s">
        <v>27248</v>
      </c>
      <c r="I6882" t="s">
        <v>40609</v>
      </c>
      <c r="J6882" t="s">
        <v>13663</v>
      </c>
      <c r="L6882" t="s">
        <v>27250</v>
      </c>
      <c r="M6882" t="s">
        <v>27251</v>
      </c>
      <c r="N6882" t="s">
        <v>27252</v>
      </c>
      <c r="Q6882" s="1">
        <v>44538</v>
      </c>
      <c r="R6882" t="s">
        <v>27253</v>
      </c>
      <c r="S6882" t="s">
        <v>27254</v>
      </c>
      <c r="T6882" t="s">
        <v>27269</v>
      </c>
    </row>
    <row r="6883" spans="1:20" x14ac:dyDescent="0.3">
      <c r="A6883" t="str">
        <f>"0611835983025"</f>
        <v>0611835983025</v>
      </c>
      <c r="B6883" t="str">
        <f>"MC0459"</f>
        <v>MC0459</v>
      </c>
      <c r="C6883" t="s">
        <v>40610</v>
      </c>
      <c r="D6883" t="s">
        <v>27267</v>
      </c>
      <c r="E6883" t="str">
        <f t="shared" si="107"/>
        <v>001390</v>
      </c>
      <c r="F6883" t="s">
        <v>27246</v>
      </c>
      <c r="G6883" t="s">
        <v>27247</v>
      </c>
      <c r="H6883" t="s">
        <v>27248</v>
      </c>
      <c r="I6883" t="s">
        <v>40611</v>
      </c>
      <c r="J6883" t="s">
        <v>13667</v>
      </c>
      <c r="L6883" t="s">
        <v>27250</v>
      </c>
      <c r="M6883" t="s">
        <v>27251</v>
      </c>
      <c r="N6883" t="s">
        <v>27252</v>
      </c>
      <c r="Q6883" s="1">
        <v>44538</v>
      </c>
      <c r="R6883" t="s">
        <v>27253</v>
      </c>
      <c r="S6883" t="s">
        <v>27254</v>
      </c>
      <c r="T6883" t="s">
        <v>27269</v>
      </c>
    </row>
    <row r="6884" spans="1:20" x14ac:dyDescent="0.3">
      <c r="A6884" t="str">
        <f>"0611863061100"</f>
        <v>0611863061100</v>
      </c>
      <c r="B6884" t="str">
        <f>"CN5212"</f>
        <v>CN5212</v>
      </c>
      <c r="C6884" t="s">
        <v>40610</v>
      </c>
      <c r="D6884" t="s">
        <v>27335</v>
      </c>
      <c r="E6884" t="str">
        <f t="shared" si="107"/>
        <v>001390</v>
      </c>
      <c r="F6884" t="s">
        <v>27246</v>
      </c>
      <c r="G6884" t="s">
        <v>27247</v>
      </c>
      <c r="H6884" t="s">
        <v>27248</v>
      </c>
      <c r="I6884" t="s">
        <v>40612</v>
      </c>
      <c r="J6884" t="s">
        <v>13665</v>
      </c>
      <c r="L6884" t="s">
        <v>27250</v>
      </c>
      <c r="M6884" t="s">
        <v>27251</v>
      </c>
      <c r="N6884" t="s">
        <v>27252</v>
      </c>
      <c r="Q6884" s="1">
        <v>44846</v>
      </c>
      <c r="R6884" t="s">
        <v>27253</v>
      </c>
      <c r="S6884" t="s">
        <v>27254</v>
      </c>
      <c r="T6884" t="s">
        <v>27255</v>
      </c>
    </row>
    <row r="6885" spans="1:20" x14ac:dyDescent="0.3">
      <c r="A6885" t="str">
        <f>"0611835984025"</f>
        <v>0611835984025</v>
      </c>
      <c r="B6885" t="str">
        <f>"MC2901"</f>
        <v>MC2901</v>
      </c>
      <c r="C6885" t="s">
        <v>40613</v>
      </c>
      <c r="D6885" t="s">
        <v>27267</v>
      </c>
      <c r="E6885" t="str">
        <f t="shared" si="107"/>
        <v>001390</v>
      </c>
      <c r="F6885" t="s">
        <v>27246</v>
      </c>
      <c r="G6885" t="s">
        <v>27247</v>
      </c>
      <c r="H6885" t="s">
        <v>27248</v>
      </c>
      <c r="I6885" t="s">
        <v>40614</v>
      </c>
      <c r="J6885" t="s">
        <v>13671</v>
      </c>
      <c r="L6885" t="s">
        <v>27250</v>
      </c>
      <c r="M6885" t="s">
        <v>27251</v>
      </c>
      <c r="N6885" t="s">
        <v>27252</v>
      </c>
      <c r="Q6885" s="1">
        <v>44538</v>
      </c>
      <c r="R6885" t="s">
        <v>27253</v>
      </c>
      <c r="S6885" t="s">
        <v>27254</v>
      </c>
      <c r="T6885" t="s">
        <v>27269</v>
      </c>
    </row>
    <row r="6886" spans="1:20" x14ac:dyDescent="0.3">
      <c r="A6886" t="str">
        <f>"0611863062100"</f>
        <v>0611863062100</v>
      </c>
      <c r="B6886" t="str">
        <f>"CN5213"</f>
        <v>CN5213</v>
      </c>
      <c r="C6886" t="s">
        <v>40613</v>
      </c>
      <c r="D6886" t="s">
        <v>27335</v>
      </c>
      <c r="E6886" t="str">
        <f t="shared" si="107"/>
        <v>001390</v>
      </c>
      <c r="F6886" t="s">
        <v>27246</v>
      </c>
      <c r="G6886" t="s">
        <v>27247</v>
      </c>
      <c r="H6886" t="s">
        <v>27248</v>
      </c>
      <c r="I6886" t="s">
        <v>40615</v>
      </c>
      <c r="J6886" t="s">
        <v>13669</v>
      </c>
      <c r="L6886" t="s">
        <v>27250</v>
      </c>
      <c r="M6886" t="s">
        <v>27251</v>
      </c>
      <c r="N6886" t="s">
        <v>27252</v>
      </c>
      <c r="Q6886" s="1">
        <v>44846</v>
      </c>
      <c r="R6886" t="s">
        <v>27253</v>
      </c>
      <c r="S6886" t="s">
        <v>27254</v>
      </c>
      <c r="T6886" t="s">
        <v>27255</v>
      </c>
    </row>
    <row r="6887" spans="1:20" x14ac:dyDescent="0.3">
      <c r="A6887" t="str">
        <f>"0611835985025"</f>
        <v>0611835985025</v>
      </c>
      <c r="B6887" t="str">
        <f>"MC1467"</f>
        <v>MC1467</v>
      </c>
      <c r="C6887" t="s">
        <v>40616</v>
      </c>
      <c r="D6887" t="s">
        <v>27267</v>
      </c>
      <c r="E6887" t="str">
        <f t="shared" si="107"/>
        <v>001390</v>
      </c>
      <c r="F6887" t="s">
        <v>27246</v>
      </c>
      <c r="G6887" t="s">
        <v>27247</v>
      </c>
      <c r="H6887" t="s">
        <v>27248</v>
      </c>
      <c r="I6887" t="s">
        <v>40617</v>
      </c>
      <c r="J6887" t="s">
        <v>13675</v>
      </c>
      <c r="L6887" t="s">
        <v>27250</v>
      </c>
      <c r="M6887" t="s">
        <v>27251</v>
      </c>
      <c r="N6887" t="s">
        <v>27252</v>
      </c>
      <c r="Q6887" s="1">
        <v>44538</v>
      </c>
      <c r="R6887" t="s">
        <v>27253</v>
      </c>
      <c r="S6887" t="s">
        <v>27254</v>
      </c>
      <c r="T6887" t="s">
        <v>27269</v>
      </c>
    </row>
    <row r="6888" spans="1:20" x14ac:dyDescent="0.3">
      <c r="A6888" t="str">
        <f>"0611863063100"</f>
        <v>0611863063100</v>
      </c>
      <c r="B6888" t="str">
        <f>"CN5214"</f>
        <v>CN5214</v>
      </c>
      <c r="C6888" t="s">
        <v>40616</v>
      </c>
      <c r="D6888" t="s">
        <v>27335</v>
      </c>
      <c r="E6888" t="str">
        <f t="shared" si="107"/>
        <v>001390</v>
      </c>
      <c r="F6888" t="s">
        <v>27246</v>
      </c>
      <c r="G6888" t="s">
        <v>27247</v>
      </c>
      <c r="H6888" t="s">
        <v>27248</v>
      </c>
      <c r="I6888" t="s">
        <v>40618</v>
      </c>
      <c r="J6888" t="s">
        <v>13673</v>
      </c>
      <c r="L6888" t="s">
        <v>27250</v>
      </c>
      <c r="M6888" t="s">
        <v>27251</v>
      </c>
      <c r="N6888" t="s">
        <v>27252</v>
      </c>
      <c r="Q6888" s="1">
        <v>44846</v>
      </c>
      <c r="R6888" t="s">
        <v>27253</v>
      </c>
      <c r="S6888" t="s">
        <v>27254</v>
      </c>
      <c r="T6888" t="s">
        <v>27255</v>
      </c>
    </row>
    <row r="6889" spans="1:20" x14ac:dyDescent="0.3">
      <c r="A6889" t="str">
        <f>"0611835986025"</f>
        <v>0611835986025</v>
      </c>
      <c r="B6889" t="str">
        <f>"MC0460"</f>
        <v>MC0460</v>
      </c>
      <c r="C6889" t="s">
        <v>40619</v>
      </c>
      <c r="D6889" t="s">
        <v>27267</v>
      </c>
      <c r="E6889" t="str">
        <f t="shared" si="107"/>
        <v>001390</v>
      </c>
      <c r="F6889" t="s">
        <v>27246</v>
      </c>
      <c r="G6889" t="s">
        <v>27247</v>
      </c>
      <c r="H6889" t="s">
        <v>27248</v>
      </c>
      <c r="I6889" t="s">
        <v>40620</v>
      </c>
      <c r="J6889" t="s">
        <v>13677</v>
      </c>
      <c r="L6889" t="s">
        <v>27250</v>
      </c>
      <c r="M6889" t="s">
        <v>27251</v>
      </c>
      <c r="N6889" t="s">
        <v>27252</v>
      </c>
      <c r="Q6889" s="1">
        <v>44538</v>
      </c>
      <c r="R6889" t="s">
        <v>27253</v>
      </c>
      <c r="S6889" t="s">
        <v>27254</v>
      </c>
      <c r="T6889" t="s">
        <v>27269</v>
      </c>
    </row>
    <row r="6890" spans="1:20" x14ac:dyDescent="0.3">
      <c r="A6890" t="str">
        <f>"0611835988025"</f>
        <v>0611835988025</v>
      </c>
      <c r="B6890" t="str">
        <f>"MC0461"</f>
        <v>MC0461</v>
      </c>
      <c r="C6890" t="s">
        <v>40621</v>
      </c>
      <c r="D6890" t="s">
        <v>27267</v>
      </c>
      <c r="E6890" t="str">
        <f t="shared" si="107"/>
        <v>001390</v>
      </c>
      <c r="F6890" t="s">
        <v>27246</v>
      </c>
      <c r="G6890" t="s">
        <v>27247</v>
      </c>
      <c r="H6890" t="s">
        <v>27248</v>
      </c>
      <c r="I6890" t="s">
        <v>40622</v>
      </c>
      <c r="J6890" t="s">
        <v>13681</v>
      </c>
      <c r="L6890" t="s">
        <v>27250</v>
      </c>
      <c r="M6890" t="s">
        <v>27251</v>
      </c>
      <c r="N6890" t="s">
        <v>27252</v>
      </c>
      <c r="Q6890" s="1">
        <v>44538</v>
      </c>
      <c r="R6890" t="s">
        <v>27253</v>
      </c>
      <c r="S6890" t="s">
        <v>27254</v>
      </c>
      <c r="T6890" t="s">
        <v>27269</v>
      </c>
    </row>
    <row r="6891" spans="1:20" x14ac:dyDescent="0.3">
      <c r="A6891" t="str">
        <f>"0611863064100"</f>
        <v>0611863064100</v>
      </c>
      <c r="B6891" t="str">
        <f>"CN5215"</f>
        <v>CN5215</v>
      </c>
      <c r="C6891" t="s">
        <v>40621</v>
      </c>
      <c r="D6891" t="s">
        <v>27335</v>
      </c>
      <c r="E6891" t="str">
        <f t="shared" si="107"/>
        <v>001390</v>
      </c>
      <c r="F6891" t="s">
        <v>27246</v>
      </c>
      <c r="G6891" t="s">
        <v>27247</v>
      </c>
      <c r="H6891" t="s">
        <v>27248</v>
      </c>
      <c r="I6891" t="s">
        <v>40623</v>
      </c>
      <c r="J6891" t="s">
        <v>13679</v>
      </c>
      <c r="L6891" t="s">
        <v>27250</v>
      </c>
      <c r="M6891" t="s">
        <v>27251</v>
      </c>
      <c r="N6891" t="s">
        <v>27252</v>
      </c>
      <c r="Q6891" s="1">
        <v>44846</v>
      </c>
      <c r="R6891" t="s">
        <v>27253</v>
      </c>
      <c r="S6891" t="s">
        <v>27254</v>
      </c>
      <c r="T6891" t="s">
        <v>27255</v>
      </c>
    </row>
    <row r="6892" spans="1:20" x14ac:dyDescent="0.3">
      <c r="A6892" t="str">
        <f>"0611835989100"</f>
        <v>0611835989100</v>
      </c>
      <c r="B6892" t="str">
        <f>"LB4318"</f>
        <v>LB4318</v>
      </c>
      <c r="C6892" t="s">
        <v>40624</v>
      </c>
      <c r="D6892" t="s">
        <v>27245</v>
      </c>
      <c r="E6892" t="str">
        <f t="shared" si="107"/>
        <v>001390</v>
      </c>
      <c r="F6892" t="s">
        <v>27246</v>
      </c>
      <c r="G6892" t="s">
        <v>27247</v>
      </c>
      <c r="H6892" t="s">
        <v>27248</v>
      </c>
      <c r="I6892" t="s">
        <v>40625</v>
      </c>
      <c r="J6892" t="s">
        <v>13683</v>
      </c>
      <c r="L6892" t="s">
        <v>27250</v>
      </c>
      <c r="M6892" t="s">
        <v>27251</v>
      </c>
      <c r="N6892" t="s">
        <v>27252</v>
      </c>
      <c r="Q6892" s="1">
        <v>44538</v>
      </c>
      <c r="R6892" t="s">
        <v>27253</v>
      </c>
      <c r="S6892" t="s">
        <v>27254</v>
      </c>
      <c r="T6892" t="s">
        <v>27255</v>
      </c>
    </row>
    <row r="6893" spans="1:20" x14ac:dyDescent="0.3">
      <c r="A6893" t="str">
        <f>"0611863065050"</f>
        <v>0611863065050</v>
      </c>
      <c r="B6893" t="str">
        <f>"CE1649"</f>
        <v>CE1649</v>
      </c>
      <c r="C6893" t="s">
        <v>40626</v>
      </c>
      <c r="D6893" t="s">
        <v>27923</v>
      </c>
      <c r="E6893" t="str">
        <f t="shared" si="107"/>
        <v>001390</v>
      </c>
      <c r="F6893" t="s">
        <v>27246</v>
      </c>
      <c r="G6893" t="s">
        <v>27247</v>
      </c>
      <c r="H6893" t="s">
        <v>27248</v>
      </c>
      <c r="I6893" t="s">
        <v>40627</v>
      </c>
      <c r="J6893" t="s">
        <v>13685</v>
      </c>
      <c r="L6893" t="s">
        <v>27250</v>
      </c>
      <c r="M6893" t="s">
        <v>27251</v>
      </c>
      <c r="N6893" t="s">
        <v>27252</v>
      </c>
      <c r="P6893" t="s">
        <v>27925</v>
      </c>
      <c r="Q6893" s="1">
        <v>44846</v>
      </c>
      <c r="R6893" t="s">
        <v>27253</v>
      </c>
      <c r="S6893" t="s">
        <v>27254</v>
      </c>
      <c r="T6893" t="s">
        <v>27265</v>
      </c>
    </row>
    <row r="6894" spans="1:20" x14ac:dyDescent="0.3">
      <c r="A6894" t="str">
        <f>"0611863066050"</f>
        <v>0611863066050</v>
      </c>
      <c r="B6894" t="str">
        <f>"CE0445"</f>
        <v>CE0445</v>
      </c>
      <c r="C6894" t="s">
        <v>40628</v>
      </c>
      <c r="D6894" t="s">
        <v>27923</v>
      </c>
      <c r="E6894" t="str">
        <f t="shared" si="107"/>
        <v>001390</v>
      </c>
      <c r="F6894" t="s">
        <v>27246</v>
      </c>
      <c r="G6894" t="s">
        <v>27247</v>
      </c>
      <c r="H6894" t="s">
        <v>27248</v>
      </c>
      <c r="I6894" t="s">
        <v>40629</v>
      </c>
      <c r="J6894" t="s">
        <v>13687</v>
      </c>
      <c r="L6894" t="s">
        <v>27250</v>
      </c>
      <c r="M6894" t="s">
        <v>27251</v>
      </c>
      <c r="N6894" t="s">
        <v>27252</v>
      </c>
      <c r="P6894" t="s">
        <v>27925</v>
      </c>
      <c r="Q6894" s="1">
        <v>44846</v>
      </c>
      <c r="R6894" t="s">
        <v>27253</v>
      </c>
      <c r="S6894" t="s">
        <v>27254</v>
      </c>
      <c r="T6894" t="s">
        <v>27265</v>
      </c>
    </row>
    <row r="6895" spans="1:20" x14ac:dyDescent="0.3">
      <c r="A6895" t="str">
        <f>"0611863067050"</f>
        <v>0611863067050</v>
      </c>
      <c r="B6895" t="str">
        <f>"CE0446"</f>
        <v>CE0446</v>
      </c>
      <c r="C6895" t="s">
        <v>40630</v>
      </c>
      <c r="D6895" t="s">
        <v>27923</v>
      </c>
      <c r="E6895" t="str">
        <f t="shared" si="107"/>
        <v>001390</v>
      </c>
      <c r="F6895" t="s">
        <v>27246</v>
      </c>
      <c r="G6895" t="s">
        <v>27247</v>
      </c>
      <c r="H6895" t="s">
        <v>27248</v>
      </c>
      <c r="I6895" t="s">
        <v>40631</v>
      </c>
      <c r="J6895" t="s">
        <v>13689</v>
      </c>
      <c r="L6895" t="s">
        <v>27250</v>
      </c>
      <c r="M6895" t="s">
        <v>27251</v>
      </c>
      <c r="N6895" t="s">
        <v>27252</v>
      </c>
      <c r="O6895">
        <v>250</v>
      </c>
      <c r="P6895" t="s">
        <v>27925</v>
      </c>
      <c r="Q6895" s="1">
        <v>44846</v>
      </c>
      <c r="R6895" t="s">
        <v>27253</v>
      </c>
      <c r="S6895" t="s">
        <v>27254</v>
      </c>
      <c r="T6895" t="s">
        <v>27265</v>
      </c>
    </row>
    <row r="6896" spans="1:20" x14ac:dyDescent="0.3">
      <c r="A6896" t="str">
        <f>"0611863068050"</f>
        <v>0611863068050</v>
      </c>
      <c r="B6896" t="str">
        <f>"CE1636"</f>
        <v>CE1636</v>
      </c>
      <c r="C6896" t="s">
        <v>40632</v>
      </c>
      <c r="D6896" t="s">
        <v>27923</v>
      </c>
      <c r="E6896" t="str">
        <f t="shared" si="107"/>
        <v>001390</v>
      </c>
      <c r="F6896" t="s">
        <v>27246</v>
      </c>
      <c r="G6896" t="s">
        <v>27247</v>
      </c>
      <c r="H6896" t="s">
        <v>27248</v>
      </c>
      <c r="I6896" t="s">
        <v>40633</v>
      </c>
      <c r="J6896" t="s">
        <v>13691</v>
      </c>
      <c r="L6896" t="s">
        <v>27250</v>
      </c>
      <c r="M6896" t="s">
        <v>27251</v>
      </c>
      <c r="N6896" t="s">
        <v>27252</v>
      </c>
      <c r="P6896" t="s">
        <v>27925</v>
      </c>
      <c r="Q6896" s="1">
        <v>44846</v>
      </c>
      <c r="R6896" t="s">
        <v>27253</v>
      </c>
      <c r="S6896" t="s">
        <v>27254</v>
      </c>
      <c r="T6896" t="s">
        <v>27265</v>
      </c>
    </row>
    <row r="6897" spans="1:20" x14ac:dyDescent="0.3">
      <c r="A6897" t="str">
        <f>"0611863069050"</f>
        <v>0611863069050</v>
      </c>
      <c r="B6897" t="str">
        <f>"CE0447"</f>
        <v>CE0447</v>
      </c>
      <c r="C6897" t="s">
        <v>40634</v>
      </c>
      <c r="D6897" t="s">
        <v>27923</v>
      </c>
      <c r="E6897" t="str">
        <f t="shared" si="107"/>
        <v>001390</v>
      </c>
      <c r="F6897" t="s">
        <v>27246</v>
      </c>
      <c r="G6897" t="s">
        <v>27247</v>
      </c>
      <c r="H6897" t="s">
        <v>27248</v>
      </c>
      <c r="I6897" t="s">
        <v>40635</v>
      </c>
      <c r="J6897" t="s">
        <v>13693</v>
      </c>
      <c r="L6897" t="s">
        <v>27250</v>
      </c>
      <c r="M6897" t="s">
        <v>27251</v>
      </c>
      <c r="N6897" t="s">
        <v>27252</v>
      </c>
      <c r="P6897" t="s">
        <v>27925</v>
      </c>
      <c r="Q6897" s="1">
        <v>44846</v>
      </c>
      <c r="R6897" t="s">
        <v>27253</v>
      </c>
      <c r="S6897" t="s">
        <v>27254</v>
      </c>
      <c r="T6897" t="s">
        <v>27265</v>
      </c>
    </row>
    <row r="6898" spans="1:20" x14ac:dyDescent="0.3">
      <c r="A6898" t="str">
        <f>"0611863070050"</f>
        <v>0611863070050</v>
      </c>
      <c r="B6898" t="str">
        <f>"CE1348"</f>
        <v>CE1348</v>
      </c>
      <c r="C6898" t="s">
        <v>40636</v>
      </c>
      <c r="D6898" t="s">
        <v>27923</v>
      </c>
      <c r="E6898" t="str">
        <f t="shared" si="107"/>
        <v>001390</v>
      </c>
      <c r="F6898" t="s">
        <v>27246</v>
      </c>
      <c r="G6898" t="s">
        <v>27247</v>
      </c>
      <c r="H6898" t="s">
        <v>27248</v>
      </c>
      <c r="I6898" t="s">
        <v>40637</v>
      </c>
      <c r="J6898" t="s">
        <v>13695</v>
      </c>
      <c r="L6898" t="s">
        <v>27250</v>
      </c>
      <c r="M6898" t="s">
        <v>27251</v>
      </c>
      <c r="N6898" t="s">
        <v>27252</v>
      </c>
      <c r="P6898" t="s">
        <v>27925</v>
      </c>
      <c r="Q6898" s="1">
        <v>44846</v>
      </c>
      <c r="R6898" t="s">
        <v>27253</v>
      </c>
      <c r="S6898" t="s">
        <v>27254</v>
      </c>
      <c r="T6898" t="s">
        <v>27265</v>
      </c>
    </row>
    <row r="6899" spans="1:20" x14ac:dyDescent="0.3">
      <c r="A6899" t="str">
        <f>"0611863071050"</f>
        <v>0611863071050</v>
      </c>
      <c r="B6899" t="str">
        <f>"CE0824"</f>
        <v>CE0824</v>
      </c>
      <c r="C6899" t="s">
        <v>40638</v>
      </c>
      <c r="D6899" t="s">
        <v>27923</v>
      </c>
      <c r="E6899" t="str">
        <f t="shared" si="107"/>
        <v>001390</v>
      </c>
      <c r="F6899" t="s">
        <v>27246</v>
      </c>
      <c r="G6899" t="s">
        <v>27247</v>
      </c>
      <c r="H6899" t="s">
        <v>27248</v>
      </c>
      <c r="I6899" t="s">
        <v>40639</v>
      </c>
      <c r="J6899" t="s">
        <v>13697</v>
      </c>
      <c r="L6899" t="s">
        <v>27250</v>
      </c>
      <c r="M6899" t="s">
        <v>27251</v>
      </c>
      <c r="N6899" t="s">
        <v>27252</v>
      </c>
      <c r="P6899" t="s">
        <v>27925</v>
      </c>
      <c r="Q6899" s="1">
        <v>44846</v>
      </c>
      <c r="R6899" t="s">
        <v>27253</v>
      </c>
      <c r="S6899" t="s">
        <v>27254</v>
      </c>
      <c r="T6899" t="s">
        <v>27265</v>
      </c>
    </row>
    <row r="6900" spans="1:20" x14ac:dyDescent="0.3">
      <c r="A6900" t="str">
        <f>"0611863072050"</f>
        <v>0611863072050</v>
      </c>
      <c r="B6900" t="str">
        <f>"CE0449"</f>
        <v>CE0449</v>
      </c>
      <c r="C6900" t="s">
        <v>40640</v>
      </c>
      <c r="D6900" t="s">
        <v>27923</v>
      </c>
      <c r="E6900" t="str">
        <f t="shared" si="107"/>
        <v>001390</v>
      </c>
      <c r="F6900" t="s">
        <v>27246</v>
      </c>
      <c r="G6900" t="s">
        <v>27247</v>
      </c>
      <c r="H6900" t="s">
        <v>27248</v>
      </c>
      <c r="I6900" t="s">
        <v>40641</v>
      </c>
      <c r="J6900" t="s">
        <v>13699</v>
      </c>
      <c r="L6900" t="s">
        <v>27250</v>
      </c>
      <c r="M6900" t="s">
        <v>27251</v>
      </c>
      <c r="N6900" t="s">
        <v>27252</v>
      </c>
      <c r="P6900" t="s">
        <v>27925</v>
      </c>
      <c r="Q6900" s="1">
        <v>44846</v>
      </c>
      <c r="R6900" t="s">
        <v>27253</v>
      </c>
      <c r="S6900" t="s">
        <v>27254</v>
      </c>
      <c r="T6900" t="s">
        <v>27265</v>
      </c>
    </row>
    <row r="6901" spans="1:20" x14ac:dyDescent="0.3">
      <c r="A6901" t="str">
        <f>"0611863073050"</f>
        <v>0611863073050</v>
      </c>
      <c r="B6901" t="str">
        <f>"CE0450"</f>
        <v>CE0450</v>
      </c>
      <c r="C6901" t="s">
        <v>40642</v>
      </c>
      <c r="D6901" t="s">
        <v>27923</v>
      </c>
      <c r="E6901" t="str">
        <f t="shared" si="107"/>
        <v>001390</v>
      </c>
      <c r="F6901" t="s">
        <v>27246</v>
      </c>
      <c r="G6901" t="s">
        <v>27247</v>
      </c>
      <c r="H6901" t="s">
        <v>27248</v>
      </c>
      <c r="I6901" t="s">
        <v>40643</v>
      </c>
      <c r="J6901" t="s">
        <v>13701</v>
      </c>
      <c r="L6901" t="s">
        <v>27250</v>
      </c>
      <c r="M6901" t="s">
        <v>27251</v>
      </c>
      <c r="N6901" t="s">
        <v>27252</v>
      </c>
      <c r="P6901" t="s">
        <v>27925</v>
      </c>
      <c r="Q6901" s="1">
        <v>44846</v>
      </c>
      <c r="R6901" t="s">
        <v>27253</v>
      </c>
      <c r="S6901" t="s">
        <v>27254</v>
      </c>
      <c r="T6901" t="s">
        <v>27265</v>
      </c>
    </row>
    <row r="6902" spans="1:20" x14ac:dyDescent="0.3">
      <c r="A6902" t="str">
        <f>"0611863074050"</f>
        <v>0611863074050</v>
      </c>
      <c r="B6902" t="str">
        <f>"CE0451"</f>
        <v>CE0451</v>
      </c>
      <c r="C6902" t="s">
        <v>40644</v>
      </c>
      <c r="D6902" t="s">
        <v>27923</v>
      </c>
      <c r="E6902" t="str">
        <f t="shared" si="107"/>
        <v>001390</v>
      </c>
      <c r="F6902" t="s">
        <v>27246</v>
      </c>
      <c r="G6902" t="s">
        <v>27247</v>
      </c>
      <c r="H6902" t="s">
        <v>27248</v>
      </c>
      <c r="I6902" t="s">
        <v>40645</v>
      </c>
      <c r="J6902" t="s">
        <v>13703</v>
      </c>
      <c r="L6902" t="s">
        <v>27250</v>
      </c>
      <c r="M6902" t="s">
        <v>27251</v>
      </c>
      <c r="N6902" t="s">
        <v>27252</v>
      </c>
      <c r="O6902">
        <v>50</v>
      </c>
      <c r="P6902" t="s">
        <v>27925</v>
      </c>
      <c r="Q6902" s="1">
        <v>44846</v>
      </c>
      <c r="R6902" t="s">
        <v>27253</v>
      </c>
      <c r="S6902" t="s">
        <v>27254</v>
      </c>
      <c r="T6902" t="s">
        <v>27265</v>
      </c>
    </row>
    <row r="6903" spans="1:20" x14ac:dyDescent="0.3">
      <c r="A6903" t="str">
        <f>"0611863075050"</f>
        <v>0611863075050</v>
      </c>
      <c r="B6903" t="str">
        <f>"CE0452"</f>
        <v>CE0452</v>
      </c>
      <c r="C6903" t="s">
        <v>40646</v>
      </c>
      <c r="D6903" t="s">
        <v>27923</v>
      </c>
      <c r="E6903" t="str">
        <f t="shared" si="107"/>
        <v>001390</v>
      </c>
      <c r="F6903" t="s">
        <v>27246</v>
      </c>
      <c r="G6903" t="s">
        <v>27247</v>
      </c>
      <c r="H6903" t="s">
        <v>27248</v>
      </c>
      <c r="I6903" t="s">
        <v>40647</v>
      </c>
      <c r="J6903" t="s">
        <v>13705</v>
      </c>
      <c r="L6903" t="s">
        <v>27250</v>
      </c>
      <c r="M6903" t="s">
        <v>27251</v>
      </c>
      <c r="N6903" t="s">
        <v>27252</v>
      </c>
      <c r="P6903" t="s">
        <v>27925</v>
      </c>
      <c r="Q6903" s="1">
        <v>44846</v>
      </c>
      <c r="R6903" t="s">
        <v>27253</v>
      </c>
      <c r="S6903" t="s">
        <v>27254</v>
      </c>
      <c r="T6903" t="s">
        <v>27265</v>
      </c>
    </row>
    <row r="6904" spans="1:20" x14ac:dyDescent="0.3">
      <c r="A6904" t="str">
        <f>"0611863076050"</f>
        <v>0611863076050</v>
      </c>
      <c r="B6904" t="str">
        <f>"CE0454"</f>
        <v>CE0454</v>
      </c>
      <c r="C6904" t="s">
        <v>40648</v>
      </c>
      <c r="D6904" t="s">
        <v>27923</v>
      </c>
      <c r="E6904" t="str">
        <f t="shared" si="107"/>
        <v>001390</v>
      </c>
      <c r="F6904" t="s">
        <v>27246</v>
      </c>
      <c r="G6904" t="s">
        <v>27247</v>
      </c>
      <c r="H6904" t="s">
        <v>27248</v>
      </c>
      <c r="I6904" t="s">
        <v>40649</v>
      </c>
      <c r="J6904" t="s">
        <v>13707</v>
      </c>
      <c r="L6904" t="s">
        <v>27250</v>
      </c>
      <c r="M6904" t="s">
        <v>27251</v>
      </c>
      <c r="N6904" t="s">
        <v>27252</v>
      </c>
      <c r="P6904" t="s">
        <v>27925</v>
      </c>
      <c r="Q6904" s="1">
        <v>44846</v>
      </c>
      <c r="R6904" t="s">
        <v>27253</v>
      </c>
      <c r="S6904" t="s">
        <v>27254</v>
      </c>
      <c r="T6904" t="s">
        <v>27265</v>
      </c>
    </row>
    <row r="6905" spans="1:20" x14ac:dyDescent="0.3">
      <c r="A6905" t="str">
        <f>"0611863078050"</f>
        <v>0611863078050</v>
      </c>
      <c r="B6905" t="str">
        <f>"CE1445"</f>
        <v>CE1445</v>
      </c>
      <c r="C6905" t="s">
        <v>40650</v>
      </c>
      <c r="D6905" t="s">
        <v>27923</v>
      </c>
      <c r="E6905" t="str">
        <f t="shared" si="107"/>
        <v>001390</v>
      </c>
      <c r="F6905" t="s">
        <v>27246</v>
      </c>
      <c r="G6905" t="s">
        <v>27247</v>
      </c>
      <c r="H6905" t="s">
        <v>27248</v>
      </c>
      <c r="I6905" t="s">
        <v>40651</v>
      </c>
      <c r="J6905" t="s">
        <v>13709</v>
      </c>
      <c r="L6905" t="s">
        <v>27250</v>
      </c>
      <c r="M6905" t="s">
        <v>27251</v>
      </c>
      <c r="N6905" t="s">
        <v>27252</v>
      </c>
      <c r="P6905" t="s">
        <v>27925</v>
      </c>
      <c r="Q6905" s="1">
        <v>44846</v>
      </c>
      <c r="R6905" t="s">
        <v>27253</v>
      </c>
      <c r="S6905" t="s">
        <v>27254</v>
      </c>
      <c r="T6905" t="s">
        <v>27265</v>
      </c>
    </row>
    <row r="6906" spans="1:20" x14ac:dyDescent="0.3">
      <c r="A6906" t="str">
        <f>"0611863080050"</f>
        <v>0611863080050</v>
      </c>
      <c r="B6906" t="str">
        <f>"CE1650"</f>
        <v>CE1650</v>
      </c>
      <c r="C6906" t="s">
        <v>40652</v>
      </c>
      <c r="D6906" t="s">
        <v>27923</v>
      </c>
      <c r="E6906" t="str">
        <f t="shared" si="107"/>
        <v>001390</v>
      </c>
      <c r="F6906" t="s">
        <v>27246</v>
      </c>
      <c r="G6906" t="s">
        <v>27247</v>
      </c>
      <c r="H6906" t="s">
        <v>27248</v>
      </c>
      <c r="I6906" t="s">
        <v>40653</v>
      </c>
      <c r="J6906" t="s">
        <v>13711</v>
      </c>
      <c r="L6906" t="s">
        <v>27250</v>
      </c>
      <c r="M6906" t="s">
        <v>27251</v>
      </c>
      <c r="N6906" t="s">
        <v>27252</v>
      </c>
      <c r="P6906" t="s">
        <v>27925</v>
      </c>
      <c r="Q6906" s="1">
        <v>44846</v>
      </c>
      <c r="R6906" t="s">
        <v>27253</v>
      </c>
      <c r="S6906" t="s">
        <v>27254</v>
      </c>
      <c r="T6906" t="s">
        <v>27265</v>
      </c>
    </row>
    <row r="6907" spans="1:20" x14ac:dyDescent="0.3">
      <c r="A6907" t="str">
        <f>"0611863081050"</f>
        <v>0611863081050</v>
      </c>
      <c r="B6907" t="str">
        <f>"CE1207"</f>
        <v>CE1207</v>
      </c>
      <c r="C6907" t="s">
        <v>40654</v>
      </c>
      <c r="D6907" t="s">
        <v>28556</v>
      </c>
      <c r="E6907" t="str">
        <f t="shared" si="107"/>
        <v>001390</v>
      </c>
      <c r="F6907" t="s">
        <v>27246</v>
      </c>
      <c r="G6907" t="s">
        <v>27247</v>
      </c>
      <c r="H6907" t="s">
        <v>27248</v>
      </c>
      <c r="I6907" t="s">
        <v>40655</v>
      </c>
      <c r="J6907" t="s">
        <v>13713</v>
      </c>
      <c r="L6907" t="s">
        <v>27250</v>
      </c>
      <c r="M6907" t="s">
        <v>27251</v>
      </c>
      <c r="N6907" t="s">
        <v>27252</v>
      </c>
      <c r="P6907" t="s">
        <v>27925</v>
      </c>
      <c r="Q6907" s="1">
        <v>44846</v>
      </c>
      <c r="R6907" t="s">
        <v>27253</v>
      </c>
      <c r="S6907" t="s">
        <v>27254</v>
      </c>
      <c r="T6907" t="s">
        <v>28378</v>
      </c>
    </row>
    <row r="6908" spans="1:20" x14ac:dyDescent="0.3">
      <c r="A6908" t="str">
        <f>"0611863082050"</f>
        <v>0611863082050</v>
      </c>
      <c r="B6908" t="str">
        <f>"CE0455"</f>
        <v>CE0455</v>
      </c>
      <c r="C6908" t="s">
        <v>40656</v>
      </c>
      <c r="D6908" t="s">
        <v>27923</v>
      </c>
      <c r="E6908" t="str">
        <f t="shared" si="107"/>
        <v>001390</v>
      </c>
      <c r="F6908" t="s">
        <v>27246</v>
      </c>
      <c r="G6908" t="s">
        <v>27247</v>
      </c>
      <c r="H6908" t="s">
        <v>27248</v>
      </c>
      <c r="I6908" t="s">
        <v>40657</v>
      </c>
      <c r="J6908" t="s">
        <v>13715</v>
      </c>
      <c r="L6908" t="s">
        <v>27250</v>
      </c>
      <c r="M6908" t="s">
        <v>27251</v>
      </c>
      <c r="N6908" t="s">
        <v>27252</v>
      </c>
      <c r="P6908" t="s">
        <v>27925</v>
      </c>
      <c r="Q6908" s="1">
        <v>44846</v>
      </c>
      <c r="R6908" t="s">
        <v>27253</v>
      </c>
      <c r="S6908" t="s">
        <v>27254</v>
      </c>
      <c r="T6908" t="s">
        <v>27265</v>
      </c>
    </row>
    <row r="6909" spans="1:20" x14ac:dyDescent="0.3">
      <c r="A6909" t="str">
        <f>"0611863083050"</f>
        <v>0611863083050</v>
      </c>
      <c r="B6909" t="str">
        <f>"CE0456"</f>
        <v>CE0456</v>
      </c>
      <c r="C6909" t="s">
        <v>40658</v>
      </c>
      <c r="D6909" t="s">
        <v>27923</v>
      </c>
      <c r="E6909" t="str">
        <f t="shared" si="107"/>
        <v>001390</v>
      </c>
      <c r="F6909" t="s">
        <v>27246</v>
      </c>
      <c r="G6909" t="s">
        <v>27247</v>
      </c>
      <c r="H6909" t="s">
        <v>27248</v>
      </c>
      <c r="I6909" t="s">
        <v>40659</v>
      </c>
      <c r="J6909" t="s">
        <v>13717</v>
      </c>
      <c r="L6909" t="s">
        <v>27250</v>
      </c>
      <c r="M6909" t="s">
        <v>27251</v>
      </c>
      <c r="N6909" t="s">
        <v>27252</v>
      </c>
      <c r="P6909" t="s">
        <v>27925</v>
      </c>
      <c r="Q6909" s="1">
        <v>44846</v>
      </c>
      <c r="R6909" t="s">
        <v>27253</v>
      </c>
      <c r="S6909" t="s">
        <v>27254</v>
      </c>
      <c r="T6909" t="s">
        <v>27265</v>
      </c>
    </row>
    <row r="6910" spans="1:20" x14ac:dyDescent="0.3">
      <c r="A6910" t="str">
        <f>"0611863084050"</f>
        <v>0611863084050</v>
      </c>
      <c r="B6910" t="str">
        <f>"CE0457"</f>
        <v>CE0457</v>
      </c>
      <c r="C6910" t="s">
        <v>40660</v>
      </c>
      <c r="D6910" t="s">
        <v>27923</v>
      </c>
      <c r="E6910" t="str">
        <f t="shared" si="107"/>
        <v>001390</v>
      </c>
      <c r="F6910" t="s">
        <v>27246</v>
      </c>
      <c r="G6910" t="s">
        <v>27247</v>
      </c>
      <c r="H6910" t="s">
        <v>27248</v>
      </c>
      <c r="I6910" t="s">
        <v>40661</v>
      </c>
      <c r="J6910" t="s">
        <v>13719</v>
      </c>
      <c r="L6910" t="s">
        <v>27250</v>
      </c>
      <c r="M6910" t="s">
        <v>27251</v>
      </c>
      <c r="N6910" t="s">
        <v>27252</v>
      </c>
      <c r="P6910" t="s">
        <v>27925</v>
      </c>
      <c r="Q6910" s="1">
        <v>44846</v>
      </c>
      <c r="R6910" t="s">
        <v>27253</v>
      </c>
      <c r="S6910" t="s">
        <v>27254</v>
      </c>
      <c r="T6910" t="s">
        <v>27265</v>
      </c>
    </row>
    <row r="6911" spans="1:20" x14ac:dyDescent="0.3">
      <c r="A6911" t="str">
        <f>"0611863085050"</f>
        <v>0611863085050</v>
      </c>
      <c r="B6911" t="str">
        <f>"CE1630"</f>
        <v>CE1630</v>
      </c>
      <c r="C6911" t="s">
        <v>40662</v>
      </c>
      <c r="D6911" t="s">
        <v>27923</v>
      </c>
      <c r="E6911" t="str">
        <f t="shared" si="107"/>
        <v>001390</v>
      </c>
      <c r="F6911" t="s">
        <v>27246</v>
      </c>
      <c r="G6911" t="s">
        <v>27247</v>
      </c>
      <c r="H6911" t="s">
        <v>27248</v>
      </c>
      <c r="I6911" t="s">
        <v>40663</v>
      </c>
      <c r="J6911" t="s">
        <v>13721</v>
      </c>
      <c r="L6911" t="s">
        <v>27250</v>
      </c>
      <c r="M6911" t="s">
        <v>27251</v>
      </c>
      <c r="N6911" t="s">
        <v>27252</v>
      </c>
      <c r="P6911" t="s">
        <v>27925</v>
      </c>
      <c r="Q6911" s="1">
        <v>44846</v>
      </c>
      <c r="R6911" t="s">
        <v>27253</v>
      </c>
      <c r="S6911" t="s">
        <v>27254</v>
      </c>
      <c r="T6911" t="s">
        <v>27265</v>
      </c>
    </row>
    <row r="6912" spans="1:20" x14ac:dyDescent="0.3">
      <c r="A6912" t="str">
        <f>"0611863086050"</f>
        <v>0611863086050</v>
      </c>
      <c r="B6912" t="str">
        <f>"CE1349"</f>
        <v>CE1349</v>
      </c>
      <c r="C6912" t="s">
        <v>40664</v>
      </c>
      <c r="D6912" t="s">
        <v>27923</v>
      </c>
      <c r="E6912" t="str">
        <f t="shared" si="107"/>
        <v>001390</v>
      </c>
      <c r="F6912" t="s">
        <v>27246</v>
      </c>
      <c r="G6912" t="s">
        <v>27247</v>
      </c>
      <c r="H6912" t="s">
        <v>27248</v>
      </c>
      <c r="I6912" t="s">
        <v>40665</v>
      </c>
      <c r="J6912" t="s">
        <v>13723</v>
      </c>
      <c r="L6912" t="s">
        <v>27250</v>
      </c>
      <c r="M6912" t="s">
        <v>27251</v>
      </c>
      <c r="N6912" t="s">
        <v>27252</v>
      </c>
      <c r="P6912" t="s">
        <v>27925</v>
      </c>
      <c r="Q6912" s="1">
        <v>44846</v>
      </c>
      <c r="R6912" t="s">
        <v>27253</v>
      </c>
      <c r="S6912" t="s">
        <v>27254</v>
      </c>
      <c r="T6912" t="s">
        <v>27265</v>
      </c>
    </row>
    <row r="6913" spans="1:20" x14ac:dyDescent="0.3">
      <c r="A6913" t="str">
        <f>"0611863087050"</f>
        <v>0611863087050</v>
      </c>
      <c r="B6913" t="str">
        <f>"CE1350"</f>
        <v>CE1350</v>
      </c>
      <c r="C6913" t="s">
        <v>40666</v>
      </c>
      <c r="D6913" t="s">
        <v>27923</v>
      </c>
      <c r="E6913" t="str">
        <f t="shared" si="107"/>
        <v>001390</v>
      </c>
      <c r="F6913" t="s">
        <v>27246</v>
      </c>
      <c r="G6913" t="s">
        <v>27247</v>
      </c>
      <c r="H6913" t="s">
        <v>27248</v>
      </c>
      <c r="I6913" t="s">
        <v>40667</v>
      </c>
      <c r="J6913" t="s">
        <v>13725</v>
      </c>
      <c r="L6913" t="s">
        <v>27250</v>
      </c>
      <c r="M6913" t="s">
        <v>27251</v>
      </c>
      <c r="N6913" t="s">
        <v>27252</v>
      </c>
      <c r="P6913" t="s">
        <v>27925</v>
      </c>
      <c r="Q6913" s="1">
        <v>44846</v>
      </c>
      <c r="R6913" t="s">
        <v>27253</v>
      </c>
      <c r="S6913" t="s">
        <v>27254</v>
      </c>
      <c r="T6913" t="s">
        <v>27265</v>
      </c>
    </row>
    <row r="6914" spans="1:20" x14ac:dyDescent="0.3">
      <c r="A6914" t="str">
        <f>"0611863088050"</f>
        <v>0611863088050</v>
      </c>
      <c r="B6914" t="str">
        <f>"CE1351"</f>
        <v>CE1351</v>
      </c>
      <c r="C6914" t="s">
        <v>40668</v>
      </c>
      <c r="D6914" t="s">
        <v>27923</v>
      </c>
      <c r="E6914" t="str">
        <f t="shared" ref="E6914:E6977" si="108">"001390"</f>
        <v>001390</v>
      </c>
      <c r="F6914" t="s">
        <v>27246</v>
      </c>
      <c r="G6914" t="s">
        <v>27247</v>
      </c>
      <c r="H6914" t="s">
        <v>27248</v>
      </c>
      <c r="I6914" t="s">
        <v>40669</v>
      </c>
      <c r="J6914" t="s">
        <v>13727</v>
      </c>
      <c r="L6914" t="s">
        <v>27250</v>
      </c>
      <c r="M6914" t="s">
        <v>27251</v>
      </c>
      <c r="N6914" t="s">
        <v>27252</v>
      </c>
      <c r="P6914" t="s">
        <v>27925</v>
      </c>
      <c r="Q6914" s="1">
        <v>44846</v>
      </c>
      <c r="R6914" t="s">
        <v>27253</v>
      </c>
      <c r="S6914" t="s">
        <v>27254</v>
      </c>
      <c r="T6914" t="s">
        <v>27265</v>
      </c>
    </row>
    <row r="6915" spans="1:20" x14ac:dyDescent="0.3">
      <c r="A6915" t="str">
        <f>"0611884281050"</f>
        <v>0611884281050</v>
      </c>
      <c r="B6915" t="str">
        <f>"CE1746"</f>
        <v>CE1746</v>
      </c>
      <c r="C6915" t="s">
        <v>40670</v>
      </c>
      <c r="D6915" t="s">
        <v>27923</v>
      </c>
      <c r="E6915" t="str">
        <f t="shared" si="108"/>
        <v>001390</v>
      </c>
      <c r="F6915" t="s">
        <v>27246</v>
      </c>
      <c r="G6915" t="s">
        <v>27247</v>
      </c>
      <c r="H6915" t="s">
        <v>27248</v>
      </c>
      <c r="I6915" t="s">
        <v>40671</v>
      </c>
      <c r="J6915" t="s">
        <v>13729</v>
      </c>
      <c r="L6915" t="s">
        <v>27430</v>
      </c>
      <c r="M6915" t="s">
        <v>27251</v>
      </c>
      <c r="N6915" t="s">
        <v>27252</v>
      </c>
      <c r="P6915" t="s">
        <v>27925</v>
      </c>
      <c r="Q6915" s="1">
        <v>45250</v>
      </c>
      <c r="R6915" t="s">
        <v>27253</v>
      </c>
      <c r="S6915" t="s">
        <v>27254</v>
      </c>
      <c r="T6915" t="s">
        <v>27265</v>
      </c>
    </row>
    <row r="6916" spans="1:20" x14ac:dyDescent="0.3">
      <c r="A6916" t="str">
        <f>"0611863089050"</f>
        <v>0611863089050</v>
      </c>
      <c r="B6916" t="str">
        <f>"CE1651"</f>
        <v>CE1651</v>
      </c>
      <c r="C6916" t="s">
        <v>40672</v>
      </c>
      <c r="D6916" t="s">
        <v>27923</v>
      </c>
      <c r="E6916" t="str">
        <f t="shared" si="108"/>
        <v>001390</v>
      </c>
      <c r="F6916" t="s">
        <v>27246</v>
      </c>
      <c r="G6916" t="s">
        <v>27247</v>
      </c>
      <c r="H6916" t="s">
        <v>27248</v>
      </c>
      <c r="I6916" t="s">
        <v>40673</v>
      </c>
      <c r="J6916" t="s">
        <v>13731</v>
      </c>
      <c r="L6916" t="s">
        <v>27250</v>
      </c>
      <c r="M6916" t="s">
        <v>27251</v>
      </c>
      <c r="N6916" t="s">
        <v>27252</v>
      </c>
      <c r="P6916" t="s">
        <v>27925</v>
      </c>
      <c r="Q6916" s="1">
        <v>44846</v>
      </c>
      <c r="R6916" t="s">
        <v>27253</v>
      </c>
      <c r="S6916" t="s">
        <v>27254</v>
      </c>
      <c r="T6916" t="s">
        <v>27265</v>
      </c>
    </row>
    <row r="6917" spans="1:20" x14ac:dyDescent="0.3">
      <c r="A6917" t="str">
        <f>"0611863090050"</f>
        <v>0611863090050</v>
      </c>
      <c r="B6917" t="str">
        <f>"CE1278"</f>
        <v>CE1278</v>
      </c>
      <c r="C6917" t="s">
        <v>40674</v>
      </c>
      <c r="D6917" t="s">
        <v>27923</v>
      </c>
      <c r="E6917" t="str">
        <f t="shared" si="108"/>
        <v>001390</v>
      </c>
      <c r="F6917" t="s">
        <v>27246</v>
      </c>
      <c r="G6917" t="s">
        <v>27247</v>
      </c>
      <c r="H6917" t="s">
        <v>27248</v>
      </c>
      <c r="I6917" t="s">
        <v>40675</v>
      </c>
      <c r="J6917" t="s">
        <v>13733</v>
      </c>
      <c r="L6917" t="s">
        <v>27250</v>
      </c>
      <c r="M6917" t="s">
        <v>27251</v>
      </c>
      <c r="N6917" t="s">
        <v>27252</v>
      </c>
      <c r="P6917" t="s">
        <v>27925</v>
      </c>
      <c r="Q6917" s="1">
        <v>44846</v>
      </c>
      <c r="R6917" t="s">
        <v>27253</v>
      </c>
      <c r="S6917" t="s">
        <v>27254</v>
      </c>
      <c r="T6917" t="s">
        <v>27265</v>
      </c>
    </row>
    <row r="6918" spans="1:20" x14ac:dyDescent="0.3">
      <c r="A6918" t="str">
        <f>"0611863091050"</f>
        <v>0611863091050</v>
      </c>
      <c r="B6918" t="str">
        <f>"CE1352"</f>
        <v>CE1352</v>
      </c>
      <c r="C6918" t="s">
        <v>40676</v>
      </c>
      <c r="D6918" t="s">
        <v>27923</v>
      </c>
      <c r="E6918" t="str">
        <f t="shared" si="108"/>
        <v>001390</v>
      </c>
      <c r="F6918" t="s">
        <v>27246</v>
      </c>
      <c r="G6918" t="s">
        <v>27247</v>
      </c>
      <c r="H6918" t="s">
        <v>27248</v>
      </c>
      <c r="I6918" t="s">
        <v>40677</v>
      </c>
      <c r="J6918" t="s">
        <v>13735</v>
      </c>
      <c r="L6918" t="s">
        <v>27250</v>
      </c>
      <c r="M6918" t="s">
        <v>27251</v>
      </c>
      <c r="N6918" t="s">
        <v>27252</v>
      </c>
      <c r="P6918" t="s">
        <v>27925</v>
      </c>
      <c r="Q6918" s="1">
        <v>44846</v>
      </c>
      <c r="R6918" t="s">
        <v>27253</v>
      </c>
      <c r="S6918" t="s">
        <v>27254</v>
      </c>
      <c r="T6918" t="s">
        <v>27265</v>
      </c>
    </row>
    <row r="6919" spans="1:20" x14ac:dyDescent="0.3">
      <c r="A6919" t="str">
        <f>"0611863092050"</f>
        <v>0611863092050</v>
      </c>
      <c r="B6919" t="str">
        <f>"CE1353"</f>
        <v>CE1353</v>
      </c>
      <c r="C6919" t="s">
        <v>40678</v>
      </c>
      <c r="D6919" t="s">
        <v>27923</v>
      </c>
      <c r="E6919" t="str">
        <f t="shared" si="108"/>
        <v>001390</v>
      </c>
      <c r="F6919" t="s">
        <v>27246</v>
      </c>
      <c r="G6919" t="s">
        <v>27247</v>
      </c>
      <c r="H6919" t="s">
        <v>27248</v>
      </c>
      <c r="I6919" t="s">
        <v>40679</v>
      </c>
      <c r="J6919" t="s">
        <v>13737</v>
      </c>
      <c r="L6919" t="s">
        <v>27250</v>
      </c>
      <c r="M6919" t="s">
        <v>27251</v>
      </c>
      <c r="N6919" t="s">
        <v>27252</v>
      </c>
      <c r="P6919" t="s">
        <v>27925</v>
      </c>
      <c r="Q6919" s="1">
        <v>44846</v>
      </c>
      <c r="R6919" t="s">
        <v>27253</v>
      </c>
      <c r="S6919" t="s">
        <v>27254</v>
      </c>
      <c r="T6919" t="s">
        <v>27265</v>
      </c>
    </row>
    <row r="6920" spans="1:20" x14ac:dyDescent="0.3">
      <c r="A6920" t="str">
        <f>"0611863093050"</f>
        <v>0611863093050</v>
      </c>
      <c r="B6920" t="str">
        <f>"CE1354"</f>
        <v>CE1354</v>
      </c>
      <c r="C6920" t="s">
        <v>40680</v>
      </c>
      <c r="D6920" t="s">
        <v>27923</v>
      </c>
      <c r="E6920" t="str">
        <f t="shared" si="108"/>
        <v>001390</v>
      </c>
      <c r="F6920" t="s">
        <v>27246</v>
      </c>
      <c r="G6920" t="s">
        <v>27247</v>
      </c>
      <c r="H6920" t="s">
        <v>27248</v>
      </c>
      <c r="I6920" t="s">
        <v>40681</v>
      </c>
      <c r="J6920" t="s">
        <v>13739</v>
      </c>
      <c r="L6920" t="s">
        <v>27250</v>
      </c>
      <c r="M6920" t="s">
        <v>27251</v>
      </c>
      <c r="N6920" t="s">
        <v>27252</v>
      </c>
      <c r="P6920" t="s">
        <v>27925</v>
      </c>
      <c r="Q6920" s="1">
        <v>44846</v>
      </c>
      <c r="R6920" t="s">
        <v>27253</v>
      </c>
      <c r="S6920" t="s">
        <v>27254</v>
      </c>
      <c r="T6920" t="s">
        <v>27265</v>
      </c>
    </row>
    <row r="6921" spans="1:20" x14ac:dyDescent="0.3">
      <c r="A6921" t="str">
        <f>"0611863094050"</f>
        <v>0611863094050</v>
      </c>
      <c r="B6921" t="str">
        <f>"CE1652"</f>
        <v>CE1652</v>
      </c>
      <c r="C6921" t="s">
        <v>40682</v>
      </c>
      <c r="D6921" t="s">
        <v>27923</v>
      </c>
      <c r="E6921" t="str">
        <f t="shared" si="108"/>
        <v>001390</v>
      </c>
      <c r="F6921" t="s">
        <v>27246</v>
      </c>
      <c r="G6921" t="s">
        <v>27247</v>
      </c>
      <c r="H6921" t="s">
        <v>27248</v>
      </c>
      <c r="I6921" t="s">
        <v>40683</v>
      </c>
      <c r="J6921" t="s">
        <v>13741</v>
      </c>
      <c r="L6921" t="s">
        <v>27250</v>
      </c>
      <c r="M6921" t="s">
        <v>27251</v>
      </c>
      <c r="N6921" t="s">
        <v>27252</v>
      </c>
      <c r="P6921" t="s">
        <v>27925</v>
      </c>
      <c r="Q6921" s="1">
        <v>44846</v>
      </c>
      <c r="R6921" t="s">
        <v>27253</v>
      </c>
      <c r="S6921" t="s">
        <v>27254</v>
      </c>
      <c r="T6921" t="s">
        <v>27265</v>
      </c>
    </row>
    <row r="6922" spans="1:20" x14ac:dyDescent="0.3">
      <c r="A6922" t="str">
        <f>"0611863095050"</f>
        <v>0611863095050</v>
      </c>
      <c r="B6922" t="str">
        <f>"CE1653"</f>
        <v>CE1653</v>
      </c>
      <c r="C6922" t="s">
        <v>40684</v>
      </c>
      <c r="D6922" t="s">
        <v>27923</v>
      </c>
      <c r="E6922" t="str">
        <f t="shared" si="108"/>
        <v>001390</v>
      </c>
      <c r="F6922" t="s">
        <v>27246</v>
      </c>
      <c r="G6922" t="s">
        <v>27247</v>
      </c>
      <c r="H6922" t="s">
        <v>27248</v>
      </c>
      <c r="I6922" t="s">
        <v>40685</v>
      </c>
      <c r="J6922" t="s">
        <v>13743</v>
      </c>
      <c r="L6922" t="s">
        <v>27250</v>
      </c>
      <c r="M6922" t="s">
        <v>27251</v>
      </c>
      <c r="N6922" t="s">
        <v>27252</v>
      </c>
      <c r="O6922">
        <v>150</v>
      </c>
      <c r="P6922" t="s">
        <v>27925</v>
      </c>
      <c r="Q6922" s="1">
        <v>44846</v>
      </c>
      <c r="R6922" t="s">
        <v>27253</v>
      </c>
      <c r="S6922" t="s">
        <v>27254</v>
      </c>
      <c r="T6922" t="s">
        <v>27265</v>
      </c>
    </row>
    <row r="6923" spans="1:20" x14ac:dyDescent="0.3">
      <c r="A6923" t="str">
        <f>"0611863096050"</f>
        <v>0611863096050</v>
      </c>
      <c r="B6923" t="str">
        <f>"CE1654"</f>
        <v>CE1654</v>
      </c>
      <c r="C6923" t="s">
        <v>40686</v>
      </c>
      <c r="D6923" t="s">
        <v>27923</v>
      </c>
      <c r="E6923" t="str">
        <f t="shared" si="108"/>
        <v>001390</v>
      </c>
      <c r="F6923" t="s">
        <v>27246</v>
      </c>
      <c r="G6923" t="s">
        <v>27247</v>
      </c>
      <c r="H6923" t="s">
        <v>27248</v>
      </c>
      <c r="I6923" t="s">
        <v>40687</v>
      </c>
      <c r="J6923" t="s">
        <v>13745</v>
      </c>
      <c r="L6923" t="s">
        <v>27250</v>
      </c>
      <c r="M6923" t="s">
        <v>27251</v>
      </c>
      <c r="N6923" t="s">
        <v>27252</v>
      </c>
      <c r="O6923">
        <v>150</v>
      </c>
      <c r="P6923" t="s">
        <v>27925</v>
      </c>
      <c r="Q6923" s="1">
        <v>44846</v>
      </c>
      <c r="R6923" t="s">
        <v>27253</v>
      </c>
      <c r="S6923" t="s">
        <v>27254</v>
      </c>
      <c r="T6923" t="s">
        <v>27265</v>
      </c>
    </row>
    <row r="6924" spans="1:20" x14ac:dyDescent="0.3">
      <c r="A6924" t="str">
        <f>"0611863097050"</f>
        <v>0611863097050</v>
      </c>
      <c r="B6924" t="str">
        <f>"CE1655"</f>
        <v>CE1655</v>
      </c>
      <c r="C6924" t="s">
        <v>40688</v>
      </c>
      <c r="D6924" t="s">
        <v>27923</v>
      </c>
      <c r="E6924" t="str">
        <f t="shared" si="108"/>
        <v>001390</v>
      </c>
      <c r="F6924" t="s">
        <v>27246</v>
      </c>
      <c r="G6924" t="s">
        <v>27247</v>
      </c>
      <c r="H6924" t="s">
        <v>27248</v>
      </c>
      <c r="I6924" t="s">
        <v>40689</v>
      </c>
      <c r="J6924" t="s">
        <v>13747</v>
      </c>
      <c r="L6924" t="s">
        <v>27250</v>
      </c>
      <c r="M6924" t="s">
        <v>27251</v>
      </c>
      <c r="N6924" t="s">
        <v>27252</v>
      </c>
      <c r="O6924">
        <v>150</v>
      </c>
      <c r="P6924" t="s">
        <v>27925</v>
      </c>
      <c r="Q6924" s="1">
        <v>44846</v>
      </c>
      <c r="R6924" t="s">
        <v>27253</v>
      </c>
      <c r="S6924" t="s">
        <v>27254</v>
      </c>
      <c r="T6924" t="s">
        <v>27265</v>
      </c>
    </row>
    <row r="6925" spans="1:20" x14ac:dyDescent="0.3">
      <c r="A6925" t="str">
        <f>"0611835994100"</f>
        <v>0611835994100</v>
      </c>
      <c r="B6925" t="str">
        <f>"LB4281"</f>
        <v>LB4281</v>
      </c>
      <c r="C6925" t="s">
        <v>40690</v>
      </c>
      <c r="D6925" t="s">
        <v>27245</v>
      </c>
      <c r="E6925" t="str">
        <f t="shared" si="108"/>
        <v>001390</v>
      </c>
      <c r="F6925" t="s">
        <v>27246</v>
      </c>
      <c r="G6925" t="s">
        <v>27247</v>
      </c>
      <c r="H6925" t="s">
        <v>27248</v>
      </c>
      <c r="I6925" t="s">
        <v>40691</v>
      </c>
      <c r="J6925" t="s">
        <v>13749</v>
      </c>
      <c r="L6925" t="s">
        <v>27250</v>
      </c>
      <c r="M6925" t="s">
        <v>27251</v>
      </c>
      <c r="N6925" t="s">
        <v>27252</v>
      </c>
      <c r="Q6925" s="1">
        <v>44538</v>
      </c>
      <c r="R6925" t="s">
        <v>27253</v>
      </c>
      <c r="S6925" t="s">
        <v>27254</v>
      </c>
      <c r="T6925" t="s">
        <v>27255</v>
      </c>
    </row>
    <row r="6926" spans="1:20" x14ac:dyDescent="0.3">
      <c r="A6926" t="str">
        <f>"0611835995100"</f>
        <v>0611835995100</v>
      </c>
      <c r="B6926" t="str">
        <f>"LK2880"</f>
        <v>LK2880</v>
      </c>
      <c r="C6926" t="s">
        <v>40692</v>
      </c>
      <c r="D6926" t="s">
        <v>27245</v>
      </c>
      <c r="E6926" t="str">
        <f t="shared" si="108"/>
        <v>001390</v>
      </c>
      <c r="F6926" t="s">
        <v>27246</v>
      </c>
      <c r="G6926" t="s">
        <v>27247</v>
      </c>
      <c r="H6926" t="s">
        <v>27248</v>
      </c>
      <c r="I6926" t="s">
        <v>40693</v>
      </c>
      <c r="J6926" t="s">
        <v>13751</v>
      </c>
      <c r="L6926" t="s">
        <v>27250</v>
      </c>
      <c r="M6926" t="s">
        <v>27251</v>
      </c>
      <c r="N6926" t="s">
        <v>27252</v>
      </c>
      <c r="Q6926" s="1">
        <v>44538</v>
      </c>
      <c r="R6926" t="s">
        <v>27253</v>
      </c>
      <c r="S6926" t="s">
        <v>27254</v>
      </c>
      <c r="T6926" t="s">
        <v>27255</v>
      </c>
    </row>
    <row r="6927" spans="1:20" x14ac:dyDescent="0.3">
      <c r="A6927" t="str">
        <f>"0611863098050"</f>
        <v>0611863098050</v>
      </c>
      <c r="B6927" t="str">
        <f>"CR2648"</f>
        <v>CR2648</v>
      </c>
      <c r="C6927" t="s">
        <v>40694</v>
      </c>
      <c r="D6927" t="s">
        <v>27263</v>
      </c>
      <c r="E6927" t="str">
        <f t="shared" si="108"/>
        <v>001390</v>
      </c>
      <c r="F6927" t="s">
        <v>27246</v>
      </c>
      <c r="G6927" t="s">
        <v>27247</v>
      </c>
      <c r="H6927" t="s">
        <v>27248</v>
      </c>
      <c r="I6927" t="s">
        <v>40695</v>
      </c>
      <c r="J6927" t="s">
        <v>13753</v>
      </c>
      <c r="L6927" t="s">
        <v>27250</v>
      </c>
      <c r="M6927" t="s">
        <v>27251</v>
      </c>
      <c r="N6927" t="s">
        <v>27252</v>
      </c>
      <c r="Q6927" s="1">
        <v>44846</v>
      </c>
      <c r="R6927" t="s">
        <v>27253</v>
      </c>
      <c r="S6927" t="s">
        <v>27254</v>
      </c>
      <c r="T6927" t="s">
        <v>27265</v>
      </c>
    </row>
    <row r="6928" spans="1:20" x14ac:dyDescent="0.3">
      <c r="A6928" t="str">
        <f>"0611863099050"</f>
        <v>0611863099050</v>
      </c>
      <c r="B6928" t="str">
        <f>"CR2649"</f>
        <v>CR2649</v>
      </c>
      <c r="C6928" t="s">
        <v>40696</v>
      </c>
      <c r="D6928" t="s">
        <v>27263</v>
      </c>
      <c r="E6928" t="str">
        <f t="shared" si="108"/>
        <v>001390</v>
      </c>
      <c r="F6928" t="s">
        <v>27246</v>
      </c>
      <c r="G6928" t="s">
        <v>27247</v>
      </c>
      <c r="H6928" t="s">
        <v>27248</v>
      </c>
      <c r="I6928" t="s">
        <v>40697</v>
      </c>
      <c r="J6928" t="s">
        <v>13755</v>
      </c>
      <c r="L6928" t="s">
        <v>27250</v>
      </c>
      <c r="M6928" t="s">
        <v>27251</v>
      </c>
      <c r="N6928" t="s">
        <v>27252</v>
      </c>
      <c r="Q6928" s="1">
        <v>44846</v>
      </c>
      <c r="R6928" t="s">
        <v>27253</v>
      </c>
      <c r="S6928" t="s">
        <v>27254</v>
      </c>
      <c r="T6928" t="s">
        <v>27265</v>
      </c>
    </row>
    <row r="6929" spans="1:20" x14ac:dyDescent="0.3">
      <c r="A6929" t="str">
        <f>"0611863100050"</f>
        <v>0611863100050</v>
      </c>
      <c r="B6929" t="str">
        <f>"CR2361"</f>
        <v>CR2361</v>
      </c>
      <c r="C6929" t="s">
        <v>40698</v>
      </c>
      <c r="D6929" t="s">
        <v>27263</v>
      </c>
      <c r="E6929" t="str">
        <f t="shared" si="108"/>
        <v>001390</v>
      </c>
      <c r="F6929" t="s">
        <v>27246</v>
      </c>
      <c r="G6929" t="s">
        <v>27247</v>
      </c>
      <c r="H6929" t="s">
        <v>27248</v>
      </c>
      <c r="I6929" t="s">
        <v>40699</v>
      </c>
      <c r="J6929" t="s">
        <v>13757</v>
      </c>
      <c r="L6929" t="s">
        <v>27250</v>
      </c>
      <c r="M6929" t="s">
        <v>27251</v>
      </c>
      <c r="N6929" t="s">
        <v>27252</v>
      </c>
      <c r="Q6929" s="1">
        <v>44846</v>
      </c>
      <c r="R6929" t="s">
        <v>27253</v>
      </c>
      <c r="S6929" t="s">
        <v>27254</v>
      </c>
      <c r="T6929" t="s">
        <v>27265</v>
      </c>
    </row>
    <row r="6930" spans="1:20" x14ac:dyDescent="0.3">
      <c r="A6930" t="str">
        <f>"0611835996100"</f>
        <v>0611835996100</v>
      </c>
      <c r="B6930" t="str">
        <f>"LB4290"</f>
        <v>LB4290</v>
      </c>
      <c r="C6930" t="s">
        <v>40700</v>
      </c>
      <c r="D6930" t="s">
        <v>27245</v>
      </c>
      <c r="E6930" t="str">
        <f t="shared" si="108"/>
        <v>001390</v>
      </c>
      <c r="F6930" t="s">
        <v>27246</v>
      </c>
      <c r="G6930" t="s">
        <v>27247</v>
      </c>
      <c r="H6930" t="s">
        <v>27248</v>
      </c>
      <c r="I6930" t="s">
        <v>40701</v>
      </c>
      <c r="J6930" t="s">
        <v>13759</v>
      </c>
      <c r="L6930" t="s">
        <v>27250</v>
      </c>
      <c r="M6930" t="s">
        <v>27251</v>
      </c>
      <c r="N6930" t="s">
        <v>27252</v>
      </c>
      <c r="Q6930" s="1">
        <v>44538</v>
      </c>
      <c r="R6930" t="s">
        <v>27253</v>
      </c>
      <c r="S6930" t="s">
        <v>27254</v>
      </c>
      <c r="T6930" t="s">
        <v>27255</v>
      </c>
    </row>
    <row r="6931" spans="1:20" x14ac:dyDescent="0.3">
      <c r="A6931" t="str">
        <f>"0611863101050"</f>
        <v>0611863101050</v>
      </c>
      <c r="B6931" t="str">
        <f>"CR2362"</f>
        <v>CR2362</v>
      </c>
      <c r="C6931" t="s">
        <v>40700</v>
      </c>
      <c r="D6931" t="s">
        <v>27263</v>
      </c>
      <c r="E6931" t="str">
        <f t="shared" si="108"/>
        <v>001390</v>
      </c>
      <c r="F6931" t="s">
        <v>27246</v>
      </c>
      <c r="G6931" t="s">
        <v>27247</v>
      </c>
      <c r="H6931" t="s">
        <v>27248</v>
      </c>
      <c r="I6931" t="s">
        <v>40702</v>
      </c>
      <c r="J6931" t="s">
        <v>13761</v>
      </c>
      <c r="L6931" t="s">
        <v>27250</v>
      </c>
      <c r="M6931" t="s">
        <v>27251</v>
      </c>
      <c r="N6931" t="s">
        <v>27252</v>
      </c>
      <c r="Q6931" s="1">
        <v>44846</v>
      </c>
      <c r="R6931" t="s">
        <v>27253</v>
      </c>
      <c r="S6931" t="s">
        <v>27254</v>
      </c>
      <c r="T6931" t="s">
        <v>27265</v>
      </c>
    </row>
    <row r="6932" spans="1:20" x14ac:dyDescent="0.3">
      <c r="A6932" t="str">
        <f>"0611835997100"</f>
        <v>0611835997100</v>
      </c>
      <c r="B6932" t="str">
        <f>"LB4315"</f>
        <v>LB4315</v>
      </c>
      <c r="C6932" t="s">
        <v>40703</v>
      </c>
      <c r="D6932" t="s">
        <v>27245</v>
      </c>
      <c r="E6932" t="str">
        <f t="shared" si="108"/>
        <v>001390</v>
      </c>
      <c r="F6932" t="s">
        <v>27246</v>
      </c>
      <c r="G6932" t="s">
        <v>27247</v>
      </c>
      <c r="H6932" t="s">
        <v>27248</v>
      </c>
      <c r="I6932" t="s">
        <v>40704</v>
      </c>
      <c r="J6932" t="s">
        <v>13763</v>
      </c>
      <c r="L6932" t="s">
        <v>27250</v>
      </c>
      <c r="M6932" t="s">
        <v>27251</v>
      </c>
      <c r="N6932" t="s">
        <v>27252</v>
      </c>
      <c r="Q6932" s="1">
        <v>44538</v>
      </c>
      <c r="R6932" t="s">
        <v>27253</v>
      </c>
      <c r="S6932" t="s">
        <v>27254</v>
      </c>
      <c r="T6932" t="s">
        <v>27255</v>
      </c>
    </row>
    <row r="6933" spans="1:20" x14ac:dyDescent="0.3">
      <c r="A6933" t="str">
        <f>"0611863102050"</f>
        <v>0611863102050</v>
      </c>
      <c r="B6933" t="str">
        <f>"CR2363"</f>
        <v>CR2363</v>
      </c>
      <c r="C6933" t="s">
        <v>40703</v>
      </c>
      <c r="D6933" t="s">
        <v>27263</v>
      </c>
      <c r="E6933" t="str">
        <f t="shared" si="108"/>
        <v>001390</v>
      </c>
      <c r="F6933" t="s">
        <v>27246</v>
      </c>
      <c r="G6933" t="s">
        <v>27247</v>
      </c>
      <c r="H6933" t="s">
        <v>27248</v>
      </c>
      <c r="I6933" t="s">
        <v>40705</v>
      </c>
      <c r="J6933" t="s">
        <v>13765</v>
      </c>
      <c r="L6933" t="s">
        <v>27250</v>
      </c>
      <c r="M6933" t="s">
        <v>27251</v>
      </c>
      <c r="N6933" t="s">
        <v>27252</v>
      </c>
      <c r="Q6933" s="1">
        <v>44846</v>
      </c>
      <c r="R6933" t="s">
        <v>27253</v>
      </c>
      <c r="S6933" t="s">
        <v>27254</v>
      </c>
      <c r="T6933" t="s">
        <v>27265</v>
      </c>
    </row>
    <row r="6934" spans="1:20" x14ac:dyDescent="0.3">
      <c r="A6934" t="str">
        <f>"0611835998100"</f>
        <v>0611835998100</v>
      </c>
      <c r="B6934" t="str">
        <f>"LQ0849"</f>
        <v>LQ0849</v>
      </c>
      <c r="C6934" t="s">
        <v>40706</v>
      </c>
      <c r="D6934" t="s">
        <v>27245</v>
      </c>
      <c r="E6934" t="str">
        <f t="shared" si="108"/>
        <v>001390</v>
      </c>
      <c r="F6934" t="s">
        <v>27246</v>
      </c>
      <c r="G6934" t="s">
        <v>27247</v>
      </c>
      <c r="H6934" t="s">
        <v>27248</v>
      </c>
      <c r="I6934" t="s">
        <v>40707</v>
      </c>
      <c r="J6934" t="s">
        <v>13767</v>
      </c>
      <c r="L6934" t="s">
        <v>27250</v>
      </c>
      <c r="M6934" t="s">
        <v>27251</v>
      </c>
      <c r="N6934" t="s">
        <v>27252</v>
      </c>
      <c r="Q6934" s="1">
        <v>44538</v>
      </c>
      <c r="R6934" t="s">
        <v>27253</v>
      </c>
      <c r="S6934" t="s">
        <v>27254</v>
      </c>
      <c r="T6934" t="s">
        <v>27255</v>
      </c>
    </row>
    <row r="6935" spans="1:20" x14ac:dyDescent="0.3">
      <c r="A6935" t="str">
        <f>"0611857015100"</f>
        <v>0611857015100</v>
      </c>
      <c r="B6935" t="str">
        <f>"LQ3886"</f>
        <v>LQ3886</v>
      </c>
      <c r="C6935" t="s">
        <v>40708</v>
      </c>
      <c r="D6935" t="s">
        <v>27245</v>
      </c>
      <c r="E6935" t="str">
        <f t="shared" si="108"/>
        <v>001390</v>
      </c>
      <c r="F6935" t="s">
        <v>27246</v>
      </c>
      <c r="G6935" t="s">
        <v>27247</v>
      </c>
      <c r="H6935" t="s">
        <v>27248</v>
      </c>
      <c r="I6935" t="s">
        <v>40709</v>
      </c>
      <c r="J6935" t="s">
        <v>13769</v>
      </c>
      <c r="L6935" t="s">
        <v>27250</v>
      </c>
      <c r="M6935" t="s">
        <v>27251</v>
      </c>
      <c r="N6935" t="s">
        <v>27252</v>
      </c>
      <c r="Q6935" s="1">
        <v>44812</v>
      </c>
      <c r="R6935" t="s">
        <v>27253</v>
      </c>
      <c r="S6935" t="s">
        <v>27254</v>
      </c>
      <c r="T6935" t="s">
        <v>27255</v>
      </c>
    </row>
    <row r="6936" spans="1:20" x14ac:dyDescent="0.3">
      <c r="A6936" t="str">
        <f>"0611836000100"</f>
        <v>0611836000100</v>
      </c>
      <c r="B6936" t="str">
        <f>"LQ6161"</f>
        <v>LQ6161</v>
      </c>
      <c r="C6936" t="s">
        <v>40710</v>
      </c>
      <c r="D6936" t="s">
        <v>27245</v>
      </c>
      <c r="E6936" t="str">
        <f t="shared" si="108"/>
        <v>001390</v>
      </c>
      <c r="F6936" t="s">
        <v>27246</v>
      </c>
      <c r="G6936" t="s">
        <v>27247</v>
      </c>
      <c r="H6936" t="s">
        <v>27248</v>
      </c>
      <c r="I6936" t="s">
        <v>40711</v>
      </c>
      <c r="J6936" t="s">
        <v>13771</v>
      </c>
      <c r="L6936" t="s">
        <v>27250</v>
      </c>
      <c r="M6936" t="s">
        <v>27251</v>
      </c>
      <c r="N6936" t="s">
        <v>27252</v>
      </c>
      <c r="Q6936" s="1">
        <v>44538</v>
      </c>
      <c r="R6936" t="s">
        <v>27253</v>
      </c>
      <c r="S6936" t="s">
        <v>27254</v>
      </c>
      <c r="T6936" t="s">
        <v>27255</v>
      </c>
    </row>
    <row r="6937" spans="1:20" x14ac:dyDescent="0.3">
      <c r="A6937" t="str">
        <f>"0611836001100"</f>
        <v>0611836001100</v>
      </c>
      <c r="B6937" t="str">
        <f>"LS0072"</f>
        <v>LS0072</v>
      </c>
      <c r="C6937" t="s">
        <v>40712</v>
      </c>
      <c r="D6937" t="s">
        <v>27245</v>
      </c>
      <c r="E6937" t="str">
        <f t="shared" si="108"/>
        <v>001390</v>
      </c>
      <c r="F6937" t="s">
        <v>27246</v>
      </c>
      <c r="G6937" t="s">
        <v>27247</v>
      </c>
      <c r="H6937" t="s">
        <v>27248</v>
      </c>
      <c r="I6937" t="s">
        <v>40713</v>
      </c>
      <c r="J6937" t="s">
        <v>13775</v>
      </c>
      <c r="L6937" t="s">
        <v>27250</v>
      </c>
      <c r="M6937" t="s">
        <v>27251</v>
      </c>
      <c r="N6937" t="s">
        <v>27252</v>
      </c>
      <c r="Q6937" s="1">
        <v>44538</v>
      </c>
      <c r="R6937" t="s">
        <v>27253</v>
      </c>
      <c r="S6937" t="s">
        <v>27254</v>
      </c>
      <c r="T6937" t="s">
        <v>27255</v>
      </c>
    </row>
    <row r="6938" spans="1:20" x14ac:dyDescent="0.3">
      <c r="A6938" t="str">
        <f>"0611836002100"</f>
        <v>0611836002100</v>
      </c>
      <c r="B6938" t="str">
        <f>"LB4287"</f>
        <v>LB4287</v>
      </c>
      <c r="C6938" t="s">
        <v>40714</v>
      </c>
      <c r="D6938" t="s">
        <v>27245</v>
      </c>
      <c r="E6938" t="str">
        <f t="shared" si="108"/>
        <v>001390</v>
      </c>
      <c r="F6938" t="s">
        <v>27246</v>
      </c>
      <c r="G6938" t="s">
        <v>27247</v>
      </c>
      <c r="H6938" t="s">
        <v>27248</v>
      </c>
      <c r="I6938" t="s">
        <v>40715</v>
      </c>
      <c r="J6938" t="s">
        <v>13777</v>
      </c>
      <c r="L6938" t="s">
        <v>27250</v>
      </c>
      <c r="M6938" t="s">
        <v>27251</v>
      </c>
      <c r="N6938" t="s">
        <v>27252</v>
      </c>
      <c r="Q6938" s="1">
        <v>44538</v>
      </c>
      <c r="R6938" t="s">
        <v>27253</v>
      </c>
      <c r="S6938" t="s">
        <v>27254</v>
      </c>
      <c r="T6938" t="s">
        <v>27255</v>
      </c>
    </row>
    <row r="6939" spans="1:20" x14ac:dyDescent="0.3">
      <c r="A6939" t="str">
        <f>"0611836003100"</f>
        <v>0611836003100</v>
      </c>
      <c r="B6939" t="str">
        <f>"LB4286"</f>
        <v>LB4286</v>
      </c>
      <c r="C6939" t="s">
        <v>40716</v>
      </c>
      <c r="D6939" t="s">
        <v>27245</v>
      </c>
      <c r="E6939" t="str">
        <f t="shared" si="108"/>
        <v>001390</v>
      </c>
      <c r="F6939" t="s">
        <v>27246</v>
      </c>
      <c r="G6939" t="s">
        <v>27247</v>
      </c>
      <c r="H6939" t="s">
        <v>27248</v>
      </c>
      <c r="I6939" t="s">
        <v>40717</v>
      </c>
      <c r="J6939" t="s">
        <v>13779</v>
      </c>
      <c r="L6939" t="s">
        <v>27250</v>
      </c>
      <c r="M6939" t="s">
        <v>27251</v>
      </c>
      <c r="N6939" t="s">
        <v>27252</v>
      </c>
      <c r="Q6939" s="1">
        <v>44538</v>
      </c>
      <c r="R6939" t="s">
        <v>27253</v>
      </c>
      <c r="S6939" t="s">
        <v>27254</v>
      </c>
      <c r="T6939" t="s">
        <v>27255</v>
      </c>
    </row>
    <row r="6940" spans="1:20" x14ac:dyDescent="0.3">
      <c r="A6940" t="str">
        <f>"0611863103050"</f>
        <v>0611863103050</v>
      </c>
      <c r="B6940" t="str">
        <f>"CR3891"</f>
        <v>CR3891</v>
      </c>
      <c r="C6940" t="s">
        <v>40718</v>
      </c>
      <c r="D6940" t="s">
        <v>27271</v>
      </c>
      <c r="E6940" t="str">
        <f t="shared" si="108"/>
        <v>001390</v>
      </c>
      <c r="F6940" t="s">
        <v>27246</v>
      </c>
      <c r="G6940" t="s">
        <v>27247</v>
      </c>
      <c r="H6940" t="s">
        <v>27248</v>
      </c>
      <c r="I6940" t="s">
        <v>40719</v>
      </c>
      <c r="J6940" t="s">
        <v>13781</v>
      </c>
      <c r="L6940" t="s">
        <v>27250</v>
      </c>
      <c r="M6940" t="s">
        <v>27251</v>
      </c>
      <c r="N6940" t="s">
        <v>27252</v>
      </c>
      <c r="P6940" t="s">
        <v>27341</v>
      </c>
      <c r="Q6940" s="1">
        <v>44846</v>
      </c>
      <c r="R6940" t="s">
        <v>27253</v>
      </c>
      <c r="S6940" t="s">
        <v>27254</v>
      </c>
      <c r="T6940" t="s">
        <v>27265</v>
      </c>
    </row>
    <row r="6941" spans="1:20" x14ac:dyDescent="0.3">
      <c r="A6941" t="str">
        <f>"0611863104050"</f>
        <v>0611863104050</v>
      </c>
      <c r="B6941" t="str">
        <f>"CR2971"</f>
        <v>CR2971</v>
      </c>
      <c r="C6941" t="s">
        <v>40720</v>
      </c>
      <c r="D6941" t="s">
        <v>27271</v>
      </c>
      <c r="E6941" t="str">
        <f t="shared" si="108"/>
        <v>001390</v>
      </c>
      <c r="F6941" t="s">
        <v>27246</v>
      </c>
      <c r="G6941" t="s">
        <v>27247</v>
      </c>
      <c r="H6941" t="s">
        <v>27248</v>
      </c>
      <c r="I6941" t="s">
        <v>40721</v>
      </c>
      <c r="J6941" t="s">
        <v>13783</v>
      </c>
      <c r="L6941" t="s">
        <v>27250</v>
      </c>
      <c r="M6941" t="s">
        <v>27251</v>
      </c>
      <c r="N6941" t="s">
        <v>27252</v>
      </c>
      <c r="P6941" t="s">
        <v>27341</v>
      </c>
      <c r="Q6941" s="1">
        <v>44846</v>
      </c>
      <c r="R6941" t="s">
        <v>27253</v>
      </c>
      <c r="S6941" t="s">
        <v>27254</v>
      </c>
      <c r="T6941" t="s">
        <v>27265</v>
      </c>
    </row>
    <row r="6942" spans="1:20" x14ac:dyDescent="0.3">
      <c r="A6942" t="str">
        <f>"0611863105050"</f>
        <v>0611863105050</v>
      </c>
      <c r="B6942" t="str">
        <f>"CR3120"</f>
        <v>CR3120</v>
      </c>
      <c r="C6942" t="s">
        <v>40722</v>
      </c>
      <c r="D6942" t="s">
        <v>27271</v>
      </c>
      <c r="E6942" t="str">
        <f t="shared" si="108"/>
        <v>001390</v>
      </c>
      <c r="F6942" t="s">
        <v>27246</v>
      </c>
      <c r="G6942" t="s">
        <v>27247</v>
      </c>
      <c r="H6942" t="s">
        <v>27248</v>
      </c>
      <c r="I6942" t="s">
        <v>40723</v>
      </c>
      <c r="J6942" t="s">
        <v>13785</v>
      </c>
      <c r="L6942" t="s">
        <v>27250</v>
      </c>
      <c r="M6942" t="s">
        <v>27251</v>
      </c>
      <c r="N6942" t="s">
        <v>27252</v>
      </c>
      <c r="P6942" t="s">
        <v>27341</v>
      </c>
      <c r="Q6942" s="1">
        <v>44846</v>
      </c>
      <c r="R6942" t="s">
        <v>27253</v>
      </c>
      <c r="S6942" t="s">
        <v>27254</v>
      </c>
      <c r="T6942" t="s">
        <v>27265</v>
      </c>
    </row>
    <row r="6943" spans="1:20" x14ac:dyDescent="0.3">
      <c r="A6943" t="str">
        <f>"0611863106050"</f>
        <v>0611863106050</v>
      </c>
      <c r="B6943" t="str">
        <f>"CR3971"</f>
        <v>CR3971</v>
      </c>
      <c r="C6943" t="s">
        <v>40724</v>
      </c>
      <c r="D6943" t="s">
        <v>27271</v>
      </c>
      <c r="E6943" t="str">
        <f t="shared" si="108"/>
        <v>001390</v>
      </c>
      <c r="F6943" t="s">
        <v>27246</v>
      </c>
      <c r="G6943" t="s">
        <v>27247</v>
      </c>
      <c r="H6943" t="s">
        <v>27248</v>
      </c>
      <c r="I6943" t="s">
        <v>40725</v>
      </c>
      <c r="J6943" t="s">
        <v>13787</v>
      </c>
      <c r="L6943" t="s">
        <v>27250</v>
      </c>
      <c r="M6943" t="s">
        <v>27251</v>
      </c>
      <c r="N6943" t="s">
        <v>27252</v>
      </c>
      <c r="P6943" t="s">
        <v>27341</v>
      </c>
      <c r="Q6943" s="1">
        <v>44846</v>
      </c>
      <c r="R6943" t="s">
        <v>27253</v>
      </c>
      <c r="S6943" t="s">
        <v>27254</v>
      </c>
      <c r="T6943" t="s">
        <v>27265</v>
      </c>
    </row>
    <row r="6944" spans="1:20" x14ac:dyDescent="0.3">
      <c r="A6944" t="str">
        <f>"0611863107050"</f>
        <v>0611863107050</v>
      </c>
      <c r="B6944" t="str">
        <f>"CR3869"</f>
        <v>CR3869</v>
      </c>
      <c r="C6944" t="s">
        <v>40726</v>
      </c>
      <c r="D6944" t="s">
        <v>27271</v>
      </c>
      <c r="E6944" t="str">
        <f t="shared" si="108"/>
        <v>001390</v>
      </c>
      <c r="F6944" t="s">
        <v>27246</v>
      </c>
      <c r="G6944" t="s">
        <v>27247</v>
      </c>
      <c r="H6944" t="s">
        <v>27248</v>
      </c>
      <c r="I6944" t="s">
        <v>40727</v>
      </c>
      <c r="J6944" t="s">
        <v>13789</v>
      </c>
      <c r="L6944" t="s">
        <v>27250</v>
      </c>
      <c r="M6944" t="s">
        <v>27251</v>
      </c>
      <c r="N6944" t="s">
        <v>27252</v>
      </c>
      <c r="P6944" t="s">
        <v>27341</v>
      </c>
      <c r="Q6944" s="1">
        <v>44846</v>
      </c>
      <c r="R6944" t="s">
        <v>27253</v>
      </c>
      <c r="S6944" t="s">
        <v>27254</v>
      </c>
      <c r="T6944" t="s">
        <v>27265</v>
      </c>
    </row>
    <row r="6945" spans="1:20" x14ac:dyDescent="0.3">
      <c r="A6945" t="str">
        <f>"0611863108050"</f>
        <v>0611863108050</v>
      </c>
      <c r="B6945" t="str">
        <f>"CR3871"</f>
        <v>CR3871</v>
      </c>
      <c r="C6945" t="s">
        <v>40728</v>
      </c>
      <c r="D6945" t="s">
        <v>27271</v>
      </c>
      <c r="E6945" t="str">
        <f t="shared" si="108"/>
        <v>001390</v>
      </c>
      <c r="F6945" t="s">
        <v>27246</v>
      </c>
      <c r="G6945" t="s">
        <v>27247</v>
      </c>
      <c r="H6945" t="s">
        <v>27248</v>
      </c>
      <c r="I6945" t="s">
        <v>40729</v>
      </c>
      <c r="J6945" t="s">
        <v>13791</v>
      </c>
      <c r="L6945" t="s">
        <v>27250</v>
      </c>
      <c r="M6945" t="s">
        <v>27251</v>
      </c>
      <c r="N6945" t="s">
        <v>27252</v>
      </c>
      <c r="P6945" t="s">
        <v>27341</v>
      </c>
      <c r="Q6945" s="1">
        <v>44846</v>
      </c>
      <c r="R6945" t="s">
        <v>27253</v>
      </c>
      <c r="S6945" t="s">
        <v>27254</v>
      </c>
      <c r="T6945" t="s">
        <v>27265</v>
      </c>
    </row>
    <row r="6946" spans="1:20" x14ac:dyDescent="0.3">
      <c r="A6946" t="str">
        <f>"0611863109050"</f>
        <v>0611863109050</v>
      </c>
      <c r="B6946" t="str">
        <f>"CR3721"</f>
        <v>CR3721</v>
      </c>
      <c r="C6946" t="s">
        <v>40730</v>
      </c>
      <c r="D6946" t="s">
        <v>27271</v>
      </c>
      <c r="E6946" t="str">
        <f t="shared" si="108"/>
        <v>001390</v>
      </c>
      <c r="F6946" t="s">
        <v>27246</v>
      </c>
      <c r="G6946" t="s">
        <v>27247</v>
      </c>
      <c r="H6946" t="s">
        <v>27248</v>
      </c>
      <c r="I6946" t="s">
        <v>40731</v>
      </c>
      <c r="J6946" t="s">
        <v>13793</v>
      </c>
      <c r="L6946" t="s">
        <v>27250</v>
      </c>
      <c r="M6946" t="s">
        <v>27251</v>
      </c>
      <c r="N6946" t="s">
        <v>27252</v>
      </c>
      <c r="P6946" t="s">
        <v>27341</v>
      </c>
      <c r="Q6946" s="1">
        <v>44846</v>
      </c>
      <c r="R6946" t="s">
        <v>27253</v>
      </c>
      <c r="S6946" t="s">
        <v>27254</v>
      </c>
      <c r="T6946" t="s">
        <v>27265</v>
      </c>
    </row>
    <row r="6947" spans="1:20" x14ac:dyDescent="0.3">
      <c r="A6947" t="str">
        <f>"0611863110050"</f>
        <v>0611863110050</v>
      </c>
      <c r="B6947" t="str">
        <f>"CR3722"</f>
        <v>CR3722</v>
      </c>
      <c r="C6947" t="s">
        <v>40732</v>
      </c>
      <c r="D6947" t="s">
        <v>27271</v>
      </c>
      <c r="E6947" t="str">
        <f t="shared" si="108"/>
        <v>001390</v>
      </c>
      <c r="F6947" t="s">
        <v>27246</v>
      </c>
      <c r="G6947" t="s">
        <v>27247</v>
      </c>
      <c r="H6947" t="s">
        <v>27248</v>
      </c>
      <c r="I6947" t="s">
        <v>40733</v>
      </c>
      <c r="J6947" t="s">
        <v>13795</v>
      </c>
      <c r="L6947" t="s">
        <v>27250</v>
      </c>
      <c r="M6947" t="s">
        <v>27251</v>
      </c>
      <c r="N6947" t="s">
        <v>27252</v>
      </c>
      <c r="P6947" t="s">
        <v>27341</v>
      </c>
      <c r="Q6947" s="1">
        <v>44846</v>
      </c>
      <c r="R6947" t="s">
        <v>27253</v>
      </c>
      <c r="S6947" t="s">
        <v>27254</v>
      </c>
      <c r="T6947" t="s">
        <v>27265</v>
      </c>
    </row>
    <row r="6948" spans="1:20" x14ac:dyDescent="0.3">
      <c r="A6948" t="str">
        <f>"0611863111050"</f>
        <v>0611863111050</v>
      </c>
      <c r="B6948" t="str">
        <f>"CR3872"</f>
        <v>CR3872</v>
      </c>
      <c r="C6948" t="s">
        <v>40734</v>
      </c>
      <c r="D6948" t="s">
        <v>27271</v>
      </c>
      <c r="E6948" t="str">
        <f t="shared" si="108"/>
        <v>001390</v>
      </c>
      <c r="F6948" t="s">
        <v>27246</v>
      </c>
      <c r="G6948" t="s">
        <v>27247</v>
      </c>
      <c r="H6948" t="s">
        <v>27248</v>
      </c>
      <c r="I6948" t="s">
        <v>40735</v>
      </c>
      <c r="J6948" t="s">
        <v>13797</v>
      </c>
      <c r="L6948" t="s">
        <v>27250</v>
      </c>
      <c r="M6948" t="s">
        <v>27251</v>
      </c>
      <c r="N6948" t="s">
        <v>27252</v>
      </c>
      <c r="P6948" t="s">
        <v>27341</v>
      </c>
      <c r="Q6948" s="1">
        <v>44846</v>
      </c>
      <c r="R6948" t="s">
        <v>27253</v>
      </c>
      <c r="S6948" t="s">
        <v>27254</v>
      </c>
      <c r="T6948" t="s">
        <v>27265</v>
      </c>
    </row>
    <row r="6949" spans="1:20" x14ac:dyDescent="0.3">
      <c r="A6949" t="str">
        <f>"0611863112050"</f>
        <v>0611863112050</v>
      </c>
      <c r="B6949" t="str">
        <f>"CR3870"</f>
        <v>CR3870</v>
      </c>
      <c r="C6949" t="s">
        <v>40736</v>
      </c>
      <c r="D6949" t="s">
        <v>27271</v>
      </c>
      <c r="E6949" t="str">
        <f t="shared" si="108"/>
        <v>001390</v>
      </c>
      <c r="F6949" t="s">
        <v>27246</v>
      </c>
      <c r="G6949" t="s">
        <v>27247</v>
      </c>
      <c r="H6949" t="s">
        <v>27248</v>
      </c>
      <c r="I6949" t="s">
        <v>40737</v>
      </c>
      <c r="J6949" t="s">
        <v>13799</v>
      </c>
      <c r="L6949" t="s">
        <v>27250</v>
      </c>
      <c r="M6949" t="s">
        <v>27251</v>
      </c>
      <c r="N6949" t="s">
        <v>27252</v>
      </c>
      <c r="P6949" t="s">
        <v>27341</v>
      </c>
      <c r="Q6949" s="1">
        <v>44846</v>
      </c>
      <c r="R6949" t="s">
        <v>27253</v>
      </c>
      <c r="S6949" t="s">
        <v>27254</v>
      </c>
      <c r="T6949" t="s">
        <v>27265</v>
      </c>
    </row>
    <row r="6950" spans="1:20" x14ac:dyDescent="0.3">
      <c r="A6950" t="str">
        <f>"0611863113050"</f>
        <v>0611863113050</v>
      </c>
      <c r="B6950" t="str">
        <f>"CR3873"</f>
        <v>CR3873</v>
      </c>
      <c r="C6950" t="s">
        <v>40738</v>
      </c>
      <c r="D6950" t="s">
        <v>27271</v>
      </c>
      <c r="E6950" t="str">
        <f t="shared" si="108"/>
        <v>001390</v>
      </c>
      <c r="F6950" t="s">
        <v>27246</v>
      </c>
      <c r="G6950" t="s">
        <v>27247</v>
      </c>
      <c r="H6950" t="s">
        <v>27248</v>
      </c>
      <c r="I6950" t="s">
        <v>40739</v>
      </c>
      <c r="J6950" t="s">
        <v>13801</v>
      </c>
      <c r="L6950" t="s">
        <v>27250</v>
      </c>
      <c r="M6950" t="s">
        <v>27251</v>
      </c>
      <c r="N6950" t="s">
        <v>27252</v>
      </c>
      <c r="P6950" t="s">
        <v>27341</v>
      </c>
      <c r="Q6950" s="1">
        <v>44846</v>
      </c>
      <c r="R6950" t="s">
        <v>27253</v>
      </c>
      <c r="S6950" t="s">
        <v>27254</v>
      </c>
      <c r="T6950" t="s">
        <v>27265</v>
      </c>
    </row>
    <row r="6951" spans="1:20" x14ac:dyDescent="0.3">
      <c r="A6951" t="str">
        <f>"0611863114050"</f>
        <v>0611863114050</v>
      </c>
      <c r="B6951" t="str">
        <f>"CR3121"</f>
        <v>CR3121</v>
      </c>
      <c r="C6951" t="s">
        <v>40740</v>
      </c>
      <c r="D6951" t="s">
        <v>27271</v>
      </c>
      <c r="E6951" t="str">
        <f t="shared" si="108"/>
        <v>001390</v>
      </c>
      <c r="F6951" t="s">
        <v>27246</v>
      </c>
      <c r="G6951" t="s">
        <v>27247</v>
      </c>
      <c r="H6951" t="s">
        <v>27248</v>
      </c>
      <c r="I6951" t="s">
        <v>40741</v>
      </c>
      <c r="J6951" t="s">
        <v>13803</v>
      </c>
      <c r="L6951" t="s">
        <v>27250</v>
      </c>
      <c r="M6951" t="s">
        <v>27251</v>
      </c>
      <c r="N6951" t="s">
        <v>27252</v>
      </c>
      <c r="P6951" t="s">
        <v>27341</v>
      </c>
      <c r="Q6951" s="1">
        <v>44846</v>
      </c>
      <c r="R6951" t="s">
        <v>27253</v>
      </c>
      <c r="S6951" t="s">
        <v>27254</v>
      </c>
      <c r="T6951" t="s">
        <v>27265</v>
      </c>
    </row>
    <row r="6952" spans="1:20" x14ac:dyDescent="0.3">
      <c r="A6952" t="str">
        <f>"0611863115050"</f>
        <v>0611863115050</v>
      </c>
      <c r="B6952" t="str">
        <f>"CR2972"</f>
        <v>CR2972</v>
      </c>
      <c r="C6952" t="s">
        <v>40742</v>
      </c>
      <c r="D6952" t="s">
        <v>27271</v>
      </c>
      <c r="E6952" t="str">
        <f t="shared" si="108"/>
        <v>001390</v>
      </c>
      <c r="F6952" t="s">
        <v>27246</v>
      </c>
      <c r="G6952" t="s">
        <v>27247</v>
      </c>
      <c r="H6952" t="s">
        <v>27248</v>
      </c>
      <c r="I6952" t="s">
        <v>40743</v>
      </c>
      <c r="J6952" t="s">
        <v>13805</v>
      </c>
      <c r="L6952" t="s">
        <v>27250</v>
      </c>
      <c r="M6952" t="s">
        <v>27251</v>
      </c>
      <c r="N6952" t="s">
        <v>27252</v>
      </c>
      <c r="P6952" t="s">
        <v>27341</v>
      </c>
      <c r="Q6952" s="1">
        <v>44846</v>
      </c>
      <c r="R6952" t="s">
        <v>27253</v>
      </c>
      <c r="S6952" t="s">
        <v>27254</v>
      </c>
      <c r="T6952" t="s">
        <v>27265</v>
      </c>
    </row>
    <row r="6953" spans="1:20" x14ac:dyDescent="0.3">
      <c r="A6953" t="str">
        <f>"0611863116050"</f>
        <v>0611863116050</v>
      </c>
      <c r="B6953" t="str">
        <f>"CR3122"</f>
        <v>CR3122</v>
      </c>
      <c r="C6953" t="s">
        <v>40744</v>
      </c>
      <c r="D6953" t="s">
        <v>27271</v>
      </c>
      <c r="E6953" t="str">
        <f t="shared" si="108"/>
        <v>001390</v>
      </c>
      <c r="F6953" t="s">
        <v>27246</v>
      </c>
      <c r="G6953" t="s">
        <v>27247</v>
      </c>
      <c r="H6953" t="s">
        <v>27248</v>
      </c>
      <c r="I6953" t="s">
        <v>40745</v>
      </c>
      <c r="J6953" t="s">
        <v>13807</v>
      </c>
      <c r="L6953" t="s">
        <v>27250</v>
      </c>
      <c r="M6953" t="s">
        <v>27251</v>
      </c>
      <c r="N6953" t="s">
        <v>27252</v>
      </c>
      <c r="P6953" t="s">
        <v>27341</v>
      </c>
      <c r="Q6953" s="1">
        <v>44846</v>
      </c>
      <c r="R6953" t="s">
        <v>27253</v>
      </c>
      <c r="S6953" t="s">
        <v>27254</v>
      </c>
      <c r="T6953" t="s">
        <v>27265</v>
      </c>
    </row>
    <row r="6954" spans="1:20" x14ac:dyDescent="0.3">
      <c r="A6954" t="str">
        <f>"0611863117050"</f>
        <v>0611863117050</v>
      </c>
      <c r="B6954" t="str">
        <f>"CR5193"</f>
        <v>CR5193</v>
      </c>
      <c r="C6954" t="s">
        <v>40746</v>
      </c>
      <c r="D6954" t="s">
        <v>27271</v>
      </c>
      <c r="E6954" t="str">
        <f t="shared" si="108"/>
        <v>001390</v>
      </c>
      <c r="F6954" t="s">
        <v>27246</v>
      </c>
      <c r="G6954" t="s">
        <v>27247</v>
      </c>
      <c r="H6954" t="s">
        <v>27248</v>
      </c>
      <c r="I6954" t="s">
        <v>40747</v>
      </c>
      <c r="J6954" t="s">
        <v>13809</v>
      </c>
      <c r="L6954" t="s">
        <v>27250</v>
      </c>
      <c r="M6954" t="s">
        <v>27251</v>
      </c>
      <c r="N6954" t="s">
        <v>27252</v>
      </c>
      <c r="P6954" t="s">
        <v>27341</v>
      </c>
      <c r="Q6954" s="1">
        <v>44846</v>
      </c>
      <c r="R6954" t="s">
        <v>27253</v>
      </c>
      <c r="S6954" t="s">
        <v>27254</v>
      </c>
      <c r="T6954" t="s">
        <v>27265</v>
      </c>
    </row>
    <row r="6955" spans="1:20" x14ac:dyDescent="0.3">
      <c r="A6955" t="str">
        <f>"0611863118050"</f>
        <v>0611863118050</v>
      </c>
      <c r="B6955" t="str">
        <f>"CR5070"</f>
        <v>CR5070</v>
      </c>
      <c r="C6955" t="s">
        <v>40748</v>
      </c>
      <c r="D6955" t="s">
        <v>27271</v>
      </c>
      <c r="E6955" t="str">
        <f t="shared" si="108"/>
        <v>001390</v>
      </c>
      <c r="F6955" t="s">
        <v>27246</v>
      </c>
      <c r="G6955" t="s">
        <v>27247</v>
      </c>
      <c r="H6955" t="s">
        <v>27248</v>
      </c>
      <c r="I6955" t="s">
        <v>40749</v>
      </c>
      <c r="J6955" t="s">
        <v>13811</v>
      </c>
      <c r="L6955" t="s">
        <v>27250</v>
      </c>
      <c r="M6955" t="s">
        <v>27251</v>
      </c>
      <c r="N6955" t="s">
        <v>27252</v>
      </c>
      <c r="P6955" t="s">
        <v>27341</v>
      </c>
      <c r="Q6955" s="1">
        <v>44846</v>
      </c>
      <c r="R6955" t="s">
        <v>27253</v>
      </c>
      <c r="S6955" t="s">
        <v>27254</v>
      </c>
      <c r="T6955" t="s">
        <v>27265</v>
      </c>
    </row>
    <row r="6956" spans="1:20" x14ac:dyDescent="0.3">
      <c r="A6956" t="str">
        <f>"0611863119050"</f>
        <v>0611863119050</v>
      </c>
      <c r="B6956" t="str">
        <f>"CR5040"</f>
        <v>CR5040</v>
      </c>
      <c r="C6956" t="s">
        <v>40750</v>
      </c>
      <c r="D6956" t="s">
        <v>27271</v>
      </c>
      <c r="E6956" t="str">
        <f t="shared" si="108"/>
        <v>001390</v>
      </c>
      <c r="F6956" t="s">
        <v>27246</v>
      </c>
      <c r="G6956" t="s">
        <v>27247</v>
      </c>
      <c r="H6956" t="s">
        <v>27248</v>
      </c>
      <c r="I6956" t="s">
        <v>40751</v>
      </c>
      <c r="J6956" t="s">
        <v>13813</v>
      </c>
      <c r="L6956" t="s">
        <v>27250</v>
      </c>
      <c r="M6956" t="s">
        <v>27251</v>
      </c>
      <c r="N6956" t="s">
        <v>27252</v>
      </c>
      <c r="P6956" t="s">
        <v>27341</v>
      </c>
      <c r="Q6956" s="1">
        <v>44846</v>
      </c>
      <c r="R6956" t="s">
        <v>27253</v>
      </c>
      <c r="S6956" t="s">
        <v>27254</v>
      </c>
      <c r="T6956" t="s">
        <v>27265</v>
      </c>
    </row>
    <row r="6957" spans="1:20" x14ac:dyDescent="0.3">
      <c r="A6957" t="str">
        <f>"0611863120050"</f>
        <v>0611863120050</v>
      </c>
      <c r="B6957" t="str">
        <f>"CR4962"</f>
        <v>CR4962</v>
      </c>
      <c r="C6957" t="s">
        <v>40752</v>
      </c>
      <c r="D6957" t="s">
        <v>27271</v>
      </c>
      <c r="E6957" t="str">
        <f t="shared" si="108"/>
        <v>001390</v>
      </c>
      <c r="F6957" t="s">
        <v>27246</v>
      </c>
      <c r="G6957" t="s">
        <v>27247</v>
      </c>
      <c r="H6957" t="s">
        <v>27248</v>
      </c>
      <c r="I6957" t="s">
        <v>40753</v>
      </c>
      <c r="J6957" t="s">
        <v>13815</v>
      </c>
      <c r="L6957" t="s">
        <v>27250</v>
      </c>
      <c r="M6957" t="s">
        <v>27251</v>
      </c>
      <c r="N6957" t="s">
        <v>27252</v>
      </c>
      <c r="P6957" t="s">
        <v>27341</v>
      </c>
      <c r="Q6957" s="1">
        <v>44846</v>
      </c>
      <c r="R6957" t="s">
        <v>27253</v>
      </c>
      <c r="S6957" t="s">
        <v>27254</v>
      </c>
      <c r="T6957" t="s">
        <v>27265</v>
      </c>
    </row>
    <row r="6958" spans="1:20" x14ac:dyDescent="0.3">
      <c r="A6958" t="str">
        <f>"0611863121050"</f>
        <v>0611863121050</v>
      </c>
      <c r="B6958" t="str">
        <f>"CR5194"</f>
        <v>CR5194</v>
      </c>
      <c r="C6958" t="s">
        <v>40754</v>
      </c>
      <c r="D6958" t="s">
        <v>27271</v>
      </c>
      <c r="E6958" t="str">
        <f t="shared" si="108"/>
        <v>001390</v>
      </c>
      <c r="F6958" t="s">
        <v>27246</v>
      </c>
      <c r="G6958" t="s">
        <v>27247</v>
      </c>
      <c r="H6958" t="s">
        <v>27248</v>
      </c>
      <c r="I6958" t="s">
        <v>40755</v>
      </c>
      <c r="J6958" t="s">
        <v>13817</v>
      </c>
      <c r="L6958" t="s">
        <v>27250</v>
      </c>
      <c r="M6958" t="s">
        <v>27251</v>
      </c>
      <c r="N6958" t="s">
        <v>27252</v>
      </c>
      <c r="P6958" t="s">
        <v>27341</v>
      </c>
      <c r="Q6958" s="1">
        <v>44846</v>
      </c>
      <c r="R6958" t="s">
        <v>27253</v>
      </c>
      <c r="S6958" t="s">
        <v>27254</v>
      </c>
      <c r="T6958" t="s">
        <v>27265</v>
      </c>
    </row>
    <row r="6959" spans="1:20" x14ac:dyDescent="0.3">
      <c r="A6959" t="str">
        <f>"0611863123050"</f>
        <v>0611863123050</v>
      </c>
      <c r="B6959" t="str">
        <f>"CR5039"</f>
        <v>CR5039</v>
      </c>
      <c r="C6959" t="s">
        <v>40756</v>
      </c>
      <c r="D6959" t="s">
        <v>27271</v>
      </c>
      <c r="E6959" t="str">
        <f t="shared" si="108"/>
        <v>001390</v>
      </c>
      <c r="F6959" t="s">
        <v>27246</v>
      </c>
      <c r="G6959" t="s">
        <v>27247</v>
      </c>
      <c r="H6959" t="s">
        <v>27248</v>
      </c>
      <c r="I6959" t="s">
        <v>40757</v>
      </c>
      <c r="J6959" t="s">
        <v>13819</v>
      </c>
      <c r="L6959" t="s">
        <v>27250</v>
      </c>
      <c r="M6959" t="s">
        <v>27251</v>
      </c>
      <c r="N6959" t="s">
        <v>27252</v>
      </c>
      <c r="P6959" t="s">
        <v>27341</v>
      </c>
      <c r="Q6959" s="1">
        <v>44846</v>
      </c>
      <c r="R6959" t="s">
        <v>27253</v>
      </c>
      <c r="S6959" t="s">
        <v>27254</v>
      </c>
      <c r="T6959" t="s">
        <v>27265</v>
      </c>
    </row>
    <row r="6960" spans="1:20" x14ac:dyDescent="0.3">
      <c r="A6960" t="str">
        <f>"0611863124050"</f>
        <v>0611863124050</v>
      </c>
      <c r="B6960" t="str">
        <f>"CR4964"</f>
        <v>CR4964</v>
      </c>
      <c r="C6960" t="s">
        <v>40758</v>
      </c>
      <c r="D6960" t="s">
        <v>27271</v>
      </c>
      <c r="E6960" t="str">
        <f t="shared" si="108"/>
        <v>001390</v>
      </c>
      <c r="F6960" t="s">
        <v>27246</v>
      </c>
      <c r="G6960" t="s">
        <v>27247</v>
      </c>
      <c r="H6960" t="s">
        <v>27248</v>
      </c>
      <c r="I6960" t="s">
        <v>40759</v>
      </c>
      <c r="J6960" t="s">
        <v>13821</v>
      </c>
      <c r="L6960" t="s">
        <v>27250</v>
      </c>
      <c r="M6960" t="s">
        <v>27251</v>
      </c>
      <c r="N6960" t="s">
        <v>27252</v>
      </c>
      <c r="P6960" t="s">
        <v>27341</v>
      </c>
      <c r="Q6960" s="1">
        <v>44846</v>
      </c>
      <c r="R6960" t="s">
        <v>27253</v>
      </c>
      <c r="S6960" t="s">
        <v>27254</v>
      </c>
      <c r="T6960" t="s">
        <v>27265</v>
      </c>
    </row>
    <row r="6961" spans="1:20" x14ac:dyDescent="0.3">
      <c r="A6961" t="str">
        <f>"0611863125050"</f>
        <v>0611863125050</v>
      </c>
      <c r="B6961" t="str">
        <f>"CR4965"</f>
        <v>CR4965</v>
      </c>
      <c r="C6961" t="s">
        <v>40760</v>
      </c>
      <c r="D6961" t="s">
        <v>27271</v>
      </c>
      <c r="E6961" t="str">
        <f t="shared" si="108"/>
        <v>001390</v>
      </c>
      <c r="F6961" t="s">
        <v>27246</v>
      </c>
      <c r="G6961" t="s">
        <v>27247</v>
      </c>
      <c r="H6961" t="s">
        <v>27248</v>
      </c>
      <c r="I6961" t="s">
        <v>40761</v>
      </c>
      <c r="J6961" t="s">
        <v>13823</v>
      </c>
      <c r="L6961" t="s">
        <v>27250</v>
      </c>
      <c r="M6961" t="s">
        <v>27251</v>
      </c>
      <c r="N6961" t="s">
        <v>27252</v>
      </c>
      <c r="P6961" t="s">
        <v>27341</v>
      </c>
      <c r="Q6961" s="1">
        <v>44846</v>
      </c>
      <c r="R6961" t="s">
        <v>27253</v>
      </c>
      <c r="S6961" t="s">
        <v>27254</v>
      </c>
      <c r="T6961" t="s">
        <v>27265</v>
      </c>
    </row>
    <row r="6962" spans="1:20" x14ac:dyDescent="0.3">
      <c r="A6962" t="str">
        <f>"0611863126050"</f>
        <v>0611863126050</v>
      </c>
      <c r="B6962" t="str">
        <f>"CR4966"</f>
        <v>CR4966</v>
      </c>
      <c r="C6962" t="s">
        <v>40762</v>
      </c>
      <c r="D6962" t="s">
        <v>27271</v>
      </c>
      <c r="E6962" t="str">
        <f t="shared" si="108"/>
        <v>001390</v>
      </c>
      <c r="F6962" t="s">
        <v>27246</v>
      </c>
      <c r="G6962" t="s">
        <v>27247</v>
      </c>
      <c r="H6962" t="s">
        <v>27248</v>
      </c>
      <c r="I6962" t="s">
        <v>40763</v>
      </c>
      <c r="J6962" t="s">
        <v>13825</v>
      </c>
      <c r="L6962" t="s">
        <v>27250</v>
      </c>
      <c r="M6962" t="s">
        <v>27251</v>
      </c>
      <c r="N6962" t="s">
        <v>27252</v>
      </c>
      <c r="P6962" t="s">
        <v>27341</v>
      </c>
      <c r="Q6962" s="1">
        <v>44846</v>
      </c>
      <c r="R6962" t="s">
        <v>27253</v>
      </c>
      <c r="S6962" t="s">
        <v>27254</v>
      </c>
      <c r="T6962" t="s">
        <v>27265</v>
      </c>
    </row>
    <row r="6963" spans="1:20" x14ac:dyDescent="0.3">
      <c r="A6963" t="str">
        <f>"0611863127050"</f>
        <v>0611863127050</v>
      </c>
      <c r="B6963" t="str">
        <f>"CR5031"</f>
        <v>CR5031</v>
      </c>
      <c r="C6963" t="s">
        <v>40764</v>
      </c>
      <c r="D6963" t="s">
        <v>27271</v>
      </c>
      <c r="E6963" t="str">
        <f t="shared" si="108"/>
        <v>001390</v>
      </c>
      <c r="F6963" t="s">
        <v>27246</v>
      </c>
      <c r="G6963" t="s">
        <v>27247</v>
      </c>
      <c r="H6963" t="s">
        <v>27248</v>
      </c>
      <c r="I6963" t="s">
        <v>40765</v>
      </c>
      <c r="J6963" t="s">
        <v>13827</v>
      </c>
      <c r="L6963" t="s">
        <v>27250</v>
      </c>
      <c r="M6963" t="s">
        <v>27251</v>
      </c>
      <c r="N6963" t="s">
        <v>27252</v>
      </c>
      <c r="P6963" t="s">
        <v>27341</v>
      </c>
      <c r="Q6963" s="1">
        <v>44846</v>
      </c>
      <c r="R6963" t="s">
        <v>27253</v>
      </c>
      <c r="S6963" t="s">
        <v>27254</v>
      </c>
      <c r="T6963" t="s">
        <v>27265</v>
      </c>
    </row>
    <row r="6964" spans="1:20" x14ac:dyDescent="0.3">
      <c r="A6964" t="str">
        <f>"0611863128050"</f>
        <v>0611863128050</v>
      </c>
      <c r="B6964" t="str">
        <f>"CE1279"</f>
        <v>CE1279</v>
      </c>
      <c r="C6964" t="s">
        <v>40766</v>
      </c>
      <c r="D6964" t="s">
        <v>27923</v>
      </c>
      <c r="E6964" t="str">
        <f t="shared" si="108"/>
        <v>001390</v>
      </c>
      <c r="F6964" t="s">
        <v>27246</v>
      </c>
      <c r="G6964" t="s">
        <v>27247</v>
      </c>
      <c r="H6964" t="s">
        <v>27248</v>
      </c>
      <c r="I6964" t="s">
        <v>40767</v>
      </c>
      <c r="J6964" t="s">
        <v>13829</v>
      </c>
      <c r="L6964" t="s">
        <v>27250</v>
      </c>
      <c r="M6964" t="s">
        <v>27251</v>
      </c>
      <c r="N6964" t="s">
        <v>27252</v>
      </c>
      <c r="P6964" t="s">
        <v>27925</v>
      </c>
      <c r="Q6964" s="1">
        <v>44846</v>
      </c>
      <c r="R6964" t="s">
        <v>27253</v>
      </c>
      <c r="S6964" t="s">
        <v>27254</v>
      </c>
      <c r="T6964" t="s">
        <v>27265</v>
      </c>
    </row>
    <row r="6965" spans="1:20" x14ac:dyDescent="0.3">
      <c r="A6965" t="str">
        <f>"0611836004100"</f>
        <v>0611836004100</v>
      </c>
      <c r="B6965" t="str">
        <f>"LB4319"</f>
        <v>LB4319</v>
      </c>
      <c r="C6965" t="s">
        <v>40768</v>
      </c>
      <c r="D6965" t="s">
        <v>27245</v>
      </c>
      <c r="E6965" t="str">
        <f t="shared" si="108"/>
        <v>001390</v>
      </c>
      <c r="F6965" t="s">
        <v>27246</v>
      </c>
      <c r="G6965" t="s">
        <v>27247</v>
      </c>
      <c r="H6965" t="s">
        <v>27248</v>
      </c>
      <c r="I6965" t="s">
        <v>40769</v>
      </c>
      <c r="J6965" t="s">
        <v>13831</v>
      </c>
      <c r="L6965" t="s">
        <v>27250</v>
      </c>
      <c r="M6965" t="s">
        <v>27251</v>
      </c>
      <c r="N6965" t="s">
        <v>27252</v>
      </c>
      <c r="Q6965" s="1">
        <v>44538</v>
      </c>
      <c r="R6965" t="s">
        <v>27253</v>
      </c>
      <c r="S6965" t="s">
        <v>27254</v>
      </c>
      <c r="T6965" t="s">
        <v>27255</v>
      </c>
    </row>
    <row r="6966" spans="1:20" x14ac:dyDescent="0.3">
      <c r="A6966" t="str">
        <f>"0611863129050"</f>
        <v>0611863129050</v>
      </c>
      <c r="B6966" t="str">
        <f>"CE1355"</f>
        <v>CE1355</v>
      </c>
      <c r="C6966" t="s">
        <v>40770</v>
      </c>
      <c r="D6966" t="s">
        <v>27923</v>
      </c>
      <c r="E6966" t="str">
        <f t="shared" si="108"/>
        <v>001390</v>
      </c>
      <c r="F6966" t="s">
        <v>27246</v>
      </c>
      <c r="G6966" t="s">
        <v>27247</v>
      </c>
      <c r="H6966" t="s">
        <v>27248</v>
      </c>
      <c r="I6966" t="s">
        <v>40771</v>
      </c>
      <c r="J6966" t="s">
        <v>13833</v>
      </c>
      <c r="L6966" t="s">
        <v>27250</v>
      </c>
      <c r="M6966" t="s">
        <v>27251</v>
      </c>
      <c r="N6966" t="s">
        <v>27252</v>
      </c>
      <c r="P6966" t="s">
        <v>27925</v>
      </c>
      <c r="Q6966" s="1">
        <v>44846</v>
      </c>
      <c r="R6966" t="s">
        <v>27253</v>
      </c>
      <c r="S6966" t="s">
        <v>27254</v>
      </c>
      <c r="T6966" t="s">
        <v>27265</v>
      </c>
    </row>
    <row r="6967" spans="1:20" x14ac:dyDescent="0.3">
      <c r="A6967" t="str">
        <f>"0611863130050"</f>
        <v>0611863130050</v>
      </c>
      <c r="B6967" t="str">
        <f>"CE0871"</f>
        <v>CE0871</v>
      </c>
      <c r="C6967" t="s">
        <v>40772</v>
      </c>
      <c r="D6967" t="s">
        <v>27923</v>
      </c>
      <c r="E6967" t="str">
        <f t="shared" si="108"/>
        <v>001390</v>
      </c>
      <c r="F6967" t="s">
        <v>27246</v>
      </c>
      <c r="G6967" t="s">
        <v>27247</v>
      </c>
      <c r="H6967" t="s">
        <v>27248</v>
      </c>
      <c r="I6967" t="s">
        <v>40773</v>
      </c>
      <c r="J6967" t="s">
        <v>13835</v>
      </c>
      <c r="L6967" t="s">
        <v>27250</v>
      </c>
      <c r="M6967" t="s">
        <v>27251</v>
      </c>
      <c r="N6967" t="s">
        <v>27252</v>
      </c>
      <c r="P6967" t="s">
        <v>27925</v>
      </c>
      <c r="Q6967" s="1">
        <v>44846</v>
      </c>
      <c r="R6967" t="s">
        <v>27253</v>
      </c>
      <c r="S6967" t="s">
        <v>27254</v>
      </c>
      <c r="T6967" t="s">
        <v>27265</v>
      </c>
    </row>
    <row r="6968" spans="1:20" x14ac:dyDescent="0.3">
      <c r="A6968" t="str">
        <f>"0611863131050"</f>
        <v>0611863131050</v>
      </c>
      <c r="B6968" t="str">
        <f>"CE0872"</f>
        <v>CE0872</v>
      </c>
      <c r="C6968" t="s">
        <v>40774</v>
      </c>
      <c r="D6968" t="s">
        <v>27923</v>
      </c>
      <c r="E6968" t="str">
        <f t="shared" si="108"/>
        <v>001390</v>
      </c>
      <c r="F6968" t="s">
        <v>27246</v>
      </c>
      <c r="G6968" t="s">
        <v>27247</v>
      </c>
      <c r="H6968" t="s">
        <v>27248</v>
      </c>
      <c r="I6968" t="s">
        <v>40775</v>
      </c>
      <c r="J6968" t="s">
        <v>13839</v>
      </c>
      <c r="L6968" t="s">
        <v>27250</v>
      </c>
      <c r="M6968" t="s">
        <v>27251</v>
      </c>
      <c r="N6968" t="s">
        <v>27252</v>
      </c>
      <c r="P6968" t="s">
        <v>27925</v>
      </c>
      <c r="Q6968" s="1">
        <v>44846</v>
      </c>
      <c r="R6968" t="s">
        <v>27253</v>
      </c>
      <c r="S6968" t="s">
        <v>27254</v>
      </c>
      <c r="T6968" t="s">
        <v>27265</v>
      </c>
    </row>
    <row r="6969" spans="1:20" x14ac:dyDescent="0.3">
      <c r="A6969" t="str">
        <f>"0611863132050"</f>
        <v>0611863132050</v>
      </c>
      <c r="B6969" t="str">
        <f>"CE0873"</f>
        <v>CE0873</v>
      </c>
      <c r="C6969" t="s">
        <v>40776</v>
      </c>
      <c r="D6969" t="s">
        <v>27923</v>
      </c>
      <c r="E6969" t="str">
        <f t="shared" si="108"/>
        <v>001390</v>
      </c>
      <c r="F6969" t="s">
        <v>27246</v>
      </c>
      <c r="G6969" t="s">
        <v>27247</v>
      </c>
      <c r="H6969" t="s">
        <v>27248</v>
      </c>
      <c r="I6969" t="s">
        <v>40777</v>
      </c>
      <c r="J6969" t="s">
        <v>13841</v>
      </c>
      <c r="L6969" t="s">
        <v>27250</v>
      </c>
      <c r="M6969" t="s">
        <v>27251</v>
      </c>
      <c r="N6969" t="s">
        <v>27252</v>
      </c>
      <c r="P6969" t="s">
        <v>27925</v>
      </c>
      <c r="Q6969" s="1">
        <v>44846</v>
      </c>
      <c r="R6969" t="s">
        <v>27253</v>
      </c>
      <c r="S6969" t="s">
        <v>27254</v>
      </c>
      <c r="T6969" t="s">
        <v>27265</v>
      </c>
    </row>
    <row r="6970" spans="1:20" x14ac:dyDescent="0.3">
      <c r="A6970" t="str">
        <f>"0611863133050"</f>
        <v>0611863133050</v>
      </c>
      <c r="B6970" t="str">
        <f>"CE0874"</f>
        <v>CE0874</v>
      </c>
      <c r="C6970" t="s">
        <v>40778</v>
      </c>
      <c r="D6970" t="s">
        <v>27923</v>
      </c>
      <c r="E6970" t="str">
        <f t="shared" si="108"/>
        <v>001390</v>
      </c>
      <c r="F6970" t="s">
        <v>27246</v>
      </c>
      <c r="G6970" t="s">
        <v>27247</v>
      </c>
      <c r="H6970" t="s">
        <v>27248</v>
      </c>
      <c r="I6970" t="s">
        <v>40779</v>
      </c>
      <c r="J6970" t="s">
        <v>13843</v>
      </c>
      <c r="L6970" t="s">
        <v>27250</v>
      </c>
      <c r="M6970" t="s">
        <v>27251</v>
      </c>
      <c r="N6970" t="s">
        <v>27252</v>
      </c>
      <c r="P6970" t="s">
        <v>27925</v>
      </c>
      <c r="Q6970" s="1">
        <v>44846</v>
      </c>
      <c r="R6970" t="s">
        <v>27253</v>
      </c>
      <c r="S6970" t="s">
        <v>27254</v>
      </c>
      <c r="T6970" t="s">
        <v>27265</v>
      </c>
    </row>
    <row r="6971" spans="1:20" x14ac:dyDescent="0.3">
      <c r="A6971" t="str">
        <f>"0611863134050"</f>
        <v>0611863134050</v>
      </c>
      <c r="B6971" t="str">
        <f>"CE0932"</f>
        <v>CE0932</v>
      </c>
      <c r="C6971" t="s">
        <v>40780</v>
      </c>
      <c r="D6971" t="s">
        <v>28556</v>
      </c>
      <c r="E6971" t="str">
        <f t="shared" si="108"/>
        <v>001390</v>
      </c>
      <c r="F6971" t="s">
        <v>27246</v>
      </c>
      <c r="G6971" t="s">
        <v>27247</v>
      </c>
      <c r="H6971" t="s">
        <v>27248</v>
      </c>
      <c r="I6971" t="s">
        <v>40781</v>
      </c>
      <c r="J6971" t="s">
        <v>13837</v>
      </c>
      <c r="L6971" t="s">
        <v>27250</v>
      </c>
      <c r="M6971" t="s">
        <v>27251</v>
      </c>
      <c r="N6971" t="s">
        <v>27252</v>
      </c>
      <c r="P6971" t="s">
        <v>27925</v>
      </c>
      <c r="Q6971" s="1">
        <v>44846</v>
      </c>
      <c r="R6971" t="s">
        <v>27253</v>
      </c>
      <c r="S6971" t="s">
        <v>27254</v>
      </c>
      <c r="T6971" t="s">
        <v>28378</v>
      </c>
    </row>
    <row r="6972" spans="1:20" x14ac:dyDescent="0.3">
      <c r="A6972" t="str">
        <f>"0611836005100"</f>
        <v>0611836005100</v>
      </c>
      <c r="B6972" t="str">
        <f>"MB4200"</f>
        <v>MB4200</v>
      </c>
      <c r="C6972" t="s">
        <v>40782</v>
      </c>
      <c r="D6972" t="s">
        <v>27274</v>
      </c>
      <c r="E6972" t="str">
        <f t="shared" si="108"/>
        <v>001390</v>
      </c>
      <c r="F6972" t="s">
        <v>27246</v>
      </c>
      <c r="G6972" t="s">
        <v>27247</v>
      </c>
      <c r="H6972" t="s">
        <v>27248</v>
      </c>
      <c r="I6972" t="s">
        <v>40783</v>
      </c>
      <c r="J6972" t="s">
        <v>13773</v>
      </c>
      <c r="L6972" t="s">
        <v>27250</v>
      </c>
      <c r="M6972" t="s">
        <v>27251</v>
      </c>
      <c r="N6972" t="s">
        <v>27252</v>
      </c>
      <c r="Q6972" s="1">
        <v>44538</v>
      </c>
      <c r="R6972" t="s">
        <v>27253</v>
      </c>
      <c r="S6972" t="s">
        <v>27254</v>
      </c>
      <c r="T6972" t="s">
        <v>27276</v>
      </c>
    </row>
    <row r="6973" spans="1:20" x14ac:dyDescent="0.3">
      <c r="A6973" t="str">
        <f>"0611836006100"</f>
        <v>0611836006100</v>
      </c>
      <c r="B6973" t="str">
        <f>"LK5649"</f>
        <v>LK5649</v>
      </c>
      <c r="C6973" t="s">
        <v>40784</v>
      </c>
      <c r="D6973" t="s">
        <v>27245</v>
      </c>
      <c r="E6973" t="str">
        <f t="shared" si="108"/>
        <v>001390</v>
      </c>
      <c r="F6973" t="s">
        <v>27246</v>
      </c>
      <c r="G6973" t="s">
        <v>27247</v>
      </c>
      <c r="H6973" t="s">
        <v>27248</v>
      </c>
      <c r="I6973" t="s">
        <v>40785</v>
      </c>
      <c r="J6973" t="s">
        <v>13849</v>
      </c>
      <c r="L6973" t="s">
        <v>27250</v>
      </c>
      <c r="M6973" t="s">
        <v>27251</v>
      </c>
      <c r="N6973" t="s">
        <v>27252</v>
      </c>
      <c r="Q6973" s="1">
        <v>44538</v>
      </c>
      <c r="R6973" t="s">
        <v>27253</v>
      </c>
      <c r="S6973" t="s">
        <v>27254</v>
      </c>
      <c r="T6973" t="s">
        <v>27255</v>
      </c>
    </row>
    <row r="6974" spans="1:20" x14ac:dyDescent="0.3">
      <c r="A6974" t="str">
        <f>"0611863135050"</f>
        <v>0611863135050</v>
      </c>
      <c r="B6974" t="str">
        <f>"CR4140"</f>
        <v>CR4140</v>
      </c>
      <c r="C6974" t="s">
        <v>40784</v>
      </c>
      <c r="D6974" t="s">
        <v>27263</v>
      </c>
      <c r="E6974" t="str">
        <f t="shared" si="108"/>
        <v>001390</v>
      </c>
      <c r="F6974" t="s">
        <v>27246</v>
      </c>
      <c r="G6974" t="s">
        <v>27247</v>
      </c>
      <c r="H6974" t="s">
        <v>27248</v>
      </c>
      <c r="I6974" t="s">
        <v>40786</v>
      </c>
      <c r="J6974" t="s">
        <v>13851</v>
      </c>
      <c r="L6974" t="s">
        <v>27250</v>
      </c>
      <c r="M6974" t="s">
        <v>27251</v>
      </c>
      <c r="N6974" t="s">
        <v>27252</v>
      </c>
      <c r="Q6974" s="1">
        <v>44846</v>
      </c>
      <c r="R6974" t="s">
        <v>27253</v>
      </c>
      <c r="S6974" t="s">
        <v>27254</v>
      </c>
      <c r="T6974" t="s">
        <v>27265</v>
      </c>
    </row>
    <row r="6975" spans="1:20" x14ac:dyDescent="0.3">
      <c r="A6975" t="str">
        <f>"0611863136050"</f>
        <v>0611863136050</v>
      </c>
      <c r="B6975" t="str">
        <f>"CR2369"</f>
        <v>CR2369</v>
      </c>
      <c r="C6975" t="s">
        <v>40787</v>
      </c>
      <c r="D6975" t="s">
        <v>27263</v>
      </c>
      <c r="E6975" t="str">
        <f t="shared" si="108"/>
        <v>001390</v>
      </c>
      <c r="F6975" t="s">
        <v>27246</v>
      </c>
      <c r="G6975" t="s">
        <v>27247</v>
      </c>
      <c r="H6975" t="s">
        <v>27248</v>
      </c>
      <c r="I6975" t="s">
        <v>40788</v>
      </c>
      <c r="J6975" t="s">
        <v>13853</v>
      </c>
      <c r="L6975" t="s">
        <v>27250</v>
      </c>
      <c r="M6975" t="s">
        <v>27251</v>
      </c>
      <c r="N6975" t="s">
        <v>27252</v>
      </c>
      <c r="Q6975" s="1">
        <v>44846</v>
      </c>
      <c r="R6975" t="s">
        <v>27253</v>
      </c>
      <c r="S6975" t="s">
        <v>27254</v>
      </c>
      <c r="T6975" t="s">
        <v>27265</v>
      </c>
    </row>
    <row r="6976" spans="1:20" x14ac:dyDescent="0.3">
      <c r="A6976" t="str">
        <f>"0611836009100"</f>
        <v>0611836009100</v>
      </c>
      <c r="B6976" t="str">
        <f>"LB4320"</f>
        <v>LB4320</v>
      </c>
      <c r="C6976" t="s">
        <v>40789</v>
      </c>
      <c r="D6976" t="s">
        <v>27245</v>
      </c>
      <c r="E6976" t="str">
        <f t="shared" si="108"/>
        <v>001390</v>
      </c>
      <c r="F6976" t="s">
        <v>27246</v>
      </c>
      <c r="G6976" t="s">
        <v>27247</v>
      </c>
      <c r="H6976" t="s">
        <v>27248</v>
      </c>
      <c r="I6976" t="s">
        <v>40790</v>
      </c>
      <c r="J6976" t="s">
        <v>13855</v>
      </c>
      <c r="L6976" t="s">
        <v>27250</v>
      </c>
      <c r="M6976" t="s">
        <v>27251</v>
      </c>
      <c r="N6976" t="s">
        <v>27252</v>
      </c>
      <c r="Q6976" s="1">
        <v>44538</v>
      </c>
      <c r="R6976" t="s">
        <v>27253</v>
      </c>
      <c r="S6976" t="s">
        <v>27254</v>
      </c>
      <c r="T6976" t="s">
        <v>27255</v>
      </c>
    </row>
    <row r="6977" spans="1:20" x14ac:dyDescent="0.3">
      <c r="A6977" t="str">
        <f>"0611836010100"</f>
        <v>0611836010100</v>
      </c>
      <c r="B6977" t="str">
        <f>"LK3258"</f>
        <v>LK3258</v>
      </c>
      <c r="C6977" t="s">
        <v>40791</v>
      </c>
      <c r="D6977" t="s">
        <v>27245</v>
      </c>
      <c r="E6977" t="str">
        <f t="shared" si="108"/>
        <v>001390</v>
      </c>
      <c r="F6977" t="s">
        <v>27246</v>
      </c>
      <c r="G6977" t="s">
        <v>27247</v>
      </c>
      <c r="H6977" t="s">
        <v>27248</v>
      </c>
      <c r="I6977" t="s">
        <v>40792</v>
      </c>
      <c r="J6977" t="s">
        <v>13857</v>
      </c>
      <c r="L6977" t="s">
        <v>27250</v>
      </c>
      <c r="M6977" t="s">
        <v>27251</v>
      </c>
      <c r="N6977" t="s">
        <v>27252</v>
      </c>
      <c r="Q6977" s="1">
        <v>44538</v>
      </c>
      <c r="R6977" t="s">
        <v>27253</v>
      </c>
      <c r="S6977" t="s">
        <v>27254</v>
      </c>
      <c r="T6977" t="s">
        <v>27255</v>
      </c>
    </row>
    <row r="6978" spans="1:20" x14ac:dyDescent="0.3">
      <c r="A6978" t="str">
        <f>"0611836011100"</f>
        <v>0611836011100</v>
      </c>
      <c r="B6978" t="str">
        <f>"LB4321"</f>
        <v>LB4321</v>
      </c>
      <c r="C6978" t="s">
        <v>40793</v>
      </c>
      <c r="D6978" t="s">
        <v>27245</v>
      </c>
      <c r="E6978" t="str">
        <f t="shared" ref="E6978:E7041" si="109">"001390"</f>
        <v>001390</v>
      </c>
      <c r="F6978" t="s">
        <v>27246</v>
      </c>
      <c r="G6978" t="s">
        <v>27247</v>
      </c>
      <c r="H6978" t="s">
        <v>27248</v>
      </c>
      <c r="I6978" t="s">
        <v>40794</v>
      </c>
      <c r="J6978" t="s">
        <v>13859</v>
      </c>
      <c r="L6978" t="s">
        <v>27250</v>
      </c>
      <c r="M6978" t="s">
        <v>27251</v>
      </c>
      <c r="N6978" t="s">
        <v>27252</v>
      </c>
      <c r="Q6978" s="1">
        <v>44538</v>
      </c>
      <c r="R6978" t="s">
        <v>27253</v>
      </c>
      <c r="S6978" t="s">
        <v>27254</v>
      </c>
      <c r="T6978" t="s">
        <v>27255</v>
      </c>
    </row>
    <row r="6979" spans="1:20" x14ac:dyDescent="0.3">
      <c r="A6979" t="str">
        <f>"0611836012100"</f>
        <v>0611836012100</v>
      </c>
      <c r="B6979" t="str">
        <f>"LB4322"</f>
        <v>LB4322</v>
      </c>
      <c r="C6979" t="s">
        <v>40795</v>
      </c>
      <c r="D6979" t="s">
        <v>27245</v>
      </c>
      <c r="E6979" t="str">
        <f t="shared" si="109"/>
        <v>001390</v>
      </c>
      <c r="F6979" t="s">
        <v>27246</v>
      </c>
      <c r="G6979" t="s">
        <v>27247</v>
      </c>
      <c r="H6979" t="s">
        <v>27248</v>
      </c>
      <c r="I6979" t="s">
        <v>40796</v>
      </c>
      <c r="J6979" t="s">
        <v>13863</v>
      </c>
      <c r="L6979" t="s">
        <v>27250</v>
      </c>
      <c r="M6979" t="s">
        <v>27251</v>
      </c>
      <c r="N6979" t="s">
        <v>27252</v>
      </c>
      <c r="Q6979" s="1">
        <v>44538</v>
      </c>
      <c r="R6979" t="s">
        <v>27253</v>
      </c>
      <c r="S6979" t="s">
        <v>27254</v>
      </c>
      <c r="T6979" t="s">
        <v>27255</v>
      </c>
    </row>
    <row r="6980" spans="1:20" x14ac:dyDescent="0.3">
      <c r="A6980" t="str">
        <f>"0611836013100"</f>
        <v>0611836013100</v>
      </c>
      <c r="B6980" t="str">
        <f>"LB4317"</f>
        <v>LB4317</v>
      </c>
      <c r="C6980" t="s">
        <v>40797</v>
      </c>
      <c r="D6980" t="s">
        <v>27245</v>
      </c>
      <c r="E6980" t="str">
        <f t="shared" si="109"/>
        <v>001390</v>
      </c>
      <c r="F6980" t="s">
        <v>27246</v>
      </c>
      <c r="G6980" t="s">
        <v>27247</v>
      </c>
      <c r="H6980" t="s">
        <v>27248</v>
      </c>
      <c r="I6980" t="s">
        <v>40798</v>
      </c>
      <c r="J6980" t="s">
        <v>13865</v>
      </c>
      <c r="L6980" t="s">
        <v>27250</v>
      </c>
      <c r="M6980" t="s">
        <v>27251</v>
      </c>
      <c r="N6980" t="s">
        <v>27252</v>
      </c>
      <c r="Q6980" s="1">
        <v>44538</v>
      </c>
      <c r="R6980" t="s">
        <v>27253</v>
      </c>
      <c r="S6980" t="s">
        <v>27254</v>
      </c>
      <c r="T6980" t="s">
        <v>27255</v>
      </c>
    </row>
    <row r="6981" spans="1:20" x14ac:dyDescent="0.3">
      <c r="A6981" t="str">
        <f>"0611836014100"</f>
        <v>0611836014100</v>
      </c>
      <c r="B6981" t="str">
        <f>"LK2599"</f>
        <v>LK2599</v>
      </c>
      <c r="C6981" t="s">
        <v>40799</v>
      </c>
      <c r="D6981" t="s">
        <v>27245</v>
      </c>
      <c r="E6981" t="str">
        <f t="shared" si="109"/>
        <v>001390</v>
      </c>
      <c r="F6981" t="s">
        <v>27246</v>
      </c>
      <c r="G6981" t="s">
        <v>27247</v>
      </c>
      <c r="H6981" t="s">
        <v>27248</v>
      </c>
      <c r="I6981" t="s">
        <v>40800</v>
      </c>
      <c r="J6981" t="s">
        <v>13867</v>
      </c>
      <c r="L6981" t="s">
        <v>27250</v>
      </c>
      <c r="M6981" t="s">
        <v>27251</v>
      </c>
      <c r="N6981" t="s">
        <v>27252</v>
      </c>
      <c r="Q6981" s="1">
        <v>44538</v>
      </c>
      <c r="R6981" t="s">
        <v>27253</v>
      </c>
      <c r="S6981" t="s">
        <v>27254</v>
      </c>
      <c r="T6981" t="s">
        <v>27255</v>
      </c>
    </row>
    <row r="6982" spans="1:20" x14ac:dyDescent="0.3">
      <c r="A6982" t="str">
        <f>"0611836017100"</f>
        <v>0611836017100</v>
      </c>
      <c r="B6982" t="str">
        <f>"LB4288"</f>
        <v>LB4288</v>
      </c>
      <c r="C6982" t="s">
        <v>40801</v>
      </c>
      <c r="D6982" t="s">
        <v>27245</v>
      </c>
      <c r="E6982" t="str">
        <f t="shared" si="109"/>
        <v>001390</v>
      </c>
      <c r="F6982" t="s">
        <v>27246</v>
      </c>
      <c r="G6982" t="s">
        <v>27247</v>
      </c>
      <c r="H6982" t="s">
        <v>27248</v>
      </c>
      <c r="I6982" t="s">
        <v>40802</v>
      </c>
      <c r="J6982" t="s">
        <v>13869</v>
      </c>
      <c r="L6982" t="s">
        <v>27250</v>
      </c>
      <c r="M6982" t="s">
        <v>27251</v>
      </c>
      <c r="N6982" t="s">
        <v>27252</v>
      </c>
      <c r="Q6982" s="1">
        <v>44538</v>
      </c>
      <c r="R6982" t="s">
        <v>27253</v>
      </c>
      <c r="S6982" t="s">
        <v>27254</v>
      </c>
      <c r="T6982" t="s">
        <v>27255</v>
      </c>
    </row>
    <row r="6983" spans="1:20" x14ac:dyDescent="0.3">
      <c r="A6983" t="str">
        <f>"0611836018100"</f>
        <v>0611836018100</v>
      </c>
      <c r="B6983" t="str">
        <f>"LQ3243"</f>
        <v>LQ3243</v>
      </c>
      <c r="C6983" t="s">
        <v>40803</v>
      </c>
      <c r="D6983" t="s">
        <v>27245</v>
      </c>
      <c r="E6983" t="str">
        <f t="shared" si="109"/>
        <v>001390</v>
      </c>
      <c r="F6983" t="s">
        <v>27246</v>
      </c>
      <c r="G6983" t="s">
        <v>27247</v>
      </c>
      <c r="H6983" t="s">
        <v>27248</v>
      </c>
      <c r="I6983" t="s">
        <v>40804</v>
      </c>
      <c r="J6983" t="s">
        <v>13871</v>
      </c>
      <c r="L6983" t="s">
        <v>27250</v>
      </c>
      <c r="M6983" t="s">
        <v>27251</v>
      </c>
      <c r="N6983" t="s">
        <v>27252</v>
      </c>
      <c r="Q6983" s="1">
        <v>44538</v>
      </c>
      <c r="R6983" t="s">
        <v>27253</v>
      </c>
      <c r="S6983" t="s">
        <v>27254</v>
      </c>
      <c r="T6983" t="s">
        <v>27255</v>
      </c>
    </row>
    <row r="6984" spans="1:20" x14ac:dyDescent="0.3">
      <c r="A6984" t="str">
        <f>"0611836019025"</f>
        <v>0611836019025</v>
      </c>
      <c r="B6984" t="str">
        <f>"MC2267"</f>
        <v>MC2267</v>
      </c>
      <c r="C6984" t="s">
        <v>40803</v>
      </c>
      <c r="D6984" t="s">
        <v>27267</v>
      </c>
      <c r="E6984" t="str">
        <f t="shared" si="109"/>
        <v>001390</v>
      </c>
      <c r="F6984" t="s">
        <v>27246</v>
      </c>
      <c r="G6984" t="s">
        <v>27247</v>
      </c>
      <c r="H6984" t="s">
        <v>27248</v>
      </c>
      <c r="I6984" t="s">
        <v>40805</v>
      </c>
      <c r="J6984" t="s">
        <v>13873</v>
      </c>
      <c r="L6984" t="s">
        <v>27250</v>
      </c>
      <c r="M6984" t="s">
        <v>27251</v>
      </c>
      <c r="N6984" t="s">
        <v>27252</v>
      </c>
      <c r="Q6984" s="1">
        <v>44538</v>
      </c>
      <c r="R6984" t="s">
        <v>27253</v>
      </c>
      <c r="S6984" t="s">
        <v>27254</v>
      </c>
      <c r="T6984" t="s">
        <v>27269</v>
      </c>
    </row>
    <row r="6985" spans="1:20" x14ac:dyDescent="0.3">
      <c r="A6985" t="str">
        <f>"0611863137050"</f>
        <v>0611863137050</v>
      </c>
      <c r="B6985" t="str">
        <f>"CR2974"</f>
        <v>CR2974</v>
      </c>
      <c r="C6985" t="s">
        <v>40803</v>
      </c>
      <c r="D6985" t="s">
        <v>27263</v>
      </c>
      <c r="E6985" t="str">
        <f t="shared" si="109"/>
        <v>001390</v>
      </c>
      <c r="F6985" t="s">
        <v>27246</v>
      </c>
      <c r="G6985" t="s">
        <v>27247</v>
      </c>
      <c r="H6985" t="s">
        <v>27248</v>
      </c>
      <c r="I6985" t="s">
        <v>40806</v>
      </c>
      <c r="J6985" t="s">
        <v>13875</v>
      </c>
      <c r="L6985" t="s">
        <v>27250</v>
      </c>
      <c r="M6985" t="s">
        <v>27251</v>
      </c>
      <c r="N6985" t="s">
        <v>27252</v>
      </c>
      <c r="Q6985" s="1">
        <v>44846</v>
      </c>
      <c r="R6985" t="s">
        <v>27253</v>
      </c>
      <c r="S6985" t="s">
        <v>27254</v>
      </c>
      <c r="T6985" t="s">
        <v>27265</v>
      </c>
    </row>
    <row r="6986" spans="1:20" x14ac:dyDescent="0.3">
      <c r="A6986" t="str">
        <f>"0611857016100"</f>
        <v>0611857016100</v>
      </c>
      <c r="B6986" t="str">
        <f>"LQ3887"</f>
        <v>LQ3887</v>
      </c>
      <c r="C6986" t="s">
        <v>40807</v>
      </c>
      <c r="D6986" t="s">
        <v>27245</v>
      </c>
      <c r="E6986" t="str">
        <f t="shared" si="109"/>
        <v>001390</v>
      </c>
      <c r="F6986" t="s">
        <v>27246</v>
      </c>
      <c r="G6986" t="s">
        <v>27247</v>
      </c>
      <c r="H6986" t="s">
        <v>27248</v>
      </c>
      <c r="I6986" t="s">
        <v>40808</v>
      </c>
      <c r="J6986" t="s">
        <v>13877</v>
      </c>
      <c r="L6986" t="s">
        <v>27250</v>
      </c>
      <c r="M6986" t="s">
        <v>27251</v>
      </c>
      <c r="N6986" t="s">
        <v>27252</v>
      </c>
      <c r="Q6986" s="1">
        <v>44812</v>
      </c>
      <c r="R6986" t="s">
        <v>27253</v>
      </c>
      <c r="S6986" t="s">
        <v>27254</v>
      </c>
      <c r="T6986" t="s">
        <v>27255</v>
      </c>
    </row>
    <row r="6987" spans="1:20" x14ac:dyDescent="0.3">
      <c r="A6987" t="str">
        <f>"0611836020100"</f>
        <v>0611836020100</v>
      </c>
      <c r="B6987" t="str">
        <f>"LQ3836"</f>
        <v>LQ3836</v>
      </c>
      <c r="C6987" t="s">
        <v>40809</v>
      </c>
      <c r="D6987" t="s">
        <v>27245</v>
      </c>
      <c r="E6987" t="str">
        <f t="shared" si="109"/>
        <v>001390</v>
      </c>
      <c r="F6987" t="s">
        <v>27246</v>
      </c>
      <c r="G6987" t="s">
        <v>27247</v>
      </c>
      <c r="H6987" t="s">
        <v>27248</v>
      </c>
      <c r="I6987" t="s">
        <v>40810</v>
      </c>
      <c r="J6987" t="s">
        <v>13879</v>
      </c>
      <c r="L6987" t="s">
        <v>27250</v>
      </c>
      <c r="M6987" t="s">
        <v>27251</v>
      </c>
      <c r="N6987" t="s">
        <v>27252</v>
      </c>
      <c r="Q6987" s="1">
        <v>44538</v>
      </c>
      <c r="R6987" t="s">
        <v>27253</v>
      </c>
      <c r="S6987" t="s">
        <v>27254</v>
      </c>
      <c r="T6987" t="s">
        <v>27255</v>
      </c>
    </row>
    <row r="6988" spans="1:20" x14ac:dyDescent="0.3">
      <c r="A6988" t="str">
        <f>"0611836021100"</f>
        <v>0611836021100</v>
      </c>
      <c r="B6988" t="str">
        <f>"LQ3837"</f>
        <v>LQ3837</v>
      </c>
      <c r="C6988" t="s">
        <v>40811</v>
      </c>
      <c r="D6988" t="s">
        <v>27245</v>
      </c>
      <c r="E6988" t="str">
        <f t="shared" si="109"/>
        <v>001390</v>
      </c>
      <c r="F6988" t="s">
        <v>27246</v>
      </c>
      <c r="G6988" t="s">
        <v>27247</v>
      </c>
      <c r="H6988" t="s">
        <v>27248</v>
      </c>
      <c r="I6988" t="s">
        <v>40812</v>
      </c>
      <c r="J6988" t="s">
        <v>13881</v>
      </c>
      <c r="L6988" t="s">
        <v>27250</v>
      </c>
      <c r="M6988" t="s">
        <v>27251</v>
      </c>
      <c r="N6988" t="s">
        <v>27252</v>
      </c>
      <c r="Q6988" s="1">
        <v>44538</v>
      </c>
      <c r="R6988" t="s">
        <v>27253</v>
      </c>
      <c r="S6988" t="s">
        <v>27254</v>
      </c>
      <c r="T6988" t="s">
        <v>27255</v>
      </c>
    </row>
    <row r="6989" spans="1:20" x14ac:dyDescent="0.3">
      <c r="A6989" t="str">
        <f>"0611836022100"</f>
        <v>0611836022100</v>
      </c>
      <c r="B6989" t="str">
        <f>"LQ3838"</f>
        <v>LQ3838</v>
      </c>
      <c r="C6989" t="s">
        <v>40813</v>
      </c>
      <c r="D6989" t="s">
        <v>27245</v>
      </c>
      <c r="E6989" t="str">
        <f t="shared" si="109"/>
        <v>001390</v>
      </c>
      <c r="F6989" t="s">
        <v>27246</v>
      </c>
      <c r="G6989" t="s">
        <v>27247</v>
      </c>
      <c r="H6989" t="s">
        <v>27248</v>
      </c>
      <c r="I6989" t="s">
        <v>40814</v>
      </c>
      <c r="J6989" t="s">
        <v>13883</v>
      </c>
      <c r="L6989" t="s">
        <v>27250</v>
      </c>
      <c r="M6989" t="s">
        <v>27251</v>
      </c>
      <c r="N6989" t="s">
        <v>27252</v>
      </c>
      <c r="Q6989" s="1">
        <v>44538</v>
      </c>
      <c r="R6989" t="s">
        <v>27253</v>
      </c>
      <c r="S6989" t="s">
        <v>27254</v>
      </c>
      <c r="T6989" t="s">
        <v>27255</v>
      </c>
    </row>
    <row r="6990" spans="1:20" x14ac:dyDescent="0.3">
      <c r="A6990" t="str">
        <f>"0611836024100"</f>
        <v>0611836024100</v>
      </c>
      <c r="B6990" t="str">
        <f>"LB4289"</f>
        <v>LB4289</v>
      </c>
      <c r="C6990" t="s">
        <v>40815</v>
      </c>
      <c r="D6990" t="s">
        <v>27245</v>
      </c>
      <c r="E6990" t="str">
        <f t="shared" si="109"/>
        <v>001390</v>
      </c>
      <c r="F6990" t="s">
        <v>27246</v>
      </c>
      <c r="G6990" t="s">
        <v>27247</v>
      </c>
      <c r="H6990" t="s">
        <v>27248</v>
      </c>
      <c r="I6990" t="s">
        <v>40816</v>
      </c>
      <c r="J6990" t="s">
        <v>13847</v>
      </c>
      <c r="L6990" t="s">
        <v>27250</v>
      </c>
      <c r="M6990" t="s">
        <v>27251</v>
      </c>
      <c r="N6990" t="s">
        <v>27252</v>
      </c>
      <c r="Q6990" s="1">
        <v>44538</v>
      </c>
      <c r="R6990" t="s">
        <v>27253</v>
      </c>
      <c r="S6990" t="s">
        <v>27254</v>
      </c>
      <c r="T6990" t="s">
        <v>27255</v>
      </c>
    </row>
    <row r="6991" spans="1:20" x14ac:dyDescent="0.3">
      <c r="A6991" t="str">
        <f>"0611863138050"</f>
        <v>0611863138050</v>
      </c>
      <c r="B6991" t="str">
        <f>"CR3384"</f>
        <v>CR3384</v>
      </c>
      <c r="C6991" t="s">
        <v>40817</v>
      </c>
      <c r="D6991" t="s">
        <v>27263</v>
      </c>
      <c r="E6991" t="str">
        <f t="shared" si="109"/>
        <v>001390</v>
      </c>
      <c r="F6991" t="s">
        <v>27246</v>
      </c>
      <c r="G6991" t="s">
        <v>27247</v>
      </c>
      <c r="H6991" t="s">
        <v>27248</v>
      </c>
      <c r="I6991" t="s">
        <v>40818</v>
      </c>
      <c r="J6991" t="s">
        <v>13845</v>
      </c>
      <c r="L6991" t="s">
        <v>27250</v>
      </c>
      <c r="M6991" t="s">
        <v>27251</v>
      </c>
      <c r="N6991" t="s">
        <v>27252</v>
      </c>
      <c r="Q6991" s="1">
        <v>44846</v>
      </c>
      <c r="R6991" t="s">
        <v>27253</v>
      </c>
      <c r="S6991" t="s">
        <v>27254</v>
      </c>
      <c r="T6991" t="s">
        <v>27265</v>
      </c>
    </row>
    <row r="6992" spans="1:20" x14ac:dyDescent="0.3">
      <c r="A6992" t="str">
        <f>"0611836025100"</f>
        <v>0611836025100</v>
      </c>
      <c r="B6992" t="str">
        <f>"LB4283"</f>
        <v>LB4283</v>
      </c>
      <c r="C6992" t="s">
        <v>40819</v>
      </c>
      <c r="D6992" t="s">
        <v>27245</v>
      </c>
      <c r="E6992" t="str">
        <f t="shared" si="109"/>
        <v>001390</v>
      </c>
      <c r="F6992" t="s">
        <v>27246</v>
      </c>
      <c r="G6992" t="s">
        <v>27247</v>
      </c>
      <c r="H6992" t="s">
        <v>27248</v>
      </c>
      <c r="I6992" t="s">
        <v>40820</v>
      </c>
      <c r="J6992" t="s">
        <v>13861</v>
      </c>
      <c r="L6992" t="s">
        <v>27250</v>
      </c>
      <c r="M6992" t="s">
        <v>27251</v>
      </c>
      <c r="N6992" t="s">
        <v>27252</v>
      </c>
      <c r="Q6992" s="1">
        <v>44538</v>
      </c>
      <c r="R6992" t="s">
        <v>27253</v>
      </c>
      <c r="S6992" t="s">
        <v>27254</v>
      </c>
      <c r="T6992" t="s">
        <v>27255</v>
      </c>
    </row>
    <row r="6993" spans="1:20" x14ac:dyDescent="0.3">
      <c r="A6993" t="str">
        <f>"0611863139050"</f>
        <v>0611863139050</v>
      </c>
      <c r="B6993" t="str">
        <f>"CR2975"</f>
        <v>CR2975</v>
      </c>
      <c r="C6993" t="s">
        <v>40821</v>
      </c>
      <c r="D6993" t="s">
        <v>27263</v>
      </c>
      <c r="E6993" t="str">
        <f t="shared" si="109"/>
        <v>001390</v>
      </c>
      <c r="F6993" t="s">
        <v>27246</v>
      </c>
      <c r="G6993" t="s">
        <v>27247</v>
      </c>
      <c r="H6993" t="s">
        <v>27248</v>
      </c>
      <c r="I6993" t="s">
        <v>40822</v>
      </c>
      <c r="J6993" t="s">
        <v>13889</v>
      </c>
      <c r="L6993" t="s">
        <v>27250</v>
      </c>
      <c r="M6993" t="s">
        <v>27251</v>
      </c>
      <c r="N6993" t="s">
        <v>27252</v>
      </c>
      <c r="Q6993" s="1">
        <v>44846</v>
      </c>
      <c r="R6993" t="s">
        <v>27253</v>
      </c>
      <c r="S6993" t="s">
        <v>27254</v>
      </c>
      <c r="T6993" t="s">
        <v>27265</v>
      </c>
    </row>
    <row r="6994" spans="1:20" x14ac:dyDescent="0.3">
      <c r="A6994" t="str">
        <f>"0611836026100"</f>
        <v>0611836026100</v>
      </c>
      <c r="B6994" t="str">
        <f>"LB4303"</f>
        <v>LB4303</v>
      </c>
      <c r="C6994" t="s">
        <v>40823</v>
      </c>
      <c r="D6994" t="s">
        <v>27245</v>
      </c>
      <c r="E6994" t="str">
        <f t="shared" si="109"/>
        <v>001390</v>
      </c>
      <c r="F6994" t="s">
        <v>27246</v>
      </c>
      <c r="G6994" t="s">
        <v>27247</v>
      </c>
      <c r="H6994" t="s">
        <v>27248</v>
      </c>
      <c r="I6994" t="s">
        <v>40824</v>
      </c>
      <c r="J6994" t="s">
        <v>13891</v>
      </c>
      <c r="L6994" t="s">
        <v>27250</v>
      </c>
      <c r="M6994" t="s">
        <v>27251</v>
      </c>
      <c r="N6994" t="s">
        <v>27252</v>
      </c>
      <c r="Q6994" s="1">
        <v>44538</v>
      </c>
      <c r="R6994" t="s">
        <v>27253</v>
      </c>
      <c r="S6994" t="s">
        <v>27254</v>
      </c>
      <c r="T6994" t="s">
        <v>27255</v>
      </c>
    </row>
    <row r="6995" spans="1:20" x14ac:dyDescent="0.3">
      <c r="A6995" t="str">
        <f>"0611836027100"</f>
        <v>0611836027100</v>
      </c>
      <c r="B6995" t="str">
        <f>"LK5650"</f>
        <v>LK5650</v>
      </c>
      <c r="C6995" t="s">
        <v>40825</v>
      </c>
      <c r="D6995" t="s">
        <v>27245</v>
      </c>
      <c r="E6995" t="str">
        <f t="shared" si="109"/>
        <v>001390</v>
      </c>
      <c r="F6995" t="s">
        <v>27246</v>
      </c>
      <c r="G6995" t="s">
        <v>27247</v>
      </c>
      <c r="H6995" t="s">
        <v>27248</v>
      </c>
      <c r="I6995" t="s">
        <v>40826</v>
      </c>
      <c r="J6995" t="s">
        <v>13885</v>
      </c>
      <c r="L6995" t="s">
        <v>27250</v>
      </c>
      <c r="M6995" t="s">
        <v>27251</v>
      </c>
      <c r="N6995" t="s">
        <v>27252</v>
      </c>
      <c r="Q6995" s="1">
        <v>44538</v>
      </c>
      <c r="R6995" t="s">
        <v>27253</v>
      </c>
      <c r="S6995" t="s">
        <v>27254</v>
      </c>
      <c r="T6995" t="s">
        <v>27255</v>
      </c>
    </row>
    <row r="6996" spans="1:20" x14ac:dyDescent="0.3">
      <c r="A6996" t="str">
        <f>"0611836028100"</f>
        <v>0611836028100</v>
      </c>
      <c r="B6996" t="str">
        <f>"LB4324"</f>
        <v>LB4324</v>
      </c>
      <c r="C6996" t="s">
        <v>40827</v>
      </c>
      <c r="D6996" t="s">
        <v>27245</v>
      </c>
      <c r="E6996" t="str">
        <f t="shared" si="109"/>
        <v>001390</v>
      </c>
      <c r="F6996" t="s">
        <v>27246</v>
      </c>
      <c r="G6996" t="s">
        <v>27247</v>
      </c>
      <c r="H6996" t="s">
        <v>27248</v>
      </c>
      <c r="I6996" t="s">
        <v>40828</v>
      </c>
      <c r="J6996" t="s">
        <v>13887</v>
      </c>
      <c r="L6996" t="s">
        <v>27250</v>
      </c>
      <c r="M6996" t="s">
        <v>27251</v>
      </c>
      <c r="N6996" t="s">
        <v>27252</v>
      </c>
      <c r="Q6996" s="1">
        <v>44538</v>
      </c>
      <c r="R6996" t="s">
        <v>27253</v>
      </c>
      <c r="S6996" t="s">
        <v>27254</v>
      </c>
      <c r="T6996" t="s">
        <v>27255</v>
      </c>
    </row>
    <row r="6997" spans="1:20" x14ac:dyDescent="0.3">
      <c r="A6997" t="str">
        <f>"0611836029100"</f>
        <v>0611836029100</v>
      </c>
      <c r="B6997" t="str">
        <f>"LB4325"</f>
        <v>LB4325</v>
      </c>
      <c r="C6997" t="s">
        <v>40829</v>
      </c>
      <c r="D6997" t="s">
        <v>27335</v>
      </c>
      <c r="E6997" t="str">
        <f t="shared" si="109"/>
        <v>001390</v>
      </c>
      <c r="F6997" t="s">
        <v>27246</v>
      </c>
      <c r="G6997" t="s">
        <v>27247</v>
      </c>
      <c r="H6997" t="s">
        <v>27248</v>
      </c>
      <c r="I6997" t="s">
        <v>40830</v>
      </c>
      <c r="J6997" t="s">
        <v>13893</v>
      </c>
      <c r="L6997" t="s">
        <v>27250</v>
      </c>
      <c r="M6997" t="s">
        <v>27251</v>
      </c>
      <c r="N6997" t="s">
        <v>27252</v>
      </c>
      <c r="Q6997" s="1">
        <v>44538</v>
      </c>
      <c r="R6997" t="s">
        <v>27253</v>
      </c>
      <c r="S6997" t="s">
        <v>27254</v>
      </c>
      <c r="T6997" t="s">
        <v>27255</v>
      </c>
    </row>
    <row r="6998" spans="1:20" x14ac:dyDescent="0.3">
      <c r="A6998" t="str">
        <f>"0611833296100"</f>
        <v>0611833296100</v>
      </c>
      <c r="B6998" t="str">
        <f>"LK0213"</f>
        <v>LK0213</v>
      </c>
      <c r="C6998" t="s">
        <v>40831</v>
      </c>
      <c r="D6998" t="s">
        <v>27245</v>
      </c>
      <c r="E6998" t="str">
        <f t="shared" si="109"/>
        <v>001390</v>
      </c>
      <c r="F6998" t="s">
        <v>27246</v>
      </c>
      <c r="G6998" t="s">
        <v>27247</v>
      </c>
      <c r="H6998" t="s">
        <v>27248</v>
      </c>
      <c r="I6998" t="s">
        <v>40832</v>
      </c>
      <c r="J6998" t="s">
        <v>13895</v>
      </c>
      <c r="L6998" t="s">
        <v>27250</v>
      </c>
      <c r="M6998" t="s">
        <v>27251</v>
      </c>
      <c r="N6998" t="s">
        <v>27252</v>
      </c>
      <c r="Q6998" s="1">
        <v>44538</v>
      </c>
      <c r="R6998" t="s">
        <v>27253</v>
      </c>
      <c r="S6998" t="s">
        <v>27254</v>
      </c>
      <c r="T6998" t="s">
        <v>27255</v>
      </c>
    </row>
    <row r="6999" spans="1:20" x14ac:dyDescent="0.3">
      <c r="A6999" t="str">
        <f>"0611833295100"</f>
        <v>0611833295100</v>
      </c>
      <c r="B6999" t="str">
        <f>"LB4390"</f>
        <v>LB4390</v>
      </c>
      <c r="C6999" t="s">
        <v>40833</v>
      </c>
      <c r="D6999" t="s">
        <v>27245</v>
      </c>
      <c r="E6999" t="str">
        <f t="shared" si="109"/>
        <v>001390</v>
      </c>
      <c r="F6999" t="s">
        <v>27246</v>
      </c>
      <c r="G6999" t="s">
        <v>27247</v>
      </c>
      <c r="H6999" t="s">
        <v>27248</v>
      </c>
      <c r="I6999" t="s">
        <v>40834</v>
      </c>
      <c r="J6999" t="s">
        <v>13897</v>
      </c>
      <c r="L6999" t="s">
        <v>27250</v>
      </c>
      <c r="M6999" t="s">
        <v>27251</v>
      </c>
      <c r="N6999" t="s">
        <v>27252</v>
      </c>
      <c r="Q6999" s="1">
        <v>44538</v>
      </c>
      <c r="R6999" t="s">
        <v>27253</v>
      </c>
      <c r="S6999" t="s">
        <v>27254</v>
      </c>
      <c r="T6999" t="s">
        <v>27255</v>
      </c>
    </row>
    <row r="7000" spans="1:20" x14ac:dyDescent="0.3">
      <c r="A7000" t="str">
        <f>"0611836030100"</f>
        <v>0611836030100</v>
      </c>
      <c r="B7000" t="str">
        <f>"LK5371"</f>
        <v>LK5371</v>
      </c>
      <c r="C7000" t="s">
        <v>40835</v>
      </c>
      <c r="D7000" t="s">
        <v>27245</v>
      </c>
      <c r="E7000" t="str">
        <f t="shared" si="109"/>
        <v>001390</v>
      </c>
      <c r="F7000" t="s">
        <v>27246</v>
      </c>
      <c r="G7000" t="s">
        <v>27247</v>
      </c>
      <c r="H7000" t="s">
        <v>27248</v>
      </c>
      <c r="I7000" t="s">
        <v>40836</v>
      </c>
      <c r="J7000" t="s">
        <v>13899</v>
      </c>
      <c r="L7000" t="s">
        <v>27250</v>
      </c>
      <c r="M7000" t="s">
        <v>27251</v>
      </c>
      <c r="N7000" t="s">
        <v>27252</v>
      </c>
      <c r="Q7000" s="1">
        <v>44538</v>
      </c>
      <c r="R7000" t="s">
        <v>27253</v>
      </c>
      <c r="S7000" t="s">
        <v>27254</v>
      </c>
      <c r="T7000" t="s">
        <v>27255</v>
      </c>
    </row>
    <row r="7001" spans="1:20" x14ac:dyDescent="0.3">
      <c r="A7001" t="str">
        <f>"0611836031100"</f>
        <v>0611836031100</v>
      </c>
      <c r="B7001" t="str">
        <f>"LK3514"</f>
        <v>LK3514</v>
      </c>
      <c r="C7001" t="s">
        <v>40837</v>
      </c>
      <c r="D7001" t="s">
        <v>27245</v>
      </c>
      <c r="E7001" t="str">
        <f t="shared" si="109"/>
        <v>001390</v>
      </c>
      <c r="F7001" t="s">
        <v>27246</v>
      </c>
      <c r="G7001" t="s">
        <v>27247</v>
      </c>
      <c r="H7001" t="s">
        <v>27248</v>
      </c>
      <c r="I7001" t="s">
        <v>40838</v>
      </c>
      <c r="J7001" t="s">
        <v>13903</v>
      </c>
      <c r="L7001" t="s">
        <v>27250</v>
      </c>
      <c r="M7001" t="s">
        <v>27251</v>
      </c>
      <c r="N7001" t="s">
        <v>27252</v>
      </c>
      <c r="Q7001" s="1">
        <v>44538</v>
      </c>
      <c r="R7001" t="s">
        <v>27253</v>
      </c>
      <c r="S7001" t="s">
        <v>27254</v>
      </c>
      <c r="T7001" t="s">
        <v>27255</v>
      </c>
    </row>
    <row r="7002" spans="1:20" x14ac:dyDescent="0.3">
      <c r="A7002" t="str">
        <f>"0611836032025"</f>
        <v>0611836032025</v>
      </c>
      <c r="B7002" t="str">
        <f>"MC0464"</f>
        <v>MC0464</v>
      </c>
      <c r="C7002" t="s">
        <v>40839</v>
      </c>
      <c r="D7002" t="s">
        <v>27267</v>
      </c>
      <c r="E7002" t="str">
        <f t="shared" si="109"/>
        <v>001390</v>
      </c>
      <c r="F7002" t="s">
        <v>27246</v>
      </c>
      <c r="G7002" t="s">
        <v>27247</v>
      </c>
      <c r="H7002" t="s">
        <v>27248</v>
      </c>
      <c r="I7002" t="s">
        <v>40840</v>
      </c>
      <c r="J7002" t="s">
        <v>13905</v>
      </c>
      <c r="L7002" t="s">
        <v>27250</v>
      </c>
      <c r="M7002" t="s">
        <v>27251</v>
      </c>
      <c r="N7002" t="s">
        <v>27252</v>
      </c>
      <c r="Q7002" s="1">
        <v>44538</v>
      </c>
      <c r="R7002" t="s">
        <v>27253</v>
      </c>
      <c r="S7002" t="s">
        <v>27254</v>
      </c>
      <c r="T7002" t="s">
        <v>27269</v>
      </c>
    </row>
    <row r="7003" spans="1:20" x14ac:dyDescent="0.3">
      <c r="A7003" t="str">
        <f>"0611836033100"</f>
        <v>0611836033100</v>
      </c>
      <c r="B7003" t="str">
        <f>"LB8993"</f>
        <v>LB8993</v>
      </c>
      <c r="C7003" t="s">
        <v>40841</v>
      </c>
      <c r="D7003" t="s">
        <v>27245</v>
      </c>
      <c r="E7003" t="str">
        <f t="shared" si="109"/>
        <v>001390</v>
      </c>
      <c r="F7003" t="s">
        <v>27246</v>
      </c>
      <c r="G7003" t="s">
        <v>27247</v>
      </c>
      <c r="H7003" t="s">
        <v>27248</v>
      </c>
      <c r="I7003" t="s">
        <v>40842</v>
      </c>
      <c r="J7003" t="s">
        <v>13907</v>
      </c>
      <c r="L7003" t="s">
        <v>27250</v>
      </c>
      <c r="M7003" t="s">
        <v>27251</v>
      </c>
      <c r="N7003" t="s">
        <v>27252</v>
      </c>
      <c r="Q7003" s="1">
        <v>44538</v>
      </c>
      <c r="R7003" t="s">
        <v>27253</v>
      </c>
      <c r="S7003" t="s">
        <v>27254</v>
      </c>
      <c r="T7003" t="s">
        <v>27255</v>
      </c>
    </row>
    <row r="7004" spans="1:20" x14ac:dyDescent="0.3">
      <c r="A7004" t="str">
        <f>"0611836034100"</f>
        <v>0611836034100</v>
      </c>
      <c r="B7004" t="str">
        <f>"LB8990"</f>
        <v>LB8990</v>
      </c>
      <c r="C7004" t="s">
        <v>40843</v>
      </c>
      <c r="D7004" t="s">
        <v>27245</v>
      </c>
      <c r="E7004" t="str">
        <f t="shared" si="109"/>
        <v>001390</v>
      </c>
      <c r="F7004" t="s">
        <v>27246</v>
      </c>
      <c r="G7004" t="s">
        <v>27247</v>
      </c>
      <c r="H7004" t="s">
        <v>27248</v>
      </c>
      <c r="I7004" t="s">
        <v>40844</v>
      </c>
      <c r="J7004" t="s">
        <v>13901</v>
      </c>
      <c r="L7004" t="s">
        <v>27250</v>
      </c>
      <c r="M7004" t="s">
        <v>27251</v>
      </c>
      <c r="N7004" t="s">
        <v>27252</v>
      </c>
      <c r="Q7004" s="1">
        <v>44538</v>
      </c>
      <c r="R7004" t="s">
        <v>27253</v>
      </c>
      <c r="S7004" t="s">
        <v>27254</v>
      </c>
      <c r="T7004" t="s">
        <v>27255</v>
      </c>
    </row>
    <row r="7005" spans="1:20" x14ac:dyDescent="0.3">
      <c r="A7005" t="str">
        <f>"0611836035100"</f>
        <v>0611836035100</v>
      </c>
      <c r="B7005" t="str">
        <f>"LH4980"</f>
        <v>LH4980</v>
      </c>
      <c r="C7005" t="s">
        <v>40845</v>
      </c>
      <c r="D7005" t="s">
        <v>27245</v>
      </c>
      <c r="E7005" t="str">
        <f t="shared" si="109"/>
        <v>001390</v>
      </c>
      <c r="F7005" t="s">
        <v>27246</v>
      </c>
      <c r="G7005" t="s">
        <v>27247</v>
      </c>
      <c r="H7005" t="s">
        <v>27248</v>
      </c>
      <c r="I7005" t="s">
        <v>40846</v>
      </c>
      <c r="J7005" t="s">
        <v>13040</v>
      </c>
      <c r="L7005" t="s">
        <v>27250</v>
      </c>
      <c r="M7005" t="s">
        <v>27251</v>
      </c>
      <c r="N7005" t="s">
        <v>27252</v>
      </c>
      <c r="Q7005" s="1">
        <v>44538</v>
      </c>
      <c r="R7005" t="s">
        <v>27253</v>
      </c>
      <c r="S7005" t="s">
        <v>27254</v>
      </c>
      <c r="T7005" t="s">
        <v>27255</v>
      </c>
    </row>
    <row r="7006" spans="1:20" x14ac:dyDescent="0.3">
      <c r="A7006" t="str">
        <f>"0611836036025"</f>
        <v>0611836036025</v>
      </c>
      <c r="B7006" t="str">
        <f>"MC1627"</f>
        <v>MC1627</v>
      </c>
      <c r="C7006" t="s">
        <v>40845</v>
      </c>
      <c r="D7006" t="s">
        <v>27267</v>
      </c>
      <c r="E7006" t="str">
        <f t="shared" si="109"/>
        <v>001390</v>
      </c>
      <c r="F7006" t="s">
        <v>27246</v>
      </c>
      <c r="G7006" t="s">
        <v>27247</v>
      </c>
      <c r="H7006" t="s">
        <v>27248</v>
      </c>
      <c r="I7006" t="s">
        <v>40847</v>
      </c>
      <c r="J7006" t="s">
        <v>13042</v>
      </c>
      <c r="L7006" t="s">
        <v>27250</v>
      </c>
      <c r="M7006" t="s">
        <v>27251</v>
      </c>
      <c r="N7006" t="s">
        <v>27252</v>
      </c>
      <c r="Q7006" s="1">
        <v>44538</v>
      </c>
      <c r="R7006" t="s">
        <v>27253</v>
      </c>
      <c r="S7006" t="s">
        <v>27254</v>
      </c>
      <c r="T7006" t="s">
        <v>27269</v>
      </c>
    </row>
    <row r="7007" spans="1:20" x14ac:dyDescent="0.3">
      <c r="A7007" t="str">
        <f>"0611836037100"</f>
        <v>0611836037100</v>
      </c>
      <c r="B7007" t="str">
        <f>"LK5021"</f>
        <v>LK5021</v>
      </c>
      <c r="C7007" t="s">
        <v>40848</v>
      </c>
      <c r="D7007" t="s">
        <v>27245</v>
      </c>
      <c r="E7007" t="str">
        <f t="shared" si="109"/>
        <v>001390</v>
      </c>
      <c r="F7007" t="s">
        <v>27246</v>
      </c>
      <c r="G7007" t="s">
        <v>27247</v>
      </c>
      <c r="H7007" t="s">
        <v>27248</v>
      </c>
      <c r="I7007" t="s">
        <v>40849</v>
      </c>
      <c r="J7007" t="s">
        <v>13048</v>
      </c>
      <c r="L7007" t="s">
        <v>27250</v>
      </c>
      <c r="M7007" t="s">
        <v>27251</v>
      </c>
      <c r="N7007" t="s">
        <v>27252</v>
      </c>
      <c r="Q7007" s="1">
        <v>44538</v>
      </c>
      <c r="R7007" t="s">
        <v>27253</v>
      </c>
      <c r="S7007" t="s">
        <v>27254</v>
      </c>
      <c r="T7007" t="s">
        <v>27255</v>
      </c>
    </row>
    <row r="7008" spans="1:20" x14ac:dyDescent="0.3">
      <c r="A7008" t="str">
        <f>"0611836038100"</f>
        <v>0611836038100</v>
      </c>
      <c r="B7008" t="str">
        <f>"LK5022"</f>
        <v>LK5022</v>
      </c>
      <c r="C7008" t="s">
        <v>40850</v>
      </c>
      <c r="D7008" t="s">
        <v>27245</v>
      </c>
      <c r="E7008" t="str">
        <f t="shared" si="109"/>
        <v>001390</v>
      </c>
      <c r="F7008" t="s">
        <v>27246</v>
      </c>
      <c r="G7008" t="s">
        <v>27247</v>
      </c>
      <c r="H7008" t="s">
        <v>27248</v>
      </c>
      <c r="I7008" t="s">
        <v>40851</v>
      </c>
      <c r="J7008" t="s">
        <v>13050</v>
      </c>
      <c r="L7008" t="s">
        <v>27250</v>
      </c>
      <c r="M7008" t="s">
        <v>27251</v>
      </c>
      <c r="N7008" t="s">
        <v>27252</v>
      </c>
      <c r="Q7008" s="1">
        <v>44538</v>
      </c>
      <c r="R7008" t="s">
        <v>27253</v>
      </c>
      <c r="S7008" t="s">
        <v>27254</v>
      </c>
      <c r="T7008" t="s">
        <v>27255</v>
      </c>
    </row>
    <row r="7009" spans="1:20" x14ac:dyDescent="0.3">
      <c r="A7009" t="str">
        <f>"0611836039100"</f>
        <v>0611836039100</v>
      </c>
      <c r="B7009" t="str">
        <f>"LK6517"</f>
        <v>LK6517</v>
      </c>
      <c r="C7009" t="s">
        <v>40852</v>
      </c>
      <c r="D7009" t="s">
        <v>27245</v>
      </c>
      <c r="E7009" t="str">
        <f t="shared" si="109"/>
        <v>001390</v>
      </c>
      <c r="F7009" t="s">
        <v>27246</v>
      </c>
      <c r="G7009" t="s">
        <v>27247</v>
      </c>
      <c r="H7009" t="s">
        <v>27248</v>
      </c>
      <c r="I7009" t="s">
        <v>40853</v>
      </c>
      <c r="J7009" t="s">
        <v>13052</v>
      </c>
      <c r="L7009" t="s">
        <v>27250</v>
      </c>
      <c r="M7009" t="s">
        <v>27251</v>
      </c>
      <c r="N7009" t="s">
        <v>27252</v>
      </c>
      <c r="Q7009" s="1">
        <v>44538</v>
      </c>
      <c r="R7009" t="s">
        <v>27253</v>
      </c>
      <c r="S7009" t="s">
        <v>27254</v>
      </c>
      <c r="T7009" t="s">
        <v>27255</v>
      </c>
    </row>
    <row r="7010" spans="1:20" x14ac:dyDescent="0.3">
      <c r="A7010" t="str">
        <f>"0611836040100"</f>
        <v>0611836040100</v>
      </c>
      <c r="B7010" t="str">
        <f>"LK2888"</f>
        <v>LK2888</v>
      </c>
      <c r="C7010" t="s">
        <v>40854</v>
      </c>
      <c r="D7010" t="s">
        <v>28138</v>
      </c>
      <c r="E7010" t="str">
        <f t="shared" si="109"/>
        <v>001390</v>
      </c>
      <c r="F7010" t="s">
        <v>27246</v>
      </c>
      <c r="G7010" t="s">
        <v>27247</v>
      </c>
      <c r="H7010" t="s">
        <v>27248</v>
      </c>
      <c r="I7010" t="s">
        <v>40855</v>
      </c>
      <c r="J7010" t="s">
        <v>13054</v>
      </c>
      <c r="L7010" t="s">
        <v>27250</v>
      </c>
      <c r="M7010" t="s">
        <v>27251</v>
      </c>
      <c r="N7010" t="s">
        <v>27252</v>
      </c>
      <c r="P7010" t="s">
        <v>27925</v>
      </c>
      <c r="Q7010" s="1">
        <v>44538</v>
      </c>
      <c r="R7010" t="s">
        <v>27253</v>
      </c>
      <c r="S7010" t="s">
        <v>27254</v>
      </c>
      <c r="T7010" t="s">
        <v>27255</v>
      </c>
    </row>
    <row r="7011" spans="1:20" x14ac:dyDescent="0.3">
      <c r="A7011" t="str">
        <f>"0611836043025"</f>
        <v>0611836043025</v>
      </c>
      <c r="B7011" t="str">
        <f>"MC4220"</f>
        <v>MC4220</v>
      </c>
      <c r="C7011" t="s">
        <v>40856</v>
      </c>
      <c r="D7011" t="s">
        <v>27267</v>
      </c>
      <c r="E7011" t="str">
        <f t="shared" si="109"/>
        <v>001390</v>
      </c>
      <c r="F7011" t="s">
        <v>27246</v>
      </c>
      <c r="G7011" t="s">
        <v>27247</v>
      </c>
      <c r="H7011" t="s">
        <v>27248</v>
      </c>
      <c r="I7011" t="s">
        <v>40857</v>
      </c>
      <c r="J7011" t="s">
        <v>13056</v>
      </c>
      <c r="L7011" t="s">
        <v>27250</v>
      </c>
      <c r="M7011" t="s">
        <v>27251</v>
      </c>
      <c r="N7011" t="s">
        <v>27252</v>
      </c>
      <c r="Q7011" s="1">
        <v>44538</v>
      </c>
      <c r="R7011" t="s">
        <v>27253</v>
      </c>
      <c r="S7011" t="s">
        <v>27254</v>
      </c>
      <c r="T7011" t="s">
        <v>27269</v>
      </c>
    </row>
    <row r="7012" spans="1:20" x14ac:dyDescent="0.3">
      <c r="A7012" t="str">
        <f>"0611835027025"</f>
        <v>0611835027025</v>
      </c>
      <c r="B7012" t="str">
        <f>"MQ0553"</f>
        <v>MQ0553</v>
      </c>
      <c r="C7012" t="s">
        <v>40858</v>
      </c>
      <c r="D7012" t="s">
        <v>27267</v>
      </c>
      <c r="E7012" t="str">
        <f t="shared" si="109"/>
        <v>001390</v>
      </c>
      <c r="F7012" t="s">
        <v>27246</v>
      </c>
      <c r="G7012" t="s">
        <v>27247</v>
      </c>
      <c r="H7012" t="s">
        <v>27248</v>
      </c>
      <c r="I7012" t="s">
        <v>40859</v>
      </c>
      <c r="J7012" t="s">
        <v>13909</v>
      </c>
      <c r="L7012" t="s">
        <v>27250</v>
      </c>
      <c r="M7012" t="s">
        <v>27251</v>
      </c>
      <c r="N7012" t="s">
        <v>27252</v>
      </c>
      <c r="Q7012" s="1">
        <v>44538</v>
      </c>
      <c r="R7012" t="s">
        <v>27253</v>
      </c>
      <c r="S7012" t="s">
        <v>27254</v>
      </c>
      <c r="T7012" t="s">
        <v>27269</v>
      </c>
    </row>
    <row r="7013" spans="1:20" x14ac:dyDescent="0.3">
      <c r="A7013" t="str">
        <f>"0611835028025"</f>
        <v>0611835028025</v>
      </c>
      <c r="B7013" t="str">
        <f>"MQ0716"</f>
        <v>MQ0716</v>
      </c>
      <c r="C7013" t="s">
        <v>40860</v>
      </c>
      <c r="D7013" t="s">
        <v>27267</v>
      </c>
      <c r="E7013" t="str">
        <f t="shared" si="109"/>
        <v>001390</v>
      </c>
      <c r="F7013" t="s">
        <v>27246</v>
      </c>
      <c r="G7013" t="s">
        <v>27247</v>
      </c>
      <c r="H7013" t="s">
        <v>27248</v>
      </c>
      <c r="I7013" t="s">
        <v>40861</v>
      </c>
      <c r="J7013" t="s">
        <v>13913</v>
      </c>
      <c r="L7013" t="s">
        <v>27250</v>
      </c>
      <c r="M7013" t="s">
        <v>27251</v>
      </c>
      <c r="N7013" t="s">
        <v>27252</v>
      </c>
      <c r="Q7013" s="1">
        <v>44538</v>
      </c>
      <c r="R7013" t="s">
        <v>27253</v>
      </c>
      <c r="S7013" t="s">
        <v>27254</v>
      </c>
      <c r="T7013" t="s">
        <v>27269</v>
      </c>
    </row>
    <row r="7014" spans="1:20" x14ac:dyDescent="0.3">
      <c r="A7014" t="str">
        <f>"0611863140100"</f>
        <v>0611863140100</v>
      </c>
      <c r="B7014" t="str">
        <f>"CN5227"</f>
        <v>CN5227</v>
      </c>
      <c r="C7014" t="s">
        <v>40860</v>
      </c>
      <c r="D7014" t="s">
        <v>27335</v>
      </c>
      <c r="E7014" t="str">
        <f t="shared" si="109"/>
        <v>001390</v>
      </c>
      <c r="F7014" t="s">
        <v>27246</v>
      </c>
      <c r="G7014" t="s">
        <v>27247</v>
      </c>
      <c r="H7014" t="s">
        <v>27248</v>
      </c>
      <c r="I7014" t="s">
        <v>40862</v>
      </c>
      <c r="J7014" t="s">
        <v>13911</v>
      </c>
      <c r="L7014" t="s">
        <v>27250</v>
      </c>
      <c r="M7014" t="s">
        <v>27251</v>
      </c>
      <c r="N7014" t="s">
        <v>27252</v>
      </c>
      <c r="Q7014" s="1">
        <v>44846</v>
      </c>
      <c r="R7014" t="s">
        <v>27253</v>
      </c>
      <c r="S7014" t="s">
        <v>27254</v>
      </c>
      <c r="T7014" t="s">
        <v>27255</v>
      </c>
    </row>
    <row r="7015" spans="1:20" x14ac:dyDescent="0.3">
      <c r="A7015" t="str">
        <f>"0611835031025"</f>
        <v>0611835031025</v>
      </c>
      <c r="B7015" t="str">
        <f>"MQ3166"</f>
        <v>MQ3166</v>
      </c>
      <c r="C7015" t="s">
        <v>40863</v>
      </c>
      <c r="D7015" t="s">
        <v>27267</v>
      </c>
      <c r="E7015" t="str">
        <f t="shared" si="109"/>
        <v>001390</v>
      </c>
      <c r="F7015" t="s">
        <v>27246</v>
      </c>
      <c r="G7015" t="s">
        <v>27247</v>
      </c>
      <c r="H7015" t="s">
        <v>27248</v>
      </c>
      <c r="I7015" t="s">
        <v>40864</v>
      </c>
      <c r="J7015" t="s">
        <v>13915</v>
      </c>
      <c r="L7015" t="s">
        <v>27250</v>
      </c>
      <c r="M7015" t="s">
        <v>27251</v>
      </c>
      <c r="N7015" t="s">
        <v>27252</v>
      </c>
      <c r="Q7015" s="1">
        <v>44538</v>
      </c>
      <c r="R7015" t="s">
        <v>27253</v>
      </c>
      <c r="S7015" t="s">
        <v>27254</v>
      </c>
      <c r="T7015" t="s">
        <v>27269</v>
      </c>
    </row>
    <row r="7016" spans="1:20" x14ac:dyDescent="0.3">
      <c r="A7016" t="str">
        <f>"0611835030025"</f>
        <v>0611835030025</v>
      </c>
      <c r="B7016" t="str">
        <f>"MQ3167"</f>
        <v>MQ3167</v>
      </c>
      <c r="C7016" t="s">
        <v>40865</v>
      </c>
      <c r="D7016" t="s">
        <v>27267</v>
      </c>
      <c r="E7016" t="str">
        <f t="shared" si="109"/>
        <v>001390</v>
      </c>
      <c r="F7016" t="s">
        <v>27246</v>
      </c>
      <c r="G7016" t="s">
        <v>27247</v>
      </c>
      <c r="H7016" t="s">
        <v>27248</v>
      </c>
      <c r="I7016" t="s">
        <v>40866</v>
      </c>
      <c r="J7016" t="s">
        <v>13917</v>
      </c>
      <c r="L7016" t="s">
        <v>27250</v>
      </c>
      <c r="M7016" t="s">
        <v>27251</v>
      </c>
      <c r="N7016" t="s">
        <v>27252</v>
      </c>
      <c r="Q7016" s="1">
        <v>44538</v>
      </c>
      <c r="R7016" t="s">
        <v>27253</v>
      </c>
      <c r="S7016" t="s">
        <v>27254</v>
      </c>
      <c r="T7016" t="s">
        <v>27269</v>
      </c>
    </row>
    <row r="7017" spans="1:20" x14ac:dyDescent="0.3">
      <c r="A7017" t="str">
        <f>"0611863141050"</f>
        <v>0611863141050</v>
      </c>
      <c r="B7017" t="str">
        <f>"CR4353"</f>
        <v>CR4353</v>
      </c>
      <c r="C7017" t="s">
        <v>40867</v>
      </c>
      <c r="D7017" t="s">
        <v>27286</v>
      </c>
      <c r="E7017" t="str">
        <f t="shared" si="109"/>
        <v>001390</v>
      </c>
      <c r="F7017" t="s">
        <v>27246</v>
      </c>
      <c r="G7017" t="s">
        <v>27247</v>
      </c>
      <c r="H7017" t="s">
        <v>27248</v>
      </c>
      <c r="I7017" t="s">
        <v>40868</v>
      </c>
      <c r="J7017" t="s">
        <v>13919</v>
      </c>
      <c r="L7017" t="s">
        <v>27250</v>
      </c>
      <c r="M7017" t="s">
        <v>27251</v>
      </c>
      <c r="N7017" t="s">
        <v>27252</v>
      </c>
      <c r="Q7017" s="1">
        <v>44846</v>
      </c>
      <c r="R7017" t="s">
        <v>27253</v>
      </c>
      <c r="S7017" t="s">
        <v>27254</v>
      </c>
      <c r="T7017" t="s">
        <v>27265</v>
      </c>
    </row>
    <row r="7018" spans="1:20" x14ac:dyDescent="0.3">
      <c r="A7018" t="str">
        <f>"0611884282025"</f>
        <v>0611884282025</v>
      </c>
      <c r="B7018" t="str">
        <f>"MQ0832"</f>
        <v>MQ0832</v>
      </c>
      <c r="C7018" t="s">
        <v>40869</v>
      </c>
      <c r="D7018" t="s">
        <v>27267</v>
      </c>
      <c r="E7018" t="str">
        <f t="shared" si="109"/>
        <v>001390</v>
      </c>
      <c r="F7018" t="s">
        <v>27246</v>
      </c>
      <c r="G7018" t="s">
        <v>27247</v>
      </c>
      <c r="H7018" t="s">
        <v>27248</v>
      </c>
      <c r="I7018" t="s">
        <v>40870</v>
      </c>
      <c r="J7018" t="s">
        <v>13921</v>
      </c>
      <c r="L7018" t="s">
        <v>27430</v>
      </c>
      <c r="M7018" t="s">
        <v>27251</v>
      </c>
      <c r="N7018" t="s">
        <v>27252</v>
      </c>
      <c r="Q7018" s="1">
        <v>45250</v>
      </c>
      <c r="R7018" t="s">
        <v>27253</v>
      </c>
      <c r="S7018" t="s">
        <v>27254</v>
      </c>
      <c r="T7018" t="s">
        <v>27269</v>
      </c>
    </row>
    <row r="7019" spans="1:20" x14ac:dyDescent="0.3">
      <c r="A7019" t="str">
        <f>"0611835032025"</f>
        <v>0611835032025</v>
      </c>
      <c r="B7019" t="str">
        <f>"MQ0100"</f>
        <v>MQ0100</v>
      </c>
      <c r="C7019" t="s">
        <v>40871</v>
      </c>
      <c r="D7019" t="s">
        <v>27267</v>
      </c>
      <c r="E7019" t="str">
        <f t="shared" si="109"/>
        <v>001390</v>
      </c>
      <c r="F7019" t="s">
        <v>27246</v>
      </c>
      <c r="G7019" t="s">
        <v>27247</v>
      </c>
      <c r="H7019" t="s">
        <v>27248</v>
      </c>
      <c r="I7019" t="s">
        <v>40872</v>
      </c>
      <c r="J7019" t="s">
        <v>13923</v>
      </c>
      <c r="L7019" t="s">
        <v>27250</v>
      </c>
      <c r="M7019" t="s">
        <v>27251</v>
      </c>
      <c r="N7019" t="s">
        <v>27252</v>
      </c>
      <c r="Q7019" s="1">
        <v>44538</v>
      </c>
      <c r="R7019" t="s">
        <v>27253</v>
      </c>
      <c r="S7019" t="s">
        <v>27254</v>
      </c>
      <c r="T7019" t="s">
        <v>27269</v>
      </c>
    </row>
    <row r="7020" spans="1:20" x14ac:dyDescent="0.3">
      <c r="A7020" t="str">
        <f>"0611856974025"</f>
        <v>0611856974025</v>
      </c>
      <c r="B7020" t="str">
        <f>"MQ0099"</f>
        <v>MQ0099</v>
      </c>
      <c r="C7020" t="s">
        <v>40873</v>
      </c>
      <c r="D7020" t="s">
        <v>27267</v>
      </c>
      <c r="E7020" t="str">
        <f t="shared" si="109"/>
        <v>001390</v>
      </c>
      <c r="F7020" t="s">
        <v>27246</v>
      </c>
      <c r="G7020" t="s">
        <v>27247</v>
      </c>
      <c r="H7020" t="s">
        <v>27248</v>
      </c>
      <c r="I7020" t="s">
        <v>40874</v>
      </c>
      <c r="J7020" t="s">
        <v>13925</v>
      </c>
      <c r="L7020" t="s">
        <v>27250</v>
      </c>
      <c r="M7020" t="s">
        <v>27251</v>
      </c>
      <c r="N7020" t="s">
        <v>27252</v>
      </c>
      <c r="Q7020" s="1">
        <v>44812</v>
      </c>
      <c r="R7020" t="s">
        <v>27253</v>
      </c>
      <c r="S7020" t="s">
        <v>27254</v>
      </c>
      <c r="T7020" t="s">
        <v>27269</v>
      </c>
    </row>
    <row r="7021" spans="1:20" x14ac:dyDescent="0.3">
      <c r="A7021" t="str">
        <f>"0611835033025"</f>
        <v>0611835033025</v>
      </c>
      <c r="B7021" t="str">
        <f>"MQ3168"</f>
        <v>MQ3168</v>
      </c>
      <c r="C7021" t="s">
        <v>40875</v>
      </c>
      <c r="D7021" t="s">
        <v>27267</v>
      </c>
      <c r="E7021" t="str">
        <f t="shared" si="109"/>
        <v>001390</v>
      </c>
      <c r="F7021" t="s">
        <v>27246</v>
      </c>
      <c r="G7021" t="s">
        <v>27247</v>
      </c>
      <c r="H7021" t="s">
        <v>27248</v>
      </c>
      <c r="I7021" t="s">
        <v>40876</v>
      </c>
      <c r="J7021" t="s">
        <v>13927</v>
      </c>
      <c r="L7021" t="s">
        <v>27250</v>
      </c>
      <c r="M7021" t="s">
        <v>27251</v>
      </c>
      <c r="N7021" t="s">
        <v>27252</v>
      </c>
      <c r="Q7021" s="1">
        <v>44538</v>
      </c>
      <c r="R7021" t="s">
        <v>27253</v>
      </c>
      <c r="S7021" t="s">
        <v>27254</v>
      </c>
      <c r="T7021" t="s">
        <v>27269</v>
      </c>
    </row>
    <row r="7022" spans="1:20" x14ac:dyDescent="0.3">
      <c r="A7022" t="str">
        <f>"0611884283025"</f>
        <v>0611884283025</v>
      </c>
      <c r="B7022" t="str">
        <f>"MQ0833"</f>
        <v>MQ0833</v>
      </c>
      <c r="C7022" t="s">
        <v>40877</v>
      </c>
      <c r="D7022" t="s">
        <v>27267</v>
      </c>
      <c r="E7022" t="str">
        <f t="shared" si="109"/>
        <v>001390</v>
      </c>
      <c r="F7022" t="s">
        <v>27246</v>
      </c>
      <c r="G7022" t="s">
        <v>27247</v>
      </c>
      <c r="H7022" t="s">
        <v>27248</v>
      </c>
      <c r="I7022" t="s">
        <v>40878</v>
      </c>
      <c r="J7022" t="s">
        <v>13929</v>
      </c>
      <c r="L7022" t="s">
        <v>27430</v>
      </c>
      <c r="M7022" t="s">
        <v>27251</v>
      </c>
      <c r="N7022" t="s">
        <v>27252</v>
      </c>
      <c r="Q7022" s="1">
        <v>45250</v>
      </c>
      <c r="R7022" t="s">
        <v>27253</v>
      </c>
      <c r="S7022" t="s">
        <v>27254</v>
      </c>
      <c r="T7022" t="s">
        <v>27269</v>
      </c>
    </row>
    <row r="7023" spans="1:20" x14ac:dyDescent="0.3">
      <c r="A7023" t="str">
        <f>"0611835035025"</f>
        <v>0611835035025</v>
      </c>
      <c r="B7023" t="str">
        <f>"MQ0717"</f>
        <v>MQ0717</v>
      </c>
      <c r="C7023" t="s">
        <v>40879</v>
      </c>
      <c r="D7023" t="s">
        <v>27267</v>
      </c>
      <c r="E7023" t="str">
        <f t="shared" si="109"/>
        <v>001390</v>
      </c>
      <c r="F7023" t="s">
        <v>27246</v>
      </c>
      <c r="G7023" t="s">
        <v>27247</v>
      </c>
      <c r="H7023" t="s">
        <v>27248</v>
      </c>
      <c r="I7023" t="s">
        <v>40880</v>
      </c>
      <c r="J7023" t="s">
        <v>13931</v>
      </c>
      <c r="L7023" t="s">
        <v>27250</v>
      </c>
      <c r="M7023" t="s">
        <v>27251</v>
      </c>
      <c r="N7023" t="s">
        <v>27252</v>
      </c>
      <c r="Q7023" s="1">
        <v>44538</v>
      </c>
      <c r="R7023" t="s">
        <v>27253</v>
      </c>
      <c r="S7023" t="s">
        <v>27254</v>
      </c>
      <c r="T7023" t="s">
        <v>27269</v>
      </c>
    </row>
    <row r="7024" spans="1:20" x14ac:dyDescent="0.3">
      <c r="A7024" t="str">
        <f>"0611835036025"</f>
        <v>0611835036025</v>
      </c>
      <c r="B7024" t="str">
        <f>"MC4337"</f>
        <v>MC4337</v>
      </c>
      <c r="C7024" t="s">
        <v>40881</v>
      </c>
      <c r="D7024" t="s">
        <v>28057</v>
      </c>
      <c r="E7024" t="str">
        <f t="shared" si="109"/>
        <v>001390</v>
      </c>
      <c r="F7024" t="s">
        <v>27246</v>
      </c>
      <c r="G7024" t="s">
        <v>27247</v>
      </c>
      <c r="H7024" t="s">
        <v>27248</v>
      </c>
      <c r="I7024" t="s">
        <v>40882</v>
      </c>
      <c r="J7024" t="s">
        <v>13933</v>
      </c>
      <c r="L7024" t="s">
        <v>27250</v>
      </c>
      <c r="M7024" t="s">
        <v>27251</v>
      </c>
      <c r="N7024" t="s">
        <v>27252</v>
      </c>
      <c r="P7024" t="s">
        <v>27925</v>
      </c>
      <c r="Q7024" s="1">
        <v>44538</v>
      </c>
      <c r="R7024" t="s">
        <v>27253</v>
      </c>
      <c r="S7024" t="s">
        <v>27254</v>
      </c>
      <c r="T7024" t="s">
        <v>27269</v>
      </c>
    </row>
    <row r="7025" spans="1:20" x14ac:dyDescent="0.3">
      <c r="A7025" t="str">
        <f>"0611863142050"</f>
        <v>0611863142050</v>
      </c>
      <c r="B7025" t="str">
        <f>"CE0991"</f>
        <v>CE0991</v>
      </c>
      <c r="C7025" t="s">
        <v>40883</v>
      </c>
      <c r="D7025" t="s">
        <v>27923</v>
      </c>
      <c r="E7025" t="str">
        <f t="shared" si="109"/>
        <v>001390</v>
      </c>
      <c r="F7025" t="s">
        <v>27246</v>
      </c>
      <c r="G7025" t="s">
        <v>27247</v>
      </c>
      <c r="H7025" t="s">
        <v>27248</v>
      </c>
      <c r="I7025" t="s">
        <v>40884</v>
      </c>
      <c r="J7025" t="s">
        <v>13935</v>
      </c>
      <c r="L7025" t="s">
        <v>27250</v>
      </c>
      <c r="M7025" t="s">
        <v>27251</v>
      </c>
      <c r="N7025" t="s">
        <v>27252</v>
      </c>
      <c r="P7025" t="s">
        <v>27925</v>
      </c>
      <c r="Q7025" s="1">
        <v>44846</v>
      </c>
      <c r="R7025" t="s">
        <v>27253</v>
      </c>
      <c r="S7025" t="s">
        <v>27254</v>
      </c>
      <c r="T7025" t="s">
        <v>27265</v>
      </c>
    </row>
    <row r="7026" spans="1:20" x14ac:dyDescent="0.3">
      <c r="A7026" t="str">
        <f>"0611835037025"</f>
        <v>0611835037025</v>
      </c>
      <c r="B7026" t="str">
        <f>"MC4292"</f>
        <v>MC4292</v>
      </c>
      <c r="C7026" t="s">
        <v>40885</v>
      </c>
      <c r="D7026" t="s">
        <v>27267</v>
      </c>
      <c r="E7026" t="str">
        <f t="shared" si="109"/>
        <v>001390</v>
      </c>
      <c r="F7026" t="s">
        <v>27246</v>
      </c>
      <c r="G7026" t="s">
        <v>27247</v>
      </c>
      <c r="H7026" t="s">
        <v>27248</v>
      </c>
      <c r="I7026" t="s">
        <v>40886</v>
      </c>
      <c r="J7026" t="s">
        <v>13937</v>
      </c>
      <c r="L7026" t="s">
        <v>27250</v>
      </c>
      <c r="M7026" t="s">
        <v>27251</v>
      </c>
      <c r="N7026" t="s">
        <v>27252</v>
      </c>
      <c r="Q7026" s="1">
        <v>44538</v>
      </c>
      <c r="R7026" t="s">
        <v>27253</v>
      </c>
      <c r="S7026" t="s">
        <v>27254</v>
      </c>
      <c r="T7026" t="s">
        <v>27269</v>
      </c>
    </row>
    <row r="7027" spans="1:20" x14ac:dyDescent="0.3">
      <c r="A7027" t="str">
        <f>"0611835038100"</f>
        <v>0611835038100</v>
      </c>
      <c r="B7027" t="str">
        <f>"LH0022"</f>
        <v>LH0022</v>
      </c>
      <c r="C7027" t="s">
        <v>40887</v>
      </c>
      <c r="D7027" t="s">
        <v>27245</v>
      </c>
      <c r="E7027" t="str">
        <f t="shared" si="109"/>
        <v>001390</v>
      </c>
      <c r="F7027" t="s">
        <v>27246</v>
      </c>
      <c r="G7027" t="s">
        <v>27247</v>
      </c>
      <c r="H7027" t="s">
        <v>27248</v>
      </c>
      <c r="I7027" t="s">
        <v>40888</v>
      </c>
      <c r="J7027" t="s">
        <v>13939</v>
      </c>
      <c r="L7027" t="s">
        <v>27250</v>
      </c>
      <c r="M7027" t="s">
        <v>27251</v>
      </c>
      <c r="N7027" t="s">
        <v>27252</v>
      </c>
      <c r="Q7027" s="1">
        <v>44538</v>
      </c>
      <c r="R7027" t="s">
        <v>27253</v>
      </c>
      <c r="S7027" t="s">
        <v>27254</v>
      </c>
      <c r="T7027" t="s">
        <v>27255</v>
      </c>
    </row>
    <row r="7028" spans="1:20" x14ac:dyDescent="0.3">
      <c r="A7028" t="str">
        <f>"0611835039025"</f>
        <v>0611835039025</v>
      </c>
      <c r="B7028" t="str">
        <f>"MC4350"</f>
        <v>MC4350</v>
      </c>
      <c r="C7028" t="s">
        <v>40887</v>
      </c>
      <c r="D7028" t="s">
        <v>27267</v>
      </c>
      <c r="E7028" t="str">
        <f t="shared" si="109"/>
        <v>001390</v>
      </c>
      <c r="F7028" t="s">
        <v>27246</v>
      </c>
      <c r="G7028" t="s">
        <v>27247</v>
      </c>
      <c r="H7028" t="s">
        <v>27248</v>
      </c>
      <c r="I7028" t="s">
        <v>40889</v>
      </c>
      <c r="J7028" t="s">
        <v>13941</v>
      </c>
      <c r="L7028" t="s">
        <v>27250</v>
      </c>
      <c r="M7028" t="s">
        <v>27251</v>
      </c>
      <c r="N7028" t="s">
        <v>27252</v>
      </c>
      <c r="Q7028" s="1">
        <v>44538</v>
      </c>
      <c r="R7028" t="s">
        <v>27253</v>
      </c>
      <c r="S7028" t="s">
        <v>27254</v>
      </c>
      <c r="T7028" t="s">
        <v>27269</v>
      </c>
    </row>
    <row r="7029" spans="1:20" x14ac:dyDescent="0.3">
      <c r="A7029" t="str">
        <f>"0611835040100"</f>
        <v>0611835040100</v>
      </c>
      <c r="B7029" t="str">
        <f>"LH0023"</f>
        <v>LH0023</v>
      </c>
      <c r="C7029" t="s">
        <v>40890</v>
      </c>
      <c r="D7029" t="s">
        <v>27245</v>
      </c>
      <c r="E7029" t="str">
        <f t="shared" si="109"/>
        <v>001390</v>
      </c>
      <c r="F7029" t="s">
        <v>27246</v>
      </c>
      <c r="G7029" t="s">
        <v>27247</v>
      </c>
      <c r="H7029" t="s">
        <v>27248</v>
      </c>
      <c r="I7029" t="s">
        <v>40891</v>
      </c>
      <c r="J7029" t="s">
        <v>13943</v>
      </c>
      <c r="L7029" t="s">
        <v>27250</v>
      </c>
      <c r="M7029" t="s">
        <v>27251</v>
      </c>
      <c r="N7029" t="s">
        <v>27252</v>
      </c>
      <c r="Q7029" s="1">
        <v>44538</v>
      </c>
      <c r="R7029" t="s">
        <v>27253</v>
      </c>
      <c r="S7029" t="s">
        <v>27254</v>
      </c>
      <c r="T7029" t="s">
        <v>27255</v>
      </c>
    </row>
    <row r="7030" spans="1:20" x14ac:dyDescent="0.3">
      <c r="A7030" t="str">
        <f>"0611835041025"</f>
        <v>0611835041025</v>
      </c>
      <c r="B7030" t="str">
        <f>"MC4351"</f>
        <v>MC4351</v>
      </c>
      <c r="C7030" t="s">
        <v>40890</v>
      </c>
      <c r="D7030" t="s">
        <v>27267</v>
      </c>
      <c r="E7030" t="str">
        <f t="shared" si="109"/>
        <v>001390</v>
      </c>
      <c r="F7030" t="s">
        <v>27246</v>
      </c>
      <c r="G7030" t="s">
        <v>27247</v>
      </c>
      <c r="H7030" t="s">
        <v>27248</v>
      </c>
      <c r="I7030" t="s">
        <v>40892</v>
      </c>
      <c r="J7030" t="s">
        <v>13945</v>
      </c>
      <c r="L7030" t="s">
        <v>27250</v>
      </c>
      <c r="M7030" t="s">
        <v>27251</v>
      </c>
      <c r="N7030" t="s">
        <v>27252</v>
      </c>
      <c r="Q7030" s="1">
        <v>44538</v>
      </c>
      <c r="R7030" t="s">
        <v>27253</v>
      </c>
      <c r="S7030" t="s">
        <v>27254</v>
      </c>
      <c r="T7030" t="s">
        <v>27269</v>
      </c>
    </row>
    <row r="7031" spans="1:20" x14ac:dyDescent="0.3">
      <c r="A7031" t="str">
        <f>"0611835042100"</f>
        <v>0611835042100</v>
      </c>
      <c r="B7031" t="str">
        <f>"LH0001"</f>
        <v>LH0001</v>
      </c>
      <c r="C7031" t="s">
        <v>40893</v>
      </c>
      <c r="D7031" t="s">
        <v>27245</v>
      </c>
      <c r="E7031" t="str">
        <f t="shared" si="109"/>
        <v>001390</v>
      </c>
      <c r="F7031" t="s">
        <v>27246</v>
      </c>
      <c r="G7031" t="s">
        <v>27247</v>
      </c>
      <c r="H7031" t="s">
        <v>27248</v>
      </c>
      <c r="I7031" t="s">
        <v>40894</v>
      </c>
      <c r="J7031" t="s">
        <v>13947</v>
      </c>
      <c r="L7031" t="s">
        <v>27250</v>
      </c>
      <c r="M7031" t="s">
        <v>27251</v>
      </c>
      <c r="N7031" t="s">
        <v>27252</v>
      </c>
      <c r="Q7031" s="1">
        <v>44538</v>
      </c>
      <c r="R7031" t="s">
        <v>27253</v>
      </c>
      <c r="S7031" t="s">
        <v>27254</v>
      </c>
      <c r="T7031" t="s">
        <v>27255</v>
      </c>
    </row>
    <row r="7032" spans="1:20" x14ac:dyDescent="0.3">
      <c r="A7032" t="str">
        <f>"0611835043025"</f>
        <v>0611835043025</v>
      </c>
      <c r="B7032" t="str">
        <f>"MC4268"</f>
        <v>MC4268</v>
      </c>
      <c r="C7032" t="s">
        <v>40893</v>
      </c>
      <c r="D7032" t="s">
        <v>27267</v>
      </c>
      <c r="E7032" t="str">
        <f t="shared" si="109"/>
        <v>001390</v>
      </c>
      <c r="F7032" t="s">
        <v>27246</v>
      </c>
      <c r="G7032" t="s">
        <v>27247</v>
      </c>
      <c r="H7032" t="s">
        <v>27248</v>
      </c>
      <c r="I7032" t="s">
        <v>40895</v>
      </c>
      <c r="J7032" t="s">
        <v>13949</v>
      </c>
      <c r="L7032" t="s">
        <v>27250</v>
      </c>
      <c r="M7032" t="s">
        <v>27251</v>
      </c>
      <c r="N7032" t="s">
        <v>27252</v>
      </c>
      <c r="Q7032" s="1">
        <v>44538</v>
      </c>
      <c r="R7032" t="s">
        <v>27253</v>
      </c>
      <c r="S7032" t="s">
        <v>27254</v>
      </c>
      <c r="T7032" t="s">
        <v>27269</v>
      </c>
    </row>
    <row r="7033" spans="1:20" x14ac:dyDescent="0.3">
      <c r="A7033" t="str">
        <f>"0611835044100"</f>
        <v>0611835044100</v>
      </c>
      <c r="B7033" t="str">
        <f>"LH8917"</f>
        <v>LH8917</v>
      </c>
      <c r="C7033" t="s">
        <v>40896</v>
      </c>
      <c r="D7033" t="s">
        <v>27245</v>
      </c>
      <c r="E7033" t="str">
        <f t="shared" si="109"/>
        <v>001390</v>
      </c>
      <c r="F7033" t="s">
        <v>27246</v>
      </c>
      <c r="G7033" t="s">
        <v>27247</v>
      </c>
      <c r="H7033" t="s">
        <v>27248</v>
      </c>
      <c r="I7033" t="s">
        <v>40897</v>
      </c>
      <c r="J7033" t="s">
        <v>13951</v>
      </c>
      <c r="L7033" t="s">
        <v>27250</v>
      </c>
      <c r="M7033" t="s">
        <v>27251</v>
      </c>
      <c r="N7033" t="s">
        <v>27252</v>
      </c>
      <c r="Q7033" s="1">
        <v>44538</v>
      </c>
      <c r="R7033" t="s">
        <v>27253</v>
      </c>
      <c r="S7033" t="s">
        <v>27254</v>
      </c>
      <c r="T7033" t="s">
        <v>27255</v>
      </c>
    </row>
    <row r="7034" spans="1:20" x14ac:dyDescent="0.3">
      <c r="A7034" t="str">
        <f>"0611835045025"</f>
        <v>0611835045025</v>
      </c>
      <c r="B7034" t="str">
        <f>"MC4222"</f>
        <v>MC4222</v>
      </c>
      <c r="C7034" t="s">
        <v>40896</v>
      </c>
      <c r="D7034" t="s">
        <v>27267</v>
      </c>
      <c r="E7034" t="str">
        <f t="shared" si="109"/>
        <v>001390</v>
      </c>
      <c r="F7034" t="s">
        <v>27246</v>
      </c>
      <c r="G7034" t="s">
        <v>27247</v>
      </c>
      <c r="H7034" t="s">
        <v>27248</v>
      </c>
      <c r="I7034" t="s">
        <v>40898</v>
      </c>
      <c r="J7034" t="s">
        <v>13953</v>
      </c>
      <c r="L7034" t="s">
        <v>27250</v>
      </c>
      <c r="M7034" t="s">
        <v>27251</v>
      </c>
      <c r="N7034" t="s">
        <v>27252</v>
      </c>
      <c r="Q7034" s="1">
        <v>44538</v>
      </c>
      <c r="R7034" t="s">
        <v>27253</v>
      </c>
      <c r="S7034" t="s">
        <v>27254</v>
      </c>
      <c r="T7034" t="s">
        <v>27269</v>
      </c>
    </row>
    <row r="7035" spans="1:20" x14ac:dyDescent="0.3">
      <c r="A7035" t="str">
        <f>"0611884284025"</f>
        <v>0611884284025</v>
      </c>
      <c r="B7035" t="str">
        <f>"MC4478"</f>
        <v>MC4478</v>
      </c>
      <c r="C7035" t="s">
        <v>40899</v>
      </c>
      <c r="D7035" t="s">
        <v>27267</v>
      </c>
      <c r="E7035" t="str">
        <f t="shared" si="109"/>
        <v>001390</v>
      </c>
      <c r="F7035" t="s">
        <v>27246</v>
      </c>
      <c r="G7035" t="s">
        <v>27247</v>
      </c>
      <c r="H7035" t="s">
        <v>27248</v>
      </c>
      <c r="I7035" t="s">
        <v>40900</v>
      </c>
      <c r="J7035" t="s">
        <v>13955</v>
      </c>
      <c r="L7035" t="s">
        <v>27430</v>
      </c>
      <c r="M7035" t="s">
        <v>27251</v>
      </c>
      <c r="N7035" t="s">
        <v>27252</v>
      </c>
      <c r="Q7035" s="1">
        <v>45250</v>
      </c>
      <c r="R7035" t="s">
        <v>27253</v>
      </c>
      <c r="S7035" t="s">
        <v>27254</v>
      </c>
      <c r="T7035" t="s">
        <v>27269</v>
      </c>
    </row>
    <row r="7036" spans="1:20" x14ac:dyDescent="0.3">
      <c r="A7036" t="str">
        <f>"0611884285025"</f>
        <v>0611884285025</v>
      </c>
      <c r="B7036" t="str">
        <f>"MC4479"</f>
        <v>MC4479</v>
      </c>
      <c r="C7036" t="s">
        <v>40901</v>
      </c>
      <c r="D7036" t="s">
        <v>27267</v>
      </c>
      <c r="E7036" t="str">
        <f t="shared" si="109"/>
        <v>001390</v>
      </c>
      <c r="F7036" t="s">
        <v>27246</v>
      </c>
      <c r="G7036" t="s">
        <v>27247</v>
      </c>
      <c r="H7036" t="s">
        <v>27248</v>
      </c>
      <c r="I7036" t="s">
        <v>40902</v>
      </c>
      <c r="J7036" t="s">
        <v>13957</v>
      </c>
      <c r="L7036" t="s">
        <v>27430</v>
      </c>
      <c r="M7036" t="s">
        <v>27251</v>
      </c>
      <c r="N7036" t="s">
        <v>27252</v>
      </c>
      <c r="Q7036" s="1">
        <v>45250</v>
      </c>
      <c r="R7036" t="s">
        <v>27253</v>
      </c>
      <c r="S7036" t="s">
        <v>27254</v>
      </c>
      <c r="T7036" t="s">
        <v>27269</v>
      </c>
    </row>
    <row r="7037" spans="1:20" x14ac:dyDescent="0.3">
      <c r="A7037" t="str">
        <f>"0611884286025"</f>
        <v>0611884286025</v>
      </c>
      <c r="B7037" t="str">
        <f>"MC4480"</f>
        <v>MC4480</v>
      </c>
      <c r="C7037" t="s">
        <v>40903</v>
      </c>
      <c r="D7037" t="s">
        <v>27267</v>
      </c>
      <c r="E7037" t="str">
        <f t="shared" si="109"/>
        <v>001390</v>
      </c>
      <c r="F7037" t="s">
        <v>27246</v>
      </c>
      <c r="G7037" t="s">
        <v>27247</v>
      </c>
      <c r="H7037" t="s">
        <v>27248</v>
      </c>
      <c r="I7037" t="s">
        <v>40904</v>
      </c>
      <c r="J7037" t="s">
        <v>13959</v>
      </c>
      <c r="L7037" t="s">
        <v>27430</v>
      </c>
      <c r="M7037" t="s">
        <v>27251</v>
      </c>
      <c r="N7037" t="s">
        <v>27252</v>
      </c>
      <c r="Q7037" s="1">
        <v>45250</v>
      </c>
      <c r="R7037" t="s">
        <v>27253</v>
      </c>
      <c r="S7037" t="s">
        <v>27254</v>
      </c>
      <c r="T7037" t="s">
        <v>27269</v>
      </c>
    </row>
    <row r="7038" spans="1:20" x14ac:dyDescent="0.3">
      <c r="A7038" t="str">
        <f>"0611835046025"</f>
        <v>0611835046025</v>
      </c>
      <c r="B7038" t="str">
        <f>"MQ0299"</f>
        <v>MQ0299</v>
      </c>
      <c r="C7038" t="s">
        <v>40905</v>
      </c>
      <c r="D7038" t="s">
        <v>27267</v>
      </c>
      <c r="E7038" t="str">
        <f t="shared" si="109"/>
        <v>001390</v>
      </c>
      <c r="F7038" t="s">
        <v>27246</v>
      </c>
      <c r="G7038" t="s">
        <v>27247</v>
      </c>
      <c r="H7038" t="s">
        <v>27248</v>
      </c>
      <c r="I7038" t="s">
        <v>40906</v>
      </c>
      <c r="J7038" t="s">
        <v>13963</v>
      </c>
      <c r="L7038" t="s">
        <v>27250</v>
      </c>
      <c r="M7038" t="s">
        <v>27251</v>
      </c>
      <c r="N7038" t="s">
        <v>27252</v>
      </c>
      <c r="Q7038" s="1">
        <v>44538</v>
      </c>
      <c r="R7038" t="s">
        <v>27253</v>
      </c>
      <c r="S7038" t="s">
        <v>27254</v>
      </c>
      <c r="T7038" t="s">
        <v>27269</v>
      </c>
    </row>
    <row r="7039" spans="1:20" x14ac:dyDescent="0.3">
      <c r="A7039" t="str">
        <f>"0611863143100"</f>
        <v>0611863143100</v>
      </c>
      <c r="B7039" t="str">
        <f>"CN5220"</f>
        <v>CN5220</v>
      </c>
      <c r="C7039" t="s">
        <v>40905</v>
      </c>
      <c r="D7039" t="s">
        <v>27335</v>
      </c>
      <c r="E7039" t="str">
        <f t="shared" si="109"/>
        <v>001390</v>
      </c>
      <c r="F7039" t="s">
        <v>27246</v>
      </c>
      <c r="G7039" t="s">
        <v>27247</v>
      </c>
      <c r="H7039" t="s">
        <v>27248</v>
      </c>
      <c r="I7039" t="s">
        <v>40907</v>
      </c>
      <c r="J7039" t="s">
        <v>13961</v>
      </c>
      <c r="L7039" t="s">
        <v>27250</v>
      </c>
      <c r="M7039" t="s">
        <v>27251</v>
      </c>
      <c r="N7039" t="s">
        <v>27252</v>
      </c>
      <c r="Q7039" s="1">
        <v>44846</v>
      </c>
      <c r="R7039" t="s">
        <v>27253</v>
      </c>
      <c r="S7039" t="s">
        <v>27254</v>
      </c>
      <c r="T7039" t="s">
        <v>27255</v>
      </c>
    </row>
    <row r="7040" spans="1:20" x14ac:dyDescent="0.3">
      <c r="A7040" t="str">
        <f>"0611863144100"</f>
        <v>0611863144100</v>
      </c>
      <c r="B7040" t="str">
        <f>"CN2377"</f>
        <v>CN2377</v>
      </c>
      <c r="C7040" t="s">
        <v>40908</v>
      </c>
      <c r="D7040" t="s">
        <v>27335</v>
      </c>
      <c r="E7040" t="str">
        <f t="shared" si="109"/>
        <v>001390</v>
      </c>
      <c r="F7040" t="s">
        <v>27246</v>
      </c>
      <c r="G7040" t="s">
        <v>27247</v>
      </c>
      <c r="H7040" t="s">
        <v>27248</v>
      </c>
      <c r="I7040" t="s">
        <v>40909</v>
      </c>
      <c r="J7040" t="s">
        <v>13965</v>
      </c>
      <c r="L7040" t="s">
        <v>27250</v>
      </c>
      <c r="M7040" t="s">
        <v>27251</v>
      </c>
      <c r="N7040" t="s">
        <v>27252</v>
      </c>
      <c r="Q7040" s="1">
        <v>44846</v>
      </c>
      <c r="R7040" t="s">
        <v>27253</v>
      </c>
      <c r="S7040" t="s">
        <v>27254</v>
      </c>
      <c r="T7040" t="s">
        <v>27255</v>
      </c>
    </row>
    <row r="7041" spans="1:20" x14ac:dyDescent="0.3">
      <c r="A7041" t="str">
        <f>"0611835047025"</f>
        <v>0611835047025</v>
      </c>
      <c r="B7041" t="str">
        <f>"MC4293"</f>
        <v>MC4293</v>
      </c>
      <c r="C7041" t="s">
        <v>40910</v>
      </c>
      <c r="D7041" t="s">
        <v>27267</v>
      </c>
      <c r="E7041" t="str">
        <f t="shared" si="109"/>
        <v>001390</v>
      </c>
      <c r="F7041" t="s">
        <v>27246</v>
      </c>
      <c r="G7041" t="s">
        <v>27247</v>
      </c>
      <c r="H7041" t="s">
        <v>27248</v>
      </c>
      <c r="I7041" t="s">
        <v>40911</v>
      </c>
      <c r="J7041" t="s">
        <v>13967</v>
      </c>
      <c r="L7041" t="s">
        <v>27250</v>
      </c>
      <c r="M7041" t="s">
        <v>27251</v>
      </c>
      <c r="N7041" t="s">
        <v>27252</v>
      </c>
      <c r="Q7041" s="1">
        <v>44538</v>
      </c>
      <c r="R7041" t="s">
        <v>27253</v>
      </c>
      <c r="S7041" t="s">
        <v>27254</v>
      </c>
      <c r="T7041" t="s">
        <v>27269</v>
      </c>
    </row>
    <row r="7042" spans="1:20" x14ac:dyDescent="0.3">
      <c r="A7042" t="str">
        <f>"0611863145050"</f>
        <v>0611863145050</v>
      </c>
      <c r="B7042" t="str">
        <f>"CR4347"</f>
        <v>CR4347</v>
      </c>
      <c r="C7042" t="s">
        <v>40912</v>
      </c>
      <c r="D7042" t="s">
        <v>27263</v>
      </c>
      <c r="E7042" t="str">
        <f t="shared" ref="E7042:E7105" si="110">"001390"</f>
        <v>001390</v>
      </c>
      <c r="F7042" t="s">
        <v>27246</v>
      </c>
      <c r="G7042" t="s">
        <v>27247</v>
      </c>
      <c r="H7042" t="s">
        <v>27248</v>
      </c>
      <c r="I7042" t="s">
        <v>40913</v>
      </c>
      <c r="J7042" t="s">
        <v>13969</v>
      </c>
      <c r="L7042" t="s">
        <v>27250</v>
      </c>
      <c r="M7042" t="s">
        <v>27251</v>
      </c>
      <c r="N7042" t="s">
        <v>27252</v>
      </c>
      <c r="Q7042" s="1">
        <v>44846</v>
      </c>
      <c r="R7042" t="s">
        <v>27253</v>
      </c>
      <c r="S7042" t="s">
        <v>27254</v>
      </c>
      <c r="T7042" t="s">
        <v>27265</v>
      </c>
    </row>
    <row r="7043" spans="1:20" x14ac:dyDescent="0.3">
      <c r="A7043" t="str">
        <f>"0611835052025"</f>
        <v>0611835052025</v>
      </c>
      <c r="B7043" t="str">
        <f>"MQ0595"</f>
        <v>MQ0595</v>
      </c>
      <c r="C7043" t="s">
        <v>40914</v>
      </c>
      <c r="D7043" t="s">
        <v>28057</v>
      </c>
      <c r="E7043" t="str">
        <f t="shared" si="110"/>
        <v>001390</v>
      </c>
      <c r="F7043" t="s">
        <v>27246</v>
      </c>
      <c r="G7043" t="s">
        <v>27247</v>
      </c>
      <c r="H7043" t="s">
        <v>27248</v>
      </c>
      <c r="I7043" t="s">
        <v>40915</v>
      </c>
      <c r="J7043" t="s">
        <v>13975</v>
      </c>
      <c r="L7043" t="s">
        <v>27250</v>
      </c>
      <c r="M7043" t="s">
        <v>27251</v>
      </c>
      <c r="N7043" t="s">
        <v>27252</v>
      </c>
      <c r="P7043" t="s">
        <v>27925</v>
      </c>
      <c r="Q7043" s="1">
        <v>44538</v>
      </c>
      <c r="R7043" t="s">
        <v>27253</v>
      </c>
      <c r="S7043" t="s">
        <v>27254</v>
      </c>
      <c r="T7043" t="s">
        <v>27269</v>
      </c>
    </row>
    <row r="7044" spans="1:20" x14ac:dyDescent="0.3">
      <c r="A7044" t="str">
        <f>"0611835049025"</f>
        <v>0611835049025</v>
      </c>
      <c r="B7044" t="str">
        <f>"MQ0592"</f>
        <v>MQ0592</v>
      </c>
      <c r="C7044" t="s">
        <v>40916</v>
      </c>
      <c r="D7044" t="s">
        <v>28057</v>
      </c>
      <c r="E7044" t="str">
        <f t="shared" si="110"/>
        <v>001390</v>
      </c>
      <c r="F7044" t="s">
        <v>27246</v>
      </c>
      <c r="G7044" t="s">
        <v>27247</v>
      </c>
      <c r="H7044" t="s">
        <v>27248</v>
      </c>
      <c r="I7044" t="s">
        <v>40917</v>
      </c>
      <c r="J7044" t="s">
        <v>13971</v>
      </c>
      <c r="L7044" t="s">
        <v>27250</v>
      </c>
      <c r="M7044" t="s">
        <v>27251</v>
      </c>
      <c r="N7044" t="s">
        <v>27252</v>
      </c>
      <c r="P7044" t="s">
        <v>27925</v>
      </c>
      <c r="Q7044" s="1">
        <v>44538</v>
      </c>
      <c r="R7044" t="s">
        <v>27253</v>
      </c>
      <c r="S7044" t="s">
        <v>27254</v>
      </c>
      <c r="T7044" t="s">
        <v>27269</v>
      </c>
    </row>
    <row r="7045" spans="1:20" x14ac:dyDescent="0.3">
      <c r="A7045" t="str">
        <f>"0611835051025"</f>
        <v>0611835051025</v>
      </c>
      <c r="B7045" t="str">
        <f>"MQ0593"</f>
        <v>MQ0593</v>
      </c>
      <c r="C7045" t="s">
        <v>40918</v>
      </c>
      <c r="D7045" t="s">
        <v>28057</v>
      </c>
      <c r="E7045" t="str">
        <f t="shared" si="110"/>
        <v>001390</v>
      </c>
      <c r="F7045" t="s">
        <v>27246</v>
      </c>
      <c r="G7045" t="s">
        <v>27247</v>
      </c>
      <c r="H7045" t="s">
        <v>27248</v>
      </c>
      <c r="I7045" t="s">
        <v>40919</v>
      </c>
      <c r="J7045" t="s">
        <v>13973</v>
      </c>
      <c r="L7045" t="s">
        <v>27250</v>
      </c>
      <c r="M7045" t="s">
        <v>27251</v>
      </c>
      <c r="N7045" t="s">
        <v>27252</v>
      </c>
      <c r="P7045" t="s">
        <v>27925</v>
      </c>
      <c r="Q7045" s="1">
        <v>44538</v>
      </c>
      <c r="R7045" t="s">
        <v>27253</v>
      </c>
      <c r="S7045" t="s">
        <v>27254</v>
      </c>
      <c r="T7045" t="s">
        <v>27269</v>
      </c>
    </row>
    <row r="7046" spans="1:20" x14ac:dyDescent="0.3">
      <c r="A7046" t="str">
        <f>"0611835053025"</f>
        <v>0611835053025</v>
      </c>
      <c r="B7046" t="str">
        <f>"MQ0594"</f>
        <v>MQ0594</v>
      </c>
      <c r="C7046" t="s">
        <v>40920</v>
      </c>
      <c r="D7046" t="s">
        <v>28057</v>
      </c>
      <c r="E7046" t="str">
        <f t="shared" si="110"/>
        <v>001390</v>
      </c>
      <c r="F7046" t="s">
        <v>27246</v>
      </c>
      <c r="G7046" t="s">
        <v>27247</v>
      </c>
      <c r="H7046" t="s">
        <v>27248</v>
      </c>
      <c r="I7046" t="s">
        <v>40921</v>
      </c>
      <c r="J7046" t="s">
        <v>13977</v>
      </c>
      <c r="L7046" t="s">
        <v>27250</v>
      </c>
      <c r="M7046" t="s">
        <v>27251</v>
      </c>
      <c r="N7046" t="s">
        <v>27252</v>
      </c>
      <c r="P7046" t="s">
        <v>27925</v>
      </c>
      <c r="Q7046" s="1">
        <v>44538</v>
      </c>
      <c r="R7046" t="s">
        <v>27253</v>
      </c>
      <c r="S7046" t="s">
        <v>27254</v>
      </c>
      <c r="T7046" t="s">
        <v>27269</v>
      </c>
    </row>
    <row r="7047" spans="1:20" x14ac:dyDescent="0.3">
      <c r="A7047" t="str">
        <f>"0611884287025"</f>
        <v>0611884287025</v>
      </c>
      <c r="B7047" t="str">
        <f>"MC4525"</f>
        <v>MC4525</v>
      </c>
      <c r="C7047" t="s">
        <v>40922</v>
      </c>
      <c r="D7047" t="s">
        <v>27267</v>
      </c>
      <c r="E7047" t="str">
        <f t="shared" si="110"/>
        <v>001390</v>
      </c>
      <c r="F7047" t="s">
        <v>27246</v>
      </c>
      <c r="G7047" t="s">
        <v>27247</v>
      </c>
      <c r="H7047" t="s">
        <v>27248</v>
      </c>
      <c r="I7047" t="s">
        <v>40923</v>
      </c>
      <c r="J7047" t="s">
        <v>13979</v>
      </c>
      <c r="L7047" t="s">
        <v>27430</v>
      </c>
      <c r="M7047" t="s">
        <v>27251</v>
      </c>
      <c r="N7047" t="s">
        <v>27252</v>
      </c>
      <c r="Q7047" s="1">
        <v>45250</v>
      </c>
      <c r="R7047" t="s">
        <v>27253</v>
      </c>
      <c r="S7047" t="s">
        <v>27254</v>
      </c>
      <c r="T7047" t="s">
        <v>27269</v>
      </c>
    </row>
    <row r="7048" spans="1:20" x14ac:dyDescent="0.3">
      <c r="A7048" t="str">
        <f>"0611863146100"</f>
        <v>0611863146100</v>
      </c>
      <c r="B7048" t="str">
        <f>"CN5225"</f>
        <v>CN5225</v>
      </c>
      <c r="C7048" t="s">
        <v>40924</v>
      </c>
      <c r="D7048" t="s">
        <v>27335</v>
      </c>
      <c r="E7048" t="str">
        <f t="shared" si="110"/>
        <v>001390</v>
      </c>
      <c r="F7048" t="s">
        <v>27246</v>
      </c>
      <c r="G7048" t="s">
        <v>27247</v>
      </c>
      <c r="H7048" t="s">
        <v>27248</v>
      </c>
      <c r="I7048" t="s">
        <v>40925</v>
      </c>
      <c r="J7048" t="s">
        <v>13981</v>
      </c>
      <c r="L7048" t="s">
        <v>27250</v>
      </c>
      <c r="M7048" t="s">
        <v>27251</v>
      </c>
      <c r="N7048" t="s">
        <v>27252</v>
      </c>
      <c r="Q7048" s="1">
        <v>44846</v>
      </c>
      <c r="R7048" t="s">
        <v>27253</v>
      </c>
      <c r="S7048" t="s">
        <v>27254</v>
      </c>
      <c r="T7048" t="s">
        <v>27255</v>
      </c>
    </row>
    <row r="7049" spans="1:20" x14ac:dyDescent="0.3">
      <c r="A7049" t="str">
        <f>"0611835054025"</f>
        <v>0611835054025</v>
      </c>
      <c r="B7049" t="str">
        <f>"MC2285"</f>
        <v>MC2285</v>
      </c>
      <c r="C7049" t="s">
        <v>40926</v>
      </c>
      <c r="D7049" t="s">
        <v>27267</v>
      </c>
      <c r="E7049" t="str">
        <f t="shared" si="110"/>
        <v>001390</v>
      </c>
      <c r="F7049" t="s">
        <v>27246</v>
      </c>
      <c r="G7049" t="s">
        <v>27247</v>
      </c>
      <c r="H7049" t="s">
        <v>27248</v>
      </c>
      <c r="I7049" t="s">
        <v>40927</v>
      </c>
      <c r="J7049" t="s">
        <v>13983</v>
      </c>
      <c r="L7049" t="s">
        <v>27250</v>
      </c>
      <c r="M7049" t="s">
        <v>27251</v>
      </c>
      <c r="N7049" t="s">
        <v>27252</v>
      </c>
      <c r="Q7049" s="1">
        <v>44538</v>
      </c>
      <c r="R7049" t="s">
        <v>27253</v>
      </c>
      <c r="S7049" t="s">
        <v>27254</v>
      </c>
      <c r="T7049" t="s">
        <v>27269</v>
      </c>
    </row>
    <row r="7050" spans="1:20" x14ac:dyDescent="0.3">
      <c r="A7050" t="str">
        <f>"0611884288025"</f>
        <v>0611884288025</v>
      </c>
      <c r="B7050" t="str">
        <f>"MC4481"</f>
        <v>MC4481</v>
      </c>
      <c r="C7050" t="s">
        <v>40928</v>
      </c>
      <c r="D7050" t="s">
        <v>27267</v>
      </c>
      <c r="E7050" t="str">
        <f t="shared" si="110"/>
        <v>001390</v>
      </c>
      <c r="F7050" t="s">
        <v>27246</v>
      </c>
      <c r="G7050" t="s">
        <v>27247</v>
      </c>
      <c r="H7050" t="s">
        <v>27248</v>
      </c>
      <c r="I7050" t="s">
        <v>40929</v>
      </c>
      <c r="J7050" t="s">
        <v>13985</v>
      </c>
      <c r="L7050" t="s">
        <v>27430</v>
      </c>
      <c r="M7050" t="s">
        <v>27251</v>
      </c>
      <c r="N7050" t="s">
        <v>27252</v>
      </c>
      <c r="Q7050" s="1">
        <v>45250</v>
      </c>
      <c r="R7050" t="s">
        <v>27253</v>
      </c>
      <c r="S7050" t="s">
        <v>27254</v>
      </c>
      <c r="T7050" t="s">
        <v>27269</v>
      </c>
    </row>
    <row r="7051" spans="1:20" x14ac:dyDescent="0.3">
      <c r="A7051" t="str">
        <f>"0611835055025"</f>
        <v>0611835055025</v>
      </c>
      <c r="B7051" t="str">
        <f>"MC3040"</f>
        <v>MC3040</v>
      </c>
      <c r="C7051" t="s">
        <v>40930</v>
      </c>
      <c r="D7051" t="s">
        <v>27267</v>
      </c>
      <c r="E7051" t="str">
        <f t="shared" si="110"/>
        <v>001390</v>
      </c>
      <c r="F7051" t="s">
        <v>27246</v>
      </c>
      <c r="G7051" t="s">
        <v>27247</v>
      </c>
      <c r="H7051" t="s">
        <v>27248</v>
      </c>
      <c r="I7051" t="s">
        <v>40931</v>
      </c>
      <c r="J7051" t="s">
        <v>13987</v>
      </c>
      <c r="L7051" t="s">
        <v>27250</v>
      </c>
      <c r="M7051" t="s">
        <v>27251</v>
      </c>
      <c r="N7051" t="s">
        <v>27252</v>
      </c>
      <c r="Q7051" s="1">
        <v>44538</v>
      </c>
      <c r="R7051" t="s">
        <v>27253</v>
      </c>
      <c r="S7051" t="s">
        <v>27254</v>
      </c>
      <c r="T7051" t="s">
        <v>27269</v>
      </c>
    </row>
    <row r="7052" spans="1:20" x14ac:dyDescent="0.3">
      <c r="A7052" t="str">
        <f>"0611835056025"</f>
        <v>0611835056025</v>
      </c>
      <c r="B7052" t="str">
        <f>"MC3748"</f>
        <v>MC3748</v>
      </c>
      <c r="C7052" t="s">
        <v>40932</v>
      </c>
      <c r="D7052" t="s">
        <v>27267</v>
      </c>
      <c r="E7052" t="str">
        <f t="shared" si="110"/>
        <v>001390</v>
      </c>
      <c r="F7052" t="s">
        <v>27246</v>
      </c>
      <c r="G7052" t="s">
        <v>27247</v>
      </c>
      <c r="H7052" t="s">
        <v>27248</v>
      </c>
      <c r="I7052" t="s">
        <v>40933</v>
      </c>
      <c r="J7052" t="s">
        <v>13989</v>
      </c>
      <c r="L7052" t="s">
        <v>27250</v>
      </c>
      <c r="M7052" t="s">
        <v>27251</v>
      </c>
      <c r="N7052" t="s">
        <v>27252</v>
      </c>
      <c r="Q7052" s="1">
        <v>44538</v>
      </c>
      <c r="R7052" t="s">
        <v>27253</v>
      </c>
      <c r="S7052" t="s">
        <v>27254</v>
      </c>
      <c r="T7052" t="s">
        <v>27269</v>
      </c>
    </row>
    <row r="7053" spans="1:20" x14ac:dyDescent="0.3">
      <c r="A7053" t="str">
        <f>"0611835057025"</f>
        <v>0611835057025</v>
      </c>
      <c r="B7053" t="str">
        <f>"MC3298"</f>
        <v>MC3298</v>
      </c>
      <c r="C7053" t="s">
        <v>40934</v>
      </c>
      <c r="D7053" t="s">
        <v>27267</v>
      </c>
      <c r="E7053" t="str">
        <f t="shared" si="110"/>
        <v>001390</v>
      </c>
      <c r="F7053" t="s">
        <v>27246</v>
      </c>
      <c r="G7053" t="s">
        <v>27247</v>
      </c>
      <c r="H7053" t="s">
        <v>27248</v>
      </c>
      <c r="I7053" t="s">
        <v>40935</v>
      </c>
      <c r="J7053" t="s">
        <v>13991</v>
      </c>
      <c r="L7053" t="s">
        <v>27250</v>
      </c>
      <c r="M7053" t="s">
        <v>27251</v>
      </c>
      <c r="N7053" t="s">
        <v>27252</v>
      </c>
      <c r="Q7053" s="1">
        <v>44538</v>
      </c>
      <c r="R7053" t="s">
        <v>27253</v>
      </c>
      <c r="S7053" t="s">
        <v>27254</v>
      </c>
      <c r="T7053" t="s">
        <v>27269</v>
      </c>
    </row>
    <row r="7054" spans="1:20" x14ac:dyDescent="0.3">
      <c r="A7054" t="str">
        <f>"0611835059025"</f>
        <v>0611835059025</v>
      </c>
      <c r="B7054" t="str">
        <f>"MC4047"</f>
        <v>MC4047</v>
      </c>
      <c r="C7054" t="s">
        <v>40936</v>
      </c>
      <c r="D7054" t="s">
        <v>27267</v>
      </c>
      <c r="E7054" t="str">
        <f t="shared" si="110"/>
        <v>001390</v>
      </c>
      <c r="F7054" t="s">
        <v>27246</v>
      </c>
      <c r="G7054" t="s">
        <v>27247</v>
      </c>
      <c r="H7054" t="s">
        <v>27248</v>
      </c>
      <c r="I7054" t="s">
        <v>40937</v>
      </c>
      <c r="J7054" t="s">
        <v>13993</v>
      </c>
      <c r="L7054" t="s">
        <v>27250</v>
      </c>
      <c r="M7054" t="s">
        <v>27251</v>
      </c>
      <c r="N7054" t="s">
        <v>27252</v>
      </c>
      <c r="Q7054" s="1">
        <v>44538</v>
      </c>
      <c r="R7054" t="s">
        <v>27253</v>
      </c>
      <c r="S7054" t="s">
        <v>27254</v>
      </c>
      <c r="T7054" t="s">
        <v>27269</v>
      </c>
    </row>
    <row r="7055" spans="1:20" x14ac:dyDescent="0.3">
      <c r="A7055" t="str">
        <f>"0611835060025"</f>
        <v>0611835060025</v>
      </c>
      <c r="B7055" t="str">
        <f>"MC3424"</f>
        <v>MC3424</v>
      </c>
      <c r="C7055" t="s">
        <v>40938</v>
      </c>
      <c r="D7055" t="s">
        <v>27267</v>
      </c>
      <c r="E7055" t="str">
        <f t="shared" si="110"/>
        <v>001390</v>
      </c>
      <c r="F7055" t="s">
        <v>27246</v>
      </c>
      <c r="G7055" t="s">
        <v>27247</v>
      </c>
      <c r="H7055" t="s">
        <v>27248</v>
      </c>
      <c r="I7055" t="s">
        <v>40939</v>
      </c>
      <c r="J7055" t="s">
        <v>13995</v>
      </c>
      <c r="L7055" t="s">
        <v>27250</v>
      </c>
      <c r="M7055" t="s">
        <v>27251</v>
      </c>
      <c r="N7055" t="s">
        <v>27252</v>
      </c>
      <c r="Q7055" s="1">
        <v>44538</v>
      </c>
      <c r="R7055" t="s">
        <v>27253</v>
      </c>
      <c r="S7055" t="s">
        <v>27254</v>
      </c>
      <c r="T7055" t="s">
        <v>27269</v>
      </c>
    </row>
    <row r="7056" spans="1:20" x14ac:dyDescent="0.3">
      <c r="A7056" t="str">
        <f>"0611835061100"</f>
        <v>0611835061100</v>
      </c>
      <c r="B7056" t="str">
        <f>"LC7305"</f>
        <v>LC7305</v>
      </c>
      <c r="C7056" t="s">
        <v>40940</v>
      </c>
      <c r="D7056" t="s">
        <v>27245</v>
      </c>
      <c r="E7056" t="str">
        <f t="shared" si="110"/>
        <v>001390</v>
      </c>
      <c r="F7056" t="s">
        <v>27246</v>
      </c>
      <c r="G7056" t="s">
        <v>27247</v>
      </c>
      <c r="H7056" t="s">
        <v>27248</v>
      </c>
      <c r="I7056" t="s">
        <v>40941</v>
      </c>
      <c r="J7056" t="s">
        <v>13997</v>
      </c>
      <c r="L7056" t="s">
        <v>27250</v>
      </c>
      <c r="M7056" t="s">
        <v>27251</v>
      </c>
      <c r="N7056" t="s">
        <v>27252</v>
      </c>
      <c r="Q7056" s="1">
        <v>44538</v>
      </c>
      <c r="R7056" t="s">
        <v>27253</v>
      </c>
      <c r="S7056" t="s">
        <v>27254</v>
      </c>
      <c r="T7056" t="s">
        <v>27255</v>
      </c>
    </row>
    <row r="7057" spans="1:20" x14ac:dyDescent="0.3">
      <c r="A7057" t="str">
        <f>"0611835062025"</f>
        <v>0611835062025</v>
      </c>
      <c r="B7057" t="str">
        <f>"MC0468"</f>
        <v>MC0468</v>
      </c>
      <c r="C7057" t="s">
        <v>40942</v>
      </c>
      <c r="D7057" t="s">
        <v>27267</v>
      </c>
      <c r="E7057" t="str">
        <f t="shared" si="110"/>
        <v>001390</v>
      </c>
      <c r="F7057" t="s">
        <v>27246</v>
      </c>
      <c r="G7057" t="s">
        <v>27247</v>
      </c>
      <c r="H7057" t="s">
        <v>27248</v>
      </c>
      <c r="I7057" t="s">
        <v>40943</v>
      </c>
      <c r="J7057" t="s">
        <v>13999</v>
      </c>
      <c r="L7057" t="s">
        <v>27250</v>
      </c>
      <c r="M7057" t="s">
        <v>27251</v>
      </c>
      <c r="N7057" t="s">
        <v>27252</v>
      </c>
      <c r="Q7057" s="1">
        <v>44538</v>
      </c>
      <c r="R7057" t="s">
        <v>27253</v>
      </c>
      <c r="S7057" t="s">
        <v>27254</v>
      </c>
      <c r="T7057" t="s">
        <v>27269</v>
      </c>
    </row>
    <row r="7058" spans="1:20" x14ac:dyDescent="0.3">
      <c r="A7058" t="str">
        <f>"0611835064100"</f>
        <v>0611835064100</v>
      </c>
      <c r="B7058" t="str">
        <f>"LC9617"</f>
        <v>LC9617</v>
      </c>
      <c r="C7058" t="s">
        <v>40944</v>
      </c>
      <c r="D7058" t="s">
        <v>27245</v>
      </c>
      <c r="E7058" t="str">
        <f t="shared" si="110"/>
        <v>001390</v>
      </c>
      <c r="F7058" t="s">
        <v>27246</v>
      </c>
      <c r="G7058" t="s">
        <v>27247</v>
      </c>
      <c r="H7058" t="s">
        <v>27248</v>
      </c>
      <c r="I7058" t="s">
        <v>40945</v>
      </c>
      <c r="J7058" t="s">
        <v>14001</v>
      </c>
      <c r="L7058" t="s">
        <v>27250</v>
      </c>
      <c r="M7058" t="s">
        <v>27251</v>
      </c>
      <c r="N7058" t="s">
        <v>27252</v>
      </c>
      <c r="Q7058" s="1">
        <v>44538</v>
      </c>
      <c r="R7058" t="s">
        <v>27253</v>
      </c>
      <c r="S7058" t="s">
        <v>27254</v>
      </c>
      <c r="T7058" t="s">
        <v>27255</v>
      </c>
    </row>
    <row r="7059" spans="1:20" x14ac:dyDescent="0.3">
      <c r="A7059" t="str">
        <f>"0611835065100"</f>
        <v>0611835065100</v>
      </c>
      <c r="B7059" t="str">
        <f>"LC7311"</f>
        <v>LC7311</v>
      </c>
      <c r="C7059" t="s">
        <v>40946</v>
      </c>
      <c r="D7059" t="s">
        <v>27245</v>
      </c>
      <c r="E7059" t="str">
        <f t="shared" si="110"/>
        <v>001390</v>
      </c>
      <c r="F7059" t="s">
        <v>27246</v>
      </c>
      <c r="G7059" t="s">
        <v>27247</v>
      </c>
      <c r="H7059" t="s">
        <v>27248</v>
      </c>
      <c r="I7059" t="s">
        <v>40947</v>
      </c>
      <c r="J7059" t="s">
        <v>14003</v>
      </c>
      <c r="L7059" t="s">
        <v>27250</v>
      </c>
      <c r="M7059" t="s">
        <v>27251</v>
      </c>
      <c r="N7059" t="s">
        <v>27252</v>
      </c>
      <c r="Q7059" s="1">
        <v>44538</v>
      </c>
      <c r="R7059" t="s">
        <v>27253</v>
      </c>
      <c r="S7059" t="s">
        <v>27254</v>
      </c>
      <c r="T7059" t="s">
        <v>27255</v>
      </c>
    </row>
    <row r="7060" spans="1:20" x14ac:dyDescent="0.3">
      <c r="A7060" t="str">
        <f>"0611835066025"</f>
        <v>0611835066025</v>
      </c>
      <c r="B7060" t="str">
        <f>"MC3746"</f>
        <v>MC3746</v>
      </c>
      <c r="C7060" t="s">
        <v>40948</v>
      </c>
      <c r="D7060" t="s">
        <v>27267</v>
      </c>
      <c r="E7060" t="str">
        <f t="shared" si="110"/>
        <v>001390</v>
      </c>
      <c r="F7060" t="s">
        <v>27246</v>
      </c>
      <c r="G7060" t="s">
        <v>27247</v>
      </c>
      <c r="H7060" t="s">
        <v>27248</v>
      </c>
      <c r="I7060" t="s">
        <v>40949</v>
      </c>
      <c r="J7060" t="s">
        <v>14005</v>
      </c>
      <c r="L7060" t="s">
        <v>27250</v>
      </c>
      <c r="M7060" t="s">
        <v>27251</v>
      </c>
      <c r="N7060" t="s">
        <v>27252</v>
      </c>
      <c r="Q7060" s="1">
        <v>44538</v>
      </c>
      <c r="R7060" t="s">
        <v>27253</v>
      </c>
      <c r="S7060" t="s">
        <v>27254</v>
      </c>
      <c r="T7060" t="s">
        <v>27269</v>
      </c>
    </row>
    <row r="7061" spans="1:20" x14ac:dyDescent="0.3">
      <c r="A7061" t="str">
        <f>"0611836046100"</f>
        <v>0611836046100</v>
      </c>
      <c r="B7061" t="str">
        <f>"LC7301"</f>
        <v>LC7301</v>
      </c>
      <c r="C7061" t="s">
        <v>40950</v>
      </c>
      <c r="D7061" t="s">
        <v>27245</v>
      </c>
      <c r="E7061" t="str">
        <f t="shared" si="110"/>
        <v>001390</v>
      </c>
      <c r="F7061" t="s">
        <v>27246</v>
      </c>
      <c r="G7061" t="s">
        <v>27247</v>
      </c>
      <c r="H7061" t="s">
        <v>27248</v>
      </c>
      <c r="I7061" t="s">
        <v>40951</v>
      </c>
      <c r="J7061" t="s">
        <v>14007</v>
      </c>
      <c r="L7061" t="s">
        <v>27250</v>
      </c>
      <c r="M7061" t="s">
        <v>27251</v>
      </c>
      <c r="N7061" t="s">
        <v>27252</v>
      </c>
      <c r="Q7061" s="1">
        <v>44538</v>
      </c>
      <c r="R7061" t="s">
        <v>27253</v>
      </c>
      <c r="S7061" t="s">
        <v>27254</v>
      </c>
      <c r="T7061" t="s">
        <v>27255</v>
      </c>
    </row>
    <row r="7062" spans="1:20" x14ac:dyDescent="0.3">
      <c r="A7062" t="str">
        <f>"0611835068025"</f>
        <v>0611835068025</v>
      </c>
      <c r="B7062" t="str">
        <f>"MC1468"</f>
        <v>MC1468</v>
      </c>
      <c r="C7062" t="s">
        <v>40952</v>
      </c>
      <c r="D7062" t="s">
        <v>27267</v>
      </c>
      <c r="E7062" t="str">
        <f t="shared" si="110"/>
        <v>001390</v>
      </c>
      <c r="F7062" t="s">
        <v>27246</v>
      </c>
      <c r="G7062" t="s">
        <v>27247</v>
      </c>
      <c r="H7062" t="s">
        <v>27248</v>
      </c>
      <c r="I7062" t="s">
        <v>40953</v>
      </c>
      <c r="J7062" t="s">
        <v>14011</v>
      </c>
      <c r="L7062" t="s">
        <v>27250</v>
      </c>
      <c r="M7062" t="s">
        <v>27251</v>
      </c>
      <c r="N7062" t="s">
        <v>27252</v>
      </c>
      <c r="Q7062" s="1">
        <v>44538</v>
      </c>
      <c r="R7062" t="s">
        <v>27253</v>
      </c>
      <c r="S7062" t="s">
        <v>27254</v>
      </c>
      <c r="T7062" t="s">
        <v>27269</v>
      </c>
    </row>
    <row r="7063" spans="1:20" x14ac:dyDescent="0.3">
      <c r="A7063" t="str">
        <f>"0611863147100"</f>
        <v>0611863147100</v>
      </c>
      <c r="B7063" t="str">
        <f>"CN5236"</f>
        <v>CN5236</v>
      </c>
      <c r="C7063" t="s">
        <v>40952</v>
      </c>
      <c r="D7063" t="s">
        <v>27335</v>
      </c>
      <c r="E7063" t="str">
        <f t="shared" si="110"/>
        <v>001390</v>
      </c>
      <c r="F7063" t="s">
        <v>27246</v>
      </c>
      <c r="G7063" t="s">
        <v>27247</v>
      </c>
      <c r="H7063" t="s">
        <v>27248</v>
      </c>
      <c r="I7063" t="s">
        <v>40954</v>
      </c>
      <c r="J7063" t="s">
        <v>14009</v>
      </c>
      <c r="L7063" t="s">
        <v>27250</v>
      </c>
      <c r="M7063" t="s">
        <v>27251</v>
      </c>
      <c r="N7063" t="s">
        <v>27252</v>
      </c>
      <c r="Q7063" s="1">
        <v>44846</v>
      </c>
      <c r="R7063" t="s">
        <v>27253</v>
      </c>
      <c r="S7063" t="s">
        <v>27254</v>
      </c>
      <c r="T7063" t="s">
        <v>27255</v>
      </c>
    </row>
    <row r="7064" spans="1:20" x14ac:dyDescent="0.3">
      <c r="A7064" t="str">
        <f>"0611863148050"</f>
        <v>0611863148050</v>
      </c>
      <c r="B7064" t="str">
        <f>"CR4362"</f>
        <v>CR4362</v>
      </c>
      <c r="C7064" t="s">
        <v>40955</v>
      </c>
      <c r="D7064" t="s">
        <v>27286</v>
      </c>
      <c r="E7064" t="str">
        <f t="shared" si="110"/>
        <v>001390</v>
      </c>
      <c r="F7064" t="s">
        <v>27246</v>
      </c>
      <c r="G7064" t="s">
        <v>27247</v>
      </c>
      <c r="H7064" t="s">
        <v>27248</v>
      </c>
      <c r="I7064" t="s">
        <v>40956</v>
      </c>
      <c r="J7064" t="s">
        <v>14013</v>
      </c>
      <c r="L7064" t="s">
        <v>27250</v>
      </c>
      <c r="M7064" t="s">
        <v>27251</v>
      </c>
      <c r="N7064" t="s">
        <v>27252</v>
      </c>
      <c r="Q7064" s="1">
        <v>44846</v>
      </c>
      <c r="R7064" t="s">
        <v>27253</v>
      </c>
      <c r="S7064" t="s">
        <v>27254</v>
      </c>
      <c r="T7064" t="s">
        <v>27265</v>
      </c>
    </row>
    <row r="7065" spans="1:20" x14ac:dyDescent="0.3">
      <c r="A7065" t="str">
        <f>"0611835070025"</f>
        <v>0611835070025</v>
      </c>
      <c r="B7065" t="str">
        <f>"MC1658"</f>
        <v>MC1658</v>
      </c>
      <c r="C7065" t="s">
        <v>40957</v>
      </c>
      <c r="D7065" t="s">
        <v>27267</v>
      </c>
      <c r="E7065" t="str">
        <f t="shared" si="110"/>
        <v>001390</v>
      </c>
      <c r="F7065" t="s">
        <v>27246</v>
      </c>
      <c r="G7065" t="s">
        <v>27247</v>
      </c>
      <c r="H7065" t="s">
        <v>27248</v>
      </c>
      <c r="I7065" t="s">
        <v>40958</v>
      </c>
      <c r="J7065" t="s">
        <v>14017</v>
      </c>
      <c r="L7065" t="s">
        <v>27250</v>
      </c>
      <c r="M7065" t="s">
        <v>27251</v>
      </c>
      <c r="N7065" t="s">
        <v>27252</v>
      </c>
      <c r="Q7065" s="1">
        <v>44538</v>
      </c>
      <c r="R7065" t="s">
        <v>27253</v>
      </c>
      <c r="S7065" t="s">
        <v>27254</v>
      </c>
      <c r="T7065" t="s">
        <v>27269</v>
      </c>
    </row>
    <row r="7066" spans="1:20" x14ac:dyDescent="0.3">
      <c r="A7066" t="str">
        <f>"0611863149100"</f>
        <v>0611863149100</v>
      </c>
      <c r="B7066" t="str">
        <f>"CN5237"</f>
        <v>CN5237</v>
      </c>
      <c r="C7066" t="s">
        <v>40957</v>
      </c>
      <c r="D7066" t="s">
        <v>27335</v>
      </c>
      <c r="E7066" t="str">
        <f t="shared" si="110"/>
        <v>001390</v>
      </c>
      <c r="F7066" t="s">
        <v>27246</v>
      </c>
      <c r="G7066" t="s">
        <v>27247</v>
      </c>
      <c r="H7066" t="s">
        <v>27248</v>
      </c>
      <c r="I7066" t="s">
        <v>40959</v>
      </c>
      <c r="J7066" t="s">
        <v>14015</v>
      </c>
      <c r="L7066" t="s">
        <v>27250</v>
      </c>
      <c r="M7066" t="s">
        <v>27251</v>
      </c>
      <c r="N7066" t="s">
        <v>27252</v>
      </c>
      <c r="Q7066" s="1">
        <v>44846</v>
      </c>
      <c r="R7066" t="s">
        <v>27253</v>
      </c>
      <c r="S7066" t="s">
        <v>27254</v>
      </c>
      <c r="T7066" t="s">
        <v>27255</v>
      </c>
    </row>
    <row r="7067" spans="1:20" x14ac:dyDescent="0.3">
      <c r="A7067" t="str">
        <f>"0611863150050"</f>
        <v>0611863150050</v>
      </c>
      <c r="B7067" t="str">
        <f>"CR4364"</f>
        <v>CR4364</v>
      </c>
      <c r="C7067" t="s">
        <v>40957</v>
      </c>
      <c r="D7067" t="s">
        <v>27263</v>
      </c>
      <c r="E7067" t="str">
        <f t="shared" si="110"/>
        <v>001390</v>
      </c>
      <c r="F7067" t="s">
        <v>27246</v>
      </c>
      <c r="G7067" t="s">
        <v>27247</v>
      </c>
      <c r="H7067" t="s">
        <v>27248</v>
      </c>
      <c r="I7067" t="s">
        <v>40960</v>
      </c>
      <c r="J7067" t="s">
        <v>14019</v>
      </c>
      <c r="L7067" t="s">
        <v>27250</v>
      </c>
      <c r="M7067" t="s">
        <v>27251</v>
      </c>
      <c r="N7067" t="s">
        <v>27252</v>
      </c>
      <c r="Q7067" s="1">
        <v>44846</v>
      </c>
      <c r="R7067" t="s">
        <v>27253</v>
      </c>
      <c r="S7067" t="s">
        <v>27254</v>
      </c>
      <c r="T7067" t="s">
        <v>27265</v>
      </c>
    </row>
    <row r="7068" spans="1:20" x14ac:dyDescent="0.3">
      <c r="A7068" t="str">
        <f>"0611835071100"</f>
        <v>0611835071100</v>
      </c>
      <c r="B7068" t="str">
        <f>"LC7312"</f>
        <v>LC7312</v>
      </c>
      <c r="C7068" t="s">
        <v>40961</v>
      </c>
      <c r="D7068" t="s">
        <v>27245</v>
      </c>
      <c r="E7068" t="str">
        <f t="shared" si="110"/>
        <v>001390</v>
      </c>
      <c r="F7068" t="s">
        <v>27246</v>
      </c>
      <c r="G7068" t="s">
        <v>27247</v>
      </c>
      <c r="H7068" t="s">
        <v>27248</v>
      </c>
      <c r="I7068" t="s">
        <v>40962</v>
      </c>
      <c r="J7068" t="s">
        <v>14021</v>
      </c>
      <c r="L7068" t="s">
        <v>27250</v>
      </c>
      <c r="M7068" t="s">
        <v>27251</v>
      </c>
      <c r="N7068" t="s">
        <v>27252</v>
      </c>
      <c r="Q7068" s="1">
        <v>44538</v>
      </c>
      <c r="R7068" t="s">
        <v>27253</v>
      </c>
      <c r="S7068" t="s">
        <v>27254</v>
      </c>
      <c r="T7068" t="s">
        <v>27255</v>
      </c>
    </row>
    <row r="7069" spans="1:20" x14ac:dyDescent="0.3">
      <c r="A7069" t="str">
        <f>"0611835072025"</f>
        <v>0611835072025</v>
      </c>
      <c r="B7069" t="str">
        <f>"MC0465"</f>
        <v>MC0465</v>
      </c>
      <c r="C7069" t="s">
        <v>40963</v>
      </c>
      <c r="D7069" t="s">
        <v>27267</v>
      </c>
      <c r="E7069" t="str">
        <f t="shared" si="110"/>
        <v>001390</v>
      </c>
      <c r="F7069" t="s">
        <v>27246</v>
      </c>
      <c r="G7069" t="s">
        <v>27247</v>
      </c>
      <c r="H7069" t="s">
        <v>27248</v>
      </c>
      <c r="I7069" t="s">
        <v>40964</v>
      </c>
      <c r="J7069" t="s">
        <v>14025</v>
      </c>
      <c r="L7069" t="s">
        <v>27250</v>
      </c>
      <c r="M7069" t="s">
        <v>27251</v>
      </c>
      <c r="N7069" t="s">
        <v>27252</v>
      </c>
      <c r="Q7069" s="1">
        <v>44538</v>
      </c>
      <c r="R7069" t="s">
        <v>27253</v>
      </c>
      <c r="S7069" t="s">
        <v>27254</v>
      </c>
      <c r="T7069" t="s">
        <v>27269</v>
      </c>
    </row>
    <row r="7070" spans="1:20" x14ac:dyDescent="0.3">
      <c r="A7070" t="str">
        <f>"0611863151100"</f>
        <v>0611863151100</v>
      </c>
      <c r="B7070" t="str">
        <f>"CN5221"</f>
        <v>CN5221</v>
      </c>
      <c r="C7070" t="s">
        <v>40963</v>
      </c>
      <c r="D7070" t="s">
        <v>27335</v>
      </c>
      <c r="E7070" t="str">
        <f t="shared" si="110"/>
        <v>001390</v>
      </c>
      <c r="F7070" t="s">
        <v>27246</v>
      </c>
      <c r="G7070" t="s">
        <v>27247</v>
      </c>
      <c r="H7070" t="s">
        <v>27248</v>
      </c>
      <c r="I7070" t="s">
        <v>40965</v>
      </c>
      <c r="J7070" t="s">
        <v>14023</v>
      </c>
      <c r="L7070" t="s">
        <v>27250</v>
      </c>
      <c r="M7070" t="s">
        <v>27251</v>
      </c>
      <c r="N7070" t="s">
        <v>27252</v>
      </c>
      <c r="Q7070" s="1">
        <v>44846</v>
      </c>
      <c r="R7070" t="s">
        <v>27253</v>
      </c>
      <c r="S7070" t="s">
        <v>27254</v>
      </c>
      <c r="T7070" t="s">
        <v>27255</v>
      </c>
    </row>
    <row r="7071" spans="1:20" x14ac:dyDescent="0.3">
      <c r="A7071" t="str">
        <f>"0611835073025"</f>
        <v>0611835073025</v>
      </c>
      <c r="B7071" t="str">
        <f>"MC2493"</f>
        <v>MC2493</v>
      </c>
      <c r="C7071" t="s">
        <v>40966</v>
      </c>
      <c r="D7071" t="s">
        <v>27267</v>
      </c>
      <c r="E7071" t="str">
        <f t="shared" si="110"/>
        <v>001390</v>
      </c>
      <c r="F7071" t="s">
        <v>27246</v>
      </c>
      <c r="G7071" t="s">
        <v>27247</v>
      </c>
      <c r="H7071" t="s">
        <v>27248</v>
      </c>
      <c r="I7071" t="s">
        <v>40967</v>
      </c>
      <c r="J7071" t="s">
        <v>14027</v>
      </c>
      <c r="L7071" t="s">
        <v>27250</v>
      </c>
      <c r="M7071" t="s">
        <v>27251</v>
      </c>
      <c r="N7071" t="s">
        <v>27252</v>
      </c>
      <c r="Q7071" s="1">
        <v>44538</v>
      </c>
      <c r="R7071" t="s">
        <v>27253</v>
      </c>
      <c r="S7071" t="s">
        <v>27254</v>
      </c>
      <c r="T7071" t="s">
        <v>27269</v>
      </c>
    </row>
    <row r="7072" spans="1:20" x14ac:dyDescent="0.3">
      <c r="A7072" t="str">
        <f>"0611863152050"</f>
        <v>0611863152050</v>
      </c>
      <c r="B7072" t="str">
        <f>"CR4351"</f>
        <v>CR4351</v>
      </c>
      <c r="C7072" t="s">
        <v>40968</v>
      </c>
      <c r="D7072" t="s">
        <v>27263</v>
      </c>
      <c r="E7072" t="str">
        <f t="shared" si="110"/>
        <v>001390</v>
      </c>
      <c r="F7072" t="s">
        <v>27246</v>
      </c>
      <c r="G7072" t="s">
        <v>27247</v>
      </c>
      <c r="H7072" t="s">
        <v>27248</v>
      </c>
      <c r="I7072" t="s">
        <v>40969</v>
      </c>
      <c r="J7072" t="s">
        <v>14029</v>
      </c>
      <c r="L7072" t="s">
        <v>27250</v>
      </c>
      <c r="M7072" t="s">
        <v>27251</v>
      </c>
      <c r="N7072" t="s">
        <v>27252</v>
      </c>
      <c r="Q7072" s="1">
        <v>44846</v>
      </c>
      <c r="R7072" t="s">
        <v>27253</v>
      </c>
      <c r="S7072" t="s">
        <v>27254</v>
      </c>
      <c r="T7072" t="s">
        <v>27265</v>
      </c>
    </row>
    <row r="7073" spans="1:20" x14ac:dyDescent="0.3">
      <c r="A7073" t="str">
        <f>"0611856975025"</f>
        <v>0611856975025</v>
      </c>
      <c r="B7073" t="str">
        <f>"MC4443"</f>
        <v>MC4443</v>
      </c>
      <c r="C7073" t="s">
        <v>40970</v>
      </c>
      <c r="D7073" t="s">
        <v>28057</v>
      </c>
      <c r="E7073" t="str">
        <f t="shared" si="110"/>
        <v>001390</v>
      </c>
      <c r="F7073" t="s">
        <v>27246</v>
      </c>
      <c r="G7073" t="s">
        <v>27247</v>
      </c>
      <c r="H7073" t="s">
        <v>27248</v>
      </c>
      <c r="I7073" t="s">
        <v>40971</v>
      </c>
      <c r="J7073" t="s">
        <v>14031</v>
      </c>
      <c r="L7073" t="s">
        <v>27250</v>
      </c>
      <c r="M7073" t="s">
        <v>27251</v>
      </c>
      <c r="N7073" t="s">
        <v>27252</v>
      </c>
      <c r="P7073" t="s">
        <v>27925</v>
      </c>
      <c r="Q7073" s="1">
        <v>44812</v>
      </c>
      <c r="R7073" t="s">
        <v>27253</v>
      </c>
      <c r="S7073" t="s">
        <v>27254</v>
      </c>
      <c r="T7073" t="s">
        <v>27269</v>
      </c>
    </row>
    <row r="7074" spans="1:20" x14ac:dyDescent="0.3">
      <c r="A7074" t="str">
        <f>"0611863153050"</f>
        <v>0611863153050</v>
      </c>
      <c r="B7074" t="str">
        <f>"CE0996"</f>
        <v>CE0996</v>
      </c>
      <c r="C7074" t="s">
        <v>40972</v>
      </c>
      <c r="D7074" t="s">
        <v>27923</v>
      </c>
      <c r="E7074" t="str">
        <f t="shared" si="110"/>
        <v>001390</v>
      </c>
      <c r="F7074" t="s">
        <v>27246</v>
      </c>
      <c r="G7074" t="s">
        <v>27247</v>
      </c>
      <c r="H7074" t="s">
        <v>27248</v>
      </c>
      <c r="I7074" t="s">
        <v>40973</v>
      </c>
      <c r="J7074" t="s">
        <v>14035</v>
      </c>
      <c r="L7074" t="s">
        <v>27250</v>
      </c>
      <c r="M7074" t="s">
        <v>27251</v>
      </c>
      <c r="N7074" t="s">
        <v>27252</v>
      </c>
      <c r="P7074" t="s">
        <v>27925</v>
      </c>
      <c r="Q7074" s="1">
        <v>44846</v>
      </c>
      <c r="R7074" t="s">
        <v>27253</v>
      </c>
      <c r="S7074" t="s">
        <v>27254</v>
      </c>
      <c r="T7074" t="s">
        <v>27265</v>
      </c>
    </row>
    <row r="7075" spans="1:20" x14ac:dyDescent="0.3">
      <c r="A7075" t="str">
        <f>"0611863154050"</f>
        <v>0611863154050</v>
      </c>
      <c r="B7075" t="str">
        <f>"CE0997"</f>
        <v>CE0997</v>
      </c>
      <c r="C7075" t="s">
        <v>40974</v>
      </c>
      <c r="D7075" t="s">
        <v>27923</v>
      </c>
      <c r="E7075" t="str">
        <f t="shared" si="110"/>
        <v>001390</v>
      </c>
      <c r="F7075" t="s">
        <v>27246</v>
      </c>
      <c r="G7075" t="s">
        <v>27247</v>
      </c>
      <c r="H7075" t="s">
        <v>27248</v>
      </c>
      <c r="I7075" t="s">
        <v>40975</v>
      </c>
      <c r="J7075" t="s">
        <v>14039</v>
      </c>
      <c r="L7075" t="s">
        <v>27250</v>
      </c>
      <c r="M7075" t="s">
        <v>27251</v>
      </c>
      <c r="N7075" t="s">
        <v>27252</v>
      </c>
      <c r="P7075" t="s">
        <v>27925</v>
      </c>
      <c r="Q7075" s="1">
        <v>44846</v>
      </c>
      <c r="R7075" t="s">
        <v>27253</v>
      </c>
      <c r="S7075" t="s">
        <v>27254</v>
      </c>
      <c r="T7075" t="s">
        <v>27265</v>
      </c>
    </row>
    <row r="7076" spans="1:20" x14ac:dyDescent="0.3">
      <c r="A7076" t="str">
        <f>"0611863155050"</f>
        <v>0611863155050</v>
      </c>
      <c r="B7076" t="str">
        <f>"CE1356"</f>
        <v>CE1356</v>
      </c>
      <c r="C7076" t="s">
        <v>40976</v>
      </c>
      <c r="D7076" t="s">
        <v>27923</v>
      </c>
      <c r="E7076" t="str">
        <f t="shared" si="110"/>
        <v>001390</v>
      </c>
      <c r="F7076" t="s">
        <v>27246</v>
      </c>
      <c r="G7076" t="s">
        <v>27247</v>
      </c>
      <c r="H7076" t="s">
        <v>27248</v>
      </c>
      <c r="I7076" t="s">
        <v>40977</v>
      </c>
      <c r="J7076" t="s">
        <v>14041</v>
      </c>
      <c r="L7076" t="s">
        <v>27250</v>
      </c>
      <c r="M7076" t="s">
        <v>27251</v>
      </c>
      <c r="N7076" t="s">
        <v>27252</v>
      </c>
      <c r="P7076" t="s">
        <v>27925</v>
      </c>
      <c r="Q7076" s="1">
        <v>44846</v>
      </c>
      <c r="R7076" t="s">
        <v>27253</v>
      </c>
      <c r="S7076" t="s">
        <v>27254</v>
      </c>
      <c r="T7076" t="s">
        <v>27265</v>
      </c>
    </row>
    <row r="7077" spans="1:20" x14ac:dyDescent="0.3">
      <c r="A7077" t="str">
        <f>"0611835076025"</f>
        <v>0611835076025</v>
      </c>
      <c r="B7077" t="str">
        <f>"MQ6043"</f>
        <v>MQ6043</v>
      </c>
      <c r="C7077" t="s">
        <v>40978</v>
      </c>
      <c r="D7077" t="s">
        <v>28057</v>
      </c>
      <c r="E7077" t="str">
        <f t="shared" si="110"/>
        <v>001390</v>
      </c>
      <c r="F7077" t="s">
        <v>27246</v>
      </c>
      <c r="G7077" t="s">
        <v>27247</v>
      </c>
      <c r="H7077" t="s">
        <v>27248</v>
      </c>
      <c r="I7077" t="s">
        <v>40979</v>
      </c>
      <c r="J7077" t="s">
        <v>14043</v>
      </c>
      <c r="L7077" t="s">
        <v>27250</v>
      </c>
      <c r="M7077" t="s">
        <v>27251</v>
      </c>
      <c r="N7077" t="s">
        <v>27252</v>
      </c>
      <c r="P7077" t="s">
        <v>27925</v>
      </c>
      <c r="Q7077" s="1">
        <v>44538</v>
      </c>
      <c r="R7077" t="s">
        <v>27253</v>
      </c>
      <c r="S7077" t="s">
        <v>27254</v>
      </c>
      <c r="T7077" t="s">
        <v>27269</v>
      </c>
    </row>
    <row r="7078" spans="1:20" x14ac:dyDescent="0.3">
      <c r="A7078" t="str">
        <f>"0611863156050"</f>
        <v>0611863156050</v>
      </c>
      <c r="B7078" t="str">
        <f>"CE1257"</f>
        <v>CE1257</v>
      </c>
      <c r="C7078" t="s">
        <v>40980</v>
      </c>
      <c r="D7078" t="s">
        <v>27923</v>
      </c>
      <c r="E7078" t="str">
        <f t="shared" si="110"/>
        <v>001390</v>
      </c>
      <c r="F7078" t="s">
        <v>27246</v>
      </c>
      <c r="G7078" t="s">
        <v>27247</v>
      </c>
      <c r="H7078" t="s">
        <v>27248</v>
      </c>
      <c r="I7078" t="s">
        <v>40981</v>
      </c>
      <c r="J7078" t="s">
        <v>14045</v>
      </c>
      <c r="L7078" t="s">
        <v>27250</v>
      </c>
      <c r="M7078" t="s">
        <v>27251</v>
      </c>
      <c r="N7078" t="s">
        <v>27252</v>
      </c>
      <c r="P7078" t="s">
        <v>27925</v>
      </c>
      <c r="Q7078" s="1">
        <v>44846</v>
      </c>
      <c r="R7078" t="s">
        <v>27253</v>
      </c>
      <c r="S7078" t="s">
        <v>27254</v>
      </c>
      <c r="T7078" t="s">
        <v>27265</v>
      </c>
    </row>
    <row r="7079" spans="1:20" x14ac:dyDescent="0.3">
      <c r="A7079" t="str">
        <f>"0611835074025"</f>
        <v>0611835074025</v>
      </c>
      <c r="B7079" t="str">
        <f>"MQ0510"</f>
        <v>MQ0510</v>
      </c>
      <c r="C7079" t="s">
        <v>40982</v>
      </c>
      <c r="D7079" t="s">
        <v>28057</v>
      </c>
      <c r="E7079" t="str">
        <f t="shared" si="110"/>
        <v>001390</v>
      </c>
      <c r="F7079" t="s">
        <v>27246</v>
      </c>
      <c r="G7079" t="s">
        <v>27247</v>
      </c>
      <c r="H7079" t="s">
        <v>27248</v>
      </c>
      <c r="I7079" t="s">
        <v>40983</v>
      </c>
      <c r="J7079" t="s">
        <v>14033</v>
      </c>
      <c r="L7079" t="s">
        <v>27250</v>
      </c>
      <c r="M7079" t="s">
        <v>27251</v>
      </c>
      <c r="N7079" t="s">
        <v>27252</v>
      </c>
      <c r="P7079" t="s">
        <v>27925</v>
      </c>
      <c r="Q7079" s="1">
        <v>44538</v>
      </c>
      <c r="R7079" t="s">
        <v>27253</v>
      </c>
      <c r="S7079" t="s">
        <v>27254</v>
      </c>
      <c r="T7079" t="s">
        <v>27269</v>
      </c>
    </row>
    <row r="7080" spans="1:20" x14ac:dyDescent="0.3">
      <c r="A7080" t="str">
        <f>"0611835075025"</f>
        <v>0611835075025</v>
      </c>
      <c r="B7080" t="str">
        <f>"MQ0511"</f>
        <v>MQ0511</v>
      </c>
      <c r="C7080" t="s">
        <v>40984</v>
      </c>
      <c r="D7080" t="s">
        <v>28057</v>
      </c>
      <c r="E7080" t="str">
        <f t="shared" si="110"/>
        <v>001390</v>
      </c>
      <c r="F7080" t="s">
        <v>27246</v>
      </c>
      <c r="G7080" t="s">
        <v>27247</v>
      </c>
      <c r="H7080" t="s">
        <v>27248</v>
      </c>
      <c r="I7080" t="s">
        <v>40985</v>
      </c>
      <c r="J7080" t="s">
        <v>14037</v>
      </c>
      <c r="L7080" t="s">
        <v>27250</v>
      </c>
      <c r="M7080" t="s">
        <v>27251</v>
      </c>
      <c r="N7080" t="s">
        <v>27252</v>
      </c>
      <c r="P7080" t="s">
        <v>27925</v>
      </c>
      <c r="Q7080" s="1">
        <v>44538</v>
      </c>
      <c r="R7080" t="s">
        <v>27253</v>
      </c>
      <c r="S7080" t="s">
        <v>27254</v>
      </c>
      <c r="T7080" t="s">
        <v>27269</v>
      </c>
    </row>
    <row r="7081" spans="1:20" x14ac:dyDescent="0.3">
      <c r="A7081" t="str">
        <f>"0611863157100"</f>
        <v>0611863157100</v>
      </c>
      <c r="B7081" t="str">
        <f>"CN2310"</f>
        <v>CN2310</v>
      </c>
      <c r="C7081" t="s">
        <v>40986</v>
      </c>
      <c r="D7081" t="s">
        <v>27339</v>
      </c>
      <c r="E7081" t="str">
        <f t="shared" si="110"/>
        <v>001390</v>
      </c>
      <c r="F7081" t="s">
        <v>27246</v>
      </c>
      <c r="G7081" t="s">
        <v>27247</v>
      </c>
      <c r="H7081" t="s">
        <v>27248</v>
      </c>
      <c r="I7081" t="s">
        <v>40987</v>
      </c>
      <c r="J7081" t="s">
        <v>14047</v>
      </c>
      <c r="L7081" t="s">
        <v>27250</v>
      </c>
      <c r="M7081" t="s">
        <v>27251</v>
      </c>
      <c r="N7081" t="s">
        <v>27252</v>
      </c>
      <c r="P7081" t="s">
        <v>27341</v>
      </c>
      <c r="Q7081" s="1">
        <v>44846</v>
      </c>
      <c r="R7081" t="s">
        <v>27253</v>
      </c>
      <c r="S7081" t="s">
        <v>27254</v>
      </c>
      <c r="T7081" t="s">
        <v>27255</v>
      </c>
    </row>
    <row r="7082" spans="1:20" x14ac:dyDescent="0.3">
      <c r="A7082" t="str">
        <f>"0611863158100"</f>
        <v>0611863158100</v>
      </c>
      <c r="B7082" t="str">
        <f>"CN2311"</f>
        <v>CN2311</v>
      </c>
      <c r="C7082" t="s">
        <v>40988</v>
      </c>
      <c r="D7082" t="s">
        <v>27339</v>
      </c>
      <c r="E7082" t="str">
        <f t="shared" si="110"/>
        <v>001390</v>
      </c>
      <c r="F7082" t="s">
        <v>27246</v>
      </c>
      <c r="G7082" t="s">
        <v>27247</v>
      </c>
      <c r="H7082" t="s">
        <v>27248</v>
      </c>
      <c r="I7082" t="s">
        <v>40989</v>
      </c>
      <c r="J7082" t="s">
        <v>14049</v>
      </c>
      <c r="L7082" t="s">
        <v>27250</v>
      </c>
      <c r="M7082" t="s">
        <v>27251</v>
      </c>
      <c r="N7082" t="s">
        <v>27252</v>
      </c>
      <c r="P7082" t="s">
        <v>27341</v>
      </c>
      <c r="Q7082" s="1">
        <v>44846</v>
      </c>
      <c r="R7082" t="s">
        <v>27253</v>
      </c>
      <c r="S7082" t="s">
        <v>27254</v>
      </c>
      <c r="T7082" t="s">
        <v>27255</v>
      </c>
    </row>
    <row r="7083" spans="1:20" x14ac:dyDescent="0.3">
      <c r="A7083" t="str">
        <f>"0611863160100"</f>
        <v>0611863160100</v>
      </c>
      <c r="B7083" t="str">
        <f>"CN5226"</f>
        <v>CN5226</v>
      </c>
      <c r="C7083" t="s">
        <v>40990</v>
      </c>
      <c r="D7083" t="s">
        <v>27339</v>
      </c>
      <c r="E7083" t="str">
        <f t="shared" si="110"/>
        <v>001390</v>
      </c>
      <c r="F7083" t="s">
        <v>27246</v>
      </c>
      <c r="G7083" t="s">
        <v>27247</v>
      </c>
      <c r="H7083" t="s">
        <v>27248</v>
      </c>
      <c r="I7083" t="s">
        <v>40991</v>
      </c>
      <c r="J7083" t="s">
        <v>14051</v>
      </c>
      <c r="L7083" t="s">
        <v>27250</v>
      </c>
      <c r="M7083" t="s">
        <v>27251</v>
      </c>
      <c r="N7083" t="s">
        <v>27252</v>
      </c>
      <c r="P7083" t="s">
        <v>27341</v>
      </c>
      <c r="Q7083" s="1">
        <v>44846</v>
      </c>
      <c r="R7083" t="s">
        <v>27253</v>
      </c>
      <c r="S7083" t="s">
        <v>27254</v>
      </c>
      <c r="T7083" t="s">
        <v>27255</v>
      </c>
    </row>
    <row r="7084" spans="1:20" x14ac:dyDescent="0.3">
      <c r="A7084" t="str">
        <f>"0611884289100"</f>
        <v>0611884289100</v>
      </c>
      <c r="B7084" t="str">
        <f>"CN2376"</f>
        <v>CN2376</v>
      </c>
      <c r="C7084" t="s">
        <v>40992</v>
      </c>
      <c r="D7084" t="s">
        <v>27339</v>
      </c>
      <c r="E7084" t="str">
        <f t="shared" si="110"/>
        <v>001390</v>
      </c>
      <c r="F7084" t="s">
        <v>27246</v>
      </c>
      <c r="G7084" t="s">
        <v>27247</v>
      </c>
      <c r="H7084" t="s">
        <v>27248</v>
      </c>
      <c r="I7084" t="s">
        <v>40993</v>
      </c>
      <c r="J7084" t="s">
        <v>14053</v>
      </c>
      <c r="L7084" t="s">
        <v>27430</v>
      </c>
      <c r="M7084" t="s">
        <v>27251</v>
      </c>
      <c r="N7084" t="s">
        <v>27252</v>
      </c>
      <c r="P7084" t="s">
        <v>27341</v>
      </c>
      <c r="Q7084" s="1">
        <v>45250</v>
      </c>
      <c r="R7084" t="s">
        <v>27253</v>
      </c>
      <c r="S7084" t="s">
        <v>27254</v>
      </c>
      <c r="T7084" t="s">
        <v>27255</v>
      </c>
    </row>
    <row r="7085" spans="1:20" x14ac:dyDescent="0.3">
      <c r="A7085" t="str">
        <f>"0611863161100"</f>
        <v>0611863161100</v>
      </c>
      <c r="B7085" t="str">
        <f>"CN5231"</f>
        <v>CN5231</v>
      </c>
      <c r="C7085" t="s">
        <v>40994</v>
      </c>
      <c r="D7085" t="s">
        <v>27339</v>
      </c>
      <c r="E7085" t="str">
        <f t="shared" si="110"/>
        <v>001390</v>
      </c>
      <c r="F7085" t="s">
        <v>27246</v>
      </c>
      <c r="G7085" t="s">
        <v>27247</v>
      </c>
      <c r="H7085" t="s">
        <v>27248</v>
      </c>
      <c r="I7085" t="s">
        <v>40995</v>
      </c>
      <c r="J7085" t="s">
        <v>14065</v>
      </c>
      <c r="L7085" t="s">
        <v>27250</v>
      </c>
      <c r="M7085" t="s">
        <v>27251</v>
      </c>
      <c r="N7085" t="s">
        <v>27252</v>
      </c>
      <c r="P7085" t="s">
        <v>27341</v>
      </c>
      <c r="Q7085" s="1">
        <v>44846</v>
      </c>
      <c r="R7085" t="s">
        <v>27253</v>
      </c>
      <c r="S7085" t="s">
        <v>27254</v>
      </c>
      <c r="T7085" t="s">
        <v>27255</v>
      </c>
    </row>
    <row r="7086" spans="1:20" x14ac:dyDescent="0.3">
      <c r="A7086" t="str">
        <f>"0611863162100"</f>
        <v>0611863162100</v>
      </c>
      <c r="B7086" t="str">
        <f>"CN5232"</f>
        <v>CN5232</v>
      </c>
      <c r="C7086" t="s">
        <v>40996</v>
      </c>
      <c r="D7086" t="s">
        <v>27339</v>
      </c>
      <c r="E7086" t="str">
        <f t="shared" si="110"/>
        <v>001390</v>
      </c>
      <c r="F7086" t="s">
        <v>27246</v>
      </c>
      <c r="G7086" t="s">
        <v>27247</v>
      </c>
      <c r="H7086" t="s">
        <v>27248</v>
      </c>
      <c r="I7086" t="s">
        <v>40997</v>
      </c>
      <c r="J7086" t="s">
        <v>14069</v>
      </c>
      <c r="L7086" t="s">
        <v>27250</v>
      </c>
      <c r="M7086" t="s">
        <v>27251</v>
      </c>
      <c r="N7086" t="s">
        <v>27252</v>
      </c>
      <c r="P7086" t="s">
        <v>27341</v>
      </c>
      <c r="Q7086" s="1">
        <v>44846</v>
      </c>
      <c r="R7086" t="s">
        <v>27253</v>
      </c>
      <c r="S7086" t="s">
        <v>27254</v>
      </c>
      <c r="T7086" t="s">
        <v>27255</v>
      </c>
    </row>
    <row r="7087" spans="1:20" x14ac:dyDescent="0.3">
      <c r="A7087" t="str">
        <f>"0611863163100"</f>
        <v>0611863163100</v>
      </c>
      <c r="B7087" t="str">
        <f>"CN5228"</f>
        <v>CN5228</v>
      </c>
      <c r="C7087" t="s">
        <v>40998</v>
      </c>
      <c r="D7087" t="s">
        <v>27339</v>
      </c>
      <c r="E7087" t="str">
        <f t="shared" si="110"/>
        <v>001390</v>
      </c>
      <c r="F7087" t="s">
        <v>27246</v>
      </c>
      <c r="G7087" t="s">
        <v>27247</v>
      </c>
      <c r="H7087" t="s">
        <v>27248</v>
      </c>
      <c r="I7087" t="s">
        <v>40999</v>
      </c>
      <c r="J7087" t="s">
        <v>14055</v>
      </c>
      <c r="L7087" t="s">
        <v>27250</v>
      </c>
      <c r="M7087" t="s">
        <v>27251</v>
      </c>
      <c r="N7087" t="s">
        <v>27252</v>
      </c>
      <c r="P7087" t="s">
        <v>27341</v>
      </c>
      <c r="Q7087" s="1">
        <v>44846</v>
      </c>
      <c r="R7087" t="s">
        <v>27253</v>
      </c>
      <c r="S7087" t="s">
        <v>27254</v>
      </c>
      <c r="T7087" t="s">
        <v>27255</v>
      </c>
    </row>
    <row r="7088" spans="1:20" x14ac:dyDescent="0.3">
      <c r="A7088" t="str">
        <f>"0611863164100"</f>
        <v>0611863164100</v>
      </c>
      <c r="B7088" t="str">
        <f>"CN5229"</f>
        <v>CN5229</v>
      </c>
      <c r="C7088" t="s">
        <v>41000</v>
      </c>
      <c r="D7088" t="s">
        <v>27552</v>
      </c>
      <c r="E7088" t="str">
        <f t="shared" si="110"/>
        <v>001390</v>
      </c>
      <c r="F7088" t="s">
        <v>27246</v>
      </c>
      <c r="G7088" t="s">
        <v>27247</v>
      </c>
      <c r="H7088" t="s">
        <v>27248</v>
      </c>
      <c r="I7088" t="s">
        <v>41001</v>
      </c>
      <c r="J7088" t="s">
        <v>14059</v>
      </c>
      <c r="L7088" t="s">
        <v>27250</v>
      </c>
      <c r="M7088" t="s">
        <v>27251</v>
      </c>
      <c r="N7088" t="s">
        <v>27252</v>
      </c>
      <c r="P7088" t="s">
        <v>27341</v>
      </c>
      <c r="Q7088" s="1">
        <v>44846</v>
      </c>
      <c r="R7088" t="s">
        <v>27253</v>
      </c>
      <c r="S7088" t="s">
        <v>27254</v>
      </c>
      <c r="T7088" t="s">
        <v>27255</v>
      </c>
    </row>
    <row r="7089" spans="1:20" x14ac:dyDescent="0.3">
      <c r="A7089" t="str">
        <f>"0611863165100"</f>
        <v>0611863165100</v>
      </c>
      <c r="B7089" t="str">
        <f>"CN5216"</f>
        <v>CN5216</v>
      </c>
      <c r="C7089" t="s">
        <v>41002</v>
      </c>
      <c r="D7089" t="s">
        <v>27339</v>
      </c>
      <c r="E7089" t="str">
        <f t="shared" si="110"/>
        <v>001390</v>
      </c>
      <c r="F7089" t="s">
        <v>27246</v>
      </c>
      <c r="G7089" t="s">
        <v>27247</v>
      </c>
      <c r="H7089" t="s">
        <v>27248</v>
      </c>
      <c r="I7089" t="s">
        <v>41003</v>
      </c>
      <c r="J7089" t="s">
        <v>14073</v>
      </c>
      <c r="L7089" t="s">
        <v>27250</v>
      </c>
      <c r="M7089" t="s">
        <v>27251</v>
      </c>
      <c r="N7089" t="s">
        <v>27252</v>
      </c>
      <c r="P7089" t="s">
        <v>27341</v>
      </c>
      <c r="Q7089" s="1">
        <v>44846</v>
      </c>
      <c r="R7089" t="s">
        <v>27253</v>
      </c>
      <c r="S7089" t="s">
        <v>27254</v>
      </c>
      <c r="T7089" t="s">
        <v>27255</v>
      </c>
    </row>
    <row r="7090" spans="1:20" x14ac:dyDescent="0.3">
      <c r="A7090" t="str">
        <f>"0611863166100"</f>
        <v>0611863166100</v>
      </c>
      <c r="B7090" t="str">
        <f>"CN5217"</f>
        <v>CN5217</v>
      </c>
      <c r="C7090" t="s">
        <v>41004</v>
      </c>
      <c r="D7090" t="s">
        <v>27339</v>
      </c>
      <c r="E7090" t="str">
        <f t="shared" si="110"/>
        <v>001390</v>
      </c>
      <c r="F7090" t="s">
        <v>27246</v>
      </c>
      <c r="G7090" t="s">
        <v>27247</v>
      </c>
      <c r="H7090" t="s">
        <v>27248</v>
      </c>
      <c r="I7090" t="s">
        <v>41005</v>
      </c>
      <c r="J7090" t="s">
        <v>14075</v>
      </c>
      <c r="L7090" t="s">
        <v>27250</v>
      </c>
      <c r="M7090" t="s">
        <v>27251</v>
      </c>
      <c r="N7090" t="s">
        <v>27252</v>
      </c>
      <c r="P7090" t="s">
        <v>27341</v>
      </c>
      <c r="Q7090" s="1">
        <v>44846</v>
      </c>
      <c r="R7090" t="s">
        <v>27253</v>
      </c>
      <c r="S7090" t="s">
        <v>27254</v>
      </c>
      <c r="T7090" t="s">
        <v>27255</v>
      </c>
    </row>
    <row r="7091" spans="1:20" x14ac:dyDescent="0.3">
      <c r="A7091" t="str">
        <f>"0611863167100"</f>
        <v>0611863167100</v>
      </c>
      <c r="B7091" t="str">
        <f>"CN5218"</f>
        <v>CN5218</v>
      </c>
      <c r="C7091" t="s">
        <v>41006</v>
      </c>
      <c r="D7091" t="s">
        <v>27339</v>
      </c>
      <c r="E7091" t="str">
        <f t="shared" si="110"/>
        <v>001390</v>
      </c>
      <c r="F7091" t="s">
        <v>27246</v>
      </c>
      <c r="G7091" t="s">
        <v>27247</v>
      </c>
      <c r="H7091" t="s">
        <v>27248</v>
      </c>
      <c r="I7091" t="s">
        <v>41007</v>
      </c>
      <c r="J7091" t="s">
        <v>14077</v>
      </c>
      <c r="L7091" t="s">
        <v>27250</v>
      </c>
      <c r="M7091" t="s">
        <v>27251</v>
      </c>
      <c r="N7091" t="s">
        <v>27252</v>
      </c>
      <c r="P7091" t="s">
        <v>27341</v>
      </c>
      <c r="Q7091" s="1">
        <v>44846</v>
      </c>
      <c r="R7091" t="s">
        <v>27253</v>
      </c>
      <c r="S7091" t="s">
        <v>27254</v>
      </c>
      <c r="T7091" t="s">
        <v>27255</v>
      </c>
    </row>
    <row r="7092" spans="1:20" x14ac:dyDescent="0.3">
      <c r="A7092" t="str">
        <f>"0611863168100"</f>
        <v>0611863168100</v>
      </c>
      <c r="B7092" t="str">
        <f>"CN5219"</f>
        <v>CN5219</v>
      </c>
      <c r="C7092" t="s">
        <v>41008</v>
      </c>
      <c r="D7092" t="s">
        <v>27339</v>
      </c>
      <c r="E7092" t="str">
        <f t="shared" si="110"/>
        <v>001390</v>
      </c>
      <c r="F7092" t="s">
        <v>27246</v>
      </c>
      <c r="G7092" t="s">
        <v>27247</v>
      </c>
      <c r="H7092" t="s">
        <v>27248</v>
      </c>
      <c r="I7092" t="s">
        <v>41009</v>
      </c>
      <c r="J7092" t="s">
        <v>14079</v>
      </c>
      <c r="L7092" t="s">
        <v>27250</v>
      </c>
      <c r="M7092" t="s">
        <v>27251</v>
      </c>
      <c r="N7092" t="s">
        <v>27252</v>
      </c>
      <c r="P7092" t="s">
        <v>27341</v>
      </c>
      <c r="Q7092" s="1">
        <v>44846</v>
      </c>
      <c r="R7092" t="s">
        <v>27253</v>
      </c>
      <c r="S7092" t="s">
        <v>27254</v>
      </c>
      <c r="T7092" t="s">
        <v>27255</v>
      </c>
    </row>
    <row r="7093" spans="1:20" x14ac:dyDescent="0.3">
      <c r="A7093" t="str">
        <f>"0611863159100"</f>
        <v>0611863159100</v>
      </c>
      <c r="B7093" t="str">
        <f>"CN2312"</f>
        <v>CN2312</v>
      </c>
      <c r="C7093" t="s">
        <v>41010</v>
      </c>
      <c r="D7093" t="s">
        <v>27339</v>
      </c>
      <c r="E7093" t="str">
        <f t="shared" si="110"/>
        <v>001390</v>
      </c>
      <c r="F7093" t="s">
        <v>27246</v>
      </c>
      <c r="G7093" t="s">
        <v>27247</v>
      </c>
      <c r="H7093" t="s">
        <v>27248</v>
      </c>
      <c r="I7093" t="s">
        <v>41011</v>
      </c>
      <c r="J7093" t="s">
        <v>14081</v>
      </c>
      <c r="L7093" t="s">
        <v>27250</v>
      </c>
      <c r="M7093" t="s">
        <v>27251</v>
      </c>
      <c r="N7093" t="s">
        <v>27252</v>
      </c>
      <c r="P7093" t="s">
        <v>27341</v>
      </c>
      <c r="Q7093" s="1">
        <v>44846</v>
      </c>
      <c r="R7093" t="s">
        <v>27253</v>
      </c>
      <c r="S7093" t="s">
        <v>27254</v>
      </c>
      <c r="T7093" t="s">
        <v>27255</v>
      </c>
    </row>
    <row r="7094" spans="1:20" x14ac:dyDescent="0.3">
      <c r="A7094" t="str">
        <f>"0611835078100"</f>
        <v>0611835078100</v>
      </c>
      <c r="B7094" t="str">
        <f>"LC7300"</f>
        <v>LC7300</v>
      </c>
      <c r="C7094" t="s">
        <v>41012</v>
      </c>
      <c r="D7094" t="s">
        <v>27245</v>
      </c>
      <c r="E7094" t="str">
        <f t="shared" si="110"/>
        <v>001390</v>
      </c>
      <c r="F7094" t="s">
        <v>27246</v>
      </c>
      <c r="G7094" t="s">
        <v>27247</v>
      </c>
      <c r="H7094" t="s">
        <v>27248</v>
      </c>
      <c r="I7094" t="s">
        <v>41013</v>
      </c>
      <c r="J7094" t="s">
        <v>14083</v>
      </c>
      <c r="L7094" t="s">
        <v>27250</v>
      </c>
      <c r="M7094" t="s">
        <v>27251</v>
      </c>
      <c r="N7094" t="s">
        <v>27252</v>
      </c>
      <c r="Q7094" s="1">
        <v>44538</v>
      </c>
      <c r="R7094" t="s">
        <v>27253</v>
      </c>
      <c r="S7094" t="s">
        <v>27254</v>
      </c>
      <c r="T7094" t="s">
        <v>27255</v>
      </c>
    </row>
    <row r="7095" spans="1:20" x14ac:dyDescent="0.3">
      <c r="A7095" t="str">
        <f>"0611835079025"</f>
        <v>0611835079025</v>
      </c>
      <c r="B7095" t="str">
        <f>"MC4100"</f>
        <v>MC4100</v>
      </c>
      <c r="C7095" t="s">
        <v>41014</v>
      </c>
      <c r="D7095" t="s">
        <v>27267</v>
      </c>
      <c r="E7095" t="str">
        <f t="shared" si="110"/>
        <v>001390</v>
      </c>
      <c r="F7095" t="s">
        <v>27246</v>
      </c>
      <c r="G7095" t="s">
        <v>27247</v>
      </c>
      <c r="H7095" t="s">
        <v>27248</v>
      </c>
      <c r="I7095" t="s">
        <v>41015</v>
      </c>
      <c r="J7095" t="s">
        <v>14085</v>
      </c>
      <c r="L7095" t="s">
        <v>27250</v>
      </c>
      <c r="M7095" t="s">
        <v>27251</v>
      </c>
      <c r="N7095" t="s">
        <v>27252</v>
      </c>
      <c r="Q7095" s="1">
        <v>44538</v>
      </c>
      <c r="R7095" t="s">
        <v>27253</v>
      </c>
      <c r="S7095" t="s">
        <v>27254</v>
      </c>
      <c r="T7095" t="s">
        <v>27269</v>
      </c>
    </row>
    <row r="7096" spans="1:20" x14ac:dyDescent="0.3">
      <c r="A7096" t="str">
        <f>"0611835080025"</f>
        <v>0611835080025</v>
      </c>
      <c r="B7096" t="str">
        <f>"MC3139"</f>
        <v>MC3139</v>
      </c>
      <c r="C7096" t="s">
        <v>41016</v>
      </c>
      <c r="D7096" t="s">
        <v>27267</v>
      </c>
      <c r="E7096" t="str">
        <f t="shared" si="110"/>
        <v>001390</v>
      </c>
      <c r="F7096" t="s">
        <v>27246</v>
      </c>
      <c r="G7096" t="s">
        <v>27247</v>
      </c>
      <c r="H7096" t="s">
        <v>27248</v>
      </c>
      <c r="I7096" t="s">
        <v>41017</v>
      </c>
      <c r="J7096" t="s">
        <v>14087</v>
      </c>
      <c r="L7096" t="s">
        <v>27250</v>
      </c>
      <c r="M7096" t="s">
        <v>27251</v>
      </c>
      <c r="N7096" t="s">
        <v>27252</v>
      </c>
      <c r="Q7096" s="1">
        <v>44538</v>
      </c>
      <c r="R7096" t="s">
        <v>27253</v>
      </c>
      <c r="S7096" t="s">
        <v>27254</v>
      </c>
      <c r="T7096" t="s">
        <v>27269</v>
      </c>
    </row>
    <row r="7097" spans="1:20" x14ac:dyDescent="0.3">
      <c r="A7097" t="str">
        <f>"0611835082100"</f>
        <v>0611835082100</v>
      </c>
      <c r="B7097" t="str">
        <f>"LC7306"</f>
        <v>LC7306</v>
      </c>
      <c r="C7097" t="s">
        <v>41018</v>
      </c>
      <c r="D7097" t="s">
        <v>27245</v>
      </c>
      <c r="E7097" t="str">
        <f t="shared" si="110"/>
        <v>001390</v>
      </c>
      <c r="F7097" t="s">
        <v>27246</v>
      </c>
      <c r="G7097" t="s">
        <v>27247</v>
      </c>
      <c r="H7097" t="s">
        <v>27248</v>
      </c>
      <c r="I7097" t="s">
        <v>41019</v>
      </c>
      <c r="J7097" t="s">
        <v>14091</v>
      </c>
      <c r="L7097" t="s">
        <v>27250</v>
      </c>
      <c r="M7097" t="s">
        <v>27251</v>
      </c>
      <c r="N7097" t="s">
        <v>27252</v>
      </c>
      <c r="Q7097" s="1">
        <v>44538</v>
      </c>
      <c r="R7097" t="s">
        <v>27253</v>
      </c>
      <c r="S7097" t="s">
        <v>27254</v>
      </c>
      <c r="T7097" t="s">
        <v>27255</v>
      </c>
    </row>
    <row r="7098" spans="1:20" x14ac:dyDescent="0.3">
      <c r="A7098" t="str">
        <f>"0611835083025"</f>
        <v>0611835083025</v>
      </c>
      <c r="B7098" t="str">
        <f>"MC0792"</f>
        <v>MC0792</v>
      </c>
      <c r="C7098" t="s">
        <v>41018</v>
      </c>
      <c r="D7098" t="s">
        <v>27267</v>
      </c>
      <c r="E7098" t="str">
        <f t="shared" si="110"/>
        <v>001390</v>
      </c>
      <c r="F7098" t="s">
        <v>27246</v>
      </c>
      <c r="G7098" t="s">
        <v>27247</v>
      </c>
      <c r="H7098" t="s">
        <v>27248</v>
      </c>
      <c r="I7098" t="s">
        <v>41020</v>
      </c>
      <c r="J7098" t="s">
        <v>14093</v>
      </c>
      <c r="L7098" t="s">
        <v>27250</v>
      </c>
      <c r="M7098" t="s">
        <v>27251</v>
      </c>
      <c r="N7098" t="s">
        <v>27252</v>
      </c>
      <c r="Q7098" s="1">
        <v>44538</v>
      </c>
      <c r="R7098" t="s">
        <v>27253</v>
      </c>
      <c r="S7098" t="s">
        <v>27254</v>
      </c>
      <c r="T7098" t="s">
        <v>27269</v>
      </c>
    </row>
    <row r="7099" spans="1:20" x14ac:dyDescent="0.3">
      <c r="A7099" t="str">
        <f>"0611835081100"</f>
        <v>0611835081100</v>
      </c>
      <c r="B7099" t="str">
        <f>"LQ6024"</f>
        <v>LQ6024</v>
      </c>
      <c r="C7099" t="s">
        <v>41021</v>
      </c>
      <c r="D7099" t="s">
        <v>27245</v>
      </c>
      <c r="E7099" t="str">
        <f t="shared" si="110"/>
        <v>001390</v>
      </c>
      <c r="F7099" t="s">
        <v>27246</v>
      </c>
      <c r="G7099" t="s">
        <v>27247</v>
      </c>
      <c r="H7099" t="s">
        <v>27248</v>
      </c>
      <c r="I7099" t="s">
        <v>41022</v>
      </c>
      <c r="J7099" t="s">
        <v>14089</v>
      </c>
      <c r="L7099" t="s">
        <v>27250</v>
      </c>
      <c r="M7099" t="s">
        <v>27251</v>
      </c>
      <c r="N7099" t="s">
        <v>27252</v>
      </c>
      <c r="Q7099" s="1">
        <v>44538</v>
      </c>
      <c r="R7099" t="s">
        <v>27253</v>
      </c>
      <c r="S7099" t="s">
        <v>27254</v>
      </c>
      <c r="T7099" t="s">
        <v>27255</v>
      </c>
    </row>
    <row r="7100" spans="1:20" x14ac:dyDescent="0.3">
      <c r="A7100" t="str">
        <f>"0611856976025"</f>
        <v>0611856976025</v>
      </c>
      <c r="B7100" t="str">
        <f>"MQ0788"</f>
        <v>MQ0788</v>
      </c>
      <c r="C7100" t="s">
        <v>41023</v>
      </c>
      <c r="D7100" t="s">
        <v>27267</v>
      </c>
      <c r="E7100" t="str">
        <f t="shared" si="110"/>
        <v>001390</v>
      </c>
      <c r="F7100" t="s">
        <v>27246</v>
      </c>
      <c r="G7100" t="s">
        <v>27247</v>
      </c>
      <c r="H7100" t="s">
        <v>27248</v>
      </c>
      <c r="I7100" t="s">
        <v>41024</v>
      </c>
      <c r="J7100" t="s">
        <v>14095</v>
      </c>
      <c r="L7100" t="s">
        <v>27250</v>
      </c>
      <c r="M7100" t="s">
        <v>27251</v>
      </c>
      <c r="N7100" t="s">
        <v>27252</v>
      </c>
      <c r="Q7100" s="1">
        <v>44812</v>
      </c>
      <c r="R7100" t="s">
        <v>27253</v>
      </c>
      <c r="S7100" t="s">
        <v>27254</v>
      </c>
      <c r="T7100" t="s">
        <v>27269</v>
      </c>
    </row>
    <row r="7101" spans="1:20" x14ac:dyDescent="0.3">
      <c r="A7101" t="str">
        <f>"0611884290100"</f>
        <v>0611884290100</v>
      </c>
      <c r="B7101" t="str">
        <f>"LQ3935"</f>
        <v>LQ3935</v>
      </c>
      <c r="C7101" t="s">
        <v>41025</v>
      </c>
      <c r="D7101" t="s">
        <v>27245</v>
      </c>
      <c r="E7101" t="str">
        <f t="shared" si="110"/>
        <v>001390</v>
      </c>
      <c r="F7101" t="s">
        <v>27246</v>
      </c>
      <c r="G7101" t="s">
        <v>27247</v>
      </c>
      <c r="H7101" t="s">
        <v>27248</v>
      </c>
      <c r="I7101" t="s">
        <v>41026</v>
      </c>
      <c r="J7101" t="s">
        <v>14097</v>
      </c>
      <c r="L7101" t="s">
        <v>27430</v>
      </c>
      <c r="M7101" t="s">
        <v>27251</v>
      </c>
      <c r="N7101" t="s">
        <v>27252</v>
      </c>
      <c r="Q7101" s="1">
        <v>45250</v>
      </c>
      <c r="R7101" t="s">
        <v>27253</v>
      </c>
      <c r="S7101" t="s">
        <v>27254</v>
      </c>
      <c r="T7101" t="s">
        <v>27255</v>
      </c>
    </row>
    <row r="7102" spans="1:20" x14ac:dyDescent="0.3">
      <c r="A7102" t="str">
        <f>"0611835084025"</f>
        <v>0611835084025</v>
      </c>
      <c r="B7102" t="str">
        <f>"MQ6044"</f>
        <v>MQ6044</v>
      </c>
      <c r="C7102" t="s">
        <v>41027</v>
      </c>
      <c r="D7102" t="s">
        <v>27267</v>
      </c>
      <c r="E7102" t="str">
        <f t="shared" si="110"/>
        <v>001390</v>
      </c>
      <c r="F7102" t="s">
        <v>27246</v>
      </c>
      <c r="G7102" t="s">
        <v>27247</v>
      </c>
      <c r="H7102" t="s">
        <v>27248</v>
      </c>
      <c r="I7102" t="s">
        <v>41028</v>
      </c>
      <c r="J7102" t="s">
        <v>14099</v>
      </c>
      <c r="L7102" t="s">
        <v>27250</v>
      </c>
      <c r="M7102" t="s">
        <v>27251</v>
      </c>
      <c r="N7102" t="s">
        <v>27252</v>
      </c>
      <c r="Q7102" s="1">
        <v>44538</v>
      </c>
      <c r="R7102" t="s">
        <v>27253</v>
      </c>
      <c r="S7102" t="s">
        <v>27254</v>
      </c>
      <c r="T7102" t="s">
        <v>27269</v>
      </c>
    </row>
    <row r="7103" spans="1:20" x14ac:dyDescent="0.3">
      <c r="A7103" t="str">
        <f>"0611884291025"</f>
        <v>0611884291025</v>
      </c>
      <c r="B7103" t="str">
        <f>"MQ0834"</f>
        <v>MQ0834</v>
      </c>
      <c r="C7103" t="s">
        <v>41029</v>
      </c>
      <c r="D7103" t="s">
        <v>27267</v>
      </c>
      <c r="E7103" t="str">
        <f t="shared" si="110"/>
        <v>001390</v>
      </c>
      <c r="F7103" t="s">
        <v>27246</v>
      </c>
      <c r="G7103" t="s">
        <v>27247</v>
      </c>
      <c r="H7103" t="s">
        <v>27248</v>
      </c>
      <c r="I7103" t="s">
        <v>41030</v>
      </c>
      <c r="J7103" t="s">
        <v>14101</v>
      </c>
      <c r="L7103" t="s">
        <v>27430</v>
      </c>
      <c r="M7103" t="s">
        <v>27251</v>
      </c>
      <c r="N7103" t="s">
        <v>27252</v>
      </c>
      <c r="Q7103" s="1">
        <v>45250</v>
      </c>
      <c r="R7103" t="s">
        <v>27253</v>
      </c>
      <c r="S7103" t="s">
        <v>27254</v>
      </c>
      <c r="T7103" t="s">
        <v>27269</v>
      </c>
    </row>
    <row r="7104" spans="1:20" x14ac:dyDescent="0.3">
      <c r="A7104" t="str">
        <f>"0611835087025"</f>
        <v>0611835087025</v>
      </c>
      <c r="B7104" t="str">
        <f>"MQ3170"</f>
        <v>MQ3170</v>
      </c>
      <c r="C7104" t="s">
        <v>41031</v>
      </c>
      <c r="D7104" t="s">
        <v>27267</v>
      </c>
      <c r="E7104" t="str">
        <f t="shared" si="110"/>
        <v>001390</v>
      </c>
      <c r="F7104" t="s">
        <v>27246</v>
      </c>
      <c r="G7104" t="s">
        <v>27247</v>
      </c>
      <c r="H7104" t="s">
        <v>27248</v>
      </c>
      <c r="I7104" t="s">
        <v>41032</v>
      </c>
      <c r="J7104" t="s">
        <v>14103</v>
      </c>
      <c r="L7104" t="s">
        <v>27250</v>
      </c>
      <c r="M7104" t="s">
        <v>27251</v>
      </c>
      <c r="N7104" t="s">
        <v>27252</v>
      </c>
      <c r="Q7104" s="1">
        <v>44538</v>
      </c>
      <c r="R7104" t="s">
        <v>27253</v>
      </c>
      <c r="S7104" t="s">
        <v>27254</v>
      </c>
      <c r="T7104" t="s">
        <v>27269</v>
      </c>
    </row>
    <row r="7105" spans="1:20" x14ac:dyDescent="0.3">
      <c r="A7105" t="str">
        <f>"0611835088025"</f>
        <v>0611835088025</v>
      </c>
      <c r="B7105" t="str">
        <f>"MQ0514"</f>
        <v>MQ0514</v>
      </c>
      <c r="C7105" t="s">
        <v>41033</v>
      </c>
      <c r="D7105" t="s">
        <v>27267</v>
      </c>
      <c r="E7105" t="str">
        <f t="shared" si="110"/>
        <v>001390</v>
      </c>
      <c r="F7105" t="s">
        <v>27246</v>
      </c>
      <c r="G7105" t="s">
        <v>27247</v>
      </c>
      <c r="H7105" t="s">
        <v>27248</v>
      </c>
      <c r="I7105" t="s">
        <v>41034</v>
      </c>
      <c r="J7105" t="s">
        <v>14105</v>
      </c>
      <c r="L7105" t="s">
        <v>27250</v>
      </c>
      <c r="M7105" t="s">
        <v>27251</v>
      </c>
      <c r="N7105" t="s">
        <v>27252</v>
      </c>
      <c r="Q7105" s="1">
        <v>44538</v>
      </c>
      <c r="R7105" t="s">
        <v>27253</v>
      </c>
      <c r="S7105" t="s">
        <v>27254</v>
      </c>
      <c r="T7105" t="s">
        <v>27269</v>
      </c>
    </row>
    <row r="7106" spans="1:20" x14ac:dyDescent="0.3">
      <c r="A7106" t="str">
        <f>"0611835089025"</f>
        <v>0611835089025</v>
      </c>
      <c r="B7106" t="str">
        <f>"MQ0512"</f>
        <v>MQ0512</v>
      </c>
      <c r="C7106" t="s">
        <v>41035</v>
      </c>
      <c r="D7106" t="s">
        <v>27267</v>
      </c>
      <c r="E7106" t="str">
        <f t="shared" ref="E7106:E7169" si="111">"001390"</f>
        <v>001390</v>
      </c>
      <c r="F7106" t="s">
        <v>27246</v>
      </c>
      <c r="G7106" t="s">
        <v>27247</v>
      </c>
      <c r="H7106" t="s">
        <v>27248</v>
      </c>
      <c r="I7106" t="s">
        <v>41036</v>
      </c>
      <c r="J7106" t="s">
        <v>14107</v>
      </c>
      <c r="L7106" t="s">
        <v>27250</v>
      </c>
      <c r="M7106" t="s">
        <v>27251</v>
      </c>
      <c r="N7106" t="s">
        <v>27252</v>
      </c>
      <c r="Q7106" s="1">
        <v>44538</v>
      </c>
      <c r="R7106" t="s">
        <v>27253</v>
      </c>
      <c r="S7106" t="s">
        <v>27254</v>
      </c>
      <c r="T7106" t="s">
        <v>27269</v>
      </c>
    </row>
    <row r="7107" spans="1:20" x14ac:dyDescent="0.3">
      <c r="A7107" t="str">
        <f>"0611835090025"</f>
        <v>0611835090025</v>
      </c>
      <c r="B7107" t="str">
        <f>"MQ0513"</f>
        <v>MQ0513</v>
      </c>
      <c r="C7107" t="s">
        <v>41037</v>
      </c>
      <c r="D7107" t="s">
        <v>27267</v>
      </c>
      <c r="E7107" t="str">
        <f t="shared" si="111"/>
        <v>001390</v>
      </c>
      <c r="F7107" t="s">
        <v>27246</v>
      </c>
      <c r="G7107" t="s">
        <v>27247</v>
      </c>
      <c r="H7107" t="s">
        <v>27248</v>
      </c>
      <c r="I7107" t="s">
        <v>41038</v>
      </c>
      <c r="J7107" t="s">
        <v>14109</v>
      </c>
      <c r="L7107" t="s">
        <v>27250</v>
      </c>
      <c r="M7107" t="s">
        <v>27251</v>
      </c>
      <c r="N7107" t="s">
        <v>27252</v>
      </c>
      <c r="Q7107" s="1">
        <v>44538</v>
      </c>
      <c r="R7107" t="s">
        <v>27253</v>
      </c>
      <c r="S7107" t="s">
        <v>27254</v>
      </c>
      <c r="T7107" t="s">
        <v>27269</v>
      </c>
    </row>
    <row r="7108" spans="1:20" x14ac:dyDescent="0.3">
      <c r="A7108" t="str">
        <f>"0611835091025"</f>
        <v>0611835091025</v>
      </c>
      <c r="B7108" t="str">
        <f>"MQ0578"</f>
        <v>MQ0578</v>
      </c>
      <c r="C7108" t="s">
        <v>41039</v>
      </c>
      <c r="D7108" t="s">
        <v>27267</v>
      </c>
      <c r="E7108" t="str">
        <f t="shared" si="111"/>
        <v>001390</v>
      </c>
      <c r="F7108" t="s">
        <v>27246</v>
      </c>
      <c r="G7108" t="s">
        <v>27247</v>
      </c>
      <c r="H7108" t="s">
        <v>27248</v>
      </c>
      <c r="I7108" t="s">
        <v>41040</v>
      </c>
      <c r="J7108" t="s">
        <v>14111</v>
      </c>
      <c r="L7108" t="s">
        <v>27250</v>
      </c>
      <c r="M7108" t="s">
        <v>27251</v>
      </c>
      <c r="N7108" t="s">
        <v>27252</v>
      </c>
      <c r="Q7108" s="1">
        <v>44538</v>
      </c>
      <c r="R7108" t="s">
        <v>27253</v>
      </c>
      <c r="S7108" t="s">
        <v>27254</v>
      </c>
      <c r="T7108" t="s">
        <v>27269</v>
      </c>
    </row>
    <row r="7109" spans="1:20" x14ac:dyDescent="0.3">
      <c r="A7109" t="str">
        <f>"0611835092025"</f>
        <v>0611835092025</v>
      </c>
      <c r="B7109" t="str">
        <f>"MQ0579"</f>
        <v>MQ0579</v>
      </c>
      <c r="C7109" t="s">
        <v>41041</v>
      </c>
      <c r="D7109" t="s">
        <v>27267</v>
      </c>
      <c r="E7109" t="str">
        <f t="shared" si="111"/>
        <v>001390</v>
      </c>
      <c r="F7109" t="s">
        <v>27246</v>
      </c>
      <c r="G7109" t="s">
        <v>27247</v>
      </c>
      <c r="H7109" t="s">
        <v>27248</v>
      </c>
      <c r="I7109" t="s">
        <v>41042</v>
      </c>
      <c r="J7109" t="s">
        <v>14113</v>
      </c>
      <c r="L7109" t="s">
        <v>27250</v>
      </c>
      <c r="M7109" t="s">
        <v>27251</v>
      </c>
      <c r="N7109" t="s">
        <v>27252</v>
      </c>
      <c r="Q7109" s="1">
        <v>44538</v>
      </c>
      <c r="R7109" t="s">
        <v>27253</v>
      </c>
      <c r="S7109" t="s">
        <v>27254</v>
      </c>
      <c r="T7109" t="s">
        <v>27269</v>
      </c>
    </row>
    <row r="7110" spans="1:20" x14ac:dyDescent="0.3">
      <c r="A7110" t="str">
        <f>"0611835093025"</f>
        <v>0611835093025</v>
      </c>
      <c r="B7110" t="str">
        <f>"MQ0515"</f>
        <v>MQ0515</v>
      </c>
      <c r="C7110" t="s">
        <v>41043</v>
      </c>
      <c r="D7110" t="s">
        <v>27267</v>
      </c>
      <c r="E7110" t="str">
        <f t="shared" si="111"/>
        <v>001390</v>
      </c>
      <c r="F7110" t="s">
        <v>27246</v>
      </c>
      <c r="G7110" t="s">
        <v>27247</v>
      </c>
      <c r="H7110" t="s">
        <v>27248</v>
      </c>
      <c r="I7110" t="s">
        <v>41044</v>
      </c>
      <c r="J7110" t="s">
        <v>14115</v>
      </c>
      <c r="L7110" t="s">
        <v>27250</v>
      </c>
      <c r="M7110" t="s">
        <v>27251</v>
      </c>
      <c r="N7110" t="s">
        <v>27252</v>
      </c>
      <c r="Q7110" s="1">
        <v>44538</v>
      </c>
      <c r="R7110" t="s">
        <v>27253</v>
      </c>
      <c r="S7110" t="s">
        <v>27254</v>
      </c>
      <c r="T7110" t="s">
        <v>27269</v>
      </c>
    </row>
    <row r="7111" spans="1:20" x14ac:dyDescent="0.3">
      <c r="A7111" t="str">
        <f>"0611835094025"</f>
        <v>0611835094025</v>
      </c>
      <c r="B7111" t="str">
        <f>"MQ0516"</f>
        <v>MQ0516</v>
      </c>
      <c r="C7111" t="s">
        <v>41045</v>
      </c>
      <c r="D7111" t="s">
        <v>27267</v>
      </c>
      <c r="E7111" t="str">
        <f t="shared" si="111"/>
        <v>001390</v>
      </c>
      <c r="F7111" t="s">
        <v>27246</v>
      </c>
      <c r="G7111" t="s">
        <v>27247</v>
      </c>
      <c r="H7111" t="s">
        <v>27248</v>
      </c>
      <c r="I7111" t="s">
        <v>41046</v>
      </c>
      <c r="J7111" t="s">
        <v>14117</v>
      </c>
      <c r="L7111" t="s">
        <v>27250</v>
      </c>
      <c r="M7111" t="s">
        <v>27251</v>
      </c>
      <c r="N7111" t="s">
        <v>27252</v>
      </c>
      <c r="Q7111" s="1">
        <v>44538</v>
      </c>
      <c r="R7111" t="s">
        <v>27253</v>
      </c>
      <c r="S7111" t="s">
        <v>27254</v>
      </c>
      <c r="T7111" t="s">
        <v>27269</v>
      </c>
    </row>
    <row r="7112" spans="1:20" x14ac:dyDescent="0.3">
      <c r="A7112" t="str">
        <f>"0611835095025"</f>
        <v>0611835095025</v>
      </c>
      <c r="B7112" t="str">
        <f>"MQ6045"</f>
        <v>MQ6045</v>
      </c>
      <c r="C7112" t="s">
        <v>41047</v>
      </c>
      <c r="D7112" t="s">
        <v>27267</v>
      </c>
      <c r="E7112" t="str">
        <f t="shared" si="111"/>
        <v>001390</v>
      </c>
      <c r="F7112" t="s">
        <v>27246</v>
      </c>
      <c r="G7112" t="s">
        <v>27247</v>
      </c>
      <c r="H7112" t="s">
        <v>27248</v>
      </c>
      <c r="I7112" t="s">
        <v>41048</v>
      </c>
      <c r="J7112" t="s">
        <v>14119</v>
      </c>
      <c r="L7112" t="s">
        <v>27250</v>
      </c>
      <c r="M7112" t="s">
        <v>27251</v>
      </c>
      <c r="N7112" t="s">
        <v>27252</v>
      </c>
      <c r="Q7112" s="1">
        <v>44538</v>
      </c>
      <c r="R7112" t="s">
        <v>27253</v>
      </c>
      <c r="S7112" t="s">
        <v>27254</v>
      </c>
      <c r="T7112" t="s">
        <v>27269</v>
      </c>
    </row>
    <row r="7113" spans="1:20" x14ac:dyDescent="0.3">
      <c r="A7113" t="str">
        <f>"0611835096025"</f>
        <v>0611835096025</v>
      </c>
      <c r="B7113" t="str">
        <f>"MC4221"</f>
        <v>MC4221</v>
      </c>
      <c r="C7113" t="s">
        <v>41049</v>
      </c>
      <c r="D7113" t="s">
        <v>27267</v>
      </c>
      <c r="E7113" t="str">
        <f t="shared" si="111"/>
        <v>001390</v>
      </c>
      <c r="F7113" t="s">
        <v>27246</v>
      </c>
      <c r="G7113" t="s">
        <v>27247</v>
      </c>
      <c r="H7113" t="s">
        <v>27248</v>
      </c>
      <c r="I7113" t="s">
        <v>41050</v>
      </c>
      <c r="J7113" t="s">
        <v>14121</v>
      </c>
      <c r="L7113" t="s">
        <v>27250</v>
      </c>
      <c r="M7113" t="s">
        <v>27251</v>
      </c>
      <c r="N7113" t="s">
        <v>27252</v>
      </c>
      <c r="Q7113" s="1">
        <v>44538</v>
      </c>
      <c r="R7113" t="s">
        <v>27253</v>
      </c>
      <c r="S7113" t="s">
        <v>27254</v>
      </c>
      <c r="T7113" t="s">
        <v>27269</v>
      </c>
    </row>
    <row r="7114" spans="1:20" x14ac:dyDescent="0.3">
      <c r="A7114" t="str">
        <f>"0611835097025"</f>
        <v>0611835097025</v>
      </c>
      <c r="B7114" t="str">
        <f>"MC3749"</f>
        <v>MC3749</v>
      </c>
      <c r="C7114" t="s">
        <v>41051</v>
      </c>
      <c r="D7114" t="s">
        <v>27267</v>
      </c>
      <c r="E7114" t="str">
        <f t="shared" si="111"/>
        <v>001390</v>
      </c>
      <c r="F7114" t="s">
        <v>27246</v>
      </c>
      <c r="G7114" t="s">
        <v>27247</v>
      </c>
      <c r="H7114" t="s">
        <v>27248</v>
      </c>
      <c r="I7114" t="s">
        <v>41052</v>
      </c>
      <c r="J7114" t="s">
        <v>14123</v>
      </c>
      <c r="L7114" t="s">
        <v>27250</v>
      </c>
      <c r="M7114" t="s">
        <v>27251</v>
      </c>
      <c r="N7114" t="s">
        <v>27252</v>
      </c>
      <c r="Q7114" s="1">
        <v>44538</v>
      </c>
      <c r="R7114" t="s">
        <v>27253</v>
      </c>
      <c r="S7114" t="s">
        <v>27254</v>
      </c>
      <c r="T7114" t="s">
        <v>27269</v>
      </c>
    </row>
    <row r="7115" spans="1:20" x14ac:dyDescent="0.3">
      <c r="A7115" t="str">
        <f>"0611863169100"</f>
        <v>0611863169100</v>
      </c>
      <c r="B7115" t="str">
        <f>"CN5222"</f>
        <v>CN5222</v>
      </c>
      <c r="C7115" t="s">
        <v>41053</v>
      </c>
      <c r="D7115" t="s">
        <v>27335</v>
      </c>
      <c r="E7115" t="str">
        <f t="shared" si="111"/>
        <v>001390</v>
      </c>
      <c r="F7115" t="s">
        <v>27246</v>
      </c>
      <c r="G7115" t="s">
        <v>27247</v>
      </c>
      <c r="H7115" t="s">
        <v>27248</v>
      </c>
      <c r="I7115" t="s">
        <v>41054</v>
      </c>
      <c r="J7115" t="s">
        <v>14125</v>
      </c>
      <c r="L7115" t="s">
        <v>27250</v>
      </c>
      <c r="M7115" t="s">
        <v>27251</v>
      </c>
      <c r="N7115" t="s">
        <v>27252</v>
      </c>
      <c r="Q7115" s="1">
        <v>44846</v>
      </c>
      <c r="R7115" t="s">
        <v>27253</v>
      </c>
      <c r="S7115" t="s">
        <v>27254</v>
      </c>
      <c r="T7115" t="s">
        <v>27255</v>
      </c>
    </row>
    <row r="7116" spans="1:20" x14ac:dyDescent="0.3">
      <c r="A7116" t="str">
        <f>"0611835099100"</f>
        <v>0611835099100</v>
      </c>
      <c r="B7116" t="str">
        <f>"LH5190"</f>
        <v>LH5190</v>
      </c>
      <c r="C7116" t="s">
        <v>41055</v>
      </c>
      <c r="D7116" t="s">
        <v>27245</v>
      </c>
      <c r="E7116" t="str">
        <f t="shared" si="111"/>
        <v>001390</v>
      </c>
      <c r="F7116" t="s">
        <v>27246</v>
      </c>
      <c r="G7116" t="s">
        <v>27247</v>
      </c>
      <c r="H7116" t="s">
        <v>27248</v>
      </c>
      <c r="I7116" t="s">
        <v>41056</v>
      </c>
      <c r="J7116" t="s">
        <v>14127</v>
      </c>
      <c r="L7116" t="s">
        <v>27250</v>
      </c>
      <c r="M7116" t="s">
        <v>27251</v>
      </c>
      <c r="N7116" t="s">
        <v>27252</v>
      </c>
      <c r="Q7116" s="1">
        <v>44538</v>
      </c>
      <c r="R7116" t="s">
        <v>27253</v>
      </c>
      <c r="S7116" t="s">
        <v>27254</v>
      </c>
      <c r="T7116" t="s">
        <v>27255</v>
      </c>
    </row>
    <row r="7117" spans="1:20" x14ac:dyDescent="0.3">
      <c r="A7117" t="str">
        <f>"0611835100025"</f>
        <v>0611835100025</v>
      </c>
      <c r="B7117" t="str">
        <f>"MC0467"</f>
        <v>MC0467</v>
      </c>
      <c r="C7117" t="s">
        <v>41055</v>
      </c>
      <c r="D7117" t="s">
        <v>27267</v>
      </c>
      <c r="E7117" t="str">
        <f t="shared" si="111"/>
        <v>001390</v>
      </c>
      <c r="F7117" t="s">
        <v>27246</v>
      </c>
      <c r="G7117" t="s">
        <v>27247</v>
      </c>
      <c r="H7117" t="s">
        <v>27248</v>
      </c>
      <c r="I7117" t="s">
        <v>41057</v>
      </c>
      <c r="J7117" t="s">
        <v>14129</v>
      </c>
      <c r="L7117" t="s">
        <v>27250</v>
      </c>
      <c r="M7117" t="s">
        <v>27251</v>
      </c>
      <c r="N7117" t="s">
        <v>27252</v>
      </c>
      <c r="Q7117" s="1">
        <v>44538</v>
      </c>
      <c r="R7117" t="s">
        <v>27253</v>
      </c>
      <c r="S7117" t="s">
        <v>27254</v>
      </c>
      <c r="T7117" t="s">
        <v>27269</v>
      </c>
    </row>
    <row r="7118" spans="1:20" x14ac:dyDescent="0.3">
      <c r="A7118" t="str">
        <f>"0611835102025"</f>
        <v>0611835102025</v>
      </c>
      <c r="B7118" t="str">
        <f>"MC2003"</f>
        <v>MC2003</v>
      </c>
      <c r="C7118" t="s">
        <v>41058</v>
      </c>
      <c r="D7118" t="s">
        <v>27267</v>
      </c>
      <c r="E7118" t="str">
        <f t="shared" si="111"/>
        <v>001390</v>
      </c>
      <c r="F7118" t="s">
        <v>27246</v>
      </c>
      <c r="G7118" t="s">
        <v>27247</v>
      </c>
      <c r="H7118" t="s">
        <v>27248</v>
      </c>
      <c r="I7118" t="s">
        <v>41059</v>
      </c>
      <c r="J7118" t="s">
        <v>14133</v>
      </c>
      <c r="L7118" t="s">
        <v>27430</v>
      </c>
      <c r="M7118" t="s">
        <v>27251</v>
      </c>
      <c r="N7118" t="s">
        <v>27252</v>
      </c>
      <c r="Q7118" s="1">
        <v>44538</v>
      </c>
      <c r="R7118" t="s">
        <v>27253</v>
      </c>
      <c r="S7118" t="s">
        <v>27254</v>
      </c>
      <c r="T7118" t="s">
        <v>27269</v>
      </c>
    </row>
    <row r="7119" spans="1:20" x14ac:dyDescent="0.3">
      <c r="A7119" t="str">
        <f>"0611863170100"</f>
        <v>0611863170100</v>
      </c>
      <c r="B7119" t="str">
        <f>"CN5235"</f>
        <v>CN5235</v>
      </c>
      <c r="C7119" t="s">
        <v>41058</v>
      </c>
      <c r="D7119" t="s">
        <v>27335</v>
      </c>
      <c r="E7119" t="str">
        <f t="shared" si="111"/>
        <v>001390</v>
      </c>
      <c r="F7119" t="s">
        <v>27246</v>
      </c>
      <c r="G7119" t="s">
        <v>27247</v>
      </c>
      <c r="H7119" t="s">
        <v>27248</v>
      </c>
      <c r="I7119" t="s">
        <v>41060</v>
      </c>
      <c r="J7119" t="s">
        <v>14131</v>
      </c>
      <c r="L7119" t="s">
        <v>27250</v>
      </c>
      <c r="M7119" t="s">
        <v>27251</v>
      </c>
      <c r="N7119" t="s">
        <v>27252</v>
      </c>
      <c r="Q7119" s="1">
        <v>44846</v>
      </c>
      <c r="R7119" t="s">
        <v>27253</v>
      </c>
      <c r="S7119" t="s">
        <v>27254</v>
      </c>
      <c r="T7119" t="s">
        <v>27255</v>
      </c>
    </row>
    <row r="7120" spans="1:20" x14ac:dyDescent="0.3">
      <c r="A7120" t="str">
        <f>"0611863171050"</f>
        <v>0611863171050</v>
      </c>
      <c r="B7120" t="str">
        <f>"CR4358"</f>
        <v>CR4358</v>
      </c>
      <c r="C7120" t="s">
        <v>41061</v>
      </c>
      <c r="D7120" t="s">
        <v>27286</v>
      </c>
      <c r="E7120" t="str">
        <f t="shared" si="111"/>
        <v>001390</v>
      </c>
      <c r="F7120" t="s">
        <v>27246</v>
      </c>
      <c r="G7120" t="s">
        <v>27247</v>
      </c>
      <c r="H7120" t="s">
        <v>27248</v>
      </c>
      <c r="I7120" t="s">
        <v>41062</v>
      </c>
      <c r="J7120" t="s">
        <v>14135</v>
      </c>
      <c r="L7120" t="s">
        <v>27250</v>
      </c>
      <c r="M7120" t="s">
        <v>27251</v>
      </c>
      <c r="N7120" t="s">
        <v>27252</v>
      </c>
      <c r="Q7120" s="1">
        <v>44846</v>
      </c>
      <c r="R7120" t="s">
        <v>27253</v>
      </c>
      <c r="S7120" t="s">
        <v>27254</v>
      </c>
      <c r="T7120" t="s">
        <v>27265</v>
      </c>
    </row>
    <row r="7121" spans="1:20" x14ac:dyDescent="0.3">
      <c r="A7121" t="str">
        <f>"0611863172100"</f>
        <v>0611863172100</v>
      </c>
      <c r="B7121" t="str">
        <f>"CN5230"</f>
        <v>CN5230</v>
      </c>
      <c r="C7121" t="s">
        <v>41063</v>
      </c>
      <c r="D7121" t="s">
        <v>27335</v>
      </c>
      <c r="E7121" t="str">
        <f t="shared" si="111"/>
        <v>001390</v>
      </c>
      <c r="F7121" t="s">
        <v>27246</v>
      </c>
      <c r="G7121" t="s">
        <v>27247</v>
      </c>
      <c r="H7121" t="s">
        <v>27248</v>
      </c>
      <c r="I7121" t="s">
        <v>41064</v>
      </c>
      <c r="J7121" t="s">
        <v>14063</v>
      </c>
      <c r="L7121" t="s">
        <v>27250</v>
      </c>
      <c r="M7121" t="s">
        <v>27251</v>
      </c>
      <c r="N7121" t="s">
        <v>27252</v>
      </c>
      <c r="Q7121" s="1">
        <v>44846</v>
      </c>
      <c r="R7121" t="s">
        <v>27253</v>
      </c>
      <c r="S7121" t="s">
        <v>27254</v>
      </c>
      <c r="T7121" t="s">
        <v>27255</v>
      </c>
    </row>
    <row r="7122" spans="1:20" x14ac:dyDescent="0.3">
      <c r="A7122" t="str">
        <f>"0611863173050"</f>
        <v>0611863173050</v>
      </c>
      <c r="B7122" t="str">
        <f>"CR4356"</f>
        <v>CR4356</v>
      </c>
      <c r="C7122" t="s">
        <v>41065</v>
      </c>
      <c r="D7122" t="s">
        <v>27263</v>
      </c>
      <c r="E7122" t="str">
        <f t="shared" si="111"/>
        <v>001390</v>
      </c>
      <c r="F7122" t="s">
        <v>27246</v>
      </c>
      <c r="G7122" t="s">
        <v>27247</v>
      </c>
      <c r="H7122" t="s">
        <v>27248</v>
      </c>
      <c r="I7122" t="s">
        <v>41066</v>
      </c>
      <c r="J7122" t="s">
        <v>14067</v>
      </c>
      <c r="L7122" t="s">
        <v>27250</v>
      </c>
      <c r="M7122" t="s">
        <v>27251</v>
      </c>
      <c r="N7122" t="s">
        <v>27252</v>
      </c>
      <c r="Q7122" s="1">
        <v>44846</v>
      </c>
      <c r="R7122" t="s">
        <v>27253</v>
      </c>
      <c r="S7122" t="s">
        <v>27254</v>
      </c>
      <c r="T7122" t="s">
        <v>27265</v>
      </c>
    </row>
    <row r="7123" spans="1:20" x14ac:dyDescent="0.3">
      <c r="A7123" t="str">
        <f>"0611863174050"</f>
        <v>0611863174050</v>
      </c>
      <c r="B7123" t="str">
        <f>"CR4357"</f>
        <v>CR4357</v>
      </c>
      <c r="C7123" t="s">
        <v>41067</v>
      </c>
      <c r="D7123" t="s">
        <v>27263</v>
      </c>
      <c r="E7123" t="str">
        <f t="shared" si="111"/>
        <v>001390</v>
      </c>
      <c r="F7123" t="s">
        <v>27246</v>
      </c>
      <c r="G7123" t="s">
        <v>27247</v>
      </c>
      <c r="H7123" t="s">
        <v>27248</v>
      </c>
      <c r="I7123" t="s">
        <v>41068</v>
      </c>
      <c r="J7123" t="s">
        <v>14071</v>
      </c>
      <c r="L7123" t="s">
        <v>27250</v>
      </c>
      <c r="M7123" t="s">
        <v>27251</v>
      </c>
      <c r="N7123" t="s">
        <v>27252</v>
      </c>
      <c r="Q7123" s="1">
        <v>44846</v>
      </c>
      <c r="R7123" t="s">
        <v>27253</v>
      </c>
      <c r="S7123" t="s">
        <v>27254</v>
      </c>
      <c r="T7123" t="s">
        <v>27265</v>
      </c>
    </row>
    <row r="7124" spans="1:20" x14ac:dyDescent="0.3">
      <c r="A7124" t="str">
        <f>"0611863175050"</f>
        <v>0611863175050</v>
      </c>
      <c r="B7124" t="str">
        <f>"CR4354"</f>
        <v>CR4354</v>
      </c>
      <c r="C7124" t="s">
        <v>41069</v>
      </c>
      <c r="D7124" t="s">
        <v>27286</v>
      </c>
      <c r="E7124" t="str">
        <f t="shared" si="111"/>
        <v>001390</v>
      </c>
      <c r="F7124" t="s">
        <v>27246</v>
      </c>
      <c r="G7124" t="s">
        <v>27247</v>
      </c>
      <c r="H7124" t="s">
        <v>27248</v>
      </c>
      <c r="I7124" t="s">
        <v>41070</v>
      </c>
      <c r="J7124" t="s">
        <v>14057</v>
      </c>
      <c r="L7124" t="s">
        <v>27250</v>
      </c>
      <c r="M7124" t="s">
        <v>27251</v>
      </c>
      <c r="N7124" t="s">
        <v>27252</v>
      </c>
      <c r="Q7124" s="1">
        <v>44846</v>
      </c>
      <c r="R7124" t="s">
        <v>27253</v>
      </c>
      <c r="S7124" t="s">
        <v>27254</v>
      </c>
      <c r="T7124" t="s">
        <v>27265</v>
      </c>
    </row>
    <row r="7125" spans="1:20" x14ac:dyDescent="0.3">
      <c r="A7125" t="str">
        <f>"0611863176050"</f>
        <v>0611863176050</v>
      </c>
      <c r="B7125" t="str">
        <f>"CR4355"</f>
        <v>CR4355</v>
      </c>
      <c r="C7125" t="s">
        <v>41071</v>
      </c>
      <c r="D7125" t="s">
        <v>27286</v>
      </c>
      <c r="E7125" t="str">
        <f t="shared" si="111"/>
        <v>001390</v>
      </c>
      <c r="F7125" t="s">
        <v>27246</v>
      </c>
      <c r="G7125" t="s">
        <v>27247</v>
      </c>
      <c r="H7125" t="s">
        <v>27248</v>
      </c>
      <c r="I7125" t="s">
        <v>41072</v>
      </c>
      <c r="J7125" t="s">
        <v>14061</v>
      </c>
      <c r="L7125" t="s">
        <v>27250</v>
      </c>
      <c r="M7125" t="s">
        <v>27251</v>
      </c>
      <c r="N7125" t="s">
        <v>27252</v>
      </c>
      <c r="Q7125" s="1">
        <v>44846</v>
      </c>
      <c r="R7125" t="s">
        <v>27253</v>
      </c>
      <c r="S7125" t="s">
        <v>27254</v>
      </c>
      <c r="T7125" t="s">
        <v>27265</v>
      </c>
    </row>
    <row r="7126" spans="1:20" x14ac:dyDescent="0.3">
      <c r="A7126" t="str">
        <f>"0611835103025"</f>
        <v>0611835103025</v>
      </c>
      <c r="B7126" t="str">
        <f>"MQ0517"</f>
        <v>MQ0517</v>
      </c>
      <c r="C7126" t="s">
        <v>41073</v>
      </c>
      <c r="D7126" t="s">
        <v>27267</v>
      </c>
      <c r="E7126" t="str">
        <f t="shared" si="111"/>
        <v>001390</v>
      </c>
      <c r="F7126" t="s">
        <v>27246</v>
      </c>
      <c r="G7126" t="s">
        <v>27247</v>
      </c>
      <c r="H7126" t="s">
        <v>27248</v>
      </c>
      <c r="I7126" t="s">
        <v>41074</v>
      </c>
      <c r="J7126" t="s">
        <v>14137</v>
      </c>
      <c r="L7126" t="s">
        <v>27250</v>
      </c>
      <c r="M7126" t="s">
        <v>27251</v>
      </c>
      <c r="N7126" t="s">
        <v>27252</v>
      </c>
      <c r="Q7126" s="1">
        <v>44538</v>
      </c>
      <c r="R7126" t="s">
        <v>27253</v>
      </c>
      <c r="S7126" t="s">
        <v>27254</v>
      </c>
      <c r="T7126" t="s">
        <v>27269</v>
      </c>
    </row>
    <row r="7127" spans="1:20" x14ac:dyDescent="0.3">
      <c r="A7127" t="str">
        <f>"0611863177100"</f>
        <v>0611863177100</v>
      </c>
      <c r="B7127" t="str">
        <f>"CN5238"</f>
        <v>CN5238</v>
      </c>
      <c r="C7127" t="s">
        <v>41075</v>
      </c>
      <c r="D7127" t="s">
        <v>27335</v>
      </c>
      <c r="E7127" t="str">
        <f t="shared" si="111"/>
        <v>001390</v>
      </c>
      <c r="F7127" t="s">
        <v>27246</v>
      </c>
      <c r="G7127" t="s">
        <v>27247</v>
      </c>
      <c r="H7127" t="s">
        <v>27248</v>
      </c>
      <c r="I7127" t="s">
        <v>41076</v>
      </c>
      <c r="J7127" t="s">
        <v>14139</v>
      </c>
      <c r="L7127" t="s">
        <v>27250</v>
      </c>
      <c r="M7127" t="s">
        <v>27251</v>
      </c>
      <c r="N7127" t="s">
        <v>27252</v>
      </c>
      <c r="O7127">
        <v>100</v>
      </c>
      <c r="Q7127" s="1">
        <v>44846</v>
      </c>
      <c r="R7127" t="s">
        <v>27253</v>
      </c>
      <c r="S7127" t="s">
        <v>27254</v>
      </c>
      <c r="T7127" t="s">
        <v>27255</v>
      </c>
    </row>
    <row r="7128" spans="1:20" x14ac:dyDescent="0.3">
      <c r="A7128" t="str">
        <f>"0611835104025"</f>
        <v>0611835104025</v>
      </c>
      <c r="B7128" t="str">
        <f>"MC2001"</f>
        <v>MC2001</v>
      </c>
      <c r="C7128" t="s">
        <v>41077</v>
      </c>
      <c r="D7128" t="s">
        <v>27267</v>
      </c>
      <c r="E7128" t="str">
        <f t="shared" si="111"/>
        <v>001390</v>
      </c>
      <c r="F7128" t="s">
        <v>27246</v>
      </c>
      <c r="G7128" t="s">
        <v>27247</v>
      </c>
      <c r="H7128" t="s">
        <v>27248</v>
      </c>
      <c r="I7128" t="s">
        <v>41078</v>
      </c>
      <c r="J7128" t="s">
        <v>14141</v>
      </c>
      <c r="L7128" t="s">
        <v>27430</v>
      </c>
      <c r="M7128" t="s">
        <v>27251</v>
      </c>
      <c r="N7128" t="s">
        <v>27252</v>
      </c>
      <c r="Q7128" s="1">
        <v>44538</v>
      </c>
      <c r="R7128" t="s">
        <v>27253</v>
      </c>
      <c r="S7128" t="s">
        <v>27254</v>
      </c>
      <c r="T7128" t="s">
        <v>27269</v>
      </c>
    </row>
    <row r="7129" spans="1:20" x14ac:dyDescent="0.3">
      <c r="A7129" t="str">
        <f>"0611835105025"</f>
        <v>0611835105025</v>
      </c>
      <c r="B7129" t="str">
        <f>"MQ0300"</f>
        <v>MQ0300</v>
      </c>
      <c r="C7129" t="s">
        <v>41079</v>
      </c>
      <c r="D7129" t="s">
        <v>27267</v>
      </c>
      <c r="E7129" t="str">
        <f t="shared" si="111"/>
        <v>001390</v>
      </c>
      <c r="F7129" t="s">
        <v>27246</v>
      </c>
      <c r="G7129" t="s">
        <v>27247</v>
      </c>
      <c r="H7129" t="s">
        <v>27248</v>
      </c>
      <c r="I7129" t="s">
        <v>41080</v>
      </c>
      <c r="J7129" t="s">
        <v>14145</v>
      </c>
      <c r="L7129" t="s">
        <v>27250</v>
      </c>
      <c r="M7129" t="s">
        <v>27251</v>
      </c>
      <c r="N7129" t="s">
        <v>27252</v>
      </c>
      <c r="Q7129" s="1">
        <v>44538</v>
      </c>
      <c r="R7129" t="s">
        <v>27253</v>
      </c>
      <c r="S7129" t="s">
        <v>27254</v>
      </c>
      <c r="T7129" t="s">
        <v>27269</v>
      </c>
    </row>
    <row r="7130" spans="1:20" x14ac:dyDescent="0.3">
      <c r="A7130" t="str">
        <f>"0611863178100"</f>
        <v>0611863178100</v>
      </c>
      <c r="B7130" t="str">
        <f>"CN5223"</f>
        <v>CN5223</v>
      </c>
      <c r="C7130" t="s">
        <v>41079</v>
      </c>
      <c r="D7130" t="s">
        <v>27335</v>
      </c>
      <c r="E7130" t="str">
        <f t="shared" si="111"/>
        <v>001390</v>
      </c>
      <c r="F7130" t="s">
        <v>27246</v>
      </c>
      <c r="G7130" t="s">
        <v>27247</v>
      </c>
      <c r="H7130" t="s">
        <v>27248</v>
      </c>
      <c r="I7130" t="s">
        <v>41081</v>
      </c>
      <c r="J7130" t="s">
        <v>14143</v>
      </c>
      <c r="L7130" t="s">
        <v>27250</v>
      </c>
      <c r="M7130" t="s">
        <v>27251</v>
      </c>
      <c r="N7130" t="s">
        <v>27252</v>
      </c>
      <c r="Q7130" s="1">
        <v>44846</v>
      </c>
      <c r="R7130" t="s">
        <v>27253</v>
      </c>
      <c r="S7130" t="s">
        <v>27254</v>
      </c>
      <c r="T7130" t="s">
        <v>27255</v>
      </c>
    </row>
    <row r="7131" spans="1:20" x14ac:dyDescent="0.3">
      <c r="A7131" t="str">
        <f>"0611863179050"</f>
        <v>0611863179050</v>
      </c>
      <c r="B7131" t="str">
        <f>"CR4343"</f>
        <v>CR4343</v>
      </c>
      <c r="C7131" t="s">
        <v>41082</v>
      </c>
      <c r="D7131" t="s">
        <v>27286</v>
      </c>
      <c r="E7131" t="str">
        <f t="shared" si="111"/>
        <v>001390</v>
      </c>
      <c r="F7131" t="s">
        <v>27246</v>
      </c>
      <c r="G7131" t="s">
        <v>27247</v>
      </c>
      <c r="H7131" t="s">
        <v>27248</v>
      </c>
      <c r="I7131" t="s">
        <v>41083</v>
      </c>
      <c r="J7131" t="s">
        <v>14147</v>
      </c>
      <c r="L7131" t="s">
        <v>27250</v>
      </c>
      <c r="M7131" t="s">
        <v>27251</v>
      </c>
      <c r="N7131" t="s">
        <v>27252</v>
      </c>
      <c r="Q7131" s="1">
        <v>44846</v>
      </c>
      <c r="R7131" t="s">
        <v>27253</v>
      </c>
      <c r="S7131" t="s">
        <v>27254</v>
      </c>
      <c r="T7131" t="s">
        <v>27265</v>
      </c>
    </row>
    <row r="7132" spans="1:20" x14ac:dyDescent="0.3">
      <c r="A7132" t="str">
        <f>"0611835106025"</f>
        <v>0611835106025</v>
      </c>
      <c r="B7132" t="str">
        <f>"MQ0644"</f>
        <v>MQ0644</v>
      </c>
      <c r="C7132" t="s">
        <v>41084</v>
      </c>
      <c r="D7132" t="s">
        <v>27267</v>
      </c>
      <c r="E7132" t="str">
        <f t="shared" si="111"/>
        <v>001390</v>
      </c>
      <c r="F7132" t="s">
        <v>27246</v>
      </c>
      <c r="G7132" t="s">
        <v>27247</v>
      </c>
      <c r="H7132" t="s">
        <v>27248</v>
      </c>
      <c r="I7132" t="s">
        <v>41085</v>
      </c>
      <c r="J7132" t="s">
        <v>14149</v>
      </c>
      <c r="L7132" t="s">
        <v>27250</v>
      </c>
      <c r="M7132" t="s">
        <v>27251</v>
      </c>
      <c r="N7132" t="s">
        <v>27252</v>
      </c>
      <c r="Q7132" s="1">
        <v>44538</v>
      </c>
      <c r="R7132" t="s">
        <v>27253</v>
      </c>
      <c r="S7132" t="s">
        <v>27254</v>
      </c>
      <c r="T7132" t="s">
        <v>27269</v>
      </c>
    </row>
    <row r="7133" spans="1:20" x14ac:dyDescent="0.3">
      <c r="A7133" t="str">
        <f>"0611835108025"</f>
        <v>0611835108025</v>
      </c>
      <c r="B7133" t="str">
        <f>"MC0955"</f>
        <v>MC0955</v>
      </c>
      <c r="C7133" t="s">
        <v>41086</v>
      </c>
      <c r="D7133" t="s">
        <v>27267</v>
      </c>
      <c r="E7133" t="str">
        <f t="shared" si="111"/>
        <v>001390</v>
      </c>
      <c r="F7133" t="s">
        <v>27246</v>
      </c>
      <c r="G7133" t="s">
        <v>27247</v>
      </c>
      <c r="H7133" t="s">
        <v>27248</v>
      </c>
      <c r="I7133" t="s">
        <v>41087</v>
      </c>
      <c r="J7133" t="s">
        <v>14153</v>
      </c>
      <c r="L7133" t="s">
        <v>27250</v>
      </c>
      <c r="M7133" t="s">
        <v>27251</v>
      </c>
      <c r="N7133" t="s">
        <v>27252</v>
      </c>
      <c r="Q7133" s="1">
        <v>44538</v>
      </c>
      <c r="R7133" t="s">
        <v>27253</v>
      </c>
      <c r="S7133" t="s">
        <v>27254</v>
      </c>
      <c r="T7133" t="s">
        <v>27269</v>
      </c>
    </row>
    <row r="7134" spans="1:20" x14ac:dyDescent="0.3">
      <c r="A7134" t="str">
        <f>"0611863180100"</f>
        <v>0611863180100</v>
      </c>
      <c r="B7134" t="str">
        <f>"CN5239"</f>
        <v>CN5239</v>
      </c>
      <c r="C7134" t="s">
        <v>41086</v>
      </c>
      <c r="D7134" t="s">
        <v>27335</v>
      </c>
      <c r="E7134" t="str">
        <f t="shared" si="111"/>
        <v>001390</v>
      </c>
      <c r="F7134" t="s">
        <v>27246</v>
      </c>
      <c r="G7134" t="s">
        <v>27247</v>
      </c>
      <c r="H7134" t="s">
        <v>27248</v>
      </c>
      <c r="I7134" t="s">
        <v>41088</v>
      </c>
      <c r="J7134" t="s">
        <v>14151</v>
      </c>
      <c r="L7134" t="s">
        <v>27250</v>
      </c>
      <c r="M7134" t="s">
        <v>27251</v>
      </c>
      <c r="N7134" t="s">
        <v>27252</v>
      </c>
      <c r="Q7134" s="1">
        <v>44846</v>
      </c>
      <c r="R7134" t="s">
        <v>27253</v>
      </c>
      <c r="S7134" t="s">
        <v>27254</v>
      </c>
      <c r="T7134" t="s">
        <v>27255</v>
      </c>
    </row>
    <row r="7135" spans="1:20" x14ac:dyDescent="0.3">
      <c r="A7135" t="str">
        <f>"0611863181050"</f>
        <v>0611863181050</v>
      </c>
      <c r="B7135" t="str">
        <f>"CR4363"</f>
        <v>CR4363</v>
      </c>
      <c r="C7135" t="s">
        <v>41089</v>
      </c>
      <c r="D7135" t="s">
        <v>27286</v>
      </c>
      <c r="E7135" t="str">
        <f t="shared" si="111"/>
        <v>001390</v>
      </c>
      <c r="F7135" t="s">
        <v>27246</v>
      </c>
      <c r="G7135" t="s">
        <v>27247</v>
      </c>
      <c r="H7135" t="s">
        <v>27248</v>
      </c>
      <c r="I7135" t="s">
        <v>41090</v>
      </c>
      <c r="J7135" t="s">
        <v>14155</v>
      </c>
      <c r="L7135" t="s">
        <v>27250</v>
      </c>
      <c r="M7135" t="s">
        <v>27251</v>
      </c>
      <c r="N7135" t="s">
        <v>27252</v>
      </c>
      <c r="Q7135" s="1">
        <v>44846</v>
      </c>
      <c r="R7135" t="s">
        <v>27253</v>
      </c>
      <c r="S7135" t="s">
        <v>27254</v>
      </c>
      <c r="T7135" t="s">
        <v>27265</v>
      </c>
    </row>
    <row r="7136" spans="1:20" x14ac:dyDescent="0.3">
      <c r="A7136" t="str">
        <f>"0611863182100"</f>
        <v>0611863182100</v>
      </c>
      <c r="B7136" t="str">
        <f>"CN5233"</f>
        <v>CN5233</v>
      </c>
      <c r="C7136" t="s">
        <v>41091</v>
      </c>
      <c r="D7136" t="s">
        <v>27335</v>
      </c>
      <c r="E7136" t="str">
        <f t="shared" si="111"/>
        <v>001390</v>
      </c>
      <c r="F7136" t="s">
        <v>27246</v>
      </c>
      <c r="G7136" t="s">
        <v>27247</v>
      </c>
      <c r="H7136" t="s">
        <v>27248</v>
      </c>
      <c r="I7136" t="s">
        <v>41092</v>
      </c>
      <c r="J7136" t="s">
        <v>14157</v>
      </c>
      <c r="L7136" t="s">
        <v>27250</v>
      </c>
      <c r="M7136" t="s">
        <v>27251</v>
      </c>
      <c r="N7136" t="s">
        <v>27252</v>
      </c>
      <c r="Q7136" s="1">
        <v>44846</v>
      </c>
      <c r="R7136" t="s">
        <v>27253</v>
      </c>
      <c r="S7136" t="s">
        <v>27254</v>
      </c>
      <c r="T7136" t="s">
        <v>27255</v>
      </c>
    </row>
    <row r="7137" spans="1:20" x14ac:dyDescent="0.3">
      <c r="A7137" t="str">
        <f>"0611863183100"</f>
        <v>0611863183100</v>
      </c>
      <c r="B7137" t="str">
        <f>"CN5234"</f>
        <v>CN5234</v>
      </c>
      <c r="C7137" t="s">
        <v>41093</v>
      </c>
      <c r="D7137" t="s">
        <v>27245</v>
      </c>
      <c r="E7137" t="str">
        <f t="shared" si="111"/>
        <v>001390</v>
      </c>
      <c r="F7137" t="s">
        <v>27246</v>
      </c>
      <c r="G7137" t="s">
        <v>27247</v>
      </c>
      <c r="H7137" t="s">
        <v>27248</v>
      </c>
      <c r="I7137" t="s">
        <v>41094</v>
      </c>
      <c r="J7137" t="s">
        <v>14159</v>
      </c>
      <c r="L7137" t="s">
        <v>27250</v>
      </c>
      <c r="M7137" t="s">
        <v>27251</v>
      </c>
      <c r="N7137" t="s">
        <v>27252</v>
      </c>
      <c r="Q7137" s="1">
        <v>44846</v>
      </c>
      <c r="R7137" t="s">
        <v>27253</v>
      </c>
      <c r="S7137" t="s">
        <v>27254</v>
      </c>
      <c r="T7137" t="s">
        <v>27255</v>
      </c>
    </row>
    <row r="7138" spans="1:20" x14ac:dyDescent="0.3">
      <c r="A7138" t="str">
        <f>"0611863184050"</f>
        <v>0611863184050</v>
      </c>
      <c r="B7138" t="str">
        <f>"CR4360"</f>
        <v>CR4360</v>
      </c>
      <c r="C7138" t="s">
        <v>41093</v>
      </c>
      <c r="D7138" t="s">
        <v>27286</v>
      </c>
      <c r="E7138" t="str">
        <f t="shared" si="111"/>
        <v>001390</v>
      </c>
      <c r="F7138" t="s">
        <v>27246</v>
      </c>
      <c r="G7138" t="s">
        <v>27247</v>
      </c>
      <c r="H7138" t="s">
        <v>27248</v>
      </c>
      <c r="I7138" t="s">
        <v>41095</v>
      </c>
      <c r="J7138" t="s">
        <v>14161</v>
      </c>
      <c r="L7138" t="s">
        <v>27250</v>
      </c>
      <c r="M7138" t="s">
        <v>27251</v>
      </c>
      <c r="N7138" t="s">
        <v>27252</v>
      </c>
      <c r="Q7138" s="1">
        <v>44846</v>
      </c>
      <c r="R7138" t="s">
        <v>27253</v>
      </c>
      <c r="S7138" t="s">
        <v>27254</v>
      </c>
      <c r="T7138" t="s">
        <v>27265</v>
      </c>
    </row>
    <row r="7139" spans="1:20" x14ac:dyDescent="0.3">
      <c r="A7139" t="str">
        <f>"0611835110100"</f>
        <v>0611835110100</v>
      </c>
      <c r="B7139" t="str">
        <f>"LH0006"</f>
        <v>LH0006</v>
      </c>
      <c r="C7139" t="s">
        <v>41096</v>
      </c>
      <c r="D7139" t="s">
        <v>27245</v>
      </c>
      <c r="E7139" t="str">
        <f t="shared" si="111"/>
        <v>001390</v>
      </c>
      <c r="F7139" t="s">
        <v>27246</v>
      </c>
      <c r="G7139" t="s">
        <v>27247</v>
      </c>
      <c r="H7139" t="s">
        <v>27248</v>
      </c>
      <c r="I7139" t="s">
        <v>41097</v>
      </c>
      <c r="J7139" t="s">
        <v>14165</v>
      </c>
      <c r="L7139" t="s">
        <v>27250</v>
      </c>
      <c r="M7139" t="s">
        <v>27251</v>
      </c>
      <c r="N7139" t="s">
        <v>27252</v>
      </c>
      <c r="Q7139" s="1">
        <v>44538</v>
      </c>
      <c r="R7139" t="s">
        <v>27253</v>
      </c>
      <c r="S7139" t="s">
        <v>27254</v>
      </c>
      <c r="T7139" t="s">
        <v>27255</v>
      </c>
    </row>
    <row r="7140" spans="1:20" x14ac:dyDescent="0.3">
      <c r="A7140" t="str">
        <f>"0611835111025"</f>
        <v>0611835111025</v>
      </c>
      <c r="B7140" t="str">
        <f>"MQ0596"</f>
        <v>MQ0596</v>
      </c>
      <c r="C7140" t="s">
        <v>41096</v>
      </c>
      <c r="D7140" t="s">
        <v>27267</v>
      </c>
      <c r="E7140" t="str">
        <f t="shared" si="111"/>
        <v>001390</v>
      </c>
      <c r="F7140" t="s">
        <v>27246</v>
      </c>
      <c r="G7140" t="s">
        <v>27247</v>
      </c>
      <c r="H7140" t="s">
        <v>27248</v>
      </c>
      <c r="I7140" t="s">
        <v>41098</v>
      </c>
      <c r="J7140" t="s">
        <v>14167</v>
      </c>
      <c r="L7140" t="s">
        <v>27250</v>
      </c>
      <c r="M7140" t="s">
        <v>27251</v>
      </c>
      <c r="N7140" t="s">
        <v>27252</v>
      </c>
      <c r="Q7140" s="1">
        <v>44538</v>
      </c>
      <c r="R7140" t="s">
        <v>27253</v>
      </c>
      <c r="S7140" t="s">
        <v>27254</v>
      </c>
      <c r="T7140" t="s">
        <v>27269</v>
      </c>
    </row>
    <row r="7141" spans="1:20" x14ac:dyDescent="0.3">
      <c r="A7141" t="str">
        <f>"0611835109025"</f>
        <v>0611835109025</v>
      </c>
      <c r="B7141" t="str">
        <f>"MC2747"</f>
        <v>MC2747</v>
      </c>
      <c r="C7141" t="s">
        <v>41099</v>
      </c>
      <c r="D7141" t="s">
        <v>27267</v>
      </c>
      <c r="E7141" t="str">
        <f t="shared" si="111"/>
        <v>001390</v>
      </c>
      <c r="F7141" t="s">
        <v>27246</v>
      </c>
      <c r="G7141" t="s">
        <v>27247</v>
      </c>
      <c r="H7141" t="s">
        <v>27248</v>
      </c>
      <c r="I7141" t="s">
        <v>41100</v>
      </c>
      <c r="J7141" t="s">
        <v>14163</v>
      </c>
      <c r="L7141" t="s">
        <v>27250</v>
      </c>
      <c r="M7141" t="s">
        <v>27251</v>
      </c>
      <c r="N7141" t="s">
        <v>27252</v>
      </c>
      <c r="Q7141" s="1">
        <v>44538</v>
      </c>
      <c r="R7141" t="s">
        <v>27253</v>
      </c>
      <c r="S7141" t="s">
        <v>27254</v>
      </c>
      <c r="T7141" t="s">
        <v>27269</v>
      </c>
    </row>
    <row r="7142" spans="1:20" x14ac:dyDescent="0.3">
      <c r="A7142" t="str">
        <f>"0611835112025"</f>
        <v>0611835112025</v>
      </c>
      <c r="B7142" t="str">
        <f>"MQ0597"</f>
        <v>MQ0597</v>
      </c>
      <c r="C7142" t="s">
        <v>41101</v>
      </c>
      <c r="D7142" t="s">
        <v>27267</v>
      </c>
      <c r="E7142" t="str">
        <f t="shared" si="111"/>
        <v>001390</v>
      </c>
      <c r="F7142" t="s">
        <v>27246</v>
      </c>
      <c r="G7142" t="s">
        <v>27247</v>
      </c>
      <c r="H7142" t="s">
        <v>27248</v>
      </c>
      <c r="I7142" t="s">
        <v>41102</v>
      </c>
      <c r="J7142" t="s">
        <v>14169</v>
      </c>
      <c r="L7142" t="s">
        <v>27250</v>
      </c>
      <c r="M7142" t="s">
        <v>27251</v>
      </c>
      <c r="N7142" t="s">
        <v>27252</v>
      </c>
      <c r="Q7142" s="1">
        <v>44538</v>
      </c>
      <c r="R7142" t="s">
        <v>27253</v>
      </c>
      <c r="S7142" t="s">
        <v>27254</v>
      </c>
      <c r="T7142" t="s">
        <v>27269</v>
      </c>
    </row>
    <row r="7143" spans="1:20" x14ac:dyDescent="0.3">
      <c r="A7143" t="str">
        <f>"0611835114025"</f>
        <v>0611835114025</v>
      </c>
      <c r="B7143" t="str">
        <f>"MC4385"</f>
        <v>MC4385</v>
      </c>
      <c r="C7143" t="s">
        <v>41103</v>
      </c>
      <c r="D7143" t="s">
        <v>28057</v>
      </c>
      <c r="E7143" t="str">
        <f t="shared" si="111"/>
        <v>001390</v>
      </c>
      <c r="F7143" t="s">
        <v>27246</v>
      </c>
      <c r="G7143" t="s">
        <v>27247</v>
      </c>
      <c r="H7143" t="s">
        <v>27248</v>
      </c>
      <c r="I7143" t="s">
        <v>41104</v>
      </c>
      <c r="J7143" t="s">
        <v>14171</v>
      </c>
      <c r="L7143" t="s">
        <v>27250</v>
      </c>
      <c r="M7143" t="s">
        <v>27251</v>
      </c>
      <c r="N7143" t="s">
        <v>27252</v>
      </c>
      <c r="P7143" t="s">
        <v>27925</v>
      </c>
      <c r="Q7143" s="1">
        <v>44538</v>
      </c>
      <c r="R7143" t="s">
        <v>27253</v>
      </c>
      <c r="S7143" t="s">
        <v>27254</v>
      </c>
      <c r="T7143" t="s">
        <v>27269</v>
      </c>
    </row>
    <row r="7144" spans="1:20" x14ac:dyDescent="0.3">
      <c r="A7144" t="str">
        <f>"0611863185050"</f>
        <v>0611863185050</v>
      </c>
      <c r="B7144" t="str">
        <f>"CE1000"</f>
        <v>CE1000</v>
      </c>
      <c r="C7144" t="s">
        <v>41105</v>
      </c>
      <c r="D7144" t="s">
        <v>27923</v>
      </c>
      <c r="E7144" t="str">
        <f t="shared" si="111"/>
        <v>001390</v>
      </c>
      <c r="F7144" t="s">
        <v>27246</v>
      </c>
      <c r="G7144" t="s">
        <v>27247</v>
      </c>
      <c r="H7144" t="s">
        <v>27248</v>
      </c>
      <c r="I7144" t="s">
        <v>41106</v>
      </c>
      <c r="J7144" t="s">
        <v>14173</v>
      </c>
      <c r="L7144" t="s">
        <v>27250</v>
      </c>
      <c r="M7144" t="s">
        <v>27251</v>
      </c>
      <c r="N7144" t="s">
        <v>27252</v>
      </c>
      <c r="P7144" t="s">
        <v>27925</v>
      </c>
      <c r="Q7144" s="1">
        <v>44846</v>
      </c>
      <c r="R7144" t="s">
        <v>27253</v>
      </c>
      <c r="S7144" t="s">
        <v>27254</v>
      </c>
      <c r="T7144" t="s">
        <v>27265</v>
      </c>
    </row>
    <row r="7145" spans="1:20" x14ac:dyDescent="0.3">
      <c r="A7145" t="str">
        <f>"0611835115025"</f>
        <v>0611835115025</v>
      </c>
      <c r="B7145" t="str">
        <f>"MQ0610"</f>
        <v>MQ0610</v>
      </c>
      <c r="C7145" t="s">
        <v>41107</v>
      </c>
      <c r="D7145" t="s">
        <v>28057</v>
      </c>
      <c r="E7145" t="str">
        <f t="shared" si="111"/>
        <v>001390</v>
      </c>
      <c r="F7145" t="s">
        <v>27246</v>
      </c>
      <c r="G7145" t="s">
        <v>27247</v>
      </c>
      <c r="H7145" t="s">
        <v>27248</v>
      </c>
      <c r="I7145" t="s">
        <v>41108</v>
      </c>
      <c r="J7145" t="s">
        <v>14175</v>
      </c>
      <c r="L7145" t="s">
        <v>27250</v>
      </c>
      <c r="M7145" t="s">
        <v>27251</v>
      </c>
      <c r="N7145" t="s">
        <v>27252</v>
      </c>
      <c r="P7145" t="s">
        <v>27925</v>
      </c>
      <c r="Q7145" s="1">
        <v>44538</v>
      </c>
      <c r="R7145" t="s">
        <v>27253</v>
      </c>
      <c r="S7145" t="s">
        <v>27254</v>
      </c>
      <c r="T7145" t="s">
        <v>27269</v>
      </c>
    </row>
    <row r="7146" spans="1:20" x14ac:dyDescent="0.3">
      <c r="A7146" t="str">
        <f>"0611863186050"</f>
        <v>0611863186050</v>
      </c>
      <c r="B7146" t="str">
        <f>"CE1001"</f>
        <v>CE1001</v>
      </c>
      <c r="C7146" t="s">
        <v>41109</v>
      </c>
      <c r="D7146" t="s">
        <v>27923</v>
      </c>
      <c r="E7146" t="str">
        <f t="shared" si="111"/>
        <v>001390</v>
      </c>
      <c r="F7146" t="s">
        <v>27246</v>
      </c>
      <c r="G7146" t="s">
        <v>27247</v>
      </c>
      <c r="H7146" t="s">
        <v>27248</v>
      </c>
      <c r="I7146" t="s">
        <v>41110</v>
      </c>
      <c r="J7146" t="s">
        <v>14177</v>
      </c>
      <c r="L7146" t="s">
        <v>27250</v>
      </c>
      <c r="M7146" t="s">
        <v>27251</v>
      </c>
      <c r="N7146" t="s">
        <v>27252</v>
      </c>
      <c r="P7146" t="s">
        <v>27925</v>
      </c>
      <c r="Q7146" s="1">
        <v>44846</v>
      </c>
      <c r="R7146" t="s">
        <v>27253</v>
      </c>
      <c r="S7146" t="s">
        <v>27254</v>
      </c>
      <c r="T7146" t="s">
        <v>27265</v>
      </c>
    </row>
    <row r="7147" spans="1:20" x14ac:dyDescent="0.3">
      <c r="A7147" t="str">
        <f>"0611835116025"</f>
        <v>0611835116025</v>
      </c>
      <c r="B7147" t="str">
        <f>"MC4386"</f>
        <v>MC4386</v>
      </c>
      <c r="C7147" t="s">
        <v>41111</v>
      </c>
      <c r="D7147" t="s">
        <v>28057</v>
      </c>
      <c r="E7147" t="str">
        <f t="shared" si="111"/>
        <v>001390</v>
      </c>
      <c r="F7147" t="s">
        <v>27246</v>
      </c>
      <c r="G7147" t="s">
        <v>27247</v>
      </c>
      <c r="H7147" t="s">
        <v>27248</v>
      </c>
      <c r="I7147" t="s">
        <v>41112</v>
      </c>
      <c r="J7147" t="s">
        <v>14179</v>
      </c>
      <c r="L7147" t="s">
        <v>27250</v>
      </c>
      <c r="M7147" t="s">
        <v>27251</v>
      </c>
      <c r="N7147" t="s">
        <v>27252</v>
      </c>
      <c r="P7147" t="s">
        <v>27925</v>
      </c>
      <c r="Q7147" s="1">
        <v>44538</v>
      </c>
      <c r="R7147" t="s">
        <v>27253</v>
      </c>
      <c r="S7147" t="s">
        <v>27254</v>
      </c>
      <c r="T7147" t="s">
        <v>27269</v>
      </c>
    </row>
    <row r="7148" spans="1:20" x14ac:dyDescent="0.3">
      <c r="A7148" t="str">
        <f>"0611863187050"</f>
        <v>0611863187050</v>
      </c>
      <c r="B7148" t="str">
        <f>"CE1002"</f>
        <v>CE1002</v>
      </c>
      <c r="C7148" t="s">
        <v>41111</v>
      </c>
      <c r="D7148" t="s">
        <v>27923</v>
      </c>
      <c r="E7148" t="str">
        <f t="shared" si="111"/>
        <v>001390</v>
      </c>
      <c r="F7148" t="s">
        <v>27246</v>
      </c>
      <c r="G7148" t="s">
        <v>27247</v>
      </c>
      <c r="H7148" t="s">
        <v>27248</v>
      </c>
      <c r="I7148" t="s">
        <v>41113</v>
      </c>
      <c r="J7148" t="s">
        <v>14181</v>
      </c>
      <c r="L7148" t="s">
        <v>27250</v>
      </c>
      <c r="M7148" t="s">
        <v>27251</v>
      </c>
      <c r="N7148" t="s">
        <v>27252</v>
      </c>
      <c r="P7148" t="s">
        <v>27925</v>
      </c>
      <c r="Q7148" s="1">
        <v>44846</v>
      </c>
      <c r="R7148" t="s">
        <v>27253</v>
      </c>
      <c r="S7148" t="s">
        <v>27254</v>
      </c>
      <c r="T7148" t="s">
        <v>27265</v>
      </c>
    </row>
    <row r="7149" spans="1:20" x14ac:dyDescent="0.3">
      <c r="A7149" t="str">
        <f>"0611835117025"</f>
        <v>0611835117025</v>
      </c>
      <c r="B7149" t="str">
        <f>"MC2494"</f>
        <v>MC2494</v>
      </c>
      <c r="C7149" t="s">
        <v>41114</v>
      </c>
      <c r="D7149" t="s">
        <v>27267</v>
      </c>
      <c r="E7149" t="str">
        <f t="shared" si="111"/>
        <v>001390</v>
      </c>
      <c r="F7149" t="s">
        <v>27246</v>
      </c>
      <c r="G7149" t="s">
        <v>27247</v>
      </c>
      <c r="H7149" t="s">
        <v>27248</v>
      </c>
      <c r="I7149" t="s">
        <v>41115</v>
      </c>
      <c r="J7149" t="s">
        <v>14183</v>
      </c>
      <c r="L7149" t="s">
        <v>27250</v>
      </c>
      <c r="M7149" t="s">
        <v>27251</v>
      </c>
      <c r="N7149" t="s">
        <v>27252</v>
      </c>
      <c r="Q7149" s="1">
        <v>44538</v>
      </c>
      <c r="R7149" t="s">
        <v>27253</v>
      </c>
      <c r="S7149" t="s">
        <v>27254</v>
      </c>
      <c r="T7149" t="s">
        <v>27269</v>
      </c>
    </row>
    <row r="7150" spans="1:20" x14ac:dyDescent="0.3">
      <c r="A7150" t="str">
        <f>"0611836047100"</f>
        <v>0611836047100</v>
      </c>
      <c r="B7150" t="str">
        <f>"LC7302"</f>
        <v>LC7302</v>
      </c>
      <c r="C7150" t="s">
        <v>41116</v>
      </c>
      <c r="D7150" t="s">
        <v>27245</v>
      </c>
      <c r="E7150" t="str">
        <f t="shared" si="111"/>
        <v>001390</v>
      </c>
      <c r="F7150" t="s">
        <v>27246</v>
      </c>
      <c r="G7150" t="s">
        <v>27247</v>
      </c>
      <c r="H7150" t="s">
        <v>27248</v>
      </c>
      <c r="I7150" t="s">
        <v>41117</v>
      </c>
      <c r="J7150" t="s">
        <v>14185</v>
      </c>
      <c r="L7150" t="s">
        <v>27250</v>
      </c>
      <c r="M7150" t="s">
        <v>27251</v>
      </c>
      <c r="N7150" t="s">
        <v>27252</v>
      </c>
      <c r="Q7150" s="1">
        <v>44538</v>
      </c>
      <c r="R7150" t="s">
        <v>27253</v>
      </c>
      <c r="S7150" t="s">
        <v>27254</v>
      </c>
      <c r="T7150" t="s">
        <v>27255</v>
      </c>
    </row>
    <row r="7151" spans="1:20" x14ac:dyDescent="0.3">
      <c r="A7151" t="str">
        <f>"0611835118025"</f>
        <v>0611835118025</v>
      </c>
      <c r="B7151" t="str">
        <f>"MC3747"</f>
        <v>MC3747</v>
      </c>
      <c r="C7151" t="s">
        <v>41118</v>
      </c>
      <c r="D7151" t="s">
        <v>27267</v>
      </c>
      <c r="E7151" t="str">
        <f t="shared" si="111"/>
        <v>001390</v>
      </c>
      <c r="F7151" t="s">
        <v>27246</v>
      </c>
      <c r="G7151" t="s">
        <v>27247</v>
      </c>
      <c r="H7151" t="s">
        <v>27248</v>
      </c>
      <c r="I7151" t="s">
        <v>41119</v>
      </c>
      <c r="J7151" t="s">
        <v>14187</v>
      </c>
      <c r="L7151" t="s">
        <v>27250</v>
      </c>
      <c r="M7151" t="s">
        <v>27251</v>
      </c>
      <c r="N7151" t="s">
        <v>27252</v>
      </c>
      <c r="Q7151" s="1">
        <v>44538</v>
      </c>
      <c r="R7151" t="s">
        <v>27253</v>
      </c>
      <c r="S7151" t="s">
        <v>27254</v>
      </c>
      <c r="T7151" t="s">
        <v>27269</v>
      </c>
    </row>
    <row r="7152" spans="1:20" x14ac:dyDescent="0.3">
      <c r="A7152" t="str">
        <f>"0611863188100"</f>
        <v>0611863188100</v>
      </c>
      <c r="B7152" t="str">
        <f>"CN5224"</f>
        <v>CN5224</v>
      </c>
      <c r="C7152" t="s">
        <v>41120</v>
      </c>
      <c r="D7152" t="s">
        <v>27335</v>
      </c>
      <c r="E7152" t="str">
        <f t="shared" si="111"/>
        <v>001390</v>
      </c>
      <c r="F7152" t="s">
        <v>27246</v>
      </c>
      <c r="G7152" t="s">
        <v>27247</v>
      </c>
      <c r="H7152" t="s">
        <v>27248</v>
      </c>
      <c r="I7152" t="s">
        <v>41121</v>
      </c>
      <c r="J7152" t="s">
        <v>14189</v>
      </c>
      <c r="L7152" t="s">
        <v>27250</v>
      </c>
      <c r="M7152" t="s">
        <v>27251</v>
      </c>
      <c r="N7152" t="s">
        <v>27252</v>
      </c>
      <c r="Q7152" s="1">
        <v>44846</v>
      </c>
      <c r="R7152" t="s">
        <v>27253</v>
      </c>
      <c r="S7152" t="s">
        <v>27254</v>
      </c>
      <c r="T7152" t="s">
        <v>27255</v>
      </c>
    </row>
    <row r="7153" spans="1:20" x14ac:dyDescent="0.3">
      <c r="A7153" t="str">
        <f>"0611863189050"</f>
        <v>0611863189050</v>
      </c>
      <c r="B7153" t="str">
        <f>"CR4342"</f>
        <v>CR4342</v>
      </c>
      <c r="C7153" t="s">
        <v>41120</v>
      </c>
      <c r="D7153" t="s">
        <v>27263</v>
      </c>
      <c r="E7153" t="str">
        <f t="shared" si="111"/>
        <v>001390</v>
      </c>
      <c r="F7153" t="s">
        <v>27246</v>
      </c>
      <c r="G7153" t="s">
        <v>27247</v>
      </c>
      <c r="H7153" t="s">
        <v>27248</v>
      </c>
      <c r="I7153" t="s">
        <v>41122</v>
      </c>
      <c r="J7153" t="s">
        <v>14191</v>
      </c>
      <c r="L7153" t="s">
        <v>27250</v>
      </c>
      <c r="M7153" t="s">
        <v>27251</v>
      </c>
      <c r="N7153" t="s">
        <v>27252</v>
      </c>
      <c r="Q7153" s="1">
        <v>44846</v>
      </c>
      <c r="R7153" t="s">
        <v>27253</v>
      </c>
      <c r="S7153" t="s">
        <v>27254</v>
      </c>
      <c r="T7153" t="s">
        <v>27265</v>
      </c>
    </row>
    <row r="7154" spans="1:20" x14ac:dyDescent="0.3">
      <c r="A7154" t="str">
        <f>"0611835119025"</f>
        <v>0611835119025</v>
      </c>
      <c r="B7154" t="str">
        <f>"MQ3172"</f>
        <v>MQ3172</v>
      </c>
      <c r="C7154" t="s">
        <v>41123</v>
      </c>
      <c r="D7154" t="s">
        <v>27267</v>
      </c>
      <c r="E7154" t="str">
        <f t="shared" si="111"/>
        <v>001390</v>
      </c>
      <c r="F7154" t="s">
        <v>27246</v>
      </c>
      <c r="G7154" t="s">
        <v>27247</v>
      </c>
      <c r="H7154" t="s">
        <v>27248</v>
      </c>
      <c r="I7154" t="s">
        <v>41124</v>
      </c>
      <c r="J7154" t="s">
        <v>14193</v>
      </c>
      <c r="L7154" t="s">
        <v>27250</v>
      </c>
      <c r="M7154" t="s">
        <v>27251</v>
      </c>
      <c r="N7154" t="s">
        <v>27252</v>
      </c>
      <c r="Q7154" s="1">
        <v>44538</v>
      </c>
      <c r="R7154" t="s">
        <v>27253</v>
      </c>
      <c r="S7154" t="s">
        <v>27254</v>
      </c>
      <c r="T7154" t="s">
        <v>27269</v>
      </c>
    </row>
    <row r="7155" spans="1:20" x14ac:dyDescent="0.3">
      <c r="A7155" t="str">
        <f>"0611835120100"</f>
        <v>0611835120100</v>
      </c>
      <c r="B7155" t="str">
        <f>"LH5179"</f>
        <v>LH5179</v>
      </c>
      <c r="C7155" t="s">
        <v>41125</v>
      </c>
      <c r="D7155" t="s">
        <v>27245</v>
      </c>
      <c r="E7155" t="str">
        <f t="shared" si="111"/>
        <v>001390</v>
      </c>
      <c r="F7155" t="s">
        <v>27246</v>
      </c>
      <c r="G7155" t="s">
        <v>27247</v>
      </c>
      <c r="H7155" t="s">
        <v>27248</v>
      </c>
      <c r="I7155" t="s">
        <v>41126</v>
      </c>
      <c r="J7155" t="s">
        <v>14195</v>
      </c>
      <c r="L7155" t="s">
        <v>27250</v>
      </c>
      <c r="M7155" t="s">
        <v>27251</v>
      </c>
      <c r="N7155" t="s">
        <v>27252</v>
      </c>
      <c r="Q7155" s="1">
        <v>44538</v>
      </c>
      <c r="R7155" t="s">
        <v>27253</v>
      </c>
      <c r="S7155" t="s">
        <v>27254</v>
      </c>
      <c r="T7155" t="s">
        <v>27255</v>
      </c>
    </row>
    <row r="7156" spans="1:20" x14ac:dyDescent="0.3">
      <c r="A7156" t="str">
        <f>"0611835121100"</f>
        <v>0611835121100</v>
      </c>
      <c r="B7156" t="str">
        <f>"LC7316"</f>
        <v>LC7316</v>
      </c>
      <c r="C7156" t="s">
        <v>41127</v>
      </c>
      <c r="D7156" t="s">
        <v>27245</v>
      </c>
      <c r="E7156" t="str">
        <f t="shared" si="111"/>
        <v>001390</v>
      </c>
      <c r="F7156" t="s">
        <v>27246</v>
      </c>
      <c r="G7156" t="s">
        <v>27247</v>
      </c>
      <c r="H7156" t="s">
        <v>27248</v>
      </c>
      <c r="I7156" t="s">
        <v>41128</v>
      </c>
      <c r="J7156" t="s">
        <v>14197</v>
      </c>
      <c r="L7156" t="s">
        <v>27250</v>
      </c>
      <c r="M7156" t="s">
        <v>27251</v>
      </c>
      <c r="N7156" t="s">
        <v>27252</v>
      </c>
      <c r="Q7156" s="1">
        <v>44538</v>
      </c>
      <c r="R7156" t="s">
        <v>27253</v>
      </c>
      <c r="S7156" t="s">
        <v>27254</v>
      </c>
      <c r="T7156" t="s">
        <v>27255</v>
      </c>
    </row>
    <row r="7157" spans="1:20" x14ac:dyDescent="0.3">
      <c r="A7157" t="str">
        <f>"0611835122025"</f>
        <v>0611835122025</v>
      </c>
      <c r="B7157" t="str">
        <f>"MC3196"</f>
        <v>MC3196</v>
      </c>
      <c r="C7157" t="s">
        <v>41129</v>
      </c>
      <c r="D7157" t="s">
        <v>27267</v>
      </c>
      <c r="E7157" t="str">
        <f t="shared" si="111"/>
        <v>001390</v>
      </c>
      <c r="F7157" t="s">
        <v>27246</v>
      </c>
      <c r="G7157" t="s">
        <v>27247</v>
      </c>
      <c r="H7157" t="s">
        <v>27248</v>
      </c>
      <c r="I7157" t="s">
        <v>41130</v>
      </c>
      <c r="J7157" t="s">
        <v>14199</v>
      </c>
      <c r="L7157" t="s">
        <v>27250</v>
      </c>
      <c r="M7157" t="s">
        <v>27251</v>
      </c>
      <c r="N7157" t="s">
        <v>27252</v>
      </c>
      <c r="Q7157" s="1">
        <v>44538</v>
      </c>
      <c r="R7157" t="s">
        <v>27253</v>
      </c>
      <c r="S7157" t="s">
        <v>27254</v>
      </c>
      <c r="T7157" t="s">
        <v>27269</v>
      </c>
    </row>
    <row r="7158" spans="1:20" x14ac:dyDescent="0.3">
      <c r="A7158" t="str">
        <f>"0611835123025"</f>
        <v>0611835123025</v>
      </c>
      <c r="B7158" t="str">
        <f>"MQ0645"</f>
        <v>MQ0645</v>
      </c>
      <c r="C7158" t="s">
        <v>41131</v>
      </c>
      <c r="D7158" t="s">
        <v>28057</v>
      </c>
      <c r="E7158" t="str">
        <f t="shared" si="111"/>
        <v>001390</v>
      </c>
      <c r="F7158" t="s">
        <v>27246</v>
      </c>
      <c r="G7158" t="s">
        <v>27247</v>
      </c>
      <c r="H7158" t="s">
        <v>27248</v>
      </c>
      <c r="I7158" t="s">
        <v>41132</v>
      </c>
      <c r="J7158" t="s">
        <v>14203</v>
      </c>
      <c r="L7158" t="s">
        <v>27250</v>
      </c>
      <c r="M7158" t="s">
        <v>27251</v>
      </c>
      <c r="N7158" t="s">
        <v>27252</v>
      </c>
      <c r="P7158" t="s">
        <v>27925</v>
      </c>
      <c r="Q7158" s="1">
        <v>44538</v>
      </c>
      <c r="R7158" t="s">
        <v>27253</v>
      </c>
      <c r="S7158" t="s">
        <v>27254</v>
      </c>
      <c r="T7158" t="s">
        <v>27269</v>
      </c>
    </row>
    <row r="7159" spans="1:20" x14ac:dyDescent="0.3">
      <c r="A7159" t="str">
        <f>"0611835124025"</f>
        <v>0611835124025</v>
      </c>
      <c r="B7159" t="str">
        <f>"MQ6046"</f>
        <v>MQ6046</v>
      </c>
      <c r="C7159" t="s">
        <v>41133</v>
      </c>
      <c r="D7159" t="s">
        <v>28057</v>
      </c>
      <c r="E7159" t="str">
        <f t="shared" si="111"/>
        <v>001390</v>
      </c>
      <c r="F7159" t="s">
        <v>27246</v>
      </c>
      <c r="G7159" t="s">
        <v>27247</v>
      </c>
      <c r="H7159" t="s">
        <v>27248</v>
      </c>
      <c r="I7159" t="s">
        <v>41134</v>
      </c>
      <c r="J7159" t="s">
        <v>14205</v>
      </c>
      <c r="L7159" t="s">
        <v>27250</v>
      </c>
      <c r="M7159" t="s">
        <v>27251</v>
      </c>
      <c r="N7159" t="s">
        <v>27252</v>
      </c>
      <c r="P7159" t="s">
        <v>27925</v>
      </c>
      <c r="Q7159" s="1">
        <v>44538</v>
      </c>
      <c r="R7159" t="s">
        <v>27253</v>
      </c>
      <c r="S7159" t="s">
        <v>27254</v>
      </c>
      <c r="T7159" t="s">
        <v>27269</v>
      </c>
    </row>
    <row r="7160" spans="1:20" x14ac:dyDescent="0.3">
      <c r="A7160" t="str">
        <f>"0611835125025"</f>
        <v>0611835125025</v>
      </c>
      <c r="B7160" t="str">
        <f>"MQ6047"</f>
        <v>MQ6047</v>
      </c>
      <c r="C7160" t="s">
        <v>41135</v>
      </c>
      <c r="D7160" t="s">
        <v>28057</v>
      </c>
      <c r="E7160" t="str">
        <f t="shared" si="111"/>
        <v>001390</v>
      </c>
      <c r="F7160" t="s">
        <v>27246</v>
      </c>
      <c r="G7160" t="s">
        <v>27247</v>
      </c>
      <c r="H7160" t="s">
        <v>27248</v>
      </c>
      <c r="I7160" t="s">
        <v>41136</v>
      </c>
      <c r="J7160" t="s">
        <v>14207</v>
      </c>
      <c r="L7160" t="s">
        <v>27250</v>
      </c>
      <c r="M7160" t="s">
        <v>27251</v>
      </c>
      <c r="N7160" t="s">
        <v>27252</v>
      </c>
      <c r="P7160" t="s">
        <v>27925</v>
      </c>
      <c r="Q7160" s="1">
        <v>44538</v>
      </c>
      <c r="R7160" t="s">
        <v>27253</v>
      </c>
      <c r="S7160" t="s">
        <v>27254</v>
      </c>
      <c r="T7160" t="s">
        <v>27269</v>
      </c>
    </row>
    <row r="7161" spans="1:20" x14ac:dyDescent="0.3">
      <c r="A7161" t="str">
        <f>"0611863190050"</f>
        <v>0611863190050</v>
      </c>
      <c r="B7161" t="str">
        <f>"CE1723"</f>
        <v>CE1723</v>
      </c>
      <c r="C7161" t="s">
        <v>41137</v>
      </c>
      <c r="D7161" t="s">
        <v>27923</v>
      </c>
      <c r="E7161" t="str">
        <f t="shared" si="111"/>
        <v>001390</v>
      </c>
      <c r="F7161" t="s">
        <v>27246</v>
      </c>
      <c r="G7161" t="s">
        <v>27247</v>
      </c>
      <c r="H7161" t="s">
        <v>27248</v>
      </c>
      <c r="I7161" t="s">
        <v>41138</v>
      </c>
      <c r="J7161" t="s">
        <v>14201</v>
      </c>
      <c r="L7161" t="s">
        <v>27250</v>
      </c>
      <c r="M7161" t="s">
        <v>27251</v>
      </c>
      <c r="N7161" t="s">
        <v>27252</v>
      </c>
      <c r="P7161" t="s">
        <v>27925</v>
      </c>
      <c r="Q7161" s="1">
        <v>44846</v>
      </c>
      <c r="R7161" t="s">
        <v>27253</v>
      </c>
      <c r="S7161" t="s">
        <v>27254</v>
      </c>
      <c r="T7161" t="s">
        <v>27265</v>
      </c>
    </row>
    <row r="7162" spans="1:20" x14ac:dyDescent="0.3">
      <c r="A7162" t="str">
        <f>"0611835126025"</f>
        <v>0611835126025</v>
      </c>
      <c r="B7162" t="str">
        <f>"MQ0646"</f>
        <v>MQ0646</v>
      </c>
      <c r="C7162" t="s">
        <v>41139</v>
      </c>
      <c r="D7162" t="s">
        <v>28057</v>
      </c>
      <c r="E7162" t="str">
        <f t="shared" si="111"/>
        <v>001390</v>
      </c>
      <c r="F7162" t="s">
        <v>27246</v>
      </c>
      <c r="G7162" t="s">
        <v>27247</v>
      </c>
      <c r="H7162" t="s">
        <v>27248</v>
      </c>
      <c r="I7162" t="s">
        <v>41140</v>
      </c>
      <c r="J7162" t="s">
        <v>14211</v>
      </c>
      <c r="L7162" t="s">
        <v>27250</v>
      </c>
      <c r="M7162" t="s">
        <v>27251</v>
      </c>
      <c r="N7162" t="s">
        <v>27252</v>
      </c>
      <c r="P7162" t="s">
        <v>27925</v>
      </c>
      <c r="Q7162" s="1">
        <v>44538</v>
      </c>
      <c r="R7162" t="s">
        <v>27253</v>
      </c>
      <c r="S7162" t="s">
        <v>27254</v>
      </c>
      <c r="T7162" t="s">
        <v>27269</v>
      </c>
    </row>
    <row r="7163" spans="1:20" x14ac:dyDescent="0.3">
      <c r="A7163" t="str">
        <f>"0611863191050"</f>
        <v>0611863191050</v>
      </c>
      <c r="B7163" t="str">
        <f>"CE1506"</f>
        <v>CE1506</v>
      </c>
      <c r="C7163" t="s">
        <v>41141</v>
      </c>
      <c r="D7163" t="s">
        <v>27923</v>
      </c>
      <c r="E7163" t="str">
        <f t="shared" si="111"/>
        <v>001390</v>
      </c>
      <c r="F7163" t="s">
        <v>27246</v>
      </c>
      <c r="G7163" t="s">
        <v>27247</v>
      </c>
      <c r="H7163" t="s">
        <v>27248</v>
      </c>
      <c r="I7163" t="s">
        <v>41142</v>
      </c>
      <c r="J7163" t="s">
        <v>14209</v>
      </c>
      <c r="L7163" t="s">
        <v>27250</v>
      </c>
      <c r="M7163" t="s">
        <v>27251</v>
      </c>
      <c r="N7163" t="s">
        <v>27252</v>
      </c>
      <c r="P7163" t="s">
        <v>27925</v>
      </c>
      <c r="Q7163" s="1">
        <v>44846</v>
      </c>
      <c r="R7163" t="s">
        <v>27253</v>
      </c>
      <c r="S7163" t="s">
        <v>27254</v>
      </c>
      <c r="T7163" t="s">
        <v>27265</v>
      </c>
    </row>
    <row r="7164" spans="1:20" x14ac:dyDescent="0.3">
      <c r="A7164" t="str">
        <f>"0611835127025"</f>
        <v>0611835127025</v>
      </c>
      <c r="B7164" t="str">
        <f>"MQ0647"</f>
        <v>MQ0647</v>
      </c>
      <c r="C7164" t="s">
        <v>41143</v>
      </c>
      <c r="D7164" t="s">
        <v>28057</v>
      </c>
      <c r="E7164" t="str">
        <f t="shared" si="111"/>
        <v>001390</v>
      </c>
      <c r="F7164" t="s">
        <v>27246</v>
      </c>
      <c r="G7164" t="s">
        <v>27247</v>
      </c>
      <c r="H7164" t="s">
        <v>27248</v>
      </c>
      <c r="I7164" t="s">
        <v>41144</v>
      </c>
      <c r="J7164" t="s">
        <v>14213</v>
      </c>
      <c r="L7164" t="s">
        <v>27250</v>
      </c>
      <c r="M7164" t="s">
        <v>27251</v>
      </c>
      <c r="N7164" t="s">
        <v>27252</v>
      </c>
      <c r="P7164" t="s">
        <v>27925</v>
      </c>
      <c r="Q7164" s="1">
        <v>44538</v>
      </c>
      <c r="R7164" t="s">
        <v>27253</v>
      </c>
      <c r="S7164" t="s">
        <v>27254</v>
      </c>
      <c r="T7164" t="s">
        <v>27269</v>
      </c>
    </row>
    <row r="7165" spans="1:20" x14ac:dyDescent="0.3">
      <c r="A7165" t="str">
        <f>"0611836045100"</f>
        <v>0611836045100</v>
      </c>
      <c r="B7165" t="str">
        <f>"LK0214"</f>
        <v>LK0214</v>
      </c>
      <c r="C7165" t="s">
        <v>41145</v>
      </c>
      <c r="D7165" t="s">
        <v>27245</v>
      </c>
      <c r="E7165" t="str">
        <f t="shared" si="111"/>
        <v>001390</v>
      </c>
      <c r="F7165" t="s">
        <v>27246</v>
      </c>
      <c r="G7165" t="s">
        <v>27247</v>
      </c>
      <c r="H7165" t="s">
        <v>27248</v>
      </c>
      <c r="I7165" t="s">
        <v>41146</v>
      </c>
      <c r="J7165" t="s">
        <v>14215</v>
      </c>
      <c r="L7165" t="s">
        <v>27250</v>
      </c>
      <c r="M7165" t="s">
        <v>27251</v>
      </c>
      <c r="N7165" t="s">
        <v>27252</v>
      </c>
      <c r="Q7165" s="1">
        <v>44538</v>
      </c>
      <c r="R7165" t="s">
        <v>27253</v>
      </c>
      <c r="S7165" t="s">
        <v>27254</v>
      </c>
      <c r="T7165" t="s">
        <v>27255</v>
      </c>
    </row>
    <row r="7166" spans="1:20" x14ac:dyDescent="0.3">
      <c r="A7166" t="str">
        <f>"0611830644100"</f>
        <v>0611830644100</v>
      </c>
      <c r="B7166" t="str">
        <f>"LC7380"</f>
        <v>LC7380</v>
      </c>
      <c r="C7166" t="s">
        <v>41147</v>
      </c>
      <c r="D7166" t="s">
        <v>27245</v>
      </c>
      <c r="E7166" t="str">
        <f t="shared" si="111"/>
        <v>001390</v>
      </c>
      <c r="F7166" t="s">
        <v>27246</v>
      </c>
      <c r="G7166" t="s">
        <v>27247</v>
      </c>
      <c r="H7166" t="s">
        <v>27248</v>
      </c>
      <c r="I7166" t="s">
        <v>41148</v>
      </c>
      <c r="J7166" t="s">
        <v>14217</v>
      </c>
      <c r="L7166" t="s">
        <v>27250</v>
      </c>
      <c r="M7166" t="s">
        <v>27251</v>
      </c>
      <c r="N7166" t="s">
        <v>27252</v>
      </c>
      <c r="Q7166" s="1">
        <v>44538</v>
      </c>
      <c r="R7166" t="s">
        <v>27253</v>
      </c>
      <c r="S7166" t="s">
        <v>27254</v>
      </c>
      <c r="T7166" t="s">
        <v>27255</v>
      </c>
    </row>
    <row r="7167" spans="1:20" x14ac:dyDescent="0.3">
      <c r="A7167" t="str">
        <f>"0611836758100"</f>
        <v>0611836758100</v>
      </c>
      <c r="B7167" t="str">
        <f>"LC7350"</f>
        <v>LC7350</v>
      </c>
      <c r="C7167" t="s">
        <v>41149</v>
      </c>
      <c r="D7167" t="s">
        <v>27245</v>
      </c>
      <c r="E7167" t="str">
        <f t="shared" si="111"/>
        <v>001390</v>
      </c>
      <c r="F7167" t="s">
        <v>27246</v>
      </c>
      <c r="G7167" t="s">
        <v>27247</v>
      </c>
      <c r="H7167" t="s">
        <v>27248</v>
      </c>
      <c r="I7167" t="s">
        <v>41150</v>
      </c>
      <c r="J7167" t="s">
        <v>14219</v>
      </c>
      <c r="L7167" t="s">
        <v>27250</v>
      </c>
      <c r="M7167" t="s">
        <v>27251</v>
      </c>
      <c r="N7167" t="s">
        <v>27252</v>
      </c>
      <c r="Q7167" s="1">
        <v>44538</v>
      </c>
      <c r="R7167" t="s">
        <v>27253</v>
      </c>
      <c r="S7167" t="s">
        <v>27254</v>
      </c>
      <c r="T7167" t="s">
        <v>27255</v>
      </c>
    </row>
    <row r="7168" spans="1:20" x14ac:dyDescent="0.3">
      <c r="A7168" t="str">
        <f>"0611836759025"</f>
        <v>0611836759025</v>
      </c>
      <c r="B7168" t="str">
        <f>"MC0795"</f>
        <v>MC0795</v>
      </c>
      <c r="C7168" t="s">
        <v>41149</v>
      </c>
      <c r="D7168" t="s">
        <v>27267</v>
      </c>
      <c r="E7168" t="str">
        <f t="shared" si="111"/>
        <v>001390</v>
      </c>
      <c r="F7168" t="s">
        <v>27246</v>
      </c>
      <c r="G7168" t="s">
        <v>27247</v>
      </c>
      <c r="H7168" t="s">
        <v>27248</v>
      </c>
      <c r="I7168" t="s">
        <v>41151</v>
      </c>
      <c r="J7168" t="s">
        <v>14221</v>
      </c>
      <c r="L7168" t="s">
        <v>27250</v>
      </c>
      <c r="M7168" t="s">
        <v>27251</v>
      </c>
      <c r="N7168" t="s">
        <v>27252</v>
      </c>
      <c r="Q7168" s="1">
        <v>44538</v>
      </c>
      <c r="R7168" t="s">
        <v>27253</v>
      </c>
      <c r="S7168" t="s">
        <v>27254</v>
      </c>
      <c r="T7168" t="s">
        <v>27269</v>
      </c>
    </row>
    <row r="7169" spans="1:20" x14ac:dyDescent="0.3">
      <c r="A7169" t="str">
        <f>"0611836048100"</f>
        <v>0611836048100</v>
      </c>
      <c r="B7169" t="str">
        <f>"LH8831"</f>
        <v>LH8831</v>
      </c>
      <c r="C7169" t="s">
        <v>41152</v>
      </c>
      <c r="D7169" t="s">
        <v>27245</v>
      </c>
      <c r="E7169" t="str">
        <f t="shared" si="111"/>
        <v>001390</v>
      </c>
      <c r="F7169" t="s">
        <v>27246</v>
      </c>
      <c r="G7169" t="s">
        <v>27247</v>
      </c>
      <c r="H7169" t="s">
        <v>27248</v>
      </c>
      <c r="I7169" t="s">
        <v>41153</v>
      </c>
      <c r="J7169" t="s">
        <v>14227</v>
      </c>
      <c r="L7169" t="s">
        <v>27250</v>
      </c>
      <c r="M7169" t="s">
        <v>27251</v>
      </c>
      <c r="N7169" t="s">
        <v>27252</v>
      </c>
      <c r="Q7169" s="1">
        <v>44538</v>
      </c>
      <c r="R7169" t="s">
        <v>27253</v>
      </c>
      <c r="S7169" t="s">
        <v>27254</v>
      </c>
      <c r="T7169" t="s">
        <v>27255</v>
      </c>
    </row>
    <row r="7170" spans="1:20" x14ac:dyDescent="0.3">
      <c r="A7170" t="str">
        <f>"0611836049025"</f>
        <v>0611836049025</v>
      </c>
      <c r="B7170" t="str">
        <f>"MC4015"</f>
        <v>MC4015</v>
      </c>
      <c r="C7170" t="s">
        <v>41154</v>
      </c>
      <c r="D7170" t="s">
        <v>27267</v>
      </c>
      <c r="E7170" t="str">
        <f t="shared" ref="E7170:E7233" si="112">"001390"</f>
        <v>001390</v>
      </c>
      <c r="F7170" t="s">
        <v>27246</v>
      </c>
      <c r="G7170" t="s">
        <v>27247</v>
      </c>
      <c r="H7170" t="s">
        <v>27248</v>
      </c>
      <c r="I7170" t="s">
        <v>41155</v>
      </c>
      <c r="J7170" t="s">
        <v>14229</v>
      </c>
      <c r="L7170" t="s">
        <v>27250</v>
      </c>
      <c r="M7170" t="s">
        <v>27251</v>
      </c>
      <c r="N7170" t="s">
        <v>27252</v>
      </c>
      <c r="Q7170" s="1">
        <v>44538</v>
      </c>
      <c r="R7170" t="s">
        <v>27253</v>
      </c>
      <c r="S7170" t="s">
        <v>27254</v>
      </c>
      <c r="T7170" t="s">
        <v>27269</v>
      </c>
    </row>
    <row r="7171" spans="1:20" x14ac:dyDescent="0.3">
      <c r="A7171" t="str">
        <f>"0611857017100"</f>
        <v>0611857017100</v>
      </c>
      <c r="B7171" t="str">
        <f>"LL5041"</f>
        <v>LL5041</v>
      </c>
      <c r="C7171" t="s">
        <v>41156</v>
      </c>
      <c r="D7171" t="s">
        <v>27245</v>
      </c>
      <c r="E7171" t="str">
        <f t="shared" si="112"/>
        <v>001390</v>
      </c>
      <c r="F7171" t="s">
        <v>27246</v>
      </c>
      <c r="G7171" t="s">
        <v>27247</v>
      </c>
      <c r="H7171" t="s">
        <v>27248</v>
      </c>
      <c r="I7171" t="s">
        <v>41157</v>
      </c>
      <c r="J7171" t="s">
        <v>14231</v>
      </c>
      <c r="L7171" t="s">
        <v>27250</v>
      </c>
      <c r="M7171" t="s">
        <v>27251</v>
      </c>
      <c r="N7171" t="s">
        <v>27252</v>
      </c>
      <c r="Q7171" s="1">
        <v>44812</v>
      </c>
      <c r="R7171" t="s">
        <v>27253</v>
      </c>
      <c r="S7171" t="s">
        <v>27254</v>
      </c>
      <c r="T7171" t="s">
        <v>27255</v>
      </c>
    </row>
    <row r="7172" spans="1:20" x14ac:dyDescent="0.3">
      <c r="A7172" t="str">
        <f>"0611835917100"</f>
        <v>0611835917100</v>
      </c>
      <c r="B7172" t="str">
        <f>"LL2148"</f>
        <v>LL2148</v>
      </c>
      <c r="C7172" t="s">
        <v>41158</v>
      </c>
      <c r="D7172" t="s">
        <v>27245</v>
      </c>
      <c r="E7172" t="str">
        <f t="shared" si="112"/>
        <v>001390</v>
      </c>
      <c r="F7172" t="s">
        <v>27246</v>
      </c>
      <c r="G7172" t="s">
        <v>27247</v>
      </c>
      <c r="H7172" t="s">
        <v>27248</v>
      </c>
      <c r="I7172" t="s">
        <v>41159</v>
      </c>
      <c r="J7172" t="s">
        <v>14233</v>
      </c>
      <c r="L7172" t="s">
        <v>27250</v>
      </c>
      <c r="M7172" t="s">
        <v>27251</v>
      </c>
      <c r="N7172" t="s">
        <v>27252</v>
      </c>
      <c r="Q7172" s="1">
        <v>44538</v>
      </c>
      <c r="R7172" t="s">
        <v>27253</v>
      </c>
      <c r="S7172" t="s">
        <v>27254</v>
      </c>
      <c r="T7172" t="s">
        <v>27255</v>
      </c>
    </row>
    <row r="7173" spans="1:20" x14ac:dyDescent="0.3">
      <c r="A7173" t="str">
        <f>"0611835918100"</f>
        <v>0611835918100</v>
      </c>
      <c r="B7173" t="str">
        <f>"LL2124"</f>
        <v>LL2124</v>
      </c>
      <c r="C7173" t="s">
        <v>41160</v>
      </c>
      <c r="D7173" t="s">
        <v>27245</v>
      </c>
      <c r="E7173" t="str">
        <f t="shared" si="112"/>
        <v>001390</v>
      </c>
      <c r="F7173" t="s">
        <v>27246</v>
      </c>
      <c r="G7173" t="s">
        <v>27247</v>
      </c>
      <c r="H7173" t="s">
        <v>27248</v>
      </c>
      <c r="I7173" t="s">
        <v>41161</v>
      </c>
      <c r="J7173" t="s">
        <v>14235</v>
      </c>
      <c r="L7173" t="s">
        <v>27250</v>
      </c>
      <c r="M7173" t="s">
        <v>27251</v>
      </c>
      <c r="N7173" t="s">
        <v>27252</v>
      </c>
      <c r="Q7173" s="1">
        <v>44538</v>
      </c>
      <c r="R7173" t="s">
        <v>27253</v>
      </c>
      <c r="S7173" t="s">
        <v>27254</v>
      </c>
      <c r="T7173" t="s">
        <v>27255</v>
      </c>
    </row>
    <row r="7174" spans="1:20" x14ac:dyDescent="0.3">
      <c r="A7174" t="str">
        <f>"0611835919100"</f>
        <v>0611835919100</v>
      </c>
      <c r="B7174" t="str">
        <f>"LL2125"</f>
        <v>LL2125</v>
      </c>
      <c r="C7174" t="s">
        <v>41162</v>
      </c>
      <c r="D7174" t="s">
        <v>27245</v>
      </c>
      <c r="E7174" t="str">
        <f t="shared" si="112"/>
        <v>001390</v>
      </c>
      <c r="F7174" t="s">
        <v>27246</v>
      </c>
      <c r="G7174" t="s">
        <v>27247</v>
      </c>
      <c r="H7174" t="s">
        <v>27248</v>
      </c>
      <c r="I7174" t="s">
        <v>41163</v>
      </c>
      <c r="J7174" t="s">
        <v>14237</v>
      </c>
      <c r="L7174" t="s">
        <v>27250</v>
      </c>
      <c r="M7174" t="s">
        <v>27251</v>
      </c>
      <c r="N7174" t="s">
        <v>27252</v>
      </c>
      <c r="Q7174" s="1">
        <v>44538</v>
      </c>
      <c r="R7174" t="s">
        <v>27253</v>
      </c>
      <c r="S7174" t="s">
        <v>27254</v>
      </c>
      <c r="T7174" t="s">
        <v>27255</v>
      </c>
    </row>
    <row r="7175" spans="1:20" x14ac:dyDescent="0.3">
      <c r="A7175" t="str">
        <f>"0611835920100"</f>
        <v>0611835920100</v>
      </c>
      <c r="B7175" t="str">
        <f>"LL2128"</f>
        <v>LL2128</v>
      </c>
      <c r="C7175" t="s">
        <v>41164</v>
      </c>
      <c r="D7175" t="s">
        <v>27245</v>
      </c>
      <c r="E7175" t="str">
        <f t="shared" si="112"/>
        <v>001390</v>
      </c>
      <c r="F7175" t="s">
        <v>27246</v>
      </c>
      <c r="G7175" t="s">
        <v>27247</v>
      </c>
      <c r="H7175" t="s">
        <v>27248</v>
      </c>
      <c r="I7175" t="s">
        <v>41165</v>
      </c>
      <c r="J7175" t="s">
        <v>14239</v>
      </c>
      <c r="L7175" t="s">
        <v>27250</v>
      </c>
      <c r="M7175" t="s">
        <v>27251</v>
      </c>
      <c r="N7175" t="s">
        <v>27252</v>
      </c>
      <c r="Q7175" s="1">
        <v>44538</v>
      </c>
      <c r="R7175" t="s">
        <v>27253</v>
      </c>
      <c r="S7175" t="s">
        <v>27254</v>
      </c>
      <c r="T7175" t="s">
        <v>27255</v>
      </c>
    </row>
    <row r="7176" spans="1:20" x14ac:dyDescent="0.3">
      <c r="A7176" t="str">
        <f>"0611835921200"</f>
        <v>0611835921200</v>
      </c>
      <c r="B7176" t="str">
        <f>"KY2128"</f>
        <v>KY2128</v>
      </c>
      <c r="C7176" t="s">
        <v>41164</v>
      </c>
      <c r="D7176" t="s">
        <v>27682</v>
      </c>
      <c r="E7176" t="str">
        <f t="shared" si="112"/>
        <v>001390</v>
      </c>
      <c r="F7176" t="s">
        <v>27246</v>
      </c>
      <c r="G7176" t="s">
        <v>27247</v>
      </c>
      <c r="H7176" t="s">
        <v>27248</v>
      </c>
      <c r="I7176" t="s">
        <v>41166</v>
      </c>
      <c r="J7176" t="s">
        <v>14241</v>
      </c>
      <c r="L7176" t="s">
        <v>27250</v>
      </c>
      <c r="M7176" t="s">
        <v>27251</v>
      </c>
      <c r="N7176" t="s">
        <v>27252</v>
      </c>
      <c r="Q7176" s="1">
        <v>44538</v>
      </c>
      <c r="R7176" t="s">
        <v>27253</v>
      </c>
      <c r="S7176" t="s">
        <v>27254</v>
      </c>
      <c r="T7176" t="s">
        <v>27684</v>
      </c>
    </row>
    <row r="7177" spans="1:20" x14ac:dyDescent="0.3">
      <c r="A7177" t="str">
        <f>"0611835922100"</f>
        <v>0611835922100</v>
      </c>
      <c r="B7177" t="str">
        <f>"LL2133"</f>
        <v>LL2133</v>
      </c>
      <c r="C7177" t="s">
        <v>41167</v>
      </c>
      <c r="D7177" t="s">
        <v>27245</v>
      </c>
      <c r="E7177" t="str">
        <f t="shared" si="112"/>
        <v>001390</v>
      </c>
      <c r="F7177" t="s">
        <v>27246</v>
      </c>
      <c r="G7177" t="s">
        <v>27247</v>
      </c>
      <c r="H7177" t="s">
        <v>27248</v>
      </c>
      <c r="I7177" t="s">
        <v>41168</v>
      </c>
      <c r="J7177" t="s">
        <v>14243</v>
      </c>
      <c r="L7177" t="s">
        <v>27250</v>
      </c>
      <c r="M7177" t="s">
        <v>27251</v>
      </c>
      <c r="N7177" t="s">
        <v>27252</v>
      </c>
      <c r="Q7177" s="1">
        <v>44538</v>
      </c>
      <c r="R7177" t="s">
        <v>27253</v>
      </c>
      <c r="S7177" t="s">
        <v>27254</v>
      </c>
      <c r="T7177" t="s">
        <v>27255</v>
      </c>
    </row>
    <row r="7178" spans="1:20" x14ac:dyDescent="0.3">
      <c r="A7178" t="str">
        <f>"0611835923100"</f>
        <v>0611835923100</v>
      </c>
      <c r="B7178" t="str">
        <f>"LL2131"</f>
        <v>LL2131</v>
      </c>
      <c r="C7178" t="s">
        <v>41169</v>
      </c>
      <c r="D7178" t="s">
        <v>27245</v>
      </c>
      <c r="E7178" t="str">
        <f t="shared" si="112"/>
        <v>001390</v>
      </c>
      <c r="F7178" t="s">
        <v>27246</v>
      </c>
      <c r="G7178" t="s">
        <v>27247</v>
      </c>
      <c r="H7178" t="s">
        <v>27248</v>
      </c>
      <c r="I7178" t="s">
        <v>41170</v>
      </c>
      <c r="J7178" t="s">
        <v>14245</v>
      </c>
      <c r="L7178" t="s">
        <v>27250</v>
      </c>
      <c r="M7178" t="s">
        <v>27251</v>
      </c>
      <c r="N7178" t="s">
        <v>27252</v>
      </c>
      <c r="Q7178" s="1">
        <v>44538</v>
      </c>
      <c r="R7178" t="s">
        <v>27253</v>
      </c>
      <c r="S7178" t="s">
        <v>27254</v>
      </c>
      <c r="T7178" t="s">
        <v>27255</v>
      </c>
    </row>
    <row r="7179" spans="1:20" x14ac:dyDescent="0.3">
      <c r="A7179" t="str">
        <f>"0611835924100"</f>
        <v>0611835924100</v>
      </c>
      <c r="B7179" t="str">
        <f>"LL8194"</f>
        <v>LL8194</v>
      </c>
      <c r="C7179" t="s">
        <v>41171</v>
      </c>
      <c r="D7179" t="s">
        <v>27245</v>
      </c>
      <c r="E7179" t="str">
        <f t="shared" si="112"/>
        <v>001390</v>
      </c>
      <c r="F7179" t="s">
        <v>27246</v>
      </c>
      <c r="G7179" t="s">
        <v>27247</v>
      </c>
      <c r="H7179" t="s">
        <v>27248</v>
      </c>
      <c r="I7179" t="s">
        <v>41172</v>
      </c>
      <c r="J7179" t="s">
        <v>14247</v>
      </c>
      <c r="L7179" t="s">
        <v>27250</v>
      </c>
      <c r="M7179" t="s">
        <v>27251</v>
      </c>
      <c r="N7179" t="s">
        <v>27252</v>
      </c>
      <c r="Q7179" s="1">
        <v>44538</v>
      </c>
      <c r="R7179" t="s">
        <v>27253</v>
      </c>
      <c r="S7179" t="s">
        <v>27254</v>
      </c>
      <c r="T7179" t="s">
        <v>27255</v>
      </c>
    </row>
    <row r="7180" spans="1:20" x14ac:dyDescent="0.3">
      <c r="A7180" t="str">
        <f>"0611835925100"</f>
        <v>0611835925100</v>
      </c>
      <c r="B7180" t="str">
        <f>"LL2135"</f>
        <v>LL2135</v>
      </c>
      <c r="C7180" t="s">
        <v>41173</v>
      </c>
      <c r="D7180" t="s">
        <v>27245</v>
      </c>
      <c r="E7180" t="str">
        <f t="shared" si="112"/>
        <v>001390</v>
      </c>
      <c r="F7180" t="s">
        <v>27246</v>
      </c>
      <c r="G7180" t="s">
        <v>27247</v>
      </c>
      <c r="H7180" t="s">
        <v>27248</v>
      </c>
      <c r="I7180" t="s">
        <v>41174</v>
      </c>
      <c r="J7180" t="s">
        <v>14249</v>
      </c>
      <c r="L7180" t="s">
        <v>27250</v>
      </c>
      <c r="M7180" t="s">
        <v>27251</v>
      </c>
      <c r="N7180" t="s">
        <v>27252</v>
      </c>
      <c r="Q7180" s="1">
        <v>44538</v>
      </c>
      <c r="R7180" t="s">
        <v>27253</v>
      </c>
      <c r="S7180" t="s">
        <v>27254</v>
      </c>
      <c r="T7180" t="s">
        <v>27255</v>
      </c>
    </row>
    <row r="7181" spans="1:20" x14ac:dyDescent="0.3">
      <c r="A7181" t="str">
        <f>"0611835926100"</f>
        <v>0611835926100</v>
      </c>
      <c r="B7181" t="str">
        <f>"LL2139"</f>
        <v>LL2139</v>
      </c>
      <c r="C7181" t="s">
        <v>41175</v>
      </c>
      <c r="D7181" t="s">
        <v>27245</v>
      </c>
      <c r="E7181" t="str">
        <f t="shared" si="112"/>
        <v>001390</v>
      </c>
      <c r="F7181" t="s">
        <v>27246</v>
      </c>
      <c r="G7181" t="s">
        <v>27247</v>
      </c>
      <c r="H7181" t="s">
        <v>27248</v>
      </c>
      <c r="I7181" t="s">
        <v>41176</v>
      </c>
      <c r="J7181" t="s">
        <v>14251</v>
      </c>
      <c r="L7181" t="s">
        <v>27250</v>
      </c>
      <c r="M7181" t="s">
        <v>27251</v>
      </c>
      <c r="N7181" t="s">
        <v>27252</v>
      </c>
      <c r="Q7181" s="1">
        <v>44538</v>
      </c>
      <c r="R7181" t="s">
        <v>27253</v>
      </c>
      <c r="S7181" t="s">
        <v>27254</v>
      </c>
      <c r="T7181" t="s">
        <v>27255</v>
      </c>
    </row>
    <row r="7182" spans="1:20" x14ac:dyDescent="0.3">
      <c r="A7182" t="str">
        <f>"0611835927100"</f>
        <v>0611835927100</v>
      </c>
      <c r="B7182" t="str">
        <f>"LL2137"</f>
        <v>LL2137</v>
      </c>
      <c r="C7182" t="s">
        <v>41177</v>
      </c>
      <c r="D7182" t="s">
        <v>27245</v>
      </c>
      <c r="E7182" t="str">
        <f t="shared" si="112"/>
        <v>001390</v>
      </c>
      <c r="F7182" t="s">
        <v>27246</v>
      </c>
      <c r="G7182" t="s">
        <v>27247</v>
      </c>
      <c r="H7182" t="s">
        <v>27248</v>
      </c>
      <c r="I7182" t="s">
        <v>41178</v>
      </c>
      <c r="J7182" t="s">
        <v>14253</v>
      </c>
      <c r="L7182" t="s">
        <v>27250</v>
      </c>
      <c r="M7182" t="s">
        <v>27251</v>
      </c>
      <c r="N7182" t="s">
        <v>27252</v>
      </c>
      <c r="Q7182" s="1">
        <v>44538</v>
      </c>
      <c r="R7182" t="s">
        <v>27253</v>
      </c>
      <c r="S7182" t="s">
        <v>27254</v>
      </c>
      <c r="T7182" t="s">
        <v>27255</v>
      </c>
    </row>
    <row r="7183" spans="1:20" x14ac:dyDescent="0.3">
      <c r="A7183" t="str">
        <f>"0611835928100"</f>
        <v>0611835928100</v>
      </c>
      <c r="B7183" t="str">
        <f>"LL2143"</f>
        <v>LL2143</v>
      </c>
      <c r="C7183" t="s">
        <v>41179</v>
      </c>
      <c r="D7183" t="s">
        <v>27245</v>
      </c>
      <c r="E7183" t="str">
        <f t="shared" si="112"/>
        <v>001390</v>
      </c>
      <c r="F7183" t="s">
        <v>27246</v>
      </c>
      <c r="G7183" t="s">
        <v>27247</v>
      </c>
      <c r="H7183" t="s">
        <v>27248</v>
      </c>
      <c r="I7183" t="s">
        <v>41180</v>
      </c>
      <c r="J7183" t="s">
        <v>14255</v>
      </c>
      <c r="L7183" t="s">
        <v>27250</v>
      </c>
      <c r="M7183" t="s">
        <v>27251</v>
      </c>
      <c r="N7183" t="s">
        <v>27252</v>
      </c>
      <c r="Q7183" s="1">
        <v>44538</v>
      </c>
      <c r="R7183" t="s">
        <v>27253</v>
      </c>
      <c r="S7183" t="s">
        <v>27254</v>
      </c>
      <c r="T7183" t="s">
        <v>27255</v>
      </c>
    </row>
    <row r="7184" spans="1:20" x14ac:dyDescent="0.3">
      <c r="A7184" t="str">
        <f>"0611835929100"</f>
        <v>0611835929100</v>
      </c>
      <c r="B7184" t="str">
        <f>"LL2145"</f>
        <v>LL2145</v>
      </c>
      <c r="C7184" t="s">
        <v>41181</v>
      </c>
      <c r="D7184" t="s">
        <v>27245</v>
      </c>
      <c r="E7184" t="str">
        <f t="shared" si="112"/>
        <v>001390</v>
      </c>
      <c r="F7184" t="s">
        <v>27246</v>
      </c>
      <c r="G7184" t="s">
        <v>27247</v>
      </c>
      <c r="H7184" t="s">
        <v>27248</v>
      </c>
      <c r="I7184" t="s">
        <v>41182</v>
      </c>
      <c r="J7184" t="s">
        <v>14257</v>
      </c>
      <c r="L7184" t="s">
        <v>27250</v>
      </c>
      <c r="M7184" t="s">
        <v>27251</v>
      </c>
      <c r="N7184" t="s">
        <v>27252</v>
      </c>
      <c r="Q7184" s="1">
        <v>44538</v>
      </c>
      <c r="R7184" t="s">
        <v>27253</v>
      </c>
      <c r="S7184" t="s">
        <v>27254</v>
      </c>
      <c r="T7184" t="s">
        <v>27255</v>
      </c>
    </row>
    <row r="7185" spans="1:20" x14ac:dyDescent="0.3">
      <c r="A7185" t="str">
        <f>"0611835930100"</f>
        <v>0611835930100</v>
      </c>
      <c r="B7185" t="str">
        <f>"LL2141"</f>
        <v>LL2141</v>
      </c>
      <c r="C7185" t="s">
        <v>41183</v>
      </c>
      <c r="D7185" t="s">
        <v>27245</v>
      </c>
      <c r="E7185" t="str">
        <f t="shared" si="112"/>
        <v>001390</v>
      </c>
      <c r="F7185" t="s">
        <v>27246</v>
      </c>
      <c r="G7185" t="s">
        <v>27247</v>
      </c>
      <c r="H7185" t="s">
        <v>27248</v>
      </c>
      <c r="I7185" t="s">
        <v>41184</v>
      </c>
      <c r="J7185" t="s">
        <v>14259</v>
      </c>
      <c r="L7185" t="s">
        <v>27250</v>
      </c>
      <c r="M7185" t="s">
        <v>27251</v>
      </c>
      <c r="N7185" t="s">
        <v>27252</v>
      </c>
      <c r="Q7185" s="1">
        <v>44538</v>
      </c>
      <c r="R7185" t="s">
        <v>27253</v>
      </c>
      <c r="S7185" t="s">
        <v>27254</v>
      </c>
      <c r="T7185" t="s">
        <v>27255</v>
      </c>
    </row>
    <row r="7186" spans="1:20" x14ac:dyDescent="0.3">
      <c r="A7186" t="str">
        <f>"0611835931100"</f>
        <v>0611835931100</v>
      </c>
      <c r="B7186" t="str">
        <f>"LL2146"</f>
        <v>LL2146</v>
      </c>
      <c r="C7186" t="s">
        <v>41185</v>
      </c>
      <c r="D7186" t="s">
        <v>27245</v>
      </c>
      <c r="E7186" t="str">
        <f t="shared" si="112"/>
        <v>001390</v>
      </c>
      <c r="F7186" t="s">
        <v>27246</v>
      </c>
      <c r="G7186" t="s">
        <v>27247</v>
      </c>
      <c r="H7186" t="s">
        <v>27248</v>
      </c>
      <c r="I7186" t="s">
        <v>41186</v>
      </c>
      <c r="J7186" t="s">
        <v>14261</v>
      </c>
      <c r="L7186" t="s">
        <v>27250</v>
      </c>
      <c r="M7186" t="s">
        <v>27251</v>
      </c>
      <c r="N7186" t="s">
        <v>27252</v>
      </c>
      <c r="Q7186" s="1">
        <v>44538</v>
      </c>
      <c r="R7186" t="s">
        <v>27253</v>
      </c>
      <c r="S7186" t="s">
        <v>27254</v>
      </c>
      <c r="T7186" t="s">
        <v>27255</v>
      </c>
    </row>
    <row r="7187" spans="1:20" x14ac:dyDescent="0.3">
      <c r="A7187" t="str">
        <f>"0611835932100"</f>
        <v>0611835932100</v>
      </c>
      <c r="B7187" t="str">
        <f>"LL2147"</f>
        <v>LL2147</v>
      </c>
      <c r="C7187" t="s">
        <v>41187</v>
      </c>
      <c r="D7187" t="s">
        <v>27245</v>
      </c>
      <c r="E7187" t="str">
        <f t="shared" si="112"/>
        <v>001390</v>
      </c>
      <c r="F7187" t="s">
        <v>27246</v>
      </c>
      <c r="G7187" t="s">
        <v>27247</v>
      </c>
      <c r="H7187" t="s">
        <v>27248</v>
      </c>
      <c r="I7187" t="s">
        <v>41188</v>
      </c>
      <c r="J7187" t="s">
        <v>14263</v>
      </c>
      <c r="L7187" t="s">
        <v>27250</v>
      </c>
      <c r="M7187" t="s">
        <v>27251</v>
      </c>
      <c r="N7187" t="s">
        <v>27252</v>
      </c>
      <c r="Q7187" s="1">
        <v>44538</v>
      </c>
      <c r="R7187" t="s">
        <v>27253</v>
      </c>
      <c r="S7187" t="s">
        <v>27254</v>
      </c>
      <c r="T7187" t="s">
        <v>27255</v>
      </c>
    </row>
    <row r="7188" spans="1:20" x14ac:dyDescent="0.3">
      <c r="A7188" t="str">
        <f>"0611835933100"</f>
        <v>0611835933100</v>
      </c>
      <c r="B7188" t="str">
        <f>"LL2150"</f>
        <v>LL2150</v>
      </c>
      <c r="C7188" t="s">
        <v>41189</v>
      </c>
      <c r="D7188" t="s">
        <v>27245</v>
      </c>
      <c r="E7188" t="str">
        <f t="shared" si="112"/>
        <v>001390</v>
      </c>
      <c r="F7188" t="s">
        <v>27246</v>
      </c>
      <c r="G7188" t="s">
        <v>27247</v>
      </c>
      <c r="H7188" t="s">
        <v>27248</v>
      </c>
      <c r="I7188" t="s">
        <v>41190</v>
      </c>
      <c r="J7188" t="s">
        <v>14265</v>
      </c>
      <c r="L7188" t="s">
        <v>27250</v>
      </c>
      <c r="M7188" t="s">
        <v>27251</v>
      </c>
      <c r="N7188" t="s">
        <v>27252</v>
      </c>
      <c r="Q7188" s="1">
        <v>44538</v>
      </c>
      <c r="R7188" t="s">
        <v>27253</v>
      </c>
      <c r="S7188" t="s">
        <v>27254</v>
      </c>
      <c r="T7188" t="s">
        <v>27255</v>
      </c>
    </row>
    <row r="7189" spans="1:20" x14ac:dyDescent="0.3">
      <c r="A7189" t="str">
        <f>"0611835934100"</f>
        <v>0611835934100</v>
      </c>
      <c r="B7189" t="str">
        <f>"LL2152"</f>
        <v>LL2152</v>
      </c>
      <c r="C7189" t="s">
        <v>41191</v>
      </c>
      <c r="D7189" t="s">
        <v>27245</v>
      </c>
      <c r="E7189" t="str">
        <f t="shared" si="112"/>
        <v>001390</v>
      </c>
      <c r="F7189" t="s">
        <v>27246</v>
      </c>
      <c r="G7189" t="s">
        <v>27247</v>
      </c>
      <c r="H7189" t="s">
        <v>27248</v>
      </c>
      <c r="I7189" t="s">
        <v>41192</v>
      </c>
      <c r="J7189" t="s">
        <v>14267</v>
      </c>
      <c r="L7189" t="s">
        <v>27250</v>
      </c>
      <c r="M7189" t="s">
        <v>27251</v>
      </c>
      <c r="N7189" t="s">
        <v>27252</v>
      </c>
      <c r="Q7189" s="1">
        <v>44538</v>
      </c>
      <c r="R7189" t="s">
        <v>27253</v>
      </c>
      <c r="S7189" t="s">
        <v>27254</v>
      </c>
      <c r="T7189" t="s">
        <v>27255</v>
      </c>
    </row>
    <row r="7190" spans="1:20" x14ac:dyDescent="0.3">
      <c r="A7190" t="str">
        <f>"0611835935100"</f>
        <v>0611835935100</v>
      </c>
      <c r="B7190" t="str">
        <f>"LL2154"</f>
        <v>LL2154</v>
      </c>
      <c r="C7190" t="s">
        <v>41193</v>
      </c>
      <c r="D7190" t="s">
        <v>27245</v>
      </c>
      <c r="E7190" t="str">
        <f t="shared" si="112"/>
        <v>001390</v>
      </c>
      <c r="F7190" t="s">
        <v>27246</v>
      </c>
      <c r="G7190" t="s">
        <v>27247</v>
      </c>
      <c r="H7190" t="s">
        <v>27248</v>
      </c>
      <c r="I7190" t="s">
        <v>41194</v>
      </c>
      <c r="J7190" t="s">
        <v>14269</v>
      </c>
      <c r="L7190" t="s">
        <v>27250</v>
      </c>
      <c r="M7190" t="s">
        <v>27251</v>
      </c>
      <c r="N7190" t="s">
        <v>27252</v>
      </c>
      <c r="Q7190" s="1">
        <v>44538</v>
      </c>
      <c r="R7190" t="s">
        <v>27253</v>
      </c>
      <c r="S7190" t="s">
        <v>27254</v>
      </c>
      <c r="T7190" t="s">
        <v>27255</v>
      </c>
    </row>
    <row r="7191" spans="1:20" x14ac:dyDescent="0.3">
      <c r="A7191" t="str">
        <f>"0611835936100"</f>
        <v>0611835936100</v>
      </c>
      <c r="B7191" t="str">
        <f>"LL2149"</f>
        <v>LL2149</v>
      </c>
      <c r="C7191" t="s">
        <v>41195</v>
      </c>
      <c r="D7191" t="s">
        <v>27245</v>
      </c>
      <c r="E7191" t="str">
        <f t="shared" si="112"/>
        <v>001390</v>
      </c>
      <c r="F7191" t="s">
        <v>27246</v>
      </c>
      <c r="G7191" t="s">
        <v>27247</v>
      </c>
      <c r="H7191" t="s">
        <v>27248</v>
      </c>
      <c r="I7191" t="s">
        <v>41196</v>
      </c>
      <c r="J7191" t="s">
        <v>14271</v>
      </c>
      <c r="L7191" t="s">
        <v>27250</v>
      </c>
      <c r="M7191" t="s">
        <v>27251</v>
      </c>
      <c r="N7191" t="s">
        <v>27252</v>
      </c>
      <c r="Q7191" s="1">
        <v>44538</v>
      </c>
      <c r="R7191" t="s">
        <v>27253</v>
      </c>
      <c r="S7191" t="s">
        <v>27254</v>
      </c>
      <c r="T7191" t="s">
        <v>27255</v>
      </c>
    </row>
    <row r="7192" spans="1:20" x14ac:dyDescent="0.3">
      <c r="A7192" t="str">
        <f>"0611835937100"</f>
        <v>0611835937100</v>
      </c>
      <c r="B7192" t="str">
        <f>"LL0121"</f>
        <v>LL0121</v>
      </c>
      <c r="C7192" t="s">
        <v>41197</v>
      </c>
      <c r="D7192" t="s">
        <v>27245</v>
      </c>
      <c r="E7192" t="str">
        <f t="shared" si="112"/>
        <v>001390</v>
      </c>
      <c r="F7192" t="s">
        <v>27246</v>
      </c>
      <c r="G7192" t="s">
        <v>27247</v>
      </c>
      <c r="H7192" t="s">
        <v>27248</v>
      </c>
      <c r="I7192" t="s">
        <v>41198</v>
      </c>
      <c r="J7192" t="s">
        <v>14273</v>
      </c>
      <c r="L7192" t="s">
        <v>27250</v>
      </c>
      <c r="M7192" t="s">
        <v>27251</v>
      </c>
      <c r="N7192" t="s">
        <v>27252</v>
      </c>
      <c r="Q7192" s="1">
        <v>44538</v>
      </c>
      <c r="R7192" t="s">
        <v>27253</v>
      </c>
      <c r="S7192" t="s">
        <v>27254</v>
      </c>
      <c r="T7192" t="s">
        <v>27255</v>
      </c>
    </row>
    <row r="7193" spans="1:20" x14ac:dyDescent="0.3">
      <c r="A7193" t="str">
        <f>"0611835938100"</f>
        <v>0611835938100</v>
      </c>
      <c r="B7193" t="str">
        <f>"LL2156"</f>
        <v>LL2156</v>
      </c>
      <c r="C7193" t="s">
        <v>41199</v>
      </c>
      <c r="D7193" t="s">
        <v>27245</v>
      </c>
      <c r="E7193" t="str">
        <f t="shared" si="112"/>
        <v>001390</v>
      </c>
      <c r="F7193" t="s">
        <v>27246</v>
      </c>
      <c r="G7193" t="s">
        <v>27247</v>
      </c>
      <c r="H7193" t="s">
        <v>27248</v>
      </c>
      <c r="I7193" t="s">
        <v>41200</v>
      </c>
      <c r="J7193" t="s">
        <v>14275</v>
      </c>
      <c r="L7193" t="s">
        <v>27250</v>
      </c>
      <c r="M7193" t="s">
        <v>27251</v>
      </c>
      <c r="N7193" t="s">
        <v>27252</v>
      </c>
      <c r="Q7193" s="1">
        <v>44538</v>
      </c>
      <c r="R7193" t="s">
        <v>27253</v>
      </c>
      <c r="S7193" t="s">
        <v>27254</v>
      </c>
      <c r="T7193" t="s">
        <v>27255</v>
      </c>
    </row>
    <row r="7194" spans="1:20" x14ac:dyDescent="0.3">
      <c r="A7194" t="str">
        <f>"0611835939100"</f>
        <v>0611835939100</v>
      </c>
      <c r="B7194" t="str">
        <f>"LL2161"</f>
        <v>LL2161</v>
      </c>
      <c r="C7194" t="s">
        <v>41201</v>
      </c>
      <c r="D7194" t="s">
        <v>27245</v>
      </c>
      <c r="E7194" t="str">
        <f t="shared" si="112"/>
        <v>001390</v>
      </c>
      <c r="F7194" t="s">
        <v>27246</v>
      </c>
      <c r="G7194" t="s">
        <v>27247</v>
      </c>
      <c r="H7194" t="s">
        <v>27248</v>
      </c>
      <c r="I7194" t="s">
        <v>41202</v>
      </c>
      <c r="J7194" t="s">
        <v>14277</v>
      </c>
      <c r="L7194" t="s">
        <v>27250</v>
      </c>
      <c r="M7194" t="s">
        <v>27251</v>
      </c>
      <c r="N7194" t="s">
        <v>27252</v>
      </c>
      <c r="Q7194" s="1">
        <v>44538</v>
      </c>
      <c r="R7194" t="s">
        <v>27253</v>
      </c>
      <c r="S7194" t="s">
        <v>27254</v>
      </c>
      <c r="T7194" t="s">
        <v>27255</v>
      </c>
    </row>
    <row r="7195" spans="1:20" x14ac:dyDescent="0.3">
      <c r="A7195" t="str">
        <f>"0611835940100"</f>
        <v>0611835940100</v>
      </c>
      <c r="B7195" t="str">
        <f>"LL2160"</f>
        <v>LL2160</v>
      </c>
      <c r="C7195" t="s">
        <v>41203</v>
      </c>
      <c r="D7195" t="s">
        <v>27245</v>
      </c>
      <c r="E7195" t="str">
        <f t="shared" si="112"/>
        <v>001390</v>
      </c>
      <c r="F7195" t="s">
        <v>27246</v>
      </c>
      <c r="G7195" t="s">
        <v>27247</v>
      </c>
      <c r="H7195" t="s">
        <v>27248</v>
      </c>
      <c r="I7195" t="s">
        <v>41204</v>
      </c>
      <c r="J7195" t="s">
        <v>14279</v>
      </c>
      <c r="L7195" t="s">
        <v>27250</v>
      </c>
      <c r="M7195" t="s">
        <v>27251</v>
      </c>
      <c r="N7195" t="s">
        <v>27252</v>
      </c>
      <c r="Q7195" s="1">
        <v>44538</v>
      </c>
      <c r="R7195" t="s">
        <v>27253</v>
      </c>
      <c r="S7195" t="s">
        <v>27254</v>
      </c>
      <c r="T7195" t="s">
        <v>27255</v>
      </c>
    </row>
    <row r="7196" spans="1:20" x14ac:dyDescent="0.3">
      <c r="A7196" t="str">
        <f>"0611835941100"</f>
        <v>0611835941100</v>
      </c>
      <c r="B7196" t="str">
        <f>"LL4017"</f>
        <v>LL4017</v>
      </c>
      <c r="C7196" t="s">
        <v>41205</v>
      </c>
      <c r="D7196" t="s">
        <v>27245</v>
      </c>
      <c r="E7196" t="str">
        <f t="shared" si="112"/>
        <v>001390</v>
      </c>
      <c r="F7196" t="s">
        <v>27246</v>
      </c>
      <c r="G7196" t="s">
        <v>27247</v>
      </c>
      <c r="H7196" t="s">
        <v>27248</v>
      </c>
      <c r="I7196" t="s">
        <v>41206</v>
      </c>
      <c r="J7196" t="s">
        <v>14281</v>
      </c>
      <c r="L7196" t="s">
        <v>27250</v>
      </c>
      <c r="M7196" t="s">
        <v>27251</v>
      </c>
      <c r="N7196" t="s">
        <v>27252</v>
      </c>
      <c r="Q7196" s="1">
        <v>44538</v>
      </c>
      <c r="R7196" t="s">
        <v>27253</v>
      </c>
      <c r="S7196" t="s">
        <v>27254</v>
      </c>
      <c r="T7196" t="s">
        <v>27255</v>
      </c>
    </row>
    <row r="7197" spans="1:20" x14ac:dyDescent="0.3">
      <c r="A7197" t="str">
        <f>"0611835942100"</f>
        <v>0611835942100</v>
      </c>
      <c r="B7197" t="str">
        <f>"LL2144"</f>
        <v>LL2144</v>
      </c>
      <c r="C7197" t="s">
        <v>41207</v>
      </c>
      <c r="D7197" t="s">
        <v>27245</v>
      </c>
      <c r="E7197" t="str">
        <f t="shared" si="112"/>
        <v>001390</v>
      </c>
      <c r="F7197" t="s">
        <v>27246</v>
      </c>
      <c r="G7197" t="s">
        <v>27247</v>
      </c>
      <c r="H7197" t="s">
        <v>27248</v>
      </c>
      <c r="I7197" t="s">
        <v>41208</v>
      </c>
      <c r="J7197" t="s">
        <v>14283</v>
      </c>
      <c r="L7197" t="s">
        <v>27250</v>
      </c>
      <c r="M7197" t="s">
        <v>27251</v>
      </c>
      <c r="N7197" t="s">
        <v>27252</v>
      </c>
      <c r="Q7197" s="1">
        <v>44538</v>
      </c>
      <c r="R7197" t="s">
        <v>27253</v>
      </c>
      <c r="S7197" t="s">
        <v>27254</v>
      </c>
      <c r="T7197" t="s">
        <v>27255</v>
      </c>
    </row>
    <row r="7198" spans="1:20" x14ac:dyDescent="0.3">
      <c r="A7198" t="str">
        <f>"0611835943100"</f>
        <v>0611835943100</v>
      </c>
      <c r="B7198" t="str">
        <f>"LL2155"</f>
        <v>LL2155</v>
      </c>
      <c r="C7198" t="s">
        <v>41209</v>
      </c>
      <c r="D7198" t="s">
        <v>27245</v>
      </c>
      <c r="E7198" t="str">
        <f t="shared" si="112"/>
        <v>001390</v>
      </c>
      <c r="F7198" t="s">
        <v>27246</v>
      </c>
      <c r="G7198" t="s">
        <v>27247</v>
      </c>
      <c r="H7198" t="s">
        <v>27248</v>
      </c>
      <c r="I7198" t="s">
        <v>41210</v>
      </c>
      <c r="J7198" t="s">
        <v>14285</v>
      </c>
      <c r="L7198" t="s">
        <v>27250</v>
      </c>
      <c r="M7198" t="s">
        <v>27251</v>
      </c>
      <c r="N7198" t="s">
        <v>27252</v>
      </c>
      <c r="Q7198" s="1">
        <v>44538</v>
      </c>
      <c r="R7198" t="s">
        <v>27253</v>
      </c>
      <c r="S7198" t="s">
        <v>27254</v>
      </c>
      <c r="T7198" t="s">
        <v>27255</v>
      </c>
    </row>
    <row r="7199" spans="1:20" x14ac:dyDescent="0.3">
      <c r="A7199" t="str">
        <f>"0611835944100"</f>
        <v>0611835944100</v>
      </c>
      <c r="B7199" t="str">
        <f>"LL2157"</f>
        <v>LL2157</v>
      </c>
      <c r="C7199" t="s">
        <v>41211</v>
      </c>
      <c r="D7199" t="s">
        <v>27245</v>
      </c>
      <c r="E7199" t="str">
        <f t="shared" si="112"/>
        <v>001390</v>
      </c>
      <c r="F7199" t="s">
        <v>27246</v>
      </c>
      <c r="G7199" t="s">
        <v>27247</v>
      </c>
      <c r="H7199" t="s">
        <v>27248</v>
      </c>
      <c r="I7199" t="s">
        <v>41212</v>
      </c>
      <c r="J7199" t="s">
        <v>14287</v>
      </c>
      <c r="L7199" t="s">
        <v>27250</v>
      </c>
      <c r="M7199" t="s">
        <v>27251</v>
      </c>
      <c r="N7199" t="s">
        <v>27252</v>
      </c>
      <c r="Q7199" s="1">
        <v>44538</v>
      </c>
      <c r="R7199" t="s">
        <v>27253</v>
      </c>
      <c r="S7199" t="s">
        <v>27254</v>
      </c>
      <c r="T7199" t="s">
        <v>27255</v>
      </c>
    </row>
    <row r="7200" spans="1:20" x14ac:dyDescent="0.3">
      <c r="A7200" t="str">
        <f>"0611835945200"</f>
        <v>0611835945200</v>
      </c>
      <c r="B7200" t="str">
        <f>"KY2157"</f>
        <v>KY2157</v>
      </c>
      <c r="C7200" t="s">
        <v>41211</v>
      </c>
      <c r="D7200" t="s">
        <v>27682</v>
      </c>
      <c r="E7200" t="str">
        <f t="shared" si="112"/>
        <v>001390</v>
      </c>
      <c r="F7200" t="s">
        <v>27246</v>
      </c>
      <c r="G7200" t="s">
        <v>27247</v>
      </c>
      <c r="H7200" t="s">
        <v>27248</v>
      </c>
      <c r="I7200" t="s">
        <v>41213</v>
      </c>
      <c r="J7200" t="s">
        <v>14289</v>
      </c>
      <c r="L7200" t="s">
        <v>27250</v>
      </c>
      <c r="M7200" t="s">
        <v>27251</v>
      </c>
      <c r="N7200" t="s">
        <v>27252</v>
      </c>
      <c r="Q7200" s="1">
        <v>44538</v>
      </c>
      <c r="R7200" t="s">
        <v>27253</v>
      </c>
      <c r="S7200" t="s">
        <v>27254</v>
      </c>
      <c r="T7200" t="s">
        <v>27684</v>
      </c>
    </row>
    <row r="7201" spans="1:20" x14ac:dyDescent="0.3">
      <c r="A7201" t="str">
        <f>"0611835946100"</f>
        <v>0611835946100</v>
      </c>
      <c r="B7201" t="str">
        <f>"LL2153"</f>
        <v>LL2153</v>
      </c>
      <c r="C7201" t="s">
        <v>41214</v>
      </c>
      <c r="D7201" t="s">
        <v>27245</v>
      </c>
      <c r="E7201" t="str">
        <f t="shared" si="112"/>
        <v>001390</v>
      </c>
      <c r="F7201" t="s">
        <v>27246</v>
      </c>
      <c r="G7201" t="s">
        <v>27247</v>
      </c>
      <c r="H7201" t="s">
        <v>27248</v>
      </c>
      <c r="I7201" t="s">
        <v>41215</v>
      </c>
      <c r="J7201" t="s">
        <v>14291</v>
      </c>
      <c r="L7201" t="s">
        <v>27250</v>
      </c>
      <c r="M7201" t="s">
        <v>27251</v>
      </c>
      <c r="N7201" t="s">
        <v>27252</v>
      </c>
      <c r="Q7201" s="1">
        <v>44538</v>
      </c>
      <c r="R7201" t="s">
        <v>27253</v>
      </c>
      <c r="S7201" t="s">
        <v>27254</v>
      </c>
      <c r="T7201" t="s">
        <v>27255</v>
      </c>
    </row>
    <row r="7202" spans="1:20" x14ac:dyDescent="0.3">
      <c r="A7202" t="str">
        <f>"0611835947100"</f>
        <v>0611835947100</v>
      </c>
      <c r="B7202" t="str">
        <f>"LL2167"</f>
        <v>LL2167</v>
      </c>
      <c r="C7202" t="s">
        <v>41216</v>
      </c>
      <c r="D7202" t="s">
        <v>27245</v>
      </c>
      <c r="E7202" t="str">
        <f t="shared" si="112"/>
        <v>001390</v>
      </c>
      <c r="F7202" t="s">
        <v>27246</v>
      </c>
      <c r="G7202" t="s">
        <v>27247</v>
      </c>
      <c r="H7202" t="s">
        <v>27248</v>
      </c>
      <c r="I7202" t="s">
        <v>41217</v>
      </c>
      <c r="J7202" t="s">
        <v>14293</v>
      </c>
      <c r="L7202" t="s">
        <v>27250</v>
      </c>
      <c r="M7202" t="s">
        <v>27251</v>
      </c>
      <c r="N7202" t="s">
        <v>27252</v>
      </c>
      <c r="Q7202" s="1">
        <v>44538</v>
      </c>
      <c r="R7202" t="s">
        <v>27253</v>
      </c>
      <c r="S7202" t="s">
        <v>27254</v>
      </c>
      <c r="T7202" t="s">
        <v>27255</v>
      </c>
    </row>
    <row r="7203" spans="1:20" x14ac:dyDescent="0.3">
      <c r="A7203" t="str">
        <f>"0611835948100"</f>
        <v>0611835948100</v>
      </c>
      <c r="B7203" t="str">
        <f>"LL2140"</f>
        <v>LL2140</v>
      </c>
      <c r="C7203" t="s">
        <v>41218</v>
      </c>
      <c r="D7203" t="s">
        <v>27245</v>
      </c>
      <c r="E7203" t="str">
        <f t="shared" si="112"/>
        <v>001390</v>
      </c>
      <c r="F7203" t="s">
        <v>27246</v>
      </c>
      <c r="G7203" t="s">
        <v>27247</v>
      </c>
      <c r="H7203" t="s">
        <v>27248</v>
      </c>
      <c r="I7203" t="s">
        <v>41219</v>
      </c>
      <c r="J7203" t="s">
        <v>14295</v>
      </c>
      <c r="L7203" t="s">
        <v>27250</v>
      </c>
      <c r="M7203" t="s">
        <v>27251</v>
      </c>
      <c r="N7203" t="s">
        <v>27252</v>
      </c>
      <c r="Q7203" s="1">
        <v>44538</v>
      </c>
      <c r="R7203" t="s">
        <v>27253</v>
      </c>
      <c r="S7203" t="s">
        <v>27254</v>
      </c>
      <c r="T7203" t="s">
        <v>27255</v>
      </c>
    </row>
    <row r="7204" spans="1:20" x14ac:dyDescent="0.3">
      <c r="A7204" t="str">
        <f>"0611835949100"</f>
        <v>0611835949100</v>
      </c>
      <c r="B7204" t="str">
        <f>"LL2159"</f>
        <v>LL2159</v>
      </c>
      <c r="C7204" t="s">
        <v>41220</v>
      </c>
      <c r="D7204" t="s">
        <v>27245</v>
      </c>
      <c r="E7204" t="str">
        <f t="shared" si="112"/>
        <v>001390</v>
      </c>
      <c r="F7204" t="s">
        <v>27246</v>
      </c>
      <c r="G7204" t="s">
        <v>27247</v>
      </c>
      <c r="H7204" t="s">
        <v>27248</v>
      </c>
      <c r="I7204" t="s">
        <v>41221</v>
      </c>
      <c r="J7204" t="s">
        <v>14297</v>
      </c>
      <c r="L7204" t="s">
        <v>27250</v>
      </c>
      <c r="M7204" t="s">
        <v>27251</v>
      </c>
      <c r="N7204" t="s">
        <v>27252</v>
      </c>
      <c r="Q7204" s="1">
        <v>44538</v>
      </c>
      <c r="R7204" t="s">
        <v>27253</v>
      </c>
      <c r="S7204" t="s">
        <v>27254</v>
      </c>
      <c r="T7204" t="s">
        <v>27255</v>
      </c>
    </row>
    <row r="7205" spans="1:20" x14ac:dyDescent="0.3">
      <c r="A7205" t="str">
        <f>"0611835950100"</f>
        <v>0611835950100</v>
      </c>
      <c r="B7205" t="str">
        <f>"LL2265"</f>
        <v>LL2265</v>
      </c>
      <c r="C7205" t="s">
        <v>41222</v>
      </c>
      <c r="D7205" t="s">
        <v>27245</v>
      </c>
      <c r="E7205" t="str">
        <f t="shared" si="112"/>
        <v>001390</v>
      </c>
      <c r="F7205" t="s">
        <v>27246</v>
      </c>
      <c r="G7205" t="s">
        <v>27247</v>
      </c>
      <c r="H7205" t="s">
        <v>27248</v>
      </c>
      <c r="I7205" t="s">
        <v>41223</v>
      </c>
      <c r="J7205" t="s">
        <v>14299</v>
      </c>
      <c r="L7205" t="s">
        <v>27250</v>
      </c>
      <c r="M7205" t="s">
        <v>27251</v>
      </c>
      <c r="N7205" t="s">
        <v>27252</v>
      </c>
      <c r="Q7205" s="1">
        <v>44538</v>
      </c>
      <c r="R7205" t="s">
        <v>27253</v>
      </c>
      <c r="S7205" t="s">
        <v>27254</v>
      </c>
      <c r="T7205" t="s">
        <v>27255</v>
      </c>
    </row>
    <row r="7206" spans="1:20" x14ac:dyDescent="0.3">
      <c r="A7206" t="str">
        <f>"0611835951100"</f>
        <v>0611835951100</v>
      </c>
      <c r="B7206" t="str">
        <f>"LL4822"</f>
        <v>LL4822</v>
      </c>
      <c r="C7206" t="s">
        <v>41224</v>
      </c>
      <c r="D7206" t="s">
        <v>27245</v>
      </c>
      <c r="E7206" t="str">
        <f t="shared" si="112"/>
        <v>001390</v>
      </c>
      <c r="F7206" t="s">
        <v>27246</v>
      </c>
      <c r="G7206" t="s">
        <v>27247</v>
      </c>
      <c r="H7206" t="s">
        <v>27248</v>
      </c>
      <c r="I7206" t="s">
        <v>41225</v>
      </c>
      <c r="J7206" t="s">
        <v>14301</v>
      </c>
      <c r="L7206" t="s">
        <v>27250</v>
      </c>
      <c r="M7206" t="s">
        <v>27251</v>
      </c>
      <c r="N7206" t="s">
        <v>27252</v>
      </c>
      <c r="Q7206" s="1">
        <v>44538</v>
      </c>
      <c r="R7206" t="s">
        <v>27253</v>
      </c>
      <c r="S7206" t="s">
        <v>27254</v>
      </c>
      <c r="T7206" t="s">
        <v>27255</v>
      </c>
    </row>
    <row r="7207" spans="1:20" x14ac:dyDescent="0.3">
      <c r="A7207" t="str">
        <f>"0611835952100"</f>
        <v>0611835952100</v>
      </c>
      <c r="B7207" t="str">
        <f>"LL2266"</f>
        <v>LL2266</v>
      </c>
      <c r="C7207" t="s">
        <v>41226</v>
      </c>
      <c r="D7207" t="s">
        <v>27245</v>
      </c>
      <c r="E7207" t="str">
        <f t="shared" si="112"/>
        <v>001390</v>
      </c>
      <c r="F7207" t="s">
        <v>27246</v>
      </c>
      <c r="G7207" t="s">
        <v>27247</v>
      </c>
      <c r="H7207" t="s">
        <v>27248</v>
      </c>
      <c r="I7207" t="s">
        <v>41227</v>
      </c>
      <c r="J7207" t="s">
        <v>14303</v>
      </c>
      <c r="L7207" t="s">
        <v>27250</v>
      </c>
      <c r="M7207" t="s">
        <v>27251</v>
      </c>
      <c r="N7207" t="s">
        <v>27252</v>
      </c>
      <c r="Q7207" s="1">
        <v>44538</v>
      </c>
      <c r="R7207" t="s">
        <v>27253</v>
      </c>
      <c r="S7207" t="s">
        <v>27254</v>
      </c>
      <c r="T7207" t="s">
        <v>27255</v>
      </c>
    </row>
    <row r="7208" spans="1:20" x14ac:dyDescent="0.3">
      <c r="A7208" t="str">
        <f>"0611835953100"</f>
        <v>0611835953100</v>
      </c>
      <c r="B7208" t="str">
        <f>"LL8140"</f>
        <v>LL8140</v>
      </c>
      <c r="C7208" t="s">
        <v>41228</v>
      </c>
      <c r="D7208" t="s">
        <v>27245</v>
      </c>
      <c r="E7208" t="str">
        <f t="shared" si="112"/>
        <v>001390</v>
      </c>
      <c r="F7208" t="s">
        <v>27246</v>
      </c>
      <c r="G7208" t="s">
        <v>27247</v>
      </c>
      <c r="H7208" t="s">
        <v>27248</v>
      </c>
      <c r="I7208" t="s">
        <v>41229</v>
      </c>
      <c r="J7208" t="s">
        <v>14305</v>
      </c>
      <c r="L7208" t="s">
        <v>27250</v>
      </c>
      <c r="M7208" t="s">
        <v>27251</v>
      </c>
      <c r="N7208" t="s">
        <v>27252</v>
      </c>
      <c r="Q7208" s="1">
        <v>44538</v>
      </c>
      <c r="R7208" t="s">
        <v>27253</v>
      </c>
      <c r="S7208" t="s">
        <v>27254</v>
      </c>
      <c r="T7208" t="s">
        <v>27255</v>
      </c>
    </row>
    <row r="7209" spans="1:20" x14ac:dyDescent="0.3">
      <c r="A7209" t="str">
        <f>"0611835956025"</f>
        <v>0611835956025</v>
      </c>
      <c r="B7209" t="str">
        <f>"MC3914"</f>
        <v>MC3914</v>
      </c>
      <c r="C7209" t="s">
        <v>41230</v>
      </c>
      <c r="D7209" t="s">
        <v>27267</v>
      </c>
      <c r="E7209" t="str">
        <f t="shared" si="112"/>
        <v>001390</v>
      </c>
      <c r="F7209" t="s">
        <v>27246</v>
      </c>
      <c r="G7209" t="s">
        <v>27247</v>
      </c>
      <c r="H7209" t="s">
        <v>27248</v>
      </c>
      <c r="I7209" t="s">
        <v>41231</v>
      </c>
      <c r="J7209" t="s">
        <v>14319</v>
      </c>
      <c r="L7209" t="s">
        <v>27250</v>
      </c>
      <c r="M7209" t="s">
        <v>27251</v>
      </c>
      <c r="N7209" t="s">
        <v>27252</v>
      </c>
      <c r="Q7209" s="1">
        <v>44538</v>
      </c>
      <c r="R7209" t="s">
        <v>27253</v>
      </c>
      <c r="S7209" t="s">
        <v>27254</v>
      </c>
      <c r="T7209" t="s">
        <v>27269</v>
      </c>
    </row>
    <row r="7210" spans="1:20" x14ac:dyDescent="0.3">
      <c r="A7210" t="str">
        <f>"0611835958100"</f>
        <v>0611835958100</v>
      </c>
      <c r="B7210" t="str">
        <f>"LL2158"</f>
        <v>LL2158</v>
      </c>
      <c r="C7210" t="s">
        <v>41232</v>
      </c>
      <c r="D7210" t="s">
        <v>27245</v>
      </c>
      <c r="E7210" t="str">
        <f t="shared" si="112"/>
        <v>001390</v>
      </c>
      <c r="F7210" t="s">
        <v>27246</v>
      </c>
      <c r="G7210" t="s">
        <v>27247</v>
      </c>
      <c r="H7210" t="s">
        <v>27248</v>
      </c>
      <c r="I7210" t="s">
        <v>41233</v>
      </c>
      <c r="J7210" t="s">
        <v>14323</v>
      </c>
      <c r="L7210" t="s">
        <v>27250</v>
      </c>
      <c r="M7210" t="s">
        <v>27251</v>
      </c>
      <c r="N7210" t="s">
        <v>27252</v>
      </c>
      <c r="Q7210" s="1">
        <v>44538</v>
      </c>
      <c r="R7210" t="s">
        <v>27253</v>
      </c>
      <c r="S7210" t="s">
        <v>27254</v>
      </c>
      <c r="T7210" t="s">
        <v>27255</v>
      </c>
    </row>
    <row r="7211" spans="1:20" x14ac:dyDescent="0.3">
      <c r="A7211" t="str">
        <f>"0611835959025"</f>
        <v>0611835959025</v>
      </c>
      <c r="B7211" t="str">
        <f>"MC3439"</f>
        <v>MC3439</v>
      </c>
      <c r="C7211" t="s">
        <v>41234</v>
      </c>
      <c r="D7211" t="s">
        <v>27267</v>
      </c>
      <c r="E7211" t="str">
        <f t="shared" si="112"/>
        <v>001390</v>
      </c>
      <c r="F7211" t="s">
        <v>27246</v>
      </c>
      <c r="G7211" t="s">
        <v>27247</v>
      </c>
      <c r="H7211" t="s">
        <v>27248</v>
      </c>
      <c r="I7211" t="s">
        <v>41235</v>
      </c>
      <c r="J7211" t="s">
        <v>14309</v>
      </c>
      <c r="L7211" t="s">
        <v>27250</v>
      </c>
      <c r="M7211" t="s">
        <v>27251</v>
      </c>
      <c r="N7211" t="s">
        <v>27252</v>
      </c>
      <c r="Q7211" s="1">
        <v>44538</v>
      </c>
      <c r="R7211" t="s">
        <v>27253</v>
      </c>
      <c r="S7211" t="s">
        <v>27254</v>
      </c>
      <c r="T7211" t="s">
        <v>27269</v>
      </c>
    </row>
    <row r="7212" spans="1:20" x14ac:dyDescent="0.3">
      <c r="A7212" t="str">
        <f>"0611835962100"</f>
        <v>0611835962100</v>
      </c>
      <c r="B7212" t="str">
        <f>"LL2275"</f>
        <v>LL2275</v>
      </c>
      <c r="C7212" t="s">
        <v>41236</v>
      </c>
      <c r="D7212" t="s">
        <v>27245</v>
      </c>
      <c r="E7212" t="str">
        <f t="shared" si="112"/>
        <v>001390</v>
      </c>
      <c r="F7212" t="s">
        <v>27246</v>
      </c>
      <c r="G7212" t="s">
        <v>27247</v>
      </c>
      <c r="H7212" t="s">
        <v>27248</v>
      </c>
      <c r="I7212" t="s">
        <v>41237</v>
      </c>
      <c r="J7212" t="s">
        <v>14325</v>
      </c>
      <c r="L7212" t="s">
        <v>27250</v>
      </c>
      <c r="M7212" t="s">
        <v>27251</v>
      </c>
      <c r="N7212" t="s">
        <v>27252</v>
      </c>
      <c r="Q7212" s="1">
        <v>44538</v>
      </c>
      <c r="R7212" t="s">
        <v>27253</v>
      </c>
      <c r="S7212" t="s">
        <v>27254</v>
      </c>
      <c r="T7212" t="s">
        <v>27255</v>
      </c>
    </row>
    <row r="7213" spans="1:20" x14ac:dyDescent="0.3">
      <c r="A7213" t="str">
        <f>"0611835963100"</f>
        <v>0611835963100</v>
      </c>
      <c r="B7213" t="str">
        <f>"LL2130"</f>
        <v>LL2130</v>
      </c>
      <c r="C7213" t="s">
        <v>41238</v>
      </c>
      <c r="D7213" t="s">
        <v>27245</v>
      </c>
      <c r="E7213" t="str">
        <f t="shared" si="112"/>
        <v>001390</v>
      </c>
      <c r="F7213" t="s">
        <v>27246</v>
      </c>
      <c r="G7213" t="s">
        <v>27247</v>
      </c>
      <c r="H7213" t="s">
        <v>27248</v>
      </c>
      <c r="I7213" t="s">
        <v>41239</v>
      </c>
      <c r="J7213" t="s">
        <v>14327</v>
      </c>
      <c r="L7213" t="s">
        <v>27250</v>
      </c>
      <c r="M7213" t="s">
        <v>27251</v>
      </c>
      <c r="N7213" t="s">
        <v>27252</v>
      </c>
      <c r="Q7213" s="1">
        <v>44538</v>
      </c>
      <c r="R7213" t="s">
        <v>27253</v>
      </c>
      <c r="S7213" t="s">
        <v>27254</v>
      </c>
      <c r="T7213" t="s">
        <v>27255</v>
      </c>
    </row>
    <row r="7214" spans="1:20" x14ac:dyDescent="0.3">
      <c r="A7214" t="str">
        <f>"0611835964100"</f>
        <v>0611835964100</v>
      </c>
      <c r="B7214" t="str">
        <f>"LL5014"</f>
        <v>LL5014</v>
      </c>
      <c r="C7214" t="s">
        <v>41240</v>
      </c>
      <c r="D7214" t="s">
        <v>27245</v>
      </c>
      <c r="E7214" t="str">
        <f t="shared" si="112"/>
        <v>001390</v>
      </c>
      <c r="F7214" t="s">
        <v>27246</v>
      </c>
      <c r="G7214" t="s">
        <v>27247</v>
      </c>
      <c r="H7214" t="s">
        <v>27248</v>
      </c>
      <c r="I7214" t="s">
        <v>41241</v>
      </c>
      <c r="J7214" t="s">
        <v>14329</v>
      </c>
      <c r="L7214" t="s">
        <v>27250</v>
      </c>
      <c r="M7214" t="s">
        <v>27251</v>
      </c>
      <c r="N7214" t="s">
        <v>27252</v>
      </c>
      <c r="Q7214" s="1">
        <v>44538</v>
      </c>
      <c r="R7214" t="s">
        <v>27253</v>
      </c>
      <c r="S7214" t="s">
        <v>27254</v>
      </c>
      <c r="T7214" t="s">
        <v>27255</v>
      </c>
    </row>
    <row r="7215" spans="1:20" x14ac:dyDescent="0.3">
      <c r="A7215" t="str">
        <f>"0611835965100"</f>
        <v>0611835965100</v>
      </c>
      <c r="B7215" t="str">
        <f>"LL2168"</f>
        <v>LL2168</v>
      </c>
      <c r="C7215" t="s">
        <v>41242</v>
      </c>
      <c r="D7215" t="s">
        <v>27245</v>
      </c>
      <c r="E7215" t="str">
        <f t="shared" si="112"/>
        <v>001390</v>
      </c>
      <c r="F7215" t="s">
        <v>27246</v>
      </c>
      <c r="G7215" t="s">
        <v>27247</v>
      </c>
      <c r="H7215" t="s">
        <v>27248</v>
      </c>
      <c r="I7215" t="s">
        <v>41243</v>
      </c>
      <c r="J7215" t="s">
        <v>14331</v>
      </c>
      <c r="L7215" t="s">
        <v>27250</v>
      </c>
      <c r="M7215" t="s">
        <v>27251</v>
      </c>
      <c r="N7215" t="s">
        <v>27252</v>
      </c>
      <c r="Q7215" s="1">
        <v>44538</v>
      </c>
      <c r="R7215" t="s">
        <v>27253</v>
      </c>
      <c r="S7215" t="s">
        <v>27254</v>
      </c>
      <c r="T7215" t="s">
        <v>27255</v>
      </c>
    </row>
    <row r="7216" spans="1:20" x14ac:dyDescent="0.3">
      <c r="A7216" t="str">
        <f>"0611836050025"</f>
        <v>0611836050025</v>
      </c>
      <c r="B7216" t="str">
        <f>"MQ6048"</f>
        <v>MQ6048</v>
      </c>
      <c r="C7216" t="s">
        <v>41244</v>
      </c>
      <c r="D7216" t="s">
        <v>27267</v>
      </c>
      <c r="E7216" t="str">
        <f t="shared" si="112"/>
        <v>001390</v>
      </c>
      <c r="F7216" t="s">
        <v>27246</v>
      </c>
      <c r="G7216" t="s">
        <v>27247</v>
      </c>
      <c r="H7216" t="s">
        <v>27248</v>
      </c>
      <c r="I7216" t="s">
        <v>41245</v>
      </c>
      <c r="J7216" t="s">
        <v>14333</v>
      </c>
      <c r="L7216" t="s">
        <v>27250</v>
      </c>
      <c r="M7216" t="s">
        <v>27251</v>
      </c>
      <c r="N7216" t="s">
        <v>27252</v>
      </c>
      <c r="Q7216" s="1">
        <v>44538</v>
      </c>
      <c r="R7216" t="s">
        <v>27253</v>
      </c>
      <c r="S7216" t="s">
        <v>27254</v>
      </c>
      <c r="T7216" t="s">
        <v>27269</v>
      </c>
    </row>
    <row r="7217" spans="1:20" x14ac:dyDescent="0.3">
      <c r="A7217" t="str">
        <f>"0611863192050"</f>
        <v>0611863192050</v>
      </c>
      <c r="B7217" t="str">
        <f>"CR3935"</f>
        <v>CR3935</v>
      </c>
      <c r="C7217" t="s">
        <v>41244</v>
      </c>
      <c r="D7217" t="s">
        <v>27263</v>
      </c>
      <c r="E7217" t="str">
        <f t="shared" si="112"/>
        <v>001390</v>
      </c>
      <c r="F7217" t="s">
        <v>27246</v>
      </c>
      <c r="G7217" t="s">
        <v>27247</v>
      </c>
      <c r="H7217" t="s">
        <v>27248</v>
      </c>
      <c r="I7217" t="s">
        <v>41246</v>
      </c>
      <c r="J7217" t="s">
        <v>14335</v>
      </c>
      <c r="L7217" t="s">
        <v>27250</v>
      </c>
      <c r="M7217" t="s">
        <v>27251</v>
      </c>
      <c r="N7217" t="s">
        <v>27252</v>
      </c>
      <c r="Q7217" s="1">
        <v>44846</v>
      </c>
      <c r="R7217" t="s">
        <v>27253</v>
      </c>
      <c r="S7217" t="s">
        <v>27254</v>
      </c>
      <c r="T7217" t="s">
        <v>27265</v>
      </c>
    </row>
    <row r="7218" spans="1:20" x14ac:dyDescent="0.3">
      <c r="A7218" t="str">
        <f>"0611836051100"</f>
        <v>0611836051100</v>
      </c>
      <c r="B7218" t="str">
        <f>"LH3120"</f>
        <v>LH3120</v>
      </c>
      <c r="C7218" t="s">
        <v>41247</v>
      </c>
      <c r="D7218" t="s">
        <v>27245</v>
      </c>
      <c r="E7218" t="str">
        <f t="shared" si="112"/>
        <v>001390</v>
      </c>
      <c r="F7218" t="s">
        <v>27246</v>
      </c>
      <c r="G7218" t="s">
        <v>27247</v>
      </c>
      <c r="H7218" t="s">
        <v>27248</v>
      </c>
      <c r="I7218" t="s">
        <v>41248</v>
      </c>
      <c r="J7218" t="s">
        <v>14337</v>
      </c>
      <c r="L7218" t="s">
        <v>27250</v>
      </c>
      <c r="M7218" t="s">
        <v>27251</v>
      </c>
      <c r="N7218" t="s">
        <v>27252</v>
      </c>
      <c r="Q7218" s="1">
        <v>44538</v>
      </c>
      <c r="R7218" t="s">
        <v>27253</v>
      </c>
      <c r="S7218" t="s">
        <v>27254</v>
      </c>
      <c r="T7218" t="s">
        <v>27255</v>
      </c>
    </row>
    <row r="7219" spans="1:20" x14ac:dyDescent="0.3">
      <c r="A7219" t="str">
        <f>"0611836052025"</f>
        <v>0611836052025</v>
      </c>
      <c r="B7219" t="str">
        <f>"MC0471"</f>
        <v>MC0471</v>
      </c>
      <c r="C7219" t="s">
        <v>41247</v>
      </c>
      <c r="D7219" t="s">
        <v>27267</v>
      </c>
      <c r="E7219" t="str">
        <f t="shared" si="112"/>
        <v>001390</v>
      </c>
      <c r="F7219" t="s">
        <v>27246</v>
      </c>
      <c r="G7219" t="s">
        <v>27247</v>
      </c>
      <c r="H7219" t="s">
        <v>27248</v>
      </c>
      <c r="I7219" t="s">
        <v>41249</v>
      </c>
      <c r="J7219" t="s">
        <v>14339</v>
      </c>
      <c r="L7219" t="s">
        <v>27250</v>
      </c>
      <c r="M7219" t="s">
        <v>27251</v>
      </c>
      <c r="N7219" t="s">
        <v>27252</v>
      </c>
      <c r="Q7219" s="1">
        <v>44538</v>
      </c>
      <c r="R7219" t="s">
        <v>27253</v>
      </c>
      <c r="S7219" t="s">
        <v>27254</v>
      </c>
      <c r="T7219" t="s">
        <v>27269</v>
      </c>
    </row>
    <row r="7220" spans="1:20" x14ac:dyDescent="0.3">
      <c r="A7220" t="str">
        <f>"0611836053025"</f>
        <v>0611836053025</v>
      </c>
      <c r="B7220" t="str">
        <f>"MQ0518"</f>
        <v>MQ0518</v>
      </c>
      <c r="C7220" t="s">
        <v>41250</v>
      </c>
      <c r="D7220" t="s">
        <v>27267</v>
      </c>
      <c r="E7220" t="str">
        <f t="shared" si="112"/>
        <v>001390</v>
      </c>
      <c r="F7220" t="s">
        <v>27246</v>
      </c>
      <c r="G7220" t="s">
        <v>27247</v>
      </c>
      <c r="H7220" t="s">
        <v>27248</v>
      </c>
      <c r="I7220" t="s">
        <v>41251</v>
      </c>
      <c r="J7220" t="s">
        <v>14341</v>
      </c>
      <c r="L7220" t="s">
        <v>27250</v>
      </c>
      <c r="M7220" t="s">
        <v>27251</v>
      </c>
      <c r="N7220" t="s">
        <v>27252</v>
      </c>
      <c r="Q7220" s="1">
        <v>44538</v>
      </c>
      <c r="R7220" t="s">
        <v>27253</v>
      </c>
      <c r="S7220" t="s">
        <v>27254</v>
      </c>
      <c r="T7220" t="s">
        <v>27269</v>
      </c>
    </row>
    <row r="7221" spans="1:20" x14ac:dyDescent="0.3">
      <c r="A7221" t="str">
        <f>"0611836054025"</f>
        <v>0611836054025</v>
      </c>
      <c r="B7221" t="str">
        <f>"MQ6049"</f>
        <v>MQ6049</v>
      </c>
      <c r="C7221" t="s">
        <v>41252</v>
      </c>
      <c r="D7221" t="s">
        <v>27267</v>
      </c>
      <c r="E7221" t="str">
        <f t="shared" si="112"/>
        <v>001390</v>
      </c>
      <c r="F7221" t="s">
        <v>27246</v>
      </c>
      <c r="G7221" t="s">
        <v>27247</v>
      </c>
      <c r="H7221" t="s">
        <v>27248</v>
      </c>
      <c r="I7221" t="s">
        <v>41253</v>
      </c>
      <c r="J7221" t="s">
        <v>14343</v>
      </c>
      <c r="L7221" t="s">
        <v>27250</v>
      </c>
      <c r="M7221" t="s">
        <v>27251</v>
      </c>
      <c r="N7221" t="s">
        <v>27252</v>
      </c>
      <c r="Q7221" s="1">
        <v>44538</v>
      </c>
      <c r="R7221" t="s">
        <v>27253</v>
      </c>
      <c r="S7221" t="s">
        <v>27254</v>
      </c>
      <c r="T7221" t="s">
        <v>27269</v>
      </c>
    </row>
    <row r="7222" spans="1:20" x14ac:dyDescent="0.3">
      <c r="A7222" t="str">
        <f>"0611836055025"</f>
        <v>0611836055025</v>
      </c>
      <c r="B7222" t="str">
        <f>"MQ0611"</f>
        <v>MQ0611</v>
      </c>
      <c r="C7222" t="s">
        <v>41254</v>
      </c>
      <c r="D7222" t="s">
        <v>27267</v>
      </c>
      <c r="E7222" t="str">
        <f t="shared" si="112"/>
        <v>001390</v>
      </c>
      <c r="F7222" t="s">
        <v>27246</v>
      </c>
      <c r="G7222" t="s">
        <v>27247</v>
      </c>
      <c r="H7222" t="s">
        <v>27248</v>
      </c>
      <c r="I7222" t="s">
        <v>41255</v>
      </c>
      <c r="J7222" t="s">
        <v>14345</v>
      </c>
      <c r="L7222" t="s">
        <v>27250</v>
      </c>
      <c r="M7222" t="s">
        <v>27251</v>
      </c>
      <c r="N7222" t="s">
        <v>27252</v>
      </c>
      <c r="Q7222" s="1">
        <v>44538</v>
      </c>
      <c r="R7222" t="s">
        <v>27253</v>
      </c>
      <c r="S7222" t="s">
        <v>27254</v>
      </c>
      <c r="T7222" t="s">
        <v>27269</v>
      </c>
    </row>
    <row r="7223" spans="1:20" x14ac:dyDescent="0.3">
      <c r="A7223" t="str">
        <f>"0611836056100"</f>
        <v>0611836056100</v>
      </c>
      <c r="B7223" t="str">
        <f>"LH3053"</f>
        <v>LH3053</v>
      </c>
      <c r="C7223" t="s">
        <v>41256</v>
      </c>
      <c r="D7223" t="s">
        <v>27245</v>
      </c>
      <c r="E7223" t="str">
        <f t="shared" si="112"/>
        <v>001390</v>
      </c>
      <c r="F7223" t="s">
        <v>27246</v>
      </c>
      <c r="G7223" t="s">
        <v>27247</v>
      </c>
      <c r="H7223" t="s">
        <v>27248</v>
      </c>
      <c r="I7223" t="s">
        <v>41257</v>
      </c>
      <c r="J7223" t="s">
        <v>14347</v>
      </c>
      <c r="L7223" t="s">
        <v>27250</v>
      </c>
      <c r="M7223" t="s">
        <v>27251</v>
      </c>
      <c r="N7223" t="s">
        <v>27252</v>
      </c>
      <c r="Q7223" s="1">
        <v>44538</v>
      </c>
      <c r="R7223" t="s">
        <v>27253</v>
      </c>
      <c r="S7223" t="s">
        <v>27254</v>
      </c>
      <c r="T7223" t="s">
        <v>27255</v>
      </c>
    </row>
    <row r="7224" spans="1:20" x14ac:dyDescent="0.3">
      <c r="A7224" t="str">
        <f>"0611836057025"</f>
        <v>0611836057025</v>
      </c>
      <c r="B7224" t="str">
        <f>"MC1469"</f>
        <v>MC1469</v>
      </c>
      <c r="C7224" t="s">
        <v>41256</v>
      </c>
      <c r="D7224" t="s">
        <v>27267</v>
      </c>
      <c r="E7224" t="str">
        <f t="shared" si="112"/>
        <v>001390</v>
      </c>
      <c r="F7224" t="s">
        <v>27246</v>
      </c>
      <c r="G7224" t="s">
        <v>27247</v>
      </c>
      <c r="H7224" t="s">
        <v>27248</v>
      </c>
      <c r="I7224" t="s">
        <v>41258</v>
      </c>
      <c r="J7224" t="s">
        <v>14349</v>
      </c>
      <c r="L7224" t="s">
        <v>27250</v>
      </c>
      <c r="M7224" t="s">
        <v>27251</v>
      </c>
      <c r="N7224" t="s">
        <v>27252</v>
      </c>
      <c r="Q7224" s="1">
        <v>44538</v>
      </c>
      <c r="R7224" t="s">
        <v>27253</v>
      </c>
      <c r="S7224" t="s">
        <v>27254</v>
      </c>
      <c r="T7224" t="s">
        <v>27269</v>
      </c>
    </row>
    <row r="7225" spans="1:20" x14ac:dyDescent="0.3">
      <c r="A7225" t="str">
        <f>"0611836058025"</f>
        <v>0611836058025</v>
      </c>
      <c r="B7225" t="str">
        <f>"MQ6050"</f>
        <v>MQ6050</v>
      </c>
      <c r="C7225" t="s">
        <v>41259</v>
      </c>
      <c r="D7225" t="s">
        <v>27267</v>
      </c>
      <c r="E7225" t="str">
        <f t="shared" si="112"/>
        <v>001390</v>
      </c>
      <c r="F7225" t="s">
        <v>27246</v>
      </c>
      <c r="G7225" t="s">
        <v>27247</v>
      </c>
      <c r="H7225" t="s">
        <v>27248</v>
      </c>
      <c r="I7225" t="s">
        <v>41260</v>
      </c>
      <c r="J7225" t="s">
        <v>14351</v>
      </c>
      <c r="L7225" t="s">
        <v>27250</v>
      </c>
      <c r="M7225" t="s">
        <v>27251</v>
      </c>
      <c r="N7225" t="s">
        <v>27252</v>
      </c>
      <c r="Q7225" s="1">
        <v>44538</v>
      </c>
      <c r="R7225" t="s">
        <v>27253</v>
      </c>
      <c r="S7225" t="s">
        <v>27254</v>
      </c>
      <c r="T7225" t="s">
        <v>27269</v>
      </c>
    </row>
    <row r="7226" spans="1:20" x14ac:dyDescent="0.3">
      <c r="A7226" t="str">
        <f>"0611836059025"</f>
        <v>0611836059025</v>
      </c>
      <c r="B7226" t="str">
        <f>"MC3043"</f>
        <v>MC3043</v>
      </c>
      <c r="C7226" t="s">
        <v>41261</v>
      </c>
      <c r="D7226" t="s">
        <v>27267</v>
      </c>
      <c r="E7226" t="str">
        <f t="shared" si="112"/>
        <v>001390</v>
      </c>
      <c r="F7226" t="s">
        <v>27246</v>
      </c>
      <c r="G7226" t="s">
        <v>27247</v>
      </c>
      <c r="H7226" t="s">
        <v>27248</v>
      </c>
      <c r="I7226" t="s">
        <v>41262</v>
      </c>
      <c r="J7226" t="s">
        <v>14353</v>
      </c>
      <c r="L7226" t="s">
        <v>27250</v>
      </c>
      <c r="M7226" t="s">
        <v>27251</v>
      </c>
      <c r="N7226" t="s">
        <v>27252</v>
      </c>
      <c r="Q7226" s="1">
        <v>44538</v>
      </c>
      <c r="R7226" t="s">
        <v>27253</v>
      </c>
      <c r="S7226" t="s">
        <v>27254</v>
      </c>
      <c r="T7226" t="s">
        <v>27269</v>
      </c>
    </row>
    <row r="7227" spans="1:20" x14ac:dyDescent="0.3">
      <c r="A7227" t="str">
        <f>"0611836060025"</f>
        <v>0611836060025</v>
      </c>
      <c r="B7227" t="str">
        <f>"MQ6051"</f>
        <v>MQ6051</v>
      </c>
      <c r="C7227" t="s">
        <v>41263</v>
      </c>
      <c r="D7227" t="s">
        <v>27267</v>
      </c>
      <c r="E7227" t="str">
        <f t="shared" si="112"/>
        <v>001390</v>
      </c>
      <c r="F7227" t="s">
        <v>27246</v>
      </c>
      <c r="G7227" t="s">
        <v>27247</v>
      </c>
      <c r="H7227" t="s">
        <v>27248</v>
      </c>
      <c r="I7227" t="s">
        <v>41264</v>
      </c>
      <c r="J7227" t="s">
        <v>14355</v>
      </c>
      <c r="L7227" t="s">
        <v>27250</v>
      </c>
      <c r="M7227" t="s">
        <v>27251</v>
      </c>
      <c r="N7227" t="s">
        <v>27252</v>
      </c>
      <c r="Q7227" s="1">
        <v>44538</v>
      </c>
      <c r="R7227" t="s">
        <v>27253</v>
      </c>
      <c r="S7227" t="s">
        <v>27254</v>
      </c>
      <c r="T7227" t="s">
        <v>27269</v>
      </c>
    </row>
    <row r="7228" spans="1:20" x14ac:dyDescent="0.3">
      <c r="A7228" t="str">
        <f>"0611863193050"</f>
        <v>0611863193050</v>
      </c>
      <c r="B7228" t="str">
        <f>"CR3936"</f>
        <v>CR3936</v>
      </c>
      <c r="C7228" t="s">
        <v>41263</v>
      </c>
      <c r="D7228" t="s">
        <v>27263</v>
      </c>
      <c r="E7228" t="str">
        <f t="shared" si="112"/>
        <v>001390</v>
      </c>
      <c r="F7228" t="s">
        <v>27246</v>
      </c>
      <c r="G7228" t="s">
        <v>27247</v>
      </c>
      <c r="H7228" t="s">
        <v>27248</v>
      </c>
      <c r="I7228" t="s">
        <v>41265</v>
      </c>
      <c r="J7228" t="s">
        <v>14357</v>
      </c>
      <c r="L7228" t="s">
        <v>27250</v>
      </c>
      <c r="M7228" t="s">
        <v>27251</v>
      </c>
      <c r="N7228" t="s">
        <v>27252</v>
      </c>
      <c r="Q7228" s="1">
        <v>44846</v>
      </c>
      <c r="R7228" t="s">
        <v>27253</v>
      </c>
      <c r="S7228" t="s">
        <v>27254</v>
      </c>
      <c r="T7228" t="s">
        <v>27265</v>
      </c>
    </row>
    <row r="7229" spans="1:20" x14ac:dyDescent="0.3">
      <c r="A7229" t="str">
        <f>"0611836061025"</f>
        <v>0611836061025</v>
      </c>
      <c r="B7229" t="str">
        <f>"MC1470"</f>
        <v>MC1470</v>
      </c>
      <c r="C7229" t="s">
        <v>41266</v>
      </c>
      <c r="D7229" t="s">
        <v>27267</v>
      </c>
      <c r="E7229" t="str">
        <f t="shared" si="112"/>
        <v>001390</v>
      </c>
      <c r="F7229" t="s">
        <v>27246</v>
      </c>
      <c r="G7229" t="s">
        <v>27247</v>
      </c>
      <c r="H7229" t="s">
        <v>27248</v>
      </c>
      <c r="I7229" t="s">
        <v>41267</v>
      </c>
      <c r="J7229" t="s">
        <v>14359</v>
      </c>
      <c r="L7229" t="s">
        <v>27250</v>
      </c>
      <c r="M7229" t="s">
        <v>27251</v>
      </c>
      <c r="N7229" t="s">
        <v>27252</v>
      </c>
      <c r="Q7229" s="1">
        <v>44538</v>
      </c>
      <c r="R7229" t="s">
        <v>27253</v>
      </c>
      <c r="S7229" t="s">
        <v>27254</v>
      </c>
      <c r="T7229" t="s">
        <v>27269</v>
      </c>
    </row>
    <row r="7230" spans="1:20" x14ac:dyDescent="0.3">
      <c r="A7230" t="str">
        <f>"0611836062025"</f>
        <v>0611836062025</v>
      </c>
      <c r="B7230" t="str">
        <f>"MQ0519"</f>
        <v>MQ0519</v>
      </c>
      <c r="C7230" t="s">
        <v>41268</v>
      </c>
      <c r="D7230" t="s">
        <v>27267</v>
      </c>
      <c r="E7230" t="str">
        <f t="shared" si="112"/>
        <v>001390</v>
      </c>
      <c r="F7230" t="s">
        <v>27246</v>
      </c>
      <c r="G7230" t="s">
        <v>27247</v>
      </c>
      <c r="H7230" t="s">
        <v>27248</v>
      </c>
      <c r="I7230" t="s">
        <v>41269</v>
      </c>
      <c r="J7230" t="s">
        <v>14361</v>
      </c>
      <c r="L7230" t="s">
        <v>27250</v>
      </c>
      <c r="M7230" t="s">
        <v>27251</v>
      </c>
      <c r="N7230" t="s">
        <v>27252</v>
      </c>
      <c r="Q7230" s="1">
        <v>44538</v>
      </c>
      <c r="R7230" t="s">
        <v>27253</v>
      </c>
      <c r="S7230" t="s">
        <v>27254</v>
      </c>
      <c r="T7230" t="s">
        <v>27269</v>
      </c>
    </row>
    <row r="7231" spans="1:20" x14ac:dyDescent="0.3">
      <c r="A7231" t="str">
        <f>"0611836063025"</f>
        <v>0611836063025</v>
      </c>
      <c r="B7231" t="str">
        <f>"MQ0625"</f>
        <v>MQ0625</v>
      </c>
      <c r="C7231" t="s">
        <v>41270</v>
      </c>
      <c r="D7231" t="s">
        <v>27267</v>
      </c>
      <c r="E7231" t="str">
        <f t="shared" si="112"/>
        <v>001390</v>
      </c>
      <c r="F7231" t="s">
        <v>27246</v>
      </c>
      <c r="G7231" t="s">
        <v>27247</v>
      </c>
      <c r="H7231" t="s">
        <v>27248</v>
      </c>
      <c r="I7231" t="s">
        <v>41271</v>
      </c>
      <c r="J7231" t="s">
        <v>14363</v>
      </c>
      <c r="L7231" t="s">
        <v>27250</v>
      </c>
      <c r="M7231" t="s">
        <v>27251</v>
      </c>
      <c r="N7231" t="s">
        <v>27252</v>
      </c>
      <c r="Q7231" s="1">
        <v>44538</v>
      </c>
      <c r="R7231" t="s">
        <v>27253</v>
      </c>
      <c r="S7231" t="s">
        <v>27254</v>
      </c>
      <c r="T7231" t="s">
        <v>27269</v>
      </c>
    </row>
    <row r="7232" spans="1:20" x14ac:dyDescent="0.3">
      <c r="A7232" t="str">
        <f>"0611836064025"</f>
        <v>0611836064025</v>
      </c>
      <c r="B7232" t="str">
        <f>"MQ0598"</f>
        <v>MQ0598</v>
      </c>
      <c r="C7232" t="s">
        <v>41272</v>
      </c>
      <c r="D7232" t="s">
        <v>27267</v>
      </c>
      <c r="E7232" t="str">
        <f t="shared" si="112"/>
        <v>001390</v>
      </c>
      <c r="F7232" t="s">
        <v>27246</v>
      </c>
      <c r="G7232" t="s">
        <v>27247</v>
      </c>
      <c r="H7232" t="s">
        <v>27248</v>
      </c>
      <c r="I7232" t="s">
        <v>41273</v>
      </c>
      <c r="J7232" t="s">
        <v>14365</v>
      </c>
      <c r="L7232" t="s">
        <v>27250</v>
      </c>
      <c r="M7232" t="s">
        <v>27251</v>
      </c>
      <c r="N7232" t="s">
        <v>27252</v>
      </c>
      <c r="Q7232" s="1">
        <v>44538</v>
      </c>
      <c r="R7232" t="s">
        <v>27253</v>
      </c>
      <c r="S7232" t="s">
        <v>27254</v>
      </c>
      <c r="T7232" t="s">
        <v>27269</v>
      </c>
    </row>
    <row r="7233" spans="1:20" x14ac:dyDescent="0.3">
      <c r="A7233" t="str">
        <f>"0611836065025"</f>
        <v>0611836065025</v>
      </c>
      <c r="B7233" t="str">
        <f>"MQ0301"</f>
        <v>MQ0301</v>
      </c>
      <c r="C7233" t="s">
        <v>41274</v>
      </c>
      <c r="D7233" t="s">
        <v>27267</v>
      </c>
      <c r="E7233" t="str">
        <f t="shared" si="112"/>
        <v>001390</v>
      </c>
      <c r="F7233" t="s">
        <v>27246</v>
      </c>
      <c r="G7233" t="s">
        <v>27247</v>
      </c>
      <c r="H7233" t="s">
        <v>27248</v>
      </c>
      <c r="I7233" t="s">
        <v>41275</v>
      </c>
      <c r="J7233" t="s">
        <v>14367</v>
      </c>
      <c r="L7233" t="s">
        <v>27250</v>
      </c>
      <c r="M7233" t="s">
        <v>27251</v>
      </c>
      <c r="N7233" t="s">
        <v>27252</v>
      </c>
      <c r="Q7233" s="1">
        <v>44538</v>
      </c>
      <c r="R7233" t="s">
        <v>27253</v>
      </c>
      <c r="S7233" t="s">
        <v>27254</v>
      </c>
      <c r="T7233" t="s">
        <v>27269</v>
      </c>
    </row>
    <row r="7234" spans="1:20" x14ac:dyDescent="0.3">
      <c r="A7234" t="str">
        <f>"0611857018025"</f>
        <v>0611857018025</v>
      </c>
      <c r="B7234" t="str">
        <f>"MQ0789"</f>
        <v>MQ0789</v>
      </c>
      <c r="C7234" t="s">
        <v>41276</v>
      </c>
      <c r="D7234" t="s">
        <v>27267</v>
      </c>
      <c r="E7234" t="str">
        <f t="shared" ref="E7234:E7297" si="113">"001390"</f>
        <v>001390</v>
      </c>
      <c r="F7234" t="s">
        <v>27246</v>
      </c>
      <c r="G7234" t="s">
        <v>27247</v>
      </c>
      <c r="H7234" t="s">
        <v>27248</v>
      </c>
      <c r="I7234" t="s">
        <v>41277</v>
      </c>
      <c r="J7234" t="s">
        <v>14369</v>
      </c>
      <c r="L7234" t="s">
        <v>27250</v>
      </c>
      <c r="M7234" t="s">
        <v>27251</v>
      </c>
      <c r="N7234" t="s">
        <v>27252</v>
      </c>
      <c r="Q7234" s="1">
        <v>44812</v>
      </c>
      <c r="R7234" t="s">
        <v>27253</v>
      </c>
      <c r="S7234" t="s">
        <v>27254</v>
      </c>
      <c r="T7234" t="s">
        <v>27269</v>
      </c>
    </row>
    <row r="7235" spans="1:20" x14ac:dyDescent="0.3">
      <c r="A7235" t="str">
        <f>"0611836067025"</f>
        <v>0611836067025</v>
      </c>
      <c r="B7235" t="str">
        <f>"MQ0520"</f>
        <v>MQ0520</v>
      </c>
      <c r="C7235" t="s">
        <v>41278</v>
      </c>
      <c r="D7235" t="s">
        <v>27267</v>
      </c>
      <c r="E7235" t="str">
        <f t="shared" si="113"/>
        <v>001390</v>
      </c>
      <c r="F7235" t="s">
        <v>27246</v>
      </c>
      <c r="G7235" t="s">
        <v>27247</v>
      </c>
      <c r="H7235" t="s">
        <v>27248</v>
      </c>
      <c r="I7235" t="s">
        <v>41279</v>
      </c>
      <c r="J7235" t="s">
        <v>14371</v>
      </c>
      <c r="L7235" t="s">
        <v>27250</v>
      </c>
      <c r="M7235" t="s">
        <v>27251</v>
      </c>
      <c r="N7235" t="s">
        <v>27252</v>
      </c>
      <c r="Q7235" s="1">
        <v>44538</v>
      </c>
      <c r="R7235" t="s">
        <v>27253</v>
      </c>
      <c r="S7235" t="s">
        <v>27254</v>
      </c>
      <c r="T7235" t="s">
        <v>27269</v>
      </c>
    </row>
    <row r="7236" spans="1:20" x14ac:dyDescent="0.3">
      <c r="A7236" t="str">
        <f>"0611836068025"</f>
        <v>0611836068025</v>
      </c>
      <c r="B7236" t="str">
        <f>"MQ5152"</f>
        <v>MQ5152</v>
      </c>
      <c r="C7236" t="s">
        <v>41280</v>
      </c>
      <c r="D7236" t="s">
        <v>27267</v>
      </c>
      <c r="E7236" t="str">
        <f t="shared" si="113"/>
        <v>001390</v>
      </c>
      <c r="F7236" t="s">
        <v>27246</v>
      </c>
      <c r="G7236" t="s">
        <v>27247</v>
      </c>
      <c r="H7236" t="s">
        <v>27248</v>
      </c>
      <c r="I7236" t="s">
        <v>41281</v>
      </c>
      <c r="J7236" t="s">
        <v>14373</v>
      </c>
      <c r="L7236" t="s">
        <v>27250</v>
      </c>
      <c r="M7236" t="s">
        <v>27251</v>
      </c>
      <c r="N7236" t="s">
        <v>27252</v>
      </c>
      <c r="Q7236" s="1">
        <v>44538</v>
      </c>
      <c r="R7236" t="s">
        <v>27253</v>
      </c>
      <c r="S7236" t="s">
        <v>27254</v>
      </c>
      <c r="T7236" t="s">
        <v>27269</v>
      </c>
    </row>
    <row r="7237" spans="1:20" x14ac:dyDescent="0.3">
      <c r="A7237" t="str">
        <f>"0611836069025"</f>
        <v>0611836069025</v>
      </c>
      <c r="B7237" t="str">
        <f>"MQ5153"</f>
        <v>MQ5153</v>
      </c>
      <c r="C7237" t="s">
        <v>41282</v>
      </c>
      <c r="D7237" t="s">
        <v>27267</v>
      </c>
      <c r="E7237" t="str">
        <f t="shared" si="113"/>
        <v>001390</v>
      </c>
      <c r="F7237" t="s">
        <v>27246</v>
      </c>
      <c r="G7237" t="s">
        <v>27247</v>
      </c>
      <c r="H7237" t="s">
        <v>27248</v>
      </c>
      <c r="I7237" t="s">
        <v>41283</v>
      </c>
      <c r="J7237" t="s">
        <v>14375</v>
      </c>
      <c r="L7237" t="s">
        <v>27250</v>
      </c>
      <c r="M7237" t="s">
        <v>27251</v>
      </c>
      <c r="N7237" t="s">
        <v>27252</v>
      </c>
      <c r="Q7237" s="1">
        <v>44538</v>
      </c>
      <c r="R7237" t="s">
        <v>27253</v>
      </c>
      <c r="S7237" t="s">
        <v>27254</v>
      </c>
      <c r="T7237" t="s">
        <v>27269</v>
      </c>
    </row>
    <row r="7238" spans="1:20" x14ac:dyDescent="0.3">
      <c r="A7238" t="str">
        <f>"0611836070025"</f>
        <v>0611836070025</v>
      </c>
      <c r="B7238" t="str">
        <f>"MQ5116"</f>
        <v>MQ5116</v>
      </c>
      <c r="C7238" t="s">
        <v>41284</v>
      </c>
      <c r="D7238" t="s">
        <v>27267</v>
      </c>
      <c r="E7238" t="str">
        <f t="shared" si="113"/>
        <v>001390</v>
      </c>
      <c r="F7238" t="s">
        <v>27246</v>
      </c>
      <c r="G7238" t="s">
        <v>27247</v>
      </c>
      <c r="H7238" t="s">
        <v>27248</v>
      </c>
      <c r="I7238" t="s">
        <v>41285</v>
      </c>
      <c r="J7238" t="s">
        <v>14377</v>
      </c>
      <c r="L7238" t="s">
        <v>27250</v>
      </c>
      <c r="M7238" t="s">
        <v>27251</v>
      </c>
      <c r="N7238" t="s">
        <v>27252</v>
      </c>
      <c r="Q7238" s="1">
        <v>44538</v>
      </c>
      <c r="R7238" t="s">
        <v>27253</v>
      </c>
      <c r="S7238" t="s">
        <v>27254</v>
      </c>
      <c r="T7238" t="s">
        <v>27269</v>
      </c>
    </row>
    <row r="7239" spans="1:20" x14ac:dyDescent="0.3">
      <c r="A7239" t="str">
        <f>"0611836071025"</f>
        <v>0611836071025</v>
      </c>
      <c r="B7239" t="str">
        <f>"MQ6052"</f>
        <v>MQ6052</v>
      </c>
      <c r="C7239" t="s">
        <v>41286</v>
      </c>
      <c r="D7239" t="s">
        <v>27267</v>
      </c>
      <c r="E7239" t="str">
        <f t="shared" si="113"/>
        <v>001390</v>
      </c>
      <c r="F7239" t="s">
        <v>27246</v>
      </c>
      <c r="G7239" t="s">
        <v>27247</v>
      </c>
      <c r="H7239" t="s">
        <v>27248</v>
      </c>
      <c r="I7239" t="s">
        <v>41287</v>
      </c>
      <c r="J7239" t="s">
        <v>14379</v>
      </c>
      <c r="L7239" t="s">
        <v>27250</v>
      </c>
      <c r="M7239" t="s">
        <v>27251</v>
      </c>
      <c r="N7239" t="s">
        <v>27252</v>
      </c>
      <c r="Q7239" s="1">
        <v>44538</v>
      </c>
      <c r="R7239" t="s">
        <v>27253</v>
      </c>
      <c r="S7239" t="s">
        <v>27254</v>
      </c>
      <c r="T7239" t="s">
        <v>27269</v>
      </c>
    </row>
    <row r="7240" spans="1:20" x14ac:dyDescent="0.3">
      <c r="A7240" t="str">
        <f>"0611836072025"</f>
        <v>0611836072025</v>
      </c>
      <c r="B7240" t="str">
        <f>"MC4317"</f>
        <v>MC4317</v>
      </c>
      <c r="C7240" t="s">
        <v>41288</v>
      </c>
      <c r="D7240" t="s">
        <v>27267</v>
      </c>
      <c r="E7240" t="str">
        <f t="shared" si="113"/>
        <v>001390</v>
      </c>
      <c r="F7240" t="s">
        <v>27246</v>
      </c>
      <c r="G7240" t="s">
        <v>27247</v>
      </c>
      <c r="H7240" t="s">
        <v>27248</v>
      </c>
      <c r="I7240" t="s">
        <v>41289</v>
      </c>
      <c r="J7240" t="s">
        <v>14381</v>
      </c>
      <c r="L7240" t="s">
        <v>27250</v>
      </c>
      <c r="M7240" t="s">
        <v>27251</v>
      </c>
      <c r="N7240" t="s">
        <v>27252</v>
      </c>
      <c r="Q7240" s="1">
        <v>44538</v>
      </c>
      <c r="R7240" t="s">
        <v>27253</v>
      </c>
      <c r="S7240" t="s">
        <v>27254</v>
      </c>
      <c r="T7240" t="s">
        <v>27269</v>
      </c>
    </row>
    <row r="7241" spans="1:20" x14ac:dyDescent="0.3">
      <c r="A7241" t="str">
        <f>"0611857019025"</f>
        <v>0611857019025</v>
      </c>
      <c r="B7241" t="str">
        <f>"MQ0790"</f>
        <v>MQ0790</v>
      </c>
      <c r="C7241" t="s">
        <v>41290</v>
      </c>
      <c r="D7241" t="s">
        <v>27267</v>
      </c>
      <c r="E7241" t="str">
        <f t="shared" si="113"/>
        <v>001390</v>
      </c>
      <c r="F7241" t="s">
        <v>27246</v>
      </c>
      <c r="G7241" t="s">
        <v>27247</v>
      </c>
      <c r="H7241" t="s">
        <v>27248</v>
      </c>
      <c r="I7241" t="s">
        <v>41291</v>
      </c>
      <c r="J7241" t="s">
        <v>14383</v>
      </c>
      <c r="L7241" t="s">
        <v>27250</v>
      </c>
      <c r="M7241" t="s">
        <v>27251</v>
      </c>
      <c r="N7241" t="s">
        <v>27252</v>
      </c>
      <c r="Q7241" s="1">
        <v>44812</v>
      </c>
      <c r="R7241" t="s">
        <v>27253</v>
      </c>
      <c r="S7241" t="s">
        <v>27254</v>
      </c>
      <c r="T7241" t="s">
        <v>27269</v>
      </c>
    </row>
    <row r="7242" spans="1:20" x14ac:dyDescent="0.3">
      <c r="A7242" t="str">
        <f>"0611857020025"</f>
        <v>0611857020025</v>
      </c>
      <c r="B7242" t="str">
        <f>"MQ0791"</f>
        <v>MQ0791</v>
      </c>
      <c r="C7242" t="s">
        <v>41292</v>
      </c>
      <c r="D7242" t="s">
        <v>27267</v>
      </c>
      <c r="E7242" t="str">
        <f t="shared" si="113"/>
        <v>001390</v>
      </c>
      <c r="F7242" t="s">
        <v>27246</v>
      </c>
      <c r="G7242" t="s">
        <v>27247</v>
      </c>
      <c r="H7242" t="s">
        <v>27248</v>
      </c>
      <c r="I7242" t="s">
        <v>41293</v>
      </c>
      <c r="J7242" t="s">
        <v>14385</v>
      </c>
      <c r="L7242" t="s">
        <v>27250</v>
      </c>
      <c r="M7242" t="s">
        <v>27251</v>
      </c>
      <c r="N7242" t="s">
        <v>27252</v>
      </c>
      <c r="Q7242" s="1">
        <v>44812</v>
      </c>
      <c r="R7242" t="s">
        <v>27253</v>
      </c>
      <c r="S7242" t="s">
        <v>27254</v>
      </c>
      <c r="T7242" t="s">
        <v>27269</v>
      </c>
    </row>
    <row r="7243" spans="1:20" x14ac:dyDescent="0.3">
      <c r="A7243" t="str">
        <f>"0611836073025"</f>
        <v>0611836073025</v>
      </c>
      <c r="B7243" t="str">
        <f>"MC0473"</f>
        <v>MC0473</v>
      </c>
      <c r="C7243" t="s">
        <v>41294</v>
      </c>
      <c r="D7243" t="s">
        <v>27267</v>
      </c>
      <c r="E7243" t="str">
        <f t="shared" si="113"/>
        <v>001390</v>
      </c>
      <c r="F7243" t="s">
        <v>27246</v>
      </c>
      <c r="G7243" t="s">
        <v>27247</v>
      </c>
      <c r="H7243" t="s">
        <v>27248</v>
      </c>
      <c r="I7243" t="s">
        <v>41295</v>
      </c>
      <c r="J7243" t="s">
        <v>14387</v>
      </c>
      <c r="L7243" t="s">
        <v>27250</v>
      </c>
      <c r="M7243" t="s">
        <v>27251</v>
      </c>
      <c r="N7243" t="s">
        <v>27252</v>
      </c>
      <c r="Q7243" s="1">
        <v>44538</v>
      </c>
      <c r="R7243" t="s">
        <v>27253</v>
      </c>
      <c r="S7243" t="s">
        <v>27254</v>
      </c>
      <c r="T7243" t="s">
        <v>27269</v>
      </c>
    </row>
    <row r="7244" spans="1:20" x14ac:dyDescent="0.3">
      <c r="A7244" t="str">
        <f>"0611836074025"</f>
        <v>0611836074025</v>
      </c>
      <c r="B7244" t="str">
        <f>"MQ0718"</f>
        <v>MQ0718</v>
      </c>
      <c r="C7244" t="s">
        <v>41296</v>
      </c>
      <c r="D7244" t="s">
        <v>27267</v>
      </c>
      <c r="E7244" t="str">
        <f t="shared" si="113"/>
        <v>001390</v>
      </c>
      <c r="F7244" t="s">
        <v>27246</v>
      </c>
      <c r="G7244" t="s">
        <v>27247</v>
      </c>
      <c r="H7244" t="s">
        <v>27248</v>
      </c>
      <c r="I7244" t="s">
        <v>41297</v>
      </c>
      <c r="J7244" t="s">
        <v>14389</v>
      </c>
      <c r="L7244" t="s">
        <v>27250</v>
      </c>
      <c r="M7244" t="s">
        <v>27251</v>
      </c>
      <c r="N7244" t="s">
        <v>27252</v>
      </c>
      <c r="Q7244" s="1">
        <v>44538</v>
      </c>
      <c r="R7244" t="s">
        <v>27253</v>
      </c>
      <c r="S7244" t="s">
        <v>27254</v>
      </c>
      <c r="T7244" t="s">
        <v>27269</v>
      </c>
    </row>
    <row r="7245" spans="1:20" x14ac:dyDescent="0.3">
      <c r="A7245" t="str">
        <f>"0611836075025"</f>
        <v>0611836075025</v>
      </c>
      <c r="B7245" t="str">
        <f>"MQ0521"</f>
        <v>MQ0521</v>
      </c>
      <c r="C7245" t="s">
        <v>41298</v>
      </c>
      <c r="D7245" t="s">
        <v>27267</v>
      </c>
      <c r="E7245" t="str">
        <f t="shared" si="113"/>
        <v>001390</v>
      </c>
      <c r="F7245" t="s">
        <v>27246</v>
      </c>
      <c r="G7245" t="s">
        <v>27247</v>
      </c>
      <c r="H7245" t="s">
        <v>27248</v>
      </c>
      <c r="I7245" t="s">
        <v>41299</v>
      </c>
      <c r="J7245" t="s">
        <v>14391</v>
      </c>
      <c r="L7245" t="s">
        <v>27250</v>
      </c>
      <c r="M7245" t="s">
        <v>27251</v>
      </c>
      <c r="N7245" t="s">
        <v>27252</v>
      </c>
      <c r="Q7245" s="1">
        <v>44538</v>
      </c>
      <c r="R7245" t="s">
        <v>27253</v>
      </c>
      <c r="S7245" t="s">
        <v>27254</v>
      </c>
      <c r="T7245" t="s">
        <v>27269</v>
      </c>
    </row>
    <row r="7246" spans="1:20" x14ac:dyDescent="0.3">
      <c r="A7246" t="str">
        <f>"0611863194100"</f>
        <v>0611863194100</v>
      </c>
      <c r="B7246" t="str">
        <f>"CN5240"</f>
        <v>CN5240</v>
      </c>
      <c r="C7246" t="s">
        <v>41300</v>
      </c>
      <c r="D7246" t="s">
        <v>27335</v>
      </c>
      <c r="E7246" t="str">
        <f t="shared" si="113"/>
        <v>001390</v>
      </c>
      <c r="F7246" t="s">
        <v>27246</v>
      </c>
      <c r="G7246" t="s">
        <v>27247</v>
      </c>
      <c r="H7246" t="s">
        <v>27248</v>
      </c>
      <c r="I7246" t="s">
        <v>41301</v>
      </c>
      <c r="J7246" t="s">
        <v>14393</v>
      </c>
      <c r="L7246" t="s">
        <v>27250</v>
      </c>
      <c r="M7246" t="s">
        <v>27251</v>
      </c>
      <c r="N7246" t="s">
        <v>27252</v>
      </c>
      <c r="Q7246" s="1">
        <v>44846</v>
      </c>
      <c r="R7246" t="s">
        <v>27253</v>
      </c>
      <c r="S7246" t="s">
        <v>27254</v>
      </c>
      <c r="T7246" t="s">
        <v>27255</v>
      </c>
    </row>
    <row r="7247" spans="1:20" x14ac:dyDescent="0.3">
      <c r="A7247" t="str">
        <f>"0611863195050"</f>
        <v>0611863195050</v>
      </c>
      <c r="B7247" t="str">
        <f>"CR4365"</f>
        <v>CR4365</v>
      </c>
      <c r="C7247" t="s">
        <v>41302</v>
      </c>
      <c r="D7247" t="s">
        <v>27286</v>
      </c>
      <c r="E7247" t="str">
        <f t="shared" si="113"/>
        <v>001390</v>
      </c>
      <c r="F7247" t="s">
        <v>27246</v>
      </c>
      <c r="G7247" t="s">
        <v>27247</v>
      </c>
      <c r="H7247" t="s">
        <v>27248</v>
      </c>
      <c r="I7247" t="s">
        <v>41303</v>
      </c>
      <c r="J7247" t="s">
        <v>14395</v>
      </c>
      <c r="L7247" t="s">
        <v>27250</v>
      </c>
      <c r="M7247" t="s">
        <v>27251</v>
      </c>
      <c r="N7247" t="s">
        <v>27252</v>
      </c>
      <c r="Q7247" s="1">
        <v>44846</v>
      </c>
      <c r="R7247" t="s">
        <v>27253</v>
      </c>
      <c r="S7247" t="s">
        <v>27254</v>
      </c>
      <c r="T7247" t="s">
        <v>27265</v>
      </c>
    </row>
    <row r="7248" spans="1:20" x14ac:dyDescent="0.3">
      <c r="A7248" t="str">
        <f>"0611863196100"</f>
        <v>0611863196100</v>
      </c>
      <c r="B7248" t="str">
        <f>"CN5241"</f>
        <v>CN5241</v>
      </c>
      <c r="C7248" t="s">
        <v>41304</v>
      </c>
      <c r="D7248" t="s">
        <v>27335</v>
      </c>
      <c r="E7248" t="str">
        <f t="shared" si="113"/>
        <v>001390</v>
      </c>
      <c r="F7248" t="s">
        <v>27246</v>
      </c>
      <c r="G7248" t="s">
        <v>27247</v>
      </c>
      <c r="H7248" t="s">
        <v>27248</v>
      </c>
      <c r="I7248" t="s">
        <v>41305</v>
      </c>
      <c r="J7248" t="s">
        <v>14397</v>
      </c>
      <c r="L7248" t="s">
        <v>27250</v>
      </c>
      <c r="M7248" t="s">
        <v>27251</v>
      </c>
      <c r="N7248" t="s">
        <v>27252</v>
      </c>
      <c r="Q7248" s="1">
        <v>44846</v>
      </c>
      <c r="R7248" t="s">
        <v>27253</v>
      </c>
      <c r="S7248" t="s">
        <v>27254</v>
      </c>
      <c r="T7248" t="s">
        <v>27255</v>
      </c>
    </row>
    <row r="7249" spans="1:20" x14ac:dyDescent="0.3">
      <c r="A7249" t="str">
        <f>"0611863197050"</f>
        <v>0611863197050</v>
      </c>
      <c r="B7249" t="str">
        <f>"CR4366"</f>
        <v>CR4366</v>
      </c>
      <c r="C7249" t="s">
        <v>41306</v>
      </c>
      <c r="D7249" t="s">
        <v>27286</v>
      </c>
      <c r="E7249" t="str">
        <f t="shared" si="113"/>
        <v>001390</v>
      </c>
      <c r="F7249" t="s">
        <v>27246</v>
      </c>
      <c r="G7249" t="s">
        <v>27247</v>
      </c>
      <c r="H7249" t="s">
        <v>27248</v>
      </c>
      <c r="I7249" t="s">
        <v>41307</v>
      </c>
      <c r="J7249" t="s">
        <v>14399</v>
      </c>
      <c r="L7249" t="s">
        <v>27250</v>
      </c>
      <c r="M7249" t="s">
        <v>27251</v>
      </c>
      <c r="N7249" t="s">
        <v>27252</v>
      </c>
      <c r="Q7249" s="1">
        <v>44846</v>
      </c>
      <c r="R7249" t="s">
        <v>27253</v>
      </c>
      <c r="S7249" t="s">
        <v>27254</v>
      </c>
      <c r="T7249" t="s">
        <v>27265</v>
      </c>
    </row>
    <row r="7250" spans="1:20" x14ac:dyDescent="0.3">
      <c r="A7250" t="str">
        <f>"0611863198100"</f>
        <v>0611863198100</v>
      </c>
      <c r="B7250" t="str">
        <f>"CN5242"</f>
        <v>CN5242</v>
      </c>
      <c r="C7250" t="s">
        <v>41308</v>
      </c>
      <c r="D7250" t="s">
        <v>27335</v>
      </c>
      <c r="E7250" t="str">
        <f t="shared" si="113"/>
        <v>001390</v>
      </c>
      <c r="F7250" t="s">
        <v>27246</v>
      </c>
      <c r="G7250" t="s">
        <v>27247</v>
      </c>
      <c r="H7250" t="s">
        <v>27248</v>
      </c>
      <c r="I7250" t="s">
        <v>41309</v>
      </c>
      <c r="J7250" t="s">
        <v>14401</v>
      </c>
      <c r="L7250" t="s">
        <v>27250</v>
      </c>
      <c r="M7250" t="s">
        <v>27251</v>
      </c>
      <c r="N7250" t="s">
        <v>27252</v>
      </c>
      <c r="Q7250" s="1">
        <v>44846</v>
      </c>
      <c r="R7250" t="s">
        <v>27253</v>
      </c>
      <c r="S7250" t="s">
        <v>27254</v>
      </c>
      <c r="T7250" t="s">
        <v>27255</v>
      </c>
    </row>
    <row r="7251" spans="1:20" x14ac:dyDescent="0.3">
      <c r="A7251" t="str">
        <f>"0611863199050"</f>
        <v>0611863199050</v>
      </c>
      <c r="B7251" t="str">
        <f>"CR4367"</f>
        <v>CR4367</v>
      </c>
      <c r="C7251" t="s">
        <v>41310</v>
      </c>
      <c r="D7251" t="s">
        <v>27286</v>
      </c>
      <c r="E7251" t="str">
        <f t="shared" si="113"/>
        <v>001390</v>
      </c>
      <c r="F7251" t="s">
        <v>27246</v>
      </c>
      <c r="G7251" t="s">
        <v>27247</v>
      </c>
      <c r="H7251" t="s">
        <v>27248</v>
      </c>
      <c r="I7251" t="s">
        <v>41311</v>
      </c>
      <c r="J7251" t="s">
        <v>14403</v>
      </c>
      <c r="L7251" t="s">
        <v>27250</v>
      </c>
      <c r="M7251" t="s">
        <v>27251</v>
      </c>
      <c r="N7251" t="s">
        <v>27252</v>
      </c>
      <c r="Q7251" s="1">
        <v>44846</v>
      </c>
      <c r="R7251" t="s">
        <v>27253</v>
      </c>
      <c r="S7251" t="s">
        <v>27254</v>
      </c>
      <c r="T7251" t="s">
        <v>27265</v>
      </c>
    </row>
    <row r="7252" spans="1:20" x14ac:dyDescent="0.3">
      <c r="A7252" t="str">
        <f>"0611863200100"</f>
        <v>0611863200100</v>
      </c>
      <c r="B7252" t="str">
        <f>"CN5243"</f>
        <v>CN5243</v>
      </c>
      <c r="C7252" t="s">
        <v>41312</v>
      </c>
      <c r="D7252" t="s">
        <v>27335</v>
      </c>
      <c r="E7252" t="str">
        <f t="shared" si="113"/>
        <v>001390</v>
      </c>
      <c r="F7252" t="s">
        <v>27246</v>
      </c>
      <c r="G7252" t="s">
        <v>27247</v>
      </c>
      <c r="H7252" t="s">
        <v>27248</v>
      </c>
      <c r="I7252" t="s">
        <v>41313</v>
      </c>
      <c r="J7252" t="s">
        <v>14405</v>
      </c>
      <c r="L7252" t="s">
        <v>27250</v>
      </c>
      <c r="M7252" t="s">
        <v>27251</v>
      </c>
      <c r="N7252" t="s">
        <v>27252</v>
      </c>
      <c r="Q7252" s="1">
        <v>44846</v>
      </c>
      <c r="R7252" t="s">
        <v>27253</v>
      </c>
      <c r="S7252" t="s">
        <v>27254</v>
      </c>
      <c r="T7252" t="s">
        <v>27255</v>
      </c>
    </row>
    <row r="7253" spans="1:20" x14ac:dyDescent="0.3">
      <c r="A7253" t="str">
        <f>"0611863201050"</f>
        <v>0611863201050</v>
      </c>
      <c r="B7253" t="str">
        <f>"CR4368"</f>
        <v>CR4368</v>
      </c>
      <c r="C7253" t="s">
        <v>41314</v>
      </c>
      <c r="D7253" t="s">
        <v>27286</v>
      </c>
      <c r="E7253" t="str">
        <f t="shared" si="113"/>
        <v>001390</v>
      </c>
      <c r="F7253" t="s">
        <v>27246</v>
      </c>
      <c r="G7253" t="s">
        <v>27247</v>
      </c>
      <c r="H7253" t="s">
        <v>27248</v>
      </c>
      <c r="I7253" t="s">
        <v>41315</v>
      </c>
      <c r="J7253" t="s">
        <v>14407</v>
      </c>
      <c r="L7253" t="s">
        <v>27250</v>
      </c>
      <c r="M7253" t="s">
        <v>27251</v>
      </c>
      <c r="N7253" t="s">
        <v>27252</v>
      </c>
      <c r="Q7253" s="1">
        <v>44846</v>
      </c>
      <c r="R7253" t="s">
        <v>27253</v>
      </c>
      <c r="S7253" t="s">
        <v>27254</v>
      </c>
      <c r="T7253" t="s">
        <v>27265</v>
      </c>
    </row>
    <row r="7254" spans="1:20" x14ac:dyDescent="0.3">
      <c r="A7254" t="str">
        <f>"0611863202100"</f>
        <v>0611863202100</v>
      </c>
      <c r="B7254" t="str">
        <f>"CN5244"</f>
        <v>CN5244</v>
      </c>
      <c r="C7254" t="s">
        <v>41316</v>
      </c>
      <c r="D7254" t="s">
        <v>27335</v>
      </c>
      <c r="E7254" t="str">
        <f t="shared" si="113"/>
        <v>001390</v>
      </c>
      <c r="F7254" t="s">
        <v>27246</v>
      </c>
      <c r="G7254" t="s">
        <v>27247</v>
      </c>
      <c r="H7254" t="s">
        <v>27248</v>
      </c>
      <c r="I7254" t="s">
        <v>41317</v>
      </c>
      <c r="J7254" t="s">
        <v>14409</v>
      </c>
      <c r="L7254" t="s">
        <v>27250</v>
      </c>
      <c r="M7254" t="s">
        <v>27251</v>
      </c>
      <c r="N7254" t="s">
        <v>27252</v>
      </c>
      <c r="Q7254" s="1">
        <v>44846</v>
      </c>
      <c r="R7254" t="s">
        <v>27253</v>
      </c>
      <c r="S7254" t="s">
        <v>27254</v>
      </c>
      <c r="T7254" t="s">
        <v>27255</v>
      </c>
    </row>
    <row r="7255" spans="1:20" x14ac:dyDescent="0.3">
      <c r="A7255" t="str">
        <f>"0611863203050"</f>
        <v>0611863203050</v>
      </c>
      <c r="B7255" t="str">
        <f>"CR4369"</f>
        <v>CR4369</v>
      </c>
      <c r="C7255" t="s">
        <v>41318</v>
      </c>
      <c r="D7255" t="s">
        <v>27286</v>
      </c>
      <c r="E7255" t="str">
        <f t="shared" si="113"/>
        <v>001390</v>
      </c>
      <c r="F7255" t="s">
        <v>27246</v>
      </c>
      <c r="G7255" t="s">
        <v>27247</v>
      </c>
      <c r="H7255" t="s">
        <v>27248</v>
      </c>
      <c r="I7255" t="s">
        <v>41319</v>
      </c>
      <c r="J7255" t="s">
        <v>14411</v>
      </c>
      <c r="L7255" t="s">
        <v>27250</v>
      </c>
      <c r="M7255" t="s">
        <v>27251</v>
      </c>
      <c r="N7255" t="s">
        <v>27252</v>
      </c>
      <c r="Q7255" s="1">
        <v>44846</v>
      </c>
      <c r="R7255" t="s">
        <v>27253</v>
      </c>
      <c r="S7255" t="s">
        <v>27254</v>
      </c>
      <c r="T7255" t="s">
        <v>27265</v>
      </c>
    </row>
    <row r="7256" spans="1:20" x14ac:dyDescent="0.3">
      <c r="A7256" t="str">
        <f>"0611863204100"</f>
        <v>0611863204100</v>
      </c>
      <c r="B7256" t="str">
        <f>"CN5245"</f>
        <v>CN5245</v>
      </c>
      <c r="C7256" t="s">
        <v>41320</v>
      </c>
      <c r="D7256" t="s">
        <v>27335</v>
      </c>
      <c r="E7256" t="str">
        <f t="shared" si="113"/>
        <v>001390</v>
      </c>
      <c r="F7256" t="s">
        <v>27246</v>
      </c>
      <c r="G7256" t="s">
        <v>27247</v>
      </c>
      <c r="H7256" t="s">
        <v>27248</v>
      </c>
      <c r="I7256" t="s">
        <v>41321</v>
      </c>
      <c r="J7256" t="s">
        <v>14413</v>
      </c>
      <c r="L7256" t="s">
        <v>27250</v>
      </c>
      <c r="M7256" t="s">
        <v>27251</v>
      </c>
      <c r="N7256" t="s">
        <v>27252</v>
      </c>
      <c r="Q7256" s="1">
        <v>44846</v>
      </c>
      <c r="R7256" t="s">
        <v>27253</v>
      </c>
      <c r="S7256" t="s">
        <v>27254</v>
      </c>
      <c r="T7256" t="s">
        <v>27255</v>
      </c>
    </row>
    <row r="7257" spans="1:20" x14ac:dyDescent="0.3">
      <c r="A7257" t="str">
        <f>"0611857021025"</f>
        <v>0611857021025</v>
      </c>
      <c r="B7257" t="str">
        <f>"MQ0792"</f>
        <v>MQ0792</v>
      </c>
      <c r="C7257" t="s">
        <v>41322</v>
      </c>
      <c r="D7257" t="s">
        <v>27267</v>
      </c>
      <c r="E7257" t="str">
        <f t="shared" si="113"/>
        <v>001390</v>
      </c>
      <c r="F7257" t="s">
        <v>27246</v>
      </c>
      <c r="G7257" t="s">
        <v>27247</v>
      </c>
      <c r="H7257" t="s">
        <v>27248</v>
      </c>
      <c r="I7257" t="s">
        <v>41323</v>
      </c>
      <c r="J7257" t="s">
        <v>14415</v>
      </c>
      <c r="L7257" t="s">
        <v>27250</v>
      </c>
      <c r="M7257" t="s">
        <v>27251</v>
      </c>
      <c r="N7257" t="s">
        <v>27252</v>
      </c>
      <c r="Q7257" s="1">
        <v>44812</v>
      </c>
      <c r="R7257" t="s">
        <v>27253</v>
      </c>
      <c r="S7257" t="s">
        <v>27254</v>
      </c>
      <c r="T7257" t="s">
        <v>27269</v>
      </c>
    </row>
    <row r="7258" spans="1:20" x14ac:dyDescent="0.3">
      <c r="A7258" t="str">
        <f>"0611836076025"</f>
        <v>0611836076025</v>
      </c>
      <c r="B7258" t="str">
        <f>"MC3752"</f>
        <v>MC3752</v>
      </c>
      <c r="C7258" t="s">
        <v>41324</v>
      </c>
      <c r="D7258" t="s">
        <v>27267</v>
      </c>
      <c r="E7258" t="str">
        <f t="shared" si="113"/>
        <v>001390</v>
      </c>
      <c r="F7258" t="s">
        <v>27246</v>
      </c>
      <c r="G7258" t="s">
        <v>27247</v>
      </c>
      <c r="H7258" t="s">
        <v>27248</v>
      </c>
      <c r="I7258" t="s">
        <v>41325</v>
      </c>
      <c r="J7258" t="s">
        <v>14417</v>
      </c>
      <c r="L7258" t="s">
        <v>27250</v>
      </c>
      <c r="M7258" t="s">
        <v>27251</v>
      </c>
      <c r="N7258" t="s">
        <v>27252</v>
      </c>
      <c r="Q7258" s="1">
        <v>44538</v>
      </c>
      <c r="R7258" t="s">
        <v>27253</v>
      </c>
      <c r="S7258" t="s">
        <v>27254</v>
      </c>
      <c r="T7258" t="s">
        <v>27269</v>
      </c>
    </row>
    <row r="7259" spans="1:20" x14ac:dyDescent="0.3">
      <c r="A7259" t="str">
        <f>"0611836077100"</f>
        <v>0611836077100</v>
      </c>
      <c r="B7259" t="str">
        <f>"LH3130"</f>
        <v>LH3130</v>
      </c>
      <c r="C7259" t="s">
        <v>41326</v>
      </c>
      <c r="D7259" t="s">
        <v>27245</v>
      </c>
      <c r="E7259" t="str">
        <f t="shared" si="113"/>
        <v>001390</v>
      </c>
      <c r="F7259" t="s">
        <v>27246</v>
      </c>
      <c r="G7259" t="s">
        <v>27247</v>
      </c>
      <c r="H7259" t="s">
        <v>27248</v>
      </c>
      <c r="I7259" t="s">
        <v>41327</v>
      </c>
      <c r="J7259" t="s">
        <v>14419</v>
      </c>
      <c r="L7259" t="s">
        <v>27250</v>
      </c>
      <c r="M7259" t="s">
        <v>27251</v>
      </c>
      <c r="N7259" t="s">
        <v>27252</v>
      </c>
      <c r="Q7259" s="1">
        <v>44538</v>
      </c>
      <c r="R7259" t="s">
        <v>27253</v>
      </c>
      <c r="S7259" t="s">
        <v>27254</v>
      </c>
      <c r="T7259" t="s">
        <v>27255</v>
      </c>
    </row>
    <row r="7260" spans="1:20" x14ac:dyDescent="0.3">
      <c r="A7260" t="str">
        <f>"0611836078025"</f>
        <v>0611836078025</v>
      </c>
      <c r="B7260" t="str">
        <f>"MC0475"</f>
        <v>MC0475</v>
      </c>
      <c r="C7260" t="s">
        <v>41326</v>
      </c>
      <c r="D7260" t="s">
        <v>27267</v>
      </c>
      <c r="E7260" t="str">
        <f t="shared" si="113"/>
        <v>001390</v>
      </c>
      <c r="F7260" t="s">
        <v>27246</v>
      </c>
      <c r="G7260" t="s">
        <v>27247</v>
      </c>
      <c r="H7260" t="s">
        <v>27248</v>
      </c>
      <c r="I7260" t="s">
        <v>41328</v>
      </c>
      <c r="J7260" t="s">
        <v>14421</v>
      </c>
      <c r="L7260" t="s">
        <v>27250</v>
      </c>
      <c r="M7260" t="s">
        <v>27251</v>
      </c>
      <c r="N7260" t="s">
        <v>27252</v>
      </c>
      <c r="Q7260" s="1">
        <v>44538</v>
      </c>
      <c r="R7260" t="s">
        <v>27253</v>
      </c>
      <c r="S7260" t="s">
        <v>27254</v>
      </c>
      <c r="T7260" t="s">
        <v>27269</v>
      </c>
    </row>
    <row r="7261" spans="1:20" x14ac:dyDescent="0.3">
      <c r="A7261" t="str">
        <f>"0611836079100"</f>
        <v>0611836079100</v>
      </c>
      <c r="B7261" t="str">
        <f>"LH3133"</f>
        <v>LH3133</v>
      </c>
      <c r="C7261" t="s">
        <v>41329</v>
      </c>
      <c r="D7261" t="s">
        <v>27245</v>
      </c>
      <c r="E7261" t="str">
        <f t="shared" si="113"/>
        <v>001390</v>
      </c>
      <c r="F7261" t="s">
        <v>27246</v>
      </c>
      <c r="G7261" t="s">
        <v>27247</v>
      </c>
      <c r="H7261" t="s">
        <v>27248</v>
      </c>
      <c r="I7261" t="s">
        <v>41330</v>
      </c>
      <c r="J7261" t="s">
        <v>14423</v>
      </c>
      <c r="L7261" t="s">
        <v>27250</v>
      </c>
      <c r="M7261" t="s">
        <v>27251</v>
      </c>
      <c r="N7261" t="s">
        <v>27252</v>
      </c>
      <c r="Q7261" s="1">
        <v>44538</v>
      </c>
      <c r="R7261" t="s">
        <v>27253</v>
      </c>
      <c r="S7261" t="s">
        <v>27254</v>
      </c>
      <c r="T7261" t="s">
        <v>27255</v>
      </c>
    </row>
    <row r="7262" spans="1:20" x14ac:dyDescent="0.3">
      <c r="A7262" t="str">
        <f>"0611836080025"</f>
        <v>0611836080025</v>
      </c>
      <c r="B7262" t="str">
        <f>"MC0476"</f>
        <v>MC0476</v>
      </c>
      <c r="C7262" t="s">
        <v>41329</v>
      </c>
      <c r="D7262" t="s">
        <v>27267</v>
      </c>
      <c r="E7262" t="str">
        <f t="shared" si="113"/>
        <v>001390</v>
      </c>
      <c r="F7262" t="s">
        <v>27246</v>
      </c>
      <c r="G7262" t="s">
        <v>27247</v>
      </c>
      <c r="H7262" t="s">
        <v>27248</v>
      </c>
      <c r="I7262" t="s">
        <v>41331</v>
      </c>
      <c r="J7262" t="s">
        <v>14425</v>
      </c>
      <c r="L7262" t="s">
        <v>27250</v>
      </c>
      <c r="M7262" t="s">
        <v>27251</v>
      </c>
      <c r="N7262" t="s">
        <v>27252</v>
      </c>
      <c r="Q7262" s="1">
        <v>44538</v>
      </c>
      <c r="R7262" t="s">
        <v>27253</v>
      </c>
      <c r="S7262" t="s">
        <v>27254</v>
      </c>
      <c r="T7262" t="s">
        <v>27269</v>
      </c>
    </row>
    <row r="7263" spans="1:20" x14ac:dyDescent="0.3">
      <c r="A7263" t="str">
        <f>"0611836081025"</f>
        <v>0611836081025</v>
      </c>
      <c r="B7263" t="str">
        <f>"MC0477"</f>
        <v>MC0477</v>
      </c>
      <c r="C7263" t="s">
        <v>41332</v>
      </c>
      <c r="D7263" t="s">
        <v>27267</v>
      </c>
      <c r="E7263" t="str">
        <f t="shared" si="113"/>
        <v>001390</v>
      </c>
      <c r="F7263" t="s">
        <v>27246</v>
      </c>
      <c r="G7263" t="s">
        <v>27247</v>
      </c>
      <c r="H7263" t="s">
        <v>27248</v>
      </c>
      <c r="I7263" t="s">
        <v>41333</v>
      </c>
      <c r="J7263" t="s">
        <v>14429</v>
      </c>
      <c r="L7263" t="s">
        <v>27250</v>
      </c>
      <c r="M7263" t="s">
        <v>27251</v>
      </c>
      <c r="N7263" t="s">
        <v>27252</v>
      </c>
      <c r="Q7263" s="1">
        <v>44538</v>
      </c>
      <c r="R7263" t="s">
        <v>27253</v>
      </c>
      <c r="S7263" t="s">
        <v>27254</v>
      </c>
      <c r="T7263" t="s">
        <v>27269</v>
      </c>
    </row>
    <row r="7264" spans="1:20" x14ac:dyDescent="0.3">
      <c r="A7264" t="str">
        <f>"0611863205100"</f>
        <v>0611863205100</v>
      </c>
      <c r="B7264" t="str">
        <f>"CN5252"</f>
        <v>CN5252</v>
      </c>
      <c r="C7264" t="s">
        <v>41332</v>
      </c>
      <c r="D7264" t="s">
        <v>27335</v>
      </c>
      <c r="E7264" t="str">
        <f t="shared" si="113"/>
        <v>001390</v>
      </c>
      <c r="F7264" t="s">
        <v>27246</v>
      </c>
      <c r="G7264" t="s">
        <v>27247</v>
      </c>
      <c r="H7264" t="s">
        <v>27248</v>
      </c>
      <c r="I7264" t="s">
        <v>41334</v>
      </c>
      <c r="J7264" t="s">
        <v>14427</v>
      </c>
      <c r="L7264" t="s">
        <v>27250</v>
      </c>
      <c r="M7264" t="s">
        <v>27251</v>
      </c>
      <c r="N7264" t="s">
        <v>27252</v>
      </c>
      <c r="Q7264" s="1">
        <v>44846</v>
      </c>
      <c r="R7264" t="s">
        <v>27253</v>
      </c>
      <c r="S7264" t="s">
        <v>27254</v>
      </c>
      <c r="T7264" t="s">
        <v>27255</v>
      </c>
    </row>
    <row r="7265" spans="1:20" x14ac:dyDescent="0.3">
      <c r="A7265" t="str">
        <f>"0611863206050"</f>
        <v>0611863206050</v>
      </c>
      <c r="B7265" t="str">
        <f>"CR4765"</f>
        <v>CR4765</v>
      </c>
      <c r="C7265" t="s">
        <v>41335</v>
      </c>
      <c r="D7265" t="s">
        <v>27286</v>
      </c>
      <c r="E7265" t="str">
        <f t="shared" si="113"/>
        <v>001390</v>
      </c>
      <c r="F7265" t="s">
        <v>27246</v>
      </c>
      <c r="G7265" t="s">
        <v>27247</v>
      </c>
      <c r="H7265" t="s">
        <v>27248</v>
      </c>
      <c r="I7265" t="s">
        <v>41336</v>
      </c>
      <c r="J7265" t="s">
        <v>14431</v>
      </c>
      <c r="L7265" t="s">
        <v>27250</v>
      </c>
      <c r="M7265" t="s">
        <v>27251</v>
      </c>
      <c r="N7265" t="s">
        <v>27252</v>
      </c>
      <c r="Q7265" s="1">
        <v>44846</v>
      </c>
      <c r="R7265" t="s">
        <v>27253</v>
      </c>
      <c r="S7265" t="s">
        <v>27254</v>
      </c>
      <c r="T7265" t="s">
        <v>27265</v>
      </c>
    </row>
    <row r="7266" spans="1:20" x14ac:dyDescent="0.3">
      <c r="A7266" t="str">
        <f>"0611857022025"</f>
        <v>0611857022025</v>
      </c>
      <c r="B7266" t="str">
        <f>"MQ0793"</f>
        <v>MQ0793</v>
      </c>
      <c r="C7266" t="s">
        <v>41337</v>
      </c>
      <c r="D7266" t="s">
        <v>27267</v>
      </c>
      <c r="E7266" t="str">
        <f t="shared" si="113"/>
        <v>001390</v>
      </c>
      <c r="F7266" t="s">
        <v>27246</v>
      </c>
      <c r="G7266" t="s">
        <v>27247</v>
      </c>
      <c r="H7266" t="s">
        <v>27248</v>
      </c>
      <c r="I7266" t="s">
        <v>41338</v>
      </c>
      <c r="J7266" t="s">
        <v>14433</v>
      </c>
      <c r="L7266" t="s">
        <v>27250</v>
      </c>
      <c r="M7266" t="s">
        <v>27251</v>
      </c>
      <c r="N7266" t="s">
        <v>27252</v>
      </c>
      <c r="Q7266" s="1">
        <v>44812</v>
      </c>
      <c r="R7266" t="s">
        <v>27253</v>
      </c>
      <c r="S7266" t="s">
        <v>27254</v>
      </c>
      <c r="T7266" t="s">
        <v>27269</v>
      </c>
    </row>
    <row r="7267" spans="1:20" x14ac:dyDescent="0.3">
      <c r="A7267" t="str">
        <f>"0611863207100"</f>
        <v>0611863207100</v>
      </c>
      <c r="B7267" t="str">
        <f>"CN5251"</f>
        <v>CN5251</v>
      </c>
      <c r="C7267" t="s">
        <v>41339</v>
      </c>
      <c r="D7267" t="s">
        <v>27339</v>
      </c>
      <c r="E7267" t="str">
        <f t="shared" si="113"/>
        <v>001390</v>
      </c>
      <c r="F7267" t="s">
        <v>27246</v>
      </c>
      <c r="G7267" t="s">
        <v>27247</v>
      </c>
      <c r="H7267" t="s">
        <v>27248</v>
      </c>
      <c r="I7267" t="s">
        <v>41340</v>
      </c>
      <c r="J7267" t="s">
        <v>14435</v>
      </c>
      <c r="L7267" t="s">
        <v>27250</v>
      </c>
      <c r="M7267" t="s">
        <v>27251</v>
      </c>
      <c r="N7267" t="s">
        <v>27252</v>
      </c>
      <c r="P7267" t="s">
        <v>27341</v>
      </c>
      <c r="Q7267" s="1">
        <v>44846</v>
      </c>
      <c r="R7267" t="s">
        <v>27253</v>
      </c>
      <c r="S7267" t="s">
        <v>27254</v>
      </c>
      <c r="T7267" t="s">
        <v>27255</v>
      </c>
    </row>
    <row r="7268" spans="1:20" x14ac:dyDescent="0.3">
      <c r="A7268" t="str">
        <f>"0611863208100"</f>
        <v>0611863208100</v>
      </c>
      <c r="B7268" t="str">
        <f>"CN5246"</f>
        <v>CN5246</v>
      </c>
      <c r="C7268" t="s">
        <v>41341</v>
      </c>
      <c r="D7268" t="s">
        <v>27339</v>
      </c>
      <c r="E7268" t="str">
        <f t="shared" si="113"/>
        <v>001390</v>
      </c>
      <c r="F7268" t="s">
        <v>27246</v>
      </c>
      <c r="G7268" t="s">
        <v>27247</v>
      </c>
      <c r="H7268" t="s">
        <v>27248</v>
      </c>
      <c r="I7268" t="s">
        <v>41342</v>
      </c>
      <c r="J7268" t="s">
        <v>14437</v>
      </c>
      <c r="L7268" t="s">
        <v>27250</v>
      </c>
      <c r="M7268" t="s">
        <v>27251</v>
      </c>
      <c r="N7268" t="s">
        <v>27252</v>
      </c>
      <c r="P7268" t="s">
        <v>27341</v>
      </c>
      <c r="Q7268" s="1">
        <v>44846</v>
      </c>
      <c r="R7268" t="s">
        <v>27253</v>
      </c>
      <c r="S7268" t="s">
        <v>27254</v>
      </c>
      <c r="T7268" t="s">
        <v>27255</v>
      </c>
    </row>
    <row r="7269" spans="1:20" x14ac:dyDescent="0.3">
      <c r="A7269" t="str">
        <f>"0611863209100"</f>
        <v>0611863209100</v>
      </c>
      <c r="B7269" t="str">
        <f>"CN5247"</f>
        <v>CN5247</v>
      </c>
      <c r="C7269" t="s">
        <v>41343</v>
      </c>
      <c r="D7269" t="s">
        <v>27339</v>
      </c>
      <c r="E7269" t="str">
        <f t="shared" si="113"/>
        <v>001390</v>
      </c>
      <c r="F7269" t="s">
        <v>27246</v>
      </c>
      <c r="G7269" t="s">
        <v>27247</v>
      </c>
      <c r="H7269" t="s">
        <v>27248</v>
      </c>
      <c r="I7269" t="s">
        <v>41344</v>
      </c>
      <c r="J7269" t="s">
        <v>14439</v>
      </c>
      <c r="L7269" t="s">
        <v>27250</v>
      </c>
      <c r="M7269" t="s">
        <v>27251</v>
      </c>
      <c r="N7269" t="s">
        <v>27252</v>
      </c>
      <c r="P7269" t="s">
        <v>27341</v>
      </c>
      <c r="Q7269" s="1">
        <v>44846</v>
      </c>
      <c r="R7269" t="s">
        <v>27253</v>
      </c>
      <c r="S7269" t="s">
        <v>27254</v>
      </c>
      <c r="T7269" t="s">
        <v>27255</v>
      </c>
    </row>
    <row r="7270" spans="1:20" x14ac:dyDescent="0.3">
      <c r="A7270" t="str">
        <f>"0611863210100"</f>
        <v>0611863210100</v>
      </c>
      <c r="B7270" t="str">
        <f>"CN2378"</f>
        <v>CN2378</v>
      </c>
      <c r="C7270" t="s">
        <v>41345</v>
      </c>
      <c r="D7270" t="s">
        <v>27339</v>
      </c>
      <c r="E7270" t="str">
        <f t="shared" si="113"/>
        <v>001390</v>
      </c>
      <c r="F7270" t="s">
        <v>27246</v>
      </c>
      <c r="G7270" t="s">
        <v>27247</v>
      </c>
      <c r="H7270" t="s">
        <v>27248</v>
      </c>
      <c r="I7270" t="s">
        <v>41346</v>
      </c>
      <c r="J7270" t="s">
        <v>14441</v>
      </c>
      <c r="L7270" t="s">
        <v>27250</v>
      </c>
      <c r="M7270" t="s">
        <v>27251</v>
      </c>
      <c r="N7270" t="s">
        <v>27252</v>
      </c>
      <c r="P7270" t="s">
        <v>27341</v>
      </c>
      <c r="Q7270" s="1">
        <v>44846</v>
      </c>
      <c r="R7270" t="s">
        <v>27253</v>
      </c>
      <c r="S7270" t="s">
        <v>27254</v>
      </c>
      <c r="T7270" t="s">
        <v>27255</v>
      </c>
    </row>
    <row r="7271" spans="1:20" x14ac:dyDescent="0.3">
      <c r="A7271" t="str">
        <f>"0611863211100"</f>
        <v>0611863211100</v>
      </c>
      <c r="B7271" t="str">
        <f>"CN5248"</f>
        <v>CN5248</v>
      </c>
      <c r="C7271" t="s">
        <v>41347</v>
      </c>
      <c r="D7271" t="s">
        <v>27339</v>
      </c>
      <c r="E7271" t="str">
        <f t="shared" si="113"/>
        <v>001390</v>
      </c>
      <c r="F7271" t="s">
        <v>27246</v>
      </c>
      <c r="G7271" t="s">
        <v>27247</v>
      </c>
      <c r="H7271" t="s">
        <v>27248</v>
      </c>
      <c r="I7271" t="s">
        <v>41348</v>
      </c>
      <c r="J7271" t="s">
        <v>14443</v>
      </c>
      <c r="L7271" t="s">
        <v>27250</v>
      </c>
      <c r="M7271" t="s">
        <v>27251</v>
      </c>
      <c r="N7271" t="s">
        <v>27252</v>
      </c>
      <c r="P7271" t="s">
        <v>27341</v>
      </c>
      <c r="Q7271" s="1">
        <v>44846</v>
      </c>
      <c r="R7271" t="s">
        <v>27253</v>
      </c>
      <c r="S7271" t="s">
        <v>27254</v>
      </c>
      <c r="T7271" t="s">
        <v>27255</v>
      </c>
    </row>
    <row r="7272" spans="1:20" x14ac:dyDescent="0.3">
      <c r="A7272" t="str">
        <f>"0611863212100"</f>
        <v>0611863212100</v>
      </c>
      <c r="B7272" t="str">
        <f>"CN5249"</f>
        <v>CN5249</v>
      </c>
      <c r="C7272" t="s">
        <v>41349</v>
      </c>
      <c r="D7272" t="s">
        <v>27339</v>
      </c>
      <c r="E7272" t="str">
        <f t="shared" si="113"/>
        <v>001390</v>
      </c>
      <c r="F7272" t="s">
        <v>27246</v>
      </c>
      <c r="G7272" t="s">
        <v>27247</v>
      </c>
      <c r="H7272" t="s">
        <v>27248</v>
      </c>
      <c r="I7272" t="s">
        <v>41350</v>
      </c>
      <c r="J7272" t="s">
        <v>14445</v>
      </c>
      <c r="L7272" t="s">
        <v>27250</v>
      </c>
      <c r="M7272" t="s">
        <v>27251</v>
      </c>
      <c r="N7272" t="s">
        <v>27252</v>
      </c>
      <c r="P7272" t="s">
        <v>27341</v>
      </c>
      <c r="Q7272" s="1">
        <v>44846</v>
      </c>
      <c r="R7272" t="s">
        <v>27253</v>
      </c>
      <c r="S7272" t="s">
        <v>27254</v>
      </c>
      <c r="T7272" t="s">
        <v>27255</v>
      </c>
    </row>
    <row r="7273" spans="1:20" x14ac:dyDescent="0.3">
      <c r="A7273" t="str">
        <f>"0611863213050"</f>
        <v>0611863213050</v>
      </c>
      <c r="B7273" t="str">
        <f>"CR4871"</f>
        <v>CR4871</v>
      </c>
      <c r="C7273" t="s">
        <v>41349</v>
      </c>
      <c r="D7273" t="s">
        <v>27271</v>
      </c>
      <c r="E7273" t="str">
        <f t="shared" si="113"/>
        <v>001390</v>
      </c>
      <c r="F7273" t="s">
        <v>27246</v>
      </c>
      <c r="G7273" t="s">
        <v>27247</v>
      </c>
      <c r="H7273" t="s">
        <v>27248</v>
      </c>
      <c r="I7273" t="s">
        <v>41351</v>
      </c>
      <c r="J7273" t="s">
        <v>14447</v>
      </c>
      <c r="L7273" t="s">
        <v>27250</v>
      </c>
      <c r="M7273" t="s">
        <v>27251</v>
      </c>
      <c r="N7273" t="s">
        <v>27252</v>
      </c>
      <c r="P7273" t="s">
        <v>27341</v>
      </c>
      <c r="Q7273" s="1">
        <v>44846</v>
      </c>
      <c r="R7273" t="s">
        <v>27253</v>
      </c>
      <c r="S7273" t="s">
        <v>27254</v>
      </c>
      <c r="T7273" t="s">
        <v>27265</v>
      </c>
    </row>
    <row r="7274" spans="1:20" x14ac:dyDescent="0.3">
      <c r="A7274" t="str">
        <f>"0611863214100"</f>
        <v>0611863214100</v>
      </c>
      <c r="B7274" t="str">
        <f>"CN2379"</f>
        <v>CN2379</v>
      </c>
      <c r="C7274" t="s">
        <v>41352</v>
      </c>
      <c r="D7274" t="s">
        <v>27339</v>
      </c>
      <c r="E7274" t="str">
        <f t="shared" si="113"/>
        <v>001390</v>
      </c>
      <c r="F7274" t="s">
        <v>27246</v>
      </c>
      <c r="G7274" t="s">
        <v>27247</v>
      </c>
      <c r="H7274" t="s">
        <v>27248</v>
      </c>
      <c r="I7274" t="s">
        <v>41353</v>
      </c>
      <c r="J7274" t="s">
        <v>14449</v>
      </c>
      <c r="L7274" t="s">
        <v>27250</v>
      </c>
      <c r="M7274" t="s">
        <v>27251</v>
      </c>
      <c r="N7274" t="s">
        <v>27252</v>
      </c>
      <c r="P7274" t="s">
        <v>27341</v>
      </c>
      <c r="Q7274" s="1">
        <v>44846</v>
      </c>
      <c r="R7274" t="s">
        <v>27253</v>
      </c>
      <c r="S7274" t="s">
        <v>27254</v>
      </c>
      <c r="T7274" t="s">
        <v>27255</v>
      </c>
    </row>
    <row r="7275" spans="1:20" x14ac:dyDescent="0.3">
      <c r="A7275" t="str">
        <f>"0611863215100"</f>
        <v>0611863215100</v>
      </c>
      <c r="B7275" t="str">
        <f>"CN5250"</f>
        <v>CN5250</v>
      </c>
      <c r="C7275" t="s">
        <v>41354</v>
      </c>
      <c r="D7275" t="s">
        <v>27339</v>
      </c>
      <c r="E7275" t="str">
        <f t="shared" si="113"/>
        <v>001390</v>
      </c>
      <c r="F7275" t="s">
        <v>27246</v>
      </c>
      <c r="G7275" t="s">
        <v>27247</v>
      </c>
      <c r="H7275" t="s">
        <v>27248</v>
      </c>
      <c r="I7275" t="s">
        <v>41355</v>
      </c>
      <c r="J7275" t="s">
        <v>14451</v>
      </c>
      <c r="L7275" t="s">
        <v>27250</v>
      </c>
      <c r="M7275" t="s">
        <v>27251</v>
      </c>
      <c r="N7275" t="s">
        <v>27252</v>
      </c>
      <c r="P7275" t="s">
        <v>27341</v>
      </c>
      <c r="Q7275" s="1">
        <v>44846</v>
      </c>
      <c r="R7275" t="s">
        <v>27253</v>
      </c>
      <c r="S7275" t="s">
        <v>27254</v>
      </c>
      <c r="T7275" t="s">
        <v>27255</v>
      </c>
    </row>
    <row r="7276" spans="1:20" x14ac:dyDescent="0.3">
      <c r="A7276" t="str">
        <f>"0611863216050"</f>
        <v>0611863216050</v>
      </c>
      <c r="B7276" t="str">
        <f>"CR3803"</f>
        <v>CR3803</v>
      </c>
      <c r="C7276" t="s">
        <v>41354</v>
      </c>
      <c r="D7276" t="s">
        <v>27271</v>
      </c>
      <c r="E7276" t="str">
        <f t="shared" si="113"/>
        <v>001390</v>
      </c>
      <c r="F7276" t="s">
        <v>27246</v>
      </c>
      <c r="G7276" t="s">
        <v>27247</v>
      </c>
      <c r="H7276" t="s">
        <v>27248</v>
      </c>
      <c r="I7276" t="s">
        <v>41356</v>
      </c>
      <c r="J7276" t="s">
        <v>14453</v>
      </c>
      <c r="L7276" t="s">
        <v>27250</v>
      </c>
      <c r="M7276" t="s">
        <v>27251</v>
      </c>
      <c r="N7276" t="s">
        <v>27252</v>
      </c>
      <c r="P7276" t="s">
        <v>27341</v>
      </c>
      <c r="Q7276" s="1">
        <v>44846</v>
      </c>
      <c r="R7276" t="s">
        <v>27253</v>
      </c>
      <c r="S7276" t="s">
        <v>27254</v>
      </c>
      <c r="T7276" t="s">
        <v>27265</v>
      </c>
    </row>
    <row r="7277" spans="1:20" x14ac:dyDescent="0.3">
      <c r="A7277" t="str">
        <f>"0611836082025"</f>
        <v>0611836082025</v>
      </c>
      <c r="B7277" t="str">
        <f>"MQ0302"</f>
        <v>MQ0302</v>
      </c>
      <c r="C7277" t="s">
        <v>41357</v>
      </c>
      <c r="D7277" t="s">
        <v>27267</v>
      </c>
      <c r="E7277" t="str">
        <f t="shared" si="113"/>
        <v>001390</v>
      </c>
      <c r="F7277" t="s">
        <v>27246</v>
      </c>
      <c r="G7277" t="s">
        <v>27247</v>
      </c>
      <c r="H7277" t="s">
        <v>27248</v>
      </c>
      <c r="I7277" t="s">
        <v>41358</v>
      </c>
      <c r="J7277" t="s">
        <v>14455</v>
      </c>
      <c r="L7277" t="s">
        <v>27250</v>
      </c>
      <c r="M7277" t="s">
        <v>27251</v>
      </c>
      <c r="N7277" t="s">
        <v>27252</v>
      </c>
      <c r="Q7277" s="1">
        <v>44538</v>
      </c>
      <c r="R7277" t="s">
        <v>27253</v>
      </c>
      <c r="S7277" t="s">
        <v>27254</v>
      </c>
      <c r="T7277" t="s">
        <v>27269</v>
      </c>
    </row>
    <row r="7278" spans="1:20" x14ac:dyDescent="0.3">
      <c r="A7278" t="str">
        <f>"0611836083025"</f>
        <v>0611836083025</v>
      </c>
      <c r="B7278" t="str">
        <f>"MQ0648"</f>
        <v>MQ0648</v>
      </c>
      <c r="C7278" t="s">
        <v>41359</v>
      </c>
      <c r="D7278" t="s">
        <v>28057</v>
      </c>
      <c r="E7278" t="str">
        <f t="shared" si="113"/>
        <v>001390</v>
      </c>
      <c r="F7278" t="s">
        <v>27246</v>
      </c>
      <c r="G7278" t="s">
        <v>27247</v>
      </c>
      <c r="H7278" t="s">
        <v>27248</v>
      </c>
      <c r="I7278" t="s">
        <v>41360</v>
      </c>
      <c r="J7278" t="s">
        <v>14457</v>
      </c>
      <c r="L7278" t="s">
        <v>27250</v>
      </c>
      <c r="M7278" t="s">
        <v>27251</v>
      </c>
      <c r="N7278" t="s">
        <v>27252</v>
      </c>
      <c r="P7278" t="s">
        <v>27925</v>
      </c>
      <c r="Q7278" s="1">
        <v>44538</v>
      </c>
      <c r="R7278" t="s">
        <v>27253</v>
      </c>
      <c r="S7278" t="s">
        <v>27254</v>
      </c>
      <c r="T7278" t="s">
        <v>27269</v>
      </c>
    </row>
    <row r="7279" spans="1:20" x14ac:dyDescent="0.3">
      <c r="A7279" t="str">
        <f>"0611863217050"</f>
        <v>0611863217050</v>
      </c>
      <c r="B7279" t="str">
        <f>"CE1724"</f>
        <v>CE1724</v>
      </c>
      <c r="C7279" t="s">
        <v>41359</v>
      </c>
      <c r="D7279" t="s">
        <v>27923</v>
      </c>
      <c r="E7279" t="str">
        <f t="shared" si="113"/>
        <v>001390</v>
      </c>
      <c r="F7279" t="s">
        <v>27246</v>
      </c>
      <c r="G7279" t="s">
        <v>27247</v>
      </c>
      <c r="H7279" t="s">
        <v>27248</v>
      </c>
      <c r="I7279" t="s">
        <v>41361</v>
      </c>
      <c r="J7279" t="s">
        <v>14459</v>
      </c>
      <c r="L7279" t="s">
        <v>27250</v>
      </c>
      <c r="M7279" t="s">
        <v>27251</v>
      </c>
      <c r="N7279" t="s">
        <v>27252</v>
      </c>
      <c r="P7279" t="s">
        <v>27925</v>
      </c>
      <c r="Q7279" s="1">
        <v>44846</v>
      </c>
      <c r="R7279" t="s">
        <v>27253</v>
      </c>
      <c r="S7279" t="s">
        <v>27254</v>
      </c>
      <c r="T7279" t="s">
        <v>27265</v>
      </c>
    </row>
    <row r="7280" spans="1:20" x14ac:dyDescent="0.3">
      <c r="A7280" t="str">
        <f>"0611836084025"</f>
        <v>0611836084025</v>
      </c>
      <c r="B7280" t="str">
        <f>"MQ7166"</f>
        <v>MQ7166</v>
      </c>
      <c r="C7280" t="s">
        <v>41362</v>
      </c>
      <c r="D7280" t="s">
        <v>28057</v>
      </c>
      <c r="E7280" t="str">
        <f t="shared" si="113"/>
        <v>001390</v>
      </c>
      <c r="F7280" t="s">
        <v>27246</v>
      </c>
      <c r="G7280" t="s">
        <v>27247</v>
      </c>
      <c r="H7280" t="s">
        <v>27248</v>
      </c>
      <c r="I7280" t="s">
        <v>41363</v>
      </c>
      <c r="J7280" t="s">
        <v>14461</v>
      </c>
      <c r="L7280" t="s">
        <v>27250</v>
      </c>
      <c r="M7280" t="s">
        <v>27251</v>
      </c>
      <c r="N7280" t="s">
        <v>27252</v>
      </c>
      <c r="P7280" t="s">
        <v>27925</v>
      </c>
      <c r="Q7280" s="1">
        <v>44538</v>
      </c>
      <c r="R7280" t="s">
        <v>27253</v>
      </c>
      <c r="S7280" t="s">
        <v>27254</v>
      </c>
      <c r="T7280" t="s">
        <v>27269</v>
      </c>
    </row>
    <row r="7281" spans="1:20" x14ac:dyDescent="0.3">
      <c r="A7281" t="str">
        <f>"0611863218050"</f>
        <v>0611863218050</v>
      </c>
      <c r="B7281" t="str">
        <f>"CE1004"</f>
        <v>CE1004</v>
      </c>
      <c r="C7281" t="s">
        <v>41362</v>
      </c>
      <c r="D7281" t="s">
        <v>27923</v>
      </c>
      <c r="E7281" t="str">
        <f t="shared" si="113"/>
        <v>001390</v>
      </c>
      <c r="F7281" t="s">
        <v>27246</v>
      </c>
      <c r="G7281" t="s">
        <v>27247</v>
      </c>
      <c r="H7281" t="s">
        <v>27248</v>
      </c>
      <c r="I7281" t="s">
        <v>41364</v>
      </c>
      <c r="J7281" t="s">
        <v>14463</v>
      </c>
      <c r="L7281" t="s">
        <v>27250</v>
      </c>
      <c r="M7281" t="s">
        <v>27251</v>
      </c>
      <c r="N7281" t="s">
        <v>27252</v>
      </c>
      <c r="P7281" t="s">
        <v>27925</v>
      </c>
      <c r="Q7281" s="1">
        <v>44846</v>
      </c>
      <c r="R7281" t="s">
        <v>27253</v>
      </c>
      <c r="S7281" t="s">
        <v>27254</v>
      </c>
      <c r="T7281" t="s">
        <v>27265</v>
      </c>
    </row>
    <row r="7282" spans="1:20" x14ac:dyDescent="0.3">
      <c r="A7282" t="str">
        <f>"0611836085025"</f>
        <v>0611836085025</v>
      </c>
      <c r="B7282" t="str">
        <f>"MQ0649"</f>
        <v>MQ0649</v>
      </c>
      <c r="C7282" t="s">
        <v>41365</v>
      </c>
      <c r="D7282" t="s">
        <v>28057</v>
      </c>
      <c r="E7282" t="str">
        <f t="shared" si="113"/>
        <v>001390</v>
      </c>
      <c r="F7282" t="s">
        <v>27246</v>
      </c>
      <c r="G7282" t="s">
        <v>27247</v>
      </c>
      <c r="H7282" t="s">
        <v>27248</v>
      </c>
      <c r="I7282" t="s">
        <v>41366</v>
      </c>
      <c r="J7282" t="s">
        <v>14465</v>
      </c>
      <c r="L7282" t="s">
        <v>27250</v>
      </c>
      <c r="M7282" t="s">
        <v>27251</v>
      </c>
      <c r="N7282" t="s">
        <v>27252</v>
      </c>
      <c r="P7282" t="s">
        <v>27925</v>
      </c>
      <c r="Q7282" s="1">
        <v>44538</v>
      </c>
      <c r="R7282" t="s">
        <v>27253</v>
      </c>
      <c r="S7282" t="s">
        <v>27254</v>
      </c>
      <c r="T7282" t="s">
        <v>27269</v>
      </c>
    </row>
    <row r="7283" spans="1:20" x14ac:dyDescent="0.3">
      <c r="A7283" t="str">
        <f>"0611863219050"</f>
        <v>0611863219050</v>
      </c>
      <c r="B7283" t="str">
        <f>"CE1725"</f>
        <v>CE1725</v>
      </c>
      <c r="C7283" t="s">
        <v>41365</v>
      </c>
      <c r="D7283" t="s">
        <v>27923</v>
      </c>
      <c r="E7283" t="str">
        <f t="shared" si="113"/>
        <v>001390</v>
      </c>
      <c r="F7283" t="s">
        <v>27246</v>
      </c>
      <c r="G7283" t="s">
        <v>27247</v>
      </c>
      <c r="H7283" t="s">
        <v>27248</v>
      </c>
      <c r="I7283" t="s">
        <v>41367</v>
      </c>
      <c r="J7283" t="s">
        <v>14467</v>
      </c>
      <c r="L7283" t="s">
        <v>27250</v>
      </c>
      <c r="M7283" t="s">
        <v>27251</v>
      </c>
      <c r="N7283" t="s">
        <v>27252</v>
      </c>
      <c r="P7283" t="s">
        <v>27925</v>
      </c>
      <c r="Q7283" s="1">
        <v>44846</v>
      </c>
      <c r="R7283" t="s">
        <v>27253</v>
      </c>
      <c r="S7283" t="s">
        <v>27254</v>
      </c>
      <c r="T7283" t="s">
        <v>27265</v>
      </c>
    </row>
    <row r="7284" spans="1:20" x14ac:dyDescent="0.3">
      <c r="A7284" t="str">
        <f>"0611836086025"</f>
        <v>0611836086025</v>
      </c>
      <c r="B7284" t="str">
        <f>"MQ0719"</f>
        <v>MQ0719</v>
      </c>
      <c r="C7284" t="s">
        <v>41368</v>
      </c>
      <c r="D7284" t="s">
        <v>28057</v>
      </c>
      <c r="E7284" t="str">
        <f t="shared" si="113"/>
        <v>001390</v>
      </c>
      <c r="F7284" t="s">
        <v>27246</v>
      </c>
      <c r="G7284" t="s">
        <v>27247</v>
      </c>
      <c r="H7284" t="s">
        <v>27248</v>
      </c>
      <c r="I7284" t="s">
        <v>41369</v>
      </c>
      <c r="J7284" t="s">
        <v>14469</v>
      </c>
      <c r="L7284" t="s">
        <v>27250</v>
      </c>
      <c r="M7284" t="s">
        <v>27251</v>
      </c>
      <c r="N7284" t="s">
        <v>27252</v>
      </c>
      <c r="P7284" t="s">
        <v>27925</v>
      </c>
      <c r="Q7284" s="1">
        <v>44538</v>
      </c>
      <c r="R7284" t="s">
        <v>27253</v>
      </c>
      <c r="S7284" t="s">
        <v>27254</v>
      </c>
      <c r="T7284" t="s">
        <v>27269</v>
      </c>
    </row>
    <row r="7285" spans="1:20" x14ac:dyDescent="0.3">
      <c r="A7285" t="str">
        <f>"0611836087025"</f>
        <v>0611836087025</v>
      </c>
      <c r="B7285" t="str">
        <f>"MQ7255"</f>
        <v>MQ7255</v>
      </c>
      <c r="C7285" t="s">
        <v>41370</v>
      </c>
      <c r="D7285" t="s">
        <v>28057</v>
      </c>
      <c r="E7285" t="str">
        <f t="shared" si="113"/>
        <v>001390</v>
      </c>
      <c r="F7285" t="s">
        <v>27246</v>
      </c>
      <c r="G7285" t="s">
        <v>27247</v>
      </c>
      <c r="H7285" t="s">
        <v>27248</v>
      </c>
      <c r="I7285" t="s">
        <v>41371</v>
      </c>
      <c r="J7285" t="s">
        <v>14471</v>
      </c>
      <c r="L7285" t="s">
        <v>27250</v>
      </c>
      <c r="M7285" t="s">
        <v>27251</v>
      </c>
      <c r="N7285" t="s">
        <v>27252</v>
      </c>
      <c r="P7285" t="s">
        <v>27925</v>
      </c>
      <c r="Q7285" s="1">
        <v>44538</v>
      </c>
      <c r="R7285" t="s">
        <v>27253</v>
      </c>
      <c r="S7285" t="s">
        <v>27254</v>
      </c>
      <c r="T7285" t="s">
        <v>27269</v>
      </c>
    </row>
    <row r="7286" spans="1:20" x14ac:dyDescent="0.3">
      <c r="A7286" t="str">
        <f>"0611884292050"</f>
        <v>0611884292050</v>
      </c>
      <c r="B7286" t="str">
        <f>"CE1005"</f>
        <v>CE1005</v>
      </c>
      <c r="C7286" t="s">
        <v>41370</v>
      </c>
      <c r="D7286" t="s">
        <v>27923</v>
      </c>
      <c r="E7286" t="str">
        <f t="shared" si="113"/>
        <v>001390</v>
      </c>
      <c r="F7286" t="s">
        <v>27246</v>
      </c>
      <c r="G7286" t="s">
        <v>27247</v>
      </c>
      <c r="H7286" t="s">
        <v>27248</v>
      </c>
      <c r="I7286" t="s">
        <v>41372</v>
      </c>
      <c r="J7286" t="s">
        <v>14473</v>
      </c>
      <c r="L7286" t="s">
        <v>27430</v>
      </c>
      <c r="M7286" t="s">
        <v>27251</v>
      </c>
      <c r="N7286" t="s">
        <v>27252</v>
      </c>
      <c r="P7286" t="s">
        <v>27925</v>
      </c>
      <c r="Q7286" s="1">
        <v>45250</v>
      </c>
      <c r="R7286" t="s">
        <v>27253</v>
      </c>
      <c r="S7286" t="s">
        <v>27254</v>
      </c>
      <c r="T7286" t="s">
        <v>27265</v>
      </c>
    </row>
    <row r="7287" spans="1:20" x14ac:dyDescent="0.3">
      <c r="A7287" t="str">
        <f>"0611836088025"</f>
        <v>0611836088025</v>
      </c>
      <c r="B7287" t="str">
        <f>"MC4294"</f>
        <v>MC4294</v>
      </c>
      <c r="C7287" t="s">
        <v>41373</v>
      </c>
      <c r="D7287" t="s">
        <v>27267</v>
      </c>
      <c r="E7287" t="str">
        <f t="shared" si="113"/>
        <v>001390</v>
      </c>
      <c r="F7287" t="s">
        <v>27246</v>
      </c>
      <c r="G7287" t="s">
        <v>27247</v>
      </c>
      <c r="H7287" t="s">
        <v>27248</v>
      </c>
      <c r="I7287" t="s">
        <v>41374</v>
      </c>
      <c r="J7287" t="s">
        <v>14475</v>
      </c>
      <c r="L7287" t="s">
        <v>27250</v>
      </c>
      <c r="M7287" t="s">
        <v>27251</v>
      </c>
      <c r="N7287" t="s">
        <v>27252</v>
      </c>
      <c r="Q7287" s="1">
        <v>44538</v>
      </c>
      <c r="R7287" t="s">
        <v>27253</v>
      </c>
      <c r="S7287" t="s">
        <v>27254</v>
      </c>
      <c r="T7287" t="s">
        <v>27269</v>
      </c>
    </row>
    <row r="7288" spans="1:20" x14ac:dyDescent="0.3">
      <c r="A7288" t="str">
        <f>"0611836089025"</f>
        <v>0611836089025</v>
      </c>
      <c r="B7288" t="str">
        <f>"MC4392"</f>
        <v>MC4392</v>
      </c>
      <c r="C7288" t="s">
        <v>41375</v>
      </c>
      <c r="D7288" t="s">
        <v>27267</v>
      </c>
      <c r="E7288" t="str">
        <f t="shared" si="113"/>
        <v>001390</v>
      </c>
      <c r="F7288" t="s">
        <v>27246</v>
      </c>
      <c r="G7288" t="s">
        <v>27247</v>
      </c>
      <c r="H7288" t="s">
        <v>27248</v>
      </c>
      <c r="I7288" t="s">
        <v>41376</v>
      </c>
      <c r="J7288" t="s">
        <v>14477</v>
      </c>
      <c r="L7288" t="s">
        <v>27250</v>
      </c>
      <c r="M7288" t="s">
        <v>27251</v>
      </c>
      <c r="N7288" t="s">
        <v>27252</v>
      </c>
      <c r="Q7288" s="1">
        <v>44538</v>
      </c>
      <c r="R7288" t="s">
        <v>27253</v>
      </c>
      <c r="S7288" t="s">
        <v>27254</v>
      </c>
      <c r="T7288" t="s">
        <v>27269</v>
      </c>
    </row>
    <row r="7289" spans="1:20" x14ac:dyDescent="0.3">
      <c r="A7289" t="str">
        <f>"0611836090025"</f>
        <v>0611836090025</v>
      </c>
      <c r="B7289" t="str">
        <f>"MQ0303"</f>
        <v>MQ0303</v>
      </c>
      <c r="C7289" t="s">
        <v>41377</v>
      </c>
      <c r="D7289" t="s">
        <v>27267</v>
      </c>
      <c r="E7289" t="str">
        <f t="shared" si="113"/>
        <v>001390</v>
      </c>
      <c r="F7289" t="s">
        <v>27246</v>
      </c>
      <c r="G7289" t="s">
        <v>27247</v>
      </c>
      <c r="H7289" t="s">
        <v>27248</v>
      </c>
      <c r="I7289" t="s">
        <v>41378</v>
      </c>
      <c r="J7289" t="s">
        <v>14479</v>
      </c>
      <c r="L7289" t="s">
        <v>27250</v>
      </c>
      <c r="M7289" t="s">
        <v>27251</v>
      </c>
      <c r="N7289" t="s">
        <v>27252</v>
      </c>
      <c r="Q7289" s="1">
        <v>44538</v>
      </c>
      <c r="R7289" t="s">
        <v>27253</v>
      </c>
      <c r="S7289" t="s">
        <v>27254</v>
      </c>
      <c r="T7289" t="s">
        <v>27269</v>
      </c>
    </row>
    <row r="7290" spans="1:20" x14ac:dyDescent="0.3">
      <c r="A7290" t="str">
        <f>"0611836091025"</f>
        <v>0611836091025</v>
      </c>
      <c r="B7290" t="str">
        <f>"MC4071"</f>
        <v>MC4071</v>
      </c>
      <c r="C7290" t="s">
        <v>41379</v>
      </c>
      <c r="D7290" t="s">
        <v>27267</v>
      </c>
      <c r="E7290" t="str">
        <f t="shared" si="113"/>
        <v>001390</v>
      </c>
      <c r="F7290" t="s">
        <v>27246</v>
      </c>
      <c r="G7290" t="s">
        <v>27247</v>
      </c>
      <c r="H7290" t="s">
        <v>27248</v>
      </c>
      <c r="I7290" t="s">
        <v>41380</v>
      </c>
      <c r="J7290" t="s">
        <v>14481</v>
      </c>
      <c r="L7290" t="s">
        <v>27250</v>
      </c>
      <c r="M7290" t="s">
        <v>27251</v>
      </c>
      <c r="N7290" t="s">
        <v>27252</v>
      </c>
      <c r="Q7290" s="1">
        <v>44538</v>
      </c>
      <c r="R7290" t="s">
        <v>27253</v>
      </c>
      <c r="S7290" t="s">
        <v>27254</v>
      </c>
      <c r="T7290" t="s">
        <v>27269</v>
      </c>
    </row>
    <row r="7291" spans="1:20" x14ac:dyDescent="0.3">
      <c r="A7291" t="str">
        <f>"0611836092025"</f>
        <v>0611836092025</v>
      </c>
      <c r="B7291" t="str">
        <f>"MQ0650"</f>
        <v>MQ0650</v>
      </c>
      <c r="C7291" t="s">
        <v>41381</v>
      </c>
      <c r="D7291" t="s">
        <v>27267</v>
      </c>
      <c r="E7291" t="str">
        <f t="shared" si="113"/>
        <v>001390</v>
      </c>
      <c r="F7291" t="s">
        <v>27246</v>
      </c>
      <c r="G7291" t="s">
        <v>27247</v>
      </c>
      <c r="H7291" t="s">
        <v>27248</v>
      </c>
      <c r="I7291" t="s">
        <v>41382</v>
      </c>
      <c r="J7291" t="s">
        <v>14483</v>
      </c>
      <c r="L7291" t="s">
        <v>27250</v>
      </c>
      <c r="M7291" t="s">
        <v>27251</v>
      </c>
      <c r="N7291" t="s">
        <v>27252</v>
      </c>
      <c r="Q7291" s="1">
        <v>44538</v>
      </c>
      <c r="R7291" t="s">
        <v>27253</v>
      </c>
      <c r="S7291" t="s">
        <v>27254</v>
      </c>
      <c r="T7291" t="s">
        <v>27269</v>
      </c>
    </row>
    <row r="7292" spans="1:20" x14ac:dyDescent="0.3">
      <c r="A7292" t="str">
        <f>"0611884293025"</f>
        <v>0611884293025</v>
      </c>
      <c r="B7292" t="str">
        <f>"MC4483"</f>
        <v>MC4483</v>
      </c>
      <c r="C7292" t="s">
        <v>41383</v>
      </c>
      <c r="D7292" t="s">
        <v>27267</v>
      </c>
      <c r="E7292" t="str">
        <f t="shared" si="113"/>
        <v>001390</v>
      </c>
      <c r="F7292" t="s">
        <v>27246</v>
      </c>
      <c r="G7292" t="s">
        <v>27247</v>
      </c>
      <c r="H7292" t="s">
        <v>27248</v>
      </c>
      <c r="I7292" t="s">
        <v>41384</v>
      </c>
      <c r="J7292" t="s">
        <v>14485</v>
      </c>
      <c r="L7292" t="s">
        <v>27430</v>
      </c>
      <c r="M7292" t="s">
        <v>27251</v>
      </c>
      <c r="N7292" t="s">
        <v>27252</v>
      </c>
      <c r="Q7292" s="1">
        <v>45250</v>
      </c>
      <c r="R7292" t="s">
        <v>27253</v>
      </c>
      <c r="S7292" t="s">
        <v>27254</v>
      </c>
      <c r="T7292" t="s">
        <v>27269</v>
      </c>
    </row>
    <row r="7293" spans="1:20" x14ac:dyDescent="0.3">
      <c r="A7293" t="str">
        <f>"0611884294025"</f>
        <v>0611884294025</v>
      </c>
      <c r="B7293" t="str">
        <f>"MC4526"</f>
        <v>MC4526</v>
      </c>
      <c r="C7293" t="s">
        <v>41385</v>
      </c>
      <c r="D7293" t="s">
        <v>27267</v>
      </c>
      <c r="E7293" t="str">
        <f t="shared" si="113"/>
        <v>001390</v>
      </c>
      <c r="F7293" t="s">
        <v>27246</v>
      </c>
      <c r="G7293" t="s">
        <v>27247</v>
      </c>
      <c r="H7293" t="s">
        <v>27248</v>
      </c>
      <c r="I7293" t="s">
        <v>41386</v>
      </c>
      <c r="J7293" t="s">
        <v>14487</v>
      </c>
      <c r="L7293" t="s">
        <v>27430</v>
      </c>
      <c r="M7293" t="s">
        <v>27251</v>
      </c>
      <c r="N7293" t="s">
        <v>27252</v>
      </c>
      <c r="Q7293" s="1">
        <v>45250</v>
      </c>
      <c r="R7293" t="s">
        <v>27253</v>
      </c>
      <c r="S7293" t="s">
        <v>27254</v>
      </c>
      <c r="T7293" t="s">
        <v>27269</v>
      </c>
    </row>
    <row r="7294" spans="1:20" x14ac:dyDescent="0.3">
      <c r="A7294" t="str">
        <f>"0611836094025"</f>
        <v>0611836094025</v>
      </c>
      <c r="B7294" t="str">
        <f>"MC4295"</f>
        <v>MC4295</v>
      </c>
      <c r="C7294" t="s">
        <v>41387</v>
      </c>
      <c r="D7294" t="s">
        <v>27267</v>
      </c>
      <c r="E7294" t="str">
        <f t="shared" si="113"/>
        <v>001390</v>
      </c>
      <c r="F7294" t="s">
        <v>27246</v>
      </c>
      <c r="G7294" t="s">
        <v>27247</v>
      </c>
      <c r="H7294" t="s">
        <v>27248</v>
      </c>
      <c r="I7294" t="s">
        <v>41388</v>
      </c>
      <c r="J7294" t="s">
        <v>14489</v>
      </c>
      <c r="L7294" t="s">
        <v>27250</v>
      </c>
      <c r="M7294" t="s">
        <v>27251</v>
      </c>
      <c r="N7294" t="s">
        <v>27252</v>
      </c>
      <c r="Q7294" s="1">
        <v>44538</v>
      </c>
      <c r="R7294" t="s">
        <v>27253</v>
      </c>
      <c r="S7294" t="s">
        <v>27254</v>
      </c>
      <c r="T7294" t="s">
        <v>27269</v>
      </c>
    </row>
    <row r="7295" spans="1:20" x14ac:dyDescent="0.3">
      <c r="A7295" t="str">
        <f>"0611836095025"</f>
        <v>0611836095025</v>
      </c>
      <c r="B7295" t="str">
        <f>"MC4297"</f>
        <v>MC4297</v>
      </c>
      <c r="C7295" t="s">
        <v>41389</v>
      </c>
      <c r="D7295" t="s">
        <v>27267</v>
      </c>
      <c r="E7295" t="str">
        <f t="shared" si="113"/>
        <v>001390</v>
      </c>
      <c r="F7295" t="s">
        <v>27246</v>
      </c>
      <c r="G7295" t="s">
        <v>27247</v>
      </c>
      <c r="H7295" t="s">
        <v>27248</v>
      </c>
      <c r="I7295" t="s">
        <v>41390</v>
      </c>
      <c r="J7295" t="s">
        <v>14491</v>
      </c>
      <c r="L7295" t="s">
        <v>27250</v>
      </c>
      <c r="M7295" t="s">
        <v>27251</v>
      </c>
      <c r="N7295" t="s">
        <v>27252</v>
      </c>
      <c r="Q7295" s="1">
        <v>44538</v>
      </c>
      <c r="R7295" t="s">
        <v>27253</v>
      </c>
      <c r="S7295" t="s">
        <v>27254</v>
      </c>
      <c r="T7295" t="s">
        <v>27269</v>
      </c>
    </row>
    <row r="7296" spans="1:20" x14ac:dyDescent="0.3">
      <c r="A7296" t="str">
        <f>"0611836096025"</f>
        <v>0611836096025</v>
      </c>
      <c r="B7296" t="str">
        <f>"MC4387"</f>
        <v>MC4387</v>
      </c>
      <c r="C7296" t="s">
        <v>41391</v>
      </c>
      <c r="D7296" t="s">
        <v>27267</v>
      </c>
      <c r="E7296" t="str">
        <f t="shared" si="113"/>
        <v>001390</v>
      </c>
      <c r="F7296" t="s">
        <v>27246</v>
      </c>
      <c r="G7296" t="s">
        <v>27247</v>
      </c>
      <c r="H7296" t="s">
        <v>27248</v>
      </c>
      <c r="I7296" t="s">
        <v>41392</v>
      </c>
      <c r="J7296" t="s">
        <v>14493</v>
      </c>
      <c r="L7296" t="s">
        <v>27250</v>
      </c>
      <c r="M7296" t="s">
        <v>27251</v>
      </c>
      <c r="N7296" t="s">
        <v>27252</v>
      </c>
      <c r="Q7296" s="1">
        <v>44538</v>
      </c>
      <c r="R7296" t="s">
        <v>27253</v>
      </c>
      <c r="S7296" t="s">
        <v>27254</v>
      </c>
      <c r="T7296" t="s">
        <v>27269</v>
      </c>
    </row>
    <row r="7297" spans="1:20" x14ac:dyDescent="0.3">
      <c r="A7297" t="str">
        <f>"0611836098025"</f>
        <v>0611836098025</v>
      </c>
      <c r="B7297" t="str">
        <f>"MC3754"</f>
        <v>MC3754</v>
      </c>
      <c r="C7297" t="s">
        <v>41393</v>
      </c>
      <c r="D7297" t="s">
        <v>27267</v>
      </c>
      <c r="E7297" t="str">
        <f t="shared" si="113"/>
        <v>001390</v>
      </c>
      <c r="F7297" t="s">
        <v>27246</v>
      </c>
      <c r="G7297" t="s">
        <v>27247</v>
      </c>
      <c r="H7297" t="s">
        <v>27248</v>
      </c>
      <c r="I7297" t="s">
        <v>41394</v>
      </c>
      <c r="J7297" t="s">
        <v>14495</v>
      </c>
      <c r="L7297" t="s">
        <v>27250</v>
      </c>
      <c r="M7297" t="s">
        <v>27251</v>
      </c>
      <c r="N7297" t="s">
        <v>27252</v>
      </c>
      <c r="Q7297" s="1">
        <v>44538</v>
      </c>
      <c r="R7297" t="s">
        <v>27253</v>
      </c>
      <c r="S7297" t="s">
        <v>27254</v>
      </c>
      <c r="T7297" t="s">
        <v>27269</v>
      </c>
    </row>
    <row r="7298" spans="1:20" x14ac:dyDescent="0.3">
      <c r="A7298" t="str">
        <f>"0611836099025"</f>
        <v>0611836099025</v>
      </c>
      <c r="B7298" t="str">
        <f>"MC4331"</f>
        <v>MC4331</v>
      </c>
      <c r="C7298" t="s">
        <v>41395</v>
      </c>
      <c r="D7298" t="s">
        <v>27267</v>
      </c>
      <c r="E7298" t="str">
        <f t="shared" ref="E7298:E7361" si="114">"001390"</f>
        <v>001390</v>
      </c>
      <c r="F7298" t="s">
        <v>27246</v>
      </c>
      <c r="G7298" t="s">
        <v>27247</v>
      </c>
      <c r="H7298" t="s">
        <v>27248</v>
      </c>
      <c r="I7298" t="s">
        <v>41396</v>
      </c>
      <c r="J7298" t="s">
        <v>14497</v>
      </c>
      <c r="L7298" t="s">
        <v>27250</v>
      </c>
      <c r="M7298" t="s">
        <v>27251</v>
      </c>
      <c r="N7298" t="s">
        <v>27252</v>
      </c>
      <c r="Q7298" s="1">
        <v>44538</v>
      </c>
      <c r="R7298" t="s">
        <v>27253</v>
      </c>
      <c r="S7298" t="s">
        <v>27254</v>
      </c>
      <c r="T7298" t="s">
        <v>27269</v>
      </c>
    </row>
    <row r="7299" spans="1:20" x14ac:dyDescent="0.3">
      <c r="A7299" t="str">
        <f>"0611836100025"</f>
        <v>0611836100025</v>
      </c>
      <c r="B7299" t="str">
        <f>"MC3456"</f>
        <v>MC3456</v>
      </c>
      <c r="C7299" t="s">
        <v>41397</v>
      </c>
      <c r="D7299" t="s">
        <v>27267</v>
      </c>
      <c r="E7299" t="str">
        <f t="shared" si="114"/>
        <v>001390</v>
      </c>
      <c r="F7299" t="s">
        <v>27246</v>
      </c>
      <c r="G7299" t="s">
        <v>27247</v>
      </c>
      <c r="H7299" t="s">
        <v>27248</v>
      </c>
      <c r="I7299" t="s">
        <v>41398</v>
      </c>
      <c r="J7299" t="s">
        <v>14499</v>
      </c>
      <c r="L7299" t="s">
        <v>27250</v>
      </c>
      <c r="M7299" t="s">
        <v>27251</v>
      </c>
      <c r="N7299" t="s">
        <v>27252</v>
      </c>
      <c r="Q7299" s="1">
        <v>44538</v>
      </c>
      <c r="R7299" t="s">
        <v>27253</v>
      </c>
      <c r="S7299" t="s">
        <v>27254</v>
      </c>
      <c r="T7299" t="s">
        <v>27269</v>
      </c>
    </row>
    <row r="7300" spans="1:20" x14ac:dyDescent="0.3">
      <c r="A7300" t="str">
        <f>"0611836101025"</f>
        <v>0611836101025</v>
      </c>
      <c r="B7300" t="str">
        <f>"MC0481"</f>
        <v>MC0481</v>
      </c>
      <c r="C7300" t="s">
        <v>41399</v>
      </c>
      <c r="D7300" t="s">
        <v>27267</v>
      </c>
      <c r="E7300" t="str">
        <f t="shared" si="114"/>
        <v>001390</v>
      </c>
      <c r="F7300" t="s">
        <v>27246</v>
      </c>
      <c r="G7300" t="s">
        <v>27247</v>
      </c>
      <c r="H7300" t="s">
        <v>27248</v>
      </c>
      <c r="I7300" t="s">
        <v>41400</v>
      </c>
      <c r="J7300" t="s">
        <v>14501</v>
      </c>
      <c r="L7300" t="s">
        <v>27250</v>
      </c>
      <c r="M7300" t="s">
        <v>27251</v>
      </c>
      <c r="N7300" t="s">
        <v>27252</v>
      </c>
      <c r="Q7300" s="1">
        <v>44538</v>
      </c>
      <c r="R7300" t="s">
        <v>27253</v>
      </c>
      <c r="S7300" t="s">
        <v>27254</v>
      </c>
      <c r="T7300" t="s">
        <v>27269</v>
      </c>
    </row>
    <row r="7301" spans="1:20" x14ac:dyDescent="0.3">
      <c r="A7301" t="str">
        <f>"0611836102025"</f>
        <v>0611836102025</v>
      </c>
      <c r="B7301" t="str">
        <f>"MC0482"</f>
        <v>MC0482</v>
      </c>
      <c r="C7301" t="s">
        <v>41401</v>
      </c>
      <c r="D7301" t="s">
        <v>27267</v>
      </c>
      <c r="E7301" t="str">
        <f t="shared" si="114"/>
        <v>001390</v>
      </c>
      <c r="F7301" t="s">
        <v>27246</v>
      </c>
      <c r="G7301" t="s">
        <v>27247</v>
      </c>
      <c r="H7301" t="s">
        <v>27248</v>
      </c>
      <c r="I7301" t="s">
        <v>41402</v>
      </c>
      <c r="J7301" t="s">
        <v>14503</v>
      </c>
      <c r="L7301" t="s">
        <v>27250</v>
      </c>
      <c r="M7301" t="s">
        <v>27251</v>
      </c>
      <c r="N7301" t="s">
        <v>27252</v>
      </c>
      <c r="Q7301" s="1">
        <v>44538</v>
      </c>
      <c r="R7301" t="s">
        <v>27253</v>
      </c>
      <c r="S7301" t="s">
        <v>27254</v>
      </c>
      <c r="T7301" t="s">
        <v>27269</v>
      </c>
    </row>
    <row r="7302" spans="1:20" x14ac:dyDescent="0.3">
      <c r="A7302" t="str">
        <f>"0611836103100"</f>
        <v>0611836103100</v>
      </c>
      <c r="B7302" t="str">
        <f>"LH5225"</f>
        <v>LH5225</v>
      </c>
      <c r="C7302" t="s">
        <v>41403</v>
      </c>
      <c r="D7302" t="s">
        <v>27245</v>
      </c>
      <c r="E7302" t="str">
        <f t="shared" si="114"/>
        <v>001390</v>
      </c>
      <c r="F7302" t="s">
        <v>27246</v>
      </c>
      <c r="G7302" t="s">
        <v>27247</v>
      </c>
      <c r="H7302" t="s">
        <v>27248</v>
      </c>
      <c r="I7302" t="s">
        <v>41404</v>
      </c>
      <c r="J7302" t="s">
        <v>14509</v>
      </c>
      <c r="L7302" t="s">
        <v>27250</v>
      </c>
      <c r="M7302" t="s">
        <v>27251</v>
      </c>
      <c r="N7302" t="s">
        <v>27252</v>
      </c>
      <c r="Q7302" s="1">
        <v>44538</v>
      </c>
      <c r="R7302" t="s">
        <v>27253</v>
      </c>
      <c r="S7302" t="s">
        <v>27254</v>
      </c>
      <c r="T7302" t="s">
        <v>27255</v>
      </c>
    </row>
    <row r="7303" spans="1:20" x14ac:dyDescent="0.3">
      <c r="A7303" t="str">
        <f>"0611836104025"</f>
        <v>0611836104025</v>
      </c>
      <c r="B7303" t="str">
        <f>"MC0483"</f>
        <v>MC0483</v>
      </c>
      <c r="C7303" t="s">
        <v>41403</v>
      </c>
      <c r="D7303" t="s">
        <v>27267</v>
      </c>
      <c r="E7303" t="str">
        <f t="shared" si="114"/>
        <v>001390</v>
      </c>
      <c r="F7303" t="s">
        <v>27246</v>
      </c>
      <c r="G7303" t="s">
        <v>27247</v>
      </c>
      <c r="H7303" t="s">
        <v>27248</v>
      </c>
      <c r="I7303" t="s">
        <v>41405</v>
      </c>
      <c r="J7303" t="s">
        <v>14511</v>
      </c>
      <c r="L7303" t="s">
        <v>27250</v>
      </c>
      <c r="M7303" t="s">
        <v>27251</v>
      </c>
      <c r="N7303" t="s">
        <v>27252</v>
      </c>
      <c r="Q7303" s="1">
        <v>44538</v>
      </c>
      <c r="R7303" t="s">
        <v>27253</v>
      </c>
      <c r="S7303" t="s">
        <v>27254</v>
      </c>
      <c r="T7303" t="s">
        <v>27269</v>
      </c>
    </row>
    <row r="7304" spans="1:20" x14ac:dyDescent="0.3">
      <c r="A7304" t="str">
        <f>"0611836105100"</f>
        <v>0611836105100</v>
      </c>
      <c r="B7304" t="str">
        <f>"LH5220"</f>
        <v>LH5220</v>
      </c>
      <c r="C7304" t="s">
        <v>41406</v>
      </c>
      <c r="D7304" t="s">
        <v>27245</v>
      </c>
      <c r="E7304" t="str">
        <f t="shared" si="114"/>
        <v>001390</v>
      </c>
      <c r="F7304" t="s">
        <v>27246</v>
      </c>
      <c r="G7304" t="s">
        <v>27247</v>
      </c>
      <c r="H7304" t="s">
        <v>27248</v>
      </c>
      <c r="I7304" t="s">
        <v>41407</v>
      </c>
      <c r="J7304" t="s">
        <v>14505</v>
      </c>
      <c r="L7304" t="s">
        <v>27250</v>
      </c>
      <c r="M7304" t="s">
        <v>27251</v>
      </c>
      <c r="N7304" t="s">
        <v>27252</v>
      </c>
      <c r="Q7304" s="1">
        <v>44538</v>
      </c>
      <c r="R7304" t="s">
        <v>27253</v>
      </c>
      <c r="S7304" t="s">
        <v>27254</v>
      </c>
      <c r="T7304" t="s">
        <v>27255</v>
      </c>
    </row>
    <row r="7305" spans="1:20" x14ac:dyDescent="0.3">
      <c r="A7305" t="str">
        <f>"0611836106025"</f>
        <v>0611836106025</v>
      </c>
      <c r="B7305" t="str">
        <f>"MC0484"</f>
        <v>MC0484</v>
      </c>
      <c r="C7305" t="s">
        <v>41406</v>
      </c>
      <c r="D7305" t="s">
        <v>27267</v>
      </c>
      <c r="E7305" t="str">
        <f t="shared" si="114"/>
        <v>001390</v>
      </c>
      <c r="F7305" t="s">
        <v>27246</v>
      </c>
      <c r="G7305" t="s">
        <v>27247</v>
      </c>
      <c r="H7305" t="s">
        <v>27248</v>
      </c>
      <c r="I7305" t="s">
        <v>41408</v>
      </c>
      <c r="J7305" t="s">
        <v>14507</v>
      </c>
      <c r="L7305" t="s">
        <v>27250</v>
      </c>
      <c r="M7305" t="s">
        <v>27251</v>
      </c>
      <c r="N7305" t="s">
        <v>27252</v>
      </c>
      <c r="Q7305" s="1">
        <v>44538</v>
      </c>
      <c r="R7305" t="s">
        <v>27253</v>
      </c>
      <c r="S7305" t="s">
        <v>27254</v>
      </c>
      <c r="T7305" t="s">
        <v>27269</v>
      </c>
    </row>
    <row r="7306" spans="1:20" x14ac:dyDescent="0.3">
      <c r="A7306" t="str">
        <f>"0611836107025"</f>
        <v>0611836107025</v>
      </c>
      <c r="B7306" t="str">
        <f>"MC1273"</f>
        <v>MC1273</v>
      </c>
      <c r="C7306" t="s">
        <v>41409</v>
      </c>
      <c r="D7306" t="s">
        <v>27267</v>
      </c>
      <c r="E7306" t="str">
        <f t="shared" si="114"/>
        <v>001390</v>
      </c>
      <c r="F7306" t="s">
        <v>27246</v>
      </c>
      <c r="G7306" t="s">
        <v>27247</v>
      </c>
      <c r="H7306" t="s">
        <v>27248</v>
      </c>
      <c r="I7306" t="s">
        <v>41410</v>
      </c>
      <c r="J7306" t="s">
        <v>14513</v>
      </c>
      <c r="L7306" t="s">
        <v>27250</v>
      </c>
      <c r="M7306" t="s">
        <v>27251</v>
      </c>
      <c r="N7306" t="s">
        <v>27252</v>
      </c>
      <c r="Q7306" s="1">
        <v>44538</v>
      </c>
      <c r="R7306" t="s">
        <v>27253</v>
      </c>
      <c r="S7306" t="s">
        <v>27254</v>
      </c>
      <c r="T7306" t="s">
        <v>27269</v>
      </c>
    </row>
    <row r="7307" spans="1:20" x14ac:dyDescent="0.3">
      <c r="A7307" t="str">
        <f>"0611836108025"</f>
        <v>0611836108025</v>
      </c>
      <c r="B7307" t="str">
        <f>"MC4223"</f>
        <v>MC4223</v>
      </c>
      <c r="C7307" t="s">
        <v>41411</v>
      </c>
      <c r="D7307" t="s">
        <v>27267</v>
      </c>
      <c r="E7307" t="str">
        <f t="shared" si="114"/>
        <v>001390</v>
      </c>
      <c r="F7307" t="s">
        <v>27246</v>
      </c>
      <c r="G7307" t="s">
        <v>27247</v>
      </c>
      <c r="H7307" t="s">
        <v>27248</v>
      </c>
      <c r="I7307" t="s">
        <v>41412</v>
      </c>
      <c r="J7307" t="s">
        <v>14515</v>
      </c>
      <c r="L7307" t="s">
        <v>27250</v>
      </c>
      <c r="M7307" t="s">
        <v>27251</v>
      </c>
      <c r="N7307" t="s">
        <v>27252</v>
      </c>
      <c r="Q7307" s="1">
        <v>44538</v>
      </c>
      <c r="R7307" t="s">
        <v>27253</v>
      </c>
      <c r="S7307" t="s">
        <v>27254</v>
      </c>
      <c r="T7307" t="s">
        <v>27269</v>
      </c>
    </row>
    <row r="7308" spans="1:20" x14ac:dyDescent="0.3">
      <c r="A7308" t="str">
        <f>"0611836109025"</f>
        <v>0611836109025</v>
      </c>
      <c r="B7308" t="str">
        <f>"MC0486"</f>
        <v>MC0486</v>
      </c>
      <c r="C7308" t="s">
        <v>41413</v>
      </c>
      <c r="D7308" t="s">
        <v>27267</v>
      </c>
      <c r="E7308" t="str">
        <f t="shared" si="114"/>
        <v>001390</v>
      </c>
      <c r="F7308" t="s">
        <v>27246</v>
      </c>
      <c r="G7308" t="s">
        <v>27247</v>
      </c>
      <c r="H7308" t="s">
        <v>27248</v>
      </c>
      <c r="I7308" t="s">
        <v>41414</v>
      </c>
      <c r="J7308" t="s">
        <v>14517</v>
      </c>
      <c r="L7308" t="s">
        <v>27250</v>
      </c>
      <c r="M7308" t="s">
        <v>27251</v>
      </c>
      <c r="N7308" t="s">
        <v>27252</v>
      </c>
      <c r="Q7308" s="1">
        <v>44538</v>
      </c>
      <c r="R7308" t="s">
        <v>27253</v>
      </c>
      <c r="S7308" t="s">
        <v>27254</v>
      </c>
      <c r="T7308" t="s">
        <v>27269</v>
      </c>
    </row>
    <row r="7309" spans="1:20" x14ac:dyDescent="0.3">
      <c r="A7309" t="str">
        <f>"0611836110025"</f>
        <v>0611836110025</v>
      </c>
      <c r="B7309" t="str">
        <f>"MC0487"</f>
        <v>MC0487</v>
      </c>
      <c r="C7309" t="s">
        <v>41415</v>
      </c>
      <c r="D7309" t="s">
        <v>27267</v>
      </c>
      <c r="E7309" t="str">
        <f t="shared" si="114"/>
        <v>001390</v>
      </c>
      <c r="F7309" t="s">
        <v>27246</v>
      </c>
      <c r="G7309" t="s">
        <v>27247</v>
      </c>
      <c r="H7309" t="s">
        <v>27248</v>
      </c>
      <c r="I7309" t="s">
        <v>41416</v>
      </c>
      <c r="J7309" t="s">
        <v>14519</v>
      </c>
      <c r="L7309" t="s">
        <v>27250</v>
      </c>
      <c r="M7309" t="s">
        <v>27251</v>
      </c>
      <c r="N7309" t="s">
        <v>27252</v>
      </c>
      <c r="Q7309" s="1">
        <v>44538</v>
      </c>
      <c r="R7309" t="s">
        <v>27253</v>
      </c>
      <c r="S7309" t="s">
        <v>27254</v>
      </c>
      <c r="T7309" t="s">
        <v>27269</v>
      </c>
    </row>
    <row r="7310" spans="1:20" x14ac:dyDescent="0.3">
      <c r="A7310" t="str">
        <f>"0611836111025"</f>
        <v>0611836111025</v>
      </c>
      <c r="B7310" t="str">
        <f>"MC0490"</f>
        <v>MC0490</v>
      </c>
      <c r="C7310" t="s">
        <v>41417</v>
      </c>
      <c r="D7310" t="s">
        <v>27267</v>
      </c>
      <c r="E7310" t="str">
        <f t="shared" si="114"/>
        <v>001390</v>
      </c>
      <c r="F7310" t="s">
        <v>27246</v>
      </c>
      <c r="G7310" t="s">
        <v>27247</v>
      </c>
      <c r="H7310" t="s">
        <v>27248</v>
      </c>
      <c r="I7310" t="s">
        <v>41418</v>
      </c>
      <c r="J7310" t="s">
        <v>14521</v>
      </c>
      <c r="L7310" t="s">
        <v>27250</v>
      </c>
      <c r="M7310" t="s">
        <v>27251</v>
      </c>
      <c r="N7310" t="s">
        <v>27252</v>
      </c>
      <c r="Q7310" s="1">
        <v>44538</v>
      </c>
      <c r="R7310" t="s">
        <v>27253</v>
      </c>
      <c r="S7310" t="s">
        <v>27254</v>
      </c>
      <c r="T7310" t="s">
        <v>27269</v>
      </c>
    </row>
    <row r="7311" spans="1:20" x14ac:dyDescent="0.3">
      <c r="A7311" t="str">
        <f>"0611836113100"</f>
        <v>0611836113100</v>
      </c>
      <c r="B7311" t="str">
        <f>"LG2225"</f>
        <v>LG2225</v>
      </c>
      <c r="C7311" t="s">
        <v>41419</v>
      </c>
      <c r="D7311" t="s">
        <v>27245</v>
      </c>
      <c r="E7311" t="str">
        <f t="shared" si="114"/>
        <v>001390</v>
      </c>
      <c r="F7311" t="s">
        <v>27246</v>
      </c>
      <c r="G7311" t="s">
        <v>27247</v>
      </c>
      <c r="H7311" t="s">
        <v>27248</v>
      </c>
      <c r="I7311" t="s">
        <v>41420</v>
      </c>
      <c r="J7311" t="s">
        <v>14523</v>
      </c>
      <c r="L7311" t="s">
        <v>27250</v>
      </c>
      <c r="M7311" t="s">
        <v>27251</v>
      </c>
      <c r="N7311" t="s">
        <v>27252</v>
      </c>
      <c r="Q7311" s="1">
        <v>44538</v>
      </c>
      <c r="R7311" t="s">
        <v>27253</v>
      </c>
      <c r="S7311" t="s">
        <v>27254</v>
      </c>
      <c r="T7311" t="s">
        <v>27255</v>
      </c>
    </row>
    <row r="7312" spans="1:20" x14ac:dyDescent="0.3">
      <c r="A7312" t="str">
        <f>"0611836114025"</f>
        <v>0611836114025</v>
      </c>
      <c r="B7312" t="str">
        <f>"MC4028"</f>
        <v>MC4028</v>
      </c>
      <c r="C7312" t="s">
        <v>41421</v>
      </c>
      <c r="D7312" t="s">
        <v>27267</v>
      </c>
      <c r="E7312" t="str">
        <f t="shared" si="114"/>
        <v>001390</v>
      </c>
      <c r="F7312" t="s">
        <v>27246</v>
      </c>
      <c r="G7312" t="s">
        <v>27247</v>
      </c>
      <c r="H7312" t="s">
        <v>27248</v>
      </c>
      <c r="I7312" t="s">
        <v>41422</v>
      </c>
      <c r="J7312" t="s">
        <v>14525</v>
      </c>
      <c r="L7312" t="s">
        <v>27250</v>
      </c>
      <c r="M7312" t="s">
        <v>27251</v>
      </c>
      <c r="N7312" t="s">
        <v>27252</v>
      </c>
      <c r="Q7312" s="1">
        <v>44538</v>
      </c>
      <c r="R7312" t="s">
        <v>27253</v>
      </c>
      <c r="S7312" t="s">
        <v>27254</v>
      </c>
      <c r="T7312" t="s">
        <v>27269</v>
      </c>
    </row>
    <row r="7313" spans="1:20" x14ac:dyDescent="0.3">
      <c r="A7313" t="str">
        <f>"0611836115025"</f>
        <v>0611836115025</v>
      </c>
      <c r="B7313" t="str">
        <f>"MC3763"</f>
        <v>MC3763</v>
      </c>
      <c r="C7313" t="s">
        <v>41423</v>
      </c>
      <c r="D7313" t="s">
        <v>27267</v>
      </c>
      <c r="E7313" t="str">
        <f t="shared" si="114"/>
        <v>001390</v>
      </c>
      <c r="F7313" t="s">
        <v>27246</v>
      </c>
      <c r="G7313" t="s">
        <v>27247</v>
      </c>
      <c r="H7313" t="s">
        <v>27248</v>
      </c>
      <c r="I7313" t="s">
        <v>41424</v>
      </c>
      <c r="J7313" t="s">
        <v>14527</v>
      </c>
      <c r="L7313" t="s">
        <v>27250</v>
      </c>
      <c r="M7313" t="s">
        <v>27251</v>
      </c>
      <c r="N7313" t="s">
        <v>27252</v>
      </c>
      <c r="Q7313" s="1">
        <v>44538</v>
      </c>
      <c r="R7313" t="s">
        <v>27253</v>
      </c>
      <c r="S7313" t="s">
        <v>27254</v>
      </c>
      <c r="T7313" t="s">
        <v>27269</v>
      </c>
    </row>
    <row r="7314" spans="1:20" x14ac:dyDescent="0.3">
      <c r="A7314" t="str">
        <f>"0611836116025"</f>
        <v>0611836116025</v>
      </c>
      <c r="B7314" t="str">
        <f>"MC3765"</f>
        <v>MC3765</v>
      </c>
      <c r="C7314" t="s">
        <v>41425</v>
      </c>
      <c r="D7314" t="s">
        <v>27267</v>
      </c>
      <c r="E7314" t="str">
        <f t="shared" si="114"/>
        <v>001390</v>
      </c>
      <c r="F7314" t="s">
        <v>27246</v>
      </c>
      <c r="G7314" t="s">
        <v>27247</v>
      </c>
      <c r="H7314" t="s">
        <v>27248</v>
      </c>
      <c r="I7314" t="s">
        <v>41426</v>
      </c>
      <c r="J7314" t="s">
        <v>14529</v>
      </c>
      <c r="L7314" t="s">
        <v>27250</v>
      </c>
      <c r="M7314" t="s">
        <v>27251</v>
      </c>
      <c r="N7314" t="s">
        <v>27252</v>
      </c>
      <c r="Q7314" s="1">
        <v>44538</v>
      </c>
      <c r="R7314" t="s">
        <v>27253</v>
      </c>
      <c r="S7314" t="s">
        <v>27254</v>
      </c>
      <c r="T7314" t="s">
        <v>27269</v>
      </c>
    </row>
    <row r="7315" spans="1:20" x14ac:dyDescent="0.3">
      <c r="A7315" t="str">
        <f>"0611836117100"</f>
        <v>0611836117100</v>
      </c>
      <c r="B7315" t="str">
        <f>"LG4201"</f>
        <v>LG4201</v>
      </c>
      <c r="C7315" t="s">
        <v>41427</v>
      </c>
      <c r="D7315" t="s">
        <v>27245</v>
      </c>
      <c r="E7315" t="str">
        <f t="shared" si="114"/>
        <v>001390</v>
      </c>
      <c r="F7315" t="s">
        <v>27246</v>
      </c>
      <c r="G7315" t="s">
        <v>27247</v>
      </c>
      <c r="H7315" t="s">
        <v>27248</v>
      </c>
      <c r="I7315" t="s">
        <v>41428</v>
      </c>
      <c r="J7315" t="s">
        <v>14531</v>
      </c>
      <c r="L7315" t="s">
        <v>27250</v>
      </c>
      <c r="M7315" t="s">
        <v>27251</v>
      </c>
      <c r="N7315" t="s">
        <v>27252</v>
      </c>
      <c r="Q7315" s="1">
        <v>44538</v>
      </c>
      <c r="R7315" t="s">
        <v>27253</v>
      </c>
      <c r="S7315" t="s">
        <v>27254</v>
      </c>
      <c r="T7315" t="s">
        <v>27255</v>
      </c>
    </row>
    <row r="7316" spans="1:20" x14ac:dyDescent="0.3">
      <c r="A7316" t="str">
        <f>"0611836118025"</f>
        <v>0611836118025</v>
      </c>
      <c r="B7316" t="str">
        <f>"MC3894"</f>
        <v>MC3894</v>
      </c>
      <c r="C7316" t="s">
        <v>41429</v>
      </c>
      <c r="D7316" t="s">
        <v>27267</v>
      </c>
      <c r="E7316" t="str">
        <f t="shared" si="114"/>
        <v>001390</v>
      </c>
      <c r="F7316" t="s">
        <v>27246</v>
      </c>
      <c r="G7316" t="s">
        <v>27247</v>
      </c>
      <c r="H7316" t="s">
        <v>27248</v>
      </c>
      <c r="I7316" t="s">
        <v>41430</v>
      </c>
      <c r="J7316" t="s">
        <v>14533</v>
      </c>
      <c r="L7316" t="s">
        <v>27430</v>
      </c>
      <c r="M7316" t="s">
        <v>27251</v>
      </c>
      <c r="N7316" t="s">
        <v>27252</v>
      </c>
      <c r="Q7316" s="1">
        <v>44538</v>
      </c>
      <c r="R7316" t="s">
        <v>27253</v>
      </c>
      <c r="S7316" t="s">
        <v>27254</v>
      </c>
      <c r="T7316" t="s">
        <v>27269</v>
      </c>
    </row>
    <row r="7317" spans="1:20" x14ac:dyDescent="0.3">
      <c r="A7317" t="str">
        <f>"0611836120025"</f>
        <v>0611836120025</v>
      </c>
      <c r="B7317" t="str">
        <f>"MC3764"</f>
        <v>MC3764</v>
      </c>
      <c r="C7317" t="s">
        <v>41431</v>
      </c>
      <c r="D7317" t="s">
        <v>27267</v>
      </c>
      <c r="E7317" t="str">
        <f t="shared" si="114"/>
        <v>001390</v>
      </c>
      <c r="F7317" t="s">
        <v>27246</v>
      </c>
      <c r="G7317" t="s">
        <v>27247</v>
      </c>
      <c r="H7317" t="s">
        <v>27248</v>
      </c>
      <c r="I7317" t="s">
        <v>41432</v>
      </c>
      <c r="J7317" t="s">
        <v>14535</v>
      </c>
      <c r="L7317" t="s">
        <v>27250</v>
      </c>
      <c r="M7317" t="s">
        <v>27251</v>
      </c>
      <c r="N7317" t="s">
        <v>27252</v>
      </c>
      <c r="Q7317" s="1">
        <v>44538</v>
      </c>
      <c r="R7317" t="s">
        <v>27253</v>
      </c>
      <c r="S7317" t="s">
        <v>27254</v>
      </c>
      <c r="T7317" t="s">
        <v>27269</v>
      </c>
    </row>
    <row r="7318" spans="1:20" x14ac:dyDescent="0.3">
      <c r="A7318" t="str">
        <f>"0611836121100"</f>
        <v>0611836121100</v>
      </c>
      <c r="B7318" t="str">
        <f>"LB8889"</f>
        <v>LB8889</v>
      </c>
      <c r="C7318" t="s">
        <v>41433</v>
      </c>
      <c r="D7318" t="s">
        <v>27245</v>
      </c>
      <c r="E7318" t="str">
        <f t="shared" si="114"/>
        <v>001390</v>
      </c>
      <c r="F7318" t="s">
        <v>27246</v>
      </c>
      <c r="G7318" t="s">
        <v>27247</v>
      </c>
      <c r="H7318" t="s">
        <v>27248</v>
      </c>
      <c r="I7318" t="s">
        <v>41434</v>
      </c>
      <c r="J7318" t="s">
        <v>14537</v>
      </c>
      <c r="L7318" t="s">
        <v>27250</v>
      </c>
      <c r="M7318" t="s">
        <v>27251</v>
      </c>
      <c r="N7318" t="s">
        <v>27252</v>
      </c>
      <c r="Q7318" s="1">
        <v>44538</v>
      </c>
      <c r="R7318" t="s">
        <v>27253</v>
      </c>
      <c r="S7318" t="s">
        <v>27254</v>
      </c>
      <c r="T7318" t="s">
        <v>27255</v>
      </c>
    </row>
    <row r="7319" spans="1:20" x14ac:dyDescent="0.3">
      <c r="A7319" t="str">
        <f>"0611836122100"</f>
        <v>0611836122100</v>
      </c>
      <c r="B7319" t="str">
        <f>"LB8891"</f>
        <v>LB8891</v>
      </c>
      <c r="C7319" t="s">
        <v>41435</v>
      </c>
      <c r="D7319" t="s">
        <v>27245</v>
      </c>
      <c r="E7319" t="str">
        <f t="shared" si="114"/>
        <v>001390</v>
      </c>
      <c r="F7319" t="s">
        <v>27246</v>
      </c>
      <c r="G7319" t="s">
        <v>27247</v>
      </c>
      <c r="H7319" t="s">
        <v>27248</v>
      </c>
      <c r="I7319" t="s">
        <v>41436</v>
      </c>
      <c r="J7319" t="s">
        <v>14539</v>
      </c>
      <c r="L7319" t="s">
        <v>27250</v>
      </c>
      <c r="M7319" t="s">
        <v>27251</v>
      </c>
      <c r="N7319" t="s">
        <v>27252</v>
      </c>
      <c r="Q7319" s="1">
        <v>44538</v>
      </c>
      <c r="R7319" t="s">
        <v>27253</v>
      </c>
      <c r="S7319" t="s">
        <v>27254</v>
      </c>
      <c r="T7319" t="s">
        <v>27255</v>
      </c>
    </row>
    <row r="7320" spans="1:20" x14ac:dyDescent="0.3">
      <c r="A7320" t="str">
        <f>"0611836124100"</f>
        <v>0611836124100</v>
      </c>
      <c r="B7320" t="str">
        <f>"LH7960"</f>
        <v>LH7960</v>
      </c>
      <c r="C7320" t="s">
        <v>41437</v>
      </c>
      <c r="D7320" t="s">
        <v>27245</v>
      </c>
      <c r="E7320" t="str">
        <f t="shared" si="114"/>
        <v>001390</v>
      </c>
      <c r="F7320" t="s">
        <v>27246</v>
      </c>
      <c r="G7320" t="s">
        <v>27247</v>
      </c>
      <c r="H7320" t="s">
        <v>27248</v>
      </c>
      <c r="I7320" t="s">
        <v>41438</v>
      </c>
      <c r="J7320" t="s">
        <v>14541</v>
      </c>
      <c r="L7320" t="s">
        <v>27250</v>
      </c>
      <c r="M7320" t="s">
        <v>27251</v>
      </c>
      <c r="N7320" t="s">
        <v>27252</v>
      </c>
      <c r="Q7320" s="1">
        <v>44538</v>
      </c>
      <c r="R7320" t="s">
        <v>27253</v>
      </c>
      <c r="S7320" t="s">
        <v>27254</v>
      </c>
      <c r="T7320" t="s">
        <v>27255</v>
      </c>
    </row>
    <row r="7321" spans="1:20" x14ac:dyDescent="0.3">
      <c r="A7321" t="str">
        <f>"0611836125100"</f>
        <v>0611836125100</v>
      </c>
      <c r="B7321" t="str">
        <f>"LK6345"</f>
        <v>LK6345</v>
      </c>
      <c r="C7321" t="s">
        <v>41439</v>
      </c>
      <c r="D7321" t="s">
        <v>27245</v>
      </c>
      <c r="E7321" t="str">
        <f t="shared" si="114"/>
        <v>001390</v>
      </c>
      <c r="F7321" t="s">
        <v>27246</v>
      </c>
      <c r="G7321" t="s">
        <v>27247</v>
      </c>
      <c r="H7321" t="s">
        <v>27248</v>
      </c>
      <c r="I7321" t="s">
        <v>41440</v>
      </c>
      <c r="J7321" t="s">
        <v>14543</v>
      </c>
      <c r="L7321" t="s">
        <v>27250</v>
      </c>
      <c r="M7321" t="s">
        <v>27251</v>
      </c>
      <c r="N7321" t="s">
        <v>27252</v>
      </c>
      <c r="Q7321" s="1">
        <v>44538</v>
      </c>
      <c r="R7321" t="s">
        <v>27253</v>
      </c>
      <c r="S7321" t="s">
        <v>27254</v>
      </c>
      <c r="T7321" t="s">
        <v>27255</v>
      </c>
    </row>
    <row r="7322" spans="1:20" x14ac:dyDescent="0.3">
      <c r="A7322" t="str">
        <f>"0611836126025"</f>
        <v>0611836126025</v>
      </c>
      <c r="B7322" t="str">
        <f>"MC0697"</f>
        <v>MC0697</v>
      </c>
      <c r="C7322" t="s">
        <v>41441</v>
      </c>
      <c r="D7322" t="s">
        <v>27267</v>
      </c>
      <c r="E7322" t="str">
        <f t="shared" si="114"/>
        <v>001390</v>
      </c>
      <c r="F7322" t="s">
        <v>27246</v>
      </c>
      <c r="G7322" t="s">
        <v>27247</v>
      </c>
      <c r="H7322" t="s">
        <v>27248</v>
      </c>
      <c r="I7322" t="s">
        <v>41442</v>
      </c>
      <c r="J7322" t="s">
        <v>14545</v>
      </c>
      <c r="L7322" t="s">
        <v>27250</v>
      </c>
      <c r="M7322" t="s">
        <v>27251</v>
      </c>
      <c r="N7322" t="s">
        <v>27252</v>
      </c>
      <c r="Q7322" s="1">
        <v>44538</v>
      </c>
      <c r="R7322" t="s">
        <v>27253</v>
      </c>
      <c r="S7322" t="s">
        <v>27254</v>
      </c>
      <c r="T7322" t="s">
        <v>27269</v>
      </c>
    </row>
    <row r="7323" spans="1:20" x14ac:dyDescent="0.3">
      <c r="A7323" t="str">
        <f>"0611836127100"</f>
        <v>0611836127100</v>
      </c>
      <c r="B7323" t="str">
        <f>"LK0397"</f>
        <v>LK0397</v>
      </c>
      <c r="C7323" t="s">
        <v>41443</v>
      </c>
      <c r="D7323" t="s">
        <v>27245</v>
      </c>
      <c r="E7323" t="str">
        <f t="shared" si="114"/>
        <v>001390</v>
      </c>
      <c r="F7323" t="s">
        <v>27246</v>
      </c>
      <c r="G7323" t="s">
        <v>27247</v>
      </c>
      <c r="H7323" t="s">
        <v>27248</v>
      </c>
      <c r="I7323" t="s">
        <v>41444</v>
      </c>
      <c r="J7323" t="s">
        <v>14547</v>
      </c>
      <c r="L7323" t="s">
        <v>27250</v>
      </c>
      <c r="M7323" t="s">
        <v>27251</v>
      </c>
      <c r="N7323" t="s">
        <v>27252</v>
      </c>
      <c r="Q7323" s="1">
        <v>44538</v>
      </c>
      <c r="R7323" t="s">
        <v>27253</v>
      </c>
      <c r="S7323" t="s">
        <v>27254</v>
      </c>
      <c r="T7323" t="s">
        <v>27255</v>
      </c>
    </row>
    <row r="7324" spans="1:20" x14ac:dyDescent="0.3">
      <c r="A7324" t="str">
        <f>"0611836128100"</f>
        <v>0611836128100</v>
      </c>
      <c r="B7324" t="str">
        <f>"LK4690"</f>
        <v>LK4690</v>
      </c>
      <c r="C7324" t="s">
        <v>41445</v>
      </c>
      <c r="D7324" t="s">
        <v>27245</v>
      </c>
      <c r="E7324" t="str">
        <f t="shared" si="114"/>
        <v>001390</v>
      </c>
      <c r="F7324" t="s">
        <v>27246</v>
      </c>
      <c r="G7324" t="s">
        <v>27247</v>
      </c>
      <c r="H7324" t="s">
        <v>27248</v>
      </c>
      <c r="I7324" t="s">
        <v>41446</v>
      </c>
      <c r="J7324" t="s">
        <v>14549</v>
      </c>
      <c r="L7324" t="s">
        <v>27250</v>
      </c>
      <c r="M7324" t="s">
        <v>27251</v>
      </c>
      <c r="N7324" t="s">
        <v>27252</v>
      </c>
      <c r="Q7324" s="1">
        <v>44538</v>
      </c>
      <c r="R7324" t="s">
        <v>27253</v>
      </c>
      <c r="S7324" t="s">
        <v>27254</v>
      </c>
      <c r="T7324" t="s">
        <v>27255</v>
      </c>
    </row>
    <row r="7325" spans="1:20" x14ac:dyDescent="0.3">
      <c r="A7325" t="str">
        <f>"0611836129100"</f>
        <v>0611836129100</v>
      </c>
      <c r="B7325" t="str">
        <f>"LK6393"</f>
        <v>LK6393</v>
      </c>
      <c r="C7325" t="s">
        <v>41447</v>
      </c>
      <c r="D7325" t="s">
        <v>27245</v>
      </c>
      <c r="E7325" t="str">
        <f t="shared" si="114"/>
        <v>001390</v>
      </c>
      <c r="F7325" t="s">
        <v>27246</v>
      </c>
      <c r="G7325" t="s">
        <v>27247</v>
      </c>
      <c r="H7325" t="s">
        <v>27248</v>
      </c>
      <c r="I7325" t="s">
        <v>41448</v>
      </c>
      <c r="J7325" t="s">
        <v>14551</v>
      </c>
      <c r="L7325" t="s">
        <v>27250</v>
      </c>
      <c r="M7325" t="s">
        <v>27251</v>
      </c>
      <c r="N7325" t="s">
        <v>27252</v>
      </c>
      <c r="Q7325" s="1">
        <v>44538</v>
      </c>
      <c r="R7325" t="s">
        <v>27253</v>
      </c>
      <c r="S7325" t="s">
        <v>27254</v>
      </c>
      <c r="T7325" t="s">
        <v>27255</v>
      </c>
    </row>
    <row r="7326" spans="1:20" x14ac:dyDescent="0.3">
      <c r="A7326" t="str">
        <f>"0611836131100"</f>
        <v>0611836131100</v>
      </c>
      <c r="B7326" t="str">
        <f>"LK0215"</f>
        <v>LK0215</v>
      </c>
      <c r="C7326" t="s">
        <v>41449</v>
      </c>
      <c r="D7326" t="s">
        <v>27245</v>
      </c>
      <c r="E7326" t="str">
        <f t="shared" si="114"/>
        <v>001390</v>
      </c>
      <c r="F7326" t="s">
        <v>27246</v>
      </c>
      <c r="G7326" t="s">
        <v>27247</v>
      </c>
      <c r="H7326" t="s">
        <v>27248</v>
      </c>
      <c r="I7326" t="s">
        <v>41450</v>
      </c>
      <c r="J7326" t="s">
        <v>14553</v>
      </c>
      <c r="L7326" t="s">
        <v>27250</v>
      </c>
      <c r="M7326" t="s">
        <v>27251</v>
      </c>
      <c r="N7326" t="s">
        <v>27252</v>
      </c>
      <c r="Q7326" s="1">
        <v>44538</v>
      </c>
      <c r="R7326" t="s">
        <v>27253</v>
      </c>
      <c r="S7326" t="s">
        <v>27254</v>
      </c>
      <c r="T7326" t="s">
        <v>27255</v>
      </c>
    </row>
    <row r="7327" spans="1:20" x14ac:dyDescent="0.3">
      <c r="A7327" t="str">
        <f>"0611836133025"</f>
        <v>0611836133025</v>
      </c>
      <c r="B7327" t="str">
        <f>"MC3084"</f>
        <v>MC3084</v>
      </c>
      <c r="C7327" t="s">
        <v>41451</v>
      </c>
      <c r="D7327" t="s">
        <v>27267</v>
      </c>
      <c r="E7327" t="str">
        <f t="shared" si="114"/>
        <v>001390</v>
      </c>
      <c r="F7327" t="s">
        <v>27246</v>
      </c>
      <c r="G7327" t="s">
        <v>27247</v>
      </c>
      <c r="H7327" t="s">
        <v>27248</v>
      </c>
      <c r="I7327" t="s">
        <v>41452</v>
      </c>
      <c r="J7327" t="s">
        <v>14555</v>
      </c>
      <c r="L7327" t="s">
        <v>27250</v>
      </c>
      <c r="M7327" t="s">
        <v>27251</v>
      </c>
      <c r="N7327" t="s">
        <v>27252</v>
      </c>
      <c r="Q7327" s="1">
        <v>44538</v>
      </c>
      <c r="R7327" t="s">
        <v>27253</v>
      </c>
      <c r="S7327" t="s">
        <v>27254</v>
      </c>
      <c r="T7327" t="s">
        <v>27269</v>
      </c>
    </row>
    <row r="7328" spans="1:20" x14ac:dyDescent="0.3">
      <c r="A7328" t="str">
        <f>"0611836134100"</f>
        <v>0611836134100</v>
      </c>
      <c r="B7328" t="str">
        <f>"LH5285"</f>
        <v>LH5285</v>
      </c>
      <c r="C7328" t="s">
        <v>41453</v>
      </c>
      <c r="D7328" t="s">
        <v>27245</v>
      </c>
      <c r="E7328" t="str">
        <f t="shared" si="114"/>
        <v>001390</v>
      </c>
      <c r="F7328" t="s">
        <v>27246</v>
      </c>
      <c r="G7328" t="s">
        <v>27247</v>
      </c>
      <c r="H7328" t="s">
        <v>27248</v>
      </c>
      <c r="I7328" t="s">
        <v>41454</v>
      </c>
      <c r="J7328" t="s">
        <v>14557</v>
      </c>
      <c r="L7328" t="s">
        <v>27250</v>
      </c>
      <c r="M7328" t="s">
        <v>27251</v>
      </c>
      <c r="N7328" t="s">
        <v>27252</v>
      </c>
      <c r="Q7328" s="1">
        <v>44538</v>
      </c>
      <c r="R7328" t="s">
        <v>27253</v>
      </c>
      <c r="S7328" t="s">
        <v>27254</v>
      </c>
      <c r="T7328" t="s">
        <v>27255</v>
      </c>
    </row>
    <row r="7329" spans="1:20" x14ac:dyDescent="0.3">
      <c r="A7329" t="str">
        <f>"0611836135025"</f>
        <v>0611836135025</v>
      </c>
      <c r="B7329" t="str">
        <f>"MC0494"</f>
        <v>MC0494</v>
      </c>
      <c r="C7329" t="s">
        <v>41455</v>
      </c>
      <c r="D7329" t="s">
        <v>27267</v>
      </c>
      <c r="E7329" t="str">
        <f t="shared" si="114"/>
        <v>001390</v>
      </c>
      <c r="F7329" t="s">
        <v>27246</v>
      </c>
      <c r="G7329" t="s">
        <v>27247</v>
      </c>
      <c r="H7329" t="s">
        <v>27248</v>
      </c>
      <c r="I7329" t="s">
        <v>41456</v>
      </c>
      <c r="J7329" t="s">
        <v>14559</v>
      </c>
      <c r="L7329" t="s">
        <v>27250</v>
      </c>
      <c r="M7329" t="s">
        <v>27251</v>
      </c>
      <c r="N7329" t="s">
        <v>27252</v>
      </c>
      <c r="Q7329" s="1">
        <v>44538</v>
      </c>
      <c r="R7329" t="s">
        <v>27253</v>
      </c>
      <c r="S7329" t="s">
        <v>27254</v>
      </c>
      <c r="T7329" t="s">
        <v>27269</v>
      </c>
    </row>
    <row r="7330" spans="1:20" x14ac:dyDescent="0.3">
      <c r="A7330" t="str">
        <f>"0611836136100"</f>
        <v>0611836136100</v>
      </c>
      <c r="B7330" t="str">
        <f>"LH5302"</f>
        <v>LH5302</v>
      </c>
      <c r="C7330" t="s">
        <v>41457</v>
      </c>
      <c r="D7330" t="s">
        <v>27245</v>
      </c>
      <c r="E7330" t="str">
        <f t="shared" si="114"/>
        <v>001390</v>
      </c>
      <c r="F7330" t="s">
        <v>27246</v>
      </c>
      <c r="G7330" t="s">
        <v>27247</v>
      </c>
      <c r="H7330" t="s">
        <v>27248</v>
      </c>
      <c r="I7330" t="s">
        <v>41458</v>
      </c>
      <c r="J7330" t="s">
        <v>14561</v>
      </c>
      <c r="L7330" t="s">
        <v>27250</v>
      </c>
      <c r="M7330" t="s">
        <v>27251</v>
      </c>
      <c r="N7330" t="s">
        <v>27252</v>
      </c>
      <c r="Q7330" s="1">
        <v>44538</v>
      </c>
      <c r="R7330" t="s">
        <v>27253</v>
      </c>
      <c r="S7330" t="s">
        <v>27254</v>
      </c>
      <c r="T7330" t="s">
        <v>27255</v>
      </c>
    </row>
    <row r="7331" spans="1:20" x14ac:dyDescent="0.3">
      <c r="A7331" t="str">
        <f>"0611836137025"</f>
        <v>0611836137025</v>
      </c>
      <c r="B7331" t="str">
        <f>"MC0888"</f>
        <v>MC0888</v>
      </c>
      <c r="C7331" t="s">
        <v>41457</v>
      </c>
      <c r="D7331" t="s">
        <v>27267</v>
      </c>
      <c r="E7331" t="str">
        <f t="shared" si="114"/>
        <v>001390</v>
      </c>
      <c r="F7331" t="s">
        <v>27246</v>
      </c>
      <c r="G7331" t="s">
        <v>27247</v>
      </c>
      <c r="H7331" t="s">
        <v>27248</v>
      </c>
      <c r="I7331" t="s">
        <v>41459</v>
      </c>
      <c r="J7331" t="s">
        <v>14563</v>
      </c>
      <c r="L7331" t="s">
        <v>27250</v>
      </c>
      <c r="M7331" t="s">
        <v>27251</v>
      </c>
      <c r="N7331" t="s">
        <v>27252</v>
      </c>
      <c r="Q7331" s="1">
        <v>44538</v>
      </c>
      <c r="R7331" t="s">
        <v>27253</v>
      </c>
      <c r="S7331" t="s">
        <v>27254</v>
      </c>
      <c r="T7331" t="s">
        <v>27269</v>
      </c>
    </row>
    <row r="7332" spans="1:20" x14ac:dyDescent="0.3">
      <c r="A7332" t="str">
        <f>"0611836138025"</f>
        <v>0611836138025</v>
      </c>
      <c r="B7332" t="str">
        <f>"MC1916"</f>
        <v>MC1916</v>
      </c>
      <c r="C7332" t="s">
        <v>41460</v>
      </c>
      <c r="D7332" t="s">
        <v>27267</v>
      </c>
      <c r="E7332" t="str">
        <f t="shared" si="114"/>
        <v>001390</v>
      </c>
      <c r="F7332" t="s">
        <v>27246</v>
      </c>
      <c r="G7332" t="s">
        <v>27247</v>
      </c>
      <c r="H7332" t="s">
        <v>27248</v>
      </c>
      <c r="I7332" t="s">
        <v>41461</v>
      </c>
      <c r="J7332" t="s">
        <v>14565</v>
      </c>
      <c r="L7332" t="s">
        <v>27250</v>
      </c>
      <c r="M7332" t="s">
        <v>27251</v>
      </c>
      <c r="N7332" t="s">
        <v>27252</v>
      </c>
      <c r="Q7332" s="1">
        <v>44538</v>
      </c>
      <c r="R7332" t="s">
        <v>27253</v>
      </c>
      <c r="S7332" t="s">
        <v>27254</v>
      </c>
      <c r="T7332" t="s">
        <v>27269</v>
      </c>
    </row>
    <row r="7333" spans="1:20" x14ac:dyDescent="0.3">
      <c r="A7333" t="str">
        <f>"0611836139100"</f>
        <v>0611836139100</v>
      </c>
      <c r="B7333" t="str">
        <f>"LH8830"</f>
        <v>LH8830</v>
      </c>
      <c r="C7333" t="s">
        <v>41462</v>
      </c>
      <c r="D7333" t="s">
        <v>27245</v>
      </c>
      <c r="E7333" t="str">
        <f t="shared" si="114"/>
        <v>001390</v>
      </c>
      <c r="F7333" t="s">
        <v>27246</v>
      </c>
      <c r="G7333" t="s">
        <v>27247</v>
      </c>
      <c r="H7333" t="s">
        <v>27248</v>
      </c>
      <c r="I7333" t="s">
        <v>41463</v>
      </c>
      <c r="J7333" t="s">
        <v>14567</v>
      </c>
      <c r="L7333" t="s">
        <v>27250</v>
      </c>
      <c r="M7333" t="s">
        <v>27251</v>
      </c>
      <c r="N7333" t="s">
        <v>27252</v>
      </c>
      <c r="Q7333" s="1">
        <v>44538</v>
      </c>
      <c r="R7333" t="s">
        <v>27253</v>
      </c>
      <c r="S7333" t="s">
        <v>27254</v>
      </c>
      <c r="T7333" t="s">
        <v>27255</v>
      </c>
    </row>
    <row r="7334" spans="1:20" x14ac:dyDescent="0.3">
      <c r="A7334" t="str">
        <f>"0611836140025"</f>
        <v>0611836140025</v>
      </c>
      <c r="B7334" t="str">
        <f>"MC0497"</f>
        <v>MC0497</v>
      </c>
      <c r="C7334" t="s">
        <v>41464</v>
      </c>
      <c r="D7334" t="s">
        <v>27267</v>
      </c>
      <c r="E7334" t="str">
        <f t="shared" si="114"/>
        <v>001390</v>
      </c>
      <c r="F7334" t="s">
        <v>27246</v>
      </c>
      <c r="G7334" t="s">
        <v>27247</v>
      </c>
      <c r="H7334" t="s">
        <v>27248</v>
      </c>
      <c r="I7334" t="s">
        <v>41465</v>
      </c>
      <c r="J7334" t="s">
        <v>14569</v>
      </c>
      <c r="L7334" t="s">
        <v>27250</v>
      </c>
      <c r="M7334" t="s">
        <v>27251</v>
      </c>
      <c r="N7334" t="s">
        <v>27252</v>
      </c>
      <c r="Q7334" s="1">
        <v>44538</v>
      </c>
      <c r="R7334" t="s">
        <v>27253</v>
      </c>
      <c r="S7334" t="s">
        <v>27254</v>
      </c>
      <c r="T7334" t="s">
        <v>27269</v>
      </c>
    </row>
    <row r="7335" spans="1:20" x14ac:dyDescent="0.3">
      <c r="A7335" t="str">
        <f>"0611834265100"</f>
        <v>0611834265100</v>
      </c>
      <c r="B7335" t="str">
        <f>"LK5798"</f>
        <v>LK5798</v>
      </c>
      <c r="C7335" t="s">
        <v>41466</v>
      </c>
      <c r="D7335" t="s">
        <v>27245</v>
      </c>
      <c r="E7335" t="str">
        <f t="shared" si="114"/>
        <v>001390</v>
      </c>
      <c r="F7335" t="s">
        <v>27246</v>
      </c>
      <c r="G7335" t="s">
        <v>27247</v>
      </c>
      <c r="H7335" t="s">
        <v>27248</v>
      </c>
      <c r="I7335" t="s">
        <v>41467</v>
      </c>
      <c r="J7335" t="s">
        <v>14571</v>
      </c>
      <c r="L7335" t="s">
        <v>27250</v>
      </c>
      <c r="M7335" t="s">
        <v>27251</v>
      </c>
      <c r="N7335" t="s">
        <v>27252</v>
      </c>
      <c r="Q7335" s="1">
        <v>44538</v>
      </c>
      <c r="R7335" t="s">
        <v>27253</v>
      </c>
      <c r="S7335" t="s">
        <v>27254</v>
      </c>
      <c r="T7335" t="s">
        <v>27255</v>
      </c>
    </row>
    <row r="7336" spans="1:20" x14ac:dyDescent="0.3">
      <c r="A7336" t="str">
        <f>"0611834266100"</f>
        <v>0611834266100</v>
      </c>
      <c r="B7336" t="str">
        <f>"LB4336"</f>
        <v>LB4336</v>
      </c>
      <c r="C7336" t="s">
        <v>41468</v>
      </c>
      <c r="D7336" t="s">
        <v>27245</v>
      </c>
      <c r="E7336" t="str">
        <f t="shared" si="114"/>
        <v>001390</v>
      </c>
      <c r="F7336" t="s">
        <v>27246</v>
      </c>
      <c r="G7336" t="s">
        <v>27247</v>
      </c>
      <c r="H7336" t="s">
        <v>27248</v>
      </c>
      <c r="I7336" t="s">
        <v>41469</v>
      </c>
      <c r="J7336" t="s">
        <v>14573</v>
      </c>
      <c r="L7336" t="s">
        <v>27250</v>
      </c>
      <c r="M7336" t="s">
        <v>27251</v>
      </c>
      <c r="N7336" t="s">
        <v>27252</v>
      </c>
      <c r="Q7336" s="1">
        <v>44538</v>
      </c>
      <c r="R7336" t="s">
        <v>27253</v>
      </c>
      <c r="S7336" t="s">
        <v>27254</v>
      </c>
      <c r="T7336" t="s">
        <v>27255</v>
      </c>
    </row>
    <row r="7337" spans="1:20" x14ac:dyDescent="0.3">
      <c r="A7337" t="str">
        <f>"0611834267100"</f>
        <v>0611834267100</v>
      </c>
      <c r="B7337" t="str">
        <f>"LB0215"</f>
        <v>LB0215</v>
      </c>
      <c r="C7337" t="s">
        <v>41470</v>
      </c>
      <c r="D7337" t="s">
        <v>27245</v>
      </c>
      <c r="E7337" t="str">
        <f t="shared" si="114"/>
        <v>001390</v>
      </c>
      <c r="F7337" t="s">
        <v>27246</v>
      </c>
      <c r="G7337" t="s">
        <v>27247</v>
      </c>
      <c r="H7337" t="s">
        <v>27248</v>
      </c>
      <c r="I7337" t="s">
        <v>41471</v>
      </c>
      <c r="J7337" t="s">
        <v>14575</v>
      </c>
      <c r="L7337" t="s">
        <v>27250</v>
      </c>
      <c r="M7337" t="s">
        <v>27251</v>
      </c>
      <c r="N7337" t="s">
        <v>27252</v>
      </c>
      <c r="Q7337" s="1">
        <v>44538</v>
      </c>
      <c r="R7337" t="s">
        <v>27253</v>
      </c>
      <c r="S7337" t="s">
        <v>27254</v>
      </c>
      <c r="T7337" t="s">
        <v>27255</v>
      </c>
    </row>
    <row r="7338" spans="1:20" x14ac:dyDescent="0.3">
      <c r="A7338" t="str">
        <f>"0611834269100"</f>
        <v>0611834269100</v>
      </c>
      <c r="B7338" t="str">
        <f>"LB0216"</f>
        <v>LB0216</v>
      </c>
      <c r="C7338" t="s">
        <v>41472</v>
      </c>
      <c r="D7338" t="s">
        <v>27245</v>
      </c>
      <c r="E7338" t="str">
        <f t="shared" si="114"/>
        <v>001390</v>
      </c>
      <c r="F7338" t="s">
        <v>27246</v>
      </c>
      <c r="G7338" t="s">
        <v>27247</v>
      </c>
      <c r="H7338" t="s">
        <v>27248</v>
      </c>
      <c r="I7338" t="s">
        <v>41473</v>
      </c>
      <c r="J7338" t="s">
        <v>14577</v>
      </c>
      <c r="L7338" t="s">
        <v>27250</v>
      </c>
      <c r="M7338" t="s">
        <v>27251</v>
      </c>
      <c r="N7338" t="s">
        <v>27252</v>
      </c>
      <c r="Q7338" s="1">
        <v>44538</v>
      </c>
      <c r="R7338" t="s">
        <v>27253</v>
      </c>
      <c r="S7338" t="s">
        <v>27254</v>
      </c>
      <c r="T7338" t="s">
        <v>27255</v>
      </c>
    </row>
    <row r="7339" spans="1:20" x14ac:dyDescent="0.3">
      <c r="A7339" t="str">
        <f>"0611834271100"</f>
        <v>0611834271100</v>
      </c>
      <c r="B7339" t="str">
        <f>"LK7013"</f>
        <v>LK7013</v>
      </c>
      <c r="C7339" t="s">
        <v>41474</v>
      </c>
      <c r="D7339" t="s">
        <v>27245</v>
      </c>
      <c r="E7339" t="str">
        <f t="shared" si="114"/>
        <v>001390</v>
      </c>
      <c r="F7339" t="s">
        <v>27246</v>
      </c>
      <c r="G7339" t="s">
        <v>27247</v>
      </c>
      <c r="H7339" t="s">
        <v>27248</v>
      </c>
      <c r="I7339" t="s">
        <v>41475</v>
      </c>
      <c r="J7339" t="s">
        <v>14581</v>
      </c>
      <c r="L7339" t="s">
        <v>27250</v>
      </c>
      <c r="M7339" t="s">
        <v>27251</v>
      </c>
      <c r="N7339" t="s">
        <v>27252</v>
      </c>
      <c r="Q7339" s="1">
        <v>44538</v>
      </c>
      <c r="R7339" t="s">
        <v>27253</v>
      </c>
      <c r="S7339" t="s">
        <v>27254</v>
      </c>
      <c r="T7339" t="s">
        <v>27255</v>
      </c>
    </row>
    <row r="7340" spans="1:20" x14ac:dyDescent="0.3">
      <c r="A7340" t="str">
        <f>"0611834273100"</f>
        <v>0611834273100</v>
      </c>
      <c r="B7340" t="str">
        <f>"LB4367"</f>
        <v>LB4367</v>
      </c>
      <c r="C7340" t="s">
        <v>41476</v>
      </c>
      <c r="D7340" t="s">
        <v>27245</v>
      </c>
      <c r="E7340" t="str">
        <f t="shared" si="114"/>
        <v>001390</v>
      </c>
      <c r="F7340" t="s">
        <v>27246</v>
      </c>
      <c r="G7340" t="s">
        <v>27247</v>
      </c>
      <c r="H7340" t="s">
        <v>27248</v>
      </c>
      <c r="I7340" t="s">
        <v>41477</v>
      </c>
      <c r="J7340" t="s">
        <v>14579</v>
      </c>
      <c r="L7340" t="s">
        <v>27250</v>
      </c>
      <c r="M7340" t="s">
        <v>27251</v>
      </c>
      <c r="N7340" t="s">
        <v>27252</v>
      </c>
      <c r="O7340">
        <v>100</v>
      </c>
      <c r="Q7340" s="1">
        <v>44538</v>
      </c>
      <c r="R7340" t="s">
        <v>27253</v>
      </c>
      <c r="S7340" t="s">
        <v>27254</v>
      </c>
      <c r="T7340" t="s">
        <v>27255</v>
      </c>
    </row>
    <row r="7341" spans="1:20" x14ac:dyDescent="0.3">
      <c r="A7341" t="str">
        <f>"0611834274100"</f>
        <v>0611834274100</v>
      </c>
      <c r="B7341" t="str">
        <f>"LB2667"</f>
        <v>LB2667</v>
      </c>
      <c r="C7341" t="s">
        <v>41478</v>
      </c>
      <c r="D7341" t="s">
        <v>27245</v>
      </c>
      <c r="E7341" t="str">
        <f t="shared" si="114"/>
        <v>001390</v>
      </c>
      <c r="F7341" t="s">
        <v>27246</v>
      </c>
      <c r="G7341" t="s">
        <v>27247</v>
      </c>
      <c r="H7341" t="s">
        <v>27248</v>
      </c>
      <c r="I7341" t="s">
        <v>41479</v>
      </c>
      <c r="J7341" t="s">
        <v>14583</v>
      </c>
      <c r="L7341" t="s">
        <v>27250</v>
      </c>
      <c r="M7341" t="s">
        <v>27251</v>
      </c>
      <c r="N7341" t="s">
        <v>27252</v>
      </c>
      <c r="Q7341" s="1">
        <v>44538</v>
      </c>
      <c r="R7341" t="s">
        <v>27253</v>
      </c>
      <c r="S7341" t="s">
        <v>27254</v>
      </c>
      <c r="T7341" t="s">
        <v>27255</v>
      </c>
    </row>
    <row r="7342" spans="1:20" x14ac:dyDescent="0.3">
      <c r="A7342" t="str">
        <f>"0611834276100"</f>
        <v>0611834276100</v>
      </c>
      <c r="B7342" t="str">
        <f>"LK5799"</f>
        <v>LK5799</v>
      </c>
      <c r="C7342" t="s">
        <v>41480</v>
      </c>
      <c r="D7342" t="s">
        <v>27245</v>
      </c>
      <c r="E7342" t="str">
        <f t="shared" si="114"/>
        <v>001390</v>
      </c>
      <c r="F7342" t="s">
        <v>27246</v>
      </c>
      <c r="G7342" t="s">
        <v>27247</v>
      </c>
      <c r="H7342" t="s">
        <v>27248</v>
      </c>
      <c r="I7342" t="s">
        <v>41481</v>
      </c>
      <c r="J7342" t="s">
        <v>14585</v>
      </c>
      <c r="L7342" t="s">
        <v>27250</v>
      </c>
      <c r="M7342" t="s">
        <v>27251</v>
      </c>
      <c r="N7342" t="s">
        <v>27252</v>
      </c>
      <c r="Q7342" s="1">
        <v>44538</v>
      </c>
      <c r="R7342" t="s">
        <v>27253</v>
      </c>
      <c r="S7342" t="s">
        <v>27254</v>
      </c>
      <c r="T7342" t="s">
        <v>27255</v>
      </c>
    </row>
    <row r="7343" spans="1:20" x14ac:dyDescent="0.3">
      <c r="A7343" t="str">
        <f>"0611863220100"</f>
        <v>0611863220100</v>
      </c>
      <c r="B7343" t="str">
        <f>"CN5254"</f>
        <v>CN5254</v>
      </c>
      <c r="C7343" t="s">
        <v>41482</v>
      </c>
      <c r="D7343" t="s">
        <v>27335</v>
      </c>
      <c r="E7343" t="str">
        <f t="shared" si="114"/>
        <v>001390</v>
      </c>
      <c r="F7343" t="s">
        <v>27246</v>
      </c>
      <c r="G7343" t="s">
        <v>27247</v>
      </c>
      <c r="H7343" t="s">
        <v>27248</v>
      </c>
      <c r="I7343" t="s">
        <v>41483</v>
      </c>
      <c r="J7343" t="s">
        <v>14587</v>
      </c>
      <c r="L7343" t="s">
        <v>27250</v>
      </c>
      <c r="M7343" t="s">
        <v>27251</v>
      </c>
      <c r="N7343" t="s">
        <v>27252</v>
      </c>
      <c r="Q7343" s="1">
        <v>44846</v>
      </c>
      <c r="R7343" t="s">
        <v>27253</v>
      </c>
      <c r="S7343" t="s">
        <v>27254</v>
      </c>
      <c r="T7343" t="s">
        <v>27255</v>
      </c>
    </row>
    <row r="7344" spans="1:20" x14ac:dyDescent="0.3">
      <c r="A7344" t="str">
        <f>"0611836141025"</f>
        <v>0611836141025</v>
      </c>
      <c r="B7344" t="str">
        <f>"MQ6054"</f>
        <v>MQ6054</v>
      </c>
      <c r="C7344" t="s">
        <v>41484</v>
      </c>
      <c r="D7344" t="s">
        <v>27267</v>
      </c>
      <c r="E7344" t="str">
        <f t="shared" si="114"/>
        <v>001390</v>
      </c>
      <c r="F7344" t="s">
        <v>27246</v>
      </c>
      <c r="G7344" t="s">
        <v>27247</v>
      </c>
      <c r="H7344" t="s">
        <v>27248</v>
      </c>
      <c r="I7344" t="s">
        <v>41485</v>
      </c>
      <c r="J7344" t="s">
        <v>14589</v>
      </c>
      <c r="L7344" t="s">
        <v>27250</v>
      </c>
      <c r="M7344" t="s">
        <v>27251</v>
      </c>
      <c r="N7344" t="s">
        <v>27252</v>
      </c>
      <c r="Q7344" s="1">
        <v>44538</v>
      </c>
      <c r="R7344" t="s">
        <v>27253</v>
      </c>
      <c r="S7344" t="s">
        <v>27254</v>
      </c>
      <c r="T7344" t="s">
        <v>27269</v>
      </c>
    </row>
    <row r="7345" spans="1:20" x14ac:dyDescent="0.3">
      <c r="A7345" t="str">
        <f>"0611836142025"</f>
        <v>0611836142025</v>
      </c>
      <c r="B7345" t="str">
        <f>"MC0499"</f>
        <v>MC0499</v>
      </c>
      <c r="C7345" t="s">
        <v>41486</v>
      </c>
      <c r="D7345" t="s">
        <v>27267</v>
      </c>
      <c r="E7345" t="str">
        <f t="shared" si="114"/>
        <v>001390</v>
      </c>
      <c r="F7345" t="s">
        <v>27246</v>
      </c>
      <c r="G7345" t="s">
        <v>27247</v>
      </c>
      <c r="H7345" t="s">
        <v>27248</v>
      </c>
      <c r="I7345" t="s">
        <v>41487</v>
      </c>
      <c r="J7345" t="s">
        <v>14593</v>
      </c>
      <c r="L7345" t="s">
        <v>27250</v>
      </c>
      <c r="M7345" t="s">
        <v>27251</v>
      </c>
      <c r="N7345" t="s">
        <v>27252</v>
      </c>
      <c r="Q7345" s="1">
        <v>44538</v>
      </c>
      <c r="R7345" t="s">
        <v>27253</v>
      </c>
      <c r="S7345" t="s">
        <v>27254</v>
      </c>
      <c r="T7345" t="s">
        <v>27269</v>
      </c>
    </row>
    <row r="7346" spans="1:20" x14ac:dyDescent="0.3">
      <c r="A7346" t="str">
        <f>"0611863221100"</f>
        <v>0611863221100</v>
      </c>
      <c r="B7346" t="str">
        <f>"CN5253"</f>
        <v>CN5253</v>
      </c>
      <c r="C7346" t="s">
        <v>41486</v>
      </c>
      <c r="D7346" t="s">
        <v>27335</v>
      </c>
      <c r="E7346" t="str">
        <f t="shared" si="114"/>
        <v>001390</v>
      </c>
      <c r="F7346" t="s">
        <v>27246</v>
      </c>
      <c r="G7346" t="s">
        <v>27247</v>
      </c>
      <c r="H7346" t="s">
        <v>27248</v>
      </c>
      <c r="I7346" t="s">
        <v>41488</v>
      </c>
      <c r="J7346" t="s">
        <v>14591</v>
      </c>
      <c r="L7346" t="s">
        <v>27250</v>
      </c>
      <c r="M7346" t="s">
        <v>27251</v>
      </c>
      <c r="N7346" t="s">
        <v>27252</v>
      </c>
      <c r="Q7346" s="1">
        <v>44846</v>
      </c>
      <c r="R7346" t="s">
        <v>27253</v>
      </c>
      <c r="S7346" t="s">
        <v>27254</v>
      </c>
      <c r="T7346" t="s">
        <v>27255</v>
      </c>
    </row>
    <row r="7347" spans="1:20" x14ac:dyDescent="0.3">
      <c r="A7347" t="str">
        <f>"0611836143025"</f>
        <v>0611836143025</v>
      </c>
      <c r="B7347" t="str">
        <f>"MC2012"</f>
        <v>MC2012</v>
      </c>
      <c r="C7347" t="s">
        <v>41489</v>
      </c>
      <c r="D7347" t="s">
        <v>27267</v>
      </c>
      <c r="E7347" t="str">
        <f t="shared" si="114"/>
        <v>001390</v>
      </c>
      <c r="F7347" t="s">
        <v>27246</v>
      </c>
      <c r="G7347" t="s">
        <v>27247</v>
      </c>
      <c r="H7347" t="s">
        <v>27248</v>
      </c>
      <c r="I7347" t="s">
        <v>41490</v>
      </c>
      <c r="J7347" t="s">
        <v>14597</v>
      </c>
      <c r="L7347" t="s">
        <v>27250</v>
      </c>
      <c r="M7347" t="s">
        <v>27251</v>
      </c>
      <c r="N7347" t="s">
        <v>27252</v>
      </c>
      <c r="Q7347" s="1">
        <v>44538</v>
      </c>
      <c r="R7347" t="s">
        <v>27253</v>
      </c>
      <c r="S7347" t="s">
        <v>27254</v>
      </c>
      <c r="T7347" t="s">
        <v>27269</v>
      </c>
    </row>
    <row r="7348" spans="1:20" x14ac:dyDescent="0.3">
      <c r="A7348" t="str">
        <f>"0611863222100"</f>
        <v>0611863222100</v>
      </c>
      <c r="B7348" t="str">
        <f>"CN2313"</f>
        <v>CN2313</v>
      </c>
      <c r="C7348" t="s">
        <v>41489</v>
      </c>
      <c r="D7348" t="s">
        <v>27335</v>
      </c>
      <c r="E7348" t="str">
        <f t="shared" si="114"/>
        <v>001390</v>
      </c>
      <c r="F7348" t="s">
        <v>27246</v>
      </c>
      <c r="G7348" t="s">
        <v>27247</v>
      </c>
      <c r="H7348" t="s">
        <v>27248</v>
      </c>
      <c r="I7348" t="s">
        <v>41491</v>
      </c>
      <c r="J7348" t="s">
        <v>14595</v>
      </c>
      <c r="L7348" t="s">
        <v>27250</v>
      </c>
      <c r="M7348" t="s">
        <v>27251</v>
      </c>
      <c r="N7348" t="s">
        <v>27252</v>
      </c>
      <c r="Q7348" s="1">
        <v>44846</v>
      </c>
      <c r="R7348" t="s">
        <v>27253</v>
      </c>
      <c r="S7348" t="s">
        <v>27254</v>
      </c>
      <c r="T7348" t="s">
        <v>27255</v>
      </c>
    </row>
    <row r="7349" spans="1:20" x14ac:dyDescent="0.3">
      <c r="A7349" t="str">
        <f>"0611836144025"</f>
        <v>0611836144025</v>
      </c>
      <c r="B7349" t="str">
        <f>"MC4388"</f>
        <v>MC4388</v>
      </c>
      <c r="C7349" t="s">
        <v>41492</v>
      </c>
      <c r="D7349" t="s">
        <v>27267</v>
      </c>
      <c r="E7349" t="str">
        <f t="shared" si="114"/>
        <v>001390</v>
      </c>
      <c r="F7349" t="s">
        <v>27246</v>
      </c>
      <c r="G7349" t="s">
        <v>27247</v>
      </c>
      <c r="H7349" t="s">
        <v>27248</v>
      </c>
      <c r="I7349" t="s">
        <v>41493</v>
      </c>
      <c r="J7349" t="s">
        <v>14599</v>
      </c>
      <c r="L7349" t="s">
        <v>27250</v>
      </c>
      <c r="M7349" t="s">
        <v>27251</v>
      </c>
      <c r="N7349" t="s">
        <v>27252</v>
      </c>
      <c r="Q7349" s="1">
        <v>44538</v>
      </c>
      <c r="R7349" t="s">
        <v>27253</v>
      </c>
      <c r="S7349" t="s">
        <v>27254</v>
      </c>
      <c r="T7349" t="s">
        <v>27269</v>
      </c>
    </row>
    <row r="7350" spans="1:20" x14ac:dyDescent="0.3">
      <c r="A7350" t="str">
        <f>"0611857023025"</f>
        <v>0611857023025</v>
      </c>
      <c r="B7350" t="str">
        <f>"MC4444"</f>
        <v>MC4444</v>
      </c>
      <c r="C7350" t="s">
        <v>41494</v>
      </c>
      <c r="D7350" t="s">
        <v>28057</v>
      </c>
      <c r="E7350" t="str">
        <f t="shared" si="114"/>
        <v>001390</v>
      </c>
      <c r="F7350" t="s">
        <v>27246</v>
      </c>
      <c r="G7350" t="s">
        <v>27247</v>
      </c>
      <c r="H7350" t="s">
        <v>27248</v>
      </c>
      <c r="I7350" t="s">
        <v>41495</v>
      </c>
      <c r="J7350" t="s">
        <v>14601</v>
      </c>
      <c r="L7350" t="s">
        <v>27250</v>
      </c>
      <c r="M7350" t="s">
        <v>27251</v>
      </c>
      <c r="N7350" t="s">
        <v>27252</v>
      </c>
      <c r="P7350" t="s">
        <v>27925</v>
      </c>
      <c r="Q7350" s="1">
        <v>44812</v>
      </c>
      <c r="R7350" t="s">
        <v>27253</v>
      </c>
      <c r="S7350" t="s">
        <v>27254</v>
      </c>
      <c r="T7350" t="s">
        <v>27269</v>
      </c>
    </row>
    <row r="7351" spans="1:20" x14ac:dyDescent="0.3">
      <c r="A7351" t="str">
        <f>"0611836145100"</f>
        <v>0611836145100</v>
      </c>
      <c r="B7351" t="str">
        <f>"LQ5524"</f>
        <v>LQ5524</v>
      </c>
      <c r="C7351" t="s">
        <v>41496</v>
      </c>
      <c r="D7351" t="s">
        <v>27245</v>
      </c>
      <c r="E7351" t="str">
        <f t="shared" si="114"/>
        <v>001390</v>
      </c>
      <c r="F7351" t="s">
        <v>27246</v>
      </c>
      <c r="G7351" t="s">
        <v>27247</v>
      </c>
      <c r="H7351" t="s">
        <v>27248</v>
      </c>
      <c r="I7351" t="s">
        <v>41497</v>
      </c>
      <c r="J7351" t="s">
        <v>14605</v>
      </c>
      <c r="L7351" t="s">
        <v>27250</v>
      </c>
      <c r="M7351" t="s">
        <v>27251</v>
      </c>
      <c r="N7351" t="s">
        <v>27252</v>
      </c>
      <c r="Q7351" s="1">
        <v>44538</v>
      </c>
      <c r="R7351" t="s">
        <v>27253</v>
      </c>
      <c r="S7351" t="s">
        <v>27254</v>
      </c>
      <c r="T7351" t="s">
        <v>27255</v>
      </c>
    </row>
    <row r="7352" spans="1:20" x14ac:dyDescent="0.3">
      <c r="A7352" t="str">
        <f>"0611863223050"</f>
        <v>0611863223050</v>
      </c>
      <c r="B7352" t="str">
        <f>"CR2653"</f>
        <v>CR2653</v>
      </c>
      <c r="C7352" t="s">
        <v>41498</v>
      </c>
      <c r="D7352" t="s">
        <v>27271</v>
      </c>
      <c r="E7352" t="str">
        <f t="shared" si="114"/>
        <v>001390</v>
      </c>
      <c r="F7352" t="s">
        <v>27246</v>
      </c>
      <c r="G7352" t="s">
        <v>27247</v>
      </c>
      <c r="H7352" t="s">
        <v>27248</v>
      </c>
      <c r="I7352" t="s">
        <v>41499</v>
      </c>
      <c r="J7352" t="s">
        <v>14607</v>
      </c>
      <c r="L7352" t="s">
        <v>27250</v>
      </c>
      <c r="M7352" t="s">
        <v>27251</v>
      </c>
      <c r="N7352" t="s">
        <v>27252</v>
      </c>
      <c r="P7352" t="s">
        <v>27341</v>
      </c>
      <c r="Q7352" s="1">
        <v>44846</v>
      </c>
      <c r="R7352" t="s">
        <v>27253</v>
      </c>
      <c r="S7352" t="s">
        <v>27254</v>
      </c>
      <c r="T7352" t="s">
        <v>27265</v>
      </c>
    </row>
    <row r="7353" spans="1:20" x14ac:dyDescent="0.3">
      <c r="A7353" t="str">
        <f>"0611863224050"</f>
        <v>0611863224050</v>
      </c>
      <c r="B7353" t="str">
        <f>"CR3723"</f>
        <v>CR3723</v>
      </c>
      <c r="C7353" t="s">
        <v>41500</v>
      </c>
      <c r="D7353" t="s">
        <v>27271</v>
      </c>
      <c r="E7353" t="str">
        <f t="shared" si="114"/>
        <v>001390</v>
      </c>
      <c r="F7353" t="s">
        <v>27246</v>
      </c>
      <c r="G7353" t="s">
        <v>27247</v>
      </c>
      <c r="H7353" t="s">
        <v>27248</v>
      </c>
      <c r="I7353" t="s">
        <v>41501</v>
      </c>
      <c r="J7353" t="s">
        <v>14609</v>
      </c>
      <c r="L7353" t="s">
        <v>27250</v>
      </c>
      <c r="M7353" t="s">
        <v>27251</v>
      </c>
      <c r="N7353" t="s">
        <v>27252</v>
      </c>
      <c r="P7353" t="s">
        <v>27341</v>
      </c>
      <c r="Q7353" s="1">
        <v>44846</v>
      </c>
      <c r="R7353" t="s">
        <v>27253</v>
      </c>
      <c r="S7353" t="s">
        <v>27254</v>
      </c>
      <c r="T7353" t="s">
        <v>27265</v>
      </c>
    </row>
    <row r="7354" spans="1:20" x14ac:dyDescent="0.3">
      <c r="A7354" t="str">
        <f>"0611863225050"</f>
        <v>0611863225050</v>
      </c>
      <c r="B7354" t="str">
        <f>"CR3123"</f>
        <v>CR3123</v>
      </c>
      <c r="C7354" t="s">
        <v>41502</v>
      </c>
      <c r="D7354" t="s">
        <v>27271</v>
      </c>
      <c r="E7354" t="str">
        <f t="shared" si="114"/>
        <v>001390</v>
      </c>
      <c r="F7354" t="s">
        <v>27246</v>
      </c>
      <c r="G7354" t="s">
        <v>27247</v>
      </c>
      <c r="H7354" t="s">
        <v>27248</v>
      </c>
      <c r="I7354" t="s">
        <v>41503</v>
      </c>
      <c r="J7354" t="s">
        <v>14611</v>
      </c>
      <c r="L7354" t="s">
        <v>27250</v>
      </c>
      <c r="M7354" t="s">
        <v>27251</v>
      </c>
      <c r="N7354" t="s">
        <v>27252</v>
      </c>
      <c r="P7354" t="s">
        <v>27341</v>
      </c>
      <c r="Q7354" s="1">
        <v>44846</v>
      </c>
      <c r="R7354" t="s">
        <v>27253</v>
      </c>
      <c r="S7354" t="s">
        <v>27254</v>
      </c>
      <c r="T7354" t="s">
        <v>27265</v>
      </c>
    </row>
    <row r="7355" spans="1:20" x14ac:dyDescent="0.3">
      <c r="A7355" t="str">
        <f>"0611863226050"</f>
        <v>0611863226050</v>
      </c>
      <c r="B7355" t="str">
        <f>"CR3124"</f>
        <v>CR3124</v>
      </c>
      <c r="C7355" t="s">
        <v>41504</v>
      </c>
      <c r="D7355" t="s">
        <v>27271</v>
      </c>
      <c r="E7355" t="str">
        <f t="shared" si="114"/>
        <v>001390</v>
      </c>
      <c r="F7355" t="s">
        <v>27246</v>
      </c>
      <c r="G7355" t="s">
        <v>27247</v>
      </c>
      <c r="H7355" t="s">
        <v>27248</v>
      </c>
      <c r="I7355" t="s">
        <v>41505</v>
      </c>
      <c r="J7355" t="s">
        <v>14613</v>
      </c>
      <c r="L7355" t="s">
        <v>27250</v>
      </c>
      <c r="M7355" t="s">
        <v>27251</v>
      </c>
      <c r="N7355" t="s">
        <v>27252</v>
      </c>
      <c r="P7355" t="s">
        <v>27341</v>
      </c>
      <c r="Q7355" s="1">
        <v>44846</v>
      </c>
      <c r="R7355" t="s">
        <v>27253</v>
      </c>
      <c r="S7355" t="s">
        <v>27254</v>
      </c>
      <c r="T7355" t="s">
        <v>27265</v>
      </c>
    </row>
    <row r="7356" spans="1:20" x14ac:dyDescent="0.3">
      <c r="A7356" t="str">
        <f>"0611863227050"</f>
        <v>0611863227050</v>
      </c>
      <c r="B7356" t="str">
        <f>"CR3126"</f>
        <v>CR3126</v>
      </c>
      <c r="C7356" t="s">
        <v>41506</v>
      </c>
      <c r="D7356" t="s">
        <v>27271</v>
      </c>
      <c r="E7356" t="str">
        <f t="shared" si="114"/>
        <v>001390</v>
      </c>
      <c r="F7356" t="s">
        <v>27246</v>
      </c>
      <c r="G7356" t="s">
        <v>27247</v>
      </c>
      <c r="H7356" t="s">
        <v>27248</v>
      </c>
      <c r="I7356" t="s">
        <v>41507</v>
      </c>
      <c r="J7356" t="s">
        <v>14615</v>
      </c>
      <c r="L7356" t="s">
        <v>27250</v>
      </c>
      <c r="M7356" t="s">
        <v>27251</v>
      </c>
      <c r="N7356" t="s">
        <v>27252</v>
      </c>
      <c r="P7356" t="s">
        <v>27341</v>
      </c>
      <c r="Q7356" s="1">
        <v>44846</v>
      </c>
      <c r="R7356" t="s">
        <v>27253</v>
      </c>
      <c r="S7356" t="s">
        <v>27254</v>
      </c>
      <c r="T7356" t="s">
        <v>27265</v>
      </c>
    </row>
    <row r="7357" spans="1:20" x14ac:dyDescent="0.3">
      <c r="A7357" t="str">
        <f>"0611863228050"</f>
        <v>0611863228050</v>
      </c>
      <c r="B7357" t="str">
        <f>"CR3127"</f>
        <v>CR3127</v>
      </c>
      <c r="C7357" t="s">
        <v>41508</v>
      </c>
      <c r="D7357" t="s">
        <v>27271</v>
      </c>
      <c r="E7357" t="str">
        <f t="shared" si="114"/>
        <v>001390</v>
      </c>
      <c r="F7357" t="s">
        <v>27246</v>
      </c>
      <c r="G7357" t="s">
        <v>27247</v>
      </c>
      <c r="H7357" t="s">
        <v>27248</v>
      </c>
      <c r="I7357" t="s">
        <v>41509</v>
      </c>
      <c r="J7357" t="s">
        <v>14617</v>
      </c>
      <c r="L7357" t="s">
        <v>27250</v>
      </c>
      <c r="M7357" t="s">
        <v>27251</v>
      </c>
      <c r="N7357" t="s">
        <v>27252</v>
      </c>
      <c r="P7357" t="s">
        <v>27341</v>
      </c>
      <c r="Q7357" s="1">
        <v>44846</v>
      </c>
      <c r="R7357" t="s">
        <v>27253</v>
      </c>
      <c r="S7357" t="s">
        <v>27254</v>
      </c>
      <c r="T7357" t="s">
        <v>27265</v>
      </c>
    </row>
    <row r="7358" spans="1:20" x14ac:dyDescent="0.3">
      <c r="A7358" t="str">
        <f>"0611863229050"</f>
        <v>0611863229050</v>
      </c>
      <c r="B7358" t="str">
        <f>"CR3128"</f>
        <v>CR3128</v>
      </c>
      <c r="C7358" t="s">
        <v>41510</v>
      </c>
      <c r="D7358" t="s">
        <v>27271</v>
      </c>
      <c r="E7358" t="str">
        <f t="shared" si="114"/>
        <v>001390</v>
      </c>
      <c r="F7358" t="s">
        <v>27246</v>
      </c>
      <c r="G7358" t="s">
        <v>27247</v>
      </c>
      <c r="H7358" t="s">
        <v>27248</v>
      </c>
      <c r="I7358" t="s">
        <v>41511</v>
      </c>
      <c r="J7358" t="s">
        <v>14619</v>
      </c>
      <c r="L7358" t="s">
        <v>27250</v>
      </c>
      <c r="M7358" t="s">
        <v>27251</v>
      </c>
      <c r="N7358" t="s">
        <v>27252</v>
      </c>
      <c r="P7358" t="s">
        <v>27341</v>
      </c>
      <c r="Q7358" s="1">
        <v>44846</v>
      </c>
      <c r="R7358" t="s">
        <v>27253</v>
      </c>
      <c r="S7358" t="s">
        <v>27254</v>
      </c>
      <c r="T7358" t="s">
        <v>27265</v>
      </c>
    </row>
    <row r="7359" spans="1:20" x14ac:dyDescent="0.3">
      <c r="A7359" t="str">
        <f>"0611836147100"</f>
        <v>0611836147100</v>
      </c>
      <c r="B7359" t="str">
        <f>"LB4435"</f>
        <v>LB4435</v>
      </c>
      <c r="C7359" t="s">
        <v>41512</v>
      </c>
      <c r="D7359" t="s">
        <v>27245</v>
      </c>
      <c r="E7359" t="str">
        <f t="shared" si="114"/>
        <v>001390</v>
      </c>
      <c r="F7359" t="s">
        <v>27246</v>
      </c>
      <c r="G7359" t="s">
        <v>27247</v>
      </c>
      <c r="H7359" t="s">
        <v>27248</v>
      </c>
      <c r="I7359" t="s">
        <v>41513</v>
      </c>
      <c r="J7359" t="s">
        <v>14623</v>
      </c>
      <c r="L7359" t="s">
        <v>27250</v>
      </c>
      <c r="M7359" t="s">
        <v>27251</v>
      </c>
      <c r="N7359" t="s">
        <v>27252</v>
      </c>
      <c r="Q7359" s="1">
        <v>44538</v>
      </c>
      <c r="R7359" t="s">
        <v>27253</v>
      </c>
      <c r="S7359" t="s">
        <v>27254</v>
      </c>
      <c r="T7359" t="s">
        <v>27255</v>
      </c>
    </row>
    <row r="7360" spans="1:20" x14ac:dyDescent="0.3">
      <c r="A7360" t="str">
        <f>"0611836148100"</f>
        <v>0611836148100</v>
      </c>
      <c r="B7360" t="str">
        <f>"LK5278"</f>
        <v>LK5278</v>
      </c>
      <c r="C7360" t="s">
        <v>41514</v>
      </c>
      <c r="D7360" t="s">
        <v>27245</v>
      </c>
      <c r="E7360" t="str">
        <f t="shared" si="114"/>
        <v>001390</v>
      </c>
      <c r="F7360" t="s">
        <v>27246</v>
      </c>
      <c r="G7360" t="s">
        <v>27247</v>
      </c>
      <c r="H7360" t="s">
        <v>27248</v>
      </c>
      <c r="I7360" t="s">
        <v>41515</v>
      </c>
      <c r="J7360" t="s">
        <v>14621</v>
      </c>
      <c r="L7360" t="s">
        <v>27250</v>
      </c>
      <c r="M7360" t="s">
        <v>27251</v>
      </c>
      <c r="N7360" t="s">
        <v>27252</v>
      </c>
      <c r="Q7360" s="1">
        <v>44538</v>
      </c>
      <c r="R7360" t="s">
        <v>27253</v>
      </c>
      <c r="S7360" t="s">
        <v>27254</v>
      </c>
      <c r="T7360" t="s">
        <v>27255</v>
      </c>
    </row>
    <row r="7361" spans="1:20" x14ac:dyDescent="0.3">
      <c r="A7361" t="str">
        <f>"0611836150100"</f>
        <v>0611836150100</v>
      </c>
      <c r="B7361" t="str">
        <f>"LB4456"</f>
        <v>LB4456</v>
      </c>
      <c r="C7361" t="s">
        <v>41516</v>
      </c>
      <c r="D7361" t="s">
        <v>27245</v>
      </c>
      <c r="E7361" t="str">
        <f t="shared" si="114"/>
        <v>001390</v>
      </c>
      <c r="F7361" t="s">
        <v>27246</v>
      </c>
      <c r="G7361" t="s">
        <v>27247</v>
      </c>
      <c r="H7361" t="s">
        <v>27248</v>
      </c>
      <c r="I7361" t="s">
        <v>41517</v>
      </c>
      <c r="J7361" t="s">
        <v>14625</v>
      </c>
      <c r="L7361" t="s">
        <v>27250</v>
      </c>
      <c r="M7361" t="s">
        <v>27251</v>
      </c>
      <c r="N7361" t="s">
        <v>27252</v>
      </c>
      <c r="Q7361" s="1">
        <v>44538</v>
      </c>
      <c r="R7361" t="s">
        <v>27253</v>
      </c>
      <c r="S7361" t="s">
        <v>27254</v>
      </c>
      <c r="T7361" t="s">
        <v>27255</v>
      </c>
    </row>
    <row r="7362" spans="1:20" x14ac:dyDescent="0.3">
      <c r="A7362" t="str">
        <f>"0611836151100"</f>
        <v>0611836151100</v>
      </c>
      <c r="B7362" t="str">
        <f>"LH5327"</f>
        <v>LH5327</v>
      </c>
      <c r="C7362" t="s">
        <v>41518</v>
      </c>
      <c r="D7362" t="s">
        <v>27245</v>
      </c>
      <c r="E7362" t="str">
        <f t="shared" ref="E7362:E7425" si="115">"001390"</f>
        <v>001390</v>
      </c>
      <c r="F7362" t="s">
        <v>27246</v>
      </c>
      <c r="G7362" t="s">
        <v>27247</v>
      </c>
      <c r="H7362" t="s">
        <v>27248</v>
      </c>
      <c r="I7362" t="s">
        <v>41519</v>
      </c>
      <c r="J7362" t="s">
        <v>14627</v>
      </c>
      <c r="L7362" t="s">
        <v>27250</v>
      </c>
      <c r="M7362" t="s">
        <v>27251</v>
      </c>
      <c r="N7362" t="s">
        <v>27252</v>
      </c>
      <c r="Q7362" s="1">
        <v>44538</v>
      </c>
      <c r="R7362" t="s">
        <v>27253</v>
      </c>
      <c r="S7362" t="s">
        <v>27254</v>
      </c>
      <c r="T7362" t="s">
        <v>27255</v>
      </c>
    </row>
    <row r="7363" spans="1:20" x14ac:dyDescent="0.3">
      <c r="A7363" t="str">
        <f>"0611836152025"</f>
        <v>0611836152025</v>
      </c>
      <c r="B7363" t="str">
        <f>"MC0500"</f>
        <v>MC0500</v>
      </c>
      <c r="C7363" t="s">
        <v>41518</v>
      </c>
      <c r="D7363" t="s">
        <v>27267</v>
      </c>
      <c r="E7363" t="str">
        <f t="shared" si="115"/>
        <v>001390</v>
      </c>
      <c r="F7363" t="s">
        <v>27246</v>
      </c>
      <c r="G7363" t="s">
        <v>27247</v>
      </c>
      <c r="H7363" t="s">
        <v>27248</v>
      </c>
      <c r="I7363" t="s">
        <v>41520</v>
      </c>
      <c r="J7363" t="s">
        <v>14629</v>
      </c>
      <c r="L7363" t="s">
        <v>27250</v>
      </c>
      <c r="M7363" t="s">
        <v>27251</v>
      </c>
      <c r="N7363" t="s">
        <v>27252</v>
      </c>
      <c r="Q7363" s="1">
        <v>44538</v>
      </c>
      <c r="R7363" t="s">
        <v>27253</v>
      </c>
      <c r="S7363" t="s">
        <v>27254</v>
      </c>
      <c r="T7363" t="s">
        <v>27269</v>
      </c>
    </row>
    <row r="7364" spans="1:20" x14ac:dyDescent="0.3">
      <c r="A7364" t="str">
        <f>"0611863230050"</f>
        <v>0611863230050</v>
      </c>
      <c r="B7364" t="str">
        <f>"CR3304"</f>
        <v>CR3304</v>
      </c>
      <c r="C7364" t="s">
        <v>41521</v>
      </c>
      <c r="D7364" t="s">
        <v>27263</v>
      </c>
      <c r="E7364" t="str">
        <f t="shared" si="115"/>
        <v>001390</v>
      </c>
      <c r="F7364" t="s">
        <v>27246</v>
      </c>
      <c r="G7364" t="s">
        <v>27247</v>
      </c>
      <c r="H7364" t="s">
        <v>27248</v>
      </c>
      <c r="I7364" t="s">
        <v>41522</v>
      </c>
      <c r="J7364" t="s">
        <v>14781</v>
      </c>
      <c r="L7364" t="s">
        <v>27250</v>
      </c>
      <c r="M7364" t="s">
        <v>27251</v>
      </c>
      <c r="N7364" t="s">
        <v>27252</v>
      </c>
      <c r="Q7364" s="1">
        <v>44846</v>
      </c>
      <c r="R7364" t="s">
        <v>27253</v>
      </c>
      <c r="S7364" t="s">
        <v>27254</v>
      </c>
      <c r="T7364" t="s">
        <v>27265</v>
      </c>
    </row>
    <row r="7365" spans="1:20" x14ac:dyDescent="0.3">
      <c r="A7365" t="str">
        <f>"0611836154100"</f>
        <v>0611836154100</v>
      </c>
      <c r="B7365" t="str">
        <f>"LB4459"</f>
        <v>LB4459</v>
      </c>
      <c r="C7365" t="s">
        <v>41523</v>
      </c>
      <c r="D7365" t="s">
        <v>27245</v>
      </c>
      <c r="E7365" t="str">
        <f t="shared" si="115"/>
        <v>001390</v>
      </c>
      <c r="F7365" t="s">
        <v>27246</v>
      </c>
      <c r="G7365" t="s">
        <v>27247</v>
      </c>
      <c r="H7365" t="s">
        <v>27248</v>
      </c>
      <c r="I7365" t="s">
        <v>41524</v>
      </c>
      <c r="J7365" t="s">
        <v>14631</v>
      </c>
      <c r="L7365" t="s">
        <v>27250</v>
      </c>
      <c r="M7365" t="s">
        <v>27251</v>
      </c>
      <c r="N7365" t="s">
        <v>27252</v>
      </c>
      <c r="Q7365" s="1">
        <v>44538</v>
      </c>
      <c r="R7365" t="s">
        <v>27253</v>
      </c>
      <c r="S7365" t="s">
        <v>27254</v>
      </c>
      <c r="T7365" t="s">
        <v>27255</v>
      </c>
    </row>
    <row r="7366" spans="1:20" x14ac:dyDescent="0.3">
      <c r="A7366" t="str">
        <f>"0611863231050"</f>
        <v>0611863231050</v>
      </c>
      <c r="B7366" t="str">
        <f>"CR2654"</f>
        <v>CR2654</v>
      </c>
      <c r="C7366" t="s">
        <v>41525</v>
      </c>
      <c r="D7366" t="s">
        <v>27263</v>
      </c>
      <c r="E7366" t="str">
        <f t="shared" si="115"/>
        <v>001390</v>
      </c>
      <c r="F7366" t="s">
        <v>27246</v>
      </c>
      <c r="G7366" t="s">
        <v>27247</v>
      </c>
      <c r="H7366" t="s">
        <v>27248</v>
      </c>
      <c r="I7366" t="s">
        <v>41526</v>
      </c>
      <c r="J7366" t="s">
        <v>14787</v>
      </c>
      <c r="L7366" t="s">
        <v>27250</v>
      </c>
      <c r="M7366" t="s">
        <v>27251</v>
      </c>
      <c r="N7366" t="s">
        <v>27252</v>
      </c>
      <c r="Q7366" s="1">
        <v>44846</v>
      </c>
      <c r="R7366" t="s">
        <v>27253</v>
      </c>
      <c r="S7366" t="s">
        <v>27254</v>
      </c>
      <c r="T7366" t="s">
        <v>27265</v>
      </c>
    </row>
    <row r="7367" spans="1:20" x14ac:dyDescent="0.3">
      <c r="A7367" t="str">
        <f>"0611836158025"</f>
        <v>0611836158025</v>
      </c>
      <c r="B7367" t="str">
        <f>"MC1281"</f>
        <v>MC1281</v>
      </c>
      <c r="C7367" t="s">
        <v>41527</v>
      </c>
      <c r="D7367" t="s">
        <v>27267</v>
      </c>
      <c r="E7367" t="str">
        <f t="shared" si="115"/>
        <v>001390</v>
      </c>
      <c r="F7367" t="s">
        <v>27246</v>
      </c>
      <c r="G7367" t="s">
        <v>27247</v>
      </c>
      <c r="H7367" t="s">
        <v>27248</v>
      </c>
      <c r="I7367" t="s">
        <v>41528</v>
      </c>
      <c r="J7367" t="s">
        <v>14633</v>
      </c>
      <c r="L7367" t="s">
        <v>27250</v>
      </c>
      <c r="M7367" t="s">
        <v>27251</v>
      </c>
      <c r="N7367" t="s">
        <v>27252</v>
      </c>
      <c r="Q7367" s="1">
        <v>44538</v>
      </c>
      <c r="R7367" t="s">
        <v>27253</v>
      </c>
      <c r="S7367" t="s">
        <v>27254</v>
      </c>
      <c r="T7367" t="s">
        <v>27269</v>
      </c>
    </row>
    <row r="7368" spans="1:20" x14ac:dyDescent="0.3">
      <c r="A7368" t="str">
        <f>"0611884295100"</f>
        <v>0611884295100</v>
      </c>
      <c r="B7368" t="str">
        <f>"LQ6294"</f>
        <v>LQ6294</v>
      </c>
      <c r="C7368" t="s">
        <v>41529</v>
      </c>
      <c r="D7368" t="s">
        <v>27245</v>
      </c>
      <c r="E7368" t="str">
        <f t="shared" si="115"/>
        <v>001390</v>
      </c>
      <c r="F7368" t="s">
        <v>27246</v>
      </c>
      <c r="G7368" t="s">
        <v>27247</v>
      </c>
      <c r="H7368" t="s">
        <v>27248</v>
      </c>
      <c r="I7368" t="s">
        <v>41530</v>
      </c>
      <c r="J7368" t="s">
        <v>14637</v>
      </c>
      <c r="L7368" t="s">
        <v>27430</v>
      </c>
      <c r="M7368" t="s">
        <v>27251</v>
      </c>
      <c r="N7368" t="s">
        <v>27252</v>
      </c>
      <c r="Q7368" s="1">
        <v>45250</v>
      </c>
      <c r="R7368" t="s">
        <v>27253</v>
      </c>
      <c r="S7368" t="s">
        <v>27254</v>
      </c>
      <c r="T7368" t="s">
        <v>27255</v>
      </c>
    </row>
    <row r="7369" spans="1:20" x14ac:dyDescent="0.3">
      <c r="A7369" t="str">
        <f>"0611836159100"</f>
        <v>0611836159100</v>
      </c>
      <c r="B7369" t="str">
        <f>"LQ6199"</f>
        <v>LQ6199</v>
      </c>
      <c r="C7369" t="s">
        <v>41531</v>
      </c>
      <c r="D7369" t="s">
        <v>27245</v>
      </c>
      <c r="E7369" t="str">
        <f t="shared" si="115"/>
        <v>001390</v>
      </c>
      <c r="F7369" t="s">
        <v>27246</v>
      </c>
      <c r="G7369" t="s">
        <v>27247</v>
      </c>
      <c r="H7369" t="s">
        <v>27248</v>
      </c>
      <c r="I7369" t="s">
        <v>41532</v>
      </c>
      <c r="J7369" t="s">
        <v>14639</v>
      </c>
      <c r="L7369" t="s">
        <v>27250</v>
      </c>
      <c r="M7369" t="s">
        <v>27251</v>
      </c>
      <c r="N7369" t="s">
        <v>27252</v>
      </c>
      <c r="Q7369" s="1">
        <v>44538</v>
      </c>
      <c r="R7369" t="s">
        <v>27253</v>
      </c>
      <c r="S7369" t="s">
        <v>27254</v>
      </c>
      <c r="T7369" t="s">
        <v>27255</v>
      </c>
    </row>
    <row r="7370" spans="1:20" x14ac:dyDescent="0.3">
      <c r="A7370" t="str">
        <f>"0611836160100"</f>
        <v>0611836160100</v>
      </c>
      <c r="B7370" t="str">
        <f>"LQ6200"</f>
        <v>LQ6200</v>
      </c>
      <c r="C7370" t="s">
        <v>41533</v>
      </c>
      <c r="D7370" t="s">
        <v>27245</v>
      </c>
      <c r="E7370" t="str">
        <f t="shared" si="115"/>
        <v>001390</v>
      </c>
      <c r="F7370" t="s">
        <v>27246</v>
      </c>
      <c r="G7370" t="s">
        <v>27247</v>
      </c>
      <c r="H7370" t="s">
        <v>27248</v>
      </c>
      <c r="I7370" t="s">
        <v>41534</v>
      </c>
      <c r="J7370" t="s">
        <v>14641</v>
      </c>
      <c r="L7370" t="s">
        <v>27250</v>
      </c>
      <c r="M7370" t="s">
        <v>27251</v>
      </c>
      <c r="N7370" t="s">
        <v>27252</v>
      </c>
      <c r="Q7370" s="1">
        <v>44538</v>
      </c>
      <c r="R7370" t="s">
        <v>27253</v>
      </c>
      <c r="S7370" t="s">
        <v>27254</v>
      </c>
      <c r="T7370" t="s">
        <v>27255</v>
      </c>
    </row>
    <row r="7371" spans="1:20" x14ac:dyDescent="0.3">
      <c r="A7371" t="str">
        <f>"0611836161100"</f>
        <v>0611836161100</v>
      </c>
      <c r="B7371" t="str">
        <f>"LS0074"</f>
        <v>LS0074</v>
      </c>
      <c r="C7371" t="s">
        <v>41535</v>
      </c>
      <c r="D7371" t="s">
        <v>27245</v>
      </c>
      <c r="E7371" t="str">
        <f t="shared" si="115"/>
        <v>001390</v>
      </c>
      <c r="F7371" t="s">
        <v>27246</v>
      </c>
      <c r="G7371" t="s">
        <v>27247</v>
      </c>
      <c r="H7371" t="s">
        <v>27248</v>
      </c>
      <c r="I7371" t="s">
        <v>41536</v>
      </c>
      <c r="J7371" t="s">
        <v>14635</v>
      </c>
      <c r="L7371" t="s">
        <v>27250</v>
      </c>
      <c r="M7371" t="s">
        <v>27251</v>
      </c>
      <c r="N7371" t="s">
        <v>27252</v>
      </c>
      <c r="Q7371" s="1">
        <v>44538</v>
      </c>
      <c r="R7371" t="s">
        <v>27253</v>
      </c>
      <c r="S7371" t="s">
        <v>27254</v>
      </c>
      <c r="T7371" t="s">
        <v>27255</v>
      </c>
    </row>
    <row r="7372" spans="1:20" x14ac:dyDescent="0.3">
      <c r="A7372" t="str">
        <f>"0611836162100"</f>
        <v>0611836162100</v>
      </c>
      <c r="B7372" t="str">
        <f>"LQ3839"</f>
        <v>LQ3839</v>
      </c>
      <c r="C7372" t="s">
        <v>41537</v>
      </c>
      <c r="D7372" t="s">
        <v>27245</v>
      </c>
      <c r="E7372" t="str">
        <f t="shared" si="115"/>
        <v>001390</v>
      </c>
      <c r="F7372" t="s">
        <v>27246</v>
      </c>
      <c r="G7372" t="s">
        <v>27247</v>
      </c>
      <c r="H7372" t="s">
        <v>27248</v>
      </c>
      <c r="I7372" t="s">
        <v>41538</v>
      </c>
      <c r="J7372" t="s">
        <v>14643</v>
      </c>
      <c r="L7372" t="s">
        <v>27250</v>
      </c>
      <c r="M7372" t="s">
        <v>27251</v>
      </c>
      <c r="N7372" t="s">
        <v>27252</v>
      </c>
      <c r="Q7372" s="1">
        <v>44538</v>
      </c>
      <c r="R7372" t="s">
        <v>27253</v>
      </c>
      <c r="S7372" t="s">
        <v>27254</v>
      </c>
      <c r="T7372" t="s">
        <v>27255</v>
      </c>
    </row>
    <row r="7373" spans="1:20" x14ac:dyDescent="0.3">
      <c r="A7373" t="str">
        <f>"0611836163100"</f>
        <v>0611836163100</v>
      </c>
      <c r="B7373" t="str">
        <f>"LQ0078"</f>
        <v>LQ0078</v>
      </c>
      <c r="C7373" t="s">
        <v>41539</v>
      </c>
      <c r="D7373" t="s">
        <v>27245</v>
      </c>
      <c r="E7373" t="str">
        <f t="shared" si="115"/>
        <v>001390</v>
      </c>
      <c r="F7373" t="s">
        <v>27246</v>
      </c>
      <c r="G7373" t="s">
        <v>27247</v>
      </c>
      <c r="H7373" t="s">
        <v>27248</v>
      </c>
      <c r="I7373" t="s">
        <v>41540</v>
      </c>
      <c r="J7373" t="s">
        <v>14645</v>
      </c>
      <c r="L7373" t="s">
        <v>27250</v>
      </c>
      <c r="M7373" t="s">
        <v>27251</v>
      </c>
      <c r="N7373" t="s">
        <v>27252</v>
      </c>
      <c r="Q7373" s="1">
        <v>44538</v>
      </c>
      <c r="R7373" t="s">
        <v>27253</v>
      </c>
      <c r="S7373" t="s">
        <v>27254</v>
      </c>
      <c r="T7373" t="s">
        <v>27255</v>
      </c>
    </row>
    <row r="7374" spans="1:20" x14ac:dyDescent="0.3">
      <c r="A7374" t="str">
        <f>"0611863232050"</f>
        <v>0611863232050</v>
      </c>
      <c r="B7374" t="str">
        <f>"CR3385"</f>
        <v>CR3385</v>
      </c>
      <c r="C7374" t="s">
        <v>41539</v>
      </c>
      <c r="D7374" t="s">
        <v>27263</v>
      </c>
      <c r="E7374" t="str">
        <f t="shared" si="115"/>
        <v>001390</v>
      </c>
      <c r="F7374" t="s">
        <v>27246</v>
      </c>
      <c r="G7374" t="s">
        <v>27247</v>
      </c>
      <c r="H7374" t="s">
        <v>27248</v>
      </c>
      <c r="I7374" t="s">
        <v>41541</v>
      </c>
      <c r="J7374" t="s">
        <v>14647</v>
      </c>
      <c r="L7374" t="s">
        <v>27250</v>
      </c>
      <c r="M7374" t="s">
        <v>27251</v>
      </c>
      <c r="N7374" t="s">
        <v>27252</v>
      </c>
      <c r="Q7374" s="1">
        <v>44846</v>
      </c>
      <c r="R7374" t="s">
        <v>27253</v>
      </c>
      <c r="S7374" t="s">
        <v>27254</v>
      </c>
      <c r="T7374" t="s">
        <v>27265</v>
      </c>
    </row>
    <row r="7375" spans="1:20" x14ac:dyDescent="0.3">
      <c r="A7375" t="str">
        <f>"0611836164100"</f>
        <v>0611836164100</v>
      </c>
      <c r="B7375" t="str">
        <f>"LQ0317"</f>
        <v>LQ0317</v>
      </c>
      <c r="C7375" t="s">
        <v>41542</v>
      </c>
      <c r="D7375" t="s">
        <v>27245</v>
      </c>
      <c r="E7375" t="str">
        <f t="shared" si="115"/>
        <v>001390</v>
      </c>
      <c r="F7375" t="s">
        <v>27246</v>
      </c>
      <c r="G7375" t="s">
        <v>27247</v>
      </c>
      <c r="H7375" t="s">
        <v>27248</v>
      </c>
      <c r="I7375" t="s">
        <v>41543</v>
      </c>
      <c r="J7375" t="s">
        <v>14649</v>
      </c>
      <c r="L7375" t="s">
        <v>27250</v>
      </c>
      <c r="M7375" t="s">
        <v>27251</v>
      </c>
      <c r="N7375" t="s">
        <v>27252</v>
      </c>
      <c r="Q7375" s="1">
        <v>44538</v>
      </c>
      <c r="R7375" t="s">
        <v>27253</v>
      </c>
      <c r="S7375" t="s">
        <v>27254</v>
      </c>
      <c r="T7375" t="s">
        <v>27255</v>
      </c>
    </row>
    <row r="7376" spans="1:20" x14ac:dyDescent="0.3">
      <c r="A7376" t="str">
        <f>"0611863233050"</f>
        <v>0611863233050</v>
      </c>
      <c r="B7376" t="str">
        <f>"CR2371"</f>
        <v>CR2371</v>
      </c>
      <c r="C7376" t="s">
        <v>41542</v>
      </c>
      <c r="D7376" t="s">
        <v>27263</v>
      </c>
      <c r="E7376" t="str">
        <f t="shared" si="115"/>
        <v>001390</v>
      </c>
      <c r="F7376" t="s">
        <v>27246</v>
      </c>
      <c r="G7376" t="s">
        <v>27247</v>
      </c>
      <c r="H7376" t="s">
        <v>27248</v>
      </c>
      <c r="I7376" t="s">
        <v>41544</v>
      </c>
      <c r="J7376" t="s">
        <v>14651</v>
      </c>
      <c r="L7376" t="s">
        <v>27250</v>
      </c>
      <c r="M7376" t="s">
        <v>27251</v>
      </c>
      <c r="N7376" t="s">
        <v>27252</v>
      </c>
      <c r="Q7376" s="1">
        <v>44846</v>
      </c>
      <c r="R7376" t="s">
        <v>27253</v>
      </c>
      <c r="S7376" t="s">
        <v>27254</v>
      </c>
      <c r="T7376" t="s">
        <v>27265</v>
      </c>
    </row>
    <row r="7377" spans="1:20" x14ac:dyDescent="0.3">
      <c r="A7377" t="str">
        <f>"0611836165100"</f>
        <v>0611836165100</v>
      </c>
      <c r="B7377" t="str">
        <f>"LQ3840"</f>
        <v>LQ3840</v>
      </c>
      <c r="C7377" t="s">
        <v>41545</v>
      </c>
      <c r="D7377" t="s">
        <v>27245</v>
      </c>
      <c r="E7377" t="str">
        <f t="shared" si="115"/>
        <v>001390</v>
      </c>
      <c r="F7377" t="s">
        <v>27246</v>
      </c>
      <c r="G7377" t="s">
        <v>27247</v>
      </c>
      <c r="H7377" t="s">
        <v>27248</v>
      </c>
      <c r="I7377" t="s">
        <v>41546</v>
      </c>
      <c r="J7377" t="s">
        <v>14653</v>
      </c>
      <c r="L7377" t="s">
        <v>27250</v>
      </c>
      <c r="M7377" t="s">
        <v>27251</v>
      </c>
      <c r="N7377" t="s">
        <v>27252</v>
      </c>
      <c r="Q7377" s="1">
        <v>44538</v>
      </c>
      <c r="R7377" t="s">
        <v>27253</v>
      </c>
      <c r="S7377" t="s">
        <v>27254</v>
      </c>
      <c r="T7377" t="s">
        <v>27255</v>
      </c>
    </row>
    <row r="7378" spans="1:20" x14ac:dyDescent="0.3">
      <c r="A7378" t="str">
        <f>"0611836166100"</f>
        <v>0611836166100</v>
      </c>
      <c r="B7378" t="str">
        <f>"LQ0804"</f>
        <v>LQ0804</v>
      </c>
      <c r="C7378" t="s">
        <v>41547</v>
      </c>
      <c r="D7378" t="s">
        <v>27245</v>
      </c>
      <c r="E7378" t="str">
        <f t="shared" si="115"/>
        <v>001390</v>
      </c>
      <c r="F7378" t="s">
        <v>27246</v>
      </c>
      <c r="G7378" t="s">
        <v>27247</v>
      </c>
      <c r="H7378" t="s">
        <v>27248</v>
      </c>
      <c r="I7378" t="s">
        <v>41548</v>
      </c>
      <c r="J7378" t="s">
        <v>14655</v>
      </c>
      <c r="L7378" t="s">
        <v>27250</v>
      </c>
      <c r="M7378" t="s">
        <v>27251</v>
      </c>
      <c r="N7378" t="s">
        <v>27252</v>
      </c>
      <c r="Q7378" s="1">
        <v>44538</v>
      </c>
      <c r="R7378" t="s">
        <v>27253</v>
      </c>
      <c r="S7378" t="s">
        <v>27254</v>
      </c>
      <c r="T7378" t="s">
        <v>27255</v>
      </c>
    </row>
    <row r="7379" spans="1:20" x14ac:dyDescent="0.3">
      <c r="A7379" t="str">
        <f>"0611863234050"</f>
        <v>0611863234050</v>
      </c>
      <c r="B7379" t="str">
        <f>"CR2372"</f>
        <v>CR2372</v>
      </c>
      <c r="C7379" t="s">
        <v>41547</v>
      </c>
      <c r="D7379" t="s">
        <v>27263</v>
      </c>
      <c r="E7379" t="str">
        <f t="shared" si="115"/>
        <v>001390</v>
      </c>
      <c r="F7379" t="s">
        <v>27246</v>
      </c>
      <c r="G7379" t="s">
        <v>27247</v>
      </c>
      <c r="H7379" t="s">
        <v>27248</v>
      </c>
      <c r="I7379" t="s">
        <v>41549</v>
      </c>
      <c r="J7379" t="s">
        <v>14657</v>
      </c>
      <c r="L7379" t="s">
        <v>27250</v>
      </c>
      <c r="M7379" t="s">
        <v>27251</v>
      </c>
      <c r="N7379" t="s">
        <v>27252</v>
      </c>
      <c r="Q7379" s="1">
        <v>44846</v>
      </c>
      <c r="R7379" t="s">
        <v>27253</v>
      </c>
      <c r="S7379" t="s">
        <v>27254</v>
      </c>
      <c r="T7379" t="s">
        <v>27265</v>
      </c>
    </row>
    <row r="7380" spans="1:20" x14ac:dyDescent="0.3">
      <c r="A7380" t="str">
        <f>"0611836167100"</f>
        <v>0611836167100</v>
      </c>
      <c r="B7380" t="str">
        <f>"LQ3841"</f>
        <v>LQ3841</v>
      </c>
      <c r="C7380" t="s">
        <v>41550</v>
      </c>
      <c r="D7380" t="s">
        <v>27245</v>
      </c>
      <c r="E7380" t="str">
        <f t="shared" si="115"/>
        <v>001390</v>
      </c>
      <c r="F7380" t="s">
        <v>27246</v>
      </c>
      <c r="G7380" t="s">
        <v>27247</v>
      </c>
      <c r="H7380" t="s">
        <v>27248</v>
      </c>
      <c r="I7380" t="s">
        <v>41551</v>
      </c>
      <c r="J7380" t="s">
        <v>14659</v>
      </c>
      <c r="L7380" t="s">
        <v>27250</v>
      </c>
      <c r="M7380" t="s">
        <v>27251</v>
      </c>
      <c r="N7380" t="s">
        <v>27252</v>
      </c>
      <c r="Q7380" s="1">
        <v>44538</v>
      </c>
      <c r="R7380" t="s">
        <v>27253</v>
      </c>
      <c r="S7380" t="s">
        <v>27254</v>
      </c>
      <c r="T7380" t="s">
        <v>27255</v>
      </c>
    </row>
    <row r="7381" spans="1:20" x14ac:dyDescent="0.3">
      <c r="A7381" t="str">
        <f>"0611836169100"</f>
        <v>0611836169100</v>
      </c>
      <c r="B7381" t="str">
        <f>"LQ3842"</f>
        <v>LQ3842</v>
      </c>
      <c r="C7381" t="s">
        <v>41552</v>
      </c>
      <c r="D7381" t="s">
        <v>27245</v>
      </c>
      <c r="E7381" t="str">
        <f t="shared" si="115"/>
        <v>001390</v>
      </c>
      <c r="F7381" t="s">
        <v>27246</v>
      </c>
      <c r="G7381" t="s">
        <v>27247</v>
      </c>
      <c r="H7381" t="s">
        <v>27248</v>
      </c>
      <c r="I7381" t="s">
        <v>41553</v>
      </c>
      <c r="J7381" t="s">
        <v>14661</v>
      </c>
      <c r="L7381" t="s">
        <v>27250</v>
      </c>
      <c r="M7381" t="s">
        <v>27251</v>
      </c>
      <c r="N7381" t="s">
        <v>27252</v>
      </c>
      <c r="Q7381" s="1">
        <v>44538</v>
      </c>
      <c r="R7381" t="s">
        <v>27253</v>
      </c>
      <c r="S7381" t="s">
        <v>27254</v>
      </c>
      <c r="T7381" t="s">
        <v>27255</v>
      </c>
    </row>
    <row r="7382" spans="1:20" x14ac:dyDescent="0.3">
      <c r="A7382" t="str">
        <f>"0611863235050"</f>
        <v>0611863235050</v>
      </c>
      <c r="B7382" t="str">
        <f>"CR4073"</f>
        <v>CR4073</v>
      </c>
      <c r="C7382" t="s">
        <v>41554</v>
      </c>
      <c r="D7382" t="s">
        <v>27263</v>
      </c>
      <c r="E7382" t="str">
        <f t="shared" si="115"/>
        <v>001390</v>
      </c>
      <c r="F7382" t="s">
        <v>27246</v>
      </c>
      <c r="G7382" t="s">
        <v>27247</v>
      </c>
      <c r="H7382" t="s">
        <v>27248</v>
      </c>
      <c r="I7382" t="s">
        <v>41555</v>
      </c>
      <c r="J7382" t="s">
        <v>14665</v>
      </c>
      <c r="L7382" t="s">
        <v>27250</v>
      </c>
      <c r="M7382" t="s">
        <v>27251</v>
      </c>
      <c r="N7382" t="s">
        <v>27252</v>
      </c>
      <c r="Q7382" s="1">
        <v>44846</v>
      </c>
      <c r="R7382" t="s">
        <v>27253</v>
      </c>
      <c r="S7382" t="s">
        <v>27254</v>
      </c>
      <c r="T7382" t="s">
        <v>27265</v>
      </c>
    </row>
    <row r="7383" spans="1:20" x14ac:dyDescent="0.3">
      <c r="A7383" t="str">
        <f>"0611884296100"</f>
        <v>0611884296100</v>
      </c>
      <c r="B7383" t="str">
        <f>"LQ3917"</f>
        <v>LQ3917</v>
      </c>
      <c r="C7383" t="s">
        <v>41554</v>
      </c>
      <c r="D7383" t="s">
        <v>27245</v>
      </c>
      <c r="E7383" t="str">
        <f t="shared" si="115"/>
        <v>001390</v>
      </c>
      <c r="F7383" t="s">
        <v>27246</v>
      </c>
      <c r="G7383" t="s">
        <v>27247</v>
      </c>
      <c r="H7383" t="s">
        <v>27248</v>
      </c>
      <c r="I7383" t="s">
        <v>41556</v>
      </c>
      <c r="J7383" t="s">
        <v>14663</v>
      </c>
      <c r="L7383" t="s">
        <v>27430</v>
      </c>
      <c r="M7383" t="s">
        <v>27251</v>
      </c>
      <c r="N7383" t="s">
        <v>27252</v>
      </c>
      <c r="Q7383" s="1">
        <v>45250</v>
      </c>
      <c r="R7383" t="s">
        <v>27253</v>
      </c>
      <c r="S7383" t="s">
        <v>27254</v>
      </c>
      <c r="T7383" t="s">
        <v>27255</v>
      </c>
    </row>
    <row r="7384" spans="1:20" x14ac:dyDescent="0.3">
      <c r="A7384" t="str">
        <f>"0611863236050"</f>
        <v>0611863236050</v>
      </c>
      <c r="B7384" t="str">
        <f>"CR4967"</f>
        <v>CR4967</v>
      </c>
      <c r="C7384" t="s">
        <v>41557</v>
      </c>
      <c r="D7384" t="s">
        <v>27263</v>
      </c>
      <c r="E7384" t="str">
        <f t="shared" si="115"/>
        <v>001390</v>
      </c>
      <c r="F7384" t="s">
        <v>27246</v>
      </c>
      <c r="G7384" t="s">
        <v>27247</v>
      </c>
      <c r="H7384" t="s">
        <v>27248</v>
      </c>
      <c r="I7384" t="s">
        <v>41558</v>
      </c>
      <c r="J7384" t="s">
        <v>14667</v>
      </c>
      <c r="L7384" t="s">
        <v>27250</v>
      </c>
      <c r="M7384" t="s">
        <v>27251</v>
      </c>
      <c r="N7384" t="s">
        <v>27252</v>
      </c>
      <c r="Q7384" s="1">
        <v>44846</v>
      </c>
      <c r="R7384" t="s">
        <v>27253</v>
      </c>
      <c r="S7384" t="s">
        <v>27254</v>
      </c>
      <c r="T7384" t="s">
        <v>27265</v>
      </c>
    </row>
    <row r="7385" spans="1:20" x14ac:dyDescent="0.3">
      <c r="A7385" t="str">
        <f>"0611863237050"</f>
        <v>0611863237050</v>
      </c>
      <c r="B7385" t="str">
        <f>"CR4968"</f>
        <v>CR4968</v>
      </c>
      <c r="C7385" t="s">
        <v>41559</v>
      </c>
      <c r="D7385" t="s">
        <v>27263</v>
      </c>
      <c r="E7385" t="str">
        <f t="shared" si="115"/>
        <v>001390</v>
      </c>
      <c r="F7385" t="s">
        <v>27246</v>
      </c>
      <c r="G7385" t="s">
        <v>27247</v>
      </c>
      <c r="H7385" t="s">
        <v>27248</v>
      </c>
      <c r="I7385" t="s">
        <v>41560</v>
      </c>
      <c r="J7385" t="s">
        <v>14669</v>
      </c>
      <c r="L7385" t="s">
        <v>27250</v>
      </c>
      <c r="M7385" t="s">
        <v>27251</v>
      </c>
      <c r="N7385" t="s">
        <v>27252</v>
      </c>
      <c r="Q7385" s="1">
        <v>44846</v>
      </c>
      <c r="R7385" t="s">
        <v>27253</v>
      </c>
      <c r="S7385" t="s">
        <v>27254</v>
      </c>
      <c r="T7385" t="s">
        <v>27265</v>
      </c>
    </row>
    <row r="7386" spans="1:20" x14ac:dyDescent="0.3">
      <c r="A7386" t="str">
        <f>"0611863238050"</f>
        <v>0611863238050</v>
      </c>
      <c r="B7386" t="str">
        <f>"CR4969"</f>
        <v>CR4969</v>
      </c>
      <c r="C7386" t="s">
        <v>41561</v>
      </c>
      <c r="D7386" t="s">
        <v>27263</v>
      </c>
      <c r="E7386" t="str">
        <f t="shared" si="115"/>
        <v>001390</v>
      </c>
      <c r="F7386" t="s">
        <v>27246</v>
      </c>
      <c r="G7386" t="s">
        <v>27247</v>
      </c>
      <c r="H7386" t="s">
        <v>27248</v>
      </c>
      <c r="I7386" t="s">
        <v>41562</v>
      </c>
      <c r="J7386" t="s">
        <v>14671</v>
      </c>
      <c r="L7386" t="s">
        <v>27250</v>
      </c>
      <c r="M7386" t="s">
        <v>27251</v>
      </c>
      <c r="N7386" t="s">
        <v>27252</v>
      </c>
      <c r="Q7386" s="1">
        <v>44846</v>
      </c>
      <c r="R7386" t="s">
        <v>27253</v>
      </c>
      <c r="S7386" t="s">
        <v>27254</v>
      </c>
      <c r="T7386" t="s">
        <v>27265</v>
      </c>
    </row>
    <row r="7387" spans="1:20" x14ac:dyDescent="0.3">
      <c r="A7387" t="str">
        <f>"0611863239050"</f>
        <v>0611863239050</v>
      </c>
      <c r="B7387" t="str">
        <f>"CR4970"</f>
        <v>CR4970</v>
      </c>
      <c r="C7387" t="s">
        <v>41563</v>
      </c>
      <c r="D7387" t="s">
        <v>27263</v>
      </c>
      <c r="E7387" t="str">
        <f t="shared" si="115"/>
        <v>001390</v>
      </c>
      <c r="F7387" t="s">
        <v>27246</v>
      </c>
      <c r="G7387" t="s">
        <v>27247</v>
      </c>
      <c r="H7387" t="s">
        <v>27248</v>
      </c>
      <c r="I7387" t="s">
        <v>41564</v>
      </c>
      <c r="J7387" t="s">
        <v>14673</v>
      </c>
      <c r="L7387" t="s">
        <v>27250</v>
      </c>
      <c r="M7387" t="s">
        <v>27251</v>
      </c>
      <c r="N7387" t="s">
        <v>27252</v>
      </c>
      <c r="Q7387" s="1">
        <v>44846</v>
      </c>
      <c r="R7387" t="s">
        <v>27253</v>
      </c>
      <c r="S7387" t="s">
        <v>27254</v>
      </c>
      <c r="T7387" t="s">
        <v>27265</v>
      </c>
    </row>
    <row r="7388" spans="1:20" x14ac:dyDescent="0.3">
      <c r="A7388" t="str">
        <f>"0611863240050"</f>
        <v>0611863240050</v>
      </c>
      <c r="B7388" t="str">
        <f>"CR4971"</f>
        <v>CR4971</v>
      </c>
      <c r="C7388" t="s">
        <v>41565</v>
      </c>
      <c r="D7388" t="s">
        <v>27263</v>
      </c>
      <c r="E7388" t="str">
        <f t="shared" si="115"/>
        <v>001390</v>
      </c>
      <c r="F7388" t="s">
        <v>27246</v>
      </c>
      <c r="G7388" t="s">
        <v>27247</v>
      </c>
      <c r="H7388" t="s">
        <v>27248</v>
      </c>
      <c r="I7388" t="s">
        <v>41566</v>
      </c>
      <c r="J7388" t="s">
        <v>14675</v>
      </c>
      <c r="L7388" t="s">
        <v>27250</v>
      </c>
      <c r="M7388" t="s">
        <v>27251</v>
      </c>
      <c r="N7388" t="s">
        <v>27252</v>
      </c>
      <c r="Q7388" s="1">
        <v>44846</v>
      </c>
      <c r="R7388" t="s">
        <v>27253</v>
      </c>
      <c r="S7388" t="s">
        <v>27254</v>
      </c>
      <c r="T7388" t="s">
        <v>27265</v>
      </c>
    </row>
    <row r="7389" spans="1:20" x14ac:dyDescent="0.3">
      <c r="A7389" t="str">
        <f>"0611863241050"</f>
        <v>0611863241050</v>
      </c>
      <c r="B7389" t="str">
        <f>"CR4972"</f>
        <v>CR4972</v>
      </c>
      <c r="C7389" t="s">
        <v>41567</v>
      </c>
      <c r="D7389" t="s">
        <v>27263</v>
      </c>
      <c r="E7389" t="str">
        <f t="shared" si="115"/>
        <v>001390</v>
      </c>
      <c r="F7389" t="s">
        <v>27246</v>
      </c>
      <c r="G7389" t="s">
        <v>27247</v>
      </c>
      <c r="H7389" t="s">
        <v>27248</v>
      </c>
      <c r="I7389" t="s">
        <v>41568</v>
      </c>
      <c r="J7389" t="s">
        <v>14677</v>
      </c>
      <c r="L7389" t="s">
        <v>27250</v>
      </c>
      <c r="M7389" t="s">
        <v>27251</v>
      </c>
      <c r="N7389" t="s">
        <v>27252</v>
      </c>
      <c r="Q7389" s="1">
        <v>44846</v>
      </c>
      <c r="R7389" t="s">
        <v>27253</v>
      </c>
      <c r="S7389" t="s">
        <v>27254</v>
      </c>
      <c r="T7389" t="s">
        <v>27265</v>
      </c>
    </row>
    <row r="7390" spans="1:20" x14ac:dyDescent="0.3">
      <c r="A7390" t="str">
        <f>"0611884297100"</f>
        <v>0611884297100</v>
      </c>
      <c r="B7390" t="str">
        <f>"LQ3918"</f>
        <v>LQ3918</v>
      </c>
      <c r="C7390" t="s">
        <v>41569</v>
      </c>
      <c r="D7390" t="s">
        <v>27245</v>
      </c>
      <c r="E7390" t="str">
        <f t="shared" si="115"/>
        <v>001390</v>
      </c>
      <c r="F7390" t="s">
        <v>27246</v>
      </c>
      <c r="G7390" t="s">
        <v>27247</v>
      </c>
      <c r="H7390" t="s">
        <v>27248</v>
      </c>
      <c r="I7390" t="s">
        <v>41570</v>
      </c>
      <c r="J7390" t="s">
        <v>14705</v>
      </c>
      <c r="L7390" t="s">
        <v>27430</v>
      </c>
      <c r="M7390" t="s">
        <v>27251</v>
      </c>
      <c r="N7390" t="s">
        <v>27252</v>
      </c>
      <c r="Q7390" s="1">
        <v>45250</v>
      </c>
      <c r="R7390" t="s">
        <v>27253</v>
      </c>
      <c r="S7390" t="s">
        <v>27254</v>
      </c>
      <c r="T7390" t="s">
        <v>27255</v>
      </c>
    </row>
    <row r="7391" spans="1:20" x14ac:dyDescent="0.3">
      <c r="A7391" t="str">
        <f>"0611836172100"</f>
        <v>0611836172100</v>
      </c>
      <c r="B7391" t="str">
        <f>"LQ3843"</f>
        <v>LQ3843</v>
      </c>
      <c r="C7391" t="s">
        <v>41571</v>
      </c>
      <c r="D7391" t="s">
        <v>27245</v>
      </c>
      <c r="E7391" t="str">
        <f t="shared" si="115"/>
        <v>001390</v>
      </c>
      <c r="F7391" t="s">
        <v>27246</v>
      </c>
      <c r="G7391" t="s">
        <v>27247</v>
      </c>
      <c r="H7391" t="s">
        <v>27248</v>
      </c>
      <c r="I7391" t="s">
        <v>41572</v>
      </c>
      <c r="J7391" t="s">
        <v>14679</v>
      </c>
      <c r="L7391" t="s">
        <v>27250</v>
      </c>
      <c r="M7391" t="s">
        <v>27251</v>
      </c>
      <c r="N7391" t="s">
        <v>27252</v>
      </c>
      <c r="Q7391" s="1">
        <v>44538</v>
      </c>
      <c r="R7391" t="s">
        <v>27253</v>
      </c>
      <c r="S7391" t="s">
        <v>27254</v>
      </c>
      <c r="T7391" t="s">
        <v>27255</v>
      </c>
    </row>
    <row r="7392" spans="1:20" x14ac:dyDescent="0.3">
      <c r="A7392" t="str">
        <f>"0611836173100"</f>
        <v>0611836173100</v>
      </c>
      <c r="B7392" t="str">
        <f>"LQ0752"</f>
        <v>LQ0752</v>
      </c>
      <c r="C7392" t="s">
        <v>41573</v>
      </c>
      <c r="D7392" t="s">
        <v>27245</v>
      </c>
      <c r="E7392" t="str">
        <f t="shared" si="115"/>
        <v>001390</v>
      </c>
      <c r="F7392" t="s">
        <v>27246</v>
      </c>
      <c r="G7392" t="s">
        <v>27247</v>
      </c>
      <c r="H7392" t="s">
        <v>27248</v>
      </c>
      <c r="I7392" t="s">
        <v>41574</v>
      </c>
      <c r="J7392" t="s">
        <v>14681</v>
      </c>
      <c r="L7392" t="s">
        <v>27250</v>
      </c>
      <c r="M7392" t="s">
        <v>27251</v>
      </c>
      <c r="N7392" t="s">
        <v>27252</v>
      </c>
      <c r="Q7392" s="1">
        <v>44538</v>
      </c>
      <c r="R7392" t="s">
        <v>27253</v>
      </c>
      <c r="S7392" t="s">
        <v>27254</v>
      </c>
      <c r="T7392" t="s">
        <v>27255</v>
      </c>
    </row>
    <row r="7393" spans="1:20" x14ac:dyDescent="0.3">
      <c r="A7393" t="str">
        <f>"0611863242050"</f>
        <v>0611863242050</v>
      </c>
      <c r="B7393" t="str">
        <f>"CR2374"</f>
        <v>CR2374</v>
      </c>
      <c r="C7393" t="s">
        <v>41573</v>
      </c>
      <c r="D7393" t="s">
        <v>27263</v>
      </c>
      <c r="E7393" t="str">
        <f t="shared" si="115"/>
        <v>001390</v>
      </c>
      <c r="F7393" t="s">
        <v>27246</v>
      </c>
      <c r="G7393" t="s">
        <v>27247</v>
      </c>
      <c r="H7393" t="s">
        <v>27248</v>
      </c>
      <c r="I7393" t="s">
        <v>41575</v>
      </c>
      <c r="J7393" t="s">
        <v>14683</v>
      </c>
      <c r="L7393" t="s">
        <v>27250</v>
      </c>
      <c r="M7393" t="s">
        <v>27251</v>
      </c>
      <c r="N7393" t="s">
        <v>27252</v>
      </c>
      <c r="Q7393" s="1">
        <v>44846</v>
      </c>
      <c r="R7393" t="s">
        <v>27253</v>
      </c>
      <c r="S7393" t="s">
        <v>27254</v>
      </c>
      <c r="T7393" t="s">
        <v>27265</v>
      </c>
    </row>
    <row r="7394" spans="1:20" x14ac:dyDescent="0.3">
      <c r="A7394" t="str">
        <f>"0611836174100"</f>
        <v>0611836174100</v>
      </c>
      <c r="B7394" t="str">
        <f>"LQ0753"</f>
        <v>LQ0753</v>
      </c>
      <c r="C7394" t="s">
        <v>41576</v>
      </c>
      <c r="D7394" t="s">
        <v>27245</v>
      </c>
      <c r="E7394" t="str">
        <f t="shared" si="115"/>
        <v>001390</v>
      </c>
      <c r="F7394" t="s">
        <v>27246</v>
      </c>
      <c r="G7394" t="s">
        <v>27247</v>
      </c>
      <c r="H7394" t="s">
        <v>27248</v>
      </c>
      <c r="I7394" t="s">
        <v>41577</v>
      </c>
      <c r="J7394" t="s">
        <v>14685</v>
      </c>
      <c r="L7394" t="s">
        <v>27250</v>
      </c>
      <c r="M7394" t="s">
        <v>27251</v>
      </c>
      <c r="N7394" t="s">
        <v>27252</v>
      </c>
      <c r="Q7394" s="1">
        <v>44538</v>
      </c>
      <c r="R7394" t="s">
        <v>27253</v>
      </c>
      <c r="S7394" t="s">
        <v>27254</v>
      </c>
      <c r="T7394" t="s">
        <v>27255</v>
      </c>
    </row>
    <row r="7395" spans="1:20" x14ac:dyDescent="0.3">
      <c r="A7395" t="str">
        <f>"0611863243050"</f>
        <v>0611863243050</v>
      </c>
      <c r="B7395" t="str">
        <f>"CR2375"</f>
        <v>CR2375</v>
      </c>
      <c r="C7395" t="s">
        <v>41576</v>
      </c>
      <c r="D7395" t="s">
        <v>27263</v>
      </c>
      <c r="E7395" t="str">
        <f t="shared" si="115"/>
        <v>001390</v>
      </c>
      <c r="F7395" t="s">
        <v>27246</v>
      </c>
      <c r="G7395" t="s">
        <v>27247</v>
      </c>
      <c r="H7395" t="s">
        <v>27248</v>
      </c>
      <c r="I7395" t="s">
        <v>41578</v>
      </c>
      <c r="J7395" t="s">
        <v>14687</v>
      </c>
      <c r="L7395" t="s">
        <v>27250</v>
      </c>
      <c r="M7395" t="s">
        <v>27251</v>
      </c>
      <c r="N7395" t="s">
        <v>27252</v>
      </c>
      <c r="Q7395" s="1">
        <v>44846</v>
      </c>
      <c r="R7395" t="s">
        <v>27253</v>
      </c>
      <c r="S7395" t="s">
        <v>27254</v>
      </c>
      <c r="T7395" t="s">
        <v>27265</v>
      </c>
    </row>
    <row r="7396" spans="1:20" x14ac:dyDescent="0.3">
      <c r="A7396" t="str">
        <f>"0611836175100"</f>
        <v>0611836175100</v>
      </c>
      <c r="B7396" t="str">
        <f>"LQ0142"</f>
        <v>LQ0142</v>
      </c>
      <c r="C7396" t="s">
        <v>41579</v>
      </c>
      <c r="D7396" t="s">
        <v>27245</v>
      </c>
      <c r="E7396" t="str">
        <f t="shared" si="115"/>
        <v>001390</v>
      </c>
      <c r="F7396" t="s">
        <v>27246</v>
      </c>
      <c r="G7396" t="s">
        <v>27247</v>
      </c>
      <c r="H7396" t="s">
        <v>27248</v>
      </c>
      <c r="I7396" t="s">
        <v>41580</v>
      </c>
      <c r="J7396" t="s">
        <v>14689</v>
      </c>
      <c r="L7396" t="s">
        <v>27250</v>
      </c>
      <c r="M7396" t="s">
        <v>27251</v>
      </c>
      <c r="N7396" t="s">
        <v>27252</v>
      </c>
      <c r="Q7396" s="1">
        <v>44538</v>
      </c>
      <c r="R7396" t="s">
        <v>27253</v>
      </c>
      <c r="S7396" t="s">
        <v>27254</v>
      </c>
      <c r="T7396" t="s">
        <v>27255</v>
      </c>
    </row>
    <row r="7397" spans="1:20" x14ac:dyDescent="0.3">
      <c r="A7397" t="str">
        <f>"0611836176100"</f>
        <v>0611836176100</v>
      </c>
      <c r="B7397" t="str">
        <f>"LQ0806"</f>
        <v>LQ0806</v>
      </c>
      <c r="C7397" t="s">
        <v>41581</v>
      </c>
      <c r="D7397" t="s">
        <v>27245</v>
      </c>
      <c r="E7397" t="str">
        <f t="shared" si="115"/>
        <v>001390</v>
      </c>
      <c r="F7397" t="s">
        <v>27246</v>
      </c>
      <c r="G7397" t="s">
        <v>27247</v>
      </c>
      <c r="H7397" t="s">
        <v>27248</v>
      </c>
      <c r="I7397" t="s">
        <v>41582</v>
      </c>
      <c r="J7397" t="s">
        <v>14691</v>
      </c>
      <c r="L7397" t="s">
        <v>27250</v>
      </c>
      <c r="M7397" t="s">
        <v>27251</v>
      </c>
      <c r="N7397" t="s">
        <v>27252</v>
      </c>
      <c r="Q7397" s="1">
        <v>44538</v>
      </c>
      <c r="R7397" t="s">
        <v>27253</v>
      </c>
      <c r="S7397" t="s">
        <v>27254</v>
      </c>
      <c r="T7397" t="s">
        <v>27255</v>
      </c>
    </row>
    <row r="7398" spans="1:20" x14ac:dyDescent="0.3">
      <c r="A7398" t="str">
        <f>"0611863244050"</f>
        <v>0611863244050</v>
      </c>
      <c r="B7398" t="str">
        <f>"CR3270"</f>
        <v>CR3270</v>
      </c>
      <c r="C7398" t="s">
        <v>41581</v>
      </c>
      <c r="D7398" t="s">
        <v>27263</v>
      </c>
      <c r="E7398" t="str">
        <f t="shared" si="115"/>
        <v>001390</v>
      </c>
      <c r="F7398" t="s">
        <v>27246</v>
      </c>
      <c r="G7398" t="s">
        <v>27247</v>
      </c>
      <c r="H7398" t="s">
        <v>27248</v>
      </c>
      <c r="I7398" t="s">
        <v>41583</v>
      </c>
      <c r="J7398" t="s">
        <v>14693</v>
      </c>
      <c r="L7398" t="s">
        <v>27250</v>
      </c>
      <c r="M7398" t="s">
        <v>27251</v>
      </c>
      <c r="N7398" t="s">
        <v>27252</v>
      </c>
      <c r="Q7398" s="1">
        <v>44846</v>
      </c>
      <c r="R7398" t="s">
        <v>27253</v>
      </c>
      <c r="S7398" t="s">
        <v>27254</v>
      </c>
      <c r="T7398" t="s">
        <v>27265</v>
      </c>
    </row>
    <row r="7399" spans="1:20" x14ac:dyDescent="0.3">
      <c r="A7399" t="str">
        <f>"0611836177100"</f>
        <v>0611836177100</v>
      </c>
      <c r="B7399" t="str">
        <f>"LQ0287"</f>
        <v>LQ0287</v>
      </c>
      <c r="C7399" t="s">
        <v>41584</v>
      </c>
      <c r="D7399" t="s">
        <v>27245</v>
      </c>
      <c r="E7399" t="str">
        <f t="shared" si="115"/>
        <v>001390</v>
      </c>
      <c r="F7399" t="s">
        <v>27246</v>
      </c>
      <c r="G7399" t="s">
        <v>27247</v>
      </c>
      <c r="H7399" t="s">
        <v>27248</v>
      </c>
      <c r="I7399" t="s">
        <v>41585</v>
      </c>
      <c r="J7399" t="s">
        <v>14695</v>
      </c>
      <c r="L7399" t="s">
        <v>27250</v>
      </c>
      <c r="M7399" t="s">
        <v>27251</v>
      </c>
      <c r="N7399" t="s">
        <v>27252</v>
      </c>
      <c r="Q7399" s="1">
        <v>44538</v>
      </c>
      <c r="R7399" t="s">
        <v>27253</v>
      </c>
      <c r="S7399" t="s">
        <v>27254</v>
      </c>
      <c r="T7399" t="s">
        <v>27255</v>
      </c>
    </row>
    <row r="7400" spans="1:20" x14ac:dyDescent="0.3">
      <c r="A7400" t="str">
        <f>"0611863245050"</f>
        <v>0611863245050</v>
      </c>
      <c r="B7400" t="str">
        <f>"CR2976"</f>
        <v>CR2976</v>
      </c>
      <c r="C7400" t="s">
        <v>41586</v>
      </c>
      <c r="D7400" t="s">
        <v>27263</v>
      </c>
      <c r="E7400" t="str">
        <f t="shared" si="115"/>
        <v>001390</v>
      </c>
      <c r="F7400" t="s">
        <v>27246</v>
      </c>
      <c r="G7400" t="s">
        <v>27247</v>
      </c>
      <c r="H7400" t="s">
        <v>27248</v>
      </c>
      <c r="I7400" t="s">
        <v>41587</v>
      </c>
      <c r="J7400" t="s">
        <v>14697</v>
      </c>
      <c r="L7400" t="s">
        <v>27250</v>
      </c>
      <c r="M7400" t="s">
        <v>27251</v>
      </c>
      <c r="N7400" t="s">
        <v>27252</v>
      </c>
      <c r="Q7400" s="1">
        <v>44846</v>
      </c>
      <c r="R7400" t="s">
        <v>27253</v>
      </c>
      <c r="S7400" t="s">
        <v>27254</v>
      </c>
      <c r="T7400" t="s">
        <v>27265</v>
      </c>
    </row>
    <row r="7401" spans="1:20" x14ac:dyDescent="0.3">
      <c r="A7401" t="str">
        <f>"0611836178100"</f>
        <v>0611836178100</v>
      </c>
      <c r="B7401" t="str">
        <f>"LQ0319"</f>
        <v>LQ0319</v>
      </c>
      <c r="C7401" t="s">
        <v>41588</v>
      </c>
      <c r="D7401" t="s">
        <v>27245</v>
      </c>
      <c r="E7401" t="str">
        <f t="shared" si="115"/>
        <v>001390</v>
      </c>
      <c r="F7401" t="s">
        <v>27246</v>
      </c>
      <c r="G7401" t="s">
        <v>27247</v>
      </c>
      <c r="H7401" t="s">
        <v>27248</v>
      </c>
      <c r="I7401" t="s">
        <v>41589</v>
      </c>
      <c r="J7401" t="s">
        <v>14699</v>
      </c>
      <c r="L7401" t="s">
        <v>27250</v>
      </c>
      <c r="M7401" t="s">
        <v>27251</v>
      </c>
      <c r="N7401" t="s">
        <v>27252</v>
      </c>
      <c r="Q7401" s="1">
        <v>44538</v>
      </c>
      <c r="R7401" t="s">
        <v>27253</v>
      </c>
      <c r="S7401" t="s">
        <v>27254</v>
      </c>
      <c r="T7401" t="s">
        <v>27255</v>
      </c>
    </row>
    <row r="7402" spans="1:20" x14ac:dyDescent="0.3">
      <c r="A7402" t="str">
        <f>"0611863246050"</f>
        <v>0611863246050</v>
      </c>
      <c r="B7402" t="str">
        <f>"CR2376"</f>
        <v>CR2376</v>
      </c>
      <c r="C7402" t="s">
        <v>41588</v>
      </c>
      <c r="D7402" t="s">
        <v>27263</v>
      </c>
      <c r="E7402" t="str">
        <f t="shared" si="115"/>
        <v>001390</v>
      </c>
      <c r="F7402" t="s">
        <v>27246</v>
      </c>
      <c r="G7402" t="s">
        <v>27247</v>
      </c>
      <c r="H7402" t="s">
        <v>27248</v>
      </c>
      <c r="I7402" t="s">
        <v>41590</v>
      </c>
      <c r="J7402" t="s">
        <v>14701</v>
      </c>
      <c r="L7402" t="s">
        <v>27250</v>
      </c>
      <c r="M7402" t="s">
        <v>27251</v>
      </c>
      <c r="N7402" t="s">
        <v>27252</v>
      </c>
      <c r="Q7402" s="1">
        <v>44846</v>
      </c>
      <c r="R7402" t="s">
        <v>27253</v>
      </c>
      <c r="S7402" t="s">
        <v>27254</v>
      </c>
      <c r="T7402" t="s">
        <v>27265</v>
      </c>
    </row>
    <row r="7403" spans="1:20" x14ac:dyDescent="0.3">
      <c r="A7403" t="str">
        <f>"0611836179100"</f>
        <v>0611836179100</v>
      </c>
      <c r="B7403" t="str">
        <f>"LQ3844"</f>
        <v>LQ3844</v>
      </c>
      <c r="C7403" t="s">
        <v>41591</v>
      </c>
      <c r="D7403" t="s">
        <v>27245</v>
      </c>
      <c r="E7403" t="str">
        <f t="shared" si="115"/>
        <v>001390</v>
      </c>
      <c r="F7403" t="s">
        <v>27246</v>
      </c>
      <c r="G7403" t="s">
        <v>27247</v>
      </c>
      <c r="H7403" t="s">
        <v>27248</v>
      </c>
      <c r="I7403" t="s">
        <v>41592</v>
      </c>
      <c r="J7403" t="s">
        <v>14703</v>
      </c>
      <c r="L7403" t="s">
        <v>27250</v>
      </c>
      <c r="M7403" t="s">
        <v>27251</v>
      </c>
      <c r="N7403" t="s">
        <v>27252</v>
      </c>
      <c r="Q7403" s="1">
        <v>44538</v>
      </c>
      <c r="R7403" t="s">
        <v>27253</v>
      </c>
      <c r="S7403" t="s">
        <v>27254</v>
      </c>
      <c r="T7403" t="s">
        <v>27255</v>
      </c>
    </row>
    <row r="7404" spans="1:20" x14ac:dyDescent="0.3">
      <c r="A7404" t="str">
        <f>"0611836180100"</f>
        <v>0611836180100</v>
      </c>
      <c r="B7404" t="str">
        <f>"MB4425"</f>
        <v>MB4425</v>
      </c>
      <c r="C7404" t="s">
        <v>41593</v>
      </c>
      <c r="D7404" t="s">
        <v>27274</v>
      </c>
      <c r="E7404" t="str">
        <f t="shared" si="115"/>
        <v>001390</v>
      </c>
      <c r="F7404" t="s">
        <v>27246</v>
      </c>
      <c r="G7404" t="s">
        <v>27247</v>
      </c>
      <c r="H7404" t="s">
        <v>27248</v>
      </c>
      <c r="I7404" t="s">
        <v>41594</v>
      </c>
      <c r="J7404" t="s">
        <v>14707</v>
      </c>
      <c r="L7404" t="s">
        <v>27250</v>
      </c>
      <c r="M7404" t="s">
        <v>27251</v>
      </c>
      <c r="N7404" t="s">
        <v>27252</v>
      </c>
      <c r="Q7404" s="1">
        <v>44538</v>
      </c>
      <c r="R7404" t="s">
        <v>27253</v>
      </c>
      <c r="S7404" t="s">
        <v>27254</v>
      </c>
      <c r="T7404" t="s">
        <v>27276</v>
      </c>
    </row>
    <row r="7405" spans="1:20" x14ac:dyDescent="0.3">
      <c r="A7405" t="str">
        <f>"0611857024100"</f>
        <v>0611857024100</v>
      </c>
      <c r="B7405" t="str">
        <f>"LQ3871"</f>
        <v>LQ3871</v>
      </c>
      <c r="C7405" t="s">
        <v>41595</v>
      </c>
      <c r="D7405" t="s">
        <v>27245</v>
      </c>
      <c r="E7405" t="str">
        <f t="shared" si="115"/>
        <v>001390</v>
      </c>
      <c r="F7405" t="s">
        <v>27246</v>
      </c>
      <c r="G7405" t="s">
        <v>27247</v>
      </c>
      <c r="H7405" t="s">
        <v>27248</v>
      </c>
      <c r="I7405" t="s">
        <v>41596</v>
      </c>
      <c r="J7405" t="s">
        <v>14709</v>
      </c>
      <c r="L7405" t="s">
        <v>27250</v>
      </c>
      <c r="M7405" t="s">
        <v>27251</v>
      </c>
      <c r="N7405" t="s">
        <v>27252</v>
      </c>
      <c r="Q7405" s="1">
        <v>44812</v>
      </c>
      <c r="R7405" t="s">
        <v>27253</v>
      </c>
      <c r="S7405" t="s">
        <v>27254</v>
      </c>
      <c r="T7405" t="s">
        <v>27255</v>
      </c>
    </row>
    <row r="7406" spans="1:20" x14ac:dyDescent="0.3">
      <c r="A7406" t="str">
        <f>"0611836181100"</f>
        <v>0611836181100</v>
      </c>
      <c r="B7406" t="str">
        <f>"LB4473"</f>
        <v>LB4473</v>
      </c>
      <c r="C7406" t="s">
        <v>41597</v>
      </c>
      <c r="D7406" t="s">
        <v>27245</v>
      </c>
      <c r="E7406" t="str">
        <f t="shared" si="115"/>
        <v>001390</v>
      </c>
      <c r="F7406" t="s">
        <v>27246</v>
      </c>
      <c r="G7406" t="s">
        <v>27247</v>
      </c>
      <c r="H7406" t="s">
        <v>27248</v>
      </c>
      <c r="I7406" t="s">
        <v>41598</v>
      </c>
      <c r="J7406" t="s">
        <v>14711</v>
      </c>
      <c r="L7406" t="s">
        <v>27250</v>
      </c>
      <c r="M7406" t="s">
        <v>27251</v>
      </c>
      <c r="N7406" t="s">
        <v>27252</v>
      </c>
      <c r="Q7406" s="1">
        <v>44538</v>
      </c>
      <c r="R7406" t="s">
        <v>27253</v>
      </c>
      <c r="S7406" t="s">
        <v>27254</v>
      </c>
      <c r="T7406" t="s">
        <v>27255</v>
      </c>
    </row>
    <row r="7407" spans="1:20" x14ac:dyDescent="0.3">
      <c r="A7407" t="str">
        <f>"0611836182100"</f>
        <v>0611836182100</v>
      </c>
      <c r="B7407" t="str">
        <f>"LB4474"</f>
        <v>LB4474</v>
      </c>
      <c r="C7407" t="s">
        <v>41599</v>
      </c>
      <c r="D7407" t="s">
        <v>27245</v>
      </c>
      <c r="E7407" t="str">
        <f t="shared" si="115"/>
        <v>001390</v>
      </c>
      <c r="F7407" t="s">
        <v>27246</v>
      </c>
      <c r="G7407" t="s">
        <v>27247</v>
      </c>
      <c r="H7407" t="s">
        <v>27248</v>
      </c>
      <c r="I7407" t="s">
        <v>41600</v>
      </c>
      <c r="J7407" t="s">
        <v>14713</v>
      </c>
      <c r="L7407" t="s">
        <v>27250</v>
      </c>
      <c r="M7407" t="s">
        <v>27251</v>
      </c>
      <c r="N7407" t="s">
        <v>27252</v>
      </c>
      <c r="Q7407" s="1">
        <v>44538</v>
      </c>
      <c r="R7407" t="s">
        <v>27253</v>
      </c>
      <c r="S7407" t="s">
        <v>27254</v>
      </c>
      <c r="T7407" t="s">
        <v>27255</v>
      </c>
    </row>
    <row r="7408" spans="1:20" x14ac:dyDescent="0.3">
      <c r="A7408" t="str">
        <f>"0611836183100"</f>
        <v>0611836183100</v>
      </c>
      <c r="B7408" t="str">
        <f>"LB4478"</f>
        <v>LB4478</v>
      </c>
      <c r="C7408" t="s">
        <v>41601</v>
      </c>
      <c r="D7408" t="s">
        <v>27245</v>
      </c>
      <c r="E7408" t="str">
        <f t="shared" si="115"/>
        <v>001390</v>
      </c>
      <c r="F7408" t="s">
        <v>27246</v>
      </c>
      <c r="G7408" t="s">
        <v>27247</v>
      </c>
      <c r="H7408" t="s">
        <v>27248</v>
      </c>
      <c r="I7408" t="s">
        <v>41602</v>
      </c>
      <c r="J7408" t="s">
        <v>14715</v>
      </c>
      <c r="L7408" t="s">
        <v>27250</v>
      </c>
      <c r="M7408" t="s">
        <v>27251</v>
      </c>
      <c r="N7408" t="s">
        <v>27252</v>
      </c>
      <c r="Q7408" s="1">
        <v>44538</v>
      </c>
      <c r="R7408" t="s">
        <v>27253</v>
      </c>
      <c r="S7408" t="s">
        <v>27254</v>
      </c>
      <c r="T7408" t="s">
        <v>27255</v>
      </c>
    </row>
    <row r="7409" spans="1:20" x14ac:dyDescent="0.3">
      <c r="A7409" t="str">
        <f>"0611836184100"</f>
        <v>0611836184100</v>
      </c>
      <c r="B7409" t="str">
        <f>"LK3398"</f>
        <v>LK3398</v>
      </c>
      <c r="C7409" t="s">
        <v>41603</v>
      </c>
      <c r="D7409" t="s">
        <v>27245</v>
      </c>
      <c r="E7409" t="str">
        <f t="shared" si="115"/>
        <v>001390</v>
      </c>
      <c r="F7409" t="s">
        <v>27246</v>
      </c>
      <c r="G7409" t="s">
        <v>27247</v>
      </c>
      <c r="H7409" t="s">
        <v>27248</v>
      </c>
      <c r="I7409" t="s">
        <v>41604</v>
      </c>
      <c r="J7409" t="s">
        <v>14717</v>
      </c>
      <c r="L7409" t="s">
        <v>27250</v>
      </c>
      <c r="M7409" t="s">
        <v>27251</v>
      </c>
      <c r="N7409" t="s">
        <v>27252</v>
      </c>
      <c r="Q7409" s="1">
        <v>44538</v>
      </c>
      <c r="R7409" t="s">
        <v>27253</v>
      </c>
      <c r="S7409" t="s">
        <v>27254</v>
      </c>
      <c r="T7409" t="s">
        <v>27255</v>
      </c>
    </row>
    <row r="7410" spans="1:20" x14ac:dyDescent="0.3">
      <c r="A7410" t="str">
        <f>"0611836185100"</f>
        <v>0611836185100</v>
      </c>
      <c r="B7410" t="str">
        <f>"LB4475"</f>
        <v>LB4475</v>
      </c>
      <c r="C7410" t="s">
        <v>41605</v>
      </c>
      <c r="D7410" t="s">
        <v>27245</v>
      </c>
      <c r="E7410" t="str">
        <f t="shared" si="115"/>
        <v>001390</v>
      </c>
      <c r="F7410" t="s">
        <v>27246</v>
      </c>
      <c r="G7410" t="s">
        <v>27247</v>
      </c>
      <c r="H7410" t="s">
        <v>27248</v>
      </c>
      <c r="I7410" t="s">
        <v>41606</v>
      </c>
      <c r="J7410" t="s">
        <v>14719</v>
      </c>
      <c r="L7410" t="s">
        <v>27250</v>
      </c>
      <c r="M7410" t="s">
        <v>27251</v>
      </c>
      <c r="N7410" t="s">
        <v>27252</v>
      </c>
      <c r="Q7410" s="1">
        <v>44538</v>
      </c>
      <c r="R7410" t="s">
        <v>27253</v>
      </c>
      <c r="S7410" t="s">
        <v>27254</v>
      </c>
      <c r="T7410" t="s">
        <v>27255</v>
      </c>
    </row>
    <row r="7411" spans="1:20" x14ac:dyDescent="0.3">
      <c r="A7411" t="str">
        <f>"0611836186025"</f>
        <v>0611836186025</v>
      </c>
      <c r="B7411" t="str">
        <f>"MC0501"</f>
        <v>MC0501</v>
      </c>
      <c r="C7411" t="s">
        <v>41607</v>
      </c>
      <c r="D7411" t="s">
        <v>27267</v>
      </c>
      <c r="E7411" t="str">
        <f t="shared" si="115"/>
        <v>001390</v>
      </c>
      <c r="F7411" t="s">
        <v>27246</v>
      </c>
      <c r="G7411" t="s">
        <v>27247</v>
      </c>
      <c r="H7411" t="s">
        <v>27248</v>
      </c>
      <c r="I7411" t="s">
        <v>41608</v>
      </c>
      <c r="J7411" t="s">
        <v>14721</v>
      </c>
      <c r="L7411" t="s">
        <v>27250</v>
      </c>
      <c r="M7411" t="s">
        <v>27251</v>
      </c>
      <c r="N7411" t="s">
        <v>27252</v>
      </c>
      <c r="Q7411" s="1">
        <v>44538</v>
      </c>
      <c r="R7411" t="s">
        <v>27253</v>
      </c>
      <c r="S7411" t="s">
        <v>27254</v>
      </c>
      <c r="T7411" t="s">
        <v>27269</v>
      </c>
    </row>
    <row r="7412" spans="1:20" x14ac:dyDescent="0.3">
      <c r="A7412" t="str">
        <f>"0611836187100"</f>
        <v>0611836187100</v>
      </c>
      <c r="B7412" t="str">
        <f>"LB4441"</f>
        <v>LB4441</v>
      </c>
      <c r="C7412" t="s">
        <v>41609</v>
      </c>
      <c r="D7412" t="s">
        <v>27245</v>
      </c>
      <c r="E7412" t="str">
        <f t="shared" si="115"/>
        <v>001390</v>
      </c>
      <c r="F7412" t="s">
        <v>27246</v>
      </c>
      <c r="G7412" t="s">
        <v>27247</v>
      </c>
      <c r="H7412" t="s">
        <v>27248</v>
      </c>
      <c r="I7412" t="s">
        <v>41610</v>
      </c>
      <c r="J7412" t="s">
        <v>14723</v>
      </c>
      <c r="L7412" t="s">
        <v>27250</v>
      </c>
      <c r="M7412" t="s">
        <v>27251</v>
      </c>
      <c r="N7412" t="s">
        <v>27252</v>
      </c>
      <c r="Q7412" s="1">
        <v>44538</v>
      </c>
      <c r="R7412" t="s">
        <v>27253</v>
      </c>
      <c r="S7412" t="s">
        <v>27254</v>
      </c>
      <c r="T7412" t="s">
        <v>27255</v>
      </c>
    </row>
    <row r="7413" spans="1:20" x14ac:dyDescent="0.3">
      <c r="A7413" t="str">
        <f>"0611836188100"</f>
        <v>0611836188100</v>
      </c>
      <c r="B7413" t="str">
        <f>"LB4487"</f>
        <v>LB4487</v>
      </c>
      <c r="C7413" t="s">
        <v>41611</v>
      </c>
      <c r="D7413" t="s">
        <v>27245</v>
      </c>
      <c r="E7413" t="str">
        <f t="shared" si="115"/>
        <v>001390</v>
      </c>
      <c r="F7413" t="s">
        <v>27246</v>
      </c>
      <c r="G7413" t="s">
        <v>27247</v>
      </c>
      <c r="H7413" t="s">
        <v>27248</v>
      </c>
      <c r="I7413" t="s">
        <v>41612</v>
      </c>
      <c r="J7413" t="s">
        <v>14725</v>
      </c>
      <c r="L7413" t="s">
        <v>27250</v>
      </c>
      <c r="M7413" t="s">
        <v>27251</v>
      </c>
      <c r="N7413" t="s">
        <v>27252</v>
      </c>
      <c r="Q7413" s="1">
        <v>44538</v>
      </c>
      <c r="R7413" t="s">
        <v>27253</v>
      </c>
      <c r="S7413" t="s">
        <v>27254</v>
      </c>
      <c r="T7413" t="s">
        <v>27255</v>
      </c>
    </row>
    <row r="7414" spans="1:20" x14ac:dyDescent="0.3">
      <c r="A7414" t="str">
        <f>"0611836190100"</f>
        <v>0611836190100</v>
      </c>
      <c r="B7414" t="str">
        <f>"LB4488"</f>
        <v>LB4488</v>
      </c>
      <c r="C7414" t="s">
        <v>41613</v>
      </c>
      <c r="D7414" t="s">
        <v>27245</v>
      </c>
      <c r="E7414" t="str">
        <f t="shared" si="115"/>
        <v>001390</v>
      </c>
      <c r="F7414" t="s">
        <v>27246</v>
      </c>
      <c r="G7414" t="s">
        <v>27247</v>
      </c>
      <c r="H7414" t="s">
        <v>27248</v>
      </c>
      <c r="I7414" t="s">
        <v>41614</v>
      </c>
      <c r="J7414" t="s">
        <v>14727</v>
      </c>
      <c r="L7414" t="s">
        <v>27250</v>
      </c>
      <c r="M7414" t="s">
        <v>27251</v>
      </c>
      <c r="N7414" t="s">
        <v>27252</v>
      </c>
      <c r="Q7414" s="1">
        <v>44538</v>
      </c>
      <c r="R7414" t="s">
        <v>27253</v>
      </c>
      <c r="S7414" t="s">
        <v>27254</v>
      </c>
      <c r="T7414" t="s">
        <v>27255</v>
      </c>
    </row>
    <row r="7415" spans="1:20" x14ac:dyDescent="0.3">
      <c r="A7415" t="str">
        <f>"0611836191100"</f>
        <v>0611836191100</v>
      </c>
      <c r="B7415" t="str">
        <f>"LB4442"</f>
        <v>LB4442</v>
      </c>
      <c r="C7415" t="s">
        <v>41615</v>
      </c>
      <c r="D7415" t="s">
        <v>27245</v>
      </c>
      <c r="E7415" t="str">
        <f t="shared" si="115"/>
        <v>001390</v>
      </c>
      <c r="F7415" t="s">
        <v>27246</v>
      </c>
      <c r="G7415" t="s">
        <v>27247</v>
      </c>
      <c r="H7415" t="s">
        <v>27248</v>
      </c>
      <c r="I7415" t="s">
        <v>41616</v>
      </c>
      <c r="J7415" t="s">
        <v>14729</v>
      </c>
      <c r="L7415" t="s">
        <v>27250</v>
      </c>
      <c r="M7415" t="s">
        <v>27251</v>
      </c>
      <c r="N7415" t="s">
        <v>27252</v>
      </c>
      <c r="Q7415" s="1">
        <v>44538</v>
      </c>
      <c r="R7415" t="s">
        <v>27253</v>
      </c>
      <c r="S7415" t="s">
        <v>27254</v>
      </c>
      <c r="T7415" t="s">
        <v>27255</v>
      </c>
    </row>
    <row r="7416" spans="1:20" x14ac:dyDescent="0.3">
      <c r="A7416" t="str">
        <f>"0611836192100"</f>
        <v>0611836192100</v>
      </c>
      <c r="B7416" t="str">
        <f>"LB4443"</f>
        <v>LB4443</v>
      </c>
      <c r="C7416" t="s">
        <v>41617</v>
      </c>
      <c r="D7416" t="s">
        <v>27245</v>
      </c>
      <c r="E7416" t="str">
        <f t="shared" si="115"/>
        <v>001390</v>
      </c>
      <c r="F7416" t="s">
        <v>27246</v>
      </c>
      <c r="G7416" t="s">
        <v>27247</v>
      </c>
      <c r="H7416" t="s">
        <v>27248</v>
      </c>
      <c r="I7416" t="s">
        <v>41618</v>
      </c>
      <c r="J7416" t="s">
        <v>14731</v>
      </c>
      <c r="L7416" t="s">
        <v>27250</v>
      </c>
      <c r="M7416" t="s">
        <v>27251</v>
      </c>
      <c r="N7416" t="s">
        <v>27252</v>
      </c>
      <c r="Q7416" s="1">
        <v>44538</v>
      </c>
      <c r="R7416" t="s">
        <v>27253</v>
      </c>
      <c r="S7416" t="s">
        <v>27254</v>
      </c>
      <c r="T7416" t="s">
        <v>27255</v>
      </c>
    </row>
    <row r="7417" spans="1:20" x14ac:dyDescent="0.3">
      <c r="A7417" t="str">
        <f>"0611836193100"</f>
        <v>0611836193100</v>
      </c>
      <c r="B7417" t="str">
        <f>"LB4444"</f>
        <v>LB4444</v>
      </c>
      <c r="C7417" t="s">
        <v>41619</v>
      </c>
      <c r="D7417" t="s">
        <v>27245</v>
      </c>
      <c r="E7417" t="str">
        <f t="shared" si="115"/>
        <v>001390</v>
      </c>
      <c r="F7417" t="s">
        <v>27246</v>
      </c>
      <c r="G7417" t="s">
        <v>27247</v>
      </c>
      <c r="H7417" t="s">
        <v>27248</v>
      </c>
      <c r="I7417" t="s">
        <v>41620</v>
      </c>
      <c r="J7417" t="s">
        <v>14733</v>
      </c>
      <c r="L7417" t="s">
        <v>27250</v>
      </c>
      <c r="M7417" t="s">
        <v>27251</v>
      </c>
      <c r="N7417" t="s">
        <v>27252</v>
      </c>
      <c r="Q7417" s="1">
        <v>44538</v>
      </c>
      <c r="R7417" t="s">
        <v>27253</v>
      </c>
      <c r="S7417" t="s">
        <v>27254</v>
      </c>
      <c r="T7417" t="s">
        <v>27255</v>
      </c>
    </row>
    <row r="7418" spans="1:20" x14ac:dyDescent="0.3">
      <c r="A7418" t="str">
        <f>"0611836194100"</f>
        <v>0611836194100</v>
      </c>
      <c r="B7418" t="str">
        <f>"LB4481"</f>
        <v>LB4481</v>
      </c>
      <c r="C7418" t="s">
        <v>41621</v>
      </c>
      <c r="D7418" t="s">
        <v>27245</v>
      </c>
      <c r="E7418" t="str">
        <f t="shared" si="115"/>
        <v>001390</v>
      </c>
      <c r="F7418" t="s">
        <v>27246</v>
      </c>
      <c r="G7418" t="s">
        <v>27247</v>
      </c>
      <c r="H7418" t="s">
        <v>27248</v>
      </c>
      <c r="I7418" t="s">
        <v>41622</v>
      </c>
      <c r="J7418" t="s">
        <v>14735</v>
      </c>
      <c r="L7418" t="s">
        <v>27250</v>
      </c>
      <c r="M7418" t="s">
        <v>27251</v>
      </c>
      <c r="N7418" t="s">
        <v>27252</v>
      </c>
      <c r="Q7418" s="1">
        <v>44538</v>
      </c>
      <c r="R7418" t="s">
        <v>27253</v>
      </c>
      <c r="S7418" t="s">
        <v>27254</v>
      </c>
      <c r="T7418" t="s">
        <v>27255</v>
      </c>
    </row>
    <row r="7419" spans="1:20" x14ac:dyDescent="0.3">
      <c r="A7419" t="str">
        <f>"0611836195100"</f>
        <v>0611836195100</v>
      </c>
      <c r="B7419" t="str">
        <f>"LB4489"</f>
        <v>LB4489</v>
      </c>
      <c r="C7419" t="s">
        <v>41623</v>
      </c>
      <c r="D7419" t="s">
        <v>27245</v>
      </c>
      <c r="E7419" t="str">
        <f t="shared" si="115"/>
        <v>001390</v>
      </c>
      <c r="F7419" t="s">
        <v>27246</v>
      </c>
      <c r="G7419" t="s">
        <v>27247</v>
      </c>
      <c r="H7419" t="s">
        <v>27248</v>
      </c>
      <c r="I7419" t="s">
        <v>41624</v>
      </c>
      <c r="J7419" t="s">
        <v>14737</v>
      </c>
      <c r="L7419" t="s">
        <v>27250</v>
      </c>
      <c r="M7419" t="s">
        <v>27251</v>
      </c>
      <c r="N7419" t="s">
        <v>27252</v>
      </c>
      <c r="Q7419" s="1">
        <v>44538</v>
      </c>
      <c r="R7419" t="s">
        <v>27253</v>
      </c>
      <c r="S7419" t="s">
        <v>27254</v>
      </c>
      <c r="T7419" t="s">
        <v>27255</v>
      </c>
    </row>
    <row r="7420" spans="1:20" x14ac:dyDescent="0.3">
      <c r="A7420" t="str">
        <f>"0611836196100"</f>
        <v>0611836196100</v>
      </c>
      <c r="B7420" t="str">
        <f>"LB4445"</f>
        <v>LB4445</v>
      </c>
      <c r="C7420" t="s">
        <v>41625</v>
      </c>
      <c r="D7420" t="s">
        <v>27245</v>
      </c>
      <c r="E7420" t="str">
        <f t="shared" si="115"/>
        <v>001390</v>
      </c>
      <c r="F7420" t="s">
        <v>27246</v>
      </c>
      <c r="G7420" t="s">
        <v>27247</v>
      </c>
      <c r="H7420" t="s">
        <v>27248</v>
      </c>
      <c r="I7420" t="s">
        <v>41626</v>
      </c>
      <c r="J7420" t="s">
        <v>14739</v>
      </c>
      <c r="L7420" t="s">
        <v>27250</v>
      </c>
      <c r="M7420" t="s">
        <v>27251</v>
      </c>
      <c r="N7420" t="s">
        <v>27252</v>
      </c>
      <c r="Q7420" s="1">
        <v>44538</v>
      </c>
      <c r="R7420" t="s">
        <v>27253</v>
      </c>
      <c r="S7420" t="s">
        <v>27254</v>
      </c>
      <c r="T7420" t="s">
        <v>27255</v>
      </c>
    </row>
    <row r="7421" spans="1:20" x14ac:dyDescent="0.3">
      <c r="A7421" t="str">
        <f>"0611857025100"</f>
        <v>0611857025100</v>
      </c>
      <c r="B7421" t="str">
        <f>"LQ3888"</f>
        <v>LQ3888</v>
      </c>
      <c r="C7421" t="s">
        <v>41627</v>
      </c>
      <c r="D7421" t="s">
        <v>27245</v>
      </c>
      <c r="E7421" t="str">
        <f t="shared" si="115"/>
        <v>001390</v>
      </c>
      <c r="F7421" t="s">
        <v>27246</v>
      </c>
      <c r="G7421" t="s">
        <v>27247</v>
      </c>
      <c r="H7421" t="s">
        <v>27248</v>
      </c>
      <c r="I7421" t="s">
        <v>41628</v>
      </c>
      <c r="J7421" t="s">
        <v>14741</v>
      </c>
      <c r="L7421" t="s">
        <v>27250</v>
      </c>
      <c r="M7421" t="s">
        <v>27251</v>
      </c>
      <c r="N7421" t="s">
        <v>27252</v>
      </c>
      <c r="Q7421" s="1">
        <v>44812</v>
      </c>
      <c r="R7421" t="s">
        <v>27253</v>
      </c>
      <c r="S7421" t="s">
        <v>27254</v>
      </c>
      <c r="T7421" t="s">
        <v>27255</v>
      </c>
    </row>
    <row r="7422" spans="1:20" x14ac:dyDescent="0.3">
      <c r="A7422" t="str">
        <f>"0611863247050"</f>
        <v>0611863247050</v>
      </c>
      <c r="B7422" t="str">
        <f>"CR5195"</f>
        <v>CR5195</v>
      </c>
      <c r="C7422" t="s">
        <v>41627</v>
      </c>
      <c r="D7422" t="s">
        <v>27263</v>
      </c>
      <c r="E7422" t="str">
        <f t="shared" si="115"/>
        <v>001390</v>
      </c>
      <c r="F7422" t="s">
        <v>27246</v>
      </c>
      <c r="G7422" t="s">
        <v>27247</v>
      </c>
      <c r="H7422" t="s">
        <v>27248</v>
      </c>
      <c r="I7422" t="s">
        <v>41629</v>
      </c>
      <c r="J7422" t="s">
        <v>14743</v>
      </c>
      <c r="L7422" t="s">
        <v>27250</v>
      </c>
      <c r="M7422" t="s">
        <v>27251</v>
      </c>
      <c r="N7422" t="s">
        <v>27252</v>
      </c>
      <c r="Q7422" s="1">
        <v>44846</v>
      </c>
      <c r="R7422" t="s">
        <v>27253</v>
      </c>
      <c r="S7422" t="s">
        <v>27254</v>
      </c>
      <c r="T7422" t="s">
        <v>27265</v>
      </c>
    </row>
    <row r="7423" spans="1:20" x14ac:dyDescent="0.3">
      <c r="A7423" t="str">
        <f>"0611857026100"</f>
        <v>0611857026100</v>
      </c>
      <c r="B7423" t="str">
        <f>"LQ3889"</f>
        <v>LQ3889</v>
      </c>
      <c r="C7423" t="s">
        <v>41630</v>
      </c>
      <c r="D7423" t="s">
        <v>27245</v>
      </c>
      <c r="E7423" t="str">
        <f t="shared" si="115"/>
        <v>001390</v>
      </c>
      <c r="F7423" t="s">
        <v>27246</v>
      </c>
      <c r="G7423" t="s">
        <v>27247</v>
      </c>
      <c r="H7423" t="s">
        <v>27248</v>
      </c>
      <c r="I7423" t="s">
        <v>41631</v>
      </c>
      <c r="J7423" t="s">
        <v>14745</v>
      </c>
      <c r="L7423" t="s">
        <v>27250</v>
      </c>
      <c r="M7423" t="s">
        <v>27251</v>
      </c>
      <c r="N7423" t="s">
        <v>27252</v>
      </c>
      <c r="Q7423" s="1">
        <v>44812</v>
      </c>
      <c r="R7423" t="s">
        <v>27253</v>
      </c>
      <c r="S7423" t="s">
        <v>27254</v>
      </c>
      <c r="T7423" t="s">
        <v>27255</v>
      </c>
    </row>
    <row r="7424" spans="1:20" x14ac:dyDescent="0.3">
      <c r="A7424" t="str">
        <f>"0611857027100"</f>
        <v>0611857027100</v>
      </c>
      <c r="B7424" t="str">
        <f>"LQ3890"</f>
        <v>LQ3890</v>
      </c>
      <c r="C7424" t="s">
        <v>41632</v>
      </c>
      <c r="D7424" t="s">
        <v>27245</v>
      </c>
      <c r="E7424" t="str">
        <f t="shared" si="115"/>
        <v>001390</v>
      </c>
      <c r="F7424" t="s">
        <v>27246</v>
      </c>
      <c r="G7424" t="s">
        <v>27247</v>
      </c>
      <c r="H7424" t="s">
        <v>27248</v>
      </c>
      <c r="I7424" t="s">
        <v>41633</v>
      </c>
      <c r="J7424" t="s">
        <v>14747</v>
      </c>
      <c r="L7424" t="s">
        <v>27250</v>
      </c>
      <c r="M7424" t="s">
        <v>27251</v>
      </c>
      <c r="N7424" t="s">
        <v>27252</v>
      </c>
      <c r="Q7424" s="1">
        <v>44812</v>
      </c>
      <c r="R7424" t="s">
        <v>27253</v>
      </c>
      <c r="S7424" t="s">
        <v>27254</v>
      </c>
      <c r="T7424" t="s">
        <v>27255</v>
      </c>
    </row>
    <row r="7425" spans="1:20" x14ac:dyDescent="0.3">
      <c r="A7425" t="str">
        <f>"0611863248050"</f>
        <v>0611863248050</v>
      </c>
      <c r="B7425" t="str">
        <f>"CR5196"</f>
        <v>CR5196</v>
      </c>
      <c r="C7425" t="s">
        <v>41632</v>
      </c>
      <c r="D7425" t="s">
        <v>27263</v>
      </c>
      <c r="E7425" t="str">
        <f t="shared" si="115"/>
        <v>001390</v>
      </c>
      <c r="F7425" t="s">
        <v>27246</v>
      </c>
      <c r="G7425" t="s">
        <v>27247</v>
      </c>
      <c r="H7425" t="s">
        <v>27248</v>
      </c>
      <c r="I7425" t="s">
        <v>41634</v>
      </c>
      <c r="J7425" t="s">
        <v>14749</v>
      </c>
      <c r="L7425" t="s">
        <v>27250</v>
      </c>
      <c r="M7425" t="s">
        <v>27251</v>
      </c>
      <c r="N7425" t="s">
        <v>27252</v>
      </c>
      <c r="Q7425" s="1">
        <v>44846</v>
      </c>
      <c r="R7425" t="s">
        <v>27253</v>
      </c>
      <c r="S7425" t="s">
        <v>27254</v>
      </c>
      <c r="T7425" t="s">
        <v>27265</v>
      </c>
    </row>
    <row r="7426" spans="1:20" x14ac:dyDescent="0.3">
      <c r="A7426" t="str">
        <f>"0611836197100"</f>
        <v>0611836197100</v>
      </c>
      <c r="B7426" t="str">
        <f>"LB4447"</f>
        <v>LB4447</v>
      </c>
      <c r="C7426" t="s">
        <v>41635</v>
      </c>
      <c r="D7426" t="s">
        <v>27245</v>
      </c>
      <c r="E7426" t="str">
        <f t="shared" ref="E7426:E7489" si="116">"001390"</f>
        <v>001390</v>
      </c>
      <c r="F7426" t="s">
        <v>27246</v>
      </c>
      <c r="G7426" t="s">
        <v>27247</v>
      </c>
      <c r="H7426" t="s">
        <v>27248</v>
      </c>
      <c r="I7426" t="s">
        <v>41636</v>
      </c>
      <c r="J7426" t="s">
        <v>14751</v>
      </c>
      <c r="L7426" t="s">
        <v>27250</v>
      </c>
      <c r="M7426" t="s">
        <v>27251</v>
      </c>
      <c r="N7426" t="s">
        <v>27252</v>
      </c>
      <c r="Q7426" s="1">
        <v>44538</v>
      </c>
      <c r="R7426" t="s">
        <v>27253</v>
      </c>
      <c r="S7426" t="s">
        <v>27254</v>
      </c>
      <c r="T7426" t="s">
        <v>27255</v>
      </c>
    </row>
    <row r="7427" spans="1:20" x14ac:dyDescent="0.3">
      <c r="A7427" t="str">
        <f>"0611836198100"</f>
        <v>0611836198100</v>
      </c>
      <c r="B7427" t="str">
        <f>"LB4427"</f>
        <v>LB4427</v>
      </c>
      <c r="C7427" t="s">
        <v>41637</v>
      </c>
      <c r="D7427" t="s">
        <v>27245</v>
      </c>
      <c r="E7427" t="str">
        <f t="shared" si="116"/>
        <v>001390</v>
      </c>
      <c r="F7427" t="s">
        <v>27246</v>
      </c>
      <c r="G7427" t="s">
        <v>27247</v>
      </c>
      <c r="H7427" t="s">
        <v>27248</v>
      </c>
      <c r="I7427" t="s">
        <v>41638</v>
      </c>
      <c r="J7427" t="s">
        <v>14753</v>
      </c>
      <c r="L7427" t="s">
        <v>27250</v>
      </c>
      <c r="M7427" t="s">
        <v>27251</v>
      </c>
      <c r="N7427" t="s">
        <v>27252</v>
      </c>
      <c r="Q7427" s="1">
        <v>44538</v>
      </c>
      <c r="R7427" t="s">
        <v>27253</v>
      </c>
      <c r="S7427" t="s">
        <v>27254</v>
      </c>
      <c r="T7427" t="s">
        <v>27255</v>
      </c>
    </row>
    <row r="7428" spans="1:20" x14ac:dyDescent="0.3">
      <c r="A7428" t="str">
        <f>"0611836199100"</f>
        <v>0611836199100</v>
      </c>
      <c r="B7428" t="str">
        <f>"LB4479"</f>
        <v>LB4479</v>
      </c>
      <c r="C7428" t="s">
        <v>41639</v>
      </c>
      <c r="D7428" t="s">
        <v>27245</v>
      </c>
      <c r="E7428" t="str">
        <f t="shared" si="116"/>
        <v>001390</v>
      </c>
      <c r="F7428" t="s">
        <v>27246</v>
      </c>
      <c r="G7428" t="s">
        <v>27247</v>
      </c>
      <c r="H7428" t="s">
        <v>27248</v>
      </c>
      <c r="I7428" t="s">
        <v>41640</v>
      </c>
      <c r="J7428" t="s">
        <v>14755</v>
      </c>
      <c r="L7428" t="s">
        <v>27250</v>
      </c>
      <c r="M7428" t="s">
        <v>27251</v>
      </c>
      <c r="N7428" t="s">
        <v>27252</v>
      </c>
      <c r="Q7428" s="1">
        <v>44538</v>
      </c>
      <c r="R7428" t="s">
        <v>27253</v>
      </c>
      <c r="S7428" t="s">
        <v>27254</v>
      </c>
      <c r="T7428" t="s">
        <v>27255</v>
      </c>
    </row>
    <row r="7429" spans="1:20" x14ac:dyDescent="0.3">
      <c r="A7429" t="str">
        <f>"0611836200100"</f>
        <v>0611836200100</v>
      </c>
      <c r="B7429" t="str">
        <f>"LB4448"</f>
        <v>LB4448</v>
      </c>
      <c r="C7429" t="s">
        <v>41641</v>
      </c>
      <c r="D7429" t="s">
        <v>27245</v>
      </c>
      <c r="E7429" t="str">
        <f t="shared" si="116"/>
        <v>001390</v>
      </c>
      <c r="F7429" t="s">
        <v>27246</v>
      </c>
      <c r="G7429" t="s">
        <v>27247</v>
      </c>
      <c r="H7429" t="s">
        <v>27248</v>
      </c>
      <c r="I7429" t="s">
        <v>41642</v>
      </c>
      <c r="J7429" t="s">
        <v>14757</v>
      </c>
      <c r="L7429" t="s">
        <v>27250</v>
      </c>
      <c r="M7429" t="s">
        <v>27251</v>
      </c>
      <c r="N7429" t="s">
        <v>27252</v>
      </c>
      <c r="Q7429" s="1">
        <v>44538</v>
      </c>
      <c r="R7429" t="s">
        <v>27253</v>
      </c>
      <c r="S7429" t="s">
        <v>27254</v>
      </c>
      <c r="T7429" t="s">
        <v>27255</v>
      </c>
    </row>
    <row r="7430" spans="1:20" x14ac:dyDescent="0.3">
      <c r="A7430" t="str">
        <f>"0611836201100"</f>
        <v>0611836201100</v>
      </c>
      <c r="B7430" t="str">
        <f>"LB4452"</f>
        <v>LB4452</v>
      </c>
      <c r="C7430" t="s">
        <v>41643</v>
      </c>
      <c r="D7430" t="s">
        <v>27245</v>
      </c>
      <c r="E7430" t="str">
        <f t="shared" si="116"/>
        <v>001390</v>
      </c>
      <c r="F7430" t="s">
        <v>27246</v>
      </c>
      <c r="G7430" t="s">
        <v>27247</v>
      </c>
      <c r="H7430" t="s">
        <v>27248</v>
      </c>
      <c r="I7430" t="s">
        <v>41644</v>
      </c>
      <c r="J7430" t="s">
        <v>14759</v>
      </c>
      <c r="L7430" t="s">
        <v>27250</v>
      </c>
      <c r="M7430" t="s">
        <v>27251</v>
      </c>
      <c r="N7430" t="s">
        <v>27252</v>
      </c>
      <c r="Q7430" s="1">
        <v>44538</v>
      </c>
      <c r="R7430" t="s">
        <v>27253</v>
      </c>
      <c r="S7430" t="s">
        <v>27254</v>
      </c>
      <c r="T7430" t="s">
        <v>27255</v>
      </c>
    </row>
    <row r="7431" spans="1:20" x14ac:dyDescent="0.3">
      <c r="A7431" t="str">
        <f>"0611836202100"</f>
        <v>0611836202100</v>
      </c>
      <c r="B7431" t="str">
        <f>"LB4468"</f>
        <v>LB4468</v>
      </c>
      <c r="C7431" t="s">
        <v>41645</v>
      </c>
      <c r="D7431" t="s">
        <v>27245</v>
      </c>
      <c r="E7431" t="str">
        <f t="shared" si="116"/>
        <v>001390</v>
      </c>
      <c r="F7431" t="s">
        <v>27246</v>
      </c>
      <c r="G7431" t="s">
        <v>27247</v>
      </c>
      <c r="H7431" t="s">
        <v>27248</v>
      </c>
      <c r="I7431" t="s">
        <v>41646</v>
      </c>
      <c r="J7431" t="s">
        <v>14761</v>
      </c>
      <c r="L7431" t="s">
        <v>27250</v>
      </c>
      <c r="M7431" t="s">
        <v>27251</v>
      </c>
      <c r="N7431" t="s">
        <v>27252</v>
      </c>
      <c r="Q7431" s="1">
        <v>44538</v>
      </c>
      <c r="R7431" t="s">
        <v>27253</v>
      </c>
      <c r="S7431" t="s">
        <v>27254</v>
      </c>
      <c r="T7431" t="s">
        <v>27255</v>
      </c>
    </row>
    <row r="7432" spans="1:20" x14ac:dyDescent="0.3">
      <c r="A7432" t="str">
        <f>"0611836203100"</f>
        <v>0611836203100</v>
      </c>
      <c r="B7432" t="str">
        <f>"LB4483"</f>
        <v>LB4483</v>
      </c>
      <c r="C7432" t="s">
        <v>41647</v>
      </c>
      <c r="D7432" t="s">
        <v>27245</v>
      </c>
      <c r="E7432" t="str">
        <f t="shared" si="116"/>
        <v>001390</v>
      </c>
      <c r="F7432" t="s">
        <v>27246</v>
      </c>
      <c r="G7432" t="s">
        <v>27247</v>
      </c>
      <c r="H7432" t="s">
        <v>27248</v>
      </c>
      <c r="I7432" t="s">
        <v>41648</v>
      </c>
      <c r="J7432" t="s">
        <v>14763</v>
      </c>
      <c r="L7432" t="s">
        <v>27250</v>
      </c>
      <c r="M7432" t="s">
        <v>27251</v>
      </c>
      <c r="N7432" t="s">
        <v>27252</v>
      </c>
      <c r="Q7432" s="1">
        <v>44538</v>
      </c>
      <c r="R7432" t="s">
        <v>27253</v>
      </c>
      <c r="S7432" t="s">
        <v>27254</v>
      </c>
      <c r="T7432" t="s">
        <v>27255</v>
      </c>
    </row>
    <row r="7433" spans="1:20" x14ac:dyDescent="0.3">
      <c r="A7433" t="str">
        <f>"0611836204100"</f>
        <v>0611836204100</v>
      </c>
      <c r="B7433" t="str">
        <f>"LB4480"</f>
        <v>LB4480</v>
      </c>
      <c r="C7433" t="s">
        <v>41649</v>
      </c>
      <c r="D7433" t="s">
        <v>27245</v>
      </c>
      <c r="E7433" t="str">
        <f t="shared" si="116"/>
        <v>001390</v>
      </c>
      <c r="F7433" t="s">
        <v>27246</v>
      </c>
      <c r="G7433" t="s">
        <v>27247</v>
      </c>
      <c r="H7433" t="s">
        <v>27248</v>
      </c>
      <c r="I7433" t="s">
        <v>41650</v>
      </c>
      <c r="J7433" t="s">
        <v>14765</v>
      </c>
      <c r="L7433" t="s">
        <v>27250</v>
      </c>
      <c r="M7433" t="s">
        <v>27251</v>
      </c>
      <c r="N7433" t="s">
        <v>27252</v>
      </c>
      <c r="Q7433" s="1">
        <v>44538</v>
      </c>
      <c r="R7433" t="s">
        <v>27253</v>
      </c>
      <c r="S7433" t="s">
        <v>27254</v>
      </c>
      <c r="T7433" t="s">
        <v>27255</v>
      </c>
    </row>
    <row r="7434" spans="1:20" x14ac:dyDescent="0.3">
      <c r="A7434" t="str">
        <f>"0611836205100"</f>
        <v>0611836205100</v>
      </c>
      <c r="B7434" t="str">
        <f>"LB4493"</f>
        <v>LB4493</v>
      </c>
      <c r="C7434" t="s">
        <v>41651</v>
      </c>
      <c r="D7434" t="s">
        <v>27245</v>
      </c>
      <c r="E7434" t="str">
        <f t="shared" si="116"/>
        <v>001390</v>
      </c>
      <c r="F7434" t="s">
        <v>27246</v>
      </c>
      <c r="G7434" t="s">
        <v>27247</v>
      </c>
      <c r="H7434" t="s">
        <v>27248</v>
      </c>
      <c r="I7434" t="s">
        <v>41652</v>
      </c>
      <c r="J7434" t="s">
        <v>14767</v>
      </c>
      <c r="L7434" t="s">
        <v>27250</v>
      </c>
      <c r="M7434" t="s">
        <v>27251</v>
      </c>
      <c r="N7434" t="s">
        <v>27252</v>
      </c>
      <c r="Q7434" s="1">
        <v>44538</v>
      </c>
      <c r="R7434" t="s">
        <v>27253</v>
      </c>
      <c r="S7434" t="s">
        <v>27254</v>
      </c>
      <c r="T7434" t="s">
        <v>27255</v>
      </c>
    </row>
    <row r="7435" spans="1:20" x14ac:dyDescent="0.3">
      <c r="A7435" t="str">
        <f>"0611836206100"</f>
        <v>0611836206100</v>
      </c>
      <c r="B7435" t="str">
        <f>"LB4469"</f>
        <v>LB4469</v>
      </c>
      <c r="C7435" t="s">
        <v>41653</v>
      </c>
      <c r="D7435" t="s">
        <v>27245</v>
      </c>
      <c r="E7435" t="str">
        <f t="shared" si="116"/>
        <v>001390</v>
      </c>
      <c r="F7435" t="s">
        <v>27246</v>
      </c>
      <c r="G7435" t="s">
        <v>27247</v>
      </c>
      <c r="H7435" t="s">
        <v>27248</v>
      </c>
      <c r="I7435" t="s">
        <v>41654</v>
      </c>
      <c r="J7435" t="s">
        <v>14769</v>
      </c>
      <c r="L7435" t="s">
        <v>27250</v>
      </c>
      <c r="M7435" t="s">
        <v>27251</v>
      </c>
      <c r="N7435" t="s">
        <v>27252</v>
      </c>
      <c r="Q7435" s="1">
        <v>44538</v>
      </c>
      <c r="R7435" t="s">
        <v>27253</v>
      </c>
      <c r="S7435" t="s">
        <v>27254</v>
      </c>
      <c r="T7435" t="s">
        <v>27255</v>
      </c>
    </row>
    <row r="7436" spans="1:20" x14ac:dyDescent="0.3">
      <c r="A7436" t="str">
        <f>"0611836208100"</f>
        <v>0611836208100</v>
      </c>
      <c r="B7436" t="str">
        <f>"LQ3845"</f>
        <v>LQ3845</v>
      </c>
      <c r="C7436" t="s">
        <v>41655</v>
      </c>
      <c r="D7436" t="s">
        <v>27245</v>
      </c>
      <c r="E7436" t="str">
        <f t="shared" si="116"/>
        <v>001390</v>
      </c>
      <c r="F7436" t="s">
        <v>27246</v>
      </c>
      <c r="G7436" t="s">
        <v>27247</v>
      </c>
      <c r="H7436" t="s">
        <v>27248</v>
      </c>
      <c r="I7436" t="s">
        <v>41656</v>
      </c>
      <c r="J7436" t="s">
        <v>14771</v>
      </c>
      <c r="L7436" t="s">
        <v>27250</v>
      </c>
      <c r="M7436" t="s">
        <v>27251</v>
      </c>
      <c r="N7436" t="s">
        <v>27252</v>
      </c>
      <c r="Q7436" s="1">
        <v>44538</v>
      </c>
      <c r="R7436" t="s">
        <v>27253</v>
      </c>
      <c r="S7436" t="s">
        <v>27254</v>
      </c>
      <c r="T7436" t="s">
        <v>27255</v>
      </c>
    </row>
    <row r="7437" spans="1:20" x14ac:dyDescent="0.3">
      <c r="A7437" t="str">
        <f>"0611863249050"</f>
        <v>0611863249050</v>
      </c>
      <c r="B7437" t="str">
        <f>"CR4973"</f>
        <v>CR4973</v>
      </c>
      <c r="C7437" t="s">
        <v>41657</v>
      </c>
      <c r="D7437" t="s">
        <v>27263</v>
      </c>
      <c r="E7437" t="str">
        <f t="shared" si="116"/>
        <v>001390</v>
      </c>
      <c r="F7437" t="s">
        <v>27246</v>
      </c>
      <c r="G7437" t="s">
        <v>27247</v>
      </c>
      <c r="H7437" t="s">
        <v>27248</v>
      </c>
      <c r="I7437" t="s">
        <v>41658</v>
      </c>
      <c r="J7437" t="s">
        <v>14791</v>
      </c>
      <c r="L7437" t="s">
        <v>27250</v>
      </c>
      <c r="M7437" t="s">
        <v>27251</v>
      </c>
      <c r="N7437" t="s">
        <v>27252</v>
      </c>
      <c r="Q7437" s="1">
        <v>44846</v>
      </c>
      <c r="R7437" t="s">
        <v>27253</v>
      </c>
      <c r="S7437" t="s">
        <v>27254</v>
      </c>
      <c r="T7437" t="s">
        <v>27265</v>
      </c>
    </row>
    <row r="7438" spans="1:20" x14ac:dyDescent="0.3">
      <c r="A7438" t="str">
        <f>"0611836209025"</f>
        <v>0611836209025</v>
      </c>
      <c r="B7438" t="str">
        <f>"MC0502"</f>
        <v>MC0502</v>
      </c>
      <c r="C7438" t="s">
        <v>41659</v>
      </c>
      <c r="D7438" t="s">
        <v>27267</v>
      </c>
      <c r="E7438" t="str">
        <f t="shared" si="116"/>
        <v>001390</v>
      </c>
      <c r="F7438" t="s">
        <v>27246</v>
      </c>
      <c r="G7438" t="s">
        <v>27247</v>
      </c>
      <c r="H7438" t="s">
        <v>27248</v>
      </c>
      <c r="I7438" t="s">
        <v>41660</v>
      </c>
      <c r="J7438" t="s">
        <v>14773</v>
      </c>
      <c r="L7438" t="s">
        <v>27250</v>
      </c>
      <c r="M7438" t="s">
        <v>27251</v>
      </c>
      <c r="N7438" t="s">
        <v>27252</v>
      </c>
      <c r="Q7438" s="1">
        <v>44538</v>
      </c>
      <c r="R7438" t="s">
        <v>27253</v>
      </c>
      <c r="S7438" t="s">
        <v>27254</v>
      </c>
      <c r="T7438" t="s">
        <v>27269</v>
      </c>
    </row>
    <row r="7439" spans="1:20" x14ac:dyDescent="0.3">
      <c r="A7439" t="str">
        <f>"0611836210100"</f>
        <v>0611836210100</v>
      </c>
      <c r="B7439" t="str">
        <f>"LK5279"</f>
        <v>LK5279</v>
      </c>
      <c r="C7439" t="s">
        <v>41661</v>
      </c>
      <c r="D7439" t="s">
        <v>27245</v>
      </c>
      <c r="E7439" t="str">
        <f t="shared" si="116"/>
        <v>001390</v>
      </c>
      <c r="F7439" t="s">
        <v>27246</v>
      </c>
      <c r="G7439" t="s">
        <v>27247</v>
      </c>
      <c r="H7439" t="s">
        <v>27248</v>
      </c>
      <c r="I7439" t="s">
        <v>41662</v>
      </c>
      <c r="J7439" t="s">
        <v>14775</v>
      </c>
      <c r="L7439" t="s">
        <v>27250</v>
      </c>
      <c r="M7439" t="s">
        <v>27251</v>
      </c>
      <c r="N7439" t="s">
        <v>27252</v>
      </c>
      <c r="Q7439" s="1">
        <v>44538</v>
      </c>
      <c r="R7439" t="s">
        <v>27253</v>
      </c>
      <c r="S7439" t="s">
        <v>27254</v>
      </c>
      <c r="T7439" t="s">
        <v>27255</v>
      </c>
    </row>
    <row r="7440" spans="1:20" x14ac:dyDescent="0.3">
      <c r="A7440" t="str">
        <f>"0611836211100"</f>
        <v>0611836211100</v>
      </c>
      <c r="B7440" t="str">
        <f>"LQ0062"</f>
        <v>LQ0062</v>
      </c>
      <c r="C7440" t="s">
        <v>41663</v>
      </c>
      <c r="D7440" t="s">
        <v>27245</v>
      </c>
      <c r="E7440" t="str">
        <f t="shared" si="116"/>
        <v>001390</v>
      </c>
      <c r="F7440" t="s">
        <v>27246</v>
      </c>
      <c r="G7440" t="s">
        <v>27247</v>
      </c>
      <c r="H7440" t="s">
        <v>27248</v>
      </c>
      <c r="I7440" t="s">
        <v>41664</v>
      </c>
      <c r="J7440" t="s">
        <v>14777</v>
      </c>
      <c r="L7440" t="s">
        <v>27250</v>
      </c>
      <c r="M7440" t="s">
        <v>27251</v>
      </c>
      <c r="N7440" t="s">
        <v>27252</v>
      </c>
      <c r="Q7440" s="1">
        <v>44538</v>
      </c>
      <c r="R7440" t="s">
        <v>27253</v>
      </c>
      <c r="S7440" t="s">
        <v>27254</v>
      </c>
      <c r="T7440" t="s">
        <v>27255</v>
      </c>
    </row>
    <row r="7441" spans="1:20" x14ac:dyDescent="0.3">
      <c r="A7441" t="str">
        <f>"0611836212100"</f>
        <v>0611836212100</v>
      </c>
      <c r="B7441" t="str">
        <f>"LQ0682"</f>
        <v>LQ0682</v>
      </c>
      <c r="C7441" t="s">
        <v>41665</v>
      </c>
      <c r="D7441" t="s">
        <v>27245</v>
      </c>
      <c r="E7441" t="str">
        <f t="shared" si="116"/>
        <v>001390</v>
      </c>
      <c r="F7441" t="s">
        <v>27246</v>
      </c>
      <c r="G7441" t="s">
        <v>27247</v>
      </c>
      <c r="H7441" t="s">
        <v>27248</v>
      </c>
      <c r="I7441" t="s">
        <v>41666</v>
      </c>
      <c r="J7441" t="s">
        <v>14779</v>
      </c>
      <c r="L7441" t="s">
        <v>27250</v>
      </c>
      <c r="M7441" t="s">
        <v>27251</v>
      </c>
      <c r="N7441" t="s">
        <v>27252</v>
      </c>
      <c r="Q7441" s="1">
        <v>44538</v>
      </c>
      <c r="R7441" t="s">
        <v>27253</v>
      </c>
      <c r="S7441" t="s">
        <v>27254</v>
      </c>
      <c r="T7441" t="s">
        <v>27255</v>
      </c>
    </row>
    <row r="7442" spans="1:20" x14ac:dyDescent="0.3">
      <c r="A7442" t="str">
        <f>"0611836213100"</f>
        <v>0611836213100</v>
      </c>
      <c r="B7442" t="str">
        <f>"LQ3846"</f>
        <v>LQ3846</v>
      </c>
      <c r="C7442" t="s">
        <v>41667</v>
      </c>
      <c r="D7442" t="s">
        <v>27245</v>
      </c>
      <c r="E7442" t="str">
        <f t="shared" si="116"/>
        <v>001390</v>
      </c>
      <c r="F7442" t="s">
        <v>27246</v>
      </c>
      <c r="G7442" t="s">
        <v>27247</v>
      </c>
      <c r="H7442" t="s">
        <v>27248</v>
      </c>
      <c r="I7442" t="s">
        <v>41668</v>
      </c>
      <c r="J7442" t="s">
        <v>14783</v>
      </c>
      <c r="L7442" t="s">
        <v>27250</v>
      </c>
      <c r="M7442" t="s">
        <v>27251</v>
      </c>
      <c r="N7442" t="s">
        <v>27252</v>
      </c>
      <c r="Q7442" s="1">
        <v>44538</v>
      </c>
      <c r="R7442" t="s">
        <v>27253</v>
      </c>
      <c r="S7442" t="s">
        <v>27254</v>
      </c>
      <c r="T7442" t="s">
        <v>27255</v>
      </c>
    </row>
    <row r="7443" spans="1:20" x14ac:dyDescent="0.3">
      <c r="A7443" t="str">
        <f>"0611836214100"</f>
        <v>0611836214100</v>
      </c>
      <c r="B7443" t="str">
        <f>"LQ0594"</f>
        <v>LQ0594</v>
      </c>
      <c r="C7443" t="s">
        <v>41669</v>
      </c>
      <c r="D7443" t="s">
        <v>27245</v>
      </c>
      <c r="E7443" t="str">
        <f t="shared" si="116"/>
        <v>001390</v>
      </c>
      <c r="F7443" t="s">
        <v>27246</v>
      </c>
      <c r="G7443" t="s">
        <v>27247</v>
      </c>
      <c r="H7443" t="s">
        <v>27248</v>
      </c>
      <c r="I7443" t="s">
        <v>41670</v>
      </c>
      <c r="J7443" t="s">
        <v>14785</v>
      </c>
      <c r="L7443" t="s">
        <v>27250</v>
      </c>
      <c r="M7443" t="s">
        <v>27251</v>
      </c>
      <c r="N7443" t="s">
        <v>27252</v>
      </c>
      <c r="Q7443" s="1">
        <v>44538</v>
      </c>
      <c r="R7443" t="s">
        <v>27253</v>
      </c>
      <c r="S7443" t="s">
        <v>27254</v>
      </c>
      <c r="T7443" t="s">
        <v>27255</v>
      </c>
    </row>
    <row r="7444" spans="1:20" x14ac:dyDescent="0.3">
      <c r="A7444" t="str">
        <f>"0611836215100"</f>
        <v>0611836215100</v>
      </c>
      <c r="B7444" t="str">
        <f>"LQ0288"</f>
        <v>LQ0288</v>
      </c>
      <c r="C7444" t="s">
        <v>41671</v>
      </c>
      <c r="D7444" t="s">
        <v>27245</v>
      </c>
      <c r="E7444" t="str">
        <f t="shared" si="116"/>
        <v>001390</v>
      </c>
      <c r="F7444" t="s">
        <v>27246</v>
      </c>
      <c r="G7444" t="s">
        <v>27247</v>
      </c>
      <c r="H7444" t="s">
        <v>27248</v>
      </c>
      <c r="I7444" t="s">
        <v>41672</v>
      </c>
      <c r="J7444" t="s">
        <v>14789</v>
      </c>
      <c r="L7444" t="s">
        <v>27250</v>
      </c>
      <c r="M7444" t="s">
        <v>27251</v>
      </c>
      <c r="N7444" t="s">
        <v>27252</v>
      </c>
      <c r="Q7444" s="1">
        <v>44538</v>
      </c>
      <c r="R7444" t="s">
        <v>27253</v>
      </c>
      <c r="S7444" t="s">
        <v>27254</v>
      </c>
      <c r="T7444" t="s">
        <v>27255</v>
      </c>
    </row>
    <row r="7445" spans="1:20" x14ac:dyDescent="0.3">
      <c r="A7445" t="str">
        <f>"0611836216100"</f>
        <v>0611836216100</v>
      </c>
      <c r="B7445" t="str">
        <f>"LQ5645"</f>
        <v>LQ5645</v>
      </c>
      <c r="C7445" t="s">
        <v>41673</v>
      </c>
      <c r="D7445" t="s">
        <v>27245</v>
      </c>
      <c r="E7445" t="str">
        <f t="shared" si="116"/>
        <v>001390</v>
      </c>
      <c r="F7445" t="s">
        <v>27246</v>
      </c>
      <c r="G7445" t="s">
        <v>27247</v>
      </c>
      <c r="H7445" t="s">
        <v>27248</v>
      </c>
      <c r="I7445" t="s">
        <v>41674</v>
      </c>
      <c r="J7445" t="s">
        <v>14795</v>
      </c>
      <c r="L7445" t="s">
        <v>27250</v>
      </c>
      <c r="M7445" t="s">
        <v>27251</v>
      </c>
      <c r="N7445" t="s">
        <v>27252</v>
      </c>
      <c r="Q7445" s="1">
        <v>44538</v>
      </c>
      <c r="R7445" t="s">
        <v>27253</v>
      </c>
      <c r="S7445" t="s">
        <v>27254</v>
      </c>
      <c r="T7445" t="s">
        <v>27255</v>
      </c>
    </row>
    <row r="7446" spans="1:20" x14ac:dyDescent="0.3">
      <c r="A7446" t="str">
        <f>"0611836217100"</f>
        <v>0611836217100</v>
      </c>
      <c r="B7446" t="str">
        <f>"LQ0063"</f>
        <v>LQ0063</v>
      </c>
      <c r="C7446" t="s">
        <v>41675</v>
      </c>
      <c r="D7446" t="s">
        <v>27245</v>
      </c>
      <c r="E7446" t="str">
        <f t="shared" si="116"/>
        <v>001390</v>
      </c>
      <c r="F7446" t="s">
        <v>27246</v>
      </c>
      <c r="G7446" t="s">
        <v>27247</v>
      </c>
      <c r="H7446" t="s">
        <v>27248</v>
      </c>
      <c r="I7446" t="s">
        <v>41676</v>
      </c>
      <c r="J7446" t="s">
        <v>14797</v>
      </c>
      <c r="L7446" t="s">
        <v>27250</v>
      </c>
      <c r="M7446" t="s">
        <v>27251</v>
      </c>
      <c r="N7446" t="s">
        <v>27252</v>
      </c>
      <c r="Q7446" s="1">
        <v>44538</v>
      </c>
      <c r="R7446" t="s">
        <v>27253</v>
      </c>
      <c r="S7446" t="s">
        <v>27254</v>
      </c>
      <c r="T7446" t="s">
        <v>27255</v>
      </c>
    </row>
    <row r="7447" spans="1:20" x14ac:dyDescent="0.3">
      <c r="A7447" t="str">
        <f>"0611836218025"</f>
        <v>0611836218025</v>
      </c>
      <c r="B7447" t="str">
        <f>"MC4352"</f>
        <v>MC4352</v>
      </c>
      <c r="C7447" t="s">
        <v>41677</v>
      </c>
      <c r="D7447" t="s">
        <v>27267</v>
      </c>
      <c r="E7447" t="str">
        <f t="shared" si="116"/>
        <v>001390</v>
      </c>
      <c r="F7447" t="s">
        <v>27246</v>
      </c>
      <c r="G7447" t="s">
        <v>27247</v>
      </c>
      <c r="H7447" t="s">
        <v>27248</v>
      </c>
      <c r="I7447" t="s">
        <v>41678</v>
      </c>
      <c r="J7447" t="s">
        <v>14799</v>
      </c>
      <c r="L7447" t="s">
        <v>27250</v>
      </c>
      <c r="M7447" t="s">
        <v>27251</v>
      </c>
      <c r="N7447" t="s">
        <v>27252</v>
      </c>
      <c r="Q7447" s="1">
        <v>44538</v>
      </c>
      <c r="R7447" t="s">
        <v>27253</v>
      </c>
      <c r="S7447" t="s">
        <v>27254</v>
      </c>
      <c r="T7447" t="s">
        <v>27269</v>
      </c>
    </row>
    <row r="7448" spans="1:20" x14ac:dyDescent="0.3">
      <c r="A7448" t="str">
        <f>"0611836219025"</f>
        <v>0611836219025</v>
      </c>
      <c r="B7448" t="str">
        <f>"MC4353"</f>
        <v>MC4353</v>
      </c>
      <c r="C7448" t="s">
        <v>41679</v>
      </c>
      <c r="D7448" t="s">
        <v>27267</v>
      </c>
      <c r="E7448" t="str">
        <f t="shared" si="116"/>
        <v>001390</v>
      </c>
      <c r="F7448" t="s">
        <v>27246</v>
      </c>
      <c r="G7448" t="s">
        <v>27247</v>
      </c>
      <c r="H7448" t="s">
        <v>27248</v>
      </c>
      <c r="I7448" t="s">
        <v>41680</v>
      </c>
      <c r="J7448" t="s">
        <v>14801</v>
      </c>
      <c r="L7448" t="s">
        <v>27250</v>
      </c>
      <c r="M7448" t="s">
        <v>27251</v>
      </c>
      <c r="N7448" t="s">
        <v>27252</v>
      </c>
      <c r="Q7448" s="1">
        <v>44538</v>
      </c>
      <c r="R7448" t="s">
        <v>27253</v>
      </c>
      <c r="S7448" t="s">
        <v>27254</v>
      </c>
      <c r="T7448" t="s">
        <v>27269</v>
      </c>
    </row>
    <row r="7449" spans="1:20" x14ac:dyDescent="0.3">
      <c r="A7449" t="str">
        <f>"0611836220025"</f>
        <v>0611836220025</v>
      </c>
      <c r="B7449" t="str">
        <f>"MC4048"</f>
        <v>MC4048</v>
      </c>
      <c r="C7449" t="s">
        <v>41681</v>
      </c>
      <c r="D7449" t="s">
        <v>27267</v>
      </c>
      <c r="E7449" t="str">
        <f t="shared" si="116"/>
        <v>001390</v>
      </c>
      <c r="F7449" t="s">
        <v>27246</v>
      </c>
      <c r="G7449" t="s">
        <v>27247</v>
      </c>
      <c r="H7449" t="s">
        <v>27248</v>
      </c>
      <c r="I7449" t="s">
        <v>41682</v>
      </c>
      <c r="J7449" t="s">
        <v>14803</v>
      </c>
      <c r="L7449" t="s">
        <v>27250</v>
      </c>
      <c r="M7449" t="s">
        <v>27251</v>
      </c>
      <c r="N7449" t="s">
        <v>27252</v>
      </c>
      <c r="Q7449" s="1">
        <v>44538</v>
      </c>
      <c r="R7449" t="s">
        <v>27253</v>
      </c>
      <c r="S7449" t="s">
        <v>27254</v>
      </c>
      <c r="T7449" t="s">
        <v>27269</v>
      </c>
    </row>
    <row r="7450" spans="1:20" x14ac:dyDescent="0.3">
      <c r="A7450" t="str">
        <f>"0611836221025"</f>
        <v>0611836221025</v>
      </c>
      <c r="B7450" t="str">
        <f>"MC4393"</f>
        <v>MC4393</v>
      </c>
      <c r="C7450" t="s">
        <v>41683</v>
      </c>
      <c r="D7450" t="s">
        <v>27267</v>
      </c>
      <c r="E7450" t="str">
        <f t="shared" si="116"/>
        <v>001390</v>
      </c>
      <c r="F7450" t="s">
        <v>27246</v>
      </c>
      <c r="G7450" t="s">
        <v>27247</v>
      </c>
      <c r="H7450" t="s">
        <v>27248</v>
      </c>
      <c r="I7450" t="s">
        <v>41684</v>
      </c>
      <c r="J7450" t="s">
        <v>14805</v>
      </c>
      <c r="L7450" t="s">
        <v>27250</v>
      </c>
      <c r="M7450" t="s">
        <v>27251</v>
      </c>
      <c r="N7450" t="s">
        <v>27252</v>
      </c>
      <c r="Q7450" s="1">
        <v>44538</v>
      </c>
      <c r="R7450" t="s">
        <v>27253</v>
      </c>
      <c r="S7450" t="s">
        <v>27254</v>
      </c>
      <c r="T7450" t="s">
        <v>27269</v>
      </c>
    </row>
    <row r="7451" spans="1:20" x14ac:dyDescent="0.3">
      <c r="A7451" t="str">
        <f>"0611836222025"</f>
        <v>0611836222025</v>
      </c>
      <c r="B7451" t="str">
        <f>"MC4354"</f>
        <v>MC4354</v>
      </c>
      <c r="C7451" t="s">
        <v>41685</v>
      </c>
      <c r="D7451" t="s">
        <v>27267</v>
      </c>
      <c r="E7451" t="str">
        <f t="shared" si="116"/>
        <v>001390</v>
      </c>
      <c r="F7451" t="s">
        <v>27246</v>
      </c>
      <c r="G7451" t="s">
        <v>27247</v>
      </c>
      <c r="H7451" t="s">
        <v>27248</v>
      </c>
      <c r="I7451" t="s">
        <v>41686</v>
      </c>
      <c r="J7451" t="s">
        <v>14807</v>
      </c>
      <c r="L7451" t="s">
        <v>27250</v>
      </c>
      <c r="M7451" t="s">
        <v>27251</v>
      </c>
      <c r="N7451" t="s">
        <v>27252</v>
      </c>
      <c r="Q7451" s="1">
        <v>44538</v>
      </c>
      <c r="R7451" t="s">
        <v>27253</v>
      </c>
      <c r="S7451" t="s">
        <v>27254</v>
      </c>
      <c r="T7451" t="s">
        <v>27269</v>
      </c>
    </row>
    <row r="7452" spans="1:20" x14ac:dyDescent="0.3">
      <c r="A7452" t="str">
        <f>"0611836223025"</f>
        <v>0611836223025</v>
      </c>
      <c r="B7452" t="str">
        <f>"MC3924"</f>
        <v>MC3924</v>
      </c>
      <c r="C7452" t="s">
        <v>41687</v>
      </c>
      <c r="D7452" t="s">
        <v>27267</v>
      </c>
      <c r="E7452" t="str">
        <f t="shared" si="116"/>
        <v>001390</v>
      </c>
      <c r="F7452" t="s">
        <v>27246</v>
      </c>
      <c r="G7452" t="s">
        <v>27247</v>
      </c>
      <c r="H7452" t="s">
        <v>27248</v>
      </c>
      <c r="I7452" t="s">
        <v>41688</v>
      </c>
      <c r="J7452" t="s">
        <v>14809</v>
      </c>
      <c r="L7452" t="s">
        <v>27250</v>
      </c>
      <c r="M7452" t="s">
        <v>27251</v>
      </c>
      <c r="N7452" t="s">
        <v>27252</v>
      </c>
      <c r="Q7452" s="1">
        <v>44538</v>
      </c>
      <c r="R7452" t="s">
        <v>27253</v>
      </c>
      <c r="S7452" t="s">
        <v>27254</v>
      </c>
      <c r="T7452" t="s">
        <v>27269</v>
      </c>
    </row>
    <row r="7453" spans="1:20" x14ac:dyDescent="0.3">
      <c r="A7453" t="str">
        <f>"0611863250050"</f>
        <v>0611863250050</v>
      </c>
      <c r="B7453" t="str">
        <f>"CR3305"</f>
        <v>CR3305</v>
      </c>
      <c r="C7453" t="s">
        <v>41689</v>
      </c>
      <c r="D7453" t="s">
        <v>27263</v>
      </c>
      <c r="E7453" t="str">
        <f t="shared" si="116"/>
        <v>001390</v>
      </c>
      <c r="F7453" t="s">
        <v>27246</v>
      </c>
      <c r="G7453" t="s">
        <v>27247</v>
      </c>
      <c r="H7453" t="s">
        <v>27248</v>
      </c>
      <c r="I7453" t="s">
        <v>41690</v>
      </c>
      <c r="J7453" t="s">
        <v>14793</v>
      </c>
      <c r="L7453" t="s">
        <v>27250</v>
      </c>
      <c r="M7453" t="s">
        <v>27251</v>
      </c>
      <c r="N7453" t="s">
        <v>27252</v>
      </c>
      <c r="Q7453" s="1">
        <v>44846</v>
      </c>
      <c r="R7453" t="s">
        <v>27253</v>
      </c>
      <c r="S7453" t="s">
        <v>27254</v>
      </c>
      <c r="T7453" t="s">
        <v>27265</v>
      </c>
    </row>
    <row r="7454" spans="1:20" x14ac:dyDescent="0.3">
      <c r="A7454" t="str">
        <f>"0611863251050"</f>
        <v>0611863251050</v>
      </c>
      <c r="B7454" t="str">
        <f>"CE0458"</f>
        <v>CE0458</v>
      </c>
      <c r="C7454" t="s">
        <v>41691</v>
      </c>
      <c r="D7454" t="s">
        <v>27923</v>
      </c>
      <c r="E7454" t="str">
        <f t="shared" si="116"/>
        <v>001390</v>
      </c>
      <c r="F7454" t="s">
        <v>27246</v>
      </c>
      <c r="G7454" t="s">
        <v>27247</v>
      </c>
      <c r="H7454" t="s">
        <v>27248</v>
      </c>
      <c r="I7454" t="s">
        <v>41692</v>
      </c>
      <c r="J7454" t="s">
        <v>14811</v>
      </c>
      <c r="L7454" t="s">
        <v>27250</v>
      </c>
      <c r="M7454" t="s">
        <v>27251</v>
      </c>
      <c r="N7454" t="s">
        <v>27252</v>
      </c>
      <c r="P7454" t="s">
        <v>27925</v>
      </c>
      <c r="Q7454" s="1">
        <v>44846</v>
      </c>
      <c r="R7454" t="s">
        <v>27253</v>
      </c>
      <c r="S7454" t="s">
        <v>27254</v>
      </c>
      <c r="T7454" t="s">
        <v>27265</v>
      </c>
    </row>
    <row r="7455" spans="1:20" x14ac:dyDescent="0.3">
      <c r="A7455" t="str">
        <f>"0611863252050"</f>
        <v>0611863252050</v>
      </c>
      <c r="B7455" t="str">
        <f>"CE1357"</f>
        <v>CE1357</v>
      </c>
      <c r="C7455" t="s">
        <v>41693</v>
      </c>
      <c r="D7455" t="s">
        <v>27923</v>
      </c>
      <c r="E7455" t="str">
        <f t="shared" si="116"/>
        <v>001390</v>
      </c>
      <c r="F7455" t="s">
        <v>27246</v>
      </c>
      <c r="G7455" t="s">
        <v>27247</v>
      </c>
      <c r="H7455" t="s">
        <v>27248</v>
      </c>
      <c r="I7455" t="s">
        <v>41694</v>
      </c>
      <c r="J7455" t="s">
        <v>14813</v>
      </c>
      <c r="L7455" t="s">
        <v>27250</v>
      </c>
      <c r="M7455" t="s">
        <v>27251</v>
      </c>
      <c r="N7455" t="s">
        <v>27252</v>
      </c>
      <c r="P7455" t="s">
        <v>27925</v>
      </c>
      <c r="Q7455" s="1">
        <v>44846</v>
      </c>
      <c r="R7455" t="s">
        <v>27253</v>
      </c>
      <c r="S7455" t="s">
        <v>27254</v>
      </c>
      <c r="T7455" t="s">
        <v>27265</v>
      </c>
    </row>
    <row r="7456" spans="1:20" x14ac:dyDescent="0.3">
      <c r="A7456" t="str">
        <f>"0611863253050"</f>
        <v>0611863253050</v>
      </c>
      <c r="B7456" t="str">
        <f>"CE1420"</f>
        <v>CE1420</v>
      </c>
      <c r="C7456" t="s">
        <v>41695</v>
      </c>
      <c r="D7456" t="s">
        <v>27923</v>
      </c>
      <c r="E7456" t="str">
        <f t="shared" si="116"/>
        <v>001390</v>
      </c>
      <c r="F7456" t="s">
        <v>27246</v>
      </c>
      <c r="G7456" t="s">
        <v>27247</v>
      </c>
      <c r="H7456" t="s">
        <v>27248</v>
      </c>
      <c r="I7456" t="s">
        <v>41696</v>
      </c>
      <c r="J7456" t="s">
        <v>14815</v>
      </c>
      <c r="L7456" t="s">
        <v>27250</v>
      </c>
      <c r="M7456" t="s">
        <v>27251</v>
      </c>
      <c r="N7456" t="s">
        <v>27252</v>
      </c>
      <c r="O7456">
        <v>300</v>
      </c>
      <c r="P7456" t="s">
        <v>27925</v>
      </c>
      <c r="Q7456" s="1">
        <v>44846</v>
      </c>
      <c r="R7456" t="s">
        <v>27253</v>
      </c>
      <c r="S7456" t="s">
        <v>27254</v>
      </c>
      <c r="T7456" t="s">
        <v>27265</v>
      </c>
    </row>
    <row r="7457" spans="1:20" x14ac:dyDescent="0.3">
      <c r="A7457" t="str">
        <f>"0611884298050"</f>
        <v>0611884298050</v>
      </c>
      <c r="B7457" t="str">
        <f>"CE1750"</f>
        <v>CE1750</v>
      </c>
      <c r="C7457" t="s">
        <v>41697</v>
      </c>
      <c r="D7457" t="s">
        <v>27923</v>
      </c>
      <c r="E7457" t="str">
        <f t="shared" si="116"/>
        <v>001390</v>
      </c>
      <c r="F7457" t="s">
        <v>27246</v>
      </c>
      <c r="G7457" t="s">
        <v>27247</v>
      </c>
      <c r="H7457" t="s">
        <v>27248</v>
      </c>
      <c r="I7457" t="s">
        <v>41698</v>
      </c>
      <c r="J7457" t="s">
        <v>14817</v>
      </c>
      <c r="L7457" t="s">
        <v>27430</v>
      </c>
      <c r="M7457" t="s">
        <v>27251</v>
      </c>
      <c r="N7457" t="s">
        <v>27252</v>
      </c>
      <c r="P7457" t="s">
        <v>27925</v>
      </c>
      <c r="Q7457" s="1">
        <v>45250</v>
      </c>
      <c r="R7457" t="s">
        <v>27253</v>
      </c>
      <c r="S7457" t="s">
        <v>27254</v>
      </c>
      <c r="T7457" t="s">
        <v>27265</v>
      </c>
    </row>
    <row r="7458" spans="1:20" x14ac:dyDescent="0.3">
      <c r="A7458" t="str">
        <f>"0611863254050"</f>
        <v>0611863254050</v>
      </c>
      <c r="B7458" t="str">
        <f>"CE1421"</f>
        <v>CE1421</v>
      </c>
      <c r="C7458" t="s">
        <v>41699</v>
      </c>
      <c r="D7458" t="s">
        <v>27923</v>
      </c>
      <c r="E7458" t="str">
        <f t="shared" si="116"/>
        <v>001390</v>
      </c>
      <c r="F7458" t="s">
        <v>27246</v>
      </c>
      <c r="G7458" t="s">
        <v>27247</v>
      </c>
      <c r="H7458" t="s">
        <v>27248</v>
      </c>
      <c r="I7458" t="s">
        <v>41700</v>
      </c>
      <c r="J7458" t="s">
        <v>14819</v>
      </c>
      <c r="L7458" t="s">
        <v>27250</v>
      </c>
      <c r="M7458" t="s">
        <v>27251</v>
      </c>
      <c r="N7458" t="s">
        <v>27252</v>
      </c>
      <c r="P7458" t="s">
        <v>27925</v>
      </c>
      <c r="Q7458" s="1">
        <v>44846</v>
      </c>
      <c r="R7458" t="s">
        <v>27253</v>
      </c>
      <c r="S7458" t="s">
        <v>27254</v>
      </c>
      <c r="T7458" t="s">
        <v>27265</v>
      </c>
    </row>
    <row r="7459" spans="1:20" x14ac:dyDescent="0.3">
      <c r="A7459" t="str">
        <f>"0611863255050"</f>
        <v>0611863255050</v>
      </c>
      <c r="B7459" t="str">
        <f>"CE0464"</f>
        <v>CE0464</v>
      </c>
      <c r="C7459" t="s">
        <v>41701</v>
      </c>
      <c r="D7459" t="s">
        <v>27923</v>
      </c>
      <c r="E7459" t="str">
        <f t="shared" si="116"/>
        <v>001390</v>
      </c>
      <c r="F7459" t="s">
        <v>27246</v>
      </c>
      <c r="G7459" t="s">
        <v>27247</v>
      </c>
      <c r="H7459" t="s">
        <v>27248</v>
      </c>
      <c r="I7459" t="s">
        <v>41702</v>
      </c>
      <c r="J7459" t="s">
        <v>14821</v>
      </c>
      <c r="L7459" t="s">
        <v>27250</v>
      </c>
      <c r="M7459" t="s">
        <v>27251</v>
      </c>
      <c r="N7459" t="s">
        <v>27252</v>
      </c>
      <c r="P7459" t="s">
        <v>27925</v>
      </c>
      <c r="Q7459" s="1">
        <v>44846</v>
      </c>
      <c r="R7459" t="s">
        <v>27253</v>
      </c>
      <c r="S7459" t="s">
        <v>27254</v>
      </c>
      <c r="T7459" t="s">
        <v>27265</v>
      </c>
    </row>
    <row r="7460" spans="1:20" x14ac:dyDescent="0.3">
      <c r="A7460" t="str">
        <f>"0611863256050"</f>
        <v>0611863256050</v>
      </c>
      <c r="B7460" t="str">
        <f>"CE0460"</f>
        <v>CE0460</v>
      </c>
      <c r="C7460" t="s">
        <v>41703</v>
      </c>
      <c r="D7460" t="s">
        <v>27923</v>
      </c>
      <c r="E7460" t="str">
        <f t="shared" si="116"/>
        <v>001390</v>
      </c>
      <c r="F7460" t="s">
        <v>27246</v>
      </c>
      <c r="G7460" t="s">
        <v>27247</v>
      </c>
      <c r="H7460" t="s">
        <v>27248</v>
      </c>
      <c r="I7460" t="s">
        <v>41704</v>
      </c>
      <c r="J7460" t="s">
        <v>14823</v>
      </c>
      <c r="L7460" t="s">
        <v>27250</v>
      </c>
      <c r="M7460" t="s">
        <v>27251</v>
      </c>
      <c r="N7460" t="s">
        <v>27252</v>
      </c>
      <c r="P7460" t="s">
        <v>27925</v>
      </c>
      <c r="Q7460" s="1">
        <v>44846</v>
      </c>
      <c r="R7460" t="s">
        <v>27253</v>
      </c>
      <c r="S7460" t="s">
        <v>27254</v>
      </c>
      <c r="T7460" t="s">
        <v>27265</v>
      </c>
    </row>
    <row r="7461" spans="1:20" x14ac:dyDescent="0.3">
      <c r="A7461" t="str">
        <f>"0611863257050"</f>
        <v>0611863257050</v>
      </c>
      <c r="B7461" t="str">
        <f>"CE0827"</f>
        <v>CE0827</v>
      </c>
      <c r="C7461" t="s">
        <v>41705</v>
      </c>
      <c r="D7461" t="s">
        <v>27923</v>
      </c>
      <c r="E7461" t="str">
        <f t="shared" si="116"/>
        <v>001390</v>
      </c>
      <c r="F7461" t="s">
        <v>27246</v>
      </c>
      <c r="G7461" t="s">
        <v>27247</v>
      </c>
      <c r="H7461" t="s">
        <v>27248</v>
      </c>
      <c r="I7461" t="s">
        <v>41706</v>
      </c>
      <c r="J7461" t="s">
        <v>14825</v>
      </c>
      <c r="L7461" t="s">
        <v>27250</v>
      </c>
      <c r="M7461" t="s">
        <v>27251</v>
      </c>
      <c r="N7461" t="s">
        <v>27252</v>
      </c>
      <c r="P7461" t="s">
        <v>27925</v>
      </c>
      <c r="Q7461" s="1">
        <v>44846</v>
      </c>
      <c r="R7461" t="s">
        <v>27253</v>
      </c>
      <c r="S7461" t="s">
        <v>27254</v>
      </c>
      <c r="T7461" t="s">
        <v>27265</v>
      </c>
    </row>
    <row r="7462" spans="1:20" x14ac:dyDescent="0.3">
      <c r="A7462" t="str">
        <f>"0611863258050"</f>
        <v>0611863258050</v>
      </c>
      <c r="B7462" t="str">
        <f>"CE1358"</f>
        <v>CE1358</v>
      </c>
      <c r="C7462" t="s">
        <v>41707</v>
      </c>
      <c r="D7462" t="s">
        <v>27923</v>
      </c>
      <c r="E7462" t="str">
        <f t="shared" si="116"/>
        <v>001390</v>
      </c>
      <c r="F7462" t="s">
        <v>27246</v>
      </c>
      <c r="G7462" t="s">
        <v>27247</v>
      </c>
      <c r="H7462" t="s">
        <v>27248</v>
      </c>
      <c r="I7462" t="s">
        <v>41708</v>
      </c>
      <c r="J7462" t="s">
        <v>14827</v>
      </c>
      <c r="L7462" t="s">
        <v>27250</v>
      </c>
      <c r="M7462" t="s">
        <v>27251</v>
      </c>
      <c r="N7462" t="s">
        <v>27252</v>
      </c>
      <c r="P7462" t="s">
        <v>27925</v>
      </c>
      <c r="Q7462" s="1">
        <v>44846</v>
      </c>
      <c r="R7462" t="s">
        <v>27253</v>
      </c>
      <c r="S7462" t="s">
        <v>27254</v>
      </c>
      <c r="T7462" t="s">
        <v>27265</v>
      </c>
    </row>
    <row r="7463" spans="1:20" x14ac:dyDescent="0.3">
      <c r="A7463" t="str">
        <f>"0611863259050"</f>
        <v>0611863259050</v>
      </c>
      <c r="B7463" t="str">
        <f>"CE0465"</f>
        <v>CE0465</v>
      </c>
      <c r="C7463" t="s">
        <v>41709</v>
      </c>
      <c r="D7463" t="s">
        <v>27923</v>
      </c>
      <c r="E7463" t="str">
        <f t="shared" si="116"/>
        <v>001390</v>
      </c>
      <c r="F7463" t="s">
        <v>27246</v>
      </c>
      <c r="G7463" t="s">
        <v>27247</v>
      </c>
      <c r="H7463" t="s">
        <v>27248</v>
      </c>
      <c r="I7463" t="s">
        <v>41710</v>
      </c>
      <c r="J7463" t="s">
        <v>14829</v>
      </c>
      <c r="L7463" t="s">
        <v>27250</v>
      </c>
      <c r="M7463" t="s">
        <v>27251</v>
      </c>
      <c r="N7463" t="s">
        <v>27252</v>
      </c>
      <c r="P7463" t="s">
        <v>27925</v>
      </c>
      <c r="Q7463" s="1">
        <v>44846</v>
      </c>
      <c r="R7463" t="s">
        <v>27253</v>
      </c>
      <c r="S7463" t="s">
        <v>27254</v>
      </c>
      <c r="T7463" t="s">
        <v>27265</v>
      </c>
    </row>
    <row r="7464" spans="1:20" x14ac:dyDescent="0.3">
      <c r="A7464" t="str">
        <f>"0611863260050"</f>
        <v>0611863260050</v>
      </c>
      <c r="B7464" t="str">
        <f>"CE1359"</f>
        <v>CE1359</v>
      </c>
      <c r="C7464" t="s">
        <v>41711</v>
      </c>
      <c r="D7464" t="s">
        <v>27923</v>
      </c>
      <c r="E7464" t="str">
        <f t="shared" si="116"/>
        <v>001390</v>
      </c>
      <c r="F7464" t="s">
        <v>27246</v>
      </c>
      <c r="G7464" t="s">
        <v>27247</v>
      </c>
      <c r="H7464" t="s">
        <v>27248</v>
      </c>
      <c r="I7464" t="s">
        <v>41712</v>
      </c>
      <c r="J7464" t="s">
        <v>14831</v>
      </c>
      <c r="L7464" t="s">
        <v>27250</v>
      </c>
      <c r="M7464" t="s">
        <v>27251</v>
      </c>
      <c r="N7464" t="s">
        <v>27252</v>
      </c>
      <c r="P7464" t="s">
        <v>27925</v>
      </c>
      <c r="Q7464" s="1">
        <v>44846</v>
      </c>
      <c r="R7464" t="s">
        <v>27253</v>
      </c>
      <c r="S7464" t="s">
        <v>27254</v>
      </c>
      <c r="T7464" t="s">
        <v>27265</v>
      </c>
    </row>
    <row r="7465" spans="1:20" x14ac:dyDescent="0.3">
      <c r="A7465" t="str">
        <f>"0611863261050"</f>
        <v>0611863261050</v>
      </c>
      <c r="B7465" t="str">
        <f>"CE0469"</f>
        <v>CE0469</v>
      </c>
      <c r="C7465" t="s">
        <v>41713</v>
      </c>
      <c r="D7465" t="s">
        <v>27923</v>
      </c>
      <c r="E7465" t="str">
        <f t="shared" si="116"/>
        <v>001390</v>
      </c>
      <c r="F7465" t="s">
        <v>27246</v>
      </c>
      <c r="G7465" t="s">
        <v>27247</v>
      </c>
      <c r="H7465" t="s">
        <v>27248</v>
      </c>
      <c r="I7465" t="s">
        <v>41714</v>
      </c>
      <c r="J7465" t="s">
        <v>14833</v>
      </c>
      <c r="L7465" t="s">
        <v>27250</v>
      </c>
      <c r="M7465" t="s">
        <v>27251</v>
      </c>
      <c r="N7465" t="s">
        <v>27252</v>
      </c>
      <c r="P7465" t="s">
        <v>27925</v>
      </c>
      <c r="Q7465" s="1">
        <v>44846</v>
      </c>
      <c r="R7465" t="s">
        <v>27253</v>
      </c>
      <c r="S7465" t="s">
        <v>27254</v>
      </c>
      <c r="T7465" t="s">
        <v>27265</v>
      </c>
    </row>
    <row r="7466" spans="1:20" x14ac:dyDescent="0.3">
      <c r="A7466" t="str">
        <f>"0611863262050"</f>
        <v>0611863262050</v>
      </c>
      <c r="B7466" t="str">
        <f>"CE1234"</f>
        <v>CE1234</v>
      </c>
      <c r="C7466" t="s">
        <v>41715</v>
      </c>
      <c r="D7466" t="s">
        <v>27923</v>
      </c>
      <c r="E7466" t="str">
        <f t="shared" si="116"/>
        <v>001390</v>
      </c>
      <c r="F7466" t="s">
        <v>27246</v>
      </c>
      <c r="G7466" t="s">
        <v>27247</v>
      </c>
      <c r="H7466" t="s">
        <v>27248</v>
      </c>
      <c r="I7466" t="s">
        <v>41716</v>
      </c>
      <c r="J7466" t="s">
        <v>14835</v>
      </c>
      <c r="L7466" t="s">
        <v>27250</v>
      </c>
      <c r="M7466" t="s">
        <v>27251</v>
      </c>
      <c r="N7466" t="s">
        <v>27252</v>
      </c>
      <c r="P7466" t="s">
        <v>27925</v>
      </c>
      <c r="Q7466" s="1">
        <v>44846</v>
      </c>
      <c r="R7466" t="s">
        <v>27253</v>
      </c>
      <c r="S7466" t="s">
        <v>27254</v>
      </c>
      <c r="T7466" t="s">
        <v>27265</v>
      </c>
    </row>
    <row r="7467" spans="1:20" x14ac:dyDescent="0.3">
      <c r="A7467" t="str">
        <f>"0611863263050"</f>
        <v>0611863263050</v>
      </c>
      <c r="B7467" t="str">
        <f>"CE0470"</f>
        <v>CE0470</v>
      </c>
      <c r="C7467" t="s">
        <v>41717</v>
      </c>
      <c r="D7467" t="s">
        <v>28556</v>
      </c>
      <c r="E7467" t="str">
        <f t="shared" si="116"/>
        <v>001390</v>
      </c>
      <c r="F7467" t="s">
        <v>27246</v>
      </c>
      <c r="G7467" t="s">
        <v>27247</v>
      </c>
      <c r="H7467" t="s">
        <v>27248</v>
      </c>
      <c r="I7467" t="s">
        <v>41718</v>
      </c>
      <c r="J7467" t="s">
        <v>14837</v>
      </c>
      <c r="L7467" t="s">
        <v>27250</v>
      </c>
      <c r="M7467" t="s">
        <v>27251</v>
      </c>
      <c r="N7467" t="s">
        <v>27252</v>
      </c>
      <c r="P7467" t="s">
        <v>27925</v>
      </c>
      <c r="Q7467" s="1">
        <v>44846</v>
      </c>
      <c r="R7467" t="s">
        <v>27253</v>
      </c>
      <c r="S7467" t="s">
        <v>27254</v>
      </c>
      <c r="T7467" t="s">
        <v>28378</v>
      </c>
    </row>
    <row r="7468" spans="1:20" x14ac:dyDescent="0.3">
      <c r="A7468" t="str">
        <f>"0611863264050"</f>
        <v>0611863264050</v>
      </c>
      <c r="B7468" t="str">
        <f>"CE1098"</f>
        <v>CE1098</v>
      </c>
      <c r="C7468" t="s">
        <v>41719</v>
      </c>
      <c r="D7468" t="s">
        <v>27923</v>
      </c>
      <c r="E7468" t="str">
        <f t="shared" si="116"/>
        <v>001390</v>
      </c>
      <c r="F7468" t="s">
        <v>27246</v>
      </c>
      <c r="G7468" t="s">
        <v>27247</v>
      </c>
      <c r="H7468" t="s">
        <v>27248</v>
      </c>
      <c r="I7468" t="s">
        <v>41720</v>
      </c>
      <c r="J7468" t="s">
        <v>14839</v>
      </c>
      <c r="L7468" t="s">
        <v>27250</v>
      </c>
      <c r="M7468" t="s">
        <v>27251</v>
      </c>
      <c r="N7468" t="s">
        <v>27252</v>
      </c>
      <c r="P7468" t="s">
        <v>27925</v>
      </c>
      <c r="Q7468" s="1">
        <v>44846</v>
      </c>
      <c r="R7468" t="s">
        <v>27253</v>
      </c>
      <c r="S7468" t="s">
        <v>27254</v>
      </c>
      <c r="T7468" t="s">
        <v>27265</v>
      </c>
    </row>
    <row r="7469" spans="1:20" x14ac:dyDescent="0.3">
      <c r="A7469" t="str">
        <f>"0611863265050"</f>
        <v>0611863265050</v>
      </c>
      <c r="B7469" t="str">
        <f>"CE0471"</f>
        <v>CE0471</v>
      </c>
      <c r="C7469" t="s">
        <v>41721</v>
      </c>
      <c r="D7469" t="s">
        <v>27923</v>
      </c>
      <c r="E7469" t="str">
        <f t="shared" si="116"/>
        <v>001390</v>
      </c>
      <c r="F7469" t="s">
        <v>27246</v>
      </c>
      <c r="G7469" t="s">
        <v>27247</v>
      </c>
      <c r="H7469" t="s">
        <v>27248</v>
      </c>
      <c r="I7469" t="s">
        <v>41722</v>
      </c>
      <c r="J7469" t="s">
        <v>14841</v>
      </c>
      <c r="L7469" t="s">
        <v>27250</v>
      </c>
      <c r="M7469" t="s">
        <v>27251</v>
      </c>
      <c r="N7469" t="s">
        <v>27252</v>
      </c>
      <c r="P7469" t="s">
        <v>27925</v>
      </c>
      <c r="Q7469" s="1">
        <v>44846</v>
      </c>
      <c r="R7469" t="s">
        <v>27253</v>
      </c>
      <c r="S7469" t="s">
        <v>27254</v>
      </c>
      <c r="T7469" t="s">
        <v>27265</v>
      </c>
    </row>
    <row r="7470" spans="1:20" x14ac:dyDescent="0.3">
      <c r="A7470" t="str">
        <f>"0611863266050"</f>
        <v>0611863266050</v>
      </c>
      <c r="B7470" t="str">
        <f>"CE0875"</f>
        <v>CE0875</v>
      </c>
      <c r="C7470" t="s">
        <v>41723</v>
      </c>
      <c r="D7470" t="s">
        <v>27923</v>
      </c>
      <c r="E7470" t="str">
        <f t="shared" si="116"/>
        <v>001390</v>
      </c>
      <c r="F7470" t="s">
        <v>27246</v>
      </c>
      <c r="G7470" t="s">
        <v>27247</v>
      </c>
      <c r="H7470" t="s">
        <v>27248</v>
      </c>
      <c r="I7470" t="s">
        <v>41724</v>
      </c>
      <c r="J7470" t="s">
        <v>14843</v>
      </c>
      <c r="L7470" t="s">
        <v>27250</v>
      </c>
      <c r="M7470" t="s">
        <v>27251</v>
      </c>
      <c r="N7470" t="s">
        <v>27252</v>
      </c>
      <c r="P7470" t="s">
        <v>27925</v>
      </c>
      <c r="Q7470" s="1">
        <v>44846</v>
      </c>
      <c r="R7470" t="s">
        <v>27253</v>
      </c>
      <c r="S7470" t="s">
        <v>27254</v>
      </c>
      <c r="T7470" t="s">
        <v>27265</v>
      </c>
    </row>
    <row r="7471" spans="1:20" x14ac:dyDescent="0.3">
      <c r="A7471" t="str">
        <f>"0611863267050"</f>
        <v>0611863267050</v>
      </c>
      <c r="B7471" t="str">
        <f>"CE0466"</f>
        <v>CE0466</v>
      </c>
      <c r="C7471" t="s">
        <v>41725</v>
      </c>
      <c r="D7471" t="s">
        <v>27923</v>
      </c>
      <c r="E7471" t="str">
        <f t="shared" si="116"/>
        <v>001390</v>
      </c>
      <c r="F7471" t="s">
        <v>27246</v>
      </c>
      <c r="G7471" t="s">
        <v>27247</v>
      </c>
      <c r="H7471" t="s">
        <v>27248</v>
      </c>
      <c r="I7471" t="s">
        <v>41726</v>
      </c>
      <c r="J7471" t="s">
        <v>14845</v>
      </c>
      <c r="L7471" t="s">
        <v>27250</v>
      </c>
      <c r="M7471" t="s">
        <v>27251</v>
      </c>
      <c r="N7471" t="s">
        <v>27252</v>
      </c>
      <c r="P7471" t="s">
        <v>27925</v>
      </c>
      <c r="Q7471" s="1">
        <v>44846</v>
      </c>
      <c r="R7471" t="s">
        <v>27253</v>
      </c>
      <c r="S7471" t="s">
        <v>27254</v>
      </c>
      <c r="T7471" t="s">
        <v>27265</v>
      </c>
    </row>
    <row r="7472" spans="1:20" x14ac:dyDescent="0.3">
      <c r="A7472" t="str">
        <f>"0611863268050"</f>
        <v>0611863268050</v>
      </c>
      <c r="B7472" t="str">
        <f>"CE0467"</f>
        <v>CE0467</v>
      </c>
      <c r="C7472" t="s">
        <v>41727</v>
      </c>
      <c r="D7472" t="s">
        <v>28556</v>
      </c>
      <c r="E7472" t="str">
        <f t="shared" si="116"/>
        <v>001390</v>
      </c>
      <c r="F7472" t="s">
        <v>27246</v>
      </c>
      <c r="G7472" t="s">
        <v>27247</v>
      </c>
      <c r="H7472" t="s">
        <v>27248</v>
      </c>
      <c r="I7472" t="s">
        <v>41728</v>
      </c>
      <c r="J7472" t="s">
        <v>14847</v>
      </c>
      <c r="L7472" t="s">
        <v>27250</v>
      </c>
      <c r="M7472" t="s">
        <v>27251</v>
      </c>
      <c r="N7472" t="s">
        <v>27252</v>
      </c>
      <c r="P7472" t="s">
        <v>27925</v>
      </c>
      <c r="Q7472" s="1">
        <v>44846</v>
      </c>
      <c r="R7472" t="s">
        <v>27253</v>
      </c>
      <c r="S7472" t="s">
        <v>27254</v>
      </c>
      <c r="T7472" t="s">
        <v>28378</v>
      </c>
    </row>
    <row r="7473" spans="1:20" x14ac:dyDescent="0.3">
      <c r="A7473" t="str">
        <f>"0611863269050"</f>
        <v>0611863269050</v>
      </c>
      <c r="B7473" t="str">
        <f>"CE1720"</f>
        <v>CE1720</v>
      </c>
      <c r="C7473" t="s">
        <v>41729</v>
      </c>
      <c r="D7473" t="s">
        <v>27923</v>
      </c>
      <c r="E7473" t="str">
        <f t="shared" si="116"/>
        <v>001390</v>
      </c>
      <c r="F7473" t="s">
        <v>27246</v>
      </c>
      <c r="G7473" t="s">
        <v>27247</v>
      </c>
      <c r="H7473" t="s">
        <v>27248</v>
      </c>
      <c r="I7473" t="s">
        <v>41730</v>
      </c>
      <c r="J7473" t="s">
        <v>14851</v>
      </c>
      <c r="L7473" t="s">
        <v>27250</v>
      </c>
      <c r="M7473" t="s">
        <v>27251</v>
      </c>
      <c r="N7473" t="s">
        <v>27252</v>
      </c>
      <c r="O7473">
        <v>50</v>
      </c>
      <c r="P7473" t="s">
        <v>27925</v>
      </c>
      <c r="Q7473" s="1">
        <v>44846</v>
      </c>
      <c r="R7473" t="s">
        <v>27253</v>
      </c>
      <c r="S7473" t="s">
        <v>27254</v>
      </c>
      <c r="T7473" t="s">
        <v>27265</v>
      </c>
    </row>
    <row r="7474" spans="1:20" x14ac:dyDescent="0.3">
      <c r="A7474" t="str">
        <f>"0611863270050"</f>
        <v>0611863270050</v>
      </c>
      <c r="B7474" t="str">
        <f>"CE0468"</f>
        <v>CE0468</v>
      </c>
      <c r="C7474" t="s">
        <v>41731</v>
      </c>
      <c r="D7474" t="s">
        <v>27923</v>
      </c>
      <c r="E7474" t="str">
        <f t="shared" si="116"/>
        <v>001390</v>
      </c>
      <c r="F7474" t="s">
        <v>27246</v>
      </c>
      <c r="G7474" t="s">
        <v>27247</v>
      </c>
      <c r="H7474" t="s">
        <v>27248</v>
      </c>
      <c r="I7474" t="s">
        <v>41732</v>
      </c>
      <c r="J7474" t="s">
        <v>14849</v>
      </c>
      <c r="L7474" t="s">
        <v>27250</v>
      </c>
      <c r="M7474" t="s">
        <v>27251</v>
      </c>
      <c r="N7474" t="s">
        <v>27252</v>
      </c>
      <c r="P7474" t="s">
        <v>27925</v>
      </c>
      <c r="Q7474" s="1">
        <v>44846</v>
      </c>
      <c r="R7474" t="s">
        <v>27253</v>
      </c>
      <c r="S7474" t="s">
        <v>27254</v>
      </c>
      <c r="T7474" t="s">
        <v>27265</v>
      </c>
    </row>
    <row r="7475" spans="1:20" x14ac:dyDescent="0.3">
      <c r="A7475" t="str">
        <f>"0611836224100"</f>
        <v>0611836224100</v>
      </c>
      <c r="B7475" t="str">
        <f>"LB4505"</f>
        <v>LB4505</v>
      </c>
      <c r="C7475" t="s">
        <v>41733</v>
      </c>
      <c r="D7475" t="s">
        <v>27245</v>
      </c>
      <c r="E7475" t="str">
        <f t="shared" si="116"/>
        <v>001390</v>
      </c>
      <c r="F7475" t="s">
        <v>27246</v>
      </c>
      <c r="G7475" t="s">
        <v>27247</v>
      </c>
      <c r="H7475" t="s">
        <v>27248</v>
      </c>
      <c r="I7475" t="s">
        <v>41734</v>
      </c>
      <c r="J7475" t="s">
        <v>14853</v>
      </c>
      <c r="L7475" t="s">
        <v>27250</v>
      </c>
      <c r="M7475" t="s">
        <v>27251</v>
      </c>
      <c r="N7475" t="s">
        <v>27252</v>
      </c>
      <c r="Q7475" s="1">
        <v>44538</v>
      </c>
      <c r="R7475" t="s">
        <v>27253</v>
      </c>
      <c r="S7475" t="s">
        <v>27254</v>
      </c>
      <c r="T7475" t="s">
        <v>27255</v>
      </c>
    </row>
    <row r="7476" spans="1:20" x14ac:dyDescent="0.3">
      <c r="A7476" t="str">
        <f>"0611836225100"</f>
        <v>0611836225100</v>
      </c>
      <c r="B7476" t="str">
        <f>"LB4510"</f>
        <v>LB4510</v>
      </c>
      <c r="C7476" t="s">
        <v>41735</v>
      </c>
      <c r="D7476" t="s">
        <v>27245</v>
      </c>
      <c r="E7476" t="str">
        <f t="shared" si="116"/>
        <v>001390</v>
      </c>
      <c r="F7476" t="s">
        <v>27246</v>
      </c>
      <c r="G7476" t="s">
        <v>27247</v>
      </c>
      <c r="H7476" t="s">
        <v>27248</v>
      </c>
      <c r="I7476" t="s">
        <v>41736</v>
      </c>
      <c r="J7476" t="s">
        <v>14855</v>
      </c>
      <c r="L7476" t="s">
        <v>27250</v>
      </c>
      <c r="M7476" t="s">
        <v>27251</v>
      </c>
      <c r="N7476" t="s">
        <v>27252</v>
      </c>
      <c r="Q7476" s="1">
        <v>44538</v>
      </c>
      <c r="R7476" t="s">
        <v>27253</v>
      </c>
      <c r="S7476" t="s">
        <v>27254</v>
      </c>
      <c r="T7476" t="s">
        <v>27255</v>
      </c>
    </row>
    <row r="7477" spans="1:20" x14ac:dyDescent="0.3">
      <c r="A7477" t="str">
        <f>"0611836226025"</f>
        <v>0611836226025</v>
      </c>
      <c r="B7477" t="str">
        <f>"MC3925"</f>
        <v>MC3925</v>
      </c>
      <c r="C7477" t="s">
        <v>41737</v>
      </c>
      <c r="D7477" t="s">
        <v>27267</v>
      </c>
      <c r="E7477" t="str">
        <f t="shared" si="116"/>
        <v>001390</v>
      </c>
      <c r="F7477" t="s">
        <v>27246</v>
      </c>
      <c r="G7477" t="s">
        <v>27247</v>
      </c>
      <c r="H7477" t="s">
        <v>27248</v>
      </c>
      <c r="I7477" t="s">
        <v>41738</v>
      </c>
      <c r="J7477" t="s">
        <v>14857</v>
      </c>
      <c r="L7477" t="s">
        <v>27250</v>
      </c>
      <c r="M7477" t="s">
        <v>27251</v>
      </c>
      <c r="N7477" t="s">
        <v>27252</v>
      </c>
      <c r="Q7477" s="1">
        <v>44538</v>
      </c>
      <c r="R7477" t="s">
        <v>27253</v>
      </c>
      <c r="S7477" t="s">
        <v>27254</v>
      </c>
      <c r="T7477" t="s">
        <v>27269</v>
      </c>
    </row>
    <row r="7478" spans="1:20" x14ac:dyDescent="0.3">
      <c r="A7478" t="str">
        <f>"0611836227100"</f>
        <v>0611836227100</v>
      </c>
      <c r="B7478" t="str">
        <f>"LB4525"</f>
        <v>LB4525</v>
      </c>
      <c r="C7478" t="s">
        <v>41739</v>
      </c>
      <c r="D7478" t="s">
        <v>27245</v>
      </c>
      <c r="E7478" t="str">
        <f t="shared" si="116"/>
        <v>001390</v>
      </c>
      <c r="F7478" t="s">
        <v>27246</v>
      </c>
      <c r="G7478" t="s">
        <v>27247</v>
      </c>
      <c r="H7478" t="s">
        <v>27248</v>
      </c>
      <c r="I7478" t="s">
        <v>41740</v>
      </c>
      <c r="J7478" t="s">
        <v>14859</v>
      </c>
      <c r="L7478" t="s">
        <v>27250</v>
      </c>
      <c r="M7478" t="s">
        <v>27251</v>
      </c>
      <c r="N7478" t="s">
        <v>27252</v>
      </c>
      <c r="Q7478" s="1">
        <v>44538</v>
      </c>
      <c r="R7478" t="s">
        <v>27253</v>
      </c>
      <c r="S7478" t="s">
        <v>27254</v>
      </c>
      <c r="T7478" t="s">
        <v>27255</v>
      </c>
    </row>
    <row r="7479" spans="1:20" x14ac:dyDescent="0.3">
      <c r="A7479" t="str">
        <f>"0611836228100"</f>
        <v>0611836228100</v>
      </c>
      <c r="B7479" t="str">
        <f>"LB4529"</f>
        <v>LB4529</v>
      </c>
      <c r="C7479" t="s">
        <v>41741</v>
      </c>
      <c r="D7479" t="s">
        <v>27245</v>
      </c>
      <c r="E7479" t="str">
        <f t="shared" si="116"/>
        <v>001390</v>
      </c>
      <c r="F7479" t="s">
        <v>27246</v>
      </c>
      <c r="G7479" t="s">
        <v>27247</v>
      </c>
      <c r="H7479" t="s">
        <v>27248</v>
      </c>
      <c r="I7479" t="s">
        <v>41742</v>
      </c>
      <c r="J7479" t="s">
        <v>14861</v>
      </c>
      <c r="L7479" t="s">
        <v>27250</v>
      </c>
      <c r="M7479" t="s">
        <v>27251</v>
      </c>
      <c r="N7479" t="s">
        <v>27252</v>
      </c>
      <c r="Q7479" s="1">
        <v>44538</v>
      </c>
      <c r="R7479" t="s">
        <v>27253</v>
      </c>
      <c r="S7479" t="s">
        <v>27254</v>
      </c>
      <c r="T7479" t="s">
        <v>27255</v>
      </c>
    </row>
    <row r="7480" spans="1:20" x14ac:dyDescent="0.3">
      <c r="A7480" t="str">
        <f>"0611884299025"</f>
        <v>0611884299025</v>
      </c>
      <c r="B7480" t="str">
        <f>"MC4527"</f>
        <v>MC4527</v>
      </c>
      <c r="C7480" t="s">
        <v>41743</v>
      </c>
      <c r="D7480" t="s">
        <v>27267</v>
      </c>
      <c r="E7480" t="str">
        <f t="shared" si="116"/>
        <v>001390</v>
      </c>
      <c r="F7480" t="s">
        <v>27246</v>
      </c>
      <c r="G7480" t="s">
        <v>27247</v>
      </c>
      <c r="H7480" t="s">
        <v>27248</v>
      </c>
      <c r="I7480" t="s">
        <v>41744</v>
      </c>
      <c r="J7480" t="s">
        <v>14863</v>
      </c>
      <c r="L7480" t="s">
        <v>27430</v>
      </c>
      <c r="M7480" t="s">
        <v>27251</v>
      </c>
      <c r="N7480" t="s">
        <v>27252</v>
      </c>
      <c r="Q7480" s="1">
        <v>45250</v>
      </c>
      <c r="R7480" t="s">
        <v>27253</v>
      </c>
      <c r="S7480" t="s">
        <v>27254</v>
      </c>
      <c r="T7480" t="s">
        <v>27269</v>
      </c>
    </row>
    <row r="7481" spans="1:20" x14ac:dyDescent="0.3">
      <c r="A7481" t="str">
        <f>"0611836232100"</f>
        <v>0611836232100</v>
      </c>
      <c r="B7481" t="str">
        <f>"LK1817"</f>
        <v>LK1817</v>
      </c>
      <c r="C7481" t="s">
        <v>41745</v>
      </c>
      <c r="D7481" t="s">
        <v>27245</v>
      </c>
      <c r="E7481" t="str">
        <f t="shared" si="116"/>
        <v>001390</v>
      </c>
      <c r="F7481" t="s">
        <v>27246</v>
      </c>
      <c r="G7481" t="s">
        <v>27247</v>
      </c>
      <c r="H7481" t="s">
        <v>27248</v>
      </c>
      <c r="I7481" t="s">
        <v>41746</v>
      </c>
      <c r="J7481" t="s">
        <v>14865</v>
      </c>
      <c r="L7481" t="s">
        <v>27250</v>
      </c>
      <c r="M7481" t="s">
        <v>27251</v>
      </c>
      <c r="N7481" t="s">
        <v>27252</v>
      </c>
      <c r="Q7481" s="1">
        <v>44538</v>
      </c>
      <c r="R7481" t="s">
        <v>27253</v>
      </c>
      <c r="S7481" t="s">
        <v>27254</v>
      </c>
      <c r="T7481" t="s">
        <v>27255</v>
      </c>
    </row>
    <row r="7482" spans="1:20" x14ac:dyDescent="0.3">
      <c r="A7482" t="str">
        <f>"0611836233100"</f>
        <v>0611836233100</v>
      </c>
      <c r="B7482" t="str">
        <f>"LS0003"</f>
        <v>LS0003</v>
      </c>
      <c r="C7482" t="s">
        <v>41747</v>
      </c>
      <c r="D7482" t="s">
        <v>27245</v>
      </c>
      <c r="E7482" t="str">
        <f t="shared" si="116"/>
        <v>001390</v>
      </c>
      <c r="F7482" t="s">
        <v>27246</v>
      </c>
      <c r="G7482" t="s">
        <v>27247</v>
      </c>
      <c r="H7482" t="s">
        <v>27248</v>
      </c>
      <c r="I7482" t="s">
        <v>41748</v>
      </c>
      <c r="J7482" t="s">
        <v>14867</v>
      </c>
      <c r="L7482" t="s">
        <v>27250</v>
      </c>
      <c r="M7482" t="s">
        <v>27251</v>
      </c>
      <c r="N7482" t="s">
        <v>27252</v>
      </c>
      <c r="Q7482" s="1">
        <v>44538</v>
      </c>
      <c r="R7482" t="s">
        <v>27253</v>
      </c>
      <c r="S7482" t="s">
        <v>27254</v>
      </c>
      <c r="T7482" t="s">
        <v>27255</v>
      </c>
    </row>
    <row r="7483" spans="1:20" x14ac:dyDescent="0.3">
      <c r="A7483" t="str">
        <f>"0611836234100"</f>
        <v>0611836234100</v>
      </c>
      <c r="B7483" t="str">
        <f>"LK5162"</f>
        <v>LK5162</v>
      </c>
      <c r="C7483" t="s">
        <v>41749</v>
      </c>
      <c r="D7483" t="s">
        <v>27245</v>
      </c>
      <c r="E7483" t="str">
        <f t="shared" si="116"/>
        <v>001390</v>
      </c>
      <c r="F7483" t="s">
        <v>27246</v>
      </c>
      <c r="G7483" t="s">
        <v>27247</v>
      </c>
      <c r="H7483" t="s">
        <v>27248</v>
      </c>
      <c r="I7483" t="s">
        <v>41750</v>
      </c>
      <c r="J7483" t="s">
        <v>14869</v>
      </c>
      <c r="L7483" t="s">
        <v>27250</v>
      </c>
      <c r="M7483" t="s">
        <v>27251</v>
      </c>
      <c r="N7483" t="s">
        <v>27252</v>
      </c>
      <c r="Q7483" s="1">
        <v>44538</v>
      </c>
      <c r="R7483" t="s">
        <v>27253</v>
      </c>
      <c r="S7483" t="s">
        <v>27254</v>
      </c>
      <c r="T7483" t="s">
        <v>27255</v>
      </c>
    </row>
    <row r="7484" spans="1:20" x14ac:dyDescent="0.3">
      <c r="A7484" t="str">
        <f>"0611836235100"</f>
        <v>0611836235100</v>
      </c>
      <c r="B7484" t="str">
        <f>"LK5684"</f>
        <v>LK5684</v>
      </c>
      <c r="C7484" t="s">
        <v>41751</v>
      </c>
      <c r="D7484" t="s">
        <v>27245</v>
      </c>
      <c r="E7484" t="str">
        <f t="shared" si="116"/>
        <v>001390</v>
      </c>
      <c r="F7484" t="s">
        <v>27246</v>
      </c>
      <c r="G7484" t="s">
        <v>27247</v>
      </c>
      <c r="H7484" t="s">
        <v>27248</v>
      </c>
      <c r="I7484" t="s">
        <v>41752</v>
      </c>
      <c r="J7484" t="s">
        <v>14871</v>
      </c>
      <c r="L7484" t="s">
        <v>27250</v>
      </c>
      <c r="M7484" t="s">
        <v>27251</v>
      </c>
      <c r="N7484" t="s">
        <v>27252</v>
      </c>
      <c r="Q7484" s="1">
        <v>44538</v>
      </c>
      <c r="R7484" t="s">
        <v>27253</v>
      </c>
      <c r="S7484" t="s">
        <v>27254</v>
      </c>
      <c r="T7484" t="s">
        <v>27255</v>
      </c>
    </row>
    <row r="7485" spans="1:20" x14ac:dyDescent="0.3">
      <c r="A7485" t="str">
        <f>"0611836236100"</f>
        <v>0611836236100</v>
      </c>
      <c r="B7485" t="str">
        <f>"LB0481"</f>
        <v>LB0481</v>
      </c>
      <c r="C7485" t="s">
        <v>41753</v>
      </c>
      <c r="D7485" t="s">
        <v>27245</v>
      </c>
      <c r="E7485" t="str">
        <f t="shared" si="116"/>
        <v>001390</v>
      </c>
      <c r="F7485" t="s">
        <v>27246</v>
      </c>
      <c r="G7485" t="s">
        <v>27247</v>
      </c>
      <c r="H7485" t="s">
        <v>27248</v>
      </c>
      <c r="I7485" t="s">
        <v>41754</v>
      </c>
      <c r="J7485" t="s">
        <v>14873</v>
      </c>
      <c r="L7485" t="s">
        <v>27250</v>
      </c>
      <c r="M7485" t="s">
        <v>27251</v>
      </c>
      <c r="N7485" t="s">
        <v>27252</v>
      </c>
      <c r="Q7485" s="1">
        <v>44538</v>
      </c>
      <c r="R7485" t="s">
        <v>27253</v>
      </c>
      <c r="S7485" t="s">
        <v>27254</v>
      </c>
      <c r="T7485" t="s">
        <v>27255</v>
      </c>
    </row>
    <row r="7486" spans="1:20" x14ac:dyDescent="0.3">
      <c r="A7486" t="str">
        <f>"0611836237100"</f>
        <v>0611836237100</v>
      </c>
      <c r="B7486" t="str">
        <f>"LK3770"</f>
        <v>LK3770</v>
      </c>
      <c r="C7486" t="s">
        <v>41755</v>
      </c>
      <c r="D7486" t="s">
        <v>27245</v>
      </c>
      <c r="E7486" t="str">
        <f t="shared" si="116"/>
        <v>001390</v>
      </c>
      <c r="F7486" t="s">
        <v>27246</v>
      </c>
      <c r="G7486" t="s">
        <v>27247</v>
      </c>
      <c r="H7486" t="s">
        <v>27248</v>
      </c>
      <c r="I7486" t="s">
        <v>41756</v>
      </c>
      <c r="J7486" t="s">
        <v>14875</v>
      </c>
      <c r="L7486" t="s">
        <v>27250</v>
      </c>
      <c r="M7486" t="s">
        <v>27251</v>
      </c>
      <c r="N7486" t="s">
        <v>27252</v>
      </c>
      <c r="Q7486" s="1">
        <v>44538</v>
      </c>
      <c r="R7486" t="s">
        <v>27253</v>
      </c>
      <c r="S7486" t="s">
        <v>27254</v>
      </c>
      <c r="T7486" t="s">
        <v>27255</v>
      </c>
    </row>
    <row r="7487" spans="1:20" x14ac:dyDescent="0.3">
      <c r="A7487" t="str">
        <f>"0611836238100"</f>
        <v>0611836238100</v>
      </c>
      <c r="B7487" t="str">
        <f>"LK3771"</f>
        <v>LK3771</v>
      </c>
      <c r="C7487" t="s">
        <v>41757</v>
      </c>
      <c r="D7487" t="s">
        <v>27245</v>
      </c>
      <c r="E7487" t="str">
        <f t="shared" si="116"/>
        <v>001390</v>
      </c>
      <c r="F7487" t="s">
        <v>27246</v>
      </c>
      <c r="G7487" t="s">
        <v>27247</v>
      </c>
      <c r="H7487" t="s">
        <v>27248</v>
      </c>
      <c r="I7487" t="s">
        <v>41758</v>
      </c>
      <c r="J7487" t="s">
        <v>14877</v>
      </c>
      <c r="L7487" t="s">
        <v>27250</v>
      </c>
      <c r="M7487" t="s">
        <v>27251</v>
      </c>
      <c r="N7487" t="s">
        <v>27252</v>
      </c>
      <c r="Q7487" s="1">
        <v>44538</v>
      </c>
      <c r="R7487" t="s">
        <v>27253</v>
      </c>
      <c r="S7487" t="s">
        <v>27254</v>
      </c>
      <c r="T7487" t="s">
        <v>27255</v>
      </c>
    </row>
    <row r="7488" spans="1:20" x14ac:dyDescent="0.3">
      <c r="A7488" t="str">
        <f>"0611836239100"</f>
        <v>0611836239100</v>
      </c>
      <c r="B7488" t="str">
        <f>"LK3772"</f>
        <v>LK3772</v>
      </c>
      <c r="C7488" t="s">
        <v>41759</v>
      </c>
      <c r="D7488" t="s">
        <v>27245</v>
      </c>
      <c r="E7488" t="str">
        <f t="shared" si="116"/>
        <v>001390</v>
      </c>
      <c r="F7488" t="s">
        <v>27246</v>
      </c>
      <c r="G7488" t="s">
        <v>27247</v>
      </c>
      <c r="H7488" t="s">
        <v>27248</v>
      </c>
      <c r="I7488" t="s">
        <v>41760</v>
      </c>
      <c r="J7488" t="s">
        <v>14879</v>
      </c>
      <c r="L7488" t="s">
        <v>27250</v>
      </c>
      <c r="M7488" t="s">
        <v>27251</v>
      </c>
      <c r="N7488" t="s">
        <v>27252</v>
      </c>
      <c r="Q7488" s="1">
        <v>44538</v>
      </c>
      <c r="R7488" t="s">
        <v>27253</v>
      </c>
      <c r="S7488" t="s">
        <v>27254</v>
      </c>
      <c r="T7488" t="s">
        <v>27255</v>
      </c>
    </row>
    <row r="7489" spans="1:20" x14ac:dyDescent="0.3">
      <c r="A7489" t="str">
        <f>"0611836240100"</f>
        <v>0611836240100</v>
      </c>
      <c r="B7489" t="str">
        <f>"LK3773"</f>
        <v>LK3773</v>
      </c>
      <c r="C7489" t="s">
        <v>41761</v>
      </c>
      <c r="D7489" t="s">
        <v>27245</v>
      </c>
      <c r="E7489" t="str">
        <f t="shared" si="116"/>
        <v>001390</v>
      </c>
      <c r="F7489" t="s">
        <v>27246</v>
      </c>
      <c r="G7489" t="s">
        <v>27247</v>
      </c>
      <c r="H7489" t="s">
        <v>27248</v>
      </c>
      <c r="I7489" t="s">
        <v>41762</v>
      </c>
      <c r="J7489" t="s">
        <v>14881</v>
      </c>
      <c r="L7489" t="s">
        <v>27250</v>
      </c>
      <c r="M7489" t="s">
        <v>27251</v>
      </c>
      <c r="N7489" t="s">
        <v>27252</v>
      </c>
      <c r="Q7489" s="1">
        <v>44538</v>
      </c>
      <c r="R7489" t="s">
        <v>27253</v>
      </c>
      <c r="S7489" t="s">
        <v>27254</v>
      </c>
      <c r="T7489" t="s">
        <v>27255</v>
      </c>
    </row>
    <row r="7490" spans="1:20" x14ac:dyDescent="0.3">
      <c r="A7490" t="str">
        <f>"0611836241100"</f>
        <v>0611836241100</v>
      </c>
      <c r="B7490" t="str">
        <f>"LB0471"</f>
        <v>LB0471</v>
      </c>
      <c r="C7490" t="s">
        <v>41763</v>
      </c>
      <c r="D7490" t="s">
        <v>27245</v>
      </c>
      <c r="E7490" t="str">
        <f t="shared" ref="E7490:E7553" si="117">"001390"</f>
        <v>001390</v>
      </c>
      <c r="F7490" t="s">
        <v>27246</v>
      </c>
      <c r="G7490" t="s">
        <v>27247</v>
      </c>
      <c r="H7490" t="s">
        <v>27248</v>
      </c>
      <c r="I7490" t="s">
        <v>41764</v>
      </c>
      <c r="J7490" t="s">
        <v>14883</v>
      </c>
      <c r="L7490" t="s">
        <v>27250</v>
      </c>
      <c r="M7490" t="s">
        <v>27251</v>
      </c>
      <c r="N7490" t="s">
        <v>27252</v>
      </c>
      <c r="Q7490" s="1">
        <v>44538</v>
      </c>
      <c r="R7490" t="s">
        <v>27253</v>
      </c>
      <c r="S7490" t="s">
        <v>27254</v>
      </c>
      <c r="T7490" t="s">
        <v>27255</v>
      </c>
    </row>
    <row r="7491" spans="1:20" x14ac:dyDescent="0.3">
      <c r="A7491" t="str">
        <f>"0611836242100"</f>
        <v>0611836242100</v>
      </c>
      <c r="B7491" t="str">
        <f>"LB0473"</f>
        <v>LB0473</v>
      </c>
      <c r="C7491" t="s">
        <v>41765</v>
      </c>
      <c r="D7491" t="s">
        <v>27245</v>
      </c>
      <c r="E7491" t="str">
        <f t="shared" si="117"/>
        <v>001390</v>
      </c>
      <c r="F7491" t="s">
        <v>27246</v>
      </c>
      <c r="G7491" t="s">
        <v>27247</v>
      </c>
      <c r="H7491" t="s">
        <v>27248</v>
      </c>
      <c r="I7491" t="s">
        <v>41766</v>
      </c>
      <c r="J7491" t="s">
        <v>14885</v>
      </c>
      <c r="L7491" t="s">
        <v>27250</v>
      </c>
      <c r="M7491" t="s">
        <v>27251</v>
      </c>
      <c r="N7491" t="s">
        <v>27252</v>
      </c>
      <c r="Q7491" s="1">
        <v>44538</v>
      </c>
      <c r="R7491" t="s">
        <v>27253</v>
      </c>
      <c r="S7491" t="s">
        <v>27254</v>
      </c>
      <c r="T7491" t="s">
        <v>27255</v>
      </c>
    </row>
    <row r="7492" spans="1:20" x14ac:dyDescent="0.3">
      <c r="A7492" t="str">
        <f>"0611836243100"</f>
        <v>0611836243100</v>
      </c>
      <c r="B7492" t="str">
        <f>"LB0469"</f>
        <v>LB0469</v>
      </c>
      <c r="C7492" t="s">
        <v>41767</v>
      </c>
      <c r="D7492" t="s">
        <v>27245</v>
      </c>
      <c r="E7492" t="str">
        <f t="shared" si="117"/>
        <v>001390</v>
      </c>
      <c r="F7492" t="s">
        <v>27246</v>
      </c>
      <c r="G7492" t="s">
        <v>27247</v>
      </c>
      <c r="H7492" t="s">
        <v>27248</v>
      </c>
      <c r="I7492" t="s">
        <v>41768</v>
      </c>
      <c r="J7492" t="s">
        <v>14887</v>
      </c>
      <c r="L7492" t="s">
        <v>27250</v>
      </c>
      <c r="M7492" t="s">
        <v>27251</v>
      </c>
      <c r="N7492" t="s">
        <v>27252</v>
      </c>
      <c r="Q7492" s="1">
        <v>44538</v>
      </c>
      <c r="R7492" t="s">
        <v>27253</v>
      </c>
      <c r="S7492" t="s">
        <v>27254</v>
      </c>
      <c r="T7492" t="s">
        <v>27255</v>
      </c>
    </row>
    <row r="7493" spans="1:20" x14ac:dyDescent="0.3">
      <c r="A7493" t="str">
        <f>"0611836244100"</f>
        <v>0611836244100</v>
      </c>
      <c r="B7493" t="str">
        <f>"LB0470"</f>
        <v>LB0470</v>
      </c>
      <c r="C7493" t="s">
        <v>41769</v>
      </c>
      <c r="D7493" t="s">
        <v>27245</v>
      </c>
      <c r="E7493" t="str">
        <f t="shared" si="117"/>
        <v>001390</v>
      </c>
      <c r="F7493" t="s">
        <v>27246</v>
      </c>
      <c r="G7493" t="s">
        <v>27247</v>
      </c>
      <c r="H7493" t="s">
        <v>27248</v>
      </c>
      <c r="I7493" t="s">
        <v>41770</v>
      </c>
      <c r="J7493" t="s">
        <v>14889</v>
      </c>
      <c r="L7493" t="s">
        <v>27250</v>
      </c>
      <c r="M7493" t="s">
        <v>27251</v>
      </c>
      <c r="N7493" t="s">
        <v>27252</v>
      </c>
      <c r="Q7493" s="1">
        <v>44538</v>
      </c>
      <c r="R7493" t="s">
        <v>27253</v>
      </c>
      <c r="S7493" t="s">
        <v>27254</v>
      </c>
      <c r="T7493" t="s">
        <v>27255</v>
      </c>
    </row>
    <row r="7494" spans="1:20" x14ac:dyDescent="0.3">
      <c r="A7494" t="str">
        <f>"0611836245100"</f>
        <v>0611836245100</v>
      </c>
      <c r="B7494" t="str">
        <f>"LK4777"</f>
        <v>LK4777</v>
      </c>
      <c r="C7494" t="s">
        <v>41771</v>
      </c>
      <c r="D7494" t="s">
        <v>27245</v>
      </c>
      <c r="E7494" t="str">
        <f t="shared" si="117"/>
        <v>001390</v>
      </c>
      <c r="F7494" t="s">
        <v>27246</v>
      </c>
      <c r="G7494" t="s">
        <v>27247</v>
      </c>
      <c r="H7494" t="s">
        <v>27248</v>
      </c>
      <c r="I7494" t="s">
        <v>41772</v>
      </c>
      <c r="J7494" t="s">
        <v>14891</v>
      </c>
      <c r="L7494" t="s">
        <v>27250</v>
      </c>
      <c r="M7494" t="s">
        <v>27251</v>
      </c>
      <c r="N7494" t="s">
        <v>27252</v>
      </c>
      <c r="Q7494" s="1">
        <v>44538</v>
      </c>
      <c r="R7494" t="s">
        <v>27253</v>
      </c>
      <c r="S7494" t="s">
        <v>27254</v>
      </c>
      <c r="T7494" t="s">
        <v>27255</v>
      </c>
    </row>
    <row r="7495" spans="1:20" x14ac:dyDescent="0.3">
      <c r="A7495" t="str">
        <f>"0611836246100"</f>
        <v>0611836246100</v>
      </c>
      <c r="B7495" t="str">
        <f>"LB0474"</f>
        <v>LB0474</v>
      </c>
      <c r="C7495" t="s">
        <v>41773</v>
      </c>
      <c r="D7495" t="s">
        <v>27245</v>
      </c>
      <c r="E7495" t="str">
        <f t="shared" si="117"/>
        <v>001390</v>
      </c>
      <c r="F7495" t="s">
        <v>27246</v>
      </c>
      <c r="G7495" t="s">
        <v>27247</v>
      </c>
      <c r="H7495" t="s">
        <v>27248</v>
      </c>
      <c r="I7495" t="s">
        <v>41774</v>
      </c>
      <c r="J7495" t="s">
        <v>14893</v>
      </c>
      <c r="L7495" t="s">
        <v>27250</v>
      </c>
      <c r="M7495" t="s">
        <v>27251</v>
      </c>
      <c r="N7495" t="s">
        <v>27252</v>
      </c>
      <c r="Q7495" s="1">
        <v>44538</v>
      </c>
      <c r="R7495" t="s">
        <v>27253</v>
      </c>
      <c r="S7495" t="s">
        <v>27254</v>
      </c>
      <c r="T7495" t="s">
        <v>27255</v>
      </c>
    </row>
    <row r="7496" spans="1:20" x14ac:dyDescent="0.3">
      <c r="A7496" t="str">
        <f>"0611836247100"</f>
        <v>0611836247100</v>
      </c>
      <c r="B7496" t="str">
        <f>"LK4618"</f>
        <v>LK4618</v>
      </c>
      <c r="C7496" t="s">
        <v>41775</v>
      </c>
      <c r="D7496" t="s">
        <v>27245</v>
      </c>
      <c r="E7496" t="str">
        <f t="shared" si="117"/>
        <v>001390</v>
      </c>
      <c r="F7496" t="s">
        <v>27246</v>
      </c>
      <c r="G7496" t="s">
        <v>27247</v>
      </c>
      <c r="H7496" t="s">
        <v>27248</v>
      </c>
      <c r="I7496" t="s">
        <v>41776</v>
      </c>
      <c r="J7496" t="s">
        <v>14895</v>
      </c>
      <c r="L7496" t="s">
        <v>27250</v>
      </c>
      <c r="M7496" t="s">
        <v>27251</v>
      </c>
      <c r="N7496" t="s">
        <v>27252</v>
      </c>
      <c r="Q7496" s="1">
        <v>44538</v>
      </c>
      <c r="R7496" t="s">
        <v>27253</v>
      </c>
      <c r="S7496" t="s">
        <v>27254</v>
      </c>
      <c r="T7496" t="s">
        <v>27255</v>
      </c>
    </row>
    <row r="7497" spans="1:20" x14ac:dyDescent="0.3">
      <c r="A7497" t="str">
        <f>"0611836248100"</f>
        <v>0611836248100</v>
      </c>
      <c r="B7497" t="str">
        <f>"LK4778"</f>
        <v>LK4778</v>
      </c>
      <c r="C7497" t="s">
        <v>41777</v>
      </c>
      <c r="D7497" t="s">
        <v>27245</v>
      </c>
      <c r="E7497" t="str">
        <f t="shared" si="117"/>
        <v>001390</v>
      </c>
      <c r="F7497" t="s">
        <v>27246</v>
      </c>
      <c r="G7497" t="s">
        <v>27247</v>
      </c>
      <c r="H7497" t="s">
        <v>27248</v>
      </c>
      <c r="I7497" t="s">
        <v>41778</v>
      </c>
      <c r="J7497" t="s">
        <v>14897</v>
      </c>
      <c r="L7497" t="s">
        <v>27250</v>
      </c>
      <c r="M7497" t="s">
        <v>27251</v>
      </c>
      <c r="N7497" t="s">
        <v>27252</v>
      </c>
      <c r="Q7497" s="1">
        <v>44538</v>
      </c>
      <c r="R7497" t="s">
        <v>27253</v>
      </c>
      <c r="S7497" t="s">
        <v>27254</v>
      </c>
      <c r="T7497" t="s">
        <v>27255</v>
      </c>
    </row>
    <row r="7498" spans="1:20" x14ac:dyDescent="0.3">
      <c r="A7498" t="str">
        <f>"0611836249100"</f>
        <v>0611836249100</v>
      </c>
      <c r="B7498" t="str">
        <f>"LB0472"</f>
        <v>LB0472</v>
      </c>
      <c r="C7498" t="s">
        <v>41779</v>
      </c>
      <c r="D7498" t="s">
        <v>27245</v>
      </c>
      <c r="E7498" t="str">
        <f t="shared" si="117"/>
        <v>001390</v>
      </c>
      <c r="F7498" t="s">
        <v>27246</v>
      </c>
      <c r="G7498" t="s">
        <v>27247</v>
      </c>
      <c r="H7498" t="s">
        <v>27248</v>
      </c>
      <c r="I7498" t="s">
        <v>41780</v>
      </c>
      <c r="J7498" t="s">
        <v>14899</v>
      </c>
      <c r="L7498" t="s">
        <v>27250</v>
      </c>
      <c r="M7498" t="s">
        <v>27251</v>
      </c>
      <c r="N7498" t="s">
        <v>27252</v>
      </c>
      <c r="Q7498" s="1">
        <v>44538</v>
      </c>
      <c r="R7498" t="s">
        <v>27253</v>
      </c>
      <c r="S7498" t="s">
        <v>27254</v>
      </c>
      <c r="T7498" t="s">
        <v>27255</v>
      </c>
    </row>
    <row r="7499" spans="1:20" x14ac:dyDescent="0.3">
      <c r="A7499" t="str">
        <f>"0611836250100"</f>
        <v>0611836250100</v>
      </c>
      <c r="B7499" t="str">
        <f>"LB0468"</f>
        <v>LB0468</v>
      </c>
      <c r="C7499" t="s">
        <v>41781</v>
      </c>
      <c r="D7499" t="s">
        <v>27245</v>
      </c>
      <c r="E7499" t="str">
        <f t="shared" si="117"/>
        <v>001390</v>
      </c>
      <c r="F7499" t="s">
        <v>27246</v>
      </c>
      <c r="G7499" t="s">
        <v>27247</v>
      </c>
      <c r="H7499" t="s">
        <v>27248</v>
      </c>
      <c r="I7499" t="s">
        <v>41782</v>
      </c>
      <c r="J7499" t="s">
        <v>14901</v>
      </c>
      <c r="L7499" t="s">
        <v>27250</v>
      </c>
      <c r="M7499" t="s">
        <v>27251</v>
      </c>
      <c r="N7499" t="s">
        <v>27252</v>
      </c>
      <c r="Q7499" s="1">
        <v>44538</v>
      </c>
      <c r="R7499" t="s">
        <v>27253</v>
      </c>
      <c r="S7499" t="s">
        <v>27254</v>
      </c>
      <c r="T7499" t="s">
        <v>27255</v>
      </c>
    </row>
    <row r="7500" spans="1:20" x14ac:dyDescent="0.3">
      <c r="A7500" t="str">
        <f>"0611836251100"</f>
        <v>0611836251100</v>
      </c>
      <c r="B7500" t="str">
        <f>"LK6749"</f>
        <v>LK6749</v>
      </c>
      <c r="C7500" t="s">
        <v>41783</v>
      </c>
      <c r="D7500" t="s">
        <v>27245</v>
      </c>
      <c r="E7500" t="str">
        <f t="shared" si="117"/>
        <v>001390</v>
      </c>
      <c r="F7500" t="s">
        <v>27246</v>
      </c>
      <c r="G7500" t="s">
        <v>27247</v>
      </c>
      <c r="H7500" t="s">
        <v>27248</v>
      </c>
      <c r="I7500" t="s">
        <v>41784</v>
      </c>
      <c r="J7500" t="s">
        <v>14903</v>
      </c>
      <c r="L7500" t="s">
        <v>27250</v>
      </c>
      <c r="M7500" t="s">
        <v>27251</v>
      </c>
      <c r="N7500" t="s">
        <v>27252</v>
      </c>
      <c r="Q7500" s="1">
        <v>44538</v>
      </c>
      <c r="R7500" t="s">
        <v>27253</v>
      </c>
      <c r="S7500" t="s">
        <v>27254</v>
      </c>
      <c r="T7500" t="s">
        <v>27255</v>
      </c>
    </row>
    <row r="7501" spans="1:20" x14ac:dyDescent="0.3">
      <c r="A7501" t="str">
        <f>"0611836252100"</f>
        <v>0611836252100</v>
      </c>
      <c r="B7501" t="str">
        <f>"LK6750"</f>
        <v>LK6750</v>
      </c>
      <c r="C7501" t="s">
        <v>41785</v>
      </c>
      <c r="D7501" t="s">
        <v>27245</v>
      </c>
      <c r="E7501" t="str">
        <f t="shared" si="117"/>
        <v>001390</v>
      </c>
      <c r="F7501" t="s">
        <v>27246</v>
      </c>
      <c r="G7501" t="s">
        <v>27247</v>
      </c>
      <c r="H7501" t="s">
        <v>27248</v>
      </c>
      <c r="I7501" t="s">
        <v>41786</v>
      </c>
      <c r="J7501" t="s">
        <v>14905</v>
      </c>
      <c r="L7501" t="s">
        <v>27250</v>
      </c>
      <c r="M7501" t="s">
        <v>27251</v>
      </c>
      <c r="N7501" t="s">
        <v>27252</v>
      </c>
      <c r="Q7501" s="1">
        <v>44538</v>
      </c>
      <c r="R7501" t="s">
        <v>27253</v>
      </c>
      <c r="S7501" t="s">
        <v>27254</v>
      </c>
      <c r="T7501" t="s">
        <v>27255</v>
      </c>
    </row>
    <row r="7502" spans="1:20" x14ac:dyDescent="0.3">
      <c r="A7502" t="str">
        <f>"0611836253100"</f>
        <v>0611836253100</v>
      </c>
      <c r="B7502" t="str">
        <f>"LK6751"</f>
        <v>LK6751</v>
      </c>
      <c r="C7502" t="s">
        <v>41787</v>
      </c>
      <c r="D7502" t="s">
        <v>27245</v>
      </c>
      <c r="E7502" t="str">
        <f t="shared" si="117"/>
        <v>001390</v>
      </c>
      <c r="F7502" t="s">
        <v>27246</v>
      </c>
      <c r="G7502" t="s">
        <v>27247</v>
      </c>
      <c r="H7502" t="s">
        <v>27248</v>
      </c>
      <c r="I7502" t="s">
        <v>41788</v>
      </c>
      <c r="J7502" t="s">
        <v>14907</v>
      </c>
      <c r="L7502" t="s">
        <v>27250</v>
      </c>
      <c r="M7502" t="s">
        <v>27251</v>
      </c>
      <c r="N7502" t="s">
        <v>27252</v>
      </c>
      <c r="Q7502" s="1">
        <v>44538</v>
      </c>
      <c r="R7502" t="s">
        <v>27253</v>
      </c>
      <c r="S7502" t="s">
        <v>27254</v>
      </c>
      <c r="T7502" t="s">
        <v>27255</v>
      </c>
    </row>
    <row r="7503" spans="1:20" x14ac:dyDescent="0.3">
      <c r="A7503" t="str">
        <f>"0611836254100"</f>
        <v>0611836254100</v>
      </c>
      <c r="B7503" t="str">
        <f>"LK6752"</f>
        <v>LK6752</v>
      </c>
      <c r="C7503" t="s">
        <v>41789</v>
      </c>
      <c r="D7503" t="s">
        <v>27245</v>
      </c>
      <c r="E7503" t="str">
        <f t="shared" si="117"/>
        <v>001390</v>
      </c>
      <c r="F7503" t="s">
        <v>27246</v>
      </c>
      <c r="G7503" t="s">
        <v>27247</v>
      </c>
      <c r="H7503" t="s">
        <v>27248</v>
      </c>
      <c r="I7503" t="s">
        <v>41790</v>
      </c>
      <c r="J7503" t="s">
        <v>14909</v>
      </c>
      <c r="L7503" t="s">
        <v>27250</v>
      </c>
      <c r="M7503" t="s">
        <v>27251</v>
      </c>
      <c r="N7503" t="s">
        <v>27252</v>
      </c>
      <c r="Q7503" s="1">
        <v>44538</v>
      </c>
      <c r="R7503" t="s">
        <v>27253</v>
      </c>
      <c r="S7503" t="s">
        <v>27254</v>
      </c>
      <c r="T7503" t="s">
        <v>27255</v>
      </c>
    </row>
    <row r="7504" spans="1:20" x14ac:dyDescent="0.3">
      <c r="A7504" t="str">
        <f>"0611836255100"</f>
        <v>0611836255100</v>
      </c>
      <c r="B7504" t="str">
        <f>"LK5685"</f>
        <v>LK5685</v>
      </c>
      <c r="C7504" t="s">
        <v>41791</v>
      </c>
      <c r="D7504" t="s">
        <v>27245</v>
      </c>
      <c r="E7504" t="str">
        <f t="shared" si="117"/>
        <v>001390</v>
      </c>
      <c r="F7504" t="s">
        <v>27246</v>
      </c>
      <c r="G7504" t="s">
        <v>27247</v>
      </c>
      <c r="H7504" t="s">
        <v>27248</v>
      </c>
      <c r="I7504" t="s">
        <v>41792</v>
      </c>
      <c r="J7504" t="s">
        <v>14911</v>
      </c>
      <c r="L7504" t="s">
        <v>27250</v>
      </c>
      <c r="M7504" t="s">
        <v>27251</v>
      </c>
      <c r="N7504" t="s">
        <v>27252</v>
      </c>
      <c r="Q7504" s="1">
        <v>44538</v>
      </c>
      <c r="R7504" t="s">
        <v>27253</v>
      </c>
      <c r="S7504" t="s">
        <v>27254</v>
      </c>
      <c r="T7504" t="s">
        <v>27255</v>
      </c>
    </row>
    <row r="7505" spans="1:20" x14ac:dyDescent="0.3">
      <c r="A7505" t="str">
        <f>"0611836257100"</f>
        <v>0611836257100</v>
      </c>
      <c r="B7505" t="str">
        <f>"LK5163"</f>
        <v>LK5163</v>
      </c>
      <c r="C7505" t="s">
        <v>41793</v>
      </c>
      <c r="D7505" t="s">
        <v>27245</v>
      </c>
      <c r="E7505" t="str">
        <f t="shared" si="117"/>
        <v>001390</v>
      </c>
      <c r="F7505" t="s">
        <v>27246</v>
      </c>
      <c r="G7505" t="s">
        <v>27247</v>
      </c>
      <c r="H7505" t="s">
        <v>27248</v>
      </c>
      <c r="I7505" t="s">
        <v>41794</v>
      </c>
      <c r="J7505" t="s">
        <v>14913</v>
      </c>
      <c r="L7505" t="s">
        <v>27250</v>
      </c>
      <c r="M7505" t="s">
        <v>27251</v>
      </c>
      <c r="N7505" t="s">
        <v>27252</v>
      </c>
      <c r="Q7505" s="1">
        <v>44538</v>
      </c>
      <c r="R7505" t="s">
        <v>27253</v>
      </c>
      <c r="S7505" t="s">
        <v>27254</v>
      </c>
      <c r="T7505" t="s">
        <v>27255</v>
      </c>
    </row>
    <row r="7506" spans="1:20" x14ac:dyDescent="0.3">
      <c r="A7506" t="str">
        <f>"0611836258100"</f>
        <v>0611836258100</v>
      </c>
      <c r="B7506" t="str">
        <f>"LB0542"</f>
        <v>LB0542</v>
      </c>
      <c r="C7506" t="s">
        <v>41795</v>
      </c>
      <c r="D7506" t="s">
        <v>27245</v>
      </c>
      <c r="E7506" t="str">
        <f t="shared" si="117"/>
        <v>001390</v>
      </c>
      <c r="F7506" t="s">
        <v>27246</v>
      </c>
      <c r="G7506" t="s">
        <v>27247</v>
      </c>
      <c r="H7506" t="s">
        <v>27248</v>
      </c>
      <c r="I7506" t="s">
        <v>41796</v>
      </c>
      <c r="J7506" t="s">
        <v>14915</v>
      </c>
      <c r="L7506" t="s">
        <v>27250</v>
      </c>
      <c r="M7506" t="s">
        <v>27251</v>
      </c>
      <c r="N7506" t="s">
        <v>27252</v>
      </c>
      <c r="Q7506" s="1">
        <v>44538</v>
      </c>
      <c r="R7506" t="s">
        <v>27253</v>
      </c>
      <c r="S7506" t="s">
        <v>27254</v>
      </c>
      <c r="T7506" t="s">
        <v>27255</v>
      </c>
    </row>
    <row r="7507" spans="1:20" x14ac:dyDescent="0.3">
      <c r="A7507" t="str">
        <f>"0611836259100"</f>
        <v>0611836259100</v>
      </c>
      <c r="B7507" t="str">
        <f>"LB0547"</f>
        <v>LB0547</v>
      </c>
      <c r="C7507" t="s">
        <v>41797</v>
      </c>
      <c r="D7507" t="s">
        <v>27245</v>
      </c>
      <c r="E7507" t="str">
        <f t="shared" si="117"/>
        <v>001390</v>
      </c>
      <c r="F7507" t="s">
        <v>27246</v>
      </c>
      <c r="G7507" t="s">
        <v>27247</v>
      </c>
      <c r="H7507" t="s">
        <v>27248</v>
      </c>
      <c r="I7507" t="s">
        <v>41798</v>
      </c>
      <c r="J7507" t="s">
        <v>14917</v>
      </c>
      <c r="L7507" t="s">
        <v>27250</v>
      </c>
      <c r="M7507" t="s">
        <v>27251</v>
      </c>
      <c r="N7507" t="s">
        <v>27252</v>
      </c>
      <c r="Q7507" s="1">
        <v>44538</v>
      </c>
      <c r="R7507" t="s">
        <v>27253</v>
      </c>
      <c r="S7507" t="s">
        <v>27254</v>
      </c>
      <c r="T7507" t="s">
        <v>27255</v>
      </c>
    </row>
    <row r="7508" spans="1:20" x14ac:dyDescent="0.3">
      <c r="A7508" t="str">
        <f>"0611836261100"</f>
        <v>0611836261100</v>
      </c>
      <c r="B7508" t="str">
        <f>"LB0573"</f>
        <v>LB0573</v>
      </c>
      <c r="C7508" t="s">
        <v>41799</v>
      </c>
      <c r="D7508" t="s">
        <v>27245</v>
      </c>
      <c r="E7508" t="str">
        <f t="shared" si="117"/>
        <v>001390</v>
      </c>
      <c r="F7508" t="s">
        <v>27246</v>
      </c>
      <c r="G7508" t="s">
        <v>27247</v>
      </c>
      <c r="H7508" t="s">
        <v>27248</v>
      </c>
      <c r="I7508" t="s">
        <v>41800</v>
      </c>
      <c r="J7508" t="s">
        <v>14919</v>
      </c>
      <c r="L7508" t="s">
        <v>27250</v>
      </c>
      <c r="M7508" t="s">
        <v>27251</v>
      </c>
      <c r="N7508" t="s">
        <v>27252</v>
      </c>
      <c r="Q7508" s="1">
        <v>44538</v>
      </c>
      <c r="R7508" t="s">
        <v>27253</v>
      </c>
      <c r="S7508" t="s">
        <v>27254</v>
      </c>
      <c r="T7508" t="s">
        <v>27255</v>
      </c>
    </row>
    <row r="7509" spans="1:20" x14ac:dyDescent="0.3">
      <c r="A7509" t="str">
        <f>"0611884300100"</f>
        <v>0611884300100</v>
      </c>
      <c r="B7509" t="str">
        <f>"LQ6284"</f>
        <v>LQ6284</v>
      </c>
      <c r="C7509" t="s">
        <v>41801</v>
      </c>
      <c r="D7509" t="s">
        <v>27245</v>
      </c>
      <c r="E7509" t="str">
        <f t="shared" si="117"/>
        <v>001390</v>
      </c>
      <c r="F7509" t="s">
        <v>27246</v>
      </c>
      <c r="G7509" t="s">
        <v>27247</v>
      </c>
      <c r="H7509" t="s">
        <v>27248</v>
      </c>
      <c r="I7509" t="s">
        <v>41802</v>
      </c>
      <c r="J7509" t="s">
        <v>14921</v>
      </c>
      <c r="L7509" t="s">
        <v>27430</v>
      </c>
      <c r="M7509" t="s">
        <v>27251</v>
      </c>
      <c r="N7509" t="s">
        <v>27252</v>
      </c>
      <c r="Q7509" s="1">
        <v>45250</v>
      </c>
      <c r="R7509" t="s">
        <v>27253</v>
      </c>
      <c r="S7509" t="s">
        <v>27254</v>
      </c>
      <c r="T7509" t="s">
        <v>27255</v>
      </c>
    </row>
    <row r="7510" spans="1:20" x14ac:dyDescent="0.3">
      <c r="A7510" t="str">
        <f>"0611884301100"</f>
        <v>0611884301100</v>
      </c>
      <c r="B7510" t="str">
        <f>"LQ6285"</f>
        <v>LQ6285</v>
      </c>
      <c r="C7510" t="s">
        <v>41803</v>
      </c>
      <c r="D7510" t="s">
        <v>27245</v>
      </c>
      <c r="E7510" t="str">
        <f t="shared" si="117"/>
        <v>001390</v>
      </c>
      <c r="F7510" t="s">
        <v>27246</v>
      </c>
      <c r="G7510" t="s">
        <v>27247</v>
      </c>
      <c r="H7510" t="s">
        <v>27248</v>
      </c>
      <c r="I7510" t="s">
        <v>41804</v>
      </c>
      <c r="J7510" t="s">
        <v>14923</v>
      </c>
      <c r="L7510" t="s">
        <v>27430</v>
      </c>
      <c r="M7510" t="s">
        <v>27251</v>
      </c>
      <c r="N7510" t="s">
        <v>27252</v>
      </c>
      <c r="Q7510" s="1">
        <v>45250</v>
      </c>
      <c r="R7510" t="s">
        <v>27253</v>
      </c>
      <c r="S7510" t="s">
        <v>27254</v>
      </c>
      <c r="T7510" t="s">
        <v>27255</v>
      </c>
    </row>
    <row r="7511" spans="1:20" x14ac:dyDescent="0.3">
      <c r="A7511" t="str">
        <f>"0611884302100"</f>
        <v>0611884302100</v>
      </c>
      <c r="B7511" t="str">
        <f>"LQ6286"</f>
        <v>LQ6286</v>
      </c>
      <c r="C7511" t="s">
        <v>41805</v>
      </c>
      <c r="D7511" t="s">
        <v>27245</v>
      </c>
      <c r="E7511" t="str">
        <f t="shared" si="117"/>
        <v>001390</v>
      </c>
      <c r="F7511" t="s">
        <v>27246</v>
      </c>
      <c r="G7511" t="s">
        <v>27247</v>
      </c>
      <c r="H7511" t="s">
        <v>27248</v>
      </c>
      <c r="I7511" t="s">
        <v>41806</v>
      </c>
      <c r="J7511" t="s">
        <v>14925</v>
      </c>
      <c r="L7511" t="s">
        <v>27430</v>
      </c>
      <c r="M7511" t="s">
        <v>27251</v>
      </c>
      <c r="N7511" t="s">
        <v>27252</v>
      </c>
      <c r="Q7511" s="1">
        <v>45250</v>
      </c>
      <c r="R7511" t="s">
        <v>27253</v>
      </c>
      <c r="S7511" t="s">
        <v>27254</v>
      </c>
      <c r="T7511" t="s">
        <v>27255</v>
      </c>
    </row>
    <row r="7512" spans="1:20" x14ac:dyDescent="0.3">
      <c r="A7512" t="str">
        <f>"0611836264100"</f>
        <v>0611836264100</v>
      </c>
      <c r="B7512" t="str">
        <f>"LQ6051"</f>
        <v>LQ6051</v>
      </c>
      <c r="C7512" t="s">
        <v>41807</v>
      </c>
      <c r="D7512" t="s">
        <v>27245</v>
      </c>
      <c r="E7512" t="str">
        <f t="shared" si="117"/>
        <v>001390</v>
      </c>
      <c r="F7512" t="s">
        <v>27246</v>
      </c>
      <c r="G7512" t="s">
        <v>27247</v>
      </c>
      <c r="H7512" t="s">
        <v>27248</v>
      </c>
      <c r="I7512" t="s">
        <v>41808</v>
      </c>
      <c r="J7512" t="s">
        <v>14927</v>
      </c>
      <c r="L7512" t="s">
        <v>27250</v>
      </c>
      <c r="M7512" t="s">
        <v>27251</v>
      </c>
      <c r="N7512" t="s">
        <v>27252</v>
      </c>
      <c r="Q7512" s="1">
        <v>44538</v>
      </c>
      <c r="R7512" t="s">
        <v>27253</v>
      </c>
      <c r="S7512" t="s">
        <v>27254</v>
      </c>
      <c r="T7512" t="s">
        <v>27255</v>
      </c>
    </row>
    <row r="7513" spans="1:20" x14ac:dyDescent="0.3">
      <c r="A7513" t="str">
        <f>"0611836265100"</f>
        <v>0611836265100</v>
      </c>
      <c r="B7513" t="str">
        <f>"LQ5818"</f>
        <v>LQ5818</v>
      </c>
      <c r="C7513" t="s">
        <v>41809</v>
      </c>
      <c r="D7513" t="s">
        <v>27245</v>
      </c>
      <c r="E7513" t="str">
        <f t="shared" si="117"/>
        <v>001390</v>
      </c>
      <c r="F7513" t="s">
        <v>27246</v>
      </c>
      <c r="G7513" t="s">
        <v>27247</v>
      </c>
      <c r="H7513" t="s">
        <v>27248</v>
      </c>
      <c r="I7513" t="s">
        <v>41810</v>
      </c>
      <c r="J7513" t="s">
        <v>14929</v>
      </c>
      <c r="L7513" t="s">
        <v>27250</v>
      </c>
      <c r="M7513" t="s">
        <v>27251</v>
      </c>
      <c r="N7513" t="s">
        <v>27252</v>
      </c>
      <c r="Q7513" s="1">
        <v>44538</v>
      </c>
      <c r="R7513" t="s">
        <v>27253</v>
      </c>
      <c r="S7513" t="s">
        <v>27254</v>
      </c>
      <c r="T7513" t="s">
        <v>27255</v>
      </c>
    </row>
    <row r="7514" spans="1:20" x14ac:dyDescent="0.3">
      <c r="A7514" t="str">
        <f>"0611836266100"</f>
        <v>0611836266100</v>
      </c>
      <c r="B7514" t="str">
        <f>"LQ6133"</f>
        <v>LQ6133</v>
      </c>
      <c r="C7514" t="s">
        <v>41811</v>
      </c>
      <c r="D7514" t="s">
        <v>27245</v>
      </c>
      <c r="E7514" t="str">
        <f t="shared" si="117"/>
        <v>001390</v>
      </c>
      <c r="F7514" t="s">
        <v>27246</v>
      </c>
      <c r="G7514" t="s">
        <v>27247</v>
      </c>
      <c r="H7514" t="s">
        <v>27248</v>
      </c>
      <c r="I7514" t="s">
        <v>41812</v>
      </c>
      <c r="J7514" t="s">
        <v>14931</v>
      </c>
      <c r="L7514" t="s">
        <v>27250</v>
      </c>
      <c r="M7514" t="s">
        <v>27251</v>
      </c>
      <c r="N7514" t="s">
        <v>27252</v>
      </c>
      <c r="Q7514" s="1">
        <v>44538</v>
      </c>
      <c r="R7514" t="s">
        <v>27253</v>
      </c>
      <c r="S7514" t="s">
        <v>27254</v>
      </c>
      <c r="T7514" t="s">
        <v>27255</v>
      </c>
    </row>
    <row r="7515" spans="1:20" x14ac:dyDescent="0.3">
      <c r="A7515" t="str">
        <f>"0611836267100"</f>
        <v>0611836267100</v>
      </c>
      <c r="B7515" t="str">
        <f>"LQ5905"</f>
        <v>LQ5905</v>
      </c>
      <c r="C7515" t="s">
        <v>41813</v>
      </c>
      <c r="D7515" t="s">
        <v>27245</v>
      </c>
      <c r="E7515" t="str">
        <f t="shared" si="117"/>
        <v>001390</v>
      </c>
      <c r="F7515" t="s">
        <v>27246</v>
      </c>
      <c r="G7515" t="s">
        <v>27247</v>
      </c>
      <c r="H7515" t="s">
        <v>27248</v>
      </c>
      <c r="I7515" t="s">
        <v>41814</v>
      </c>
      <c r="J7515" t="s">
        <v>14933</v>
      </c>
      <c r="L7515" t="s">
        <v>27250</v>
      </c>
      <c r="M7515" t="s">
        <v>27251</v>
      </c>
      <c r="N7515" t="s">
        <v>27252</v>
      </c>
      <c r="Q7515" s="1">
        <v>44538</v>
      </c>
      <c r="R7515" t="s">
        <v>27253</v>
      </c>
      <c r="S7515" t="s">
        <v>27254</v>
      </c>
      <c r="T7515" t="s">
        <v>27255</v>
      </c>
    </row>
    <row r="7516" spans="1:20" x14ac:dyDescent="0.3">
      <c r="A7516" t="str">
        <f>"0611836268100"</f>
        <v>0611836268100</v>
      </c>
      <c r="B7516" t="str">
        <f>"LQ5990"</f>
        <v>LQ5990</v>
      </c>
      <c r="C7516" t="s">
        <v>41815</v>
      </c>
      <c r="D7516" t="s">
        <v>27245</v>
      </c>
      <c r="E7516" t="str">
        <f t="shared" si="117"/>
        <v>001390</v>
      </c>
      <c r="F7516" t="s">
        <v>27246</v>
      </c>
      <c r="G7516" t="s">
        <v>27247</v>
      </c>
      <c r="H7516" t="s">
        <v>27248</v>
      </c>
      <c r="I7516" t="s">
        <v>41816</v>
      </c>
      <c r="J7516" t="s">
        <v>14935</v>
      </c>
      <c r="L7516" t="s">
        <v>27250</v>
      </c>
      <c r="M7516" t="s">
        <v>27251</v>
      </c>
      <c r="N7516" t="s">
        <v>27252</v>
      </c>
      <c r="Q7516" s="1">
        <v>44538</v>
      </c>
      <c r="R7516" t="s">
        <v>27253</v>
      </c>
      <c r="S7516" t="s">
        <v>27254</v>
      </c>
      <c r="T7516" t="s">
        <v>27255</v>
      </c>
    </row>
    <row r="7517" spans="1:20" x14ac:dyDescent="0.3">
      <c r="A7517" t="str">
        <f>"0611836269100"</f>
        <v>0611836269100</v>
      </c>
      <c r="B7517" t="str">
        <f>"LQ5803"</f>
        <v>LQ5803</v>
      </c>
      <c r="C7517" t="s">
        <v>41817</v>
      </c>
      <c r="D7517" t="s">
        <v>27245</v>
      </c>
      <c r="E7517" t="str">
        <f t="shared" si="117"/>
        <v>001390</v>
      </c>
      <c r="F7517" t="s">
        <v>27246</v>
      </c>
      <c r="G7517" t="s">
        <v>27247</v>
      </c>
      <c r="H7517" t="s">
        <v>27248</v>
      </c>
      <c r="I7517" t="s">
        <v>41818</v>
      </c>
      <c r="J7517" t="s">
        <v>14937</v>
      </c>
      <c r="L7517" t="s">
        <v>27250</v>
      </c>
      <c r="M7517" t="s">
        <v>27251</v>
      </c>
      <c r="N7517" t="s">
        <v>27252</v>
      </c>
      <c r="Q7517" s="1">
        <v>44538</v>
      </c>
      <c r="R7517" t="s">
        <v>27253</v>
      </c>
      <c r="S7517" t="s">
        <v>27254</v>
      </c>
      <c r="T7517" t="s">
        <v>27255</v>
      </c>
    </row>
    <row r="7518" spans="1:20" x14ac:dyDescent="0.3">
      <c r="A7518" t="str">
        <f>"0611836270100"</f>
        <v>0611836270100</v>
      </c>
      <c r="B7518" t="str">
        <f>"LQ6134"</f>
        <v>LQ6134</v>
      </c>
      <c r="C7518" t="s">
        <v>41819</v>
      </c>
      <c r="D7518" t="s">
        <v>27245</v>
      </c>
      <c r="E7518" t="str">
        <f t="shared" si="117"/>
        <v>001390</v>
      </c>
      <c r="F7518" t="s">
        <v>27246</v>
      </c>
      <c r="G7518" t="s">
        <v>27247</v>
      </c>
      <c r="H7518" t="s">
        <v>27248</v>
      </c>
      <c r="I7518" t="s">
        <v>41820</v>
      </c>
      <c r="J7518" t="s">
        <v>14939</v>
      </c>
      <c r="L7518" t="s">
        <v>27250</v>
      </c>
      <c r="M7518" t="s">
        <v>27251</v>
      </c>
      <c r="N7518" t="s">
        <v>27252</v>
      </c>
      <c r="Q7518" s="1">
        <v>44538</v>
      </c>
      <c r="R7518" t="s">
        <v>27253</v>
      </c>
      <c r="S7518" t="s">
        <v>27254</v>
      </c>
      <c r="T7518" t="s">
        <v>27255</v>
      </c>
    </row>
    <row r="7519" spans="1:20" x14ac:dyDescent="0.3">
      <c r="A7519" t="str">
        <f>"0611836271100"</f>
        <v>0611836271100</v>
      </c>
      <c r="B7519" t="str">
        <f>"LQ5820"</f>
        <v>LQ5820</v>
      </c>
      <c r="C7519" t="s">
        <v>41821</v>
      </c>
      <c r="D7519" t="s">
        <v>27245</v>
      </c>
      <c r="E7519" t="str">
        <f t="shared" si="117"/>
        <v>001390</v>
      </c>
      <c r="F7519" t="s">
        <v>27246</v>
      </c>
      <c r="G7519" t="s">
        <v>27247</v>
      </c>
      <c r="H7519" t="s">
        <v>27248</v>
      </c>
      <c r="I7519" t="s">
        <v>41822</v>
      </c>
      <c r="J7519" t="s">
        <v>14941</v>
      </c>
      <c r="L7519" t="s">
        <v>27250</v>
      </c>
      <c r="M7519" t="s">
        <v>27251</v>
      </c>
      <c r="N7519" t="s">
        <v>27252</v>
      </c>
      <c r="Q7519" s="1">
        <v>44538</v>
      </c>
      <c r="R7519" t="s">
        <v>27253</v>
      </c>
      <c r="S7519" t="s">
        <v>27254</v>
      </c>
      <c r="T7519" t="s">
        <v>27255</v>
      </c>
    </row>
    <row r="7520" spans="1:20" x14ac:dyDescent="0.3">
      <c r="A7520" t="str">
        <f>"0611836272100"</f>
        <v>0611836272100</v>
      </c>
      <c r="B7520" t="str">
        <f>"LB0590"</f>
        <v>LB0590</v>
      </c>
      <c r="C7520" t="s">
        <v>41823</v>
      </c>
      <c r="D7520" t="s">
        <v>27245</v>
      </c>
      <c r="E7520" t="str">
        <f t="shared" si="117"/>
        <v>001390</v>
      </c>
      <c r="F7520" t="s">
        <v>27246</v>
      </c>
      <c r="G7520" t="s">
        <v>27247</v>
      </c>
      <c r="H7520" t="s">
        <v>27248</v>
      </c>
      <c r="I7520" t="s">
        <v>41824</v>
      </c>
      <c r="J7520" t="s">
        <v>14943</v>
      </c>
      <c r="L7520" t="s">
        <v>27250</v>
      </c>
      <c r="M7520" t="s">
        <v>27251</v>
      </c>
      <c r="N7520" t="s">
        <v>27252</v>
      </c>
      <c r="Q7520" s="1">
        <v>44538</v>
      </c>
      <c r="R7520" t="s">
        <v>27253</v>
      </c>
      <c r="S7520" t="s">
        <v>27254</v>
      </c>
      <c r="T7520" t="s">
        <v>27255</v>
      </c>
    </row>
    <row r="7521" spans="1:20" x14ac:dyDescent="0.3">
      <c r="A7521" t="str">
        <f>"0611836273100"</f>
        <v>0611836273100</v>
      </c>
      <c r="B7521" t="str">
        <f>"LK2049"</f>
        <v>LK2049</v>
      </c>
      <c r="C7521" t="s">
        <v>41825</v>
      </c>
      <c r="D7521" t="s">
        <v>27245</v>
      </c>
      <c r="E7521" t="str">
        <f t="shared" si="117"/>
        <v>001390</v>
      </c>
      <c r="F7521" t="s">
        <v>27246</v>
      </c>
      <c r="G7521" t="s">
        <v>27247</v>
      </c>
      <c r="H7521" t="s">
        <v>27248</v>
      </c>
      <c r="I7521" t="s">
        <v>41826</v>
      </c>
      <c r="J7521" t="s">
        <v>14945</v>
      </c>
      <c r="L7521" t="s">
        <v>27250</v>
      </c>
      <c r="M7521" t="s">
        <v>27251</v>
      </c>
      <c r="N7521" t="s">
        <v>27252</v>
      </c>
      <c r="Q7521" s="1">
        <v>44538</v>
      </c>
      <c r="R7521" t="s">
        <v>27253</v>
      </c>
      <c r="S7521" t="s">
        <v>27254</v>
      </c>
      <c r="T7521" t="s">
        <v>27255</v>
      </c>
    </row>
    <row r="7522" spans="1:20" x14ac:dyDescent="0.3">
      <c r="A7522" t="str">
        <f>"0611836275100"</f>
        <v>0611836275100</v>
      </c>
      <c r="B7522" t="str">
        <f>"LK0072"</f>
        <v>LK0072</v>
      </c>
      <c r="C7522" t="s">
        <v>41827</v>
      </c>
      <c r="D7522" t="s">
        <v>27245</v>
      </c>
      <c r="E7522" t="str">
        <f t="shared" si="117"/>
        <v>001390</v>
      </c>
      <c r="F7522" t="s">
        <v>27246</v>
      </c>
      <c r="G7522" t="s">
        <v>27247</v>
      </c>
      <c r="H7522" t="s">
        <v>27248</v>
      </c>
      <c r="I7522" t="s">
        <v>41828</v>
      </c>
      <c r="J7522" t="s">
        <v>14947</v>
      </c>
      <c r="L7522" t="s">
        <v>27250</v>
      </c>
      <c r="M7522" t="s">
        <v>27251</v>
      </c>
      <c r="N7522" t="s">
        <v>27252</v>
      </c>
      <c r="Q7522" s="1">
        <v>44538</v>
      </c>
      <c r="R7522" t="s">
        <v>27253</v>
      </c>
      <c r="S7522" t="s">
        <v>27254</v>
      </c>
      <c r="T7522" t="s">
        <v>27255</v>
      </c>
    </row>
    <row r="7523" spans="1:20" x14ac:dyDescent="0.3">
      <c r="A7523" t="str">
        <f>"0611836276100"</f>
        <v>0611836276100</v>
      </c>
      <c r="B7523" t="str">
        <f>"LK4620"</f>
        <v>LK4620</v>
      </c>
      <c r="C7523" t="s">
        <v>41829</v>
      </c>
      <c r="D7523" t="s">
        <v>27245</v>
      </c>
      <c r="E7523" t="str">
        <f t="shared" si="117"/>
        <v>001390</v>
      </c>
      <c r="F7523" t="s">
        <v>27246</v>
      </c>
      <c r="G7523" t="s">
        <v>27247</v>
      </c>
      <c r="H7523" t="s">
        <v>27248</v>
      </c>
      <c r="I7523" t="s">
        <v>41830</v>
      </c>
      <c r="J7523" t="s">
        <v>14949</v>
      </c>
      <c r="L7523" t="s">
        <v>27250</v>
      </c>
      <c r="M7523" t="s">
        <v>27251</v>
      </c>
      <c r="N7523" t="s">
        <v>27252</v>
      </c>
      <c r="Q7523" s="1">
        <v>44538</v>
      </c>
      <c r="R7523" t="s">
        <v>27253</v>
      </c>
      <c r="S7523" t="s">
        <v>27254</v>
      </c>
      <c r="T7523" t="s">
        <v>27255</v>
      </c>
    </row>
    <row r="7524" spans="1:20" x14ac:dyDescent="0.3">
      <c r="A7524" t="str">
        <f>"0611836277100"</f>
        <v>0611836277100</v>
      </c>
      <c r="B7524" t="str">
        <f>"LK4262"</f>
        <v>LK4262</v>
      </c>
      <c r="C7524" t="s">
        <v>41831</v>
      </c>
      <c r="D7524" t="s">
        <v>27245</v>
      </c>
      <c r="E7524" t="str">
        <f t="shared" si="117"/>
        <v>001390</v>
      </c>
      <c r="F7524" t="s">
        <v>27246</v>
      </c>
      <c r="G7524" t="s">
        <v>27247</v>
      </c>
      <c r="H7524" t="s">
        <v>27248</v>
      </c>
      <c r="I7524" t="s">
        <v>41832</v>
      </c>
      <c r="J7524" t="s">
        <v>14951</v>
      </c>
      <c r="L7524" t="s">
        <v>27250</v>
      </c>
      <c r="M7524" t="s">
        <v>27251</v>
      </c>
      <c r="N7524" t="s">
        <v>27252</v>
      </c>
      <c r="Q7524" s="1">
        <v>44538</v>
      </c>
      <c r="R7524" t="s">
        <v>27253</v>
      </c>
      <c r="S7524" t="s">
        <v>27254</v>
      </c>
      <c r="T7524" t="s">
        <v>27255</v>
      </c>
    </row>
    <row r="7525" spans="1:20" x14ac:dyDescent="0.3">
      <c r="A7525" t="str">
        <f>"0611836278100"</f>
        <v>0611836278100</v>
      </c>
      <c r="B7525" t="str">
        <f>"LK0073"</f>
        <v>LK0073</v>
      </c>
      <c r="C7525" t="s">
        <v>41833</v>
      </c>
      <c r="D7525" t="s">
        <v>27245</v>
      </c>
      <c r="E7525" t="str">
        <f t="shared" si="117"/>
        <v>001390</v>
      </c>
      <c r="F7525" t="s">
        <v>27246</v>
      </c>
      <c r="G7525" t="s">
        <v>27247</v>
      </c>
      <c r="H7525" t="s">
        <v>27248</v>
      </c>
      <c r="I7525" t="s">
        <v>41834</v>
      </c>
      <c r="J7525" t="s">
        <v>14953</v>
      </c>
      <c r="L7525" t="s">
        <v>27250</v>
      </c>
      <c r="M7525" t="s">
        <v>27251</v>
      </c>
      <c r="N7525" t="s">
        <v>27252</v>
      </c>
      <c r="Q7525" s="1">
        <v>44538</v>
      </c>
      <c r="R7525" t="s">
        <v>27253</v>
      </c>
      <c r="S7525" t="s">
        <v>27254</v>
      </c>
      <c r="T7525" t="s">
        <v>27255</v>
      </c>
    </row>
    <row r="7526" spans="1:20" x14ac:dyDescent="0.3">
      <c r="A7526" t="str">
        <f>"0611836279100"</f>
        <v>0611836279100</v>
      </c>
      <c r="B7526" t="str">
        <f>"LB0489"</f>
        <v>LB0489</v>
      </c>
      <c r="C7526" t="s">
        <v>41835</v>
      </c>
      <c r="D7526" t="s">
        <v>27245</v>
      </c>
      <c r="E7526" t="str">
        <f t="shared" si="117"/>
        <v>001390</v>
      </c>
      <c r="F7526" t="s">
        <v>27246</v>
      </c>
      <c r="G7526" t="s">
        <v>27247</v>
      </c>
      <c r="H7526" t="s">
        <v>27248</v>
      </c>
      <c r="I7526" t="s">
        <v>41836</v>
      </c>
      <c r="J7526" t="s">
        <v>14955</v>
      </c>
      <c r="L7526" t="s">
        <v>27250</v>
      </c>
      <c r="M7526" t="s">
        <v>27251</v>
      </c>
      <c r="N7526" t="s">
        <v>27252</v>
      </c>
      <c r="Q7526" s="1">
        <v>44538</v>
      </c>
      <c r="R7526" t="s">
        <v>27253</v>
      </c>
      <c r="S7526" t="s">
        <v>27254</v>
      </c>
      <c r="T7526" t="s">
        <v>27255</v>
      </c>
    </row>
    <row r="7527" spans="1:20" x14ac:dyDescent="0.3">
      <c r="A7527" t="str">
        <f>"0611836280100"</f>
        <v>0611836280100</v>
      </c>
      <c r="B7527" t="str">
        <f>"LK2738"</f>
        <v>LK2738</v>
      </c>
      <c r="C7527" t="s">
        <v>41837</v>
      </c>
      <c r="D7527" t="s">
        <v>27245</v>
      </c>
      <c r="E7527" t="str">
        <f t="shared" si="117"/>
        <v>001390</v>
      </c>
      <c r="F7527" t="s">
        <v>27246</v>
      </c>
      <c r="G7527" t="s">
        <v>27247</v>
      </c>
      <c r="H7527" t="s">
        <v>27248</v>
      </c>
      <c r="I7527" t="s">
        <v>41838</v>
      </c>
      <c r="J7527" t="s">
        <v>14957</v>
      </c>
      <c r="L7527" t="s">
        <v>27250</v>
      </c>
      <c r="M7527" t="s">
        <v>27251</v>
      </c>
      <c r="N7527" t="s">
        <v>27252</v>
      </c>
      <c r="Q7527" s="1">
        <v>44538</v>
      </c>
      <c r="R7527" t="s">
        <v>27253</v>
      </c>
      <c r="S7527" t="s">
        <v>27254</v>
      </c>
      <c r="T7527" t="s">
        <v>27255</v>
      </c>
    </row>
    <row r="7528" spans="1:20" x14ac:dyDescent="0.3">
      <c r="A7528" t="str">
        <f>"0611836281100"</f>
        <v>0611836281100</v>
      </c>
      <c r="B7528" t="str">
        <f>"LB0490"</f>
        <v>LB0490</v>
      </c>
      <c r="C7528" t="s">
        <v>41839</v>
      </c>
      <c r="D7528" t="s">
        <v>27245</v>
      </c>
      <c r="E7528" t="str">
        <f t="shared" si="117"/>
        <v>001390</v>
      </c>
      <c r="F7528" t="s">
        <v>27246</v>
      </c>
      <c r="G7528" t="s">
        <v>27247</v>
      </c>
      <c r="H7528" t="s">
        <v>27248</v>
      </c>
      <c r="I7528" t="s">
        <v>41840</v>
      </c>
      <c r="J7528" t="s">
        <v>14959</v>
      </c>
      <c r="L7528" t="s">
        <v>27250</v>
      </c>
      <c r="M7528" t="s">
        <v>27251</v>
      </c>
      <c r="N7528" t="s">
        <v>27252</v>
      </c>
      <c r="Q7528" s="1">
        <v>44538</v>
      </c>
      <c r="R7528" t="s">
        <v>27253</v>
      </c>
      <c r="S7528" t="s">
        <v>27254</v>
      </c>
      <c r="T7528" t="s">
        <v>27255</v>
      </c>
    </row>
    <row r="7529" spans="1:20" x14ac:dyDescent="0.3">
      <c r="A7529" t="str">
        <f>"0611836282100"</f>
        <v>0611836282100</v>
      </c>
      <c r="B7529" t="str">
        <f>"LB0594"</f>
        <v>LB0594</v>
      </c>
      <c r="C7529" t="s">
        <v>41841</v>
      </c>
      <c r="D7529" t="s">
        <v>27245</v>
      </c>
      <c r="E7529" t="str">
        <f t="shared" si="117"/>
        <v>001390</v>
      </c>
      <c r="F7529" t="s">
        <v>27246</v>
      </c>
      <c r="G7529" t="s">
        <v>27247</v>
      </c>
      <c r="H7529" t="s">
        <v>27248</v>
      </c>
      <c r="I7529" t="s">
        <v>41842</v>
      </c>
      <c r="J7529" t="s">
        <v>14961</v>
      </c>
      <c r="L7529" t="s">
        <v>27250</v>
      </c>
      <c r="M7529" t="s">
        <v>27251</v>
      </c>
      <c r="N7529" t="s">
        <v>27252</v>
      </c>
      <c r="Q7529" s="1">
        <v>44538</v>
      </c>
      <c r="R7529" t="s">
        <v>27253</v>
      </c>
      <c r="S7529" t="s">
        <v>27254</v>
      </c>
      <c r="T7529" t="s">
        <v>27255</v>
      </c>
    </row>
    <row r="7530" spans="1:20" x14ac:dyDescent="0.3">
      <c r="A7530" t="str">
        <f>"0611836283100"</f>
        <v>0611836283100</v>
      </c>
      <c r="B7530" t="str">
        <f>"LB0595"</f>
        <v>LB0595</v>
      </c>
      <c r="C7530" t="s">
        <v>41843</v>
      </c>
      <c r="D7530" t="s">
        <v>27245</v>
      </c>
      <c r="E7530" t="str">
        <f t="shared" si="117"/>
        <v>001390</v>
      </c>
      <c r="F7530" t="s">
        <v>27246</v>
      </c>
      <c r="G7530" t="s">
        <v>27247</v>
      </c>
      <c r="H7530" t="s">
        <v>27248</v>
      </c>
      <c r="I7530" t="s">
        <v>41844</v>
      </c>
      <c r="J7530" t="s">
        <v>14963</v>
      </c>
      <c r="L7530" t="s">
        <v>27250</v>
      </c>
      <c r="M7530" t="s">
        <v>27251</v>
      </c>
      <c r="N7530" t="s">
        <v>27252</v>
      </c>
      <c r="Q7530" s="1">
        <v>44538</v>
      </c>
      <c r="R7530" t="s">
        <v>27253</v>
      </c>
      <c r="S7530" t="s">
        <v>27254</v>
      </c>
      <c r="T7530" t="s">
        <v>27255</v>
      </c>
    </row>
    <row r="7531" spans="1:20" x14ac:dyDescent="0.3">
      <c r="A7531" t="str">
        <f>"0611836284100"</f>
        <v>0611836284100</v>
      </c>
      <c r="B7531" t="str">
        <f>"LB0597"</f>
        <v>LB0597</v>
      </c>
      <c r="C7531" t="s">
        <v>41845</v>
      </c>
      <c r="D7531" t="s">
        <v>27245</v>
      </c>
      <c r="E7531" t="str">
        <f t="shared" si="117"/>
        <v>001390</v>
      </c>
      <c r="F7531" t="s">
        <v>27246</v>
      </c>
      <c r="G7531" t="s">
        <v>27247</v>
      </c>
      <c r="H7531" t="s">
        <v>27248</v>
      </c>
      <c r="I7531" t="s">
        <v>41846</v>
      </c>
      <c r="J7531" t="s">
        <v>14965</v>
      </c>
      <c r="L7531" t="s">
        <v>27250</v>
      </c>
      <c r="M7531" t="s">
        <v>27251</v>
      </c>
      <c r="N7531" t="s">
        <v>27252</v>
      </c>
      <c r="Q7531" s="1">
        <v>44538</v>
      </c>
      <c r="R7531" t="s">
        <v>27253</v>
      </c>
      <c r="S7531" t="s">
        <v>27254</v>
      </c>
      <c r="T7531" t="s">
        <v>27255</v>
      </c>
    </row>
    <row r="7532" spans="1:20" x14ac:dyDescent="0.3">
      <c r="A7532" t="str">
        <f>"0611863271050"</f>
        <v>0611863271050</v>
      </c>
      <c r="B7532" t="str">
        <f>"CR2378"</f>
        <v>CR2378</v>
      </c>
      <c r="C7532" t="s">
        <v>41847</v>
      </c>
      <c r="D7532" t="s">
        <v>27271</v>
      </c>
      <c r="E7532" t="str">
        <f t="shared" si="117"/>
        <v>001390</v>
      </c>
      <c r="F7532" t="s">
        <v>27246</v>
      </c>
      <c r="G7532" t="s">
        <v>27247</v>
      </c>
      <c r="H7532" t="s">
        <v>27248</v>
      </c>
      <c r="I7532" t="s">
        <v>41848</v>
      </c>
      <c r="J7532" t="s">
        <v>14967</v>
      </c>
      <c r="L7532" t="s">
        <v>27250</v>
      </c>
      <c r="M7532" t="s">
        <v>27251</v>
      </c>
      <c r="N7532" t="s">
        <v>27252</v>
      </c>
      <c r="P7532" t="s">
        <v>27341</v>
      </c>
      <c r="Q7532" s="1">
        <v>44846</v>
      </c>
      <c r="R7532" t="s">
        <v>27253</v>
      </c>
      <c r="S7532" t="s">
        <v>27254</v>
      </c>
      <c r="T7532" t="s">
        <v>27265</v>
      </c>
    </row>
    <row r="7533" spans="1:20" x14ac:dyDescent="0.3">
      <c r="A7533" t="str">
        <f>"0611863272050"</f>
        <v>0611863272050</v>
      </c>
      <c r="B7533" t="str">
        <f>"CR2379"</f>
        <v>CR2379</v>
      </c>
      <c r="C7533" t="s">
        <v>41849</v>
      </c>
      <c r="D7533" t="s">
        <v>27271</v>
      </c>
      <c r="E7533" t="str">
        <f t="shared" si="117"/>
        <v>001390</v>
      </c>
      <c r="F7533" t="s">
        <v>27246</v>
      </c>
      <c r="G7533" t="s">
        <v>27247</v>
      </c>
      <c r="H7533" t="s">
        <v>27248</v>
      </c>
      <c r="I7533" t="s">
        <v>41850</v>
      </c>
      <c r="J7533" t="s">
        <v>14969</v>
      </c>
      <c r="L7533" t="s">
        <v>27250</v>
      </c>
      <c r="M7533" t="s">
        <v>27251</v>
      </c>
      <c r="N7533" t="s">
        <v>27252</v>
      </c>
      <c r="P7533" t="s">
        <v>27341</v>
      </c>
      <c r="Q7533" s="1">
        <v>44846</v>
      </c>
      <c r="R7533" t="s">
        <v>27253</v>
      </c>
      <c r="S7533" t="s">
        <v>27254</v>
      </c>
      <c r="T7533" t="s">
        <v>27265</v>
      </c>
    </row>
    <row r="7534" spans="1:20" x14ac:dyDescent="0.3">
      <c r="A7534" t="str">
        <f>"0611863273050"</f>
        <v>0611863273050</v>
      </c>
      <c r="B7534" t="str">
        <f>"CR2380"</f>
        <v>CR2380</v>
      </c>
      <c r="C7534" t="s">
        <v>41851</v>
      </c>
      <c r="D7534" t="s">
        <v>27271</v>
      </c>
      <c r="E7534" t="str">
        <f t="shared" si="117"/>
        <v>001390</v>
      </c>
      <c r="F7534" t="s">
        <v>27246</v>
      </c>
      <c r="G7534" t="s">
        <v>27247</v>
      </c>
      <c r="H7534" t="s">
        <v>27248</v>
      </c>
      <c r="I7534" t="s">
        <v>41852</v>
      </c>
      <c r="J7534" t="s">
        <v>14971</v>
      </c>
      <c r="L7534" t="s">
        <v>27250</v>
      </c>
      <c r="M7534" t="s">
        <v>27251</v>
      </c>
      <c r="N7534" t="s">
        <v>27252</v>
      </c>
      <c r="P7534" t="s">
        <v>27341</v>
      </c>
      <c r="Q7534" s="1">
        <v>44846</v>
      </c>
      <c r="R7534" t="s">
        <v>27253</v>
      </c>
      <c r="S7534" t="s">
        <v>27254</v>
      </c>
      <c r="T7534" t="s">
        <v>27265</v>
      </c>
    </row>
    <row r="7535" spans="1:20" x14ac:dyDescent="0.3">
      <c r="A7535" t="str">
        <f>"0611863274050"</f>
        <v>0611863274050</v>
      </c>
      <c r="B7535" t="str">
        <f>"CR3686"</f>
        <v>CR3686</v>
      </c>
      <c r="C7535" t="s">
        <v>41853</v>
      </c>
      <c r="D7535" t="s">
        <v>27271</v>
      </c>
      <c r="E7535" t="str">
        <f t="shared" si="117"/>
        <v>001390</v>
      </c>
      <c r="F7535" t="s">
        <v>27246</v>
      </c>
      <c r="G7535" t="s">
        <v>27247</v>
      </c>
      <c r="H7535" t="s">
        <v>27248</v>
      </c>
      <c r="I7535" t="s">
        <v>41854</v>
      </c>
      <c r="J7535" t="s">
        <v>14973</v>
      </c>
      <c r="L7535" t="s">
        <v>27250</v>
      </c>
      <c r="M7535" t="s">
        <v>27251</v>
      </c>
      <c r="N7535" t="s">
        <v>27252</v>
      </c>
      <c r="P7535" t="s">
        <v>27341</v>
      </c>
      <c r="Q7535" s="1">
        <v>44846</v>
      </c>
      <c r="R7535" t="s">
        <v>27253</v>
      </c>
      <c r="S7535" t="s">
        <v>27254</v>
      </c>
      <c r="T7535" t="s">
        <v>27265</v>
      </c>
    </row>
    <row r="7536" spans="1:20" x14ac:dyDescent="0.3">
      <c r="A7536" t="str">
        <f>"0611863275050"</f>
        <v>0611863275050</v>
      </c>
      <c r="B7536" t="str">
        <f>"CR2381"</f>
        <v>CR2381</v>
      </c>
      <c r="C7536" t="s">
        <v>41855</v>
      </c>
      <c r="D7536" t="s">
        <v>27271</v>
      </c>
      <c r="E7536" t="str">
        <f t="shared" si="117"/>
        <v>001390</v>
      </c>
      <c r="F7536" t="s">
        <v>27246</v>
      </c>
      <c r="G7536" t="s">
        <v>27247</v>
      </c>
      <c r="H7536" t="s">
        <v>27248</v>
      </c>
      <c r="I7536" t="s">
        <v>41856</v>
      </c>
      <c r="J7536" t="s">
        <v>14975</v>
      </c>
      <c r="L7536" t="s">
        <v>27250</v>
      </c>
      <c r="M7536" t="s">
        <v>27251</v>
      </c>
      <c r="N7536" t="s">
        <v>27252</v>
      </c>
      <c r="P7536" t="s">
        <v>27341</v>
      </c>
      <c r="Q7536" s="1">
        <v>44846</v>
      </c>
      <c r="R7536" t="s">
        <v>27253</v>
      </c>
      <c r="S7536" t="s">
        <v>27254</v>
      </c>
      <c r="T7536" t="s">
        <v>27265</v>
      </c>
    </row>
    <row r="7537" spans="1:20" x14ac:dyDescent="0.3">
      <c r="A7537" t="str">
        <f>"0611863276050"</f>
        <v>0611863276050</v>
      </c>
      <c r="B7537" t="str">
        <f>"CR2382"</f>
        <v>CR2382</v>
      </c>
      <c r="C7537" t="s">
        <v>41857</v>
      </c>
      <c r="D7537" t="s">
        <v>27271</v>
      </c>
      <c r="E7537" t="str">
        <f t="shared" si="117"/>
        <v>001390</v>
      </c>
      <c r="F7537" t="s">
        <v>27246</v>
      </c>
      <c r="G7537" t="s">
        <v>27247</v>
      </c>
      <c r="H7537" t="s">
        <v>27248</v>
      </c>
      <c r="I7537" t="s">
        <v>41858</v>
      </c>
      <c r="J7537" t="s">
        <v>14977</v>
      </c>
      <c r="L7537" t="s">
        <v>27250</v>
      </c>
      <c r="M7537" t="s">
        <v>27251</v>
      </c>
      <c r="N7537" t="s">
        <v>27252</v>
      </c>
      <c r="P7537" t="s">
        <v>27341</v>
      </c>
      <c r="Q7537" s="1">
        <v>44846</v>
      </c>
      <c r="R7537" t="s">
        <v>27253</v>
      </c>
      <c r="S7537" t="s">
        <v>27254</v>
      </c>
      <c r="T7537" t="s">
        <v>27265</v>
      </c>
    </row>
    <row r="7538" spans="1:20" x14ac:dyDescent="0.3">
      <c r="A7538" t="str">
        <f>"0611863277050"</f>
        <v>0611863277050</v>
      </c>
      <c r="B7538" t="str">
        <f>"CR2383"</f>
        <v>CR2383</v>
      </c>
      <c r="C7538" t="s">
        <v>41859</v>
      </c>
      <c r="D7538" t="s">
        <v>27271</v>
      </c>
      <c r="E7538" t="str">
        <f t="shared" si="117"/>
        <v>001390</v>
      </c>
      <c r="F7538" t="s">
        <v>27246</v>
      </c>
      <c r="G7538" t="s">
        <v>27247</v>
      </c>
      <c r="H7538" t="s">
        <v>27248</v>
      </c>
      <c r="I7538" t="s">
        <v>41860</v>
      </c>
      <c r="J7538" t="s">
        <v>14979</v>
      </c>
      <c r="L7538" t="s">
        <v>27250</v>
      </c>
      <c r="M7538" t="s">
        <v>27251</v>
      </c>
      <c r="N7538" t="s">
        <v>27252</v>
      </c>
      <c r="P7538" t="s">
        <v>27341</v>
      </c>
      <c r="Q7538" s="1">
        <v>44846</v>
      </c>
      <c r="R7538" t="s">
        <v>27253</v>
      </c>
      <c r="S7538" t="s">
        <v>27254</v>
      </c>
      <c r="T7538" t="s">
        <v>27265</v>
      </c>
    </row>
    <row r="7539" spans="1:20" x14ac:dyDescent="0.3">
      <c r="A7539" t="str">
        <f>"0611836285100"</f>
        <v>0611836285100</v>
      </c>
      <c r="B7539" t="str">
        <f>"LH5381"</f>
        <v>LH5381</v>
      </c>
      <c r="C7539" t="s">
        <v>41861</v>
      </c>
      <c r="D7539" t="s">
        <v>27245</v>
      </c>
      <c r="E7539" t="str">
        <f t="shared" si="117"/>
        <v>001390</v>
      </c>
      <c r="F7539" t="s">
        <v>27246</v>
      </c>
      <c r="G7539" t="s">
        <v>27247</v>
      </c>
      <c r="H7539" t="s">
        <v>27248</v>
      </c>
      <c r="I7539" t="s">
        <v>41862</v>
      </c>
      <c r="J7539" t="s">
        <v>14981</v>
      </c>
      <c r="L7539" t="s">
        <v>27250</v>
      </c>
      <c r="M7539" t="s">
        <v>27251</v>
      </c>
      <c r="N7539" t="s">
        <v>27252</v>
      </c>
      <c r="Q7539" s="1">
        <v>44538</v>
      </c>
      <c r="R7539" t="s">
        <v>27253</v>
      </c>
      <c r="S7539" t="s">
        <v>27254</v>
      </c>
      <c r="T7539" t="s">
        <v>27255</v>
      </c>
    </row>
    <row r="7540" spans="1:20" x14ac:dyDescent="0.3">
      <c r="A7540" t="str">
        <f>"0611836286100"</f>
        <v>0611836286100</v>
      </c>
      <c r="B7540" t="str">
        <f>"LK1275"</f>
        <v>LK1275</v>
      </c>
      <c r="C7540" t="s">
        <v>41863</v>
      </c>
      <c r="D7540" t="s">
        <v>27245</v>
      </c>
      <c r="E7540" t="str">
        <f t="shared" si="117"/>
        <v>001390</v>
      </c>
      <c r="F7540" t="s">
        <v>27246</v>
      </c>
      <c r="G7540" t="s">
        <v>27247</v>
      </c>
      <c r="H7540" t="s">
        <v>27248</v>
      </c>
      <c r="I7540" t="s">
        <v>41864</v>
      </c>
      <c r="J7540" t="s">
        <v>14987</v>
      </c>
      <c r="L7540" t="s">
        <v>27250</v>
      </c>
      <c r="M7540" t="s">
        <v>27251</v>
      </c>
      <c r="N7540" t="s">
        <v>27252</v>
      </c>
      <c r="Q7540" s="1">
        <v>44538</v>
      </c>
      <c r="R7540" t="s">
        <v>27253</v>
      </c>
      <c r="S7540" t="s">
        <v>27254</v>
      </c>
      <c r="T7540" t="s">
        <v>27255</v>
      </c>
    </row>
    <row r="7541" spans="1:20" x14ac:dyDescent="0.3">
      <c r="A7541" t="str">
        <f>"0611863278050"</f>
        <v>0611863278050</v>
      </c>
      <c r="B7541" t="str">
        <f>"CR2978"</f>
        <v>CR2978</v>
      </c>
      <c r="C7541" t="s">
        <v>41865</v>
      </c>
      <c r="D7541" t="s">
        <v>27263</v>
      </c>
      <c r="E7541" t="str">
        <f t="shared" si="117"/>
        <v>001390</v>
      </c>
      <c r="F7541" t="s">
        <v>27246</v>
      </c>
      <c r="G7541" t="s">
        <v>27247</v>
      </c>
      <c r="H7541" t="s">
        <v>27248</v>
      </c>
      <c r="I7541" t="s">
        <v>41866</v>
      </c>
      <c r="J7541" t="s">
        <v>14983</v>
      </c>
      <c r="L7541" t="s">
        <v>27250</v>
      </c>
      <c r="M7541" t="s">
        <v>27251</v>
      </c>
      <c r="N7541" t="s">
        <v>27252</v>
      </c>
      <c r="Q7541" s="1">
        <v>44846</v>
      </c>
      <c r="R7541" t="s">
        <v>27253</v>
      </c>
      <c r="S7541" t="s">
        <v>27254</v>
      </c>
      <c r="T7541" t="s">
        <v>27265</v>
      </c>
    </row>
    <row r="7542" spans="1:20" x14ac:dyDescent="0.3">
      <c r="A7542" t="str">
        <f>"0611836287100"</f>
        <v>0611836287100</v>
      </c>
      <c r="B7542" t="str">
        <f>"LK6083"</f>
        <v>LK6083</v>
      </c>
      <c r="C7542" t="s">
        <v>41867</v>
      </c>
      <c r="D7542" t="s">
        <v>27245</v>
      </c>
      <c r="E7542" t="str">
        <f t="shared" si="117"/>
        <v>001390</v>
      </c>
      <c r="F7542" t="s">
        <v>27246</v>
      </c>
      <c r="G7542" t="s">
        <v>27247</v>
      </c>
      <c r="H7542" t="s">
        <v>27248</v>
      </c>
      <c r="I7542" t="s">
        <v>41868</v>
      </c>
      <c r="J7542" t="s">
        <v>14985</v>
      </c>
      <c r="L7542" t="s">
        <v>27250</v>
      </c>
      <c r="M7542" t="s">
        <v>27251</v>
      </c>
      <c r="N7542" t="s">
        <v>27252</v>
      </c>
      <c r="Q7542" s="1">
        <v>44538</v>
      </c>
      <c r="R7542" t="s">
        <v>27253</v>
      </c>
      <c r="S7542" t="s">
        <v>27254</v>
      </c>
      <c r="T7542" t="s">
        <v>27255</v>
      </c>
    </row>
    <row r="7543" spans="1:20" x14ac:dyDescent="0.3">
      <c r="A7543" t="str">
        <f>"0611836093100"</f>
        <v>0611836093100</v>
      </c>
      <c r="B7543" t="str">
        <f>"LC7400"</f>
        <v>LC7400</v>
      </c>
      <c r="C7543" t="s">
        <v>41869</v>
      </c>
      <c r="D7543" t="s">
        <v>27245</v>
      </c>
      <c r="E7543" t="str">
        <f t="shared" si="117"/>
        <v>001390</v>
      </c>
      <c r="F7543" t="s">
        <v>27246</v>
      </c>
      <c r="G7543" t="s">
        <v>27247</v>
      </c>
      <c r="H7543" t="s">
        <v>27248</v>
      </c>
      <c r="I7543" t="s">
        <v>41870</v>
      </c>
      <c r="J7543" t="s">
        <v>14989</v>
      </c>
      <c r="L7543" t="s">
        <v>27250</v>
      </c>
      <c r="M7543" t="s">
        <v>27251</v>
      </c>
      <c r="N7543" t="s">
        <v>27252</v>
      </c>
      <c r="Q7543" s="1">
        <v>44538</v>
      </c>
      <c r="R7543" t="s">
        <v>27253</v>
      </c>
      <c r="S7543" t="s">
        <v>27254</v>
      </c>
      <c r="T7543" t="s">
        <v>27255</v>
      </c>
    </row>
    <row r="7544" spans="1:20" x14ac:dyDescent="0.3">
      <c r="A7544" t="str">
        <f>"0611836288025"</f>
        <v>0611836288025</v>
      </c>
      <c r="B7544" t="str">
        <f>"MC4397"</f>
        <v>MC4397</v>
      </c>
      <c r="C7544" t="s">
        <v>41871</v>
      </c>
      <c r="D7544" t="s">
        <v>27267</v>
      </c>
      <c r="E7544" t="str">
        <f t="shared" si="117"/>
        <v>001390</v>
      </c>
      <c r="F7544" t="s">
        <v>27246</v>
      </c>
      <c r="G7544" t="s">
        <v>27247</v>
      </c>
      <c r="H7544" t="s">
        <v>27248</v>
      </c>
      <c r="I7544" t="s">
        <v>41872</v>
      </c>
      <c r="J7544" t="s">
        <v>14991</v>
      </c>
      <c r="L7544" t="s">
        <v>27250</v>
      </c>
      <c r="M7544" t="s">
        <v>27251</v>
      </c>
      <c r="N7544" t="s">
        <v>27252</v>
      </c>
      <c r="Q7544" s="1">
        <v>44538</v>
      </c>
      <c r="R7544" t="s">
        <v>27253</v>
      </c>
      <c r="S7544" t="s">
        <v>27254</v>
      </c>
      <c r="T7544" t="s">
        <v>27269</v>
      </c>
    </row>
    <row r="7545" spans="1:20" x14ac:dyDescent="0.3">
      <c r="A7545" t="str">
        <f>"0611836289100"</f>
        <v>0611836289100</v>
      </c>
      <c r="B7545" t="str">
        <f>"LH5416"</f>
        <v>LH5416</v>
      </c>
      <c r="C7545" t="s">
        <v>41873</v>
      </c>
      <c r="D7545" t="s">
        <v>27245</v>
      </c>
      <c r="E7545" t="str">
        <f t="shared" si="117"/>
        <v>001390</v>
      </c>
      <c r="F7545" t="s">
        <v>27246</v>
      </c>
      <c r="G7545" t="s">
        <v>27247</v>
      </c>
      <c r="H7545" t="s">
        <v>27248</v>
      </c>
      <c r="I7545" t="s">
        <v>41874</v>
      </c>
      <c r="J7545" t="s">
        <v>14993</v>
      </c>
      <c r="L7545" t="s">
        <v>27250</v>
      </c>
      <c r="M7545" t="s">
        <v>27251</v>
      </c>
      <c r="N7545" t="s">
        <v>27252</v>
      </c>
      <c r="Q7545" s="1">
        <v>44538</v>
      </c>
      <c r="R7545" t="s">
        <v>27253</v>
      </c>
      <c r="S7545" t="s">
        <v>27254</v>
      </c>
      <c r="T7545" t="s">
        <v>27255</v>
      </c>
    </row>
    <row r="7546" spans="1:20" x14ac:dyDescent="0.3">
      <c r="A7546" t="str">
        <f>"0611836290025"</f>
        <v>0611836290025</v>
      </c>
      <c r="B7546" t="str">
        <f>"MC0890"</f>
        <v>MC0890</v>
      </c>
      <c r="C7546" t="s">
        <v>41873</v>
      </c>
      <c r="D7546" t="s">
        <v>27267</v>
      </c>
      <c r="E7546" t="str">
        <f t="shared" si="117"/>
        <v>001390</v>
      </c>
      <c r="F7546" t="s">
        <v>27246</v>
      </c>
      <c r="G7546" t="s">
        <v>27247</v>
      </c>
      <c r="H7546" t="s">
        <v>27248</v>
      </c>
      <c r="I7546" t="s">
        <v>41875</v>
      </c>
      <c r="J7546" t="s">
        <v>14995</v>
      </c>
      <c r="L7546" t="s">
        <v>27250</v>
      </c>
      <c r="M7546" t="s">
        <v>27251</v>
      </c>
      <c r="N7546" t="s">
        <v>27252</v>
      </c>
      <c r="Q7546" s="1">
        <v>44538</v>
      </c>
      <c r="R7546" t="s">
        <v>27253</v>
      </c>
      <c r="S7546" t="s">
        <v>27254</v>
      </c>
      <c r="T7546" t="s">
        <v>27269</v>
      </c>
    </row>
    <row r="7547" spans="1:20" x14ac:dyDescent="0.3">
      <c r="A7547" t="str">
        <f>"0611836291025"</f>
        <v>0611836291025</v>
      </c>
      <c r="B7547" t="str">
        <f>"MC4101"</f>
        <v>MC4101</v>
      </c>
      <c r="C7547" t="s">
        <v>41876</v>
      </c>
      <c r="D7547" t="s">
        <v>27267</v>
      </c>
      <c r="E7547" t="str">
        <f t="shared" si="117"/>
        <v>001390</v>
      </c>
      <c r="F7547" t="s">
        <v>27246</v>
      </c>
      <c r="G7547" t="s">
        <v>27247</v>
      </c>
      <c r="H7547" t="s">
        <v>27248</v>
      </c>
      <c r="I7547" t="s">
        <v>41877</v>
      </c>
      <c r="J7547" t="s">
        <v>14997</v>
      </c>
      <c r="L7547" t="s">
        <v>27250</v>
      </c>
      <c r="M7547" t="s">
        <v>27251</v>
      </c>
      <c r="N7547" t="s">
        <v>27252</v>
      </c>
      <c r="Q7547" s="1">
        <v>44538</v>
      </c>
      <c r="R7547" t="s">
        <v>27253</v>
      </c>
      <c r="S7547" t="s">
        <v>27254</v>
      </c>
      <c r="T7547" t="s">
        <v>27269</v>
      </c>
    </row>
    <row r="7548" spans="1:20" x14ac:dyDescent="0.3">
      <c r="A7548" t="str">
        <f>"0611836292025"</f>
        <v>0611836292025</v>
      </c>
      <c r="B7548" t="str">
        <f>"MC4102"</f>
        <v>MC4102</v>
      </c>
      <c r="C7548" t="s">
        <v>41878</v>
      </c>
      <c r="D7548" t="s">
        <v>27267</v>
      </c>
      <c r="E7548" t="str">
        <f t="shared" si="117"/>
        <v>001390</v>
      </c>
      <c r="F7548" t="s">
        <v>27246</v>
      </c>
      <c r="G7548" t="s">
        <v>27247</v>
      </c>
      <c r="H7548" t="s">
        <v>27248</v>
      </c>
      <c r="I7548" t="s">
        <v>41879</v>
      </c>
      <c r="J7548" t="s">
        <v>14999</v>
      </c>
      <c r="L7548" t="s">
        <v>27250</v>
      </c>
      <c r="M7548" t="s">
        <v>27251</v>
      </c>
      <c r="N7548" t="s">
        <v>27252</v>
      </c>
      <c r="Q7548" s="1">
        <v>44538</v>
      </c>
      <c r="R7548" t="s">
        <v>27253</v>
      </c>
      <c r="S7548" t="s">
        <v>27254</v>
      </c>
      <c r="T7548" t="s">
        <v>27269</v>
      </c>
    </row>
    <row r="7549" spans="1:20" x14ac:dyDescent="0.3">
      <c r="A7549" t="str">
        <f>"0611836293025"</f>
        <v>0611836293025</v>
      </c>
      <c r="B7549" t="str">
        <f>"MC4103"</f>
        <v>MC4103</v>
      </c>
      <c r="C7549" t="s">
        <v>41880</v>
      </c>
      <c r="D7549" t="s">
        <v>27267</v>
      </c>
      <c r="E7549" t="str">
        <f t="shared" si="117"/>
        <v>001390</v>
      </c>
      <c r="F7549" t="s">
        <v>27246</v>
      </c>
      <c r="G7549" t="s">
        <v>27247</v>
      </c>
      <c r="H7549" t="s">
        <v>27248</v>
      </c>
      <c r="I7549" t="s">
        <v>41881</v>
      </c>
      <c r="J7549" t="s">
        <v>15001</v>
      </c>
      <c r="L7549" t="s">
        <v>27250</v>
      </c>
      <c r="M7549" t="s">
        <v>27251</v>
      </c>
      <c r="N7549" t="s">
        <v>27252</v>
      </c>
      <c r="Q7549" s="1">
        <v>44538</v>
      </c>
      <c r="R7549" t="s">
        <v>27253</v>
      </c>
      <c r="S7549" t="s">
        <v>27254</v>
      </c>
      <c r="T7549" t="s">
        <v>27269</v>
      </c>
    </row>
    <row r="7550" spans="1:20" x14ac:dyDescent="0.3">
      <c r="A7550" t="str">
        <f>"0611836294025"</f>
        <v>0611836294025</v>
      </c>
      <c r="B7550" t="str">
        <f>"MC4104"</f>
        <v>MC4104</v>
      </c>
      <c r="C7550" t="s">
        <v>41882</v>
      </c>
      <c r="D7550" t="s">
        <v>27267</v>
      </c>
      <c r="E7550" t="str">
        <f t="shared" si="117"/>
        <v>001390</v>
      </c>
      <c r="F7550" t="s">
        <v>27246</v>
      </c>
      <c r="G7550" t="s">
        <v>27247</v>
      </c>
      <c r="H7550" t="s">
        <v>27248</v>
      </c>
      <c r="I7550" t="s">
        <v>41883</v>
      </c>
      <c r="J7550" t="s">
        <v>15003</v>
      </c>
      <c r="L7550" t="s">
        <v>27250</v>
      </c>
      <c r="M7550" t="s">
        <v>27251</v>
      </c>
      <c r="N7550" t="s">
        <v>27252</v>
      </c>
      <c r="Q7550" s="1">
        <v>44538</v>
      </c>
      <c r="R7550" t="s">
        <v>27253</v>
      </c>
      <c r="S7550" t="s">
        <v>27254</v>
      </c>
      <c r="T7550" t="s">
        <v>27269</v>
      </c>
    </row>
    <row r="7551" spans="1:20" x14ac:dyDescent="0.3">
      <c r="A7551" t="str">
        <f>"0611836295025"</f>
        <v>0611836295025</v>
      </c>
      <c r="B7551" t="str">
        <f>"MC4105"</f>
        <v>MC4105</v>
      </c>
      <c r="C7551" t="s">
        <v>41884</v>
      </c>
      <c r="D7551" t="s">
        <v>27267</v>
      </c>
      <c r="E7551" t="str">
        <f t="shared" si="117"/>
        <v>001390</v>
      </c>
      <c r="F7551" t="s">
        <v>27246</v>
      </c>
      <c r="G7551" t="s">
        <v>27247</v>
      </c>
      <c r="H7551" t="s">
        <v>27248</v>
      </c>
      <c r="I7551" t="s">
        <v>41885</v>
      </c>
      <c r="J7551" t="s">
        <v>15005</v>
      </c>
      <c r="L7551" t="s">
        <v>27250</v>
      </c>
      <c r="M7551" t="s">
        <v>27251</v>
      </c>
      <c r="N7551" t="s">
        <v>27252</v>
      </c>
      <c r="Q7551" s="1">
        <v>44538</v>
      </c>
      <c r="R7551" t="s">
        <v>27253</v>
      </c>
      <c r="S7551" t="s">
        <v>27254</v>
      </c>
      <c r="T7551" t="s">
        <v>27269</v>
      </c>
    </row>
    <row r="7552" spans="1:20" x14ac:dyDescent="0.3">
      <c r="A7552" t="str">
        <f>"0611836296025"</f>
        <v>0611836296025</v>
      </c>
      <c r="B7552" t="str">
        <f>"MC4106"</f>
        <v>MC4106</v>
      </c>
      <c r="C7552" t="s">
        <v>41886</v>
      </c>
      <c r="D7552" t="s">
        <v>27267</v>
      </c>
      <c r="E7552" t="str">
        <f t="shared" si="117"/>
        <v>001390</v>
      </c>
      <c r="F7552" t="s">
        <v>27246</v>
      </c>
      <c r="G7552" t="s">
        <v>27247</v>
      </c>
      <c r="H7552" t="s">
        <v>27248</v>
      </c>
      <c r="I7552" t="s">
        <v>41887</v>
      </c>
      <c r="J7552" t="s">
        <v>15007</v>
      </c>
      <c r="L7552" t="s">
        <v>27250</v>
      </c>
      <c r="M7552" t="s">
        <v>27251</v>
      </c>
      <c r="N7552" t="s">
        <v>27252</v>
      </c>
      <c r="Q7552" s="1">
        <v>44538</v>
      </c>
      <c r="R7552" t="s">
        <v>27253</v>
      </c>
      <c r="S7552" t="s">
        <v>27254</v>
      </c>
      <c r="T7552" t="s">
        <v>27269</v>
      </c>
    </row>
    <row r="7553" spans="1:20" x14ac:dyDescent="0.3">
      <c r="A7553" t="str">
        <f>"0611836297025"</f>
        <v>0611836297025</v>
      </c>
      <c r="B7553" t="str">
        <f>"MC4107"</f>
        <v>MC4107</v>
      </c>
      <c r="C7553" t="s">
        <v>41888</v>
      </c>
      <c r="D7553" t="s">
        <v>27267</v>
      </c>
      <c r="E7553" t="str">
        <f t="shared" si="117"/>
        <v>001390</v>
      </c>
      <c r="F7553" t="s">
        <v>27246</v>
      </c>
      <c r="G7553" t="s">
        <v>27247</v>
      </c>
      <c r="H7553" t="s">
        <v>27248</v>
      </c>
      <c r="I7553" t="s">
        <v>41889</v>
      </c>
      <c r="J7553" t="s">
        <v>15009</v>
      </c>
      <c r="L7553" t="s">
        <v>27250</v>
      </c>
      <c r="M7553" t="s">
        <v>27251</v>
      </c>
      <c r="N7553" t="s">
        <v>27252</v>
      </c>
      <c r="Q7553" s="1">
        <v>44538</v>
      </c>
      <c r="R7553" t="s">
        <v>27253</v>
      </c>
      <c r="S7553" t="s">
        <v>27254</v>
      </c>
      <c r="T7553" t="s">
        <v>27269</v>
      </c>
    </row>
    <row r="7554" spans="1:20" x14ac:dyDescent="0.3">
      <c r="A7554" t="str">
        <f>"0611836298025"</f>
        <v>0611836298025</v>
      </c>
      <c r="B7554" t="str">
        <f>"MC4108"</f>
        <v>MC4108</v>
      </c>
      <c r="C7554" t="s">
        <v>41890</v>
      </c>
      <c r="D7554" t="s">
        <v>27267</v>
      </c>
      <c r="E7554" t="str">
        <f t="shared" ref="E7554:E7617" si="118">"001390"</f>
        <v>001390</v>
      </c>
      <c r="F7554" t="s">
        <v>27246</v>
      </c>
      <c r="G7554" t="s">
        <v>27247</v>
      </c>
      <c r="H7554" t="s">
        <v>27248</v>
      </c>
      <c r="I7554" t="s">
        <v>41891</v>
      </c>
      <c r="J7554" t="s">
        <v>15011</v>
      </c>
      <c r="L7554" t="s">
        <v>27250</v>
      </c>
      <c r="M7554" t="s">
        <v>27251</v>
      </c>
      <c r="N7554" t="s">
        <v>27252</v>
      </c>
      <c r="Q7554" s="1">
        <v>44538</v>
      </c>
      <c r="R7554" t="s">
        <v>27253</v>
      </c>
      <c r="S7554" t="s">
        <v>27254</v>
      </c>
      <c r="T7554" t="s">
        <v>27269</v>
      </c>
    </row>
    <row r="7555" spans="1:20" x14ac:dyDescent="0.3">
      <c r="A7555" t="str">
        <f>"0611836299100"</f>
        <v>0611836299100</v>
      </c>
      <c r="B7555" t="str">
        <f>"LH5417"</f>
        <v>LH5417</v>
      </c>
      <c r="C7555" t="s">
        <v>41892</v>
      </c>
      <c r="D7555" t="s">
        <v>27245</v>
      </c>
      <c r="E7555" t="str">
        <f t="shared" si="118"/>
        <v>001390</v>
      </c>
      <c r="F7555" t="s">
        <v>27246</v>
      </c>
      <c r="G7555" t="s">
        <v>27247</v>
      </c>
      <c r="H7555" t="s">
        <v>27248</v>
      </c>
      <c r="I7555" t="s">
        <v>41893</v>
      </c>
      <c r="J7555" t="s">
        <v>15013</v>
      </c>
      <c r="L7555" t="s">
        <v>27250</v>
      </c>
      <c r="M7555" t="s">
        <v>27251</v>
      </c>
      <c r="N7555" t="s">
        <v>27252</v>
      </c>
      <c r="Q7555" s="1">
        <v>44538</v>
      </c>
      <c r="R7555" t="s">
        <v>27253</v>
      </c>
      <c r="S7555" t="s">
        <v>27254</v>
      </c>
      <c r="T7555" t="s">
        <v>27255</v>
      </c>
    </row>
    <row r="7556" spans="1:20" x14ac:dyDescent="0.3">
      <c r="A7556" t="str">
        <f>"0611836300025"</f>
        <v>0611836300025</v>
      </c>
      <c r="B7556" t="str">
        <f>"MC1286"</f>
        <v>MC1286</v>
      </c>
      <c r="C7556" t="s">
        <v>41892</v>
      </c>
      <c r="D7556" t="s">
        <v>27267</v>
      </c>
      <c r="E7556" t="str">
        <f t="shared" si="118"/>
        <v>001390</v>
      </c>
      <c r="F7556" t="s">
        <v>27246</v>
      </c>
      <c r="G7556" t="s">
        <v>27247</v>
      </c>
      <c r="H7556" t="s">
        <v>27248</v>
      </c>
      <c r="I7556" t="s">
        <v>41894</v>
      </c>
      <c r="J7556" t="s">
        <v>15015</v>
      </c>
      <c r="L7556" t="s">
        <v>27250</v>
      </c>
      <c r="M7556" t="s">
        <v>27251</v>
      </c>
      <c r="N7556" t="s">
        <v>27252</v>
      </c>
      <c r="Q7556" s="1">
        <v>44538</v>
      </c>
      <c r="R7556" t="s">
        <v>27253</v>
      </c>
      <c r="S7556" t="s">
        <v>27254</v>
      </c>
      <c r="T7556" t="s">
        <v>27269</v>
      </c>
    </row>
    <row r="7557" spans="1:20" x14ac:dyDescent="0.3">
      <c r="A7557" t="str">
        <f>"0611836301100"</f>
        <v>0611836301100</v>
      </c>
      <c r="B7557" t="str">
        <f>"LH5418"</f>
        <v>LH5418</v>
      </c>
      <c r="C7557" t="s">
        <v>41895</v>
      </c>
      <c r="D7557" t="s">
        <v>27245</v>
      </c>
      <c r="E7557" t="str">
        <f t="shared" si="118"/>
        <v>001390</v>
      </c>
      <c r="F7557" t="s">
        <v>27246</v>
      </c>
      <c r="G7557" t="s">
        <v>27247</v>
      </c>
      <c r="H7557" t="s">
        <v>27248</v>
      </c>
      <c r="I7557" t="s">
        <v>41896</v>
      </c>
      <c r="J7557" t="s">
        <v>15017</v>
      </c>
      <c r="L7557" t="s">
        <v>27250</v>
      </c>
      <c r="M7557" t="s">
        <v>27251</v>
      </c>
      <c r="N7557" t="s">
        <v>27252</v>
      </c>
      <c r="Q7557" s="1">
        <v>44538</v>
      </c>
      <c r="R7557" t="s">
        <v>27253</v>
      </c>
      <c r="S7557" t="s">
        <v>27254</v>
      </c>
      <c r="T7557" t="s">
        <v>27255</v>
      </c>
    </row>
    <row r="7558" spans="1:20" x14ac:dyDescent="0.3">
      <c r="A7558" t="str">
        <f>"0611836302025"</f>
        <v>0611836302025</v>
      </c>
      <c r="B7558" t="str">
        <f>"MC0891"</f>
        <v>MC0891</v>
      </c>
      <c r="C7558" t="s">
        <v>41895</v>
      </c>
      <c r="D7558" t="s">
        <v>27267</v>
      </c>
      <c r="E7558" t="str">
        <f t="shared" si="118"/>
        <v>001390</v>
      </c>
      <c r="F7558" t="s">
        <v>27246</v>
      </c>
      <c r="G7558" t="s">
        <v>27247</v>
      </c>
      <c r="H7558" t="s">
        <v>27248</v>
      </c>
      <c r="I7558" t="s">
        <v>41897</v>
      </c>
      <c r="J7558" t="s">
        <v>15019</v>
      </c>
      <c r="L7558" t="s">
        <v>27250</v>
      </c>
      <c r="M7558" t="s">
        <v>27251</v>
      </c>
      <c r="N7558" t="s">
        <v>27252</v>
      </c>
      <c r="Q7558" s="1">
        <v>44538</v>
      </c>
      <c r="R7558" t="s">
        <v>27253</v>
      </c>
      <c r="S7558" t="s">
        <v>27254</v>
      </c>
      <c r="T7558" t="s">
        <v>27269</v>
      </c>
    </row>
    <row r="7559" spans="1:20" x14ac:dyDescent="0.3">
      <c r="A7559" t="str">
        <f>"0611836303100"</f>
        <v>0611836303100</v>
      </c>
      <c r="B7559" t="str">
        <f>"LH5419"</f>
        <v>LH5419</v>
      </c>
      <c r="C7559" t="s">
        <v>41898</v>
      </c>
      <c r="D7559" t="s">
        <v>27245</v>
      </c>
      <c r="E7559" t="str">
        <f t="shared" si="118"/>
        <v>001390</v>
      </c>
      <c r="F7559" t="s">
        <v>27246</v>
      </c>
      <c r="G7559" t="s">
        <v>27247</v>
      </c>
      <c r="H7559" t="s">
        <v>27248</v>
      </c>
      <c r="I7559" t="s">
        <v>41899</v>
      </c>
      <c r="J7559" t="s">
        <v>15021</v>
      </c>
      <c r="L7559" t="s">
        <v>27250</v>
      </c>
      <c r="M7559" t="s">
        <v>27251</v>
      </c>
      <c r="N7559" t="s">
        <v>27252</v>
      </c>
      <c r="Q7559" s="1">
        <v>44538</v>
      </c>
      <c r="R7559" t="s">
        <v>27253</v>
      </c>
      <c r="S7559" t="s">
        <v>27254</v>
      </c>
      <c r="T7559" t="s">
        <v>27255</v>
      </c>
    </row>
    <row r="7560" spans="1:20" x14ac:dyDescent="0.3">
      <c r="A7560" t="str">
        <f>"0611836304025"</f>
        <v>0611836304025</v>
      </c>
      <c r="B7560" t="str">
        <f>"MC0892"</f>
        <v>MC0892</v>
      </c>
      <c r="C7560" t="s">
        <v>41898</v>
      </c>
      <c r="D7560" t="s">
        <v>27267</v>
      </c>
      <c r="E7560" t="str">
        <f t="shared" si="118"/>
        <v>001390</v>
      </c>
      <c r="F7560" t="s">
        <v>27246</v>
      </c>
      <c r="G7560" t="s">
        <v>27247</v>
      </c>
      <c r="H7560" t="s">
        <v>27248</v>
      </c>
      <c r="I7560" t="s">
        <v>41900</v>
      </c>
      <c r="J7560" t="s">
        <v>15023</v>
      </c>
      <c r="L7560" t="s">
        <v>27250</v>
      </c>
      <c r="M7560" t="s">
        <v>27251</v>
      </c>
      <c r="N7560" t="s">
        <v>27252</v>
      </c>
      <c r="Q7560" s="1">
        <v>44538</v>
      </c>
      <c r="R7560" t="s">
        <v>27253</v>
      </c>
      <c r="S7560" t="s">
        <v>27254</v>
      </c>
      <c r="T7560" t="s">
        <v>27269</v>
      </c>
    </row>
    <row r="7561" spans="1:20" x14ac:dyDescent="0.3">
      <c r="A7561" t="str">
        <f>"0611836305100"</f>
        <v>0611836305100</v>
      </c>
      <c r="B7561" t="str">
        <f>"LH5420"</f>
        <v>LH5420</v>
      </c>
      <c r="C7561" t="s">
        <v>41901</v>
      </c>
      <c r="D7561" t="s">
        <v>27245</v>
      </c>
      <c r="E7561" t="str">
        <f t="shared" si="118"/>
        <v>001390</v>
      </c>
      <c r="F7561" t="s">
        <v>27246</v>
      </c>
      <c r="G7561" t="s">
        <v>27247</v>
      </c>
      <c r="H7561" t="s">
        <v>27248</v>
      </c>
      <c r="I7561" t="s">
        <v>41902</v>
      </c>
      <c r="J7561" t="s">
        <v>15025</v>
      </c>
      <c r="L7561" t="s">
        <v>27250</v>
      </c>
      <c r="M7561" t="s">
        <v>27251</v>
      </c>
      <c r="N7561" t="s">
        <v>27252</v>
      </c>
      <c r="Q7561" s="1">
        <v>44538</v>
      </c>
      <c r="R7561" t="s">
        <v>27253</v>
      </c>
      <c r="S7561" t="s">
        <v>27254</v>
      </c>
      <c r="T7561" t="s">
        <v>27255</v>
      </c>
    </row>
    <row r="7562" spans="1:20" x14ac:dyDescent="0.3">
      <c r="A7562" t="str">
        <f>"0611836306025"</f>
        <v>0611836306025</v>
      </c>
      <c r="B7562" t="str">
        <f>"MC1287"</f>
        <v>MC1287</v>
      </c>
      <c r="C7562" t="s">
        <v>41901</v>
      </c>
      <c r="D7562" t="s">
        <v>27267</v>
      </c>
      <c r="E7562" t="str">
        <f t="shared" si="118"/>
        <v>001390</v>
      </c>
      <c r="F7562" t="s">
        <v>27246</v>
      </c>
      <c r="G7562" t="s">
        <v>27247</v>
      </c>
      <c r="H7562" t="s">
        <v>27248</v>
      </c>
      <c r="I7562" t="s">
        <v>41903</v>
      </c>
      <c r="J7562" t="s">
        <v>15027</v>
      </c>
      <c r="L7562" t="s">
        <v>27250</v>
      </c>
      <c r="M7562" t="s">
        <v>27251</v>
      </c>
      <c r="N7562" t="s">
        <v>27252</v>
      </c>
      <c r="Q7562" s="1">
        <v>44538</v>
      </c>
      <c r="R7562" t="s">
        <v>27253</v>
      </c>
      <c r="S7562" t="s">
        <v>27254</v>
      </c>
      <c r="T7562" t="s">
        <v>27269</v>
      </c>
    </row>
    <row r="7563" spans="1:20" x14ac:dyDescent="0.3">
      <c r="A7563" t="str">
        <f>"0611836307100"</f>
        <v>0611836307100</v>
      </c>
      <c r="B7563" t="str">
        <f>"LH5421"</f>
        <v>LH5421</v>
      </c>
      <c r="C7563" t="s">
        <v>41904</v>
      </c>
      <c r="D7563" t="s">
        <v>27245</v>
      </c>
      <c r="E7563" t="str">
        <f t="shared" si="118"/>
        <v>001390</v>
      </c>
      <c r="F7563" t="s">
        <v>27246</v>
      </c>
      <c r="G7563" t="s">
        <v>27247</v>
      </c>
      <c r="H7563" t="s">
        <v>27248</v>
      </c>
      <c r="I7563" t="s">
        <v>41905</v>
      </c>
      <c r="J7563" t="s">
        <v>15029</v>
      </c>
      <c r="L7563" t="s">
        <v>27250</v>
      </c>
      <c r="M7563" t="s">
        <v>27251</v>
      </c>
      <c r="N7563" t="s">
        <v>27252</v>
      </c>
      <c r="Q7563" s="1">
        <v>44538</v>
      </c>
      <c r="R7563" t="s">
        <v>27253</v>
      </c>
      <c r="S7563" t="s">
        <v>27254</v>
      </c>
      <c r="T7563" t="s">
        <v>27255</v>
      </c>
    </row>
    <row r="7564" spans="1:20" x14ac:dyDescent="0.3">
      <c r="A7564" t="str">
        <f>"0611836308025"</f>
        <v>0611836308025</v>
      </c>
      <c r="B7564" t="str">
        <f>"MC0893"</f>
        <v>MC0893</v>
      </c>
      <c r="C7564" t="s">
        <v>41904</v>
      </c>
      <c r="D7564" t="s">
        <v>27267</v>
      </c>
      <c r="E7564" t="str">
        <f t="shared" si="118"/>
        <v>001390</v>
      </c>
      <c r="F7564" t="s">
        <v>27246</v>
      </c>
      <c r="G7564" t="s">
        <v>27247</v>
      </c>
      <c r="H7564" t="s">
        <v>27248</v>
      </c>
      <c r="I7564" t="s">
        <v>41906</v>
      </c>
      <c r="J7564" t="s">
        <v>15031</v>
      </c>
      <c r="L7564" t="s">
        <v>27250</v>
      </c>
      <c r="M7564" t="s">
        <v>27251</v>
      </c>
      <c r="N7564" t="s">
        <v>27252</v>
      </c>
      <c r="Q7564" s="1">
        <v>44538</v>
      </c>
      <c r="R7564" t="s">
        <v>27253</v>
      </c>
      <c r="S7564" t="s">
        <v>27254</v>
      </c>
      <c r="T7564" t="s">
        <v>27269</v>
      </c>
    </row>
    <row r="7565" spans="1:20" x14ac:dyDescent="0.3">
      <c r="A7565" t="str">
        <f>"0611836309025"</f>
        <v>0611836309025</v>
      </c>
      <c r="B7565" t="str">
        <f>"MC4298"</f>
        <v>MC4298</v>
      </c>
      <c r="C7565" t="s">
        <v>41907</v>
      </c>
      <c r="D7565" t="s">
        <v>27267</v>
      </c>
      <c r="E7565" t="str">
        <f t="shared" si="118"/>
        <v>001390</v>
      </c>
      <c r="F7565" t="s">
        <v>27246</v>
      </c>
      <c r="G7565" t="s">
        <v>27247</v>
      </c>
      <c r="H7565" t="s">
        <v>27248</v>
      </c>
      <c r="I7565" t="s">
        <v>41908</v>
      </c>
      <c r="J7565" t="s">
        <v>15033</v>
      </c>
      <c r="L7565" t="s">
        <v>27250</v>
      </c>
      <c r="M7565" t="s">
        <v>27251</v>
      </c>
      <c r="N7565" t="s">
        <v>27252</v>
      </c>
      <c r="Q7565" s="1">
        <v>44538</v>
      </c>
      <c r="R7565" t="s">
        <v>27253</v>
      </c>
      <c r="S7565" t="s">
        <v>27254</v>
      </c>
      <c r="T7565" t="s">
        <v>27269</v>
      </c>
    </row>
    <row r="7566" spans="1:20" x14ac:dyDescent="0.3">
      <c r="A7566" t="str">
        <f>"0611836310025"</f>
        <v>0611836310025</v>
      </c>
      <c r="B7566" t="str">
        <f>"MC4299"</f>
        <v>MC4299</v>
      </c>
      <c r="C7566" t="s">
        <v>41909</v>
      </c>
      <c r="D7566" t="s">
        <v>27267</v>
      </c>
      <c r="E7566" t="str">
        <f t="shared" si="118"/>
        <v>001390</v>
      </c>
      <c r="F7566" t="s">
        <v>27246</v>
      </c>
      <c r="G7566" t="s">
        <v>27247</v>
      </c>
      <c r="H7566" t="s">
        <v>27248</v>
      </c>
      <c r="I7566" t="s">
        <v>41910</v>
      </c>
      <c r="J7566" t="s">
        <v>15035</v>
      </c>
      <c r="L7566" t="s">
        <v>27250</v>
      </c>
      <c r="M7566" t="s">
        <v>27251</v>
      </c>
      <c r="N7566" t="s">
        <v>27252</v>
      </c>
      <c r="Q7566" s="1">
        <v>44538</v>
      </c>
      <c r="R7566" t="s">
        <v>27253</v>
      </c>
      <c r="S7566" t="s">
        <v>27254</v>
      </c>
      <c r="T7566" t="s">
        <v>27269</v>
      </c>
    </row>
    <row r="7567" spans="1:20" x14ac:dyDescent="0.3">
      <c r="A7567" t="str">
        <f>"0611836311025"</f>
        <v>0611836311025</v>
      </c>
      <c r="B7567" t="str">
        <f>"MC4300"</f>
        <v>MC4300</v>
      </c>
      <c r="C7567" t="s">
        <v>41911</v>
      </c>
      <c r="D7567" t="s">
        <v>27267</v>
      </c>
      <c r="E7567" t="str">
        <f t="shared" si="118"/>
        <v>001390</v>
      </c>
      <c r="F7567" t="s">
        <v>27246</v>
      </c>
      <c r="G7567" t="s">
        <v>27247</v>
      </c>
      <c r="H7567" t="s">
        <v>27248</v>
      </c>
      <c r="I7567" t="s">
        <v>41912</v>
      </c>
      <c r="J7567" t="s">
        <v>15037</v>
      </c>
      <c r="L7567" t="s">
        <v>27250</v>
      </c>
      <c r="M7567" t="s">
        <v>27251</v>
      </c>
      <c r="N7567" t="s">
        <v>27252</v>
      </c>
      <c r="Q7567" s="1">
        <v>44538</v>
      </c>
      <c r="R7567" t="s">
        <v>27253</v>
      </c>
      <c r="S7567" t="s">
        <v>27254</v>
      </c>
      <c r="T7567" t="s">
        <v>27269</v>
      </c>
    </row>
    <row r="7568" spans="1:20" x14ac:dyDescent="0.3">
      <c r="A7568" t="str">
        <f>"0611836312025"</f>
        <v>0611836312025</v>
      </c>
      <c r="B7568" t="str">
        <f>"MC4301"</f>
        <v>MC4301</v>
      </c>
      <c r="C7568" t="s">
        <v>41913</v>
      </c>
      <c r="D7568" t="s">
        <v>27267</v>
      </c>
      <c r="E7568" t="str">
        <f t="shared" si="118"/>
        <v>001390</v>
      </c>
      <c r="F7568" t="s">
        <v>27246</v>
      </c>
      <c r="G7568" t="s">
        <v>27247</v>
      </c>
      <c r="H7568" t="s">
        <v>27248</v>
      </c>
      <c r="I7568" t="s">
        <v>41914</v>
      </c>
      <c r="J7568" t="s">
        <v>15039</v>
      </c>
      <c r="L7568" t="s">
        <v>27250</v>
      </c>
      <c r="M7568" t="s">
        <v>27251</v>
      </c>
      <c r="N7568" t="s">
        <v>27252</v>
      </c>
      <c r="Q7568" s="1">
        <v>44538</v>
      </c>
      <c r="R7568" t="s">
        <v>27253</v>
      </c>
      <c r="S7568" t="s">
        <v>27254</v>
      </c>
      <c r="T7568" t="s">
        <v>27269</v>
      </c>
    </row>
    <row r="7569" spans="1:20" x14ac:dyDescent="0.3">
      <c r="A7569" t="str">
        <f>"0611836313025"</f>
        <v>0611836313025</v>
      </c>
      <c r="B7569" t="str">
        <f>"MC4302"</f>
        <v>MC4302</v>
      </c>
      <c r="C7569" t="s">
        <v>41915</v>
      </c>
      <c r="D7569" t="s">
        <v>27267</v>
      </c>
      <c r="E7569" t="str">
        <f t="shared" si="118"/>
        <v>001390</v>
      </c>
      <c r="F7569" t="s">
        <v>27246</v>
      </c>
      <c r="G7569" t="s">
        <v>27247</v>
      </c>
      <c r="H7569" t="s">
        <v>27248</v>
      </c>
      <c r="I7569" t="s">
        <v>41916</v>
      </c>
      <c r="J7569" t="s">
        <v>15041</v>
      </c>
      <c r="L7569" t="s">
        <v>27250</v>
      </c>
      <c r="M7569" t="s">
        <v>27251</v>
      </c>
      <c r="N7569" t="s">
        <v>27252</v>
      </c>
      <c r="Q7569" s="1">
        <v>44538</v>
      </c>
      <c r="R7569" t="s">
        <v>27253</v>
      </c>
      <c r="S7569" t="s">
        <v>27254</v>
      </c>
      <c r="T7569" t="s">
        <v>27269</v>
      </c>
    </row>
    <row r="7570" spans="1:20" x14ac:dyDescent="0.3">
      <c r="A7570" t="str">
        <f>"0611836314025"</f>
        <v>0611836314025</v>
      </c>
      <c r="B7570" t="str">
        <f>"MC4303"</f>
        <v>MC4303</v>
      </c>
      <c r="C7570" t="s">
        <v>41917</v>
      </c>
      <c r="D7570" t="s">
        <v>27267</v>
      </c>
      <c r="E7570" t="str">
        <f t="shared" si="118"/>
        <v>001390</v>
      </c>
      <c r="F7570" t="s">
        <v>27246</v>
      </c>
      <c r="G7570" t="s">
        <v>27247</v>
      </c>
      <c r="H7570" t="s">
        <v>27248</v>
      </c>
      <c r="I7570" t="s">
        <v>41918</v>
      </c>
      <c r="J7570" t="s">
        <v>15043</v>
      </c>
      <c r="L7570" t="s">
        <v>27250</v>
      </c>
      <c r="M7570" t="s">
        <v>27251</v>
      </c>
      <c r="N7570" t="s">
        <v>27252</v>
      </c>
      <c r="Q7570" s="1">
        <v>44538</v>
      </c>
      <c r="R7570" t="s">
        <v>27253</v>
      </c>
      <c r="S7570" t="s">
        <v>27254</v>
      </c>
      <c r="T7570" t="s">
        <v>27269</v>
      </c>
    </row>
    <row r="7571" spans="1:20" x14ac:dyDescent="0.3">
      <c r="A7571" t="str">
        <f>"0611836315100"</f>
        <v>0611836315100</v>
      </c>
      <c r="B7571" t="str">
        <f>"LH5477"</f>
        <v>LH5477</v>
      </c>
      <c r="C7571" t="s">
        <v>41919</v>
      </c>
      <c r="D7571" t="s">
        <v>27245</v>
      </c>
      <c r="E7571" t="str">
        <f t="shared" si="118"/>
        <v>001390</v>
      </c>
      <c r="F7571" t="s">
        <v>27246</v>
      </c>
      <c r="G7571" t="s">
        <v>27247</v>
      </c>
      <c r="H7571" t="s">
        <v>27248</v>
      </c>
      <c r="I7571" t="s">
        <v>41920</v>
      </c>
      <c r="J7571" t="s">
        <v>15045</v>
      </c>
      <c r="L7571" t="s">
        <v>27250</v>
      </c>
      <c r="M7571" t="s">
        <v>27251</v>
      </c>
      <c r="N7571" t="s">
        <v>27252</v>
      </c>
      <c r="Q7571" s="1">
        <v>44538</v>
      </c>
      <c r="R7571" t="s">
        <v>27253</v>
      </c>
      <c r="S7571" t="s">
        <v>27254</v>
      </c>
      <c r="T7571" t="s">
        <v>27255</v>
      </c>
    </row>
    <row r="7572" spans="1:20" x14ac:dyDescent="0.3">
      <c r="A7572" t="str">
        <f>"0611836316025"</f>
        <v>0611836316025</v>
      </c>
      <c r="B7572" t="str">
        <f>"MC0505"</f>
        <v>MC0505</v>
      </c>
      <c r="C7572" t="s">
        <v>41919</v>
      </c>
      <c r="D7572" t="s">
        <v>27267</v>
      </c>
      <c r="E7572" t="str">
        <f t="shared" si="118"/>
        <v>001390</v>
      </c>
      <c r="F7572" t="s">
        <v>27246</v>
      </c>
      <c r="G7572" t="s">
        <v>27247</v>
      </c>
      <c r="H7572" t="s">
        <v>27248</v>
      </c>
      <c r="I7572" t="s">
        <v>41921</v>
      </c>
      <c r="J7572" t="s">
        <v>15047</v>
      </c>
      <c r="L7572" t="s">
        <v>27250</v>
      </c>
      <c r="M7572" t="s">
        <v>27251</v>
      </c>
      <c r="N7572" t="s">
        <v>27252</v>
      </c>
      <c r="Q7572" s="1">
        <v>44538</v>
      </c>
      <c r="R7572" t="s">
        <v>27253</v>
      </c>
      <c r="S7572" t="s">
        <v>27254</v>
      </c>
      <c r="T7572" t="s">
        <v>27269</v>
      </c>
    </row>
    <row r="7573" spans="1:20" x14ac:dyDescent="0.3">
      <c r="A7573" t="str">
        <f>"0611836317025"</f>
        <v>0611836317025</v>
      </c>
      <c r="B7573" t="str">
        <f>"MC1471"</f>
        <v>MC1471</v>
      </c>
      <c r="C7573" t="s">
        <v>41922</v>
      </c>
      <c r="D7573" t="s">
        <v>27267</v>
      </c>
      <c r="E7573" t="str">
        <f t="shared" si="118"/>
        <v>001390</v>
      </c>
      <c r="F7573" t="s">
        <v>27246</v>
      </c>
      <c r="G7573" t="s">
        <v>27247</v>
      </c>
      <c r="H7573" t="s">
        <v>27248</v>
      </c>
      <c r="I7573" t="s">
        <v>41923</v>
      </c>
      <c r="J7573" t="s">
        <v>15049</v>
      </c>
      <c r="L7573" t="s">
        <v>27250</v>
      </c>
      <c r="M7573" t="s">
        <v>27251</v>
      </c>
      <c r="N7573" t="s">
        <v>27252</v>
      </c>
      <c r="Q7573" s="1">
        <v>44538</v>
      </c>
      <c r="R7573" t="s">
        <v>27253</v>
      </c>
      <c r="S7573" t="s">
        <v>27254</v>
      </c>
      <c r="T7573" t="s">
        <v>27269</v>
      </c>
    </row>
    <row r="7574" spans="1:20" x14ac:dyDescent="0.3">
      <c r="A7574" t="str">
        <f>"0611836318025"</f>
        <v>0611836318025</v>
      </c>
      <c r="B7574" t="str">
        <f>"MC0506"</f>
        <v>MC0506</v>
      </c>
      <c r="C7574" t="s">
        <v>41924</v>
      </c>
      <c r="D7574" t="s">
        <v>27267</v>
      </c>
      <c r="E7574" t="str">
        <f t="shared" si="118"/>
        <v>001390</v>
      </c>
      <c r="F7574" t="s">
        <v>27246</v>
      </c>
      <c r="G7574" t="s">
        <v>27247</v>
      </c>
      <c r="H7574" t="s">
        <v>27248</v>
      </c>
      <c r="I7574" t="s">
        <v>41925</v>
      </c>
      <c r="J7574" t="s">
        <v>15051</v>
      </c>
      <c r="L7574" t="s">
        <v>27250</v>
      </c>
      <c r="M7574" t="s">
        <v>27251</v>
      </c>
      <c r="N7574" t="s">
        <v>27252</v>
      </c>
      <c r="Q7574" s="1">
        <v>44538</v>
      </c>
      <c r="R7574" t="s">
        <v>27253</v>
      </c>
      <c r="S7574" t="s">
        <v>27254</v>
      </c>
      <c r="T7574" t="s">
        <v>27269</v>
      </c>
    </row>
    <row r="7575" spans="1:20" x14ac:dyDescent="0.3">
      <c r="A7575" t="str">
        <f>"0611836324025"</f>
        <v>0611836324025</v>
      </c>
      <c r="B7575" t="str">
        <f>"MC0509"</f>
        <v>MC0509</v>
      </c>
      <c r="C7575" t="s">
        <v>41926</v>
      </c>
      <c r="D7575" t="s">
        <v>27267</v>
      </c>
      <c r="E7575" t="str">
        <f t="shared" si="118"/>
        <v>001390</v>
      </c>
      <c r="F7575" t="s">
        <v>27246</v>
      </c>
      <c r="G7575" t="s">
        <v>27247</v>
      </c>
      <c r="H7575" t="s">
        <v>27248</v>
      </c>
      <c r="I7575" t="s">
        <v>41927</v>
      </c>
      <c r="J7575" t="s">
        <v>15053</v>
      </c>
      <c r="L7575" t="s">
        <v>27250</v>
      </c>
      <c r="M7575" t="s">
        <v>27251</v>
      </c>
      <c r="N7575" t="s">
        <v>27252</v>
      </c>
      <c r="Q7575" s="1">
        <v>44538</v>
      </c>
      <c r="R7575" t="s">
        <v>27253</v>
      </c>
      <c r="S7575" t="s">
        <v>27254</v>
      </c>
      <c r="T7575" t="s">
        <v>27269</v>
      </c>
    </row>
    <row r="7576" spans="1:20" x14ac:dyDescent="0.3">
      <c r="A7576" t="str">
        <f>"0611836325100"</f>
        <v>0611836325100</v>
      </c>
      <c r="B7576" t="str">
        <f>"LH5445"</f>
        <v>LH5445</v>
      </c>
      <c r="C7576" t="s">
        <v>41928</v>
      </c>
      <c r="D7576" t="s">
        <v>27245</v>
      </c>
      <c r="E7576" t="str">
        <f t="shared" si="118"/>
        <v>001390</v>
      </c>
      <c r="F7576" t="s">
        <v>27246</v>
      </c>
      <c r="G7576" t="s">
        <v>27247</v>
      </c>
      <c r="H7576" t="s">
        <v>27248</v>
      </c>
      <c r="I7576" t="s">
        <v>41929</v>
      </c>
      <c r="J7576" t="s">
        <v>15055</v>
      </c>
      <c r="L7576" t="s">
        <v>27250</v>
      </c>
      <c r="M7576" t="s">
        <v>27251</v>
      </c>
      <c r="N7576" t="s">
        <v>27252</v>
      </c>
      <c r="O7576">
        <v>100</v>
      </c>
      <c r="Q7576" s="1">
        <v>44538</v>
      </c>
      <c r="R7576" t="s">
        <v>27253</v>
      </c>
      <c r="S7576" t="s">
        <v>27254</v>
      </c>
      <c r="T7576" t="s">
        <v>27255</v>
      </c>
    </row>
    <row r="7577" spans="1:20" x14ac:dyDescent="0.3">
      <c r="A7577" t="str">
        <f>"0611836326025"</f>
        <v>0611836326025</v>
      </c>
      <c r="B7577" t="str">
        <f>"MC0510"</f>
        <v>MC0510</v>
      </c>
      <c r="C7577" t="s">
        <v>41928</v>
      </c>
      <c r="D7577" t="s">
        <v>27267</v>
      </c>
      <c r="E7577" t="str">
        <f t="shared" si="118"/>
        <v>001390</v>
      </c>
      <c r="F7577" t="s">
        <v>27246</v>
      </c>
      <c r="G7577" t="s">
        <v>27247</v>
      </c>
      <c r="H7577" t="s">
        <v>27248</v>
      </c>
      <c r="I7577" t="s">
        <v>41930</v>
      </c>
      <c r="J7577" t="s">
        <v>15057</v>
      </c>
      <c r="L7577" t="s">
        <v>27250</v>
      </c>
      <c r="M7577" t="s">
        <v>27251</v>
      </c>
      <c r="N7577" t="s">
        <v>27252</v>
      </c>
      <c r="Q7577" s="1">
        <v>44538</v>
      </c>
      <c r="R7577" t="s">
        <v>27253</v>
      </c>
      <c r="S7577" t="s">
        <v>27254</v>
      </c>
      <c r="T7577" t="s">
        <v>27269</v>
      </c>
    </row>
    <row r="7578" spans="1:20" x14ac:dyDescent="0.3">
      <c r="A7578" t="str">
        <f>"0611836327025"</f>
        <v>0611836327025</v>
      </c>
      <c r="B7578" t="str">
        <f>"MC0513"</f>
        <v>MC0513</v>
      </c>
      <c r="C7578" t="s">
        <v>41931</v>
      </c>
      <c r="D7578" t="s">
        <v>27267</v>
      </c>
      <c r="E7578" t="str">
        <f t="shared" si="118"/>
        <v>001390</v>
      </c>
      <c r="F7578" t="s">
        <v>27246</v>
      </c>
      <c r="G7578" t="s">
        <v>27247</v>
      </c>
      <c r="H7578" t="s">
        <v>27248</v>
      </c>
      <c r="I7578" t="s">
        <v>41932</v>
      </c>
      <c r="J7578" t="s">
        <v>15059</v>
      </c>
      <c r="L7578" t="s">
        <v>27250</v>
      </c>
      <c r="M7578" t="s">
        <v>27251</v>
      </c>
      <c r="N7578" t="s">
        <v>27252</v>
      </c>
      <c r="Q7578" s="1">
        <v>44538</v>
      </c>
      <c r="R7578" t="s">
        <v>27253</v>
      </c>
      <c r="S7578" t="s">
        <v>27254</v>
      </c>
      <c r="T7578" t="s">
        <v>27269</v>
      </c>
    </row>
    <row r="7579" spans="1:20" x14ac:dyDescent="0.3">
      <c r="A7579" t="str">
        <f>"0611836328025"</f>
        <v>0611836328025</v>
      </c>
      <c r="B7579" t="str">
        <f>"MQ0599"</f>
        <v>MQ0599</v>
      </c>
      <c r="C7579" t="s">
        <v>41933</v>
      </c>
      <c r="D7579" t="s">
        <v>27267</v>
      </c>
      <c r="E7579" t="str">
        <f t="shared" si="118"/>
        <v>001390</v>
      </c>
      <c r="F7579" t="s">
        <v>27246</v>
      </c>
      <c r="G7579" t="s">
        <v>27247</v>
      </c>
      <c r="H7579" t="s">
        <v>27248</v>
      </c>
      <c r="I7579" t="s">
        <v>41934</v>
      </c>
      <c r="J7579" t="s">
        <v>15061</v>
      </c>
      <c r="L7579" t="s">
        <v>27250</v>
      </c>
      <c r="M7579" t="s">
        <v>27251</v>
      </c>
      <c r="N7579" t="s">
        <v>27252</v>
      </c>
      <c r="Q7579" s="1">
        <v>44538</v>
      </c>
      <c r="R7579" t="s">
        <v>27253</v>
      </c>
      <c r="S7579" t="s">
        <v>27254</v>
      </c>
      <c r="T7579" t="s">
        <v>27269</v>
      </c>
    </row>
    <row r="7580" spans="1:20" x14ac:dyDescent="0.3">
      <c r="A7580" t="str">
        <f>"0611836329025"</f>
        <v>0611836329025</v>
      </c>
      <c r="B7580" t="str">
        <f>"MQ0626"</f>
        <v>MQ0626</v>
      </c>
      <c r="C7580" t="s">
        <v>41935</v>
      </c>
      <c r="D7580" t="s">
        <v>27267</v>
      </c>
      <c r="E7580" t="str">
        <f t="shared" si="118"/>
        <v>001390</v>
      </c>
      <c r="F7580" t="s">
        <v>27246</v>
      </c>
      <c r="G7580" t="s">
        <v>27247</v>
      </c>
      <c r="H7580" t="s">
        <v>27248</v>
      </c>
      <c r="I7580" t="s">
        <v>41936</v>
      </c>
      <c r="J7580" t="s">
        <v>15063</v>
      </c>
      <c r="L7580" t="s">
        <v>27250</v>
      </c>
      <c r="M7580" t="s">
        <v>27251</v>
      </c>
      <c r="N7580" t="s">
        <v>27252</v>
      </c>
      <c r="Q7580" s="1">
        <v>44538</v>
      </c>
      <c r="R7580" t="s">
        <v>27253</v>
      </c>
      <c r="S7580" t="s">
        <v>27254</v>
      </c>
      <c r="T7580" t="s">
        <v>27269</v>
      </c>
    </row>
    <row r="7581" spans="1:20" x14ac:dyDescent="0.3">
      <c r="A7581" t="str">
        <f>"0611857028025"</f>
        <v>0611857028025</v>
      </c>
      <c r="B7581" t="str">
        <f>"MQ0794"</f>
        <v>MQ0794</v>
      </c>
      <c r="C7581" t="s">
        <v>41937</v>
      </c>
      <c r="D7581" t="s">
        <v>27267</v>
      </c>
      <c r="E7581" t="str">
        <f t="shared" si="118"/>
        <v>001390</v>
      </c>
      <c r="F7581" t="s">
        <v>27246</v>
      </c>
      <c r="G7581" t="s">
        <v>27247</v>
      </c>
      <c r="H7581" t="s">
        <v>27248</v>
      </c>
      <c r="I7581" t="s">
        <v>41938</v>
      </c>
      <c r="J7581" t="s">
        <v>15065</v>
      </c>
      <c r="L7581" t="s">
        <v>27250</v>
      </c>
      <c r="M7581" t="s">
        <v>27251</v>
      </c>
      <c r="N7581" t="s">
        <v>27252</v>
      </c>
      <c r="Q7581" s="1">
        <v>44812</v>
      </c>
      <c r="R7581" t="s">
        <v>27253</v>
      </c>
      <c r="S7581" t="s">
        <v>27254</v>
      </c>
      <c r="T7581" t="s">
        <v>27269</v>
      </c>
    </row>
    <row r="7582" spans="1:20" x14ac:dyDescent="0.3">
      <c r="A7582" t="str">
        <f>"0611836330025"</f>
        <v>0611836330025</v>
      </c>
      <c r="B7582" t="str">
        <f>"MQ0600"</f>
        <v>MQ0600</v>
      </c>
      <c r="C7582" t="s">
        <v>41939</v>
      </c>
      <c r="D7582" t="s">
        <v>27267</v>
      </c>
      <c r="E7582" t="str">
        <f t="shared" si="118"/>
        <v>001390</v>
      </c>
      <c r="F7582" t="s">
        <v>27246</v>
      </c>
      <c r="G7582" t="s">
        <v>27247</v>
      </c>
      <c r="H7582" t="s">
        <v>27248</v>
      </c>
      <c r="I7582" t="s">
        <v>41940</v>
      </c>
      <c r="J7582" t="s">
        <v>15067</v>
      </c>
      <c r="L7582" t="s">
        <v>27250</v>
      </c>
      <c r="M7582" t="s">
        <v>27251</v>
      </c>
      <c r="N7582" t="s">
        <v>27252</v>
      </c>
      <c r="Q7582" s="1">
        <v>44538</v>
      </c>
      <c r="R7582" t="s">
        <v>27253</v>
      </c>
      <c r="S7582" t="s">
        <v>27254</v>
      </c>
      <c r="T7582" t="s">
        <v>27269</v>
      </c>
    </row>
    <row r="7583" spans="1:20" x14ac:dyDescent="0.3">
      <c r="A7583" t="str">
        <f>"0611857029025"</f>
        <v>0611857029025</v>
      </c>
      <c r="B7583" t="str">
        <f>"MQ0795"</f>
        <v>MQ0795</v>
      </c>
      <c r="C7583" t="s">
        <v>41941</v>
      </c>
      <c r="D7583" t="s">
        <v>27267</v>
      </c>
      <c r="E7583" t="str">
        <f t="shared" si="118"/>
        <v>001390</v>
      </c>
      <c r="F7583" t="s">
        <v>27246</v>
      </c>
      <c r="G7583" t="s">
        <v>27247</v>
      </c>
      <c r="H7583" t="s">
        <v>27248</v>
      </c>
      <c r="I7583" t="s">
        <v>41942</v>
      </c>
      <c r="J7583" t="s">
        <v>15069</v>
      </c>
      <c r="L7583" t="s">
        <v>27250</v>
      </c>
      <c r="M7583" t="s">
        <v>27251</v>
      </c>
      <c r="N7583" t="s">
        <v>27252</v>
      </c>
      <c r="Q7583" s="1">
        <v>44812</v>
      </c>
      <c r="R7583" t="s">
        <v>27253</v>
      </c>
      <c r="S7583" t="s">
        <v>27254</v>
      </c>
      <c r="T7583" t="s">
        <v>27269</v>
      </c>
    </row>
    <row r="7584" spans="1:20" x14ac:dyDescent="0.3">
      <c r="A7584" t="str">
        <f>"0611857030025"</f>
        <v>0611857030025</v>
      </c>
      <c r="B7584" t="str">
        <f>"MQ0796"</f>
        <v>MQ0796</v>
      </c>
      <c r="C7584" t="s">
        <v>41943</v>
      </c>
      <c r="D7584" t="s">
        <v>27267</v>
      </c>
      <c r="E7584" t="str">
        <f t="shared" si="118"/>
        <v>001390</v>
      </c>
      <c r="F7584" t="s">
        <v>27246</v>
      </c>
      <c r="G7584" t="s">
        <v>27247</v>
      </c>
      <c r="H7584" t="s">
        <v>27248</v>
      </c>
      <c r="I7584" t="s">
        <v>41944</v>
      </c>
      <c r="J7584" t="s">
        <v>15071</v>
      </c>
      <c r="L7584" t="s">
        <v>27250</v>
      </c>
      <c r="M7584" t="s">
        <v>27251</v>
      </c>
      <c r="N7584" t="s">
        <v>27252</v>
      </c>
      <c r="Q7584" s="1">
        <v>44812</v>
      </c>
      <c r="R7584" t="s">
        <v>27253</v>
      </c>
      <c r="S7584" t="s">
        <v>27254</v>
      </c>
      <c r="T7584" t="s">
        <v>27269</v>
      </c>
    </row>
    <row r="7585" spans="1:20" x14ac:dyDescent="0.3">
      <c r="A7585" t="str">
        <f>"0611836331025"</f>
        <v>0611836331025</v>
      </c>
      <c r="B7585" t="str">
        <f>"MQ0601"</f>
        <v>MQ0601</v>
      </c>
      <c r="C7585" t="s">
        <v>41945</v>
      </c>
      <c r="D7585" t="s">
        <v>27267</v>
      </c>
      <c r="E7585" t="str">
        <f t="shared" si="118"/>
        <v>001390</v>
      </c>
      <c r="F7585" t="s">
        <v>27246</v>
      </c>
      <c r="G7585" t="s">
        <v>27247</v>
      </c>
      <c r="H7585" t="s">
        <v>27248</v>
      </c>
      <c r="I7585" t="s">
        <v>41946</v>
      </c>
      <c r="J7585" t="s">
        <v>15073</v>
      </c>
      <c r="L7585" t="s">
        <v>27250</v>
      </c>
      <c r="M7585" t="s">
        <v>27251</v>
      </c>
      <c r="N7585" t="s">
        <v>27252</v>
      </c>
      <c r="Q7585" s="1">
        <v>44538</v>
      </c>
      <c r="R7585" t="s">
        <v>27253</v>
      </c>
      <c r="S7585" t="s">
        <v>27254</v>
      </c>
      <c r="T7585" t="s">
        <v>27269</v>
      </c>
    </row>
    <row r="7586" spans="1:20" x14ac:dyDescent="0.3">
      <c r="A7586" t="str">
        <f>"0611836332025"</f>
        <v>0611836332025</v>
      </c>
      <c r="B7586" t="str">
        <f>"MQ6055"</f>
        <v>MQ6055</v>
      </c>
      <c r="C7586" t="s">
        <v>41947</v>
      </c>
      <c r="D7586" t="s">
        <v>27267</v>
      </c>
      <c r="E7586" t="str">
        <f t="shared" si="118"/>
        <v>001390</v>
      </c>
      <c r="F7586" t="s">
        <v>27246</v>
      </c>
      <c r="G7586" t="s">
        <v>27247</v>
      </c>
      <c r="H7586" t="s">
        <v>27248</v>
      </c>
      <c r="I7586" t="s">
        <v>41948</v>
      </c>
      <c r="J7586" t="s">
        <v>15075</v>
      </c>
      <c r="L7586" t="s">
        <v>27250</v>
      </c>
      <c r="M7586" t="s">
        <v>27251</v>
      </c>
      <c r="N7586" t="s">
        <v>27252</v>
      </c>
      <c r="Q7586" s="1">
        <v>44538</v>
      </c>
      <c r="R7586" t="s">
        <v>27253</v>
      </c>
      <c r="S7586" t="s">
        <v>27254</v>
      </c>
      <c r="T7586" t="s">
        <v>27269</v>
      </c>
    </row>
    <row r="7587" spans="1:20" x14ac:dyDescent="0.3">
      <c r="A7587" t="str">
        <f>"0611836333025"</f>
        <v>0611836333025</v>
      </c>
      <c r="B7587" t="str">
        <f>"MQ0602"</f>
        <v>MQ0602</v>
      </c>
      <c r="C7587" t="s">
        <v>41949</v>
      </c>
      <c r="D7587" t="s">
        <v>27267</v>
      </c>
      <c r="E7587" t="str">
        <f t="shared" si="118"/>
        <v>001390</v>
      </c>
      <c r="F7587" t="s">
        <v>27246</v>
      </c>
      <c r="G7587" t="s">
        <v>27247</v>
      </c>
      <c r="H7587" t="s">
        <v>27248</v>
      </c>
      <c r="I7587" t="s">
        <v>41950</v>
      </c>
      <c r="J7587" t="s">
        <v>15077</v>
      </c>
      <c r="L7587" t="s">
        <v>27250</v>
      </c>
      <c r="M7587" t="s">
        <v>27251</v>
      </c>
      <c r="N7587" t="s">
        <v>27252</v>
      </c>
      <c r="Q7587" s="1">
        <v>44538</v>
      </c>
      <c r="R7587" t="s">
        <v>27253</v>
      </c>
      <c r="S7587" t="s">
        <v>27254</v>
      </c>
      <c r="T7587" t="s">
        <v>27269</v>
      </c>
    </row>
    <row r="7588" spans="1:20" x14ac:dyDescent="0.3">
      <c r="A7588" t="str">
        <f>"0611836334025"</f>
        <v>0611836334025</v>
      </c>
      <c r="B7588" t="str">
        <f>"MQ0603"</f>
        <v>MQ0603</v>
      </c>
      <c r="C7588" t="s">
        <v>41951</v>
      </c>
      <c r="D7588" t="s">
        <v>27267</v>
      </c>
      <c r="E7588" t="str">
        <f t="shared" si="118"/>
        <v>001390</v>
      </c>
      <c r="F7588" t="s">
        <v>27246</v>
      </c>
      <c r="G7588" t="s">
        <v>27247</v>
      </c>
      <c r="H7588" t="s">
        <v>27248</v>
      </c>
      <c r="I7588" t="s">
        <v>41952</v>
      </c>
      <c r="J7588" t="s">
        <v>15079</v>
      </c>
      <c r="L7588" t="s">
        <v>27250</v>
      </c>
      <c r="M7588" t="s">
        <v>27251</v>
      </c>
      <c r="N7588" t="s">
        <v>27252</v>
      </c>
      <c r="Q7588" s="1">
        <v>44538</v>
      </c>
      <c r="R7588" t="s">
        <v>27253</v>
      </c>
      <c r="S7588" t="s">
        <v>27254</v>
      </c>
      <c r="T7588" t="s">
        <v>27269</v>
      </c>
    </row>
    <row r="7589" spans="1:20" x14ac:dyDescent="0.3">
      <c r="A7589" t="str">
        <f>"0611836335100"</f>
        <v>0611836335100</v>
      </c>
      <c r="B7589" t="str">
        <f>"LH5450"</f>
        <v>LH5450</v>
      </c>
      <c r="C7589" t="s">
        <v>41953</v>
      </c>
      <c r="D7589" t="s">
        <v>27245</v>
      </c>
      <c r="E7589" t="str">
        <f t="shared" si="118"/>
        <v>001390</v>
      </c>
      <c r="F7589" t="s">
        <v>27246</v>
      </c>
      <c r="G7589" t="s">
        <v>27247</v>
      </c>
      <c r="H7589" t="s">
        <v>27248</v>
      </c>
      <c r="I7589" t="s">
        <v>41954</v>
      </c>
      <c r="J7589" t="s">
        <v>15081</v>
      </c>
      <c r="L7589" t="s">
        <v>27250</v>
      </c>
      <c r="M7589" t="s">
        <v>27251</v>
      </c>
      <c r="N7589" t="s">
        <v>27252</v>
      </c>
      <c r="Q7589" s="1">
        <v>44538</v>
      </c>
      <c r="R7589" t="s">
        <v>27253</v>
      </c>
      <c r="S7589" t="s">
        <v>27254</v>
      </c>
      <c r="T7589" t="s">
        <v>27255</v>
      </c>
    </row>
    <row r="7590" spans="1:20" x14ac:dyDescent="0.3">
      <c r="A7590" t="str">
        <f>"0611836336025"</f>
        <v>0611836336025</v>
      </c>
      <c r="B7590" t="str">
        <f>"MC0514"</f>
        <v>MC0514</v>
      </c>
      <c r="C7590" t="s">
        <v>41955</v>
      </c>
      <c r="D7590" t="s">
        <v>27267</v>
      </c>
      <c r="E7590" t="str">
        <f t="shared" si="118"/>
        <v>001390</v>
      </c>
      <c r="F7590" t="s">
        <v>27246</v>
      </c>
      <c r="G7590" t="s">
        <v>27247</v>
      </c>
      <c r="H7590" t="s">
        <v>27248</v>
      </c>
      <c r="I7590" t="s">
        <v>41956</v>
      </c>
      <c r="J7590" t="s">
        <v>15083</v>
      </c>
      <c r="L7590" t="s">
        <v>27250</v>
      </c>
      <c r="M7590" t="s">
        <v>27251</v>
      </c>
      <c r="N7590" t="s">
        <v>27252</v>
      </c>
      <c r="Q7590" s="1">
        <v>44538</v>
      </c>
      <c r="R7590" t="s">
        <v>27253</v>
      </c>
      <c r="S7590" t="s">
        <v>27254</v>
      </c>
      <c r="T7590" t="s">
        <v>27269</v>
      </c>
    </row>
    <row r="7591" spans="1:20" x14ac:dyDescent="0.3">
      <c r="A7591" t="str">
        <f>"0611836337025"</f>
        <v>0611836337025</v>
      </c>
      <c r="B7591" t="str">
        <f>"MC0515"</f>
        <v>MC0515</v>
      </c>
      <c r="C7591" t="s">
        <v>41957</v>
      </c>
      <c r="D7591" t="s">
        <v>27267</v>
      </c>
      <c r="E7591" t="str">
        <f t="shared" si="118"/>
        <v>001390</v>
      </c>
      <c r="F7591" t="s">
        <v>27246</v>
      </c>
      <c r="G7591" t="s">
        <v>27247</v>
      </c>
      <c r="H7591" t="s">
        <v>27248</v>
      </c>
      <c r="I7591" t="s">
        <v>41958</v>
      </c>
      <c r="J7591" t="s">
        <v>15085</v>
      </c>
      <c r="L7591" t="s">
        <v>27250</v>
      </c>
      <c r="M7591" t="s">
        <v>27251</v>
      </c>
      <c r="N7591" t="s">
        <v>27252</v>
      </c>
      <c r="Q7591" s="1">
        <v>44538</v>
      </c>
      <c r="R7591" t="s">
        <v>27253</v>
      </c>
      <c r="S7591" t="s">
        <v>27254</v>
      </c>
      <c r="T7591" t="s">
        <v>27269</v>
      </c>
    </row>
    <row r="7592" spans="1:20" x14ac:dyDescent="0.3">
      <c r="A7592" t="str">
        <f>"0611836338025"</f>
        <v>0611836338025</v>
      </c>
      <c r="B7592" t="str">
        <f>"MC2669"</f>
        <v>MC2669</v>
      </c>
      <c r="C7592" t="s">
        <v>41959</v>
      </c>
      <c r="D7592" t="s">
        <v>27267</v>
      </c>
      <c r="E7592" t="str">
        <f t="shared" si="118"/>
        <v>001390</v>
      </c>
      <c r="F7592" t="s">
        <v>27246</v>
      </c>
      <c r="G7592" t="s">
        <v>27247</v>
      </c>
      <c r="H7592" t="s">
        <v>27248</v>
      </c>
      <c r="I7592" t="s">
        <v>41960</v>
      </c>
      <c r="J7592" t="s">
        <v>15087</v>
      </c>
      <c r="L7592" t="s">
        <v>27250</v>
      </c>
      <c r="M7592" t="s">
        <v>27251</v>
      </c>
      <c r="N7592" t="s">
        <v>27252</v>
      </c>
      <c r="Q7592" s="1">
        <v>44538</v>
      </c>
      <c r="R7592" t="s">
        <v>27253</v>
      </c>
      <c r="S7592" t="s">
        <v>27254</v>
      </c>
      <c r="T7592" t="s">
        <v>27269</v>
      </c>
    </row>
    <row r="7593" spans="1:20" x14ac:dyDescent="0.3">
      <c r="A7593" t="str">
        <f>"0611836339025"</f>
        <v>0611836339025</v>
      </c>
      <c r="B7593" t="str">
        <f>"MC0519"</f>
        <v>MC0519</v>
      </c>
      <c r="C7593" t="s">
        <v>41961</v>
      </c>
      <c r="D7593" t="s">
        <v>27267</v>
      </c>
      <c r="E7593" t="str">
        <f t="shared" si="118"/>
        <v>001390</v>
      </c>
      <c r="F7593" t="s">
        <v>27246</v>
      </c>
      <c r="G7593" t="s">
        <v>27247</v>
      </c>
      <c r="H7593" t="s">
        <v>27248</v>
      </c>
      <c r="I7593" t="s">
        <v>41962</v>
      </c>
      <c r="J7593" t="s">
        <v>15089</v>
      </c>
      <c r="L7593" t="s">
        <v>27250</v>
      </c>
      <c r="M7593" t="s">
        <v>27251</v>
      </c>
      <c r="N7593" t="s">
        <v>27252</v>
      </c>
      <c r="Q7593" s="1">
        <v>44538</v>
      </c>
      <c r="R7593" t="s">
        <v>27253</v>
      </c>
      <c r="S7593" t="s">
        <v>27254</v>
      </c>
      <c r="T7593" t="s">
        <v>27269</v>
      </c>
    </row>
    <row r="7594" spans="1:20" x14ac:dyDescent="0.3">
      <c r="A7594" t="str">
        <f>"0611836340100"</f>
        <v>0611836340100</v>
      </c>
      <c r="B7594" t="str">
        <f>"LH5487"</f>
        <v>LH5487</v>
      </c>
      <c r="C7594" t="s">
        <v>41963</v>
      </c>
      <c r="D7594" t="s">
        <v>27245</v>
      </c>
      <c r="E7594" t="str">
        <f t="shared" si="118"/>
        <v>001390</v>
      </c>
      <c r="F7594" t="s">
        <v>27246</v>
      </c>
      <c r="G7594" t="s">
        <v>27247</v>
      </c>
      <c r="H7594" t="s">
        <v>27248</v>
      </c>
      <c r="I7594" t="s">
        <v>41964</v>
      </c>
      <c r="J7594" t="s">
        <v>15091</v>
      </c>
      <c r="L7594" t="s">
        <v>27250</v>
      </c>
      <c r="M7594" t="s">
        <v>27251</v>
      </c>
      <c r="N7594" t="s">
        <v>27252</v>
      </c>
      <c r="Q7594" s="1">
        <v>44538</v>
      </c>
      <c r="R7594" t="s">
        <v>27253</v>
      </c>
      <c r="S7594" t="s">
        <v>27254</v>
      </c>
      <c r="T7594" t="s">
        <v>27255</v>
      </c>
    </row>
    <row r="7595" spans="1:20" x14ac:dyDescent="0.3">
      <c r="A7595" t="str">
        <f>"0611836341025"</f>
        <v>0611836341025</v>
      </c>
      <c r="B7595" t="str">
        <f>"MC0517"</f>
        <v>MC0517</v>
      </c>
      <c r="C7595" t="s">
        <v>41963</v>
      </c>
      <c r="D7595" t="s">
        <v>27267</v>
      </c>
      <c r="E7595" t="str">
        <f t="shared" si="118"/>
        <v>001390</v>
      </c>
      <c r="F7595" t="s">
        <v>27246</v>
      </c>
      <c r="G7595" t="s">
        <v>27247</v>
      </c>
      <c r="H7595" t="s">
        <v>27248</v>
      </c>
      <c r="I7595" t="s">
        <v>41965</v>
      </c>
      <c r="J7595" t="s">
        <v>15093</v>
      </c>
      <c r="L7595" t="s">
        <v>27250</v>
      </c>
      <c r="M7595" t="s">
        <v>27251</v>
      </c>
      <c r="N7595" t="s">
        <v>27252</v>
      </c>
      <c r="Q7595" s="1">
        <v>44538</v>
      </c>
      <c r="R7595" t="s">
        <v>27253</v>
      </c>
      <c r="S7595" t="s">
        <v>27254</v>
      </c>
      <c r="T7595" t="s">
        <v>27269</v>
      </c>
    </row>
    <row r="7596" spans="1:20" x14ac:dyDescent="0.3">
      <c r="A7596" t="str">
        <f>"0611836342025"</f>
        <v>0611836342025</v>
      </c>
      <c r="B7596" t="str">
        <f>"MC1289"</f>
        <v>MC1289</v>
      </c>
      <c r="C7596" t="s">
        <v>41966</v>
      </c>
      <c r="D7596" t="s">
        <v>27267</v>
      </c>
      <c r="E7596" t="str">
        <f t="shared" si="118"/>
        <v>001390</v>
      </c>
      <c r="F7596" t="s">
        <v>27246</v>
      </c>
      <c r="G7596" t="s">
        <v>27247</v>
      </c>
      <c r="H7596" t="s">
        <v>27248</v>
      </c>
      <c r="I7596" t="s">
        <v>41967</v>
      </c>
      <c r="J7596" t="s">
        <v>15095</v>
      </c>
      <c r="L7596" t="s">
        <v>27250</v>
      </c>
      <c r="M7596" t="s">
        <v>27251</v>
      </c>
      <c r="N7596" t="s">
        <v>27252</v>
      </c>
      <c r="Q7596" s="1">
        <v>44538</v>
      </c>
      <c r="R7596" t="s">
        <v>27253</v>
      </c>
      <c r="S7596" t="s">
        <v>27254</v>
      </c>
      <c r="T7596" t="s">
        <v>27269</v>
      </c>
    </row>
    <row r="7597" spans="1:20" x14ac:dyDescent="0.3">
      <c r="A7597" t="str">
        <f>"0611836343025"</f>
        <v>0611836343025</v>
      </c>
      <c r="B7597" t="str">
        <f>"MC3895"</f>
        <v>MC3895</v>
      </c>
      <c r="C7597" t="s">
        <v>41968</v>
      </c>
      <c r="D7597" t="s">
        <v>27267</v>
      </c>
      <c r="E7597" t="str">
        <f t="shared" si="118"/>
        <v>001390</v>
      </c>
      <c r="F7597" t="s">
        <v>27246</v>
      </c>
      <c r="G7597" t="s">
        <v>27247</v>
      </c>
      <c r="H7597" t="s">
        <v>27248</v>
      </c>
      <c r="I7597" t="s">
        <v>41969</v>
      </c>
      <c r="J7597" t="s">
        <v>15097</v>
      </c>
      <c r="L7597" t="s">
        <v>27250</v>
      </c>
      <c r="M7597" t="s">
        <v>27251</v>
      </c>
      <c r="N7597" t="s">
        <v>27252</v>
      </c>
      <c r="Q7597" s="1">
        <v>44538</v>
      </c>
      <c r="R7597" t="s">
        <v>27253</v>
      </c>
      <c r="S7597" t="s">
        <v>27254</v>
      </c>
      <c r="T7597" t="s">
        <v>27269</v>
      </c>
    </row>
    <row r="7598" spans="1:20" x14ac:dyDescent="0.3">
      <c r="A7598" t="str">
        <f>"0611836344025"</f>
        <v>0611836344025</v>
      </c>
      <c r="B7598" t="str">
        <f>"MC3768"</f>
        <v>MC3768</v>
      </c>
      <c r="C7598" t="s">
        <v>41970</v>
      </c>
      <c r="D7598" t="s">
        <v>27267</v>
      </c>
      <c r="E7598" t="str">
        <f t="shared" si="118"/>
        <v>001390</v>
      </c>
      <c r="F7598" t="s">
        <v>27246</v>
      </c>
      <c r="G7598" t="s">
        <v>27247</v>
      </c>
      <c r="H7598" t="s">
        <v>27248</v>
      </c>
      <c r="I7598" t="s">
        <v>41971</v>
      </c>
      <c r="J7598" t="s">
        <v>15099</v>
      </c>
      <c r="L7598" t="s">
        <v>27250</v>
      </c>
      <c r="M7598" t="s">
        <v>27251</v>
      </c>
      <c r="N7598" t="s">
        <v>27252</v>
      </c>
      <c r="Q7598" s="1">
        <v>44538</v>
      </c>
      <c r="R7598" t="s">
        <v>27253</v>
      </c>
      <c r="S7598" t="s">
        <v>27254</v>
      </c>
      <c r="T7598" t="s">
        <v>27269</v>
      </c>
    </row>
    <row r="7599" spans="1:20" x14ac:dyDescent="0.3">
      <c r="A7599" t="str">
        <f>"0611836345100"</f>
        <v>0611836345100</v>
      </c>
      <c r="B7599" t="str">
        <f>"LH8845"</f>
        <v>LH8845</v>
      </c>
      <c r="C7599" t="s">
        <v>41972</v>
      </c>
      <c r="D7599" t="s">
        <v>27245</v>
      </c>
      <c r="E7599" t="str">
        <f t="shared" si="118"/>
        <v>001390</v>
      </c>
      <c r="F7599" t="s">
        <v>27246</v>
      </c>
      <c r="G7599" t="s">
        <v>27247</v>
      </c>
      <c r="H7599" t="s">
        <v>27248</v>
      </c>
      <c r="I7599" t="s">
        <v>41973</v>
      </c>
      <c r="J7599" t="s">
        <v>15101</v>
      </c>
      <c r="L7599" t="s">
        <v>27250</v>
      </c>
      <c r="M7599" t="s">
        <v>27251</v>
      </c>
      <c r="N7599" t="s">
        <v>27252</v>
      </c>
      <c r="Q7599" s="1">
        <v>44538</v>
      </c>
      <c r="R7599" t="s">
        <v>27253</v>
      </c>
      <c r="S7599" t="s">
        <v>27254</v>
      </c>
      <c r="T7599" t="s">
        <v>27255</v>
      </c>
    </row>
    <row r="7600" spans="1:20" x14ac:dyDescent="0.3">
      <c r="A7600" t="str">
        <f>"0611884303100"</f>
        <v>0611884303100</v>
      </c>
      <c r="B7600" t="str">
        <f>"LL5067"</f>
        <v>LL5067</v>
      </c>
      <c r="C7600" t="s">
        <v>41974</v>
      </c>
      <c r="D7600" t="s">
        <v>27245</v>
      </c>
      <c r="E7600" t="str">
        <f t="shared" si="118"/>
        <v>001390</v>
      </c>
      <c r="F7600" t="s">
        <v>27246</v>
      </c>
      <c r="G7600" t="s">
        <v>27247</v>
      </c>
      <c r="H7600" t="s">
        <v>27248</v>
      </c>
      <c r="I7600" t="s">
        <v>41975</v>
      </c>
      <c r="J7600" t="s">
        <v>24611</v>
      </c>
      <c r="L7600" t="s">
        <v>27430</v>
      </c>
      <c r="M7600" t="s">
        <v>27251</v>
      </c>
      <c r="N7600" t="s">
        <v>27252</v>
      </c>
      <c r="Q7600" s="1">
        <v>45250</v>
      </c>
      <c r="R7600" t="s">
        <v>27253</v>
      </c>
      <c r="S7600" t="s">
        <v>27254</v>
      </c>
      <c r="T7600" t="s">
        <v>27255</v>
      </c>
    </row>
    <row r="7601" spans="1:20" x14ac:dyDescent="0.3">
      <c r="A7601" t="str">
        <f>"0611884304100"</f>
        <v>0611884304100</v>
      </c>
      <c r="B7601" t="str">
        <f>"LL5068"</f>
        <v>LL5068</v>
      </c>
      <c r="C7601" t="s">
        <v>41976</v>
      </c>
      <c r="D7601" t="s">
        <v>27245</v>
      </c>
      <c r="E7601" t="str">
        <f t="shared" si="118"/>
        <v>001390</v>
      </c>
      <c r="F7601" t="s">
        <v>27246</v>
      </c>
      <c r="G7601" t="s">
        <v>27247</v>
      </c>
      <c r="H7601" t="s">
        <v>27248</v>
      </c>
      <c r="I7601" t="s">
        <v>41977</v>
      </c>
      <c r="J7601" t="s">
        <v>25101</v>
      </c>
      <c r="L7601" t="s">
        <v>27430</v>
      </c>
      <c r="M7601" t="s">
        <v>27251</v>
      </c>
      <c r="N7601" t="s">
        <v>27252</v>
      </c>
      <c r="Q7601" s="1">
        <v>45250</v>
      </c>
      <c r="R7601" t="s">
        <v>27253</v>
      </c>
      <c r="S7601" t="s">
        <v>27254</v>
      </c>
      <c r="T7601" t="s">
        <v>27255</v>
      </c>
    </row>
    <row r="7602" spans="1:20" x14ac:dyDescent="0.3">
      <c r="A7602" t="str">
        <f>"0611836681025"</f>
        <v>0611836681025</v>
      </c>
      <c r="B7602" t="str">
        <f>"MC1290"</f>
        <v>MC1290</v>
      </c>
      <c r="C7602" t="s">
        <v>41978</v>
      </c>
      <c r="D7602" t="s">
        <v>27267</v>
      </c>
      <c r="E7602" t="str">
        <f t="shared" si="118"/>
        <v>001390</v>
      </c>
      <c r="F7602" t="s">
        <v>27246</v>
      </c>
      <c r="G7602" t="s">
        <v>27247</v>
      </c>
      <c r="H7602" t="s">
        <v>27248</v>
      </c>
      <c r="I7602" t="s">
        <v>41979</v>
      </c>
      <c r="J7602" t="s">
        <v>15103</v>
      </c>
      <c r="L7602" t="s">
        <v>27250</v>
      </c>
      <c r="M7602" t="s">
        <v>27251</v>
      </c>
      <c r="N7602" t="s">
        <v>27252</v>
      </c>
      <c r="Q7602" s="1">
        <v>44538</v>
      </c>
      <c r="R7602" t="s">
        <v>27253</v>
      </c>
      <c r="S7602" t="s">
        <v>27254</v>
      </c>
      <c r="T7602" t="s">
        <v>27269</v>
      </c>
    </row>
    <row r="7603" spans="1:20" x14ac:dyDescent="0.3">
      <c r="A7603" t="str">
        <f>"0611836682100"</f>
        <v>0611836682100</v>
      </c>
      <c r="B7603" t="str">
        <f>"LQ3150"</f>
        <v>LQ3150</v>
      </c>
      <c r="C7603" t="s">
        <v>41980</v>
      </c>
      <c r="D7603" t="s">
        <v>27245</v>
      </c>
      <c r="E7603" t="str">
        <f t="shared" si="118"/>
        <v>001390</v>
      </c>
      <c r="F7603" t="s">
        <v>27246</v>
      </c>
      <c r="G7603" t="s">
        <v>27247</v>
      </c>
      <c r="H7603" t="s">
        <v>27248</v>
      </c>
      <c r="I7603" t="s">
        <v>41981</v>
      </c>
      <c r="J7603" t="s">
        <v>15105</v>
      </c>
      <c r="L7603" t="s">
        <v>27250</v>
      </c>
      <c r="M7603" t="s">
        <v>27251</v>
      </c>
      <c r="N7603" t="s">
        <v>27252</v>
      </c>
      <c r="Q7603" s="1">
        <v>44538</v>
      </c>
      <c r="R7603" t="s">
        <v>27253</v>
      </c>
      <c r="S7603" t="s">
        <v>27254</v>
      </c>
      <c r="T7603" t="s">
        <v>27255</v>
      </c>
    </row>
    <row r="7604" spans="1:20" x14ac:dyDescent="0.3">
      <c r="A7604" t="str">
        <f>"0611836683025"</f>
        <v>0611836683025</v>
      </c>
      <c r="B7604" t="str">
        <f>"MC0523"</f>
        <v>MC0523</v>
      </c>
      <c r="C7604" t="s">
        <v>41982</v>
      </c>
      <c r="D7604" t="s">
        <v>27267</v>
      </c>
      <c r="E7604" t="str">
        <f t="shared" si="118"/>
        <v>001390</v>
      </c>
      <c r="F7604" t="s">
        <v>27246</v>
      </c>
      <c r="G7604" t="s">
        <v>27247</v>
      </c>
      <c r="H7604" t="s">
        <v>27248</v>
      </c>
      <c r="I7604" t="s">
        <v>41983</v>
      </c>
      <c r="J7604" t="s">
        <v>15107</v>
      </c>
      <c r="L7604" t="s">
        <v>27250</v>
      </c>
      <c r="M7604" t="s">
        <v>27251</v>
      </c>
      <c r="N7604" t="s">
        <v>27252</v>
      </c>
      <c r="Q7604" s="1">
        <v>44538</v>
      </c>
      <c r="R7604" t="s">
        <v>27253</v>
      </c>
      <c r="S7604" t="s">
        <v>27254</v>
      </c>
      <c r="T7604" t="s">
        <v>27269</v>
      </c>
    </row>
    <row r="7605" spans="1:20" x14ac:dyDescent="0.3">
      <c r="A7605" t="str">
        <f>"0611836684100"</f>
        <v>0611836684100</v>
      </c>
      <c r="B7605" t="str">
        <f>"LF4592"</f>
        <v>LF4592</v>
      </c>
      <c r="C7605" t="s">
        <v>41984</v>
      </c>
      <c r="D7605" t="s">
        <v>27245</v>
      </c>
      <c r="E7605" t="str">
        <f t="shared" si="118"/>
        <v>001390</v>
      </c>
      <c r="F7605" t="s">
        <v>27246</v>
      </c>
      <c r="G7605" t="s">
        <v>27247</v>
      </c>
      <c r="H7605" t="s">
        <v>27248</v>
      </c>
      <c r="I7605" t="s">
        <v>41985</v>
      </c>
      <c r="J7605" t="s">
        <v>15109</v>
      </c>
      <c r="L7605" t="s">
        <v>27250</v>
      </c>
      <c r="M7605" t="s">
        <v>27251</v>
      </c>
      <c r="N7605" t="s">
        <v>27252</v>
      </c>
      <c r="Q7605" s="1">
        <v>44538</v>
      </c>
      <c r="R7605" t="s">
        <v>27253</v>
      </c>
      <c r="S7605" t="s">
        <v>27254</v>
      </c>
      <c r="T7605" t="s">
        <v>27255</v>
      </c>
    </row>
    <row r="7606" spans="1:20" x14ac:dyDescent="0.3">
      <c r="A7606" t="str">
        <f>"0611836685025"</f>
        <v>0611836685025</v>
      </c>
      <c r="B7606" t="str">
        <f>"MC0522"</f>
        <v>MC0522</v>
      </c>
      <c r="C7606" t="s">
        <v>41986</v>
      </c>
      <c r="D7606" t="s">
        <v>27267</v>
      </c>
      <c r="E7606" t="str">
        <f t="shared" si="118"/>
        <v>001390</v>
      </c>
      <c r="F7606" t="s">
        <v>27246</v>
      </c>
      <c r="G7606" t="s">
        <v>27247</v>
      </c>
      <c r="H7606" t="s">
        <v>27248</v>
      </c>
      <c r="I7606" t="s">
        <v>41987</v>
      </c>
      <c r="J7606" t="s">
        <v>15111</v>
      </c>
      <c r="L7606" t="s">
        <v>27250</v>
      </c>
      <c r="M7606" t="s">
        <v>27251</v>
      </c>
      <c r="N7606" t="s">
        <v>27252</v>
      </c>
      <c r="Q7606" s="1">
        <v>44538</v>
      </c>
      <c r="R7606" t="s">
        <v>27253</v>
      </c>
      <c r="S7606" t="s">
        <v>27254</v>
      </c>
      <c r="T7606" t="s">
        <v>27269</v>
      </c>
    </row>
    <row r="7607" spans="1:20" x14ac:dyDescent="0.3">
      <c r="A7607" t="str">
        <f>"0611836686025"</f>
        <v>0611836686025</v>
      </c>
      <c r="B7607" t="str">
        <f>"MQ0720"</f>
        <v>MQ0720</v>
      </c>
      <c r="C7607" t="s">
        <v>41988</v>
      </c>
      <c r="D7607" t="s">
        <v>27267</v>
      </c>
      <c r="E7607" t="str">
        <f t="shared" si="118"/>
        <v>001390</v>
      </c>
      <c r="F7607" t="s">
        <v>27246</v>
      </c>
      <c r="G7607" t="s">
        <v>27247</v>
      </c>
      <c r="H7607" t="s">
        <v>27248</v>
      </c>
      <c r="I7607" t="s">
        <v>41989</v>
      </c>
      <c r="J7607" t="s">
        <v>15113</v>
      </c>
      <c r="L7607" t="s">
        <v>27250</v>
      </c>
      <c r="M7607" t="s">
        <v>27251</v>
      </c>
      <c r="N7607" t="s">
        <v>27252</v>
      </c>
      <c r="Q7607" s="1">
        <v>44538</v>
      </c>
      <c r="R7607" t="s">
        <v>27253</v>
      </c>
      <c r="S7607" t="s">
        <v>27254</v>
      </c>
      <c r="T7607" t="s">
        <v>27269</v>
      </c>
    </row>
    <row r="7608" spans="1:20" x14ac:dyDescent="0.3">
      <c r="A7608" t="str">
        <f>"0611836687025"</f>
        <v>0611836687025</v>
      </c>
      <c r="B7608" t="str">
        <f>"MC1472"</f>
        <v>MC1472</v>
      </c>
      <c r="C7608" t="s">
        <v>41990</v>
      </c>
      <c r="D7608" t="s">
        <v>27267</v>
      </c>
      <c r="E7608" t="str">
        <f t="shared" si="118"/>
        <v>001390</v>
      </c>
      <c r="F7608" t="s">
        <v>27246</v>
      </c>
      <c r="G7608" t="s">
        <v>27247</v>
      </c>
      <c r="H7608" t="s">
        <v>27248</v>
      </c>
      <c r="I7608" t="s">
        <v>41991</v>
      </c>
      <c r="J7608" t="s">
        <v>15115</v>
      </c>
      <c r="L7608" t="s">
        <v>27250</v>
      </c>
      <c r="M7608" t="s">
        <v>27251</v>
      </c>
      <c r="N7608" t="s">
        <v>27252</v>
      </c>
      <c r="Q7608" s="1">
        <v>44538</v>
      </c>
      <c r="R7608" t="s">
        <v>27253</v>
      </c>
      <c r="S7608" t="s">
        <v>27254</v>
      </c>
      <c r="T7608" t="s">
        <v>27269</v>
      </c>
    </row>
    <row r="7609" spans="1:20" x14ac:dyDescent="0.3">
      <c r="A7609" t="str">
        <f>"0611836688100"</f>
        <v>0611836688100</v>
      </c>
      <c r="B7609" t="str">
        <f>"LK2600"</f>
        <v>LK2600</v>
      </c>
      <c r="C7609" t="s">
        <v>41992</v>
      </c>
      <c r="D7609" t="s">
        <v>27245</v>
      </c>
      <c r="E7609" t="str">
        <f t="shared" si="118"/>
        <v>001390</v>
      </c>
      <c r="F7609" t="s">
        <v>27246</v>
      </c>
      <c r="G7609" t="s">
        <v>27247</v>
      </c>
      <c r="H7609" t="s">
        <v>27248</v>
      </c>
      <c r="I7609" t="s">
        <v>41993</v>
      </c>
      <c r="J7609" t="s">
        <v>15117</v>
      </c>
      <c r="L7609" t="s">
        <v>27250</v>
      </c>
      <c r="M7609" t="s">
        <v>27251</v>
      </c>
      <c r="N7609" t="s">
        <v>27252</v>
      </c>
      <c r="Q7609" s="1">
        <v>44538</v>
      </c>
      <c r="R7609" t="s">
        <v>27253</v>
      </c>
      <c r="S7609" t="s">
        <v>27254</v>
      </c>
      <c r="T7609" t="s">
        <v>27255</v>
      </c>
    </row>
    <row r="7610" spans="1:20" x14ac:dyDescent="0.3">
      <c r="A7610" t="str">
        <f>"0611836690025"</f>
        <v>0611836690025</v>
      </c>
      <c r="B7610" t="str">
        <f>"MC2617"</f>
        <v>MC2617</v>
      </c>
      <c r="C7610" t="s">
        <v>41994</v>
      </c>
      <c r="D7610" t="s">
        <v>28057</v>
      </c>
      <c r="E7610" t="str">
        <f t="shared" si="118"/>
        <v>001390</v>
      </c>
      <c r="F7610" t="s">
        <v>27246</v>
      </c>
      <c r="G7610" t="s">
        <v>27247</v>
      </c>
      <c r="H7610" t="s">
        <v>27248</v>
      </c>
      <c r="I7610" t="s">
        <v>41995</v>
      </c>
      <c r="J7610" t="s">
        <v>15121</v>
      </c>
      <c r="L7610" t="s">
        <v>27250</v>
      </c>
      <c r="M7610" t="s">
        <v>27251</v>
      </c>
      <c r="N7610" t="s">
        <v>27252</v>
      </c>
      <c r="P7610" t="s">
        <v>27925</v>
      </c>
      <c r="Q7610" s="1">
        <v>44538</v>
      </c>
      <c r="R7610" t="s">
        <v>27253</v>
      </c>
      <c r="S7610" t="s">
        <v>27254</v>
      </c>
      <c r="T7610" t="s">
        <v>27269</v>
      </c>
    </row>
    <row r="7611" spans="1:20" x14ac:dyDescent="0.3">
      <c r="A7611" t="str">
        <f>"0611863279100"</f>
        <v>0611863279100</v>
      </c>
      <c r="B7611" t="str">
        <f>"CN5256"</f>
        <v>CN5256</v>
      </c>
      <c r="C7611" t="s">
        <v>41994</v>
      </c>
      <c r="D7611" t="s">
        <v>38156</v>
      </c>
      <c r="E7611" t="str">
        <f t="shared" si="118"/>
        <v>001390</v>
      </c>
      <c r="F7611" t="s">
        <v>27246</v>
      </c>
      <c r="G7611" t="s">
        <v>27247</v>
      </c>
      <c r="H7611" t="s">
        <v>27248</v>
      </c>
      <c r="I7611" t="s">
        <v>41996</v>
      </c>
      <c r="J7611" t="s">
        <v>15119</v>
      </c>
      <c r="L7611" t="s">
        <v>27250</v>
      </c>
      <c r="M7611" t="s">
        <v>27251</v>
      </c>
      <c r="N7611" t="s">
        <v>27252</v>
      </c>
      <c r="P7611" t="s">
        <v>27925</v>
      </c>
      <c r="Q7611" s="1">
        <v>44846</v>
      </c>
      <c r="R7611" t="s">
        <v>27253</v>
      </c>
      <c r="S7611" t="s">
        <v>27254</v>
      </c>
      <c r="T7611" t="s">
        <v>27255</v>
      </c>
    </row>
    <row r="7612" spans="1:20" x14ac:dyDescent="0.3">
      <c r="A7612" t="str">
        <f>"0611863280050"</f>
        <v>0611863280050</v>
      </c>
      <c r="B7612" t="str">
        <f>"CE0472"</f>
        <v>CE0472</v>
      </c>
      <c r="C7612" t="s">
        <v>41994</v>
      </c>
      <c r="D7612" t="s">
        <v>27923</v>
      </c>
      <c r="E7612" t="str">
        <f t="shared" si="118"/>
        <v>001390</v>
      </c>
      <c r="F7612" t="s">
        <v>27246</v>
      </c>
      <c r="G7612" t="s">
        <v>27247</v>
      </c>
      <c r="H7612" t="s">
        <v>27248</v>
      </c>
      <c r="I7612" t="s">
        <v>41997</v>
      </c>
      <c r="J7612" t="s">
        <v>15123</v>
      </c>
      <c r="L7612" t="s">
        <v>27250</v>
      </c>
      <c r="M7612" t="s">
        <v>27251</v>
      </c>
      <c r="N7612" t="s">
        <v>27252</v>
      </c>
      <c r="P7612" t="s">
        <v>27925</v>
      </c>
      <c r="Q7612" s="1">
        <v>44846</v>
      </c>
      <c r="R7612" t="s">
        <v>27253</v>
      </c>
      <c r="S7612" t="s">
        <v>27254</v>
      </c>
      <c r="T7612" t="s">
        <v>27265</v>
      </c>
    </row>
    <row r="7613" spans="1:20" x14ac:dyDescent="0.3">
      <c r="A7613" t="str">
        <f>"0611836691100"</f>
        <v>0611836691100</v>
      </c>
      <c r="B7613" t="str">
        <f>"LH0002"</f>
        <v>LH0002</v>
      </c>
      <c r="C7613" t="s">
        <v>41998</v>
      </c>
      <c r="D7613" t="s">
        <v>27245</v>
      </c>
      <c r="E7613" t="str">
        <f t="shared" si="118"/>
        <v>001390</v>
      </c>
      <c r="F7613" t="s">
        <v>27246</v>
      </c>
      <c r="G7613" t="s">
        <v>27247</v>
      </c>
      <c r="H7613" t="s">
        <v>27248</v>
      </c>
      <c r="I7613" t="s">
        <v>41999</v>
      </c>
      <c r="J7613" t="s">
        <v>15125</v>
      </c>
      <c r="L7613" t="s">
        <v>27250</v>
      </c>
      <c r="M7613" t="s">
        <v>27251</v>
      </c>
      <c r="N7613" t="s">
        <v>27252</v>
      </c>
      <c r="Q7613" s="1">
        <v>44538</v>
      </c>
      <c r="R7613" t="s">
        <v>27253</v>
      </c>
      <c r="S7613" t="s">
        <v>27254</v>
      </c>
      <c r="T7613" t="s">
        <v>27255</v>
      </c>
    </row>
    <row r="7614" spans="1:20" x14ac:dyDescent="0.3">
      <c r="A7614" t="str">
        <f>"0611836692025"</f>
        <v>0611836692025</v>
      </c>
      <c r="B7614" t="str">
        <f>"MC1569"</f>
        <v>MC1569</v>
      </c>
      <c r="C7614" t="s">
        <v>41998</v>
      </c>
      <c r="D7614" t="s">
        <v>27267</v>
      </c>
      <c r="E7614" t="str">
        <f t="shared" si="118"/>
        <v>001390</v>
      </c>
      <c r="F7614" t="s">
        <v>27246</v>
      </c>
      <c r="G7614" t="s">
        <v>27247</v>
      </c>
      <c r="H7614" t="s">
        <v>27248</v>
      </c>
      <c r="I7614" t="s">
        <v>42000</v>
      </c>
      <c r="J7614" t="s">
        <v>15127</v>
      </c>
      <c r="L7614" t="s">
        <v>27250</v>
      </c>
      <c r="M7614" t="s">
        <v>27251</v>
      </c>
      <c r="N7614" t="s">
        <v>27252</v>
      </c>
      <c r="Q7614" s="1">
        <v>44538</v>
      </c>
      <c r="R7614" t="s">
        <v>27253</v>
      </c>
      <c r="S7614" t="s">
        <v>27254</v>
      </c>
      <c r="T7614" t="s">
        <v>27269</v>
      </c>
    </row>
    <row r="7615" spans="1:20" x14ac:dyDescent="0.3">
      <c r="A7615" t="str">
        <f>"0611863281050"</f>
        <v>0611863281050</v>
      </c>
      <c r="B7615" t="str">
        <f>"CR2385"</f>
        <v>CR2385</v>
      </c>
      <c r="C7615" t="s">
        <v>41998</v>
      </c>
      <c r="D7615" t="s">
        <v>27263</v>
      </c>
      <c r="E7615" t="str">
        <f t="shared" si="118"/>
        <v>001390</v>
      </c>
      <c r="F7615" t="s">
        <v>27246</v>
      </c>
      <c r="G7615" t="s">
        <v>27247</v>
      </c>
      <c r="H7615" t="s">
        <v>27248</v>
      </c>
      <c r="I7615" t="s">
        <v>42001</v>
      </c>
      <c r="J7615" t="s">
        <v>15129</v>
      </c>
      <c r="L7615" t="s">
        <v>27250</v>
      </c>
      <c r="M7615" t="s">
        <v>27251</v>
      </c>
      <c r="N7615" t="s">
        <v>27252</v>
      </c>
      <c r="Q7615" s="1">
        <v>44846</v>
      </c>
      <c r="R7615" t="s">
        <v>27253</v>
      </c>
      <c r="S7615" t="s">
        <v>27254</v>
      </c>
      <c r="T7615" t="s">
        <v>27265</v>
      </c>
    </row>
    <row r="7616" spans="1:20" x14ac:dyDescent="0.3">
      <c r="A7616" t="str">
        <f>"0611863282100"</f>
        <v>0611863282100</v>
      </c>
      <c r="B7616" t="str">
        <f>"CN5255"</f>
        <v>CN5255</v>
      </c>
      <c r="C7616" t="s">
        <v>42002</v>
      </c>
      <c r="D7616" t="s">
        <v>27335</v>
      </c>
      <c r="E7616" t="str">
        <f t="shared" si="118"/>
        <v>001390</v>
      </c>
      <c r="F7616" t="s">
        <v>27246</v>
      </c>
      <c r="G7616" t="s">
        <v>27247</v>
      </c>
      <c r="H7616" t="s">
        <v>27248</v>
      </c>
      <c r="I7616" t="s">
        <v>42003</v>
      </c>
      <c r="J7616" t="s">
        <v>15131</v>
      </c>
      <c r="L7616" t="s">
        <v>27250</v>
      </c>
      <c r="M7616" t="s">
        <v>27251</v>
      </c>
      <c r="N7616" t="s">
        <v>27252</v>
      </c>
      <c r="Q7616" s="1">
        <v>44846</v>
      </c>
      <c r="R7616" t="s">
        <v>27253</v>
      </c>
      <c r="S7616" t="s">
        <v>27254</v>
      </c>
      <c r="T7616" t="s">
        <v>27255</v>
      </c>
    </row>
    <row r="7617" spans="1:20" x14ac:dyDescent="0.3">
      <c r="A7617" t="str">
        <f>"0611836694100"</f>
        <v>0611836694100</v>
      </c>
      <c r="B7617" t="str">
        <f>"LS0075"</f>
        <v>LS0075</v>
      </c>
      <c r="C7617" t="s">
        <v>42004</v>
      </c>
      <c r="D7617" t="s">
        <v>27245</v>
      </c>
      <c r="E7617" t="str">
        <f t="shared" si="118"/>
        <v>001390</v>
      </c>
      <c r="F7617" t="s">
        <v>27246</v>
      </c>
      <c r="G7617" t="s">
        <v>27247</v>
      </c>
      <c r="H7617" t="s">
        <v>27248</v>
      </c>
      <c r="I7617" t="s">
        <v>42005</v>
      </c>
      <c r="J7617" t="s">
        <v>15133</v>
      </c>
      <c r="L7617" t="s">
        <v>27250</v>
      </c>
      <c r="M7617" t="s">
        <v>27251</v>
      </c>
      <c r="N7617" t="s">
        <v>27252</v>
      </c>
      <c r="Q7617" s="1">
        <v>44538</v>
      </c>
      <c r="R7617" t="s">
        <v>27253</v>
      </c>
      <c r="S7617" t="s">
        <v>27254</v>
      </c>
      <c r="T7617" t="s">
        <v>27255</v>
      </c>
    </row>
    <row r="7618" spans="1:20" x14ac:dyDescent="0.3">
      <c r="A7618" t="str">
        <f>"0611836695100"</f>
        <v>0611836695100</v>
      </c>
      <c r="B7618" t="str">
        <f>"LQ3244"</f>
        <v>LQ3244</v>
      </c>
      <c r="C7618" t="s">
        <v>42006</v>
      </c>
      <c r="D7618" t="s">
        <v>27245</v>
      </c>
      <c r="E7618" t="str">
        <f t="shared" ref="E7618:E7681" si="119">"001390"</f>
        <v>001390</v>
      </c>
      <c r="F7618" t="s">
        <v>27246</v>
      </c>
      <c r="G7618" t="s">
        <v>27247</v>
      </c>
      <c r="H7618" t="s">
        <v>27248</v>
      </c>
      <c r="I7618" t="s">
        <v>42007</v>
      </c>
      <c r="J7618" t="s">
        <v>15135</v>
      </c>
      <c r="L7618" t="s">
        <v>27250</v>
      </c>
      <c r="M7618" t="s">
        <v>27251</v>
      </c>
      <c r="N7618" t="s">
        <v>27252</v>
      </c>
      <c r="Q7618" s="1">
        <v>44538</v>
      </c>
      <c r="R7618" t="s">
        <v>27253</v>
      </c>
      <c r="S7618" t="s">
        <v>27254</v>
      </c>
      <c r="T7618" t="s">
        <v>27255</v>
      </c>
    </row>
    <row r="7619" spans="1:20" x14ac:dyDescent="0.3">
      <c r="A7619" t="str">
        <f>"0611863283050"</f>
        <v>0611863283050</v>
      </c>
      <c r="B7619" t="str">
        <f>"CR2979"</f>
        <v>CR2979</v>
      </c>
      <c r="C7619" t="s">
        <v>42006</v>
      </c>
      <c r="D7619" t="s">
        <v>27263</v>
      </c>
      <c r="E7619" t="str">
        <f t="shared" si="119"/>
        <v>001390</v>
      </c>
      <c r="F7619" t="s">
        <v>27246</v>
      </c>
      <c r="G7619" t="s">
        <v>27247</v>
      </c>
      <c r="H7619" t="s">
        <v>27248</v>
      </c>
      <c r="I7619" t="s">
        <v>42008</v>
      </c>
      <c r="J7619" t="s">
        <v>15137</v>
      </c>
      <c r="L7619" t="s">
        <v>27250</v>
      </c>
      <c r="M7619" t="s">
        <v>27251</v>
      </c>
      <c r="N7619" t="s">
        <v>27252</v>
      </c>
      <c r="Q7619" s="1">
        <v>44846</v>
      </c>
      <c r="R7619" t="s">
        <v>27253</v>
      </c>
      <c r="S7619" t="s">
        <v>27254</v>
      </c>
      <c r="T7619" t="s">
        <v>27265</v>
      </c>
    </row>
    <row r="7620" spans="1:20" x14ac:dyDescent="0.3">
      <c r="A7620" t="str">
        <f>"0611836696025"</f>
        <v>0611836696025</v>
      </c>
      <c r="B7620" t="str">
        <f>"MQ0721"</f>
        <v>MQ0721</v>
      </c>
      <c r="C7620" t="s">
        <v>42009</v>
      </c>
      <c r="D7620" t="s">
        <v>27267</v>
      </c>
      <c r="E7620" t="str">
        <f t="shared" si="119"/>
        <v>001390</v>
      </c>
      <c r="F7620" t="s">
        <v>27246</v>
      </c>
      <c r="G7620" t="s">
        <v>27247</v>
      </c>
      <c r="H7620" t="s">
        <v>27248</v>
      </c>
      <c r="I7620" t="s">
        <v>42010</v>
      </c>
      <c r="J7620" t="s">
        <v>15139</v>
      </c>
      <c r="L7620" t="s">
        <v>27250</v>
      </c>
      <c r="M7620" t="s">
        <v>27251</v>
      </c>
      <c r="N7620" t="s">
        <v>27252</v>
      </c>
      <c r="Q7620" s="1">
        <v>44538</v>
      </c>
      <c r="R7620" t="s">
        <v>27253</v>
      </c>
      <c r="S7620" t="s">
        <v>27254</v>
      </c>
      <c r="T7620" t="s">
        <v>27269</v>
      </c>
    </row>
    <row r="7621" spans="1:20" x14ac:dyDescent="0.3">
      <c r="A7621" t="str">
        <f>"0611836697100"</f>
        <v>0611836697100</v>
      </c>
      <c r="B7621" t="str">
        <f>"LQ0144"</f>
        <v>LQ0144</v>
      </c>
      <c r="C7621" t="s">
        <v>42011</v>
      </c>
      <c r="D7621" t="s">
        <v>27245</v>
      </c>
      <c r="E7621" t="str">
        <f t="shared" si="119"/>
        <v>001390</v>
      </c>
      <c r="F7621" t="s">
        <v>27246</v>
      </c>
      <c r="G7621" t="s">
        <v>27247</v>
      </c>
      <c r="H7621" t="s">
        <v>27248</v>
      </c>
      <c r="I7621" t="s">
        <v>42012</v>
      </c>
      <c r="J7621" t="s">
        <v>15141</v>
      </c>
      <c r="L7621" t="s">
        <v>27250</v>
      </c>
      <c r="M7621" t="s">
        <v>27251</v>
      </c>
      <c r="N7621" t="s">
        <v>27252</v>
      </c>
      <c r="Q7621" s="1">
        <v>44538</v>
      </c>
      <c r="R7621" t="s">
        <v>27253</v>
      </c>
      <c r="S7621" t="s">
        <v>27254</v>
      </c>
      <c r="T7621" t="s">
        <v>27255</v>
      </c>
    </row>
    <row r="7622" spans="1:20" x14ac:dyDescent="0.3">
      <c r="A7622" t="str">
        <f>"0611863284050"</f>
        <v>0611863284050</v>
      </c>
      <c r="B7622" t="str">
        <f>"CR4143"</f>
        <v>CR4143</v>
      </c>
      <c r="C7622" t="s">
        <v>42013</v>
      </c>
      <c r="D7622" t="s">
        <v>27263</v>
      </c>
      <c r="E7622" t="str">
        <f t="shared" si="119"/>
        <v>001390</v>
      </c>
      <c r="F7622" t="s">
        <v>27246</v>
      </c>
      <c r="G7622" t="s">
        <v>27247</v>
      </c>
      <c r="H7622" t="s">
        <v>27248</v>
      </c>
      <c r="I7622" t="s">
        <v>42014</v>
      </c>
      <c r="J7622" t="s">
        <v>15145</v>
      </c>
      <c r="L7622" t="s">
        <v>27250</v>
      </c>
      <c r="M7622" t="s">
        <v>27251</v>
      </c>
      <c r="N7622" t="s">
        <v>27252</v>
      </c>
      <c r="Q7622" s="1">
        <v>44846</v>
      </c>
      <c r="R7622" t="s">
        <v>27253</v>
      </c>
      <c r="S7622" t="s">
        <v>27254</v>
      </c>
      <c r="T7622" t="s">
        <v>27265</v>
      </c>
    </row>
    <row r="7623" spans="1:20" x14ac:dyDescent="0.3">
      <c r="A7623" t="str">
        <f>"0611884305100"</f>
        <v>0611884305100</v>
      </c>
      <c r="B7623" t="str">
        <f>"LQ3919"</f>
        <v>LQ3919</v>
      </c>
      <c r="C7623" t="s">
        <v>42013</v>
      </c>
      <c r="D7623" t="s">
        <v>27245</v>
      </c>
      <c r="E7623" t="str">
        <f t="shared" si="119"/>
        <v>001390</v>
      </c>
      <c r="F7623" t="s">
        <v>27246</v>
      </c>
      <c r="G7623" t="s">
        <v>27247</v>
      </c>
      <c r="H7623" t="s">
        <v>27248</v>
      </c>
      <c r="I7623" t="s">
        <v>42015</v>
      </c>
      <c r="J7623" t="s">
        <v>15143</v>
      </c>
      <c r="L7623" t="s">
        <v>27430</v>
      </c>
      <c r="M7623" t="s">
        <v>27251</v>
      </c>
      <c r="N7623" t="s">
        <v>27252</v>
      </c>
      <c r="Q7623" s="1">
        <v>45250</v>
      </c>
      <c r="R7623" t="s">
        <v>27253</v>
      </c>
      <c r="S7623" t="s">
        <v>27254</v>
      </c>
      <c r="T7623" t="s">
        <v>27255</v>
      </c>
    </row>
    <row r="7624" spans="1:20" x14ac:dyDescent="0.3">
      <c r="A7624" t="str">
        <f>"0611836698100"</f>
        <v>0611836698100</v>
      </c>
      <c r="B7624" t="str">
        <f>"LK6213"</f>
        <v>LK6213</v>
      </c>
      <c r="C7624" t="s">
        <v>42016</v>
      </c>
      <c r="D7624" t="s">
        <v>27245</v>
      </c>
      <c r="E7624" t="str">
        <f t="shared" si="119"/>
        <v>001390</v>
      </c>
      <c r="F7624" t="s">
        <v>27246</v>
      </c>
      <c r="G7624" t="s">
        <v>27247</v>
      </c>
      <c r="H7624" t="s">
        <v>27248</v>
      </c>
      <c r="I7624" t="s">
        <v>42017</v>
      </c>
      <c r="J7624" t="s">
        <v>15147</v>
      </c>
      <c r="L7624" t="s">
        <v>27250</v>
      </c>
      <c r="M7624" t="s">
        <v>27251</v>
      </c>
      <c r="N7624" t="s">
        <v>27252</v>
      </c>
      <c r="Q7624" s="1">
        <v>44538</v>
      </c>
      <c r="R7624" t="s">
        <v>27253</v>
      </c>
      <c r="S7624" t="s">
        <v>27254</v>
      </c>
      <c r="T7624" t="s">
        <v>27255</v>
      </c>
    </row>
    <row r="7625" spans="1:20" x14ac:dyDescent="0.3">
      <c r="A7625" t="str">
        <f>"0611863285050"</f>
        <v>0611863285050</v>
      </c>
      <c r="B7625" t="str">
        <f>"CR2384"</f>
        <v>CR2384</v>
      </c>
      <c r="C7625" t="s">
        <v>42018</v>
      </c>
      <c r="D7625" t="s">
        <v>27263</v>
      </c>
      <c r="E7625" t="str">
        <f t="shared" si="119"/>
        <v>001390</v>
      </c>
      <c r="F7625" t="s">
        <v>27246</v>
      </c>
      <c r="G7625" t="s">
        <v>27247</v>
      </c>
      <c r="H7625" t="s">
        <v>27248</v>
      </c>
      <c r="I7625" t="s">
        <v>42019</v>
      </c>
      <c r="J7625" t="s">
        <v>15149</v>
      </c>
      <c r="L7625" t="s">
        <v>27250</v>
      </c>
      <c r="M7625" t="s">
        <v>27251</v>
      </c>
      <c r="N7625" t="s">
        <v>27252</v>
      </c>
      <c r="Q7625" s="1">
        <v>44846</v>
      </c>
      <c r="R7625" t="s">
        <v>27253</v>
      </c>
      <c r="S7625" t="s">
        <v>27254</v>
      </c>
      <c r="T7625" t="s">
        <v>27265</v>
      </c>
    </row>
    <row r="7626" spans="1:20" x14ac:dyDescent="0.3">
      <c r="A7626" t="str">
        <f>"0611836699025"</f>
        <v>0611836699025</v>
      </c>
      <c r="B7626" t="str">
        <f>"MC3128"</f>
        <v>MC3128</v>
      </c>
      <c r="C7626" t="s">
        <v>42020</v>
      </c>
      <c r="D7626" t="s">
        <v>27267</v>
      </c>
      <c r="E7626" t="str">
        <f t="shared" si="119"/>
        <v>001390</v>
      </c>
      <c r="F7626" t="s">
        <v>27246</v>
      </c>
      <c r="G7626" t="s">
        <v>27247</v>
      </c>
      <c r="H7626" t="s">
        <v>27248</v>
      </c>
      <c r="I7626" t="s">
        <v>42021</v>
      </c>
      <c r="J7626" t="s">
        <v>15151</v>
      </c>
      <c r="L7626" t="s">
        <v>27250</v>
      </c>
      <c r="M7626" t="s">
        <v>27251</v>
      </c>
      <c r="N7626" t="s">
        <v>27252</v>
      </c>
      <c r="Q7626" s="1">
        <v>44538</v>
      </c>
      <c r="R7626" t="s">
        <v>27253</v>
      </c>
      <c r="S7626" t="s">
        <v>27254</v>
      </c>
      <c r="T7626" t="s">
        <v>27269</v>
      </c>
    </row>
    <row r="7627" spans="1:20" x14ac:dyDescent="0.3">
      <c r="A7627" t="str">
        <f>"0611836700025"</f>
        <v>0611836700025</v>
      </c>
      <c r="B7627" t="str">
        <f>"MC0526"</f>
        <v>MC0526</v>
      </c>
      <c r="C7627" t="s">
        <v>42022</v>
      </c>
      <c r="D7627" t="s">
        <v>27267</v>
      </c>
      <c r="E7627" t="str">
        <f t="shared" si="119"/>
        <v>001390</v>
      </c>
      <c r="F7627" t="s">
        <v>27246</v>
      </c>
      <c r="G7627" t="s">
        <v>27247</v>
      </c>
      <c r="H7627" t="s">
        <v>27248</v>
      </c>
      <c r="I7627" t="s">
        <v>42023</v>
      </c>
      <c r="J7627" t="s">
        <v>15153</v>
      </c>
      <c r="L7627" t="s">
        <v>27250</v>
      </c>
      <c r="M7627" t="s">
        <v>27251</v>
      </c>
      <c r="N7627" t="s">
        <v>27252</v>
      </c>
      <c r="Q7627" s="1">
        <v>44538</v>
      </c>
      <c r="R7627" t="s">
        <v>27253</v>
      </c>
      <c r="S7627" t="s">
        <v>27254</v>
      </c>
      <c r="T7627" t="s">
        <v>27269</v>
      </c>
    </row>
    <row r="7628" spans="1:20" x14ac:dyDescent="0.3">
      <c r="A7628" t="str">
        <f>"0611863286050"</f>
        <v>0611863286050</v>
      </c>
      <c r="B7628" t="str">
        <f>"CE1656"</f>
        <v>CE1656</v>
      </c>
      <c r="C7628" t="s">
        <v>42024</v>
      </c>
      <c r="D7628" t="s">
        <v>27263</v>
      </c>
      <c r="E7628" t="str">
        <f t="shared" si="119"/>
        <v>001390</v>
      </c>
      <c r="F7628" t="s">
        <v>27246</v>
      </c>
      <c r="G7628" t="s">
        <v>27247</v>
      </c>
      <c r="H7628" t="s">
        <v>27248</v>
      </c>
      <c r="I7628" t="s">
        <v>42025</v>
      </c>
      <c r="J7628" t="s">
        <v>15171</v>
      </c>
      <c r="L7628" t="s">
        <v>27250</v>
      </c>
      <c r="M7628" t="s">
        <v>27251</v>
      </c>
      <c r="N7628" t="s">
        <v>27252</v>
      </c>
      <c r="Q7628" s="1">
        <v>44846</v>
      </c>
      <c r="R7628" t="s">
        <v>27253</v>
      </c>
      <c r="S7628" t="s">
        <v>27254</v>
      </c>
      <c r="T7628" t="s">
        <v>27265</v>
      </c>
    </row>
    <row r="7629" spans="1:20" x14ac:dyDescent="0.3">
      <c r="A7629" t="str">
        <f>"0611863287050"</f>
        <v>0611863287050</v>
      </c>
      <c r="B7629" t="str">
        <f>"CE1657"</f>
        <v>CE1657</v>
      </c>
      <c r="C7629" t="s">
        <v>42026</v>
      </c>
      <c r="D7629" t="s">
        <v>27263</v>
      </c>
      <c r="E7629" t="str">
        <f t="shared" si="119"/>
        <v>001390</v>
      </c>
      <c r="F7629" t="s">
        <v>27246</v>
      </c>
      <c r="G7629" t="s">
        <v>27247</v>
      </c>
      <c r="H7629" t="s">
        <v>27248</v>
      </c>
      <c r="I7629" t="s">
        <v>42027</v>
      </c>
      <c r="J7629" t="s">
        <v>15173</v>
      </c>
      <c r="L7629" t="s">
        <v>27250</v>
      </c>
      <c r="M7629" t="s">
        <v>27251</v>
      </c>
      <c r="N7629" t="s">
        <v>27252</v>
      </c>
      <c r="Q7629" s="1">
        <v>44846</v>
      </c>
      <c r="R7629" t="s">
        <v>27253</v>
      </c>
      <c r="S7629" t="s">
        <v>27254</v>
      </c>
      <c r="T7629" t="s">
        <v>27265</v>
      </c>
    </row>
    <row r="7630" spans="1:20" x14ac:dyDescent="0.3">
      <c r="A7630" t="str">
        <f>"0611836701025"</f>
        <v>0611836701025</v>
      </c>
      <c r="B7630" t="str">
        <f>"MC0528"</f>
        <v>MC0528</v>
      </c>
      <c r="C7630" t="s">
        <v>42028</v>
      </c>
      <c r="D7630" t="s">
        <v>27267</v>
      </c>
      <c r="E7630" t="str">
        <f t="shared" si="119"/>
        <v>001390</v>
      </c>
      <c r="F7630" t="s">
        <v>27246</v>
      </c>
      <c r="G7630" t="s">
        <v>27247</v>
      </c>
      <c r="H7630" t="s">
        <v>27248</v>
      </c>
      <c r="I7630" t="s">
        <v>42029</v>
      </c>
      <c r="J7630" t="s">
        <v>15155</v>
      </c>
      <c r="L7630" t="s">
        <v>27250</v>
      </c>
      <c r="M7630" t="s">
        <v>27251</v>
      </c>
      <c r="N7630" t="s">
        <v>27252</v>
      </c>
      <c r="Q7630" s="1">
        <v>44538</v>
      </c>
      <c r="R7630" t="s">
        <v>27253</v>
      </c>
      <c r="S7630" t="s">
        <v>27254</v>
      </c>
      <c r="T7630" t="s">
        <v>27269</v>
      </c>
    </row>
    <row r="7631" spans="1:20" x14ac:dyDescent="0.3">
      <c r="A7631" t="str">
        <f>"0611836702025"</f>
        <v>0611836702025</v>
      </c>
      <c r="B7631" t="str">
        <f>"MC1293"</f>
        <v>MC1293</v>
      </c>
      <c r="C7631" t="s">
        <v>42030</v>
      </c>
      <c r="D7631" t="s">
        <v>27267</v>
      </c>
      <c r="E7631" t="str">
        <f t="shared" si="119"/>
        <v>001390</v>
      </c>
      <c r="F7631" t="s">
        <v>27246</v>
      </c>
      <c r="G7631" t="s">
        <v>27247</v>
      </c>
      <c r="H7631" t="s">
        <v>27248</v>
      </c>
      <c r="I7631" t="s">
        <v>42031</v>
      </c>
      <c r="J7631" t="s">
        <v>15157</v>
      </c>
      <c r="L7631" t="s">
        <v>27250</v>
      </c>
      <c r="M7631" t="s">
        <v>27251</v>
      </c>
      <c r="N7631" t="s">
        <v>27252</v>
      </c>
      <c r="O7631">
        <v>25</v>
      </c>
      <c r="Q7631" s="1">
        <v>44538</v>
      </c>
      <c r="R7631" t="s">
        <v>27253</v>
      </c>
      <c r="S7631" t="s">
        <v>27254</v>
      </c>
      <c r="T7631" t="s">
        <v>27269</v>
      </c>
    </row>
    <row r="7632" spans="1:20" x14ac:dyDescent="0.3">
      <c r="A7632" t="str">
        <f>"0611836703025"</f>
        <v>0611836703025</v>
      </c>
      <c r="B7632" t="str">
        <f>"MC0529"</f>
        <v>MC0529</v>
      </c>
      <c r="C7632" t="s">
        <v>42032</v>
      </c>
      <c r="D7632" t="s">
        <v>27267</v>
      </c>
      <c r="E7632" t="str">
        <f t="shared" si="119"/>
        <v>001390</v>
      </c>
      <c r="F7632" t="s">
        <v>27246</v>
      </c>
      <c r="G7632" t="s">
        <v>27247</v>
      </c>
      <c r="H7632" t="s">
        <v>27248</v>
      </c>
      <c r="I7632" t="s">
        <v>42033</v>
      </c>
      <c r="J7632" t="s">
        <v>15159</v>
      </c>
      <c r="L7632" t="s">
        <v>27250</v>
      </c>
      <c r="M7632" t="s">
        <v>27251</v>
      </c>
      <c r="N7632" t="s">
        <v>27252</v>
      </c>
      <c r="Q7632" s="1">
        <v>44538</v>
      </c>
      <c r="R7632" t="s">
        <v>27253</v>
      </c>
      <c r="S7632" t="s">
        <v>27254</v>
      </c>
      <c r="T7632" t="s">
        <v>27269</v>
      </c>
    </row>
    <row r="7633" spans="1:20" x14ac:dyDescent="0.3">
      <c r="A7633" t="str">
        <f>"0611836704100"</f>
        <v>0611836704100</v>
      </c>
      <c r="B7633" t="str">
        <f>"LH8920"</f>
        <v>LH8920</v>
      </c>
      <c r="C7633" t="s">
        <v>42034</v>
      </c>
      <c r="D7633" t="s">
        <v>27245</v>
      </c>
      <c r="E7633" t="str">
        <f t="shared" si="119"/>
        <v>001390</v>
      </c>
      <c r="F7633" t="s">
        <v>27246</v>
      </c>
      <c r="G7633" t="s">
        <v>27247</v>
      </c>
      <c r="H7633" t="s">
        <v>27248</v>
      </c>
      <c r="I7633" t="s">
        <v>42035</v>
      </c>
      <c r="J7633" t="s">
        <v>15161</v>
      </c>
      <c r="L7633" t="s">
        <v>27250</v>
      </c>
      <c r="M7633" t="s">
        <v>27251</v>
      </c>
      <c r="N7633" t="s">
        <v>27252</v>
      </c>
      <c r="O7633">
        <v>100</v>
      </c>
      <c r="Q7633" s="1">
        <v>44538</v>
      </c>
      <c r="R7633" t="s">
        <v>27253</v>
      </c>
      <c r="S7633" t="s">
        <v>27254</v>
      </c>
      <c r="T7633" t="s">
        <v>27255</v>
      </c>
    </row>
    <row r="7634" spans="1:20" x14ac:dyDescent="0.3">
      <c r="A7634" t="str">
        <f>"0611836705025"</f>
        <v>0611836705025</v>
      </c>
      <c r="B7634" t="str">
        <f>"MC2862"</f>
        <v>MC2862</v>
      </c>
      <c r="C7634" t="s">
        <v>42036</v>
      </c>
      <c r="D7634" t="s">
        <v>27267</v>
      </c>
      <c r="E7634" t="str">
        <f t="shared" si="119"/>
        <v>001390</v>
      </c>
      <c r="F7634" t="s">
        <v>27246</v>
      </c>
      <c r="G7634" t="s">
        <v>27247</v>
      </c>
      <c r="H7634" t="s">
        <v>27248</v>
      </c>
      <c r="I7634" t="s">
        <v>42037</v>
      </c>
      <c r="J7634" t="s">
        <v>15163</v>
      </c>
      <c r="L7634" t="s">
        <v>27250</v>
      </c>
      <c r="M7634" t="s">
        <v>27251</v>
      </c>
      <c r="N7634" t="s">
        <v>27252</v>
      </c>
      <c r="Q7634" s="1">
        <v>44538</v>
      </c>
      <c r="R7634" t="s">
        <v>27253</v>
      </c>
      <c r="S7634" t="s">
        <v>27254</v>
      </c>
      <c r="T7634" t="s">
        <v>27269</v>
      </c>
    </row>
    <row r="7635" spans="1:20" x14ac:dyDescent="0.3">
      <c r="A7635" t="str">
        <f>"0611836706100"</f>
        <v>0611836706100</v>
      </c>
      <c r="B7635" t="str">
        <f>"LQ3806"</f>
        <v>LQ3806</v>
      </c>
      <c r="C7635" t="s">
        <v>42038</v>
      </c>
      <c r="D7635" t="s">
        <v>27245</v>
      </c>
      <c r="E7635" t="str">
        <f t="shared" si="119"/>
        <v>001390</v>
      </c>
      <c r="F7635" t="s">
        <v>27246</v>
      </c>
      <c r="G7635" t="s">
        <v>27247</v>
      </c>
      <c r="H7635" t="s">
        <v>27248</v>
      </c>
      <c r="I7635" t="s">
        <v>42039</v>
      </c>
      <c r="J7635" t="s">
        <v>15165</v>
      </c>
      <c r="L7635" t="s">
        <v>27250</v>
      </c>
      <c r="M7635" t="s">
        <v>27251</v>
      </c>
      <c r="N7635" t="s">
        <v>27252</v>
      </c>
      <c r="Q7635" s="1">
        <v>44538</v>
      </c>
      <c r="R7635" t="s">
        <v>27253</v>
      </c>
      <c r="S7635" t="s">
        <v>27254</v>
      </c>
      <c r="T7635" t="s">
        <v>27255</v>
      </c>
    </row>
    <row r="7636" spans="1:20" x14ac:dyDescent="0.3">
      <c r="A7636" t="str">
        <f>"0611836707100"</f>
        <v>0611836707100</v>
      </c>
      <c r="B7636" t="str">
        <f>"MB4500"</f>
        <v>MB4500</v>
      </c>
      <c r="C7636" t="s">
        <v>42040</v>
      </c>
      <c r="D7636" t="s">
        <v>27274</v>
      </c>
      <c r="E7636" t="str">
        <f t="shared" si="119"/>
        <v>001390</v>
      </c>
      <c r="F7636" t="s">
        <v>27246</v>
      </c>
      <c r="G7636" t="s">
        <v>27247</v>
      </c>
      <c r="H7636" t="s">
        <v>27248</v>
      </c>
      <c r="I7636" t="s">
        <v>42041</v>
      </c>
      <c r="J7636" t="s">
        <v>15167</v>
      </c>
      <c r="L7636" t="s">
        <v>27250</v>
      </c>
      <c r="M7636" t="s">
        <v>27251</v>
      </c>
      <c r="N7636" t="s">
        <v>27252</v>
      </c>
      <c r="Q7636" s="1">
        <v>44538</v>
      </c>
      <c r="R7636" t="s">
        <v>27253</v>
      </c>
      <c r="S7636" t="s">
        <v>27254</v>
      </c>
      <c r="T7636" t="s">
        <v>27276</v>
      </c>
    </row>
    <row r="7637" spans="1:20" x14ac:dyDescent="0.3">
      <c r="A7637" t="str">
        <f>"0611836708100"</f>
        <v>0611836708100</v>
      </c>
      <c r="B7637" t="str">
        <f>"LG4500"</f>
        <v>LG4500</v>
      </c>
      <c r="C7637" t="s">
        <v>42040</v>
      </c>
      <c r="D7637" t="s">
        <v>27245</v>
      </c>
      <c r="E7637" t="str">
        <f t="shared" si="119"/>
        <v>001390</v>
      </c>
      <c r="F7637" t="s">
        <v>27246</v>
      </c>
      <c r="G7637" t="s">
        <v>27247</v>
      </c>
      <c r="H7637" t="s">
        <v>27248</v>
      </c>
      <c r="I7637" t="s">
        <v>42042</v>
      </c>
      <c r="J7637" t="s">
        <v>15169</v>
      </c>
      <c r="L7637" t="s">
        <v>27250</v>
      </c>
      <c r="M7637" t="s">
        <v>27251</v>
      </c>
      <c r="N7637" t="s">
        <v>27252</v>
      </c>
      <c r="Q7637" s="1">
        <v>44538</v>
      </c>
      <c r="R7637" t="s">
        <v>27253</v>
      </c>
      <c r="S7637" t="s">
        <v>27254</v>
      </c>
      <c r="T7637" t="s">
        <v>27255</v>
      </c>
    </row>
    <row r="7638" spans="1:20" x14ac:dyDescent="0.3">
      <c r="A7638" t="str">
        <f>"0611836709100"</f>
        <v>0611836709100</v>
      </c>
      <c r="B7638" t="str">
        <f>"LD0038"</f>
        <v>LD0038</v>
      </c>
      <c r="C7638" t="s">
        <v>42043</v>
      </c>
      <c r="D7638" t="s">
        <v>27245</v>
      </c>
      <c r="E7638" t="str">
        <f t="shared" si="119"/>
        <v>001390</v>
      </c>
      <c r="F7638" t="s">
        <v>27246</v>
      </c>
      <c r="G7638" t="s">
        <v>27247</v>
      </c>
      <c r="H7638" t="s">
        <v>27248</v>
      </c>
      <c r="I7638" t="s">
        <v>42044</v>
      </c>
      <c r="J7638" t="s">
        <v>15175</v>
      </c>
      <c r="L7638" t="s">
        <v>27250</v>
      </c>
      <c r="M7638" t="s">
        <v>27251</v>
      </c>
      <c r="N7638" t="s">
        <v>27252</v>
      </c>
      <c r="Q7638" s="1">
        <v>44538</v>
      </c>
      <c r="R7638" t="s">
        <v>27253</v>
      </c>
      <c r="S7638" t="s">
        <v>27254</v>
      </c>
      <c r="T7638" t="s">
        <v>27255</v>
      </c>
    </row>
    <row r="7639" spans="1:20" x14ac:dyDescent="0.3">
      <c r="A7639" t="str">
        <f>"0611836710100"</f>
        <v>0611836710100</v>
      </c>
      <c r="B7639" t="str">
        <f>"LF4610"</f>
        <v>LF4610</v>
      </c>
      <c r="C7639" t="s">
        <v>42045</v>
      </c>
      <c r="D7639" t="s">
        <v>27245</v>
      </c>
      <c r="E7639" t="str">
        <f t="shared" si="119"/>
        <v>001390</v>
      </c>
      <c r="F7639" t="s">
        <v>27246</v>
      </c>
      <c r="G7639" t="s">
        <v>27247</v>
      </c>
      <c r="H7639" t="s">
        <v>27248</v>
      </c>
      <c r="I7639" t="s">
        <v>42046</v>
      </c>
      <c r="J7639" t="s">
        <v>15177</v>
      </c>
      <c r="L7639" t="s">
        <v>27250</v>
      </c>
      <c r="M7639" t="s">
        <v>27251</v>
      </c>
      <c r="N7639" t="s">
        <v>27252</v>
      </c>
      <c r="Q7639" s="1">
        <v>44538</v>
      </c>
      <c r="R7639" t="s">
        <v>27253</v>
      </c>
      <c r="S7639" t="s">
        <v>27254</v>
      </c>
      <c r="T7639" t="s">
        <v>27255</v>
      </c>
    </row>
    <row r="7640" spans="1:20" x14ac:dyDescent="0.3">
      <c r="A7640" t="str">
        <f>"0611839514100"</f>
        <v>0611839514100</v>
      </c>
      <c r="B7640" t="str">
        <f>"LS0077"</f>
        <v>LS0077</v>
      </c>
      <c r="C7640" t="s">
        <v>42047</v>
      </c>
      <c r="D7640" t="s">
        <v>27245</v>
      </c>
      <c r="E7640" t="str">
        <f t="shared" si="119"/>
        <v>001390</v>
      </c>
      <c r="F7640" t="s">
        <v>27246</v>
      </c>
      <c r="G7640" t="s">
        <v>27247</v>
      </c>
      <c r="H7640" t="s">
        <v>27248</v>
      </c>
      <c r="I7640" t="s">
        <v>42048</v>
      </c>
      <c r="J7640" t="s">
        <v>15179</v>
      </c>
      <c r="L7640" t="s">
        <v>27250</v>
      </c>
      <c r="M7640" t="s">
        <v>27251</v>
      </c>
      <c r="N7640" t="s">
        <v>27252</v>
      </c>
      <c r="Q7640" s="1">
        <v>44538</v>
      </c>
      <c r="R7640" t="s">
        <v>27253</v>
      </c>
      <c r="S7640" t="s">
        <v>27254</v>
      </c>
      <c r="T7640" t="s">
        <v>27255</v>
      </c>
    </row>
    <row r="7641" spans="1:20" x14ac:dyDescent="0.3">
      <c r="A7641" t="str">
        <f>"0611839515100"</f>
        <v>0611839515100</v>
      </c>
      <c r="B7641" t="str">
        <f>"LK5281"</f>
        <v>LK5281</v>
      </c>
      <c r="C7641" t="s">
        <v>42049</v>
      </c>
      <c r="D7641" t="s">
        <v>27245</v>
      </c>
      <c r="E7641" t="str">
        <f t="shared" si="119"/>
        <v>001390</v>
      </c>
      <c r="F7641" t="s">
        <v>27246</v>
      </c>
      <c r="G7641" t="s">
        <v>27247</v>
      </c>
      <c r="H7641" t="s">
        <v>27248</v>
      </c>
      <c r="I7641" t="s">
        <v>42050</v>
      </c>
      <c r="J7641" t="s">
        <v>15181</v>
      </c>
      <c r="L7641" t="s">
        <v>27250</v>
      </c>
      <c r="M7641" t="s">
        <v>27251</v>
      </c>
      <c r="N7641" t="s">
        <v>27252</v>
      </c>
      <c r="Q7641" s="1">
        <v>44538</v>
      </c>
      <c r="R7641" t="s">
        <v>27253</v>
      </c>
      <c r="S7641" t="s">
        <v>27254</v>
      </c>
      <c r="T7641" t="s">
        <v>27255</v>
      </c>
    </row>
    <row r="7642" spans="1:20" x14ac:dyDescent="0.3">
      <c r="A7642" t="str">
        <f>"0611857031100"</f>
        <v>0611857031100</v>
      </c>
      <c r="B7642" t="str">
        <f>"LS0078"</f>
        <v>LS0078</v>
      </c>
      <c r="C7642" t="s">
        <v>42051</v>
      </c>
      <c r="D7642" t="s">
        <v>27245</v>
      </c>
      <c r="E7642" t="str">
        <f t="shared" si="119"/>
        <v>001390</v>
      </c>
      <c r="F7642" t="s">
        <v>27246</v>
      </c>
      <c r="G7642" t="s">
        <v>27247</v>
      </c>
      <c r="H7642" t="s">
        <v>27248</v>
      </c>
      <c r="I7642" t="s">
        <v>42052</v>
      </c>
      <c r="J7642" t="s">
        <v>15183</v>
      </c>
      <c r="L7642" t="s">
        <v>27250</v>
      </c>
      <c r="M7642" t="s">
        <v>27251</v>
      </c>
      <c r="N7642" t="s">
        <v>27252</v>
      </c>
      <c r="Q7642" s="1">
        <v>44812</v>
      </c>
      <c r="R7642" t="s">
        <v>27253</v>
      </c>
      <c r="S7642" t="s">
        <v>27254</v>
      </c>
      <c r="T7642" t="s">
        <v>27255</v>
      </c>
    </row>
    <row r="7643" spans="1:20" x14ac:dyDescent="0.3">
      <c r="A7643" t="str">
        <f>"0611857032100"</f>
        <v>0611857032100</v>
      </c>
      <c r="B7643" t="str">
        <f>"LS0080"</f>
        <v>LS0080</v>
      </c>
      <c r="C7643" t="s">
        <v>42053</v>
      </c>
      <c r="D7643" t="s">
        <v>27245</v>
      </c>
      <c r="E7643" t="str">
        <f t="shared" si="119"/>
        <v>001390</v>
      </c>
      <c r="F7643" t="s">
        <v>27246</v>
      </c>
      <c r="G7643" t="s">
        <v>27247</v>
      </c>
      <c r="H7643" t="s">
        <v>27248</v>
      </c>
      <c r="I7643" t="s">
        <v>42054</v>
      </c>
      <c r="J7643" t="s">
        <v>15185</v>
      </c>
      <c r="L7643" t="s">
        <v>27250</v>
      </c>
      <c r="M7643" t="s">
        <v>27251</v>
      </c>
      <c r="N7643" t="s">
        <v>27252</v>
      </c>
      <c r="Q7643" s="1">
        <v>44812</v>
      </c>
      <c r="R7643" t="s">
        <v>27253</v>
      </c>
      <c r="S7643" t="s">
        <v>27254</v>
      </c>
      <c r="T7643" t="s">
        <v>27255</v>
      </c>
    </row>
    <row r="7644" spans="1:20" x14ac:dyDescent="0.3">
      <c r="A7644" t="str">
        <f>"0611839516100"</f>
        <v>0611839516100</v>
      </c>
      <c r="B7644" t="str">
        <f>"LK6865"</f>
        <v>LK6865</v>
      </c>
      <c r="C7644" t="s">
        <v>42055</v>
      </c>
      <c r="D7644" t="s">
        <v>28138</v>
      </c>
      <c r="E7644" t="str">
        <f t="shared" si="119"/>
        <v>001390</v>
      </c>
      <c r="F7644" t="s">
        <v>27246</v>
      </c>
      <c r="G7644" t="s">
        <v>27247</v>
      </c>
      <c r="H7644" t="s">
        <v>27248</v>
      </c>
      <c r="I7644" t="s">
        <v>42056</v>
      </c>
      <c r="J7644" t="s">
        <v>15187</v>
      </c>
      <c r="L7644" t="s">
        <v>27250</v>
      </c>
      <c r="M7644" t="s">
        <v>27251</v>
      </c>
      <c r="N7644" t="s">
        <v>27252</v>
      </c>
      <c r="P7644" t="s">
        <v>27925</v>
      </c>
      <c r="Q7644" s="1">
        <v>44538</v>
      </c>
      <c r="R7644" t="s">
        <v>27253</v>
      </c>
      <c r="S7644" t="s">
        <v>27254</v>
      </c>
      <c r="T7644" t="s">
        <v>27255</v>
      </c>
    </row>
    <row r="7645" spans="1:20" x14ac:dyDescent="0.3">
      <c r="A7645" t="str">
        <f>"0611884306100"</f>
        <v>0611884306100</v>
      </c>
      <c r="B7645" t="str">
        <f>"LK5481"</f>
        <v>LK5481</v>
      </c>
      <c r="C7645" t="s">
        <v>42057</v>
      </c>
      <c r="D7645" t="s">
        <v>27245</v>
      </c>
      <c r="E7645" t="str">
        <f t="shared" si="119"/>
        <v>001390</v>
      </c>
      <c r="F7645" t="s">
        <v>27246</v>
      </c>
      <c r="G7645" t="s">
        <v>27247</v>
      </c>
      <c r="H7645" t="s">
        <v>27248</v>
      </c>
      <c r="I7645" t="s">
        <v>42058</v>
      </c>
      <c r="J7645" t="s">
        <v>15189</v>
      </c>
      <c r="L7645" t="s">
        <v>27430</v>
      </c>
      <c r="M7645" t="s">
        <v>27251</v>
      </c>
      <c r="N7645" t="s">
        <v>27252</v>
      </c>
      <c r="Q7645" s="1">
        <v>45250</v>
      </c>
      <c r="R7645" t="s">
        <v>27253</v>
      </c>
      <c r="S7645" t="s">
        <v>27254</v>
      </c>
      <c r="T7645" t="s">
        <v>27255</v>
      </c>
    </row>
    <row r="7646" spans="1:20" x14ac:dyDescent="0.3">
      <c r="A7646" t="str">
        <f>"0611884307100"</f>
        <v>0611884307100</v>
      </c>
      <c r="B7646" t="str">
        <f>"LK5482"</f>
        <v>LK5482</v>
      </c>
      <c r="C7646" t="s">
        <v>42059</v>
      </c>
      <c r="D7646" t="s">
        <v>27245</v>
      </c>
      <c r="E7646" t="str">
        <f t="shared" si="119"/>
        <v>001390</v>
      </c>
      <c r="F7646" t="s">
        <v>27246</v>
      </c>
      <c r="G7646" t="s">
        <v>27247</v>
      </c>
      <c r="H7646" t="s">
        <v>27248</v>
      </c>
      <c r="I7646" t="s">
        <v>42060</v>
      </c>
      <c r="J7646" t="s">
        <v>15191</v>
      </c>
      <c r="L7646" t="s">
        <v>27430</v>
      </c>
      <c r="M7646" t="s">
        <v>27251</v>
      </c>
      <c r="N7646" t="s">
        <v>27252</v>
      </c>
      <c r="Q7646" s="1">
        <v>45250</v>
      </c>
      <c r="R7646" t="s">
        <v>27253</v>
      </c>
      <c r="S7646" t="s">
        <v>27254</v>
      </c>
      <c r="T7646" t="s">
        <v>27255</v>
      </c>
    </row>
    <row r="7647" spans="1:20" x14ac:dyDescent="0.3">
      <c r="A7647" t="str">
        <f>"0611884308100"</f>
        <v>0611884308100</v>
      </c>
      <c r="B7647" t="str">
        <f>"LK7166"</f>
        <v>LK7166</v>
      </c>
      <c r="C7647" t="s">
        <v>42061</v>
      </c>
      <c r="D7647" t="s">
        <v>27245</v>
      </c>
      <c r="E7647" t="str">
        <f t="shared" si="119"/>
        <v>001390</v>
      </c>
      <c r="F7647" t="s">
        <v>27246</v>
      </c>
      <c r="G7647" t="s">
        <v>27247</v>
      </c>
      <c r="H7647" t="s">
        <v>27248</v>
      </c>
      <c r="I7647" t="s">
        <v>42062</v>
      </c>
      <c r="J7647" t="s">
        <v>15193</v>
      </c>
      <c r="L7647" t="s">
        <v>27430</v>
      </c>
      <c r="M7647" t="s">
        <v>27251</v>
      </c>
      <c r="N7647" t="s">
        <v>27252</v>
      </c>
      <c r="Q7647" s="1">
        <v>45250</v>
      </c>
      <c r="R7647" t="s">
        <v>27253</v>
      </c>
      <c r="S7647" t="s">
        <v>27254</v>
      </c>
      <c r="T7647" t="s">
        <v>27255</v>
      </c>
    </row>
    <row r="7648" spans="1:20" x14ac:dyDescent="0.3">
      <c r="A7648" t="str">
        <f>"0611839521100"</f>
        <v>0611839521100</v>
      </c>
      <c r="B7648" t="str">
        <f>"LK5485"</f>
        <v>LK5485</v>
      </c>
      <c r="C7648" t="s">
        <v>42063</v>
      </c>
      <c r="D7648" t="s">
        <v>28138</v>
      </c>
      <c r="E7648" t="str">
        <f t="shared" si="119"/>
        <v>001390</v>
      </c>
      <c r="F7648" t="s">
        <v>27246</v>
      </c>
      <c r="G7648" t="s">
        <v>27247</v>
      </c>
      <c r="H7648" t="s">
        <v>27248</v>
      </c>
      <c r="I7648" t="s">
        <v>42064</v>
      </c>
      <c r="J7648" t="s">
        <v>15195</v>
      </c>
      <c r="L7648" t="s">
        <v>27250</v>
      </c>
      <c r="M7648" t="s">
        <v>27251</v>
      </c>
      <c r="N7648" t="s">
        <v>27252</v>
      </c>
      <c r="P7648" t="s">
        <v>27925</v>
      </c>
      <c r="Q7648" s="1">
        <v>44538</v>
      </c>
      <c r="R7648" t="s">
        <v>27253</v>
      </c>
      <c r="S7648" t="s">
        <v>27254</v>
      </c>
      <c r="T7648" t="s">
        <v>27255</v>
      </c>
    </row>
    <row r="7649" spans="1:20" x14ac:dyDescent="0.3">
      <c r="A7649" t="str">
        <f>"0611839522100"</f>
        <v>0611839522100</v>
      </c>
      <c r="B7649" t="str">
        <f>"LK5486"</f>
        <v>LK5486</v>
      </c>
      <c r="C7649" t="s">
        <v>42065</v>
      </c>
      <c r="D7649" t="s">
        <v>28138</v>
      </c>
      <c r="E7649" t="str">
        <f t="shared" si="119"/>
        <v>001390</v>
      </c>
      <c r="F7649" t="s">
        <v>27246</v>
      </c>
      <c r="G7649" t="s">
        <v>27247</v>
      </c>
      <c r="H7649" t="s">
        <v>27248</v>
      </c>
      <c r="I7649" t="s">
        <v>42066</v>
      </c>
      <c r="J7649" t="s">
        <v>15197</v>
      </c>
      <c r="L7649" t="s">
        <v>27250</v>
      </c>
      <c r="M7649" t="s">
        <v>27251</v>
      </c>
      <c r="N7649" t="s">
        <v>27252</v>
      </c>
      <c r="P7649" t="s">
        <v>27925</v>
      </c>
      <c r="Q7649" s="1">
        <v>44538</v>
      </c>
      <c r="R7649" t="s">
        <v>27253</v>
      </c>
      <c r="S7649" t="s">
        <v>27254</v>
      </c>
      <c r="T7649" t="s">
        <v>27255</v>
      </c>
    </row>
    <row r="7650" spans="1:20" x14ac:dyDescent="0.3">
      <c r="A7650" t="str">
        <f>"0611839523100"</f>
        <v>0611839523100</v>
      </c>
      <c r="B7650" t="str">
        <f>"LB4603"</f>
        <v>LB4603</v>
      </c>
      <c r="C7650" t="s">
        <v>42067</v>
      </c>
      <c r="D7650" t="s">
        <v>28138</v>
      </c>
      <c r="E7650" t="str">
        <f t="shared" si="119"/>
        <v>001390</v>
      </c>
      <c r="F7650" t="s">
        <v>27246</v>
      </c>
      <c r="G7650" t="s">
        <v>27247</v>
      </c>
      <c r="H7650" t="s">
        <v>27248</v>
      </c>
      <c r="I7650" t="s">
        <v>42068</v>
      </c>
      <c r="J7650" t="s">
        <v>15199</v>
      </c>
      <c r="L7650" t="s">
        <v>27250</v>
      </c>
      <c r="M7650" t="s">
        <v>27251</v>
      </c>
      <c r="N7650" t="s">
        <v>27252</v>
      </c>
      <c r="P7650" t="s">
        <v>27925</v>
      </c>
      <c r="Q7650" s="1">
        <v>44538</v>
      </c>
      <c r="R7650" t="s">
        <v>27253</v>
      </c>
      <c r="S7650" t="s">
        <v>27254</v>
      </c>
      <c r="T7650" t="s">
        <v>27255</v>
      </c>
    </row>
    <row r="7651" spans="1:20" x14ac:dyDescent="0.3">
      <c r="A7651" t="str">
        <f>"0611839524100"</f>
        <v>0611839524100</v>
      </c>
      <c r="B7651" t="str">
        <f>"LB4602"</f>
        <v>LB4602</v>
      </c>
      <c r="C7651" t="s">
        <v>42069</v>
      </c>
      <c r="D7651" t="s">
        <v>28138</v>
      </c>
      <c r="E7651" t="str">
        <f t="shared" si="119"/>
        <v>001390</v>
      </c>
      <c r="F7651" t="s">
        <v>27246</v>
      </c>
      <c r="G7651" t="s">
        <v>27247</v>
      </c>
      <c r="H7651" t="s">
        <v>27248</v>
      </c>
      <c r="I7651" t="s">
        <v>42070</v>
      </c>
      <c r="J7651" t="s">
        <v>15201</v>
      </c>
      <c r="L7651" t="s">
        <v>27250</v>
      </c>
      <c r="M7651" t="s">
        <v>27251</v>
      </c>
      <c r="N7651" t="s">
        <v>27252</v>
      </c>
      <c r="P7651" t="s">
        <v>27925</v>
      </c>
      <c r="Q7651" s="1">
        <v>44538</v>
      </c>
      <c r="R7651" t="s">
        <v>27253</v>
      </c>
      <c r="S7651" t="s">
        <v>27254</v>
      </c>
      <c r="T7651" t="s">
        <v>27255</v>
      </c>
    </row>
    <row r="7652" spans="1:20" x14ac:dyDescent="0.3">
      <c r="A7652" t="str">
        <f>"0611839525100"</f>
        <v>0611839525100</v>
      </c>
      <c r="B7652" t="str">
        <f>"LB4601"</f>
        <v>LB4601</v>
      </c>
      <c r="C7652" t="s">
        <v>42071</v>
      </c>
      <c r="D7652" t="s">
        <v>28138</v>
      </c>
      <c r="E7652" t="str">
        <f t="shared" si="119"/>
        <v>001390</v>
      </c>
      <c r="F7652" t="s">
        <v>27246</v>
      </c>
      <c r="G7652" t="s">
        <v>27247</v>
      </c>
      <c r="H7652" t="s">
        <v>27248</v>
      </c>
      <c r="I7652" t="s">
        <v>42072</v>
      </c>
      <c r="J7652" t="s">
        <v>15203</v>
      </c>
      <c r="L7652" t="s">
        <v>27250</v>
      </c>
      <c r="M7652" t="s">
        <v>27251</v>
      </c>
      <c r="N7652" t="s">
        <v>27252</v>
      </c>
      <c r="P7652" t="s">
        <v>27925</v>
      </c>
      <c r="Q7652" s="1">
        <v>44538</v>
      </c>
      <c r="R7652" t="s">
        <v>27253</v>
      </c>
      <c r="S7652" t="s">
        <v>27254</v>
      </c>
      <c r="T7652" t="s">
        <v>27255</v>
      </c>
    </row>
    <row r="7653" spans="1:20" x14ac:dyDescent="0.3">
      <c r="A7653" t="str">
        <f>"0611839526100"</f>
        <v>0611839526100</v>
      </c>
      <c r="B7653" t="str">
        <f>"LB4678"</f>
        <v>LB4678</v>
      </c>
      <c r="C7653" t="s">
        <v>42073</v>
      </c>
      <c r="D7653" t="s">
        <v>28138</v>
      </c>
      <c r="E7653" t="str">
        <f t="shared" si="119"/>
        <v>001390</v>
      </c>
      <c r="F7653" t="s">
        <v>27246</v>
      </c>
      <c r="G7653" t="s">
        <v>27247</v>
      </c>
      <c r="H7653" t="s">
        <v>27248</v>
      </c>
      <c r="I7653" t="s">
        <v>42074</v>
      </c>
      <c r="J7653" t="s">
        <v>15205</v>
      </c>
      <c r="L7653" t="s">
        <v>27250</v>
      </c>
      <c r="M7653" t="s">
        <v>27251</v>
      </c>
      <c r="N7653" t="s">
        <v>27252</v>
      </c>
      <c r="P7653" t="s">
        <v>27925</v>
      </c>
      <c r="Q7653" s="1">
        <v>44538</v>
      </c>
      <c r="R7653" t="s">
        <v>27253</v>
      </c>
      <c r="S7653" t="s">
        <v>27254</v>
      </c>
      <c r="T7653" t="s">
        <v>27255</v>
      </c>
    </row>
    <row r="7654" spans="1:20" x14ac:dyDescent="0.3">
      <c r="A7654" t="str">
        <f>"0611839527100"</f>
        <v>0611839527100</v>
      </c>
      <c r="B7654" t="str">
        <f>"LB4600"</f>
        <v>LB4600</v>
      </c>
      <c r="C7654" t="s">
        <v>42075</v>
      </c>
      <c r="D7654" t="s">
        <v>28138</v>
      </c>
      <c r="E7654" t="str">
        <f t="shared" si="119"/>
        <v>001390</v>
      </c>
      <c r="F7654" t="s">
        <v>27246</v>
      </c>
      <c r="G7654" t="s">
        <v>27247</v>
      </c>
      <c r="H7654" t="s">
        <v>27248</v>
      </c>
      <c r="I7654" t="s">
        <v>42076</v>
      </c>
      <c r="J7654" t="s">
        <v>15207</v>
      </c>
      <c r="L7654" t="s">
        <v>27250</v>
      </c>
      <c r="M7654" t="s">
        <v>27251</v>
      </c>
      <c r="N7654" t="s">
        <v>27252</v>
      </c>
      <c r="P7654" t="s">
        <v>27925</v>
      </c>
      <c r="Q7654" s="1">
        <v>44538</v>
      </c>
      <c r="R7654" t="s">
        <v>27253</v>
      </c>
      <c r="S7654" t="s">
        <v>27254</v>
      </c>
      <c r="T7654" t="s">
        <v>27255</v>
      </c>
    </row>
    <row r="7655" spans="1:20" x14ac:dyDescent="0.3">
      <c r="A7655" t="str">
        <f>"0611839528100"</f>
        <v>0611839528100</v>
      </c>
      <c r="B7655" t="str">
        <f>"LK5494"</f>
        <v>LK5494</v>
      </c>
      <c r="C7655" t="s">
        <v>42077</v>
      </c>
      <c r="D7655" t="s">
        <v>27245</v>
      </c>
      <c r="E7655" t="str">
        <f t="shared" si="119"/>
        <v>001390</v>
      </c>
      <c r="F7655" t="s">
        <v>27246</v>
      </c>
      <c r="G7655" t="s">
        <v>27247</v>
      </c>
      <c r="H7655" t="s">
        <v>27248</v>
      </c>
      <c r="I7655" t="s">
        <v>42078</v>
      </c>
      <c r="J7655" t="s">
        <v>15209</v>
      </c>
      <c r="L7655" t="s">
        <v>27250</v>
      </c>
      <c r="M7655" t="s">
        <v>27251</v>
      </c>
      <c r="N7655" t="s">
        <v>27252</v>
      </c>
      <c r="Q7655" s="1">
        <v>44538</v>
      </c>
      <c r="R7655" t="s">
        <v>27253</v>
      </c>
      <c r="S7655" t="s">
        <v>27254</v>
      </c>
      <c r="T7655" t="s">
        <v>27255</v>
      </c>
    </row>
    <row r="7656" spans="1:20" x14ac:dyDescent="0.3">
      <c r="A7656" t="str">
        <f>"0611839529100"</f>
        <v>0611839529100</v>
      </c>
      <c r="B7656" t="str">
        <f>"LK6086"</f>
        <v>LK6086</v>
      </c>
      <c r="C7656" t="s">
        <v>42079</v>
      </c>
      <c r="D7656" t="s">
        <v>27245</v>
      </c>
      <c r="E7656" t="str">
        <f t="shared" si="119"/>
        <v>001390</v>
      </c>
      <c r="F7656" t="s">
        <v>27246</v>
      </c>
      <c r="G7656" t="s">
        <v>27247</v>
      </c>
      <c r="H7656" t="s">
        <v>27248</v>
      </c>
      <c r="I7656" t="s">
        <v>42080</v>
      </c>
      <c r="J7656" t="s">
        <v>15211</v>
      </c>
      <c r="L7656" t="s">
        <v>27250</v>
      </c>
      <c r="M7656" t="s">
        <v>27251</v>
      </c>
      <c r="N7656" t="s">
        <v>27252</v>
      </c>
      <c r="Q7656" s="1">
        <v>44538</v>
      </c>
      <c r="R7656" t="s">
        <v>27253</v>
      </c>
      <c r="S7656" t="s">
        <v>27254</v>
      </c>
      <c r="T7656" t="s">
        <v>27255</v>
      </c>
    </row>
    <row r="7657" spans="1:20" x14ac:dyDescent="0.3">
      <c r="A7657" t="str">
        <f>"0611839530100"</f>
        <v>0611839530100</v>
      </c>
      <c r="B7657" t="str">
        <f>"LK5495"</f>
        <v>LK5495</v>
      </c>
      <c r="C7657" t="s">
        <v>42081</v>
      </c>
      <c r="D7657" t="s">
        <v>27245</v>
      </c>
      <c r="E7657" t="str">
        <f t="shared" si="119"/>
        <v>001390</v>
      </c>
      <c r="F7657" t="s">
        <v>27246</v>
      </c>
      <c r="G7657" t="s">
        <v>27247</v>
      </c>
      <c r="H7657" t="s">
        <v>27248</v>
      </c>
      <c r="I7657" t="s">
        <v>42082</v>
      </c>
      <c r="J7657" t="s">
        <v>15213</v>
      </c>
      <c r="L7657" t="s">
        <v>27250</v>
      </c>
      <c r="M7657" t="s">
        <v>27251</v>
      </c>
      <c r="N7657" t="s">
        <v>27252</v>
      </c>
      <c r="Q7657" s="1">
        <v>44538</v>
      </c>
      <c r="R7657" t="s">
        <v>27253</v>
      </c>
      <c r="S7657" t="s">
        <v>27254</v>
      </c>
      <c r="T7657" t="s">
        <v>27255</v>
      </c>
    </row>
    <row r="7658" spans="1:20" x14ac:dyDescent="0.3">
      <c r="A7658" t="str">
        <f>"0611839531100"</f>
        <v>0611839531100</v>
      </c>
      <c r="B7658" t="str">
        <f>"LK5496"</f>
        <v>LK5496</v>
      </c>
      <c r="C7658" t="s">
        <v>42083</v>
      </c>
      <c r="D7658" t="s">
        <v>27245</v>
      </c>
      <c r="E7658" t="str">
        <f t="shared" si="119"/>
        <v>001390</v>
      </c>
      <c r="F7658" t="s">
        <v>27246</v>
      </c>
      <c r="G7658" t="s">
        <v>27247</v>
      </c>
      <c r="H7658" t="s">
        <v>27248</v>
      </c>
      <c r="I7658" t="s">
        <v>42084</v>
      </c>
      <c r="J7658" t="s">
        <v>15215</v>
      </c>
      <c r="L7658" t="s">
        <v>27250</v>
      </c>
      <c r="M7658" t="s">
        <v>27251</v>
      </c>
      <c r="N7658" t="s">
        <v>27252</v>
      </c>
      <c r="Q7658" s="1">
        <v>44538</v>
      </c>
      <c r="R7658" t="s">
        <v>27253</v>
      </c>
      <c r="S7658" t="s">
        <v>27254</v>
      </c>
      <c r="T7658" t="s">
        <v>27255</v>
      </c>
    </row>
    <row r="7659" spans="1:20" x14ac:dyDescent="0.3">
      <c r="A7659" t="str">
        <f>"0611839532100"</f>
        <v>0611839532100</v>
      </c>
      <c r="B7659" t="str">
        <f>"LS0082"</f>
        <v>LS0082</v>
      </c>
      <c r="C7659" t="s">
        <v>42085</v>
      </c>
      <c r="D7659" t="s">
        <v>27245</v>
      </c>
      <c r="E7659" t="str">
        <f t="shared" si="119"/>
        <v>001390</v>
      </c>
      <c r="F7659" t="s">
        <v>27246</v>
      </c>
      <c r="G7659" t="s">
        <v>27247</v>
      </c>
      <c r="H7659" t="s">
        <v>27248</v>
      </c>
      <c r="I7659" t="s">
        <v>42086</v>
      </c>
      <c r="J7659" t="s">
        <v>15217</v>
      </c>
      <c r="L7659" t="s">
        <v>27250</v>
      </c>
      <c r="M7659" t="s">
        <v>27251</v>
      </c>
      <c r="N7659" t="s">
        <v>27252</v>
      </c>
      <c r="Q7659" s="1">
        <v>44538</v>
      </c>
      <c r="R7659" t="s">
        <v>27253</v>
      </c>
      <c r="S7659" t="s">
        <v>27254</v>
      </c>
      <c r="T7659" t="s">
        <v>27255</v>
      </c>
    </row>
    <row r="7660" spans="1:20" x14ac:dyDescent="0.3">
      <c r="A7660" t="str">
        <f>"0611839533100"</f>
        <v>0611839533100</v>
      </c>
      <c r="B7660" t="str">
        <f>"LK6588"</f>
        <v>LK6588</v>
      </c>
      <c r="C7660" t="s">
        <v>42087</v>
      </c>
      <c r="D7660" t="s">
        <v>27245</v>
      </c>
      <c r="E7660" t="str">
        <f t="shared" si="119"/>
        <v>001390</v>
      </c>
      <c r="F7660" t="s">
        <v>27246</v>
      </c>
      <c r="G7660" t="s">
        <v>27247</v>
      </c>
      <c r="H7660" t="s">
        <v>27248</v>
      </c>
      <c r="I7660" t="s">
        <v>42088</v>
      </c>
      <c r="J7660" t="s">
        <v>15219</v>
      </c>
      <c r="L7660" t="s">
        <v>27250</v>
      </c>
      <c r="M7660" t="s">
        <v>27251</v>
      </c>
      <c r="N7660" t="s">
        <v>27252</v>
      </c>
      <c r="Q7660" s="1">
        <v>44538</v>
      </c>
      <c r="R7660" t="s">
        <v>27253</v>
      </c>
      <c r="S7660" t="s">
        <v>27254</v>
      </c>
      <c r="T7660" t="s">
        <v>27255</v>
      </c>
    </row>
    <row r="7661" spans="1:20" x14ac:dyDescent="0.3">
      <c r="A7661" t="str">
        <f>"0611839534100"</f>
        <v>0611839534100</v>
      </c>
      <c r="B7661" t="str">
        <f>"LK6827"</f>
        <v>LK6827</v>
      </c>
      <c r="C7661" t="s">
        <v>42089</v>
      </c>
      <c r="D7661" t="s">
        <v>27245</v>
      </c>
      <c r="E7661" t="str">
        <f t="shared" si="119"/>
        <v>001390</v>
      </c>
      <c r="F7661" t="s">
        <v>27246</v>
      </c>
      <c r="G7661" t="s">
        <v>27247</v>
      </c>
      <c r="H7661" t="s">
        <v>27248</v>
      </c>
      <c r="I7661" t="s">
        <v>42090</v>
      </c>
      <c r="J7661" t="s">
        <v>15221</v>
      </c>
      <c r="L7661" t="s">
        <v>27250</v>
      </c>
      <c r="M7661" t="s">
        <v>27251</v>
      </c>
      <c r="N7661" t="s">
        <v>27252</v>
      </c>
      <c r="Q7661" s="1">
        <v>44538</v>
      </c>
      <c r="R7661" t="s">
        <v>27253</v>
      </c>
      <c r="S7661" t="s">
        <v>27254</v>
      </c>
      <c r="T7661" t="s">
        <v>27255</v>
      </c>
    </row>
    <row r="7662" spans="1:20" x14ac:dyDescent="0.3">
      <c r="A7662" t="str">
        <f>"0611839535100"</f>
        <v>0611839535100</v>
      </c>
      <c r="B7662" t="str">
        <f>"LK6828"</f>
        <v>LK6828</v>
      </c>
      <c r="C7662" t="s">
        <v>42091</v>
      </c>
      <c r="D7662" t="s">
        <v>27245</v>
      </c>
      <c r="E7662" t="str">
        <f t="shared" si="119"/>
        <v>001390</v>
      </c>
      <c r="F7662" t="s">
        <v>27246</v>
      </c>
      <c r="G7662" t="s">
        <v>27247</v>
      </c>
      <c r="H7662" t="s">
        <v>27248</v>
      </c>
      <c r="I7662" t="s">
        <v>42092</v>
      </c>
      <c r="J7662" t="s">
        <v>15223</v>
      </c>
      <c r="L7662" t="s">
        <v>27250</v>
      </c>
      <c r="M7662" t="s">
        <v>27251</v>
      </c>
      <c r="N7662" t="s">
        <v>27252</v>
      </c>
      <c r="Q7662" s="1">
        <v>44538</v>
      </c>
      <c r="R7662" t="s">
        <v>27253</v>
      </c>
      <c r="S7662" t="s">
        <v>27254</v>
      </c>
      <c r="T7662" t="s">
        <v>27255</v>
      </c>
    </row>
    <row r="7663" spans="1:20" x14ac:dyDescent="0.3">
      <c r="A7663" t="str">
        <f>"0611839536100"</f>
        <v>0611839536100</v>
      </c>
      <c r="B7663" t="str">
        <f>"LK6803"</f>
        <v>LK6803</v>
      </c>
      <c r="C7663" t="s">
        <v>42093</v>
      </c>
      <c r="D7663" t="s">
        <v>28138</v>
      </c>
      <c r="E7663" t="str">
        <f t="shared" si="119"/>
        <v>001390</v>
      </c>
      <c r="F7663" t="s">
        <v>27246</v>
      </c>
      <c r="G7663" t="s">
        <v>27247</v>
      </c>
      <c r="H7663" t="s">
        <v>27248</v>
      </c>
      <c r="I7663" t="s">
        <v>42094</v>
      </c>
      <c r="J7663" t="s">
        <v>15225</v>
      </c>
      <c r="L7663" t="s">
        <v>27250</v>
      </c>
      <c r="M7663" t="s">
        <v>27251</v>
      </c>
      <c r="N7663" t="s">
        <v>27252</v>
      </c>
      <c r="P7663" t="s">
        <v>27925</v>
      </c>
      <c r="Q7663" s="1">
        <v>44538</v>
      </c>
      <c r="R7663" t="s">
        <v>27253</v>
      </c>
      <c r="S7663" t="s">
        <v>27254</v>
      </c>
      <c r="T7663" t="s">
        <v>27255</v>
      </c>
    </row>
    <row r="7664" spans="1:20" x14ac:dyDescent="0.3">
      <c r="A7664" t="str">
        <f>"0611839537100"</f>
        <v>0611839537100</v>
      </c>
      <c r="B7664" t="str">
        <f>"LK6804"</f>
        <v>LK6804</v>
      </c>
      <c r="C7664" t="s">
        <v>42095</v>
      </c>
      <c r="D7664" t="s">
        <v>28138</v>
      </c>
      <c r="E7664" t="str">
        <f t="shared" si="119"/>
        <v>001390</v>
      </c>
      <c r="F7664" t="s">
        <v>27246</v>
      </c>
      <c r="G7664" t="s">
        <v>27247</v>
      </c>
      <c r="H7664" t="s">
        <v>27248</v>
      </c>
      <c r="I7664" t="s">
        <v>42096</v>
      </c>
      <c r="J7664" t="s">
        <v>15227</v>
      </c>
      <c r="L7664" t="s">
        <v>27250</v>
      </c>
      <c r="M7664" t="s">
        <v>27251</v>
      </c>
      <c r="N7664" t="s">
        <v>27252</v>
      </c>
      <c r="P7664" t="s">
        <v>27925</v>
      </c>
      <c r="Q7664" s="1">
        <v>44538</v>
      </c>
      <c r="R7664" t="s">
        <v>27253</v>
      </c>
      <c r="S7664" t="s">
        <v>27254</v>
      </c>
      <c r="T7664" t="s">
        <v>27255</v>
      </c>
    </row>
    <row r="7665" spans="1:20" x14ac:dyDescent="0.3">
      <c r="A7665" t="str">
        <f>"0611839538100"</f>
        <v>0611839538100</v>
      </c>
      <c r="B7665" t="str">
        <f>"LK6805"</f>
        <v>LK6805</v>
      </c>
      <c r="C7665" t="s">
        <v>42097</v>
      </c>
      <c r="D7665" t="s">
        <v>28138</v>
      </c>
      <c r="E7665" t="str">
        <f t="shared" si="119"/>
        <v>001390</v>
      </c>
      <c r="F7665" t="s">
        <v>27246</v>
      </c>
      <c r="G7665" t="s">
        <v>27247</v>
      </c>
      <c r="H7665" t="s">
        <v>27248</v>
      </c>
      <c r="I7665" t="s">
        <v>42098</v>
      </c>
      <c r="J7665" t="s">
        <v>15229</v>
      </c>
      <c r="L7665" t="s">
        <v>27250</v>
      </c>
      <c r="M7665" t="s">
        <v>27251</v>
      </c>
      <c r="N7665" t="s">
        <v>27252</v>
      </c>
      <c r="P7665" t="s">
        <v>27925</v>
      </c>
      <c r="Q7665" s="1">
        <v>44538</v>
      </c>
      <c r="R7665" t="s">
        <v>27253</v>
      </c>
      <c r="S7665" t="s">
        <v>27254</v>
      </c>
      <c r="T7665" t="s">
        <v>27255</v>
      </c>
    </row>
    <row r="7666" spans="1:20" x14ac:dyDescent="0.3">
      <c r="A7666" t="str">
        <f>"0611839539100"</f>
        <v>0611839539100</v>
      </c>
      <c r="B7666" t="str">
        <f>"LK6806"</f>
        <v>LK6806</v>
      </c>
      <c r="C7666" t="s">
        <v>42099</v>
      </c>
      <c r="D7666" t="s">
        <v>28138</v>
      </c>
      <c r="E7666" t="str">
        <f t="shared" si="119"/>
        <v>001390</v>
      </c>
      <c r="F7666" t="s">
        <v>27246</v>
      </c>
      <c r="G7666" t="s">
        <v>27247</v>
      </c>
      <c r="H7666" t="s">
        <v>27248</v>
      </c>
      <c r="I7666" t="s">
        <v>42100</v>
      </c>
      <c r="J7666" t="s">
        <v>15231</v>
      </c>
      <c r="L7666" t="s">
        <v>27250</v>
      </c>
      <c r="M7666" t="s">
        <v>27251</v>
      </c>
      <c r="N7666" t="s">
        <v>27252</v>
      </c>
      <c r="P7666" t="s">
        <v>27925</v>
      </c>
      <c r="Q7666" s="1">
        <v>44538</v>
      </c>
      <c r="R7666" t="s">
        <v>27253</v>
      </c>
      <c r="S7666" t="s">
        <v>27254</v>
      </c>
      <c r="T7666" t="s">
        <v>27255</v>
      </c>
    </row>
    <row r="7667" spans="1:20" x14ac:dyDescent="0.3">
      <c r="A7667" t="str">
        <f>"0611839540100"</f>
        <v>0611839540100</v>
      </c>
      <c r="B7667" t="str">
        <f>"LB4650"</f>
        <v>LB4650</v>
      </c>
      <c r="C7667" t="s">
        <v>42101</v>
      </c>
      <c r="D7667" t="s">
        <v>27245</v>
      </c>
      <c r="E7667" t="str">
        <f t="shared" si="119"/>
        <v>001390</v>
      </c>
      <c r="F7667" t="s">
        <v>27246</v>
      </c>
      <c r="G7667" t="s">
        <v>27247</v>
      </c>
      <c r="H7667" t="s">
        <v>27248</v>
      </c>
      <c r="I7667" t="s">
        <v>42102</v>
      </c>
      <c r="J7667" t="s">
        <v>15233</v>
      </c>
      <c r="L7667" t="s">
        <v>27250</v>
      </c>
      <c r="M7667" t="s">
        <v>27251</v>
      </c>
      <c r="N7667" t="s">
        <v>27252</v>
      </c>
      <c r="Q7667" s="1">
        <v>44538</v>
      </c>
      <c r="R7667" t="s">
        <v>27253</v>
      </c>
      <c r="S7667" t="s">
        <v>27254</v>
      </c>
      <c r="T7667" t="s">
        <v>27255</v>
      </c>
    </row>
    <row r="7668" spans="1:20" x14ac:dyDescent="0.3">
      <c r="A7668" t="str">
        <f>"0611839541100"</f>
        <v>0611839541100</v>
      </c>
      <c r="B7668" t="str">
        <f>"LB4654"</f>
        <v>LB4654</v>
      </c>
      <c r="C7668" t="s">
        <v>42103</v>
      </c>
      <c r="D7668" t="s">
        <v>27245</v>
      </c>
      <c r="E7668" t="str">
        <f t="shared" si="119"/>
        <v>001390</v>
      </c>
      <c r="F7668" t="s">
        <v>27246</v>
      </c>
      <c r="G7668" t="s">
        <v>27247</v>
      </c>
      <c r="H7668" t="s">
        <v>27248</v>
      </c>
      <c r="I7668" t="s">
        <v>42104</v>
      </c>
      <c r="J7668" t="s">
        <v>15235</v>
      </c>
      <c r="L7668" t="s">
        <v>27250</v>
      </c>
      <c r="M7668" t="s">
        <v>27251</v>
      </c>
      <c r="N7668" t="s">
        <v>27252</v>
      </c>
      <c r="Q7668" s="1">
        <v>44538</v>
      </c>
      <c r="R7668" t="s">
        <v>27253</v>
      </c>
      <c r="S7668" t="s">
        <v>27254</v>
      </c>
      <c r="T7668" t="s">
        <v>27255</v>
      </c>
    </row>
    <row r="7669" spans="1:20" x14ac:dyDescent="0.3">
      <c r="A7669" t="str">
        <f>"0611839542100"</f>
        <v>0611839542100</v>
      </c>
      <c r="B7669" t="str">
        <f>"LB4674"</f>
        <v>LB4674</v>
      </c>
      <c r="C7669" t="s">
        <v>42105</v>
      </c>
      <c r="D7669" t="s">
        <v>27245</v>
      </c>
      <c r="E7669" t="str">
        <f t="shared" si="119"/>
        <v>001390</v>
      </c>
      <c r="F7669" t="s">
        <v>27246</v>
      </c>
      <c r="G7669" t="s">
        <v>27247</v>
      </c>
      <c r="H7669" t="s">
        <v>27248</v>
      </c>
      <c r="I7669" t="s">
        <v>42106</v>
      </c>
      <c r="J7669" t="s">
        <v>15237</v>
      </c>
      <c r="L7669" t="s">
        <v>27250</v>
      </c>
      <c r="M7669" t="s">
        <v>27251</v>
      </c>
      <c r="N7669" t="s">
        <v>27252</v>
      </c>
      <c r="Q7669" s="1">
        <v>44538</v>
      </c>
      <c r="R7669" t="s">
        <v>27253</v>
      </c>
      <c r="S7669" t="s">
        <v>27254</v>
      </c>
      <c r="T7669" t="s">
        <v>27255</v>
      </c>
    </row>
    <row r="7670" spans="1:20" x14ac:dyDescent="0.3">
      <c r="A7670" t="str">
        <f>"0611839543100"</f>
        <v>0611839543100</v>
      </c>
      <c r="B7670" t="str">
        <f>"LB4655"</f>
        <v>LB4655</v>
      </c>
      <c r="C7670" t="s">
        <v>42107</v>
      </c>
      <c r="D7670" t="s">
        <v>27245</v>
      </c>
      <c r="E7670" t="str">
        <f t="shared" si="119"/>
        <v>001390</v>
      </c>
      <c r="F7670" t="s">
        <v>27246</v>
      </c>
      <c r="G7670" t="s">
        <v>27247</v>
      </c>
      <c r="H7670" t="s">
        <v>27248</v>
      </c>
      <c r="I7670" t="s">
        <v>42108</v>
      </c>
      <c r="J7670" t="s">
        <v>15239</v>
      </c>
      <c r="L7670" t="s">
        <v>27250</v>
      </c>
      <c r="M7670" t="s">
        <v>27251</v>
      </c>
      <c r="N7670" t="s">
        <v>27252</v>
      </c>
      <c r="Q7670" s="1">
        <v>44538</v>
      </c>
      <c r="R7670" t="s">
        <v>27253</v>
      </c>
      <c r="S7670" t="s">
        <v>27254</v>
      </c>
      <c r="T7670" t="s">
        <v>27255</v>
      </c>
    </row>
    <row r="7671" spans="1:20" x14ac:dyDescent="0.3">
      <c r="A7671" t="str">
        <f>"0611839544100"</f>
        <v>0611839544100</v>
      </c>
      <c r="B7671" t="str">
        <f>"LB4658"</f>
        <v>LB4658</v>
      </c>
      <c r="C7671" t="s">
        <v>42109</v>
      </c>
      <c r="D7671" t="s">
        <v>27245</v>
      </c>
      <c r="E7671" t="str">
        <f t="shared" si="119"/>
        <v>001390</v>
      </c>
      <c r="F7671" t="s">
        <v>27246</v>
      </c>
      <c r="G7671" t="s">
        <v>27247</v>
      </c>
      <c r="H7671" t="s">
        <v>27248</v>
      </c>
      <c r="I7671" t="s">
        <v>42110</v>
      </c>
      <c r="J7671" t="s">
        <v>15241</v>
      </c>
      <c r="L7671" t="s">
        <v>27250</v>
      </c>
      <c r="M7671" t="s">
        <v>27251</v>
      </c>
      <c r="N7671" t="s">
        <v>27252</v>
      </c>
      <c r="Q7671" s="1">
        <v>44538</v>
      </c>
      <c r="R7671" t="s">
        <v>27253</v>
      </c>
      <c r="S7671" t="s">
        <v>27254</v>
      </c>
      <c r="T7671" t="s">
        <v>27255</v>
      </c>
    </row>
    <row r="7672" spans="1:20" x14ac:dyDescent="0.3">
      <c r="A7672" t="str">
        <f>"0611839545100"</f>
        <v>0611839545100</v>
      </c>
      <c r="B7672" t="str">
        <f>"LB4656"</f>
        <v>LB4656</v>
      </c>
      <c r="C7672" t="s">
        <v>42111</v>
      </c>
      <c r="D7672" t="s">
        <v>27245</v>
      </c>
      <c r="E7672" t="str">
        <f t="shared" si="119"/>
        <v>001390</v>
      </c>
      <c r="F7672" t="s">
        <v>27246</v>
      </c>
      <c r="G7672" t="s">
        <v>27247</v>
      </c>
      <c r="H7672" t="s">
        <v>27248</v>
      </c>
      <c r="I7672" t="s">
        <v>42112</v>
      </c>
      <c r="J7672" t="s">
        <v>15243</v>
      </c>
      <c r="L7672" t="s">
        <v>27250</v>
      </c>
      <c r="M7672" t="s">
        <v>27251</v>
      </c>
      <c r="N7672" t="s">
        <v>27252</v>
      </c>
      <c r="Q7672" s="1">
        <v>44538</v>
      </c>
      <c r="R7672" t="s">
        <v>27253</v>
      </c>
      <c r="S7672" t="s">
        <v>27254</v>
      </c>
      <c r="T7672" t="s">
        <v>27255</v>
      </c>
    </row>
    <row r="7673" spans="1:20" x14ac:dyDescent="0.3">
      <c r="A7673" t="str">
        <f>"0611839546100"</f>
        <v>0611839546100</v>
      </c>
      <c r="B7673" t="str">
        <f>"LB4659"</f>
        <v>LB4659</v>
      </c>
      <c r="C7673" t="s">
        <v>42113</v>
      </c>
      <c r="D7673" t="s">
        <v>27245</v>
      </c>
      <c r="E7673" t="str">
        <f t="shared" si="119"/>
        <v>001390</v>
      </c>
      <c r="F7673" t="s">
        <v>27246</v>
      </c>
      <c r="G7673" t="s">
        <v>27247</v>
      </c>
      <c r="H7673" t="s">
        <v>27248</v>
      </c>
      <c r="I7673" t="s">
        <v>42114</v>
      </c>
      <c r="J7673" t="s">
        <v>15245</v>
      </c>
      <c r="L7673" t="s">
        <v>27250</v>
      </c>
      <c r="M7673" t="s">
        <v>27251</v>
      </c>
      <c r="N7673" t="s">
        <v>27252</v>
      </c>
      <c r="Q7673" s="1">
        <v>44538</v>
      </c>
      <c r="R7673" t="s">
        <v>27253</v>
      </c>
      <c r="S7673" t="s">
        <v>27254</v>
      </c>
      <c r="T7673" t="s">
        <v>27255</v>
      </c>
    </row>
    <row r="7674" spans="1:20" x14ac:dyDescent="0.3">
      <c r="A7674" t="str">
        <f>"0611839547100"</f>
        <v>0611839547100</v>
      </c>
      <c r="B7674" t="str">
        <f>"LB4657"</f>
        <v>LB4657</v>
      </c>
      <c r="C7674" t="s">
        <v>42115</v>
      </c>
      <c r="D7674" t="s">
        <v>27245</v>
      </c>
      <c r="E7674" t="str">
        <f t="shared" si="119"/>
        <v>001390</v>
      </c>
      <c r="F7674" t="s">
        <v>27246</v>
      </c>
      <c r="G7674" t="s">
        <v>27247</v>
      </c>
      <c r="H7674" t="s">
        <v>27248</v>
      </c>
      <c r="I7674" t="s">
        <v>42116</v>
      </c>
      <c r="J7674" t="s">
        <v>15247</v>
      </c>
      <c r="L7674" t="s">
        <v>27250</v>
      </c>
      <c r="M7674" t="s">
        <v>27251</v>
      </c>
      <c r="N7674" t="s">
        <v>27252</v>
      </c>
      <c r="Q7674" s="1">
        <v>44538</v>
      </c>
      <c r="R7674" t="s">
        <v>27253</v>
      </c>
      <c r="S7674" t="s">
        <v>27254</v>
      </c>
      <c r="T7674" t="s">
        <v>27255</v>
      </c>
    </row>
    <row r="7675" spans="1:20" x14ac:dyDescent="0.3">
      <c r="A7675" t="str">
        <f>"0611839548100"</f>
        <v>0611839548100</v>
      </c>
      <c r="B7675" t="str">
        <f>"LB4661"</f>
        <v>LB4661</v>
      </c>
      <c r="C7675" t="s">
        <v>42117</v>
      </c>
      <c r="D7675" t="s">
        <v>27245</v>
      </c>
      <c r="E7675" t="str">
        <f t="shared" si="119"/>
        <v>001390</v>
      </c>
      <c r="F7675" t="s">
        <v>27246</v>
      </c>
      <c r="G7675" t="s">
        <v>27247</v>
      </c>
      <c r="H7675" t="s">
        <v>27248</v>
      </c>
      <c r="I7675" t="s">
        <v>42118</v>
      </c>
      <c r="J7675" t="s">
        <v>15249</v>
      </c>
      <c r="L7675" t="s">
        <v>27250</v>
      </c>
      <c r="M7675" t="s">
        <v>27251</v>
      </c>
      <c r="N7675" t="s">
        <v>27252</v>
      </c>
      <c r="Q7675" s="1">
        <v>44538</v>
      </c>
      <c r="R7675" t="s">
        <v>27253</v>
      </c>
      <c r="S7675" t="s">
        <v>27254</v>
      </c>
      <c r="T7675" t="s">
        <v>27255</v>
      </c>
    </row>
    <row r="7676" spans="1:20" x14ac:dyDescent="0.3">
      <c r="A7676" t="str">
        <f>"0611839549100"</f>
        <v>0611839549100</v>
      </c>
      <c r="B7676" t="str">
        <f>"LB4660"</f>
        <v>LB4660</v>
      </c>
      <c r="C7676" t="s">
        <v>42119</v>
      </c>
      <c r="D7676" t="s">
        <v>27245</v>
      </c>
      <c r="E7676" t="str">
        <f t="shared" si="119"/>
        <v>001390</v>
      </c>
      <c r="F7676" t="s">
        <v>27246</v>
      </c>
      <c r="G7676" t="s">
        <v>27247</v>
      </c>
      <c r="H7676" t="s">
        <v>27248</v>
      </c>
      <c r="I7676" t="s">
        <v>42120</v>
      </c>
      <c r="J7676" t="s">
        <v>15251</v>
      </c>
      <c r="L7676" t="s">
        <v>27250</v>
      </c>
      <c r="M7676" t="s">
        <v>27251</v>
      </c>
      <c r="N7676" t="s">
        <v>27252</v>
      </c>
      <c r="Q7676" s="1">
        <v>44538</v>
      </c>
      <c r="R7676" t="s">
        <v>27253</v>
      </c>
      <c r="S7676" t="s">
        <v>27254</v>
      </c>
      <c r="T7676" t="s">
        <v>27255</v>
      </c>
    </row>
    <row r="7677" spans="1:20" x14ac:dyDescent="0.3">
      <c r="A7677" t="str">
        <f>"0611839551100"</f>
        <v>0611839551100</v>
      </c>
      <c r="B7677" t="str">
        <f>"LB4858"</f>
        <v>LB4858</v>
      </c>
      <c r="C7677" t="s">
        <v>42121</v>
      </c>
      <c r="D7677" t="s">
        <v>27245</v>
      </c>
      <c r="E7677" t="str">
        <f t="shared" si="119"/>
        <v>001390</v>
      </c>
      <c r="F7677" t="s">
        <v>27246</v>
      </c>
      <c r="G7677" t="s">
        <v>27247</v>
      </c>
      <c r="H7677" t="s">
        <v>27248</v>
      </c>
      <c r="I7677" t="s">
        <v>42122</v>
      </c>
      <c r="J7677" t="s">
        <v>15253</v>
      </c>
      <c r="L7677" t="s">
        <v>27250</v>
      </c>
      <c r="M7677" t="s">
        <v>27251</v>
      </c>
      <c r="N7677" t="s">
        <v>27252</v>
      </c>
      <c r="Q7677" s="1">
        <v>44538</v>
      </c>
      <c r="R7677" t="s">
        <v>27253</v>
      </c>
      <c r="S7677" t="s">
        <v>27254</v>
      </c>
      <c r="T7677" t="s">
        <v>27255</v>
      </c>
    </row>
    <row r="7678" spans="1:20" x14ac:dyDescent="0.3">
      <c r="A7678" t="str">
        <f>"0611839552100"</f>
        <v>0611839552100</v>
      </c>
      <c r="B7678" t="str">
        <f>"LB4670"</f>
        <v>LB4670</v>
      </c>
      <c r="C7678" t="s">
        <v>42123</v>
      </c>
      <c r="D7678" t="s">
        <v>27245</v>
      </c>
      <c r="E7678" t="str">
        <f t="shared" si="119"/>
        <v>001390</v>
      </c>
      <c r="F7678" t="s">
        <v>27246</v>
      </c>
      <c r="G7678" t="s">
        <v>27247</v>
      </c>
      <c r="H7678" t="s">
        <v>27248</v>
      </c>
      <c r="I7678" t="s">
        <v>42124</v>
      </c>
      <c r="J7678" t="s">
        <v>15255</v>
      </c>
      <c r="L7678" t="s">
        <v>27250</v>
      </c>
      <c r="M7678" t="s">
        <v>27251</v>
      </c>
      <c r="N7678" t="s">
        <v>27252</v>
      </c>
      <c r="Q7678" s="1">
        <v>44538</v>
      </c>
      <c r="R7678" t="s">
        <v>27253</v>
      </c>
      <c r="S7678" t="s">
        <v>27254</v>
      </c>
      <c r="T7678" t="s">
        <v>27255</v>
      </c>
    </row>
    <row r="7679" spans="1:20" x14ac:dyDescent="0.3">
      <c r="A7679" t="str">
        <f>"0611839553100"</f>
        <v>0611839553100</v>
      </c>
      <c r="B7679" t="str">
        <f>"LB5028"</f>
        <v>LB5028</v>
      </c>
      <c r="C7679" t="s">
        <v>42125</v>
      </c>
      <c r="D7679" t="s">
        <v>27245</v>
      </c>
      <c r="E7679" t="str">
        <f t="shared" si="119"/>
        <v>001390</v>
      </c>
      <c r="F7679" t="s">
        <v>27246</v>
      </c>
      <c r="G7679" t="s">
        <v>27247</v>
      </c>
      <c r="H7679" t="s">
        <v>27248</v>
      </c>
      <c r="I7679" t="s">
        <v>42126</v>
      </c>
      <c r="J7679" t="s">
        <v>15257</v>
      </c>
      <c r="L7679" t="s">
        <v>27250</v>
      </c>
      <c r="M7679" t="s">
        <v>27251</v>
      </c>
      <c r="N7679" t="s">
        <v>27252</v>
      </c>
      <c r="Q7679" s="1">
        <v>44538</v>
      </c>
      <c r="R7679" t="s">
        <v>27253</v>
      </c>
      <c r="S7679" t="s">
        <v>27254</v>
      </c>
      <c r="T7679" t="s">
        <v>27255</v>
      </c>
    </row>
    <row r="7680" spans="1:20" x14ac:dyDescent="0.3">
      <c r="A7680" t="str">
        <f>"0611839554100"</f>
        <v>0611839554100</v>
      </c>
      <c r="B7680" t="str">
        <f>"LB5241"</f>
        <v>LB5241</v>
      </c>
      <c r="C7680" t="s">
        <v>42127</v>
      </c>
      <c r="D7680" t="s">
        <v>27245</v>
      </c>
      <c r="E7680" t="str">
        <f t="shared" si="119"/>
        <v>001390</v>
      </c>
      <c r="F7680" t="s">
        <v>27246</v>
      </c>
      <c r="G7680" t="s">
        <v>27247</v>
      </c>
      <c r="H7680" t="s">
        <v>27248</v>
      </c>
      <c r="I7680" t="s">
        <v>42128</v>
      </c>
      <c r="J7680" t="s">
        <v>15259</v>
      </c>
      <c r="L7680" t="s">
        <v>27250</v>
      </c>
      <c r="M7680" t="s">
        <v>27251</v>
      </c>
      <c r="N7680" t="s">
        <v>27252</v>
      </c>
      <c r="Q7680" s="1">
        <v>44538</v>
      </c>
      <c r="R7680" t="s">
        <v>27253</v>
      </c>
      <c r="S7680" t="s">
        <v>27254</v>
      </c>
      <c r="T7680" t="s">
        <v>27255</v>
      </c>
    </row>
    <row r="7681" spans="1:20" x14ac:dyDescent="0.3">
      <c r="A7681" t="str">
        <f>"0611839555100"</f>
        <v>0611839555100</v>
      </c>
      <c r="B7681" t="str">
        <f>"LB5365"</f>
        <v>LB5365</v>
      </c>
      <c r="C7681" t="s">
        <v>42129</v>
      </c>
      <c r="D7681" t="s">
        <v>27245</v>
      </c>
      <c r="E7681" t="str">
        <f t="shared" si="119"/>
        <v>001390</v>
      </c>
      <c r="F7681" t="s">
        <v>27246</v>
      </c>
      <c r="G7681" t="s">
        <v>27247</v>
      </c>
      <c r="H7681" t="s">
        <v>27248</v>
      </c>
      <c r="I7681" t="s">
        <v>42130</v>
      </c>
      <c r="J7681" t="s">
        <v>15261</v>
      </c>
      <c r="L7681" t="s">
        <v>27250</v>
      </c>
      <c r="M7681" t="s">
        <v>27251</v>
      </c>
      <c r="N7681" t="s">
        <v>27252</v>
      </c>
      <c r="Q7681" s="1">
        <v>44538</v>
      </c>
      <c r="R7681" t="s">
        <v>27253</v>
      </c>
      <c r="S7681" t="s">
        <v>27254</v>
      </c>
      <c r="T7681" t="s">
        <v>27255</v>
      </c>
    </row>
    <row r="7682" spans="1:20" x14ac:dyDescent="0.3">
      <c r="A7682" t="str">
        <f>"0611839558100"</f>
        <v>0611839558100</v>
      </c>
      <c r="B7682" t="str">
        <f>"LK6220"</f>
        <v>LK6220</v>
      </c>
      <c r="C7682" t="s">
        <v>42131</v>
      </c>
      <c r="D7682" t="s">
        <v>27245</v>
      </c>
      <c r="E7682" t="str">
        <f t="shared" ref="E7682:E7745" si="120">"001390"</f>
        <v>001390</v>
      </c>
      <c r="F7682" t="s">
        <v>27246</v>
      </c>
      <c r="G7682" t="s">
        <v>27247</v>
      </c>
      <c r="H7682" t="s">
        <v>27248</v>
      </c>
      <c r="I7682" t="s">
        <v>42132</v>
      </c>
      <c r="J7682" t="s">
        <v>15263</v>
      </c>
      <c r="L7682" t="s">
        <v>27250</v>
      </c>
      <c r="M7682" t="s">
        <v>27251</v>
      </c>
      <c r="N7682" t="s">
        <v>27252</v>
      </c>
      <c r="Q7682" s="1">
        <v>44538</v>
      </c>
      <c r="R7682" t="s">
        <v>27253</v>
      </c>
      <c r="S7682" t="s">
        <v>27254</v>
      </c>
      <c r="T7682" t="s">
        <v>27255</v>
      </c>
    </row>
    <row r="7683" spans="1:20" x14ac:dyDescent="0.3">
      <c r="A7683" t="str">
        <f>"0611839560100"</f>
        <v>0611839560100</v>
      </c>
      <c r="B7683" t="str">
        <f>"LK6223"</f>
        <v>LK6223</v>
      </c>
      <c r="C7683" t="s">
        <v>42133</v>
      </c>
      <c r="D7683" t="s">
        <v>27245</v>
      </c>
      <c r="E7683" t="str">
        <f t="shared" si="120"/>
        <v>001390</v>
      </c>
      <c r="F7683" t="s">
        <v>27246</v>
      </c>
      <c r="G7683" t="s">
        <v>27247</v>
      </c>
      <c r="H7683" t="s">
        <v>27248</v>
      </c>
      <c r="I7683" t="s">
        <v>42134</v>
      </c>
      <c r="J7683" t="s">
        <v>15265</v>
      </c>
      <c r="L7683" t="s">
        <v>27250</v>
      </c>
      <c r="M7683" t="s">
        <v>27251</v>
      </c>
      <c r="N7683" t="s">
        <v>27252</v>
      </c>
      <c r="Q7683" s="1">
        <v>44538</v>
      </c>
      <c r="R7683" t="s">
        <v>27253</v>
      </c>
      <c r="S7683" t="s">
        <v>27254</v>
      </c>
      <c r="T7683" t="s">
        <v>27255</v>
      </c>
    </row>
    <row r="7684" spans="1:20" x14ac:dyDescent="0.3">
      <c r="A7684" t="str">
        <f>"0611839561100"</f>
        <v>0611839561100</v>
      </c>
      <c r="B7684" t="str">
        <f>"LK6222"</f>
        <v>LK6222</v>
      </c>
      <c r="C7684" t="s">
        <v>42135</v>
      </c>
      <c r="D7684" t="s">
        <v>27245</v>
      </c>
      <c r="E7684" t="str">
        <f t="shared" si="120"/>
        <v>001390</v>
      </c>
      <c r="F7684" t="s">
        <v>27246</v>
      </c>
      <c r="G7684" t="s">
        <v>27247</v>
      </c>
      <c r="H7684" t="s">
        <v>27248</v>
      </c>
      <c r="I7684" t="s">
        <v>42136</v>
      </c>
      <c r="J7684" t="s">
        <v>15267</v>
      </c>
      <c r="L7684" t="s">
        <v>27250</v>
      </c>
      <c r="M7684" t="s">
        <v>27251</v>
      </c>
      <c r="N7684" t="s">
        <v>27252</v>
      </c>
      <c r="Q7684" s="1">
        <v>44538</v>
      </c>
      <c r="R7684" t="s">
        <v>27253</v>
      </c>
      <c r="S7684" t="s">
        <v>27254</v>
      </c>
      <c r="T7684" t="s">
        <v>27255</v>
      </c>
    </row>
    <row r="7685" spans="1:20" x14ac:dyDescent="0.3">
      <c r="A7685" t="str">
        <f>"0611839562100"</f>
        <v>0611839562100</v>
      </c>
      <c r="B7685" t="str">
        <f>"LK6224"</f>
        <v>LK6224</v>
      </c>
      <c r="C7685" t="s">
        <v>42137</v>
      </c>
      <c r="D7685" t="s">
        <v>27245</v>
      </c>
      <c r="E7685" t="str">
        <f t="shared" si="120"/>
        <v>001390</v>
      </c>
      <c r="F7685" t="s">
        <v>27246</v>
      </c>
      <c r="G7685" t="s">
        <v>27247</v>
      </c>
      <c r="H7685" t="s">
        <v>27248</v>
      </c>
      <c r="I7685" t="s">
        <v>42138</v>
      </c>
      <c r="J7685" t="s">
        <v>15269</v>
      </c>
      <c r="L7685" t="s">
        <v>27250</v>
      </c>
      <c r="M7685" t="s">
        <v>27251</v>
      </c>
      <c r="N7685" t="s">
        <v>27252</v>
      </c>
      <c r="Q7685" s="1">
        <v>44538</v>
      </c>
      <c r="R7685" t="s">
        <v>27253</v>
      </c>
      <c r="S7685" t="s">
        <v>27254</v>
      </c>
      <c r="T7685" t="s">
        <v>27255</v>
      </c>
    </row>
    <row r="7686" spans="1:20" x14ac:dyDescent="0.3">
      <c r="A7686" t="str">
        <f>"0611839563100"</f>
        <v>0611839563100</v>
      </c>
      <c r="B7686" t="str">
        <f>"LB4723"</f>
        <v>LB4723</v>
      </c>
      <c r="C7686" t="s">
        <v>42139</v>
      </c>
      <c r="D7686" t="s">
        <v>27245</v>
      </c>
      <c r="E7686" t="str">
        <f t="shared" si="120"/>
        <v>001390</v>
      </c>
      <c r="F7686" t="s">
        <v>27246</v>
      </c>
      <c r="G7686" t="s">
        <v>27247</v>
      </c>
      <c r="H7686" t="s">
        <v>27248</v>
      </c>
      <c r="I7686" t="s">
        <v>42140</v>
      </c>
      <c r="J7686" t="s">
        <v>15271</v>
      </c>
      <c r="L7686" t="s">
        <v>27250</v>
      </c>
      <c r="M7686" t="s">
        <v>27251</v>
      </c>
      <c r="N7686" t="s">
        <v>27252</v>
      </c>
      <c r="Q7686" s="1">
        <v>44538</v>
      </c>
      <c r="R7686" t="s">
        <v>27253</v>
      </c>
      <c r="S7686" t="s">
        <v>27254</v>
      </c>
      <c r="T7686" t="s">
        <v>27255</v>
      </c>
    </row>
    <row r="7687" spans="1:20" x14ac:dyDescent="0.3">
      <c r="A7687" t="str">
        <f>"0611884309100"</f>
        <v>0611884309100</v>
      </c>
      <c r="B7687" t="str">
        <f>"LK7167"</f>
        <v>LK7167</v>
      </c>
      <c r="C7687" t="s">
        <v>42141</v>
      </c>
      <c r="D7687" t="s">
        <v>28138</v>
      </c>
      <c r="E7687" t="str">
        <f t="shared" si="120"/>
        <v>001390</v>
      </c>
      <c r="F7687" t="s">
        <v>27246</v>
      </c>
      <c r="G7687" t="s">
        <v>27247</v>
      </c>
      <c r="H7687" t="s">
        <v>27248</v>
      </c>
      <c r="I7687" t="s">
        <v>42142</v>
      </c>
      <c r="J7687" t="s">
        <v>15273</v>
      </c>
      <c r="L7687" t="s">
        <v>27430</v>
      </c>
      <c r="M7687" t="s">
        <v>27251</v>
      </c>
      <c r="N7687" t="s">
        <v>27252</v>
      </c>
      <c r="P7687" t="s">
        <v>27925</v>
      </c>
      <c r="Q7687" s="1">
        <v>45250</v>
      </c>
      <c r="R7687" t="s">
        <v>27253</v>
      </c>
      <c r="S7687" t="s">
        <v>27254</v>
      </c>
      <c r="T7687" t="s">
        <v>27255</v>
      </c>
    </row>
    <row r="7688" spans="1:20" x14ac:dyDescent="0.3">
      <c r="A7688" t="str">
        <f>"0611884310100"</f>
        <v>0611884310100</v>
      </c>
      <c r="B7688" t="str">
        <f>"LK5491"</f>
        <v>LK5491</v>
      </c>
      <c r="C7688" t="s">
        <v>42143</v>
      </c>
      <c r="D7688" t="s">
        <v>28138</v>
      </c>
      <c r="E7688" t="str">
        <f t="shared" si="120"/>
        <v>001390</v>
      </c>
      <c r="F7688" t="s">
        <v>27246</v>
      </c>
      <c r="G7688" t="s">
        <v>27247</v>
      </c>
      <c r="H7688" t="s">
        <v>27248</v>
      </c>
      <c r="I7688" t="s">
        <v>42144</v>
      </c>
      <c r="J7688" t="s">
        <v>15275</v>
      </c>
      <c r="L7688" t="s">
        <v>27430</v>
      </c>
      <c r="M7688" t="s">
        <v>27251</v>
      </c>
      <c r="N7688" t="s">
        <v>27252</v>
      </c>
      <c r="P7688" t="s">
        <v>27925</v>
      </c>
      <c r="Q7688" s="1">
        <v>45250</v>
      </c>
      <c r="R7688" t="s">
        <v>27253</v>
      </c>
      <c r="S7688" t="s">
        <v>27254</v>
      </c>
      <c r="T7688" t="s">
        <v>27255</v>
      </c>
    </row>
    <row r="7689" spans="1:20" x14ac:dyDescent="0.3">
      <c r="A7689" t="str">
        <f>"0611884311100"</f>
        <v>0611884311100</v>
      </c>
      <c r="B7689" t="str">
        <f>"LK5487"</f>
        <v>LK5487</v>
      </c>
      <c r="C7689" t="s">
        <v>42145</v>
      </c>
      <c r="D7689" t="s">
        <v>28138</v>
      </c>
      <c r="E7689" t="str">
        <f t="shared" si="120"/>
        <v>001390</v>
      </c>
      <c r="F7689" t="s">
        <v>27246</v>
      </c>
      <c r="G7689" t="s">
        <v>27247</v>
      </c>
      <c r="H7689" t="s">
        <v>27248</v>
      </c>
      <c r="I7689" t="s">
        <v>42146</v>
      </c>
      <c r="J7689" t="s">
        <v>15277</v>
      </c>
      <c r="L7689" t="s">
        <v>27430</v>
      </c>
      <c r="M7689" t="s">
        <v>27251</v>
      </c>
      <c r="N7689" t="s">
        <v>27252</v>
      </c>
      <c r="P7689" t="s">
        <v>27925</v>
      </c>
      <c r="Q7689" s="1">
        <v>45250</v>
      </c>
      <c r="R7689" t="s">
        <v>27253</v>
      </c>
      <c r="S7689" t="s">
        <v>27254</v>
      </c>
      <c r="T7689" t="s">
        <v>27255</v>
      </c>
    </row>
    <row r="7690" spans="1:20" x14ac:dyDescent="0.3">
      <c r="A7690" t="str">
        <f>"0611884312100"</f>
        <v>0611884312100</v>
      </c>
      <c r="B7690" t="str">
        <f>"LK5488"</f>
        <v>LK5488</v>
      </c>
      <c r="C7690" t="s">
        <v>42147</v>
      </c>
      <c r="D7690" t="s">
        <v>28138</v>
      </c>
      <c r="E7690" t="str">
        <f t="shared" si="120"/>
        <v>001390</v>
      </c>
      <c r="F7690" t="s">
        <v>27246</v>
      </c>
      <c r="G7690" t="s">
        <v>27247</v>
      </c>
      <c r="H7690" t="s">
        <v>27248</v>
      </c>
      <c r="I7690" t="s">
        <v>42148</v>
      </c>
      <c r="J7690" t="s">
        <v>15279</v>
      </c>
      <c r="L7690" t="s">
        <v>27430</v>
      </c>
      <c r="M7690" t="s">
        <v>27251</v>
      </c>
      <c r="N7690" t="s">
        <v>27252</v>
      </c>
      <c r="P7690" t="s">
        <v>27925</v>
      </c>
      <c r="Q7690" s="1">
        <v>45250</v>
      </c>
      <c r="R7690" t="s">
        <v>27253</v>
      </c>
      <c r="S7690" t="s">
        <v>27254</v>
      </c>
      <c r="T7690" t="s">
        <v>27255</v>
      </c>
    </row>
    <row r="7691" spans="1:20" x14ac:dyDescent="0.3">
      <c r="A7691" t="str">
        <f>"0611884313100"</f>
        <v>0611884313100</v>
      </c>
      <c r="B7691" t="str">
        <f>"LK5489"</f>
        <v>LK5489</v>
      </c>
      <c r="C7691" t="s">
        <v>42149</v>
      </c>
      <c r="D7691" t="s">
        <v>28138</v>
      </c>
      <c r="E7691" t="str">
        <f t="shared" si="120"/>
        <v>001390</v>
      </c>
      <c r="F7691" t="s">
        <v>27246</v>
      </c>
      <c r="G7691" t="s">
        <v>27247</v>
      </c>
      <c r="H7691" t="s">
        <v>27248</v>
      </c>
      <c r="I7691" t="s">
        <v>42150</v>
      </c>
      <c r="J7691" t="s">
        <v>15281</v>
      </c>
      <c r="L7691" t="s">
        <v>27430</v>
      </c>
      <c r="M7691" t="s">
        <v>27251</v>
      </c>
      <c r="N7691" t="s">
        <v>27252</v>
      </c>
      <c r="P7691" t="s">
        <v>27925</v>
      </c>
      <c r="Q7691" s="1">
        <v>45250</v>
      </c>
      <c r="R7691" t="s">
        <v>27253</v>
      </c>
      <c r="S7691" t="s">
        <v>27254</v>
      </c>
      <c r="T7691" t="s">
        <v>27255</v>
      </c>
    </row>
    <row r="7692" spans="1:20" x14ac:dyDescent="0.3">
      <c r="A7692" t="str">
        <f>"0611884314100"</f>
        <v>0611884314100</v>
      </c>
      <c r="B7692" t="str">
        <f>"LK7168"</f>
        <v>LK7168</v>
      </c>
      <c r="C7692" t="s">
        <v>42151</v>
      </c>
      <c r="D7692" t="s">
        <v>28138</v>
      </c>
      <c r="E7692" t="str">
        <f t="shared" si="120"/>
        <v>001390</v>
      </c>
      <c r="F7692" t="s">
        <v>27246</v>
      </c>
      <c r="G7692" t="s">
        <v>27247</v>
      </c>
      <c r="H7692" t="s">
        <v>27248</v>
      </c>
      <c r="I7692" t="s">
        <v>42152</v>
      </c>
      <c r="J7692" t="s">
        <v>15283</v>
      </c>
      <c r="L7692" t="s">
        <v>27430</v>
      </c>
      <c r="M7692" t="s">
        <v>27251</v>
      </c>
      <c r="N7692" t="s">
        <v>27252</v>
      </c>
      <c r="P7692" t="s">
        <v>27925</v>
      </c>
      <c r="Q7692" s="1">
        <v>45250</v>
      </c>
      <c r="R7692" t="s">
        <v>27253</v>
      </c>
      <c r="S7692" t="s">
        <v>27254</v>
      </c>
      <c r="T7692" t="s">
        <v>27255</v>
      </c>
    </row>
    <row r="7693" spans="1:20" x14ac:dyDescent="0.3">
      <c r="A7693" t="str">
        <f>"0611884315100"</f>
        <v>0611884315100</v>
      </c>
      <c r="B7693" t="str">
        <f>"LK5490"</f>
        <v>LK5490</v>
      </c>
      <c r="C7693" t="s">
        <v>42153</v>
      </c>
      <c r="D7693" t="s">
        <v>28138</v>
      </c>
      <c r="E7693" t="str">
        <f t="shared" si="120"/>
        <v>001390</v>
      </c>
      <c r="F7693" t="s">
        <v>27246</v>
      </c>
      <c r="G7693" t="s">
        <v>27247</v>
      </c>
      <c r="H7693" t="s">
        <v>27248</v>
      </c>
      <c r="I7693" t="s">
        <v>42154</v>
      </c>
      <c r="J7693" t="s">
        <v>15285</v>
      </c>
      <c r="L7693" t="s">
        <v>27430</v>
      </c>
      <c r="M7693" t="s">
        <v>27251</v>
      </c>
      <c r="N7693" t="s">
        <v>27252</v>
      </c>
      <c r="P7693" t="s">
        <v>27925</v>
      </c>
      <c r="Q7693" s="1">
        <v>45250</v>
      </c>
      <c r="R7693" t="s">
        <v>27253</v>
      </c>
      <c r="S7693" t="s">
        <v>27254</v>
      </c>
      <c r="T7693" t="s">
        <v>27255</v>
      </c>
    </row>
    <row r="7694" spans="1:20" x14ac:dyDescent="0.3">
      <c r="A7694" t="str">
        <f>"0611884316100"</f>
        <v>0611884316100</v>
      </c>
      <c r="B7694" t="str">
        <f>"LK5492"</f>
        <v>LK5492</v>
      </c>
      <c r="C7694" t="s">
        <v>42155</v>
      </c>
      <c r="D7694" t="s">
        <v>28138</v>
      </c>
      <c r="E7694" t="str">
        <f t="shared" si="120"/>
        <v>001390</v>
      </c>
      <c r="F7694" t="s">
        <v>27246</v>
      </c>
      <c r="G7694" t="s">
        <v>27247</v>
      </c>
      <c r="H7694" t="s">
        <v>27248</v>
      </c>
      <c r="I7694" t="s">
        <v>42156</v>
      </c>
      <c r="J7694" t="s">
        <v>15287</v>
      </c>
      <c r="L7694" t="s">
        <v>27430</v>
      </c>
      <c r="M7694" t="s">
        <v>27251</v>
      </c>
      <c r="N7694" t="s">
        <v>27252</v>
      </c>
      <c r="P7694" t="s">
        <v>27925</v>
      </c>
      <c r="Q7694" s="1">
        <v>45250</v>
      </c>
      <c r="R7694" t="s">
        <v>27253</v>
      </c>
      <c r="S7694" t="s">
        <v>27254</v>
      </c>
      <c r="T7694" t="s">
        <v>27255</v>
      </c>
    </row>
    <row r="7695" spans="1:20" x14ac:dyDescent="0.3">
      <c r="A7695" t="str">
        <f>"0611884317100"</f>
        <v>0611884317100</v>
      </c>
      <c r="B7695" t="str">
        <f>"LK5493"</f>
        <v>LK5493</v>
      </c>
      <c r="C7695" t="s">
        <v>42157</v>
      </c>
      <c r="D7695" t="s">
        <v>28138</v>
      </c>
      <c r="E7695" t="str">
        <f t="shared" si="120"/>
        <v>001390</v>
      </c>
      <c r="F7695" t="s">
        <v>27246</v>
      </c>
      <c r="G7695" t="s">
        <v>27247</v>
      </c>
      <c r="H7695" t="s">
        <v>27248</v>
      </c>
      <c r="I7695" t="s">
        <v>42158</v>
      </c>
      <c r="J7695" t="s">
        <v>15289</v>
      </c>
      <c r="L7695" t="s">
        <v>27430</v>
      </c>
      <c r="M7695" t="s">
        <v>27251</v>
      </c>
      <c r="N7695" t="s">
        <v>27252</v>
      </c>
      <c r="P7695" t="s">
        <v>27925</v>
      </c>
      <c r="Q7695" s="1">
        <v>45250</v>
      </c>
      <c r="R7695" t="s">
        <v>27253</v>
      </c>
      <c r="S7695" t="s">
        <v>27254</v>
      </c>
      <c r="T7695" t="s">
        <v>27255</v>
      </c>
    </row>
    <row r="7696" spans="1:20" x14ac:dyDescent="0.3">
      <c r="A7696" t="str">
        <f>"0611839565100"</f>
        <v>0611839565100</v>
      </c>
      <c r="B7696" t="str">
        <f>"LB5089"</f>
        <v>LB5089</v>
      </c>
      <c r="C7696" t="s">
        <v>42159</v>
      </c>
      <c r="D7696" t="s">
        <v>27245</v>
      </c>
      <c r="E7696" t="str">
        <f t="shared" si="120"/>
        <v>001390</v>
      </c>
      <c r="F7696" t="s">
        <v>27246</v>
      </c>
      <c r="G7696" t="s">
        <v>27247</v>
      </c>
      <c r="H7696" t="s">
        <v>27248</v>
      </c>
      <c r="I7696" t="s">
        <v>42160</v>
      </c>
      <c r="J7696" t="s">
        <v>15291</v>
      </c>
      <c r="L7696" t="s">
        <v>27250</v>
      </c>
      <c r="M7696" t="s">
        <v>27251</v>
      </c>
      <c r="N7696" t="s">
        <v>27252</v>
      </c>
      <c r="Q7696" s="1">
        <v>44538</v>
      </c>
      <c r="R7696" t="s">
        <v>27253</v>
      </c>
      <c r="S7696" t="s">
        <v>27254</v>
      </c>
      <c r="T7696" t="s">
        <v>27255</v>
      </c>
    </row>
    <row r="7697" spans="1:20" x14ac:dyDescent="0.3">
      <c r="A7697" t="str">
        <f>"0611839566100"</f>
        <v>0611839566100</v>
      </c>
      <c r="B7697" t="str">
        <f>"LB5100"</f>
        <v>LB5100</v>
      </c>
      <c r="C7697" t="s">
        <v>42161</v>
      </c>
      <c r="D7697" t="s">
        <v>27245</v>
      </c>
      <c r="E7697" t="str">
        <f t="shared" si="120"/>
        <v>001390</v>
      </c>
      <c r="F7697" t="s">
        <v>27246</v>
      </c>
      <c r="G7697" t="s">
        <v>27247</v>
      </c>
      <c r="H7697" t="s">
        <v>27248</v>
      </c>
      <c r="I7697" t="s">
        <v>42162</v>
      </c>
      <c r="J7697" t="s">
        <v>15293</v>
      </c>
      <c r="L7697" t="s">
        <v>27250</v>
      </c>
      <c r="M7697" t="s">
        <v>27251</v>
      </c>
      <c r="N7697" t="s">
        <v>27252</v>
      </c>
      <c r="Q7697" s="1">
        <v>44538</v>
      </c>
      <c r="R7697" t="s">
        <v>27253</v>
      </c>
      <c r="S7697" t="s">
        <v>27254</v>
      </c>
      <c r="T7697" t="s">
        <v>27255</v>
      </c>
    </row>
    <row r="7698" spans="1:20" x14ac:dyDescent="0.3">
      <c r="A7698" t="str">
        <f>"0611839569100"</f>
        <v>0611839569100</v>
      </c>
      <c r="B7698" t="str">
        <f>"LB4675"</f>
        <v>LB4675</v>
      </c>
      <c r="C7698" t="s">
        <v>42163</v>
      </c>
      <c r="D7698" t="s">
        <v>27245</v>
      </c>
      <c r="E7698" t="str">
        <f t="shared" si="120"/>
        <v>001390</v>
      </c>
      <c r="F7698" t="s">
        <v>27246</v>
      </c>
      <c r="G7698" t="s">
        <v>27247</v>
      </c>
      <c r="H7698" t="s">
        <v>27248</v>
      </c>
      <c r="I7698" t="s">
        <v>42164</v>
      </c>
      <c r="J7698" t="s">
        <v>15295</v>
      </c>
      <c r="L7698" t="s">
        <v>27250</v>
      </c>
      <c r="M7698" t="s">
        <v>27251</v>
      </c>
      <c r="N7698" t="s">
        <v>27252</v>
      </c>
      <c r="Q7698" s="1">
        <v>44538</v>
      </c>
      <c r="R7698" t="s">
        <v>27253</v>
      </c>
      <c r="S7698" t="s">
        <v>27254</v>
      </c>
      <c r="T7698" t="s">
        <v>27255</v>
      </c>
    </row>
    <row r="7699" spans="1:20" x14ac:dyDescent="0.3">
      <c r="A7699" t="str">
        <f>"0611839570100"</f>
        <v>0611839570100</v>
      </c>
      <c r="B7699" t="str">
        <f>"LB4732"</f>
        <v>LB4732</v>
      </c>
      <c r="C7699" t="s">
        <v>42165</v>
      </c>
      <c r="D7699" t="s">
        <v>27245</v>
      </c>
      <c r="E7699" t="str">
        <f t="shared" si="120"/>
        <v>001390</v>
      </c>
      <c r="F7699" t="s">
        <v>27246</v>
      </c>
      <c r="G7699" t="s">
        <v>27247</v>
      </c>
      <c r="H7699" t="s">
        <v>27248</v>
      </c>
      <c r="I7699" t="s">
        <v>42166</v>
      </c>
      <c r="J7699" t="s">
        <v>15297</v>
      </c>
      <c r="L7699" t="s">
        <v>27250</v>
      </c>
      <c r="M7699" t="s">
        <v>27251</v>
      </c>
      <c r="N7699" t="s">
        <v>27252</v>
      </c>
      <c r="Q7699" s="1">
        <v>44538</v>
      </c>
      <c r="R7699" t="s">
        <v>27253</v>
      </c>
      <c r="S7699" t="s">
        <v>27254</v>
      </c>
      <c r="T7699" t="s">
        <v>27255</v>
      </c>
    </row>
    <row r="7700" spans="1:20" x14ac:dyDescent="0.3">
      <c r="A7700" t="str">
        <f>"0611839571100"</f>
        <v>0611839571100</v>
      </c>
      <c r="B7700" t="str">
        <f>"LB4734"</f>
        <v>LB4734</v>
      </c>
      <c r="C7700" t="s">
        <v>42167</v>
      </c>
      <c r="D7700" t="s">
        <v>27245</v>
      </c>
      <c r="E7700" t="str">
        <f t="shared" si="120"/>
        <v>001390</v>
      </c>
      <c r="F7700" t="s">
        <v>27246</v>
      </c>
      <c r="G7700" t="s">
        <v>27247</v>
      </c>
      <c r="H7700" t="s">
        <v>27248</v>
      </c>
      <c r="I7700" t="s">
        <v>42168</v>
      </c>
      <c r="J7700" t="s">
        <v>15299</v>
      </c>
      <c r="L7700" t="s">
        <v>27250</v>
      </c>
      <c r="M7700" t="s">
        <v>27251</v>
      </c>
      <c r="N7700" t="s">
        <v>27252</v>
      </c>
      <c r="Q7700" s="1">
        <v>44538</v>
      </c>
      <c r="R7700" t="s">
        <v>27253</v>
      </c>
      <c r="S7700" t="s">
        <v>27254</v>
      </c>
      <c r="T7700" t="s">
        <v>27255</v>
      </c>
    </row>
    <row r="7701" spans="1:20" x14ac:dyDescent="0.3">
      <c r="A7701" t="str">
        <f>"0611839572100"</f>
        <v>0611839572100</v>
      </c>
      <c r="B7701" t="str">
        <f>"LB4736"</f>
        <v>LB4736</v>
      </c>
      <c r="C7701" t="s">
        <v>42169</v>
      </c>
      <c r="D7701" t="s">
        <v>27245</v>
      </c>
      <c r="E7701" t="str">
        <f t="shared" si="120"/>
        <v>001390</v>
      </c>
      <c r="F7701" t="s">
        <v>27246</v>
      </c>
      <c r="G7701" t="s">
        <v>27247</v>
      </c>
      <c r="H7701" t="s">
        <v>27248</v>
      </c>
      <c r="I7701" t="s">
        <v>42170</v>
      </c>
      <c r="J7701" t="s">
        <v>15301</v>
      </c>
      <c r="L7701" t="s">
        <v>27250</v>
      </c>
      <c r="M7701" t="s">
        <v>27251</v>
      </c>
      <c r="N7701" t="s">
        <v>27252</v>
      </c>
      <c r="Q7701" s="1">
        <v>44538</v>
      </c>
      <c r="R7701" t="s">
        <v>27253</v>
      </c>
      <c r="S7701" t="s">
        <v>27254</v>
      </c>
      <c r="T7701" t="s">
        <v>27255</v>
      </c>
    </row>
    <row r="7702" spans="1:20" x14ac:dyDescent="0.3">
      <c r="A7702" t="str">
        <f>"0611839573100"</f>
        <v>0611839573100</v>
      </c>
      <c r="B7702" t="str">
        <f>"LB4738"</f>
        <v>LB4738</v>
      </c>
      <c r="C7702" t="s">
        <v>42171</v>
      </c>
      <c r="D7702" t="s">
        <v>27245</v>
      </c>
      <c r="E7702" t="str">
        <f t="shared" si="120"/>
        <v>001390</v>
      </c>
      <c r="F7702" t="s">
        <v>27246</v>
      </c>
      <c r="G7702" t="s">
        <v>27247</v>
      </c>
      <c r="H7702" t="s">
        <v>27248</v>
      </c>
      <c r="I7702" t="s">
        <v>42172</v>
      </c>
      <c r="J7702" t="s">
        <v>15303</v>
      </c>
      <c r="L7702" t="s">
        <v>27250</v>
      </c>
      <c r="M7702" t="s">
        <v>27251</v>
      </c>
      <c r="N7702" t="s">
        <v>27252</v>
      </c>
      <c r="Q7702" s="1">
        <v>44538</v>
      </c>
      <c r="R7702" t="s">
        <v>27253</v>
      </c>
      <c r="S7702" t="s">
        <v>27254</v>
      </c>
      <c r="T7702" t="s">
        <v>27255</v>
      </c>
    </row>
    <row r="7703" spans="1:20" x14ac:dyDescent="0.3">
      <c r="A7703" t="str">
        <f>"0611839574100"</f>
        <v>0611839574100</v>
      </c>
      <c r="B7703" t="str">
        <f>"LB4628"</f>
        <v>LB4628</v>
      </c>
      <c r="C7703" t="s">
        <v>42173</v>
      </c>
      <c r="D7703" t="s">
        <v>27245</v>
      </c>
      <c r="E7703" t="str">
        <f t="shared" si="120"/>
        <v>001390</v>
      </c>
      <c r="F7703" t="s">
        <v>27246</v>
      </c>
      <c r="G7703" t="s">
        <v>27247</v>
      </c>
      <c r="H7703" t="s">
        <v>27248</v>
      </c>
      <c r="I7703" t="s">
        <v>42174</v>
      </c>
      <c r="J7703" t="s">
        <v>15305</v>
      </c>
      <c r="L7703" t="s">
        <v>27250</v>
      </c>
      <c r="M7703" t="s">
        <v>27251</v>
      </c>
      <c r="N7703" t="s">
        <v>27252</v>
      </c>
      <c r="Q7703" s="1">
        <v>44538</v>
      </c>
      <c r="R7703" t="s">
        <v>27253</v>
      </c>
      <c r="S7703" t="s">
        <v>27254</v>
      </c>
      <c r="T7703" t="s">
        <v>27255</v>
      </c>
    </row>
    <row r="7704" spans="1:20" x14ac:dyDescent="0.3">
      <c r="A7704" t="str">
        <f>"0611839575100"</f>
        <v>0611839575100</v>
      </c>
      <c r="B7704" t="str">
        <f>"LB4743"</f>
        <v>LB4743</v>
      </c>
      <c r="C7704" t="s">
        <v>42175</v>
      </c>
      <c r="D7704" t="s">
        <v>27245</v>
      </c>
      <c r="E7704" t="str">
        <f t="shared" si="120"/>
        <v>001390</v>
      </c>
      <c r="F7704" t="s">
        <v>27246</v>
      </c>
      <c r="G7704" t="s">
        <v>27247</v>
      </c>
      <c r="H7704" t="s">
        <v>27248</v>
      </c>
      <c r="I7704" t="s">
        <v>42176</v>
      </c>
      <c r="J7704" t="s">
        <v>15307</v>
      </c>
      <c r="L7704" t="s">
        <v>27250</v>
      </c>
      <c r="M7704" t="s">
        <v>27251</v>
      </c>
      <c r="N7704" t="s">
        <v>27252</v>
      </c>
      <c r="Q7704" s="1">
        <v>44538</v>
      </c>
      <c r="R7704" t="s">
        <v>27253</v>
      </c>
      <c r="S7704" t="s">
        <v>27254</v>
      </c>
      <c r="T7704" t="s">
        <v>27255</v>
      </c>
    </row>
    <row r="7705" spans="1:20" x14ac:dyDescent="0.3">
      <c r="A7705" t="str">
        <f>"0611839576100"</f>
        <v>0611839576100</v>
      </c>
      <c r="B7705" t="str">
        <f>"LB4744"</f>
        <v>LB4744</v>
      </c>
      <c r="C7705" t="s">
        <v>42177</v>
      </c>
      <c r="D7705" t="s">
        <v>27245</v>
      </c>
      <c r="E7705" t="str">
        <f t="shared" si="120"/>
        <v>001390</v>
      </c>
      <c r="F7705" t="s">
        <v>27246</v>
      </c>
      <c r="G7705" t="s">
        <v>27247</v>
      </c>
      <c r="H7705" t="s">
        <v>27248</v>
      </c>
      <c r="I7705" t="s">
        <v>42178</v>
      </c>
      <c r="J7705" t="s">
        <v>15309</v>
      </c>
      <c r="L7705" t="s">
        <v>27250</v>
      </c>
      <c r="M7705" t="s">
        <v>27251</v>
      </c>
      <c r="N7705" t="s">
        <v>27252</v>
      </c>
      <c r="Q7705" s="1">
        <v>44538</v>
      </c>
      <c r="R7705" t="s">
        <v>27253</v>
      </c>
      <c r="S7705" t="s">
        <v>27254</v>
      </c>
      <c r="T7705" t="s">
        <v>27255</v>
      </c>
    </row>
    <row r="7706" spans="1:20" x14ac:dyDescent="0.3">
      <c r="A7706" t="str">
        <f>"0611839577100"</f>
        <v>0611839577100</v>
      </c>
      <c r="B7706" t="str">
        <f>"LB4745"</f>
        <v>LB4745</v>
      </c>
      <c r="C7706" t="s">
        <v>42179</v>
      </c>
      <c r="D7706" t="s">
        <v>27245</v>
      </c>
      <c r="E7706" t="str">
        <f t="shared" si="120"/>
        <v>001390</v>
      </c>
      <c r="F7706" t="s">
        <v>27246</v>
      </c>
      <c r="G7706" t="s">
        <v>27247</v>
      </c>
      <c r="H7706" t="s">
        <v>27248</v>
      </c>
      <c r="I7706" t="s">
        <v>42180</v>
      </c>
      <c r="J7706" t="s">
        <v>15311</v>
      </c>
      <c r="L7706" t="s">
        <v>27250</v>
      </c>
      <c r="M7706" t="s">
        <v>27251</v>
      </c>
      <c r="N7706" t="s">
        <v>27252</v>
      </c>
      <c r="Q7706" s="1">
        <v>44538</v>
      </c>
      <c r="R7706" t="s">
        <v>27253</v>
      </c>
      <c r="S7706" t="s">
        <v>27254</v>
      </c>
      <c r="T7706" t="s">
        <v>27255</v>
      </c>
    </row>
    <row r="7707" spans="1:20" x14ac:dyDescent="0.3">
      <c r="A7707" t="str">
        <f>"0611839579100"</f>
        <v>0611839579100</v>
      </c>
      <c r="B7707" t="str">
        <f>"LB4694"</f>
        <v>LB4694</v>
      </c>
      <c r="C7707" t="s">
        <v>42181</v>
      </c>
      <c r="D7707" t="s">
        <v>27245</v>
      </c>
      <c r="E7707" t="str">
        <f t="shared" si="120"/>
        <v>001390</v>
      </c>
      <c r="F7707" t="s">
        <v>27246</v>
      </c>
      <c r="G7707" t="s">
        <v>27247</v>
      </c>
      <c r="H7707" t="s">
        <v>27248</v>
      </c>
      <c r="I7707" t="s">
        <v>42182</v>
      </c>
      <c r="J7707" t="s">
        <v>15313</v>
      </c>
      <c r="L7707" t="s">
        <v>27250</v>
      </c>
      <c r="M7707" t="s">
        <v>27251</v>
      </c>
      <c r="N7707" t="s">
        <v>27252</v>
      </c>
      <c r="Q7707" s="1">
        <v>44538</v>
      </c>
      <c r="R7707" t="s">
        <v>27253</v>
      </c>
      <c r="S7707" t="s">
        <v>27254</v>
      </c>
      <c r="T7707" t="s">
        <v>27255</v>
      </c>
    </row>
    <row r="7708" spans="1:20" x14ac:dyDescent="0.3">
      <c r="A7708" t="str">
        <f>"0611839580100"</f>
        <v>0611839580100</v>
      </c>
      <c r="B7708" t="str">
        <f>"LK0799"</f>
        <v>LK0799</v>
      </c>
      <c r="C7708" t="s">
        <v>42183</v>
      </c>
      <c r="D7708" t="s">
        <v>27245</v>
      </c>
      <c r="E7708" t="str">
        <f t="shared" si="120"/>
        <v>001390</v>
      </c>
      <c r="F7708" t="s">
        <v>27246</v>
      </c>
      <c r="G7708" t="s">
        <v>27247</v>
      </c>
      <c r="H7708" t="s">
        <v>27248</v>
      </c>
      <c r="I7708" t="s">
        <v>42184</v>
      </c>
      <c r="J7708" t="s">
        <v>15315</v>
      </c>
      <c r="L7708" t="s">
        <v>27250</v>
      </c>
      <c r="M7708" t="s">
        <v>27251</v>
      </c>
      <c r="N7708" t="s">
        <v>27252</v>
      </c>
      <c r="Q7708" s="1">
        <v>44538</v>
      </c>
      <c r="R7708" t="s">
        <v>27253</v>
      </c>
      <c r="S7708" t="s">
        <v>27254</v>
      </c>
      <c r="T7708" t="s">
        <v>27255</v>
      </c>
    </row>
    <row r="7709" spans="1:20" x14ac:dyDescent="0.3">
      <c r="A7709" t="str">
        <f>"0611839581100"</f>
        <v>0611839581100</v>
      </c>
      <c r="B7709" t="str">
        <f>"LB4699"</f>
        <v>LB4699</v>
      </c>
      <c r="C7709" t="s">
        <v>42185</v>
      </c>
      <c r="D7709" t="s">
        <v>27245</v>
      </c>
      <c r="E7709" t="str">
        <f t="shared" si="120"/>
        <v>001390</v>
      </c>
      <c r="F7709" t="s">
        <v>27246</v>
      </c>
      <c r="G7709" t="s">
        <v>27247</v>
      </c>
      <c r="H7709" t="s">
        <v>27248</v>
      </c>
      <c r="I7709" t="s">
        <v>42186</v>
      </c>
      <c r="J7709" t="s">
        <v>15317</v>
      </c>
      <c r="L7709" t="s">
        <v>27250</v>
      </c>
      <c r="M7709" t="s">
        <v>27251</v>
      </c>
      <c r="N7709" t="s">
        <v>27252</v>
      </c>
      <c r="Q7709" s="1">
        <v>44538</v>
      </c>
      <c r="R7709" t="s">
        <v>27253</v>
      </c>
      <c r="S7709" t="s">
        <v>27254</v>
      </c>
      <c r="T7709" t="s">
        <v>27255</v>
      </c>
    </row>
    <row r="7710" spans="1:20" x14ac:dyDescent="0.3">
      <c r="A7710" t="str">
        <f>"0611839582100"</f>
        <v>0611839582100</v>
      </c>
      <c r="B7710" t="str">
        <f>"LB4700"</f>
        <v>LB4700</v>
      </c>
      <c r="C7710" t="s">
        <v>42187</v>
      </c>
      <c r="D7710" t="s">
        <v>27245</v>
      </c>
      <c r="E7710" t="str">
        <f t="shared" si="120"/>
        <v>001390</v>
      </c>
      <c r="F7710" t="s">
        <v>27246</v>
      </c>
      <c r="G7710" t="s">
        <v>27247</v>
      </c>
      <c r="H7710" t="s">
        <v>27248</v>
      </c>
      <c r="I7710" t="s">
        <v>42188</v>
      </c>
      <c r="J7710" t="s">
        <v>15319</v>
      </c>
      <c r="L7710" t="s">
        <v>27250</v>
      </c>
      <c r="M7710" t="s">
        <v>27251</v>
      </c>
      <c r="N7710" t="s">
        <v>27252</v>
      </c>
      <c r="Q7710" s="1">
        <v>44538</v>
      </c>
      <c r="R7710" t="s">
        <v>27253</v>
      </c>
      <c r="S7710" t="s">
        <v>27254</v>
      </c>
      <c r="T7710" t="s">
        <v>27255</v>
      </c>
    </row>
    <row r="7711" spans="1:20" x14ac:dyDescent="0.3">
      <c r="A7711" t="str">
        <f>"0611839583100"</f>
        <v>0611839583100</v>
      </c>
      <c r="B7711" t="str">
        <f>"LB4702"</f>
        <v>LB4702</v>
      </c>
      <c r="C7711" t="s">
        <v>42189</v>
      </c>
      <c r="D7711" t="s">
        <v>27245</v>
      </c>
      <c r="E7711" t="str">
        <f t="shared" si="120"/>
        <v>001390</v>
      </c>
      <c r="F7711" t="s">
        <v>27246</v>
      </c>
      <c r="G7711" t="s">
        <v>27247</v>
      </c>
      <c r="H7711" t="s">
        <v>27248</v>
      </c>
      <c r="I7711" t="s">
        <v>42190</v>
      </c>
      <c r="J7711" t="s">
        <v>15321</v>
      </c>
      <c r="L7711" t="s">
        <v>27250</v>
      </c>
      <c r="M7711" t="s">
        <v>27251</v>
      </c>
      <c r="N7711" t="s">
        <v>27252</v>
      </c>
      <c r="Q7711" s="1">
        <v>44538</v>
      </c>
      <c r="R7711" t="s">
        <v>27253</v>
      </c>
      <c r="S7711" t="s">
        <v>27254</v>
      </c>
      <c r="T7711" t="s">
        <v>27255</v>
      </c>
    </row>
    <row r="7712" spans="1:20" x14ac:dyDescent="0.3">
      <c r="A7712" t="str">
        <f>"0611839584100"</f>
        <v>0611839584100</v>
      </c>
      <c r="B7712" t="str">
        <f>"LB4703"</f>
        <v>LB4703</v>
      </c>
      <c r="C7712" t="s">
        <v>42191</v>
      </c>
      <c r="D7712" t="s">
        <v>27245</v>
      </c>
      <c r="E7712" t="str">
        <f t="shared" si="120"/>
        <v>001390</v>
      </c>
      <c r="F7712" t="s">
        <v>27246</v>
      </c>
      <c r="G7712" t="s">
        <v>27247</v>
      </c>
      <c r="H7712" t="s">
        <v>27248</v>
      </c>
      <c r="I7712" t="s">
        <v>42192</v>
      </c>
      <c r="J7712" t="s">
        <v>15323</v>
      </c>
      <c r="L7712" t="s">
        <v>27250</v>
      </c>
      <c r="M7712" t="s">
        <v>27251</v>
      </c>
      <c r="N7712" t="s">
        <v>27252</v>
      </c>
      <c r="Q7712" s="1">
        <v>44538</v>
      </c>
      <c r="R7712" t="s">
        <v>27253</v>
      </c>
      <c r="S7712" t="s">
        <v>27254</v>
      </c>
      <c r="T7712" t="s">
        <v>27255</v>
      </c>
    </row>
    <row r="7713" spans="1:20" x14ac:dyDescent="0.3">
      <c r="A7713" t="str">
        <f>"0611839585100"</f>
        <v>0611839585100</v>
      </c>
      <c r="B7713" t="str">
        <f>"LK1618"</f>
        <v>LK1618</v>
      </c>
      <c r="C7713" t="s">
        <v>42193</v>
      </c>
      <c r="D7713" t="s">
        <v>27245</v>
      </c>
      <c r="E7713" t="str">
        <f t="shared" si="120"/>
        <v>001390</v>
      </c>
      <c r="F7713" t="s">
        <v>27246</v>
      </c>
      <c r="G7713" t="s">
        <v>27247</v>
      </c>
      <c r="H7713" t="s">
        <v>27248</v>
      </c>
      <c r="I7713" t="s">
        <v>42194</v>
      </c>
      <c r="J7713" t="s">
        <v>15325</v>
      </c>
      <c r="L7713" t="s">
        <v>27250</v>
      </c>
      <c r="M7713" t="s">
        <v>27251</v>
      </c>
      <c r="N7713" t="s">
        <v>27252</v>
      </c>
      <c r="O7713">
        <v>100</v>
      </c>
      <c r="Q7713" s="1">
        <v>44538</v>
      </c>
      <c r="R7713" t="s">
        <v>27253</v>
      </c>
      <c r="S7713" t="s">
        <v>27254</v>
      </c>
      <c r="T7713" t="s">
        <v>27255</v>
      </c>
    </row>
    <row r="7714" spans="1:20" x14ac:dyDescent="0.3">
      <c r="A7714" t="str">
        <f>"0611839586100"</f>
        <v>0611839586100</v>
      </c>
      <c r="B7714" t="str">
        <f>"LB4704"</f>
        <v>LB4704</v>
      </c>
      <c r="C7714" t="s">
        <v>42195</v>
      </c>
      <c r="D7714" t="s">
        <v>27245</v>
      </c>
      <c r="E7714" t="str">
        <f t="shared" si="120"/>
        <v>001390</v>
      </c>
      <c r="F7714" t="s">
        <v>27246</v>
      </c>
      <c r="G7714" t="s">
        <v>27247</v>
      </c>
      <c r="H7714" t="s">
        <v>27248</v>
      </c>
      <c r="I7714" t="s">
        <v>42196</v>
      </c>
      <c r="J7714" t="s">
        <v>15327</v>
      </c>
      <c r="L7714" t="s">
        <v>27250</v>
      </c>
      <c r="M7714" t="s">
        <v>27251</v>
      </c>
      <c r="N7714" t="s">
        <v>27252</v>
      </c>
      <c r="Q7714" s="1">
        <v>44538</v>
      </c>
      <c r="R7714" t="s">
        <v>27253</v>
      </c>
      <c r="S7714" t="s">
        <v>27254</v>
      </c>
      <c r="T7714" t="s">
        <v>27255</v>
      </c>
    </row>
    <row r="7715" spans="1:20" x14ac:dyDescent="0.3">
      <c r="A7715" t="str">
        <f>"0611839587100"</f>
        <v>0611839587100</v>
      </c>
      <c r="B7715" t="str">
        <f>"LK0800"</f>
        <v>LK0800</v>
      </c>
      <c r="C7715" t="s">
        <v>42197</v>
      </c>
      <c r="D7715" t="s">
        <v>27245</v>
      </c>
      <c r="E7715" t="str">
        <f t="shared" si="120"/>
        <v>001390</v>
      </c>
      <c r="F7715" t="s">
        <v>27246</v>
      </c>
      <c r="G7715" t="s">
        <v>27247</v>
      </c>
      <c r="H7715" t="s">
        <v>27248</v>
      </c>
      <c r="I7715" t="s">
        <v>42198</v>
      </c>
      <c r="J7715" t="s">
        <v>15329</v>
      </c>
      <c r="L7715" t="s">
        <v>27250</v>
      </c>
      <c r="M7715" t="s">
        <v>27251</v>
      </c>
      <c r="N7715" t="s">
        <v>27252</v>
      </c>
      <c r="Q7715" s="1">
        <v>44538</v>
      </c>
      <c r="R7715" t="s">
        <v>27253</v>
      </c>
      <c r="S7715" t="s">
        <v>27254</v>
      </c>
      <c r="T7715" t="s">
        <v>27255</v>
      </c>
    </row>
    <row r="7716" spans="1:20" x14ac:dyDescent="0.3">
      <c r="A7716" t="str">
        <f>"0611839588100"</f>
        <v>0611839588100</v>
      </c>
      <c r="B7716" t="str">
        <f>"LB4708"</f>
        <v>LB4708</v>
      </c>
      <c r="C7716" t="s">
        <v>42199</v>
      </c>
      <c r="D7716" t="s">
        <v>27245</v>
      </c>
      <c r="E7716" t="str">
        <f t="shared" si="120"/>
        <v>001390</v>
      </c>
      <c r="F7716" t="s">
        <v>27246</v>
      </c>
      <c r="G7716" t="s">
        <v>27247</v>
      </c>
      <c r="H7716" t="s">
        <v>27248</v>
      </c>
      <c r="I7716" t="s">
        <v>42200</v>
      </c>
      <c r="J7716" t="s">
        <v>15331</v>
      </c>
      <c r="L7716" t="s">
        <v>27250</v>
      </c>
      <c r="M7716" t="s">
        <v>27251</v>
      </c>
      <c r="N7716" t="s">
        <v>27252</v>
      </c>
      <c r="Q7716" s="1">
        <v>44538</v>
      </c>
      <c r="R7716" t="s">
        <v>27253</v>
      </c>
      <c r="S7716" t="s">
        <v>27254</v>
      </c>
      <c r="T7716" t="s">
        <v>27255</v>
      </c>
    </row>
    <row r="7717" spans="1:20" x14ac:dyDescent="0.3">
      <c r="A7717" t="str">
        <f>"0611839589100"</f>
        <v>0611839589100</v>
      </c>
      <c r="B7717" t="str">
        <f>"LB4597"</f>
        <v>LB4597</v>
      </c>
      <c r="C7717" t="s">
        <v>42201</v>
      </c>
      <c r="D7717" t="s">
        <v>27245</v>
      </c>
      <c r="E7717" t="str">
        <f t="shared" si="120"/>
        <v>001390</v>
      </c>
      <c r="F7717" t="s">
        <v>27246</v>
      </c>
      <c r="G7717" t="s">
        <v>27247</v>
      </c>
      <c r="H7717" t="s">
        <v>27248</v>
      </c>
      <c r="I7717" t="s">
        <v>42202</v>
      </c>
      <c r="J7717" t="s">
        <v>15333</v>
      </c>
      <c r="L7717" t="s">
        <v>27250</v>
      </c>
      <c r="M7717" t="s">
        <v>27251</v>
      </c>
      <c r="N7717" t="s">
        <v>27252</v>
      </c>
      <c r="Q7717" s="1">
        <v>44538</v>
      </c>
      <c r="R7717" t="s">
        <v>27253</v>
      </c>
      <c r="S7717" t="s">
        <v>27254</v>
      </c>
      <c r="T7717" t="s">
        <v>27255</v>
      </c>
    </row>
    <row r="7718" spans="1:20" x14ac:dyDescent="0.3">
      <c r="A7718" t="str">
        <f>"0611839590100"</f>
        <v>0611839590100</v>
      </c>
      <c r="B7718" t="str">
        <f>"LB4755"</f>
        <v>LB4755</v>
      </c>
      <c r="C7718" t="s">
        <v>42203</v>
      </c>
      <c r="D7718" t="s">
        <v>27245</v>
      </c>
      <c r="E7718" t="str">
        <f t="shared" si="120"/>
        <v>001390</v>
      </c>
      <c r="F7718" t="s">
        <v>27246</v>
      </c>
      <c r="G7718" t="s">
        <v>27247</v>
      </c>
      <c r="H7718" t="s">
        <v>27248</v>
      </c>
      <c r="I7718" t="s">
        <v>42204</v>
      </c>
      <c r="J7718" t="s">
        <v>15335</v>
      </c>
      <c r="L7718" t="s">
        <v>27250</v>
      </c>
      <c r="M7718" t="s">
        <v>27251</v>
      </c>
      <c r="N7718" t="s">
        <v>27252</v>
      </c>
      <c r="Q7718" s="1">
        <v>44538</v>
      </c>
      <c r="R7718" t="s">
        <v>27253</v>
      </c>
      <c r="S7718" t="s">
        <v>27254</v>
      </c>
      <c r="T7718" t="s">
        <v>27255</v>
      </c>
    </row>
    <row r="7719" spans="1:20" x14ac:dyDescent="0.3">
      <c r="A7719" t="str">
        <f>"0611839591100"</f>
        <v>0611839591100</v>
      </c>
      <c r="B7719" t="str">
        <f>"LB4756"</f>
        <v>LB4756</v>
      </c>
      <c r="C7719" t="s">
        <v>42205</v>
      </c>
      <c r="D7719" t="s">
        <v>27245</v>
      </c>
      <c r="E7719" t="str">
        <f t="shared" si="120"/>
        <v>001390</v>
      </c>
      <c r="F7719" t="s">
        <v>27246</v>
      </c>
      <c r="G7719" t="s">
        <v>27247</v>
      </c>
      <c r="H7719" t="s">
        <v>27248</v>
      </c>
      <c r="I7719" t="s">
        <v>42206</v>
      </c>
      <c r="J7719" t="s">
        <v>15337</v>
      </c>
      <c r="L7719" t="s">
        <v>27250</v>
      </c>
      <c r="M7719" t="s">
        <v>27251</v>
      </c>
      <c r="N7719" t="s">
        <v>27252</v>
      </c>
      <c r="Q7719" s="1">
        <v>44538</v>
      </c>
      <c r="R7719" t="s">
        <v>27253</v>
      </c>
      <c r="S7719" t="s">
        <v>27254</v>
      </c>
      <c r="T7719" t="s">
        <v>27255</v>
      </c>
    </row>
    <row r="7720" spans="1:20" x14ac:dyDescent="0.3">
      <c r="A7720" t="str">
        <f>"0611839592100"</f>
        <v>0611839592100</v>
      </c>
      <c r="B7720" t="str">
        <f>"LB4757"</f>
        <v>LB4757</v>
      </c>
      <c r="C7720" t="s">
        <v>42207</v>
      </c>
      <c r="D7720" t="s">
        <v>27245</v>
      </c>
      <c r="E7720" t="str">
        <f t="shared" si="120"/>
        <v>001390</v>
      </c>
      <c r="F7720" t="s">
        <v>27246</v>
      </c>
      <c r="G7720" t="s">
        <v>27247</v>
      </c>
      <c r="H7720" t="s">
        <v>27248</v>
      </c>
      <c r="I7720" t="s">
        <v>42208</v>
      </c>
      <c r="J7720" t="s">
        <v>15339</v>
      </c>
      <c r="L7720" t="s">
        <v>27250</v>
      </c>
      <c r="M7720" t="s">
        <v>27251</v>
      </c>
      <c r="N7720" t="s">
        <v>27252</v>
      </c>
      <c r="Q7720" s="1">
        <v>44538</v>
      </c>
      <c r="R7720" t="s">
        <v>27253</v>
      </c>
      <c r="S7720" t="s">
        <v>27254</v>
      </c>
      <c r="T7720" t="s">
        <v>27255</v>
      </c>
    </row>
    <row r="7721" spans="1:20" x14ac:dyDescent="0.3">
      <c r="A7721" t="str">
        <f>"0611839593100"</f>
        <v>0611839593100</v>
      </c>
      <c r="B7721" t="str">
        <f>"LK6866"</f>
        <v>LK6866</v>
      </c>
      <c r="C7721" t="s">
        <v>42209</v>
      </c>
      <c r="D7721" t="s">
        <v>28138</v>
      </c>
      <c r="E7721" t="str">
        <f t="shared" si="120"/>
        <v>001390</v>
      </c>
      <c r="F7721" t="s">
        <v>27246</v>
      </c>
      <c r="G7721" t="s">
        <v>27247</v>
      </c>
      <c r="H7721" t="s">
        <v>27248</v>
      </c>
      <c r="I7721" t="s">
        <v>42210</v>
      </c>
      <c r="J7721" t="s">
        <v>15341</v>
      </c>
      <c r="L7721" t="s">
        <v>27250</v>
      </c>
      <c r="M7721" t="s">
        <v>27251</v>
      </c>
      <c r="N7721" t="s">
        <v>27252</v>
      </c>
      <c r="P7721" t="s">
        <v>27925</v>
      </c>
      <c r="Q7721" s="1">
        <v>44538</v>
      </c>
      <c r="R7721" t="s">
        <v>27253</v>
      </c>
      <c r="S7721" t="s">
        <v>27254</v>
      </c>
      <c r="T7721" t="s">
        <v>27255</v>
      </c>
    </row>
    <row r="7722" spans="1:20" x14ac:dyDescent="0.3">
      <c r="A7722" t="str">
        <f>"0611839594100"</f>
        <v>0611839594100</v>
      </c>
      <c r="B7722" t="str">
        <f>"LK6867"</f>
        <v>LK6867</v>
      </c>
      <c r="C7722" t="s">
        <v>42211</v>
      </c>
      <c r="D7722" t="s">
        <v>28138</v>
      </c>
      <c r="E7722" t="str">
        <f t="shared" si="120"/>
        <v>001390</v>
      </c>
      <c r="F7722" t="s">
        <v>27246</v>
      </c>
      <c r="G7722" t="s">
        <v>27247</v>
      </c>
      <c r="H7722" t="s">
        <v>27248</v>
      </c>
      <c r="I7722" t="s">
        <v>42212</v>
      </c>
      <c r="J7722" t="s">
        <v>15343</v>
      </c>
      <c r="L7722" t="s">
        <v>27250</v>
      </c>
      <c r="M7722" t="s">
        <v>27251</v>
      </c>
      <c r="N7722" t="s">
        <v>27252</v>
      </c>
      <c r="P7722" t="s">
        <v>27925</v>
      </c>
      <c r="Q7722" s="1">
        <v>44538</v>
      </c>
      <c r="R7722" t="s">
        <v>27253</v>
      </c>
      <c r="S7722" t="s">
        <v>27254</v>
      </c>
      <c r="T7722" t="s">
        <v>27255</v>
      </c>
    </row>
    <row r="7723" spans="1:20" x14ac:dyDescent="0.3">
      <c r="A7723" t="str">
        <f>"0611839595100"</f>
        <v>0611839595100</v>
      </c>
      <c r="B7723" t="str">
        <f>"LK6868"</f>
        <v>LK6868</v>
      </c>
      <c r="C7723" t="s">
        <v>42213</v>
      </c>
      <c r="D7723" t="s">
        <v>28138</v>
      </c>
      <c r="E7723" t="str">
        <f t="shared" si="120"/>
        <v>001390</v>
      </c>
      <c r="F7723" t="s">
        <v>27246</v>
      </c>
      <c r="G7723" t="s">
        <v>27247</v>
      </c>
      <c r="H7723" t="s">
        <v>27248</v>
      </c>
      <c r="I7723" t="s">
        <v>42214</v>
      </c>
      <c r="J7723" t="s">
        <v>15345</v>
      </c>
      <c r="L7723" t="s">
        <v>27250</v>
      </c>
      <c r="M7723" t="s">
        <v>27251</v>
      </c>
      <c r="N7723" t="s">
        <v>27252</v>
      </c>
      <c r="P7723" t="s">
        <v>27925</v>
      </c>
      <c r="Q7723" s="1">
        <v>44538</v>
      </c>
      <c r="R7723" t="s">
        <v>27253</v>
      </c>
      <c r="S7723" t="s">
        <v>27254</v>
      </c>
      <c r="T7723" t="s">
        <v>27255</v>
      </c>
    </row>
    <row r="7724" spans="1:20" x14ac:dyDescent="0.3">
      <c r="A7724" t="str">
        <f>"0611839596100"</f>
        <v>0611839596100</v>
      </c>
      <c r="B7724" t="str">
        <f>"LK6869"</f>
        <v>LK6869</v>
      </c>
      <c r="C7724" t="s">
        <v>42215</v>
      </c>
      <c r="D7724" t="s">
        <v>28138</v>
      </c>
      <c r="E7724" t="str">
        <f t="shared" si="120"/>
        <v>001390</v>
      </c>
      <c r="F7724" t="s">
        <v>27246</v>
      </c>
      <c r="G7724" t="s">
        <v>27247</v>
      </c>
      <c r="H7724" t="s">
        <v>27248</v>
      </c>
      <c r="I7724" t="s">
        <v>42216</v>
      </c>
      <c r="J7724" t="s">
        <v>15347</v>
      </c>
      <c r="L7724" t="s">
        <v>27250</v>
      </c>
      <c r="M7724" t="s">
        <v>27251</v>
      </c>
      <c r="N7724" t="s">
        <v>27252</v>
      </c>
      <c r="P7724" t="s">
        <v>27925</v>
      </c>
      <c r="Q7724" s="1">
        <v>44538</v>
      </c>
      <c r="R7724" t="s">
        <v>27253</v>
      </c>
      <c r="S7724" t="s">
        <v>27254</v>
      </c>
      <c r="T7724" t="s">
        <v>27255</v>
      </c>
    </row>
    <row r="7725" spans="1:20" x14ac:dyDescent="0.3">
      <c r="A7725" t="str">
        <f>"0611839597100"</f>
        <v>0611839597100</v>
      </c>
      <c r="B7725" t="str">
        <f>"LK6085"</f>
        <v>LK6085</v>
      </c>
      <c r="C7725" t="s">
        <v>42217</v>
      </c>
      <c r="D7725" t="s">
        <v>27245</v>
      </c>
      <c r="E7725" t="str">
        <f t="shared" si="120"/>
        <v>001390</v>
      </c>
      <c r="F7725" t="s">
        <v>27246</v>
      </c>
      <c r="G7725" t="s">
        <v>27247</v>
      </c>
      <c r="H7725" t="s">
        <v>27248</v>
      </c>
      <c r="I7725" t="s">
        <v>42218</v>
      </c>
      <c r="J7725" t="s">
        <v>15349</v>
      </c>
      <c r="L7725" t="s">
        <v>27250</v>
      </c>
      <c r="M7725" t="s">
        <v>27251</v>
      </c>
      <c r="N7725" t="s">
        <v>27252</v>
      </c>
      <c r="Q7725" s="1">
        <v>44538</v>
      </c>
      <c r="R7725" t="s">
        <v>27253</v>
      </c>
      <c r="S7725" t="s">
        <v>27254</v>
      </c>
      <c r="T7725" t="s">
        <v>27255</v>
      </c>
    </row>
    <row r="7726" spans="1:20" x14ac:dyDescent="0.3">
      <c r="A7726" t="str">
        <f>"0611839598100"</f>
        <v>0611839598100</v>
      </c>
      <c r="B7726" t="str">
        <f>"LK6557"</f>
        <v>LK6557</v>
      </c>
      <c r="C7726" t="s">
        <v>42219</v>
      </c>
      <c r="D7726" t="s">
        <v>27245</v>
      </c>
      <c r="E7726" t="str">
        <f t="shared" si="120"/>
        <v>001390</v>
      </c>
      <c r="F7726" t="s">
        <v>27246</v>
      </c>
      <c r="G7726" t="s">
        <v>27247</v>
      </c>
      <c r="H7726" t="s">
        <v>27248</v>
      </c>
      <c r="I7726" t="s">
        <v>42220</v>
      </c>
      <c r="J7726" t="s">
        <v>15351</v>
      </c>
      <c r="L7726" t="s">
        <v>27250</v>
      </c>
      <c r="M7726" t="s">
        <v>27251</v>
      </c>
      <c r="N7726" t="s">
        <v>27252</v>
      </c>
      <c r="Q7726" s="1">
        <v>44538</v>
      </c>
      <c r="R7726" t="s">
        <v>27253</v>
      </c>
      <c r="S7726" t="s">
        <v>27254</v>
      </c>
      <c r="T7726" t="s">
        <v>27255</v>
      </c>
    </row>
    <row r="7727" spans="1:20" x14ac:dyDescent="0.3">
      <c r="A7727" t="str">
        <f>"0611839599100"</f>
        <v>0611839599100</v>
      </c>
      <c r="B7727" t="str">
        <f>"LS0081"</f>
        <v>LS0081</v>
      </c>
      <c r="C7727" t="s">
        <v>42221</v>
      </c>
      <c r="D7727" t="s">
        <v>27245</v>
      </c>
      <c r="E7727" t="str">
        <f t="shared" si="120"/>
        <v>001390</v>
      </c>
      <c r="F7727" t="s">
        <v>27246</v>
      </c>
      <c r="G7727" t="s">
        <v>27247</v>
      </c>
      <c r="H7727" t="s">
        <v>27248</v>
      </c>
      <c r="I7727" t="s">
        <v>42222</v>
      </c>
      <c r="J7727" t="s">
        <v>15353</v>
      </c>
      <c r="L7727" t="s">
        <v>27250</v>
      </c>
      <c r="M7727" t="s">
        <v>27251</v>
      </c>
      <c r="N7727" t="s">
        <v>27252</v>
      </c>
      <c r="Q7727" s="1">
        <v>44538</v>
      </c>
      <c r="R7727" t="s">
        <v>27253</v>
      </c>
      <c r="S7727" t="s">
        <v>27254</v>
      </c>
      <c r="T7727" t="s">
        <v>27255</v>
      </c>
    </row>
    <row r="7728" spans="1:20" x14ac:dyDescent="0.3">
      <c r="A7728" t="str">
        <f>"0611839600100"</f>
        <v>0611839600100</v>
      </c>
      <c r="B7728" t="str">
        <f>"LB4664"</f>
        <v>LB4664</v>
      </c>
      <c r="C7728" t="s">
        <v>42223</v>
      </c>
      <c r="D7728" t="s">
        <v>27245</v>
      </c>
      <c r="E7728" t="str">
        <f t="shared" si="120"/>
        <v>001390</v>
      </c>
      <c r="F7728" t="s">
        <v>27246</v>
      </c>
      <c r="G7728" t="s">
        <v>27247</v>
      </c>
      <c r="H7728" t="s">
        <v>27248</v>
      </c>
      <c r="I7728" t="s">
        <v>42224</v>
      </c>
      <c r="J7728" t="s">
        <v>15355</v>
      </c>
      <c r="L7728" t="s">
        <v>27250</v>
      </c>
      <c r="M7728" t="s">
        <v>27251</v>
      </c>
      <c r="N7728" t="s">
        <v>27252</v>
      </c>
      <c r="Q7728" s="1">
        <v>44538</v>
      </c>
      <c r="R7728" t="s">
        <v>27253</v>
      </c>
      <c r="S7728" t="s">
        <v>27254</v>
      </c>
      <c r="T7728" t="s">
        <v>27255</v>
      </c>
    </row>
    <row r="7729" spans="1:20" x14ac:dyDescent="0.3">
      <c r="A7729" t="str">
        <f>"0611839603100"</f>
        <v>0611839603100</v>
      </c>
      <c r="B7729" t="str">
        <f>"LK2891"</f>
        <v>LK2891</v>
      </c>
      <c r="C7729" t="s">
        <v>42225</v>
      </c>
      <c r="D7729" t="s">
        <v>27245</v>
      </c>
      <c r="E7729" t="str">
        <f t="shared" si="120"/>
        <v>001390</v>
      </c>
      <c r="F7729" t="s">
        <v>27246</v>
      </c>
      <c r="G7729" t="s">
        <v>27247</v>
      </c>
      <c r="H7729" t="s">
        <v>27248</v>
      </c>
      <c r="I7729" t="s">
        <v>42226</v>
      </c>
      <c r="J7729" t="s">
        <v>15357</v>
      </c>
      <c r="L7729" t="s">
        <v>27250</v>
      </c>
      <c r="M7729" t="s">
        <v>27251</v>
      </c>
      <c r="N7729" t="s">
        <v>27252</v>
      </c>
      <c r="Q7729" s="1">
        <v>44538</v>
      </c>
      <c r="R7729" t="s">
        <v>27253</v>
      </c>
      <c r="S7729" t="s">
        <v>27254</v>
      </c>
      <c r="T7729" t="s">
        <v>27255</v>
      </c>
    </row>
    <row r="7730" spans="1:20" x14ac:dyDescent="0.3">
      <c r="A7730" t="str">
        <f>"0611839604100"</f>
        <v>0611839604100</v>
      </c>
      <c r="B7730" t="str">
        <f>"LB4709"</f>
        <v>LB4709</v>
      </c>
      <c r="C7730" t="s">
        <v>42227</v>
      </c>
      <c r="D7730" t="s">
        <v>27245</v>
      </c>
      <c r="E7730" t="str">
        <f t="shared" si="120"/>
        <v>001390</v>
      </c>
      <c r="F7730" t="s">
        <v>27246</v>
      </c>
      <c r="G7730" t="s">
        <v>27247</v>
      </c>
      <c r="H7730" t="s">
        <v>27248</v>
      </c>
      <c r="I7730" t="s">
        <v>42228</v>
      </c>
      <c r="J7730" t="s">
        <v>15359</v>
      </c>
      <c r="L7730" t="s">
        <v>27250</v>
      </c>
      <c r="M7730" t="s">
        <v>27251</v>
      </c>
      <c r="N7730" t="s">
        <v>27252</v>
      </c>
      <c r="Q7730" s="1">
        <v>44538</v>
      </c>
      <c r="R7730" t="s">
        <v>27253</v>
      </c>
      <c r="S7730" t="s">
        <v>27254</v>
      </c>
      <c r="T7730" t="s">
        <v>27255</v>
      </c>
    </row>
    <row r="7731" spans="1:20" x14ac:dyDescent="0.3">
      <c r="A7731" t="str">
        <f>"0611884318025"</f>
        <v>0611884318025</v>
      </c>
      <c r="B7731" t="str">
        <f>"MC4484"</f>
        <v>MC4484</v>
      </c>
      <c r="C7731" t="s">
        <v>42229</v>
      </c>
      <c r="D7731" t="s">
        <v>27267</v>
      </c>
      <c r="E7731" t="str">
        <f t="shared" si="120"/>
        <v>001390</v>
      </c>
      <c r="F7731" t="s">
        <v>27246</v>
      </c>
      <c r="G7731" t="s">
        <v>27247</v>
      </c>
      <c r="H7731" t="s">
        <v>27248</v>
      </c>
      <c r="I7731" t="s">
        <v>42230</v>
      </c>
      <c r="J7731" t="s">
        <v>15361</v>
      </c>
      <c r="L7731" t="s">
        <v>27430</v>
      </c>
      <c r="M7731" t="s">
        <v>27251</v>
      </c>
      <c r="N7731" t="s">
        <v>27252</v>
      </c>
      <c r="Q7731" s="1">
        <v>45250</v>
      </c>
      <c r="R7731" t="s">
        <v>27253</v>
      </c>
      <c r="S7731" t="s">
        <v>27254</v>
      </c>
      <c r="T7731" t="s">
        <v>27269</v>
      </c>
    </row>
    <row r="7732" spans="1:20" x14ac:dyDescent="0.3">
      <c r="A7732" t="str">
        <f>"0611884319025"</f>
        <v>0611884319025</v>
      </c>
      <c r="B7732" t="str">
        <f>"MC4485"</f>
        <v>MC4485</v>
      </c>
      <c r="C7732" t="s">
        <v>42231</v>
      </c>
      <c r="D7732" t="s">
        <v>27267</v>
      </c>
      <c r="E7732" t="str">
        <f t="shared" si="120"/>
        <v>001390</v>
      </c>
      <c r="F7732" t="s">
        <v>27246</v>
      </c>
      <c r="G7732" t="s">
        <v>27247</v>
      </c>
      <c r="H7732" t="s">
        <v>27248</v>
      </c>
      <c r="I7732" t="s">
        <v>42232</v>
      </c>
      <c r="J7732" t="s">
        <v>15363</v>
      </c>
      <c r="L7732" t="s">
        <v>27430</v>
      </c>
      <c r="M7732" t="s">
        <v>27251</v>
      </c>
      <c r="N7732" t="s">
        <v>27252</v>
      </c>
      <c r="Q7732" s="1">
        <v>45250</v>
      </c>
      <c r="R7732" t="s">
        <v>27253</v>
      </c>
      <c r="S7732" t="s">
        <v>27254</v>
      </c>
      <c r="T7732" t="s">
        <v>27269</v>
      </c>
    </row>
    <row r="7733" spans="1:20" x14ac:dyDescent="0.3">
      <c r="A7733" t="str">
        <f>"0611839678100"</f>
        <v>0611839678100</v>
      </c>
      <c r="B7733" t="str">
        <f>"LS0076"</f>
        <v>LS0076</v>
      </c>
      <c r="C7733" t="s">
        <v>42233</v>
      </c>
      <c r="D7733" t="s">
        <v>27245</v>
      </c>
      <c r="E7733" t="str">
        <f t="shared" si="120"/>
        <v>001390</v>
      </c>
      <c r="F7733" t="s">
        <v>27246</v>
      </c>
      <c r="G7733" t="s">
        <v>27247</v>
      </c>
      <c r="H7733" t="s">
        <v>27248</v>
      </c>
      <c r="I7733" t="s">
        <v>42234</v>
      </c>
      <c r="J7733" t="s">
        <v>15365</v>
      </c>
      <c r="L7733" t="s">
        <v>27250</v>
      </c>
      <c r="M7733" t="s">
        <v>27251</v>
      </c>
      <c r="N7733" t="s">
        <v>27252</v>
      </c>
      <c r="Q7733" s="1">
        <v>44538</v>
      </c>
      <c r="R7733" t="s">
        <v>27253</v>
      </c>
      <c r="S7733" t="s">
        <v>27254</v>
      </c>
      <c r="T7733" t="s">
        <v>27255</v>
      </c>
    </row>
    <row r="7734" spans="1:20" x14ac:dyDescent="0.3">
      <c r="A7734" t="str">
        <f>"0611839605100"</f>
        <v>0611839605100</v>
      </c>
      <c r="B7734" t="str">
        <f>"LK6907"</f>
        <v>LK6907</v>
      </c>
      <c r="C7734" t="s">
        <v>42235</v>
      </c>
      <c r="D7734" t="s">
        <v>28138</v>
      </c>
      <c r="E7734" t="str">
        <f t="shared" si="120"/>
        <v>001390</v>
      </c>
      <c r="F7734" t="s">
        <v>27246</v>
      </c>
      <c r="G7734" t="s">
        <v>27247</v>
      </c>
      <c r="H7734" t="s">
        <v>27248</v>
      </c>
      <c r="I7734" t="s">
        <v>42236</v>
      </c>
      <c r="J7734" t="s">
        <v>15367</v>
      </c>
      <c r="L7734" t="s">
        <v>27250</v>
      </c>
      <c r="M7734" t="s">
        <v>27251</v>
      </c>
      <c r="N7734" t="s">
        <v>27252</v>
      </c>
      <c r="P7734" t="s">
        <v>27925</v>
      </c>
      <c r="Q7734" s="1">
        <v>44538</v>
      </c>
      <c r="R7734" t="s">
        <v>27253</v>
      </c>
      <c r="S7734" t="s">
        <v>27254</v>
      </c>
      <c r="T7734" t="s">
        <v>27255</v>
      </c>
    </row>
    <row r="7735" spans="1:20" x14ac:dyDescent="0.3">
      <c r="A7735" t="str">
        <f>"0611839606100"</f>
        <v>0611839606100</v>
      </c>
      <c r="B7735" t="str">
        <f>"LK6908"</f>
        <v>LK6908</v>
      </c>
      <c r="C7735" t="s">
        <v>42237</v>
      </c>
      <c r="D7735" t="s">
        <v>28138</v>
      </c>
      <c r="E7735" t="str">
        <f t="shared" si="120"/>
        <v>001390</v>
      </c>
      <c r="F7735" t="s">
        <v>27246</v>
      </c>
      <c r="G7735" t="s">
        <v>27247</v>
      </c>
      <c r="H7735" t="s">
        <v>27248</v>
      </c>
      <c r="I7735" t="s">
        <v>42238</v>
      </c>
      <c r="J7735" t="s">
        <v>15369</v>
      </c>
      <c r="L7735" t="s">
        <v>27250</v>
      </c>
      <c r="M7735" t="s">
        <v>27251</v>
      </c>
      <c r="N7735" t="s">
        <v>27252</v>
      </c>
      <c r="P7735" t="s">
        <v>27925</v>
      </c>
      <c r="Q7735" s="1">
        <v>44538</v>
      </c>
      <c r="R7735" t="s">
        <v>27253</v>
      </c>
      <c r="S7735" t="s">
        <v>27254</v>
      </c>
      <c r="T7735" t="s">
        <v>27255</v>
      </c>
    </row>
    <row r="7736" spans="1:20" x14ac:dyDescent="0.3">
      <c r="A7736" t="str">
        <f>"0611839607100"</f>
        <v>0611839607100</v>
      </c>
      <c r="B7736" t="str">
        <f>"LK6909"</f>
        <v>LK6909</v>
      </c>
      <c r="C7736" t="s">
        <v>42239</v>
      </c>
      <c r="D7736" t="s">
        <v>28138</v>
      </c>
      <c r="E7736" t="str">
        <f t="shared" si="120"/>
        <v>001390</v>
      </c>
      <c r="F7736" t="s">
        <v>27246</v>
      </c>
      <c r="G7736" t="s">
        <v>27247</v>
      </c>
      <c r="H7736" t="s">
        <v>27248</v>
      </c>
      <c r="I7736" t="s">
        <v>42240</v>
      </c>
      <c r="J7736" t="s">
        <v>15371</v>
      </c>
      <c r="L7736" t="s">
        <v>27250</v>
      </c>
      <c r="M7736" t="s">
        <v>27251</v>
      </c>
      <c r="N7736" t="s">
        <v>27252</v>
      </c>
      <c r="P7736" t="s">
        <v>27925</v>
      </c>
      <c r="Q7736" s="1">
        <v>44538</v>
      </c>
      <c r="R7736" t="s">
        <v>27253</v>
      </c>
      <c r="S7736" t="s">
        <v>27254</v>
      </c>
      <c r="T7736" t="s">
        <v>27255</v>
      </c>
    </row>
    <row r="7737" spans="1:20" x14ac:dyDescent="0.3">
      <c r="A7737" t="str">
        <f>"0611839608100"</f>
        <v>0611839608100</v>
      </c>
      <c r="B7737" t="str">
        <f>"LK6910"</f>
        <v>LK6910</v>
      </c>
      <c r="C7737" t="s">
        <v>42241</v>
      </c>
      <c r="D7737" t="s">
        <v>28138</v>
      </c>
      <c r="E7737" t="str">
        <f t="shared" si="120"/>
        <v>001390</v>
      </c>
      <c r="F7737" t="s">
        <v>27246</v>
      </c>
      <c r="G7737" t="s">
        <v>27247</v>
      </c>
      <c r="H7737" t="s">
        <v>27248</v>
      </c>
      <c r="I7737" t="s">
        <v>42242</v>
      </c>
      <c r="J7737" t="s">
        <v>15373</v>
      </c>
      <c r="L7737" t="s">
        <v>27250</v>
      </c>
      <c r="M7737" t="s">
        <v>27251</v>
      </c>
      <c r="N7737" t="s">
        <v>27252</v>
      </c>
      <c r="P7737" t="s">
        <v>27925</v>
      </c>
      <c r="Q7737" s="1">
        <v>44538</v>
      </c>
      <c r="R7737" t="s">
        <v>27253</v>
      </c>
      <c r="S7737" t="s">
        <v>27254</v>
      </c>
      <c r="T7737" t="s">
        <v>27255</v>
      </c>
    </row>
    <row r="7738" spans="1:20" x14ac:dyDescent="0.3">
      <c r="A7738" t="str">
        <f>"0611839609100"</f>
        <v>0611839609100</v>
      </c>
      <c r="B7738" t="str">
        <f>"LK6911"</f>
        <v>LK6911</v>
      </c>
      <c r="C7738" t="s">
        <v>42243</v>
      </c>
      <c r="D7738" t="s">
        <v>28138</v>
      </c>
      <c r="E7738" t="str">
        <f t="shared" si="120"/>
        <v>001390</v>
      </c>
      <c r="F7738" t="s">
        <v>27246</v>
      </c>
      <c r="G7738" t="s">
        <v>27247</v>
      </c>
      <c r="H7738" t="s">
        <v>27248</v>
      </c>
      <c r="I7738" t="s">
        <v>42244</v>
      </c>
      <c r="J7738" t="s">
        <v>15375</v>
      </c>
      <c r="L7738" t="s">
        <v>27250</v>
      </c>
      <c r="M7738" t="s">
        <v>27251</v>
      </c>
      <c r="N7738" t="s">
        <v>27252</v>
      </c>
      <c r="P7738" t="s">
        <v>27925</v>
      </c>
      <c r="Q7738" s="1">
        <v>44538</v>
      </c>
      <c r="R7738" t="s">
        <v>27253</v>
      </c>
      <c r="S7738" t="s">
        <v>27254</v>
      </c>
      <c r="T7738" t="s">
        <v>27255</v>
      </c>
    </row>
    <row r="7739" spans="1:20" x14ac:dyDescent="0.3">
      <c r="A7739" t="str">
        <f>"0611839610100"</f>
        <v>0611839610100</v>
      </c>
      <c r="B7739" t="str">
        <f>"LK6912"</f>
        <v>LK6912</v>
      </c>
      <c r="C7739" t="s">
        <v>42245</v>
      </c>
      <c r="D7739" t="s">
        <v>28138</v>
      </c>
      <c r="E7739" t="str">
        <f t="shared" si="120"/>
        <v>001390</v>
      </c>
      <c r="F7739" t="s">
        <v>27246</v>
      </c>
      <c r="G7739" t="s">
        <v>27247</v>
      </c>
      <c r="H7739" t="s">
        <v>27248</v>
      </c>
      <c r="I7739" t="s">
        <v>42246</v>
      </c>
      <c r="J7739" t="s">
        <v>15377</v>
      </c>
      <c r="L7739" t="s">
        <v>27250</v>
      </c>
      <c r="M7739" t="s">
        <v>27251</v>
      </c>
      <c r="N7739" t="s">
        <v>27252</v>
      </c>
      <c r="P7739" t="s">
        <v>27925</v>
      </c>
      <c r="Q7739" s="1">
        <v>44538</v>
      </c>
      <c r="R7739" t="s">
        <v>27253</v>
      </c>
      <c r="S7739" t="s">
        <v>27254</v>
      </c>
      <c r="T7739" t="s">
        <v>27255</v>
      </c>
    </row>
    <row r="7740" spans="1:20" x14ac:dyDescent="0.3">
      <c r="A7740" t="str">
        <f>"0611839611100"</f>
        <v>0611839611100</v>
      </c>
      <c r="B7740" t="str">
        <f>"LB4707"</f>
        <v>LB4707</v>
      </c>
      <c r="C7740" t="s">
        <v>42247</v>
      </c>
      <c r="D7740" t="s">
        <v>27245</v>
      </c>
      <c r="E7740" t="str">
        <f t="shared" si="120"/>
        <v>001390</v>
      </c>
      <c r="F7740" t="s">
        <v>27246</v>
      </c>
      <c r="G7740" t="s">
        <v>27247</v>
      </c>
      <c r="H7740" t="s">
        <v>27248</v>
      </c>
      <c r="I7740" t="s">
        <v>42248</v>
      </c>
      <c r="J7740" t="s">
        <v>15379</v>
      </c>
      <c r="L7740" t="s">
        <v>27250</v>
      </c>
      <c r="M7740" t="s">
        <v>27251</v>
      </c>
      <c r="N7740" t="s">
        <v>27252</v>
      </c>
      <c r="Q7740" s="1">
        <v>44538</v>
      </c>
      <c r="R7740" t="s">
        <v>27253</v>
      </c>
      <c r="S7740" t="s">
        <v>27254</v>
      </c>
      <c r="T7740" t="s">
        <v>27255</v>
      </c>
    </row>
    <row r="7741" spans="1:20" x14ac:dyDescent="0.3">
      <c r="A7741" t="str">
        <f>"0611839612100"</f>
        <v>0611839612100</v>
      </c>
      <c r="B7741" t="str">
        <f>"LB4863"</f>
        <v>LB4863</v>
      </c>
      <c r="C7741" t="s">
        <v>42249</v>
      </c>
      <c r="D7741" t="s">
        <v>27245</v>
      </c>
      <c r="E7741" t="str">
        <f t="shared" si="120"/>
        <v>001390</v>
      </c>
      <c r="F7741" t="s">
        <v>27246</v>
      </c>
      <c r="G7741" t="s">
        <v>27247</v>
      </c>
      <c r="H7741" t="s">
        <v>27248</v>
      </c>
      <c r="I7741" t="s">
        <v>42250</v>
      </c>
      <c r="J7741" t="s">
        <v>15381</v>
      </c>
      <c r="L7741" t="s">
        <v>27250</v>
      </c>
      <c r="M7741" t="s">
        <v>27251</v>
      </c>
      <c r="N7741" t="s">
        <v>27252</v>
      </c>
      <c r="Q7741" s="1">
        <v>44538</v>
      </c>
      <c r="R7741" t="s">
        <v>27253</v>
      </c>
      <c r="S7741" t="s">
        <v>27254</v>
      </c>
      <c r="T7741" t="s">
        <v>27255</v>
      </c>
    </row>
    <row r="7742" spans="1:20" x14ac:dyDescent="0.3">
      <c r="A7742" t="str">
        <f>"0611839613100"</f>
        <v>0611839613100</v>
      </c>
      <c r="B7742" t="str">
        <f>"LB4866"</f>
        <v>LB4866</v>
      </c>
      <c r="C7742" t="s">
        <v>42251</v>
      </c>
      <c r="D7742" t="s">
        <v>27245</v>
      </c>
      <c r="E7742" t="str">
        <f t="shared" si="120"/>
        <v>001390</v>
      </c>
      <c r="F7742" t="s">
        <v>27246</v>
      </c>
      <c r="G7742" t="s">
        <v>27247</v>
      </c>
      <c r="H7742" t="s">
        <v>27248</v>
      </c>
      <c r="I7742" t="s">
        <v>42252</v>
      </c>
      <c r="J7742" t="s">
        <v>15383</v>
      </c>
      <c r="L7742" t="s">
        <v>27250</v>
      </c>
      <c r="M7742" t="s">
        <v>27251</v>
      </c>
      <c r="N7742" t="s">
        <v>27252</v>
      </c>
      <c r="Q7742" s="1">
        <v>44538</v>
      </c>
      <c r="R7742" t="s">
        <v>27253</v>
      </c>
      <c r="S7742" t="s">
        <v>27254</v>
      </c>
      <c r="T7742" t="s">
        <v>27255</v>
      </c>
    </row>
    <row r="7743" spans="1:20" x14ac:dyDescent="0.3">
      <c r="A7743" t="str">
        <f>"0611839614100"</f>
        <v>0611839614100</v>
      </c>
      <c r="B7743" t="str">
        <f>"LB4867"</f>
        <v>LB4867</v>
      </c>
      <c r="C7743" t="s">
        <v>42253</v>
      </c>
      <c r="D7743" t="s">
        <v>27245</v>
      </c>
      <c r="E7743" t="str">
        <f t="shared" si="120"/>
        <v>001390</v>
      </c>
      <c r="F7743" t="s">
        <v>27246</v>
      </c>
      <c r="G7743" t="s">
        <v>27247</v>
      </c>
      <c r="H7743" t="s">
        <v>27248</v>
      </c>
      <c r="I7743" t="s">
        <v>42254</v>
      </c>
      <c r="J7743" t="s">
        <v>15385</v>
      </c>
      <c r="L7743" t="s">
        <v>27250</v>
      </c>
      <c r="M7743" t="s">
        <v>27251</v>
      </c>
      <c r="N7743" t="s">
        <v>27252</v>
      </c>
      <c r="Q7743" s="1">
        <v>44538</v>
      </c>
      <c r="R7743" t="s">
        <v>27253</v>
      </c>
      <c r="S7743" t="s">
        <v>27254</v>
      </c>
      <c r="T7743" t="s">
        <v>27255</v>
      </c>
    </row>
    <row r="7744" spans="1:20" x14ac:dyDescent="0.3">
      <c r="A7744" t="str">
        <f>"0611839615100"</f>
        <v>0611839615100</v>
      </c>
      <c r="B7744" t="str">
        <f>"LB4869"</f>
        <v>LB4869</v>
      </c>
      <c r="C7744" t="s">
        <v>42255</v>
      </c>
      <c r="D7744" t="s">
        <v>27245</v>
      </c>
      <c r="E7744" t="str">
        <f t="shared" si="120"/>
        <v>001390</v>
      </c>
      <c r="F7744" t="s">
        <v>27246</v>
      </c>
      <c r="G7744" t="s">
        <v>27247</v>
      </c>
      <c r="H7744" t="s">
        <v>27248</v>
      </c>
      <c r="I7744" t="s">
        <v>42256</v>
      </c>
      <c r="J7744" t="s">
        <v>15387</v>
      </c>
      <c r="L7744" t="s">
        <v>27250</v>
      </c>
      <c r="M7744" t="s">
        <v>27251</v>
      </c>
      <c r="N7744" t="s">
        <v>27252</v>
      </c>
      <c r="Q7744" s="1">
        <v>44538</v>
      </c>
      <c r="R7744" t="s">
        <v>27253</v>
      </c>
      <c r="S7744" t="s">
        <v>27254</v>
      </c>
      <c r="T7744" t="s">
        <v>27255</v>
      </c>
    </row>
    <row r="7745" spans="1:20" x14ac:dyDescent="0.3">
      <c r="A7745" t="str">
        <f>"0611839617100"</f>
        <v>0611839617100</v>
      </c>
      <c r="B7745" t="str">
        <f>"LB4663"</f>
        <v>LB4663</v>
      </c>
      <c r="C7745" t="s">
        <v>42257</v>
      </c>
      <c r="D7745" t="s">
        <v>27245</v>
      </c>
      <c r="E7745" t="str">
        <f t="shared" si="120"/>
        <v>001390</v>
      </c>
      <c r="F7745" t="s">
        <v>27246</v>
      </c>
      <c r="G7745" t="s">
        <v>27247</v>
      </c>
      <c r="H7745" t="s">
        <v>27248</v>
      </c>
      <c r="I7745" t="s">
        <v>42258</v>
      </c>
      <c r="J7745" t="s">
        <v>15389</v>
      </c>
      <c r="L7745" t="s">
        <v>27250</v>
      </c>
      <c r="M7745" t="s">
        <v>27251</v>
      </c>
      <c r="N7745" t="s">
        <v>27252</v>
      </c>
      <c r="Q7745" s="1">
        <v>44538</v>
      </c>
      <c r="R7745" t="s">
        <v>27253</v>
      </c>
      <c r="S7745" t="s">
        <v>27254</v>
      </c>
      <c r="T7745" t="s">
        <v>27255</v>
      </c>
    </row>
    <row r="7746" spans="1:20" x14ac:dyDescent="0.3">
      <c r="A7746" t="str">
        <f>"0611839618100"</f>
        <v>0611839618100</v>
      </c>
      <c r="B7746" t="str">
        <f>"LB4864"</f>
        <v>LB4864</v>
      </c>
      <c r="C7746" t="s">
        <v>42259</v>
      </c>
      <c r="D7746" t="s">
        <v>27245</v>
      </c>
      <c r="E7746" t="str">
        <f t="shared" ref="E7746:E7809" si="121">"001390"</f>
        <v>001390</v>
      </c>
      <c r="F7746" t="s">
        <v>27246</v>
      </c>
      <c r="G7746" t="s">
        <v>27247</v>
      </c>
      <c r="H7746" t="s">
        <v>27248</v>
      </c>
      <c r="I7746" t="s">
        <v>42260</v>
      </c>
      <c r="J7746" t="s">
        <v>15391</v>
      </c>
      <c r="L7746" t="s">
        <v>27250</v>
      </c>
      <c r="M7746" t="s">
        <v>27251</v>
      </c>
      <c r="N7746" t="s">
        <v>27252</v>
      </c>
      <c r="Q7746" s="1">
        <v>44538</v>
      </c>
      <c r="R7746" t="s">
        <v>27253</v>
      </c>
      <c r="S7746" t="s">
        <v>27254</v>
      </c>
      <c r="T7746" t="s">
        <v>27255</v>
      </c>
    </row>
    <row r="7747" spans="1:20" x14ac:dyDescent="0.3">
      <c r="A7747" t="str">
        <f>"0611839619100"</f>
        <v>0611839619100</v>
      </c>
      <c r="B7747" t="str">
        <f>"LK5801"</f>
        <v>LK5801</v>
      </c>
      <c r="C7747" t="s">
        <v>42261</v>
      </c>
      <c r="D7747" t="s">
        <v>27245</v>
      </c>
      <c r="E7747" t="str">
        <f t="shared" si="121"/>
        <v>001390</v>
      </c>
      <c r="F7747" t="s">
        <v>27246</v>
      </c>
      <c r="G7747" t="s">
        <v>27247</v>
      </c>
      <c r="H7747" t="s">
        <v>27248</v>
      </c>
      <c r="I7747" t="s">
        <v>42262</v>
      </c>
      <c r="J7747" t="s">
        <v>15393</v>
      </c>
      <c r="L7747" t="s">
        <v>27250</v>
      </c>
      <c r="M7747" t="s">
        <v>27251</v>
      </c>
      <c r="N7747" t="s">
        <v>27252</v>
      </c>
      <c r="Q7747" s="1">
        <v>44538</v>
      </c>
      <c r="R7747" t="s">
        <v>27253</v>
      </c>
      <c r="S7747" t="s">
        <v>27254</v>
      </c>
      <c r="T7747" t="s">
        <v>27255</v>
      </c>
    </row>
    <row r="7748" spans="1:20" x14ac:dyDescent="0.3">
      <c r="A7748" t="str">
        <f>"0611839620100"</f>
        <v>0611839620100</v>
      </c>
      <c r="B7748" t="str">
        <f>"LK5802"</f>
        <v>LK5802</v>
      </c>
      <c r="C7748" t="s">
        <v>42263</v>
      </c>
      <c r="D7748" t="s">
        <v>27245</v>
      </c>
      <c r="E7748" t="str">
        <f t="shared" si="121"/>
        <v>001390</v>
      </c>
      <c r="F7748" t="s">
        <v>27246</v>
      </c>
      <c r="G7748" t="s">
        <v>27247</v>
      </c>
      <c r="H7748" t="s">
        <v>27248</v>
      </c>
      <c r="I7748" t="s">
        <v>42264</v>
      </c>
      <c r="J7748" t="s">
        <v>15395</v>
      </c>
      <c r="L7748" t="s">
        <v>27250</v>
      </c>
      <c r="M7748" t="s">
        <v>27251</v>
      </c>
      <c r="N7748" t="s">
        <v>27252</v>
      </c>
      <c r="Q7748" s="1">
        <v>44538</v>
      </c>
      <c r="R7748" t="s">
        <v>27253</v>
      </c>
      <c r="S7748" t="s">
        <v>27254</v>
      </c>
      <c r="T7748" t="s">
        <v>27255</v>
      </c>
    </row>
    <row r="7749" spans="1:20" x14ac:dyDescent="0.3">
      <c r="A7749" t="str">
        <f>"0611839621100"</f>
        <v>0611839621100</v>
      </c>
      <c r="B7749" t="str">
        <f>"LK5803"</f>
        <v>LK5803</v>
      </c>
      <c r="C7749" t="s">
        <v>42265</v>
      </c>
      <c r="D7749" t="s">
        <v>27245</v>
      </c>
      <c r="E7749" t="str">
        <f t="shared" si="121"/>
        <v>001390</v>
      </c>
      <c r="F7749" t="s">
        <v>27246</v>
      </c>
      <c r="G7749" t="s">
        <v>27247</v>
      </c>
      <c r="H7749" t="s">
        <v>27248</v>
      </c>
      <c r="I7749" t="s">
        <v>42266</v>
      </c>
      <c r="J7749" t="s">
        <v>15397</v>
      </c>
      <c r="L7749" t="s">
        <v>27250</v>
      </c>
      <c r="M7749" t="s">
        <v>27251</v>
      </c>
      <c r="N7749" t="s">
        <v>27252</v>
      </c>
      <c r="Q7749" s="1">
        <v>44538</v>
      </c>
      <c r="R7749" t="s">
        <v>27253</v>
      </c>
      <c r="S7749" t="s">
        <v>27254</v>
      </c>
      <c r="T7749" t="s">
        <v>27255</v>
      </c>
    </row>
    <row r="7750" spans="1:20" x14ac:dyDescent="0.3">
      <c r="A7750" t="str">
        <f>"0611839622100"</f>
        <v>0611839622100</v>
      </c>
      <c r="B7750" t="str">
        <f>"LK5804"</f>
        <v>LK5804</v>
      </c>
      <c r="C7750" t="s">
        <v>42267</v>
      </c>
      <c r="D7750" t="s">
        <v>27245</v>
      </c>
      <c r="E7750" t="str">
        <f t="shared" si="121"/>
        <v>001390</v>
      </c>
      <c r="F7750" t="s">
        <v>27246</v>
      </c>
      <c r="G7750" t="s">
        <v>27247</v>
      </c>
      <c r="H7750" t="s">
        <v>27248</v>
      </c>
      <c r="I7750" t="s">
        <v>42268</v>
      </c>
      <c r="J7750" t="s">
        <v>15399</v>
      </c>
      <c r="L7750" t="s">
        <v>27250</v>
      </c>
      <c r="M7750" t="s">
        <v>27251</v>
      </c>
      <c r="N7750" t="s">
        <v>27252</v>
      </c>
      <c r="Q7750" s="1">
        <v>44538</v>
      </c>
      <c r="R7750" t="s">
        <v>27253</v>
      </c>
      <c r="S7750" t="s">
        <v>27254</v>
      </c>
      <c r="T7750" t="s">
        <v>27255</v>
      </c>
    </row>
    <row r="7751" spans="1:20" x14ac:dyDescent="0.3">
      <c r="A7751" t="str">
        <f>"0611839623100"</f>
        <v>0611839623100</v>
      </c>
      <c r="B7751" t="str">
        <f>"LK5805"</f>
        <v>LK5805</v>
      </c>
      <c r="C7751" t="s">
        <v>42269</v>
      </c>
      <c r="D7751" t="s">
        <v>27245</v>
      </c>
      <c r="E7751" t="str">
        <f t="shared" si="121"/>
        <v>001390</v>
      </c>
      <c r="F7751" t="s">
        <v>27246</v>
      </c>
      <c r="G7751" t="s">
        <v>27247</v>
      </c>
      <c r="H7751" t="s">
        <v>27248</v>
      </c>
      <c r="I7751" t="s">
        <v>42270</v>
      </c>
      <c r="J7751" t="s">
        <v>15401</v>
      </c>
      <c r="L7751" t="s">
        <v>27250</v>
      </c>
      <c r="M7751" t="s">
        <v>27251</v>
      </c>
      <c r="N7751" t="s">
        <v>27252</v>
      </c>
      <c r="Q7751" s="1">
        <v>44538</v>
      </c>
      <c r="R7751" t="s">
        <v>27253</v>
      </c>
      <c r="S7751" t="s">
        <v>27254</v>
      </c>
      <c r="T7751" t="s">
        <v>27255</v>
      </c>
    </row>
    <row r="7752" spans="1:20" x14ac:dyDescent="0.3">
      <c r="A7752" t="str">
        <f>"0611839624100"</f>
        <v>0611839624100</v>
      </c>
      <c r="B7752" t="str">
        <f>"LK5806"</f>
        <v>LK5806</v>
      </c>
      <c r="C7752" t="s">
        <v>42271</v>
      </c>
      <c r="D7752" t="s">
        <v>27245</v>
      </c>
      <c r="E7752" t="str">
        <f t="shared" si="121"/>
        <v>001390</v>
      </c>
      <c r="F7752" t="s">
        <v>27246</v>
      </c>
      <c r="G7752" t="s">
        <v>27247</v>
      </c>
      <c r="H7752" t="s">
        <v>27248</v>
      </c>
      <c r="I7752" t="s">
        <v>42272</v>
      </c>
      <c r="J7752" t="s">
        <v>15403</v>
      </c>
      <c r="L7752" t="s">
        <v>27250</v>
      </c>
      <c r="M7752" t="s">
        <v>27251</v>
      </c>
      <c r="N7752" t="s">
        <v>27252</v>
      </c>
      <c r="Q7752" s="1">
        <v>44538</v>
      </c>
      <c r="R7752" t="s">
        <v>27253</v>
      </c>
      <c r="S7752" t="s">
        <v>27254</v>
      </c>
      <c r="T7752" t="s">
        <v>27255</v>
      </c>
    </row>
    <row r="7753" spans="1:20" x14ac:dyDescent="0.3">
      <c r="A7753" t="str">
        <f>"0611839625100"</f>
        <v>0611839625100</v>
      </c>
      <c r="B7753" t="str">
        <f>"LK5807"</f>
        <v>LK5807</v>
      </c>
      <c r="C7753" t="s">
        <v>42273</v>
      </c>
      <c r="D7753" t="s">
        <v>27245</v>
      </c>
      <c r="E7753" t="str">
        <f t="shared" si="121"/>
        <v>001390</v>
      </c>
      <c r="F7753" t="s">
        <v>27246</v>
      </c>
      <c r="G7753" t="s">
        <v>27247</v>
      </c>
      <c r="H7753" t="s">
        <v>27248</v>
      </c>
      <c r="I7753" t="s">
        <v>42274</v>
      </c>
      <c r="J7753" t="s">
        <v>15405</v>
      </c>
      <c r="L7753" t="s">
        <v>27250</v>
      </c>
      <c r="M7753" t="s">
        <v>27251</v>
      </c>
      <c r="N7753" t="s">
        <v>27252</v>
      </c>
      <c r="Q7753" s="1">
        <v>44538</v>
      </c>
      <c r="R7753" t="s">
        <v>27253</v>
      </c>
      <c r="S7753" t="s">
        <v>27254</v>
      </c>
      <c r="T7753" t="s">
        <v>27255</v>
      </c>
    </row>
    <row r="7754" spans="1:20" x14ac:dyDescent="0.3">
      <c r="A7754" t="str">
        <f>"0611839626100"</f>
        <v>0611839626100</v>
      </c>
      <c r="B7754" t="str">
        <f>"LK5808"</f>
        <v>LK5808</v>
      </c>
      <c r="C7754" t="s">
        <v>42275</v>
      </c>
      <c r="D7754" t="s">
        <v>27245</v>
      </c>
      <c r="E7754" t="str">
        <f t="shared" si="121"/>
        <v>001390</v>
      </c>
      <c r="F7754" t="s">
        <v>27246</v>
      </c>
      <c r="G7754" t="s">
        <v>27247</v>
      </c>
      <c r="H7754" t="s">
        <v>27248</v>
      </c>
      <c r="I7754" t="s">
        <v>42276</v>
      </c>
      <c r="J7754" t="s">
        <v>15407</v>
      </c>
      <c r="L7754" t="s">
        <v>27250</v>
      </c>
      <c r="M7754" t="s">
        <v>27251</v>
      </c>
      <c r="N7754" t="s">
        <v>27252</v>
      </c>
      <c r="Q7754" s="1">
        <v>44538</v>
      </c>
      <c r="R7754" t="s">
        <v>27253</v>
      </c>
      <c r="S7754" t="s">
        <v>27254</v>
      </c>
      <c r="T7754" t="s">
        <v>27255</v>
      </c>
    </row>
    <row r="7755" spans="1:20" x14ac:dyDescent="0.3">
      <c r="A7755" t="str">
        <f>"0611839627100"</f>
        <v>0611839627100</v>
      </c>
      <c r="B7755" t="str">
        <f>"LB4879"</f>
        <v>LB4879</v>
      </c>
      <c r="C7755" t="s">
        <v>42277</v>
      </c>
      <c r="D7755" t="s">
        <v>28138</v>
      </c>
      <c r="E7755" t="str">
        <f t="shared" si="121"/>
        <v>001390</v>
      </c>
      <c r="F7755" t="s">
        <v>27246</v>
      </c>
      <c r="G7755" t="s">
        <v>27247</v>
      </c>
      <c r="H7755" t="s">
        <v>27248</v>
      </c>
      <c r="I7755" t="s">
        <v>42278</v>
      </c>
      <c r="J7755" t="s">
        <v>15409</v>
      </c>
      <c r="L7755" t="s">
        <v>27250</v>
      </c>
      <c r="M7755" t="s">
        <v>27251</v>
      </c>
      <c r="N7755" t="s">
        <v>27252</v>
      </c>
      <c r="P7755" t="s">
        <v>27925</v>
      </c>
      <c r="Q7755" s="1">
        <v>44538</v>
      </c>
      <c r="R7755" t="s">
        <v>27253</v>
      </c>
      <c r="S7755" t="s">
        <v>27254</v>
      </c>
      <c r="T7755" t="s">
        <v>27255</v>
      </c>
    </row>
    <row r="7756" spans="1:20" x14ac:dyDescent="0.3">
      <c r="A7756" t="str">
        <f>"0611839628100"</f>
        <v>0611839628100</v>
      </c>
      <c r="B7756" t="str">
        <f>"LK6647"</f>
        <v>LK6647</v>
      </c>
      <c r="C7756" t="s">
        <v>42279</v>
      </c>
      <c r="D7756" t="s">
        <v>28138</v>
      </c>
      <c r="E7756" t="str">
        <f t="shared" si="121"/>
        <v>001390</v>
      </c>
      <c r="F7756" t="s">
        <v>27246</v>
      </c>
      <c r="G7756" t="s">
        <v>27247</v>
      </c>
      <c r="H7756" t="s">
        <v>27248</v>
      </c>
      <c r="I7756" t="s">
        <v>42280</v>
      </c>
      <c r="J7756" t="s">
        <v>15411</v>
      </c>
      <c r="L7756" t="s">
        <v>27250</v>
      </c>
      <c r="M7756" t="s">
        <v>27251</v>
      </c>
      <c r="N7756" t="s">
        <v>27252</v>
      </c>
      <c r="P7756" t="s">
        <v>27925</v>
      </c>
      <c r="Q7756" s="1">
        <v>44538</v>
      </c>
      <c r="R7756" t="s">
        <v>27253</v>
      </c>
      <c r="S7756" t="s">
        <v>27254</v>
      </c>
      <c r="T7756" t="s">
        <v>27255</v>
      </c>
    </row>
    <row r="7757" spans="1:20" x14ac:dyDescent="0.3">
      <c r="A7757" t="str">
        <f>"0611839629100"</f>
        <v>0611839629100</v>
      </c>
      <c r="B7757" t="str">
        <f>"LK0233"</f>
        <v>LK0233</v>
      </c>
      <c r="C7757" t="s">
        <v>42281</v>
      </c>
      <c r="D7757" t="s">
        <v>28138</v>
      </c>
      <c r="E7757" t="str">
        <f t="shared" si="121"/>
        <v>001390</v>
      </c>
      <c r="F7757" t="s">
        <v>27246</v>
      </c>
      <c r="G7757" t="s">
        <v>27247</v>
      </c>
      <c r="H7757" t="s">
        <v>27248</v>
      </c>
      <c r="I7757" t="s">
        <v>42282</v>
      </c>
      <c r="J7757" t="s">
        <v>15413</v>
      </c>
      <c r="L7757" t="s">
        <v>27250</v>
      </c>
      <c r="M7757" t="s">
        <v>27251</v>
      </c>
      <c r="N7757" t="s">
        <v>27252</v>
      </c>
      <c r="P7757" t="s">
        <v>27925</v>
      </c>
      <c r="Q7757" s="1">
        <v>44538</v>
      </c>
      <c r="R7757" t="s">
        <v>27253</v>
      </c>
      <c r="S7757" t="s">
        <v>27254</v>
      </c>
      <c r="T7757" t="s">
        <v>27255</v>
      </c>
    </row>
    <row r="7758" spans="1:20" x14ac:dyDescent="0.3">
      <c r="A7758" t="str">
        <f>"0611839630100"</f>
        <v>0611839630100</v>
      </c>
      <c r="B7758" t="str">
        <f>"LK0801"</f>
        <v>LK0801</v>
      </c>
      <c r="C7758" t="s">
        <v>42283</v>
      </c>
      <c r="D7758" t="s">
        <v>28138</v>
      </c>
      <c r="E7758" t="str">
        <f t="shared" si="121"/>
        <v>001390</v>
      </c>
      <c r="F7758" t="s">
        <v>27246</v>
      </c>
      <c r="G7758" t="s">
        <v>27247</v>
      </c>
      <c r="H7758" t="s">
        <v>27248</v>
      </c>
      <c r="I7758" t="s">
        <v>42284</v>
      </c>
      <c r="J7758" t="s">
        <v>15415</v>
      </c>
      <c r="L7758" t="s">
        <v>27250</v>
      </c>
      <c r="M7758" t="s">
        <v>27251</v>
      </c>
      <c r="N7758" t="s">
        <v>27252</v>
      </c>
      <c r="P7758" t="s">
        <v>27925</v>
      </c>
      <c r="Q7758" s="1">
        <v>44538</v>
      </c>
      <c r="R7758" t="s">
        <v>27253</v>
      </c>
      <c r="S7758" t="s">
        <v>27254</v>
      </c>
      <c r="T7758" t="s">
        <v>27255</v>
      </c>
    </row>
    <row r="7759" spans="1:20" x14ac:dyDescent="0.3">
      <c r="A7759" t="str">
        <f>"0611839631100"</f>
        <v>0611839631100</v>
      </c>
      <c r="B7759" t="str">
        <f>"LK0234"</f>
        <v>LK0234</v>
      </c>
      <c r="C7759" t="s">
        <v>42285</v>
      </c>
      <c r="D7759" t="s">
        <v>28138</v>
      </c>
      <c r="E7759" t="str">
        <f t="shared" si="121"/>
        <v>001390</v>
      </c>
      <c r="F7759" t="s">
        <v>27246</v>
      </c>
      <c r="G7759" t="s">
        <v>27247</v>
      </c>
      <c r="H7759" t="s">
        <v>27248</v>
      </c>
      <c r="I7759" t="s">
        <v>42286</v>
      </c>
      <c r="J7759" t="s">
        <v>15417</v>
      </c>
      <c r="L7759" t="s">
        <v>27250</v>
      </c>
      <c r="M7759" t="s">
        <v>27251</v>
      </c>
      <c r="N7759" t="s">
        <v>27252</v>
      </c>
      <c r="P7759" t="s">
        <v>27925</v>
      </c>
      <c r="Q7759" s="1">
        <v>44538</v>
      </c>
      <c r="R7759" t="s">
        <v>27253</v>
      </c>
      <c r="S7759" t="s">
        <v>27254</v>
      </c>
      <c r="T7759" t="s">
        <v>27255</v>
      </c>
    </row>
    <row r="7760" spans="1:20" x14ac:dyDescent="0.3">
      <c r="A7760" t="str">
        <f>"0611839632100"</f>
        <v>0611839632100</v>
      </c>
      <c r="B7760" t="str">
        <f>"LK0235"</f>
        <v>LK0235</v>
      </c>
      <c r="C7760" t="s">
        <v>42287</v>
      </c>
      <c r="D7760" t="s">
        <v>28138</v>
      </c>
      <c r="E7760" t="str">
        <f t="shared" si="121"/>
        <v>001390</v>
      </c>
      <c r="F7760" t="s">
        <v>27246</v>
      </c>
      <c r="G7760" t="s">
        <v>27247</v>
      </c>
      <c r="H7760" t="s">
        <v>27248</v>
      </c>
      <c r="I7760" t="s">
        <v>42288</v>
      </c>
      <c r="J7760" t="s">
        <v>15419</v>
      </c>
      <c r="L7760" t="s">
        <v>27250</v>
      </c>
      <c r="M7760" t="s">
        <v>27251</v>
      </c>
      <c r="N7760" t="s">
        <v>27252</v>
      </c>
      <c r="P7760" t="s">
        <v>27925</v>
      </c>
      <c r="Q7760" s="1">
        <v>44538</v>
      </c>
      <c r="R7760" t="s">
        <v>27253</v>
      </c>
      <c r="S7760" t="s">
        <v>27254</v>
      </c>
      <c r="T7760" t="s">
        <v>27255</v>
      </c>
    </row>
    <row r="7761" spans="1:20" x14ac:dyDescent="0.3">
      <c r="A7761" t="str">
        <f>"0611839633100"</f>
        <v>0611839633100</v>
      </c>
      <c r="B7761" t="str">
        <f>"LK0236"</f>
        <v>LK0236</v>
      </c>
      <c r="C7761" t="s">
        <v>42289</v>
      </c>
      <c r="D7761" t="s">
        <v>28138</v>
      </c>
      <c r="E7761" t="str">
        <f t="shared" si="121"/>
        <v>001390</v>
      </c>
      <c r="F7761" t="s">
        <v>27246</v>
      </c>
      <c r="G7761" t="s">
        <v>27247</v>
      </c>
      <c r="H7761" t="s">
        <v>27248</v>
      </c>
      <c r="I7761" t="s">
        <v>42290</v>
      </c>
      <c r="J7761" t="s">
        <v>15421</v>
      </c>
      <c r="L7761" t="s">
        <v>27250</v>
      </c>
      <c r="M7761" t="s">
        <v>27251</v>
      </c>
      <c r="N7761" t="s">
        <v>27252</v>
      </c>
      <c r="P7761" t="s">
        <v>27925</v>
      </c>
      <c r="Q7761" s="1">
        <v>44538</v>
      </c>
      <c r="R7761" t="s">
        <v>27253</v>
      </c>
      <c r="S7761" t="s">
        <v>27254</v>
      </c>
      <c r="T7761" t="s">
        <v>27255</v>
      </c>
    </row>
    <row r="7762" spans="1:20" x14ac:dyDescent="0.3">
      <c r="A7762" t="str">
        <f>"0611839634100"</f>
        <v>0611839634100</v>
      </c>
      <c r="B7762" t="str">
        <f>"LB4881"</f>
        <v>LB4881</v>
      </c>
      <c r="C7762" t="s">
        <v>42291</v>
      </c>
      <c r="D7762" t="s">
        <v>28138</v>
      </c>
      <c r="E7762" t="str">
        <f t="shared" si="121"/>
        <v>001390</v>
      </c>
      <c r="F7762" t="s">
        <v>27246</v>
      </c>
      <c r="G7762" t="s">
        <v>27247</v>
      </c>
      <c r="H7762" t="s">
        <v>27248</v>
      </c>
      <c r="I7762" t="s">
        <v>42292</v>
      </c>
      <c r="J7762" t="s">
        <v>15423</v>
      </c>
      <c r="L7762" t="s">
        <v>27250</v>
      </c>
      <c r="M7762" t="s">
        <v>27251</v>
      </c>
      <c r="N7762" t="s">
        <v>27252</v>
      </c>
      <c r="P7762" t="s">
        <v>27925</v>
      </c>
      <c r="Q7762" s="1">
        <v>44538</v>
      </c>
      <c r="R7762" t="s">
        <v>27253</v>
      </c>
      <c r="S7762" t="s">
        <v>27254</v>
      </c>
      <c r="T7762" t="s">
        <v>27255</v>
      </c>
    </row>
    <row r="7763" spans="1:20" x14ac:dyDescent="0.3">
      <c r="A7763" t="str">
        <f>"0611839635100"</f>
        <v>0611839635100</v>
      </c>
      <c r="B7763" t="str">
        <f>"LB4880"</f>
        <v>LB4880</v>
      </c>
      <c r="C7763" t="s">
        <v>42293</v>
      </c>
      <c r="D7763" t="s">
        <v>28138</v>
      </c>
      <c r="E7763" t="str">
        <f t="shared" si="121"/>
        <v>001390</v>
      </c>
      <c r="F7763" t="s">
        <v>27246</v>
      </c>
      <c r="G7763" t="s">
        <v>27247</v>
      </c>
      <c r="H7763" t="s">
        <v>27248</v>
      </c>
      <c r="I7763" t="s">
        <v>42294</v>
      </c>
      <c r="J7763" t="s">
        <v>15425</v>
      </c>
      <c r="L7763" t="s">
        <v>27250</v>
      </c>
      <c r="M7763" t="s">
        <v>27251</v>
      </c>
      <c r="N7763" t="s">
        <v>27252</v>
      </c>
      <c r="P7763" t="s">
        <v>27925</v>
      </c>
      <c r="Q7763" s="1">
        <v>44538</v>
      </c>
      <c r="R7763" t="s">
        <v>27253</v>
      </c>
      <c r="S7763" t="s">
        <v>27254</v>
      </c>
      <c r="T7763" t="s">
        <v>27255</v>
      </c>
    </row>
    <row r="7764" spans="1:20" x14ac:dyDescent="0.3">
      <c r="A7764" t="str">
        <f>"0611839636100"</f>
        <v>0611839636100</v>
      </c>
      <c r="B7764" t="str">
        <f>"LB4882"</f>
        <v>LB4882</v>
      </c>
      <c r="C7764" t="s">
        <v>42295</v>
      </c>
      <c r="D7764" t="s">
        <v>28138</v>
      </c>
      <c r="E7764" t="str">
        <f t="shared" si="121"/>
        <v>001390</v>
      </c>
      <c r="F7764" t="s">
        <v>27246</v>
      </c>
      <c r="G7764" t="s">
        <v>27247</v>
      </c>
      <c r="H7764" t="s">
        <v>27248</v>
      </c>
      <c r="I7764" t="s">
        <v>42296</v>
      </c>
      <c r="J7764" t="s">
        <v>15427</v>
      </c>
      <c r="L7764" t="s">
        <v>27250</v>
      </c>
      <c r="M7764" t="s">
        <v>27251</v>
      </c>
      <c r="N7764" t="s">
        <v>27252</v>
      </c>
      <c r="P7764" t="s">
        <v>27925</v>
      </c>
      <c r="Q7764" s="1">
        <v>44538</v>
      </c>
      <c r="R7764" t="s">
        <v>27253</v>
      </c>
      <c r="S7764" t="s">
        <v>27254</v>
      </c>
      <c r="T7764" t="s">
        <v>27255</v>
      </c>
    </row>
    <row r="7765" spans="1:20" x14ac:dyDescent="0.3">
      <c r="A7765" t="str">
        <f>"0611839637100"</f>
        <v>0611839637100</v>
      </c>
      <c r="B7765" t="str">
        <f>"LB4906"</f>
        <v>LB4906</v>
      </c>
      <c r="C7765" t="s">
        <v>42297</v>
      </c>
      <c r="D7765" t="s">
        <v>27245</v>
      </c>
      <c r="E7765" t="str">
        <f t="shared" si="121"/>
        <v>001390</v>
      </c>
      <c r="F7765" t="s">
        <v>27246</v>
      </c>
      <c r="G7765" t="s">
        <v>27247</v>
      </c>
      <c r="H7765" t="s">
        <v>27248</v>
      </c>
      <c r="I7765" t="s">
        <v>42298</v>
      </c>
      <c r="J7765" t="s">
        <v>15429</v>
      </c>
      <c r="L7765" t="s">
        <v>27250</v>
      </c>
      <c r="M7765" t="s">
        <v>27251</v>
      </c>
      <c r="N7765" t="s">
        <v>27252</v>
      </c>
      <c r="Q7765" s="1">
        <v>44538</v>
      </c>
      <c r="R7765" t="s">
        <v>27253</v>
      </c>
      <c r="S7765" t="s">
        <v>27254</v>
      </c>
      <c r="T7765" t="s">
        <v>27255</v>
      </c>
    </row>
    <row r="7766" spans="1:20" x14ac:dyDescent="0.3">
      <c r="A7766" t="str">
        <f>"0611839638100"</f>
        <v>0611839638100</v>
      </c>
      <c r="B7766" t="str">
        <f>"LB4903"</f>
        <v>LB4903</v>
      </c>
      <c r="C7766" t="s">
        <v>42299</v>
      </c>
      <c r="D7766" t="s">
        <v>27245</v>
      </c>
      <c r="E7766" t="str">
        <f t="shared" si="121"/>
        <v>001390</v>
      </c>
      <c r="F7766" t="s">
        <v>27246</v>
      </c>
      <c r="G7766" t="s">
        <v>27247</v>
      </c>
      <c r="H7766" t="s">
        <v>27248</v>
      </c>
      <c r="I7766" t="s">
        <v>42300</v>
      </c>
      <c r="J7766" t="s">
        <v>15431</v>
      </c>
      <c r="L7766" t="s">
        <v>27250</v>
      </c>
      <c r="M7766" t="s">
        <v>27251</v>
      </c>
      <c r="N7766" t="s">
        <v>27252</v>
      </c>
      <c r="Q7766" s="1">
        <v>44538</v>
      </c>
      <c r="R7766" t="s">
        <v>27253</v>
      </c>
      <c r="S7766" t="s">
        <v>27254</v>
      </c>
      <c r="T7766" t="s">
        <v>27255</v>
      </c>
    </row>
    <row r="7767" spans="1:20" x14ac:dyDescent="0.3">
      <c r="A7767" t="str">
        <f>"0611839639100"</f>
        <v>0611839639100</v>
      </c>
      <c r="B7767" t="str">
        <f>"LB4902"</f>
        <v>LB4902</v>
      </c>
      <c r="C7767" t="s">
        <v>42301</v>
      </c>
      <c r="D7767" t="s">
        <v>27245</v>
      </c>
      <c r="E7767" t="str">
        <f t="shared" si="121"/>
        <v>001390</v>
      </c>
      <c r="F7767" t="s">
        <v>27246</v>
      </c>
      <c r="G7767" t="s">
        <v>27247</v>
      </c>
      <c r="H7767" t="s">
        <v>27248</v>
      </c>
      <c r="I7767" t="s">
        <v>42302</v>
      </c>
      <c r="J7767" t="s">
        <v>15433</v>
      </c>
      <c r="L7767" t="s">
        <v>27250</v>
      </c>
      <c r="M7767" t="s">
        <v>27251</v>
      </c>
      <c r="N7767" t="s">
        <v>27252</v>
      </c>
      <c r="Q7767" s="1">
        <v>44538</v>
      </c>
      <c r="R7767" t="s">
        <v>27253</v>
      </c>
      <c r="S7767" t="s">
        <v>27254</v>
      </c>
      <c r="T7767" t="s">
        <v>27255</v>
      </c>
    </row>
    <row r="7768" spans="1:20" x14ac:dyDescent="0.3">
      <c r="A7768" t="str">
        <f>"0611839640100"</f>
        <v>0611839640100</v>
      </c>
      <c r="B7768" t="str">
        <f>"LB4900"</f>
        <v>LB4900</v>
      </c>
      <c r="C7768" t="s">
        <v>42303</v>
      </c>
      <c r="D7768" t="s">
        <v>27245</v>
      </c>
      <c r="E7768" t="str">
        <f t="shared" si="121"/>
        <v>001390</v>
      </c>
      <c r="F7768" t="s">
        <v>27246</v>
      </c>
      <c r="G7768" t="s">
        <v>27247</v>
      </c>
      <c r="H7768" t="s">
        <v>27248</v>
      </c>
      <c r="I7768" t="s">
        <v>42304</v>
      </c>
      <c r="J7768" t="s">
        <v>15435</v>
      </c>
      <c r="L7768" t="s">
        <v>27250</v>
      </c>
      <c r="M7768" t="s">
        <v>27251</v>
      </c>
      <c r="N7768" t="s">
        <v>27252</v>
      </c>
      <c r="Q7768" s="1">
        <v>44538</v>
      </c>
      <c r="R7768" t="s">
        <v>27253</v>
      </c>
      <c r="S7768" t="s">
        <v>27254</v>
      </c>
      <c r="T7768" t="s">
        <v>27255</v>
      </c>
    </row>
    <row r="7769" spans="1:20" x14ac:dyDescent="0.3">
      <c r="A7769" t="str">
        <f>"0611839641100"</f>
        <v>0611839641100</v>
      </c>
      <c r="B7769" t="str">
        <f>"LB4904"</f>
        <v>LB4904</v>
      </c>
      <c r="C7769" t="s">
        <v>42305</v>
      </c>
      <c r="D7769" t="s">
        <v>27245</v>
      </c>
      <c r="E7769" t="str">
        <f t="shared" si="121"/>
        <v>001390</v>
      </c>
      <c r="F7769" t="s">
        <v>27246</v>
      </c>
      <c r="G7769" t="s">
        <v>27247</v>
      </c>
      <c r="H7769" t="s">
        <v>27248</v>
      </c>
      <c r="I7769" t="s">
        <v>42306</v>
      </c>
      <c r="J7769" t="s">
        <v>15437</v>
      </c>
      <c r="L7769" t="s">
        <v>27250</v>
      </c>
      <c r="M7769" t="s">
        <v>27251</v>
      </c>
      <c r="N7769" t="s">
        <v>27252</v>
      </c>
      <c r="Q7769" s="1">
        <v>44538</v>
      </c>
      <c r="R7769" t="s">
        <v>27253</v>
      </c>
      <c r="S7769" t="s">
        <v>27254</v>
      </c>
      <c r="T7769" t="s">
        <v>27255</v>
      </c>
    </row>
    <row r="7770" spans="1:20" x14ac:dyDescent="0.3">
      <c r="A7770" t="str">
        <f>"0611839642100"</f>
        <v>0611839642100</v>
      </c>
      <c r="B7770" t="str">
        <f>"LB4907"</f>
        <v>LB4907</v>
      </c>
      <c r="C7770" t="s">
        <v>42307</v>
      </c>
      <c r="D7770" t="s">
        <v>27245</v>
      </c>
      <c r="E7770" t="str">
        <f t="shared" si="121"/>
        <v>001390</v>
      </c>
      <c r="F7770" t="s">
        <v>27246</v>
      </c>
      <c r="G7770" t="s">
        <v>27247</v>
      </c>
      <c r="H7770" t="s">
        <v>27248</v>
      </c>
      <c r="I7770" t="s">
        <v>42308</v>
      </c>
      <c r="J7770" t="s">
        <v>15439</v>
      </c>
      <c r="L7770" t="s">
        <v>27250</v>
      </c>
      <c r="M7770" t="s">
        <v>27251</v>
      </c>
      <c r="N7770" t="s">
        <v>27252</v>
      </c>
      <c r="Q7770" s="1">
        <v>44538</v>
      </c>
      <c r="R7770" t="s">
        <v>27253</v>
      </c>
      <c r="S7770" t="s">
        <v>27254</v>
      </c>
      <c r="T7770" t="s">
        <v>27255</v>
      </c>
    </row>
    <row r="7771" spans="1:20" x14ac:dyDescent="0.3">
      <c r="A7771" t="str">
        <f>"0611839643100"</f>
        <v>0611839643100</v>
      </c>
      <c r="B7771" t="str">
        <f>"LB4635"</f>
        <v>LB4635</v>
      </c>
      <c r="C7771" t="s">
        <v>42309</v>
      </c>
      <c r="D7771" t="s">
        <v>27245</v>
      </c>
      <c r="E7771" t="str">
        <f t="shared" si="121"/>
        <v>001390</v>
      </c>
      <c r="F7771" t="s">
        <v>27246</v>
      </c>
      <c r="G7771" t="s">
        <v>27247</v>
      </c>
      <c r="H7771" t="s">
        <v>27248</v>
      </c>
      <c r="I7771" t="s">
        <v>42310</v>
      </c>
      <c r="J7771" t="s">
        <v>15441</v>
      </c>
      <c r="L7771" t="s">
        <v>27250</v>
      </c>
      <c r="M7771" t="s">
        <v>27251</v>
      </c>
      <c r="N7771" t="s">
        <v>27252</v>
      </c>
      <c r="Q7771" s="1">
        <v>44538</v>
      </c>
      <c r="R7771" t="s">
        <v>27253</v>
      </c>
      <c r="S7771" t="s">
        <v>27254</v>
      </c>
      <c r="T7771" t="s">
        <v>27255</v>
      </c>
    </row>
    <row r="7772" spans="1:20" x14ac:dyDescent="0.3">
      <c r="A7772" t="str">
        <f>"0611839644100"</f>
        <v>0611839644100</v>
      </c>
      <c r="B7772" t="str">
        <f>"LB4595"</f>
        <v>LB4595</v>
      </c>
      <c r="C7772" t="s">
        <v>42311</v>
      </c>
      <c r="D7772" t="s">
        <v>27245</v>
      </c>
      <c r="E7772" t="str">
        <f t="shared" si="121"/>
        <v>001390</v>
      </c>
      <c r="F7772" t="s">
        <v>27246</v>
      </c>
      <c r="G7772" t="s">
        <v>27247</v>
      </c>
      <c r="H7772" t="s">
        <v>27248</v>
      </c>
      <c r="I7772" t="s">
        <v>42312</v>
      </c>
      <c r="J7772" t="s">
        <v>15443</v>
      </c>
      <c r="L7772" t="s">
        <v>27250</v>
      </c>
      <c r="M7772" t="s">
        <v>27251</v>
      </c>
      <c r="N7772" t="s">
        <v>27252</v>
      </c>
      <c r="Q7772" s="1">
        <v>44538</v>
      </c>
      <c r="R7772" t="s">
        <v>27253</v>
      </c>
      <c r="S7772" t="s">
        <v>27254</v>
      </c>
      <c r="T7772" t="s">
        <v>27255</v>
      </c>
    </row>
    <row r="7773" spans="1:20" x14ac:dyDescent="0.3">
      <c r="A7773" t="str">
        <f>"0611839645100"</f>
        <v>0611839645100</v>
      </c>
      <c r="B7773" t="str">
        <f>"LB4905"</f>
        <v>LB4905</v>
      </c>
      <c r="C7773" t="s">
        <v>42313</v>
      </c>
      <c r="D7773" t="s">
        <v>27245</v>
      </c>
      <c r="E7773" t="str">
        <f t="shared" si="121"/>
        <v>001390</v>
      </c>
      <c r="F7773" t="s">
        <v>27246</v>
      </c>
      <c r="G7773" t="s">
        <v>27247</v>
      </c>
      <c r="H7773" t="s">
        <v>27248</v>
      </c>
      <c r="I7773" t="s">
        <v>42314</v>
      </c>
      <c r="J7773" t="s">
        <v>15445</v>
      </c>
      <c r="L7773" t="s">
        <v>27250</v>
      </c>
      <c r="M7773" t="s">
        <v>27251</v>
      </c>
      <c r="N7773" t="s">
        <v>27252</v>
      </c>
      <c r="Q7773" s="1">
        <v>44538</v>
      </c>
      <c r="R7773" t="s">
        <v>27253</v>
      </c>
      <c r="S7773" t="s">
        <v>27254</v>
      </c>
      <c r="T7773" t="s">
        <v>27255</v>
      </c>
    </row>
    <row r="7774" spans="1:20" x14ac:dyDescent="0.3">
      <c r="A7774" t="str">
        <f>"0611839646100"</f>
        <v>0611839646100</v>
      </c>
      <c r="B7774" t="str">
        <f>"LK6084"</f>
        <v>LK6084</v>
      </c>
      <c r="C7774" t="s">
        <v>42315</v>
      </c>
      <c r="D7774" t="s">
        <v>27245</v>
      </c>
      <c r="E7774" t="str">
        <f t="shared" si="121"/>
        <v>001390</v>
      </c>
      <c r="F7774" t="s">
        <v>27246</v>
      </c>
      <c r="G7774" t="s">
        <v>27247</v>
      </c>
      <c r="H7774" t="s">
        <v>27248</v>
      </c>
      <c r="I7774" t="s">
        <v>42316</v>
      </c>
      <c r="J7774" t="s">
        <v>15447</v>
      </c>
      <c r="L7774" t="s">
        <v>27250</v>
      </c>
      <c r="M7774" t="s">
        <v>27251</v>
      </c>
      <c r="N7774" t="s">
        <v>27252</v>
      </c>
      <c r="Q7774" s="1">
        <v>44538</v>
      </c>
      <c r="R7774" t="s">
        <v>27253</v>
      </c>
      <c r="S7774" t="s">
        <v>27254</v>
      </c>
      <c r="T7774" t="s">
        <v>27255</v>
      </c>
    </row>
    <row r="7775" spans="1:20" x14ac:dyDescent="0.3">
      <c r="A7775" t="str">
        <f>"0611839647100"</f>
        <v>0611839647100</v>
      </c>
      <c r="B7775" t="str">
        <f>"LB4790"</f>
        <v>LB4790</v>
      </c>
      <c r="C7775" t="s">
        <v>42317</v>
      </c>
      <c r="D7775" t="s">
        <v>27245</v>
      </c>
      <c r="E7775" t="str">
        <f t="shared" si="121"/>
        <v>001390</v>
      </c>
      <c r="F7775" t="s">
        <v>27246</v>
      </c>
      <c r="G7775" t="s">
        <v>27247</v>
      </c>
      <c r="H7775" t="s">
        <v>27248</v>
      </c>
      <c r="I7775" t="s">
        <v>42318</v>
      </c>
      <c r="J7775" t="s">
        <v>15449</v>
      </c>
      <c r="L7775" t="s">
        <v>27250</v>
      </c>
      <c r="M7775" t="s">
        <v>27251</v>
      </c>
      <c r="N7775" t="s">
        <v>27252</v>
      </c>
      <c r="Q7775" s="1">
        <v>44538</v>
      </c>
      <c r="R7775" t="s">
        <v>27253</v>
      </c>
      <c r="S7775" t="s">
        <v>27254</v>
      </c>
      <c r="T7775" t="s">
        <v>27255</v>
      </c>
    </row>
    <row r="7776" spans="1:20" x14ac:dyDescent="0.3">
      <c r="A7776" t="str">
        <f>"0611839649100"</f>
        <v>0611839649100</v>
      </c>
      <c r="B7776" t="str">
        <f>"LK2672"</f>
        <v>LK2672</v>
      </c>
      <c r="C7776" t="s">
        <v>42319</v>
      </c>
      <c r="D7776" t="s">
        <v>27245</v>
      </c>
      <c r="E7776" t="str">
        <f t="shared" si="121"/>
        <v>001390</v>
      </c>
      <c r="F7776" t="s">
        <v>27246</v>
      </c>
      <c r="G7776" t="s">
        <v>27247</v>
      </c>
      <c r="H7776" t="s">
        <v>27248</v>
      </c>
      <c r="I7776" t="s">
        <v>42320</v>
      </c>
      <c r="J7776" t="s">
        <v>15451</v>
      </c>
      <c r="L7776" t="s">
        <v>27250</v>
      </c>
      <c r="M7776" t="s">
        <v>27251</v>
      </c>
      <c r="N7776" t="s">
        <v>27252</v>
      </c>
      <c r="Q7776" s="1">
        <v>44538</v>
      </c>
      <c r="R7776" t="s">
        <v>27253</v>
      </c>
      <c r="S7776" t="s">
        <v>27254</v>
      </c>
      <c r="T7776" t="s">
        <v>27255</v>
      </c>
    </row>
    <row r="7777" spans="1:20" x14ac:dyDescent="0.3">
      <c r="A7777" t="str">
        <f>"0611839650100"</f>
        <v>0611839650100</v>
      </c>
      <c r="B7777" t="str">
        <f>"LB5031"</f>
        <v>LB5031</v>
      </c>
      <c r="C7777" t="s">
        <v>42321</v>
      </c>
      <c r="D7777" t="s">
        <v>27245</v>
      </c>
      <c r="E7777" t="str">
        <f t="shared" si="121"/>
        <v>001390</v>
      </c>
      <c r="F7777" t="s">
        <v>27246</v>
      </c>
      <c r="G7777" t="s">
        <v>27247</v>
      </c>
      <c r="H7777" t="s">
        <v>27248</v>
      </c>
      <c r="I7777" t="s">
        <v>42322</v>
      </c>
      <c r="J7777" t="s">
        <v>15453</v>
      </c>
      <c r="L7777" t="s">
        <v>27250</v>
      </c>
      <c r="M7777" t="s">
        <v>27251</v>
      </c>
      <c r="N7777" t="s">
        <v>27252</v>
      </c>
      <c r="Q7777" s="1">
        <v>44538</v>
      </c>
      <c r="R7777" t="s">
        <v>27253</v>
      </c>
      <c r="S7777" t="s">
        <v>27254</v>
      </c>
      <c r="T7777" t="s">
        <v>27255</v>
      </c>
    </row>
    <row r="7778" spans="1:20" x14ac:dyDescent="0.3">
      <c r="A7778" t="str">
        <f>"0611839652100"</f>
        <v>0611839652100</v>
      </c>
      <c r="B7778" t="str">
        <f>"LB4948"</f>
        <v>LB4948</v>
      </c>
      <c r="C7778" t="s">
        <v>42323</v>
      </c>
      <c r="D7778" t="s">
        <v>27245</v>
      </c>
      <c r="E7778" t="str">
        <f t="shared" si="121"/>
        <v>001390</v>
      </c>
      <c r="F7778" t="s">
        <v>27246</v>
      </c>
      <c r="G7778" t="s">
        <v>27247</v>
      </c>
      <c r="H7778" t="s">
        <v>27248</v>
      </c>
      <c r="I7778" t="s">
        <v>42324</v>
      </c>
      <c r="J7778" t="s">
        <v>15455</v>
      </c>
      <c r="L7778" t="s">
        <v>27250</v>
      </c>
      <c r="M7778" t="s">
        <v>27251</v>
      </c>
      <c r="N7778" t="s">
        <v>27252</v>
      </c>
      <c r="Q7778" s="1">
        <v>44538</v>
      </c>
      <c r="R7778" t="s">
        <v>27253</v>
      </c>
      <c r="S7778" t="s">
        <v>27254</v>
      </c>
      <c r="T7778" t="s">
        <v>27255</v>
      </c>
    </row>
    <row r="7779" spans="1:20" x14ac:dyDescent="0.3">
      <c r="A7779" t="str">
        <f>"0611839653100"</f>
        <v>0611839653100</v>
      </c>
      <c r="B7779" t="str">
        <f>"LB4952"</f>
        <v>LB4952</v>
      </c>
      <c r="C7779" t="s">
        <v>42325</v>
      </c>
      <c r="D7779" t="s">
        <v>27245</v>
      </c>
      <c r="E7779" t="str">
        <f t="shared" si="121"/>
        <v>001390</v>
      </c>
      <c r="F7779" t="s">
        <v>27246</v>
      </c>
      <c r="G7779" t="s">
        <v>27247</v>
      </c>
      <c r="H7779" t="s">
        <v>27248</v>
      </c>
      <c r="I7779" t="s">
        <v>42326</v>
      </c>
      <c r="J7779" t="s">
        <v>15457</v>
      </c>
      <c r="L7779" t="s">
        <v>27250</v>
      </c>
      <c r="M7779" t="s">
        <v>27251</v>
      </c>
      <c r="N7779" t="s">
        <v>27252</v>
      </c>
      <c r="Q7779" s="1">
        <v>44538</v>
      </c>
      <c r="R7779" t="s">
        <v>27253</v>
      </c>
      <c r="S7779" t="s">
        <v>27254</v>
      </c>
      <c r="T7779" t="s">
        <v>27255</v>
      </c>
    </row>
    <row r="7780" spans="1:20" x14ac:dyDescent="0.3">
      <c r="A7780" t="str">
        <f>"0611839654100"</f>
        <v>0611839654100</v>
      </c>
      <c r="B7780" t="str">
        <f>"LB4960"</f>
        <v>LB4960</v>
      </c>
      <c r="C7780" t="s">
        <v>42327</v>
      </c>
      <c r="D7780" t="s">
        <v>27245</v>
      </c>
      <c r="E7780" t="str">
        <f t="shared" si="121"/>
        <v>001390</v>
      </c>
      <c r="F7780" t="s">
        <v>27246</v>
      </c>
      <c r="G7780" t="s">
        <v>27247</v>
      </c>
      <c r="H7780" t="s">
        <v>27248</v>
      </c>
      <c r="I7780" t="s">
        <v>42328</v>
      </c>
      <c r="J7780" t="s">
        <v>15459</v>
      </c>
      <c r="L7780" t="s">
        <v>27250</v>
      </c>
      <c r="M7780" t="s">
        <v>27251</v>
      </c>
      <c r="N7780" t="s">
        <v>27252</v>
      </c>
      <c r="Q7780" s="1">
        <v>44538</v>
      </c>
      <c r="R7780" t="s">
        <v>27253</v>
      </c>
      <c r="S7780" t="s">
        <v>27254</v>
      </c>
      <c r="T7780" t="s">
        <v>27255</v>
      </c>
    </row>
    <row r="7781" spans="1:20" x14ac:dyDescent="0.3">
      <c r="A7781" t="str">
        <f>"0611839655100"</f>
        <v>0611839655100</v>
      </c>
      <c r="B7781" t="str">
        <f>"LK6753"</f>
        <v>LK6753</v>
      </c>
      <c r="C7781" t="s">
        <v>42329</v>
      </c>
      <c r="D7781" t="s">
        <v>27245</v>
      </c>
      <c r="E7781" t="str">
        <f t="shared" si="121"/>
        <v>001390</v>
      </c>
      <c r="F7781" t="s">
        <v>27246</v>
      </c>
      <c r="G7781" t="s">
        <v>27247</v>
      </c>
      <c r="H7781" t="s">
        <v>27248</v>
      </c>
      <c r="I7781" t="s">
        <v>42330</v>
      </c>
      <c r="J7781" t="s">
        <v>15461</v>
      </c>
      <c r="L7781" t="s">
        <v>27250</v>
      </c>
      <c r="M7781" t="s">
        <v>27251</v>
      </c>
      <c r="N7781" t="s">
        <v>27252</v>
      </c>
      <c r="Q7781" s="1">
        <v>44538</v>
      </c>
      <c r="R7781" t="s">
        <v>27253</v>
      </c>
      <c r="S7781" t="s">
        <v>27254</v>
      </c>
      <c r="T7781" t="s">
        <v>27255</v>
      </c>
    </row>
    <row r="7782" spans="1:20" x14ac:dyDescent="0.3">
      <c r="A7782" t="str">
        <f>"0611839656100"</f>
        <v>0611839656100</v>
      </c>
      <c r="B7782" t="str">
        <f>"LK6754"</f>
        <v>LK6754</v>
      </c>
      <c r="C7782" t="s">
        <v>42331</v>
      </c>
      <c r="D7782" t="s">
        <v>27245</v>
      </c>
      <c r="E7782" t="str">
        <f t="shared" si="121"/>
        <v>001390</v>
      </c>
      <c r="F7782" t="s">
        <v>27246</v>
      </c>
      <c r="G7782" t="s">
        <v>27247</v>
      </c>
      <c r="H7782" t="s">
        <v>27248</v>
      </c>
      <c r="I7782" t="s">
        <v>42332</v>
      </c>
      <c r="J7782" t="s">
        <v>15463</v>
      </c>
      <c r="L7782" t="s">
        <v>27250</v>
      </c>
      <c r="M7782" t="s">
        <v>27251</v>
      </c>
      <c r="N7782" t="s">
        <v>27252</v>
      </c>
      <c r="Q7782" s="1">
        <v>44538</v>
      </c>
      <c r="R7782" t="s">
        <v>27253</v>
      </c>
      <c r="S7782" t="s">
        <v>27254</v>
      </c>
      <c r="T7782" t="s">
        <v>27255</v>
      </c>
    </row>
    <row r="7783" spans="1:20" x14ac:dyDescent="0.3">
      <c r="A7783" t="str">
        <f>"0611839657100"</f>
        <v>0611839657100</v>
      </c>
      <c r="B7783" t="str">
        <f>"LB4622"</f>
        <v>LB4622</v>
      </c>
      <c r="C7783" t="s">
        <v>42333</v>
      </c>
      <c r="D7783" t="s">
        <v>27245</v>
      </c>
      <c r="E7783" t="str">
        <f t="shared" si="121"/>
        <v>001390</v>
      </c>
      <c r="F7783" t="s">
        <v>27246</v>
      </c>
      <c r="G7783" t="s">
        <v>27247</v>
      </c>
      <c r="H7783" t="s">
        <v>27248</v>
      </c>
      <c r="I7783" t="s">
        <v>42334</v>
      </c>
      <c r="J7783" t="s">
        <v>15465</v>
      </c>
      <c r="L7783" t="s">
        <v>27250</v>
      </c>
      <c r="M7783" t="s">
        <v>27251</v>
      </c>
      <c r="N7783" t="s">
        <v>27252</v>
      </c>
      <c r="Q7783" s="1">
        <v>44538</v>
      </c>
      <c r="R7783" t="s">
        <v>27253</v>
      </c>
      <c r="S7783" t="s">
        <v>27254</v>
      </c>
      <c r="T7783" t="s">
        <v>27255</v>
      </c>
    </row>
    <row r="7784" spans="1:20" x14ac:dyDescent="0.3">
      <c r="A7784" t="str">
        <f>"0611839658100"</f>
        <v>0611839658100</v>
      </c>
      <c r="B7784" t="str">
        <f>"LB4637"</f>
        <v>LB4637</v>
      </c>
      <c r="C7784" t="s">
        <v>42335</v>
      </c>
      <c r="D7784" t="s">
        <v>27245</v>
      </c>
      <c r="E7784" t="str">
        <f t="shared" si="121"/>
        <v>001390</v>
      </c>
      <c r="F7784" t="s">
        <v>27246</v>
      </c>
      <c r="G7784" t="s">
        <v>27247</v>
      </c>
      <c r="H7784" t="s">
        <v>27248</v>
      </c>
      <c r="I7784" t="s">
        <v>42336</v>
      </c>
      <c r="J7784" t="s">
        <v>15467</v>
      </c>
      <c r="L7784" t="s">
        <v>27250</v>
      </c>
      <c r="M7784" t="s">
        <v>27251</v>
      </c>
      <c r="N7784" t="s">
        <v>27252</v>
      </c>
      <c r="Q7784" s="1">
        <v>44538</v>
      </c>
      <c r="R7784" t="s">
        <v>27253</v>
      </c>
      <c r="S7784" t="s">
        <v>27254</v>
      </c>
      <c r="T7784" t="s">
        <v>27255</v>
      </c>
    </row>
    <row r="7785" spans="1:20" x14ac:dyDescent="0.3">
      <c r="A7785" t="str">
        <f>"0611839659100"</f>
        <v>0611839659100</v>
      </c>
      <c r="B7785" t="str">
        <f>"LB4638"</f>
        <v>LB4638</v>
      </c>
      <c r="C7785" t="s">
        <v>42337</v>
      </c>
      <c r="D7785" t="s">
        <v>27245</v>
      </c>
      <c r="E7785" t="str">
        <f t="shared" si="121"/>
        <v>001390</v>
      </c>
      <c r="F7785" t="s">
        <v>27246</v>
      </c>
      <c r="G7785" t="s">
        <v>27247</v>
      </c>
      <c r="H7785" t="s">
        <v>27248</v>
      </c>
      <c r="I7785" t="s">
        <v>42338</v>
      </c>
      <c r="J7785" t="s">
        <v>15469</v>
      </c>
      <c r="L7785" t="s">
        <v>27250</v>
      </c>
      <c r="M7785" t="s">
        <v>27251</v>
      </c>
      <c r="N7785" t="s">
        <v>27252</v>
      </c>
      <c r="Q7785" s="1">
        <v>44538</v>
      </c>
      <c r="R7785" t="s">
        <v>27253</v>
      </c>
      <c r="S7785" t="s">
        <v>27254</v>
      </c>
      <c r="T7785" t="s">
        <v>27255</v>
      </c>
    </row>
    <row r="7786" spans="1:20" x14ac:dyDescent="0.3">
      <c r="A7786" t="str">
        <f>"0611839660100"</f>
        <v>0611839660100</v>
      </c>
      <c r="B7786" t="str">
        <f>"LB4676"</f>
        <v>LB4676</v>
      </c>
      <c r="C7786" t="s">
        <v>42339</v>
      </c>
      <c r="D7786" t="s">
        <v>27245</v>
      </c>
      <c r="E7786" t="str">
        <f t="shared" si="121"/>
        <v>001390</v>
      </c>
      <c r="F7786" t="s">
        <v>27246</v>
      </c>
      <c r="G7786" t="s">
        <v>27247</v>
      </c>
      <c r="H7786" t="s">
        <v>27248</v>
      </c>
      <c r="I7786" t="s">
        <v>42340</v>
      </c>
      <c r="J7786" t="s">
        <v>15471</v>
      </c>
      <c r="L7786" t="s">
        <v>27250</v>
      </c>
      <c r="M7786" t="s">
        <v>27251</v>
      </c>
      <c r="N7786" t="s">
        <v>27252</v>
      </c>
      <c r="Q7786" s="1">
        <v>44538</v>
      </c>
      <c r="R7786" t="s">
        <v>27253</v>
      </c>
      <c r="S7786" t="s">
        <v>27254</v>
      </c>
      <c r="T7786" t="s">
        <v>27255</v>
      </c>
    </row>
    <row r="7787" spans="1:20" x14ac:dyDescent="0.3">
      <c r="A7787" t="str">
        <f>"0611839661100"</f>
        <v>0611839661100</v>
      </c>
      <c r="B7787" t="str">
        <f>"LB4639"</f>
        <v>LB4639</v>
      </c>
      <c r="C7787" t="s">
        <v>42341</v>
      </c>
      <c r="D7787" t="s">
        <v>27245</v>
      </c>
      <c r="E7787" t="str">
        <f t="shared" si="121"/>
        <v>001390</v>
      </c>
      <c r="F7787" t="s">
        <v>27246</v>
      </c>
      <c r="G7787" t="s">
        <v>27247</v>
      </c>
      <c r="H7787" t="s">
        <v>27248</v>
      </c>
      <c r="I7787" t="s">
        <v>42342</v>
      </c>
      <c r="J7787" t="s">
        <v>15473</v>
      </c>
      <c r="L7787" t="s">
        <v>27250</v>
      </c>
      <c r="M7787" t="s">
        <v>27251</v>
      </c>
      <c r="N7787" t="s">
        <v>27252</v>
      </c>
      <c r="Q7787" s="1">
        <v>44538</v>
      </c>
      <c r="R7787" t="s">
        <v>27253</v>
      </c>
      <c r="S7787" t="s">
        <v>27254</v>
      </c>
      <c r="T7787" t="s">
        <v>27255</v>
      </c>
    </row>
    <row r="7788" spans="1:20" x14ac:dyDescent="0.3">
      <c r="A7788" t="str">
        <f>"0611839662100"</f>
        <v>0611839662100</v>
      </c>
      <c r="B7788" t="str">
        <f>"LB4624"</f>
        <v>LB4624</v>
      </c>
      <c r="C7788" t="s">
        <v>42343</v>
      </c>
      <c r="D7788" t="s">
        <v>27245</v>
      </c>
      <c r="E7788" t="str">
        <f t="shared" si="121"/>
        <v>001390</v>
      </c>
      <c r="F7788" t="s">
        <v>27246</v>
      </c>
      <c r="G7788" t="s">
        <v>27247</v>
      </c>
      <c r="H7788" t="s">
        <v>27248</v>
      </c>
      <c r="I7788" t="s">
        <v>42344</v>
      </c>
      <c r="J7788" t="s">
        <v>15475</v>
      </c>
      <c r="L7788" t="s">
        <v>27250</v>
      </c>
      <c r="M7788" t="s">
        <v>27251</v>
      </c>
      <c r="N7788" t="s">
        <v>27252</v>
      </c>
      <c r="Q7788" s="1">
        <v>44538</v>
      </c>
      <c r="R7788" t="s">
        <v>27253</v>
      </c>
      <c r="S7788" t="s">
        <v>27254</v>
      </c>
      <c r="T7788" t="s">
        <v>27255</v>
      </c>
    </row>
    <row r="7789" spans="1:20" x14ac:dyDescent="0.3">
      <c r="A7789" t="str">
        <f>"0611839663100"</f>
        <v>0611839663100</v>
      </c>
      <c r="B7789" t="str">
        <f>"LB4970"</f>
        <v>LB4970</v>
      </c>
      <c r="C7789" t="s">
        <v>42345</v>
      </c>
      <c r="D7789" t="s">
        <v>27245</v>
      </c>
      <c r="E7789" t="str">
        <f t="shared" si="121"/>
        <v>001390</v>
      </c>
      <c r="F7789" t="s">
        <v>27246</v>
      </c>
      <c r="G7789" t="s">
        <v>27247</v>
      </c>
      <c r="H7789" t="s">
        <v>27248</v>
      </c>
      <c r="I7789" t="s">
        <v>42346</v>
      </c>
      <c r="J7789" t="s">
        <v>15477</v>
      </c>
      <c r="L7789" t="s">
        <v>27250</v>
      </c>
      <c r="M7789" t="s">
        <v>27251</v>
      </c>
      <c r="N7789" t="s">
        <v>27252</v>
      </c>
      <c r="Q7789" s="1">
        <v>44538</v>
      </c>
      <c r="R7789" t="s">
        <v>27253</v>
      </c>
      <c r="S7789" t="s">
        <v>27254</v>
      </c>
      <c r="T7789" t="s">
        <v>27255</v>
      </c>
    </row>
    <row r="7790" spans="1:20" x14ac:dyDescent="0.3">
      <c r="A7790" t="str">
        <f>"0611839664100"</f>
        <v>0611839664100</v>
      </c>
      <c r="B7790" t="str">
        <f>"LB4966"</f>
        <v>LB4966</v>
      </c>
      <c r="C7790" t="s">
        <v>42347</v>
      </c>
      <c r="D7790" t="s">
        <v>27245</v>
      </c>
      <c r="E7790" t="str">
        <f t="shared" si="121"/>
        <v>001390</v>
      </c>
      <c r="F7790" t="s">
        <v>27246</v>
      </c>
      <c r="G7790" t="s">
        <v>27247</v>
      </c>
      <c r="H7790" t="s">
        <v>27248</v>
      </c>
      <c r="I7790" t="s">
        <v>42348</v>
      </c>
      <c r="J7790" t="s">
        <v>15479</v>
      </c>
      <c r="L7790" t="s">
        <v>27250</v>
      </c>
      <c r="M7790" t="s">
        <v>27251</v>
      </c>
      <c r="N7790" t="s">
        <v>27252</v>
      </c>
      <c r="Q7790" s="1">
        <v>44538</v>
      </c>
      <c r="R7790" t="s">
        <v>27253</v>
      </c>
      <c r="S7790" t="s">
        <v>27254</v>
      </c>
      <c r="T7790" t="s">
        <v>27255</v>
      </c>
    </row>
    <row r="7791" spans="1:20" x14ac:dyDescent="0.3">
      <c r="A7791" t="str">
        <f>"0611839665100"</f>
        <v>0611839665100</v>
      </c>
      <c r="B7791" t="str">
        <f>"LK6913"</f>
        <v>LK6913</v>
      </c>
      <c r="C7791" t="s">
        <v>42349</v>
      </c>
      <c r="D7791" t="s">
        <v>27245</v>
      </c>
      <c r="E7791" t="str">
        <f t="shared" si="121"/>
        <v>001390</v>
      </c>
      <c r="F7791" t="s">
        <v>27246</v>
      </c>
      <c r="G7791" t="s">
        <v>27247</v>
      </c>
      <c r="H7791" t="s">
        <v>27248</v>
      </c>
      <c r="I7791" t="s">
        <v>42350</v>
      </c>
      <c r="J7791" t="s">
        <v>15481</v>
      </c>
      <c r="L7791" t="s">
        <v>27250</v>
      </c>
      <c r="M7791" t="s">
        <v>27251</v>
      </c>
      <c r="N7791" t="s">
        <v>27252</v>
      </c>
      <c r="Q7791" s="1">
        <v>44538</v>
      </c>
      <c r="R7791" t="s">
        <v>27253</v>
      </c>
      <c r="S7791" t="s">
        <v>27254</v>
      </c>
      <c r="T7791" t="s">
        <v>27255</v>
      </c>
    </row>
    <row r="7792" spans="1:20" x14ac:dyDescent="0.3">
      <c r="A7792" t="str">
        <f>"0611839666100"</f>
        <v>0611839666100</v>
      </c>
      <c r="B7792" t="str">
        <f>"LK6914"</f>
        <v>LK6914</v>
      </c>
      <c r="C7792" t="s">
        <v>42351</v>
      </c>
      <c r="D7792" t="s">
        <v>27245</v>
      </c>
      <c r="E7792" t="str">
        <f t="shared" si="121"/>
        <v>001390</v>
      </c>
      <c r="F7792" t="s">
        <v>27246</v>
      </c>
      <c r="G7792" t="s">
        <v>27247</v>
      </c>
      <c r="H7792" t="s">
        <v>27248</v>
      </c>
      <c r="I7792" t="s">
        <v>42352</v>
      </c>
      <c r="J7792" t="s">
        <v>15483</v>
      </c>
      <c r="L7792" t="s">
        <v>27250</v>
      </c>
      <c r="M7792" t="s">
        <v>27251</v>
      </c>
      <c r="N7792" t="s">
        <v>27252</v>
      </c>
      <c r="Q7792" s="1">
        <v>44538</v>
      </c>
      <c r="R7792" t="s">
        <v>27253</v>
      </c>
      <c r="S7792" t="s">
        <v>27254</v>
      </c>
      <c r="T7792" t="s">
        <v>27255</v>
      </c>
    </row>
    <row r="7793" spans="1:20" x14ac:dyDescent="0.3">
      <c r="A7793" t="str">
        <f>"0611839667100"</f>
        <v>0611839667100</v>
      </c>
      <c r="B7793" t="str">
        <f>"LK6915"</f>
        <v>LK6915</v>
      </c>
      <c r="C7793" t="s">
        <v>42353</v>
      </c>
      <c r="D7793" t="s">
        <v>27245</v>
      </c>
      <c r="E7793" t="str">
        <f t="shared" si="121"/>
        <v>001390</v>
      </c>
      <c r="F7793" t="s">
        <v>27246</v>
      </c>
      <c r="G7793" t="s">
        <v>27247</v>
      </c>
      <c r="H7793" t="s">
        <v>27248</v>
      </c>
      <c r="I7793" t="s">
        <v>42354</v>
      </c>
      <c r="J7793" t="s">
        <v>15485</v>
      </c>
      <c r="L7793" t="s">
        <v>27250</v>
      </c>
      <c r="M7793" t="s">
        <v>27251</v>
      </c>
      <c r="N7793" t="s">
        <v>27252</v>
      </c>
      <c r="Q7793" s="1">
        <v>44538</v>
      </c>
      <c r="R7793" t="s">
        <v>27253</v>
      </c>
      <c r="S7793" t="s">
        <v>27254</v>
      </c>
      <c r="T7793" t="s">
        <v>27255</v>
      </c>
    </row>
    <row r="7794" spans="1:20" x14ac:dyDescent="0.3">
      <c r="A7794" t="str">
        <f>"0611839668100"</f>
        <v>0611839668100</v>
      </c>
      <c r="B7794" t="str">
        <f>"LK6916"</f>
        <v>LK6916</v>
      </c>
      <c r="C7794" t="s">
        <v>42355</v>
      </c>
      <c r="D7794" t="s">
        <v>27245</v>
      </c>
      <c r="E7794" t="str">
        <f t="shared" si="121"/>
        <v>001390</v>
      </c>
      <c r="F7794" t="s">
        <v>27246</v>
      </c>
      <c r="G7794" t="s">
        <v>27247</v>
      </c>
      <c r="H7794" t="s">
        <v>27248</v>
      </c>
      <c r="I7794" t="s">
        <v>42356</v>
      </c>
      <c r="J7794" t="s">
        <v>15487</v>
      </c>
      <c r="L7794" t="s">
        <v>27250</v>
      </c>
      <c r="M7794" t="s">
        <v>27251</v>
      </c>
      <c r="N7794" t="s">
        <v>27252</v>
      </c>
      <c r="Q7794" s="1">
        <v>44538</v>
      </c>
      <c r="R7794" t="s">
        <v>27253</v>
      </c>
      <c r="S7794" t="s">
        <v>27254</v>
      </c>
      <c r="T7794" t="s">
        <v>27255</v>
      </c>
    </row>
    <row r="7795" spans="1:20" x14ac:dyDescent="0.3">
      <c r="A7795" t="str">
        <f>"0611839669100"</f>
        <v>0611839669100</v>
      </c>
      <c r="B7795" t="str">
        <f>"LB4688"</f>
        <v>LB4688</v>
      </c>
      <c r="C7795" t="s">
        <v>42357</v>
      </c>
      <c r="D7795" t="s">
        <v>27245</v>
      </c>
      <c r="E7795" t="str">
        <f t="shared" si="121"/>
        <v>001390</v>
      </c>
      <c r="F7795" t="s">
        <v>27246</v>
      </c>
      <c r="G7795" t="s">
        <v>27247</v>
      </c>
      <c r="H7795" t="s">
        <v>27248</v>
      </c>
      <c r="I7795" t="s">
        <v>42358</v>
      </c>
      <c r="J7795" t="s">
        <v>15489</v>
      </c>
      <c r="L7795" t="s">
        <v>27250</v>
      </c>
      <c r="M7795" t="s">
        <v>27251</v>
      </c>
      <c r="N7795" t="s">
        <v>27252</v>
      </c>
      <c r="Q7795" s="1">
        <v>44538</v>
      </c>
      <c r="R7795" t="s">
        <v>27253</v>
      </c>
      <c r="S7795" t="s">
        <v>27254</v>
      </c>
      <c r="T7795" t="s">
        <v>27255</v>
      </c>
    </row>
    <row r="7796" spans="1:20" x14ac:dyDescent="0.3">
      <c r="A7796" t="str">
        <f>"0611839670100"</f>
        <v>0611839670100</v>
      </c>
      <c r="B7796" t="str">
        <f>"LB4967"</f>
        <v>LB4967</v>
      </c>
      <c r="C7796" t="s">
        <v>42359</v>
      </c>
      <c r="D7796" t="s">
        <v>27245</v>
      </c>
      <c r="E7796" t="str">
        <f t="shared" si="121"/>
        <v>001390</v>
      </c>
      <c r="F7796" t="s">
        <v>27246</v>
      </c>
      <c r="G7796" t="s">
        <v>27247</v>
      </c>
      <c r="H7796" t="s">
        <v>27248</v>
      </c>
      <c r="I7796" t="s">
        <v>42360</v>
      </c>
      <c r="J7796" t="s">
        <v>15491</v>
      </c>
      <c r="L7796" t="s">
        <v>27250</v>
      </c>
      <c r="M7796" t="s">
        <v>27251</v>
      </c>
      <c r="N7796" t="s">
        <v>27252</v>
      </c>
      <c r="Q7796" s="1">
        <v>44538</v>
      </c>
      <c r="R7796" t="s">
        <v>27253</v>
      </c>
      <c r="S7796" t="s">
        <v>27254</v>
      </c>
      <c r="T7796" t="s">
        <v>27255</v>
      </c>
    </row>
    <row r="7797" spans="1:20" x14ac:dyDescent="0.3">
      <c r="A7797" t="str">
        <f>"0611839671100"</f>
        <v>0611839671100</v>
      </c>
      <c r="B7797" t="str">
        <f>"LB4968"</f>
        <v>LB4968</v>
      </c>
      <c r="C7797" t="s">
        <v>42361</v>
      </c>
      <c r="D7797" t="s">
        <v>27245</v>
      </c>
      <c r="E7797" t="str">
        <f t="shared" si="121"/>
        <v>001390</v>
      </c>
      <c r="F7797" t="s">
        <v>27246</v>
      </c>
      <c r="G7797" t="s">
        <v>27247</v>
      </c>
      <c r="H7797" t="s">
        <v>27248</v>
      </c>
      <c r="I7797" t="s">
        <v>42362</v>
      </c>
      <c r="J7797" t="s">
        <v>15493</v>
      </c>
      <c r="L7797" t="s">
        <v>27250</v>
      </c>
      <c r="M7797" t="s">
        <v>27251</v>
      </c>
      <c r="N7797" t="s">
        <v>27252</v>
      </c>
      <c r="Q7797" s="1">
        <v>44538</v>
      </c>
      <c r="R7797" t="s">
        <v>27253</v>
      </c>
      <c r="S7797" t="s">
        <v>27254</v>
      </c>
      <c r="T7797" t="s">
        <v>27255</v>
      </c>
    </row>
    <row r="7798" spans="1:20" x14ac:dyDescent="0.3">
      <c r="A7798" t="str">
        <f>"0611839675100"</f>
        <v>0611839675100</v>
      </c>
      <c r="B7798" t="str">
        <f>"LK1624"</f>
        <v>LK1624</v>
      </c>
      <c r="C7798" t="s">
        <v>42363</v>
      </c>
      <c r="D7798" t="s">
        <v>27245</v>
      </c>
      <c r="E7798" t="str">
        <f t="shared" si="121"/>
        <v>001390</v>
      </c>
      <c r="F7798" t="s">
        <v>27246</v>
      </c>
      <c r="G7798" t="s">
        <v>27247</v>
      </c>
      <c r="H7798" t="s">
        <v>27248</v>
      </c>
      <c r="I7798" t="s">
        <v>42364</v>
      </c>
      <c r="J7798" t="s">
        <v>15495</v>
      </c>
      <c r="L7798" t="s">
        <v>27250</v>
      </c>
      <c r="M7798" t="s">
        <v>27251</v>
      </c>
      <c r="N7798" t="s">
        <v>27252</v>
      </c>
      <c r="Q7798" s="1">
        <v>44538</v>
      </c>
      <c r="R7798" t="s">
        <v>27253</v>
      </c>
      <c r="S7798" t="s">
        <v>27254</v>
      </c>
      <c r="T7798" t="s">
        <v>27255</v>
      </c>
    </row>
    <row r="7799" spans="1:20" x14ac:dyDescent="0.3">
      <c r="A7799" t="str">
        <f>"0611839676100"</f>
        <v>0611839676100</v>
      </c>
      <c r="B7799" t="str">
        <f>"LK1522"</f>
        <v>LK1522</v>
      </c>
      <c r="C7799" t="s">
        <v>42365</v>
      </c>
      <c r="D7799" t="s">
        <v>27245</v>
      </c>
      <c r="E7799" t="str">
        <f t="shared" si="121"/>
        <v>001390</v>
      </c>
      <c r="F7799" t="s">
        <v>27246</v>
      </c>
      <c r="G7799" t="s">
        <v>27247</v>
      </c>
      <c r="H7799" t="s">
        <v>27248</v>
      </c>
      <c r="I7799" t="s">
        <v>42366</v>
      </c>
      <c r="J7799" t="s">
        <v>15497</v>
      </c>
      <c r="L7799" t="s">
        <v>27250</v>
      </c>
      <c r="M7799" t="s">
        <v>27251</v>
      </c>
      <c r="N7799" t="s">
        <v>27252</v>
      </c>
      <c r="Q7799" s="1">
        <v>44538</v>
      </c>
      <c r="R7799" t="s">
        <v>27253</v>
      </c>
      <c r="S7799" t="s">
        <v>27254</v>
      </c>
      <c r="T7799" t="s">
        <v>27255</v>
      </c>
    </row>
    <row r="7800" spans="1:20" x14ac:dyDescent="0.3">
      <c r="A7800" t="str">
        <f>"0611839677100"</f>
        <v>0611839677100</v>
      </c>
      <c r="B7800" t="str">
        <f>"LK0237"</f>
        <v>LK0237</v>
      </c>
      <c r="C7800" t="s">
        <v>42367</v>
      </c>
      <c r="D7800" t="s">
        <v>27245</v>
      </c>
      <c r="E7800" t="str">
        <f t="shared" si="121"/>
        <v>001390</v>
      </c>
      <c r="F7800" t="s">
        <v>27246</v>
      </c>
      <c r="G7800" t="s">
        <v>27247</v>
      </c>
      <c r="H7800" t="s">
        <v>27248</v>
      </c>
      <c r="I7800" t="s">
        <v>42368</v>
      </c>
      <c r="J7800" t="s">
        <v>15499</v>
      </c>
      <c r="L7800" t="s">
        <v>27250</v>
      </c>
      <c r="M7800" t="s">
        <v>27251</v>
      </c>
      <c r="N7800" t="s">
        <v>27252</v>
      </c>
      <c r="Q7800" s="1">
        <v>44538</v>
      </c>
      <c r="R7800" t="s">
        <v>27253</v>
      </c>
      <c r="S7800" t="s">
        <v>27254</v>
      </c>
      <c r="T7800" t="s">
        <v>27255</v>
      </c>
    </row>
    <row r="7801" spans="1:20" x14ac:dyDescent="0.3">
      <c r="A7801" t="str">
        <f>"0611839679100"</f>
        <v>0611839679100</v>
      </c>
      <c r="B7801" t="str">
        <f>"LB5025"</f>
        <v>LB5025</v>
      </c>
      <c r="C7801" t="s">
        <v>42369</v>
      </c>
      <c r="D7801" t="s">
        <v>27245</v>
      </c>
      <c r="E7801" t="str">
        <f t="shared" si="121"/>
        <v>001390</v>
      </c>
      <c r="F7801" t="s">
        <v>27246</v>
      </c>
      <c r="G7801" t="s">
        <v>27247</v>
      </c>
      <c r="H7801" t="s">
        <v>27248</v>
      </c>
      <c r="I7801" t="s">
        <v>42370</v>
      </c>
      <c r="J7801" t="s">
        <v>15501</v>
      </c>
      <c r="L7801" t="s">
        <v>27250</v>
      </c>
      <c r="M7801" t="s">
        <v>27251</v>
      </c>
      <c r="N7801" t="s">
        <v>27252</v>
      </c>
      <c r="Q7801" s="1">
        <v>44538</v>
      </c>
      <c r="R7801" t="s">
        <v>27253</v>
      </c>
      <c r="S7801" t="s">
        <v>27254</v>
      </c>
      <c r="T7801" t="s">
        <v>27255</v>
      </c>
    </row>
    <row r="7802" spans="1:20" x14ac:dyDescent="0.3">
      <c r="A7802" t="str">
        <f>"0611839680100"</f>
        <v>0611839680100</v>
      </c>
      <c r="B7802" t="str">
        <f>"LS0083"</f>
        <v>LS0083</v>
      </c>
      <c r="C7802" t="s">
        <v>42371</v>
      </c>
      <c r="D7802" t="s">
        <v>27245</v>
      </c>
      <c r="E7802" t="str">
        <f t="shared" si="121"/>
        <v>001390</v>
      </c>
      <c r="F7802" t="s">
        <v>27246</v>
      </c>
      <c r="G7802" t="s">
        <v>27247</v>
      </c>
      <c r="H7802" t="s">
        <v>27248</v>
      </c>
      <c r="I7802" t="s">
        <v>42372</v>
      </c>
      <c r="J7802" t="s">
        <v>15503</v>
      </c>
      <c r="L7802" t="s">
        <v>27250</v>
      </c>
      <c r="M7802" t="s">
        <v>27251</v>
      </c>
      <c r="N7802" t="s">
        <v>27252</v>
      </c>
      <c r="Q7802" s="1">
        <v>44538</v>
      </c>
      <c r="R7802" t="s">
        <v>27253</v>
      </c>
      <c r="S7802" t="s">
        <v>27254</v>
      </c>
      <c r="T7802" t="s">
        <v>27255</v>
      </c>
    </row>
    <row r="7803" spans="1:20" x14ac:dyDescent="0.3">
      <c r="A7803" t="str">
        <f>"0611839682100"</f>
        <v>0611839682100</v>
      </c>
      <c r="B7803" t="str">
        <f>"LB5058"</f>
        <v>LB5058</v>
      </c>
      <c r="C7803" t="s">
        <v>42373</v>
      </c>
      <c r="D7803" t="s">
        <v>28138</v>
      </c>
      <c r="E7803" t="str">
        <f t="shared" si="121"/>
        <v>001390</v>
      </c>
      <c r="F7803" t="s">
        <v>27246</v>
      </c>
      <c r="G7803" t="s">
        <v>27247</v>
      </c>
      <c r="H7803" t="s">
        <v>27248</v>
      </c>
      <c r="I7803" t="s">
        <v>42374</v>
      </c>
      <c r="J7803" t="s">
        <v>15505</v>
      </c>
      <c r="L7803" t="s">
        <v>27250</v>
      </c>
      <c r="M7803" t="s">
        <v>27251</v>
      </c>
      <c r="N7803" t="s">
        <v>27252</v>
      </c>
      <c r="P7803" t="s">
        <v>27925</v>
      </c>
      <c r="Q7803" s="1">
        <v>44538</v>
      </c>
      <c r="R7803" t="s">
        <v>27253</v>
      </c>
      <c r="S7803" t="s">
        <v>27254</v>
      </c>
      <c r="T7803" t="s">
        <v>27255</v>
      </c>
    </row>
    <row r="7804" spans="1:20" x14ac:dyDescent="0.3">
      <c r="A7804" t="str">
        <f>"0611839683100"</f>
        <v>0611839683100</v>
      </c>
      <c r="B7804" t="str">
        <f>"LB5059"</f>
        <v>LB5059</v>
      </c>
      <c r="C7804" t="s">
        <v>42375</v>
      </c>
      <c r="D7804" t="s">
        <v>28138</v>
      </c>
      <c r="E7804" t="str">
        <f t="shared" si="121"/>
        <v>001390</v>
      </c>
      <c r="F7804" t="s">
        <v>27246</v>
      </c>
      <c r="G7804" t="s">
        <v>27247</v>
      </c>
      <c r="H7804" t="s">
        <v>27248</v>
      </c>
      <c r="I7804" t="s">
        <v>42376</v>
      </c>
      <c r="J7804" t="s">
        <v>15507</v>
      </c>
      <c r="L7804" t="s">
        <v>27250</v>
      </c>
      <c r="M7804" t="s">
        <v>27251</v>
      </c>
      <c r="N7804" t="s">
        <v>27252</v>
      </c>
      <c r="P7804" t="s">
        <v>27925</v>
      </c>
      <c r="Q7804" s="1">
        <v>44538</v>
      </c>
      <c r="R7804" t="s">
        <v>27253</v>
      </c>
      <c r="S7804" t="s">
        <v>27254</v>
      </c>
      <c r="T7804" t="s">
        <v>27255</v>
      </c>
    </row>
    <row r="7805" spans="1:20" x14ac:dyDescent="0.3">
      <c r="A7805" t="str">
        <f>"0611839684100"</f>
        <v>0611839684100</v>
      </c>
      <c r="B7805" t="str">
        <f>"LK5809"</f>
        <v>LK5809</v>
      </c>
      <c r="C7805" t="s">
        <v>42377</v>
      </c>
      <c r="D7805" t="s">
        <v>27245</v>
      </c>
      <c r="E7805" t="str">
        <f t="shared" si="121"/>
        <v>001390</v>
      </c>
      <c r="F7805" t="s">
        <v>27246</v>
      </c>
      <c r="G7805" t="s">
        <v>27247</v>
      </c>
      <c r="H7805" t="s">
        <v>27248</v>
      </c>
      <c r="I7805" t="s">
        <v>42378</v>
      </c>
      <c r="J7805" t="s">
        <v>15509</v>
      </c>
      <c r="L7805" t="s">
        <v>27250</v>
      </c>
      <c r="M7805" t="s">
        <v>27251</v>
      </c>
      <c r="N7805" t="s">
        <v>27252</v>
      </c>
      <c r="Q7805" s="1">
        <v>44538</v>
      </c>
      <c r="R7805" t="s">
        <v>27253</v>
      </c>
      <c r="S7805" t="s">
        <v>27254</v>
      </c>
      <c r="T7805" t="s">
        <v>27255</v>
      </c>
    </row>
    <row r="7806" spans="1:20" x14ac:dyDescent="0.3">
      <c r="A7806" t="str">
        <f>"0611839685100"</f>
        <v>0611839685100</v>
      </c>
      <c r="B7806" t="str">
        <f>"LK5810"</f>
        <v>LK5810</v>
      </c>
      <c r="C7806" t="s">
        <v>42379</v>
      </c>
      <c r="D7806" t="s">
        <v>27245</v>
      </c>
      <c r="E7806" t="str">
        <f t="shared" si="121"/>
        <v>001390</v>
      </c>
      <c r="F7806" t="s">
        <v>27246</v>
      </c>
      <c r="G7806" t="s">
        <v>27247</v>
      </c>
      <c r="H7806" t="s">
        <v>27248</v>
      </c>
      <c r="I7806" t="s">
        <v>42380</v>
      </c>
      <c r="J7806" t="s">
        <v>15511</v>
      </c>
      <c r="L7806" t="s">
        <v>27250</v>
      </c>
      <c r="M7806" t="s">
        <v>27251</v>
      </c>
      <c r="N7806" t="s">
        <v>27252</v>
      </c>
      <c r="Q7806" s="1">
        <v>44538</v>
      </c>
      <c r="R7806" t="s">
        <v>27253</v>
      </c>
      <c r="S7806" t="s">
        <v>27254</v>
      </c>
      <c r="T7806" t="s">
        <v>27255</v>
      </c>
    </row>
    <row r="7807" spans="1:20" x14ac:dyDescent="0.3">
      <c r="A7807" t="str">
        <f>"0611839686100"</f>
        <v>0611839686100</v>
      </c>
      <c r="B7807" t="str">
        <f>"LK5811"</f>
        <v>LK5811</v>
      </c>
      <c r="C7807" t="s">
        <v>42381</v>
      </c>
      <c r="D7807" t="s">
        <v>27245</v>
      </c>
      <c r="E7807" t="str">
        <f t="shared" si="121"/>
        <v>001390</v>
      </c>
      <c r="F7807" t="s">
        <v>27246</v>
      </c>
      <c r="G7807" t="s">
        <v>27247</v>
      </c>
      <c r="H7807" t="s">
        <v>27248</v>
      </c>
      <c r="I7807" t="s">
        <v>42382</v>
      </c>
      <c r="J7807" t="s">
        <v>15513</v>
      </c>
      <c r="L7807" t="s">
        <v>27250</v>
      </c>
      <c r="M7807" t="s">
        <v>27251</v>
      </c>
      <c r="N7807" t="s">
        <v>27252</v>
      </c>
      <c r="Q7807" s="1">
        <v>44538</v>
      </c>
      <c r="R7807" t="s">
        <v>27253</v>
      </c>
      <c r="S7807" t="s">
        <v>27254</v>
      </c>
      <c r="T7807" t="s">
        <v>27255</v>
      </c>
    </row>
    <row r="7808" spans="1:20" x14ac:dyDescent="0.3">
      <c r="A7808" t="str">
        <f>"0611839687100"</f>
        <v>0611839687100</v>
      </c>
      <c r="B7808" t="str">
        <f>"LK5812"</f>
        <v>LK5812</v>
      </c>
      <c r="C7808" t="s">
        <v>42383</v>
      </c>
      <c r="D7808" t="s">
        <v>27245</v>
      </c>
      <c r="E7808" t="str">
        <f t="shared" si="121"/>
        <v>001390</v>
      </c>
      <c r="F7808" t="s">
        <v>27246</v>
      </c>
      <c r="G7808" t="s">
        <v>27247</v>
      </c>
      <c r="H7808" t="s">
        <v>27248</v>
      </c>
      <c r="I7808" t="s">
        <v>42384</v>
      </c>
      <c r="J7808" t="s">
        <v>15515</v>
      </c>
      <c r="L7808" t="s">
        <v>27250</v>
      </c>
      <c r="M7808" t="s">
        <v>27251</v>
      </c>
      <c r="N7808" t="s">
        <v>27252</v>
      </c>
      <c r="Q7808" s="1">
        <v>44538</v>
      </c>
      <c r="R7808" t="s">
        <v>27253</v>
      </c>
      <c r="S7808" t="s">
        <v>27254</v>
      </c>
      <c r="T7808" t="s">
        <v>27255</v>
      </c>
    </row>
    <row r="7809" spans="1:20" x14ac:dyDescent="0.3">
      <c r="A7809" t="str">
        <f>"0611839689100"</f>
        <v>0611839689100</v>
      </c>
      <c r="B7809" t="str">
        <f>"LB4641"</f>
        <v>LB4641</v>
      </c>
      <c r="C7809" t="s">
        <v>42385</v>
      </c>
      <c r="D7809" t="s">
        <v>27245</v>
      </c>
      <c r="E7809" t="str">
        <f t="shared" si="121"/>
        <v>001390</v>
      </c>
      <c r="F7809" t="s">
        <v>27246</v>
      </c>
      <c r="G7809" t="s">
        <v>27247</v>
      </c>
      <c r="H7809" t="s">
        <v>27248</v>
      </c>
      <c r="I7809" t="s">
        <v>42386</v>
      </c>
      <c r="J7809" t="s">
        <v>15517</v>
      </c>
      <c r="L7809" t="s">
        <v>27250</v>
      </c>
      <c r="M7809" t="s">
        <v>27251</v>
      </c>
      <c r="N7809" t="s">
        <v>27252</v>
      </c>
      <c r="Q7809" s="1">
        <v>44538</v>
      </c>
      <c r="R7809" t="s">
        <v>27253</v>
      </c>
      <c r="S7809" t="s">
        <v>27254</v>
      </c>
      <c r="T7809" t="s">
        <v>27255</v>
      </c>
    </row>
    <row r="7810" spans="1:20" x14ac:dyDescent="0.3">
      <c r="A7810" t="str">
        <f>"0611839688100"</f>
        <v>0611839688100</v>
      </c>
      <c r="B7810" t="str">
        <f>"LS0084"</f>
        <v>LS0084</v>
      </c>
      <c r="C7810" t="s">
        <v>42387</v>
      </c>
      <c r="D7810" t="s">
        <v>27245</v>
      </c>
      <c r="E7810" t="str">
        <f t="shared" ref="E7810:E7873" si="122">"001390"</f>
        <v>001390</v>
      </c>
      <c r="F7810" t="s">
        <v>27246</v>
      </c>
      <c r="G7810" t="s">
        <v>27247</v>
      </c>
      <c r="H7810" t="s">
        <v>27248</v>
      </c>
      <c r="I7810" t="s">
        <v>42388</v>
      </c>
      <c r="J7810" t="s">
        <v>15519</v>
      </c>
      <c r="L7810" t="s">
        <v>27250</v>
      </c>
      <c r="M7810" t="s">
        <v>27251</v>
      </c>
      <c r="N7810" t="s">
        <v>27252</v>
      </c>
      <c r="Q7810" s="1">
        <v>44538</v>
      </c>
      <c r="R7810" t="s">
        <v>27253</v>
      </c>
      <c r="S7810" t="s">
        <v>27254</v>
      </c>
      <c r="T7810" t="s">
        <v>27255</v>
      </c>
    </row>
    <row r="7811" spans="1:20" x14ac:dyDescent="0.3">
      <c r="A7811" t="str">
        <f>"0611839690100"</f>
        <v>0611839690100</v>
      </c>
      <c r="B7811" t="str">
        <f>"LB4642"</f>
        <v>LB4642</v>
      </c>
      <c r="C7811" t="s">
        <v>42389</v>
      </c>
      <c r="D7811" t="s">
        <v>27245</v>
      </c>
      <c r="E7811" t="str">
        <f t="shared" si="122"/>
        <v>001390</v>
      </c>
      <c r="F7811" t="s">
        <v>27246</v>
      </c>
      <c r="G7811" t="s">
        <v>27247</v>
      </c>
      <c r="H7811" t="s">
        <v>27248</v>
      </c>
      <c r="I7811" t="s">
        <v>42390</v>
      </c>
      <c r="J7811" t="s">
        <v>15521</v>
      </c>
      <c r="L7811" t="s">
        <v>27250</v>
      </c>
      <c r="M7811" t="s">
        <v>27251</v>
      </c>
      <c r="N7811" t="s">
        <v>27252</v>
      </c>
      <c r="Q7811" s="1">
        <v>44538</v>
      </c>
      <c r="R7811" t="s">
        <v>27253</v>
      </c>
      <c r="S7811" t="s">
        <v>27254</v>
      </c>
      <c r="T7811" t="s">
        <v>27255</v>
      </c>
    </row>
    <row r="7812" spans="1:20" x14ac:dyDescent="0.3">
      <c r="A7812" t="str">
        <f>"0611839691100"</f>
        <v>0611839691100</v>
      </c>
      <c r="B7812" t="str">
        <f>"LB4643"</f>
        <v>LB4643</v>
      </c>
      <c r="C7812" t="s">
        <v>42391</v>
      </c>
      <c r="D7812" t="s">
        <v>27245</v>
      </c>
      <c r="E7812" t="str">
        <f t="shared" si="122"/>
        <v>001390</v>
      </c>
      <c r="F7812" t="s">
        <v>27246</v>
      </c>
      <c r="G7812" t="s">
        <v>27247</v>
      </c>
      <c r="H7812" t="s">
        <v>27248</v>
      </c>
      <c r="I7812" t="s">
        <v>42392</v>
      </c>
      <c r="J7812" t="s">
        <v>15523</v>
      </c>
      <c r="L7812" t="s">
        <v>27250</v>
      </c>
      <c r="M7812" t="s">
        <v>27251</v>
      </c>
      <c r="N7812" t="s">
        <v>27252</v>
      </c>
      <c r="Q7812" s="1">
        <v>44538</v>
      </c>
      <c r="R7812" t="s">
        <v>27253</v>
      </c>
      <c r="S7812" t="s">
        <v>27254</v>
      </c>
      <c r="T7812" t="s">
        <v>27255</v>
      </c>
    </row>
    <row r="7813" spans="1:20" x14ac:dyDescent="0.3">
      <c r="A7813" t="str">
        <f>"0611839692100"</f>
        <v>0611839692100</v>
      </c>
      <c r="B7813" t="str">
        <f>"LB4644"</f>
        <v>LB4644</v>
      </c>
      <c r="C7813" t="s">
        <v>42393</v>
      </c>
      <c r="D7813" t="s">
        <v>27245</v>
      </c>
      <c r="E7813" t="str">
        <f t="shared" si="122"/>
        <v>001390</v>
      </c>
      <c r="F7813" t="s">
        <v>27246</v>
      </c>
      <c r="G7813" t="s">
        <v>27247</v>
      </c>
      <c r="H7813" t="s">
        <v>27248</v>
      </c>
      <c r="I7813" t="s">
        <v>42394</v>
      </c>
      <c r="J7813" t="s">
        <v>15525</v>
      </c>
      <c r="L7813" t="s">
        <v>27250</v>
      </c>
      <c r="M7813" t="s">
        <v>27251</v>
      </c>
      <c r="N7813" t="s">
        <v>27252</v>
      </c>
      <c r="Q7813" s="1">
        <v>44538</v>
      </c>
      <c r="R7813" t="s">
        <v>27253</v>
      </c>
      <c r="S7813" t="s">
        <v>27254</v>
      </c>
      <c r="T7813" t="s">
        <v>27255</v>
      </c>
    </row>
    <row r="7814" spans="1:20" x14ac:dyDescent="0.3">
      <c r="A7814" t="str">
        <f>"0611839693100"</f>
        <v>0611839693100</v>
      </c>
      <c r="B7814" t="str">
        <f>"LB5178"</f>
        <v>LB5178</v>
      </c>
      <c r="C7814" t="s">
        <v>42395</v>
      </c>
      <c r="D7814" t="s">
        <v>27245</v>
      </c>
      <c r="E7814" t="str">
        <f t="shared" si="122"/>
        <v>001390</v>
      </c>
      <c r="F7814" t="s">
        <v>27246</v>
      </c>
      <c r="G7814" t="s">
        <v>27247</v>
      </c>
      <c r="H7814" t="s">
        <v>27248</v>
      </c>
      <c r="I7814" t="s">
        <v>42396</v>
      </c>
      <c r="J7814" t="s">
        <v>15527</v>
      </c>
      <c r="L7814" t="s">
        <v>27250</v>
      </c>
      <c r="M7814" t="s">
        <v>27251</v>
      </c>
      <c r="N7814" t="s">
        <v>27252</v>
      </c>
      <c r="Q7814" s="1">
        <v>44538</v>
      </c>
      <c r="R7814" t="s">
        <v>27253</v>
      </c>
      <c r="S7814" t="s">
        <v>27254</v>
      </c>
      <c r="T7814" t="s">
        <v>27255</v>
      </c>
    </row>
    <row r="7815" spans="1:20" x14ac:dyDescent="0.3">
      <c r="A7815" t="str">
        <f>"0611839694100"</f>
        <v>0611839694100</v>
      </c>
      <c r="B7815" t="str">
        <f>"LB4645"</f>
        <v>LB4645</v>
      </c>
      <c r="C7815" t="s">
        <v>42397</v>
      </c>
      <c r="D7815" t="s">
        <v>27245</v>
      </c>
      <c r="E7815" t="str">
        <f t="shared" si="122"/>
        <v>001390</v>
      </c>
      <c r="F7815" t="s">
        <v>27246</v>
      </c>
      <c r="G7815" t="s">
        <v>27247</v>
      </c>
      <c r="H7815" t="s">
        <v>27248</v>
      </c>
      <c r="I7815" t="s">
        <v>42398</v>
      </c>
      <c r="J7815" t="s">
        <v>15529</v>
      </c>
      <c r="L7815" t="s">
        <v>27250</v>
      </c>
      <c r="M7815" t="s">
        <v>27251</v>
      </c>
      <c r="N7815" t="s">
        <v>27252</v>
      </c>
      <c r="Q7815" s="1">
        <v>44538</v>
      </c>
      <c r="R7815" t="s">
        <v>27253</v>
      </c>
      <c r="S7815" t="s">
        <v>27254</v>
      </c>
      <c r="T7815" t="s">
        <v>27255</v>
      </c>
    </row>
    <row r="7816" spans="1:20" x14ac:dyDescent="0.3">
      <c r="A7816" t="str">
        <f>"0611839695100"</f>
        <v>0611839695100</v>
      </c>
      <c r="B7816" t="str">
        <f>"LB4647"</f>
        <v>LB4647</v>
      </c>
      <c r="C7816" t="s">
        <v>42399</v>
      </c>
      <c r="D7816" t="s">
        <v>27245</v>
      </c>
      <c r="E7816" t="str">
        <f t="shared" si="122"/>
        <v>001390</v>
      </c>
      <c r="F7816" t="s">
        <v>27246</v>
      </c>
      <c r="G7816" t="s">
        <v>27247</v>
      </c>
      <c r="H7816" t="s">
        <v>27248</v>
      </c>
      <c r="I7816" t="s">
        <v>42400</v>
      </c>
      <c r="J7816" t="s">
        <v>15531</v>
      </c>
      <c r="L7816" t="s">
        <v>27250</v>
      </c>
      <c r="M7816" t="s">
        <v>27251</v>
      </c>
      <c r="N7816" t="s">
        <v>27252</v>
      </c>
      <c r="Q7816" s="1">
        <v>44538</v>
      </c>
      <c r="R7816" t="s">
        <v>27253</v>
      </c>
      <c r="S7816" t="s">
        <v>27254</v>
      </c>
      <c r="T7816" t="s">
        <v>27255</v>
      </c>
    </row>
    <row r="7817" spans="1:20" x14ac:dyDescent="0.3">
      <c r="A7817" t="str">
        <f>"0611839696100"</f>
        <v>0611839696100</v>
      </c>
      <c r="B7817" t="str">
        <f>"LB5179"</f>
        <v>LB5179</v>
      </c>
      <c r="C7817" t="s">
        <v>42401</v>
      </c>
      <c r="D7817" t="s">
        <v>27245</v>
      </c>
      <c r="E7817" t="str">
        <f t="shared" si="122"/>
        <v>001390</v>
      </c>
      <c r="F7817" t="s">
        <v>27246</v>
      </c>
      <c r="G7817" t="s">
        <v>27247</v>
      </c>
      <c r="H7817" t="s">
        <v>27248</v>
      </c>
      <c r="I7817" t="s">
        <v>42402</v>
      </c>
      <c r="J7817" t="s">
        <v>15533</v>
      </c>
      <c r="L7817" t="s">
        <v>27250</v>
      </c>
      <c r="M7817" t="s">
        <v>27251</v>
      </c>
      <c r="N7817" t="s">
        <v>27252</v>
      </c>
      <c r="Q7817" s="1">
        <v>44538</v>
      </c>
      <c r="R7817" t="s">
        <v>27253</v>
      </c>
      <c r="S7817" t="s">
        <v>27254</v>
      </c>
      <c r="T7817" t="s">
        <v>27255</v>
      </c>
    </row>
    <row r="7818" spans="1:20" x14ac:dyDescent="0.3">
      <c r="A7818" t="str">
        <f>"0611839697100"</f>
        <v>0611839697100</v>
      </c>
      <c r="B7818" t="str">
        <f>"LB4646"</f>
        <v>LB4646</v>
      </c>
      <c r="C7818" t="s">
        <v>42403</v>
      </c>
      <c r="D7818" t="s">
        <v>27245</v>
      </c>
      <c r="E7818" t="str">
        <f t="shared" si="122"/>
        <v>001390</v>
      </c>
      <c r="F7818" t="s">
        <v>27246</v>
      </c>
      <c r="G7818" t="s">
        <v>27247</v>
      </c>
      <c r="H7818" t="s">
        <v>27248</v>
      </c>
      <c r="I7818" t="s">
        <v>42404</v>
      </c>
      <c r="J7818" t="s">
        <v>15535</v>
      </c>
      <c r="L7818" t="s">
        <v>27250</v>
      </c>
      <c r="M7818" t="s">
        <v>27251</v>
      </c>
      <c r="N7818" t="s">
        <v>27252</v>
      </c>
      <c r="Q7818" s="1">
        <v>44538</v>
      </c>
      <c r="R7818" t="s">
        <v>27253</v>
      </c>
      <c r="S7818" t="s">
        <v>27254</v>
      </c>
      <c r="T7818" t="s">
        <v>27255</v>
      </c>
    </row>
    <row r="7819" spans="1:20" x14ac:dyDescent="0.3">
      <c r="A7819" t="str">
        <f>"0611839698100"</f>
        <v>0611839698100</v>
      </c>
      <c r="B7819" t="str">
        <f>"LB5180"</f>
        <v>LB5180</v>
      </c>
      <c r="C7819" t="s">
        <v>42405</v>
      </c>
      <c r="D7819" t="s">
        <v>27245</v>
      </c>
      <c r="E7819" t="str">
        <f t="shared" si="122"/>
        <v>001390</v>
      </c>
      <c r="F7819" t="s">
        <v>27246</v>
      </c>
      <c r="G7819" t="s">
        <v>27247</v>
      </c>
      <c r="H7819" t="s">
        <v>27248</v>
      </c>
      <c r="I7819" t="s">
        <v>42406</v>
      </c>
      <c r="J7819" t="s">
        <v>15537</v>
      </c>
      <c r="L7819" t="s">
        <v>27250</v>
      </c>
      <c r="M7819" t="s">
        <v>27251</v>
      </c>
      <c r="N7819" t="s">
        <v>27252</v>
      </c>
      <c r="Q7819" s="1">
        <v>44538</v>
      </c>
      <c r="R7819" t="s">
        <v>27253</v>
      </c>
      <c r="S7819" t="s">
        <v>27254</v>
      </c>
      <c r="T7819" t="s">
        <v>27255</v>
      </c>
    </row>
    <row r="7820" spans="1:20" x14ac:dyDescent="0.3">
      <c r="A7820" t="str">
        <f>"0611839699100"</f>
        <v>0611839699100</v>
      </c>
      <c r="B7820" t="str">
        <f>"LK1280"</f>
        <v>LK1280</v>
      </c>
      <c r="C7820" t="s">
        <v>42407</v>
      </c>
      <c r="D7820" t="s">
        <v>27245</v>
      </c>
      <c r="E7820" t="str">
        <f t="shared" si="122"/>
        <v>001390</v>
      </c>
      <c r="F7820" t="s">
        <v>27246</v>
      </c>
      <c r="G7820" t="s">
        <v>27247</v>
      </c>
      <c r="H7820" t="s">
        <v>27248</v>
      </c>
      <c r="I7820" t="s">
        <v>42408</v>
      </c>
      <c r="J7820" t="s">
        <v>15539</v>
      </c>
      <c r="L7820" t="s">
        <v>27250</v>
      </c>
      <c r="M7820" t="s">
        <v>27251</v>
      </c>
      <c r="N7820" t="s">
        <v>27252</v>
      </c>
      <c r="Q7820" s="1">
        <v>44538</v>
      </c>
      <c r="R7820" t="s">
        <v>27253</v>
      </c>
      <c r="S7820" t="s">
        <v>27254</v>
      </c>
      <c r="T7820" t="s">
        <v>27255</v>
      </c>
    </row>
    <row r="7821" spans="1:20" x14ac:dyDescent="0.3">
      <c r="A7821" t="str">
        <f>"0611839701100"</f>
        <v>0611839701100</v>
      </c>
      <c r="B7821" t="str">
        <f>"LB5120"</f>
        <v>LB5120</v>
      </c>
      <c r="C7821" t="s">
        <v>42409</v>
      </c>
      <c r="D7821" t="s">
        <v>27245</v>
      </c>
      <c r="E7821" t="str">
        <f t="shared" si="122"/>
        <v>001390</v>
      </c>
      <c r="F7821" t="s">
        <v>27246</v>
      </c>
      <c r="G7821" t="s">
        <v>27247</v>
      </c>
      <c r="H7821" t="s">
        <v>27248</v>
      </c>
      <c r="I7821" t="s">
        <v>42410</v>
      </c>
      <c r="J7821" t="s">
        <v>15541</v>
      </c>
      <c r="L7821" t="s">
        <v>27250</v>
      </c>
      <c r="M7821" t="s">
        <v>27251</v>
      </c>
      <c r="N7821" t="s">
        <v>27252</v>
      </c>
      <c r="Q7821" s="1">
        <v>44538</v>
      </c>
      <c r="R7821" t="s">
        <v>27253</v>
      </c>
      <c r="S7821" t="s">
        <v>27254</v>
      </c>
      <c r="T7821" t="s">
        <v>27255</v>
      </c>
    </row>
    <row r="7822" spans="1:20" x14ac:dyDescent="0.3">
      <c r="A7822" t="str">
        <f>"0611839702100"</f>
        <v>0611839702100</v>
      </c>
      <c r="B7822" t="str">
        <f>"LK6087"</f>
        <v>LK6087</v>
      </c>
      <c r="C7822" t="s">
        <v>42411</v>
      </c>
      <c r="D7822" t="s">
        <v>27245</v>
      </c>
      <c r="E7822" t="str">
        <f t="shared" si="122"/>
        <v>001390</v>
      </c>
      <c r="F7822" t="s">
        <v>27246</v>
      </c>
      <c r="G7822" t="s">
        <v>27247</v>
      </c>
      <c r="H7822" t="s">
        <v>27248</v>
      </c>
      <c r="I7822" t="s">
        <v>42412</v>
      </c>
      <c r="J7822" t="s">
        <v>15543</v>
      </c>
      <c r="L7822" t="s">
        <v>27250</v>
      </c>
      <c r="M7822" t="s">
        <v>27251</v>
      </c>
      <c r="N7822" t="s">
        <v>27252</v>
      </c>
      <c r="Q7822" s="1">
        <v>44538</v>
      </c>
      <c r="R7822" t="s">
        <v>27253</v>
      </c>
      <c r="S7822" t="s">
        <v>27254</v>
      </c>
      <c r="T7822" t="s">
        <v>27255</v>
      </c>
    </row>
    <row r="7823" spans="1:20" x14ac:dyDescent="0.3">
      <c r="A7823" t="str">
        <f>"0611839703100"</f>
        <v>0611839703100</v>
      </c>
      <c r="B7823" t="str">
        <f>"LK6394"</f>
        <v>LK6394</v>
      </c>
      <c r="C7823" t="s">
        <v>42413</v>
      </c>
      <c r="D7823" t="s">
        <v>27245</v>
      </c>
      <c r="E7823" t="str">
        <f t="shared" si="122"/>
        <v>001390</v>
      </c>
      <c r="F7823" t="s">
        <v>27246</v>
      </c>
      <c r="G7823" t="s">
        <v>27247</v>
      </c>
      <c r="H7823" t="s">
        <v>27248</v>
      </c>
      <c r="I7823" t="s">
        <v>42414</v>
      </c>
      <c r="J7823" t="s">
        <v>15545</v>
      </c>
      <c r="L7823" t="s">
        <v>27250</v>
      </c>
      <c r="M7823" t="s">
        <v>27251</v>
      </c>
      <c r="N7823" t="s">
        <v>27252</v>
      </c>
      <c r="Q7823" s="1">
        <v>44538</v>
      </c>
      <c r="R7823" t="s">
        <v>27253</v>
      </c>
      <c r="S7823" t="s">
        <v>27254</v>
      </c>
      <c r="T7823" t="s">
        <v>27255</v>
      </c>
    </row>
    <row r="7824" spans="1:20" x14ac:dyDescent="0.3">
      <c r="A7824" t="str">
        <f>"0611839704100"</f>
        <v>0611839704100</v>
      </c>
      <c r="B7824" t="str">
        <f>"LK7015"</f>
        <v>LK7015</v>
      </c>
      <c r="C7824" t="s">
        <v>42415</v>
      </c>
      <c r="D7824" t="s">
        <v>27245</v>
      </c>
      <c r="E7824" t="str">
        <f t="shared" si="122"/>
        <v>001390</v>
      </c>
      <c r="F7824" t="s">
        <v>27246</v>
      </c>
      <c r="G7824" t="s">
        <v>27247</v>
      </c>
      <c r="H7824" t="s">
        <v>27248</v>
      </c>
      <c r="I7824" t="s">
        <v>42416</v>
      </c>
      <c r="J7824" t="s">
        <v>15547</v>
      </c>
      <c r="L7824" t="s">
        <v>27250</v>
      </c>
      <c r="M7824" t="s">
        <v>27251</v>
      </c>
      <c r="N7824" t="s">
        <v>27252</v>
      </c>
      <c r="Q7824" s="1">
        <v>44538</v>
      </c>
      <c r="R7824" t="s">
        <v>27253</v>
      </c>
      <c r="S7824" t="s">
        <v>27254</v>
      </c>
      <c r="T7824" t="s">
        <v>27255</v>
      </c>
    </row>
    <row r="7825" spans="1:20" x14ac:dyDescent="0.3">
      <c r="A7825" t="str">
        <f>"0611839705100"</f>
        <v>0611839705100</v>
      </c>
      <c r="B7825" t="str">
        <f>"LK7014"</f>
        <v>LK7014</v>
      </c>
      <c r="C7825" t="s">
        <v>42417</v>
      </c>
      <c r="D7825" t="s">
        <v>27245</v>
      </c>
      <c r="E7825" t="str">
        <f t="shared" si="122"/>
        <v>001390</v>
      </c>
      <c r="F7825" t="s">
        <v>27246</v>
      </c>
      <c r="G7825" t="s">
        <v>27247</v>
      </c>
      <c r="H7825" t="s">
        <v>27248</v>
      </c>
      <c r="I7825" t="s">
        <v>42418</v>
      </c>
      <c r="J7825" t="s">
        <v>15549</v>
      </c>
      <c r="L7825" t="s">
        <v>27250</v>
      </c>
      <c r="M7825" t="s">
        <v>27251</v>
      </c>
      <c r="N7825" t="s">
        <v>27252</v>
      </c>
      <c r="Q7825" s="1">
        <v>44538</v>
      </c>
      <c r="R7825" t="s">
        <v>27253</v>
      </c>
      <c r="S7825" t="s">
        <v>27254</v>
      </c>
      <c r="T7825" t="s">
        <v>27255</v>
      </c>
    </row>
    <row r="7826" spans="1:20" x14ac:dyDescent="0.3">
      <c r="A7826" t="str">
        <f>"0611839706100"</f>
        <v>0611839706100</v>
      </c>
      <c r="B7826" t="str">
        <f>"LK6395"</f>
        <v>LK6395</v>
      </c>
      <c r="C7826" t="s">
        <v>42419</v>
      </c>
      <c r="D7826" t="s">
        <v>27245</v>
      </c>
      <c r="E7826" t="str">
        <f t="shared" si="122"/>
        <v>001390</v>
      </c>
      <c r="F7826" t="s">
        <v>27246</v>
      </c>
      <c r="G7826" t="s">
        <v>27247</v>
      </c>
      <c r="H7826" t="s">
        <v>27248</v>
      </c>
      <c r="I7826" t="s">
        <v>42420</v>
      </c>
      <c r="J7826" t="s">
        <v>15551</v>
      </c>
      <c r="L7826" t="s">
        <v>27250</v>
      </c>
      <c r="M7826" t="s">
        <v>27251</v>
      </c>
      <c r="N7826" t="s">
        <v>27252</v>
      </c>
      <c r="Q7826" s="1">
        <v>44538</v>
      </c>
      <c r="R7826" t="s">
        <v>27253</v>
      </c>
      <c r="S7826" t="s">
        <v>27254</v>
      </c>
      <c r="T7826" t="s">
        <v>27255</v>
      </c>
    </row>
    <row r="7827" spans="1:20" x14ac:dyDescent="0.3">
      <c r="A7827" t="str">
        <f>"0611839707100"</f>
        <v>0611839707100</v>
      </c>
      <c r="B7827" t="str">
        <f>"LK6396"</f>
        <v>LK6396</v>
      </c>
      <c r="C7827" t="s">
        <v>42421</v>
      </c>
      <c r="D7827" t="s">
        <v>27245</v>
      </c>
      <c r="E7827" t="str">
        <f t="shared" si="122"/>
        <v>001390</v>
      </c>
      <c r="F7827" t="s">
        <v>27246</v>
      </c>
      <c r="G7827" t="s">
        <v>27247</v>
      </c>
      <c r="H7827" t="s">
        <v>27248</v>
      </c>
      <c r="I7827" t="s">
        <v>42422</v>
      </c>
      <c r="J7827" t="s">
        <v>15553</v>
      </c>
      <c r="L7827" t="s">
        <v>27250</v>
      </c>
      <c r="M7827" t="s">
        <v>27251</v>
      </c>
      <c r="N7827" t="s">
        <v>27252</v>
      </c>
      <c r="Q7827" s="1">
        <v>44538</v>
      </c>
      <c r="R7827" t="s">
        <v>27253</v>
      </c>
      <c r="S7827" t="s">
        <v>27254</v>
      </c>
      <c r="T7827" t="s">
        <v>27255</v>
      </c>
    </row>
    <row r="7828" spans="1:20" x14ac:dyDescent="0.3">
      <c r="A7828" t="str">
        <f>"0611839708100"</f>
        <v>0611839708100</v>
      </c>
      <c r="B7828" t="str">
        <f>"LK6397"</f>
        <v>LK6397</v>
      </c>
      <c r="C7828" t="s">
        <v>42423</v>
      </c>
      <c r="D7828" t="s">
        <v>27245</v>
      </c>
      <c r="E7828" t="str">
        <f t="shared" si="122"/>
        <v>001390</v>
      </c>
      <c r="F7828" t="s">
        <v>27246</v>
      </c>
      <c r="G7828" t="s">
        <v>27247</v>
      </c>
      <c r="H7828" t="s">
        <v>27248</v>
      </c>
      <c r="I7828" t="s">
        <v>42424</v>
      </c>
      <c r="J7828" t="s">
        <v>15555</v>
      </c>
      <c r="L7828" t="s">
        <v>27250</v>
      </c>
      <c r="M7828" t="s">
        <v>27251</v>
      </c>
      <c r="N7828" t="s">
        <v>27252</v>
      </c>
      <c r="Q7828" s="1">
        <v>44538</v>
      </c>
      <c r="R7828" t="s">
        <v>27253</v>
      </c>
      <c r="S7828" t="s">
        <v>27254</v>
      </c>
      <c r="T7828" t="s">
        <v>27255</v>
      </c>
    </row>
    <row r="7829" spans="1:20" x14ac:dyDescent="0.3">
      <c r="A7829" t="str">
        <f>"0611839709100"</f>
        <v>0611839709100</v>
      </c>
      <c r="B7829" t="str">
        <f>"LK6398"</f>
        <v>LK6398</v>
      </c>
      <c r="C7829" t="s">
        <v>42425</v>
      </c>
      <c r="D7829" t="s">
        <v>27245</v>
      </c>
      <c r="E7829" t="str">
        <f t="shared" si="122"/>
        <v>001390</v>
      </c>
      <c r="F7829" t="s">
        <v>27246</v>
      </c>
      <c r="G7829" t="s">
        <v>27247</v>
      </c>
      <c r="H7829" t="s">
        <v>27248</v>
      </c>
      <c r="I7829" t="s">
        <v>42426</v>
      </c>
      <c r="J7829" t="s">
        <v>15557</v>
      </c>
      <c r="L7829" t="s">
        <v>27250</v>
      </c>
      <c r="M7829" t="s">
        <v>27251</v>
      </c>
      <c r="N7829" t="s">
        <v>27252</v>
      </c>
      <c r="Q7829" s="1">
        <v>44538</v>
      </c>
      <c r="R7829" t="s">
        <v>27253</v>
      </c>
      <c r="S7829" t="s">
        <v>27254</v>
      </c>
      <c r="T7829" t="s">
        <v>27255</v>
      </c>
    </row>
    <row r="7830" spans="1:20" x14ac:dyDescent="0.3">
      <c r="A7830" t="str">
        <f>"0611839710100"</f>
        <v>0611839710100</v>
      </c>
      <c r="B7830" t="str">
        <f>"LK6399"</f>
        <v>LK6399</v>
      </c>
      <c r="C7830" t="s">
        <v>42427</v>
      </c>
      <c r="D7830" t="s">
        <v>27245</v>
      </c>
      <c r="E7830" t="str">
        <f t="shared" si="122"/>
        <v>001390</v>
      </c>
      <c r="F7830" t="s">
        <v>27246</v>
      </c>
      <c r="G7830" t="s">
        <v>27247</v>
      </c>
      <c r="H7830" t="s">
        <v>27248</v>
      </c>
      <c r="I7830" t="s">
        <v>42428</v>
      </c>
      <c r="J7830" t="s">
        <v>15559</v>
      </c>
      <c r="L7830" t="s">
        <v>27250</v>
      </c>
      <c r="M7830" t="s">
        <v>27251</v>
      </c>
      <c r="N7830" t="s">
        <v>27252</v>
      </c>
      <c r="Q7830" s="1">
        <v>44538</v>
      </c>
      <c r="R7830" t="s">
        <v>27253</v>
      </c>
      <c r="S7830" t="s">
        <v>27254</v>
      </c>
      <c r="T7830" t="s">
        <v>27255</v>
      </c>
    </row>
    <row r="7831" spans="1:20" x14ac:dyDescent="0.3">
      <c r="A7831" t="str">
        <f>"0611839711100"</f>
        <v>0611839711100</v>
      </c>
      <c r="B7831" t="str">
        <f>"LK6336"</f>
        <v>LK6336</v>
      </c>
      <c r="C7831" t="s">
        <v>42429</v>
      </c>
      <c r="D7831" t="s">
        <v>27245</v>
      </c>
      <c r="E7831" t="str">
        <f t="shared" si="122"/>
        <v>001390</v>
      </c>
      <c r="F7831" t="s">
        <v>27246</v>
      </c>
      <c r="G7831" t="s">
        <v>27247</v>
      </c>
      <c r="H7831" t="s">
        <v>27248</v>
      </c>
      <c r="I7831" t="s">
        <v>42430</v>
      </c>
      <c r="J7831" t="s">
        <v>15561</v>
      </c>
      <c r="L7831" t="s">
        <v>27250</v>
      </c>
      <c r="M7831" t="s">
        <v>27251</v>
      </c>
      <c r="N7831" t="s">
        <v>27252</v>
      </c>
      <c r="Q7831" s="1">
        <v>44538</v>
      </c>
      <c r="R7831" t="s">
        <v>27253</v>
      </c>
      <c r="S7831" t="s">
        <v>27254</v>
      </c>
      <c r="T7831" t="s">
        <v>27255</v>
      </c>
    </row>
    <row r="7832" spans="1:20" x14ac:dyDescent="0.3">
      <c r="A7832" t="str">
        <f>"0611839712100"</f>
        <v>0611839712100</v>
      </c>
      <c r="B7832" t="str">
        <f>"LK6400"</f>
        <v>LK6400</v>
      </c>
      <c r="C7832" t="s">
        <v>42431</v>
      </c>
      <c r="D7832" t="s">
        <v>27245</v>
      </c>
      <c r="E7832" t="str">
        <f t="shared" si="122"/>
        <v>001390</v>
      </c>
      <c r="F7832" t="s">
        <v>27246</v>
      </c>
      <c r="G7832" t="s">
        <v>27247</v>
      </c>
      <c r="H7832" t="s">
        <v>27248</v>
      </c>
      <c r="I7832" t="s">
        <v>42432</v>
      </c>
      <c r="J7832" t="s">
        <v>15563</v>
      </c>
      <c r="L7832" t="s">
        <v>27250</v>
      </c>
      <c r="M7832" t="s">
        <v>27251</v>
      </c>
      <c r="N7832" t="s">
        <v>27252</v>
      </c>
      <c r="Q7832" s="1">
        <v>44538</v>
      </c>
      <c r="R7832" t="s">
        <v>27253</v>
      </c>
      <c r="S7832" t="s">
        <v>27254</v>
      </c>
      <c r="T7832" t="s">
        <v>27255</v>
      </c>
    </row>
    <row r="7833" spans="1:20" x14ac:dyDescent="0.3">
      <c r="A7833" t="str">
        <f>"0611839713100"</f>
        <v>0611839713100</v>
      </c>
      <c r="B7833" t="str">
        <f>"LK6401"</f>
        <v>LK6401</v>
      </c>
      <c r="C7833" t="s">
        <v>42433</v>
      </c>
      <c r="D7833" t="s">
        <v>27245</v>
      </c>
      <c r="E7833" t="str">
        <f t="shared" si="122"/>
        <v>001390</v>
      </c>
      <c r="F7833" t="s">
        <v>27246</v>
      </c>
      <c r="G7833" t="s">
        <v>27247</v>
      </c>
      <c r="H7833" t="s">
        <v>27248</v>
      </c>
      <c r="I7833" t="s">
        <v>42434</v>
      </c>
      <c r="J7833" t="s">
        <v>15565</v>
      </c>
      <c r="L7833" t="s">
        <v>27250</v>
      </c>
      <c r="M7833" t="s">
        <v>27251</v>
      </c>
      <c r="N7833" t="s">
        <v>27252</v>
      </c>
      <c r="Q7833" s="1">
        <v>44538</v>
      </c>
      <c r="R7833" t="s">
        <v>27253</v>
      </c>
      <c r="S7833" t="s">
        <v>27254</v>
      </c>
      <c r="T7833" t="s">
        <v>27255</v>
      </c>
    </row>
    <row r="7834" spans="1:20" x14ac:dyDescent="0.3">
      <c r="A7834" t="str">
        <f>"0611839714100"</f>
        <v>0611839714100</v>
      </c>
      <c r="B7834" t="str">
        <f>"LB4795"</f>
        <v>LB4795</v>
      </c>
      <c r="C7834" t="s">
        <v>42435</v>
      </c>
      <c r="D7834" t="s">
        <v>27245</v>
      </c>
      <c r="E7834" t="str">
        <f t="shared" si="122"/>
        <v>001390</v>
      </c>
      <c r="F7834" t="s">
        <v>27246</v>
      </c>
      <c r="G7834" t="s">
        <v>27247</v>
      </c>
      <c r="H7834" t="s">
        <v>27248</v>
      </c>
      <c r="I7834" t="s">
        <v>42436</v>
      </c>
      <c r="J7834" t="s">
        <v>15567</v>
      </c>
      <c r="L7834" t="s">
        <v>27250</v>
      </c>
      <c r="M7834" t="s">
        <v>27251</v>
      </c>
      <c r="N7834" t="s">
        <v>27252</v>
      </c>
      <c r="Q7834" s="1">
        <v>44538</v>
      </c>
      <c r="R7834" t="s">
        <v>27253</v>
      </c>
      <c r="S7834" t="s">
        <v>27254</v>
      </c>
      <c r="T7834" t="s">
        <v>27255</v>
      </c>
    </row>
    <row r="7835" spans="1:20" x14ac:dyDescent="0.3">
      <c r="A7835" t="str">
        <f>"0611839715100"</f>
        <v>0611839715100</v>
      </c>
      <c r="B7835" t="str">
        <f>"LK3873"</f>
        <v>LK3873</v>
      </c>
      <c r="C7835" t="s">
        <v>42437</v>
      </c>
      <c r="D7835" t="s">
        <v>27245</v>
      </c>
      <c r="E7835" t="str">
        <f t="shared" si="122"/>
        <v>001390</v>
      </c>
      <c r="F7835" t="s">
        <v>27246</v>
      </c>
      <c r="G7835" t="s">
        <v>27247</v>
      </c>
      <c r="H7835" t="s">
        <v>27248</v>
      </c>
      <c r="I7835" t="s">
        <v>42438</v>
      </c>
      <c r="J7835" t="s">
        <v>15569</v>
      </c>
      <c r="L7835" t="s">
        <v>27250</v>
      </c>
      <c r="M7835" t="s">
        <v>27251</v>
      </c>
      <c r="N7835" t="s">
        <v>27252</v>
      </c>
      <c r="Q7835" s="1">
        <v>44538</v>
      </c>
      <c r="R7835" t="s">
        <v>27253</v>
      </c>
      <c r="S7835" t="s">
        <v>27254</v>
      </c>
      <c r="T7835" t="s">
        <v>27255</v>
      </c>
    </row>
    <row r="7836" spans="1:20" x14ac:dyDescent="0.3">
      <c r="A7836" t="str">
        <f>"0611839716100"</f>
        <v>0611839716100</v>
      </c>
      <c r="B7836" t="str">
        <f>"LK4423"</f>
        <v>LK4423</v>
      </c>
      <c r="C7836" t="s">
        <v>42439</v>
      </c>
      <c r="D7836" t="s">
        <v>27245</v>
      </c>
      <c r="E7836" t="str">
        <f t="shared" si="122"/>
        <v>001390</v>
      </c>
      <c r="F7836" t="s">
        <v>27246</v>
      </c>
      <c r="G7836" t="s">
        <v>27247</v>
      </c>
      <c r="H7836" t="s">
        <v>27248</v>
      </c>
      <c r="I7836" t="s">
        <v>42440</v>
      </c>
      <c r="J7836" t="s">
        <v>15571</v>
      </c>
      <c r="L7836" t="s">
        <v>27250</v>
      </c>
      <c r="M7836" t="s">
        <v>27251</v>
      </c>
      <c r="N7836" t="s">
        <v>27252</v>
      </c>
      <c r="Q7836" s="1">
        <v>44538</v>
      </c>
      <c r="R7836" t="s">
        <v>27253</v>
      </c>
      <c r="S7836" t="s">
        <v>27254</v>
      </c>
      <c r="T7836" t="s">
        <v>27255</v>
      </c>
    </row>
    <row r="7837" spans="1:20" x14ac:dyDescent="0.3">
      <c r="A7837" t="str">
        <f>"0611839717100"</f>
        <v>0611839717100</v>
      </c>
      <c r="B7837" t="str">
        <f>"LK4408"</f>
        <v>LK4408</v>
      </c>
      <c r="C7837" t="s">
        <v>42441</v>
      </c>
      <c r="D7837" t="s">
        <v>27245</v>
      </c>
      <c r="E7837" t="str">
        <f t="shared" si="122"/>
        <v>001390</v>
      </c>
      <c r="F7837" t="s">
        <v>27246</v>
      </c>
      <c r="G7837" t="s">
        <v>27247</v>
      </c>
      <c r="H7837" t="s">
        <v>27248</v>
      </c>
      <c r="I7837" t="s">
        <v>42442</v>
      </c>
      <c r="J7837" t="s">
        <v>15573</v>
      </c>
      <c r="L7837" t="s">
        <v>27250</v>
      </c>
      <c r="M7837" t="s">
        <v>27251</v>
      </c>
      <c r="N7837" t="s">
        <v>27252</v>
      </c>
      <c r="Q7837" s="1">
        <v>44538</v>
      </c>
      <c r="R7837" t="s">
        <v>27253</v>
      </c>
      <c r="S7837" t="s">
        <v>27254</v>
      </c>
      <c r="T7837" t="s">
        <v>27255</v>
      </c>
    </row>
    <row r="7838" spans="1:20" x14ac:dyDescent="0.3">
      <c r="A7838" t="str">
        <f>"0611839718100"</f>
        <v>0611839718100</v>
      </c>
      <c r="B7838" t="str">
        <f>"LK3874"</f>
        <v>LK3874</v>
      </c>
      <c r="C7838" t="s">
        <v>42443</v>
      </c>
      <c r="D7838" t="s">
        <v>27245</v>
      </c>
      <c r="E7838" t="str">
        <f t="shared" si="122"/>
        <v>001390</v>
      </c>
      <c r="F7838" t="s">
        <v>27246</v>
      </c>
      <c r="G7838" t="s">
        <v>27247</v>
      </c>
      <c r="H7838" t="s">
        <v>27248</v>
      </c>
      <c r="I7838" t="s">
        <v>42444</v>
      </c>
      <c r="J7838" t="s">
        <v>15575</v>
      </c>
      <c r="L7838" t="s">
        <v>27250</v>
      </c>
      <c r="M7838" t="s">
        <v>27251</v>
      </c>
      <c r="N7838" t="s">
        <v>27252</v>
      </c>
      <c r="Q7838" s="1">
        <v>44538</v>
      </c>
      <c r="R7838" t="s">
        <v>27253</v>
      </c>
      <c r="S7838" t="s">
        <v>27254</v>
      </c>
      <c r="T7838" t="s">
        <v>27255</v>
      </c>
    </row>
    <row r="7839" spans="1:20" x14ac:dyDescent="0.3">
      <c r="A7839" t="str">
        <f>"0611839719100"</f>
        <v>0611839719100</v>
      </c>
      <c r="B7839" t="str">
        <f>"LK4409"</f>
        <v>LK4409</v>
      </c>
      <c r="C7839" t="s">
        <v>42445</v>
      </c>
      <c r="D7839" t="s">
        <v>27245</v>
      </c>
      <c r="E7839" t="str">
        <f t="shared" si="122"/>
        <v>001390</v>
      </c>
      <c r="F7839" t="s">
        <v>27246</v>
      </c>
      <c r="G7839" t="s">
        <v>27247</v>
      </c>
      <c r="H7839" t="s">
        <v>27248</v>
      </c>
      <c r="I7839" t="s">
        <v>42446</v>
      </c>
      <c r="J7839" t="s">
        <v>15577</v>
      </c>
      <c r="L7839" t="s">
        <v>27250</v>
      </c>
      <c r="M7839" t="s">
        <v>27251</v>
      </c>
      <c r="N7839" t="s">
        <v>27252</v>
      </c>
      <c r="Q7839" s="1">
        <v>44538</v>
      </c>
      <c r="R7839" t="s">
        <v>27253</v>
      </c>
      <c r="S7839" t="s">
        <v>27254</v>
      </c>
      <c r="T7839" t="s">
        <v>27255</v>
      </c>
    </row>
    <row r="7840" spans="1:20" x14ac:dyDescent="0.3">
      <c r="A7840" t="str">
        <f>"0611839720100"</f>
        <v>0611839720100</v>
      </c>
      <c r="B7840" t="str">
        <f>"LB5036"</f>
        <v>LB5036</v>
      </c>
      <c r="C7840" t="s">
        <v>42447</v>
      </c>
      <c r="D7840" t="s">
        <v>27245</v>
      </c>
      <c r="E7840" t="str">
        <f t="shared" si="122"/>
        <v>001390</v>
      </c>
      <c r="F7840" t="s">
        <v>27246</v>
      </c>
      <c r="G7840" t="s">
        <v>27247</v>
      </c>
      <c r="H7840" t="s">
        <v>27248</v>
      </c>
      <c r="I7840" t="s">
        <v>42448</v>
      </c>
      <c r="J7840" t="s">
        <v>15579</v>
      </c>
      <c r="L7840" t="s">
        <v>27250</v>
      </c>
      <c r="M7840" t="s">
        <v>27251</v>
      </c>
      <c r="N7840" t="s">
        <v>27252</v>
      </c>
      <c r="Q7840" s="1">
        <v>44538</v>
      </c>
      <c r="R7840" t="s">
        <v>27253</v>
      </c>
      <c r="S7840" t="s">
        <v>27254</v>
      </c>
      <c r="T7840" t="s">
        <v>27255</v>
      </c>
    </row>
    <row r="7841" spans="1:20" x14ac:dyDescent="0.3">
      <c r="A7841" t="str">
        <f>"0611839721100"</f>
        <v>0611839721100</v>
      </c>
      <c r="B7841" t="str">
        <f>"LB5380"</f>
        <v>LB5380</v>
      </c>
      <c r="C7841" t="s">
        <v>42449</v>
      </c>
      <c r="D7841" t="s">
        <v>27245</v>
      </c>
      <c r="E7841" t="str">
        <f t="shared" si="122"/>
        <v>001390</v>
      </c>
      <c r="F7841" t="s">
        <v>27246</v>
      </c>
      <c r="G7841" t="s">
        <v>27247</v>
      </c>
      <c r="H7841" t="s">
        <v>27248</v>
      </c>
      <c r="I7841" t="s">
        <v>42450</v>
      </c>
      <c r="J7841" t="s">
        <v>15581</v>
      </c>
      <c r="L7841" t="s">
        <v>27250</v>
      </c>
      <c r="M7841" t="s">
        <v>27251</v>
      </c>
      <c r="N7841" t="s">
        <v>27252</v>
      </c>
      <c r="Q7841" s="1">
        <v>44538</v>
      </c>
      <c r="R7841" t="s">
        <v>27253</v>
      </c>
      <c r="S7841" t="s">
        <v>27254</v>
      </c>
      <c r="T7841" t="s">
        <v>27255</v>
      </c>
    </row>
    <row r="7842" spans="1:20" x14ac:dyDescent="0.3">
      <c r="A7842" t="str">
        <f>"0611839723100"</f>
        <v>0611839723100</v>
      </c>
      <c r="B7842" t="str">
        <f>"LK3399"</f>
        <v>LK3399</v>
      </c>
      <c r="C7842" t="s">
        <v>42451</v>
      </c>
      <c r="D7842" t="s">
        <v>27245</v>
      </c>
      <c r="E7842" t="str">
        <f t="shared" si="122"/>
        <v>001390</v>
      </c>
      <c r="F7842" t="s">
        <v>27246</v>
      </c>
      <c r="G7842" t="s">
        <v>27247</v>
      </c>
      <c r="H7842" t="s">
        <v>27248</v>
      </c>
      <c r="I7842" t="s">
        <v>42452</v>
      </c>
      <c r="J7842" t="s">
        <v>15583</v>
      </c>
      <c r="L7842" t="s">
        <v>27250</v>
      </c>
      <c r="M7842" t="s">
        <v>27251</v>
      </c>
      <c r="N7842" t="s">
        <v>27252</v>
      </c>
      <c r="Q7842" s="1">
        <v>44538</v>
      </c>
      <c r="R7842" t="s">
        <v>27253</v>
      </c>
      <c r="S7842" t="s">
        <v>27254</v>
      </c>
      <c r="T7842" t="s">
        <v>27255</v>
      </c>
    </row>
    <row r="7843" spans="1:20" x14ac:dyDescent="0.3">
      <c r="A7843" t="str">
        <f>"0611839724100"</f>
        <v>0611839724100</v>
      </c>
      <c r="B7843" t="str">
        <f>"LS0079"</f>
        <v>LS0079</v>
      </c>
      <c r="C7843" t="s">
        <v>42453</v>
      </c>
      <c r="D7843" t="s">
        <v>27245</v>
      </c>
      <c r="E7843" t="str">
        <f t="shared" si="122"/>
        <v>001390</v>
      </c>
      <c r="F7843" t="s">
        <v>27246</v>
      </c>
      <c r="G7843" t="s">
        <v>27247</v>
      </c>
      <c r="H7843" t="s">
        <v>27248</v>
      </c>
      <c r="I7843" t="s">
        <v>42454</v>
      </c>
      <c r="J7843" t="s">
        <v>15585</v>
      </c>
      <c r="L7843" t="s">
        <v>27250</v>
      </c>
      <c r="M7843" t="s">
        <v>27251</v>
      </c>
      <c r="N7843" t="s">
        <v>27252</v>
      </c>
      <c r="Q7843" s="1">
        <v>44538</v>
      </c>
      <c r="R7843" t="s">
        <v>27253</v>
      </c>
      <c r="S7843" t="s">
        <v>27254</v>
      </c>
      <c r="T7843" t="s">
        <v>27255</v>
      </c>
    </row>
    <row r="7844" spans="1:20" x14ac:dyDescent="0.3">
      <c r="A7844" t="str">
        <f>"0611839725100"</f>
        <v>0611839725100</v>
      </c>
      <c r="B7844" t="str">
        <f>"LS0085"</f>
        <v>LS0085</v>
      </c>
      <c r="C7844" t="s">
        <v>42455</v>
      </c>
      <c r="D7844" t="s">
        <v>27245</v>
      </c>
      <c r="E7844" t="str">
        <f t="shared" si="122"/>
        <v>001390</v>
      </c>
      <c r="F7844" t="s">
        <v>27246</v>
      </c>
      <c r="G7844" t="s">
        <v>27247</v>
      </c>
      <c r="H7844" t="s">
        <v>27248</v>
      </c>
      <c r="I7844" t="s">
        <v>42456</v>
      </c>
      <c r="J7844" t="s">
        <v>15589</v>
      </c>
      <c r="L7844" t="s">
        <v>27250</v>
      </c>
      <c r="M7844" t="s">
        <v>27251</v>
      </c>
      <c r="N7844" t="s">
        <v>27252</v>
      </c>
      <c r="Q7844" s="1">
        <v>44538</v>
      </c>
      <c r="R7844" t="s">
        <v>27253</v>
      </c>
      <c r="S7844" t="s">
        <v>27254</v>
      </c>
      <c r="T7844" t="s">
        <v>27255</v>
      </c>
    </row>
    <row r="7845" spans="1:20" x14ac:dyDescent="0.3">
      <c r="A7845" t="str">
        <f>"0611839727100"</f>
        <v>0611839727100</v>
      </c>
      <c r="B7845" t="str">
        <f>"LB5358"</f>
        <v>LB5358</v>
      </c>
      <c r="C7845" t="s">
        <v>42457</v>
      </c>
      <c r="D7845" t="s">
        <v>27245</v>
      </c>
      <c r="E7845" t="str">
        <f t="shared" si="122"/>
        <v>001390</v>
      </c>
      <c r="F7845" t="s">
        <v>27246</v>
      </c>
      <c r="G7845" t="s">
        <v>27247</v>
      </c>
      <c r="H7845" t="s">
        <v>27248</v>
      </c>
      <c r="I7845" t="s">
        <v>42458</v>
      </c>
      <c r="J7845" t="s">
        <v>15587</v>
      </c>
      <c r="L7845" t="s">
        <v>27250</v>
      </c>
      <c r="M7845" t="s">
        <v>27251</v>
      </c>
      <c r="N7845" t="s">
        <v>27252</v>
      </c>
      <c r="Q7845" s="1">
        <v>44538</v>
      </c>
      <c r="R7845" t="s">
        <v>27253</v>
      </c>
      <c r="S7845" t="s">
        <v>27254</v>
      </c>
      <c r="T7845" t="s">
        <v>27255</v>
      </c>
    </row>
    <row r="7846" spans="1:20" x14ac:dyDescent="0.3">
      <c r="A7846" t="str">
        <f>"0611839728100"</f>
        <v>0611839728100</v>
      </c>
      <c r="B7846" t="str">
        <f>"LK7016"</f>
        <v>LK7016</v>
      </c>
      <c r="C7846" t="s">
        <v>42459</v>
      </c>
      <c r="D7846" t="s">
        <v>28138</v>
      </c>
      <c r="E7846" t="str">
        <f t="shared" si="122"/>
        <v>001390</v>
      </c>
      <c r="F7846" t="s">
        <v>27246</v>
      </c>
      <c r="G7846" t="s">
        <v>27247</v>
      </c>
      <c r="H7846" t="s">
        <v>27248</v>
      </c>
      <c r="I7846" t="s">
        <v>42460</v>
      </c>
      <c r="J7846" t="s">
        <v>15591</v>
      </c>
      <c r="L7846" t="s">
        <v>27250</v>
      </c>
      <c r="M7846" t="s">
        <v>27251</v>
      </c>
      <c r="N7846" t="s">
        <v>27252</v>
      </c>
      <c r="P7846" t="s">
        <v>27925</v>
      </c>
      <c r="Q7846" s="1">
        <v>44538</v>
      </c>
      <c r="R7846" t="s">
        <v>27253</v>
      </c>
      <c r="S7846" t="s">
        <v>27254</v>
      </c>
      <c r="T7846" t="s">
        <v>27255</v>
      </c>
    </row>
    <row r="7847" spans="1:20" x14ac:dyDescent="0.3">
      <c r="A7847" t="str">
        <f>"0611839729100"</f>
        <v>0611839729100</v>
      </c>
      <c r="B7847" t="str">
        <f>"LB5346"</f>
        <v>LB5346</v>
      </c>
      <c r="C7847" t="s">
        <v>42461</v>
      </c>
      <c r="D7847" t="s">
        <v>28138</v>
      </c>
      <c r="E7847" t="str">
        <f t="shared" si="122"/>
        <v>001390</v>
      </c>
      <c r="F7847" t="s">
        <v>27246</v>
      </c>
      <c r="G7847" t="s">
        <v>27247</v>
      </c>
      <c r="H7847" t="s">
        <v>27248</v>
      </c>
      <c r="I7847" t="s">
        <v>42462</v>
      </c>
      <c r="J7847" t="s">
        <v>15593</v>
      </c>
      <c r="L7847" t="s">
        <v>27250</v>
      </c>
      <c r="M7847" t="s">
        <v>27251</v>
      </c>
      <c r="N7847" t="s">
        <v>27252</v>
      </c>
      <c r="P7847" t="s">
        <v>27925</v>
      </c>
      <c r="Q7847" s="1">
        <v>44538</v>
      </c>
      <c r="R7847" t="s">
        <v>27253</v>
      </c>
      <c r="S7847" t="s">
        <v>27254</v>
      </c>
      <c r="T7847" t="s">
        <v>27255</v>
      </c>
    </row>
    <row r="7848" spans="1:20" x14ac:dyDescent="0.3">
      <c r="A7848" t="str">
        <f>"0611839730100"</f>
        <v>0611839730100</v>
      </c>
      <c r="B7848" t="str">
        <f>"LB5341"</f>
        <v>LB5341</v>
      </c>
      <c r="C7848" t="s">
        <v>42463</v>
      </c>
      <c r="D7848" t="s">
        <v>28138</v>
      </c>
      <c r="E7848" t="str">
        <f t="shared" si="122"/>
        <v>001390</v>
      </c>
      <c r="F7848" t="s">
        <v>27246</v>
      </c>
      <c r="G7848" t="s">
        <v>27247</v>
      </c>
      <c r="H7848" t="s">
        <v>27248</v>
      </c>
      <c r="I7848" t="s">
        <v>42464</v>
      </c>
      <c r="J7848" t="s">
        <v>15595</v>
      </c>
      <c r="L7848" t="s">
        <v>27250</v>
      </c>
      <c r="M7848" t="s">
        <v>27251</v>
      </c>
      <c r="N7848" t="s">
        <v>27252</v>
      </c>
      <c r="P7848" t="s">
        <v>27925</v>
      </c>
      <c r="Q7848" s="1">
        <v>44538</v>
      </c>
      <c r="R7848" t="s">
        <v>27253</v>
      </c>
      <c r="S7848" t="s">
        <v>27254</v>
      </c>
      <c r="T7848" t="s">
        <v>27255</v>
      </c>
    </row>
    <row r="7849" spans="1:20" x14ac:dyDescent="0.3">
      <c r="A7849" t="str">
        <f>"0611839731100"</f>
        <v>0611839731100</v>
      </c>
      <c r="B7849" t="str">
        <f>"LB5342"</f>
        <v>LB5342</v>
      </c>
      <c r="C7849" t="s">
        <v>42465</v>
      </c>
      <c r="D7849" t="s">
        <v>28138</v>
      </c>
      <c r="E7849" t="str">
        <f t="shared" si="122"/>
        <v>001390</v>
      </c>
      <c r="F7849" t="s">
        <v>27246</v>
      </c>
      <c r="G7849" t="s">
        <v>27247</v>
      </c>
      <c r="H7849" t="s">
        <v>27248</v>
      </c>
      <c r="I7849" t="s">
        <v>42466</v>
      </c>
      <c r="J7849" t="s">
        <v>15597</v>
      </c>
      <c r="L7849" t="s">
        <v>27250</v>
      </c>
      <c r="M7849" t="s">
        <v>27251</v>
      </c>
      <c r="N7849" t="s">
        <v>27252</v>
      </c>
      <c r="P7849" t="s">
        <v>27925</v>
      </c>
      <c r="Q7849" s="1">
        <v>44538</v>
      </c>
      <c r="R7849" t="s">
        <v>27253</v>
      </c>
      <c r="S7849" t="s">
        <v>27254</v>
      </c>
      <c r="T7849" t="s">
        <v>27255</v>
      </c>
    </row>
    <row r="7850" spans="1:20" x14ac:dyDescent="0.3">
      <c r="A7850" t="str">
        <f>"0611839732100"</f>
        <v>0611839732100</v>
      </c>
      <c r="B7850" t="str">
        <f>"LB4720"</f>
        <v>LB4720</v>
      </c>
      <c r="C7850" t="s">
        <v>42467</v>
      </c>
      <c r="D7850" t="s">
        <v>28138</v>
      </c>
      <c r="E7850" t="str">
        <f t="shared" si="122"/>
        <v>001390</v>
      </c>
      <c r="F7850" t="s">
        <v>27246</v>
      </c>
      <c r="G7850" t="s">
        <v>27247</v>
      </c>
      <c r="H7850" t="s">
        <v>27248</v>
      </c>
      <c r="I7850" t="s">
        <v>42468</v>
      </c>
      <c r="J7850" t="s">
        <v>15599</v>
      </c>
      <c r="L7850" t="s">
        <v>27250</v>
      </c>
      <c r="M7850" t="s">
        <v>27251</v>
      </c>
      <c r="N7850" t="s">
        <v>27252</v>
      </c>
      <c r="P7850" t="s">
        <v>27925</v>
      </c>
      <c r="Q7850" s="1">
        <v>44538</v>
      </c>
      <c r="R7850" t="s">
        <v>27253</v>
      </c>
      <c r="S7850" t="s">
        <v>27254</v>
      </c>
      <c r="T7850" t="s">
        <v>27255</v>
      </c>
    </row>
    <row r="7851" spans="1:20" x14ac:dyDescent="0.3">
      <c r="A7851" t="str">
        <f>"0611839733100"</f>
        <v>0611839733100</v>
      </c>
      <c r="B7851" t="str">
        <f>"LK7017"</f>
        <v>LK7017</v>
      </c>
      <c r="C7851" t="s">
        <v>42469</v>
      </c>
      <c r="D7851" t="s">
        <v>28138</v>
      </c>
      <c r="E7851" t="str">
        <f t="shared" si="122"/>
        <v>001390</v>
      </c>
      <c r="F7851" t="s">
        <v>27246</v>
      </c>
      <c r="G7851" t="s">
        <v>27247</v>
      </c>
      <c r="H7851" t="s">
        <v>27248</v>
      </c>
      <c r="I7851" t="s">
        <v>42470</v>
      </c>
      <c r="J7851" t="s">
        <v>15601</v>
      </c>
      <c r="L7851" t="s">
        <v>27250</v>
      </c>
      <c r="M7851" t="s">
        <v>27251</v>
      </c>
      <c r="N7851" t="s">
        <v>27252</v>
      </c>
      <c r="P7851" t="s">
        <v>27925</v>
      </c>
      <c r="Q7851" s="1">
        <v>44538</v>
      </c>
      <c r="R7851" t="s">
        <v>27253</v>
      </c>
      <c r="S7851" t="s">
        <v>27254</v>
      </c>
      <c r="T7851" t="s">
        <v>27255</v>
      </c>
    </row>
    <row r="7852" spans="1:20" x14ac:dyDescent="0.3">
      <c r="A7852" t="str">
        <f>"0611839734100"</f>
        <v>0611839734100</v>
      </c>
      <c r="B7852" t="str">
        <f>"LK3613"</f>
        <v>LK3613</v>
      </c>
      <c r="C7852" t="s">
        <v>42471</v>
      </c>
      <c r="D7852" t="s">
        <v>28138</v>
      </c>
      <c r="E7852" t="str">
        <f t="shared" si="122"/>
        <v>001390</v>
      </c>
      <c r="F7852" t="s">
        <v>27246</v>
      </c>
      <c r="G7852" t="s">
        <v>27247</v>
      </c>
      <c r="H7852" t="s">
        <v>27248</v>
      </c>
      <c r="I7852" t="s">
        <v>42472</v>
      </c>
      <c r="J7852" t="s">
        <v>15603</v>
      </c>
      <c r="L7852" t="s">
        <v>27250</v>
      </c>
      <c r="M7852" t="s">
        <v>27251</v>
      </c>
      <c r="N7852" t="s">
        <v>27252</v>
      </c>
      <c r="P7852" t="s">
        <v>27925</v>
      </c>
      <c r="Q7852" s="1">
        <v>44538</v>
      </c>
      <c r="R7852" t="s">
        <v>27253</v>
      </c>
      <c r="S7852" t="s">
        <v>27254</v>
      </c>
      <c r="T7852" t="s">
        <v>27255</v>
      </c>
    </row>
    <row r="7853" spans="1:20" x14ac:dyDescent="0.3">
      <c r="A7853" t="str">
        <f>"0611839735100"</f>
        <v>0611839735100</v>
      </c>
      <c r="B7853" t="str">
        <f>"LB5345"</f>
        <v>LB5345</v>
      </c>
      <c r="C7853" t="s">
        <v>42473</v>
      </c>
      <c r="D7853" t="s">
        <v>28138</v>
      </c>
      <c r="E7853" t="str">
        <f t="shared" si="122"/>
        <v>001390</v>
      </c>
      <c r="F7853" t="s">
        <v>27246</v>
      </c>
      <c r="G7853" t="s">
        <v>27247</v>
      </c>
      <c r="H7853" t="s">
        <v>27248</v>
      </c>
      <c r="I7853" t="s">
        <v>42474</v>
      </c>
      <c r="J7853" t="s">
        <v>15605</v>
      </c>
      <c r="L7853" t="s">
        <v>27250</v>
      </c>
      <c r="M7853" t="s">
        <v>27251</v>
      </c>
      <c r="N7853" t="s">
        <v>27252</v>
      </c>
      <c r="P7853" t="s">
        <v>27925</v>
      </c>
      <c r="Q7853" s="1">
        <v>44538</v>
      </c>
      <c r="R7853" t="s">
        <v>27253</v>
      </c>
      <c r="S7853" t="s">
        <v>27254</v>
      </c>
      <c r="T7853" t="s">
        <v>27255</v>
      </c>
    </row>
    <row r="7854" spans="1:20" x14ac:dyDescent="0.3">
      <c r="A7854" t="str">
        <f>"0611837057100"</f>
        <v>0611837057100</v>
      </c>
      <c r="B7854" t="str">
        <f>"LC7625"</f>
        <v>LC7625</v>
      </c>
      <c r="C7854" t="s">
        <v>42475</v>
      </c>
      <c r="D7854" t="s">
        <v>27245</v>
      </c>
      <c r="E7854" t="str">
        <f t="shared" si="122"/>
        <v>001390</v>
      </c>
      <c r="F7854" t="s">
        <v>27246</v>
      </c>
      <c r="G7854" t="s">
        <v>27247</v>
      </c>
      <c r="H7854" t="s">
        <v>27248</v>
      </c>
      <c r="I7854" t="s">
        <v>42476</v>
      </c>
      <c r="J7854" t="s">
        <v>15607</v>
      </c>
      <c r="L7854" t="s">
        <v>27250</v>
      </c>
      <c r="M7854" t="s">
        <v>27251</v>
      </c>
      <c r="N7854" t="s">
        <v>27252</v>
      </c>
      <c r="Q7854" s="1">
        <v>44538</v>
      </c>
      <c r="R7854" t="s">
        <v>27253</v>
      </c>
      <c r="S7854" t="s">
        <v>27254</v>
      </c>
      <c r="T7854" t="s">
        <v>27255</v>
      </c>
    </row>
    <row r="7855" spans="1:20" x14ac:dyDescent="0.3">
      <c r="A7855" t="str">
        <f>"0611837046100"</f>
        <v>0611837046100</v>
      </c>
      <c r="B7855" t="str">
        <f>"LC7627"</f>
        <v>LC7627</v>
      </c>
      <c r="C7855" t="s">
        <v>42477</v>
      </c>
      <c r="D7855" t="s">
        <v>27245</v>
      </c>
      <c r="E7855" t="str">
        <f t="shared" si="122"/>
        <v>001390</v>
      </c>
      <c r="F7855" t="s">
        <v>27246</v>
      </c>
      <c r="G7855" t="s">
        <v>27247</v>
      </c>
      <c r="H7855" t="s">
        <v>27248</v>
      </c>
      <c r="I7855" t="s">
        <v>42478</v>
      </c>
      <c r="J7855" t="s">
        <v>15609</v>
      </c>
      <c r="L7855" t="s">
        <v>27250</v>
      </c>
      <c r="M7855" t="s">
        <v>27251</v>
      </c>
      <c r="N7855" t="s">
        <v>27252</v>
      </c>
      <c r="Q7855" s="1">
        <v>44538</v>
      </c>
      <c r="R7855" t="s">
        <v>27253</v>
      </c>
      <c r="S7855" t="s">
        <v>27254</v>
      </c>
      <c r="T7855" t="s">
        <v>27255</v>
      </c>
    </row>
    <row r="7856" spans="1:20" x14ac:dyDescent="0.3">
      <c r="A7856" t="str">
        <f>"0611837062100"</f>
        <v>0611837062100</v>
      </c>
      <c r="B7856" t="str">
        <f>"LC3387"</f>
        <v>LC3387</v>
      </c>
      <c r="C7856" t="s">
        <v>42479</v>
      </c>
      <c r="D7856" t="s">
        <v>27245</v>
      </c>
      <c r="E7856" t="str">
        <f t="shared" si="122"/>
        <v>001390</v>
      </c>
      <c r="F7856" t="s">
        <v>27246</v>
      </c>
      <c r="G7856" t="s">
        <v>27247</v>
      </c>
      <c r="H7856" t="s">
        <v>27248</v>
      </c>
      <c r="I7856" t="s">
        <v>42480</v>
      </c>
      <c r="J7856" t="s">
        <v>15611</v>
      </c>
      <c r="L7856" t="s">
        <v>27250</v>
      </c>
      <c r="M7856" t="s">
        <v>27251</v>
      </c>
      <c r="N7856" t="s">
        <v>27252</v>
      </c>
      <c r="Q7856" s="1">
        <v>44538</v>
      </c>
      <c r="R7856" t="s">
        <v>27253</v>
      </c>
      <c r="S7856" t="s">
        <v>27254</v>
      </c>
      <c r="T7856" t="s">
        <v>27255</v>
      </c>
    </row>
    <row r="7857" spans="1:20" x14ac:dyDescent="0.3">
      <c r="A7857" t="str">
        <f>"0611837063025"</f>
        <v>0611837063025</v>
      </c>
      <c r="B7857" t="str">
        <f>"MC0796"</f>
        <v>MC0796</v>
      </c>
      <c r="C7857" t="s">
        <v>42479</v>
      </c>
      <c r="D7857" t="s">
        <v>27267</v>
      </c>
      <c r="E7857" t="str">
        <f t="shared" si="122"/>
        <v>001390</v>
      </c>
      <c r="F7857" t="s">
        <v>27246</v>
      </c>
      <c r="G7857" t="s">
        <v>27247</v>
      </c>
      <c r="H7857" t="s">
        <v>27248</v>
      </c>
      <c r="I7857" t="s">
        <v>42481</v>
      </c>
      <c r="J7857" t="s">
        <v>15613</v>
      </c>
      <c r="L7857" t="s">
        <v>27250</v>
      </c>
      <c r="M7857" t="s">
        <v>27251</v>
      </c>
      <c r="N7857" t="s">
        <v>27252</v>
      </c>
      <c r="Q7857" s="1">
        <v>44538</v>
      </c>
      <c r="R7857" t="s">
        <v>27253</v>
      </c>
      <c r="S7857" t="s">
        <v>27254</v>
      </c>
      <c r="T7857" t="s">
        <v>27269</v>
      </c>
    </row>
    <row r="7858" spans="1:20" x14ac:dyDescent="0.3">
      <c r="A7858" t="str">
        <f>"0611837064100"</f>
        <v>0611837064100</v>
      </c>
      <c r="B7858" t="str">
        <f>"LC9623"</f>
        <v>LC9623</v>
      </c>
      <c r="C7858" t="s">
        <v>42482</v>
      </c>
      <c r="D7858" t="s">
        <v>27245</v>
      </c>
      <c r="E7858" t="str">
        <f t="shared" si="122"/>
        <v>001390</v>
      </c>
      <c r="F7858" t="s">
        <v>27246</v>
      </c>
      <c r="G7858" t="s">
        <v>27247</v>
      </c>
      <c r="H7858" t="s">
        <v>27248</v>
      </c>
      <c r="I7858" t="s">
        <v>42483</v>
      </c>
      <c r="J7858" t="s">
        <v>15615</v>
      </c>
      <c r="L7858" t="s">
        <v>27250</v>
      </c>
      <c r="M7858" t="s">
        <v>27251</v>
      </c>
      <c r="N7858" t="s">
        <v>27252</v>
      </c>
      <c r="Q7858" s="1">
        <v>44538</v>
      </c>
      <c r="R7858" t="s">
        <v>27253</v>
      </c>
      <c r="S7858" t="s">
        <v>27254</v>
      </c>
      <c r="T7858" t="s">
        <v>27255</v>
      </c>
    </row>
    <row r="7859" spans="1:20" x14ac:dyDescent="0.3">
      <c r="A7859" t="str">
        <f>"0611884320025"</f>
        <v>0611884320025</v>
      </c>
      <c r="B7859" t="str">
        <f>"MC4476"</f>
        <v>MC4476</v>
      </c>
      <c r="C7859" t="s">
        <v>42484</v>
      </c>
      <c r="D7859" t="s">
        <v>27267</v>
      </c>
      <c r="E7859" t="str">
        <f t="shared" si="122"/>
        <v>001390</v>
      </c>
      <c r="F7859" t="s">
        <v>27246</v>
      </c>
      <c r="G7859" t="s">
        <v>27247</v>
      </c>
      <c r="H7859" t="s">
        <v>27248</v>
      </c>
      <c r="I7859" t="s">
        <v>42485</v>
      </c>
      <c r="J7859" t="s">
        <v>15617</v>
      </c>
      <c r="L7859" t="s">
        <v>27430</v>
      </c>
      <c r="M7859" t="s">
        <v>27251</v>
      </c>
      <c r="N7859" t="s">
        <v>27252</v>
      </c>
      <c r="Q7859" s="1">
        <v>45250</v>
      </c>
      <c r="R7859" t="s">
        <v>27253</v>
      </c>
      <c r="S7859" t="s">
        <v>27254</v>
      </c>
      <c r="T7859" t="s">
        <v>27269</v>
      </c>
    </row>
    <row r="7860" spans="1:20" x14ac:dyDescent="0.3">
      <c r="A7860" t="str">
        <f>"0611863289100"</f>
        <v>0611863289100</v>
      </c>
      <c r="B7860" t="str">
        <f>"CN5257"</f>
        <v>CN5257</v>
      </c>
      <c r="C7860" t="s">
        <v>42486</v>
      </c>
      <c r="D7860" t="s">
        <v>27335</v>
      </c>
      <c r="E7860" t="str">
        <f t="shared" si="122"/>
        <v>001390</v>
      </c>
      <c r="F7860" t="s">
        <v>27246</v>
      </c>
      <c r="G7860" t="s">
        <v>27247</v>
      </c>
      <c r="H7860" t="s">
        <v>27248</v>
      </c>
      <c r="I7860" t="s">
        <v>42487</v>
      </c>
      <c r="J7860" t="s">
        <v>15619</v>
      </c>
      <c r="L7860" t="s">
        <v>27250</v>
      </c>
      <c r="M7860" t="s">
        <v>27251</v>
      </c>
      <c r="N7860" t="s">
        <v>27252</v>
      </c>
      <c r="Q7860" s="1">
        <v>44846</v>
      </c>
      <c r="R7860" t="s">
        <v>27253</v>
      </c>
      <c r="S7860" t="s">
        <v>27254</v>
      </c>
      <c r="T7860" t="s">
        <v>27255</v>
      </c>
    </row>
    <row r="7861" spans="1:20" x14ac:dyDescent="0.3">
      <c r="A7861" t="str">
        <f>"0611836745025"</f>
        <v>0611836745025</v>
      </c>
      <c r="B7861" t="str">
        <f>"MC1294"</f>
        <v>MC1294</v>
      </c>
      <c r="C7861" t="s">
        <v>42488</v>
      </c>
      <c r="D7861" t="s">
        <v>27267</v>
      </c>
      <c r="E7861" t="str">
        <f t="shared" si="122"/>
        <v>001390</v>
      </c>
      <c r="F7861" t="s">
        <v>27246</v>
      </c>
      <c r="G7861" t="s">
        <v>27247</v>
      </c>
      <c r="H7861" t="s">
        <v>27248</v>
      </c>
      <c r="I7861" t="s">
        <v>42489</v>
      </c>
      <c r="J7861" t="s">
        <v>15621</v>
      </c>
      <c r="L7861" t="s">
        <v>27250</v>
      </c>
      <c r="M7861" t="s">
        <v>27251</v>
      </c>
      <c r="N7861" t="s">
        <v>27252</v>
      </c>
      <c r="Q7861" s="1">
        <v>44538</v>
      </c>
      <c r="R7861" t="s">
        <v>27253</v>
      </c>
      <c r="S7861" t="s">
        <v>27254</v>
      </c>
      <c r="T7861" t="s">
        <v>27269</v>
      </c>
    </row>
    <row r="7862" spans="1:20" x14ac:dyDescent="0.3">
      <c r="A7862" t="str">
        <f>"0611836746100"</f>
        <v>0611836746100</v>
      </c>
      <c r="B7862" t="str">
        <f>"LQ6070"</f>
        <v>LQ6070</v>
      </c>
      <c r="C7862" t="s">
        <v>42490</v>
      </c>
      <c r="D7862" t="s">
        <v>27245</v>
      </c>
      <c r="E7862" t="str">
        <f t="shared" si="122"/>
        <v>001390</v>
      </c>
      <c r="F7862" t="s">
        <v>27246</v>
      </c>
      <c r="G7862" t="s">
        <v>27247</v>
      </c>
      <c r="H7862" t="s">
        <v>27248</v>
      </c>
      <c r="I7862" t="s">
        <v>42491</v>
      </c>
      <c r="J7862" t="s">
        <v>15623</v>
      </c>
      <c r="L7862" t="s">
        <v>27250</v>
      </c>
      <c r="M7862" t="s">
        <v>27251</v>
      </c>
      <c r="N7862" t="s">
        <v>27252</v>
      </c>
      <c r="Q7862" s="1">
        <v>44538</v>
      </c>
      <c r="R7862" t="s">
        <v>27253</v>
      </c>
      <c r="S7862" t="s">
        <v>27254</v>
      </c>
      <c r="T7862" t="s">
        <v>27255</v>
      </c>
    </row>
    <row r="7863" spans="1:20" x14ac:dyDescent="0.3">
      <c r="A7863" t="str">
        <f>"0611857033100"</f>
        <v>0611857033100</v>
      </c>
      <c r="B7863" t="str">
        <f>"LQ3872"</f>
        <v>LQ3872</v>
      </c>
      <c r="C7863" t="s">
        <v>42492</v>
      </c>
      <c r="D7863" t="s">
        <v>27245</v>
      </c>
      <c r="E7863" t="str">
        <f t="shared" si="122"/>
        <v>001390</v>
      </c>
      <c r="F7863" t="s">
        <v>27246</v>
      </c>
      <c r="G7863" t="s">
        <v>27247</v>
      </c>
      <c r="H7863" t="s">
        <v>27248</v>
      </c>
      <c r="I7863" t="s">
        <v>42493</v>
      </c>
      <c r="J7863" t="s">
        <v>15625</v>
      </c>
      <c r="L7863" t="s">
        <v>27250</v>
      </c>
      <c r="M7863" t="s">
        <v>27251</v>
      </c>
      <c r="N7863" t="s">
        <v>27252</v>
      </c>
      <c r="Q7863" s="1">
        <v>44812</v>
      </c>
      <c r="R7863" t="s">
        <v>27253</v>
      </c>
      <c r="S7863" t="s">
        <v>27254</v>
      </c>
      <c r="T7863" t="s">
        <v>27255</v>
      </c>
    </row>
    <row r="7864" spans="1:20" x14ac:dyDescent="0.3">
      <c r="A7864" t="str">
        <f>"0611836747100"</f>
        <v>0611836747100</v>
      </c>
      <c r="B7864" t="str">
        <f>"LQ3279"</f>
        <v>LQ3279</v>
      </c>
      <c r="C7864" t="s">
        <v>42494</v>
      </c>
      <c r="D7864" t="s">
        <v>27245</v>
      </c>
      <c r="E7864" t="str">
        <f t="shared" si="122"/>
        <v>001390</v>
      </c>
      <c r="F7864" t="s">
        <v>27246</v>
      </c>
      <c r="G7864" t="s">
        <v>27247</v>
      </c>
      <c r="H7864" t="s">
        <v>27248</v>
      </c>
      <c r="I7864" t="s">
        <v>42495</v>
      </c>
      <c r="J7864" t="s">
        <v>15627</v>
      </c>
      <c r="L7864" t="s">
        <v>27250</v>
      </c>
      <c r="M7864" t="s">
        <v>27251</v>
      </c>
      <c r="N7864" t="s">
        <v>27252</v>
      </c>
      <c r="Q7864" s="1">
        <v>44538</v>
      </c>
      <c r="R7864" t="s">
        <v>27253</v>
      </c>
      <c r="S7864" t="s">
        <v>27254</v>
      </c>
      <c r="T7864" t="s">
        <v>27255</v>
      </c>
    </row>
    <row r="7865" spans="1:20" x14ac:dyDescent="0.3">
      <c r="A7865" t="str">
        <f>"0611836749100"</f>
        <v>0611836749100</v>
      </c>
      <c r="B7865" t="str">
        <f>"LK2608"</f>
        <v>LK2608</v>
      </c>
      <c r="C7865" t="s">
        <v>42496</v>
      </c>
      <c r="D7865" t="s">
        <v>27245</v>
      </c>
      <c r="E7865" t="str">
        <f t="shared" si="122"/>
        <v>001390</v>
      </c>
      <c r="F7865" t="s">
        <v>27246</v>
      </c>
      <c r="G7865" t="s">
        <v>27247</v>
      </c>
      <c r="H7865" t="s">
        <v>27248</v>
      </c>
      <c r="I7865" t="s">
        <v>42497</v>
      </c>
      <c r="J7865" t="s">
        <v>15629</v>
      </c>
      <c r="L7865" t="s">
        <v>27250</v>
      </c>
      <c r="M7865" t="s">
        <v>27251</v>
      </c>
      <c r="N7865" t="s">
        <v>27252</v>
      </c>
      <c r="Q7865" s="1">
        <v>44538</v>
      </c>
      <c r="R7865" t="s">
        <v>27253</v>
      </c>
      <c r="S7865" t="s">
        <v>27254</v>
      </c>
      <c r="T7865" t="s">
        <v>27255</v>
      </c>
    </row>
    <row r="7866" spans="1:20" x14ac:dyDescent="0.3">
      <c r="A7866" t="str">
        <f>"0611836750100"</f>
        <v>0611836750100</v>
      </c>
      <c r="B7866" t="str">
        <f>"LB5416"</f>
        <v>LB5416</v>
      </c>
      <c r="C7866" t="s">
        <v>42498</v>
      </c>
      <c r="D7866" t="s">
        <v>27245</v>
      </c>
      <c r="E7866" t="str">
        <f t="shared" si="122"/>
        <v>001390</v>
      </c>
      <c r="F7866" t="s">
        <v>27246</v>
      </c>
      <c r="G7866" t="s">
        <v>27247</v>
      </c>
      <c r="H7866" t="s">
        <v>27248</v>
      </c>
      <c r="I7866" t="s">
        <v>42499</v>
      </c>
      <c r="J7866" t="s">
        <v>15631</v>
      </c>
      <c r="L7866" t="s">
        <v>27250</v>
      </c>
      <c r="M7866" t="s">
        <v>27251</v>
      </c>
      <c r="N7866" t="s">
        <v>27252</v>
      </c>
      <c r="Q7866" s="1">
        <v>44538</v>
      </c>
      <c r="R7866" t="s">
        <v>27253</v>
      </c>
      <c r="S7866" t="s">
        <v>27254</v>
      </c>
      <c r="T7866" t="s">
        <v>27255</v>
      </c>
    </row>
    <row r="7867" spans="1:20" x14ac:dyDescent="0.3">
      <c r="A7867" t="str">
        <f>"0611836751100"</f>
        <v>0611836751100</v>
      </c>
      <c r="B7867" t="str">
        <f>"LK6088"</f>
        <v>LK6088</v>
      </c>
      <c r="C7867" t="s">
        <v>42500</v>
      </c>
      <c r="D7867" t="s">
        <v>27245</v>
      </c>
      <c r="E7867" t="str">
        <f t="shared" si="122"/>
        <v>001390</v>
      </c>
      <c r="F7867" t="s">
        <v>27246</v>
      </c>
      <c r="G7867" t="s">
        <v>27247</v>
      </c>
      <c r="H7867" t="s">
        <v>27248</v>
      </c>
      <c r="I7867" t="s">
        <v>42501</v>
      </c>
      <c r="J7867" t="s">
        <v>15635</v>
      </c>
      <c r="L7867" t="s">
        <v>27250</v>
      </c>
      <c r="M7867" t="s">
        <v>27251</v>
      </c>
      <c r="N7867" t="s">
        <v>27252</v>
      </c>
      <c r="Q7867" s="1">
        <v>44538</v>
      </c>
      <c r="R7867" t="s">
        <v>27253</v>
      </c>
      <c r="S7867" t="s">
        <v>27254</v>
      </c>
      <c r="T7867" t="s">
        <v>27255</v>
      </c>
    </row>
    <row r="7868" spans="1:20" x14ac:dyDescent="0.3">
      <c r="A7868" t="str">
        <f>"0611836752100"</f>
        <v>0611836752100</v>
      </c>
      <c r="B7868" t="str">
        <f>"LK0802"</f>
        <v>LK0802</v>
      </c>
      <c r="C7868" t="s">
        <v>42502</v>
      </c>
      <c r="D7868" t="s">
        <v>27245</v>
      </c>
      <c r="E7868" t="str">
        <f t="shared" si="122"/>
        <v>001390</v>
      </c>
      <c r="F7868" t="s">
        <v>27246</v>
      </c>
      <c r="G7868" t="s">
        <v>27247</v>
      </c>
      <c r="H7868" t="s">
        <v>27248</v>
      </c>
      <c r="I7868" t="s">
        <v>42503</v>
      </c>
      <c r="J7868" t="s">
        <v>15637</v>
      </c>
      <c r="L7868" t="s">
        <v>27250</v>
      </c>
      <c r="M7868" t="s">
        <v>27251</v>
      </c>
      <c r="N7868" t="s">
        <v>27252</v>
      </c>
      <c r="Q7868" s="1">
        <v>44538</v>
      </c>
      <c r="R7868" t="s">
        <v>27253</v>
      </c>
      <c r="S7868" t="s">
        <v>27254</v>
      </c>
      <c r="T7868" t="s">
        <v>27255</v>
      </c>
    </row>
    <row r="7869" spans="1:20" x14ac:dyDescent="0.3">
      <c r="A7869" t="str">
        <f>"0611836753100"</f>
        <v>0611836753100</v>
      </c>
      <c r="B7869" t="str">
        <f>"LB5417"</f>
        <v>LB5417</v>
      </c>
      <c r="C7869" t="s">
        <v>42504</v>
      </c>
      <c r="D7869" t="s">
        <v>27245</v>
      </c>
      <c r="E7869" t="str">
        <f t="shared" si="122"/>
        <v>001390</v>
      </c>
      <c r="F7869" t="s">
        <v>27246</v>
      </c>
      <c r="G7869" t="s">
        <v>27247</v>
      </c>
      <c r="H7869" t="s">
        <v>27248</v>
      </c>
      <c r="I7869" t="s">
        <v>42505</v>
      </c>
      <c r="J7869" t="s">
        <v>15633</v>
      </c>
      <c r="L7869" t="s">
        <v>27250</v>
      </c>
      <c r="M7869" t="s">
        <v>27251</v>
      </c>
      <c r="N7869" t="s">
        <v>27252</v>
      </c>
      <c r="Q7869" s="1">
        <v>44538</v>
      </c>
      <c r="R7869" t="s">
        <v>27253</v>
      </c>
      <c r="S7869" t="s">
        <v>27254</v>
      </c>
      <c r="T7869" t="s">
        <v>27255</v>
      </c>
    </row>
    <row r="7870" spans="1:20" x14ac:dyDescent="0.3">
      <c r="A7870" t="str">
        <f>"0611836754100"</f>
        <v>0611836754100</v>
      </c>
      <c r="B7870" t="str">
        <f>"LB5415"</f>
        <v>LB5415</v>
      </c>
      <c r="C7870" t="s">
        <v>42506</v>
      </c>
      <c r="D7870" t="s">
        <v>27245</v>
      </c>
      <c r="E7870" t="str">
        <f t="shared" si="122"/>
        <v>001390</v>
      </c>
      <c r="F7870" t="s">
        <v>27246</v>
      </c>
      <c r="G7870" t="s">
        <v>27247</v>
      </c>
      <c r="H7870" t="s">
        <v>27248</v>
      </c>
      <c r="I7870" t="s">
        <v>42507</v>
      </c>
      <c r="J7870" t="s">
        <v>15639</v>
      </c>
      <c r="L7870" t="s">
        <v>27250</v>
      </c>
      <c r="M7870" t="s">
        <v>27251</v>
      </c>
      <c r="N7870" t="s">
        <v>27252</v>
      </c>
      <c r="Q7870" s="1">
        <v>44538</v>
      </c>
      <c r="R7870" t="s">
        <v>27253</v>
      </c>
      <c r="S7870" t="s">
        <v>27254</v>
      </c>
      <c r="T7870" t="s">
        <v>27255</v>
      </c>
    </row>
    <row r="7871" spans="1:20" x14ac:dyDescent="0.3">
      <c r="A7871" t="str">
        <f>"0611836755100"</f>
        <v>0611836755100</v>
      </c>
      <c r="B7871" t="str">
        <f>"LB5418"</f>
        <v>LB5418</v>
      </c>
      <c r="C7871" t="s">
        <v>42508</v>
      </c>
      <c r="D7871" t="s">
        <v>27245</v>
      </c>
      <c r="E7871" t="str">
        <f t="shared" si="122"/>
        <v>001390</v>
      </c>
      <c r="F7871" t="s">
        <v>27246</v>
      </c>
      <c r="G7871" t="s">
        <v>27247</v>
      </c>
      <c r="H7871" t="s">
        <v>27248</v>
      </c>
      <c r="I7871" t="s">
        <v>42509</v>
      </c>
      <c r="J7871" t="s">
        <v>15641</v>
      </c>
      <c r="L7871" t="s">
        <v>27250</v>
      </c>
      <c r="M7871" t="s">
        <v>27251</v>
      </c>
      <c r="N7871" t="s">
        <v>27252</v>
      </c>
      <c r="Q7871" s="1">
        <v>44538</v>
      </c>
      <c r="R7871" t="s">
        <v>27253</v>
      </c>
      <c r="S7871" t="s">
        <v>27254</v>
      </c>
      <c r="T7871" t="s">
        <v>27255</v>
      </c>
    </row>
    <row r="7872" spans="1:20" x14ac:dyDescent="0.3">
      <c r="A7872" t="str">
        <f>"0611836756100"</f>
        <v>0611836756100</v>
      </c>
      <c r="B7872" t="str">
        <f>"LK6210"</f>
        <v>LK6210</v>
      </c>
      <c r="C7872" t="s">
        <v>42510</v>
      </c>
      <c r="D7872" t="s">
        <v>27245</v>
      </c>
      <c r="E7872" t="str">
        <f t="shared" si="122"/>
        <v>001390</v>
      </c>
      <c r="F7872" t="s">
        <v>27246</v>
      </c>
      <c r="G7872" t="s">
        <v>27247</v>
      </c>
      <c r="H7872" t="s">
        <v>27248</v>
      </c>
      <c r="I7872" t="s">
        <v>42511</v>
      </c>
      <c r="J7872" t="s">
        <v>15643</v>
      </c>
      <c r="L7872" t="s">
        <v>27250</v>
      </c>
      <c r="M7872" t="s">
        <v>27251</v>
      </c>
      <c r="N7872" t="s">
        <v>27252</v>
      </c>
      <c r="Q7872" s="1">
        <v>44538</v>
      </c>
      <c r="R7872" t="s">
        <v>27253</v>
      </c>
      <c r="S7872" t="s">
        <v>27254</v>
      </c>
      <c r="T7872" t="s">
        <v>27255</v>
      </c>
    </row>
    <row r="7873" spans="1:20" x14ac:dyDescent="0.3">
      <c r="A7873" t="str">
        <f>"0611833473100"</f>
        <v>0611833473100</v>
      </c>
      <c r="B7873" t="str">
        <f>"LL2290"</f>
        <v>LL2290</v>
      </c>
      <c r="C7873" t="s">
        <v>42512</v>
      </c>
      <c r="D7873" t="s">
        <v>27245</v>
      </c>
      <c r="E7873" t="str">
        <f t="shared" si="122"/>
        <v>001390</v>
      </c>
      <c r="F7873" t="s">
        <v>27246</v>
      </c>
      <c r="G7873" t="s">
        <v>27247</v>
      </c>
      <c r="H7873" t="s">
        <v>27248</v>
      </c>
      <c r="I7873" t="s">
        <v>42513</v>
      </c>
      <c r="J7873" t="s">
        <v>15645</v>
      </c>
      <c r="L7873" t="s">
        <v>27250</v>
      </c>
      <c r="M7873" t="s">
        <v>27251</v>
      </c>
      <c r="N7873" t="s">
        <v>27252</v>
      </c>
      <c r="Q7873" s="1">
        <v>44538</v>
      </c>
      <c r="R7873" t="s">
        <v>27253</v>
      </c>
      <c r="S7873" t="s">
        <v>27254</v>
      </c>
      <c r="T7873" t="s">
        <v>27255</v>
      </c>
    </row>
    <row r="7874" spans="1:20" x14ac:dyDescent="0.3">
      <c r="A7874" t="str">
        <f>"0611833474100"</f>
        <v>0611833474100</v>
      </c>
      <c r="B7874" t="str">
        <f>"LL8195"</f>
        <v>LL8195</v>
      </c>
      <c r="C7874" t="s">
        <v>42514</v>
      </c>
      <c r="D7874" t="s">
        <v>28138</v>
      </c>
      <c r="E7874" t="str">
        <f t="shared" ref="E7874:E7937" si="123">"001390"</f>
        <v>001390</v>
      </c>
      <c r="F7874" t="s">
        <v>27246</v>
      </c>
      <c r="G7874" t="s">
        <v>27247</v>
      </c>
      <c r="H7874" t="s">
        <v>27248</v>
      </c>
      <c r="I7874" t="s">
        <v>42515</v>
      </c>
      <c r="J7874" t="s">
        <v>15647</v>
      </c>
      <c r="L7874" t="s">
        <v>27250</v>
      </c>
      <c r="M7874" t="s">
        <v>27251</v>
      </c>
      <c r="N7874" t="s">
        <v>27252</v>
      </c>
      <c r="P7874" t="s">
        <v>27925</v>
      </c>
      <c r="Q7874" s="1">
        <v>44538</v>
      </c>
      <c r="R7874" t="s">
        <v>27253</v>
      </c>
      <c r="S7874" t="s">
        <v>27254</v>
      </c>
      <c r="T7874" t="s">
        <v>27255</v>
      </c>
    </row>
    <row r="7875" spans="1:20" x14ac:dyDescent="0.3">
      <c r="A7875" t="str">
        <f>"0611833476100"</f>
        <v>0611833476100</v>
      </c>
      <c r="B7875" t="str">
        <f>"LL2291"</f>
        <v>LL2291</v>
      </c>
      <c r="C7875" t="s">
        <v>42516</v>
      </c>
      <c r="D7875" t="s">
        <v>27245</v>
      </c>
      <c r="E7875" t="str">
        <f t="shared" si="123"/>
        <v>001390</v>
      </c>
      <c r="F7875" t="s">
        <v>27246</v>
      </c>
      <c r="G7875" t="s">
        <v>27247</v>
      </c>
      <c r="H7875" t="s">
        <v>27248</v>
      </c>
      <c r="I7875" t="s">
        <v>42517</v>
      </c>
      <c r="J7875" t="s">
        <v>15649</v>
      </c>
      <c r="L7875" t="s">
        <v>27250</v>
      </c>
      <c r="M7875" t="s">
        <v>27251</v>
      </c>
      <c r="N7875" t="s">
        <v>27252</v>
      </c>
      <c r="O7875">
        <v>200</v>
      </c>
      <c r="Q7875" s="1">
        <v>44538</v>
      </c>
      <c r="R7875" t="s">
        <v>27253</v>
      </c>
      <c r="S7875" t="s">
        <v>27254</v>
      </c>
      <c r="T7875" t="s">
        <v>27255</v>
      </c>
    </row>
    <row r="7876" spans="1:20" x14ac:dyDescent="0.3">
      <c r="A7876" t="str">
        <f>"0611833477100"</f>
        <v>0611833477100</v>
      </c>
      <c r="B7876" t="str">
        <f>"LL5015"</f>
        <v>LL5015</v>
      </c>
      <c r="C7876" t="s">
        <v>42518</v>
      </c>
      <c r="D7876" t="s">
        <v>27245</v>
      </c>
      <c r="E7876" t="str">
        <f t="shared" si="123"/>
        <v>001390</v>
      </c>
      <c r="F7876" t="s">
        <v>27246</v>
      </c>
      <c r="G7876" t="s">
        <v>27247</v>
      </c>
      <c r="H7876" t="s">
        <v>27248</v>
      </c>
      <c r="I7876" t="s">
        <v>42519</v>
      </c>
      <c r="J7876" t="s">
        <v>15651</v>
      </c>
      <c r="L7876" t="s">
        <v>27250</v>
      </c>
      <c r="M7876" t="s">
        <v>27251</v>
      </c>
      <c r="N7876" t="s">
        <v>27252</v>
      </c>
      <c r="Q7876" s="1">
        <v>44538</v>
      </c>
      <c r="R7876" t="s">
        <v>27253</v>
      </c>
      <c r="S7876" t="s">
        <v>27254</v>
      </c>
      <c r="T7876" t="s">
        <v>27255</v>
      </c>
    </row>
    <row r="7877" spans="1:20" x14ac:dyDescent="0.3">
      <c r="A7877" t="str">
        <f>"0611833470100"</f>
        <v>0611833470100</v>
      </c>
      <c r="B7877" t="str">
        <f>"LL4852"</f>
        <v>LL4852</v>
      </c>
      <c r="C7877" t="s">
        <v>42520</v>
      </c>
      <c r="D7877" t="s">
        <v>27245</v>
      </c>
      <c r="E7877" t="str">
        <f t="shared" si="123"/>
        <v>001390</v>
      </c>
      <c r="F7877" t="s">
        <v>27246</v>
      </c>
      <c r="G7877" t="s">
        <v>27247</v>
      </c>
      <c r="H7877" t="s">
        <v>27248</v>
      </c>
      <c r="I7877" t="s">
        <v>42521</v>
      </c>
      <c r="J7877" t="s">
        <v>15653</v>
      </c>
      <c r="L7877" t="s">
        <v>27250</v>
      </c>
      <c r="M7877" t="s">
        <v>27251</v>
      </c>
      <c r="N7877" t="s">
        <v>27252</v>
      </c>
      <c r="Q7877" s="1">
        <v>44538</v>
      </c>
      <c r="R7877" t="s">
        <v>27253</v>
      </c>
      <c r="S7877" t="s">
        <v>27254</v>
      </c>
      <c r="T7877" t="s">
        <v>27255</v>
      </c>
    </row>
    <row r="7878" spans="1:20" x14ac:dyDescent="0.3">
      <c r="A7878" t="str">
        <f>"0611833481100"</f>
        <v>0611833481100</v>
      </c>
      <c r="B7878" t="str">
        <f>"LL2293"</f>
        <v>LL2293</v>
      </c>
      <c r="C7878" t="s">
        <v>42522</v>
      </c>
      <c r="D7878" t="s">
        <v>27245</v>
      </c>
      <c r="E7878" t="str">
        <f t="shared" si="123"/>
        <v>001390</v>
      </c>
      <c r="F7878" t="s">
        <v>27246</v>
      </c>
      <c r="G7878" t="s">
        <v>27247</v>
      </c>
      <c r="H7878" t="s">
        <v>27248</v>
      </c>
      <c r="I7878" t="s">
        <v>42523</v>
      </c>
      <c r="J7878" t="s">
        <v>15655</v>
      </c>
      <c r="L7878" t="s">
        <v>27250</v>
      </c>
      <c r="M7878" t="s">
        <v>27251</v>
      </c>
      <c r="N7878" t="s">
        <v>27252</v>
      </c>
      <c r="Q7878" s="1">
        <v>44538</v>
      </c>
      <c r="R7878" t="s">
        <v>27253</v>
      </c>
      <c r="S7878" t="s">
        <v>27254</v>
      </c>
      <c r="T7878" t="s">
        <v>27255</v>
      </c>
    </row>
    <row r="7879" spans="1:20" x14ac:dyDescent="0.3">
      <c r="A7879" t="str">
        <f>"0611833493100"</f>
        <v>0611833493100</v>
      </c>
      <c r="B7879" t="str">
        <f>"LL2295"</f>
        <v>LL2295</v>
      </c>
      <c r="C7879" t="s">
        <v>42524</v>
      </c>
      <c r="D7879" t="s">
        <v>27245</v>
      </c>
      <c r="E7879" t="str">
        <f t="shared" si="123"/>
        <v>001390</v>
      </c>
      <c r="F7879" t="s">
        <v>27246</v>
      </c>
      <c r="G7879" t="s">
        <v>27247</v>
      </c>
      <c r="H7879" t="s">
        <v>27248</v>
      </c>
      <c r="I7879" t="s">
        <v>42525</v>
      </c>
      <c r="J7879" t="s">
        <v>15657</v>
      </c>
      <c r="L7879" t="s">
        <v>27250</v>
      </c>
      <c r="M7879" t="s">
        <v>27251</v>
      </c>
      <c r="N7879" t="s">
        <v>27252</v>
      </c>
      <c r="Q7879" s="1">
        <v>44538</v>
      </c>
      <c r="R7879" t="s">
        <v>27253</v>
      </c>
      <c r="S7879" t="s">
        <v>27254</v>
      </c>
      <c r="T7879" t="s">
        <v>27255</v>
      </c>
    </row>
    <row r="7880" spans="1:20" x14ac:dyDescent="0.3">
      <c r="A7880" t="str">
        <f>"0611833494200"</f>
        <v>0611833494200</v>
      </c>
      <c r="B7880" t="str">
        <f>"KY2295"</f>
        <v>KY2295</v>
      </c>
      <c r="C7880" t="s">
        <v>42526</v>
      </c>
      <c r="D7880" t="s">
        <v>27682</v>
      </c>
      <c r="E7880" t="str">
        <f t="shared" si="123"/>
        <v>001390</v>
      </c>
      <c r="F7880" t="s">
        <v>27246</v>
      </c>
      <c r="G7880" t="s">
        <v>27247</v>
      </c>
      <c r="H7880" t="s">
        <v>27248</v>
      </c>
      <c r="I7880" t="s">
        <v>42527</v>
      </c>
      <c r="J7880" t="s">
        <v>15659</v>
      </c>
      <c r="L7880" t="s">
        <v>27250</v>
      </c>
      <c r="M7880" t="s">
        <v>27251</v>
      </c>
      <c r="N7880" t="s">
        <v>27252</v>
      </c>
      <c r="Q7880" s="1">
        <v>44538</v>
      </c>
      <c r="R7880" t="s">
        <v>27253</v>
      </c>
      <c r="S7880" t="s">
        <v>27254</v>
      </c>
      <c r="T7880" t="s">
        <v>27684</v>
      </c>
    </row>
    <row r="7881" spans="1:20" x14ac:dyDescent="0.3">
      <c r="A7881" t="str">
        <f>"0611833496100"</f>
        <v>0611833496100</v>
      </c>
      <c r="B7881" t="str">
        <f>"LL2297"</f>
        <v>LL2297</v>
      </c>
      <c r="C7881" t="s">
        <v>42528</v>
      </c>
      <c r="D7881" t="s">
        <v>27245</v>
      </c>
      <c r="E7881" t="str">
        <f t="shared" si="123"/>
        <v>001390</v>
      </c>
      <c r="F7881" t="s">
        <v>27246</v>
      </c>
      <c r="G7881" t="s">
        <v>27247</v>
      </c>
      <c r="H7881" t="s">
        <v>27248</v>
      </c>
      <c r="I7881" t="s">
        <v>42529</v>
      </c>
      <c r="J7881" t="s">
        <v>15661</v>
      </c>
      <c r="L7881" t="s">
        <v>27250</v>
      </c>
      <c r="M7881" t="s">
        <v>27251</v>
      </c>
      <c r="N7881" t="s">
        <v>27252</v>
      </c>
      <c r="Q7881" s="1">
        <v>44538</v>
      </c>
      <c r="R7881" t="s">
        <v>27253</v>
      </c>
      <c r="S7881" t="s">
        <v>27254</v>
      </c>
      <c r="T7881" t="s">
        <v>27255</v>
      </c>
    </row>
    <row r="7882" spans="1:20" x14ac:dyDescent="0.3">
      <c r="A7882" t="str">
        <f>"0611836761100"</f>
        <v>0611836761100</v>
      </c>
      <c r="B7882" t="str">
        <f>"LL0057"</f>
        <v>LL0057</v>
      </c>
      <c r="C7882" t="s">
        <v>42530</v>
      </c>
      <c r="D7882" t="s">
        <v>27245</v>
      </c>
      <c r="E7882" t="str">
        <f t="shared" si="123"/>
        <v>001390</v>
      </c>
      <c r="F7882" t="s">
        <v>27246</v>
      </c>
      <c r="G7882" t="s">
        <v>27247</v>
      </c>
      <c r="H7882" t="s">
        <v>27248</v>
      </c>
      <c r="I7882" t="s">
        <v>42531</v>
      </c>
      <c r="J7882" t="s">
        <v>15663</v>
      </c>
      <c r="L7882" t="s">
        <v>27250</v>
      </c>
      <c r="M7882" t="s">
        <v>27251</v>
      </c>
      <c r="N7882" t="s">
        <v>27252</v>
      </c>
      <c r="Q7882" s="1">
        <v>44538</v>
      </c>
      <c r="R7882" t="s">
        <v>27253</v>
      </c>
      <c r="S7882" t="s">
        <v>27254</v>
      </c>
      <c r="T7882" t="s">
        <v>27255</v>
      </c>
    </row>
    <row r="7883" spans="1:20" x14ac:dyDescent="0.3">
      <c r="A7883" t="str">
        <f>"0611833501100"</f>
        <v>0611833501100</v>
      </c>
      <c r="B7883" t="str">
        <f>"LL2611"</f>
        <v>LL2611</v>
      </c>
      <c r="C7883" t="s">
        <v>42532</v>
      </c>
      <c r="D7883" t="s">
        <v>27245</v>
      </c>
      <c r="E7883" t="str">
        <f t="shared" si="123"/>
        <v>001390</v>
      </c>
      <c r="F7883" t="s">
        <v>27246</v>
      </c>
      <c r="G7883" t="s">
        <v>27247</v>
      </c>
      <c r="H7883" t="s">
        <v>27248</v>
      </c>
      <c r="I7883" t="s">
        <v>42533</v>
      </c>
      <c r="J7883" t="s">
        <v>15665</v>
      </c>
      <c r="L7883" t="s">
        <v>27250</v>
      </c>
      <c r="M7883" t="s">
        <v>27251</v>
      </c>
      <c r="N7883" t="s">
        <v>27252</v>
      </c>
      <c r="Q7883" s="1">
        <v>44538</v>
      </c>
      <c r="R7883" t="s">
        <v>27253</v>
      </c>
      <c r="S7883" t="s">
        <v>27254</v>
      </c>
      <c r="T7883" t="s">
        <v>27255</v>
      </c>
    </row>
    <row r="7884" spans="1:20" x14ac:dyDescent="0.3">
      <c r="A7884" t="str">
        <f>"0611833503100"</f>
        <v>0611833503100</v>
      </c>
      <c r="B7884" t="str">
        <f>"LL0159"</f>
        <v>LL0159</v>
      </c>
      <c r="C7884" t="s">
        <v>42534</v>
      </c>
      <c r="D7884" t="s">
        <v>27245</v>
      </c>
      <c r="E7884" t="str">
        <f t="shared" si="123"/>
        <v>001390</v>
      </c>
      <c r="F7884" t="s">
        <v>27246</v>
      </c>
      <c r="G7884" t="s">
        <v>27247</v>
      </c>
      <c r="H7884" t="s">
        <v>27248</v>
      </c>
      <c r="I7884" t="s">
        <v>42535</v>
      </c>
      <c r="J7884" t="s">
        <v>15667</v>
      </c>
      <c r="L7884" t="s">
        <v>27250</v>
      </c>
      <c r="M7884" t="s">
        <v>27251</v>
      </c>
      <c r="N7884" t="s">
        <v>27252</v>
      </c>
      <c r="Q7884" s="1">
        <v>44538</v>
      </c>
      <c r="R7884" t="s">
        <v>27253</v>
      </c>
      <c r="S7884" t="s">
        <v>27254</v>
      </c>
      <c r="T7884" t="s">
        <v>27255</v>
      </c>
    </row>
    <row r="7885" spans="1:20" x14ac:dyDescent="0.3">
      <c r="A7885" t="str">
        <f>"0611833504100"</f>
        <v>0611833504100</v>
      </c>
      <c r="B7885" t="str">
        <f>"LL2301"</f>
        <v>LL2301</v>
      </c>
      <c r="C7885" t="s">
        <v>42536</v>
      </c>
      <c r="D7885" t="s">
        <v>27245</v>
      </c>
      <c r="E7885" t="str">
        <f t="shared" si="123"/>
        <v>001390</v>
      </c>
      <c r="F7885" t="s">
        <v>27246</v>
      </c>
      <c r="G7885" t="s">
        <v>27247</v>
      </c>
      <c r="H7885" t="s">
        <v>27248</v>
      </c>
      <c r="I7885" t="s">
        <v>42537</v>
      </c>
      <c r="J7885" t="s">
        <v>15669</v>
      </c>
      <c r="L7885" t="s">
        <v>27250</v>
      </c>
      <c r="M7885" t="s">
        <v>27251</v>
      </c>
      <c r="N7885" t="s">
        <v>27252</v>
      </c>
      <c r="Q7885" s="1">
        <v>44538</v>
      </c>
      <c r="R7885" t="s">
        <v>27253</v>
      </c>
      <c r="S7885" t="s">
        <v>27254</v>
      </c>
      <c r="T7885" t="s">
        <v>27255</v>
      </c>
    </row>
    <row r="7886" spans="1:20" x14ac:dyDescent="0.3">
      <c r="A7886" t="str">
        <f>"0611833505100"</f>
        <v>0611833505100</v>
      </c>
      <c r="B7886" t="str">
        <f>"LL2302"</f>
        <v>LL2302</v>
      </c>
      <c r="C7886" t="s">
        <v>42538</v>
      </c>
      <c r="D7886" t="s">
        <v>27245</v>
      </c>
      <c r="E7886" t="str">
        <f t="shared" si="123"/>
        <v>001390</v>
      </c>
      <c r="F7886" t="s">
        <v>27246</v>
      </c>
      <c r="G7886" t="s">
        <v>27247</v>
      </c>
      <c r="H7886" t="s">
        <v>27248</v>
      </c>
      <c r="I7886" t="s">
        <v>42539</v>
      </c>
      <c r="J7886" t="s">
        <v>15671</v>
      </c>
      <c r="L7886" t="s">
        <v>27250</v>
      </c>
      <c r="M7886" t="s">
        <v>27251</v>
      </c>
      <c r="N7886" t="s">
        <v>27252</v>
      </c>
      <c r="Q7886" s="1">
        <v>44538</v>
      </c>
      <c r="R7886" t="s">
        <v>27253</v>
      </c>
      <c r="S7886" t="s">
        <v>27254</v>
      </c>
      <c r="T7886" t="s">
        <v>27255</v>
      </c>
    </row>
    <row r="7887" spans="1:20" x14ac:dyDescent="0.3">
      <c r="A7887" t="str">
        <f>"0611833506100"</f>
        <v>0611833506100</v>
      </c>
      <c r="B7887" t="str">
        <f>"LL2300"</f>
        <v>LL2300</v>
      </c>
      <c r="C7887" t="s">
        <v>42540</v>
      </c>
      <c r="D7887" t="s">
        <v>27245</v>
      </c>
      <c r="E7887" t="str">
        <f t="shared" si="123"/>
        <v>001390</v>
      </c>
      <c r="F7887" t="s">
        <v>27246</v>
      </c>
      <c r="G7887" t="s">
        <v>27247</v>
      </c>
      <c r="H7887" t="s">
        <v>27248</v>
      </c>
      <c r="I7887" t="s">
        <v>42541</v>
      </c>
      <c r="J7887" t="s">
        <v>15673</v>
      </c>
      <c r="L7887" t="s">
        <v>27250</v>
      </c>
      <c r="M7887" t="s">
        <v>27251</v>
      </c>
      <c r="N7887" t="s">
        <v>27252</v>
      </c>
      <c r="Q7887" s="1">
        <v>44538</v>
      </c>
      <c r="R7887" t="s">
        <v>27253</v>
      </c>
      <c r="S7887" t="s">
        <v>27254</v>
      </c>
      <c r="T7887" t="s">
        <v>27255</v>
      </c>
    </row>
    <row r="7888" spans="1:20" x14ac:dyDescent="0.3">
      <c r="A7888" t="str">
        <f>"0611833508100"</f>
        <v>0611833508100</v>
      </c>
      <c r="B7888" t="str">
        <f>"LL2617"</f>
        <v>LL2617</v>
      </c>
      <c r="C7888" t="s">
        <v>42542</v>
      </c>
      <c r="D7888" t="s">
        <v>27245</v>
      </c>
      <c r="E7888" t="str">
        <f t="shared" si="123"/>
        <v>001390</v>
      </c>
      <c r="F7888" t="s">
        <v>27246</v>
      </c>
      <c r="G7888" t="s">
        <v>27247</v>
      </c>
      <c r="H7888" t="s">
        <v>27248</v>
      </c>
      <c r="I7888" t="s">
        <v>42543</v>
      </c>
      <c r="J7888" t="s">
        <v>15675</v>
      </c>
      <c r="L7888" t="s">
        <v>27250</v>
      </c>
      <c r="M7888" t="s">
        <v>27251</v>
      </c>
      <c r="N7888" t="s">
        <v>27252</v>
      </c>
      <c r="Q7888" s="1">
        <v>44538</v>
      </c>
      <c r="R7888" t="s">
        <v>27253</v>
      </c>
      <c r="S7888" t="s">
        <v>27254</v>
      </c>
      <c r="T7888" t="s">
        <v>27255</v>
      </c>
    </row>
    <row r="7889" spans="1:20" x14ac:dyDescent="0.3">
      <c r="A7889" t="str">
        <f>"0611833509100"</f>
        <v>0611833509100</v>
      </c>
      <c r="B7889" t="str">
        <f>"LL8023"</f>
        <v>LL8023</v>
      </c>
      <c r="C7889" t="s">
        <v>42544</v>
      </c>
      <c r="D7889" t="s">
        <v>27245</v>
      </c>
      <c r="E7889" t="str">
        <f t="shared" si="123"/>
        <v>001390</v>
      </c>
      <c r="F7889" t="s">
        <v>27246</v>
      </c>
      <c r="G7889" t="s">
        <v>27247</v>
      </c>
      <c r="H7889" t="s">
        <v>27248</v>
      </c>
      <c r="I7889" t="s">
        <v>42545</v>
      </c>
      <c r="J7889" t="s">
        <v>15677</v>
      </c>
      <c r="L7889" t="s">
        <v>27250</v>
      </c>
      <c r="M7889" t="s">
        <v>27251</v>
      </c>
      <c r="N7889" t="s">
        <v>27252</v>
      </c>
      <c r="Q7889" s="1">
        <v>44538</v>
      </c>
      <c r="R7889" t="s">
        <v>27253</v>
      </c>
      <c r="S7889" t="s">
        <v>27254</v>
      </c>
      <c r="T7889" t="s">
        <v>27255</v>
      </c>
    </row>
    <row r="7890" spans="1:20" x14ac:dyDescent="0.3">
      <c r="A7890" t="str">
        <f>"0611833512100"</f>
        <v>0611833512100</v>
      </c>
      <c r="B7890" t="str">
        <f>"LL2320"</f>
        <v>LL2320</v>
      </c>
      <c r="C7890" t="s">
        <v>42546</v>
      </c>
      <c r="D7890" t="s">
        <v>27245</v>
      </c>
      <c r="E7890" t="str">
        <f t="shared" si="123"/>
        <v>001390</v>
      </c>
      <c r="F7890" t="s">
        <v>27246</v>
      </c>
      <c r="G7890" t="s">
        <v>27247</v>
      </c>
      <c r="H7890" t="s">
        <v>27248</v>
      </c>
      <c r="I7890" t="s">
        <v>42547</v>
      </c>
      <c r="J7890" t="s">
        <v>15679</v>
      </c>
      <c r="L7890" t="s">
        <v>27250</v>
      </c>
      <c r="M7890" t="s">
        <v>27251</v>
      </c>
      <c r="N7890" t="s">
        <v>27252</v>
      </c>
      <c r="Q7890" s="1">
        <v>44538</v>
      </c>
      <c r="R7890" t="s">
        <v>27253</v>
      </c>
      <c r="S7890" t="s">
        <v>27254</v>
      </c>
      <c r="T7890" t="s">
        <v>27255</v>
      </c>
    </row>
    <row r="7891" spans="1:20" x14ac:dyDescent="0.3">
      <c r="A7891" t="str">
        <f>"0611833514100"</f>
        <v>0611833514100</v>
      </c>
      <c r="B7891" t="str">
        <f>"LL2319"</f>
        <v>LL2319</v>
      </c>
      <c r="C7891" t="s">
        <v>42548</v>
      </c>
      <c r="D7891" t="s">
        <v>27245</v>
      </c>
      <c r="E7891" t="str">
        <f t="shared" si="123"/>
        <v>001390</v>
      </c>
      <c r="F7891" t="s">
        <v>27246</v>
      </c>
      <c r="G7891" t="s">
        <v>27247</v>
      </c>
      <c r="H7891" t="s">
        <v>27248</v>
      </c>
      <c r="I7891" t="s">
        <v>42549</v>
      </c>
      <c r="J7891" t="s">
        <v>15681</v>
      </c>
      <c r="L7891" t="s">
        <v>27250</v>
      </c>
      <c r="M7891" t="s">
        <v>27251</v>
      </c>
      <c r="N7891" t="s">
        <v>27252</v>
      </c>
      <c r="Q7891" s="1">
        <v>44538</v>
      </c>
      <c r="R7891" t="s">
        <v>27253</v>
      </c>
      <c r="S7891" t="s">
        <v>27254</v>
      </c>
      <c r="T7891" t="s">
        <v>27255</v>
      </c>
    </row>
    <row r="7892" spans="1:20" x14ac:dyDescent="0.3">
      <c r="A7892" t="str">
        <f>"0611833516100"</f>
        <v>0611833516100</v>
      </c>
      <c r="B7892" t="str">
        <f>"LL2298"</f>
        <v>LL2298</v>
      </c>
      <c r="C7892" t="s">
        <v>42550</v>
      </c>
      <c r="D7892" t="s">
        <v>27245</v>
      </c>
      <c r="E7892" t="str">
        <f t="shared" si="123"/>
        <v>001390</v>
      </c>
      <c r="F7892" t="s">
        <v>27246</v>
      </c>
      <c r="G7892" t="s">
        <v>27247</v>
      </c>
      <c r="H7892" t="s">
        <v>27248</v>
      </c>
      <c r="I7892" t="s">
        <v>42551</v>
      </c>
      <c r="J7892" t="s">
        <v>15683</v>
      </c>
      <c r="L7892" t="s">
        <v>27250</v>
      </c>
      <c r="M7892" t="s">
        <v>27251</v>
      </c>
      <c r="N7892" t="s">
        <v>27252</v>
      </c>
      <c r="Q7892" s="1">
        <v>44538</v>
      </c>
      <c r="R7892" t="s">
        <v>27253</v>
      </c>
      <c r="S7892" t="s">
        <v>27254</v>
      </c>
      <c r="T7892" t="s">
        <v>27255</v>
      </c>
    </row>
    <row r="7893" spans="1:20" x14ac:dyDescent="0.3">
      <c r="A7893" t="str">
        <f>"0611833517100"</f>
        <v>0611833517100</v>
      </c>
      <c r="B7893" t="str">
        <f>"LL2616"</f>
        <v>LL2616</v>
      </c>
      <c r="C7893" t="s">
        <v>42552</v>
      </c>
      <c r="D7893" t="s">
        <v>27245</v>
      </c>
      <c r="E7893" t="str">
        <f t="shared" si="123"/>
        <v>001390</v>
      </c>
      <c r="F7893" t="s">
        <v>27246</v>
      </c>
      <c r="G7893" t="s">
        <v>27247</v>
      </c>
      <c r="H7893" t="s">
        <v>27248</v>
      </c>
      <c r="I7893" t="s">
        <v>42553</v>
      </c>
      <c r="J7893" t="s">
        <v>15685</v>
      </c>
      <c r="L7893" t="s">
        <v>27250</v>
      </c>
      <c r="M7893" t="s">
        <v>27251</v>
      </c>
      <c r="N7893" t="s">
        <v>27252</v>
      </c>
      <c r="Q7893" s="1">
        <v>44538</v>
      </c>
      <c r="R7893" t="s">
        <v>27253</v>
      </c>
      <c r="S7893" t="s">
        <v>27254</v>
      </c>
      <c r="T7893" t="s">
        <v>27255</v>
      </c>
    </row>
    <row r="7894" spans="1:20" x14ac:dyDescent="0.3">
      <c r="A7894" t="str">
        <f>"0611833518100"</f>
        <v>0611833518100</v>
      </c>
      <c r="B7894" t="str">
        <f>"LL8198"</f>
        <v>LL8198</v>
      </c>
      <c r="C7894" t="s">
        <v>42554</v>
      </c>
      <c r="D7894" t="s">
        <v>27245</v>
      </c>
      <c r="E7894" t="str">
        <f t="shared" si="123"/>
        <v>001390</v>
      </c>
      <c r="F7894" t="s">
        <v>27246</v>
      </c>
      <c r="G7894" t="s">
        <v>27247</v>
      </c>
      <c r="H7894" t="s">
        <v>27248</v>
      </c>
      <c r="I7894" t="s">
        <v>42555</v>
      </c>
      <c r="J7894" t="s">
        <v>15687</v>
      </c>
      <c r="L7894" t="s">
        <v>27250</v>
      </c>
      <c r="M7894" t="s">
        <v>27251</v>
      </c>
      <c r="N7894" t="s">
        <v>27252</v>
      </c>
      <c r="Q7894" s="1">
        <v>44538</v>
      </c>
      <c r="R7894" t="s">
        <v>27253</v>
      </c>
      <c r="S7894" t="s">
        <v>27254</v>
      </c>
      <c r="T7894" t="s">
        <v>27255</v>
      </c>
    </row>
    <row r="7895" spans="1:20" x14ac:dyDescent="0.3">
      <c r="A7895" t="str">
        <f>"0611833519100"</f>
        <v>0611833519100</v>
      </c>
      <c r="B7895" t="str">
        <f>"LL2321"</f>
        <v>LL2321</v>
      </c>
      <c r="C7895" t="s">
        <v>42556</v>
      </c>
      <c r="D7895" t="s">
        <v>27245</v>
      </c>
      <c r="E7895" t="str">
        <f t="shared" si="123"/>
        <v>001390</v>
      </c>
      <c r="F7895" t="s">
        <v>27246</v>
      </c>
      <c r="G7895" t="s">
        <v>27247</v>
      </c>
      <c r="H7895" t="s">
        <v>27248</v>
      </c>
      <c r="I7895" t="s">
        <v>42557</v>
      </c>
      <c r="J7895" t="s">
        <v>15689</v>
      </c>
      <c r="L7895" t="s">
        <v>27250</v>
      </c>
      <c r="M7895" t="s">
        <v>27251</v>
      </c>
      <c r="N7895" t="s">
        <v>27252</v>
      </c>
      <c r="Q7895" s="1">
        <v>44538</v>
      </c>
      <c r="R7895" t="s">
        <v>27253</v>
      </c>
      <c r="S7895" t="s">
        <v>27254</v>
      </c>
      <c r="T7895" t="s">
        <v>27255</v>
      </c>
    </row>
    <row r="7896" spans="1:20" x14ac:dyDescent="0.3">
      <c r="A7896" t="str">
        <f>"0611833525100"</f>
        <v>0611833525100</v>
      </c>
      <c r="B7896" t="str">
        <f>"LL8199"</f>
        <v>LL8199</v>
      </c>
      <c r="C7896" t="s">
        <v>42558</v>
      </c>
      <c r="D7896" t="s">
        <v>27245</v>
      </c>
      <c r="E7896" t="str">
        <f t="shared" si="123"/>
        <v>001390</v>
      </c>
      <c r="F7896" t="s">
        <v>27246</v>
      </c>
      <c r="G7896" t="s">
        <v>27247</v>
      </c>
      <c r="H7896" t="s">
        <v>27248</v>
      </c>
      <c r="I7896" t="s">
        <v>42559</v>
      </c>
      <c r="J7896" t="s">
        <v>15691</v>
      </c>
      <c r="L7896" t="s">
        <v>27250</v>
      </c>
      <c r="M7896" t="s">
        <v>27251</v>
      </c>
      <c r="N7896" t="s">
        <v>27252</v>
      </c>
      <c r="Q7896" s="1">
        <v>44538</v>
      </c>
      <c r="R7896" t="s">
        <v>27253</v>
      </c>
      <c r="S7896" t="s">
        <v>27254</v>
      </c>
      <c r="T7896" t="s">
        <v>27255</v>
      </c>
    </row>
    <row r="7897" spans="1:20" x14ac:dyDescent="0.3">
      <c r="A7897" t="str">
        <f>"0611833535100"</f>
        <v>0611833535100</v>
      </c>
      <c r="B7897" t="str">
        <f>"LL0148"</f>
        <v>LL0148</v>
      </c>
      <c r="C7897" t="s">
        <v>42560</v>
      </c>
      <c r="D7897" t="s">
        <v>27245</v>
      </c>
      <c r="E7897" t="str">
        <f t="shared" si="123"/>
        <v>001390</v>
      </c>
      <c r="F7897" t="s">
        <v>27246</v>
      </c>
      <c r="G7897" t="s">
        <v>27247</v>
      </c>
      <c r="H7897" t="s">
        <v>27248</v>
      </c>
      <c r="I7897" t="s">
        <v>42561</v>
      </c>
      <c r="J7897" t="s">
        <v>15693</v>
      </c>
      <c r="L7897" t="s">
        <v>27250</v>
      </c>
      <c r="M7897" t="s">
        <v>27251</v>
      </c>
      <c r="N7897" t="s">
        <v>27252</v>
      </c>
      <c r="Q7897" s="1">
        <v>44538</v>
      </c>
      <c r="R7897" t="s">
        <v>27253</v>
      </c>
      <c r="S7897" t="s">
        <v>27254</v>
      </c>
      <c r="T7897" t="s">
        <v>27255</v>
      </c>
    </row>
    <row r="7898" spans="1:20" x14ac:dyDescent="0.3">
      <c r="A7898" t="str">
        <f>"0611833543100"</f>
        <v>0611833543100</v>
      </c>
      <c r="B7898" t="str">
        <f>"LL0058"</f>
        <v>LL0058</v>
      </c>
      <c r="C7898" t="s">
        <v>42562</v>
      </c>
      <c r="D7898" t="s">
        <v>27245</v>
      </c>
      <c r="E7898" t="str">
        <f t="shared" si="123"/>
        <v>001390</v>
      </c>
      <c r="F7898" t="s">
        <v>27246</v>
      </c>
      <c r="G7898" t="s">
        <v>27247</v>
      </c>
      <c r="H7898" t="s">
        <v>27248</v>
      </c>
      <c r="I7898" t="s">
        <v>42563</v>
      </c>
      <c r="J7898" t="s">
        <v>15695</v>
      </c>
      <c r="L7898" t="s">
        <v>27250</v>
      </c>
      <c r="M7898" t="s">
        <v>27251</v>
      </c>
      <c r="N7898" t="s">
        <v>27252</v>
      </c>
      <c r="Q7898" s="1">
        <v>44538</v>
      </c>
      <c r="R7898" t="s">
        <v>27253</v>
      </c>
      <c r="S7898" t="s">
        <v>27254</v>
      </c>
      <c r="T7898" t="s">
        <v>27255</v>
      </c>
    </row>
    <row r="7899" spans="1:20" x14ac:dyDescent="0.3">
      <c r="A7899" t="str">
        <f>"0611833544100"</f>
        <v>0611833544100</v>
      </c>
      <c r="B7899" t="str">
        <f>"LL8201"</f>
        <v>LL8201</v>
      </c>
      <c r="C7899" t="s">
        <v>42564</v>
      </c>
      <c r="D7899" t="s">
        <v>28138</v>
      </c>
      <c r="E7899" t="str">
        <f t="shared" si="123"/>
        <v>001390</v>
      </c>
      <c r="F7899" t="s">
        <v>27246</v>
      </c>
      <c r="G7899" t="s">
        <v>27247</v>
      </c>
      <c r="H7899" t="s">
        <v>27248</v>
      </c>
      <c r="I7899" t="s">
        <v>42565</v>
      </c>
      <c r="J7899" t="s">
        <v>15697</v>
      </c>
      <c r="L7899" t="s">
        <v>27250</v>
      </c>
      <c r="M7899" t="s">
        <v>27251</v>
      </c>
      <c r="N7899" t="s">
        <v>27252</v>
      </c>
      <c r="P7899" t="s">
        <v>27925</v>
      </c>
      <c r="Q7899" s="1">
        <v>44538</v>
      </c>
      <c r="R7899" t="s">
        <v>27253</v>
      </c>
      <c r="S7899" t="s">
        <v>27254</v>
      </c>
      <c r="T7899" t="s">
        <v>27255</v>
      </c>
    </row>
    <row r="7900" spans="1:20" x14ac:dyDescent="0.3">
      <c r="A7900" t="str">
        <f>"0611833555100"</f>
        <v>0611833555100</v>
      </c>
      <c r="B7900" t="str">
        <f>"LL2332"</f>
        <v>LL2332</v>
      </c>
      <c r="C7900" t="s">
        <v>42566</v>
      </c>
      <c r="D7900" t="s">
        <v>27245</v>
      </c>
      <c r="E7900" t="str">
        <f t="shared" si="123"/>
        <v>001390</v>
      </c>
      <c r="F7900" t="s">
        <v>27246</v>
      </c>
      <c r="G7900" t="s">
        <v>27247</v>
      </c>
      <c r="H7900" t="s">
        <v>27248</v>
      </c>
      <c r="I7900" t="s">
        <v>42567</v>
      </c>
      <c r="J7900" t="s">
        <v>15699</v>
      </c>
      <c r="L7900" t="s">
        <v>27250</v>
      </c>
      <c r="M7900" t="s">
        <v>27251</v>
      </c>
      <c r="N7900" t="s">
        <v>27252</v>
      </c>
      <c r="Q7900" s="1">
        <v>44538</v>
      </c>
      <c r="R7900" t="s">
        <v>27253</v>
      </c>
      <c r="S7900" t="s">
        <v>27254</v>
      </c>
      <c r="T7900" t="s">
        <v>27255</v>
      </c>
    </row>
    <row r="7901" spans="1:20" x14ac:dyDescent="0.3">
      <c r="A7901" t="str">
        <f>"0611836793025"</f>
        <v>0611836793025</v>
      </c>
      <c r="B7901" t="str">
        <f>"MC0531"</f>
        <v>MC0531</v>
      </c>
      <c r="C7901" t="s">
        <v>42568</v>
      </c>
      <c r="D7901" t="s">
        <v>27267</v>
      </c>
      <c r="E7901" t="str">
        <f t="shared" si="123"/>
        <v>001390</v>
      </c>
      <c r="F7901" t="s">
        <v>27246</v>
      </c>
      <c r="G7901" t="s">
        <v>27247</v>
      </c>
      <c r="H7901" t="s">
        <v>27248</v>
      </c>
      <c r="I7901" t="s">
        <v>42569</v>
      </c>
      <c r="J7901" t="s">
        <v>15701</v>
      </c>
      <c r="L7901" t="s">
        <v>27250</v>
      </c>
      <c r="M7901" t="s">
        <v>27251</v>
      </c>
      <c r="N7901" t="s">
        <v>27252</v>
      </c>
      <c r="Q7901" s="1">
        <v>44538</v>
      </c>
      <c r="R7901" t="s">
        <v>27253</v>
      </c>
      <c r="S7901" t="s">
        <v>27254</v>
      </c>
      <c r="T7901" t="s">
        <v>27269</v>
      </c>
    </row>
    <row r="7902" spans="1:20" x14ac:dyDescent="0.3">
      <c r="A7902" t="str">
        <f>"0611836794100"</f>
        <v>0611836794100</v>
      </c>
      <c r="B7902" t="str">
        <f>"LB5420"</f>
        <v>LB5420</v>
      </c>
      <c r="C7902" t="s">
        <v>42570</v>
      </c>
      <c r="D7902" t="s">
        <v>27245</v>
      </c>
      <c r="E7902" t="str">
        <f t="shared" si="123"/>
        <v>001390</v>
      </c>
      <c r="F7902" t="s">
        <v>27246</v>
      </c>
      <c r="G7902" t="s">
        <v>27247</v>
      </c>
      <c r="H7902" t="s">
        <v>27248</v>
      </c>
      <c r="I7902" t="s">
        <v>42571</v>
      </c>
      <c r="J7902" t="s">
        <v>15703</v>
      </c>
      <c r="L7902" t="s">
        <v>27250</v>
      </c>
      <c r="M7902" t="s">
        <v>27251</v>
      </c>
      <c r="N7902" t="s">
        <v>27252</v>
      </c>
      <c r="Q7902" s="1">
        <v>44538</v>
      </c>
      <c r="R7902" t="s">
        <v>27253</v>
      </c>
      <c r="S7902" t="s">
        <v>27254</v>
      </c>
      <c r="T7902" t="s">
        <v>27255</v>
      </c>
    </row>
    <row r="7903" spans="1:20" x14ac:dyDescent="0.3">
      <c r="A7903" t="str">
        <f>"0611836795025"</f>
        <v>0611836795025</v>
      </c>
      <c r="B7903" t="str">
        <f>"MC3225"</f>
        <v>MC3225</v>
      </c>
      <c r="C7903" t="s">
        <v>42572</v>
      </c>
      <c r="D7903" t="s">
        <v>27267</v>
      </c>
      <c r="E7903" t="str">
        <f t="shared" si="123"/>
        <v>001390</v>
      </c>
      <c r="F7903" t="s">
        <v>27246</v>
      </c>
      <c r="G7903" t="s">
        <v>27247</v>
      </c>
      <c r="H7903" t="s">
        <v>27248</v>
      </c>
      <c r="I7903" t="s">
        <v>42573</v>
      </c>
      <c r="J7903" t="s">
        <v>15705</v>
      </c>
      <c r="L7903" t="s">
        <v>27250</v>
      </c>
      <c r="M7903" t="s">
        <v>27251</v>
      </c>
      <c r="N7903" t="s">
        <v>27252</v>
      </c>
      <c r="Q7903" s="1">
        <v>44538</v>
      </c>
      <c r="R7903" t="s">
        <v>27253</v>
      </c>
      <c r="S7903" t="s">
        <v>27254</v>
      </c>
      <c r="T7903" t="s">
        <v>27269</v>
      </c>
    </row>
    <row r="7904" spans="1:20" x14ac:dyDescent="0.3">
      <c r="A7904" t="str">
        <f>"0611836797100"</f>
        <v>0611836797100</v>
      </c>
      <c r="B7904" t="str">
        <f>"LF4710"</f>
        <v>LF4710</v>
      </c>
      <c r="C7904" t="s">
        <v>42574</v>
      </c>
      <c r="D7904" t="s">
        <v>27245</v>
      </c>
      <c r="E7904" t="str">
        <f t="shared" si="123"/>
        <v>001390</v>
      </c>
      <c r="F7904" t="s">
        <v>27246</v>
      </c>
      <c r="G7904" t="s">
        <v>27247</v>
      </c>
      <c r="H7904" t="s">
        <v>27248</v>
      </c>
      <c r="I7904" t="s">
        <v>42575</v>
      </c>
      <c r="J7904" t="s">
        <v>15707</v>
      </c>
      <c r="L7904" t="s">
        <v>27250</v>
      </c>
      <c r="M7904" t="s">
        <v>27251</v>
      </c>
      <c r="N7904" t="s">
        <v>27252</v>
      </c>
      <c r="Q7904" s="1">
        <v>44538</v>
      </c>
      <c r="R7904" t="s">
        <v>27253</v>
      </c>
      <c r="S7904" t="s">
        <v>27254</v>
      </c>
      <c r="T7904" t="s">
        <v>27255</v>
      </c>
    </row>
    <row r="7905" spans="1:20" x14ac:dyDescent="0.3">
      <c r="A7905" t="str">
        <f>"0611836798100"</f>
        <v>0611836798100</v>
      </c>
      <c r="B7905" t="str">
        <f>"LB5516"</f>
        <v>LB5516</v>
      </c>
      <c r="C7905" t="s">
        <v>42576</v>
      </c>
      <c r="D7905" t="s">
        <v>28138</v>
      </c>
      <c r="E7905" t="str">
        <f t="shared" si="123"/>
        <v>001390</v>
      </c>
      <c r="F7905" t="s">
        <v>27246</v>
      </c>
      <c r="G7905" t="s">
        <v>27247</v>
      </c>
      <c r="H7905" t="s">
        <v>27248</v>
      </c>
      <c r="I7905" t="s">
        <v>42577</v>
      </c>
      <c r="J7905" t="s">
        <v>15711</v>
      </c>
      <c r="L7905" t="s">
        <v>27250</v>
      </c>
      <c r="M7905" t="s">
        <v>27251</v>
      </c>
      <c r="N7905" t="s">
        <v>27252</v>
      </c>
      <c r="P7905" t="s">
        <v>27925</v>
      </c>
      <c r="Q7905" s="1">
        <v>44538</v>
      </c>
      <c r="R7905" t="s">
        <v>27253</v>
      </c>
      <c r="S7905" t="s">
        <v>27254</v>
      </c>
      <c r="T7905" t="s">
        <v>27255</v>
      </c>
    </row>
    <row r="7906" spans="1:20" x14ac:dyDescent="0.3">
      <c r="A7906" t="str">
        <f>"0611836799100"</f>
        <v>0611836799100</v>
      </c>
      <c r="B7906" t="str">
        <f>"LK5813"</f>
        <v>LK5813</v>
      </c>
      <c r="C7906" t="s">
        <v>42578</v>
      </c>
      <c r="D7906" t="s">
        <v>28138</v>
      </c>
      <c r="E7906" t="str">
        <f t="shared" si="123"/>
        <v>001390</v>
      </c>
      <c r="F7906" t="s">
        <v>27246</v>
      </c>
      <c r="G7906" t="s">
        <v>27247</v>
      </c>
      <c r="H7906" t="s">
        <v>27248</v>
      </c>
      <c r="I7906" t="s">
        <v>42579</v>
      </c>
      <c r="J7906" t="s">
        <v>15713</v>
      </c>
      <c r="L7906" t="s">
        <v>27250</v>
      </c>
      <c r="M7906" t="s">
        <v>27251</v>
      </c>
      <c r="N7906" t="s">
        <v>27252</v>
      </c>
      <c r="P7906" t="s">
        <v>27925</v>
      </c>
      <c r="Q7906" s="1">
        <v>44538</v>
      </c>
      <c r="R7906" t="s">
        <v>27253</v>
      </c>
      <c r="S7906" t="s">
        <v>27254</v>
      </c>
      <c r="T7906" t="s">
        <v>27255</v>
      </c>
    </row>
    <row r="7907" spans="1:20" x14ac:dyDescent="0.3">
      <c r="A7907" t="str">
        <f>"0611836800100"</f>
        <v>0611836800100</v>
      </c>
      <c r="B7907" t="str">
        <f>"LQ6240"</f>
        <v>LQ6240</v>
      </c>
      <c r="C7907" t="s">
        <v>42580</v>
      </c>
      <c r="D7907" t="s">
        <v>27245</v>
      </c>
      <c r="E7907" t="str">
        <f t="shared" si="123"/>
        <v>001390</v>
      </c>
      <c r="F7907" t="s">
        <v>27246</v>
      </c>
      <c r="G7907" t="s">
        <v>27247</v>
      </c>
      <c r="H7907" t="s">
        <v>27248</v>
      </c>
      <c r="I7907" t="s">
        <v>42581</v>
      </c>
      <c r="J7907" t="s">
        <v>15715</v>
      </c>
      <c r="L7907" t="s">
        <v>27250</v>
      </c>
      <c r="M7907" t="s">
        <v>27251</v>
      </c>
      <c r="N7907" t="s">
        <v>27252</v>
      </c>
      <c r="Q7907" s="1">
        <v>44538</v>
      </c>
      <c r="R7907" t="s">
        <v>27253</v>
      </c>
      <c r="S7907" t="s">
        <v>27254</v>
      </c>
      <c r="T7907" t="s">
        <v>27255</v>
      </c>
    </row>
    <row r="7908" spans="1:20" x14ac:dyDescent="0.3">
      <c r="A7908" t="str">
        <f>"0611836801100"</f>
        <v>0611836801100</v>
      </c>
      <c r="B7908" t="str">
        <f>"LK2900"</f>
        <v>LK2900</v>
      </c>
      <c r="C7908" t="s">
        <v>42582</v>
      </c>
      <c r="D7908" t="s">
        <v>27245</v>
      </c>
      <c r="E7908" t="str">
        <f t="shared" si="123"/>
        <v>001390</v>
      </c>
      <c r="F7908" t="s">
        <v>27246</v>
      </c>
      <c r="G7908" t="s">
        <v>27247</v>
      </c>
      <c r="H7908" t="s">
        <v>27248</v>
      </c>
      <c r="I7908" t="s">
        <v>42583</v>
      </c>
      <c r="J7908" t="s">
        <v>15717</v>
      </c>
      <c r="L7908" t="s">
        <v>27250</v>
      </c>
      <c r="M7908" t="s">
        <v>27251</v>
      </c>
      <c r="N7908" t="s">
        <v>27252</v>
      </c>
      <c r="Q7908" s="1">
        <v>44538</v>
      </c>
      <c r="R7908" t="s">
        <v>27253</v>
      </c>
      <c r="S7908" t="s">
        <v>27254</v>
      </c>
      <c r="T7908" t="s">
        <v>27255</v>
      </c>
    </row>
    <row r="7909" spans="1:20" x14ac:dyDescent="0.3">
      <c r="A7909" t="str">
        <f>"0611836802100"</f>
        <v>0611836802100</v>
      </c>
      <c r="B7909" t="str">
        <f>"LK0238"</f>
        <v>LK0238</v>
      </c>
      <c r="C7909" t="s">
        <v>42584</v>
      </c>
      <c r="D7909" t="s">
        <v>27245</v>
      </c>
      <c r="E7909" t="str">
        <f t="shared" si="123"/>
        <v>001390</v>
      </c>
      <c r="F7909" t="s">
        <v>27246</v>
      </c>
      <c r="G7909" t="s">
        <v>27247</v>
      </c>
      <c r="H7909" t="s">
        <v>27248</v>
      </c>
      <c r="I7909" t="s">
        <v>42585</v>
      </c>
      <c r="J7909" t="s">
        <v>15709</v>
      </c>
      <c r="L7909" t="s">
        <v>27250</v>
      </c>
      <c r="M7909" t="s">
        <v>27251</v>
      </c>
      <c r="N7909" t="s">
        <v>27252</v>
      </c>
      <c r="Q7909" s="1">
        <v>44538</v>
      </c>
      <c r="R7909" t="s">
        <v>27253</v>
      </c>
      <c r="S7909" t="s">
        <v>27254</v>
      </c>
      <c r="T7909" t="s">
        <v>27255</v>
      </c>
    </row>
    <row r="7910" spans="1:20" x14ac:dyDescent="0.3">
      <c r="A7910" t="str">
        <f>"0611836803100"</f>
        <v>0611836803100</v>
      </c>
      <c r="B7910" t="str">
        <f>"LB5500"</f>
        <v>LB5500</v>
      </c>
      <c r="C7910" t="s">
        <v>42586</v>
      </c>
      <c r="D7910" t="s">
        <v>27245</v>
      </c>
      <c r="E7910" t="str">
        <f t="shared" si="123"/>
        <v>001390</v>
      </c>
      <c r="F7910" t="s">
        <v>27246</v>
      </c>
      <c r="G7910" t="s">
        <v>27247</v>
      </c>
      <c r="H7910" t="s">
        <v>27248</v>
      </c>
      <c r="I7910" t="s">
        <v>42587</v>
      </c>
      <c r="J7910" t="s">
        <v>15719</v>
      </c>
      <c r="L7910" t="s">
        <v>27250</v>
      </c>
      <c r="M7910" t="s">
        <v>27251</v>
      </c>
      <c r="N7910" t="s">
        <v>27252</v>
      </c>
      <c r="Q7910" s="1">
        <v>44538</v>
      </c>
      <c r="R7910" t="s">
        <v>27253</v>
      </c>
      <c r="S7910" t="s">
        <v>27254</v>
      </c>
      <c r="T7910" t="s">
        <v>27255</v>
      </c>
    </row>
    <row r="7911" spans="1:20" x14ac:dyDescent="0.3">
      <c r="A7911" t="str">
        <f>"0611836804100"</f>
        <v>0611836804100</v>
      </c>
      <c r="B7911" t="str">
        <f>"LB5390"</f>
        <v>LB5390</v>
      </c>
      <c r="C7911" t="s">
        <v>42588</v>
      </c>
      <c r="D7911" t="s">
        <v>27245</v>
      </c>
      <c r="E7911" t="str">
        <f t="shared" si="123"/>
        <v>001390</v>
      </c>
      <c r="F7911" t="s">
        <v>27246</v>
      </c>
      <c r="G7911" t="s">
        <v>27247</v>
      </c>
      <c r="H7911" t="s">
        <v>27248</v>
      </c>
      <c r="I7911" t="s">
        <v>42589</v>
      </c>
      <c r="J7911" t="s">
        <v>15721</v>
      </c>
      <c r="L7911" t="s">
        <v>27250</v>
      </c>
      <c r="M7911" t="s">
        <v>27251</v>
      </c>
      <c r="N7911" t="s">
        <v>27252</v>
      </c>
      <c r="Q7911" s="1">
        <v>44538</v>
      </c>
      <c r="R7911" t="s">
        <v>27253</v>
      </c>
      <c r="S7911" t="s">
        <v>27254</v>
      </c>
      <c r="T7911" t="s">
        <v>27255</v>
      </c>
    </row>
    <row r="7912" spans="1:20" x14ac:dyDescent="0.3">
      <c r="A7912" t="str">
        <f>"0611645903050"</f>
        <v>0611645903050</v>
      </c>
      <c r="B7912" t="str">
        <f>""</f>
        <v/>
      </c>
      <c r="C7912" t="s">
        <v>42590</v>
      </c>
      <c r="D7912" t="s">
        <v>42591</v>
      </c>
      <c r="E7912" t="str">
        <f t="shared" si="123"/>
        <v>001390</v>
      </c>
      <c r="F7912" t="s">
        <v>27246</v>
      </c>
      <c r="G7912" t="s">
        <v>27247</v>
      </c>
      <c r="H7912" t="s">
        <v>27248</v>
      </c>
      <c r="I7912" t="s">
        <v>42592</v>
      </c>
      <c r="J7912" t="s">
        <v>15723</v>
      </c>
      <c r="L7912" t="s">
        <v>27250</v>
      </c>
      <c r="M7912" t="s">
        <v>27251</v>
      </c>
      <c r="N7912" t="s">
        <v>27252</v>
      </c>
      <c r="O7912">
        <v>300</v>
      </c>
      <c r="Q7912" s="1">
        <v>42331</v>
      </c>
      <c r="R7912" t="s">
        <v>27253</v>
      </c>
      <c r="S7912" t="s">
        <v>27254</v>
      </c>
      <c r="T7912" t="s">
        <v>35879</v>
      </c>
    </row>
    <row r="7913" spans="1:20" x14ac:dyDescent="0.3">
      <c r="A7913" t="str">
        <f>"0611836762100"</f>
        <v>0611836762100</v>
      </c>
      <c r="B7913" t="str">
        <f>"LC5110"</f>
        <v>LC5110</v>
      </c>
      <c r="C7913" t="s">
        <v>42593</v>
      </c>
      <c r="D7913" t="s">
        <v>27245</v>
      </c>
      <c r="E7913" t="str">
        <f t="shared" si="123"/>
        <v>001390</v>
      </c>
      <c r="F7913" t="s">
        <v>27246</v>
      </c>
      <c r="G7913" t="s">
        <v>27247</v>
      </c>
      <c r="H7913" t="s">
        <v>27248</v>
      </c>
      <c r="I7913" t="s">
        <v>42594</v>
      </c>
      <c r="J7913" t="s">
        <v>15727</v>
      </c>
      <c r="L7913" t="s">
        <v>27250</v>
      </c>
      <c r="M7913" t="s">
        <v>27251</v>
      </c>
      <c r="N7913" t="s">
        <v>27252</v>
      </c>
      <c r="Q7913" s="1">
        <v>44538</v>
      </c>
      <c r="R7913" t="s">
        <v>27253</v>
      </c>
      <c r="S7913" t="s">
        <v>27254</v>
      </c>
      <c r="T7913" t="s">
        <v>27255</v>
      </c>
    </row>
    <row r="7914" spans="1:20" x14ac:dyDescent="0.3">
      <c r="A7914" t="str">
        <f>"0611862535050"</f>
        <v>0611862535050</v>
      </c>
      <c r="B7914" t="str">
        <f>"CR4378"</f>
        <v>CR4378</v>
      </c>
      <c r="C7914" t="s">
        <v>42595</v>
      </c>
      <c r="D7914" t="s">
        <v>27286</v>
      </c>
      <c r="E7914" t="str">
        <f t="shared" si="123"/>
        <v>001390</v>
      </c>
      <c r="F7914" t="s">
        <v>27246</v>
      </c>
      <c r="G7914" t="s">
        <v>27247</v>
      </c>
      <c r="H7914" t="s">
        <v>27248</v>
      </c>
      <c r="I7914" t="s">
        <v>42596</v>
      </c>
      <c r="J7914" t="s">
        <v>15725</v>
      </c>
      <c r="L7914" t="s">
        <v>27250</v>
      </c>
      <c r="M7914" t="s">
        <v>27251</v>
      </c>
      <c r="N7914" t="s">
        <v>27252</v>
      </c>
      <c r="Q7914" s="1">
        <v>44846</v>
      </c>
      <c r="R7914" t="s">
        <v>27253</v>
      </c>
      <c r="S7914" t="s">
        <v>27254</v>
      </c>
      <c r="T7914" t="s">
        <v>27265</v>
      </c>
    </row>
    <row r="7915" spans="1:20" x14ac:dyDescent="0.3">
      <c r="A7915" t="str">
        <f>"0611884321025"</f>
        <v>0611884321025</v>
      </c>
      <c r="B7915" t="str">
        <f>"MC4486"</f>
        <v>MC4486</v>
      </c>
      <c r="C7915" t="s">
        <v>42597</v>
      </c>
      <c r="D7915" t="s">
        <v>27267</v>
      </c>
      <c r="E7915" t="str">
        <f t="shared" si="123"/>
        <v>001390</v>
      </c>
      <c r="F7915" t="s">
        <v>27246</v>
      </c>
      <c r="G7915" t="s">
        <v>27247</v>
      </c>
      <c r="H7915" t="s">
        <v>27248</v>
      </c>
      <c r="I7915" t="s">
        <v>42598</v>
      </c>
      <c r="J7915" t="s">
        <v>15729</v>
      </c>
      <c r="L7915" t="s">
        <v>27430</v>
      </c>
      <c r="M7915" t="s">
        <v>27251</v>
      </c>
      <c r="N7915" t="s">
        <v>27252</v>
      </c>
      <c r="Q7915" s="1">
        <v>45250</v>
      </c>
      <c r="R7915" t="s">
        <v>27253</v>
      </c>
      <c r="S7915" t="s">
        <v>27254</v>
      </c>
      <c r="T7915" t="s">
        <v>27269</v>
      </c>
    </row>
    <row r="7916" spans="1:20" x14ac:dyDescent="0.3">
      <c r="A7916" t="str">
        <f>"0611884322025"</f>
        <v>0611884322025</v>
      </c>
      <c r="B7916" t="str">
        <f>"MC4487"</f>
        <v>MC4487</v>
      </c>
      <c r="C7916" t="s">
        <v>42599</v>
      </c>
      <c r="D7916" t="s">
        <v>27267</v>
      </c>
      <c r="E7916" t="str">
        <f t="shared" si="123"/>
        <v>001390</v>
      </c>
      <c r="F7916" t="s">
        <v>27246</v>
      </c>
      <c r="G7916" t="s">
        <v>27247</v>
      </c>
      <c r="H7916" t="s">
        <v>27248</v>
      </c>
      <c r="I7916" t="s">
        <v>42600</v>
      </c>
      <c r="J7916" t="s">
        <v>15731</v>
      </c>
      <c r="L7916" t="s">
        <v>27430</v>
      </c>
      <c r="M7916" t="s">
        <v>27251</v>
      </c>
      <c r="N7916" t="s">
        <v>27252</v>
      </c>
      <c r="Q7916" s="1">
        <v>45250</v>
      </c>
      <c r="R7916" t="s">
        <v>27253</v>
      </c>
      <c r="S7916" t="s">
        <v>27254</v>
      </c>
      <c r="T7916" t="s">
        <v>27269</v>
      </c>
    </row>
    <row r="7917" spans="1:20" x14ac:dyDescent="0.3">
      <c r="A7917" t="str">
        <f>"0611884323025"</f>
        <v>0611884323025</v>
      </c>
      <c r="B7917" t="str">
        <f>"MC4488"</f>
        <v>MC4488</v>
      </c>
      <c r="C7917" t="s">
        <v>42601</v>
      </c>
      <c r="D7917" t="s">
        <v>27267</v>
      </c>
      <c r="E7917" t="str">
        <f t="shared" si="123"/>
        <v>001390</v>
      </c>
      <c r="F7917" t="s">
        <v>27246</v>
      </c>
      <c r="G7917" t="s">
        <v>27247</v>
      </c>
      <c r="H7917" t="s">
        <v>27248</v>
      </c>
      <c r="I7917" t="s">
        <v>42602</v>
      </c>
      <c r="J7917" t="s">
        <v>15733</v>
      </c>
      <c r="L7917" t="s">
        <v>27430</v>
      </c>
      <c r="M7917" t="s">
        <v>27251</v>
      </c>
      <c r="N7917" t="s">
        <v>27252</v>
      </c>
      <c r="Q7917" s="1">
        <v>45250</v>
      </c>
      <c r="R7917" t="s">
        <v>27253</v>
      </c>
      <c r="S7917" t="s">
        <v>27254</v>
      </c>
      <c r="T7917" t="s">
        <v>27269</v>
      </c>
    </row>
    <row r="7918" spans="1:20" x14ac:dyDescent="0.3">
      <c r="A7918" t="str">
        <f>"0611836764100"</f>
        <v>0611836764100</v>
      </c>
      <c r="B7918" t="str">
        <f>"LC8405"</f>
        <v>LC8405</v>
      </c>
      <c r="C7918" t="s">
        <v>42603</v>
      </c>
      <c r="D7918" t="s">
        <v>27245</v>
      </c>
      <c r="E7918" t="str">
        <f t="shared" si="123"/>
        <v>001390</v>
      </c>
      <c r="F7918" t="s">
        <v>27246</v>
      </c>
      <c r="G7918" t="s">
        <v>27247</v>
      </c>
      <c r="H7918" t="s">
        <v>27248</v>
      </c>
      <c r="I7918" t="s">
        <v>42604</v>
      </c>
      <c r="J7918" t="s">
        <v>15735</v>
      </c>
      <c r="L7918" t="s">
        <v>27250</v>
      </c>
      <c r="M7918" t="s">
        <v>27251</v>
      </c>
      <c r="N7918" t="s">
        <v>27252</v>
      </c>
      <c r="Q7918" s="1">
        <v>44538</v>
      </c>
      <c r="R7918" t="s">
        <v>27253</v>
      </c>
      <c r="S7918" t="s">
        <v>27254</v>
      </c>
      <c r="T7918" t="s">
        <v>27255</v>
      </c>
    </row>
    <row r="7919" spans="1:20" x14ac:dyDescent="0.3">
      <c r="A7919" t="str">
        <f>"0611836765100"</f>
        <v>0611836765100</v>
      </c>
      <c r="B7919" t="str">
        <f>"LC8406"</f>
        <v>LC8406</v>
      </c>
      <c r="C7919" t="s">
        <v>42605</v>
      </c>
      <c r="D7919" t="s">
        <v>27245</v>
      </c>
      <c r="E7919" t="str">
        <f t="shared" si="123"/>
        <v>001390</v>
      </c>
      <c r="F7919" t="s">
        <v>27246</v>
      </c>
      <c r="G7919" t="s">
        <v>27247</v>
      </c>
      <c r="H7919" t="s">
        <v>27248</v>
      </c>
      <c r="I7919" t="s">
        <v>42606</v>
      </c>
      <c r="J7919" t="s">
        <v>15737</v>
      </c>
      <c r="L7919" t="s">
        <v>27250</v>
      </c>
      <c r="M7919" t="s">
        <v>27251</v>
      </c>
      <c r="N7919" t="s">
        <v>27252</v>
      </c>
      <c r="Q7919" s="1">
        <v>44538</v>
      </c>
      <c r="R7919" t="s">
        <v>27253</v>
      </c>
      <c r="S7919" t="s">
        <v>27254</v>
      </c>
      <c r="T7919" t="s">
        <v>27255</v>
      </c>
    </row>
    <row r="7920" spans="1:20" x14ac:dyDescent="0.3">
      <c r="A7920" t="str">
        <f>"0611836766025"</f>
        <v>0611836766025</v>
      </c>
      <c r="B7920" t="str">
        <f>"MC0798"</f>
        <v>MC0798</v>
      </c>
      <c r="C7920" t="s">
        <v>42605</v>
      </c>
      <c r="D7920" t="s">
        <v>27267</v>
      </c>
      <c r="E7920" t="str">
        <f t="shared" si="123"/>
        <v>001390</v>
      </c>
      <c r="F7920" t="s">
        <v>27246</v>
      </c>
      <c r="G7920" t="s">
        <v>27247</v>
      </c>
      <c r="H7920" t="s">
        <v>27248</v>
      </c>
      <c r="I7920" t="s">
        <v>42607</v>
      </c>
      <c r="J7920" t="s">
        <v>15739</v>
      </c>
      <c r="L7920" t="s">
        <v>27250</v>
      </c>
      <c r="M7920" t="s">
        <v>27251</v>
      </c>
      <c r="N7920" t="s">
        <v>27252</v>
      </c>
      <c r="Q7920" s="1">
        <v>44538</v>
      </c>
      <c r="R7920" t="s">
        <v>27253</v>
      </c>
      <c r="S7920" t="s">
        <v>27254</v>
      </c>
      <c r="T7920" t="s">
        <v>27269</v>
      </c>
    </row>
    <row r="7921" spans="1:20" x14ac:dyDescent="0.3">
      <c r="A7921" t="str">
        <f>"0611836767100"</f>
        <v>0611836767100</v>
      </c>
      <c r="B7921" t="str">
        <f>"LC8407"</f>
        <v>LC8407</v>
      </c>
      <c r="C7921" t="s">
        <v>42608</v>
      </c>
      <c r="D7921" t="s">
        <v>27245</v>
      </c>
      <c r="E7921" t="str">
        <f t="shared" si="123"/>
        <v>001390</v>
      </c>
      <c r="F7921" t="s">
        <v>27246</v>
      </c>
      <c r="G7921" t="s">
        <v>27247</v>
      </c>
      <c r="H7921" t="s">
        <v>27248</v>
      </c>
      <c r="I7921" t="s">
        <v>42609</v>
      </c>
      <c r="J7921" t="s">
        <v>15741</v>
      </c>
      <c r="L7921" t="s">
        <v>27250</v>
      </c>
      <c r="M7921" t="s">
        <v>27251</v>
      </c>
      <c r="N7921" t="s">
        <v>27252</v>
      </c>
      <c r="Q7921" s="1">
        <v>44538</v>
      </c>
      <c r="R7921" t="s">
        <v>27253</v>
      </c>
      <c r="S7921" t="s">
        <v>27254</v>
      </c>
      <c r="T7921" t="s">
        <v>27255</v>
      </c>
    </row>
    <row r="7922" spans="1:20" x14ac:dyDescent="0.3">
      <c r="A7922" t="str">
        <f>"0611836768025"</f>
        <v>0611836768025</v>
      </c>
      <c r="B7922" t="str">
        <f>"MC4116"</f>
        <v>MC4116</v>
      </c>
      <c r="C7922" t="s">
        <v>42608</v>
      </c>
      <c r="D7922" t="s">
        <v>27267</v>
      </c>
      <c r="E7922" t="str">
        <f t="shared" si="123"/>
        <v>001390</v>
      </c>
      <c r="F7922" t="s">
        <v>27246</v>
      </c>
      <c r="G7922" t="s">
        <v>27247</v>
      </c>
      <c r="H7922" t="s">
        <v>27248</v>
      </c>
      <c r="I7922" t="s">
        <v>42610</v>
      </c>
      <c r="J7922" t="s">
        <v>15743</v>
      </c>
      <c r="L7922" t="s">
        <v>27250</v>
      </c>
      <c r="M7922" t="s">
        <v>27251</v>
      </c>
      <c r="N7922" t="s">
        <v>27252</v>
      </c>
      <c r="Q7922" s="1">
        <v>44538</v>
      </c>
      <c r="R7922" t="s">
        <v>27253</v>
      </c>
      <c r="S7922" t="s">
        <v>27254</v>
      </c>
      <c r="T7922" t="s">
        <v>27269</v>
      </c>
    </row>
    <row r="7923" spans="1:20" x14ac:dyDescent="0.3">
      <c r="A7923" t="str">
        <f>"0611836769100"</f>
        <v>0611836769100</v>
      </c>
      <c r="B7923" t="str">
        <f>"LC8408"</f>
        <v>LC8408</v>
      </c>
      <c r="C7923" t="s">
        <v>42611</v>
      </c>
      <c r="D7923" t="s">
        <v>27245</v>
      </c>
      <c r="E7923" t="str">
        <f t="shared" si="123"/>
        <v>001390</v>
      </c>
      <c r="F7923" t="s">
        <v>27246</v>
      </c>
      <c r="G7923" t="s">
        <v>27247</v>
      </c>
      <c r="H7923" t="s">
        <v>27248</v>
      </c>
      <c r="I7923" t="s">
        <v>42612</v>
      </c>
      <c r="J7923" t="s">
        <v>15745</v>
      </c>
      <c r="L7923" t="s">
        <v>27250</v>
      </c>
      <c r="M7923" t="s">
        <v>27251</v>
      </c>
      <c r="N7923" t="s">
        <v>27252</v>
      </c>
      <c r="Q7923" s="1">
        <v>44538</v>
      </c>
      <c r="R7923" t="s">
        <v>27253</v>
      </c>
      <c r="S7923" t="s">
        <v>27254</v>
      </c>
      <c r="T7923" t="s">
        <v>27255</v>
      </c>
    </row>
    <row r="7924" spans="1:20" x14ac:dyDescent="0.3">
      <c r="A7924" t="str">
        <f>"0611884324025"</f>
        <v>0611884324025</v>
      </c>
      <c r="B7924" t="str">
        <f>"MC4489"</f>
        <v>MC4489</v>
      </c>
      <c r="C7924" t="s">
        <v>42611</v>
      </c>
      <c r="D7924" t="s">
        <v>27267</v>
      </c>
      <c r="E7924" t="str">
        <f t="shared" si="123"/>
        <v>001390</v>
      </c>
      <c r="F7924" t="s">
        <v>27246</v>
      </c>
      <c r="G7924" t="s">
        <v>27247</v>
      </c>
      <c r="H7924" t="s">
        <v>27248</v>
      </c>
      <c r="I7924" t="s">
        <v>42613</v>
      </c>
      <c r="J7924" t="s">
        <v>15747</v>
      </c>
      <c r="L7924" t="s">
        <v>27430</v>
      </c>
      <c r="M7924" t="s">
        <v>27251</v>
      </c>
      <c r="N7924" t="s">
        <v>27252</v>
      </c>
      <c r="Q7924" s="1">
        <v>45250</v>
      </c>
      <c r="R7924" t="s">
        <v>27253</v>
      </c>
      <c r="S7924" t="s">
        <v>27254</v>
      </c>
      <c r="T7924" t="s">
        <v>27269</v>
      </c>
    </row>
    <row r="7925" spans="1:20" x14ac:dyDescent="0.3">
      <c r="A7925" t="str">
        <f>"0611836770100"</f>
        <v>0611836770100</v>
      </c>
      <c r="B7925" t="str">
        <f>"LC8401"</f>
        <v>LC8401</v>
      </c>
      <c r="C7925" t="s">
        <v>42614</v>
      </c>
      <c r="D7925" t="s">
        <v>27245</v>
      </c>
      <c r="E7925" t="str">
        <f t="shared" si="123"/>
        <v>001390</v>
      </c>
      <c r="F7925" t="s">
        <v>27246</v>
      </c>
      <c r="G7925" t="s">
        <v>27247</v>
      </c>
      <c r="H7925" t="s">
        <v>27248</v>
      </c>
      <c r="I7925" t="s">
        <v>42615</v>
      </c>
      <c r="J7925" t="s">
        <v>15749</v>
      </c>
      <c r="L7925" t="s">
        <v>27250</v>
      </c>
      <c r="M7925" t="s">
        <v>27251</v>
      </c>
      <c r="N7925" t="s">
        <v>27252</v>
      </c>
      <c r="Q7925" s="1">
        <v>44538</v>
      </c>
      <c r="R7925" t="s">
        <v>27253</v>
      </c>
      <c r="S7925" t="s">
        <v>27254</v>
      </c>
      <c r="T7925" t="s">
        <v>27255</v>
      </c>
    </row>
    <row r="7926" spans="1:20" x14ac:dyDescent="0.3">
      <c r="A7926" t="str">
        <f>"0611884325025"</f>
        <v>0611884325025</v>
      </c>
      <c r="B7926" t="str">
        <f>"MC4499"</f>
        <v>MC4499</v>
      </c>
      <c r="C7926" t="s">
        <v>42616</v>
      </c>
      <c r="D7926" t="s">
        <v>27267</v>
      </c>
      <c r="E7926" t="str">
        <f t="shared" si="123"/>
        <v>001390</v>
      </c>
      <c r="F7926" t="s">
        <v>27246</v>
      </c>
      <c r="G7926" t="s">
        <v>27247</v>
      </c>
      <c r="H7926" t="s">
        <v>27248</v>
      </c>
      <c r="I7926" t="s">
        <v>42617</v>
      </c>
      <c r="J7926" t="s">
        <v>15751</v>
      </c>
      <c r="L7926" t="s">
        <v>27430</v>
      </c>
      <c r="M7926" t="s">
        <v>27251</v>
      </c>
      <c r="N7926" t="s">
        <v>27252</v>
      </c>
      <c r="Q7926" s="1">
        <v>45250</v>
      </c>
      <c r="R7926" t="s">
        <v>27253</v>
      </c>
      <c r="S7926" t="s">
        <v>27254</v>
      </c>
      <c r="T7926" t="s">
        <v>27269</v>
      </c>
    </row>
    <row r="7927" spans="1:20" x14ac:dyDescent="0.3">
      <c r="A7927" t="str">
        <f>"0611836771100"</f>
        <v>0611836771100</v>
      </c>
      <c r="B7927" t="str">
        <f>"LC8410"</f>
        <v>LC8410</v>
      </c>
      <c r="C7927" t="s">
        <v>42618</v>
      </c>
      <c r="D7927" t="s">
        <v>27245</v>
      </c>
      <c r="E7927" t="str">
        <f t="shared" si="123"/>
        <v>001390</v>
      </c>
      <c r="F7927" t="s">
        <v>27246</v>
      </c>
      <c r="G7927" t="s">
        <v>27247</v>
      </c>
      <c r="H7927" t="s">
        <v>27248</v>
      </c>
      <c r="I7927" t="s">
        <v>42619</v>
      </c>
      <c r="J7927" t="s">
        <v>15755</v>
      </c>
      <c r="L7927" t="s">
        <v>27250</v>
      </c>
      <c r="M7927" t="s">
        <v>27251</v>
      </c>
      <c r="N7927" t="s">
        <v>27252</v>
      </c>
      <c r="Q7927" s="1">
        <v>44538</v>
      </c>
      <c r="R7927" t="s">
        <v>27253</v>
      </c>
      <c r="S7927" t="s">
        <v>27254</v>
      </c>
      <c r="T7927" t="s">
        <v>27255</v>
      </c>
    </row>
    <row r="7928" spans="1:20" x14ac:dyDescent="0.3">
      <c r="A7928" t="str">
        <f>"0611884326025"</f>
        <v>0611884326025</v>
      </c>
      <c r="B7928" t="str">
        <f>"MC4490"</f>
        <v>MC4490</v>
      </c>
      <c r="C7928" t="s">
        <v>42618</v>
      </c>
      <c r="D7928" t="s">
        <v>27267</v>
      </c>
      <c r="E7928" t="str">
        <f t="shared" si="123"/>
        <v>001390</v>
      </c>
      <c r="F7928" t="s">
        <v>27246</v>
      </c>
      <c r="G7928" t="s">
        <v>27247</v>
      </c>
      <c r="H7928" t="s">
        <v>27248</v>
      </c>
      <c r="I7928" t="s">
        <v>42620</v>
      </c>
      <c r="J7928" t="s">
        <v>15757</v>
      </c>
      <c r="L7928" t="s">
        <v>27430</v>
      </c>
      <c r="M7928" t="s">
        <v>27251</v>
      </c>
      <c r="N7928" t="s">
        <v>27252</v>
      </c>
      <c r="Q7928" s="1">
        <v>45250</v>
      </c>
      <c r="R7928" t="s">
        <v>27253</v>
      </c>
      <c r="S7928" t="s">
        <v>27254</v>
      </c>
      <c r="T7928" t="s">
        <v>27269</v>
      </c>
    </row>
    <row r="7929" spans="1:20" x14ac:dyDescent="0.3">
      <c r="A7929" t="str">
        <f>"0611836772100"</f>
        <v>0611836772100</v>
      </c>
      <c r="B7929" t="str">
        <f>"LC8411"</f>
        <v>LC8411</v>
      </c>
      <c r="C7929" t="s">
        <v>42621</v>
      </c>
      <c r="D7929" t="s">
        <v>27245</v>
      </c>
      <c r="E7929" t="str">
        <f t="shared" si="123"/>
        <v>001390</v>
      </c>
      <c r="F7929" t="s">
        <v>27246</v>
      </c>
      <c r="G7929" t="s">
        <v>27247</v>
      </c>
      <c r="H7929" t="s">
        <v>27248</v>
      </c>
      <c r="I7929" t="s">
        <v>42622</v>
      </c>
      <c r="J7929" t="s">
        <v>15759</v>
      </c>
      <c r="L7929" t="s">
        <v>27250</v>
      </c>
      <c r="M7929" t="s">
        <v>27251</v>
      </c>
      <c r="N7929" t="s">
        <v>27252</v>
      </c>
      <c r="Q7929" s="1">
        <v>44538</v>
      </c>
      <c r="R7929" t="s">
        <v>27253</v>
      </c>
      <c r="S7929" t="s">
        <v>27254</v>
      </c>
      <c r="T7929" t="s">
        <v>27255</v>
      </c>
    </row>
    <row r="7930" spans="1:20" x14ac:dyDescent="0.3">
      <c r="A7930" t="str">
        <f>"0611884327025"</f>
        <v>0611884327025</v>
      </c>
      <c r="B7930" t="str">
        <f>"MC4491"</f>
        <v>MC4491</v>
      </c>
      <c r="C7930" t="s">
        <v>42621</v>
      </c>
      <c r="D7930" t="s">
        <v>27267</v>
      </c>
      <c r="E7930" t="str">
        <f t="shared" si="123"/>
        <v>001390</v>
      </c>
      <c r="F7930" t="s">
        <v>27246</v>
      </c>
      <c r="G7930" t="s">
        <v>27247</v>
      </c>
      <c r="H7930" t="s">
        <v>27248</v>
      </c>
      <c r="I7930" t="s">
        <v>42623</v>
      </c>
      <c r="J7930" t="s">
        <v>15761</v>
      </c>
      <c r="L7930" t="s">
        <v>27430</v>
      </c>
      <c r="M7930" t="s">
        <v>27251</v>
      </c>
      <c r="N7930" t="s">
        <v>27252</v>
      </c>
      <c r="Q7930" s="1">
        <v>45250</v>
      </c>
      <c r="R7930" t="s">
        <v>27253</v>
      </c>
      <c r="S7930" t="s">
        <v>27254</v>
      </c>
      <c r="T7930" t="s">
        <v>27269</v>
      </c>
    </row>
    <row r="7931" spans="1:20" x14ac:dyDescent="0.3">
      <c r="A7931" t="str">
        <f>"0611884328025"</f>
        <v>0611884328025</v>
      </c>
      <c r="B7931" t="str">
        <f>"MC4492"</f>
        <v>MC4492</v>
      </c>
      <c r="C7931" t="s">
        <v>42624</v>
      </c>
      <c r="D7931" t="s">
        <v>27267</v>
      </c>
      <c r="E7931" t="str">
        <f t="shared" si="123"/>
        <v>001390</v>
      </c>
      <c r="F7931" t="s">
        <v>27246</v>
      </c>
      <c r="G7931" t="s">
        <v>27247</v>
      </c>
      <c r="H7931" t="s">
        <v>27248</v>
      </c>
      <c r="I7931" t="s">
        <v>42625</v>
      </c>
      <c r="J7931" t="s">
        <v>15763</v>
      </c>
      <c r="L7931" t="s">
        <v>27430</v>
      </c>
      <c r="M7931" t="s">
        <v>27251</v>
      </c>
      <c r="N7931" t="s">
        <v>27252</v>
      </c>
      <c r="Q7931" s="1">
        <v>45250</v>
      </c>
      <c r="R7931" t="s">
        <v>27253</v>
      </c>
      <c r="S7931" t="s">
        <v>27254</v>
      </c>
      <c r="T7931" t="s">
        <v>27269</v>
      </c>
    </row>
    <row r="7932" spans="1:20" x14ac:dyDescent="0.3">
      <c r="A7932" t="str">
        <f>"0611836773100"</f>
        <v>0611836773100</v>
      </c>
      <c r="B7932" t="str">
        <f>"LC8416"</f>
        <v>LC8416</v>
      </c>
      <c r="C7932" t="s">
        <v>42626</v>
      </c>
      <c r="D7932" t="s">
        <v>27245</v>
      </c>
      <c r="E7932" t="str">
        <f t="shared" si="123"/>
        <v>001390</v>
      </c>
      <c r="F7932" t="s">
        <v>27246</v>
      </c>
      <c r="G7932" t="s">
        <v>27247</v>
      </c>
      <c r="H7932" t="s">
        <v>27248</v>
      </c>
      <c r="I7932" t="s">
        <v>42627</v>
      </c>
      <c r="J7932" t="s">
        <v>15765</v>
      </c>
      <c r="L7932" t="s">
        <v>27250</v>
      </c>
      <c r="M7932" t="s">
        <v>27251</v>
      </c>
      <c r="N7932" t="s">
        <v>27252</v>
      </c>
      <c r="Q7932" s="1">
        <v>44538</v>
      </c>
      <c r="R7932" t="s">
        <v>27253</v>
      </c>
      <c r="S7932" t="s">
        <v>27254</v>
      </c>
      <c r="T7932" t="s">
        <v>27255</v>
      </c>
    </row>
    <row r="7933" spans="1:20" x14ac:dyDescent="0.3">
      <c r="A7933" t="str">
        <f>"0611836774025"</f>
        <v>0611836774025</v>
      </c>
      <c r="B7933" t="str">
        <f>"MC2273"</f>
        <v>MC2273</v>
      </c>
      <c r="C7933" t="s">
        <v>42626</v>
      </c>
      <c r="D7933" t="s">
        <v>27267</v>
      </c>
      <c r="E7933" t="str">
        <f t="shared" si="123"/>
        <v>001390</v>
      </c>
      <c r="F7933" t="s">
        <v>27246</v>
      </c>
      <c r="G7933" t="s">
        <v>27247</v>
      </c>
      <c r="H7933" t="s">
        <v>27248</v>
      </c>
      <c r="I7933" t="s">
        <v>42628</v>
      </c>
      <c r="J7933" t="s">
        <v>15767</v>
      </c>
      <c r="L7933" t="s">
        <v>27250</v>
      </c>
      <c r="M7933" t="s">
        <v>27251</v>
      </c>
      <c r="N7933" t="s">
        <v>27252</v>
      </c>
      <c r="Q7933" s="1">
        <v>44538</v>
      </c>
      <c r="R7933" t="s">
        <v>27253</v>
      </c>
      <c r="S7933" t="s">
        <v>27254</v>
      </c>
      <c r="T7933" t="s">
        <v>27269</v>
      </c>
    </row>
    <row r="7934" spans="1:20" x14ac:dyDescent="0.3">
      <c r="A7934" t="str">
        <f>"0611862537100"</f>
        <v>0611862537100</v>
      </c>
      <c r="B7934" t="str">
        <f>"CN5258"</f>
        <v>CN5258</v>
      </c>
      <c r="C7934" t="s">
        <v>42629</v>
      </c>
      <c r="D7934" t="s">
        <v>27335</v>
      </c>
      <c r="E7934" t="str">
        <f t="shared" si="123"/>
        <v>001390</v>
      </c>
      <c r="F7934" t="s">
        <v>27246</v>
      </c>
      <c r="G7934" t="s">
        <v>27247</v>
      </c>
      <c r="H7934" t="s">
        <v>27248</v>
      </c>
      <c r="I7934" t="s">
        <v>42630</v>
      </c>
      <c r="J7934" t="s">
        <v>15769</v>
      </c>
      <c r="L7934" t="s">
        <v>27250</v>
      </c>
      <c r="M7934" t="s">
        <v>27251</v>
      </c>
      <c r="N7934" t="s">
        <v>27252</v>
      </c>
      <c r="Q7934" s="1">
        <v>44846</v>
      </c>
      <c r="R7934" t="s">
        <v>27253</v>
      </c>
      <c r="S7934" t="s">
        <v>27254</v>
      </c>
      <c r="T7934" t="s">
        <v>27255</v>
      </c>
    </row>
    <row r="7935" spans="1:20" x14ac:dyDescent="0.3">
      <c r="A7935" t="str">
        <f>"0611836775100"</f>
        <v>0611836775100</v>
      </c>
      <c r="B7935" t="str">
        <f>"LC8424"</f>
        <v>LC8424</v>
      </c>
      <c r="C7935" t="s">
        <v>42631</v>
      </c>
      <c r="D7935" t="s">
        <v>27245</v>
      </c>
      <c r="E7935" t="str">
        <f t="shared" si="123"/>
        <v>001390</v>
      </c>
      <c r="F7935" t="s">
        <v>27246</v>
      </c>
      <c r="G7935" t="s">
        <v>27247</v>
      </c>
      <c r="H7935" t="s">
        <v>27248</v>
      </c>
      <c r="I7935" t="s">
        <v>42632</v>
      </c>
      <c r="J7935" t="s">
        <v>15771</v>
      </c>
      <c r="L7935" t="s">
        <v>27250</v>
      </c>
      <c r="M7935" t="s">
        <v>27251</v>
      </c>
      <c r="N7935" t="s">
        <v>27252</v>
      </c>
      <c r="Q7935" s="1">
        <v>44538</v>
      </c>
      <c r="R7935" t="s">
        <v>27253</v>
      </c>
      <c r="S7935" t="s">
        <v>27254</v>
      </c>
      <c r="T7935" t="s">
        <v>27255</v>
      </c>
    </row>
    <row r="7936" spans="1:20" x14ac:dyDescent="0.3">
      <c r="A7936" t="str">
        <f>"0611836776100"</f>
        <v>0611836776100</v>
      </c>
      <c r="B7936" t="str">
        <f>"LC8402"</f>
        <v>LC8402</v>
      </c>
      <c r="C7936" t="s">
        <v>42633</v>
      </c>
      <c r="D7936" t="s">
        <v>27245</v>
      </c>
      <c r="E7936" t="str">
        <f t="shared" si="123"/>
        <v>001390</v>
      </c>
      <c r="F7936" t="s">
        <v>27246</v>
      </c>
      <c r="G7936" t="s">
        <v>27247</v>
      </c>
      <c r="H7936" t="s">
        <v>27248</v>
      </c>
      <c r="I7936" t="s">
        <v>42634</v>
      </c>
      <c r="J7936" t="s">
        <v>15773</v>
      </c>
      <c r="L7936" t="s">
        <v>27250</v>
      </c>
      <c r="M7936" t="s">
        <v>27251</v>
      </c>
      <c r="N7936" t="s">
        <v>27252</v>
      </c>
      <c r="Q7936" s="1">
        <v>44538</v>
      </c>
      <c r="R7936" t="s">
        <v>27253</v>
      </c>
      <c r="S7936" t="s">
        <v>27254</v>
      </c>
      <c r="T7936" t="s">
        <v>27255</v>
      </c>
    </row>
    <row r="7937" spans="1:20" x14ac:dyDescent="0.3">
      <c r="A7937" t="str">
        <f>"0611836777100"</f>
        <v>0611836777100</v>
      </c>
      <c r="B7937" t="str">
        <f>"LK6089"</f>
        <v>LK6089</v>
      </c>
      <c r="C7937" t="s">
        <v>42635</v>
      </c>
      <c r="D7937" t="s">
        <v>27245</v>
      </c>
      <c r="E7937" t="str">
        <f t="shared" si="123"/>
        <v>001390</v>
      </c>
      <c r="F7937" t="s">
        <v>27246</v>
      </c>
      <c r="G7937" t="s">
        <v>27247</v>
      </c>
      <c r="H7937" t="s">
        <v>27248</v>
      </c>
      <c r="I7937" t="s">
        <v>42636</v>
      </c>
      <c r="J7937" t="s">
        <v>15775</v>
      </c>
      <c r="L7937" t="s">
        <v>27250</v>
      </c>
      <c r="M7937" t="s">
        <v>27251</v>
      </c>
      <c r="N7937" t="s">
        <v>27252</v>
      </c>
      <c r="Q7937" s="1">
        <v>44538</v>
      </c>
      <c r="R7937" t="s">
        <v>27253</v>
      </c>
      <c r="S7937" t="s">
        <v>27254</v>
      </c>
      <c r="T7937" t="s">
        <v>27255</v>
      </c>
    </row>
    <row r="7938" spans="1:20" x14ac:dyDescent="0.3">
      <c r="A7938" t="str">
        <f>"0611836778100"</f>
        <v>0611836778100</v>
      </c>
      <c r="B7938" t="str">
        <f>"LC8422"</f>
        <v>LC8422</v>
      </c>
      <c r="C7938" t="s">
        <v>42637</v>
      </c>
      <c r="D7938" t="s">
        <v>27245</v>
      </c>
      <c r="E7938" t="str">
        <f t="shared" ref="E7938:E8001" si="124">"001390"</f>
        <v>001390</v>
      </c>
      <c r="F7938" t="s">
        <v>27246</v>
      </c>
      <c r="G7938" t="s">
        <v>27247</v>
      </c>
      <c r="H7938" t="s">
        <v>27248</v>
      </c>
      <c r="I7938" t="s">
        <v>42638</v>
      </c>
      <c r="J7938" t="s">
        <v>15753</v>
      </c>
      <c r="L7938" t="s">
        <v>27250</v>
      </c>
      <c r="M7938" t="s">
        <v>27251</v>
      </c>
      <c r="N7938" t="s">
        <v>27252</v>
      </c>
      <c r="Q7938" s="1">
        <v>44538</v>
      </c>
      <c r="R7938" t="s">
        <v>27253</v>
      </c>
      <c r="S7938" t="s">
        <v>27254</v>
      </c>
      <c r="T7938" t="s">
        <v>27255</v>
      </c>
    </row>
    <row r="7939" spans="1:20" x14ac:dyDescent="0.3">
      <c r="A7939" t="str">
        <f>"0611836779100"</f>
        <v>0611836779100</v>
      </c>
      <c r="B7939" t="str">
        <f>"LC8413"</f>
        <v>LC8413</v>
      </c>
      <c r="C7939" t="s">
        <v>42639</v>
      </c>
      <c r="D7939" t="s">
        <v>27245</v>
      </c>
      <c r="E7939" t="str">
        <f t="shared" si="124"/>
        <v>001390</v>
      </c>
      <c r="F7939" t="s">
        <v>27246</v>
      </c>
      <c r="G7939" t="s">
        <v>27247</v>
      </c>
      <c r="H7939" t="s">
        <v>27248</v>
      </c>
      <c r="I7939" t="s">
        <v>42640</v>
      </c>
      <c r="J7939" t="s">
        <v>15777</v>
      </c>
      <c r="L7939" t="s">
        <v>27250</v>
      </c>
      <c r="M7939" t="s">
        <v>27251</v>
      </c>
      <c r="N7939" t="s">
        <v>27252</v>
      </c>
      <c r="Q7939" s="1">
        <v>44538</v>
      </c>
      <c r="R7939" t="s">
        <v>27253</v>
      </c>
      <c r="S7939" t="s">
        <v>27254</v>
      </c>
      <c r="T7939" t="s">
        <v>27255</v>
      </c>
    </row>
    <row r="7940" spans="1:20" x14ac:dyDescent="0.3">
      <c r="A7940" t="str">
        <f>"0611836780100"</f>
        <v>0611836780100</v>
      </c>
      <c r="B7940" t="str">
        <f>"LC9624"</f>
        <v>LC9624</v>
      </c>
      <c r="C7940" t="s">
        <v>42641</v>
      </c>
      <c r="D7940" t="s">
        <v>27245</v>
      </c>
      <c r="E7940" t="str">
        <f t="shared" si="124"/>
        <v>001390</v>
      </c>
      <c r="F7940" t="s">
        <v>27246</v>
      </c>
      <c r="G7940" t="s">
        <v>27247</v>
      </c>
      <c r="H7940" t="s">
        <v>27248</v>
      </c>
      <c r="I7940" t="s">
        <v>42642</v>
      </c>
      <c r="J7940" t="s">
        <v>15779</v>
      </c>
      <c r="L7940" t="s">
        <v>27250</v>
      </c>
      <c r="M7940" t="s">
        <v>27251</v>
      </c>
      <c r="N7940" t="s">
        <v>27252</v>
      </c>
      <c r="Q7940" s="1">
        <v>44538</v>
      </c>
      <c r="R7940" t="s">
        <v>27253</v>
      </c>
      <c r="S7940" t="s">
        <v>27254</v>
      </c>
      <c r="T7940" t="s">
        <v>27255</v>
      </c>
    </row>
    <row r="7941" spans="1:20" x14ac:dyDescent="0.3">
      <c r="A7941" t="str">
        <f>"0611836781025"</f>
        <v>0611836781025</v>
      </c>
      <c r="B7941" t="str">
        <f>"MC4117"</f>
        <v>MC4117</v>
      </c>
      <c r="C7941" t="s">
        <v>42641</v>
      </c>
      <c r="D7941" t="s">
        <v>27267</v>
      </c>
      <c r="E7941" t="str">
        <f t="shared" si="124"/>
        <v>001390</v>
      </c>
      <c r="F7941" t="s">
        <v>27246</v>
      </c>
      <c r="G7941" t="s">
        <v>27247</v>
      </c>
      <c r="H7941" t="s">
        <v>27248</v>
      </c>
      <c r="I7941" t="s">
        <v>42643</v>
      </c>
      <c r="J7941" t="s">
        <v>15781</v>
      </c>
      <c r="L7941" t="s">
        <v>27250</v>
      </c>
      <c r="M7941" t="s">
        <v>27251</v>
      </c>
      <c r="N7941" t="s">
        <v>27252</v>
      </c>
      <c r="Q7941" s="1">
        <v>44538</v>
      </c>
      <c r="R7941" t="s">
        <v>27253</v>
      </c>
      <c r="S7941" t="s">
        <v>27254</v>
      </c>
      <c r="T7941" t="s">
        <v>27269</v>
      </c>
    </row>
    <row r="7942" spans="1:20" x14ac:dyDescent="0.3">
      <c r="A7942" t="str">
        <f>"0611836782100"</f>
        <v>0611836782100</v>
      </c>
      <c r="B7942" t="str">
        <f>"LC3397"</f>
        <v>LC3397</v>
      </c>
      <c r="C7942" t="s">
        <v>42644</v>
      </c>
      <c r="D7942" t="s">
        <v>27245</v>
      </c>
      <c r="E7942" t="str">
        <f t="shared" si="124"/>
        <v>001390</v>
      </c>
      <c r="F7942" t="s">
        <v>27246</v>
      </c>
      <c r="G7942" t="s">
        <v>27247</v>
      </c>
      <c r="H7942" t="s">
        <v>27248</v>
      </c>
      <c r="I7942" t="s">
        <v>42645</v>
      </c>
      <c r="J7942" t="s">
        <v>15783</v>
      </c>
      <c r="L7942" t="s">
        <v>27250</v>
      </c>
      <c r="M7942" t="s">
        <v>27251</v>
      </c>
      <c r="N7942" t="s">
        <v>27252</v>
      </c>
      <c r="Q7942" s="1">
        <v>44538</v>
      </c>
      <c r="R7942" t="s">
        <v>27253</v>
      </c>
      <c r="S7942" t="s">
        <v>27254</v>
      </c>
      <c r="T7942" t="s">
        <v>27255</v>
      </c>
    </row>
    <row r="7943" spans="1:20" x14ac:dyDescent="0.3">
      <c r="A7943" t="str">
        <f>"0611884329025"</f>
        <v>0611884329025</v>
      </c>
      <c r="B7943" t="str">
        <f>"MC4493"</f>
        <v>MC4493</v>
      </c>
      <c r="C7943" t="s">
        <v>42646</v>
      </c>
      <c r="D7943" t="s">
        <v>27267</v>
      </c>
      <c r="E7943" t="str">
        <f t="shared" si="124"/>
        <v>001390</v>
      </c>
      <c r="F7943" t="s">
        <v>27246</v>
      </c>
      <c r="G7943" t="s">
        <v>27247</v>
      </c>
      <c r="H7943" t="s">
        <v>27248</v>
      </c>
      <c r="I7943" t="s">
        <v>42647</v>
      </c>
      <c r="J7943" t="s">
        <v>15785</v>
      </c>
      <c r="L7943" t="s">
        <v>27430</v>
      </c>
      <c r="M7943" t="s">
        <v>27251</v>
      </c>
      <c r="N7943" t="s">
        <v>27252</v>
      </c>
      <c r="Q7943" s="1">
        <v>45250</v>
      </c>
      <c r="R7943" t="s">
        <v>27253</v>
      </c>
      <c r="S7943" t="s">
        <v>27254</v>
      </c>
      <c r="T7943" t="s">
        <v>27269</v>
      </c>
    </row>
    <row r="7944" spans="1:20" x14ac:dyDescent="0.3">
      <c r="A7944" t="str">
        <f>"0611836783100"</f>
        <v>0611836783100</v>
      </c>
      <c r="B7944" t="str">
        <f>"LC8414"</f>
        <v>LC8414</v>
      </c>
      <c r="C7944" t="s">
        <v>42648</v>
      </c>
      <c r="D7944" t="s">
        <v>27245</v>
      </c>
      <c r="E7944" t="str">
        <f t="shared" si="124"/>
        <v>001390</v>
      </c>
      <c r="F7944" t="s">
        <v>27246</v>
      </c>
      <c r="G7944" t="s">
        <v>27247</v>
      </c>
      <c r="H7944" t="s">
        <v>27248</v>
      </c>
      <c r="I7944" t="s">
        <v>42649</v>
      </c>
      <c r="J7944" t="s">
        <v>15787</v>
      </c>
      <c r="L7944" t="s">
        <v>27250</v>
      </c>
      <c r="M7944" t="s">
        <v>27251</v>
      </c>
      <c r="N7944" t="s">
        <v>27252</v>
      </c>
      <c r="Q7944" s="1">
        <v>44538</v>
      </c>
      <c r="R7944" t="s">
        <v>27253</v>
      </c>
      <c r="S7944" t="s">
        <v>27254</v>
      </c>
      <c r="T7944" t="s">
        <v>27255</v>
      </c>
    </row>
    <row r="7945" spans="1:20" x14ac:dyDescent="0.3">
      <c r="A7945" t="str">
        <f>"0611836784025"</f>
        <v>0611836784025</v>
      </c>
      <c r="B7945" t="str">
        <f>"MC4118"</f>
        <v>MC4118</v>
      </c>
      <c r="C7945" t="s">
        <v>42648</v>
      </c>
      <c r="D7945" t="s">
        <v>27267</v>
      </c>
      <c r="E7945" t="str">
        <f t="shared" si="124"/>
        <v>001390</v>
      </c>
      <c r="F7945" t="s">
        <v>27246</v>
      </c>
      <c r="G7945" t="s">
        <v>27247</v>
      </c>
      <c r="H7945" t="s">
        <v>27248</v>
      </c>
      <c r="I7945" t="s">
        <v>42650</v>
      </c>
      <c r="J7945" t="s">
        <v>15789</v>
      </c>
      <c r="L7945" t="s">
        <v>27250</v>
      </c>
      <c r="M7945" t="s">
        <v>27251</v>
      </c>
      <c r="N7945" t="s">
        <v>27252</v>
      </c>
      <c r="Q7945" s="1">
        <v>44538</v>
      </c>
      <c r="R7945" t="s">
        <v>27253</v>
      </c>
      <c r="S7945" t="s">
        <v>27254</v>
      </c>
      <c r="T7945" t="s">
        <v>27269</v>
      </c>
    </row>
    <row r="7946" spans="1:20" x14ac:dyDescent="0.3">
      <c r="A7946" t="str">
        <f>"0611836785100"</f>
        <v>0611836785100</v>
      </c>
      <c r="B7946" t="str">
        <f>"LC8601"</f>
        <v>LC8601</v>
      </c>
      <c r="C7946" t="s">
        <v>42651</v>
      </c>
      <c r="D7946" t="s">
        <v>27245</v>
      </c>
      <c r="E7946" t="str">
        <f t="shared" si="124"/>
        <v>001390</v>
      </c>
      <c r="F7946" t="s">
        <v>27246</v>
      </c>
      <c r="G7946" t="s">
        <v>27247</v>
      </c>
      <c r="H7946" t="s">
        <v>27248</v>
      </c>
      <c r="I7946" t="s">
        <v>42652</v>
      </c>
      <c r="J7946" t="s">
        <v>15791</v>
      </c>
      <c r="L7946" t="s">
        <v>27250</v>
      </c>
      <c r="M7946" t="s">
        <v>27251</v>
      </c>
      <c r="N7946" t="s">
        <v>27252</v>
      </c>
      <c r="Q7946" s="1">
        <v>44538</v>
      </c>
      <c r="R7946" t="s">
        <v>27253</v>
      </c>
      <c r="S7946" t="s">
        <v>27254</v>
      </c>
      <c r="T7946" t="s">
        <v>27255</v>
      </c>
    </row>
    <row r="7947" spans="1:20" x14ac:dyDescent="0.3">
      <c r="A7947" t="str">
        <f>"0611836786100"</f>
        <v>0611836786100</v>
      </c>
      <c r="B7947" t="str">
        <f>"LC8400"</f>
        <v>LC8400</v>
      </c>
      <c r="C7947" t="s">
        <v>42653</v>
      </c>
      <c r="D7947" t="s">
        <v>27245</v>
      </c>
      <c r="E7947" t="str">
        <f t="shared" si="124"/>
        <v>001390</v>
      </c>
      <c r="F7947" t="s">
        <v>27246</v>
      </c>
      <c r="G7947" t="s">
        <v>27247</v>
      </c>
      <c r="H7947" t="s">
        <v>27248</v>
      </c>
      <c r="I7947" t="s">
        <v>42654</v>
      </c>
      <c r="J7947" t="s">
        <v>15793</v>
      </c>
      <c r="L7947" t="s">
        <v>27250</v>
      </c>
      <c r="M7947" t="s">
        <v>27251</v>
      </c>
      <c r="N7947" t="s">
        <v>27252</v>
      </c>
      <c r="Q7947" s="1">
        <v>44538</v>
      </c>
      <c r="R7947" t="s">
        <v>27253</v>
      </c>
      <c r="S7947" t="s">
        <v>27254</v>
      </c>
      <c r="T7947" t="s">
        <v>27255</v>
      </c>
    </row>
    <row r="7948" spans="1:20" x14ac:dyDescent="0.3">
      <c r="A7948" t="str">
        <f>"0611836787025"</f>
        <v>0611836787025</v>
      </c>
      <c r="B7948" t="str">
        <f>"MC0800"</f>
        <v>MC0800</v>
      </c>
      <c r="C7948" t="s">
        <v>42653</v>
      </c>
      <c r="D7948" t="s">
        <v>27267</v>
      </c>
      <c r="E7948" t="str">
        <f t="shared" si="124"/>
        <v>001390</v>
      </c>
      <c r="F7948" t="s">
        <v>27246</v>
      </c>
      <c r="G7948" t="s">
        <v>27247</v>
      </c>
      <c r="H7948" t="s">
        <v>27248</v>
      </c>
      <c r="I7948" t="s">
        <v>42655</v>
      </c>
      <c r="J7948" t="s">
        <v>15795</v>
      </c>
      <c r="L7948" t="s">
        <v>27250</v>
      </c>
      <c r="M7948" t="s">
        <v>27251</v>
      </c>
      <c r="N7948" t="s">
        <v>27252</v>
      </c>
      <c r="Q7948" s="1">
        <v>44538</v>
      </c>
      <c r="R7948" t="s">
        <v>27253</v>
      </c>
      <c r="S7948" t="s">
        <v>27254</v>
      </c>
      <c r="T7948" t="s">
        <v>27269</v>
      </c>
    </row>
    <row r="7949" spans="1:20" x14ac:dyDescent="0.3">
      <c r="A7949" t="str">
        <f>"0611836789025"</f>
        <v>0611836789025</v>
      </c>
      <c r="B7949" t="str">
        <f>"MC0801"</f>
        <v>MC0801</v>
      </c>
      <c r="C7949" t="s">
        <v>42656</v>
      </c>
      <c r="D7949" t="s">
        <v>27267</v>
      </c>
      <c r="E7949" t="str">
        <f t="shared" si="124"/>
        <v>001390</v>
      </c>
      <c r="F7949" t="s">
        <v>27246</v>
      </c>
      <c r="G7949" t="s">
        <v>27247</v>
      </c>
      <c r="H7949" t="s">
        <v>27248</v>
      </c>
      <c r="I7949" t="s">
        <v>42657</v>
      </c>
      <c r="J7949" t="s">
        <v>15799</v>
      </c>
      <c r="L7949" t="s">
        <v>27250</v>
      </c>
      <c r="M7949" t="s">
        <v>27251</v>
      </c>
      <c r="N7949" t="s">
        <v>27252</v>
      </c>
      <c r="Q7949" s="1">
        <v>44538</v>
      </c>
      <c r="R7949" t="s">
        <v>27253</v>
      </c>
      <c r="S7949" t="s">
        <v>27254</v>
      </c>
      <c r="T7949" t="s">
        <v>27269</v>
      </c>
    </row>
    <row r="7950" spans="1:20" x14ac:dyDescent="0.3">
      <c r="A7950" t="str">
        <f>"0611862540100"</f>
        <v>0611862540100</v>
      </c>
      <c r="B7950" t="str">
        <f>"CN5261"</f>
        <v>CN5261</v>
      </c>
      <c r="C7950" t="s">
        <v>42656</v>
      </c>
      <c r="D7950" t="s">
        <v>27335</v>
      </c>
      <c r="E7950" t="str">
        <f t="shared" si="124"/>
        <v>001390</v>
      </c>
      <c r="F7950" t="s">
        <v>27246</v>
      </c>
      <c r="G7950" t="s">
        <v>27247</v>
      </c>
      <c r="H7950" t="s">
        <v>27248</v>
      </c>
      <c r="I7950" t="s">
        <v>42658</v>
      </c>
      <c r="J7950" t="s">
        <v>15797</v>
      </c>
      <c r="L7950" t="s">
        <v>27250</v>
      </c>
      <c r="M7950" t="s">
        <v>27251</v>
      </c>
      <c r="N7950" t="s">
        <v>27252</v>
      </c>
      <c r="Q7950" s="1">
        <v>44846</v>
      </c>
      <c r="R7950" t="s">
        <v>27253</v>
      </c>
      <c r="S7950" t="s">
        <v>27254</v>
      </c>
      <c r="T7950" t="s">
        <v>27255</v>
      </c>
    </row>
    <row r="7951" spans="1:20" x14ac:dyDescent="0.3">
      <c r="A7951" t="str">
        <f>"0611862541050"</f>
        <v>0611862541050</v>
      </c>
      <c r="B7951" t="str">
        <f>"CR4379"</f>
        <v>CR4379</v>
      </c>
      <c r="C7951" t="s">
        <v>42659</v>
      </c>
      <c r="D7951" t="s">
        <v>27286</v>
      </c>
      <c r="E7951" t="str">
        <f t="shared" si="124"/>
        <v>001390</v>
      </c>
      <c r="F7951" t="s">
        <v>27246</v>
      </c>
      <c r="G7951" t="s">
        <v>27247</v>
      </c>
      <c r="H7951" t="s">
        <v>27248</v>
      </c>
      <c r="I7951" t="s">
        <v>42660</v>
      </c>
      <c r="J7951" t="s">
        <v>15801</v>
      </c>
      <c r="L7951" t="s">
        <v>27250</v>
      </c>
      <c r="M7951" t="s">
        <v>27251</v>
      </c>
      <c r="N7951" t="s">
        <v>27252</v>
      </c>
      <c r="Q7951" s="1">
        <v>44846</v>
      </c>
      <c r="R7951" t="s">
        <v>27253</v>
      </c>
      <c r="S7951" t="s">
        <v>27254</v>
      </c>
      <c r="T7951" t="s">
        <v>27265</v>
      </c>
    </row>
    <row r="7952" spans="1:20" x14ac:dyDescent="0.3">
      <c r="A7952" t="str">
        <f>"0611839083100"</f>
        <v>0611839083100</v>
      </c>
      <c r="B7952" t="str">
        <f>"LC3374"</f>
        <v>LC3374</v>
      </c>
      <c r="C7952" t="s">
        <v>42661</v>
      </c>
      <c r="D7952" t="s">
        <v>27245</v>
      </c>
      <c r="E7952" t="str">
        <f t="shared" si="124"/>
        <v>001390</v>
      </c>
      <c r="F7952" t="s">
        <v>27246</v>
      </c>
      <c r="G7952" t="s">
        <v>27247</v>
      </c>
      <c r="H7952" t="s">
        <v>27248</v>
      </c>
      <c r="I7952" t="s">
        <v>42662</v>
      </c>
      <c r="J7952" t="s">
        <v>22676</v>
      </c>
      <c r="L7952" t="s">
        <v>27250</v>
      </c>
      <c r="M7952" t="s">
        <v>27251</v>
      </c>
      <c r="N7952" t="s">
        <v>27252</v>
      </c>
      <c r="Q7952" s="1">
        <v>44538</v>
      </c>
      <c r="R7952" t="s">
        <v>27253</v>
      </c>
      <c r="S7952" t="s">
        <v>27254</v>
      </c>
      <c r="T7952" t="s">
        <v>27255</v>
      </c>
    </row>
    <row r="7953" spans="1:20" x14ac:dyDescent="0.3">
      <c r="A7953" t="str">
        <f>"0611836790100"</f>
        <v>0611836790100</v>
      </c>
      <c r="B7953" t="str">
        <f>"LC3398"</f>
        <v>LC3398</v>
      </c>
      <c r="C7953" t="s">
        <v>42663</v>
      </c>
      <c r="D7953" t="s">
        <v>27245</v>
      </c>
      <c r="E7953" t="str">
        <f t="shared" si="124"/>
        <v>001390</v>
      </c>
      <c r="F7953" t="s">
        <v>27246</v>
      </c>
      <c r="G7953" t="s">
        <v>27247</v>
      </c>
      <c r="H7953" t="s">
        <v>27248</v>
      </c>
      <c r="I7953" t="s">
        <v>42664</v>
      </c>
      <c r="J7953" t="s">
        <v>15803</v>
      </c>
      <c r="L7953" t="s">
        <v>27250</v>
      </c>
      <c r="M7953" t="s">
        <v>27251</v>
      </c>
      <c r="N7953" t="s">
        <v>27252</v>
      </c>
      <c r="Q7953" s="1">
        <v>44538</v>
      </c>
      <c r="R7953" t="s">
        <v>27253</v>
      </c>
      <c r="S7953" t="s">
        <v>27254</v>
      </c>
      <c r="T7953" t="s">
        <v>27255</v>
      </c>
    </row>
    <row r="7954" spans="1:20" x14ac:dyDescent="0.3">
      <c r="A7954" t="str">
        <f>"0611836791100"</f>
        <v>0611836791100</v>
      </c>
      <c r="B7954" t="str">
        <f>"LC9275"</f>
        <v>LC9275</v>
      </c>
      <c r="C7954" t="s">
        <v>42665</v>
      </c>
      <c r="D7954" t="s">
        <v>27245</v>
      </c>
      <c r="E7954" t="str">
        <f t="shared" si="124"/>
        <v>001390</v>
      </c>
      <c r="F7954" t="s">
        <v>27246</v>
      </c>
      <c r="G7954" t="s">
        <v>27247</v>
      </c>
      <c r="H7954" t="s">
        <v>27248</v>
      </c>
      <c r="I7954" t="s">
        <v>42666</v>
      </c>
      <c r="J7954" t="s">
        <v>15805</v>
      </c>
      <c r="L7954" t="s">
        <v>27250</v>
      </c>
      <c r="M7954" t="s">
        <v>27251</v>
      </c>
      <c r="N7954" t="s">
        <v>27252</v>
      </c>
      <c r="Q7954" s="1">
        <v>44538</v>
      </c>
      <c r="R7954" t="s">
        <v>27253</v>
      </c>
      <c r="S7954" t="s">
        <v>27254</v>
      </c>
      <c r="T7954" t="s">
        <v>27255</v>
      </c>
    </row>
    <row r="7955" spans="1:20" x14ac:dyDescent="0.3">
      <c r="A7955" t="str">
        <f>"0611836792025"</f>
        <v>0611836792025</v>
      </c>
      <c r="B7955" t="str">
        <f>"MC0802"</f>
        <v>MC0802</v>
      </c>
      <c r="C7955" t="s">
        <v>42665</v>
      </c>
      <c r="D7955" t="s">
        <v>27267</v>
      </c>
      <c r="E7955" t="str">
        <f t="shared" si="124"/>
        <v>001390</v>
      </c>
      <c r="F7955" t="s">
        <v>27246</v>
      </c>
      <c r="G7955" t="s">
        <v>27247</v>
      </c>
      <c r="H7955" t="s">
        <v>27248</v>
      </c>
      <c r="I7955" t="s">
        <v>42667</v>
      </c>
      <c r="J7955" t="s">
        <v>15807</v>
      </c>
      <c r="L7955" t="s">
        <v>27250</v>
      </c>
      <c r="M7955" t="s">
        <v>27251</v>
      </c>
      <c r="N7955" t="s">
        <v>27252</v>
      </c>
      <c r="Q7955" s="1">
        <v>44538</v>
      </c>
      <c r="R7955" t="s">
        <v>27253</v>
      </c>
      <c r="S7955" t="s">
        <v>27254</v>
      </c>
      <c r="T7955" t="s">
        <v>27269</v>
      </c>
    </row>
    <row r="7956" spans="1:20" x14ac:dyDescent="0.3">
      <c r="A7956" t="str">
        <f>"0611862542100"</f>
        <v>0611862542100</v>
      </c>
      <c r="B7956" t="str">
        <f>"CN5259"</f>
        <v>CN5259</v>
      </c>
      <c r="C7956" t="s">
        <v>42668</v>
      </c>
      <c r="D7956" t="s">
        <v>27335</v>
      </c>
      <c r="E7956" t="str">
        <f t="shared" si="124"/>
        <v>001390</v>
      </c>
      <c r="F7956" t="s">
        <v>27246</v>
      </c>
      <c r="G7956" t="s">
        <v>27247</v>
      </c>
      <c r="H7956" t="s">
        <v>27248</v>
      </c>
      <c r="I7956" t="s">
        <v>42669</v>
      </c>
      <c r="J7956" t="s">
        <v>15809</v>
      </c>
      <c r="L7956" t="s">
        <v>27250</v>
      </c>
      <c r="M7956" t="s">
        <v>27251</v>
      </c>
      <c r="N7956" t="s">
        <v>27252</v>
      </c>
      <c r="Q7956" s="1">
        <v>44846</v>
      </c>
      <c r="R7956" t="s">
        <v>27253</v>
      </c>
      <c r="S7956" t="s">
        <v>27254</v>
      </c>
      <c r="T7956" t="s">
        <v>27255</v>
      </c>
    </row>
    <row r="7957" spans="1:20" x14ac:dyDescent="0.3">
      <c r="A7957" t="str">
        <f>"0611862543050"</f>
        <v>0611862543050</v>
      </c>
      <c r="B7957" t="str">
        <f>"CR4376"</f>
        <v>CR4376</v>
      </c>
      <c r="C7957" t="s">
        <v>42670</v>
      </c>
      <c r="D7957" t="s">
        <v>27263</v>
      </c>
      <c r="E7957" t="str">
        <f t="shared" si="124"/>
        <v>001390</v>
      </c>
      <c r="F7957" t="s">
        <v>27246</v>
      </c>
      <c r="G7957" t="s">
        <v>27247</v>
      </c>
      <c r="H7957" t="s">
        <v>27248</v>
      </c>
      <c r="I7957" t="s">
        <v>42671</v>
      </c>
      <c r="J7957" t="s">
        <v>15811</v>
      </c>
      <c r="L7957" t="s">
        <v>27250</v>
      </c>
      <c r="M7957" t="s">
        <v>27251</v>
      </c>
      <c r="N7957" t="s">
        <v>27252</v>
      </c>
      <c r="Q7957" s="1">
        <v>44846</v>
      </c>
      <c r="R7957" t="s">
        <v>27253</v>
      </c>
      <c r="S7957" t="s">
        <v>27254</v>
      </c>
      <c r="T7957" t="s">
        <v>27265</v>
      </c>
    </row>
    <row r="7958" spans="1:20" x14ac:dyDescent="0.3">
      <c r="A7958" t="str">
        <f>"0611884330025"</f>
        <v>0611884330025</v>
      </c>
      <c r="B7958" t="str">
        <f>"MC4494"</f>
        <v>MC4494</v>
      </c>
      <c r="C7958" t="s">
        <v>42672</v>
      </c>
      <c r="D7958" t="s">
        <v>27267</v>
      </c>
      <c r="E7958" t="str">
        <f t="shared" si="124"/>
        <v>001390</v>
      </c>
      <c r="F7958" t="s">
        <v>27246</v>
      </c>
      <c r="G7958" t="s">
        <v>27247</v>
      </c>
      <c r="H7958" t="s">
        <v>27248</v>
      </c>
      <c r="I7958" t="s">
        <v>42673</v>
      </c>
      <c r="J7958" t="s">
        <v>15813</v>
      </c>
      <c r="L7958" t="s">
        <v>27430</v>
      </c>
      <c r="M7958" t="s">
        <v>27251</v>
      </c>
      <c r="N7958" t="s">
        <v>27252</v>
      </c>
      <c r="Q7958" s="1">
        <v>45250</v>
      </c>
      <c r="R7958" t="s">
        <v>27253</v>
      </c>
      <c r="S7958" t="s">
        <v>27254</v>
      </c>
      <c r="T7958" t="s">
        <v>27269</v>
      </c>
    </row>
    <row r="7959" spans="1:20" x14ac:dyDescent="0.3">
      <c r="A7959" t="str">
        <f>"0611884331025"</f>
        <v>0611884331025</v>
      </c>
      <c r="B7959" t="str">
        <f>"MC4495"</f>
        <v>MC4495</v>
      </c>
      <c r="C7959" t="s">
        <v>42674</v>
      </c>
      <c r="D7959" t="s">
        <v>27267</v>
      </c>
      <c r="E7959" t="str">
        <f t="shared" si="124"/>
        <v>001390</v>
      </c>
      <c r="F7959" t="s">
        <v>27246</v>
      </c>
      <c r="G7959" t="s">
        <v>27247</v>
      </c>
      <c r="H7959" t="s">
        <v>27248</v>
      </c>
      <c r="I7959" t="s">
        <v>42675</v>
      </c>
      <c r="J7959" t="s">
        <v>15815</v>
      </c>
      <c r="L7959" t="s">
        <v>27430</v>
      </c>
      <c r="M7959" t="s">
        <v>27251</v>
      </c>
      <c r="N7959" t="s">
        <v>27252</v>
      </c>
      <c r="Q7959" s="1">
        <v>45250</v>
      </c>
      <c r="R7959" t="s">
        <v>27253</v>
      </c>
      <c r="S7959" t="s">
        <v>27254</v>
      </c>
      <c r="T7959" t="s">
        <v>27269</v>
      </c>
    </row>
    <row r="7960" spans="1:20" x14ac:dyDescent="0.3">
      <c r="A7960" t="str">
        <f>"0611884332025"</f>
        <v>0611884332025</v>
      </c>
      <c r="B7960" t="str">
        <f>"MC4496"</f>
        <v>MC4496</v>
      </c>
      <c r="C7960" t="s">
        <v>42676</v>
      </c>
      <c r="D7960" t="s">
        <v>27267</v>
      </c>
      <c r="E7960" t="str">
        <f t="shared" si="124"/>
        <v>001390</v>
      </c>
      <c r="F7960" t="s">
        <v>27246</v>
      </c>
      <c r="G7960" t="s">
        <v>27247</v>
      </c>
      <c r="H7960" t="s">
        <v>27248</v>
      </c>
      <c r="I7960" t="s">
        <v>42677</v>
      </c>
      <c r="J7960" t="s">
        <v>15817</v>
      </c>
      <c r="L7960" t="s">
        <v>27430</v>
      </c>
      <c r="M7960" t="s">
        <v>27251</v>
      </c>
      <c r="N7960" t="s">
        <v>27252</v>
      </c>
      <c r="Q7960" s="1">
        <v>45250</v>
      </c>
      <c r="R7960" t="s">
        <v>27253</v>
      </c>
      <c r="S7960" t="s">
        <v>27254</v>
      </c>
      <c r="T7960" t="s">
        <v>27269</v>
      </c>
    </row>
    <row r="7961" spans="1:20" x14ac:dyDescent="0.3">
      <c r="A7961" t="str">
        <f>"0611836805100"</f>
        <v>0611836805100</v>
      </c>
      <c r="B7961" t="str">
        <f>"LB5601"</f>
        <v>LB5601</v>
      </c>
      <c r="C7961" t="s">
        <v>42678</v>
      </c>
      <c r="D7961" t="s">
        <v>27245</v>
      </c>
      <c r="E7961" t="str">
        <f t="shared" si="124"/>
        <v>001390</v>
      </c>
      <c r="F7961" t="s">
        <v>27246</v>
      </c>
      <c r="G7961" t="s">
        <v>27247</v>
      </c>
      <c r="H7961" t="s">
        <v>27248</v>
      </c>
      <c r="I7961" t="s">
        <v>42679</v>
      </c>
      <c r="J7961" t="s">
        <v>15819</v>
      </c>
      <c r="L7961" t="s">
        <v>27250</v>
      </c>
      <c r="M7961" t="s">
        <v>27251</v>
      </c>
      <c r="N7961" t="s">
        <v>27252</v>
      </c>
      <c r="Q7961" s="1">
        <v>44538</v>
      </c>
      <c r="R7961" t="s">
        <v>27253</v>
      </c>
      <c r="S7961" t="s">
        <v>27254</v>
      </c>
      <c r="T7961" t="s">
        <v>27255</v>
      </c>
    </row>
    <row r="7962" spans="1:20" x14ac:dyDescent="0.3">
      <c r="A7962" t="str">
        <f>"0611836806025"</f>
        <v>0611836806025</v>
      </c>
      <c r="B7962" t="str">
        <f>"MC1614"</f>
        <v>MC1614</v>
      </c>
      <c r="C7962" t="s">
        <v>42680</v>
      </c>
      <c r="D7962" t="s">
        <v>27267</v>
      </c>
      <c r="E7962" t="str">
        <f t="shared" si="124"/>
        <v>001390</v>
      </c>
      <c r="F7962" t="s">
        <v>27246</v>
      </c>
      <c r="G7962" t="s">
        <v>27247</v>
      </c>
      <c r="H7962" t="s">
        <v>27248</v>
      </c>
      <c r="I7962" t="s">
        <v>42681</v>
      </c>
      <c r="J7962" t="s">
        <v>15843</v>
      </c>
      <c r="L7962" t="s">
        <v>27250</v>
      </c>
      <c r="M7962" t="s">
        <v>27251</v>
      </c>
      <c r="N7962" t="s">
        <v>27252</v>
      </c>
      <c r="Q7962" s="1">
        <v>44538</v>
      </c>
      <c r="R7962" t="s">
        <v>27253</v>
      </c>
      <c r="S7962" t="s">
        <v>27254</v>
      </c>
      <c r="T7962" t="s">
        <v>27269</v>
      </c>
    </row>
    <row r="7963" spans="1:20" x14ac:dyDescent="0.3">
      <c r="A7963" t="str">
        <f>"0611836809100"</f>
        <v>0611836809100</v>
      </c>
      <c r="B7963" t="str">
        <f>"LK3274"</f>
        <v>LK3274</v>
      </c>
      <c r="C7963" t="s">
        <v>42682</v>
      </c>
      <c r="D7963" t="s">
        <v>27245</v>
      </c>
      <c r="E7963" t="str">
        <f t="shared" si="124"/>
        <v>001390</v>
      </c>
      <c r="F7963" t="s">
        <v>27246</v>
      </c>
      <c r="G7963" t="s">
        <v>27247</v>
      </c>
      <c r="H7963" t="s">
        <v>27248</v>
      </c>
      <c r="I7963" t="s">
        <v>42683</v>
      </c>
      <c r="J7963" t="s">
        <v>15845</v>
      </c>
      <c r="L7963" t="s">
        <v>27250</v>
      </c>
      <c r="M7963" t="s">
        <v>27251</v>
      </c>
      <c r="N7963" t="s">
        <v>27252</v>
      </c>
      <c r="Q7963" s="1">
        <v>44538</v>
      </c>
      <c r="R7963" t="s">
        <v>27253</v>
      </c>
      <c r="S7963" t="s">
        <v>27254</v>
      </c>
      <c r="T7963" t="s">
        <v>27255</v>
      </c>
    </row>
    <row r="7964" spans="1:20" x14ac:dyDescent="0.3">
      <c r="A7964" t="str">
        <f>"0611836807100"</f>
        <v>0611836807100</v>
      </c>
      <c r="B7964" t="str">
        <f>"LK3272"</f>
        <v>LK3272</v>
      </c>
      <c r="C7964" t="s">
        <v>42684</v>
      </c>
      <c r="D7964" t="s">
        <v>27245</v>
      </c>
      <c r="E7964" t="str">
        <f t="shared" si="124"/>
        <v>001390</v>
      </c>
      <c r="F7964" t="s">
        <v>27246</v>
      </c>
      <c r="G7964" t="s">
        <v>27247</v>
      </c>
      <c r="H7964" t="s">
        <v>27248</v>
      </c>
      <c r="I7964" t="s">
        <v>42685</v>
      </c>
      <c r="J7964" t="s">
        <v>15847</v>
      </c>
      <c r="L7964" t="s">
        <v>27250</v>
      </c>
      <c r="M7964" t="s">
        <v>27251</v>
      </c>
      <c r="N7964" t="s">
        <v>27252</v>
      </c>
      <c r="Q7964" s="1">
        <v>44538</v>
      </c>
      <c r="R7964" t="s">
        <v>27253</v>
      </c>
      <c r="S7964" t="s">
        <v>27254</v>
      </c>
      <c r="T7964" t="s">
        <v>27255</v>
      </c>
    </row>
    <row r="7965" spans="1:20" x14ac:dyDescent="0.3">
      <c r="A7965" t="str">
        <f>"0611836810100"</f>
        <v>0611836810100</v>
      </c>
      <c r="B7965" t="str">
        <f>"LK3278"</f>
        <v>LK3278</v>
      </c>
      <c r="C7965" t="s">
        <v>42686</v>
      </c>
      <c r="D7965" t="s">
        <v>27245</v>
      </c>
      <c r="E7965" t="str">
        <f t="shared" si="124"/>
        <v>001390</v>
      </c>
      <c r="F7965" t="s">
        <v>27246</v>
      </c>
      <c r="G7965" t="s">
        <v>27247</v>
      </c>
      <c r="H7965" t="s">
        <v>27248</v>
      </c>
      <c r="I7965" t="s">
        <v>42687</v>
      </c>
      <c r="J7965" t="s">
        <v>15849</v>
      </c>
      <c r="L7965" t="s">
        <v>27250</v>
      </c>
      <c r="M7965" t="s">
        <v>27251</v>
      </c>
      <c r="N7965" t="s">
        <v>27252</v>
      </c>
      <c r="Q7965" s="1">
        <v>44538</v>
      </c>
      <c r="R7965" t="s">
        <v>27253</v>
      </c>
      <c r="S7965" t="s">
        <v>27254</v>
      </c>
      <c r="T7965" t="s">
        <v>27255</v>
      </c>
    </row>
    <row r="7966" spans="1:20" x14ac:dyDescent="0.3">
      <c r="A7966" t="str">
        <f>"0611836811100"</f>
        <v>0611836811100</v>
      </c>
      <c r="B7966" t="str">
        <f>"LK3275"</f>
        <v>LK3275</v>
      </c>
      <c r="C7966" t="s">
        <v>42688</v>
      </c>
      <c r="D7966" t="s">
        <v>27245</v>
      </c>
      <c r="E7966" t="str">
        <f t="shared" si="124"/>
        <v>001390</v>
      </c>
      <c r="F7966" t="s">
        <v>27246</v>
      </c>
      <c r="G7966" t="s">
        <v>27247</v>
      </c>
      <c r="H7966" t="s">
        <v>27248</v>
      </c>
      <c r="I7966" t="s">
        <v>42689</v>
      </c>
      <c r="J7966" t="s">
        <v>15851</v>
      </c>
      <c r="L7966" t="s">
        <v>27250</v>
      </c>
      <c r="M7966" t="s">
        <v>27251</v>
      </c>
      <c r="N7966" t="s">
        <v>27252</v>
      </c>
      <c r="Q7966" s="1">
        <v>44538</v>
      </c>
      <c r="R7966" t="s">
        <v>27253</v>
      </c>
      <c r="S7966" t="s">
        <v>27254</v>
      </c>
      <c r="T7966" t="s">
        <v>27255</v>
      </c>
    </row>
    <row r="7967" spans="1:20" x14ac:dyDescent="0.3">
      <c r="A7967" t="str">
        <f>"0611836812100"</f>
        <v>0611836812100</v>
      </c>
      <c r="B7967" t="str">
        <f>"LK3277"</f>
        <v>LK3277</v>
      </c>
      <c r="C7967" t="s">
        <v>42690</v>
      </c>
      <c r="D7967" t="s">
        <v>27245</v>
      </c>
      <c r="E7967" t="str">
        <f t="shared" si="124"/>
        <v>001390</v>
      </c>
      <c r="F7967" t="s">
        <v>27246</v>
      </c>
      <c r="G7967" t="s">
        <v>27247</v>
      </c>
      <c r="H7967" t="s">
        <v>27248</v>
      </c>
      <c r="I7967" t="s">
        <v>42691</v>
      </c>
      <c r="J7967" t="s">
        <v>15853</v>
      </c>
      <c r="L7967" t="s">
        <v>27250</v>
      </c>
      <c r="M7967" t="s">
        <v>27251</v>
      </c>
      <c r="N7967" t="s">
        <v>27252</v>
      </c>
      <c r="Q7967" s="1">
        <v>44538</v>
      </c>
      <c r="R7967" t="s">
        <v>27253</v>
      </c>
      <c r="S7967" t="s">
        <v>27254</v>
      </c>
      <c r="T7967" t="s">
        <v>27255</v>
      </c>
    </row>
    <row r="7968" spans="1:20" x14ac:dyDescent="0.3">
      <c r="A7968" t="str">
        <f>"0611836808100"</f>
        <v>0611836808100</v>
      </c>
      <c r="B7968" t="str">
        <f>"LK3276"</f>
        <v>LK3276</v>
      </c>
      <c r="C7968" t="s">
        <v>42692</v>
      </c>
      <c r="D7968" t="s">
        <v>27245</v>
      </c>
      <c r="E7968" t="str">
        <f t="shared" si="124"/>
        <v>001390</v>
      </c>
      <c r="F7968" t="s">
        <v>27246</v>
      </c>
      <c r="G7968" t="s">
        <v>27247</v>
      </c>
      <c r="H7968" t="s">
        <v>27248</v>
      </c>
      <c r="I7968" t="s">
        <v>42693</v>
      </c>
      <c r="J7968" t="s">
        <v>15855</v>
      </c>
      <c r="L7968" t="s">
        <v>27250</v>
      </c>
      <c r="M7968" t="s">
        <v>27251</v>
      </c>
      <c r="N7968" t="s">
        <v>27252</v>
      </c>
      <c r="Q7968" s="1">
        <v>44538</v>
      </c>
      <c r="R7968" t="s">
        <v>27253</v>
      </c>
      <c r="S7968" t="s">
        <v>27254</v>
      </c>
      <c r="T7968" t="s">
        <v>27255</v>
      </c>
    </row>
    <row r="7969" spans="1:20" x14ac:dyDescent="0.3">
      <c r="A7969" t="str">
        <f>"0611836813100"</f>
        <v>0611836813100</v>
      </c>
      <c r="B7969" t="str">
        <f>"LK3273"</f>
        <v>LK3273</v>
      </c>
      <c r="C7969" t="s">
        <v>42694</v>
      </c>
      <c r="D7969" t="s">
        <v>27245</v>
      </c>
      <c r="E7969" t="str">
        <f t="shared" si="124"/>
        <v>001390</v>
      </c>
      <c r="F7969" t="s">
        <v>27246</v>
      </c>
      <c r="G7969" t="s">
        <v>27247</v>
      </c>
      <c r="H7969" t="s">
        <v>27248</v>
      </c>
      <c r="I7969" t="s">
        <v>42695</v>
      </c>
      <c r="J7969" t="s">
        <v>15857</v>
      </c>
      <c r="L7969" t="s">
        <v>27250</v>
      </c>
      <c r="M7969" t="s">
        <v>27251</v>
      </c>
      <c r="N7969" t="s">
        <v>27252</v>
      </c>
      <c r="Q7969" s="1">
        <v>44538</v>
      </c>
      <c r="R7969" t="s">
        <v>27253</v>
      </c>
      <c r="S7969" t="s">
        <v>27254</v>
      </c>
      <c r="T7969" t="s">
        <v>27255</v>
      </c>
    </row>
    <row r="7970" spans="1:20" x14ac:dyDescent="0.3">
      <c r="A7970" t="str">
        <f>"0611833719100"</f>
        <v>0611833719100</v>
      </c>
      <c r="B7970" t="str">
        <f>"LK6353"</f>
        <v>LK6353</v>
      </c>
      <c r="C7970" t="s">
        <v>42696</v>
      </c>
      <c r="D7970" t="s">
        <v>27245</v>
      </c>
      <c r="E7970" t="str">
        <f t="shared" si="124"/>
        <v>001390</v>
      </c>
      <c r="F7970" t="s">
        <v>27246</v>
      </c>
      <c r="G7970" t="s">
        <v>27247</v>
      </c>
      <c r="H7970" t="s">
        <v>27248</v>
      </c>
      <c r="I7970" t="s">
        <v>42697</v>
      </c>
      <c r="J7970" t="s">
        <v>15859</v>
      </c>
      <c r="L7970" t="s">
        <v>27250</v>
      </c>
      <c r="M7970" t="s">
        <v>27251</v>
      </c>
      <c r="N7970" t="s">
        <v>27252</v>
      </c>
      <c r="Q7970" s="1">
        <v>44538</v>
      </c>
      <c r="R7970" t="s">
        <v>27253</v>
      </c>
      <c r="S7970" t="s">
        <v>27254</v>
      </c>
      <c r="T7970" t="s">
        <v>27255</v>
      </c>
    </row>
    <row r="7971" spans="1:20" x14ac:dyDescent="0.3">
      <c r="A7971" t="str">
        <f>"0611857034100"</f>
        <v>0611857034100</v>
      </c>
      <c r="B7971" t="str">
        <f>"LK6840"</f>
        <v>LK6840</v>
      </c>
      <c r="C7971" t="s">
        <v>42698</v>
      </c>
      <c r="D7971" t="s">
        <v>27245</v>
      </c>
      <c r="E7971" t="str">
        <f t="shared" si="124"/>
        <v>001390</v>
      </c>
      <c r="F7971" t="s">
        <v>27246</v>
      </c>
      <c r="G7971" t="s">
        <v>27247</v>
      </c>
      <c r="H7971" t="s">
        <v>27248</v>
      </c>
      <c r="I7971" t="s">
        <v>42699</v>
      </c>
      <c r="J7971" t="s">
        <v>15861</v>
      </c>
      <c r="L7971" t="s">
        <v>27250</v>
      </c>
      <c r="M7971" t="s">
        <v>27251</v>
      </c>
      <c r="N7971" t="s">
        <v>27252</v>
      </c>
      <c r="Q7971" s="1">
        <v>44812</v>
      </c>
      <c r="R7971" t="s">
        <v>27253</v>
      </c>
      <c r="S7971" t="s">
        <v>27254</v>
      </c>
      <c r="T7971" t="s">
        <v>27255</v>
      </c>
    </row>
    <row r="7972" spans="1:20" x14ac:dyDescent="0.3">
      <c r="A7972" t="str">
        <f>"0611834757100"</f>
        <v>0611834757100</v>
      </c>
      <c r="B7972" t="str">
        <f>"LK5992"</f>
        <v>LK5992</v>
      </c>
      <c r="C7972" t="s">
        <v>42700</v>
      </c>
      <c r="D7972" t="s">
        <v>27245</v>
      </c>
      <c r="E7972" t="str">
        <f t="shared" si="124"/>
        <v>001390</v>
      </c>
      <c r="F7972" t="s">
        <v>27246</v>
      </c>
      <c r="G7972" t="s">
        <v>27247</v>
      </c>
      <c r="H7972" t="s">
        <v>27248</v>
      </c>
      <c r="I7972" t="s">
        <v>42701</v>
      </c>
      <c r="J7972" t="s">
        <v>15863</v>
      </c>
      <c r="L7972" t="s">
        <v>27250</v>
      </c>
      <c r="M7972" t="s">
        <v>27251</v>
      </c>
      <c r="N7972" t="s">
        <v>27252</v>
      </c>
      <c r="Q7972" s="1">
        <v>44538</v>
      </c>
      <c r="R7972" t="s">
        <v>27253</v>
      </c>
      <c r="S7972" t="s">
        <v>27254</v>
      </c>
      <c r="T7972" t="s">
        <v>27255</v>
      </c>
    </row>
    <row r="7973" spans="1:20" x14ac:dyDescent="0.3">
      <c r="A7973" t="str">
        <f>"0611839383100"</f>
        <v>0611839383100</v>
      </c>
      <c r="B7973" t="str">
        <f>"MB9902"</f>
        <v>MB9902</v>
      </c>
      <c r="C7973" t="s">
        <v>42702</v>
      </c>
      <c r="D7973" t="s">
        <v>27274</v>
      </c>
      <c r="E7973" t="str">
        <f t="shared" si="124"/>
        <v>001390</v>
      </c>
      <c r="F7973" t="s">
        <v>27246</v>
      </c>
      <c r="G7973" t="s">
        <v>27247</v>
      </c>
      <c r="H7973" t="s">
        <v>27248</v>
      </c>
      <c r="I7973" t="s">
        <v>42703</v>
      </c>
      <c r="J7973" t="s">
        <v>15865</v>
      </c>
      <c r="L7973" t="s">
        <v>27250</v>
      </c>
      <c r="M7973" t="s">
        <v>27251</v>
      </c>
      <c r="N7973" t="s">
        <v>27252</v>
      </c>
      <c r="Q7973" s="1">
        <v>44538</v>
      </c>
      <c r="R7973" t="s">
        <v>27253</v>
      </c>
      <c r="S7973" t="s">
        <v>27254</v>
      </c>
      <c r="T7973" t="s">
        <v>27276</v>
      </c>
    </row>
    <row r="7974" spans="1:20" x14ac:dyDescent="0.3">
      <c r="A7974" t="str">
        <f>"0611837041100"</f>
        <v>0611837041100</v>
      </c>
      <c r="B7974" t="str">
        <f>"LK5993"</f>
        <v>LK5993</v>
      </c>
      <c r="C7974" t="s">
        <v>42704</v>
      </c>
      <c r="D7974" t="s">
        <v>27245</v>
      </c>
      <c r="E7974" t="str">
        <f t="shared" si="124"/>
        <v>001390</v>
      </c>
      <c r="F7974" t="s">
        <v>27246</v>
      </c>
      <c r="G7974" t="s">
        <v>27247</v>
      </c>
      <c r="H7974" t="s">
        <v>27248</v>
      </c>
      <c r="I7974" t="s">
        <v>42705</v>
      </c>
      <c r="J7974" t="s">
        <v>15867</v>
      </c>
      <c r="L7974" t="s">
        <v>27250</v>
      </c>
      <c r="M7974" t="s">
        <v>27251</v>
      </c>
      <c r="N7974" t="s">
        <v>27252</v>
      </c>
      <c r="Q7974" s="1">
        <v>44538</v>
      </c>
      <c r="R7974" t="s">
        <v>27253</v>
      </c>
      <c r="S7974" t="s">
        <v>27254</v>
      </c>
      <c r="T7974" t="s">
        <v>27255</v>
      </c>
    </row>
    <row r="7975" spans="1:20" x14ac:dyDescent="0.3">
      <c r="A7975" t="str">
        <f>"0611838554025"</f>
        <v>0611838554025</v>
      </c>
      <c r="B7975" t="str">
        <f>"MC4112"</f>
        <v>MC4112</v>
      </c>
      <c r="C7975" t="s">
        <v>42706</v>
      </c>
      <c r="D7975" t="s">
        <v>27267</v>
      </c>
      <c r="E7975" t="str">
        <f t="shared" si="124"/>
        <v>001390</v>
      </c>
      <c r="F7975" t="s">
        <v>27246</v>
      </c>
      <c r="G7975" t="s">
        <v>27247</v>
      </c>
      <c r="H7975" t="s">
        <v>27248</v>
      </c>
      <c r="I7975" t="s">
        <v>42707</v>
      </c>
      <c r="J7975" t="s">
        <v>15869</v>
      </c>
      <c r="L7975" t="s">
        <v>27250</v>
      </c>
      <c r="M7975" t="s">
        <v>27251</v>
      </c>
      <c r="N7975" t="s">
        <v>27252</v>
      </c>
      <c r="Q7975" s="1">
        <v>44538</v>
      </c>
      <c r="R7975" t="s">
        <v>27253</v>
      </c>
      <c r="S7975" t="s">
        <v>27254</v>
      </c>
      <c r="T7975" t="s">
        <v>27269</v>
      </c>
    </row>
    <row r="7976" spans="1:20" x14ac:dyDescent="0.3">
      <c r="A7976" t="str">
        <f>"0611838757100"</f>
        <v>0611838757100</v>
      </c>
      <c r="B7976" t="str">
        <f>"LK6319"</f>
        <v>LK6319</v>
      </c>
      <c r="C7976" t="s">
        <v>42708</v>
      </c>
      <c r="D7976" t="s">
        <v>27245</v>
      </c>
      <c r="E7976" t="str">
        <f t="shared" si="124"/>
        <v>001390</v>
      </c>
      <c r="F7976" t="s">
        <v>27246</v>
      </c>
      <c r="G7976" t="s">
        <v>27247</v>
      </c>
      <c r="H7976" t="s">
        <v>27248</v>
      </c>
      <c r="I7976" t="s">
        <v>42709</v>
      </c>
      <c r="J7976" t="s">
        <v>15871</v>
      </c>
      <c r="L7976" t="s">
        <v>27250</v>
      </c>
      <c r="M7976" t="s">
        <v>27251</v>
      </c>
      <c r="N7976" t="s">
        <v>27252</v>
      </c>
      <c r="Q7976" s="1">
        <v>44538</v>
      </c>
      <c r="R7976" t="s">
        <v>27253</v>
      </c>
      <c r="S7976" t="s">
        <v>27254</v>
      </c>
      <c r="T7976" t="s">
        <v>27255</v>
      </c>
    </row>
    <row r="7977" spans="1:20" x14ac:dyDescent="0.3">
      <c r="A7977" t="str">
        <f>"0611837163100"</f>
        <v>0611837163100</v>
      </c>
      <c r="B7977" t="str">
        <f>"MB9802"</f>
        <v>MB9802</v>
      </c>
      <c r="C7977" t="s">
        <v>42710</v>
      </c>
      <c r="D7977" t="s">
        <v>27274</v>
      </c>
      <c r="E7977" t="str">
        <f t="shared" si="124"/>
        <v>001390</v>
      </c>
      <c r="F7977" t="s">
        <v>27246</v>
      </c>
      <c r="G7977" t="s">
        <v>27247</v>
      </c>
      <c r="H7977" t="s">
        <v>27248</v>
      </c>
      <c r="I7977" t="s">
        <v>42711</v>
      </c>
      <c r="J7977" t="s">
        <v>15873</v>
      </c>
      <c r="L7977" t="s">
        <v>27250</v>
      </c>
      <c r="M7977" t="s">
        <v>27251</v>
      </c>
      <c r="N7977" t="s">
        <v>27252</v>
      </c>
      <c r="Q7977" s="1">
        <v>44538</v>
      </c>
      <c r="R7977" t="s">
        <v>27253</v>
      </c>
      <c r="S7977" t="s">
        <v>27254</v>
      </c>
      <c r="T7977" t="s">
        <v>27276</v>
      </c>
    </row>
    <row r="7978" spans="1:20" x14ac:dyDescent="0.3">
      <c r="A7978" t="str">
        <f>"0611837164025"</f>
        <v>0611837164025</v>
      </c>
      <c r="B7978" t="str">
        <f>"MC3330"</f>
        <v>MC3330</v>
      </c>
      <c r="C7978" t="s">
        <v>42710</v>
      </c>
      <c r="D7978" t="s">
        <v>27267</v>
      </c>
      <c r="E7978" t="str">
        <f t="shared" si="124"/>
        <v>001390</v>
      </c>
      <c r="F7978" t="s">
        <v>27246</v>
      </c>
      <c r="G7978" t="s">
        <v>27247</v>
      </c>
      <c r="H7978" t="s">
        <v>27248</v>
      </c>
      <c r="I7978" t="s">
        <v>42712</v>
      </c>
      <c r="J7978" t="s">
        <v>15875</v>
      </c>
      <c r="L7978" t="s">
        <v>27250</v>
      </c>
      <c r="M7978" t="s">
        <v>27251</v>
      </c>
      <c r="N7978" t="s">
        <v>27252</v>
      </c>
      <c r="Q7978" s="1">
        <v>44538</v>
      </c>
      <c r="R7978" t="s">
        <v>27253</v>
      </c>
      <c r="S7978" t="s">
        <v>27254</v>
      </c>
      <c r="T7978" t="s">
        <v>27269</v>
      </c>
    </row>
    <row r="7979" spans="1:20" x14ac:dyDescent="0.3">
      <c r="A7979" t="str">
        <f>"0611837165100"</f>
        <v>0611837165100</v>
      </c>
      <c r="B7979" t="str">
        <f>"MB9805"</f>
        <v>MB9805</v>
      </c>
      <c r="C7979" t="s">
        <v>42713</v>
      </c>
      <c r="D7979" t="s">
        <v>27274</v>
      </c>
      <c r="E7979" t="str">
        <f t="shared" si="124"/>
        <v>001390</v>
      </c>
      <c r="F7979" t="s">
        <v>27246</v>
      </c>
      <c r="G7979" t="s">
        <v>27247</v>
      </c>
      <c r="H7979" t="s">
        <v>27248</v>
      </c>
      <c r="I7979" t="s">
        <v>42714</v>
      </c>
      <c r="J7979" t="s">
        <v>15877</v>
      </c>
      <c r="L7979" t="s">
        <v>27250</v>
      </c>
      <c r="M7979" t="s">
        <v>27251</v>
      </c>
      <c r="N7979" t="s">
        <v>27252</v>
      </c>
      <c r="Q7979" s="1">
        <v>44538</v>
      </c>
      <c r="R7979" t="s">
        <v>27253</v>
      </c>
      <c r="S7979" t="s">
        <v>27254</v>
      </c>
      <c r="T7979" t="s">
        <v>27276</v>
      </c>
    </row>
    <row r="7980" spans="1:20" x14ac:dyDescent="0.3">
      <c r="A7980" t="str">
        <f>"0611839337100"</f>
        <v>0611839337100</v>
      </c>
      <c r="B7980" t="str">
        <f>"MB9803"</f>
        <v>MB9803</v>
      </c>
      <c r="C7980" t="s">
        <v>42715</v>
      </c>
      <c r="D7980" t="s">
        <v>27274</v>
      </c>
      <c r="E7980" t="str">
        <f t="shared" si="124"/>
        <v>001390</v>
      </c>
      <c r="F7980" t="s">
        <v>27246</v>
      </c>
      <c r="G7980" t="s">
        <v>27247</v>
      </c>
      <c r="H7980" t="s">
        <v>27248</v>
      </c>
      <c r="I7980" t="s">
        <v>42716</v>
      </c>
      <c r="J7980" t="s">
        <v>15879</v>
      </c>
      <c r="L7980" t="s">
        <v>27250</v>
      </c>
      <c r="M7980" t="s">
        <v>27251</v>
      </c>
      <c r="N7980" t="s">
        <v>27252</v>
      </c>
      <c r="Q7980" s="1">
        <v>44538</v>
      </c>
      <c r="R7980" t="s">
        <v>27253</v>
      </c>
      <c r="S7980" t="s">
        <v>27254</v>
      </c>
      <c r="T7980" t="s">
        <v>27276</v>
      </c>
    </row>
    <row r="7981" spans="1:20" x14ac:dyDescent="0.3">
      <c r="A7981" t="str">
        <f>"0611839338025"</f>
        <v>0611839338025</v>
      </c>
      <c r="B7981" t="str">
        <f>"MC3331"</f>
        <v>MC3331</v>
      </c>
      <c r="C7981" t="s">
        <v>42715</v>
      </c>
      <c r="D7981" t="s">
        <v>27267</v>
      </c>
      <c r="E7981" t="str">
        <f t="shared" si="124"/>
        <v>001390</v>
      </c>
      <c r="F7981" t="s">
        <v>27246</v>
      </c>
      <c r="G7981" t="s">
        <v>27247</v>
      </c>
      <c r="H7981" t="s">
        <v>27248</v>
      </c>
      <c r="I7981" t="s">
        <v>42717</v>
      </c>
      <c r="J7981" t="s">
        <v>15881</v>
      </c>
      <c r="L7981" t="s">
        <v>27250</v>
      </c>
      <c r="M7981" t="s">
        <v>27251</v>
      </c>
      <c r="N7981" t="s">
        <v>27252</v>
      </c>
      <c r="Q7981" s="1">
        <v>44538</v>
      </c>
      <c r="R7981" t="s">
        <v>27253</v>
      </c>
      <c r="S7981" t="s">
        <v>27254</v>
      </c>
      <c r="T7981" t="s">
        <v>27269</v>
      </c>
    </row>
    <row r="7982" spans="1:20" x14ac:dyDescent="0.3">
      <c r="A7982" t="str">
        <f>"0611839481100"</f>
        <v>0611839481100</v>
      </c>
      <c r="B7982" t="str">
        <f>"MB9801"</f>
        <v>MB9801</v>
      </c>
      <c r="C7982" t="s">
        <v>42718</v>
      </c>
      <c r="D7982" t="s">
        <v>27274</v>
      </c>
      <c r="E7982" t="str">
        <f t="shared" si="124"/>
        <v>001390</v>
      </c>
      <c r="F7982" t="s">
        <v>27246</v>
      </c>
      <c r="G7982" t="s">
        <v>27247</v>
      </c>
      <c r="H7982" t="s">
        <v>27248</v>
      </c>
      <c r="I7982" t="s">
        <v>42719</v>
      </c>
      <c r="J7982" t="s">
        <v>15883</v>
      </c>
      <c r="L7982" t="s">
        <v>27250</v>
      </c>
      <c r="M7982" t="s">
        <v>27251</v>
      </c>
      <c r="N7982" t="s">
        <v>27252</v>
      </c>
      <c r="Q7982" s="1">
        <v>44538</v>
      </c>
      <c r="R7982" t="s">
        <v>27253</v>
      </c>
      <c r="S7982" t="s">
        <v>27254</v>
      </c>
      <c r="T7982" t="s">
        <v>27276</v>
      </c>
    </row>
    <row r="7983" spans="1:20" x14ac:dyDescent="0.3">
      <c r="A7983" t="str">
        <f>"0611839482025"</f>
        <v>0611839482025</v>
      </c>
      <c r="B7983" t="str">
        <f>"MC3329"</f>
        <v>MC3329</v>
      </c>
      <c r="C7983" t="s">
        <v>42718</v>
      </c>
      <c r="D7983" t="s">
        <v>27267</v>
      </c>
      <c r="E7983" t="str">
        <f t="shared" si="124"/>
        <v>001390</v>
      </c>
      <c r="F7983" t="s">
        <v>27246</v>
      </c>
      <c r="G7983" t="s">
        <v>27247</v>
      </c>
      <c r="H7983" t="s">
        <v>27248</v>
      </c>
      <c r="I7983" t="s">
        <v>42720</v>
      </c>
      <c r="J7983" t="s">
        <v>15885</v>
      </c>
      <c r="L7983" t="s">
        <v>27250</v>
      </c>
      <c r="M7983" t="s">
        <v>27251</v>
      </c>
      <c r="N7983" t="s">
        <v>27252</v>
      </c>
      <c r="Q7983" s="1">
        <v>44538</v>
      </c>
      <c r="R7983" t="s">
        <v>27253</v>
      </c>
      <c r="S7983" t="s">
        <v>27254</v>
      </c>
      <c r="T7983" t="s">
        <v>27269</v>
      </c>
    </row>
    <row r="7984" spans="1:20" x14ac:dyDescent="0.3">
      <c r="A7984" t="str">
        <f>"0611839483100"</f>
        <v>0611839483100</v>
      </c>
      <c r="B7984" t="str">
        <f>"MB9804"</f>
        <v>MB9804</v>
      </c>
      <c r="C7984" t="s">
        <v>42721</v>
      </c>
      <c r="D7984" t="s">
        <v>27274</v>
      </c>
      <c r="E7984" t="str">
        <f t="shared" si="124"/>
        <v>001390</v>
      </c>
      <c r="F7984" t="s">
        <v>27246</v>
      </c>
      <c r="G7984" t="s">
        <v>27247</v>
      </c>
      <c r="H7984" t="s">
        <v>27248</v>
      </c>
      <c r="I7984" t="s">
        <v>42722</v>
      </c>
      <c r="J7984" t="s">
        <v>15887</v>
      </c>
      <c r="L7984" t="s">
        <v>27250</v>
      </c>
      <c r="M7984" t="s">
        <v>27251</v>
      </c>
      <c r="N7984" t="s">
        <v>27252</v>
      </c>
      <c r="Q7984" s="1">
        <v>44538</v>
      </c>
      <c r="R7984" t="s">
        <v>27253</v>
      </c>
      <c r="S7984" t="s">
        <v>27254</v>
      </c>
      <c r="T7984" t="s">
        <v>27276</v>
      </c>
    </row>
    <row r="7985" spans="1:20" x14ac:dyDescent="0.3">
      <c r="A7985" t="str">
        <f>"0611836814025"</f>
        <v>0611836814025</v>
      </c>
      <c r="B7985" t="str">
        <f>"MC1183"</f>
        <v>MC1183</v>
      </c>
      <c r="C7985" t="s">
        <v>42723</v>
      </c>
      <c r="D7985" t="s">
        <v>27267</v>
      </c>
      <c r="E7985" t="str">
        <f t="shared" si="124"/>
        <v>001390</v>
      </c>
      <c r="F7985" t="s">
        <v>27246</v>
      </c>
      <c r="G7985" t="s">
        <v>27247</v>
      </c>
      <c r="H7985" t="s">
        <v>27248</v>
      </c>
      <c r="I7985" t="s">
        <v>42724</v>
      </c>
      <c r="J7985" t="s">
        <v>15821</v>
      </c>
      <c r="L7985" t="s">
        <v>27250</v>
      </c>
      <c r="M7985" t="s">
        <v>27251</v>
      </c>
      <c r="N7985" t="s">
        <v>27252</v>
      </c>
      <c r="Q7985" s="1">
        <v>44538</v>
      </c>
      <c r="R7985" t="s">
        <v>27253</v>
      </c>
      <c r="S7985" t="s">
        <v>27254</v>
      </c>
      <c r="T7985" t="s">
        <v>27269</v>
      </c>
    </row>
    <row r="7986" spans="1:20" x14ac:dyDescent="0.3">
      <c r="A7986" t="str">
        <f>"0611836815025"</f>
        <v>0611836815025</v>
      </c>
      <c r="B7986" t="str">
        <f>"MQ0225"</f>
        <v>MQ0225</v>
      </c>
      <c r="C7986" t="s">
        <v>42725</v>
      </c>
      <c r="D7986" t="s">
        <v>27267</v>
      </c>
      <c r="E7986" t="str">
        <f t="shared" si="124"/>
        <v>001390</v>
      </c>
      <c r="F7986" t="s">
        <v>27246</v>
      </c>
      <c r="G7986" t="s">
        <v>27247</v>
      </c>
      <c r="H7986" t="s">
        <v>27248</v>
      </c>
      <c r="I7986" t="s">
        <v>42726</v>
      </c>
      <c r="J7986" t="s">
        <v>15823</v>
      </c>
      <c r="L7986" t="s">
        <v>27250</v>
      </c>
      <c r="M7986" t="s">
        <v>27251</v>
      </c>
      <c r="N7986" t="s">
        <v>27252</v>
      </c>
      <c r="Q7986" s="1">
        <v>44538</v>
      </c>
      <c r="R7986" t="s">
        <v>27253</v>
      </c>
      <c r="S7986" t="s">
        <v>27254</v>
      </c>
      <c r="T7986" t="s">
        <v>27269</v>
      </c>
    </row>
    <row r="7987" spans="1:20" x14ac:dyDescent="0.3">
      <c r="A7987" t="str">
        <f>"0611836816025"</f>
        <v>0611836816025</v>
      </c>
      <c r="B7987" t="str">
        <f>"MC1918"</f>
        <v>MC1918</v>
      </c>
      <c r="C7987" t="s">
        <v>42727</v>
      </c>
      <c r="D7987" t="s">
        <v>27267</v>
      </c>
      <c r="E7987" t="str">
        <f t="shared" si="124"/>
        <v>001390</v>
      </c>
      <c r="F7987" t="s">
        <v>27246</v>
      </c>
      <c r="G7987" t="s">
        <v>27247</v>
      </c>
      <c r="H7987" t="s">
        <v>27248</v>
      </c>
      <c r="I7987" t="s">
        <v>42728</v>
      </c>
      <c r="J7987" t="s">
        <v>15825</v>
      </c>
      <c r="L7987" t="s">
        <v>27250</v>
      </c>
      <c r="M7987" t="s">
        <v>27251</v>
      </c>
      <c r="N7987" t="s">
        <v>27252</v>
      </c>
      <c r="Q7987" s="1">
        <v>44538</v>
      </c>
      <c r="R7987" t="s">
        <v>27253</v>
      </c>
      <c r="S7987" t="s">
        <v>27254</v>
      </c>
      <c r="T7987" t="s">
        <v>27269</v>
      </c>
    </row>
    <row r="7988" spans="1:20" x14ac:dyDescent="0.3">
      <c r="A7988" t="str">
        <f>"0611836817025"</f>
        <v>0611836817025</v>
      </c>
      <c r="B7988" t="str">
        <f>"MC0532"</f>
        <v>MC0532</v>
      </c>
      <c r="C7988" t="s">
        <v>42729</v>
      </c>
      <c r="D7988" t="s">
        <v>27267</v>
      </c>
      <c r="E7988" t="str">
        <f t="shared" si="124"/>
        <v>001390</v>
      </c>
      <c r="F7988" t="s">
        <v>27246</v>
      </c>
      <c r="G7988" t="s">
        <v>27247</v>
      </c>
      <c r="H7988" t="s">
        <v>27248</v>
      </c>
      <c r="I7988" t="s">
        <v>42730</v>
      </c>
      <c r="J7988" t="s">
        <v>15827</v>
      </c>
      <c r="L7988" t="s">
        <v>27250</v>
      </c>
      <c r="M7988" t="s">
        <v>27251</v>
      </c>
      <c r="N7988" t="s">
        <v>27252</v>
      </c>
      <c r="Q7988" s="1">
        <v>44538</v>
      </c>
      <c r="R7988" t="s">
        <v>27253</v>
      </c>
      <c r="S7988" t="s">
        <v>27254</v>
      </c>
      <c r="T7988" t="s">
        <v>27269</v>
      </c>
    </row>
    <row r="7989" spans="1:20" x14ac:dyDescent="0.3">
      <c r="A7989" t="str">
        <f>"0611856964025"</f>
        <v>0611856964025</v>
      </c>
      <c r="B7989" t="str">
        <f>"MQ6056"</f>
        <v>MQ6056</v>
      </c>
      <c r="C7989" t="s">
        <v>42731</v>
      </c>
      <c r="D7989" t="s">
        <v>27267</v>
      </c>
      <c r="E7989" t="str">
        <f t="shared" si="124"/>
        <v>001390</v>
      </c>
      <c r="F7989" t="s">
        <v>27246</v>
      </c>
      <c r="G7989" t="s">
        <v>27247</v>
      </c>
      <c r="H7989" t="s">
        <v>27248</v>
      </c>
      <c r="I7989" t="s">
        <v>42732</v>
      </c>
      <c r="J7989" t="s">
        <v>15829</v>
      </c>
      <c r="L7989" t="s">
        <v>27250</v>
      </c>
      <c r="M7989" t="s">
        <v>27251</v>
      </c>
      <c r="N7989" t="s">
        <v>27252</v>
      </c>
      <c r="Q7989" s="1">
        <v>44812</v>
      </c>
      <c r="R7989" t="s">
        <v>27253</v>
      </c>
      <c r="S7989" t="s">
        <v>27254</v>
      </c>
      <c r="T7989" t="s">
        <v>27269</v>
      </c>
    </row>
    <row r="7990" spans="1:20" x14ac:dyDescent="0.3">
      <c r="A7990" t="str">
        <f>"0611836818025"</f>
        <v>0611836818025</v>
      </c>
      <c r="B7990" t="str">
        <f>"MC1922"</f>
        <v>MC1922</v>
      </c>
      <c r="C7990" t="s">
        <v>42733</v>
      </c>
      <c r="D7990" t="s">
        <v>27267</v>
      </c>
      <c r="E7990" t="str">
        <f t="shared" si="124"/>
        <v>001390</v>
      </c>
      <c r="F7990" t="s">
        <v>27246</v>
      </c>
      <c r="G7990" t="s">
        <v>27247</v>
      </c>
      <c r="H7990" t="s">
        <v>27248</v>
      </c>
      <c r="I7990" t="s">
        <v>42734</v>
      </c>
      <c r="J7990" t="s">
        <v>15831</v>
      </c>
      <c r="L7990" t="s">
        <v>27250</v>
      </c>
      <c r="M7990" t="s">
        <v>27251</v>
      </c>
      <c r="N7990" t="s">
        <v>27252</v>
      </c>
      <c r="Q7990" s="1">
        <v>44538</v>
      </c>
      <c r="R7990" t="s">
        <v>27253</v>
      </c>
      <c r="S7990" t="s">
        <v>27254</v>
      </c>
      <c r="T7990" t="s">
        <v>27269</v>
      </c>
    </row>
    <row r="7991" spans="1:20" x14ac:dyDescent="0.3">
      <c r="A7991" t="str">
        <f>"0611836819025"</f>
        <v>0611836819025</v>
      </c>
      <c r="B7991" t="str">
        <f>"MC0533"</f>
        <v>MC0533</v>
      </c>
      <c r="C7991" t="s">
        <v>42735</v>
      </c>
      <c r="D7991" t="s">
        <v>27267</v>
      </c>
      <c r="E7991" t="str">
        <f t="shared" si="124"/>
        <v>001390</v>
      </c>
      <c r="F7991" t="s">
        <v>27246</v>
      </c>
      <c r="G7991" t="s">
        <v>27247</v>
      </c>
      <c r="H7991" t="s">
        <v>27248</v>
      </c>
      <c r="I7991" t="s">
        <v>42736</v>
      </c>
      <c r="J7991" t="s">
        <v>15833</v>
      </c>
      <c r="L7991" t="s">
        <v>27250</v>
      </c>
      <c r="M7991" t="s">
        <v>27251</v>
      </c>
      <c r="N7991" t="s">
        <v>27252</v>
      </c>
      <c r="Q7991" s="1">
        <v>44538</v>
      </c>
      <c r="R7991" t="s">
        <v>27253</v>
      </c>
      <c r="S7991" t="s">
        <v>27254</v>
      </c>
      <c r="T7991" t="s">
        <v>27269</v>
      </c>
    </row>
    <row r="7992" spans="1:20" x14ac:dyDescent="0.3">
      <c r="A7992" t="str">
        <f>"0611836820025"</f>
        <v>0611836820025</v>
      </c>
      <c r="B7992" t="str">
        <f>"MC0538"</f>
        <v>MC0538</v>
      </c>
      <c r="C7992" t="s">
        <v>42737</v>
      </c>
      <c r="D7992" t="s">
        <v>27267</v>
      </c>
      <c r="E7992" t="str">
        <f t="shared" si="124"/>
        <v>001390</v>
      </c>
      <c r="F7992" t="s">
        <v>27246</v>
      </c>
      <c r="G7992" t="s">
        <v>27247</v>
      </c>
      <c r="H7992" t="s">
        <v>27248</v>
      </c>
      <c r="I7992" t="s">
        <v>42738</v>
      </c>
      <c r="J7992" t="s">
        <v>15835</v>
      </c>
      <c r="L7992" t="s">
        <v>27250</v>
      </c>
      <c r="M7992" t="s">
        <v>27251</v>
      </c>
      <c r="N7992" t="s">
        <v>27252</v>
      </c>
      <c r="Q7992" s="1">
        <v>44538</v>
      </c>
      <c r="R7992" t="s">
        <v>27253</v>
      </c>
      <c r="S7992" t="s">
        <v>27254</v>
      </c>
      <c r="T7992" t="s">
        <v>27269</v>
      </c>
    </row>
    <row r="7993" spans="1:20" x14ac:dyDescent="0.3">
      <c r="A7993" t="str">
        <f>"0611836821025"</f>
        <v>0611836821025</v>
      </c>
      <c r="B7993" t="str">
        <f>"MC0536"</f>
        <v>MC0536</v>
      </c>
      <c r="C7993" t="s">
        <v>42739</v>
      </c>
      <c r="D7993" t="s">
        <v>27267</v>
      </c>
      <c r="E7993" t="str">
        <f t="shared" si="124"/>
        <v>001390</v>
      </c>
      <c r="F7993" t="s">
        <v>27246</v>
      </c>
      <c r="G7993" t="s">
        <v>27247</v>
      </c>
      <c r="H7993" t="s">
        <v>27248</v>
      </c>
      <c r="I7993" t="s">
        <v>42740</v>
      </c>
      <c r="J7993" t="s">
        <v>15837</v>
      </c>
      <c r="L7993" t="s">
        <v>27250</v>
      </c>
      <c r="M7993" t="s">
        <v>27251</v>
      </c>
      <c r="N7993" t="s">
        <v>27252</v>
      </c>
      <c r="Q7993" s="1">
        <v>44538</v>
      </c>
      <c r="R7993" t="s">
        <v>27253</v>
      </c>
      <c r="S7993" t="s">
        <v>27254</v>
      </c>
      <c r="T7993" t="s">
        <v>27269</v>
      </c>
    </row>
    <row r="7994" spans="1:20" x14ac:dyDescent="0.3">
      <c r="A7994" t="str">
        <f>"0611836823025"</f>
        <v>0611836823025</v>
      </c>
      <c r="B7994" t="str">
        <f>"MC1184"</f>
        <v>MC1184</v>
      </c>
      <c r="C7994" t="s">
        <v>42741</v>
      </c>
      <c r="D7994" t="s">
        <v>27267</v>
      </c>
      <c r="E7994" t="str">
        <f t="shared" si="124"/>
        <v>001390</v>
      </c>
      <c r="F7994" t="s">
        <v>27246</v>
      </c>
      <c r="G7994" t="s">
        <v>27247</v>
      </c>
      <c r="H7994" t="s">
        <v>27248</v>
      </c>
      <c r="I7994" t="s">
        <v>42742</v>
      </c>
      <c r="J7994" t="s">
        <v>15841</v>
      </c>
      <c r="L7994" t="s">
        <v>27250</v>
      </c>
      <c r="M7994" t="s">
        <v>27251</v>
      </c>
      <c r="N7994" t="s">
        <v>27252</v>
      </c>
      <c r="Q7994" s="1">
        <v>44538</v>
      </c>
      <c r="R7994" t="s">
        <v>27253</v>
      </c>
      <c r="S7994" t="s">
        <v>27254</v>
      </c>
      <c r="T7994" t="s">
        <v>27269</v>
      </c>
    </row>
    <row r="7995" spans="1:20" x14ac:dyDescent="0.3">
      <c r="A7995" t="str">
        <f>"0611836822025"</f>
        <v>0611836822025</v>
      </c>
      <c r="B7995" t="str">
        <f>"MC0537"</f>
        <v>MC0537</v>
      </c>
      <c r="C7995" t="s">
        <v>42743</v>
      </c>
      <c r="D7995" t="s">
        <v>27267</v>
      </c>
      <c r="E7995" t="str">
        <f t="shared" si="124"/>
        <v>001390</v>
      </c>
      <c r="F7995" t="s">
        <v>27246</v>
      </c>
      <c r="G7995" t="s">
        <v>27247</v>
      </c>
      <c r="H7995" t="s">
        <v>27248</v>
      </c>
      <c r="I7995" t="s">
        <v>42744</v>
      </c>
      <c r="J7995" t="s">
        <v>15839</v>
      </c>
      <c r="L7995" t="s">
        <v>27250</v>
      </c>
      <c r="M7995" t="s">
        <v>27251</v>
      </c>
      <c r="N7995" t="s">
        <v>27252</v>
      </c>
      <c r="Q7995" s="1">
        <v>44538</v>
      </c>
      <c r="R7995" t="s">
        <v>27253</v>
      </c>
      <c r="S7995" t="s">
        <v>27254</v>
      </c>
      <c r="T7995" t="s">
        <v>27269</v>
      </c>
    </row>
    <row r="7996" spans="1:20" x14ac:dyDescent="0.3">
      <c r="A7996" t="str">
        <f>"0611836824100"</f>
        <v>0611836824100</v>
      </c>
      <c r="B7996" t="str">
        <f>"LB1201"</f>
        <v>LB1201</v>
      </c>
      <c r="C7996" t="s">
        <v>42745</v>
      </c>
      <c r="D7996" t="s">
        <v>27245</v>
      </c>
      <c r="E7996" t="str">
        <f t="shared" si="124"/>
        <v>001390</v>
      </c>
      <c r="F7996" t="s">
        <v>27246</v>
      </c>
      <c r="G7996" t="s">
        <v>27247</v>
      </c>
      <c r="H7996" t="s">
        <v>27248</v>
      </c>
      <c r="I7996" t="s">
        <v>42746</v>
      </c>
      <c r="J7996" t="s">
        <v>15889</v>
      </c>
      <c r="L7996" t="s">
        <v>27250</v>
      </c>
      <c r="M7996" t="s">
        <v>27251</v>
      </c>
      <c r="N7996" t="s">
        <v>27252</v>
      </c>
      <c r="Q7996" s="1">
        <v>44538</v>
      </c>
      <c r="R7996" t="s">
        <v>27253</v>
      </c>
      <c r="S7996" t="s">
        <v>27254</v>
      </c>
      <c r="T7996" t="s">
        <v>27255</v>
      </c>
    </row>
    <row r="7997" spans="1:20" x14ac:dyDescent="0.3">
      <c r="A7997" t="str">
        <f>"0611836825025"</f>
        <v>0611836825025</v>
      </c>
      <c r="B7997" t="str">
        <f>"MQ3173"</f>
        <v>MQ3173</v>
      </c>
      <c r="C7997" t="s">
        <v>42747</v>
      </c>
      <c r="D7997" t="s">
        <v>27267</v>
      </c>
      <c r="E7997" t="str">
        <f t="shared" si="124"/>
        <v>001390</v>
      </c>
      <c r="F7997" t="s">
        <v>27246</v>
      </c>
      <c r="G7997" t="s">
        <v>27247</v>
      </c>
      <c r="H7997" t="s">
        <v>27248</v>
      </c>
      <c r="I7997" t="s">
        <v>42748</v>
      </c>
      <c r="J7997" t="s">
        <v>15891</v>
      </c>
      <c r="L7997" t="s">
        <v>27250</v>
      </c>
      <c r="M7997" t="s">
        <v>27251</v>
      </c>
      <c r="N7997" t="s">
        <v>27252</v>
      </c>
      <c r="Q7997" s="1">
        <v>44538</v>
      </c>
      <c r="R7997" t="s">
        <v>27253</v>
      </c>
      <c r="S7997" t="s">
        <v>27254</v>
      </c>
      <c r="T7997" t="s">
        <v>27269</v>
      </c>
    </row>
    <row r="7998" spans="1:20" x14ac:dyDescent="0.3">
      <c r="A7998" t="str">
        <f>"0611836826025"</f>
        <v>0611836826025</v>
      </c>
      <c r="B7998" t="str">
        <f>"MQ3174"</f>
        <v>MQ3174</v>
      </c>
      <c r="C7998" t="s">
        <v>42749</v>
      </c>
      <c r="D7998" t="s">
        <v>27267</v>
      </c>
      <c r="E7998" t="str">
        <f t="shared" si="124"/>
        <v>001390</v>
      </c>
      <c r="F7998" t="s">
        <v>27246</v>
      </c>
      <c r="G7998" t="s">
        <v>27247</v>
      </c>
      <c r="H7998" t="s">
        <v>27248</v>
      </c>
      <c r="I7998" t="s">
        <v>42750</v>
      </c>
      <c r="J7998" t="s">
        <v>15893</v>
      </c>
      <c r="L7998" t="s">
        <v>27250</v>
      </c>
      <c r="M7998" t="s">
        <v>27251</v>
      </c>
      <c r="N7998" t="s">
        <v>27252</v>
      </c>
      <c r="Q7998" s="1">
        <v>44538</v>
      </c>
      <c r="R7998" t="s">
        <v>27253</v>
      </c>
      <c r="S7998" t="s">
        <v>27254</v>
      </c>
      <c r="T7998" t="s">
        <v>27269</v>
      </c>
    </row>
    <row r="7999" spans="1:20" x14ac:dyDescent="0.3">
      <c r="A7999" t="str">
        <f>"0611836827025"</f>
        <v>0611836827025</v>
      </c>
      <c r="B7999" t="str">
        <f>"MQ3175"</f>
        <v>MQ3175</v>
      </c>
      <c r="C7999" t="s">
        <v>42751</v>
      </c>
      <c r="D7999" t="s">
        <v>27267</v>
      </c>
      <c r="E7999" t="str">
        <f t="shared" si="124"/>
        <v>001390</v>
      </c>
      <c r="F7999" t="s">
        <v>27246</v>
      </c>
      <c r="G7999" t="s">
        <v>27247</v>
      </c>
      <c r="H7999" t="s">
        <v>27248</v>
      </c>
      <c r="I7999" t="s">
        <v>42752</v>
      </c>
      <c r="J7999" t="s">
        <v>15895</v>
      </c>
      <c r="L7999" t="s">
        <v>27250</v>
      </c>
      <c r="M7999" t="s">
        <v>27251</v>
      </c>
      <c r="N7999" t="s">
        <v>27252</v>
      </c>
      <c r="Q7999" s="1">
        <v>44538</v>
      </c>
      <c r="R7999" t="s">
        <v>27253</v>
      </c>
      <c r="S7999" t="s">
        <v>27254</v>
      </c>
      <c r="T7999" t="s">
        <v>27269</v>
      </c>
    </row>
    <row r="8000" spans="1:20" x14ac:dyDescent="0.3">
      <c r="A8000" t="str">
        <f>"0611836828025"</f>
        <v>0611836828025</v>
      </c>
      <c r="B8000" t="str">
        <f>"MQ3176"</f>
        <v>MQ3176</v>
      </c>
      <c r="C8000" t="s">
        <v>42753</v>
      </c>
      <c r="D8000" t="s">
        <v>27267</v>
      </c>
      <c r="E8000" t="str">
        <f t="shared" si="124"/>
        <v>001390</v>
      </c>
      <c r="F8000" t="s">
        <v>27246</v>
      </c>
      <c r="G8000" t="s">
        <v>27247</v>
      </c>
      <c r="H8000" t="s">
        <v>27248</v>
      </c>
      <c r="I8000" t="s">
        <v>42754</v>
      </c>
      <c r="J8000" t="s">
        <v>15897</v>
      </c>
      <c r="L8000" t="s">
        <v>27250</v>
      </c>
      <c r="M8000" t="s">
        <v>27251</v>
      </c>
      <c r="N8000" t="s">
        <v>27252</v>
      </c>
      <c r="Q8000" s="1">
        <v>44538</v>
      </c>
      <c r="R8000" t="s">
        <v>27253</v>
      </c>
      <c r="S8000" t="s">
        <v>27254</v>
      </c>
      <c r="T8000" t="s">
        <v>27269</v>
      </c>
    </row>
    <row r="8001" spans="1:20" x14ac:dyDescent="0.3">
      <c r="A8001" t="str">
        <f>"0611836829100"</f>
        <v>0611836829100</v>
      </c>
      <c r="B8001" t="str">
        <f>"LC5300"</f>
        <v>LC5300</v>
      </c>
      <c r="C8001" t="s">
        <v>42755</v>
      </c>
      <c r="D8001" t="s">
        <v>27245</v>
      </c>
      <c r="E8001" t="str">
        <f t="shared" si="124"/>
        <v>001390</v>
      </c>
      <c r="F8001" t="s">
        <v>27246</v>
      </c>
      <c r="G8001" t="s">
        <v>27247</v>
      </c>
      <c r="H8001" t="s">
        <v>27248</v>
      </c>
      <c r="I8001" t="s">
        <v>42756</v>
      </c>
      <c r="J8001" t="s">
        <v>15899</v>
      </c>
      <c r="L8001" t="s">
        <v>27250</v>
      </c>
      <c r="M8001" t="s">
        <v>27251</v>
      </c>
      <c r="N8001" t="s">
        <v>27252</v>
      </c>
      <c r="Q8001" s="1">
        <v>44538</v>
      </c>
      <c r="R8001" t="s">
        <v>27253</v>
      </c>
      <c r="S8001" t="s">
        <v>27254</v>
      </c>
      <c r="T8001" t="s">
        <v>27255</v>
      </c>
    </row>
    <row r="8002" spans="1:20" x14ac:dyDescent="0.3">
      <c r="A8002" t="str">
        <f>"0611836830025"</f>
        <v>0611836830025</v>
      </c>
      <c r="B8002" t="str">
        <f>"MQ0722"</f>
        <v>MQ0722</v>
      </c>
      <c r="C8002" t="s">
        <v>42757</v>
      </c>
      <c r="D8002" t="s">
        <v>27267</v>
      </c>
      <c r="E8002" t="str">
        <f t="shared" ref="E8002:E8065" si="125">"001390"</f>
        <v>001390</v>
      </c>
      <c r="F8002" t="s">
        <v>27246</v>
      </c>
      <c r="G8002" t="s">
        <v>27247</v>
      </c>
      <c r="H8002" t="s">
        <v>27248</v>
      </c>
      <c r="I8002" t="s">
        <v>42758</v>
      </c>
      <c r="J8002" t="s">
        <v>15901</v>
      </c>
      <c r="L8002" t="s">
        <v>27250</v>
      </c>
      <c r="M8002" t="s">
        <v>27251</v>
      </c>
      <c r="N8002" t="s">
        <v>27252</v>
      </c>
      <c r="Q8002" s="1">
        <v>44538</v>
      </c>
      <c r="R8002" t="s">
        <v>27253</v>
      </c>
      <c r="S8002" t="s">
        <v>27254</v>
      </c>
      <c r="T8002" t="s">
        <v>27269</v>
      </c>
    </row>
    <row r="8003" spans="1:20" x14ac:dyDescent="0.3">
      <c r="A8003" t="str">
        <f>"0611836831025"</f>
        <v>0611836831025</v>
      </c>
      <c r="B8003" t="str">
        <f>"MQ0723"</f>
        <v>MQ0723</v>
      </c>
      <c r="C8003" t="s">
        <v>42759</v>
      </c>
      <c r="D8003" t="s">
        <v>27267</v>
      </c>
      <c r="E8003" t="str">
        <f t="shared" si="125"/>
        <v>001390</v>
      </c>
      <c r="F8003" t="s">
        <v>27246</v>
      </c>
      <c r="G8003" t="s">
        <v>27247</v>
      </c>
      <c r="H8003" t="s">
        <v>27248</v>
      </c>
      <c r="I8003" t="s">
        <v>42760</v>
      </c>
      <c r="J8003" t="s">
        <v>15903</v>
      </c>
      <c r="L8003" t="s">
        <v>27250</v>
      </c>
      <c r="M8003" t="s">
        <v>27251</v>
      </c>
      <c r="N8003" t="s">
        <v>27252</v>
      </c>
      <c r="Q8003" s="1">
        <v>44538</v>
      </c>
      <c r="R8003" t="s">
        <v>27253</v>
      </c>
      <c r="S8003" t="s">
        <v>27254</v>
      </c>
      <c r="T8003" t="s">
        <v>27269</v>
      </c>
    </row>
    <row r="8004" spans="1:20" x14ac:dyDescent="0.3">
      <c r="A8004" t="str">
        <f>"0611836832025"</f>
        <v>0611836832025</v>
      </c>
      <c r="B8004" t="str">
        <f>"MQ0724"</f>
        <v>MQ0724</v>
      </c>
      <c r="C8004" t="s">
        <v>42761</v>
      </c>
      <c r="D8004" t="s">
        <v>27267</v>
      </c>
      <c r="E8004" t="str">
        <f t="shared" si="125"/>
        <v>001390</v>
      </c>
      <c r="F8004" t="s">
        <v>27246</v>
      </c>
      <c r="G8004" t="s">
        <v>27247</v>
      </c>
      <c r="H8004" t="s">
        <v>27248</v>
      </c>
      <c r="I8004" t="s">
        <v>42762</v>
      </c>
      <c r="J8004" t="s">
        <v>15905</v>
      </c>
      <c r="L8004" t="s">
        <v>27250</v>
      </c>
      <c r="M8004" t="s">
        <v>27251</v>
      </c>
      <c r="N8004" t="s">
        <v>27252</v>
      </c>
      <c r="Q8004" s="1">
        <v>44538</v>
      </c>
      <c r="R8004" t="s">
        <v>27253</v>
      </c>
      <c r="S8004" t="s">
        <v>27254</v>
      </c>
      <c r="T8004" t="s">
        <v>27269</v>
      </c>
    </row>
    <row r="8005" spans="1:20" x14ac:dyDescent="0.3">
      <c r="A8005" t="str">
        <f>"0611836833025"</f>
        <v>0611836833025</v>
      </c>
      <c r="B8005" t="str">
        <f>"MC0539"</f>
        <v>MC0539</v>
      </c>
      <c r="C8005" t="s">
        <v>42763</v>
      </c>
      <c r="D8005" t="s">
        <v>27267</v>
      </c>
      <c r="E8005" t="str">
        <f t="shared" si="125"/>
        <v>001390</v>
      </c>
      <c r="F8005" t="s">
        <v>27246</v>
      </c>
      <c r="G8005" t="s">
        <v>27247</v>
      </c>
      <c r="H8005" t="s">
        <v>27248</v>
      </c>
      <c r="I8005" t="s">
        <v>42764</v>
      </c>
      <c r="J8005" t="s">
        <v>15907</v>
      </c>
      <c r="L8005" t="s">
        <v>27250</v>
      </c>
      <c r="M8005" t="s">
        <v>27251</v>
      </c>
      <c r="N8005" t="s">
        <v>27252</v>
      </c>
      <c r="Q8005" s="1">
        <v>44538</v>
      </c>
      <c r="R8005" t="s">
        <v>27253</v>
      </c>
      <c r="S8005" t="s">
        <v>27254</v>
      </c>
      <c r="T8005" t="s">
        <v>27269</v>
      </c>
    </row>
    <row r="8006" spans="1:20" x14ac:dyDescent="0.3">
      <c r="A8006" t="str">
        <f>"0611836834025"</f>
        <v>0611836834025</v>
      </c>
      <c r="B8006" t="str">
        <f>"MQ3044"</f>
        <v>MQ3044</v>
      </c>
      <c r="C8006" t="s">
        <v>42765</v>
      </c>
      <c r="D8006" t="s">
        <v>27267</v>
      </c>
      <c r="E8006" t="str">
        <f t="shared" si="125"/>
        <v>001390</v>
      </c>
      <c r="F8006" t="s">
        <v>27246</v>
      </c>
      <c r="G8006" t="s">
        <v>27247</v>
      </c>
      <c r="H8006" t="s">
        <v>27248</v>
      </c>
      <c r="I8006" t="s">
        <v>42766</v>
      </c>
      <c r="J8006" t="s">
        <v>15911</v>
      </c>
      <c r="L8006" t="s">
        <v>27250</v>
      </c>
      <c r="M8006" t="s">
        <v>27251</v>
      </c>
      <c r="N8006" t="s">
        <v>27252</v>
      </c>
      <c r="Q8006" s="1">
        <v>44538</v>
      </c>
      <c r="R8006" t="s">
        <v>27253</v>
      </c>
      <c r="S8006" t="s">
        <v>27254</v>
      </c>
      <c r="T8006" t="s">
        <v>27269</v>
      </c>
    </row>
    <row r="8007" spans="1:20" x14ac:dyDescent="0.3">
      <c r="A8007" t="str">
        <f>"0611863290100"</f>
        <v>0611863290100</v>
      </c>
      <c r="B8007" t="str">
        <f>"CN5269"</f>
        <v>CN5269</v>
      </c>
      <c r="C8007" t="s">
        <v>42765</v>
      </c>
      <c r="D8007" t="s">
        <v>27335</v>
      </c>
      <c r="E8007" t="str">
        <f t="shared" si="125"/>
        <v>001390</v>
      </c>
      <c r="F8007" t="s">
        <v>27246</v>
      </c>
      <c r="G8007" t="s">
        <v>27247</v>
      </c>
      <c r="H8007" t="s">
        <v>27248</v>
      </c>
      <c r="I8007" t="s">
        <v>42767</v>
      </c>
      <c r="J8007" t="s">
        <v>15909</v>
      </c>
      <c r="L8007" t="s">
        <v>27250</v>
      </c>
      <c r="M8007" t="s">
        <v>27251</v>
      </c>
      <c r="N8007" t="s">
        <v>27252</v>
      </c>
      <c r="Q8007" s="1">
        <v>44846</v>
      </c>
      <c r="R8007" t="s">
        <v>27253</v>
      </c>
      <c r="S8007" t="s">
        <v>27254</v>
      </c>
      <c r="T8007" t="s">
        <v>27255</v>
      </c>
    </row>
    <row r="8008" spans="1:20" x14ac:dyDescent="0.3">
      <c r="A8008" t="str">
        <f>"0611863291050"</f>
        <v>0611863291050</v>
      </c>
      <c r="B8008" t="str">
        <f>"CR4384"</f>
        <v>CR4384</v>
      </c>
      <c r="C8008" t="s">
        <v>42765</v>
      </c>
      <c r="D8008" t="s">
        <v>27286</v>
      </c>
      <c r="E8008" t="str">
        <f t="shared" si="125"/>
        <v>001390</v>
      </c>
      <c r="F8008" t="s">
        <v>27246</v>
      </c>
      <c r="G8008" t="s">
        <v>27247</v>
      </c>
      <c r="H8008" t="s">
        <v>27248</v>
      </c>
      <c r="I8008" t="s">
        <v>42768</v>
      </c>
      <c r="J8008" t="s">
        <v>15913</v>
      </c>
      <c r="L8008" t="s">
        <v>27250</v>
      </c>
      <c r="M8008" t="s">
        <v>27251</v>
      </c>
      <c r="N8008" t="s">
        <v>27252</v>
      </c>
      <c r="Q8008" s="1">
        <v>44846</v>
      </c>
      <c r="R8008" t="s">
        <v>27253</v>
      </c>
      <c r="S8008" t="s">
        <v>27254</v>
      </c>
      <c r="T8008" t="s">
        <v>27265</v>
      </c>
    </row>
    <row r="8009" spans="1:20" x14ac:dyDescent="0.3">
      <c r="A8009" t="str">
        <f>"0611836835025"</f>
        <v>0611836835025</v>
      </c>
      <c r="B8009" t="str">
        <f>"MC0542"</f>
        <v>MC0542</v>
      </c>
      <c r="C8009" t="s">
        <v>42769</v>
      </c>
      <c r="D8009" t="s">
        <v>27267</v>
      </c>
      <c r="E8009" t="str">
        <f t="shared" si="125"/>
        <v>001390</v>
      </c>
      <c r="F8009" t="s">
        <v>27246</v>
      </c>
      <c r="G8009" t="s">
        <v>27247</v>
      </c>
      <c r="H8009" t="s">
        <v>27248</v>
      </c>
      <c r="I8009" t="s">
        <v>42770</v>
      </c>
      <c r="J8009" t="s">
        <v>15915</v>
      </c>
      <c r="L8009" t="s">
        <v>27250</v>
      </c>
      <c r="M8009" t="s">
        <v>27251</v>
      </c>
      <c r="N8009" t="s">
        <v>27252</v>
      </c>
      <c r="Q8009" s="1">
        <v>44538</v>
      </c>
      <c r="R8009" t="s">
        <v>27253</v>
      </c>
      <c r="S8009" t="s">
        <v>27254</v>
      </c>
      <c r="T8009" t="s">
        <v>27269</v>
      </c>
    </row>
    <row r="8010" spans="1:20" x14ac:dyDescent="0.3">
      <c r="A8010" t="str">
        <f>"0611836836025"</f>
        <v>0611836836025</v>
      </c>
      <c r="B8010" t="str">
        <f>"MQ0307"</f>
        <v>MQ0307</v>
      </c>
      <c r="C8010" t="s">
        <v>42771</v>
      </c>
      <c r="D8010" t="s">
        <v>27267</v>
      </c>
      <c r="E8010" t="str">
        <f t="shared" si="125"/>
        <v>001390</v>
      </c>
      <c r="F8010" t="s">
        <v>27246</v>
      </c>
      <c r="G8010" t="s">
        <v>27247</v>
      </c>
      <c r="H8010" t="s">
        <v>27248</v>
      </c>
      <c r="I8010" t="s">
        <v>42772</v>
      </c>
      <c r="J8010" t="s">
        <v>15917</v>
      </c>
      <c r="L8010" t="s">
        <v>27250</v>
      </c>
      <c r="M8010" t="s">
        <v>27251</v>
      </c>
      <c r="N8010" t="s">
        <v>27252</v>
      </c>
      <c r="Q8010" s="1">
        <v>44538</v>
      </c>
      <c r="R8010" t="s">
        <v>27253</v>
      </c>
      <c r="S8010" t="s">
        <v>27254</v>
      </c>
      <c r="T8010" t="s">
        <v>27269</v>
      </c>
    </row>
    <row r="8011" spans="1:20" x14ac:dyDescent="0.3">
      <c r="A8011" t="str">
        <f>"0611836837025"</f>
        <v>0611836837025</v>
      </c>
      <c r="B8011" t="str">
        <f>"MC1295"</f>
        <v>MC1295</v>
      </c>
      <c r="C8011" t="s">
        <v>42773</v>
      </c>
      <c r="D8011" t="s">
        <v>27267</v>
      </c>
      <c r="E8011" t="str">
        <f t="shared" si="125"/>
        <v>001390</v>
      </c>
      <c r="F8011" t="s">
        <v>27246</v>
      </c>
      <c r="G8011" t="s">
        <v>27247</v>
      </c>
      <c r="H8011" t="s">
        <v>27248</v>
      </c>
      <c r="I8011" t="s">
        <v>42774</v>
      </c>
      <c r="J8011" t="s">
        <v>15919</v>
      </c>
      <c r="L8011" t="s">
        <v>27250</v>
      </c>
      <c r="M8011" t="s">
        <v>27251</v>
      </c>
      <c r="N8011" t="s">
        <v>27252</v>
      </c>
      <c r="Q8011" s="1">
        <v>44538</v>
      </c>
      <c r="R8011" t="s">
        <v>27253</v>
      </c>
      <c r="S8011" t="s">
        <v>27254</v>
      </c>
      <c r="T8011" t="s">
        <v>27269</v>
      </c>
    </row>
    <row r="8012" spans="1:20" x14ac:dyDescent="0.3">
      <c r="A8012" t="str">
        <f>"0611836838025"</f>
        <v>0611836838025</v>
      </c>
      <c r="B8012" t="str">
        <f>"MQ0522"</f>
        <v>MQ0522</v>
      </c>
      <c r="C8012" t="s">
        <v>42775</v>
      </c>
      <c r="D8012" t="s">
        <v>27267</v>
      </c>
      <c r="E8012" t="str">
        <f t="shared" si="125"/>
        <v>001390</v>
      </c>
      <c r="F8012" t="s">
        <v>27246</v>
      </c>
      <c r="G8012" t="s">
        <v>27247</v>
      </c>
      <c r="H8012" t="s">
        <v>27248</v>
      </c>
      <c r="I8012" t="s">
        <v>42776</v>
      </c>
      <c r="J8012" t="s">
        <v>15921</v>
      </c>
      <c r="L8012" t="s">
        <v>27250</v>
      </c>
      <c r="M8012" t="s">
        <v>27251</v>
      </c>
      <c r="N8012" t="s">
        <v>27252</v>
      </c>
      <c r="Q8012" s="1">
        <v>44538</v>
      </c>
      <c r="R8012" t="s">
        <v>27253</v>
      </c>
      <c r="S8012" t="s">
        <v>27254</v>
      </c>
      <c r="T8012" t="s">
        <v>27269</v>
      </c>
    </row>
    <row r="8013" spans="1:20" x14ac:dyDescent="0.3">
      <c r="A8013" t="str">
        <f>"0611836839025"</f>
        <v>0611836839025</v>
      </c>
      <c r="B8013" t="str">
        <f>"MQ0523"</f>
        <v>MQ0523</v>
      </c>
      <c r="C8013" t="s">
        <v>42777</v>
      </c>
      <c r="D8013" t="s">
        <v>27267</v>
      </c>
      <c r="E8013" t="str">
        <f t="shared" si="125"/>
        <v>001390</v>
      </c>
      <c r="F8013" t="s">
        <v>27246</v>
      </c>
      <c r="G8013" t="s">
        <v>27247</v>
      </c>
      <c r="H8013" t="s">
        <v>27248</v>
      </c>
      <c r="I8013" t="s">
        <v>42778</v>
      </c>
      <c r="J8013" t="s">
        <v>15923</v>
      </c>
      <c r="L8013" t="s">
        <v>27250</v>
      </c>
      <c r="M8013" t="s">
        <v>27251</v>
      </c>
      <c r="N8013" t="s">
        <v>27252</v>
      </c>
      <c r="Q8013" s="1">
        <v>44538</v>
      </c>
      <c r="R8013" t="s">
        <v>27253</v>
      </c>
      <c r="S8013" t="s">
        <v>27254</v>
      </c>
      <c r="T8013" t="s">
        <v>27269</v>
      </c>
    </row>
    <row r="8014" spans="1:20" x14ac:dyDescent="0.3">
      <c r="A8014" t="str">
        <f>"0611836840025"</f>
        <v>0611836840025</v>
      </c>
      <c r="B8014" t="str">
        <f>"MQ0524"</f>
        <v>MQ0524</v>
      </c>
      <c r="C8014" t="s">
        <v>42779</v>
      </c>
      <c r="D8014" t="s">
        <v>27267</v>
      </c>
      <c r="E8014" t="str">
        <f t="shared" si="125"/>
        <v>001390</v>
      </c>
      <c r="F8014" t="s">
        <v>27246</v>
      </c>
      <c r="G8014" t="s">
        <v>27247</v>
      </c>
      <c r="H8014" t="s">
        <v>27248</v>
      </c>
      <c r="I8014" t="s">
        <v>42780</v>
      </c>
      <c r="J8014" t="s">
        <v>15925</v>
      </c>
      <c r="L8014" t="s">
        <v>27250</v>
      </c>
      <c r="M8014" t="s">
        <v>27251</v>
      </c>
      <c r="N8014" t="s">
        <v>27252</v>
      </c>
      <c r="Q8014" s="1">
        <v>44538</v>
      </c>
      <c r="R8014" t="s">
        <v>27253</v>
      </c>
      <c r="S8014" t="s">
        <v>27254</v>
      </c>
      <c r="T8014" t="s">
        <v>27269</v>
      </c>
    </row>
    <row r="8015" spans="1:20" x14ac:dyDescent="0.3">
      <c r="A8015" t="str">
        <f>"0611836841025"</f>
        <v>0611836841025</v>
      </c>
      <c r="B8015" t="str">
        <f>"MC0543"</f>
        <v>MC0543</v>
      </c>
      <c r="C8015" t="s">
        <v>42781</v>
      </c>
      <c r="D8015" t="s">
        <v>27267</v>
      </c>
      <c r="E8015" t="str">
        <f t="shared" si="125"/>
        <v>001390</v>
      </c>
      <c r="F8015" t="s">
        <v>27246</v>
      </c>
      <c r="G8015" t="s">
        <v>27247</v>
      </c>
      <c r="H8015" t="s">
        <v>27248</v>
      </c>
      <c r="I8015" t="s">
        <v>42782</v>
      </c>
      <c r="J8015" t="s">
        <v>15927</v>
      </c>
      <c r="L8015" t="s">
        <v>27250</v>
      </c>
      <c r="M8015" t="s">
        <v>27251</v>
      </c>
      <c r="N8015" t="s">
        <v>27252</v>
      </c>
      <c r="Q8015" s="1">
        <v>44538</v>
      </c>
      <c r="R8015" t="s">
        <v>27253</v>
      </c>
      <c r="S8015" t="s">
        <v>27254</v>
      </c>
      <c r="T8015" t="s">
        <v>27269</v>
      </c>
    </row>
    <row r="8016" spans="1:20" x14ac:dyDescent="0.3">
      <c r="A8016" t="str">
        <f>"0611836842025"</f>
        <v>0611836842025</v>
      </c>
      <c r="B8016" t="str">
        <f>"MC1570"</f>
        <v>MC1570</v>
      </c>
      <c r="C8016" t="s">
        <v>42783</v>
      </c>
      <c r="D8016" t="s">
        <v>27267</v>
      </c>
      <c r="E8016" t="str">
        <f t="shared" si="125"/>
        <v>001390</v>
      </c>
      <c r="F8016" t="s">
        <v>27246</v>
      </c>
      <c r="G8016" t="s">
        <v>27247</v>
      </c>
      <c r="H8016" t="s">
        <v>27248</v>
      </c>
      <c r="I8016" t="s">
        <v>42784</v>
      </c>
      <c r="J8016" t="s">
        <v>15929</v>
      </c>
      <c r="L8016" t="s">
        <v>27250</v>
      </c>
      <c r="M8016" t="s">
        <v>27251</v>
      </c>
      <c r="N8016" t="s">
        <v>27252</v>
      </c>
      <c r="Q8016" s="1">
        <v>44538</v>
      </c>
      <c r="R8016" t="s">
        <v>27253</v>
      </c>
      <c r="S8016" t="s">
        <v>27254</v>
      </c>
      <c r="T8016" t="s">
        <v>27269</v>
      </c>
    </row>
    <row r="8017" spans="1:20" x14ac:dyDescent="0.3">
      <c r="A8017" t="str">
        <f>"0611836843025"</f>
        <v>0611836843025</v>
      </c>
      <c r="B8017" t="str">
        <f>"MC0544"</f>
        <v>MC0544</v>
      </c>
      <c r="C8017" t="s">
        <v>42785</v>
      </c>
      <c r="D8017" t="s">
        <v>27267</v>
      </c>
      <c r="E8017" t="str">
        <f t="shared" si="125"/>
        <v>001390</v>
      </c>
      <c r="F8017" t="s">
        <v>27246</v>
      </c>
      <c r="G8017" t="s">
        <v>27247</v>
      </c>
      <c r="H8017" t="s">
        <v>27248</v>
      </c>
      <c r="I8017" t="s">
        <v>42786</v>
      </c>
      <c r="J8017" t="s">
        <v>15931</v>
      </c>
      <c r="L8017" t="s">
        <v>27250</v>
      </c>
      <c r="M8017" t="s">
        <v>27251</v>
      </c>
      <c r="N8017" t="s">
        <v>27252</v>
      </c>
      <c r="Q8017" s="1">
        <v>44538</v>
      </c>
      <c r="R8017" t="s">
        <v>27253</v>
      </c>
      <c r="S8017" t="s">
        <v>27254</v>
      </c>
      <c r="T8017" t="s">
        <v>27269</v>
      </c>
    </row>
    <row r="8018" spans="1:20" x14ac:dyDescent="0.3">
      <c r="A8018" t="str">
        <f>"0611836844100"</f>
        <v>0611836844100</v>
      </c>
      <c r="B8018" t="str">
        <f>"LH5802"</f>
        <v>LH5802</v>
      </c>
      <c r="C8018" t="s">
        <v>42787</v>
      </c>
      <c r="D8018" t="s">
        <v>27245</v>
      </c>
      <c r="E8018" t="str">
        <f t="shared" si="125"/>
        <v>001390</v>
      </c>
      <c r="F8018" t="s">
        <v>27246</v>
      </c>
      <c r="G8018" t="s">
        <v>27247</v>
      </c>
      <c r="H8018" t="s">
        <v>27248</v>
      </c>
      <c r="I8018" t="s">
        <v>42788</v>
      </c>
      <c r="J8018" t="s">
        <v>15933</v>
      </c>
      <c r="L8018" t="s">
        <v>27250</v>
      </c>
      <c r="M8018" t="s">
        <v>27251</v>
      </c>
      <c r="N8018" t="s">
        <v>27252</v>
      </c>
      <c r="O8018">
        <v>100</v>
      </c>
      <c r="Q8018" s="1">
        <v>44538</v>
      </c>
      <c r="R8018" t="s">
        <v>27253</v>
      </c>
      <c r="S8018" t="s">
        <v>27254</v>
      </c>
      <c r="T8018" t="s">
        <v>27255</v>
      </c>
    </row>
    <row r="8019" spans="1:20" x14ac:dyDescent="0.3">
      <c r="A8019" t="str">
        <f>"0611836845025"</f>
        <v>0611836845025</v>
      </c>
      <c r="B8019" t="str">
        <f>"MC1297"</f>
        <v>MC1297</v>
      </c>
      <c r="C8019" t="s">
        <v>42789</v>
      </c>
      <c r="D8019" t="s">
        <v>27267</v>
      </c>
      <c r="E8019" t="str">
        <f t="shared" si="125"/>
        <v>001390</v>
      </c>
      <c r="F8019" t="s">
        <v>27246</v>
      </c>
      <c r="G8019" t="s">
        <v>27247</v>
      </c>
      <c r="H8019" t="s">
        <v>27248</v>
      </c>
      <c r="I8019" t="s">
        <v>42790</v>
      </c>
      <c r="J8019" t="s">
        <v>15935</v>
      </c>
      <c r="L8019" t="s">
        <v>27250</v>
      </c>
      <c r="M8019" t="s">
        <v>27251</v>
      </c>
      <c r="N8019" t="s">
        <v>27252</v>
      </c>
      <c r="Q8019" s="1">
        <v>44538</v>
      </c>
      <c r="R8019" t="s">
        <v>27253</v>
      </c>
      <c r="S8019" t="s">
        <v>27254</v>
      </c>
      <c r="T8019" t="s">
        <v>27269</v>
      </c>
    </row>
    <row r="8020" spans="1:20" x14ac:dyDescent="0.3">
      <c r="A8020" t="str">
        <f>"0611863292100"</f>
        <v>0611863292100</v>
      </c>
      <c r="B8020" t="str">
        <f>"CN5265"</f>
        <v>CN5265</v>
      </c>
      <c r="C8020" t="s">
        <v>42791</v>
      </c>
      <c r="D8020" t="s">
        <v>27245</v>
      </c>
      <c r="E8020" t="str">
        <f t="shared" si="125"/>
        <v>001390</v>
      </c>
      <c r="F8020" t="s">
        <v>27246</v>
      </c>
      <c r="G8020" t="s">
        <v>27247</v>
      </c>
      <c r="H8020" t="s">
        <v>27248</v>
      </c>
      <c r="I8020" t="s">
        <v>42792</v>
      </c>
      <c r="J8020" t="s">
        <v>15937</v>
      </c>
      <c r="L8020" t="s">
        <v>27250</v>
      </c>
      <c r="M8020" t="s">
        <v>27251</v>
      </c>
      <c r="N8020" t="s">
        <v>27252</v>
      </c>
      <c r="Q8020" s="1">
        <v>44846</v>
      </c>
      <c r="R8020" t="s">
        <v>27253</v>
      </c>
      <c r="S8020" t="s">
        <v>27254</v>
      </c>
      <c r="T8020" t="s">
        <v>27255</v>
      </c>
    </row>
    <row r="8021" spans="1:20" x14ac:dyDescent="0.3">
      <c r="A8021" t="str">
        <f>"0611863293050"</f>
        <v>0611863293050</v>
      </c>
      <c r="B8021" t="str">
        <f>"CR4383"</f>
        <v>CR4383</v>
      </c>
      <c r="C8021" t="s">
        <v>42791</v>
      </c>
      <c r="D8021" t="s">
        <v>27286</v>
      </c>
      <c r="E8021" t="str">
        <f t="shared" si="125"/>
        <v>001390</v>
      </c>
      <c r="F8021" t="s">
        <v>27246</v>
      </c>
      <c r="G8021" t="s">
        <v>27247</v>
      </c>
      <c r="H8021" t="s">
        <v>27248</v>
      </c>
      <c r="I8021" t="s">
        <v>42793</v>
      </c>
      <c r="J8021" t="s">
        <v>15939</v>
      </c>
      <c r="L8021" t="s">
        <v>27250</v>
      </c>
      <c r="M8021" t="s">
        <v>27251</v>
      </c>
      <c r="N8021" t="s">
        <v>27252</v>
      </c>
      <c r="Q8021" s="1">
        <v>44846</v>
      </c>
      <c r="R8021" t="s">
        <v>27253</v>
      </c>
      <c r="S8021" t="s">
        <v>27254</v>
      </c>
      <c r="T8021" t="s">
        <v>27265</v>
      </c>
    </row>
    <row r="8022" spans="1:20" x14ac:dyDescent="0.3">
      <c r="A8022" t="str">
        <f>"0611836847025"</f>
        <v>0611836847025</v>
      </c>
      <c r="B8022" t="str">
        <f>"MQ5141"</f>
        <v>MQ5141</v>
      </c>
      <c r="C8022" t="s">
        <v>42794</v>
      </c>
      <c r="D8022" t="s">
        <v>27267</v>
      </c>
      <c r="E8022" t="str">
        <f t="shared" si="125"/>
        <v>001390</v>
      </c>
      <c r="F8022" t="s">
        <v>27246</v>
      </c>
      <c r="G8022" t="s">
        <v>27247</v>
      </c>
      <c r="H8022" t="s">
        <v>27248</v>
      </c>
      <c r="I8022" t="s">
        <v>42795</v>
      </c>
      <c r="J8022" t="s">
        <v>15941</v>
      </c>
      <c r="L8022" t="s">
        <v>27250</v>
      </c>
      <c r="M8022" t="s">
        <v>27251</v>
      </c>
      <c r="N8022" t="s">
        <v>27252</v>
      </c>
      <c r="Q8022" s="1">
        <v>44538</v>
      </c>
      <c r="R8022" t="s">
        <v>27253</v>
      </c>
      <c r="S8022" t="s">
        <v>27254</v>
      </c>
      <c r="T8022" t="s">
        <v>27269</v>
      </c>
    </row>
    <row r="8023" spans="1:20" x14ac:dyDescent="0.3">
      <c r="A8023" t="str">
        <f>"0611863294100"</f>
        <v>0611863294100</v>
      </c>
      <c r="B8023" t="str">
        <f>"CN5267"</f>
        <v>CN5267</v>
      </c>
      <c r="C8023" t="s">
        <v>42796</v>
      </c>
      <c r="D8023" t="s">
        <v>27339</v>
      </c>
      <c r="E8023" t="str">
        <f t="shared" si="125"/>
        <v>001390</v>
      </c>
      <c r="F8023" t="s">
        <v>27246</v>
      </c>
      <c r="G8023" t="s">
        <v>27247</v>
      </c>
      <c r="H8023" t="s">
        <v>27248</v>
      </c>
      <c r="I8023" t="s">
        <v>42797</v>
      </c>
      <c r="J8023" t="s">
        <v>15943</v>
      </c>
      <c r="L8023" t="s">
        <v>27250</v>
      </c>
      <c r="M8023" t="s">
        <v>27251</v>
      </c>
      <c r="N8023" t="s">
        <v>27252</v>
      </c>
      <c r="P8023" t="s">
        <v>27341</v>
      </c>
      <c r="Q8023" s="1">
        <v>44846</v>
      </c>
      <c r="R8023" t="s">
        <v>27253</v>
      </c>
      <c r="S8023" t="s">
        <v>27254</v>
      </c>
      <c r="T8023" t="s">
        <v>27255</v>
      </c>
    </row>
    <row r="8024" spans="1:20" x14ac:dyDescent="0.3">
      <c r="A8024" t="str">
        <f>"0611863295100"</f>
        <v>0611863295100</v>
      </c>
      <c r="B8024" t="str">
        <f>"CN5266"</f>
        <v>CN5266</v>
      </c>
      <c r="C8024" t="s">
        <v>42798</v>
      </c>
      <c r="D8024" t="s">
        <v>27339</v>
      </c>
      <c r="E8024" t="str">
        <f t="shared" si="125"/>
        <v>001390</v>
      </c>
      <c r="F8024" t="s">
        <v>27246</v>
      </c>
      <c r="G8024" t="s">
        <v>27247</v>
      </c>
      <c r="H8024" t="s">
        <v>27248</v>
      </c>
      <c r="I8024" t="s">
        <v>42799</v>
      </c>
      <c r="J8024" t="s">
        <v>15945</v>
      </c>
      <c r="L8024" t="s">
        <v>27250</v>
      </c>
      <c r="M8024" t="s">
        <v>27251</v>
      </c>
      <c r="N8024" t="s">
        <v>27252</v>
      </c>
      <c r="P8024" t="s">
        <v>27341</v>
      </c>
      <c r="Q8024" s="1">
        <v>44846</v>
      </c>
      <c r="R8024" t="s">
        <v>27253</v>
      </c>
      <c r="S8024" t="s">
        <v>27254</v>
      </c>
      <c r="T8024" t="s">
        <v>27255</v>
      </c>
    </row>
    <row r="8025" spans="1:20" x14ac:dyDescent="0.3">
      <c r="A8025" t="str">
        <f>"0611863296050"</f>
        <v>0611863296050</v>
      </c>
      <c r="B8025" t="str">
        <f>"CR3804"</f>
        <v>CR3804</v>
      </c>
      <c r="C8025" t="s">
        <v>42800</v>
      </c>
      <c r="D8025" t="s">
        <v>27271</v>
      </c>
      <c r="E8025" t="str">
        <f t="shared" si="125"/>
        <v>001390</v>
      </c>
      <c r="F8025" t="s">
        <v>27246</v>
      </c>
      <c r="G8025" t="s">
        <v>27247</v>
      </c>
      <c r="H8025" t="s">
        <v>27248</v>
      </c>
      <c r="I8025" t="s">
        <v>42801</v>
      </c>
      <c r="J8025" t="s">
        <v>15947</v>
      </c>
      <c r="L8025" t="s">
        <v>27250</v>
      </c>
      <c r="M8025" t="s">
        <v>27251</v>
      </c>
      <c r="N8025" t="s">
        <v>27252</v>
      </c>
      <c r="P8025" t="s">
        <v>27341</v>
      </c>
      <c r="Q8025" s="1">
        <v>44846</v>
      </c>
      <c r="R8025" t="s">
        <v>27253</v>
      </c>
      <c r="S8025" t="s">
        <v>27254</v>
      </c>
      <c r="T8025" t="s">
        <v>27265</v>
      </c>
    </row>
    <row r="8026" spans="1:20" x14ac:dyDescent="0.3">
      <c r="A8026" t="str">
        <f>"0611863297100"</f>
        <v>0611863297100</v>
      </c>
      <c r="B8026" t="str">
        <f>"CN5268"</f>
        <v>CN5268</v>
      </c>
      <c r="C8026" t="s">
        <v>42802</v>
      </c>
      <c r="D8026" t="s">
        <v>27339</v>
      </c>
      <c r="E8026" t="str">
        <f t="shared" si="125"/>
        <v>001390</v>
      </c>
      <c r="F8026" t="s">
        <v>27246</v>
      </c>
      <c r="G8026" t="s">
        <v>27247</v>
      </c>
      <c r="H8026" t="s">
        <v>27248</v>
      </c>
      <c r="I8026" t="s">
        <v>42803</v>
      </c>
      <c r="J8026" t="s">
        <v>15949</v>
      </c>
      <c r="L8026" t="s">
        <v>27250</v>
      </c>
      <c r="M8026" t="s">
        <v>27251</v>
      </c>
      <c r="N8026" t="s">
        <v>27252</v>
      </c>
      <c r="P8026" t="s">
        <v>27341</v>
      </c>
      <c r="Q8026" s="1">
        <v>44846</v>
      </c>
      <c r="R8026" t="s">
        <v>27253</v>
      </c>
      <c r="S8026" t="s">
        <v>27254</v>
      </c>
      <c r="T8026" t="s">
        <v>27255</v>
      </c>
    </row>
    <row r="8027" spans="1:20" x14ac:dyDescent="0.3">
      <c r="A8027" t="str">
        <f>"0611863298050"</f>
        <v>0611863298050</v>
      </c>
      <c r="B8027" t="str">
        <f>"CR3806"</f>
        <v>CR3806</v>
      </c>
      <c r="C8027" t="s">
        <v>42802</v>
      </c>
      <c r="D8027" t="s">
        <v>27271</v>
      </c>
      <c r="E8027" t="str">
        <f t="shared" si="125"/>
        <v>001390</v>
      </c>
      <c r="F8027" t="s">
        <v>27246</v>
      </c>
      <c r="G8027" t="s">
        <v>27247</v>
      </c>
      <c r="H8027" t="s">
        <v>27248</v>
      </c>
      <c r="I8027" t="s">
        <v>42804</v>
      </c>
      <c r="J8027" t="s">
        <v>15951</v>
      </c>
      <c r="L8027" t="s">
        <v>27250</v>
      </c>
      <c r="M8027" t="s">
        <v>27251</v>
      </c>
      <c r="N8027" t="s">
        <v>27252</v>
      </c>
      <c r="P8027" t="s">
        <v>27341</v>
      </c>
      <c r="Q8027" s="1">
        <v>44846</v>
      </c>
      <c r="R8027" t="s">
        <v>27253</v>
      </c>
      <c r="S8027" t="s">
        <v>27254</v>
      </c>
      <c r="T8027" t="s">
        <v>27265</v>
      </c>
    </row>
    <row r="8028" spans="1:20" x14ac:dyDescent="0.3">
      <c r="A8028" t="str">
        <f>"0611836849025"</f>
        <v>0611836849025</v>
      </c>
      <c r="B8028" t="str">
        <f>"MC1659"</f>
        <v>MC1659</v>
      </c>
      <c r="C8028" t="s">
        <v>42805</v>
      </c>
      <c r="D8028" t="s">
        <v>27267</v>
      </c>
      <c r="E8028" t="str">
        <f t="shared" si="125"/>
        <v>001390</v>
      </c>
      <c r="F8028" t="s">
        <v>27246</v>
      </c>
      <c r="G8028" t="s">
        <v>27247</v>
      </c>
      <c r="H8028" t="s">
        <v>27248</v>
      </c>
      <c r="I8028" t="s">
        <v>42806</v>
      </c>
      <c r="J8028" t="s">
        <v>15953</v>
      </c>
      <c r="L8028" t="s">
        <v>27250</v>
      </c>
      <c r="M8028" t="s">
        <v>27251</v>
      </c>
      <c r="N8028" t="s">
        <v>27252</v>
      </c>
      <c r="Q8028" s="1">
        <v>44538</v>
      </c>
      <c r="R8028" t="s">
        <v>27253</v>
      </c>
      <c r="S8028" t="s">
        <v>27254</v>
      </c>
      <c r="T8028" t="s">
        <v>27269</v>
      </c>
    </row>
    <row r="8029" spans="1:20" x14ac:dyDescent="0.3">
      <c r="A8029" t="str">
        <f>"0611884333025"</f>
        <v>0611884333025</v>
      </c>
      <c r="B8029" t="str">
        <f>"MC4466"</f>
        <v>MC4466</v>
      </c>
      <c r="C8029" t="s">
        <v>42807</v>
      </c>
      <c r="D8029" t="s">
        <v>27267</v>
      </c>
      <c r="E8029" t="str">
        <f t="shared" si="125"/>
        <v>001390</v>
      </c>
      <c r="F8029" t="s">
        <v>27246</v>
      </c>
      <c r="G8029" t="s">
        <v>27247</v>
      </c>
      <c r="H8029" t="s">
        <v>27248</v>
      </c>
      <c r="I8029" t="s">
        <v>42808</v>
      </c>
      <c r="J8029" t="s">
        <v>15955</v>
      </c>
      <c r="L8029" t="s">
        <v>27430</v>
      </c>
      <c r="M8029" t="s">
        <v>27251</v>
      </c>
      <c r="N8029" t="s">
        <v>27252</v>
      </c>
      <c r="Q8029" s="1">
        <v>45250</v>
      </c>
      <c r="R8029" t="s">
        <v>27253</v>
      </c>
      <c r="S8029" t="s">
        <v>27254</v>
      </c>
      <c r="T8029" t="s">
        <v>27269</v>
      </c>
    </row>
    <row r="8030" spans="1:20" x14ac:dyDescent="0.3">
      <c r="A8030" t="str">
        <f>"0611836850100"</f>
        <v>0611836850100</v>
      </c>
      <c r="B8030" t="str">
        <f>"LF4815"</f>
        <v>LF4815</v>
      </c>
      <c r="C8030" t="s">
        <v>42809</v>
      </c>
      <c r="D8030" t="s">
        <v>27245</v>
      </c>
      <c r="E8030" t="str">
        <f t="shared" si="125"/>
        <v>001390</v>
      </c>
      <c r="F8030" t="s">
        <v>27246</v>
      </c>
      <c r="G8030" t="s">
        <v>27247</v>
      </c>
      <c r="H8030" t="s">
        <v>27248</v>
      </c>
      <c r="I8030" t="s">
        <v>42810</v>
      </c>
      <c r="J8030" t="s">
        <v>15957</v>
      </c>
      <c r="L8030" t="s">
        <v>27250</v>
      </c>
      <c r="M8030" t="s">
        <v>27251</v>
      </c>
      <c r="N8030" t="s">
        <v>27252</v>
      </c>
      <c r="Q8030" s="1">
        <v>44538</v>
      </c>
      <c r="R8030" t="s">
        <v>27253</v>
      </c>
      <c r="S8030" t="s">
        <v>27254</v>
      </c>
      <c r="T8030" t="s">
        <v>27255</v>
      </c>
    </row>
    <row r="8031" spans="1:20" x14ac:dyDescent="0.3">
      <c r="A8031" t="str">
        <f>"0611857035100"</f>
        <v>0611857035100</v>
      </c>
      <c r="B8031" t="str">
        <f>"LF3491"</f>
        <v>LF3491</v>
      </c>
      <c r="C8031" t="s">
        <v>42811</v>
      </c>
      <c r="D8031" t="s">
        <v>27245</v>
      </c>
      <c r="E8031" t="str">
        <f t="shared" si="125"/>
        <v>001390</v>
      </c>
      <c r="F8031" t="s">
        <v>27246</v>
      </c>
      <c r="G8031" t="s">
        <v>27247</v>
      </c>
      <c r="H8031" t="s">
        <v>27248</v>
      </c>
      <c r="I8031" t="s">
        <v>42812</v>
      </c>
      <c r="J8031" t="s">
        <v>15959</v>
      </c>
      <c r="L8031" t="s">
        <v>27250</v>
      </c>
      <c r="M8031" t="s">
        <v>27251</v>
      </c>
      <c r="N8031" t="s">
        <v>27252</v>
      </c>
      <c r="Q8031" s="1">
        <v>44812</v>
      </c>
      <c r="R8031" t="s">
        <v>27253</v>
      </c>
      <c r="S8031" t="s">
        <v>27254</v>
      </c>
      <c r="T8031" t="s">
        <v>27255</v>
      </c>
    </row>
    <row r="8032" spans="1:20" x14ac:dyDescent="0.3">
      <c r="A8032" t="str">
        <f>"0611836851100"</f>
        <v>0611836851100</v>
      </c>
      <c r="B8032" t="str">
        <f>"LF0033"</f>
        <v>LF0033</v>
      </c>
      <c r="C8032" t="s">
        <v>42813</v>
      </c>
      <c r="D8032" t="s">
        <v>27245</v>
      </c>
      <c r="E8032" t="str">
        <f t="shared" si="125"/>
        <v>001390</v>
      </c>
      <c r="F8032" t="s">
        <v>27246</v>
      </c>
      <c r="G8032" t="s">
        <v>27247</v>
      </c>
      <c r="H8032" t="s">
        <v>27248</v>
      </c>
      <c r="I8032" t="s">
        <v>42814</v>
      </c>
      <c r="J8032" t="s">
        <v>15961</v>
      </c>
      <c r="L8032" t="s">
        <v>27250</v>
      </c>
      <c r="M8032" t="s">
        <v>27251</v>
      </c>
      <c r="N8032" t="s">
        <v>27252</v>
      </c>
      <c r="Q8032" s="1">
        <v>44538</v>
      </c>
      <c r="R8032" t="s">
        <v>27253</v>
      </c>
      <c r="S8032" t="s">
        <v>27254</v>
      </c>
      <c r="T8032" t="s">
        <v>27255</v>
      </c>
    </row>
    <row r="8033" spans="1:20" x14ac:dyDescent="0.3">
      <c r="A8033" t="str">
        <f>"0611836852025"</f>
        <v>0611836852025</v>
      </c>
      <c r="B8033" t="str">
        <f>"MC4154"</f>
        <v>MC4154</v>
      </c>
      <c r="C8033" t="s">
        <v>42815</v>
      </c>
      <c r="D8033" t="s">
        <v>27267</v>
      </c>
      <c r="E8033" t="str">
        <f t="shared" si="125"/>
        <v>001390</v>
      </c>
      <c r="F8033" t="s">
        <v>27246</v>
      </c>
      <c r="G8033" t="s">
        <v>27247</v>
      </c>
      <c r="H8033" t="s">
        <v>27248</v>
      </c>
      <c r="I8033" t="s">
        <v>42816</v>
      </c>
      <c r="J8033" t="s">
        <v>15963</v>
      </c>
      <c r="L8033" t="s">
        <v>27250</v>
      </c>
      <c r="M8033" t="s">
        <v>27251</v>
      </c>
      <c r="N8033" t="s">
        <v>27252</v>
      </c>
      <c r="Q8033" s="1">
        <v>44538</v>
      </c>
      <c r="R8033" t="s">
        <v>27253</v>
      </c>
      <c r="S8033" t="s">
        <v>27254</v>
      </c>
      <c r="T8033" t="s">
        <v>27269</v>
      </c>
    </row>
    <row r="8034" spans="1:20" x14ac:dyDescent="0.3">
      <c r="A8034" t="str">
        <f>"0611863299050"</f>
        <v>0611863299050</v>
      </c>
      <c r="B8034" t="str">
        <f>"CR3200"</f>
        <v>CR3200</v>
      </c>
      <c r="C8034" t="s">
        <v>42817</v>
      </c>
      <c r="D8034" t="s">
        <v>27263</v>
      </c>
      <c r="E8034" t="str">
        <f t="shared" si="125"/>
        <v>001390</v>
      </c>
      <c r="F8034" t="s">
        <v>27246</v>
      </c>
      <c r="G8034" t="s">
        <v>27247</v>
      </c>
      <c r="H8034" t="s">
        <v>27248</v>
      </c>
      <c r="I8034" t="s">
        <v>42818</v>
      </c>
      <c r="J8034" t="s">
        <v>15965</v>
      </c>
      <c r="L8034" t="s">
        <v>27250</v>
      </c>
      <c r="M8034" t="s">
        <v>27251</v>
      </c>
      <c r="N8034" t="s">
        <v>27252</v>
      </c>
      <c r="Q8034" s="1">
        <v>44846</v>
      </c>
      <c r="R8034" t="s">
        <v>27253</v>
      </c>
      <c r="S8034" t="s">
        <v>27254</v>
      </c>
      <c r="T8034" t="s">
        <v>27265</v>
      </c>
    </row>
    <row r="8035" spans="1:20" x14ac:dyDescent="0.3">
      <c r="A8035" t="str">
        <f>"0611836853025"</f>
        <v>0611836853025</v>
      </c>
      <c r="B8035" t="str">
        <f>"MC2319"</f>
        <v>MC2319</v>
      </c>
      <c r="C8035" t="s">
        <v>42819</v>
      </c>
      <c r="D8035" t="s">
        <v>27267</v>
      </c>
      <c r="E8035" t="str">
        <f t="shared" si="125"/>
        <v>001390</v>
      </c>
      <c r="F8035" t="s">
        <v>27246</v>
      </c>
      <c r="G8035" t="s">
        <v>27247</v>
      </c>
      <c r="H8035" t="s">
        <v>27248</v>
      </c>
      <c r="I8035" t="s">
        <v>42820</v>
      </c>
      <c r="J8035" t="s">
        <v>15967</v>
      </c>
      <c r="L8035" t="s">
        <v>27250</v>
      </c>
      <c r="M8035" t="s">
        <v>27251</v>
      </c>
      <c r="N8035" t="s">
        <v>27252</v>
      </c>
      <c r="Q8035" s="1">
        <v>44538</v>
      </c>
      <c r="R8035" t="s">
        <v>27253</v>
      </c>
      <c r="S8035" t="s">
        <v>27254</v>
      </c>
      <c r="T8035" t="s">
        <v>27269</v>
      </c>
    </row>
    <row r="8036" spans="1:20" x14ac:dyDescent="0.3">
      <c r="A8036" t="str">
        <f>"0611836855025"</f>
        <v>0611836855025</v>
      </c>
      <c r="B8036" t="str">
        <f>"MC4155"</f>
        <v>MC4155</v>
      </c>
      <c r="C8036" t="s">
        <v>42821</v>
      </c>
      <c r="D8036" t="s">
        <v>27267</v>
      </c>
      <c r="E8036" t="str">
        <f t="shared" si="125"/>
        <v>001390</v>
      </c>
      <c r="F8036" t="s">
        <v>27246</v>
      </c>
      <c r="G8036" t="s">
        <v>27247</v>
      </c>
      <c r="H8036" t="s">
        <v>27248</v>
      </c>
      <c r="I8036" t="s">
        <v>42822</v>
      </c>
      <c r="J8036" t="s">
        <v>15969</v>
      </c>
      <c r="L8036" t="s">
        <v>27250</v>
      </c>
      <c r="M8036" t="s">
        <v>27251</v>
      </c>
      <c r="N8036" t="s">
        <v>27252</v>
      </c>
      <c r="Q8036" s="1">
        <v>44538</v>
      </c>
      <c r="R8036" t="s">
        <v>27253</v>
      </c>
      <c r="S8036" t="s">
        <v>27254</v>
      </c>
      <c r="T8036" t="s">
        <v>27269</v>
      </c>
    </row>
    <row r="8037" spans="1:20" x14ac:dyDescent="0.3">
      <c r="A8037" t="str">
        <f>"0611836856025"</f>
        <v>0611836856025</v>
      </c>
      <c r="B8037" t="str">
        <f>"MC1926"</f>
        <v>MC1926</v>
      </c>
      <c r="C8037" t="s">
        <v>42823</v>
      </c>
      <c r="D8037" t="s">
        <v>27267</v>
      </c>
      <c r="E8037" t="str">
        <f t="shared" si="125"/>
        <v>001390</v>
      </c>
      <c r="F8037" t="s">
        <v>27246</v>
      </c>
      <c r="G8037" t="s">
        <v>27247</v>
      </c>
      <c r="H8037" t="s">
        <v>27248</v>
      </c>
      <c r="I8037" t="s">
        <v>42824</v>
      </c>
      <c r="J8037" t="s">
        <v>15971</v>
      </c>
      <c r="L8037" t="s">
        <v>27250</v>
      </c>
      <c r="M8037" t="s">
        <v>27251</v>
      </c>
      <c r="N8037" t="s">
        <v>27252</v>
      </c>
      <c r="Q8037" s="1">
        <v>44538</v>
      </c>
      <c r="R8037" t="s">
        <v>27253</v>
      </c>
      <c r="S8037" t="s">
        <v>27254</v>
      </c>
      <c r="T8037" t="s">
        <v>27269</v>
      </c>
    </row>
    <row r="8038" spans="1:20" x14ac:dyDescent="0.3">
      <c r="A8038" t="str">
        <f>"0611836858025"</f>
        <v>0611836858025</v>
      </c>
      <c r="B8038" t="str">
        <f>"MC3227"</f>
        <v>MC3227</v>
      </c>
      <c r="C8038" t="s">
        <v>42825</v>
      </c>
      <c r="D8038" t="s">
        <v>27267</v>
      </c>
      <c r="E8038" t="str">
        <f t="shared" si="125"/>
        <v>001390</v>
      </c>
      <c r="F8038" t="s">
        <v>27246</v>
      </c>
      <c r="G8038" t="s">
        <v>27247</v>
      </c>
      <c r="H8038" t="s">
        <v>27248</v>
      </c>
      <c r="I8038" t="s">
        <v>42826</v>
      </c>
      <c r="J8038" t="s">
        <v>15973</v>
      </c>
      <c r="L8038" t="s">
        <v>27250</v>
      </c>
      <c r="M8038" t="s">
        <v>27251</v>
      </c>
      <c r="N8038" t="s">
        <v>27252</v>
      </c>
      <c r="Q8038" s="1">
        <v>44538</v>
      </c>
      <c r="R8038" t="s">
        <v>27253</v>
      </c>
      <c r="S8038" t="s">
        <v>27254</v>
      </c>
      <c r="T8038" t="s">
        <v>27269</v>
      </c>
    </row>
    <row r="8039" spans="1:20" x14ac:dyDescent="0.3">
      <c r="A8039" t="str">
        <f>"0611856965025"</f>
        <v>0611856965025</v>
      </c>
      <c r="B8039" t="str">
        <f>"MC4440"</f>
        <v>MC4440</v>
      </c>
      <c r="C8039" t="s">
        <v>42827</v>
      </c>
      <c r="D8039" t="s">
        <v>27267</v>
      </c>
      <c r="E8039" t="str">
        <f t="shared" si="125"/>
        <v>001390</v>
      </c>
      <c r="F8039" t="s">
        <v>27246</v>
      </c>
      <c r="G8039" t="s">
        <v>27247</v>
      </c>
      <c r="H8039" t="s">
        <v>27248</v>
      </c>
      <c r="I8039" t="s">
        <v>42828</v>
      </c>
      <c r="J8039" t="s">
        <v>15975</v>
      </c>
      <c r="L8039" t="s">
        <v>27250</v>
      </c>
      <c r="M8039" t="s">
        <v>27251</v>
      </c>
      <c r="N8039" t="s">
        <v>27252</v>
      </c>
      <c r="Q8039" s="1">
        <v>44812</v>
      </c>
      <c r="R8039" t="s">
        <v>27253</v>
      </c>
      <c r="S8039" t="s">
        <v>27254</v>
      </c>
      <c r="T8039" t="s">
        <v>27269</v>
      </c>
    </row>
    <row r="8040" spans="1:20" x14ac:dyDescent="0.3">
      <c r="A8040" t="str">
        <f>"0611856966025"</f>
        <v>0611856966025</v>
      </c>
      <c r="B8040" t="str">
        <f>"MC4441"</f>
        <v>MC4441</v>
      </c>
      <c r="C8040" t="s">
        <v>42829</v>
      </c>
      <c r="D8040" t="s">
        <v>27267</v>
      </c>
      <c r="E8040" t="str">
        <f t="shared" si="125"/>
        <v>001390</v>
      </c>
      <c r="F8040" t="s">
        <v>27246</v>
      </c>
      <c r="G8040" t="s">
        <v>27247</v>
      </c>
      <c r="H8040" t="s">
        <v>27248</v>
      </c>
      <c r="I8040" t="s">
        <v>42830</v>
      </c>
      <c r="J8040" t="s">
        <v>15977</v>
      </c>
      <c r="L8040" t="s">
        <v>27250</v>
      </c>
      <c r="M8040" t="s">
        <v>27251</v>
      </c>
      <c r="N8040" t="s">
        <v>27252</v>
      </c>
      <c r="Q8040" s="1">
        <v>44812</v>
      </c>
      <c r="R8040" t="s">
        <v>27253</v>
      </c>
      <c r="S8040" t="s">
        <v>27254</v>
      </c>
      <c r="T8040" t="s">
        <v>27269</v>
      </c>
    </row>
    <row r="8041" spans="1:20" x14ac:dyDescent="0.3">
      <c r="A8041" t="str">
        <f>"0611834175025"</f>
        <v>0611834175025</v>
      </c>
      <c r="B8041" t="str">
        <f>"MC2542"</f>
        <v>MC2542</v>
      </c>
      <c r="C8041" t="s">
        <v>42831</v>
      </c>
      <c r="D8041" t="s">
        <v>27267</v>
      </c>
      <c r="E8041" t="str">
        <f t="shared" si="125"/>
        <v>001390</v>
      </c>
      <c r="F8041" t="s">
        <v>27246</v>
      </c>
      <c r="G8041" t="s">
        <v>27247</v>
      </c>
      <c r="H8041" t="s">
        <v>27248</v>
      </c>
      <c r="I8041" t="s">
        <v>42832</v>
      </c>
      <c r="J8041" t="s">
        <v>15979</v>
      </c>
      <c r="L8041" t="s">
        <v>27250</v>
      </c>
      <c r="M8041" t="s">
        <v>27251</v>
      </c>
      <c r="N8041" t="s">
        <v>27252</v>
      </c>
      <c r="Q8041" s="1">
        <v>44538</v>
      </c>
      <c r="R8041" t="s">
        <v>27253</v>
      </c>
      <c r="S8041" t="s">
        <v>27254</v>
      </c>
      <c r="T8041" t="s">
        <v>27269</v>
      </c>
    </row>
    <row r="8042" spans="1:20" x14ac:dyDescent="0.3">
      <c r="A8042" t="str">
        <f>"0611836859100"</f>
        <v>0611836859100</v>
      </c>
      <c r="B8042" t="str">
        <f>"LK5694"</f>
        <v>LK5694</v>
      </c>
      <c r="C8042" t="s">
        <v>42833</v>
      </c>
      <c r="D8042" t="s">
        <v>27245</v>
      </c>
      <c r="E8042" t="str">
        <f t="shared" si="125"/>
        <v>001390</v>
      </c>
      <c r="F8042" t="s">
        <v>27246</v>
      </c>
      <c r="G8042" t="s">
        <v>27247</v>
      </c>
      <c r="H8042" t="s">
        <v>27248</v>
      </c>
      <c r="I8042" t="s">
        <v>42834</v>
      </c>
      <c r="J8042" t="s">
        <v>15981</v>
      </c>
      <c r="L8042" t="s">
        <v>27250</v>
      </c>
      <c r="M8042" t="s">
        <v>27251</v>
      </c>
      <c r="N8042" t="s">
        <v>27252</v>
      </c>
      <c r="Q8042" s="1">
        <v>44538</v>
      </c>
      <c r="R8042" t="s">
        <v>27253</v>
      </c>
      <c r="S8042" t="s">
        <v>27254</v>
      </c>
      <c r="T8042" t="s">
        <v>27255</v>
      </c>
    </row>
    <row r="8043" spans="1:20" x14ac:dyDescent="0.3">
      <c r="A8043" t="str">
        <f>"0611836861100"</f>
        <v>0611836861100</v>
      </c>
      <c r="B8043" t="str">
        <f>"LK5696"</f>
        <v>LK5696</v>
      </c>
      <c r="C8043" t="s">
        <v>42835</v>
      </c>
      <c r="D8043" t="s">
        <v>27245</v>
      </c>
      <c r="E8043" t="str">
        <f t="shared" si="125"/>
        <v>001390</v>
      </c>
      <c r="F8043" t="s">
        <v>27246</v>
      </c>
      <c r="G8043" t="s">
        <v>27247</v>
      </c>
      <c r="H8043" t="s">
        <v>27248</v>
      </c>
      <c r="I8043" t="s">
        <v>42836</v>
      </c>
      <c r="J8043" t="s">
        <v>15983</v>
      </c>
      <c r="L8043" t="s">
        <v>27250</v>
      </c>
      <c r="M8043" t="s">
        <v>27251</v>
      </c>
      <c r="N8043" t="s">
        <v>27252</v>
      </c>
      <c r="Q8043" s="1">
        <v>44538</v>
      </c>
      <c r="R8043" t="s">
        <v>27253</v>
      </c>
      <c r="S8043" t="s">
        <v>27254</v>
      </c>
      <c r="T8043" t="s">
        <v>27255</v>
      </c>
    </row>
    <row r="8044" spans="1:20" x14ac:dyDescent="0.3">
      <c r="A8044" t="str">
        <f>"0611836860100"</f>
        <v>0611836860100</v>
      </c>
      <c r="B8044" t="str">
        <f>"LK6838"</f>
        <v>LK6838</v>
      </c>
      <c r="C8044" t="s">
        <v>42837</v>
      </c>
      <c r="D8044" t="s">
        <v>27245</v>
      </c>
      <c r="E8044" t="str">
        <f t="shared" si="125"/>
        <v>001390</v>
      </c>
      <c r="F8044" t="s">
        <v>27246</v>
      </c>
      <c r="G8044" t="s">
        <v>27247</v>
      </c>
      <c r="H8044" t="s">
        <v>27248</v>
      </c>
      <c r="I8044" t="s">
        <v>42838</v>
      </c>
      <c r="J8044" t="s">
        <v>15985</v>
      </c>
      <c r="L8044" t="s">
        <v>27250</v>
      </c>
      <c r="M8044" t="s">
        <v>27251</v>
      </c>
      <c r="N8044" t="s">
        <v>27252</v>
      </c>
      <c r="Q8044" s="1">
        <v>44538</v>
      </c>
      <c r="R8044" t="s">
        <v>27253</v>
      </c>
      <c r="S8044" t="s">
        <v>27254</v>
      </c>
      <c r="T8044" t="s">
        <v>27255</v>
      </c>
    </row>
    <row r="8045" spans="1:20" x14ac:dyDescent="0.3">
      <c r="A8045" t="str">
        <f>"0611834176100"</f>
        <v>0611834176100</v>
      </c>
      <c r="B8045" t="str">
        <f>"LK5697"</f>
        <v>LK5697</v>
      </c>
      <c r="C8045" t="s">
        <v>42839</v>
      </c>
      <c r="D8045" t="s">
        <v>27245</v>
      </c>
      <c r="E8045" t="str">
        <f t="shared" si="125"/>
        <v>001390</v>
      </c>
      <c r="F8045" t="s">
        <v>27246</v>
      </c>
      <c r="G8045" t="s">
        <v>27247</v>
      </c>
      <c r="H8045" t="s">
        <v>27248</v>
      </c>
      <c r="I8045" t="s">
        <v>42840</v>
      </c>
      <c r="J8045" t="s">
        <v>15987</v>
      </c>
      <c r="L8045" t="s">
        <v>27250</v>
      </c>
      <c r="M8045" t="s">
        <v>27251</v>
      </c>
      <c r="N8045" t="s">
        <v>27252</v>
      </c>
      <c r="Q8045" s="1">
        <v>44538</v>
      </c>
      <c r="R8045" t="s">
        <v>27253</v>
      </c>
      <c r="S8045" t="s">
        <v>27254</v>
      </c>
      <c r="T8045" t="s">
        <v>27255</v>
      </c>
    </row>
    <row r="8046" spans="1:20" x14ac:dyDescent="0.3">
      <c r="A8046" t="str">
        <f>"0611836862100"</f>
        <v>0611836862100</v>
      </c>
      <c r="B8046" t="str">
        <f>"LK5698"</f>
        <v>LK5698</v>
      </c>
      <c r="C8046" t="s">
        <v>42841</v>
      </c>
      <c r="D8046" t="s">
        <v>27245</v>
      </c>
      <c r="E8046" t="str">
        <f t="shared" si="125"/>
        <v>001390</v>
      </c>
      <c r="F8046" t="s">
        <v>27246</v>
      </c>
      <c r="G8046" t="s">
        <v>27247</v>
      </c>
      <c r="H8046" t="s">
        <v>27248</v>
      </c>
      <c r="I8046" t="s">
        <v>42842</v>
      </c>
      <c r="J8046" t="s">
        <v>15989</v>
      </c>
      <c r="L8046" t="s">
        <v>27250</v>
      </c>
      <c r="M8046" t="s">
        <v>27251</v>
      </c>
      <c r="N8046" t="s">
        <v>27252</v>
      </c>
      <c r="Q8046" s="1">
        <v>44538</v>
      </c>
      <c r="R8046" t="s">
        <v>27253</v>
      </c>
      <c r="S8046" t="s">
        <v>27254</v>
      </c>
      <c r="T8046" t="s">
        <v>27255</v>
      </c>
    </row>
    <row r="8047" spans="1:20" x14ac:dyDescent="0.3">
      <c r="A8047" t="str">
        <f>"0611831912100"</f>
        <v>0611831912100</v>
      </c>
      <c r="B8047" t="str">
        <f>"LL2685"</f>
        <v>LL2685</v>
      </c>
      <c r="C8047" t="s">
        <v>42843</v>
      </c>
      <c r="D8047" t="s">
        <v>27245</v>
      </c>
      <c r="E8047" t="str">
        <f t="shared" si="125"/>
        <v>001390</v>
      </c>
      <c r="F8047" t="s">
        <v>27246</v>
      </c>
      <c r="G8047" t="s">
        <v>27247</v>
      </c>
      <c r="H8047" t="s">
        <v>27248</v>
      </c>
      <c r="I8047" t="s">
        <v>42844</v>
      </c>
      <c r="J8047" t="s">
        <v>15991</v>
      </c>
      <c r="L8047" t="s">
        <v>27250</v>
      </c>
      <c r="M8047" t="s">
        <v>27251</v>
      </c>
      <c r="N8047" t="s">
        <v>27252</v>
      </c>
      <c r="Q8047" s="1">
        <v>44538</v>
      </c>
      <c r="R8047" t="s">
        <v>27253</v>
      </c>
      <c r="S8047" t="s">
        <v>27254</v>
      </c>
      <c r="T8047" t="s">
        <v>27255</v>
      </c>
    </row>
    <row r="8048" spans="1:20" x14ac:dyDescent="0.3">
      <c r="A8048" t="str">
        <f>"0611831910100"</f>
        <v>0611831910100</v>
      </c>
      <c r="B8048" t="str">
        <f>"LL0001"</f>
        <v>LL0001</v>
      </c>
      <c r="C8048" t="s">
        <v>42845</v>
      </c>
      <c r="D8048" t="s">
        <v>27245</v>
      </c>
      <c r="E8048" t="str">
        <f t="shared" si="125"/>
        <v>001390</v>
      </c>
      <c r="F8048" t="s">
        <v>27246</v>
      </c>
      <c r="G8048" t="s">
        <v>27247</v>
      </c>
      <c r="H8048" t="s">
        <v>27248</v>
      </c>
      <c r="I8048" t="s">
        <v>42846</v>
      </c>
      <c r="J8048" t="s">
        <v>15993</v>
      </c>
      <c r="L8048" t="s">
        <v>27250</v>
      </c>
      <c r="M8048" t="s">
        <v>27251</v>
      </c>
      <c r="N8048" t="s">
        <v>27252</v>
      </c>
      <c r="Q8048" s="1">
        <v>44538</v>
      </c>
      <c r="R8048" t="s">
        <v>27253</v>
      </c>
      <c r="S8048" t="s">
        <v>27254</v>
      </c>
      <c r="T8048" t="s">
        <v>27255</v>
      </c>
    </row>
    <row r="8049" spans="1:20" x14ac:dyDescent="0.3">
      <c r="A8049" t="str">
        <f>"0611831941100"</f>
        <v>0611831941100</v>
      </c>
      <c r="B8049" t="str">
        <f>"LL2688"</f>
        <v>LL2688</v>
      </c>
      <c r="C8049" t="s">
        <v>42847</v>
      </c>
      <c r="D8049" t="s">
        <v>27245</v>
      </c>
      <c r="E8049" t="str">
        <f t="shared" si="125"/>
        <v>001390</v>
      </c>
      <c r="F8049" t="s">
        <v>27246</v>
      </c>
      <c r="G8049" t="s">
        <v>27247</v>
      </c>
      <c r="H8049" t="s">
        <v>27248</v>
      </c>
      <c r="I8049" t="s">
        <v>42848</v>
      </c>
      <c r="J8049" t="s">
        <v>15995</v>
      </c>
      <c r="L8049" t="s">
        <v>27250</v>
      </c>
      <c r="M8049" t="s">
        <v>27251</v>
      </c>
      <c r="N8049" t="s">
        <v>27252</v>
      </c>
      <c r="Q8049" s="1">
        <v>44538</v>
      </c>
      <c r="R8049" t="s">
        <v>27253</v>
      </c>
      <c r="S8049" t="s">
        <v>27254</v>
      </c>
      <c r="T8049" t="s">
        <v>27255</v>
      </c>
    </row>
    <row r="8050" spans="1:20" x14ac:dyDescent="0.3">
      <c r="A8050" t="str">
        <f>"0611831944100"</f>
        <v>0611831944100</v>
      </c>
      <c r="B8050" t="str">
        <f>"LL8277"</f>
        <v>LL8277</v>
      </c>
      <c r="C8050" t="s">
        <v>42849</v>
      </c>
      <c r="D8050" t="s">
        <v>27245</v>
      </c>
      <c r="E8050" t="str">
        <f t="shared" si="125"/>
        <v>001390</v>
      </c>
      <c r="F8050" t="s">
        <v>27246</v>
      </c>
      <c r="G8050" t="s">
        <v>27247</v>
      </c>
      <c r="H8050" t="s">
        <v>27248</v>
      </c>
      <c r="I8050" t="s">
        <v>42850</v>
      </c>
      <c r="J8050" t="s">
        <v>15997</v>
      </c>
      <c r="L8050" t="s">
        <v>27250</v>
      </c>
      <c r="M8050" t="s">
        <v>27251</v>
      </c>
      <c r="N8050" t="s">
        <v>27252</v>
      </c>
      <c r="Q8050" s="1">
        <v>44538</v>
      </c>
      <c r="R8050" t="s">
        <v>27253</v>
      </c>
      <c r="S8050" t="s">
        <v>27254</v>
      </c>
      <c r="T8050" t="s">
        <v>27255</v>
      </c>
    </row>
    <row r="8051" spans="1:20" x14ac:dyDescent="0.3">
      <c r="A8051" t="str">
        <f>"0611831951100"</f>
        <v>0611831951100</v>
      </c>
      <c r="B8051" t="str">
        <f>"LL8203"</f>
        <v>LL8203</v>
      </c>
      <c r="C8051" t="s">
        <v>42851</v>
      </c>
      <c r="D8051" t="s">
        <v>27245</v>
      </c>
      <c r="E8051" t="str">
        <f t="shared" si="125"/>
        <v>001390</v>
      </c>
      <c r="F8051" t="s">
        <v>27246</v>
      </c>
      <c r="G8051" t="s">
        <v>27247</v>
      </c>
      <c r="H8051" t="s">
        <v>27248</v>
      </c>
      <c r="I8051" t="s">
        <v>42852</v>
      </c>
      <c r="J8051" t="s">
        <v>15999</v>
      </c>
      <c r="L8051" t="s">
        <v>27250</v>
      </c>
      <c r="M8051" t="s">
        <v>27251</v>
      </c>
      <c r="N8051" t="s">
        <v>27252</v>
      </c>
      <c r="Q8051" s="1">
        <v>44538</v>
      </c>
      <c r="R8051" t="s">
        <v>27253</v>
      </c>
      <c r="S8051" t="s">
        <v>27254</v>
      </c>
      <c r="T8051" t="s">
        <v>27255</v>
      </c>
    </row>
    <row r="8052" spans="1:20" x14ac:dyDescent="0.3">
      <c r="A8052" t="str">
        <f>"0611836864025"</f>
        <v>0611836864025</v>
      </c>
      <c r="B8052" t="str">
        <f>"MC4405"</f>
        <v>MC4405</v>
      </c>
      <c r="C8052" t="s">
        <v>42853</v>
      </c>
      <c r="D8052" t="s">
        <v>27267</v>
      </c>
      <c r="E8052" t="str">
        <f t="shared" si="125"/>
        <v>001390</v>
      </c>
      <c r="F8052" t="s">
        <v>27246</v>
      </c>
      <c r="G8052" t="s">
        <v>27247</v>
      </c>
      <c r="H8052" t="s">
        <v>27248</v>
      </c>
      <c r="I8052" t="s">
        <v>42854</v>
      </c>
      <c r="J8052" t="s">
        <v>16001</v>
      </c>
      <c r="L8052" t="s">
        <v>27250</v>
      </c>
      <c r="M8052" t="s">
        <v>27251</v>
      </c>
      <c r="N8052" t="s">
        <v>27252</v>
      </c>
      <c r="Q8052" s="1">
        <v>44538</v>
      </c>
      <c r="R8052" t="s">
        <v>27253</v>
      </c>
      <c r="S8052" t="s">
        <v>27254</v>
      </c>
      <c r="T8052" t="s">
        <v>27269</v>
      </c>
    </row>
    <row r="8053" spans="1:20" x14ac:dyDescent="0.3">
      <c r="A8053" t="str">
        <f>"0611836865025"</f>
        <v>0611836865025</v>
      </c>
      <c r="B8053" t="str">
        <f>"MC4406"</f>
        <v>MC4406</v>
      </c>
      <c r="C8053" t="s">
        <v>42855</v>
      </c>
      <c r="D8053" t="s">
        <v>27267</v>
      </c>
      <c r="E8053" t="str">
        <f t="shared" si="125"/>
        <v>001390</v>
      </c>
      <c r="F8053" t="s">
        <v>27246</v>
      </c>
      <c r="G8053" t="s">
        <v>27247</v>
      </c>
      <c r="H8053" t="s">
        <v>27248</v>
      </c>
      <c r="I8053" t="s">
        <v>42856</v>
      </c>
      <c r="J8053" t="s">
        <v>16003</v>
      </c>
      <c r="L8053" t="s">
        <v>27250</v>
      </c>
      <c r="M8053" t="s">
        <v>27251</v>
      </c>
      <c r="N8053" t="s">
        <v>27252</v>
      </c>
      <c r="Q8053" s="1">
        <v>44538</v>
      </c>
      <c r="R8053" t="s">
        <v>27253</v>
      </c>
      <c r="S8053" t="s">
        <v>27254</v>
      </c>
      <c r="T8053" t="s">
        <v>27269</v>
      </c>
    </row>
    <row r="8054" spans="1:20" x14ac:dyDescent="0.3">
      <c r="A8054" t="str">
        <f>"0611836866025"</f>
        <v>0611836866025</v>
      </c>
      <c r="B8054" t="str">
        <f>"MC4407"</f>
        <v>MC4407</v>
      </c>
      <c r="C8054" t="s">
        <v>42857</v>
      </c>
      <c r="D8054" t="s">
        <v>27267</v>
      </c>
      <c r="E8054" t="str">
        <f t="shared" si="125"/>
        <v>001390</v>
      </c>
      <c r="F8054" t="s">
        <v>27246</v>
      </c>
      <c r="G8054" t="s">
        <v>27247</v>
      </c>
      <c r="H8054" t="s">
        <v>27248</v>
      </c>
      <c r="I8054" t="s">
        <v>42858</v>
      </c>
      <c r="J8054" t="s">
        <v>16005</v>
      </c>
      <c r="L8054" t="s">
        <v>27250</v>
      </c>
      <c r="M8054" t="s">
        <v>27251</v>
      </c>
      <c r="N8054" t="s">
        <v>27252</v>
      </c>
      <c r="Q8054" s="1">
        <v>44538</v>
      </c>
      <c r="R8054" t="s">
        <v>27253</v>
      </c>
      <c r="S8054" t="s">
        <v>27254</v>
      </c>
      <c r="T8054" t="s">
        <v>27269</v>
      </c>
    </row>
    <row r="8055" spans="1:20" x14ac:dyDescent="0.3">
      <c r="A8055" t="str">
        <f>"0611836867025"</f>
        <v>0611836867025</v>
      </c>
      <c r="B8055" t="str">
        <f>"MC3769"</f>
        <v>MC3769</v>
      </c>
      <c r="C8055" t="s">
        <v>42859</v>
      </c>
      <c r="D8055" t="s">
        <v>27267</v>
      </c>
      <c r="E8055" t="str">
        <f t="shared" si="125"/>
        <v>001390</v>
      </c>
      <c r="F8055" t="s">
        <v>27246</v>
      </c>
      <c r="G8055" t="s">
        <v>27247</v>
      </c>
      <c r="H8055" t="s">
        <v>27248</v>
      </c>
      <c r="I8055" t="s">
        <v>42860</v>
      </c>
      <c r="J8055" t="s">
        <v>16007</v>
      </c>
      <c r="L8055" t="s">
        <v>27250</v>
      </c>
      <c r="M8055" t="s">
        <v>27251</v>
      </c>
      <c r="N8055" t="s">
        <v>27252</v>
      </c>
      <c r="Q8055" s="1">
        <v>44538</v>
      </c>
      <c r="R8055" t="s">
        <v>27253</v>
      </c>
      <c r="S8055" t="s">
        <v>27254</v>
      </c>
      <c r="T8055" t="s">
        <v>27269</v>
      </c>
    </row>
    <row r="8056" spans="1:20" x14ac:dyDescent="0.3">
      <c r="A8056" t="str">
        <f>"0611836868025"</f>
        <v>0611836868025</v>
      </c>
      <c r="B8056" t="str">
        <f>"MC4026"</f>
        <v>MC4026</v>
      </c>
      <c r="C8056" t="s">
        <v>42861</v>
      </c>
      <c r="D8056" t="s">
        <v>27267</v>
      </c>
      <c r="E8056" t="str">
        <f t="shared" si="125"/>
        <v>001390</v>
      </c>
      <c r="F8056" t="s">
        <v>27246</v>
      </c>
      <c r="G8056" t="s">
        <v>27247</v>
      </c>
      <c r="H8056" t="s">
        <v>27248</v>
      </c>
      <c r="I8056" t="s">
        <v>42862</v>
      </c>
      <c r="J8056" t="s">
        <v>16009</v>
      </c>
      <c r="L8056" t="s">
        <v>27250</v>
      </c>
      <c r="M8056" t="s">
        <v>27251</v>
      </c>
      <c r="N8056" t="s">
        <v>27252</v>
      </c>
      <c r="Q8056" s="1">
        <v>44538</v>
      </c>
      <c r="R8056" t="s">
        <v>27253</v>
      </c>
      <c r="S8056" t="s">
        <v>27254</v>
      </c>
      <c r="T8056" t="s">
        <v>27269</v>
      </c>
    </row>
    <row r="8057" spans="1:20" x14ac:dyDescent="0.3">
      <c r="A8057" t="str">
        <f>"0611836869100"</f>
        <v>0611836869100</v>
      </c>
      <c r="B8057" t="str">
        <f>"LH5855"</f>
        <v>LH5855</v>
      </c>
      <c r="C8057" t="s">
        <v>42863</v>
      </c>
      <c r="D8057" t="s">
        <v>27245</v>
      </c>
      <c r="E8057" t="str">
        <f t="shared" si="125"/>
        <v>001390</v>
      </c>
      <c r="F8057" t="s">
        <v>27246</v>
      </c>
      <c r="G8057" t="s">
        <v>27247</v>
      </c>
      <c r="H8057" t="s">
        <v>27248</v>
      </c>
      <c r="I8057" t="s">
        <v>42864</v>
      </c>
      <c r="J8057" t="s">
        <v>16011</v>
      </c>
      <c r="L8057" t="s">
        <v>27250</v>
      </c>
      <c r="M8057" t="s">
        <v>27251</v>
      </c>
      <c r="N8057" t="s">
        <v>27252</v>
      </c>
      <c r="Q8057" s="1">
        <v>44538</v>
      </c>
      <c r="R8057" t="s">
        <v>27253</v>
      </c>
      <c r="S8057" t="s">
        <v>27254</v>
      </c>
      <c r="T8057" t="s">
        <v>27255</v>
      </c>
    </row>
    <row r="8058" spans="1:20" x14ac:dyDescent="0.3">
      <c r="A8058" t="str">
        <f>"0611836870025"</f>
        <v>0611836870025</v>
      </c>
      <c r="B8058" t="str">
        <f>"MC0547"</f>
        <v>MC0547</v>
      </c>
      <c r="C8058" t="s">
        <v>42863</v>
      </c>
      <c r="D8058" t="s">
        <v>27267</v>
      </c>
      <c r="E8058" t="str">
        <f t="shared" si="125"/>
        <v>001390</v>
      </c>
      <c r="F8058" t="s">
        <v>27246</v>
      </c>
      <c r="G8058" t="s">
        <v>27247</v>
      </c>
      <c r="H8058" t="s">
        <v>27248</v>
      </c>
      <c r="I8058" t="s">
        <v>42865</v>
      </c>
      <c r="J8058" t="s">
        <v>16013</v>
      </c>
      <c r="L8058" t="s">
        <v>27250</v>
      </c>
      <c r="M8058" t="s">
        <v>27251</v>
      </c>
      <c r="N8058" t="s">
        <v>27252</v>
      </c>
      <c r="Q8058" s="1">
        <v>44538</v>
      </c>
      <c r="R8058" t="s">
        <v>27253</v>
      </c>
      <c r="S8058" t="s">
        <v>27254</v>
      </c>
      <c r="T8058" t="s">
        <v>27269</v>
      </c>
    </row>
    <row r="8059" spans="1:20" x14ac:dyDescent="0.3">
      <c r="A8059" t="str">
        <f>"0611836871025"</f>
        <v>0611836871025</v>
      </c>
      <c r="B8059" t="str">
        <f>"MC3197"</f>
        <v>MC3197</v>
      </c>
      <c r="C8059" t="s">
        <v>42866</v>
      </c>
      <c r="D8059" t="s">
        <v>27267</v>
      </c>
      <c r="E8059" t="str">
        <f t="shared" si="125"/>
        <v>001390</v>
      </c>
      <c r="F8059" t="s">
        <v>27246</v>
      </c>
      <c r="G8059" t="s">
        <v>27247</v>
      </c>
      <c r="H8059" t="s">
        <v>27248</v>
      </c>
      <c r="I8059" t="s">
        <v>42867</v>
      </c>
      <c r="J8059" t="s">
        <v>16015</v>
      </c>
      <c r="L8059" t="s">
        <v>27250</v>
      </c>
      <c r="M8059" t="s">
        <v>27251</v>
      </c>
      <c r="N8059" t="s">
        <v>27252</v>
      </c>
      <c r="Q8059" s="1">
        <v>44538</v>
      </c>
      <c r="R8059" t="s">
        <v>27253</v>
      </c>
      <c r="S8059" t="s">
        <v>27254</v>
      </c>
      <c r="T8059" t="s">
        <v>27269</v>
      </c>
    </row>
    <row r="8060" spans="1:20" x14ac:dyDescent="0.3">
      <c r="A8060" t="str">
        <f>"0611836872025"</f>
        <v>0611836872025</v>
      </c>
      <c r="B8060" t="str">
        <f>"MC4318"</f>
        <v>MC4318</v>
      </c>
      <c r="C8060" t="s">
        <v>42868</v>
      </c>
      <c r="D8060" t="s">
        <v>27267</v>
      </c>
      <c r="E8060" t="str">
        <f t="shared" si="125"/>
        <v>001390</v>
      </c>
      <c r="F8060" t="s">
        <v>27246</v>
      </c>
      <c r="G8060" t="s">
        <v>27247</v>
      </c>
      <c r="H8060" t="s">
        <v>27248</v>
      </c>
      <c r="I8060" t="s">
        <v>42869</v>
      </c>
      <c r="J8060" t="s">
        <v>16017</v>
      </c>
      <c r="L8060" t="s">
        <v>27250</v>
      </c>
      <c r="M8060" t="s">
        <v>27251</v>
      </c>
      <c r="N8060" t="s">
        <v>27252</v>
      </c>
      <c r="Q8060" s="1">
        <v>44538</v>
      </c>
      <c r="R8060" t="s">
        <v>27253</v>
      </c>
      <c r="S8060" t="s">
        <v>27254</v>
      </c>
      <c r="T8060" t="s">
        <v>27269</v>
      </c>
    </row>
    <row r="8061" spans="1:20" x14ac:dyDescent="0.3">
      <c r="A8061" t="str">
        <f>"0611836873025"</f>
        <v>0611836873025</v>
      </c>
      <c r="B8061" t="str">
        <f>"MC4319"</f>
        <v>MC4319</v>
      </c>
      <c r="C8061" t="s">
        <v>42870</v>
      </c>
      <c r="D8061" t="s">
        <v>27267</v>
      </c>
      <c r="E8061" t="str">
        <f t="shared" si="125"/>
        <v>001390</v>
      </c>
      <c r="F8061" t="s">
        <v>27246</v>
      </c>
      <c r="G8061" t="s">
        <v>27247</v>
      </c>
      <c r="H8061" t="s">
        <v>27248</v>
      </c>
      <c r="I8061" t="s">
        <v>42871</v>
      </c>
      <c r="J8061" t="s">
        <v>16019</v>
      </c>
      <c r="L8061" t="s">
        <v>27250</v>
      </c>
      <c r="M8061" t="s">
        <v>27251</v>
      </c>
      <c r="N8061" t="s">
        <v>27252</v>
      </c>
      <c r="Q8061" s="1">
        <v>44538</v>
      </c>
      <c r="R8061" t="s">
        <v>27253</v>
      </c>
      <c r="S8061" t="s">
        <v>27254</v>
      </c>
      <c r="T8061" t="s">
        <v>27269</v>
      </c>
    </row>
    <row r="8062" spans="1:20" x14ac:dyDescent="0.3">
      <c r="A8062" t="str">
        <f>"0611836874025"</f>
        <v>0611836874025</v>
      </c>
      <c r="B8062" t="str">
        <f>"MC0548"</f>
        <v>MC0548</v>
      </c>
      <c r="C8062" t="s">
        <v>42872</v>
      </c>
      <c r="D8062" t="s">
        <v>27267</v>
      </c>
      <c r="E8062" t="str">
        <f t="shared" si="125"/>
        <v>001390</v>
      </c>
      <c r="F8062" t="s">
        <v>27246</v>
      </c>
      <c r="G8062" t="s">
        <v>27247</v>
      </c>
      <c r="H8062" t="s">
        <v>27248</v>
      </c>
      <c r="I8062" t="s">
        <v>42873</v>
      </c>
      <c r="J8062" t="s">
        <v>16021</v>
      </c>
      <c r="L8062" t="s">
        <v>27250</v>
      </c>
      <c r="M8062" t="s">
        <v>27251</v>
      </c>
      <c r="N8062" t="s">
        <v>27252</v>
      </c>
      <c r="Q8062" s="1">
        <v>44538</v>
      </c>
      <c r="R8062" t="s">
        <v>27253</v>
      </c>
      <c r="S8062" t="s">
        <v>27254</v>
      </c>
      <c r="T8062" t="s">
        <v>27269</v>
      </c>
    </row>
    <row r="8063" spans="1:20" x14ac:dyDescent="0.3">
      <c r="A8063" t="str">
        <f>"0611836876025"</f>
        <v>0611836876025</v>
      </c>
      <c r="B8063" t="str">
        <f>"MC2844"</f>
        <v>MC2844</v>
      </c>
      <c r="C8063" t="s">
        <v>42874</v>
      </c>
      <c r="D8063" t="s">
        <v>27267</v>
      </c>
      <c r="E8063" t="str">
        <f t="shared" si="125"/>
        <v>001390</v>
      </c>
      <c r="F8063" t="s">
        <v>27246</v>
      </c>
      <c r="G8063" t="s">
        <v>27247</v>
      </c>
      <c r="H8063" t="s">
        <v>27248</v>
      </c>
      <c r="I8063" t="s">
        <v>42875</v>
      </c>
      <c r="J8063" t="s">
        <v>16023</v>
      </c>
      <c r="L8063" t="s">
        <v>27250</v>
      </c>
      <c r="M8063" t="s">
        <v>27251</v>
      </c>
      <c r="N8063" t="s">
        <v>27252</v>
      </c>
      <c r="Q8063" s="1">
        <v>44538</v>
      </c>
      <c r="R8063" t="s">
        <v>27253</v>
      </c>
      <c r="S8063" t="s">
        <v>27254</v>
      </c>
      <c r="T8063" t="s">
        <v>27269</v>
      </c>
    </row>
    <row r="8064" spans="1:20" x14ac:dyDescent="0.3">
      <c r="A8064" t="str">
        <f>"0611836878025"</f>
        <v>0611836878025</v>
      </c>
      <c r="B8064" t="str">
        <f>"MC4225"</f>
        <v>MC4225</v>
      </c>
      <c r="C8064" t="s">
        <v>42876</v>
      </c>
      <c r="D8064" t="s">
        <v>27267</v>
      </c>
      <c r="E8064" t="str">
        <f t="shared" si="125"/>
        <v>001390</v>
      </c>
      <c r="F8064" t="s">
        <v>27246</v>
      </c>
      <c r="G8064" t="s">
        <v>27247</v>
      </c>
      <c r="H8064" t="s">
        <v>27248</v>
      </c>
      <c r="I8064" t="s">
        <v>42877</v>
      </c>
      <c r="J8064" t="s">
        <v>16025</v>
      </c>
      <c r="L8064" t="s">
        <v>27250</v>
      </c>
      <c r="M8064" t="s">
        <v>27251</v>
      </c>
      <c r="N8064" t="s">
        <v>27252</v>
      </c>
      <c r="Q8064" s="1">
        <v>44538</v>
      </c>
      <c r="R8064" t="s">
        <v>27253</v>
      </c>
      <c r="S8064" t="s">
        <v>27254</v>
      </c>
      <c r="T8064" t="s">
        <v>27269</v>
      </c>
    </row>
    <row r="8065" spans="1:20" x14ac:dyDescent="0.3">
      <c r="A8065" t="str">
        <f>"0611836879100"</f>
        <v>0611836879100</v>
      </c>
      <c r="B8065" t="str">
        <f>"LH8832"</f>
        <v>LH8832</v>
      </c>
      <c r="C8065" t="s">
        <v>42878</v>
      </c>
      <c r="D8065" t="s">
        <v>27245</v>
      </c>
      <c r="E8065" t="str">
        <f t="shared" si="125"/>
        <v>001390</v>
      </c>
      <c r="F8065" t="s">
        <v>27246</v>
      </c>
      <c r="G8065" t="s">
        <v>27247</v>
      </c>
      <c r="H8065" t="s">
        <v>27248</v>
      </c>
      <c r="I8065" t="s">
        <v>42879</v>
      </c>
      <c r="J8065" t="s">
        <v>16027</v>
      </c>
      <c r="L8065" t="s">
        <v>27250</v>
      </c>
      <c r="M8065" t="s">
        <v>27251</v>
      </c>
      <c r="N8065" t="s">
        <v>27252</v>
      </c>
      <c r="Q8065" s="1">
        <v>44538</v>
      </c>
      <c r="R8065" t="s">
        <v>27253</v>
      </c>
      <c r="S8065" t="s">
        <v>27254</v>
      </c>
      <c r="T8065" t="s">
        <v>27255</v>
      </c>
    </row>
    <row r="8066" spans="1:20" x14ac:dyDescent="0.3">
      <c r="A8066" t="str">
        <f>"0611839867100"</f>
        <v>0611839867100</v>
      </c>
      <c r="B8066" t="str">
        <f>"LB5674"</f>
        <v>LB5674</v>
      </c>
      <c r="C8066" t="s">
        <v>42880</v>
      </c>
      <c r="D8066" t="s">
        <v>27245</v>
      </c>
      <c r="E8066" t="str">
        <f t="shared" ref="E8066:E8129" si="126">"001390"</f>
        <v>001390</v>
      </c>
      <c r="F8066" t="s">
        <v>27246</v>
      </c>
      <c r="G8066" t="s">
        <v>27247</v>
      </c>
      <c r="H8066" t="s">
        <v>27248</v>
      </c>
      <c r="I8066" t="s">
        <v>42881</v>
      </c>
      <c r="J8066" t="s">
        <v>16029</v>
      </c>
      <c r="L8066" t="s">
        <v>27250</v>
      </c>
      <c r="M8066" t="s">
        <v>27251</v>
      </c>
      <c r="N8066" t="s">
        <v>27252</v>
      </c>
      <c r="Q8066" s="1">
        <v>44538</v>
      </c>
      <c r="R8066" t="s">
        <v>27253</v>
      </c>
      <c r="S8066" t="s">
        <v>27254</v>
      </c>
      <c r="T8066" t="s">
        <v>27255</v>
      </c>
    </row>
    <row r="8067" spans="1:20" x14ac:dyDescent="0.3">
      <c r="A8067" t="str">
        <f>"0611839868100"</f>
        <v>0611839868100</v>
      </c>
      <c r="B8067" t="str">
        <f>"LK6589"</f>
        <v>LK6589</v>
      </c>
      <c r="C8067" t="s">
        <v>42882</v>
      </c>
      <c r="D8067" t="s">
        <v>27245</v>
      </c>
      <c r="E8067" t="str">
        <f t="shared" si="126"/>
        <v>001390</v>
      </c>
      <c r="F8067" t="s">
        <v>27246</v>
      </c>
      <c r="G8067" t="s">
        <v>27247</v>
      </c>
      <c r="H8067" t="s">
        <v>27248</v>
      </c>
      <c r="I8067" t="s">
        <v>42883</v>
      </c>
      <c r="J8067" t="s">
        <v>16031</v>
      </c>
      <c r="L8067" t="s">
        <v>27250</v>
      </c>
      <c r="M8067" t="s">
        <v>27251</v>
      </c>
      <c r="N8067" t="s">
        <v>27252</v>
      </c>
      <c r="Q8067" s="1">
        <v>44538</v>
      </c>
      <c r="R8067" t="s">
        <v>27253</v>
      </c>
      <c r="S8067" t="s">
        <v>27254</v>
      </c>
      <c r="T8067" t="s">
        <v>27255</v>
      </c>
    </row>
    <row r="8068" spans="1:20" x14ac:dyDescent="0.3">
      <c r="A8068" t="str">
        <f>"0611839869100"</f>
        <v>0611839869100</v>
      </c>
      <c r="B8068" t="str">
        <f>"LK0020"</f>
        <v>LK0020</v>
      </c>
      <c r="C8068" t="s">
        <v>42884</v>
      </c>
      <c r="D8068" t="s">
        <v>27245</v>
      </c>
      <c r="E8068" t="str">
        <f t="shared" si="126"/>
        <v>001390</v>
      </c>
      <c r="F8068" t="s">
        <v>27246</v>
      </c>
      <c r="G8068" t="s">
        <v>27247</v>
      </c>
      <c r="H8068" t="s">
        <v>27248</v>
      </c>
      <c r="I8068" t="s">
        <v>42885</v>
      </c>
      <c r="J8068" t="s">
        <v>16033</v>
      </c>
      <c r="L8068" t="s">
        <v>27250</v>
      </c>
      <c r="M8068" t="s">
        <v>27251</v>
      </c>
      <c r="N8068" t="s">
        <v>27252</v>
      </c>
      <c r="Q8068" s="1">
        <v>44538</v>
      </c>
      <c r="R8068" t="s">
        <v>27253</v>
      </c>
      <c r="S8068" t="s">
        <v>27254</v>
      </c>
      <c r="T8068" t="s">
        <v>27255</v>
      </c>
    </row>
    <row r="8069" spans="1:20" x14ac:dyDescent="0.3">
      <c r="A8069" t="str">
        <f>"0611839870100"</f>
        <v>0611839870100</v>
      </c>
      <c r="B8069" t="str">
        <f>"LB5671"</f>
        <v>LB5671</v>
      </c>
      <c r="C8069" t="s">
        <v>42886</v>
      </c>
      <c r="D8069" t="s">
        <v>27245</v>
      </c>
      <c r="E8069" t="str">
        <f t="shared" si="126"/>
        <v>001390</v>
      </c>
      <c r="F8069" t="s">
        <v>27246</v>
      </c>
      <c r="G8069" t="s">
        <v>27247</v>
      </c>
      <c r="H8069" t="s">
        <v>27248</v>
      </c>
      <c r="I8069" t="s">
        <v>42887</v>
      </c>
      <c r="J8069" t="s">
        <v>16035</v>
      </c>
      <c r="L8069" t="s">
        <v>27250</v>
      </c>
      <c r="M8069" t="s">
        <v>27251</v>
      </c>
      <c r="N8069" t="s">
        <v>27252</v>
      </c>
      <c r="Q8069" s="1">
        <v>44538</v>
      </c>
      <c r="R8069" t="s">
        <v>27253</v>
      </c>
      <c r="S8069" t="s">
        <v>27254</v>
      </c>
      <c r="T8069" t="s">
        <v>27255</v>
      </c>
    </row>
    <row r="8070" spans="1:20" x14ac:dyDescent="0.3">
      <c r="A8070" t="str">
        <f>"0611839871100"</f>
        <v>0611839871100</v>
      </c>
      <c r="B8070" t="str">
        <f>"LK2673"</f>
        <v>LK2673</v>
      </c>
      <c r="C8070" t="s">
        <v>42888</v>
      </c>
      <c r="D8070" t="s">
        <v>27245</v>
      </c>
      <c r="E8070" t="str">
        <f t="shared" si="126"/>
        <v>001390</v>
      </c>
      <c r="F8070" t="s">
        <v>27246</v>
      </c>
      <c r="G8070" t="s">
        <v>27247</v>
      </c>
      <c r="H8070" t="s">
        <v>27248</v>
      </c>
      <c r="I8070" t="s">
        <v>42889</v>
      </c>
      <c r="J8070" t="s">
        <v>16037</v>
      </c>
      <c r="L8070" t="s">
        <v>27250</v>
      </c>
      <c r="M8070" t="s">
        <v>27251</v>
      </c>
      <c r="N8070" t="s">
        <v>27252</v>
      </c>
      <c r="Q8070" s="1">
        <v>44538</v>
      </c>
      <c r="R8070" t="s">
        <v>27253</v>
      </c>
      <c r="S8070" t="s">
        <v>27254</v>
      </c>
      <c r="T8070" t="s">
        <v>27255</v>
      </c>
    </row>
    <row r="8071" spans="1:20" x14ac:dyDescent="0.3">
      <c r="A8071" t="str">
        <f>"0611839872100"</f>
        <v>0611839872100</v>
      </c>
      <c r="B8071" t="str">
        <f>"LK6012"</f>
        <v>LK6012</v>
      </c>
      <c r="C8071" t="s">
        <v>42890</v>
      </c>
      <c r="D8071" t="s">
        <v>27245</v>
      </c>
      <c r="E8071" t="str">
        <f t="shared" si="126"/>
        <v>001390</v>
      </c>
      <c r="F8071" t="s">
        <v>27246</v>
      </c>
      <c r="G8071" t="s">
        <v>27247</v>
      </c>
      <c r="H8071" t="s">
        <v>27248</v>
      </c>
      <c r="I8071" t="s">
        <v>42891</v>
      </c>
      <c r="J8071" t="s">
        <v>16039</v>
      </c>
      <c r="L8071" t="s">
        <v>27250</v>
      </c>
      <c r="M8071" t="s">
        <v>27251</v>
      </c>
      <c r="N8071" t="s">
        <v>27252</v>
      </c>
      <c r="Q8071" s="1">
        <v>44538</v>
      </c>
      <c r="R8071" t="s">
        <v>27253</v>
      </c>
      <c r="S8071" t="s">
        <v>27254</v>
      </c>
      <c r="T8071" t="s">
        <v>27255</v>
      </c>
    </row>
    <row r="8072" spans="1:20" x14ac:dyDescent="0.3">
      <c r="A8072" t="str">
        <f>"0611839873100"</f>
        <v>0611839873100</v>
      </c>
      <c r="B8072" t="str">
        <f>"LB5673"</f>
        <v>LB5673</v>
      </c>
      <c r="C8072" t="s">
        <v>42892</v>
      </c>
      <c r="D8072" t="s">
        <v>27245</v>
      </c>
      <c r="E8072" t="str">
        <f t="shared" si="126"/>
        <v>001390</v>
      </c>
      <c r="F8072" t="s">
        <v>27246</v>
      </c>
      <c r="G8072" t="s">
        <v>27247</v>
      </c>
      <c r="H8072" t="s">
        <v>27248</v>
      </c>
      <c r="I8072" t="s">
        <v>42893</v>
      </c>
      <c r="J8072" t="s">
        <v>16043</v>
      </c>
      <c r="L8072" t="s">
        <v>27250</v>
      </c>
      <c r="M8072" t="s">
        <v>27251</v>
      </c>
      <c r="N8072" t="s">
        <v>27252</v>
      </c>
      <c r="Q8072" s="1">
        <v>44538</v>
      </c>
      <c r="R8072" t="s">
        <v>27253</v>
      </c>
      <c r="S8072" t="s">
        <v>27254</v>
      </c>
      <c r="T8072" t="s">
        <v>27255</v>
      </c>
    </row>
    <row r="8073" spans="1:20" x14ac:dyDescent="0.3">
      <c r="A8073" t="str">
        <f>"0611839874100"</f>
        <v>0611839874100</v>
      </c>
      <c r="B8073" t="str">
        <f>"LK0241"</f>
        <v>LK0241</v>
      </c>
      <c r="C8073" t="s">
        <v>42894</v>
      </c>
      <c r="D8073" t="s">
        <v>27245</v>
      </c>
      <c r="E8073" t="str">
        <f t="shared" si="126"/>
        <v>001390</v>
      </c>
      <c r="F8073" t="s">
        <v>27246</v>
      </c>
      <c r="G8073" t="s">
        <v>27247</v>
      </c>
      <c r="H8073" t="s">
        <v>27248</v>
      </c>
      <c r="I8073" t="s">
        <v>42895</v>
      </c>
      <c r="J8073" t="s">
        <v>16041</v>
      </c>
      <c r="L8073" t="s">
        <v>27250</v>
      </c>
      <c r="M8073" t="s">
        <v>27251</v>
      </c>
      <c r="N8073" t="s">
        <v>27252</v>
      </c>
      <c r="Q8073" s="1">
        <v>44538</v>
      </c>
      <c r="R8073" t="s">
        <v>27253</v>
      </c>
      <c r="S8073" t="s">
        <v>27254</v>
      </c>
      <c r="T8073" t="s">
        <v>27255</v>
      </c>
    </row>
    <row r="8074" spans="1:20" x14ac:dyDescent="0.3">
      <c r="A8074" t="str">
        <f>"0611839875100"</f>
        <v>0611839875100</v>
      </c>
      <c r="B8074" t="str">
        <f>"LL8269"</f>
        <v>LL8269</v>
      </c>
      <c r="C8074" t="s">
        <v>42896</v>
      </c>
      <c r="D8074" t="s">
        <v>27245</v>
      </c>
      <c r="E8074" t="str">
        <f t="shared" si="126"/>
        <v>001390</v>
      </c>
      <c r="F8074" t="s">
        <v>27246</v>
      </c>
      <c r="G8074" t="s">
        <v>27247</v>
      </c>
      <c r="H8074" t="s">
        <v>27248</v>
      </c>
      <c r="I8074" t="s">
        <v>42897</v>
      </c>
      <c r="J8074" t="s">
        <v>16045</v>
      </c>
      <c r="L8074" t="s">
        <v>27250</v>
      </c>
      <c r="M8074" t="s">
        <v>27251</v>
      </c>
      <c r="N8074" t="s">
        <v>27252</v>
      </c>
      <c r="Q8074" s="1">
        <v>44538</v>
      </c>
      <c r="R8074" t="s">
        <v>27253</v>
      </c>
      <c r="S8074" t="s">
        <v>27254</v>
      </c>
      <c r="T8074" t="s">
        <v>27255</v>
      </c>
    </row>
    <row r="8075" spans="1:20" x14ac:dyDescent="0.3">
      <c r="A8075" t="str">
        <f>"0611839876100"</f>
        <v>0611839876100</v>
      </c>
      <c r="B8075" t="str">
        <f>"LC8485"</f>
        <v>LC8485</v>
      </c>
      <c r="C8075" t="s">
        <v>42898</v>
      </c>
      <c r="D8075" t="s">
        <v>27245</v>
      </c>
      <c r="E8075" t="str">
        <f t="shared" si="126"/>
        <v>001390</v>
      </c>
      <c r="F8075" t="s">
        <v>27246</v>
      </c>
      <c r="G8075" t="s">
        <v>27247</v>
      </c>
      <c r="H8075" t="s">
        <v>27248</v>
      </c>
      <c r="I8075" t="s">
        <v>42899</v>
      </c>
      <c r="J8075" t="s">
        <v>16047</v>
      </c>
      <c r="L8075" t="s">
        <v>27250</v>
      </c>
      <c r="M8075" t="s">
        <v>27251</v>
      </c>
      <c r="N8075" t="s">
        <v>27252</v>
      </c>
      <c r="Q8075" s="1">
        <v>44538</v>
      </c>
      <c r="R8075" t="s">
        <v>27253</v>
      </c>
      <c r="S8075" t="s">
        <v>27254</v>
      </c>
      <c r="T8075" t="s">
        <v>27255</v>
      </c>
    </row>
    <row r="8076" spans="1:20" x14ac:dyDescent="0.3">
      <c r="A8076" t="str">
        <f>"0611839878100"</f>
        <v>0611839878100</v>
      </c>
      <c r="B8076" t="str">
        <f>"LB5680"</f>
        <v>LB5680</v>
      </c>
      <c r="C8076" t="s">
        <v>42900</v>
      </c>
      <c r="D8076" t="s">
        <v>27245</v>
      </c>
      <c r="E8076" t="str">
        <f t="shared" si="126"/>
        <v>001390</v>
      </c>
      <c r="F8076" t="s">
        <v>27246</v>
      </c>
      <c r="G8076" t="s">
        <v>27247</v>
      </c>
      <c r="H8076" t="s">
        <v>27248</v>
      </c>
      <c r="I8076" t="s">
        <v>42901</v>
      </c>
      <c r="J8076" t="s">
        <v>16049</v>
      </c>
      <c r="L8076" t="s">
        <v>27250</v>
      </c>
      <c r="M8076" t="s">
        <v>27251</v>
      </c>
      <c r="N8076" t="s">
        <v>27252</v>
      </c>
      <c r="Q8076" s="1">
        <v>44538</v>
      </c>
      <c r="R8076" t="s">
        <v>27253</v>
      </c>
      <c r="S8076" t="s">
        <v>27254</v>
      </c>
      <c r="T8076" t="s">
        <v>27255</v>
      </c>
    </row>
    <row r="8077" spans="1:20" x14ac:dyDescent="0.3">
      <c r="A8077" t="str">
        <f>"0611839879100"</f>
        <v>0611839879100</v>
      </c>
      <c r="B8077" t="str">
        <f>"LK6967"</f>
        <v>LK6967</v>
      </c>
      <c r="C8077" t="s">
        <v>42902</v>
      </c>
      <c r="D8077" t="s">
        <v>27245</v>
      </c>
      <c r="E8077" t="str">
        <f t="shared" si="126"/>
        <v>001390</v>
      </c>
      <c r="F8077" t="s">
        <v>27246</v>
      </c>
      <c r="G8077" t="s">
        <v>27247</v>
      </c>
      <c r="H8077" t="s">
        <v>27248</v>
      </c>
      <c r="I8077" t="s">
        <v>42903</v>
      </c>
      <c r="J8077" t="s">
        <v>16051</v>
      </c>
      <c r="L8077" t="s">
        <v>27250</v>
      </c>
      <c r="M8077" t="s">
        <v>27251</v>
      </c>
      <c r="N8077" t="s">
        <v>27252</v>
      </c>
      <c r="Q8077" s="1">
        <v>44538</v>
      </c>
      <c r="R8077" t="s">
        <v>27253</v>
      </c>
      <c r="S8077" t="s">
        <v>27254</v>
      </c>
      <c r="T8077" t="s">
        <v>27255</v>
      </c>
    </row>
    <row r="8078" spans="1:20" x14ac:dyDescent="0.3">
      <c r="A8078" t="str">
        <f>"0611839880100"</f>
        <v>0611839880100</v>
      </c>
      <c r="B8078" t="str">
        <f>"LB5676"</f>
        <v>LB5676</v>
      </c>
      <c r="C8078" t="s">
        <v>42904</v>
      </c>
      <c r="D8078" t="s">
        <v>27245</v>
      </c>
      <c r="E8078" t="str">
        <f t="shared" si="126"/>
        <v>001390</v>
      </c>
      <c r="F8078" t="s">
        <v>27246</v>
      </c>
      <c r="G8078" t="s">
        <v>27247</v>
      </c>
      <c r="H8078" t="s">
        <v>27248</v>
      </c>
      <c r="I8078" t="s">
        <v>42905</v>
      </c>
      <c r="J8078" t="s">
        <v>16053</v>
      </c>
      <c r="L8078" t="s">
        <v>27250</v>
      </c>
      <c r="M8078" t="s">
        <v>27251</v>
      </c>
      <c r="N8078" t="s">
        <v>27252</v>
      </c>
      <c r="Q8078" s="1">
        <v>44538</v>
      </c>
      <c r="R8078" t="s">
        <v>27253</v>
      </c>
      <c r="S8078" t="s">
        <v>27254</v>
      </c>
      <c r="T8078" t="s">
        <v>27255</v>
      </c>
    </row>
    <row r="8079" spans="1:20" x14ac:dyDescent="0.3">
      <c r="A8079" t="str">
        <f>"0611836884100"</f>
        <v>0611836884100</v>
      </c>
      <c r="B8079" t="str">
        <f>"LC9580"</f>
        <v>LC9580</v>
      </c>
      <c r="C8079" t="s">
        <v>42906</v>
      </c>
      <c r="D8079" t="s">
        <v>27245</v>
      </c>
      <c r="E8079" t="str">
        <f t="shared" si="126"/>
        <v>001390</v>
      </c>
      <c r="F8079" t="s">
        <v>27246</v>
      </c>
      <c r="G8079" t="s">
        <v>27247</v>
      </c>
      <c r="H8079" t="s">
        <v>27248</v>
      </c>
      <c r="I8079" t="s">
        <v>42907</v>
      </c>
      <c r="J8079" t="s">
        <v>16055</v>
      </c>
      <c r="L8079" t="s">
        <v>27250</v>
      </c>
      <c r="M8079" t="s">
        <v>27251</v>
      </c>
      <c r="N8079" t="s">
        <v>27252</v>
      </c>
      <c r="Q8079" s="1">
        <v>44538</v>
      </c>
      <c r="R8079" t="s">
        <v>27253</v>
      </c>
      <c r="S8079" t="s">
        <v>27254</v>
      </c>
      <c r="T8079" t="s">
        <v>27255</v>
      </c>
    </row>
    <row r="8080" spans="1:20" x14ac:dyDescent="0.3">
      <c r="A8080" t="str">
        <f>"0611839881100"</f>
        <v>0611839881100</v>
      </c>
      <c r="B8080" t="str">
        <f>"LB5670"</f>
        <v>LB5670</v>
      </c>
      <c r="C8080" t="s">
        <v>42908</v>
      </c>
      <c r="D8080" t="s">
        <v>27245</v>
      </c>
      <c r="E8080" t="str">
        <f t="shared" si="126"/>
        <v>001390</v>
      </c>
      <c r="F8080" t="s">
        <v>27246</v>
      </c>
      <c r="G8080" t="s">
        <v>27247</v>
      </c>
      <c r="H8080" t="s">
        <v>27248</v>
      </c>
      <c r="I8080" t="s">
        <v>42909</v>
      </c>
      <c r="J8080" t="s">
        <v>16057</v>
      </c>
      <c r="L8080" t="s">
        <v>27250</v>
      </c>
      <c r="M8080" t="s">
        <v>27251</v>
      </c>
      <c r="N8080" t="s">
        <v>27252</v>
      </c>
      <c r="Q8080" s="1">
        <v>44538</v>
      </c>
      <c r="R8080" t="s">
        <v>27253</v>
      </c>
      <c r="S8080" t="s">
        <v>27254</v>
      </c>
      <c r="T8080" t="s">
        <v>27255</v>
      </c>
    </row>
    <row r="8081" spans="1:20" x14ac:dyDescent="0.3">
      <c r="A8081" t="str">
        <f>"0611836885100"</f>
        <v>0611836885100</v>
      </c>
      <c r="B8081" t="str">
        <f>"LF7600"</f>
        <v>LF7600</v>
      </c>
      <c r="C8081" t="s">
        <v>42910</v>
      </c>
      <c r="D8081" t="s">
        <v>27245</v>
      </c>
      <c r="E8081" t="str">
        <f t="shared" si="126"/>
        <v>001390</v>
      </c>
      <c r="F8081" t="s">
        <v>27246</v>
      </c>
      <c r="G8081" t="s">
        <v>27247</v>
      </c>
      <c r="H8081" t="s">
        <v>27248</v>
      </c>
      <c r="I8081" t="s">
        <v>42911</v>
      </c>
      <c r="J8081" t="s">
        <v>16059</v>
      </c>
      <c r="L8081" t="s">
        <v>27250</v>
      </c>
      <c r="M8081" t="s">
        <v>27251</v>
      </c>
      <c r="N8081" t="s">
        <v>27252</v>
      </c>
      <c r="Q8081" s="1">
        <v>44538</v>
      </c>
      <c r="R8081" t="s">
        <v>27253</v>
      </c>
      <c r="S8081" t="s">
        <v>27254</v>
      </c>
      <c r="T8081" t="s">
        <v>27255</v>
      </c>
    </row>
    <row r="8082" spans="1:20" x14ac:dyDescent="0.3">
      <c r="A8082" t="str">
        <f>"0611863300050"</f>
        <v>0611863300050</v>
      </c>
      <c r="B8082" t="str">
        <f>"CR2388"</f>
        <v>CR2388</v>
      </c>
      <c r="C8082" t="s">
        <v>42912</v>
      </c>
      <c r="D8082" t="s">
        <v>27271</v>
      </c>
      <c r="E8082" t="str">
        <f t="shared" si="126"/>
        <v>001390</v>
      </c>
      <c r="F8082" t="s">
        <v>27246</v>
      </c>
      <c r="G8082" t="s">
        <v>27247</v>
      </c>
      <c r="H8082" t="s">
        <v>27248</v>
      </c>
      <c r="I8082" t="s">
        <v>42913</v>
      </c>
      <c r="J8082" t="s">
        <v>16061</v>
      </c>
      <c r="L8082" t="s">
        <v>27250</v>
      </c>
      <c r="M8082" t="s">
        <v>27251</v>
      </c>
      <c r="N8082" t="s">
        <v>27252</v>
      </c>
      <c r="P8082" t="s">
        <v>27341</v>
      </c>
      <c r="Q8082" s="1">
        <v>44846</v>
      </c>
      <c r="R8082" t="s">
        <v>27253</v>
      </c>
      <c r="S8082" t="s">
        <v>27254</v>
      </c>
      <c r="T8082" t="s">
        <v>27265</v>
      </c>
    </row>
    <row r="8083" spans="1:20" x14ac:dyDescent="0.3">
      <c r="A8083" t="str">
        <f>"0611863301050"</f>
        <v>0611863301050</v>
      </c>
      <c r="B8083" t="str">
        <f>"CR2389"</f>
        <v>CR2389</v>
      </c>
      <c r="C8083" t="s">
        <v>42914</v>
      </c>
      <c r="D8083" t="s">
        <v>27271</v>
      </c>
      <c r="E8083" t="str">
        <f t="shared" si="126"/>
        <v>001390</v>
      </c>
      <c r="F8083" t="s">
        <v>27246</v>
      </c>
      <c r="G8083" t="s">
        <v>27247</v>
      </c>
      <c r="H8083" t="s">
        <v>27248</v>
      </c>
      <c r="I8083" t="s">
        <v>42915</v>
      </c>
      <c r="J8083" t="s">
        <v>16063</v>
      </c>
      <c r="L8083" t="s">
        <v>27250</v>
      </c>
      <c r="M8083" t="s">
        <v>27251</v>
      </c>
      <c r="N8083" t="s">
        <v>27252</v>
      </c>
      <c r="P8083" t="s">
        <v>27341</v>
      </c>
      <c r="Q8083" s="1">
        <v>44846</v>
      </c>
      <c r="R8083" t="s">
        <v>27253</v>
      </c>
      <c r="S8083" t="s">
        <v>27254</v>
      </c>
      <c r="T8083" t="s">
        <v>27265</v>
      </c>
    </row>
    <row r="8084" spans="1:20" x14ac:dyDescent="0.3">
      <c r="A8084" t="str">
        <f>"0611863302050"</f>
        <v>0611863302050</v>
      </c>
      <c r="B8084" t="str">
        <f>"CR5061"</f>
        <v>CR5061</v>
      </c>
      <c r="C8084" t="s">
        <v>42916</v>
      </c>
      <c r="D8084" t="s">
        <v>27271</v>
      </c>
      <c r="E8084" t="str">
        <f t="shared" si="126"/>
        <v>001390</v>
      </c>
      <c r="F8084" t="s">
        <v>27246</v>
      </c>
      <c r="G8084" t="s">
        <v>27247</v>
      </c>
      <c r="H8084" t="s">
        <v>27248</v>
      </c>
      <c r="I8084" t="s">
        <v>42917</v>
      </c>
      <c r="J8084" t="s">
        <v>16065</v>
      </c>
      <c r="L8084" t="s">
        <v>27250</v>
      </c>
      <c r="M8084" t="s">
        <v>27251</v>
      </c>
      <c r="N8084" t="s">
        <v>27252</v>
      </c>
      <c r="P8084" t="s">
        <v>27341</v>
      </c>
      <c r="Q8084" s="1">
        <v>44846</v>
      </c>
      <c r="R8084" t="s">
        <v>27253</v>
      </c>
      <c r="S8084" t="s">
        <v>27254</v>
      </c>
      <c r="T8084" t="s">
        <v>27265</v>
      </c>
    </row>
    <row r="8085" spans="1:20" x14ac:dyDescent="0.3">
      <c r="A8085" t="str">
        <f>"0611863303050"</f>
        <v>0611863303050</v>
      </c>
      <c r="B8085" t="str">
        <f>"CR5206"</f>
        <v>CR5206</v>
      </c>
      <c r="C8085" t="s">
        <v>42918</v>
      </c>
      <c r="D8085" t="s">
        <v>27271</v>
      </c>
      <c r="E8085" t="str">
        <f t="shared" si="126"/>
        <v>001390</v>
      </c>
      <c r="F8085" t="s">
        <v>27246</v>
      </c>
      <c r="G8085" t="s">
        <v>27247</v>
      </c>
      <c r="H8085" t="s">
        <v>27248</v>
      </c>
      <c r="I8085" t="s">
        <v>42919</v>
      </c>
      <c r="J8085" t="s">
        <v>16067</v>
      </c>
      <c r="L8085" t="s">
        <v>27250</v>
      </c>
      <c r="M8085" t="s">
        <v>27251</v>
      </c>
      <c r="N8085" t="s">
        <v>27252</v>
      </c>
      <c r="P8085" t="s">
        <v>27341</v>
      </c>
      <c r="Q8085" s="1">
        <v>44846</v>
      </c>
      <c r="R8085" t="s">
        <v>27253</v>
      </c>
      <c r="S8085" t="s">
        <v>27254</v>
      </c>
      <c r="T8085" t="s">
        <v>27265</v>
      </c>
    </row>
    <row r="8086" spans="1:20" x14ac:dyDescent="0.3">
      <c r="A8086" t="str">
        <f>"0611863304050"</f>
        <v>0611863304050</v>
      </c>
      <c r="B8086" t="str">
        <f>"CR5207"</f>
        <v>CR5207</v>
      </c>
      <c r="C8086" t="s">
        <v>42920</v>
      </c>
      <c r="D8086" t="s">
        <v>27271</v>
      </c>
      <c r="E8086" t="str">
        <f t="shared" si="126"/>
        <v>001390</v>
      </c>
      <c r="F8086" t="s">
        <v>27246</v>
      </c>
      <c r="G8086" t="s">
        <v>27247</v>
      </c>
      <c r="H8086" t="s">
        <v>27248</v>
      </c>
      <c r="I8086" t="s">
        <v>42921</v>
      </c>
      <c r="J8086" t="s">
        <v>16069</v>
      </c>
      <c r="L8086" t="s">
        <v>27250</v>
      </c>
      <c r="M8086" t="s">
        <v>27251</v>
      </c>
      <c r="N8086" t="s">
        <v>27252</v>
      </c>
      <c r="P8086" t="s">
        <v>27341</v>
      </c>
      <c r="Q8086" s="1">
        <v>44846</v>
      </c>
      <c r="R8086" t="s">
        <v>27253</v>
      </c>
      <c r="S8086" t="s">
        <v>27254</v>
      </c>
      <c r="T8086" t="s">
        <v>27265</v>
      </c>
    </row>
    <row r="8087" spans="1:20" x14ac:dyDescent="0.3">
      <c r="A8087" t="str">
        <f>"0611863305050"</f>
        <v>0611863305050</v>
      </c>
      <c r="B8087" t="str">
        <f>"CR5208"</f>
        <v>CR5208</v>
      </c>
      <c r="C8087" t="s">
        <v>42922</v>
      </c>
      <c r="D8087" t="s">
        <v>27271</v>
      </c>
      <c r="E8087" t="str">
        <f t="shared" si="126"/>
        <v>001390</v>
      </c>
      <c r="F8087" t="s">
        <v>27246</v>
      </c>
      <c r="G8087" t="s">
        <v>27247</v>
      </c>
      <c r="H8087" t="s">
        <v>27248</v>
      </c>
      <c r="I8087" t="s">
        <v>42923</v>
      </c>
      <c r="J8087" t="s">
        <v>16071</v>
      </c>
      <c r="L8087" t="s">
        <v>27250</v>
      </c>
      <c r="M8087" t="s">
        <v>27251</v>
      </c>
      <c r="N8087" t="s">
        <v>27252</v>
      </c>
      <c r="P8087" t="s">
        <v>27341</v>
      </c>
      <c r="Q8087" s="1">
        <v>44846</v>
      </c>
      <c r="R8087" t="s">
        <v>27253</v>
      </c>
      <c r="S8087" t="s">
        <v>27254</v>
      </c>
      <c r="T8087" t="s">
        <v>27265</v>
      </c>
    </row>
    <row r="8088" spans="1:20" x14ac:dyDescent="0.3">
      <c r="A8088" t="str">
        <f>"0611863306050"</f>
        <v>0611863306050</v>
      </c>
      <c r="B8088" t="str">
        <f>"CR2390"</f>
        <v>CR2390</v>
      </c>
      <c r="C8088" t="s">
        <v>42924</v>
      </c>
      <c r="D8088" t="s">
        <v>27271</v>
      </c>
      <c r="E8088" t="str">
        <f t="shared" si="126"/>
        <v>001390</v>
      </c>
      <c r="F8088" t="s">
        <v>27246</v>
      </c>
      <c r="G8088" t="s">
        <v>27247</v>
      </c>
      <c r="H8088" t="s">
        <v>27248</v>
      </c>
      <c r="I8088" t="s">
        <v>42925</v>
      </c>
      <c r="J8088" t="s">
        <v>16073</v>
      </c>
      <c r="L8088" t="s">
        <v>27250</v>
      </c>
      <c r="M8088" t="s">
        <v>27251</v>
      </c>
      <c r="N8088" t="s">
        <v>27252</v>
      </c>
      <c r="P8088" t="s">
        <v>27341</v>
      </c>
      <c r="Q8088" s="1">
        <v>44846</v>
      </c>
      <c r="R8088" t="s">
        <v>27253</v>
      </c>
      <c r="S8088" t="s">
        <v>27254</v>
      </c>
      <c r="T8088" t="s">
        <v>27265</v>
      </c>
    </row>
    <row r="8089" spans="1:20" x14ac:dyDescent="0.3">
      <c r="A8089" t="str">
        <f>"0611863307050"</f>
        <v>0611863307050</v>
      </c>
      <c r="B8089" t="str">
        <f>"CR2391"</f>
        <v>CR2391</v>
      </c>
      <c r="C8089" t="s">
        <v>42926</v>
      </c>
      <c r="D8089" t="s">
        <v>27271</v>
      </c>
      <c r="E8089" t="str">
        <f t="shared" si="126"/>
        <v>001390</v>
      </c>
      <c r="F8089" t="s">
        <v>27246</v>
      </c>
      <c r="G8089" t="s">
        <v>27247</v>
      </c>
      <c r="H8089" t="s">
        <v>27248</v>
      </c>
      <c r="I8089" t="s">
        <v>42927</v>
      </c>
      <c r="J8089" t="s">
        <v>16075</v>
      </c>
      <c r="L8089" t="s">
        <v>27250</v>
      </c>
      <c r="M8089" t="s">
        <v>27251</v>
      </c>
      <c r="N8089" t="s">
        <v>27252</v>
      </c>
      <c r="P8089" t="s">
        <v>27341</v>
      </c>
      <c r="Q8089" s="1">
        <v>44846</v>
      </c>
      <c r="R8089" t="s">
        <v>27253</v>
      </c>
      <c r="S8089" t="s">
        <v>27254</v>
      </c>
      <c r="T8089" t="s">
        <v>27265</v>
      </c>
    </row>
    <row r="8090" spans="1:20" x14ac:dyDescent="0.3">
      <c r="A8090" t="str">
        <f>"0611863308050"</f>
        <v>0611863308050</v>
      </c>
      <c r="B8090" t="str">
        <f>"CR3995"</f>
        <v>CR3995</v>
      </c>
      <c r="C8090" t="s">
        <v>42928</v>
      </c>
      <c r="D8090" t="s">
        <v>27271</v>
      </c>
      <c r="E8090" t="str">
        <f t="shared" si="126"/>
        <v>001390</v>
      </c>
      <c r="F8090" t="s">
        <v>27246</v>
      </c>
      <c r="G8090" t="s">
        <v>27247</v>
      </c>
      <c r="H8090" t="s">
        <v>27248</v>
      </c>
      <c r="I8090" t="s">
        <v>42929</v>
      </c>
      <c r="J8090" t="s">
        <v>16077</v>
      </c>
      <c r="L8090" t="s">
        <v>27250</v>
      </c>
      <c r="M8090" t="s">
        <v>27251</v>
      </c>
      <c r="N8090" t="s">
        <v>27252</v>
      </c>
      <c r="P8090" t="s">
        <v>27341</v>
      </c>
      <c r="Q8090" s="1">
        <v>44846</v>
      </c>
      <c r="R8090" t="s">
        <v>27253</v>
      </c>
      <c r="S8090" t="s">
        <v>27254</v>
      </c>
      <c r="T8090" t="s">
        <v>27265</v>
      </c>
    </row>
    <row r="8091" spans="1:20" x14ac:dyDescent="0.3">
      <c r="A8091" t="str">
        <f>"0611863309050"</f>
        <v>0611863309050</v>
      </c>
      <c r="B8091" t="str">
        <f>"CR2392"</f>
        <v>CR2392</v>
      </c>
      <c r="C8091" t="s">
        <v>42930</v>
      </c>
      <c r="D8091" t="s">
        <v>27271</v>
      </c>
      <c r="E8091" t="str">
        <f t="shared" si="126"/>
        <v>001390</v>
      </c>
      <c r="F8091" t="s">
        <v>27246</v>
      </c>
      <c r="G8091" t="s">
        <v>27247</v>
      </c>
      <c r="H8091" t="s">
        <v>27248</v>
      </c>
      <c r="I8091" t="s">
        <v>42931</v>
      </c>
      <c r="J8091" t="s">
        <v>16079</v>
      </c>
      <c r="L8091" t="s">
        <v>27250</v>
      </c>
      <c r="M8091" t="s">
        <v>27251</v>
      </c>
      <c r="N8091" t="s">
        <v>27252</v>
      </c>
      <c r="P8091" t="s">
        <v>27341</v>
      </c>
      <c r="Q8091" s="1">
        <v>44846</v>
      </c>
      <c r="R8091" t="s">
        <v>27253</v>
      </c>
      <c r="S8091" t="s">
        <v>27254</v>
      </c>
      <c r="T8091" t="s">
        <v>27265</v>
      </c>
    </row>
    <row r="8092" spans="1:20" x14ac:dyDescent="0.3">
      <c r="A8092" t="str">
        <f>"0611863310050"</f>
        <v>0611863310050</v>
      </c>
      <c r="B8092" t="str">
        <f>"CR2869"</f>
        <v>CR2869</v>
      </c>
      <c r="C8092" t="s">
        <v>42932</v>
      </c>
      <c r="D8092" t="s">
        <v>27271</v>
      </c>
      <c r="E8092" t="str">
        <f t="shared" si="126"/>
        <v>001390</v>
      </c>
      <c r="F8092" t="s">
        <v>27246</v>
      </c>
      <c r="G8092" t="s">
        <v>27247</v>
      </c>
      <c r="H8092" t="s">
        <v>27248</v>
      </c>
      <c r="I8092" t="s">
        <v>42933</v>
      </c>
      <c r="J8092" t="s">
        <v>16081</v>
      </c>
      <c r="L8092" t="s">
        <v>27250</v>
      </c>
      <c r="M8092" t="s">
        <v>27251</v>
      </c>
      <c r="N8092" t="s">
        <v>27252</v>
      </c>
      <c r="P8092" t="s">
        <v>27341</v>
      </c>
      <c r="Q8092" s="1">
        <v>44846</v>
      </c>
      <c r="R8092" t="s">
        <v>27253</v>
      </c>
      <c r="S8092" t="s">
        <v>27254</v>
      </c>
      <c r="T8092" t="s">
        <v>27265</v>
      </c>
    </row>
    <row r="8093" spans="1:20" x14ac:dyDescent="0.3">
      <c r="A8093" t="str">
        <f>"0611863311050"</f>
        <v>0611863311050</v>
      </c>
      <c r="B8093" t="str">
        <f>"CR5209"</f>
        <v>CR5209</v>
      </c>
      <c r="C8093" t="s">
        <v>42934</v>
      </c>
      <c r="D8093" t="s">
        <v>27271</v>
      </c>
      <c r="E8093" t="str">
        <f t="shared" si="126"/>
        <v>001390</v>
      </c>
      <c r="F8093" t="s">
        <v>27246</v>
      </c>
      <c r="G8093" t="s">
        <v>27247</v>
      </c>
      <c r="H8093" t="s">
        <v>27248</v>
      </c>
      <c r="I8093" t="s">
        <v>42935</v>
      </c>
      <c r="J8093" t="s">
        <v>16083</v>
      </c>
      <c r="L8093" t="s">
        <v>27250</v>
      </c>
      <c r="M8093" t="s">
        <v>27251</v>
      </c>
      <c r="N8093" t="s">
        <v>27252</v>
      </c>
      <c r="P8093" t="s">
        <v>27341</v>
      </c>
      <c r="Q8093" s="1">
        <v>44846</v>
      </c>
      <c r="R8093" t="s">
        <v>27253</v>
      </c>
      <c r="S8093" t="s">
        <v>27254</v>
      </c>
      <c r="T8093" t="s">
        <v>27265</v>
      </c>
    </row>
    <row r="8094" spans="1:20" x14ac:dyDescent="0.3">
      <c r="A8094" t="str">
        <f>"0611836886100"</f>
        <v>0611836886100</v>
      </c>
      <c r="B8094" t="str">
        <f>"LK5659"</f>
        <v>LK5659</v>
      </c>
      <c r="C8094" t="s">
        <v>42936</v>
      </c>
      <c r="D8094" t="s">
        <v>27245</v>
      </c>
      <c r="E8094" t="str">
        <f t="shared" si="126"/>
        <v>001390</v>
      </c>
      <c r="F8094" t="s">
        <v>27246</v>
      </c>
      <c r="G8094" t="s">
        <v>27247</v>
      </c>
      <c r="H8094" t="s">
        <v>27248</v>
      </c>
      <c r="I8094" t="s">
        <v>42937</v>
      </c>
      <c r="J8094" t="s">
        <v>16085</v>
      </c>
      <c r="L8094" t="s">
        <v>27250</v>
      </c>
      <c r="M8094" t="s">
        <v>27251</v>
      </c>
      <c r="N8094" t="s">
        <v>27252</v>
      </c>
      <c r="Q8094" s="1">
        <v>44538</v>
      </c>
      <c r="R8094" t="s">
        <v>27253</v>
      </c>
      <c r="S8094" t="s">
        <v>27254</v>
      </c>
      <c r="T8094" t="s">
        <v>27255</v>
      </c>
    </row>
    <row r="8095" spans="1:20" x14ac:dyDescent="0.3">
      <c r="A8095" t="str">
        <f>"0611836887100"</f>
        <v>0611836887100</v>
      </c>
      <c r="B8095" t="str">
        <f>"LK5660"</f>
        <v>LK5660</v>
      </c>
      <c r="C8095" t="s">
        <v>42938</v>
      </c>
      <c r="D8095" t="s">
        <v>27245</v>
      </c>
      <c r="E8095" t="str">
        <f t="shared" si="126"/>
        <v>001390</v>
      </c>
      <c r="F8095" t="s">
        <v>27246</v>
      </c>
      <c r="G8095" t="s">
        <v>27247</v>
      </c>
      <c r="H8095" t="s">
        <v>27248</v>
      </c>
      <c r="I8095" t="s">
        <v>42939</v>
      </c>
      <c r="J8095" t="s">
        <v>16087</v>
      </c>
      <c r="L8095" t="s">
        <v>27250</v>
      </c>
      <c r="M8095" t="s">
        <v>27251</v>
      </c>
      <c r="N8095" t="s">
        <v>27252</v>
      </c>
      <c r="Q8095" s="1">
        <v>44538</v>
      </c>
      <c r="R8095" t="s">
        <v>27253</v>
      </c>
      <c r="S8095" t="s">
        <v>27254</v>
      </c>
      <c r="T8095" t="s">
        <v>27255</v>
      </c>
    </row>
    <row r="8096" spans="1:20" x14ac:dyDescent="0.3">
      <c r="A8096" t="str">
        <f>"0611836888100"</f>
        <v>0611836888100</v>
      </c>
      <c r="B8096" t="str">
        <f>"LK5820"</f>
        <v>LK5820</v>
      </c>
      <c r="C8096" t="s">
        <v>42940</v>
      </c>
      <c r="D8096" t="s">
        <v>27245</v>
      </c>
      <c r="E8096" t="str">
        <f t="shared" si="126"/>
        <v>001390</v>
      </c>
      <c r="F8096" t="s">
        <v>27246</v>
      </c>
      <c r="G8096" t="s">
        <v>27247</v>
      </c>
      <c r="H8096" t="s">
        <v>27248</v>
      </c>
      <c r="I8096" t="s">
        <v>42941</v>
      </c>
      <c r="J8096" t="s">
        <v>16091</v>
      </c>
      <c r="L8096" t="s">
        <v>27250</v>
      </c>
      <c r="M8096" t="s">
        <v>27251</v>
      </c>
      <c r="N8096" t="s">
        <v>27252</v>
      </c>
      <c r="Q8096" s="1">
        <v>44538</v>
      </c>
      <c r="R8096" t="s">
        <v>27253</v>
      </c>
      <c r="S8096" t="s">
        <v>27254</v>
      </c>
      <c r="T8096" t="s">
        <v>27255</v>
      </c>
    </row>
    <row r="8097" spans="1:20" x14ac:dyDescent="0.3">
      <c r="A8097" t="str">
        <f>"0611857036100"</f>
        <v>0611857036100</v>
      </c>
      <c r="B8097" t="str">
        <f>"LQ3873"</f>
        <v>LQ3873</v>
      </c>
      <c r="C8097" t="s">
        <v>42942</v>
      </c>
      <c r="D8097" t="s">
        <v>27245</v>
      </c>
      <c r="E8097" t="str">
        <f t="shared" si="126"/>
        <v>001390</v>
      </c>
      <c r="F8097" t="s">
        <v>27246</v>
      </c>
      <c r="G8097" t="s">
        <v>27247</v>
      </c>
      <c r="H8097" t="s">
        <v>27248</v>
      </c>
      <c r="I8097" t="s">
        <v>42943</v>
      </c>
      <c r="J8097" t="s">
        <v>16093</v>
      </c>
      <c r="L8097" t="s">
        <v>27250</v>
      </c>
      <c r="M8097" t="s">
        <v>27251</v>
      </c>
      <c r="N8097" t="s">
        <v>27252</v>
      </c>
      <c r="Q8097" s="1">
        <v>44812</v>
      </c>
      <c r="R8097" t="s">
        <v>27253</v>
      </c>
      <c r="S8097" t="s">
        <v>27254</v>
      </c>
      <c r="T8097" t="s">
        <v>27255</v>
      </c>
    </row>
    <row r="8098" spans="1:20" x14ac:dyDescent="0.3">
      <c r="A8098" t="str">
        <f>"0611836889100"</f>
        <v>0611836889100</v>
      </c>
      <c r="B8098" t="str">
        <f>"LK5661"</f>
        <v>LK5661</v>
      </c>
      <c r="C8098" t="s">
        <v>42944</v>
      </c>
      <c r="D8098" t="s">
        <v>27245</v>
      </c>
      <c r="E8098" t="str">
        <f t="shared" si="126"/>
        <v>001390</v>
      </c>
      <c r="F8098" t="s">
        <v>27246</v>
      </c>
      <c r="G8098" t="s">
        <v>27247</v>
      </c>
      <c r="H8098" t="s">
        <v>27248</v>
      </c>
      <c r="I8098" t="s">
        <v>42945</v>
      </c>
      <c r="J8098" t="s">
        <v>16089</v>
      </c>
      <c r="L8098" t="s">
        <v>27250</v>
      </c>
      <c r="M8098" t="s">
        <v>27251</v>
      </c>
      <c r="N8098" t="s">
        <v>27252</v>
      </c>
      <c r="Q8098" s="1">
        <v>44538</v>
      </c>
      <c r="R8098" t="s">
        <v>27253</v>
      </c>
      <c r="S8098" t="s">
        <v>27254</v>
      </c>
      <c r="T8098" t="s">
        <v>27255</v>
      </c>
    </row>
    <row r="8099" spans="1:20" x14ac:dyDescent="0.3">
      <c r="A8099" t="str">
        <f>"0611863312050"</f>
        <v>0611863312050</v>
      </c>
      <c r="B8099" t="str">
        <f>"CR4828"</f>
        <v>CR4828</v>
      </c>
      <c r="C8099" t="s">
        <v>42946</v>
      </c>
      <c r="D8099" t="s">
        <v>27263</v>
      </c>
      <c r="E8099" t="str">
        <f t="shared" si="126"/>
        <v>001390</v>
      </c>
      <c r="F8099" t="s">
        <v>27246</v>
      </c>
      <c r="G8099" t="s">
        <v>27247</v>
      </c>
      <c r="H8099" t="s">
        <v>27248</v>
      </c>
      <c r="I8099" t="s">
        <v>42947</v>
      </c>
      <c r="J8099" t="s">
        <v>16095</v>
      </c>
      <c r="L8099" t="s">
        <v>27250</v>
      </c>
      <c r="M8099" t="s">
        <v>27251</v>
      </c>
      <c r="N8099" t="s">
        <v>27252</v>
      </c>
      <c r="Q8099" s="1">
        <v>44846</v>
      </c>
      <c r="R8099" t="s">
        <v>27253</v>
      </c>
      <c r="S8099" t="s">
        <v>27254</v>
      </c>
      <c r="T8099" t="s">
        <v>27265</v>
      </c>
    </row>
    <row r="8100" spans="1:20" x14ac:dyDescent="0.3">
      <c r="A8100" t="str">
        <f>"0611836891100"</f>
        <v>0611836891100</v>
      </c>
      <c r="B8100" t="str">
        <f>"LK2601"</f>
        <v>LK2601</v>
      </c>
      <c r="C8100" t="s">
        <v>42948</v>
      </c>
      <c r="D8100" t="s">
        <v>27245</v>
      </c>
      <c r="E8100" t="str">
        <f t="shared" si="126"/>
        <v>001390</v>
      </c>
      <c r="F8100" t="s">
        <v>27246</v>
      </c>
      <c r="G8100" t="s">
        <v>27247</v>
      </c>
      <c r="H8100" t="s">
        <v>27248</v>
      </c>
      <c r="I8100" t="s">
        <v>42949</v>
      </c>
      <c r="J8100" t="s">
        <v>16097</v>
      </c>
      <c r="L8100" t="s">
        <v>27250</v>
      </c>
      <c r="M8100" t="s">
        <v>27251</v>
      </c>
      <c r="N8100" t="s">
        <v>27252</v>
      </c>
      <c r="Q8100" s="1">
        <v>44538</v>
      </c>
      <c r="R8100" t="s">
        <v>27253</v>
      </c>
      <c r="S8100" t="s">
        <v>27254</v>
      </c>
      <c r="T8100" t="s">
        <v>27255</v>
      </c>
    </row>
    <row r="8101" spans="1:20" x14ac:dyDescent="0.3">
      <c r="A8101" t="str">
        <f>"0611863313050"</f>
        <v>0611863313050</v>
      </c>
      <c r="B8101" t="str">
        <f>"CR4829"</f>
        <v>CR4829</v>
      </c>
      <c r="C8101" t="s">
        <v>42950</v>
      </c>
      <c r="D8101" t="s">
        <v>27263</v>
      </c>
      <c r="E8101" t="str">
        <f t="shared" si="126"/>
        <v>001390</v>
      </c>
      <c r="F8101" t="s">
        <v>27246</v>
      </c>
      <c r="G8101" t="s">
        <v>27247</v>
      </c>
      <c r="H8101" t="s">
        <v>27248</v>
      </c>
      <c r="I8101" t="s">
        <v>42951</v>
      </c>
      <c r="J8101" t="s">
        <v>16099</v>
      </c>
      <c r="L8101" t="s">
        <v>27250</v>
      </c>
      <c r="M8101" t="s">
        <v>27251</v>
      </c>
      <c r="N8101" t="s">
        <v>27252</v>
      </c>
      <c r="Q8101" s="1">
        <v>44846</v>
      </c>
      <c r="R8101" t="s">
        <v>27253</v>
      </c>
      <c r="S8101" t="s">
        <v>27254</v>
      </c>
      <c r="T8101" t="s">
        <v>27265</v>
      </c>
    </row>
    <row r="8102" spans="1:20" x14ac:dyDescent="0.3">
      <c r="A8102" t="str">
        <f>"0611863314050"</f>
        <v>0611863314050</v>
      </c>
      <c r="B8102" t="str">
        <f>"CR4830"</f>
        <v>CR4830</v>
      </c>
      <c r="C8102" t="s">
        <v>42952</v>
      </c>
      <c r="D8102" t="s">
        <v>27263</v>
      </c>
      <c r="E8102" t="str">
        <f t="shared" si="126"/>
        <v>001390</v>
      </c>
      <c r="F8102" t="s">
        <v>27246</v>
      </c>
      <c r="G8102" t="s">
        <v>27247</v>
      </c>
      <c r="H8102" t="s">
        <v>27248</v>
      </c>
      <c r="I8102" t="s">
        <v>42953</v>
      </c>
      <c r="J8102" t="s">
        <v>16101</v>
      </c>
      <c r="L8102" t="s">
        <v>27250</v>
      </c>
      <c r="M8102" t="s">
        <v>27251</v>
      </c>
      <c r="N8102" t="s">
        <v>27252</v>
      </c>
      <c r="Q8102" s="1">
        <v>44846</v>
      </c>
      <c r="R8102" t="s">
        <v>27253</v>
      </c>
      <c r="S8102" t="s">
        <v>27254</v>
      </c>
      <c r="T8102" t="s">
        <v>27265</v>
      </c>
    </row>
    <row r="8103" spans="1:20" x14ac:dyDescent="0.3">
      <c r="A8103" t="str">
        <f>"0611836892100"</f>
        <v>0611836892100</v>
      </c>
      <c r="B8103" t="str">
        <f>"LQ3758"</f>
        <v>LQ3758</v>
      </c>
      <c r="C8103" t="s">
        <v>42954</v>
      </c>
      <c r="D8103" t="s">
        <v>27552</v>
      </c>
      <c r="E8103" t="str">
        <f t="shared" si="126"/>
        <v>001390</v>
      </c>
      <c r="F8103" t="s">
        <v>27246</v>
      </c>
      <c r="G8103" t="s">
        <v>27247</v>
      </c>
      <c r="H8103" t="s">
        <v>27248</v>
      </c>
      <c r="I8103" t="s">
        <v>42955</v>
      </c>
      <c r="J8103" t="s">
        <v>16103</v>
      </c>
      <c r="L8103" t="s">
        <v>27250</v>
      </c>
      <c r="M8103" t="s">
        <v>27251</v>
      </c>
      <c r="N8103" t="s">
        <v>27252</v>
      </c>
      <c r="P8103" t="s">
        <v>27341</v>
      </c>
      <c r="Q8103" s="1">
        <v>44538</v>
      </c>
      <c r="R8103" t="s">
        <v>27253</v>
      </c>
      <c r="S8103" t="s">
        <v>27254</v>
      </c>
      <c r="T8103" t="s">
        <v>27255</v>
      </c>
    </row>
    <row r="8104" spans="1:20" x14ac:dyDescent="0.3">
      <c r="A8104" t="str">
        <f>"0611857037100"</f>
        <v>0611857037100</v>
      </c>
      <c r="B8104" t="str">
        <f>"LQ3874"</f>
        <v>LQ3874</v>
      </c>
      <c r="C8104" t="s">
        <v>42956</v>
      </c>
      <c r="D8104" t="s">
        <v>27245</v>
      </c>
      <c r="E8104" t="str">
        <f t="shared" si="126"/>
        <v>001390</v>
      </c>
      <c r="F8104" t="s">
        <v>27246</v>
      </c>
      <c r="G8104" t="s">
        <v>27247</v>
      </c>
      <c r="H8104" t="s">
        <v>27248</v>
      </c>
      <c r="I8104" t="s">
        <v>42957</v>
      </c>
      <c r="J8104" t="s">
        <v>16105</v>
      </c>
      <c r="L8104" t="s">
        <v>27250</v>
      </c>
      <c r="M8104" t="s">
        <v>27251</v>
      </c>
      <c r="N8104" t="s">
        <v>27252</v>
      </c>
      <c r="Q8104" s="1">
        <v>44812</v>
      </c>
      <c r="R8104" t="s">
        <v>27253</v>
      </c>
      <c r="S8104" t="s">
        <v>27254</v>
      </c>
      <c r="T8104" t="s">
        <v>27255</v>
      </c>
    </row>
    <row r="8105" spans="1:20" x14ac:dyDescent="0.3">
      <c r="A8105" t="str">
        <f>"0611836893100"</f>
        <v>0611836893100</v>
      </c>
      <c r="B8105" t="str">
        <f>"LB5757"</f>
        <v>LB5757</v>
      </c>
      <c r="C8105" t="s">
        <v>42958</v>
      </c>
      <c r="D8105" t="s">
        <v>27245</v>
      </c>
      <c r="E8105" t="str">
        <f t="shared" si="126"/>
        <v>001390</v>
      </c>
      <c r="F8105" t="s">
        <v>27246</v>
      </c>
      <c r="G8105" t="s">
        <v>27247</v>
      </c>
      <c r="H8105" t="s">
        <v>27248</v>
      </c>
      <c r="I8105" t="s">
        <v>42959</v>
      </c>
      <c r="J8105" t="s">
        <v>16107</v>
      </c>
      <c r="L8105" t="s">
        <v>27250</v>
      </c>
      <c r="M8105" t="s">
        <v>27251</v>
      </c>
      <c r="N8105" t="s">
        <v>27252</v>
      </c>
      <c r="Q8105" s="1">
        <v>44538</v>
      </c>
      <c r="R8105" t="s">
        <v>27253</v>
      </c>
      <c r="S8105" t="s">
        <v>27254</v>
      </c>
      <c r="T8105" t="s">
        <v>27255</v>
      </c>
    </row>
    <row r="8106" spans="1:20" x14ac:dyDescent="0.3">
      <c r="A8106" t="str">
        <f>"0611836894100"</f>
        <v>0611836894100</v>
      </c>
      <c r="B8106" t="str">
        <f>"LQ0850"</f>
        <v>LQ0850</v>
      </c>
      <c r="C8106" t="s">
        <v>42960</v>
      </c>
      <c r="D8106" t="s">
        <v>27245</v>
      </c>
      <c r="E8106" t="str">
        <f t="shared" si="126"/>
        <v>001390</v>
      </c>
      <c r="F8106" t="s">
        <v>27246</v>
      </c>
      <c r="G8106" t="s">
        <v>27247</v>
      </c>
      <c r="H8106" t="s">
        <v>27248</v>
      </c>
      <c r="I8106" t="s">
        <v>42961</v>
      </c>
      <c r="J8106" t="s">
        <v>16111</v>
      </c>
      <c r="L8106" t="s">
        <v>27250</v>
      </c>
      <c r="M8106" t="s">
        <v>27251</v>
      </c>
      <c r="N8106" t="s">
        <v>27252</v>
      </c>
      <c r="Q8106" s="1">
        <v>44538</v>
      </c>
      <c r="R8106" t="s">
        <v>27253</v>
      </c>
      <c r="S8106" t="s">
        <v>27254</v>
      </c>
      <c r="T8106" t="s">
        <v>27255</v>
      </c>
    </row>
    <row r="8107" spans="1:20" x14ac:dyDescent="0.3">
      <c r="A8107" t="str">
        <f>"0611836896100"</f>
        <v>0611836896100</v>
      </c>
      <c r="B8107" t="str">
        <f>"LK6755"</f>
        <v>LK6755</v>
      </c>
      <c r="C8107" t="s">
        <v>42962</v>
      </c>
      <c r="D8107" t="s">
        <v>27245</v>
      </c>
      <c r="E8107" t="str">
        <f t="shared" si="126"/>
        <v>001390</v>
      </c>
      <c r="F8107" t="s">
        <v>27246</v>
      </c>
      <c r="G8107" t="s">
        <v>27247</v>
      </c>
      <c r="H8107" t="s">
        <v>27248</v>
      </c>
      <c r="I8107" t="s">
        <v>42963</v>
      </c>
      <c r="J8107" t="s">
        <v>16115</v>
      </c>
      <c r="L8107" t="s">
        <v>27250</v>
      </c>
      <c r="M8107" t="s">
        <v>27251</v>
      </c>
      <c r="N8107" t="s">
        <v>27252</v>
      </c>
      <c r="Q8107" s="1">
        <v>44538</v>
      </c>
      <c r="R8107" t="s">
        <v>27253</v>
      </c>
      <c r="S8107" t="s">
        <v>27254</v>
      </c>
      <c r="T8107" t="s">
        <v>27255</v>
      </c>
    </row>
    <row r="8108" spans="1:20" x14ac:dyDescent="0.3">
      <c r="A8108" t="str">
        <f>"0611836897025"</f>
        <v>0611836897025</v>
      </c>
      <c r="B8108" t="str">
        <f>"MC1436"</f>
        <v>MC1436</v>
      </c>
      <c r="C8108" t="s">
        <v>42964</v>
      </c>
      <c r="D8108" t="s">
        <v>27267</v>
      </c>
      <c r="E8108" t="str">
        <f t="shared" si="126"/>
        <v>001390</v>
      </c>
      <c r="F8108" t="s">
        <v>27246</v>
      </c>
      <c r="G8108" t="s">
        <v>27247</v>
      </c>
      <c r="H8108" t="s">
        <v>27248</v>
      </c>
      <c r="I8108" t="s">
        <v>42965</v>
      </c>
      <c r="J8108" t="s">
        <v>16109</v>
      </c>
      <c r="L8108" t="s">
        <v>27250</v>
      </c>
      <c r="M8108" t="s">
        <v>27251</v>
      </c>
      <c r="N8108" t="s">
        <v>27252</v>
      </c>
      <c r="Q8108" s="1">
        <v>44538</v>
      </c>
      <c r="R8108" t="s">
        <v>27253</v>
      </c>
      <c r="S8108" t="s">
        <v>27254</v>
      </c>
      <c r="T8108" t="s">
        <v>27269</v>
      </c>
    </row>
    <row r="8109" spans="1:20" x14ac:dyDescent="0.3">
      <c r="A8109" t="str">
        <f>"0611836898100"</f>
        <v>0611836898100</v>
      </c>
      <c r="B8109" t="str">
        <f>"LK6834"</f>
        <v>LK6834</v>
      </c>
      <c r="C8109" t="s">
        <v>42966</v>
      </c>
      <c r="D8109" t="s">
        <v>27245</v>
      </c>
      <c r="E8109" t="str">
        <f t="shared" si="126"/>
        <v>001390</v>
      </c>
      <c r="F8109" t="s">
        <v>27246</v>
      </c>
      <c r="G8109" t="s">
        <v>27247</v>
      </c>
      <c r="H8109" t="s">
        <v>27248</v>
      </c>
      <c r="I8109" t="s">
        <v>42967</v>
      </c>
      <c r="J8109" t="s">
        <v>16113</v>
      </c>
      <c r="L8109" t="s">
        <v>27250</v>
      </c>
      <c r="M8109" t="s">
        <v>27251</v>
      </c>
      <c r="N8109" t="s">
        <v>27252</v>
      </c>
      <c r="Q8109" s="1">
        <v>44538</v>
      </c>
      <c r="R8109" t="s">
        <v>27253</v>
      </c>
      <c r="S8109" t="s">
        <v>27254</v>
      </c>
      <c r="T8109" t="s">
        <v>27255</v>
      </c>
    </row>
    <row r="8110" spans="1:20" x14ac:dyDescent="0.3">
      <c r="A8110" t="str">
        <f>"0611836900100"</f>
        <v>0611836900100</v>
      </c>
      <c r="B8110" t="str">
        <f>"LQ6071"</f>
        <v>LQ6071</v>
      </c>
      <c r="C8110" t="s">
        <v>42968</v>
      </c>
      <c r="D8110" t="s">
        <v>27245</v>
      </c>
      <c r="E8110" t="str">
        <f t="shared" si="126"/>
        <v>001390</v>
      </c>
      <c r="F8110" t="s">
        <v>27246</v>
      </c>
      <c r="G8110" t="s">
        <v>27247</v>
      </c>
      <c r="H8110" t="s">
        <v>27248</v>
      </c>
      <c r="I8110" t="s">
        <v>42969</v>
      </c>
      <c r="J8110" t="s">
        <v>16117</v>
      </c>
      <c r="L8110" t="s">
        <v>27250</v>
      </c>
      <c r="M8110" t="s">
        <v>27251</v>
      </c>
      <c r="N8110" t="s">
        <v>27252</v>
      </c>
      <c r="Q8110" s="1">
        <v>44538</v>
      </c>
      <c r="R8110" t="s">
        <v>27253</v>
      </c>
      <c r="S8110" t="s">
        <v>27254</v>
      </c>
      <c r="T8110" t="s">
        <v>27255</v>
      </c>
    </row>
    <row r="8111" spans="1:20" x14ac:dyDescent="0.3">
      <c r="A8111" t="str">
        <f>"0611836901100"</f>
        <v>0611836901100</v>
      </c>
      <c r="B8111" t="str">
        <f>"LQ6201"</f>
        <v>LQ6201</v>
      </c>
      <c r="C8111" t="s">
        <v>42970</v>
      </c>
      <c r="D8111" t="s">
        <v>27245</v>
      </c>
      <c r="E8111" t="str">
        <f t="shared" si="126"/>
        <v>001390</v>
      </c>
      <c r="F8111" t="s">
        <v>27246</v>
      </c>
      <c r="G8111" t="s">
        <v>27247</v>
      </c>
      <c r="H8111" t="s">
        <v>27248</v>
      </c>
      <c r="I8111" t="s">
        <v>42971</v>
      </c>
      <c r="J8111" t="s">
        <v>16119</v>
      </c>
      <c r="L8111" t="s">
        <v>27250</v>
      </c>
      <c r="M8111" t="s">
        <v>27251</v>
      </c>
      <c r="N8111" t="s">
        <v>27252</v>
      </c>
      <c r="Q8111" s="1">
        <v>44538</v>
      </c>
      <c r="R8111" t="s">
        <v>27253</v>
      </c>
      <c r="S8111" t="s">
        <v>27254</v>
      </c>
      <c r="T8111" t="s">
        <v>27255</v>
      </c>
    </row>
    <row r="8112" spans="1:20" x14ac:dyDescent="0.3">
      <c r="A8112" t="str">
        <f>"0611836902100"</f>
        <v>0611836902100</v>
      </c>
      <c r="B8112" t="str">
        <f>"LQ6025"</f>
        <v>LQ6025</v>
      </c>
      <c r="C8112" t="s">
        <v>42972</v>
      </c>
      <c r="D8112" t="s">
        <v>27245</v>
      </c>
      <c r="E8112" t="str">
        <f t="shared" si="126"/>
        <v>001390</v>
      </c>
      <c r="F8112" t="s">
        <v>27246</v>
      </c>
      <c r="G8112" t="s">
        <v>27247</v>
      </c>
      <c r="H8112" t="s">
        <v>27248</v>
      </c>
      <c r="I8112" t="s">
        <v>42973</v>
      </c>
      <c r="J8112" t="s">
        <v>16121</v>
      </c>
      <c r="L8112" t="s">
        <v>27250</v>
      </c>
      <c r="M8112" t="s">
        <v>27251</v>
      </c>
      <c r="N8112" t="s">
        <v>27252</v>
      </c>
      <c r="Q8112" s="1">
        <v>44538</v>
      </c>
      <c r="R8112" t="s">
        <v>27253</v>
      </c>
      <c r="S8112" t="s">
        <v>27254</v>
      </c>
      <c r="T8112" t="s">
        <v>27255</v>
      </c>
    </row>
    <row r="8113" spans="1:20" x14ac:dyDescent="0.3">
      <c r="A8113" t="str">
        <f>"0611836903100"</f>
        <v>0611836903100</v>
      </c>
      <c r="B8113" t="str">
        <f>"LQ5527"</f>
        <v>LQ5527</v>
      </c>
      <c r="C8113" t="s">
        <v>42974</v>
      </c>
      <c r="D8113" t="s">
        <v>27245</v>
      </c>
      <c r="E8113" t="str">
        <f t="shared" si="126"/>
        <v>001390</v>
      </c>
      <c r="F8113" t="s">
        <v>27246</v>
      </c>
      <c r="G8113" t="s">
        <v>27247</v>
      </c>
      <c r="H8113" t="s">
        <v>27248</v>
      </c>
      <c r="I8113" t="s">
        <v>42975</v>
      </c>
      <c r="J8113" t="s">
        <v>16123</v>
      </c>
      <c r="L8113" t="s">
        <v>27250</v>
      </c>
      <c r="M8113" t="s">
        <v>27251</v>
      </c>
      <c r="N8113" t="s">
        <v>27252</v>
      </c>
      <c r="Q8113" s="1">
        <v>44538</v>
      </c>
      <c r="R8113" t="s">
        <v>27253</v>
      </c>
      <c r="S8113" t="s">
        <v>27254</v>
      </c>
      <c r="T8113" t="s">
        <v>27255</v>
      </c>
    </row>
    <row r="8114" spans="1:20" x14ac:dyDescent="0.3">
      <c r="A8114" t="str">
        <f>"0611836904100"</f>
        <v>0611836904100</v>
      </c>
      <c r="B8114" t="str">
        <f>"LQ0958"</f>
        <v>LQ0958</v>
      </c>
      <c r="C8114" t="s">
        <v>42976</v>
      </c>
      <c r="D8114" t="s">
        <v>27245</v>
      </c>
      <c r="E8114" t="str">
        <f t="shared" si="126"/>
        <v>001390</v>
      </c>
      <c r="F8114" t="s">
        <v>27246</v>
      </c>
      <c r="G8114" t="s">
        <v>27247</v>
      </c>
      <c r="H8114" t="s">
        <v>27248</v>
      </c>
      <c r="I8114" t="s">
        <v>42977</v>
      </c>
      <c r="J8114" t="s">
        <v>16125</v>
      </c>
      <c r="L8114" t="s">
        <v>27250</v>
      </c>
      <c r="M8114" t="s">
        <v>27251</v>
      </c>
      <c r="N8114" t="s">
        <v>27252</v>
      </c>
      <c r="Q8114" s="1">
        <v>44538</v>
      </c>
      <c r="R8114" t="s">
        <v>27253</v>
      </c>
      <c r="S8114" t="s">
        <v>27254</v>
      </c>
      <c r="T8114" t="s">
        <v>27255</v>
      </c>
    </row>
    <row r="8115" spans="1:20" x14ac:dyDescent="0.3">
      <c r="A8115" t="str">
        <f>"0611857038100"</f>
        <v>0611857038100</v>
      </c>
      <c r="B8115" t="str">
        <f>"LQ6252"</f>
        <v>LQ6252</v>
      </c>
      <c r="C8115" t="s">
        <v>42978</v>
      </c>
      <c r="D8115" t="s">
        <v>27245</v>
      </c>
      <c r="E8115" t="str">
        <f t="shared" si="126"/>
        <v>001390</v>
      </c>
      <c r="F8115" t="s">
        <v>27246</v>
      </c>
      <c r="G8115" t="s">
        <v>27247</v>
      </c>
      <c r="H8115" t="s">
        <v>27248</v>
      </c>
      <c r="I8115" t="s">
        <v>42979</v>
      </c>
      <c r="J8115" t="s">
        <v>16127</v>
      </c>
      <c r="L8115" t="s">
        <v>27250</v>
      </c>
      <c r="M8115" t="s">
        <v>27251</v>
      </c>
      <c r="N8115" t="s">
        <v>27252</v>
      </c>
      <c r="Q8115" s="1">
        <v>44812</v>
      </c>
      <c r="R8115" t="s">
        <v>27253</v>
      </c>
      <c r="S8115" t="s">
        <v>27254</v>
      </c>
      <c r="T8115" t="s">
        <v>27255</v>
      </c>
    </row>
    <row r="8116" spans="1:20" x14ac:dyDescent="0.3">
      <c r="A8116" t="str">
        <f>"0611836906100"</f>
        <v>0611836906100</v>
      </c>
      <c r="B8116" t="str">
        <f>"LQ5964"</f>
        <v>LQ5964</v>
      </c>
      <c r="C8116" t="s">
        <v>42980</v>
      </c>
      <c r="D8116" t="s">
        <v>27245</v>
      </c>
      <c r="E8116" t="str">
        <f t="shared" si="126"/>
        <v>001390</v>
      </c>
      <c r="F8116" t="s">
        <v>27246</v>
      </c>
      <c r="G8116" t="s">
        <v>27247</v>
      </c>
      <c r="H8116" t="s">
        <v>27248</v>
      </c>
      <c r="I8116" t="s">
        <v>42981</v>
      </c>
      <c r="J8116" t="s">
        <v>16129</v>
      </c>
      <c r="L8116" t="s">
        <v>27250</v>
      </c>
      <c r="M8116" t="s">
        <v>27251</v>
      </c>
      <c r="N8116" t="s">
        <v>27252</v>
      </c>
      <c r="Q8116" s="1">
        <v>44538</v>
      </c>
      <c r="R8116" t="s">
        <v>27253</v>
      </c>
      <c r="S8116" t="s">
        <v>27254</v>
      </c>
      <c r="T8116" t="s">
        <v>27255</v>
      </c>
    </row>
    <row r="8117" spans="1:20" x14ac:dyDescent="0.3">
      <c r="A8117" t="str">
        <f>"0611836907100"</f>
        <v>0611836907100</v>
      </c>
      <c r="B8117" t="str">
        <f>"LQ6026"</f>
        <v>LQ6026</v>
      </c>
      <c r="C8117" t="s">
        <v>42982</v>
      </c>
      <c r="D8117" t="s">
        <v>27245</v>
      </c>
      <c r="E8117" t="str">
        <f t="shared" si="126"/>
        <v>001390</v>
      </c>
      <c r="F8117" t="s">
        <v>27246</v>
      </c>
      <c r="G8117" t="s">
        <v>27247</v>
      </c>
      <c r="H8117" t="s">
        <v>27248</v>
      </c>
      <c r="I8117" t="s">
        <v>42983</v>
      </c>
      <c r="J8117" t="s">
        <v>16131</v>
      </c>
      <c r="L8117" t="s">
        <v>27250</v>
      </c>
      <c r="M8117" t="s">
        <v>27251</v>
      </c>
      <c r="N8117" t="s">
        <v>27252</v>
      </c>
      <c r="Q8117" s="1">
        <v>44538</v>
      </c>
      <c r="R8117" t="s">
        <v>27253</v>
      </c>
      <c r="S8117" t="s">
        <v>27254</v>
      </c>
      <c r="T8117" t="s">
        <v>27255</v>
      </c>
    </row>
    <row r="8118" spans="1:20" x14ac:dyDescent="0.3">
      <c r="A8118" t="str">
        <f>"0611836908100"</f>
        <v>0611836908100</v>
      </c>
      <c r="B8118" t="str">
        <f>"LQ5965"</f>
        <v>LQ5965</v>
      </c>
      <c r="C8118" t="s">
        <v>42984</v>
      </c>
      <c r="D8118" t="s">
        <v>27245</v>
      </c>
      <c r="E8118" t="str">
        <f t="shared" si="126"/>
        <v>001390</v>
      </c>
      <c r="F8118" t="s">
        <v>27246</v>
      </c>
      <c r="G8118" t="s">
        <v>27247</v>
      </c>
      <c r="H8118" t="s">
        <v>27248</v>
      </c>
      <c r="I8118" t="s">
        <v>42985</v>
      </c>
      <c r="J8118" t="s">
        <v>16133</v>
      </c>
      <c r="L8118" t="s">
        <v>27250</v>
      </c>
      <c r="M8118" t="s">
        <v>27251</v>
      </c>
      <c r="N8118" t="s">
        <v>27252</v>
      </c>
      <c r="Q8118" s="1">
        <v>44538</v>
      </c>
      <c r="R8118" t="s">
        <v>27253</v>
      </c>
      <c r="S8118" t="s">
        <v>27254</v>
      </c>
      <c r="T8118" t="s">
        <v>27255</v>
      </c>
    </row>
    <row r="8119" spans="1:20" x14ac:dyDescent="0.3">
      <c r="A8119" t="str">
        <f>"0611836909100"</f>
        <v>0611836909100</v>
      </c>
      <c r="B8119" t="str">
        <f>"LQ5966"</f>
        <v>LQ5966</v>
      </c>
      <c r="C8119" t="s">
        <v>42986</v>
      </c>
      <c r="D8119" t="s">
        <v>27245</v>
      </c>
      <c r="E8119" t="str">
        <f t="shared" si="126"/>
        <v>001390</v>
      </c>
      <c r="F8119" t="s">
        <v>27246</v>
      </c>
      <c r="G8119" t="s">
        <v>27247</v>
      </c>
      <c r="H8119" t="s">
        <v>27248</v>
      </c>
      <c r="I8119" t="s">
        <v>42987</v>
      </c>
      <c r="J8119" t="s">
        <v>16135</v>
      </c>
      <c r="L8119" t="s">
        <v>27250</v>
      </c>
      <c r="M8119" t="s">
        <v>27251</v>
      </c>
      <c r="N8119" t="s">
        <v>27252</v>
      </c>
      <c r="O8119">
        <v>100</v>
      </c>
      <c r="Q8119" s="1">
        <v>44538</v>
      </c>
      <c r="R8119" t="s">
        <v>27253</v>
      </c>
      <c r="S8119" t="s">
        <v>27254</v>
      </c>
      <c r="T8119" t="s">
        <v>27255</v>
      </c>
    </row>
    <row r="8120" spans="1:20" x14ac:dyDescent="0.3">
      <c r="A8120" t="str">
        <f>"0611836910100"</f>
        <v>0611836910100</v>
      </c>
      <c r="B8120" t="str">
        <f>"LQ6202"</f>
        <v>LQ6202</v>
      </c>
      <c r="C8120" t="s">
        <v>42988</v>
      </c>
      <c r="D8120" t="s">
        <v>27245</v>
      </c>
      <c r="E8120" t="str">
        <f t="shared" si="126"/>
        <v>001390</v>
      </c>
      <c r="F8120" t="s">
        <v>27246</v>
      </c>
      <c r="G8120" t="s">
        <v>27247</v>
      </c>
      <c r="H8120" t="s">
        <v>27248</v>
      </c>
      <c r="I8120" t="s">
        <v>42989</v>
      </c>
      <c r="J8120" t="s">
        <v>16137</v>
      </c>
      <c r="L8120" t="s">
        <v>27250</v>
      </c>
      <c r="M8120" t="s">
        <v>27251</v>
      </c>
      <c r="N8120" t="s">
        <v>27252</v>
      </c>
      <c r="Q8120" s="1">
        <v>44538</v>
      </c>
      <c r="R8120" t="s">
        <v>27253</v>
      </c>
      <c r="S8120" t="s">
        <v>27254</v>
      </c>
      <c r="T8120" t="s">
        <v>27255</v>
      </c>
    </row>
    <row r="8121" spans="1:20" x14ac:dyDescent="0.3">
      <c r="A8121" t="str">
        <f>"0611836911100"</f>
        <v>0611836911100</v>
      </c>
      <c r="B8121" t="str">
        <f>"LQ3473"</f>
        <v>LQ3473</v>
      </c>
      <c r="C8121" t="s">
        <v>42990</v>
      </c>
      <c r="D8121" t="s">
        <v>27245</v>
      </c>
      <c r="E8121" t="str">
        <f t="shared" si="126"/>
        <v>001390</v>
      </c>
      <c r="F8121" t="s">
        <v>27246</v>
      </c>
      <c r="G8121" t="s">
        <v>27247</v>
      </c>
      <c r="H8121" t="s">
        <v>27248</v>
      </c>
      <c r="I8121" t="s">
        <v>42991</v>
      </c>
      <c r="J8121" t="s">
        <v>16139</v>
      </c>
      <c r="L8121" t="s">
        <v>27250</v>
      </c>
      <c r="M8121" t="s">
        <v>27251</v>
      </c>
      <c r="N8121" t="s">
        <v>27252</v>
      </c>
      <c r="Q8121" s="1">
        <v>44538</v>
      </c>
      <c r="R8121" t="s">
        <v>27253</v>
      </c>
      <c r="S8121" t="s">
        <v>27254</v>
      </c>
      <c r="T8121" t="s">
        <v>27255</v>
      </c>
    </row>
    <row r="8122" spans="1:20" x14ac:dyDescent="0.3">
      <c r="A8122" t="str">
        <f>"0611863315050"</f>
        <v>0611863315050</v>
      </c>
      <c r="B8122" t="str">
        <f>"CR2984"</f>
        <v>CR2984</v>
      </c>
      <c r="C8122" t="s">
        <v>42992</v>
      </c>
      <c r="D8122" t="s">
        <v>27263</v>
      </c>
      <c r="E8122" t="str">
        <f t="shared" si="126"/>
        <v>001390</v>
      </c>
      <c r="F8122" t="s">
        <v>27246</v>
      </c>
      <c r="G8122" t="s">
        <v>27247</v>
      </c>
      <c r="H8122" t="s">
        <v>27248</v>
      </c>
      <c r="I8122" t="s">
        <v>42993</v>
      </c>
      <c r="J8122" t="s">
        <v>16141</v>
      </c>
      <c r="L8122" t="s">
        <v>27250</v>
      </c>
      <c r="M8122" t="s">
        <v>27251</v>
      </c>
      <c r="N8122" t="s">
        <v>27252</v>
      </c>
      <c r="Q8122" s="1">
        <v>44846</v>
      </c>
      <c r="R8122" t="s">
        <v>27253</v>
      </c>
      <c r="S8122" t="s">
        <v>27254</v>
      </c>
      <c r="T8122" t="s">
        <v>27265</v>
      </c>
    </row>
    <row r="8123" spans="1:20" x14ac:dyDescent="0.3">
      <c r="A8123" t="str">
        <f>"0611836912100"</f>
        <v>0611836912100</v>
      </c>
      <c r="B8123" t="str">
        <f>"LQ3475"</f>
        <v>LQ3475</v>
      </c>
      <c r="C8123" t="s">
        <v>42994</v>
      </c>
      <c r="D8123" t="s">
        <v>27245</v>
      </c>
      <c r="E8123" t="str">
        <f t="shared" si="126"/>
        <v>001390</v>
      </c>
      <c r="F8123" t="s">
        <v>27246</v>
      </c>
      <c r="G8123" t="s">
        <v>27247</v>
      </c>
      <c r="H8123" t="s">
        <v>27248</v>
      </c>
      <c r="I8123" t="s">
        <v>42995</v>
      </c>
      <c r="J8123" t="s">
        <v>16143</v>
      </c>
      <c r="L8123" t="s">
        <v>27250</v>
      </c>
      <c r="M8123" t="s">
        <v>27251</v>
      </c>
      <c r="N8123" t="s">
        <v>27252</v>
      </c>
      <c r="Q8123" s="1">
        <v>44538</v>
      </c>
      <c r="R8123" t="s">
        <v>27253</v>
      </c>
      <c r="S8123" t="s">
        <v>27254</v>
      </c>
      <c r="T8123" t="s">
        <v>27255</v>
      </c>
    </row>
    <row r="8124" spans="1:20" x14ac:dyDescent="0.3">
      <c r="A8124" t="str">
        <f>"0611863316050"</f>
        <v>0611863316050</v>
      </c>
      <c r="B8124" t="str">
        <f>"CR3447"</f>
        <v>CR3447</v>
      </c>
      <c r="C8124" t="s">
        <v>42996</v>
      </c>
      <c r="D8124" t="s">
        <v>27263</v>
      </c>
      <c r="E8124" t="str">
        <f t="shared" si="126"/>
        <v>001390</v>
      </c>
      <c r="F8124" t="s">
        <v>27246</v>
      </c>
      <c r="G8124" t="s">
        <v>27247</v>
      </c>
      <c r="H8124" t="s">
        <v>27248</v>
      </c>
      <c r="I8124" t="s">
        <v>42997</v>
      </c>
      <c r="J8124" t="s">
        <v>16145</v>
      </c>
      <c r="L8124" t="s">
        <v>27250</v>
      </c>
      <c r="M8124" t="s">
        <v>27251</v>
      </c>
      <c r="N8124" t="s">
        <v>27252</v>
      </c>
      <c r="Q8124" s="1">
        <v>44846</v>
      </c>
      <c r="R8124" t="s">
        <v>27253</v>
      </c>
      <c r="S8124" t="s">
        <v>27254</v>
      </c>
      <c r="T8124" t="s">
        <v>27265</v>
      </c>
    </row>
    <row r="8125" spans="1:20" x14ac:dyDescent="0.3">
      <c r="A8125" t="str">
        <f>"0611836913100"</f>
        <v>0611836913100</v>
      </c>
      <c r="B8125" t="str">
        <f>"LQ3476"</f>
        <v>LQ3476</v>
      </c>
      <c r="C8125" t="s">
        <v>42998</v>
      </c>
      <c r="D8125" t="s">
        <v>27245</v>
      </c>
      <c r="E8125" t="str">
        <f t="shared" si="126"/>
        <v>001390</v>
      </c>
      <c r="F8125" t="s">
        <v>27246</v>
      </c>
      <c r="G8125" t="s">
        <v>27247</v>
      </c>
      <c r="H8125" t="s">
        <v>27248</v>
      </c>
      <c r="I8125" t="s">
        <v>42999</v>
      </c>
      <c r="J8125" t="s">
        <v>16147</v>
      </c>
      <c r="L8125" t="s">
        <v>27250</v>
      </c>
      <c r="M8125" t="s">
        <v>27251</v>
      </c>
      <c r="N8125" t="s">
        <v>27252</v>
      </c>
      <c r="Q8125" s="1">
        <v>44538</v>
      </c>
      <c r="R8125" t="s">
        <v>27253</v>
      </c>
      <c r="S8125" t="s">
        <v>27254</v>
      </c>
      <c r="T8125" t="s">
        <v>27255</v>
      </c>
    </row>
    <row r="8126" spans="1:20" x14ac:dyDescent="0.3">
      <c r="A8126" t="str">
        <f>"0611836914100"</f>
        <v>0611836914100</v>
      </c>
      <c r="B8126" t="str">
        <f>"LQ3477"</f>
        <v>LQ3477</v>
      </c>
      <c r="C8126" t="s">
        <v>43000</v>
      </c>
      <c r="D8126" t="s">
        <v>27245</v>
      </c>
      <c r="E8126" t="str">
        <f t="shared" si="126"/>
        <v>001390</v>
      </c>
      <c r="F8126" t="s">
        <v>27246</v>
      </c>
      <c r="G8126" t="s">
        <v>27247</v>
      </c>
      <c r="H8126" t="s">
        <v>27248</v>
      </c>
      <c r="I8126" t="s">
        <v>43001</v>
      </c>
      <c r="J8126" t="s">
        <v>16149</v>
      </c>
      <c r="L8126" t="s">
        <v>27250</v>
      </c>
      <c r="M8126" t="s">
        <v>27251</v>
      </c>
      <c r="N8126" t="s">
        <v>27252</v>
      </c>
      <c r="Q8126" s="1">
        <v>44538</v>
      </c>
      <c r="R8126" t="s">
        <v>27253</v>
      </c>
      <c r="S8126" t="s">
        <v>27254</v>
      </c>
      <c r="T8126" t="s">
        <v>27255</v>
      </c>
    </row>
    <row r="8127" spans="1:20" x14ac:dyDescent="0.3">
      <c r="A8127" t="str">
        <f>"0611836915100"</f>
        <v>0611836915100</v>
      </c>
      <c r="B8127" t="str">
        <f>"LQ3478"</f>
        <v>LQ3478</v>
      </c>
      <c r="C8127" t="s">
        <v>43002</v>
      </c>
      <c r="D8127" t="s">
        <v>27245</v>
      </c>
      <c r="E8127" t="str">
        <f t="shared" si="126"/>
        <v>001390</v>
      </c>
      <c r="F8127" t="s">
        <v>27246</v>
      </c>
      <c r="G8127" t="s">
        <v>27247</v>
      </c>
      <c r="H8127" t="s">
        <v>27248</v>
      </c>
      <c r="I8127" t="s">
        <v>43003</v>
      </c>
      <c r="J8127" t="s">
        <v>16151</v>
      </c>
      <c r="L8127" t="s">
        <v>27250</v>
      </c>
      <c r="M8127" t="s">
        <v>27251</v>
      </c>
      <c r="N8127" t="s">
        <v>27252</v>
      </c>
      <c r="Q8127" s="1">
        <v>44538</v>
      </c>
      <c r="R8127" t="s">
        <v>27253</v>
      </c>
      <c r="S8127" t="s">
        <v>27254</v>
      </c>
      <c r="T8127" t="s">
        <v>27255</v>
      </c>
    </row>
    <row r="8128" spans="1:20" x14ac:dyDescent="0.3">
      <c r="A8128" t="str">
        <f>"0611836916100"</f>
        <v>0611836916100</v>
      </c>
      <c r="B8128" t="str">
        <f>"LQ3479"</f>
        <v>LQ3479</v>
      </c>
      <c r="C8128" t="s">
        <v>43004</v>
      </c>
      <c r="D8128" t="s">
        <v>27245</v>
      </c>
      <c r="E8128" t="str">
        <f t="shared" si="126"/>
        <v>001390</v>
      </c>
      <c r="F8128" t="s">
        <v>27246</v>
      </c>
      <c r="G8128" t="s">
        <v>27247</v>
      </c>
      <c r="H8128" t="s">
        <v>27248</v>
      </c>
      <c r="I8128" t="s">
        <v>43005</v>
      </c>
      <c r="J8128" t="s">
        <v>16153</v>
      </c>
      <c r="L8128" t="s">
        <v>27250</v>
      </c>
      <c r="M8128" t="s">
        <v>27251</v>
      </c>
      <c r="N8128" t="s">
        <v>27252</v>
      </c>
      <c r="Q8128" s="1">
        <v>44538</v>
      </c>
      <c r="R8128" t="s">
        <v>27253</v>
      </c>
      <c r="S8128" t="s">
        <v>27254</v>
      </c>
      <c r="T8128" t="s">
        <v>27255</v>
      </c>
    </row>
    <row r="8129" spans="1:20" x14ac:dyDescent="0.3">
      <c r="A8129" t="str">
        <f>"0611863317050"</f>
        <v>0611863317050</v>
      </c>
      <c r="B8129" t="str">
        <f>"CR3549"</f>
        <v>CR3549</v>
      </c>
      <c r="C8129" t="s">
        <v>43006</v>
      </c>
      <c r="D8129" t="s">
        <v>27263</v>
      </c>
      <c r="E8129" t="str">
        <f t="shared" si="126"/>
        <v>001390</v>
      </c>
      <c r="F8129" t="s">
        <v>27246</v>
      </c>
      <c r="G8129" t="s">
        <v>27247</v>
      </c>
      <c r="H8129" t="s">
        <v>27248</v>
      </c>
      <c r="I8129" t="s">
        <v>43007</v>
      </c>
      <c r="J8129" t="s">
        <v>16155</v>
      </c>
      <c r="L8129" t="s">
        <v>27250</v>
      </c>
      <c r="M8129" t="s">
        <v>27251</v>
      </c>
      <c r="N8129" t="s">
        <v>27252</v>
      </c>
      <c r="Q8129" s="1">
        <v>44846</v>
      </c>
      <c r="R8129" t="s">
        <v>27253</v>
      </c>
      <c r="S8129" t="s">
        <v>27254</v>
      </c>
      <c r="T8129" t="s">
        <v>27265</v>
      </c>
    </row>
    <row r="8130" spans="1:20" x14ac:dyDescent="0.3">
      <c r="A8130" t="str">
        <f>"0611836917100"</f>
        <v>0611836917100</v>
      </c>
      <c r="B8130" t="str">
        <f>"LQ3807"</f>
        <v>LQ3807</v>
      </c>
      <c r="C8130" t="s">
        <v>43008</v>
      </c>
      <c r="D8130" t="s">
        <v>27245</v>
      </c>
      <c r="E8130" t="str">
        <f t="shared" ref="E8130:E8193" si="127">"001390"</f>
        <v>001390</v>
      </c>
      <c r="F8130" t="s">
        <v>27246</v>
      </c>
      <c r="G8130" t="s">
        <v>27247</v>
      </c>
      <c r="H8130" t="s">
        <v>27248</v>
      </c>
      <c r="I8130" t="s">
        <v>43009</v>
      </c>
      <c r="J8130" t="s">
        <v>16157</v>
      </c>
      <c r="L8130" t="s">
        <v>27250</v>
      </c>
      <c r="M8130" t="s">
        <v>27251</v>
      </c>
      <c r="N8130" t="s">
        <v>27252</v>
      </c>
      <c r="Q8130" s="1">
        <v>44538</v>
      </c>
      <c r="R8130" t="s">
        <v>27253</v>
      </c>
      <c r="S8130" t="s">
        <v>27254</v>
      </c>
      <c r="T8130" t="s">
        <v>27255</v>
      </c>
    </row>
    <row r="8131" spans="1:20" x14ac:dyDescent="0.3">
      <c r="A8131" t="str">
        <f>"0611863318050"</f>
        <v>0611863318050</v>
      </c>
      <c r="B8131" t="str">
        <f>"CR2980"</f>
        <v>CR2980</v>
      </c>
      <c r="C8131" t="s">
        <v>43010</v>
      </c>
      <c r="D8131" t="s">
        <v>27263</v>
      </c>
      <c r="E8131" t="str">
        <f t="shared" si="127"/>
        <v>001390</v>
      </c>
      <c r="F8131" t="s">
        <v>27246</v>
      </c>
      <c r="G8131" t="s">
        <v>27247</v>
      </c>
      <c r="H8131" t="s">
        <v>27248</v>
      </c>
      <c r="I8131" t="s">
        <v>43011</v>
      </c>
      <c r="J8131" t="s">
        <v>16159</v>
      </c>
      <c r="L8131" t="s">
        <v>27250</v>
      </c>
      <c r="M8131" t="s">
        <v>27251</v>
      </c>
      <c r="N8131" t="s">
        <v>27252</v>
      </c>
      <c r="Q8131" s="1">
        <v>44846</v>
      </c>
      <c r="R8131" t="s">
        <v>27253</v>
      </c>
      <c r="S8131" t="s">
        <v>27254</v>
      </c>
      <c r="T8131" t="s">
        <v>27265</v>
      </c>
    </row>
    <row r="8132" spans="1:20" x14ac:dyDescent="0.3">
      <c r="A8132" t="str">
        <f>"0611863319050"</f>
        <v>0611863319050</v>
      </c>
      <c r="B8132" t="str">
        <f>"CR4831"</f>
        <v>CR4831</v>
      </c>
      <c r="C8132" t="s">
        <v>43012</v>
      </c>
      <c r="D8132" t="s">
        <v>27263</v>
      </c>
      <c r="E8132" t="str">
        <f t="shared" si="127"/>
        <v>001390</v>
      </c>
      <c r="F8132" t="s">
        <v>27246</v>
      </c>
      <c r="G8132" t="s">
        <v>27247</v>
      </c>
      <c r="H8132" t="s">
        <v>27248</v>
      </c>
      <c r="I8132" t="s">
        <v>43013</v>
      </c>
      <c r="J8132" t="s">
        <v>16161</v>
      </c>
      <c r="L8132" t="s">
        <v>27250</v>
      </c>
      <c r="M8132" t="s">
        <v>27251</v>
      </c>
      <c r="N8132" t="s">
        <v>27252</v>
      </c>
      <c r="Q8132" s="1">
        <v>44846</v>
      </c>
      <c r="R8132" t="s">
        <v>27253</v>
      </c>
      <c r="S8132" t="s">
        <v>27254</v>
      </c>
      <c r="T8132" t="s">
        <v>27265</v>
      </c>
    </row>
    <row r="8133" spans="1:20" x14ac:dyDescent="0.3">
      <c r="A8133" t="str">
        <f>"0611836918100"</f>
        <v>0611836918100</v>
      </c>
      <c r="B8133" t="str">
        <f>"LK1968"</f>
        <v>LK1968</v>
      </c>
      <c r="C8133" t="s">
        <v>43014</v>
      </c>
      <c r="D8133" t="s">
        <v>27245</v>
      </c>
      <c r="E8133" t="str">
        <f t="shared" si="127"/>
        <v>001390</v>
      </c>
      <c r="F8133" t="s">
        <v>27246</v>
      </c>
      <c r="G8133" t="s">
        <v>27247</v>
      </c>
      <c r="H8133" t="s">
        <v>27248</v>
      </c>
      <c r="I8133" t="s">
        <v>43015</v>
      </c>
      <c r="J8133" t="s">
        <v>16163</v>
      </c>
      <c r="L8133" t="s">
        <v>27250</v>
      </c>
      <c r="M8133" t="s">
        <v>27251</v>
      </c>
      <c r="N8133" t="s">
        <v>27252</v>
      </c>
      <c r="Q8133" s="1">
        <v>44538</v>
      </c>
      <c r="R8133" t="s">
        <v>27253</v>
      </c>
      <c r="S8133" t="s">
        <v>27254</v>
      </c>
      <c r="T8133" t="s">
        <v>27255</v>
      </c>
    </row>
    <row r="8134" spans="1:20" x14ac:dyDescent="0.3">
      <c r="A8134" t="str">
        <f>"0611836919100"</f>
        <v>0611836919100</v>
      </c>
      <c r="B8134" t="str">
        <f>"LK4855"</f>
        <v>LK4855</v>
      </c>
      <c r="C8134" t="s">
        <v>43016</v>
      </c>
      <c r="D8134" t="s">
        <v>27245</v>
      </c>
      <c r="E8134" t="str">
        <f t="shared" si="127"/>
        <v>001390</v>
      </c>
      <c r="F8134" t="s">
        <v>27246</v>
      </c>
      <c r="G8134" t="s">
        <v>27247</v>
      </c>
      <c r="H8134" t="s">
        <v>27248</v>
      </c>
      <c r="I8134" t="s">
        <v>43017</v>
      </c>
      <c r="J8134" t="s">
        <v>16165</v>
      </c>
      <c r="L8134" t="s">
        <v>27250</v>
      </c>
      <c r="M8134" t="s">
        <v>27251</v>
      </c>
      <c r="N8134" t="s">
        <v>27252</v>
      </c>
      <c r="Q8134" s="1">
        <v>44538</v>
      </c>
      <c r="R8134" t="s">
        <v>27253</v>
      </c>
      <c r="S8134" t="s">
        <v>27254</v>
      </c>
      <c r="T8134" t="s">
        <v>27255</v>
      </c>
    </row>
    <row r="8135" spans="1:20" x14ac:dyDescent="0.3">
      <c r="A8135" t="str">
        <f>"0611836921100"</f>
        <v>0611836921100</v>
      </c>
      <c r="B8135" t="str">
        <f>"LK6807"</f>
        <v>LK6807</v>
      </c>
      <c r="C8135" t="s">
        <v>43018</v>
      </c>
      <c r="D8135" t="s">
        <v>28138</v>
      </c>
      <c r="E8135" t="str">
        <f t="shared" si="127"/>
        <v>001390</v>
      </c>
      <c r="F8135" t="s">
        <v>27246</v>
      </c>
      <c r="G8135" t="s">
        <v>27247</v>
      </c>
      <c r="H8135" t="s">
        <v>27248</v>
      </c>
      <c r="I8135" t="s">
        <v>43019</v>
      </c>
      <c r="J8135" t="s">
        <v>16167</v>
      </c>
      <c r="L8135" t="s">
        <v>27250</v>
      </c>
      <c r="M8135" t="s">
        <v>27251</v>
      </c>
      <c r="N8135" t="s">
        <v>27252</v>
      </c>
      <c r="P8135" t="s">
        <v>27925</v>
      </c>
      <c r="Q8135" s="1">
        <v>44538</v>
      </c>
      <c r="R8135" t="s">
        <v>27253</v>
      </c>
      <c r="S8135" t="s">
        <v>27254</v>
      </c>
      <c r="T8135" t="s">
        <v>27255</v>
      </c>
    </row>
    <row r="8136" spans="1:20" x14ac:dyDescent="0.3">
      <c r="A8136" t="str">
        <f>"0611836922100"</f>
        <v>0611836922100</v>
      </c>
      <c r="B8136" t="str">
        <f>"LK6808"</f>
        <v>LK6808</v>
      </c>
      <c r="C8136" t="s">
        <v>43020</v>
      </c>
      <c r="D8136" t="s">
        <v>28138</v>
      </c>
      <c r="E8136" t="str">
        <f t="shared" si="127"/>
        <v>001390</v>
      </c>
      <c r="F8136" t="s">
        <v>27246</v>
      </c>
      <c r="G8136" t="s">
        <v>27247</v>
      </c>
      <c r="H8136" t="s">
        <v>27248</v>
      </c>
      <c r="I8136" t="s">
        <v>43021</v>
      </c>
      <c r="J8136" t="s">
        <v>16169</v>
      </c>
      <c r="L8136" t="s">
        <v>27250</v>
      </c>
      <c r="M8136" t="s">
        <v>27251</v>
      </c>
      <c r="N8136" t="s">
        <v>27252</v>
      </c>
      <c r="P8136" t="s">
        <v>27925</v>
      </c>
      <c r="Q8136" s="1">
        <v>44538</v>
      </c>
      <c r="R8136" t="s">
        <v>27253</v>
      </c>
      <c r="S8136" t="s">
        <v>27254</v>
      </c>
      <c r="T8136" t="s">
        <v>27255</v>
      </c>
    </row>
    <row r="8137" spans="1:20" x14ac:dyDescent="0.3">
      <c r="A8137" t="str">
        <f>"0611863320050"</f>
        <v>0611863320050</v>
      </c>
      <c r="B8137" t="str">
        <f>"CR4832"</f>
        <v>CR4832</v>
      </c>
      <c r="C8137" t="s">
        <v>43022</v>
      </c>
      <c r="D8137" t="s">
        <v>27263</v>
      </c>
      <c r="E8137" t="str">
        <f t="shared" si="127"/>
        <v>001390</v>
      </c>
      <c r="F8137" t="s">
        <v>27246</v>
      </c>
      <c r="G8137" t="s">
        <v>27247</v>
      </c>
      <c r="H8137" t="s">
        <v>27248</v>
      </c>
      <c r="I8137" t="s">
        <v>43023</v>
      </c>
      <c r="J8137" t="s">
        <v>16171</v>
      </c>
      <c r="L8137" t="s">
        <v>27250</v>
      </c>
      <c r="M8137" t="s">
        <v>27251</v>
      </c>
      <c r="N8137" t="s">
        <v>27252</v>
      </c>
      <c r="Q8137" s="1">
        <v>44846</v>
      </c>
      <c r="R8137" t="s">
        <v>27253</v>
      </c>
      <c r="S8137" t="s">
        <v>27254</v>
      </c>
      <c r="T8137" t="s">
        <v>27265</v>
      </c>
    </row>
    <row r="8138" spans="1:20" x14ac:dyDescent="0.3">
      <c r="A8138" t="str">
        <f>"0611836923100"</f>
        <v>0611836923100</v>
      </c>
      <c r="B8138" t="str">
        <f>"LK6092"</f>
        <v>LK6092</v>
      </c>
      <c r="C8138" t="s">
        <v>43024</v>
      </c>
      <c r="D8138" t="s">
        <v>28138</v>
      </c>
      <c r="E8138" t="str">
        <f t="shared" si="127"/>
        <v>001390</v>
      </c>
      <c r="F8138" t="s">
        <v>27246</v>
      </c>
      <c r="G8138" t="s">
        <v>27247</v>
      </c>
      <c r="H8138" t="s">
        <v>27248</v>
      </c>
      <c r="I8138" t="s">
        <v>43025</v>
      </c>
      <c r="J8138" t="s">
        <v>16173</v>
      </c>
      <c r="L8138" t="s">
        <v>27250</v>
      </c>
      <c r="M8138" t="s">
        <v>27251</v>
      </c>
      <c r="N8138" t="s">
        <v>27252</v>
      </c>
      <c r="P8138" t="s">
        <v>27925</v>
      </c>
      <c r="Q8138" s="1">
        <v>44538</v>
      </c>
      <c r="R8138" t="s">
        <v>27253</v>
      </c>
      <c r="S8138" t="s">
        <v>27254</v>
      </c>
      <c r="T8138" t="s">
        <v>27255</v>
      </c>
    </row>
    <row r="8139" spans="1:20" x14ac:dyDescent="0.3">
      <c r="A8139" t="str">
        <f>"0611863321050"</f>
        <v>0611863321050</v>
      </c>
      <c r="B8139" t="str">
        <f>"CR4833"</f>
        <v>CR4833</v>
      </c>
      <c r="C8139" t="s">
        <v>43026</v>
      </c>
      <c r="D8139" t="s">
        <v>27263</v>
      </c>
      <c r="E8139" t="str">
        <f t="shared" si="127"/>
        <v>001390</v>
      </c>
      <c r="F8139" t="s">
        <v>27246</v>
      </c>
      <c r="G8139" t="s">
        <v>27247</v>
      </c>
      <c r="H8139" t="s">
        <v>27248</v>
      </c>
      <c r="I8139" t="s">
        <v>43027</v>
      </c>
      <c r="J8139" t="s">
        <v>16175</v>
      </c>
      <c r="L8139" t="s">
        <v>27250</v>
      </c>
      <c r="M8139" t="s">
        <v>27251</v>
      </c>
      <c r="N8139" t="s">
        <v>27252</v>
      </c>
      <c r="Q8139" s="1">
        <v>44846</v>
      </c>
      <c r="R8139" t="s">
        <v>27253</v>
      </c>
      <c r="S8139" t="s">
        <v>27254</v>
      </c>
      <c r="T8139" t="s">
        <v>27265</v>
      </c>
    </row>
    <row r="8140" spans="1:20" x14ac:dyDescent="0.3">
      <c r="A8140" t="str">
        <f>"0611863322050"</f>
        <v>0611863322050</v>
      </c>
      <c r="B8140" t="str">
        <f>"CR4834"</f>
        <v>CR4834</v>
      </c>
      <c r="C8140" t="s">
        <v>43028</v>
      </c>
      <c r="D8140" t="s">
        <v>27263</v>
      </c>
      <c r="E8140" t="str">
        <f t="shared" si="127"/>
        <v>001390</v>
      </c>
      <c r="F8140" t="s">
        <v>27246</v>
      </c>
      <c r="G8140" t="s">
        <v>27247</v>
      </c>
      <c r="H8140" t="s">
        <v>27248</v>
      </c>
      <c r="I8140" t="s">
        <v>43029</v>
      </c>
      <c r="J8140" t="s">
        <v>16177</v>
      </c>
      <c r="L8140" t="s">
        <v>27250</v>
      </c>
      <c r="M8140" t="s">
        <v>27251</v>
      </c>
      <c r="N8140" t="s">
        <v>27252</v>
      </c>
      <c r="Q8140" s="1">
        <v>44846</v>
      </c>
      <c r="R8140" t="s">
        <v>27253</v>
      </c>
      <c r="S8140" t="s">
        <v>27254</v>
      </c>
      <c r="T8140" t="s">
        <v>27265</v>
      </c>
    </row>
    <row r="8141" spans="1:20" x14ac:dyDescent="0.3">
      <c r="A8141" t="str">
        <f>"0611836926100"</f>
        <v>0611836926100</v>
      </c>
      <c r="B8141" t="str">
        <f>"LB5756"</f>
        <v>LB5756</v>
      </c>
      <c r="C8141" t="s">
        <v>43030</v>
      </c>
      <c r="D8141" t="s">
        <v>27245</v>
      </c>
      <c r="E8141" t="str">
        <f t="shared" si="127"/>
        <v>001390</v>
      </c>
      <c r="F8141" t="s">
        <v>27246</v>
      </c>
      <c r="G8141" t="s">
        <v>27247</v>
      </c>
      <c r="H8141" t="s">
        <v>27248</v>
      </c>
      <c r="I8141" t="s">
        <v>43031</v>
      </c>
      <c r="J8141" t="s">
        <v>16179</v>
      </c>
      <c r="L8141" t="s">
        <v>27250</v>
      </c>
      <c r="M8141" t="s">
        <v>27251</v>
      </c>
      <c r="N8141" t="s">
        <v>27252</v>
      </c>
      <c r="Q8141" s="1">
        <v>44538</v>
      </c>
      <c r="R8141" t="s">
        <v>27253</v>
      </c>
      <c r="S8141" t="s">
        <v>27254</v>
      </c>
      <c r="T8141" t="s">
        <v>27255</v>
      </c>
    </row>
    <row r="8142" spans="1:20" x14ac:dyDescent="0.3">
      <c r="A8142" t="str">
        <f>"0611836928025"</f>
        <v>0611836928025</v>
      </c>
      <c r="B8142" t="str">
        <f>"MQ5123"</f>
        <v>MQ5123</v>
      </c>
      <c r="C8142" t="s">
        <v>43032</v>
      </c>
      <c r="D8142" t="s">
        <v>27267</v>
      </c>
      <c r="E8142" t="str">
        <f t="shared" si="127"/>
        <v>001390</v>
      </c>
      <c r="F8142" t="s">
        <v>27246</v>
      </c>
      <c r="G8142" t="s">
        <v>27247</v>
      </c>
      <c r="H8142" t="s">
        <v>27248</v>
      </c>
      <c r="I8142" t="s">
        <v>43033</v>
      </c>
      <c r="J8142" t="s">
        <v>16181</v>
      </c>
      <c r="L8142" t="s">
        <v>27250</v>
      </c>
      <c r="M8142" t="s">
        <v>27251</v>
      </c>
      <c r="N8142" t="s">
        <v>27252</v>
      </c>
      <c r="Q8142" s="1">
        <v>44538</v>
      </c>
      <c r="R8142" t="s">
        <v>27253</v>
      </c>
      <c r="S8142" t="s">
        <v>27254</v>
      </c>
      <c r="T8142" t="s">
        <v>27269</v>
      </c>
    </row>
    <row r="8143" spans="1:20" x14ac:dyDescent="0.3">
      <c r="A8143" t="str">
        <f>"0611836930025"</f>
        <v>0611836930025</v>
      </c>
      <c r="B8143" t="str">
        <f>"MQ6057"</f>
        <v>MQ6057</v>
      </c>
      <c r="C8143" t="s">
        <v>43034</v>
      </c>
      <c r="D8143" t="s">
        <v>27267</v>
      </c>
      <c r="E8143" t="str">
        <f t="shared" si="127"/>
        <v>001390</v>
      </c>
      <c r="F8143" t="s">
        <v>27246</v>
      </c>
      <c r="G8143" t="s">
        <v>27247</v>
      </c>
      <c r="H8143" t="s">
        <v>27248</v>
      </c>
      <c r="I8143" t="s">
        <v>43035</v>
      </c>
      <c r="J8143" t="s">
        <v>16183</v>
      </c>
      <c r="L8143" t="s">
        <v>27250</v>
      </c>
      <c r="M8143" t="s">
        <v>27251</v>
      </c>
      <c r="N8143" t="s">
        <v>27252</v>
      </c>
      <c r="Q8143" s="1">
        <v>44538</v>
      </c>
      <c r="R8143" t="s">
        <v>27253</v>
      </c>
      <c r="S8143" t="s">
        <v>27254</v>
      </c>
      <c r="T8143" t="s">
        <v>27269</v>
      </c>
    </row>
    <row r="8144" spans="1:20" x14ac:dyDescent="0.3">
      <c r="A8144" t="str">
        <f>"0611836931025"</f>
        <v>0611836931025</v>
      </c>
      <c r="B8144" t="str">
        <f>"MC4226"</f>
        <v>MC4226</v>
      </c>
      <c r="C8144" t="s">
        <v>43036</v>
      </c>
      <c r="D8144" t="s">
        <v>27267</v>
      </c>
      <c r="E8144" t="str">
        <f t="shared" si="127"/>
        <v>001390</v>
      </c>
      <c r="F8144" t="s">
        <v>27246</v>
      </c>
      <c r="G8144" t="s">
        <v>27247</v>
      </c>
      <c r="H8144" t="s">
        <v>27248</v>
      </c>
      <c r="I8144" t="s">
        <v>43037</v>
      </c>
      <c r="J8144" t="s">
        <v>16185</v>
      </c>
      <c r="L8144" t="s">
        <v>27250</v>
      </c>
      <c r="M8144" t="s">
        <v>27251</v>
      </c>
      <c r="N8144" t="s">
        <v>27252</v>
      </c>
      <c r="Q8144" s="1">
        <v>44538</v>
      </c>
      <c r="R8144" t="s">
        <v>27253</v>
      </c>
      <c r="S8144" t="s">
        <v>27254</v>
      </c>
      <c r="T8144" t="s">
        <v>27269</v>
      </c>
    </row>
    <row r="8145" spans="1:20" x14ac:dyDescent="0.3">
      <c r="A8145" t="str">
        <f>"0611836932025"</f>
        <v>0611836932025</v>
      </c>
      <c r="B8145" t="str">
        <f>"MC0549"</f>
        <v>MC0549</v>
      </c>
      <c r="C8145" t="s">
        <v>43038</v>
      </c>
      <c r="D8145" t="s">
        <v>27267</v>
      </c>
      <c r="E8145" t="str">
        <f t="shared" si="127"/>
        <v>001390</v>
      </c>
      <c r="F8145" t="s">
        <v>27246</v>
      </c>
      <c r="G8145" t="s">
        <v>27247</v>
      </c>
      <c r="H8145" t="s">
        <v>27248</v>
      </c>
      <c r="I8145" t="s">
        <v>43039</v>
      </c>
      <c r="J8145" t="s">
        <v>16187</v>
      </c>
      <c r="L8145" t="s">
        <v>27250</v>
      </c>
      <c r="M8145" t="s">
        <v>27251</v>
      </c>
      <c r="N8145" t="s">
        <v>27252</v>
      </c>
      <c r="Q8145" s="1">
        <v>44538</v>
      </c>
      <c r="R8145" t="s">
        <v>27253</v>
      </c>
      <c r="S8145" t="s">
        <v>27254</v>
      </c>
      <c r="T8145" t="s">
        <v>27269</v>
      </c>
    </row>
    <row r="8146" spans="1:20" x14ac:dyDescent="0.3">
      <c r="A8146" t="str">
        <f>"0611836933100"</f>
        <v>0611836933100</v>
      </c>
      <c r="B8146" t="str">
        <f>"LC5420"</f>
        <v>LC5420</v>
      </c>
      <c r="C8146" t="s">
        <v>43040</v>
      </c>
      <c r="D8146" t="s">
        <v>27245</v>
      </c>
      <c r="E8146" t="str">
        <f t="shared" si="127"/>
        <v>001390</v>
      </c>
      <c r="F8146" t="s">
        <v>27246</v>
      </c>
      <c r="G8146" t="s">
        <v>27247</v>
      </c>
      <c r="H8146" t="s">
        <v>27248</v>
      </c>
      <c r="I8146" t="s">
        <v>43041</v>
      </c>
      <c r="J8146" t="s">
        <v>16189</v>
      </c>
      <c r="L8146" t="s">
        <v>27250</v>
      </c>
      <c r="M8146" t="s">
        <v>27251</v>
      </c>
      <c r="N8146" t="s">
        <v>27252</v>
      </c>
      <c r="Q8146" s="1">
        <v>44538</v>
      </c>
      <c r="R8146" t="s">
        <v>27253</v>
      </c>
      <c r="S8146" t="s">
        <v>27254</v>
      </c>
      <c r="T8146" t="s">
        <v>27255</v>
      </c>
    </row>
    <row r="8147" spans="1:20" x14ac:dyDescent="0.3">
      <c r="A8147" t="str">
        <f>"0611836934100"</f>
        <v>0611836934100</v>
      </c>
      <c r="B8147" t="str">
        <f>"LC5615"</f>
        <v>LC5615</v>
      </c>
      <c r="C8147" t="s">
        <v>43042</v>
      </c>
      <c r="D8147" t="s">
        <v>27245</v>
      </c>
      <c r="E8147" t="str">
        <f t="shared" si="127"/>
        <v>001390</v>
      </c>
      <c r="F8147" t="s">
        <v>27246</v>
      </c>
      <c r="G8147" t="s">
        <v>27247</v>
      </c>
      <c r="H8147" t="s">
        <v>27248</v>
      </c>
      <c r="I8147" t="s">
        <v>43043</v>
      </c>
      <c r="J8147" t="s">
        <v>16191</v>
      </c>
      <c r="L8147" t="s">
        <v>27250</v>
      </c>
      <c r="M8147" t="s">
        <v>27251</v>
      </c>
      <c r="N8147" t="s">
        <v>27252</v>
      </c>
      <c r="Q8147" s="1">
        <v>44538</v>
      </c>
      <c r="R8147" t="s">
        <v>27253</v>
      </c>
      <c r="S8147" t="s">
        <v>27254</v>
      </c>
      <c r="T8147" t="s">
        <v>27255</v>
      </c>
    </row>
    <row r="8148" spans="1:20" x14ac:dyDescent="0.3">
      <c r="A8148" t="str">
        <f>"0611836935025"</f>
        <v>0611836935025</v>
      </c>
      <c r="B8148" t="str">
        <f>"MC0780"</f>
        <v>MC0780</v>
      </c>
      <c r="C8148" t="s">
        <v>43042</v>
      </c>
      <c r="D8148" t="s">
        <v>27267</v>
      </c>
      <c r="E8148" t="str">
        <f t="shared" si="127"/>
        <v>001390</v>
      </c>
      <c r="F8148" t="s">
        <v>27246</v>
      </c>
      <c r="G8148" t="s">
        <v>27247</v>
      </c>
      <c r="H8148" t="s">
        <v>27248</v>
      </c>
      <c r="I8148" t="s">
        <v>43044</v>
      </c>
      <c r="J8148" t="s">
        <v>16193</v>
      </c>
      <c r="L8148" t="s">
        <v>27250</v>
      </c>
      <c r="M8148" t="s">
        <v>27251</v>
      </c>
      <c r="N8148" t="s">
        <v>27252</v>
      </c>
      <c r="Q8148" s="1">
        <v>44538</v>
      </c>
      <c r="R8148" t="s">
        <v>27253</v>
      </c>
      <c r="S8148" t="s">
        <v>27254</v>
      </c>
      <c r="T8148" t="s">
        <v>27269</v>
      </c>
    </row>
    <row r="8149" spans="1:20" x14ac:dyDescent="0.3">
      <c r="A8149" t="str">
        <f>"0611884334025"</f>
        <v>0611884334025</v>
      </c>
      <c r="B8149" t="str">
        <f>"MQ0835"</f>
        <v>MQ0835</v>
      </c>
      <c r="C8149" t="s">
        <v>43045</v>
      </c>
      <c r="D8149" t="s">
        <v>27267</v>
      </c>
      <c r="E8149" t="str">
        <f t="shared" si="127"/>
        <v>001390</v>
      </c>
      <c r="F8149" t="s">
        <v>27246</v>
      </c>
      <c r="G8149" t="s">
        <v>27247</v>
      </c>
      <c r="H8149" t="s">
        <v>27248</v>
      </c>
      <c r="I8149" t="s">
        <v>43046</v>
      </c>
      <c r="J8149" t="s">
        <v>16195</v>
      </c>
      <c r="L8149" t="s">
        <v>27430</v>
      </c>
      <c r="M8149" t="s">
        <v>27251</v>
      </c>
      <c r="N8149" t="s">
        <v>27252</v>
      </c>
      <c r="Q8149" s="1">
        <v>45250</v>
      </c>
      <c r="R8149" t="s">
        <v>27253</v>
      </c>
      <c r="S8149" t="s">
        <v>27254</v>
      </c>
      <c r="T8149" t="s">
        <v>27269</v>
      </c>
    </row>
    <row r="8150" spans="1:20" x14ac:dyDescent="0.3">
      <c r="A8150" t="str">
        <f>"0611836936025"</f>
        <v>0611836936025</v>
      </c>
      <c r="B8150" t="str">
        <f>"MC1573"</f>
        <v>MC1573</v>
      </c>
      <c r="C8150" t="s">
        <v>43047</v>
      </c>
      <c r="D8150" t="s">
        <v>27267</v>
      </c>
      <c r="E8150" t="str">
        <f t="shared" si="127"/>
        <v>001390</v>
      </c>
      <c r="F8150" t="s">
        <v>27246</v>
      </c>
      <c r="G8150" t="s">
        <v>27247</v>
      </c>
      <c r="H8150" t="s">
        <v>27248</v>
      </c>
      <c r="I8150" t="s">
        <v>43048</v>
      </c>
      <c r="J8150" t="s">
        <v>16197</v>
      </c>
      <c r="L8150" t="s">
        <v>27250</v>
      </c>
      <c r="M8150" t="s">
        <v>27251</v>
      </c>
      <c r="N8150" t="s">
        <v>27252</v>
      </c>
      <c r="Q8150" s="1">
        <v>44538</v>
      </c>
      <c r="R8150" t="s">
        <v>27253</v>
      </c>
      <c r="S8150" t="s">
        <v>27254</v>
      </c>
      <c r="T8150" t="s">
        <v>27269</v>
      </c>
    </row>
    <row r="8151" spans="1:20" x14ac:dyDescent="0.3">
      <c r="A8151" t="str">
        <f>"0611836950025"</f>
        <v>0611836950025</v>
      </c>
      <c r="B8151" t="str">
        <f>"MC0896"</f>
        <v>MC0896</v>
      </c>
      <c r="C8151" t="s">
        <v>43049</v>
      </c>
      <c r="D8151" t="s">
        <v>27267</v>
      </c>
      <c r="E8151" t="str">
        <f t="shared" si="127"/>
        <v>001390</v>
      </c>
      <c r="F8151" t="s">
        <v>27246</v>
      </c>
      <c r="G8151" t="s">
        <v>27247</v>
      </c>
      <c r="H8151" t="s">
        <v>27248</v>
      </c>
      <c r="I8151" t="s">
        <v>43050</v>
      </c>
      <c r="J8151" t="s">
        <v>16229</v>
      </c>
      <c r="L8151" t="s">
        <v>27250</v>
      </c>
      <c r="M8151" t="s">
        <v>27251</v>
      </c>
      <c r="N8151" t="s">
        <v>27252</v>
      </c>
      <c r="Q8151" s="1">
        <v>44538</v>
      </c>
      <c r="R8151" t="s">
        <v>27253</v>
      </c>
      <c r="S8151" t="s">
        <v>27254</v>
      </c>
      <c r="T8151" t="s">
        <v>27269</v>
      </c>
    </row>
    <row r="8152" spans="1:20" x14ac:dyDescent="0.3">
      <c r="A8152" t="str">
        <f>"0611836937025"</f>
        <v>0611836937025</v>
      </c>
      <c r="B8152" t="str">
        <f>"MQ5128"</f>
        <v>MQ5128</v>
      </c>
      <c r="C8152" t="s">
        <v>43051</v>
      </c>
      <c r="D8152" t="s">
        <v>27267</v>
      </c>
      <c r="E8152" t="str">
        <f t="shared" si="127"/>
        <v>001390</v>
      </c>
      <c r="F8152" t="s">
        <v>27246</v>
      </c>
      <c r="G8152" t="s">
        <v>27247</v>
      </c>
      <c r="H8152" t="s">
        <v>27248</v>
      </c>
      <c r="I8152" t="s">
        <v>43052</v>
      </c>
      <c r="J8152" t="s">
        <v>16201</v>
      </c>
      <c r="L8152" t="s">
        <v>27250</v>
      </c>
      <c r="M8152" t="s">
        <v>27251</v>
      </c>
      <c r="N8152" t="s">
        <v>27252</v>
      </c>
      <c r="Q8152" s="1">
        <v>44538</v>
      </c>
      <c r="R8152" t="s">
        <v>27253</v>
      </c>
      <c r="S8152" t="s">
        <v>27254</v>
      </c>
      <c r="T8152" t="s">
        <v>27269</v>
      </c>
    </row>
    <row r="8153" spans="1:20" x14ac:dyDescent="0.3">
      <c r="A8153" t="str">
        <f>"0611863323100"</f>
        <v>0611863323100</v>
      </c>
      <c r="B8153" t="str">
        <f>"CN5270"</f>
        <v>CN5270</v>
      </c>
      <c r="C8153" t="s">
        <v>43051</v>
      </c>
      <c r="D8153" t="s">
        <v>27335</v>
      </c>
      <c r="E8153" t="str">
        <f t="shared" si="127"/>
        <v>001390</v>
      </c>
      <c r="F8153" t="s">
        <v>27246</v>
      </c>
      <c r="G8153" t="s">
        <v>27247</v>
      </c>
      <c r="H8153" t="s">
        <v>27248</v>
      </c>
      <c r="I8153" t="s">
        <v>43053</v>
      </c>
      <c r="J8153" t="s">
        <v>16199</v>
      </c>
      <c r="L8153" t="s">
        <v>27250</v>
      </c>
      <c r="M8153" t="s">
        <v>27251</v>
      </c>
      <c r="N8153" t="s">
        <v>27252</v>
      </c>
      <c r="Q8153" s="1">
        <v>44846</v>
      </c>
      <c r="R8153" t="s">
        <v>27253</v>
      </c>
      <c r="S8153" t="s">
        <v>27254</v>
      </c>
      <c r="T8153" t="s">
        <v>27255</v>
      </c>
    </row>
    <row r="8154" spans="1:20" x14ac:dyDescent="0.3">
      <c r="A8154" t="str">
        <f>"0611836938025"</f>
        <v>0611836938025</v>
      </c>
      <c r="B8154" t="str">
        <f>"MC3158"</f>
        <v>MC3158</v>
      </c>
      <c r="C8154" t="s">
        <v>43054</v>
      </c>
      <c r="D8154" t="s">
        <v>27267</v>
      </c>
      <c r="E8154" t="str">
        <f t="shared" si="127"/>
        <v>001390</v>
      </c>
      <c r="F8154" t="s">
        <v>27246</v>
      </c>
      <c r="G8154" t="s">
        <v>27247</v>
      </c>
      <c r="H8154" t="s">
        <v>27248</v>
      </c>
      <c r="I8154" t="s">
        <v>43055</v>
      </c>
      <c r="J8154" t="s">
        <v>16203</v>
      </c>
      <c r="L8154" t="s">
        <v>27250</v>
      </c>
      <c r="M8154" t="s">
        <v>27251</v>
      </c>
      <c r="N8154" t="s">
        <v>27252</v>
      </c>
      <c r="Q8154" s="1">
        <v>44538</v>
      </c>
      <c r="R8154" t="s">
        <v>27253</v>
      </c>
      <c r="S8154" t="s">
        <v>27254</v>
      </c>
      <c r="T8154" t="s">
        <v>27269</v>
      </c>
    </row>
    <row r="8155" spans="1:20" x14ac:dyDescent="0.3">
      <c r="A8155" t="str">
        <f>"0611836939100"</f>
        <v>0611836939100</v>
      </c>
      <c r="B8155" t="str">
        <f>"LH8847"</f>
        <v>LH8847</v>
      </c>
      <c r="C8155" t="s">
        <v>43056</v>
      </c>
      <c r="D8155" t="s">
        <v>27245</v>
      </c>
      <c r="E8155" t="str">
        <f t="shared" si="127"/>
        <v>001390</v>
      </c>
      <c r="F8155" t="s">
        <v>27246</v>
      </c>
      <c r="G8155" t="s">
        <v>27247</v>
      </c>
      <c r="H8155" t="s">
        <v>27248</v>
      </c>
      <c r="I8155" t="s">
        <v>43057</v>
      </c>
      <c r="J8155" t="s">
        <v>16205</v>
      </c>
      <c r="L8155" t="s">
        <v>27250</v>
      </c>
      <c r="M8155" t="s">
        <v>27251</v>
      </c>
      <c r="N8155" t="s">
        <v>27252</v>
      </c>
      <c r="Q8155" s="1">
        <v>44538</v>
      </c>
      <c r="R8155" t="s">
        <v>27253</v>
      </c>
      <c r="S8155" t="s">
        <v>27254</v>
      </c>
      <c r="T8155" t="s">
        <v>27255</v>
      </c>
    </row>
    <row r="8156" spans="1:20" x14ac:dyDescent="0.3">
      <c r="A8156" t="str">
        <f>"0611836940025"</f>
        <v>0611836940025</v>
      </c>
      <c r="B8156" t="str">
        <f>"MQ0725"</f>
        <v>MQ0725</v>
      </c>
      <c r="C8156" t="s">
        <v>43058</v>
      </c>
      <c r="D8156" t="s">
        <v>27267</v>
      </c>
      <c r="E8156" t="str">
        <f t="shared" si="127"/>
        <v>001390</v>
      </c>
      <c r="F8156" t="s">
        <v>27246</v>
      </c>
      <c r="G8156" t="s">
        <v>27247</v>
      </c>
      <c r="H8156" t="s">
        <v>27248</v>
      </c>
      <c r="I8156" t="s">
        <v>43059</v>
      </c>
      <c r="J8156" t="s">
        <v>16207</v>
      </c>
      <c r="L8156" t="s">
        <v>27250</v>
      </c>
      <c r="M8156" t="s">
        <v>27251</v>
      </c>
      <c r="N8156" t="s">
        <v>27252</v>
      </c>
      <c r="Q8156" s="1">
        <v>44538</v>
      </c>
      <c r="R8156" t="s">
        <v>27253</v>
      </c>
      <c r="S8156" t="s">
        <v>27254</v>
      </c>
      <c r="T8156" t="s">
        <v>27269</v>
      </c>
    </row>
    <row r="8157" spans="1:20" x14ac:dyDescent="0.3">
      <c r="A8157" t="str">
        <f>"0611836941025"</f>
        <v>0611836941025</v>
      </c>
      <c r="B8157" t="str">
        <f>"MC2971"</f>
        <v>MC2971</v>
      </c>
      <c r="C8157" t="s">
        <v>43060</v>
      </c>
      <c r="D8157" t="s">
        <v>27267</v>
      </c>
      <c r="E8157" t="str">
        <f t="shared" si="127"/>
        <v>001390</v>
      </c>
      <c r="F8157" t="s">
        <v>27246</v>
      </c>
      <c r="G8157" t="s">
        <v>27247</v>
      </c>
      <c r="H8157" t="s">
        <v>27248</v>
      </c>
      <c r="I8157" t="s">
        <v>43061</v>
      </c>
      <c r="J8157" t="s">
        <v>16209</v>
      </c>
      <c r="L8157" t="s">
        <v>27250</v>
      </c>
      <c r="M8157" t="s">
        <v>27251</v>
      </c>
      <c r="N8157" t="s">
        <v>27252</v>
      </c>
      <c r="Q8157" s="1">
        <v>44538</v>
      </c>
      <c r="R8157" t="s">
        <v>27253</v>
      </c>
      <c r="S8157" t="s">
        <v>27254</v>
      </c>
      <c r="T8157" t="s">
        <v>27269</v>
      </c>
    </row>
    <row r="8158" spans="1:20" x14ac:dyDescent="0.3">
      <c r="A8158" t="str">
        <f>"0611836943025"</f>
        <v>0611836943025</v>
      </c>
      <c r="B8158" t="str">
        <f>"MQ0554"</f>
        <v>MQ0554</v>
      </c>
      <c r="C8158" t="s">
        <v>43062</v>
      </c>
      <c r="D8158" t="s">
        <v>27267</v>
      </c>
      <c r="E8158" t="str">
        <f t="shared" si="127"/>
        <v>001390</v>
      </c>
      <c r="F8158" t="s">
        <v>27246</v>
      </c>
      <c r="G8158" t="s">
        <v>27247</v>
      </c>
      <c r="H8158" t="s">
        <v>27248</v>
      </c>
      <c r="I8158" t="s">
        <v>43063</v>
      </c>
      <c r="J8158" t="s">
        <v>16211</v>
      </c>
      <c r="L8158" t="s">
        <v>27250</v>
      </c>
      <c r="M8158" t="s">
        <v>27251</v>
      </c>
      <c r="N8158" t="s">
        <v>27252</v>
      </c>
      <c r="Q8158" s="1">
        <v>44538</v>
      </c>
      <c r="R8158" t="s">
        <v>27253</v>
      </c>
      <c r="S8158" t="s">
        <v>27254</v>
      </c>
      <c r="T8158" t="s">
        <v>27269</v>
      </c>
    </row>
    <row r="8159" spans="1:20" x14ac:dyDescent="0.3">
      <c r="A8159" t="str">
        <f>"0611836944025"</f>
        <v>0611836944025</v>
      </c>
      <c r="B8159" t="str">
        <f>"MQ0726"</f>
        <v>MQ0726</v>
      </c>
      <c r="C8159" t="s">
        <v>43064</v>
      </c>
      <c r="D8159" t="s">
        <v>27267</v>
      </c>
      <c r="E8159" t="str">
        <f t="shared" si="127"/>
        <v>001390</v>
      </c>
      <c r="F8159" t="s">
        <v>27246</v>
      </c>
      <c r="G8159" t="s">
        <v>27247</v>
      </c>
      <c r="H8159" t="s">
        <v>27248</v>
      </c>
      <c r="I8159" t="s">
        <v>43065</v>
      </c>
      <c r="J8159" t="s">
        <v>16213</v>
      </c>
      <c r="L8159" t="s">
        <v>27250</v>
      </c>
      <c r="M8159" t="s">
        <v>27251</v>
      </c>
      <c r="N8159" t="s">
        <v>27252</v>
      </c>
      <c r="Q8159" s="1">
        <v>44538</v>
      </c>
      <c r="R8159" t="s">
        <v>27253</v>
      </c>
      <c r="S8159" t="s">
        <v>27254</v>
      </c>
      <c r="T8159" t="s">
        <v>27269</v>
      </c>
    </row>
    <row r="8160" spans="1:20" x14ac:dyDescent="0.3">
      <c r="A8160" t="str">
        <f>"0611836945025"</f>
        <v>0611836945025</v>
      </c>
      <c r="B8160" t="str">
        <f>"MQ6058"</f>
        <v>MQ6058</v>
      </c>
      <c r="C8160" t="s">
        <v>43066</v>
      </c>
      <c r="D8160" t="s">
        <v>27267</v>
      </c>
      <c r="E8160" t="str">
        <f t="shared" si="127"/>
        <v>001390</v>
      </c>
      <c r="F8160" t="s">
        <v>27246</v>
      </c>
      <c r="G8160" t="s">
        <v>27247</v>
      </c>
      <c r="H8160" t="s">
        <v>27248</v>
      </c>
      <c r="I8160" t="s">
        <v>43067</v>
      </c>
      <c r="J8160" t="s">
        <v>16215</v>
      </c>
      <c r="L8160" t="s">
        <v>27250</v>
      </c>
      <c r="M8160" t="s">
        <v>27251</v>
      </c>
      <c r="N8160" t="s">
        <v>27252</v>
      </c>
      <c r="Q8160" s="1">
        <v>44538</v>
      </c>
      <c r="R8160" t="s">
        <v>27253</v>
      </c>
      <c r="S8160" t="s">
        <v>27254</v>
      </c>
      <c r="T8160" t="s">
        <v>27269</v>
      </c>
    </row>
    <row r="8161" spans="1:20" x14ac:dyDescent="0.3">
      <c r="A8161" t="str">
        <f>"0611836946025"</f>
        <v>0611836946025</v>
      </c>
      <c r="B8161" t="str">
        <f>"MC0550"</f>
        <v>MC0550</v>
      </c>
      <c r="C8161" t="s">
        <v>43068</v>
      </c>
      <c r="D8161" t="s">
        <v>27267</v>
      </c>
      <c r="E8161" t="str">
        <f t="shared" si="127"/>
        <v>001390</v>
      </c>
      <c r="F8161" t="s">
        <v>27246</v>
      </c>
      <c r="G8161" t="s">
        <v>27247</v>
      </c>
      <c r="H8161" t="s">
        <v>27248</v>
      </c>
      <c r="I8161" t="s">
        <v>43069</v>
      </c>
      <c r="J8161" t="s">
        <v>16217</v>
      </c>
      <c r="L8161" t="s">
        <v>27250</v>
      </c>
      <c r="M8161" t="s">
        <v>27251</v>
      </c>
      <c r="N8161" t="s">
        <v>27252</v>
      </c>
      <c r="Q8161" s="1">
        <v>44538</v>
      </c>
      <c r="R8161" t="s">
        <v>27253</v>
      </c>
      <c r="S8161" t="s">
        <v>27254</v>
      </c>
      <c r="T8161" t="s">
        <v>27269</v>
      </c>
    </row>
    <row r="8162" spans="1:20" x14ac:dyDescent="0.3">
      <c r="A8162" t="str">
        <f>"0611836947025"</f>
        <v>0611836947025</v>
      </c>
      <c r="B8162" t="str">
        <f>"MC1303"</f>
        <v>MC1303</v>
      </c>
      <c r="C8162" t="s">
        <v>43070</v>
      </c>
      <c r="D8162" t="s">
        <v>27267</v>
      </c>
      <c r="E8162" t="str">
        <f t="shared" si="127"/>
        <v>001390</v>
      </c>
      <c r="F8162" t="s">
        <v>27246</v>
      </c>
      <c r="G8162" t="s">
        <v>27247</v>
      </c>
      <c r="H8162" t="s">
        <v>27248</v>
      </c>
      <c r="I8162" t="s">
        <v>43071</v>
      </c>
      <c r="J8162" t="s">
        <v>16221</v>
      </c>
      <c r="L8162" t="s">
        <v>27250</v>
      </c>
      <c r="M8162" t="s">
        <v>27251</v>
      </c>
      <c r="N8162" t="s">
        <v>27252</v>
      </c>
      <c r="Q8162" s="1">
        <v>44538</v>
      </c>
      <c r="R8162" t="s">
        <v>27253</v>
      </c>
      <c r="S8162" t="s">
        <v>27254</v>
      </c>
      <c r="T8162" t="s">
        <v>27269</v>
      </c>
    </row>
    <row r="8163" spans="1:20" x14ac:dyDescent="0.3">
      <c r="A8163" t="str">
        <f>"0611863324100"</f>
        <v>0611863324100</v>
      </c>
      <c r="B8163" t="str">
        <f>"CN5271"</f>
        <v>CN5271</v>
      </c>
      <c r="C8163" t="s">
        <v>43070</v>
      </c>
      <c r="D8163" t="s">
        <v>27335</v>
      </c>
      <c r="E8163" t="str">
        <f t="shared" si="127"/>
        <v>001390</v>
      </c>
      <c r="F8163" t="s">
        <v>27246</v>
      </c>
      <c r="G8163" t="s">
        <v>27247</v>
      </c>
      <c r="H8163" t="s">
        <v>27248</v>
      </c>
      <c r="I8163" t="s">
        <v>43072</v>
      </c>
      <c r="J8163" t="s">
        <v>16219</v>
      </c>
      <c r="L8163" t="s">
        <v>27250</v>
      </c>
      <c r="M8163" t="s">
        <v>27251</v>
      </c>
      <c r="N8163" t="s">
        <v>27252</v>
      </c>
      <c r="Q8163" s="1">
        <v>44846</v>
      </c>
      <c r="R8163" t="s">
        <v>27253</v>
      </c>
      <c r="S8163" t="s">
        <v>27254</v>
      </c>
      <c r="T8163" t="s">
        <v>27255</v>
      </c>
    </row>
    <row r="8164" spans="1:20" x14ac:dyDescent="0.3">
      <c r="A8164" t="str">
        <f>"0611863325050"</f>
        <v>0611863325050</v>
      </c>
      <c r="B8164" t="str">
        <f>"CR4387"</f>
        <v>CR4387</v>
      </c>
      <c r="C8164" t="s">
        <v>43070</v>
      </c>
      <c r="D8164" t="s">
        <v>27263</v>
      </c>
      <c r="E8164" t="str">
        <f t="shared" si="127"/>
        <v>001390</v>
      </c>
      <c r="F8164" t="s">
        <v>27246</v>
      </c>
      <c r="G8164" t="s">
        <v>27247</v>
      </c>
      <c r="H8164" t="s">
        <v>27248</v>
      </c>
      <c r="I8164" t="s">
        <v>43073</v>
      </c>
      <c r="J8164" t="s">
        <v>16223</v>
      </c>
      <c r="L8164" t="s">
        <v>27250</v>
      </c>
      <c r="M8164" t="s">
        <v>27251</v>
      </c>
      <c r="N8164" t="s">
        <v>27252</v>
      </c>
      <c r="Q8164" s="1">
        <v>44846</v>
      </c>
      <c r="R8164" t="s">
        <v>27253</v>
      </c>
      <c r="S8164" t="s">
        <v>27254</v>
      </c>
      <c r="T8164" t="s">
        <v>27265</v>
      </c>
    </row>
    <row r="8165" spans="1:20" x14ac:dyDescent="0.3">
      <c r="A8165" t="str">
        <f>"0611836948025"</f>
        <v>0611836948025</v>
      </c>
      <c r="B8165" t="str">
        <f>"MQ0651"</f>
        <v>MQ0651</v>
      </c>
      <c r="C8165" t="s">
        <v>43074</v>
      </c>
      <c r="D8165" t="s">
        <v>27267</v>
      </c>
      <c r="E8165" t="str">
        <f t="shared" si="127"/>
        <v>001390</v>
      </c>
      <c r="F8165" t="s">
        <v>27246</v>
      </c>
      <c r="G8165" t="s">
        <v>27247</v>
      </c>
      <c r="H8165" t="s">
        <v>27248</v>
      </c>
      <c r="I8165" t="s">
        <v>43075</v>
      </c>
      <c r="J8165" t="s">
        <v>16225</v>
      </c>
      <c r="L8165" t="s">
        <v>27250</v>
      </c>
      <c r="M8165" t="s">
        <v>27251</v>
      </c>
      <c r="N8165" t="s">
        <v>27252</v>
      </c>
      <c r="Q8165" s="1">
        <v>44538</v>
      </c>
      <c r="R8165" t="s">
        <v>27253</v>
      </c>
      <c r="S8165" t="s">
        <v>27254</v>
      </c>
      <c r="T8165" t="s">
        <v>27269</v>
      </c>
    </row>
    <row r="8166" spans="1:20" x14ac:dyDescent="0.3">
      <c r="A8166" t="str">
        <f>"0611836949025"</f>
        <v>0611836949025</v>
      </c>
      <c r="B8166" t="str">
        <f>"MQ0652"</f>
        <v>MQ0652</v>
      </c>
      <c r="C8166" t="s">
        <v>43076</v>
      </c>
      <c r="D8166" t="s">
        <v>27267</v>
      </c>
      <c r="E8166" t="str">
        <f t="shared" si="127"/>
        <v>001390</v>
      </c>
      <c r="F8166" t="s">
        <v>27246</v>
      </c>
      <c r="G8166" t="s">
        <v>27247</v>
      </c>
      <c r="H8166" t="s">
        <v>27248</v>
      </c>
      <c r="I8166" t="s">
        <v>43077</v>
      </c>
      <c r="J8166" t="s">
        <v>16227</v>
      </c>
      <c r="L8166" t="s">
        <v>27250</v>
      </c>
      <c r="M8166" t="s">
        <v>27251</v>
      </c>
      <c r="N8166" t="s">
        <v>27252</v>
      </c>
      <c r="Q8166" s="1">
        <v>44538</v>
      </c>
      <c r="R8166" t="s">
        <v>27253</v>
      </c>
      <c r="S8166" t="s">
        <v>27254</v>
      </c>
      <c r="T8166" t="s">
        <v>27269</v>
      </c>
    </row>
    <row r="8167" spans="1:20" x14ac:dyDescent="0.3">
      <c r="A8167" t="str">
        <f>"0611836953100"</f>
        <v>0611836953100</v>
      </c>
      <c r="B8167" t="str">
        <f>"LK1292"</f>
        <v>LK1292</v>
      </c>
      <c r="C8167" t="s">
        <v>43078</v>
      </c>
      <c r="D8167" t="s">
        <v>27245</v>
      </c>
      <c r="E8167" t="str">
        <f t="shared" si="127"/>
        <v>001390</v>
      </c>
      <c r="F8167" t="s">
        <v>27246</v>
      </c>
      <c r="G8167" t="s">
        <v>27247</v>
      </c>
      <c r="H8167" t="s">
        <v>27248</v>
      </c>
      <c r="I8167" t="s">
        <v>43079</v>
      </c>
      <c r="J8167" t="s">
        <v>16231</v>
      </c>
      <c r="L8167" t="s">
        <v>27250</v>
      </c>
      <c r="M8167" t="s">
        <v>27251</v>
      </c>
      <c r="N8167" t="s">
        <v>27252</v>
      </c>
      <c r="Q8167" s="1">
        <v>44538</v>
      </c>
      <c r="R8167" t="s">
        <v>27253</v>
      </c>
      <c r="S8167" t="s">
        <v>27254</v>
      </c>
      <c r="T8167" t="s">
        <v>27255</v>
      </c>
    </row>
    <row r="8168" spans="1:20" x14ac:dyDescent="0.3">
      <c r="A8168" t="str">
        <f>"0611836954100"</f>
        <v>0611836954100</v>
      </c>
      <c r="B8168" t="str">
        <f>"LB5700"</f>
        <v>LB5700</v>
      </c>
      <c r="C8168" t="s">
        <v>43080</v>
      </c>
      <c r="D8168" t="s">
        <v>27245</v>
      </c>
      <c r="E8168" t="str">
        <f t="shared" si="127"/>
        <v>001390</v>
      </c>
      <c r="F8168" t="s">
        <v>27246</v>
      </c>
      <c r="G8168" t="s">
        <v>27247</v>
      </c>
      <c r="H8168" t="s">
        <v>27248</v>
      </c>
      <c r="I8168" t="s">
        <v>43081</v>
      </c>
      <c r="J8168" t="s">
        <v>16233</v>
      </c>
      <c r="L8168" t="s">
        <v>27250</v>
      </c>
      <c r="M8168" t="s">
        <v>27251</v>
      </c>
      <c r="N8168" t="s">
        <v>27252</v>
      </c>
      <c r="Q8168" s="1">
        <v>44538</v>
      </c>
      <c r="R8168" t="s">
        <v>27253</v>
      </c>
      <c r="S8168" t="s">
        <v>27254</v>
      </c>
      <c r="T8168" t="s">
        <v>27255</v>
      </c>
    </row>
    <row r="8169" spans="1:20" x14ac:dyDescent="0.3">
      <c r="A8169" t="str">
        <f>"0611836955100"</f>
        <v>0611836955100</v>
      </c>
      <c r="B8169" t="str">
        <f>"LB5749"</f>
        <v>LB5749</v>
      </c>
      <c r="C8169" t="s">
        <v>43082</v>
      </c>
      <c r="D8169" t="s">
        <v>27245</v>
      </c>
      <c r="E8169" t="str">
        <f t="shared" si="127"/>
        <v>001390</v>
      </c>
      <c r="F8169" t="s">
        <v>27246</v>
      </c>
      <c r="G8169" t="s">
        <v>27247</v>
      </c>
      <c r="H8169" t="s">
        <v>27248</v>
      </c>
      <c r="I8169" t="s">
        <v>43083</v>
      </c>
      <c r="J8169" t="s">
        <v>16235</v>
      </c>
      <c r="L8169" t="s">
        <v>27250</v>
      </c>
      <c r="M8169" t="s">
        <v>27251</v>
      </c>
      <c r="N8169" t="s">
        <v>27252</v>
      </c>
      <c r="Q8169" s="1">
        <v>44538</v>
      </c>
      <c r="R8169" t="s">
        <v>27253</v>
      </c>
      <c r="S8169" t="s">
        <v>27254</v>
      </c>
      <c r="T8169" t="s">
        <v>27255</v>
      </c>
    </row>
    <row r="8170" spans="1:20" x14ac:dyDescent="0.3">
      <c r="A8170" t="str">
        <f>"0611836956100"</f>
        <v>0611836956100</v>
      </c>
      <c r="B8170" t="str">
        <f>"LK1628"</f>
        <v>LK1628</v>
      </c>
      <c r="C8170" t="s">
        <v>43084</v>
      </c>
      <c r="D8170" t="s">
        <v>28138</v>
      </c>
      <c r="E8170" t="str">
        <f t="shared" si="127"/>
        <v>001390</v>
      </c>
      <c r="F8170" t="s">
        <v>27246</v>
      </c>
      <c r="G8170" t="s">
        <v>27247</v>
      </c>
      <c r="H8170" t="s">
        <v>27248</v>
      </c>
      <c r="I8170" t="s">
        <v>43085</v>
      </c>
      <c r="J8170" t="s">
        <v>16237</v>
      </c>
      <c r="L8170" t="s">
        <v>27250</v>
      </c>
      <c r="M8170" t="s">
        <v>27251</v>
      </c>
      <c r="N8170" t="s">
        <v>27252</v>
      </c>
      <c r="O8170">
        <v>100</v>
      </c>
      <c r="P8170" t="s">
        <v>27925</v>
      </c>
      <c r="Q8170" s="1">
        <v>44538</v>
      </c>
      <c r="R8170" t="s">
        <v>27253</v>
      </c>
      <c r="S8170" t="s">
        <v>27254</v>
      </c>
      <c r="T8170" t="s">
        <v>27255</v>
      </c>
    </row>
    <row r="8171" spans="1:20" x14ac:dyDescent="0.3">
      <c r="A8171" t="str">
        <f>"0611836957100"</f>
        <v>0611836957100</v>
      </c>
      <c r="B8171" t="str">
        <f>"LK2499"</f>
        <v>LK2499</v>
      </c>
      <c r="C8171" t="s">
        <v>43086</v>
      </c>
      <c r="D8171" t="s">
        <v>28138</v>
      </c>
      <c r="E8171" t="str">
        <f t="shared" si="127"/>
        <v>001390</v>
      </c>
      <c r="F8171" t="s">
        <v>27246</v>
      </c>
      <c r="G8171" t="s">
        <v>27247</v>
      </c>
      <c r="H8171" t="s">
        <v>27248</v>
      </c>
      <c r="I8171" t="s">
        <v>43087</v>
      </c>
      <c r="J8171" t="s">
        <v>16239</v>
      </c>
      <c r="L8171" t="s">
        <v>27250</v>
      </c>
      <c r="M8171" t="s">
        <v>27251</v>
      </c>
      <c r="N8171" t="s">
        <v>27252</v>
      </c>
      <c r="P8171" t="s">
        <v>27925</v>
      </c>
      <c r="Q8171" s="1">
        <v>44538</v>
      </c>
      <c r="R8171" t="s">
        <v>27253</v>
      </c>
      <c r="S8171" t="s">
        <v>27254</v>
      </c>
      <c r="T8171" t="s">
        <v>27255</v>
      </c>
    </row>
    <row r="8172" spans="1:20" x14ac:dyDescent="0.3">
      <c r="A8172" t="str">
        <f>"0611836958100"</f>
        <v>0611836958100</v>
      </c>
      <c r="B8172" t="str">
        <f>"LK2676"</f>
        <v>LK2676</v>
      </c>
      <c r="C8172" t="s">
        <v>43088</v>
      </c>
      <c r="D8172" t="s">
        <v>28138</v>
      </c>
      <c r="E8172" t="str">
        <f t="shared" si="127"/>
        <v>001390</v>
      </c>
      <c r="F8172" t="s">
        <v>27246</v>
      </c>
      <c r="G8172" t="s">
        <v>27247</v>
      </c>
      <c r="H8172" t="s">
        <v>27248</v>
      </c>
      <c r="I8172" t="s">
        <v>43089</v>
      </c>
      <c r="J8172" t="s">
        <v>16241</v>
      </c>
      <c r="L8172" t="s">
        <v>27250</v>
      </c>
      <c r="M8172" t="s">
        <v>27251</v>
      </c>
      <c r="N8172" t="s">
        <v>27252</v>
      </c>
      <c r="P8172" t="s">
        <v>27925</v>
      </c>
      <c r="Q8172" s="1">
        <v>44538</v>
      </c>
      <c r="R8172" t="s">
        <v>27253</v>
      </c>
      <c r="S8172" t="s">
        <v>27254</v>
      </c>
      <c r="T8172" t="s">
        <v>27255</v>
      </c>
    </row>
    <row r="8173" spans="1:20" x14ac:dyDescent="0.3">
      <c r="A8173" t="str">
        <f>"0611836959100"</f>
        <v>0611836959100</v>
      </c>
      <c r="B8173" t="str">
        <f>"LK5822"</f>
        <v>LK5822</v>
      </c>
      <c r="C8173" t="s">
        <v>43090</v>
      </c>
      <c r="D8173" t="s">
        <v>28138</v>
      </c>
      <c r="E8173" t="str">
        <f t="shared" si="127"/>
        <v>001390</v>
      </c>
      <c r="F8173" t="s">
        <v>27246</v>
      </c>
      <c r="G8173" t="s">
        <v>27247</v>
      </c>
      <c r="H8173" t="s">
        <v>27248</v>
      </c>
      <c r="I8173" t="s">
        <v>43091</v>
      </c>
      <c r="J8173" t="s">
        <v>16243</v>
      </c>
      <c r="L8173" t="s">
        <v>27250</v>
      </c>
      <c r="M8173" t="s">
        <v>27251</v>
      </c>
      <c r="N8173" t="s">
        <v>27252</v>
      </c>
      <c r="P8173" t="s">
        <v>27925</v>
      </c>
      <c r="Q8173" s="1">
        <v>44538</v>
      </c>
      <c r="R8173" t="s">
        <v>27253</v>
      </c>
      <c r="S8173" t="s">
        <v>27254</v>
      </c>
      <c r="T8173" t="s">
        <v>27255</v>
      </c>
    </row>
    <row r="8174" spans="1:20" x14ac:dyDescent="0.3">
      <c r="A8174" t="str">
        <f>"0611836960100"</f>
        <v>0611836960100</v>
      </c>
      <c r="B8174" t="str">
        <f>"LB3746"</f>
        <v>LB3746</v>
      </c>
      <c r="C8174" t="s">
        <v>43092</v>
      </c>
      <c r="D8174" t="s">
        <v>28138</v>
      </c>
      <c r="E8174" t="str">
        <f t="shared" si="127"/>
        <v>001390</v>
      </c>
      <c r="F8174" t="s">
        <v>27246</v>
      </c>
      <c r="G8174" t="s">
        <v>27247</v>
      </c>
      <c r="H8174" t="s">
        <v>27248</v>
      </c>
      <c r="I8174" t="s">
        <v>43093</v>
      </c>
      <c r="J8174" t="s">
        <v>16245</v>
      </c>
      <c r="L8174" t="s">
        <v>27250</v>
      </c>
      <c r="M8174" t="s">
        <v>27251</v>
      </c>
      <c r="N8174" t="s">
        <v>27252</v>
      </c>
      <c r="P8174" t="s">
        <v>27925</v>
      </c>
      <c r="Q8174" s="1">
        <v>44538</v>
      </c>
      <c r="R8174" t="s">
        <v>27253</v>
      </c>
      <c r="S8174" t="s">
        <v>27254</v>
      </c>
      <c r="T8174" t="s">
        <v>27255</v>
      </c>
    </row>
    <row r="8175" spans="1:20" x14ac:dyDescent="0.3">
      <c r="A8175" t="str">
        <f>"0611836961100"</f>
        <v>0611836961100</v>
      </c>
      <c r="B8175" t="str">
        <f>"LB3742"</f>
        <v>LB3742</v>
      </c>
      <c r="C8175" t="s">
        <v>43094</v>
      </c>
      <c r="D8175" t="s">
        <v>28138</v>
      </c>
      <c r="E8175" t="str">
        <f t="shared" si="127"/>
        <v>001390</v>
      </c>
      <c r="F8175" t="s">
        <v>27246</v>
      </c>
      <c r="G8175" t="s">
        <v>27247</v>
      </c>
      <c r="H8175" t="s">
        <v>27248</v>
      </c>
      <c r="I8175" t="s">
        <v>43095</v>
      </c>
      <c r="J8175" t="s">
        <v>16247</v>
      </c>
      <c r="L8175" t="s">
        <v>27250</v>
      </c>
      <c r="M8175" t="s">
        <v>27251</v>
      </c>
      <c r="N8175" t="s">
        <v>27252</v>
      </c>
      <c r="P8175" t="s">
        <v>27925</v>
      </c>
      <c r="Q8175" s="1">
        <v>44538</v>
      </c>
      <c r="R8175" t="s">
        <v>27253</v>
      </c>
      <c r="S8175" t="s">
        <v>27254</v>
      </c>
      <c r="T8175" t="s">
        <v>27255</v>
      </c>
    </row>
    <row r="8176" spans="1:20" x14ac:dyDescent="0.3">
      <c r="A8176" t="str">
        <f>"0611836962100"</f>
        <v>0611836962100</v>
      </c>
      <c r="B8176" t="str">
        <f>"LK0243"</f>
        <v>LK0243</v>
      </c>
      <c r="C8176" t="s">
        <v>43096</v>
      </c>
      <c r="D8176" t="s">
        <v>28138</v>
      </c>
      <c r="E8176" t="str">
        <f t="shared" si="127"/>
        <v>001390</v>
      </c>
      <c r="F8176" t="s">
        <v>27246</v>
      </c>
      <c r="G8176" t="s">
        <v>27247</v>
      </c>
      <c r="H8176" t="s">
        <v>27248</v>
      </c>
      <c r="I8176" t="s">
        <v>43097</v>
      </c>
      <c r="J8176" t="s">
        <v>16249</v>
      </c>
      <c r="L8176" t="s">
        <v>27250</v>
      </c>
      <c r="M8176" t="s">
        <v>27251</v>
      </c>
      <c r="N8176" t="s">
        <v>27252</v>
      </c>
      <c r="P8176" t="s">
        <v>27925</v>
      </c>
      <c r="Q8176" s="1">
        <v>44538</v>
      </c>
      <c r="R8176" t="s">
        <v>27253</v>
      </c>
      <c r="S8176" t="s">
        <v>27254</v>
      </c>
      <c r="T8176" t="s">
        <v>27255</v>
      </c>
    </row>
    <row r="8177" spans="1:20" x14ac:dyDescent="0.3">
      <c r="A8177" t="str">
        <f>"0611836963100"</f>
        <v>0611836963100</v>
      </c>
      <c r="B8177" t="str">
        <f>"LB3743"</f>
        <v>LB3743</v>
      </c>
      <c r="C8177" t="s">
        <v>43098</v>
      </c>
      <c r="D8177" t="s">
        <v>28138</v>
      </c>
      <c r="E8177" t="str">
        <f t="shared" si="127"/>
        <v>001390</v>
      </c>
      <c r="F8177" t="s">
        <v>27246</v>
      </c>
      <c r="G8177" t="s">
        <v>27247</v>
      </c>
      <c r="H8177" t="s">
        <v>27248</v>
      </c>
      <c r="I8177" t="s">
        <v>43099</v>
      </c>
      <c r="J8177" t="s">
        <v>16251</v>
      </c>
      <c r="L8177" t="s">
        <v>27250</v>
      </c>
      <c r="M8177" t="s">
        <v>27251</v>
      </c>
      <c r="N8177" t="s">
        <v>27252</v>
      </c>
      <c r="P8177" t="s">
        <v>27925</v>
      </c>
      <c r="Q8177" s="1">
        <v>44538</v>
      </c>
      <c r="R8177" t="s">
        <v>27253</v>
      </c>
      <c r="S8177" t="s">
        <v>27254</v>
      </c>
      <c r="T8177" t="s">
        <v>27255</v>
      </c>
    </row>
    <row r="8178" spans="1:20" x14ac:dyDescent="0.3">
      <c r="A8178" t="str">
        <f>"0611836964100"</f>
        <v>0611836964100</v>
      </c>
      <c r="B8178" t="str">
        <f>"LB3744"</f>
        <v>LB3744</v>
      </c>
      <c r="C8178" t="s">
        <v>43100</v>
      </c>
      <c r="D8178" t="s">
        <v>28138</v>
      </c>
      <c r="E8178" t="str">
        <f t="shared" si="127"/>
        <v>001390</v>
      </c>
      <c r="F8178" t="s">
        <v>27246</v>
      </c>
      <c r="G8178" t="s">
        <v>27247</v>
      </c>
      <c r="H8178" t="s">
        <v>27248</v>
      </c>
      <c r="I8178" t="s">
        <v>43101</v>
      </c>
      <c r="J8178" t="s">
        <v>16253</v>
      </c>
      <c r="L8178" t="s">
        <v>27250</v>
      </c>
      <c r="M8178" t="s">
        <v>27251</v>
      </c>
      <c r="N8178" t="s">
        <v>27252</v>
      </c>
      <c r="P8178" t="s">
        <v>27925</v>
      </c>
      <c r="Q8178" s="1">
        <v>44538</v>
      </c>
      <c r="R8178" t="s">
        <v>27253</v>
      </c>
      <c r="S8178" t="s">
        <v>27254</v>
      </c>
      <c r="T8178" t="s">
        <v>27255</v>
      </c>
    </row>
    <row r="8179" spans="1:20" x14ac:dyDescent="0.3">
      <c r="A8179" t="str">
        <f>"0611836965100"</f>
        <v>0611836965100</v>
      </c>
      <c r="B8179" t="str">
        <f>"LB3747"</f>
        <v>LB3747</v>
      </c>
      <c r="C8179" t="s">
        <v>43102</v>
      </c>
      <c r="D8179" t="s">
        <v>28138</v>
      </c>
      <c r="E8179" t="str">
        <f t="shared" si="127"/>
        <v>001390</v>
      </c>
      <c r="F8179" t="s">
        <v>27246</v>
      </c>
      <c r="G8179" t="s">
        <v>27247</v>
      </c>
      <c r="H8179" t="s">
        <v>27248</v>
      </c>
      <c r="I8179" t="s">
        <v>43103</v>
      </c>
      <c r="J8179" t="s">
        <v>16255</v>
      </c>
      <c r="L8179" t="s">
        <v>27250</v>
      </c>
      <c r="M8179" t="s">
        <v>27251</v>
      </c>
      <c r="N8179" t="s">
        <v>27252</v>
      </c>
      <c r="P8179" t="s">
        <v>27925</v>
      </c>
      <c r="Q8179" s="1">
        <v>44538</v>
      </c>
      <c r="R8179" t="s">
        <v>27253</v>
      </c>
      <c r="S8179" t="s">
        <v>27254</v>
      </c>
      <c r="T8179" t="s">
        <v>27255</v>
      </c>
    </row>
    <row r="8180" spans="1:20" x14ac:dyDescent="0.3">
      <c r="A8180" t="str">
        <f>"0611836966100"</f>
        <v>0611836966100</v>
      </c>
      <c r="B8180" t="str">
        <f>"LB3745"</f>
        <v>LB3745</v>
      </c>
      <c r="C8180" t="s">
        <v>43104</v>
      </c>
      <c r="D8180" t="s">
        <v>28138</v>
      </c>
      <c r="E8180" t="str">
        <f t="shared" si="127"/>
        <v>001390</v>
      </c>
      <c r="F8180" t="s">
        <v>27246</v>
      </c>
      <c r="G8180" t="s">
        <v>27247</v>
      </c>
      <c r="H8180" t="s">
        <v>27248</v>
      </c>
      <c r="I8180" t="s">
        <v>43105</v>
      </c>
      <c r="J8180" t="s">
        <v>16257</v>
      </c>
      <c r="L8180" t="s">
        <v>27250</v>
      </c>
      <c r="M8180" t="s">
        <v>27251</v>
      </c>
      <c r="N8180" t="s">
        <v>27252</v>
      </c>
      <c r="P8180" t="s">
        <v>27925</v>
      </c>
      <c r="Q8180" s="1">
        <v>44538</v>
      </c>
      <c r="R8180" t="s">
        <v>27253</v>
      </c>
      <c r="S8180" t="s">
        <v>27254</v>
      </c>
      <c r="T8180" t="s">
        <v>27255</v>
      </c>
    </row>
    <row r="8181" spans="1:20" x14ac:dyDescent="0.3">
      <c r="A8181" t="str">
        <f>"0611836967100"</f>
        <v>0611836967100</v>
      </c>
      <c r="B8181" t="str">
        <f>"LK3887"</f>
        <v>LK3887</v>
      </c>
      <c r="C8181" t="s">
        <v>43106</v>
      </c>
      <c r="D8181" t="s">
        <v>27245</v>
      </c>
      <c r="E8181" t="str">
        <f t="shared" si="127"/>
        <v>001390</v>
      </c>
      <c r="F8181" t="s">
        <v>27246</v>
      </c>
      <c r="G8181" t="s">
        <v>27247</v>
      </c>
      <c r="H8181" t="s">
        <v>27248</v>
      </c>
      <c r="I8181" t="s">
        <v>43107</v>
      </c>
      <c r="J8181" t="s">
        <v>16259</v>
      </c>
      <c r="L8181" t="s">
        <v>27250</v>
      </c>
      <c r="M8181" t="s">
        <v>27251</v>
      </c>
      <c r="N8181" t="s">
        <v>27252</v>
      </c>
      <c r="Q8181" s="1">
        <v>44538</v>
      </c>
      <c r="R8181" t="s">
        <v>27253</v>
      </c>
      <c r="S8181" t="s">
        <v>27254</v>
      </c>
      <c r="T8181" t="s">
        <v>27255</v>
      </c>
    </row>
    <row r="8182" spans="1:20" x14ac:dyDescent="0.3">
      <c r="A8182" t="str">
        <f>"0611836968100"</f>
        <v>0611836968100</v>
      </c>
      <c r="B8182" t="str">
        <f>"LK3889"</f>
        <v>LK3889</v>
      </c>
      <c r="C8182" t="s">
        <v>43108</v>
      </c>
      <c r="D8182" t="s">
        <v>27245</v>
      </c>
      <c r="E8182" t="str">
        <f t="shared" si="127"/>
        <v>001390</v>
      </c>
      <c r="F8182" t="s">
        <v>27246</v>
      </c>
      <c r="G8182" t="s">
        <v>27247</v>
      </c>
      <c r="H8182" t="s">
        <v>27248</v>
      </c>
      <c r="I8182" t="s">
        <v>43109</v>
      </c>
      <c r="J8182" t="s">
        <v>16261</v>
      </c>
      <c r="L8182" t="s">
        <v>27250</v>
      </c>
      <c r="M8182" t="s">
        <v>27251</v>
      </c>
      <c r="N8182" t="s">
        <v>27252</v>
      </c>
      <c r="Q8182" s="1">
        <v>44538</v>
      </c>
      <c r="R8182" t="s">
        <v>27253</v>
      </c>
      <c r="S8182" t="s">
        <v>27254</v>
      </c>
      <c r="T8182" t="s">
        <v>27255</v>
      </c>
    </row>
    <row r="8183" spans="1:20" x14ac:dyDescent="0.3">
      <c r="A8183" t="str">
        <f>"0611836969100"</f>
        <v>0611836969100</v>
      </c>
      <c r="B8183" t="str">
        <f>"LK3890"</f>
        <v>LK3890</v>
      </c>
      <c r="C8183" t="s">
        <v>43110</v>
      </c>
      <c r="D8183" t="s">
        <v>27245</v>
      </c>
      <c r="E8183" t="str">
        <f t="shared" si="127"/>
        <v>001390</v>
      </c>
      <c r="F8183" t="s">
        <v>27246</v>
      </c>
      <c r="G8183" t="s">
        <v>27247</v>
      </c>
      <c r="H8183" t="s">
        <v>27248</v>
      </c>
      <c r="I8183" t="s">
        <v>43111</v>
      </c>
      <c r="J8183" t="s">
        <v>16263</v>
      </c>
      <c r="L8183" t="s">
        <v>27250</v>
      </c>
      <c r="M8183" t="s">
        <v>27251</v>
      </c>
      <c r="N8183" t="s">
        <v>27252</v>
      </c>
      <c r="Q8183" s="1">
        <v>44538</v>
      </c>
      <c r="R8183" t="s">
        <v>27253</v>
      </c>
      <c r="S8183" t="s">
        <v>27254</v>
      </c>
      <c r="T8183" t="s">
        <v>27255</v>
      </c>
    </row>
    <row r="8184" spans="1:20" x14ac:dyDescent="0.3">
      <c r="A8184" t="str">
        <f>"0611836970100"</f>
        <v>0611836970100</v>
      </c>
      <c r="B8184" t="str">
        <f>"LK3891"</f>
        <v>LK3891</v>
      </c>
      <c r="C8184" t="s">
        <v>43112</v>
      </c>
      <c r="D8184" t="s">
        <v>27245</v>
      </c>
      <c r="E8184" t="str">
        <f t="shared" si="127"/>
        <v>001390</v>
      </c>
      <c r="F8184" t="s">
        <v>27246</v>
      </c>
      <c r="G8184" t="s">
        <v>27247</v>
      </c>
      <c r="H8184" t="s">
        <v>27248</v>
      </c>
      <c r="I8184" t="s">
        <v>43113</v>
      </c>
      <c r="J8184" t="s">
        <v>16265</v>
      </c>
      <c r="L8184" t="s">
        <v>27250</v>
      </c>
      <c r="M8184" t="s">
        <v>27251</v>
      </c>
      <c r="N8184" t="s">
        <v>27252</v>
      </c>
      <c r="Q8184" s="1">
        <v>44538</v>
      </c>
      <c r="R8184" t="s">
        <v>27253</v>
      </c>
      <c r="S8184" t="s">
        <v>27254</v>
      </c>
      <c r="T8184" t="s">
        <v>27255</v>
      </c>
    </row>
    <row r="8185" spans="1:20" x14ac:dyDescent="0.3">
      <c r="A8185" t="str">
        <f>"0611836971100"</f>
        <v>0611836971100</v>
      </c>
      <c r="B8185" t="str">
        <f>"LK3894"</f>
        <v>LK3894</v>
      </c>
      <c r="C8185" t="s">
        <v>43114</v>
      </c>
      <c r="D8185" t="s">
        <v>27245</v>
      </c>
      <c r="E8185" t="str">
        <f t="shared" si="127"/>
        <v>001390</v>
      </c>
      <c r="F8185" t="s">
        <v>27246</v>
      </c>
      <c r="G8185" t="s">
        <v>27247</v>
      </c>
      <c r="H8185" t="s">
        <v>27248</v>
      </c>
      <c r="I8185" t="s">
        <v>43115</v>
      </c>
      <c r="J8185" t="s">
        <v>16267</v>
      </c>
      <c r="L8185" t="s">
        <v>27250</v>
      </c>
      <c r="M8185" t="s">
        <v>27251</v>
      </c>
      <c r="N8185" t="s">
        <v>27252</v>
      </c>
      <c r="Q8185" s="1">
        <v>44538</v>
      </c>
      <c r="R8185" t="s">
        <v>27253</v>
      </c>
      <c r="S8185" t="s">
        <v>27254</v>
      </c>
      <c r="T8185" t="s">
        <v>27255</v>
      </c>
    </row>
    <row r="8186" spans="1:20" x14ac:dyDescent="0.3">
      <c r="A8186" t="str">
        <f>"0611836972100"</f>
        <v>0611836972100</v>
      </c>
      <c r="B8186" t="str">
        <f>"LK3895"</f>
        <v>LK3895</v>
      </c>
      <c r="C8186" t="s">
        <v>43116</v>
      </c>
      <c r="D8186" t="s">
        <v>27245</v>
      </c>
      <c r="E8186" t="str">
        <f t="shared" si="127"/>
        <v>001390</v>
      </c>
      <c r="F8186" t="s">
        <v>27246</v>
      </c>
      <c r="G8186" t="s">
        <v>27247</v>
      </c>
      <c r="H8186" t="s">
        <v>27248</v>
      </c>
      <c r="I8186" t="s">
        <v>43117</v>
      </c>
      <c r="J8186" t="s">
        <v>16269</v>
      </c>
      <c r="L8186" t="s">
        <v>27250</v>
      </c>
      <c r="M8186" t="s">
        <v>27251</v>
      </c>
      <c r="N8186" t="s">
        <v>27252</v>
      </c>
      <c r="Q8186" s="1">
        <v>44538</v>
      </c>
      <c r="R8186" t="s">
        <v>27253</v>
      </c>
      <c r="S8186" t="s">
        <v>27254</v>
      </c>
      <c r="T8186" t="s">
        <v>27255</v>
      </c>
    </row>
    <row r="8187" spans="1:20" x14ac:dyDescent="0.3">
      <c r="A8187" t="str">
        <f>"0611836973100"</f>
        <v>0611836973100</v>
      </c>
      <c r="B8187" t="str">
        <f>"LB5729"</f>
        <v>LB5729</v>
      </c>
      <c r="C8187" t="s">
        <v>43118</v>
      </c>
      <c r="D8187" t="s">
        <v>27245</v>
      </c>
      <c r="E8187" t="str">
        <f t="shared" si="127"/>
        <v>001390</v>
      </c>
      <c r="F8187" t="s">
        <v>27246</v>
      </c>
      <c r="G8187" t="s">
        <v>27247</v>
      </c>
      <c r="H8187" t="s">
        <v>27248</v>
      </c>
      <c r="I8187" t="s">
        <v>43119</v>
      </c>
      <c r="J8187" t="s">
        <v>16271</v>
      </c>
      <c r="L8187" t="s">
        <v>27250</v>
      </c>
      <c r="M8187" t="s">
        <v>27251</v>
      </c>
      <c r="N8187" t="s">
        <v>27252</v>
      </c>
      <c r="Q8187" s="1">
        <v>44538</v>
      </c>
      <c r="R8187" t="s">
        <v>27253</v>
      </c>
      <c r="S8187" t="s">
        <v>27254</v>
      </c>
      <c r="T8187" t="s">
        <v>27255</v>
      </c>
    </row>
    <row r="8188" spans="1:20" x14ac:dyDescent="0.3">
      <c r="A8188" t="str">
        <f>"0611836975100"</f>
        <v>0611836975100</v>
      </c>
      <c r="B8188" t="str">
        <f>"LB5768"</f>
        <v>LB5768</v>
      </c>
      <c r="C8188" t="s">
        <v>43120</v>
      </c>
      <c r="D8188" t="s">
        <v>27245</v>
      </c>
      <c r="E8188" t="str">
        <f t="shared" si="127"/>
        <v>001390</v>
      </c>
      <c r="F8188" t="s">
        <v>27246</v>
      </c>
      <c r="G8188" t="s">
        <v>27247</v>
      </c>
      <c r="H8188" t="s">
        <v>27248</v>
      </c>
      <c r="I8188" t="s">
        <v>43121</v>
      </c>
      <c r="J8188" t="s">
        <v>16273</v>
      </c>
      <c r="L8188" t="s">
        <v>27250</v>
      </c>
      <c r="M8188" t="s">
        <v>27251</v>
      </c>
      <c r="N8188" t="s">
        <v>27252</v>
      </c>
      <c r="Q8188" s="1">
        <v>44538</v>
      </c>
      <c r="R8188" t="s">
        <v>27253</v>
      </c>
      <c r="S8188" t="s">
        <v>27254</v>
      </c>
      <c r="T8188" t="s">
        <v>27255</v>
      </c>
    </row>
    <row r="8189" spans="1:20" x14ac:dyDescent="0.3">
      <c r="A8189" t="str">
        <f>"0611836976100"</f>
        <v>0611836976100</v>
      </c>
      <c r="B8189" t="str">
        <f>"LB5765"</f>
        <v>LB5765</v>
      </c>
      <c r="C8189" t="s">
        <v>43122</v>
      </c>
      <c r="D8189" t="s">
        <v>27245</v>
      </c>
      <c r="E8189" t="str">
        <f t="shared" si="127"/>
        <v>001390</v>
      </c>
      <c r="F8189" t="s">
        <v>27246</v>
      </c>
      <c r="G8189" t="s">
        <v>27247</v>
      </c>
      <c r="H8189" t="s">
        <v>27248</v>
      </c>
      <c r="I8189" t="s">
        <v>43123</v>
      </c>
      <c r="J8189" t="s">
        <v>16275</v>
      </c>
      <c r="L8189" t="s">
        <v>27250</v>
      </c>
      <c r="M8189" t="s">
        <v>27251</v>
      </c>
      <c r="N8189" t="s">
        <v>27252</v>
      </c>
      <c r="Q8189" s="1">
        <v>44538</v>
      </c>
      <c r="R8189" t="s">
        <v>27253</v>
      </c>
      <c r="S8189" t="s">
        <v>27254</v>
      </c>
      <c r="T8189" t="s">
        <v>27255</v>
      </c>
    </row>
    <row r="8190" spans="1:20" x14ac:dyDescent="0.3">
      <c r="A8190" t="str">
        <f>"0611836977100"</f>
        <v>0611836977100</v>
      </c>
      <c r="B8190" t="str">
        <f>"LK0051"</f>
        <v>LK0051</v>
      </c>
      <c r="C8190" t="s">
        <v>43124</v>
      </c>
      <c r="D8190" t="s">
        <v>27245</v>
      </c>
      <c r="E8190" t="str">
        <f t="shared" si="127"/>
        <v>001390</v>
      </c>
      <c r="F8190" t="s">
        <v>27246</v>
      </c>
      <c r="G8190" t="s">
        <v>27247</v>
      </c>
      <c r="H8190" t="s">
        <v>27248</v>
      </c>
      <c r="I8190" t="s">
        <v>43125</v>
      </c>
      <c r="J8190" t="s">
        <v>16277</v>
      </c>
      <c r="L8190" t="s">
        <v>27250</v>
      </c>
      <c r="M8190" t="s">
        <v>27251</v>
      </c>
      <c r="N8190" t="s">
        <v>27252</v>
      </c>
      <c r="Q8190" s="1">
        <v>44538</v>
      </c>
      <c r="R8190" t="s">
        <v>27253</v>
      </c>
      <c r="S8190" t="s">
        <v>27254</v>
      </c>
      <c r="T8190" t="s">
        <v>27255</v>
      </c>
    </row>
    <row r="8191" spans="1:20" x14ac:dyDescent="0.3">
      <c r="A8191" t="str">
        <f>"0611836978100"</f>
        <v>0611836978100</v>
      </c>
      <c r="B8191" t="str">
        <f>"LY0262"</f>
        <v>LY0262</v>
      </c>
      <c r="C8191" t="s">
        <v>43126</v>
      </c>
      <c r="D8191" t="s">
        <v>27245</v>
      </c>
      <c r="E8191" t="str">
        <f t="shared" si="127"/>
        <v>001390</v>
      </c>
      <c r="F8191" t="s">
        <v>27246</v>
      </c>
      <c r="G8191" t="s">
        <v>27247</v>
      </c>
      <c r="H8191" t="s">
        <v>27248</v>
      </c>
      <c r="I8191" t="s">
        <v>43127</v>
      </c>
      <c r="J8191" t="s">
        <v>16279</v>
      </c>
      <c r="L8191" t="s">
        <v>27250</v>
      </c>
      <c r="M8191" t="s">
        <v>27251</v>
      </c>
      <c r="N8191" t="s">
        <v>27252</v>
      </c>
      <c r="Q8191" s="1">
        <v>44538</v>
      </c>
      <c r="R8191" t="s">
        <v>27253</v>
      </c>
      <c r="S8191" t="s">
        <v>27254</v>
      </c>
      <c r="T8191" t="s">
        <v>27255</v>
      </c>
    </row>
    <row r="8192" spans="1:20" x14ac:dyDescent="0.3">
      <c r="A8192" t="str">
        <f>"0611836979025"</f>
        <v>0611836979025</v>
      </c>
      <c r="B8192" t="str">
        <f>"MC2022"</f>
        <v>MC2022</v>
      </c>
      <c r="C8192" t="s">
        <v>43126</v>
      </c>
      <c r="D8192" t="s">
        <v>27267</v>
      </c>
      <c r="E8192" t="str">
        <f t="shared" si="127"/>
        <v>001390</v>
      </c>
      <c r="F8192" t="s">
        <v>27246</v>
      </c>
      <c r="G8192" t="s">
        <v>27247</v>
      </c>
      <c r="H8192" t="s">
        <v>27248</v>
      </c>
      <c r="I8192" t="s">
        <v>43128</v>
      </c>
      <c r="J8192" t="s">
        <v>16281</v>
      </c>
      <c r="L8192" t="s">
        <v>27250</v>
      </c>
      <c r="M8192" t="s">
        <v>27251</v>
      </c>
      <c r="N8192" t="s">
        <v>27252</v>
      </c>
      <c r="Q8192" s="1">
        <v>44538</v>
      </c>
      <c r="R8192" t="s">
        <v>27253</v>
      </c>
      <c r="S8192" t="s">
        <v>27254</v>
      </c>
      <c r="T8192" t="s">
        <v>27269</v>
      </c>
    </row>
    <row r="8193" spans="1:20" x14ac:dyDescent="0.3">
      <c r="A8193" t="str">
        <f>"0611857039025"</f>
        <v>0611857039025</v>
      </c>
      <c r="B8193" t="str">
        <f>"MQ0797"</f>
        <v>MQ0797</v>
      </c>
      <c r="C8193" t="s">
        <v>43129</v>
      </c>
      <c r="D8193" t="s">
        <v>27267</v>
      </c>
      <c r="E8193" t="str">
        <f t="shared" si="127"/>
        <v>001390</v>
      </c>
      <c r="F8193" t="s">
        <v>27246</v>
      </c>
      <c r="G8193" t="s">
        <v>27247</v>
      </c>
      <c r="H8193" t="s">
        <v>27248</v>
      </c>
      <c r="I8193" t="s">
        <v>43130</v>
      </c>
      <c r="J8193" t="s">
        <v>16283</v>
      </c>
      <c r="L8193" t="s">
        <v>27250</v>
      </c>
      <c r="M8193" t="s">
        <v>27251</v>
      </c>
      <c r="N8193" t="s">
        <v>27252</v>
      </c>
      <c r="Q8193" s="1">
        <v>44812</v>
      </c>
      <c r="R8193" t="s">
        <v>27253</v>
      </c>
      <c r="S8193" t="s">
        <v>27254</v>
      </c>
      <c r="T8193" t="s">
        <v>27269</v>
      </c>
    </row>
    <row r="8194" spans="1:20" x14ac:dyDescent="0.3">
      <c r="A8194" t="str">
        <f>"0611837028025"</f>
        <v>0611837028025</v>
      </c>
      <c r="B8194" t="str">
        <f>"MQ0308"</f>
        <v>MQ0308</v>
      </c>
      <c r="C8194" t="s">
        <v>43131</v>
      </c>
      <c r="D8194" t="s">
        <v>27267</v>
      </c>
      <c r="E8194" t="str">
        <f t="shared" ref="E8194:E8257" si="128">"001390"</f>
        <v>001390</v>
      </c>
      <c r="F8194" t="s">
        <v>27246</v>
      </c>
      <c r="G8194" t="s">
        <v>27247</v>
      </c>
      <c r="H8194" t="s">
        <v>27248</v>
      </c>
      <c r="I8194" t="s">
        <v>43132</v>
      </c>
      <c r="J8194" t="s">
        <v>16285</v>
      </c>
      <c r="L8194" t="s">
        <v>27250</v>
      </c>
      <c r="M8194" t="s">
        <v>27251</v>
      </c>
      <c r="N8194" t="s">
        <v>27252</v>
      </c>
      <c r="Q8194" s="1">
        <v>44538</v>
      </c>
      <c r="R8194" t="s">
        <v>27253</v>
      </c>
      <c r="S8194" t="s">
        <v>27254</v>
      </c>
      <c r="T8194" t="s">
        <v>27269</v>
      </c>
    </row>
    <row r="8195" spans="1:20" x14ac:dyDescent="0.3">
      <c r="A8195" t="str">
        <f>"0611837029100"</f>
        <v>0611837029100</v>
      </c>
      <c r="B8195" t="str">
        <f>"LH5967"</f>
        <v>LH5967</v>
      </c>
      <c r="C8195" t="s">
        <v>43133</v>
      </c>
      <c r="D8195" t="s">
        <v>27245</v>
      </c>
      <c r="E8195" t="str">
        <f t="shared" si="128"/>
        <v>001390</v>
      </c>
      <c r="F8195" t="s">
        <v>27246</v>
      </c>
      <c r="G8195" t="s">
        <v>27247</v>
      </c>
      <c r="H8195" t="s">
        <v>27248</v>
      </c>
      <c r="I8195" t="s">
        <v>43134</v>
      </c>
      <c r="J8195" t="s">
        <v>16287</v>
      </c>
      <c r="L8195" t="s">
        <v>27250</v>
      </c>
      <c r="M8195" t="s">
        <v>27251</v>
      </c>
      <c r="N8195" t="s">
        <v>27252</v>
      </c>
      <c r="Q8195" s="1">
        <v>44538</v>
      </c>
      <c r="R8195" t="s">
        <v>27253</v>
      </c>
      <c r="S8195" t="s">
        <v>27254</v>
      </c>
      <c r="T8195" t="s">
        <v>27255</v>
      </c>
    </row>
    <row r="8196" spans="1:20" x14ac:dyDescent="0.3">
      <c r="A8196" t="str">
        <f>"0611837030025"</f>
        <v>0611837030025</v>
      </c>
      <c r="B8196" t="str">
        <f>"MC0554"</f>
        <v>MC0554</v>
      </c>
      <c r="C8196" t="s">
        <v>43133</v>
      </c>
      <c r="D8196" t="s">
        <v>27267</v>
      </c>
      <c r="E8196" t="str">
        <f t="shared" si="128"/>
        <v>001390</v>
      </c>
      <c r="F8196" t="s">
        <v>27246</v>
      </c>
      <c r="G8196" t="s">
        <v>27247</v>
      </c>
      <c r="H8196" t="s">
        <v>27248</v>
      </c>
      <c r="I8196" t="s">
        <v>43135</v>
      </c>
      <c r="J8196" t="s">
        <v>16289</v>
      </c>
      <c r="L8196" t="s">
        <v>27250</v>
      </c>
      <c r="M8196" t="s">
        <v>27251</v>
      </c>
      <c r="N8196" t="s">
        <v>27252</v>
      </c>
      <c r="Q8196" s="1">
        <v>44538</v>
      </c>
      <c r="R8196" t="s">
        <v>27253</v>
      </c>
      <c r="S8196" t="s">
        <v>27254</v>
      </c>
      <c r="T8196" t="s">
        <v>27269</v>
      </c>
    </row>
    <row r="8197" spans="1:20" x14ac:dyDescent="0.3">
      <c r="A8197" t="str">
        <f>"0611837031025"</f>
        <v>0611837031025</v>
      </c>
      <c r="B8197" t="str">
        <f>"MC0555"</f>
        <v>MC0555</v>
      </c>
      <c r="C8197" t="s">
        <v>43136</v>
      </c>
      <c r="D8197" t="s">
        <v>27267</v>
      </c>
      <c r="E8197" t="str">
        <f t="shared" si="128"/>
        <v>001390</v>
      </c>
      <c r="F8197" t="s">
        <v>27246</v>
      </c>
      <c r="G8197" t="s">
        <v>27247</v>
      </c>
      <c r="H8197" t="s">
        <v>27248</v>
      </c>
      <c r="I8197" t="s">
        <v>43137</v>
      </c>
      <c r="J8197" t="s">
        <v>16291</v>
      </c>
      <c r="L8197" t="s">
        <v>27250</v>
      </c>
      <c r="M8197" t="s">
        <v>27251</v>
      </c>
      <c r="N8197" t="s">
        <v>27252</v>
      </c>
      <c r="Q8197" s="1">
        <v>44538</v>
      </c>
      <c r="R8197" t="s">
        <v>27253</v>
      </c>
      <c r="S8197" t="s">
        <v>27254</v>
      </c>
      <c r="T8197" t="s">
        <v>27269</v>
      </c>
    </row>
    <row r="8198" spans="1:20" x14ac:dyDescent="0.3">
      <c r="A8198" t="str">
        <f>"0611863326100"</f>
        <v>0611863326100</v>
      </c>
      <c r="B8198" t="str">
        <f>"CN5272"</f>
        <v>CN5272</v>
      </c>
      <c r="C8198" t="s">
        <v>43138</v>
      </c>
      <c r="D8198" t="s">
        <v>27335</v>
      </c>
      <c r="E8198" t="str">
        <f t="shared" si="128"/>
        <v>001390</v>
      </c>
      <c r="F8198" t="s">
        <v>27246</v>
      </c>
      <c r="G8198" t="s">
        <v>27247</v>
      </c>
      <c r="H8198" t="s">
        <v>27248</v>
      </c>
      <c r="I8198" t="s">
        <v>43139</v>
      </c>
      <c r="J8198" t="s">
        <v>16293</v>
      </c>
      <c r="L8198" t="s">
        <v>27250</v>
      </c>
      <c r="M8198" t="s">
        <v>27251</v>
      </c>
      <c r="N8198" t="s">
        <v>27252</v>
      </c>
      <c r="Q8198" s="1">
        <v>44846</v>
      </c>
      <c r="R8198" t="s">
        <v>27253</v>
      </c>
      <c r="S8198" t="s">
        <v>27254</v>
      </c>
      <c r="T8198" t="s">
        <v>27255</v>
      </c>
    </row>
    <row r="8199" spans="1:20" x14ac:dyDescent="0.3">
      <c r="A8199" t="str">
        <f>"0611837032100"</f>
        <v>0611837032100</v>
      </c>
      <c r="B8199" t="str">
        <f>"LH5969"</f>
        <v>LH5969</v>
      </c>
      <c r="C8199" t="s">
        <v>43140</v>
      </c>
      <c r="D8199" t="s">
        <v>27245</v>
      </c>
      <c r="E8199" t="str">
        <f t="shared" si="128"/>
        <v>001390</v>
      </c>
      <c r="F8199" t="s">
        <v>27246</v>
      </c>
      <c r="G8199" t="s">
        <v>27247</v>
      </c>
      <c r="H8199" t="s">
        <v>27248</v>
      </c>
      <c r="I8199" t="s">
        <v>43141</v>
      </c>
      <c r="J8199" t="s">
        <v>16295</v>
      </c>
      <c r="L8199" t="s">
        <v>27250</v>
      </c>
      <c r="M8199" t="s">
        <v>27251</v>
      </c>
      <c r="N8199" t="s">
        <v>27252</v>
      </c>
      <c r="Q8199" s="1">
        <v>44538</v>
      </c>
      <c r="R8199" t="s">
        <v>27253</v>
      </c>
      <c r="S8199" t="s">
        <v>27254</v>
      </c>
      <c r="T8199" t="s">
        <v>27255</v>
      </c>
    </row>
    <row r="8200" spans="1:20" x14ac:dyDescent="0.3">
      <c r="A8200" t="str">
        <f>"0611837033025"</f>
        <v>0611837033025</v>
      </c>
      <c r="B8200" t="str">
        <f>"MC0552"</f>
        <v>MC0552</v>
      </c>
      <c r="C8200" t="s">
        <v>43140</v>
      </c>
      <c r="D8200" t="s">
        <v>27267</v>
      </c>
      <c r="E8200" t="str">
        <f t="shared" si="128"/>
        <v>001390</v>
      </c>
      <c r="F8200" t="s">
        <v>27246</v>
      </c>
      <c r="G8200" t="s">
        <v>27247</v>
      </c>
      <c r="H8200" t="s">
        <v>27248</v>
      </c>
      <c r="I8200" t="s">
        <v>43142</v>
      </c>
      <c r="J8200" t="s">
        <v>16297</v>
      </c>
      <c r="L8200" t="s">
        <v>27250</v>
      </c>
      <c r="M8200" t="s">
        <v>27251</v>
      </c>
      <c r="N8200" t="s">
        <v>27252</v>
      </c>
      <c r="Q8200" s="1">
        <v>44538</v>
      </c>
      <c r="R8200" t="s">
        <v>27253</v>
      </c>
      <c r="S8200" t="s">
        <v>27254</v>
      </c>
      <c r="T8200" t="s">
        <v>27269</v>
      </c>
    </row>
    <row r="8201" spans="1:20" x14ac:dyDescent="0.3">
      <c r="A8201" t="str">
        <f>"0611863327050"</f>
        <v>0611863327050</v>
      </c>
      <c r="B8201" t="str">
        <f>"CR4388"</f>
        <v>CR4388</v>
      </c>
      <c r="C8201" t="s">
        <v>43143</v>
      </c>
      <c r="D8201" t="s">
        <v>27286</v>
      </c>
      <c r="E8201" t="str">
        <f t="shared" si="128"/>
        <v>001390</v>
      </c>
      <c r="F8201" t="s">
        <v>27246</v>
      </c>
      <c r="G8201" t="s">
        <v>27247</v>
      </c>
      <c r="H8201" t="s">
        <v>27248</v>
      </c>
      <c r="I8201" t="s">
        <v>43144</v>
      </c>
      <c r="J8201" t="s">
        <v>16299</v>
      </c>
      <c r="L8201" t="s">
        <v>27250</v>
      </c>
      <c r="M8201" t="s">
        <v>27251</v>
      </c>
      <c r="N8201" t="s">
        <v>27252</v>
      </c>
      <c r="Q8201" s="1">
        <v>44846</v>
      </c>
      <c r="R8201" t="s">
        <v>27253</v>
      </c>
      <c r="S8201" t="s">
        <v>27254</v>
      </c>
      <c r="T8201" t="s">
        <v>27265</v>
      </c>
    </row>
    <row r="8202" spans="1:20" x14ac:dyDescent="0.3">
      <c r="A8202" t="str">
        <f>"0611837034025"</f>
        <v>0611837034025</v>
      </c>
      <c r="B8202" t="str">
        <f>"MC2023"</f>
        <v>MC2023</v>
      </c>
      <c r="C8202" t="s">
        <v>43145</v>
      </c>
      <c r="D8202" t="s">
        <v>27267</v>
      </c>
      <c r="E8202" t="str">
        <f t="shared" si="128"/>
        <v>001390</v>
      </c>
      <c r="F8202" t="s">
        <v>27246</v>
      </c>
      <c r="G8202" t="s">
        <v>27247</v>
      </c>
      <c r="H8202" t="s">
        <v>27248</v>
      </c>
      <c r="I8202" t="s">
        <v>43146</v>
      </c>
      <c r="J8202" t="s">
        <v>16301</v>
      </c>
      <c r="L8202" t="s">
        <v>27250</v>
      </c>
      <c r="M8202" t="s">
        <v>27251</v>
      </c>
      <c r="N8202" t="s">
        <v>27252</v>
      </c>
      <c r="Q8202" s="1">
        <v>44538</v>
      </c>
      <c r="R8202" t="s">
        <v>27253</v>
      </c>
      <c r="S8202" t="s">
        <v>27254</v>
      </c>
      <c r="T8202" t="s">
        <v>27269</v>
      </c>
    </row>
    <row r="8203" spans="1:20" x14ac:dyDescent="0.3">
      <c r="A8203" t="str">
        <f>"0611863328100"</f>
        <v>0611863328100</v>
      </c>
      <c r="B8203" t="str">
        <f>"CN5273"</f>
        <v>CN5273</v>
      </c>
      <c r="C8203" t="s">
        <v>43147</v>
      </c>
      <c r="D8203" t="s">
        <v>27335</v>
      </c>
      <c r="E8203" t="str">
        <f t="shared" si="128"/>
        <v>001390</v>
      </c>
      <c r="F8203" t="s">
        <v>27246</v>
      </c>
      <c r="G8203" t="s">
        <v>27247</v>
      </c>
      <c r="H8203" t="s">
        <v>27248</v>
      </c>
      <c r="I8203" t="s">
        <v>43148</v>
      </c>
      <c r="J8203" t="s">
        <v>16303</v>
      </c>
      <c r="L8203" t="s">
        <v>27250</v>
      </c>
      <c r="M8203" t="s">
        <v>27251</v>
      </c>
      <c r="N8203" t="s">
        <v>27252</v>
      </c>
      <c r="Q8203" s="1">
        <v>44846</v>
      </c>
      <c r="R8203" t="s">
        <v>27253</v>
      </c>
      <c r="S8203" t="s">
        <v>27254</v>
      </c>
      <c r="T8203" t="s">
        <v>27255</v>
      </c>
    </row>
    <row r="8204" spans="1:20" x14ac:dyDescent="0.3">
      <c r="A8204" t="str">
        <f>"0611863329050"</f>
        <v>0611863329050</v>
      </c>
      <c r="B8204" t="str">
        <f>"CR4389"</f>
        <v>CR4389</v>
      </c>
      <c r="C8204" t="s">
        <v>43149</v>
      </c>
      <c r="D8204" t="s">
        <v>27286</v>
      </c>
      <c r="E8204" t="str">
        <f t="shared" si="128"/>
        <v>001390</v>
      </c>
      <c r="F8204" t="s">
        <v>27246</v>
      </c>
      <c r="G8204" t="s">
        <v>27247</v>
      </c>
      <c r="H8204" t="s">
        <v>27248</v>
      </c>
      <c r="I8204" t="s">
        <v>43150</v>
      </c>
      <c r="J8204" t="s">
        <v>16305</v>
      </c>
      <c r="L8204" t="s">
        <v>27250</v>
      </c>
      <c r="M8204" t="s">
        <v>27251</v>
      </c>
      <c r="N8204" t="s">
        <v>27252</v>
      </c>
      <c r="Q8204" s="1">
        <v>44846</v>
      </c>
      <c r="R8204" t="s">
        <v>27253</v>
      </c>
      <c r="S8204" t="s">
        <v>27254</v>
      </c>
      <c r="T8204" t="s">
        <v>27265</v>
      </c>
    </row>
    <row r="8205" spans="1:20" x14ac:dyDescent="0.3">
      <c r="A8205" t="str">
        <f>"0611837035025"</f>
        <v>0611837035025</v>
      </c>
      <c r="B8205" t="str">
        <f>"MC0553"</f>
        <v>MC0553</v>
      </c>
      <c r="C8205" t="s">
        <v>43151</v>
      </c>
      <c r="D8205" t="s">
        <v>27267</v>
      </c>
      <c r="E8205" t="str">
        <f t="shared" si="128"/>
        <v>001390</v>
      </c>
      <c r="F8205" t="s">
        <v>27246</v>
      </c>
      <c r="G8205" t="s">
        <v>27247</v>
      </c>
      <c r="H8205" t="s">
        <v>27248</v>
      </c>
      <c r="I8205" t="s">
        <v>43152</v>
      </c>
      <c r="J8205" t="s">
        <v>16307</v>
      </c>
      <c r="L8205" t="s">
        <v>27250</v>
      </c>
      <c r="M8205" t="s">
        <v>27251</v>
      </c>
      <c r="N8205" t="s">
        <v>27252</v>
      </c>
      <c r="Q8205" s="1">
        <v>44538</v>
      </c>
      <c r="R8205" t="s">
        <v>27253</v>
      </c>
      <c r="S8205" t="s">
        <v>27254</v>
      </c>
      <c r="T8205" t="s">
        <v>27269</v>
      </c>
    </row>
    <row r="8206" spans="1:20" x14ac:dyDescent="0.3">
      <c r="A8206" t="str">
        <f>"0611830436100"</f>
        <v>0611830436100</v>
      </c>
      <c r="B8206" t="str">
        <f>"LL2706"</f>
        <v>LL2706</v>
      </c>
      <c r="C8206" t="s">
        <v>43153</v>
      </c>
      <c r="D8206" t="s">
        <v>27245</v>
      </c>
      <c r="E8206" t="str">
        <f t="shared" si="128"/>
        <v>001390</v>
      </c>
      <c r="F8206" t="s">
        <v>27246</v>
      </c>
      <c r="G8206" t="s">
        <v>27247</v>
      </c>
      <c r="H8206" t="s">
        <v>27248</v>
      </c>
      <c r="I8206" t="s">
        <v>43154</v>
      </c>
      <c r="J8206" t="s">
        <v>16309</v>
      </c>
      <c r="L8206" t="s">
        <v>27250</v>
      </c>
      <c r="M8206" t="s">
        <v>27251</v>
      </c>
      <c r="N8206" t="s">
        <v>27252</v>
      </c>
      <c r="Q8206" s="1">
        <v>44538</v>
      </c>
      <c r="R8206" t="s">
        <v>27253</v>
      </c>
      <c r="S8206" t="s">
        <v>27254</v>
      </c>
      <c r="T8206" t="s">
        <v>27255</v>
      </c>
    </row>
    <row r="8207" spans="1:20" x14ac:dyDescent="0.3">
      <c r="A8207" t="str">
        <f>"0611830437100"</f>
        <v>0611830437100</v>
      </c>
      <c r="B8207" t="str">
        <f>"LL2702"</f>
        <v>LL2702</v>
      </c>
      <c r="C8207" t="s">
        <v>43155</v>
      </c>
      <c r="D8207" t="s">
        <v>27245</v>
      </c>
      <c r="E8207" t="str">
        <f t="shared" si="128"/>
        <v>001390</v>
      </c>
      <c r="F8207" t="s">
        <v>27246</v>
      </c>
      <c r="G8207" t="s">
        <v>27247</v>
      </c>
      <c r="H8207" t="s">
        <v>27248</v>
      </c>
      <c r="I8207" t="s">
        <v>43156</v>
      </c>
      <c r="J8207" t="s">
        <v>16311</v>
      </c>
      <c r="L8207" t="s">
        <v>27250</v>
      </c>
      <c r="M8207" t="s">
        <v>27251</v>
      </c>
      <c r="N8207" t="s">
        <v>27252</v>
      </c>
      <c r="Q8207" s="1">
        <v>44538</v>
      </c>
      <c r="R8207" t="s">
        <v>27253</v>
      </c>
      <c r="S8207" t="s">
        <v>27254</v>
      </c>
      <c r="T8207" t="s">
        <v>27255</v>
      </c>
    </row>
    <row r="8208" spans="1:20" x14ac:dyDescent="0.3">
      <c r="A8208" t="str">
        <f>"0611830438100"</f>
        <v>0611830438100</v>
      </c>
      <c r="B8208" t="str">
        <f>"LL8329"</f>
        <v>LL8329</v>
      </c>
      <c r="C8208" t="s">
        <v>43157</v>
      </c>
      <c r="D8208" t="s">
        <v>27245</v>
      </c>
      <c r="E8208" t="str">
        <f t="shared" si="128"/>
        <v>001390</v>
      </c>
      <c r="F8208" t="s">
        <v>27246</v>
      </c>
      <c r="G8208" t="s">
        <v>27247</v>
      </c>
      <c r="H8208" t="s">
        <v>27248</v>
      </c>
      <c r="I8208" t="s">
        <v>43158</v>
      </c>
      <c r="J8208" t="s">
        <v>16313</v>
      </c>
      <c r="L8208" t="s">
        <v>27250</v>
      </c>
      <c r="M8208" t="s">
        <v>27251</v>
      </c>
      <c r="N8208" t="s">
        <v>27252</v>
      </c>
      <c r="Q8208" s="1">
        <v>44538</v>
      </c>
      <c r="R8208" t="s">
        <v>27253</v>
      </c>
      <c r="S8208" t="s">
        <v>27254</v>
      </c>
      <c r="T8208" t="s">
        <v>27255</v>
      </c>
    </row>
    <row r="8209" spans="1:20" x14ac:dyDescent="0.3">
      <c r="A8209" t="str">
        <f>"0611830439100"</f>
        <v>0611830439100</v>
      </c>
      <c r="B8209" t="str">
        <f>"LL2701"</f>
        <v>LL2701</v>
      </c>
      <c r="C8209" t="s">
        <v>43159</v>
      </c>
      <c r="D8209" t="s">
        <v>27245</v>
      </c>
      <c r="E8209" t="str">
        <f t="shared" si="128"/>
        <v>001390</v>
      </c>
      <c r="F8209" t="s">
        <v>27246</v>
      </c>
      <c r="G8209" t="s">
        <v>27247</v>
      </c>
      <c r="H8209" t="s">
        <v>27248</v>
      </c>
      <c r="I8209" t="s">
        <v>43160</v>
      </c>
      <c r="J8209" t="s">
        <v>16315</v>
      </c>
      <c r="L8209" t="s">
        <v>27250</v>
      </c>
      <c r="M8209" t="s">
        <v>27251</v>
      </c>
      <c r="N8209" t="s">
        <v>27252</v>
      </c>
      <c r="Q8209" s="1">
        <v>44538</v>
      </c>
      <c r="R8209" t="s">
        <v>27253</v>
      </c>
      <c r="S8209" t="s">
        <v>27254</v>
      </c>
      <c r="T8209" t="s">
        <v>27255</v>
      </c>
    </row>
    <row r="8210" spans="1:20" x14ac:dyDescent="0.3">
      <c r="A8210" t="str">
        <f>"0611830440100"</f>
        <v>0611830440100</v>
      </c>
      <c r="B8210" t="str">
        <f>"LL0040"</f>
        <v>LL0040</v>
      </c>
      <c r="C8210" t="s">
        <v>43161</v>
      </c>
      <c r="D8210" t="s">
        <v>27245</v>
      </c>
      <c r="E8210" t="str">
        <f t="shared" si="128"/>
        <v>001390</v>
      </c>
      <c r="F8210" t="s">
        <v>27246</v>
      </c>
      <c r="G8210" t="s">
        <v>27247</v>
      </c>
      <c r="H8210" t="s">
        <v>27248</v>
      </c>
      <c r="I8210" t="s">
        <v>43162</v>
      </c>
      <c r="J8210" t="s">
        <v>16317</v>
      </c>
      <c r="L8210" t="s">
        <v>27250</v>
      </c>
      <c r="M8210" t="s">
        <v>27251</v>
      </c>
      <c r="N8210" t="s">
        <v>27252</v>
      </c>
      <c r="Q8210" s="1">
        <v>44538</v>
      </c>
      <c r="R8210" t="s">
        <v>27253</v>
      </c>
      <c r="S8210" t="s">
        <v>27254</v>
      </c>
      <c r="T8210" t="s">
        <v>27255</v>
      </c>
    </row>
    <row r="8211" spans="1:20" x14ac:dyDescent="0.3">
      <c r="A8211" t="str">
        <f>"0611830441100"</f>
        <v>0611830441100</v>
      </c>
      <c r="B8211" t="str">
        <f>"LL0041"</f>
        <v>LL0041</v>
      </c>
      <c r="C8211" t="s">
        <v>43163</v>
      </c>
      <c r="D8211" t="s">
        <v>27245</v>
      </c>
      <c r="E8211" t="str">
        <f t="shared" si="128"/>
        <v>001390</v>
      </c>
      <c r="F8211" t="s">
        <v>27246</v>
      </c>
      <c r="G8211" t="s">
        <v>27247</v>
      </c>
      <c r="H8211" t="s">
        <v>27248</v>
      </c>
      <c r="I8211" t="s">
        <v>43164</v>
      </c>
      <c r="J8211" t="s">
        <v>16319</v>
      </c>
      <c r="L8211" t="s">
        <v>27250</v>
      </c>
      <c r="M8211" t="s">
        <v>27251</v>
      </c>
      <c r="N8211" t="s">
        <v>27252</v>
      </c>
      <c r="Q8211" s="1">
        <v>44538</v>
      </c>
      <c r="R8211" t="s">
        <v>27253</v>
      </c>
      <c r="S8211" t="s">
        <v>27254</v>
      </c>
      <c r="T8211" t="s">
        <v>27255</v>
      </c>
    </row>
    <row r="8212" spans="1:20" x14ac:dyDescent="0.3">
      <c r="A8212" t="str">
        <f>"0611830444100"</f>
        <v>0611830444100</v>
      </c>
      <c r="B8212" t="str">
        <f>"LL2700"</f>
        <v>LL2700</v>
      </c>
      <c r="C8212" t="s">
        <v>43165</v>
      </c>
      <c r="D8212" t="s">
        <v>27245</v>
      </c>
      <c r="E8212" t="str">
        <f t="shared" si="128"/>
        <v>001390</v>
      </c>
      <c r="F8212" t="s">
        <v>27246</v>
      </c>
      <c r="G8212" t="s">
        <v>27247</v>
      </c>
      <c r="H8212" t="s">
        <v>27248</v>
      </c>
      <c r="I8212" t="s">
        <v>43166</v>
      </c>
      <c r="J8212" t="s">
        <v>16321</v>
      </c>
      <c r="L8212" t="s">
        <v>27250</v>
      </c>
      <c r="M8212" t="s">
        <v>27251</v>
      </c>
      <c r="N8212" t="s">
        <v>27252</v>
      </c>
      <c r="Q8212" s="1">
        <v>44538</v>
      </c>
      <c r="R8212" t="s">
        <v>27253</v>
      </c>
      <c r="S8212" t="s">
        <v>27254</v>
      </c>
      <c r="T8212" t="s">
        <v>27255</v>
      </c>
    </row>
    <row r="8213" spans="1:20" x14ac:dyDescent="0.3">
      <c r="A8213" t="str">
        <f>"0611830442100"</f>
        <v>0611830442100</v>
      </c>
      <c r="B8213" t="str">
        <f>"LL4837"</f>
        <v>LL4837</v>
      </c>
      <c r="C8213" t="s">
        <v>43167</v>
      </c>
      <c r="D8213" t="s">
        <v>28138</v>
      </c>
      <c r="E8213" t="str">
        <f t="shared" si="128"/>
        <v>001390</v>
      </c>
      <c r="F8213" t="s">
        <v>27246</v>
      </c>
      <c r="G8213" t="s">
        <v>27247</v>
      </c>
      <c r="H8213" t="s">
        <v>27248</v>
      </c>
      <c r="I8213" t="s">
        <v>43168</v>
      </c>
      <c r="J8213" t="s">
        <v>16323</v>
      </c>
      <c r="L8213" t="s">
        <v>27250</v>
      </c>
      <c r="M8213" t="s">
        <v>27251</v>
      </c>
      <c r="N8213" t="s">
        <v>27252</v>
      </c>
      <c r="P8213" t="s">
        <v>27925</v>
      </c>
      <c r="Q8213" s="1">
        <v>44538</v>
      </c>
      <c r="R8213" t="s">
        <v>27253</v>
      </c>
      <c r="S8213" t="s">
        <v>27254</v>
      </c>
      <c r="T8213" t="s">
        <v>27255</v>
      </c>
    </row>
    <row r="8214" spans="1:20" x14ac:dyDescent="0.3">
      <c r="A8214" t="str">
        <f>"0611830443100"</f>
        <v>0611830443100</v>
      </c>
      <c r="B8214" t="str">
        <f>"LL8204"</f>
        <v>LL8204</v>
      </c>
      <c r="C8214" t="s">
        <v>43169</v>
      </c>
      <c r="D8214" t="s">
        <v>27245</v>
      </c>
      <c r="E8214" t="str">
        <f t="shared" si="128"/>
        <v>001390</v>
      </c>
      <c r="F8214" t="s">
        <v>27246</v>
      </c>
      <c r="G8214" t="s">
        <v>27247</v>
      </c>
      <c r="H8214" t="s">
        <v>27248</v>
      </c>
      <c r="I8214" t="s">
        <v>43170</v>
      </c>
      <c r="J8214" t="s">
        <v>16325</v>
      </c>
      <c r="L8214" t="s">
        <v>27250</v>
      </c>
      <c r="M8214" t="s">
        <v>27251</v>
      </c>
      <c r="N8214" t="s">
        <v>27252</v>
      </c>
      <c r="Q8214" s="1">
        <v>44538</v>
      </c>
      <c r="R8214" t="s">
        <v>27253</v>
      </c>
      <c r="S8214" t="s">
        <v>27254</v>
      </c>
      <c r="T8214" t="s">
        <v>27255</v>
      </c>
    </row>
    <row r="8215" spans="1:20" x14ac:dyDescent="0.3">
      <c r="A8215" t="str">
        <f>"0611830635100"</f>
        <v>0611830635100</v>
      </c>
      <c r="B8215" t="str">
        <f>"LL2861"</f>
        <v>LL2861</v>
      </c>
      <c r="C8215" t="s">
        <v>43171</v>
      </c>
      <c r="D8215" t="s">
        <v>27245</v>
      </c>
      <c r="E8215" t="str">
        <f t="shared" si="128"/>
        <v>001390</v>
      </c>
      <c r="F8215" t="s">
        <v>27246</v>
      </c>
      <c r="G8215" t="s">
        <v>27247</v>
      </c>
      <c r="H8215" t="s">
        <v>27248</v>
      </c>
      <c r="I8215" t="s">
        <v>43172</v>
      </c>
      <c r="J8215" t="s">
        <v>16327</v>
      </c>
      <c r="L8215" t="s">
        <v>27250</v>
      </c>
      <c r="M8215" t="s">
        <v>27251</v>
      </c>
      <c r="N8215" t="s">
        <v>27252</v>
      </c>
      <c r="Q8215" s="1">
        <v>44538</v>
      </c>
      <c r="R8215" t="s">
        <v>27253</v>
      </c>
      <c r="S8215" t="s">
        <v>27254</v>
      </c>
      <c r="T8215" t="s">
        <v>27255</v>
      </c>
    </row>
    <row r="8216" spans="1:20" x14ac:dyDescent="0.3">
      <c r="A8216" t="str">
        <f>"0611830641100"</f>
        <v>0611830641100</v>
      </c>
      <c r="B8216" t="str">
        <f>"LL0160"</f>
        <v>LL0160</v>
      </c>
      <c r="C8216" t="s">
        <v>43173</v>
      </c>
      <c r="D8216" t="s">
        <v>27245</v>
      </c>
      <c r="E8216" t="str">
        <f t="shared" si="128"/>
        <v>001390</v>
      </c>
      <c r="F8216" t="s">
        <v>27246</v>
      </c>
      <c r="G8216" t="s">
        <v>27247</v>
      </c>
      <c r="H8216" t="s">
        <v>27248</v>
      </c>
      <c r="I8216" t="s">
        <v>43174</v>
      </c>
      <c r="J8216" t="s">
        <v>16329</v>
      </c>
      <c r="L8216" t="s">
        <v>27250</v>
      </c>
      <c r="M8216" t="s">
        <v>27251</v>
      </c>
      <c r="N8216" t="s">
        <v>27252</v>
      </c>
      <c r="Q8216" s="1">
        <v>44538</v>
      </c>
      <c r="R8216" t="s">
        <v>27253</v>
      </c>
      <c r="S8216" t="s">
        <v>27254</v>
      </c>
      <c r="T8216" t="s">
        <v>27255</v>
      </c>
    </row>
    <row r="8217" spans="1:20" x14ac:dyDescent="0.3">
      <c r="A8217" t="str">
        <f>"0611830643100"</f>
        <v>0611830643100</v>
      </c>
      <c r="B8217" t="str">
        <f>"LL2827"</f>
        <v>LL2827</v>
      </c>
      <c r="C8217" t="s">
        <v>43175</v>
      </c>
      <c r="D8217" t="s">
        <v>27245</v>
      </c>
      <c r="E8217" t="str">
        <f t="shared" si="128"/>
        <v>001390</v>
      </c>
      <c r="F8217" t="s">
        <v>27246</v>
      </c>
      <c r="G8217" t="s">
        <v>27247</v>
      </c>
      <c r="H8217" t="s">
        <v>27248</v>
      </c>
      <c r="I8217" t="s">
        <v>43176</v>
      </c>
      <c r="J8217" t="s">
        <v>16331</v>
      </c>
      <c r="L8217" t="s">
        <v>27250</v>
      </c>
      <c r="M8217" t="s">
        <v>27251</v>
      </c>
      <c r="N8217" t="s">
        <v>27252</v>
      </c>
      <c r="Q8217" s="1">
        <v>44538</v>
      </c>
      <c r="R8217" t="s">
        <v>27253</v>
      </c>
      <c r="S8217" t="s">
        <v>27254</v>
      </c>
      <c r="T8217" t="s">
        <v>27255</v>
      </c>
    </row>
    <row r="8218" spans="1:20" x14ac:dyDescent="0.3">
      <c r="A8218" t="str">
        <f>"0611830651100"</f>
        <v>0611830651100</v>
      </c>
      <c r="B8218" t="str">
        <f>"LL2833"</f>
        <v>LL2833</v>
      </c>
      <c r="C8218" t="s">
        <v>43177</v>
      </c>
      <c r="D8218" t="s">
        <v>27245</v>
      </c>
      <c r="E8218" t="str">
        <f t="shared" si="128"/>
        <v>001390</v>
      </c>
      <c r="F8218" t="s">
        <v>27246</v>
      </c>
      <c r="G8218" t="s">
        <v>27247</v>
      </c>
      <c r="H8218" t="s">
        <v>27248</v>
      </c>
      <c r="I8218" t="s">
        <v>43178</v>
      </c>
      <c r="J8218" t="s">
        <v>16333</v>
      </c>
      <c r="L8218" t="s">
        <v>27250</v>
      </c>
      <c r="M8218" t="s">
        <v>27251</v>
      </c>
      <c r="N8218" t="s">
        <v>27252</v>
      </c>
      <c r="Q8218" s="1">
        <v>44538</v>
      </c>
      <c r="R8218" t="s">
        <v>27253</v>
      </c>
      <c r="S8218" t="s">
        <v>27254</v>
      </c>
      <c r="T8218" t="s">
        <v>27255</v>
      </c>
    </row>
    <row r="8219" spans="1:20" x14ac:dyDescent="0.3">
      <c r="A8219" t="str">
        <f>"0611830652100"</f>
        <v>0611830652100</v>
      </c>
      <c r="B8219" t="str">
        <f>"LL2830"</f>
        <v>LL2830</v>
      </c>
      <c r="C8219" t="s">
        <v>43179</v>
      </c>
      <c r="D8219" t="s">
        <v>27245</v>
      </c>
      <c r="E8219" t="str">
        <f t="shared" si="128"/>
        <v>001390</v>
      </c>
      <c r="F8219" t="s">
        <v>27246</v>
      </c>
      <c r="G8219" t="s">
        <v>27247</v>
      </c>
      <c r="H8219" t="s">
        <v>27248</v>
      </c>
      <c r="I8219" t="s">
        <v>43180</v>
      </c>
      <c r="J8219" t="s">
        <v>16335</v>
      </c>
      <c r="L8219" t="s">
        <v>27250</v>
      </c>
      <c r="M8219" t="s">
        <v>27251</v>
      </c>
      <c r="N8219" t="s">
        <v>27252</v>
      </c>
      <c r="Q8219" s="1">
        <v>44538</v>
      </c>
      <c r="R8219" t="s">
        <v>27253</v>
      </c>
      <c r="S8219" t="s">
        <v>27254</v>
      </c>
      <c r="T8219" t="s">
        <v>27255</v>
      </c>
    </row>
    <row r="8220" spans="1:20" x14ac:dyDescent="0.3">
      <c r="A8220" t="str">
        <f>"0611830653100"</f>
        <v>0611830653100</v>
      </c>
      <c r="B8220" t="str">
        <f>"LL1702"</f>
        <v>LL1702</v>
      </c>
      <c r="C8220" t="s">
        <v>43181</v>
      </c>
      <c r="D8220" t="s">
        <v>27245</v>
      </c>
      <c r="E8220" t="str">
        <f t="shared" si="128"/>
        <v>001390</v>
      </c>
      <c r="F8220" t="s">
        <v>27246</v>
      </c>
      <c r="G8220" t="s">
        <v>27247</v>
      </c>
      <c r="H8220" t="s">
        <v>27248</v>
      </c>
      <c r="I8220" t="s">
        <v>43182</v>
      </c>
      <c r="J8220" t="s">
        <v>16337</v>
      </c>
      <c r="L8220" t="s">
        <v>27250</v>
      </c>
      <c r="M8220" t="s">
        <v>27251</v>
      </c>
      <c r="N8220" t="s">
        <v>27252</v>
      </c>
      <c r="Q8220" s="1">
        <v>44538</v>
      </c>
      <c r="R8220" t="s">
        <v>27253</v>
      </c>
      <c r="S8220" t="s">
        <v>27254</v>
      </c>
      <c r="T8220" t="s">
        <v>27255</v>
      </c>
    </row>
    <row r="8221" spans="1:20" x14ac:dyDescent="0.3">
      <c r="A8221" t="str">
        <f>"0611830654100"</f>
        <v>0611830654100</v>
      </c>
      <c r="B8221" t="str">
        <f>"LL8312"</f>
        <v>LL8312</v>
      </c>
      <c r="C8221" t="s">
        <v>43183</v>
      </c>
      <c r="D8221" t="s">
        <v>27245</v>
      </c>
      <c r="E8221" t="str">
        <f t="shared" si="128"/>
        <v>001390</v>
      </c>
      <c r="F8221" t="s">
        <v>27246</v>
      </c>
      <c r="G8221" t="s">
        <v>27247</v>
      </c>
      <c r="H8221" t="s">
        <v>27248</v>
      </c>
      <c r="I8221" t="s">
        <v>43184</v>
      </c>
      <c r="J8221" t="s">
        <v>16339</v>
      </c>
      <c r="L8221" t="s">
        <v>27250</v>
      </c>
      <c r="M8221" t="s">
        <v>27251</v>
      </c>
      <c r="N8221" t="s">
        <v>27252</v>
      </c>
      <c r="Q8221" s="1">
        <v>44538</v>
      </c>
      <c r="R8221" t="s">
        <v>27253</v>
      </c>
      <c r="S8221" t="s">
        <v>27254</v>
      </c>
      <c r="T8221" t="s">
        <v>27255</v>
      </c>
    </row>
    <row r="8222" spans="1:20" x14ac:dyDescent="0.3">
      <c r="A8222" t="str">
        <f>"0611830656100"</f>
        <v>0611830656100</v>
      </c>
      <c r="B8222" t="str">
        <f>"LL2785"</f>
        <v>LL2785</v>
      </c>
      <c r="C8222" t="s">
        <v>43185</v>
      </c>
      <c r="D8222" t="s">
        <v>27245</v>
      </c>
      <c r="E8222" t="str">
        <f t="shared" si="128"/>
        <v>001390</v>
      </c>
      <c r="F8222" t="s">
        <v>27246</v>
      </c>
      <c r="G8222" t="s">
        <v>27247</v>
      </c>
      <c r="H8222" t="s">
        <v>27248</v>
      </c>
      <c r="I8222" t="s">
        <v>43186</v>
      </c>
      <c r="J8222" t="s">
        <v>16341</v>
      </c>
      <c r="L8222" t="s">
        <v>27250</v>
      </c>
      <c r="M8222" t="s">
        <v>27251</v>
      </c>
      <c r="N8222" t="s">
        <v>27252</v>
      </c>
      <c r="Q8222" s="1">
        <v>44538</v>
      </c>
      <c r="R8222" t="s">
        <v>27253</v>
      </c>
      <c r="S8222" t="s">
        <v>27254</v>
      </c>
      <c r="T8222" t="s">
        <v>27255</v>
      </c>
    </row>
    <row r="8223" spans="1:20" x14ac:dyDescent="0.3">
      <c r="A8223" t="str">
        <f>"0611830657100"</f>
        <v>0611830657100</v>
      </c>
      <c r="B8223" t="str">
        <f>"LL0161"</f>
        <v>LL0161</v>
      </c>
      <c r="C8223" t="s">
        <v>43187</v>
      </c>
      <c r="D8223" t="s">
        <v>27245</v>
      </c>
      <c r="E8223" t="str">
        <f t="shared" si="128"/>
        <v>001390</v>
      </c>
      <c r="F8223" t="s">
        <v>27246</v>
      </c>
      <c r="G8223" t="s">
        <v>27247</v>
      </c>
      <c r="H8223" t="s">
        <v>27248</v>
      </c>
      <c r="I8223" t="s">
        <v>43188</v>
      </c>
      <c r="J8223" t="s">
        <v>16343</v>
      </c>
      <c r="L8223" t="s">
        <v>27250</v>
      </c>
      <c r="M8223" t="s">
        <v>27251</v>
      </c>
      <c r="N8223" t="s">
        <v>27252</v>
      </c>
      <c r="Q8223" s="1">
        <v>44538</v>
      </c>
      <c r="R8223" t="s">
        <v>27253</v>
      </c>
      <c r="S8223" t="s">
        <v>27254</v>
      </c>
      <c r="T8223" t="s">
        <v>27255</v>
      </c>
    </row>
    <row r="8224" spans="1:20" x14ac:dyDescent="0.3">
      <c r="A8224" t="str">
        <f>"0611830658100"</f>
        <v>0611830658100</v>
      </c>
      <c r="B8224" t="str">
        <f>"LL2779"</f>
        <v>LL2779</v>
      </c>
      <c r="C8224" t="s">
        <v>43189</v>
      </c>
      <c r="D8224" t="s">
        <v>27245</v>
      </c>
      <c r="E8224" t="str">
        <f t="shared" si="128"/>
        <v>001390</v>
      </c>
      <c r="F8224" t="s">
        <v>27246</v>
      </c>
      <c r="G8224" t="s">
        <v>27247</v>
      </c>
      <c r="H8224" t="s">
        <v>27248</v>
      </c>
      <c r="I8224" t="s">
        <v>43190</v>
      </c>
      <c r="J8224" t="s">
        <v>16345</v>
      </c>
      <c r="L8224" t="s">
        <v>27250</v>
      </c>
      <c r="M8224" t="s">
        <v>27251</v>
      </c>
      <c r="N8224" t="s">
        <v>27252</v>
      </c>
      <c r="Q8224" s="1">
        <v>44538</v>
      </c>
      <c r="R8224" t="s">
        <v>27253</v>
      </c>
      <c r="S8224" t="s">
        <v>27254</v>
      </c>
      <c r="T8224" t="s">
        <v>27255</v>
      </c>
    </row>
    <row r="8225" spans="1:20" x14ac:dyDescent="0.3">
      <c r="A8225" t="str">
        <f>"0611830659100"</f>
        <v>0611830659100</v>
      </c>
      <c r="B8225" t="str">
        <f>"LL2829"</f>
        <v>LL2829</v>
      </c>
      <c r="C8225" t="s">
        <v>43191</v>
      </c>
      <c r="D8225" t="s">
        <v>27245</v>
      </c>
      <c r="E8225" t="str">
        <f t="shared" si="128"/>
        <v>001390</v>
      </c>
      <c r="F8225" t="s">
        <v>27246</v>
      </c>
      <c r="G8225" t="s">
        <v>27247</v>
      </c>
      <c r="H8225" t="s">
        <v>27248</v>
      </c>
      <c r="I8225" t="s">
        <v>43192</v>
      </c>
      <c r="J8225" t="s">
        <v>16347</v>
      </c>
      <c r="L8225" t="s">
        <v>27250</v>
      </c>
      <c r="M8225" t="s">
        <v>27251</v>
      </c>
      <c r="N8225" t="s">
        <v>27252</v>
      </c>
      <c r="Q8225" s="1">
        <v>44538</v>
      </c>
      <c r="R8225" t="s">
        <v>27253</v>
      </c>
      <c r="S8225" t="s">
        <v>27254</v>
      </c>
      <c r="T8225" t="s">
        <v>27255</v>
      </c>
    </row>
    <row r="8226" spans="1:20" x14ac:dyDescent="0.3">
      <c r="A8226" t="str">
        <f>"0611830660100"</f>
        <v>0611830660100</v>
      </c>
      <c r="B8226" t="str">
        <f>"LL2832"</f>
        <v>LL2832</v>
      </c>
      <c r="C8226" t="s">
        <v>43193</v>
      </c>
      <c r="D8226" t="s">
        <v>27245</v>
      </c>
      <c r="E8226" t="str">
        <f t="shared" si="128"/>
        <v>001390</v>
      </c>
      <c r="F8226" t="s">
        <v>27246</v>
      </c>
      <c r="G8226" t="s">
        <v>27247</v>
      </c>
      <c r="H8226" t="s">
        <v>27248</v>
      </c>
      <c r="I8226" t="s">
        <v>43194</v>
      </c>
      <c r="J8226" t="s">
        <v>16349</v>
      </c>
      <c r="L8226" t="s">
        <v>27250</v>
      </c>
      <c r="M8226" t="s">
        <v>27251</v>
      </c>
      <c r="N8226" t="s">
        <v>27252</v>
      </c>
      <c r="Q8226" s="1">
        <v>44538</v>
      </c>
      <c r="R8226" t="s">
        <v>27253</v>
      </c>
      <c r="S8226" t="s">
        <v>27254</v>
      </c>
      <c r="T8226" t="s">
        <v>27255</v>
      </c>
    </row>
    <row r="8227" spans="1:20" x14ac:dyDescent="0.3">
      <c r="A8227" t="str">
        <f>"0611830661100"</f>
        <v>0611830661100</v>
      </c>
      <c r="B8227" t="str">
        <f>"LL2835"</f>
        <v>LL2835</v>
      </c>
      <c r="C8227" t="s">
        <v>43195</v>
      </c>
      <c r="D8227" t="s">
        <v>27245</v>
      </c>
      <c r="E8227" t="str">
        <f t="shared" si="128"/>
        <v>001390</v>
      </c>
      <c r="F8227" t="s">
        <v>27246</v>
      </c>
      <c r="G8227" t="s">
        <v>27247</v>
      </c>
      <c r="H8227" t="s">
        <v>27248</v>
      </c>
      <c r="I8227" t="s">
        <v>43196</v>
      </c>
      <c r="J8227" t="s">
        <v>16351</v>
      </c>
      <c r="L8227" t="s">
        <v>27250</v>
      </c>
      <c r="M8227" t="s">
        <v>27251</v>
      </c>
      <c r="N8227" t="s">
        <v>27252</v>
      </c>
      <c r="Q8227" s="1">
        <v>44538</v>
      </c>
      <c r="R8227" t="s">
        <v>27253</v>
      </c>
      <c r="S8227" t="s">
        <v>27254</v>
      </c>
      <c r="T8227" t="s">
        <v>27255</v>
      </c>
    </row>
    <row r="8228" spans="1:20" x14ac:dyDescent="0.3">
      <c r="A8228" t="str">
        <f>"0611830662100"</f>
        <v>0611830662100</v>
      </c>
      <c r="B8228" t="str">
        <f>"LL2840"</f>
        <v>LL2840</v>
      </c>
      <c r="C8228" t="s">
        <v>43197</v>
      </c>
      <c r="D8228" t="s">
        <v>27245</v>
      </c>
      <c r="E8228" t="str">
        <f t="shared" si="128"/>
        <v>001390</v>
      </c>
      <c r="F8228" t="s">
        <v>27246</v>
      </c>
      <c r="G8228" t="s">
        <v>27247</v>
      </c>
      <c r="H8228" t="s">
        <v>27248</v>
      </c>
      <c r="I8228" t="s">
        <v>43198</v>
      </c>
      <c r="J8228" t="s">
        <v>16353</v>
      </c>
      <c r="L8228" t="s">
        <v>27250</v>
      </c>
      <c r="M8228" t="s">
        <v>27251</v>
      </c>
      <c r="N8228" t="s">
        <v>27252</v>
      </c>
      <c r="Q8228" s="1">
        <v>44538</v>
      </c>
      <c r="R8228" t="s">
        <v>27253</v>
      </c>
      <c r="S8228" t="s">
        <v>27254</v>
      </c>
      <c r="T8228" t="s">
        <v>27255</v>
      </c>
    </row>
    <row r="8229" spans="1:20" x14ac:dyDescent="0.3">
      <c r="A8229" t="str">
        <f>"0611830663100"</f>
        <v>0611830663100</v>
      </c>
      <c r="B8229" t="str">
        <f>"LL2860"</f>
        <v>LL2860</v>
      </c>
      <c r="C8229" t="s">
        <v>43199</v>
      </c>
      <c r="D8229" t="s">
        <v>27245</v>
      </c>
      <c r="E8229" t="str">
        <f t="shared" si="128"/>
        <v>001390</v>
      </c>
      <c r="F8229" t="s">
        <v>27246</v>
      </c>
      <c r="G8229" t="s">
        <v>27247</v>
      </c>
      <c r="H8229" t="s">
        <v>27248</v>
      </c>
      <c r="I8229" t="s">
        <v>43200</v>
      </c>
      <c r="J8229" t="s">
        <v>16355</v>
      </c>
      <c r="L8229" t="s">
        <v>27250</v>
      </c>
      <c r="M8229" t="s">
        <v>27251</v>
      </c>
      <c r="N8229" t="s">
        <v>27252</v>
      </c>
      <c r="Q8229" s="1">
        <v>44538</v>
      </c>
      <c r="R8229" t="s">
        <v>27253</v>
      </c>
      <c r="S8229" t="s">
        <v>27254</v>
      </c>
      <c r="T8229" t="s">
        <v>27255</v>
      </c>
    </row>
    <row r="8230" spans="1:20" x14ac:dyDescent="0.3">
      <c r="A8230" t="str">
        <f>"0611830664100"</f>
        <v>0611830664100</v>
      </c>
      <c r="B8230" t="str">
        <f>"LL0162"</f>
        <v>LL0162</v>
      </c>
      <c r="C8230" t="s">
        <v>43201</v>
      </c>
      <c r="D8230" t="s">
        <v>27245</v>
      </c>
      <c r="E8230" t="str">
        <f t="shared" si="128"/>
        <v>001390</v>
      </c>
      <c r="F8230" t="s">
        <v>27246</v>
      </c>
      <c r="G8230" t="s">
        <v>27247</v>
      </c>
      <c r="H8230" t="s">
        <v>27248</v>
      </c>
      <c r="I8230" t="s">
        <v>43202</v>
      </c>
      <c r="J8230" t="s">
        <v>16357</v>
      </c>
      <c r="L8230" t="s">
        <v>27250</v>
      </c>
      <c r="M8230" t="s">
        <v>27251</v>
      </c>
      <c r="N8230" t="s">
        <v>27252</v>
      </c>
      <c r="Q8230" s="1">
        <v>44538</v>
      </c>
      <c r="R8230" t="s">
        <v>27253</v>
      </c>
      <c r="S8230" t="s">
        <v>27254</v>
      </c>
      <c r="T8230" t="s">
        <v>27255</v>
      </c>
    </row>
    <row r="8231" spans="1:20" x14ac:dyDescent="0.3">
      <c r="A8231" t="str">
        <f>"0611837036100"</f>
        <v>0611837036100</v>
      </c>
      <c r="B8231" t="str">
        <f>"LH6010"</f>
        <v>LH6010</v>
      </c>
      <c r="C8231" t="s">
        <v>43203</v>
      </c>
      <c r="D8231" t="s">
        <v>27245</v>
      </c>
      <c r="E8231" t="str">
        <f t="shared" si="128"/>
        <v>001390</v>
      </c>
      <c r="F8231" t="s">
        <v>27246</v>
      </c>
      <c r="G8231" t="s">
        <v>27247</v>
      </c>
      <c r="H8231" t="s">
        <v>27248</v>
      </c>
      <c r="I8231" t="s">
        <v>43204</v>
      </c>
      <c r="J8231" t="s">
        <v>16359</v>
      </c>
      <c r="L8231" t="s">
        <v>27250</v>
      </c>
      <c r="M8231" t="s">
        <v>27251</v>
      </c>
      <c r="N8231" t="s">
        <v>27252</v>
      </c>
      <c r="Q8231" s="1">
        <v>44538</v>
      </c>
      <c r="R8231" t="s">
        <v>27253</v>
      </c>
      <c r="S8231" t="s">
        <v>27254</v>
      </c>
      <c r="T8231" t="s">
        <v>27255</v>
      </c>
    </row>
    <row r="8232" spans="1:20" x14ac:dyDescent="0.3">
      <c r="A8232" t="str">
        <f>"0611837037100"</f>
        <v>0611837037100</v>
      </c>
      <c r="B8232" t="str">
        <f>"LK2110"</f>
        <v>LK2110</v>
      </c>
      <c r="C8232" t="s">
        <v>43205</v>
      </c>
      <c r="D8232" t="s">
        <v>27245</v>
      </c>
      <c r="E8232" t="str">
        <f t="shared" si="128"/>
        <v>001390</v>
      </c>
      <c r="F8232" t="s">
        <v>27246</v>
      </c>
      <c r="G8232" t="s">
        <v>27247</v>
      </c>
      <c r="H8232" t="s">
        <v>27248</v>
      </c>
      <c r="I8232" t="s">
        <v>43206</v>
      </c>
      <c r="J8232" t="s">
        <v>16361</v>
      </c>
      <c r="L8232" t="s">
        <v>27250</v>
      </c>
      <c r="M8232" t="s">
        <v>27251</v>
      </c>
      <c r="N8232" t="s">
        <v>27252</v>
      </c>
      <c r="Q8232" s="1">
        <v>44538</v>
      </c>
      <c r="R8232" t="s">
        <v>27253</v>
      </c>
      <c r="S8232" t="s">
        <v>27254</v>
      </c>
      <c r="T8232" t="s">
        <v>27255</v>
      </c>
    </row>
    <row r="8233" spans="1:20" x14ac:dyDescent="0.3">
      <c r="A8233" t="str">
        <f>"0611837038100"</f>
        <v>0611837038100</v>
      </c>
      <c r="B8233" t="str">
        <f>"LG5000"</f>
        <v>LG5000</v>
      </c>
      <c r="C8233" t="s">
        <v>43207</v>
      </c>
      <c r="D8233" t="s">
        <v>27245</v>
      </c>
      <c r="E8233" t="str">
        <f t="shared" si="128"/>
        <v>001390</v>
      </c>
      <c r="F8233" t="s">
        <v>27246</v>
      </c>
      <c r="G8233" t="s">
        <v>27247</v>
      </c>
      <c r="H8233" t="s">
        <v>27248</v>
      </c>
      <c r="I8233" t="s">
        <v>43208</v>
      </c>
      <c r="J8233" t="s">
        <v>16363</v>
      </c>
      <c r="L8233" t="s">
        <v>27250</v>
      </c>
      <c r="M8233" t="s">
        <v>27251</v>
      </c>
      <c r="N8233" t="s">
        <v>27252</v>
      </c>
      <c r="Q8233" s="1">
        <v>44538</v>
      </c>
      <c r="R8233" t="s">
        <v>27253</v>
      </c>
      <c r="S8233" t="s">
        <v>27254</v>
      </c>
      <c r="T8233" t="s">
        <v>27255</v>
      </c>
    </row>
    <row r="8234" spans="1:20" x14ac:dyDescent="0.3">
      <c r="A8234" t="str">
        <f>"0611837042025"</f>
        <v>0611837042025</v>
      </c>
      <c r="B8234" t="str">
        <f>"MC4340"</f>
        <v>MC4340</v>
      </c>
      <c r="C8234" t="s">
        <v>43209</v>
      </c>
      <c r="D8234" t="s">
        <v>27267</v>
      </c>
      <c r="E8234" t="str">
        <f t="shared" si="128"/>
        <v>001390</v>
      </c>
      <c r="F8234" t="s">
        <v>27246</v>
      </c>
      <c r="G8234" t="s">
        <v>27247</v>
      </c>
      <c r="H8234" t="s">
        <v>27248</v>
      </c>
      <c r="I8234" t="s">
        <v>43210</v>
      </c>
      <c r="J8234" t="s">
        <v>16365</v>
      </c>
      <c r="L8234" t="s">
        <v>27250</v>
      </c>
      <c r="M8234" t="s">
        <v>27251</v>
      </c>
      <c r="N8234" t="s">
        <v>27252</v>
      </c>
      <c r="Q8234" s="1">
        <v>44538</v>
      </c>
      <c r="R8234" t="s">
        <v>27253</v>
      </c>
      <c r="S8234" t="s">
        <v>27254</v>
      </c>
      <c r="T8234" t="s">
        <v>27269</v>
      </c>
    </row>
    <row r="8235" spans="1:20" x14ac:dyDescent="0.3">
      <c r="A8235" t="str">
        <f>"0611862544050"</f>
        <v>0611862544050</v>
      </c>
      <c r="B8235" t="str">
        <f>"CR4396"</f>
        <v>CR4396</v>
      </c>
      <c r="C8235" t="s">
        <v>43209</v>
      </c>
      <c r="D8235" t="s">
        <v>27263</v>
      </c>
      <c r="E8235" t="str">
        <f t="shared" si="128"/>
        <v>001390</v>
      </c>
      <c r="F8235" t="s">
        <v>27246</v>
      </c>
      <c r="G8235" t="s">
        <v>27247</v>
      </c>
      <c r="H8235" t="s">
        <v>27248</v>
      </c>
      <c r="I8235" t="s">
        <v>43211</v>
      </c>
      <c r="J8235" t="s">
        <v>16367</v>
      </c>
      <c r="L8235" t="s">
        <v>27250</v>
      </c>
      <c r="M8235" t="s">
        <v>27251</v>
      </c>
      <c r="N8235" t="s">
        <v>27252</v>
      </c>
      <c r="Q8235" s="1">
        <v>44846</v>
      </c>
      <c r="R8235" t="s">
        <v>27253</v>
      </c>
      <c r="S8235" t="s">
        <v>27254</v>
      </c>
      <c r="T8235" t="s">
        <v>27265</v>
      </c>
    </row>
    <row r="8236" spans="1:20" x14ac:dyDescent="0.3">
      <c r="A8236" t="str">
        <f>"0611837044100"</f>
        <v>0611837044100</v>
      </c>
      <c r="B8236" t="str">
        <f>"LC9625"</f>
        <v>LC9625</v>
      </c>
      <c r="C8236" t="s">
        <v>43212</v>
      </c>
      <c r="D8236" t="s">
        <v>27245</v>
      </c>
      <c r="E8236" t="str">
        <f t="shared" si="128"/>
        <v>001390</v>
      </c>
      <c r="F8236" t="s">
        <v>27246</v>
      </c>
      <c r="G8236" t="s">
        <v>27247</v>
      </c>
      <c r="H8236" t="s">
        <v>27248</v>
      </c>
      <c r="I8236" t="s">
        <v>43213</v>
      </c>
      <c r="J8236" t="s">
        <v>16369</v>
      </c>
      <c r="L8236" t="s">
        <v>27250</v>
      </c>
      <c r="M8236" t="s">
        <v>27251</v>
      </c>
      <c r="N8236" t="s">
        <v>27252</v>
      </c>
      <c r="Q8236" s="1">
        <v>44538</v>
      </c>
      <c r="R8236" t="s">
        <v>27253</v>
      </c>
      <c r="S8236" t="s">
        <v>27254</v>
      </c>
      <c r="T8236" t="s">
        <v>27255</v>
      </c>
    </row>
    <row r="8237" spans="1:20" x14ac:dyDescent="0.3">
      <c r="A8237" t="str">
        <f>"0611837045100"</f>
        <v>0611837045100</v>
      </c>
      <c r="B8237" t="str">
        <f>"LC3399"</f>
        <v>LC3399</v>
      </c>
      <c r="C8237" t="s">
        <v>43214</v>
      </c>
      <c r="D8237" t="s">
        <v>27245</v>
      </c>
      <c r="E8237" t="str">
        <f t="shared" si="128"/>
        <v>001390</v>
      </c>
      <c r="F8237" t="s">
        <v>27246</v>
      </c>
      <c r="G8237" t="s">
        <v>27247</v>
      </c>
      <c r="H8237" t="s">
        <v>27248</v>
      </c>
      <c r="I8237" t="s">
        <v>43215</v>
      </c>
      <c r="J8237" t="s">
        <v>16371</v>
      </c>
      <c r="L8237" t="s">
        <v>27250</v>
      </c>
      <c r="M8237" t="s">
        <v>27251</v>
      </c>
      <c r="N8237" t="s">
        <v>27252</v>
      </c>
      <c r="Q8237" s="1">
        <v>44538</v>
      </c>
      <c r="R8237" t="s">
        <v>27253</v>
      </c>
      <c r="S8237" t="s">
        <v>27254</v>
      </c>
      <c r="T8237" t="s">
        <v>27255</v>
      </c>
    </row>
    <row r="8238" spans="1:20" x14ac:dyDescent="0.3">
      <c r="A8238" t="str">
        <f>"0611862545050"</f>
        <v>0611862545050</v>
      </c>
      <c r="B8238" t="str">
        <f>"CR4395"</f>
        <v>CR4395</v>
      </c>
      <c r="C8238" t="s">
        <v>43214</v>
      </c>
      <c r="D8238" t="s">
        <v>27263</v>
      </c>
      <c r="E8238" t="str">
        <f t="shared" si="128"/>
        <v>001390</v>
      </c>
      <c r="F8238" t="s">
        <v>27246</v>
      </c>
      <c r="G8238" t="s">
        <v>27247</v>
      </c>
      <c r="H8238" t="s">
        <v>27248</v>
      </c>
      <c r="I8238" t="s">
        <v>43216</v>
      </c>
      <c r="J8238" t="s">
        <v>16375</v>
      </c>
      <c r="L8238" t="s">
        <v>27250</v>
      </c>
      <c r="M8238" t="s">
        <v>27251</v>
      </c>
      <c r="N8238" t="s">
        <v>27252</v>
      </c>
      <c r="Q8238" s="1">
        <v>44846</v>
      </c>
      <c r="R8238" t="s">
        <v>27253</v>
      </c>
      <c r="S8238" t="s">
        <v>27254</v>
      </c>
      <c r="T8238" t="s">
        <v>27265</v>
      </c>
    </row>
    <row r="8239" spans="1:20" x14ac:dyDescent="0.3">
      <c r="A8239" t="str">
        <f>"0611884335025"</f>
        <v>0611884335025</v>
      </c>
      <c r="B8239" t="str">
        <f>"MC2222"</f>
        <v>MC2222</v>
      </c>
      <c r="C8239" t="s">
        <v>43214</v>
      </c>
      <c r="D8239" t="s">
        <v>27267</v>
      </c>
      <c r="E8239" t="str">
        <f t="shared" si="128"/>
        <v>001390</v>
      </c>
      <c r="F8239" t="s">
        <v>27246</v>
      </c>
      <c r="G8239" t="s">
        <v>27247</v>
      </c>
      <c r="H8239" t="s">
        <v>27248</v>
      </c>
      <c r="I8239" t="s">
        <v>43217</v>
      </c>
      <c r="J8239" t="s">
        <v>16373</v>
      </c>
      <c r="L8239" t="s">
        <v>27430</v>
      </c>
      <c r="M8239" t="s">
        <v>27251</v>
      </c>
      <c r="N8239" t="s">
        <v>27252</v>
      </c>
      <c r="Q8239" s="1">
        <v>45250</v>
      </c>
      <c r="R8239" t="s">
        <v>27253</v>
      </c>
      <c r="S8239" t="s">
        <v>27254</v>
      </c>
      <c r="T8239" t="s">
        <v>27269</v>
      </c>
    </row>
    <row r="8240" spans="1:20" x14ac:dyDescent="0.3">
      <c r="A8240" t="str">
        <f>"0611837039100"</f>
        <v>0611837039100</v>
      </c>
      <c r="B8240" t="str">
        <f>"LC8503"</f>
        <v>LC8503</v>
      </c>
      <c r="C8240" t="s">
        <v>43218</v>
      </c>
      <c r="D8240" t="s">
        <v>27245</v>
      </c>
      <c r="E8240" t="str">
        <f t="shared" si="128"/>
        <v>001390</v>
      </c>
      <c r="F8240" t="s">
        <v>27246</v>
      </c>
      <c r="G8240" t="s">
        <v>27247</v>
      </c>
      <c r="H8240" t="s">
        <v>27248</v>
      </c>
      <c r="I8240" t="s">
        <v>43219</v>
      </c>
      <c r="J8240" t="s">
        <v>16377</v>
      </c>
      <c r="L8240" t="s">
        <v>27250</v>
      </c>
      <c r="M8240" t="s">
        <v>27251</v>
      </c>
      <c r="N8240" t="s">
        <v>27252</v>
      </c>
      <c r="Q8240" s="1">
        <v>44538</v>
      </c>
      <c r="R8240" t="s">
        <v>27253</v>
      </c>
      <c r="S8240" t="s">
        <v>27254</v>
      </c>
      <c r="T8240" t="s">
        <v>27255</v>
      </c>
    </row>
    <row r="8241" spans="1:20" x14ac:dyDescent="0.3">
      <c r="A8241" t="str">
        <f>"0611837058100"</f>
        <v>0611837058100</v>
      </c>
      <c r="B8241" t="str">
        <f>"LC8100"</f>
        <v>LC8100</v>
      </c>
      <c r="C8241" t="s">
        <v>43220</v>
      </c>
      <c r="D8241" t="s">
        <v>27245</v>
      </c>
      <c r="E8241" t="str">
        <f t="shared" si="128"/>
        <v>001390</v>
      </c>
      <c r="F8241" t="s">
        <v>27246</v>
      </c>
      <c r="G8241" t="s">
        <v>27247</v>
      </c>
      <c r="H8241" t="s">
        <v>27248</v>
      </c>
      <c r="I8241" t="s">
        <v>43221</v>
      </c>
      <c r="J8241" t="s">
        <v>16379</v>
      </c>
      <c r="L8241" t="s">
        <v>27250</v>
      </c>
      <c r="M8241" t="s">
        <v>27251</v>
      </c>
      <c r="N8241" t="s">
        <v>27252</v>
      </c>
      <c r="Q8241" s="1">
        <v>44538</v>
      </c>
      <c r="R8241" t="s">
        <v>27253</v>
      </c>
      <c r="S8241" t="s">
        <v>27254</v>
      </c>
      <c r="T8241" t="s">
        <v>27255</v>
      </c>
    </row>
    <row r="8242" spans="1:20" x14ac:dyDescent="0.3">
      <c r="A8242" t="str">
        <f>"0611837059200"</f>
        <v>0611837059200</v>
      </c>
      <c r="B8242" t="str">
        <f>"KP8100"</f>
        <v>KP8100</v>
      </c>
      <c r="C8242" t="s">
        <v>43220</v>
      </c>
      <c r="D8242" t="s">
        <v>27682</v>
      </c>
      <c r="E8242" t="str">
        <f t="shared" si="128"/>
        <v>001390</v>
      </c>
      <c r="F8242" t="s">
        <v>27246</v>
      </c>
      <c r="G8242" t="s">
        <v>27247</v>
      </c>
      <c r="H8242" t="s">
        <v>27248</v>
      </c>
      <c r="I8242" t="s">
        <v>43222</v>
      </c>
      <c r="J8242" t="s">
        <v>16381</v>
      </c>
      <c r="L8242" t="s">
        <v>27250</v>
      </c>
      <c r="M8242" t="s">
        <v>27251</v>
      </c>
      <c r="N8242" t="s">
        <v>27252</v>
      </c>
      <c r="Q8242" s="1">
        <v>44538</v>
      </c>
      <c r="R8242" t="s">
        <v>27253</v>
      </c>
      <c r="S8242" t="s">
        <v>27254</v>
      </c>
      <c r="T8242" t="s">
        <v>27684</v>
      </c>
    </row>
    <row r="8243" spans="1:20" x14ac:dyDescent="0.3">
      <c r="A8243" t="str">
        <f>"0611837060025"</f>
        <v>0611837060025</v>
      </c>
      <c r="B8243" t="str">
        <f>"MC0807"</f>
        <v>MC0807</v>
      </c>
      <c r="C8243" t="s">
        <v>43220</v>
      </c>
      <c r="D8243" t="s">
        <v>27267</v>
      </c>
      <c r="E8243" t="str">
        <f t="shared" si="128"/>
        <v>001390</v>
      </c>
      <c r="F8243" t="s">
        <v>27246</v>
      </c>
      <c r="G8243" t="s">
        <v>27247</v>
      </c>
      <c r="H8243" t="s">
        <v>27248</v>
      </c>
      <c r="I8243" t="s">
        <v>43223</v>
      </c>
      <c r="J8243" t="s">
        <v>16383</v>
      </c>
      <c r="L8243" t="s">
        <v>27250</v>
      </c>
      <c r="M8243" t="s">
        <v>27251</v>
      </c>
      <c r="N8243" t="s">
        <v>27252</v>
      </c>
      <c r="Q8243" s="1">
        <v>44538</v>
      </c>
      <c r="R8243" t="s">
        <v>27253</v>
      </c>
      <c r="S8243" t="s">
        <v>27254</v>
      </c>
      <c r="T8243" t="s">
        <v>27269</v>
      </c>
    </row>
    <row r="8244" spans="1:20" x14ac:dyDescent="0.3">
      <c r="A8244" t="str">
        <f>"0611856977025"</f>
        <v>0611856977025</v>
      </c>
      <c r="B8244" t="str">
        <f>"MQ0798"</f>
        <v>MQ0798</v>
      </c>
      <c r="C8244" t="s">
        <v>43224</v>
      </c>
      <c r="D8244" t="s">
        <v>27267</v>
      </c>
      <c r="E8244" t="str">
        <f t="shared" si="128"/>
        <v>001390</v>
      </c>
      <c r="F8244" t="s">
        <v>27246</v>
      </c>
      <c r="G8244" t="s">
        <v>27247</v>
      </c>
      <c r="H8244" t="s">
        <v>27248</v>
      </c>
      <c r="I8244" t="s">
        <v>43225</v>
      </c>
      <c r="J8244" t="s">
        <v>16385</v>
      </c>
      <c r="L8244" t="s">
        <v>27250</v>
      </c>
      <c r="M8244" t="s">
        <v>27251</v>
      </c>
      <c r="N8244" t="s">
        <v>27252</v>
      </c>
      <c r="Q8244" s="1">
        <v>44812</v>
      </c>
      <c r="R8244" t="s">
        <v>27253</v>
      </c>
      <c r="S8244" t="s">
        <v>27254</v>
      </c>
      <c r="T8244" t="s">
        <v>27269</v>
      </c>
    </row>
    <row r="8245" spans="1:20" x14ac:dyDescent="0.3">
      <c r="A8245" t="str">
        <f>"0611837047100"</f>
        <v>0611837047100</v>
      </c>
      <c r="B8245" t="str">
        <f>"LC8505"</f>
        <v>LC8505</v>
      </c>
      <c r="C8245" t="s">
        <v>43226</v>
      </c>
      <c r="D8245" t="s">
        <v>27245</v>
      </c>
      <c r="E8245" t="str">
        <f t="shared" si="128"/>
        <v>001390</v>
      </c>
      <c r="F8245" t="s">
        <v>27246</v>
      </c>
      <c r="G8245" t="s">
        <v>27247</v>
      </c>
      <c r="H8245" t="s">
        <v>27248</v>
      </c>
      <c r="I8245" t="s">
        <v>43227</v>
      </c>
      <c r="J8245" t="s">
        <v>16387</v>
      </c>
      <c r="L8245" t="s">
        <v>27250</v>
      </c>
      <c r="M8245" t="s">
        <v>27251</v>
      </c>
      <c r="N8245" t="s">
        <v>27252</v>
      </c>
      <c r="Q8245" s="1">
        <v>44538</v>
      </c>
      <c r="R8245" t="s">
        <v>27253</v>
      </c>
      <c r="S8245" t="s">
        <v>27254</v>
      </c>
      <c r="T8245" t="s">
        <v>27255</v>
      </c>
    </row>
    <row r="8246" spans="1:20" x14ac:dyDescent="0.3">
      <c r="A8246" t="str">
        <f>"0611837049025"</f>
        <v>0611837049025</v>
      </c>
      <c r="B8246" t="str">
        <f>"MC0805"</f>
        <v>MC0805</v>
      </c>
      <c r="C8246" t="s">
        <v>43228</v>
      </c>
      <c r="D8246" t="s">
        <v>27267</v>
      </c>
      <c r="E8246" t="str">
        <f t="shared" si="128"/>
        <v>001390</v>
      </c>
      <c r="F8246" t="s">
        <v>27246</v>
      </c>
      <c r="G8246" t="s">
        <v>27247</v>
      </c>
      <c r="H8246" t="s">
        <v>27248</v>
      </c>
      <c r="I8246" t="s">
        <v>43229</v>
      </c>
      <c r="J8246" t="s">
        <v>16391</v>
      </c>
      <c r="L8246" t="s">
        <v>27250</v>
      </c>
      <c r="M8246" t="s">
        <v>27251</v>
      </c>
      <c r="N8246" t="s">
        <v>27252</v>
      </c>
      <c r="Q8246" s="1">
        <v>44538</v>
      </c>
      <c r="R8246" t="s">
        <v>27253</v>
      </c>
      <c r="S8246" t="s">
        <v>27254</v>
      </c>
      <c r="T8246" t="s">
        <v>27269</v>
      </c>
    </row>
    <row r="8247" spans="1:20" x14ac:dyDescent="0.3">
      <c r="A8247" t="str">
        <f>"0611862546050"</f>
        <v>0611862546050</v>
      </c>
      <c r="B8247" t="str">
        <f>"CR4393"</f>
        <v>CR4393</v>
      </c>
      <c r="C8247" t="s">
        <v>43228</v>
      </c>
      <c r="D8247" t="s">
        <v>27263</v>
      </c>
      <c r="E8247" t="str">
        <f t="shared" si="128"/>
        <v>001390</v>
      </c>
      <c r="F8247" t="s">
        <v>27246</v>
      </c>
      <c r="G8247" t="s">
        <v>27247</v>
      </c>
      <c r="H8247" t="s">
        <v>27248</v>
      </c>
      <c r="I8247" t="s">
        <v>43230</v>
      </c>
      <c r="J8247" t="s">
        <v>16393</v>
      </c>
      <c r="L8247" t="s">
        <v>27250</v>
      </c>
      <c r="M8247" t="s">
        <v>27251</v>
      </c>
      <c r="N8247" t="s">
        <v>27252</v>
      </c>
      <c r="Q8247" s="1">
        <v>44846</v>
      </c>
      <c r="R8247" t="s">
        <v>27253</v>
      </c>
      <c r="S8247" t="s">
        <v>27254</v>
      </c>
      <c r="T8247" t="s">
        <v>27265</v>
      </c>
    </row>
    <row r="8248" spans="1:20" x14ac:dyDescent="0.3">
      <c r="A8248" t="str">
        <f>"0611862547100"</f>
        <v>0611862547100</v>
      </c>
      <c r="B8248" t="str">
        <f>"CN5276"</f>
        <v>CN5276</v>
      </c>
      <c r="C8248" t="s">
        <v>43228</v>
      </c>
      <c r="D8248" t="s">
        <v>27335</v>
      </c>
      <c r="E8248" t="str">
        <f t="shared" si="128"/>
        <v>001390</v>
      </c>
      <c r="F8248" t="s">
        <v>27246</v>
      </c>
      <c r="G8248" t="s">
        <v>27247</v>
      </c>
      <c r="H8248" t="s">
        <v>27248</v>
      </c>
      <c r="I8248" t="s">
        <v>43231</v>
      </c>
      <c r="J8248" t="s">
        <v>16389</v>
      </c>
      <c r="L8248" t="s">
        <v>27250</v>
      </c>
      <c r="M8248" t="s">
        <v>27251</v>
      </c>
      <c r="N8248" t="s">
        <v>27252</v>
      </c>
      <c r="Q8248" s="1">
        <v>44846</v>
      </c>
      <c r="R8248" t="s">
        <v>27253</v>
      </c>
      <c r="S8248" t="s">
        <v>27254</v>
      </c>
      <c r="T8248" t="s">
        <v>27255</v>
      </c>
    </row>
    <row r="8249" spans="1:20" x14ac:dyDescent="0.3">
      <c r="A8249" t="str">
        <f>"0611837051025"</f>
        <v>0611837051025</v>
      </c>
      <c r="B8249" t="str">
        <f>"MC2224"</f>
        <v>MC2224</v>
      </c>
      <c r="C8249" t="s">
        <v>43232</v>
      </c>
      <c r="D8249" t="s">
        <v>27267</v>
      </c>
      <c r="E8249" t="str">
        <f t="shared" si="128"/>
        <v>001390</v>
      </c>
      <c r="F8249" t="s">
        <v>27246</v>
      </c>
      <c r="G8249" t="s">
        <v>27247</v>
      </c>
      <c r="H8249" t="s">
        <v>27248</v>
      </c>
      <c r="I8249" t="s">
        <v>43233</v>
      </c>
      <c r="J8249" t="s">
        <v>16397</v>
      </c>
      <c r="L8249" t="s">
        <v>27250</v>
      </c>
      <c r="M8249" t="s">
        <v>27251</v>
      </c>
      <c r="N8249" t="s">
        <v>27252</v>
      </c>
      <c r="Q8249" s="1">
        <v>44538</v>
      </c>
      <c r="R8249" t="s">
        <v>27253</v>
      </c>
      <c r="S8249" t="s">
        <v>27254</v>
      </c>
      <c r="T8249" t="s">
        <v>27269</v>
      </c>
    </row>
    <row r="8250" spans="1:20" x14ac:dyDescent="0.3">
      <c r="A8250" t="str">
        <f>"0611862548100"</f>
        <v>0611862548100</v>
      </c>
      <c r="B8250" t="str">
        <f>"CN5277"</f>
        <v>CN5277</v>
      </c>
      <c r="C8250" t="s">
        <v>43232</v>
      </c>
      <c r="D8250" t="s">
        <v>27335</v>
      </c>
      <c r="E8250" t="str">
        <f t="shared" si="128"/>
        <v>001390</v>
      </c>
      <c r="F8250" t="s">
        <v>27246</v>
      </c>
      <c r="G8250" t="s">
        <v>27247</v>
      </c>
      <c r="H8250" t="s">
        <v>27248</v>
      </c>
      <c r="I8250" t="s">
        <v>43234</v>
      </c>
      <c r="J8250" t="s">
        <v>16395</v>
      </c>
      <c r="L8250" t="s">
        <v>27250</v>
      </c>
      <c r="M8250" t="s">
        <v>27251</v>
      </c>
      <c r="N8250" t="s">
        <v>27252</v>
      </c>
      <c r="Q8250" s="1">
        <v>44846</v>
      </c>
      <c r="R8250" t="s">
        <v>27253</v>
      </c>
      <c r="S8250" t="s">
        <v>27254</v>
      </c>
      <c r="T8250" t="s">
        <v>27255</v>
      </c>
    </row>
    <row r="8251" spans="1:20" x14ac:dyDescent="0.3">
      <c r="A8251" t="str">
        <f>"0611837053025"</f>
        <v>0611837053025</v>
      </c>
      <c r="B8251" t="str">
        <f>"MC0806"</f>
        <v>MC0806</v>
      </c>
      <c r="C8251" t="s">
        <v>43235</v>
      </c>
      <c r="D8251" t="s">
        <v>27267</v>
      </c>
      <c r="E8251" t="str">
        <f t="shared" si="128"/>
        <v>001390</v>
      </c>
      <c r="F8251" t="s">
        <v>27246</v>
      </c>
      <c r="G8251" t="s">
        <v>27247</v>
      </c>
      <c r="H8251" t="s">
        <v>27248</v>
      </c>
      <c r="I8251" t="s">
        <v>43236</v>
      </c>
      <c r="J8251" t="s">
        <v>16401</v>
      </c>
      <c r="L8251" t="s">
        <v>27250</v>
      </c>
      <c r="M8251" t="s">
        <v>27251</v>
      </c>
      <c r="N8251" t="s">
        <v>27252</v>
      </c>
      <c r="Q8251" s="1">
        <v>44538</v>
      </c>
      <c r="R8251" t="s">
        <v>27253</v>
      </c>
      <c r="S8251" t="s">
        <v>27254</v>
      </c>
      <c r="T8251" t="s">
        <v>27269</v>
      </c>
    </row>
    <row r="8252" spans="1:20" x14ac:dyDescent="0.3">
      <c r="A8252" t="str">
        <f>"0611862549100"</f>
        <v>0611862549100</v>
      </c>
      <c r="B8252" t="str">
        <f>"CN5278"</f>
        <v>CN5278</v>
      </c>
      <c r="C8252" t="s">
        <v>43235</v>
      </c>
      <c r="D8252" t="s">
        <v>27335</v>
      </c>
      <c r="E8252" t="str">
        <f t="shared" si="128"/>
        <v>001390</v>
      </c>
      <c r="F8252" t="s">
        <v>27246</v>
      </c>
      <c r="G8252" t="s">
        <v>27247</v>
      </c>
      <c r="H8252" t="s">
        <v>27248</v>
      </c>
      <c r="I8252" t="s">
        <v>43237</v>
      </c>
      <c r="J8252" t="s">
        <v>16399</v>
      </c>
      <c r="L8252" t="s">
        <v>27250</v>
      </c>
      <c r="M8252" t="s">
        <v>27251</v>
      </c>
      <c r="N8252" t="s">
        <v>27252</v>
      </c>
      <c r="Q8252" s="1">
        <v>44846</v>
      </c>
      <c r="R8252" t="s">
        <v>27253</v>
      </c>
      <c r="S8252" t="s">
        <v>27254</v>
      </c>
      <c r="T8252" t="s">
        <v>27255</v>
      </c>
    </row>
    <row r="8253" spans="1:20" x14ac:dyDescent="0.3">
      <c r="A8253" t="str">
        <f>"0611837055025"</f>
        <v>0611837055025</v>
      </c>
      <c r="B8253" t="str">
        <f>"MC2024"</f>
        <v>MC2024</v>
      </c>
      <c r="C8253" t="s">
        <v>43238</v>
      </c>
      <c r="D8253" t="s">
        <v>27267</v>
      </c>
      <c r="E8253" t="str">
        <f t="shared" si="128"/>
        <v>001390</v>
      </c>
      <c r="F8253" t="s">
        <v>27246</v>
      </c>
      <c r="G8253" t="s">
        <v>27247</v>
      </c>
      <c r="H8253" t="s">
        <v>27248</v>
      </c>
      <c r="I8253" t="s">
        <v>43239</v>
      </c>
      <c r="J8253" t="s">
        <v>16405</v>
      </c>
      <c r="L8253" t="s">
        <v>27250</v>
      </c>
      <c r="M8253" t="s">
        <v>27251</v>
      </c>
      <c r="N8253" t="s">
        <v>27252</v>
      </c>
      <c r="Q8253" s="1">
        <v>44538</v>
      </c>
      <c r="R8253" t="s">
        <v>27253</v>
      </c>
      <c r="S8253" t="s">
        <v>27254</v>
      </c>
      <c r="T8253" t="s">
        <v>27269</v>
      </c>
    </row>
    <row r="8254" spans="1:20" x14ac:dyDescent="0.3">
      <c r="A8254" t="str">
        <f>"0611862550050"</f>
        <v>0611862550050</v>
      </c>
      <c r="B8254" t="str">
        <f>"CR4391"</f>
        <v>CR4391</v>
      </c>
      <c r="C8254" t="s">
        <v>43238</v>
      </c>
      <c r="D8254" t="s">
        <v>27263</v>
      </c>
      <c r="E8254" t="str">
        <f t="shared" si="128"/>
        <v>001390</v>
      </c>
      <c r="F8254" t="s">
        <v>27246</v>
      </c>
      <c r="G8254" t="s">
        <v>27247</v>
      </c>
      <c r="H8254" t="s">
        <v>27248</v>
      </c>
      <c r="I8254" t="s">
        <v>43240</v>
      </c>
      <c r="J8254" t="s">
        <v>16407</v>
      </c>
      <c r="L8254" t="s">
        <v>27250</v>
      </c>
      <c r="M8254" t="s">
        <v>27251</v>
      </c>
      <c r="N8254" t="s">
        <v>27252</v>
      </c>
      <c r="Q8254" s="1">
        <v>44846</v>
      </c>
      <c r="R8254" t="s">
        <v>27253</v>
      </c>
      <c r="S8254" t="s">
        <v>27254</v>
      </c>
      <c r="T8254" t="s">
        <v>27265</v>
      </c>
    </row>
    <row r="8255" spans="1:20" x14ac:dyDescent="0.3">
      <c r="A8255" t="str">
        <f>"0611862551100"</f>
        <v>0611862551100</v>
      </c>
      <c r="B8255" t="str">
        <f>"CN5275"</f>
        <v>CN5275</v>
      </c>
      <c r="C8255" t="s">
        <v>43238</v>
      </c>
      <c r="D8255" t="s">
        <v>27335</v>
      </c>
      <c r="E8255" t="str">
        <f t="shared" si="128"/>
        <v>001390</v>
      </c>
      <c r="F8255" t="s">
        <v>27246</v>
      </c>
      <c r="G8255" t="s">
        <v>27247</v>
      </c>
      <c r="H8255" t="s">
        <v>27248</v>
      </c>
      <c r="I8255" t="s">
        <v>43241</v>
      </c>
      <c r="J8255" t="s">
        <v>16403</v>
      </c>
      <c r="L8255" t="s">
        <v>27250</v>
      </c>
      <c r="M8255" t="s">
        <v>27251</v>
      </c>
      <c r="N8255" t="s">
        <v>27252</v>
      </c>
      <c r="Q8255" s="1">
        <v>44846</v>
      </c>
      <c r="R8255" t="s">
        <v>27253</v>
      </c>
      <c r="S8255" t="s">
        <v>27254</v>
      </c>
      <c r="T8255" t="s">
        <v>27255</v>
      </c>
    </row>
    <row r="8256" spans="1:20" x14ac:dyDescent="0.3">
      <c r="A8256" t="str">
        <f>"0611837040100"</f>
        <v>0611837040100</v>
      </c>
      <c r="B8256" t="str">
        <f>"LC9619"</f>
        <v>LC9619</v>
      </c>
      <c r="C8256" t="s">
        <v>43242</v>
      </c>
      <c r="D8256" t="s">
        <v>27245</v>
      </c>
      <c r="E8256" t="str">
        <f t="shared" si="128"/>
        <v>001390</v>
      </c>
      <c r="F8256" t="s">
        <v>27246</v>
      </c>
      <c r="G8256" t="s">
        <v>27247</v>
      </c>
      <c r="H8256" t="s">
        <v>27248</v>
      </c>
      <c r="I8256" t="s">
        <v>43243</v>
      </c>
      <c r="J8256" t="s">
        <v>16409</v>
      </c>
      <c r="L8256" t="s">
        <v>27250</v>
      </c>
      <c r="M8256" t="s">
        <v>27251</v>
      </c>
      <c r="N8256" t="s">
        <v>27252</v>
      </c>
      <c r="Q8256" s="1">
        <v>44538</v>
      </c>
      <c r="R8256" t="s">
        <v>27253</v>
      </c>
      <c r="S8256" t="s">
        <v>27254</v>
      </c>
      <c r="T8256" t="s">
        <v>27255</v>
      </c>
    </row>
    <row r="8257" spans="1:20" x14ac:dyDescent="0.3">
      <c r="A8257" t="str">
        <f>"0611837061100"</f>
        <v>0611837061100</v>
      </c>
      <c r="B8257" t="str">
        <f>"LK5634"</f>
        <v>LK5634</v>
      </c>
      <c r="C8257" t="s">
        <v>43244</v>
      </c>
      <c r="D8257" t="s">
        <v>27245</v>
      </c>
      <c r="E8257" t="str">
        <f t="shared" si="128"/>
        <v>001390</v>
      </c>
      <c r="F8257" t="s">
        <v>27246</v>
      </c>
      <c r="G8257" t="s">
        <v>27247</v>
      </c>
      <c r="H8257" t="s">
        <v>27248</v>
      </c>
      <c r="I8257" t="s">
        <v>43245</v>
      </c>
      <c r="J8257" t="s">
        <v>16411</v>
      </c>
      <c r="L8257" t="s">
        <v>27250</v>
      </c>
      <c r="M8257" t="s">
        <v>27251</v>
      </c>
      <c r="N8257" t="s">
        <v>27252</v>
      </c>
      <c r="Q8257" s="1">
        <v>44538</v>
      </c>
      <c r="R8257" t="s">
        <v>27253</v>
      </c>
      <c r="S8257" t="s">
        <v>27254</v>
      </c>
      <c r="T8257" t="s">
        <v>27255</v>
      </c>
    </row>
    <row r="8258" spans="1:20" x14ac:dyDescent="0.3">
      <c r="A8258" t="str">
        <f>"0611856978100"</f>
        <v>0611856978100</v>
      </c>
      <c r="B8258" t="str">
        <f>"LC8502"</f>
        <v>LC8502</v>
      </c>
      <c r="C8258" t="s">
        <v>43246</v>
      </c>
      <c r="D8258" t="s">
        <v>27245</v>
      </c>
      <c r="E8258" t="str">
        <f t="shared" ref="E8258:E8321" si="129">"001390"</f>
        <v>001390</v>
      </c>
      <c r="F8258" t="s">
        <v>27246</v>
      </c>
      <c r="G8258" t="s">
        <v>27247</v>
      </c>
      <c r="H8258" t="s">
        <v>27248</v>
      </c>
      <c r="I8258" t="s">
        <v>43247</v>
      </c>
      <c r="J8258" t="s">
        <v>16413</v>
      </c>
      <c r="L8258" t="s">
        <v>27250</v>
      </c>
      <c r="M8258" t="s">
        <v>27251</v>
      </c>
      <c r="N8258" t="s">
        <v>27252</v>
      </c>
      <c r="Q8258" s="1">
        <v>44812</v>
      </c>
      <c r="R8258" t="s">
        <v>27253</v>
      </c>
      <c r="S8258" t="s">
        <v>27254</v>
      </c>
      <c r="T8258" t="s">
        <v>27255</v>
      </c>
    </row>
    <row r="8259" spans="1:20" x14ac:dyDescent="0.3">
      <c r="A8259" t="str">
        <f>"0611862552050"</f>
        <v>0611862552050</v>
      </c>
      <c r="B8259" t="str">
        <f>"CR4392"</f>
        <v>CR4392</v>
      </c>
      <c r="C8259" t="s">
        <v>43246</v>
      </c>
      <c r="D8259" t="s">
        <v>27263</v>
      </c>
      <c r="E8259" t="str">
        <f t="shared" si="129"/>
        <v>001390</v>
      </c>
      <c r="F8259" t="s">
        <v>27246</v>
      </c>
      <c r="G8259" t="s">
        <v>27247</v>
      </c>
      <c r="H8259" t="s">
        <v>27248</v>
      </c>
      <c r="I8259" t="s">
        <v>43248</v>
      </c>
      <c r="J8259" t="s">
        <v>16417</v>
      </c>
      <c r="L8259" t="s">
        <v>27250</v>
      </c>
      <c r="M8259" t="s">
        <v>27251</v>
      </c>
      <c r="N8259" t="s">
        <v>27252</v>
      </c>
      <c r="Q8259" s="1">
        <v>44846</v>
      </c>
      <c r="R8259" t="s">
        <v>27253</v>
      </c>
      <c r="S8259" t="s">
        <v>27254</v>
      </c>
      <c r="T8259" t="s">
        <v>27265</v>
      </c>
    </row>
    <row r="8260" spans="1:20" x14ac:dyDescent="0.3">
      <c r="A8260" t="str">
        <f>"0611884336025"</f>
        <v>0611884336025</v>
      </c>
      <c r="B8260" t="str">
        <f>"MC0808"</f>
        <v>MC0808</v>
      </c>
      <c r="C8260" t="s">
        <v>43246</v>
      </c>
      <c r="D8260" t="s">
        <v>27267</v>
      </c>
      <c r="E8260" t="str">
        <f t="shared" si="129"/>
        <v>001390</v>
      </c>
      <c r="F8260" t="s">
        <v>27246</v>
      </c>
      <c r="G8260" t="s">
        <v>27247</v>
      </c>
      <c r="H8260" t="s">
        <v>27248</v>
      </c>
      <c r="I8260" t="s">
        <v>43249</v>
      </c>
      <c r="J8260" t="s">
        <v>16415</v>
      </c>
      <c r="L8260" t="s">
        <v>27430</v>
      </c>
      <c r="M8260" t="s">
        <v>27251</v>
      </c>
      <c r="N8260" t="s">
        <v>27252</v>
      </c>
      <c r="Q8260" s="1">
        <v>45250</v>
      </c>
      <c r="R8260" t="s">
        <v>27253</v>
      </c>
      <c r="S8260" t="s">
        <v>27254</v>
      </c>
      <c r="T8260" t="s">
        <v>27269</v>
      </c>
    </row>
    <row r="8261" spans="1:20" x14ac:dyDescent="0.3">
      <c r="A8261" t="str">
        <f>"0611830649025"</f>
        <v>0611830649025</v>
      </c>
      <c r="B8261" t="str">
        <f>"MC4363"</f>
        <v>MC4363</v>
      </c>
      <c r="C8261" t="s">
        <v>43250</v>
      </c>
      <c r="D8261" t="s">
        <v>27267</v>
      </c>
      <c r="E8261" t="str">
        <f t="shared" si="129"/>
        <v>001390</v>
      </c>
      <c r="F8261" t="s">
        <v>27246</v>
      </c>
      <c r="G8261" t="s">
        <v>27247</v>
      </c>
      <c r="H8261" t="s">
        <v>27248</v>
      </c>
      <c r="I8261" t="s">
        <v>43251</v>
      </c>
      <c r="J8261" t="s">
        <v>16419</v>
      </c>
      <c r="L8261" t="s">
        <v>27250</v>
      </c>
      <c r="M8261" t="s">
        <v>27251</v>
      </c>
      <c r="N8261" t="s">
        <v>27252</v>
      </c>
      <c r="Q8261" s="1">
        <v>44538</v>
      </c>
      <c r="R8261" t="s">
        <v>27253</v>
      </c>
      <c r="S8261" t="s">
        <v>27254</v>
      </c>
      <c r="T8261" t="s">
        <v>27269</v>
      </c>
    </row>
    <row r="8262" spans="1:20" x14ac:dyDescent="0.3">
      <c r="A8262" t="str">
        <f>"0611830650025"</f>
        <v>0611830650025</v>
      </c>
      <c r="B8262" t="str">
        <f>"MC4364"</f>
        <v>MC4364</v>
      </c>
      <c r="C8262" t="s">
        <v>43252</v>
      </c>
      <c r="D8262" t="s">
        <v>27267</v>
      </c>
      <c r="E8262" t="str">
        <f t="shared" si="129"/>
        <v>001390</v>
      </c>
      <c r="F8262" t="s">
        <v>27246</v>
      </c>
      <c r="G8262" t="s">
        <v>27247</v>
      </c>
      <c r="H8262" t="s">
        <v>27248</v>
      </c>
      <c r="I8262" t="s">
        <v>43253</v>
      </c>
      <c r="J8262" t="s">
        <v>16421</v>
      </c>
      <c r="L8262" t="s">
        <v>27250</v>
      </c>
      <c r="M8262" t="s">
        <v>27251</v>
      </c>
      <c r="N8262" t="s">
        <v>27252</v>
      </c>
      <c r="Q8262" s="1">
        <v>44538</v>
      </c>
      <c r="R8262" t="s">
        <v>27253</v>
      </c>
      <c r="S8262" t="s">
        <v>27254</v>
      </c>
      <c r="T8262" t="s">
        <v>27269</v>
      </c>
    </row>
    <row r="8263" spans="1:20" x14ac:dyDescent="0.3">
      <c r="A8263" t="str">
        <f>"0611830647025"</f>
        <v>0611830647025</v>
      </c>
      <c r="B8263" t="str">
        <f>"MC4365"</f>
        <v>MC4365</v>
      </c>
      <c r="C8263" t="s">
        <v>43254</v>
      </c>
      <c r="D8263" t="s">
        <v>27267</v>
      </c>
      <c r="E8263" t="str">
        <f t="shared" si="129"/>
        <v>001390</v>
      </c>
      <c r="F8263" t="s">
        <v>27246</v>
      </c>
      <c r="G8263" t="s">
        <v>27247</v>
      </c>
      <c r="H8263" t="s">
        <v>27248</v>
      </c>
      <c r="I8263" t="s">
        <v>43255</v>
      </c>
      <c r="J8263" t="s">
        <v>16423</v>
      </c>
      <c r="L8263" t="s">
        <v>27250</v>
      </c>
      <c r="M8263" t="s">
        <v>27251</v>
      </c>
      <c r="N8263" t="s">
        <v>27252</v>
      </c>
      <c r="Q8263" s="1">
        <v>44538</v>
      </c>
      <c r="R8263" t="s">
        <v>27253</v>
      </c>
      <c r="S8263" t="s">
        <v>27254</v>
      </c>
      <c r="T8263" t="s">
        <v>27269</v>
      </c>
    </row>
    <row r="8264" spans="1:20" x14ac:dyDescent="0.3">
      <c r="A8264" t="str">
        <f>"0611830648025"</f>
        <v>0611830648025</v>
      </c>
      <c r="B8264" t="str">
        <f>"MC4366"</f>
        <v>MC4366</v>
      </c>
      <c r="C8264" t="s">
        <v>43256</v>
      </c>
      <c r="D8264" t="s">
        <v>27267</v>
      </c>
      <c r="E8264" t="str">
        <f t="shared" si="129"/>
        <v>001390</v>
      </c>
      <c r="F8264" t="s">
        <v>27246</v>
      </c>
      <c r="G8264" t="s">
        <v>27247</v>
      </c>
      <c r="H8264" t="s">
        <v>27248</v>
      </c>
      <c r="I8264" t="s">
        <v>43257</v>
      </c>
      <c r="J8264" t="s">
        <v>16425</v>
      </c>
      <c r="L8264" t="s">
        <v>27250</v>
      </c>
      <c r="M8264" t="s">
        <v>27251</v>
      </c>
      <c r="N8264" t="s">
        <v>27252</v>
      </c>
      <c r="Q8264" s="1">
        <v>44538</v>
      </c>
      <c r="R8264" t="s">
        <v>27253</v>
      </c>
      <c r="S8264" t="s">
        <v>27254</v>
      </c>
      <c r="T8264" t="s">
        <v>27269</v>
      </c>
    </row>
    <row r="8265" spans="1:20" x14ac:dyDescent="0.3">
      <c r="A8265" t="str">
        <f>"0611831818100"</f>
        <v>0611831818100</v>
      </c>
      <c r="B8265" t="str">
        <f>"LL0275"</f>
        <v>LL0275</v>
      </c>
      <c r="C8265" t="s">
        <v>43258</v>
      </c>
      <c r="D8265" t="s">
        <v>27245</v>
      </c>
      <c r="E8265" t="str">
        <f t="shared" si="129"/>
        <v>001390</v>
      </c>
      <c r="F8265" t="s">
        <v>27246</v>
      </c>
      <c r="G8265" t="s">
        <v>27247</v>
      </c>
      <c r="H8265" t="s">
        <v>27248</v>
      </c>
      <c r="I8265" t="s">
        <v>43259</v>
      </c>
      <c r="J8265" t="s">
        <v>16427</v>
      </c>
      <c r="L8265" t="s">
        <v>27250</v>
      </c>
      <c r="M8265" t="s">
        <v>27251</v>
      </c>
      <c r="N8265" t="s">
        <v>27252</v>
      </c>
      <c r="Q8265" s="1">
        <v>44538</v>
      </c>
      <c r="R8265" t="s">
        <v>27253</v>
      </c>
      <c r="S8265" t="s">
        <v>27254</v>
      </c>
      <c r="T8265" t="s">
        <v>27255</v>
      </c>
    </row>
    <row r="8266" spans="1:20" x14ac:dyDescent="0.3">
      <c r="A8266" t="str">
        <f>"0611831868100"</f>
        <v>0611831868100</v>
      </c>
      <c r="B8266" t="str">
        <f>"LB5785"</f>
        <v>LB5785</v>
      </c>
      <c r="C8266" t="s">
        <v>43260</v>
      </c>
      <c r="D8266" t="s">
        <v>27245</v>
      </c>
      <c r="E8266" t="str">
        <f t="shared" si="129"/>
        <v>001390</v>
      </c>
      <c r="F8266" t="s">
        <v>27246</v>
      </c>
      <c r="G8266" t="s">
        <v>27247</v>
      </c>
      <c r="H8266" t="s">
        <v>27248</v>
      </c>
      <c r="I8266" t="s">
        <v>43261</v>
      </c>
      <c r="J8266" t="s">
        <v>16429</v>
      </c>
      <c r="L8266" t="s">
        <v>27250</v>
      </c>
      <c r="M8266" t="s">
        <v>27251</v>
      </c>
      <c r="N8266" t="s">
        <v>27252</v>
      </c>
      <c r="Q8266" s="1">
        <v>44538</v>
      </c>
      <c r="R8266" t="s">
        <v>27253</v>
      </c>
      <c r="S8266" t="s">
        <v>27254</v>
      </c>
      <c r="T8266" t="s">
        <v>27255</v>
      </c>
    </row>
    <row r="8267" spans="1:20" x14ac:dyDescent="0.3">
      <c r="A8267" t="str">
        <f>"0611840738100"</f>
        <v>0611840738100</v>
      </c>
      <c r="B8267" t="str">
        <f>"LK5003"</f>
        <v>LK5003</v>
      </c>
      <c r="C8267" t="s">
        <v>43262</v>
      </c>
      <c r="D8267" t="s">
        <v>27245</v>
      </c>
      <c r="E8267" t="str">
        <f t="shared" si="129"/>
        <v>001390</v>
      </c>
      <c r="F8267" t="s">
        <v>27246</v>
      </c>
      <c r="G8267" t="s">
        <v>27247</v>
      </c>
      <c r="H8267" t="s">
        <v>27248</v>
      </c>
      <c r="I8267" t="s">
        <v>43263</v>
      </c>
      <c r="J8267" t="s">
        <v>16431</v>
      </c>
      <c r="L8267" t="s">
        <v>27250</v>
      </c>
      <c r="M8267" t="s">
        <v>27251</v>
      </c>
      <c r="N8267" t="s">
        <v>27252</v>
      </c>
      <c r="Q8267" s="1">
        <v>44538</v>
      </c>
      <c r="R8267" t="s">
        <v>27253</v>
      </c>
      <c r="S8267" t="s">
        <v>27254</v>
      </c>
      <c r="T8267" t="s">
        <v>27255</v>
      </c>
    </row>
    <row r="8268" spans="1:20" x14ac:dyDescent="0.3">
      <c r="A8268" t="str">
        <f>"0611840742100"</f>
        <v>0611840742100</v>
      </c>
      <c r="B8268" t="str">
        <f>"LK6334"</f>
        <v>LK6334</v>
      </c>
      <c r="C8268" t="s">
        <v>43264</v>
      </c>
      <c r="D8268" t="s">
        <v>27245</v>
      </c>
      <c r="E8268" t="str">
        <f t="shared" si="129"/>
        <v>001390</v>
      </c>
      <c r="F8268" t="s">
        <v>27246</v>
      </c>
      <c r="G8268" t="s">
        <v>27247</v>
      </c>
      <c r="H8268" t="s">
        <v>27248</v>
      </c>
      <c r="I8268" t="s">
        <v>43265</v>
      </c>
      <c r="J8268" t="s">
        <v>16433</v>
      </c>
      <c r="L8268" t="s">
        <v>27250</v>
      </c>
      <c r="M8268" t="s">
        <v>27251</v>
      </c>
      <c r="N8268" t="s">
        <v>27252</v>
      </c>
      <c r="Q8268" s="1">
        <v>44538</v>
      </c>
      <c r="R8268" t="s">
        <v>27253</v>
      </c>
      <c r="S8268" t="s">
        <v>27254</v>
      </c>
      <c r="T8268" t="s">
        <v>27255</v>
      </c>
    </row>
    <row r="8269" spans="1:20" x14ac:dyDescent="0.3">
      <c r="A8269" t="str">
        <f>"0611833571100"</f>
        <v>0611833571100</v>
      </c>
      <c r="B8269" t="str">
        <f>"LL1891"</f>
        <v>LL1891</v>
      </c>
      <c r="C8269" t="s">
        <v>43266</v>
      </c>
      <c r="D8269" t="s">
        <v>27245</v>
      </c>
      <c r="E8269" t="str">
        <f t="shared" si="129"/>
        <v>001390</v>
      </c>
      <c r="F8269" t="s">
        <v>27246</v>
      </c>
      <c r="G8269" t="s">
        <v>27247</v>
      </c>
      <c r="H8269" t="s">
        <v>27248</v>
      </c>
      <c r="I8269" t="s">
        <v>43267</v>
      </c>
      <c r="J8269" t="s">
        <v>16435</v>
      </c>
      <c r="L8269" t="s">
        <v>27250</v>
      </c>
      <c r="M8269" t="s">
        <v>27251</v>
      </c>
      <c r="N8269" t="s">
        <v>27252</v>
      </c>
      <c r="Q8269" s="1">
        <v>44538</v>
      </c>
      <c r="R8269" t="s">
        <v>27253</v>
      </c>
      <c r="S8269" t="s">
        <v>27254</v>
      </c>
      <c r="T8269" t="s">
        <v>27255</v>
      </c>
    </row>
    <row r="8270" spans="1:20" x14ac:dyDescent="0.3">
      <c r="A8270" t="str">
        <f>"0611837066100"</f>
        <v>0611837066100</v>
      </c>
      <c r="B8270" t="str">
        <f>"LH6100"</f>
        <v>LH6100</v>
      </c>
      <c r="C8270" t="s">
        <v>43268</v>
      </c>
      <c r="D8270" t="s">
        <v>27245</v>
      </c>
      <c r="E8270" t="str">
        <f t="shared" si="129"/>
        <v>001390</v>
      </c>
      <c r="F8270" t="s">
        <v>27246</v>
      </c>
      <c r="G8270" t="s">
        <v>27247</v>
      </c>
      <c r="H8270" t="s">
        <v>27248</v>
      </c>
      <c r="I8270" t="s">
        <v>43269</v>
      </c>
      <c r="J8270" t="s">
        <v>16437</v>
      </c>
      <c r="L8270" t="s">
        <v>27250</v>
      </c>
      <c r="M8270" t="s">
        <v>27251</v>
      </c>
      <c r="N8270" t="s">
        <v>27252</v>
      </c>
      <c r="Q8270" s="1">
        <v>44538</v>
      </c>
      <c r="R8270" t="s">
        <v>27253</v>
      </c>
      <c r="S8270" t="s">
        <v>27254</v>
      </c>
      <c r="T8270" t="s">
        <v>27255</v>
      </c>
    </row>
    <row r="8271" spans="1:20" x14ac:dyDescent="0.3">
      <c r="A8271" t="str">
        <f>"0611837067025"</f>
        <v>0611837067025</v>
      </c>
      <c r="B8271" t="str">
        <f>"MC1541"</f>
        <v>MC1541</v>
      </c>
      <c r="C8271" t="s">
        <v>43268</v>
      </c>
      <c r="D8271" t="s">
        <v>27267</v>
      </c>
      <c r="E8271" t="str">
        <f t="shared" si="129"/>
        <v>001390</v>
      </c>
      <c r="F8271" t="s">
        <v>27246</v>
      </c>
      <c r="G8271" t="s">
        <v>27247</v>
      </c>
      <c r="H8271" t="s">
        <v>27248</v>
      </c>
      <c r="I8271" t="s">
        <v>43270</v>
      </c>
      <c r="J8271" t="s">
        <v>16439</v>
      </c>
      <c r="L8271" t="s">
        <v>27250</v>
      </c>
      <c r="M8271" t="s">
        <v>27251</v>
      </c>
      <c r="N8271" t="s">
        <v>27252</v>
      </c>
      <c r="Q8271" s="1">
        <v>44538</v>
      </c>
      <c r="R8271" t="s">
        <v>27253</v>
      </c>
      <c r="S8271" t="s">
        <v>27254</v>
      </c>
      <c r="T8271" t="s">
        <v>27269</v>
      </c>
    </row>
    <row r="8272" spans="1:20" x14ac:dyDescent="0.3">
      <c r="A8272" t="str">
        <f>"0611831869100"</f>
        <v>0611831869100</v>
      </c>
      <c r="B8272" t="str">
        <f>"LB5790"</f>
        <v>LB5790</v>
      </c>
      <c r="C8272" t="s">
        <v>43271</v>
      </c>
      <c r="D8272" t="s">
        <v>27245</v>
      </c>
      <c r="E8272" t="str">
        <f t="shared" si="129"/>
        <v>001390</v>
      </c>
      <c r="F8272" t="s">
        <v>27246</v>
      </c>
      <c r="G8272" t="s">
        <v>27247</v>
      </c>
      <c r="H8272" t="s">
        <v>27248</v>
      </c>
      <c r="I8272" t="s">
        <v>43272</v>
      </c>
      <c r="J8272" t="s">
        <v>16467</v>
      </c>
      <c r="L8272" t="s">
        <v>27250</v>
      </c>
      <c r="M8272" t="s">
        <v>27251</v>
      </c>
      <c r="N8272" t="s">
        <v>27252</v>
      </c>
      <c r="Q8272" s="1">
        <v>44538</v>
      </c>
      <c r="R8272" t="s">
        <v>27253</v>
      </c>
      <c r="S8272" t="s">
        <v>27254</v>
      </c>
      <c r="T8272" t="s">
        <v>27255</v>
      </c>
    </row>
    <row r="8273" spans="1:20" x14ac:dyDescent="0.3">
      <c r="A8273" t="str">
        <f>"0611837056025"</f>
        <v>0611837056025</v>
      </c>
      <c r="B8273" t="str">
        <f>"MC2240"</f>
        <v>MC2240</v>
      </c>
      <c r="C8273" t="s">
        <v>43273</v>
      </c>
      <c r="D8273" t="s">
        <v>27267</v>
      </c>
      <c r="E8273" t="str">
        <f t="shared" si="129"/>
        <v>001390</v>
      </c>
      <c r="F8273" t="s">
        <v>27246</v>
      </c>
      <c r="G8273" t="s">
        <v>27247</v>
      </c>
      <c r="H8273" t="s">
        <v>27248</v>
      </c>
      <c r="I8273" t="s">
        <v>43274</v>
      </c>
      <c r="J8273" t="s">
        <v>16535</v>
      </c>
      <c r="L8273" t="s">
        <v>27250</v>
      </c>
      <c r="M8273" t="s">
        <v>27251</v>
      </c>
      <c r="N8273" t="s">
        <v>27252</v>
      </c>
      <c r="Q8273" s="1">
        <v>44538</v>
      </c>
      <c r="R8273" t="s">
        <v>27253</v>
      </c>
      <c r="S8273" t="s">
        <v>27254</v>
      </c>
      <c r="T8273" t="s">
        <v>27269</v>
      </c>
    </row>
    <row r="8274" spans="1:20" x14ac:dyDescent="0.3">
      <c r="A8274" t="str">
        <f>"0611832491100"</f>
        <v>0611832491100</v>
      </c>
      <c r="B8274" t="str">
        <f>"LK0307"</f>
        <v>LK0307</v>
      </c>
      <c r="C8274" t="s">
        <v>43275</v>
      </c>
      <c r="D8274" t="s">
        <v>27245</v>
      </c>
      <c r="E8274" t="str">
        <f t="shared" si="129"/>
        <v>001390</v>
      </c>
      <c r="F8274" t="s">
        <v>27246</v>
      </c>
      <c r="G8274" t="s">
        <v>27247</v>
      </c>
      <c r="H8274" t="s">
        <v>27248</v>
      </c>
      <c r="I8274" t="s">
        <v>43276</v>
      </c>
      <c r="J8274" t="s">
        <v>16539</v>
      </c>
      <c r="L8274" t="s">
        <v>27250</v>
      </c>
      <c r="M8274" t="s">
        <v>27251</v>
      </c>
      <c r="N8274" t="s">
        <v>27252</v>
      </c>
      <c r="Q8274" s="1">
        <v>44538</v>
      </c>
      <c r="R8274" t="s">
        <v>27253</v>
      </c>
      <c r="S8274" t="s">
        <v>27254</v>
      </c>
      <c r="T8274" t="s">
        <v>27255</v>
      </c>
    </row>
    <row r="8275" spans="1:20" x14ac:dyDescent="0.3">
      <c r="A8275" t="str">
        <f>"0611837068100"</f>
        <v>0611837068100</v>
      </c>
      <c r="B8275" t="str">
        <f>"LH8941"</f>
        <v>LH8941</v>
      </c>
      <c r="C8275" t="s">
        <v>43277</v>
      </c>
      <c r="D8275" t="s">
        <v>27245</v>
      </c>
      <c r="E8275" t="str">
        <f t="shared" si="129"/>
        <v>001390</v>
      </c>
      <c r="F8275" t="s">
        <v>27246</v>
      </c>
      <c r="G8275" t="s">
        <v>27247</v>
      </c>
      <c r="H8275" t="s">
        <v>27248</v>
      </c>
      <c r="I8275" t="s">
        <v>43278</v>
      </c>
      <c r="J8275" t="s">
        <v>16541</v>
      </c>
      <c r="L8275" t="s">
        <v>27250</v>
      </c>
      <c r="M8275" t="s">
        <v>27251</v>
      </c>
      <c r="N8275" t="s">
        <v>27252</v>
      </c>
      <c r="Q8275" s="1">
        <v>44538</v>
      </c>
      <c r="R8275" t="s">
        <v>27253</v>
      </c>
      <c r="S8275" t="s">
        <v>27254</v>
      </c>
      <c r="T8275" t="s">
        <v>27255</v>
      </c>
    </row>
    <row r="8276" spans="1:20" x14ac:dyDescent="0.3">
      <c r="A8276" t="str">
        <f>"0611837072100"</f>
        <v>0611837072100</v>
      </c>
      <c r="B8276" t="str">
        <f>"LK6250"</f>
        <v>LK6250</v>
      </c>
      <c r="C8276" t="s">
        <v>43279</v>
      </c>
      <c r="D8276" t="s">
        <v>27245</v>
      </c>
      <c r="E8276" t="str">
        <f t="shared" si="129"/>
        <v>001390</v>
      </c>
      <c r="F8276" t="s">
        <v>27246</v>
      </c>
      <c r="G8276" t="s">
        <v>27247</v>
      </c>
      <c r="H8276" t="s">
        <v>27248</v>
      </c>
      <c r="I8276" t="s">
        <v>43280</v>
      </c>
      <c r="J8276" t="s">
        <v>16543</v>
      </c>
      <c r="L8276" t="s">
        <v>27250</v>
      </c>
      <c r="M8276" t="s">
        <v>27251</v>
      </c>
      <c r="N8276" t="s">
        <v>27252</v>
      </c>
      <c r="Q8276" s="1">
        <v>44538</v>
      </c>
      <c r="R8276" t="s">
        <v>27253</v>
      </c>
      <c r="S8276" t="s">
        <v>27254</v>
      </c>
      <c r="T8276" t="s">
        <v>27255</v>
      </c>
    </row>
    <row r="8277" spans="1:20" x14ac:dyDescent="0.3">
      <c r="A8277" t="str">
        <f>"0611837073100"</f>
        <v>0611837073100</v>
      </c>
      <c r="B8277" t="str">
        <f>"LK4792"</f>
        <v>LK4792</v>
      </c>
      <c r="C8277" t="s">
        <v>43281</v>
      </c>
      <c r="D8277" t="s">
        <v>27245</v>
      </c>
      <c r="E8277" t="str">
        <f t="shared" si="129"/>
        <v>001390</v>
      </c>
      <c r="F8277" t="s">
        <v>27246</v>
      </c>
      <c r="G8277" t="s">
        <v>27247</v>
      </c>
      <c r="H8277" t="s">
        <v>27248</v>
      </c>
      <c r="I8277" t="s">
        <v>43282</v>
      </c>
      <c r="J8277" t="s">
        <v>16545</v>
      </c>
      <c r="L8277" t="s">
        <v>27250</v>
      </c>
      <c r="M8277" t="s">
        <v>27251</v>
      </c>
      <c r="N8277" t="s">
        <v>27252</v>
      </c>
      <c r="Q8277" s="1">
        <v>44538</v>
      </c>
      <c r="R8277" t="s">
        <v>27253</v>
      </c>
      <c r="S8277" t="s">
        <v>27254</v>
      </c>
      <c r="T8277" t="s">
        <v>27255</v>
      </c>
    </row>
    <row r="8278" spans="1:20" x14ac:dyDescent="0.3">
      <c r="A8278" t="str">
        <f>"0611837074100"</f>
        <v>0611837074100</v>
      </c>
      <c r="B8278" t="str">
        <f>"LK4793"</f>
        <v>LK4793</v>
      </c>
      <c r="C8278" t="s">
        <v>43283</v>
      </c>
      <c r="D8278" t="s">
        <v>27245</v>
      </c>
      <c r="E8278" t="str">
        <f t="shared" si="129"/>
        <v>001390</v>
      </c>
      <c r="F8278" t="s">
        <v>27246</v>
      </c>
      <c r="G8278" t="s">
        <v>27247</v>
      </c>
      <c r="H8278" t="s">
        <v>27248</v>
      </c>
      <c r="I8278" t="s">
        <v>43284</v>
      </c>
      <c r="J8278" t="s">
        <v>16547</v>
      </c>
      <c r="L8278" t="s">
        <v>27250</v>
      </c>
      <c r="M8278" t="s">
        <v>27251</v>
      </c>
      <c r="N8278" t="s">
        <v>27252</v>
      </c>
      <c r="Q8278" s="1">
        <v>44538</v>
      </c>
      <c r="R8278" t="s">
        <v>27253</v>
      </c>
      <c r="S8278" t="s">
        <v>27254</v>
      </c>
      <c r="T8278" t="s">
        <v>27255</v>
      </c>
    </row>
    <row r="8279" spans="1:20" x14ac:dyDescent="0.3">
      <c r="A8279" t="str">
        <f>"0611837075100"</f>
        <v>0611837075100</v>
      </c>
      <c r="B8279" t="str">
        <f>"LK4794"</f>
        <v>LK4794</v>
      </c>
      <c r="C8279" t="s">
        <v>43285</v>
      </c>
      <c r="D8279" t="s">
        <v>27245</v>
      </c>
      <c r="E8279" t="str">
        <f t="shared" si="129"/>
        <v>001390</v>
      </c>
      <c r="F8279" t="s">
        <v>27246</v>
      </c>
      <c r="G8279" t="s">
        <v>27247</v>
      </c>
      <c r="H8279" t="s">
        <v>27248</v>
      </c>
      <c r="I8279" t="s">
        <v>43286</v>
      </c>
      <c r="J8279" t="s">
        <v>16549</v>
      </c>
      <c r="L8279" t="s">
        <v>27250</v>
      </c>
      <c r="M8279" t="s">
        <v>27251</v>
      </c>
      <c r="N8279" t="s">
        <v>27252</v>
      </c>
      <c r="Q8279" s="1">
        <v>44538</v>
      </c>
      <c r="R8279" t="s">
        <v>27253</v>
      </c>
      <c r="S8279" t="s">
        <v>27254</v>
      </c>
      <c r="T8279" t="s">
        <v>27255</v>
      </c>
    </row>
    <row r="8280" spans="1:20" x14ac:dyDescent="0.3">
      <c r="A8280" t="str">
        <f>"0611837076100"</f>
        <v>0611837076100</v>
      </c>
      <c r="B8280" t="str">
        <f>"LK6535"</f>
        <v>LK6535</v>
      </c>
      <c r="C8280" t="s">
        <v>43287</v>
      </c>
      <c r="D8280" t="s">
        <v>27245</v>
      </c>
      <c r="E8280" t="str">
        <f t="shared" si="129"/>
        <v>001390</v>
      </c>
      <c r="F8280" t="s">
        <v>27246</v>
      </c>
      <c r="G8280" t="s">
        <v>27247</v>
      </c>
      <c r="H8280" t="s">
        <v>27248</v>
      </c>
      <c r="I8280" t="s">
        <v>43288</v>
      </c>
      <c r="J8280" t="s">
        <v>16551</v>
      </c>
      <c r="L8280" t="s">
        <v>27250</v>
      </c>
      <c r="M8280" t="s">
        <v>27251</v>
      </c>
      <c r="N8280" t="s">
        <v>27252</v>
      </c>
      <c r="Q8280" s="1">
        <v>44538</v>
      </c>
      <c r="R8280" t="s">
        <v>27253</v>
      </c>
      <c r="S8280" t="s">
        <v>27254</v>
      </c>
      <c r="T8280" t="s">
        <v>27255</v>
      </c>
    </row>
    <row r="8281" spans="1:20" x14ac:dyDescent="0.3">
      <c r="A8281" t="str">
        <f>"0611837077100"</f>
        <v>0611837077100</v>
      </c>
      <c r="B8281" t="str">
        <f>"LK4795"</f>
        <v>LK4795</v>
      </c>
      <c r="C8281" t="s">
        <v>43289</v>
      </c>
      <c r="D8281" t="s">
        <v>27245</v>
      </c>
      <c r="E8281" t="str">
        <f t="shared" si="129"/>
        <v>001390</v>
      </c>
      <c r="F8281" t="s">
        <v>27246</v>
      </c>
      <c r="G8281" t="s">
        <v>27247</v>
      </c>
      <c r="H8281" t="s">
        <v>27248</v>
      </c>
      <c r="I8281" t="s">
        <v>43290</v>
      </c>
      <c r="J8281" t="s">
        <v>16553</v>
      </c>
      <c r="L8281" t="s">
        <v>27250</v>
      </c>
      <c r="M8281" t="s">
        <v>27251</v>
      </c>
      <c r="N8281" t="s">
        <v>27252</v>
      </c>
      <c r="Q8281" s="1">
        <v>44538</v>
      </c>
      <c r="R8281" t="s">
        <v>27253</v>
      </c>
      <c r="S8281" t="s">
        <v>27254</v>
      </c>
      <c r="T8281" t="s">
        <v>27255</v>
      </c>
    </row>
    <row r="8282" spans="1:20" x14ac:dyDescent="0.3">
      <c r="A8282" t="str">
        <f>"0611837078100"</f>
        <v>0611837078100</v>
      </c>
      <c r="B8282" t="str">
        <f>"LK4956"</f>
        <v>LK4956</v>
      </c>
      <c r="C8282" t="s">
        <v>43291</v>
      </c>
      <c r="D8282" t="s">
        <v>27245</v>
      </c>
      <c r="E8282" t="str">
        <f t="shared" si="129"/>
        <v>001390</v>
      </c>
      <c r="F8282" t="s">
        <v>27246</v>
      </c>
      <c r="G8282" t="s">
        <v>27247</v>
      </c>
      <c r="H8282" t="s">
        <v>27248</v>
      </c>
      <c r="I8282" t="s">
        <v>43292</v>
      </c>
      <c r="J8282" t="s">
        <v>16555</v>
      </c>
      <c r="L8282" t="s">
        <v>27250</v>
      </c>
      <c r="M8282" t="s">
        <v>27251</v>
      </c>
      <c r="N8282" t="s">
        <v>27252</v>
      </c>
      <c r="Q8282" s="1">
        <v>44538</v>
      </c>
      <c r="R8282" t="s">
        <v>27253</v>
      </c>
      <c r="S8282" t="s">
        <v>27254</v>
      </c>
      <c r="T8282" t="s">
        <v>27255</v>
      </c>
    </row>
    <row r="8283" spans="1:20" x14ac:dyDescent="0.3">
      <c r="A8283" t="str">
        <f>"0611837079100"</f>
        <v>0611837079100</v>
      </c>
      <c r="B8283" t="str">
        <f>"LK3300"</f>
        <v>LK3300</v>
      </c>
      <c r="C8283" t="s">
        <v>43293</v>
      </c>
      <c r="D8283" t="s">
        <v>28138</v>
      </c>
      <c r="E8283" t="str">
        <f t="shared" si="129"/>
        <v>001390</v>
      </c>
      <c r="F8283" t="s">
        <v>27246</v>
      </c>
      <c r="G8283" t="s">
        <v>27247</v>
      </c>
      <c r="H8283" t="s">
        <v>27248</v>
      </c>
      <c r="I8283" t="s">
        <v>43294</v>
      </c>
      <c r="J8283" t="s">
        <v>16557</v>
      </c>
      <c r="L8283" t="s">
        <v>27250</v>
      </c>
      <c r="M8283" t="s">
        <v>27251</v>
      </c>
      <c r="N8283" t="s">
        <v>27252</v>
      </c>
      <c r="P8283" t="s">
        <v>27925</v>
      </c>
      <c r="Q8283" s="1">
        <v>44538</v>
      </c>
      <c r="R8283" t="s">
        <v>27253</v>
      </c>
      <c r="S8283" t="s">
        <v>27254</v>
      </c>
      <c r="T8283" t="s">
        <v>27255</v>
      </c>
    </row>
    <row r="8284" spans="1:20" x14ac:dyDescent="0.3">
      <c r="A8284" t="str">
        <f>"0611837080100"</f>
        <v>0611837080100</v>
      </c>
      <c r="B8284" t="str">
        <f>"LK3301"</f>
        <v>LK3301</v>
      </c>
      <c r="C8284" t="s">
        <v>43295</v>
      </c>
      <c r="D8284" t="s">
        <v>28138</v>
      </c>
      <c r="E8284" t="str">
        <f t="shared" si="129"/>
        <v>001390</v>
      </c>
      <c r="F8284" t="s">
        <v>27246</v>
      </c>
      <c r="G8284" t="s">
        <v>27247</v>
      </c>
      <c r="H8284" t="s">
        <v>27248</v>
      </c>
      <c r="I8284" t="s">
        <v>43296</v>
      </c>
      <c r="J8284" t="s">
        <v>16559</v>
      </c>
      <c r="L8284" t="s">
        <v>27250</v>
      </c>
      <c r="M8284" t="s">
        <v>27251</v>
      </c>
      <c r="N8284" t="s">
        <v>27252</v>
      </c>
      <c r="P8284" t="s">
        <v>27925</v>
      </c>
      <c r="Q8284" s="1">
        <v>44538</v>
      </c>
      <c r="R8284" t="s">
        <v>27253</v>
      </c>
      <c r="S8284" t="s">
        <v>27254</v>
      </c>
      <c r="T8284" t="s">
        <v>27255</v>
      </c>
    </row>
    <row r="8285" spans="1:20" x14ac:dyDescent="0.3">
      <c r="A8285" t="str">
        <f>"0611837081100"</f>
        <v>0611837081100</v>
      </c>
      <c r="B8285" t="str">
        <f>"LK3799"</f>
        <v>LK3799</v>
      </c>
      <c r="C8285" t="s">
        <v>43297</v>
      </c>
      <c r="D8285" t="s">
        <v>28138</v>
      </c>
      <c r="E8285" t="str">
        <f t="shared" si="129"/>
        <v>001390</v>
      </c>
      <c r="F8285" t="s">
        <v>27246</v>
      </c>
      <c r="G8285" t="s">
        <v>27247</v>
      </c>
      <c r="H8285" t="s">
        <v>27248</v>
      </c>
      <c r="I8285" t="s">
        <v>43298</v>
      </c>
      <c r="J8285" t="s">
        <v>16561</v>
      </c>
      <c r="L8285" t="s">
        <v>27250</v>
      </c>
      <c r="M8285" t="s">
        <v>27251</v>
      </c>
      <c r="N8285" t="s">
        <v>27252</v>
      </c>
      <c r="P8285" t="s">
        <v>27925</v>
      </c>
      <c r="Q8285" s="1">
        <v>44538</v>
      </c>
      <c r="R8285" t="s">
        <v>27253</v>
      </c>
      <c r="S8285" t="s">
        <v>27254</v>
      </c>
      <c r="T8285" t="s">
        <v>27255</v>
      </c>
    </row>
    <row r="8286" spans="1:20" x14ac:dyDescent="0.3">
      <c r="A8286" t="str">
        <f>"0611837084100"</f>
        <v>0611837084100</v>
      </c>
      <c r="B8286" t="str">
        <f>"LK3303"</f>
        <v>LK3303</v>
      </c>
      <c r="C8286" t="s">
        <v>43299</v>
      </c>
      <c r="D8286" t="s">
        <v>28138</v>
      </c>
      <c r="E8286" t="str">
        <f t="shared" si="129"/>
        <v>001390</v>
      </c>
      <c r="F8286" t="s">
        <v>27246</v>
      </c>
      <c r="G8286" t="s">
        <v>27247</v>
      </c>
      <c r="H8286" t="s">
        <v>27248</v>
      </c>
      <c r="I8286" t="s">
        <v>43300</v>
      </c>
      <c r="J8286" t="s">
        <v>16563</v>
      </c>
      <c r="L8286" t="s">
        <v>27250</v>
      </c>
      <c r="M8286" t="s">
        <v>27251</v>
      </c>
      <c r="N8286" t="s">
        <v>27252</v>
      </c>
      <c r="P8286" t="s">
        <v>27925</v>
      </c>
      <c r="Q8286" s="1">
        <v>44538</v>
      </c>
      <c r="R8286" t="s">
        <v>27253</v>
      </c>
      <c r="S8286" t="s">
        <v>27254</v>
      </c>
      <c r="T8286" t="s">
        <v>27255</v>
      </c>
    </row>
    <row r="8287" spans="1:20" x14ac:dyDescent="0.3">
      <c r="A8287" t="str">
        <f>"0611837087100"</f>
        <v>0611837087100</v>
      </c>
      <c r="B8287" t="str">
        <f>"LQ5609"</f>
        <v>LQ5609</v>
      </c>
      <c r="C8287" t="s">
        <v>43301</v>
      </c>
      <c r="D8287" t="s">
        <v>27245</v>
      </c>
      <c r="E8287" t="str">
        <f t="shared" si="129"/>
        <v>001390</v>
      </c>
      <c r="F8287" t="s">
        <v>27246</v>
      </c>
      <c r="G8287" t="s">
        <v>27247</v>
      </c>
      <c r="H8287" t="s">
        <v>27248</v>
      </c>
      <c r="I8287" t="s">
        <v>43302</v>
      </c>
      <c r="J8287" t="s">
        <v>16565</v>
      </c>
      <c r="L8287" t="s">
        <v>27250</v>
      </c>
      <c r="M8287" t="s">
        <v>27251</v>
      </c>
      <c r="N8287" t="s">
        <v>27252</v>
      </c>
      <c r="Q8287" s="1">
        <v>44538</v>
      </c>
      <c r="R8287" t="s">
        <v>27253</v>
      </c>
      <c r="S8287" t="s">
        <v>27254</v>
      </c>
      <c r="T8287" t="s">
        <v>27255</v>
      </c>
    </row>
    <row r="8288" spans="1:20" x14ac:dyDescent="0.3">
      <c r="A8288" t="str">
        <f>"0611837090100"</f>
        <v>0611837090100</v>
      </c>
      <c r="B8288" t="str">
        <f>"LQ3759"</f>
        <v>LQ3759</v>
      </c>
      <c r="C8288" t="s">
        <v>43303</v>
      </c>
      <c r="D8288" t="s">
        <v>27245</v>
      </c>
      <c r="E8288" t="str">
        <f t="shared" si="129"/>
        <v>001390</v>
      </c>
      <c r="F8288" t="s">
        <v>27246</v>
      </c>
      <c r="G8288" t="s">
        <v>27247</v>
      </c>
      <c r="H8288" t="s">
        <v>27248</v>
      </c>
      <c r="I8288" t="s">
        <v>43304</v>
      </c>
      <c r="J8288" t="s">
        <v>16567</v>
      </c>
      <c r="L8288" t="s">
        <v>27250</v>
      </c>
      <c r="M8288" t="s">
        <v>27251</v>
      </c>
      <c r="N8288" t="s">
        <v>27252</v>
      </c>
      <c r="Q8288" s="1">
        <v>44538</v>
      </c>
      <c r="R8288" t="s">
        <v>27253</v>
      </c>
      <c r="S8288" t="s">
        <v>27254</v>
      </c>
      <c r="T8288" t="s">
        <v>27255</v>
      </c>
    </row>
    <row r="8289" spans="1:20" x14ac:dyDescent="0.3">
      <c r="A8289" t="str">
        <f>"0611863330050"</f>
        <v>0611863330050</v>
      </c>
      <c r="B8289" t="str">
        <f>"CR2876"</f>
        <v>CR2876</v>
      </c>
      <c r="C8289" t="s">
        <v>43305</v>
      </c>
      <c r="D8289" t="s">
        <v>27271</v>
      </c>
      <c r="E8289" t="str">
        <f t="shared" si="129"/>
        <v>001390</v>
      </c>
      <c r="F8289" t="s">
        <v>27246</v>
      </c>
      <c r="G8289" t="s">
        <v>27247</v>
      </c>
      <c r="H8289" t="s">
        <v>27248</v>
      </c>
      <c r="I8289" t="s">
        <v>43306</v>
      </c>
      <c r="J8289" t="s">
        <v>16573</v>
      </c>
      <c r="L8289" t="s">
        <v>27250</v>
      </c>
      <c r="M8289" t="s">
        <v>27251</v>
      </c>
      <c r="N8289" t="s">
        <v>27252</v>
      </c>
      <c r="P8289" t="s">
        <v>27341</v>
      </c>
      <c r="Q8289" s="1">
        <v>44846</v>
      </c>
      <c r="R8289" t="s">
        <v>27253</v>
      </c>
      <c r="S8289" t="s">
        <v>27254</v>
      </c>
      <c r="T8289" t="s">
        <v>27265</v>
      </c>
    </row>
    <row r="8290" spans="1:20" x14ac:dyDescent="0.3">
      <c r="A8290" t="str">
        <f>"0611863331050"</f>
        <v>0611863331050</v>
      </c>
      <c r="B8290" t="str">
        <f>"CR4082"</f>
        <v>CR4082</v>
      </c>
      <c r="C8290" t="s">
        <v>43307</v>
      </c>
      <c r="D8290" t="s">
        <v>27271</v>
      </c>
      <c r="E8290" t="str">
        <f t="shared" si="129"/>
        <v>001390</v>
      </c>
      <c r="F8290" t="s">
        <v>27246</v>
      </c>
      <c r="G8290" t="s">
        <v>27247</v>
      </c>
      <c r="H8290" t="s">
        <v>27248</v>
      </c>
      <c r="I8290" t="s">
        <v>43308</v>
      </c>
      <c r="J8290" t="s">
        <v>16575</v>
      </c>
      <c r="L8290" t="s">
        <v>27250</v>
      </c>
      <c r="M8290" t="s">
        <v>27251</v>
      </c>
      <c r="N8290" t="s">
        <v>27252</v>
      </c>
      <c r="P8290" t="s">
        <v>27341</v>
      </c>
      <c r="Q8290" s="1">
        <v>44846</v>
      </c>
      <c r="R8290" t="s">
        <v>27253</v>
      </c>
      <c r="S8290" t="s">
        <v>27254</v>
      </c>
      <c r="T8290" t="s">
        <v>27265</v>
      </c>
    </row>
    <row r="8291" spans="1:20" x14ac:dyDescent="0.3">
      <c r="A8291" t="str">
        <f>"0611863332050"</f>
        <v>0611863332050</v>
      </c>
      <c r="B8291" t="str">
        <f>"CR2440"</f>
        <v>CR2440</v>
      </c>
      <c r="C8291" t="s">
        <v>43309</v>
      </c>
      <c r="D8291" t="s">
        <v>27271</v>
      </c>
      <c r="E8291" t="str">
        <f t="shared" si="129"/>
        <v>001390</v>
      </c>
      <c r="F8291" t="s">
        <v>27246</v>
      </c>
      <c r="G8291" t="s">
        <v>27247</v>
      </c>
      <c r="H8291" t="s">
        <v>27248</v>
      </c>
      <c r="I8291" t="s">
        <v>43310</v>
      </c>
      <c r="J8291" t="s">
        <v>16577</v>
      </c>
      <c r="L8291" t="s">
        <v>27250</v>
      </c>
      <c r="M8291" t="s">
        <v>27251</v>
      </c>
      <c r="N8291" t="s">
        <v>27252</v>
      </c>
      <c r="P8291" t="s">
        <v>27341</v>
      </c>
      <c r="Q8291" s="1">
        <v>44846</v>
      </c>
      <c r="R8291" t="s">
        <v>27253</v>
      </c>
      <c r="S8291" t="s">
        <v>27254</v>
      </c>
      <c r="T8291" t="s">
        <v>27265</v>
      </c>
    </row>
    <row r="8292" spans="1:20" x14ac:dyDescent="0.3">
      <c r="A8292" t="str">
        <f>"0611863333050"</f>
        <v>0611863333050</v>
      </c>
      <c r="B8292" t="str">
        <f>"CR4083"</f>
        <v>CR4083</v>
      </c>
      <c r="C8292" t="s">
        <v>43311</v>
      </c>
      <c r="D8292" t="s">
        <v>27271</v>
      </c>
      <c r="E8292" t="str">
        <f t="shared" si="129"/>
        <v>001390</v>
      </c>
      <c r="F8292" t="s">
        <v>27246</v>
      </c>
      <c r="G8292" t="s">
        <v>27247</v>
      </c>
      <c r="H8292" t="s">
        <v>27248</v>
      </c>
      <c r="I8292" t="s">
        <v>43312</v>
      </c>
      <c r="J8292" t="s">
        <v>16579</v>
      </c>
      <c r="L8292" t="s">
        <v>27250</v>
      </c>
      <c r="M8292" t="s">
        <v>27251</v>
      </c>
      <c r="N8292" t="s">
        <v>27252</v>
      </c>
      <c r="P8292" t="s">
        <v>27341</v>
      </c>
      <c r="Q8292" s="1">
        <v>44846</v>
      </c>
      <c r="R8292" t="s">
        <v>27253</v>
      </c>
      <c r="S8292" t="s">
        <v>27254</v>
      </c>
      <c r="T8292" t="s">
        <v>27265</v>
      </c>
    </row>
    <row r="8293" spans="1:20" x14ac:dyDescent="0.3">
      <c r="A8293" t="str">
        <f>"0611863334050"</f>
        <v>0611863334050</v>
      </c>
      <c r="B8293" t="str">
        <f>"CR5210"</f>
        <v>CR5210</v>
      </c>
      <c r="C8293" t="s">
        <v>43313</v>
      </c>
      <c r="D8293" t="s">
        <v>27271</v>
      </c>
      <c r="E8293" t="str">
        <f t="shared" si="129"/>
        <v>001390</v>
      </c>
      <c r="F8293" t="s">
        <v>27246</v>
      </c>
      <c r="G8293" t="s">
        <v>27247</v>
      </c>
      <c r="H8293" t="s">
        <v>27248</v>
      </c>
      <c r="I8293" t="s">
        <v>43314</v>
      </c>
      <c r="J8293" t="s">
        <v>16581</v>
      </c>
      <c r="L8293" t="s">
        <v>27250</v>
      </c>
      <c r="M8293" t="s">
        <v>27251</v>
      </c>
      <c r="N8293" t="s">
        <v>27252</v>
      </c>
      <c r="P8293" t="s">
        <v>27341</v>
      </c>
      <c r="Q8293" s="1">
        <v>44846</v>
      </c>
      <c r="R8293" t="s">
        <v>27253</v>
      </c>
      <c r="S8293" t="s">
        <v>27254</v>
      </c>
      <c r="T8293" t="s">
        <v>27265</v>
      </c>
    </row>
    <row r="8294" spans="1:20" x14ac:dyDescent="0.3">
      <c r="A8294" t="str">
        <f>"0611863335050"</f>
        <v>0611863335050</v>
      </c>
      <c r="B8294" t="str">
        <f>"CR2441"</f>
        <v>CR2441</v>
      </c>
      <c r="C8294" t="s">
        <v>43315</v>
      </c>
      <c r="D8294" t="s">
        <v>27271</v>
      </c>
      <c r="E8294" t="str">
        <f t="shared" si="129"/>
        <v>001390</v>
      </c>
      <c r="F8294" t="s">
        <v>27246</v>
      </c>
      <c r="G8294" t="s">
        <v>27247</v>
      </c>
      <c r="H8294" t="s">
        <v>27248</v>
      </c>
      <c r="I8294" t="s">
        <v>43316</v>
      </c>
      <c r="J8294" t="s">
        <v>16583</v>
      </c>
      <c r="L8294" t="s">
        <v>27250</v>
      </c>
      <c r="M8294" t="s">
        <v>27251</v>
      </c>
      <c r="N8294" t="s">
        <v>27252</v>
      </c>
      <c r="P8294" t="s">
        <v>27341</v>
      </c>
      <c r="Q8294" s="1">
        <v>44846</v>
      </c>
      <c r="R8294" t="s">
        <v>27253</v>
      </c>
      <c r="S8294" t="s">
        <v>27254</v>
      </c>
      <c r="T8294" t="s">
        <v>27265</v>
      </c>
    </row>
    <row r="8295" spans="1:20" x14ac:dyDescent="0.3">
      <c r="A8295" t="str">
        <f>"0611863336050"</f>
        <v>0611863336050</v>
      </c>
      <c r="B8295" t="str">
        <f>"CR5211"</f>
        <v>CR5211</v>
      </c>
      <c r="C8295" t="s">
        <v>43317</v>
      </c>
      <c r="D8295" t="s">
        <v>27271</v>
      </c>
      <c r="E8295" t="str">
        <f t="shared" si="129"/>
        <v>001390</v>
      </c>
      <c r="F8295" t="s">
        <v>27246</v>
      </c>
      <c r="G8295" t="s">
        <v>27247</v>
      </c>
      <c r="H8295" t="s">
        <v>27248</v>
      </c>
      <c r="I8295" t="s">
        <v>43318</v>
      </c>
      <c r="J8295" t="s">
        <v>16585</v>
      </c>
      <c r="L8295" t="s">
        <v>27250</v>
      </c>
      <c r="M8295" t="s">
        <v>27251</v>
      </c>
      <c r="N8295" t="s">
        <v>27252</v>
      </c>
      <c r="P8295" t="s">
        <v>27341</v>
      </c>
      <c r="Q8295" s="1">
        <v>44846</v>
      </c>
      <c r="R8295" t="s">
        <v>27253</v>
      </c>
      <c r="S8295" t="s">
        <v>27254</v>
      </c>
      <c r="T8295" t="s">
        <v>27265</v>
      </c>
    </row>
    <row r="8296" spans="1:20" x14ac:dyDescent="0.3">
      <c r="A8296" t="str">
        <f>"0611863337050"</f>
        <v>0611863337050</v>
      </c>
      <c r="B8296" t="str">
        <f>"CR5212"</f>
        <v>CR5212</v>
      </c>
      <c r="C8296" t="s">
        <v>43319</v>
      </c>
      <c r="D8296" t="s">
        <v>27271</v>
      </c>
      <c r="E8296" t="str">
        <f t="shared" si="129"/>
        <v>001390</v>
      </c>
      <c r="F8296" t="s">
        <v>27246</v>
      </c>
      <c r="G8296" t="s">
        <v>27247</v>
      </c>
      <c r="H8296" t="s">
        <v>27248</v>
      </c>
      <c r="I8296" t="s">
        <v>43320</v>
      </c>
      <c r="J8296" t="s">
        <v>16587</v>
      </c>
      <c r="L8296" t="s">
        <v>27250</v>
      </c>
      <c r="M8296" t="s">
        <v>27251</v>
      </c>
      <c r="N8296" t="s">
        <v>27252</v>
      </c>
      <c r="P8296" t="s">
        <v>27341</v>
      </c>
      <c r="Q8296" s="1">
        <v>44846</v>
      </c>
      <c r="R8296" t="s">
        <v>27253</v>
      </c>
      <c r="S8296" t="s">
        <v>27254</v>
      </c>
      <c r="T8296" t="s">
        <v>27265</v>
      </c>
    </row>
    <row r="8297" spans="1:20" x14ac:dyDescent="0.3">
      <c r="A8297" t="str">
        <f>"0611863339050"</f>
        <v>0611863339050</v>
      </c>
      <c r="B8297" t="str">
        <f>"CR2723"</f>
        <v>CR2723</v>
      </c>
      <c r="C8297" t="s">
        <v>43321</v>
      </c>
      <c r="D8297" t="s">
        <v>27271</v>
      </c>
      <c r="E8297" t="str">
        <f t="shared" si="129"/>
        <v>001390</v>
      </c>
      <c r="F8297" t="s">
        <v>27246</v>
      </c>
      <c r="G8297" t="s">
        <v>27247</v>
      </c>
      <c r="H8297" t="s">
        <v>27248</v>
      </c>
      <c r="I8297" t="s">
        <v>43322</v>
      </c>
      <c r="J8297" t="s">
        <v>16589</v>
      </c>
      <c r="L8297" t="s">
        <v>27250</v>
      </c>
      <c r="M8297" t="s">
        <v>27251</v>
      </c>
      <c r="N8297" t="s">
        <v>27252</v>
      </c>
      <c r="P8297" t="s">
        <v>27341</v>
      </c>
      <c r="Q8297" s="1">
        <v>44846</v>
      </c>
      <c r="R8297" t="s">
        <v>27253</v>
      </c>
      <c r="S8297" t="s">
        <v>27254</v>
      </c>
      <c r="T8297" t="s">
        <v>27265</v>
      </c>
    </row>
    <row r="8298" spans="1:20" x14ac:dyDescent="0.3">
      <c r="A8298" t="str">
        <f>"0611863340050"</f>
        <v>0611863340050</v>
      </c>
      <c r="B8298" t="str">
        <f>"CR2882"</f>
        <v>CR2882</v>
      </c>
      <c r="C8298" t="s">
        <v>43323</v>
      </c>
      <c r="D8298" t="s">
        <v>27271</v>
      </c>
      <c r="E8298" t="str">
        <f t="shared" si="129"/>
        <v>001390</v>
      </c>
      <c r="F8298" t="s">
        <v>27246</v>
      </c>
      <c r="G8298" t="s">
        <v>27247</v>
      </c>
      <c r="H8298" t="s">
        <v>27248</v>
      </c>
      <c r="I8298" t="s">
        <v>43324</v>
      </c>
      <c r="J8298" t="s">
        <v>16591</v>
      </c>
      <c r="L8298" t="s">
        <v>27250</v>
      </c>
      <c r="M8298" t="s">
        <v>27251</v>
      </c>
      <c r="N8298" t="s">
        <v>27252</v>
      </c>
      <c r="P8298" t="s">
        <v>27341</v>
      </c>
      <c r="Q8298" s="1">
        <v>44846</v>
      </c>
      <c r="R8298" t="s">
        <v>27253</v>
      </c>
      <c r="S8298" t="s">
        <v>27254</v>
      </c>
      <c r="T8298" t="s">
        <v>27265</v>
      </c>
    </row>
    <row r="8299" spans="1:20" x14ac:dyDescent="0.3">
      <c r="A8299" t="str">
        <f>"0611863341050"</f>
        <v>0611863341050</v>
      </c>
      <c r="B8299" t="str">
        <f>"CR3900"</f>
        <v>CR3900</v>
      </c>
      <c r="C8299" t="s">
        <v>43325</v>
      </c>
      <c r="D8299" t="s">
        <v>27271</v>
      </c>
      <c r="E8299" t="str">
        <f t="shared" si="129"/>
        <v>001390</v>
      </c>
      <c r="F8299" t="s">
        <v>27246</v>
      </c>
      <c r="G8299" t="s">
        <v>27247</v>
      </c>
      <c r="H8299" t="s">
        <v>27248</v>
      </c>
      <c r="I8299" t="s">
        <v>43326</v>
      </c>
      <c r="J8299" t="s">
        <v>16593</v>
      </c>
      <c r="L8299" t="s">
        <v>27250</v>
      </c>
      <c r="M8299" t="s">
        <v>27251</v>
      </c>
      <c r="N8299" t="s">
        <v>27252</v>
      </c>
      <c r="P8299" t="s">
        <v>27341</v>
      </c>
      <c r="Q8299" s="1">
        <v>44846</v>
      </c>
      <c r="R8299" t="s">
        <v>27253</v>
      </c>
      <c r="S8299" t="s">
        <v>27254</v>
      </c>
      <c r="T8299" t="s">
        <v>27265</v>
      </c>
    </row>
    <row r="8300" spans="1:20" x14ac:dyDescent="0.3">
      <c r="A8300" t="str">
        <f>"0611863342050"</f>
        <v>0611863342050</v>
      </c>
      <c r="B8300" t="str">
        <f>"CR5213"</f>
        <v>CR5213</v>
      </c>
      <c r="C8300" t="s">
        <v>43327</v>
      </c>
      <c r="D8300" t="s">
        <v>27271</v>
      </c>
      <c r="E8300" t="str">
        <f t="shared" si="129"/>
        <v>001390</v>
      </c>
      <c r="F8300" t="s">
        <v>27246</v>
      </c>
      <c r="G8300" t="s">
        <v>27247</v>
      </c>
      <c r="H8300" t="s">
        <v>27248</v>
      </c>
      <c r="I8300" t="s">
        <v>43328</v>
      </c>
      <c r="J8300" t="s">
        <v>16595</v>
      </c>
      <c r="L8300" t="s">
        <v>27250</v>
      </c>
      <c r="M8300" t="s">
        <v>27251</v>
      </c>
      <c r="N8300" t="s">
        <v>27252</v>
      </c>
      <c r="P8300" t="s">
        <v>27341</v>
      </c>
      <c r="Q8300" s="1">
        <v>44846</v>
      </c>
      <c r="R8300" t="s">
        <v>27253</v>
      </c>
      <c r="S8300" t="s">
        <v>27254</v>
      </c>
      <c r="T8300" t="s">
        <v>27265</v>
      </c>
    </row>
    <row r="8301" spans="1:20" x14ac:dyDescent="0.3">
      <c r="A8301" t="str">
        <f>"0611863343050"</f>
        <v>0611863343050</v>
      </c>
      <c r="B8301" t="str">
        <f>"CR5214"</f>
        <v>CR5214</v>
      </c>
      <c r="C8301" t="s">
        <v>43329</v>
      </c>
      <c r="D8301" t="s">
        <v>27271</v>
      </c>
      <c r="E8301" t="str">
        <f t="shared" si="129"/>
        <v>001390</v>
      </c>
      <c r="F8301" t="s">
        <v>27246</v>
      </c>
      <c r="G8301" t="s">
        <v>27247</v>
      </c>
      <c r="H8301" t="s">
        <v>27248</v>
      </c>
      <c r="I8301" t="s">
        <v>43330</v>
      </c>
      <c r="J8301" t="s">
        <v>16597</v>
      </c>
      <c r="L8301" t="s">
        <v>27250</v>
      </c>
      <c r="M8301" t="s">
        <v>27251</v>
      </c>
      <c r="N8301" t="s">
        <v>27252</v>
      </c>
      <c r="P8301" t="s">
        <v>27341</v>
      </c>
      <c r="Q8301" s="1">
        <v>44846</v>
      </c>
      <c r="R8301" t="s">
        <v>27253</v>
      </c>
      <c r="S8301" t="s">
        <v>27254</v>
      </c>
      <c r="T8301" t="s">
        <v>27265</v>
      </c>
    </row>
    <row r="8302" spans="1:20" x14ac:dyDescent="0.3">
      <c r="A8302" t="str">
        <f>"0611863344050"</f>
        <v>0611863344050</v>
      </c>
      <c r="B8302" t="str">
        <f>"CR5215"</f>
        <v>CR5215</v>
      </c>
      <c r="C8302" t="s">
        <v>43331</v>
      </c>
      <c r="D8302" t="s">
        <v>27271</v>
      </c>
      <c r="E8302" t="str">
        <f t="shared" si="129"/>
        <v>001390</v>
      </c>
      <c r="F8302" t="s">
        <v>27246</v>
      </c>
      <c r="G8302" t="s">
        <v>27247</v>
      </c>
      <c r="H8302" t="s">
        <v>27248</v>
      </c>
      <c r="I8302" t="s">
        <v>43332</v>
      </c>
      <c r="J8302" t="s">
        <v>16599</v>
      </c>
      <c r="L8302" t="s">
        <v>27250</v>
      </c>
      <c r="M8302" t="s">
        <v>27251</v>
      </c>
      <c r="N8302" t="s">
        <v>27252</v>
      </c>
      <c r="P8302" t="s">
        <v>27341</v>
      </c>
      <c r="Q8302" s="1">
        <v>44846</v>
      </c>
      <c r="R8302" t="s">
        <v>27253</v>
      </c>
      <c r="S8302" t="s">
        <v>27254</v>
      </c>
      <c r="T8302" t="s">
        <v>27265</v>
      </c>
    </row>
    <row r="8303" spans="1:20" x14ac:dyDescent="0.3">
      <c r="A8303" t="str">
        <f>"0611863345050"</f>
        <v>0611863345050</v>
      </c>
      <c r="B8303" t="str">
        <f>"CR5216"</f>
        <v>CR5216</v>
      </c>
      <c r="C8303" t="s">
        <v>43333</v>
      </c>
      <c r="D8303" t="s">
        <v>27271</v>
      </c>
      <c r="E8303" t="str">
        <f t="shared" si="129"/>
        <v>001390</v>
      </c>
      <c r="F8303" t="s">
        <v>27246</v>
      </c>
      <c r="G8303" t="s">
        <v>27247</v>
      </c>
      <c r="H8303" t="s">
        <v>27248</v>
      </c>
      <c r="I8303" t="s">
        <v>43334</v>
      </c>
      <c r="J8303" t="s">
        <v>16601</v>
      </c>
      <c r="L8303" t="s">
        <v>27250</v>
      </c>
      <c r="M8303" t="s">
        <v>27251</v>
      </c>
      <c r="N8303" t="s">
        <v>27252</v>
      </c>
      <c r="P8303" t="s">
        <v>27341</v>
      </c>
      <c r="Q8303" s="1">
        <v>44846</v>
      </c>
      <c r="R8303" t="s">
        <v>27253</v>
      </c>
      <c r="S8303" t="s">
        <v>27254</v>
      </c>
      <c r="T8303" t="s">
        <v>27265</v>
      </c>
    </row>
    <row r="8304" spans="1:20" x14ac:dyDescent="0.3">
      <c r="A8304" t="str">
        <f>"0611863346050"</f>
        <v>0611863346050</v>
      </c>
      <c r="B8304" t="str">
        <f>"CR5217"</f>
        <v>CR5217</v>
      </c>
      <c r="C8304" t="s">
        <v>43335</v>
      </c>
      <c r="D8304" t="s">
        <v>27271</v>
      </c>
      <c r="E8304" t="str">
        <f t="shared" si="129"/>
        <v>001390</v>
      </c>
      <c r="F8304" t="s">
        <v>27246</v>
      </c>
      <c r="G8304" t="s">
        <v>27247</v>
      </c>
      <c r="H8304" t="s">
        <v>27248</v>
      </c>
      <c r="I8304" t="s">
        <v>43336</v>
      </c>
      <c r="J8304" t="s">
        <v>16603</v>
      </c>
      <c r="L8304" t="s">
        <v>27250</v>
      </c>
      <c r="M8304" t="s">
        <v>27251</v>
      </c>
      <c r="N8304" t="s">
        <v>27252</v>
      </c>
      <c r="P8304" t="s">
        <v>27341</v>
      </c>
      <c r="Q8304" s="1">
        <v>44846</v>
      </c>
      <c r="R8304" t="s">
        <v>27253</v>
      </c>
      <c r="S8304" t="s">
        <v>27254</v>
      </c>
      <c r="T8304" t="s">
        <v>27265</v>
      </c>
    </row>
    <row r="8305" spans="1:20" x14ac:dyDescent="0.3">
      <c r="A8305" t="str">
        <f>"0611863347050"</f>
        <v>0611863347050</v>
      </c>
      <c r="B8305" t="str">
        <f>"CR2442"</f>
        <v>CR2442</v>
      </c>
      <c r="C8305" t="s">
        <v>43337</v>
      </c>
      <c r="D8305" t="s">
        <v>27271</v>
      </c>
      <c r="E8305" t="str">
        <f t="shared" si="129"/>
        <v>001390</v>
      </c>
      <c r="F8305" t="s">
        <v>27246</v>
      </c>
      <c r="G8305" t="s">
        <v>27247</v>
      </c>
      <c r="H8305" t="s">
        <v>27248</v>
      </c>
      <c r="I8305" t="s">
        <v>43338</v>
      </c>
      <c r="J8305" t="s">
        <v>16605</v>
      </c>
      <c r="L8305" t="s">
        <v>27250</v>
      </c>
      <c r="M8305" t="s">
        <v>27251</v>
      </c>
      <c r="N8305" t="s">
        <v>27252</v>
      </c>
      <c r="P8305" t="s">
        <v>27341</v>
      </c>
      <c r="Q8305" s="1">
        <v>44846</v>
      </c>
      <c r="R8305" t="s">
        <v>27253</v>
      </c>
      <c r="S8305" t="s">
        <v>27254</v>
      </c>
      <c r="T8305" t="s">
        <v>27265</v>
      </c>
    </row>
    <row r="8306" spans="1:20" x14ac:dyDescent="0.3">
      <c r="A8306" t="str">
        <f>"0611863348050"</f>
        <v>0611863348050</v>
      </c>
      <c r="B8306" t="str">
        <f>"CR2724"</f>
        <v>CR2724</v>
      </c>
      <c r="C8306" t="s">
        <v>43339</v>
      </c>
      <c r="D8306" t="s">
        <v>27271</v>
      </c>
      <c r="E8306" t="str">
        <f t="shared" si="129"/>
        <v>001390</v>
      </c>
      <c r="F8306" t="s">
        <v>27246</v>
      </c>
      <c r="G8306" t="s">
        <v>27247</v>
      </c>
      <c r="H8306" t="s">
        <v>27248</v>
      </c>
      <c r="I8306" t="s">
        <v>43340</v>
      </c>
      <c r="J8306" t="s">
        <v>16607</v>
      </c>
      <c r="L8306" t="s">
        <v>27250</v>
      </c>
      <c r="M8306" t="s">
        <v>27251</v>
      </c>
      <c r="N8306" t="s">
        <v>27252</v>
      </c>
      <c r="P8306" t="s">
        <v>27341</v>
      </c>
      <c r="Q8306" s="1">
        <v>44846</v>
      </c>
      <c r="R8306" t="s">
        <v>27253</v>
      </c>
      <c r="S8306" t="s">
        <v>27254</v>
      </c>
      <c r="T8306" t="s">
        <v>27265</v>
      </c>
    </row>
    <row r="8307" spans="1:20" x14ac:dyDescent="0.3">
      <c r="A8307" t="str">
        <f>"0611863349050"</f>
        <v>0611863349050</v>
      </c>
      <c r="B8307" t="str">
        <f>"CR2885"</f>
        <v>CR2885</v>
      </c>
      <c r="C8307" t="s">
        <v>43341</v>
      </c>
      <c r="D8307" t="s">
        <v>27271</v>
      </c>
      <c r="E8307" t="str">
        <f t="shared" si="129"/>
        <v>001390</v>
      </c>
      <c r="F8307" t="s">
        <v>27246</v>
      </c>
      <c r="G8307" t="s">
        <v>27247</v>
      </c>
      <c r="H8307" t="s">
        <v>27248</v>
      </c>
      <c r="I8307" t="s">
        <v>43342</v>
      </c>
      <c r="J8307" t="s">
        <v>16609</v>
      </c>
      <c r="L8307" t="s">
        <v>27250</v>
      </c>
      <c r="M8307" t="s">
        <v>27251</v>
      </c>
      <c r="N8307" t="s">
        <v>27252</v>
      </c>
      <c r="P8307" t="s">
        <v>27341</v>
      </c>
      <c r="Q8307" s="1">
        <v>44846</v>
      </c>
      <c r="R8307" t="s">
        <v>27253</v>
      </c>
      <c r="S8307" t="s">
        <v>27254</v>
      </c>
      <c r="T8307" t="s">
        <v>27265</v>
      </c>
    </row>
    <row r="8308" spans="1:20" x14ac:dyDescent="0.3">
      <c r="A8308" t="str">
        <f>"0611863351050"</f>
        <v>0611863351050</v>
      </c>
      <c r="B8308" t="str">
        <f>"CR2443"</f>
        <v>CR2443</v>
      </c>
      <c r="C8308" t="s">
        <v>43343</v>
      </c>
      <c r="D8308" t="s">
        <v>27271</v>
      </c>
      <c r="E8308" t="str">
        <f t="shared" si="129"/>
        <v>001390</v>
      </c>
      <c r="F8308" t="s">
        <v>27246</v>
      </c>
      <c r="G8308" t="s">
        <v>27247</v>
      </c>
      <c r="H8308" t="s">
        <v>27248</v>
      </c>
      <c r="I8308" t="s">
        <v>43344</v>
      </c>
      <c r="J8308" t="s">
        <v>16611</v>
      </c>
      <c r="L8308" t="s">
        <v>27250</v>
      </c>
      <c r="M8308" t="s">
        <v>27251</v>
      </c>
      <c r="N8308" t="s">
        <v>27252</v>
      </c>
      <c r="P8308" t="s">
        <v>27341</v>
      </c>
      <c r="Q8308" s="1">
        <v>44846</v>
      </c>
      <c r="R8308" t="s">
        <v>27253</v>
      </c>
      <c r="S8308" t="s">
        <v>27254</v>
      </c>
      <c r="T8308" t="s">
        <v>27265</v>
      </c>
    </row>
    <row r="8309" spans="1:20" x14ac:dyDescent="0.3">
      <c r="A8309" t="str">
        <f>"0611863352050"</f>
        <v>0611863352050</v>
      </c>
      <c r="B8309" t="str">
        <f>"CR2444"</f>
        <v>CR2444</v>
      </c>
      <c r="C8309" t="s">
        <v>43345</v>
      </c>
      <c r="D8309" t="s">
        <v>27271</v>
      </c>
      <c r="E8309" t="str">
        <f t="shared" si="129"/>
        <v>001390</v>
      </c>
      <c r="F8309" t="s">
        <v>27246</v>
      </c>
      <c r="G8309" t="s">
        <v>27247</v>
      </c>
      <c r="H8309" t="s">
        <v>27248</v>
      </c>
      <c r="I8309" t="s">
        <v>43346</v>
      </c>
      <c r="J8309" t="s">
        <v>16613</v>
      </c>
      <c r="L8309" t="s">
        <v>27250</v>
      </c>
      <c r="M8309" t="s">
        <v>27251</v>
      </c>
      <c r="N8309" t="s">
        <v>27252</v>
      </c>
      <c r="P8309" t="s">
        <v>27341</v>
      </c>
      <c r="Q8309" s="1">
        <v>44846</v>
      </c>
      <c r="R8309" t="s">
        <v>27253</v>
      </c>
      <c r="S8309" t="s">
        <v>27254</v>
      </c>
      <c r="T8309" t="s">
        <v>27265</v>
      </c>
    </row>
    <row r="8310" spans="1:20" x14ac:dyDescent="0.3">
      <c r="A8310" t="str">
        <f>"0611837091100"</f>
        <v>0611837091100</v>
      </c>
      <c r="B8310" t="str">
        <f>"LK6968"</f>
        <v>LK6968</v>
      </c>
      <c r="C8310" t="s">
        <v>43347</v>
      </c>
      <c r="D8310" t="s">
        <v>27245</v>
      </c>
      <c r="E8310" t="str">
        <f t="shared" si="129"/>
        <v>001390</v>
      </c>
      <c r="F8310" t="s">
        <v>27246</v>
      </c>
      <c r="G8310" t="s">
        <v>27247</v>
      </c>
      <c r="H8310" t="s">
        <v>27248</v>
      </c>
      <c r="I8310" t="s">
        <v>43348</v>
      </c>
      <c r="J8310" t="s">
        <v>16569</v>
      </c>
      <c r="L8310" t="s">
        <v>27250</v>
      </c>
      <c r="M8310" t="s">
        <v>27251</v>
      </c>
      <c r="N8310" t="s">
        <v>27252</v>
      </c>
      <c r="Q8310" s="1">
        <v>44538</v>
      </c>
      <c r="R8310" t="s">
        <v>27253</v>
      </c>
      <c r="S8310" t="s">
        <v>27254</v>
      </c>
      <c r="T8310" t="s">
        <v>27255</v>
      </c>
    </row>
    <row r="8311" spans="1:20" x14ac:dyDescent="0.3">
      <c r="A8311" t="str">
        <f>"0611837092025"</f>
        <v>0611837092025</v>
      </c>
      <c r="B8311" t="str">
        <f>"MC3772"</f>
        <v>MC3772</v>
      </c>
      <c r="C8311" t="s">
        <v>43347</v>
      </c>
      <c r="D8311" t="s">
        <v>27267</v>
      </c>
      <c r="E8311" t="str">
        <f t="shared" si="129"/>
        <v>001390</v>
      </c>
      <c r="F8311" t="s">
        <v>27246</v>
      </c>
      <c r="G8311" t="s">
        <v>27247</v>
      </c>
      <c r="H8311" t="s">
        <v>27248</v>
      </c>
      <c r="I8311" t="s">
        <v>43349</v>
      </c>
      <c r="J8311" t="s">
        <v>16571</v>
      </c>
      <c r="L8311" t="s">
        <v>27250</v>
      </c>
      <c r="M8311" t="s">
        <v>27251</v>
      </c>
      <c r="N8311" t="s">
        <v>27252</v>
      </c>
      <c r="Q8311" s="1">
        <v>44538</v>
      </c>
      <c r="R8311" t="s">
        <v>27253</v>
      </c>
      <c r="S8311" t="s">
        <v>27254</v>
      </c>
      <c r="T8311" t="s">
        <v>27269</v>
      </c>
    </row>
    <row r="8312" spans="1:20" x14ac:dyDescent="0.3">
      <c r="A8312" t="str">
        <f>"0611837093100"</f>
        <v>0611837093100</v>
      </c>
      <c r="B8312" t="str">
        <f>"LQ6001"</f>
        <v>LQ6001</v>
      </c>
      <c r="C8312" t="s">
        <v>43350</v>
      </c>
      <c r="D8312" t="s">
        <v>27245</v>
      </c>
      <c r="E8312" t="str">
        <f t="shared" si="129"/>
        <v>001390</v>
      </c>
      <c r="F8312" t="s">
        <v>27246</v>
      </c>
      <c r="G8312" t="s">
        <v>27247</v>
      </c>
      <c r="H8312" t="s">
        <v>27248</v>
      </c>
      <c r="I8312" t="s">
        <v>43351</v>
      </c>
      <c r="J8312" t="s">
        <v>16615</v>
      </c>
      <c r="L8312" t="s">
        <v>27250</v>
      </c>
      <c r="M8312" t="s">
        <v>27251</v>
      </c>
      <c r="N8312" t="s">
        <v>27252</v>
      </c>
      <c r="Q8312" s="1">
        <v>44538</v>
      </c>
      <c r="R8312" t="s">
        <v>27253</v>
      </c>
      <c r="S8312" t="s">
        <v>27254</v>
      </c>
      <c r="T8312" t="s">
        <v>27255</v>
      </c>
    </row>
    <row r="8313" spans="1:20" x14ac:dyDescent="0.3">
      <c r="A8313" t="str">
        <f>"0611837094100"</f>
        <v>0611837094100</v>
      </c>
      <c r="B8313" t="str">
        <f>"LQ6099"</f>
        <v>LQ6099</v>
      </c>
      <c r="C8313" t="s">
        <v>43352</v>
      </c>
      <c r="D8313" t="s">
        <v>27245</v>
      </c>
      <c r="E8313" t="str">
        <f t="shared" si="129"/>
        <v>001390</v>
      </c>
      <c r="F8313" t="s">
        <v>27246</v>
      </c>
      <c r="G8313" t="s">
        <v>27247</v>
      </c>
      <c r="H8313" t="s">
        <v>27248</v>
      </c>
      <c r="I8313" t="s">
        <v>43353</v>
      </c>
      <c r="J8313" t="s">
        <v>16617</v>
      </c>
      <c r="L8313" t="s">
        <v>27250</v>
      </c>
      <c r="M8313" t="s">
        <v>27251</v>
      </c>
      <c r="N8313" t="s">
        <v>27252</v>
      </c>
      <c r="Q8313" s="1">
        <v>44538</v>
      </c>
      <c r="R8313" t="s">
        <v>27253</v>
      </c>
      <c r="S8313" t="s">
        <v>27254</v>
      </c>
      <c r="T8313" t="s">
        <v>27255</v>
      </c>
    </row>
    <row r="8314" spans="1:20" x14ac:dyDescent="0.3">
      <c r="A8314" t="str">
        <f>"0611837096100"</f>
        <v>0611837096100</v>
      </c>
      <c r="B8314" t="str">
        <f>"LQ6000"</f>
        <v>LQ6000</v>
      </c>
      <c r="C8314" t="s">
        <v>43354</v>
      </c>
      <c r="D8314" t="s">
        <v>27245</v>
      </c>
      <c r="E8314" t="str">
        <f t="shared" si="129"/>
        <v>001390</v>
      </c>
      <c r="F8314" t="s">
        <v>27246</v>
      </c>
      <c r="G8314" t="s">
        <v>27247</v>
      </c>
      <c r="H8314" t="s">
        <v>27248</v>
      </c>
      <c r="I8314" t="s">
        <v>43355</v>
      </c>
      <c r="J8314" t="s">
        <v>16619</v>
      </c>
      <c r="L8314" t="s">
        <v>27250</v>
      </c>
      <c r="M8314" t="s">
        <v>27251</v>
      </c>
      <c r="N8314" t="s">
        <v>27252</v>
      </c>
      <c r="Q8314" s="1">
        <v>44538</v>
      </c>
      <c r="R8314" t="s">
        <v>27253</v>
      </c>
      <c r="S8314" t="s">
        <v>27254</v>
      </c>
      <c r="T8314" t="s">
        <v>27255</v>
      </c>
    </row>
    <row r="8315" spans="1:20" x14ac:dyDescent="0.3">
      <c r="A8315" t="str">
        <f>"0611837097100"</f>
        <v>0611837097100</v>
      </c>
      <c r="B8315" t="str">
        <f>"LQ5924"</f>
        <v>LQ5924</v>
      </c>
      <c r="C8315" t="s">
        <v>43356</v>
      </c>
      <c r="D8315" t="s">
        <v>27245</v>
      </c>
      <c r="E8315" t="str">
        <f t="shared" si="129"/>
        <v>001390</v>
      </c>
      <c r="F8315" t="s">
        <v>27246</v>
      </c>
      <c r="G8315" t="s">
        <v>27247</v>
      </c>
      <c r="H8315" t="s">
        <v>27248</v>
      </c>
      <c r="I8315" t="s">
        <v>43357</v>
      </c>
      <c r="J8315" t="s">
        <v>16621</v>
      </c>
      <c r="L8315" t="s">
        <v>27250</v>
      </c>
      <c r="M8315" t="s">
        <v>27251</v>
      </c>
      <c r="N8315" t="s">
        <v>27252</v>
      </c>
      <c r="Q8315" s="1">
        <v>44538</v>
      </c>
      <c r="R8315" t="s">
        <v>27253</v>
      </c>
      <c r="S8315" t="s">
        <v>27254</v>
      </c>
      <c r="T8315" t="s">
        <v>27255</v>
      </c>
    </row>
    <row r="8316" spans="1:20" x14ac:dyDescent="0.3">
      <c r="A8316" t="str">
        <f>"0611837098100"</f>
        <v>0611837098100</v>
      </c>
      <c r="B8316" t="str">
        <f>"LQ6100"</f>
        <v>LQ6100</v>
      </c>
      <c r="C8316" t="s">
        <v>43358</v>
      </c>
      <c r="D8316" t="s">
        <v>27245</v>
      </c>
      <c r="E8316" t="str">
        <f t="shared" si="129"/>
        <v>001390</v>
      </c>
      <c r="F8316" t="s">
        <v>27246</v>
      </c>
      <c r="G8316" t="s">
        <v>27247</v>
      </c>
      <c r="H8316" t="s">
        <v>27248</v>
      </c>
      <c r="I8316" t="s">
        <v>43359</v>
      </c>
      <c r="J8316" t="s">
        <v>16623</v>
      </c>
      <c r="L8316" t="s">
        <v>27250</v>
      </c>
      <c r="M8316" t="s">
        <v>27251</v>
      </c>
      <c r="N8316" t="s">
        <v>27252</v>
      </c>
      <c r="Q8316" s="1">
        <v>44538</v>
      </c>
      <c r="R8316" t="s">
        <v>27253</v>
      </c>
      <c r="S8316" t="s">
        <v>27254</v>
      </c>
      <c r="T8316" t="s">
        <v>27255</v>
      </c>
    </row>
    <row r="8317" spans="1:20" x14ac:dyDescent="0.3">
      <c r="A8317" t="str">
        <f>"0611857040100"</f>
        <v>0611857040100</v>
      </c>
      <c r="B8317" t="str">
        <f>"LQ6253"</f>
        <v>LQ6253</v>
      </c>
      <c r="C8317" t="s">
        <v>43360</v>
      </c>
      <c r="D8317" t="s">
        <v>27245</v>
      </c>
      <c r="E8317" t="str">
        <f t="shared" si="129"/>
        <v>001390</v>
      </c>
      <c r="F8317" t="s">
        <v>27246</v>
      </c>
      <c r="G8317" t="s">
        <v>27247</v>
      </c>
      <c r="H8317" t="s">
        <v>27248</v>
      </c>
      <c r="I8317" t="s">
        <v>43361</v>
      </c>
      <c r="J8317" t="s">
        <v>16625</v>
      </c>
      <c r="L8317" t="s">
        <v>27250</v>
      </c>
      <c r="M8317" t="s">
        <v>27251</v>
      </c>
      <c r="N8317" t="s">
        <v>27252</v>
      </c>
      <c r="Q8317" s="1">
        <v>44812</v>
      </c>
      <c r="R8317" t="s">
        <v>27253</v>
      </c>
      <c r="S8317" t="s">
        <v>27254</v>
      </c>
      <c r="T8317" t="s">
        <v>27255</v>
      </c>
    </row>
    <row r="8318" spans="1:20" x14ac:dyDescent="0.3">
      <c r="A8318" t="str">
        <f>"0611837099100"</f>
        <v>0611837099100</v>
      </c>
      <c r="B8318" t="str">
        <f>"LQ6101"</f>
        <v>LQ6101</v>
      </c>
      <c r="C8318" t="s">
        <v>43362</v>
      </c>
      <c r="D8318" t="s">
        <v>27245</v>
      </c>
      <c r="E8318" t="str">
        <f t="shared" si="129"/>
        <v>001390</v>
      </c>
      <c r="F8318" t="s">
        <v>27246</v>
      </c>
      <c r="G8318" t="s">
        <v>27247</v>
      </c>
      <c r="H8318" t="s">
        <v>27248</v>
      </c>
      <c r="I8318" t="s">
        <v>43363</v>
      </c>
      <c r="J8318" t="s">
        <v>16627</v>
      </c>
      <c r="L8318" t="s">
        <v>27250</v>
      </c>
      <c r="M8318" t="s">
        <v>27251</v>
      </c>
      <c r="N8318" t="s">
        <v>27252</v>
      </c>
      <c r="Q8318" s="1">
        <v>44538</v>
      </c>
      <c r="R8318" t="s">
        <v>27253</v>
      </c>
      <c r="S8318" t="s">
        <v>27254</v>
      </c>
      <c r="T8318" t="s">
        <v>27255</v>
      </c>
    </row>
    <row r="8319" spans="1:20" x14ac:dyDescent="0.3">
      <c r="A8319" t="str">
        <f>"0611837101100"</f>
        <v>0611837101100</v>
      </c>
      <c r="B8319" t="str">
        <f>"LQ5404"</f>
        <v>LQ5404</v>
      </c>
      <c r="C8319" t="s">
        <v>43364</v>
      </c>
      <c r="D8319" t="s">
        <v>27245</v>
      </c>
      <c r="E8319" t="str">
        <f t="shared" si="129"/>
        <v>001390</v>
      </c>
      <c r="F8319" t="s">
        <v>27246</v>
      </c>
      <c r="G8319" t="s">
        <v>27247</v>
      </c>
      <c r="H8319" t="s">
        <v>27248</v>
      </c>
      <c r="I8319" t="s">
        <v>43365</v>
      </c>
      <c r="J8319" t="s">
        <v>16629</v>
      </c>
      <c r="L8319" t="s">
        <v>27250</v>
      </c>
      <c r="M8319" t="s">
        <v>27251</v>
      </c>
      <c r="N8319" t="s">
        <v>27252</v>
      </c>
      <c r="Q8319" s="1">
        <v>44538</v>
      </c>
      <c r="R8319" t="s">
        <v>27253</v>
      </c>
      <c r="S8319" t="s">
        <v>27254</v>
      </c>
      <c r="T8319" t="s">
        <v>27255</v>
      </c>
    </row>
    <row r="8320" spans="1:20" x14ac:dyDescent="0.3">
      <c r="A8320" t="str">
        <f>"0611837102100"</f>
        <v>0611837102100</v>
      </c>
      <c r="B8320" t="str">
        <f>"LQ5074"</f>
        <v>LQ5074</v>
      </c>
      <c r="C8320" t="s">
        <v>43366</v>
      </c>
      <c r="D8320" t="s">
        <v>27245</v>
      </c>
      <c r="E8320" t="str">
        <f t="shared" si="129"/>
        <v>001390</v>
      </c>
      <c r="F8320" t="s">
        <v>27246</v>
      </c>
      <c r="G8320" t="s">
        <v>27247</v>
      </c>
      <c r="H8320" t="s">
        <v>27248</v>
      </c>
      <c r="I8320" t="s">
        <v>43367</v>
      </c>
      <c r="J8320" t="s">
        <v>16631</v>
      </c>
      <c r="L8320" t="s">
        <v>27250</v>
      </c>
      <c r="M8320" t="s">
        <v>27251</v>
      </c>
      <c r="N8320" t="s">
        <v>27252</v>
      </c>
      <c r="Q8320" s="1">
        <v>44538</v>
      </c>
      <c r="R8320" t="s">
        <v>27253</v>
      </c>
      <c r="S8320" t="s">
        <v>27254</v>
      </c>
      <c r="T8320" t="s">
        <v>27255</v>
      </c>
    </row>
    <row r="8321" spans="1:20" x14ac:dyDescent="0.3">
      <c r="A8321" t="str">
        <f>"0611837103100"</f>
        <v>0611837103100</v>
      </c>
      <c r="B8321" t="str">
        <f>"LQ5405"</f>
        <v>LQ5405</v>
      </c>
      <c r="C8321" t="s">
        <v>43368</v>
      </c>
      <c r="D8321" t="s">
        <v>27245</v>
      </c>
      <c r="E8321" t="str">
        <f t="shared" si="129"/>
        <v>001390</v>
      </c>
      <c r="F8321" t="s">
        <v>27246</v>
      </c>
      <c r="G8321" t="s">
        <v>27247</v>
      </c>
      <c r="H8321" t="s">
        <v>27248</v>
      </c>
      <c r="I8321" t="s">
        <v>43369</v>
      </c>
      <c r="J8321" t="s">
        <v>16633</v>
      </c>
      <c r="L8321" t="s">
        <v>27250</v>
      </c>
      <c r="M8321" t="s">
        <v>27251</v>
      </c>
      <c r="N8321" t="s">
        <v>27252</v>
      </c>
      <c r="Q8321" s="1">
        <v>44538</v>
      </c>
      <c r="R8321" t="s">
        <v>27253</v>
      </c>
      <c r="S8321" t="s">
        <v>27254</v>
      </c>
      <c r="T8321" t="s">
        <v>27255</v>
      </c>
    </row>
    <row r="8322" spans="1:20" x14ac:dyDescent="0.3">
      <c r="A8322" t="str">
        <f>"0611837104100"</f>
        <v>0611837104100</v>
      </c>
      <c r="B8322" t="str">
        <f>"LQ0431"</f>
        <v>LQ0431</v>
      </c>
      <c r="C8322" t="s">
        <v>43370</v>
      </c>
      <c r="D8322" t="s">
        <v>27245</v>
      </c>
      <c r="E8322" t="str">
        <f t="shared" ref="E8322:E8385" si="130">"001390"</f>
        <v>001390</v>
      </c>
      <c r="F8322" t="s">
        <v>27246</v>
      </c>
      <c r="G8322" t="s">
        <v>27247</v>
      </c>
      <c r="H8322" t="s">
        <v>27248</v>
      </c>
      <c r="I8322" t="s">
        <v>43371</v>
      </c>
      <c r="J8322" t="s">
        <v>16635</v>
      </c>
      <c r="L8322" t="s">
        <v>27250</v>
      </c>
      <c r="M8322" t="s">
        <v>27251</v>
      </c>
      <c r="N8322" t="s">
        <v>27252</v>
      </c>
      <c r="Q8322" s="1">
        <v>44538</v>
      </c>
      <c r="R8322" t="s">
        <v>27253</v>
      </c>
      <c r="S8322" t="s">
        <v>27254</v>
      </c>
      <c r="T8322" t="s">
        <v>27255</v>
      </c>
    </row>
    <row r="8323" spans="1:20" x14ac:dyDescent="0.3">
      <c r="A8323" t="str">
        <f>"0611884337100"</f>
        <v>0611884337100</v>
      </c>
      <c r="B8323" t="str">
        <f>"LQ6295"</f>
        <v>LQ6295</v>
      </c>
      <c r="C8323" t="s">
        <v>43372</v>
      </c>
      <c r="D8323" t="s">
        <v>27245</v>
      </c>
      <c r="E8323" t="str">
        <f t="shared" si="130"/>
        <v>001390</v>
      </c>
      <c r="F8323" t="s">
        <v>27246</v>
      </c>
      <c r="G8323" t="s">
        <v>27247</v>
      </c>
      <c r="H8323" t="s">
        <v>27248</v>
      </c>
      <c r="I8323" t="s">
        <v>43373</v>
      </c>
      <c r="J8323" t="s">
        <v>16637</v>
      </c>
      <c r="L8323" t="s">
        <v>27430</v>
      </c>
      <c r="M8323" t="s">
        <v>27251</v>
      </c>
      <c r="N8323" t="s">
        <v>27252</v>
      </c>
      <c r="Q8323" s="1">
        <v>45250</v>
      </c>
      <c r="R8323" t="s">
        <v>27253</v>
      </c>
      <c r="S8323" t="s">
        <v>27254</v>
      </c>
      <c r="T8323" t="s">
        <v>27255</v>
      </c>
    </row>
    <row r="8324" spans="1:20" x14ac:dyDescent="0.3">
      <c r="A8324" t="str">
        <f>"0611837105100"</f>
        <v>0611837105100</v>
      </c>
      <c r="B8324" t="str">
        <f>"LQ6241"</f>
        <v>LQ6241</v>
      </c>
      <c r="C8324" t="s">
        <v>43374</v>
      </c>
      <c r="D8324" t="s">
        <v>27245</v>
      </c>
      <c r="E8324" t="str">
        <f t="shared" si="130"/>
        <v>001390</v>
      </c>
      <c r="F8324" t="s">
        <v>27246</v>
      </c>
      <c r="G8324" t="s">
        <v>27247</v>
      </c>
      <c r="H8324" t="s">
        <v>27248</v>
      </c>
      <c r="I8324" t="s">
        <v>43375</v>
      </c>
      <c r="J8324" t="s">
        <v>16639</v>
      </c>
      <c r="L8324" t="s">
        <v>27250</v>
      </c>
      <c r="M8324" t="s">
        <v>27251</v>
      </c>
      <c r="N8324" t="s">
        <v>27252</v>
      </c>
      <c r="Q8324" s="1">
        <v>44538</v>
      </c>
      <c r="R8324" t="s">
        <v>27253</v>
      </c>
      <c r="S8324" t="s">
        <v>27254</v>
      </c>
      <c r="T8324" t="s">
        <v>27255</v>
      </c>
    </row>
    <row r="8325" spans="1:20" x14ac:dyDescent="0.3">
      <c r="A8325" t="str">
        <f>"0611837107100"</f>
        <v>0611837107100</v>
      </c>
      <c r="B8325" t="str">
        <f>"LQ6143"</f>
        <v>LQ6143</v>
      </c>
      <c r="C8325" t="s">
        <v>43376</v>
      </c>
      <c r="D8325" t="s">
        <v>27245</v>
      </c>
      <c r="E8325" t="str">
        <f t="shared" si="130"/>
        <v>001390</v>
      </c>
      <c r="F8325" t="s">
        <v>27246</v>
      </c>
      <c r="G8325" t="s">
        <v>27247</v>
      </c>
      <c r="H8325" t="s">
        <v>27248</v>
      </c>
      <c r="I8325" t="s">
        <v>43377</v>
      </c>
      <c r="J8325" t="s">
        <v>16641</v>
      </c>
      <c r="L8325" t="s">
        <v>27250</v>
      </c>
      <c r="M8325" t="s">
        <v>27251</v>
      </c>
      <c r="N8325" t="s">
        <v>27252</v>
      </c>
      <c r="Q8325" s="1">
        <v>44538</v>
      </c>
      <c r="R8325" t="s">
        <v>27253</v>
      </c>
      <c r="S8325" t="s">
        <v>27254</v>
      </c>
      <c r="T8325" t="s">
        <v>27255</v>
      </c>
    </row>
    <row r="8326" spans="1:20" x14ac:dyDescent="0.3">
      <c r="A8326" t="str">
        <f>"0611837108100"</f>
        <v>0611837108100</v>
      </c>
      <c r="B8326" t="str">
        <f>"LQ5836"</f>
        <v>LQ5836</v>
      </c>
      <c r="C8326" t="s">
        <v>43378</v>
      </c>
      <c r="D8326" t="s">
        <v>27245</v>
      </c>
      <c r="E8326" t="str">
        <f t="shared" si="130"/>
        <v>001390</v>
      </c>
      <c r="F8326" t="s">
        <v>27246</v>
      </c>
      <c r="G8326" t="s">
        <v>27247</v>
      </c>
      <c r="H8326" t="s">
        <v>27248</v>
      </c>
      <c r="I8326" t="s">
        <v>43379</v>
      </c>
      <c r="J8326" t="s">
        <v>16643</v>
      </c>
      <c r="L8326" t="s">
        <v>27250</v>
      </c>
      <c r="M8326" t="s">
        <v>27251</v>
      </c>
      <c r="N8326" t="s">
        <v>27252</v>
      </c>
      <c r="Q8326" s="1">
        <v>44538</v>
      </c>
      <c r="R8326" t="s">
        <v>27253</v>
      </c>
      <c r="S8326" t="s">
        <v>27254</v>
      </c>
      <c r="T8326" t="s">
        <v>27255</v>
      </c>
    </row>
    <row r="8327" spans="1:20" x14ac:dyDescent="0.3">
      <c r="A8327" t="str">
        <f>"0611837109100"</f>
        <v>0611837109100</v>
      </c>
      <c r="B8327" t="str">
        <f>"LQ5922"</f>
        <v>LQ5922</v>
      </c>
      <c r="C8327" t="s">
        <v>43380</v>
      </c>
      <c r="D8327" t="s">
        <v>27245</v>
      </c>
      <c r="E8327" t="str">
        <f t="shared" si="130"/>
        <v>001390</v>
      </c>
      <c r="F8327" t="s">
        <v>27246</v>
      </c>
      <c r="G8327" t="s">
        <v>27247</v>
      </c>
      <c r="H8327" t="s">
        <v>27248</v>
      </c>
      <c r="I8327" t="s">
        <v>43381</v>
      </c>
      <c r="J8327" t="s">
        <v>16645</v>
      </c>
      <c r="L8327" t="s">
        <v>27250</v>
      </c>
      <c r="M8327" t="s">
        <v>27251</v>
      </c>
      <c r="N8327" t="s">
        <v>27252</v>
      </c>
      <c r="Q8327" s="1">
        <v>44538</v>
      </c>
      <c r="R8327" t="s">
        <v>27253</v>
      </c>
      <c r="S8327" t="s">
        <v>27254</v>
      </c>
      <c r="T8327" t="s">
        <v>27255</v>
      </c>
    </row>
    <row r="8328" spans="1:20" x14ac:dyDescent="0.3">
      <c r="A8328" t="str">
        <f>"0611837110100"</f>
        <v>0611837110100</v>
      </c>
      <c r="B8328" t="str">
        <f>"LQ5837"</f>
        <v>LQ5837</v>
      </c>
      <c r="C8328" t="s">
        <v>43382</v>
      </c>
      <c r="D8328" t="s">
        <v>27245</v>
      </c>
      <c r="E8328" t="str">
        <f t="shared" si="130"/>
        <v>001390</v>
      </c>
      <c r="F8328" t="s">
        <v>27246</v>
      </c>
      <c r="G8328" t="s">
        <v>27247</v>
      </c>
      <c r="H8328" t="s">
        <v>27248</v>
      </c>
      <c r="I8328" t="s">
        <v>43383</v>
      </c>
      <c r="J8328" t="s">
        <v>16647</v>
      </c>
      <c r="L8328" t="s">
        <v>27250</v>
      </c>
      <c r="M8328" t="s">
        <v>27251</v>
      </c>
      <c r="N8328" t="s">
        <v>27252</v>
      </c>
      <c r="Q8328" s="1">
        <v>44538</v>
      </c>
      <c r="R8328" t="s">
        <v>27253</v>
      </c>
      <c r="S8328" t="s">
        <v>27254</v>
      </c>
      <c r="T8328" t="s">
        <v>27255</v>
      </c>
    </row>
    <row r="8329" spans="1:20" x14ac:dyDescent="0.3">
      <c r="A8329" t="str">
        <f>"0611884338100"</f>
        <v>0611884338100</v>
      </c>
      <c r="B8329" t="str">
        <f>"LQ6296"</f>
        <v>LQ6296</v>
      </c>
      <c r="C8329" t="s">
        <v>43384</v>
      </c>
      <c r="D8329" t="s">
        <v>27245</v>
      </c>
      <c r="E8329" t="str">
        <f t="shared" si="130"/>
        <v>001390</v>
      </c>
      <c r="F8329" t="s">
        <v>27246</v>
      </c>
      <c r="G8329" t="s">
        <v>27247</v>
      </c>
      <c r="H8329" t="s">
        <v>27248</v>
      </c>
      <c r="I8329" t="s">
        <v>43385</v>
      </c>
      <c r="J8329" t="s">
        <v>16649</v>
      </c>
      <c r="L8329" t="s">
        <v>27430</v>
      </c>
      <c r="M8329" t="s">
        <v>27251</v>
      </c>
      <c r="N8329" t="s">
        <v>27252</v>
      </c>
      <c r="Q8329" s="1">
        <v>45250</v>
      </c>
      <c r="R8329" t="s">
        <v>27253</v>
      </c>
      <c r="S8329" t="s">
        <v>27254</v>
      </c>
      <c r="T8329" t="s">
        <v>27255</v>
      </c>
    </row>
    <row r="8330" spans="1:20" x14ac:dyDescent="0.3">
      <c r="A8330" t="str">
        <f>"0611837112100"</f>
        <v>0611837112100</v>
      </c>
      <c r="B8330" t="str">
        <f>"LQ5923"</f>
        <v>LQ5923</v>
      </c>
      <c r="C8330" t="s">
        <v>43386</v>
      </c>
      <c r="D8330" t="s">
        <v>27245</v>
      </c>
      <c r="E8330" t="str">
        <f t="shared" si="130"/>
        <v>001390</v>
      </c>
      <c r="F8330" t="s">
        <v>27246</v>
      </c>
      <c r="G8330" t="s">
        <v>27247</v>
      </c>
      <c r="H8330" t="s">
        <v>27248</v>
      </c>
      <c r="I8330" t="s">
        <v>43387</v>
      </c>
      <c r="J8330" t="s">
        <v>16651</v>
      </c>
      <c r="L8330" t="s">
        <v>27250</v>
      </c>
      <c r="M8330" t="s">
        <v>27251</v>
      </c>
      <c r="N8330" t="s">
        <v>27252</v>
      </c>
      <c r="Q8330" s="1">
        <v>44538</v>
      </c>
      <c r="R8330" t="s">
        <v>27253</v>
      </c>
      <c r="S8330" t="s">
        <v>27254</v>
      </c>
      <c r="T8330" t="s">
        <v>27255</v>
      </c>
    </row>
    <row r="8331" spans="1:20" x14ac:dyDescent="0.3">
      <c r="A8331" t="str">
        <f>"0611837113100"</f>
        <v>0611837113100</v>
      </c>
      <c r="B8331" t="str">
        <f>"LQ6203"</f>
        <v>LQ6203</v>
      </c>
      <c r="C8331" t="s">
        <v>43388</v>
      </c>
      <c r="D8331" t="s">
        <v>27245</v>
      </c>
      <c r="E8331" t="str">
        <f t="shared" si="130"/>
        <v>001390</v>
      </c>
      <c r="F8331" t="s">
        <v>27246</v>
      </c>
      <c r="G8331" t="s">
        <v>27247</v>
      </c>
      <c r="H8331" t="s">
        <v>27248</v>
      </c>
      <c r="I8331" t="s">
        <v>43389</v>
      </c>
      <c r="J8331" t="s">
        <v>16653</v>
      </c>
      <c r="L8331" t="s">
        <v>27250</v>
      </c>
      <c r="M8331" t="s">
        <v>27251</v>
      </c>
      <c r="N8331" t="s">
        <v>27252</v>
      </c>
      <c r="Q8331" s="1">
        <v>44538</v>
      </c>
      <c r="R8331" t="s">
        <v>27253</v>
      </c>
      <c r="S8331" t="s">
        <v>27254</v>
      </c>
      <c r="T8331" t="s">
        <v>27255</v>
      </c>
    </row>
    <row r="8332" spans="1:20" x14ac:dyDescent="0.3">
      <c r="A8332" t="str">
        <f>"0611837114100"</f>
        <v>0611837114100</v>
      </c>
      <c r="B8332" t="str">
        <f>"LB5739"</f>
        <v>LB5739</v>
      </c>
      <c r="C8332" t="s">
        <v>43390</v>
      </c>
      <c r="D8332" t="s">
        <v>27245</v>
      </c>
      <c r="E8332" t="str">
        <f t="shared" si="130"/>
        <v>001390</v>
      </c>
      <c r="F8332" t="s">
        <v>27246</v>
      </c>
      <c r="G8332" t="s">
        <v>27247</v>
      </c>
      <c r="H8332" t="s">
        <v>27248</v>
      </c>
      <c r="I8332" t="s">
        <v>43391</v>
      </c>
      <c r="J8332" t="s">
        <v>16655</v>
      </c>
      <c r="L8332" t="s">
        <v>27250</v>
      </c>
      <c r="M8332" t="s">
        <v>27251</v>
      </c>
      <c r="N8332" t="s">
        <v>27252</v>
      </c>
      <c r="Q8332" s="1">
        <v>44538</v>
      </c>
      <c r="R8332" t="s">
        <v>27253</v>
      </c>
      <c r="S8332" t="s">
        <v>27254</v>
      </c>
      <c r="T8332" t="s">
        <v>27255</v>
      </c>
    </row>
    <row r="8333" spans="1:20" x14ac:dyDescent="0.3">
      <c r="A8333" t="str">
        <f>"0611884339100"</f>
        <v>0611884339100</v>
      </c>
      <c r="B8333" t="str">
        <f>"LQ0973"</f>
        <v>LQ0973</v>
      </c>
      <c r="C8333" t="s">
        <v>43392</v>
      </c>
      <c r="D8333" t="s">
        <v>27245</v>
      </c>
      <c r="E8333" t="str">
        <f t="shared" si="130"/>
        <v>001390</v>
      </c>
      <c r="F8333" t="s">
        <v>27246</v>
      </c>
      <c r="G8333" t="s">
        <v>27247</v>
      </c>
      <c r="H8333" t="s">
        <v>27248</v>
      </c>
      <c r="I8333" t="s">
        <v>43393</v>
      </c>
      <c r="J8333" t="s">
        <v>16657</v>
      </c>
      <c r="L8333" t="s">
        <v>27430</v>
      </c>
      <c r="M8333" t="s">
        <v>27251</v>
      </c>
      <c r="N8333" t="s">
        <v>27252</v>
      </c>
      <c r="Q8333" s="1">
        <v>45250</v>
      </c>
      <c r="R8333" t="s">
        <v>27253</v>
      </c>
      <c r="S8333" t="s">
        <v>27254</v>
      </c>
      <c r="T8333" t="s">
        <v>27255</v>
      </c>
    </row>
    <row r="8334" spans="1:20" x14ac:dyDescent="0.3">
      <c r="A8334" t="str">
        <f>"0611863353050"</f>
        <v>0611863353050</v>
      </c>
      <c r="B8334" t="str">
        <f>"CR2447"</f>
        <v>CR2447</v>
      </c>
      <c r="C8334" t="s">
        <v>43394</v>
      </c>
      <c r="D8334" t="s">
        <v>27263</v>
      </c>
      <c r="E8334" t="str">
        <f t="shared" si="130"/>
        <v>001390</v>
      </c>
      <c r="F8334" t="s">
        <v>27246</v>
      </c>
      <c r="G8334" t="s">
        <v>27247</v>
      </c>
      <c r="H8334" t="s">
        <v>27248</v>
      </c>
      <c r="I8334" t="s">
        <v>43395</v>
      </c>
      <c r="J8334" t="s">
        <v>16659</v>
      </c>
      <c r="L8334" t="s">
        <v>27250</v>
      </c>
      <c r="M8334" t="s">
        <v>27251</v>
      </c>
      <c r="N8334" t="s">
        <v>27252</v>
      </c>
      <c r="Q8334" s="1">
        <v>44846</v>
      </c>
      <c r="R8334" t="s">
        <v>27253</v>
      </c>
      <c r="S8334" t="s">
        <v>27254</v>
      </c>
      <c r="T8334" t="s">
        <v>27265</v>
      </c>
    </row>
    <row r="8335" spans="1:20" x14ac:dyDescent="0.3">
      <c r="A8335" t="str">
        <f>"0611863354050"</f>
        <v>0611863354050</v>
      </c>
      <c r="B8335" t="str">
        <f>"CR2448"</f>
        <v>CR2448</v>
      </c>
      <c r="C8335" t="s">
        <v>43396</v>
      </c>
      <c r="D8335" t="s">
        <v>27263</v>
      </c>
      <c r="E8335" t="str">
        <f t="shared" si="130"/>
        <v>001390</v>
      </c>
      <c r="F8335" t="s">
        <v>27246</v>
      </c>
      <c r="G8335" t="s">
        <v>27247</v>
      </c>
      <c r="H8335" t="s">
        <v>27248</v>
      </c>
      <c r="I8335" t="s">
        <v>43397</v>
      </c>
      <c r="J8335" t="s">
        <v>16661</v>
      </c>
      <c r="L8335" t="s">
        <v>27250</v>
      </c>
      <c r="M8335" t="s">
        <v>27251</v>
      </c>
      <c r="N8335" t="s">
        <v>27252</v>
      </c>
      <c r="Q8335" s="1">
        <v>44846</v>
      </c>
      <c r="R8335" t="s">
        <v>27253</v>
      </c>
      <c r="S8335" t="s">
        <v>27254</v>
      </c>
      <c r="T8335" t="s">
        <v>27265</v>
      </c>
    </row>
    <row r="8336" spans="1:20" x14ac:dyDescent="0.3">
      <c r="A8336" t="str">
        <f>"0611863355050"</f>
        <v>0611863355050</v>
      </c>
      <c r="B8336" t="str">
        <f>"CE0475"</f>
        <v>CE0475</v>
      </c>
      <c r="C8336" t="s">
        <v>43398</v>
      </c>
      <c r="D8336" t="s">
        <v>28556</v>
      </c>
      <c r="E8336" t="str">
        <f t="shared" si="130"/>
        <v>001390</v>
      </c>
      <c r="F8336" t="s">
        <v>27246</v>
      </c>
      <c r="G8336" t="s">
        <v>27247</v>
      </c>
      <c r="H8336" t="s">
        <v>27248</v>
      </c>
      <c r="I8336" t="s">
        <v>43399</v>
      </c>
      <c r="J8336" t="s">
        <v>16663</v>
      </c>
      <c r="L8336" t="s">
        <v>27250</v>
      </c>
      <c r="M8336" t="s">
        <v>27251</v>
      </c>
      <c r="N8336" t="s">
        <v>27252</v>
      </c>
      <c r="P8336" t="s">
        <v>27925</v>
      </c>
      <c r="Q8336" s="1">
        <v>44846</v>
      </c>
      <c r="R8336" t="s">
        <v>27253</v>
      </c>
      <c r="S8336" t="s">
        <v>27254</v>
      </c>
      <c r="T8336" t="s">
        <v>28378</v>
      </c>
    </row>
    <row r="8337" spans="1:20" x14ac:dyDescent="0.3">
      <c r="A8337" t="str">
        <f>"0611863356050"</f>
        <v>0611863356050</v>
      </c>
      <c r="B8337" t="str">
        <f>"CE0476"</f>
        <v>CE0476</v>
      </c>
      <c r="C8337" t="s">
        <v>43400</v>
      </c>
      <c r="D8337" t="s">
        <v>27923</v>
      </c>
      <c r="E8337" t="str">
        <f t="shared" si="130"/>
        <v>001390</v>
      </c>
      <c r="F8337" t="s">
        <v>27246</v>
      </c>
      <c r="G8337" t="s">
        <v>27247</v>
      </c>
      <c r="H8337" t="s">
        <v>27248</v>
      </c>
      <c r="I8337" t="s">
        <v>43401</v>
      </c>
      <c r="J8337" t="s">
        <v>16665</v>
      </c>
      <c r="L8337" t="s">
        <v>27250</v>
      </c>
      <c r="M8337" t="s">
        <v>27251</v>
      </c>
      <c r="N8337" t="s">
        <v>27252</v>
      </c>
      <c r="P8337" t="s">
        <v>27925</v>
      </c>
      <c r="Q8337" s="1">
        <v>44846</v>
      </c>
      <c r="R8337" t="s">
        <v>27253</v>
      </c>
      <c r="S8337" t="s">
        <v>27254</v>
      </c>
      <c r="T8337" t="s">
        <v>27265</v>
      </c>
    </row>
    <row r="8338" spans="1:20" x14ac:dyDescent="0.3">
      <c r="A8338" t="str">
        <f>"0611863357050"</f>
        <v>0611863357050</v>
      </c>
      <c r="B8338" t="str">
        <f>"CE1447"</f>
        <v>CE1447</v>
      </c>
      <c r="C8338" t="s">
        <v>43402</v>
      </c>
      <c r="D8338" t="s">
        <v>27923</v>
      </c>
      <c r="E8338" t="str">
        <f t="shared" si="130"/>
        <v>001390</v>
      </c>
      <c r="F8338" t="s">
        <v>27246</v>
      </c>
      <c r="G8338" t="s">
        <v>27247</v>
      </c>
      <c r="H8338" t="s">
        <v>27248</v>
      </c>
      <c r="I8338" t="s">
        <v>43403</v>
      </c>
      <c r="J8338" t="s">
        <v>16667</v>
      </c>
      <c r="L8338" t="s">
        <v>27250</v>
      </c>
      <c r="M8338" t="s">
        <v>27251</v>
      </c>
      <c r="N8338" t="s">
        <v>27252</v>
      </c>
      <c r="P8338" t="s">
        <v>27925</v>
      </c>
      <c r="Q8338" s="1">
        <v>44846</v>
      </c>
      <c r="R8338" t="s">
        <v>27253</v>
      </c>
      <c r="S8338" t="s">
        <v>27254</v>
      </c>
      <c r="T8338" t="s">
        <v>27265</v>
      </c>
    </row>
    <row r="8339" spans="1:20" x14ac:dyDescent="0.3">
      <c r="A8339" t="str">
        <f>"0611863358050"</f>
        <v>0611863358050</v>
      </c>
      <c r="B8339" t="str">
        <f>"CE0477"</f>
        <v>CE0477</v>
      </c>
      <c r="C8339" t="s">
        <v>43404</v>
      </c>
      <c r="D8339" t="s">
        <v>27923</v>
      </c>
      <c r="E8339" t="str">
        <f t="shared" si="130"/>
        <v>001390</v>
      </c>
      <c r="F8339" t="s">
        <v>27246</v>
      </c>
      <c r="G8339" t="s">
        <v>27247</v>
      </c>
      <c r="H8339" t="s">
        <v>27248</v>
      </c>
      <c r="I8339" t="s">
        <v>43405</v>
      </c>
      <c r="J8339" t="s">
        <v>16669</v>
      </c>
      <c r="L8339" t="s">
        <v>27250</v>
      </c>
      <c r="M8339" t="s">
        <v>27251</v>
      </c>
      <c r="N8339" t="s">
        <v>27252</v>
      </c>
      <c r="P8339" t="s">
        <v>27925</v>
      </c>
      <c r="Q8339" s="1">
        <v>44846</v>
      </c>
      <c r="R8339" t="s">
        <v>27253</v>
      </c>
      <c r="S8339" t="s">
        <v>27254</v>
      </c>
      <c r="T8339" t="s">
        <v>27265</v>
      </c>
    </row>
    <row r="8340" spans="1:20" x14ac:dyDescent="0.3">
      <c r="A8340" t="str">
        <f>"0611863359050"</f>
        <v>0611863359050</v>
      </c>
      <c r="B8340" t="str">
        <f>"CE1236"</f>
        <v>CE1236</v>
      </c>
      <c r="C8340" t="s">
        <v>43406</v>
      </c>
      <c r="D8340" t="s">
        <v>27923</v>
      </c>
      <c r="E8340" t="str">
        <f t="shared" si="130"/>
        <v>001390</v>
      </c>
      <c r="F8340" t="s">
        <v>27246</v>
      </c>
      <c r="G8340" t="s">
        <v>27247</v>
      </c>
      <c r="H8340" t="s">
        <v>27248</v>
      </c>
      <c r="I8340" t="s">
        <v>43407</v>
      </c>
      <c r="J8340" t="s">
        <v>16671</v>
      </c>
      <c r="L8340" t="s">
        <v>27250</v>
      </c>
      <c r="M8340" t="s">
        <v>27251</v>
      </c>
      <c r="N8340" t="s">
        <v>27252</v>
      </c>
      <c r="P8340" t="s">
        <v>27925</v>
      </c>
      <c r="Q8340" s="1">
        <v>44846</v>
      </c>
      <c r="R8340" t="s">
        <v>27253</v>
      </c>
      <c r="S8340" t="s">
        <v>27254</v>
      </c>
      <c r="T8340" t="s">
        <v>27265</v>
      </c>
    </row>
    <row r="8341" spans="1:20" x14ac:dyDescent="0.3">
      <c r="A8341" t="str">
        <f>"0611863360050"</f>
        <v>0611863360050</v>
      </c>
      <c r="B8341" t="str">
        <f>"CE0478"</f>
        <v>CE0478</v>
      </c>
      <c r="C8341" t="s">
        <v>43408</v>
      </c>
      <c r="D8341" t="s">
        <v>27923</v>
      </c>
      <c r="E8341" t="str">
        <f t="shared" si="130"/>
        <v>001390</v>
      </c>
      <c r="F8341" t="s">
        <v>27246</v>
      </c>
      <c r="G8341" t="s">
        <v>27247</v>
      </c>
      <c r="H8341" t="s">
        <v>27248</v>
      </c>
      <c r="I8341" t="s">
        <v>43409</v>
      </c>
      <c r="J8341" t="s">
        <v>16673</v>
      </c>
      <c r="L8341" t="s">
        <v>27250</v>
      </c>
      <c r="M8341" t="s">
        <v>27251</v>
      </c>
      <c r="N8341" t="s">
        <v>27252</v>
      </c>
      <c r="P8341" t="s">
        <v>27925</v>
      </c>
      <c r="Q8341" s="1">
        <v>44846</v>
      </c>
      <c r="R8341" t="s">
        <v>27253</v>
      </c>
      <c r="S8341" t="s">
        <v>27254</v>
      </c>
      <c r="T8341" t="s">
        <v>27265</v>
      </c>
    </row>
    <row r="8342" spans="1:20" x14ac:dyDescent="0.3">
      <c r="A8342" t="str">
        <f>"0611863361050"</f>
        <v>0611863361050</v>
      </c>
      <c r="B8342" t="str">
        <f>"CE0485"</f>
        <v>CE0485</v>
      </c>
      <c r="C8342" t="s">
        <v>43410</v>
      </c>
      <c r="D8342" t="s">
        <v>27923</v>
      </c>
      <c r="E8342" t="str">
        <f t="shared" si="130"/>
        <v>001390</v>
      </c>
      <c r="F8342" t="s">
        <v>27246</v>
      </c>
      <c r="G8342" t="s">
        <v>27247</v>
      </c>
      <c r="H8342" t="s">
        <v>27248</v>
      </c>
      <c r="I8342" t="s">
        <v>43411</v>
      </c>
      <c r="J8342" t="s">
        <v>16675</v>
      </c>
      <c r="L8342" t="s">
        <v>27250</v>
      </c>
      <c r="M8342" t="s">
        <v>27251</v>
      </c>
      <c r="N8342" t="s">
        <v>27252</v>
      </c>
      <c r="P8342" t="s">
        <v>27925</v>
      </c>
      <c r="Q8342" s="1">
        <v>44846</v>
      </c>
      <c r="R8342" t="s">
        <v>27253</v>
      </c>
      <c r="S8342" t="s">
        <v>27254</v>
      </c>
      <c r="T8342" t="s">
        <v>27265</v>
      </c>
    </row>
    <row r="8343" spans="1:20" x14ac:dyDescent="0.3">
      <c r="A8343" t="str">
        <f>"0611863362050"</f>
        <v>0611863362050</v>
      </c>
      <c r="B8343" t="str">
        <f>"CE1360"</f>
        <v>CE1360</v>
      </c>
      <c r="C8343" t="s">
        <v>43412</v>
      </c>
      <c r="D8343" t="s">
        <v>27923</v>
      </c>
      <c r="E8343" t="str">
        <f t="shared" si="130"/>
        <v>001390</v>
      </c>
      <c r="F8343" t="s">
        <v>27246</v>
      </c>
      <c r="G8343" t="s">
        <v>27247</v>
      </c>
      <c r="H8343" t="s">
        <v>27248</v>
      </c>
      <c r="I8343" t="s">
        <v>43413</v>
      </c>
      <c r="J8343" t="s">
        <v>16677</v>
      </c>
      <c r="L8343" t="s">
        <v>27250</v>
      </c>
      <c r="M8343" t="s">
        <v>27251</v>
      </c>
      <c r="N8343" t="s">
        <v>27252</v>
      </c>
      <c r="P8343" t="s">
        <v>27925</v>
      </c>
      <c r="Q8343" s="1">
        <v>44846</v>
      </c>
      <c r="R8343" t="s">
        <v>27253</v>
      </c>
      <c r="S8343" t="s">
        <v>27254</v>
      </c>
      <c r="T8343" t="s">
        <v>27265</v>
      </c>
    </row>
    <row r="8344" spans="1:20" x14ac:dyDescent="0.3">
      <c r="A8344" t="str">
        <f>"0611863363050"</f>
        <v>0611863363050</v>
      </c>
      <c r="B8344" t="str">
        <f>"CE1492"</f>
        <v>CE1492</v>
      </c>
      <c r="C8344" t="s">
        <v>43414</v>
      </c>
      <c r="D8344" t="s">
        <v>27923</v>
      </c>
      <c r="E8344" t="str">
        <f t="shared" si="130"/>
        <v>001390</v>
      </c>
      <c r="F8344" t="s">
        <v>27246</v>
      </c>
      <c r="G8344" t="s">
        <v>27247</v>
      </c>
      <c r="H8344" t="s">
        <v>27248</v>
      </c>
      <c r="I8344" t="s">
        <v>43415</v>
      </c>
      <c r="J8344" t="s">
        <v>16679</v>
      </c>
      <c r="L8344" t="s">
        <v>27250</v>
      </c>
      <c r="M8344" t="s">
        <v>27251</v>
      </c>
      <c r="N8344" t="s">
        <v>27252</v>
      </c>
      <c r="P8344" t="s">
        <v>27925</v>
      </c>
      <c r="Q8344" s="1">
        <v>44846</v>
      </c>
      <c r="R8344" t="s">
        <v>27253</v>
      </c>
      <c r="S8344" t="s">
        <v>27254</v>
      </c>
      <c r="T8344" t="s">
        <v>27265</v>
      </c>
    </row>
    <row r="8345" spans="1:20" x14ac:dyDescent="0.3">
      <c r="A8345" t="str">
        <f>"0611863364050"</f>
        <v>0611863364050</v>
      </c>
      <c r="B8345" t="str">
        <f>"CE0480"</f>
        <v>CE0480</v>
      </c>
      <c r="C8345" t="s">
        <v>43416</v>
      </c>
      <c r="D8345" t="s">
        <v>27923</v>
      </c>
      <c r="E8345" t="str">
        <f t="shared" si="130"/>
        <v>001390</v>
      </c>
      <c r="F8345" t="s">
        <v>27246</v>
      </c>
      <c r="G8345" t="s">
        <v>27247</v>
      </c>
      <c r="H8345" t="s">
        <v>27248</v>
      </c>
      <c r="I8345" t="s">
        <v>43417</v>
      </c>
      <c r="J8345" t="s">
        <v>16681</v>
      </c>
      <c r="L8345" t="s">
        <v>27250</v>
      </c>
      <c r="M8345" t="s">
        <v>27251</v>
      </c>
      <c r="N8345" t="s">
        <v>27252</v>
      </c>
      <c r="P8345" t="s">
        <v>27925</v>
      </c>
      <c r="Q8345" s="1">
        <v>44846</v>
      </c>
      <c r="R8345" t="s">
        <v>27253</v>
      </c>
      <c r="S8345" t="s">
        <v>27254</v>
      </c>
      <c r="T8345" t="s">
        <v>27265</v>
      </c>
    </row>
    <row r="8346" spans="1:20" x14ac:dyDescent="0.3">
      <c r="A8346" t="str">
        <f>"0611863365050"</f>
        <v>0611863365050</v>
      </c>
      <c r="B8346" t="str">
        <f>"CE0481"</f>
        <v>CE0481</v>
      </c>
      <c r="C8346" t="s">
        <v>43418</v>
      </c>
      <c r="D8346" t="s">
        <v>27923</v>
      </c>
      <c r="E8346" t="str">
        <f t="shared" si="130"/>
        <v>001390</v>
      </c>
      <c r="F8346" t="s">
        <v>27246</v>
      </c>
      <c r="G8346" t="s">
        <v>27247</v>
      </c>
      <c r="H8346" t="s">
        <v>27248</v>
      </c>
      <c r="I8346" t="s">
        <v>43419</v>
      </c>
      <c r="J8346" t="s">
        <v>16683</v>
      </c>
      <c r="L8346" t="s">
        <v>27250</v>
      </c>
      <c r="M8346" t="s">
        <v>27251</v>
      </c>
      <c r="N8346" t="s">
        <v>27252</v>
      </c>
      <c r="P8346" t="s">
        <v>27925</v>
      </c>
      <c r="Q8346" s="1">
        <v>44846</v>
      </c>
      <c r="R8346" t="s">
        <v>27253</v>
      </c>
      <c r="S8346" t="s">
        <v>27254</v>
      </c>
      <c r="T8346" t="s">
        <v>27265</v>
      </c>
    </row>
    <row r="8347" spans="1:20" x14ac:dyDescent="0.3">
      <c r="A8347" t="str">
        <f>"0611863366050"</f>
        <v>0611863366050</v>
      </c>
      <c r="B8347" t="str">
        <f>"CE0482"</f>
        <v>CE0482</v>
      </c>
      <c r="C8347" t="s">
        <v>43420</v>
      </c>
      <c r="D8347" t="s">
        <v>27923</v>
      </c>
      <c r="E8347" t="str">
        <f t="shared" si="130"/>
        <v>001390</v>
      </c>
      <c r="F8347" t="s">
        <v>27246</v>
      </c>
      <c r="G8347" t="s">
        <v>27247</v>
      </c>
      <c r="H8347" t="s">
        <v>27248</v>
      </c>
      <c r="I8347" t="s">
        <v>43421</v>
      </c>
      <c r="J8347" t="s">
        <v>16685</v>
      </c>
      <c r="L8347" t="s">
        <v>27250</v>
      </c>
      <c r="M8347" t="s">
        <v>27251</v>
      </c>
      <c r="N8347" t="s">
        <v>27252</v>
      </c>
      <c r="P8347" t="s">
        <v>27925</v>
      </c>
      <c r="Q8347" s="1">
        <v>44846</v>
      </c>
      <c r="R8347" t="s">
        <v>27253</v>
      </c>
      <c r="S8347" t="s">
        <v>27254</v>
      </c>
      <c r="T8347" t="s">
        <v>27265</v>
      </c>
    </row>
    <row r="8348" spans="1:20" x14ac:dyDescent="0.3">
      <c r="A8348" t="str">
        <f>"0611863367050"</f>
        <v>0611863367050</v>
      </c>
      <c r="B8348" t="str">
        <f>"CE0483"</f>
        <v>CE0483</v>
      </c>
      <c r="C8348" t="s">
        <v>43422</v>
      </c>
      <c r="D8348" t="s">
        <v>27923</v>
      </c>
      <c r="E8348" t="str">
        <f t="shared" si="130"/>
        <v>001390</v>
      </c>
      <c r="F8348" t="s">
        <v>27246</v>
      </c>
      <c r="G8348" t="s">
        <v>27247</v>
      </c>
      <c r="H8348" t="s">
        <v>27248</v>
      </c>
      <c r="I8348" t="s">
        <v>43423</v>
      </c>
      <c r="J8348" t="s">
        <v>16687</v>
      </c>
      <c r="L8348" t="s">
        <v>27250</v>
      </c>
      <c r="M8348" t="s">
        <v>27251</v>
      </c>
      <c r="N8348" t="s">
        <v>27252</v>
      </c>
      <c r="P8348" t="s">
        <v>27925</v>
      </c>
      <c r="Q8348" s="1">
        <v>44846</v>
      </c>
      <c r="R8348" t="s">
        <v>27253</v>
      </c>
      <c r="S8348" t="s">
        <v>27254</v>
      </c>
      <c r="T8348" t="s">
        <v>27265</v>
      </c>
    </row>
    <row r="8349" spans="1:20" x14ac:dyDescent="0.3">
      <c r="A8349" t="str">
        <f>"0611863368050"</f>
        <v>0611863368050</v>
      </c>
      <c r="B8349" t="str">
        <f>"CE0484"</f>
        <v>CE0484</v>
      </c>
      <c r="C8349" t="s">
        <v>43424</v>
      </c>
      <c r="D8349" t="s">
        <v>27923</v>
      </c>
      <c r="E8349" t="str">
        <f t="shared" si="130"/>
        <v>001390</v>
      </c>
      <c r="F8349" t="s">
        <v>27246</v>
      </c>
      <c r="G8349" t="s">
        <v>27247</v>
      </c>
      <c r="H8349" t="s">
        <v>27248</v>
      </c>
      <c r="I8349" t="s">
        <v>43425</v>
      </c>
      <c r="J8349" t="s">
        <v>16689</v>
      </c>
      <c r="L8349" t="s">
        <v>27250</v>
      </c>
      <c r="M8349" t="s">
        <v>27251</v>
      </c>
      <c r="N8349" t="s">
        <v>27252</v>
      </c>
      <c r="P8349" t="s">
        <v>27925</v>
      </c>
      <c r="Q8349" s="1">
        <v>44846</v>
      </c>
      <c r="R8349" t="s">
        <v>27253</v>
      </c>
      <c r="S8349" t="s">
        <v>27254</v>
      </c>
      <c r="T8349" t="s">
        <v>27265</v>
      </c>
    </row>
    <row r="8350" spans="1:20" x14ac:dyDescent="0.3">
      <c r="A8350" t="str">
        <f>"0611837115100"</f>
        <v>0611837115100</v>
      </c>
      <c r="B8350" t="str">
        <f>"LK2575"</f>
        <v>LK2575</v>
      </c>
      <c r="C8350" t="s">
        <v>43426</v>
      </c>
      <c r="D8350" t="s">
        <v>27245</v>
      </c>
      <c r="E8350" t="str">
        <f t="shared" si="130"/>
        <v>001390</v>
      </c>
      <c r="F8350" t="s">
        <v>27246</v>
      </c>
      <c r="G8350" t="s">
        <v>27247</v>
      </c>
      <c r="H8350" t="s">
        <v>27248</v>
      </c>
      <c r="I8350" t="s">
        <v>43427</v>
      </c>
      <c r="J8350" t="s">
        <v>16691</v>
      </c>
      <c r="L8350" t="s">
        <v>27250</v>
      </c>
      <c r="M8350" t="s">
        <v>27251</v>
      </c>
      <c r="N8350" t="s">
        <v>27252</v>
      </c>
      <c r="Q8350" s="1">
        <v>44538</v>
      </c>
      <c r="R8350" t="s">
        <v>27253</v>
      </c>
      <c r="S8350" t="s">
        <v>27254</v>
      </c>
      <c r="T8350" t="s">
        <v>27255</v>
      </c>
    </row>
    <row r="8351" spans="1:20" x14ac:dyDescent="0.3">
      <c r="A8351" t="str">
        <f>"0611837116100"</f>
        <v>0611837116100</v>
      </c>
      <c r="B8351" t="str">
        <f>"LK2576"</f>
        <v>LK2576</v>
      </c>
      <c r="C8351" t="s">
        <v>43428</v>
      </c>
      <c r="D8351" t="s">
        <v>27245</v>
      </c>
      <c r="E8351" t="str">
        <f t="shared" si="130"/>
        <v>001390</v>
      </c>
      <c r="F8351" t="s">
        <v>27246</v>
      </c>
      <c r="G8351" t="s">
        <v>27247</v>
      </c>
      <c r="H8351" t="s">
        <v>27248</v>
      </c>
      <c r="I8351" t="s">
        <v>43429</v>
      </c>
      <c r="J8351" t="s">
        <v>16693</v>
      </c>
      <c r="L8351" t="s">
        <v>27250</v>
      </c>
      <c r="M8351" t="s">
        <v>27251</v>
      </c>
      <c r="N8351" t="s">
        <v>27252</v>
      </c>
      <c r="Q8351" s="1">
        <v>44538</v>
      </c>
      <c r="R8351" t="s">
        <v>27253</v>
      </c>
      <c r="S8351" t="s">
        <v>27254</v>
      </c>
      <c r="T8351" t="s">
        <v>27255</v>
      </c>
    </row>
    <row r="8352" spans="1:20" x14ac:dyDescent="0.3">
      <c r="A8352" t="str">
        <f>"0611837117100"</f>
        <v>0611837117100</v>
      </c>
      <c r="B8352" t="str">
        <f>"LG5410"</f>
        <v>LG5410</v>
      </c>
      <c r="C8352" t="s">
        <v>43430</v>
      </c>
      <c r="D8352" t="s">
        <v>27245</v>
      </c>
      <c r="E8352" t="str">
        <f t="shared" si="130"/>
        <v>001390</v>
      </c>
      <c r="F8352" t="s">
        <v>27246</v>
      </c>
      <c r="G8352" t="s">
        <v>27247</v>
      </c>
      <c r="H8352" t="s">
        <v>27248</v>
      </c>
      <c r="I8352" t="s">
        <v>43431</v>
      </c>
      <c r="J8352" t="s">
        <v>16695</v>
      </c>
      <c r="L8352" t="s">
        <v>27250</v>
      </c>
      <c r="M8352" t="s">
        <v>27251</v>
      </c>
      <c r="N8352" t="s">
        <v>27252</v>
      </c>
      <c r="Q8352" s="1">
        <v>44538</v>
      </c>
      <c r="R8352" t="s">
        <v>27253</v>
      </c>
      <c r="S8352" t="s">
        <v>27254</v>
      </c>
      <c r="T8352" t="s">
        <v>27255</v>
      </c>
    </row>
    <row r="8353" spans="1:20" x14ac:dyDescent="0.3">
      <c r="A8353" t="str">
        <f>"0611837118100"</f>
        <v>0611837118100</v>
      </c>
      <c r="B8353" t="str">
        <f>"LK2577"</f>
        <v>LK2577</v>
      </c>
      <c r="C8353" t="s">
        <v>43432</v>
      </c>
      <c r="D8353" t="s">
        <v>27245</v>
      </c>
      <c r="E8353" t="str">
        <f t="shared" si="130"/>
        <v>001390</v>
      </c>
      <c r="F8353" t="s">
        <v>27246</v>
      </c>
      <c r="G8353" t="s">
        <v>27247</v>
      </c>
      <c r="H8353" t="s">
        <v>27248</v>
      </c>
      <c r="I8353" t="s">
        <v>43433</v>
      </c>
      <c r="J8353" t="s">
        <v>16697</v>
      </c>
      <c r="L8353" t="s">
        <v>27250</v>
      </c>
      <c r="M8353" t="s">
        <v>27251</v>
      </c>
      <c r="N8353" t="s">
        <v>27252</v>
      </c>
      <c r="Q8353" s="1">
        <v>44538</v>
      </c>
      <c r="R8353" t="s">
        <v>27253</v>
      </c>
      <c r="S8353" t="s">
        <v>27254</v>
      </c>
      <c r="T8353" t="s">
        <v>27255</v>
      </c>
    </row>
    <row r="8354" spans="1:20" x14ac:dyDescent="0.3">
      <c r="A8354" t="str">
        <f>"0611837119100"</f>
        <v>0611837119100</v>
      </c>
      <c r="B8354" t="str">
        <f>"LG5411"</f>
        <v>LG5411</v>
      </c>
      <c r="C8354" t="s">
        <v>43434</v>
      </c>
      <c r="D8354" t="s">
        <v>27245</v>
      </c>
      <c r="E8354" t="str">
        <f t="shared" si="130"/>
        <v>001390</v>
      </c>
      <c r="F8354" t="s">
        <v>27246</v>
      </c>
      <c r="G8354" t="s">
        <v>27247</v>
      </c>
      <c r="H8354" t="s">
        <v>27248</v>
      </c>
      <c r="I8354" t="s">
        <v>43435</v>
      </c>
      <c r="J8354" t="s">
        <v>16699</v>
      </c>
      <c r="L8354" t="s">
        <v>27250</v>
      </c>
      <c r="M8354" t="s">
        <v>27251</v>
      </c>
      <c r="N8354" t="s">
        <v>27252</v>
      </c>
      <c r="Q8354" s="1">
        <v>44538</v>
      </c>
      <c r="R8354" t="s">
        <v>27253</v>
      </c>
      <c r="S8354" t="s">
        <v>27254</v>
      </c>
      <c r="T8354" t="s">
        <v>27255</v>
      </c>
    </row>
    <row r="8355" spans="1:20" x14ac:dyDescent="0.3">
      <c r="A8355" t="str">
        <f>"0611884340100"</f>
        <v>0611884340100</v>
      </c>
      <c r="B8355" t="str">
        <f>"LQ3827"</f>
        <v>LQ3827</v>
      </c>
      <c r="C8355" t="s">
        <v>43436</v>
      </c>
      <c r="D8355" t="s">
        <v>27245</v>
      </c>
      <c r="E8355" t="str">
        <f t="shared" si="130"/>
        <v>001390</v>
      </c>
      <c r="F8355" t="s">
        <v>27246</v>
      </c>
      <c r="G8355" t="s">
        <v>27247</v>
      </c>
      <c r="H8355" t="s">
        <v>27248</v>
      </c>
      <c r="I8355" t="s">
        <v>43437</v>
      </c>
      <c r="J8355" t="s">
        <v>16701</v>
      </c>
      <c r="L8355" t="s">
        <v>27430</v>
      </c>
      <c r="M8355" t="s">
        <v>27251</v>
      </c>
      <c r="N8355" t="s">
        <v>27252</v>
      </c>
      <c r="Q8355" s="1">
        <v>45250</v>
      </c>
      <c r="R8355" t="s">
        <v>27253</v>
      </c>
      <c r="S8355" t="s">
        <v>27254</v>
      </c>
      <c r="T8355" t="s">
        <v>27255</v>
      </c>
    </row>
    <row r="8356" spans="1:20" x14ac:dyDescent="0.3">
      <c r="A8356" t="str">
        <f>"0611863369100"</f>
        <v>0611863369100</v>
      </c>
      <c r="B8356" t="str">
        <f>"CN2233"</f>
        <v>CN2233</v>
      </c>
      <c r="C8356" t="s">
        <v>43438</v>
      </c>
      <c r="D8356" t="s">
        <v>27335</v>
      </c>
      <c r="E8356" t="str">
        <f t="shared" si="130"/>
        <v>001390</v>
      </c>
      <c r="F8356" t="s">
        <v>27246</v>
      </c>
      <c r="G8356" t="s">
        <v>27247</v>
      </c>
      <c r="H8356" t="s">
        <v>27248</v>
      </c>
      <c r="I8356" t="s">
        <v>43439</v>
      </c>
      <c r="J8356" t="s">
        <v>16703</v>
      </c>
      <c r="L8356" t="s">
        <v>27250</v>
      </c>
      <c r="M8356" t="s">
        <v>27251</v>
      </c>
      <c r="N8356" t="s">
        <v>27252</v>
      </c>
      <c r="Q8356" s="1">
        <v>44846</v>
      </c>
      <c r="R8356" t="s">
        <v>27253</v>
      </c>
      <c r="S8356" t="s">
        <v>27254</v>
      </c>
      <c r="T8356" t="s">
        <v>27255</v>
      </c>
    </row>
    <row r="8357" spans="1:20" x14ac:dyDescent="0.3">
      <c r="A8357" t="str">
        <f>"0611837120100"</f>
        <v>0611837120100</v>
      </c>
      <c r="B8357" t="str">
        <f>"LF0045"</f>
        <v>LF0045</v>
      </c>
      <c r="C8357" t="s">
        <v>43440</v>
      </c>
      <c r="D8357" t="s">
        <v>27245</v>
      </c>
      <c r="E8357" t="str">
        <f t="shared" si="130"/>
        <v>001390</v>
      </c>
      <c r="F8357" t="s">
        <v>27246</v>
      </c>
      <c r="G8357" t="s">
        <v>27247</v>
      </c>
      <c r="H8357" t="s">
        <v>27248</v>
      </c>
      <c r="I8357" t="s">
        <v>43441</v>
      </c>
      <c r="J8357" t="s">
        <v>16705</v>
      </c>
      <c r="L8357" t="s">
        <v>27250</v>
      </c>
      <c r="M8357" t="s">
        <v>27251</v>
      </c>
      <c r="N8357" t="s">
        <v>27252</v>
      </c>
      <c r="Q8357" s="1">
        <v>44538</v>
      </c>
      <c r="R8357" t="s">
        <v>27253</v>
      </c>
      <c r="S8357" t="s">
        <v>27254</v>
      </c>
      <c r="T8357" t="s">
        <v>27255</v>
      </c>
    </row>
    <row r="8358" spans="1:20" x14ac:dyDescent="0.3">
      <c r="A8358" t="str">
        <f>"0611863370100"</f>
        <v>0611863370100</v>
      </c>
      <c r="B8358" t="str">
        <f>"CN5279"</f>
        <v>CN5279</v>
      </c>
      <c r="C8358" t="s">
        <v>43442</v>
      </c>
      <c r="D8358" t="s">
        <v>27335</v>
      </c>
      <c r="E8358" t="str">
        <f t="shared" si="130"/>
        <v>001390</v>
      </c>
      <c r="F8358" t="s">
        <v>27246</v>
      </c>
      <c r="G8358" t="s">
        <v>27247</v>
      </c>
      <c r="H8358" t="s">
        <v>27248</v>
      </c>
      <c r="I8358" t="s">
        <v>43443</v>
      </c>
      <c r="J8358" t="s">
        <v>16707</v>
      </c>
      <c r="L8358" t="s">
        <v>27250</v>
      </c>
      <c r="M8358" t="s">
        <v>27251</v>
      </c>
      <c r="N8358" t="s">
        <v>27252</v>
      </c>
      <c r="Q8358" s="1">
        <v>44846</v>
      </c>
      <c r="R8358" t="s">
        <v>27253</v>
      </c>
      <c r="S8358" t="s">
        <v>27254</v>
      </c>
      <c r="T8358" t="s">
        <v>27255</v>
      </c>
    </row>
    <row r="8359" spans="1:20" x14ac:dyDescent="0.3">
      <c r="A8359" t="str">
        <f>"0611837122025"</f>
        <v>0611837122025</v>
      </c>
      <c r="B8359" t="str">
        <f>"MC4085"</f>
        <v>MC4085</v>
      </c>
      <c r="C8359" t="s">
        <v>43444</v>
      </c>
      <c r="D8359" t="s">
        <v>27267</v>
      </c>
      <c r="E8359" t="str">
        <f t="shared" si="130"/>
        <v>001390</v>
      </c>
      <c r="F8359" t="s">
        <v>27246</v>
      </c>
      <c r="G8359" t="s">
        <v>27247</v>
      </c>
      <c r="H8359" t="s">
        <v>27248</v>
      </c>
      <c r="I8359" t="s">
        <v>43445</v>
      </c>
      <c r="J8359" t="s">
        <v>16711</v>
      </c>
      <c r="L8359" t="s">
        <v>27250</v>
      </c>
      <c r="M8359" t="s">
        <v>27251</v>
      </c>
      <c r="N8359" t="s">
        <v>27252</v>
      </c>
      <c r="Q8359" s="1">
        <v>44538</v>
      </c>
      <c r="R8359" t="s">
        <v>27253</v>
      </c>
      <c r="S8359" t="s">
        <v>27254</v>
      </c>
      <c r="T8359" t="s">
        <v>27269</v>
      </c>
    </row>
    <row r="8360" spans="1:20" x14ac:dyDescent="0.3">
      <c r="A8360" t="str">
        <f>"0611863372100"</f>
        <v>0611863372100</v>
      </c>
      <c r="B8360" t="str">
        <f>"CN5280"</f>
        <v>CN5280</v>
      </c>
      <c r="C8360" t="s">
        <v>43444</v>
      </c>
      <c r="D8360" t="s">
        <v>27335</v>
      </c>
      <c r="E8360" t="str">
        <f t="shared" si="130"/>
        <v>001390</v>
      </c>
      <c r="F8360" t="s">
        <v>27246</v>
      </c>
      <c r="G8360" t="s">
        <v>27247</v>
      </c>
      <c r="H8360" t="s">
        <v>27248</v>
      </c>
      <c r="I8360" t="s">
        <v>43446</v>
      </c>
      <c r="J8360" t="s">
        <v>16709</v>
      </c>
      <c r="L8360" t="s">
        <v>27250</v>
      </c>
      <c r="M8360" t="s">
        <v>27251</v>
      </c>
      <c r="N8360" t="s">
        <v>27252</v>
      </c>
      <c r="Q8360" s="1">
        <v>44846</v>
      </c>
      <c r="R8360" t="s">
        <v>27253</v>
      </c>
      <c r="S8360" t="s">
        <v>27254</v>
      </c>
      <c r="T8360" t="s">
        <v>27255</v>
      </c>
    </row>
    <row r="8361" spans="1:20" x14ac:dyDescent="0.3">
      <c r="A8361" t="str">
        <f>"0611863373100"</f>
        <v>0611863373100</v>
      </c>
      <c r="B8361" t="str">
        <f>"CN5282"</f>
        <v>CN5282</v>
      </c>
      <c r="C8361" t="s">
        <v>43447</v>
      </c>
      <c r="D8361" t="s">
        <v>27335</v>
      </c>
      <c r="E8361" t="str">
        <f t="shared" si="130"/>
        <v>001390</v>
      </c>
      <c r="F8361" t="s">
        <v>27246</v>
      </c>
      <c r="G8361" t="s">
        <v>27247</v>
      </c>
      <c r="H8361" t="s">
        <v>27248</v>
      </c>
      <c r="I8361" t="s">
        <v>43448</v>
      </c>
      <c r="J8361" t="s">
        <v>16713</v>
      </c>
      <c r="L8361" t="s">
        <v>27250</v>
      </c>
      <c r="M8361" t="s">
        <v>27251</v>
      </c>
      <c r="N8361" t="s">
        <v>27252</v>
      </c>
      <c r="Q8361" s="1">
        <v>44846</v>
      </c>
      <c r="R8361" t="s">
        <v>27253</v>
      </c>
      <c r="S8361" t="s">
        <v>27254</v>
      </c>
      <c r="T8361" t="s">
        <v>27255</v>
      </c>
    </row>
    <row r="8362" spans="1:20" x14ac:dyDescent="0.3">
      <c r="A8362" t="str">
        <f>"0611863374100"</f>
        <v>0611863374100</v>
      </c>
      <c r="B8362" t="str">
        <f>"CN5281"</f>
        <v>CN5281</v>
      </c>
      <c r="C8362" t="s">
        <v>43449</v>
      </c>
      <c r="D8362" t="s">
        <v>27335</v>
      </c>
      <c r="E8362" t="str">
        <f t="shared" si="130"/>
        <v>001390</v>
      </c>
      <c r="F8362" t="s">
        <v>27246</v>
      </c>
      <c r="G8362" t="s">
        <v>27247</v>
      </c>
      <c r="H8362" t="s">
        <v>27248</v>
      </c>
      <c r="I8362" t="s">
        <v>43450</v>
      </c>
      <c r="J8362" t="s">
        <v>16715</v>
      </c>
      <c r="L8362" t="s">
        <v>27250</v>
      </c>
      <c r="M8362" t="s">
        <v>27251</v>
      </c>
      <c r="N8362" t="s">
        <v>27252</v>
      </c>
      <c r="Q8362" s="1">
        <v>44846</v>
      </c>
      <c r="R8362" t="s">
        <v>27253</v>
      </c>
      <c r="S8362" t="s">
        <v>27254</v>
      </c>
      <c r="T8362" t="s">
        <v>27255</v>
      </c>
    </row>
    <row r="8363" spans="1:20" x14ac:dyDescent="0.3">
      <c r="A8363" t="str">
        <f>"0611837123100"</f>
        <v>0611837123100</v>
      </c>
      <c r="B8363" t="str">
        <f>"LH6140"</f>
        <v>LH6140</v>
      </c>
      <c r="C8363" t="s">
        <v>43451</v>
      </c>
      <c r="D8363" t="s">
        <v>27245</v>
      </c>
      <c r="E8363" t="str">
        <f t="shared" si="130"/>
        <v>001390</v>
      </c>
      <c r="F8363" t="s">
        <v>27246</v>
      </c>
      <c r="G8363" t="s">
        <v>27247</v>
      </c>
      <c r="H8363" t="s">
        <v>27248</v>
      </c>
      <c r="I8363" t="s">
        <v>43452</v>
      </c>
      <c r="J8363" t="s">
        <v>16717</v>
      </c>
      <c r="L8363" t="s">
        <v>27250</v>
      </c>
      <c r="M8363" t="s">
        <v>27251</v>
      </c>
      <c r="N8363" t="s">
        <v>27252</v>
      </c>
      <c r="Q8363" s="1">
        <v>44538</v>
      </c>
      <c r="R8363" t="s">
        <v>27253</v>
      </c>
      <c r="S8363" t="s">
        <v>27254</v>
      </c>
      <c r="T8363" t="s">
        <v>27255</v>
      </c>
    </row>
    <row r="8364" spans="1:20" x14ac:dyDescent="0.3">
      <c r="A8364" t="str">
        <f>"0611837124025"</f>
        <v>0611837124025</v>
      </c>
      <c r="B8364" t="str">
        <f>"MC0560"</f>
        <v>MC0560</v>
      </c>
      <c r="C8364" t="s">
        <v>43451</v>
      </c>
      <c r="D8364" t="s">
        <v>27267</v>
      </c>
      <c r="E8364" t="str">
        <f t="shared" si="130"/>
        <v>001390</v>
      </c>
      <c r="F8364" t="s">
        <v>27246</v>
      </c>
      <c r="G8364" t="s">
        <v>27247</v>
      </c>
      <c r="H8364" t="s">
        <v>27248</v>
      </c>
      <c r="I8364" t="s">
        <v>43453</v>
      </c>
      <c r="J8364" t="s">
        <v>16719</v>
      </c>
      <c r="L8364" t="s">
        <v>27250</v>
      </c>
      <c r="M8364" t="s">
        <v>27251</v>
      </c>
      <c r="N8364" t="s">
        <v>27252</v>
      </c>
      <c r="Q8364" s="1">
        <v>44538</v>
      </c>
      <c r="R8364" t="s">
        <v>27253</v>
      </c>
      <c r="S8364" t="s">
        <v>27254</v>
      </c>
      <c r="T8364" t="s">
        <v>27269</v>
      </c>
    </row>
    <row r="8365" spans="1:20" x14ac:dyDescent="0.3">
      <c r="A8365" t="str">
        <f>"0611863375100"</f>
        <v>0611863375100</v>
      </c>
      <c r="B8365" t="str">
        <f>"CN2234"</f>
        <v>CN2234</v>
      </c>
      <c r="C8365" t="s">
        <v>43454</v>
      </c>
      <c r="D8365" t="s">
        <v>27335</v>
      </c>
      <c r="E8365" t="str">
        <f t="shared" si="130"/>
        <v>001390</v>
      </c>
      <c r="F8365" t="s">
        <v>27246</v>
      </c>
      <c r="G8365" t="s">
        <v>27247</v>
      </c>
      <c r="H8365" t="s">
        <v>27248</v>
      </c>
      <c r="I8365" t="s">
        <v>43455</v>
      </c>
      <c r="J8365" t="s">
        <v>16721</v>
      </c>
      <c r="L8365" t="s">
        <v>27250</v>
      </c>
      <c r="M8365" t="s">
        <v>27251</v>
      </c>
      <c r="N8365" t="s">
        <v>27252</v>
      </c>
      <c r="Q8365" s="1">
        <v>44846</v>
      </c>
      <c r="R8365" t="s">
        <v>27253</v>
      </c>
      <c r="S8365" t="s">
        <v>27254</v>
      </c>
      <c r="T8365" t="s">
        <v>27255</v>
      </c>
    </row>
    <row r="8366" spans="1:20" x14ac:dyDescent="0.3">
      <c r="A8366" t="str">
        <f>"0611863376100"</f>
        <v>0611863376100</v>
      </c>
      <c r="B8366" t="str">
        <f>"CN2235"</f>
        <v>CN2235</v>
      </c>
      <c r="C8366" t="s">
        <v>43456</v>
      </c>
      <c r="D8366" t="s">
        <v>27335</v>
      </c>
      <c r="E8366" t="str">
        <f t="shared" si="130"/>
        <v>001390</v>
      </c>
      <c r="F8366" t="s">
        <v>27246</v>
      </c>
      <c r="G8366" t="s">
        <v>27247</v>
      </c>
      <c r="H8366" t="s">
        <v>27248</v>
      </c>
      <c r="I8366" t="s">
        <v>43457</v>
      </c>
      <c r="J8366" t="s">
        <v>16723</v>
      </c>
      <c r="L8366" t="s">
        <v>27250</v>
      </c>
      <c r="M8366" t="s">
        <v>27251</v>
      </c>
      <c r="N8366" t="s">
        <v>27252</v>
      </c>
      <c r="Q8366" s="1">
        <v>44846</v>
      </c>
      <c r="R8366" t="s">
        <v>27253</v>
      </c>
      <c r="S8366" t="s">
        <v>27254</v>
      </c>
      <c r="T8366" t="s">
        <v>27255</v>
      </c>
    </row>
    <row r="8367" spans="1:20" x14ac:dyDescent="0.3">
      <c r="A8367" t="str">
        <f>"0611863377100"</f>
        <v>0611863377100</v>
      </c>
      <c r="B8367" t="str">
        <f>"CN2236"</f>
        <v>CN2236</v>
      </c>
      <c r="C8367" t="s">
        <v>43458</v>
      </c>
      <c r="D8367" t="s">
        <v>27335</v>
      </c>
      <c r="E8367" t="str">
        <f t="shared" si="130"/>
        <v>001390</v>
      </c>
      <c r="F8367" t="s">
        <v>27246</v>
      </c>
      <c r="G8367" t="s">
        <v>27247</v>
      </c>
      <c r="H8367" t="s">
        <v>27248</v>
      </c>
      <c r="I8367" t="s">
        <v>43459</v>
      </c>
      <c r="J8367" t="s">
        <v>16725</v>
      </c>
      <c r="L8367" t="s">
        <v>27250</v>
      </c>
      <c r="M8367" t="s">
        <v>27251</v>
      </c>
      <c r="N8367" t="s">
        <v>27252</v>
      </c>
      <c r="Q8367" s="1">
        <v>44846</v>
      </c>
      <c r="R8367" t="s">
        <v>27253</v>
      </c>
      <c r="S8367" t="s">
        <v>27254</v>
      </c>
      <c r="T8367" t="s">
        <v>27255</v>
      </c>
    </row>
    <row r="8368" spans="1:20" x14ac:dyDescent="0.3">
      <c r="A8368" t="str">
        <f>"0611863378050"</f>
        <v>0611863378050</v>
      </c>
      <c r="B8368" t="str">
        <f>"CR4402"</f>
        <v>CR4402</v>
      </c>
      <c r="C8368" t="s">
        <v>43460</v>
      </c>
      <c r="D8368" t="s">
        <v>27263</v>
      </c>
      <c r="E8368" t="str">
        <f t="shared" si="130"/>
        <v>001390</v>
      </c>
      <c r="F8368" t="s">
        <v>27246</v>
      </c>
      <c r="G8368" t="s">
        <v>27247</v>
      </c>
      <c r="H8368" t="s">
        <v>27248</v>
      </c>
      <c r="I8368" t="s">
        <v>43461</v>
      </c>
      <c r="J8368" t="s">
        <v>18096</v>
      </c>
      <c r="L8368" t="s">
        <v>27250</v>
      </c>
      <c r="M8368" t="s">
        <v>27251</v>
      </c>
      <c r="N8368" t="s">
        <v>27252</v>
      </c>
      <c r="Q8368" s="1">
        <v>44846</v>
      </c>
      <c r="R8368" t="s">
        <v>27253</v>
      </c>
      <c r="S8368" t="s">
        <v>27254</v>
      </c>
      <c r="T8368" t="s">
        <v>27265</v>
      </c>
    </row>
    <row r="8369" spans="1:20" x14ac:dyDescent="0.3">
      <c r="A8369" t="str">
        <f>"0611863379050"</f>
        <v>0611863379050</v>
      </c>
      <c r="B8369" t="str">
        <f>"CR4403"</f>
        <v>CR4403</v>
      </c>
      <c r="C8369" t="s">
        <v>43462</v>
      </c>
      <c r="D8369" t="s">
        <v>27263</v>
      </c>
      <c r="E8369" t="str">
        <f t="shared" si="130"/>
        <v>001390</v>
      </c>
      <c r="F8369" t="s">
        <v>27246</v>
      </c>
      <c r="G8369" t="s">
        <v>27247</v>
      </c>
      <c r="H8369" t="s">
        <v>27248</v>
      </c>
      <c r="I8369" t="s">
        <v>43463</v>
      </c>
      <c r="J8369" t="s">
        <v>18098</v>
      </c>
      <c r="L8369" t="s">
        <v>27250</v>
      </c>
      <c r="M8369" t="s">
        <v>27251</v>
      </c>
      <c r="N8369" t="s">
        <v>27252</v>
      </c>
      <c r="Q8369" s="1">
        <v>44846</v>
      </c>
      <c r="R8369" t="s">
        <v>27253</v>
      </c>
      <c r="S8369" t="s">
        <v>27254</v>
      </c>
      <c r="T8369" t="s">
        <v>27265</v>
      </c>
    </row>
    <row r="8370" spans="1:20" x14ac:dyDescent="0.3">
      <c r="A8370" t="str">
        <f>"0611863380050"</f>
        <v>0611863380050</v>
      </c>
      <c r="B8370" t="str">
        <f>"CR4404"</f>
        <v>CR4404</v>
      </c>
      <c r="C8370" t="s">
        <v>43464</v>
      </c>
      <c r="D8370" t="s">
        <v>27263</v>
      </c>
      <c r="E8370" t="str">
        <f t="shared" si="130"/>
        <v>001390</v>
      </c>
      <c r="F8370" t="s">
        <v>27246</v>
      </c>
      <c r="G8370" t="s">
        <v>27247</v>
      </c>
      <c r="H8370" t="s">
        <v>27248</v>
      </c>
      <c r="I8370" t="s">
        <v>43465</v>
      </c>
      <c r="J8370" t="s">
        <v>18100</v>
      </c>
      <c r="L8370" t="s">
        <v>27250</v>
      </c>
      <c r="M8370" t="s">
        <v>27251</v>
      </c>
      <c r="N8370" t="s">
        <v>27252</v>
      </c>
      <c r="Q8370" s="1">
        <v>44846</v>
      </c>
      <c r="R8370" t="s">
        <v>27253</v>
      </c>
      <c r="S8370" t="s">
        <v>27254</v>
      </c>
      <c r="T8370" t="s">
        <v>27265</v>
      </c>
    </row>
    <row r="8371" spans="1:20" x14ac:dyDescent="0.3">
      <c r="A8371" t="str">
        <f>"0611863381050"</f>
        <v>0611863381050</v>
      </c>
      <c r="B8371" t="str">
        <f>"CR4406"</f>
        <v>CR4406</v>
      </c>
      <c r="C8371" t="s">
        <v>43466</v>
      </c>
      <c r="D8371" t="s">
        <v>27263</v>
      </c>
      <c r="E8371" t="str">
        <f t="shared" si="130"/>
        <v>001390</v>
      </c>
      <c r="F8371" t="s">
        <v>27246</v>
      </c>
      <c r="G8371" t="s">
        <v>27247</v>
      </c>
      <c r="H8371" t="s">
        <v>27248</v>
      </c>
      <c r="I8371" t="s">
        <v>43467</v>
      </c>
      <c r="J8371" t="s">
        <v>18102</v>
      </c>
      <c r="L8371" t="s">
        <v>27250</v>
      </c>
      <c r="M8371" t="s">
        <v>27251</v>
      </c>
      <c r="N8371" t="s">
        <v>27252</v>
      </c>
      <c r="Q8371" s="1">
        <v>44846</v>
      </c>
      <c r="R8371" t="s">
        <v>27253</v>
      </c>
      <c r="S8371" t="s">
        <v>27254</v>
      </c>
      <c r="T8371" t="s">
        <v>27265</v>
      </c>
    </row>
    <row r="8372" spans="1:20" x14ac:dyDescent="0.3">
      <c r="A8372" t="str">
        <f>"0611863382050"</f>
        <v>0611863382050</v>
      </c>
      <c r="B8372" t="str">
        <f>"CR4407"</f>
        <v>CR4407</v>
      </c>
      <c r="C8372" t="s">
        <v>43468</v>
      </c>
      <c r="D8372" t="s">
        <v>27263</v>
      </c>
      <c r="E8372" t="str">
        <f t="shared" si="130"/>
        <v>001390</v>
      </c>
      <c r="F8372" t="s">
        <v>27246</v>
      </c>
      <c r="G8372" t="s">
        <v>27247</v>
      </c>
      <c r="H8372" t="s">
        <v>27248</v>
      </c>
      <c r="I8372" t="s">
        <v>43469</v>
      </c>
      <c r="J8372" t="s">
        <v>18104</v>
      </c>
      <c r="L8372" t="s">
        <v>27250</v>
      </c>
      <c r="M8372" t="s">
        <v>27251</v>
      </c>
      <c r="N8372" t="s">
        <v>27252</v>
      </c>
      <c r="Q8372" s="1">
        <v>44846</v>
      </c>
      <c r="R8372" t="s">
        <v>27253</v>
      </c>
      <c r="S8372" t="s">
        <v>27254</v>
      </c>
      <c r="T8372" t="s">
        <v>27265</v>
      </c>
    </row>
    <row r="8373" spans="1:20" x14ac:dyDescent="0.3">
      <c r="A8373" t="str">
        <f>"0611863383050"</f>
        <v>0611863383050</v>
      </c>
      <c r="B8373" t="str">
        <f>"CR4408"</f>
        <v>CR4408</v>
      </c>
      <c r="C8373" t="s">
        <v>43470</v>
      </c>
      <c r="D8373" t="s">
        <v>27263</v>
      </c>
      <c r="E8373" t="str">
        <f t="shared" si="130"/>
        <v>001390</v>
      </c>
      <c r="F8373" t="s">
        <v>27246</v>
      </c>
      <c r="G8373" t="s">
        <v>27247</v>
      </c>
      <c r="H8373" t="s">
        <v>27248</v>
      </c>
      <c r="I8373" t="s">
        <v>43471</v>
      </c>
      <c r="J8373" t="s">
        <v>18106</v>
      </c>
      <c r="L8373" t="s">
        <v>27250</v>
      </c>
      <c r="M8373" t="s">
        <v>27251</v>
      </c>
      <c r="N8373" t="s">
        <v>27252</v>
      </c>
      <c r="Q8373" s="1">
        <v>44846</v>
      </c>
      <c r="R8373" t="s">
        <v>27253</v>
      </c>
      <c r="S8373" t="s">
        <v>27254</v>
      </c>
      <c r="T8373" t="s">
        <v>27265</v>
      </c>
    </row>
    <row r="8374" spans="1:20" x14ac:dyDescent="0.3">
      <c r="A8374" t="str">
        <f>"0611863384050"</f>
        <v>0611863384050</v>
      </c>
      <c r="B8374" t="str">
        <f>"CR4409"</f>
        <v>CR4409</v>
      </c>
      <c r="C8374" t="s">
        <v>43472</v>
      </c>
      <c r="D8374" t="s">
        <v>27263</v>
      </c>
      <c r="E8374" t="str">
        <f t="shared" si="130"/>
        <v>001390</v>
      </c>
      <c r="F8374" t="s">
        <v>27246</v>
      </c>
      <c r="G8374" t="s">
        <v>27247</v>
      </c>
      <c r="H8374" t="s">
        <v>27248</v>
      </c>
      <c r="I8374" t="s">
        <v>43473</v>
      </c>
      <c r="J8374" t="s">
        <v>18108</v>
      </c>
      <c r="L8374" t="s">
        <v>27250</v>
      </c>
      <c r="M8374" t="s">
        <v>27251</v>
      </c>
      <c r="N8374" t="s">
        <v>27252</v>
      </c>
      <c r="Q8374" s="1">
        <v>44846</v>
      </c>
      <c r="R8374" t="s">
        <v>27253</v>
      </c>
      <c r="S8374" t="s">
        <v>27254</v>
      </c>
      <c r="T8374" t="s">
        <v>27265</v>
      </c>
    </row>
    <row r="8375" spans="1:20" x14ac:dyDescent="0.3">
      <c r="A8375" t="str">
        <f>"0611863385050"</f>
        <v>0611863385050</v>
      </c>
      <c r="B8375" t="str">
        <f>"CR4410"</f>
        <v>CR4410</v>
      </c>
      <c r="C8375" t="s">
        <v>43474</v>
      </c>
      <c r="D8375" t="s">
        <v>27263</v>
      </c>
      <c r="E8375" t="str">
        <f t="shared" si="130"/>
        <v>001390</v>
      </c>
      <c r="F8375" t="s">
        <v>27246</v>
      </c>
      <c r="G8375" t="s">
        <v>27247</v>
      </c>
      <c r="H8375" t="s">
        <v>27248</v>
      </c>
      <c r="I8375" t="s">
        <v>43475</v>
      </c>
      <c r="J8375" t="s">
        <v>18110</v>
      </c>
      <c r="L8375" t="s">
        <v>27250</v>
      </c>
      <c r="M8375" t="s">
        <v>27251</v>
      </c>
      <c r="N8375" t="s">
        <v>27252</v>
      </c>
      <c r="Q8375" s="1">
        <v>44846</v>
      </c>
      <c r="R8375" t="s">
        <v>27253</v>
      </c>
      <c r="S8375" t="s">
        <v>27254</v>
      </c>
      <c r="T8375" t="s">
        <v>27265</v>
      </c>
    </row>
    <row r="8376" spans="1:20" x14ac:dyDescent="0.3">
      <c r="A8376" t="str">
        <f>"0611863386050"</f>
        <v>0611863386050</v>
      </c>
      <c r="B8376" t="str">
        <f>"CR4411"</f>
        <v>CR4411</v>
      </c>
      <c r="C8376" t="s">
        <v>43476</v>
      </c>
      <c r="D8376" t="s">
        <v>27263</v>
      </c>
      <c r="E8376" t="str">
        <f t="shared" si="130"/>
        <v>001390</v>
      </c>
      <c r="F8376" t="s">
        <v>27246</v>
      </c>
      <c r="G8376" t="s">
        <v>27247</v>
      </c>
      <c r="H8376" t="s">
        <v>27248</v>
      </c>
      <c r="I8376" t="s">
        <v>43477</v>
      </c>
      <c r="J8376" t="s">
        <v>18112</v>
      </c>
      <c r="L8376" t="s">
        <v>27250</v>
      </c>
      <c r="M8376" t="s">
        <v>27251</v>
      </c>
      <c r="N8376" t="s">
        <v>27252</v>
      </c>
      <c r="Q8376" s="1">
        <v>44846</v>
      </c>
      <c r="R8376" t="s">
        <v>27253</v>
      </c>
      <c r="S8376" t="s">
        <v>27254</v>
      </c>
      <c r="T8376" t="s">
        <v>27265</v>
      </c>
    </row>
    <row r="8377" spans="1:20" x14ac:dyDescent="0.3">
      <c r="A8377" t="str">
        <f>"0611863387050"</f>
        <v>0611863387050</v>
      </c>
      <c r="B8377" t="str">
        <f>"CR4412"</f>
        <v>CR4412</v>
      </c>
      <c r="C8377" t="s">
        <v>43478</v>
      </c>
      <c r="D8377" t="s">
        <v>27263</v>
      </c>
      <c r="E8377" t="str">
        <f t="shared" si="130"/>
        <v>001390</v>
      </c>
      <c r="F8377" t="s">
        <v>27246</v>
      </c>
      <c r="G8377" t="s">
        <v>27247</v>
      </c>
      <c r="H8377" t="s">
        <v>27248</v>
      </c>
      <c r="I8377" t="s">
        <v>43479</v>
      </c>
      <c r="J8377" t="s">
        <v>18114</v>
      </c>
      <c r="L8377" t="s">
        <v>27250</v>
      </c>
      <c r="M8377" t="s">
        <v>27251</v>
      </c>
      <c r="N8377" t="s">
        <v>27252</v>
      </c>
      <c r="Q8377" s="1">
        <v>44846</v>
      </c>
      <c r="R8377" t="s">
        <v>27253</v>
      </c>
      <c r="S8377" t="s">
        <v>27254</v>
      </c>
      <c r="T8377" t="s">
        <v>27265</v>
      </c>
    </row>
    <row r="8378" spans="1:20" x14ac:dyDescent="0.3">
      <c r="A8378" t="str">
        <f>"0611837126025"</f>
        <v>0611837126025</v>
      </c>
      <c r="B8378" t="str">
        <f>"MC2027"</f>
        <v>MC2027</v>
      </c>
      <c r="C8378" t="s">
        <v>43480</v>
      </c>
      <c r="D8378" t="s">
        <v>27267</v>
      </c>
      <c r="E8378" t="str">
        <f t="shared" si="130"/>
        <v>001390</v>
      </c>
      <c r="F8378" t="s">
        <v>27246</v>
      </c>
      <c r="G8378" t="s">
        <v>27247</v>
      </c>
      <c r="H8378" t="s">
        <v>27248</v>
      </c>
      <c r="I8378" t="s">
        <v>43481</v>
      </c>
      <c r="J8378" t="s">
        <v>18094</v>
      </c>
      <c r="L8378" t="s">
        <v>27250</v>
      </c>
      <c r="M8378" t="s">
        <v>27251</v>
      </c>
      <c r="N8378" t="s">
        <v>27252</v>
      </c>
      <c r="Q8378" s="1">
        <v>44538</v>
      </c>
      <c r="R8378" t="s">
        <v>27253</v>
      </c>
      <c r="S8378" t="s">
        <v>27254</v>
      </c>
      <c r="T8378" t="s">
        <v>27269</v>
      </c>
    </row>
    <row r="8379" spans="1:20" x14ac:dyDescent="0.3">
      <c r="A8379" t="str">
        <f>"0611837127025"</f>
        <v>0611837127025</v>
      </c>
      <c r="B8379" t="str">
        <f>"MC3773"</f>
        <v>MC3773</v>
      </c>
      <c r="C8379" t="s">
        <v>43482</v>
      </c>
      <c r="D8379" t="s">
        <v>27267</v>
      </c>
      <c r="E8379" t="str">
        <f t="shared" si="130"/>
        <v>001390</v>
      </c>
      <c r="F8379" t="s">
        <v>27246</v>
      </c>
      <c r="G8379" t="s">
        <v>27247</v>
      </c>
      <c r="H8379" t="s">
        <v>27248</v>
      </c>
      <c r="I8379" t="s">
        <v>43483</v>
      </c>
      <c r="J8379" t="s">
        <v>18092</v>
      </c>
      <c r="L8379" t="s">
        <v>27250</v>
      </c>
      <c r="M8379" t="s">
        <v>27251</v>
      </c>
      <c r="N8379" t="s">
        <v>27252</v>
      </c>
      <c r="O8379">
        <v>25</v>
      </c>
      <c r="Q8379" s="1">
        <v>44538</v>
      </c>
      <c r="R8379" t="s">
        <v>27253</v>
      </c>
      <c r="S8379" t="s">
        <v>27254</v>
      </c>
      <c r="T8379" t="s">
        <v>27269</v>
      </c>
    </row>
    <row r="8380" spans="1:20" x14ac:dyDescent="0.3">
      <c r="A8380" t="str">
        <f>"0611837128025"</f>
        <v>0611837128025</v>
      </c>
      <c r="B8380" t="str">
        <f>"MC0562"</f>
        <v>MC0562</v>
      </c>
      <c r="C8380" t="s">
        <v>43484</v>
      </c>
      <c r="D8380" t="s">
        <v>27267</v>
      </c>
      <c r="E8380" t="str">
        <f t="shared" si="130"/>
        <v>001390</v>
      </c>
      <c r="F8380" t="s">
        <v>27246</v>
      </c>
      <c r="G8380" t="s">
        <v>27247</v>
      </c>
      <c r="H8380" t="s">
        <v>27248</v>
      </c>
      <c r="I8380" t="s">
        <v>43485</v>
      </c>
      <c r="J8380" t="s">
        <v>18116</v>
      </c>
      <c r="L8380" t="s">
        <v>27250</v>
      </c>
      <c r="M8380" t="s">
        <v>27251</v>
      </c>
      <c r="N8380" t="s">
        <v>27252</v>
      </c>
      <c r="Q8380" s="1">
        <v>44538</v>
      </c>
      <c r="R8380" t="s">
        <v>27253</v>
      </c>
      <c r="S8380" t="s">
        <v>27254</v>
      </c>
      <c r="T8380" t="s">
        <v>27269</v>
      </c>
    </row>
    <row r="8381" spans="1:20" x14ac:dyDescent="0.3">
      <c r="A8381" t="str">
        <f>"0611837129025"</f>
        <v>0611837129025</v>
      </c>
      <c r="B8381" t="str">
        <f>"MC0563"</f>
        <v>MC0563</v>
      </c>
      <c r="C8381" t="s">
        <v>43486</v>
      </c>
      <c r="D8381" t="s">
        <v>27267</v>
      </c>
      <c r="E8381" t="str">
        <f t="shared" si="130"/>
        <v>001390</v>
      </c>
      <c r="F8381" t="s">
        <v>27246</v>
      </c>
      <c r="G8381" t="s">
        <v>27247</v>
      </c>
      <c r="H8381" t="s">
        <v>27248</v>
      </c>
      <c r="I8381" t="s">
        <v>43487</v>
      </c>
      <c r="J8381" t="s">
        <v>18118</v>
      </c>
      <c r="L8381" t="s">
        <v>27250</v>
      </c>
      <c r="M8381" t="s">
        <v>27251</v>
      </c>
      <c r="N8381" t="s">
        <v>27252</v>
      </c>
      <c r="Q8381" s="1">
        <v>44538</v>
      </c>
      <c r="R8381" t="s">
        <v>27253</v>
      </c>
      <c r="S8381" t="s">
        <v>27254</v>
      </c>
      <c r="T8381" t="s">
        <v>27269</v>
      </c>
    </row>
    <row r="8382" spans="1:20" x14ac:dyDescent="0.3">
      <c r="A8382" t="str">
        <f>"0611837130025"</f>
        <v>0611837130025</v>
      </c>
      <c r="B8382" t="str">
        <f>"MC1312"</f>
        <v>MC1312</v>
      </c>
      <c r="C8382" t="s">
        <v>43488</v>
      </c>
      <c r="D8382" t="s">
        <v>27267</v>
      </c>
      <c r="E8382" t="str">
        <f t="shared" si="130"/>
        <v>001390</v>
      </c>
      <c r="F8382" t="s">
        <v>27246</v>
      </c>
      <c r="G8382" t="s">
        <v>27247</v>
      </c>
      <c r="H8382" t="s">
        <v>27248</v>
      </c>
      <c r="I8382" t="s">
        <v>43489</v>
      </c>
      <c r="J8382" t="s">
        <v>18120</v>
      </c>
      <c r="L8382" t="s">
        <v>27250</v>
      </c>
      <c r="M8382" t="s">
        <v>27251</v>
      </c>
      <c r="N8382" t="s">
        <v>27252</v>
      </c>
      <c r="Q8382" s="1">
        <v>44538</v>
      </c>
      <c r="R8382" t="s">
        <v>27253</v>
      </c>
      <c r="S8382" t="s">
        <v>27254</v>
      </c>
      <c r="T8382" t="s">
        <v>27269</v>
      </c>
    </row>
    <row r="8383" spans="1:20" x14ac:dyDescent="0.3">
      <c r="A8383" t="str">
        <f>"0611837131025"</f>
        <v>0611837131025</v>
      </c>
      <c r="B8383" t="str">
        <f>"MC0564"</f>
        <v>MC0564</v>
      </c>
      <c r="C8383" t="s">
        <v>43490</v>
      </c>
      <c r="D8383" t="s">
        <v>27267</v>
      </c>
      <c r="E8383" t="str">
        <f t="shared" si="130"/>
        <v>001390</v>
      </c>
      <c r="F8383" t="s">
        <v>27246</v>
      </c>
      <c r="G8383" t="s">
        <v>27247</v>
      </c>
      <c r="H8383" t="s">
        <v>27248</v>
      </c>
      <c r="I8383" t="s">
        <v>43491</v>
      </c>
      <c r="J8383" t="s">
        <v>18122</v>
      </c>
      <c r="L8383" t="s">
        <v>27250</v>
      </c>
      <c r="M8383" t="s">
        <v>27251</v>
      </c>
      <c r="N8383" t="s">
        <v>27252</v>
      </c>
      <c r="Q8383" s="1">
        <v>44538</v>
      </c>
      <c r="R8383" t="s">
        <v>27253</v>
      </c>
      <c r="S8383" t="s">
        <v>27254</v>
      </c>
      <c r="T8383" t="s">
        <v>27269</v>
      </c>
    </row>
    <row r="8384" spans="1:20" x14ac:dyDescent="0.3">
      <c r="A8384" t="str">
        <f>"0611837132025"</f>
        <v>0611837132025</v>
      </c>
      <c r="B8384" t="str">
        <f>"MC1932"</f>
        <v>MC1932</v>
      </c>
      <c r="C8384" t="s">
        <v>43492</v>
      </c>
      <c r="D8384" t="s">
        <v>27267</v>
      </c>
      <c r="E8384" t="str">
        <f t="shared" si="130"/>
        <v>001390</v>
      </c>
      <c r="F8384" t="s">
        <v>27246</v>
      </c>
      <c r="G8384" t="s">
        <v>27247</v>
      </c>
      <c r="H8384" t="s">
        <v>27248</v>
      </c>
      <c r="I8384" t="s">
        <v>43493</v>
      </c>
      <c r="J8384" t="s">
        <v>16727</v>
      </c>
      <c r="L8384" t="s">
        <v>27250</v>
      </c>
      <c r="M8384" t="s">
        <v>27251</v>
      </c>
      <c r="N8384" t="s">
        <v>27252</v>
      </c>
      <c r="Q8384" s="1">
        <v>44538</v>
      </c>
      <c r="R8384" t="s">
        <v>27253</v>
      </c>
      <c r="S8384" t="s">
        <v>27254</v>
      </c>
      <c r="T8384" t="s">
        <v>27269</v>
      </c>
    </row>
    <row r="8385" spans="1:20" x14ac:dyDescent="0.3">
      <c r="A8385" t="str">
        <f>"0611837133025"</f>
        <v>0611837133025</v>
      </c>
      <c r="B8385" t="str">
        <f>"MC2711"</f>
        <v>MC2711</v>
      </c>
      <c r="C8385" t="s">
        <v>43494</v>
      </c>
      <c r="D8385" t="s">
        <v>27267</v>
      </c>
      <c r="E8385" t="str">
        <f t="shared" si="130"/>
        <v>001390</v>
      </c>
      <c r="F8385" t="s">
        <v>27246</v>
      </c>
      <c r="G8385" t="s">
        <v>27247</v>
      </c>
      <c r="H8385" t="s">
        <v>27248</v>
      </c>
      <c r="I8385" t="s">
        <v>43495</v>
      </c>
      <c r="J8385" t="s">
        <v>16729</v>
      </c>
      <c r="L8385" t="s">
        <v>27250</v>
      </c>
      <c r="M8385" t="s">
        <v>27251</v>
      </c>
      <c r="N8385" t="s">
        <v>27252</v>
      </c>
      <c r="Q8385" s="1">
        <v>44538</v>
      </c>
      <c r="R8385" t="s">
        <v>27253</v>
      </c>
      <c r="S8385" t="s">
        <v>27254</v>
      </c>
      <c r="T8385" t="s">
        <v>27269</v>
      </c>
    </row>
    <row r="8386" spans="1:20" x14ac:dyDescent="0.3">
      <c r="A8386" t="str">
        <f>"0611837134025"</f>
        <v>0611837134025</v>
      </c>
      <c r="B8386" t="str">
        <f>"MC3889"</f>
        <v>MC3889</v>
      </c>
      <c r="C8386" t="s">
        <v>43496</v>
      </c>
      <c r="D8386" t="s">
        <v>27267</v>
      </c>
      <c r="E8386" t="str">
        <f t="shared" ref="E8386:E8449" si="131">"001390"</f>
        <v>001390</v>
      </c>
      <c r="F8386" t="s">
        <v>27246</v>
      </c>
      <c r="G8386" t="s">
        <v>27247</v>
      </c>
      <c r="H8386" t="s">
        <v>27248</v>
      </c>
      <c r="I8386" t="s">
        <v>43497</v>
      </c>
      <c r="J8386" t="s">
        <v>16731</v>
      </c>
      <c r="L8386" t="s">
        <v>27250</v>
      </c>
      <c r="M8386" t="s">
        <v>27251</v>
      </c>
      <c r="N8386" t="s">
        <v>27252</v>
      </c>
      <c r="Q8386" s="1">
        <v>44538</v>
      </c>
      <c r="R8386" t="s">
        <v>27253</v>
      </c>
      <c r="S8386" t="s">
        <v>27254</v>
      </c>
      <c r="T8386" t="s">
        <v>27269</v>
      </c>
    </row>
    <row r="8387" spans="1:20" x14ac:dyDescent="0.3">
      <c r="A8387" t="str">
        <f>"0611840089100"</f>
        <v>0611840089100</v>
      </c>
      <c r="B8387" t="str">
        <f>"LK6158"</f>
        <v>LK6158</v>
      </c>
      <c r="C8387" t="s">
        <v>43498</v>
      </c>
      <c r="D8387" t="s">
        <v>27245</v>
      </c>
      <c r="E8387" t="str">
        <f t="shared" si="131"/>
        <v>001390</v>
      </c>
      <c r="F8387" t="s">
        <v>27246</v>
      </c>
      <c r="G8387" t="s">
        <v>27247</v>
      </c>
      <c r="H8387" t="s">
        <v>27248</v>
      </c>
      <c r="I8387" t="s">
        <v>43499</v>
      </c>
      <c r="J8387" t="s">
        <v>16733</v>
      </c>
      <c r="L8387" t="s">
        <v>27250</v>
      </c>
      <c r="M8387" t="s">
        <v>27251</v>
      </c>
      <c r="N8387" t="s">
        <v>27252</v>
      </c>
      <c r="Q8387" s="1">
        <v>44538</v>
      </c>
      <c r="R8387" t="s">
        <v>27253</v>
      </c>
      <c r="S8387" t="s">
        <v>27254</v>
      </c>
      <c r="T8387" t="s">
        <v>27255</v>
      </c>
    </row>
    <row r="8388" spans="1:20" x14ac:dyDescent="0.3">
      <c r="A8388" t="str">
        <f>"0611840090100"</f>
        <v>0611840090100</v>
      </c>
      <c r="B8388" t="str">
        <f>"LK6159"</f>
        <v>LK6159</v>
      </c>
      <c r="C8388" t="s">
        <v>43500</v>
      </c>
      <c r="D8388" t="s">
        <v>27245</v>
      </c>
      <c r="E8388" t="str">
        <f t="shared" si="131"/>
        <v>001390</v>
      </c>
      <c r="F8388" t="s">
        <v>27246</v>
      </c>
      <c r="G8388" t="s">
        <v>27247</v>
      </c>
      <c r="H8388" t="s">
        <v>27248</v>
      </c>
      <c r="I8388" t="s">
        <v>43501</v>
      </c>
      <c r="J8388" t="s">
        <v>16735</v>
      </c>
      <c r="L8388" t="s">
        <v>27250</v>
      </c>
      <c r="M8388" t="s">
        <v>27251</v>
      </c>
      <c r="N8388" t="s">
        <v>27252</v>
      </c>
      <c r="Q8388" s="1">
        <v>44538</v>
      </c>
      <c r="R8388" t="s">
        <v>27253</v>
      </c>
      <c r="S8388" t="s">
        <v>27254</v>
      </c>
      <c r="T8388" t="s">
        <v>27255</v>
      </c>
    </row>
    <row r="8389" spans="1:20" x14ac:dyDescent="0.3">
      <c r="A8389" t="str">
        <f>"0611840092100"</f>
        <v>0611840092100</v>
      </c>
      <c r="B8389" t="str">
        <f>"LK6161"</f>
        <v>LK6161</v>
      </c>
      <c r="C8389" t="s">
        <v>43502</v>
      </c>
      <c r="D8389" t="s">
        <v>27245</v>
      </c>
      <c r="E8389" t="str">
        <f t="shared" si="131"/>
        <v>001390</v>
      </c>
      <c r="F8389" t="s">
        <v>27246</v>
      </c>
      <c r="G8389" t="s">
        <v>27247</v>
      </c>
      <c r="H8389" t="s">
        <v>27248</v>
      </c>
      <c r="I8389" t="s">
        <v>43503</v>
      </c>
      <c r="J8389" t="s">
        <v>16737</v>
      </c>
      <c r="L8389" t="s">
        <v>27250</v>
      </c>
      <c r="M8389" t="s">
        <v>27251</v>
      </c>
      <c r="N8389" t="s">
        <v>27252</v>
      </c>
      <c r="Q8389" s="1">
        <v>44538</v>
      </c>
      <c r="R8389" t="s">
        <v>27253</v>
      </c>
      <c r="S8389" t="s">
        <v>27254</v>
      </c>
      <c r="T8389" t="s">
        <v>27255</v>
      </c>
    </row>
    <row r="8390" spans="1:20" x14ac:dyDescent="0.3">
      <c r="A8390" t="str">
        <f>"0611840093100"</f>
        <v>0611840093100</v>
      </c>
      <c r="B8390" t="str">
        <f>"LK6482"</f>
        <v>LK6482</v>
      </c>
      <c r="C8390" t="s">
        <v>43504</v>
      </c>
      <c r="D8390" t="s">
        <v>27245</v>
      </c>
      <c r="E8390" t="str">
        <f t="shared" si="131"/>
        <v>001390</v>
      </c>
      <c r="F8390" t="s">
        <v>27246</v>
      </c>
      <c r="G8390" t="s">
        <v>27247</v>
      </c>
      <c r="H8390" t="s">
        <v>27248</v>
      </c>
      <c r="I8390" t="s">
        <v>43505</v>
      </c>
      <c r="J8390" t="s">
        <v>16739</v>
      </c>
      <c r="L8390" t="s">
        <v>27250</v>
      </c>
      <c r="M8390" t="s">
        <v>27251</v>
      </c>
      <c r="N8390" t="s">
        <v>27252</v>
      </c>
      <c r="Q8390" s="1">
        <v>44538</v>
      </c>
      <c r="R8390" t="s">
        <v>27253</v>
      </c>
      <c r="S8390" t="s">
        <v>27254</v>
      </c>
      <c r="T8390" t="s">
        <v>27255</v>
      </c>
    </row>
    <row r="8391" spans="1:20" x14ac:dyDescent="0.3">
      <c r="A8391" t="str">
        <f>"0611840095100"</f>
        <v>0611840095100</v>
      </c>
      <c r="B8391" t="str">
        <f>"LK6670"</f>
        <v>LK6670</v>
      </c>
      <c r="C8391" t="s">
        <v>43506</v>
      </c>
      <c r="D8391" t="s">
        <v>27245</v>
      </c>
      <c r="E8391" t="str">
        <f t="shared" si="131"/>
        <v>001390</v>
      </c>
      <c r="F8391" t="s">
        <v>27246</v>
      </c>
      <c r="G8391" t="s">
        <v>27247</v>
      </c>
      <c r="H8391" t="s">
        <v>27248</v>
      </c>
      <c r="I8391" t="s">
        <v>43507</v>
      </c>
      <c r="J8391" t="s">
        <v>16741</v>
      </c>
      <c r="L8391" t="s">
        <v>27250</v>
      </c>
      <c r="M8391" t="s">
        <v>27251</v>
      </c>
      <c r="N8391" t="s">
        <v>27252</v>
      </c>
      <c r="Q8391" s="1">
        <v>44538</v>
      </c>
      <c r="R8391" t="s">
        <v>27253</v>
      </c>
      <c r="S8391" t="s">
        <v>27254</v>
      </c>
      <c r="T8391" t="s">
        <v>27255</v>
      </c>
    </row>
    <row r="8392" spans="1:20" x14ac:dyDescent="0.3">
      <c r="A8392" t="str">
        <f>"0611840096100"</f>
        <v>0611840096100</v>
      </c>
      <c r="B8392" t="str">
        <f>"LK6669"</f>
        <v>LK6669</v>
      </c>
      <c r="C8392" t="s">
        <v>43508</v>
      </c>
      <c r="D8392" t="s">
        <v>27245</v>
      </c>
      <c r="E8392" t="str">
        <f t="shared" si="131"/>
        <v>001390</v>
      </c>
      <c r="F8392" t="s">
        <v>27246</v>
      </c>
      <c r="G8392" t="s">
        <v>27247</v>
      </c>
      <c r="H8392" t="s">
        <v>27248</v>
      </c>
      <c r="I8392" t="s">
        <v>43509</v>
      </c>
      <c r="J8392" t="s">
        <v>16743</v>
      </c>
      <c r="L8392" t="s">
        <v>27250</v>
      </c>
      <c r="M8392" t="s">
        <v>27251</v>
      </c>
      <c r="N8392" t="s">
        <v>27252</v>
      </c>
      <c r="Q8392" s="1">
        <v>44538</v>
      </c>
      <c r="R8392" t="s">
        <v>27253</v>
      </c>
      <c r="S8392" t="s">
        <v>27254</v>
      </c>
      <c r="T8392" t="s">
        <v>27255</v>
      </c>
    </row>
    <row r="8393" spans="1:20" x14ac:dyDescent="0.3">
      <c r="A8393" t="str">
        <f>"0611840097100"</f>
        <v>0611840097100</v>
      </c>
      <c r="B8393" t="str">
        <f>"LK6483"</f>
        <v>LK6483</v>
      </c>
      <c r="C8393" t="s">
        <v>43510</v>
      </c>
      <c r="D8393" t="s">
        <v>27245</v>
      </c>
      <c r="E8393" t="str">
        <f t="shared" si="131"/>
        <v>001390</v>
      </c>
      <c r="F8393" t="s">
        <v>27246</v>
      </c>
      <c r="G8393" t="s">
        <v>27247</v>
      </c>
      <c r="H8393" t="s">
        <v>27248</v>
      </c>
      <c r="I8393" t="s">
        <v>43511</v>
      </c>
      <c r="J8393" t="s">
        <v>16745</v>
      </c>
      <c r="L8393" t="s">
        <v>27250</v>
      </c>
      <c r="M8393" t="s">
        <v>27251</v>
      </c>
      <c r="N8393" t="s">
        <v>27252</v>
      </c>
      <c r="Q8393" s="1">
        <v>44538</v>
      </c>
      <c r="R8393" t="s">
        <v>27253</v>
      </c>
      <c r="S8393" t="s">
        <v>27254</v>
      </c>
      <c r="T8393" t="s">
        <v>27255</v>
      </c>
    </row>
    <row r="8394" spans="1:20" x14ac:dyDescent="0.3">
      <c r="A8394" t="str">
        <f>"0611840100100"</f>
        <v>0611840100100</v>
      </c>
      <c r="B8394" t="str">
        <f>"LK6164"</f>
        <v>LK6164</v>
      </c>
      <c r="C8394" t="s">
        <v>43512</v>
      </c>
      <c r="D8394" t="s">
        <v>27245</v>
      </c>
      <c r="E8394" t="str">
        <f t="shared" si="131"/>
        <v>001390</v>
      </c>
      <c r="F8394" t="s">
        <v>27246</v>
      </c>
      <c r="G8394" t="s">
        <v>27247</v>
      </c>
      <c r="H8394" t="s">
        <v>27248</v>
      </c>
      <c r="I8394" t="s">
        <v>43513</v>
      </c>
      <c r="J8394" t="s">
        <v>16747</v>
      </c>
      <c r="L8394" t="s">
        <v>27250</v>
      </c>
      <c r="M8394" t="s">
        <v>27251</v>
      </c>
      <c r="N8394" t="s">
        <v>27252</v>
      </c>
      <c r="Q8394" s="1">
        <v>44538</v>
      </c>
      <c r="R8394" t="s">
        <v>27253</v>
      </c>
      <c r="S8394" t="s">
        <v>27254</v>
      </c>
      <c r="T8394" t="s">
        <v>27255</v>
      </c>
    </row>
    <row r="8395" spans="1:20" x14ac:dyDescent="0.3">
      <c r="A8395" t="str">
        <f>"0611840101100"</f>
        <v>0611840101100</v>
      </c>
      <c r="B8395" t="str">
        <f>"LK6485"</f>
        <v>LK6485</v>
      </c>
      <c r="C8395" t="s">
        <v>43514</v>
      </c>
      <c r="D8395" t="s">
        <v>27245</v>
      </c>
      <c r="E8395" t="str">
        <f t="shared" si="131"/>
        <v>001390</v>
      </c>
      <c r="F8395" t="s">
        <v>27246</v>
      </c>
      <c r="G8395" t="s">
        <v>27247</v>
      </c>
      <c r="H8395" t="s">
        <v>27248</v>
      </c>
      <c r="I8395" t="s">
        <v>43515</v>
      </c>
      <c r="J8395" t="s">
        <v>16749</v>
      </c>
      <c r="L8395" t="s">
        <v>27250</v>
      </c>
      <c r="M8395" t="s">
        <v>27251</v>
      </c>
      <c r="N8395" t="s">
        <v>27252</v>
      </c>
      <c r="Q8395" s="1">
        <v>44538</v>
      </c>
      <c r="R8395" t="s">
        <v>27253</v>
      </c>
      <c r="S8395" t="s">
        <v>27254</v>
      </c>
      <c r="T8395" t="s">
        <v>27255</v>
      </c>
    </row>
    <row r="8396" spans="1:20" x14ac:dyDescent="0.3">
      <c r="A8396" t="str">
        <f>"0611840102100"</f>
        <v>0611840102100</v>
      </c>
      <c r="B8396" t="str">
        <f>"LK6887"</f>
        <v>LK6887</v>
      </c>
      <c r="C8396" t="s">
        <v>43516</v>
      </c>
      <c r="D8396" t="s">
        <v>27245</v>
      </c>
      <c r="E8396" t="str">
        <f t="shared" si="131"/>
        <v>001390</v>
      </c>
      <c r="F8396" t="s">
        <v>27246</v>
      </c>
      <c r="G8396" t="s">
        <v>27247</v>
      </c>
      <c r="H8396" t="s">
        <v>27248</v>
      </c>
      <c r="I8396" t="s">
        <v>43517</v>
      </c>
      <c r="J8396" t="s">
        <v>16753</v>
      </c>
      <c r="L8396" t="s">
        <v>27250</v>
      </c>
      <c r="M8396" t="s">
        <v>27251</v>
      </c>
      <c r="N8396" t="s">
        <v>27252</v>
      </c>
      <c r="Q8396" s="1">
        <v>44538</v>
      </c>
      <c r="R8396" t="s">
        <v>27253</v>
      </c>
      <c r="S8396" t="s">
        <v>27254</v>
      </c>
      <c r="T8396" t="s">
        <v>27255</v>
      </c>
    </row>
    <row r="8397" spans="1:20" x14ac:dyDescent="0.3">
      <c r="A8397" t="str">
        <f>"0611840103100"</f>
        <v>0611840103100</v>
      </c>
      <c r="B8397" t="str">
        <f>"LK6165"</f>
        <v>LK6165</v>
      </c>
      <c r="C8397" t="s">
        <v>43518</v>
      </c>
      <c r="D8397" t="s">
        <v>27245</v>
      </c>
      <c r="E8397" t="str">
        <f t="shared" si="131"/>
        <v>001390</v>
      </c>
      <c r="F8397" t="s">
        <v>27246</v>
      </c>
      <c r="G8397" t="s">
        <v>27247</v>
      </c>
      <c r="H8397" t="s">
        <v>27248</v>
      </c>
      <c r="I8397" t="s">
        <v>43519</v>
      </c>
      <c r="J8397" t="s">
        <v>16751</v>
      </c>
      <c r="L8397" t="s">
        <v>27250</v>
      </c>
      <c r="M8397" t="s">
        <v>27251</v>
      </c>
      <c r="N8397" t="s">
        <v>27252</v>
      </c>
      <c r="Q8397" s="1">
        <v>44538</v>
      </c>
      <c r="R8397" t="s">
        <v>27253</v>
      </c>
      <c r="S8397" t="s">
        <v>27254</v>
      </c>
      <c r="T8397" t="s">
        <v>27255</v>
      </c>
    </row>
    <row r="8398" spans="1:20" x14ac:dyDescent="0.3">
      <c r="A8398" t="str">
        <f>"0611840107100"</f>
        <v>0611840107100</v>
      </c>
      <c r="B8398" t="str">
        <f>"LK6168"</f>
        <v>LK6168</v>
      </c>
      <c r="C8398" t="s">
        <v>43520</v>
      </c>
      <c r="D8398" t="s">
        <v>27245</v>
      </c>
      <c r="E8398" t="str">
        <f t="shared" si="131"/>
        <v>001390</v>
      </c>
      <c r="F8398" t="s">
        <v>27246</v>
      </c>
      <c r="G8398" t="s">
        <v>27247</v>
      </c>
      <c r="H8398" t="s">
        <v>27248</v>
      </c>
      <c r="I8398" t="s">
        <v>43521</v>
      </c>
      <c r="J8398" t="s">
        <v>16755</v>
      </c>
      <c r="L8398" t="s">
        <v>27250</v>
      </c>
      <c r="M8398" t="s">
        <v>27251</v>
      </c>
      <c r="N8398" t="s">
        <v>27252</v>
      </c>
      <c r="Q8398" s="1">
        <v>44538</v>
      </c>
      <c r="R8398" t="s">
        <v>27253</v>
      </c>
      <c r="S8398" t="s">
        <v>27254</v>
      </c>
      <c r="T8398" t="s">
        <v>27255</v>
      </c>
    </row>
    <row r="8399" spans="1:20" x14ac:dyDescent="0.3">
      <c r="A8399" t="str">
        <f>"0611840112100"</f>
        <v>0611840112100</v>
      </c>
      <c r="B8399" t="str">
        <f>"LK6173"</f>
        <v>LK6173</v>
      </c>
      <c r="C8399" t="s">
        <v>43522</v>
      </c>
      <c r="D8399" t="s">
        <v>27245</v>
      </c>
      <c r="E8399" t="str">
        <f t="shared" si="131"/>
        <v>001390</v>
      </c>
      <c r="F8399" t="s">
        <v>27246</v>
      </c>
      <c r="G8399" t="s">
        <v>27247</v>
      </c>
      <c r="H8399" t="s">
        <v>27248</v>
      </c>
      <c r="I8399" t="s">
        <v>43523</v>
      </c>
      <c r="J8399" t="s">
        <v>16757</v>
      </c>
      <c r="L8399" t="s">
        <v>27250</v>
      </c>
      <c r="M8399" t="s">
        <v>27251</v>
      </c>
      <c r="N8399" t="s">
        <v>27252</v>
      </c>
      <c r="Q8399" s="1">
        <v>44538</v>
      </c>
      <c r="R8399" t="s">
        <v>27253</v>
      </c>
      <c r="S8399" t="s">
        <v>27254</v>
      </c>
      <c r="T8399" t="s">
        <v>27255</v>
      </c>
    </row>
    <row r="8400" spans="1:20" x14ac:dyDescent="0.3">
      <c r="A8400" t="str">
        <f>"0611840115100"</f>
        <v>0611840115100</v>
      </c>
      <c r="B8400" t="str">
        <f>"LK5401"</f>
        <v>LK5401</v>
      </c>
      <c r="C8400" t="s">
        <v>43524</v>
      </c>
      <c r="D8400" t="s">
        <v>27245</v>
      </c>
      <c r="E8400" t="str">
        <f t="shared" si="131"/>
        <v>001390</v>
      </c>
      <c r="F8400" t="s">
        <v>27246</v>
      </c>
      <c r="G8400" t="s">
        <v>27247</v>
      </c>
      <c r="H8400" t="s">
        <v>27248</v>
      </c>
      <c r="I8400" t="s">
        <v>43525</v>
      </c>
      <c r="J8400" t="s">
        <v>16759</v>
      </c>
      <c r="L8400" t="s">
        <v>27250</v>
      </c>
      <c r="M8400" t="s">
        <v>27251</v>
      </c>
      <c r="N8400" t="s">
        <v>27252</v>
      </c>
      <c r="Q8400" s="1">
        <v>44538</v>
      </c>
      <c r="R8400" t="s">
        <v>27253</v>
      </c>
      <c r="S8400" t="s">
        <v>27254</v>
      </c>
      <c r="T8400" t="s">
        <v>27255</v>
      </c>
    </row>
    <row r="8401" spans="1:20" x14ac:dyDescent="0.3">
      <c r="A8401" t="str">
        <f>"0611840116100"</f>
        <v>0611840116100</v>
      </c>
      <c r="B8401" t="str">
        <f>"LB1906"</f>
        <v>LB1906</v>
      </c>
      <c r="C8401" t="s">
        <v>43526</v>
      </c>
      <c r="D8401" t="s">
        <v>27245</v>
      </c>
      <c r="E8401" t="str">
        <f t="shared" si="131"/>
        <v>001390</v>
      </c>
      <c r="F8401" t="s">
        <v>27246</v>
      </c>
      <c r="G8401" t="s">
        <v>27247</v>
      </c>
      <c r="H8401" t="s">
        <v>27248</v>
      </c>
      <c r="I8401" t="s">
        <v>43527</v>
      </c>
      <c r="J8401" t="s">
        <v>16761</v>
      </c>
      <c r="L8401" t="s">
        <v>27250</v>
      </c>
      <c r="M8401" t="s">
        <v>27251</v>
      </c>
      <c r="N8401" t="s">
        <v>27252</v>
      </c>
      <c r="Q8401" s="1">
        <v>44538</v>
      </c>
      <c r="R8401" t="s">
        <v>27253</v>
      </c>
      <c r="S8401" t="s">
        <v>27254</v>
      </c>
      <c r="T8401" t="s">
        <v>27255</v>
      </c>
    </row>
    <row r="8402" spans="1:20" x14ac:dyDescent="0.3">
      <c r="A8402" t="str">
        <f>"0611840117100"</f>
        <v>0611840117100</v>
      </c>
      <c r="B8402" t="str">
        <f>"LK6809"</f>
        <v>LK6809</v>
      </c>
      <c r="C8402" t="s">
        <v>43528</v>
      </c>
      <c r="D8402" t="s">
        <v>27245</v>
      </c>
      <c r="E8402" t="str">
        <f t="shared" si="131"/>
        <v>001390</v>
      </c>
      <c r="F8402" t="s">
        <v>27246</v>
      </c>
      <c r="G8402" t="s">
        <v>27247</v>
      </c>
      <c r="H8402" t="s">
        <v>27248</v>
      </c>
      <c r="I8402" t="s">
        <v>43529</v>
      </c>
      <c r="J8402" t="s">
        <v>16763</v>
      </c>
      <c r="L8402" t="s">
        <v>27250</v>
      </c>
      <c r="M8402" t="s">
        <v>27251</v>
      </c>
      <c r="N8402" t="s">
        <v>27252</v>
      </c>
      <c r="Q8402" s="1">
        <v>44538</v>
      </c>
      <c r="R8402" t="s">
        <v>27253</v>
      </c>
      <c r="S8402" t="s">
        <v>27254</v>
      </c>
      <c r="T8402" t="s">
        <v>27255</v>
      </c>
    </row>
    <row r="8403" spans="1:20" x14ac:dyDescent="0.3">
      <c r="A8403" t="str">
        <f>"0611840118100"</f>
        <v>0611840118100</v>
      </c>
      <c r="B8403" t="str">
        <f>"LS0089"</f>
        <v>LS0089</v>
      </c>
      <c r="C8403" t="s">
        <v>43530</v>
      </c>
      <c r="D8403" t="s">
        <v>27245</v>
      </c>
      <c r="E8403" t="str">
        <f t="shared" si="131"/>
        <v>001390</v>
      </c>
      <c r="F8403" t="s">
        <v>27246</v>
      </c>
      <c r="G8403" t="s">
        <v>27247</v>
      </c>
      <c r="H8403" t="s">
        <v>27248</v>
      </c>
      <c r="I8403" t="s">
        <v>43531</v>
      </c>
      <c r="J8403" t="s">
        <v>16769</v>
      </c>
      <c r="L8403" t="s">
        <v>27250</v>
      </c>
      <c r="M8403" t="s">
        <v>27251</v>
      </c>
      <c r="N8403" t="s">
        <v>27252</v>
      </c>
      <c r="Q8403" s="1">
        <v>44538</v>
      </c>
      <c r="R8403" t="s">
        <v>27253</v>
      </c>
      <c r="S8403" t="s">
        <v>27254</v>
      </c>
      <c r="T8403" t="s">
        <v>27255</v>
      </c>
    </row>
    <row r="8404" spans="1:20" x14ac:dyDescent="0.3">
      <c r="A8404" t="str">
        <f>"0611840120100"</f>
        <v>0611840120100</v>
      </c>
      <c r="B8404" t="str">
        <f>"LS0090"</f>
        <v>LS0090</v>
      </c>
      <c r="C8404" t="s">
        <v>43532</v>
      </c>
      <c r="D8404" t="s">
        <v>27245</v>
      </c>
      <c r="E8404" t="str">
        <f t="shared" si="131"/>
        <v>001390</v>
      </c>
      <c r="F8404" t="s">
        <v>27246</v>
      </c>
      <c r="G8404" t="s">
        <v>27247</v>
      </c>
      <c r="H8404" t="s">
        <v>27248</v>
      </c>
      <c r="I8404" t="s">
        <v>43533</v>
      </c>
      <c r="J8404" t="s">
        <v>16771</v>
      </c>
      <c r="L8404" t="s">
        <v>27250</v>
      </c>
      <c r="M8404" t="s">
        <v>27251</v>
      </c>
      <c r="N8404" t="s">
        <v>27252</v>
      </c>
      <c r="Q8404" s="1">
        <v>44538</v>
      </c>
      <c r="R8404" t="s">
        <v>27253</v>
      </c>
      <c r="S8404" t="s">
        <v>27254</v>
      </c>
      <c r="T8404" t="s">
        <v>27255</v>
      </c>
    </row>
    <row r="8405" spans="1:20" x14ac:dyDescent="0.3">
      <c r="A8405" t="str">
        <f>"0611840123100"</f>
        <v>0611840123100</v>
      </c>
      <c r="B8405" t="str">
        <f>"LS0088"</f>
        <v>LS0088</v>
      </c>
      <c r="C8405" t="s">
        <v>43534</v>
      </c>
      <c r="D8405" t="s">
        <v>27245</v>
      </c>
      <c r="E8405" t="str">
        <f t="shared" si="131"/>
        <v>001390</v>
      </c>
      <c r="F8405" t="s">
        <v>27246</v>
      </c>
      <c r="G8405" t="s">
        <v>27247</v>
      </c>
      <c r="H8405" t="s">
        <v>27248</v>
      </c>
      <c r="I8405" t="s">
        <v>43535</v>
      </c>
      <c r="J8405" t="s">
        <v>16765</v>
      </c>
      <c r="L8405" t="s">
        <v>27250</v>
      </c>
      <c r="M8405" t="s">
        <v>27251</v>
      </c>
      <c r="N8405" t="s">
        <v>27252</v>
      </c>
      <c r="Q8405" s="1">
        <v>44538</v>
      </c>
      <c r="R8405" t="s">
        <v>27253</v>
      </c>
      <c r="S8405" t="s">
        <v>27254</v>
      </c>
      <c r="T8405" t="s">
        <v>27255</v>
      </c>
    </row>
    <row r="8406" spans="1:20" x14ac:dyDescent="0.3">
      <c r="A8406" t="str">
        <f>"0611840124100"</f>
        <v>0611840124100</v>
      </c>
      <c r="B8406" t="str">
        <f>"LB9376"</f>
        <v>LB9376</v>
      </c>
      <c r="C8406" t="s">
        <v>43536</v>
      </c>
      <c r="D8406" t="s">
        <v>27245</v>
      </c>
      <c r="E8406" t="str">
        <f t="shared" si="131"/>
        <v>001390</v>
      </c>
      <c r="F8406" t="s">
        <v>27246</v>
      </c>
      <c r="G8406" t="s">
        <v>27247</v>
      </c>
      <c r="H8406" t="s">
        <v>27248</v>
      </c>
      <c r="I8406" t="s">
        <v>43537</v>
      </c>
      <c r="J8406" t="s">
        <v>16767</v>
      </c>
      <c r="L8406" t="s">
        <v>27250</v>
      </c>
      <c r="M8406" t="s">
        <v>27251</v>
      </c>
      <c r="N8406" t="s">
        <v>27252</v>
      </c>
      <c r="Q8406" s="1">
        <v>44538</v>
      </c>
      <c r="R8406" t="s">
        <v>27253</v>
      </c>
      <c r="S8406" t="s">
        <v>27254</v>
      </c>
      <c r="T8406" t="s">
        <v>27255</v>
      </c>
    </row>
    <row r="8407" spans="1:20" x14ac:dyDescent="0.3">
      <c r="A8407" t="str">
        <f>"0611840126100"</f>
        <v>0611840126100</v>
      </c>
      <c r="B8407" t="str">
        <f>"LK2905"</f>
        <v>LK2905</v>
      </c>
      <c r="C8407" t="s">
        <v>43538</v>
      </c>
      <c r="D8407" t="s">
        <v>27245</v>
      </c>
      <c r="E8407" t="str">
        <f t="shared" si="131"/>
        <v>001390</v>
      </c>
      <c r="F8407" t="s">
        <v>27246</v>
      </c>
      <c r="G8407" t="s">
        <v>27247</v>
      </c>
      <c r="H8407" t="s">
        <v>27248</v>
      </c>
      <c r="I8407" t="s">
        <v>43539</v>
      </c>
      <c r="J8407" t="s">
        <v>16773</v>
      </c>
      <c r="L8407" t="s">
        <v>27250</v>
      </c>
      <c r="M8407" t="s">
        <v>27251</v>
      </c>
      <c r="N8407" t="s">
        <v>27252</v>
      </c>
      <c r="Q8407" s="1">
        <v>44538</v>
      </c>
      <c r="R8407" t="s">
        <v>27253</v>
      </c>
      <c r="S8407" t="s">
        <v>27254</v>
      </c>
      <c r="T8407" t="s">
        <v>27255</v>
      </c>
    </row>
    <row r="8408" spans="1:20" x14ac:dyDescent="0.3">
      <c r="A8408" t="str">
        <f>"0611840127100"</f>
        <v>0611840127100</v>
      </c>
      <c r="B8408" t="str">
        <f>"LK1520"</f>
        <v>LK1520</v>
      </c>
      <c r="C8408" t="s">
        <v>43540</v>
      </c>
      <c r="D8408" t="s">
        <v>27245</v>
      </c>
      <c r="E8408" t="str">
        <f t="shared" si="131"/>
        <v>001390</v>
      </c>
      <c r="F8408" t="s">
        <v>27246</v>
      </c>
      <c r="G8408" t="s">
        <v>27247</v>
      </c>
      <c r="H8408" t="s">
        <v>27248</v>
      </c>
      <c r="I8408" t="s">
        <v>43541</v>
      </c>
      <c r="J8408" t="s">
        <v>16775</v>
      </c>
      <c r="L8408" t="s">
        <v>27250</v>
      </c>
      <c r="M8408" t="s">
        <v>27251</v>
      </c>
      <c r="N8408" t="s">
        <v>27252</v>
      </c>
      <c r="Q8408" s="1">
        <v>44538</v>
      </c>
      <c r="R8408" t="s">
        <v>27253</v>
      </c>
      <c r="S8408" t="s">
        <v>27254</v>
      </c>
      <c r="T8408" t="s">
        <v>27255</v>
      </c>
    </row>
    <row r="8409" spans="1:20" x14ac:dyDescent="0.3">
      <c r="A8409" t="str">
        <f>"0611840128100"</f>
        <v>0611840128100</v>
      </c>
      <c r="B8409" t="str">
        <f>"LK6648"</f>
        <v>LK6648</v>
      </c>
      <c r="C8409" t="s">
        <v>43542</v>
      </c>
      <c r="D8409" t="s">
        <v>27245</v>
      </c>
      <c r="E8409" t="str">
        <f t="shared" si="131"/>
        <v>001390</v>
      </c>
      <c r="F8409" t="s">
        <v>27246</v>
      </c>
      <c r="G8409" t="s">
        <v>27247</v>
      </c>
      <c r="H8409" t="s">
        <v>27248</v>
      </c>
      <c r="I8409" t="s">
        <v>43543</v>
      </c>
      <c r="J8409" t="s">
        <v>16777</v>
      </c>
      <c r="L8409" t="s">
        <v>27250</v>
      </c>
      <c r="M8409" t="s">
        <v>27251</v>
      </c>
      <c r="N8409" t="s">
        <v>27252</v>
      </c>
      <c r="Q8409" s="1">
        <v>44538</v>
      </c>
      <c r="R8409" t="s">
        <v>27253</v>
      </c>
      <c r="S8409" t="s">
        <v>27254</v>
      </c>
      <c r="T8409" t="s">
        <v>27255</v>
      </c>
    </row>
    <row r="8410" spans="1:20" x14ac:dyDescent="0.3">
      <c r="A8410" t="str">
        <f>"0611857041100"</f>
        <v>0611857041100</v>
      </c>
      <c r="B8410" t="str">
        <f>"LK7090"</f>
        <v>LK7090</v>
      </c>
      <c r="C8410" t="s">
        <v>43544</v>
      </c>
      <c r="D8410" t="s">
        <v>27245</v>
      </c>
      <c r="E8410" t="str">
        <f t="shared" si="131"/>
        <v>001390</v>
      </c>
      <c r="F8410" t="s">
        <v>27246</v>
      </c>
      <c r="G8410" t="s">
        <v>27247</v>
      </c>
      <c r="H8410" t="s">
        <v>27248</v>
      </c>
      <c r="I8410" t="s">
        <v>43545</v>
      </c>
      <c r="J8410" t="s">
        <v>16779</v>
      </c>
      <c r="L8410" t="s">
        <v>27250</v>
      </c>
      <c r="M8410" t="s">
        <v>27251</v>
      </c>
      <c r="N8410" t="s">
        <v>27252</v>
      </c>
      <c r="Q8410" s="1">
        <v>44812</v>
      </c>
      <c r="R8410" t="s">
        <v>27253</v>
      </c>
      <c r="S8410" t="s">
        <v>27254</v>
      </c>
      <c r="T8410" t="s">
        <v>27255</v>
      </c>
    </row>
    <row r="8411" spans="1:20" x14ac:dyDescent="0.3">
      <c r="A8411" t="str">
        <f>"0611857042100"</f>
        <v>0611857042100</v>
      </c>
      <c r="B8411" t="str">
        <f>"LK7091"</f>
        <v>LK7091</v>
      </c>
      <c r="C8411" t="s">
        <v>43546</v>
      </c>
      <c r="D8411" t="s">
        <v>27245</v>
      </c>
      <c r="E8411" t="str">
        <f t="shared" si="131"/>
        <v>001390</v>
      </c>
      <c r="F8411" t="s">
        <v>27246</v>
      </c>
      <c r="G8411" t="s">
        <v>27247</v>
      </c>
      <c r="H8411" t="s">
        <v>27248</v>
      </c>
      <c r="I8411" t="s">
        <v>43547</v>
      </c>
      <c r="J8411" t="s">
        <v>16781</v>
      </c>
      <c r="L8411" t="s">
        <v>27250</v>
      </c>
      <c r="M8411" t="s">
        <v>27251</v>
      </c>
      <c r="N8411" t="s">
        <v>27252</v>
      </c>
      <c r="Q8411" s="1">
        <v>44812</v>
      </c>
      <c r="R8411" t="s">
        <v>27253</v>
      </c>
      <c r="S8411" t="s">
        <v>27254</v>
      </c>
      <c r="T8411" t="s">
        <v>27255</v>
      </c>
    </row>
    <row r="8412" spans="1:20" x14ac:dyDescent="0.3">
      <c r="A8412" t="str">
        <f>"0611857043100"</f>
        <v>0611857043100</v>
      </c>
      <c r="B8412" t="str">
        <f>"LK7092"</f>
        <v>LK7092</v>
      </c>
      <c r="C8412" t="s">
        <v>43548</v>
      </c>
      <c r="D8412" t="s">
        <v>27245</v>
      </c>
      <c r="E8412" t="str">
        <f t="shared" si="131"/>
        <v>001390</v>
      </c>
      <c r="F8412" t="s">
        <v>27246</v>
      </c>
      <c r="G8412" t="s">
        <v>27247</v>
      </c>
      <c r="H8412" t="s">
        <v>27248</v>
      </c>
      <c r="I8412" t="s">
        <v>43549</v>
      </c>
      <c r="J8412" t="s">
        <v>16783</v>
      </c>
      <c r="L8412" t="s">
        <v>27250</v>
      </c>
      <c r="M8412" t="s">
        <v>27251</v>
      </c>
      <c r="N8412" t="s">
        <v>27252</v>
      </c>
      <c r="Q8412" s="1">
        <v>44812</v>
      </c>
      <c r="R8412" t="s">
        <v>27253</v>
      </c>
      <c r="S8412" t="s">
        <v>27254</v>
      </c>
      <c r="T8412" t="s">
        <v>27255</v>
      </c>
    </row>
    <row r="8413" spans="1:20" x14ac:dyDescent="0.3">
      <c r="A8413" t="str">
        <f>"0611857044100"</f>
        <v>0611857044100</v>
      </c>
      <c r="B8413" t="str">
        <f>"LK7093"</f>
        <v>LK7093</v>
      </c>
      <c r="C8413" t="s">
        <v>43550</v>
      </c>
      <c r="D8413" t="s">
        <v>27245</v>
      </c>
      <c r="E8413" t="str">
        <f t="shared" si="131"/>
        <v>001390</v>
      </c>
      <c r="F8413" t="s">
        <v>27246</v>
      </c>
      <c r="G8413" t="s">
        <v>27247</v>
      </c>
      <c r="H8413" t="s">
        <v>27248</v>
      </c>
      <c r="I8413" t="s">
        <v>43551</v>
      </c>
      <c r="J8413" t="s">
        <v>16785</v>
      </c>
      <c r="L8413" t="s">
        <v>27250</v>
      </c>
      <c r="M8413" t="s">
        <v>27251</v>
      </c>
      <c r="N8413" t="s">
        <v>27252</v>
      </c>
      <c r="Q8413" s="1">
        <v>44812</v>
      </c>
      <c r="R8413" t="s">
        <v>27253</v>
      </c>
      <c r="S8413" t="s">
        <v>27254</v>
      </c>
      <c r="T8413" t="s">
        <v>27255</v>
      </c>
    </row>
    <row r="8414" spans="1:20" x14ac:dyDescent="0.3">
      <c r="A8414" t="str">
        <f>"0611857045100"</f>
        <v>0611857045100</v>
      </c>
      <c r="B8414" t="str">
        <f>"LK7094"</f>
        <v>LK7094</v>
      </c>
      <c r="C8414" t="s">
        <v>43552</v>
      </c>
      <c r="D8414" t="s">
        <v>27245</v>
      </c>
      <c r="E8414" t="str">
        <f t="shared" si="131"/>
        <v>001390</v>
      </c>
      <c r="F8414" t="s">
        <v>27246</v>
      </c>
      <c r="G8414" t="s">
        <v>27247</v>
      </c>
      <c r="H8414" t="s">
        <v>27248</v>
      </c>
      <c r="I8414" t="s">
        <v>43553</v>
      </c>
      <c r="J8414" t="s">
        <v>16787</v>
      </c>
      <c r="L8414" t="s">
        <v>27250</v>
      </c>
      <c r="M8414" t="s">
        <v>27251</v>
      </c>
      <c r="N8414" t="s">
        <v>27252</v>
      </c>
      <c r="Q8414" s="1">
        <v>44812</v>
      </c>
      <c r="R8414" t="s">
        <v>27253</v>
      </c>
      <c r="S8414" t="s">
        <v>27254</v>
      </c>
      <c r="T8414" t="s">
        <v>27255</v>
      </c>
    </row>
    <row r="8415" spans="1:20" x14ac:dyDescent="0.3">
      <c r="A8415" t="str">
        <f>"0611864304050"</f>
        <v>0611864304050</v>
      </c>
      <c r="B8415" t="str">
        <f>"CR4524"</f>
        <v>CR4524</v>
      </c>
      <c r="C8415" t="s">
        <v>43554</v>
      </c>
      <c r="D8415" t="s">
        <v>27286</v>
      </c>
      <c r="E8415" t="str">
        <f t="shared" si="131"/>
        <v>001390</v>
      </c>
      <c r="F8415" t="s">
        <v>27246</v>
      </c>
      <c r="G8415" t="s">
        <v>27247</v>
      </c>
      <c r="H8415" t="s">
        <v>27248</v>
      </c>
      <c r="I8415" t="s">
        <v>43555</v>
      </c>
      <c r="J8415" t="s">
        <v>16791</v>
      </c>
      <c r="L8415" t="s">
        <v>27250</v>
      </c>
      <c r="M8415" t="s">
        <v>27251</v>
      </c>
      <c r="N8415" t="s">
        <v>27252</v>
      </c>
      <c r="Q8415" s="1">
        <v>44846</v>
      </c>
      <c r="R8415" t="s">
        <v>27253</v>
      </c>
      <c r="S8415" t="s">
        <v>27254</v>
      </c>
      <c r="T8415" t="s">
        <v>27265</v>
      </c>
    </row>
    <row r="8416" spans="1:20" x14ac:dyDescent="0.3">
      <c r="A8416" t="str">
        <f>"0611864305100"</f>
        <v>0611864305100</v>
      </c>
      <c r="B8416" t="str">
        <f>"CN5427"</f>
        <v>CN5427</v>
      </c>
      <c r="C8416" t="s">
        <v>43556</v>
      </c>
      <c r="D8416" t="s">
        <v>27335</v>
      </c>
      <c r="E8416" t="str">
        <f t="shared" si="131"/>
        <v>001390</v>
      </c>
      <c r="F8416" t="s">
        <v>27246</v>
      </c>
      <c r="G8416" t="s">
        <v>27247</v>
      </c>
      <c r="H8416" t="s">
        <v>27248</v>
      </c>
      <c r="I8416" t="s">
        <v>43557</v>
      </c>
      <c r="J8416" t="s">
        <v>16789</v>
      </c>
      <c r="L8416" t="s">
        <v>27250</v>
      </c>
      <c r="M8416" t="s">
        <v>27251</v>
      </c>
      <c r="N8416" t="s">
        <v>27252</v>
      </c>
      <c r="Q8416" s="1">
        <v>44846</v>
      </c>
      <c r="R8416" t="s">
        <v>27253</v>
      </c>
      <c r="S8416" t="s">
        <v>27254</v>
      </c>
      <c r="T8416" t="s">
        <v>27255</v>
      </c>
    </row>
    <row r="8417" spans="1:20" x14ac:dyDescent="0.3">
      <c r="A8417" t="str">
        <f>"0611864306100"</f>
        <v>0611864306100</v>
      </c>
      <c r="B8417" t="str">
        <f>"CN5428"</f>
        <v>CN5428</v>
      </c>
      <c r="C8417" t="s">
        <v>43558</v>
      </c>
      <c r="D8417" t="s">
        <v>27335</v>
      </c>
      <c r="E8417" t="str">
        <f t="shared" si="131"/>
        <v>001390</v>
      </c>
      <c r="F8417" t="s">
        <v>27246</v>
      </c>
      <c r="G8417" t="s">
        <v>27247</v>
      </c>
      <c r="H8417" t="s">
        <v>27248</v>
      </c>
      <c r="I8417" t="s">
        <v>43559</v>
      </c>
      <c r="J8417" t="s">
        <v>16793</v>
      </c>
      <c r="L8417" t="s">
        <v>27250</v>
      </c>
      <c r="M8417" t="s">
        <v>27251</v>
      </c>
      <c r="N8417" t="s">
        <v>27252</v>
      </c>
      <c r="Q8417" s="1">
        <v>44846</v>
      </c>
      <c r="R8417" t="s">
        <v>27253</v>
      </c>
      <c r="S8417" t="s">
        <v>27254</v>
      </c>
      <c r="T8417" t="s">
        <v>27255</v>
      </c>
    </row>
    <row r="8418" spans="1:20" x14ac:dyDescent="0.3">
      <c r="A8418" t="str">
        <f>"0611864307100"</f>
        <v>0611864307100</v>
      </c>
      <c r="B8418" t="str">
        <f>"CN5429"</f>
        <v>CN5429</v>
      </c>
      <c r="C8418" t="s">
        <v>43560</v>
      </c>
      <c r="D8418" t="s">
        <v>27335</v>
      </c>
      <c r="E8418" t="str">
        <f t="shared" si="131"/>
        <v>001390</v>
      </c>
      <c r="F8418" t="s">
        <v>27246</v>
      </c>
      <c r="G8418" t="s">
        <v>27247</v>
      </c>
      <c r="H8418" t="s">
        <v>27248</v>
      </c>
      <c r="I8418" t="s">
        <v>43561</v>
      </c>
      <c r="J8418" t="s">
        <v>16795</v>
      </c>
      <c r="L8418" t="s">
        <v>27250</v>
      </c>
      <c r="M8418" t="s">
        <v>27251</v>
      </c>
      <c r="N8418" t="s">
        <v>27252</v>
      </c>
      <c r="Q8418" s="1">
        <v>44846</v>
      </c>
      <c r="R8418" t="s">
        <v>27253</v>
      </c>
      <c r="S8418" t="s">
        <v>27254</v>
      </c>
      <c r="T8418" t="s">
        <v>27255</v>
      </c>
    </row>
    <row r="8419" spans="1:20" x14ac:dyDescent="0.3">
      <c r="A8419" t="str">
        <f>"0611864308050"</f>
        <v>0611864308050</v>
      </c>
      <c r="B8419" t="str">
        <f>"CR4525"</f>
        <v>CR4525</v>
      </c>
      <c r="C8419" t="s">
        <v>43562</v>
      </c>
      <c r="D8419" t="s">
        <v>27286</v>
      </c>
      <c r="E8419" t="str">
        <f t="shared" si="131"/>
        <v>001390</v>
      </c>
      <c r="F8419" t="s">
        <v>27246</v>
      </c>
      <c r="G8419" t="s">
        <v>27247</v>
      </c>
      <c r="H8419" t="s">
        <v>27248</v>
      </c>
      <c r="I8419" t="s">
        <v>43563</v>
      </c>
      <c r="J8419" t="s">
        <v>16797</v>
      </c>
      <c r="L8419" t="s">
        <v>27250</v>
      </c>
      <c r="M8419" t="s">
        <v>27251</v>
      </c>
      <c r="N8419" t="s">
        <v>27252</v>
      </c>
      <c r="Q8419" s="1">
        <v>44846</v>
      </c>
      <c r="R8419" t="s">
        <v>27253</v>
      </c>
      <c r="S8419" t="s">
        <v>27254</v>
      </c>
      <c r="T8419" t="s">
        <v>27265</v>
      </c>
    </row>
    <row r="8420" spans="1:20" x14ac:dyDescent="0.3">
      <c r="A8420" t="str">
        <f>"0611840129100"</f>
        <v>0611840129100</v>
      </c>
      <c r="B8420" t="str">
        <f>"LK5290"</f>
        <v>LK5290</v>
      </c>
      <c r="C8420" t="s">
        <v>43564</v>
      </c>
      <c r="D8420" t="s">
        <v>27245</v>
      </c>
      <c r="E8420" t="str">
        <f t="shared" si="131"/>
        <v>001390</v>
      </c>
      <c r="F8420" t="s">
        <v>27246</v>
      </c>
      <c r="G8420" t="s">
        <v>27247</v>
      </c>
      <c r="H8420" t="s">
        <v>27248</v>
      </c>
      <c r="I8420" t="s">
        <v>43565</v>
      </c>
      <c r="J8420" t="s">
        <v>16799</v>
      </c>
      <c r="L8420" t="s">
        <v>27250</v>
      </c>
      <c r="M8420" t="s">
        <v>27251</v>
      </c>
      <c r="N8420" t="s">
        <v>27252</v>
      </c>
      <c r="Q8420" s="1">
        <v>44538</v>
      </c>
      <c r="R8420" t="s">
        <v>27253</v>
      </c>
      <c r="S8420" t="s">
        <v>27254</v>
      </c>
      <c r="T8420" t="s">
        <v>27255</v>
      </c>
    </row>
    <row r="8421" spans="1:20" x14ac:dyDescent="0.3">
      <c r="A8421" t="str">
        <f>"0611840130100"</f>
        <v>0611840130100</v>
      </c>
      <c r="B8421" t="str">
        <f>"LK7042"</f>
        <v>LK7042</v>
      </c>
      <c r="C8421" t="s">
        <v>43566</v>
      </c>
      <c r="D8421" t="s">
        <v>27245</v>
      </c>
      <c r="E8421" t="str">
        <f t="shared" si="131"/>
        <v>001390</v>
      </c>
      <c r="F8421" t="s">
        <v>27246</v>
      </c>
      <c r="G8421" t="s">
        <v>27247</v>
      </c>
      <c r="H8421" t="s">
        <v>27248</v>
      </c>
      <c r="I8421" t="s">
        <v>43567</v>
      </c>
      <c r="J8421" t="s">
        <v>16801</v>
      </c>
      <c r="L8421" t="s">
        <v>27250</v>
      </c>
      <c r="M8421" t="s">
        <v>27251</v>
      </c>
      <c r="N8421" t="s">
        <v>27252</v>
      </c>
      <c r="Q8421" s="1">
        <v>44538</v>
      </c>
      <c r="R8421" t="s">
        <v>27253</v>
      </c>
      <c r="S8421" t="s">
        <v>27254</v>
      </c>
      <c r="T8421" t="s">
        <v>27255</v>
      </c>
    </row>
    <row r="8422" spans="1:20" x14ac:dyDescent="0.3">
      <c r="A8422" t="str">
        <f>"0611840131100"</f>
        <v>0611840131100</v>
      </c>
      <c r="B8422" t="str">
        <f>"LK5577"</f>
        <v>LK5577</v>
      </c>
      <c r="C8422" t="s">
        <v>43568</v>
      </c>
      <c r="D8422" t="s">
        <v>27245</v>
      </c>
      <c r="E8422" t="str">
        <f t="shared" si="131"/>
        <v>001390</v>
      </c>
      <c r="F8422" t="s">
        <v>27246</v>
      </c>
      <c r="G8422" t="s">
        <v>27247</v>
      </c>
      <c r="H8422" t="s">
        <v>27248</v>
      </c>
      <c r="I8422" t="s">
        <v>43569</v>
      </c>
      <c r="J8422" t="s">
        <v>16803</v>
      </c>
      <c r="L8422" t="s">
        <v>27250</v>
      </c>
      <c r="M8422" t="s">
        <v>27251</v>
      </c>
      <c r="N8422" t="s">
        <v>27252</v>
      </c>
      <c r="Q8422" s="1">
        <v>44538</v>
      </c>
      <c r="R8422" t="s">
        <v>27253</v>
      </c>
      <c r="S8422" t="s">
        <v>27254</v>
      </c>
      <c r="T8422" t="s">
        <v>27255</v>
      </c>
    </row>
    <row r="8423" spans="1:20" x14ac:dyDescent="0.3">
      <c r="A8423" t="str">
        <f>"0611840132100"</f>
        <v>0611840132100</v>
      </c>
      <c r="B8423" t="str">
        <f>"LK6486"</f>
        <v>LK6486</v>
      </c>
      <c r="C8423" t="s">
        <v>43570</v>
      </c>
      <c r="D8423" t="s">
        <v>27245</v>
      </c>
      <c r="E8423" t="str">
        <f t="shared" si="131"/>
        <v>001390</v>
      </c>
      <c r="F8423" t="s">
        <v>27246</v>
      </c>
      <c r="G8423" t="s">
        <v>27247</v>
      </c>
      <c r="H8423" t="s">
        <v>27248</v>
      </c>
      <c r="I8423" t="s">
        <v>43571</v>
      </c>
      <c r="J8423" t="s">
        <v>16805</v>
      </c>
      <c r="L8423" t="s">
        <v>27250</v>
      </c>
      <c r="M8423" t="s">
        <v>27251</v>
      </c>
      <c r="N8423" t="s">
        <v>27252</v>
      </c>
      <c r="Q8423" s="1">
        <v>44538</v>
      </c>
      <c r="R8423" t="s">
        <v>27253</v>
      </c>
      <c r="S8423" t="s">
        <v>27254</v>
      </c>
      <c r="T8423" t="s">
        <v>27255</v>
      </c>
    </row>
    <row r="8424" spans="1:20" x14ac:dyDescent="0.3">
      <c r="A8424" t="str">
        <f>"0611840133100"</f>
        <v>0611840133100</v>
      </c>
      <c r="B8424" t="str">
        <f>"LK5578"</f>
        <v>LK5578</v>
      </c>
      <c r="C8424" t="s">
        <v>43572</v>
      </c>
      <c r="D8424" t="s">
        <v>27245</v>
      </c>
      <c r="E8424" t="str">
        <f t="shared" si="131"/>
        <v>001390</v>
      </c>
      <c r="F8424" t="s">
        <v>27246</v>
      </c>
      <c r="G8424" t="s">
        <v>27247</v>
      </c>
      <c r="H8424" t="s">
        <v>27248</v>
      </c>
      <c r="I8424" t="s">
        <v>43573</v>
      </c>
      <c r="J8424" t="s">
        <v>16807</v>
      </c>
      <c r="L8424" t="s">
        <v>27250</v>
      </c>
      <c r="M8424" t="s">
        <v>27251</v>
      </c>
      <c r="N8424" t="s">
        <v>27252</v>
      </c>
      <c r="Q8424" s="1">
        <v>44538</v>
      </c>
      <c r="R8424" t="s">
        <v>27253</v>
      </c>
      <c r="S8424" t="s">
        <v>27254</v>
      </c>
      <c r="T8424" t="s">
        <v>27255</v>
      </c>
    </row>
    <row r="8425" spans="1:20" x14ac:dyDescent="0.3">
      <c r="A8425" t="str">
        <f>"0611840134100"</f>
        <v>0611840134100</v>
      </c>
      <c r="B8425" t="str">
        <f>"LK5584"</f>
        <v>LK5584</v>
      </c>
      <c r="C8425" t="s">
        <v>43574</v>
      </c>
      <c r="D8425" t="s">
        <v>27245</v>
      </c>
      <c r="E8425" t="str">
        <f t="shared" si="131"/>
        <v>001390</v>
      </c>
      <c r="F8425" t="s">
        <v>27246</v>
      </c>
      <c r="G8425" t="s">
        <v>27247</v>
      </c>
      <c r="H8425" t="s">
        <v>27248</v>
      </c>
      <c r="I8425" t="s">
        <v>43575</v>
      </c>
      <c r="J8425" t="s">
        <v>16809</v>
      </c>
      <c r="L8425" t="s">
        <v>27250</v>
      </c>
      <c r="M8425" t="s">
        <v>27251</v>
      </c>
      <c r="N8425" t="s">
        <v>27252</v>
      </c>
      <c r="Q8425" s="1">
        <v>44538</v>
      </c>
      <c r="R8425" t="s">
        <v>27253</v>
      </c>
      <c r="S8425" t="s">
        <v>27254</v>
      </c>
      <c r="T8425" t="s">
        <v>27255</v>
      </c>
    </row>
    <row r="8426" spans="1:20" x14ac:dyDescent="0.3">
      <c r="A8426" t="str">
        <f>"0611840135100"</f>
        <v>0611840135100</v>
      </c>
      <c r="B8426" t="str">
        <f>"LK5579"</f>
        <v>LK5579</v>
      </c>
      <c r="C8426" t="s">
        <v>43576</v>
      </c>
      <c r="D8426" t="s">
        <v>27245</v>
      </c>
      <c r="E8426" t="str">
        <f t="shared" si="131"/>
        <v>001390</v>
      </c>
      <c r="F8426" t="s">
        <v>27246</v>
      </c>
      <c r="G8426" t="s">
        <v>27247</v>
      </c>
      <c r="H8426" t="s">
        <v>27248</v>
      </c>
      <c r="I8426" t="s">
        <v>43577</v>
      </c>
      <c r="J8426" t="s">
        <v>16811</v>
      </c>
      <c r="L8426" t="s">
        <v>27250</v>
      </c>
      <c r="M8426" t="s">
        <v>27251</v>
      </c>
      <c r="N8426" t="s">
        <v>27252</v>
      </c>
      <c r="Q8426" s="1">
        <v>44538</v>
      </c>
      <c r="R8426" t="s">
        <v>27253</v>
      </c>
      <c r="S8426" t="s">
        <v>27254</v>
      </c>
      <c r="T8426" t="s">
        <v>27255</v>
      </c>
    </row>
    <row r="8427" spans="1:20" x14ac:dyDescent="0.3">
      <c r="A8427" t="str">
        <f>"0611840136100"</f>
        <v>0611840136100</v>
      </c>
      <c r="B8427" t="str">
        <f>"LK5580"</f>
        <v>LK5580</v>
      </c>
      <c r="C8427" t="s">
        <v>43578</v>
      </c>
      <c r="D8427" t="s">
        <v>27245</v>
      </c>
      <c r="E8427" t="str">
        <f t="shared" si="131"/>
        <v>001390</v>
      </c>
      <c r="F8427" t="s">
        <v>27246</v>
      </c>
      <c r="G8427" t="s">
        <v>27247</v>
      </c>
      <c r="H8427" t="s">
        <v>27248</v>
      </c>
      <c r="I8427" t="s">
        <v>43579</v>
      </c>
      <c r="J8427" t="s">
        <v>16813</v>
      </c>
      <c r="L8427" t="s">
        <v>27250</v>
      </c>
      <c r="M8427" t="s">
        <v>27251</v>
      </c>
      <c r="N8427" t="s">
        <v>27252</v>
      </c>
      <c r="Q8427" s="1">
        <v>44538</v>
      </c>
      <c r="R8427" t="s">
        <v>27253</v>
      </c>
      <c r="S8427" t="s">
        <v>27254</v>
      </c>
      <c r="T8427" t="s">
        <v>27255</v>
      </c>
    </row>
    <row r="8428" spans="1:20" x14ac:dyDescent="0.3">
      <c r="A8428" t="str">
        <f>"0611840137100"</f>
        <v>0611840137100</v>
      </c>
      <c r="B8428" t="str">
        <f>"LK5581"</f>
        <v>LK5581</v>
      </c>
      <c r="C8428" t="s">
        <v>43580</v>
      </c>
      <c r="D8428" t="s">
        <v>27245</v>
      </c>
      <c r="E8428" t="str">
        <f t="shared" si="131"/>
        <v>001390</v>
      </c>
      <c r="F8428" t="s">
        <v>27246</v>
      </c>
      <c r="G8428" t="s">
        <v>27247</v>
      </c>
      <c r="H8428" t="s">
        <v>27248</v>
      </c>
      <c r="I8428" t="s">
        <v>43581</v>
      </c>
      <c r="J8428" t="s">
        <v>16815</v>
      </c>
      <c r="L8428" t="s">
        <v>27250</v>
      </c>
      <c r="M8428" t="s">
        <v>27251</v>
      </c>
      <c r="N8428" t="s">
        <v>27252</v>
      </c>
      <c r="Q8428" s="1">
        <v>44538</v>
      </c>
      <c r="R8428" t="s">
        <v>27253</v>
      </c>
      <c r="S8428" t="s">
        <v>27254</v>
      </c>
      <c r="T8428" t="s">
        <v>27255</v>
      </c>
    </row>
    <row r="8429" spans="1:20" x14ac:dyDescent="0.3">
      <c r="A8429" t="str">
        <f>"0611840138100"</f>
        <v>0611840138100</v>
      </c>
      <c r="B8429" t="str">
        <f>"LK6487"</f>
        <v>LK6487</v>
      </c>
      <c r="C8429" t="s">
        <v>43582</v>
      </c>
      <c r="D8429" t="s">
        <v>27245</v>
      </c>
      <c r="E8429" t="str">
        <f t="shared" si="131"/>
        <v>001390</v>
      </c>
      <c r="F8429" t="s">
        <v>27246</v>
      </c>
      <c r="G8429" t="s">
        <v>27247</v>
      </c>
      <c r="H8429" t="s">
        <v>27248</v>
      </c>
      <c r="I8429" t="s">
        <v>43583</v>
      </c>
      <c r="J8429" t="s">
        <v>16817</v>
      </c>
      <c r="L8429" t="s">
        <v>27250</v>
      </c>
      <c r="M8429" t="s">
        <v>27251</v>
      </c>
      <c r="N8429" t="s">
        <v>27252</v>
      </c>
      <c r="Q8429" s="1">
        <v>44538</v>
      </c>
      <c r="R8429" t="s">
        <v>27253</v>
      </c>
      <c r="S8429" t="s">
        <v>27254</v>
      </c>
      <c r="T8429" t="s">
        <v>27255</v>
      </c>
    </row>
    <row r="8430" spans="1:20" x14ac:dyDescent="0.3">
      <c r="A8430" t="str">
        <f>"0611840139100"</f>
        <v>0611840139100</v>
      </c>
      <c r="B8430" t="str">
        <f>"LK5582"</f>
        <v>LK5582</v>
      </c>
      <c r="C8430" t="s">
        <v>43584</v>
      </c>
      <c r="D8430" t="s">
        <v>27245</v>
      </c>
      <c r="E8430" t="str">
        <f t="shared" si="131"/>
        <v>001390</v>
      </c>
      <c r="F8430" t="s">
        <v>27246</v>
      </c>
      <c r="G8430" t="s">
        <v>27247</v>
      </c>
      <c r="H8430" t="s">
        <v>27248</v>
      </c>
      <c r="I8430" t="s">
        <v>43585</v>
      </c>
      <c r="J8430" t="s">
        <v>16819</v>
      </c>
      <c r="L8430" t="s">
        <v>27250</v>
      </c>
      <c r="M8430" t="s">
        <v>27251</v>
      </c>
      <c r="N8430" t="s">
        <v>27252</v>
      </c>
      <c r="Q8430" s="1">
        <v>44538</v>
      </c>
      <c r="R8430" t="s">
        <v>27253</v>
      </c>
      <c r="S8430" t="s">
        <v>27254</v>
      </c>
      <c r="T8430" t="s">
        <v>27255</v>
      </c>
    </row>
    <row r="8431" spans="1:20" x14ac:dyDescent="0.3">
      <c r="A8431" t="str">
        <f>"0611840140100"</f>
        <v>0611840140100</v>
      </c>
      <c r="B8431" t="str">
        <f>"LK5583"</f>
        <v>LK5583</v>
      </c>
      <c r="C8431" t="s">
        <v>43586</v>
      </c>
      <c r="D8431" t="s">
        <v>27245</v>
      </c>
      <c r="E8431" t="str">
        <f t="shared" si="131"/>
        <v>001390</v>
      </c>
      <c r="F8431" t="s">
        <v>27246</v>
      </c>
      <c r="G8431" t="s">
        <v>27247</v>
      </c>
      <c r="H8431" t="s">
        <v>27248</v>
      </c>
      <c r="I8431" t="s">
        <v>43587</v>
      </c>
      <c r="J8431" t="s">
        <v>16821</v>
      </c>
      <c r="L8431" t="s">
        <v>27250</v>
      </c>
      <c r="M8431" t="s">
        <v>27251</v>
      </c>
      <c r="N8431" t="s">
        <v>27252</v>
      </c>
      <c r="Q8431" s="1">
        <v>44538</v>
      </c>
      <c r="R8431" t="s">
        <v>27253</v>
      </c>
      <c r="S8431" t="s">
        <v>27254</v>
      </c>
      <c r="T8431" t="s">
        <v>27255</v>
      </c>
    </row>
    <row r="8432" spans="1:20" x14ac:dyDescent="0.3">
      <c r="A8432" t="str">
        <f>"0611840141100"</f>
        <v>0611840141100</v>
      </c>
      <c r="B8432" t="str">
        <f>"LK5585"</f>
        <v>LK5585</v>
      </c>
      <c r="C8432" t="s">
        <v>43588</v>
      </c>
      <c r="D8432" t="s">
        <v>27245</v>
      </c>
      <c r="E8432" t="str">
        <f t="shared" si="131"/>
        <v>001390</v>
      </c>
      <c r="F8432" t="s">
        <v>27246</v>
      </c>
      <c r="G8432" t="s">
        <v>27247</v>
      </c>
      <c r="H8432" t="s">
        <v>27248</v>
      </c>
      <c r="I8432" t="s">
        <v>43589</v>
      </c>
      <c r="J8432" t="s">
        <v>16823</v>
      </c>
      <c r="L8432" t="s">
        <v>27250</v>
      </c>
      <c r="M8432" t="s">
        <v>27251</v>
      </c>
      <c r="N8432" t="s">
        <v>27252</v>
      </c>
      <c r="Q8432" s="1">
        <v>44538</v>
      </c>
      <c r="R8432" t="s">
        <v>27253</v>
      </c>
      <c r="S8432" t="s">
        <v>27254</v>
      </c>
      <c r="T8432" t="s">
        <v>27255</v>
      </c>
    </row>
    <row r="8433" spans="1:20" x14ac:dyDescent="0.3">
      <c r="A8433" t="str">
        <f>"0611840142100"</f>
        <v>0611840142100</v>
      </c>
      <c r="B8433" t="str">
        <f>"LK6488"</f>
        <v>LK6488</v>
      </c>
      <c r="C8433" t="s">
        <v>43590</v>
      </c>
      <c r="D8433" t="s">
        <v>27245</v>
      </c>
      <c r="E8433" t="str">
        <f t="shared" si="131"/>
        <v>001390</v>
      </c>
      <c r="F8433" t="s">
        <v>27246</v>
      </c>
      <c r="G8433" t="s">
        <v>27247</v>
      </c>
      <c r="H8433" t="s">
        <v>27248</v>
      </c>
      <c r="I8433" t="s">
        <v>43591</v>
      </c>
      <c r="J8433" t="s">
        <v>16827</v>
      </c>
      <c r="L8433" t="s">
        <v>27250</v>
      </c>
      <c r="M8433" t="s">
        <v>27251</v>
      </c>
      <c r="N8433" t="s">
        <v>27252</v>
      </c>
      <c r="Q8433" s="1">
        <v>44538</v>
      </c>
      <c r="R8433" t="s">
        <v>27253</v>
      </c>
      <c r="S8433" t="s">
        <v>27254</v>
      </c>
      <c r="T8433" t="s">
        <v>27255</v>
      </c>
    </row>
    <row r="8434" spans="1:20" x14ac:dyDescent="0.3">
      <c r="A8434" t="str">
        <f>"0611840143100"</f>
        <v>0611840143100</v>
      </c>
      <c r="B8434" t="str">
        <f>"LK5586"</f>
        <v>LK5586</v>
      </c>
      <c r="C8434" t="s">
        <v>43592</v>
      </c>
      <c r="D8434" t="s">
        <v>27245</v>
      </c>
      <c r="E8434" t="str">
        <f t="shared" si="131"/>
        <v>001390</v>
      </c>
      <c r="F8434" t="s">
        <v>27246</v>
      </c>
      <c r="G8434" t="s">
        <v>27247</v>
      </c>
      <c r="H8434" t="s">
        <v>27248</v>
      </c>
      <c r="I8434" t="s">
        <v>43593</v>
      </c>
      <c r="J8434" t="s">
        <v>16825</v>
      </c>
      <c r="L8434" t="s">
        <v>27250</v>
      </c>
      <c r="M8434" t="s">
        <v>27251</v>
      </c>
      <c r="N8434" t="s">
        <v>27252</v>
      </c>
      <c r="Q8434" s="1">
        <v>44538</v>
      </c>
      <c r="R8434" t="s">
        <v>27253</v>
      </c>
      <c r="S8434" t="s">
        <v>27254</v>
      </c>
      <c r="T8434" t="s">
        <v>27255</v>
      </c>
    </row>
    <row r="8435" spans="1:20" x14ac:dyDescent="0.3">
      <c r="A8435" t="str">
        <f>"0611857181100"</f>
        <v>0611857181100</v>
      </c>
      <c r="B8435" t="str">
        <f>"LK7115"</f>
        <v>LK7115</v>
      </c>
      <c r="C8435" t="s">
        <v>43594</v>
      </c>
      <c r="D8435" t="s">
        <v>27245</v>
      </c>
      <c r="E8435" t="str">
        <f t="shared" si="131"/>
        <v>001390</v>
      </c>
      <c r="F8435" t="s">
        <v>27246</v>
      </c>
      <c r="G8435" t="s">
        <v>27247</v>
      </c>
      <c r="H8435" t="s">
        <v>27248</v>
      </c>
      <c r="I8435" t="s">
        <v>43595</v>
      </c>
      <c r="J8435" t="s">
        <v>16829</v>
      </c>
      <c r="L8435" t="s">
        <v>27250</v>
      </c>
      <c r="M8435" t="s">
        <v>27251</v>
      </c>
      <c r="N8435" t="s">
        <v>27252</v>
      </c>
      <c r="Q8435" s="1">
        <v>44812</v>
      </c>
      <c r="R8435" t="s">
        <v>27253</v>
      </c>
      <c r="S8435" t="s">
        <v>27254</v>
      </c>
      <c r="T8435" t="s">
        <v>27255</v>
      </c>
    </row>
    <row r="8436" spans="1:20" x14ac:dyDescent="0.3">
      <c r="A8436" t="str">
        <f>"0611840144100"</f>
        <v>0611840144100</v>
      </c>
      <c r="B8436" t="str">
        <f>"LK5587"</f>
        <v>LK5587</v>
      </c>
      <c r="C8436" t="s">
        <v>43596</v>
      </c>
      <c r="D8436" t="s">
        <v>27245</v>
      </c>
      <c r="E8436" t="str">
        <f t="shared" si="131"/>
        <v>001390</v>
      </c>
      <c r="F8436" t="s">
        <v>27246</v>
      </c>
      <c r="G8436" t="s">
        <v>27247</v>
      </c>
      <c r="H8436" t="s">
        <v>27248</v>
      </c>
      <c r="I8436" t="s">
        <v>43597</v>
      </c>
      <c r="J8436" t="s">
        <v>16831</v>
      </c>
      <c r="L8436" t="s">
        <v>27250</v>
      </c>
      <c r="M8436" t="s">
        <v>27251</v>
      </c>
      <c r="N8436" t="s">
        <v>27252</v>
      </c>
      <c r="Q8436" s="1">
        <v>44538</v>
      </c>
      <c r="R8436" t="s">
        <v>27253</v>
      </c>
      <c r="S8436" t="s">
        <v>27254</v>
      </c>
      <c r="T8436" t="s">
        <v>27255</v>
      </c>
    </row>
    <row r="8437" spans="1:20" x14ac:dyDescent="0.3">
      <c r="A8437" t="str">
        <f>"0611840145100"</f>
        <v>0611840145100</v>
      </c>
      <c r="B8437" t="str">
        <f>"LB5917"</f>
        <v>LB5917</v>
      </c>
      <c r="C8437" t="s">
        <v>43598</v>
      </c>
      <c r="D8437" t="s">
        <v>27245</v>
      </c>
      <c r="E8437" t="str">
        <f t="shared" si="131"/>
        <v>001390</v>
      </c>
      <c r="F8437" t="s">
        <v>27246</v>
      </c>
      <c r="G8437" t="s">
        <v>27247</v>
      </c>
      <c r="H8437" t="s">
        <v>27248</v>
      </c>
      <c r="I8437" t="s">
        <v>43599</v>
      </c>
      <c r="J8437" t="s">
        <v>16833</v>
      </c>
      <c r="L8437" t="s">
        <v>27250</v>
      </c>
      <c r="M8437" t="s">
        <v>27251</v>
      </c>
      <c r="N8437" t="s">
        <v>27252</v>
      </c>
      <c r="Q8437" s="1">
        <v>44538</v>
      </c>
      <c r="R8437" t="s">
        <v>27253</v>
      </c>
      <c r="S8437" t="s">
        <v>27254</v>
      </c>
      <c r="T8437" t="s">
        <v>27255</v>
      </c>
    </row>
    <row r="8438" spans="1:20" x14ac:dyDescent="0.3">
      <c r="A8438" t="str">
        <f>"0611840146100"</f>
        <v>0611840146100</v>
      </c>
      <c r="B8438" t="str">
        <f>"LK4427"</f>
        <v>LK4427</v>
      </c>
      <c r="C8438" t="s">
        <v>43600</v>
      </c>
      <c r="D8438" t="s">
        <v>28138</v>
      </c>
      <c r="E8438" t="str">
        <f t="shared" si="131"/>
        <v>001390</v>
      </c>
      <c r="F8438" t="s">
        <v>27246</v>
      </c>
      <c r="G8438" t="s">
        <v>27247</v>
      </c>
      <c r="H8438" t="s">
        <v>27248</v>
      </c>
      <c r="I8438" t="s">
        <v>43601</v>
      </c>
      <c r="J8438" t="s">
        <v>16835</v>
      </c>
      <c r="L8438" t="s">
        <v>27250</v>
      </c>
      <c r="M8438" t="s">
        <v>27251</v>
      </c>
      <c r="N8438" t="s">
        <v>27252</v>
      </c>
      <c r="P8438" t="s">
        <v>27925</v>
      </c>
      <c r="Q8438" s="1">
        <v>44538</v>
      </c>
      <c r="R8438" t="s">
        <v>27253</v>
      </c>
      <c r="S8438" t="s">
        <v>27254</v>
      </c>
      <c r="T8438" t="s">
        <v>27255</v>
      </c>
    </row>
    <row r="8439" spans="1:20" x14ac:dyDescent="0.3">
      <c r="A8439" t="str">
        <f>"0611840147100"</f>
        <v>0611840147100</v>
      </c>
      <c r="B8439" t="str">
        <f>"LB1908"</f>
        <v>LB1908</v>
      </c>
      <c r="C8439" t="s">
        <v>43602</v>
      </c>
      <c r="D8439" t="s">
        <v>28138</v>
      </c>
      <c r="E8439" t="str">
        <f t="shared" si="131"/>
        <v>001390</v>
      </c>
      <c r="F8439" t="s">
        <v>27246</v>
      </c>
      <c r="G8439" t="s">
        <v>27247</v>
      </c>
      <c r="H8439" t="s">
        <v>27248</v>
      </c>
      <c r="I8439" t="s">
        <v>43603</v>
      </c>
      <c r="J8439" t="s">
        <v>16837</v>
      </c>
      <c r="L8439" t="s">
        <v>27250</v>
      </c>
      <c r="M8439" t="s">
        <v>27251</v>
      </c>
      <c r="N8439" t="s">
        <v>27252</v>
      </c>
      <c r="P8439" t="s">
        <v>27925</v>
      </c>
      <c r="Q8439" s="1">
        <v>44538</v>
      </c>
      <c r="R8439" t="s">
        <v>27253</v>
      </c>
      <c r="S8439" t="s">
        <v>27254</v>
      </c>
      <c r="T8439" t="s">
        <v>27255</v>
      </c>
    </row>
    <row r="8440" spans="1:20" x14ac:dyDescent="0.3">
      <c r="A8440" t="str">
        <f>"0611840148100"</f>
        <v>0611840148100</v>
      </c>
      <c r="B8440" t="str">
        <f>"LK0246"</f>
        <v>LK0246</v>
      </c>
      <c r="C8440" t="s">
        <v>43604</v>
      </c>
      <c r="D8440" t="s">
        <v>28138</v>
      </c>
      <c r="E8440" t="str">
        <f t="shared" si="131"/>
        <v>001390</v>
      </c>
      <c r="F8440" t="s">
        <v>27246</v>
      </c>
      <c r="G8440" t="s">
        <v>27247</v>
      </c>
      <c r="H8440" t="s">
        <v>27248</v>
      </c>
      <c r="I8440" t="s">
        <v>43605</v>
      </c>
      <c r="J8440" t="s">
        <v>16839</v>
      </c>
      <c r="L8440" t="s">
        <v>27250</v>
      </c>
      <c r="M8440" t="s">
        <v>27251</v>
      </c>
      <c r="N8440" t="s">
        <v>27252</v>
      </c>
      <c r="P8440" t="s">
        <v>27925</v>
      </c>
      <c r="Q8440" s="1">
        <v>44538</v>
      </c>
      <c r="R8440" t="s">
        <v>27253</v>
      </c>
      <c r="S8440" t="s">
        <v>27254</v>
      </c>
      <c r="T8440" t="s">
        <v>27255</v>
      </c>
    </row>
    <row r="8441" spans="1:20" x14ac:dyDescent="0.3">
      <c r="A8441" t="str">
        <f>"0611840149100"</f>
        <v>0611840149100</v>
      </c>
      <c r="B8441" t="str">
        <f>"LK4857"</f>
        <v>LK4857</v>
      </c>
      <c r="C8441" t="s">
        <v>43606</v>
      </c>
      <c r="D8441" t="s">
        <v>28138</v>
      </c>
      <c r="E8441" t="str">
        <f t="shared" si="131"/>
        <v>001390</v>
      </c>
      <c r="F8441" t="s">
        <v>27246</v>
      </c>
      <c r="G8441" t="s">
        <v>27247</v>
      </c>
      <c r="H8441" t="s">
        <v>27248</v>
      </c>
      <c r="I8441" t="s">
        <v>43607</v>
      </c>
      <c r="J8441" t="s">
        <v>16841</v>
      </c>
      <c r="L8441" t="s">
        <v>27250</v>
      </c>
      <c r="M8441" t="s">
        <v>27251</v>
      </c>
      <c r="N8441" t="s">
        <v>27252</v>
      </c>
      <c r="P8441" t="s">
        <v>27925</v>
      </c>
      <c r="Q8441" s="1">
        <v>44538</v>
      </c>
      <c r="R8441" t="s">
        <v>27253</v>
      </c>
      <c r="S8441" t="s">
        <v>27254</v>
      </c>
      <c r="T8441" t="s">
        <v>27255</v>
      </c>
    </row>
    <row r="8442" spans="1:20" x14ac:dyDescent="0.3">
      <c r="A8442" t="str">
        <f>"0611840150100"</f>
        <v>0611840150100</v>
      </c>
      <c r="B8442" t="str">
        <f>"LK4323"</f>
        <v>LK4323</v>
      </c>
      <c r="C8442" t="s">
        <v>43608</v>
      </c>
      <c r="D8442" t="s">
        <v>28138</v>
      </c>
      <c r="E8442" t="str">
        <f t="shared" si="131"/>
        <v>001390</v>
      </c>
      <c r="F8442" t="s">
        <v>27246</v>
      </c>
      <c r="G8442" t="s">
        <v>27247</v>
      </c>
      <c r="H8442" t="s">
        <v>27248</v>
      </c>
      <c r="I8442" t="s">
        <v>43609</v>
      </c>
      <c r="J8442" t="s">
        <v>16843</v>
      </c>
      <c r="L8442" t="s">
        <v>27250</v>
      </c>
      <c r="M8442" t="s">
        <v>27251</v>
      </c>
      <c r="N8442" t="s">
        <v>27252</v>
      </c>
      <c r="P8442" t="s">
        <v>27925</v>
      </c>
      <c r="Q8442" s="1">
        <v>44538</v>
      </c>
      <c r="R8442" t="s">
        <v>27253</v>
      </c>
      <c r="S8442" t="s">
        <v>27254</v>
      </c>
      <c r="T8442" t="s">
        <v>27255</v>
      </c>
    </row>
    <row r="8443" spans="1:20" x14ac:dyDescent="0.3">
      <c r="A8443" t="str">
        <f>"0611840151100"</f>
        <v>0611840151100</v>
      </c>
      <c r="B8443" t="str">
        <f>"LK3400"</f>
        <v>LK3400</v>
      </c>
      <c r="C8443" t="s">
        <v>43610</v>
      </c>
      <c r="D8443" t="s">
        <v>28138</v>
      </c>
      <c r="E8443" t="str">
        <f t="shared" si="131"/>
        <v>001390</v>
      </c>
      <c r="F8443" t="s">
        <v>27246</v>
      </c>
      <c r="G8443" t="s">
        <v>27247</v>
      </c>
      <c r="H8443" t="s">
        <v>27248</v>
      </c>
      <c r="I8443" t="s">
        <v>43611</v>
      </c>
      <c r="J8443" t="s">
        <v>16845</v>
      </c>
      <c r="L8443" t="s">
        <v>27250</v>
      </c>
      <c r="M8443" t="s">
        <v>27251</v>
      </c>
      <c r="N8443" t="s">
        <v>27252</v>
      </c>
      <c r="P8443" t="s">
        <v>27925</v>
      </c>
      <c r="Q8443" s="1">
        <v>44538</v>
      </c>
      <c r="R8443" t="s">
        <v>27253</v>
      </c>
      <c r="S8443" t="s">
        <v>27254</v>
      </c>
      <c r="T8443" t="s">
        <v>27255</v>
      </c>
    </row>
    <row r="8444" spans="1:20" x14ac:dyDescent="0.3">
      <c r="A8444" t="str">
        <f>"0611840152100"</f>
        <v>0611840152100</v>
      </c>
      <c r="B8444" t="str">
        <f>"LB1909"</f>
        <v>LB1909</v>
      </c>
      <c r="C8444" t="s">
        <v>43612</v>
      </c>
      <c r="D8444" t="s">
        <v>28138</v>
      </c>
      <c r="E8444" t="str">
        <f t="shared" si="131"/>
        <v>001390</v>
      </c>
      <c r="F8444" t="s">
        <v>27246</v>
      </c>
      <c r="G8444" t="s">
        <v>27247</v>
      </c>
      <c r="H8444" t="s">
        <v>27248</v>
      </c>
      <c r="I8444" t="s">
        <v>43613</v>
      </c>
      <c r="J8444" t="s">
        <v>16847</v>
      </c>
      <c r="L8444" t="s">
        <v>27250</v>
      </c>
      <c r="M8444" t="s">
        <v>27251</v>
      </c>
      <c r="N8444" t="s">
        <v>27252</v>
      </c>
      <c r="P8444" t="s">
        <v>27925</v>
      </c>
      <c r="Q8444" s="1">
        <v>44538</v>
      </c>
      <c r="R8444" t="s">
        <v>27253</v>
      </c>
      <c r="S8444" t="s">
        <v>27254</v>
      </c>
      <c r="T8444" t="s">
        <v>27255</v>
      </c>
    </row>
    <row r="8445" spans="1:20" x14ac:dyDescent="0.3">
      <c r="A8445" t="str">
        <f>"0611840153100"</f>
        <v>0611840153100</v>
      </c>
      <c r="B8445" t="str">
        <f>"LK2910"</f>
        <v>LK2910</v>
      </c>
      <c r="C8445" t="s">
        <v>43614</v>
      </c>
      <c r="D8445" t="s">
        <v>28138</v>
      </c>
      <c r="E8445" t="str">
        <f t="shared" si="131"/>
        <v>001390</v>
      </c>
      <c r="F8445" t="s">
        <v>27246</v>
      </c>
      <c r="G8445" t="s">
        <v>27247</v>
      </c>
      <c r="H8445" t="s">
        <v>27248</v>
      </c>
      <c r="I8445" t="s">
        <v>43615</v>
      </c>
      <c r="J8445" t="s">
        <v>16849</v>
      </c>
      <c r="L8445" t="s">
        <v>27250</v>
      </c>
      <c r="M8445" t="s">
        <v>27251</v>
      </c>
      <c r="N8445" t="s">
        <v>27252</v>
      </c>
      <c r="P8445" t="s">
        <v>27925</v>
      </c>
      <c r="Q8445" s="1">
        <v>44538</v>
      </c>
      <c r="R8445" t="s">
        <v>27253</v>
      </c>
      <c r="S8445" t="s">
        <v>27254</v>
      </c>
      <c r="T8445" t="s">
        <v>27255</v>
      </c>
    </row>
    <row r="8446" spans="1:20" x14ac:dyDescent="0.3">
      <c r="A8446" t="str">
        <f>"0611840154100"</f>
        <v>0611840154100</v>
      </c>
      <c r="B8446" t="str">
        <f>"LK4858"</f>
        <v>LK4858</v>
      </c>
      <c r="C8446" t="s">
        <v>43616</v>
      </c>
      <c r="D8446" t="s">
        <v>28138</v>
      </c>
      <c r="E8446" t="str">
        <f t="shared" si="131"/>
        <v>001390</v>
      </c>
      <c r="F8446" t="s">
        <v>27246</v>
      </c>
      <c r="G8446" t="s">
        <v>27247</v>
      </c>
      <c r="H8446" t="s">
        <v>27248</v>
      </c>
      <c r="I8446" t="s">
        <v>43617</v>
      </c>
      <c r="J8446" t="s">
        <v>16851</v>
      </c>
      <c r="L8446" t="s">
        <v>27250</v>
      </c>
      <c r="M8446" t="s">
        <v>27251</v>
      </c>
      <c r="N8446" t="s">
        <v>27252</v>
      </c>
      <c r="P8446" t="s">
        <v>27925</v>
      </c>
      <c r="Q8446" s="1">
        <v>44538</v>
      </c>
      <c r="R8446" t="s">
        <v>27253</v>
      </c>
      <c r="S8446" t="s">
        <v>27254</v>
      </c>
      <c r="T8446" t="s">
        <v>27255</v>
      </c>
    </row>
    <row r="8447" spans="1:20" x14ac:dyDescent="0.3">
      <c r="A8447" t="str">
        <f>"0611840156100"</f>
        <v>0611840156100</v>
      </c>
      <c r="B8447" t="str">
        <f>"LK1313"</f>
        <v>LK1313</v>
      </c>
      <c r="C8447" t="s">
        <v>43618</v>
      </c>
      <c r="D8447" t="s">
        <v>28138</v>
      </c>
      <c r="E8447" t="str">
        <f t="shared" si="131"/>
        <v>001390</v>
      </c>
      <c r="F8447" t="s">
        <v>27246</v>
      </c>
      <c r="G8447" t="s">
        <v>27247</v>
      </c>
      <c r="H8447" t="s">
        <v>27248</v>
      </c>
      <c r="I8447" t="s">
        <v>43619</v>
      </c>
      <c r="J8447" t="s">
        <v>16853</v>
      </c>
      <c r="L8447" t="s">
        <v>27250</v>
      </c>
      <c r="M8447" t="s">
        <v>27251</v>
      </c>
      <c r="N8447" t="s">
        <v>27252</v>
      </c>
      <c r="P8447" t="s">
        <v>27925</v>
      </c>
      <c r="Q8447" s="1">
        <v>44538</v>
      </c>
      <c r="R8447" t="s">
        <v>27253</v>
      </c>
      <c r="S8447" t="s">
        <v>27254</v>
      </c>
      <c r="T8447" t="s">
        <v>27255</v>
      </c>
    </row>
    <row r="8448" spans="1:20" x14ac:dyDescent="0.3">
      <c r="A8448" t="str">
        <f>"0611840157100"</f>
        <v>0611840157100</v>
      </c>
      <c r="B8448" t="str">
        <f>"LB1910"</f>
        <v>LB1910</v>
      </c>
      <c r="C8448" t="s">
        <v>43620</v>
      </c>
      <c r="D8448" t="s">
        <v>28138</v>
      </c>
      <c r="E8448" t="str">
        <f t="shared" si="131"/>
        <v>001390</v>
      </c>
      <c r="F8448" t="s">
        <v>27246</v>
      </c>
      <c r="G8448" t="s">
        <v>27247</v>
      </c>
      <c r="H8448" t="s">
        <v>27248</v>
      </c>
      <c r="I8448" t="s">
        <v>43621</v>
      </c>
      <c r="J8448" t="s">
        <v>16855</v>
      </c>
      <c r="L8448" t="s">
        <v>27250</v>
      </c>
      <c r="M8448" t="s">
        <v>27251</v>
      </c>
      <c r="N8448" t="s">
        <v>27252</v>
      </c>
      <c r="P8448" t="s">
        <v>27925</v>
      </c>
      <c r="Q8448" s="1">
        <v>44538</v>
      </c>
      <c r="R8448" t="s">
        <v>27253</v>
      </c>
      <c r="S8448" t="s">
        <v>27254</v>
      </c>
      <c r="T8448" t="s">
        <v>27255</v>
      </c>
    </row>
    <row r="8449" spans="1:20" x14ac:dyDescent="0.3">
      <c r="A8449" t="str">
        <f>"0611840158100"</f>
        <v>0611840158100</v>
      </c>
      <c r="B8449" t="str">
        <f>"LK4325"</f>
        <v>LK4325</v>
      </c>
      <c r="C8449" t="s">
        <v>43622</v>
      </c>
      <c r="D8449" t="s">
        <v>28138</v>
      </c>
      <c r="E8449" t="str">
        <f t="shared" si="131"/>
        <v>001390</v>
      </c>
      <c r="F8449" t="s">
        <v>27246</v>
      </c>
      <c r="G8449" t="s">
        <v>27247</v>
      </c>
      <c r="H8449" t="s">
        <v>27248</v>
      </c>
      <c r="I8449" t="s">
        <v>43623</v>
      </c>
      <c r="J8449" t="s">
        <v>16857</v>
      </c>
      <c r="L8449" t="s">
        <v>27250</v>
      </c>
      <c r="M8449" t="s">
        <v>27251</v>
      </c>
      <c r="N8449" t="s">
        <v>27252</v>
      </c>
      <c r="P8449" t="s">
        <v>27925</v>
      </c>
      <c r="Q8449" s="1">
        <v>44538</v>
      </c>
      <c r="R8449" t="s">
        <v>27253</v>
      </c>
      <c r="S8449" t="s">
        <v>27254</v>
      </c>
      <c r="T8449" t="s">
        <v>27255</v>
      </c>
    </row>
    <row r="8450" spans="1:20" x14ac:dyDescent="0.3">
      <c r="A8450" t="str">
        <f>"0611840159100"</f>
        <v>0611840159100</v>
      </c>
      <c r="B8450" t="str">
        <f>"LB1911"</f>
        <v>LB1911</v>
      </c>
      <c r="C8450" t="s">
        <v>43624</v>
      </c>
      <c r="D8450" t="s">
        <v>28138</v>
      </c>
      <c r="E8450" t="str">
        <f t="shared" ref="E8450:E8513" si="132">"001390"</f>
        <v>001390</v>
      </c>
      <c r="F8450" t="s">
        <v>27246</v>
      </c>
      <c r="G8450" t="s">
        <v>27247</v>
      </c>
      <c r="H8450" t="s">
        <v>27248</v>
      </c>
      <c r="I8450" t="s">
        <v>43625</v>
      </c>
      <c r="J8450" t="s">
        <v>16859</v>
      </c>
      <c r="L8450" t="s">
        <v>27250</v>
      </c>
      <c r="M8450" t="s">
        <v>27251</v>
      </c>
      <c r="N8450" t="s">
        <v>27252</v>
      </c>
      <c r="P8450" t="s">
        <v>27925</v>
      </c>
      <c r="Q8450" s="1">
        <v>44538</v>
      </c>
      <c r="R8450" t="s">
        <v>27253</v>
      </c>
      <c r="S8450" t="s">
        <v>27254</v>
      </c>
      <c r="T8450" t="s">
        <v>27255</v>
      </c>
    </row>
    <row r="8451" spans="1:20" x14ac:dyDescent="0.3">
      <c r="A8451" t="str">
        <f>"0611840160100"</f>
        <v>0611840160100</v>
      </c>
      <c r="B8451" t="str">
        <f>"LK3401"</f>
        <v>LK3401</v>
      </c>
      <c r="C8451" t="s">
        <v>43626</v>
      </c>
      <c r="D8451" t="s">
        <v>28138</v>
      </c>
      <c r="E8451" t="str">
        <f t="shared" si="132"/>
        <v>001390</v>
      </c>
      <c r="F8451" t="s">
        <v>27246</v>
      </c>
      <c r="G8451" t="s">
        <v>27247</v>
      </c>
      <c r="H8451" t="s">
        <v>27248</v>
      </c>
      <c r="I8451" t="s">
        <v>43627</v>
      </c>
      <c r="J8451" t="s">
        <v>16861</v>
      </c>
      <c r="L8451" t="s">
        <v>27250</v>
      </c>
      <c r="M8451" t="s">
        <v>27251</v>
      </c>
      <c r="N8451" t="s">
        <v>27252</v>
      </c>
      <c r="P8451" t="s">
        <v>27925</v>
      </c>
      <c r="Q8451" s="1">
        <v>44538</v>
      </c>
      <c r="R8451" t="s">
        <v>27253</v>
      </c>
      <c r="S8451" t="s">
        <v>27254</v>
      </c>
      <c r="T8451" t="s">
        <v>27255</v>
      </c>
    </row>
    <row r="8452" spans="1:20" x14ac:dyDescent="0.3">
      <c r="A8452" t="str">
        <f>"0611840161100"</f>
        <v>0611840161100</v>
      </c>
      <c r="B8452" t="str">
        <f>"LK4326"</f>
        <v>LK4326</v>
      </c>
      <c r="C8452" t="s">
        <v>43628</v>
      </c>
      <c r="D8452" t="s">
        <v>28138</v>
      </c>
      <c r="E8452" t="str">
        <f t="shared" si="132"/>
        <v>001390</v>
      </c>
      <c r="F8452" t="s">
        <v>27246</v>
      </c>
      <c r="G8452" t="s">
        <v>27247</v>
      </c>
      <c r="H8452" t="s">
        <v>27248</v>
      </c>
      <c r="I8452" t="s">
        <v>43629</v>
      </c>
      <c r="J8452" t="s">
        <v>16863</v>
      </c>
      <c r="L8452" t="s">
        <v>27250</v>
      </c>
      <c r="M8452" t="s">
        <v>27251</v>
      </c>
      <c r="N8452" t="s">
        <v>27252</v>
      </c>
      <c r="P8452" t="s">
        <v>27925</v>
      </c>
      <c r="Q8452" s="1">
        <v>44538</v>
      </c>
      <c r="R8452" t="s">
        <v>27253</v>
      </c>
      <c r="S8452" t="s">
        <v>27254</v>
      </c>
      <c r="T8452" t="s">
        <v>27255</v>
      </c>
    </row>
    <row r="8453" spans="1:20" x14ac:dyDescent="0.3">
      <c r="A8453" t="str">
        <f>"0611840162100"</f>
        <v>0611840162100</v>
      </c>
      <c r="B8453" t="str">
        <f>"LK4327"</f>
        <v>LK4327</v>
      </c>
      <c r="C8453" t="s">
        <v>43630</v>
      </c>
      <c r="D8453" t="s">
        <v>28138</v>
      </c>
      <c r="E8453" t="str">
        <f t="shared" si="132"/>
        <v>001390</v>
      </c>
      <c r="F8453" t="s">
        <v>27246</v>
      </c>
      <c r="G8453" t="s">
        <v>27247</v>
      </c>
      <c r="H8453" t="s">
        <v>27248</v>
      </c>
      <c r="I8453" t="s">
        <v>43631</v>
      </c>
      <c r="J8453" t="s">
        <v>16869</v>
      </c>
      <c r="L8453" t="s">
        <v>27250</v>
      </c>
      <c r="M8453" t="s">
        <v>27251</v>
      </c>
      <c r="N8453" t="s">
        <v>27252</v>
      </c>
      <c r="P8453" t="s">
        <v>27925</v>
      </c>
      <c r="Q8453" s="1">
        <v>44538</v>
      </c>
      <c r="R8453" t="s">
        <v>27253</v>
      </c>
      <c r="S8453" t="s">
        <v>27254</v>
      </c>
      <c r="T8453" t="s">
        <v>27255</v>
      </c>
    </row>
    <row r="8454" spans="1:20" x14ac:dyDescent="0.3">
      <c r="A8454" t="str">
        <f>"0611840163100"</f>
        <v>0611840163100</v>
      </c>
      <c r="B8454" t="str">
        <f>"LK3402"</f>
        <v>LK3402</v>
      </c>
      <c r="C8454" t="s">
        <v>43632</v>
      </c>
      <c r="D8454" t="s">
        <v>28138</v>
      </c>
      <c r="E8454" t="str">
        <f t="shared" si="132"/>
        <v>001390</v>
      </c>
      <c r="F8454" t="s">
        <v>27246</v>
      </c>
      <c r="G8454" t="s">
        <v>27247</v>
      </c>
      <c r="H8454" t="s">
        <v>27248</v>
      </c>
      <c r="I8454" t="s">
        <v>43633</v>
      </c>
      <c r="J8454" t="s">
        <v>16865</v>
      </c>
      <c r="L8454" t="s">
        <v>27250</v>
      </c>
      <c r="M8454" t="s">
        <v>27251</v>
      </c>
      <c r="N8454" t="s">
        <v>27252</v>
      </c>
      <c r="P8454" t="s">
        <v>27925</v>
      </c>
      <c r="Q8454" s="1">
        <v>44538</v>
      </c>
      <c r="R8454" t="s">
        <v>27253</v>
      </c>
      <c r="S8454" t="s">
        <v>27254</v>
      </c>
      <c r="T8454" t="s">
        <v>27255</v>
      </c>
    </row>
    <row r="8455" spans="1:20" x14ac:dyDescent="0.3">
      <c r="A8455" t="str">
        <f>"0611840164100"</f>
        <v>0611840164100</v>
      </c>
      <c r="B8455" t="str">
        <f>"LB1912"</f>
        <v>LB1912</v>
      </c>
      <c r="C8455" t="s">
        <v>43634</v>
      </c>
      <c r="D8455" t="s">
        <v>28138</v>
      </c>
      <c r="E8455" t="str">
        <f t="shared" si="132"/>
        <v>001390</v>
      </c>
      <c r="F8455" t="s">
        <v>27246</v>
      </c>
      <c r="G8455" t="s">
        <v>27247</v>
      </c>
      <c r="H8455" t="s">
        <v>27248</v>
      </c>
      <c r="I8455" t="s">
        <v>43635</v>
      </c>
      <c r="J8455" t="s">
        <v>16867</v>
      </c>
      <c r="L8455" t="s">
        <v>27250</v>
      </c>
      <c r="M8455" t="s">
        <v>27251</v>
      </c>
      <c r="N8455" t="s">
        <v>27252</v>
      </c>
      <c r="P8455" t="s">
        <v>27925</v>
      </c>
      <c r="Q8455" s="1">
        <v>44538</v>
      </c>
      <c r="R8455" t="s">
        <v>27253</v>
      </c>
      <c r="S8455" t="s">
        <v>27254</v>
      </c>
      <c r="T8455" t="s">
        <v>27255</v>
      </c>
    </row>
    <row r="8456" spans="1:20" x14ac:dyDescent="0.3">
      <c r="A8456" t="str">
        <f>"0611840165100"</f>
        <v>0611840165100</v>
      </c>
      <c r="B8456" t="str">
        <f>"LK3403"</f>
        <v>LK3403</v>
      </c>
      <c r="C8456" t="s">
        <v>43636</v>
      </c>
      <c r="D8456" t="s">
        <v>28138</v>
      </c>
      <c r="E8456" t="str">
        <f t="shared" si="132"/>
        <v>001390</v>
      </c>
      <c r="F8456" t="s">
        <v>27246</v>
      </c>
      <c r="G8456" t="s">
        <v>27247</v>
      </c>
      <c r="H8456" t="s">
        <v>27248</v>
      </c>
      <c r="I8456" t="s">
        <v>43637</v>
      </c>
      <c r="J8456" t="s">
        <v>16871</v>
      </c>
      <c r="L8456" t="s">
        <v>27250</v>
      </c>
      <c r="M8456" t="s">
        <v>27251</v>
      </c>
      <c r="N8456" t="s">
        <v>27252</v>
      </c>
      <c r="P8456" t="s">
        <v>27925</v>
      </c>
      <c r="Q8456" s="1">
        <v>44538</v>
      </c>
      <c r="R8456" t="s">
        <v>27253</v>
      </c>
      <c r="S8456" t="s">
        <v>27254</v>
      </c>
      <c r="T8456" t="s">
        <v>27255</v>
      </c>
    </row>
    <row r="8457" spans="1:20" x14ac:dyDescent="0.3">
      <c r="A8457" t="str">
        <f>"0611840166100"</f>
        <v>0611840166100</v>
      </c>
      <c r="B8457" t="str">
        <f>"LB1913"</f>
        <v>LB1913</v>
      </c>
      <c r="C8457" t="s">
        <v>43638</v>
      </c>
      <c r="D8457" t="s">
        <v>28138</v>
      </c>
      <c r="E8457" t="str">
        <f t="shared" si="132"/>
        <v>001390</v>
      </c>
      <c r="F8457" t="s">
        <v>27246</v>
      </c>
      <c r="G8457" t="s">
        <v>27247</v>
      </c>
      <c r="H8457" t="s">
        <v>27248</v>
      </c>
      <c r="I8457" t="s">
        <v>43639</v>
      </c>
      <c r="J8457" t="s">
        <v>16873</v>
      </c>
      <c r="L8457" t="s">
        <v>27250</v>
      </c>
      <c r="M8457" t="s">
        <v>27251</v>
      </c>
      <c r="N8457" t="s">
        <v>27252</v>
      </c>
      <c r="P8457" t="s">
        <v>27925</v>
      </c>
      <c r="Q8457" s="1">
        <v>44538</v>
      </c>
      <c r="R8457" t="s">
        <v>27253</v>
      </c>
      <c r="S8457" t="s">
        <v>27254</v>
      </c>
      <c r="T8457" t="s">
        <v>27255</v>
      </c>
    </row>
    <row r="8458" spans="1:20" x14ac:dyDescent="0.3">
      <c r="A8458" t="str">
        <f>"0611840167025"</f>
        <v>0611840167025</v>
      </c>
      <c r="B8458" t="str">
        <f>"MC2123"</f>
        <v>MC2123</v>
      </c>
      <c r="C8458" t="s">
        <v>43640</v>
      </c>
      <c r="D8458" t="s">
        <v>27267</v>
      </c>
      <c r="E8458" t="str">
        <f t="shared" si="132"/>
        <v>001390</v>
      </c>
      <c r="F8458" t="s">
        <v>27246</v>
      </c>
      <c r="G8458" t="s">
        <v>27247</v>
      </c>
      <c r="H8458" t="s">
        <v>27248</v>
      </c>
      <c r="I8458" t="s">
        <v>43641</v>
      </c>
      <c r="J8458" t="s">
        <v>16877</v>
      </c>
      <c r="L8458" t="s">
        <v>27250</v>
      </c>
      <c r="M8458" t="s">
        <v>27251</v>
      </c>
      <c r="N8458" t="s">
        <v>27252</v>
      </c>
      <c r="Q8458" s="1">
        <v>44538</v>
      </c>
      <c r="R8458" t="s">
        <v>27253</v>
      </c>
      <c r="S8458" t="s">
        <v>27254</v>
      </c>
      <c r="T8458" t="s">
        <v>27269</v>
      </c>
    </row>
    <row r="8459" spans="1:20" x14ac:dyDescent="0.3">
      <c r="A8459" t="str">
        <f>"0611864309100"</f>
        <v>0611864309100</v>
      </c>
      <c r="B8459" t="str">
        <f>"CN5435"</f>
        <v>CN5435</v>
      </c>
      <c r="C8459" t="s">
        <v>43640</v>
      </c>
      <c r="D8459" t="s">
        <v>27335</v>
      </c>
      <c r="E8459" t="str">
        <f t="shared" si="132"/>
        <v>001390</v>
      </c>
      <c r="F8459" t="s">
        <v>27246</v>
      </c>
      <c r="G8459" t="s">
        <v>27247</v>
      </c>
      <c r="H8459" t="s">
        <v>27248</v>
      </c>
      <c r="I8459" t="s">
        <v>43642</v>
      </c>
      <c r="J8459" t="s">
        <v>16875</v>
      </c>
      <c r="L8459" t="s">
        <v>27250</v>
      </c>
      <c r="M8459" t="s">
        <v>27251</v>
      </c>
      <c r="N8459" t="s">
        <v>27252</v>
      </c>
      <c r="Q8459" s="1">
        <v>44846</v>
      </c>
      <c r="R8459" t="s">
        <v>27253</v>
      </c>
      <c r="S8459" t="s">
        <v>27254</v>
      </c>
      <c r="T8459" t="s">
        <v>27255</v>
      </c>
    </row>
    <row r="8460" spans="1:20" x14ac:dyDescent="0.3">
      <c r="A8460" t="str">
        <f>"0611864310050"</f>
        <v>0611864310050</v>
      </c>
      <c r="B8460" t="str">
        <f>"CR4519"</f>
        <v>CR4519</v>
      </c>
      <c r="C8460" t="s">
        <v>43643</v>
      </c>
      <c r="D8460" t="s">
        <v>27263</v>
      </c>
      <c r="E8460" t="str">
        <f t="shared" si="132"/>
        <v>001390</v>
      </c>
      <c r="F8460" t="s">
        <v>27246</v>
      </c>
      <c r="G8460" t="s">
        <v>27247</v>
      </c>
      <c r="H8460" t="s">
        <v>27248</v>
      </c>
      <c r="I8460" t="s">
        <v>43644</v>
      </c>
      <c r="J8460" t="s">
        <v>16879</v>
      </c>
      <c r="L8460" t="s">
        <v>27250</v>
      </c>
      <c r="M8460" t="s">
        <v>27251</v>
      </c>
      <c r="N8460" t="s">
        <v>27252</v>
      </c>
      <c r="Q8460" s="1">
        <v>44846</v>
      </c>
      <c r="R8460" t="s">
        <v>27253</v>
      </c>
      <c r="S8460" t="s">
        <v>27254</v>
      </c>
      <c r="T8460" t="s">
        <v>27265</v>
      </c>
    </row>
    <row r="8461" spans="1:20" x14ac:dyDescent="0.3">
      <c r="A8461" t="str">
        <f>"0611840169050"</f>
        <v>0611840169050</v>
      </c>
      <c r="B8461" t="str">
        <f>"NM0063"</f>
        <v>NM0063</v>
      </c>
      <c r="C8461" t="s">
        <v>43645</v>
      </c>
      <c r="D8461" t="s">
        <v>35877</v>
      </c>
      <c r="E8461" t="str">
        <f t="shared" si="132"/>
        <v>001390</v>
      </c>
      <c r="F8461" t="s">
        <v>27246</v>
      </c>
      <c r="G8461" t="s">
        <v>27247</v>
      </c>
      <c r="H8461" t="s">
        <v>27248</v>
      </c>
      <c r="I8461" t="s">
        <v>43646</v>
      </c>
      <c r="J8461" t="s">
        <v>16881</v>
      </c>
      <c r="L8461" t="s">
        <v>27250</v>
      </c>
      <c r="M8461" t="s">
        <v>27251</v>
      </c>
      <c r="N8461" t="s">
        <v>27252</v>
      </c>
      <c r="Q8461" s="1">
        <v>44538</v>
      </c>
      <c r="R8461" t="s">
        <v>27253</v>
      </c>
      <c r="S8461" t="s">
        <v>27254</v>
      </c>
      <c r="T8461" t="s">
        <v>35879</v>
      </c>
    </row>
    <row r="8462" spans="1:20" x14ac:dyDescent="0.3">
      <c r="A8462" t="str">
        <f>"0611840170050"</f>
        <v>0611840170050</v>
      </c>
      <c r="B8462" t="str">
        <f>"NM0065"</f>
        <v>NM0065</v>
      </c>
      <c r="C8462" t="s">
        <v>43647</v>
      </c>
      <c r="D8462" t="s">
        <v>35877</v>
      </c>
      <c r="E8462" t="str">
        <f t="shared" si="132"/>
        <v>001390</v>
      </c>
      <c r="F8462" t="s">
        <v>27246</v>
      </c>
      <c r="G8462" t="s">
        <v>27247</v>
      </c>
      <c r="H8462" t="s">
        <v>27248</v>
      </c>
      <c r="I8462" t="s">
        <v>43648</v>
      </c>
      <c r="J8462" t="s">
        <v>16887</v>
      </c>
      <c r="L8462" t="s">
        <v>27250</v>
      </c>
      <c r="M8462" t="s">
        <v>27251</v>
      </c>
      <c r="N8462" t="s">
        <v>27252</v>
      </c>
      <c r="Q8462" s="1">
        <v>44538</v>
      </c>
      <c r="R8462" t="s">
        <v>27253</v>
      </c>
      <c r="S8462" t="s">
        <v>27254</v>
      </c>
      <c r="T8462" t="s">
        <v>35879</v>
      </c>
    </row>
    <row r="8463" spans="1:20" x14ac:dyDescent="0.3">
      <c r="A8463" t="str">
        <f>"0611857046050"</f>
        <v>0611857046050</v>
      </c>
      <c r="B8463" t="str">
        <f>"NM0084"</f>
        <v>NM0084</v>
      </c>
      <c r="C8463" t="s">
        <v>43649</v>
      </c>
      <c r="D8463" t="s">
        <v>35877</v>
      </c>
      <c r="E8463" t="str">
        <f t="shared" si="132"/>
        <v>001390</v>
      </c>
      <c r="F8463" t="s">
        <v>27246</v>
      </c>
      <c r="G8463" t="s">
        <v>27247</v>
      </c>
      <c r="H8463" t="s">
        <v>27248</v>
      </c>
      <c r="I8463" t="s">
        <v>43650</v>
      </c>
      <c r="J8463" t="s">
        <v>16883</v>
      </c>
      <c r="L8463" t="s">
        <v>27250</v>
      </c>
      <c r="M8463" t="s">
        <v>27251</v>
      </c>
      <c r="N8463" t="s">
        <v>27252</v>
      </c>
      <c r="Q8463" s="1">
        <v>44812</v>
      </c>
      <c r="R8463" t="s">
        <v>27253</v>
      </c>
      <c r="S8463" t="s">
        <v>27254</v>
      </c>
      <c r="T8463" t="s">
        <v>35879</v>
      </c>
    </row>
    <row r="8464" spans="1:20" x14ac:dyDescent="0.3">
      <c r="A8464" t="str">
        <f>"0611840171050"</f>
        <v>0611840171050</v>
      </c>
      <c r="B8464" t="str">
        <f>"NM0067"</f>
        <v>NM0067</v>
      </c>
      <c r="C8464" t="s">
        <v>43651</v>
      </c>
      <c r="D8464" t="s">
        <v>35877</v>
      </c>
      <c r="E8464" t="str">
        <f t="shared" si="132"/>
        <v>001390</v>
      </c>
      <c r="F8464" t="s">
        <v>27246</v>
      </c>
      <c r="G8464" t="s">
        <v>27247</v>
      </c>
      <c r="H8464" t="s">
        <v>27248</v>
      </c>
      <c r="I8464" t="s">
        <v>43652</v>
      </c>
      <c r="J8464" t="s">
        <v>16885</v>
      </c>
      <c r="L8464" t="s">
        <v>27250</v>
      </c>
      <c r="M8464" t="s">
        <v>27251</v>
      </c>
      <c r="N8464" t="s">
        <v>27252</v>
      </c>
      <c r="Q8464" s="1">
        <v>44538</v>
      </c>
      <c r="R8464" t="s">
        <v>27253</v>
      </c>
      <c r="S8464" t="s">
        <v>27254</v>
      </c>
      <c r="T8464" t="s">
        <v>35879</v>
      </c>
    </row>
    <row r="8465" spans="1:20" x14ac:dyDescent="0.3">
      <c r="A8465" t="str">
        <f>"0611840172050"</f>
        <v>0611840172050</v>
      </c>
      <c r="B8465" t="str">
        <f>"NM0070"</f>
        <v>NM0070</v>
      </c>
      <c r="C8465" t="s">
        <v>43653</v>
      </c>
      <c r="D8465" t="s">
        <v>35877</v>
      </c>
      <c r="E8465" t="str">
        <f t="shared" si="132"/>
        <v>001390</v>
      </c>
      <c r="F8465" t="s">
        <v>27246</v>
      </c>
      <c r="G8465" t="s">
        <v>27247</v>
      </c>
      <c r="H8465" t="s">
        <v>27248</v>
      </c>
      <c r="I8465" t="s">
        <v>43654</v>
      </c>
      <c r="J8465" t="s">
        <v>16889</v>
      </c>
      <c r="L8465" t="s">
        <v>27250</v>
      </c>
      <c r="M8465" t="s">
        <v>27251</v>
      </c>
      <c r="N8465" t="s">
        <v>27252</v>
      </c>
      <c r="Q8465" s="1">
        <v>44538</v>
      </c>
      <c r="R8465" t="s">
        <v>27253</v>
      </c>
      <c r="S8465" t="s">
        <v>27254</v>
      </c>
      <c r="T8465" t="s">
        <v>35879</v>
      </c>
    </row>
    <row r="8466" spans="1:20" x14ac:dyDescent="0.3">
      <c r="A8466" t="str">
        <f>"0611840174050"</f>
        <v>0611840174050</v>
      </c>
      <c r="B8466" t="str">
        <f>"NM0002"</f>
        <v>NM0002</v>
      </c>
      <c r="C8466" t="s">
        <v>43655</v>
      </c>
      <c r="D8466" t="s">
        <v>35877</v>
      </c>
      <c r="E8466" t="str">
        <f t="shared" si="132"/>
        <v>001390</v>
      </c>
      <c r="F8466" t="s">
        <v>27246</v>
      </c>
      <c r="G8466" t="s">
        <v>27247</v>
      </c>
      <c r="H8466" t="s">
        <v>27248</v>
      </c>
      <c r="I8466" t="s">
        <v>43656</v>
      </c>
      <c r="J8466" t="s">
        <v>16891</v>
      </c>
      <c r="L8466" t="s">
        <v>27250</v>
      </c>
      <c r="M8466" t="s">
        <v>27251</v>
      </c>
      <c r="N8466" t="s">
        <v>27252</v>
      </c>
      <c r="Q8466" s="1">
        <v>44538</v>
      </c>
      <c r="R8466" t="s">
        <v>27253</v>
      </c>
      <c r="S8466" t="s">
        <v>27254</v>
      </c>
      <c r="T8466" t="s">
        <v>35879</v>
      </c>
    </row>
    <row r="8467" spans="1:20" x14ac:dyDescent="0.3">
      <c r="A8467" t="str">
        <f>"0611840175050"</f>
        <v>0611840175050</v>
      </c>
      <c r="B8467" t="str">
        <f>"NM0006"</f>
        <v>NM0006</v>
      </c>
      <c r="C8467" t="s">
        <v>43657</v>
      </c>
      <c r="D8467" t="s">
        <v>35877</v>
      </c>
      <c r="E8467" t="str">
        <f t="shared" si="132"/>
        <v>001390</v>
      </c>
      <c r="F8467" t="s">
        <v>27246</v>
      </c>
      <c r="G8467" t="s">
        <v>27247</v>
      </c>
      <c r="H8467" t="s">
        <v>27248</v>
      </c>
      <c r="I8467" t="s">
        <v>43658</v>
      </c>
      <c r="J8467" t="s">
        <v>16893</v>
      </c>
      <c r="L8467" t="s">
        <v>27250</v>
      </c>
      <c r="M8467" t="s">
        <v>27251</v>
      </c>
      <c r="N8467" t="s">
        <v>27252</v>
      </c>
      <c r="Q8467" s="1">
        <v>44538</v>
      </c>
      <c r="R8467" t="s">
        <v>27253</v>
      </c>
      <c r="S8467" t="s">
        <v>27254</v>
      </c>
      <c r="T8467" t="s">
        <v>35879</v>
      </c>
    </row>
    <row r="8468" spans="1:20" x14ac:dyDescent="0.3">
      <c r="A8468" t="str">
        <f>"0611840176050"</f>
        <v>0611840176050</v>
      </c>
      <c r="B8468" t="str">
        <f>"NM0078"</f>
        <v>NM0078</v>
      </c>
      <c r="C8468" t="s">
        <v>43659</v>
      </c>
      <c r="D8468" t="s">
        <v>35877</v>
      </c>
      <c r="E8468" t="str">
        <f t="shared" si="132"/>
        <v>001390</v>
      </c>
      <c r="F8468" t="s">
        <v>27246</v>
      </c>
      <c r="G8468" t="s">
        <v>27247</v>
      </c>
      <c r="H8468" t="s">
        <v>27248</v>
      </c>
      <c r="I8468" t="s">
        <v>43660</v>
      </c>
      <c r="J8468" t="s">
        <v>16895</v>
      </c>
      <c r="L8468" t="s">
        <v>27250</v>
      </c>
      <c r="M8468" t="s">
        <v>27251</v>
      </c>
      <c r="N8468" t="s">
        <v>27252</v>
      </c>
      <c r="Q8468" s="1">
        <v>44538</v>
      </c>
      <c r="R8468" t="s">
        <v>27253</v>
      </c>
      <c r="S8468" t="s">
        <v>27254</v>
      </c>
      <c r="T8468" t="s">
        <v>35879</v>
      </c>
    </row>
    <row r="8469" spans="1:20" x14ac:dyDescent="0.3">
      <c r="A8469" t="str">
        <f>"0611840177050"</f>
        <v>0611840177050</v>
      </c>
      <c r="B8469" t="str">
        <f>"NM0068"</f>
        <v>NM0068</v>
      </c>
      <c r="C8469" t="s">
        <v>43661</v>
      </c>
      <c r="D8469" t="s">
        <v>35877</v>
      </c>
      <c r="E8469" t="str">
        <f t="shared" si="132"/>
        <v>001390</v>
      </c>
      <c r="F8469" t="s">
        <v>27246</v>
      </c>
      <c r="G8469" t="s">
        <v>27247</v>
      </c>
      <c r="H8469" t="s">
        <v>27248</v>
      </c>
      <c r="I8469" t="s">
        <v>43662</v>
      </c>
      <c r="J8469" t="s">
        <v>16897</v>
      </c>
      <c r="L8469" t="s">
        <v>27250</v>
      </c>
      <c r="M8469" t="s">
        <v>27251</v>
      </c>
      <c r="N8469" t="s">
        <v>27252</v>
      </c>
      <c r="Q8469" s="1">
        <v>44538</v>
      </c>
      <c r="R8469" t="s">
        <v>27253</v>
      </c>
      <c r="S8469" t="s">
        <v>27254</v>
      </c>
      <c r="T8469" t="s">
        <v>35879</v>
      </c>
    </row>
    <row r="8470" spans="1:20" x14ac:dyDescent="0.3">
      <c r="A8470" t="str">
        <f>"0611840178050"</f>
        <v>0611840178050</v>
      </c>
      <c r="B8470" t="str">
        <f>"NM0001"</f>
        <v>NM0001</v>
      </c>
      <c r="C8470" t="s">
        <v>43663</v>
      </c>
      <c r="D8470" t="s">
        <v>35877</v>
      </c>
      <c r="E8470" t="str">
        <f t="shared" si="132"/>
        <v>001390</v>
      </c>
      <c r="F8470" t="s">
        <v>27246</v>
      </c>
      <c r="G8470" t="s">
        <v>27247</v>
      </c>
      <c r="H8470" t="s">
        <v>27248</v>
      </c>
      <c r="I8470" t="s">
        <v>43664</v>
      </c>
      <c r="J8470" t="s">
        <v>16899</v>
      </c>
      <c r="L8470" t="s">
        <v>27250</v>
      </c>
      <c r="M8470" t="s">
        <v>27251</v>
      </c>
      <c r="N8470" t="s">
        <v>27252</v>
      </c>
      <c r="Q8470" s="1">
        <v>44538</v>
      </c>
      <c r="R8470" t="s">
        <v>27253</v>
      </c>
      <c r="S8470" t="s">
        <v>27254</v>
      </c>
      <c r="T8470" t="s">
        <v>35879</v>
      </c>
    </row>
    <row r="8471" spans="1:20" x14ac:dyDescent="0.3">
      <c r="A8471" t="str">
        <f>"0611840179050"</f>
        <v>0611840179050</v>
      </c>
      <c r="B8471" t="str">
        <f>"NM0069"</f>
        <v>NM0069</v>
      </c>
      <c r="C8471" t="s">
        <v>43665</v>
      </c>
      <c r="D8471" t="s">
        <v>35877</v>
      </c>
      <c r="E8471" t="str">
        <f t="shared" si="132"/>
        <v>001390</v>
      </c>
      <c r="F8471" t="s">
        <v>27246</v>
      </c>
      <c r="G8471" t="s">
        <v>27247</v>
      </c>
      <c r="H8471" t="s">
        <v>27248</v>
      </c>
      <c r="I8471" t="s">
        <v>43666</v>
      </c>
      <c r="J8471" t="s">
        <v>16901</v>
      </c>
      <c r="L8471" t="s">
        <v>27250</v>
      </c>
      <c r="M8471" t="s">
        <v>27251</v>
      </c>
      <c r="N8471" t="s">
        <v>27252</v>
      </c>
      <c r="Q8471" s="1">
        <v>44538</v>
      </c>
      <c r="R8471" t="s">
        <v>27253</v>
      </c>
      <c r="S8471" t="s">
        <v>27254</v>
      </c>
      <c r="T8471" t="s">
        <v>35879</v>
      </c>
    </row>
    <row r="8472" spans="1:20" x14ac:dyDescent="0.3">
      <c r="A8472" t="str">
        <f>"0611840180050"</f>
        <v>0611840180050</v>
      </c>
      <c r="B8472" t="str">
        <f>"NM0007"</f>
        <v>NM0007</v>
      </c>
      <c r="C8472" t="s">
        <v>43667</v>
      </c>
      <c r="D8472" t="s">
        <v>35877</v>
      </c>
      <c r="E8472" t="str">
        <f t="shared" si="132"/>
        <v>001390</v>
      </c>
      <c r="F8472" t="s">
        <v>27246</v>
      </c>
      <c r="G8472" t="s">
        <v>27247</v>
      </c>
      <c r="H8472" t="s">
        <v>27248</v>
      </c>
      <c r="I8472" t="s">
        <v>43668</v>
      </c>
      <c r="J8472" t="s">
        <v>16903</v>
      </c>
      <c r="L8472" t="s">
        <v>27250</v>
      </c>
      <c r="M8472" t="s">
        <v>27251</v>
      </c>
      <c r="N8472" t="s">
        <v>27252</v>
      </c>
      <c r="Q8472" s="1">
        <v>44538</v>
      </c>
      <c r="R8472" t="s">
        <v>27253</v>
      </c>
      <c r="S8472" t="s">
        <v>27254</v>
      </c>
      <c r="T8472" t="s">
        <v>35879</v>
      </c>
    </row>
    <row r="8473" spans="1:20" x14ac:dyDescent="0.3">
      <c r="A8473" t="str">
        <f>"0611840181050"</f>
        <v>0611840181050</v>
      </c>
      <c r="B8473" t="str">
        <f>"NM0064"</f>
        <v>NM0064</v>
      </c>
      <c r="C8473" t="s">
        <v>43669</v>
      </c>
      <c r="D8473" t="s">
        <v>35877</v>
      </c>
      <c r="E8473" t="str">
        <f t="shared" si="132"/>
        <v>001390</v>
      </c>
      <c r="F8473" t="s">
        <v>27246</v>
      </c>
      <c r="G8473" t="s">
        <v>27247</v>
      </c>
      <c r="H8473" t="s">
        <v>27248</v>
      </c>
      <c r="I8473" t="s">
        <v>43670</v>
      </c>
      <c r="J8473" t="s">
        <v>16905</v>
      </c>
      <c r="L8473" t="s">
        <v>27250</v>
      </c>
      <c r="M8473" t="s">
        <v>27251</v>
      </c>
      <c r="N8473" t="s">
        <v>27252</v>
      </c>
      <c r="Q8473" s="1">
        <v>44538</v>
      </c>
      <c r="R8473" t="s">
        <v>27253</v>
      </c>
      <c r="S8473" t="s">
        <v>27254</v>
      </c>
      <c r="T8473" t="s">
        <v>35879</v>
      </c>
    </row>
    <row r="8474" spans="1:20" x14ac:dyDescent="0.3">
      <c r="A8474" t="str">
        <f>"0611840182050"</f>
        <v>0611840182050</v>
      </c>
      <c r="B8474" t="str">
        <f>"NM0080"</f>
        <v>NM0080</v>
      </c>
      <c r="C8474" t="s">
        <v>43671</v>
      </c>
      <c r="D8474" t="s">
        <v>35877</v>
      </c>
      <c r="E8474" t="str">
        <f t="shared" si="132"/>
        <v>001390</v>
      </c>
      <c r="F8474" t="s">
        <v>27246</v>
      </c>
      <c r="G8474" t="s">
        <v>27247</v>
      </c>
      <c r="H8474" t="s">
        <v>27248</v>
      </c>
      <c r="I8474" t="s">
        <v>43672</v>
      </c>
      <c r="J8474" t="s">
        <v>16909</v>
      </c>
      <c r="L8474" t="s">
        <v>27250</v>
      </c>
      <c r="M8474" t="s">
        <v>27251</v>
      </c>
      <c r="N8474" t="s">
        <v>27252</v>
      </c>
      <c r="Q8474" s="1">
        <v>44538</v>
      </c>
      <c r="R8474" t="s">
        <v>27253</v>
      </c>
      <c r="S8474" t="s">
        <v>27254</v>
      </c>
      <c r="T8474" t="s">
        <v>35879</v>
      </c>
    </row>
    <row r="8475" spans="1:20" x14ac:dyDescent="0.3">
      <c r="A8475" t="str">
        <f>"0611840183050"</f>
        <v>0611840183050</v>
      </c>
      <c r="B8475" t="str">
        <f>"NM0071"</f>
        <v>NM0071</v>
      </c>
      <c r="C8475" t="s">
        <v>43673</v>
      </c>
      <c r="D8475" t="s">
        <v>35877</v>
      </c>
      <c r="E8475" t="str">
        <f t="shared" si="132"/>
        <v>001390</v>
      </c>
      <c r="F8475" t="s">
        <v>27246</v>
      </c>
      <c r="G8475" t="s">
        <v>27247</v>
      </c>
      <c r="H8475" t="s">
        <v>27248</v>
      </c>
      <c r="I8475" t="s">
        <v>43674</v>
      </c>
      <c r="J8475" t="s">
        <v>16907</v>
      </c>
      <c r="L8475" t="s">
        <v>27250</v>
      </c>
      <c r="M8475" t="s">
        <v>27251</v>
      </c>
      <c r="N8475" t="s">
        <v>27252</v>
      </c>
      <c r="Q8475" s="1">
        <v>44538</v>
      </c>
      <c r="R8475" t="s">
        <v>27253</v>
      </c>
      <c r="S8475" t="s">
        <v>27254</v>
      </c>
      <c r="T8475" t="s">
        <v>35879</v>
      </c>
    </row>
    <row r="8476" spans="1:20" x14ac:dyDescent="0.3">
      <c r="A8476" t="str">
        <f>"0611840184100"</f>
        <v>0611840184100</v>
      </c>
      <c r="B8476" t="str">
        <f>"MB6170"</f>
        <v>MB6170</v>
      </c>
      <c r="C8476" t="s">
        <v>43675</v>
      </c>
      <c r="D8476" t="s">
        <v>27274</v>
      </c>
      <c r="E8476" t="str">
        <f t="shared" si="132"/>
        <v>001390</v>
      </c>
      <c r="F8476" t="s">
        <v>27246</v>
      </c>
      <c r="G8476" t="s">
        <v>27247</v>
      </c>
      <c r="H8476" t="s">
        <v>27248</v>
      </c>
      <c r="I8476" t="s">
        <v>43676</v>
      </c>
      <c r="J8476" t="s">
        <v>16911</v>
      </c>
      <c r="L8476" t="s">
        <v>27250</v>
      </c>
      <c r="M8476" t="s">
        <v>27251</v>
      </c>
      <c r="N8476" t="s">
        <v>27252</v>
      </c>
      <c r="Q8476" s="1">
        <v>44538</v>
      </c>
      <c r="R8476" t="s">
        <v>27253</v>
      </c>
      <c r="S8476" t="s">
        <v>27254</v>
      </c>
      <c r="T8476" t="s">
        <v>27276</v>
      </c>
    </row>
    <row r="8477" spans="1:20" x14ac:dyDescent="0.3">
      <c r="A8477" t="str">
        <f>"0611840186050"</f>
        <v>0611840186050</v>
      </c>
      <c r="B8477" t="str">
        <f>"NM0066"</f>
        <v>NM0066</v>
      </c>
      <c r="C8477" t="s">
        <v>43677</v>
      </c>
      <c r="D8477" t="s">
        <v>35877</v>
      </c>
      <c r="E8477" t="str">
        <f t="shared" si="132"/>
        <v>001390</v>
      </c>
      <c r="F8477" t="s">
        <v>27246</v>
      </c>
      <c r="G8477" t="s">
        <v>27247</v>
      </c>
      <c r="H8477" t="s">
        <v>27248</v>
      </c>
      <c r="I8477" t="s">
        <v>43678</v>
      </c>
      <c r="J8477" t="s">
        <v>16915</v>
      </c>
      <c r="L8477" t="s">
        <v>27250</v>
      </c>
      <c r="M8477" t="s">
        <v>27251</v>
      </c>
      <c r="N8477" t="s">
        <v>27252</v>
      </c>
      <c r="Q8477" s="1">
        <v>44538</v>
      </c>
      <c r="R8477" t="s">
        <v>27253</v>
      </c>
      <c r="S8477" t="s">
        <v>27254</v>
      </c>
      <c r="T8477" t="s">
        <v>35879</v>
      </c>
    </row>
    <row r="8478" spans="1:20" x14ac:dyDescent="0.3">
      <c r="A8478" t="str">
        <f>"0611840187050"</f>
        <v>0611840187050</v>
      </c>
      <c r="B8478" t="str">
        <f>"NM0081"</f>
        <v>NM0081</v>
      </c>
      <c r="C8478" t="s">
        <v>43679</v>
      </c>
      <c r="D8478" t="s">
        <v>35877</v>
      </c>
      <c r="E8478" t="str">
        <f t="shared" si="132"/>
        <v>001390</v>
      </c>
      <c r="F8478" t="s">
        <v>27246</v>
      </c>
      <c r="G8478" t="s">
        <v>27247</v>
      </c>
      <c r="H8478" t="s">
        <v>27248</v>
      </c>
      <c r="I8478" t="s">
        <v>43680</v>
      </c>
      <c r="J8478" t="s">
        <v>16913</v>
      </c>
      <c r="L8478" t="s">
        <v>27250</v>
      </c>
      <c r="M8478" t="s">
        <v>27251</v>
      </c>
      <c r="N8478" t="s">
        <v>27252</v>
      </c>
      <c r="Q8478" s="1">
        <v>44538</v>
      </c>
      <c r="R8478" t="s">
        <v>27253</v>
      </c>
      <c r="S8478" t="s">
        <v>27254</v>
      </c>
      <c r="T8478" t="s">
        <v>35879</v>
      </c>
    </row>
    <row r="8479" spans="1:20" x14ac:dyDescent="0.3">
      <c r="A8479" t="str">
        <f>"0611840188050"</f>
        <v>0611840188050</v>
      </c>
      <c r="B8479" t="str">
        <f>"NM0003"</f>
        <v>NM0003</v>
      </c>
      <c r="C8479" t="s">
        <v>43681</v>
      </c>
      <c r="D8479" t="s">
        <v>35877</v>
      </c>
      <c r="E8479" t="str">
        <f t="shared" si="132"/>
        <v>001390</v>
      </c>
      <c r="F8479" t="s">
        <v>27246</v>
      </c>
      <c r="G8479" t="s">
        <v>27247</v>
      </c>
      <c r="H8479" t="s">
        <v>27248</v>
      </c>
      <c r="I8479" t="s">
        <v>43682</v>
      </c>
      <c r="J8479" t="s">
        <v>16917</v>
      </c>
      <c r="L8479" t="s">
        <v>27250</v>
      </c>
      <c r="M8479" t="s">
        <v>27251</v>
      </c>
      <c r="N8479" t="s">
        <v>27252</v>
      </c>
      <c r="Q8479" s="1">
        <v>44538</v>
      </c>
      <c r="R8479" t="s">
        <v>27253</v>
      </c>
      <c r="S8479" t="s">
        <v>27254</v>
      </c>
      <c r="T8479" t="s">
        <v>35879</v>
      </c>
    </row>
    <row r="8480" spans="1:20" x14ac:dyDescent="0.3">
      <c r="A8480" t="str">
        <f>"0611840189050"</f>
        <v>0611840189050</v>
      </c>
      <c r="B8480" t="str">
        <f>"NM0004"</f>
        <v>NM0004</v>
      </c>
      <c r="C8480" t="s">
        <v>43683</v>
      </c>
      <c r="D8480" t="s">
        <v>35877</v>
      </c>
      <c r="E8480" t="str">
        <f t="shared" si="132"/>
        <v>001390</v>
      </c>
      <c r="F8480" t="s">
        <v>27246</v>
      </c>
      <c r="G8480" t="s">
        <v>27247</v>
      </c>
      <c r="H8480" t="s">
        <v>27248</v>
      </c>
      <c r="I8480" t="s">
        <v>43684</v>
      </c>
      <c r="J8480" t="s">
        <v>16919</v>
      </c>
      <c r="L8480" t="s">
        <v>27250</v>
      </c>
      <c r="M8480" t="s">
        <v>27251</v>
      </c>
      <c r="N8480" t="s">
        <v>27252</v>
      </c>
      <c r="Q8480" s="1">
        <v>44538</v>
      </c>
      <c r="R8480" t="s">
        <v>27253</v>
      </c>
      <c r="S8480" t="s">
        <v>27254</v>
      </c>
      <c r="T8480" t="s">
        <v>35879</v>
      </c>
    </row>
    <row r="8481" spans="1:20" x14ac:dyDescent="0.3">
      <c r="A8481" t="str">
        <f>"0611840190050"</f>
        <v>0611840190050</v>
      </c>
      <c r="B8481" t="str">
        <f>"NM0005"</f>
        <v>NM0005</v>
      </c>
      <c r="C8481" t="s">
        <v>43685</v>
      </c>
      <c r="D8481" t="s">
        <v>35877</v>
      </c>
      <c r="E8481" t="str">
        <f t="shared" si="132"/>
        <v>001390</v>
      </c>
      <c r="F8481" t="s">
        <v>27246</v>
      </c>
      <c r="G8481" t="s">
        <v>27247</v>
      </c>
      <c r="H8481" t="s">
        <v>27248</v>
      </c>
      <c r="I8481" t="s">
        <v>43686</v>
      </c>
      <c r="J8481" t="s">
        <v>16921</v>
      </c>
      <c r="L8481" t="s">
        <v>27250</v>
      </c>
      <c r="M8481" t="s">
        <v>27251</v>
      </c>
      <c r="N8481" t="s">
        <v>27252</v>
      </c>
      <c r="Q8481" s="1">
        <v>44538</v>
      </c>
      <c r="R8481" t="s">
        <v>27253</v>
      </c>
      <c r="S8481" t="s">
        <v>27254</v>
      </c>
      <c r="T8481" t="s">
        <v>35879</v>
      </c>
    </row>
    <row r="8482" spans="1:20" x14ac:dyDescent="0.3">
      <c r="A8482" t="str">
        <f>"0611840191100"</f>
        <v>0611840191100</v>
      </c>
      <c r="B8482" t="str">
        <f>"LB5910"</f>
        <v>LB5910</v>
      </c>
      <c r="C8482" t="s">
        <v>43687</v>
      </c>
      <c r="D8482" t="s">
        <v>27245</v>
      </c>
      <c r="E8482" t="str">
        <f t="shared" si="132"/>
        <v>001390</v>
      </c>
      <c r="F8482" t="s">
        <v>27246</v>
      </c>
      <c r="G8482" t="s">
        <v>27247</v>
      </c>
      <c r="H8482" t="s">
        <v>27248</v>
      </c>
      <c r="I8482" t="s">
        <v>43688</v>
      </c>
      <c r="J8482" t="s">
        <v>16923</v>
      </c>
      <c r="L8482" t="s">
        <v>27250</v>
      </c>
      <c r="M8482" t="s">
        <v>27251</v>
      </c>
      <c r="N8482" t="s">
        <v>27252</v>
      </c>
      <c r="Q8482" s="1">
        <v>44538</v>
      </c>
      <c r="R8482" t="s">
        <v>27253</v>
      </c>
      <c r="S8482" t="s">
        <v>27254</v>
      </c>
      <c r="T8482" t="s">
        <v>27255</v>
      </c>
    </row>
    <row r="8483" spans="1:20" x14ac:dyDescent="0.3">
      <c r="A8483" t="str">
        <f>"0611840192100"</f>
        <v>0611840192100</v>
      </c>
      <c r="B8483" t="str">
        <f>"LB5912"</f>
        <v>LB5912</v>
      </c>
      <c r="C8483" t="s">
        <v>43689</v>
      </c>
      <c r="D8483" t="s">
        <v>27245</v>
      </c>
      <c r="E8483" t="str">
        <f t="shared" si="132"/>
        <v>001390</v>
      </c>
      <c r="F8483" t="s">
        <v>27246</v>
      </c>
      <c r="G8483" t="s">
        <v>27247</v>
      </c>
      <c r="H8483" t="s">
        <v>27248</v>
      </c>
      <c r="I8483" t="s">
        <v>43690</v>
      </c>
      <c r="J8483" t="s">
        <v>16925</v>
      </c>
      <c r="L8483" t="s">
        <v>27250</v>
      </c>
      <c r="M8483" t="s">
        <v>27251</v>
      </c>
      <c r="N8483" t="s">
        <v>27252</v>
      </c>
      <c r="Q8483" s="1">
        <v>44538</v>
      </c>
      <c r="R8483" t="s">
        <v>27253</v>
      </c>
      <c r="S8483" t="s">
        <v>27254</v>
      </c>
      <c r="T8483" t="s">
        <v>27255</v>
      </c>
    </row>
    <row r="8484" spans="1:20" x14ac:dyDescent="0.3">
      <c r="A8484" t="str">
        <f>"0611840193100"</f>
        <v>0611840193100</v>
      </c>
      <c r="B8484" t="str">
        <f>"LB5950"</f>
        <v>LB5950</v>
      </c>
      <c r="C8484" t="s">
        <v>43691</v>
      </c>
      <c r="D8484" t="s">
        <v>27245</v>
      </c>
      <c r="E8484" t="str">
        <f t="shared" si="132"/>
        <v>001390</v>
      </c>
      <c r="F8484" t="s">
        <v>27246</v>
      </c>
      <c r="G8484" t="s">
        <v>27247</v>
      </c>
      <c r="H8484" t="s">
        <v>27248</v>
      </c>
      <c r="I8484" t="s">
        <v>43692</v>
      </c>
      <c r="J8484" t="s">
        <v>16927</v>
      </c>
      <c r="L8484" t="s">
        <v>27250</v>
      </c>
      <c r="M8484" t="s">
        <v>27251</v>
      </c>
      <c r="N8484" t="s">
        <v>27252</v>
      </c>
      <c r="Q8484" s="1">
        <v>44538</v>
      </c>
      <c r="R8484" t="s">
        <v>27253</v>
      </c>
      <c r="S8484" t="s">
        <v>27254</v>
      </c>
      <c r="T8484" t="s">
        <v>27255</v>
      </c>
    </row>
    <row r="8485" spans="1:20" x14ac:dyDescent="0.3">
      <c r="A8485" t="str">
        <f>"0611840194100"</f>
        <v>0611840194100</v>
      </c>
      <c r="B8485" t="str">
        <f>"LB5913"</f>
        <v>LB5913</v>
      </c>
      <c r="C8485" t="s">
        <v>43693</v>
      </c>
      <c r="D8485" t="s">
        <v>27245</v>
      </c>
      <c r="E8485" t="str">
        <f t="shared" si="132"/>
        <v>001390</v>
      </c>
      <c r="F8485" t="s">
        <v>27246</v>
      </c>
      <c r="G8485" t="s">
        <v>27247</v>
      </c>
      <c r="H8485" t="s">
        <v>27248</v>
      </c>
      <c r="I8485" t="s">
        <v>43694</v>
      </c>
      <c r="J8485" t="s">
        <v>16929</v>
      </c>
      <c r="L8485" t="s">
        <v>27250</v>
      </c>
      <c r="M8485" t="s">
        <v>27251</v>
      </c>
      <c r="N8485" t="s">
        <v>27252</v>
      </c>
      <c r="Q8485" s="1">
        <v>44538</v>
      </c>
      <c r="R8485" t="s">
        <v>27253</v>
      </c>
      <c r="S8485" t="s">
        <v>27254</v>
      </c>
      <c r="T8485" t="s">
        <v>27255</v>
      </c>
    </row>
    <row r="8486" spans="1:20" x14ac:dyDescent="0.3">
      <c r="A8486" t="str">
        <f>"0611840195100"</f>
        <v>0611840195100</v>
      </c>
      <c r="B8486" t="str">
        <f>"LB6024"</f>
        <v>LB6024</v>
      </c>
      <c r="C8486" t="s">
        <v>43695</v>
      </c>
      <c r="D8486" t="s">
        <v>27245</v>
      </c>
      <c r="E8486" t="str">
        <f t="shared" si="132"/>
        <v>001390</v>
      </c>
      <c r="F8486" t="s">
        <v>27246</v>
      </c>
      <c r="G8486" t="s">
        <v>27247</v>
      </c>
      <c r="H8486" t="s">
        <v>27248</v>
      </c>
      <c r="I8486" t="s">
        <v>43696</v>
      </c>
      <c r="J8486" t="s">
        <v>16931</v>
      </c>
      <c r="L8486" t="s">
        <v>27250</v>
      </c>
      <c r="M8486" t="s">
        <v>27251</v>
      </c>
      <c r="N8486" t="s">
        <v>27252</v>
      </c>
      <c r="Q8486" s="1">
        <v>44538</v>
      </c>
      <c r="R8486" t="s">
        <v>27253</v>
      </c>
      <c r="S8486" t="s">
        <v>27254</v>
      </c>
      <c r="T8486" t="s">
        <v>27255</v>
      </c>
    </row>
    <row r="8487" spans="1:20" x14ac:dyDescent="0.3">
      <c r="A8487" t="str">
        <f>"0611840196100"</f>
        <v>0611840196100</v>
      </c>
      <c r="B8487" t="str">
        <f>"LB6192"</f>
        <v>LB6192</v>
      </c>
      <c r="C8487" t="s">
        <v>43697</v>
      </c>
      <c r="D8487" t="s">
        <v>27245</v>
      </c>
      <c r="E8487" t="str">
        <f t="shared" si="132"/>
        <v>001390</v>
      </c>
      <c r="F8487" t="s">
        <v>27246</v>
      </c>
      <c r="G8487" t="s">
        <v>27247</v>
      </c>
      <c r="H8487" t="s">
        <v>27248</v>
      </c>
      <c r="I8487" t="s">
        <v>43698</v>
      </c>
      <c r="J8487" t="s">
        <v>16933</v>
      </c>
      <c r="L8487" t="s">
        <v>27250</v>
      </c>
      <c r="M8487" t="s">
        <v>27251</v>
      </c>
      <c r="N8487" t="s">
        <v>27252</v>
      </c>
      <c r="Q8487" s="1">
        <v>44538</v>
      </c>
      <c r="R8487" t="s">
        <v>27253</v>
      </c>
      <c r="S8487" t="s">
        <v>27254</v>
      </c>
      <c r="T8487" t="s">
        <v>27255</v>
      </c>
    </row>
    <row r="8488" spans="1:20" x14ac:dyDescent="0.3">
      <c r="A8488" t="str">
        <f>"0611840197100"</f>
        <v>0611840197100</v>
      </c>
      <c r="B8488" t="str">
        <f>"LB6061"</f>
        <v>LB6061</v>
      </c>
      <c r="C8488" t="s">
        <v>43699</v>
      </c>
      <c r="D8488" t="s">
        <v>27245</v>
      </c>
      <c r="E8488" t="str">
        <f t="shared" si="132"/>
        <v>001390</v>
      </c>
      <c r="F8488" t="s">
        <v>27246</v>
      </c>
      <c r="G8488" t="s">
        <v>27247</v>
      </c>
      <c r="H8488" t="s">
        <v>27248</v>
      </c>
      <c r="I8488" t="s">
        <v>43700</v>
      </c>
      <c r="J8488" t="s">
        <v>16935</v>
      </c>
      <c r="L8488" t="s">
        <v>27250</v>
      </c>
      <c r="M8488" t="s">
        <v>27251</v>
      </c>
      <c r="N8488" t="s">
        <v>27252</v>
      </c>
      <c r="Q8488" s="1">
        <v>44538</v>
      </c>
      <c r="R8488" t="s">
        <v>27253</v>
      </c>
      <c r="S8488" t="s">
        <v>27254</v>
      </c>
      <c r="T8488" t="s">
        <v>27255</v>
      </c>
    </row>
    <row r="8489" spans="1:20" x14ac:dyDescent="0.3">
      <c r="A8489" t="str">
        <f>"0611840198100"</f>
        <v>0611840198100</v>
      </c>
      <c r="B8489" t="str">
        <f>"LB6062"</f>
        <v>LB6062</v>
      </c>
      <c r="C8489" t="s">
        <v>43701</v>
      </c>
      <c r="D8489" t="s">
        <v>27245</v>
      </c>
      <c r="E8489" t="str">
        <f t="shared" si="132"/>
        <v>001390</v>
      </c>
      <c r="F8489" t="s">
        <v>27246</v>
      </c>
      <c r="G8489" t="s">
        <v>27247</v>
      </c>
      <c r="H8489" t="s">
        <v>27248</v>
      </c>
      <c r="I8489" t="s">
        <v>43702</v>
      </c>
      <c r="J8489" t="s">
        <v>16937</v>
      </c>
      <c r="L8489" t="s">
        <v>27250</v>
      </c>
      <c r="M8489" t="s">
        <v>27251</v>
      </c>
      <c r="N8489" t="s">
        <v>27252</v>
      </c>
      <c r="Q8489" s="1">
        <v>44538</v>
      </c>
      <c r="R8489" t="s">
        <v>27253</v>
      </c>
      <c r="S8489" t="s">
        <v>27254</v>
      </c>
      <c r="T8489" t="s">
        <v>27255</v>
      </c>
    </row>
    <row r="8490" spans="1:20" x14ac:dyDescent="0.3">
      <c r="A8490" t="str">
        <f>"0611840199100"</f>
        <v>0611840199100</v>
      </c>
      <c r="B8490" t="str">
        <f>"LB6143"</f>
        <v>LB6143</v>
      </c>
      <c r="C8490" t="s">
        <v>43703</v>
      </c>
      <c r="D8490" t="s">
        <v>27245</v>
      </c>
      <c r="E8490" t="str">
        <f t="shared" si="132"/>
        <v>001390</v>
      </c>
      <c r="F8490" t="s">
        <v>27246</v>
      </c>
      <c r="G8490" t="s">
        <v>27247</v>
      </c>
      <c r="H8490" t="s">
        <v>27248</v>
      </c>
      <c r="I8490" t="s">
        <v>43704</v>
      </c>
      <c r="J8490" t="s">
        <v>16939</v>
      </c>
      <c r="L8490" t="s">
        <v>27250</v>
      </c>
      <c r="M8490" t="s">
        <v>27251</v>
      </c>
      <c r="N8490" t="s">
        <v>27252</v>
      </c>
      <c r="Q8490" s="1">
        <v>44538</v>
      </c>
      <c r="R8490" t="s">
        <v>27253</v>
      </c>
      <c r="S8490" t="s">
        <v>27254</v>
      </c>
      <c r="T8490" t="s">
        <v>27255</v>
      </c>
    </row>
    <row r="8491" spans="1:20" x14ac:dyDescent="0.3">
      <c r="A8491" t="str">
        <f>"0611840200100"</f>
        <v>0611840200100</v>
      </c>
      <c r="B8491" t="str">
        <f>"LB5914"</f>
        <v>LB5914</v>
      </c>
      <c r="C8491" t="s">
        <v>43705</v>
      </c>
      <c r="D8491" t="s">
        <v>27245</v>
      </c>
      <c r="E8491" t="str">
        <f t="shared" si="132"/>
        <v>001390</v>
      </c>
      <c r="F8491" t="s">
        <v>27246</v>
      </c>
      <c r="G8491" t="s">
        <v>27247</v>
      </c>
      <c r="H8491" t="s">
        <v>27248</v>
      </c>
      <c r="I8491" t="s">
        <v>43706</v>
      </c>
      <c r="J8491" t="s">
        <v>16941</v>
      </c>
      <c r="L8491" t="s">
        <v>27250</v>
      </c>
      <c r="M8491" t="s">
        <v>27251</v>
      </c>
      <c r="N8491" t="s">
        <v>27252</v>
      </c>
      <c r="Q8491" s="1">
        <v>44538</v>
      </c>
      <c r="R8491" t="s">
        <v>27253</v>
      </c>
      <c r="S8491" t="s">
        <v>27254</v>
      </c>
      <c r="T8491" t="s">
        <v>27255</v>
      </c>
    </row>
    <row r="8492" spans="1:20" x14ac:dyDescent="0.3">
      <c r="A8492" t="str">
        <f>"0611840213100"</f>
        <v>0611840213100</v>
      </c>
      <c r="B8492" t="str">
        <f>"LK2911"</f>
        <v>LK2911</v>
      </c>
      <c r="C8492" t="s">
        <v>43707</v>
      </c>
      <c r="D8492" t="s">
        <v>28138</v>
      </c>
      <c r="E8492" t="str">
        <f t="shared" si="132"/>
        <v>001390</v>
      </c>
      <c r="F8492" t="s">
        <v>27246</v>
      </c>
      <c r="G8492" t="s">
        <v>27247</v>
      </c>
      <c r="H8492" t="s">
        <v>27248</v>
      </c>
      <c r="I8492" t="s">
        <v>43708</v>
      </c>
      <c r="J8492" t="s">
        <v>16943</v>
      </c>
      <c r="L8492" t="s">
        <v>27250</v>
      </c>
      <c r="M8492" t="s">
        <v>27251</v>
      </c>
      <c r="N8492" t="s">
        <v>27252</v>
      </c>
      <c r="P8492" t="s">
        <v>27925</v>
      </c>
      <c r="Q8492" s="1">
        <v>44538</v>
      </c>
      <c r="R8492" t="s">
        <v>27253</v>
      </c>
      <c r="S8492" t="s">
        <v>27254</v>
      </c>
      <c r="T8492" t="s">
        <v>27255</v>
      </c>
    </row>
    <row r="8493" spans="1:20" x14ac:dyDescent="0.3">
      <c r="A8493" t="str">
        <f>"0611840214100"</f>
        <v>0611840214100</v>
      </c>
      <c r="B8493" t="str">
        <f>"LK2212"</f>
        <v>LK2212</v>
      </c>
      <c r="C8493" t="s">
        <v>43709</v>
      </c>
      <c r="D8493" t="s">
        <v>28138</v>
      </c>
      <c r="E8493" t="str">
        <f t="shared" si="132"/>
        <v>001390</v>
      </c>
      <c r="F8493" t="s">
        <v>27246</v>
      </c>
      <c r="G8493" t="s">
        <v>27247</v>
      </c>
      <c r="H8493" t="s">
        <v>27248</v>
      </c>
      <c r="I8493" t="s">
        <v>43710</v>
      </c>
      <c r="J8493" t="s">
        <v>16945</v>
      </c>
      <c r="L8493" t="s">
        <v>27250</v>
      </c>
      <c r="M8493" t="s">
        <v>27251</v>
      </c>
      <c r="N8493" t="s">
        <v>27252</v>
      </c>
      <c r="P8493" t="s">
        <v>27925</v>
      </c>
      <c r="Q8493" s="1">
        <v>44538</v>
      </c>
      <c r="R8493" t="s">
        <v>27253</v>
      </c>
      <c r="S8493" t="s">
        <v>27254</v>
      </c>
      <c r="T8493" t="s">
        <v>27255</v>
      </c>
    </row>
    <row r="8494" spans="1:20" x14ac:dyDescent="0.3">
      <c r="A8494" t="str">
        <f>"0611840201100"</f>
        <v>0611840201100</v>
      </c>
      <c r="B8494" t="str">
        <f>"LK2916"</f>
        <v>LK2916</v>
      </c>
      <c r="C8494" t="s">
        <v>43711</v>
      </c>
      <c r="D8494" t="s">
        <v>28138</v>
      </c>
      <c r="E8494" t="str">
        <f t="shared" si="132"/>
        <v>001390</v>
      </c>
      <c r="F8494" t="s">
        <v>27246</v>
      </c>
      <c r="G8494" t="s">
        <v>27247</v>
      </c>
      <c r="H8494" t="s">
        <v>27248</v>
      </c>
      <c r="I8494" t="s">
        <v>43712</v>
      </c>
      <c r="J8494" t="s">
        <v>16947</v>
      </c>
      <c r="L8494" t="s">
        <v>27250</v>
      </c>
      <c r="M8494" t="s">
        <v>27251</v>
      </c>
      <c r="N8494" t="s">
        <v>27252</v>
      </c>
      <c r="P8494" t="s">
        <v>27925</v>
      </c>
      <c r="Q8494" s="1">
        <v>44538</v>
      </c>
      <c r="R8494" t="s">
        <v>27253</v>
      </c>
      <c r="S8494" t="s">
        <v>27254</v>
      </c>
      <c r="T8494" t="s">
        <v>27255</v>
      </c>
    </row>
    <row r="8495" spans="1:20" x14ac:dyDescent="0.3">
      <c r="A8495" t="str">
        <f>"0611840202100"</f>
        <v>0611840202100</v>
      </c>
      <c r="B8495" t="str">
        <f>"LK0247"</f>
        <v>LK0247</v>
      </c>
      <c r="C8495" t="s">
        <v>43713</v>
      </c>
      <c r="D8495" t="s">
        <v>28138</v>
      </c>
      <c r="E8495" t="str">
        <f t="shared" si="132"/>
        <v>001390</v>
      </c>
      <c r="F8495" t="s">
        <v>27246</v>
      </c>
      <c r="G8495" t="s">
        <v>27247</v>
      </c>
      <c r="H8495" t="s">
        <v>27248</v>
      </c>
      <c r="I8495" t="s">
        <v>43714</v>
      </c>
      <c r="J8495" t="s">
        <v>16949</v>
      </c>
      <c r="L8495" t="s">
        <v>27250</v>
      </c>
      <c r="M8495" t="s">
        <v>27251</v>
      </c>
      <c r="N8495" t="s">
        <v>27252</v>
      </c>
      <c r="P8495" t="s">
        <v>27925</v>
      </c>
      <c r="Q8495" s="1">
        <v>44538</v>
      </c>
      <c r="R8495" t="s">
        <v>27253</v>
      </c>
      <c r="S8495" t="s">
        <v>27254</v>
      </c>
      <c r="T8495" t="s">
        <v>27255</v>
      </c>
    </row>
    <row r="8496" spans="1:20" x14ac:dyDescent="0.3">
      <c r="A8496" t="str">
        <f>"0611840232100"</f>
        <v>0611840232100</v>
      </c>
      <c r="B8496" t="str">
        <f>"LK6402"</f>
        <v>LK6402</v>
      </c>
      <c r="C8496" t="s">
        <v>43715</v>
      </c>
      <c r="D8496" t="s">
        <v>28138</v>
      </c>
      <c r="E8496" t="str">
        <f t="shared" si="132"/>
        <v>001390</v>
      </c>
      <c r="F8496" t="s">
        <v>27246</v>
      </c>
      <c r="G8496" t="s">
        <v>27247</v>
      </c>
      <c r="H8496" t="s">
        <v>27248</v>
      </c>
      <c r="I8496" t="s">
        <v>43716</v>
      </c>
      <c r="J8496" t="s">
        <v>16951</v>
      </c>
      <c r="L8496" t="s">
        <v>27250</v>
      </c>
      <c r="M8496" t="s">
        <v>27251</v>
      </c>
      <c r="N8496" t="s">
        <v>27252</v>
      </c>
      <c r="P8496" t="s">
        <v>27925</v>
      </c>
      <c r="Q8496" s="1">
        <v>44538</v>
      </c>
      <c r="R8496" t="s">
        <v>27253</v>
      </c>
      <c r="S8496" t="s">
        <v>27254</v>
      </c>
      <c r="T8496" t="s">
        <v>27255</v>
      </c>
    </row>
    <row r="8497" spans="1:20" x14ac:dyDescent="0.3">
      <c r="A8497" t="str">
        <f>"0611840216100"</f>
        <v>0611840216100</v>
      </c>
      <c r="B8497" t="str">
        <f>"LK2912"</f>
        <v>LK2912</v>
      </c>
      <c r="C8497" t="s">
        <v>43717</v>
      </c>
      <c r="D8497" t="s">
        <v>28138</v>
      </c>
      <c r="E8497" t="str">
        <f t="shared" si="132"/>
        <v>001390</v>
      </c>
      <c r="F8497" t="s">
        <v>27246</v>
      </c>
      <c r="G8497" t="s">
        <v>27247</v>
      </c>
      <c r="H8497" t="s">
        <v>27248</v>
      </c>
      <c r="I8497" t="s">
        <v>43718</v>
      </c>
      <c r="J8497" t="s">
        <v>16953</v>
      </c>
      <c r="L8497" t="s">
        <v>27250</v>
      </c>
      <c r="M8497" t="s">
        <v>27251</v>
      </c>
      <c r="N8497" t="s">
        <v>27252</v>
      </c>
      <c r="P8497" t="s">
        <v>27925</v>
      </c>
      <c r="Q8497" s="1">
        <v>44538</v>
      </c>
      <c r="R8497" t="s">
        <v>27253</v>
      </c>
      <c r="S8497" t="s">
        <v>27254</v>
      </c>
      <c r="T8497" t="s">
        <v>27255</v>
      </c>
    </row>
    <row r="8498" spans="1:20" x14ac:dyDescent="0.3">
      <c r="A8498" t="str">
        <f>"0611840204100"</f>
        <v>0611840204100</v>
      </c>
      <c r="B8498" t="str">
        <f>"LK2914"</f>
        <v>LK2914</v>
      </c>
      <c r="C8498" t="s">
        <v>43719</v>
      </c>
      <c r="D8498" t="s">
        <v>28138</v>
      </c>
      <c r="E8498" t="str">
        <f t="shared" si="132"/>
        <v>001390</v>
      </c>
      <c r="F8498" t="s">
        <v>27246</v>
      </c>
      <c r="G8498" t="s">
        <v>27247</v>
      </c>
      <c r="H8498" t="s">
        <v>27248</v>
      </c>
      <c r="I8498" t="s">
        <v>43720</v>
      </c>
      <c r="J8498" t="s">
        <v>16955</v>
      </c>
      <c r="L8498" t="s">
        <v>27250</v>
      </c>
      <c r="M8498" t="s">
        <v>27251</v>
      </c>
      <c r="N8498" t="s">
        <v>27252</v>
      </c>
      <c r="P8498" t="s">
        <v>27925</v>
      </c>
      <c r="Q8498" s="1">
        <v>44538</v>
      </c>
      <c r="R8498" t="s">
        <v>27253</v>
      </c>
      <c r="S8498" t="s">
        <v>27254</v>
      </c>
      <c r="T8498" t="s">
        <v>27255</v>
      </c>
    </row>
    <row r="8499" spans="1:20" x14ac:dyDescent="0.3">
      <c r="A8499" t="str">
        <f>"0611840234100"</f>
        <v>0611840234100</v>
      </c>
      <c r="B8499" t="str">
        <f>"LK0819"</f>
        <v>LK0819</v>
      </c>
      <c r="C8499" t="s">
        <v>43721</v>
      </c>
      <c r="D8499" t="s">
        <v>28138</v>
      </c>
      <c r="E8499" t="str">
        <f t="shared" si="132"/>
        <v>001390</v>
      </c>
      <c r="F8499" t="s">
        <v>27246</v>
      </c>
      <c r="G8499" t="s">
        <v>27247</v>
      </c>
      <c r="H8499" t="s">
        <v>27248</v>
      </c>
      <c r="I8499" t="s">
        <v>43722</v>
      </c>
      <c r="J8499" t="s">
        <v>16957</v>
      </c>
      <c r="L8499" t="s">
        <v>27250</v>
      </c>
      <c r="M8499" t="s">
        <v>27251</v>
      </c>
      <c r="N8499" t="s">
        <v>27252</v>
      </c>
      <c r="P8499" t="s">
        <v>27925</v>
      </c>
      <c r="Q8499" s="1">
        <v>44538</v>
      </c>
      <c r="R8499" t="s">
        <v>27253</v>
      </c>
      <c r="S8499" t="s">
        <v>27254</v>
      </c>
      <c r="T8499" t="s">
        <v>27255</v>
      </c>
    </row>
    <row r="8500" spans="1:20" x14ac:dyDescent="0.3">
      <c r="A8500" t="str">
        <f>"0611840205100"</f>
        <v>0611840205100</v>
      </c>
      <c r="B8500" t="str">
        <f>"LB1918"</f>
        <v>LB1918</v>
      </c>
      <c r="C8500" t="s">
        <v>43723</v>
      </c>
      <c r="D8500" t="s">
        <v>28138</v>
      </c>
      <c r="E8500" t="str">
        <f t="shared" si="132"/>
        <v>001390</v>
      </c>
      <c r="F8500" t="s">
        <v>27246</v>
      </c>
      <c r="G8500" t="s">
        <v>27247</v>
      </c>
      <c r="H8500" t="s">
        <v>27248</v>
      </c>
      <c r="I8500" t="s">
        <v>43724</v>
      </c>
      <c r="J8500" t="s">
        <v>16959</v>
      </c>
      <c r="L8500" t="s">
        <v>27250</v>
      </c>
      <c r="M8500" t="s">
        <v>27251</v>
      </c>
      <c r="N8500" t="s">
        <v>27252</v>
      </c>
      <c r="P8500" t="s">
        <v>27925</v>
      </c>
      <c r="Q8500" s="1">
        <v>44538</v>
      </c>
      <c r="R8500" t="s">
        <v>27253</v>
      </c>
      <c r="S8500" t="s">
        <v>27254</v>
      </c>
      <c r="T8500" t="s">
        <v>27255</v>
      </c>
    </row>
    <row r="8501" spans="1:20" x14ac:dyDescent="0.3">
      <c r="A8501" t="str">
        <f>"0611840235100"</f>
        <v>0611840235100</v>
      </c>
      <c r="B8501" t="str">
        <f>"LK4328"</f>
        <v>LK4328</v>
      </c>
      <c r="C8501" t="s">
        <v>43725</v>
      </c>
      <c r="D8501" t="s">
        <v>28138</v>
      </c>
      <c r="E8501" t="str">
        <f t="shared" si="132"/>
        <v>001390</v>
      </c>
      <c r="F8501" t="s">
        <v>27246</v>
      </c>
      <c r="G8501" t="s">
        <v>27247</v>
      </c>
      <c r="H8501" t="s">
        <v>27248</v>
      </c>
      <c r="I8501" t="s">
        <v>43726</v>
      </c>
      <c r="J8501" t="s">
        <v>16961</v>
      </c>
      <c r="L8501" t="s">
        <v>27250</v>
      </c>
      <c r="M8501" t="s">
        <v>27251</v>
      </c>
      <c r="N8501" t="s">
        <v>27252</v>
      </c>
      <c r="P8501" t="s">
        <v>27925</v>
      </c>
      <c r="Q8501" s="1">
        <v>44538</v>
      </c>
      <c r="R8501" t="s">
        <v>27253</v>
      </c>
      <c r="S8501" t="s">
        <v>27254</v>
      </c>
      <c r="T8501" t="s">
        <v>27255</v>
      </c>
    </row>
    <row r="8502" spans="1:20" x14ac:dyDescent="0.3">
      <c r="A8502" t="str">
        <f>"0611840210100"</f>
        <v>0611840210100</v>
      </c>
      <c r="B8502" t="str">
        <f>"LK0249"</f>
        <v>LK0249</v>
      </c>
      <c r="C8502" t="s">
        <v>43727</v>
      </c>
      <c r="D8502" t="s">
        <v>28138</v>
      </c>
      <c r="E8502" t="str">
        <f t="shared" si="132"/>
        <v>001390</v>
      </c>
      <c r="F8502" t="s">
        <v>27246</v>
      </c>
      <c r="G8502" t="s">
        <v>27247</v>
      </c>
      <c r="H8502" t="s">
        <v>27248</v>
      </c>
      <c r="I8502" t="s">
        <v>43728</v>
      </c>
      <c r="J8502" t="s">
        <v>16963</v>
      </c>
      <c r="L8502" t="s">
        <v>27250</v>
      </c>
      <c r="M8502" t="s">
        <v>27251</v>
      </c>
      <c r="N8502" t="s">
        <v>27252</v>
      </c>
      <c r="P8502" t="s">
        <v>27925</v>
      </c>
      <c r="Q8502" s="1">
        <v>44538</v>
      </c>
      <c r="R8502" t="s">
        <v>27253</v>
      </c>
      <c r="S8502" t="s">
        <v>27254</v>
      </c>
      <c r="T8502" t="s">
        <v>27255</v>
      </c>
    </row>
    <row r="8503" spans="1:20" x14ac:dyDescent="0.3">
      <c r="A8503" t="str">
        <f>"0611840212100"</f>
        <v>0611840212100</v>
      </c>
      <c r="B8503" t="str">
        <f>"LB7845"</f>
        <v>LB7845</v>
      </c>
      <c r="C8503" t="s">
        <v>43729</v>
      </c>
      <c r="D8503" t="s">
        <v>28138</v>
      </c>
      <c r="E8503" t="str">
        <f t="shared" si="132"/>
        <v>001390</v>
      </c>
      <c r="F8503" t="s">
        <v>27246</v>
      </c>
      <c r="G8503" t="s">
        <v>27247</v>
      </c>
      <c r="H8503" t="s">
        <v>27248</v>
      </c>
      <c r="I8503" t="s">
        <v>43730</v>
      </c>
      <c r="J8503" t="s">
        <v>16965</v>
      </c>
      <c r="L8503" t="s">
        <v>27250</v>
      </c>
      <c r="M8503" t="s">
        <v>27251</v>
      </c>
      <c r="N8503" t="s">
        <v>27252</v>
      </c>
      <c r="P8503" t="s">
        <v>27925</v>
      </c>
      <c r="Q8503" s="1">
        <v>44538</v>
      </c>
      <c r="R8503" t="s">
        <v>27253</v>
      </c>
      <c r="S8503" t="s">
        <v>27254</v>
      </c>
      <c r="T8503" t="s">
        <v>27255</v>
      </c>
    </row>
    <row r="8504" spans="1:20" x14ac:dyDescent="0.3">
      <c r="A8504" t="str">
        <f>"0611840251100"</f>
        <v>0611840251100</v>
      </c>
      <c r="B8504" t="str">
        <f>"LB7816"</f>
        <v>LB7816</v>
      </c>
      <c r="C8504" t="s">
        <v>43731</v>
      </c>
      <c r="D8504" t="s">
        <v>28138</v>
      </c>
      <c r="E8504" t="str">
        <f t="shared" si="132"/>
        <v>001390</v>
      </c>
      <c r="F8504" t="s">
        <v>27246</v>
      </c>
      <c r="G8504" t="s">
        <v>27247</v>
      </c>
      <c r="H8504" t="s">
        <v>27248</v>
      </c>
      <c r="I8504" t="s">
        <v>43732</v>
      </c>
      <c r="J8504" t="s">
        <v>16967</v>
      </c>
      <c r="L8504" t="s">
        <v>27250</v>
      </c>
      <c r="M8504" t="s">
        <v>27251</v>
      </c>
      <c r="N8504" t="s">
        <v>27252</v>
      </c>
      <c r="P8504" t="s">
        <v>27925</v>
      </c>
      <c r="Q8504" s="1">
        <v>44538</v>
      </c>
      <c r="R8504" t="s">
        <v>27253</v>
      </c>
      <c r="S8504" t="s">
        <v>27254</v>
      </c>
      <c r="T8504" t="s">
        <v>27255</v>
      </c>
    </row>
    <row r="8505" spans="1:20" x14ac:dyDescent="0.3">
      <c r="A8505" t="str">
        <f>"0611840252100"</f>
        <v>0611840252100</v>
      </c>
      <c r="B8505" t="str">
        <f>"LB7846"</f>
        <v>LB7846</v>
      </c>
      <c r="C8505" t="s">
        <v>43733</v>
      </c>
      <c r="D8505" t="s">
        <v>28138</v>
      </c>
      <c r="E8505" t="str">
        <f t="shared" si="132"/>
        <v>001390</v>
      </c>
      <c r="F8505" t="s">
        <v>27246</v>
      </c>
      <c r="G8505" t="s">
        <v>27247</v>
      </c>
      <c r="H8505" t="s">
        <v>27248</v>
      </c>
      <c r="I8505" t="s">
        <v>43734</v>
      </c>
      <c r="J8505" t="s">
        <v>16969</v>
      </c>
      <c r="L8505" t="s">
        <v>27250</v>
      </c>
      <c r="M8505" t="s">
        <v>27251</v>
      </c>
      <c r="N8505" t="s">
        <v>27252</v>
      </c>
      <c r="P8505" t="s">
        <v>27925</v>
      </c>
      <c r="Q8505" s="1">
        <v>44538</v>
      </c>
      <c r="R8505" t="s">
        <v>27253</v>
      </c>
      <c r="S8505" t="s">
        <v>27254</v>
      </c>
      <c r="T8505" t="s">
        <v>27255</v>
      </c>
    </row>
    <row r="8506" spans="1:20" x14ac:dyDescent="0.3">
      <c r="A8506" t="str">
        <f>"0611840243100"</f>
        <v>0611840243100</v>
      </c>
      <c r="B8506" t="str">
        <f>"LK4488"</f>
        <v>LK4488</v>
      </c>
      <c r="C8506" t="s">
        <v>43735</v>
      </c>
      <c r="D8506" t="s">
        <v>28138</v>
      </c>
      <c r="E8506" t="str">
        <f t="shared" si="132"/>
        <v>001390</v>
      </c>
      <c r="F8506" t="s">
        <v>27246</v>
      </c>
      <c r="G8506" t="s">
        <v>27247</v>
      </c>
      <c r="H8506" t="s">
        <v>27248</v>
      </c>
      <c r="I8506" t="s">
        <v>43736</v>
      </c>
      <c r="J8506" t="s">
        <v>16971</v>
      </c>
      <c r="L8506" t="s">
        <v>27250</v>
      </c>
      <c r="M8506" t="s">
        <v>27251</v>
      </c>
      <c r="N8506" t="s">
        <v>27252</v>
      </c>
      <c r="P8506" t="s">
        <v>27925</v>
      </c>
      <c r="Q8506" s="1">
        <v>44538</v>
      </c>
      <c r="R8506" t="s">
        <v>27253</v>
      </c>
      <c r="S8506" t="s">
        <v>27254</v>
      </c>
      <c r="T8506" t="s">
        <v>27255</v>
      </c>
    </row>
    <row r="8507" spans="1:20" x14ac:dyDescent="0.3">
      <c r="A8507" t="str">
        <f>"0611840269100"</f>
        <v>0611840269100</v>
      </c>
      <c r="B8507" t="str">
        <f>"LK2216"</f>
        <v>LK2216</v>
      </c>
      <c r="C8507" t="s">
        <v>43737</v>
      </c>
      <c r="D8507" t="s">
        <v>28138</v>
      </c>
      <c r="E8507" t="str">
        <f t="shared" si="132"/>
        <v>001390</v>
      </c>
      <c r="F8507" t="s">
        <v>27246</v>
      </c>
      <c r="G8507" t="s">
        <v>27247</v>
      </c>
      <c r="H8507" t="s">
        <v>27248</v>
      </c>
      <c r="I8507" t="s">
        <v>43738</v>
      </c>
      <c r="J8507" t="s">
        <v>16973</v>
      </c>
      <c r="L8507" t="s">
        <v>27250</v>
      </c>
      <c r="M8507" t="s">
        <v>27251</v>
      </c>
      <c r="N8507" t="s">
        <v>27252</v>
      </c>
      <c r="P8507" t="s">
        <v>27925</v>
      </c>
      <c r="Q8507" s="1">
        <v>44538</v>
      </c>
      <c r="R8507" t="s">
        <v>27253</v>
      </c>
      <c r="S8507" t="s">
        <v>27254</v>
      </c>
      <c r="T8507" t="s">
        <v>27255</v>
      </c>
    </row>
    <row r="8508" spans="1:20" x14ac:dyDescent="0.3">
      <c r="A8508" t="str">
        <f>"0611840270100"</f>
        <v>0611840270100</v>
      </c>
      <c r="B8508" t="str">
        <f>"LK2921"</f>
        <v>LK2921</v>
      </c>
      <c r="C8508" t="s">
        <v>43739</v>
      </c>
      <c r="D8508" t="s">
        <v>28138</v>
      </c>
      <c r="E8508" t="str">
        <f t="shared" si="132"/>
        <v>001390</v>
      </c>
      <c r="F8508" t="s">
        <v>27246</v>
      </c>
      <c r="G8508" t="s">
        <v>27247</v>
      </c>
      <c r="H8508" t="s">
        <v>27248</v>
      </c>
      <c r="I8508" t="s">
        <v>43740</v>
      </c>
      <c r="J8508" t="s">
        <v>16975</v>
      </c>
      <c r="L8508" t="s">
        <v>27250</v>
      </c>
      <c r="M8508" t="s">
        <v>27251</v>
      </c>
      <c r="N8508" t="s">
        <v>27252</v>
      </c>
      <c r="P8508" t="s">
        <v>27925</v>
      </c>
      <c r="Q8508" s="1">
        <v>44538</v>
      </c>
      <c r="R8508" t="s">
        <v>27253</v>
      </c>
      <c r="S8508" t="s">
        <v>27254</v>
      </c>
      <c r="T8508" t="s">
        <v>27255</v>
      </c>
    </row>
    <row r="8509" spans="1:20" x14ac:dyDescent="0.3">
      <c r="A8509" t="str">
        <f>"0611840230100"</f>
        <v>0611840230100</v>
      </c>
      <c r="B8509" t="str">
        <f>"LK1321"</f>
        <v>LK1321</v>
      </c>
      <c r="C8509" t="s">
        <v>43741</v>
      </c>
      <c r="D8509" t="s">
        <v>28138</v>
      </c>
      <c r="E8509" t="str">
        <f t="shared" si="132"/>
        <v>001390</v>
      </c>
      <c r="F8509" t="s">
        <v>27246</v>
      </c>
      <c r="G8509" t="s">
        <v>27247</v>
      </c>
      <c r="H8509" t="s">
        <v>27248</v>
      </c>
      <c r="I8509" t="s">
        <v>43742</v>
      </c>
      <c r="J8509" t="s">
        <v>16977</v>
      </c>
      <c r="L8509" t="s">
        <v>27250</v>
      </c>
      <c r="M8509" t="s">
        <v>27251</v>
      </c>
      <c r="N8509" t="s">
        <v>27252</v>
      </c>
      <c r="P8509" t="s">
        <v>27925</v>
      </c>
      <c r="Q8509" s="1">
        <v>44538</v>
      </c>
      <c r="R8509" t="s">
        <v>27253</v>
      </c>
      <c r="S8509" t="s">
        <v>27254</v>
      </c>
      <c r="T8509" t="s">
        <v>27255</v>
      </c>
    </row>
    <row r="8510" spans="1:20" x14ac:dyDescent="0.3">
      <c r="A8510" t="str">
        <f>"0611840206100"</f>
        <v>0611840206100</v>
      </c>
      <c r="B8510" t="str">
        <f>"LK2915"</f>
        <v>LK2915</v>
      </c>
      <c r="C8510" t="s">
        <v>43743</v>
      </c>
      <c r="D8510" t="s">
        <v>28138</v>
      </c>
      <c r="E8510" t="str">
        <f t="shared" si="132"/>
        <v>001390</v>
      </c>
      <c r="F8510" t="s">
        <v>27246</v>
      </c>
      <c r="G8510" t="s">
        <v>27247</v>
      </c>
      <c r="H8510" t="s">
        <v>27248</v>
      </c>
      <c r="I8510" t="s">
        <v>43744</v>
      </c>
      <c r="J8510" t="s">
        <v>16979</v>
      </c>
      <c r="L8510" t="s">
        <v>27250</v>
      </c>
      <c r="M8510" t="s">
        <v>27251</v>
      </c>
      <c r="N8510" t="s">
        <v>27252</v>
      </c>
      <c r="P8510" t="s">
        <v>27925</v>
      </c>
      <c r="Q8510" s="1">
        <v>44538</v>
      </c>
      <c r="R8510" t="s">
        <v>27253</v>
      </c>
      <c r="S8510" t="s">
        <v>27254</v>
      </c>
      <c r="T8510" t="s">
        <v>27255</v>
      </c>
    </row>
    <row r="8511" spans="1:20" x14ac:dyDescent="0.3">
      <c r="A8511" t="str">
        <f>"0611840209100"</f>
        <v>0611840209100</v>
      </c>
      <c r="B8511" t="str">
        <f>"LB7813"</f>
        <v>LB7813</v>
      </c>
      <c r="C8511" t="s">
        <v>43745</v>
      </c>
      <c r="D8511" t="s">
        <v>28138</v>
      </c>
      <c r="E8511" t="str">
        <f t="shared" si="132"/>
        <v>001390</v>
      </c>
      <c r="F8511" t="s">
        <v>27246</v>
      </c>
      <c r="G8511" t="s">
        <v>27247</v>
      </c>
      <c r="H8511" t="s">
        <v>27248</v>
      </c>
      <c r="I8511" t="s">
        <v>43746</v>
      </c>
      <c r="J8511" t="s">
        <v>16981</v>
      </c>
      <c r="L8511" t="s">
        <v>27250</v>
      </c>
      <c r="M8511" t="s">
        <v>27251</v>
      </c>
      <c r="N8511" t="s">
        <v>27252</v>
      </c>
      <c r="P8511" t="s">
        <v>27925</v>
      </c>
      <c r="Q8511" s="1">
        <v>44538</v>
      </c>
      <c r="R8511" t="s">
        <v>27253</v>
      </c>
      <c r="S8511" t="s">
        <v>27254</v>
      </c>
      <c r="T8511" t="s">
        <v>27255</v>
      </c>
    </row>
    <row r="8512" spans="1:20" x14ac:dyDescent="0.3">
      <c r="A8512" t="str">
        <f>"0611840211100"</f>
        <v>0611840211100</v>
      </c>
      <c r="B8512" t="str">
        <f>"LB1919"</f>
        <v>LB1919</v>
      </c>
      <c r="C8512" t="s">
        <v>43747</v>
      </c>
      <c r="D8512" t="s">
        <v>28138</v>
      </c>
      <c r="E8512" t="str">
        <f t="shared" si="132"/>
        <v>001390</v>
      </c>
      <c r="F8512" t="s">
        <v>27246</v>
      </c>
      <c r="G8512" t="s">
        <v>27247</v>
      </c>
      <c r="H8512" t="s">
        <v>27248</v>
      </c>
      <c r="I8512" t="s">
        <v>43748</v>
      </c>
      <c r="J8512" t="s">
        <v>16983</v>
      </c>
      <c r="L8512" t="s">
        <v>27250</v>
      </c>
      <c r="M8512" t="s">
        <v>27251</v>
      </c>
      <c r="N8512" t="s">
        <v>27252</v>
      </c>
      <c r="P8512" t="s">
        <v>27925</v>
      </c>
      <c r="Q8512" s="1">
        <v>44538</v>
      </c>
      <c r="R8512" t="s">
        <v>27253</v>
      </c>
      <c r="S8512" t="s">
        <v>27254</v>
      </c>
      <c r="T8512" t="s">
        <v>27255</v>
      </c>
    </row>
    <row r="8513" spans="1:20" x14ac:dyDescent="0.3">
      <c r="A8513" t="str">
        <f>"0611840233100"</f>
        <v>0611840233100</v>
      </c>
      <c r="B8513" t="str">
        <f>"LK5032"</f>
        <v>LK5032</v>
      </c>
      <c r="C8513" t="s">
        <v>43749</v>
      </c>
      <c r="D8513" t="s">
        <v>28138</v>
      </c>
      <c r="E8513" t="str">
        <f t="shared" si="132"/>
        <v>001390</v>
      </c>
      <c r="F8513" t="s">
        <v>27246</v>
      </c>
      <c r="G8513" t="s">
        <v>27247</v>
      </c>
      <c r="H8513" t="s">
        <v>27248</v>
      </c>
      <c r="I8513" t="s">
        <v>43750</v>
      </c>
      <c r="J8513" t="s">
        <v>16985</v>
      </c>
      <c r="L8513" t="s">
        <v>27250</v>
      </c>
      <c r="M8513" t="s">
        <v>27251</v>
      </c>
      <c r="N8513" t="s">
        <v>27252</v>
      </c>
      <c r="P8513" t="s">
        <v>27925</v>
      </c>
      <c r="Q8513" s="1">
        <v>44538</v>
      </c>
      <c r="R8513" t="s">
        <v>27253</v>
      </c>
      <c r="S8513" t="s">
        <v>27254</v>
      </c>
      <c r="T8513" t="s">
        <v>27255</v>
      </c>
    </row>
    <row r="8514" spans="1:20" x14ac:dyDescent="0.3">
      <c r="A8514" t="str">
        <f>"0611840218100"</f>
        <v>0611840218100</v>
      </c>
      <c r="B8514" t="str">
        <f>"LK4486"</f>
        <v>LK4486</v>
      </c>
      <c r="C8514" t="s">
        <v>43751</v>
      </c>
      <c r="D8514" t="s">
        <v>28138</v>
      </c>
      <c r="E8514" t="str">
        <f t="shared" ref="E8514:E8577" si="133">"001390"</f>
        <v>001390</v>
      </c>
      <c r="F8514" t="s">
        <v>27246</v>
      </c>
      <c r="G8514" t="s">
        <v>27247</v>
      </c>
      <c r="H8514" t="s">
        <v>27248</v>
      </c>
      <c r="I8514" t="s">
        <v>43752</v>
      </c>
      <c r="J8514" t="s">
        <v>16987</v>
      </c>
      <c r="L8514" t="s">
        <v>27250</v>
      </c>
      <c r="M8514" t="s">
        <v>27251</v>
      </c>
      <c r="N8514" t="s">
        <v>27252</v>
      </c>
      <c r="P8514" t="s">
        <v>27925</v>
      </c>
      <c r="Q8514" s="1">
        <v>44538</v>
      </c>
      <c r="R8514" t="s">
        <v>27253</v>
      </c>
      <c r="S8514" t="s">
        <v>27254</v>
      </c>
      <c r="T8514" t="s">
        <v>27255</v>
      </c>
    </row>
    <row r="8515" spans="1:20" x14ac:dyDescent="0.3">
      <c r="A8515" t="str">
        <f>"0611840207100"</f>
        <v>0611840207100</v>
      </c>
      <c r="B8515" t="str">
        <f>"LB5947"</f>
        <v>LB5947</v>
      </c>
      <c r="C8515" t="s">
        <v>43753</v>
      </c>
      <c r="D8515" t="s">
        <v>28138</v>
      </c>
      <c r="E8515" t="str">
        <f t="shared" si="133"/>
        <v>001390</v>
      </c>
      <c r="F8515" t="s">
        <v>27246</v>
      </c>
      <c r="G8515" t="s">
        <v>27247</v>
      </c>
      <c r="H8515" t="s">
        <v>27248</v>
      </c>
      <c r="I8515" t="s">
        <v>43754</v>
      </c>
      <c r="J8515" t="s">
        <v>16989</v>
      </c>
      <c r="L8515" t="s">
        <v>27250</v>
      </c>
      <c r="M8515" t="s">
        <v>27251</v>
      </c>
      <c r="N8515" t="s">
        <v>27252</v>
      </c>
      <c r="P8515" t="s">
        <v>27925</v>
      </c>
      <c r="Q8515" s="1">
        <v>44538</v>
      </c>
      <c r="R8515" t="s">
        <v>27253</v>
      </c>
      <c r="S8515" t="s">
        <v>27254</v>
      </c>
      <c r="T8515" t="s">
        <v>27255</v>
      </c>
    </row>
    <row r="8516" spans="1:20" x14ac:dyDescent="0.3">
      <c r="A8516" t="str">
        <f>"0611840221100"</f>
        <v>0611840221100</v>
      </c>
      <c r="B8516" t="str">
        <f>"LK2918"</f>
        <v>LK2918</v>
      </c>
      <c r="C8516" t="s">
        <v>43755</v>
      </c>
      <c r="D8516" t="s">
        <v>28138</v>
      </c>
      <c r="E8516" t="str">
        <f t="shared" si="133"/>
        <v>001390</v>
      </c>
      <c r="F8516" t="s">
        <v>27246</v>
      </c>
      <c r="G8516" t="s">
        <v>27247</v>
      </c>
      <c r="H8516" t="s">
        <v>27248</v>
      </c>
      <c r="I8516" t="s">
        <v>43756</v>
      </c>
      <c r="J8516" t="s">
        <v>16991</v>
      </c>
      <c r="L8516" t="s">
        <v>27250</v>
      </c>
      <c r="M8516" t="s">
        <v>27251</v>
      </c>
      <c r="N8516" t="s">
        <v>27252</v>
      </c>
      <c r="P8516" t="s">
        <v>27925</v>
      </c>
      <c r="Q8516" s="1">
        <v>44538</v>
      </c>
      <c r="R8516" t="s">
        <v>27253</v>
      </c>
      <c r="S8516" t="s">
        <v>27254</v>
      </c>
      <c r="T8516" t="s">
        <v>27255</v>
      </c>
    </row>
    <row r="8517" spans="1:20" x14ac:dyDescent="0.3">
      <c r="A8517" t="str">
        <f>"0611840222100"</f>
        <v>0611840222100</v>
      </c>
      <c r="B8517" t="str">
        <f>"LK1641"</f>
        <v>LK1641</v>
      </c>
      <c r="C8517" t="s">
        <v>43757</v>
      </c>
      <c r="D8517" t="s">
        <v>28138</v>
      </c>
      <c r="E8517" t="str">
        <f t="shared" si="133"/>
        <v>001390</v>
      </c>
      <c r="F8517" t="s">
        <v>27246</v>
      </c>
      <c r="G8517" t="s">
        <v>27247</v>
      </c>
      <c r="H8517" t="s">
        <v>27248</v>
      </c>
      <c r="I8517" t="s">
        <v>43758</v>
      </c>
      <c r="J8517" t="s">
        <v>16997</v>
      </c>
      <c r="L8517" t="s">
        <v>27250</v>
      </c>
      <c r="M8517" t="s">
        <v>27251</v>
      </c>
      <c r="N8517" t="s">
        <v>27252</v>
      </c>
      <c r="P8517" t="s">
        <v>27925</v>
      </c>
      <c r="Q8517" s="1">
        <v>44538</v>
      </c>
      <c r="R8517" t="s">
        <v>27253</v>
      </c>
      <c r="S8517" t="s">
        <v>27254</v>
      </c>
      <c r="T8517" t="s">
        <v>27255</v>
      </c>
    </row>
    <row r="8518" spans="1:20" x14ac:dyDescent="0.3">
      <c r="A8518" t="str">
        <f>"0611840223100"</f>
        <v>0611840223100</v>
      </c>
      <c r="B8518" t="str">
        <f>"LB5840"</f>
        <v>LB5840</v>
      </c>
      <c r="C8518" t="s">
        <v>43759</v>
      </c>
      <c r="D8518" t="s">
        <v>28138</v>
      </c>
      <c r="E8518" t="str">
        <f t="shared" si="133"/>
        <v>001390</v>
      </c>
      <c r="F8518" t="s">
        <v>27246</v>
      </c>
      <c r="G8518" t="s">
        <v>27247</v>
      </c>
      <c r="H8518" t="s">
        <v>27248</v>
      </c>
      <c r="I8518" t="s">
        <v>43760</v>
      </c>
      <c r="J8518" t="s">
        <v>16993</v>
      </c>
      <c r="L8518" t="s">
        <v>27250</v>
      </c>
      <c r="M8518" t="s">
        <v>27251</v>
      </c>
      <c r="N8518" t="s">
        <v>27252</v>
      </c>
      <c r="P8518" t="s">
        <v>27925</v>
      </c>
      <c r="Q8518" s="1">
        <v>44538</v>
      </c>
      <c r="R8518" t="s">
        <v>27253</v>
      </c>
      <c r="S8518" t="s">
        <v>27254</v>
      </c>
      <c r="T8518" t="s">
        <v>27255</v>
      </c>
    </row>
    <row r="8519" spans="1:20" x14ac:dyDescent="0.3">
      <c r="A8519" t="str">
        <f>"0611840224100"</f>
        <v>0611840224100</v>
      </c>
      <c r="B8519" t="str">
        <f>"LK0820"</f>
        <v>LK0820</v>
      </c>
      <c r="C8519" t="s">
        <v>43761</v>
      </c>
      <c r="D8519" t="s">
        <v>28138</v>
      </c>
      <c r="E8519" t="str">
        <f t="shared" si="133"/>
        <v>001390</v>
      </c>
      <c r="F8519" t="s">
        <v>27246</v>
      </c>
      <c r="G8519" t="s">
        <v>27247</v>
      </c>
      <c r="H8519" t="s">
        <v>27248</v>
      </c>
      <c r="I8519" t="s">
        <v>43762</v>
      </c>
      <c r="J8519" t="s">
        <v>16995</v>
      </c>
      <c r="L8519" t="s">
        <v>27250</v>
      </c>
      <c r="M8519" t="s">
        <v>27251</v>
      </c>
      <c r="N8519" t="s">
        <v>27252</v>
      </c>
      <c r="P8519" t="s">
        <v>27925</v>
      </c>
      <c r="Q8519" s="1">
        <v>44538</v>
      </c>
      <c r="R8519" t="s">
        <v>27253</v>
      </c>
      <c r="S8519" t="s">
        <v>27254</v>
      </c>
      <c r="T8519" t="s">
        <v>27255</v>
      </c>
    </row>
    <row r="8520" spans="1:20" x14ac:dyDescent="0.3">
      <c r="A8520" t="str">
        <f>"0611840226100"</f>
        <v>0611840226100</v>
      </c>
      <c r="B8520" t="str">
        <f>"LK1320"</f>
        <v>LK1320</v>
      </c>
      <c r="C8520" t="s">
        <v>43763</v>
      </c>
      <c r="D8520" t="s">
        <v>28138</v>
      </c>
      <c r="E8520" t="str">
        <f t="shared" si="133"/>
        <v>001390</v>
      </c>
      <c r="F8520" t="s">
        <v>27246</v>
      </c>
      <c r="G8520" t="s">
        <v>27247</v>
      </c>
      <c r="H8520" t="s">
        <v>27248</v>
      </c>
      <c r="I8520" t="s">
        <v>43764</v>
      </c>
      <c r="J8520" t="s">
        <v>16999</v>
      </c>
      <c r="L8520" t="s">
        <v>27250</v>
      </c>
      <c r="M8520" t="s">
        <v>27251</v>
      </c>
      <c r="N8520" t="s">
        <v>27252</v>
      </c>
      <c r="P8520" t="s">
        <v>27925</v>
      </c>
      <c r="Q8520" s="1">
        <v>44538</v>
      </c>
      <c r="R8520" t="s">
        <v>27253</v>
      </c>
      <c r="S8520" t="s">
        <v>27254</v>
      </c>
      <c r="T8520" t="s">
        <v>27255</v>
      </c>
    </row>
    <row r="8521" spans="1:20" x14ac:dyDescent="0.3">
      <c r="A8521" t="str">
        <f>"0611840236100"</f>
        <v>0611840236100</v>
      </c>
      <c r="B8521" t="str">
        <f>"LK5823"</f>
        <v>LK5823</v>
      </c>
      <c r="C8521" t="s">
        <v>43765</v>
      </c>
      <c r="D8521" t="s">
        <v>28138</v>
      </c>
      <c r="E8521" t="str">
        <f t="shared" si="133"/>
        <v>001390</v>
      </c>
      <c r="F8521" t="s">
        <v>27246</v>
      </c>
      <c r="G8521" t="s">
        <v>27247</v>
      </c>
      <c r="H8521" t="s">
        <v>27248</v>
      </c>
      <c r="I8521" t="s">
        <v>43766</v>
      </c>
      <c r="J8521" t="s">
        <v>17025</v>
      </c>
      <c r="L8521" t="s">
        <v>27250</v>
      </c>
      <c r="M8521" t="s">
        <v>27251</v>
      </c>
      <c r="N8521" t="s">
        <v>27252</v>
      </c>
      <c r="P8521" t="s">
        <v>27925</v>
      </c>
      <c r="Q8521" s="1">
        <v>44538</v>
      </c>
      <c r="R8521" t="s">
        <v>27253</v>
      </c>
      <c r="S8521" t="s">
        <v>27254</v>
      </c>
      <c r="T8521" t="s">
        <v>27255</v>
      </c>
    </row>
    <row r="8522" spans="1:20" x14ac:dyDescent="0.3">
      <c r="A8522" t="str">
        <f>"0611840215100"</f>
        <v>0611840215100</v>
      </c>
      <c r="B8522" t="str">
        <f>"LK2917"</f>
        <v>LK2917</v>
      </c>
      <c r="C8522" t="s">
        <v>43767</v>
      </c>
      <c r="D8522" t="s">
        <v>28138</v>
      </c>
      <c r="E8522" t="str">
        <f t="shared" si="133"/>
        <v>001390</v>
      </c>
      <c r="F8522" t="s">
        <v>27246</v>
      </c>
      <c r="G8522" t="s">
        <v>27247</v>
      </c>
      <c r="H8522" t="s">
        <v>27248</v>
      </c>
      <c r="I8522" t="s">
        <v>43768</v>
      </c>
      <c r="J8522" t="s">
        <v>17001</v>
      </c>
      <c r="L8522" t="s">
        <v>27250</v>
      </c>
      <c r="M8522" t="s">
        <v>27251</v>
      </c>
      <c r="N8522" t="s">
        <v>27252</v>
      </c>
      <c r="P8522" t="s">
        <v>27925</v>
      </c>
      <c r="Q8522" s="1">
        <v>44538</v>
      </c>
      <c r="R8522" t="s">
        <v>27253</v>
      </c>
      <c r="S8522" t="s">
        <v>27254</v>
      </c>
      <c r="T8522" t="s">
        <v>27255</v>
      </c>
    </row>
    <row r="8523" spans="1:20" x14ac:dyDescent="0.3">
      <c r="A8523" t="str">
        <f>"0611840203100"</f>
        <v>0611840203100</v>
      </c>
      <c r="B8523" t="str">
        <f>"LK1319"</f>
        <v>LK1319</v>
      </c>
      <c r="C8523" t="s">
        <v>43769</v>
      </c>
      <c r="D8523" t="s">
        <v>28138</v>
      </c>
      <c r="E8523" t="str">
        <f t="shared" si="133"/>
        <v>001390</v>
      </c>
      <c r="F8523" t="s">
        <v>27246</v>
      </c>
      <c r="G8523" t="s">
        <v>27247</v>
      </c>
      <c r="H8523" t="s">
        <v>27248</v>
      </c>
      <c r="I8523" t="s">
        <v>43770</v>
      </c>
      <c r="J8523" t="s">
        <v>17003</v>
      </c>
      <c r="L8523" t="s">
        <v>27250</v>
      </c>
      <c r="M8523" t="s">
        <v>27251</v>
      </c>
      <c r="N8523" t="s">
        <v>27252</v>
      </c>
      <c r="P8523" t="s">
        <v>27925</v>
      </c>
      <c r="Q8523" s="1">
        <v>44538</v>
      </c>
      <c r="R8523" t="s">
        <v>27253</v>
      </c>
      <c r="S8523" t="s">
        <v>27254</v>
      </c>
      <c r="T8523" t="s">
        <v>27255</v>
      </c>
    </row>
    <row r="8524" spans="1:20" x14ac:dyDescent="0.3">
      <c r="A8524" t="str">
        <f>"0611840247100"</f>
        <v>0611840247100</v>
      </c>
      <c r="B8524" t="str">
        <f>"LB7814"</f>
        <v>LB7814</v>
      </c>
      <c r="C8524" t="s">
        <v>43771</v>
      </c>
      <c r="D8524" t="s">
        <v>28138</v>
      </c>
      <c r="E8524" t="str">
        <f t="shared" si="133"/>
        <v>001390</v>
      </c>
      <c r="F8524" t="s">
        <v>27246</v>
      </c>
      <c r="G8524" t="s">
        <v>27247</v>
      </c>
      <c r="H8524" t="s">
        <v>27248</v>
      </c>
      <c r="I8524" t="s">
        <v>43772</v>
      </c>
      <c r="J8524" t="s">
        <v>17005</v>
      </c>
      <c r="L8524" t="s">
        <v>27250</v>
      </c>
      <c r="M8524" t="s">
        <v>27251</v>
      </c>
      <c r="N8524" t="s">
        <v>27252</v>
      </c>
      <c r="P8524" t="s">
        <v>27925</v>
      </c>
      <c r="Q8524" s="1">
        <v>44538</v>
      </c>
      <c r="R8524" t="s">
        <v>27253</v>
      </c>
      <c r="S8524" t="s">
        <v>27254</v>
      </c>
      <c r="T8524" t="s">
        <v>27255</v>
      </c>
    </row>
    <row r="8525" spans="1:20" x14ac:dyDescent="0.3">
      <c r="A8525" t="str">
        <f>"0611840225100"</f>
        <v>0611840225100</v>
      </c>
      <c r="B8525" t="str">
        <f>"LK3404"</f>
        <v>LK3404</v>
      </c>
      <c r="C8525" t="s">
        <v>43773</v>
      </c>
      <c r="D8525" t="s">
        <v>28138</v>
      </c>
      <c r="E8525" t="str">
        <f t="shared" si="133"/>
        <v>001390</v>
      </c>
      <c r="F8525" t="s">
        <v>27246</v>
      </c>
      <c r="G8525" t="s">
        <v>27247</v>
      </c>
      <c r="H8525" t="s">
        <v>27248</v>
      </c>
      <c r="I8525" t="s">
        <v>43774</v>
      </c>
      <c r="J8525" t="s">
        <v>17007</v>
      </c>
      <c r="L8525" t="s">
        <v>27250</v>
      </c>
      <c r="M8525" t="s">
        <v>27251</v>
      </c>
      <c r="N8525" t="s">
        <v>27252</v>
      </c>
      <c r="P8525" t="s">
        <v>27925</v>
      </c>
      <c r="Q8525" s="1">
        <v>44538</v>
      </c>
      <c r="R8525" t="s">
        <v>27253</v>
      </c>
      <c r="S8525" t="s">
        <v>27254</v>
      </c>
      <c r="T8525" t="s">
        <v>27255</v>
      </c>
    </row>
    <row r="8526" spans="1:20" x14ac:dyDescent="0.3">
      <c r="A8526" t="str">
        <f>"0611840238100"</f>
        <v>0611840238100</v>
      </c>
      <c r="B8526" t="str">
        <f>"LK5033"</f>
        <v>LK5033</v>
      </c>
      <c r="C8526" t="s">
        <v>43775</v>
      </c>
      <c r="D8526" t="s">
        <v>28138</v>
      </c>
      <c r="E8526" t="str">
        <f t="shared" si="133"/>
        <v>001390</v>
      </c>
      <c r="F8526" t="s">
        <v>27246</v>
      </c>
      <c r="G8526" t="s">
        <v>27247</v>
      </c>
      <c r="H8526" t="s">
        <v>27248</v>
      </c>
      <c r="I8526" t="s">
        <v>43776</v>
      </c>
      <c r="J8526" t="s">
        <v>17009</v>
      </c>
      <c r="L8526" t="s">
        <v>27250</v>
      </c>
      <c r="M8526" t="s">
        <v>27251</v>
      </c>
      <c r="N8526" t="s">
        <v>27252</v>
      </c>
      <c r="P8526" t="s">
        <v>27925</v>
      </c>
      <c r="Q8526" s="1">
        <v>44538</v>
      </c>
      <c r="R8526" t="s">
        <v>27253</v>
      </c>
      <c r="S8526" t="s">
        <v>27254</v>
      </c>
      <c r="T8526" t="s">
        <v>27255</v>
      </c>
    </row>
    <row r="8527" spans="1:20" x14ac:dyDescent="0.3">
      <c r="A8527" t="str">
        <f>"0611840244100"</f>
        <v>0611840244100</v>
      </c>
      <c r="B8527" t="str">
        <f>"LK3405"</f>
        <v>LK3405</v>
      </c>
      <c r="C8527" t="s">
        <v>43777</v>
      </c>
      <c r="D8527" t="s">
        <v>28138</v>
      </c>
      <c r="E8527" t="str">
        <f t="shared" si="133"/>
        <v>001390</v>
      </c>
      <c r="F8527" t="s">
        <v>27246</v>
      </c>
      <c r="G8527" t="s">
        <v>27247</v>
      </c>
      <c r="H8527" t="s">
        <v>27248</v>
      </c>
      <c r="I8527" t="s">
        <v>43778</v>
      </c>
      <c r="J8527" t="s">
        <v>17011</v>
      </c>
      <c r="L8527" t="s">
        <v>27250</v>
      </c>
      <c r="M8527" t="s">
        <v>27251</v>
      </c>
      <c r="N8527" t="s">
        <v>27252</v>
      </c>
      <c r="O8527">
        <v>100</v>
      </c>
      <c r="P8527" t="s">
        <v>27925</v>
      </c>
      <c r="Q8527" s="1">
        <v>44538</v>
      </c>
      <c r="R8527" t="s">
        <v>27253</v>
      </c>
      <c r="S8527" t="s">
        <v>27254</v>
      </c>
      <c r="T8527" t="s">
        <v>27255</v>
      </c>
    </row>
    <row r="8528" spans="1:20" x14ac:dyDescent="0.3">
      <c r="A8528" t="str">
        <f>"0611840227100"</f>
        <v>0611840227100</v>
      </c>
      <c r="B8528" t="str">
        <f>"LK0822"</f>
        <v>LK0822</v>
      </c>
      <c r="C8528" t="s">
        <v>43779</v>
      </c>
      <c r="D8528" t="s">
        <v>28138</v>
      </c>
      <c r="E8528" t="str">
        <f t="shared" si="133"/>
        <v>001390</v>
      </c>
      <c r="F8528" t="s">
        <v>27246</v>
      </c>
      <c r="G8528" t="s">
        <v>27247</v>
      </c>
      <c r="H8528" t="s">
        <v>27248</v>
      </c>
      <c r="I8528" t="s">
        <v>43780</v>
      </c>
      <c r="J8528" t="s">
        <v>17013</v>
      </c>
      <c r="L8528" t="s">
        <v>27250</v>
      </c>
      <c r="M8528" t="s">
        <v>27251</v>
      </c>
      <c r="N8528" t="s">
        <v>27252</v>
      </c>
      <c r="P8528" t="s">
        <v>27925</v>
      </c>
      <c r="Q8528" s="1">
        <v>44538</v>
      </c>
      <c r="R8528" t="s">
        <v>27253</v>
      </c>
      <c r="S8528" t="s">
        <v>27254</v>
      </c>
      <c r="T8528" t="s">
        <v>27255</v>
      </c>
    </row>
    <row r="8529" spans="1:20" x14ac:dyDescent="0.3">
      <c r="A8529" t="str">
        <f>"0611840239100"</f>
        <v>0611840239100</v>
      </c>
      <c r="B8529" t="str">
        <f>"LK0823"</f>
        <v>LK0823</v>
      </c>
      <c r="C8529" t="s">
        <v>43781</v>
      </c>
      <c r="D8529" t="s">
        <v>28138</v>
      </c>
      <c r="E8529" t="str">
        <f t="shared" si="133"/>
        <v>001390</v>
      </c>
      <c r="F8529" t="s">
        <v>27246</v>
      </c>
      <c r="G8529" t="s">
        <v>27247</v>
      </c>
      <c r="H8529" t="s">
        <v>27248</v>
      </c>
      <c r="I8529" t="s">
        <v>43782</v>
      </c>
      <c r="J8529" t="s">
        <v>17015</v>
      </c>
      <c r="L8529" t="s">
        <v>27250</v>
      </c>
      <c r="M8529" t="s">
        <v>27251</v>
      </c>
      <c r="N8529" t="s">
        <v>27252</v>
      </c>
      <c r="P8529" t="s">
        <v>27925</v>
      </c>
      <c r="Q8529" s="1">
        <v>44538</v>
      </c>
      <c r="R8529" t="s">
        <v>27253</v>
      </c>
      <c r="S8529" t="s">
        <v>27254</v>
      </c>
      <c r="T8529" t="s">
        <v>27255</v>
      </c>
    </row>
    <row r="8530" spans="1:20" x14ac:dyDescent="0.3">
      <c r="A8530" t="str">
        <f>"0611840240100"</f>
        <v>0611840240100</v>
      </c>
      <c r="B8530" t="str">
        <f>"LK0824"</f>
        <v>LK0824</v>
      </c>
      <c r="C8530" t="s">
        <v>43783</v>
      </c>
      <c r="D8530" t="s">
        <v>28138</v>
      </c>
      <c r="E8530" t="str">
        <f t="shared" si="133"/>
        <v>001390</v>
      </c>
      <c r="F8530" t="s">
        <v>27246</v>
      </c>
      <c r="G8530" t="s">
        <v>27247</v>
      </c>
      <c r="H8530" t="s">
        <v>27248</v>
      </c>
      <c r="I8530" t="s">
        <v>43784</v>
      </c>
      <c r="J8530" t="s">
        <v>17017</v>
      </c>
      <c r="L8530" t="s">
        <v>27250</v>
      </c>
      <c r="M8530" t="s">
        <v>27251</v>
      </c>
      <c r="N8530" t="s">
        <v>27252</v>
      </c>
      <c r="P8530" t="s">
        <v>27925</v>
      </c>
      <c r="Q8530" s="1">
        <v>44538</v>
      </c>
      <c r="R8530" t="s">
        <v>27253</v>
      </c>
      <c r="S8530" t="s">
        <v>27254</v>
      </c>
      <c r="T8530" t="s">
        <v>27255</v>
      </c>
    </row>
    <row r="8531" spans="1:20" x14ac:dyDescent="0.3">
      <c r="A8531" t="str">
        <f>"0611840217100"</f>
        <v>0611840217100</v>
      </c>
      <c r="B8531" t="str">
        <f>"LK0248"</f>
        <v>LK0248</v>
      </c>
      <c r="C8531" t="s">
        <v>43785</v>
      </c>
      <c r="D8531" t="s">
        <v>28138</v>
      </c>
      <c r="E8531" t="str">
        <f t="shared" si="133"/>
        <v>001390</v>
      </c>
      <c r="F8531" t="s">
        <v>27246</v>
      </c>
      <c r="G8531" t="s">
        <v>27247</v>
      </c>
      <c r="H8531" t="s">
        <v>27248</v>
      </c>
      <c r="I8531" t="s">
        <v>43786</v>
      </c>
      <c r="J8531" t="s">
        <v>17019</v>
      </c>
      <c r="L8531" t="s">
        <v>27250</v>
      </c>
      <c r="M8531" t="s">
        <v>27251</v>
      </c>
      <c r="N8531" t="s">
        <v>27252</v>
      </c>
      <c r="P8531" t="s">
        <v>27925</v>
      </c>
      <c r="Q8531" s="1">
        <v>44538</v>
      </c>
      <c r="R8531" t="s">
        <v>27253</v>
      </c>
      <c r="S8531" t="s">
        <v>27254</v>
      </c>
      <c r="T8531" t="s">
        <v>27255</v>
      </c>
    </row>
    <row r="8532" spans="1:20" x14ac:dyDescent="0.3">
      <c r="A8532" t="str">
        <f>"0611884511100"</f>
        <v>0611884511100</v>
      </c>
      <c r="B8532" t="str">
        <f>"LK7169"</f>
        <v>LK7169</v>
      </c>
      <c r="C8532" t="s">
        <v>43787</v>
      </c>
      <c r="D8532" t="s">
        <v>27245</v>
      </c>
      <c r="E8532" t="str">
        <f t="shared" si="133"/>
        <v>001390</v>
      </c>
      <c r="F8532" t="s">
        <v>27246</v>
      </c>
      <c r="G8532" t="s">
        <v>27247</v>
      </c>
      <c r="H8532" t="s">
        <v>27248</v>
      </c>
      <c r="I8532" t="s">
        <v>43788</v>
      </c>
      <c r="J8532" t="s">
        <v>17021</v>
      </c>
      <c r="L8532" t="s">
        <v>27430</v>
      </c>
      <c r="M8532" t="s">
        <v>27251</v>
      </c>
      <c r="N8532" t="s">
        <v>27252</v>
      </c>
      <c r="Q8532" s="1">
        <v>45250</v>
      </c>
      <c r="R8532" t="s">
        <v>27253</v>
      </c>
      <c r="S8532" t="s">
        <v>27254</v>
      </c>
      <c r="T8532" t="s">
        <v>27255</v>
      </c>
    </row>
    <row r="8533" spans="1:20" x14ac:dyDescent="0.3">
      <c r="A8533" t="str">
        <f>"0611840219100"</f>
        <v>0611840219100</v>
      </c>
      <c r="B8533" t="str">
        <f>"LK6650"</f>
        <v>LK6650</v>
      </c>
      <c r="C8533" t="s">
        <v>43789</v>
      </c>
      <c r="D8533" t="s">
        <v>28138</v>
      </c>
      <c r="E8533" t="str">
        <f t="shared" si="133"/>
        <v>001390</v>
      </c>
      <c r="F8533" t="s">
        <v>27246</v>
      </c>
      <c r="G8533" t="s">
        <v>27247</v>
      </c>
      <c r="H8533" t="s">
        <v>27248</v>
      </c>
      <c r="I8533" t="s">
        <v>43790</v>
      </c>
      <c r="J8533" t="s">
        <v>17023</v>
      </c>
      <c r="L8533" t="s">
        <v>27250</v>
      </c>
      <c r="M8533" t="s">
        <v>27251</v>
      </c>
      <c r="N8533" t="s">
        <v>27252</v>
      </c>
      <c r="P8533" t="s">
        <v>27925</v>
      </c>
      <c r="Q8533" s="1">
        <v>44538</v>
      </c>
      <c r="R8533" t="s">
        <v>27253</v>
      </c>
      <c r="S8533" t="s">
        <v>27254</v>
      </c>
      <c r="T8533" t="s">
        <v>27255</v>
      </c>
    </row>
    <row r="8534" spans="1:20" x14ac:dyDescent="0.3">
      <c r="A8534" t="str">
        <f>"0611840220100"</f>
        <v>0611840220100</v>
      </c>
      <c r="B8534" t="str">
        <f>"LK2213"</f>
        <v>LK2213</v>
      </c>
      <c r="C8534" t="s">
        <v>43791</v>
      </c>
      <c r="D8534" t="s">
        <v>28138</v>
      </c>
      <c r="E8534" t="str">
        <f t="shared" si="133"/>
        <v>001390</v>
      </c>
      <c r="F8534" t="s">
        <v>27246</v>
      </c>
      <c r="G8534" t="s">
        <v>27247</v>
      </c>
      <c r="H8534" t="s">
        <v>27248</v>
      </c>
      <c r="I8534" t="s">
        <v>43792</v>
      </c>
      <c r="J8534" t="s">
        <v>17027</v>
      </c>
      <c r="L8534" t="s">
        <v>27250</v>
      </c>
      <c r="M8534" t="s">
        <v>27251</v>
      </c>
      <c r="N8534" t="s">
        <v>27252</v>
      </c>
      <c r="P8534" t="s">
        <v>27925</v>
      </c>
      <c r="Q8534" s="1">
        <v>44538</v>
      </c>
      <c r="R8534" t="s">
        <v>27253</v>
      </c>
      <c r="S8534" t="s">
        <v>27254</v>
      </c>
      <c r="T8534" t="s">
        <v>27255</v>
      </c>
    </row>
    <row r="8535" spans="1:20" x14ac:dyDescent="0.3">
      <c r="A8535" t="str">
        <f>"0611840237100"</f>
        <v>0611840237100</v>
      </c>
      <c r="B8535" t="str">
        <f>"LK0821"</f>
        <v>LK0821</v>
      </c>
      <c r="C8535" t="s">
        <v>43793</v>
      </c>
      <c r="D8535" t="s">
        <v>28138</v>
      </c>
      <c r="E8535" t="str">
        <f t="shared" si="133"/>
        <v>001390</v>
      </c>
      <c r="F8535" t="s">
        <v>27246</v>
      </c>
      <c r="G8535" t="s">
        <v>27247</v>
      </c>
      <c r="H8535" t="s">
        <v>27248</v>
      </c>
      <c r="I8535" t="s">
        <v>43794</v>
      </c>
      <c r="J8535" t="s">
        <v>17029</v>
      </c>
      <c r="L8535" t="s">
        <v>27250</v>
      </c>
      <c r="M8535" t="s">
        <v>27251</v>
      </c>
      <c r="N8535" t="s">
        <v>27252</v>
      </c>
      <c r="P8535" t="s">
        <v>27925</v>
      </c>
      <c r="Q8535" s="1">
        <v>44538</v>
      </c>
      <c r="R8535" t="s">
        <v>27253</v>
      </c>
      <c r="S8535" t="s">
        <v>27254</v>
      </c>
      <c r="T8535" t="s">
        <v>27255</v>
      </c>
    </row>
    <row r="8536" spans="1:20" x14ac:dyDescent="0.3">
      <c r="A8536" t="str">
        <f>"0611840241100"</f>
        <v>0611840241100</v>
      </c>
      <c r="B8536" t="str">
        <f>"LK0825"</f>
        <v>LK0825</v>
      </c>
      <c r="C8536" t="s">
        <v>43795</v>
      </c>
      <c r="D8536" t="s">
        <v>28138</v>
      </c>
      <c r="E8536" t="str">
        <f t="shared" si="133"/>
        <v>001390</v>
      </c>
      <c r="F8536" t="s">
        <v>27246</v>
      </c>
      <c r="G8536" t="s">
        <v>27247</v>
      </c>
      <c r="H8536" t="s">
        <v>27248</v>
      </c>
      <c r="I8536" t="s">
        <v>43796</v>
      </c>
      <c r="J8536" t="s">
        <v>17031</v>
      </c>
      <c r="L8536" t="s">
        <v>27250</v>
      </c>
      <c r="M8536" t="s">
        <v>27251</v>
      </c>
      <c r="N8536" t="s">
        <v>27252</v>
      </c>
      <c r="P8536" t="s">
        <v>27925</v>
      </c>
      <c r="Q8536" s="1">
        <v>44538</v>
      </c>
      <c r="R8536" t="s">
        <v>27253</v>
      </c>
      <c r="S8536" t="s">
        <v>27254</v>
      </c>
      <c r="T8536" t="s">
        <v>27255</v>
      </c>
    </row>
    <row r="8537" spans="1:20" x14ac:dyDescent="0.3">
      <c r="A8537" t="str">
        <f>"0611840242100"</f>
        <v>0611840242100</v>
      </c>
      <c r="B8537" t="str">
        <f>"LK2214"</f>
        <v>LK2214</v>
      </c>
      <c r="C8537" t="s">
        <v>43797</v>
      </c>
      <c r="D8537" t="s">
        <v>28138</v>
      </c>
      <c r="E8537" t="str">
        <f t="shared" si="133"/>
        <v>001390</v>
      </c>
      <c r="F8537" t="s">
        <v>27246</v>
      </c>
      <c r="G8537" t="s">
        <v>27247</v>
      </c>
      <c r="H8537" t="s">
        <v>27248</v>
      </c>
      <c r="I8537" t="s">
        <v>43798</v>
      </c>
      <c r="J8537" t="s">
        <v>17033</v>
      </c>
      <c r="L8537" t="s">
        <v>27250</v>
      </c>
      <c r="M8537" t="s">
        <v>27251</v>
      </c>
      <c r="N8537" t="s">
        <v>27252</v>
      </c>
      <c r="P8537" t="s">
        <v>27925</v>
      </c>
      <c r="Q8537" s="1">
        <v>44538</v>
      </c>
      <c r="R8537" t="s">
        <v>27253</v>
      </c>
      <c r="S8537" t="s">
        <v>27254</v>
      </c>
      <c r="T8537" t="s">
        <v>27255</v>
      </c>
    </row>
    <row r="8538" spans="1:20" x14ac:dyDescent="0.3">
      <c r="A8538" t="str">
        <f>"0611840228100"</f>
        <v>0611840228100</v>
      </c>
      <c r="B8538" t="str">
        <f>"LK0250"</f>
        <v>LK0250</v>
      </c>
      <c r="C8538" t="s">
        <v>43799</v>
      </c>
      <c r="D8538" t="s">
        <v>28138</v>
      </c>
      <c r="E8538" t="str">
        <f t="shared" si="133"/>
        <v>001390</v>
      </c>
      <c r="F8538" t="s">
        <v>27246</v>
      </c>
      <c r="G8538" t="s">
        <v>27247</v>
      </c>
      <c r="H8538" t="s">
        <v>27248</v>
      </c>
      <c r="I8538" t="s">
        <v>43800</v>
      </c>
      <c r="J8538" t="s">
        <v>17035</v>
      </c>
      <c r="L8538" t="s">
        <v>27250</v>
      </c>
      <c r="M8538" t="s">
        <v>27251</v>
      </c>
      <c r="N8538" t="s">
        <v>27252</v>
      </c>
      <c r="P8538" t="s">
        <v>27925</v>
      </c>
      <c r="Q8538" s="1">
        <v>44538</v>
      </c>
      <c r="R8538" t="s">
        <v>27253</v>
      </c>
      <c r="S8538" t="s">
        <v>27254</v>
      </c>
      <c r="T8538" t="s">
        <v>27255</v>
      </c>
    </row>
    <row r="8539" spans="1:20" x14ac:dyDescent="0.3">
      <c r="A8539" t="str">
        <f>"0611840229100"</f>
        <v>0611840229100</v>
      </c>
      <c r="B8539" t="str">
        <f>"LK4329"</f>
        <v>LK4329</v>
      </c>
      <c r="C8539" t="s">
        <v>43801</v>
      </c>
      <c r="D8539" t="s">
        <v>28138</v>
      </c>
      <c r="E8539" t="str">
        <f t="shared" si="133"/>
        <v>001390</v>
      </c>
      <c r="F8539" t="s">
        <v>27246</v>
      </c>
      <c r="G8539" t="s">
        <v>27247</v>
      </c>
      <c r="H8539" t="s">
        <v>27248</v>
      </c>
      <c r="I8539" t="s">
        <v>43802</v>
      </c>
      <c r="J8539" t="s">
        <v>17037</v>
      </c>
      <c r="L8539" t="s">
        <v>27250</v>
      </c>
      <c r="M8539" t="s">
        <v>27251</v>
      </c>
      <c r="N8539" t="s">
        <v>27252</v>
      </c>
      <c r="P8539" t="s">
        <v>27925</v>
      </c>
      <c r="Q8539" s="1">
        <v>44538</v>
      </c>
      <c r="R8539" t="s">
        <v>27253</v>
      </c>
      <c r="S8539" t="s">
        <v>27254</v>
      </c>
      <c r="T8539" t="s">
        <v>27255</v>
      </c>
    </row>
    <row r="8540" spans="1:20" x14ac:dyDescent="0.3">
      <c r="A8540" t="str">
        <f>"0611840245100"</f>
        <v>0611840245100</v>
      </c>
      <c r="B8540" t="str">
        <f>"LK2215"</f>
        <v>LK2215</v>
      </c>
      <c r="C8540" t="s">
        <v>43803</v>
      </c>
      <c r="D8540" t="s">
        <v>28138</v>
      </c>
      <c r="E8540" t="str">
        <f t="shared" si="133"/>
        <v>001390</v>
      </c>
      <c r="F8540" t="s">
        <v>27246</v>
      </c>
      <c r="G8540" t="s">
        <v>27247</v>
      </c>
      <c r="H8540" t="s">
        <v>27248</v>
      </c>
      <c r="I8540" t="s">
        <v>43804</v>
      </c>
      <c r="J8540" t="s">
        <v>17039</v>
      </c>
      <c r="L8540" t="s">
        <v>27250</v>
      </c>
      <c r="M8540" t="s">
        <v>27251</v>
      </c>
      <c r="N8540" t="s">
        <v>27252</v>
      </c>
      <c r="P8540" t="s">
        <v>27925</v>
      </c>
      <c r="Q8540" s="1">
        <v>44538</v>
      </c>
      <c r="R8540" t="s">
        <v>27253</v>
      </c>
      <c r="S8540" t="s">
        <v>27254</v>
      </c>
      <c r="T8540" t="s">
        <v>27255</v>
      </c>
    </row>
    <row r="8541" spans="1:20" x14ac:dyDescent="0.3">
      <c r="A8541" t="str">
        <f>"0611840271100"</f>
        <v>0611840271100</v>
      </c>
      <c r="B8541" t="str">
        <f>"LB7825"</f>
        <v>LB7825</v>
      </c>
      <c r="C8541" t="s">
        <v>43805</v>
      </c>
      <c r="D8541" t="s">
        <v>28138</v>
      </c>
      <c r="E8541" t="str">
        <f t="shared" si="133"/>
        <v>001390</v>
      </c>
      <c r="F8541" t="s">
        <v>27246</v>
      </c>
      <c r="G8541" t="s">
        <v>27247</v>
      </c>
      <c r="H8541" t="s">
        <v>27248</v>
      </c>
      <c r="I8541" t="s">
        <v>43806</v>
      </c>
      <c r="J8541" t="s">
        <v>17043</v>
      </c>
      <c r="L8541" t="s">
        <v>27250</v>
      </c>
      <c r="M8541" t="s">
        <v>27251</v>
      </c>
      <c r="N8541" t="s">
        <v>27252</v>
      </c>
      <c r="P8541" t="s">
        <v>27925</v>
      </c>
      <c r="Q8541" s="1">
        <v>44538</v>
      </c>
      <c r="R8541" t="s">
        <v>27253</v>
      </c>
      <c r="S8541" t="s">
        <v>27254</v>
      </c>
      <c r="T8541" t="s">
        <v>27255</v>
      </c>
    </row>
    <row r="8542" spans="1:20" x14ac:dyDescent="0.3">
      <c r="A8542" t="str">
        <f>"0611840231100"</f>
        <v>0611840231100</v>
      </c>
      <c r="B8542" t="str">
        <f>"LK0826"</f>
        <v>LK0826</v>
      </c>
      <c r="C8542" t="s">
        <v>43807</v>
      </c>
      <c r="D8542" t="s">
        <v>28138</v>
      </c>
      <c r="E8542" t="str">
        <f t="shared" si="133"/>
        <v>001390</v>
      </c>
      <c r="F8542" t="s">
        <v>27246</v>
      </c>
      <c r="G8542" t="s">
        <v>27247</v>
      </c>
      <c r="H8542" t="s">
        <v>27248</v>
      </c>
      <c r="I8542" t="s">
        <v>43808</v>
      </c>
      <c r="J8542" t="s">
        <v>17041</v>
      </c>
      <c r="L8542" t="s">
        <v>27250</v>
      </c>
      <c r="M8542" t="s">
        <v>27251</v>
      </c>
      <c r="N8542" t="s">
        <v>27252</v>
      </c>
      <c r="P8542" t="s">
        <v>27925</v>
      </c>
      <c r="Q8542" s="1">
        <v>44538</v>
      </c>
      <c r="R8542" t="s">
        <v>27253</v>
      </c>
      <c r="S8542" t="s">
        <v>27254</v>
      </c>
      <c r="T8542" t="s">
        <v>27255</v>
      </c>
    </row>
    <row r="8543" spans="1:20" x14ac:dyDescent="0.3">
      <c r="A8543" t="str">
        <f>"0611840246100"</f>
        <v>0611840246100</v>
      </c>
      <c r="B8543" t="str">
        <f>"LK2919"</f>
        <v>LK2919</v>
      </c>
      <c r="C8543" t="s">
        <v>43809</v>
      </c>
      <c r="D8543" t="s">
        <v>28138</v>
      </c>
      <c r="E8543" t="str">
        <f t="shared" si="133"/>
        <v>001390</v>
      </c>
      <c r="F8543" t="s">
        <v>27246</v>
      </c>
      <c r="G8543" t="s">
        <v>27247</v>
      </c>
      <c r="H8543" t="s">
        <v>27248</v>
      </c>
      <c r="I8543" t="s">
        <v>43810</v>
      </c>
      <c r="J8543" t="s">
        <v>17045</v>
      </c>
      <c r="L8543" t="s">
        <v>27250</v>
      </c>
      <c r="M8543" t="s">
        <v>27251</v>
      </c>
      <c r="N8543" t="s">
        <v>27252</v>
      </c>
      <c r="P8543" t="s">
        <v>27925</v>
      </c>
      <c r="Q8543" s="1">
        <v>44538</v>
      </c>
      <c r="R8543" t="s">
        <v>27253</v>
      </c>
      <c r="S8543" t="s">
        <v>27254</v>
      </c>
      <c r="T8543" t="s">
        <v>27255</v>
      </c>
    </row>
    <row r="8544" spans="1:20" x14ac:dyDescent="0.3">
      <c r="A8544" t="str">
        <f>"0611840248100"</f>
        <v>0611840248100</v>
      </c>
      <c r="B8544" t="str">
        <f>"LB6079"</f>
        <v>LB6079</v>
      </c>
      <c r="C8544" t="s">
        <v>43811</v>
      </c>
      <c r="D8544" t="s">
        <v>28138</v>
      </c>
      <c r="E8544" t="str">
        <f t="shared" si="133"/>
        <v>001390</v>
      </c>
      <c r="F8544" t="s">
        <v>27246</v>
      </c>
      <c r="G8544" t="s">
        <v>27247</v>
      </c>
      <c r="H8544" t="s">
        <v>27248</v>
      </c>
      <c r="I8544" t="s">
        <v>43812</v>
      </c>
      <c r="J8544" t="s">
        <v>17047</v>
      </c>
      <c r="L8544" t="s">
        <v>27250</v>
      </c>
      <c r="M8544" t="s">
        <v>27251</v>
      </c>
      <c r="N8544" t="s">
        <v>27252</v>
      </c>
      <c r="P8544" t="s">
        <v>27925</v>
      </c>
      <c r="Q8544" s="1">
        <v>44538</v>
      </c>
      <c r="R8544" t="s">
        <v>27253</v>
      </c>
      <c r="S8544" t="s">
        <v>27254</v>
      </c>
      <c r="T8544" t="s">
        <v>27255</v>
      </c>
    </row>
    <row r="8545" spans="1:20" x14ac:dyDescent="0.3">
      <c r="A8545" t="str">
        <f>"0611840249100"</f>
        <v>0611840249100</v>
      </c>
      <c r="B8545" t="str">
        <f>"LB5831"</f>
        <v>LB5831</v>
      </c>
      <c r="C8545" t="s">
        <v>43813</v>
      </c>
      <c r="D8545" t="s">
        <v>28138</v>
      </c>
      <c r="E8545" t="str">
        <f t="shared" si="133"/>
        <v>001390</v>
      </c>
      <c r="F8545" t="s">
        <v>27246</v>
      </c>
      <c r="G8545" t="s">
        <v>27247</v>
      </c>
      <c r="H8545" t="s">
        <v>27248</v>
      </c>
      <c r="I8545" t="s">
        <v>43814</v>
      </c>
      <c r="J8545" t="s">
        <v>17049</v>
      </c>
      <c r="L8545" t="s">
        <v>27250</v>
      </c>
      <c r="M8545" t="s">
        <v>27251</v>
      </c>
      <c r="N8545" t="s">
        <v>27252</v>
      </c>
      <c r="P8545" t="s">
        <v>27925</v>
      </c>
      <c r="Q8545" s="1">
        <v>44538</v>
      </c>
      <c r="R8545" t="s">
        <v>27253</v>
      </c>
      <c r="S8545" t="s">
        <v>27254</v>
      </c>
      <c r="T8545" t="s">
        <v>27255</v>
      </c>
    </row>
    <row r="8546" spans="1:20" x14ac:dyDescent="0.3">
      <c r="A8546" t="str">
        <f>"0611840250100"</f>
        <v>0611840250100</v>
      </c>
      <c r="B8546" t="str">
        <f>"LB7815"</f>
        <v>LB7815</v>
      </c>
      <c r="C8546" t="s">
        <v>43815</v>
      </c>
      <c r="D8546" t="s">
        <v>28138</v>
      </c>
      <c r="E8546" t="str">
        <f t="shared" si="133"/>
        <v>001390</v>
      </c>
      <c r="F8546" t="s">
        <v>27246</v>
      </c>
      <c r="G8546" t="s">
        <v>27247</v>
      </c>
      <c r="H8546" t="s">
        <v>27248</v>
      </c>
      <c r="I8546" t="s">
        <v>43816</v>
      </c>
      <c r="J8546" t="s">
        <v>17051</v>
      </c>
      <c r="L8546" t="s">
        <v>27250</v>
      </c>
      <c r="M8546" t="s">
        <v>27251</v>
      </c>
      <c r="N8546" t="s">
        <v>27252</v>
      </c>
      <c r="P8546" t="s">
        <v>27925</v>
      </c>
      <c r="Q8546" s="1">
        <v>44538</v>
      </c>
      <c r="R8546" t="s">
        <v>27253</v>
      </c>
      <c r="S8546" t="s">
        <v>27254</v>
      </c>
      <c r="T8546" t="s">
        <v>27255</v>
      </c>
    </row>
    <row r="8547" spans="1:20" x14ac:dyDescent="0.3">
      <c r="A8547" t="str">
        <f>"0611840254100"</f>
        <v>0611840254100</v>
      </c>
      <c r="B8547" t="str">
        <f>"LK3406"</f>
        <v>LK3406</v>
      </c>
      <c r="C8547" t="s">
        <v>43817</v>
      </c>
      <c r="D8547" t="s">
        <v>28138</v>
      </c>
      <c r="E8547" t="str">
        <f t="shared" si="133"/>
        <v>001390</v>
      </c>
      <c r="F8547" t="s">
        <v>27246</v>
      </c>
      <c r="G8547" t="s">
        <v>27247</v>
      </c>
      <c r="H8547" t="s">
        <v>27248</v>
      </c>
      <c r="I8547" t="s">
        <v>43818</v>
      </c>
      <c r="J8547" t="s">
        <v>17053</v>
      </c>
      <c r="L8547" t="s">
        <v>27250</v>
      </c>
      <c r="M8547" t="s">
        <v>27251</v>
      </c>
      <c r="N8547" t="s">
        <v>27252</v>
      </c>
      <c r="P8547" t="s">
        <v>27925</v>
      </c>
      <c r="Q8547" s="1">
        <v>44538</v>
      </c>
      <c r="R8547" t="s">
        <v>27253</v>
      </c>
      <c r="S8547" t="s">
        <v>27254</v>
      </c>
      <c r="T8547" t="s">
        <v>27255</v>
      </c>
    </row>
    <row r="8548" spans="1:20" x14ac:dyDescent="0.3">
      <c r="A8548" t="str">
        <f>"0611840255100"</f>
        <v>0611840255100</v>
      </c>
      <c r="B8548" t="str">
        <f>"LK6403"</f>
        <v>LK6403</v>
      </c>
      <c r="C8548" t="s">
        <v>43819</v>
      </c>
      <c r="D8548" t="s">
        <v>28138</v>
      </c>
      <c r="E8548" t="str">
        <f t="shared" si="133"/>
        <v>001390</v>
      </c>
      <c r="F8548" t="s">
        <v>27246</v>
      </c>
      <c r="G8548" t="s">
        <v>27247</v>
      </c>
      <c r="H8548" t="s">
        <v>27248</v>
      </c>
      <c r="I8548" t="s">
        <v>43820</v>
      </c>
      <c r="J8548" t="s">
        <v>17055</v>
      </c>
      <c r="L8548" t="s">
        <v>27250</v>
      </c>
      <c r="M8548" t="s">
        <v>27251</v>
      </c>
      <c r="N8548" t="s">
        <v>27252</v>
      </c>
      <c r="P8548" t="s">
        <v>27925</v>
      </c>
      <c r="Q8548" s="1">
        <v>44538</v>
      </c>
      <c r="R8548" t="s">
        <v>27253</v>
      </c>
      <c r="S8548" t="s">
        <v>27254</v>
      </c>
      <c r="T8548" t="s">
        <v>27255</v>
      </c>
    </row>
    <row r="8549" spans="1:20" x14ac:dyDescent="0.3">
      <c r="A8549" t="str">
        <f>"0611840256100"</f>
        <v>0611840256100</v>
      </c>
      <c r="B8549" t="str">
        <f>"LK6404"</f>
        <v>LK6404</v>
      </c>
      <c r="C8549" t="s">
        <v>43821</v>
      </c>
      <c r="D8549" t="s">
        <v>28138</v>
      </c>
      <c r="E8549" t="str">
        <f t="shared" si="133"/>
        <v>001390</v>
      </c>
      <c r="F8549" t="s">
        <v>27246</v>
      </c>
      <c r="G8549" t="s">
        <v>27247</v>
      </c>
      <c r="H8549" t="s">
        <v>27248</v>
      </c>
      <c r="I8549" t="s">
        <v>43822</v>
      </c>
      <c r="J8549" t="s">
        <v>17057</v>
      </c>
      <c r="L8549" t="s">
        <v>27250</v>
      </c>
      <c r="M8549" t="s">
        <v>27251</v>
      </c>
      <c r="N8549" t="s">
        <v>27252</v>
      </c>
      <c r="P8549" t="s">
        <v>27925</v>
      </c>
      <c r="Q8549" s="1">
        <v>44538</v>
      </c>
      <c r="R8549" t="s">
        <v>27253</v>
      </c>
      <c r="S8549" t="s">
        <v>27254</v>
      </c>
      <c r="T8549" t="s">
        <v>27255</v>
      </c>
    </row>
    <row r="8550" spans="1:20" x14ac:dyDescent="0.3">
      <c r="A8550" t="str">
        <f>"0611840257100"</f>
        <v>0611840257100</v>
      </c>
      <c r="B8550" t="str">
        <f>"LK6405"</f>
        <v>LK6405</v>
      </c>
      <c r="C8550" t="s">
        <v>43823</v>
      </c>
      <c r="D8550" t="s">
        <v>28138</v>
      </c>
      <c r="E8550" t="str">
        <f t="shared" si="133"/>
        <v>001390</v>
      </c>
      <c r="F8550" t="s">
        <v>27246</v>
      </c>
      <c r="G8550" t="s">
        <v>27247</v>
      </c>
      <c r="H8550" t="s">
        <v>27248</v>
      </c>
      <c r="I8550" t="s">
        <v>43824</v>
      </c>
      <c r="J8550" t="s">
        <v>17059</v>
      </c>
      <c r="L8550" t="s">
        <v>27250</v>
      </c>
      <c r="M8550" t="s">
        <v>27251</v>
      </c>
      <c r="N8550" t="s">
        <v>27252</v>
      </c>
      <c r="P8550" t="s">
        <v>27925</v>
      </c>
      <c r="Q8550" s="1">
        <v>44538</v>
      </c>
      <c r="R8550" t="s">
        <v>27253</v>
      </c>
      <c r="S8550" t="s">
        <v>27254</v>
      </c>
      <c r="T8550" t="s">
        <v>27255</v>
      </c>
    </row>
    <row r="8551" spans="1:20" x14ac:dyDescent="0.3">
      <c r="A8551" t="str">
        <f>"0611840258100"</f>
        <v>0611840258100</v>
      </c>
      <c r="B8551" t="str">
        <f>"LK6406"</f>
        <v>LK6406</v>
      </c>
      <c r="C8551" t="s">
        <v>43825</v>
      </c>
      <c r="D8551" t="s">
        <v>28138</v>
      </c>
      <c r="E8551" t="str">
        <f t="shared" si="133"/>
        <v>001390</v>
      </c>
      <c r="F8551" t="s">
        <v>27246</v>
      </c>
      <c r="G8551" t="s">
        <v>27247</v>
      </c>
      <c r="H8551" t="s">
        <v>27248</v>
      </c>
      <c r="I8551" t="s">
        <v>43826</v>
      </c>
      <c r="J8551" t="s">
        <v>17061</v>
      </c>
      <c r="L8551" t="s">
        <v>27250</v>
      </c>
      <c r="M8551" t="s">
        <v>27251</v>
      </c>
      <c r="N8551" t="s">
        <v>27252</v>
      </c>
      <c r="P8551" t="s">
        <v>27925</v>
      </c>
      <c r="Q8551" s="1">
        <v>44538</v>
      </c>
      <c r="R8551" t="s">
        <v>27253</v>
      </c>
      <c r="S8551" t="s">
        <v>27254</v>
      </c>
      <c r="T8551" t="s">
        <v>27255</v>
      </c>
    </row>
    <row r="8552" spans="1:20" x14ac:dyDescent="0.3">
      <c r="A8552" t="str">
        <f>"0611840259100"</f>
        <v>0611840259100</v>
      </c>
      <c r="B8552" t="str">
        <f>"LK6407"</f>
        <v>LK6407</v>
      </c>
      <c r="C8552" t="s">
        <v>43827</v>
      </c>
      <c r="D8552" t="s">
        <v>28138</v>
      </c>
      <c r="E8552" t="str">
        <f t="shared" si="133"/>
        <v>001390</v>
      </c>
      <c r="F8552" t="s">
        <v>27246</v>
      </c>
      <c r="G8552" t="s">
        <v>27247</v>
      </c>
      <c r="H8552" t="s">
        <v>27248</v>
      </c>
      <c r="I8552" t="s">
        <v>43828</v>
      </c>
      <c r="J8552" t="s">
        <v>17063</v>
      </c>
      <c r="L8552" t="s">
        <v>27250</v>
      </c>
      <c r="M8552" t="s">
        <v>27251</v>
      </c>
      <c r="N8552" t="s">
        <v>27252</v>
      </c>
      <c r="P8552" t="s">
        <v>27925</v>
      </c>
      <c r="Q8552" s="1">
        <v>44538</v>
      </c>
      <c r="R8552" t="s">
        <v>27253</v>
      </c>
      <c r="S8552" t="s">
        <v>27254</v>
      </c>
      <c r="T8552" t="s">
        <v>27255</v>
      </c>
    </row>
    <row r="8553" spans="1:20" x14ac:dyDescent="0.3">
      <c r="A8553" t="str">
        <f>"0611840260100"</f>
        <v>0611840260100</v>
      </c>
      <c r="B8553" t="str">
        <f>"LK6649"</f>
        <v>LK6649</v>
      </c>
      <c r="C8553" t="s">
        <v>43829</v>
      </c>
      <c r="D8553" t="s">
        <v>28138</v>
      </c>
      <c r="E8553" t="str">
        <f t="shared" si="133"/>
        <v>001390</v>
      </c>
      <c r="F8553" t="s">
        <v>27246</v>
      </c>
      <c r="G8553" t="s">
        <v>27247</v>
      </c>
      <c r="H8553" t="s">
        <v>27248</v>
      </c>
      <c r="I8553" t="s">
        <v>43830</v>
      </c>
      <c r="J8553" t="s">
        <v>17065</v>
      </c>
      <c r="L8553" t="s">
        <v>27250</v>
      </c>
      <c r="M8553" t="s">
        <v>27251</v>
      </c>
      <c r="N8553" t="s">
        <v>27252</v>
      </c>
      <c r="P8553" t="s">
        <v>27925</v>
      </c>
      <c r="Q8553" s="1">
        <v>44538</v>
      </c>
      <c r="R8553" t="s">
        <v>27253</v>
      </c>
      <c r="S8553" t="s">
        <v>27254</v>
      </c>
      <c r="T8553" t="s">
        <v>27255</v>
      </c>
    </row>
    <row r="8554" spans="1:20" x14ac:dyDescent="0.3">
      <c r="A8554" t="str">
        <f>"0611840261100"</f>
        <v>0611840261100</v>
      </c>
      <c r="B8554" t="str">
        <f>"LK6408"</f>
        <v>LK6408</v>
      </c>
      <c r="C8554" t="s">
        <v>43831</v>
      </c>
      <c r="D8554" t="s">
        <v>28138</v>
      </c>
      <c r="E8554" t="str">
        <f t="shared" si="133"/>
        <v>001390</v>
      </c>
      <c r="F8554" t="s">
        <v>27246</v>
      </c>
      <c r="G8554" t="s">
        <v>27247</v>
      </c>
      <c r="H8554" t="s">
        <v>27248</v>
      </c>
      <c r="I8554" t="s">
        <v>43832</v>
      </c>
      <c r="J8554" t="s">
        <v>17067</v>
      </c>
      <c r="L8554" t="s">
        <v>27250</v>
      </c>
      <c r="M8554" t="s">
        <v>27251</v>
      </c>
      <c r="N8554" t="s">
        <v>27252</v>
      </c>
      <c r="P8554" t="s">
        <v>27925</v>
      </c>
      <c r="Q8554" s="1">
        <v>44538</v>
      </c>
      <c r="R8554" t="s">
        <v>27253</v>
      </c>
      <c r="S8554" t="s">
        <v>27254</v>
      </c>
      <c r="T8554" t="s">
        <v>27255</v>
      </c>
    </row>
    <row r="8555" spans="1:20" x14ac:dyDescent="0.3">
      <c r="A8555" t="str">
        <f>"0611840262100"</f>
        <v>0611840262100</v>
      </c>
      <c r="B8555" t="str">
        <f>"LK6409"</f>
        <v>LK6409</v>
      </c>
      <c r="C8555" t="s">
        <v>43833</v>
      </c>
      <c r="D8555" t="s">
        <v>28138</v>
      </c>
      <c r="E8555" t="str">
        <f t="shared" si="133"/>
        <v>001390</v>
      </c>
      <c r="F8555" t="s">
        <v>27246</v>
      </c>
      <c r="G8555" t="s">
        <v>27247</v>
      </c>
      <c r="H8555" t="s">
        <v>27248</v>
      </c>
      <c r="I8555" t="s">
        <v>43834</v>
      </c>
      <c r="J8555" t="s">
        <v>17069</v>
      </c>
      <c r="L8555" t="s">
        <v>27250</v>
      </c>
      <c r="M8555" t="s">
        <v>27251</v>
      </c>
      <c r="N8555" t="s">
        <v>27252</v>
      </c>
      <c r="P8555" t="s">
        <v>27925</v>
      </c>
      <c r="Q8555" s="1">
        <v>44538</v>
      </c>
      <c r="R8555" t="s">
        <v>27253</v>
      </c>
      <c r="S8555" t="s">
        <v>27254</v>
      </c>
      <c r="T8555" t="s">
        <v>27255</v>
      </c>
    </row>
    <row r="8556" spans="1:20" x14ac:dyDescent="0.3">
      <c r="A8556" t="str">
        <f>"0611840263100"</f>
        <v>0611840263100</v>
      </c>
      <c r="B8556" t="str">
        <f>"LK6917"</f>
        <v>LK6917</v>
      </c>
      <c r="C8556" t="s">
        <v>43835</v>
      </c>
      <c r="D8556" t="s">
        <v>28138</v>
      </c>
      <c r="E8556" t="str">
        <f t="shared" si="133"/>
        <v>001390</v>
      </c>
      <c r="F8556" t="s">
        <v>27246</v>
      </c>
      <c r="G8556" t="s">
        <v>27247</v>
      </c>
      <c r="H8556" t="s">
        <v>27248</v>
      </c>
      <c r="I8556" t="s">
        <v>43836</v>
      </c>
      <c r="J8556" t="s">
        <v>17071</v>
      </c>
      <c r="L8556" t="s">
        <v>27250</v>
      </c>
      <c r="M8556" t="s">
        <v>27251</v>
      </c>
      <c r="N8556" t="s">
        <v>27252</v>
      </c>
      <c r="P8556" t="s">
        <v>27925</v>
      </c>
      <c r="Q8556" s="1">
        <v>44538</v>
      </c>
      <c r="R8556" t="s">
        <v>27253</v>
      </c>
      <c r="S8556" t="s">
        <v>27254</v>
      </c>
      <c r="T8556" t="s">
        <v>27255</v>
      </c>
    </row>
    <row r="8557" spans="1:20" x14ac:dyDescent="0.3">
      <c r="A8557" t="str">
        <f>"0611840264100"</f>
        <v>0611840264100</v>
      </c>
      <c r="B8557" t="str">
        <f>"LK6410"</f>
        <v>LK6410</v>
      </c>
      <c r="C8557" t="s">
        <v>43837</v>
      </c>
      <c r="D8557" t="s">
        <v>28138</v>
      </c>
      <c r="E8557" t="str">
        <f t="shared" si="133"/>
        <v>001390</v>
      </c>
      <c r="F8557" t="s">
        <v>27246</v>
      </c>
      <c r="G8557" t="s">
        <v>27247</v>
      </c>
      <c r="H8557" t="s">
        <v>27248</v>
      </c>
      <c r="I8557" t="s">
        <v>43838</v>
      </c>
      <c r="J8557" t="s">
        <v>17073</v>
      </c>
      <c r="L8557" t="s">
        <v>27250</v>
      </c>
      <c r="M8557" t="s">
        <v>27251</v>
      </c>
      <c r="N8557" t="s">
        <v>27252</v>
      </c>
      <c r="P8557" t="s">
        <v>27925</v>
      </c>
      <c r="Q8557" s="1">
        <v>44538</v>
      </c>
      <c r="R8557" t="s">
        <v>27253</v>
      </c>
      <c r="S8557" t="s">
        <v>27254</v>
      </c>
      <c r="T8557" t="s">
        <v>27255</v>
      </c>
    </row>
    <row r="8558" spans="1:20" x14ac:dyDescent="0.3">
      <c r="A8558" t="str">
        <f>"0611840265100"</f>
        <v>0611840265100</v>
      </c>
      <c r="B8558" t="str">
        <f>"LK6411"</f>
        <v>LK6411</v>
      </c>
      <c r="C8558" t="s">
        <v>43839</v>
      </c>
      <c r="D8558" t="s">
        <v>28138</v>
      </c>
      <c r="E8558" t="str">
        <f t="shared" si="133"/>
        <v>001390</v>
      </c>
      <c r="F8558" t="s">
        <v>27246</v>
      </c>
      <c r="G8558" t="s">
        <v>27247</v>
      </c>
      <c r="H8558" t="s">
        <v>27248</v>
      </c>
      <c r="I8558" t="s">
        <v>43840</v>
      </c>
      <c r="J8558" t="s">
        <v>17075</v>
      </c>
      <c r="L8558" t="s">
        <v>27250</v>
      </c>
      <c r="M8558" t="s">
        <v>27251</v>
      </c>
      <c r="N8558" t="s">
        <v>27252</v>
      </c>
      <c r="P8558" t="s">
        <v>27925</v>
      </c>
      <c r="Q8558" s="1">
        <v>44538</v>
      </c>
      <c r="R8558" t="s">
        <v>27253</v>
      </c>
      <c r="S8558" t="s">
        <v>27254</v>
      </c>
      <c r="T8558" t="s">
        <v>27255</v>
      </c>
    </row>
    <row r="8559" spans="1:20" x14ac:dyDescent="0.3">
      <c r="A8559" t="str">
        <f>"0611840268100"</f>
        <v>0611840268100</v>
      </c>
      <c r="B8559" t="str">
        <f>"LB7821"</f>
        <v>LB7821</v>
      </c>
      <c r="C8559" t="s">
        <v>43841</v>
      </c>
      <c r="D8559" t="s">
        <v>28138</v>
      </c>
      <c r="E8559" t="str">
        <f t="shared" si="133"/>
        <v>001390</v>
      </c>
      <c r="F8559" t="s">
        <v>27246</v>
      </c>
      <c r="G8559" t="s">
        <v>27247</v>
      </c>
      <c r="H8559" t="s">
        <v>27248</v>
      </c>
      <c r="I8559" t="s">
        <v>43842</v>
      </c>
      <c r="J8559" t="s">
        <v>17077</v>
      </c>
      <c r="L8559" t="s">
        <v>27250</v>
      </c>
      <c r="M8559" t="s">
        <v>27251</v>
      </c>
      <c r="N8559" t="s">
        <v>27252</v>
      </c>
      <c r="P8559" t="s">
        <v>27925</v>
      </c>
      <c r="Q8559" s="1">
        <v>44538</v>
      </c>
      <c r="R8559" t="s">
        <v>27253</v>
      </c>
      <c r="S8559" t="s">
        <v>27254</v>
      </c>
      <c r="T8559" t="s">
        <v>27255</v>
      </c>
    </row>
    <row r="8560" spans="1:20" x14ac:dyDescent="0.3">
      <c r="A8560" t="str">
        <f>"0611840272100"</f>
        <v>0611840272100</v>
      </c>
      <c r="B8560" t="str">
        <f>"LK6490"</f>
        <v>LK6490</v>
      </c>
      <c r="C8560" t="s">
        <v>43843</v>
      </c>
      <c r="D8560" t="s">
        <v>27245</v>
      </c>
      <c r="E8560" t="str">
        <f t="shared" si="133"/>
        <v>001390</v>
      </c>
      <c r="F8560" t="s">
        <v>27246</v>
      </c>
      <c r="G8560" t="s">
        <v>27247</v>
      </c>
      <c r="H8560" t="s">
        <v>27248</v>
      </c>
      <c r="I8560" t="s">
        <v>43844</v>
      </c>
      <c r="J8560" t="s">
        <v>17081</v>
      </c>
      <c r="L8560" t="s">
        <v>27250</v>
      </c>
      <c r="M8560" t="s">
        <v>27251</v>
      </c>
      <c r="N8560" t="s">
        <v>27252</v>
      </c>
      <c r="Q8560" s="1">
        <v>44538</v>
      </c>
      <c r="R8560" t="s">
        <v>27253</v>
      </c>
      <c r="S8560" t="s">
        <v>27254</v>
      </c>
      <c r="T8560" t="s">
        <v>27255</v>
      </c>
    </row>
    <row r="8561" spans="1:20" x14ac:dyDescent="0.3">
      <c r="A8561" t="str">
        <f>"0611840273100"</f>
        <v>0611840273100</v>
      </c>
      <c r="B8561" t="str">
        <f>"LK6489"</f>
        <v>LK6489</v>
      </c>
      <c r="C8561" t="s">
        <v>43845</v>
      </c>
      <c r="D8561" t="s">
        <v>27245</v>
      </c>
      <c r="E8561" t="str">
        <f t="shared" si="133"/>
        <v>001390</v>
      </c>
      <c r="F8561" t="s">
        <v>27246</v>
      </c>
      <c r="G8561" t="s">
        <v>27247</v>
      </c>
      <c r="H8561" t="s">
        <v>27248</v>
      </c>
      <c r="I8561" t="s">
        <v>43846</v>
      </c>
      <c r="J8561" t="s">
        <v>17079</v>
      </c>
      <c r="L8561" t="s">
        <v>27250</v>
      </c>
      <c r="M8561" t="s">
        <v>27251</v>
      </c>
      <c r="N8561" t="s">
        <v>27252</v>
      </c>
      <c r="Q8561" s="1">
        <v>44538</v>
      </c>
      <c r="R8561" t="s">
        <v>27253</v>
      </c>
      <c r="S8561" t="s">
        <v>27254</v>
      </c>
      <c r="T8561" t="s">
        <v>27255</v>
      </c>
    </row>
    <row r="8562" spans="1:20" x14ac:dyDescent="0.3">
      <c r="A8562" t="str">
        <f>"0611840274100"</f>
        <v>0611840274100</v>
      </c>
      <c r="B8562" t="str">
        <f>"LK6491"</f>
        <v>LK6491</v>
      </c>
      <c r="C8562" t="s">
        <v>43847</v>
      </c>
      <c r="D8562" t="s">
        <v>27245</v>
      </c>
      <c r="E8562" t="str">
        <f t="shared" si="133"/>
        <v>001390</v>
      </c>
      <c r="F8562" t="s">
        <v>27246</v>
      </c>
      <c r="G8562" t="s">
        <v>27247</v>
      </c>
      <c r="H8562" t="s">
        <v>27248</v>
      </c>
      <c r="I8562" t="s">
        <v>43848</v>
      </c>
      <c r="J8562" t="s">
        <v>17083</v>
      </c>
      <c r="L8562" t="s">
        <v>27250</v>
      </c>
      <c r="M8562" t="s">
        <v>27251</v>
      </c>
      <c r="N8562" t="s">
        <v>27252</v>
      </c>
      <c r="Q8562" s="1">
        <v>44538</v>
      </c>
      <c r="R8562" t="s">
        <v>27253</v>
      </c>
      <c r="S8562" t="s">
        <v>27254</v>
      </c>
      <c r="T8562" t="s">
        <v>27255</v>
      </c>
    </row>
    <row r="8563" spans="1:20" x14ac:dyDescent="0.3">
      <c r="A8563" t="str">
        <f>"0611840275100"</f>
        <v>0611840275100</v>
      </c>
      <c r="B8563" t="str">
        <f>"LK6492"</f>
        <v>LK6492</v>
      </c>
      <c r="C8563" t="s">
        <v>43849</v>
      </c>
      <c r="D8563" t="s">
        <v>27245</v>
      </c>
      <c r="E8563" t="str">
        <f t="shared" si="133"/>
        <v>001390</v>
      </c>
      <c r="F8563" t="s">
        <v>27246</v>
      </c>
      <c r="G8563" t="s">
        <v>27247</v>
      </c>
      <c r="H8563" t="s">
        <v>27248</v>
      </c>
      <c r="I8563" t="s">
        <v>43850</v>
      </c>
      <c r="J8563" t="s">
        <v>17085</v>
      </c>
      <c r="L8563" t="s">
        <v>27250</v>
      </c>
      <c r="M8563" t="s">
        <v>27251</v>
      </c>
      <c r="N8563" t="s">
        <v>27252</v>
      </c>
      <c r="Q8563" s="1">
        <v>44538</v>
      </c>
      <c r="R8563" t="s">
        <v>27253</v>
      </c>
      <c r="S8563" t="s">
        <v>27254</v>
      </c>
      <c r="T8563" t="s">
        <v>27255</v>
      </c>
    </row>
    <row r="8564" spans="1:20" x14ac:dyDescent="0.3">
      <c r="A8564" t="str">
        <f>"0611840276100"</f>
        <v>0611840276100</v>
      </c>
      <c r="B8564" t="str">
        <f>"LK6493"</f>
        <v>LK6493</v>
      </c>
      <c r="C8564" t="s">
        <v>43851</v>
      </c>
      <c r="D8564" t="s">
        <v>27245</v>
      </c>
      <c r="E8564" t="str">
        <f t="shared" si="133"/>
        <v>001390</v>
      </c>
      <c r="F8564" t="s">
        <v>27246</v>
      </c>
      <c r="G8564" t="s">
        <v>27247</v>
      </c>
      <c r="H8564" t="s">
        <v>27248</v>
      </c>
      <c r="I8564" t="s">
        <v>43852</v>
      </c>
      <c r="J8564" t="s">
        <v>17087</v>
      </c>
      <c r="L8564" t="s">
        <v>27250</v>
      </c>
      <c r="M8564" t="s">
        <v>27251</v>
      </c>
      <c r="N8564" t="s">
        <v>27252</v>
      </c>
      <c r="Q8564" s="1">
        <v>44538</v>
      </c>
      <c r="R8564" t="s">
        <v>27253</v>
      </c>
      <c r="S8564" t="s">
        <v>27254</v>
      </c>
      <c r="T8564" t="s">
        <v>27255</v>
      </c>
    </row>
    <row r="8565" spans="1:20" x14ac:dyDescent="0.3">
      <c r="A8565" t="str">
        <f>"0611840277100"</f>
        <v>0611840277100</v>
      </c>
      <c r="B8565" t="str">
        <f>"LK6494"</f>
        <v>LK6494</v>
      </c>
      <c r="C8565" t="s">
        <v>43853</v>
      </c>
      <c r="D8565" t="s">
        <v>27245</v>
      </c>
      <c r="E8565" t="str">
        <f t="shared" si="133"/>
        <v>001390</v>
      </c>
      <c r="F8565" t="s">
        <v>27246</v>
      </c>
      <c r="G8565" t="s">
        <v>27247</v>
      </c>
      <c r="H8565" t="s">
        <v>27248</v>
      </c>
      <c r="I8565" t="s">
        <v>43854</v>
      </c>
      <c r="J8565" t="s">
        <v>17089</v>
      </c>
      <c r="L8565" t="s">
        <v>27250</v>
      </c>
      <c r="M8565" t="s">
        <v>27251</v>
      </c>
      <c r="N8565" t="s">
        <v>27252</v>
      </c>
      <c r="Q8565" s="1">
        <v>44538</v>
      </c>
      <c r="R8565" t="s">
        <v>27253</v>
      </c>
      <c r="S8565" t="s">
        <v>27254</v>
      </c>
      <c r="T8565" t="s">
        <v>27255</v>
      </c>
    </row>
    <row r="8566" spans="1:20" x14ac:dyDescent="0.3">
      <c r="A8566" t="str">
        <f>"0611840278100"</f>
        <v>0611840278100</v>
      </c>
      <c r="B8566" t="str">
        <f>"LK6495"</f>
        <v>LK6495</v>
      </c>
      <c r="C8566" t="s">
        <v>43855</v>
      </c>
      <c r="D8566" t="s">
        <v>27245</v>
      </c>
      <c r="E8566" t="str">
        <f t="shared" si="133"/>
        <v>001390</v>
      </c>
      <c r="F8566" t="s">
        <v>27246</v>
      </c>
      <c r="G8566" t="s">
        <v>27247</v>
      </c>
      <c r="H8566" t="s">
        <v>27248</v>
      </c>
      <c r="I8566" t="s">
        <v>43856</v>
      </c>
      <c r="J8566" t="s">
        <v>17091</v>
      </c>
      <c r="L8566" t="s">
        <v>27250</v>
      </c>
      <c r="M8566" t="s">
        <v>27251</v>
      </c>
      <c r="N8566" t="s">
        <v>27252</v>
      </c>
      <c r="Q8566" s="1">
        <v>44538</v>
      </c>
      <c r="R8566" t="s">
        <v>27253</v>
      </c>
      <c r="S8566" t="s">
        <v>27254</v>
      </c>
      <c r="T8566" t="s">
        <v>27255</v>
      </c>
    </row>
    <row r="8567" spans="1:20" x14ac:dyDescent="0.3">
      <c r="A8567" t="str">
        <f>"0611840279100"</f>
        <v>0611840279100</v>
      </c>
      <c r="B8567" t="str">
        <f>"LK6496"</f>
        <v>LK6496</v>
      </c>
      <c r="C8567" t="s">
        <v>43857</v>
      </c>
      <c r="D8567" t="s">
        <v>27245</v>
      </c>
      <c r="E8567" t="str">
        <f t="shared" si="133"/>
        <v>001390</v>
      </c>
      <c r="F8567" t="s">
        <v>27246</v>
      </c>
      <c r="G8567" t="s">
        <v>27247</v>
      </c>
      <c r="H8567" t="s">
        <v>27248</v>
      </c>
      <c r="I8567" t="s">
        <v>43858</v>
      </c>
      <c r="J8567" t="s">
        <v>17093</v>
      </c>
      <c r="L8567" t="s">
        <v>27250</v>
      </c>
      <c r="M8567" t="s">
        <v>27251</v>
      </c>
      <c r="N8567" t="s">
        <v>27252</v>
      </c>
      <c r="Q8567" s="1">
        <v>44538</v>
      </c>
      <c r="R8567" t="s">
        <v>27253</v>
      </c>
      <c r="S8567" t="s">
        <v>27254</v>
      </c>
      <c r="T8567" t="s">
        <v>27255</v>
      </c>
    </row>
    <row r="8568" spans="1:20" x14ac:dyDescent="0.3">
      <c r="A8568" t="str">
        <f>"0611840281100"</f>
        <v>0611840281100</v>
      </c>
      <c r="B8568" t="str">
        <f>"LK6498"</f>
        <v>LK6498</v>
      </c>
      <c r="C8568" t="s">
        <v>43859</v>
      </c>
      <c r="D8568" t="s">
        <v>27245</v>
      </c>
      <c r="E8568" t="str">
        <f t="shared" si="133"/>
        <v>001390</v>
      </c>
      <c r="F8568" t="s">
        <v>27246</v>
      </c>
      <c r="G8568" t="s">
        <v>27247</v>
      </c>
      <c r="H8568" t="s">
        <v>27248</v>
      </c>
      <c r="I8568" t="s">
        <v>43860</v>
      </c>
      <c r="J8568" t="s">
        <v>17095</v>
      </c>
      <c r="L8568" t="s">
        <v>27250</v>
      </c>
      <c r="M8568" t="s">
        <v>27251</v>
      </c>
      <c r="N8568" t="s">
        <v>27252</v>
      </c>
      <c r="Q8568" s="1">
        <v>44538</v>
      </c>
      <c r="R8568" t="s">
        <v>27253</v>
      </c>
      <c r="S8568" t="s">
        <v>27254</v>
      </c>
      <c r="T8568" t="s">
        <v>27255</v>
      </c>
    </row>
    <row r="8569" spans="1:20" x14ac:dyDescent="0.3">
      <c r="A8569" t="str">
        <f>"0611840282100"</f>
        <v>0611840282100</v>
      </c>
      <c r="B8569" t="str">
        <f>"LK6499"</f>
        <v>LK6499</v>
      </c>
      <c r="C8569" t="s">
        <v>43861</v>
      </c>
      <c r="D8569" t="s">
        <v>27245</v>
      </c>
      <c r="E8569" t="str">
        <f t="shared" si="133"/>
        <v>001390</v>
      </c>
      <c r="F8569" t="s">
        <v>27246</v>
      </c>
      <c r="G8569" t="s">
        <v>27247</v>
      </c>
      <c r="H8569" t="s">
        <v>27248</v>
      </c>
      <c r="I8569" t="s">
        <v>43862</v>
      </c>
      <c r="J8569" t="s">
        <v>17097</v>
      </c>
      <c r="L8569" t="s">
        <v>27250</v>
      </c>
      <c r="M8569" t="s">
        <v>27251</v>
      </c>
      <c r="N8569" t="s">
        <v>27252</v>
      </c>
      <c r="Q8569" s="1">
        <v>44538</v>
      </c>
      <c r="R8569" t="s">
        <v>27253</v>
      </c>
      <c r="S8569" t="s">
        <v>27254</v>
      </c>
      <c r="T8569" t="s">
        <v>27255</v>
      </c>
    </row>
    <row r="8570" spans="1:20" x14ac:dyDescent="0.3">
      <c r="A8570" t="str">
        <f>"0611840283100"</f>
        <v>0611840283100</v>
      </c>
      <c r="B8570" t="str">
        <f>"LK6500"</f>
        <v>LK6500</v>
      </c>
      <c r="C8570" t="s">
        <v>43863</v>
      </c>
      <c r="D8570" t="s">
        <v>27245</v>
      </c>
      <c r="E8570" t="str">
        <f t="shared" si="133"/>
        <v>001390</v>
      </c>
      <c r="F8570" t="s">
        <v>27246</v>
      </c>
      <c r="G8570" t="s">
        <v>27247</v>
      </c>
      <c r="H8570" t="s">
        <v>27248</v>
      </c>
      <c r="I8570" t="s">
        <v>43864</v>
      </c>
      <c r="J8570" t="s">
        <v>17099</v>
      </c>
      <c r="L8570" t="s">
        <v>27250</v>
      </c>
      <c r="M8570" t="s">
        <v>27251</v>
      </c>
      <c r="N8570" t="s">
        <v>27252</v>
      </c>
      <c r="Q8570" s="1">
        <v>44538</v>
      </c>
      <c r="R8570" t="s">
        <v>27253</v>
      </c>
      <c r="S8570" t="s">
        <v>27254</v>
      </c>
      <c r="T8570" t="s">
        <v>27255</v>
      </c>
    </row>
    <row r="8571" spans="1:20" x14ac:dyDescent="0.3">
      <c r="A8571" t="str">
        <f>"0611840284100"</f>
        <v>0611840284100</v>
      </c>
      <c r="B8571" t="str">
        <f>"LK6502"</f>
        <v>LK6502</v>
      </c>
      <c r="C8571" t="s">
        <v>43865</v>
      </c>
      <c r="D8571" t="s">
        <v>27245</v>
      </c>
      <c r="E8571" t="str">
        <f t="shared" si="133"/>
        <v>001390</v>
      </c>
      <c r="F8571" t="s">
        <v>27246</v>
      </c>
      <c r="G8571" t="s">
        <v>27247</v>
      </c>
      <c r="H8571" t="s">
        <v>27248</v>
      </c>
      <c r="I8571" t="s">
        <v>43866</v>
      </c>
      <c r="J8571" t="s">
        <v>17103</v>
      </c>
      <c r="L8571" t="s">
        <v>27250</v>
      </c>
      <c r="M8571" t="s">
        <v>27251</v>
      </c>
      <c r="N8571" t="s">
        <v>27252</v>
      </c>
      <c r="Q8571" s="1">
        <v>44538</v>
      </c>
      <c r="R8571" t="s">
        <v>27253</v>
      </c>
      <c r="S8571" t="s">
        <v>27254</v>
      </c>
      <c r="T8571" t="s">
        <v>27255</v>
      </c>
    </row>
    <row r="8572" spans="1:20" x14ac:dyDescent="0.3">
      <c r="A8572" t="str">
        <f>"0611840285100"</f>
        <v>0611840285100</v>
      </c>
      <c r="B8572" t="str">
        <f>"LK6501"</f>
        <v>LK6501</v>
      </c>
      <c r="C8572" t="s">
        <v>43867</v>
      </c>
      <c r="D8572" t="s">
        <v>27245</v>
      </c>
      <c r="E8572" t="str">
        <f t="shared" si="133"/>
        <v>001390</v>
      </c>
      <c r="F8572" t="s">
        <v>27246</v>
      </c>
      <c r="G8572" t="s">
        <v>27247</v>
      </c>
      <c r="H8572" t="s">
        <v>27248</v>
      </c>
      <c r="I8572" t="s">
        <v>43868</v>
      </c>
      <c r="J8572" t="s">
        <v>17101</v>
      </c>
      <c r="L8572" t="s">
        <v>27250</v>
      </c>
      <c r="M8572" t="s">
        <v>27251</v>
      </c>
      <c r="N8572" t="s">
        <v>27252</v>
      </c>
      <c r="Q8572" s="1">
        <v>44538</v>
      </c>
      <c r="R8572" t="s">
        <v>27253</v>
      </c>
      <c r="S8572" t="s">
        <v>27254</v>
      </c>
      <c r="T8572" t="s">
        <v>27255</v>
      </c>
    </row>
    <row r="8573" spans="1:20" x14ac:dyDescent="0.3">
      <c r="A8573" t="str">
        <f>"0611840286100"</f>
        <v>0611840286100</v>
      </c>
      <c r="B8573" t="str">
        <f>"LK6671"</f>
        <v>LK6671</v>
      </c>
      <c r="C8573" t="s">
        <v>43869</v>
      </c>
      <c r="D8573" t="s">
        <v>27245</v>
      </c>
      <c r="E8573" t="str">
        <f t="shared" si="133"/>
        <v>001390</v>
      </c>
      <c r="F8573" t="s">
        <v>27246</v>
      </c>
      <c r="G8573" t="s">
        <v>27247</v>
      </c>
      <c r="H8573" t="s">
        <v>27248</v>
      </c>
      <c r="I8573" t="s">
        <v>43870</v>
      </c>
      <c r="J8573" t="s">
        <v>17105</v>
      </c>
      <c r="L8573" t="s">
        <v>27250</v>
      </c>
      <c r="M8573" t="s">
        <v>27251</v>
      </c>
      <c r="N8573" t="s">
        <v>27252</v>
      </c>
      <c r="Q8573" s="1">
        <v>44538</v>
      </c>
      <c r="R8573" t="s">
        <v>27253</v>
      </c>
      <c r="S8573" t="s">
        <v>27254</v>
      </c>
      <c r="T8573" t="s">
        <v>27255</v>
      </c>
    </row>
    <row r="8574" spans="1:20" x14ac:dyDescent="0.3">
      <c r="A8574" t="str">
        <f>"0611840287100"</f>
        <v>0611840287100</v>
      </c>
      <c r="B8574" t="str">
        <f>"LK6251"</f>
        <v>LK6251</v>
      </c>
      <c r="C8574" t="s">
        <v>43871</v>
      </c>
      <c r="D8574" t="s">
        <v>27245</v>
      </c>
      <c r="E8574" t="str">
        <f t="shared" si="133"/>
        <v>001390</v>
      </c>
      <c r="F8574" t="s">
        <v>27246</v>
      </c>
      <c r="G8574" t="s">
        <v>27247</v>
      </c>
      <c r="H8574" t="s">
        <v>27248</v>
      </c>
      <c r="I8574" t="s">
        <v>43872</v>
      </c>
      <c r="J8574" t="s">
        <v>17107</v>
      </c>
      <c r="L8574" t="s">
        <v>27250</v>
      </c>
      <c r="M8574" t="s">
        <v>27251</v>
      </c>
      <c r="N8574" t="s">
        <v>27252</v>
      </c>
      <c r="Q8574" s="1">
        <v>44538</v>
      </c>
      <c r="R8574" t="s">
        <v>27253</v>
      </c>
      <c r="S8574" t="s">
        <v>27254</v>
      </c>
      <c r="T8574" t="s">
        <v>27255</v>
      </c>
    </row>
    <row r="8575" spans="1:20" x14ac:dyDescent="0.3">
      <c r="A8575" t="str">
        <f>"0611840289100"</f>
        <v>0611840289100</v>
      </c>
      <c r="B8575" t="str">
        <f>"LK5834"</f>
        <v>LK5834</v>
      </c>
      <c r="C8575" t="s">
        <v>43873</v>
      </c>
      <c r="D8575" t="s">
        <v>27245</v>
      </c>
      <c r="E8575" t="str">
        <f t="shared" si="133"/>
        <v>001390</v>
      </c>
      <c r="F8575" t="s">
        <v>27246</v>
      </c>
      <c r="G8575" t="s">
        <v>27247</v>
      </c>
      <c r="H8575" t="s">
        <v>27248</v>
      </c>
      <c r="I8575" t="s">
        <v>43874</v>
      </c>
      <c r="J8575" t="s">
        <v>17109</v>
      </c>
      <c r="L8575" t="s">
        <v>27250</v>
      </c>
      <c r="M8575" t="s">
        <v>27251</v>
      </c>
      <c r="N8575" t="s">
        <v>27252</v>
      </c>
      <c r="Q8575" s="1">
        <v>44538</v>
      </c>
      <c r="R8575" t="s">
        <v>27253</v>
      </c>
      <c r="S8575" t="s">
        <v>27254</v>
      </c>
      <c r="T8575" t="s">
        <v>27255</v>
      </c>
    </row>
    <row r="8576" spans="1:20" x14ac:dyDescent="0.3">
      <c r="A8576" t="str">
        <f>"0611840294100"</f>
        <v>0611840294100</v>
      </c>
      <c r="B8576" t="str">
        <f>"LK6349"</f>
        <v>LK6349</v>
      </c>
      <c r="C8576" t="s">
        <v>43875</v>
      </c>
      <c r="D8576" t="s">
        <v>27245</v>
      </c>
      <c r="E8576" t="str">
        <f t="shared" si="133"/>
        <v>001390</v>
      </c>
      <c r="F8576" t="s">
        <v>27246</v>
      </c>
      <c r="G8576" t="s">
        <v>27247</v>
      </c>
      <c r="H8576" t="s">
        <v>27248</v>
      </c>
      <c r="I8576" t="s">
        <v>43876</v>
      </c>
      <c r="J8576" t="s">
        <v>17111</v>
      </c>
      <c r="L8576" t="s">
        <v>27250</v>
      </c>
      <c r="M8576" t="s">
        <v>27251</v>
      </c>
      <c r="N8576" t="s">
        <v>27252</v>
      </c>
      <c r="Q8576" s="1">
        <v>44538</v>
      </c>
      <c r="R8576" t="s">
        <v>27253</v>
      </c>
      <c r="S8576" t="s">
        <v>27254</v>
      </c>
      <c r="T8576" t="s">
        <v>27255</v>
      </c>
    </row>
    <row r="8577" spans="1:20" x14ac:dyDescent="0.3">
      <c r="A8577" t="str">
        <f>"0611840295100"</f>
        <v>0611840295100</v>
      </c>
      <c r="B8577" t="str">
        <f>"LK4432"</f>
        <v>LK4432</v>
      </c>
      <c r="C8577" t="s">
        <v>43877</v>
      </c>
      <c r="D8577" t="s">
        <v>27245</v>
      </c>
      <c r="E8577" t="str">
        <f t="shared" si="133"/>
        <v>001390</v>
      </c>
      <c r="F8577" t="s">
        <v>27246</v>
      </c>
      <c r="G8577" t="s">
        <v>27247</v>
      </c>
      <c r="H8577" t="s">
        <v>27248</v>
      </c>
      <c r="I8577" t="s">
        <v>43878</v>
      </c>
      <c r="J8577" t="s">
        <v>17113</v>
      </c>
      <c r="L8577" t="s">
        <v>27250</v>
      </c>
      <c r="M8577" t="s">
        <v>27251</v>
      </c>
      <c r="N8577" t="s">
        <v>27252</v>
      </c>
      <c r="Q8577" s="1">
        <v>44538</v>
      </c>
      <c r="R8577" t="s">
        <v>27253</v>
      </c>
      <c r="S8577" t="s">
        <v>27254</v>
      </c>
      <c r="T8577" t="s">
        <v>27255</v>
      </c>
    </row>
    <row r="8578" spans="1:20" x14ac:dyDescent="0.3">
      <c r="A8578" t="str">
        <f>"0611840296100"</f>
        <v>0611840296100</v>
      </c>
      <c r="B8578" t="str">
        <f>"LK3248"</f>
        <v>LK3248</v>
      </c>
      <c r="C8578" t="s">
        <v>43879</v>
      </c>
      <c r="D8578" t="s">
        <v>27245</v>
      </c>
      <c r="E8578" t="str">
        <f t="shared" ref="E8578:E8641" si="134">"001390"</f>
        <v>001390</v>
      </c>
      <c r="F8578" t="s">
        <v>27246</v>
      </c>
      <c r="G8578" t="s">
        <v>27247</v>
      </c>
      <c r="H8578" t="s">
        <v>27248</v>
      </c>
      <c r="I8578" t="s">
        <v>43880</v>
      </c>
      <c r="J8578" t="s">
        <v>17115</v>
      </c>
      <c r="L8578" t="s">
        <v>27250</v>
      </c>
      <c r="M8578" t="s">
        <v>27251</v>
      </c>
      <c r="N8578" t="s">
        <v>27252</v>
      </c>
      <c r="Q8578" s="1">
        <v>44538</v>
      </c>
      <c r="R8578" t="s">
        <v>27253</v>
      </c>
      <c r="S8578" t="s">
        <v>27254</v>
      </c>
      <c r="T8578" t="s">
        <v>27255</v>
      </c>
    </row>
    <row r="8579" spans="1:20" x14ac:dyDescent="0.3">
      <c r="A8579" t="str">
        <f>"0611840299025"</f>
        <v>0611840299025</v>
      </c>
      <c r="B8579" t="str">
        <f>"MC2792"</f>
        <v>MC2792</v>
      </c>
      <c r="C8579" t="s">
        <v>43881</v>
      </c>
      <c r="D8579" t="s">
        <v>27267</v>
      </c>
      <c r="E8579" t="str">
        <f t="shared" si="134"/>
        <v>001390</v>
      </c>
      <c r="F8579" t="s">
        <v>27246</v>
      </c>
      <c r="G8579" t="s">
        <v>27247</v>
      </c>
      <c r="H8579" t="s">
        <v>27248</v>
      </c>
      <c r="I8579" t="s">
        <v>43882</v>
      </c>
      <c r="J8579" t="s">
        <v>17119</v>
      </c>
      <c r="L8579" t="s">
        <v>27250</v>
      </c>
      <c r="M8579" t="s">
        <v>27251</v>
      </c>
      <c r="N8579" t="s">
        <v>27252</v>
      </c>
      <c r="Q8579" s="1">
        <v>44538</v>
      </c>
      <c r="R8579" t="s">
        <v>27253</v>
      </c>
      <c r="S8579" t="s">
        <v>27254</v>
      </c>
      <c r="T8579" t="s">
        <v>27269</v>
      </c>
    </row>
    <row r="8580" spans="1:20" x14ac:dyDescent="0.3">
      <c r="A8580" t="str">
        <f>"0611864311100"</f>
        <v>0611864311100</v>
      </c>
      <c r="B8580" t="str">
        <f>"CN5436"</f>
        <v>CN5436</v>
      </c>
      <c r="C8580" t="s">
        <v>43881</v>
      </c>
      <c r="D8580" t="s">
        <v>27335</v>
      </c>
      <c r="E8580" t="str">
        <f t="shared" si="134"/>
        <v>001390</v>
      </c>
      <c r="F8580" t="s">
        <v>27246</v>
      </c>
      <c r="G8580" t="s">
        <v>27247</v>
      </c>
      <c r="H8580" t="s">
        <v>27248</v>
      </c>
      <c r="I8580" t="s">
        <v>43883</v>
      </c>
      <c r="J8580" t="s">
        <v>17117</v>
      </c>
      <c r="L8580" t="s">
        <v>27250</v>
      </c>
      <c r="M8580" t="s">
        <v>27251</v>
      </c>
      <c r="N8580" t="s">
        <v>27252</v>
      </c>
      <c r="Q8580" s="1">
        <v>44846</v>
      </c>
      <c r="R8580" t="s">
        <v>27253</v>
      </c>
      <c r="S8580" t="s">
        <v>27254</v>
      </c>
      <c r="T8580" t="s">
        <v>27255</v>
      </c>
    </row>
    <row r="8581" spans="1:20" x14ac:dyDescent="0.3">
      <c r="A8581" t="str">
        <f>"0611864312050"</f>
        <v>0611864312050</v>
      </c>
      <c r="B8581" t="str">
        <f>"CR4520"</f>
        <v>CR4520</v>
      </c>
      <c r="C8581" t="s">
        <v>43884</v>
      </c>
      <c r="D8581" t="s">
        <v>27286</v>
      </c>
      <c r="E8581" t="str">
        <f t="shared" si="134"/>
        <v>001390</v>
      </c>
      <c r="F8581" t="s">
        <v>27246</v>
      </c>
      <c r="G8581" t="s">
        <v>27247</v>
      </c>
      <c r="H8581" t="s">
        <v>27248</v>
      </c>
      <c r="I8581" t="s">
        <v>43885</v>
      </c>
      <c r="J8581" t="s">
        <v>17121</v>
      </c>
      <c r="L8581" t="s">
        <v>27250</v>
      </c>
      <c r="M8581" t="s">
        <v>27251</v>
      </c>
      <c r="N8581" t="s">
        <v>27252</v>
      </c>
      <c r="Q8581" s="1">
        <v>44846</v>
      </c>
      <c r="R8581" t="s">
        <v>27253</v>
      </c>
      <c r="S8581" t="s">
        <v>27254</v>
      </c>
      <c r="T8581" t="s">
        <v>27265</v>
      </c>
    </row>
    <row r="8582" spans="1:20" x14ac:dyDescent="0.3">
      <c r="A8582" t="str">
        <f>"0611840301100"</f>
        <v>0611840301100</v>
      </c>
      <c r="B8582" t="str">
        <f>"LK3899"</f>
        <v>LK3899</v>
      </c>
      <c r="C8582" t="s">
        <v>43886</v>
      </c>
      <c r="D8582" t="s">
        <v>27245</v>
      </c>
      <c r="E8582" t="str">
        <f t="shared" si="134"/>
        <v>001390</v>
      </c>
      <c r="F8582" t="s">
        <v>27246</v>
      </c>
      <c r="G8582" t="s">
        <v>27247</v>
      </c>
      <c r="H8582" t="s">
        <v>27248</v>
      </c>
      <c r="I8582" t="s">
        <v>43887</v>
      </c>
      <c r="J8582" t="s">
        <v>17123</v>
      </c>
      <c r="L8582" t="s">
        <v>27250</v>
      </c>
      <c r="M8582" t="s">
        <v>27251</v>
      </c>
      <c r="N8582" t="s">
        <v>27252</v>
      </c>
      <c r="Q8582" s="1">
        <v>44538</v>
      </c>
      <c r="R8582" t="s">
        <v>27253</v>
      </c>
      <c r="S8582" t="s">
        <v>27254</v>
      </c>
      <c r="T8582" t="s">
        <v>27255</v>
      </c>
    </row>
    <row r="8583" spans="1:20" x14ac:dyDescent="0.3">
      <c r="A8583" t="str">
        <f>"0611840302100"</f>
        <v>0611840302100</v>
      </c>
      <c r="B8583" t="str">
        <f>"LK5503"</f>
        <v>LK5503</v>
      </c>
      <c r="C8583" t="s">
        <v>43888</v>
      </c>
      <c r="D8583" t="s">
        <v>28138</v>
      </c>
      <c r="E8583" t="str">
        <f t="shared" si="134"/>
        <v>001390</v>
      </c>
      <c r="F8583" t="s">
        <v>27246</v>
      </c>
      <c r="G8583" t="s">
        <v>27247</v>
      </c>
      <c r="H8583" t="s">
        <v>27248</v>
      </c>
      <c r="I8583" t="s">
        <v>43889</v>
      </c>
      <c r="J8583" t="s">
        <v>17125</v>
      </c>
      <c r="L8583" t="s">
        <v>27250</v>
      </c>
      <c r="M8583" t="s">
        <v>27251</v>
      </c>
      <c r="N8583" t="s">
        <v>27252</v>
      </c>
      <c r="P8583" t="s">
        <v>27925</v>
      </c>
      <c r="Q8583" s="1">
        <v>44538</v>
      </c>
      <c r="R8583" t="s">
        <v>27253</v>
      </c>
      <c r="S8583" t="s">
        <v>27254</v>
      </c>
      <c r="T8583" t="s">
        <v>27255</v>
      </c>
    </row>
    <row r="8584" spans="1:20" x14ac:dyDescent="0.3">
      <c r="A8584" t="str">
        <f>"0611840303100"</f>
        <v>0611840303100</v>
      </c>
      <c r="B8584" t="str">
        <f>"LK6412"</f>
        <v>LK6412</v>
      </c>
      <c r="C8584" t="s">
        <v>43890</v>
      </c>
      <c r="D8584" t="s">
        <v>28138</v>
      </c>
      <c r="E8584" t="str">
        <f t="shared" si="134"/>
        <v>001390</v>
      </c>
      <c r="F8584" t="s">
        <v>27246</v>
      </c>
      <c r="G8584" t="s">
        <v>27247</v>
      </c>
      <c r="H8584" t="s">
        <v>27248</v>
      </c>
      <c r="I8584" t="s">
        <v>43891</v>
      </c>
      <c r="J8584" t="s">
        <v>17127</v>
      </c>
      <c r="L8584" t="s">
        <v>27250</v>
      </c>
      <c r="M8584" t="s">
        <v>27251</v>
      </c>
      <c r="N8584" t="s">
        <v>27252</v>
      </c>
      <c r="P8584" t="s">
        <v>27925</v>
      </c>
      <c r="Q8584" s="1">
        <v>44538</v>
      </c>
      <c r="R8584" t="s">
        <v>27253</v>
      </c>
      <c r="S8584" t="s">
        <v>27254</v>
      </c>
      <c r="T8584" t="s">
        <v>27255</v>
      </c>
    </row>
    <row r="8585" spans="1:20" x14ac:dyDescent="0.3">
      <c r="A8585" t="str">
        <f>"0611840304100"</f>
        <v>0611840304100</v>
      </c>
      <c r="B8585" t="str">
        <f>"LK1642"</f>
        <v>LK1642</v>
      </c>
      <c r="C8585" t="s">
        <v>43892</v>
      </c>
      <c r="D8585" t="s">
        <v>27245</v>
      </c>
      <c r="E8585" t="str">
        <f t="shared" si="134"/>
        <v>001390</v>
      </c>
      <c r="F8585" t="s">
        <v>27246</v>
      </c>
      <c r="G8585" t="s">
        <v>27247</v>
      </c>
      <c r="H8585" t="s">
        <v>27248</v>
      </c>
      <c r="I8585" t="s">
        <v>43893</v>
      </c>
      <c r="J8585" t="s">
        <v>17129</v>
      </c>
      <c r="L8585" t="s">
        <v>27250</v>
      </c>
      <c r="M8585" t="s">
        <v>27251</v>
      </c>
      <c r="N8585" t="s">
        <v>27252</v>
      </c>
      <c r="Q8585" s="1">
        <v>44538</v>
      </c>
      <c r="R8585" t="s">
        <v>27253</v>
      </c>
      <c r="S8585" t="s">
        <v>27254</v>
      </c>
      <c r="T8585" t="s">
        <v>27255</v>
      </c>
    </row>
    <row r="8586" spans="1:20" x14ac:dyDescent="0.3">
      <c r="A8586" t="str">
        <f>"0611840305100"</f>
        <v>0611840305100</v>
      </c>
      <c r="B8586" t="str">
        <f>"LK3421"</f>
        <v>LK3421</v>
      </c>
      <c r="C8586" t="s">
        <v>43894</v>
      </c>
      <c r="D8586" t="s">
        <v>27245</v>
      </c>
      <c r="E8586" t="str">
        <f t="shared" si="134"/>
        <v>001390</v>
      </c>
      <c r="F8586" t="s">
        <v>27246</v>
      </c>
      <c r="G8586" t="s">
        <v>27247</v>
      </c>
      <c r="H8586" t="s">
        <v>27248</v>
      </c>
      <c r="I8586" t="s">
        <v>43895</v>
      </c>
      <c r="J8586" t="s">
        <v>17131</v>
      </c>
      <c r="L8586" t="s">
        <v>27250</v>
      </c>
      <c r="M8586" t="s">
        <v>27251</v>
      </c>
      <c r="N8586" t="s">
        <v>27252</v>
      </c>
      <c r="Q8586" s="1">
        <v>44538</v>
      </c>
      <c r="R8586" t="s">
        <v>27253</v>
      </c>
      <c r="S8586" t="s">
        <v>27254</v>
      </c>
      <c r="T8586" t="s">
        <v>27255</v>
      </c>
    </row>
    <row r="8587" spans="1:20" x14ac:dyDescent="0.3">
      <c r="A8587" t="str">
        <f>"0611840306100"</f>
        <v>0611840306100</v>
      </c>
      <c r="B8587" t="str">
        <f>"LK6095"</f>
        <v>LK6095</v>
      </c>
      <c r="C8587" t="s">
        <v>43896</v>
      </c>
      <c r="D8587" t="s">
        <v>27245</v>
      </c>
      <c r="E8587" t="str">
        <f t="shared" si="134"/>
        <v>001390</v>
      </c>
      <c r="F8587" t="s">
        <v>27246</v>
      </c>
      <c r="G8587" t="s">
        <v>27247</v>
      </c>
      <c r="H8587" t="s">
        <v>27248</v>
      </c>
      <c r="I8587" t="s">
        <v>43897</v>
      </c>
      <c r="J8587" t="s">
        <v>17133</v>
      </c>
      <c r="L8587" t="s">
        <v>27250</v>
      </c>
      <c r="M8587" t="s">
        <v>27251</v>
      </c>
      <c r="N8587" t="s">
        <v>27252</v>
      </c>
      <c r="Q8587" s="1">
        <v>44538</v>
      </c>
      <c r="R8587" t="s">
        <v>27253</v>
      </c>
      <c r="S8587" t="s">
        <v>27254</v>
      </c>
      <c r="T8587" t="s">
        <v>27255</v>
      </c>
    </row>
    <row r="8588" spans="1:20" x14ac:dyDescent="0.3">
      <c r="A8588" t="str">
        <f>"0611840307100"</f>
        <v>0611840307100</v>
      </c>
      <c r="B8588" t="str">
        <f>"LK6651"</f>
        <v>LK6651</v>
      </c>
      <c r="C8588" t="s">
        <v>43898</v>
      </c>
      <c r="D8588" t="s">
        <v>27245</v>
      </c>
      <c r="E8588" t="str">
        <f t="shared" si="134"/>
        <v>001390</v>
      </c>
      <c r="F8588" t="s">
        <v>27246</v>
      </c>
      <c r="G8588" t="s">
        <v>27247</v>
      </c>
      <c r="H8588" t="s">
        <v>27248</v>
      </c>
      <c r="I8588" t="s">
        <v>43899</v>
      </c>
      <c r="J8588" t="s">
        <v>17135</v>
      </c>
      <c r="L8588" t="s">
        <v>27250</v>
      </c>
      <c r="M8588" t="s">
        <v>27251</v>
      </c>
      <c r="N8588" t="s">
        <v>27252</v>
      </c>
      <c r="Q8588" s="1">
        <v>44538</v>
      </c>
      <c r="R8588" t="s">
        <v>27253</v>
      </c>
      <c r="S8588" t="s">
        <v>27254</v>
      </c>
      <c r="T8588" t="s">
        <v>27255</v>
      </c>
    </row>
    <row r="8589" spans="1:20" x14ac:dyDescent="0.3">
      <c r="A8589" t="str">
        <f>"0611840308100"</f>
        <v>0611840308100</v>
      </c>
      <c r="B8589" t="str">
        <f>"LK6756"</f>
        <v>LK6756</v>
      </c>
      <c r="C8589" t="s">
        <v>43900</v>
      </c>
      <c r="D8589" t="s">
        <v>27245</v>
      </c>
      <c r="E8589" t="str">
        <f t="shared" si="134"/>
        <v>001390</v>
      </c>
      <c r="F8589" t="s">
        <v>27246</v>
      </c>
      <c r="G8589" t="s">
        <v>27247</v>
      </c>
      <c r="H8589" t="s">
        <v>27248</v>
      </c>
      <c r="I8589" t="s">
        <v>43901</v>
      </c>
      <c r="J8589" t="s">
        <v>17137</v>
      </c>
      <c r="L8589" t="s">
        <v>27250</v>
      </c>
      <c r="M8589" t="s">
        <v>27251</v>
      </c>
      <c r="N8589" t="s">
        <v>27252</v>
      </c>
      <c r="Q8589" s="1">
        <v>44538</v>
      </c>
      <c r="R8589" t="s">
        <v>27253</v>
      </c>
      <c r="S8589" t="s">
        <v>27254</v>
      </c>
      <c r="T8589" t="s">
        <v>27255</v>
      </c>
    </row>
    <row r="8590" spans="1:20" x14ac:dyDescent="0.3">
      <c r="A8590" t="str">
        <f>"0611840309100"</f>
        <v>0611840309100</v>
      </c>
      <c r="B8590" t="str">
        <f>"LK6758"</f>
        <v>LK6758</v>
      </c>
      <c r="C8590" t="s">
        <v>43902</v>
      </c>
      <c r="D8590" t="s">
        <v>27245</v>
      </c>
      <c r="E8590" t="str">
        <f t="shared" si="134"/>
        <v>001390</v>
      </c>
      <c r="F8590" t="s">
        <v>27246</v>
      </c>
      <c r="G8590" t="s">
        <v>27247</v>
      </c>
      <c r="H8590" t="s">
        <v>27248</v>
      </c>
      <c r="I8590" t="s">
        <v>43903</v>
      </c>
      <c r="J8590" t="s">
        <v>17143</v>
      </c>
      <c r="L8590" t="s">
        <v>27250</v>
      </c>
      <c r="M8590" t="s">
        <v>27251</v>
      </c>
      <c r="N8590" t="s">
        <v>27252</v>
      </c>
      <c r="Q8590" s="1">
        <v>44538</v>
      </c>
      <c r="R8590" t="s">
        <v>27253</v>
      </c>
      <c r="S8590" t="s">
        <v>27254</v>
      </c>
      <c r="T8590" t="s">
        <v>27255</v>
      </c>
    </row>
    <row r="8591" spans="1:20" x14ac:dyDescent="0.3">
      <c r="A8591" t="str">
        <f>"0611840310100"</f>
        <v>0611840310100</v>
      </c>
      <c r="B8591" t="str">
        <f>"LK1643"</f>
        <v>LK1643</v>
      </c>
      <c r="C8591" t="s">
        <v>43904</v>
      </c>
      <c r="D8591" t="s">
        <v>27245</v>
      </c>
      <c r="E8591" t="str">
        <f t="shared" si="134"/>
        <v>001390</v>
      </c>
      <c r="F8591" t="s">
        <v>27246</v>
      </c>
      <c r="G8591" t="s">
        <v>27247</v>
      </c>
      <c r="H8591" t="s">
        <v>27248</v>
      </c>
      <c r="I8591" t="s">
        <v>43905</v>
      </c>
      <c r="J8591" t="s">
        <v>17145</v>
      </c>
      <c r="L8591" t="s">
        <v>27250</v>
      </c>
      <c r="M8591" t="s">
        <v>27251</v>
      </c>
      <c r="N8591" t="s">
        <v>27252</v>
      </c>
      <c r="Q8591" s="1">
        <v>44538</v>
      </c>
      <c r="R8591" t="s">
        <v>27253</v>
      </c>
      <c r="S8591" t="s">
        <v>27254</v>
      </c>
      <c r="T8591" t="s">
        <v>27255</v>
      </c>
    </row>
    <row r="8592" spans="1:20" x14ac:dyDescent="0.3">
      <c r="A8592" t="str">
        <f>"0611840311100"</f>
        <v>0611840311100</v>
      </c>
      <c r="B8592" t="str">
        <f>"LK4860"</f>
        <v>LK4860</v>
      </c>
      <c r="C8592" t="s">
        <v>43906</v>
      </c>
      <c r="D8592" t="s">
        <v>27245</v>
      </c>
      <c r="E8592" t="str">
        <f t="shared" si="134"/>
        <v>001390</v>
      </c>
      <c r="F8592" t="s">
        <v>27246</v>
      </c>
      <c r="G8592" t="s">
        <v>27247</v>
      </c>
      <c r="H8592" t="s">
        <v>27248</v>
      </c>
      <c r="I8592" t="s">
        <v>43907</v>
      </c>
      <c r="J8592" t="s">
        <v>17147</v>
      </c>
      <c r="L8592" t="s">
        <v>27250</v>
      </c>
      <c r="M8592" t="s">
        <v>27251</v>
      </c>
      <c r="N8592" t="s">
        <v>27252</v>
      </c>
      <c r="Q8592" s="1">
        <v>44538</v>
      </c>
      <c r="R8592" t="s">
        <v>27253</v>
      </c>
      <c r="S8592" t="s">
        <v>27254</v>
      </c>
      <c r="T8592" t="s">
        <v>27255</v>
      </c>
    </row>
    <row r="8593" spans="1:20" x14ac:dyDescent="0.3">
      <c r="A8593" t="str">
        <f>"0611840312100"</f>
        <v>0611840312100</v>
      </c>
      <c r="B8593" t="str">
        <f>"LK4862"</f>
        <v>LK4862</v>
      </c>
      <c r="C8593" t="s">
        <v>43908</v>
      </c>
      <c r="D8593" t="s">
        <v>27245</v>
      </c>
      <c r="E8593" t="str">
        <f t="shared" si="134"/>
        <v>001390</v>
      </c>
      <c r="F8593" t="s">
        <v>27246</v>
      </c>
      <c r="G8593" t="s">
        <v>27247</v>
      </c>
      <c r="H8593" t="s">
        <v>27248</v>
      </c>
      <c r="I8593" t="s">
        <v>43909</v>
      </c>
      <c r="J8593" t="s">
        <v>17149</v>
      </c>
      <c r="L8593" t="s">
        <v>27250</v>
      </c>
      <c r="M8593" t="s">
        <v>27251</v>
      </c>
      <c r="N8593" t="s">
        <v>27252</v>
      </c>
      <c r="Q8593" s="1">
        <v>44538</v>
      </c>
      <c r="R8593" t="s">
        <v>27253</v>
      </c>
      <c r="S8593" t="s">
        <v>27254</v>
      </c>
      <c r="T8593" t="s">
        <v>27255</v>
      </c>
    </row>
    <row r="8594" spans="1:20" x14ac:dyDescent="0.3">
      <c r="A8594" t="str">
        <f>"0611840313100"</f>
        <v>0611840313100</v>
      </c>
      <c r="B8594" t="str">
        <f>"LK1644"</f>
        <v>LK1644</v>
      </c>
      <c r="C8594" t="s">
        <v>43910</v>
      </c>
      <c r="D8594" t="s">
        <v>27245</v>
      </c>
      <c r="E8594" t="str">
        <f t="shared" si="134"/>
        <v>001390</v>
      </c>
      <c r="F8594" t="s">
        <v>27246</v>
      </c>
      <c r="G8594" t="s">
        <v>27247</v>
      </c>
      <c r="H8594" t="s">
        <v>27248</v>
      </c>
      <c r="I8594" t="s">
        <v>43911</v>
      </c>
      <c r="J8594" t="s">
        <v>17151</v>
      </c>
      <c r="L8594" t="s">
        <v>27250</v>
      </c>
      <c r="M8594" t="s">
        <v>27251</v>
      </c>
      <c r="N8594" t="s">
        <v>27252</v>
      </c>
      <c r="Q8594" s="1">
        <v>44538</v>
      </c>
      <c r="R8594" t="s">
        <v>27253</v>
      </c>
      <c r="S8594" t="s">
        <v>27254</v>
      </c>
      <c r="T8594" t="s">
        <v>27255</v>
      </c>
    </row>
    <row r="8595" spans="1:20" x14ac:dyDescent="0.3">
      <c r="A8595" t="str">
        <f>"0611840314100"</f>
        <v>0611840314100</v>
      </c>
      <c r="B8595" t="str">
        <f>"LK6759"</f>
        <v>LK6759</v>
      </c>
      <c r="C8595" t="s">
        <v>43912</v>
      </c>
      <c r="D8595" t="s">
        <v>27245</v>
      </c>
      <c r="E8595" t="str">
        <f t="shared" si="134"/>
        <v>001390</v>
      </c>
      <c r="F8595" t="s">
        <v>27246</v>
      </c>
      <c r="G8595" t="s">
        <v>27247</v>
      </c>
      <c r="H8595" t="s">
        <v>27248</v>
      </c>
      <c r="I8595" t="s">
        <v>43913</v>
      </c>
      <c r="J8595" t="s">
        <v>17139</v>
      </c>
      <c r="L8595" t="s">
        <v>27250</v>
      </c>
      <c r="M8595" t="s">
        <v>27251</v>
      </c>
      <c r="N8595" t="s">
        <v>27252</v>
      </c>
      <c r="Q8595" s="1">
        <v>44538</v>
      </c>
      <c r="R8595" t="s">
        <v>27253</v>
      </c>
      <c r="S8595" t="s">
        <v>27254</v>
      </c>
      <c r="T8595" t="s">
        <v>27255</v>
      </c>
    </row>
    <row r="8596" spans="1:20" x14ac:dyDescent="0.3">
      <c r="A8596" t="str">
        <f>"0611840315100"</f>
        <v>0611840315100</v>
      </c>
      <c r="B8596" t="str">
        <f>"LK6757"</f>
        <v>LK6757</v>
      </c>
      <c r="C8596" t="s">
        <v>43914</v>
      </c>
      <c r="D8596" t="s">
        <v>27245</v>
      </c>
      <c r="E8596" t="str">
        <f t="shared" si="134"/>
        <v>001390</v>
      </c>
      <c r="F8596" t="s">
        <v>27246</v>
      </c>
      <c r="G8596" t="s">
        <v>27247</v>
      </c>
      <c r="H8596" t="s">
        <v>27248</v>
      </c>
      <c r="I8596" t="s">
        <v>43915</v>
      </c>
      <c r="J8596" t="s">
        <v>17141</v>
      </c>
      <c r="L8596" t="s">
        <v>27250</v>
      </c>
      <c r="M8596" t="s">
        <v>27251</v>
      </c>
      <c r="N8596" t="s">
        <v>27252</v>
      </c>
      <c r="Q8596" s="1">
        <v>44538</v>
      </c>
      <c r="R8596" t="s">
        <v>27253</v>
      </c>
      <c r="S8596" t="s">
        <v>27254</v>
      </c>
      <c r="T8596" t="s">
        <v>27255</v>
      </c>
    </row>
    <row r="8597" spans="1:20" x14ac:dyDescent="0.3">
      <c r="A8597" t="str">
        <f>"0611840316100"</f>
        <v>0611840316100</v>
      </c>
      <c r="B8597" t="str">
        <f>"LK3423"</f>
        <v>LK3423</v>
      </c>
      <c r="C8597" t="s">
        <v>43916</v>
      </c>
      <c r="D8597" t="s">
        <v>27245</v>
      </c>
      <c r="E8597" t="str">
        <f t="shared" si="134"/>
        <v>001390</v>
      </c>
      <c r="F8597" t="s">
        <v>27246</v>
      </c>
      <c r="G8597" t="s">
        <v>27247</v>
      </c>
      <c r="H8597" t="s">
        <v>27248</v>
      </c>
      <c r="I8597" t="s">
        <v>43917</v>
      </c>
      <c r="J8597" t="s">
        <v>17153</v>
      </c>
      <c r="L8597" t="s">
        <v>27250</v>
      </c>
      <c r="M8597" t="s">
        <v>27251</v>
      </c>
      <c r="N8597" t="s">
        <v>27252</v>
      </c>
      <c r="Q8597" s="1">
        <v>44538</v>
      </c>
      <c r="R8597" t="s">
        <v>27253</v>
      </c>
      <c r="S8597" t="s">
        <v>27254</v>
      </c>
      <c r="T8597" t="s">
        <v>27255</v>
      </c>
    </row>
    <row r="8598" spans="1:20" x14ac:dyDescent="0.3">
      <c r="A8598" t="str">
        <f>"0611840530025"</f>
        <v>0611840530025</v>
      </c>
      <c r="B8598" t="str">
        <f>"MC2304"</f>
        <v>MC2304</v>
      </c>
      <c r="C8598" t="s">
        <v>43918</v>
      </c>
      <c r="D8598" t="s">
        <v>27267</v>
      </c>
      <c r="E8598" t="str">
        <f t="shared" si="134"/>
        <v>001390</v>
      </c>
      <c r="F8598" t="s">
        <v>27246</v>
      </c>
      <c r="G8598" t="s">
        <v>27247</v>
      </c>
      <c r="H8598" t="s">
        <v>27248</v>
      </c>
      <c r="I8598" t="s">
        <v>43919</v>
      </c>
      <c r="J8598" t="s">
        <v>17528</v>
      </c>
      <c r="L8598" t="s">
        <v>27250</v>
      </c>
      <c r="M8598" t="s">
        <v>27251</v>
      </c>
      <c r="N8598" t="s">
        <v>27252</v>
      </c>
      <c r="Q8598" s="1">
        <v>44538</v>
      </c>
      <c r="R8598" t="s">
        <v>27253</v>
      </c>
      <c r="S8598" t="s">
        <v>27254</v>
      </c>
      <c r="T8598" t="s">
        <v>27269</v>
      </c>
    </row>
    <row r="8599" spans="1:20" x14ac:dyDescent="0.3">
      <c r="A8599" t="str">
        <f>"0611840324100"</f>
        <v>0611840324100</v>
      </c>
      <c r="B8599" t="str">
        <f>"LK7018"</f>
        <v>LK7018</v>
      </c>
      <c r="C8599" t="s">
        <v>43920</v>
      </c>
      <c r="D8599" t="s">
        <v>27245</v>
      </c>
      <c r="E8599" t="str">
        <f t="shared" si="134"/>
        <v>001390</v>
      </c>
      <c r="F8599" t="s">
        <v>27246</v>
      </c>
      <c r="G8599" t="s">
        <v>27247</v>
      </c>
      <c r="H8599" t="s">
        <v>27248</v>
      </c>
      <c r="I8599" t="s">
        <v>43921</v>
      </c>
      <c r="J8599" t="s">
        <v>17155</v>
      </c>
      <c r="L8599" t="s">
        <v>27250</v>
      </c>
      <c r="M8599" t="s">
        <v>27251</v>
      </c>
      <c r="N8599" t="s">
        <v>27252</v>
      </c>
      <c r="Q8599" s="1">
        <v>44538</v>
      </c>
      <c r="R8599" t="s">
        <v>27253</v>
      </c>
      <c r="S8599" t="s">
        <v>27254</v>
      </c>
      <c r="T8599" t="s">
        <v>27255</v>
      </c>
    </row>
    <row r="8600" spans="1:20" x14ac:dyDescent="0.3">
      <c r="A8600" t="str">
        <f>"0611840325100"</f>
        <v>0611840325100</v>
      </c>
      <c r="B8600" t="str">
        <f>"LK6870"</f>
        <v>LK6870</v>
      </c>
      <c r="C8600" t="s">
        <v>43922</v>
      </c>
      <c r="D8600" t="s">
        <v>27245</v>
      </c>
      <c r="E8600" t="str">
        <f t="shared" si="134"/>
        <v>001390</v>
      </c>
      <c r="F8600" t="s">
        <v>27246</v>
      </c>
      <c r="G8600" t="s">
        <v>27247</v>
      </c>
      <c r="H8600" t="s">
        <v>27248</v>
      </c>
      <c r="I8600" t="s">
        <v>43923</v>
      </c>
      <c r="J8600" t="s">
        <v>17157</v>
      </c>
      <c r="L8600" t="s">
        <v>27250</v>
      </c>
      <c r="M8600" t="s">
        <v>27251</v>
      </c>
      <c r="N8600" t="s">
        <v>27252</v>
      </c>
      <c r="Q8600" s="1">
        <v>44538</v>
      </c>
      <c r="R8600" t="s">
        <v>27253</v>
      </c>
      <c r="S8600" t="s">
        <v>27254</v>
      </c>
      <c r="T8600" t="s">
        <v>27255</v>
      </c>
    </row>
    <row r="8601" spans="1:20" x14ac:dyDescent="0.3">
      <c r="A8601" t="str">
        <f>"0611840326100"</f>
        <v>0611840326100</v>
      </c>
      <c r="B8601" t="str">
        <f>"LK5504"</f>
        <v>LK5504</v>
      </c>
      <c r="C8601" t="s">
        <v>43924</v>
      </c>
      <c r="D8601" t="s">
        <v>27245</v>
      </c>
      <c r="E8601" t="str">
        <f t="shared" si="134"/>
        <v>001390</v>
      </c>
      <c r="F8601" t="s">
        <v>27246</v>
      </c>
      <c r="G8601" t="s">
        <v>27247</v>
      </c>
      <c r="H8601" t="s">
        <v>27248</v>
      </c>
      <c r="I8601" t="s">
        <v>43925</v>
      </c>
      <c r="J8601" t="s">
        <v>17159</v>
      </c>
      <c r="L8601" t="s">
        <v>27250</v>
      </c>
      <c r="M8601" t="s">
        <v>27251</v>
      </c>
      <c r="N8601" t="s">
        <v>27252</v>
      </c>
      <c r="Q8601" s="1">
        <v>44538</v>
      </c>
      <c r="R8601" t="s">
        <v>27253</v>
      </c>
      <c r="S8601" t="s">
        <v>27254</v>
      </c>
      <c r="T8601" t="s">
        <v>27255</v>
      </c>
    </row>
    <row r="8602" spans="1:20" x14ac:dyDescent="0.3">
      <c r="A8602" t="str">
        <f>"0611840327100"</f>
        <v>0611840327100</v>
      </c>
      <c r="B8602" t="str">
        <f>"LK6725"</f>
        <v>LK6725</v>
      </c>
      <c r="C8602" t="s">
        <v>43926</v>
      </c>
      <c r="D8602" t="s">
        <v>27245</v>
      </c>
      <c r="E8602" t="str">
        <f t="shared" si="134"/>
        <v>001390</v>
      </c>
      <c r="F8602" t="s">
        <v>27246</v>
      </c>
      <c r="G8602" t="s">
        <v>27247</v>
      </c>
      <c r="H8602" t="s">
        <v>27248</v>
      </c>
      <c r="I8602" t="s">
        <v>43927</v>
      </c>
      <c r="J8602" t="s">
        <v>17161</v>
      </c>
      <c r="L8602" t="s">
        <v>27250</v>
      </c>
      <c r="M8602" t="s">
        <v>27251</v>
      </c>
      <c r="N8602" t="s">
        <v>27252</v>
      </c>
      <c r="Q8602" s="1">
        <v>44538</v>
      </c>
      <c r="R8602" t="s">
        <v>27253</v>
      </c>
      <c r="S8602" t="s">
        <v>27254</v>
      </c>
      <c r="T8602" t="s">
        <v>27255</v>
      </c>
    </row>
    <row r="8603" spans="1:20" x14ac:dyDescent="0.3">
      <c r="A8603" t="str">
        <f>"0611840328100"</f>
        <v>0611840328100</v>
      </c>
      <c r="B8603" t="str">
        <f>"LK5505"</f>
        <v>LK5505</v>
      </c>
      <c r="C8603" t="s">
        <v>43928</v>
      </c>
      <c r="D8603" t="s">
        <v>27245</v>
      </c>
      <c r="E8603" t="str">
        <f t="shared" si="134"/>
        <v>001390</v>
      </c>
      <c r="F8603" t="s">
        <v>27246</v>
      </c>
      <c r="G8603" t="s">
        <v>27247</v>
      </c>
      <c r="H8603" t="s">
        <v>27248</v>
      </c>
      <c r="I8603" t="s">
        <v>43929</v>
      </c>
      <c r="J8603" t="s">
        <v>17163</v>
      </c>
      <c r="L8603" t="s">
        <v>27250</v>
      </c>
      <c r="M8603" t="s">
        <v>27251</v>
      </c>
      <c r="N8603" t="s">
        <v>27252</v>
      </c>
      <c r="Q8603" s="1">
        <v>44538</v>
      </c>
      <c r="R8603" t="s">
        <v>27253</v>
      </c>
      <c r="S8603" t="s">
        <v>27254</v>
      </c>
      <c r="T8603" t="s">
        <v>27255</v>
      </c>
    </row>
    <row r="8604" spans="1:20" x14ac:dyDescent="0.3">
      <c r="A8604" t="str">
        <f>"0611840329100"</f>
        <v>0611840329100</v>
      </c>
      <c r="B8604" t="str">
        <f>"LK5506"</f>
        <v>LK5506</v>
      </c>
      <c r="C8604" t="s">
        <v>43930</v>
      </c>
      <c r="D8604" t="s">
        <v>27245</v>
      </c>
      <c r="E8604" t="str">
        <f t="shared" si="134"/>
        <v>001390</v>
      </c>
      <c r="F8604" t="s">
        <v>27246</v>
      </c>
      <c r="G8604" t="s">
        <v>27247</v>
      </c>
      <c r="H8604" t="s">
        <v>27248</v>
      </c>
      <c r="I8604" t="s">
        <v>43931</v>
      </c>
      <c r="J8604" t="s">
        <v>17165</v>
      </c>
      <c r="L8604" t="s">
        <v>27250</v>
      </c>
      <c r="M8604" t="s">
        <v>27251</v>
      </c>
      <c r="N8604" t="s">
        <v>27252</v>
      </c>
      <c r="Q8604" s="1">
        <v>44538</v>
      </c>
      <c r="R8604" t="s">
        <v>27253</v>
      </c>
      <c r="S8604" t="s">
        <v>27254</v>
      </c>
      <c r="T8604" t="s">
        <v>27255</v>
      </c>
    </row>
    <row r="8605" spans="1:20" x14ac:dyDescent="0.3">
      <c r="A8605" t="str">
        <f>"0611840330100"</f>
        <v>0611840330100</v>
      </c>
      <c r="B8605" t="str">
        <f>"LK5507"</f>
        <v>LK5507</v>
      </c>
      <c r="C8605" t="s">
        <v>43932</v>
      </c>
      <c r="D8605" t="s">
        <v>27245</v>
      </c>
      <c r="E8605" t="str">
        <f t="shared" si="134"/>
        <v>001390</v>
      </c>
      <c r="F8605" t="s">
        <v>27246</v>
      </c>
      <c r="G8605" t="s">
        <v>27247</v>
      </c>
      <c r="H8605" t="s">
        <v>27248</v>
      </c>
      <c r="I8605" t="s">
        <v>43933</v>
      </c>
      <c r="J8605" t="s">
        <v>17167</v>
      </c>
      <c r="L8605" t="s">
        <v>27250</v>
      </c>
      <c r="M8605" t="s">
        <v>27251</v>
      </c>
      <c r="N8605" t="s">
        <v>27252</v>
      </c>
      <c r="Q8605" s="1">
        <v>44538</v>
      </c>
      <c r="R8605" t="s">
        <v>27253</v>
      </c>
      <c r="S8605" t="s">
        <v>27254</v>
      </c>
      <c r="T8605" t="s">
        <v>27255</v>
      </c>
    </row>
    <row r="8606" spans="1:20" x14ac:dyDescent="0.3">
      <c r="A8606" t="str">
        <f>"0611840331100"</f>
        <v>0611840331100</v>
      </c>
      <c r="B8606" t="str">
        <f>"LK7019"</f>
        <v>LK7019</v>
      </c>
      <c r="C8606" t="s">
        <v>43934</v>
      </c>
      <c r="D8606" t="s">
        <v>27245</v>
      </c>
      <c r="E8606" t="str">
        <f t="shared" si="134"/>
        <v>001390</v>
      </c>
      <c r="F8606" t="s">
        <v>27246</v>
      </c>
      <c r="G8606" t="s">
        <v>27247</v>
      </c>
      <c r="H8606" t="s">
        <v>27248</v>
      </c>
      <c r="I8606" t="s">
        <v>43935</v>
      </c>
      <c r="J8606" t="s">
        <v>17169</v>
      </c>
      <c r="L8606" t="s">
        <v>27250</v>
      </c>
      <c r="M8606" t="s">
        <v>27251</v>
      </c>
      <c r="N8606" t="s">
        <v>27252</v>
      </c>
      <c r="Q8606" s="1">
        <v>44538</v>
      </c>
      <c r="R8606" t="s">
        <v>27253</v>
      </c>
      <c r="S8606" t="s">
        <v>27254</v>
      </c>
      <c r="T8606" t="s">
        <v>27255</v>
      </c>
    </row>
    <row r="8607" spans="1:20" x14ac:dyDescent="0.3">
      <c r="A8607" t="str">
        <f>"0611840332100"</f>
        <v>0611840332100</v>
      </c>
      <c r="B8607" t="str">
        <f>"LK7020"</f>
        <v>LK7020</v>
      </c>
      <c r="C8607" t="s">
        <v>43936</v>
      </c>
      <c r="D8607" t="s">
        <v>27245</v>
      </c>
      <c r="E8607" t="str">
        <f t="shared" si="134"/>
        <v>001390</v>
      </c>
      <c r="F8607" t="s">
        <v>27246</v>
      </c>
      <c r="G8607" t="s">
        <v>27247</v>
      </c>
      <c r="H8607" t="s">
        <v>27248</v>
      </c>
      <c r="I8607" t="s">
        <v>43937</v>
      </c>
      <c r="J8607" t="s">
        <v>17171</v>
      </c>
      <c r="L8607" t="s">
        <v>27250</v>
      </c>
      <c r="M8607" t="s">
        <v>27251</v>
      </c>
      <c r="N8607" t="s">
        <v>27252</v>
      </c>
      <c r="Q8607" s="1">
        <v>44538</v>
      </c>
      <c r="R8607" t="s">
        <v>27253</v>
      </c>
      <c r="S8607" t="s">
        <v>27254</v>
      </c>
      <c r="T8607" t="s">
        <v>27255</v>
      </c>
    </row>
    <row r="8608" spans="1:20" x14ac:dyDescent="0.3">
      <c r="A8608" t="str">
        <f>"0611840333100"</f>
        <v>0611840333100</v>
      </c>
      <c r="B8608" t="str">
        <f>"LK6726"</f>
        <v>LK6726</v>
      </c>
      <c r="C8608" t="s">
        <v>43938</v>
      </c>
      <c r="D8608" t="s">
        <v>27245</v>
      </c>
      <c r="E8608" t="str">
        <f t="shared" si="134"/>
        <v>001390</v>
      </c>
      <c r="F8608" t="s">
        <v>27246</v>
      </c>
      <c r="G8608" t="s">
        <v>27247</v>
      </c>
      <c r="H8608" t="s">
        <v>27248</v>
      </c>
      <c r="I8608" t="s">
        <v>43939</v>
      </c>
      <c r="J8608" t="s">
        <v>17173</v>
      </c>
      <c r="L8608" t="s">
        <v>27250</v>
      </c>
      <c r="M8608" t="s">
        <v>27251</v>
      </c>
      <c r="N8608" t="s">
        <v>27252</v>
      </c>
      <c r="Q8608" s="1">
        <v>44538</v>
      </c>
      <c r="R8608" t="s">
        <v>27253</v>
      </c>
      <c r="S8608" t="s">
        <v>27254</v>
      </c>
      <c r="T8608" t="s">
        <v>27255</v>
      </c>
    </row>
    <row r="8609" spans="1:20" x14ac:dyDescent="0.3">
      <c r="A8609" t="str">
        <f>"0611840334100"</f>
        <v>0611840334100</v>
      </c>
      <c r="B8609" t="str">
        <f>"LK7021"</f>
        <v>LK7021</v>
      </c>
      <c r="C8609" t="s">
        <v>43940</v>
      </c>
      <c r="D8609" t="s">
        <v>27245</v>
      </c>
      <c r="E8609" t="str">
        <f t="shared" si="134"/>
        <v>001390</v>
      </c>
      <c r="F8609" t="s">
        <v>27246</v>
      </c>
      <c r="G8609" t="s">
        <v>27247</v>
      </c>
      <c r="H8609" t="s">
        <v>27248</v>
      </c>
      <c r="I8609" t="s">
        <v>43941</v>
      </c>
      <c r="J8609" t="s">
        <v>17175</v>
      </c>
      <c r="L8609" t="s">
        <v>27250</v>
      </c>
      <c r="M8609" t="s">
        <v>27251</v>
      </c>
      <c r="N8609" t="s">
        <v>27252</v>
      </c>
      <c r="Q8609" s="1">
        <v>44538</v>
      </c>
      <c r="R8609" t="s">
        <v>27253</v>
      </c>
      <c r="S8609" t="s">
        <v>27254</v>
      </c>
      <c r="T8609" t="s">
        <v>27255</v>
      </c>
    </row>
    <row r="8610" spans="1:20" x14ac:dyDescent="0.3">
      <c r="A8610" t="str">
        <f>"0611840335100"</f>
        <v>0611840335100</v>
      </c>
      <c r="B8610" t="str">
        <f>"LK6727"</f>
        <v>LK6727</v>
      </c>
      <c r="C8610" t="s">
        <v>43942</v>
      </c>
      <c r="D8610" t="s">
        <v>27245</v>
      </c>
      <c r="E8610" t="str">
        <f t="shared" si="134"/>
        <v>001390</v>
      </c>
      <c r="F8610" t="s">
        <v>27246</v>
      </c>
      <c r="G8610" t="s">
        <v>27247</v>
      </c>
      <c r="H8610" t="s">
        <v>27248</v>
      </c>
      <c r="I8610" t="s">
        <v>43943</v>
      </c>
      <c r="J8610" t="s">
        <v>17177</v>
      </c>
      <c r="L8610" t="s">
        <v>27250</v>
      </c>
      <c r="M8610" t="s">
        <v>27251</v>
      </c>
      <c r="N8610" t="s">
        <v>27252</v>
      </c>
      <c r="Q8610" s="1">
        <v>44538</v>
      </c>
      <c r="R8610" t="s">
        <v>27253</v>
      </c>
      <c r="S8610" t="s">
        <v>27254</v>
      </c>
      <c r="T8610" t="s">
        <v>27255</v>
      </c>
    </row>
    <row r="8611" spans="1:20" x14ac:dyDescent="0.3">
      <c r="A8611" t="str">
        <f>"0611840336100"</f>
        <v>0611840336100</v>
      </c>
      <c r="B8611" t="str">
        <f>"LK6728"</f>
        <v>LK6728</v>
      </c>
      <c r="C8611" t="s">
        <v>43944</v>
      </c>
      <c r="D8611" t="s">
        <v>27245</v>
      </c>
      <c r="E8611" t="str">
        <f t="shared" si="134"/>
        <v>001390</v>
      </c>
      <c r="F8611" t="s">
        <v>27246</v>
      </c>
      <c r="G8611" t="s">
        <v>27247</v>
      </c>
      <c r="H8611" t="s">
        <v>27248</v>
      </c>
      <c r="I8611" t="s">
        <v>43945</v>
      </c>
      <c r="J8611" t="s">
        <v>17179</v>
      </c>
      <c r="L8611" t="s">
        <v>27250</v>
      </c>
      <c r="M8611" t="s">
        <v>27251</v>
      </c>
      <c r="N8611" t="s">
        <v>27252</v>
      </c>
      <c r="Q8611" s="1">
        <v>44538</v>
      </c>
      <c r="R8611" t="s">
        <v>27253</v>
      </c>
      <c r="S8611" t="s">
        <v>27254</v>
      </c>
      <c r="T8611" t="s">
        <v>27255</v>
      </c>
    </row>
    <row r="8612" spans="1:20" x14ac:dyDescent="0.3">
      <c r="A8612" t="str">
        <f>"0611840337100"</f>
        <v>0611840337100</v>
      </c>
      <c r="B8612" t="str">
        <f>"LK6729"</f>
        <v>LK6729</v>
      </c>
      <c r="C8612" t="s">
        <v>43946</v>
      </c>
      <c r="D8612" t="s">
        <v>27245</v>
      </c>
      <c r="E8612" t="str">
        <f t="shared" si="134"/>
        <v>001390</v>
      </c>
      <c r="F8612" t="s">
        <v>27246</v>
      </c>
      <c r="G8612" t="s">
        <v>27247</v>
      </c>
      <c r="H8612" t="s">
        <v>27248</v>
      </c>
      <c r="I8612" t="s">
        <v>43947</v>
      </c>
      <c r="J8612" t="s">
        <v>17181</v>
      </c>
      <c r="L8612" t="s">
        <v>27250</v>
      </c>
      <c r="M8612" t="s">
        <v>27251</v>
      </c>
      <c r="N8612" t="s">
        <v>27252</v>
      </c>
      <c r="Q8612" s="1">
        <v>44538</v>
      </c>
      <c r="R8612" t="s">
        <v>27253</v>
      </c>
      <c r="S8612" t="s">
        <v>27254</v>
      </c>
      <c r="T8612" t="s">
        <v>27255</v>
      </c>
    </row>
    <row r="8613" spans="1:20" x14ac:dyDescent="0.3">
      <c r="A8613" t="str">
        <f>"0611840338100"</f>
        <v>0611840338100</v>
      </c>
      <c r="B8613" t="str">
        <f>"LK6730"</f>
        <v>LK6730</v>
      </c>
      <c r="C8613" t="s">
        <v>43948</v>
      </c>
      <c r="D8613" t="s">
        <v>27245</v>
      </c>
      <c r="E8613" t="str">
        <f t="shared" si="134"/>
        <v>001390</v>
      </c>
      <c r="F8613" t="s">
        <v>27246</v>
      </c>
      <c r="G8613" t="s">
        <v>27247</v>
      </c>
      <c r="H8613" t="s">
        <v>27248</v>
      </c>
      <c r="I8613" t="s">
        <v>43949</v>
      </c>
      <c r="J8613" t="s">
        <v>17183</v>
      </c>
      <c r="L8613" t="s">
        <v>27250</v>
      </c>
      <c r="M8613" t="s">
        <v>27251</v>
      </c>
      <c r="N8613" t="s">
        <v>27252</v>
      </c>
      <c r="Q8613" s="1">
        <v>44538</v>
      </c>
      <c r="R8613" t="s">
        <v>27253</v>
      </c>
      <c r="S8613" t="s">
        <v>27254</v>
      </c>
      <c r="T8613" t="s">
        <v>27255</v>
      </c>
    </row>
    <row r="8614" spans="1:20" x14ac:dyDescent="0.3">
      <c r="A8614" t="str">
        <f>"0611857047100"</f>
        <v>0611857047100</v>
      </c>
      <c r="B8614" t="str">
        <f>"LK7095"</f>
        <v>LK7095</v>
      </c>
      <c r="C8614" t="s">
        <v>43950</v>
      </c>
      <c r="D8614" t="s">
        <v>27245</v>
      </c>
      <c r="E8614" t="str">
        <f t="shared" si="134"/>
        <v>001390</v>
      </c>
      <c r="F8614" t="s">
        <v>27246</v>
      </c>
      <c r="G8614" t="s">
        <v>27247</v>
      </c>
      <c r="H8614" t="s">
        <v>27248</v>
      </c>
      <c r="I8614" t="s">
        <v>43951</v>
      </c>
      <c r="J8614" t="s">
        <v>17185</v>
      </c>
      <c r="L8614" t="s">
        <v>27250</v>
      </c>
      <c r="M8614" t="s">
        <v>27251</v>
      </c>
      <c r="N8614" t="s">
        <v>27252</v>
      </c>
      <c r="Q8614" s="1">
        <v>44812</v>
      </c>
      <c r="R8614" t="s">
        <v>27253</v>
      </c>
      <c r="S8614" t="s">
        <v>27254</v>
      </c>
      <c r="T8614" t="s">
        <v>27255</v>
      </c>
    </row>
    <row r="8615" spans="1:20" x14ac:dyDescent="0.3">
      <c r="A8615" t="str">
        <f>"0611840340100"</f>
        <v>0611840340100</v>
      </c>
      <c r="B8615" t="str">
        <f>"LK6871"</f>
        <v>LK6871</v>
      </c>
      <c r="C8615" t="s">
        <v>43952</v>
      </c>
      <c r="D8615" t="s">
        <v>27245</v>
      </c>
      <c r="E8615" t="str">
        <f t="shared" si="134"/>
        <v>001390</v>
      </c>
      <c r="F8615" t="s">
        <v>27246</v>
      </c>
      <c r="G8615" t="s">
        <v>27247</v>
      </c>
      <c r="H8615" t="s">
        <v>27248</v>
      </c>
      <c r="I8615" t="s">
        <v>43953</v>
      </c>
      <c r="J8615" t="s">
        <v>17187</v>
      </c>
      <c r="L8615" t="s">
        <v>27250</v>
      </c>
      <c r="M8615" t="s">
        <v>27251</v>
      </c>
      <c r="N8615" t="s">
        <v>27252</v>
      </c>
      <c r="Q8615" s="1">
        <v>44538</v>
      </c>
      <c r="R8615" t="s">
        <v>27253</v>
      </c>
      <c r="S8615" t="s">
        <v>27254</v>
      </c>
      <c r="T8615" t="s">
        <v>27255</v>
      </c>
    </row>
    <row r="8616" spans="1:20" x14ac:dyDescent="0.3">
      <c r="A8616" t="str">
        <f>"0611840341100"</f>
        <v>0611840341100</v>
      </c>
      <c r="B8616" t="str">
        <f>"LK6724"</f>
        <v>LK6724</v>
      </c>
      <c r="C8616" t="s">
        <v>43954</v>
      </c>
      <c r="D8616" t="s">
        <v>27245</v>
      </c>
      <c r="E8616" t="str">
        <f t="shared" si="134"/>
        <v>001390</v>
      </c>
      <c r="F8616" t="s">
        <v>27246</v>
      </c>
      <c r="G8616" t="s">
        <v>27247</v>
      </c>
      <c r="H8616" t="s">
        <v>27248</v>
      </c>
      <c r="I8616" t="s">
        <v>43955</v>
      </c>
      <c r="J8616" t="s">
        <v>17189</v>
      </c>
      <c r="L8616" t="s">
        <v>27250</v>
      </c>
      <c r="M8616" t="s">
        <v>27251</v>
      </c>
      <c r="N8616" t="s">
        <v>27252</v>
      </c>
      <c r="Q8616" s="1">
        <v>44538</v>
      </c>
      <c r="R8616" t="s">
        <v>27253</v>
      </c>
      <c r="S8616" t="s">
        <v>27254</v>
      </c>
      <c r="T8616" t="s">
        <v>27255</v>
      </c>
    </row>
    <row r="8617" spans="1:20" x14ac:dyDescent="0.3">
      <c r="A8617" t="str">
        <f>"0611840342100"</f>
        <v>0611840342100</v>
      </c>
      <c r="B8617" t="str">
        <f>"LK6732"</f>
        <v>LK6732</v>
      </c>
      <c r="C8617" t="s">
        <v>43956</v>
      </c>
      <c r="D8617" t="s">
        <v>27245</v>
      </c>
      <c r="E8617" t="str">
        <f t="shared" si="134"/>
        <v>001390</v>
      </c>
      <c r="F8617" t="s">
        <v>27246</v>
      </c>
      <c r="G8617" t="s">
        <v>27247</v>
      </c>
      <c r="H8617" t="s">
        <v>27248</v>
      </c>
      <c r="I8617" t="s">
        <v>43957</v>
      </c>
      <c r="J8617" t="s">
        <v>17195</v>
      </c>
      <c r="L8617" t="s">
        <v>27250</v>
      </c>
      <c r="M8617" t="s">
        <v>27251</v>
      </c>
      <c r="N8617" t="s">
        <v>27252</v>
      </c>
      <c r="Q8617" s="1">
        <v>44538</v>
      </c>
      <c r="R8617" t="s">
        <v>27253</v>
      </c>
      <c r="S8617" t="s">
        <v>27254</v>
      </c>
      <c r="T8617" t="s">
        <v>27255</v>
      </c>
    </row>
    <row r="8618" spans="1:20" x14ac:dyDescent="0.3">
      <c r="A8618" t="str">
        <f>"0611840343100"</f>
        <v>0611840343100</v>
      </c>
      <c r="B8618" t="str">
        <f>"LK6731"</f>
        <v>LK6731</v>
      </c>
      <c r="C8618" t="s">
        <v>43958</v>
      </c>
      <c r="D8618" t="s">
        <v>27245</v>
      </c>
      <c r="E8618" t="str">
        <f t="shared" si="134"/>
        <v>001390</v>
      </c>
      <c r="F8618" t="s">
        <v>27246</v>
      </c>
      <c r="G8618" t="s">
        <v>27247</v>
      </c>
      <c r="H8618" t="s">
        <v>27248</v>
      </c>
      <c r="I8618" t="s">
        <v>43959</v>
      </c>
      <c r="J8618" t="s">
        <v>17191</v>
      </c>
      <c r="L8618" t="s">
        <v>27250</v>
      </c>
      <c r="M8618" t="s">
        <v>27251</v>
      </c>
      <c r="N8618" t="s">
        <v>27252</v>
      </c>
      <c r="Q8618" s="1">
        <v>44538</v>
      </c>
      <c r="R8618" t="s">
        <v>27253</v>
      </c>
      <c r="S8618" t="s">
        <v>27254</v>
      </c>
      <c r="T8618" t="s">
        <v>27255</v>
      </c>
    </row>
    <row r="8619" spans="1:20" x14ac:dyDescent="0.3">
      <c r="A8619" t="str">
        <f>"0611840344100"</f>
        <v>0611840344100</v>
      </c>
      <c r="B8619" t="str">
        <f>"LK6733"</f>
        <v>LK6733</v>
      </c>
      <c r="C8619" t="s">
        <v>43960</v>
      </c>
      <c r="D8619" t="s">
        <v>27245</v>
      </c>
      <c r="E8619" t="str">
        <f t="shared" si="134"/>
        <v>001390</v>
      </c>
      <c r="F8619" t="s">
        <v>27246</v>
      </c>
      <c r="G8619" t="s">
        <v>27247</v>
      </c>
      <c r="H8619" t="s">
        <v>27248</v>
      </c>
      <c r="I8619" t="s">
        <v>43961</v>
      </c>
      <c r="J8619" t="s">
        <v>17193</v>
      </c>
      <c r="L8619" t="s">
        <v>27250</v>
      </c>
      <c r="M8619" t="s">
        <v>27251</v>
      </c>
      <c r="N8619" t="s">
        <v>27252</v>
      </c>
      <c r="Q8619" s="1">
        <v>44538</v>
      </c>
      <c r="R8619" t="s">
        <v>27253</v>
      </c>
      <c r="S8619" t="s">
        <v>27254</v>
      </c>
      <c r="T8619" t="s">
        <v>27255</v>
      </c>
    </row>
    <row r="8620" spans="1:20" x14ac:dyDescent="0.3">
      <c r="A8620" t="str">
        <f>"0611840345100"</f>
        <v>0611840345100</v>
      </c>
      <c r="B8620" t="str">
        <f>"LK6734"</f>
        <v>LK6734</v>
      </c>
      <c r="C8620" t="s">
        <v>43962</v>
      </c>
      <c r="D8620" t="s">
        <v>27245</v>
      </c>
      <c r="E8620" t="str">
        <f t="shared" si="134"/>
        <v>001390</v>
      </c>
      <c r="F8620" t="s">
        <v>27246</v>
      </c>
      <c r="G8620" t="s">
        <v>27247</v>
      </c>
      <c r="H8620" t="s">
        <v>27248</v>
      </c>
      <c r="I8620" t="s">
        <v>43963</v>
      </c>
      <c r="J8620" t="s">
        <v>17197</v>
      </c>
      <c r="L8620" t="s">
        <v>27250</v>
      </c>
      <c r="M8620" t="s">
        <v>27251</v>
      </c>
      <c r="N8620" t="s">
        <v>27252</v>
      </c>
      <c r="Q8620" s="1">
        <v>44538</v>
      </c>
      <c r="R8620" t="s">
        <v>27253</v>
      </c>
      <c r="S8620" t="s">
        <v>27254</v>
      </c>
      <c r="T8620" t="s">
        <v>27255</v>
      </c>
    </row>
    <row r="8621" spans="1:20" x14ac:dyDescent="0.3">
      <c r="A8621" t="str">
        <f>"0611840346100"</f>
        <v>0611840346100</v>
      </c>
      <c r="B8621" t="str">
        <f>"LK6735"</f>
        <v>LK6735</v>
      </c>
      <c r="C8621" t="s">
        <v>43964</v>
      </c>
      <c r="D8621" t="s">
        <v>27245</v>
      </c>
      <c r="E8621" t="str">
        <f t="shared" si="134"/>
        <v>001390</v>
      </c>
      <c r="F8621" t="s">
        <v>27246</v>
      </c>
      <c r="G8621" t="s">
        <v>27247</v>
      </c>
      <c r="H8621" t="s">
        <v>27248</v>
      </c>
      <c r="I8621" t="s">
        <v>43965</v>
      </c>
      <c r="J8621" t="s">
        <v>17199</v>
      </c>
      <c r="L8621" t="s">
        <v>27250</v>
      </c>
      <c r="M8621" t="s">
        <v>27251</v>
      </c>
      <c r="N8621" t="s">
        <v>27252</v>
      </c>
      <c r="Q8621" s="1">
        <v>44538</v>
      </c>
      <c r="R8621" t="s">
        <v>27253</v>
      </c>
      <c r="S8621" t="s">
        <v>27254</v>
      </c>
      <c r="T8621" t="s">
        <v>27255</v>
      </c>
    </row>
    <row r="8622" spans="1:20" x14ac:dyDescent="0.3">
      <c r="A8622" t="str">
        <f>"0611840347100"</f>
        <v>0611840347100</v>
      </c>
      <c r="B8622" t="str">
        <f>"LK1331"</f>
        <v>LK1331</v>
      </c>
      <c r="C8622" t="s">
        <v>43966</v>
      </c>
      <c r="D8622" t="s">
        <v>27245</v>
      </c>
      <c r="E8622" t="str">
        <f t="shared" si="134"/>
        <v>001390</v>
      </c>
      <c r="F8622" t="s">
        <v>27246</v>
      </c>
      <c r="G8622" t="s">
        <v>27247</v>
      </c>
      <c r="H8622" t="s">
        <v>27248</v>
      </c>
      <c r="I8622" t="s">
        <v>43967</v>
      </c>
      <c r="J8622" t="s">
        <v>17201</v>
      </c>
      <c r="L8622" t="s">
        <v>27250</v>
      </c>
      <c r="M8622" t="s">
        <v>27251</v>
      </c>
      <c r="N8622" t="s">
        <v>27252</v>
      </c>
      <c r="Q8622" s="1">
        <v>44538</v>
      </c>
      <c r="R8622" t="s">
        <v>27253</v>
      </c>
      <c r="S8622" t="s">
        <v>27254</v>
      </c>
      <c r="T8622" t="s">
        <v>27255</v>
      </c>
    </row>
    <row r="8623" spans="1:20" x14ac:dyDescent="0.3">
      <c r="A8623" t="str">
        <f>"0611840348025"</f>
        <v>0611840348025</v>
      </c>
      <c r="B8623" t="str">
        <f>"MQ0458"</f>
        <v>MQ0458</v>
      </c>
      <c r="C8623" t="s">
        <v>43968</v>
      </c>
      <c r="D8623" t="s">
        <v>27267</v>
      </c>
      <c r="E8623" t="str">
        <f t="shared" si="134"/>
        <v>001390</v>
      </c>
      <c r="F8623" t="s">
        <v>27246</v>
      </c>
      <c r="G8623" t="s">
        <v>27247</v>
      </c>
      <c r="H8623" t="s">
        <v>27248</v>
      </c>
      <c r="I8623" t="s">
        <v>43969</v>
      </c>
      <c r="J8623" t="s">
        <v>17205</v>
      </c>
      <c r="L8623" t="s">
        <v>27250</v>
      </c>
      <c r="M8623" t="s">
        <v>27251</v>
      </c>
      <c r="N8623" t="s">
        <v>27252</v>
      </c>
      <c r="Q8623" s="1">
        <v>44538</v>
      </c>
      <c r="R8623" t="s">
        <v>27253</v>
      </c>
      <c r="S8623" t="s">
        <v>27254</v>
      </c>
      <c r="T8623" t="s">
        <v>27269</v>
      </c>
    </row>
    <row r="8624" spans="1:20" x14ac:dyDescent="0.3">
      <c r="A8624" t="str">
        <f>"0611864313100"</f>
        <v>0611864313100</v>
      </c>
      <c r="B8624" t="str">
        <f>"CN2318"</f>
        <v>CN2318</v>
      </c>
      <c r="C8624" t="s">
        <v>43968</v>
      </c>
      <c r="D8624" t="s">
        <v>27335</v>
      </c>
      <c r="E8624" t="str">
        <f t="shared" si="134"/>
        <v>001390</v>
      </c>
      <c r="F8624" t="s">
        <v>27246</v>
      </c>
      <c r="G8624" t="s">
        <v>27247</v>
      </c>
      <c r="H8624" t="s">
        <v>27248</v>
      </c>
      <c r="I8624" t="s">
        <v>43970</v>
      </c>
      <c r="J8624" t="s">
        <v>17203</v>
      </c>
      <c r="L8624" t="s">
        <v>27250</v>
      </c>
      <c r="M8624" t="s">
        <v>27251</v>
      </c>
      <c r="N8624" t="s">
        <v>27252</v>
      </c>
      <c r="Q8624" s="1">
        <v>44846</v>
      </c>
      <c r="R8624" t="s">
        <v>27253</v>
      </c>
      <c r="S8624" t="s">
        <v>27254</v>
      </c>
      <c r="T8624" t="s">
        <v>27255</v>
      </c>
    </row>
    <row r="8625" spans="1:20" x14ac:dyDescent="0.3">
      <c r="A8625" t="str">
        <f>"0611840349025"</f>
        <v>0611840349025</v>
      </c>
      <c r="B8625" t="str">
        <f>"MQ3204"</f>
        <v>MQ3204</v>
      </c>
      <c r="C8625" t="s">
        <v>43971</v>
      </c>
      <c r="D8625" t="s">
        <v>27267</v>
      </c>
      <c r="E8625" t="str">
        <f t="shared" si="134"/>
        <v>001390</v>
      </c>
      <c r="F8625" t="s">
        <v>27246</v>
      </c>
      <c r="G8625" t="s">
        <v>27247</v>
      </c>
      <c r="H8625" t="s">
        <v>27248</v>
      </c>
      <c r="I8625" t="s">
        <v>43972</v>
      </c>
      <c r="J8625" t="s">
        <v>17207</v>
      </c>
      <c r="L8625" t="s">
        <v>27250</v>
      </c>
      <c r="M8625" t="s">
        <v>27251</v>
      </c>
      <c r="N8625" t="s">
        <v>27252</v>
      </c>
      <c r="Q8625" s="1">
        <v>44538</v>
      </c>
      <c r="R8625" t="s">
        <v>27253</v>
      </c>
      <c r="S8625" t="s">
        <v>27254</v>
      </c>
      <c r="T8625" t="s">
        <v>27269</v>
      </c>
    </row>
    <row r="8626" spans="1:20" x14ac:dyDescent="0.3">
      <c r="A8626" t="str">
        <f>"0611840350025"</f>
        <v>0611840350025</v>
      </c>
      <c r="B8626" t="str">
        <f>"MQ3205"</f>
        <v>MQ3205</v>
      </c>
      <c r="C8626" t="s">
        <v>43973</v>
      </c>
      <c r="D8626" t="s">
        <v>27267</v>
      </c>
      <c r="E8626" t="str">
        <f t="shared" si="134"/>
        <v>001390</v>
      </c>
      <c r="F8626" t="s">
        <v>27246</v>
      </c>
      <c r="G8626" t="s">
        <v>27247</v>
      </c>
      <c r="H8626" t="s">
        <v>27248</v>
      </c>
      <c r="I8626" t="s">
        <v>43974</v>
      </c>
      <c r="J8626" t="s">
        <v>17209</v>
      </c>
      <c r="L8626" t="s">
        <v>27250</v>
      </c>
      <c r="M8626" t="s">
        <v>27251</v>
      </c>
      <c r="N8626" t="s">
        <v>27252</v>
      </c>
      <c r="Q8626" s="1">
        <v>44538</v>
      </c>
      <c r="R8626" t="s">
        <v>27253</v>
      </c>
      <c r="S8626" t="s">
        <v>27254</v>
      </c>
      <c r="T8626" t="s">
        <v>27269</v>
      </c>
    </row>
    <row r="8627" spans="1:20" x14ac:dyDescent="0.3">
      <c r="A8627" t="str">
        <f>"0611864314100"</f>
        <v>0611864314100</v>
      </c>
      <c r="B8627" t="str">
        <f>"CN5430"</f>
        <v>CN5430</v>
      </c>
      <c r="C8627" t="s">
        <v>43975</v>
      </c>
      <c r="D8627" t="s">
        <v>27245</v>
      </c>
      <c r="E8627" t="str">
        <f t="shared" si="134"/>
        <v>001390</v>
      </c>
      <c r="F8627" t="s">
        <v>27246</v>
      </c>
      <c r="G8627" t="s">
        <v>27247</v>
      </c>
      <c r="H8627" t="s">
        <v>27248</v>
      </c>
      <c r="I8627" t="s">
        <v>43976</v>
      </c>
      <c r="J8627" t="s">
        <v>17211</v>
      </c>
      <c r="L8627" t="s">
        <v>27250</v>
      </c>
      <c r="M8627" t="s">
        <v>27251</v>
      </c>
      <c r="N8627" t="s">
        <v>27252</v>
      </c>
      <c r="Q8627" s="1">
        <v>44846</v>
      </c>
      <c r="R8627" t="s">
        <v>27253</v>
      </c>
      <c r="S8627" t="s">
        <v>27254</v>
      </c>
      <c r="T8627" t="s">
        <v>27255</v>
      </c>
    </row>
    <row r="8628" spans="1:20" x14ac:dyDescent="0.3">
      <c r="A8628" t="str">
        <f>"0611864315050"</f>
        <v>0611864315050</v>
      </c>
      <c r="B8628" t="str">
        <f>"CR4516"</f>
        <v>CR4516</v>
      </c>
      <c r="C8628" t="s">
        <v>43975</v>
      </c>
      <c r="D8628" t="s">
        <v>27286</v>
      </c>
      <c r="E8628" t="str">
        <f t="shared" si="134"/>
        <v>001390</v>
      </c>
      <c r="F8628" t="s">
        <v>27246</v>
      </c>
      <c r="G8628" t="s">
        <v>27247</v>
      </c>
      <c r="H8628" t="s">
        <v>27248</v>
      </c>
      <c r="I8628" t="s">
        <v>43977</v>
      </c>
      <c r="J8628" t="s">
        <v>17213</v>
      </c>
      <c r="L8628" t="s">
        <v>27250</v>
      </c>
      <c r="M8628" t="s">
        <v>27251</v>
      </c>
      <c r="N8628" t="s">
        <v>27252</v>
      </c>
      <c r="Q8628" s="1">
        <v>44846</v>
      </c>
      <c r="R8628" t="s">
        <v>27253</v>
      </c>
      <c r="S8628" t="s">
        <v>27254</v>
      </c>
      <c r="T8628" t="s">
        <v>27265</v>
      </c>
    </row>
    <row r="8629" spans="1:20" x14ac:dyDescent="0.3">
      <c r="A8629" t="str">
        <f>"0611864316100"</f>
        <v>0611864316100</v>
      </c>
      <c r="B8629" t="str">
        <f>"CN5432"</f>
        <v>CN5432</v>
      </c>
      <c r="C8629" t="s">
        <v>43978</v>
      </c>
      <c r="D8629" t="s">
        <v>27245</v>
      </c>
      <c r="E8629" t="str">
        <f t="shared" si="134"/>
        <v>001390</v>
      </c>
      <c r="F8629" t="s">
        <v>27246</v>
      </c>
      <c r="G8629" t="s">
        <v>27247</v>
      </c>
      <c r="H8629" t="s">
        <v>27248</v>
      </c>
      <c r="I8629" t="s">
        <v>43979</v>
      </c>
      <c r="J8629" t="s">
        <v>17215</v>
      </c>
      <c r="L8629" t="s">
        <v>27250</v>
      </c>
      <c r="M8629" t="s">
        <v>27251</v>
      </c>
      <c r="N8629" t="s">
        <v>27252</v>
      </c>
      <c r="Q8629" s="1">
        <v>44846</v>
      </c>
      <c r="R8629" t="s">
        <v>27253</v>
      </c>
      <c r="S8629" t="s">
        <v>27254</v>
      </c>
      <c r="T8629" t="s">
        <v>27255</v>
      </c>
    </row>
    <row r="8630" spans="1:20" x14ac:dyDescent="0.3">
      <c r="A8630" t="str">
        <f>"0611864317050"</f>
        <v>0611864317050</v>
      </c>
      <c r="B8630" t="str">
        <f>"CR4518"</f>
        <v>CR4518</v>
      </c>
      <c r="C8630" t="s">
        <v>43978</v>
      </c>
      <c r="D8630" t="s">
        <v>27286</v>
      </c>
      <c r="E8630" t="str">
        <f t="shared" si="134"/>
        <v>001390</v>
      </c>
      <c r="F8630" t="s">
        <v>27246</v>
      </c>
      <c r="G8630" t="s">
        <v>27247</v>
      </c>
      <c r="H8630" t="s">
        <v>27248</v>
      </c>
      <c r="I8630" t="s">
        <v>43980</v>
      </c>
      <c r="J8630" t="s">
        <v>17217</v>
      </c>
      <c r="L8630" t="s">
        <v>27250</v>
      </c>
      <c r="M8630" t="s">
        <v>27251</v>
      </c>
      <c r="N8630" t="s">
        <v>27252</v>
      </c>
      <c r="Q8630" s="1">
        <v>44846</v>
      </c>
      <c r="R8630" t="s">
        <v>27253</v>
      </c>
      <c r="S8630" t="s">
        <v>27254</v>
      </c>
      <c r="T8630" t="s">
        <v>27265</v>
      </c>
    </row>
    <row r="8631" spans="1:20" x14ac:dyDescent="0.3">
      <c r="A8631" t="str">
        <f>"0611840351025"</f>
        <v>0611840351025</v>
      </c>
      <c r="B8631" t="str">
        <f>"MQ3206"</f>
        <v>MQ3206</v>
      </c>
      <c r="C8631" t="s">
        <v>43981</v>
      </c>
      <c r="D8631" t="s">
        <v>27267</v>
      </c>
      <c r="E8631" t="str">
        <f t="shared" si="134"/>
        <v>001390</v>
      </c>
      <c r="F8631" t="s">
        <v>27246</v>
      </c>
      <c r="G8631" t="s">
        <v>27247</v>
      </c>
      <c r="H8631" t="s">
        <v>27248</v>
      </c>
      <c r="I8631" t="s">
        <v>43982</v>
      </c>
      <c r="J8631" t="s">
        <v>17219</v>
      </c>
      <c r="L8631" t="s">
        <v>27250</v>
      </c>
      <c r="M8631" t="s">
        <v>27251</v>
      </c>
      <c r="N8631" t="s">
        <v>27252</v>
      </c>
      <c r="Q8631" s="1">
        <v>44538</v>
      </c>
      <c r="R8631" t="s">
        <v>27253</v>
      </c>
      <c r="S8631" t="s">
        <v>27254</v>
      </c>
      <c r="T8631" t="s">
        <v>27269</v>
      </c>
    </row>
    <row r="8632" spans="1:20" x14ac:dyDescent="0.3">
      <c r="A8632" t="str">
        <f>"0611864318100"</f>
        <v>0611864318100</v>
      </c>
      <c r="B8632" t="str">
        <f>"CN5431"</f>
        <v>CN5431</v>
      </c>
      <c r="C8632" t="s">
        <v>43983</v>
      </c>
      <c r="D8632" t="s">
        <v>27245</v>
      </c>
      <c r="E8632" t="str">
        <f t="shared" si="134"/>
        <v>001390</v>
      </c>
      <c r="F8632" t="s">
        <v>27246</v>
      </c>
      <c r="G8632" t="s">
        <v>27247</v>
      </c>
      <c r="H8632" t="s">
        <v>27248</v>
      </c>
      <c r="I8632" t="s">
        <v>43984</v>
      </c>
      <c r="J8632" t="s">
        <v>17221</v>
      </c>
      <c r="L8632" t="s">
        <v>27250</v>
      </c>
      <c r="M8632" t="s">
        <v>27251</v>
      </c>
      <c r="N8632" t="s">
        <v>27252</v>
      </c>
      <c r="Q8632" s="1">
        <v>44846</v>
      </c>
      <c r="R8632" t="s">
        <v>27253</v>
      </c>
      <c r="S8632" t="s">
        <v>27254</v>
      </c>
      <c r="T8632" t="s">
        <v>27255</v>
      </c>
    </row>
    <row r="8633" spans="1:20" x14ac:dyDescent="0.3">
      <c r="A8633" t="str">
        <f>"0611864319050"</f>
        <v>0611864319050</v>
      </c>
      <c r="B8633" t="str">
        <f>"CR4517"</f>
        <v>CR4517</v>
      </c>
      <c r="C8633" t="s">
        <v>43983</v>
      </c>
      <c r="D8633" t="s">
        <v>27286</v>
      </c>
      <c r="E8633" t="str">
        <f t="shared" si="134"/>
        <v>001390</v>
      </c>
      <c r="F8633" t="s">
        <v>27246</v>
      </c>
      <c r="G8633" t="s">
        <v>27247</v>
      </c>
      <c r="H8633" t="s">
        <v>27248</v>
      </c>
      <c r="I8633" t="s">
        <v>43985</v>
      </c>
      <c r="J8633" t="s">
        <v>17223</v>
      </c>
      <c r="L8633" t="s">
        <v>27250</v>
      </c>
      <c r="M8633" t="s">
        <v>27251</v>
      </c>
      <c r="N8633" t="s">
        <v>27252</v>
      </c>
      <c r="Q8633" s="1">
        <v>44846</v>
      </c>
      <c r="R8633" t="s">
        <v>27253</v>
      </c>
      <c r="S8633" t="s">
        <v>27254</v>
      </c>
      <c r="T8633" t="s">
        <v>27265</v>
      </c>
    </row>
    <row r="8634" spans="1:20" x14ac:dyDescent="0.3">
      <c r="A8634" t="str">
        <f>"0611840352025"</f>
        <v>0611840352025</v>
      </c>
      <c r="B8634" t="str">
        <f>"MQ3207"</f>
        <v>MQ3207</v>
      </c>
      <c r="C8634" t="s">
        <v>43986</v>
      </c>
      <c r="D8634" t="s">
        <v>27267</v>
      </c>
      <c r="E8634" t="str">
        <f t="shared" si="134"/>
        <v>001390</v>
      </c>
      <c r="F8634" t="s">
        <v>27246</v>
      </c>
      <c r="G8634" t="s">
        <v>27247</v>
      </c>
      <c r="H8634" t="s">
        <v>27248</v>
      </c>
      <c r="I8634" t="s">
        <v>43987</v>
      </c>
      <c r="J8634" t="s">
        <v>17225</v>
      </c>
      <c r="L8634" t="s">
        <v>27250</v>
      </c>
      <c r="M8634" t="s">
        <v>27251</v>
      </c>
      <c r="N8634" t="s">
        <v>27252</v>
      </c>
      <c r="Q8634" s="1">
        <v>44538</v>
      </c>
      <c r="R8634" t="s">
        <v>27253</v>
      </c>
      <c r="S8634" t="s">
        <v>27254</v>
      </c>
      <c r="T8634" t="s">
        <v>27269</v>
      </c>
    </row>
    <row r="8635" spans="1:20" x14ac:dyDescent="0.3">
      <c r="A8635" t="str">
        <f>"0611840354100"</f>
        <v>0611840354100</v>
      </c>
      <c r="B8635" t="str">
        <f>"LH0047"</f>
        <v>LH0047</v>
      </c>
      <c r="C8635" t="s">
        <v>43988</v>
      </c>
      <c r="D8635" t="s">
        <v>27245</v>
      </c>
      <c r="E8635" t="str">
        <f t="shared" si="134"/>
        <v>001390</v>
      </c>
      <c r="F8635" t="s">
        <v>27246</v>
      </c>
      <c r="G8635" t="s">
        <v>27247</v>
      </c>
      <c r="H8635" t="s">
        <v>27248</v>
      </c>
      <c r="I8635" t="s">
        <v>43989</v>
      </c>
      <c r="J8635" t="s">
        <v>17227</v>
      </c>
      <c r="L8635" t="s">
        <v>27250</v>
      </c>
      <c r="M8635" t="s">
        <v>27251</v>
      </c>
      <c r="N8635" t="s">
        <v>27252</v>
      </c>
      <c r="Q8635" s="1">
        <v>44538</v>
      </c>
      <c r="R8635" t="s">
        <v>27253</v>
      </c>
      <c r="S8635" t="s">
        <v>27254</v>
      </c>
      <c r="T8635" t="s">
        <v>27255</v>
      </c>
    </row>
    <row r="8636" spans="1:20" x14ac:dyDescent="0.3">
      <c r="A8636" t="str">
        <f>"0611840355100"</f>
        <v>0611840355100</v>
      </c>
      <c r="B8636" t="str">
        <f>"LB9370"</f>
        <v>LB9370</v>
      </c>
      <c r="C8636" t="s">
        <v>43990</v>
      </c>
      <c r="D8636" t="s">
        <v>27245</v>
      </c>
      <c r="E8636" t="str">
        <f t="shared" si="134"/>
        <v>001390</v>
      </c>
      <c r="F8636" t="s">
        <v>27246</v>
      </c>
      <c r="G8636" t="s">
        <v>27247</v>
      </c>
      <c r="H8636" t="s">
        <v>27248</v>
      </c>
      <c r="I8636" t="s">
        <v>43991</v>
      </c>
      <c r="J8636" t="s">
        <v>17229</v>
      </c>
      <c r="L8636" t="s">
        <v>27250</v>
      </c>
      <c r="M8636" t="s">
        <v>27251</v>
      </c>
      <c r="N8636" t="s">
        <v>27252</v>
      </c>
      <c r="Q8636" s="1">
        <v>44538</v>
      </c>
      <c r="R8636" t="s">
        <v>27253</v>
      </c>
      <c r="S8636" t="s">
        <v>27254</v>
      </c>
      <c r="T8636" t="s">
        <v>27255</v>
      </c>
    </row>
    <row r="8637" spans="1:20" x14ac:dyDescent="0.3">
      <c r="A8637" t="str">
        <f>"0611840356100"</f>
        <v>0611840356100</v>
      </c>
      <c r="B8637" t="str">
        <f>"LB5961"</f>
        <v>LB5961</v>
      </c>
      <c r="C8637" t="s">
        <v>43992</v>
      </c>
      <c r="D8637" t="s">
        <v>27245</v>
      </c>
      <c r="E8637" t="str">
        <f t="shared" si="134"/>
        <v>001390</v>
      </c>
      <c r="F8637" t="s">
        <v>27246</v>
      </c>
      <c r="G8637" t="s">
        <v>27247</v>
      </c>
      <c r="H8637" t="s">
        <v>27248</v>
      </c>
      <c r="I8637" t="s">
        <v>43993</v>
      </c>
      <c r="J8637" t="s">
        <v>17231</v>
      </c>
      <c r="L8637" t="s">
        <v>27250</v>
      </c>
      <c r="M8637" t="s">
        <v>27251</v>
      </c>
      <c r="N8637" t="s">
        <v>27252</v>
      </c>
      <c r="Q8637" s="1">
        <v>44538</v>
      </c>
      <c r="R8637" t="s">
        <v>27253</v>
      </c>
      <c r="S8637" t="s">
        <v>27254</v>
      </c>
      <c r="T8637" t="s">
        <v>27255</v>
      </c>
    </row>
    <row r="8638" spans="1:20" x14ac:dyDescent="0.3">
      <c r="A8638" t="str">
        <f>"0611840358100"</f>
        <v>0611840358100</v>
      </c>
      <c r="B8638" t="str">
        <f>"LB5899"</f>
        <v>LB5899</v>
      </c>
      <c r="C8638" t="s">
        <v>43994</v>
      </c>
      <c r="D8638" t="s">
        <v>27245</v>
      </c>
      <c r="E8638" t="str">
        <f t="shared" si="134"/>
        <v>001390</v>
      </c>
      <c r="F8638" t="s">
        <v>27246</v>
      </c>
      <c r="G8638" t="s">
        <v>27247</v>
      </c>
      <c r="H8638" t="s">
        <v>27248</v>
      </c>
      <c r="I8638" t="s">
        <v>43995</v>
      </c>
      <c r="J8638" t="s">
        <v>17233</v>
      </c>
      <c r="L8638" t="s">
        <v>27250</v>
      </c>
      <c r="M8638" t="s">
        <v>27251</v>
      </c>
      <c r="N8638" t="s">
        <v>27252</v>
      </c>
      <c r="Q8638" s="1">
        <v>44538</v>
      </c>
      <c r="R8638" t="s">
        <v>27253</v>
      </c>
      <c r="S8638" t="s">
        <v>27254</v>
      </c>
      <c r="T8638" t="s">
        <v>27255</v>
      </c>
    </row>
    <row r="8639" spans="1:20" x14ac:dyDescent="0.3">
      <c r="A8639" t="str">
        <f>"0611840359100"</f>
        <v>0611840359100</v>
      </c>
      <c r="B8639" t="str">
        <f>"LK5827"</f>
        <v>LK5827</v>
      </c>
      <c r="C8639" t="s">
        <v>43996</v>
      </c>
      <c r="D8639" t="s">
        <v>27245</v>
      </c>
      <c r="E8639" t="str">
        <f t="shared" si="134"/>
        <v>001390</v>
      </c>
      <c r="F8639" t="s">
        <v>27246</v>
      </c>
      <c r="G8639" t="s">
        <v>27247</v>
      </c>
      <c r="H8639" t="s">
        <v>27248</v>
      </c>
      <c r="I8639" t="s">
        <v>43997</v>
      </c>
      <c r="J8639" t="s">
        <v>17237</v>
      </c>
      <c r="L8639" t="s">
        <v>27250</v>
      </c>
      <c r="M8639" t="s">
        <v>27251</v>
      </c>
      <c r="N8639" t="s">
        <v>27252</v>
      </c>
      <c r="Q8639" s="1">
        <v>44538</v>
      </c>
      <c r="R8639" t="s">
        <v>27253</v>
      </c>
      <c r="S8639" t="s">
        <v>27254</v>
      </c>
      <c r="T8639" t="s">
        <v>27255</v>
      </c>
    </row>
    <row r="8640" spans="1:20" x14ac:dyDescent="0.3">
      <c r="A8640" t="str">
        <f>"0611840360100"</f>
        <v>0611840360100</v>
      </c>
      <c r="B8640" t="str">
        <f>"LK5828"</f>
        <v>LK5828</v>
      </c>
      <c r="C8640" t="s">
        <v>43998</v>
      </c>
      <c r="D8640" t="s">
        <v>27245</v>
      </c>
      <c r="E8640" t="str">
        <f t="shared" si="134"/>
        <v>001390</v>
      </c>
      <c r="F8640" t="s">
        <v>27246</v>
      </c>
      <c r="G8640" t="s">
        <v>27247</v>
      </c>
      <c r="H8640" t="s">
        <v>27248</v>
      </c>
      <c r="I8640" t="s">
        <v>43999</v>
      </c>
      <c r="J8640" t="s">
        <v>17239</v>
      </c>
      <c r="L8640" t="s">
        <v>27250</v>
      </c>
      <c r="M8640" t="s">
        <v>27251</v>
      </c>
      <c r="N8640" t="s">
        <v>27252</v>
      </c>
      <c r="Q8640" s="1">
        <v>44538</v>
      </c>
      <c r="R8640" t="s">
        <v>27253</v>
      </c>
      <c r="S8640" t="s">
        <v>27254</v>
      </c>
      <c r="T8640" t="s">
        <v>27255</v>
      </c>
    </row>
    <row r="8641" spans="1:20" x14ac:dyDescent="0.3">
      <c r="A8641" t="str">
        <f>"0611840361100"</f>
        <v>0611840361100</v>
      </c>
      <c r="B8641" t="str">
        <f>"LK6096"</f>
        <v>LK6096</v>
      </c>
      <c r="C8641" t="s">
        <v>44000</v>
      </c>
      <c r="D8641" t="s">
        <v>27245</v>
      </c>
      <c r="E8641" t="str">
        <f t="shared" si="134"/>
        <v>001390</v>
      </c>
      <c r="F8641" t="s">
        <v>27246</v>
      </c>
      <c r="G8641" t="s">
        <v>27247</v>
      </c>
      <c r="H8641" t="s">
        <v>27248</v>
      </c>
      <c r="I8641" t="s">
        <v>44001</v>
      </c>
      <c r="J8641" t="s">
        <v>17241</v>
      </c>
      <c r="L8641" t="s">
        <v>27250</v>
      </c>
      <c r="M8641" t="s">
        <v>27251</v>
      </c>
      <c r="N8641" t="s">
        <v>27252</v>
      </c>
      <c r="Q8641" s="1">
        <v>44538</v>
      </c>
      <c r="R8641" t="s">
        <v>27253</v>
      </c>
      <c r="S8641" t="s">
        <v>27254</v>
      </c>
      <c r="T8641" t="s">
        <v>27255</v>
      </c>
    </row>
    <row r="8642" spans="1:20" x14ac:dyDescent="0.3">
      <c r="A8642" t="str">
        <f>"0611840362100"</f>
        <v>0611840362100</v>
      </c>
      <c r="B8642" t="str">
        <f>"LK7022"</f>
        <v>LK7022</v>
      </c>
      <c r="C8642" t="s">
        <v>44002</v>
      </c>
      <c r="D8642" t="s">
        <v>27245</v>
      </c>
      <c r="E8642" t="str">
        <f t="shared" ref="E8642:E8705" si="135">"001390"</f>
        <v>001390</v>
      </c>
      <c r="F8642" t="s">
        <v>27246</v>
      </c>
      <c r="G8642" t="s">
        <v>27247</v>
      </c>
      <c r="H8642" t="s">
        <v>27248</v>
      </c>
      <c r="I8642" t="s">
        <v>44003</v>
      </c>
      <c r="J8642" t="s">
        <v>17243</v>
      </c>
      <c r="L8642" t="s">
        <v>27250</v>
      </c>
      <c r="M8642" t="s">
        <v>27251</v>
      </c>
      <c r="N8642" t="s">
        <v>27252</v>
      </c>
      <c r="Q8642" s="1">
        <v>44538</v>
      </c>
      <c r="R8642" t="s">
        <v>27253</v>
      </c>
      <c r="S8642" t="s">
        <v>27254</v>
      </c>
      <c r="T8642" t="s">
        <v>27255</v>
      </c>
    </row>
    <row r="8643" spans="1:20" x14ac:dyDescent="0.3">
      <c r="A8643" t="str">
        <f>"0611840365100"</f>
        <v>0611840365100</v>
      </c>
      <c r="B8643" t="str">
        <f>"LK5833"</f>
        <v>LK5833</v>
      </c>
      <c r="C8643" t="s">
        <v>44004</v>
      </c>
      <c r="D8643" t="s">
        <v>27245</v>
      </c>
      <c r="E8643" t="str">
        <f t="shared" si="135"/>
        <v>001390</v>
      </c>
      <c r="F8643" t="s">
        <v>27246</v>
      </c>
      <c r="G8643" t="s">
        <v>27247</v>
      </c>
      <c r="H8643" t="s">
        <v>27248</v>
      </c>
      <c r="I8643" t="s">
        <v>44005</v>
      </c>
      <c r="J8643" t="s">
        <v>17247</v>
      </c>
      <c r="L8643" t="s">
        <v>27250</v>
      </c>
      <c r="M8643" t="s">
        <v>27251</v>
      </c>
      <c r="N8643" t="s">
        <v>27252</v>
      </c>
      <c r="Q8643" s="1">
        <v>44538</v>
      </c>
      <c r="R8643" t="s">
        <v>27253</v>
      </c>
      <c r="S8643" t="s">
        <v>27254</v>
      </c>
      <c r="T8643" t="s">
        <v>27255</v>
      </c>
    </row>
    <row r="8644" spans="1:20" x14ac:dyDescent="0.3">
      <c r="A8644" t="str">
        <f>"0611840366100"</f>
        <v>0611840366100</v>
      </c>
      <c r="B8644" t="str">
        <f>"LK5832"</f>
        <v>LK5832</v>
      </c>
      <c r="C8644" t="s">
        <v>44006</v>
      </c>
      <c r="D8644" t="s">
        <v>27245</v>
      </c>
      <c r="E8644" t="str">
        <f t="shared" si="135"/>
        <v>001390</v>
      </c>
      <c r="F8644" t="s">
        <v>27246</v>
      </c>
      <c r="G8644" t="s">
        <v>27247</v>
      </c>
      <c r="H8644" t="s">
        <v>27248</v>
      </c>
      <c r="I8644" t="s">
        <v>44007</v>
      </c>
      <c r="J8644" t="s">
        <v>17245</v>
      </c>
      <c r="L8644" t="s">
        <v>27250</v>
      </c>
      <c r="M8644" t="s">
        <v>27251</v>
      </c>
      <c r="N8644" t="s">
        <v>27252</v>
      </c>
      <c r="Q8644" s="1">
        <v>44538</v>
      </c>
      <c r="R8644" t="s">
        <v>27253</v>
      </c>
      <c r="S8644" t="s">
        <v>27254</v>
      </c>
      <c r="T8644" t="s">
        <v>27255</v>
      </c>
    </row>
    <row r="8645" spans="1:20" x14ac:dyDescent="0.3">
      <c r="A8645" t="str">
        <f>"0611840367100"</f>
        <v>0611840367100</v>
      </c>
      <c r="B8645" t="str">
        <f>"LK5836"</f>
        <v>LK5836</v>
      </c>
      <c r="C8645" t="s">
        <v>44008</v>
      </c>
      <c r="D8645" t="s">
        <v>27245</v>
      </c>
      <c r="E8645" t="str">
        <f t="shared" si="135"/>
        <v>001390</v>
      </c>
      <c r="F8645" t="s">
        <v>27246</v>
      </c>
      <c r="G8645" t="s">
        <v>27247</v>
      </c>
      <c r="H8645" t="s">
        <v>27248</v>
      </c>
      <c r="I8645" t="s">
        <v>44009</v>
      </c>
      <c r="J8645" t="s">
        <v>17251</v>
      </c>
      <c r="L8645" t="s">
        <v>27250</v>
      </c>
      <c r="M8645" t="s">
        <v>27251</v>
      </c>
      <c r="N8645" t="s">
        <v>27252</v>
      </c>
      <c r="Q8645" s="1">
        <v>44538</v>
      </c>
      <c r="R8645" t="s">
        <v>27253</v>
      </c>
      <c r="S8645" t="s">
        <v>27254</v>
      </c>
      <c r="T8645" t="s">
        <v>27255</v>
      </c>
    </row>
    <row r="8646" spans="1:20" x14ac:dyDescent="0.3">
      <c r="A8646" t="str">
        <f>"0611840368100"</f>
        <v>0611840368100</v>
      </c>
      <c r="B8646" t="str">
        <f>"LK5835"</f>
        <v>LK5835</v>
      </c>
      <c r="C8646" t="s">
        <v>44010</v>
      </c>
      <c r="D8646" t="s">
        <v>27245</v>
      </c>
      <c r="E8646" t="str">
        <f t="shared" si="135"/>
        <v>001390</v>
      </c>
      <c r="F8646" t="s">
        <v>27246</v>
      </c>
      <c r="G8646" t="s">
        <v>27247</v>
      </c>
      <c r="H8646" t="s">
        <v>27248</v>
      </c>
      <c r="I8646" t="s">
        <v>44011</v>
      </c>
      <c r="J8646" t="s">
        <v>17249</v>
      </c>
      <c r="L8646" t="s">
        <v>27250</v>
      </c>
      <c r="M8646" t="s">
        <v>27251</v>
      </c>
      <c r="N8646" t="s">
        <v>27252</v>
      </c>
      <c r="Q8646" s="1">
        <v>44538</v>
      </c>
      <c r="R8646" t="s">
        <v>27253</v>
      </c>
      <c r="S8646" t="s">
        <v>27254</v>
      </c>
      <c r="T8646" t="s">
        <v>27255</v>
      </c>
    </row>
    <row r="8647" spans="1:20" x14ac:dyDescent="0.3">
      <c r="A8647" t="str">
        <f>"0611840369100"</f>
        <v>0611840369100</v>
      </c>
      <c r="B8647" t="str">
        <f>"LK5826"</f>
        <v>LK5826</v>
      </c>
      <c r="C8647" t="s">
        <v>44012</v>
      </c>
      <c r="D8647" t="s">
        <v>27245</v>
      </c>
      <c r="E8647" t="str">
        <f t="shared" si="135"/>
        <v>001390</v>
      </c>
      <c r="F8647" t="s">
        <v>27246</v>
      </c>
      <c r="G8647" t="s">
        <v>27247</v>
      </c>
      <c r="H8647" t="s">
        <v>27248</v>
      </c>
      <c r="I8647" t="s">
        <v>44013</v>
      </c>
      <c r="J8647" t="s">
        <v>17235</v>
      </c>
      <c r="L8647" t="s">
        <v>27250</v>
      </c>
      <c r="M8647" t="s">
        <v>27251</v>
      </c>
      <c r="N8647" t="s">
        <v>27252</v>
      </c>
      <c r="Q8647" s="1">
        <v>44538</v>
      </c>
      <c r="R8647" t="s">
        <v>27253</v>
      </c>
      <c r="S8647" t="s">
        <v>27254</v>
      </c>
      <c r="T8647" t="s">
        <v>27255</v>
      </c>
    </row>
    <row r="8648" spans="1:20" x14ac:dyDescent="0.3">
      <c r="A8648" t="str">
        <f>"0611840370100"</f>
        <v>0611840370100</v>
      </c>
      <c r="B8648" t="str">
        <f>"LK6825"</f>
        <v>LK6825</v>
      </c>
      <c r="C8648" t="s">
        <v>44014</v>
      </c>
      <c r="D8648" t="s">
        <v>27245</v>
      </c>
      <c r="E8648" t="str">
        <f t="shared" si="135"/>
        <v>001390</v>
      </c>
      <c r="F8648" t="s">
        <v>27246</v>
      </c>
      <c r="G8648" t="s">
        <v>27247</v>
      </c>
      <c r="H8648" t="s">
        <v>27248</v>
      </c>
      <c r="I8648" t="s">
        <v>44015</v>
      </c>
      <c r="J8648" t="s">
        <v>17253</v>
      </c>
      <c r="L8648" t="s">
        <v>27250</v>
      </c>
      <c r="M8648" t="s">
        <v>27251</v>
      </c>
      <c r="N8648" t="s">
        <v>27252</v>
      </c>
      <c r="Q8648" s="1">
        <v>44538</v>
      </c>
      <c r="R8648" t="s">
        <v>27253</v>
      </c>
      <c r="S8648" t="s">
        <v>27254</v>
      </c>
      <c r="T8648" t="s">
        <v>27255</v>
      </c>
    </row>
    <row r="8649" spans="1:20" x14ac:dyDescent="0.3">
      <c r="A8649" t="str">
        <f>"0611840375100"</f>
        <v>0611840375100</v>
      </c>
      <c r="B8649" t="str">
        <f>"LK6826"</f>
        <v>LK6826</v>
      </c>
      <c r="C8649" t="s">
        <v>44016</v>
      </c>
      <c r="D8649" t="s">
        <v>27245</v>
      </c>
      <c r="E8649" t="str">
        <f t="shared" si="135"/>
        <v>001390</v>
      </c>
      <c r="F8649" t="s">
        <v>27246</v>
      </c>
      <c r="G8649" t="s">
        <v>27247</v>
      </c>
      <c r="H8649" t="s">
        <v>27248</v>
      </c>
      <c r="I8649" t="s">
        <v>44017</v>
      </c>
      <c r="J8649" t="s">
        <v>17255</v>
      </c>
      <c r="L8649" t="s">
        <v>27250</v>
      </c>
      <c r="M8649" t="s">
        <v>27251</v>
      </c>
      <c r="N8649" t="s">
        <v>27252</v>
      </c>
      <c r="Q8649" s="1">
        <v>44538</v>
      </c>
      <c r="R8649" t="s">
        <v>27253</v>
      </c>
      <c r="S8649" t="s">
        <v>27254</v>
      </c>
      <c r="T8649" t="s">
        <v>27255</v>
      </c>
    </row>
    <row r="8650" spans="1:20" x14ac:dyDescent="0.3">
      <c r="A8650" t="str">
        <f>"0611840376100"</f>
        <v>0611840376100</v>
      </c>
      <c r="B8650" t="str">
        <f>"LK6097"</f>
        <v>LK6097</v>
      </c>
      <c r="C8650" t="s">
        <v>44018</v>
      </c>
      <c r="D8650" t="s">
        <v>27245</v>
      </c>
      <c r="E8650" t="str">
        <f t="shared" si="135"/>
        <v>001390</v>
      </c>
      <c r="F8650" t="s">
        <v>27246</v>
      </c>
      <c r="G8650" t="s">
        <v>27247</v>
      </c>
      <c r="H8650" t="s">
        <v>27248</v>
      </c>
      <c r="I8650" t="s">
        <v>44019</v>
      </c>
      <c r="J8650" t="s">
        <v>17257</v>
      </c>
      <c r="L8650" t="s">
        <v>27250</v>
      </c>
      <c r="M8650" t="s">
        <v>27251</v>
      </c>
      <c r="N8650" t="s">
        <v>27252</v>
      </c>
      <c r="Q8650" s="1">
        <v>44538</v>
      </c>
      <c r="R8650" t="s">
        <v>27253</v>
      </c>
      <c r="S8650" t="s">
        <v>27254</v>
      </c>
      <c r="T8650" t="s">
        <v>27255</v>
      </c>
    </row>
    <row r="8651" spans="1:20" x14ac:dyDescent="0.3">
      <c r="A8651" t="str">
        <f>"0611840377100"</f>
        <v>0611840377100</v>
      </c>
      <c r="B8651" t="str">
        <f>"LK5840"</f>
        <v>LK5840</v>
      </c>
      <c r="C8651" t="s">
        <v>44020</v>
      </c>
      <c r="D8651" t="s">
        <v>27245</v>
      </c>
      <c r="E8651" t="str">
        <f t="shared" si="135"/>
        <v>001390</v>
      </c>
      <c r="F8651" t="s">
        <v>27246</v>
      </c>
      <c r="G8651" t="s">
        <v>27247</v>
      </c>
      <c r="H8651" t="s">
        <v>27248</v>
      </c>
      <c r="I8651" t="s">
        <v>44021</v>
      </c>
      <c r="J8651" t="s">
        <v>17259</v>
      </c>
      <c r="L8651" t="s">
        <v>27250</v>
      </c>
      <c r="M8651" t="s">
        <v>27251</v>
      </c>
      <c r="N8651" t="s">
        <v>27252</v>
      </c>
      <c r="Q8651" s="1">
        <v>44538</v>
      </c>
      <c r="R8651" t="s">
        <v>27253</v>
      </c>
      <c r="S8651" t="s">
        <v>27254</v>
      </c>
      <c r="T8651" t="s">
        <v>27255</v>
      </c>
    </row>
    <row r="8652" spans="1:20" x14ac:dyDescent="0.3">
      <c r="A8652" t="str">
        <f>"0611840379100"</f>
        <v>0611840379100</v>
      </c>
      <c r="B8652" t="str">
        <f>"LK5842"</f>
        <v>LK5842</v>
      </c>
      <c r="C8652" t="s">
        <v>44022</v>
      </c>
      <c r="D8652" t="s">
        <v>27245</v>
      </c>
      <c r="E8652" t="str">
        <f t="shared" si="135"/>
        <v>001390</v>
      </c>
      <c r="F8652" t="s">
        <v>27246</v>
      </c>
      <c r="G8652" t="s">
        <v>27247</v>
      </c>
      <c r="H8652" t="s">
        <v>27248</v>
      </c>
      <c r="I8652" t="s">
        <v>44023</v>
      </c>
      <c r="J8652" t="s">
        <v>17261</v>
      </c>
      <c r="L8652" t="s">
        <v>27250</v>
      </c>
      <c r="M8652" t="s">
        <v>27251</v>
      </c>
      <c r="N8652" t="s">
        <v>27252</v>
      </c>
      <c r="Q8652" s="1">
        <v>44538</v>
      </c>
      <c r="R8652" t="s">
        <v>27253</v>
      </c>
      <c r="S8652" t="s">
        <v>27254</v>
      </c>
      <c r="T8652" t="s">
        <v>27255</v>
      </c>
    </row>
    <row r="8653" spans="1:20" x14ac:dyDescent="0.3">
      <c r="A8653" t="str">
        <f>"0611840380100"</f>
        <v>0611840380100</v>
      </c>
      <c r="B8653" t="str">
        <f>"LK6415"</f>
        <v>LK6415</v>
      </c>
      <c r="C8653" t="s">
        <v>44024</v>
      </c>
      <c r="D8653" t="s">
        <v>27245</v>
      </c>
      <c r="E8653" t="str">
        <f t="shared" si="135"/>
        <v>001390</v>
      </c>
      <c r="F8653" t="s">
        <v>27246</v>
      </c>
      <c r="G8653" t="s">
        <v>27247</v>
      </c>
      <c r="H8653" t="s">
        <v>27248</v>
      </c>
      <c r="I8653" t="s">
        <v>44025</v>
      </c>
      <c r="J8653" t="s">
        <v>17263</v>
      </c>
      <c r="L8653" t="s">
        <v>27250</v>
      </c>
      <c r="M8653" t="s">
        <v>27251</v>
      </c>
      <c r="N8653" t="s">
        <v>27252</v>
      </c>
      <c r="Q8653" s="1">
        <v>44538</v>
      </c>
      <c r="R8653" t="s">
        <v>27253</v>
      </c>
      <c r="S8653" t="s">
        <v>27254</v>
      </c>
      <c r="T8653" t="s">
        <v>27255</v>
      </c>
    </row>
    <row r="8654" spans="1:20" x14ac:dyDescent="0.3">
      <c r="A8654" t="str">
        <f>"0611840387100"</f>
        <v>0611840387100</v>
      </c>
      <c r="B8654" t="str">
        <f>"LK4391"</f>
        <v>LK4391</v>
      </c>
      <c r="C8654" t="s">
        <v>44026</v>
      </c>
      <c r="D8654" t="s">
        <v>27245</v>
      </c>
      <c r="E8654" t="str">
        <f t="shared" si="135"/>
        <v>001390</v>
      </c>
      <c r="F8654" t="s">
        <v>27246</v>
      </c>
      <c r="G8654" t="s">
        <v>27247</v>
      </c>
      <c r="H8654" t="s">
        <v>27248</v>
      </c>
      <c r="I8654" t="s">
        <v>44027</v>
      </c>
      <c r="J8654" t="s">
        <v>17265</v>
      </c>
      <c r="L8654" t="s">
        <v>27250</v>
      </c>
      <c r="M8654" t="s">
        <v>27251</v>
      </c>
      <c r="N8654" t="s">
        <v>27252</v>
      </c>
      <c r="Q8654" s="1">
        <v>44538</v>
      </c>
      <c r="R8654" t="s">
        <v>27253</v>
      </c>
      <c r="S8654" t="s">
        <v>27254</v>
      </c>
      <c r="T8654" t="s">
        <v>27255</v>
      </c>
    </row>
    <row r="8655" spans="1:20" x14ac:dyDescent="0.3">
      <c r="A8655" t="str">
        <f>"0611840390100"</f>
        <v>0611840390100</v>
      </c>
      <c r="B8655" t="str">
        <f>"LB9372"</f>
        <v>LB9372</v>
      </c>
      <c r="C8655" t="s">
        <v>44028</v>
      </c>
      <c r="D8655" t="s">
        <v>27245</v>
      </c>
      <c r="E8655" t="str">
        <f t="shared" si="135"/>
        <v>001390</v>
      </c>
      <c r="F8655" t="s">
        <v>27246</v>
      </c>
      <c r="G8655" t="s">
        <v>27247</v>
      </c>
      <c r="H8655" t="s">
        <v>27248</v>
      </c>
      <c r="I8655" t="s">
        <v>44029</v>
      </c>
      <c r="J8655" t="s">
        <v>17267</v>
      </c>
      <c r="L8655" t="s">
        <v>27250</v>
      </c>
      <c r="M8655" t="s">
        <v>27251</v>
      </c>
      <c r="N8655" t="s">
        <v>27252</v>
      </c>
      <c r="Q8655" s="1">
        <v>44538</v>
      </c>
      <c r="R8655" t="s">
        <v>27253</v>
      </c>
      <c r="S8655" t="s">
        <v>27254</v>
      </c>
      <c r="T8655" t="s">
        <v>27255</v>
      </c>
    </row>
    <row r="8656" spans="1:20" x14ac:dyDescent="0.3">
      <c r="A8656" t="str">
        <f>"0611840391100"</f>
        <v>0611840391100</v>
      </c>
      <c r="B8656" t="str">
        <f>"LB5983"</f>
        <v>LB5983</v>
      </c>
      <c r="C8656" t="s">
        <v>44030</v>
      </c>
      <c r="D8656" t="s">
        <v>27245</v>
      </c>
      <c r="E8656" t="str">
        <f t="shared" si="135"/>
        <v>001390</v>
      </c>
      <c r="F8656" t="s">
        <v>27246</v>
      </c>
      <c r="G8656" t="s">
        <v>27247</v>
      </c>
      <c r="H8656" t="s">
        <v>27248</v>
      </c>
      <c r="I8656" t="s">
        <v>44031</v>
      </c>
      <c r="J8656" t="s">
        <v>17269</v>
      </c>
      <c r="L8656" t="s">
        <v>27250</v>
      </c>
      <c r="M8656" t="s">
        <v>27251</v>
      </c>
      <c r="N8656" t="s">
        <v>27252</v>
      </c>
      <c r="Q8656" s="1">
        <v>44538</v>
      </c>
      <c r="R8656" t="s">
        <v>27253</v>
      </c>
      <c r="S8656" t="s">
        <v>27254</v>
      </c>
      <c r="T8656" t="s">
        <v>27255</v>
      </c>
    </row>
    <row r="8657" spans="1:20" x14ac:dyDescent="0.3">
      <c r="A8657" t="str">
        <f>"0611840399100"</f>
        <v>0611840399100</v>
      </c>
      <c r="B8657" t="str">
        <f>"LK5291"</f>
        <v>LK5291</v>
      </c>
      <c r="C8657" t="s">
        <v>44032</v>
      </c>
      <c r="D8657" t="s">
        <v>27245</v>
      </c>
      <c r="E8657" t="str">
        <f t="shared" si="135"/>
        <v>001390</v>
      </c>
      <c r="F8657" t="s">
        <v>27246</v>
      </c>
      <c r="G8657" t="s">
        <v>27247</v>
      </c>
      <c r="H8657" t="s">
        <v>27248</v>
      </c>
      <c r="I8657" t="s">
        <v>44033</v>
      </c>
      <c r="J8657" t="s">
        <v>17271</v>
      </c>
      <c r="L8657" t="s">
        <v>27250</v>
      </c>
      <c r="M8657" t="s">
        <v>27251</v>
      </c>
      <c r="N8657" t="s">
        <v>27252</v>
      </c>
      <c r="Q8657" s="1">
        <v>44538</v>
      </c>
      <c r="R8657" t="s">
        <v>27253</v>
      </c>
      <c r="S8657" t="s">
        <v>27254</v>
      </c>
      <c r="T8657" t="s">
        <v>27255</v>
      </c>
    </row>
    <row r="8658" spans="1:20" x14ac:dyDescent="0.3">
      <c r="A8658" t="str">
        <f>"0611864320100"</f>
        <v>0611864320100</v>
      </c>
      <c r="B8658" t="str">
        <f>"CN5433"</f>
        <v>CN5433</v>
      </c>
      <c r="C8658" t="s">
        <v>44034</v>
      </c>
      <c r="D8658" t="s">
        <v>27335</v>
      </c>
      <c r="E8658" t="str">
        <f t="shared" si="135"/>
        <v>001390</v>
      </c>
      <c r="F8658" t="s">
        <v>27246</v>
      </c>
      <c r="G8658" t="s">
        <v>27247</v>
      </c>
      <c r="H8658" t="s">
        <v>27248</v>
      </c>
      <c r="I8658" t="s">
        <v>44035</v>
      </c>
      <c r="J8658" t="s">
        <v>17273</v>
      </c>
      <c r="L8658" t="s">
        <v>27250</v>
      </c>
      <c r="M8658" t="s">
        <v>27251</v>
      </c>
      <c r="N8658" t="s">
        <v>27252</v>
      </c>
      <c r="Q8658" s="1">
        <v>44846</v>
      </c>
      <c r="R8658" t="s">
        <v>27253</v>
      </c>
      <c r="S8658" t="s">
        <v>27254</v>
      </c>
      <c r="T8658" t="s">
        <v>27255</v>
      </c>
    </row>
    <row r="8659" spans="1:20" x14ac:dyDescent="0.3">
      <c r="A8659" t="str">
        <f>"0611864321050"</f>
        <v>0611864321050</v>
      </c>
      <c r="B8659" t="str">
        <f>"CR4522"</f>
        <v>CR4522</v>
      </c>
      <c r="C8659" t="s">
        <v>44034</v>
      </c>
      <c r="D8659" t="s">
        <v>27286</v>
      </c>
      <c r="E8659" t="str">
        <f t="shared" si="135"/>
        <v>001390</v>
      </c>
      <c r="F8659" t="s">
        <v>27246</v>
      </c>
      <c r="G8659" t="s">
        <v>27247</v>
      </c>
      <c r="H8659" t="s">
        <v>27248</v>
      </c>
      <c r="I8659" t="s">
        <v>44036</v>
      </c>
      <c r="J8659" t="s">
        <v>17275</v>
      </c>
      <c r="L8659" t="s">
        <v>27250</v>
      </c>
      <c r="M8659" t="s">
        <v>27251</v>
      </c>
      <c r="N8659" t="s">
        <v>27252</v>
      </c>
      <c r="Q8659" s="1">
        <v>44846</v>
      </c>
      <c r="R8659" t="s">
        <v>27253</v>
      </c>
      <c r="S8659" t="s">
        <v>27254</v>
      </c>
      <c r="T8659" t="s">
        <v>27265</v>
      </c>
    </row>
    <row r="8660" spans="1:20" x14ac:dyDescent="0.3">
      <c r="A8660" t="str">
        <f>"0611864322100"</f>
        <v>0611864322100</v>
      </c>
      <c r="B8660" t="str">
        <f>"CN5434"</f>
        <v>CN5434</v>
      </c>
      <c r="C8660" t="s">
        <v>44037</v>
      </c>
      <c r="D8660" t="s">
        <v>27335</v>
      </c>
      <c r="E8660" t="str">
        <f t="shared" si="135"/>
        <v>001390</v>
      </c>
      <c r="F8660" t="s">
        <v>27246</v>
      </c>
      <c r="G8660" t="s">
        <v>27247</v>
      </c>
      <c r="H8660" t="s">
        <v>27248</v>
      </c>
      <c r="I8660" t="s">
        <v>44038</v>
      </c>
      <c r="J8660" t="s">
        <v>17277</v>
      </c>
      <c r="L8660" t="s">
        <v>27250</v>
      </c>
      <c r="M8660" t="s">
        <v>27251</v>
      </c>
      <c r="N8660" t="s">
        <v>27252</v>
      </c>
      <c r="Q8660" s="1">
        <v>44846</v>
      </c>
      <c r="R8660" t="s">
        <v>27253</v>
      </c>
      <c r="S8660" t="s">
        <v>27254</v>
      </c>
      <c r="T8660" t="s">
        <v>27255</v>
      </c>
    </row>
    <row r="8661" spans="1:20" x14ac:dyDescent="0.3">
      <c r="A8661" t="str">
        <f>"0611840317100"</f>
        <v>0611840317100</v>
      </c>
      <c r="B8661" t="str">
        <f>"LK5592"</f>
        <v>LK5592</v>
      </c>
      <c r="C8661" t="s">
        <v>44039</v>
      </c>
      <c r="D8661" t="s">
        <v>27245</v>
      </c>
      <c r="E8661" t="str">
        <f t="shared" si="135"/>
        <v>001390</v>
      </c>
      <c r="F8661" t="s">
        <v>27246</v>
      </c>
      <c r="G8661" t="s">
        <v>27247</v>
      </c>
      <c r="H8661" t="s">
        <v>27248</v>
      </c>
      <c r="I8661" t="s">
        <v>44040</v>
      </c>
      <c r="J8661" t="s">
        <v>17281</v>
      </c>
      <c r="L8661" t="s">
        <v>27250</v>
      </c>
      <c r="M8661" t="s">
        <v>27251</v>
      </c>
      <c r="N8661" t="s">
        <v>27252</v>
      </c>
      <c r="Q8661" s="1">
        <v>44538</v>
      </c>
      <c r="R8661" t="s">
        <v>27253</v>
      </c>
      <c r="S8661" t="s">
        <v>27254</v>
      </c>
      <c r="T8661" t="s">
        <v>27255</v>
      </c>
    </row>
    <row r="8662" spans="1:20" x14ac:dyDescent="0.3">
      <c r="A8662" t="str">
        <f>"0611840405100"</f>
        <v>0611840405100</v>
      </c>
      <c r="B8662" t="str">
        <f>"LK4695"</f>
        <v>LK4695</v>
      </c>
      <c r="C8662" t="s">
        <v>44041</v>
      </c>
      <c r="D8662" t="s">
        <v>27245</v>
      </c>
      <c r="E8662" t="str">
        <f t="shared" si="135"/>
        <v>001390</v>
      </c>
      <c r="F8662" t="s">
        <v>27246</v>
      </c>
      <c r="G8662" t="s">
        <v>27247</v>
      </c>
      <c r="H8662" t="s">
        <v>27248</v>
      </c>
      <c r="I8662" t="s">
        <v>44042</v>
      </c>
      <c r="J8662" t="s">
        <v>17287</v>
      </c>
      <c r="L8662" t="s">
        <v>27250</v>
      </c>
      <c r="M8662" t="s">
        <v>27251</v>
      </c>
      <c r="N8662" t="s">
        <v>27252</v>
      </c>
      <c r="Q8662" s="1">
        <v>44538</v>
      </c>
      <c r="R8662" t="s">
        <v>27253</v>
      </c>
      <c r="S8662" t="s">
        <v>27254</v>
      </c>
      <c r="T8662" t="s">
        <v>27255</v>
      </c>
    </row>
    <row r="8663" spans="1:20" x14ac:dyDescent="0.3">
      <c r="A8663" t="str">
        <f>"0611840406100"</f>
        <v>0611840406100</v>
      </c>
      <c r="B8663" t="str">
        <f>"LB6002"</f>
        <v>LB6002</v>
      </c>
      <c r="C8663" t="s">
        <v>44043</v>
      </c>
      <c r="D8663" t="s">
        <v>27245</v>
      </c>
      <c r="E8663" t="str">
        <f t="shared" si="135"/>
        <v>001390</v>
      </c>
      <c r="F8663" t="s">
        <v>27246</v>
      </c>
      <c r="G8663" t="s">
        <v>27247</v>
      </c>
      <c r="H8663" t="s">
        <v>27248</v>
      </c>
      <c r="I8663" t="s">
        <v>44044</v>
      </c>
      <c r="J8663" t="s">
        <v>17279</v>
      </c>
      <c r="L8663" t="s">
        <v>27250</v>
      </c>
      <c r="M8663" t="s">
        <v>27251</v>
      </c>
      <c r="N8663" t="s">
        <v>27252</v>
      </c>
      <c r="Q8663" s="1">
        <v>44538</v>
      </c>
      <c r="R8663" t="s">
        <v>27253</v>
      </c>
      <c r="S8663" t="s">
        <v>27254</v>
      </c>
      <c r="T8663" t="s">
        <v>27255</v>
      </c>
    </row>
    <row r="8664" spans="1:20" x14ac:dyDescent="0.3">
      <c r="A8664" t="str">
        <f>"0611840407100"</f>
        <v>0611840407100</v>
      </c>
      <c r="B8664" t="str">
        <f>"LK0283"</f>
        <v>LK0283</v>
      </c>
      <c r="C8664" t="s">
        <v>44045</v>
      </c>
      <c r="D8664" t="s">
        <v>27245</v>
      </c>
      <c r="E8664" t="str">
        <f t="shared" si="135"/>
        <v>001390</v>
      </c>
      <c r="F8664" t="s">
        <v>27246</v>
      </c>
      <c r="G8664" t="s">
        <v>27247</v>
      </c>
      <c r="H8664" t="s">
        <v>27248</v>
      </c>
      <c r="I8664" t="s">
        <v>44046</v>
      </c>
      <c r="J8664" t="s">
        <v>17285</v>
      </c>
      <c r="L8664" t="s">
        <v>27250</v>
      </c>
      <c r="M8664" t="s">
        <v>27251</v>
      </c>
      <c r="N8664" t="s">
        <v>27252</v>
      </c>
      <c r="Q8664" s="1">
        <v>44538</v>
      </c>
      <c r="R8664" t="s">
        <v>27253</v>
      </c>
      <c r="S8664" t="s">
        <v>27254</v>
      </c>
      <c r="T8664" t="s">
        <v>27255</v>
      </c>
    </row>
    <row r="8665" spans="1:20" x14ac:dyDescent="0.3">
      <c r="A8665" t="str">
        <f>"0611840408100"</f>
        <v>0611840408100</v>
      </c>
      <c r="B8665" t="str">
        <f>"LK6337"</f>
        <v>LK6337</v>
      </c>
      <c r="C8665" t="s">
        <v>44047</v>
      </c>
      <c r="D8665" t="s">
        <v>27245</v>
      </c>
      <c r="E8665" t="str">
        <f t="shared" si="135"/>
        <v>001390</v>
      </c>
      <c r="F8665" t="s">
        <v>27246</v>
      </c>
      <c r="G8665" t="s">
        <v>27247</v>
      </c>
      <c r="H8665" t="s">
        <v>27248</v>
      </c>
      <c r="I8665" t="s">
        <v>44048</v>
      </c>
      <c r="J8665" t="s">
        <v>17283</v>
      </c>
      <c r="L8665" t="s">
        <v>27250</v>
      </c>
      <c r="M8665" t="s">
        <v>27251</v>
      </c>
      <c r="N8665" t="s">
        <v>27252</v>
      </c>
      <c r="Q8665" s="1">
        <v>44538</v>
      </c>
      <c r="R8665" t="s">
        <v>27253</v>
      </c>
      <c r="S8665" t="s">
        <v>27254</v>
      </c>
      <c r="T8665" t="s">
        <v>27255</v>
      </c>
    </row>
    <row r="8666" spans="1:20" x14ac:dyDescent="0.3">
      <c r="A8666" t="str">
        <f>"0611840409100"</f>
        <v>0611840409100</v>
      </c>
      <c r="B8666" t="str">
        <f>"LK5860"</f>
        <v>LK5860</v>
      </c>
      <c r="C8666" t="s">
        <v>44049</v>
      </c>
      <c r="D8666" t="s">
        <v>27245</v>
      </c>
      <c r="E8666" t="str">
        <f t="shared" si="135"/>
        <v>001390</v>
      </c>
      <c r="F8666" t="s">
        <v>27246</v>
      </c>
      <c r="G8666" t="s">
        <v>27247</v>
      </c>
      <c r="H8666" t="s">
        <v>27248</v>
      </c>
      <c r="I8666" t="s">
        <v>44050</v>
      </c>
      <c r="J8666" t="s">
        <v>17289</v>
      </c>
      <c r="L8666" t="s">
        <v>27250</v>
      </c>
      <c r="M8666" t="s">
        <v>27251</v>
      </c>
      <c r="N8666" t="s">
        <v>27252</v>
      </c>
      <c r="Q8666" s="1">
        <v>44538</v>
      </c>
      <c r="R8666" t="s">
        <v>27253</v>
      </c>
      <c r="S8666" t="s">
        <v>27254</v>
      </c>
      <c r="T8666" t="s">
        <v>27255</v>
      </c>
    </row>
    <row r="8667" spans="1:20" x14ac:dyDescent="0.3">
      <c r="A8667" t="str">
        <f>"0611840318100"</f>
        <v>0611840318100</v>
      </c>
      <c r="B8667" t="str">
        <f>"LK5593"</f>
        <v>LK5593</v>
      </c>
      <c r="C8667" t="s">
        <v>44051</v>
      </c>
      <c r="D8667" t="s">
        <v>27245</v>
      </c>
      <c r="E8667" t="str">
        <f t="shared" si="135"/>
        <v>001390</v>
      </c>
      <c r="F8667" t="s">
        <v>27246</v>
      </c>
      <c r="G8667" t="s">
        <v>27247</v>
      </c>
      <c r="H8667" t="s">
        <v>27248</v>
      </c>
      <c r="I8667" t="s">
        <v>44052</v>
      </c>
      <c r="J8667" t="s">
        <v>17291</v>
      </c>
      <c r="L8667" t="s">
        <v>27250</v>
      </c>
      <c r="M8667" t="s">
        <v>27251</v>
      </c>
      <c r="N8667" t="s">
        <v>27252</v>
      </c>
      <c r="Q8667" s="1">
        <v>44538</v>
      </c>
      <c r="R8667" t="s">
        <v>27253</v>
      </c>
      <c r="S8667" t="s">
        <v>27254</v>
      </c>
      <c r="T8667" t="s">
        <v>27255</v>
      </c>
    </row>
    <row r="8668" spans="1:20" x14ac:dyDescent="0.3">
      <c r="A8668" t="str">
        <f>"0611840410100"</f>
        <v>0611840410100</v>
      </c>
      <c r="B8668" t="str">
        <f>"LK5594"</f>
        <v>LK5594</v>
      </c>
      <c r="C8668" t="s">
        <v>44053</v>
      </c>
      <c r="D8668" t="s">
        <v>27245</v>
      </c>
      <c r="E8668" t="str">
        <f t="shared" si="135"/>
        <v>001390</v>
      </c>
      <c r="F8668" t="s">
        <v>27246</v>
      </c>
      <c r="G8668" t="s">
        <v>27247</v>
      </c>
      <c r="H8668" t="s">
        <v>27248</v>
      </c>
      <c r="I8668" t="s">
        <v>44054</v>
      </c>
      <c r="J8668" t="s">
        <v>17293</v>
      </c>
      <c r="L8668" t="s">
        <v>27250</v>
      </c>
      <c r="M8668" t="s">
        <v>27251</v>
      </c>
      <c r="N8668" t="s">
        <v>27252</v>
      </c>
      <c r="Q8668" s="1">
        <v>44538</v>
      </c>
      <c r="R8668" t="s">
        <v>27253</v>
      </c>
      <c r="S8668" t="s">
        <v>27254</v>
      </c>
      <c r="T8668" t="s">
        <v>27255</v>
      </c>
    </row>
    <row r="8669" spans="1:20" x14ac:dyDescent="0.3">
      <c r="A8669" t="str">
        <f>"0611840319100"</f>
        <v>0611840319100</v>
      </c>
      <c r="B8669" t="str">
        <f>"LK5039"</f>
        <v>LK5039</v>
      </c>
      <c r="C8669" t="s">
        <v>44055</v>
      </c>
      <c r="D8669" t="s">
        <v>27245</v>
      </c>
      <c r="E8669" t="str">
        <f t="shared" si="135"/>
        <v>001390</v>
      </c>
      <c r="F8669" t="s">
        <v>27246</v>
      </c>
      <c r="G8669" t="s">
        <v>27247</v>
      </c>
      <c r="H8669" t="s">
        <v>27248</v>
      </c>
      <c r="I8669" t="s">
        <v>44056</v>
      </c>
      <c r="J8669" t="s">
        <v>17295</v>
      </c>
      <c r="L8669" t="s">
        <v>27250</v>
      </c>
      <c r="M8669" t="s">
        <v>27251</v>
      </c>
      <c r="N8669" t="s">
        <v>27252</v>
      </c>
      <c r="Q8669" s="1">
        <v>44538</v>
      </c>
      <c r="R8669" t="s">
        <v>27253</v>
      </c>
      <c r="S8669" t="s">
        <v>27254</v>
      </c>
      <c r="T8669" t="s">
        <v>27255</v>
      </c>
    </row>
    <row r="8670" spans="1:20" x14ac:dyDescent="0.3">
      <c r="A8670" t="str">
        <f>"0611840320100"</f>
        <v>0611840320100</v>
      </c>
      <c r="B8670" t="str">
        <f>"LK1657"</f>
        <v>LK1657</v>
      </c>
      <c r="C8670" t="s">
        <v>44057</v>
      </c>
      <c r="D8670" t="s">
        <v>27245</v>
      </c>
      <c r="E8670" t="str">
        <f t="shared" si="135"/>
        <v>001390</v>
      </c>
      <c r="F8670" t="s">
        <v>27246</v>
      </c>
      <c r="G8670" t="s">
        <v>27247</v>
      </c>
      <c r="H8670" t="s">
        <v>27248</v>
      </c>
      <c r="I8670" t="s">
        <v>44058</v>
      </c>
      <c r="J8670" t="s">
        <v>17297</v>
      </c>
      <c r="L8670" t="s">
        <v>27250</v>
      </c>
      <c r="M8670" t="s">
        <v>27251</v>
      </c>
      <c r="N8670" t="s">
        <v>27252</v>
      </c>
      <c r="Q8670" s="1">
        <v>44538</v>
      </c>
      <c r="R8670" t="s">
        <v>27253</v>
      </c>
      <c r="S8670" t="s">
        <v>27254</v>
      </c>
      <c r="T8670" t="s">
        <v>27255</v>
      </c>
    </row>
    <row r="8671" spans="1:20" x14ac:dyDescent="0.3">
      <c r="A8671" t="str">
        <f>"0611840400100"</f>
        <v>0611840400100</v>
      </c>
      <c r="B8671" t="str">
        <f>"LK2937"</f>
        <v>LK2937</v>
      </c>
      <c r="C8671" t="s">
        <v>44059</v>
      </c>
      <c r="D8671" t="s">
        <v>27245</v>
      </c>
      <c r="E8671" t="str">
        <f t="shared" si="135"/>
        <v>001390</v>
      </c>
      <c r="F8671" t="s">
        <v>27246</v>
      </c>
      <c r="G8671" t="s">
        <v>27247</v>
      </c>
      <c r="H8671" t="s">
        <v>27248</v>
      </c>
      <c r="I8671" t="s">
        <v>44060</v>
      </c>
      <c r="J8671" t="s">
        <v>17299</v>
      </c>
      <c r="L8671" t="s">
        <v>27250</v>
      </c>
      <c r="M8671" t="s">
        <v>27251</v>
      </c>
      <c r="N8671" t="s">
        <v>27252</v>
      </c>
      <c r="Q8671" s="1">
        <v>44538</v>
      </c>
      <c r="R8671" t="s">
        <v>27253</v>
      </c>
      <c r="S8671" t="s">
        <v>27254</v>
      </c>
      <c r="T8671" t="s">
        <v>27255</v>
      </c>
    </row>
    <row r="8672" spans="1:20" x14ac:dyDescent="0.3">
      <c r="A8672" t="str">
        <f>"0611840321100"</f>
        <v>0611840321100</v>
      </c>
      <c r="B8672" t="str">
        <f>"LK3432"</f>
        <v>LK3432</v>
      </c>
      <c r="C8672" t="s">
        <v>44061</v>
      </c>
      <c r="D8672" t="s">
        <v>27245</v>
      </c>
      <c r="E8672" t="str">
        <f t="shared" si="135"/>
        <v>001390</v>
      </c>
      <c r="F8672" t="s">
        <v>27246</v>
      </c>
      <c r="G8672" t="s">
        <v>27247</v>
      </c>
      <c r="H8672" t="s">
        <v>27248</v>
      </c>
      <c r="I8672" t="s">
        <v>44062</v>
      </c>
      <c r="J8672" t="s">
        <v>17301</v>
      </c>
      <c r="L8672" t="s">
        <v>27250</v>
      </c>
      <c r="M8672" t="s">
        <v>27251</v>
      </c>
      <c r="N8672" t="s">
        <v>27252</v>
      </c>
      <c r="Q8672" s="1">
        <v>44538</v>
      </c>
      <c r="R8672" t="s">
        <v>27253</v>
      </c>
      <c r="S8672" t="s">
        <v>27254</v>
      </c>
      <c r="T8672" t="s">
        <v>27255</v>
      </c>
    </row>
    <row r="8673" spans="1:20" x14ac:dyDescent="0.3">
      <c r="A8673" t="str">
        <f>"0611840411100"</f>
        <v>0611840411100</v>
      </c>
      <c r="B8673" t="str">
        <f>"LK1333"</f>
        <v>LK1333</v>
      </c>
      <c r="C8673" t="s">
        <v>44063</v>
      </c>
      <c r="D8673" t="s">
        <v>27245</v>
      </c>
      <c r="E8673" t="str">
        <f t="shared" si="135"/>
        <v>001390</v>
      </c>
      <c r="F8673" t="s">
        <v>27246</v>
      </c>
      <c r="G8673" t="s">
        <v>27247</v>
      </c>
      <c r="H8673" t="s">
        <v>27248</v>
      </c>
      <c r="I8673" t="s">
        <v>44064</v>
      </c>
      <c r="J8673" t="s">
        <v>17303</v>
      </c>
      <c r="L8673" t="s">
        <v>27250</v>
      </c>
      <c r="M8673" t="s">
        <v>27251</v>
      </c>
      <c r="N8673" t="s">
        <v>27252</v>
      </c>
      <c r="Q8673" s="1">
        <v>44538</v>
      </c>
      <c r="R8673" t="s">
        <v>27253</v>
      </c>
      <c r="S8673" t="s">
        <v>27254</v>
      </c>
      <c r="T8673" t="s">
        <v>27255</v>
      </c>
    </row>
    <row r="8674" spans="1:20" x14ac:dyDescent="0.3">
      <c r="A8674" t="str">
        <f>"0611840322100"</f>
        <v>0611840322100</v>
      </c>
      <c r="B8674" t="str">
        <f>"LK5509"</f>
        <v>LK5509</v>
      </c>
      <c r="C8674" t="s">
        <v>44065</v>
      </c>
      <c r="D8674" t="s">
        <v>27245</v>
      </c>
      <c r="E8674" t="str">
        <f t="shared" si="135"/>
        <v>001390</v>
      </c>
      <c r="F8674" t="s">
        <v>27246</v>
      </c>
      <c r="G8674" t="s">
        <v>27247</v>
      </c>
      <c r="H8674" t="s">
        <v>27248</v>
      </c>
      <c r="I8674" t="s">
        <v>44066</v>
      </c>
      <c r="J8674" t="s">
        <v>17305</v>
      </c>
      <c r="L8674" t="s">
        <v>27250</v>
      </c>
      <c r="M8674" t="s">
        <v>27251</v>
      </c>
      <c r="N8674" t="s">
        <v>27252</v>
      </c>
      <c r="Q8674" s="1">
        <v>44538</v>
      </c>
      <c r="R8674" t="s">
        <v>27253</v>
      </c>
      <c r="S8674" t="s">
        <v>27254</v>
      </c>
      <c r="T8674" t="s">
        <v>27255</v>
      </c>
    </row>
    <row r="8675" spans="1:20" x14ac:dyDescent="0.3">
      <c r="A8675" t="str">
        <f>"0611840402100"</f>
        <v>0611840402100</v>
      </c>
      <c r="B8675" t="str">
        <f>"LB6005"</f>
        <v>LB6005</v>
      </c>
      <c r="C8675" t="s">
        <v>44067</v>
      </c>
      <c r="D8675" t="s">
        <v>27245</v>
      </c>
      <c r="E8675" t="str">
        <f t="shared" si="135"/>
        <v>001390</v>
      </c>
      <c r="F8675" t="s">
        <v>27246</v>
      </c>
      <c r="G8675" t="s">
        <v>27247</v>
      </c>
      <c r="H8675" t="s">
        <v>27248</v>
      </c>
      <c r="I8675" t="s">
        <v>44068</v>
      </c>
      <c r="J8675" t="s">
        <v>17323</v>
      </c>
      <c r="L8675" t="s">
        <v>27250</v>
      </c>
      <c r="M8675" t="s">
        <v>27251</v>
      </c>
      <c r="N8675" t="s">
        <v>27252</v>
      </c>
      <c r="Q8675" s="1">
        <v>44538</v>
      </c>
      <c r="R8675" t="s">
        <v>27253</v>
      </c>
      <c r="S8675" t="s">
        <v>27254</v>
      </c>
      <c r="T8675" t="s">
        <v>27255</v>
      </c>
    </row>
    <row r="8676" spans="1:20" x14ac:dyDescent="0.3">
      <c r="A8676" t="str">
        <f>"0611840413100"</f>
        <v>0611840413100</v>
      </c>
      <c r="B8676" t="str">
        <f>"LK0285"</f>
        <v>LK0285</v>
      </c>
      <c r="C8676" t="s">
        <v>44069</v>
      </c>
      <c r="D8676" t="s">
        <v>27245</v>
      </c>
      <c r="E8676" t="str">
        <f t="shared" si="135"/>
        <v>001390</v>
      </c>
      <c r="F8676" t="s">
        <v>27246</v>
      </c>
      <c r="G8676" t="s">
        <v>27247</v>
      </c>
      <c r="H8676" t="s">
        <v>27248</v>
      </c>
      <c r="I8676" t="s">
        <v>44070</v>
      </c>
      <c r="J8676" t="s">
        <v>17307</v>
      </c>
      <c r="L8676" t="s">
        <v>27250</v>
      </c>
      <c r="M8676" t="s">
        <v>27251</v>
      </c>
      <c r="N8676" t="s">
        <v>27252</v>
      </c>
      <c r="Q8676" s="1">
        <v>44538</v>
      </c>
      <c r="R8676" t="s">
        <v>27253</v>
      </c>
      <c r="S8676" t="s">
        <v>27254</v>
      </c>
      <c r="T8676" t="s">
        <v>27255</v>
      </c>
    </row>
    <row r="8677" spans="1:20" x14ac:dyDescent="0.3">
      <c r="A8677" t="str">
        <f>"0611840403100"</f>
        <v>0611840403100</v>
      </c>
      <c r="B8677" t="str">
        <f>"LB6004"</f>
        <v>LB6004</v>
      </c>
      <c r="C8677" t="s">
        <v>44071</v>
      </c>
      <c r="D8677" t="s">
        <v>27245</v>
      </c>
      <c r="E8677" t="str">
        <f t="shared" si="135"/>
        <v>001390</v>
      </c>
      <c r="F8677" t="s">
        <v>27246</v>
      </c>
      <c r="G8677" t="s">
        <v>27247</v>
      </c>
      <c r="H8677" t="s">
        <v>27248</v>
      </c>
      <c r="I8677" t="s">
        <v>44072</v>
      </c>
      <c r="J8677" t="s">
        <v>17325</v>
      </c>
      <c r="L8677" t="s">
        <v>27250</v>
      </c>
      <c r="M8677" t="s">
        <v>27251</v>
      </c>
      <c r="N8677" t="s">
        <v>27252</v>
      </c>
      <c r="Q8677" s="1">
        <v>44538</v>
      </c>
      <c r="R8677" t="s">
        <v>27253</v>
      </c>
      <c r="S8677" t="s">
        <v>27254</v>
      </c>
      <c r="T8677" t="s">
        <v>27255</v>
      </c>
    </row>
    <row r="8678" spans="1:20" x14ac:dyDescent="0.3">
      <c r="A8678" t="str">
        <f>"0611840414100"</f>
        <v>0611840414100</v>
      </c>
      <c r="B8678" t="str">
        <f>"LK0286"</f>
        <v>LK0286</v>
      </c>
      <c r="C8678" t="s">
        <v>44073</v>
      </c>
      <c r="D8678" t="s">
        <v>27245</v>
      </c>
      <c r="E8678" t="str">
        <f t="shared" si="135"/>
        <v>001390</v>
      </c>
      <c r="F8678" t="s">
        <v>27246</v>
      </c>
      <c r="G8678" t="s">
        <v>27247</v>
      </c>
      <c r="H8678" t="s">
        <v>27248</v>
      </c>
      <c r="I8678" t="s">
        <v>44074</v>
      </c>
      <c r="J8678" t="s">
        <v>17309</v>
      </c>
      <c r="L8678" t="s">
        <v>27250</v>
      </c>
      <c r="M8678" t="s">
        <v>27251</v>
      </c>
      <c r="N8678" t="s">
        <v>27252</v>
      </c>
      <c r="Q8678" s="1">
        <v>44538</v>
      </c>
      <c r="R8678" t="s">
        <v>27253</v>
      </c>
      <c r="S8678" t="s">
        <v>27254</v>
      </c>
      <c r="T8678" t="s">
        <v>27255</v>
      </c>
    </row>
    <row r="8679" spans="1:20" x14ac:dyDescent="0.3">
      <c r="A8679" t="str">
        <f>"0611840415100"</f>
        <v>0611840415100</v>
      </c>
      <c r="B8679" t="str">
        <f>"LK0853"</f>
        <v>LK0853</v>
      </c>
      <c r="C8679" t="s">
        <v>44075</v>
      </c>
      <c r="D8679" t="s">
        <v>27245</v>
      </c>
      <c r="E8679" t="str">
        <f t="shared" si="135"/>
        <v>001390</v>
      </c>
      <c r="F8679" t="s">
        <v>27246</v>
      </c>
      <c r="G8679" t="s">
        <v>27247</v>
      </c>
      <c r="H8679" t="s">
        <v>27248</v>
      </c>
      <c r="I8679" t="s">
        <v>44076</v>
      </c>
      <c r="J8679" t="s">
        <v>17311</v>
      </c>
      <c r="L8679" t="s">
        <v>27250</v>
      </c>
      <c r="M8679" t="s">
        <v>27251</v>
      </c>
      <c r="N8679" t="s">
        <v>27252</v>
      </c>
      <c r="Q8679" s="1">
        <v>44538</v>
      </c>
      <c r="R8679" t="s">
        <v>27253</v>
      </c>
      <c r="S8679" t="s">
        <v>27254</v>
      </c>
      <c r="T8679" t="s">
        <v>27255</v>
      </c>
    </row>
    <row r="8680" spans="1:20" x14ac:dyDescent="0.3">
      <c r="A8680" t="str">
        <f>"0611840416100"</f>
        <v>0611840416100</v>
      </c>
      <c r="B8680" t="str">
        <f>"LK0287"</f>
        <v>LK0287</v>
      </c>
      <c r="C8680" t="s">
        <v>44077</v>
      </c>
      <c r="D8680" t="s">
        <v>27245</v>
      </c>
      <c r="E8680" t="str">
        <f t="shared" si="135"/>
        <v>001390</v>
      </c>
      <c r="F8680" t="s">
        <v>27246</v>
      </c>
      <c r="G8680" t="s">
        <v>27247</v>
      </c>
      <c r="H8680" t="s">
        <v>27248</v>
      </c>
      <c r="I8680" t="s">
        <v>44078</v>
      </c>
      <c r="J8680" t="s">
        <v>17313</v>
      </c>
      <c r="L8680" t="s">
        <v>27250</v>
      </c>
      <c r="M8680" t="s">
        <v>27251</v>
      </c>
      <c r="N8680" t="s">
        <v>27252</v>
      </c>
      <c r="Q8680" s="1">
        <v>44538</v>
      </c>
      <c r="R8680" t="s">
        <v>27253</v>
      </c>
      <c r="S8680" t="s">
        <v>27254</v>
      </c>
      <c r="T8680" t="s">
        <v>27255</v>
      </c>
    </row>
    <row r="8681" spans="1:20" x14ac:dyDescent="0.3">
      <c r="A8681" t="str">
        <f>"0611840323100"</f>
        <v>0611840323100</v>
      </c>
      <c r="B8681" t="str">
        <f>"LK0854"</f>
        <v>LK0854</v>
      </c>
      <c r="C8681" t="s">
        <v>44079</v>
      </c>
      <c r="D8681" t="s">
        <v>27245</v>
      </c>
      <c r="E8681" t="str">
        <f t="shared" si="135"/>
        <v>001390</v>
      </c>
      <c r="F8681" t="s">
        <v>27246</v>
      </c>
      <c r="G8681" t="s">
        <v>27247</v>
      </c>
      <c r="H8681" t="s">
        <v>27248</v>
      </c>
      <c r="I8681" t="s">
        <v>44080</v>
      </c>
      <c r="J8681" t="s">
        <v>17315</v>
      </c>
      <c r="L8681" t="s">
        <v>27250</v>
      </c>
      <c r="M8681" t="s">
        <v>27251</v>
      </c>
      <c r="N8681" t="s">
        <v>27252</v>
      </c>
      <c r="Q8681" s="1">
        <v>44538</v>
      </c>
      <c r="R8681" t="s">
        <v>27253</v>
      </c>
      <c r="S8681" t="s">
        <v>27254</v>
      </c>
      <c r="T8681" t="s">
        <v>27255</v>
      </c>
    </row>
    <row r="8682" spans="1:20" x14ac:dyDescent="0.3">
      <c r="A8682" t="str">
        <f>"0611840417100"</f>
        <v>0611840417100</v>
      </c>
      <c r="B8682" t="str">
        <f>"LK3433"</f>
        <v>LK3433</v>
      </c>
      <c r="C8682" t="s">
        <v>44081</v>
      </c>
      <c r="D8682" t="s">
        <v>27245</v>
      </c>
      <c r="E8682" t="str">
        <f t="shared" si="135"/>
        <v>001390</v>
      </c>
      <c r="F8682" t="s">
        <v>27246</v>
      </c>
      <c r="G8682" t="s">
        <v>27247</v>
      </c>
      <c r="H8682" t="s">
        <v>27248</v>
      </c>
      <c r="I8682" t="s">
        <v>44082</v>
      </c>
      <c r="J8682" t="s">
        <v>17317</v>
      </c>
      <c r="L8682" t="s">
        <v>27250</v>
      </c>
      <c r="M8682" t="s">
        <v>27251</v>
      </c>
      <c r="N8682" t="s">
        <v>27252</v>
      </c>
      <c r="Q8682" s="1">
        <v>44538</v>
      </c>
      <c r="R8682" t="s">
        <v>27253</v>
      </c>
      <c r="S8682" t="s">
        <v>27254</v>
      </c>
      <c r="T8682" t="s">
        <v>27255</v>
      </c>
    </row>
    <row r="8683" spans="1:20" x14ac:dyDescent="0.3">
      <c r="A8683" t="str">
        <f>"0611840418100"</f>
        <v>0611840418100</v>
      </c>
      <c r="B8683" t="str">
        <f>"LK1658"</f>
        <v>LK1658</v>
      </c>
      <c r="C8683" t="s">
        <v>44083</v>
      </c>
      <c r="D8683" t="s">
        <v>27245</v>
      </c>
      <c r="E8683" t="str">
        <f t="shared" si="135"/>
        <v>001390</v>
      </c>
      <c r="F8683" t="s">
        <v>27246</v>
      </c>
      <c r="G8683" t="s">
        <v>27247</v>
      </c>
      <c r="H8683" t="s">
        <v>27248</v>
      </c>
      <c r="I8683" t="s">
        <v>44084</v>
      </c>
      <c r="J8683" t="s">
        <v>17319</v>
      </c>
      <c r="L8683" t="s">
        <v>27250</v>
      </c>
      <c r="M8683" t="s">
        <v>27251</v>
      </c>
      <c r="N8683" t="s">
        <v>27252</v>
      </c>
      <c r="Q8683" s="1">
        <v>44538</v>
      </c>
      <c r="R8683" t="s">
        <v>27253</v>
      </c>
      <c r="S8683" t="s">
        <v>27254</v>
      </c>
      <c r="T8683" t="s">
        <v>27255</v>
      </c>
    </row>
    <row r="8684" spans="1:20" x14ac:dyDescent="0.3">
      <c r="A8684" t="str">
        <f>"0611840404100"</f>
        <v>0611840404100</v>
      </c>
      <c r="B8684" t="str">
        <f>"LB6008"</f>
        <v>LB6008</v>
      </c>
      <c r="C8684" t="s">
        <v>44085</v>
      </c>
      <c r="D8684" t="s">
        <v>27245</v>
      </c>
      <c r="E8684" t="str">
        <f t="shared" si="135"/>
        <v>001390</v>
      </c>
      <c r="F8684" t="s">
        <v>27246</v>
      </c>
      <c r="G8684" t="s">
        <v>27247</v>
      </c>
      <c r="H8684" t="s">
        <v>27248</v>
      </c>
      <c r="I8684" t="s">
        <v>44086</v>
      </c>
      <c r="J8684" t="s">
        <v>17327</v>
      </c>
      <c r="L8684" t="s">
        <v>27250</v>
      </c>
      <c r="M8684" t="s">
        <v>27251</v>
      </c>
      <c r="N8684" t="s">
        <v>27252</v>
      </c>
      <c r="Q8684" s="1">
        <v>44538</v>
      </c>
      <c r="R8684" t="s">
        <v>27253</v>
      </c>
      <c r="S8684" t="s">
        <v>27254</v>
      </c>
      <c r="T8684" t="s">
        <v>27255</v>
      </c>
    </row>
    <row r="8685" spans="1:20" x14ac:dyDescent="0.3">
      <c r="A8685" t="str">
        <f>"0611840420100"</f>
        <v>0611840420100</v>
      </c>
      <c r="B8685" t="str">
        <f>"LK0289"</f>
        <v>LK0289</v>
      </c>
      <c r="C8685" t="s">
        <v>44087</v>
      </c>
      <c r="D8685" t="s">
        <v>27245</v>
      </c>
      <c r="E8685" t="str">
        <f t="shared" si="135"/>
        <v>001390</v>
      </c>
      <c r="F8685" t="s">
        <v>27246</v>
      </c>
      <c r="G8685" t="s">
        <v>27247</v>
      </c>
      <c r="H8685" t="s">
        <v>27248</v>
      </c>
      <c r="I8685" t="s">
        <v>44088</v>
      </c>
      <c r="J8685" t="s">
        <v>17321</v>
      </c>
      <c r="L8685" t="s">
        <v>27250</v>
      </c>
      <c r="M8685" t="s">
        <v>27251</v>
      </c>
      <c r="N8685" t="s">
        <v>27252</v>
      </c>
      <c r="Q8685" s="1">
        <v>44538</v>
      </c>
      <c r="R8685" t="s">
        <v>27253</v>
      </c>
      <c r="S8685" t="s">
        <v>27254</v>
      </c>
      <c r="T8685" t="s">
        <v>27255</v>
      </c>
    </row>
    <row r="8686" spans="1:20" x14ac:dyDescent="0.3">
      <c r="A8686" t="str">
        <f>"0611840421100"</f>
        <v>0611840421100</v>
      </c>
      <c r="B8686" t="str">
        <f>"LK4161"</f>
        <v>LK4161</v>
      </c>
      <c r="C8686" t="s">
        <v>44089</v>
      </c>
      <c r="D8686" t="s">
        <v>28138</v>
      </c>
      <c r="E8686" t="str">
        <f t="shared" si="135"/>
        <v>001390</v>
      </c>
      <c r="F8686" t="s">
        <v>27246</v>
      </c>
      <c r="G8686" t="s">
        <v>27247</v>
      </c>
      <c r="H8686" t="s">
        <v>27248</v>
      </c>
      <c r="I8686" t="s">
        <v>44090</v>
      </c>
      <c r="J8686" t="s">
        <v>17329</v>
      </c>
      <c r="L8686" t="s">
        <v>27250</v>
      </c>
      <c r="M8686" t="s">
        <v>27251</v>
      </c>
      <c r="N8686" t="s">
        <v>27252</v>
      </c>
      <c r="P8686" t="s">
        <v>27925</v>
      </c>
      <c r="Q8686" s="1">
        <v>44538</v>
      </c>
      <c r="R8686" t="s">
        <v>27253</v>
      </c>
      <c r="S8686" t="s">
        <v>27254</v>
      </c>
      <c r="T8686" t="s">
        <v>27255</v>
      </c>
    </row>
    <row r="8687" spans="1:20" x14ac:dyDescent="0.3">
      <c r="A8687" t="str">
        <f>"0611840422100"</f>
        <v>0611840422100</v>
      </c>
      <c r="B8687" t="str">
        <f>"LK4157"</f>
        <v>LK4157</v>
      </c>
      <c r="C8687" t="s">
        <v>44091</v>
      </c>
      <c r="D8687" t="s">
        <v>28138</v>
      </c>
      <c r="E8687" t="str">
        <f t="shared" si="135"/>
        <v>001390</v>
      </c>
      <c r="F8687" t="s">
        <v>27246</v>
      </c>
      <c r="G8687" t="s">
        <v>27247</v>
      </c>
      <c r="H8687" t="s">
        <v>27248</v>
      </c>
      <c r="I8687" t="s">
        <v>44092</v>
      </c>
      <c r="J8687" t="s">
        <v>17331</v>
      </c>
      <c r="L8687" t="s">
        <v>27250</v>
      </c>
      <c r="M8687" t="s">
        <v>27251</v>
      </c>
      <c r="N8687" t="s">
        <v>27252</v>
      </c>
      <c r="P8687" t="s">
        <v>27925</v>
      </c>
      <c r="Q8687" s="1">
        <v>44538</v>
      </c>
      <c r="R8687" t="s">
        <v>27253</v>
      </c>
      <c r="S8687" t="s">
        <v>27254</v>
      </c>
      <c r="T8687" t="s">
        <v>27255</v>
      </c>
    </row>
    <row r="8688" spans="1:20" x14ac:dyDescent="0.3">
      <c r="A8688" t="str">
        <f>"0611840423100"</f>
        <v>0611840423100</v>
      </c>
      <c r="B8688" t="str">
        <f>"LK4156"</f>
        <v>LK4156</v>
      </c>
      <c r="C8688" t="s">
        <v>44093</v>
      </c>
      <c r="D8688" t="s">
        <v>28138</v>
      </c>
      <c r="E8688" t="str">
        <f t="shared" si="135"/>
        <v>001390</v>
      </c>
      <c r="F8688" t="s">
        <v>27246</v>
      </c>
      <c r="G8688" t="s">
        <v>27247</v>
      </c>
      <c r="H8688" t="s">
        <v>27248</v>
      </c>
      <c r="I8688" t="s">
        <v>44094</v>
      </c>
      <c r="J8688" t="s">
        <v>17333</v>
      </c>
      <c r="L8688" t="s">
        <v>27250</v>
      </c>
      <c r="M8688" t="s">
        <v>27251</v>
      </c>
      <c r="N8688" t="s">
        <v>27252</v>
      </c>
      <c r="P8688" t="s">
        <v>27925</v>
      </c>
      <c r="Q8688" s="1">
        <v>44538</v>
      </c>
      <c r="R8688" t="s">
        <v>27253</v>
      </c>
      <c r="S8688" t="s">
        <v>27254</v>
      </c>
      <c r="T8688" t="s">
        <v>27255</v>
      </c>
    </row>
    <row r="8689" spans="1:20" x14ac:dyDescent="0.3">
      <c r="A8689" t="str">
        <f>"0611840424100"</f>
        <v>0611840424100</v>
      </c>
      <c r="B8689" t="str">
        <f>"LK4158"</f>
        <v>LK4158</v>
      </c>
      <c r="C8689" t="s">
        <v>44095</v>
      </c>
      <c r="D8689" t="s">
        <v>28138</v>
      </c>
      <c r="E8689" t="str">
        <f t="shared" si="135"/>
        <v>001390</v>
      </c>
      <c r="F8689" t="s">
        <v>27246</v>
      </c>
      <c r="G8689" t="s">
        <v>27247</v>
      </c>
      <c r="H8689" t="s">
        <v>27248</v>
      </c>
      <c r="I8689" t="s">
        <v>44096</v>
      </c>
      <c r="J8689" t="s">
        <v>17335</v>
      </c>
      <c r="L8689" t="s">
        <v>27250</v>
      </c>
      <c r="M8689" t="s">
        <v>27251</v>
      </c>
      <c r="N8689" t="s">
        <v>27252</v>
      </c>
      <c r="P8689" t="s">
        <v>27925</v>
      </c>
      <c r="Q8689" s="1">
        <v>44538</v>
      </c>
      <c r="R8689" t="s">
        <v>27253</v>
      </c>
      <c r="S8689" t="s">
        <v>27254</v>
      </c>
      <c r="T8689" t="s">
        <v>27255</v>
      </c>
    </row>
    <row r="8690" spans="1:20" x14ac:dyDescent="0.3">
      <c r="A8690" t="str">
        <f>"0611840425100"</f>
        <v>0611840425100</v>
      </c>
      <c r="B8690" t="str">
        <f>"LK4410"</f>
        <v>LK4410</v>
      </c>
      <c r="C8690" t="s">
        <v>44097</v>
      </c>
      <c r="D8690" t="s">
        <v>28138</v>
      </c>
      <c r="E8690" t="str">
        <f t="shared" si="135"/>
        <v>001390</v>
      </c>
      <c r="F8690" t="s">
        <v>27246</v>
      </c>
      <c r="G8690" t="s">
        <v>27247</v>
      </c>
      <c r="H8690" t="s">
        <v>27248</v>
      </c>
      <c r="I8690" t="s">
        <v>44098</v>
      </c>
      <c r="J8690" t="s">
        <v>17337</v>
      </c>
      <c r="L8690" t="s">
        <v>27250</v>
      </c>
      <c r="M8690" t="s">
        <v>27251</v>
      </c>
      <c r="N8690" t="s">
        <v>27252</v>
      </c>
      <c r="P8690" t="s">
        <v>27925</v>
      </c>
      <c r="Q8690" s="1">
        <v>44538</v>
      </c>
      <c r="R8690" t="s">
        <v>27253</v>
      </c>
      <c r="S8690" t="s">
        <v>27254</v>
      </c>
      <c r="T8690" t="s">
        <v>27255</v>
      </c>
    </row>
    <row r="8691" spans="1:20" x14ac:dyDescent="0.3">
      <c r="A8691" t="str">
        <f>"0611840426100"</f>
        <v>0611840426100</v>
      </c>
      <c r="B8691" t="str">
        <f>"LK4149"</f>
        <v>LK4149</v>
      </c>
      <c r="C8691" t="s">
        <v>44099</v>
      </c>
      <c r="D8691" t="s">
        <v>28138</v>
      </c>
      <c r="E8691" t="str">
        <f t="shared" si="135"/>
        <v>001390</v>
      </c>
      <c r="F8691" t="s">
        <v>27246</v>
      </c>
      <c r="G8691" t="s">
        <v>27247</v>
      </c>
      <c r="H8691" t="s">
        <v>27248</v>
      </c>
      <c r="I8691" t="s">
        <v>44100</v>
      </c>
      <c r="J8691" t="s">
        <v>17339</v>
      </c>
      <c r="L8691" t="s">
        <v>27250</v>
      </c>
      <c r="M8691" t="s">
        <v>27251</v>
      </c>
      <c r="N8691" t="s">
        <v>27252</v>
      </c>
      <c r="P8691" t="s">
        <v>27925</v>
      </c>
      <c r="Q8691" s="1">
        <v>44538</v>
      </c>
      <c r="R8691" t="s">
        <v>27253</v>
      </c>
      <c r="S8691" t="s">
        <v>27254</v>
      </c>
      <c r="T8691" t="s">
        <v>27255</v>
      </c>
    </row>
    <row r="8692" spans="1:20" x14ac:dyDescent="0.3">
      <c r="A8692" t="str">
        <f>"0611840427100"</f>
        <v>0611840427100</v>
      </c>
      <c r="B8692" t="str">
        <f>"LK4493"</f>
        <v>LK4493</v>
      </c>
      <c r="C8692" t="s">
        <v>44101</v>
      </c>
      <c r="D8692" t="s">
        <v>28138</v>
      </c>
      <c r="E8692" t="str">
        <f t="shared" si="135"/>
        <v>001390</v>
      </c>
      <c r="F8692" t="s">
        <v>27246</v>
      </c>
      <c r="G8692" t="s">
        <v>27247</v>
      </c>
      <c r="H8692" t="s">
        <v>27248</v>
      </c>
      <c r="I8692" t="s">
        <v>44102</v>
      </c>
      <c r="J8692" t="s">
        <v>17341</v>
      </c>
      <c r="L8692" t="s">
        <v>27250</v>
      </c>
      <c r="M8692" t="s">
        <v>27251</v>
      </c>
      <c r="N8692" t="s">
        <v>27252</v>
      </c>
      <c r="P8692" t="s">
        <v>27925</v>
      </c>
      <c r="Q8692" s="1">
        <v>44538</v>
      </c>
      <c r="R8692" t="s">
        <v>27253</v>
      </c>
      <c r="S8692" t="s">
        <v>27254</v>
      </c>
      <c r="T8692" t="s">
        <v>27255</v>
      </c>
    </row>
    <row r="8693" spans="1:20" x14ac:dyDescent="0.3">
      <c r="A8693" t="str">
        <f>"0611840428100"</f>
        <v>0611840428100</v>
      </c>
      <c r="B8693" t="str">
        <f>"LK4159"</f>
        <v>LK4159</v>
      </c>
      <c r="C8693" t="s">
        <v>44103</v>
      </c>
      <c r="D8693" t="s">
        <v>28138</v>
      </c>
      <c r="E8693" t="str">
        <f t="shared" si="135"/>
        <v>001390</v>
      </c>
      <c r="F8693" t="s">
        <v>27246</v>
      </c>
      <c r="G8693" t="s">
        <v>27247</v>
      </c>
      <c r="H8693" t="s">
        <v>27248</v>
      </c>
      <c r="I8693" t="s">
        <v>44104</v>
      </c>
      <c r="J8693" t="s">
        <v>17343</v>
      </c>
      <c r="L8693" t="s">
        <v>27250</v>
      </c>
      <c r="M8693" t="s">
        <v>27251</v>
      </c>
      <c r="N8693" t="s">
        <v>27252</v>
      </c>
      <c r="P8693" t="s">
        <v>27925</v>
      </c>
      <c r="Q8693" s="1">
        <v>44538</v>
      </c>
      <c r="R8693" t="s">
        <v>27253</v>
      </c>
      <c r="S8693" t="s">
        <v>27254</v>
      </c>
      <c r="T8693" t="s">
        <v>27255</v>
      </c>
    </row>
    <row r="8694" spans="1:20" x14ac:dyDescent="0.3">
      <c r="A8694" t="str">
        <f>"0611840429100"</f>
        <v>0611840429100</v>
      </c>
      <c r="B8694" t="str">
        <f>"LK4160"</f>
        <v>LK4160</v>
      </c>
      <c r="C8694" t="s">
        <v>44105</v>
      </c>
      <c r="D8694" t="s">
        <v>28138</v>
      </c>
      <c r="E8694" t="str">
        <f t="shared" si="135"/>
        <v>001390</v>
      </c>
      <c r="F8694" t="s">
        <v>27246</v>
      </c>
      <c r="G8694" t="s">
        <v>27247</v>
      </c>
      <c r="H8694" t="s">
        <v>27248</v>
      </c>
      <c r="I8694" t="s">
        <v>44106</v>
      </c>
      <c r="J8694" t="s">
        <v>17345</v>
      </c>
      <c r="L8694" t="s">
        <v>27250</v>
      </c>
      <c r="M8694" t="s">
        <v>27251</v>
      </c>
      <c r="N8694" t="s">
        <v>27252</v>
      </c>
      <c r="P8694" t="s">
        <v>27925</v>
      </c>
      <c r="Q8694" s="1">
        <v>44538</v>
      </c>
      <c r="R8694" t="s">
        <v>27253</v>
      </c>
      <c r="S8694" t="s">
        <v>27254</v>
      </c>
      <c r="T8694" t="s">
        <v>27255</v>
      </c>
    </row>
    <row r="8695" spans="1:20" x14ac:dyDescent="0.3">
      <c r="A8695" t="str">
        <f>"0611840430100"</f>
        <v>0611840430100</v>
      </c>
      <c r="B8695" t="str">
        <f>"LK4155"</f>
        <v>LK4155</v>
      </c>
      <c r="C8695" t="s">
        <v>44107</v>
      </c>
      <c r="D8695" t="s">
        <v>28138</v>
      </c>
      <c r="E8695" t="str">
        <f t="shared" si="135"/>
        <v>001390</v>
      </c>
      <c r="F8695" t="s">
        <v>27246</v>
      </c>
      <c r="G8695" t="s">
        <v>27247</v>
      </c>
      <c r="H8695" t="s">
        <v>27248</v>
      </c>
      <c r="I8695" t="s">
        <v>44108</v>
      </c>
      <c r="J8695" t="s">
        <v>17347</v>
      </c>
      <c r="L8695" t="s">
        <v>27250</v>
      </c>
      <c r="M8695" t="s">
        <v>27251</v>
      </c>
      <c r="N8695" t="s">
        <v>27252</v>
      </c>
      <c r="P8695" t="s">
        <v>27925</v>
      </c>
      <c r="Q8695" s="1">
        <v>44538</v>
      </c>
      <c r="R8695" t="s">
        <v>27253</v>
      </c>
      <c r="S8695" t="s">
        <v>27254</v>
      </c>
      <c r="T8695" t="s">
        <v>27255</v>
      </c>
    </row>
    <row r="8696" spans="1:20" x14ac:dyDescent="0.3">
      <c r="A8696" t="str">
        <f>"0611840431100"</f>
        <v>0611840431100</v>
      </c>
      <c r="B8696" t="str">
        <f>"LK4154"</f>
        <v>LK4154</v>
      </c>
      <c r="C8696" t="s">
        <v>44109</v>
      </c>
      <c r="D8696" t="s">
        <v>28138</v>
      </c>
      <c r="E8696" t="str">
        <f t="shared" si="135"/>
        <v>001390</v>
      </c>
      <c r="F8696" t="s">
        <v>27246</v>
      </c>
      <c r="G8696" t="s">
        <v>27247</v>
      </c>
      <c r="H8696" t="s">
        <v>27248</v>
      </c>
      <c r="I8696" t="s">
        <v>44110</v>
      </c>
      <c r="J8696" t="s">
        <v>17349</v>
      </c>
      <c r="L8696" t="s">
        <v>27250</v>
      </c>
      <c r="M8696" t="s">
        <v>27251</v>
      </c>
      <c r="N8696" t="s">
        <v>27252</v>
      </c>
      <c r="P8696" t="s">
        <v>27925</v>
      </c>
      <c r="Q8696" s="1">
        <v>44538</v>
      </c>
      <c r="R8696" t="s">
        <v>27253</v>
      </c>
      <c r="S8696" t="s">
        <v>27254</v>
      </c>
      <c r="T8696" t="s">
        <v>27255</v>
      </c>
    </row>
    <row r="8697" spans="1:20" x14ac:dyDescent="0.3">
      <c r="A8697" t="str">
        <f>"0611840432100"</f>
        <v>0611840432100</v>
      </c>
      <c r="B8697" t="str">
        <f>"LK4331"</f>
        <v>LK4331</v>
      </c>
      <c r="C8697" t="s">
        <v>44111</v>
      </c>
      <c r="D8697" t="s">
        <v>28138</v>
      </c>
      <c r="E8697" t="str">
        <f t="shared" si="135"/>
        <v>001390</v>
      </c>
      <c r="F8697" t="s">
        <v>27246</v>
      </c>
      <c r="G8697" t="s">
        <v>27247</v>
      </c>
      <c r="H8697" t="s">
        <v>27248</v>
      </c>
      <c r="I8697" t="s">
        <v>44112</v>
      </c>
      <c r="J8697" t="s">
        <v>17351</v>
      </c>
      <c r="L8697" t="s">
        <v>27250</v>
      </c>
      <c r="M8697" t="s">
        <v>27251</v>
      </c>
      <c r="N8697" t="s">
        <v>27252</v>
      </c>
      <c r="P8697" t="s">
        <v>27925</v>
      </c>
      <c r="Q8697" s="1">
        <v>44538</v>
      </c>
      <c r="R8697" t="s">
        <v>27253</v>
      </c>
      <c r="S8697" t="s">
        <v>27254</v>
      </c>
      <c r="T8697" t="s">
        <v>27255</v>
      </c>
    </row>
    <row r="8698" spans="1:20" x14ac:dyDescent="0.3">
      <c r="A8698" t="str">
        <f>"0611840433100"</f>
        <v>0611840433100</v>
      </c>
      <c r="B8698" t="str">
        <f>"LK4151"</f>
        <v>LK4151</v>
      </c>
      <c r="C8698" t="s">
        <v>44113</v>
      </c>
      <c r="D8698" t="s">
        <v>28138</v>
      </c>
      <c r="E8698" t="str">
        <f t="shared" si="135"/>
        <v>001390</v>
      </c>
      <c r="F8698" t="s">
        <v>27246</v>
      </c>
      <c r="G8698" t="s">
        <v>27247</v>
      </c>
      <c r="H8698" t="s">
        <v>27248</v>
      </c>
      <c r="I8698" t="s">
        <v>44114</v>
      </c>
      <c r="J8698" t="s">
        <v>17353</v>
      </c>
      <c r="L8698" t="s">
        <v>27250</v>
      </c>
      <c r="M8698" t="s">
        <v>27251</v>
      </c>
      <c r="N8698" t="s">
        <v>27252</v>
      </c>
      <c r="P8698" t="s">
        <v>27925</v>
      </c>
      <c r="Q8698" s="1">
        <v>44538</v>
      </c>
      <c r="R8698" t="s">
        <v>27253</v>
      </c>
      <c r="S8698" t="s">
        <v>27254</v>
      </c>
      <c r="T8698" t="s">
        <v>27255</v>
      </c>
    </row>
    <row r="8699" spans="1:20" x14ac:dyDescent="0.3">
      <c r="A8699" t="str">
        <f>"0611840434100"</f>
        <v>0611840434100</v>
      </c>
      <c r="B8699" t="str">
        <f>"LK4162"</f>
        <v>LK4162</v>
      </c>
      <c r="C8699" t="s">
        <v>44115</v>
      </c>
      <c r="D8699" t="s">
        <v>28138</v>
      </c>
      <c r="E8699" t="str">
        <f t="shared" si="135"/>
        <v>001390</v>
      </c>
      <c r="F8699" t="s">
        <v>27246</v>
      </c>
      <c r="G8699" t="s">
        <v>27247</v>
      </c>
      <c r="H8699" t="s">
        <v>27248</v>
      </c>
      <c r="I8699" t="s">
        <v>44116</v>
      </c>
      <c r="J8699" t="s">
        <v>17355</v>
      </c>
      <c r="L8699" t="s">
        <v>27250</v>
      </c>
      <c r="M8699" t="s">
        <v>27251</v>
      </c>
      <c r="N8699" t="s">
        <v>27252</v>
      </c>
      <c r="P8699" t="s">
        <v>27925</v>
      </c>
      <c r="Q8699" s="1">
        <v>44538</v>
      </c>
      <c r="R8699" t="s">
        <v>27253</v>
      </c>
      <c r="S8699" t="s">
        <v>27254</v>
      </c>
      <c r="T8699" t="s">
        <v>27255</v>
      </c>
    </row>
    <row r="8700" spans="1:20" x14ac:dyDescent="0.3">
      <c r="A8700" t="str">
        <f>"0611840437100"</f>
        <v>0611840437100</v>
      </c>
      <c r="B8700" t="str">
        <f>"LK4494"</f>
        <v>LK4494</v>
      </c>
      <c r="C8700" t="s">
        <v>44117</v>
      </c>
      <c r="D8700" t="s">
        <v>27245</v>
      </c>
      <c r="E8700" t="str">
        <f t="shared" si="135"/>
        <v>001390</v>
      </c>
      <c r="F8700" t="s">
        <v>27246</v>
      </c>
      <c r="G8700" t="s">
        <v>27247</v>
      </c>
      <c r="H8700" t="s">
        <v>27248</v>
      </c>
      <c r="I8700" t="s">
        <v>44118</v>
      </c>
      <c r="J8700" t="s">
        <v>17357</v>
      </c>
      <c r="L8700" t="s">
        <v>27250</v>
      </c>
      <c r="M8700" t="s">
        <v>27251</v>
      </c>
      <c r="N8700" t="s">
        <v>27252</v>
      </c>
      <c r="Q8700" s="1">
        <v>44538</v>
      </c>
      <c r="R8700" t="s">
        <v>27253</v>
      </c>
      <c r="S8700" t="s">
        <v>27254</v>
      </c>
      <c r="T8700" t="s">
        <v>27255</v>
      </c>
    </row>
    <row r="8701" spans="1:20" x14ac:dyDescent="0.3">
      <c r="A8701" t="str">
        <f>"0611840438100"</f>
        <v>0611840438100</v>
      </c>
      <c r="B8701" t="str">
        <f>"LK4495"</f>
        <v>LK4495</v>
      </c>
      <c r="C8701" t="s">
        <v>44119</v>
      </c>
      <c r="D8701" t="s">
        <v>27245</v>
      </c>
      <c r="E8701" t="str">
        <f t="shared" si="135"/>
        <v>001390</v>
      </c>
      <c r="F8701" t="s">
        <v>27246</v>
      </c>
      <c r="G8701" t="s">
        <v>27247</v>
      </c>
      <c r="H8701" t="s">
        <v>27248</v>
      </c>
      <c r="I8701" t="s">
        <v>44120</v>
      </c>
      <c r="J8701" t="s">
        <v>17359</v>
      </c>
      <c r="L8701" t="s">
        <v>27250</v>
      </c>
      <c r="M8701" t="s">
        <v>27251</v>
      </c>
      <c r="N8701" t="s">
        <v>27252</v>
      </c>
      <c r="Q8701" s="1">
        <v>44538</v>
      </c>
      <c r="R8701" t="s">
        <v>27253</v>
      </c>
      <c r="S8701" t="s">
        <v>27254</v>
      </c>
      <c r="T8701" t="s">
        <v>27255</v>
      </c>
    </row>
    <row r="8702" spans="1:20" x14ac:dyDescent="0.3">
      <c r="A8702" t="str">
        <f>"0611840439100"</f>
        <v>0611840439100</v>
      </c>
      <c r="B8702" t="str">
        <f>"LK2716"</f>
        <v>LK2716</v>
      </c>
      <c r="C8702" t="s">
        <v>44121</v>
      </c>
      <c r="D8702" t="s">
        <v>27245</v>
      </c>
      <c r="E8702" t="str">
        <f t="shared" si="135"/>
        <v>001390</v>
      </c>
      <c r="F8702" t="s">
        <v>27246</v>
      </c>
      <c r="G8702" t="s">
        <v>27247</v>
      </c>
      <c r="H8702" t="s">
        <v>27248</v>
      </c>
      <c r="I8702" t="s">
        <v>44122</v>
      </c>
      <c r="J8702" t="s">
        <v>17361</v>
      </c>
      <c r="L8702" t="s">
        <v>27250</v>
      </c>
      <c r="M8702" t="s">
        <v>27251</v>
      </c>
      <c r="N8702" t="s">
        <v>27252</v>
      </c>
      <c r="Q8702" s="1">
        <v>44538</v>
      </c>
      <c r="R8702" t="s">
        <v>27253</v>
      </c>
      <c r="S8702" t="s">
        <v>27254</v>
      </c>
      <c r="T8702" t="s">
        <v>27255</v>
      </c>
    </row>
    <row r="8703" spans="1:20" x14ac:dyDescent="0.3">
      <c r="A8703" t="str">
        <f>"0611840440100"</f>
        <v>0611840440100</v>
      </c>
      <c r="B8703" t="str">
        <f>"LK5862"</f>
        <v>LK5862</v>
      </c>
      <c r="C8703" t="s">
        <v>44123</v>
      </c>
      <c r="D8703" t="s">
        <v>27245</v>
      </c>
      <c r="E8703" t="str">
        <f t="shared" si="135"/>
        <v>001390</v>
      </c>
      <c r="F8703" t="s">
        <v>27246</v>
      </c>
      <c r="G8703" t="s">
        <v>27247</v>
      </c>
      <c r="H8703" t="s">
        <v>27248</v>
      </c>
      <c r="I8703" t="s">
        <v>44124</v>
      </c>
      <c r="J8703" t="s">
        <v>17363</v>
      </c>
      <c r="L8703" t="s">
        <v>27250</v>
      </c>
      <c r="M8703" t="s">
        <v>27251</v>
      </c>
      <c r="N8703" t="s">
        <v>27252</v>
      </c>
      <c r="Q8703" s="1">
        <v>44538</v>
      </c>
      <c r="R8703" t="s">
        <v>27253</v>
      </c>
      <c r="S8703" t="s">
        <v>27254</v>
      </c>
      <c r="T8703" t="s">
        <v>27255</v>
      </c>
    </row>
    <row r="8704" spans="1:20" x14ac:dyDescent="0.3">
      <c r="A8704" t="str">
        <f>"0611840441100"</f>
        <v>0611840441100</v>
      </c>
      <c r="B8704" t="str">
        <f>"LK1971"</f>
        <v>LK1971</v>
      </c>
      <c r="C8704" t="s">
        <v>44125</v>
      </c>
      <c r="D8704" t="s">
        <v>27245</v>
      </c>
      <c r="E8704" t="str">
        <f t="shared" si="135"/>
        <v>001390</v>
      </c>
      <c r="F8704" t="s">
        <v>27246</v>
      </c>
      <c r="G8704" t="s">
        <v>27247</v>
      </c>
      <c r="H8704" t="s">
        <v>27248</v>
      </c>
      <c r="I8704" t="s">
        <v>44126</v>
      </c>
      <c r="J8704" t="s">
        <v>17365</v>
      </c>
      <c r="L8704" t="s">
        <v>27250</v>
      </c>
      <c r="M8704" t="s">
        <v>27251</v>
      </c>
      <c r="N8704" t="s">
        <v>27252</v>
      </c>
      <c r="Q8704" s="1">
        <v>44538</v>
      </c>
      <c r="R8704" t="s">
        <v>27253</v>
      </c>
      <c r="S8704" t="s">
        <v>27254</v>
      </c>
      <c r="T8704" t="s">
        <v>27255</v>
      </c>
    </row>
    <row r="8705" spans="1:20" x14ac:dyDescent="0.3">
      <c r="A8705" t="str">
        <f>"0611840442100"</f>
        <v>0611840442100</v>
      </c>
      <c r="B8705" t="str">
        <f>"LK5041"</f>
        <v>LK5041</v>
      </c>
      <c r="C8705" t="s">
        <v>44127</v>
      </c>
      <c r="D8705" t="s">
        <v>27245</v>
      </c>
      <c r="E8705" t="str">
        <f t="shared" si="135"/>
        <v>001390</v>
      </c>
      <c r="F8705" t="s">
        <v>27246</v>
      </c>
      <c r="G8705" t="s">
        <v>27247</v>
      </c>
      <c r="H8705" t="s">
        <v>27248</v>
      </c>
      <c r="I8705" t="s">
        <v>44128</v>
      </c>
      <c r="J8705" t="s">
        <v>17367</v>
      </c>
      <c r="L8705" t="s">
        <v>27250</v>
      </c>
      <c r="M8705" t="s">
        <v>27251</v>
      </c>
      <c r="N8705" t="s">
        <v>27252</v>
      </c>
      <c r="Q8705" s="1">
        <v>44538</v>
      </c>
      <c r="R8705" t="s">
        <v>27253</v>
      </c>
      <c r="S8705" t="s">
        <v>27254</v>
      </c>
      <c r="T8705" t="s">
        <v>27255</v>
      </c>
    </row>
    <row r="8706" spans="1:20" x14ac:dyDescent="0.3">
      <c r="A8706" t="str">
        <f>"0611840444100"</f>
        <v>0611840444100</v>
      </c>
      <c r="B8706" t="str">
        <f>"LK5510"</f>
        <v>LK5510</v>
      </c>
      <c r="C8706" t="s">
        <v>44129</v>
      </c>
      <c r="D8706" t="s">
        <v>27245</v>
      </c>
      <c r="E8706" t="str">
        <f t="shared" ref="E8706:E8769" si="136">"001390"</f>
        <v>001390</v>
      </c>
      <c r="F8706" t="s">
        <v>27246</v>
      </c>
      <c r="G8706" t="s">
        <v>27247</v>
      </c>
      <c r="H8706" t="s">
        <v>27248</v>
      </c>
      <c r="I8706" t="s">
        <v>44130</v>
      </c>
      <c r="J8706" t="s">
        <v>17369</v>
      </c>
      <c r="L8706" t="s">
        <v>27250</v>
      </c>
      <c r="M8706" t="s">
        <v>27251</v>
      </c>
      <c r="N8706" t="s">
        <v>27252</v>
      </c>
      <c r="Q8706" s="1">
        <v>44538</v>
      </c>
      <c r="R8706" t="s">
        <v>27253</v>
      </c>
      <c r="S8706" t="s">
        <v>27254</v>
      </c>
      <c r="T8706" t="s">
        <v>27255</v>
      </c>
    </row>
    <row r="8707" spans="1:20" x14ac:dyDescent="0.3">
      <c r="A8707" t="str">
        <f>"0611840445100"</f>
        <v>0611840445100</v>
      </c>
      <c r="B8707" t="str">
        <f>"LK1884"</f>
        <v>LK1884</v>
      </c>
      <c r="C8707" t="s">
        <v>44131</v>
      </c>
      <c r="D8707" t="s">
        <v>27245</v>
      </c>
      <c r="E8707" t="str">
        <f t="shared" si="136"/>
        <v>001390</v>
      </c>
      <c r="F8707" t="s">
        <v>27246</v>
      </c>
      <c r="G8707" t="s">
        <v>27247</v>
      </c>
      <c r="H8707" t="s">
        <v>27248</v>
      </c>
      <c r="I8707" t="s">
        <v>44132</v>
      </c>
      <c r="J8707" t="s">
        <v>17371</v>
      </c>
      <c r="L8707" t="s">
        <v>27250</v>
      </c>
      <c r="M8707" t="s">
        <v>27251</v>
      </c>
      <c r="N8707" t="s">
        <v>27252</v>
      </c>
      <c r="Q8707" s="1">
        <v>44538</v>
      </c>
      <c r="R8707" t="s">
        <v>27253</v>
      </c>
      <c r="S8707" t="s">
        <v>27254</v>
      </c>
      <c r="T8707" t="s">
        <v>27255</v>
      </c>
    </row>
    <row r="8708" spans="1:20" x14ac:dyDescent="0.3">
      <c r="A8708" t="str">
        <f>"0611840446100"</f>
        <v>0611840446100</v>
      </c>
      <c r="B8708" t="str">
        <f>"LK1972"</f>
        <v>LK1972</v>
      </c>
      <c r="C8708" t="s">
        <v>44133</v>
      </c>
      <c r="D8708" t="s">
        <v>27245</v>
      </c>
      <c r="E8708" t="str">
        <f t="shared" si="136"/>
        <v>001390</v>
      </c>
      <c r="F8708" t="s">
        <v>27246</v>
      </c>
      <c r="G8708" t="s">
        <v>27247</v>
      </c>
      <c r="H8708" t="s">
        <v>27248</v>
      </c>
      <c r="I8708" t="s">
        <v>44134</v>
      </c>
      <c r="J8708" t="s">
        <v>17373</v>
      </c>
      <c r="L8708" t="s">
        <v>27250</v>
      </c>
      <c r="M8708" t="s">
        <v>27251</v>
      </c>
      <c r="N8708" t="s">
        <v>27252</v>
      </c>
      <c r="Q8708" s="1">
        <v>44538</v>
      </c>
      <c r="R8708" t="s">
        <v>27253</v>
      </c>
      <c r="S8708" t="s">
        <v>27254</v>
      </c>
      <c r="T8708" t="s">
        <v>27255</v>
      </c>
    </row>
    <row r="8709" spans="1:20" x14ac:dyDescent="0.3">
      <c r="A8709" t="str">
        <f>"0611840447100"</f>
        <v>0611840447100</v>
      </c>
      <c r="B8709" t="str">
        <f>"LK4332"</f>
        <v>LK4332</v>
      </c>
      <c r="C8709" t="s">
        <v>44135</v>
      </c>
      <c r="D8709" t="s">
        <v>27245</v>
      </c>
      <c r="E8709" t="str">
        <f t="shared" si="136"/>
        <v>001390</v>
      </c>
      <c r="F8709" t="s">
        <v>27246</v>
      </c>
      <c r="G8709" t="s">
        <v>27247</v>
      </c>
      <c r="H8709" t="s">
        <v>27248</v>
      </c>
      <c r="I8709" t="s">
        <v>44136</v>
      </c>
      <c r="J8709" t="s">
        <v>17375</v>
      </c>
      <c r="L8709" t="s">
        <v>27250</v>
      </c>
      <c r="M8709" t="s">
        <v>27251</v>
      </c>
      <c r="N8709" t="s">
        <v>27252</v>
      </c>
      <c r="Q8709" s="1">
        <v>44538</v>
      </c>
      <c r="R8709" t="s">
        <v>27253</v>
      </c>
      <c r="S8709" t="s">
        <v>27254</v>
      </c>
      <c r="T8709" t="s">
        <v>27255</v>
      </c>
    </row>
    <row r="8710" spans="1:20" x14ac:dyDescent="0.3">
      <c r="A8710" t="str">
        <f>"0611840448100"</f>
        <v>0611840448100</v>
      </c>
      <c r="B8710" t="str">
        <f>"LK2718"</f>
        <v>LK2718</v>
      </c>
      <c r="C8710" t="s">
        <v>44137</v>
      </c>
      <c r="D8710" t="s">
        <v>27245</v>
      </c>
      <c r="E8710" t="str">
        <f t="shared" si="136"/>
        <v>001390</v>
      </c>
      <c r="F8710" t="s">
        <v>27246</v>
      </c>
      <c r="G8710" t="s">
        <v>27247</v>
      </c>
      <c r="H8710" t="s">
        <v>27248</v>
      </c>
      <c r="I8710" t="s">
        <v>44138</v>
      </c>
      <c r="J8710" t="s">
        <v>17377</v>
      </c>
      <c r="L8710" t="s">
        <v>27250</v>
      </c>
      <c r="M8710" t="s">
        <v>27251</v>
      </c>
      <c r="N8710" t="s">
        <v>27252</v>
      </c>
      <c r="Q8710" s="1">
        <v>44538</v>
      </c>
      <c r="R8710" t="s">
        <v>27253</v>
      </c>
      <c r="S8710" t="s">
        <v>27254</v>
      </c>
      <c r="T8710" t="s">
        <v>27255</v>
      </c>
    </row>
    <row r="8711" spans="1:20" x14ac:dyDescent="0.3">
      <c r="A8711" t="str">
        <f>"0611840449100"</f>
        <v>0611840449100</v>
      </c>
      <c r="B8711" t="str">
        <f>"LK5044"</f>
        <v>LK5044</v>
      </c>
      <c r="C8711" t="s">
        <v>44139</v>
      </c>
      <c r="D8711" t="s">
        <v>27245</v>
      </c>
      <c r="E8711" t="str">
        <f t="shared" si="136"/>
        <v>001390</v>
      </c>
      <c r="F8711" t="s">
        <v>27246</v>
      </c>
      <c r="G8711" t="s">
        <v>27247</v>
      </c>
      <c r="H8711" t="s">
        <v>27248</v>
      </c>
      <c r="I8711" t="s">
        <v>44140</v>
      </c>
      <c r="J8711" t="s">
        <v>17379</v>
      </c>
      <c r="L8711" t="s">
        <v>27250</v>
      </c>
      <c r="M8711" t="s">
        <v>27251</v>
      </c>
      <c r="N8711" t="s">
        <v>27252</v>
      </c>
      <c r="Q8711" s="1">
        <v>44538</v>
      </c>
      <c r="R8711" t="s">
        <v>27253</v>
      </c>
      <c r="S8711" t="s">
        <v>27254</v>
      </c>
      <c r="T8711" t="s">
        <v>27255</v>
      </c>
    </row>
    <row r="8712" spans="1:20" x14ac:dyDescent="0.3">
      <c r="A8712" t="str">
        <f>"0611840450100"</f>
        <v>0611840450100</v>
      </c>
      <c r="B8712" t="str">
        <f>"LK2717"</f>
        <v>LK2717</v>
      </c>
      <c r="C8712" t="s">
        <v>44141</v>
      </c>
      <c r="D8712" t="s">
        <v>27245</v>
      </c>
      <c r="E8712" t="str">
        <f t="shared" si="136"/>
        <v>001390</v>
      </c>
      <c r="F8712" t="s">
        <v>27246</v>
      </c>
      <c r="G8712" t="s">
        <v>27247</v>
      </c>
      <c r="H8712" t="s">
        <v>27248</v>
      </c>
      <c r="I8712" t="s">
        <v>44142</v>
      </c>
      <c r="J8712" t="s">
        <v>17381</v>
      </c>
      <c r="L8712" t="s">
        <v>27250</v>
      </c>
      <c r="M8712" t="s">
        <v>27251</v>
      </c>
      <c r="N8712" t="s">
        <v>27252</v>
      </c>
      <c r="Q8712" s="1">
        <v>44538</v>
      </c>
      <c r="R8712" t="s">
        <v>27253</v>
      </c>
      <c r="S8712" t="s">
        <v>27254</v>
      </c>
      <c r="T8712" t="s">
        <v>27255</v>
      </c>
    </row>
    <row r="8713" spans="1:20" x14ac:dyDescent="0.3">
      <c r="A8713" t="str">
        <f>"0611840451100"</f>
        <v>0611840451100</v>
      </c>
      <c r="B8713" t="str">
        <f>"LK5045"</f>
        <v>LK5045</v>
      </c>
      <c r="C8713" t="s">
        <v>44143</v>
      </c>
      <c r="D8713" t="s">
        <v>27245</v>
      </c>
      <c r="E8713" t="str">
        <f t="shared" si="136"/>
        <v>001390</v>
      </c>
      <c r="F8713" t="s">
        <v>27246</v>
      </c>
      <c r="G8713" t="s">
        <v>27247</v>
      </c>
      <c r="H8713" t="s">
        <v>27248</v>
      </c>
      <c r="I8713" t="s">
        <v>44144</v>
      </c>
      <c r="J8713" t="s">
        <v>17383</v>
      </c>
      <c r="L8713" t="s">
        <v>27250</v>
      </c>
      <c r="M8713" t="s">
        <v>27251</v>
      </c>
      <c r="N8713" t="s">
        <v>27252</v>
      </c>
      <c r="Q8713" s="1">
        <v>44538</v>
      </c>
      <c r="R8713" t="s">
        <v>27253</v>
      </c>
      <c r="S8713" t="s">
        <v>27254</v>
      </c>
      <c r="T8713" t="s">
        <v>27255</v>
      </c>
    </row>
    <row r="8714" spans="1:20" x14ac:dyDescent="0.3">
      <c r="A8714" t="str">
        <f>"0611840452100"</f>
        <v>0611840452100</v>
      </c>
      <c r="B8714" t="str">
        <f>"LK6098"</f>
        <v>LK6098</v>
      </c>
      <c r="C8714" t="s">
        <v>44145</v>
      </c>
      <c r="D8714" t="s">
        <v>27245</v>
      </c>
      <c r="E8714" t="str">
        <f t="shared" si="136"/>
        <v>001390</v>
      </c>
      <c r="F8714" t="s">
        <v>27246</v>
      </c>
      <c r="G8714" t="s">
        <v>27247</v>
      </c>
      <c r="H8714" t="s">
        <v>27248</v>
      </c>
      <c r="I8714" t="s">
        <v>44146</v>
      </c>
      <c r="J8714" t="s">
        <v>17385</v>
      </c>
      <c r="L8714" t="s">
        <v>27250</v>
      </c>
      <c r="M8714" t="s">
        <v>27251</v>
      </c>
      <c r="N8714" t="s">
        <v>27252</v>
      </c>
      <c r="Q8714" s="1">
        <v>44538</v>
      </c>
      <c r="R8714" t="s">
        <v>27253</v>
      </c>
      <c r="S8714" t="s">
        <v>27254</v>
      </c>
      <c r="T8714" t="s">
        <v>27255</v>
      </c>
    </row>
    <row r="8715" spans="1:20" x14ac:dyDescent="0.3">
      <c r="A8715" t="str">
        <f>"0611840453100"</f>
        <v>0611840453100</v>
      </c>
      <c r="B8715" t="str">
        <f>"LK5046"</f>
        <v>LK5046</v>
      </c>
      <c r="C8715" t="s">
        <v>44147</v>
      </c>
      <c r="D8715" t="s">
        <v>27245</v>
      </c>
      <c r="E8715" t="str">
        <f t="shared" si="136"/>
        <v>001390</v>
      </c>
      <c r="F8715" t="s">
        <v>27246</v>
      </c>
      <c r="G8715" t="s">
        <v>27247</v>
      </c>
      <c r="H8715" t="s">
        <v>27248</v>
      </c>
      <c r="I8715" t="s">
        <v>44148</v>
      </c>
      <c r="J8715" t="s">
        <v>17387</v>
      </c>
      <c r="L8715" t="s">
        <v>27250</v>
      </c>
      <c r="M8715" t="s">
        <v>27251</v>
      </c>
      <c r="N8715" t="s">
        <v>27252</v>
      </c>
      <c r="Q8715" s="1">
        <v>44538</v>
      </c>
      <c r="R8715" t="s">
        <v>27253</v>
      </c>
      <c r="S8715" t="s">
        <v>27254</v>
      </c>
      <c r="T8715" t="s">
        <v>27255</v>
      </c>
    </row>
    <row r="8716" spans="1:20" x14ac:dyDescent="0.3">
      <c r="A8716" t="str">
        <f>"0611840454100"</f>
        <v>0611840454100</v>
      </c>
      <c r="B8716" t="str">
        <f>"LK4497"</f>
        <v>LK4497</v>
      </c>
      <c r="C8716" t="s">
        <v>44149</v>
      </c>
      <c r="D8716" t="s">
        <v>27245</v>
      </c>
      <c r="E8716" t="str">
        <f t="shared" si="136"/>
        <v>001390</v>
      </c>
      <c r="F8716" t="s">
        <v>27246</v>
      </c>
      <c r="G8716" t="s">
        <v>27247</v>
      </c>
      <c r="H8716" t="s">
        <v>27248</v>
      </c>
      <c r="I8716" t="s">
        <v>44150</v>
      </c>
      <c r="J8716" t="s">
        <v>17389</v>
      </c>
      <c r="L8716" t="s">
        <v>27250</v>
      </c>
      <c r="M8716" t="s">
        <v>27251</v>
      </c>
      <c r="N8716" t="s">
        <v>27252</v>
      </c>
      <c r="Q8716" s="1">
        <v>44538</v>
      </c>
      <c r="R8716" t="s">
        <v>27253</v>
      </c>
      <c r="S8716" t="s">
        <v>27254</v>
      </c>
      <c r="T8716" t="s">
        <v>27255</v>
      </c>
    </row>
    <row r="8717" spans="1:20" x14ac:dyDescent="0.3">
      <c r="A8717" t="str">
        <f>"0611840455100"</f>
        <v>0611840455100</v>
      </c>
      <c r="B8717" t="str">
        <f>"LK4498"</f>
        <v>LK4498</v>
      </c>
      <c r="C8717" t="s">
        <v>44151</v>
      </c>
      <c r="D8717" t="s">
        <v>27245</v>
      </c>
      <c r="E8717" t="str">
        <f t="shared" si="136"/>
        <v>001390</v>
      </c>
      <c r="F8717" t="s">
        <v>27246</v>
      </c>
      <c r="G8717" t="s">
        <v>27247</v>
      </c>
      <c r="H8717" t="s">
        <v>27248</v>
      </c>
      <c r="I8717" t="s">
        <v>44152</v>
      </c>
      <c r="J8717" t="s">
        <v>17391</v>
      </c>
      <c r="L8717" t="s">
        <v>27250</v>
      </c>
      <c r="M8717" t="s">
        <v>27251</v>
      </c>
      <c r="N8717" t="s">
        <v>27252</v>
      </c>
      <c r="Q8717" s="1">
        <v>44538</v>
      </c>
      <c r="R8717" t="s">
        <v>27253</v>
      </c>
      <c r="S8717" t="s">
        <v>27254</v>
      </c>
      <c r="T8717" t="s">
        <v>27255</v>
      </c>
    </row>
    <row r="8718" spans="1:20" x14ac:dyDescent="0.3">
      <c r="A8718" t="str">
        <f>"0611840456100"</f>
        <v>0611840456100</v>
      </c>
      <c r="B8718" t="str">
        <f>"LK4499"</f>
        <v>LK4499</v>
      </c>
      <c r="C8718" t="s">
        <v>44153</v>
      </c>
      <c r="D8718" t="s">
        <v>27245</v>
      </c>
      <c r="E8718" t="str">
        <f t="shared" si="136"/>
        <v>001390</v>
      </c>
      <c r="F8718" t="s">
        <v>27246</v>
      </c>
      <c r="G8718" t="s">
        <v>27247</v>
      </c>
      <c r="H8718" t="s">
        <v>27248</v>
      </c>
      <c r="I8718" t="s">
        <v>44154</v>
      </c>
      <c r="J8718" t="s">
        <v>17393</v>
      </c>
      <c r="L8718" t="s">
        <v>27250</v>
      </c>
      <c r="M8718" t="s">
        <v>27251</v>
      </c>
      <c r="N8718" t="s">
        <v>27252</v>
      </c>
      <c r="Q8718" s="1">
        <v>44538</v>
      </c>
      <c r="R8718" t="s">
        <v>27253</v>
      </c>
      <c r="S8718" t="s">
        <v>27254</v>
      </c>
      <c r="T8718" t="s">
        <v>27255</v>
      </c>
    </row>
    <row r="8719" spans="1:20" x14ac:dyDescent="0.3">
      <c r="A8719" t="str">
        <f>"0611840457100"</f>
        <v>0611840457100</v>
      </c>
      <c r="B8719" t="str">
        <f>"LK5511"</f>
        <v>LK5511</v>
      </c>
      <c r="C8719" t="s">
        <v>44155</v>
      </c>
      <c r="D8719" t="s">
        <v>27245</v>
      </c>
      <c r="E8719" t="str">
        <f t="shared" si="136"/>
        <v>001390</v>
      </c>
      <c r="F8719" t="s">
        <v>27246</v>
      </c>
      <c r="G8719" t="s">
        <v>27247</v>
      </c>
      <c r="H8719" t="s">
        <v>27248</v>
      </c>
      <c r="I8719" t="s">
        <v>44156</v>
      </c>
      <c r="J8719" t="s">
        <v>17395</v>
      </c>
      <c r="L8719" t="s">
        <v>27250</v>
      </c>
      <c r="M8719" t="s">
        <v>27251</v>
      </c>
      <c r="N8719" t="s">
        <v>27252</v>
      </c>
      <c r="Q8719" s="1">
        <v>44538</v>
      </c>
      <c r="R8719" t="s">
        <v>27253</v>
      </c>
      <c r="S8719" t="s">
        <v>27254</v>
      </c>
      <c r="T8719" t="s">
        <v>27255</v>
      </c>
    </row>
    <row r="8720" spans="1:20" x14ac:dyDescent="0.3">
      <c r="A8720" t="str">
        <f>"0611840458100"</f>
        <v>0611840458100</v>
      </c>
      <c r="B8720" t="str">
        <f>"LK4873"</f>
        <v>LK4873</v>
      </c>
      <c r="C8720" t="s">
        <v>44157</v>
      </c>
      <c r="D8720" t="s">
        <v>27245</v>
      </c>
      <c r="E8720" t="str">
        <f t="shared" si="136"/>
        <v>001390</v>
      </c>
      <c r="F8720" t="s">
        <v>27246</v>
      </c>
      <c r="G8720" t="s">
        <v>27247</v>
      </c>
      <c r="H8720" t="s">
        <v>27248</v>
      </c>
      <c r="I8720" t="s">
        <v>44158</v>
      </c>
      <c r="J8720" t="s">
        <v>17397</v>
      </c>
      <c r="L8720" t="s">
        <v>27250</v>
      </c>
      <c r="M8720" t="s">
        <v>27251</v>
      </c>
      <c r="N8720" t="s">
        <v>27252</v>
      </c>
      <c r="Q8720" s="1">
        <v>44538</v>
      </c>
      <c r="R8720" t="s">
        <v>27253</v>
      </c>
      <c r="S8720" t="s">
        <v>27254</v>
      </c>
      <c r="T8720" t="s">
        <v>27255</v>
      </c>
    </row>
    <row r="8721" spans="1:20" x14ac:dyDescent="0.3">
      <c r="A8721" t="str">
        <f>"0611840459100"</f>
        <v>0611840459100</v>
      </c>
      <c r="B8721" t="str">
        <f>"LK1885"</f>
        <v>LK1885</v>
      </c>
      <c r="C8721" t="s">
        <v>44159</v>
      </c>
      <c r="D8721" t="s">
        <v>27245</v>
      </c>
      <c r="E8721" t="str">
        <f t="shared" si="136"/>
        <v>001390</v>
      </c>
      <c r="F8721" t="s">
        <v>27246</v>
      </c>
      <c r="G8721" t="s">
        <v>27247</v>
      </c>
      <c r="H8721" t="s">
        <v>27248</v>
      </c>
      <c r="I8721" t="s">
        <v>44160</v>
      </c>
      <c r="J8721" t="s">
        <v>17399</v>
      </c>
      <c r="L8721" t="s">
        <v>27250</v>
      </c>
      <c r="M8721" t="s">
        <v>27251</v>
      </c>
      <c r="N8721" t="s">
        <v>27252</v>
      </c>
      <c r="Q8721" s="1">
        <v>44538</v>
      </c>
      <c r="R8721" t="s">
        <v>27253</v>
      </c>
      <c r="S8721" t="s">
        <v>27254</v>
      </c>
      <c r="T8721" t="s">
        <v>27255</v>
      </c>
    </row>
    <row r="8722" spans="1:20" x14ac:dyDescent="0.3">
      <c r="A8722" t="str">
        <f>"0611840460100"</f>
        <v>0611840460100</v>
      </c>
      <c r="B8722" t="str">
        <f>"LK4411"</f>
        <v>LK4411</v>
      </c>
      <c r="C8722" t="s">
        <v>44161</v>
      </c>
      <c r="D8722" t="s">
        <v>27245</v>
      </c>
      <c r="E8722" t="str">
        <f t="shared" si="136"/>
        <v>001390</v>
      </c>
      <c r="F8722" t="s">
        <v>27246</v>
      </c>
      <c r="G8722" t="s">
        <v>27247</v>
      </c>
      <c r="H8722" t="s">
        <v>27248</v>
      </c>
      <c r="I8722" t="s">
        <v>44162</v>
      </c>
      <c r="J8722" t="s">
        <v>17401</v>
      </c>
      <c r="L8722" t="s">
        <v>27250</v>
      </c>
      <c r="M8722" t="s">
        <v>27251</v>
      </c>
      <c r="N8722" t="s">
        <v>27252</v>
      </c>
      <c r="Q8722" s="1">
        <v>44538</v>
      </c>
      <c r="R8722" t="s">
        <v>27253</v>
      </c>
      <c r="S8722" t="s">
        <v>27254</v>
      </c>
      <c r="T8722" t="s">
        <v>27255</v>
      </c>
    </row>
    <row r="8723" spans="1:20" x14ac:dyDescent="0.3">
      <c r="A8723" t="str">
        <f>"0611840461100"</f>
        <v>0611840461100</v>
      </c>
      <c r="B8723" t="str">
        <f>"LK1886"</f>
        <v>LK1886</v>
      </c>
      <c r="C8723" t="s">
        <v>44163</v>
      </c>
      <c r="D8723" t="s">
        <v>27245</v>
      </c>
      <c r="E8723" t="str">
        <f t="shared" si="136"/>
        <v>001390</v>
      </c>
      <c r="F8723" t="s">
        <v>27246</v>
      </c>
      <c r="G8723" t="s">
        <v>27247</v>
      </c>
      <c r="H8723" t="s">
        <v>27248</v>
      </c>
      <c r="I8723" t="s">
        <v>44164</v>
      </c>
      <c r="J8723" t="s">
        <v>17403</v>
      </c>
      <c r="L8723" t="s">
        <v>27250</v>
      </c>
      <c r="M8723" t="s">
        <v>27251</v>
      </c>
      <c r="N8723" t="s">
        <v>27252</v>
      </c>
      <c r="Q8723" s="1">
        <v>44538</v>
      </c>
      <c r="R8723" t="s">
        <v>27253</v>
      </c>
      <c r="S8723" t="s">
        <v>27254</v>
      </c>
      <c r="T8723" t="s">
        <v>27255</v>
      </c>
    </row>
    <row r="8724" spans="1:20" x14ac:dyDescent="0.3">
      <c r="A8724" t="str">
        <f>"0611840462100"</f>
        <v>0611840462100</v>
      </c>
      <c r="B8724" t="str">
        <f>"LK3437"</f>
        <v>LK3437</v>
      </c>
      <c r="C8724" t="s">
        <v>44165</v>
      </c>
      <c r="D8724" t="s">
        <v>27245</v>
      </c>
      <c r="E8724" t="str">
        <f t="shared" si="136"/>
        <v>001390</v>
      </c>
      <c r="F8724" t="s">
        <v>27246</v>
      </c>
      <c r="G8724" t="s">
        <v>27247</v>
      </c>
      <c r="H8724" t="s">
        <v>27248</v>
      </c>
      <c r="I8724" t="s">
        <v>44166</v>
      </c>
      <c r="J8724" t="s">
        <v>17405</v>
      </c>
      <c r="L8724" t="s">
        <v>27250</v>
      </c>
      <c r="M8724" t="s">
        <v>27251</v>
      </c>
      <c r="N8724" t="s">
        <v>27252</v>
      </c>
      <c r="Q8724" s="1">
        <v>44538</v>
      </c>
      <c r="R8724" t="s">
        <v>27253</v>
      </c>
      <c r="S8724" t="s">
        <v>27254</v>
      </c>
      <c r="T8724" t="s">
        <v>27255</v>
      </c>
    </row>
    <row r="8725" spans="1:20" x14ac:dyDescent="0.3">
      <c r="A8725" t="str">
        <f>"0611840463100"</f>
        <v>0611840463100</v>
      </c>
      <c r="B8725" t="str">
        <f>"LK1887"</f>
        <v>LK1887</v>
      </c>
      <c r="C8725" t="s">
        <v>44167</v>
      </c>
      <c r="D8725" t="s">
        <v>27245</v>
      </c>
      <c r="E8725" t="str">
        <f t="shared" si="136"/>
        <v>001390</v>
      </c>
      <c r="F8725" t="s">
        <v>27246</v>
      </c>
      <c r="G8725" t="s">
        <v>27247</v>
      </c>
      <c r="H8725" t="s">
        <v>27248</v>
      </c>
      <c r="I8725" t="s">
        <v>44168</v>
      </c>
      <c r="J8725" t="s">
        <v>17407</v>
      </c>
      <c r="L8725" t="s">
        <v>27250</v>
      </c>
      <c r="M8725" t="s">
        <v>27251</v>
      </c>
      <c r="N8725" t="s">
        <v>27252</v>
      </c>
      <c r="Q8725" s="1">
        <v>44538</v>
      </c>
      <c r="R8725" t="s">
        <v>27253</v>
      </c>
      <c r="S8725" t="s">
        <v>27254</v>
      </c>
      <c r="T8725" t="s">
        <v>27255</v>
      </c>
    </row>
    <row r="8726" spans="1:20" x14ac:dyDescent="0.3">
      <c r="A8726" t="str">
        <f>"0611840464100"</f>
        <v>0611840464100</v>
      </c>
      <c r="B8726" t="str">
        <f>"LK1973"</f>
        <v>LK1973</v>
      </c>
      <c r="C8726" t="s">
        <v>44169</v>
      </c>
      <c r="D8726" t="s">
        <v>27245</v>
      </c>
      <c r="E8726" t="str">
        <f t="shared" si="136"/>
        <v>001390</v>
      </c>
      <c r="F8726" t="s">
        <v>27246</v>
      </c>
      <c r="G8726" t="s">
        <v>27247</v>
      </c>
      <c r="H8726" t="s">
        <v>27248</v>
      </c>
      <c r="I8726" t="s">
        <v>44170</v>
      </c>
      <c r="J8726" t="s">
        <v>17409</v>
      </c>
      <c r="L8726" t="s">
        <v>27250</v>
      </c>
      <c r="M8726" t="s">
        <v>27251</v>
      </c>
      <c r="N8726" t="s">
        <v>27252</v>
      </c>
      <c r="Q8726" s="1">
        <v>44538</v>
      </c>
      <c r="R8726" t="s">
        <v>27253</v>
      </c>
      <c r="S8726" t="s">
        <v>27254</v>
      </c>
      <c r="T8726" t="s">
        <v>27255</v>
      </c>
    </row>
    <row r="8727" spans="1:20" x14ac:dyDescent="0.3">
      <c r="A8727" t="str">
        <f>"0611840465100"</f>
        <v>0611840465100</v>
      </c>
      <c r="B8727" t="str">
        <f>"LK1888"</f>
        <v>LK1888</v>
      </c>
      <c r="C8727" t="s">
        <v>44171</v>
      </c>
      <c r="D8727" t="s">
        <v>27245</v>
      </c>
      <c r="E8727" t="str">
        <f t="shared" si="136"/>
        <v>001390</v>
      </c>
      <c r="F8727" t="s">
        <v>27246</v>
      </c>
      <c r="G8727" t="s">
        <v>27247</v>
      </c>
      <c r="H8727" t="s">
        <v>27248</v>
      </c>
      <c r="I8727" t="s">
        <v>44172</v>
      </c>
      <c r="J8727" t="s">
        <v>17411</v>
      </c>
      <c r="L8727" t="s">
        <v>27250</v>
      </c>
      <c r="M8727" t="s">
        <v>27251</v>
      </c>
      <c r="N8727" t="s">
        <v>27252</v>
      </c>
      <c r="Q8727" s="1">
        <v>44538</v>
      </c>
      <c r="R8727" t="s">
        <v>27253</v>
      </c>
      <c r="S8727" t="s">
        <v>27254</v>
      </c>
      <c r="T8727" t="s">
        <v>27255</v>
      </c>
    </row>
    <row r="8728" spans="1:20" x14ac:dyDescent="0.3">
      <c r="A8728" t="str">
        <f>"0611840466100"</f>
        <v>0611840466100</v>
      </c>
      <c r="B8728" t="str">
        <f>"LK5051"</f>
        <v>LK5051</v>
      </c>
      <c r="C8728" t="s">
        <v>44173</v>
      </c>
      <c r="D8728" t="s">
        <v>27245</v>
      </c>
      <c r="E8728" t="str">
        <f t="shared" si="136"/>
        <v>001390</v>
      </c>
      <c r="F8728" t="s">
        <v>27246</v>
      </c>
      <c r="G8728" t="s">
        <v>27247</v>
      </c>
      <c r="H8728" t="s">
        <v>27248</v>
      </c>
      <c r="I8728" t="s">
        <v>44174</v>
      </c>
      <c r="J8728" t="s">
        <v>17413</v>
      </c>
      <c r="L8728" t="s">
        <v>27250</v>
      </c>
      <c r="M8728" t="s">
        <v>27251</v>
      </c>
      <c r="N8728" t="s">
        <v>27252</v>
      </c>
      <c r="Q8728" s="1">
        <v>44538</v>
      </c>
      <c r="R8728" t="s">
        <v>27253</v>
      </c>
      <c r="S8728" t="s">
        <v>27254</v>
      </c>
      <c r="T8728" t="s">
        <v>27255</v>
      </c>
    </row>
    <row r="8729" spans="1:20" x14ac:dyDescent="0.3">
      <c r="A8729" t="str">
        <f>"0611840467100"</f>
        <v>0611840467100</v>
      </c>
      <c r="B8729" t="str">
        <f>"LK5052"</f>
        <v>LK5052</v>
      </c>
      <c r="C8729" t="s">
        <v>44175</v>
      </c>
      <c r="D8729" t="s">
        <v>27245</v>
      </c>
      <c r="E8729" t="str">
        <f t="shared" si="136"/>
        <v>001390</v>
      </c>
      <c r="F8729" t="s">
        <v>27246</v>
      </c>
      <c r="G8729" t="s">
        <v>27247</v>
      </c>
      <c r="H8729" t="s">
        <v>27248</v>
      </c>
      <c r="I8729" t="s">
        <v>44176</v>
      </c>
      <c r="J8729" t="s">
        <v>17415</v>
      </c>
      <c r="L8729" t="s">
        <v>27250</v>
      </c>
      <c r="M8729" t="s">
        <v>27251</v>
      </c>
      <c r="N8729" t="s">
        <v>27252</v>
      </c>
      <c r="O8729">
        <v>100</v>
      </c>
      <c r="Q8729" s="1">
        <v>44538</v>
      </c>
      <c r="R8729" t="s">
        <v>27253</v>
      </c>
      <c r="S8729" t="s">
        <v>27254</v>
      </c>
      <c r="T8729" t="s">
        <v>27255</v>
      </c>
    </row>
    <row r="8730" spans="1:20" x14ac:dyDescent="0.3">
      <c r="A8730" t="str">
        <f>"0611840468100"</f>
        <v>0611840468100</v>
      </c>
      <c r="B8730" t="str">
        <f>"LK1889"</f>
        <v>LK1889</v>
      </c>
      <c r="C8730" t="s">
        <v>44177</v>
      </c>
      <c r="D8730" t="s">
        <v>27245</v>
      </c>
      <c r="E8730" t="str">
        <f t="shared" si="136"/>
        <v>001390</v>
      </c>
      <c r="F8730" t="s">
        <v>27246</v>
      </c>
      <c r="G8730" t="s">
        <v>27247</v>
      </c>
      <c r="H8730" t="s">
        <v>27248</v>
      </c>
      <c r="I8730" t="s">
        <v>44178</v>
      </c>
      <c r="J8730" t="s">
        <v>17417</v>
      </c>
      <c r="L8730" t="s">
        <v>27250</v>
      </c>
      <c r="M8730" t="s">
        <v>27251</v>
      </c>
      <c r="N8730" t="s">
        <v>27252</v>
      </c>
      <c r="Q8730" s="1">
        <v>44538</v>
      </c>
      <c r="R8730" t="s">
        <v>27253</v>
      </c>
      <c r="S8730" t="s">
        <v>27254</v>
      </c>
      <c r="T8730" t="s">
        <v>27255</v>
      </c>
    </row>
    <row r="8731" spans="1:20" x14ac:dyDescent="0.3">
      <c r="A8731" t="str">
        <f>"0611840469100"</f>
        <v>0611840469100</v>
      </c>
      <c r="B8731" t="str">
        <f>"LK1890"</f>
        <v>LK1890</v>
      </c>
      <c r="C8731" t="s">
        <v>44179</v>
      </c>
      <c r="D8731" t="s">
        <v>27245</v>
      </c>
      <c r="E8731" t="str">
        <f t="shared" si="136"/>
        <v>001390</v>
      </c>
      <c r="F8731" t="s">
        <v>27246</v>
      </c>
      <c r="G8731" t="s">
        <v>27247</v>
      </c>
      <c r="H8731" t="s">
        <v>27248</v>
      </c>
      <c r="I8731" t="s">
        <v>44180</v>
      </c>
      <c r="J8731" t="s">
        <v>17419</v>
      </c>
      <c r="L8731" t="s">
        <v>27250</v>
      </c>
      <c r="M8731" t="s">
        <v>27251</v>
      </c>
      <c r="N8731" t="s">
        <v>27252</v>
      </c>
      <c r="Q8731" s="1">
        <v>44538</v>
      </c>
      <c r="R8731" t="s">
        <v>27253</v>
      </c>
      <c r="S8731" t="s">
        <v>27254</v>
      </c>
      <c r="T8731" t="s">
        <v>27255</v>
      </c>
    </row>
    <row r="8732" spans="1:20" x14ac:dyDescent="0.3">
      <c r="A8732" t="str">
        <f>"0611840470100"</f>
        <v>0611840470100</v>
      </c>
      <c r="B8732" t="str">
        <f>"LK5864"</f>
        <v>LK5864</v>
      </c>
      <c r="C8732" t="s">
        <v>44181</v>
      </c>
      <c r="D8732" t="s">
        <v>27245</v>
      </c>
      <c r="E8732" t="str">
        <f t="shared" si="136"/>
        <v>001390</v>
      </c>
      <c r="F8732" t="s">
        <v>27246</v>
      </c>
      <c r="G8732" t="s">
        <v>27247</v>
      </c>
      <c r="H8732" t="s">
        <v>27248</v>
      </c>
      <c r="I8732" t="s">
        <v>44182</v>
      </c>
      <c r="J8732" t="s">
        <v>17421</v>
      </c>
      <c r="L8732" t="s">
        <v>27250</v>
      </c>
      <c r="M8732" t="s">
        <v>27251</v>
      </c>
      <c r="N8732" t="s">
        <v>27252</v>
      </c>
      <c r="Q8732" s="1">
        <v>44538</v>
      </c>
      <c r="R8732" t="s">
        <v>27253</v>
      </c>
      <c r="S8732" t="s">
        <v>27254</v>
      </c>
      <c r="T8732" t="s">
        <v>27255</v>
      </c>
    </row>
    <row r="8733" spans="1:20" x14ac:dyDescent="0.3">
      <c r="A8733" t="str">
        <f>"0611840471100"</f>
        <v>0611840471100</v>
      </c>
      <c r="B8733" t="str">
        <f>"LQ3644"</f>
        <v>LQ3644</v>
      </c>
      <c r="C8733" t="s">
        <v>44183</v>
      </c>
      <c r="D8733" t="s">
        <v>27245</v>
      </c>
      <c r="E8733" t="str">
        <f t="shared" si="136"/>
        <v>001390</v>
      </c>
      <c r="F8733" t="s">
        <v>27246</v>
      </c>
      <c r="G8733" t="s">
        <v>27247</v>
      </c>
      <c r="H8733" t="s">
        <v>27248</v>
      </c>
      <c r="I8733" t="s">
        <v>44184</v>
      </c>
      <c r="J8733" t="s">
        <v>17423</v>
      </c>
      <c r="L8733" t="s">
        <v>27250</v>
      </c>
      <c r="M8733" t="s">
        <v>27251</v>
      </c>
      <c r="N8733" t="s">
        <v>27252</v>
      </c>
      <c r="Q8733" s="1">
        <v>44538</v>
      </c>
      <c r="R8733" t="s">
        <v>27253</v>
      </c>
      <c r="S8733" t="s">
        <v>27254</v>
      </c>
      <c r="T8733" t="s">
        <v>27255</v>
      </c>
    </row>
    <row r="8734" spans="1:20" x14ac:dyDescent="0.3">
      <c r="A8734" t="str">
        <f>"0611840472100"</f>
        <v>0611840472100</v>
      </c>
      <c r="B8734" t="str">
        <f>"LK3914"</f>
        <v>LK3914</v>
      </c>
      <c r="C8734" t="s">
        <v>44185</v>
      </c>
      <c r="D8734" t="s">
        <v>27245</v>
      </c>
      <c r="E8734" t="str">
        <f t="shared" si="136"/>
        <v>001390</v>
      </c>
      <c r="F8734" t="s">
        <v>27246</v>
      </c>
      <c r="G8734" t="s">
        <v>27247</v>
      </c>
      <c r="H8734" t="s">
        <v>27248</v>
      </c>
      <c r="I8734" t="s">
        <v>44186</v>
      </c>
      <c r="J8734" t="s">
        <v>17425</v>
      </c>
      <c r="L8734" t="s">
        <v>27250</v>
      </c>
      <c r="M8734" t="s">
        <v>27251</v>
      </c>
      <c r="N8734" t="s">
        <v>27252</v>
      </c>
      <c r="Q8734" s="1">
        <v>44538</v>
      </c>
      <c r="R8734" t="s">
        <v>27253</v>
      </c>
      <c r="S8734" t="s">
        <v>27254</v>
      </c>
      <c r="T8734" t="s">
        <v>27255</v>
      </c>
    </row>
    <row r="8735" spans="1:20" x14ac:dyDescent="0.3">
      <c r="A8735" t="str">
        <f>"0611840475100"</f>
        <v>0611840475100</v>
      </c>
      <c r="B8735" t="str">
        <f>"LK3438"</f>
        <v>LK3438</v>
      </c>
      <c r="C8735" t="s">
        <v>44187</v>
      </c>
      <c r="D8735" t="s">
        <v>27245</v>
      </c>
      <c r="E8735" t="str">
        <f t="shared" si="136"/>
        <v>001390</v>
      </c>
      <c r="F8735" t="s">
        <v>27246</v>
      </c>
      <c r="G8735" t="s">
        <v>27247</v>
      </c>
      <c r="H8735" t="s">
        <v>27248</v>
      </c>
      <c r="I8735" t="s">
        <v>44188</v>
      </c>
      <c r="J8735" t="s">
        <v>17427</v>
      </c>
      <c r="L8735" t="s">
        <v>27250</v>
      </c>
      <c r="M8735" t="s">
        <v>27251</v>
      </c>
      <c r="N8735" t="s">
        <v>27252</v>
      </c>
      <c r="Q8735" s="1">
        <v>44538</v>
      </c>
      <c r="R8735" t="s">
        <v>27253</v>
      </c>
      <c r="S8735" t="s">
        <v>27254</v>
      </c>
      <c r="T8735" t="s">
        <v>27255</v>
      </c>
    </row>
    <row r="8736" spans="1:20" x14ac:dyDescent="0.3">
      <c r="A8736" t="str">
        <f>"0611840476100"</f>
        <v>0611840476100</v>
      </c>
      <c r="B8736" t="str">
        <f>"LK1892"</f>
        <v>LK1892</v>
      </c>
      <c r="C8736" t="s">
        <v>44189</v>
      </c>
      <c r="D8736" t="s">
        <v>27245</v>
      </c>
      <c r="E8736" t="str">
        <f t="shared" si="136"/>
        <v>001390</v>
      </c>
      <c r="F8736" t="s">
        <v>27246</v>
      </c>
      <c r="G8736" t="s">
        <v>27247</v>
      </c>
      <c r="H8736" t="s">
        <v>27248</v>
      </c>
      <c r="I8736" t="s">
        <v>44190</v>
      </c>
      <c r="J8736" t="s">
        <v>17429</v>
      </c>
      <c r="L8736" t="s">
        <v>27250</v>
      </c>
      <c r="M8736" t="s">
        <v>27251</v>
      </c>
      <c r="N8736" t="s">
        <v>27252</v>
      </c>
      <c r="Q8736" s="1">
        <v>44538</v>
      </c>
      <c r="R8736" t="s">
        <v>27253</v>
      </c>
      <c r="S8736" t="s">
        <v>27254</v>
      </c>
      <c r="T8736" t="s">
        <v>27255</v>
      </c>
    </row>
    <row r="8737" spans="1:20" x14ac:dyDescent="0.3">
      <c r="A8737" t="str">
        <f>"0611840477100"</f>
        <v>0611840477100</v>
      </c>
      <c r="B8737" t="str">
        <f>"LK3915"</f>
        <v>LK3915</v>
      </c>
      <c r="C8737" t="s">
        <v>44191</v>
      </c>
      <c r="D8737" t="s">
        <v>27245</v>
      </c>
      <c r="E8737" t="str">
        <f t="shared" si="136"/>
        <v>001390</v>
      </c>
      <c r="F8737" t="s">
        <v>27246</v>
      </c>
      <c r="G8737" t="s">
        <v>27247</v>
      </c>
      <c r="H8737" t="s">
        <v>27248</v>
      </c>
      <c r="I8737" t="s">
        <v>44192</v>
      </c>
      <c r="J8737" t="s">
        <v>17431</v>
      </c>
      <c r="L8737" t="s">
        <v>27250</v>
      </c>
      <c r="M8737" t="s">
        <v>27251</v>
      </c>
      <c r="N8737" t="s">
        <v>27252</v>
      </c>
      <c r="Q8737" s="1">
        <v>44538</v>
      </c>
      <c r="R8737" t="s">
        <v>27253</v>
      </c>
      <c r="S8737" t="s">
        <v>27254</v>
      </c>
      <c r="T8737" t="s">
        <v>27255</v>
      </c>
    </row>
    <row r="8738" spans="1:20" x14ac:dyDescent="0.3">
      <c r="A8738" t="str">
        <f>"0611840478100"</f>
        <v>0611840478100</v>
      </c>
      <c r="B8738" t="str">
        <f>"LK3916"</f>
        <v>LK3916</v>
      </c>
      <c r="C8738" t="s">
        <v>44193</v>
      </c>
      <c r="D8738" t="s">
        <v>27245</v>
      </c>
      <c r="E8738" t="str">
        <f t="shared" si="136"/>
        <v>001390</v>
      </c>
      <c r="F8738" t="s">
        <v>27246</v>
      </c>
      <c r="G8738" t="s">
        <v>27247</v>
      </c>
      <c r="H8738" t="s">
        <v>27248</v>
      </c>
      <c r="I8738" t="s">
        <v>44194</v>
      </c>
      <c r="J8738" t="s">
        <v>17433</v>
      </c>
      <c r="L8738" t="s">
        <v>27250</v>
      </c>
      <c r="M8738" t="s">
        <v>27251</v>
      </c>
      <c r="N8738" t="s">
        <v>27252</v>
      </c>
      <c r="Q8738" s="1">
        <v>44538</v>
      </c>
      <c r="R8738" t="s">
        <v>27253</v>
      </c>
      <c r="S8738" t="s">
        <v>27254</v>
      </c>
      <c r="T8738" t="s">
        <v>27255</v>
      </c>
    </row>
    <row r="8739" spans="1:20" x14ac:dyDescent="0.3">
      <c r="A8739" t="str">
        <f>"0611840479100"</f>
        <v>0611840479100</v>
      </c>
      <c r="B8739" t="str">
        <f>"LK2719"</f>
        <v>LK2719</v>
      </c>
      <c r="C8739" t="s">
        <v>44195</v>
      </c>
      <c r="D8739" t="s">
        <v>27245</v>
      </c>
      <c r="E8739" t="str">
        <f t="shared" si="136"/>
        <v>001390</v>
      </c>
      <c r="F8739" t="s">
        <v>27246</v>
      </c>
      <c r="G8739" t="s">
        <v>27247</v>
      </c>
      <c r="H8739" t="s">
        <v>27248</v>
      </c>
      <c r="I8739" t="s">
        <v>44196</v>
      </c>
      <c r="J8739" t="s">
        <v>17435</v>
      </c>
      <c r="L8739" t="s">
        <v>27250</v>
      </c>
      <c r="M8739" t="s">
        <v>27251</v>
      </c>
      <c r="N8739" t="s">
        <v>27252</v>
      </c>
      <c r="Q8739" s="1">
        <v>44538</v>
      </c>
      <c r="R8739" t="s">
        <v>27253</v>
      </c>
      <c r="S8739" t="s">
        <v>27254</v>
      </c>
      <c r="T8739" t="s">
        <v>27255</v>
      </c>
    </row>
    <row r="8740" spans="1:20" x14ac:dyDescent="0.3">
      <c r="A8740" t="str">
        <f>"0611840480100"</f>
        <v>0611840480100</v>
      </c>
      <c r="B8740" t="str">
        <f>"LK4501"</f>
        <v>LK4501</v>
      </c>
      <c r="C8740" t="s">
        <v>44197</v>
      </c>
      <c r="D8740" t="s">
        <v>27245</v>
      </c>
      <c r="E8740" t="str">
        <f t="shared" si="136"/>
        <v>001390</v>
      </c>
      <c r="F8740" t="s">
        <v>27246</v>
      </c>
      <c r="G8740" t="s">
        <v>27247</v>
      </c>
      <c r="H8740" t="s">
        <v>27248</v>
      </c>
      <c r="I8740" t="s">
        <v>44198</v>
      </c>
      <c r="J8740" t="s">
        <v>17437</v>
      </c>
      <c r="L8740" t="s">
        <v>27250</v>
      </c>
      <c r="M8740" t="s">
        <v>27251</v>
      </c>
      <c r="N8740" t="s">
        <v>27252</v>
      </c>
      <c r="Q8740" s="1">
        <v>44538</v>
      </c>
      <c r="R8740" t="s">
        <v>27253</v>
      </c>
      <c r="S8740" t="s">
        <v>27254</v>
      </c>
      <c r="T8740" t="s">
        <v>27255</v>
      </c>
    </row>
    <row r="8741" spans="1:20" x14ac:dyDescent="0.3">
      <c r="A8741" t="str">
        <f>"0611840481100"</f>
        <v>0611840481100</v>
      </c>
      <c r="B8741" t="str">
        <f>"LK4502"</f>
        <v>LK4502</v>
      </c>
      <c r="C8741" t="s">
        <v>44199</v>
      </c>
      <c r="D8741" t="s">
        <v>27245</v>
      </c>
      <c r="E8741" t="str">
        <f t="shared" si="136"/>
        <v>001390</v>
      </c>
      <c r="F8741" t="s">
        <v>27246</v>
      </c>
      <c r="G8741" t="s">
        <v>27247</v>
      </c>
      <c r="H8741" t="s">
        <v>27248</v>
      </c>
      <c r="I8741" t="s">
        <v>44200</v>
      </c>
      <c r="J8741" t="s">
        <v>17439</v>
      </c>
      <c r="L8741" t="s">
        <v>27250</v>
      </c>
      <c r="M8741" t="s">
        <v>27251</v>
      </c>
      <c r="N8741" t="s">
        <v>27252</v>
      </c>
      <c r="Q8741" s="1">
        <v>44538</v>
      </c>
      <c r="R8741" t="s">
        <v>27253</v>
      </c>
      <c r="S8741" t="s">
        <v>27254</v>
      </c>
      <c r="T8741" t="s">
        <v>27255</v>
      </c>
    </row>
    <row r="8742" spans="1:20" x14ac:dyDescent="0.3">
      <c r="A8742" t="str">
        <f>"0611840482100"</f>
        <v>0611840482100</v>
      </c>
      <c r="B8742" t="str">
        <f>"LK4876"</f>
        <v>LK4876</v>
      </c>
      <c r="C8742" t="s">
        <v>44201</v>
      </c>
      <c r="D8742" t="s">
        <v>27245</v>
      </c>
      <c r="E8742" t="str">
        <f t="shared" si="136"/>
        <v>001390</v>
      </c>
      <c r="F8742" t="s">
        <v>27246</v>
      </c>
      <c r="G8742" t="s">
        <v>27247</v>
      </c>
      <c r="H8742" t="s">
        <v>27248</v>
      </c>
      <c r="I8742" t="s">
        <v>44202</v>
      </c>
      <c r="J8742" t="s">
        <v>17441</v>
      </c>
      <c r="L8742" t="s">
        <v>27250</v>
      </c>
      <c r="M8742" t="s">
        <v>27251</v>
      </c>
      <c r="N8742" t="s">
        <v>27252</v>
      </c>
      <c r="Q8742" s="1">
        <v>44538</v>
      </c>
      <c r="R8742" t="s">
        <v>27253</v>
      </c>
      <c r="S8742" t="s">
        <v>27254</v>
      </c>
      <c r="T8742" t="s">
        <v>27255</v>
      </c>
    </row>
    <row r="8743" spans="1:20" x14ac:dyDescent="0.3">
      <c r="A8743" t="str">
        <f>"0611840483100"</f>
        <v>0611840483100</v>
      </c>
      <c r="B8743" t="str">
        <f>"LK3439"</f>
        <v>LK3439</v>
      </c>
      <c r="C8743" t="s">
        <v>44203</v>
      </c>
      <c r="D8743" t="s">
        <v>27245</v>
      </c>
      <c r="E8743" t="str">
        <f t="shared" si="136"/>
        <v>001390</v>
      </c>
      <c r="F8743" t="s">
        <v>27246</v>
      </c>
      <c r="G8743" t="s">
        <v>27247</v>
      </c>
      <c r="H8743" t="s">
        <v>27248</v>
      </c>
      <c r="I8743" t="s">
        <v>44204</v>
      </c>
      <c r="J8743" t="s">
        <v>17443</v>
      </c>
      <c r="L8743" t="s">
        <v>27250</v>
      </c>
      <c r="M8743" t="s">
        <v>27251</v>
      </c>
      <c r="N8743" t="s">
        <v>27252</v>
      </c>
      <c r="Q8743" s="1">
        <v>44538</v>
      </c>
      <c r="R8743" t="s">
        <v>27253</v>
      </c>
      <c r="S8743" t="s">
        <v>27254</v>
      </c>
      <c r="T8743" t="s">
        <v>27255</v>
      </c>
    </row>
    <row r="8744" spans="1:20" x14ac:dyDescent="0.3">
      <c r="A8744" t="str">
        <f>"0611840484100"</f>
        <v>0611840484100</v>
      </c>
      <c r="B8744" t="str">
        <f>"LK5863"</f>
        <v>LK5863</v>
      </c>
      <c r="C8744" t="s">
        <v>44205</v>
      </c>
      <c r="D8744" t="s">
        <v>27245</v>
      </c>
      <c r="E8744" t="str">
        <f t="shared" si="136"/>
        <v>001390</v>
      </c>
      <c r="F8744" t="s">
        <v>27246</v>
      </c>
      <c r="G8744" t="s">
        <v>27247</v>
      </c>
      <c r="H8744" t="s">
        <v>27248</v>
      </c>
      <c r="I8744" t="s">
        <v>44206</v>
      </c>
      <c r="J8744" t="s">
        <v>17445</v>
      </c>
      <c r="L8744" t="s">
        <v>27250</v>
      </c>
      <c r="M8744" t="s">
        <v>27251</v>
      </c>
      <c r="N8744" t="s">
        <v>27252</v>
      </c>
      <c r="Q8744" s="1">
        <v>44538</v>
      </c>
      <c r="R8744" t="s">
        <v>27253</v>
      </c>
      <c r="S8744" t="s">
        <v>27254</v>
      </c>
      <c r="T8744" t="s">
        <v>27255</v>
      </c>
    </row>
    <row r="8745" spans="1:20" x14ac:dyDescent="0.3">
      <c r="A8745" t="str">
        <f>"0611840486100"</f>
        <v>0611840486100</v>
      </c>
      <c r="B8745" t="str">
        <f>"LK1893"</f>
        <v>LK1893</v>
      </c>
      <c r="C8745" t="s">
        <v>44207</v>
      </c>
      <c r="D8745" t="s">
        <v>27245</v>
      </c>
      <c r="E8745" t="str">
        <f t="shared" si="136"/>
        <v>001390</v>
      </c>
      <c r="F8745" t="s">
        <v>27246</v>
      </c>
      <c r="G8745" t="s">
        <v>27247</v>
      </c>
      <c r="H8745" t="s">
        <v>27248</v>
      </c>
      <c r="I8745" t="s">
        <v>44208</v>
      </c>
      <c r="J8745" t="s">
        <v>17447</v>
      </c>
      <c r="L8745" t="s">
        <v>27250</v>
      </c>
      <c r="M8745" t="s">
        <v>27251</v>
      </c>
      <c r="N8745" t="s">
        <v>27252</v>
      </c>
      <c r="Q8745" s="1">
        <v>44538</v>
      </c>
      <c r="R8745" t="s">
        <v>27253</v>
      </c>
      <c r="S8745" t="s">
        <v>27254</v>
      </c>
      <c r="T8745" t="s">
        <v>27255</v>
      </c>
    </row>
    <row r="8746" spans="1:20" x14ac:dyDescent="0.3">
      <c r="A8746" t="str">
        <f>"0611840487100"</f>
        <v>0611840487100</v>
      </c>
      <c r="B8746" t="str">
        <f>"LK4504"</f>
        <v>LK4504</v>
      </c>
      <c r="C8746" t="s">
        <v>44209</v>
      </c>
      <c r="D8746" t="s">
        <v>27245</v>
      </c>
      <c r="E8746" t="str">
        <f t="shared" si="136"/>
        <v>001390</v>
      </c>
      <c r="F8746" t="s">
        <v>27246</v>
      </c>
      <c r="G8746" t="s">
        <v>27247</v>
      </c>
      <c r="H8746" t="s">
        <v>27248</v>
      </c>
      <c r="I8746" t="s">
        <v>44210</v>
      </c>
      <c r="J8746" t="s">
        <v>17449</v>
      </c>
      <c r="L8746" t="s">
        <v>27250</v>
      </c>
      <c r="M8746" t="s">
        <v>27251</v>
      </c>
      <c r="N8746" t="s">
        <v>27252</v>
      </c>
      <c r="Q8746" s="1">
        <v>44538</v>
      </c>
      <c r="R8746" t="s">
        <v>27253</v>
      </c>
      <c r="S8746" t="s">
        <v>27254</v>
      </c>
      <c r="T8746" t="s">
        <v>27255</v>
      </c>
    </row>
    <row r="8747" spans="1:20" x14ac:dyDescent="0.3">
      <c r="A8747" t="str">
        <f>"0611840488100"</f>
        <v>0611840488100</v>
      </c>
      <c r="B8747" t="str">
        <f>"LK4505"</f>
        <v>LK4505</v>
      </c>
      <c r="C8747" t="s">
        <v>44211</v>
      </c>
      <c r="D8747" t="s">
        <v>27245</v>
      </c>
      <c r="E8747" t="str">
        <f t="shared" si="136"/>
        <v>001390</v>
      </c>
      <c r="F8747" t="s">
        <v>27246</v>
      </c>
      <c r="G8747" t="s">
        <v>27247</v>
      </c>
      <c r="H8747" t="s">
        <v>27248</v>
      </c>
      <c r="I8747" t="s">
        <v>44212</v>
      </c>
      <c r="J8747" t="s">
        <v>17451</v>
      </c>
      <c r="L8747" t="s">
        <v>27250</v>
      </c>
      <c r="M8747" t="s">
        <v>27251</v>
      </c>
      <c r="N8747" t="s">
        <v>27252</v>
      </c>
      <c r="Q8747" s="1">
        <v>44538</v>
      </c>
      <c r="R8747" t="s">
        <v>27253</v>
      </c>
      <c r="S8747" t="s">
        <v>27254</v>
      </c>
      <c r="T8747" t="s">
        <v>27255</v>
      </c>
    </row>
    <row r="8748" spans="1:20" x14ac:dyDescent="0.3">
      <c r="A8748" t="str">
        <f>"0611840489100"</f>
        <v>0611840489100</v>
      </c>
      <c r="B8748" t="str">
        <f>"LK4877"</f>
        <v>LK4877</v>
      </c>
      <c r="C8748" t="s">
        <v>44213</v>
      </c>
      <c r="D8748" t="s">
        <v>27245</v>
      </c>
      <c r="E8748" t="str">
        <f t="shared" si="136"/>
        <v>001390</v>
      </c>
      <c r="F8748" t="s">
        <v>27246</v>
      </c>
      <c r="G8748" t="s">
        <v>27247</v>
      </c>
      <c r="H8748" t="s">
        <v>27248</v>
      </c>
      <c r="I8748" t="s">
        <v>44214</v>
      </c>
      <c r="J8748" t="s">
        <v>17453</v>
      </c>
      <c r="L8748" t="s">
        <v>27250</v>
      </c>
      <c r="M8748" t="s">
        <v>27251</v>
      </c>
      <c r="N8748" t="s">
        <v>27252</v>
      </c>
      <c r="Q8748" s="1">
        <v>44538</v>
      </c>
      <c r="R8748" t="s">
        <v>27253</v>
      </c>
      <c r="S8748" t="s">
        <v>27254</v>
      </c>
      <c r="T8748" t="s">
        <v>27255</v>
      </c>
    </row>
    <row r="8749" spans="1:20" x14ac:dyDescent="0.3">
      <c r="A8749" t="str">
        <f>"0611840490100"</f>
        <v>0611840490100</v>
      </c>
      <c r="B8749" t="str">
        <f>"LK4878"</f>
        <v>LK4878</v>
      </c>
      <c r="C8749" t="s">
        <v>44215</v>
      </c>
      <c r="D8749" t="s">
        <v>27245</v>
      </c>
      <c r="E8749" t="str">
        <f t="shared" si="136"/>
        <v>001390</v>
      </c>
      <c r="F8749" t="s">
        <v>27246</v>
      </c>
      <c r="G8749" t="s">
        <v>27247</v>
      </c>
      <c r="H8749" t="s">
        <v>27248</v>
      </c>
      <c r="I8749" t="s">
        <v>44216</v>
      </c>
      <c r="J8749" t="s">
        <v>17455</v>
      </c>
      <c r="L8749" t="s">
        <v>27250</v>
      </c>
      <c r="M8749" t="s">
        <v>27251</v>
      </c>
      <c r="N8749" t="s">
        <v>27252</v>
      </c>
      <c r="Q8749" s="1">
        <v>44538</v>
      </c>
      <c r="R8749" t="s">
        <v>27253</v>
      </c>
      <c r="S8749" t="s">
        <v>27254</v>
      </c>
      <c r="T8749" t="s">
        <v>27255</v>
      </c>
    </row>
    <row r="8750" spans="1:20" x14ac:dyDescent="0.3">
      <c r="A8750" t="str">
        <f>"0611840491100"</f>
        <v>0611840491100</v>
      </c>
      <c r="B8750" t="str">
        <f>"LK1894"</f>
        <v>LK1894</v>
      </c>
      <c r="C8750" t="s">
        <v>44217</v>
      </c>
      <c r="D8750" t="s">
        <v>27245</v>
      </c>
      <c r="E8750" t="str">
        <f t="shared" si="136"/>
        <v>001390</v>
      </c>
      <c r="F8750" t="s">
        <v>27246</v>
      </c>
      <c r="G8750" t="s">
        <v>27247</v>
      </c>
      <c r="H8750" t="s">
        <v>27248</v>
      </c>
      <c r="I8750" t="s">
        <v>44218</v>
      </c>
      <c r="J8750" t="s">
        <v>17457</v>
      </c>
      <c r="L8750" t="s">
        <v>27250</v>
      </c>
      <c r="M8750" t="s">
        <v>27251</v>
      </c>
      <c r="N8750" t="s">
        <v>27252</v>
      </c>
      <c r="Q8750" s="1">
        <v>44538</v>
      </c>
      <c r="R8750" t="s">
        <v>27253</v>
      </c>
      <c r="S8750" t="s">
        <v>27254</v>
      </c>
      <c r="T8750" t="s">
        <v>27255</v>
      </c>
    </row>
    <row r="8751" spans="1:20" x14ac:dyDescent="0.3">
      <c r="A8751" t="str">
        <f>"0611840492100"</f>
        <v>0611840492100</v>
      </c>
      <c r="B8751" t="str">
        <f>"LK1895"</f>
        <v>LK1895</v>
      </c>
      <c r="C8751" t="s">
        <v>44219</v>
      </c>
      <c r="D8751" t="s">
        <v>27245</v>
      </c>
      <c r="E8751" t="str">
        <f t="shared" si="136"/>
        <v>001390</v>
      </c>
      <c r="F8751" t="s">
        <v>27246</v>
      </c>
      <c r="G8751" t="s">
        <v>27247</v>
      </c>
      <c r="H8751" t="s">
        <v>27248</v>
      </c>
      <c r="I8751" t="s">
        <v>44220</v>
      </c>
      <c r="J8751" t="s">
        <v>17459</v>
      </c>
      <c r="L8751" t="s">
        <v>27250</v>
      </c>
      <c r="M8751" t="s">
        <v>27251</v>
      </c>
      <c r="N8751" t="s">
        <v>27252</v>
      </c>
      <c r="Q8751" s="1">
        <v>44538</v>
      </c>
      <c r="R8751" t="s">
        <v>27253</v>
      </c>
      <c r="S8751" t="s">
        <v>27254</v>
      </c>
      <c r="T8751" t="s">
        <v>27255</v>
      </c>
    </row>
    <row r="8752" spans="1:20" x14ac:dyDescent="0.3">
      <c r="A8752" t="str">
        <f>"0611840493100"</f>
        <v>0611840493100</v>
      </c>
      <c r="B8752" t="str">
        <f>"LK6717"</f>
        <v>LK6717</v>
      </c>
      <c r="C8752" t="s">
        <v>44221</v>
      </c>
      <c r="D8752" t="s">
        <v>27245</v>
      </c>
      <c r="E8752" t="str">
        <f t="shared" si="136"/>
        <v>001390</v>
      </c>
      <c r="F8752" t="s">
        <v>27246</v>
      </c>
      <c r="G8752" t="s">
        <v>27247</v>
      </c>
      <c r="H8752" t="s">
        <v>27248</v>
      </c>
      <c r="I8752" t="s">
        <v>44222</v>
      </c>
      <c r="J8752" t="s">
        <v>17463</v>
      </c>
      <c r="L8752" t="s">
        <v>27250</v>
      </c>
      <c r="M8752" t="s">
        <v>27251</v>
      </c>
      <c r="N8752" t="s">
        <v>27252</v>
      </c>
      <c r="Q8752" s="1">
        <v>44538</v>
      </c>
      <c r="R8752" t="s">
        <v>27253</v>
      </c>
      <c r="S8752" t="s">
        <v>27254</v>
      </c>
      <c r="T8752" t="s">
        <v>27255</v>
      </c>
    </row>
    <row r="8753" spans="1:20" x14ac:dyDescent="0.3">
      <c r="A8753" t="str">
        <f>"0611840494100"</f>
        <v>0611840494100</v>
      </c>
      <c r="B8753" t="str">
        <f>"LK1896"</f>
        <v>LK1896</v>
      </c>
      <c r="C8753" t="s">
        <v>44223</v>
      </c>
      <c r="D8753" t="s">
        <v>27245</v>
      </c>
      <c r="E8753" t="str">
        <f t="shared" si="136"/>
        <v>001390</v>
      </c>
      <c r="F8753" t="s">
        <v>27246</v>
      </c>
      <c r="G8753" t="s">
        <v>27247</v>
      </c>
      <c r="H8753" t="s">
        <v>27248</v>
      </c>
      <c r="I8753" t="s">
        <v>44224</v>
      </c>
      <c r="J8753" t="s">
        <v>17461</v>
      </c>
      <c r="L8753" t="s">
        <v>27250</v>
      </c>
      <c r="M8753" t="s">
        <v>27251</v>
      </c>
      <c r="N8753" t="s">
        <v>27252</v>
      </c>
      <c r="Q8753" s="1">
        <v>44538</v>
      </c>
      <c r="R8753" t="s">
        <v>27253</v>
      </c>
      <c r="S8753" t="s">
        <v>27254</v>
      </c>
      <c r="T8753" t="s">
        <v>27255</v>
      </c>
    </row>
    <row r="8754" spans="1:20" x14ac:dyDescent="0.3">
      <c r="A8754" t="str">
        <f>"0611840495100"</f>
        <v>0611840495100</v>
      </c>
      <c r="B8754" t="str">
        <f>"LK1897"</f>
        <v>LK1897</v>
      </c>
      <c r="C8754" t="s">
        <v>44225</v>
      </c>
      <c r="D8754" t="s">
        <v>27245</v>
      </c>
      <c r="E8754" t="str">
        <f t="shared" si="136"/>
        <v>001390</v>
      </c>
      <c r="F8754" t="s">
        <v>27246</v>
      </c>
      <c r="G8754" t="s">
        <v>27247</v>
      </c>
      <c r="H8754" t="s">
        <v>27248</v>
      </c>
      <c r="I8754" t="s">
        <v>44226</v>
      </c>
      <c r="J8754" t="s">
        <v>17465</v>
      </c>
      <c r="L8754" t="s">
        <v>27250</v>
      </c>
      <c r="M8754" t="s">
        <v>27251</v>
      </c>
      <c r="N8754" t="s">
        <v>27252</v>
      </c>
      <c r="Q8754" s="1">
        <v>44538</v>
      </c>
      <c r="R8754" t="s">
        <v>27253</v>
      </c>
      <c r="S8754" t="s">
        <v>27254</v>
      </c>
      <c r="T8754" t="s">
        <v>27255</v>
      </c>
    </row>
    <row r="8755" spans="1:20" x14ac:dyDescent="0.3">
      <c r="A8755" t="str">
        <f>"0611840496100"</f>
        <v>0611840496100</v>
      </c>
      <c r="B8755" t="str">
        <f>"LS0091"</f>
        <v>LS0091</v>
      </c>
      <c r="C8755" t="s">
        <v>44227</v>
      </c>
      <c r="D8755" t="s">
        <v>27245</v>
      </c>
      <c r="E8755" t="str">
        <f t="shared" si="136"/>
        <v>001390</v>
      </c>
      <c r="F8755" t="s">
        <v>27246</v>
      </c>
      <c r="G8755" t="s">
        <v>27247</v>
      </c>
      <c r="H8755" t="s">
        <v>27248</v>
      </c>
      <c r="I8755" t="s">
        <v>44228</v>
      </c>
      <c r="J8755" t="s">
        <v>17467</v>
      </c>
      <c r="L8755" t="s">
        <v>27250</v>
      </c>
      <c r="M8755" t="s">
        <v>27251</v>
      </c>
      <c r="N8755" t="s">
        <v>27252</v>
      </c>
      <c r="Q8755" s="1">
        <v>44538</v>
      </c>
      <c r="R8755" t="s">
        <v>27253</v>
      </c>
      <c r="S8755" t="s">
        <v>27254</v>
      </c>
      <c r="T8755" t="s">
        <v>27255</v>
      </c>
    </row>
    <row r="8756" spans="1:20" x14ac:dyDescent="0.3">
      <c r="A8756" t="str">
        <f>"0611840497100"</f>
        <v>0611840497100</v>
      </c>
      <c r="B8756" t="str">
        <f>"LK3918"</f>
        <v>LK3918</v>
      </c>
      <c r="C8756" t="s">
        <v>44229</v>
      </c>
      <c r="D8756" t="s">
        <v>27245</v>
      </c>
      <c r="E8756" t="str">
        <f t="shared" si="136"/>
        <v>001390</v>
      </c>
      <c r="F8756" t="s">
        <v>27246</v>
      </c>
      <c r="G8756" t="s">
        <v>27247</v>
      </c>
      <c r="H8756" t="s">
        <v>27248</v>
      </c>
      <c r="I8756" t="s">
        <v>44230</v>
      </c>
      <c r="J8756" t="s">
        <v>17475</v>
      </c>
      <c r="L8756" t="s">
        <v>27250</v>
      </c>
      <c r="M8756" t="s">
        <v>27251</v>
      </c>
      <c r="N8756" t="s">
        <v>27252</v>
      </c>
      <c r="Q8756" s="1">
        <v>44538</v>
      </c>
      <c r="R8756" t="s">
        <v>27253</v>
      </c>
      <c r="S8756" t="s">
        <v>27254</v>
      </c>
      <c r="T8756" t="s">
        <v>27255</v>
      </c>
    </row>
    <row r="8757" spans="1:20" x14ac:dyDescent="0.3">
      <c r="A8757" t="str">
        <f>"0611840498100"</f>
        <v>0611840498100</v>
      </c>
      <c r="B8757" t="str">
        <f>"LK3919"</f>
        <v>LK3919</v>
      </c>
      <c r="C8757" t="s">
        <v>44231</v>
      </c>
      <c r="D8757" t="s">
        <v>27245</v>
      </c>
      <c r="E8757" t="str">
        <f t="shared" si="136"/>
        <v>001390</v>
      </c>
      <c r="F8757" t="s">
        <v>27246</v>
      </c>
      <c r="G8757" t="s">
        <v>27247</v>
      </c>
      <c r="H8757" t="s">
        <v>27248</v>
      </c>
      <c r="I8757" t="s">
        <v>44232</v>
      </c>
      <c r="J8757" t="s">
        <v>17477</v>
      </c>
      <c r="L8757" t="s">
        <v>27250</v>
      </c>
      <c r="M8757" t="s">
        <v>27251</v>
      </c>
      <c r="N8757" t="s">
        <v>27252</v>
      </c>
      <c r="Q8757" s="1">
        <v>44538</v>
      </c>
      <c r="R8757" t="s">
        <v>27253</v>
      </c>
      <c r="S8757" t="s">
        <v>27254</v>
      </c>
      <c r="T8757" t="s">
        <v>27255</v>
      </c>
    </row>
    <row r="8758" spans="1:20" x14ac:dyDescent="0.3">
      <c r="A8758" t="str">
        <f>"0611840499100"</f>
        <v>0611840499100</v>
      </c>
      <c r="B8758" t="str">
        <f>"LK3920"</f>
        <v>LK3920</v>
      </c>
      <c r="C8758" t="s">
        <v>44233</v>
      </c>
      <c r="D8758" t="s">
        <v>27245</v>
      </c>
      <c r="E8758" t="str">
        <f t="shared" si="136"/>
        <v>001390</v>
      </c>
      <c r="F8758" t="s">
        <v>27246</v>
      </c>
      <c r="G8758" t="s">
        <v>27247</v>
      </c>
      <c r="H8758" t="s">
        <v>27248</v>
      </c>
      <c r="I8758" t="s">
        <v>44234</v>
      </c>
      <c r="J8758" t="s">
        <v>17479</v>
      </c>
      <c r="L8758" t="s">
        <v>27250</v>
      </c>
      <c r="M8758" t="s">
        <v>27251</v>
      </c>
      <c r="N8758" t="s">
        <v>27252</v>
      </c>
      <c r="Q8758" s="1">
        <v>44538</v>
      </c>
      <c r="R8758" t="s">
        <v>27253</v>
      </c>
      <c r="S8758" t="s">
        <v>27254</v>
      </c>
      <c r="T8758" t="s">
        <v>27255</v>
      </c>
    </row>
    <row r="8759" spans="1:20" x14ac:dyDescent="0.3">
      <c r="A8759" t="str">
        <f>"0611840500100"</f>
        <v>0611840500100</v>
      </c>
      <c r="B8759" t="str">
        <f>"LK3922"</f>
        <v>LK3922</v>
      </c>
      <c r="C8759" t="s">
        <v>44235</v>
      </c>
      <c r="D8759" t="s">
        <v>27245</v>
      </c>
      <c r="E8759" t="str">
        <f t="shared" si="136"/>
        <v>001390</v>
      </c>
      <c r="F8759" t="s">
        <v>27246</v>
      </c>
      <c r="G8759" t="s">
        <v>27247</v>
      </c>
      <c r="H8759" t="s">
        <v>27248</v>
      </c>
      <c r="I8759" t="s">
        <v>44236</v>
      </c>
      <c r="J8759" t="s">
        <v>17481</v>
      </c>
      <c r="L8759" t="s">
        <v>27250</v>
      </c>
      <c r="M8759" t="s">
        <v>27251</v>
      </c>
      <c r="N8759" t="s">
        <v>27252</v>
      </c>
      <c r="Q8759" s="1">
        <v>44538</v>
      </c>
      <c r="R8759" t="s">
        <v>27253</v>
      </c>
      <c r="S8759" t="s">
        <v>27254</v>
      </c>
      <c r="T8759" t="s">
        <v>27255</v>
      </c>
    </row>
    <row r="8760" spans="1:20" x14ac:dyDescent="0.3">
      <c r="A8760" t="str">
        <f>"0611840501100"</f>
        <v>0611840501100</v>
      </c>
      <c r="B8760" t="str">
        <f>"LK3923"</f>
        <v>LK3923</v>
      </c>
      <c r="C8760" t="s">
        <v>44237</v>
      </c>
      <c r="D8760" t="s">
        <v>27245</v>
      </c>
      <c r="E8760" t="str">
        <f t="shared" si="136"/>
        <v>001390</v>
      </c>
      <c r="F8760" t="s">
        <v>27246</v>
      </c>
      <c r="G8760" t="s">
        <v>27247</v>
      </c>
      <c r="H8760" t="s">
        <v>27248</v>
      </c>
      <c r="I8760" t="s">
        <v>44238</v>
      </c>
      <c r="J8760" t="s">
        <v>17483</v>
      </c>
      <c r="L8760" t="s">
        <v>27250</v>
      </c>
      <c r="M8760" t="s">
        <v>27251</v>
      </c>
      <c r="N8760" t="s">
        <v>27252</v>
      </c>
      <c r="Q8760" s="1">
        <v>44538</v>
      </c>
      <c r="R8760" t="s">
        <v>27253</v>
      </c>
      <c r="S8760" t="s">
        <v>27254</v>
      </c>
      <c r="T8760" t="s">
        <v>27255</v>
      </c>
    </row>
    <row r="8761" spans="1:20" x14ac:dyDescent="0.3">
      <c r="A8761" t="str">
        <f>"0611840502100"</f>
        <v>0611840502100</v>
      </c>
      <c r="B8761" t="str">
        <f>"LK3924"</f>
        <v>LK3924</v>
      </c>
      <c r="C8761" t="s">
        <v>44239</v>
      </c>
      <c r="D8761" t="s">
        <v>27245</v>
      </c>
      <c r="E8761" t="str">
        <f t="shared" si="136"/>
        <v>001390</v>
      </c>
      <c r="F8761" t="s">
        <v>27246</v>
      </c>
      <c r="G8761" t="s">
        <v>27247</v>
      </c>
      <c r="H8761" t="s">
        <v>27248</v>
      </c>
      <c r="I8761" t="s">
        <v>44240</v>
      </c>
      <c r="J8761" t="s">
        <v>17485</v>
      </c>
      <c r="L8761" t="s">
        <v>27250</v>
      </c>
      <c r="M8761" t="s">
        <v>27251</v>
      </c>
      <c r="N8761" t="s">
        <v>27252</v>
      </c>
      <c r="Q8761" s="1">
        <v>44538</v>
      </c>
      <c r="R8761" t="s">
        <v>27253</v>
      </c>
      <c r="S8761" t="s">
        <v>27254</v>
      </c>
      <c r="T8761" t="s">
        <v>27255</v>
      </c>
    </row>
    <row r="8762" spans="1:20" x14ac:dyDescent="0.3">
      <c r="A8762" t="str">
        <f>"0611840503100"</f>
        <v>0611840503100</v>
      </c>
      <c r="B8762" t="str">
        <f>"LK1335"</f>
        <v>LK1335</v>
      </c>
      <c r="C8762" t="s">
        <v>44241</v>
      </c>
      <c r="D8762" t="s">
        <v>27245</v>
      </c>
      <c r="E8762" t="str">
        <f t="shared" si="136"/>
        <v>001390</v>
      </c>
      <c r="F8762" t="s">
        <v>27246</v>
      </c>
      <c r="G8762" t="s">
        <v>27247</v>
      </c>
      <c r="H8762" t="s">
        <v>27248</v>
      </c>
      <c r="I8762" t="s">
        <v>44242</v>
      </c>
      <c r="J8762" t="s">
        <v>17487</v>
      </c>
      <c r="L8762" t="s">
        <v>27250</v>
      </c>
      <c r="M8762" t="s">
        <v>27251</v>
      </c>
      <c r="N8762" t="s">
        <v>27252</v>
      </c>
      <c r="Q8762" s="1">
        <v>44538</v>
      </c>
      <c r="R8762" t="s">
        <v>27253</v>
      </c>
      <c r="S8762" t="s">
        <v>27254</v>
      </c>
      <c r="T8762" t="s">
        <v>27255</v>
      </c>
    </row>
    <row r="8763" spans="1:20" x14ac:dyDescent="0.3">
      <c r="A8763" t="str">
        <f>"0611840504100"</f>
        <v>0611840504100</v>
      </c>
      <c r="B8763" t="str">
        <f>"LK3925"</f>
        <v>LK3925</v>
      </c>
      <c r="C8763" t="s">
        <v>44243</v>
      </c>
      <c r="D8763" t="s">
        <v>27245</v>
      </c>
      <c r="E8763" t="str">
        <f t="shared" si="136"/>
        <v>001390</v>
      </c>
      <c r="F8763" t="s">
        <v>27246</v>
      </c>
      <c r="G8763" t="s">
        <v>27247</v>
      </c>
      <c r="H8763" t="s">
        <v>27248</v>
      </c>
      <c r="I8763" t="s">
        <v>44244</v>
      </c>
      <c r="J8763" t="s">
        <v>17487</v>
      </c>
      <c r="L8763" t="s">
        <v>27250</v>
      </c>
      <c r="M8763" t="s">
        <v>27251</v>
      </c>
      <c r="N8763" t="s">
        <v>27252</v>
      </c>
      <c r="Q8763" s="1">
        <v>44538</v>
      </c>
      <c r="R8763" t="s">
        <v>27253</v>
      </c>
      <c r="S8763" t="s">
        <v>27254</v>
      </c>
      <c r="T8763" t="s">
        <v>27255</v>
      </c>
    </row>
    <row r="8764" spans="1:20" x14ac:dyDescent="0.3">
      <c r="A8764" t="str">
        <f>"0611840505100"</f>
        <v>0611840505100</v>
      </c>
      <c r="B8764" t="str">
        <f>"LK3927"</f>
        <v>LK3927</v>
      </c>
      <c r="C8764" t="s">
        <v>44245</v>
      </c>
      <c r="D8764" t="s">
        <v>27245</v>
      </c>
      <c r="E8764" t="str">
        <f t="shared" si="136"/>
        <v>001390</v>
      </c>
      <c r="F8764" t="s">
        <v>27246</v>
      </c>
      <c r="G8764" t="s">
        <v>27247</v>
      </c>
      <c r="H8764" t="s">
        <v>27248</v>
      </c>
      <c r="I8764" t="s">
        <v>44246</v>
      </c>
      <c r="J8764" t="s">
        <v>17492</v>
      </c>
      <c r="L8764" t="s">
        <v>27250</v>
      </c>
      <c r="M8764" t="s">
        <v>27251</v>
      </c>
      <c r="N8764" t="s">
        <v>27252</v>
      </c>
      <c r="Q8764" s="1">
        <v>44538</v>
      </c>
      <c r="R8764" t="s">
        <v>27253</v>
      </c>
      <c r="S8764" t="s">
        <v>27254</v>
      </c>
      <c r="T8764" t="s">
        <v>27255</v>
      </c>
    </row>
    <row r="8765" spans="1:20" x14ac:dyDescent="0.3">
      <c r="A8765" t="str">
        <f>"0611840506100"</f>
        <v>0611840506100</v>
      </c>
      <c r="B8765" t="str">
        <f>"LK3446"</f>
        <v>LK3446</v>
      </c>
      <c r="C8765" t="s">
        <v>44247</v>
      </c>
      <c r="D8765" t="s">
        <v>27245</v>
      </c>
      <c r="E8765" t="str">
        <f t="shared" si="136"/>
        <v>001390</v>
      </c>
      <c r="F8765" t="s">
        <v>27246</v>
      </c>
      <c r="G8765" t="s">
        <v>27247</v>
      </c>
      <c r="H8765" t="s">
        <v>27248</v>
      </c>
      <c r="I8765" t="s">
        <v>44248</v>
      </c>
      <c r="J8765" t="s">
        <v>17490</v>
      </c>
      <c r="L8765" t="s">
        <v>27250</v>
      </c>
      <c r="M8765" t="s">
        <v>27251</v>
      </c>
      <c r="N8765" t="s">
        <v>27252</v>
      </c>
      <c r="Q8765" s="1">
        <v>44538</v>
      </c>
      <c r="R8765" t="s">
        <v>27253</v>
      </c>
      <c r="S8765" t="s">
        <v>27254</v>
      </c>
      <c r="T8765" t="s">
        <v>27255</v>
      </c>
    </row>
    <row r="8766" spans="1:20" x14ac:dyDescent="0.3">
      <c r="A8766" t="str">
        <f>"0611840507100"</f>
        <v>0611840507100</v>
      </c>
      <c r="B8766" t="str">
        <f>"LK3928"</f>
        <v>LK3928</v>
      </c>
      <c r="C8766" t="s">
        <v>44249</v>
      </c>
      <c r="D8766" t="s">
        <v>27245</v>
      </c>
      <c r="E8766" t="str">
        <f t="shared" si="136"/>
        <v>001390</v>
      </c>
      <c r="F8766" t="s">
        <v>27246</v>
      </c>
      <c r="G8766" t="s">
        <v>27247</v>
      </c>
      <c r="H8766" t="s">
        <v>27248</v>
      </c>
      <c r="I8766" t="s">
        <v>44250</v>
      </c>
      <c r="J8766" t="s">
        <v>17494</v>
      </c>
      <c r="L8766" t="s">
        <v>27250</v>
      </c>
      <c r="M8766" t="s">
        <v>27251</v>
      </c>
      <c r="N8766" t="s">
        <v>27252</v>
      </c>
      <c r="Q8766" s="1">
        <v>44538</v>
      </c>
      <c r="R8766" t="s">
        <v>27253</v>
      </c>
      <c r="S8766" t="s">
        <v>27254</v>
      </c>
      <c r="T8766" t="s">
        <v>27255</v>
      </c>
    </row>
    <row r="8767" spans="1:20" x14ac:dyDescent="0.3">
      <c r="A8767" t="str">
        <f>"0611840508100"</f>
        <v>0611840508100</v>
      </c>
      <c r="B8767" t="str">
        <f>"LK3929"</f>
        <v>LK3929</v>
      </c>
      <c r="C8767" t="s">
        <v>44251</v>
      </c>
      <c r="D8767" t="s">
        <v>27245</v>
      </c>
      <c r="E8767" t="str">
        <f t="shared" si="136"/>
        <v>001390</v>
      </c>
      <c r="F8767" t="s">
        <v>27246</v>
      </c>
      <c r="G8767" t="s">
        <v>27247</v>
      </c>
      <c r="H8767" t="s">
        <v>27248</v>
      </c>
      <c r="I8767" t="s">
        <v>44252</v>
      </c>
      <c r="J8767" t="s">
        <v>17496</v>
      </c>
      <c r="L8767" t="s">
        <v>27250</v>
      </c>
      <c r="M8767" t="s">
        <v>27251</v>
      </c>
      <c r="N8767" t="s">
        <v>27252</v>
      </c>
      <c r="Q8767" s="1">
        <v>44538</v>
      </c>
      <c r="R8767" t="s">
        <v>27253</v>
      </c>
      <c r="S8767" t="s">
        <v>27254</v>
      </c>
      <c r="T8767" t="s">
        <v>27255</v>
      </c>
    </row>
    <row r="8768" spans="1:20" x14ac:dyDescent="0.3">
      <c r="A8768" t="str">
        <f>"0611840509100"</f>
        <v>0611840509100</v>
      </c>
      <c r="B8768" t="str">
        <f>"LK3930"</f>
        <v>LK3930</v>
      </c>
      <c r="C8768" t="s">
        <v>44253</v>
      </c>
      <c r="D8768" t="s">
        <v>27245</v>
      </c>
      <c r="E8768" t="str">
        <f t="shared" si="136"/>
        <v>001390</v>
      </c>
      <c r="F8768" t="s">
        <v>27246</v>
      </c>
      <c r="G8768" t="s">
        <v>27247</v>
      </c>
      <c r="H8768" t="s">
        <v>27248</v>
      </c>
      <c r="I8768" t="s">
        <v>44254</v>
      </c>
      <c r="J8768" t="s">
        <v>17498</v>
      </c>
      <c r="L8768" t="s">
        <v>27250</v>
      </c>
      <c r="M8768" t="s">
        <v>27251</v>
      </c>
      <c r="N8768" t="s">
        <v>27252</v>
      </c>
      <c r="Q8768" s="1">
        <v>44538</v>
      </c>
      <c r="R8768" t="s">
        <v>27253</v>
      </c>
      <c r="S8768" t="s">
        <v>27254</v>
      </c>
      <c r="T8768" t="s">
        <v>27255</v>
      </c>
    </row>
    <row r="8769" spans="1:20" x14ac:dyDescent="0.3">
      <c r="A8769" t="str">
        <f>"0611840510100"</f>
        <v>0611840510100</v>
      </c>
      <c r="B8769" t="str">
        <f>"LK1974"</f>
        <v>LK1974</v>
      </c>
      <c r="C8769" t="s">
        <v>44255</v>
      </c>
      <c r="D8769" t="s">
        <v>27245</v>
      </c>
      <c r="E8769" t="str">
        <f t="shared" si="136"/>
        <v>001390</v>
      </c>
      <c r="F8769" t="s">
        <v>27246</v>
      </c>
      <c r="G8769" t="s">
        <v>27247</v>
      </c>
      <c r="H8769" t="s">
        <v>27248</v>
      </c>
      <c r="I8769" t="s">
        <v>44256</v>
      </c>
      <c r="J8769" t="s">
        <v>17469</v>
      </c>
      <c r="L8769" t="s">
        <v>27250</v>
      </c>
      <c r="M8769" t="s">
        <v>27251</v>
      </c>
      <c r="N8769" t="s">
        <v>27252</v>
      </c>
      <c r="Q8769" s="1">
        <v>44538</v>
      </c>
      <c r="R8769" t="s">
        <v>27253</v>
      </c>
      <c r="S8769" t="s">
        <v>27254</v>
      </c>
      <c r="T8769" t="s">
        <v>27255</v>
      </c>
    </row>
    <row r="8770" spans="1:20" x14ac:dyDescent="0.3">
      <c r="A8770" t="str">
        <f>"0611840511100"</f>
        <v>0611840511100</v>
      </c>
      <c r="B8770" t="str">
        <f>"LK3917"</f>
        <v>LK3917</v>
      </c>
      <c r="C8770" t="s">
        <v>44257</v>
      </c>
      <c r="D8770" t="s">
        <v>27245</v>
      </c>
      <c r="E8770" t="str">
        <f t="shared" ref="E8770:E8833" si="137">"001390"</f>
        <v>001390</v>
      </c>
      <c r="F8770" t="s">
        <v>27246</v>
      </c>
      <c r="G8770" t="s">
        <v>27247</v>
      </c>
      <c r="H8770" t="s">
        <v>27248</v>
      </c>
      <c r="I8770" t="s">
        <v>44258</v>
      </c>
      <c r="J8770" t="s">
        <v>17500</v>
      </c>
      <c r="L8770" t="s">
        <v>27250</v>
      </c>
      <c r="M8770" t="s">
        <v>27251</v>
      </c>
      <c r="N8770" t="s">
        <v>27252</v>
      </c>
      <c r="Q8770" s="1">
        <v>44538</v>
      </c>
      <c r="R8770" t="s">
        <v>27253</v>
      </c>
      <c r="S8770" t="s">
        <v>27254</v>
      </c>
      <c r="T8770" t="s">
        <v>27255</v>
      </c>
    </row>
    <row r="8771" spans="1:20" x14ac:dyDescent="0.3">
      <c r="A8771" t="str">
        <f>"0611840512100"</f>
        <v>0611840512100</v>
      </c>
      <c r="B8771" t="str">
        <f>"LK3931"</f>
        <v>LK3931</v>
      </c>
      <c r="C8771" t="s">
        <v>44259</v>
      </c>
      <c r="D8771" t="s">
        <v>27245</v>
      </c>
      <c r="E8771" t="str">
        <f t="shared" si="137"/>
        <v>001390</v>
      </c>
      <c r="F8771" t="s">
        <v>27246</v>
      </c>
      <c r="G8771" t="s">
        <v>27247</v>
      </c>
      <c r="H8771" t="s">
        <v>27248</v>
      </c>
      <c r="I8771" t="s">
        <v>44260</v>
      </c>
      <c r="J8771" t="s">
        <v>17502</v>
      </c>
      <c r="L8771" t="s">
        <v>27250</v>
      </c>
      <c r="M8771" t="s">
        <v>27251</v>
      </c>
      <c r="N8771" t="s">
        <v>27252</v>
      </c>
      <c r="Q8771" s="1">
        <v>44538</v>
      </c>
      <c r="R8771" t="s">
        <v>27253</v>
      </c>
      <c r="S8771" t="s">
        <v>27254</v>
      </c>
      <c r="T8771" t="s">
        <v>27255</v>
      </c>
    </row>
    <row r="8772" spans="1:20" x14ac:dyDescent="0.3">
      <c r="A8772" t="str">
        <f>"0611840513100"</f>
        <v>0611840513100</v>
      </c>
      <c r="B8772" t="str">
        <f>"LK0871"</f>
        <v>LK0871</v>
      </c>
      <c r="C8772" t="s">
        <v>44261</v>
      </c>
      <c r="D8772" t="s">
        <v>27245</v>
      </c>
      <c r="E8772" t="str">
        <f t="shared" si="137"/>
        <v>001390</v>
      </c>
      <c r="F8772" t="s">
        <v>27246</v>
      </c>
      <c r="G8772" t="s">
        <v>27247</v>
      </c>
      <c r="H8772" t="s">
        <v>27248</v>
      </c>
      <c r="I8772" t="s">
        <v>44262</v>
      </c>
      <c r="J8772" t="s">
        <v>17471</v>
      </c>
      <c r="L8772" t="s">
        <v>27250</v>
      </c>
      <c r="M8772" t="s">
        <v>27251</v>
      </c>
      <c r="N8772" t="s">
        <v>27252</v>
      </c>
      <c r="Q8772" s="1">
        <v>44538</v>
      </c>
      <c r="R8772" t="s">
        <v>27253</v>
      </c>
      <c r="S8772" t="s">
        <v>27254</v>
      </c>
      <c r="T8772" t="s">
        <v>27255</v>
      </c>
    </row>
    <row r="8773" spans="1:20" x14ac:dyDescent="0.3">
      <c r="A8773" t="str">
        <f>"0611840515100"</f>
        <v>0611840515100</v>
      </c>
      <c r="B8773" t="str">
        <f>"LK3934"</f>
        <v>LK3934</v>
      </c>
      <c r="C8773" t="s">
        <v>44263</v>
      </c>
      <c r="D8773" t="s">
        <v>27245</v>
      </c>
      <c r="E8773" t="str">
        <f t="shared" si="137"/>
        <v>001390</v>
      </c>
      <c r="F8773" t="s">
        <v>27246</v>
      </c>
      <c r="G8773" t="s">
        <v>27247</v>
      </c>
      <c r="H8773" t="s">
        <v>27248</v>
      </c>
      <c r="I8773" t="s">
        <v>44264</v>
      </c>
      <c r="J8773" t="s">
        <v>17506</v>
      </c>
      <c r="L8773" t="s">
        <v>27250</v>
      </c>
      <c r="M8773" t="s">
        <v>27251</v>
      </c>
      <c r="N8773" t="s">
        <v>27252</v>
      </c>
      <c r="Q8773" s="1">
        <v>44538</v>
      </c>
      <c r="R8773" t="s">
        <v>27253</v>
      </c>
      <c r="S8773" t="s">
        <v>27254</v>
      </c>
      <c r="T8773" t="s">
        <v>27255</v>
      </c>
    </row>
    <row r="8774" spans="1:20" x14ac:dyDescent="0.3">
      <c r="A8774" t="str">
        <f>"0611840516100"</f>
        <v>0611840516100</v>
      </c>
      <c r="B8774" t="str">
        <f>"LK3933"</f>
        <v>LK3933</v>
      </c>
      <c r="C8774" t="s">
        <v>44265</v>
      </c>
      <c r="D8774" t="s">
        <v>27245</v>
      </c>
      <c r="E8774" t="str">
        <f t="shared" si="137"/>
        <v>001390</v>
      </c>
      <c r="F8774" t="s">
        <v>27246</v>
      </c>
      <c r="G8774" t="s">
        <v>27247</v>
      </c>
      <c r="H8774" t="s">
        <v>27248</v>
      </c>
      <c r="I8774" t="s">
        <v>44266</v>
      </c>
      <c r="J8774" t="s">
        <v>17504</v>
      </c>
      <c r="L8774" t="s">
        <v>27250</v>
      </c>
      <c r="M8774" t="s">
        <v>27251</v>
      </c>
      <c r="N8774" t="s">
        <v>27252</v>
      </c>
      <c r="Q8774" s="1">
        <v>44538</v>
      </c>
      <c r="R8774" t="s">
        <v>27253</v>
      </c>
      <c r="S8774" t="s">
        <v>27254</v>
      </c>
      <c r="T8774" t="s">
        <v>27255</v>
      </c>
    </row>
    <row r="8775" spans="1:20" x14ac:dyDescent="0.3">
      <c r="A8775" t="str">
        <f>"0611840517100"</f>
        <v>0611840517100</v>
      </c>
      <c r="B8775" t="str">
        <f>"LK3935"</f>
        <v>LK3935</v>
      </c>
      <c r="C8775" t="s">
        <v>44267</v>
      </c>
      <c r="D8775" t="s">
        <v>27245</v>
      </c>
      <c r="E8775" t="str">
        <f t="shared" si="137"/>
        <v>001390</v>
      </c>
      <c r="F8775" t="s">
        <v>27246</v>
      </c>
      <c r="G8775" t="s">
        <v>27247</v>
      </c>
      <c r="H8775" t="s">
        <v>27248</v>
      </c>
      <c r="I8775" t="s">
        <v>44268</v>
      </c>
      <c r="J8775" t="s">
        <v>17508</v>
      </c>
      <c r="L8775" t="s">
        <v>27250</v>
      </c>
      <c r="M8775" t="s">
        <v>27251</v>
      </c>
      <c r="N8775" t="s">
        <v>27252</v>
      </c>
      <c r="Q8775" s="1">
        <v>44538</v>
      </c>
      <c r="R8775" t="s">
        <v>27253</v>
      </c>
      <c r="S8775" t="s">
        <v>27254</v>
      </c>
      <c r="T8775" t="s">
        <v>27255</v>
      </c>
    </row>
    <row r="8776" spans="1:20" x14ac:dyDescent="0.3">
      <c r="A8776" t="str">
        <f>"0611840518100"</f>
        <v>0611840518100</v>
      </c>
      <c r="B8776" t="str">
        <f>"LK3936"</f>
        <v>LK3936</v>
      </c>
      <c r="C8776" t="s">
        <v>44269</v>
      </c>
      <c r="D8776" t="s">
        <v>27245</v>
      </c>
      <c r="E8776" t="str">
        <f t="shared" si="137"/>
        <v>001390</v>
      </c>
      <c r="F8776" t="s">
        <v>27246</v>
      </c>
      <c r="G8776" t="s">
        <v>27247</v>
      </c>
      <c r="H8776" t="s">
        <v>27248</v>
      </c>
      <c r="I8776" t="s">
        <v>44270</v>
      </c>
      <c r="J8776" t="s">
        <v>17510</v>
      </c>
      <c r="L8776" t="s">
        <v>27250</v>
      </c>
      <c r="M8776" t="s">
        <v>27251</v>
      </c>
      <c r="N8776" t="s">
        <v>27252</v>
      </c>
      <c r="Q8776" s="1">
        <v>44538</v>
      </c>
      <c r="R8776" t="s">
        <v>27253</v>
      </c>
      <c r="S8776" t="s">
        <v>27254</v>
      </c>
      <c r="T8776" t="s">
        <v>27255</v>
      </c>
    </row>
    <row r="8777" spans="1:20" x14ac:dyDescent="0.3">
      <c r="A8777" t="str">
        <f>"0611840520100"</f>
        <v>0611840520100</v>
      </c>
      <c r="B8777" t="str">
        <f>"LK4203"</f>
        <v>LK4203</v>
      </c>
      <c r="C8777" t="s">
        <v>44271</v>
      </c>
      <c r="D8777" t="s">
        <v>27245</v>
      </c>
      <c r="E8777" t="str">
        <f t="shared" si="137"/>
        <v>001390</v>
      </c>
      <c r="F8777" t="s">
        <v>27246</v>
      </c>
      <c r="G8777" t="s">
        <v>27247</v>
      </c>
      <c r="H8777" t="s">
        <v>27248</v>
      </c>
      <c r="I8777" t="s">
        <v>44272</v>
      </c>
      <c r="J8777" t="s">
        <v>17473</v>
      </c>
      <c r="L8777" t="s">
        <v>27250</v>
      </c>
      <c r="M8777" t="s">
        <v>27251</v>
      </c>
      <c r="N8777" t="s">
        <v>27252</v>
      </c>
      <c r="Q8777" s="1">
        <v>44538</v>
      </c>
      <c r="R8777" t="s">
        <v>27253</v>
      </c>
      <c r="S8777" t="s">
        <v>27254</v>
      </c>
      <c r="T8777" t="s">
        <v>27255</v>
      </c>
    </row>
    <row r="8778" spans="1:20" x14ac:dyDescent="0.3">
      <c r="A8778" t="str">
        <f>"0611840521100"</f>
        <v>0611840521100</v>
      </c>
      <c r="B8778" t="str">
        <f>"LK3939"</f>
        <v>LK3939</v>
      </c>
      <c r="C8778" t="s">
        <v>44273</v>
      </c>
      <c r="D8778" t="s">
        <v>27245</v>
      </c>
      <c r="E8778" t="str">
        <f t="shared" si="137"/>
        <v>001390</v>
      </c>
      <c r="F8778" t="s">
        <v>27246</v>
      </c>
      <c r="G8778" t="s">
        <v>27247</v>
      </c>
      <c r="H8778" t="s">
        <v>27248</v>
      </c>
      <c r="I8778" t="s">
        <v>44274</v>
      </c>
      <c r="J8778" t="s">
        <v>17512</v>
      </c>
      <c r="L8778" t="s">
        <v>27250</v>
      </c>
      <c r="M8778" t="s">
        <v>27251</v>
      </c>
      <c r="N8778" t="s">
        <v>27252</v>
      </c>
      <c r="Q8778" s="1">
        <v>44538</v>
      </c>
      <c r="R8778" t="s">
        <v>27253</v>
      </c>
      <c r="S8778" t="s">
        <v>27254</v>
      </c>
      <c r="T8778" t="s">
        <v>27255</v>
      </c>
    </row>
    <row r="8779" spans="1:20" x14ac:dyDescent="0.3">
      <c r="A8779" t="str">
        <f>"0611840522100"</f>
        <v>0611840522100</v>
      </c>
      <c r="B8779" t="str">
        <f>"LK3940"</f>
        <v>LK3940</v>
      </c>
      <c r="C8779" t="s">
        <v>44275</v>
      </c>
      <c r="D8779" t="s">
        <v>27245</v>
      </c>
      <c r="E8779" t="str">
        <f t="shared" si="137"/>
        <v>001390</v>
      </c>
      <c r="F8779" t="s">
        <v>27246</v>
      </c>
      <c r="G8779" t="s">
        <v>27247</v>
      </c>
      <c r="H8779" t="s">
        <v>27248</v>
      </c>
      <c r="I8779" t="s">
        <v>44276</v>
      </c>
      <c r="J8779" t="s">
        <v>17514</v>
      </c>
      <c r="L8779" t="s">
        <v>27250</v>
      </c>
      <c r="M8779" t="s">
        <v>27251</v>
      </c>
      <c r="N8779" t="s">
        <v>27252</v>
      </c>
      <c r="Q8779" s="1">
        <v>44538</v>
      </c>
      <c r="R8779" t="s">
        <v>27253</v>
      </c>
      <c r="S8779" t="s">
        <v>27254</v>
      </c>
      <c r="T8779" t="s">
        <v>27255</v>
      </c>
    </row>
    <row r="8780" spans="1:20" x14ac:dyDescent="0.3">
      <c r="A8780" t="str">
        <f>"0611840524100"</f>
        <v>0611840524100</v>
      </c>
      <c r="B8780" t="str">
        <f>"LK6009"</f>
        <v>LK6009</v>
      </c>
      <c r="C8780" t="s">
        <v>44277</v>
      </c>
      <c r="D8780" t="s">
        <v>27245</v>
      </c>
      <c r="E8780" t="str">
        <f t="shared" si="137"/>
        <v>001390</v>
      </c>
      <c r="F8780" t="s">
        <v>27246</v>
      </c>
      <c r="G8780" t="s">
        <v>27247</v>
      </c>
      <c r="H8780" t="s">
        <v>27248</v>
      </c>
      <c r="I8780" t="s">
        <v>44278</v>
      </c>
      <c r="J8780" t="s">
        <v>17518</v>
      </c>
      <c r="L8780" t="s">
        <v>27250</v>
      </c>
      <c r="M8780" t="s">
        <v>27251</v>
      </c>
      <c r="N8780" t="s">
        <v>27252</v>
      </c>
      <c r="Q8780" s="1">
        <v>44538</v>
      </c>
      <c r="R8780" t="s">
        <v>27253</v>
      </c>
      <c r="S8780" t="s">
        <v>27254</v>
      </c>
      <c r="T8780" t="s">
        <v>27255</v>
      </c>
    </row>
    <row r="8781" spans="1:20" x14ac:dyDescent="0.3">
      <c r="A8781" t="str">
        <f>"0611840525100"</f>
        <v>0611840525100</v>
      </c>
      <c r="B8781" t="str">
        <f>"LK3941"</f>
        <v>LK3941</v>
      </c>
      <c r="C8781" t="s">
        <v>44279</v>
      </c>
      <c r="D8781" t="s">
        <v>27245</v>
      </c>
      <c r="E8781" t="str">
        <f t="shared" si="137"/>
        <v>001390</v>
      </c>
      <c r="F8781" t="s">
        <v>27246</v>
      </c>
      <c r="G8781" t="s">
        <v>27247</v>
      </c>
      <c r="H8781" t="s">
        <v>27248</v>
      </c>
      <c r="I8781" t="s">
        <v>44280</v>
      </c>
      <c r="J8781" t="s">
        <v>17516</v>
      </c>
      <c r="L8781" t="s">
        <v>27250</v>
      </c>
      <c r="M8781" t="s">
        <v>27251</v>
      </c>
      <c r="N8781" t="s">
        <v>27252</v>
      </c>
      <c r="Q8781" s="1">
        <v>44538</v>
      </c>
      <c r="R8781" t="s">
        <v>27253</v>
      </c>
      <c r="S8781" t="s">
        <v>27254</v>
      </c>
      <c r="T8781" t="s">
        <v>27255</v>
      </c>
    </row>
    <row r="8782" spans="1:20" x14ac:dyDescent="0.3">
      <c r="A8782" t="str">
        <f>"0611840526100"</f>
        <v>0611840526100</v>
      </c>
      <c r="B8782" t="str">
        <f>"LK3944"</f>
        <v>LK3944</v>
      </c>
      <c r="C8782" t="s">
        <v>44281</v>
      </c>
      <c r="D8782" t="s">
        <v>27245</v>
      </c>
      <c r="E8782" t="str">
        <f t="shared" si="137"/>
        <v>001390</v>
      </c>
      <c r="F8782" t="s">
        <v>27246</v>
      </c>
      <c r="G8782" t="s">
        <v>27247</v>
      </c>
      <c r="H8782" t="s">
        <v>27248</v>
      </c>
      <c r="I8782" t="s">
        <v>44282</v>
      </c>
      <c r="J8782" t="s">
        <v>17522</v>
      </c>
      <c r="L8782" t="s">
        <v>27250</v>
      </c>
      <c r="M8782" t="s">
        <v>27251</v>
      </c>
      <c r="N8782" t="s">
        <v>27252</v>
      </c>
      <c r="Q8782" s="1">
        <v>44538</v>
      </c>
      <c r="R8782" t="s">
        <v>27253</v>
      </c>
      <c r="S8782" t="s">
        <v>27254</v>
      </c>
      <c r="T8782" t="s">
        <v>27255</v>
      </c>
    </row>
    <row r="8783" spans="1:20" x14ac:dyDescent="0.3">
      <c r="A8783" t="str">
        <f>"0611840527100"</f>
        <v>0611840527100</v>
      </c>
      <c r="B8783" t="str">
        <f>"LK3943"</f>
        <v>LK3943</v>
      </c>
      <c r="C8783" t="s">
        <v>44283</v>
      </c>
      <c r="D8783" t="s">
        <v>27245</v>
      </c>
      <c r="E8783" t="str">
        <f t="shared" si="137"/>
        <v>001390</v>
      </c>
      <c r="F8783" t="s">
        <v>27246</v>
      </c>
      <c r="G8783" t="s">
        <v>27247</v>
      </c>
      <c r="H8783" t="s">
        <v>27248</v>
      </c>
      <c r="I8783" t="s">
        <v>44284</v>
      </c>
      <c r="J8783" t="s">
        <v>17520</v>
      </c>
      <c r="L8783" t="s">
        <v>27250</v>
      </c>
      <c r="M8783" t="s">
        <v>27251</v>
      </c>
      <c r="N8783" t="s">
        <v>27252</v>
      </c>
      <c r="Q8783" s="1">
        <v>44538</v>
      </c>
      <c r="R8783" t="s">
        <v>27253</v>
      </c>
      <c r="S8783" t="s">
        <v>27254</v>
      </c>
      <c r="T8783" t="s">
        <v>27255</v>
      </c>
    </row>
    <row r="8784" spans="1:20" x14ac:dyDescent="0.3">
      <c r="A8784" t="str">
        <f>"0611840528100"</f>
        <v>0611840528100</v>
      </c>
      <c r="B8784" t="str">
        <f>"LK1976"</f>
        <v>LK1976</v>
      </c>
      <c r="C8784" t="s">
        <v>44285</v>
      </c>
      <c r="D8784" t="s">
        <v>27245</v>
      </c>
      <c r="E8784" t="str">
        <f t="shared" si="137"/>
        <v>001390</v>
      </c>
      <c r="F8784" t="s">
        <v>27246</v>
      </c>
      <c r="G8784" t="s">
        <v>27247</v>
      </c>
      <c r="H8784" t="s">
        <v>27248</v>
      </c>
      <c r="I8784" t="s">
        <v>44286</v>
      </c>
      <c r="J8784" t="s">
        <v>17524</v>
      </c>
      <c r="L8784" t="s">
        <v>27250</v>
      </c>
      <c r="M8784" t="s">
        <v>27251</v>
      </c>
      <c r="N8784" t="s">
        <v>27252</v>
      </c>
      <c r="Q8784" s="1">
        <v>44538</v>
      </c>
      <c r="R8784" t="s">
        <v>27253</v>
      </c>
      <c r="S8784" t="s">
        <v>27254</v>
      </c>
      <c r="T8784" t="s">
        <v>27255</v>
      </c>
    </row>
    <row r="8785" spans="1:20" x14ac:dyDescent="0.3">
      <c r="A8785" t="str">
        <f>"0611840529100"</f>
        <v>0611840529100</v>
      </c>
      <c r="B8785" t="str">
        <f>"MB5400"</f>
        <v>MB5400</v>
      </c>
      <c r="C8785" t="s">
        <v>44287</v>
      </c>
      <c r="D8785" t="s">
        <v>27274</v>
      </c>
      <c r="E8785" t="str">
        <f t="shared" si="137"/>
        <v>001390</v>
      </c>
      <c r="F8785" t="s">
        <v>27246</v>
      </c>
      <c r="G8785" t="s">
        <v>27247</v>
      </c>
      <c r="H8785" t="s">
        <v>27248</v>
      </c>
      <c r="I8785" t="s">
        <v>44288</v>
      </c>
      <c r="J8785" t="s">
        <v>17526</v>
      </c>
      <c r="L8785" t="s">
        <v>27250</v>
      </c>
      <c r="M8785" t="s">
        <v>27251</v>
      </c>
      <c r="N8785" t="s">
        <v>27252</v>
      </c>
      <c r="Q8785" s="1">
        <v>44538</v>
      </c>
      <c r="R8785" t="s">
        <v>27253</v>
      </c>
      <c r="S8785" t="s">
        <v>27254</v>
      </c>
      <c r="T8785" t="s">
        <v>27276</v>
      </c>
    </row>
    <row r="8786" spans="1:20" x14ac:dyDescent="0.3">
      <c r="A8786" t="str">
        <f>"0611840531100"</f>
        <v>0611840531100</v>
      </c>
      <c r="B8786" t="str">
        <f>"LS0086"</f>
        <v>LS0086</v>
      </c>
      <c r="C8786" t="s">
        <v>44289</v>
      </c>
      <c r="D8786" t="s">
        <v>27245</v>
      </c>
      <c r="E8786" t="str">
        <f t="shared" si="137"/>
        <v>001390</v>
      </c>
      <c r="F8786" t="s">
        <v>27246</v>
      </c>
      <c r="G8786" t="s">
        <v>27247</v>
      </c>
      <c r="H8786" t="s">
        <v>27248</v>
      </c>
      <c r="I8786" t="s">
        <v>44290</v>
      </c>
      <c r="J8786" t="s">
        <v>17530</v>
      </c>
      <c r="L8786" t="s">
        <v>27250</v>
      </c>
      <c r="M8786" t="s">
        <v>27251</v>
      </c>
      <c r="N8786" t="s">
        <v>27252</v>
      </c>
      <c r="Q8786" s="1">
        <v>44538</v>
      </c>
      <c r="R8786" t="s">
        <v>27253</v>
      </c>
      <c r="S8786" t="s">
        <v>27254</v>
      </c>
      <c r="T8786" t="s">
        <v>27255</v>
      </c>
    </row>
    <row r="8787" spans="1:20" x14ac:dyDescent="0.3">
      <c r="A8787" t="str">
        <f>"0611840532100"</f>
        <v>0611840532100</v>
      </c>
      <c r="B8787" t="str">
        <f>"LK6099"</f>
        <v>LK6099</v>
      </c>
      <c r="C8787" t="s">
        <v>44291</v>
      </c>
      <c r="D8787" t="s">
        <v>27245</v>
      </c>
      <c r="E8787" t="str">
        <f t="shared" si="137"/>
        <v>001390</v>
      </c>
      <c r="F8787" t="s">
        <v>27246</v>
      </c>
      <c r="G8787" t="s">
        <v>27247</v>
      </c>
      <c r="H8787" t="s">
        <v>27248</v>
      </c>
      <c r="I8787" t="s">
        <v>44292</v>
      </c>
      <c r="J8787" t="s">
        <v>17532</v>
      </c>
      <c r="L8787" t="s">
        <v>27250</v>
      </c>
      <c r="M8787" t="s">
        <v>27251</v>
      </c>
      <c r="N8787" t="s">
        <v>27252</v>
      </c>
      <c r="Q8787" s="1">
        <v>44538</v>
      </c>
      <c r="R8787" t="s">
        <v>27253</v>
      </c>
      <c r="S8787" t="s">
        <v>27254</v>
      </c>
      <c r="T8787" t="s">
        <v>27255</v>
      </c>
    </row>
    <row r="8788" spans="1:20" x14ac:dyDescent="0.3">
      <c r="A8788" t="str">
        <f>"0611840533100"</f>
        <v>0611840533100</v>
      </c>
      <c r="B8788" t="str">
        <f>"LK3092"</f>
        <v>LK3092</v>
      </c>
      <c r="C8788" t="s">
        <v>44293</v>
      </c>
      <c r="D8788" t="s">
        <v>27245</v>
      </c>
      <c r="E8788" t="str">
        <f t="shared" si="137"/>
        <v>001390</v>
      </c>
      <c r="F8788" t="s">
        <v>27246</v>
      </c>
      <c r="G8788" t="s">
        <v>27247</v>
      </c>
      <c r="H8788" t="s">
        <v>27248</v>
      </c>
      <c r="I8788" t="s">
        <v>44294</v>
      </c>
      <c r="J8788" t="s">
        <v>17534</v>
      </c>
      <c r="L8788" t="s">
        <v>27250</v>
      </c>
      <c r="M8788" t="s">
        <v>27251</v>
      </c>
      <c r="N8788" t="s">
        <v>27252</v>
      </c>
      <c r="Q8788" s="1">
        <v>44538</v>
      </c>
      <c r="R8788" t="s">
        <v>27253</v>
      </c>
      <c r="S8788" t="s">
        <v>27254</v>
      </c>
      <c r="T8788" t="s">
        <v>27255</v>
      </c>
    </row>
    <row r="8789" spans="1:20" x14ac:dyDescent="0.3">
      <c r="A8789" t="str">
        <f>"0611840534100"</f>
        <v>0611840534100</v>
      </c>
      <c r="B8789" t="str">
        <f>"LK4906"</f>
        <v>LK4906</v>
      </c>
      <c r="C8789" t="s">
        <v>44295</v>
      </c>
      <c r="D8789" t="s">
        <v>27245</v>
      </c>
      <c r="E8789" t="str">
        <f t="shared" si="137"/>
        <v>001390</v>
      </c>
      <c r="F8789" t="s">
        <v>27246</v>
      </c>
      <c r="G8789" t="s">
        <v>27247</v>
      </c>
      <c r="H8789" t="s">
        <v>27248</v>
      </c>
      <c r="I8789" t="s">
        <v>44296</v>
      </c>
      <c r="J8789" t="s">
        <v>17536</v>
      </c>
      <c r="L8789" t="s">
        <v>27250</v>
      </c>
      <c r="M8789" t="s">
        <v>27251</v>
      </c>
      <c r="N8789" t="s">
        <v>27252</v>
      </c>
      <c r="Q8789" s="1">
        <v>44538</v>
      </c>
      <c r="R8789" t="s">
        <v>27253</v>
      </c>
      <c r="S8789" t="s">
        <v>27254</v>
      </c>
      <c r="T8789" t="s">
        <v>27255</v>
      </c>
    </row>
    <row r="8790" spans="1:20" x14ac:dyDescent="0.3">
      <c r="A8790" t="str">
        <f>"0611840535100"</f>
        <v>0611840535100</v>
      </c>
      <c r="B8790" t="str">
        <f>"LK1446"</f>
        <v>LK1446</v>
      </c>
      <c r="C8790" t="s">
        <v>44297</v>
      </c>
      <c r="D8790" t="s">
        <v>27245</v>
      </c>
      <c r="E8790" t="str">
        <f t="shared" si="137"/>
        <v>001390</v>
      </c>
      <c r="F8790" t="s">
        <v>27246</v>
      </c>
      <c r="G8790" t="s">
        <v>27247</v>
      </c>
      <c r="H8790" t="s">
        <v>27248</v>
      </c>
      <c r="I8790" t="s">
        <v>44298</v>
      </c>
      <c r="J8790" t="s">
        <v>17538</v>
      </c>
      <c r="L8790" t="s">
        <v>27250</v>
      </c>
      <c r="M8790" t="s">
        <v>27251</v>
      </c>
      <c r="N8790" t="s">
        <v>27252</v>
      </c>
      <c r="Q8790" s="1">
        <v>44538</v>
      </c>
      <c r="R8790" t="s">
        <v>27253</v>
      </c>
      <c r="S8790" t="s">
        <v>27254</v>
      </c>
      <c r="T8790" t="s">
        <v>27255</v>
      </c>
    </row>
    <row r="8791" spans="1:20" x14ac:dyDescent="0.3">
      <c r="A8791" t="str">
        <f>"0611840537100"</f>
        <v>0611840537100</v>
      </c>
      <c r="B8791" t="str">
        <f>"LK1447"</f>
        <v>LK1447</v>
      </c>
      <c r="C8791" t="s">
        <v>44299</v>
      </c>
      <c r="D8791" t="s">
        <v>27245</v>
      </c>
      <c r="E8791" t="str">
        <f t="shared" si="137"/>
        <v>001390</v>
      </c>
      <c r="F8791" t="s">
        <v>27246</v>
      </c>
      <c r="G8791" t="s">
        <v>27247</v>
      </c>
      <c r="H8791" t="s">
        <v>27248</v>
      </c>
      <c r="I8791" t="s">
        <v>44300</v>
      </c>
      <c r="J8791" t="s">
        <v>17540</v>
      </c>
      <c r="L8791" t="s">
        <v>27250</v>
      </c>
      <c r="M8791" t="s">
        <v>27251</v>
      </c>
      <c r="N8791" t="s">
        <v>27252</v>
      </c>
      <c r="Q8791" s="1">
        <v>44538</v>
      </c>
      <c r="R8791" t="s">
        <v>27253</v>
      </c>
      <c r="S8791" t="s">
        <v>27254</v>
      </c>
      <c r="T8791" t="s">
        <v>27255</v>
      </c>
    </row>
    <row r="8792" spans="1:20" x14ac:dyDescent="0.3">
      <c r="A8792" t="str">
        <f>"0611840538100"</f>
        <v>0611840538100</v>
      </c>
      <c r="B8792" t="str">
        <f>"LK6309"</f>
        <v>LK6309</v>
      </c>
      <c r="C8792" t="s">
        <v>44301</v>
      </c>
      <c r="D8792" t="s">
        <v>27245</v>
      </c>
      <c r="E8792" t="str">
        <f t="shared" si="137"/>
        <v>001390</v>
      </c>
      <c r="F8792" t="s">
        <v>27246</v>
      </c>
      <c r="G8792" t="s">
        <v>27247</v>
      </c>
      <c r="H8792" t="s">
        <v>27248</v>
      </c>
      <c r="I8792" t="s">
        <v>44302</v>
      </c>
      <c r="J8792" t="s">
        <v>17542</v>
      </c>
      <c r="L8792" t="s">
        <v>27250</v>
      </c>
      <c r="M8792" t="s">
        <v>27251</v>
      </c>
      <c r="N8792" t="s">
        <v>27252</v>
      </c>
      <c r="Q8792" s="1">
        <v>44538</v>
      </c>
      <c r="R8792" t="s">
        <v>27253</v>
      </c>
      <c r="S8792" t="s">
        <v>27254</v>
      </c>
      <c r="T8792" t="s">
        <v>27255</v>
      </c>
    </row>
    <row r="8793" spans="1:20" x14ac:dyDescent="0.3">
      <c r="A8793" t="str">
        <f>"0611840539100"</f>
        <v>0611840539100</v>
      </c>
      <c r="B8793" t="str">
        <f>"LB9484"</f>
        <v>LB9484</v>
      </c>
      <c r="C8793" t="s">
        <v>44303</v>
      </c>
      <c r="D8793" t="s">
        <v>27245</v>
      </c>
      <c r="E8793" t="str">
        <f t="shared" si="137"/>
        <v>001390</v>
      </c>
      <c r="F8793" t="s">
        <v>27246</v>
      </c>
      <c r="G8793" t="s">
        <v>27247</v>
      </c>
      <c r="H8793" t="s">
        <v>27248</v>
      </c>
      <c r="I8793" t="s">
        <v>44304</v>
      </c>
      <c r="J8793" t="s">
        <v>17544</v>
      </c>
      <c r="L8793" t="s">
        <v>27250</v>
      </c>
      <c r="M8793" t="s">
        <v>27251</v>
      </c>
      <c r="N8793" t="s">
        <v>27252</v>
      </c>
      <c r="Q8793" s="1">
        <v>44538</v>
      </c>
      <c r="R8793" t="s">
        <v>27253</v>
      </c>
      <c r="S8793" t="s">
        <v>27254</v>
      </c>
      <c r="T8793" t="s">
        <v>27255</v>
      </c>
    </row>
    <row r="8794" spans="1:20" x14ac:dyDescent="0.3">
      <c r="A8794" t="str">
        <f>"0611840540100"</f>
        <v>0611840540100</v>
      </c>
      <c r="B8794" t="str">
        <f>"LB9406"</f>
        <v>LB9406</v>
      </c>
      <c r="C8794" t="s">
        <v>44305</v>
      </c>
      <c r="D8794" t="s">
        <v>27245</v>
      </c>
      <c r="E8794" t="str">
        <f t="shared" si="137"/>
        <v>001390</v>
      </c>
      <c r="F8794" t="s">
        <v>27246</v>
      </c>
      <c r="G8794" t="s">
        <v>27247</v>
      </c>
      <c r="H8794" t="s">
        <v>27248</v>
      </c>
      <c r="I8794" t="s">
        <v>44306</v>
      </c>
      <c r="J8794" t="s">
        <v>17546</v>
      </c>
      <c r="L8794" t="s">
        <v>27250</v>
      </c>
      <c r="M8794" t="s">
        <v>27251</v>
      </c>
      <c r="N8794" t="s">
        <v>27252</v>
      </c>
      <c r="Q8794" s="1">
        <v>44538</v>
      </c>
      <c r="R8794" t="s">
        <v>27253</v>
      </c>
      <c r="S8794" t="s">
        <v>27254</v>
      </c>
      <c r="T8794" t="s">
        <v>27255</v>
      </c>
    </row>
    <row r="8795" spans="1:20" x14ac:dyDescent="0.3">
      <c r="A8795" t="str">
        <f>"0611840541100"</f>
        <v>0611840541100</v>
      </c>
      <c r="B8795" t="str">
        <f>"LK4396"</f>
        <v>LK4396</v>
      </c>
      <c r="C8795" t="s">
        <v>44307</v>
      </c>
      <c r="D8795" t="s">
        <v>27245</v>
      </c>
      <c r="E8795" t="str">
        <f t="shared" si="137"/>
        <v>001390</v>
      </c>
      <c r="F8795" t="s">
        <v>27246</v>
      </c>
      <c r="G8795" t="s">
        <v>27247</v>
      </c>
      <c r="H8795" t="s">
        <v>27248</v>
      </c>
      <c r="I8795" t="s">
        <v>44308</v>
      </c>
      <c r="J8795" t="s">
        <v>17548</v>
      </c>
      <c r="L8795" t="s">
        <v>27250</v>
      </c>
      <c r="M8795" t="s">
        <v>27251</v>
      </c>
      <c r="N8795" t="s">
        <v>27252</v>
      </c>
      <c r="Q8795" s="1">
        <v>44538</v>
      </c>
      <c r="R8795" t="s">
        <v>27253</v>
      </c>
      <c r="S8795" t="s">
        <v>27254</v>
      </c>
      <c r="T8795" t="s">
        <v>27255</v>
      </c>
    </row>
    <row r="8796" spans="1:20" x14ac:dyDescent="0.3">
      <c r="A8796" t="str">
        <f>"0611840542100"</f>
        <v>0611840542100</v>
      </c>
      <c r="B8796" t="str">
        <f>"LK0442"</f>
        <v>LK0442</v>
      </c>
      <c r="C8796" t="s">
        <v>44309</v>
      </c>
      <c r="D8796" t="s">
        <v>27245</v>
      </c>
      <c r="E8796" t="str">
        <f t="shared" si="137"/>
        <v>001390</v>
      </c>
      <c r="F8796" t="s">
        <v>27246</v>
      </c>
      <c r="G8796" t="s">
        <v>27247</v>
      </c>
      <c r="H8796" t="s">
        <v>27248</v>
      </c>
      <c r="I8796" t="s">
        <v>44310</v>
      </c>
      <c r="J8796" t="s">
        <v>17550</v>
      </c>
      <c r="L8796" t="s">
        <v>27250</v>
      </c>
      <c r="M8796" t="s">
        <v>27251</v>
      </c>
      <c r="N8796" t="s">
        <v>27252</v>
      </c>
      <c r="Q8796" s="1">
        <v>44538</v>
      </c>
      <c r="R8796" t="s">
        <v>27253</v>
      </c>
      <c r="S8796" t="s">
        <v>27254</v>
      </c>
      <c r="T8796" t="s">
        <v>27255</v>
      </c>
    </row>
    <row r="8797" spans="1:20" x14ac:dyDescent="0.3">
      <c r="A8797" t="str">
        <f>"0611840543100"</f>
        <v>0611840543100</v>
      </c>
      <c r="B8797" t="str">
        <f>"LK2468"</f>
        <v>LK2468</v>
      </c>
      <c r="C8797" t="s">
        <v>44311</v>
      </c>
      <c r="D8797" t="s">
        <v>27245</v>
      </c>
      <c r="E8797" t="str">
        <f t="shared" si="137"/>
        <v>001390</v>
      </c>
      <c r="F8797" t="s">
        <v>27246</v>
      </c>
      <c r="G8797" t="s">
        <v>27247</v>
      </c>
      <c r="H8797" t="s">
        <v>27248</v>
      </c>
      <c r="I8797" t="s">
        <v>44312</v>
      </c>
      <c r="J8797" t="s">
        <v>17552</v>
      </c>
      <c r="L8797" t="s">
        <v>27250</v>
      </c>
      <c r="M8797" t="s">
        <v>27251</v>
      </c>
      <c r="N8797" t="s">
        <v>27252</v>
      </c>
      <c r="Q8797" s="1">
        <v>44538</v>
      </c>
      <c r="R8797" t="s">
        <v>27253</v>
      </c>
      <c r="S8797" t="s">
        <v>27254</v>
      </c>
      <c r="T8797" t="s">
        <v>27255</v>
      </c>
    </row>
    <row r="8798" spans="1:20" x14ac:dyDescent="0.3">
      <c r="A8798" t="str">
        <f>"0611840544100"</f>
        <v>0611840544100</v>
      </c>
      <c r="B8798" t="str">
        <f>"LK4118"</f>
        <v>LK4118</v>
      </c>
      <c r="C8798" t="s">
        <v>44313</v>
      </c>
      <c r="D8798" t="s">
        <v>27245</v>
      </c>
      <c r="E8798" t="str">
        <f t="shared" si="137"/>
        <v>001390</v>
      </c>
      <c r="F8798" t="s">
        <v>27246</v>
      </c>
      <c r="G8798" t="s">
        <v>27247</v>
      </c>
      <c r="H8798" t="s">
        <v>27248</v>
      </c>
      <c r="I8798" t="s">
        <v>44314</v>
      </c>
      <c r="J8798" t="s">
        <v>17554</v>
      </c>
      <c r="L8798" t="s">
        <v>27250</v>
      </c>
      <c r="M8798" t="s">
        <v>27251</v>
      </c>
      <c r="N8798" t="s">
        <v>27252</v>
      </c>
      <c r="Q8798" s="1">
        <v>44538</v>
      </c>
      <c r="R8798" t="s">
        <v>27253</v>
      </c>
      <c r="S8798" t="s">
        <v>27254</v>
      </c>
      <c r="T8798" t="s">
        <v>27255</v>
      </c>
    </row>
    <row r="8799" spans="1:20" x14ac:dyDescent="0.3">
      <c r="A8799" t="str">
        <f>"0611840545100"</f>
        <v>0611840545100</v>
      </c>
      <c r="B8799" t="str">
        <f>"LK2469"</f>
        <v>LK2469</v>
      </c>
      <c r="C8799" t="s">
        <v>44315</v>
      </c>
      <c r="D8799" t="s">
        <v>27245</v>
      </c>
      <c r="E8799" t="str">
        <f t="shared" si="137"/>
        <v>001390</v>
      </c>
      <c r="F8799" t="s">
        <v>27246</v>
      </c>
      <c r="G8799" t="s">
        <v>27247</v>
      </c>
      <c r="H8799" t="s">
        <v>27248</v>
      </c>
      <c r="I8799" t="s">
        <v>44316</v>
      </c>
      <c r="J8799" t="s">
        <v>17556</v>
      </c>
      <c r="L8799" t="s">
        <v>27250</v>
      </c>
      <c r="M8799" t="s">
        <v>27251</v>
      </c>
      <c r="N8799" t="s">
        <v>27252</v>
      </c>
      <c r="Q8799" s="1">
        <v>44538</v>
      </c>
      <c r="R8799" t="s">
        <v>27253</v>
      </c>
      <c r="S8799" t="s">
        <v>27254</v>
      </c>
      <c r="T8799" t="s">
        <v>27255</v>
      </c>
    </row>
    <row r="8800" spans="1:20" x14ac:dyDescent="0.3">
      <c r="A8800" t="str">
        <f>"0611840546100"</f>
        <v>0611840546100</v>
      </c>
      <c r="B8800" t="str">
        <f>"LK0443"</f>
        <v>LK0443</v>
      </c>
      <c r="C8800" t="s">
        <v>44317</v>
      </c>
      <c r="D8800" t="s">
        <v>27245</v>
      </c>
      <c r="E8800" t="str">
        <f t="shared" si="137"/>
        <v>001390</v>
      </c>
      <c r="F8800" t="s">
        <v>27246</v>
      </c>
      <c r="G8800" t="s">
        <v>27247</v>
      </c>
      <c r="H8800" t="s">
        <v>27248</v>
      </c>
      <c r="I8800" t="s">
        <v>44318</v>
      </c>
      <c r="J8800" t="s">
        <v>17558</v>
      </c>
      <c r="L8800" t="s">
        <v>27250</v>
      </c>
      <c r="M8800" t="s">
        <v>27251</v>
      </c>
      <c r="N8800" t="s">
        <v>27252</v>
      </c>
      <c r="Q8800" s="1">
        <v>44538</v>
      </c>
      <c r="R8800" t="s">
        <v>27253</v>
      </c>
      <c r="S8800" t="s">
        <v>27254</v>
      </c>
      <c r="T8800" t="s">
        <v>27255</v>
      </c>
    </row>
    <row r="8801" spans="1:20" x14ac:dyDescent="0.3">
      <c r="A8801" t="str">
        <f>"0611840547100"</f>
        <v>0611840547100</v>
      </c>
      <c r="B8801" t="str">
        <f>"LK3546"</f>
        <v>LK3546</v>
      </c>
      <c r="C8801" t="s">
        <v>44319</v>
      </c>
      <c r="D8801" t="s">
        <v>27245</v>
      </c>
      <c r="E8801" t="str">
        <f t="shared" si="137"/>
        <v>001390</v>
      </c>
      <c r="F8801" t="s">
        <v>27246</v>
      </c>
      <c r="G8801" t="s">
        <v>27247</v>
      </c>
      <c r="H8801" t="s">
        <v>27248</v>
      </c>
      <c r="I8801" t="s">
        <v>44320</v>
      </c>
      <c r="J8801" t="s">
        <v>17560</v>
      </c>
      <c r="L8801" t="s">
        <v>27250</v>
      </c>
      <c r="M8801" t="s">
        <v>27251</v>
      </c>
      <c r="N8801" t="s">
        <v>27252</v>
      </c>
      <c r="Q8801" s="1">
        <v>44538</v>
      </c>
      <c r="R8801" t="s">
        <v>27253</v>
      </c>
      <c r="S8801" t="s">
        <v>27254</v>
      </c>
      <c r="T8801" t="s">
        <v>27255</v>
      </c>
    </row>
    <row r="8802" spans="1:20" x14ac:dyDescent="0.3">
      <c r="A8802" t="str">
        <f>"0611840548100"</f>
        <v>0611840548100</v>
      </c>
      <c r="B8802" t="str">
        <f>"LK1803"</f>
        <v>LK1803</v>
      </c>
      <c r="C8802" t="s">
        <v>44321</v>
      </c>
      <c r="D8802" t="s">
        <v>27245</v>
      </c>
      <c r="E8802" t="str">
        <f t="shared" si="137"/>
        <v>001390</v>
      </c>
      <c r="F8802" t="s">
        <v>27246</v>
      </c>
      <c r="G8802" t="s">
        <v>27247</v>
      </c>
      <c r="H8802" t="s">
        <v>27248</v>
      </c>
      <c r="I8802" t="s">
        <v>44322</v>
      </c>
      <c r="J8802" t="s">
        <v>17562</v>
      </c>
      <c r="L8802" t="s">
        <v>27250</v>
      </c>
      <c r="M8802" t="s">
        <v>27251</v>
      </c>
      <c r="N8802" t="s">
        <v>27252</v>
      </c>
      <c r="Q8802" s="1">
        <v>44538</v>
      </c>
      <c r="R8802" t="s">
        <v>27253</v>
      </c>
      <c r="S8802" t="s">
        <v>27254</v>
      </c>
      <c r="T8802" t="s">
        <v>27255</v>
      </c>
    </row>
    <row r="8803" spans="1:20" x14ac:dyDescent="0.3">
      <c r="A8803" t="str">
        <f>"0611840549100"</f>
        <v>0611840549100</v>
      </c>
      <c r="B8803" t="str">
        <f>"LB9448"</f>
        <v>LB9448</v>
      </c>
      <c r="C8803" t="s">
        <v>44323</v>
      </c>
      <c r="D8803" t="s">
        <v>27245</v>
      </c>
      <c r="E8803" t="str">
        <f t="shared" si="137"/>
        <v>001390</v>
      </c>
      <c r="F8803" t="s">
        <v>27246</v>
      </c>
      <c r="G8803" t="s">
        <v>27247</v>
      </c>
      <c r="H8803" t="s">
        <v>27248</v>
      </c>
      <c r="I8803" t="s">
        <v>44324</v>
      </c>
      <c r="J8803" t="s">
        <v>17564</v>
      </c>
      <c r="L8803" t="s">
        <v>27250</v>
      </c>
      <c r="M8803" t="s">
        <v>27251</v>
      </c>
      <c r="N8803" t="s">
        <v>27252</v>
      </c>
      <c r="Q8803" s="1">
        <v>44538</v>
      </c>
      <c r="R8803" t="s">
        <v>27253</v>
      </c>
      <c r="S8803" t="s">
        <v>27254</v>
      </c>
      <c r="T8803" t="s">
        <v>27255</v>
      </c>
    </row>
    <row r="8804" spans="1:20" x14ac:dyDescent="0.3">
      <c r="A8804" t="str">
        <f>"0611840550100"</f>
        <v>0611840550100</v>
      </c>
      <c r="B8804" t="str">
        <f>"LB9571"</f>
        <v>LB9571</v>
      </c>
      <c r="C8804" t="s">
        <v>44325</v>
      </c>
      <c r="D8804" t="s">
        <v>27245</v>
      </c>
      <c r="E8804" t="str">
        <f t="shared" si="137"/>
        <v>001390</v>
      </c>
      <c r="F8804" t="s">
        <v>27246</v>
      </c>
      <c r="G8804" t="s">
        <v>27247</v>
      </c>
      <c r="H8804" t="s">
        <v>27248</v>
      </c>
      <c r="I8804" t="s">
        <v>44326</v>
      </c>
      <c r="J8804" t="s">
        <v>17566</v>
      </c>
      <c r="L8804" t="s">
        <v>27250</v>
      </c>
      <c r="M8804" t="s">
        <v>27251</v>
      </c>
      <c r="N8804" t="s">
        <v>27252</v>
      </c>
      <c r="Q8804" s="1">
        <v>44538</v>
      </c>
      <c r="R8804" t="s">
        <v>27253</v>
      </c>
      <c r="S8804" t="s">
        <v>27254</v>
      </c>
      <c r="T8804" t="s">
        <v>27255</v>
      </c>
    </row>
    <row r="8805" spans="1:20" x14ac:dyDescent="0.3">
      <c r="A8805" t="str">
        <f>"0611840552100"</f>
        <v>0611840552100</v>
      </c>
      <c r="B8805" t="str">
        <f>"LK2471"</f>
        <v>LK2471</v>
      </c>
      <c r="C8805" t="s">
        <v>44327</v>
      </c>
      <c r="D8805" t="s">
        <v>27245</v>
      </c>
      <c r="E8805" t="str">
        <f t="shared" si="137"/>
        <v>001390</v>
      </c>
      <c r="F8805" t="s">
        <v>27246</v>
      </c>
      <c r="G8805" t="s">
        <v>27247</v>
      </c>
      <c r="H8805" t="s">
        <v>27248</v>
      </c>
      <c r="I8805" t="s">
        <v>44328</v>
      </c>
      <c r="J8805" t="s">
        <v>17568</v>
      </c>
      <c r="L8805" t="s">
        <v>27250</v>
      </c>
      <c r="M8805" t="s">
        <v>27251</v>
      </c>
      <c r="N8805" t="s">
        <v>27252</v>
      </c>
      <c r="Q8805" s="1">
        <v>44538</v>
      </c>
      <c r="R8805" t="s">
        <v>27253</v>
      </c>
      <c r="S8805" t="s">
        <v>27254</v>
      </c>
      <c r="T8805" t="s">
        <v>27255</v>
      </c>
    </row>
    <row r="8806" spans="1:20" x14ac:dyDescent="0.3">
      <c r="A8806" t="str">
        <f>"0611840553100"</f>
        <v>0611840553100</v>
      </c>
      <c r="B8806" t="str">
        <f>"LK4397"</f>
        <v>LK4397</v>
      </c>
      <c r="C8806" t="s">
        <v>44329</v>
      </c>
      <c r="D8806" t="s">
        <v>27245</v>
      </c>
      <c r="E8806" t="str">
        <f t="shared" si="137"/>
        <v>001390</v>
      </c>
      <c r="F8806" t="s">
        <v>27246</v>
      </c>
      <c r="G8806" t="s">
        <v>27247</v>
      </c>
      <c r="H8806" t="s">
        <v>27248</v>
      </c>
      <c r="I8806" t="s">
        <v>44330</v>
      </c>
      <c r="J8806" t="s">
        <v>17570</v>
      </c>
      <c r="L8806" t="s">
        <v>27250</v>
      </c>
      <c r="M8806" t="s">
        <v>27251</v>
      </c>
      <c r="N8806" t="s">
        <v>27252</v>
      </c>
      <c r="Q8806" s="1">
        <v>44538</v>
      </c>
      <c r="R8806" t="s">
        <v>27253</v>
      </c>
      <c r="S8806" t="s">
        <v>27254</v>
      </c>
      <c r="T8806" t="s">
        <v>27255</v>
      </c>
    </row>
    <row r="8807" spans="1:20" x14ac:dyDescent="0.3">
      <c r="A8807" t="str">
        <f>"0611840554100"</f>
        <v>0611840554100</v>
      </c>
      <c r="B8807" t="str">
        <f>"LK4119"</f>
        <v>LK4119</v>
      </c>
      <c r="C8807" t="s">
        <v>44331</v>
      </c>
      <c r="D8807" t="s">
        <v>27245</v>
      </c>
      <c r="E8807" t="str">
        <f t="shared" si="137"/>
        <v>001390</v>
      </c>
      <c r="F8807" t="s">
        <v>27246</v>
      </c>
      <c r="G8807" t="s">
        <v>27247</v>
      </c>
      <c r="H8807" t="s">
        <v>27248</v>
      </c>
      <c r="I8807" t="s">
        <v>44332</v>
      </c>
      <c r="J8807" t="s">
        <v>17572</v>
      </c>
      <c r="L8807" t="s">
        <v>27250</v>
      </c>
      <c r="M8807" t="s">
        <v>27251</v>
      </c>
      <c r="N8807" t="s">
        <v>27252</v>
      </c>
      <c r="Q8807" s="1">
        <v>44538</v>
      </c>
      <c r="R8807" t="s">
        <v>27253</v>
      </c>
      <c r="S8807" t="s">
        <v>27254</v>
      </c>
      <c r="T8807" t="s">
        <v>27255</v>
      </c>
    </row>
    <row r="8808" spans="1:20" x14ac:dyDescent="0.3">
      <c r="A8808" t="str">
        <f>"0611840555100"</f>
        <v>0611840555100</v>
      </c>
      <c r="B8808" t="str">
        <f>"LB9407"</f>
        <v>LB9407</v>
      </c>
      <c r="C8808" t="s">
        <v>44333</v>
      </c>
      <c r="D8808" t="s">
        <v>27245</v>
      </c>
      <c r="E8808" t="str">
        <f t="shared" si="137"/>
        <v>001390</v>
      </c>
      <c r="F8808" t="s">
        <v>27246</v>
      </c>
      <c r="G8808" t="s">
        <v>27247</v>
      </c>
      <c r="H8808" t="s">
        <v>27248</v>
      </c>
      <c r="I8808" t="s">
        <v>44334</v>
      </c>
      <c r="J8808" t="s">
        <v>17574</v>
      </c>
      <c r="L8808" t="s">
        <v>27250</v>
      </c>
      <c r="M8808" t="s">
        <v>27251</v>
      </c>
      <c r="N8808" t="s">
        <v>27252</v>
      </c>
      <c r="Q8808" s="1">
        <v>44538</v>
      </c>
      <c r="R8808" t="s">
        <v>27253</v>
      </c>
      <c r="S8808" t="s">
        <v>27254</v>
      </c>
      <c r="T8808" t="s">
        <v>27255</v>
      </c>
    </row>
    <row r="8809" spans="1:20" x14ac:dyDescent="0.3">
      <c r="A8809" t="str">
        <f>"0611840556100"</f>
        <v>0611840556100</v>
      </c>
      <c r="B8809" t="str">
        <f>"LK3732"</f>
        <v>LK3732</v>
      </c>
      <c r="C8809" t="s">
        <v>44335</v>
      </c>
      <c r="D8809" t="s">
        <v>27245</v>
      </c>
      <c r="E8809" t="str">
        <f t="shared" si="137"/>
        <v>001390</v>
      </c>
      <c r="F8809" t="s">
        <v>27246</v>
      </c>
      <c r="G8809" t="s">
        <v>27247</v>
      </c>
      <c r="H8809" t="s">
        <v>27248</v>
      </c>
      <c r="I8809" t="s">
        <v>44336</v>
      </c>
      <c r="J8809" t="s">
        <v>17576</v>
      </c>
      <c r="L8809" t="s">
        <v>27250</v>
      </c>
      <c r="M8809" t="s">
        <v>27251</v>
      </c>
      <c r="N8809" t="s">
        <v>27252</v>
      </c>
      <c r="Q8809" s="1">
        <v>44538</v>
      </c>
      <c r="R8809" t="s">
        <v>27253</v>
      </c>
      <c r="S8809" t="s">
        <v>27254</v>
      </c>
      <c r="T8809" t="s">
        <v>27255</v>
      </c>
    </row>
    <row r="8810" spans="1:20" x14ac:dyDescent="0.3">
      <c r="A8810" t="str">
        <f>"0611840557100"</f>
        <v>0611840557100</v>
      </c>
      <c r="B8810" t="str">
        <f>"LK4120"</f>
        <v>LK4120</v>
      </c>
      <c r="C8810" t="s">
        <v>44337</v>
      </c>
      <c r="D8810" t="s">
        <v>27245</v>
      </c>
      <c r="E8810" t="str">
        <f t="shared" si="137"/>
        <v>001390</v>
      </c>
      <c r="F8810" t="s">
        <v>27246</v>
      </c>
      <c r="G8810" t="s">
        <v>27247</v>
      </c>
      <c r="H8810" t="s">
        <v>27248</v>
      </c>
      <c r="I8810" t="s">
        <v>44338</v>
      </c>
      <c r="J8810" t="s">
        <v>17578</v>
      </c>
      <c r="L8810" t="s">
        <v>27250</v>
      </c>
      <c r="M8810" t="s">
        <v>27251</v>
      </c>
      <c r="N8810" t="s">
        <v>27252</v>
      </c>
      <c r="Q8810" s="1">
        <v>44538</v>
      </c>
      <c r="R8810" t="s">
        <v>27253</v>
      </c>
      <c r="S8810" t="s">
        <v>27254</v>
      </c>
      <c r="T8810" t="s">
        <v>27255</v>
      </c>
    </row>
    <row r="8811" spans="1:20" x14ac:dyDescent="0.3">
      <c r="A8811" t="str">
        <f>"0611840559100"</f>
        <v>0611840559100</v>
      </c>
      <c r="B8811" t="str">
        <f>"LK4552"</f>
        <v>LK4552</v>
      </c>
      <c r="C8811" t="s">
        <v>44339</v>
      </c>
      <c r="D8811" t="s">
        <v>27245</v>
      </c>
      <c r="E8811" t="str">
        <f t="shared" si="137"/>
        <v>001390</v>
      </c>
      <c r="F8811" t="s">
        <v>27246</v>
      </c>
      <c r="G8811" t="s">
        <v>27247</v>
      </c>
      <c r="H8811" t="s">
        <v>27248</v>
      </c>
      <c r="I8811" t="s">
        <v>44340</v>
      </c>
      <c r="J8811" t="s">
        <v>17580</v>
      </c>
      <c r="L8811" t="s">
        <v>27250</v>
      </c>
      <c r="M8811" t="s">
        <v>27251</v>
      </c>
      <c r="N8811" t="s">
        <v>27252</v>
      </c>
      <c r="Q8811" s="1">
        <v>44538</v>
      </c>
      <c r="R8811" t="s">
        <v>27253</v>
      </c>
      <c r="S8811" t="s">
        <v>27254</v>
      </c>
      <c r="T8811" t="s">
        <v>27255</v>
      </c>
    </row>
    <row r="8812" spans="1:20" x14ac:dyDescent="0.3">
      <c r="A8812" t="str">
        <f>"0611840560100"</f>
        <v>0611840560100</v>
      </c>
      <c r="B8812" t="str">
        <f>"LK5976"</f>
        <v>LK5976</v>
      </c>
      <c r="C8812" t="s">
        <v>44341</v>
      </c>
      <c r="D8812" t="s">
        <v>27245</v>
      </c>
      <c r="E8812" t="str">
        <f t="shared" si="137"/>
        <v>001390</v>
      </c>
      <c r="F8812" t="s">
        <v>27246</v>
      </c>
      <c r="G8812" t="s">
        <v>27247</v>
      </c>
      <c r="H8812" t="s">
        <v>27248</v>
      </c>
      <c r="I8812" t="s">
        <v>44342</v>
      </c>
      <c r="J8812" t="s">
        <v>17582</v>
      </c>
      <c r="L8812" t="s">
        <v>27250</v>
      </c>
      <c r="M8812" t="s">
        <v>27251</v>
      </c>
      <c r="N8812" t="s">
        <v>27252</v>
      </c>
      <c r="Q8812" s="1">
        <v>44538</v>
      </c>
      <c r="R8812" t="s">
        <v>27253</v>
      </c>
      <c r="S8812" t="s">
        <v>27254</v>
      </c>
      <c r="T8812" t="s">
        <v>27255</v>
      </c>
    </row>
    <row r="8813" spans="1:20" x14ac:dyDescent="0.3">
      <c r="A8813" t="str">
        <f>"0611840561100"</f>
        <v>0611840561100</v>
      </c>
      <c r="B8813" t="str">
        <f>"LK3547"</f>
        <v>LK3547</v>
      </c>
      <c r="C8813" t="s">
        <v>44343</v>
      </c>
      <c r="D8813" t="s">
        <v>27245</v>
      </c>
      <c r="E8813" t="str">
        <f t="shared" si="137"/>
        <v>001390</v>
      </c>
      <c r="F8813" t="s">
        <v>27246</v>
      </c>
      <c r="G8813" t="s">
        <v>27247</v>
      </c>
      <c r="H8813" t="s">
        <v>27248</v>
      </c>
      <c r="I8813" t="s">
        <v>44344</v>
      </c>
      <c r="J8813" t="s">
        <v>17584</v>
      </c>
      <c r="L8813" t="s">
        <v>27250</v>
      </c>
      <c r="M8813" t="s">
        <v>27251</v>
      </c>
      <c r="N8813" t="s">
        <v>27252</v>
      </c>
      <c r="Q8813" s="1">
        <v>44538</v>
      </c>
      <c r="R8813" t="s">
        <v>27253</v>
      </c>
      <c r="S8813" t="s">
        <v>27254</v>
      </c>
      <c r="T8813" t="s">
        <v>27255</v>
      </c>
    </row>
    <row r="8814" spans="1:20" x14ac:dyDescent="0.3">
      <c r="A8814" t="str">
        <f>"0611840562100"</f>
        <v>0611840562100</v>
      </c>
      <c r="B8814" t="str">
        <f>"LK1802"</f>
        <v>LK1802</v>
      </c>
      <c r="C8814" t="s">
        <v>44345</v>
      </c>
      <c r="D8814" t="s">
        <v>27245</v>
      </c>
      <c r="E8814" t="str">
        <f t="shared" si="137"/>
        <v>001390</v>
      </c>
      <c r="F8814" t="s">
        <v>27246</v>
      </c>
      <c r="G8814" t="s">
        <v>27247</v>
      </c>
      <c r="H8814" t="s">
        <v>27248</v>
      </c>
      <c r="I8814" t="s">
        <v>44346</v>
      </c>
      <c r="J8814" t="s">
        <v>17586</v>
      </c>
      <c r="L8814" t="s">
        <v>27250</v>
      </c>
      <c r="M8814" t="s">
        <v>27251</v>
      </c>
      <c r="N8814" t="s">
        <v>27252</v>
      </c>
      <c r="Q8814" s="1">
        <v>44538</v>
      </c>
      <c r="R8814" t="s">
        <v>27253</v>
      </c>
      <c r="S8814" t="s">
        <v>27254</v>
      </c>
      <c r="T8814" t="s">
        <v>27255</v>
      </c>
    </row>
    <row r="8815" spans="1:20" x14ac:dyDescent="0.3">
      <c r="A8815" t="str">
        <f>"0611840563100"</f>
        <v>0611840563100</v>
      </c>
      <c r="B8815" t="str">
        <f>"LK4121"</f>
        <v>LK4121</v>
      </c>
      <c r="C8815" t="s">
        <v>44347</v>
      </c>
      <c r="D8815" t="s">
        <v>27245</v>
      </c>
      <c r="E8815" t="str">
        <f t="shared" si="137"/>
        <v>001390</v>
      </c>
      <c r="F8815" t="s">
        <v>27246</v>
      </c>
      <c r="G8815" t="s">
        <v>27247</v>
      </c>
      <c r="H8815" t="s">
        <v>27248</v>
      </c>
      <c r="I8815" t="s">
        <v>44348</v>
      </c>
      <c r="J8815" t="s">
        <v>17588</v>
      </c>
      <c r="L8815" t="s">
        <v>27250</v>
      </c>
      <c r="M8815" t="s">
        <v>27251</v>
      </c>
      <c r="N8815" t="s">
        <v>27252</v>
      </c>
      <c r="Q8815" s="1">
        <v>44538</v>
      </c>
      <c r="R8815" t="s">
        <v>27253</v>
      </c>
      <c r="S8815" t="s">
        <v>27254</v>
      </c>
      <c r="T8815" t="s">
        <v>27255</v>
      </c>
    </row>
    <row r="8816" spans="1:20" x14ac:dyDescent="0.3">
      <c r="A8816" t="str">
        <f>"0611840564100"</f>
        <v>0611840564100</v>
      </c>
      <c r="B8816" t="str">
        <f>"LK4122"</f>
        <v>LK4122</v>
      </c>
      <c r="C8816" t="s">
        <v>44349</v>
      </c>
      <c r="D8816" t="s">
        <v>27245</v>
      </c>
      <c r="E8816" t="str">
        <f t="shared" si="137"/>
        <v>001390</v>
      </c>
      <c r="F8816" t="s">
        <v>27246</v>
      </c>
      <c r="G8816" t="s">
        <v>27247</v>
      </c>
      <c r="H8816" t="s">
        <v>27248</v>
      </c>
      <c r="I8816" t="s">
        <v>44350</v>
      </c>
      <c r="J8816" t="s">
        <v>17590</v>
      </c>
      <c r="L8816" t="s">
        <v>27250</v>
      </c>
      <c r="M8816" t="s">
        <v>27251</v>
      </c>
      <c r="N8816" t="s">
        <v>27252</v>
      </c>
      <c r="Q8816" s="1">
        <v>44538</v>
      </c>
      <c r="R8816" t="s">
        <v>27253</v>
      </c>
      <c r="S8816" t="s">
        <v>27254</v>
      </c>
      <c r="T8816" t="s">
        <v>27255</v>
      </c>
    </row>
    <row r="8817" spans="1:20" x14ac:dyDescent="0.3">
      <c r="A8817" t="str">
        <f>"0611840565100"</f>
        <v>0611840565100</v>
      </c>
      <c r="B8817" t="str">
        <f>"LK3548"</f>
        <v>LK3548</v>
      </c>
      <c r="C8817" t="s">
        <v>44351</v>
      </c>
      <c r="D8817" t="s">
        <v>27245</v>
      </c>
      <c r="E8817" t="str">
        <f t="shared" si="137"/>
        <v>001390</v>
      </c>
      <c r="F8817" t="s">
        <v>27246</v>
      </c>
      <c r="G8817" t="s">
        <v>27247</v>
      </c>
      <c r="H8817" t="s">
        <v>27248</v>
      </c>
      <c r="I8817" t="s">
        <v>44352</v>
      </c>
      <c r="J8817" t="s">
        <v>17592</v>
      </c>
      <c r="L8817" t="s">
        <v>27250</v>
      </c>
      <c r="M8817" t="s">
        <v>27251</v>
      </c>
      <c r="N8817" t="s">
        <v>27252</v>
      </c>
      <c r="Q8817" s="1">
        <v>44538</v>
      </c>
      <c r="R8817" t="s">
        <v>27253</v>
      </c>
      <c r="S8817" t="s">
        <v>27254</v>
      </c>
      <c r="T8817" t="s">
        <v>27255</v>
      </c>
    </row>
    <row r="8818" spans="1:20" x14ac:dyDescent="0.3">
      <c r="A8818" t="str">
        <f>"0611840566100"</f>
        <v>0611840566100</v>
      </c>
      <c r="B8818" t="str">
        <f>"LK1045"</f>
        <v>LK1045</v>
      </c>
      <c r="C8818" t="s">
        <v>44353</v>
      </c>
      <c r="D8818" t="s">
        <v>27245</v>
      </c>
      <c r="E8818" t="str">
        <f t="shared" si="137"/>
        <v>001390</v>
      </c>
      <c r="F8818" t="s">
        <v>27246</v>
      </c>
      <c r="G8818" t="s">
        <v>27247</v>
      </c>
      <c r="H8818" t="s">
        <v>27248</v>
      </c>
      <c r="I8818" t="s">
        <v>44354</v>
      </c>
      <c r="J8818" t="s">
        <v>17594</v>
      </c>
      <c r="L8818" t="s">
        <v>27250</v>
      </c>
      <c r="M8818" t="s">
        <v>27251</v>
      </c>
      <c r="N8818" t="s">
        <v>27252</v>
      </c>
      <c r="Q8818" s="1">
        <v>44538</v>
      </c>
      <c r="R8818" t="s">
        <v>27253</v>
      </c>
      <c r="S8818" t="s">
        <v>27254</v>
      </c>
      <c r="T8818" t="s">
        <v>27255</v>
      </c>
    </row>
    <row r="8819" spans="1:20" x14ac:dyDescent="0.3">
      <c r="A8819" t="str">
        <f>"0611840567100"</f>
        <v>0611840567100</v>
      </c>
      <c r="B8819" t="str">
        <f>"LK6503"</f>
        <v>LK6503</v>
      </c>
      <c r="C8819" t="s">
        <v>44355</v>
      </c>
      <c r="D8819" t="s">
        <v>27245</v>
      </c>
      <c r="E8819" t="str">
        <f t="shared" si="137"/>
        <v>001390</v>
      </c>
      <c r="F8819" t="s">
        <v>27246</v>
      </c>
      <c r="G8819" t="s">
        <v>27247</v>
      </c>
      <c r="H8819" t="s">
        <v>27248</v>
      </c>
      <c r="I8819" t="s">
        <v>44356</v>
      </c>
      <c r="J8819" t="s">
        <v>17596</v>
      </c>
      <c r="L8819" t="s">
        <v>27250</v>
      </c>
      <c r="M8819" t="s">
        <v>27251</v>
      </c>
      <c r="N8819" t="s">
        <v>27252</v>
      </c>
      <c r="Q8819" s="1">
        <v>44538</v>
      </c>
      <c r="R8819" t="s">
        <v>27253</v>
      </c>
      <c r="S8819" t="s">
        <v>27254</v>
      </c>
      <c r="T8819" t="s">
        <v>27255</v>
      </c>
    </row>
    <row r="8820" spans="1:20" x14ac:dyDescent="0.3">
      <c r="A8820" t="str">
        <f>"0611840569100"</f>
        <v>0611840569100</v>
      </c>
      <c r="B8820" t="str">
        <f>"LK7043"</f>
        <v>LK7043</v>
      </c>
      <c r="C8820" t="s">
        <v>44357</v>
      </c>
      <c r="D8820" t="s">
        <v>27245</v>
      </c>
      <c r="E8820" t="str">
        <f t="shared" si="137"/>
        <v>001390</v>
      </c>
      <c r="F8820" t="s">
        <v>27246</v>
      </c>
      <c r="G8820" t="s">
        <v>27247</v>
      </c>
      <c r="H8820" t="s">
        <v>27248</v>
      </c>
      <c r="I8820" t="s">
        <v>44358</v>
      </c>
      <c r="J8820" t="s">
        <v>17598</v>
      </c>
      <c r="L8820" t="s">
        <v>27250</v>
      </c>
      <c r="M8820" t="s">
        <v>27251</v>
      </c>
      <c r="N8820" t="s">
        <v>27252</v>
      </c>
      <c r="Q8820" s="1">
        <v>44538</v>
      </c>
      <c r="R8820" t="s">
        <v>27253</v>
      </c>
      <c r="S8820" t="s">
        <v>27254</v>
      </c>
      <c r="T8820" t="s">
        <v>27255</v>
      </c>
    </row>
    <row r="8821" spans="1:20" x14ac:dyDescent="0.3">
      <c r="A8821" t="str">
        <f>"0611840570100"</f>
        <v>0611840570100</v>
      </c>
      <c r="B8821" t="str">
        <f>"LK0444"</f>
        <v>LK0444</v>
      </c>
      <c r="C8821" t="s">
        <v>44359</v>
      </c>
      <c r="D8821" t="s">
        <v>27245</v>
      </c>
      <c r="E8821" t="str">
        <f t="shared" si="137"/>
        <v>001390</v>
      </c>
      <c r="F8821" t="s">
        <v>27246</v>
      </c>
      <c r="G8821" t="s">
        <v>27247</v>
      </c>
      <c r="H8821" t="s">
        <v>27248</v>
      </c>
      <c r="I8821" t="s">
        <v>44360</v>
      </c>
      <c r="J8821" t="s">
        <v>17600</v>
      </c>
      <c r="L8821" t="s">
        <v>27250</v>
      </c>
      <c r="M8821" t="s">
        <v>27251</v>
      </c>
      <c r="N8821" t="s">
        <v>27252</v>
      </c>
      <c r="Q8821" s="1">
        <v>44538</v>
      </c>
      <c r="R8821" t="s">
        <v>27253</v>
      </c>
      <c r="S8821" t="s">
        <v>27254</v>
      </c>
      <c r="T8821" t="s">
        <v>27255</v>
      </c>
    </row>
    <row r="8822" spans="1:20" x14ac:dyDescent="0.3">
      <c r="A8822" t="str">
        <f>"0611840571100"</f>
        <v>0611840571100</v>
      </c>
      <c r="B8822" t="str">
        <f>"LK4123"</f>
        <v>LK4123</v>
      </c>
      <c r="C8822" t="s">
        <v>44361</v>
      </c>
      <c r="D8822" t="s">
        <v>27245</v>
      </c>
      <c r="E8822" t="str">
        <f t="shared" si="137"/>
        <v>001390</v>
      </c>
      <c r="F8822" t="s">
        <v>27246</v>
      </c>
      <c r="G8822" t="s">
        <v>27247</v>
      </c>
      <c r="H8822" t="s">
        <v>27248</v>
      </c>
      <c r="I8822" t="s">
        <v>44362</v>
      </c>
      <c r="J8822" t="s">
        <v>17602</v>
      </c>
      <c r="L8822" t="s">
        <v>27250</v>
      </c>
      <c r="M8822" t="s">
        <v>27251</v>
      </c>
      <c r="N8822" t="s">
        <v>27252</v>
      </c>
      <c r="Q8822" s="1">
        <v>44538</v>
      </c>
      <c r="R8822" t="s">
        <v>27253</v>
      </c>
      <c r="S8822" t="s">
        <v>27254</v>
      </c>
      <c r="T8822" t="s">
        <v>27255</v>
      </c>
    </row>
    <row r="8823" spans="1:20" x14ac:dyDescent="0.3">
      <c r="A8823" t="str">
        <f>"0611840572100"</f>
        <v>0611840572100</v>
      </c>
      <c r="B8823" t="str">
        <f>"LK4246"</f>
        <v>LK4246</v>
      </c>
      <c r="C8823" t="s">
        <v>44363</v>
      </c>
      <c r="D8823" t="s">
        <v>27245</v>
      </c>
      <c r="E8823" t="str">
        <f t="shared" si="137"/>
        <v>001390</v>
      </c>
      <c r="F8823" t="s">
        <v>27246</v>
      </c>
      <c r="G8823" t="s">
        <v>27247</v>
      </c>
      <c r="H8823" t="s">
        <v>27248</v>
      </c>
      <c r="I8823" t="s">
        <v>44364</v>
      </c>
      <c r="J8823" t="s">
        <v>17604</v>
      </c>
      <c r="L8823" t="s">
        <v>27250</v>
      </c>
      <c r="M8823" t="s">
        <v>27251</v>
      </c>
      <c r="N8823" t="s">
        <v>27252</v>
      </c>
      <c r="Q8823" s="1">
        <v>44538</v>
      </c>
      <c r="R8823" t="s">
        <v>27253</v>
      </c>
      <c r="S8823" t="s">
        <v>27254</v>
      </c>
      <c r="T8823" t="s">
        <v>27255</v>
      </c>
    </row>
    <row r="8824" spans="1:20" x14ac:dyDescent="0.3">
      <c r="A8824" t="str">
        <f>"0611840573100"</f>
        <v>0611840573100</v>
      </c>
      <c r="B8824" t="str">
        <f>"LB9573"</f>
        <v>LB9573</v>
      </c>
      <c r="C8824" t="s">
        <v>44365</v>
      </c>
      <c r="D8824" t="s">
        <v>27245</v>
      </c>
      <c r="E8824" t="str">
        <f t="shared" si="137"/>
        <v>001390</v>
      </c>
      <c r="F8824" t="s">
        <v>27246</v>
      </c>
      <c r="G8824" t="s">
        <v>27247</v>
      </c>
      <c r="H8824" t="s">
        <v>27248</v>
      </c>
      <c r="I8824" t="s">
        <v>44366</v>
      </c>
      <c r="J8824" t="s">
        <v>17606</v>
      </c>
      <c r="L8824" t="s">
        <v>27250</v>
      </c>
      <c r="M8824" t="s">
        <v>27251</v>
      </c>
      <c r="N8824" t="s">
        <v>27252</v>
      </c>
      <c r="Q8824" s="1">
        <v>44538</v>
      </c>
      <c r="R8824" t="s">
        <v>27253</v>
      </c>
      <c r="S8824" t="s">
        <v>27254</v>
      </c>
      <c r="T8824" t="s">
        <v>27255</v>
      </c>
    </row>
    <row r="8825" spans="1:20" x14ac:dyDescent="0.3">
      <c r="A8825" t="str">
        <f>"0611840574100"</f>
        <v>0611840574100</v>
      </c>
      <c r="B8825" t="str">
        <f>"LK1804"</f>
        <v>LK1804</v>
      </c>
      <c r="C8825" t="s">
        <v>44367</v>
      </c>
      <c r="D8825" t="s">
        <v>27245</v>
      </c>
      <c r="E8825" t="str">
        <f t="shared" si="137"/>
        <v>001390</v>
      </c>
      <c r="F8825" t="s">
        <v>27246</v>
      </c>
      <c r="G8825" t="s">
        <v>27247</v>
      </c>
      <c r="H8825" t="s">
        <v>27248</v>
      </c>
      <c r="I8825" t="s">
        <v>44368</v>
      </c>
      <c r="J8825" t="s">
        <v>17608</v>
      </c>
      <c r="L8825" t="s">
        <v>27250</v>
      </c>
      <c r="M8825" t="s">
        <v>27251</v>
      </c>
      <c r="N8825" t="s">
        <v>27252</v>
      </c>
      <c r="Q8825" s="1">
        <v>44538</v>
      </c>
      <c r="R8825" t="s">
        <v>27253</v>
      </c>
      <c r="S8825" t="s">
        <v>27254</v>
      </c>
      <c r="T8825" t="s">
        <v>27255</v>
      </c>
    </row>
    <row r="8826" spans="1:20" x14ac:dyDescent="0.3">
      <c r="A8826" t="str">
        <f>"0611840576100"</f>
        <v>0611840576100</v>
      </c>
      <c r="B8826" t="str">
        <f>"LS0093"</f>
        <v>LS0093</v>
      </c>
      <c r="C8826" t="s">
        <v>44369</v>
      </c>
      <c r="D8826" t="s">
        <v>27245</v>
      </c>
      <c r="E8826" t="str">
        <f t="shared" si="137"/>
        <v>001390</v>
      </c>
      <c r="F8826" t="s">
        <v>27246</v>
      </c>
      <c r="G8826" t="s">
        <v>27247</v>
      </c>
      <c r="H8826" t="s">
        <v>27248</v>
      </c>
      <c r="I8826" t="s">
        <v>44370</v>
      </c>
      <c r="J8826" t="s">
        <v>17612</v>
      </c>
      <c r="L8826" t="s">
        <v>27250</v>
      </c>
      <c r="M8826" t="s">
        <v>27251</v>
      </c>
      <c r="N8826" t="s">
        <v>27252</v>
      </c>
      <c r="Q8826" s="1">
        <v>44538</v>
      </c>
      <c r="R8826" t="s">
        <v>27253</v>
      </c>
      <c r="S8826" t="s">
        <v>27254</v>
      </c>
      <c r="T8826" t="s">
        <v>27255</v>
      </c>
    </row>
    <row r="8827" spans="1:20" x14ac:dyDescent="0.3">
      <c r="A8827" t="str">
        <f>"0611840578100"</f>
        <v>0611840578100</v>
      </c>
      <c r="B8827" t="str">
        <f>"LS0094"</f>
        <v>LS0094</v>
      </c>
      <c r="C8827" t="s">
        <v>44371</v>
      </c>
      <c r="D8827" t="s">
        <v>27245</v>
      </c>
      <c r="E8827" t="str">
        <f t="shared" si="137"/>
        <v>001390</v>
      </c>
      <c r="F8827" t="s">
        <v>27246</v>
      </c>
      <c r="G8827" t="s">
        <v>27247</v>
      </c>
      <c r="H8827" t="s">
        <v>27248</v>
      </c>
      <c r="I8827" t="s">
        <v>44372</v>
      </c>
      <c r="J8827" t="s">
        <v>17614</v>
      </c>
      <c r="L8827" t="s">
        <v>27250</v>
      </c>
      <c r="M8827" t="s">
        <v>27251</v>
      </c>
      <c r="N8827" t="s">
        <v>27252</v>
      </c>
      <c r="Q8827" s="1">
        <v>44538</v>
      </c>
      <c r="R8827" t="s">
        <v>27253</v>
      </c>
      <c r="S8827" t="s">
        <v>27254</v>
      </c>
      <c r="T8827" t="s">
        <v>27255</v>
      </c>
    </row>
    <row r="8828" spans="1:20" x14ac:dyDescent="0.3">
      <c r="A8828" t="str">
        <f>"0611840577100"</f>
        <v>0611840577100</v>
      </c>
      <c r="B8828" t="str">
        <f>"LK5064"</f>
        <v>LK5064</v>
      </c>
      <c r="C8828" t="s">
        <v>44373</v>
      </c>
      <c r="D8828" t="s">
        <v>27245</v>
      </c>
      <c r="E8828" t="str">
        <f t="shared" si="137"/>
        <v>001390</v>
      </c>
      <c r="F8828" t="s">
        <v>27246</v>
      </c>
      <c r="G8828" t="s">
        <v>27247</v>
      </c>
      <c r="H8828" t="s">
        <v>27248</v>
      </c>
      <c r="I8828" t="s">
        <v>44374</v>
      </c>
      <c r="J8828" t="s">
        <v>17610</v>
      </c>
      <c r="L8828" t="s">
        <v>27250</v>
      </c>
      <c r="M8828" t="s">
        <v>27251</v>
      </c>
      <c r="N8828" t="s">
        <v>27252</v>
      </c>
      <c r="Q8828" s="1">
        <v>44538</v>
      </c>
      <c r="R8828" t="s">
        <v>27253</v>
      </c>
      <c r="S8828" t="s">
        <v>27254</v>
      </c>
      <c r="T8828" t="s">
        <v>27255</v>
      </c>
    </row>
    <row r="8829" spans="1:20" x14ac:dyDescent="0.3">
      <c r="A8829" t="str">
        <f>"0611840582100"</f>
        <v>0611840582100</v>
      </c>
      <c r="B8829" t="str">
        <f>"LK6718"</f>
        <v>LK6718</v>
      </c>
      <c r="C8829" t="s">
        <v>44375</v>
      </c>
      <c r="D8829" t="s">
        <v>27245</v>
      </c>
      <c r="E8829" t="str">
        <f t="shared" si="137"/>
        <v>001390</v>
      </c>
      <c r="F8829" t="s">
        <v>27246</v>
      </c>
      <c r="G8829" t="s">
        <v>27247</v>
      </c>
      <c r="H8829" t="s">
        <v>27248</v>
      </c>
      <c r="I8829" t="s">
        <v>44376</v>
      </c>
      <c r="J8829" t="s">
        <v>17618</v>
      </c>
      <c r="L8829" t="s">
        <v>27250</v>
      </c>
      <c r="M8829" t="s">
        <v>27251</v>
      </c>
      <c r="N8829" t="s">
        <v>27252</v>
      </c>
      <c r="Q8829" s="1">
        <v>44538</v>
      </c>
      <c r="R8829" t="s">
        <v>27253</v>
      </c>
      <c r="S8829" t="s">
        <v>27254</v>
      </c>
      <c r="T8829" t="s">
        <v>27255</v>
      </c>
    </row>
    <row r="8830" spans="1:20" x14ac:dyDescent="0.3">
      <c r="A8830" t="str">
        <f>"0611840583100"</f>
        <v>0611840583100</v>
      </c>
      <c r="B8830" t="str">
        <f>"LK6847"</f>
        <v>LK6847</v>
      </c>
      <c r="C8830" t="s">
        <v>44377</v>
      </c>
      <c r="D8830" t="s">
        <v>27245</v>
      </c>
      <c r="E8830" t="str">
        <f t="shared" si="137"/>
        <v>001390</v>
      </c>
      <c r="F8830" t="s">
        <v>27246</v>
      </c>
      <c r="G8830" t="s">
        <v>27247</v>
      </c>
      <c r="H8830" t="s">
        <v>27248</v>
      </c>
      <c r="I8830" t="s">
        <v>44378</v>
      </c>
      <c r="J8830" t="s">
        <v>17616</v>
      </c>
      <c r="L8830" t="s">
        <v>27250</v>
      </c>
      <c r="M8830" t="s">
        <v>27251</v>
      </c>
      <c r="N8830" t="s">
        <v>27252</v>
      </c>
      <c r="Q8830" s="1">
        <v>44538</v>
      </c>
      <c r="R8830" t="s">
        <v>27253</v>
      </c>
      <c r="S8830" t="s">
        <v>27254</v>
      </c>
      <c r="T8830" t="s">
        <v>27255</v>
      </c>
    </row>
    <row r="8831" spans="1:20" x14ac:dyDescent="0.3">
      <c r="A8831" t="str">
        <f>"0611840584100"</f>
        <v>0611840584100</v>
      </c>
      <c r="B8831" t="str">
        <f>"LK6719"</f>
        <v>LK6719</v>
      </c>
      <c r="C8831" t="s">
        <v>44379</v>
      </c>
      <c r="D8831" t="s">
        <v>27245</v>
      </c>
      <c r="E8831" t="str">
        <f t="shared" si="137"/>
        <v>001390</v>
      </c>
      <c r="F8831" t="s">
        <v>27246</v>
      </c>
      <c r="G8831" t="s">
        <v>27247</v>
      </c>
      <c r="H8831" t="s">
        <v>27248</v>
      </c>
      <c r="I8831" t="s">
        <v>44380</v>
      </c>
      <c r="J8831" t="s">
        <v>17620</v>
      </c>
      <c r="L8831" t="s">
        <v>27250</v>
      </c>
      <c r="M8831" t="s">
        <v>27251</v>
      </c>
      <c r="N8831" t="s">
        <v>27252</v>
      </c>
      <c r="Q8831" s="1">
        <v>44538</v>
      </c>
      <c r="R8831" t="s">
        <v>27253</v>
      </c>
      <c r="S8831" t="s">
        <v>27254</v>
      </c>
      <c r="T8831" t="s">
        <v>27255</v>
      </c>
    </row>
    <row r="8832" spans="1:20" x14ac:dyDescent="0.3">
      <c r="A8832" t="str">
        <f>"0611840585100"</f>
        <v>0611840585100</v>
      </c>
      <c r="B8832" t="str">
        <f>"LK6720"</f>
        <v>LK6720</v>
      </c>
      <c r="C8832" t="s">
        <v>44381</v>
      </c>
      <c r="D8832" t="s">
        <v>27245</v>
      </c>
      <c r="E8832" t="str">
        <f t="shared" si="137"/>
        <v>001390</v>
      </c>
      <c r="F8832" t="s">
        <v>27246</v>
      </c>
      <c r="G8832" t="s">
        <v>27247</v>
      </c>
      <c r="H8832" t="s">
        <v>27248</v>
      </c>
      <c r="I8832" t="s">
        <v>44382</v>
      </c>
      <c r="J8832" t="s">
        <v>17622</v>
      </c>
      <c r="L8832" t="s">
        <v>27250</v>
      </c>
      <c r="M8832" t="s">
        <v>27251</v>
      </c>
      <c r="N8832" t="s">
        <v>27252</v>
      </c>
      <c r="Q8832" s="1">
        <v>44538</v>
      </c>
      <c r="R8832" t="s">
        <v>27253</v>
      </c>
      <c r="S8832" t="s">
        <v>27254</v>
      </c>
      <c r="T8832" t="s">
        <v>27255</v>
      </c>
    </row>
    <row r="8833" spans="1:20" x14ac:dyDescent="0.3">
      <c r="A8833" t="str">
        <f>"0611840586100"</f>
        <v>0611840586100</v>
      </c>
      <c r="B8833" t="str">
        <f>"LK6721"</f>
        <v>LK6721</v>
      </c>
      <c r="C8833" t="s">
        <v>44383</v>
      </c>
      <c r="D8833" t="s">
        <v>27245</v>
      </c>
      <c r="E8833" t="str">
        <f t="shared" si="137"/>
        <v>001390</v>
      </c>
      <c r="F8833" t="s">
        <v>27246</v>
      </c>
      <c r="G8833" t="s">
        <v>27247</v>
      </c>
      <c r="H8833" t="s">
        <v>27248</v>
      </c>
      <c r="I8833" t="s">
        <v>44384</v>
      </c>
      <c r="J8833" t="s">
        <v>17624</v>
      </c>
      <c r="L8833" t="s">
        <v>27250</v>
      </c>
      <c r="M8833" t="s">
        <v>27251</v>
      </c>
      <c r="N8833" t="s">
        <v>27252</v>
      </c>
      <c r="Q8833" s="1">
        <v>44538</v>
      </c>
      <c r="R8833" t="s">
        <v>27253</v>
      </c>
      <c r="S8833" t="s">
        <v>27254</v>
      </c>
      <c r="T8833" t="s">
        <v>27255</v>
      </c>
    </row>
    <row r="8834" spans="1:20" x14ac:dyDescent="0.3">
      <c r="A8834" t="str">
        <f>"0611840587100"</f>
        <v>0611840587100</v>
      </c>
      <c r="B8834" t="str">
        <f>"LK6722"</f>
        <v>LK6722</v>
      </c>
      <c r="C8834" t="s">
        <v>44385</v>
      </c>
      <c r="D8834" t="s">
        <v>27245</v>
      </c>
      <c r="E8834" t="str">
        <f t="shared" ref="E8834:E8897" si="138">"001390"</f>
        <v>001390</v>
      </c>
      <c r="F8834" t="s">
        <v>27246</v>
      </c>
      <c r="G8834" t="s">
        <v>27247</v>
      </c>
      <c r="H8834" t="s">
        <v>27248</v>
      </c>
      <c r="I8834" t="s">
        <v>44386</v>
      </c>
      <c r="J8834" t="s">
        <v>17628</v>
      </c>
      <c r="L8834" t="s">
        <v>27250</v>
      </c>
      <c r="M8834" t="s">
        <v>27251</v>
      </c>
      <c r="N8834" t="s">
        <v>27252</v>
      </c>
      <c r="Q8834" s="1">
        <v>44538</v>
      </c>
      <c r="R8834" t="s">
        <v>27253</v>
      </c>
      <c r="S8834" t="s">
        <v>27254</v>
      </c>
      <c r="T8834" t="s">
        <v>27255</v>
      </c>
    </row>
    <row r="8835" spans="1:20" x14ac:dyDescent="0.3">
      <c r="A8835" t="str">
        <f>"0611840588100"</f>
        <v>0611840588100</v>
      </c>
      <c r="B8835" t="str">
        <f>"LK6723"</f>
        <v>LK6723</v>
      </c>
      <c r="C8835" t="s">
        <v>44387</v>
      </c>
      <c r="D8835" t="s">
        <v>27245</v>
      </c>
      <c r="E8835" t="str">
        <f t="shared" si="138"/>
        <v>001390</v>
      </c>
      <c r="F8835" t="s">
        <v>27246</v>
      </c>
      <c r="G8835" t="s">
        <v>27247</v>
      </c>
      <c r="H8835" t="s">
        <v>27248</v>
      </c>
      <c r="I8835" t="s">
        <v>44388</v>
      </c>
      <c r="J8835" t="s">
        <v>17630</v>
      </c>
      <c r="L8835" t="s">
        <v>27250</v>
      </c>
      <c r="M8835" t="s">
        <v>27251</v>
      </c>
      <c r="N8835" t="s">
        <v>27252</v>
      </c>
      <c r="Q8835" s="1">
        <v>44538</v>
      </c>
      <c r="R8835" t="s">
        <v>27253</v>
      </c>
      <c r="S8835" t="s">
        <v>27254</v>
      </c>
      <c r="T8835" t="s">
        <v>27255</v>
      </c>
    </row>
    <row r="8836" spans="1:20" x14ac:dyDescent="0.3">
      <c r="A8836" t="str">
        <f>"0611840589100"</f>
        <v>0611840589100</v>
      </c>
      <c r="B8836" t="str">
        <f>"LK6873"</f>
        <v>LK6873</v>
      </c>
      <c r="C8836" t="s">
        <v>44389</v>
      </c>
      <c r="D8836" t="s">
        <v>27245</v>
      </c>
      <c r="E8836" t="str">
        <f t="shared" si="138"/>
        <v>001390</v>
      </c>
      <c r="F8836" t="s">
        <v>27246</v>
      </c>
      <c r="G8836" t="s">
        <v>27247</v>
      </c>
      <c r="H8836" t="s">
        <v>27248</v>
      </c>
      <c r="I8836" t="s">
        <v>44390</v>
      </c>
      <c r="J8836" t="s">
        <v>17626</v>
      </c>
      <c r="L8836" t="s">
        <v>27250</v>
      </c>
      <c r="M8836" t="s">
        <v>27251</v>
      </c>
      <c r="N8836" t="s">
        <v>27252</v>
      </c>
      <c r="Q8836" s="1">
        <v>44538</v>
      </c>
      <c r="R8836" t="s">
        <v>27253</v>
      </c>
      <c r="S8836" t="s">
        <v>27254</v>
      </c>
      <c r="T8836" t="s">
        <v>27255</v>
      </c>
    </row>
    <row r="8837" spans="1:20" x14ac:dyDescent="0.3">
      <c r="A8837" t="str">
        <f>"0611840590100"</f>
        <v>0611840590100</v>
      </c>
      <c r="B8837" t="str">
        <f>"LS0096"</f>
        <v>LS0096</v>
      </c>
      <c r="C8837" t="s">
        <v>44391</v>
      </c>
      <c r="D8837" t="s">
        <v>27245</v>
      </c>
      <c r="E8837" t="str">
        <f t="shared" si="138"/>
        <v>001390</v>
      </c>
      <c r="F8837" t="s">
        <v>27246</v>
      </c>
      <c r="G8837" t="s">
        <v>27247</v>
      </c>
      <c r="H8837" t="s">
        <v>27248</v>
      </c>
      <c r="I8837" t="s">
        <v>44392</v>
      </c>
      <c r="J8837" t="s">
        <v>17636</v>
      </c>
      <c r="L8837" t="s">
        <v>27250</v>
      </c>
      <c r="M8837" t="s">
        <v>27251</v>
      </c>
      <c r="N8837" t="s">
        <v>27252</v>
      </c>
      <c r="Q8837" s="1">
        <v>44538</v>
      </c>
      <c r="R8837" t="s">
        <v>27253</v>
      </c>
      <c r="S8837" t="s">
        <v>27254</v>
      </c>
      <c r="T8837" t="s">
        <v>27255</v>
      </c>
    </row>
    <row r="8838" spans="1:20" x14ac:dyDescent="0.3">
      <c r="A8838" t="str">
        <f>"0611840591025"</f>
        <v>0611840591025</v>
      </c>
      <c r="B8838" t="str">
        <f>"MC1662"</f>
        <v>MC1662</v>
      </c>
      <c r="C8838" t="s">
        <v>44393</v>
      </c>
      <c r="D8838" t="s">
        <v>27267</v>
      </c>
      <c r="E8838" t="str">
        <f t="shared" si="138"/>
        <v>001390</v>
      </c>
      <c r="F8838" t="s">
        <v>27246</v>
      </c>
      <c r="G8838" t="s">
        <v>27247</v>
      </c>
      <c r="H8838" t="s">
        <v>27248</v>
      </c>
      <c r="I8838" t="s">
        <v>44394</v>
      </c>
      <c r="J8838" t="s">
        <v>17632</v>
      </c>
      <c r="L8838" t="s">
        <v>27250</v>
      </c>
      <c r="M8838" t="s">
        <v>27251</v>
      </c>
      <c r="N8838" t="s">
        <v>27252</v>
      </c>
      <c r="Q8838" s="1">
        <v>44538</v>
      </c>
      <c r="R8838" t="s">
        <v>27253</v>
      </c>
      <c r="S8838" t="s">
        <v>27254</v>
      </c>
      <c r="T8838" t="s">
        <v>27269</v>
      </c>
    </row>
    <row r="8839" spans="1:20" x14ac:dyDescent="0.3">
      <c r="A8839" t="str">
        <f>"0611840592100"</f>
        <v>0611840592100</v>
      </c>
      <c r="B8839" t="str">
        <f>"LS0095"</f>
        <v>LS0095</v>
      </c>
      <c r="C8839" t="s">
        <v>44395</v>
      </c>
      <c r="D8839" t="s">
        <v>27245</v>
      </c>
      <c r="E8839" t="str">
        <f t="shared" si="138"/>
        <v>001390</v>
      </c>
      <c r="F8839" t="s">
        <v>27246</v>
      </c>
      <c r="G8839" t="s">
        <v>27247</v>
      </c>
      <c r="H8839" t="s">
        <v>27248</v>
      </c>
      <c r="I8839" t="s">
        <v>44396</v>
      </c>
      <c r="J8839" t="s">
        <v>17634</v>
      </c>
      <c r="L8839" t="s">
        <v>27250</v>
      </c>
      <c r="M8839" t="s">
        <v>27251</v>
      </c>
      <c r="N8839" t="s">
        <v>27252</v>
      </c>
      <c r="Q8839" s="1">
        <v>44538</v>
      </c>
      <c r="R8839" t="s">
        <v>27253</v>
      </c>
      <c r="S8839" t="s">
        <v>27254</v>
      </c>
      <c r="T8839" t="s">
        <v>27255</v>
      </c>
    </row>
    <row r="8840" spans="1:20" x14ac:dyDescent="0.3">
      <c r="A8840" t="str">
        <f>"0611840593100"</f>
        <v>0611840593100</v>
      </c>
      <c r="B8840" t="str">
        <f>"LK5295"</f>
        <v>LK5295</v>
      </c>
      <c r="C8840" t="s">
        <v>44397</v>
      </c>
      <c r="D8840" t="s">
        <v>27245</v>
      </c>
      <c r="E8840" t="str">
        <f t="shared" si="138"/>
        <v>001390</v>
      </c>
      <c r="F8840" t="s">
        <v>27246</v>
      </c>
      <c r="G8840" t="s">
        <v>27247</v>
      </c>
      <c r="H8840" t="s">
        <v>27248</v>
      </c>
      <c r="I8840" t="s">
        <v>44398</v>
      </c>
      <c r="J8840" t="s">
        <v>17638</v>
      </c>
      <c r="L8840" t="s">
        <v>27250</v>
      </c>
      <c r="M8840" t="s">
        <v>27251</v>
      </c>
      <c r="N8840" t="s">
        <v>27252</v>
      </c>
      <c r="Q8840" s="1">
        <v>44538</v>
      </c>
      <c r="R8840" t="s">
        <v>27253</v>
      </c>
      <c r="S8840" t="s">
        <v>27254</v>
      </c>
      <c r="T8840" t="s">
        <v>27255</v>
      </c>
    </row>
    <row r="8841" spans="1:20" x14ac:dyDescent="0.3">
      <c r="A8841" t="str">
        <f>"0611840595100"</f>
        <v>0611840595100</v>
      </c>
      <c r="B8841" t="str">
        <f>"LK5297"</f>
        <v>LK5297</v>
      </c>
      <c r="C8841" t="s">
        <v>44399</v>
      </c>
      <c r="D8841" t="s">
        <v>27245</v>
      </c>
      <c r="E8841" t="str">
        <f t="shared" si="138"/>
        <v>001390</v>
      </c>
      <c r="F8841" t="s">
        <v>27246</v>
      </c>
      <c r="G8841" t="s">
        <v>27247</v>
      </c>
      <c r="H8841" t="s">
        <v>27248</v>
      </c>
      <c r="I8841" t="s">
        <v>44400</v>
      </c>
      <c r="J8841" t="s">
        <v>17640</v>
      </c>
      <c r="L8841" t="s">
        <v>27250</v>
      </c>
      <c r="M8841" t="s">
        <v>27251</v>
      </c>
      <c r="N8841" t="s">
        <v>27252</v>
      </c>
      <c r="Q8841" s="1">
        <v>44538</v>
      </c>
      <c r="R8841" t="s">
        <v>27253</v>
      </c>
      <c r="S8841" t="s">
        <v>27254</v>
      </c>
      <c r="T8841" t="s">
        <v>27255</v>
      </c>
    </row>
    <row r="8842" spans="1:20" x14ac:dyDescent="0.3">
      <c r="A8842" t="str">
        <f>"0611857048100"</f>
        <v>0611857048100</v>
      </c>
      <c r="B8842" t="str">
        <f>"LK7096"</f>
        <v>LK7096</v>
      </c>
      <c r="C8842" t="s">
        <v>44401</v>
      </c>
      <c r="D8842" t="s">
        <v>27245</v>
      </c>
      <c r="E8842" t="str">
        <f t="shared" si="138"/>
        <v>001390</v>
      </c>
      <c r="F8842" t="s">
        <v>27246</v>
      </c>
      <c r="G8842" t="s">
        <v>27247</v>
      </c>
      <c r="H8842" t="s">
        <v>27248</v>
      </c>
      <c r="I8842" t="s">
        <v>44402</v>
      </c>
      <c r="J8842" t="s">
        <v>17642</v>
      </c>
      <c r="L8842" t="s">
        <v>27250</v>
      </c>
      <c r="M8842" t="s">
        <v>27251</v>
      </c>
      <c r="N8842" t="s">
        <v>27252</v>
      </c>
      <c r="Q8842" s="1">
        <v>44812</v>
      </c>
      <c r="R8842" t="s">
        <v>27253</v>
      </c>
      <c r="S8842" t="s">
        <v>27254</v>
      </c>
      <c r="T8842" t="s">
        <v>27255</v>
      </c>
    </row>
    <row r="8843" spans="1:20" x14ac:dyDescent="0.3">
      <c r="A8843" t="str">
        <f>"0611837136100"</f>
        <v>0611837136100</v>
      </c>
      <c r="B8843" t="str">
        <f>"LH6781"</f>
        <v>LH6781</v>
      </c>
      <c r="C8843" t="s">
        <v>44403</v>
      </c>
      <c r="D8843" t="s">
        <v>27245</v>
      </c>
      <c r="E8843" t="str">
        <f t="shared" si="138"/>
        <v>001390</v>
      </c>
      <c r="F8843" t="s">
        <v>27246</v>
      </c>
      <c r="G8843" t="s">
        <v>27247</v>
      </c>
      <c r="H8843" t="s">
        <v>27248</v>
      </c>
      <c r="I8843" t="s">
        <v>44404</v>
      </c>
      <c r="J8843" t="s">
        <v>17668</v>
      </c>
      <c r="L8843" t="s">
        <v>27250</v>
      </c>
      <c r="M8843" t="s">
        <v>27251</v>
      </c>
      <c r="N8843" t="s">
        <v>27252</v>
      </c>
      <c r="Q8843" s="1">
        <v>44538</v>
      </c>
      <c r="R8843" t="s">
        <v>27253</v>
      </c>
      <c r="S8843" t="s">
        <v>27254</v>
      </c>
      <c r="T8843" t="s">
        <v>27255</v>
      </c>
    </row>
    <row r="8844" spans="1:20" x14ac:dyDescent="0.3">
      <c r="A8844" t="str">
        <f>"0611837137025"</f>
        <v>0611837137025</v>
      </c>
      <c r="B8844" t="str">
        <f>"MC0568"</f>
        <v>MC0568</v>
      </c>
      <c r="C8844" t="s">
        <v>44403</v>
      </c>
      <c r="D8844" t="s">
        <v>27267</v>
      </c>
      <c r="E8844" t="str">
        <f t="shared" si="138"/>
        <v>001390</v>
      </c>
      <c r="F8844" t="s">
        <v>27246</v>
      </c>
      <c r="G8844" t="s">
        <v>27247</v>
      </c>
      <c r="H8844" t="s">
        <v>27248</v>
      </c>
      <c r="I8844" t="s">
        <v>44405</v>
      </c>
      <c r="J8844" t="s">
        <v>17670</v>
      </c>
      <c r="L8844" t="s">
        <v>27250</v>
      </c>
      <c r="M8844" t="s">
        <v>27251</v>
      </c>
      <c r="N8844" t="s">
        <v>27252</v>
      </c>
      <c r="Q8844" s="1">
        <v>44538</v>
      </c>
      <c r="R8844" t="s">
        <v>27253</v>
      </c>
      <c r="S8844" t="s">
        <v>27254</v>
      </c>
      <c r="T8844" t="s">
        <v>27269</v>
      </c>
    </row>
    <row r="8845" spans="1:20" x14ac:dyDescent="0.3">
      <c r="A8845" t="str">
        <f>"0611837138025"</f>
        <v>0611837138025</v>
      </c>
      <c r="B8845" t="str">
        <f>"MC0569"</f>
        <v>MC0569</v>
      </c>
      <c r="C8845" t="s">
        <v>44406</v>
      </c>
      <c r="D8845" t="s">
        <v>27267</v>
      </c>
      <c r="E8845" t="str">
        <f t="shared" si="138"/>
        <v>001390</v>
      </c>
      <c r="F8845" t="s">
        <v>27246</v>
      </c>
      <c r="G8845" t="s">
        <v>27247</v>
      </c>
      <c r="H8845" t="s">
        <v>27248</v>
      </c>
      <c r="I8845" t="s">
        <v>44407</v>
      </c>
      <c r="J8845" t="s">
        <v>17672</v>
      </c>
      <c r="L8845" t="s">
        <v>27250</v>
      </c>
      <c r="M8845" t="s">
        <v>27251</v>
      </c>
      <c r="N8845" t="s">
        <v>27252</v>
      </c>
      <c r="Q8845" s="1">
        <v>44538</v>
      </c>
      <c r="R8845" t="s">
        <v>27253</v>
      </c>
      <c r="S8845" t="s">
        <v>27254</v>
      </c>
      <c r="T8845" t="s">
        <v>27269</v>
      </c>
    </row>
    <row r="8846" spans="1:20" x14ac:dyDescent="0.3">
      <c r="A8846" t="str">
        <f>"0611837139025"</f>
        <v>0611837139025</v>
      </c>
      <c r="B8846" t="str">
        <f>"MC0570"</f>
        <v>MC0570</v>
      </c>
      <c r="C8846" t="s">
        <v>44408</v>
      </c>
      <c r="D8846" t="s">
        <v>27267</v>
      </c>
      <c r="E8846" t="str">
        <f t="shared" si="138"/>
        <v>001390</v>
      </c>
      <c r="F8846" t="s">
        <v>27246</v>
      </c>
      <c r="G8846" t="s">
        <v>27247</v>
      </c>
      <c r="H8846" t="s">
        <v>27248</v>
      </c>
      <c r="I8846" t="s">
        <v>44409</v>
      </c>
      <c r="J8846" t="s">
        <v>17674</v>
      </c>
      <c r="L8846" t="s">
        <v>27250</v>
      </c>
      <c r="M8846" t="s">
        <v>27251</v>
      </c>
      <c r="N8846" t="s">
        <v>27252</v>
      </c>
      <c r="Q8846" s="1">
        <v>44538</v>
      </c>
      <c r="R8846" t="s">
        <v>27253</v>
      </c>
      <c r="S8846" t="s">
        <v>27254</v>
      </c>
      <c r="T8846" t="s">
        <v>27269</v>
      </c>
    </row>
    <row r="8847" spans="1:20" x14ac:dyDescent="0.3">
      <c r="A8847" t="str">
        <f>"0611837140100"</f>
        <v>0611837140100</v>
      </c>
      <c r="B8847" t="str">
        <f>"LH6751"</f>
        <v>LH6751</v>
      </c>
      <c r="C8847" t="s">
        <v>44410</v>
      </c>
      <c r="D8847" t="s">
        <v>27245</v>
      </c>
      <c r="E8847" t="str">
        <f t="shared" si="138"/>
        <v>001390</v>
      </c>
      <c r="F8847" t="s">
        <v>27246</v>
      </c>
      <c r="G8847" t="s">
        <v>27247</v>
      </c>
      <c r="H8847" t="s">
        <v>27248</v>
      </c>
      <c r="I8847" t="s">
        <v>44411</v>
      </c>
      <c r="J8847" t="s">
        <v>17676</v>
      </c>
      <c r="L8847" t="s">
        <v>27250</v>
      </c>
      <c r="M8847" t="s">
        <v>27251</v>
      </c>
      <c r="N8847" t="s">
        <v>27252</v>
      </c>
      <c r="Q8847" s="1">
        <v>44538</v>
      </c>
      <c r="R8847" t="s">
        <v>27253</v>
      </c>
      <c r="S8847" t="s">
        <v>27254</v>
      </c>
      <c r="T8847" t="s">
        <v>27255</v>
      </c>
    </row>
    <row r="8848" spans="1:20" x14ac:dyDescent="0.3">
      <c r="A8848" t="str">
        <f>"0611837141025"</f>
        <v>0611837141025</v>
      </c>
      <c r="B8848" t="str">
        <f>"MC1313"</f>
        <v>MC1313</v>
      </c>
      <c r="C8848" t="s">
        <v>44410</v>
      </c>
      <c r="D8848" t="s">
        <v>27267</v>
      </c>
      <c r="E8848" t="str">
        <f t="shared" si="138"/>
        <v>001390</v>
      </c>
      <c r="F8848" t="s">
        <v>27246</v>
      </c>
      <c r="G8848" t="s">
        <v>27247</v>
      </c>
      <c r="H8848" t="s">
        <v>27248</v>
      </c>
      <c r="I8848" t="s">
        <v>44412</v>
      </c>
      <c r="J8848" t="s">
        <v>17678</v>
      </c>
      <c r="L8848" t="s">
        <v>27250</v>
      </c>
      <c r="M8848" t="s">
        <v>27251</v>
      </c>
      <c r="N8848" t="s">
        <v>27252</v>
      </c>
      <c r="Q8848" s="1">
        <v>44538</v>
      </c>
      <c r="R8848" t="s">
        <v>27253</v>
      </c>
      <c r="S8848" t="s">
        <v>27254</v>
      </c>
      <c r="T8848" t="s">
        <v>27269</v>
      </c>
    </row>
    <row r="8849" spans="1:20" x14ac:dyDescent="0.3">
      <c r="A8849" t="str">
        <f>"0611837142025"</f>
        <v>0611837142025</v>
      </c>
      <c r="B8849" t="str">
        <f>"MC0567"</f>
        <v>MC0567</v>
      </c>
      <c r="C8849" t="s">
        <v>44413</v>
      </c>
      <c r="D8849" t="s">
        <v>27267</v>
      </c>
      <c r="E8849" t="str">
        <f t="shared" si="138"/>
        <v>001390</v>
      </c>
      <c r="F8849" t="s">
        <v>27246</v>
      </c>
      <c r="G8849" t="s">
        <v>27247</v>
      </c>
      <c r="H8849" t="s">
        <v>27248</v>
      </c>
      <c r="I8849" t="s">
        <v>44414</v>
      </c>
      <c r="J8849" t="s">
        <v>17680</v>
      </c>
      <c r="L8849" t="s">
        <v>27250</v>
      </c>
      <c r="M8849" t="s">
        <v>27251</v>
      </c>
      <c r="N8849" t="s">
        <v>27252</v>
      </c>
      <c r="Q8849" s="1">
        <v>44538</v>
      </c>
      <c r="R8849" t="s">
        <v>27253</v>
      </c>
      <c r="S8849" t="s">
        <v>27254</v>
      </c>
      <c r="T8849" t="s">
        <v>27269</v>
      </c>
    </row>
    <row r="8850" spans="1:20" x14ac:dyDescent="0.3">
      <c r="A8850" t="str">
        <f>"0611837143100"</f>
        <v>0611837143100</v>
      </c>
      <c r="B8850" t="str">
        <f>"LH6770"</f>
        <v>LH6770</v>
      </c>
      <c r="C8850" t="s">
        <v>44415</v>
      </c>
      <c r="D8850" t="s">
        <v>27245</v>
      </c>
      <c r="E8850" t="str">
        <f t="shared" si="138"/>
        <v>001390</v>
      </c>
      <c r="F8850" t="s">
        <v>27246</v>
      </c>
      <c r="G8850" t="s">
        <v>27247</v>
      </c>
      <c r="H8850" t="s">
        <v>27248</v>
      </c>
      <c r="I8850" t="s">
        <v>44416</v>
      </c>
      <c r="J8850" t="s">
        <v>17682</v>
      </c>
      <c r="L8850" t="s">
        <v>27250</v>
      </c>
      <c r="M8850" t="s">
        <v>27251</v>
      </c>
      <c r="N8850" t="s">
        <v>27252</v>
      </c>
      <c r="Q8850" s="1">
        <v>44538</v>
      </c>
      <c r="R8850" t="s">
        <v>27253</v>
      </c>
      <c r="S8850" t="s">
        <v>27254</v>
      </c>
      <c r="T8850" t="s">
        <v>27255</v>
      </c>
    </row>
    <row r="8851" spans="1:20" x14ac:dyDescent="0.3">
      <c r="A8851" t="str">
        <f>"0611837145100"</f>
        <v>0611837145100</v>
      </c>
      <c r="B8851" t="str">
        <f>"LH6782"</f>
        <v>LH6782</v>
      </c>
      <c r="C8851" t="s">
        <v>44417</v>
      </c>
      <c r="D8851" t="s">
        <v>27245</v>
      </c>
      <c r="E8851" t="str">
        <f t="shared" si="138"/>
        <v>001390</v>
      </c>
      <c r="F8851" t="s">
        <v>27246</v>
      </c>
      <c r="G8851" t="s">
        <v>27247</v>
      </c>
      <c r="H8851" t="s">
        <v>27248</v>
      </c>
      <c r="I8851" t="s">
        <v>44418</v>
      </c>
      <c r="J8851" t="s">
        <v>17684</v>
      </c>
      <c r="L8851" t="s">
        <v>27250</v>
      </c>
      <c r="M8851" t="s">
        <v>27251</v>
      </c>
      <c r="N8851" t="s">
        <v>27252</v>
      </c>
      <c r="Q8851" s="1">
        <v>44538</v>
      </c>
      <c r="R8851" t="s">
        <v>27253</v>
      </c>
      <c r="S8851" t="s">
        <v>27254</v>
      </c>
      <c r="T8851" t="s">
        <v>27255</v>
      </c>
    </row>
    <row r="8852" spans="1:20" x14ac:dyDescent="0.3">
      <c r="A8852" t="str">
        <f>"0611837146025"</f>
        <v>0611837146025</v>
      </c>
      <c r="B8852" t="str">
        <f>"MC3780"</f>
        <v>MC3780</v>
      </c>
      <c r="C8852" t="s">
        <v>44419</v>
      </c>
      <c r="D8852" t="s">
        <v>27267</v>
      </c>
      <c r="E8852" t="str">
        <f t="shared" si="138"/>
        <v>001390</v>
      </c>
      <c r="F8852" t="s">
        <v>27246</v>
      </c>
      <c r="G8852" t="s">
        <v>27247</v>
      </c>
      <c r="H8852" t="s">
        <v>27248</v>
      </c>
      <c r="I8852" t="s">
        <v>44420</v>
      </c>
      <c r="J8852" t="s">
        <v>17686</v>
      </c>
      <c r="L8852" t="s">
        <v>27250</v>
      </c>
      <c r="M8852" t="s">
        <v>27251</v>
      </c>
      <c r="N8852" t="s">
        <v>27252</v>
      </c>
      <c r="Q8852" s="1">
        <v>44538</v>
      </c>
      <c r="R8852" t="s">
        <v>27253</v>
      </c>
      <c r="S8852" t="s">
        <v>27254</v>
      </c>
      <c r="T8852" t="s">
        <v>27269</v>
      </c>
    </row>
    <row r="8853" spans="1:20" x14ac:dyDescent="0.3">
      <c r="A8853" t="str">
        <f>"0611837147025"</f>
        <v>0611837147025</v>
      </c>
      <c r="B8853" t="str">
        <f>"MC0571"</f>
        <v>MC0571</v>
      </c>
      <c r="C8853" t="s">
        <v>44421</v>
      </c>
      <c r="D8853" t="s">
        <v>27267</v>
      </c>
      <c r="E8853" t="str">
        <f t="shared" si="138"/>
        <v>001390</v>
      </c>
      <c r="F8853" t="s">
        <v>27246</v>
      </c>
      <c r="G8853" t="s">
        <v>27247</v>
      </c>
      <c r="H8853" t="s">
        <v>27248</v>
      </c>
      <c r="I8853" t="s">
        <v>44422</v>
      </c>
      <c r="J8853" t="s">
        <v>17688</v>
      </c>
      <c r="L8853" t="s">
        <v>27250</v>
      </c>
      <c r="M8853" t="s">
        <v>27251</v>
      </c>
      <c r="N8853" t="s">
        <v>27252</v>
      </c>
      <c r="Q8853" s="1">
        <v>44538</v>
      </c>
      <c r="R8853" t="s">
        <v>27253</v>
      </c>
      <c r="S8853" t="s">
        <v>27254</v>
      </c>
      <c r="T8853" t="s">
        <v>27269</v>
      </c>
    </row>
    <row r="8854" spans="1:20" x14ac:dyDescent="0.3">
      <c r="A8854" t="str">
        <f>"0611837148025"</f>
        <v>0611837148025</v>
      </c>
      <c r="B8854" t="str">
        <f>"MC0572"</f>
        <v>MC0572</v>
      </c>
      <c r="C8854" t="s">
        <v>44423</v>
      </c>
      <c r="D8854" t="s">
        <v>27267</v>
      </c>
      <c r="E8854" t="str">
        <f t="shared" si="138"/>
        <v>001390</v>
      </c>
      <c r="F8854" t="s">
        <v>27246</v>
      </c>
      <c r="G8854" t="s">
        <v>27247</v>
      </c>
      <c r="H8854" t="s">
        <v>27248</v>
      </c>
      <c r="I8854" t="s">
        <v>44424</v>
      </c>
      <c r="J8854" t="s">
        <v>17690</v>
      </c>
      <c r="L8854" t="s">
        <v>27250</v>
      </c>
      <c r="M8854" t="s">
        <v>27251</v>
      </c>
      <c r="N8854" t="s">
        <v>27252</v>
      </c>
      <c r="Q8854" s="1">
        <v>44538</v>
      </c>
      <c r="R8854" t="s">
        <v>27253</v>
      </c>
      <c r="S8854" t="s">
        <v>27254</v>
      </c>
      <c r="T8854" t="s">
        <v>27269</v>
      </c>
    </row>
    <row r="8855" spans="1:20" x14ac:dyDescent="0.3">
      <c r="A8855" t="str">
        <f>"0611837149025"</f>
        <v>0611837149025</v>
      </c>
      <c r="B8855" t="str">
        <f>"MC0573"</f>
        <v>MC0573</v>
      </c>
      <c r="C8855" t="s">
        <v>44425</v>
      </c>
      <c r="D8855" t="s">
        <v>27267</v>
      </c>
      <c r="E8855" t="str">
        <f t="shared" si="138"/>
        <v>001390</v>
      </c>
      <c r="F8855" t="s">
        <v>27246</v>
      </c>
      <c r="G8855" t="s">
        <v>27247</v>
      </c>
      <c r="H8855" t="s">
        <v>27248</v>
      </c>
      <c r="I8855" t="s">
        <v>44426</v>
      </c>
      <c r="J8855" t="s">
        <v>17692</v>
      </c>
      <c r="L8855" t="s">
        <v>27250</v>
      </c>
      <c r="M8855" t="s">
        <v>27251</v>
      </c>
      <c r="N8855" t="s">
        <v>27252</v>
      </c>
      <c r="Q8855" s="1">
        <v>44538</v>
      </c>
      <c r="R8855" t="s">
        <v>27253</v>
      </c>
      <c r="S8855" t="s">
        <v>27254</v>
      </c>
      <c r="T8855" t="s">
        <v>27269</v>
      </c>
    </row>
    <row r="8856" spans="1:20" x14ac:dyDescent="0.3">
      <c r="A8856" t="str">
        <f>"0611837150100"</f>
        <v>0611837150100</v>
      </c>
      <c r="B8856" t="str">
        <f>"LH6783"</f>
        <v>LH6783</v>
      </c>
      <c r="C8856" t="s">
        <v>44427</v>
      </c>
      <c r="D8856" t="s">
        <v>27245</v>
      </c>
      <c r="E8856" t="str">
        <f t="shared" si="138"/>
        <v>001390</v>
      </c>
      <c r="F8856" t="s">
        <v>27246</v>
      </c>
      <c r="G8856" t="s">
        <v>27247</v>
      </c>
      <c r="H8856" t="s">
        <v>27248</v>
      </c>
      <c r="I8856" t="s">
        <v>44428</v>
      </c>
      <c r="J8856" t="s">
        <v>17694</v>
      </c>
      <c r="L8856" t="s">
        <v>27250</v>
      </c>
      <c r="M8856" t="s">
        <v>27251</v>
      </c>
      <c r="N8856" t="s">
        <v>27252</v>
      </c>
      <c r="Q8856" s="1">
        <v>44538</v>
      </c>
      <c r="R8856" t="s">
        <v>27253</v>
      </c>
      <c r="S8856" t="s">
        <v>27254</v>
      </c>
      <c r="T8856" t="s">
        <v>27255</v>
      </c>
    </row>
    <row r="8857" spans="1:20" x14ac:dyDescent="0.3">
      <c r="A8857" t="str">
        <f>"0611837151025"</f>
        <v>0611837151025</v>
      </c>
      <c r="B8857" t="str">
        <f>"MC1318"</f>
        <v>MC1318</v>
      </c>
      <c r="C8857" t="s">
        <v>44429</v>
      </c>
      <c r="D8857" t="s">
        <v>27267</v>
      </c>
      <c r="E8857" t="str">
        <f t="shared" si="138"/>
        <v>001390</v>
      </c>
      <c r="F8857" t="s">
        <v>27246</v>
      </c>
      <c r="G8857" t="s">
        <v>27247</v>
      </c>
      <c r="H8857" t="s">
        <v>27248</v>
      </c>
      <c r="I8857" t="s">
        <v>44430</v>
      </c>
      <c r="J8857" t="s">
        <v>17696</v>
      </c>
      <c r="L8857" t="s">
        <v>27250</v>
      </c>
      <c r="M8857" t="s">
        <v>27251</v>
      </c>
      <c r="N8857" t="s">
        <v>27252</v>
      </c>
      <c r="Q8857" s="1">
        <v>44538</v>
      </c>
      <c r="R8857" t="s">
        <v>27253</v>
      </c>
      <c r="S8857" t="s">
        <v>27254</v>
      </c>
      <c r="T8857" t="s">
        <v>27269</v>
      </c>
    </row>
    <row r="8858" spans="1:20" x14ac:dyDescent="0.3">
      <c r="A8858" t="str">
        <f>"0611837152025"</f>
        <v>0611837152025</v>
      </c>
      <c r="B8858" t="str">
        <f>"MC4228"</f>
        <v>MC4228</v>
      </c>
      <c r="C8858" t="s">
        <v>44431</v>
      </c>
      <c r="D8858" t="s">
        <v>28057</v>
      </c>
      <c r="E8858" t="str">
        <f t="shared" si="138"/>
        <v>001390</v>
      </c>
      <c r="F8858" t="s">
        <v>27246</v>
      </c>
      <c r="G8858" t="s">
        <v>27247</v>
      </c>
      <c r="H8858" t="s">
        <v>27248</v>
      </c>
      <c r="I8858" t="s">
        <v>44432</v>
      </c>
      <c r="J8858" t="s">
        <v>17698</v>
      </c>
      <c r="L8858" t="s">
        <v>27250</v>
      </c>
      <c r="M8858" t="s">
        <v>27251</v>
      </c>
      <c r="N8858" t="s">
        <v>27252</v>
      </c>
      <c r="P8858" t="s">
        <v>27925</v>
      </c>
      <c r="Q8858" s="1">
        <v>44538</v>
      </c>
      <c r="R8858" t="s">
        <v>27253</v>
      </c>
      <c r="S8858" t="s">
        <v>27254</v>
      </c>
      <c r="T8858" t="s">
        <v>27269</v>
      </c>
    </row>
    <row r="8859" spans="1:20" x14ac:dyDescent="0.3">
      <c r="A8859" t="str">
        <f>"0611837153025"</f>
        <v>0611837153025</v>
      </c>
      <c r="B8859" t="str">
        <f>"MC4229"</f>
        <v>MC4229</v>
      </c>
      <c r="C8859" t="s">
        <v>44433</v>
      </c>
      <c r="D8859" t="s">
        <v>28057</v>
      </c>
      <c r="E8859" t="str">
        <f t="shared" si="138"/>
        <v>001390</v>
      </c>
      <c r="F8859" t="s">
        <v>27246</v>
      </c>
      <c r="G8859" t="s">
        <v>27247</v>
      </c>
      <c r="H8859" t="s">
        <v>27248</v>
      </c>
      <c r="I8859" t="s">
        <v>44434</v>
      </c>
      <c r="J8859" t="s">
        <v>17700</v>
      </c>
      <c r="L8859" t="s">
        <v>27250</v>
      </c>
      <c r="M8859" t="s">
        <v>27251</v>
      </c>
      <c r="N8859" t="s">
        <v>27252</v>
      </c>
      <c r="P8859" t="s">
        <v>27925</v>
      </c>
      <c r="Q8859" s="1">
        <v>44538</v>
      </c>
      <c r="R8859" t="s">
        <v>27253</v>
      </c>
      <c r="S8859" t="s">
        <v>27254</v>
      </c>
      <c r="T8859" t="s">
        <v>27269</v>
      </c>
    </row>
    <row r="8860" spans="1:20" x14ac:dyDescent="0.3">
      <c r="A8860" t="str">
        <f>"0611837154100"</f>
        <v>0611837154100</v>
      </c>
      <c r="B8860" t="str">
        <f>"LH8827"</f>
        <v>LH8827</v>
      </c>
      <c r="C8860" t="s">
        <v>44435</v>
      </c>
      <c r="D8860" t="s">
        <v>28138</v>
      </c>
      <c r="E8860" t="str">
        <f t="shared" si="138"/>
        <v>001390</v>
      </c>
      <c r="F8860" t="s">
        <v>27246</v>
      </c>
      <c r="G8860" t="s">
        <v>27247</v>
      </c>
      <c r="H8860" t="s">
        <v>27248</v>
      </c>
      <c r="I8860" t="s">
        <v>44436</v>
      </c>
      <c r="J8860" t="s">
        <v>17702</v>
      </c>
      <c r="L8860" t="s">
        <v>27250</v>
      </c>
      <c r="M8860" t="s">
        <v>27251</v>
      </c>
      <c r="N8860" t="s">
        <v>27252</v>
      </c>
      <c r="P8860" t="s">
        <v>27925</v>
      </c>
      <c r="Q8860" s="1">
        <v>44538</v>
      </c>
      <c r="R8860" t="s">
        <v>27253</v>
      </c>
      <c r="S8860" t="s">
        <v>27254</v>
      </c>
      <c r="T8860" t="s">
        <v>27255</v>
      </c>
    </row>
    <row r="8861" spans="1:20" x14ac:dyDescent="0.3">
      <c r="A8861" t="str">
        <f>"0611837155025"</f>
        <v>0611837155025</v>
      </c>
      <c r="B8861" t="str">
        <f>"MC3778"</f>
        <v>MC3778</v>
      </c>
      <c r="C8861" t="s">
        <v>44435</v>
      </c>
      <c r="D8861" t="s">
        <v>28057</v>
      </c>
      <c r="E8861" t="str">
        <f t="shared" si="138"/>
        <v>001390</v>
      </c>
      <c r="F8861" t="s">
        <v>27246</v>
      </c>
      <c r="G8861" t="s">
        <v>27247</v>
      </c>
      <c r="H8861" t="s">
        <v>27248</v>
      </c>
      <c r="I8861" t="s">
        <v>44437</v>
      </c>
      <c r="J8861" t="s">
        <v>17704</v>
      </c>
      <c r="L8861" t="s">
        <v>27250</v>
      </c>
      <c r="M8861" t="s">
        <v>27251</v>
      </c>
      <c r="N8861" t="s">
        <v>27252</v>
      </c>
      <c r="P8861" t="s">
        <v>27925</v>
      </c>
      <c r="Q8861" s="1">
        <v>44538</v>
      </c>
      <c r="R8861" t="s">
        <v>27253</v>
      </c>
      <c r="S8861" t="s">
        <v>27254</v>
      </c>
      <c r="T8861" t="s">
        <v>27269</v>
      </c>
    </row>
    <row r="8862" spans="1:20" x14ac:dyDescent="0.3">
      <c r="A8862" t="str">
        <f>"0611837156025"</f>
        <v>0611837156025</v>
      </c>
      <c r="B8862" t="str">
        <f>"MC4230"</f>
        <v>MC4230</v>
      </c>
      <c r="C8862" t="s">
        <v>44438</v>
      </c>
      <c r="D8862" t="s">
        <v>28057</v>
      </c>
      <c r="E8862" t="str">
        <f t="shared" si="138"/>
        <v>001390</v>
      </c>
      <c r="F8862" t="s">
        <v>27246</v>
      </c>
      <c r="G8862" t="s">
        <v>27247</v>
      </c>
      <c r="H8862" t="s">
        <v>27248</v>
      </c>
      <c r="I8862" t="s">
        <v>44439</v>
      </c>
      <c r="J8862" t="s">
        <v>17706</v>
      </c>
      <c r="L8862" t="s">
        <v>27250</v>
      </c>
      <c r="M8862" t="s">
        <v>27251</v>
      </c>
      <c r="N8862" t="s">
        <v>27252</v>
      </c>
      <c r="P8862" t="s">
        <v>27925</v>
      </c>
      <c r="Q8862" s="1">
        <v>44538</v>
      </c>
      <c r="R8862" t="s">
        <v>27253</v>
      </c>
      <c r="S8862" t="s">
        <v>27254</v>
      </c>
      <c r="T8862" t="s">
        <v>27269</v>
      </c>
    </row>
    <row r="8863" spans="1:20" x14ac:dyDescent="0.3">
      <c r="A8863" t="str">
        <f>"0611837157100"</f>
        <v>0611837157100</v>
      </c>
      <c r="B8863" t="str">
        <f>"LH6832"</f>
        <v>LH6832</v>
      </c>
      <c r="C8863" t="s">
        <v>44440</v>
      </c>
      <c r="D8863" t="s">
        <v>27245</v>
      </c>
      <c r="E8863" t="str">
        <f t="shared" si="138"/>
        <v>001390</v>
      </c>
      <c r="F8863" t="s">
        <v>27246</v>
      </c>
      <c r="G8863" t="s">
        <v>27247</v>
      </c>
      <c r="H8863" t="s">
        <v>27248</v>
      </c>
      <c r="I8863" t="s">
        <v>44441</v>
      </c>
      <c r="J8863" t="s">
        <v>17708</v>
      </c>
      <c r="L8863" t="s">
        <v>27250</v>
      </c>
      <c r="M8863" t="s">
        <v>27251</v>
      </c>
      <c r="N8863" t="s">
        <v>27252</v>
      </c>
      <c r="Q8863" s="1">
        <v>44538</v>
      </c>
      <c r="R8863" t="s">
        <v>27253</v>
      </c>
      <c r="S8863" t="s">
        <v>27254</v>
      </c>
      <c r="T8863" t="s">
        <v>27255</v>
      </c>
    </row>
    <row r="8864" spans="1:20" x14ac:dyDescent="0.3">
      <c r="A8864" t="str">
        <f>"0611837158025"</f>
        <v>0611837158025</v>
      </c>
      <c r="B8864" t="str">
        <f>"MC3779"</f>
        <v>MC3779</v>
      </c>
      <c r="C8864" t="s">
        <v>44442</v>
      </c>
      <c r="D8864" t="s">
        <v>27267</v>
      </c>
      <c r="E8864" t="str">
        <f t="shared" si="138"/>
        <v>001390</v>
      </c>
      <c r="F8864" t="s">
        <v>27246</v>
      </c>
      <c r="G8864" t="s">
        <v>27247</v>
      </c>
      <c r="H8864" t="s">
        <v>27248</v>
      </c>
      <c r="I8864" t="s">
        <v>44443</v>
      </c>
      <c r="J8864" t="s">
        <v>17710</v>
      </c>
      <c r="L8864" t="s">
        <v>27250</v>
      </c>
      <c r="M8864" t="s">
        <v>27251</v>
      </c>
      <c r="N8864" t="s">
        <v>27252</v>
      </c>
      <c r="Q8864" s="1">
        <v>44538</v>
      </c>
      <c r="R8864" t="s">
        <v>27253</v>
      </c>
      <c r="S8864" t="s">
        <v>27254</v>
      </c>
      <c r="T8864" t="s">
        <v>27269</v>
      </c>
    </row>
    <row r="8865" spans="1:20" x14ac:dyDescent="0.3">
      <c r="A8865" t="str">
        <f>"0611837159025"</f>
        <v>0611837159025</v>
      </c>
      <c r="B8865" t="str">
        <f>"MC3781"</f>
        <v>MC3781</v>
      </c>
      <c r="C8865" t="s">
        <v>44444</v>
      </c>
      <c r="D8865" t="s">
        <v>27267</v>
      </c>
      <c r="E8865" t="str">
        <f t="shared" si="138"/>
        <v>001390</v>
      </c>
      <c r="F8865" t="s">
        <v>27246</v>
      </c>
      <c r="G8865" t="s">
        <v>27247</v>
      </c>
      <c r="H8865" t="s">
        <v>27248</v>
      </c>
      <c r="I8865" t="s">
        <v>44445</v>
      </c>
      <c r="J8865" t="s">
        <v>17712</v>
      </c>
      <c r="L8865" t="s">
        <v>27250</v>
      </c>
      <c r="M8865" t="s">
        <v>27251</v>
      </c>
      <c r="N8865" t="s">
        <v>27252</v>
      </c>
      <c r="Q8865" s="1">
        <v>44538</v>
      </c>
      <c r="R8865" t="s">
        <v>27253</v>
      </c>
      <c r="S8865" t="s">
        <v>27254</v>
      </c>
      <c r="T8865" t="s">
        <v>27269</v>
      </c>
    </row>
    <row r="8866" spans="1:20" x14ac:dyDescent="0.3">
      <c r="A8866" t="str">
        <f>"0611837500100"</f>
        <v>0611837500100</v>
      </c>
      <c r="B8866" t="str">
        <f>"LL2890"</f>
        <v>LL2890</v>
      </c>
      <c r="C8866" t="s">
        <v>44446</v>
      </c>
      <c r="D8866" t="s">
        <v>27245</v>
      </c>
      <c r="E8866" t="str">
        <f t="shared" si="138"/>
        <v>001390</v>
      </c>
      <c r="F8866" t="s">
        <v>27246</v>
      </c>
      <c r="G8866" t="s">
        <v>27247</v>
      </c>
      <c r="H8866" t="s">
        <v>27248</v>
      </c>
      <c r="I8866" t="s">
        <v>44447</v>
      </c>
      <c r="J8866" t="s">
        <v>17714</v>
      </c>
      <c r="L8866" t="s">
        <v>27250</v>
      </c>
      <c r="M8866" t="s">
        <v>27251</v>
      </c>
      <c r="N8866" t="s">
        <v>27252</v>
      </c>
      <c r="Q8866" s="1">
        <v>44538</v>
      </c>
      <c r="R8866" t="s">
        <v>27253</v>
      </c>
      <c r="S8866" t="s">
        <v>27254</v>
      </c>
      <c r="T8866" t="s">
        <v>27255</v>
      </c>
    </row>
    <row r="8867" spans="1:20" x14ac:dyDescent="0.3">
      <c r="A8867" t="str">
        <f>"0611837501100"</f>
        <v>0611837501100</v>
      </c>
      <c r="B8867" t="str">
        <f>"LC8555"</f>
        <v>LC8555</v>
      </c>
      <c r="C8867" t="s">
        <v>44448</v>
      </c>
      <c r="D8867" t="s">
        <v>27245</v>
      </c>
      <c r="E8867" t="str">
        <f t="shared" si="138"/>
        <v>001390</v>
      </c>
      <c r="F8867" t="s">
        <v>27246</v>
      </c>
      <c r="G8867" t="s">
        <v>27247</v>
      </c>
      <c r="H8867" t="s">
        <v>27248</v>
      </c>
      <c r="I8867" t="s">
        <v>44449</v>
      </c>
      <c r="J8867" t="s">
        <v>17716</v>
      </c>
      <c r="L8867" t="s">
        <v>27250</v>
      </c>
      <c r="M8867" t="s">
        <v>27251</v>
      </c>
      <c r="N8867" t="s">
        <v>27252</v>
      </c>
      <c r="Q8867" s="1">
        <v>44538</v>
      </c>
      <c r="R8867" t="s">
        <v>27253</v>
      </c>
      <c r="S8867" t="s">
        <v>27254</v>
      </c>
      <c r="T8867" t="s">
        <v>27255</v>
      </c>
    </row>
    <row r="8868" spans="1:20" x14ac:dyDescent="0.3">
      <c r="A8868" t="str">
        <f>"0611837502200"</f>
        <v>0611837502200</v>
      </c>
      <c r="B8868" t="str">
        <f>"KP8251"</f>
        <v>KP8251</v>
      </c>
      <c r="C8868" t="s">
        <v>44448</v>
      </c>
      <c r="D8868" t="s">
        <v>27682</v>
      </c>
      <c r="E8868" t="str">
        <f t="shared" si="138"/>
        <v>001390</v>
      </c>
      <c r="F8868" t="s">
        <v>27246</v>
      </c>
      <c r="G8868" t="s">
        <v>27247</v>
      </c>
      <c r="H8868" t="s">
        <v>27248</v>
      </c>
      <c r="I8868" t="s">
        <v>44450</v>
      </c>
      <c r="J8868" t="s">
        <v>17718</v>
      </c>
      <c r="L8868" t="s">
        <v>27250</v>
      </c>
      <c r="M8868" t="s">
        <v>27251</v>
      </c>
      <c r="N8868" t="s">
        <v>27252</v>
      </c>
      <c r="Q8868" s="1">
        <v>44538</v>
      </c>
      <c r="R8868" t="s">
        <v>27253</v>
      </c>
      <c r="S8868" t="s">
        <v>27254</v>
      </c>
      <c r="T8868" t="s">
        <v>27684</v>
      </c>
    </row>
    <row r="8869" spans="1:20" x14ac:dyDescent="0.3">
      <c r="A8869" t="str">
        <f>"0611837503025"</f>
        <v>0611837503025</v>
      </c>
      <c r="B8869" t="str">
        <f>"MC0809"</f>
        <v>MC0809</v>
      </c>
      <c r="C8869" t="s">
        <v>44448</v>
      </c>
      <c r="D8869" t="s">
        <v>27267</v>
      </c>
      <c r="E8869" t="str">
        <f t="shared" si="138"/>
        <v>001390</v>
      </c>
      <c r="F8869" t="s">
        <v>27246</v>
      </c>
      <c r="G8869" t="s">
        <v>27247</v>
      </c>
      <c r="H8869" t="s">
        <v>27248</v>
      </c>
      <c r="I8869" t="s">
        <v>44451</v>
      </c>
      <c r="J8869" t="s">
        <v>17720</v>
      </c>
      <c r="L8869" t="s">
        <v>27250</v>
      </c>
      <c r="M8869" t="s">
        <v>27251</v>
      </c>
      <c r="N8869" t="s">
        <v>27252</v>
      </c>
      <c r="Q8869" s="1">
        <v>44538</v>
      </c>
      <c r="R8869" t="s">
        <v>27253</v>
      </c>
      <c r="S8869" t="s">
        <v>27254</v>
      </c>
      <c r="T8869" t="s">
        <v>27269</v>
      </c>
    </row>
    <row r="8870" spans="1:20" x14ac:dyDescent="0.3">
      <c r="A8870" t="str">
        <f>"0611837160100"</f>
        <v>0611837160100</v>
      </c>
      <c r="B8870" t="str">
        <f>"LL2900"</f>
        <v>LL2900</v>
      </c>
      <c r="C8870" t="s">
        <v>44452</v>
      </c>
      <c r="D8870" t="s">
        <v>27245</v>
      </c>
      <c r="E8870" t="str">
        <f t="shared" si="138"/>
        <v>001390</v>
      </c>
      <c r="F8870" t="s">
        <v>27246</v>
      </c>
      <c r="G8870" t="s">
        <v>27247</v>
      </c>
      <c r="H8870" t="s">
        <v>27248</v>
      </c>
      <c r="I8870" t="s">
        <v>44453</v>
      </c>
      <c r="J8870" t="s">
        <v>17722</v>
      </c>
      <c r="L8870" t="s">
        <v>27250</v>
      </c>
      <c r="M8870" t="s">
        <v>27251</v>
      </c>
      <c r="N8870" t="s">
        <v>27252</v>
      </c>
      <c r="Q8870" s="1">
        <v>44538</v>
      </c>
      <c r="R8870" t="s">
        <v>27253</v>
      </c>
      <c r="S8870" t="s">
        <v>27254</v>
      </c>
      <c r="T8870" t="s">
        <v>27255</v>
      </c>
    </row>
    <row r="8871" spans="1:20" x14ac:dyDescent="0.3">
      <c r="A8871" t="str">
        <f>"0611837504100"</f>
        <v>0611837504100</v>
      </c>
      <c r="B8871" t="str">
        <f>"LL2904"</f>
        <v>LL2904</v>
      </c>
      <c r="C8871" t="s">
        <v>44454</v>
      </c>
      <c r="D8871" t="s">
        <v>27245</v>
      </c>
      <c r="E8871" t="str">
        <f t="shared" si="138"/>
        <v>001390</v>
      </c>
      <c r="F8871" t="s">
        <v>27246</v>
      </c>
      <c r="G8871" t="s">
        <v>27247</v>
      </c>
      <c r="H8871" t="s">
        <v>27248</v>
      </c>
      <c r="I8871" t="s">
        <v>44455</v>
      </c>
      <c r="J8871" t="s">
        <v>17724</v>
      </c>
      <c r="L8871" t="s">
        <v>27250</v>
      </c>
      <c r="M8871" t="s">
        <v>27251</v>
      </c>
      <c r="N8871" t="s">
        <v>27252</v>
      </c>
      <c r="Q8871" s="1">
        <v>44538</v>
      </c>
      <c r="R8871" t="s">
        <v>27253</v>
      </c>
      <c r="S8871" t="s">
        <v>27254</v>
      </c>
      <c r="T8871" t="s">
        <v>27255</v>
      </c>
    </row>
    <row r="8872" spans="1:20" x14ac:dyDescent="0.3">
      <c r="A8872" t="str">
        <f>"0611837505025"</f>
        <v>0611837505025</v>
      </c>
      <c r="B8872" t="str">
        <f>"MC2983"</f>
        <v>MC2983</v>
      </c>
      <c r="C8872" t="s">
        <v>44454</v>
      </c>
      <c r="D8872" t="s">
        <v>27267</v>
      </c>
      <c r="E8872" t="str">
        <f t="shared" si="138"/>
        <v>001390</v>
      </c>
      <c r="F8872" t="s">
        <v>27246</v>
      </c>
      <c r="G8872" t="s">
        <v>27247</v>
      </c>
      <c r="H8872" t="s">
        <v>27248</v>
      </c>
      <c r="I8872" t="s">
        <v>44456</v>
      </c>
      <c r="J8872" t="s">
        <v>17726</v>
      </c>
      <c r="L8872" t="s">
        <v>27250</v>
      </c>
      <c r="M8872" t="s">
        <v>27251</v>
      </c>
      <c r="N8872" t="s">
        <v>27252</v>
      </c>
      <c r="Q8872" s="1">
        <v>44538</v>
      </c>
      <c r="R8872" t="s">
        <v>27253</v>
      </c>
      <c r="S8872" t="s">
        <v>27254</v>
      </c>
      <c r="T8872" t="s">
        <v>27269</v>
      </c>
    </row>
    <row r="8873" spans="1:20" x14ac:dyDescent="0.3">
      <c r="A8873" t="str">
        <f>"0611837506100"</f>
        <v>0611837506100</v>
      </c>
      <c r="B8873" t="str">
        <f>"LC8550"</f>
        <v>LC8550</v>
      </c>
      <c r="C8873" t="s">
        <v>44457</v>
      </c>
      <c r="D8873" t="s">
        <v>27245</v>
      </c>
      <c r="E8873" t="str">
        <f t="shared" si="138"/>
        <v>001390</v>
      </c>
      <c r="F8873" t="s">
        <v>27246</v>
      </c>
      <c r="G8873" t="s">
        <v>27247</v>
      </c>
      <c r="H8873" t="s">
        <v>27248</v>
      </c>
      <c r="I8873" t="s">
        <v>44458</v>
      </c>
      <c r="J8873" t="s">
        <v>17728</v>
      </c>
      <c r="L8873" t="s">
        <v>27250</v>
      </c>
      <c r="M8873" t="s">
        <v>27251</v>
      </c>
      <c r="N8873" t="s">
        <v>27252</v>
      </c>
      <c r="Q8873" s="1">
        <v>44538</v>
      </c>
      <c r="R8873" t="s">
        <v>27253</v>
      </c>
      <c r="S8873" t="s">
        <v>27254</v>
      </c>
      <c r="T8873" t="s">
        <v>27255</v>
      </c>
    </row>
    <row r="8874" spans="1:20" x14ac:dyDescent="0.3">
      <c r="A8874" t="str">
        <f>"0611837507100"</f>
        <v>0611837507100</v>
      </c>
      <c r="B8874" t="str">
        <f>"LC8552"</f>
        <v>LC8552</v>
      </c>
      <c r="C8874" t="s">
        <v>44459</v>
      </c>
      <c r="D8874" t="s">
        <v>27245</v>
      </c>
      <c r="E8874" t="str">
        <f t="shared" si="138"/>
        <v>001390</v>
      </c>
      <c r="F8874" t="s">
        <v>27246</v>
      </c>
      <c r="G8874" t="s">
        <v>27247</v>
      </c>
      <c r="H8874" t="s">
        <v>27248</v>
      </c>
      <c r="I8874" t="s">
        <v>44460</v>
      </c>
      <c r="J8874" t="s">
        <v>17732</v>
      </c>
      <c r="L8874" t="s">
        <v>27250</v>
      </c>
      <c r="M8874" t="s">
        <v>27251</v>
      </c>
      <c r="N8874" t="s">
        <v>27252</v>
      </c>
      <c r="Q8874" s="1">
        <v>44538</v>
      </c>
      <c r="R8874" t="s">
        <v>27253</v>
      </c>
      <c r="S8874" t="s">
        <v>27254</v>
      </c>
      <c r="T8874" t="s">
        <v>27255</v>
      </c>
    </row>
    <row r="8875" spans="1:20" x14ac:dyDescent="0.3">
      <c r="A8875" t="str">
        <f>"0611837508100"</f>
        <v>0611837508100</v>
      </c>
      <c r="B8875" t="str">
        <f>"LL2913"</f>
        <v>LL2913</v>
      </c>
      <c r="C8875" t="s">
        <v>44461</v>
      </c>
      <c r="D8875" t="s">
        <v>27245</v>
      </c>
      <c r="E8875" t="str">
        <f t="shared" si="138"/>
        <v>001390</v>
      </c>
      <c r="F8875" t="s">
        <v>27246</v>
      </c>
      <c r="G8875" t="s">
        <v>27247</v>
      </c>
      <c r="H8875" t="s">
        <v>27248</v>
      </c>
      <c r="I8875" t="s">
        <v>44462</v>
      </c>
      <c r="J8875" t="s">
        <v>17734</v>
      </c>
      <c r="L8875" t="s">
        <v>27250</v>
      </c>
      <c r="M8875" t="s">
        <v>27251</v>
      </c>
      <c r="N8875" t="s">
        <v>27252</v>
      </c>
      <c r="Q8875" s="1">
        <v>44538</v>
      </c>
      <c r="R8875" t="s">
        <v>27253</v>
      </c>
      <c r="S8875" t="s">
        <v>27254</v>
      </c>
      <c r="T8875" t="s">
        <v>27255</v>
      </c>
    </row>
    <row r="8876" spans="1:20" x14ac:dyDescent="0.3">
      <c r="A8876" t="str">
        <f>"0611837509200"</f>
        <v>0611837509200</v>
      </c>
      <c r="B8876" t="str">
        <f>"KY2913"</f>
        <v>KY2913</v>
      </c>
      <c r="C8876" t="s">
        <v>44461</v>
      </c>
      <c r="D8876" t="s">
        <v>27682</v>
      </c>
      <c r="E8876" t="str">
        <f t="shared" si="138"/>
        <v>001390</v>
      </c>
      <c r="F8876" t="s">
        <v>27246</v>
      </c>
      <c r="G8876" t="s">
        <v>27247</v>
      </c>
      <c r="H8876" t="s">
        <v>27248</v>
      </c>
      <c r="I8876" t="s">
        <v>44463</v>
      </c>
      <c r="J8876" t="s">
        <v>17736</v>
      </c>
      <c r="L8876" t="s">
        <v>27250</v>
      </c>
      <c r="M8876" t="s">
        <v>27251</v>
      </c>
      <c r="N8876" t="s">
        <v>27252</v>
      </c>
      <c r="Q8876" s="1">
        <v>44538</v>
      </c>
      <c r="R8876" t="s">
        <v>27253</v>
      </c>
      <c r="S8876" t="s">
        <v>27254</v>
      </c>
      <c r="T8876" t="s">
        <v>27684</v>
      </c>
    </row>
    <row r="8877" spans="1:20" x14ac:dyDescent="0.3">
      <c r="A8877" t="str">
        <f>"0611837510100"</f>
        <v>0611837510100</v>
      </c>
      <c r="B8877" t="str">
        <f>"LL2915"</f>
        <v>LL2915</v>
      </c>
      <c r="C8877" t="s">
        <v>44464</v>
      </c>
      <c r="D8877" t="s">
        <v>27245</v>
      </c>
      <c r="E8877" t="str">
        <f t="shared" si="138"/>
        <v>001390</v>
      </c>
      <c r="F8877" t="s">
        <v>27246</v>
      </c>
      <c r="G8877" t="s">
        <v>27247</v>
      </c>
      <c r="H8877" t="s">
        <v>27248</v>
      </c>
      <c r="I8877" t="s">
        <v>44465</v>
      </c>
      <c r="J8877" t="s">
        <v>17738</v>
      </c>
      <c r="L8877" t="s">
        <v>27250</v>
      </c>
      <c r="M8877" t="s">
        <v>27251</v>
      </c>
      <c r="N8877" t="s">
        <v>27252</v>
      </c>
      <c r="Q8877" s="1">
        <v>44538</v>
      </c>
      <c r="R8877" t="s">
        <v>27253</v>
      </c>
      <c r="S8877" t="s">
        <v>27254</v>
      </c>
      <c r="T8877" t="s">
        <v>27255</v>
      </c>
    </row>
    <row r="8878" spans="1:20" x14ac:dyDescent="0.3">
      <c r="A8878" t="str">
        <f>"0611837511100"</f>
        <v>0611837511100</v>
      </c>
      <c r="B8878" t="str">
        <f>"LL2925"</f>
        <v>LL2925</v>
      </c>
      <c r="C8878" t="s">
        <v>44466</v>
      </c>
      <c r="D8878" t="s">
        <v>27245</v>
      </c>
      <c r="E8878" t="str">
        <f t="shared" si="138"/>
        <v>001390</v>
      </c>
      <c r="F8878" t="s">
        <v>27246</v>
      </c>
      <c r="G8878" t="s">
        <v>27247</v>
      </c>
      <c r="H8878" t="s">
        <v>27248</v>
      </c>
      <c r="I8878" t="s">
        <v>44467</v>
      </c>
      <c r="J8878" t="s">
        <v>17740</v>
      </c>
      <c r="L8878" t="s">
        <v>27250</v>
      </c>
      <c r="M8878" t="s">
        <v>27251</v>
      </c>
      <c r="N8878" t="s">
        <v>27252</v>
      </c>
      <c r="Q8878" s="1">
        <v>44538</v>
      </c>
      <c r="R8878" t="s">
        <v>27253</v>
      </c>
      <c r="S8878" t="s">
        <v>27254</v>
      </c>
      <c r="T8878" t="s">
        <v>27255</v>
      </c>
    </row>
    <row r="8879" spans="1:20" x14ac:dyDescent="0.3">
      <c r="A8879" t="str">
        <f>"0611837161100"</f>
        <v>0611837161100</v>
      </c>
      <c r="B8879" t="str">
        <f>"LL2920"</f>
        <v>LL2920</v>
      </c>
      <c r="C8879" t="s">
        <v>44468</v>
      </c>
      <c r="D8879" t="s">
        <v>27245</v>
      </c>
      <c r="E8879" t="str">
        <f t="shared" si="138"/>
        <v>001390</v>
      </c>
      <c r="F8879" t="s">
        <v>27246</v>
      </c>
      <c r="G8879" t="s">
        <v>27247</v>
      </c>
      <c r="H8879" t="s">
        <v>27248</v>
      </c>
      <c r="I8879" t="s">
        <v>44469</v>
      </c>
      <c r="J8879" t="s">
        <v>17742</v>
      </c>
      <c r="L8879" t="s">
        <v>27250</v>
      </c>
      <c r="M8879" t="s">
        <v>27251</v>
      </c>
      <c r="N8879" t="s">
        <v>27252</v>
      </c>
      <c r="Q8879" s="1">
        <v>44538</v>
      </c>
      <c r="R8879" t="s">
        <v>27253</v>
      </c>
      <c r="S8879" t="s">
        <v>27254</v>
      </c>
      <c r="T8879" t="s">
        <v>27255</v>
      </c>
    </row>
    <row r="8880" spans="1:20" x14ac:dyDescent="0.3">
      <c r="A8880" t="str">
        <f>"0611837513200"</f>
        <v>0611837513200</v>
      </c>
      <c r="B8880" t="str">
        <f>"KP8200"</f>
        <v>KP8200</v>
      </c>
      <c r="C8880" t="s">
        <v>44468</v>
      </c>
      <c r="D8880" t="s">
        <v>27682</v>
      </c>
      <c r="E8880" t="str">
        <f t="shared" si="138"/>
        <v>001390</v>
      </c>
      <c r="F8880" t="s">
        <v>27246</v>
      </c>
      <c r="G8880" t="s">
        <v>27247</v>
      </c>
      <c r="H8880" t="s">
        <v>27248</v>
      </c>
      <c r="I8880" t="s">
        <v>44470</v>
      </c>
      <c r="J8880" t="s">
        <v>17744</v>
      </c>
      <c r="L8880" t="s">
        <v>27250</v>
      </c>
      <c r="M8880" t="s">
        <v>27251</v>
      </c>
      <c r="N8880" t="s">
        <v>27252</v>
      </c>
      <c r="Q8880" s="1">
        <v>44538</v>
      </c>
      <c r="R8880" t="s">
        <v>27253</v>
      </c>
      <c r="S8880" t="s">
        <v>27254</v>
      </c>
      <c r="T8880" t="s">
        <v>27684</v>
      </c>
    </row>
    <row r="8881" spans="1:20" x14ac:dyDescent="0.3">
      <c r="A8881" t="str">
        <f>"0611837162025"</f>
        <v>0611837162025</v>
      </c>
      <c r="B8881" t="str">
        <f>"MC0810"</f>
        <v>MC0810</v>
      </c>
      <c r="C8881" t="s">
        <v>44471</v>
      </c>
      <c r="D8881" t="s">
        <v>27267</v>
      </c>
      <c r="E8881" t="str">
        <f t="shared" si="138"/>
        <v>001390</v>
      </c>
      <c r="F8881" t="s">
        <v>27246</v>
      </c>
      <c r="G8881" t="s">
        <v>27247</v>
      </c>
      <c r="H8881" t="s">
        <v>27248</v>
      </c>
      <c r="I8881" t="s">
        <v>44472</v>
      </c>
      <c r="J8881" t="s">
        <v>17748</v>
      </c>
      <c r="L8881" t="s">
        <v>27250</v>
      </c>
      <c r="M8881" t="s">
        <v>27251</v>
      </c>
      <c r="N8881" t="s">
        <v>27252</v>
      </c>
      <c r="Q8881" s="1">
        <v>44538</v>
      </c>
      <c r="R8881" t="s">
        <v>27253</v>
      </c>
      <c r="S8881" t="s">
        <v>27254</v>
      </c>
      <c r="T8881" t="s">
        <v>27269</v>
      </c>
    </row>
    <row r="8882" spans="1:20" x14ac:dyDescent="0.3">
      <c r="A8882" t="str">
        <f>"0611837514100"</f>
        <v>0611837514100</v>
      </c>
      <c r="B8882" t="str">
        <f>"LC8554"</f>
        <v>LC8554</v>
      </c>
      <c r="C8882" t="s">
        <v>44473</v>
      </c>
      <c r="D8882" t="s">
        <v>27245</v>
      </c>
      <c r="E8882" t="str">
        <f t="shared" si="138"/>
        <v>001390</v>
      </c>
      <c r="F8882" t="s">
        <v>27246</v>
      </c>
      <c r="G8882" t="s">
        <v>27247</v>
      </c>
      <c r="H8882" t="s">
        <v>27248</v>
      </c>
      <c r="I8882" t="s">
        <v>44474</v>
      </c>
      <c r="J8882" t="s">
        <v>17750</v>
      </c>
      <c r="L8882" t="s">
        <v>27250</v>
      </c>
      <c r="M8882" t="s">
        <v>27251</v>
      </c>
      <c r="N8882" t="s">
        <v>27252</v>
      </c>
      <c r="Q8882" s="1">
        <v>44538</v>
      </c>
      <c r="R8882" t="s">
        <v>27253</v>
      </c>
      <c r="S8882" t="s">
        <v>27254</v>
      </c>
      <c r="T8882" t="s">
        <v>27255</v>
      </c>
    </row>
    <row r="8883" spans="1:20" x14ac:dyDescent="0.3">
      <c r="A8883" t="str">
        <f>"0611837166100"</f>
        <v>0611837166100</v>
      </c>
      <c r="B8883" t="str">
        <f>"LK1338"</f>
        <v>LK1338</v>
      </c>
      <c r="C8883" t="s">
        <v>44475</v>
      </c>
      <c r="D8883" t="s">
        <v>27245</v>
      </c>
      <c r="E8883" t="str">
        <f t="shared" si="138"/>
        <v>001390</v>
      </c>
      <c r="F8883" t="s">
        <v>27246</v>
      </c>
      <c r="G8883" t="s">
        <v>27247</v>
      </c>
      <c r="H8883" t="s">
        <v>27248</v>
      </c>
      <c r="I8883" t="s">
        <v>44476</v>
      </c>
      <c r="J8883" t="s">
        <v>17752</v>
      </c>
      <c r="L8883" t="s">
        <v>27250</v>
      </c>
      <c r="M8883" t="s">
        <v>27251</v>
      </c>
      <c r="N8883" t="s">
        <v>27252</v>
      </c>
      <c r="Q8883" s="1">
        <v>44538</v>
      </c>
      <c r="R8883" t="s">
        <v>27253</v>
      </c>
      <c r="S8883" t="s">
        <v>27254</v>
      </c>
      <c r="T8883" t="s">
        <v>27255</v>
      </c>
    </row>
    <row r="8884" spans="1:20" x14ac:dyDescent="0.3">
      <c r="A8884" t="str">
        <f>"0611837167025"</f>
        <v>0611837167025</v>
      </c>
      <c r="B8884" t="str">
        <f>"MC2305"</f>
        <v>MC2305</v>
      </c>
      <c r="C8884" t="s">
        <v>44475</v>
      </c>
      <c r="D8884" t="s">
        <v>27267</v>
      </c>
      <c r="E8884" t="str">
        <f t="shared" si="138"/>
        <v>001390</v>
      </c>
      <c r="F8884" t="s">
        <v>27246</v>
      </c>
      <c r="G8884" t="s">
        <v>27247</v>
      </c>
      <c r="H8884" t="s">
        <v>27248</v>
      </c>
      <c r="I8884" t="s">
        <v>44477</v>
      </c>
      <c r="J8884" t="s">
        <v>17754</v>
      </c>
      <c r="L8884" t="s">
        <v>27250</v>
      </c>
      <c r="M8884" t="s">
        <v>27251</v>
      </c>
      <c r="N8884" t="s">
        <v>27252</v>
      </c>
      <c r="Q8884" s="1">
        <v>44538</v>
      </c>
      <c r="R8884" t="s">
        <v>27253</v>
      </c>
      <c r="S8884" t="s">
        <v>27254</v>
      </c>
      <c r="T8884" t="s">
        <v>27269</v>
      </c>
    </row>
    <row r="8885" spans="1:20" x14ac:dyDescent="0.3">
      <c r="A8885" t="str">
        <f>"0611837168025"</f>
        <v>0611837168025</v>
      </c>
      <c r="B8885" t="str">
        <f>"MC2864"</f>
        <v>MC2864</v>
      </c>
      <c r="C8885" t="s">
        <v>44478</v>
      </c>
      <c r="D8885" t="s">
        <v>27267</v>
      </c>
      <c r="E8885" t="str">
        <f t="shared" si="138"/>
        <v>001390</v>
      </c>
      <c r="F8885" t="s">
        <v>27246</v>
      </c>
      <c r="G8885" t="s">
        <v>27247</v>
      </c>
      <c r="H8885" t="s">
        <v>27248</v>
      </c>
      <c r="I8885" t="s">
        <v>44479</v>
      </c>
      <c r="J8885" t="s">
        <v>17756</v>
      </c>
      <c r="L8885" t="s">
        <v>27250</v>
      </c>
      <c r="M8885" t="s">
        <v>27251</v>
      </c>
      <c r="N8885" t="s">
        <v>27252</v>
      </c>
      <c r="Q8885" s="1">
        <v>44538</v>
      </c>
      <c r="R8885" t="s">
        <v>27253</v>
      </c>
      <c r="S8885" t="s">
        <v>27254</v>
      </c>
      <c r="T8885" t="s">
        <v>27269</v>
      </c>
    </row>
    <row r="8886" spans="1:20" x14ac:dyDescent="0.3">
      <c r="A8886" t="str">
        <f>"0611857049100"</f>
        <v>0611857049100</v>
      </c>
      <c r="B8886" t="str">
        <f>"LL5042"</f>
        <v>LL5042</v>
      </c>
      <c r="C8886" t="s">
        <v>44480</v>
      </c>
      <c r="D8886" t="s">
        <v>27245</v>
      </c>
      <c r="E8886" t="str">
        <f t="shared" si="138"/>
        <v>001390</v>
      </c>
      <c r="F8886" t="s">
        <v>27246</v>
      </c>
      <c r="G8886" t="s">
        <v>27247</v>
      </c>
      <c r="H8886" t="s">
        <v>27248</v>
      </c>
      <c r="I8886" t="s">
        <v>44481</v>
      </c>
      <c r="J8886" t="s">
        <v>17766</v>
      </c>
      <c r="L8886" t="s">
        <v>27250</v>
      </c>
      <c r="M8886" t="s">
        <v>27251</v>
      </c>
      <c r="N8886" t="s">
        <v>27252</v>
      </c>
      <c r="Q8886" s="1">
        <v>44812</v>
      </c>
      <c r="R8886" t="s">
        <v>27253</v>
      </c>
      <c r="S8886" t="s">
        <v>27254</v>
      </c>
      <c r="T8886" t="s">
        <v>27255</v>
      </c>
    </row>
    <row r="8887" spans="1:20" x14ac:dyDescent="0.3">
      <c r="A8887" t="str">
        <f>"0611838499100"</f>
        <v>0611838499100</v>
      </c>
      <c r="B8887" t="str">
        <f>"LL2954"</f>
        <v>LL2954</v>
      </c>
      <c r="C8887" t="s">
        <v>44482</v>
      </c>
      <c r="D8887" t="s">
        <v>27245</v>
      </c>
      <c r="E8887" t="str">
        <f t="shared" si="138"/>
        <v>001390</v>
      </c>
      <c r="F8887" t="s">
        <v>27246</v>
      </c>
      <c r="G8887" t="s">
        <v>27247</v>
      </c>
      <c r="H8887" t="s">
        <v>27248</v>
      </c>
      <c r="I8887" t="s">
        <v>44483</v>
      </c>
      <c r="J8887" t="s">
        <v>17758</v>
      </c>
      <c r="L8887" t="s">
        <v>27250</v>
      </c>
      <c r="M8887" t="s">
        <v>27251</v>
      </c>
      <c r="N8887" t="s">
        <v>27252</v>
      </c>
      <c r="Q8887" s="1">
        <v>44538</v>
      </c>
      <c r="R8887" t="s">
        <v>27253</v>
      </c>
      <c r="S8887" t="s">
        <v>27254</v>
      </c>
      <c r="T8887" t="s">
        <v>27255</v>
      </c>
    </row>
    <row r="8888" spans="1:20" x14ac:dyDescent="0.3">
      <c r="A8888" t="str">
        <f>"0611838498100"</f>
        <v>0611838498100</v>
      </c>
      <c r="B8888" t="str">
        <f>"LL8212"</f>
        <v>LL8212</v>
      </c>
      <c r="C8888" t="s">
        <v>44484</v>
      </c>
      <c r="D8888" t="s">
        <v>27245</v>
      </c>
      <c r="E8888" t="str">
        <f t="shared" si="138"/>
        <v>001390</v>
      </c>
      <c r="F8888" t="s">
        <v>27246</v>
      </c>
      <c r="G8888" t="s">
        <v>27247</v>
      </c>
      <c r="H8888" t="s">
        <v>27248</v>
      </c>
      <c r="I8888" t="s">
        <v>44485</v>
      </c>
      <c r="J8888" t="s">
        <v>17760</v>
      </c>
      <c r="L8888" t="s">
        <v>27250</v>
      </c>
      <c r="M8888" t="s">
        <v>27251</v>
      </c>
      <c r="N8888" t="s">
        <v>27252</v>
      </c>
      <c r="Q8888" s="1">
        <v>44538</v>
      </c>
      <c r="R8888" t="s">
        <v>27253</v>
      </c>
      <c r="S8888" t="s">
        <v>27254</v>
      </c>
      <c r="T8888" t="s">
        <v>27255</v>
      </c>
    </row>
    <row r="8889" spans="1:20" x14ac:dyDescent="0.3">
      <c r="A8889" t="str">
        <f>"0611838496100"</f>
        <v>0611838496100</v>
      </c>
      <c r="B8889" t="str">
        <f>"LL8330"</f>
        <v>LL8330</v>
      </c>
      <c r="C8889" t="s">
        <v>44486</v>
      </c>
      <c r="D8889" t="s">
        <v>27245</v>
      </c>
      <c r="E8889" t="str">
        <f t="shared" si="138"/>
        <v>001390</v>
      </c>
      <c r="F8889" t="s">
        <v>27246</v>
      </c>
      <c r="G8889" t="s">
        <v>27247</v>
      </c>
      <c r="H8889" t="s">
        <v>27248</v>
      </c>
      <c r="I8889" t="s">
        <v>44487</v>
      </c>
      <c r="J8889" t="s">
        <v>17762</v>
      </c>
      <c r="L8889" t="s">
        <v>27250</v>
      </c>
      <c r="M8889" t="s">
        <v>27251</v>
      </c>
      <c r="N8889" t="s">
        <v>27252</v>
      </c>
      <c r="Q8889" s="1">
        <v>44538</v>
      </c>
      <c r="R8889" t="s">
        <v>27253</v>
      </c>
      <c r="S8889" t="s">
        <v>27254</v>
      </c>
      <c r="T8889" t="s">
        <v>27255</v>
      </c>
    </row>
    <row r="8890" spans="1:20" x14ac:dyDescent="0.3">
      <c r="A8890" t="str">
        <f>"0611838500100"</f>
        <v>0611838500100</v>
      </c>
      <c r="B8890" t="str">
        <f>"LL0172"</f>
        <v>LL0172</v>
      </c>
      <c r="C8890" t="s">
        <v>44488</v>
      </c>
      <c r="D8890" t="s">
        <v>28138</v>
      </c>
      <c r="E8890" t="str">
        <f t="shared" si="138"/>
        <v>001390</v>
      </c>
      <c r="F8890" t="s">
        <v>27246</v>
      </c>
      <c r="G8890" t="s">
        <v>27247</v>
      </c>
      <c r="H8890" t="s">
        <v>27248</v>
      </c>
      <c r="I8890" t="s">
        <v>44489</v>
      </c>
      <c r="J8890" t="s">
        <v>17764</v>
      </c>
      <c r="L8890" t="s">
        <v>27250</v>
      </c>
      <c r="M8890" t="s">
        <v>27251</v>
      </c>
      <c r="N8890" t="s">
        <v>27252</v>
      </c>
      <c r="P8890" t="s">
        <v>27925</v>
      </c>
      <c r="Q8890" s="1">
        <v>44538</v>
      </c>
      <c r="R8890" t="s">
        <v>27253</v>
      </c>
      <c r="S8890" t="s">
        <v>27254</v>
      </c>
      <c r="T8890" t="s">
        <v>27255</v>
      </c>
    </row>
    <row r="8891" spans="1:20" x14ac:dyDescent="0.3">
      <c r="A8891" t="str">
        <f>"0611838501100"</f>
        <v>0611838501100</v>
      </c>
      <c r="B8891" t="str">
        <f>"LL2955"</f>
        <v>LL2955</v>
      </c>
      <c r="C8891" t="s">
        <v>44490</v>
      </c>
      <c r="D8891" t="s">
        <v>27245</v>
      </c>
      <c r="E8891" t="str">
        <f t="shared" si="138"/>
        <v>001390</v>
      </c>
      <c r="F8891" t="s">
        <v>27246</v>
      </c>
      <c r="G8891" t="s">
        <v>27247</v>
      </c>
      <c r="H8891" t="s">
        <v>27248</v>
      </c>
      <c r="I8891" t="s">
        <v>44491</v>
      </c>
      <c r="J8891" t="s">
        <v>17768</v>
      </c>
      <c r="L8891" t="s">
        <v>27250</v>
      </c>
      <c r="M8891" t="s">
        <v>27251</v>
      </c>
      <c r="N8891" t="s">
        <v>27252</v>
      </c>
      <c r="Q8891" s="1">
        <v>44538</v>
      </c>
      <c r="R8891" t="s">
        <v>27253</v>
      </c>
      <c r="S8891" t="s">
        <v>27254</v>
      </c>
      <c r="T8891" t="s">
        <v>27255</v>
      </c>
    </row>
    <row r="8892" spans="1:20" x14ac:dyDescent="0.3">
      <c r="A8892" t="str">
        <f>"0611838502100"</f>
        <v>0611838502100</v>
      </c>
      <c r="B8892" t="str">
        <f>"LL2950"</f>
        <v>LL2950</v>
      </c>
      <c r="C8892" t="s">
        <v>44492</v>
      </c>
      <c r="D8892" t="s">
        <v>27245</v>
      </c>
      <c r="E8892" t="str">
        <f t="shared" si="138"/>
        <v>001390</v>
      </c>
      <c r="F8892" t="s">
        <v>27246</v>
      </c>
      <c r="G8892" t="s">
        <v>27247</v>
      </c>
      <c r="H8892" t="s">
        <v>27248</v>
      </c>
      <c r="I8892" t="s">
        <v>44493</v>
      </c>
      <c r="J8892" t="s">
        <v>17770</v>
      </c>
      <c r="L8892" t="s">
        <v>27250</v>
      </c>
      <c r="M8892" t="s">
        <v>27251</v>
      </c>
      <c r="N8892" t="s">
        <v>27252</v>
      </c>
      <c r="Q8892" s="1">
        <v>44538</v>
      </c>
      <c r="R8892" t="s">
        <v>27253</v>
      </c>
      <c r="S8892" t="s">
        <v>27254</v>
      </c>
      <c r="T8892" t="s">
        <v>27255</v>
      </c>
    </row>
    <row r="8893" spans="1:20" x14ac:dyDescent="0.3">
      <c r="A8893" t="str">
        <f>"0611838503100"</f>
        <v>0611838503100</v>
      </c>
      <c r="B8893" t="str">
        <f>"LL8049"</f>
        <v>LL8049</v>
      </c>
      <c r="C8893" t="s">
        <v>44494</v>
      </c>
      <c r="D8893" t="s">
        <v>28138</v>
      </c>
      <c r="E8893" t="str">
        <f t="shared" si="138"/>
        <v>001390</v>
      </c>
      <c r="F8893" t="s">
        <v>27246</v>
      </c>
      <c r="G8893" t="s">
        <v>27247</v>
      </c>
      <c r="H8893" t="s">
        <v>27248</v>
      </c>
      <c r="I8893" t="s">
        <v>44495</v>
      </c>
      <c r="J8893" t="s">
        <v>17772</v>
      </c>
      <c r="L8893" t="s">
        <v>27250</v>
      </c>
      <c r="M8893" t="s">
        <v>27251</v>
      </c>
      <c r="N8893" t="s">
        <v>27252</v>
      </c>
      <c r="P8893" t="s">
        <v>27925</v>
      </c>
      <c r="Q8893" s="1">
        <v>44538</v>
      </c>
      <c r="R8893" t="s">
        <v>27253</v>
      </c>
      <c r="S8893" t="s">
        <v>27254</v>
      </c>
      <c r="T8893" t="s">
        <v>27255</v>
      </c>
    </row>
    <row r="8894" spans="1:20" x14ac:dyDescent="0.3">
      <c r="A8894" t="str">
        <f>"0611838504100"</f>
        <v>0611838504100</v>
      </c>
      <c r="B8894" t="str">
        <f>"LL8213"</f>
        <v>LL8213</v>
      </c>
      <c r="C8894" t="s">
        <v>44496</v>
      </c>
      <c r="D8894" t="s">
        <v>28138</v>
      </c>
      <c r="E8894" t="str">
        <f t="shared" si="138"/>
        <v>001390</v>
      </c>
      <c r="F8894" t="s">
        <v>27246</v>
      </c>
      <c r="G8894" t="s">
        <v>27247</v>
      </c>
      <c r="H8894" t="s">
        <v>27248</v>
      </c>
      <c r="I8894" t="s">
        <v>44497</v>
      </c>
      <c r="J8894" t="s">
        <v>17774</v>
      </c>
      <c r="L8894" t="s">
        <v>27250</v>
      </c>
      <c r="M8894" t="s">
        <v>27251</v>
      </c>
      <c r="N8894" t="s">
        <v>27252</v>
      </c>
      <c r="P8894" t="s">
        <v>27925</v>
      </c>
      <c r="Q8894" s="1">
        <v>44538</v>
      </c>
      <c r="R8894" t="s">
        <v>27253</v>
      </c>
      <c r="S8894" t="s">
        <v>27254</v>
      </c>
      <c r="T8894" t="s">
        <v>27255</v>
      </c>
    </row>
    <row r="8895" spans="1:20" x14ac:dyDescent="0.3">
      <c r="A8895" t="str">
        <f>"0611884341025"</f>
        <v>0611884341025</v>
      </c>
      <c r="B8895" t="str">
        <f>"MC4513"</f>
        <v>MC4513</v>
      </c>
      <c r="C8895" t="s">
        <v>44498</v>
      </c>
      <c r="D8895" t="s">
        <v>27267</v>
      </c>
      <c r="E8895" t="str">
        <f t="shared" si="138"/>
        <v>001390</v>
      </c>
      <c r="F8895" t="s">
        <v>27246</v>
      </c>
      <c r="G8895" t="s">
        <v>27247</v>
      </c>
      <c r="H8895" t="s">
        <v>27248</v>
      </c>
      <c r="I8895" t="s">
        <v>44499</v>
      </c>
      <c r="J8895" t="s">
        <v>9929</v>
      </c>
      <c r="L8895" t="s">
        <v>27430</v>
      </c>
      <c r="M8895" t="s">
        <v>27251</v>
      </c>
      <c r="N8895" t="s">
        <v>27252</v>
      </c>
      <c r="Q8895" s="1">
        <v>45250</v>
      </c>
      <c r="R8895" t="s">
        <v>27253</v>
      </c>
      <c r="S8895" t="s">
        <v>27254</v>
      </c>
      <c r="T8895" t="s">
        <v>27269</v>
      </c>
    </row>
    <row r="8896" spans="1:20" x14ac:dyDescent="0.3">
      <c r="A8896" t="str">
        <f>"0611834800025"</f>
        <v>0611834800025</v>
      </c>
      <c r="B8896" t="str">
        <f>"MC0577"</f>
        <v>MC0577</v>
      </c>
      <c r="C8896" t="s">
        <v>44500</v>
      </c>
      <c r="D8896" t="s">
        <v>27267</v>
      </c>
      <c r="E8896" t="str">
        <f t="shared" si="138"/>
        <v>001390</v>
      </c>
      <c r="F8896" t="s">
        <v>27246</v>
      </c>
      <c r="G8896" t="s">
        <v>27247</v>
      </c>
      <c r="H8896" t="s">
        <v>27248</v>
      </c>
      <c r="I8896" t="s">
        <v>44501</v>
      </c>
      <c r="J8896" t="s">
        <v>17776</v>
      </c>
      <c r="L8896" t="s">
        <v>27250</v>
      </c>
      <c r="M8896" t="s">
        <v>27251</v>
      </c>
      <c r="N8896" t="s">
        <v>27252</v>
      </c>
      <c r="Q8896" s="1">
        <v>44538</v>
      </c>
      <c r="R8896" t="s">
        <v>27253</v>
      </c>
      <c r="S8896" t="s">
        <v>27254</v>
      </c>
      <c r="T8896" t="s">
        <v>27269</v>
      </c>
    </row>
    <row r="8897" spans="1:20" x14ac:dyDescent="0.3">
      <c r="A8897" t="str">
        <f>"0611834801025"</f>
        <v>0611834801025</v>
      </c>
      <c r="B8897" t="str">
        <f>"MQ0140"</f>
        <v>MQ0140</v>
      </c>
      <c r="C8897" t="s">
        <v>44502</v>
      </c>
      <c r="D8897" t="s">
        <v>27267</v>
      </c>
      <c r="E8897" t="str">
        <f t="shared" si="138"/>
        <v>001390</v>
      </c>
      <c r="F8897" t="s">
        <v>27246</v>
      </c>
      <c r="G8897" t="s">
        <v>27247</v>
      </c>
      <c r="H8897" t="s">
        <v>27248</v>
      </c>
      <c r="I8897" t="s">
        <v>44503</v>
      </c>
      <c r="J8897" t="s">
        <v>17778</v>
      </c>
      <c r="L8897" t="s">
        <v>27250</v>
      </c>
      <c r="M8897" t="s">
        <v>27251</v>
      </c>
      <c r="N8897" t="s">
        <v>27252</v>
      </c>
      <c r="Q8897" s="1">
        <v>44538</v>
      </c>
      <c r="R8897" t="s">
        <v>27253</v>
      </c>
      <c r="S8897" t="s">
        <v>27254</v>
      </c>
      <c r="T8897" t="s">
        <v>27269</v>
      </c>
    </row>
    <row r="8898" spans="1:20" x14ac:dyDescent="0.3">
      <c r="A8898" t="str">
        <f>"0611834802100"</f>
        <v>0611834802100</v>
      </c>
      <c r="B8898" t="str">
        <f>"LK6242"</f>
        <v>LK6242</v>
      </c>
      <c r="C8898" t="s">
        <v>44504</v>
      </c>
      <c r="D8898" t="s">
        <v>27245</v>
      </c>
      <c r="E8898" t="str">
        <f t="shared" ref="E8898:E8961" si="139">"001390"</f>
        <v>001390</v>
      </c>
      <c r="F8898" t="s">
        <v>27246</v>
      </c>
      <c r="G8898" t="s">
        <v>27247</v>
      </c>
      <c r="H8898" t="s">
        <v>27248</v>
      </c>
      <c r="I8898" t="s">
        <v>44505</v>
      </c>
      <c r="J8898" t="s">
        <v>17780</v>
      </c>
      <c r="L8898" t="s">
        <v>27250</v>
      </c>
      <c r="M8898" t="s">
        <v>27251</v>
      </c>
      <c r="N8898" t="s">
        <v>27252</v>
      </c>
      <c r="Q8898" s="1">
        <v>44538</v>
      </c>
      <c r="R8898" t="s">
        <v>27253</v>
      </c>
      <c r="S8898" t="s">
        <v>27254</v>
      </c>
      <c r="T8898" t="s">
        <v>27255</v>
      </c>
    </row>
    <row r="8899" spans="1:20" x14ac:dyDescent="0.3">
      <c r="A8899" t="str">
        <f>"0611834803100"</f>
        <v>0611834803100</v>
      </c>
      <c r="B8899" t="str">
        <f>"LH6151"</f>
        <v>LH6151</v>
      </c>
      <c r="C8899" t="s">
        <v>44506</v>
      </c>
      <c r="D8899" t="s">
        <v>27245</v>
      </c>
      <c r="E8899" t="str">
        <f t="shared" si="139"/>
        <v>001390</v>
      </c>
      <c r="F8899" t="s">
        <v>27246</v>
      </c>
      <c r="G8899" t="s">
        <v>27247</v>
      </c>
      <c r="H8899" t="s">
        <v>27248</v>
      </c>
      <c r="I8899" t="s">
        <v>44507</v>
      </c>
      <c r="J8899" t="s">
        <v>17782</v>
      </c>
      <c r="L8899" t="s">
        <v>27250</v>
      </c>
      <c r="M8899" t="s">
        <v>27251</v>
      </c>
      <c r="N8899" t="s">
        <v>27252</v>
      </c>
      <c r="Q8899" s="1">
        <v>44538</v>
      </c>
      <c r="R8899" t="s">
        <v>27253</v>
      </c>
      <c r="S8899" t="s">
        <v>27254</v>
      </c>
      <c r="T8899" t="s">
        <v>27255</v>
      </c>
    </row>
    <row r="8900" spans="1:20" x14ac:dyDescent="0.3">
      <c r="A8900" t="str">
        <f>"0611834804025"</f>
        <v>0611834804025</v>
      </c>
      <c r="B8900" t="str">
        <f>"MQ3019"</f>
        <v>MQ3019</v>
      </c>
      <c r="C8900" t="s">
        <v>44508</v>
      </c>
      <c r="D8900" t="s">
        <v>27267</v>
      </c>
      <c r="E8900" t="str">
        <f t="shared" si="139"/>
        <v>001390</v>
      </c>
      <c r="F8900" t="s">
        <v>27246</v>
      </c>
      <c r="G8900" t="s">
        <v>27247</v>
      </c>
      <c r="H8900" t="s">
        <v>27248</v>
      </c>
      <c r="I8900" t="s">
        <v>44509</v>
      </c>
      <c r="J8900" t="s">
        <v>17784</v>
      </c>
      <c r="L8900" t="s">
        <v>27250</v>
      </c>
      <c r="M8900" t="s">
        <v>27251</v>
      </c>
      <c r="N8900" t="s">
        <v>27252</v>
      </c>
      <c r="Q8900" s="1">
        <v>44538</v>
      </c>
      <c r="R8900" t="s">
        <v>27253</v>
      </c>
      <c r="S8900" t="s">
        <v>27254</v>
      </c>
      <c r="T8900" t="s">
        <v>27269</v>
      </c>
    </row>
    <row r="8901" spans="1:20" x14ac:dyDescent="0.3">
      <c r="A8901" t="str">
        <f>"0611834805100"</f>
        <v>0611834805100</v>
      </c>
      <c r="B8901" t="str">
        <f>"LH6150"</f>
        <v>LH6150</v>
      </c>
      <c r="C8901" t="s">
        <v>44510</v>
      </c>
      <c r="D8901" t="s">
        <v>27245</v>
      </c>
      <c r="E8901" t="str">
        <f t="shared" si="139"/>
        <v>001390</v>
      </c>
      <c r="F8901" t="s">
        <v>27246</v>
      </c>
      <c r="G8901" t="s">
        <v>27247</v>
      </c>
      <c r="H8901" t="s">
        <v>27248</v>
      </c>
      <c r="I8901" t="s">
        <v>44511</v>
      </c>
      <c r="J8901" t="s">
        <v>17786</v>
      </c>
      <c r="L8901" t="s">
        <v>27250</v>
      </c>
      <c r="M8901" t="s">
        <v>27251</v>
      </c>
      <c r="N8901" t="s">
        <v>27252</v>
      </c>
      <c r="Q8901" s="1">
        <v>44538</v>
      </c>
      <c r="R8901" t="s">
        <v>27253</v>
      </c>
      <c r="S8901" t="s">
        <v>27254</v>
      </c>
      <c r="T8901" t="s">
        <v>27255</v>
      </c>
    </row>
    <row r="8902" spans="1:20" x14ac:dyDescent="0.3">
      <c r="A8902" t="str">
        <f>"0611834806100"</f>
        <v>0611834806100</v>
      </c>
      <c r="B8902" t="str">
        <f>"LS0020"</f>
        <v>LS0020</v>
      </c>
      <c r="C8902" t="s">
        <v>44512</v>
      </c>
      <c r="D8902" t="s">
        <v>27245</v>
      </c>
      <c r="E8902" t="str">
        <f t="shared" si="139"/>
        <v>001390</v>
      </c>
      <c r="F8902" t="s">
        <v>27246</v>
      </c>
      <c r="G8902" t="s">
        <v>27247</v>
      </c>
      <c r="H8902" t="s">
        <v>27248</v>
      </c>
      <c r="I8902" t="s">
        <v>44513</v>
      </c>
      <c r="J8902" t="s">
        <v>17788</v>
      </c>
      <c r="L8902" t="s">
        <v>27250</v>
      </c>
      <c r="M8902" t="s">
        <v>27251</v>
      </c>
      <c r="N8902" t="s">
        <v>27252</v>
      </c>
      <c r="Q8902" s="1">
        <v>44538</v>
      </c>
      <c r="R8902" t="s">
        <v>27253</v>
      </c>
      <c r="S8902" t="s">
        <v>27254</v>
      </c>
      <c r="T8902" t="s">
        <v>27255</v>
      </c>
    </row>
    <row r="8903" spans="1:20" x14ac:dyDescent="0.3">
      <c r="A8903" t="str">
        <f>"0611834807025"</f>
        <v>0611834807025</v>
      </c>
      <c r="B8903" t="str">
        <f>"MC4332"</f>
        <v>MC4332</v>
      </c>
      <c r="C8903" t="s">
        <v>44514</v>
      </c>
      <c r="D8903" t="s">
        <v>27267</v>
      </c>
      <c r="E8903" t="str">
        <f t="shared" si="139"/>
        <v>001390</v>
      </c>
      <c r="F8903" t="s">
        <v>27246</v>
      </c>
      <c r="G8903" t="s">
        <v>27247</v>
      </c>
      <c r="H8903" t="s">
        <v>27248</v>
      </c>
      <c r="I8903" t="s">
        <v>44515</v>
      </c>
      <c r="J8903" t="s">
        <v>17790</v>
      </c>
      <c r="L8903" t="s">
        <v>27250</v>
      </c>
      <c r="M8903" t="s">
        <v>27251</v>
      </c>
      <c r="N8903" t="s">
        <v>27252</v>
      </c>
      <c r="Q8903" s="1">
        <v>44538</v>
      </c>
      <c r="R8903" t="s">
        <v>27253</v>
      </c>
      <c r="S8903" t="s">
        <v>27254</v>
      </c>
      <c r="T8903" t="s">
        <v>27269</v>
      </c>
    </row>
    <row r="8904" spans="1:20" x14ac:dyDescent="0.3">
      <c r="A8904" t="str">
        <f>"0611834809025"</f>
        <v>0611834809025</v>
      </c>
      <c r="B8904" t="str">
        <f>"MC0578"</f>
        <v>MC0578</v>
      </c>
      <c r="C8904" t="s">
        <v>44516</v>
      </c>
      <c r="D8904" t="s">
        <v>27267</v>
      </c>
      <c r="E8904" t="str">
        <f t="shared" si="139"/>
        <v>001390</v>
      </c>
      <c r="F8904" t="s">
        <v>27246</v>
      </c>
      <c r="G8904" t="s">
        <v>27247</v>
      </c>
      <c r="H8904" t="s">
        <v>27248</v>
      </c>
      <c r="I8904" t="s">
        <v>44517</v>
      </c>
      <c r="J8904" t="s">
        <v>17792</v>
      </c>
      <c r="L8904" t="s">
        <v>27250</v>
      </c>
      <c r="M8904" t="s">
        <v>27251</v>
      </c>
      <c r="N8904" t="s">
        <v>27252</v>
      </c>
      <c r="Q8904" s="1">
        <v>44538</v>
      </c>
      <c r="R8904" t="s">
        <v>27253</v>
      </c>
      <c r="S8904" t="s">
        <v>27254</v>
      </c>
      <c r="T8904" t="s">
        <v>27269</v>
      </c>
    </row>
    <row r="8905" spans="1:20" x14ac:dyDescent="0.3">
      <c r="A8905" t="str">
        <f>"0611834810100"</f>
        <v>0611834810100</v>
      </c>
      <c r="B8905" t="str">
        <f>"LK4424"</f>
        <v>LK4424</v>
      </c>
      <c r="C8905" t="s">
        <v>44518</v>
      </c>
      <c r="D8905" t="s">
        <v>27245</v>
      </c>
      <c r="E8905" t="str">
        <f t="shared" si="139"/>
        <v>001390</v>
      </c>
      <c r="F8905" t="s">
        <v>27246</v>
      </c>
      <c r="G8905" t="s">
        <v>27247</v>
      </c>
      <c r="H8905" t="s">
        <v>27248</v>
      </c>
      <c r="I8905" t="s">
        <v>44519</v>
      </c>
      <c r="J8905" t="s">
        <v>17794</v>
      </c>
      <c r="L8905" t="s">
        <v>27250</v>
      </c>
      <c r="M8905" t="s">
        <v>27251</v>
      </c>
      <c r="N8905" t="s">
        <v>27252</v>
      </c>
      <c r="Q8905" s="1">
        <v>44538</v>
      </c>
      <c r="R8905" t="s">
        <v>27253</v>
      </c>
      <c r="S8905" t="s">
        <v>27254</v>
      </c>
      <c r="T8905" t="s">
        <v>27255</v>
      </c>
    </row>
    <row r="8906" spans="1:20" x14ac:dyDescent="0.3">
      <c r="A8906" t="str">
        <f>"0611834811100"</f>
        <v>0611834811100</v>
      </c>
      <c r="B8906" t="str">
        <f>"LK4426"</f>
        <v>LK4426</v>
      </c>
      <c r="C8906" t="s">
        <v>44520</v>
      </c>
      <c r="D8906" t="s">
        <v>27245</v>
      </c>
      <c r="E8906" t="str">
        <f t="shared" si="139"/>
        <v>001390</v>
      </c>
      <c r="F8906" t="s">
        <v>27246</v>
      </c>
      <c r="G8906" t="s">
        <v>27247</v>
      </c>
      <c r="H8906" t="s">
        <v>27248</v>
      </c>
      <c r="I8906" t="s">
        <v>44521</v>
      </c>
      <c r="J8906" t="s">
        <v>17796</v>
      </c>
      <c r="L8906" t="s">
        <v>27250</v>
      </c>
      <c r="M8906" t="s">
        <v>27251</v>
      </c>
      <c r="N8906" t="s">
        <v>27252</v>
      </c>
      <c r="Q8906" s="1">
        <v>44538</v>
      </c>
      <c r="R8906" t="s">
        <v>27253</v>
      </c>
      <c r="S8906" t="s">
        <v>27254</v>
      </c>
      <c r="T8906" t="s">
        <v>27255</v>
      </c>
    </row>
    <row r="8907" spans="1:20" x14ac:dyDescent="0.3">
      <c r="A8907" t="str">
        <f>"0611834812025"</f>
        <v>0611834812025</v>
      </c>
      <c r="B8907" t="str">
        <f>"MC2652"</f>
        <v>MC2652</v>
      </c>
      <c r="C8907" t="s">
        <v>44520</v>
      </c>
      <c r="D8907" t="s">
        <v>27267</v>
      </c>
      <c r="E8907" t="str">
        <f t="shared" si="139"/>
        <v>001390</v>
      </c>
      <c r="F8907" t="s">
        <v>27246</v>
      </c>
      <c r="G8907" t="s">
        <v>27247</v>
      </c>
      <c r="H8907" t="s">
        <v>27248</v>
      </c>
      <c r="I8907" t="s">
        <v>44522</v>
      </c>
      <c r="J8907" t="s">
        <v>17798</v>
      </c>
      <c r="L8907" t="s">
        <v>27250</v>
      </c>
      <c r="M8907" t="s">
        <v>27251</v>
      </c>
      <c r="N8907" t="s">
        <v>27252</v>
      </c>
      <c r="Q8907" s="1">
        <v>44538</v>
      </c>
      <c r="R8907" t="s">
        <v>27253</v>
      </c>
      <c r="S8907" t="s">
        <v>27254</v>
      </c>
      <c r="T8907" t="s">
        <v>27269</v>
      </c>
    </row>
    <row r="8908" spans="1:20" x14ac:dyDescent="0.3">
      <c r="A8908" t="str">
        <f>"0611834813025"</f>
        <v>0611834813025</v>
      </c>
      <c r="B8908" t="str">
        <f>"MC0579"</f>
        <v>MC0579</v>
      </c>
      <c r="C8908" t="s">
        <v>44523</v>
      </c>
      <c r="D8908" t="s">
        <v>27267</v>
      </c>
      <c r="E8908" t="str">
        <f t="shared" si="139"/>
        <v>001390</v>
      </c>
      <c r="F8908" t="s">
        <v>27246</v>
      </c>
      <c r="G8908" t="s">
        <v>27247</v>
      </c>
      <c r="H8908" t="s">
        <v>27248</v>
      </c>
      <c r="I8908" t="s">
        <v>44524</v>
      </c>
      <c r="J8908" t="s">
        <v>17800</v>
      </c>
      <c r="L8908" t="s">
        <v>27250</v>
      </c>
      <c r="M8908" t="s">
        <v>27251</v>
      </c>
      <c r="N8908" t="s">
        <v>27252</v>
      </c>
      <c r="Q8908" s="1">
        <v>44538</v>
      </c>
      <c r="R8908" t="s">
        <v>27253</v>
      </c>
      <c r="S8908" t="s">
        <v>27254</v>
      </c>
      <c r="T8908" t="s">
        <v>27269</v>
      </c>
    </row>
    <row r="8909" spans="1:20" x14ac:dyDescent="0.3">
      <c r="A8909" t="str">
        <f>"0611834815100"</f>
        <v>0611834815100</v>
      </c>
      <c r="B8909" t="str">
        <f>"LK6243"</f>
        <v>LK6243</v>
      </c>
      <c r="C8909" t="s">
        <v>44525</v>
      </c>
      <c r="D8909" t="s">
        <v>27245</v>
      </c>
      <c r="E8909" t="str">
        <f t="shared" si="139"/>
        <v>001390</v>
      </c>
      <c r="F8909" t="s">
        <v>27246</v>
      </c>
      <c r="G8909" t="s">
        <v>27247</v>
      </c>
      <c r="H8909" t="s">
        <v>27248</v>
      </c>
      <c r="I8909" t="s">
        <v>44526</v>
      </c>
      <c r="J8909" t="s">
        <v>17802</v>
      </c>
      <c r="L8909" t="s">
        <v>27250</v>
      </c>
      <c r="M8909" t="s">
        <v>27251</v>
      </c>
      <c r="N8909" t="s">
        <v>27252</v>
      </c>
      <c r="Q8909" s="1">
        <v>44538</v>
      </c>
      <c r="R8909" t="s">
        <v>27253</v>
      </c>
      <c r="S8909" t="s">
        <v>27254</v>
      </c>
      <c r="T8909" t="s">
        <v>27255</v>
      </c>
    </row>
    <row r="8910" spans="1:20" x14ac:dyDescent="0.3">
      <c r="A8910" t="str">
        <f>"0611834816025"</f>
        <v>0611834816025</v>
      </c>
      <c r="B8910" t="str">
        <f>"MC2653"</f>
        <v>MC2653</v>
      </c>
      <c r="C8910" t="s">
        <v>44525</v>
      </c>
      <c r="D8910" t="s">
        <v>27267</v>
      </c>
      <c r="E8910" t="str">
        <f t="shared" si="139"/>
        <v>001390</v>
      </c>
      <c r="F8910" t="s">
        <v>27246</v>
      </c>
      <c r="G8910" t="s">
        <v>27247</v>
      </c>
      <c r="H8910" t="s">
        <v>27248</v>
      </c>
      <c r="I8910" t="s">
        <v>44527</v>
      </c>
      <c r="J8910" t="s">
        <v>17804</v>
      </c>
      <c r="L8910" t="s">
        <v>27250</v>
      </c>
      <c r="M8910" t="s">
        <v>27251</v>
      </c>
      <c r="N8910" t="s">
        <v>27252</v>
      </c>
      <c r="Q8910" s="1">
        <v>44538</v>
      </c>
      <c r="R8910" t="s">
        <v>27253</v>
      </c>
      <c r="S8910" t="s">
        <v>27254</v>
      </c>
      <c r="T8910" t="s">
        <v>27269</v>
      </c>
    </row>
    <row r="8911" spans="1:20" x14ac:dyDescent="0.3">
      <c r="A8911" t="str">
        <f>"0611834817100"</f>
        <v>0611834817100</v>
      </c>
      <c r="B8911" t="str">
        <f>"LK0598"</f>
        <v>LK0598</v>
      </c>
      <c r="C8911" t="s">
        <v>44528</v>
      </c>
      <c r="D8911" t="s">
        <v>27245</v>
      </c>
      <c r="E8911" t="str">
        <f t="shared" si="139"/>
        <v>001390</v>
      </c>
      <c r="F8911" t="s">
        <v>27246</v>
      </c>
      <c r="G8911" t="s">
        <v>27247</v>
      </c>
      <c r="H8911" t="s">
        <v>27248</v>
      </c>
      <c r="I8911" t="s">
        <v>44529</v>
      </c>
      <c r="J8911" t="s">
        <v>17806</v>
      </c>
      <c r="L8911" t="s">
        <v>27250</v>
      </c>
      <c r="M8911" t="s">
        <v>27251</v>
      </c>
      <c r="N8911" t="s">
        <v>27252</v>
      </c>
      <c r="Q8911" s="1">
        <v>44538</v>
      </c>
      <c r="R8911" t="s">
        <v>27253</v>
      </c>
      <c r="S8911" t="s">
        <v>27254</v>
      </c>
      <c r="T8911" t="s">
        <v>27255</v>
      </c>
    </row>
    <row r="8912" spans="1:20" x14ac:dyDescent="0.3">
      <c r="A8912" t="str">
        <f>"0611834818025"</f>
        <v>0611834818025</v>
      </c>
      <c r="B8912" t="str">
        <f>"MC1663"</f>
        <v>MC1663</v>
      </c>
      <c r="C8912" t="s">
        <v>44528</v>
      </c>
      <c r="D8912" t="s">
        <v>27267</v>
      </c>
      <c r="E8912" t="str">
        <f t="shared" si="139"/>
        <v>001390</v>
      </c>
      <c r="F8912" t="s">
        <v>27246</v>
      </c>
      <c r="G8912" t="s">
        <v>27247</v>
      </c>
      <c r="H8912" t="s">
        <v>27248</v>
      </c>
      <c r="I8912" t="s">
        <v>44530</v>
      </c>
      <c r="J8912" t="s">
        <v>17808</v>
      </c>
      <c r="L8912" t="s">
        <v>27250</v>
      </c>
      <c r="M8912" t="s">
        <v>27251</v>
      </c>
      <c r="N8912" t="s">
        <v>27252</v>
      </c>
      <c r="Q8912" s="1">
        <v>44538</v>
      </c>
      <c r="R8912" t="s">
        <v>27253</v>
      </c>
      <c r="S8912" t="s">
        <v>27254</v>
      </c>
      <c r="T8912" t="s">
        <v>27269</v>
      </c>
    </row>
    <row r="8913" spans="1:20" x14ac:dyDescent="0.3">
      <c r="A8913" t="str">
        <f>"0611834819025"</f>
        <v>0611834819025</v>
      </c>
      <c r="B8913" t="str">
        <f>"MC1610"</f>
        <v>MC1610</v>
      </c>
      <c r="C8913" t="s">
        <v>44531</v>
      </c>
      <c r="D8913" t="s">
        <v>27267</v>
      </c>
      <c r="E8913" t="str">
        <f t="shared" si="139"/>
        <v>001390</v>
      </c>
      <c r="F8913" t="s">
        <v>27246</v>
      </c>
      <c r="G8913" t="s">
        <v>27247</v>
      </c>
      <c r="H8913" t="s">
        <v>27248</v>
      </c>
      <c r="I8913" t="s">
        <v>44532</v>
      </c>
      <c r="J8913" t="s">
        <v>17810</v>
      </c>
      <c r="L8913" t="s">
        <v>27250</v>
      </c>
      <c r="M8913" t="s">
        <v>27251</v>
      </c>
      <c r="N8913" t="s">
        <v>27252</v>
      </c>
      <c r="Q8913" s="1">
        <v>44538</v>
      </c>
      <c r="R8913" t="s">
        <v>27253</v>
      </c>
      <c r="S8913" t="s">
        <v>27254</v>
      </c>
      <c r="T8913" t="s">
        <v>27269</v>
      </c>
    </row>
    <row r="8914" spans="1:20" x14ac:dyDescent="0.3">
      <c r="A8914" t="str">
        <f>"0611834820025"</f>
        <v>0611834820025</v>
      </c>
      <c r="B8914" t="str">
        <f>"MC0760"</f>
        <v>MC0760</v>
      </c>
      <c r="C8914" t="s">
        <v>44533</v>
      </c>
      <c r="D8914" t="s">
        <v>27267</v>
      </c>
      <c r="E8914" t="str">
        <f t="shared" si="139"/>
        <v>001390</v>
      </c>
      <c r="F8914" t="s">
        <v>27246</v>
      </c>
      <c r="G8914" t="s">
        <v>27247</v>
      </c>
      <c r="H8914" t="s">
        <v>27248</v>
      </c>
      <c r="I8914" t="s">
        <v>44534</v>
      </c>
      <c r="J8914" t="s">
        <v>17812</v>
      </c>
      <c r="L8914" t="s">
        <v>27250</v>
      </c>
      <c r="M8914" t="s">
        <v>27251</v>
      </c>
      <c r="N8914" t="s">
        <v>27252</v>
      </c>
      <c r="Q8914" s="1">
        <v>44538</v>
      </c>
      <c r="R8914" t="s">
        <v>27253</v>
      </c>
      <c r="S8914" t="s">
        <v>27254</v>
      </c>
      <c r="T8914" t="s">
        <v>27269</v>
      </c>
    </row>
    <row r="8915" spans="1:20" x14ac:dyDescent="0.3">
      <c r="A8915" t="str">
        <f>"0611834821025"</f>
        <v>0611834821025</v>
      </c>
      <c r="B8915" t="str">
        <f>"MQ0141"</f>
        <v>MQ0141</v>
      </c>
      <c r="C8915" t="s">
        <v>44535</v>
      </c>
      <c r="D8915" t="s">
        <v>27267</v>
      </c>
      <c r="E8915" t="str">
        <f t="shared" si="139"/>
        <v>001390</v>
      </c>
      <c r="F8915" t="s">
        <v>27246</v>
      </c>
      <c r="G8915" t="s">
        <v>27247</v>
      </c>
      <c r="H8915" t="s">
        <v>27248</v>
      </c>
      <c r="I8915" t="s">
        <v>44536</v>
      </c>
      <c r="J8915" t="s">
        <v>17814</v>
      </c>
      <c r="L8915" t="s">
        <v>27250</v>
      </c>
      <c r="M8915" t="s">
        <v>27251</v>
      </c>
      <c r="N8915" t="s">
        <v>27252</v>
      </c>
      <c r="Q8915" s="1">
        <v>44538</v>
      </c>
      <c r="R8915" t="s">
        <v>27253</v>
      </c>
      <c r="S8915" t="s">
        <v>27254</v>
      </c>
      <c r="T8915" t="s">
        <v>27269</v>
      </c>
    </row>
    <row r="8916" spans="1:20" x14ac:dyDescent="0.3">
      <c r="A8916" t="str">
        <f>"0611837319100"</f>
        <v>0611837319100</v>
      </c>
      <c r="B8916" t="str">
        <f>"LK5518"</f>
        <v>LK5518</v>
      </c>
      <c r="C8916" t="s">
        <v>44537</v>
      </c>
      <c r="D8916" t="s">
        <v>28138</v>
      </c>
      <c r="E8916" t="str">
        <f t="shared" si="139"/>
        <v>001390</v>
      </c>
      <c r="F8916" t="s">
        <v>27246</v>
      </c>
      <c r="G8916" t="s">
        <v>27247</v>
      </c>
      <c r="H8916" t="s">
        <v>27248</v>
      </c>
      <c r="I8916" t="s">
        <v>44538</v>
      </c>
      <c r="J8916" t="s">
        <v>17816</v>
      </c>
      <c r="L8916" t="s">
        <v>27250</v>
      </c>
      <c r="M8916" t="s">
        <v>27251</v>
      </c>
      <c r="N8916" t="s">
        <v>27252</v>
      </c>
      <c r="P8916" t="s">
        <v>27925</v>
      </c>
      <c r="Q8916" s="1">
        <v>44538</v>
      </c>
      <c r="R8916" t="s">
        <v>27253</v>
      </c>
      <c r="S8916" t="s">
        <v>27254</v>
      </c>
      <c r="T8916" t="s">
        <v>27255</v>
      </c>
    </row>
    <row r="8917" spans="1:20" x14ac:dyDescent="0.3">
      <c r="A8917" t="str">
        <f>"0611837320025"</f>
        <v>0611837320025</v>
      </c>
      <c r="B8917" t="str">
        <f>"MC3782"</f>
        <v>MC3782</v>
      </c>
      <c r="C8917" t="s">
        <v>44539</v>
      </c>
      <c r="D8917" t="s">
        <v>27267</v>
      </c>
      <c r="E8917" t="str">
        <f t="shared" si="139"/>
        <v>001390</v>
      </c>
      <c r="F8917" t="s">
        <v>27246</v>
      </c>
      <c r="G8917" t="s">
        <v>27247</v>
      </c>
      <c r="H8917" t="s">
        <v>27248</v>
      </c>
      <c r="I8917" t="s">
        <v>44540</v>
      </c>
      <c r="J8917" t="s">
        <v>17818</v>
      </c>
      <c r="L8917" t="s">
        <v>27250</v>
      </c>
      <c r="M8917" t="s">
        <v>27251</v>
      </c>
      <c r="N8917" t="s">
        <v>27252</v>
      </c>
      <c r="Q8917" s="1">
        <v>44538</v>
      </c>
      <c r="R8917" t="s">
        <v>27253</v>
      </c>
      <c r="S8917" t="s">
        <v>27254</v>
      </c>
      <c r="T8917" t="s">
        <v>27269</v>
      </c>
    </row>
    <row r="8918" spans="1:20" x14ac:dyDescent="0.3">
      <c r="A8918" t="str">
        <f>"0611837321025"</f>
        <v>0611837321025</v>
      </c>
      <c r="B8918" t="str">
        <f>"MC3425"</f>
        <v>MC3425</v>
      </c>
      <c r="C8918" t="s">
        <v>44541</v>
      </c>
      <c r="D8918" t="s">
        <v>27267</v>
      </c>
      <c r="E8918" t="str">
        <f t="shared" si="139"/>
        <v>001390</v>
      </c>
      <c r="F8918" t="s">
        <v>27246</v>
      </c>
      <c r="G8918" t="s">
        <v>27247</v>
      </c>
      <c r="H8918" t="s">
        <v>27248</v>
      </c>
      <c r="I8918" t="s">
        <v>44542</v>
      </c>
      <c r="J8918" t="s">
        <v>17820</v>
      </c>
      <c r="L8918" t="s">
        <v>27250</v>
      </c>
      <c r="M8918" t="s">
        <v>27251</v>
      </c>
      <c r="N8918" t="s">
        <v>27252</v>
      </c>
      <c r="Q8918" s="1">
        <v>44538</v>
      </c>
      <c r="R8918" t="s">
        <v>27253</v>
      </c>
      <c r="S8918" t="s">
        <v>27254</v>
      </c>
      <c r="T8918" t="s">
        <v>27269</v>
      </c>
    </row>
    <row r="8919" spans="1:20" x14ac:dyDescent="0.3">
      <c r="A8919" t="str">
        <f>"0611837322025"</f>
        <v>0611837322025</v>
      </c>
      <c r="B8919" t="str">
        <f>"MC3859"</f>
        <v>MC3859</v>
      </c>
      <c r="C8919" t="s">
        <v>44543</v>
      </c>
      <c r="D8919" t="s">
        <v>27267</v>
      </c>
      <c r="E8919" t="str">
        <f t="shared" si="139"/>
        <v>001390</v>
      </c>
      <c r="F8919" t="s">
        <v>27246</v>
      </c>
      <c r="G8919" t="s">
        <v>27247</v>
      </c>
      <c r="H8919" t="s">
        <v>27248</v>
      </c>
      <c r="I8919" t="s">
        <v>44544</v>
      </c>
      <c r="J8919" t="s">
        <v>17822</v>
      </c>
      <c r="L8919" t="s">
        <v>27250</v>
      </c>
      <c r="M8919" t="s">
        <v>27251</v>
      </c>
      <c r="N8919" t="s">
        <v>27252</v>
      </c>
      <c r="Q8919" s="1">
        <v>44538</v>
      </c>
      <c r="R8919" t="s">
        <v>27253</v>
      </c>
      <c r="S8919" t="s">
        <v>27254</v>
      </c>
      <c r="T8919" t="s">
        <v>27269</v>
      </c>
    </row>
    <row r="8920" spans="1:20" x14ac:dyDescent="0.3">
      <c r="A8920" t="str">
        <f>"0611837324025"</f>
        <v>0611837324025</v>
      </c>
      <c r="B8920" t="str">
        <f>"MQ6059"</f>
        <v>MQ6059</v>
      </c>
      <c r="C8920" t="s">
        <v>44545</v>
      </c>
      <c r="D8920" t="s">
        <v>27267</v>
      </c>
      <c r="E8920" t="str">
        <f t="shared" si="139"/>
        <v>001390</v>
      </c>
      <c r="F8920" t="s">
        <v>27246</v>
      </c>
      <c r="G8920" t="s">
        <v>27247</v>
      </c>
      <c r="H8920" t="s">
        <v>27248</v>
      </c>
      <c r="I8920" t="s">
        <v>44546</v>
      </c>
      <c r="J8920" t="s">
        <v>17824</v>
      </c>
      <c r="L8920" t="s">
        <v>27250</v>
      </c>
      <c r="M8920" t="s">
        <v>27251</v>
      </c>
      <c r="N8920" t="s">
        <v>27252</v>
      </c>
      <c r="Q8920" s="1">
        <v>44538</v>
      </c>
      <c r="R8920" t="s">
        <v>27253</v>
      </c>
      <c r="S8920" t="s">
        <v>27254</v>
      </c>
      <c r="T8920" t="s">
        <v>27269</v>
      </c>
    </row>
    <row r="8921" spans="1:20" x14ac:dyDescent="0.3">
      <c r="A8921" t="str">
        <f>"0611837325025"</f>
        <v>0611837325025</v>
      </c>
      <c r="B8921" t="str">
        <f>"MQ3177"</f>
        <v>MQ3177</v>
      </c>
      <c r="C8921" t="s">
        <v>44547</v>
      </c>
      <c r="D8921" t="s">
        <v>27267</v>
      </c>
      <c r="E8921" t="str">
        <f t="shared" si="139"/>
        <v>001390</v>
      </c>
      <c r="F8921" t="s">
        <v>27246</v>
      </c>
      <c r="G8921" t="s">
        <v>27247</v>
      </c>
      <c r="H8921" t="s">
        <v>27248</v>
      </c>
      <c r="I8921" t="s">
        <v>44548</v>
      </c>
      <c r="J8921" t="s">
        <v>17826</v>
      </c>
      <c r="L8921" t="s">
        <v>27250</v>
      </c>
      <c r="M8921" t="s">
        <v>27251</v>
      </c>
      <c r="N8921" t="s">
        <v>27252</v>
      </c>
      <c r="Q8921" s="1">
        <v>44538</v>
      </c>
      <c r="R8921" t="s">
        <v>27253</v>
      </c>
      <c r="S8921" t="s">
        <v>27254</v>
      </c>
      <c r="T8921" t="s">
        <v>27269</v>
      </c>
    </row>
    <row r="8922" spans="1:20" x14ac:dyDescent="0.3">
      <c r="A8922" t="str">
        <f>"0611837326025"</f>
        <v>0611837326025</v>
      </c>
      <c r="B8922" t="str">
        <f>"MQ6060"</f>
        <v>MQ6060</v>
      </c>
      <c r="C8922" t="s">
        <v>44549</v>
      </c>
      <c r="D8922" t="s">
        <v>27267</v>
      </c>
      <c r="E8922" t="str">
        <f t="shared" si="139"/>
        <v>001390</v>
      </c>
      <c r="F8922" t="s">
        <v>27246</v>
      </c>
      <c r="G8922" t="s">
        <v>27247</v>
      </c>
      <c r="H8922" t="s">
        <v>27248</v>
      </c>
      <c r="I8922" t="s">
        <v>44550</v>
      </c>
      <c r="J8922" t="s">
        <v>17830</v>
      </c>
      <c r="L8922" t="s">
        <v>27250</v>
      </c>
      <c r="M8922" t="s">
        <v>27251</v>
      </c>
      <c r="N8922" t="s">
        <v>27252</v>
      </c>
      <c r="Q8922" s="1">
        <v>44538</v>
      </c>
      <c r="R8922" t="s">
        <v>27253</v>
      </c>
      <c r="S8922" t="s">
        <v>27254</v>
      </c>
      <c r="T8922" t="s">
        <v>27269</v>
      </c>
    </row>
    <row r="8923" spans="1:20" x14ac:dyDescent="0.3">
      <c r="A8923" t="str">
        <f>"0611863388050"</f>
        <v>0611863388050</v>
      </c>
      <c r="B8923" t="str">
        <f>"CR3937"</f>
        <v>CR3937</v>
      </c>
      <c r="C8923" t="s">
        <v>44551</v>
      </c>
      <c r="D8923" t="s">
        <v>27263</v>
      </c>
      <c r="E8923" t="str">
        <f t="shared" si="139"/>
        <v>001390</v>
      </c>
      <c r="F8923" t="s">
        <v>27246</v>
      </c>
      <c r="G8923" t="s">
        <v>27247</v>
      </c>
      <c r="H8923" t="s">
        <v>27248</v>
      </c>
      <c r="I8923" t="s">
        <v>44552</v>
      </c>
      <c r="J8923" t="s">
        <v>17828</v>
      </c>
      <c r="L8923" t="s">
        <v>27250</v>
      </c>
      <c r="M8923" t="s">
        <v>27251</v>
      </c>
      <c r="N8923" t="s">
        <v>27252</v>
      </c>
      <c r="Q8923" s="1">
        <v>44846</v>
      </c>
      <c r="R8923" t="s">
        <v>27253</v>
      </c>
      <c r="S8923" t="s">
        <v>27254</v>
      </c>
      <c r="T8923" t="s">
        <v>27265</v>
      </c>
    </row>
    <row r="8924" spans="1:20" x14ac:dyDescent="0.3">
      <c r="A8924" t="str">
        <f>"0611863389050"</f>
        <v>0611863389050</v>
      </c>
      <c r="B8924" t="str">
        <f>"CR3938"</f>
        <v>CR3938</v>
      </c>
      <c r="C8924" t="s">
        <v>44553</v>
      </c>
      <c r="D8924" t="s">
        <v>27263</v>
      </c>
      <c r="E8924" t="str">
        <f t="shared" si="139"/>
        <v>001390</v>
      </c>
      <c r="F8924" t="s">
        <v>27246</v>
      </c>
      <c r="G8924" t="s">
        <v>27247</v>
      </c>
      <c r="H8924" t="s">
        <v>27248</v>
      </c>
      <c r="I8924" t="s">
        <v>44554</v>
      </c>
      <c r="J8924" t="s">
        <v>17832</v>
      </c>
      <c r="L8924" t="s">
        <v>27250</v>
      </c>
      <c r="M8924" t="s">
        <v>27251</v>
      </c>
      <c r="N8924" t="s">
        <v>27252</v>
      </c>
      <c r="Q8924" s="1">
        <v>44846</v>
      </c>
      <c r="R8924" t="s">
        <v>27253</v>
      </c>
      <c r="S8924" t="s">
        <v>27254</v>
      </c>
      <c r="T8924" t="s">
        <v>27265</v>
      </c>
    </row>
    <row r="8925" spans="1:20" x14ac:dyDescent="0.3">
      <c r="A8925" t="str">
        <f>"0611837327025"</f>
        <v>0611837327025</v>
      </c>
      <c r="B8925" t="str">
        <f>"MQ6061"</f>
        <v>MQ6061</v>
      </c>
      <c r="C8925" t="s">
        <v>44555</v>
      </c>
      <c r="D8925" t="s">
        <v>27267</v>
      </c>
      <c r="E8925" t="str">
        <f t="shared" si="139"/>
        <v>001390</v>
      </c>
      <c r="F8925" t="s">
        <v>27246</v>
      </c>
      <c r="G8925" t="s">
        <v>27247</v>
      </c>
      <c r="H8925" t="s">
        <v>27248</v>
      </c>
      <c r="I8925" t="s">
        <v>44556</v>
      </c>
      <c r="J8925" t="s">
        <v>17834</v>
      </c>
      <c r="L8925" t="s">
        <v>27250</v>
      </c>
      <c r="M8925" t="s">
        <v>27251</v>
      </c>
      <c r="N8925" t="s">
        <v>27252</v>
      </c>
      <c r="Q8925" s="1">
        <v>44538</v>
      </c>
      <c r="R8925" t="s">
        <v>27253</v>
      </c>
      <c r="S8925" t="s">
        <v>27254</v>
      </c>
      <c r="T8925" t="s">
        <v>27269</v>
      </c>
    </row>
    <row r="8926" spans="1:20" x14ac:dyDescent="0.3">
      <c r="A8926" t="str">
        <f>"0611837328025"</f>
        <v>0611837328025</v>
      </c>
      <c r="B8926" t="str">
        <f>"MQ0309"</f>
        <v>MQ0309</v>
      </c>
      <c r="C8926" t="s">
        <v>44557</v>
      </c>
      <c r="D8926" t="s">
        <v>27267</v>
      </c>
      <c r="E8926" t="str">
        <f t="shared" si="139"/>
        <v>001390</v>
      </c>
      <c r="F8926" t="s">
        <v>27246</v>
      </c>
      <c r="G8926" t="s">
        <v>27247</v>
      </c>
      <c r="H8926" t="s">
        <v>27248</v>
      </c>
      <c r="I8926" t="s">
        <v>44558</v>
      </c>
      <c r="J8926" t="s">
        <v>17836</v>
      </c>
      <c r="L8926" t="s">
        <v>27250</v>
      </c>
      <c r="M8926" t="s">
        <v>27251</v>
      </c>
      <c r="N8926" t="s">
        <v>27252</v>
      </c>
      <c r="Q8926" s="1">
        <v>44538</v>
      </c>
      <c r="R8926" t="s">
        <v>27253</v>
      </c>
      <c r="S8926" t="s">
        <v>27254</v>
      </c>
      <c r="T8926" t="s">
        <v>27269</v>
      </c>
    </row>
    <row r="8927" spans="1:20" x14ac:dyDescent="0.3">
      <c r="A8927" t="str">
        <f>"0611837329025"</f>
        <v>0611837329025</v>
      </c>
      <c r="B8927" t="str">
        <f>"MC2610"</f>
        <v>MC2610</v>
      </c>
      <c r="C8927" t="s">
        <v>44559</v>
      </c>
      <c r="D8927" t="s">
        <v>27267</v>
      </c>
      <c r="E8927" t="str">
        <f t="shared" si="139"/>
        <v>001390</v>
      </c>
      <c r="F8927" t="s">
        <v>27246</v>
      </c>
      <c r="G8927" t="s">
        <v>27247</v>
      </c>
      <c r="H8927" t="s">
        <v>27248</v>
      </c>
      <c r="I8927" t="s">
        <v>44560</v>
      </c>
      <c r="J8927" t="s">
        <v>17838</v>
      </c>
      <c r="L8927" t="s">
        <v>27250</v>
      </c>
      <c r="M8927" t="s">
        <v>27251</v>
      </c>
      <c r="N8927" t="s">
        <v>27252</v>
      </c>
      <c r="Q8927" s="1">
        <v>44538</v>
      </c>
      <c r="R8927" t="s">
        <v>27253</v>
      </c>
      <c r="S8927" t="s">
        <v>27254</v>
      </c>
      <c r="T8927" t="s">
        <v>27269</v>
      </c>
    </row>
    <row r="8928" spans="1:20" x14ac:dyDescent="0.3">
      <c r="A8928" t="str">
        <f>"0611857050025"</f>
        <v>0611857050025</v>
      </c>
      <c r="B8928" t="str">
        <f>"MQ0799"</f>
        <v>MQ0799</v>
      </c>
      <c r="C8928" t="s">
        <v>44561</v>
      </c>
      <c r="D8928" t="s">
        <v>27267</v>
      </c>
      <c r="E8928" t="str">
        <f t="shared" si="139"/>
        <v>001390</v>
      </c>
      <c r="F8928" t="s">
        <v>27246</v>
      </c>
      <c r="G8928" t="s">
        <v>27247</v>
      </c>
      <c r="H8928" t="s">
        <v>27248</v>
      </c>
      <c r="I8928" t="s">
        <v>44562</v>
      </c>
      <c r="J8928" t="s">
        <v>17840</v>
      </c>
      <c r="L8928" t="s">
        <v>27250</v>
      </c>
      <c r="M8928" t="s">
        <v>27251</v>
      </c>
      <c r="N8928" t="s">
        <v>27252</v>
      </c>
      <c r="Q8928" s="1">
        <v>44812</v>
      </c>
      <c r="R8928" t="s">
        <v>27253</v>
      </c>
      <c r="S8928" t="s">
        <v>27254</v>
      </c>
      <c r="T8928" t="s">
        <v>27269</v>
      </c>
    </row>
    <row r="8929" spans="1:20" x14ac:dyDescent="0.3">
      <c r="A8929" t="str">
        <f>"0611837330025"</f>
        <v>0611837330025</v>
      </c>
      <c r="B8929" t="str">
        <f>"MC3783"</f>
        <v>MC3783</v>
      </c>
      <c r="C8929" t="s">
        <v>44563</v>
      </c>
      <c r="D8929" t="s">
        <v>27267</v>
      </c>
      <c r="E8929" t="str">
        <f t="shared" si="139"/>
        <v>001390</v>
      </c>
      <c r="F8929" t="s">
        <v>27246</v>
      </c>
      <c r="G8929" t="s">
        <v>27247</v>
      </c>
      <c r="H8929" t="s">
        <v>27248</v>
      </c>
      <c r="I8929" t="s">
        <v>44564</v>
      </c>
      <c r="J8929" t="s">
        <v>17842</v>
      </c>
      <c r="L8929" t="s">
        <v>27250</v>
      </c>
      <c r="M8929" t="s">
        <v>27251</v>
      </c>
      <c r="N8929" t="s">
        <v>27252</v>
      </c>
      <c r="O8929">
        <v>25</v>
      </c>
      <c r="Q8929" s="1">
        <v>44538</v>
      </c>
      <c r="R8929" t="s">
        <v>27253</v>
      </c>
      <c r="S8929" t="s">
        <v>27254</v>
      </c>
      <c r="T8929" t="s">
        <v>27269</v>
      </c>
    </row>
    <row r="8930" spans="1:20" x14ac:dyDescent="0.3">
      <c r="A8930" t="str">
        <f>"0611884342025"</f>
        <v>0611884342025</v>
      </c>
      <c r="B8930" t="str">
        <f>"MQ0836"</f>
        <v>MQ0836</v>
      </c>
      <c r="C8930" t="s">
        <v>44565</v>
      </c>
      <c r="D8930" t="s">
        <v>27267</v>
      </c>
      <c r="E8930" t="str">
        <f t="shared" si="139"/>
        <v>001390</v>
      </c>
      <c r="F8930" t="s">
        <v>27246</v>
      </c>
      <c r="G8930" t="s">
        <v>27247</v>
      </c>
      <c r="H8930" t="s">
        <v>27248</v>
      </c>
      <c r="I8930" t="s">
        <v>44566</v>
      </c>
      <c r="J8930" t="s">
        <v>17844</v>
      </c>
      <c r="L8930" t="s">
        <v>27430</v>
      </c>
      <c r="M8930" t="s">
        <v>27251</v>
      </c>
      <c r="N8930" t="s">
        <v>27252</v>
      </c>
      <c r="Q8930" s="1">
        <v>45250</v>
      </c>
      <c r="R8930" t="s">
        <v>27253</v>
      </c>
      <c r="S8930" t="s">
        <v>27254</v>
      </c>
      <c r="T8930" t="s">
        <v>27269</v>
      </c>
    </row>
    <row r="8931" spans="1:20" x14ac:dyDescent="0.3">
      <c r="A8931" t="str">
        <f>"0611884343025"</f>
        <v>0611884343025</v>
      </c>
      <c r="B8931" t="str">
        <f>"MQ0837"</f>
        <v>MQ0837</v>
      </c>
      <c r="C8931" t="s">
        <v>44567</v>
      </c>
      <c r="D8931" t="s">
        <v>27267</v>
      </c>
      <c r="E8931" t="str">
        <f t="shared" si="139"/>
        <v>001390</v>
      </c>
      <c r="F8931" t="s">
        <v>27246</v>
      </c>
      <c r="G8931" t="s">
        <v>27247</v>
      </c>
      <c r="H8931" t="s">
        <v>27248</v>
      </c>
      <c r="I8931" t="s">
        <v>44568</v>
      </c>
      <c r="J8931" t="s">
        <v>17846</v>
      </c>
      <c r="L8931" t="s">
        <v>27430</v>
      </c>
      <c r="M8931" t="s">
        <v>27251</v>
      </c>
      <c r="N8931" t="s">
        <v>27252</v>
      </c>
      <c r="Q8931" s="1">
        <v>45250</v>
      </c>
      <c r="R8931" t="s">
        <v>27253</v>
      </c>
      <c r="S8931" t="s">
        <v>27254</v>
      </c>
      <c r="T8931" t="s">
        <v>27269</v>
      </c>
    </row>
    <row r="8932" spans="1:20" x14ac:dyDescent="0.3">
      <c r="A8932" t="str">
        <f>"0611884344025"</f>
        <v>0611884344025</v>
      </c>
      <c r="B8932" t="str">
        <f>"MQ0838"</f>
        <v>MQ0838</v>
      </c>
      <c r="C8932" t="s">
        <v>44569</v>
      </c>
      <c r="D8932" t="s">
        <v>27267</v>
      </c>
      <c r="E8932" t="str">
        <f t="shared" si="139"/>
        <v>001390</v>
      </c>
      <c r="F8932" t="s">
        <v>27246</v>
      </c>
      <c r="G8932" t="s">
        <v>27247</v>
      </c>
      <c r="H8932" t="s">
        <v>27248</v>
      </c>
      <c r="I8932" t="s">
        <v>44570</v>
      </c>
      <c r="J8932" t="s">
        <v>17848</v>
      </c>
      <c r="L8932" t="s">
        <v>27430</v>
      </c>
      <c r="M8932" t="s">
        <v>27251</v>
      </c>
      <c r="N8932" t="s">
        <v>27252</v>
      </c>
      <c r="Q8932" s="1">
        <v>45250</v>
      </c>
      <c r="R8932" t="s">
        <v>27253</v>
      </c>
      <c r="S8932" t="s">
        <v>27254</v>
      </c>
      <c r="T8932" t="s">
        <v>27269</v>
      </c>
    </row>
    <row r="8933" spans="1:20" x14ac:dyDescent="0.3">
      <c r="A8933" t="str">
        <f>"0611884345025"</f>
        <v>0611884345025</v>
      </c>
      <c r="B8933" t="str">
        <f>"MQ0839"</f>
        <v>MQ0839</v>
      </c>
      <c r="C8933" t="s">
        <v>44571</v>
      </c>
      <c r="D8933" t="s">
        <v>27267</v>
      </c>
      <c r="E8933" t="str">
        <f t="shared" si="139"/>
        <v>001390</v>
      </c>
      <c r="F8933" t="s">
        <v>27246</v>
      </c>
      <c r="G8933" t="s">
        <v>27247</v>
      </c>
      <c r="H8933" t="s">
        <v>27248</v>
      </c>
      <c r="I8933" t="s">
        <v>44572</v>
      </c>
      <c r="J8933" t="s">
        <v>17850</v>
      </c>
      <c r="L8933" t="s">
        <v>27430</v>
      </c>
      <c r="M8933" t="s">
        <v>27251</v>
      </c>
      <c r="N8933" t="s">
        <v>27252</v>
      </c>
      <c r="Q8933" s="1">
        <v>45250</v>
      </c>
      <c r="R8933" t="s">
        <v>27253</v>
      </c>
      <c r="S8933" t="s">
        <v>27254</v>
      </c>
      <c r="T8933" t="s">
        <v>27269</v>
      </c>
    </row>
    <row r="8934" spans="1:20" x14ac:dyDescent="0.3">
      <c r="A8934" t="str">
        <f>"0611837331100"</f>
        <v>0611837331100</v>
      </c>
      <c r="B8934" t="str">
        <f>"LH6377"</f>
        <v>LH6377</v>
      </c>
      <c r="C8934" t="s">
        <v>44573</v>
      </c>
      <c r="D8934" t="s">
        <v>27245</v>
      </c>
      <c r="E8934" t="str">
        <f t="shared" si="139"/>
        <v>001390</v>
      </c>
      <c r="F8934" t="s">
        <v>27246</v>
      </c>
      <c r="G8934" t="s">
        <v>27247</v>
      </c>
      <c r="H8934" t="s">
        <v>27248</v>
      </c>
      <c r="I8934" t="s">
        <v>44574</v>
      </c>
      <c r="J8934" t="s">
        <v>17852</v>
      </c>
      <c r="L8934" t="s">
        <v>27250</v>
      </c>
      <c r="M8934" t="s">
        <v>27251</v>
      </c>
      <c r="N8934" t="s">
        <v>27252</v>
      </c>
      <c r="Q8934" s="1">
        <v>44538</v>
      </c>
      <c r="R8934" t="s">
        <v>27253</v>
      </c>
      <c r="S8934" t="s">
        <v>27254</v>
      </c>
      <c r="T8934" t="s">
        <v>27255</v>
      </c>
    </row>
    <row r="8935" spans="1:20" x14ac:dyDescent="0.3">
      <c r="A8935" t="str">
        <f>"0611837332025"</f>
        <v>0611837332025</v>
      </c>
      <c r="B8935" t="str">
        <f>"MC0581"</f>
        <v>MC0581</v>
      </c>
      <c r="C8935" t="s">
        <v>44573</v>
      </c>
      <c r="D8935" t="s">
        <v>27267</v>
      </c>
      <c r="E8935" t="str">
        <f t="shared" si="139"/>
        <v>001390</v>
      </c>
      <c r="F8935" t="s">
        <v>27246</v>
      </c>
      <c r="G8935" t="s">
        <v>27247</v>
      </c>
      <c r="H8935" t="s">
        <v>27248</v>
      </c>
      <c r="I8935" t="s">
        <v>44575</v>
      </c>
      <c r="J8935" t="s">
        <v>17854</v>
      </c>
      <c r="L8935" t="s">
        <v>27250</v>
      </c>
      <c r="M8935" t="s">
        <v>27251</v>
      </c>
      <c r="N8935" t="s">
        <v>27252</v>
      </c>
      <c r="Q8935" s="1">
        <v>44538</v>
      </c>
      <c r="R8935" t="s">
        <v>27253</v>
      </c>
      <c r="S8935" t="s">
        <v>27254</v>
      </c>
      <c r="T8935" t="s">
        <v>27269</v>
      </c>
    </row>
    <row r="8936" spans="1:20" x14ac:dyDescent="0.3">
      <c r="A8936" t="str">
        <f>"0611884346025"</f>
        <v>0611884346025</v>
      </c>
      <c r="B8936" t="str">
        <f>"MQ0814"</f>
        <v>MQ0814</v>
      </c>
      <c r="C8936" t="s">
        <v>44576</v>
      </c>
      <c r="D8936" t="s">
        <v>27267</v>
      </c>
      <c r="E8936" t="str">
        <f t="shared" si="139"/>
        <v>001390</v>
      </c>
      <c r="F8936" t="s">
        <v>27246</v>
      </c>
      <c r="G8936" t="s">
        <v>27247</v>
      </c>
      <c r="H8936" t="s">
        <v>27248</v>
      </c>
      <c r="I8936" t="s">
        <v>44577</v>
      </c>
      <c r="J8936" t="s">
        <v>17856</v>
      </c>
      <c r="L8936" t="s">
        <v>27430</v>
      </c>
      <c r="M8936" t="s">
        <v>27251</v>
      </c>
      <c r="N8936" t="s">
        <v>27252</v>
      </c>
      <c r="Q8936" s="1">
        <v>45250</v>
      </c>
      <c r="R8936" t="s">
        <v>27253</v>
      </c>
      <c r="S8936" t="s">
        <v>27254</v>
      </c>
      <c r="T8936" t="s">
        <v>27269</v>
      </c>
    </row>
    <row r="8937" spans="1:20" x14ac:dyDescent="0.3">
      <c r="A8937" t="str">
        <f>"0611837337100"</f>
        <v>0611837337100</v>
      </c>
      <c r="B8937" t="str">
        <f>"LK6417"</f>
        <v>LK6417</v>
      </c>
      <c r="C8937" t="s">
        <v>44578</v>
      </c>
      <c r="D8937" t="s">
        <v>28138</v>
      </c>
      <c r="E8937" t="str">
        <f t="shared" si="139"/>
        <v>001390</v>
      </c>
      <c r="F8937" t="s">
        <v>27246</v>
      </c>
      <c r="G8937" t="s">
        <v>27247</v>
      </c>
      <c r="H8937" t="s">
        <v>27248</v>
      </c>
      <c r="I8937" t="s">
        <v>44579</v>
      </c>
      <c r="J8937" t="s">
        <v>17858</v>
      </c>
      <c r="L8937" t="s">
        <v>27250</v>
      </c>
      <c r="M8937" t="s">
        <v>27251</v>
      </c>
      <c r="N8937" t="s">
        <v>27252</v>
      </c>
      <c r="P8937" t="s">
        <v>27925</v>
      </c>
      <c r="Q8937" s="1">
        <v>44538</v>
      </c>
      <c r="R8937" t="s">
        <v>27253</v>
      </c>
      <c r="S8937" t="s">
        <v>27254</v>
      </c>
      <c r="T8937" t="s">
        <v>27255</v>
      </c>
    </row>
    <row r="8938" spans="1:20" x14ac:dyDescent="0.3">
      <c r="A8938" t="str">
        <f>"0611837338100"</f>
        <v>0611837338100</v>
      </c>
      <c r="B8938" t="str">
        <f>"LK6418"</f>
        <v>LK6418</v>
      </c>
      <c r="C8938" t="s">
        <v>44580</v>
      </c>
      <c r="D8938" t="s">
        <v>28138</v>
      </c>
      <c r="E8938" t="str">
        <f t="shared" si="139"/>
        <v>001390</v>
      </c>
      <c r="F8938" t="s">
        <v>27246</v>
      </c>
      <c r="G8938" t="s">
        <v>27247</v>
      </c>
      <c r="H8938" t="s">
        <v>27248</v>
      </c>
      <c r="I8938" t="s">
        <v>44581</v>
      </c>
      <c r="J8938" t="s">
        <v>17860</v>
      </c>
      <c r="L8938" t="s">
        <v>27250</v>
      </c>
      <c r="M8938" t="s">
        <v>27251</v>
      </c>
      <c r="N8938" t="s">
        <v>27252</v>
      </c>
      <c r="P8938" t="s">
        <v>27925</v>
      </c>
      <c r="Q8938" s="1">
        <v>44538</v>
      </c>
      <c r="R8938" t="s">
        <v>27253</v>
      </c>
      <c r="S8938" t="s">
        <v>27254</v>
      </c>
      <c r="T8938" t="s">
        <v>27255</v>
      </c>
    </row>
    <row r="8939" spans="1:20" x14ac:dyDescent="0.3">
      <c r="A8939" t="str">
        <f>"0611863390100"</f>
        <v>0611863390100</v>
      </c>
      <c r="B8939" t="str">
        <f>"CN5288"</f>
        <v>CN5288</v>
      </c>
      <c r="C8939" t="s">
        <v>44582</v>
      </c>
      <c r="D8939" t="s">
        <v>27335</v>
      </c>
      <c r="E8939" t="str">
        <f t="shared" si="139"/>
        <v>001390</v>
      </c>
      <c r="F8939" t="s">
        <v>27246</v>
      </c>
      <c r="G8939" t="s">
        <v>27247</v>
      </c>
      <c r="H8939" t="s">
        <v>27248</v>
      </c>
      <c r="I8939" t="s">
        <v>44583</v>
      </c>
      <c r="J8939" t="s">
        <v>17862</v>
      </c>
      <c r="L8939" t="s">
        <v>27250</v>
      </c>
      <c r="M8939" t="s">
        <v>27251</v>
      </c>
      <c r="N8939" t="s">
        <v>27252</v>
      </c>
      <c r="Q8939" s="1">
        <v>44846</v>
      </c>
      <c r="R8939" t="s">
        <v>27253</v>
      </c>
      <c r="S8939" t="s">
        <v>27254</v>
      </c>
      <c r="T8939" t="s">
        <v>27255</v>
      </c>
    </row>
    <row r="8940" spans="1:20" x14ac:dyDescent="0.3">
      <c r="A8940" t="str">
        <f>"0611863391050"</f>
        <v>0611863391050</v>
      </c>
      <c r="B8940" t="str">
        <f>"CR3813"</f>
        <v>CR3813</v>
      </c>
      <c r="C8940" t="s">
        <v>44584</v>
      </c>
      <c r="D8940" t="s">
        <v>27286</v>
      </c>
      <c r="E8940" t="str">
        <f t="shared" si="139"/>
        <v>001390</v>
      </c>
      <c r="F8940" t="s">
        <v>27246</v>
      </c>
      <c r="G8940" t="s">
        <v>27247</v>
      </c>
      <c r="H8940" t="s">
        <v>27248</v>
      </c>
      <c r="I8940" t="s">
        <v>44585</v>
      </c>
      <c r="J8940" t="s">
        <v>17864</v>
      </c>
      <c r="L8940" t="s">
        <v>27250</v>
      </c>
      <c r="M8940" t="s">
        <v>27251</v>
      </c>
      <c r="N8940" t="s">
        <v>27252</v>
      </c>
      <c r="Q8940" s="1">
        <v>44846</v>
      </c>
      <c r="R8940" t="s">
        <v>27253</v>
      </c>
      <c r="S8940" t="s">
        <v>27254</v>
      </c>
      <c r="T8940" t="s">
        <v>27265</v>
      </c>
    </row>
    <row r="8941" spans="1:20" x14ac:dyDescent="0.3">
      <c r="A8941" t="str">
        <f>"0611863392100"</f>
        <v>0611863392100</v>
      </c>
      <c r="B8941" t="str">
        <f>"CN5289"</f>
        <v>CN5289</v>
      </c>
      <c r="C8941" t="s">
        <v>44586</v>
      </c>
      <c r="D8941" t="s">
        <v>27335</v>
      </c>
      <c r="E8941" t="str">
        <f t="shared" si="139"/>
        <v>001390</v>
      </c>
      <c r="F8941" t="s">
        <v>27246</v>
      </c>
      <c r="G8941" t="s">
        <v>27247</v>
      </c>
      <c r="H8941" t="s">
        <v>27248</v>
      </c>
      <c r="I8941" t="s">
        <v>44587</v>
      </c>
      <c r="J8941" t="s">
        <v>17866</v>
      </c>
      <c r="L8941" t="s">
        <v>27250</v>
      </c>
      <c r="M8941" t="s">
        <v>27251</v>
      </c>
      <c r="N8941" t="s">
        <v>27252</v>
      </c>
      <c r="Q8941" s="1">
        <v>44846</v>
      </c>
      <c r="R8941" t="s">
        <v>27253</v>
      </c>
      <c r="S8941" t="s">
        <v>27254</v>
      </c>
      <c r="T8941" t="s">
        <v>27255</v>
      </c>
    </row>
    <row r="8942" spans="1:20" x14ac:dyDescent="0.3">
      <c r="A8942" t="str">
        <f>"0611863393050"</f>
        <v>0611863393050</v>
      </c>
      <c r="B8942" t="str">
        <f>"CR3814"</f>
        <v>CR3814</v>
      </c>
      <c r="C8942" t="s">
        <v>44588</v>
      </c>
      <c r="D8942" t="s">
        <v>27286</v>
      </c>
      <c r="E8942" t="str">
        <f t="shared" si="139"/>
        <v>001390</v>
      </c>
      <c r="F8942" t="s">
        <v>27246</v>
      </c>
      <c r="G8942" t="s">
        <v>27247</v>
      </c>
      <c r="H8942" t="s">
        <v>27248</v>
      </c>
      <c r="I8942" t="s">
        <v>44589</v>
      </c>
      <c r="J8942" t="s">
        <v>17868</v>
      </c>
      <c r="L8942" t="s">
        <v>27250</v>
      </c>
      <c r="M8942" t="s">
        <v>27251</v>
      </c>
      <c r="N8942" t="s">
        <v>27252</v>
      </c>
      <c r="Q8942" s="1">
        <v>44846</v>
      </c>
      <c r="R8942" t="s">
        <v>27253</v>
      </c>
      <c r="S8942" t="s">
        <v>27254</v>
      </c>
      <c r="T8942" t="s">
        <v>27265</v>
      </c>
    </row>
    <row r="8943" spans="1:20" x14ac:dyDescent="0.3">
      <c r="A8943" t="str">
        <f>"0611863394100"</f>
        <v>0611863394100</v>
      </c>
      <c r="B8943" t="str">
        <f>"CN2314"</f>
        <v>CN2314</v>
      </c>
      <c r="C8943" t="s">
        <v>44590</v>
      </c>
      <c r="D8943" t="s">
        <v>27335</v>
      </c>
      <c r="E8943" t="str">
        <f t="shared" si="139"/>
        <v>001390</v>
      </c>
      <c r="F8943" t="s">
        <v>27246</v>
      </c>
      <c r="G8943" t="s">
        <v>27247</v>
      </c>
      <c r="H8943" t="s">
        <v>27248</v>
      </c>
      <c r="I8943" t="s">
        <v>44591</v>
      </c>
      <c r="J8943" t="s">
        <v>17870</v>
      </c>
      <c r="L8943" t="s">
        <v>27250</v>
      </c>
      <c r="M8943" t="s">
        <v>27251</v>
      </c>
      <c r="N8943" t="s">
        <v>27252</v>
      </c>
      <c r="Q8943" s="1">
        <v>44846</v>
      </c>
      <c r="R8943" t="s">
        <v>27253</v>
      </c>
      <c r="S8943" t="s">
        <v>27254</v>
      </c>
      <c r="T8943" t="s">
        <v>27255</v>
      </c>
    </row>
    <row r="8944" spans="1:20" x14ac:dyDescent="0.3">
      <c r="A8944" t="str">
        <f>"0611863395100"</f>
        <v>0611863395100</v>
      </c>
      <c r="B8944" t="str">
        <f>"CN5290"</f>
        <v>CN5290</v>
      </c>
      <c r="C8944" t="s">
        <v>44592</v>
      </c>
      <c r="D8944" t="s">
        <v>27335</v>
      </c>
      <c r="E8944" t="str">
        <f t="shared" si="139"/>
        <v>001390</v>
      </c>
      <c r="F8944" t="s">
        <v>27246</v>
      </c>
      <c r="G8944" t="s">
        <v>27247</v>
      </c>
      <c r="H8944" t="s">
        <v>27248</v>
      </c>
      <c r="I8944" t="s">
        <v>44593</v>
      </c>
      <c r="J8944" t="s">
        <v>17872</v>
      </c>
      <c r="L8944" t="s">
        <v>27250</v>
      </c>
      <c r="M8944" t="s">
        <v>27251</v>
      </c>
      <c r="N8944" t="s">
        <v>27252</v>
      </c>
      <c r="Q8944" s="1">
        <v>44846</v>
      </c>
      <c r="R8944" t="s">
        <v>27253</v>
      </c>
      <c r="S8944" t="s">
        <v>27254</v>
      </c>
      <c r="T8944" t="s">
        <v>27255</v>
      </c>
    </row>
    <row r="8945" spans="1:20" x14ac:dyDescent="0.3">
      <c r="A8945" t="str">
        <f>"0611863396050"</f>
        <v>0611863396050</v>
      </c>
      <c r="B8945" t="str">
        <f>"CR3815"</f>
        <v>CR3815</v>
      </c>
      <c r="C8945" t="s">
        <v>44594</v>
      </c>
      <c r="D8945" t="s">
        <v>27286</v>
      </c>
      <c r="E8945" t="str">
        <f t="shared" si="139"/>
        <v>001390</v>
      </c>
      <c r="F8945" t="s">
        <v>27246</v>
      </c>
      <c r="G8945" t="s">
        <v>27247</v>
      </c>
      <c r="H8945" t="s">
        <v>27248</v>
      </c>
      <c r="I8945" t="s">
        <v>44595</v>
      </c>
      <c r="J8945" t="s">
        <v>17874</v>
      </c>
      <c r="L8945" t="s">
        <v>27250</v>
      </c>
      <c r="M8945" t="s">
        <v>27251</v>
      </c>
      <c r="N8945" t="s">
        <v>27252</v>
      </c>
      <c r="Q8945" s="1">
        <v>44846</v>
      </c>
      <c r="R8945" t="s">
        <v>27253</v>
      </c>
      <c r="S8945" t="s">
        <v>27254</v>
      </c>
      <c r="T8945" t="s">
        <v>27265</v>
      </c>
    </row>
    <row r="8946" spans="1:20" x14ac:dyDescent="0.3">
      <c r="A8946" t="str">
        <f>"0611863397100"</f>
        <v>0611863397100</v>
      </c>
      <c r="B8946" t="str">
        <f>"CN5291"</f>
        <v>CN5291</v>
      </c>
      <c r="C8946" t="s">
        <v>44596</v>
      </c>
      <c r="D8946" t="s">
        <v>27335</v>
      </c>
      <c r="E8946" t="str">
        <f t="shared" si="139"/>
        <v>001390</v>
      </c>
      <c r="F8946" t="s">
        <v>27246</v>
      </c>
      <c r="G8946" t="s">
        <v>27247</v>
      </c>
      <c r="H8946" t="s">
        <v>27248</v>
      </c>
      <c r="I8946" t="s">
        <v>44597</v>
      </c>
      <c r="J8946" t="s">
        <v>17876</v>
      </c>
      <c r="L8946" t="s">
        <v>27250</v>
      </c>
      <c r="M8946" t="s">
        <v>27251</v>
      </c>
      <c r="N8946" t="s">
        <v>27252</v>
      </c>
      <c r="Q8946" s="1">
        <v>44846</v>
      </c>
      <c r="R8946" t="s">
        <v>27253</v>
      </c>
      <c r="S8946" t="s">
        <v>27254</v>
      </c>
      <c r="T8946" t="s">
        <v>27255</v>
      </c>
    </row>
    <row r="8947" spans="1:20" x14ac:dyDescent="0.3">
      <c r="A8947" t="str">
        <f>"0611863398050"</f>
        <v>0611863398050</v>
      </c>
      <c r="B8947" t="str">
        <f>"CR3816"</f>
        <v>CR3816</v>
      </c>
      <c r="C8947" t="s">
        <v>44598</v>
      </c>
      <c r="D8947" t="s">
        <v>27286</v>
      </c>
      <c r="E8947" t="str">
        <f t="shared" si="139"/>
        <v>001390</v>
      </c>
      <c r="F8947" t="s">
        <v>27246</v>
      </c>
      <c r="G8947" t="s">
        <v>27247</v>
      </c>
      <c r="H8947" t="s">
        <v>27248</v>
      </c>
      <c r="I8947" t="s">
        <v>44599</v>
      </c>
      <c r="J8947" t="s">
        <v>17878</v>
      </c>
      <c r="L8947" t="s">
        <v>27250</v>
      </c>
      <c r="M8947" t="s">
        <v>27251</v>
      </c>
      <c r="N8947" t="s">
        <v>27252</v>
      </c>
      <c r="Q8947" s="1">
        <v>44846</v>
      </c>
      <c r="R8947" t="s">
        <v>27253</v>
      </c>
      <c r="S8947" t="s">
        <v>27254</v>
      </c>
      <c r="T8947" t="s">
        <v>27265</v>
      </c>
    </row>
    <row r="8948" spans="1:20" x14ac:dyDescent="0.3">
      <c r="A8948" t="str">
        <f>"0611863399050"</f>
        <v>0611863399050</v>
      </c>
      <c r="B8948" t="str">
        <f>"CE0486"</f>
        <v>CE0486</v>
      </c>
      <c r="C8948" t="s">
        <v>44600</v>
      </c>
      <c r="D8948" t="s">
        <v>27923</v>
      </c>
      <c r="E8948" t="str">
        <f t="shared" si="139"/>
        <v>001390</v>
      </c>
      <c r="F8948" t="s">
        <v>27246</v>
      </c>
      <c r="G8948" t="s">
        <v>27247</v>
      </c>
      <c r="H8948" t="s">
        <v>27248</v>
      </c>
      <c r="I8948" t="s">
        <v>44601</v>
      </c>
      <c r="J8948" t="s">
        <v>17880</v>
      </c>
      <c r="L8948" t="s">
        <v>27250</v>
      </c>
      <c r="M8948" t="s">
        <v>27251</v>
      </c>
      <c r="N8948" t="s">
        <v>27252</v>
      </c>
      <c r="P8948" t="s">
        <v>27925</v>
      </c>
      <c r="Q8948" s="1">
        <v>44846</v>
      </c>
      <c r="R8948" t="s">
        <v>27253</v>
      </c>
      <c r="S8948" t="s">
        <v>27254</v>
      </c>
      <c r="T8948" t="s">
        <v>27265</v>
      </c>
    </row>
    <row r="8949" spans="1:20" x14ac:dyDescent="0.3">
      <c r="A8949" t="str">
        <f>"0611863400050"</f>
        <v>0611863400050</v>
      </c>
      <c r="B8949" t="str">
        <f>"CE0487"</f>
        <v>CE0487</v>
      </c>
      <c r="C8949" t="s">
        <v>44602</v>
      </c>
      <c r="D8949" t="s">
        <v>27923</v>
      </c>
      <c r="E8949" t="str">
        <f t="shared" si="139"/>
        <v>001390</v>
      </c>
      <c r="F8949" t="s">
        <v>27246</v>
      </c>
      <c r="G8949" t="s">
        <v>27247</v>
      </c>
      <c r="H8949" t="s">
        <v>27248</v>
      </c>
      <c r="I8949" t="s">
        <v>44603</v>
      </c>
      <c r="J8949" t="s">
        <v>17882</v>
      </c>
      <c r="L8949" t="s">
        <v>27250</v>
      </c>
      <c r="M8949" t="s">
        <v>27251</v>
      </c>
      <c r="N8949" t="s">
        <v>27252</v>
      </c>
      <c r="P8949" t="s">
        <v>27925</v>
      </c>
      <c r="Q8949" s="1">
        <v>44846</v>
      </c>
      <c r="R8949" t="s">
        <v>27253</v>
      </c>
      <c r="S8949" t="s">
        <v>27254</v>
      </c>
      <c r="T8949" t="s">
        <v>27265</v>
      </c>
    </row>
    <row r="8950" spans="1:20" x14ac:dyDescent="0.3">
      <c r="A8950" t="str">
        <f>"0611863401050"</f>
        <v>0611863401050</v>
      </c>
      <c r="B8950" t="str">
        <f>"CE0488"</f>
        <v>CE0488</v>
      </c>
      <c r="C8950" t="s">
        <v>44604</v>
      </c>
      <c r="D8950" t="s">
        <v>27923</v>
      </c>
      <c r="E8950" t="str">
        <f t="shared" si="139"/>
        <v>001390</v>
      </c>
      <c r="F8950" t="s">
        <v>27246</v>
      </c>
      <c r="G8950" t="s">
        <v>27247</v>
      </c>
      <c r="H8950" t="s">
        <v>27248</v>
      </c>
      <c r="I8950" t="s">
        <v>44605</v>
      </c>
      <c r="J8950" t="s">
        <v>17884</v>
      </c>
      <c r="L8950" t="s">
        <v>27250</v>
      </c>
      <c r="M8950" t="s">
        <v>27251</v>
      </c>
      <c r="N8950" t="s">
        <v>27252</v>
      </c>
      <c r="P8950" t="s">
        <v>27925</v>
      </c>
      <c r="Q8950" s="1">
        <v>44846</v>
      </c>
      <c r="R8950" t="s">
        <v>27253</v>
      </c>
      <c r="S8950" t="s">
        <v>27254</v>
      </c>
      <c r="T8950" t="s">
        <v>27265</v>
      </c>
    </row>
    <row r="8951" spans="1:20" x14ac:dyDescent="0.3">
      <c r="A8951" t="str">
        <f>"0611863402050"</f>
        <v>0611863402050</v>
      </c>
      <c r="B8951" t="str">
        <f>"CE0489"</f>
        <v>CE0489</v>
      </c>
      <c r="C8951" t="s">
        <v>44606</v>
      </c>
      <c r="D8951" t="s">
        <v>27923</v>
      </c>
      <c r="E8951" t="str">
        <f t="shared" si="139"/>
        <v>001390</v>
      </c>
      <c r="F8951" t="s">
        <v>27246</v>
      </c>
      <c r="G8951" t="s">
        <v>27247</v>
      </c>
      <c r="H8951" t="s">
        <v>27248</v>
      </c>
      <c r="I8951" t="s">
        <v>44607</v>
      </c>
      <c r="J8951" t="s">
        <v>17886</v>
      </c>
      <c r="L8951" t="s">
        <v>27250</v>
      </c>
      <c r="M8951" t="s">
        <v>27251</v>
      </c>
      <c r="N8951" t="s">
        <v>27252</v>
      </c>
      <c r="P8951" t="s">
        <v>27925</v>
      </c>
      <c r="Q8951" s="1">
        <v>44846</v>
      </c>
      <c r="R8951" t="s">
        <v>27253</v>
      </c>
      <c r="S8951" t="s">
        <v>27254</v>
      </c>
      <c r="T8951" t="s">
        <v>27265</v>
      </c>
    </row>
    <row r="8952" spans="1:20" x14ac:dyDescent="0.3">
      <c r="A8952" t="str">
        <f>"0611863403050"</f>
        <v>0611863403050</v>
      </c>
      <c r="B8952" t="str">
        <f>"CE0490"</f>
        <v>CE0490</v>
      </c>
      <c r="C8952" t="s">
        <v>44608</v>
      </c>
      <c r="D8952" t="s">
        <v>27923</v>
      </c>
      <c r="E8952" t="str">
        <f t="shared" si="139"/>
        <v>001390</v>
      </c>
      <c r="F8952" t="s">
        <v>27246</v>
      </c>
      <c r="G8952" t="s">
        <v>27247</v>
      </c>
      <c r="H8952" t="s">
        <v>27248</v>
      </c>
      <c r="I8952" t="s">
        <v>44609</v>
      </c>
      <c r="J8952" t="s">
        <v>17888</v>
      </c>
      <c r="L8952" t="s">
        <v>27250</v>
      </c>
      <c r="M8952" t="s">
        <v>27251</v>
      </c>
      <c r="N8952" t="s">
        <v>27252</v>
      </c>
      <c r="P8952" t="s">
        <v>27925</v>
      </c>
      <c r="Q8952" s="1">
        <v>44846</v>
      </c>
      <c r="R8952" t="s">
        <v>27253</v>
      </c>
      <c r="S8952" t="s">
        <v>27254</v>
      </c>
      <c r="T8952" t="s">
        <v>27265</v>
      </c>
    </row>
    <row r="8953" spans="1:20" x14ac:dyDescent="0.3">
      <c r="A8953" t="str">
        <f>"0611863404050"</f>
        <v>0611863404050</v>
      </c>
      <c r="B8953" t="str">
        <f>"CE0491"</f>
        <v>CE0491</v>
      </c>
      <c r="C8953" t="s">
        <v>44610</v>
      </c>
      <c r="D8953" t="s">
        <v>27923</v>
      </c>
      <c r="E8953" t="str">
        <f t="shared" si="139"/>
        <v>001390</v>
      </c>
      <c r="F8953" t="s">
        <v>27246</v>
      </c>
      <c r="G8953" t="s">
        <v>27247</v>
      </c>
      <c r="H8953" t="s">
        <v>27248</v>
      </c>
      <c r="I8953" t="s">
        <v>44611</v>
      </c>
      <c r="J8953" t="s">
        <v>17890</v>
      </c>
      <c r="L8953" t="s">
        <v>27250</v>
      </c>
      <c r="M8953" t="s">
        <v>27251</v>
      </c>
      <c r="N8953" t="s">
        <v>27252</v>
      </c>
      <c r="P8953" t="s">
        <v>27925</v>
      </c>
      <c r="Q8953" s="1">
        <v>44846</v>
      </c>
      <c r="R8953" t="s">
        <v>27253</v>
      </c>
      <c r="S8953" t="s">
        <v>27254</v>
      </c>
      <c r="T8953" t="s">
        <v>27265</v>
      </c>
    </row>
    <row r="8954" spans="1:20" x14ac:dyDescent="0.3">
      <c r="A8954" t="str">
        <f>"0611837343025"</f>
        <v>0611837343025</v>
      </c>
      <c r="B8954" t="str">
        <f>"MC0582"</f>
        <v>MC0582</v>
      </c>
      <c r="C8954" t="s">
        <v>44612</v>
      </c>
      <c r="D8954" t="s">
        <v>27267</v>
      </c>
      <c r="E8954" t="str">
        <f t="shared" si="139"/>
        <v>001390</v>
      </c>
      <c r="F8954" t="s">
        <v>27246</v>
      </c>
      <c r="G8954" t="s">
        <v>27247</v>
      </c>
      <c r="H8954" t="s">
        <v>27248</v>
      </c>
      <c r="I8954" t="s">
        <v>44613</v>
      </c>
      <c r="J8954" t="s">
        <v>17892</v>
      </c>
      <c r="L8954" t="s">
        <v>27250</v>
      </c>
      <c r="M8954" t="s">
        <v>27251</v>
      </c>
      <c r="N8954" t="s">
        <v>27252</v>
      </c>
      <c r="Q8954" s="1">
        <v>44538</v>
      </c>
      <c r="R8954" t="s">
        <v>27253</v>
      </c>
      <c r="S8954" t="s">
        <v>27254</v>
      </c>
      <c r="T8954" t="s">
        <v>27269</v>
      </c>
    </row>
    <row r="8955" spans="1:20" x14ac:dyDescent="0.3">
      <c r="A8955" t="str">
        <f>"0611863405100"</f>
        <v>0611863405100</v>
      </c>
      <c r="B8955" t="str">
        <f>"CN5283"</f>
        <v>CN5283</v>
      </c>
      <c r="C8955" t="s">
        <v>44614</v>
      </c>
      <c r="D8955" t="s">
        <v>27335</v>
      </c>
      <c r="E8955" t="str">
        <f t="shared" si="139"/>
        <v>001390</v>
      </c>
      <c r="F8955" t="s">
        <v>27246</v>
      </c>
      <c r="G8955" t="s">
        <v>27247</v>
      </c>
      <c r="H8955" t="s">
        <v>27248</v>
      </c>
      <c r="I8955" t="s">
        <v>44615</v>
      </c>
      <c r="J8955" t="s">
        <v>17894</v>
      </c>
      <c r="L8955" t="s">
        <v>27250</v>
      </c>
      <c r="M8955" t="s">
        <v>27251</v>
      </c>
      <c r="N8955" t="s">
        <v>27252</v>
      </c>
      <c r="Q8955" s="1">
        <v>44846</v>
      </c>
      <c r="R8955" t="s">
        <v>27253</v>
      </c>
      <c r="S8955" t="s">
        <v>27254</v>
      </c>
      <c r="T8955" t="s">
        <v>27255</v>
      </c>
    </row>
    <row r="8956" spans="1:20" x14ac:dyDescent="0.3">
      <c r="A8956" t="str">
        <f>"0611863406100"</f>
        <v>0611863406100</v>
      </c>
      <c r="B8956" t="str">
        <f>"CN5284"</f>
        <v>CN5284</v>
      </c>
      <c r="C8956" t="s">
        <v>44616</v>
      </c>
      <c r="D8956" t="s">
        <v>27335</v>
      </c>
      <c r="E8956" t="str">
        <f t="shared" si="139"/>
        <v>001390</v>
      </c>
      <c r="F8956" t="s">
        <v>27246</v>
      </c>
      <c r="G8956" t="s">
        <v>27247</v>
      </c>
      <c r="H8956" t="s">
        <v>27248</v>
      </c>
      <c r="I8956" t="s">
        <v>44617</v>
      </c>
      <c r="J8956" t="s">
        <v>17896</v>
      </c>
      <c r="L8956" t="s">
        <v>27250</v>
      </c>
      <c r="M8956" t="s">
        <v>27251</v>
      </c>
      <c r="N8956" t="s">
        <v>27252</v>
      </c>
      <c r="Q8956" s="1">
        <v>44846</v>
      </c>
      <c r="R8956" t="s">
        <v>27253</v>
      </c>
      <c r="S8956" t="s">
        <v>27254</v>
      </c>
      <c r="T8956" t="s">
        <v>27255</v>
      </c>
    </row>
    <row r="8957" spans="1:20" x14ac:dyDescent="0.3">
      <c r="A8957" t="str">
        <f>"0611863407050"</f>
        <v>0611863407050</v>
      </c>
      <c r="B8957" t="str">
        <f>"CR3809"</f>
        <v>CR3809</v>
      </c>
      <c r="C8957" t="s">
        <v>44616</v>
      </c>
      <c r="D8957" t="s">
        <v>27263</v>
      </c>
      <c r="E8957" t="str">
        <f t="shared" si="139"/>
        <v>001390</v>
      </c>
      <c r="F8957" t="s">
        <v>27246</v>
      </c>
      <c r="G8957" t="s">
        <v>27247</v>
      </c>
      <c r="H8957" t="s">
        <v>27248</v>
      </c>
      <c r="I8957" t="s">
        <v>44618</v>
      </c>
      <c r="J8957" t="s">
        <v>17898</v>
      </c>
      <c r="L8957" t="s">
        <v>27250</v>
      </c>
      <c r="M8957" t="s">
        <v>27251</v>
      </c>
      <c r="N8957" t="s">
        <v>27252</v>
      </c>
      <c r="Q8957" s="1">
        <v>44846</v>
      </c>
      <c r="R8957" t="s">
        <v>27253</v>
      </c>
      <c r="S8957" t="s">
        <v>27254</v>
      </c>
      <c r="T8957" t="s">
        <v>27265</v>
      </c>
    </row>
    <row r="8958" spans="1:20" x14ac:dyDescent="0.3">
      <c r="A8958" t="str">
        <f>"0611863408100"</f>
        <v>0611863408100</v>
      </c>
      <c r="B8958" t="str">
        <f>"CN5285"</f>
        <v>CN5285</v>
      </c>
      <c r="C8958" t="s">
        <v>44619</v>
      </c>
      <c r="D8958" t="s">
        <v>27335</v>
      </c>
      <c r="E8958" t="str">
        <f t="shared" si="139"/>
        <v>001390</v>
      </c>
      <c r="F8958" t="s">
        <v>27246</v>
      </c>
      <c r="G8958" t="s">
        <v>27247</v>
      </c>
      <c r="H8958" t="s">
        <v>27248</v>
      </c>
      <c r="I8958" t="s">
        <v>44620</v>
      </c>
      <c r="J8958" t="s">
        <v>17900</v>
      </c>
      <c r="L8958" t="s">
        <v>27250</v>
      </c>
      <c r="M8958" t="s">
        <v>27251</v>
      </c>
      <c r="N8958" t="s">
        <v>27252</v>
      </c>
      <c r="Q8958" s="1">
        <v>44846</v>
      </c>
      <c r="R8958" t="s">
        <v>27253</v>
      </c>
      <c r="S8958" t="s">
        <v>27254</v>
      </c>
      <c r="T8958" t="s">
        <v>27255</v>
      </c>
    </row>
    <row r="8959" spans="1:20" x14ac:dyDescent="0.3">
      <c r="A8959" t="str">
        <f>"0611863409100"</f>
        <v>0611863409100</v>
      </c>
      <c r="B8959" t="str">
        <f>"CN2380"</f>
        <v>CN2380</v>
      </c>
      <c r="C8959" t="s">
        <v>44621</v>
      </c>
      <c r="D8959" t="s">
        <v>27335</v>
      </c>
      <c r="E8959" t="str">
        <f t="shared" si="139"/>
        <v>001390</v>
      </c>
      <c r="F8959" t="s">
        <v>27246</v>
      </c>
      <c r="G8959" t="s">
        <v>27247</v>
      </c>
      <c r="H8959" t="s">
        <v>27248</v>
      </c>
      <c r="I8959" t="s">
        <v>44622</v>
      </c>
      <c r="J8959" t="s">
        <v>17902</v>
      </c>
      <c r="L8959" t="s">
        <v>27250</v>
      </c>
      <c r="M8959" t="s">
        <v>27251</v>
      </c>
      <c r="N8959" t="s">
        <v>27252</v>
      </c>
      <c r="Q8959" s="1">
        <v>44846</v>
      </c>
      <c r="R8959" t="s">
        <v>27253</v>
      </c>
      <c r="S8959" t="s">
        <v>27254</v>
      </c>
      <c r="T8959" t="s">
        <v>27255</v>
      </c>
    </row>
    <row r="8960" spans="1:20" x14ac:dyDescent="0.3">
      <c r="A8960" t="str">
        <f>"0611863410100"</f>
        <v>0611863410100</v>
      </c>
      <c r="B8960" t="str">
        <f>"CN2381"</f>
        <v>CN2381</v>
      </c>
      <c r="C8960" t="s">
        <v>44623</v>
      </c>
      <c r="D8960" t="s">
        <v>27335</v>
      </c>
      <c r="E8960" t="str">
        <f t="shared" si="139"/>
        <v>001390</v>
      </c>
      <c r="F8960" t="s">
        <v>27246</v>
      </c>
      <c r="G8960" t="s">
        <v>27247</v>
      </c>
      <c r="H8960" t="s">
        <v>27248</v>
      </c>
      <c r="I8960" t="s">
        <v>44624</v>
      </c>
      <c r="J8960" t="s">
        <v>17904</v>
      </c>
      <c r="L8960" t="s">
        <v>27250</v>
      </c>
      <c r="M8960" t="s">
        <v>27251</v>
      </c>
      <c r="N8960" t="s">
        <v>27252</v>
      </c>
      <c r="Q8960" s="1">
        <v>44846</v>
      </c>
      <c r="R8960" t="s">
        <v>27253</v>
      </c>
      <c r="S8960" t="s">
        <v>27254</v>
      </c>
      <c r="T8960" t="s">
        <v>27255</v>
      </c>
    </row>
    <row r="8961" spans="1:20" x14ac:dyDescent="0.3">
      <c r="A8961" t="str">
        <f>"0611863411100"</f>
        <v>0611863411100</v>
      </c>
      <c r="B8961" t="str">
        <f>"CN5286"</f>
        <v>CN5286</v>
      </c>
      <c r="C8961" t="s">
        <v>44625</v>
      </c>
      <c r="D8961" t="s">
        <v>27335</v>
      </c>
      <c r="E8961" t="str">
        <f t="shared" si="139"/>
        <v>001390</v>
      </c>
      <c r="F8961" t="s">
        <v>27246</v>
      </c>
      <c r="G8961" t="s">
        <v>27247</v>
      </c>
      <c r="H8961" t="s">
        <v>27248</v>
      </c>
      <c r="I8961" t="s">
        <v>44626</v>
      </c>
      <c r="J8961" t="s">
        <v>17906</v>
      </c>
      <c r="L8961" t="s">
        <v>27250</v>
      </c>
      <c r="M8961" t="s">
        <v>27251</v>
      </c>
      <c r="N8961" t="s">
        <v>27252</v>
      </c>
      <c r="Q8961" s="1">
        <v>44846</v>
      </c>
      <c r="R8961" t="s">
        <v>27253</v>
      </c>
      <c r="S8961" t="s">
        <v>27254</v>
      </c>
      <c r="T8961" t="s">
        <v>27255</v>
      </c>
    </row>
    <row r="8962" spans="1:20" x14ac:dyDescent="0.3">
      <c r="A8962" t="str">
        <f>"0611863412100"</f>
        <v>0611863412100</v>
      </c>
      <c r="B8962" t="str">
        <f>"CN2382"</f>
        <v>CN2382</v>
      </c>
      <c r="C8962" t="s">
        <v>44627</v>
      </c>
      <c r="D8962" t="s">
        <v>27335</v>
      </c>
      <c r="E8962" t="str">
        <f t="shared" ref="E8962:E9025" si="140">"001390"</f>
        <v>001390</v>
      </c>
      <c r="F8962" t="s">
        <v>27246</v>
      </c>
      <c r="G8962" t="s">
        <v>27247</v>
      </c>
      <c r="H8962" t="s">
        <v>27248</v>
      </c>
      <c r="I8962" t="s">
        <v>44628</v>
      </c>
      <c r="J8962" t="s">
        <v>17908</v>
      </c>
      <c r="L8962" t="s">
        <v>27250</v>
      </c>
      <c r="M8962" t="s">
        <v>27251</v>
      </c>
      <c r="N8962" t="s">
        <v>27252</v>
      </c>
      <c r="Q8962" s="1">
        <v>44846</v>
      </c>
      <c r="R8962" t="s">
        <v>27253</v>
      </c>
      <c r="S8962" t="s">
        <v>27254</v>
      </c>
      <c r="T8962" t="s">
        <v>27255</v>
      </c>
    </row>
    <row r="8963" spans="1:20" x14ac:dyDescent="0.3">
      <c r="A8963" t="str">
        <f>"0611863413100"</f>
        <v>0611863413100</v>
      </c>
      <c r="B8963" t="str">
        <f>"CN2383"</f>
        <v>CN2383</v>
      </c>
      <c r="C8963" t="s">
        <v>44629</v>
      </c>
      <c r="D8963" t="s">
        <v>27335</v>
      </c>
      <c r="E8963" t="str">
        <f t="shared" si="140"/>
        <v>001390</v>
      </c>
      <c r="F8963" t="s">
        <v>27246</v>
      </c>
      <c r="G8963" t="s">
        <v>27247</v>
      </c>
      <c r="H8963" t="s">
        <v>27248</v>
      </c>
      <c r="I8963" t="s">
        <v>44630</v>
      </c>
      <c r="J8963" t="s">
        <v>17910</v>
      </c>
      <c r="L8963" t="s">
        <v>27250</v>
      </c>
      <c r="M8963" t="s">
        <v>27251</v>
      </c>
      <c r="N8963" t="s">
        <v>27252</v>
      </c>
      <c r="Q8963" s="1">
        <v>44846</v>
      </c>
      <c r="R8963" t="s">
        <v>27253</v>
      </c>
      <c r="S8963" t="s">
        <v>27254</v>
      </c>
      <c r="T8963" t="s">
        <v>27255</v>
      </c>
    </row>
    <row r="8964" spans="1:20" x14ac:dyDescent="0.3">
      <c r="A8964" t="str">
        <f>"0611863414100"</f>
        <v>0611863414100</v>
      </c>
      <c r="B8964" t="str">
        <f>"CN5287"</f>
        <v>CN5287</v>
      </c>
      <c r="C8964" t="s">
        <v>44631</v>
      </c>
      <c r="D8964" t="s">
        <v>27335</v>
      </c>
      <c r="E8964" t="str">
        <f t="shared" si="140"/>
        <v>001390</v>
      </c>
      <c r="F8964" t="s">
        <v>27246</v>
      </c>
      <c r="G8964" t="s">
        <v>27247</v>
      </c>
      <c r="H8964" t="s">
        <v>27248</v>
      </c>
      <c r="I8964" t="s">
        <v>44632</v>
      </c>
      <c r="J8964" t="s">
        <v>17912</v>
      </c>
      <c r="L8964" t="s">
        <v>27250</v>
      </c>
      <c r="M8964" t="s">
        <v>27251</v>
      </c>
      <c r="N8964" t="s">
        <v>27252</v>
      </c>
      <c r="Q8964" s="1">
        <v>44846</v>
      </c>
      <c r="R8964" t="s">
        <v>27253</v>
      </c>
      <c r="S8964" t="s">
        <v>27254</v>
      </c>
      <c r="T8964" t="s">
        <v>27255</v>
      </c>
    </row>
    <row r="8965" spans="1:20" x14ac:dyDescent="0.3">
      <c r="A8965" t="str">
        <f>"0611837344025"</f>
        <v>0611837344025</v>
      </c>
      <c r="B8965" t="str">
        <f>"MQ3180"</f>
        <v>MQ3180</v>
      </c>
      <c r="C8965" t="s">
        <v>44633</v>
      </c>
      <c r="D8965" t="s">
        <v>27267</v>
      </c>
      <c r="E8965" t="str">
        <f t="shared" si="140"/>
        <v>001390</v>
      </c>
      <c r="F8965" t="s">
        <v>27246</v>
      </c>
      <c r="G8965" t="s">
        <v>27247</v>
      </c>
      <c r="H8965" t="s">
        <v>27248</v>
      </c>
      <c r="I8965" t="s">
        <v>44634</v>
      </c>
      <c r="J8965" t="s">
        <v>17914</v>
      </c>
      <c r="L8965" t="s">
        <v>27250</v>
      </c>
      <c r="M8965" t="s">
        <v>27251</v>
      </c>
      <c r="N8965" t="s">
        <v>27252</v>
      </c>
      <c r="Q8965" s="1">
        <v>44538</v>
      </c>
      <c r="R8965" t="s">
        <v>27253</v>
      </c>
      <c r="S8965" t="s">
        <v>27254</v>
      </c>
      <c r="T8965" t="s">
        <v>27269</v>
      </c>
    </row>
    <row r="8966" spans="1:20" x14ac:dyDescent="0.3">
      <c r="A8966" t="str">
        <f>"0611837345025"</f>
        <v>0611837345025</v>
      </c>
      <c r="B8966" t="str">
        <f>"MQ0555"</f>
        <v>MQ0555</v>
      </c>
      <c r="C8966" t="s">
        <v>44635</v>
      </c>
      <c r="D8966" t="s">
        <v>27267</v>
      </c>
      <c r="E8966" t="str">
        <f t="shared" si="140"/>
        <v>001390</v>
      </c>
      <c r="F8966" t="s">
        <v>27246</v>
      </c>
      <c r="G8966" t="s">
        <v>27247</v>
      </c>
      <c r="H8966" t="s">
        <v>27248</v>
      </c>
      <c r="I8966" t="s">
        <v>44636</v>
      </c>
      <c r="J8966" t="s">
        <v>17916</v>
      </c>
      <c r="L8966" t="s">
        <v>27250</v>
      </c>
      <c r="M8966" t="s">
        <v>27251</v>
      </c>
      <c r="N8966" t="s">
        <v>27252</v>
      </c>
      <c r="Q8966" s="1">
        <v>44538</v>
      </c>
      <c r="R8966" t="s">
        <v>27253</v>
      </c>
      <c r="S8966" t="s">
        <v>27254</v>
      </c>
      <c r="T8966" t="s">
        <v>27269</v>
      </c>
    </row>
    <row r="8967" spans="1:20" x14ac:dyDescent="0.3">
      <c r="A8967" t="str">
        <f>"0611837346025"</f>
        <v>0611837346025</v>
      </c>
      <c r="B8967" t="str">
        <f>"MQ3181"</f>
        <v>MQ3181</v>
      </c>
      <c r="C8967" t="s">
        <v>44637</v>
      </c>
      <c r="D8967" t="s">
        <v>27267</v>
      </c>
      <c r="E8967" t="str">
        <f t="shared" si="140"/>
        <v>001390</v>
      </c>
      <c r="F8967" t="s">
        <v>27246</v>
      </c>
      <c r="G8967" t="s">
        <v>27247</v>
      </c>
      <c r="H8967" t="s">
        <v>27248</v>
      </c>
      <c r="I8967" t="s">
        <v>44638</v>
      </c>
      <c r="J8967" t="s">
        <v>17918</v>
      </c>
      <c r="L8967" t="s">
        <v>27250</v>
      </c>
      <c r="M8967" t="s">
        <v>27251</v>
      </c>
      <c r="N8967" t="s">
        <v>27252</v>
      </c>
      <c r="Q8967" s="1">
        <v>44538</v>
      </c>
      <c r="R8967" t="s">
        <v>27253</v>
      </c>
      <c r="S8967" t="s">
        <v>27254</v>
      </c>
      <c r="T8967" t="s">
        <v>27269</v>
      </c>
    </row>
    <row r="8968" spans="1:20" x14ac:dyDescent="0.3">
      <c r="A8968" t="str">
        <f>"0611837348025"</f>
        <v>0611837348025</v>
      </c>
      <c r="B8968" t="str">
        <f>"MC3575"</f>
        <v>MC3575</v>
      </c>
      <c r="C8968" t="s">
        <v>44639</v>
      </c>
      <c r="D8968" t="s">
        <v>27267</v>
      </c>
      <c r="E8968" t="str">
        <f t="shared" si="140"/>
        <v>001390</v>
      </c>
      <c r="F8968" t="s">
        <v>27246</v>
      </c>
      <c r="G8968" t="s">
        <v>27247</v>
      </c>
      <c r="H8968" t="s">
        <v>27248</v>
      </c>
      <c r="I8968" t="s">
        <v>44640</v>
      </c>
      <c r="J8968" t="s">
        <v>17920</v>
      </c>
      <c r="L8968" t="s">
        <v>27250</v>
      </c>
      <c r="M8968" t="s">
        <v>27251</v>
      </c>
      <c r="N8968" t="s">
        <v>27252</v>
      </c>
      <c r="Q8968" s="1">
        <v>44538</v>
      </c>
      <c r="R8968" t="s">
        <v>27253</v>
      </c>
      <c r="S8968" t="s">
        <v>27254</v>
      </c>
      <c r="T8968" t="s">
        <v>27269</v>
      </c>
    </row>
    <row r="8969" spans="1:20" x14ac:dyDescent="0.3">
      <c r="A8969" t="str">
        <f>"0611837349025"</f>
        <v>0611837349025</v>
      </c>
      <c r="B8969" t="str">
        <f>"MQ3182"</f>
        <v>MQ3182</v>
      </c>
      <c r="C8969" t="s">
        <v>44641</v>
      </c>
      <c r="D8969" t="s">
        <v>27267</v>
      </c>
      <c r="E8969" t="str">
        <f t="shared" si="140"/>
        <v>001390</v>
      </c>
      <c r="F8969" t="s">
        <v>27246</v>
      </c>
      <c r="G8969" t="s">
        <v>27247</v>
      </c>
      <c r="H8969" t="s">
        <v>27248</v>
      </c>
      <c r="I8969" t="s">
        <v>44642</v>
      </c>
      <c r="J8969" t="s">
        <v>17922</v>
      </c>
      <c r="L8969" t="s">
        <v>27250</v>
      </c>
      <c r="M8969" t="s">
        <v>27251</v>
      </c>
      <c r="N8969" t="s">
        <v>27252</v>
      </c>
      <c r="Q8969" s="1">
        <v>44538</v>
      </c>
      <c r="R8969" t="s">
        <v>27253</v>
      </c>
      <c r="S8969" t="s">
        <v>27254</v>
      </c>
      <c r="T8969" t="s">
        <v>27269</v>
      </c>
    </row>
    <row r="8970" spans="1:20" x14ac:dyDescent="0.3">
      <c r="A8970" t="str">
        <f>"0611837350025"</f>
        <v>0611837350025</v>
      </c>
      <c r="B8970" t="str">
        <f>"MQ3183"</f>
        <v>MQ3183</v>
      </c>
      <c r="C8970" t="s">
        <v>44643</v>
      </c>
      <c r="D8970" t="s">
        <v>27267</v>
      </c>
      <c r="E8970" t="str">
        <f t="shared" si="140"/>
        <v>001390</v>
      </c>
      <c r="F8970" t="s">
        <v>27246</v>
      </c>
      <c r="G8970" t="s">
        <v>27247</v>
      </c>
      <c r="H8970" t="s">
        <v>27248</v>
      </c>
      <c r="I8970" t="s">
        <v>44644</v>
      </c>
      <c r="J8970" t="s">
        <v>17924</v>
      </c>
      <c r="L8970" t="s">
        <v>27430</v>
      </c>
      <c r="M8970" t="s">
        <v>27251</v>
      </c>
      <c r="N8970" t="s">
        <v>27252</v>
      </c>
      <c r="Q8970" s="1">
        <v>44538</v>
      </c>
      <c r="R8970" t="s">
        <v>27253</v>
      </c>
      <c r="S8970" t="s">
        <v>27254</v>
      </c>
      <c r="T8970" t="s">
        <v>27269</v>
      </c>
    </row>
    <row r="8971" spans="1:20" x14ac:dyDescent="0.3">
      <c r="A8971" t="str">
        <f>"0611837351025"</f>
        <v>0611837351025</v>
      </c>
      <c r="B8971" t="str">
        <f>"MQ3020"</f>
        <v>MQ3020</v>
      </c>
      <c r="C8971" t="s">
        <v>44645</v>
      </c>
      <c r="D8971" t="s">
        <v>27267</v>
      </c>
      <c r="E8971" t="str">
        <f t="shared" si="140"/>
        <v>001390</v>
      </c>
      <c r="F8971" t="s">
        <v>27246</v>
      </c>
      <c r="G8971" t="s">
        <v>27247</v>
      </c>
      <c r="H8971" t="s">
        <v>27248</v>
      </c>
      <c r="I8971" t="s">
        <v>44646</v>
      </c>
      <c r="J8971" t="s">
        <v>17926</v>
      </c>
      <c r="L8971" t="s">
        <v>27250</v>
      </c>
      <c r="M8971" t="s">
        <v>27251</v>
      </c>
      <c r="N8971" t="s">
        <v>27252</v>
      </c>
      <c r="Q8971" s="1">
        <v>44538</v>
      </c>
      <c r="R8971" t="s">
        <v>27253</v>
      </c>
      <c r="S8971" t="s">
        <v>27254</v>
      </c>
      <c r="T8971" t="s">
        <v>27269</v>
      </c>
    </row>
    <row r="8972" spans="1:20" x14ac:dyDescent="0.3">
      <c r="A8972" t="str">
        <f>"0611837352025"</f>
        <v>0611837352025</v>
      </c>
      <c r="B8972" t="str">
        <f>"MQ3184"</f>
        <v>MQ3184</v>
      </c>
      <c r="C8972" t="s">
        <v>44647</v>
      </c>
      <c r="D8972" t="s">
        <v>27267</v>
      </c>
      <c r="E8972" t="str">
        <f t="shared" si="140"/>
        <v>001390</v>
      </c>
      <c r="F8972" t="s">
        <v>27246</v>
      </c>
      <c r="G8972" t="s">
        <v>27247</v>
      </c>
      <c r="H8972" t="s">
        <v>27248</v>
      </c>
      <c r="I8972" t="s">
        <v>44648</v>
      </c>
      <c r="J8972" t="s">
        <v>17928</v>
      </c>
      <c r="L8972" t="s">
        <v>27250</v>
      </c>
      <c r="M8972" t="s">
        <v>27251</v>
      </c>
      <c r="N8972" t="s">
        <v>27252</v>
      </c>
      <c r="Q8972" s="1">
        <v>44538</v>
      </c>
      <c r="R8972" t="s">
        <v>27253</v>
      </c>
      <c r="S8972" t="s">
        <v>27254</v>
      </c>
      <c r="T8972" t="s">
        <v>27269</v>
      </c>
    </row>
    <row r="8973" spans="1:20" x14ac:dyDescent="0.3">
      <c r="A8973" t="str">
        <f>"0611837353100"</f>
        <v>0611837353100</v>
      </c>
      <c r="B8973" t="str">
        <f>"LH6365"</f>
        <v>LH6365</v>
      </c>
      <c r="C8973" t="s">
        <v>44649</v>
      </c>
      <c r="D8973" t="s">
        <v>27245</v>
      </c>
      <c r="E8973" t="str">
        <f t="shared" si="140"/>
        <v>001390</v>
      </c>
      <c r="F8973" t="s">
        <v>27246</v>
      </c>
      <c r="G8973" t="s">
        <v>27247</v>
      </c>
      <c r="H8973" t="s">
        <v>27248</v>
      </c>
      <c r="I8973" t="s">
        <v>44650</v>
      </c>
      <c r="J8973" t="s">
        <v>17930</v>
      </c>
      <c r="L8973" t="s">
        <v>27250</v>
      </c>
      <c r="M8973" t="s">
        <v>27251</v>
      </c>
      <c r="N8973" t="s">
        <v>27252</v>
      </c>
      <c r="Q8973" s="1">
        <v>44538</v>
      </c>
      <c r="R8973" t="s">
        <v>27253</v>
      </c>
      <c r="S8973" t="s">
        <v>27254</v>
      </c>
      <c r="T8973" t="s">
        <v>27255</v>
      </c>
    </row>
    <row r="8974" spans="1:20" x14ac:dyDescent="0.3">
      <c r="A8974" t="str">
        <f>"0611863415100"</f>
        <v>0611863415100</v>
      </c>
      <c r="B8974" t="str">
        <f>"CN5292"</f>
        <v>CN5292</v>
      </c>
      <c r="C8974" t="s">
        <v>44651</v>
      </c>
      <c r="D8974" t="s">
        <v>27245</v>
      </c>
      <c r="E8974" t="str">
        <f t="shared" si="140"/>
        <v>001390</v>
      </c>
      <c r="F8974" t="s">
        <v>27246</v>
      </c>
      <c r="G8974" t="s">
        <v>27247</v>
      </c>
      <c r="H8974" t="s">
        <v>27248</v>
      </c>
      <c r="I8974" t="s">
        <v>44652</v>
      </c>
      <c r="J8974" t="s">
        <v>17932</v>
      </c>
      <c r="L8974" t="s">
        <v>27250</v>
      </c>
      <c r="M8974" t="s">
        <v>27251</v>
      </c>
      <c r="N8974" t="s">
        <v>27252</v>
      </c>
      <c r="Q8974" s="1">
        <v>44846</v>
      </c>
      <c r="R8974" t="s">
        <v>27253</v>
      </c>
      <c r="S8974" t="s">
        <v>27254</v>
      </c>
      <c r="T8974" t="s">
        <v>27255</v>
      </c>
    </row>
    <row r="8975" spans="1:20" x14ac:dyDescent="0.3">
      <c r="A8975" t="str">
        <f>"0611863416050"</f>
        <v>0611863416050</v>
      </c>
      <c r="B8975" t="str">
        <f>"CR4401"</f>
        <v>CR4401</v>
      </c>
      <c r="C8975" t="s">
        <v>44651</v>
      </c>
      <c r="D8975" t="s">
        <v>27286</v>
      </c>
      <c r="E8975" t="str">
        <f t="shared" si="140"/>
        <v>001390</v>
      </c>
      <c r="F8975" t="s">
        <v>27246</v>
      </c>
      <c r="G8975" t="s">
        <v>27247</v>
      </c>
      <c r="H8975" t="s">
        <v>27248</v>
      </c>
      <c r="I8975" t="s">
        <v>44653</v>
      </c>
      <c r="J8975" t="s">
        <v>17934</v>
      </c>
      <c r="L8975" t="s">
        <v>27250</v>
      </c>
      <c r="M8975" t="s">
        <v>27251</v>
      </c>
      <c r="N8975" t="s">
        <v>27252</v>
      </c>
      <c r="Q8975" s="1">
        <v>44846</v>
      </c>
      <c r="R8975" t="s">
        <v>27253</v>
      </c>
      <c r="S8975" t="s">
        <v>27254</v>
      </c>
      <c r="T8975" t="s">
        <v>27265</v>
      </c>
    </row>
    <row r="8976" spans="1:20" x14ac:dyDescent="0.3">
      <c r="A8976" t="str">
        <f>"0611837356025"</f>
        <v>0611837356025</v>
      </c>
      <c r="B8976" t="str">
        <f>"MQ0311"</f>
        <v>MQ0311</v>
      </c>
      <c r="C8976" t="s">
        <v>44654</v>
      </c>
      <c r="D8976" t="s">
        <v>27267</v>
      </c>
      <c r="E8976" t="str">
        <f t="shared" si="140"/>
        <v>001390</v>
      </c>
      <c r="F8976" t="s">
        <v>27246</v>
      </c>
      <c r="G8976" t="s">
        <v>27247</v>
      </c>
      <c r="H8976" t="s">
        <v>27248</v>
      </c>
      <c r="I8976" t="s">
        <v>44655</v>
      </c>
      <c r="J8976" t="s">
        <v>17936</v>
      </c>
      <c r="L8976" t="s">
        <v>27250</v>
      </c>
      <c r="M8976" t="s">
        <v>27251</v>
      </c>
      <c r="N8976" t="s">
        <v>27252</v>
      </c>
      <c r="Q8976" s="1">
        <v>44538</v>
      </c>
      <c r="R8976" t="s">
        <v>27253</v>
      </c>
      <c r="S8976" t="s">
        <v>27254</v>
      </c>
      <c r="T8976" t="s">
        <v>27269</v>
      </c>
    </row>
    <row r="8977" spans="1:20" x14ac:dyDescent="0.3">
      <c r="A8977" t="str">
        <f>"0611837359100"</f>
        <v>0611837359100</v>
      </c>
      <c r="B8977" t="str">
        <f>"LK6101"</f>
        <v>LK6101</v>
      </c>
      <c r="C8977" t="s">
        <v>44656</v>
      </c>
      <c r="D8977" t="s">
        <v>27245</v>
      </c>
      <c r="E8977" t="str">
        <f t="shared" si="140"/>
        <v>001390</v>
      </c>
      <c r="F8977" t="s">
        <v>27246</v>
      </c>
      <c r="G8977" t="s">
        <v>27247</v>
      </c>
      <c r="H8977" t="s">
        <v>27248</v>
      </c>
      <c r="I8977" t="s">
        <v>44657</v>
      </c>
      <c r="J8977" t="s">
        <v>17938</v>
      </c>
      <c r="L8977" t="s">
        <v>27250</v>
      </c>
      <c r="M8977" t="s">
        <v>27251</v>
      </c>
      <c r="N8977" t="s">
        <v>27252</v>
      </c>
      <c r="Q8977" s="1">
        <v>44538</v>
      </c>
      <c r="R8977" t="s">
        <v>27253</v>
      </c>
      <c r="S8977" t="s">
        <v>27254</v>
      </c>
      <c r="T8977" t="s">
        <v>27255</v>
      </c>
    </row>
    <row r="8978" spans="1:20" x14ac:dyDescent="0.3">
      <c r="A8978" t="str">
        <f>"0611837360100"</f>
        <v>0611837360100</v>
      </c>
      <c r="B8978" t="str">
        <f>"LK6102"</f>
        <v>LK6102</v>
      </c>
      <c r="C8978" t="s">
        <v>44658</v>
      </c>
      <c r="D8978" t="s">
        <v>27245</v>
      </c>
      <c r="E8978" t="str">
        <f t="shared" si="140"/>
        <v>001390</v>
      </c>
      <c r="F8978" t="s">
        <v>27246</v>
      </c>
      <c r="G8978" t="s">
        <v>27247</v>
      </c>
      <c r="H8978" t="s">
        <v>27248</v>
      </c>
      <c r="I8978" t="s">
        <v>44659</v>
      </c>
      <c r="J8978" t="s">
        <v>17940</v>
      </c>
      <c r="L8978" t="s">
        <v>27250</v>
      </c>
      <c r="M8978" t="s">
        <v>27251</v>
      </c>
      <c r="N8978" t="s">
        <v>27252</v>
      </c>
      <c r="Q8978" s="1">
        <v>44538</v>
      </c>
      <c r="R8978" t="s">
        <v>27253</v>
      </c>
      <c r="S8978" t="s">
        <v>27254</v>
      </c>
      <c r="T8978" t="s">
        <v>27255</v>
      </c>
    </row>
    <row r="8979" spans="1:20" x14ac:dyDescent="0.3">
      <c r="A8979" t="str">
        <f>"0611837361100"</f>
        <v>0611837361100</v>
      </c>
      <c r="B8979" t="str">
        <f>"LK6103"</f>
        <v>LK6103</v>
      </c>
      <c r="C8979" t="s">
        <v>44660</v>
      </c>
      <c r="D8979" t="s">
        <v>27245</v>
      </c>
      <c r="E8979" t="str">
        <f t="shared" si="140"/>
        <v>001390</v>
      </c>
      <c r="F8979" t="s">
        <v>27246</v>
      </c>
      <c r="G8979" t="s">
        <v>27247</v>
      </c>
      <c r="H8979" t="s">
        <v>27248</v>
      </c>
      <c r="I8979" t="s">
        <v>44661</v>
      </c>
      <c r="J8979" t="s">
        <v>17942</v>
      </c>
      <c r="L8979" t="s">
        <v>27250</v>
      </c>
      <c r="M8979" t="s">
        <v>27251</v>
      </c>
      <c r="N8979" t="s">
        <v>27252</v>
      </c>
      <c r="Q8979" s="1">
        <v>44538</v>
      </c>
      <c r="R8979" t="s">
        <v>27253</v>
      </c>
      <c r="S8979" t="s">
        <v>27254</v>
      </c>
      <c r="T8979" t="s">
        <v>27255</v>
      </c>
    </row>
    <row r="8980" spans="1:20" x14ac:dyDescent="0.3">
      <c r="A8980" t="str">
        <f>"0611837362100"</f>
        <v>0611837362100</v>
      </c>
      <c r="B8980" t="str">
        <f>"LK6104"</f>
        <v>LK6104</v>
      </c>
      <c r="C8980" t="s">
        <v>44662</v>
      </c>
      <c r="D8980" t="s">
        <v>28138</v>
      </c>
      <c r="E8980" t="str">
        <f t="shared" si="140"/>
        <v>001390</v>
      </c>
      <c r="F8980" t="s">
        <v>27246</v>
      </c>
      <c r="G8980" t="s">
        <v>27247</v>
      </c>
      <c r="H8980" t="s">
        <v>27248</v>
      </c>
      <c r="I8980" t="s">
        <v>44663</v>
      </c>
      <c r="J8980" t="s">
        <v>17944</v>
      </c>
      <c r="L8980" t="s">
        <v>27250</v>
      </c>
      <c r="M8980" t="s">
        <v>27251</v>
      </c>
      <c r="N8980" t="s">
        <v>27252</v>
      </c>
      <c r="P8980" t="s">
        <v>27925</v>
      </c>
      <c r="Q8980" s="1">
        <v>44538</v>
      </c>
      <c r="R8980" t="s">
        <v>27253</v>
      </c>
      <c r="S8980" t="s">
        <v>27254</v>
      </c>
      <c r="T8980" t="s">
        <v>27255</v>
      </c>
    </row>
    <row r="8981" spans="1:20" x14ac:dyDescent="0.3">
      <c r="A8981" t="str">
        <f>"0611837363100"</f>
        <v>0611837363100</v>
      </c>
      <c r="B8981" t="str">
        <f>"LK6419"</f>
        <v>LK6419</v>
      </c>
      <c r="C8981" t="s">
        <v>44664</v>
      </c>
      <c r="D8981" t="s">
        <v>28138</v>
      </c>
      <c r="E8981" t="str">
        <f t="shared" si="140"/>
        <v>001390</v>
      </c>
      <c r="F8981" t="s">
        <v>27246</v>
      </c>
      <c r="G8981" t="s">
        <v>27247</v>
      </c>
      <c r="H8981" t="s">
        <v>27248</v>
      </c>
      <c r="I8981" t="s">
        <v>44665</v>
      </c>
      <c r="J8981" t="s">
        <v>17946</v>
      </c>
      <c r="L8981" t="s">
        <v>27250</v>
      </c>
      <c r="M8981" t="s">
        <v>27251</v>
      </c>
      <c r="N8981" t="s">
        <v>27252</v>
      </c>
      <c r="P8981" t="s">
        <v>27925</v>
      </c>
      <c r="Q8981" s="1">
        <v>44538</v>
      </c>
      <c r="R8981" t="s">
        <v>27253</v>
      </c>
      <c r="S8981" t="s">
        <v>27254</v>
      </c>
      <c r="T8981" t="s">
        <v>27255</v>
      </c>
    </row>
    <row r="8982" spans="1:20" x14ac:dyDescent="0.3">
      <c r="A8982" t="str">
        <f>"0611837364100"</f>
        <v>0611837364100</v>
      </c>
      <c r="B8982" t="str">
        <f>"LK6105"</f>
        <v>LK6105</v>
      </c>
      <c r="C8982" t="s">
        <v>44666</v>
      </c>
      <c r="D8982" t="s">
        <v>28138</v>
      </c>
      <c r="E8982" t="str">
        <f t="shared" si="140"/>
        <v>001390</v>
      </c>
      <c r="F8982" t="s">
        <v>27246</v>
      </c>
      <c r="G8982" t="s">
        <v>27247</v>
      </c>
      <c r="H8982" t="s">
        <v>27248</v>
      </c>
      <c r="I8982" t="s">
        <v>44667</v>
      </c>
      <c r="J8982" t="s">
        <v>17948</v>
      </c>
      <c r="L8982" t="s">
        <v>27250</v>
      </c>
      <c r="M8982" t="s">
        <v>27251</v>
      </c>
      <c r="N8982" t="s">
        <v>27252</v>
      </c>
      <c r="P8982" t="s">
        <v>27925</v>
      </c>
      <c r="Q8982" s="1">
        <v>44538</v>
      </c>
      <c r="R8982" t="s">
        <v>27253</v>
      </c>
      <c r="S8982" t="s">
        <v>27254</v>
      </c>
      <c r="T8982" t="s">
        <v>27255</v>
      </c>
    </row>
    <row r="8983" spans="1:20" x14ac:dyDescent="0.3">
      <c r="A8983" t="str">
        <f>"0611857051100"</f>
        <v>0611857051100</v>
      </c>
      <c r="B8983" t="str">
        <f>"LK7097"</f>
        <v>LK7097</v>
      </c>
      <c r="C8983" t="s">
        <v>44668</v>
      </c>
      <c r="D8983" t="s">
        <v>28138</v>
      </c>
      <c r="E8983" t="str">
        <f t="shared" si="140"/>
        <v>001390</v>
      </c>
      <c r="F8983" t="s">
        <v>27246</v>
      </c>
      <c r="G8983" t="s">
        <v>27247</v>
      </c>
      <c r="H8983" t="s">
        <v>27248</v>
      </c>
      <c r="I8983" t="s">
        <v>44669</v>
      </c>
      <c r="J8983" t="s">
        <v>17950</v>
      </c>
      <c r="L8983" t="s">
        <v>27250</v>
      </c>
      <c r="M8983" t="s">
        <v>27251</v>
      </c>
      <c r="N8983" t="s">
        <v>27252</v>
      </c>
      <c r="P8983" t="s">
        <v>27925</v>
      </c>
      <c r="Q8983" s="1">
        <v>44812</v>
      </c>
      <c r="R8983" t="s">
        <v>27253</v>
      </c>
      <c r="S8983" t="s">
        <v>27254</v>
      </c>
      <c r="T8983" t="s">
        <v>27255</v>
      </c>
    </row>
    <row r="8984" spans="1:20" x14ac:dyDescent="0.3">
      <c r="A8984" t="str">
        <f>"0611837366100"</f>
        <v>0611837366100</v>
      </c>
      <c r="B8984" t="str">
        <f>"LB7613"</f>
        <v>LB7613</v>
      </c>
      <c r="C8984" t="s">
        <v>44670</v>
      </c>
      <c r="D8984" t="s">
        <v>27245</v>
      </c>
      <c r="E8984" t="str">
        <f t="shared" si="140"/>
        <v>001390</v>
      </c>
      <c r="F8984" t="s">
        <v>27246</v>
      </c>
      <c r="G8984" t="s">
        <v>27247</v>
      </c>
      <c r="H8984" t="s">
        <v>27248</v>
      </c>
      <c r="I8984" t="s">
        <v>44671</v>
      </c>
      <c r="J8984" t="s">
        <v>17952</v>
      </c>
      <c r="L8984" t="s">
        <v>27250</v>
      </c>
      <c r="M8984" t="s">
        <v>27251</v>
      </c>
      <c r="N8984" t="s">
        <v>27252</v>
      </c>
      <c r="Q8984" s="1">
        <v>44538</v>
      </c>
      <c r="R8984" t="s">
        <v>27253</v>
      </c>
      <c r="S8984" t="s">
        <v>27254</v>
      </c>
      <c r="T8984" t="s">
        <v>27255</v>
      </c>
    </row>
    <row r="8985" spans="1:20" x14ac:dyDescent="0.3">
      <c r="A8985" t="str">
        <f>"0611837367100"</f>
        <v>0611837367100</v>
      </c>
      <c r="B8985" t="str">
        <f>"LK1339"</f>
        <v>LK1339</v>
      </c>
      <c r="C8985" t="s">
        <v>44672</v>
      </c>
      <c r="D8985" t="s">
        <v>27245</v>
      </c>
      <c r="E8985" t="str">
        <f t="shared" si="140"/>
        <v>001390</v>
      </c>
      <c r="F8985" t="s">
        <v>27246</v>
      </c>
      <c r="G8985" t="s">
        <v>27247</v>
      </c>
      <c r="H8985" t="s">
        <v>27248</v>
      </c>
      <c r="I8985" t="s">
        <v>44673</v>
      </c>
      <c r="J8985" t="s">
        <v>17954</v>
      </c>
      <c r="L8985" t="s">
        <v>27250</v>
      </c>
      <c r="M8985" t="s">
        <v>27251</v>
      </c>
      <c r="N8985" t="s">
        <v>27252</v>
      </c>
      <c r="Q8985" s="1">
        <v>44538</v>
      </c>
      <c r="R8985" t="s">
        <v>27253</v>
      </c>
      <c r="S8985" t="s">
        <v>27254</v>
      </c>
      <c r="T8985" t="s">
        <v>27255</v>
      </c>
    </row>
    <row r="8986" spans="1:20" x14ac:dyDescent="0.3">
      <c r="A8986" t="str">
        <f>"0611837368100"</f>
        <v>0611837368100</v>
      </c>
      <c r="B8986" t="str">
        <f>"LK1978"</f>
        <v>LK1978</v>
      </c>
      <c r="C8986" t="s">
        <v>44674</v>
      </c>
      <c r="D8986" t="s">
        <v>27245</v>
      </c>
      <c r="E8986" t="str">
        <f t="shared" si="140"/>
        <v>001390</v>
      </c>
      <c r="F8986" t="s">
        <v>27246</v>
      </c>
      <c r="G8986" t="s">
        <v>27247</v>
      </c>
      <c r="H8986" t="s">
        <v>27248</v>
      </c>
      <c r="I8986" t="s">
        <v>44675</v>
      </c>
      <c r="J8986" t="s">
        <v>17956</v>
      </c>
      <c r="L8986" t="s">
        <v>27250</v>
      </c>
      <c r="M8986" t="s">
        <v>27251</v>
      </c>
      <c r="N8986" t="s">
        <v>27252</v>
      </c>
      <c r="Q8986" s="1">
        <v>44538</v>
      </c>
      <c r="R8986" t="s">
        <v>27253</v>
      </c>
      <c r="S8986" t="s">
        <v>27254</v>
      </c>
      <c r="T8986" t="s">
        <v>27255</v>
      </c>
    </row>
    <row r="8987" spans="1:20" x14ac:dyDescent="0.3">
      <c r="A8987" t="str">
        <f>"0611837369100"</f>
        <v>0611837369100</v>
      </c>
      <c r="B8987" t="str">
        <f>"LB7614"</f>
        <v>LB7614</v>
      </c>
      <c r="C8987" t="s">
        <v>44676</v>
      </c>
      <c r="D8987" t="s">
        <v>27245</v>
      </c>
      <c r="E8987" t="str">
        <f t="shared" si="140"/>
        <v>001390</v>
      </c>
      <c r="F8987" t="s">
        <v>27246</v>
      </c>
      <c r="G8987" t="s">
        <v>27247</v>
      </c>
      <c r="H8987" t="s">
        <v>27248</v>
      </c>
      <c r="I8987" t="s">
        <v>44677</v>
      </c>
      <c r="J8987" t="s">
        <v>17958</v>
      </c>
      <c r="L8987" t="s">
        <v>27250</v>
      </c>
      <c r="M8987" t="s">
        <v>27251</v>
      </c>
      <c r="N8987" t="s">
        <v>27252</v>
      </c>
      <c r="Q8987" s="1">
        <v>44538</v>
      </c>
      <c r="R8987" t="s">
        <v>27253</v>
      </c>
      <c r="S8987" t="s">
        <v>27254</v>
      </c>
      <c r="T8987" t="s">
        <v>27255</v>
      </c>
    </row>
    <row r="8988" spans="1:20" x14ac:dyDescent="0.3">
      <c r="A8988" t="str">
        <f>"0611837370100"</f>
        <v>0611837370100</v>
      </c>
      <c r="B8988" t="str">
        <f>"LK2949"</f>
        <v>LK2949</v>
      </c>
      <c r="C8988" t="s">
        <v>44678</v>
      </c>
      <c r="D8988" t="s">
        <v>27245</v>
      </c>
      <c r="E8988" t="str">
        <f t="shared" si="140"/>
        <v>001390</v>
      </c>
      <c r="F8988" t="s">
        <v>27246</v>
      </c>
      <c r="G8988" t="s">
        <v>27247</v>
      </c>
      <c r="H8988" t="s">
        <v>27248</v>
      </c>
      <c r="I8988" t="s">
        <v>44679</v>
      </c>
      <c r="J8988" t="s">
        <v>17960</v>
      </c>
      <c r="L8988" t="s">
        <v>27250</v>
      </c>
      <c r="M8988" t="s">
        <v>27251</v>
      </c>
      <c r="N8988" t="s">
        <v>27252</v>
      </c>
      <c r="Q8988" s="1">
        <v>44538</v>
      </c>
      <c r="R8988" t="s">
        <v>27253</v>
      </c>
      <c r="S8988" t="s">
        <v>27254</v>
      </c>
      <c r="T8988" t="s">
        <v>27255</v>
      </c>
    </row>
    <row r="8989" spans="1:20" x14ac:dyDescent="0.3">
      <c r="A8989" t="str">
        <f>"0611837371100"</f>
        <v>0611837371100</v>
      </c>
      <c r="B8989" t="str">
        <f>"LK6106"</f>
        <v>LK6106</v>
      </c>
      <c r="C8989" t="s">
        <v>44680</v>
      </c>
      <c r="D8989" t="s">
        <v>27245</v>
      </c>
      <c r="E8989" t="str">
        <f t="shared" si="140"/>
        <v>001390</v>
      </c>
      <c r="F8989" t="s">
        <v>27246</v>
      </c>
      <c r="G8989" t="s">
        <v>27247</v>
      </c>
      <c r="H8989" t="s">
        <v>27248</v>
      </c>
      <c r="I8989" t="s">
        <v>44681</v>
      </c>
      <c r="J8989" t="s">
        <v>17962</v>
      </c>
      <c r="L8989" t="s">
        <v>27250</v>
      </c>
      <c r="M8989" t="s">
        <v>27251</v>
      </c>
      <c r="N8989" t="s">
        <v>27252</v>
      </c>
      <c r="Q8989" s="1">
        <v>44538</v>
      </c>
      <c r="R8989" t="s">
        <v>27253</v>
      </c>
      <c r="S8989" t="s">
        <v>27254</v>
      </c>
      <c r="T8989" t="s">
        <v>27255</v>
      </c>
    </row>
    <row r="8990" spans="1:20" x14ac:dyDescent="0.3">
      <c r="A8990" t="str">
        <f>"0611837373100"</f>
        <v>0611837373100</v>
      </c>
      <c r="B8990" t="str">
        <f>"LB7616"</f>
        <v>LB7616</v>
      </c>
      <c r="C8990" t="s">
        <v>44682</v>
      </c>
      <c r="D8990" t="s">
        <v>27245</v>
      </c>
      <c r="E8990" t="str">
        <f t="shared" si="140"/>
        <v>001390</v>
      </c>
      <c r="F8990" t="s">
        <v>27246</v>
      </c>
      <c r="G8990" t="s">
        <v>27247</v>
      </c>
      <c r="H8990" t="s">
        <v>27248</v>
      </c>
      <c r="I8990" t="s">
        <v>44683</v>
      </c>
      <c r="J8990" t="s">
        <v>17964</v>
      </c>
      <c r="L8990" t="s">
        <v>27250</v>
      </c>
      <c r="M8990" t="s">
        <v>27251</v>
      </c>
      <c r="N8990" t="s">
        <v>27252</v>
      </c>
      <c r="Q8990" s="1">
        <v>44538</v>
      </c>
      <c r="R8990" t="s">
        <v>27253</v>
      </c>
      <c r="S8990" t="s">
        <v>27254</v>
      </c>
      <c r="T8990" t="s">
        <v>27255</v>
      </c>
    </row>
    <row r="8991" spans="1:20" x14ac:dyDescent="0.3">
      <c r="A8991" t="str">
        <f>"0611837374100"</f>
        <v>0611837374100</v>
      </c>
      <c r="B8991" t="str">
        <f>"LK1839"</f>
        <v>LK1839</v>
      </c>
      <c r="C8991" t="s">
        <v>44684</v>
      </c>
      <c r="D8991" t="s">
        <v>27245</v>
      </c>
      <c r="E8991" t="str">
        <f t="shared" si="140"/>
        <v>001390</v>
      </c>
      <c r="F8991" t="s">
        <v>27246</v>
      </c>
      <c r="G8991" t="s">
        <v>27247</v>
      </c>
      <c r="H8991" t="s">
        <v>27248</v>
      </c>
      <c r="I8991" t="s">
        <v>44685</v>
      </c>
      <c r="J8991" t="s">
        <v>17966</v>
      </c>
      <c r="L8991" t="s">
        <v>27250</v>
      </c>
      <c r="M8991" t="s">
        <v>27251</v>
      </c>
      <c r="N8991" t="s">
        <v>27252</v>
      </c>
      <c r="Q8991" s="1">
        <v>44538</v>
      </c>
      <c r="R8991" t="s">
        <v>27253</v>
      </c>
      <c r="S8991" t="s">
        <v>27254</v>
      </c>
      <c r="T8991" t="s">
        <v>27255</v>
      </c>
    </row>
    <row r="8992" spans="1:20" x14ac:dyDescent="0.3">
      <c r="A8992" t="str">
        <f>"0611863417050"</f>
        <v>0611863417050</v>
      </c>
      <c r="B8992" t="str">
        <f>"CE1118"</f>
        <v>CE1118</v>
      </c>
      <c r="C8992" t="s">
        <v>44686</v>
      </c>
      <c r="D8992" t="s">
        <v>27923</v>
      </c>
      <c r="E8992" t="str">
        <f t="shared" si="140"/>
        <v>001390</v>
      </c>
      <c r="F8992" t="s">
        <v>27246</v>
      </c>
      <c r="G8992" t="s">
        <v>27247</v>
      </c>
      <c r="H8992" t="s">
        <v>27248</v>
      </c>
      <c r="I8992" t="s">
        <v>44687</v>
      </c>
      <c r="J8992" t="s">
        <v>17968</v>
      </c>
      <c r="L8992" t="s">
        <v>27250</v>
      </c>
      <c r="M8992" t="s">
        <v>27251</v>
      </c>
      <c r="N8992" t="s">
        <v>27252</v>
      </c>
      <c r="P8992" t="s">
        <v>27925</v>
      </c>
      <c r="Q8992" s="1">
        <v>44846</v>
      </c>
      <c r="R8992" t="s">
        <v>27253</v>
      </c>
      <c r="S8992" t="s">
        <v>27254</v>
      </c>
      <c r="T8992" t="s">
        <v>27265</v>
      </c>
    </row>
    <row r="8993" spans="1:20" x14ac:dyDescent="0.3">
      <c r="A8993" t="str">
        <f>"0611863418050"</f>
        <v>0611863418050</v>
      </c>
      <c r="B8993" t="str">
        <f>"CE0935"</f>
        <v>CE0935</v>
      </c>
      <c r="C8993" t="s">
        <v>44688</v>
      </c>
      <c r="D8993" t="s">
        <v>27923</v>
      </c>
      <c r="E8993" t="str">
        <f t="shared" si="140"/>
        <v>001390</v>
      </c>
      <c r="F8993" t="s">
        <v>27246</v>
      </c>
      <c r="G8993" t="s">
        <v>27247</v>
      </c>
      <c r="H8993" t="s">
        <v>27248</v>
      </c>
      <c r="I8993" t="s">
        <v>44689</v>
      </c>
      <c r="J8993" t="s">
        <v>17970</v>
      </c>
      <c r="L8993" t="s">
        <v>27250</v>
      </c>
      <c r="M8993" t="s">
        <v>27251</v>
      </c>
      <c r="N8993" t="s">
        <v>27252</v>
      </c>
      <c r="P8993" t="s">
        <v>27925</v>
      </c>
      <c r="Q8993" s="1">
        <v>44846</v>
      </c>
      <c r="R8993" t="s">
        <v>27253</v>
      </c>
      <c r="S8993" t="s">
        <v>27254</v>
      </c>
      <c r="T8993" t="s">
        <v>27265</v>
      </c>
    </row>
    <row r="8994" spans="1:20" x14ac:dyDescent="0.3">
      <c r="A8994" t="str">
        <f>"0611863419050"</f>
        <v>0611863419050</v>
      </c>
      <c r="B8994" t="str">
        <f>"CE1119"</f>
        <v>CE1119</v>
      </c>
      <c r="C8994" t="s">
        <v>44690</v>
      </c>
      <c r="D8994" t="s">
        <v>27923</v>
      </c>
      <c r="E8994" t="str">
        <f t="shared" si="140"/>
        <v>001390</v>
      </c>
      <c r="F8994" t="s">
        <v>27246</v>
      </c>
      <c r="G8994" t="s">
        <v>27247</v>
      </c>
      <c r="H8994" t="s">
        <v>27248</v>
      </c>
      <c r="I8994" t="s">
        <v>44691</v>
      </c>
      <c r="J8994" t="s">
        <v>17972</v>
      </c>
      <c r="L8994" t="s">
        <v>27250</v>
      </c>
      <c r="M8994" t="s">
        <v>27251</v>
      </c>
      <c r="N8994" t="s">
        <v>27252</v>
      </c>
      <c r="P8994" t="s">
        <v>27925</v>
      </c>
      <c r="Q8994" s="1">
        <v>44846</v>
      </c>
      <c r="R8994" t="s">
        <v>27253</v>
      </c>
      <c r="S8994" t="s">
        <v>27254</v>
      </c>
      <c r="T8994" t="s">
        <v>27265</v>
      </c>
    </row>
    <row r="8995" spans="1:20" x14ac:dyDescent="0.3">
      <c r="A8995" t="str">
        <f>"0611863420050"</f>
        <v>0611863420050</v>
      </c>
      <c r="B8995" t="str">
        <f>"CE0936"</f>
        <v>CE0936</v>
      </c>
      <c r="C8995" t="s">
        <v>44692</v>
      </c>
      <c r="D8995" t="s">
        <v>27923</v>
      </c>
      <c r="E8995" t="str">
        <f t="shared" si="140"/>
        <v>001390</v>
      </c>
      <c r="F8995" t="s">
        <v>27246</v>
      </c>
      <c r="G8995" t="s">
        <v>27247</v>
      </c>
      <c r="H8995" t="s">
        <v>27248</v>
      </c>
      <c r="I8995" t="s">
        <v>44693</v>
      </c>
      <c r="J8995" t="s">
        <v>17974</v>
      </c>
      <c r="L8995" t="s">
        <v>27250</v>
      </c>
      <c r="M8995" t="s">
        <v>27251</v>
      </c>
      <c r="N8995" t="s">
        <v>27252</v>
      </c>
      <c r="P8995" t="s">
        <v>27925</v>
      </c>
      <c r="Q8995" s="1">
        <v>44846</v>
      </c>
      <c r="R8995" t="s">
        <v>27253</v>
      </c>
      <c r="S8995" t="s">
        <v>27254</v>
      </c>
      <c r="T8995" t="s">
        <v>27265</v>
      </c>
    </row>
    <row r="8996" spans="1:20" x14ac:dyDescent="0.3">
      <c r="A8996" t="str">
        <f>"0611863421050"</f>
        <v>0611863421050</v>
      </c>
      <c r="B8996" t="str">
        <f>"CE0937"</f>
        <v>CE0937</v>
      </c>
      <c r="C8996" t="s">
        <v>44694</v>
      </c>
      <c r="D8996" t="s">
        <v>27923</v>
      </c>
      <c r="E8996" t="str">
        <f t="shared" si="140"/>
        <v>001390</v>
      </c>
      <c r="F8996" t="s">
        <v>27246</v>
      </c>
      <c r="G8996" t="s">
        <v>27247</v>
      </c>
      <c r="H8996" t="s">
        <v>27248</v>
      </c>
      <c r="I8996" t="s">
        <v>44695</v>
      </c>
      <c r="J8996" t="s">
        <v>17976</v>
      </c>
      <c r="L8996" t="s">
        <v>27250</v>
      </c>
      <c r="M8996" t="s">
        <v>27251</v>
      </c>
      <c r="N8996" t="s">
        <v>27252</v>
      </c>
      <c r="P8996" t="s">
        <v>27925</v>
      </c>
      <c r="Q8996" s="1">
        <v>44846</v>
      </c>
      <c r="R8996" t="s">
        <v>27253</v>
      </c>
      <c r="S8996" t="s">
        <v>27254</v>
      </c>
      <c r="T8996" t="s">
        <v>27265</v>
      </c>
    </row>
    <row r="8997" spans="1:20" x14ac:dyDescent="0.3">
      <c r="A8997" t="str">
        <f>"0611837426100"</f>
        <v>0611837426100</v>
      </c>
      <c r="B8997" t="str">
        <f>"LB7600"</f>
        <v>LB7600</v>
      </c>
      <c r="C8997" t="s">
        <v>44696</v>
      </c>
      <c r="D8997" t="s">
        <v>27335</v>
      </c>
      <c r="E8997" t="str">
        <f t="shared" si="140"/>
        <v>001390</v>
      </c>
      <c r="F8997" t="s">
        <v>27246</v>
      </c>
      <c r="G8997" t="s">
        <v>27247</v>
      </c>
      <c r="H8997" t="s">
        <v>27248</v>
      </c>
      <c r="I8997" t="s">
        <v>44697</v>
      </c>
      <c r="J8997" t="s">
        <v>17978</v>
      </c>
      <c r="L8997" t="s">
        <v>27250</v>
      </c>
      <c r="M8997" t="s">
        <v>27251</v>
      </c>
      <c r="N8997" t="s">
        <v>27252</v>
      </c>
      <c r="Q8997" s="1">
        <v>44538</v>
      </c>
      <c r="R8997" t="s">
        <v>27253</v>
      </c>
      <c r="S8997" t="s">
        <v>27254</v>
      </c>
      <c r="T8997" t="s">
        <v>27255</v>
      </c>
    </row>
    <row r="8998" spans="1:20" x14ac:dyDescent="0.3">
      <c r="A8998" t="str">
        <f>"0611837427025"</f>
        <v>0611837427025</v>
      </c>
      <c r="B8998" t="str">
        <f>"MC1437"</f>
        <v>MC1437</v>
      </c>
      <c r="C8998" t="s">
        <v>44696</v>
      </c>
      <c r="D8998" t="s">
        <v>27267</v>
      </c>
      <c r="E8998" t="str">
        <f t="shared" si="140"/>
        <v>001390</v>
      </c>
      <c r="F8998" t="s">
        <v>27246</v>
      </c>
      <c r="G8998" t="s">
        <v>27247</v>
      </c>
      <c r="H8998" t="s">
        <v>27248</v>
      </c>
      <c r="I8998" t="s">
        <v>44698</v>
      </c>
      <c r="J8998" t="s">
        <v>17980</v>
      </c>
      <c r="L8998" t="s">
        <v>27250</v>
      </c>
      <c r="M8998" t="s">
        <v>27251</v>
      </c>
      <c r="N8998" t="s">
        <v>27252</v>
      </c>
      <c r="Q8998" s="1">
        <v>44538</v>
      </c>
      <c r="R8998" t="s">
        <v>27253</v>
      </c>
      <c r="S8998" t="s">
        <v>27254</v>
      </c>
      <c r="T8998" t="s">
        <v>27269</v>
      </c>
    </row>
    <row r="8999" spans="1:20" x14ac:dyDescent="0.3">
      <c r="A8999" t="str">
        <f>"0611837375100"</f>
        <v>0611837375100</v>
      </c>
      <c r="B8999" t="str">
        <f>"LK6256"</f>
        <v>LK6256</v>
      </c>
      <c r="C8999" t="s">
        <v>44699</v>
      </c>
      <c r="D8999" t="s">
        <v>27245</v>
      </c>
      <c r="E8999" t="str">
        <f t="shared" si="140"/>
        <v>001390</v>
      </c>
      <c r="F8999" t="s">
        <v>27246</v>
      </c>
      <c r="G8999" t="s">
        <v>27247</v>
      </c>
      <c r="H8999" t="s">
        <v>27248</v>
      </c>
      <c r="I8999" t="s">
        <v>44700</v>
      </c>
      <c r="J8999" t="s">
        <v>17982</v>
      </c>
      <c r="L8999" t="s">
        <v>27250</v>
      </c>
      <c r="M8999" t="s">
        <v>27251</v>
      </c>
      <c r="N8999" t="s">
        <v>27252</v>
      </c>
      <c r="Q8999" s="1">
        <v>44538</v>
      </c>
      <c r="R8999" t="s">
        <v>27253</v>
      </c>
      <c r="S8999" t="s">
        <v>27254</v>
      </c>
      <c r="T8999" t="s">
        <v>27255</v>
      </c>
    </row>
    <row r="9000" spans="1:20" x14ac:dyDescent="0.3">
      <c r="A9000" t="str">
        <f>"0611837376100"</f>
        <v>0611837376100</v>
      </c>
      <c r="B9000" t="str">
        <f>"LK6874"</f>
        <v>LK6874</v>
      </c>
      <c r="C9000" t="s">
        <v>44701</v>
      </c>
      <c r="D9000" t="s">
        <v>27245</v>
      </c>
      <c r="E9000" t="str">
        <f t="shared" si="140"/>
        <v>001390</v>
      </c>
      <c r="F9000" t="s">
        <v>27246</v>
      </c>
      <c r="G9000" t="s">
        <v>27247</v>
      </c>
      <c r="H9000" t="s">
        <v>27248</v>
      </c>
      <c r="I9000" t="s">
        <v>44702</v>
      </c>
      <c r="J9000" t="s">
        <v>17984</v>
      </c>
      <c r="L9000" t="s">
        <v>27250</v>
      </c>
      <c r="M9000" t="s">
        <v>27251</v>
      </c>
      <c r="N9000" t="s">
        <v>27252</v>
      </c>
      <c r="Q9000" s="1">
        <v>44538</v>
      </c>
      <c r="R9000" t="s">
        <v>27253</v>
      </c>
      <c r="S9000" t="s">
        <v>27254</v>
      </c>
      <c r="T9000" t="s">
        <v>27255</v>
      </c>
    </row>
    <row r="9001" spans="1:20" x14ac:dyDescent="0.3">
      <c r="A9001" t="str">
        <f>"0611857052100"</f>
        <v>0611857052100</v>
      </c>
      <c r="B9001" t="str">
        <f>"LK7098"</f>
        <v>LK7098</v>
      </c>
      <c r="C9001" t="s">
        <v>44703</v>
      </c>
      <c r="D9001" t="s">
        <v>27245</v>
      </c>
      <c r="E9001" t="str">
        <f t="shared" si="140"/>
        <v>001390</v>
      </c>
      <c r="F9001" t="s">
        <v>27246</v>
      </c>
      <c r="G9001" t="s">
        <v>27247</v>
      </c>
      <c r="H9001" t="s">
        <v>27248</v>
      </c>
      <c r="I9001" t="s">
        <v>44704</v>
      </c>
      <c r="J9001" t="s">
        <v>17986</v>
      </c>
      <c r="L9001" t="s">
        <v>27250</v>
      </c>
      <c r="M9001" t="s">
        <v>27251</v>
      </c>
      <c r="N9001" t="s">
        <v>27252</v>
      </c>
      <c r="Q9001" s="1">
        <v>44812</v>
      </c>
      <c r="R9001" t="s">
        <v>27253</v>
      </c>
      <c r="S9001" t="s">
        <v>27254</v>
      </c>
      <c r="T9001" t="s">
        <v>27255</v>
      </c>
    </row>
    <row r="9002" spans="1:20" x14ac:dyDescent="0.3">
      <c r="A9002" t="str">
        <f>"0611837377100"</f>
        <v>0611837377100</v>
      </c>
      <c r="B9002" t="str">
        <f>"LK7023"</f>
        <v>LK7023</v>
      </c>
      <c r="C9002" t="s">
        <v>44705</v>
      </c>
      <c r="D9002" t="s">
        <v>27245</v>
      </c>
      <c r="E9002" t="str">
        <f t="shared" si="140"/>
        <v>001390</v>
      </c>
      <c r="F9002" t="s">
        <v>27246</v>
      </c>
      <c r="G9002" t="s">
        <v>27247</v>
      </c>
      <c r="H9002" t="s">
        <v>27248</v>
      </c>
      <c r="I9002" t="s">
        <v>44706</v>
      </c>
      <c r="J9002" t="s">
        <v>17988</v>
      </c>
      <c r="L9002" t="s">
        <v>27250</v>
      </c>
      <c r="M9002" t="s">
        <v>27251</v>
      </c>
      <c r="N9002" t="s">
        <v>27252</v>
      </c>
      <c r="Q9002" s="1">
        <v>44538</v>
      </c>
      <c r="R9002" t="s">
        <v>27253</v>
      </c>
      <c r="S9002" t="s">
        <v>27254</v>
      </c>
      <c r="T9002" t="s">
        <v>27255</v>
      </c>
    </row>
    <row r="9003" spans="1:20" x14ac:dyDescent="0.3">
      <c r="A9003" t="str">
        <f>"0611837378100"</f>
        <v>0611837378100</v>
      </c>
      <c r="B9003" t="str">
        <f>"LK6707"</f>
        <v>LK6707</v>
      </c>
      <c r="C9003" t="s">
        <v>44707</v>
      </c>
      <c r="D9003" t="s">
        <v>27245</v>
      </c>
      <c r="E9003" t="str">
        <f t="shared" si="140"/>
        <v>001390</v>
      </c>
      <c r="F9003" t="s">
        <v>27246</v>
      </c>
      <c r="G9003" t="s">
        <v>27247</v>
      </c>
      <c r="H9003" t="s">
        <v>27248</v>
      </c>
      <c r="I9003" t="s">
        <v>44708</v>
      </c>
      <c r="J9003" t="s">
        <v>17990</v>
      </c>
      <c r="L9003" t="s">
        <v>27250</v>
      </c>
      <c r="M9003" t="s">
        <v>27251</v>
      </c>
      <c r="N9003" t="s">
        <v>27252</v>
      </c>
      <c r="Q9003" s="1">
        <v>44538</v>
      </c>
      <c r="R9003" t="s">
        <v>27253</v>
      </c>
      <c r="S9003" t="s">
        <v>27254</v>
      </c>
      <c r="T9003" t="s">
        <v>27255</v>
      </c>
    </row>
    <row r="9004" spans="1:20" x14ac:dyDescent="0.3">
      <c r="A9004" t="str">
        <f>"0611837379100"</f>
        <v>0611837379100</v>
      </c>
      <c r="B9004" t="str">
        <f>"LK6708"</f>
        <v>LK6708</v>
      </c>
      <c r="C9004" t="s">
        <v>44709</v>
      </c>
      <c r="D9004" t="s">
        <v>27245</v>
      </c>
      <c r="E9004" t="str">
        <f t="shared" si="140"/>
        <v>001390</v>
      </c>
      <c r="F9004" t="s">
        <v>27246</v>
      </c>
      <c r="G9004" t="s">
        <v>27247</v>
      </c>
      <c r="H9004" t="s">
        <v>27248</v>
      </c>
      <c r="I9004" t="s">
        <v>44710</v>
      </c>
      <c r="J9004" t="s">
        <v>17992</v>
      </c>
      <c r="L9004" t="s">
        <v>27250</v>
      </c>
      <c r="M9004" t="s">
        <v>27251</v>
      </c>
      <c r="N9004" t="s">
        <v>27252</v>
      </c>
      <c r="Q9004" s="1">
        <v>44538</v>
      </c>
      <c r="R9004" t="s">
        <v>27253</v>
      </c>
      <c r="S9004" t="s">
        <v>27254</v>
      </c>
      <c r="T9004" t="s">
        <v>27255</v>
      </c>
    </row>
    <row r="9005" spans="1:20" x14ac:dyDescent="0.3">
      <c r="A9005" t="str">
        <f>"0611837380100"</f>
        <v>0611837380100</v>
      </c>
      <c r="B9005" t="str">
        <f>"LK6709"</f>
        <v>LK6709</v>
      </c>
      <c r="C9005" t="s">
        <v>44711</v>
      </c>
      <c r="D9005" t="s">
        <v>27245</v>
      </c>
      <c r="E9005" t="str">
        <f t="shared" si="140"/>
        <v>001390</v>
      </c>
      <c r="F9005" t="s">
        <v>27246</v>
      </c>
      <c r="G9005" t="s">
        <v>27247</v>
      </c>
      <c r="H9005" t="s">
        <v>27248</v>
      </c>
      <c r="I9005" t="s">
        <v>44712</v>
      </c>
      <c r="J9005" t="s">
        <v>17994</v>
      </c>
      <c r="L9005" t="s">
        <v>27250</v>
      </c>
      <c r="M9005" t="s">
        <v>27251</v>
      </c>
      <c r="N9005" t="s">
        <v>27252</v>
      </c>
      <c r="Q9005" s="1">
        <v>44538</v>
      </c>
      <c r="R9005" t="s">
        <v>27253</v>
      </c>
      <c r="S9005" t="s">
        <v>27254</v>
      </c>
      <c r="T9005" t="s">
        <v>27255</v>
      </c>
    </row>
    <row r="9006" spans="1:20" x14ac:dyDescent="0.3">
      <c r="A9006" t="str">
        <f>"0611837381100"</f>
        <v>0611837381100</v>
      </c>
      <c r="B9006" t="str">
        <f>"LK6710"</f>
        <v>LK6710</v>
      </c>
      <c r="C9006" t="s">
        <v>44713</v>
      </c>
      <c r="D9006" t="s">
        <v>27245</v>
      </c>
      <c r="E9006" t="str">
        <f t="shared" si="140"/>
        <v>001390</v>
      </c>
      <c r="F9006" t="s">
        <v>27246</v>
      </c>
      <c r="G9006" t="s">
        <v>27247</v>
      </c>
      <c r="H9006" t="s">
        <v>27248</v>
      </c>
      <c r="I9006" t="s">
        <v>44714</v>
      </c>
      <c r="J9006" t="s">
        <v>17996</v>
      </c>
      <c r="L9006" t="s">
        <v>27250</v>
      </c>
      <c r="M9006" t="s">
        <v>27251</v>
      </c>
      <c r="N9006" t="s">
        <v>27252</v>
      </c>
      <c r="Q9006" s="1">
        <v>44538</v>
      </c>
      <c r="R9006" t="s">
        <v>27253</v>
      </c>
      <c r="S9006" t="s">
        <v>27254</v>
      </c>
      <c r="T9006" t="s">
        <v>27255</v>
      </c>
    </row>
    <row r="9007" spans="1:20" x14ac:dyDescent="0.3">
      <c r="A9007" t="str">
        <f>"0611837382100"</f>
        <v>0611837382100</v>
      </c>
      <c r="B9007" t="str">
        <f>"LK6654"</f>
        <v>LK6654</v>
      </c>
      <c r="C9007" t="s">
        <v>44715</v>
      </c>
      <c r="D9007" t="s">
        <v>27245</v>
      </c>
      <c r="E9007" t="str">
        <f t="shared" si="140"/>
        <v>001390</v>
      </c>
      <c r="F9007" t="s">
        <v>27246</v>
      </c>
      <c r="G9007" t="s">
        <v>27247</v>
      </c>
      <c r="H9007" t="s">
        <v>27248</v>
      </c>
      <c r="I9007" t="s">
        <v>44716</v>
      </c>
      <c r="J9007" t="s">
        <v>17998</v>
      </c>
      <c r="L9007" t="s">
        <v>27250</v>
      </c>
      <c r="M9007" t="s">
        <v>27251</v>
      </c>
      <c r="N9007" t="s">
        <v>27252</v>
      </c>
      <c r="Q9007" s="1">
        <v>44538</v>
      </c>
      <c r="R9007" t="s">
        <v>27253</v>
      </c>
      <c r="S9007" t="s">
        <v>27254</v>
      </c>
      <c r="T9007" t="s">
        <v>27255</v>
      </c>
    </row>
    <row r="9008" spans="1:20" x14ac:dyDescent="0.3">
      <c r="A9008" t="str">
        <f>"0611837383100"</f>
        <v>0611837383100</v>
      </c>
      <c r="B9008" t="str">
        <f>"LK6711"</f>
        <v>LK6711</v>
      </c>
      <c r="C9008" t="s">
        <v>44717</v>
      </c>
      <c r="D9008" t="s">
        <v>27245</v>
      </c>
      <c r="E9008" t="str">
        <f t="shared" si="140"/>
        <v>001390</v>
      </c>
      <c r="F9008" t="s">
        <v>27246</v>
      </c>
      <c r="G9008" t="s">
        <v>27247</v>
      </c>
      <c r="H9008" t="s">
        <v>27248</v>
      </c>
      <c r="I9008" t="s">
        <v>44718</v>
      </c>
      <c r="J9008" t="s">
        <v>18000</v>
      </c>
      <c r="L9008" t="s">
        <v>27250</v>
      </c>
      <c r="M9008" t="s">
        <v>27251</v>
      </c>
      <c r="N9008" t="s">
        <v>27252</v>
      </c>
      <c r="Q9008" s="1">
        <v>44538</v>
      </c>
      <c r="R9008" t="s">
        <v>27253</v>
      </c>
      <c r="S9008" t="s">
        <v>27254</v>
      </c>
      <c r="T9008" t="s">
        <v>27255</v>
      </c>
    </row>
    <row r="9009" spans="1:20" x14ac:dyDescent="0.3">
      <c r="A9009" t="str">
        <f>"0611837384100"</f>
        <v>0611837384100</v>
      </c>
      <c r="B9009" t="str">
        <f>"LK6712"</f>
        <v>LK6712</v>
      </c>
      <c r="C9009" t="s">
        <v>44719</v>
      </c>
      <c r="D9009" t="s">
        <v>27245</v>
      </c>
      <c r="E9009" t="str">
        <f t="shared" si="140"/>
        <v>001390</v>
      </c>
      <c r="F9009" t="s">
        <v>27246</v>
      </c>
      <c r="G9009" t="s">
        <v>27247</v>
      </c>
      <c r="H9009" t="s">
        <v>27248</v>
      </c>
      <c r="I9009" t="s">
        <v>44720</v>
      </c>
      <c r="J9009" t="s">
        <v>18002</v>
      </c>
      <c r="L9009" t="s">
        <v>27250</v>
      </c>
      <c r="M9009" t="s">
        <v>27251</v>
      </c>
      <c r="N9009" t="s">
        <v>27252</v>
      </c>
      <c r="Q9009" s="1">
        <v>44538</v>
      </c>
      <c r="R9009" t="s">
        <v>27253</v>
      </c>
      <c r="S9009" t="s">
        <v>27254</v>
      </c>
      <c r="T9009" t="s">
        <v>27255</v>
      </c>
    </row>
    <row r="9010" spans="1:20" x14ac:dyDescent="0.3">
      <c r="A9010" t="str">
        <f>"0611837385100"</f>
        <v>0611837385100</v>
      </c>
      <c r="B9010" t="str">
        <f>"LK6713"</f>
        <v>LK6713</v>
      </c>
      <c r="C9010" t="s">
        <v>44721</v>
      </c>
      <c r="D9010" t="s">
        <v>27245</v>
      </c>
      <c r="E9010" t="str">
        <f t="shared" si="140"/>
        <v>001390</v>
      </c>
      <c r="F9010" t="s">
        <v>27246</v>
      </c>
      <c r="G9010" t="s">
        <v>27247</v>
      </c>
      <c r="H9010" t="s">
        <v>27248</v>
      </c>
      <c r="I9010" t="s">
        <v>44722</v>
      </c>
      <c r="J9010" t="s">
        <v>18004</v>
      </c>
      <c r="L9010" t="s">
        <v>27250</v>
      </c>
      <c r="M9010" t="s">
        <v>27251</v>
      </c>
      <c r="N9010" t="s">
        <v>27252</v>
      </c>
      <c r="Q9010" s="1">
        <v>44538</v>
      </c>
      <c r="R9010" t="s">
        <v>27253</v>
      </c>
      <c r="S9010" t="s">
        <v>27254</v>
      </c>
      <c r="T9010" t="s">
        <v>27255</v>
      </c>
    </row>
    <row r="9011" spans="1:20" x14ac:dyDescent="0.3">
      <c r="A9011" t="str">
        <f>"0611837386100"</f>
        <v>0611837386100</v>
      </c>
      <c r="B9011" t="str">
        <f>"LK6715"</f>
        <v>LK6715</v>
      </c>
      <c r="C9011" t="s">
        <v>44723</v>
      </c>
      <c r="D9011" t="s">
        <v>27245</v>
      </c>
      <c r="E9011" t="str">
        <f t="shared" si="140"/>
        <v>001390</v>
      </c>
      <c r="F9011" t="s">
        <v>27246</v>
      </c>
      <c r="G9011" t="s">
        <v>27247</v>
      </c>
      <c r="H9011" t="s">
        <v>27248</v>
      </c>
      <c r="I9011" t="s">
        <v>44724</v>
      </c>
      <c r="J9011" t="s">
        <v>18006</v>
      </c>
      <c r="L9011" t="s">
        <v>27250</v>
      </c>
      <c r="M9011" t="s">
        <v>27251</v>
      </c>
      <c r="N9011" t="s">
        <v>27252</v>
      </c>
      <c r="Q9011" s="1">
        <v>44538</v>
      </c>
      <c r="R9011" t="s">
        <v>27253</v>
      </c>
      <c r="S9011" t="s">
        <v>27254</v>
      </c>
      <c r="T9011" t="s">
        <v>27255</v>
      </c>
    </row>
    <row r="9012" spans="1:20" x14ac:dyDescent="0.3">
      <c r="A9012" t="str">
        <f>"0611837387100"</f>
        <v>0611837387100</v>
      </c>
      <c r="B9012" t="str">
        <f>"LK1705"</f>
        <v>LK1705</v>
      </c>
      <c r="C9012" t="s">
        <v>44725</v>
      </c>
      <c r="D9012" t="s">
        <v>27245</v>
      </c>
      <c r="E9012" t="str">
        <f t="shared" si="140"/>
        <v>001390</v>
      </c>
      <c r="F9012" t="s">
        <v>27246</v>
      </c>
      <c r="G9012" t="s">
        <v>27247</v>
      </c>
      <c r="H9012" t="s">
        <v>27248</v>
      </c>
      <c r="I9012" t="s">
        <v>44726</v>
      </c>
      <c r="J9012" t="s">
        <v>18008</v>
      </c>
      <c r="L9012" t="s">
        <v>27250</v>
      </c>
      <c r="M9012" t="s">
        <v>27251</v>
      </c>
      <c r="N9012" t="s">
        <v>27252</v>
      </c>
      <c r="Q9012" s="1">
        <v>44538</v>
      </c>
      <c r="R9012" t="s">
        <v>27253</v>
      </c>
      <c r="S9012" t="s">
        <v>27254</v>
      </c>
      <c r="T9012" t="s">
        <v>27255</v>
      </c>
    </row>
    <row r="9013" spans="1:20" x14ac:dyDescent="0.3">
      <c r="A9013" t="str">
        <f>"0611837388100"</f>
        <v>0611837388100</v>
      </c>
      <c r="B9013" t="str">
        <f>"LK2950"</f>
        <v>LK2950</v>
      </c>
      <c r="C9013" t="s">
        <v>44727</v>
      </c>
      <c r="D9013" t="s">
        <v>27245</v>
      </c>
      <c r="E9013" t="str">
        <f t="shared" si="140"/>
        <v>001390</v>
      </c>
      <c r="F9013" t="s">
        <v>27246</v>
      </c>
      <c r="G9013" t="s">
        <v>27247</v>
      </c>
      <c r="H9013" t="s">
        <v>27248</v>
      </c>
      <c r="I9013" t="s">
        <v>44728</v>
      </c>
      <c r="J9013" t="s">
        <v>18010</v>
      </c>
      <c r="L9013" t="s">
        <v>27250</v>
      </c>
      <c r="M9013" t="s">
        <v>27251</v>
      </c>
      <c r="N9013" t="s">
        <v>27252</v>
      </c>
      <c r="Q9013" s="1">
        <v>44538</v>
      </c>
      <c r="R9013" t="s">
        <v>27253</v>
      </c>
      <c r="S9013" t="s">
        <v>27254</v>
      </c>
      <c r="T9013" t="s">
        <v>27255</v>
      </c>
    </row>
    <row r="9014" spans="1:20" x14ac:dyDescent="0.3">
      <c r="A9014" t="str">
        <f>"0611837389100"</f>
        <v>0611837389100</v>
      </c>
      <c r="B9014" t="str">
        <f>"LK3462"</f>
        <v>LK3462</v>
      </c>
      <c r="C9014" t="s">
        <v>44729</v>
      </c>
      <c r="D9014" t="s">
        <v>27245</v>
      </c>
      <c r="E9014" t="str">
        <f t="shared" si="140"/>
        <v>001390</v>
      </c>
      <c r="F9014" t="s">
        <v>27246</v>
      </c>
      <c r="G9014" t="s">
        <v>27247</v>
      </c>
      <c r="H9014" t="s">
        <v>27248</v>
      </c>
      <c r="I9014" t="s">
        <v>44730</v>
      </c>
      <c r="J9014" t="s">
        <v>18012</v>
      </c>
      <c r="L9014" t="s">
        <v>27250</v>
      </c>
      <c r="M9014" t="s">
        <v>27251</v>
      </c>
      <c r="N9014" t="s">
        <v>27252</v>
      </c>
      <c r="Q9014" s="1">
        <v>44538</v>
      </c>
      <c r="R9014" t="s">
        <v>27253</v>
      </c>
      <c r="S9014" t="s">
        <v>27254</v>
      </c>
      <c r="T9014" t="s">
        <v>27255</v>
      </c>
    </row>
    <row r="9015" spans="1:20" x14ac:dyDescent="0.3">
      <c r="A9015" t="str">
        <f>"0611837390100"</f>
        <v>0611837390100</v>
      </c>
      <c r="B9015" t="str">
        <f>"LK1706"</f>
        <v>LK1706</v>
      </c>
      <c r="C9015" t="s">
        <v>44731</v>
      </c>
      <c r="D9015" t="s">
        <v>27245</v>
      </c>
      <c r="E9015" t="str">
        <f t="shared" si="140"/>
        <v>001390</v>
      </c>
      <c r="F9015" t="s">
        <v>27246</v>
      </c>
      <c r="G9015" t="s">
        <v>27247</v>
      </c>
      <c r="H9015" t="s">
        <v>27248</v>
      </c>
      <c r="I9015" t="s">
        <v>44732</v>
      </c>
      <c r="J9015" t="s">
        <v>18014</v>
      </c>
      <c r="L9015" t="s">
        <v>27250</v>
      </c>
      <c r="M9015" t="s">
        <v>27251</v>
      </c>
      <c r="N9015" t="s">
        <v>27252</v>
      </c>
      <c r="Q9015" s="1">
        <v>44538</v>
      </c>
      <c r="R9015" t="s">
        <v>27253</v>
      </c>
      <c r="S9015" t="s">
        <v>27254</v>
      </c>
      <c r="T9015" t="s">
        <v>27255</v>
      </c>
    </row>
    <row r="9016" spans="1:20" x14ac:dyDescent="0.3">
      <c r="A9016" t="str">
        <f>"0611837391100"</f>
        <v>0611837391100</v>
      </c>
      <c r="B9016" t="str">
        <f>"LK1707"</f>
        <v>LK1707</v>
      </c>
      <c r="C9016" t="s">
        <v>44733</v>
      </c>
      <c r="D9016" t="s">
        <v>27245</v>
      </c>
      <c r="E9016" t="str">
        <f t="shared" si="140"/>
        <v>001390</v>
      </c>
      <c r="F9016" t="s">
        <v>27246</v>
      </c>
      <c r="G9016" t="s">
        <v>27247</v>
      </c>
      <c r="H9016" t="s">
        <v>27248</v>
      </c>
      <c r="I9016" t="s">
        <v>44734</v>
      </c>
      <c r="J9016" t="s">
        <v>18016</v>
      </c>
      <c r="L9016" t="s">
        <v>27250</v>
      </c>
      <c r="M9016" t="s">
        <v>27251</v>
      </c>
      <c r="N9016" t="s">
        <v>27252</v>
      </c>
      <c r="Q9016" s="1">
        <v>44538</v>
      </c>
      <c r="R9016" t="s">
        <v>27253</v>
      </c>
      <c r="S9016" t="s">
        <v>27254</v>
      </c>
      <c r="T9016" t="s">
        <v>27255</v>
      </c>
    </row>
    <row r="9017" spans="1:20" x14ac:dyDescent="0.3">
      <c r="A9017" t="str">
        <f>"0611837393100"</f>
        <v>0611837393100</v>
      </c>
      <c r="B9017" t="str">
        <f>"LK5869"</f>
        <v>LK5869</v>
      </c>
      <c r="C9017" t="s">
        <v>44735</v>
      </c>
      <c r="D9017" t="s">
        <v>27245</v>
      </c>
      <c r="E9017" t="str">
        <f t="shared" si="140"/>
        <v>001390</v>
      </c>
      <c r="F9017" t="s">
        <v>27246</v>
      </c>
      <c r="G9017" t="s">
        <v>27247</v>
      </c>
      <c r="H9017" t="s">
        <v>27248</v>
      </c>
      <c r="I9017" t="s">
        <v>44736</v>
      </c>
      <c r="J9017" t="s">
        <v>18018</v>
      </c>
      <c r="L9017" t="s">
        <v>27250</v>
      </c>
      <c r="M9017" t="s">
        <v>27251</v>
      </c>
      <c r="N9017" t="s">
        <v>27252</v>
      </c>
      <c r="Q9017" s="1">
        <v>44538</v>
      </c>
      <c r="R9017" t="s">
        <v>27253</v>
      </c>
      <c r="S9017" t="s">
        <v>27254</v>
      </c>
      <c r="T9017" t="s">
        <v>27255</v>
      </c>
    </row>
    <row r="9018" spans="1:20" x14ac:dyDescent="0.3">
      <c r="A9018" t="str">
        <f>"0611837394100"</f>
        <v>0611837394100</v>
      </c>
      <c r="B9018" t="str">
        <f>"LK2952"</f>
        <v>LK2952</v>
      </c>
      <c r="C9018" t="s">
        <v>44737</v>
      </c>
      <c r="D9018" t="s">
        <v>27245</v>
      </c>
      <c r="E9018" t="str">
        <f t="shared" si="140"/>
        <v>001390</v>
      </c>
      <c r="F9018" t="s">
        <v>27246</v>
      </c>
      <c r="G9018" t="s">
        <v>27247</v>
      </c>
      <c r="H9018" t="s">
        <v>27248</v>
      </c>
      <c r="I9018" t="s">
        <v>44738</v>
      </c>
      <c r="J9018" t="s">
        <v>18020</v>
      </c>
      <c r="L9018" t="s">
        <v>27250</v>
      </c>
      <c r="M9018" t="s">
        <v>27251</v>
      </c>
      <c r="N9018" t="s">
        <v>27252</v>
      </c>
      <c r="Q9018" s="1">
        <v>44538</v>
      </c>
      <c r="R9018" t="s">
        <v>27253</v>
      </c>
      <c r="S9018" t="s">
        <v>27254</v>
      </c>
      <c r="T9018" t="s">
        <v>27255</v>
      </c>
    </row>
    <row r="9019" spans="1:20" x14ac:dyDescent="0.3">
      <c r="A9019" t="str">
        <f>"0611837395100"</f>
        <v>0611837395100</v>
      </c>
      <c r="B9019" t="str">
        <f>"LK3463"</f>
        <v>LK3463</v>
      </c>
      <c r="C9019" t="s">
        <v>44739</v>
      </c>
      <c r="D9019" t="s">
        <v>27245</v>
      </c>
      <c r="E9019" t="str">
        <f t="shared" si="140"/>
        <v>001390</v>
      </c>
      <c r="F9019" t="s">
        <v>27246</v>
      </c>
      <c r="G9019" t="s">
        <v>27247</v>
      </c>
      <c r="H9019" t="s">
        <v>27248</v>
      </c>
      <c r="I9019" t="s">
        <v>44740</v>
      </c>
      <c r="J9019" t="s">
        <v>18022</v>
      </c>
      <c r="L9019" t="s">
        <v>27250</v>
      </c>
      <c r="M9019" t="s">
        <v>27251</v>
      </c>
      <c r="N9019" t="s">
        <v>27252</v>
      </c>
      <c r="Q9019" s="1">
        <v>44538</v>
      </c>
      <c r="R9019" t="s">
        <v>27253</v>
      </c>
      <c r="S9019" t="s">
        <v>27254</v>
      </c>
      <c r="T9019" t="s">
        <v>27255</v>
      </c>
    </row>
    <row r="9020" spans="1:20" x14ac:dyDescent="0.3">
      <c r="A9020" t="str">
        <f>"0611837396100"</f>
        <v>0611837396100</v>
      </c>
      <c r="B9020" t="str">
        <f>"LK1708"</f>
        <v>LK1708</v>
      </c>
      <c r="C9020" t="s">
        <v>44741</v>
      </c>
      <c r="D9020" t="s">
        <v>27245</v>
      </c>
      <c r="E9020" t="str">
        <f t="shared" si="140"/>
        <v>001390</v>
      </c>
      <c r="F9020" t="s">
        <v>27246</v>
      </c>
      <c r="G9020" t="s">
        <v>27247</v>
      </c>
      <c r="H9020" t="s">
        <v>27248</v>
      </c>
      <c r="I9020" t="s">
        <v>44742</v>
      </c>
      <c r="J9020" t="s">
        <v>18024</v>
      </c>
      <c r="L9020" t="s">
        <v>27250</v>
      </c>
      <c r="M9020" t="s">
        <v>27251</v>
      </c>
      <c r="N9020" t="s">
        <v>27252</v>
      </c>
      <c r="Q9020" s="1">
        <v>44538</v>
      </c>
      <c r="R9020" t="s">
        <v>27253</v>
      </c>
      <c r="S9020" t="s">
        <v>27254</v>
      </c>
      <c r="T9020" t="s">
        <v>27255</v>
      </c>
    </row>
    <row r="9021" spans="1:20" x14ac:dyDescent="0.3">
      <c r="A9021" t="str">
        <f>"0611837397100"</f>
        <v>0611837397100</v>
      </c>
      <c r="B9021" t="str">
        <f>"LK1709"</f>
        <v>LK1709</v>
      </c>
      <c r="C9021" t="s">
        <v>44743</v>
      </c>
      <c r="D9021" t="s">
        <v>27245</v>
      </c>
      <c r="E9021" t="str">
        <f t="shared" si="140"/>
        <v>001390</v>
      </c>
      <c r="F9021" t="s">
        <v>27246</v>
      </c>
      <c r="G9021" t="s">
        <v>27247</v>
      </c>
      <c r="H9021" t="s">
        <v>27248</v>
      </c>
      <c r="I9021" t="s">
        <v>44744</v>
      </c>
      <c r="J9021" t="s">
        <v>18026</v>
      </c>
      <c r="L9021" t="s">
        <v>27250</v>
      </c>
      <c r="M9021" t="s">
        <v>27251</v>
      </c>
      <c r="N9021" t="s">
        <v>27252</v>
      </c>
      <c r="Q9021" s="1">
        <v>44538</v>
      </c>
      <c r="R9021" t="s">
        <v>27253</v>
      </c>
      <c r="S9021" t="s">
        <v>27254</v>
      </c>
      <c r="T9021" t="s">
        <v>27255</v>
      </c>
    </row>
    <row r="9022" spans="1:20" x14ac:dyDescent="0.3">
      <c r="A9022" t="str">
        <f>"0611837400100"</f>
        <v>0611837400100</v>
      </c>
      <c r="B9022" t="str">
        <f>"LK6109"</f>
        <v>LK6109</v>
      </c>
      <c r="C9022" t="s">
        <v>44745</v>
      </c>
      <c r="D9022" t="s">
        <v>28138</v>
      </c>
      <c r="E9022" t="str">
        <f t="shared" si="140"/>
        <v>001390</v>
      </c>
      <c r="F9022" t="s">
        <v>27246</v>
      </c>
      <c r="G9022" t="s">
        <v>27247</v>
      </c>
      <c r="H9022" t="s">
        <v>27248</v>
      </c>
      <c r="I9022" t="s">
        <v>44746</v>
      </c>
      <c r="J9022" t="s">
        <v>18028</v>
      </c>
      <c r="L9022" t="s">
        <v>27250</v>
      </c>
      <c r="M9022" t="s">
        <v>27251</v>
      </c>
      <c r="N9022" t="s">
        <v>27252</v>
      </c>
      <c r="P9022" t="s">
        <v>27925</v>
      </c>
      <c r="Q9022" s="1">
        <v>44538</v>
      </c>
      <c r="R9022" t="s">
        <v>27253</v>
      </c>
      <c r="S9022" t="s">
        <v>27254</v>
      </c>
      <c r="T9022" t="s">
        <v>27255</v>
      </c>
    </row>
    <row r="9023" spans="1:20" x14ac:dyDescent="0.3">
      <c r="A9023" t="str">
        <f>"0611837405100"</f>
        <v>0611837405100</v>
      </c>
      <c r="B9023" t="str">
        <f>"LK2955"</f>
        <v>LK2955</v>
      </c>
      <c r="C9023" t="s">
        <v>44747</v>
      </c>
      <c r="D9023" t="s">
        <v>27245</v>
      </c>
      <c r="E9023" t="str">
        <f t="shared" si="140"/>
        <v>001390</v>
      </c>
      <c r="F9023" t="s">
        <v>27246</v>
      </c>
      <c r="G9023" t="s">
        <v>27247</v>
      </c>
      <c r="H9023" t="s">
        <v>27248</v>
      </c>
      <c r="I9023" t="s">
        <v>44748</v>
      </c>
      <c r="J9023" t="s">
        <v>18030</v>
      </c>
      <c r="L9023" t="s">
        <v>27250</v>
      </c>
      <c r="M9023" t="s">
        <v>27251</v>
      </c>
      <c r="N9023" t="s">
        <v>27252</v>
      </c>
      <c r="Q9023" s="1">
        <v>44538</v>
      </c>
      <c r="R9023" t="s">
        <v>27253</v>
      </c>
      <c r="S9023" t="s">
        <v>27254</v>
      </c>
      <c r="T9023" t="s">
        <v>27255</v>
      </c>
    </row>
    <row r="9024" spans="1:20" x14ac:dyDescent="0.3">
      <c r="A9024" t="str">
        <f>"0611837410100"</f>
        <v>0611837410100</v>
      </c>
      <c r="B9024" t="str">
        <f>"LB7617"</f>
        <v>LB7617</v>
      </c>
      <c r="C9024" t="s">
        <v>44749</v>
      </c>
      <c r="D9024" t="s">
        <v>27245</v>
      </c>
      <c r="E9024" t="str">
        <f t="shared" si="140"/>
        <v>001390</v>
      </c>
      <c r="F9024" t="s">
        <v>27246</v>
      </c>
      <c r="G9024" t="s">
        <v>27247</v>
      </c>
      <c r="H9024" t="s">
        <v>27248</v>
      </c>
      <c r="I9024" t="s">
        <v>44750</v>
      </c>
      <c r="J9024" t="s">
        <v>18032</v>
      </c>
      <c r="L9024" t="s">
        <v>27250</v>
      </c>
      <c r="M9024" t="s">
        <v>27251</v>
      </c>
      <c r="N9024" t="s">
        <v>27252</v>
      </c>
      <c r="Q9024" s="1">
        <v>44538</v>
      </c>
      <c r="R9024" t="s">
        <v>27253</v>
      </c>
      <c r="S9024" t="s">
        <v>27254</v>
      </c>
      <c r="T9024" t="s">
        <v>27255</v>
      </c>
    </row>
    <row r="9025" spans="1:20" x14ac:dyDescent="0.3">
      <c r="A9025" t="str">
        <f>"0611837411100"</f>
        <v>0611837411100</v>
      </c>
      <c r="B9025" t="str">
        <f>"LB7605"</f>
        <v>LB7605</v>
      </c>
      <c r="C9025" t="s">
        <v>44751</v>
      </c>
      <c r="D9025" t="s">
        <v>27245</v>
      </c>
      <c r="E9025" t="str">
        <f t="shared" si="140"/>
        <v>001390</v>
      </c>
      <c r="F9025" t="s">
        <v>27246</v>
      </c>
      <c r="G9025" t="s">
        <v>27247</v>
      </c>
      <c r="H9025" t="s">
        <v>27248</v>
      </c>
      <c r="I9025" t="s">
        <v>44752</v>
      </c>
      <c r="J9025" t="s">
        <v>18034</v>
      </c>
      <c r="L9025" t="s">
        <v>27250</v>
      </c>
      <c r="M9025" t="s">
        <v>27251</v>
      </c>
      <c r="N9025" t="s">
        <v>27252</v>
      </c>
      <c r="Q9025" s="1">
        <v>44538</v>
      </c>
      <c r="R9025" t="s">
        <v>27253</v>
      </c>
      <c r="S9025" t="s">
        <v>27254</v>
      </c>
      <c r="T9025" t="s">
        <v>27255</v>
      </c>
    </row>
    <row r="9026" spans="1:20" x14ac:dyDescent="0.3">
      <c r="A9026" t="str">
        <f>"0611837412100"</f>
        <v>0611837412100</v>
      </c>
      <c r="B9026" t="str">
        <f>"LB7608"</f>
        <v>LB7608</v>
      </c>
      <c r="C9026" t="s">
        <v>44753</v>
      </c>
      <c r="D9026" t="s">
        <v>27245</v>
      </c>
      <c r="E9026" t="str">
        <f t="shared" ref="E9026:E9089" si="141">"001390"</f>
        <v>001390</v>
      </c>
      <c r="F9026" t="s">
        <v>27246</v>
      </c>
      <c r="G9026" t="s">
        <v>27247</v>
      </c>
      <c r="H9026" t="s">
        <v>27248</v>
      </c>
      <c r="I9026" t="s">
        <v>44754</v>
      </c>
      <c r="J9026" t="s">
        <v>18036</v>
      </c>
      <c r="L9026" t="s">
        <v>27250</v>
      </c>
      <c r="M9026" t="s">
        <v>27251</v>
      </c>
      <c r="N9026" t="s">
        <v>27252</v>
      </c>
      <c r="Q9026" s="1">
        <v>44538</v>
      </c>
      <c r="R9026" t="s">
        <v>27253</v>
      </c>
      <c r="S9026" t="s">
        <v>27254</v>
      </c>
      <c r="T9026" t="s">
        <v>27255</v>
      </c>
    </row>
    <row r="9027" spans="1:20" x14ac:dyDescent="0.3">
      <c r="A9027" t="str">
        <f>"0611837414100"</f>
        <v>0611837414100</v>
      </c>
      <c r="B9027" t="str">
        <f>"LB7609"</f>
        <v>LB7609</v>
      </c>
      <c r="C9027" t="s">
        <v>44755</v>
      </c>
      <c r="D9027" t="s">
        <v>27245</v>
      </c>
      <c r="E9027" t="str">
        <f t="shared" si="141"/>
        <v>001390</v>
      </c>
      <c r="F9027" t="s">
        <v>27246</v>
      </c>
      <c r="G9027" t="s">
        <v>27247</v>
      </c>
      <c r="H9027" t="s">
        <v>27248</v>
      </c>
      <c r="I9027" t="s">
        <v>44756</v>
      </c>
      <c r="J9027" t="s">
        <v>18038</v>
      </c>
      <c r="L9027" t="s">
        <v>27250</v>
      </c>
      <c r="M9027" t="s">
        <v>27251</v>
      </c>
      <c r="N9027" t="s">
        <v>27252</v>
      </c>
      <c r="Q9027" s="1">
        <v>44538</v>
      </c>
      <c r="R9027" t="s">
        <v>27253</v>
      </c>
      <c r="S9027" t="s">
        <v>27254</v>
      </c>
      <c r="T9027" t="s">
        <v>27255</v>
      </c>
    </row>
    <row r="9028" spans="1:20" x14ac:dyDescent="0.3">
      <c r="A9028" t="str">
        <f>"0611837415100"</f>
        <v>0611837415100</v>
      </c>
      <c r="B9028" t="str">
        <f>"LB7615"</f>
        <v>LB7615</v>
      </c>
      <c r="C9028" t="s">
        <v>44757</v>
      </c>
      <c r="D9028" t="s">
        <v>27245</v>
      </c>
      <c r="E9028" t="str">
        <f t="shared" si="141"/>
        <v>001390</v>
      </c>
      <c r="F9028" t="s">
        <v>27246</v>
      </c>
      <c r="G9028" t="s">
        <v>27247</v>
      </c>
      <c r="H9028" t="s">
        <v>27248</v>
      </c>
      <c r="I9028" t="s">
        <v>44758</v>
      </c>
      <c r="J9028" t="s">
        <v>18040</v>
      </c>
      <c r="L9028" t="s">
        <v>27250</v>
      </c>
      <c r="M9028" t="s">
        <v>27251</v>
      </c>
      <c r="N9028" t="s">
        <v>27252</v>
      </c>
      <c r="Q9028" s="1">
        <v>44538</v>
      </c>
      <c r="R9028" t="s">
        <v>27253</v>
      </c>
      <c r="S9028" t="s">
        <v>27254</v>
      </c>
      <c r="T9028" t="s">
        <v>27255</v>
      </c>
    </row>
    <row r="9029" spans="1:20" x14ac:dyDescent="0.3">
      <c r="A9029" t="str">
        <f>"0611837416100"</f>
        <v>0611837416100</v>
      </c>
      <c r="B9029" t="str">
        <f>"LK6257"</f>
        <v>LK6257</v>
      </c>
      <c r="C9029" t="s">
        <v>44759</v>
      </c>
      <c r="D9029" t="s">
        <v>27245</v>
      </c>
      <c r="E9029" t="str">
        <f t="shared" si="141"/>
        <v>001390</v>
      </c>
      <c r="F9029" t="s">
        <v>27246</v>
      </c>
      <c r="G9029" t="s">
        <v>27247</v>
      </c>
      <c r="H9029" t="s">
        <v>27248</v>
      </c>
      <c r="I9029" t="s">
        <v>44760</v>
      </c>
      <c r="J9029" t="s">
        <v>18042</v>
      </c>
      <c r="L9029" t="s">
        <v>27250</v>
      </c>
      <c r="M9029" t="s">
        <v>27251</v>
      </c>
      <c r="N9029" t="s">
        <v>27252</v>
      </c>
      <c r="Q9029" s="1">
        <v>44538</v>
      </c>
      <c r="R9029" t="s">
        <v>27253</v>
      </c>
      <c r="S9029" t="s">
        <v>27254</v>
      </c>
      <c r="T9029" t="s">
        <v>27255</v>
      </c>
    </row>
    <row r="9030" spans="1:20" x14ac:dyDescent="0.3">
      <c r="A9030" t="str">
        <f>"0611837417100"</f>
        <v>0611837417100</v>
      </c>
      <c r="B9030" t="str">
        <f>"LK6258"</f>
        <v>LK6258</v>
      </c>
      <c r="C9030" t="s">
        <v>44761</v>
      </c>
      <c r="D9030" t="s">
        <v>27245</v>
      </c>
      <c r="E9030" t="str">
        <f t="shared" si="141"/>
        <v>001390</v>
      </c>
      <c r="F9030" t="s">
        <v>27246</v>
      </c>
      <c r="G9030" t="s">
        <v>27247</v>
      </c>
      <c r="H9030" t="s">
        <v>27248</v>
      </c>
      <c r="I9030" t="s">
        <v>44762</v>
      </c>
      <c r="J9030" t="s">
        <v>18044</v>
      </c>
      <c r="L9030" t="s">
        <v>27250</v>
      </c>
      <c r="M9030" t="s">
        <v>27251</v>
      </c>
      <c r="N9030" t="s">
        <v>27252</v>
      </c>
      <c r="Q9030" s="1">
        <v>44538</v>
      </c>
      <c r="R9030" t="s">
        <v>27253</v>
      </c>
      <c r="S9030" t="s">
        <v>27254</v>
      </c>
      <c r="T9030" t="s">
        <v>27255</v>
      </c>
    </row>
    <row r="9031" spans="1:20" x14ac:dyDescent="0.3">
      <c r="A9031" t="str">
        <f>"0611837418100"</f>
        <v>0611837418100</v>
      </c>
      <c r="B9031" t="str">
        <f>"LK6259"</f>
        <v>LK6259</v>
      </c>
      <c r="C9031" t="s">
        <v>44763</v>
      </c>
      <c r="D9031" t="s">
        <v>27245</v>
      </c>
      <c r="E9031" t="str">
        <f t="shared" si="141"/>
        <v>001390</v>
      </c>
      <c r="F9031" t="s">
        <v>27246</v>
      </c>
      <c r="G9031" t="s">
        <v>27247</v>
      </c>
      <c r="H9031" t="s">
        <v>27248</v>
      </c>
      <c r="I9031" t="s">
        <v>44764</v>
      </c>
      <c r="J9031" t="s">
        <v>18046</v>
      </c>
      <c r="L9031" t="s">
        <v>27250</v>
      </c>
      <c r="M9031" t="s">
        <v>27251</v>
      </c>
      <c r="N9031" t="s">
        <v>27252</v>
      </c>
      <c r="Q9031" s="1">
        <v>44538</v>
      </c>
      <c r="R9031" t="s">
        <v>27253</v>
      </c>
      <c r="S9031" t="s">
        <v>27254</v>
      </c>
      <c r="T9031" t="s">
        <v>27255</v>
      </c>
    </row>
    <row r="9032" spans="1:20" x14ac:dyDescent="0.3">
      <c r="A9032" t="str">
        <f>"0611837419100"</f>
        <v>0611837419100</v>
      </c>
      <c r="B9032" t="str">
        <f>"LK6590"</f>
        <v>LK6590</v>
      </c>
      <c r="C9032" t="s">
        <v>44765</v>
      </c>
      <c r="D9032" t="s">
        <v>27245</v>
      </c>
      <c r="E9032" t="str">
        <f t="shared" si="141"/>
        <v>001390</v>
      </c>
      <c r="F9032" t="s">
        <v>27246</v>
      </c>
      <c r="G9032" t="s">
        <v>27247</v>
      </c>
      <c r="H9032" t="s">
        <v>27248</v>
      </c>
      <c r="I9032" t="s">
        <v>44766</v>
      </c>
      <c r="J9032" t="s">
        <v>18048</v>
      </c>
      <c r="L9032" t="s">
        <v>27250</v>
      </c>
      <c r="M9032" t="s">
        <v>27251</v>
      </c>
      <c r="N9032" t="s">
        <v>27252</v>
      </c>
      <c r="Q9032" s="1">
        <v>44538</v>
      </c>
      <c r="R9032" t="s">
        <v>27253</v>
      </c>
      <c r="S9032" t="s">
        <v>27254</v>
      </c>
      <c r="T9032" t="s">
        <v>27255</v>
      </c>
    </row>
    <row r="9033" spans="1:20" x14ac:dyDescent="0.3">
      <c r="A9033" t="str">
        <f>"0611837420100"</f>
        <v>0611837420100</v>
      </c>
      <c r="B9033" t="str">
        <f>"LK6420"</f>
        <v>LK6420</v>
      </c>
      <c r="C9033" t="s">
        <v>44767</v>
      </c>
      <c r="D9033" t="s">
        <v>27245</v>
      </c>
      <c r="E9033" t="str">
        <f t="shared" si="141"/>
        <v>001390</v>
      </c>
      <c r="F9033" t="s">
        <v>27246</v>
      </c>
      <c r="G9033" t="s">
        <v>27247</v>
      </c>
      <c r="H9033" t="s">
        <v>27248</v>
      </c>
      <c r="I9033" t="s">
        <v>44768</v>
      </c>
      <c r="J9033" t="s">
        <v>18050</v>
      </c>
      <c r="L9033" t="s">
        <v>27250</v>
      </c>
      <c r="M9033" t="s">
        <v>27251</v>
      </c>
      <c r="N9033" t="s">
        <v>27252</v>
      </c>
      <c r="Q9033" s="1">
        <v>44538</v>
      </c>
      <c r="R9033" t="s">
        <v>27253</v>
      </c>
      <c r="S9033" t="s">
        <v>27254</v>
      </c>
      <c r="T9033" t="s">
        <v>27255</v>
      </c>
    </row>
    <row r="9034" spans="1:20" x14ac:dyDescent="0.3">
      <c r="A9034" t="str">
        <f>"0611837421100"</f>
        <v>0611837421100</v>
      </c>
      <c r="B9034" t="str">
        <f>"LK6260"</f>
        <v>LK6260</v>
      </c>
      <c r="C9034" t="s">
        <v>44769</v>
      </c>
      <c r="D9034" t="s">
        <v>27245</v>
      </c>
      <c r="E9034" t="str">
        <f t="shared" si="141"/>
        <v>001390</v>
      </c>
      <c r="F9034" t="s">
        <v>27246</v>
      </c>
      <c r="G9034" t="s">
        <v>27247</v>
      </c>
      <c r="H9034" t="s">
        <v>27248</v>
      </c>
      <c r="I9034" t="s">
        <v>44770</v>
      </c>
      <c r="J9034" t="s">
        <v>18052</v>
      </c>
      <c r="L9034" t="s">
        <v>27250</v>
      </c>
      <c r="M9034" t="s">
        <v>27251</v>
      </c>
      <c r="N9034" t="s">
        <v>27252</v>
      </c>
      <c r="Q9034" s="1">
        <v>44538</v>
      </c>
      <c r="R9034" t="s">
        <v>27253</v>
      </c>
      <c r="S9034" t="s">
        <v>27254</v>
      </c>
      <c r="T9034" t="s">
        <v>27255</v>
      </c>
    </row>
    <row r="9035" spans="1:20" x14ac:dyDescent="0.3">
      <c r="A9035" t="str">
        <f>"0611837422100"</f>
        <v>0611837422100</v>
      </c>
      <c r="B9035" t="str">
        <f>"LK6338"</f>
        <v>LK6338</v>
      </c>
      <c r="C9035" t="s">
        <v>44771</v>
      </c>
      <c r="D9035" t="s">
        <v>27245</v>
      </c>
      <c r="E9035" t="str">
        <f t="shared" si="141"/>
        <v>001390</v>
      </c>
      <c r="F9035" t="s">
        <v>27246</v>
      </c>
      <c r="G9035" t="s">
        <v>27247</v>
      </c>
      <c r="H9035" t="s">
        <v>27248</v>
      </c>
      <c r="I9035" t="s">
        <v>44772</v>
      </c>
      <c r="J9035" t="s">
        <v>18054</v>
      </c>
      <c r="L9035" t="s">
        <v>27250</v>
      </c>
      <c r="M9035" t="s">
        <v>27251</v>
      </c>
      <c r="N9035" t="s">
        <v>27252</v>
      </c>
      <c r="Q9035" s="1">
        <v>44538</v>
      </c>
      <c r="R9035" t="s">
        <v>27253</v>
      </c>
      <c r="S9035" t="s">
        <v>27254</v>
      </c>
      <c r="T9035" t="s">
        <v>27255</v>
      </c>
    </row>
    <row r="9036" spans="1:20" x14ac:dyDescent="0.3">
      <c r="A9036" t="str">
        <f>"0611837423100"</f>
        <v>0611837423100</v>
      </c>
      <c r="B9036" t="str">
        <f>"LK6261"</f>
        <v>LK6261</v>
      </c>
      <c r="C9036" t="s">
        <v>44773</v>
      </c>
      <c r="D9036" t="s">
        <v>27245</v>
      </c>
      <c r="E9036" t="str">
        <f t="shared" si="141"/>
        <v>001390</v>
      </c>
      <c r="F9036" t="s">
        <v>27246</v>
      </c>
      <c r="G9036" t="s">
        <v>27247</v>
      </c>
      <c r="H9036" t="s">
        <v>27248</v>
      </c>
      <c r="I9036" t="s">
        <v>44774</v>
      </c>
      <c r="J9036" t="s">
        <v>18056</v>
      </c>
      <c r="L9036" t="s">
        <v>27250</v>
      </c>
      <c r="M9036" t="s">
        <v>27251</v>
      </c>
      <c r="N9036" t="s">
        <v>27252</v>
      </c>
      <c r="Q9036" s="1">
        <v>44538</v>
      </c>
      <c r="R9036" t="s">
        <v>27253</v>
      </c>
      <c r="S9036" t="s">
        <v>27254</v>
      </c>
      <c r="T9036" t="s">
        <v>27255</v>
      </c>
    </row>
    <row r="9037" spans="1:20" x14ac:dyDescent="0.3">
      <c r="A9037" t="str">
        <f>"0611837424100"</f>
        <v>0611837424100</v>
      </c>
      <c r="B9037" t="str">
        <f>"LK6262"</f>
        <v>LK6262</v>
      </c>
      <c r="C9037" t="s">
        <v>44775</v>
      </c>
      <c r="D9037" t="s">
        <v>27245</v>
      </c>
      <c r="E9037" t="str">
        <f t="shared" si="141"/>
        <v>001390</v>
      </c>
      <c r="F9037" t="s">
        <v>27246</v>
      </c>
      <c r="G9037" t="s">
        <v>27247</v>
      </c>
      <c r="H9037" t="s">
        <v>27248</v>
      </c>
      <c r="I9037" t="s">
        <v>44776</v>
      </c>
      <c r="J9037" t="s">
        <v>18058</v>
      </c>
      <c r="L9037" t="s">
        <v>27250</v>
      </c>
      <c r="M9037" t="s">
        <v>27251</v>
      </c>
      <c r="N9037" t="s">
        <v>27252</v>
      </c>
      <c r="Q9037" s="1">
        <v>44538</v>
      </c>
      <c r="R9037" t="s">
        <v>27253</v>
      </c>
      <c r="S9037" t="s">
        <v>27254</v>
      </c>
      <c r="T9037" t="s">
        <v>27255</v>
      </c>
    </row>
    <row r="9038" spans="1:20" x14ac:dyDescent="0.3">
      <c r="A9038" t="str">
        <f>"0611863422050"</f>
        <v>0611863422050</v>
      </c>
      <c r="B9038" t="str">
        <f>"CR3044"</f>
        <v>CR3044</v>
      </c>
      <c r="C9038" t="s">
        <v>44777</v>
      </c>
      <c r="D9038" t="s">
        <v>27263</v>
      </c>
      <c r="E9038" t="str">
        <f t="shared" si="141"/>
        <v>001390</v>
      </c>
      <c r="F9038" t="s">
        <v>27246</v>
      </c>
      <c r="G9038" t="s">
        <v>27247</v>
      </c>
      <c r="H9038" t="s">
        <v>27248</v>
      </c>
      <c r="I9038" t="s">
        <v>44778</v>
      </c>
      <c r="J9038" t="s">
        <v>18060</v>
      </c>
      <c r="L9038" t="s">
        <v>27250</v>
      </c>
      <c r="M9038" t="s">
        <v>27251</v>
      </c>
      <c r="N9038" t="s">
        <v>27252</v>
      </c>
      <c r="Q9038" s="1">
        <v>44846</v>
      </c>
      <c r="R9038" t="s">
        <v>27253</v>
      </c>
      <c r="S9038" t="s">
        <v>27254</v>
      </c>
      <c r="T9038" t="s">
        <v>27265</v>
      </c>
    </row>
    <row r="9039" spans="1:20" x14ac:dyDescent="0.3">
      <c r="A9039" t="str">
        <f>"0611863423050"</f>
        <v>0611863423050</v>
      </c>
      <c r="B9039" t="str">
        <f>"CR3045"</f>
        <v>CR3045</v>
      </c>
      <c r="C9039" t="s">
        <v>44779</v>
      </c>
      <c r="D9039" t="s">
        <v>27263</v>
      </c>
      <c r="E9039" t="str">
        <f t="shared" si="141"/>
        <v>001390</v>
      </c>
      <c r="F9039" t="s">
        <v>27246</v>
      </c>
      <c r="G9039" t="s">
        <v>27247</v>
      </c>
      <c r="H9039" t="s">
        <v>27248</v>
      </c>
      <c r="I9039" t="s">
        <v>44780</v>
      </c>
      <c r="J9039" t="s">
        <v>18062</v>
      </c>
      <c r="L9039" t="s">
        <v>27250</v>
      </c>
      <c r="M9039" t="s">
        <v>27251</v>
      </c>
      <c r="N9039" t="s">
        <v>27252</v>
      </c>
      <c r="Q9039" s="1">
        <v>44846</v>
      </c>
      <c r="R9039" t="s">
        <v>27253</v>
      </c>
      <c r="S9039" t="s">
        <v>27254</v>
      </c>
      <c r="T9039" t="s">
        <v>27265</v>
      </c>
    </row>
    <row r="9040" spans="1:20" x14ac:dyDescent="0.3">
      <c r="A9040" t="str">
        <f>"0611863424050"</f>
        <v>0611863424050</v>
      </c>
      <c r="B9040" t="str">
        <f>"CR3046"</f>
        <v>CR3046</v>
      </c>
      <c r="C9040" t="s">
        <v>44781</v>
      </c>
      <c r="D9040" t="s">
        <v>27263</v>
      </c>
      <c r="E9040" t="str">
        <f t="shared" si="141"/>
        <v>001390</v>
      </c>
      <c r="F9040" t="s">
        <v>27246</v>
      </c>
      <c r="G9040" t="s">
        <v>27247</v>
      </c>
      <c r="H9040" t="s">
        <v>27248</v>
      </c>
      <c r="I9040" t="s">
        <v>44782</v>
      </c>
      <c r="J9040" t="s">
        <v>18064</v>
      </c>
      <c r="L9040" t="s">
        <v>27250</v>
      </c>
      <c r="M9040" t="s">
        <v>27251</v>
      </c>
      <c r="N9040" t="s">
        <v>27252</v>
      </c>
      <c r="Q9040" s="1">
        <v>44846</v>
      </c>
      <c r="R9040" t="s">
        <v>27253</v>
      </c>
      <c r="S9040" t="s">
        <v>27254</v>
      </c>
      <c r="T9040" t="s">
        <v>27265</v>
      </c>
    </row>
    <row r="9041" spans="1:20" x14ac:dyDescent="0.3">
      <c r="A9041" t="str">
        <f>"0611863425050"</f>
        <v>0611863425050</v>
      </c>
      <c r="B9041" t="str">
        <f>"CR3047"</f>
        <v>CR3047</v>
      </c>
      <c r="C9041" t="s">
        <v>44783</v>
      </c>
      <c r="D9041" t="s">
        <v>27263</v>
      </c>
      <c r="E9041" t="str">
        <f t="shared" si="141"/>
        <v>001390</v>
      </c>
      <c r="F9041" t="s">
        <v>27246</v>
      </c>
      <c r="G9041" t="s">
        <v>27247</v>
      </c>
      <c r="H9041" t="s">
        <v>27248</v>
      </c>
      <c r="I9041" t="s">
        <v>44784</v>
      </c>
      <c r="J9041" t="s">
        <v>18066</v>
      </c>
      <c r="L9041" t="s">
        <v>27250</v>
      </c>
      <c r="M9041" t="s">
        <v>27251</v>
      </c>
      <c r="N9041" t="s">
        <v>27252</v>
      </c>
      <c r="Q9041" s="1">
        <v>44846</v>
      </c>
      <c r="R9041" t="s">
        <v>27253</v>
      </c>
      <c r="S9041" t="s">
        <v>27254</v>
      </c>
      <c r="T9041" t="s">
        <v>27265</v>
      </c>
    </row>
    <row r="9042" spans="1:20" x14ac:dyDescent="0.3">
      <c r="A9042" t="str">
        <f>"0611863426050"</f>
        <v>0611863426050</v>
      </c>
      <c r="B9042" t="str">
        <f>"CE1120"</f>
        <v>CE1120</v>
      </c>
      <c r="C9042" t="s">
        <v>44785</v>
      </c>
      <c r="D9042" t="s">
        <v>27923</v>
      </c>
      <c r="E9042" t="str">
        <f t="shared" si="141"/>
        <v>001390</v>
      </c>
      <c r="F9042" t="s">
        <v>27246</v>
      </c>
      <c r="G9042" t="s">
        <v>27247</v>
      </c>
      <c r="H9042" t="s">
        <v>27248</v>
      </c>
      <c r="I9042" t="s">
        <v>44786</v>
      </c>
      <c r="J9042" t="s">
        <v>18068</v>
      </c>
      <c r="L9042" t="s">
        <v>27250</v>
      </c>
      <c r="M9042" t="s">
        <v>27251</v>
      </c>
      <c r="N9042" t="s">
        <v>27252</v>
      </c>
      <c r="P9042" t="s">
        <v>27925</v>
      </c>
      <c r="Q9042" s="1">
        <v>44846</v>
      </c>
      <c r="R9042" t="s">
        <v>27253</v>
      </c>
      <c r="S9042" t="s">
        <v>27254</v>
      </c>
      <c r="T9042" t="s">
        <v>27265</v>
      </c>
    </row>
    <row r="9043" spans="1:20" x14ac:dyDescent="0.3">
      <c r="A9043" t="str">
        <f>"0611863427050"</f>
        <v>0611863427050</v>
      </c>
      <c r="B9043" t="str">
        <f>"CE1667"</f>
        <v>CE1667</v>
      </c>
      <c r="C9043" t="s">
        <v>44787</v>
      </c>
      <c r="D9043" t="s">
        <v>27923</v>
      </c>
      <c r="E9043" t="str">
        <f t="shared" si="141"/>
        <v>001390</v>
      </c>
      <c r="F9043" t="s">
        <v>27246</v>
      </c>
      <c r="G9043" t="s">
        <v>27247</v>
      </c>
      <c r="H9043" t="s">
        <v>27248</v>
      </c>
      <c r="I9043" t="s">
        <v>44788</v>
      </c>
      <c r="J9043" t="s">
        <v>18070</v>
      </c>
      <c r="L9043" t="s">
        <v>27250</v>
      </c>
      <c r="M9043" t="s">
        <v>27251</v>
      </c>
      <c r="N9043" t="s">
        <v>27252</v>
      </c>
      <c r="P9043" t="s">
        <v>27925</v>
      </c>
      <c r="Q9043" s="1">
        <v>44846</v>
      </c>
      <c r="R9043" t="s">
        <v>27253</v>
      </c>
      <c r="S9043" t="s">
        <v>27254</v>
      </c>
      <c r="T9043" t="s">
        <v>27265</v>
      </c>
    </row>
    <row r="9044" spans="1:20" x14ac:dyDescent="0.3">
      <c r="A9044" t="str">
        <f>"0611863428050"</f>
        <v>0611863428050</v>
      </c>
      <c r="B9044" t="str">
        <f>"CE1668"</f>
        <v>CE1668</v>
      </c>
      <c r="C9044" t="s">
        <v>44789</v>
      </c>
      <c r="D9044" t="s">
        <v>27923</v>
      </c>
      <c r="E9044" t="str">
        <f t="shared" si="141"/>
        <v>001390</v>
      </c>
      <c r="F9044" t="s">
        <v>27246</v>
      </c>
      <c r="G9044" t="s">
        <v>27247</v>
      </c>
      <c r="H9044" t="s">
        <v>27248</v>
      </c>
      <c r="I9044" t="s">
        <v>44790</v>
      </c>
      <c r="J9044" t="s">
        <v>18072</v>
      </c>
      <c r="L9044" t="s">
        <v>27250</v>
      </c>
      <c r="M9044" t="s">
        <v>27251</v>
      </c>
      <c r="N9044" t="s">
        <v>27252</v>
      </c>
      <c r="P9044" t="s">
        <v>27925</v>
      </c>
      <c r="Q9044" s="1">
        <v>44846</v>
      </c>
      <c r="R9044" t="s">
        <v>27253</v>
      </c>
      <c r="S9044" t="s">
        <v>27254</v>
      </c>
      <c r="T9044" t="s">
        <v>27265</v>
      </c>
    </row>
    <row r="9045" spans="1:20" x14ac:dyDescent="0.3">
      <c r="A9045" t="str">
        <f>"0611863429050"</f>
        <v>0611863429050</v>
      </c>
      <c r="B9045" t="str">
        <f>"CE1669"</f>
        <v>CE1669</v>
      </c>
      <c r="C9045" t="s">
        <v>44791</v>
      </c>
      <c r="D9045" t="s">
        <v>27923</v>
      </c>
      <c r="E9045" t="str">
        <f t="shared" si="141"/>
        <v>001390</v>
      </c>
      <c r="F9045" t="s">
        <v>27246</v>
      </c>
      <c r="G9045" t="s">
        <v>27247</v>
      </c>
      <c r="H9045" t="s">
        <v>27248</v>
      </c>
      <c r="I9045" t="s">
        <v>44792</v>
      </c>
      <c r="J9045" t="s">
        <v>18074</v>
      </c>
      <c r="L9045" t="s">
        <v>27250</v>
      </c>
      <c r="M9045" t="s">
        <v>27251</v>
      </c>
      <c r="N9045" t="s">
        <v>27252</v>
      </c>
      <c r="P9045" t="s">
        <v>27925</v>
      </c>
      <c r="Q9045" s="1">
        <v>44846</v>
      </c>
      <c r="R9045" t="s">
        <v>27253</v>
      </c>
      <c r="S9045" t="s">
        <v>27254</v>
      </c>
      <c r="T9045" t="s">
        <v>27265</v>
      </c>
    </row>
    <row r="9046" spans="1:20" x14ac:dyDescent="0.3">
      <c r="A9046" t="str">
        <f>"0611863430050"</f>
        <v>0611863430050</v>
      </c>
      <c r="B9046" t="str">
        <f>"CE1670"</f>
        <v>CE1670</v>
      </c>
      <c r="C9046" t="s">
        <v>44793</v>
      </c>
      <c r="D9046" t="s">
        <v>27923</v>
      </c>
      <c r="E9046" t="str">
        <f t="shared" si="141"/>
        <v>001390</v>
      </c>
      <c r="F9046" t="s">
        <v>27246</v>
      </c>
      <c r="G9046" t="s">
        <v>27247</v>
      </c>
      <c r="H9046" t="s">
        <v>27248</v>
      </c>
      <c r="I9046" t="s">
        <v>44794</v>
      </c>
      <c r="J9046" t="s">
        <v>18076</v>
      </c>
      <c r="L9046" t="s">
        <v>27250</v>
      </c>
      <c r="M9046" t="s">
        <v>27251</v>
      </c>
      <c r="N9046" t="s">
        <v>27252</v>
      </c>
      <c r="P9046" t="s">
        <v>27925</v>
      </c>
      <c r="Q9046" s="1">
        <v>44846</v>
      </c>
      <c r="R9046" t="s">
        <v>27253</v>
      </c>
      <c r="S9046" t="s">
        <v>27254</v>
      </c>
      <c r="T9046" t="s">
        <v>27265</v>
      </c>
    </row>
    <row r="9047" spans="1:20" x14ac:dyDescent="0.3">
      <c r="A9047" t="str">
        <f>"0611863431050"</f>
        <v>0611863431050</v>
      </c>
      <c r="B9047" t="str">
        <f>"CE0876"</f>
        <v>CE0876</v>
      </c>
      <c r="C9047" t="s">
        <v>44795</v>
      </c>
      <c r="D9047" t="s">
        <v>27923</v>
      </c>
      <c r="E9047" t="str">
        <f t="shared" si="141"/>
        <v>001390</v>
      </c>
      <c r="F9047" t="s">
        <v>27246</v>
      </c>
      <c r="G9047" t="s">
        <v>27247</v>
      </c>
      <c r="H9047" t="s">
        <v>27248</v>
      </c>
      <c r="I9047" t="s">
        <v>44796</v>
      </c>
      <c r="J9047" t="s">
        <v>18078</v>
      </c>
      <c r="L9047" t="s">
        <v>27250</v>
      </c>
      <c r="M9047" t="s">
        <v>27251</v>
      </c>
      <c r="N9047" t="s">
        <v>27252</v>
      </c>
      <c r="P9047" t="s">
        <v>27925</v>
      </c>
      <c r="Q9047" s="1">
        <v>44846</v>
      </c>
      <c r="R9047" t="s">
        <v>27253</v>
      </c>
      <c r="S9047" t="s">
        <v>27254</v>
      </c>
      <c r="T9047" t="s">
        <v>27265</v>
      </c>
    </row>
    <row r="9048" spans="1:20" x14ac:dyDescent="0.3">
      <c r="A9048" t="str">
        <f>"0611863432050"</f>
        <v>0611863432050</v>
      </c>
      <c r="B9048" t="str">
        <f>"CE1691"</f>
        <v>CE1691</v>
      </c>
      <c r="C9048" t="s">
        <v>44797</v>
      </c>
      <c r="D9048" t="s">
        <v>27923</v>
      </c>
      <c r="E9048" t="str">
        <f t="shared" si="141"/>
        <v>001390</v>
      </c>
      <c r="F9048" t="s">
        <v>27246</v>
      </c>
      <c r="G9048" t="s">
        <v>27247</v>
      </c>
      <c r="H9048" t="s">
        <v>27248</v>
      </c>
      <c r="I9048" t="s">
        <v>44798</v>
      </c>
      <c r="J9048" t="s">
        <v>18080</v>
      </c>
      <c r="L9048" t="s">
        <v>27250</v>
      </c>
      <c r="M9048" t="s">
        <v>27251</v>
      </c>
      <c r="N9048" t="s">
        <v>27252</v>
      </c>
      <c r="P9048" t="s">
        <v>27925</v>
      </c>
      <c r="Q9048" s="1">
        <v>44846</v>
      </c>
      <c r="R9048" t="s">
        <v>27253</v>
      </c>
      <c r="S9048" t="s">
        <v>27254</v>
      </c>
      <c r="T9048" t="s">
        <v>27265</v>
      </c>
    </row>
    <row r="9049" spans="1:20" x14ac:dyDescent="0.3">
      <c r="A9049" t="str">
        <f>"0611863433050"</f>
        <v>0611863433050</v>
      </c>
      <c r="B9049" t="str">
        <f>"CE1121"</f>
        <v>CE1121</v>
      </c>
      <c r="C9049" t="s">
        <v>44799</v>
      </c>
      <c r="D9049" t="s">
        <v>27923</v>
      </c>
      <c r="E9049" t="str">
        <f t="shared" si="141"/>
        <v>001390</v>
      </c>
      <c r="F9049" t="s">
        <v>27246</v>
      </c>
      <c r="G9049" t="s">
        <v>27247</v>
      </c>
      <c r="H9049" t="s">
        <v>27248</v>
      </c>
      <c r="I9049" t="s">
        <v>44800</v>
      </c>
      <c r="J9049" t="s">
        <v>18082</v>
      </c>
      <c r="L9049" t="s">
        <v>27250</v>
      </c>
      <c r="M9049" t="s">
        <v>27251</v>
      </c>
      <c r="N9049" t="s">
        <v>27252</v>
      </c>
      <c r="P9049" t="s">
        <v>27925</v>
      </c>
      <c r="Q9049" s="1">
        <v>44846</v>
      </c>
      <c r="R9049" t="s">
        <v>27253</v>
      </c>
      <c r="S9049" t="s">
        <v>27254</v>
      </c>
      <c r="T9049" t="s">
        <v>27265</v>
      </c>
    </row>
    <row r="9050" spans="1:20" x14ac:dyDescent="0.3">
      <c r="A9050" t="str">
        <f>"0611863434050"</f>
        <v>0611863434050</v>
      </c>
      <c r="B9050" t="str">
        <f>"CE0877"</f>
        <v>CE0877</v>
      </c>
      <c r="C9050" t="s">
        <v>44801</v>
      </c>
      <c r="D9050" t="s">
        <v>27923</v>
      </c>
      <c r="E9050" t="str">
        <f t="shared" si="141"/>
        <v>001390</v>
      </c>
      <c r="F9050" t="s">
        <v>27246</v>
      </c>
      <c r="G9050" t="s">
        <v>27247</v>
      </c>
      <c r="H9050" t="s">
        <v>27248</v>
      </c>
      <c r="I9050" t="s">
        <v>44802</v>
      </c>
      <c r="J9050" t="s">
        <v>18084</v>
      </c>
      <c r="L9050" t="s">
        <v>27250</v>
      </c>
      <c r="M9050" t="s">
        <v>27251</v>
      </c>
      <c r="N9050" t="s">
        <v>27252</v>
      </c>
      <c r="P9050" t="s">
        <v>27925</v>
      </c>
      <c r="Q9050" s="1">
        <v>44846</v>
      </c>
      <c r="R9050" t="s">
        <v>27253</v>
      </c>
      <c r="S9050" t="s">
        <v>27254</v>
      </c>
      <c r="T9050" t="s">
        <v>27265</v>
      </c>
    </row>
    <row r="9051" spans="1:20" x14ac:dyDescent="0.3">
      <c r="A9051" t="str">
        <f>"0611863435050"</f>
        <v>0611863435050</v>
      </c>
      <c r="B9051" t="str">
        <f>"CE1427"</f>
        <v>CE1427</v>
      </c>
      <c r="C9051" t="s">
        <v>44803</v>
      </c>
      <c r="D9051" t="s">
        <v>27923</v>
      </c>
      <c r="E9051" t="str">
        <f t="shared" si="141"/>
        <v>001390</v>
      </c>
      <c r="F9051" t="s">
        <v>27246</v>
      </c>
      <c r="G9051" t="s">
        <v>27247</v>
      </c>
      <c r="H9051" t="s">
        <v>27248</v>
      </c>
      <c r="I9051" t="s">
        <v>44804</v>
      </c>
      <c r="J9051" t="s">
        <v>18086</v>
      </c>
      <c r="L9051" t="s">
        <v>27250</v>
      </c>
      <c r="M9051" t="s">
        <v>27251</v>
      </c>
      <c r="N9051" t="s">
        <v>27252</v>
      </c>
      <c r="P9051" t="s">
        <v>27925</v>
      </c>
      <c r="Q9051" s="1">
        <v>44846</v>
      </c>
      <c r="R9051" t="s">
        <v>27253</v>
      </c>
      <c r="S9051" t="s">
        <v>27254</v>
      </c>
      <c r="T9051" t="s">
        <v>27265</v>
      </c>
    </row>
    <row r="9052" spans="1:20" x14ac:dyDescent="0.3">
      <c r="A9052" t="str">
        <f>"0611863436050"</f>
        <v>0611863436050</v>
      </c>
      <c r="B9052" t="str">
        <f>"CE1122"</f>
        <v>CE1122</v>
      </c>
      <c r="C9052" t="s">
        <v>44805</v>
      </c>
      <c r="D9052" t="s">
        <v>27923</v>
      </c>
      <c r="E9052" t="str">
        <f t="shared" si="141"/>
        <v>001390</v>
      </c>
      <c r="F9052" t="s">
        <v>27246</v>
      </c>
      <c r="G9052" t="s">
        <v>27247</v>
      </c>
      <c r="H9052" t="s">
        <v>27248</v>
      </c>
      <c r="I9052" t="s">
        <v>44806</v>
      </c>
      <c r="J9052" t="s">
        <v>18088</v>
      </c>
      <c r="L9052" t="s">
        <v>27250</v>
      </c>
      <c r="M9052" t="s">
        <v>27251</v>
      </c>
      <c r="N9052" t="s">
        <v>27252</v>
      </c>
      <c r="P9052" t="s">
        <v>27925</v>
      </c>
      <c r="Q9052" s="1">
        <v>44846</v>
      </c>
      <c r="R9052" t="s">
        <v>27253</v>
      </c>
      <c r="S9052" t="s">
        <v>27254</v>
      </c>
      <c r="T9052" t="s">
        <v>27265</v>
      </c>
    </row>
    <row r="9053" spans="1:20" x14ac:dyDescent="0.3">
      <c r="A9053" t="str">
        <f>"0611863437050"</f>
        <v>0611863437050</v>
      </c>
      <c r="B9053" t="str">
        <f>"CE0879"</f>
        <v>CE0879</v>
      </c>
      <c r="C9053" t="s">
        <v>44807</v>
      </c>
      <c r="D9053" t="s">
        <v>27923</v>
      </c>
      <c r="E9053" t="str">
        <f t="shared" si="141"/>
        <v>001390</v>
      </c>
      <c r="F9053" t="s">
        <v>27246</v>
      </c>
      <c r="G9053" t="s">
        <v>27247</v>
      </c>
      <c r="H9053" t="s">
        <v>27248</v>
      </c>
      <c r="I9053" t="s">
        <v>44808</v>
      </c>
      <c r="J9053" t="s">
        <v>18090</v>
      </c>
      <c r="L9053" t="s">
        <v>27250</v>
      </c>
      <c r="M9053" t="s">
        <v>27251</v>
      </c>
      <c r="N9053" t="s">
        <v>27252</v>
      </c>
      <c r="P9053" t="s">
        <v>27925</v>
      </c>
      <c r="Q9053" s="1">
        <v>44846</v>
      </c>
      <c r="R9053" t="s">
        <v>27253</v>
      </c>
      <c r="S9053" t="s">
        <v>27254</v>
      </c>
      <c r="T9053" t="s">
        <v>27265</v>
      </c>
    </row>
    <row r="9054" spans="1:20" x14ac:dyDescent="0.3">
      <c r="A9054" t="str">
        <f>"0611863438100"</f>
        <v>0611863438100</v>
      </c>
      <c r="B9054" t="str">
        <f>"CN2397"</f>
        <v>CN2397</v>
      </c>
      <c r="C9054" t="s">
        <v>44809</v>
      </c>
      <c r="D9054" t="s">
        <v>27245</v>
      </c>
      <c r="E9054" t="str">
        <f t="shared" si="141"/>
        <v>001390</v>
      </c>
      <c r="F9054" t="s">
        <v>27246</v>
      </c>
      <c r="G9054" t="s">
        <v>27247</v>
      </c>
      <c r="H9054" t="s">
        <v>27248</v>
      </c>
      <c r="I9054" t="s">
        <v>44810</v>
      </c>
      <c r="J9054" t="s">
        <v>18124</v>
      </c>
      <c r="L9054" t="s">
        <v>27250</v>
      </c>
      <c r="M9054" t="s">
        <v>27251</v>
      </c>
      <c r="N9054" t="s">
        <v>27252</v>
      </c>
      <c r="Q9054" s="1">
        <v>44846</v>
      </c>
      <c r="R9054" t="s">
        <v>27253</v>
      </c>
      <c r="S9054" t="s">
        <v>27254</v>
      </c>
      <c r="T9054" t="s">
        <v>27255</v>
      </c>
    </row>
    <row r="9055" spans="1:20" x14ac:dyDescent="0.3">
      <c r="A9055" t="str">
        <f>"0611863439100"</f>
        <v>0611863439100</v>
      </c>
      <c r="B9055" t="str">
        <f>"CN2331"</f>
        <v>CN2331</v>
      </c>
      <c r="C9055" t="s">
        <v>44811</v>
      </c>
      <c r="D9055" t="s">
        <v>27245</v>
      </c>
      <c r="E9055" t="str">
        <f t="shared" si="141"/>
        <v>001390</v>
      </c>
      <c r="F9055" t="s">
        <v>27246</v>
      </c>
      <c r="G9055" t="s">
        <v>27247</v>
      </c>
      <c r="H9055" t="s">
        <v>27248</v>
      </c>
      <c r="I9055" t="s">
        <v>44812</v>
      </c>
      <c r="J9055" t="s">
        <v>18126</v>
      </c>
      <c r="L9055" t="s">
        <v>27250</v>
      </c>
      <c r="M9055" t="s">
        <v>27251</v>
      </c>
      <c r="N9055" t="s">
        <v>27252</v>
      </c>
      <c r="Q9055" s="1">
        <v>44846</v>
      </c>
      <c r="R9055" t="s">
        <v>27253</v>
      </c>
      <c r="S9055" t="s">
        <v>27254</v>
      </c>
      <c r="T9055" t="s">
        <v>27255</v>
      </c>
    </row>
    <row r="9056" spans="1:20" x14ac:dyDescent="0.3">
      <c r="A9056" t="str">
        <f>"0611863440100"</f>
        <v>0611863440100</v>
      </c>
      <c r="B9056" t="str">
        <f>"CN2237"</f>
        <v>CN2237</v>
      </c>
      <c r="C9056" t="s">
        <v>44813</v>
      </c>
      <c r="D9056" t="s">
        <v>27335</v>
      </c>
      <c r="E9056" t="str">
        <f t="shared" si="141"/>
        <v>001390</v>
      </c>
      <c r="F9056" t="s">
        <v>27246</v>
      </c>
      <c r="G9056" t="s">
        <v>27247</v>
      </c>
      <c r="H9056" t="s">
        <v>27248</v>
      </c>
      <c r="I9056" t="s">
        <v>44814</v>
      </c>
      <c r="J9056" t="s">
        <v>18128</v>
      </c>
      <c r="L9056" t="s">
        <v>27250</v>
      </c>
      <c r="M9056" t="s">
        <v>27251</v>
      </c>
      <c r="N9056" t="s">
        <v>27252</v>
      </c>
      <c r="Q9056" s="1">
        <v>44846</v>
      </c>
      <c r="R9056" t="s">
        <v>27253</v>
      </c>
      <c r="S9056" t="s">
        <v>27254</v>
      </c>
      <c r="T9056" t="s">
        <v>27255</v>
      </c>
    </row>
    <row r="9057" spans="1:20" x14ac:dyDescent="0.3">
      <c r="A9057" t="str">
        <f>"0611863441100"</f>
        <v>0611863441100</v>
      </c>
      <c r="B9057" t="str">
        <f>"CN2238"</f>
        <v>CN2238</v>
      </c>
      <c r="C9057" t="s">
        <v>44815</v>
      </c>
      <c r="D9057" t="s">
        <v>27335</v>
      </c>
      <c r="E9057" t="str">
        <f t="shared" si="141"/>
        <v>001390</v>
      </c>
      <c r="F9057" t="s">
        <v>27246</v>
      </c>
      <c r="G9057" t="s">
        <v>27247</v>
      </c>
      <c r="H9057" t="s">
        <v>27248</v>
      </c>
      <c r="I9057" t="s">
        <v>44816</v>
      </c>
      <c r="J9057" t="s">
        <v>18132</v>
      </c>
      <c r="L9057" t="s">
        <v>27250</v>
      </c>
      <c r="M9057" t="s">
        <v>27251</v>
      </c>
      <c r="N9057" t="s">
        <v>27252</v>
      </c>
      <c r="Q9057" s="1">
        <v>44846</v>
      </c>
      <c r="R9057" t="s">
        <v>27253</v>
      </c>
      <c r="S9057" t="s">
        <v>27254</v>
      </c>
      <c r="T9057" t="s">
        <v>27255</v>
      </c>
    </row>
    <row r="9058" spans="1:20" x14ac:dyDescent="0.3">
      <c r="A9058" t="str">
        <f>"0611884347100"</f>
        <v>0611884347100</v>
      </c>
      <c r="B9058" t="str">
        <f>"LF9107"</f>
        <v>LF9107</v>
      </c>
      <c r="C9058" t="s">
        <v>44817</v>
      </c>
      <c r="D9058" t="s">
        <v>27245</v>
      </c>
      <c r="E9058" t="str">
        <f t="shared" si="141"/>
        <v>001390</v>
      </c>
      <c r="F9058" t="s">
        <v>27246</v>
      </c>
      <c r="G9058" t="s">
        <v>27247</v>
      </c>
      <c r="H9058" t="s">
        <v>27248</v>
      </c>
      <c r="I9058" t="s">
        <v>44818</v>
      </c>
      <c r="J9058" t="s">
        <v>18134</v>
      </c>
      <c r="L9058" t="s">
        <v>27430</v>
      </c>
      <c r="M9058" t="s">
        <v>27251</v>
      </c>
      <c r="N9058" t="s">
        <v>27252</v>
      </c>
      <c r="Q9058" s="1">
        <v>45250</v>
      </c>
      <c r="R9058" t="s">
        <v>27253</v>
      </c>
      <c r="S9058" t="s">
        <v>27254</v>
      </c>
      <c r="T9058" t="s">
        <v>27255</v>
      </c>
    </row>
    <row r="9059" spans="1:20" x14ac:dyDescent="0.3">
      <c r="A9059" t="str">
        <f>"0611884348100"</f>
        <v>0611884348100</v>
      </c>
      <c r="B9059" t="str">
        <f>"LF0050"</f>
        <v>LF0050</v>
      </c>
      <c r="C9059" t="s">
        <v>44819</v>
      </c>
      <c r="D9059" t="s">
        <v>27245</v>
      </c>
      <c r="E9059" t="str">
        <f t="shared" si="141"/>
        <v>001390</v>
      </c>
      <c r="F9059" t="s">
        <v>27246</v>
      </c>
      <c r="G9059" t="s">
        <v>27247</v>
      </c>
      <c r="H9059" t="s">
        <v>27248</v>
      </c>
      <c r="I9059" t="s">
        <v>44820</v>
      </c>
      <c r="J9059" t="s">
        <v>18136</v>
      </c>
      <c r="L9059" t="s">
        <v>27430</v>
      </c>
      <c r="M9059" t="s">
        <v>27251</v>
      </c>
      <c r="N9059" t="s">
        <v>27252</v>
      </c>
      <c r="Q9059" s="1">
        <v>45250</v>
      </c>
      <c r="R9059" t="s">
        <v>27253</v>
      </c>
      <c r="S9059" t="s">
        <v>27254</v>
      </c>
      <c r="T9059" t="s">
        <v>27255</v>
      </c>
    </row>
    <row r="9060" spans="1:20" x14ac:dyDescent="0.3">
      <c r="A9060" t="str">
        <f>"0611863442100"</f>
        <v>0611863442100</v>
      </c>
      <c r="B9060" t="str">
        <f>"CN2329"</f>
        <v>CN2329</v>
      </c>
      <c r="C9060" t="s">
        <v>44821</v>
      </c>
      <c r="D9060" t="s">
        <v>27245</v>
      </c>
      <c r="E9060" t="str">
        <f t="shared" si="141"/>
        <v>001390</v>
      </c>
      <c r="F9060" t="s">
        <v>27246</v>
      </c>
      <c r="G9060" t="s">
        <v>27247</v>
      </c>
      <c r="H9060" t="s">
        <v>27248</v>
      </c>
      <c r="I9060" t="s">
        <v>44822</v>
      </c>
      <c r="J9060" t="s">
        <v>18138</v>
      </c>
      <c r="L9060" t="s">
        <v>27250</v>
      </c>
      <c r="M9060" t="s">
        <v>27251</v>
      </c>
      <c r="N9060" t="s">
        <v>27252</v>
      </c>
      <c r="Q9060" s="1">
        <v>44846</v>
      </c>
      <c r="R9060" t="s">
        <v>27253</v>
      </c>
      <c r="S9060" t="s">
        <v>27254</v>
      </c>
      <c r="T9060" t="s">
        <v>27255</v>
      </c>
    </row>
    <row r="9061" spans="1:20" x14ac:dyDescent="0.3">
      <c r="A9061" t="str">
        <f>"0611863443100"</f>
        <v>0611863443100</v>
      </c>
      <c r="B9061" t="str">
        <f>"CN2399"</f>
        <v>CN2399</v>
      </c>
      <c r="C9061" t="s">
        <v>44823</v>
      </c>
      <c r="D9061" t="s">
        <v>27335</v>
      </c>
      <c r="E9061" t="str">
        <f t="shared" si="141"/>
        <v>001390</v>
      </c>
      <c r="F9061" t="s">
        <v>27246</v>
      </c>
      <c r="G9061" t="s">
        <v>27247</v>
      </c>
      <c r="H9061" t="s">
        <v>27248</v>
      </c>
      <c r="I9061" t="s">
        <v>44824</v>
      </c>
      <c r="J9061" t="s">
        <v>18140</v>
      </c>
      <c r="L9061" t="s">
        <v>27250</v>
      </c>
      <c r="M9061" t="s">
        <v>27251</v>
      </c>
      <c r="N9061" t="s">
        <v>27252</v>
      </c>
      <c r="Q9061" s="1">
        <v>44846</v>
      </c>
      <c r="R9061" t="s">
        <v>27253</v>
      </c>
      <c r="S9061" t="s">
        <v>27254</v>
      </c>
      <c r="T9061" t="s">
        <v>27255</v>
      </c>
    </row>
    <row r="9062" spans="1:20" x14ac:dyDescent="0.3">
      <c r="A9062" t="str">
        <f>"0611837428100"</f>
        <v>0611837428100</v>
      </c>
      <c r="B9062" t="str">
        <f>"LF5575"</f>
        <v>LF5575</v>
      </c>
      <c r="C9062" t="s">
        <v>44825</v>
      </c>
      <c r="D9062" t="s">
        <v>27245</v>
      </c>
      <c r="E9062" t="str">
        <f t="shared" si="141"/>
        <v>001390</v>
      </c>
      <c r="F9062" t="s">
        <v>27246</v>
      </c>
      <c r="G9062" t="s">
        <v>27247</v>
      </c>
      <c r="H9062" t="s">
        <v>27248</v>
      </c>
      <c r="I9062" t="s">
        <v>44826</v>
      </c>
      <c r="J9062" t="s">
        <v>18130</v>
      </c>
      <c r="L9062" t="s">
        <v>27250</v>
      </c>
      <c r="M9062" t="s">
        <v>27251</v>
      </c>
      <c r="N9062" t="s">
        <v>27252</v>
      </c>
      <c r="Q9062" s="1">
        <v>44538</v>
      </c>
      <c r="R9062" t="s">
        <v>27253</v>
      </c>
      <c r="S9062" t="s">
        <v>27254</v>
      </c>
      <c r="T9062" t="s">
        <v>27255</v>
      </c>
    </row>
    <row r="9063" spans="1:20" x14ac:dyDescent="0.3">
      <c r="A9063" t="str">
        <f>"0611837429100"</f>
        <v>0611837429100</v>
      </c>
      <c r="B9063" t="str">
        <f>"LF0036"</f>
        <v>LF0036</v>
      </c>
      <c r="C9063" t="s">
        <v>44827</v>
      </c>
      <c r="D9063" t="s">
        <v>27245</v>
      </c>
      <c r="E9063" t="str">
        <f t="shared" si="141"/>
        <v>001390</v>
      </c>
      <c r="F9063" t="s">
        <v>27246</v>
      </c>
      <c r="G9063" t="s">
        <v>27247</v>
      </c>
      <c r="H9063" t="s">
        <v>27248</v>
      </c>
      <c r="I9063" t="s">
        <v>44828</v>
      </c>
      <c r="J9063" t="s">
        <v>18148</v>
      </c>
      <c r="L9063" t="s">
        <v>27250</v>
      </c>
      <c r="M9063" t="s">
        <v>27251</v>
      </c>
      <c r="N9063" t="s">
        <v>27252</v>
      </c>
      <c r="Q9063" s="1">
        <v>44538</v>
      </c>
      <c r="R9063" t="s">
        <v>27253</v>
      </c>
      <c r="S9063" t="s">
        <v>27254</v>
      </c>
      <c r="T9063" t="s">
        <v>27255</v>
      </c>
    </row>
    <row r="9064" spans="1:20" x14ac:dyDescent="0.3">
      <c r="A9064" t="str">
        <f>"0611884349100"</f>
        <v>0611884349100</v>
      </c>
      <c r="B9064" t="str">
        <f>"LF0051"</f>
        <v>LF0051</v>
      </c>
      <c r="C9064" t="s">
        <v>44829</v>
      </c>
      <c r="D9064" t="s">
        <v>27245</v>
      </c>
      <c r="E9064" t="str">
        <f t="shared" si="141"/>
        <v>001390</v>
      </c>
      <c r="F9064" t="s">
        <v>27246</v>
      </c>
      <c r="G9064" t="s">
        <v>27247</v>
      </c>
      <c r="H9064" t="s">
        <v>27248</v>
      </c>
      <c r="I9064" t="s">
        <v>44830</v>
      </c>
      <c r="J9064" t="s">
        <v>18142</v>
      </c>
      <c r="L9064" t="s">
        <v>27430</v>
      </c>
      <c r="M9064" t="s">
        <v>27251</v>
      </c>
      <c r="N9064" t="s">
        <v>27252</v>
      </c>
      <c r="Q9064" s="1">
        <v>45250</v>
      </c>
      <c r="R9064" t="s">
        <v>27253</v>
      </c>
      <c r="S9064" t="s">
        <v>27254</v>
      </c>
      <c r="T9064" t="s">
        <v>27255</v>
      </c>
    </row>
    <row r="9065" spans="1:20" x14ac:dyDescent="0.3">
      <c r="A9065" t="str">
        <f>"0611884350100"</f>
        <v>0611884350100</v>
      </c>
      <c r="B9065" t="str">
        <f>"LF9109"</f>
        <v>LF9109</v>
      </c>
      <c r="C9065" t="s">
        <v>44831</v>
      </c>
      <c r="D9065" t="s">
        <v>27245</v>
      </c>
      <c r="E9065" t="str">
        <f t="shared" si="141"/>
        <v>001390</v>
      </c>
      <c r="F9065" t="s">
        <v>27246</v>
      </c>
      <c r="G9065" t="s">
        <v>27247</v>
      </c>
      <c r="H9065" t="s">
        <v>27248</v>
      </c>
      <c r="I9065" t="s">
        <v>44832</v>
      </c>
      <c r="J9065" t="s">
        <v>18144</v>
      </c>
      <c r="L9065" t="s">
        <v>27430</v>
      </c>
      <c r="M9065" t="s">
        <v>27251</v>
      </c>
      <c r="N9065" t="s">
        <v>27252</v>
      </c>
      <c r="Q9065" s="1">
        <v>45250</v>
      </c>
      <c r="R9065" t="s">
        <v>27253</v>
      </c>
      <c r="S9065" t="s">
        <v>27254</v>
      </c>
      <c r="T9065" t="s">
        <v>27255</v>
      </c>
    </row>
    <row r="9066" spans="1:20" x14ac:dyDescent="0.3">
      <c r="A9066" t="str">
        <f>"0611884351100"</f>
        <v>0611884351100</v>
      </c>
      <c r="B9066" t="str">
        <f>"LF9111"</f>
        <v>LF9111</v>
      </c>
      <c r="C9066" t="s">
        <v>44833</v>
      </c>
      <c r="D9066" t="s">
        <v>27245</v>
      </c>
      <c r="E9066" t="str">
        <f t="shared" si="141"/>
        <v>001390</v>
      </c>
      <c r="F9066" t="s">
        <v>27246</v>
      </c>
      <c r="G9066" t="s">
        <v>27247</v>
      </c>
      <c r="H9066" t="s">
        <v>27248</v>
      </c>
      <c r="I9066" t="s">
        <v>44834</v>
      </c>
      <c r="J9066" t="s">
        <v>18146</v>
      </c>
      <c r="L9066" t="s">
        <v>27430</v>
      </c>
      <c r="M9066" t="s">
        <v>27251</v>
      </c>
      <c r="N9066" t="s">
        <v>27252</v>
      </c>
      <c r="Q9066" s="1">
        <v>45250</v>
      </c>
      <c r="R9066" t="s">
        <v>27253</v>
      </c>
      <c r="S9066" t="s">
        <v>27254</v>
      </c>
      <c r="T9066" t="s">
        <v>27255</v>
      </c>
    </row>
    <row r="9067" spans="1:20" x14ac:dyDescent="0.3">
      <c r="A9067" t="str">
        <f>"0611884352100"</f>
        <v>0611884352100</v>
      </c>
      <c r="B9067" t="str">
        <f>"LF9108"</f>
        <v>LF9108</v>
      </c>
      <c r="C9067" t="s">
        <v>44835</v>
      </c>
      <c r="D9067" t="s">
        <v>27245</v>
      </c>
      <c r="E9067" t="str">
        <f t="shared" si="141"/>
        <v>001390</v>
      </c>
      <c r="F9067" t="s">
        <v>27246</v>
      </c>
      <c r="G9067" t="s">
        <v>27247</v>
      </c>
      <c r="H9067" t="s">
        <v>27248</v>
      </c>
      <c r="I9067" t="s">
        <v>44836</v>
      </c>
      <c r="J9067" t="s">
        <v>18150</v>
      </c>
      <c r="L9067" t="s">
        <v>27430</v>
      </c>
      <c r="M9067" t="s">
        <v>27251</v>
      </c>
      <c r="N9067" t="s">
        <v>27252</v>
      </c>
      <c r="Q9067" s="1">
        <v>45250</v>
      </c>
      <c r="R9067" t="s">
        <v>27253</v>
      </c>
      <c r="S9067" t="s">
        <v>27254</v>
      </c>
      <c r="T9067" t="s">
        <v>27255</v>
      </c>
    </row>
    <row r="9068" spans="1:20" x14ac:dyDescent="0.3">
      <c r="A9068" t="str">
        <f>"0611837430100"</f>
        <v>0611837430100</v>
      </c>
      <c r="B9068" t="str">
        <f>"LF0037"</f>
        <v>LF0037</v>
      </c>
      <c r="C9068" t="s">
        <v>44837</v>
      </c>
      <c r="D9068" t="s">
        <v>27245</v>
      </c>
      <c r="E9068" t="str">
        <f t="shared" si="141"/>
        <v>001390</v>
      </c>
      <c r="F9068" t="s">
        <v>27246</v>
      </c>
      <c r="G9068" t="s">
        <v>27247</v>
      </c>
      <c r="H9068" t="s">
        <v>27248</v>
      </c>
      <c r="I9068" t="s">
        <v>44838</v>
      </c>
      <c r="J9068" t="s">
        <v>18152</v>
      </c>
      <c r="L9068" t="s">
        <v>27250</v>
      </c>
      <c r="M9068" t="s">
        <v>27251</v>
      </c>
      <c r="N9068" t="s">
        <v>27252</v>
      </c>
      <c r="Q9068" s="1">
        <v>44538</v>
      </c>
      <c r="R9068" t="s">
        <v>27253</v>
      </c>
      <c r="S9068" t="s">
        <v>27254</v>
      </c>
      <c r="T9068" t="s">
        <v>27255</v>
      </c>
    </row>
    <row r="9069" spans="1:20" x14ac:dyDescent="0.3">
      <c r="A9069" t="str">
        <f>"0611884353100"</f>
        <v>0611884353100</v>
      </c>
      <c r="B9069" t="str">
        <f>"LF9110"</f>
        <v>LF9110</v>
      </c>
      <c r="C9069" t="s">
        <v>44839</v>
      </c>
      <c r="D9069" t="s">
        <v>27245</v>
      </c>
      <c r="E9069" t="str">
        <f t="shared" si="141"/>
        <v>001390</v>
      </c>
      <c r="F9069" t="s">
        <v>27246</v>
      </c>
      <c r="G9069" t="s">
        <v>27247</v>
      </c>
      <c r="H9069" t="s">
        <v>27248</v>
      </c>
      <c r="I9069" t="s">
        <v>44840</v>
      </c>
      <c r="J9069" t="s">
        <v>18154</v>
      </c>
      <c r="L9069" t="s">
        <v>27430</v>
      </c>
      <c r="M9069" t="s">
        <v>27251</v>
      </c>
      <c r="N9069" t="s">
        <v>27252</v>
      </c>
      <c r="Q9069" s="1">
        <v>45250</v>
      </c>
      <c r="R9069" t="s">
        <v>27253</v>
      </c>
      <c r="S9069" t="s">
        <v>27254</v>
      </c>
      <c r="T9069" t="s">
        <v>27255</v>
      </c>
    </row>
    <row r="9070" spans="1:20" x14ac:dyDescent="0.3">
      <c r="A9070" t="str">
        <f>"0611832321100"</f>
        <v>0611832321100</v>
      </c>
      <c r="B9070" t="str">
        <f>"LL3048"</f>
        <v>LL3048</v>
      </c>
      <c r="C9070" t="s">
        <v>44841</v>
      </c>
      <c r="D9070" t="s">
        <v>27245</v>
      </c>
      <c r="E9070" t="str">
        <f t="shared" si="141"/>
        <v>001390</v>
      </c>
      <c r="F9070" t="s">
        <v>27246</v>
      </c>
      <c r="G9070" t="s">
        <v>27247</v>
      </c>
      <c r="H9070" t="s">
        <v>27248</v>
      </c>
      <c r="I9070" t="s">
        <v>44842</v>
      </c>
      <c r="J9070" t="s">
        <v>18156</v>
      </c>
      <c r="L9070" t="s">
        <v>27250</v>
      </c>
      <c r="M9070" t="s">
        <v>27251</v>
      </c>
      <c r="N9070" t="s">
        <v>27252</v>
      </c>
      <c r="Q9070" s="1">
        <v>44538</v>
      </c>
      <c r="R9070" t="s">
        <v>27253</v>
      </c>
      <c r="S9070" t="s">
        <v>27254</v>
      </c>
      <c r="T9070" t="s">
        <v>27255</v>
      </c>
    </row>
    <row r="9071" spans="1:20" x14ac:dyDescent="0.3">
      <c r="A9071" t="str">
        <f>"0611832322100"</f>
        <v>0611832322100</v>
      </c>
      <c r="B9071" t="str">
        <f>"LL5016"</f>
        <v>LL5016</v>
      </c>
      <c r="C9071" t="s">
        <v>44843</v>
      </c>
      <c r="D9071" t="s">
        <v>27245</v>
      </c>
      <c r="E9071" t="str">
        <f t="shared" si="141"/>
        <v>001390</v>
      </c>
      <c r="F9071" t="s">
        <v>27246</v>
      </c>
      <c r="G9071" t="s">
        <v>27247</v>
      </c>
      <c r="H9071" t="s">
        <v>27248</v>
      </c>
      <c r="I9071" t="s">
        <v>44844</v>
      </c>
      <c r="J9071" t="s">
        <v>18158</v>
      </c>
      <c r="L9071" t="s">
        <v>27250</v>
      </c>
      <c r="M9071" t="s">
        <v>27251</v>
      </c>
      <c r="N9071" t="s">
        <v>27252</v>
      </c>
      <c r="Q9071" s="1">
        <v>44538</v>
      </c>
      <c r="R9071" t="s">
        <v>27253</v>
      </c>
      <c r="S9071" t="s">
        <v>27254</v>
      </c>
      <c r="T9071" t="s">
        <v>27255</v>
      </c>
    </row>
    <row r="9072" spans="1:20" x14ac:dyDescent="0.3">
      <c r="A9072" t="str">
        <f>"0611832323100"</f>
        <v>0611832323100</v>
      </c>
      <c r="B9072" t="str">
        <f>"LL3101"</f>
        <v>LL3101</v>
      </c>
      <c r="C9072" t="s">
        <v>44845</v>
      </c>
      <c r="D9072" t="s">
        <v>27245</v>
      </c>
      <c r="E9072" t="str">
        <f t="shared" si="141"/>
        <v>001390</v>
      </c>
      <c r="F9072" t="s">
        <v>27246</v>
      </c>
      <c r="G9072" t="s">
        <v>27247</v>
      </c>
      <c r="H9072" t="s">
        <v>27248</v>
      </c>
      <c r="I9072" t="s">
        <v>44846</v>
      </c>
      <c r="J9072" t="s">
        <v>18160</v>
      </c>
      <c r="L9072" t="s">
        <v>27250</v>
      </c>
      <c r="M9072" t="s">
        <v>27251</v>
      </c>
      <c r="N9072" t="s">
        <v>27252</v>
      </c>
      <c r="Q9072" s="1">
        <v>44538</v>
      </c>
      <c r="R9072" t="s">
        <v>27253</v>
      </c>
      <c r="S9072" t="s">
        <v>27254</v>
      </c>
      <c r="T9072" t="s">
        <v>27255</v>
      </c>
    </row>
    <row r="9073" spans="1:20" x14ac:dyDescent="0.3">
      <c r="A9073" t="str">
        <f>"0611837431100"</f>
        <v>0611837431100</v>
      </c>
      <c r="B9073" t="str">
        <f>"LL0173"</f>
        <v>LL0173</v>
      </c>
      <c r="C9073" t="s">
        <v>44847</v>
      </c>
      <c r="D9073" t="s">
        <v>27245</v>
      </c>
      <c r="E9073" t="str">
        <f t="shared" si="141"/>
        <v>001390</v>
      </c>
      <c r="F9073" t="s">
        <v>27246</v>
      </c>
      <c r="G9073" t="s">
        <v>27247</v>
      </c>
      <c r="H9073" t="s">
        <v>27248</v>
      </c>
      <c r="I9073" t="s">
        <v>44848</v>
      </c>
      <c r="J9073" t="s">
        <v>18162</v>
      </c>
      <c r="L9073" t="s">
        <v>27250</v>
      </c>
      <c r="M9073" t="s">
        <v>27251</v>
      </c>
      <c r="N9073" t="s">
        <v>27252</v>
      </c>
      <c r="Q9073" s="1">
        <v>44538</v>
      </c>
      <c r="R9073" t="s">
        <v>27253</v>
      </c>
      <c r="S9073" t="s">
        <v>27254</v>
      </c>
      <c r="T9073" t="s">
        <v>27255</v>
      </c>
    </row>
    <row r="9074" spans="1:20" x14ac:dyDescent="0.3">
      <c r="A9074" t="str">
        <f>"0611832324100"</f>
        <v>0611832324100</v>
      </c>
      <c r="B9074" t="str">
        <f>"LL8337"</f>
        <v>LL8337</v>
      </c>
      <c r="C9074" t="s">
        <v>44849</v>
      </c>
      <c r="D9074" t="s">
        <v>27245</v>
      </c>
      <c r="E9074" t="str">
        <f t="shared" si="141"/>
        <v>001390</v>
      </c>
      <c r="F9074" t="s">
        <v>27246</v>
      </c>
      <c r="G9074" t="s">
        <v>27247</v>
      </c>
      <c r="H9074" t="s">
        <v>27248</v>
      </c>
      <c r="I9074" t="s">
        <v>44850</v>
      </c>
      <c r="J9074" t="s">
        <v>18164</v>
      </c>
      <c r="L9074" t="s">
        <v>27250</v>
      </c>
      <c r="M9074" t="s">
        <v>27251</v>
      </c>
      <c r="N9074" t="s">
        <v>27252</v>
      </c>
      <c r="Q9074" s="1">
        <v>44538</v>
      </c>
      <c r="R9074" t="s">
        <v>27253</v>
      </c>
      <c r="S9074" t="s">
        <v>27254</v>
      </c>
      <c r="T9074" t="s">
        <v>27255</v>
      </c>
    </row>
    <row r="9075" spans="1:20" x14ac:dyDescent="0.3">
      <c r="A9075" t="str">
        <f>"0611832325100"</f>
        <v>0611832325100</v>
      </c>
      <c r="B9075" t="str">
        <f>"LL3129"</f>
        <v>LL3129</v>
      </c>
      <c r="C9075" t="s">
        <v>44851</v>
      </c>
      <c r="D9075" t="s">
        <v>27245</v>
      </c>
      <c r="E9075" t="str">
        <f t="shared" si="141"/>
        <v>001390</v>
      </c>
      <c r="F9075" t="s">
        <v>27246</v>
      </c>
      <c r="G9075" t="s">
        <v>27247</v>
      </c>
      <c r="H9075" t="s">
        <v>27248</v>
      </c>
      <c r="I9075" t="s">
        <v>44852</v>
      </c>
      <c r="J9075" t="s">
        <v>18166</v>
      </c>
      <c r="L9075" t="s">
        <v>27250</v>
      </c>
      <c r="M9075" t="s">
        <v>27251</v>
      </c>
      <c r="N9075" t="s">
        <v>27252</v>
      </c>
      <c r="Q9075" s="1">
        <v>44538</v>
      </c>
      <c r="R9075" t="s">
        <v>27253</v>
      </c>
      <c r="S9075" t="s">
        <v>27254</v>
      </c>
      <c r="T9075" t="s">
        <v>27255</v>
      </c>
    </row>
    <row r="9076" spans="1:20" x14ac:dyDescent="0.3">
      <c r="A9076" t="str">
        <f>"0611832326100"</f>
        <v>0611832326100</v>
      </c>
      <c r="B9076" t="str">
        <f>"LL0042"</f>
        <v>LL0042</v>
      </c>
      <c r="C9076" t="s">
        <v>44853</v>
      </c>
      <c r="D9076" t="s">
        <v>27245</v>
      </c>
      <c r="E9076" t="str">
        <f t="shared" si="141"/>
        <v>001390</v>
      </c>
      <c r="F9076" t="s">
        <v>27246</v>
      </c>
      <c r="G9076" t="s">
        <v>27247</v>
      </c>
      <c r="H9076" t="s">
        <v>27248</v>
      </c>
      <c r="I9076" t="s">
        <v>44854</v>
      </c>
      <c r="J9076" t="s">
        <v>18168</v>
      </c>
      <c r="L9076" t="s">
        <v>27250</v>
      </c>
      <c r="M9076" t="s">
        <v>27251</v>
      </c>
      <c r="N9076" t="s">
        <v>27252</v>
      </c>
      <c r="Q9076" s="1">
        <v>44538</v>
      </c>
      <c r="R9076" t="s">
        <v>27253</v>
      </c>
      <c r="S9076" t="s">
        <v>27254</v>
      </c>
      <c r="T9076" t="s">
        <v>27255</v>
      </c>
    </row>
    <row r="9077" spans="1:20" x14ac:dyDescent="0.3">
      <c r="A9077" t="str">
        <f>"0611832327100"</f>
        <v>0611832327100</v>
      </c>
      <c r="B9077" t="str">
        <f>"LL3050"</f>
        <v>LL3050</v>
      </c>
      <c r="C9077" t="s">
        <v>44855</v>
      </c>
      <c r="D9077" t="s">
        <v>27245</v>
      </c>
      <c r="E9077" t="str">
        <f t="shared" si="141"/>
        <v>001390</v>
      </c>
      <c r="F9077" t="s">
        <v>27246</v>
      </c>
      <c r="G9077" t="s">
        <v>27247</v>
      </c>
      <c r="H9077" t="s">
        <v>27248</v>
      </c>
      <c r="I9077" t="s">
        <v>44856</v>
      </c>
      <c r="J9077" t="s">
        <v>18170</v>
      </c>
      <c r="L9077" t="s">
        <v>27250</v>
      </c>
      <c r="M9077" t="s">
        <v>27251</v>
      </c>
      <c r="N9077" t="s">
        <v>27252</v>
      </c>
      <c r="Q9077" s="1">
        <v>44538</v>
      </c>
      <c r="R9077" t="s">
        <v>27253</v>
      </c>
      <c r="S9077" t="s">
        <v>27254</v>
      </c>
      <c r="T9077" t="s">
        <v>27255</v>
      </c>
    </row>
    <row r="9078" spans="1:20" x14ac:dyDescent="0.3">
      <c r="A9078" t="str">
        <f>"0611832328200"</f>
        <v>0611832328200</v>
      </c>
      <c r="B9078" t="str">
        <f>"KY3050"</f>
        <v>KY3050</v>
      </c>
      <c r="C9078" t="s">
        <v>44855</v>
      </c>
      <c r="D9078" t="s">
        <v>27682</v>
      </c>
      <c r="E9078" t="str">
        <f t="shared" si="141"/>
        <v>001390</v>
      </c>
      <c r="F9078" t="s">
        <v>27246</v>
      </c>
      <c r="G9078" t="s">
        <v>27247</v>
      </c>
      <c r="H9078" t="s">
        <v>27248</v>
      </c>
      <c r="I9078" t="s">
        <v>44857</v>
      </c>
      <c r="J9078" t="s">
        <v>18172</v>
      </c>
      <c r="L9078" t="s">
        <v>27250</v>
      </c>
      <c r="M9078" t="s">
        <v>27251</v>
      </c>
      <c r="N9078" t="s">
        <v>27252</v>
      </c>
      <c r="Q9078" s="1">
        <v>44538</v>
      </c>
      <c r="R9078" t="s">
        <v>27253</v>
      </c>
      <c r="S9078" t="s">
        <v>27254</v>
      </c>
      <c r="T9078" t="s">
        <v>27684</v>
      </c>
    </row>
    <row r="9079" spans="1:20" x14ac:dyDescent="0.3">
      <c r="A9079" t="str">
        <f>"0611837432100"</f>
        <v>0611837432100</v>
      </c>
      <c r="B9079" t="str">
        <f>"LL3102"</f>
        <v>LL3102</v>
      </c>
      <c r="C9079" t="s">
        <v>44858</v>
      </c>
      <c r="D9079" t="s">
        <v>27245</v>
      </c>
      <c r="E9079" t="str">
        <f t="shared" si="141"/>
        <v>001390</v>
      </c>
      <c r="F9079" t="s">
        <v>27246</v>
      </c>
      <c r="G9079" t="s">
        <v>27247</v>
      </c>
      <c r="H9079" t="s">
        <v>27248</v>
      </c>
      <c r="I9079" t="s">
        <v>44859</v>
      </c>
      <c r="J9079" t="s">
        <v>18174</v>
      </c>
      <c r="L9079" t="s">
        <v>27250</v>
      </c>
      <c r="M9079" t="s">
        <v>27251</v>
      </c>
      <c r="N9079" t="s">
        <v>27252</v>
      </c>
      <c r="Q9079" s="1">
        <v>44538</v>
      </c>
      <c r="R9079" t="s">
        <v>27253</v>
      </c>
      <c r="S9079" t="s">
        <v>27254</v>
      </c>
      <c r="T9079" t="s">
        <v>27255</v>
      </c>
    </row>
    <row r="9080" spans="1:20" x14ac:dyDescent="0.3">
      <c r="A9080" t="str">
        <f>"0611832329100"</f>
        <v>0611832329100</v>
      </c>
      <c r="B9080" t="str">
        <f>"LL0023"</f>
        <v>LL0023</v>
      </c>
      <c r="C9080" t="s">
        <v>44860</v>
      </c>
      <c r="D9080" t="s">
        <v>27245</v>
      </c>
      <c r="E9080" t="str">
        <f t="shared" si="141"/>
        <v>001390</v>
      </c>
      <c r="F9080" t="s">
        <v>27246</v>
      </c>
      <c r="G9080" t="s">
        <v>27247</v>
      </c>
      <c r="H9080" t="s">
        <v>27248</v>
      </c>
      <c r="I9080" t="s">
        <v>44861</v>
      </c>
      <c r="J9080" t="s">
        <v>18176</v>
      </c>
      <c r="L9080" t="s">
        <v>27250</v>
      </c>
      <c r="M9080" t="s">
        <v>27251</v>
      </c>
      <c r="N9080" t="s">
        <v>27252</v>
      </c>
      <c r="Q9080" s="1">
        <v>44538</v>
      </c>
      <c r="R9080" t="s">
        <v>27253</v>
      </c>
      <c r="S9080" t="s">
        <v>27254</v>
      </c>
      <c r="T9080" t="s">
        <v>27255</v>
      </c>
    </row>
    <row r="9081" spans="1:20" x14ac:dyDescent="0.3">
      <c r="A9081" t="str">
        <f>"0611837433100"</f>
        <v>0611837433100</v>
      </c>
      <c r="B9081" t="str">
        <f>"LL4838"</f>
        <v>LL4838</v>
      </c>
      <c r="C9081" t="s">
        <v>44862</v>
      </c>
      <c r="D9081" t="s">
        <v>28138</v>
      </c>
      <c r="E9081" t="str">
        <f t="shared" si="141"/>
        <v>001390</v>
      </c>
      <c r="F9081" t="s">
        <v>27246</v>
      </c>
      <c r="G9081" t="s">
        <v>27247</v>
      </c>
      <c r="H9081" t="s">
        <v>27248</v>
      </c>
      <c r="I9081" t="s">
        <v>44863</v>
      </c>
      <c r="J9081" t="s">
        <v>18178</v>
      </c>
      <c r="L9081" t="s">
        <v>27250</v>
      </c>
      <c r="M9081" t="s">
        <v>27251</v>
      </c>
      <c r="N9081" t="s">
        <v>27252</v>
      </c>
      <c r="P9081" t="s">
        <v>27925</v>
      </c>
      <c r="Q9081" s="1">
        <v>44538</v>
      </c>
      <c r="R9081" t="s">
        <v>27253</v>
      </c>
      <c r="S9081" t="s">
        <v>27254</v>
      </c>
      <c r="T9081" t="s">
        <v>27255</v>
      </c>
    </row>
    <row r="9082" spans="1:20" x14ac:dyDescent="0.3">
      <c r="A9082" t="str">
        <f>"0611832330100"</f>
        <v>0611832330100</v>
      </c>
      <c r="B9082" t="str">
        <f>"LL3133"</f>
        <v>LL3133</v>
      </c>
      <c r="C9082" t="s">
        <v>44864</v>
      </c>
      <c r="D9082" t="s">
        <v>28138</v>
      </c>
      <c r="E9082" t="str">
        <f t="shared" si="141"/>
        <v>001390</v>
      </c>
      <c r="F9082" t="s">
        <v>27246</v>
      </c>
      <c r="G9082" t="s">
        <v>27247</v>
      </c>
      <c r="H9082" t="s">
        <v>27248</v>
      </c>
      <c r="I9082" t="s">
        <v>44865</v>
      </c>
      <c r="J9082" t="s">
        <v>18180</v>
      </c>
      <c r="L9082" t="s">
        <v>27250</v>
      </c>
      <c r="M9082" t="s">
        <v>27251</v>
      </c>
      <c r="N9082" t="s">
        <v>27252</v>
      </c>
      <c r="P9082" t="s">
        <v>27925</v>
      </c>
      <c r="Q9082" s="1">
        <v>44538</v>
      </c>
      <c r="R9082" t="s">
        <v>27253</v>
      </c>
      <c r="S9082" t="s">
        <v>27254</v>
      </c>
      <c r="T9082" t="s">
        <v>27255</v>
      </c>
    </row>
    <row r="9083" spans="1:20" x14ac:dyDescent="0.3">
      <c r="A9083" t="str">
        <f>"0611832331100"</f>
        <v>0611832331100</v>
      </c>
      <c r="B9083" t="str">
        <f>"LL0043"</f>
        <v>LL0043</v>
      </c>
      <c r="C9083" t="s">
        <v>44866</v>
      </c>
      <c r="D9083" t="s">
        <v>27245</v>
      </c>
      <c r="E9083" t="str">
        <f t="shared" si="141"/>
        <v>001390</v>
      </c>
      <c r="F9083" t="s">
        <v>27246</v>
      </c>
      <c r="G9083" t="s">
        <v>27247</v>
      </c>
      <c r="H9083" t="s">
        <v>27248</v>
      </c>
      <c r="I9083" t="s">
        <v>44867</v>
      </c>
      <c r="J9083" t="s">
        <v>18182</v>
      </c>
      <c r="L9083" t="s">
        <v>27250</v>
      </c>
      <c r="M9083" t="s">
        <v>27251</v>
      </c>
      <c r="N9083" t="s">
        <v>27252</v>
      </c>
      <c r="Q9083" s="1">
        <v>44538</v>
      </c>
      <c r="R9083" t="s">
        <v>27253</v>
      </c>
      <c r="S9083" t="s">
        <v>27254</v>
      </c>
      <c r="T9083" t="s">
        <v>27255</v>
      </c>
    </row>
    <row r="9084" spans="1:20" x14ac:dyDescent="0.3">
      <c r="A9084" t="str">
        <f>"0611832332100"</f>
        <v>0611832332100</v>
      </c>
      <c r="B9084" t="str">
        <f>"LL3370"</f>
        <v>LL3370</v>
      </c>
      <c r="C9084" t="s">
        <v>44868</v>
      </c>
      <c r="D9084" t="s">
        <v>27245</v>
      </c>
      <c r="E9084" t="str">
        <f t="shared" si="141"/>
        <v>001390</v>
      </c>
      <c r="F9084" t="s">
        <v>27246</v>
      </c>
      <c r="G9084" t="s">
        <v>27247</v>
      </c>
      <c r="H9084" t="s">
        <v>27248</v>
      </c>
      <c r="I9084" t="s">
        <v>44869</v>
      </c>
      <c r="J9084" t="s">
        <v>18184</v>
      </c>
      <c r="L9084" t="s">
        <v>27250</v>
      </c>
      <c r="M9084" t="s">
        <v>27251</v>
      </c>
      <c r="N9084" t="s">
        <v>27252</v>
      </c>
      <c r="Q9084" s="1">
        <v>44538</v>
      </c>
      <c r="R9084" t="s">
        <v>27253</v>
      </c>
      <c r="S9084" t="s">
        <v>27254</v>
      </c>
      <c r="T9084" t="s">
        <v>27255</v>
      </c>
    </row>
    <row r="9085" spans="1:20" x14ac:dyDescent="0.3">
      <c r="A9085" t="str">
        <f>"0611837434100"</f>
        <v>0611837434100</v>
      </c>
      <c r="B9085" t="str">
        <f>"LL3098"</f>
        <v>LL3098</v>
      </c>
      <c r="C9085" t="s">
        <v>44870</v>
      </c>
      <c r="D9085" t="s">
        <v>27245</v>
      </c>
      <c r="E9085" t="str">
        <f t="shared" si="141"/>
        <v>001390</v>
      </c>
      <c r="F9085" t="s">
        <v>27246</v>
      </c>
      <c r="G9085" t="s">
        <v>27247</v>
      </c>
      <c r="H9085" t="s">
        <v>27248</v>
      </c>
      <c r="I9085" t="s">
        <v>44871</v>
      </c>
      <c r="J9085" t="s">
        <v>18186</v>
      </c>
      <c r="L9085" t="s">
        <v>27250</v>
      </c>
      <c r="M9085" t="s">
        <v>27251</v>
      </c>
      <c r="N9085" t="s">
        <v>27252</v>
      </c>
      <c r="Q9085" s="1">
        <v>44538</v>
      </c>
      <c r="R9085" t="s">
        <v>27253</v>
      </c>
      <c r="S9085" t="s">
        <v>27254</v>
      </c>
      <c r="T9085" t="s">
        <v>27255</v>
      </c>
    </row>
    <row r="9086" spans="1:20" x14ac:dyDescent="0.3">
      <c r="A9086" t="str">
        <f>"0611832333100"</f>
        <v>0611832333100</v>
      </c>
      <c r="B9086" t="str">
        <f>"LL8313"</f>
        <v>LL8313</v>
      </c>
      <c r="C9086" t="s">
        <v>44872</v>
      </c>
      <c r="D9086" t="s">
        <v>27245</v>
      </c>
      <c r="E9086" t="str">
        <f t="shared" si="141"/>
        <v>001390</v>
      </c>
      <c r="F9086" t="s">
        <v>27246</v>
      </c>
      <c r="G9086" t="s">
        <v>27247</v>
      </c>
      <c r="H9086" t="s">
        <v>27248</v>
      </c>
      <c r="I9086" t="s">
        <v>44873</v>
      </c>
      <c r="J9086" t="s">
        <v>18188</v>
      </c>
      <c r="L9086" t="s">
        <v>27250</v>
      </c>
      <c r="M9086" t="s">
        <v>27251</v>
      </c>
      <c r="N9086" t="s">
        <v>27252</v>
      </c>
      <c r="Q9086" s="1">
        <v>44538</v>
      </c>
      <c r="R9086" t="s">
        <v>27253</v>
      </c>
      <c r="S9086" t="s">
        <v>27254</v>
      </c>
      <c r="T9086" t="s">
        <v>27255</v>
      </c>
    </row>
    <row r="9087" spans="1:20" x14ac:dyDescent="0.3">
      <c r="A9087" t="str">
        <f>"0611832334100"</f>
        <v>0611832334100</v>
      </c>
      <c r="B9087" t="str">
        <f>"LL8279"</f>
        <v>LL8279</v>
      </c>
      <c r="C9087" t="s">
        <v>44874</v>
      </c>
      <c r="D9087" t="s">
        <v>28138</v>
      </c>
      <c r="E9087" t="str">
        <f t="shared" si="141"/>
        <v>001390</v>
      </c>
      <c r="F9087" t="s">
        <v>27246</v>
      </c>
      <c r="G9087" t="s">
        <v>27247</v>
      </c>
      <c r="H9087" t="s">
        <v>27248</v>
      </c>
      <c r="I9087" t="s">
        <v>44875</v>
      </c>
      <c r="J9087" t="s">
        <v>18190</v>
      </c>
      <c r="L9087" t="s">
        <v>27250</v>
      </c>
      <c r="M9087" t="s">
        <v>27251</v>
      </c>
      <c r="N9087" t="s">
        <v>27252</v>
      </c>
      <c r="P9087" t="s">
        <v>27925</v>
      </c>
      <c r="Q9087" s="1">
        <v>44538</v>
      </c>
      <c r="R9087" t="s">
        <v>27253</v>
      </c>
      <c r="S9087" t="s">
        <v>27254</v>
      </c>
      <c r="T9087" t="s">
        <v>27255</v>
      </c>
    </row>
    <row r="9088" spans="1:20" x14ac:dyDescent="0.3">
      <c r="A9088" t="str">
        <f>"0611832335100"</f>
        <v>0611832335100</v>
      </c>
      <c r="B9088" t="str">
        <f>"LL3053"</f>
        <v>LL3053</v>
      </c>
      <c r="C9088" t="s">
        <v>44876</v>
      </c>
      <c r="D9088" t="s">
        <v>27245</v>
      </c>
      <c r="E9088" t="str">
        <f t="shared" si="141"/>
        <v>001390</v>
      </c>
      <c r="F9088" t="s">
        <v>27246</v>
      </c>
      <c r="G9088" t="s">
        <v>27247</v>
      </c>
      <c r="H9088" t="s">
        <v>27248</v>
      </c>
      <c r="I9088" t="s">
        <v>44877</v>
      </c>
      <c r="J9088" t="s">
        <v>18192</v>
      </c>
      <c r="L9088" t="s">
        <v>27250</v>
      </c>
      <c r="M9088" t="s">
        <v>27251</v>
      </c>
      <c r="N9088" t="s">
        <v>27252</v>
      </c>
      <c r="Q9088" s="1">
        <v>44538</v>
      </c>
      <c r="R9088" t="s">
        <v>27253</v>
      </c>
      <c r="S9088" t="s">
        <v>27254</v>
      </c>
      <c r="T9088" t="s">
        <v>27255</v>
      </c>
    </row>
    <row r="9089" spans="1:20" x14ac:dyDescent="0.3">
      <c r="A9089" t="str">
        <f>"0611832336100"</f>
        <v>0611832336100</v>
      </c>
      <c r="B9089" t="str">
        <f>"LL3055"</f>
        <v>LL3055</v>
      </c>
      <c r="C9089" t="s">
        <v>44878</v>
      </c>
      <c r="D9089" t="s">
        <v>27245</v>
      </c>
      <c r="E9089" t="str">
        <f t="shared" si="141"/>
        <v>001390</v>
      </c>
      <c r="F9089" t="s">
        <v>27246</v>
      </c>
      <c r="G9089" t="s">
        <v>27247</v>
      </c>
      <c r="H9089" t="s">
        <v>27248</v>
      </c>
      <c r="I9089" t="s">
        <v>44879</v>
      </c>
      <c r="J9089" t="s">
        <v>18194</v>
      </c>
      <c r="L9089" t="s">
        <v>27250</v>
      </c>
      <c r="M9089" t="s">
        <v>27251</v>
      </c>
      <c r="N9089" t="s">
        <v>27252</v>
      </c>
      <c r="Q9089" s="1">
        <v>44538</v>
      </c>
      <c r="R9089" t="s">
        <v>27253</v>
      </c>
      <c r="S9089" t="s">
        <v>27254</v>
      </c>
      <c r="T9089" t="s">
        <v>27255</v>
      </c>
    </row>
    <row r="9090" spans="1:20" x14ac:dyDescent="0.3">
      <c r="A9090" t="str">
        <f>"0611832337200"</f>
        <v>0611832337200</v>
      </c>
      <c r="B9090" t="str">
        <f>"KY3055"</f>
        <v>KY3055</v>
      </c>
      <c r="C9090" t="s">
        <v>44878</v>
      </c>
      <c r="D9090" t="s">
        <v>27682</v>
      </c>
      <c r="E9090" t="str">
        <f t="shared" ref="E9090:E9153" si="142">"001390"</f>
        <v>001390</v>
      </c>
      <c r="F9090" t="s">
        <v>27246</v>
      </c>
      <c r="G9090" t="s">
        <v>27247</v>
      </c>
      <c r="H9090" t="s">
        <v>27248</v>
      </c>
      <c r="I9090" t="s">
        <v>44880</v>
      </c>
      <c r="J9090" t="s">
        <v>18196</v>
      </c>
      <c r="L9090" t="s">
        <v>27250</v>
      </c>
      <c r="M9090" t="s">
        <v>27251</v>
      </c>
      <c r="N9090" t="s">
        <v>27252</v>
      </c>
      <c r="Q9090" s="1">
        <v>44538</v>
      </c>
      <c r="R9090" t="s">
        <v>27253</v>
      </c>
      <c r="S9090" t="s">
        <v>27254</v>
      </c>
      <c r="T9090" t="s">
        <v>27684</v>
      </c>
    </row>
    <row r="9091" spans="1:20" x14ac:dyDescent="0.3">
      <c r="A9091" t="str">
        <f>"0611832339100"</f>
        <v>0611832339100</v>
      </c>
      <c r="B9091" t="str">
        <f>"LL3170"</f>
        <v>LL3170</v>
      </c>
      <c r="C9091" t="s">
        <v>44881</v>
      </c>
      <c r="D9091" t="s">
        <v>27245</v>
      </c>
      <c r="E9091" t="str">
        <f t="shared" si="142"/>
        <v>001390</v>
      </c>
      <c r="F9091" t="s">
        <v>27246</v>
      </c>
      <c r="G9091" t="s">
        <v>27247</v>
      </c>
      <c r="H9091" t="s">
        <v>27248</v>
      </c>
      <c r="I9091" t="s">
        <v>44882</v>
      </c>
      <c r="J9091" t="s">
        <v>18198</v>
      </c>
      <c r="L9091" t="s">
        <v>27250</v>
      </c>
      <c r="M9091" t="s">
        <v>27251</v>
      </c>
      <c r="N9091" t="s">
        <v>27252</v>
      </c>
      <c r="Q9091" s="1">
        <v>44538</v>
      </c>
      <c r="R9091" t="s">
        <v>27253</v>
      </c>
      <c r="S9091" t="s">
        <v>27254</v>
      </c>
      <c r="T9091" t="s">
        <v>27255</v>
      </c>
    </row>
    <row r="9092" spans="1:20" x14ac:dyDescent="0.3">
      <c r="A9092" t="str">
        <f>"0611832340100"</f>
        <v>0611832340100</v>
      </c>
      <c r="B9092" t="str">
        <f>"LL0093"</f>
        <v>LL0093</v>
      </c>
      <c r="C9092" t="s">
        <v>44883</v>
      </c>
      <c r="D9092" t="s">
        <v>27245</v>
      </c>
      <c r="E9092" t="str">
        <f t="shared" si="142"/>
        <v>001390</v>
      </c>
      <c r="F9092" t="s">
        <v>27246</v>
      </c>
      <c r="G9092" t="s">
        <v>27247</v>
      </c>
      <c r="H9092" t="s">
        <v>27248</v>
      </c>
      <c r="I9092" t="s">
        <v>44884</v>
      </c>
      <c r="J9092" t="s">
        <v>18200</v>
      </c>
      <c r="L9092" t="s">
        <v>27250</v>
      </c>
      <c r="M9092" t="s">
        <v>27251</v>
      </c>
      <c r="N9092" t="s">
        <v>27252</v>
      </c>
      <c r="Q9092" s="1">
        <v>44538</v>
      </c>
      <c r="R9092" t="s">
        <v>27253</v>
      </c>
      <c r="S9092" t="s">
        <v>27254</v>
      </c>
      <c r="T9092" t="s">
        <v>27255</v>
      </c>
    </row>
    <row r="9093" spans="1:20" x14ac:dyDescent="0.3">
      <c r="A9093" t="str">
        <f>"0611832341100"</f>
        <v>0611832341100</v>
      </c>
      <c r="B9093" t="str">
        <f>"LL3068"</f>
        <v>LL3068</v>
      </c>
      <c r="C9093" t="s">
        <v>44885</v>
      </c>
      <c r="D9093" t="s">
        <v>27245</v>
      </c>
      <c r="E9093" t="str">
        <f t="shared" si="142"/>
        <v>001390</v>
      </c>
      <c r="F9093" t="s">
        <v>27246</v>
      </c>
      <c r="G9093" t="s">
        <v>27247</v>
      </c>
      <c r="H9093" t="s">
        <v>27248</v>
      </c>
      <c r="I9093" t="s">
        <v>44886</v>
      </c>
      <c r="J9093" t="s">
        <v>18202</v>
      </c>
      <c r="L9093" t="s">
        <v>27250</v>
      </c>
      <c r="M9093" t="s">
        <v>27251</v>
      </c>
      <c r="N9093" t="s">
        <v>27252</v>
      </c>
      <c r="Q9093" s="1">
        <v>44538</v>
      </c>
      <c r="R9093" t="s">
        <v>27253</v>
      </c>
      <c r="S9093" t="s">
        <v>27254</v>
      </c>
      <c r="T9093" t="s">
        <v>27255</v>
      </c>
    </row>
    <row r="9094" spans="1:20" x14ac:dyDescent="0.3">
      <c r="A9094" t="str">
        <f>"0611832342100"</f>
        <v>0611832342100</v>
      </c>
      <c r="B9094" t="str">
        <f>"LL3069"</f>
        <v>LL3069</v>
      </c>
      <c r="C9094" t="s">
        <v>44887</v>
      </c>
      <c r="D9094" t="s">
        <v>27245</v>
      </c>
      <c r="E9094" t="str">
        <f t="shared" si="142"/>
        <v>001390</v>
      </c>
      <c r="F9094" t="s">
        <v>27246</v>
      </c>
      <c r="G9094" t="s">
        <v>27247</v>
      </c>
      <c r="H9094" t="s">
        <v>27248</v>
      </c>
      <c r="I9094" t="s">
        <v>44888</v>
      </c>
      <c r="J9094" t="s">
        <v>18204</v>
      </c>
      <c r="L9094" t="s">
        <v>27250</v>
      </c>
      <c r="M9094" t="s">
        <v>27251</v>
      </c>
      <c r="N9094" t="s">
        <v>27252</v>
      </c>
      <c r="Q9094" s="1">
        <v>44538</v>
      </c>
      <c r="R9094" t="s">
        <v>27253</v>
      </c>
      <c r="S9094" t="s">
        <v>27254</v>
      </c>
      <c r="T9094" t="s">
        <v>27255</v>
      </c>
    </row>
    <row r="9095" spans="1:20" x14ac:dyDescent="0.3">
      <c r="A9095" t="str">
        <f>"0611837435100"</f>
        <v>0611837435100</v>
      </c>
      <c r="B9095" t="str">
        <f>"LL3060"</f>
        <v>LL3060</v>
      </c>
      <c r="C9095" t="s">
        <v>44889</v>
      </c>
      <c r="D9095" t="s">
        <v>27245</v>
      </c>
      <c r="E9095" t="str">
        <f t="shared" si="142"/>
        <v>001390</v>
      </c>
      <c r="F9095" t="s">
        <v>27246</v>
      </c>
      <c r="G9095" t="s">
        <v>27247</v>
      </c>
      <c r="H9095" t="s">
        <v>27248</v>
      </c>
      <c r="I9095" t="s">
        <v>44890</v>
      </c>
      <c r="J9095" t="s">
        <v>18206</v>
      </c>
      <c r="L9095" t="s">
        <v>27250</v>
      </c>
      <c r="M9095" t="s">
        <v>27251</v>
      </c>
      <c r="N9095" t="s">
        <v>27252</v>
      </c>
      <c r="Q9095" s="1">
        <v>44538</v>
      </c>
      <c r="R9095" t="s">
        <v>27253</v>
      </c>
      <c r="S9095" t="s">
        <v>27254</v>
      </c>
      <c r="T9095" t="s">
        <v>27255</v>
      </c>
    </row>
    <row r="9096" spans="1:20" x14ac:dyDescent="0.3">
      <c r="A9096" t="str">
        <f>"0611832343100"</f>
        <v>0611832343100</v>
      </c>
      <c r="B9096" t="str">
        <f>"LL3065"</f>
        <v>LL3065</v>
      </c>
      <c r="C9096" t="s">
        <v>44891</v>
      </c>
      <c r="D9096" t="s">
        <v>27245</v>
      </c>
      <c r="E9096" t="str">
        <f t="shared" si="142"/>
        <v>001390</v>
      </c>
      <c r="F9096" t="s">
        <v>27246</v>
      </c>
      <c r="G9096" t="s">
        <v>27247</v>
      </c>
      <c r="H9096" t="s">
        <v>27248</v>
      </c>
      <c r="I9096" t="s">
        <v>44892</v>
      </c>
      <c r="J9096" t="s">
        <v>18208</v>
      </c>
      <c r="L9096" t="s">
        <v>27250</v>
      </c>
      <c r="M9096" t="s">
        <v>27251</v>
      </c>
      <c r="N9096" t="s">
        <v>27252</v>
      </c>
      <c r="Q9096" s="1">
        <v>44538</v>
      </c>
      <c r="R9096" t="s">
        <v>27253</v>
      </c>
      <c r="S9096" t="s">
        <v>27254</v>
      </c>
      <c r="T9096" t="s">
        <v>27255</v>
      </c>
    </row>
    <row r="9097" spans="1:20" x14ac:dyDescent="0.3">
      <c r="A9097" t="str">
        <f>"0611832344100"</f>
        <v>0611832344100</v>
      </c>
      <c r="B9097" t="str">
        <f>"LL3162"</f>
        <v>LL3162</v>
      </c>
      <c r="C9097" t="s">
        <v>44893</v>
      </c>
      <c r="D9097" t="s">
        <v>27245</v>
      </c>
      <c r="E9097" t="str">
        <f t="shared" si="142"/>
        <v>001390</v>
      </c>
      <c r="F9097" t="s">
        <v>27246</v>
      </c>
      <c r="G9097" t="s">
        <v>27247</v>
      </c>
      <c r="H9097" t="s">
        <v>27248</v>
      </c>
      <c r="I9097" t="s">
        <v>44894</v>
      </c>
      <c r="J9097" t="s">
        <v>18210</v>
      </c>
      <c r="L9097" t="s">
        <v>27250</v>
      </c>
      <c r="M9097" t="s">
        <v>27251</v>
      </c>
      <c r="N9097" t="s">
        <v>27252</v>
      </c>
      <c r="Q9097" s="1">
        <v>44538</v>
      </c>
      <c r="R9097" t="s">
        <v>27253</v>
      </c>
      <c r="S9097" t="s">
        <v>27254</v>
      </c>
      <c r="T9097" t="s">
        <v>27255</v>
      </c>
    </row>
    <row r="9098" spans="1:20" x14ac:dyDescent="0.3">
      <c r="A9098" t="str">
        <f>"0611832345100"</f>
        <v>0611832345100</v>
      </c>
      <c r="B9098" t="str">
        <f>"LL3158"</f>
        <v>LL3158</v>
      </c>
      <c r="C9098" t="s">
        <v>44895</v>
      </c>
      <c r="D9098" t="s">
        <v>27245</v>
      </c>
      <c r="E9098" t="str">
        <f t="shared" si="142"/>
        <v>001390</v>
      </c>
      <c r="F9098" t="s">
        <v>27246</v>
      </c>
      <c r="G9098" t="s">
        <v>27247</v>
      </c>
      <c r="H9098" t="s">
        <v>27248</v>
      </c>
      <c r="I9098" t="s">
        <v>44896</v>
      </c>
      <c r="J9098" t="s">
        <v>18212</v>
      </c>
      <c r="L9098" t="s">
        <v>27250</v>
      </c>
      <c r="M9098" t="s">
        <v>27251</v>
      </c>
      <c r="N9098" t="s">
        <v>27252</v>
      </c>
      <c r="Q9098" s="1">
        <v>44538</v>
      </c>
      <c r="R9098" t="s">
        <v>27253</v>
      </c>
      <c r="S9098" t="s">
        <v>27254</v>
      </c>
      <c r="T9098" t="s">
        <v>27255</v>
      </c>
    </row>
    <row r="9099" spans="1:20" x14ac:dyDescent="0.3">
      <c r="A9099" t="str">
        <f>"0611832346100"</f>
        <v>0611832346100</v>
      </c>
      <c r="B9099" t="str">
        <f>"LL3057"</f>
        <v>LL3057</v>
      </c>
      <c r="C9099" t="s">
        <v>44897</v>
      </c>
      <c r="D9099" t="s">
        <v>27245</v>
      </c>
      <c r="E9099" t="str">
        <f t="shared" si="142"/>
        <v>001390</v>
      </c>
      <c r="F9099" t="s">
        <v>27246</v>
      </c>
      <c r="G9099" t="s">
        <v>27247</v>
      </c>
      <c r="H9099" t="s">
        <v>27248</v>
      </c>
      <c r="I9099" t="s">
        <v>44898</v>
      </c>
      <c r="J9099" t="s">
        <v>18214</v>
      </c>
      <c r="L9099" t="s">
        <v>27250</v>
      </c>
      <c r="M9099" t="s">
        <v>27251</v>
      </c>
      <c r="N9099" t="s">
        <v>27252</v>
      </c>
      <c r="Q9099" s="1">
        <v>44538</v>
      </c>
      <c r="R9099" t="s">
        <v>27253</v>
      </c>
      <c r="S9099" t="s">
        <v>27254</v>
      </c>
      <c r="T9099" t="s">
        <v>27255</v>
      </c>
    </row>
    <row r="9100" spans="1:20" x14ac:dyDescent="0.3">
      <c r="A9100" t="str">
        <f>"0611832347100"</f>
        <v>0611832347100</v>
      </c>
      <c r="B9100" t="str">
        <f>"LL8314"</f>
        <v>LL8314</v>
      </c>
      <c r="C9100" t="s">
        <v>44899</v>
      </c>
      <c r="D9100" t="s">
        <v>27245</v>
      </c>
      <c r="E9100" t="str">
        <f t="shared" si="142"/>
        <v>001390</v>
      </c>
      <c r="F9100" t="s">
        <v>27246</v>
      </c>
      <c r="G9100" t="s">
        <v>27247</v>
      </c>
      <c r="H9100" t="s">
        <v>27248</v>
      </c>
      <c r="I9100" t="s">
        <v>44900</v>
      </c>
      <c r="J9100" t="s">
        <v>18216</v>
      </c>
      <c r="L9100" t="s">
        <v>27250</v>
      </c>
      <c r="M9100" t="s">
        <v>27251</v>
      </c>
      <c r="N9100" t="s">
        <v>27252</v>
      </c>
      <c r="Q9100" s="1">
        <v>44538</v>
      </c>
      <c r="R9100" t="s">
        <v>27253</v>
      </c>
      <c r="S9100" t="s">
        <v>27254</v>
      </c>
      <c r="T9100" t="s">
        <v>27255</v>
      </c>
    </row>
    <row r="9101" spans="1:20" x14ac:dyDescent="0.3">
      <c r="A9101" t="str">
        <f>"0611832348200"</f>
        <v>0611832348200</v>
      </c>
      <c r="B9101" t="str">
        <f>"KY3054"</f>
        <v>KY3054</v>
      </c>
      <c r="C9101" t="s">
        <v>44901</v>
      </c>
      <c r="D9101" t="s">
        <v>27682</v>
      </c>
      <c r="E9101" t="str">
        <f t="shared" si="142"/>
        <v>001390</v>
      </c>
      <c r="F9101" t="s">
        <v>27246</v>
      </c>
      <c r="G9101" t="s">
        <v>27247</v>
      </c>
      <c r="H9101" t="s">
        <v>27248</v>
      </c>
      <c r="I9101" t="s">
        <v>44902</v>
      </c>
      <c r="J9101" t="s">
        <v>18218</v>
      </c>
      <c r="L9101" t="s">
        <v>27250</v>
      </c>
      <c r="M9101" t="s">
        <v>27251</v>
      </c>
      <c r="N9101" t="s">
        <v>27252</v>
      </c>
      <c r="Q9101" s="1">
        <v>44538</v>
      </c>
      <c r="R9101" t="s">
        <v>27253</v>
      </c>
      <c r="S9101" t="s">
        <v>27254</v>
      </c>
      <c r="T9101" t="s">
        <v>27684</v>
      </c>
    </row>
    <row r="9102" spans="1:20" x14ac:dyDescent="0.3">
      <c r="A9102" t="str">
        <f>"0611832350100"</f>
        <v>0611832350100</v>
      </c>
      <c r="B9102" t="str">
        <f>"LK4941"</f>
        <v>LK4941</v>
      </c>
      <c r="C9102" t="s">
        <v>44903</v>
      </c>
      <c r="D9102" t="s">
        <v>27245</v>
      </c>
      <c r="E9102" t="str">
        <f t="shared" si="142"/>
        <v>001390</v>
      </c>
      <c r="F9102" t="s">
        <v>27246</v>
      </c>
      <c r="G9102" t="s">
        <v>27247</v>
      </c>
      <c r="H9102" t="s">
        <v>27248</v>
      </c>
      <c r="I9102" t="s">
        <v>44904</v>
      </c>
      <c r="J9102" t="s">
        <v>18220</v>
      </c>
      <c r="L9102" t="s">
        <v>27250</v>
      </c>
      <c r="M9102" t="s">
        <v>27251</v>
      </c>
      <c r="N9102" t="s">
        <v>27252</v>
      </c>
      <c r="Q9102" s="1">
        <v>44538</v>
      </c>
      <c r="R9102" t="s">
        <v>27253</v>
      </c>
      <c r="S9102" t="s">
        <v>27254</v>
      </c>
      <c r="T9102" t="s">
        <v>27255</v>
      </c>
    </row>
    <row r="9103" spans="1:20" x14ac:dyDescent="0.3">
      <c r="A9103" t="str">
        <f>"0611832351100"</f>
        <v>0611832351100</v>
      </c>
      <c r="B9103" t="str">
        <f>"LK1980"</f>
        <v>LK1980</v>
      </c>
      <c r="C9103" t="s">
        <v>44905</v>
      </c>
      <c r="D9103" t="s">
        <v>27245</v>
      </c>
      <c r="E9103" t="str">
        <f t="shared" si="142"/>
        <v>001390</v>
      </c>
      <c r="F9103" t="s">
        <v>27246</v>
      </c>
      <c r="G9103" t="s">
        <v>27247</v>
      </c>
      <c r="H9103" t="s">
        <v>27248</v>
      </c>
      <c r="I9103" t="s">
        <v>44906</v>
      </c>
      <c r="J9103" t="s">
        <v>18222</v>
      </c>
      <c r="L9103" t="s">
        <v>27250</v>
      </c>
      <c r="M9103" t="s">
        <v>27251</v>
      </c>
      <c r="N9103" t="s">
        <v>27252</v>
      </c>
      <c r="Q9103" s="1">
        <v>44538</v>
      </c>
      <c r="R9103" t="s">
        <v>27253</v>
      </c>
      <c r="S9103" t="s">
        <v>27254</v>
      </c>
      <c r="T9103" t="s">
        <v>27255</v>
      </c>
    </row>
    <row r="9104" spans="1:20" x14ac:dyDescent="0.3">
      <c r="A9104" t="str">
        <f>"0611832352100"</f>
        <v>0611832352100</v>
      </c>
      <c r="B9104" t="str">
        <f>"LK6263"</f>
        <v>LK6263</v>
      </c>
      <c r="C9104" t="s">
        <v>44907</v>
      </c>
      <c r="D9104" t="s">
        <v>27245</v>
      </c>
      <c r="E9104" t="str">
        <f t="shared" si="142"/>
        <v>001390</v>
      </c>
      <c r="F9104" t="s">
        <v>27246</v>
      </c>
      <c r="G9104" t="s">
        <v>27247</v>
      </c>
      <c r="H9104" t="s">
        <v>27248</v>
      </c>
      <c r="I9104" t="s">
        <v>44908</v>
      </c>
      <c r="J9104" t="s">
        <v>18224</v>
      </c>
      <c r="L9104" t="s">
        <v>27250</v>
      </c>
      <c r="M9104" t="s">
        <v>27251</v>
      </c>
      <c r="N9104" t="s">
        <v>27252</v>
      </c>
      <c r="Q9104" s="1">
        <v>44538</v>
      </c>
      <c r="R9104" t="s">
        <v>27253</v>
      </c>
      <c r="S9104" t="s">
        <v>27254</v>
      </c>
      <c r="T9104" t="s">
        <v>27255</v>
      </c>
    </row>
    <row r="9105" spans="1:20" x14ac:dyDescent="0.3">
      <c r="A9105" t="str">
        <f>"0611832353100"</f>
        <v>0611832353100</v>
      </c>
      <c r="B9105" t="str">
        <f>"LL3135"</f>
        <v>LL3135</v>
      </c>
      <c r="C9105" t="s">
        <v>44909</v>
      </c>
      <c r="D9105" t="s">
        <v>27245</v>
      </c>
      <c r="E9105" t="str">
        <f t="shared" si="142"/>
        <v>001390</v>
      </c>
      <c r="F9105" t="s">
        <v>27246</v>
      </c>
      <c r="G9105" t="s">
        <v>27247</v>
      </c>
      <c r="H9105" t="s">
        <v>27248</v>
      </c>
      <c r="I9105" t="s">
        <v>44910</v>
      </c>
      <c r="J9105" t="s">
        <v>18226</v>
      </c>
      <c r="L9105" t="s">
        <v>27250</v>
      </c>
      <c r="M9105" t="s">
        <v>27251</v>
      </c>
      <c r="N9105" t="s">
        <v>27252</v>
      </c>
      <c r="Q9105" s="1">
        <v>44538</v>
      </c>
      <c r="R9105" t="s">
        <v>27253</v>
      </c>
      <c r="S9105" t="s">
        <v>27254</v>
      </c>
      <c r="T9105" t="s">
        <v>27255</v>
      </c>
    </row>
    <row r="9106" spans="1:20" x14ac:dyDescent="0.3">
      <c r="A9106" t="str">
        <f>"0611857053100"</f>
        <v>0611857053100</v>
      </c>
      <c r="B9106" t="str">
        <f>"LL5043"</f>
        <v>LL5043</v>
      </c>
      <c r="C9106" t="s">
        <v>44911</v>
      </c>
      <c r="D9106" t="s">
        <v>27245</v>
      </c>
      <c r="E9106" t="str">
        <f t="shared" si="142"/>
        <v>001390</v>
      </c>
      <c r="F9106" t="s">
        <v>27246</v>
      </c>
      <c r="G9106" t="s">
        <v>27247</v>
      </c>
      <c r="H9106" t="s">
        <v>27248</v>
      </c>
      <c r="I9106" t="s">
        <v>44912</v>
      </c>
      <c r="J9106" t="s">
        <v>18228</v>
      </c>
      <c r="L9106" t="s">
        <v>27250</v>
      </c>
      <c r="M9106" t="s">
        <v>27251</v>
      </c>
      <c r="N9106" t="s">
        <v>27252</v>
      </c>
      <c r="Q9106" s="1">
        <v>44812</v>
      </c>
      <c r="R9106" t="s">
        <v>27253</v>
      </c>
      <c r="S9106" t="s">
        <v>27254</v>
      </c>
      <c r="T9106" t="s">
        <v>27255</v>
      </c>
    </row>
    <row r="9107" spans="1:20" x14ac:dyDescent="0.3">
      <c r="A9107" t="str">
        <f>"0611832354100"</f>
        <v>0611832354100</v>
      </c>
      <c r="B9107" t="str">
        <f>"LL0059"</f>
        <v>LL0059</v>
      </c>
      <c r="C9107" t="s">
        <v>44913</v>
      </c>
      <c r="D9107" t="s">
        <v>27245</v>
      </c>
      <c r="E9107" t="str">
        <f t="shared" si="142"/>
        <v>001390</v>
      </c>
      <c r="F9107" t="s">
        <v>27246</v>
      </c>
      <c r="G9107" t="s">
        <v>27247</v>
      </c>
      <c r="H9107" t="s">
        <v>27248</v>
      </c>
      <c r="I9107" t="s">
        <v>44914</v>
      </c>
      <c r="J9107" t="s">
        <v>18230</v>
      </c>
      <c r="L9107" t="s">
        <v>27250</v>
      </c>
      <c r="M9107" t="s">
        <v>27251</v>
      </c>
      <c r="N9107" t="s">
        <v>27252</v>
      </c>
      <c r="Q9107" s="1">
        <v>44538</v>
      </c>
      <c r="R9107" t="s">
        <v>27253</v>
      </c>
      <c r="S9107" t="s">
        <v>27254</v>
      </c>
      <c r="T9107" t="s">
        <v>27255</v>
      </c>
    </row>
    <row r="9108" spans="1:20" x14ac:dyDescent="0.3">
      <c r="A9108" t="str">
        <f>"0611832355100"</f>
        <v>0611832355100</v>
      </c>
      <c r="B9108" t="str">
        <f>"LL8043"</f>
        <v>LL8043</v>
      </c>
      <c r="C9108" t="s">
        <v>44915</v>
      </c>
      <c r="D9108" t="s">
        <v>27245</v>
      </c>
      <c r="E9108" t="str">
        <f t="shared" si="142"/>
        <v>001390</v>
      </c>
      <c r="F9108" t="s">
        <v>27246</v>
      </c>
      <c r="G9108" t="s">
        <v>27247</v>
      </c>
      <c r="H9108" t="s">
        <v>27248</v>
      </c>
      <c r="I9108" t="s">
        <v>44916</v>
      </c>
      <c r="J9108" t="s">
        <v>18232</v>
      </c>
      <c r="L9108" t="s">
        <v>27250</v>
      </c>
      <c r="M9108" t="s">
        <v>27251</v>
      </c>
      <c r="N9108" t="s">
        <v>27252</v>
      </c>
      <c r="Q9108" s="1">
        <v>44538</v>
      </c>
      <c r="R9108" t="s">
        <v>27253</v>
      </c>
      <c r="S9108" t="s">
        <v>27254</v>
      </c>
      <c r="T9108" t="s">
        <v>27255</v>
      </c>
    </row>
    <row r="9109" spans="1:20" x14ac:dyDescent="0.3">
      <c r="A9109" t="str">
        <f>"0611832356100"</f>
        <v>0611832356100</v>
      </c>
      <c r="B9109" t="str">
        <f>"LK3957"</f>
        <v>LK3957</v>
      </c>
      <c r="C9109" t="s">
        <v>44917</v>
      </c>
      <c r="D9109" t="s">
        <v>27245</v>
      </c>
      <c r="E9109" t="str">
        <f t="shared" si="142"/>
        <v>001390</v>
      </c>
      <c r="F9109" t="s">
        <v>27246</v>
      </c>
      <c r="G9109" t="s">
        <v>27247</v>
      </c>
      <c r="H9109" t="s">
        <v>27248</v>
      </c>
      <c r="I9109" t="s">
        <v>44918</v>
      </c>
      <c r="J9109" t="s">
        <v>18234</v>
      </c>
      <c r="L9109" t="s">
        <v>27250</v>
      </c>
      <c r="M9109" t="s">
        <v>27251</v>
      </c>
      <c r="N9109" t="s">
        <v>27252</v>
      </c>
      <c r="Q9109" s="1">
        <v>44538</v>
      </c>
      <c r="R9109" t="s">
        <v>27253</v>
      </c>
      <c r="S9109" t="s">
        <v>27254</v>
      </c>
      <c r="T9109" t="s">
        <v>27255</v>
      </c>
    </row>
    <row r="9110" spans="1:20" x14ac:dyDescent="0.3">
      <c r="A9110" t="str">
        <f>"0611832357100"</f>
        <v>0611832357100</v>
      </c>
      <c r="B9110" t="str">
        <f>"LL3075"</f>
        <v>LL3075</v>
      </c>
      <c r="C9110" t="s">
        <v>44919</v>
      </c>
      <c r="D9110" t="s">
        <v>27245</v>
      </c>
      <c r="E9110" t="str">
        <f t="shared" si="142"/>
        <v>001390</v>
      </c>
      <c r="F9110" t="s">
        <v>27246</v>
      </c>
      <c r="G9110" t="s">
        <v>27247</v>
      </c>
      <c r="H9110" t="s">
        <v>27248</v>
      </c>
      <c r="I9110" t="s">
        <v>44920</v>
      </c>
      <c r="J9110" t="s">
        <v>18236</v>
      </c>
      <c r="L9110" t="s">
        <v>27250</v>
      </c>
      <c r="M9110" t="s">
        <v>27251</v>
      </c>
      <c r="N9110" t="s">
        <v>27252</v>
      </c>
      <c r="Q9110" s="1">
        <v>44538</v>
      </c>
      <c r="R9110" t="s">
        <v>27253</v>
      </c>
      <c r="S9110" t="s">
        <v>27254</v>
      </c>
      <c r="T9110" t="s">
        <v>27255</v>
      </c>
    </row>
    <row r="9111" spans="1:20" x14ac:dyDescent="0.3">
      <c r="A9111" t="str">
        <f>"0611832358200"</f>
        <v>0611832358200</v>
      </c>
      <c r="B9111" t="str">
        <f>"KY3075"</f>
        <v>KY3075</v>
      </c>
      <c r="C9111" t="s">
        <v>44919</v>
      </c>
      <c r="D9111" t="s">
        <v>27682</v>
      </c>
      <c r="E9111" t="str">
        <f t="shared" si="142"/>
        <v>001390</v>
      </c>
      <c r="F9111" t="s">
        <v>27246</v>
      </c>
      <c r="G9111" t="s">
        <v>27247</v>
      </c>
      <c r="H9111" t="s">
        <v>27248</v>
      </c>
      <c r="I9111" t="s">
        <v>44921</v>
      </c>
      <c r="J9111" t="s">
        <v>18238</v>
      </c>
      <c r="L9111" t="s">
        <v>27250</v>
      </c>
      <c r="M9111" t="s">
        <v>27251</v>
      </c>
      <c r="N9111" t="s">
        <v>27252</v>
      </c>
      <c r="Q9111" s="1">
        <v>44538</v>
      </c>
      <c r="R9111" t="s">
        <v>27253</v>
      </c>
      <c r="S9111" t="s">
        <v>27254</v>
      </c>
      <c r="T9111" t="s">
        <v>27684</v>
      </c>
    </row>
    <row r="9112" spans="1:20" x14ac:dyDescent="0.3">
      <c r="A9112" t="str">
        <f>"0611832359100"</f>
        <v>0611832359100</v>
      </c>
      <c r="B9112" t="str">
        <f>"LL3197"</f>
        <v>LL3197</v>
      </c>
      <c r="C9112" t="s">
        <v>44922</v>
      </c>
      <c r="D9112" t="s">
        <v>27245</v>
      </c>
      <c r="E9112" t="str">
        <f t="shared" si="142"/>
        <v>001390</v>
      </c>
      <c r="F9112" t="s">
        <v>27246</v>
      </c>
      <c r="G9112" t="s">
        <v>27247</v>
      </c>
      <c r="H9112" t="s">
        <v>27248</v>
      </c>
      <c r="I9112" t="s">
        <v>44923</v>
      </c>
      <c r="J9112" t="s">
        <v>18240</v>
      </c>
      <c r="L9112" t="s">
        <v>27250</v>
      </c>
      <c r="M9112" t="s">
        <v>27251</v>
      </c>
      <c r="N9112" t="s">
        <v>27252</v>
      </c>
      <c r="Q9112" s="1">
        <v>44538</v>
      </c>
      <c r="R9112" t="s">
        <v>27253</v>
      </c>
      <c r="S9112" t="s">
        <v>27254</v>
      </c>
      <c r="T9112" t="s">
        <v>27255</v>
      </c>
    </row>
    <row r="9113" spans="1:20" x14ac:dyDescent="0.3">
      <c r="A9113" t="str">
        <f>"0611832360100"</f>
        <v>0611832360100</v>
      </c>
      <c r="B9113" t="str">
        <f>"LL8214"</f>
        <v>LL8214</v>
      </c>
      <c r="C9113" t="s">
        <v>44924</v>
      </c>
      <c r="D9113" t="s">
        <v>27245</v>
      </c>
      <c r="E9113" t="str">
        <f t="shared" si="142"/>
        <v>001390</v>
      </c>
      <c r="F9113" t="s">
        <v>27246</v>
      </c>
      <c r="G9113" t="s">
        <v>27247</v>
      </c>
      <c r="H9113" t="s">
        <v>27248</v>
      </c>
      <c r="I9113" t="s">
        <v>44925</v>
      </c>
      <c r="J9113" t="s">
        <v>18242</v>
      </c>
      <c r="L9113" t="s">
        <v>27250</v>
      </c>
      <c r="M9113" t="s">
        <v>27251</v>
      </c>
      <c r="N9113" t="s">
        <v>27252</v>
      </c>
      <c r="Q9113" s="1">
        <v>44538</v>
      </c>
      <c r="R9113" t="s">
        <v>27253</v>
      </c>
      <c r="S9113" t="s">
        <v>27254</v>
      </c>
      <c r="T9113" t="s">
        <v>27255</v>
      </c>
    </row>
    <row r="9114" spans="1:20" x14ac:dyDescent="0.3">
      <c r="A9114" t="str">
        <f>"0611832361100"</f>
        <v>0611832361100</v>
      </c>
      <c r="B9114" t="str">
        <f>"LL5017"</f>
        <v>LL5017</v>
      </c>
      <c r="C9114" t="s">
        <v>44926</v>
      </c>
      <c r="D9114" t="s">
        <v>27245</v>
      </c>
      <c r="E9114" t="str">
        <f t="shared" si="142"/>
        <v>001390</v>
      </c>
      <c r="F9114" t="s">
        <v>27246</v>
      </c>
      <c r="G9114" t="s">
        <v>27247</v>
      </c>
      <c r="H9114" t="s">
        <v>27248</v>
      </c>
      <c r="I9114" t="s">
        <v>44927</v>
      </c>
      <c r="J9114" t="s">
        <v>18244</v>
      </c>
      <c r="L9114" t="s">
        <v>27250</v>
      </c>
      <c r="M9114" t="s">
        <v>27251</v>
      </c>
      <c r="N9114" t="s">
        <v>27252</v>
      </c>
      <c r="Q9114" s="1">
        <v>44538</v>
      </c>
      <c r="R9114" t="s">
        <v>27253</v>
      </c>
      <c r="S9114" t="s">
        <v>27254</v>
      </c>
      <c r="T9114" t="s">
        <v>27255</v>
      </c>
    </row>
    <row r="9115" spans="1:20" x14ac:dyDescent="0.3">
      <c r="A9115" t="str">
        <f>"0611832362100"</f>
        <v>0611832362100</v>
      </c>
      <c r="B9115" t="str">
        <f>"LL3080"</f>
        <v>LL3080</v>
      </c>
      <c r="C9115" t="s">
        <v>44928</v>
      </c>
      <c r="D9115" t="s">
        <v>27245</v>
      </c>
      <c r="E9115" t="str">
        <f t="shared" si="142"/>
        <v>001390</v>
      </c>
      <c r="F9115" t="s">
        <v>27246</v>
      </c>
      <c r="G9115" t="s">
        <v>27247</v>
      </c>
      <c r="H9115" t="s">
        <v>27248</v>
      </c>
      <c r="I9115" t="s">
        <v>44929</v>
      </c>
      <c r="J9115" t="s">
        <v>18246</v>
      </c>
      <c r="L9115" t="s">
        <v>27250</v>
      </c>
      <c r="M9115" t="s">
        <v>27251</v>
      </c>
      <c r="N9115" t="s">
        <v>27252</v>
      </c>
      <c r="Q9115" s="1">
        <v>44538</v>
      </c>
      <c r="R9115" t="s">
        <v>27253</v>
      </c>
      <c r="S9115" t="s">
        <v>27254</v>
      </c>
      <c r="T9115" t="s">
        <v>27255</v>
      </c>
    </row>
    <row r="9116" spans="1:20" x14ac:dyDescent="0.3">
      <c r="A9116" t="str">
        <f>"0611832364100"</f>
        <v>0611832364100</v>
      </c>
      <c r="B9116" t="str">
        <f>"LL0003"</f>
        <v>LL0003</v>
      </c>
      <c r="C9116" t="s">
        <v>44930</v>
      </c>
      <c r="D9116" t="s">
        <v>27245</v>
      </c>
      <c r="E9116" t="str">
        <f t="shared" si="142"/>
        <v>001390</v>
      </c>
      <c r="F9116" t="s">
        <v>27246</v>
      </c>
      <c r="G9116" t="s">
        <v>27247</v>
      </c>
      <c r="H9116" t="s">
        <v>27248</v>
      </c>
      <c r="I9116" t="s">
        <v>44931</v>
      </c>
      <c r="J9116" t="s">
        <v>18250</v>
      </c>
      <c r="L9116" t="s">
        <v>27250</v>
      </c>
      <c r="M9116" t="s">
        <v>27251</v>
      </c>
      <c r="N9116" t="s">
        <v>27252</v>
      </c>
      <c r="Q9116" s="1">
        <v>44538</v>
      </c>
      <c r="R9116" t="s">
        <v>27253</v>
      </c>
      <c r="S9116" t="s">
        <v>27254</v>
      </c>
      <c r="T9116" t="s">
        <v>27255</v>
      </c>
    </row>
    <row r="9117" spans="1:20" x14ac:dyDescent="0.3">
      <c r="A9117" t="str">
        <f>"0611832365100"</f>
        <v>0611832365100</v>
      </c>
      <c r="B9117" t="str">
        <f>"LL3123"</f>
        <v>LL3123</v>
      </c>
      <c r="C9117" t="s">
        <v>44932</v>
      </c>
      <c r="D9117" t="s">
        <v>27245</v>
      </c>
      <c r="E9117" t="str">
        <f t="shared" si="142"/>
        <v>001390</v>
      </c>
      <c r="F9117" t="s">
        <v>27246</v>
      </c>
      <c r="G9117" t="s">
        <v>27247</v>
      </c>
      <c r="H9117" t="s">
        <v>27248</v>
      </c>
      <c r="I9117" t="s">
        <v>44933</v>
      </c>
      <c r="J9117" t="s">
        <v>18252</v>
      </c>
      <c r="L9117" t="s">
        <v>27250</v>
      </c>
      <c r="M9117" t="s">
        <v>27251</v>
      </c>
      <c r="N9117" t="s">
        <v>27252</v>
      </c>
      <c r="Q9117" s="1">
        <v>44538</v>
      </c>
      <c r="R9117" t="s">
        <v>27253</v>
      </c>
      <c r="S9117" t="s">
        <v>27254</v>
      </c>
      <c r="T9117" t="s">
        <v>27255</v>
      </c>
    </row>
    <row r="9118" spans="1:20" x14ac:dyDescent="0.3">
      <c r="A9118" t="str">
        <f>"0611832366100"</f>
        <v>0611832366100</v>
      </c>
      <c r="B9118" t="str">
        <f>"LL3184"</f>
        <v>LL3184</v>
      </c>
      <c r="C9118" t="s">
        <v>44934</v>
      </c>
      <c r="D9118" t="s">
        <v>27245</v>
      </c>
      <c r="E9118" t="str">
        <f t="shared" si="142"/>
        <v>001390</v>
      </c>
      <c r="F9118" t="s">
        <v>27246</v>
      </c>
      <c r="G9118" t="s">
        <v>27247</v>
      </c>
      <c r="H9118" t="s">
        <v>27248</v>
      </c>
      <c r="I9118" t="s">
        <v>44935</v>
      </c>
      <c r="J9118" t="s">
        <v>18254</v>
      </c>
      <c r="L9118" t="s">
        <v>27250</v>
      </c>
      <c r="M9118" t="s">
        <v>27251</v>
      </c>
      <c r="N9118" t="s">
        <v>27252</v>
      </c>
      <c r="Q9118" s="1">
        <v>44538</v>
      </c>
      <c r="R9118" t="s">
        <v>27253</v>
      </c>
      <c r="S9118" t="s">
        <v>27254</v>
      </c>
      <c r="T9118" t="s">
        <v>27255</v>
      </c>
    </row>
    <row r="9119" spans="1:20" x14ac:dyDescent="0.3">
      <c r="A9119" t="str">
        <f>"0611837436100"</f>
        <v>0611837436100</v>
      </c>
      <c r="B9119" t="str">
        <f>"LL8285"</f>
        <v>LL8285</v>
      </c>
      <c r="C9119" t="s">
        <v>44936</v>
      </c>
      <c r="D9119" t="s">
        <v>27245</v>
      </c>
      <c r="E9119" t="str">
        <f t="shared" si="142"/>
        <v>001390</v>
      </c>
      <c r="F9119" t="s">
        <v>27246</v>
      </c>
      <c r="G9119" t="s">
        <v>27247</v>
      </c>
      <c r="H9119" t="s">
        <v>27248</v>
      </c>
      <c r="I9119" t="s">
        <v>44937</v>
      </c>
      <c r="J9119" t="s">
        <v>18256</v>
      </c>
      <c r="L9119" t="s">
        <v>27250</v>
      </c>
      <c r="M9119" t="s">
        <v>27251</v>
      </c>
      <c r="N9119" t="s">
        <v>27252</v>
      </c>
      <c r="Q9119" s="1">
        <v>44538</v>
      </c>
      <c r="R9119" t="s">
        <v>27253</v>
      </c>
      <c r="S9119" t="s">
        <v>27254</v>
      </c>
      <c r="T9119" t="s">
        <v>27255</v>
      </c>
    </row>
    <row r="9120" spans="1:20" x14ac:dyDescent="0.3">
      <c r="A9120" t="str">
        <f>"0611832367100"</f>
        <v>0611832367100</v>
      </c>
      <c r="B9120" t="str">
        <f>"LL3088"</f>
        <v>LL3088</v>
      </c>
      <c r="C9120" t="s">
        <v>44938</v>
      </c>
      <c r="D9120" t="s">
        <v>27245</v>
      </c>
      <c r="E9120" t="str">
        <f t="shared" si="142"/>
        <v>001390</v>
      </c>
      <c r="F9120" t="s">
        <v>27246</v>
      </c>
      <c r="G9120" t="s">
        <v>27247</v>
      </c>
      <c r="H9120" t="s">
        <v>27248</v>
      </c>
      <c r="I9120" t="s">
        <v>44939</v>
      </c>
      <c r="J9120" t="s">
        <v>18258</v>
      </c>
      <c r="L9120" t="s">
        <v>27250</v>
      </c>
      <c r="M9120" t="s">
        <v>27251</v>
      </c>
      <c r="N9120" t="s">
        <v>27252</v>
      </c>
      <c r="Q9120" s="1">
        <v>44538</v>
      </c>
      <c r="R9120" t="s">
        <v>27253</v>
      </c>
      <c r="S9120" t="s">
        <v>27254</v>
      </c>
      <c r="T9120" t="s">
        <v>27255</v>
      </c>
    </row>
    <row r="9121" spans="1:20" x14ac:dyDescent="0.3">
      <c r="A9121" t="str">
        <f>"0611832368100"</f>
        <v>0611832368100</v>
      </c>
      <c r="B9121" t="str">
        <f>"LL3225"</f>
        <v>LL3225</v>
      </c>
      <c r="C9121" t="s">
        <v>44940</v>
      </c>
      <c r="D9121" t="s">
        <v>27245</v>
      </c>
      <c r="E9121" t="str">
        <f t="shared" si="142"/>
        <v>001390</v>
      </c>
      <c r="F9121" t="s">
        <v>27246</v>
      </c>
      <c r="G9121" t="s">
        <v>27247</v>
      </c>
      <c r="H9121" t="s">
        <v>27248</v>
      </c>
      <c r="I9121" t="s">
        <v>44941</v>
      </c>
      <c r="J9121" t="s">
        <v>18260</v>
      </c>
      <c r="L9121" t="s">
        <v>27250</v>
      </c>
      <c r="M9121" t="s">
        <v>27251</v>
      </c>
      <c r="N9121" t="s">
        <v>27252</v>
      </c>
      <c r="Q9121" s="1">
        <v>44538</v>
      </c>
      <c r="R9121" t="s">
        <v>27253</v>
      </c>
      <c r="S9121" t="s">
        <v>27254</v>
      </c>
      <c r="T9121" t="s">
        <v>27255</v>
      </c>
    </row>
    <row r="9122" spans="1:20" x14ac:dyDescent="0.3">
      <c r="A9122" t="str">
        <f>"0611832369200"</f>
        <v>0611832369200</v>
      </c>
      <c r="B9122" t="str">
        <f>"KY3225"</f>
        <v>KY3225</v>
      </c>
      <c r="C9122" t="s">
        <v>44940</v>
      </c>
      <c r="D9122" t="s">
        <v>27682</v>
      </c>
      <c r="E9122" t="str">
        <f t="shared" si="142"/>
        <v>001390</v>
      </c>
      <c r="F9122" t="s">
        <v>27246</v>
      </c>
      <c r="G9122" t="s">
        <v>27247</v>
      </c>
      <c r="H9122" t="s">
        <v>27248</v>
      </c>
      <c r="I9122" t="s">
        <v>44942</v>
      </c>
      <c r="J9122" t="s">
        <v>18262</v>
      </c>
      <c r="L9122" t="s">
        <v>27250</v>
      </c>
      <c r="M9122" t="s">
        <v>27251</v>
      </c>
      <c r="N9122" t="s">
        <v>27252</v>
      </c>
      <c r="Q9122" s="1">
        <v>44538</v>
      </c>
      <c r="R9122" t="s">
        <v>27253</v>
      </c>
      <c r="S9122" t="s">
        <v>27254</v>
      </c>
      <c r="T9122" t="s">
        <v>27684</v>
      </c>
    </row>
    <row r="9123" spans="1:20" x14ac:dyDescent="0.3">
      <c r="A9123" t="str">
        <f>"0611832370100"</f>
        <v>0611832370100</v>
      </c>
      <c r="B9123" t="str">
        <f>"LL3128"</f>
        <v>LL3128</v>
      </c>
      <c r="C9123" t="s">
        <v>44943</v>
      </c>
      <c r="D9123" t="s">
        <v>27245</v>
      </c>
      <c r="E9123" t="str">
        <f t="shared" si="142"/>
        <v>001390</v>
      </c>
      <c r="F9123" t="s">
        <v>27246</v>
      </c>
      <c r="G9123" t="s">
        <v>27247</v>
      </c>
      <c r="H9123" t="s">
        <v>27248</v>
      </c>
      <c r="I9123" t="s">
        <v>44944</v>
      </c>
      <c r="J9123" t="s">
        <v>18264</v>
      </c>
      <c r="L9123" t="s">
        <v>27250</v>
      </c>
      <c r="M9123" t="s">
        <v>27251</v>
      </c>
      <c r="N9123" t="s">
        <v>27252</v>
      </c>
      <c r="Q9123" s="1">
        <v>44538</v>
      </c>
      <c r="R9123" t="s">
        <v>27253</v>
      </c>
      <c r="S9123" t="s">
        <v>27254</v>
      </c>
      <c r="T9123" t="s">
        <v>27255</v>
      </c>
    </row>
    <row r="9124" spans="1:20" x14ac:dyDescent="0.3">
      <c r="A9124" t="str">
        <f>"0611832371100"</f>
        <v>0611832371100</v>
      </c>
      <c r="B9124" t="str">
        <f>"LL3433"</f>
        <v>LL3433</v>
      </c>
      <c r="C9124" t="s">
        <v>44945</v>
      </c>
      <c r="D9124" t="s">
        <v>27245</v>
      </c>
      <c r="E9124" t="str">
        <f t="shared" si="142"/>
        <v>001390</v>
      </c>
      <c r="F9124" t="s">
        <v>27246</v>
      </c>
      <c r="G9124" t="s">
        <v>27247</v>
      </c>
      <c r="H9124" t="s">
        <v>27248</v>
      </c>
      <c r="I9124" t="s">
        <v>44946</v>
      </c>
      <c r="J9124" t="s">
        <v>18266</v>
      </c>
      <c r="L9124" t="s">
        <v>27250</v>
      </c>
      <c r="M9124" t="s">
        <v>27251</v>
      </c>
      <c r="N9124" t="s">
        <v>27252</v>
      </c>
      <c r="Q9124" s="1">
        <v>44538</v>
      </c>
      <c r="R9124" t="s">
        <v>27253</v>
      </c>
      <c r="S9124" t="s">
        <v>27254</v>
      </c>
      <c r="T9124" t="s">
        <v>27255</v>
      </c>
    </row>
    <row r="9125" spans="1:20" x14ac:dyDescent="0.3">
      <c r="A9125" t="str">
        <f>"0611832372100"</f>
        <v>0611832372100</v>
      </c>
      <c r="B9125" t="str">
        <f>"LL3089"</f>
        <v>LL3089</v>
      </c>
      <c r="C9125" t="s">
        <v>44947</v>
      </c>
      <c r="D9125" t="s">
        <v>27245</v>
      </c>
      <c r="E9125" t="str">
        <f t="shared" si="142"/>
        <v>001390</v>
      </c>
      <c r="F9125" t="s">
        <v>27246</v>
      </c>
      <c r="G9125" t="s">
        <v>27247</v>
      </c>
      <c r="H9125" t="s">
        <v>27248</v>
      </c>
      <c r="I9125" t="s">
        <v>44948</v>
      </c>
      <c r="J9125" t="s">
        <v>18268</v>
      </c>
      <c r="L9125" t="s">
        <v>27250</v>
      </c>
      <c r="M9125" t="s">
        <v>27251</v>
      </c>
      <c r="N9125" t="s">
        <v>27252</v>
      </c>
      <c r="Q9125" s="1">
        <v>44538</v>
      </c>
      <c r="R9125" t="s">
        <v>27253</v>
      </c>
      <c r="S9125" t="s">
        <v>27254</v>
      </c>
      <c r="T9125" t="s">
        <v>27255</v>
      </c>
    </row>
    <row r="9126" spans="1:20" x14ac:dyDescent="0.3">
      <c r="A9126" t="str">
        <f>"0611832373100"</f>
        <v>0611832373100</v>
      </c>
      <c r="B9126" t="str">
        <f>"LL8050"</f>
        <v>LL8050</v>
      </c>
      <c r="C9126" t="s">
        <v>44949</v>
      </c>
      <c r="D9126" t="s">
        <v>27245</v>
      </c>
      <c r="E9126" t="str">
        <f t="shared" si="142"/>
        <v>001390</v>
      </c>
      <c r="F9126" t="s">
        <v>27246</v>
      </c>
      <c r="G9126" t="s">
        <v>27247</v>
      </c>
      <c r="H9126" t="s">
        <v>27248</v>
      </c>
      <c r="I9126" t="s">
        <v>44950</v>
      </c>
      <c r="J9126" t="s">
        <v>18270</v>
      </c>
      <c r="L9126" t="s">
        <v>27250</v>
      </c>
      <c r="M9126" t="s">
        <v>27251</v>
      </c>
      <c r="N9126" t="s">
        <v>27252</v>
      </c>
      <c r="Q9126" s="1">
        <v>44538</v>
      </c>
      <c r="R9126" t="s">
        <v>27253</v>
      </c>
      <c r="S9126" t="s">
        <v>27254</v>
      </c>
      <c r="T9126" t="s">
        <v>27255</v>
      </c>
    </row>
    <row r="9127" spans="1:20" x14ac:dyDescent="0.3">
      <c r="A9127" t="str">
        <f>"0611832374100"</f>
        <v>0611832374100</v>
      </c>
      <c r="B9127" t="str">
        <f>"LL0024"</f>
        <v>LL0024</v>
      </c>
      <c r="C9127" t="s">
        <v>44951</v>
      </c>
      <c r="D9127" t="s">
        <v>27245</v>
      </c>
      <c r="E9127" t="str">
        <f t="shared" si="142"/>
        <v>001390</v>
      </c>
      <c r="F9127" t="s">
        <v>27246</v>
      </c>
      <c r="G9127" t="s">
        <v>27247</v>
      </c>
      <c r="H9127" t="s">
        <v>27248</v>
      </c>
      <c r="I9127" t="s">
        <v>44952</v>
      </c>
      <c r="J9127" t="s">
        <v>18272</v>
      </c>
      <c r="L9127" t="s">
        <v>27250</v>
      </c>
      <c r="M9127" t="s">
        <v>27251</v>
      </c>
      <c r="N9127" t="s">
        <v>27252</v>
      </c>
      <c r="Q9127" s="1">
        <v>44538</v>
      </c>
      <c r="R9127" t="s">
        <v>27253</v>
      </c>
      <c r="S9127" t="s">
        <v>27254</v>
      </c>
      <c r="T9127" t="s">
        <v>27255</v>
      </c>
    </row>
    <row r="9128" spans="1:20" x14ac:dyDescent="0.3">
      <c r="A9128" t="str">
        <f>"0611832375100"</f>
        <v>0611832375100</v>
      </c>
      <c r="B9128" t="str">
        <f>"LL3049"</f>
        <v>LL3049</v>
      </c>
      <c r="C9128" t="s">
        <v>44953</v>
      </c>
      <c r="D9128" t="s">
        <v>27245</v>
      </c>
      <c r="E9128" t="str">
        <f t="shared" si="142"/>
        <v>001390</v>
      </c>
      <c r="F9128" t="s">
        <v>27246</v>
      </c>
      <c r="G9128" t="s">
        <v>27247</v>
      </c>
      <c r="H9128" t="s">
        <v>27248</v>
      </c>
      <c r="I9128" t="s">
        <v>44954</v>
      </c>
      <c r="J9128" t="s">
        <v>18274</v>
      </c>
      <c r="L9128" t="s">
        <v>27250</v>
      </c>
      <c r="M9128" t="s">
        <v>27251</v>
      </c>
      <c r="N9128" t="s">
        <v>27252</v>
      </c>
      <c r="Q9128" s="1">
        <v>44538</v>
      </c>
      <c r="R9128" t="s">
        <v>27253</v>
      </c>
      <c r="S9128" t="s">
        <v>27254</v>
      </c>
      <c r="T9128" t="s">
        <v>27255</v>
      </c>
    </row>
    <row r="9129" spans="1:20" x14ac:dyDescent="0.3">
      <c r="A9129" t="str">
        <f>"0611832376100"</f>
        <v>0611832376100</v>
      </c>
      <c r="B9129" t="str">
        <f>"LL3090"</f>
        <v>LL3090</v>
      </c>
      <c r="C9129" t="s">
        <v>44955</v>
      </c>
      <c r="D9129" t="s">
        <v>27245</v>
      </c>
      <c r="E9129" t="str">
        <f t="shared" si="142"/>
        <v>001390</v>
      </c>
      <c r="F9129" t="s">
        <v>27246</v>
      </c>
      <c r="G9129" t="s">
        <v>27247</v>
      </c>
      <c r="H9129" t="s">
        <v>27248</v>
      </c>
      <c r="I9129" t="s">
        <v>44956</v>
      </c>
      <c r="J9129" t="s">
        <v>18276</v>
      </c>
      <c r="L9129" t="s">
        <v>27250</v>
      </c>
      <c r="M9129" t="s">
        <v>27251</v>
      </c>
      <c r="N9129" t="s">
        <v>27252</v>
      </c>
      <c r="Q9129" s="1">
        <v>44538</v>
      </c>
      <c r="R9129" t="s">
        <v>27253</v>
      </c>
      <c r="S9129" t="s">
        <v>27254</v>
      </c>
      <c r="T9129" t="s">
        <v>27255</v>
      </c>
    </row>
    <row r="9130" spans="1:20" x14ac:dyDescent="0.3">
      <c r="A9130" t="str">
        <f>"0611832377100"</f>
        <v>0611832377100</v>
      </c>
      <c r="B9130" t="str">
        <f>"LL3172"</f>
        <v>LL3172</v>
      </c>
      <c r="C9130" t="s">
        <v>44957</v>
      </c>
      <c r="D9130" t="s">
        <v>27245</v>
      </c>
      <c r="E9130" t="str">
        <f t="shared" si="142"/>
        <v>001390</v>
      </c>
      <c r="F9130" t="s">
        <v>27246</v>
      </c>
      <c r="G9130" t="s">
        <v>27247</v>
      </c>
      <c r="H9130" t="s">
        <v>27248</v>
      </c>
      <c r="I9130" t="s">
        <v>44958</v>
      </c>
      <c r="J9130" t="s">
        <v>18278</v>
      </c>
      <c r="L9130" t="s">
        <v>27250</v>
      </c>
      <c r="M9130" t="s">
        <v>27251</v>
      </c>
      <c r="N9130" t="s">
        <v>27252</v>
      </c>
      <c r="Q9130" s="1">
        <v>44538</v>
      </c>
      <c r="R9130" t="s">
        <v>27253</v>
      </c>
      <c r="S9130" t="s">
        <v>27254</v>
      </c>
      <c r="T9130" t="s">
        <v>27255</v>
      </c>
    </row>
    <row r="9131" spans="1:20" x14ac:dyDescent="0.3">
      <c r="A9131" t="str">
        <f>"0611832378100"</f>
        <v>0611832378100</v>
      </c>
      <c r="B9131" t="str">
        <f>"LL4839"</f>
        <v>LL4839</v>
      </c>
      <c r="C9131" t="s">
        <v>44959</v>
      </c>
      <c r="D9131" t="s">
        <v>27245</v>
      </c>
      <c r="E9131" t="str">
        <f t="shared" si="142"/>
        <v>001390</v>
      </c>
      <c r="F9131" t="s">
        <v>27246</v>
      </c>
      <c r="G9131" t="s">
        <v>27247</v>
      </c>
      <c r="H9131" t="s">
        <v>27248</v>
      </c>
      <c r="I9131" t="s">
        <v>44960</v>
      </c>
      <c r="J9131" t="s">
        <v>18280</v>
      </c>
      <c r="L9131" t="s">
        <v>27250</v>
      </c>
      <c r="M9131" t="s">
        <v>27251</v>
      </c>
      <c r="N9131" t="s">
        <v>27252</v>
      </c>
      <c r="Q9131" s="1">
        <v>44538</v>
      </c>
      <c r="R9131" t="s">
        <v>27253</v>
      </c>
      <c r="S9131" t="s">
        <v>27254</v>
      </c>
      <c r="T9131" t="s">
        <v>27255</v>
      </c>
    </row>
    <row r="9132" spans="1:20" x14ac:dyDescent="0.3">
      <c r="A9132" t="str">
        <f>"0611832379100"</f>
        <v>0611832379100</v>
      </c>
      <c r="B9132" t="str">
        <f>"LL8215"</f>
        <v>LL8215</v>
      </c>
      <c r="C9132" t="s">
        <v>44961</v>
      </c>
      <c r="D9132" t="s">
        <v>27245</v>
      </c>
      <c r="E9132" t="str">
        <f t="shared" si="142"/>
        <v>001390</v>
      </c>
      <c r="F9132" t="s">
        <v>27246</v>
      </c>
      <c r="G9132" t="s">
        <v>27247</v>
      </c>
      <c r="H9132" t="s">
        <v>27248</v>
      </c>
      <c r="I9132" t="s">
        <v>44962</v>
      </c>
      <c r="J9132" t="s">
        <v>18282</v>
      </c>
      <c r="L9132" t="s">
        <v>27250</v>
      </c>
      <c r="M9132" t="s">
        <v>27251</v>
      </c>
      <c r="N9132" t="s">
        <v>27252</v>
      </c>
      <c r="Q9132" s="1">
        <v>44538</v>
      </c>
      <c r="R9132" t="s">
        <v>27253</v>
      </c>
      <c r="S9132" t="s">
        <v>27254</v>
      </c>
      <c r="T9132" t="s">
        <v>27255</v>
      </c>
    </row>
    <row r="9133" spans="1:20" x14ac:dyDescent="0.3">
      <c r="A9133" t="str">
        <f>"0611832380100"</f>
        <v>0611832380100</v>
      </c>
      <c r="B9133" t="str">
        <f>"LL4824"</f>
        <v>LL4824</v>
      </c>
      <c r="C9133" t="s">
        <v>44963</v>
      </c>
      <c r="D9133" t="s">
        <v>27245</v>
      </c>
      <c r="E9133" t="str">
        <f t="shared" si="142"/>
        <v>001390</v>
      </c>
      <c r="F9133" t="s">
        <v>27246</v>
      </c>
      <c r="G9133" t="s">
        <v>27247</v>
      </c>
      <c r="H9133" t="s">
        <v>27248</v>
      </c>
      <c r="I9133" t="s">
        <v>44964</v>
      </c>
      <c r="J9133" t="s">
        <v>18284</v>
      </c>
      <c r="L9133" t="s">
        <v>27250</v>
      </c>
      <c r="M9133" t="s">
        <v>27251</v>
      </c>
      <c r="N9133" t="s">
        <v>27252</v>
      </c>
      <c r="Q9133" s="1">
        <v>44538</v>
      </c>
      <c r="R9133" t="s">
        <v>27253</v>
      </c>
      <c r="S9133" t="s">
        <v>27254</v>
      </c>
      <c r="T9133" t="s">
        <v>27255</v>
      </c>
    </row>
    <row r="9134" spans="1:20" x14ac:dyDescent="0.3">
      <c r="A9134" t="str">
        <f>"0611832381100"</f>
        <v>0611832381100</v>
      </c>
      <c r="B9134" t="str">
        <f>"LL8338"</f>
        <v>LL8338</v>
      </c>
      <c r="C9134" t="s">
        <v>44965</v>
      </c>
      <c r="D9134" t="s">
        <v>27245</v>
      </c>
      <c r="E9134" t="str">
        <f t="shared" si="142"/>
        <v>001390</v>
      </c>
      <c r="F9134" t="s">
        <v>27246</v>
      </c>
      <c r="G9134" t="s">
        <v>27247</v>
      </c>
      <c r="H9134" t="s">
        <v>27248</v>
      </c>
      <c r="I9134" t="s">
        <v>44966</v>
      </c>
      <c r="J9134" t="s">
        <v>18286</v>
      </c>
      <c r="L9134" t="s">
        <v>27250</v>
      </c>
      <c r="M9134" t="s">
        <v>27251</v>
      </c>
      <c r="N9134" t="s">
        <v>27252</v>
      </c>
      <c r="Q9134" s="1">
        <v>44538</v>
      </c>
      <c r="R9134" t="s">
        <v>27253</v>
      </c>
      <c r="S9134" t="s">
        <v>27254</v>
      </c>
      <c r="T9134" t="s">
        <v>27255</v>
      </c>
    </row>
    <row r="9135" spans="1:20" x14ac:dyDescent="0.3">
      <c r="A9135" t="str">
        <f>"0611832382100"</f>
        <v>0611832382100</v>
      </c>
      <c r="B9135" t="str">
        <f>"LK0306"</f>
        <v>LK0306</v>
      </c>
      <c r="C9135" t="s">
        <v>44967</v>
      </c>
      <c r="D9135" t="s">
        <v>27245</v>
      </c>
      <c r="E9135" t="str">
        <f t="shared" si="142"/>
        <v>001390</v>
      </c>
      <c r="F9135" t="s">
        <v>27246</v>
      </c>
      <c r="G9135" t="s">
        <v>27247</v>
      </c>
      <c r="H9135" t="s">
        <v>27248</v>
      </c>
      <c r="I9135" t="s">
        <v>44968</v>
      </c>
      <c r="J9135" t="s">
        <v>18288</v>
      </c>
      <c r="L9135" t="s">
        <v>27250</v>
      </c>
      <c r="M9135" t="s">
        <v>27251</v>
      </c>
      <c r="N9135" t="s">
        <v>27252</v>
      </c>
      <c r="Q9135" s="1">
        <v>44538</v>
      </c>
      <c r="R9135" t="s">
        <v>27253</v>
      </c>
      <c r="S9135" t="s">
        <v>27254</v>
      </c>
      <c r="T9135" t="s">
        <v>27255</v>
      </c>
    </row>
    <row r="9136" spans="1:20" x14ac:dyDescent="0.3">
      <c r="A9136" t="str">
        <f>"0611832383100"</f>
        <v>0611832383100</v>
      </c>
      <c r="B9136" t="str">
        <f>"LL3093"</f>
        <v>LL3093</v>
      </c>
      <c r="C9136" t="s">
        <v>44969</v>
      </c>
      <c r="D9136" t="s">
        <v>27245</v>
      </c>
      <c r="E9136" t="str">
        <f t="shared" si="142"/>
        <v>001390</v>
      </c>
      <c r="F9136" t="s">
        <v>27246</v>
      </c>
      <c r="G9136" t="s">
        <v>27247</v>
      </c>
      <c r="H9136" t="s">
        <v>27248</v>
      </c>
      <c r="I9136" t="s">
        <v>44970</v>
      </c>
      <c r="J9136" t="s">
        <v>18290</v>
      </c>
      <c r="L9136" t="s">
        <v>27250</v>
      </c>
      <c r="M9136" t="s">
        <v>27251</v>
      </c>
      <c r="N9136" t="s">
        <v>27252</v>
      </c>
      <c r="Q9136" s="1">
        <v>44538</v>
      </c>
      <c r="R9136" t="s">
        <v>27253</v>
      </c>
      <c r="S9136" t="s">
        <v>27254</v>
      </c>
      <c r="T9136" t="s">
        <v>27255</v>
      </c>
    </row>
    <row r="9137" spans="1:20" x14ac:dyDescent="0.3">
      <c r="A9137" t="str">
        <f>"0611832384100"</f>
        <v>0611832384100</v>
      </c>
      <c r="B9137" t="str">
        <f>"LL4019"</f>
        <v>LL4019</v>
      </c>
      <c r="C9137" t="s">
        <v>44971</v>
      </c>
      <c r="D9137" t="s">
        <v>27245</v>
      </c>
      <c r="E9137" t="str">
        <f t="shared" si="142"/>
        <v>001390</v>
      </c>
      <c r="F9137" t="s">
        <v>27246</v>
      </c>
      <c r="G9137" t="s">
        <v>27247</v>
      </c>
      <c r="H9137" t="s">
        <v>27248</v>
      </c>
      <c r="I9137" t="s">
        <v>44972</v>
      </c>
      <c r="J9137" t="s">
        <v>18292</v>
      </c>
      <c r="L9137" t="s">
        <v>27250</v>
      </c>
      <c r="M9137" t="s">
        <v>27251</v>
      </c>
      <c r="N9137" t="s">
        <v>27252</v>
      </c>
      <c r="Q9137" s="1">
        <v>44538</v>
      </c>
      <c r="R9137" t="s">
        <v>27253</v>
      </c>
      <c r="S9137" t="s">
        <v>27254</v>
      </c>
      <c r="T9137" t="s">
        <v>27255</v>
      </c>
    </row>
    <row r="9138" spans="1:20" x14ac:dyDescent="0.3">
      <c r="A9138" t="str">
        <f>"0611832385100"</f>
        <v>0611832385100</v>
      </c>
      <c r="B9138" t="str">
        <f>"LL3051"</f>
        <v>LL3051</v>
      </c>
      <c r="C9138" t="s">
        <v>44973</v>
      </c>
      <c r="D9138" t="s">
        <v>27245</v>
      </c>
      <c r="E9138" t="str">
        <f t="shared" si="142"/>
        <v>001390</v>
      </c>
      <c r="F9138" t="s">
        <v>27246</v>
      </c>
      <c r="G9138" t="s">
        <v>27247</v>
      </c>
      <c r="H9138" t="s">
        <v>27248</v>
      </c>
      <c r="I9138" t="s">
        <v>44974</v>
      </c>
      <c r="J9138" t="s">
        <v>18294</v>
      </c>
      <c r="L9138" t="s">
        <v>27250</v>
      </c>
      <c r="M9138" t="s">
        <v>27251</v>
      </c>
      <c r="N9138" t="s">
        <v>27252</v>
      </c>
      <c r="Q9138" s="1">
        <v>44538</v>
      </c>
      <c r="R9138" t="s">
        <v>27253</v>
      </c>
      <c r="S9138" t="s">
        <v>27254</v>
      </c>
      <c r="T9138" t="s">
        <v>27255</v>
      </c>
    </row>
    <row r="9139" spans="1:20" x14ac:dyDescent="0.3">
      <c r="A9139" t="str">
        <f>"0611832386100"</f>
        <v>0611832386100</v>
      </c>
      <c r="B9139" t="str">
        <f>"LL4825"</f>
        <v>LL4825</v>
      </c>
      <c r="C9139" t="s">
        <v>44975</v>
      </c>
      <c r="D9139" t="s">
        <v>27245</v>
      </c>
      <c r="E9139" t="str">
        <f t="shared" si="142"/>
        <v>001390</v>
      </c>
      <c r="F9139" t="s">
        <v>27246</v>
      </c>
      <c r="G9139" t="s">
        <v>27247</v>
      </c>
      <c r="H9139" t="s">
        <v>27248</v>
      </c>
      <c r="I9139" t="s">
        <v>44976</v>
      </c>
      <c r="J9139" t="s">
        <v>18296</v>
      </c>
      <c r="L9139" t="s">
        <v>27250</v>
      </c>
      <c r="M9139" t="s">
        <v>27251</v>
      </c>
      <c r="N9139" t="s">
        <v>27252</v>
      </c>
      <c r="Q9139" s="1">
        <v>44538</v>
      </c>
      <c r="R9139" t="s">
        <v>27253</v>
      </c>
      <c r="S9139" t="s">
        <v>27254</v>
      </c>
      <c r="T9139" t="s">
        <v>27255</v>
      </c>
    </row>
    <row r="9140" spans="1:20" x14ac:dyDescent="0.3">
      <c r="A9140" t="str">
        <f>"0611832387100"</f>
        <v>0611832387100</v>
      </c>
      <c r="B9140" t="str">
        <f>"LL8216"</f>
        <v>LL8216</v>
      </c>
      <c r="C9140" t="s">
        <v>44977</v>
      </c>
      <c r="D9140" t="s">
        <v>27245</v>
      </c>
      <c r="E9140" t="str">
        <f t="shared" si="142"/>
        <v>001390</v>
      </c>
      <c r="F9140" t="s">
        <v>27246</v>
      </c>
      <c r="G9140" t="s">
        <v>27247</v>
      </c>
      <c r="H9140" t="s">
        <v>27248</v>
      </c>
      <c r="I9140" t="s">
        <v>44978</v>
      </c>
      <c r="J9140" t="s">
        <v>18298</v>
      </c>
      <c r="L9140" t="s">
        <v>27250</v>
      </c>
      <c r="M9140" t="s">
        <v>27251</v>
      </c>
      <c r="N9140" t="s">
        <v>27252</v>
      </c>
      <c r="Q9140" s="1">
        <v>44538</v>
      </c>
      <c r="R9140" t="s">
        <v>27253</v>
      </c>
      <c r="S9140" t="s">
        <v>27254</v>
      </c>
      <c r="T9140" t="s">
        <v>27255</v>
      </c>
    </row>
    <row r="9141" spans="1:20" x14ac:dyDescent="0.3">
      <c r="A9141" t="str">
        <f>"0611832388100"</f>
        <v>0611832388100</v>
      </c>
      <c r="B9141" t="str">
        <f>"LL0174"</f>
        <v>LL0174</v>
      </c>
      <c r="C9141" t="s">
        <v>44979</v>
      </c>
      <c r="D9141" t="s">
        <v>27245</v>
      </c>
      <c r="E9141" t="str">
        <f t="shared" si="142"/>
        <v>001390</v>
      </c>
      <c r="F9141" t="s">
        <v>27246</v>
      </c>
      <c r="G9141" t="s">
        <v>27247</v>
      </c>
      <c r="H9141" t="s">
        <v>27248</v>
      </c>
      <c r="I9141" t="s">
        <v>44980</v>
      </c>
      <c r="J9141" t="s">
        <v>18248</v>
      </c>
      <c r="L9141" t="s">
        <v>27250</v>
      </c>
      <c r="M9141" t="s">
        <v>27251</v>
      </c>
      <c r="N9141" t="s">
        <v>27252</v>
      </c>
      <c r="Q9141" s="1">
        <v>44538</v>
      </c>
      <c r="R9141" t="s">
        <v>27253</v>
      </c>
      <c r="S9141" t="s">
        <v>27254</v>
      </c>
      <c r="T9141" t="s">
        <v>27255</v>
      </c>
    </row>
    <row r="9142" spans="1:20" x14ac:dyDescent="0.3">
      <c r="A9142" t="str">
        <f>"0611832389100"</f>
        <v>0611832389100</v>
      </c>
      <c r="B9142" t="str">
        <f>"LL8051"</f>
        <v>LL8051</v>
      </c>
      <c r="C9142" t="s">
        <v>44981</v>
      </c>
      <c r="D9142" t="s">
        <v>27245</v>
      </c>
      <c r="E9142" t="str">
        <f t="shared" si="142"/>
        <v>001390</v>
      </c>
      <c r="F9142" t="s">
        <v>27246</v>
      </c>
      <c r="G9142" t="s">
        <v>27247</v>
      </c>
      <c r="H9142" t="s">
        <v>27248</v>
      </c>
      <c r="I9142" t="s">
        <v>44982</v>
      </c>
      <c r="J9142" t="s">
        <v>18300</v>
      </c>
      <c r="L9142" t="s">
        <v>27250</v>
      </c>
      <c r="M9142" t="s">
        <v>27251</v>
      </c>
      <c r="N9142" t="s">
        <v>27252</v>
      </c>
      <c r="Q9142" s="1">
        <v>44538</v>
      </c>
      <c r="R9142" t="s">
        <v>27253</v>
      </c>
      <c r="S9142" t="s">
        <v>27254</v>
      </c>
      <c r="T9142" t="s">
        <v>27255</v>
      </c>
    </row>
    <row r="9143" spans="1:20" x14ac:dyDescent="0.3">
      <c r="A9143" t="str">
        <f>"0611832390100"</f>
        <v>0611832390100</v>
      </c>
      <c r="B9143" t="str">
        <f>"LL8052"</f>
        <v>LL8052</v>
      </c>
      <c r="C9143" t="s">
        <v>44983</v>
      </c>
      <c r="D9143" t="s">
        <v>28138</v>
      </c>
      <c r="E9143" t="str">
        <f t="shared" si="142"/>
        <v>001390</v>
      </c>
      <c r="F9143" t="s">
        <v>27246</v>
      </c>
      <c r="G9143" t="s">
        <v>27247</v>
      </c>
      <c r="H9143" t="s">
        <v>27248</v>
      </c>
      <c r="I9143" t="s">
        <v>44984</v>
      </c>
      <c r="J9143" t="s">
        <v>18302</v>
      </c>
      <c r="L9143" t="s">
        <v>27250</v>
      </c>
      <c r="M9143" t="s">
        <v>27251</v>
      </c>
      <c r="N9143" t="s">
        <v>27252</v>
      </c>
      <c r="P9143" t="s">
        <v>27925</v>
      </c>
      <c r="Q9143" s="1">
        <v>44538</v>
      </c>
      <c r="R9143" t="s">
        <v>27253</v>
      </c>
      <c r="S9143" t="s">
        <v>27254</v>
      </c>
      <c r="T9143" t="s">
        <v>27255</v>
      </c>
    </row>
    <row r="9144" spans="1:20" x14ac:dyDescent="0.3">
      <c r="A9144" t="str">
        <f>"0611832391100"</f>
        <v>0611832391100</v>
      </c>
      <c r="B9144" t="str">
        <f>"LL8286"</f>
        <v>LL8286</v>
      </c>
      <c r="C9144" t="s">
        <v>44985</v>
      </c>
      <c r="D9144" t="s">
        <v>27245</v>
      </c>
      <c r="E9144" t="str">
        <f t="shared" si="142"/>
        <v>001390</v>
      </c>
      <c r="F9144" t="s">
        <v>27246</v>
      </c>
      <c r="G9144" t="s">
        <v>27247</v>
      </c>
      <c r="H9144" t="s">
        <v>27248</v>
      </c>
      <c r="I9144" t="s">
        <v>44986</v>
      </c>
      <c r="J9144" t="s">
        <v>18304</v>
      </c>
      <c r="L9144" t="s">
        <v>27250</v>
      </c>
      <c r="M9144" t="s">
        <v>27251</v>
      </c>
      <c r="N9144" t="s">
        <v>27252</v>
      </c>
      <c r="Q9144" s="1">
        <v>44538</v>
      </c>
      <c r="R9144" t="s">
        <v>27253</v>
      </c>
      <c r="S9144" t="s">
        <v>27254</v>
      </c>
      <c r="T9144" t="s">
        <v>27255</v>
      </c>
    </row>
    <row r="9145" spans="1:20" x14ac:dyDescent="0.3">
      <c r="A9145" t="str">
        <f>"0611832392100"</f>
        <v>0611832392100</v>
      </c>
      <c r="B9145" t="str">
        <f>"LL3159"</f>
        <v>LL3159</v>
      </c>
      <c r="C9145" t="s">
        <v>44987</v>
      </c>
      <c r="D9145" t="s">
        <v>27245</v>
      </c>
      <c r="E9145" t="str">
        <f t="shared" si="142"/>
        <v>001390</v>
      </c>
      <c r="F9145" t="s">
        <v>27246</v>
      </c>
      <c r="G9145" t="s">
        <v>27247</v>
      </c>
      <c r="H9145" t="s">
        <v>27248</v>
      </c>
      <c r="I9145" t="s">
        <v>44988</v>
      </c>
      <c r="J9145" t="s">
        <v>18306</v>
      </c>
      <c r="L9145" t="s">
        <v>27250</v>
      </c>
      <c r="M9145" t="s">
        <v>27251</v>
      </c>
      <c r="N9145" t="s">
        <v>27252</v>
      </c>
      <c r="Q9145" s="1">
        <v>44538</v>
      </c>
      <c r="R9145" t="s">
        <v>27253</v>
      </c>
      <c r="S9145" t="s">
        <v>27254</v>
      </c>
      <c r="T9145" t="s">
        <v>27255</v>
      </c>
    </row>
    <row r="9146" spans="1:20" x14ac:dyDescent="0.3">
      <c r="A9146" t="str">
        <f>"0611837437100"</f>
        <v>0611837437100</v>
      </c>
      <c r="B9146" t="str">
        <f>"LL0175"</f>
        <v>LL0175</v>
      </c>
      <c r="C9146" t="s">
        <v>44989</v>
      </c>
      <c r="D9146" t="s">
        <v>27245</v>
      </c>
      <c r="E9146" t="str">
        <f t="shared" si="142"/>
        <v>001390</v>
      </c>
      <c r="F9146" t="s">
        <v>27246</v>
      </c>
      <c r="G9146" t="s">
        <v>27247</v>
      </c>
      <c r="H9146" t="s">
        <v>27248</v>
      </c>
      <c r="I9146" t="s">
        <v>44990</v>
      </c>
      <c r="J9146" t="s">
        <v>18308</v>
      </c>
      <c r="L9146" t="s">
        <v>27250</v>
      </c>
      <c r="M9146" t="s">
        <v>27251</v>
      </c>
      <c r="N9146" t="s">
        <v>27252</v>
      </c>
      <c r="Q9146" s="1">
        <v>44538</v>
      </c>
      <c r="R9146" t="s">
        <v>27253</v>
      </c>
      <c r="S9146" t="s">
        <v>27254</v>
      </c>
      <c r="T9146" t="s">
        <v>27255</v>
      </c>
    </row>
    <row r="9147" spans="1:20" x14ac:dyDescent="0.3">
      <c r="A9147" t="str">
        <f>"0611837438100"</f>
        <v>0611837438100</v>
      </c>
      <c r="B9147" t="str">
        <f>"LL3095"</f>
        <v>LL3095</v>
      </c>
      <c r="C9147" t="s">
        <v>44991</v>
      </c>
      <c r="D9147" t="s">
        <v>27245</v>
      </c>
      <c r="E9147" t="str">
        <f t="shared" si="142"/>
        <v>001390</v>
      </c>
      <c r="F9147" t="s">
        <v>27246</v>
      </c>
      <c r="G9147" t="s">
        <v>27247</v>
      </c>
      <c r="H9147" t="s">
        <v>27248</v>
      </c>
      <c r="I9147" t="s">
        <v>44992</v>
      </c>
      <c r="J9147" t="s">
        <v>18310</v>
      </c>
      <c r="L9147" t="s">
        <v>27250</v>
      </c>
      <c r="M9147" t="s">
        <v>27251</v>
      </c>
      <c r="N9147" t="s">
        <v>27252</v>
      </c>
      <c r="Q9147" s="1">
        <v>44538</v>
      </c>
      <c r="R9147" t="s">
        <v>27253</v>
      </c>
      <c r="S9147" t="s">
        <v>27254</v>
      </c>
      <c r="T9147" t="s">
        <v>27255</v>
      </c>
    </row>
    <row r="9148" spans="1:20" x14ac:dyDescent="0.3">
      <c r="A9148" t="str">
        <f>"0611837439100"</f>
        <v>0611837439100</v>
      </c>
      <c r="B9148" t="str">
        <f>"LL0004"</f>
        <v>LL0004</v>
      </c>
      <c r="C9148" t="s">
        <v>44993</v>
      </c>
      <c r="D9148" t="s">
        <v>27245</v>
      </c>
      <c r="E9148" t="str">
        <f t="shared" si="142"/>
        <v>001390</v>
      </c>
      <c r="F9148" t="s">
        <v>27246</v>
      </c>
      <c r="G9148" t="s">
        <v>27247</v>
      </c>
      <c r="H9148" t="s">
        <v>27248</v>
      </c>
      <c r="I9148" t="s">
        <v>44994</v>
      </c>
      <c r="J9148" t="s">
        <v>18312</v>
      </c>
      <c r="L9148" t="s">
        <v>27250</v>
      </c>
      <c r="M9148" t="s">
        <v>27251</v>
      </c>
      <c r="N9148" t="s">
        <v>27252</v>
      </c>
      <c r="Q9148" s="1">
        <v>44538</v>
      </c>
      <c r="R9148" t="s">
        <v>27253</v>
      </c>
      <c r="S9148" t="s">
        <v>27254</v>
      </c>
      <c r="T9148" t="s">
        <v>27255</v>
      </c>
    </row>
    <row r="9149" spans="1:20" x14ac:dyDescent="0.3">
      <c r="A9149" t="str">
        <f>"0611832393100"</f>
        <v>0611832393100</v>
      </c>
      <c r="B9149" t="str">
        <f>"LL0163"</f>
        <v>LL0163</v>
      </c>
      <c r="C9149" t="s">
        <v>44995</v>
      </c>
      <c r="D9149" t="s">
        <v>27245</v>
      </c>
      <c r="E9149" t="str">
        <f t="shared" si="142"/>
        <v>001390</v>
      </c>
      <c r="F9149" t="s">
        <v>27246</v>
      </c>
      <c r="G9149" t="s">
        <v>27247</v>
      </c>
      <c r="H9149" t="s">
        <v>27248</v>
      </c>
      <c r="I9149" t="s">
        <v>44996</v>
      </c>
      <c r="J9149" t="s">
        <v>18314</v>
      </c>
      <c r="L9149" t="s">
        <v>27250</v>
      </c>
      <c r="M9149" t="s">
        <v>27251</v>
      </c>
      <c r="N9149" t="s">
        <v>27252</v>
      </c>
      <c r="Q9149" s="1">
        <v>44538</v>
      </c>
      <c r="R9149" t="s">
        <v>27253</v>
      </c>
      <c r="S9149" t="s">
        <v>27254</v>
      </c>
      <c r="T9149" t="s">
        <v>27255</v>
      </c>
    </row>
    <row r="9150" spans="1:20" x14ac:dyDescent="0.3">
      <c r="A9150" t="str">
        <f>"0611832394100"</f>
        <v>0611832394100</v>
      </c>
      <c r="B9150" t="str">
        <f>"LL0164"</f>
        <v>LL0164</v>
      </c>
      <c r="C9150" t="s">
        <v>44997</v>
      </c>
      <c r="D9150" t="s">
        <v>27245</v>
      </c>
      <c r="E9150" t="str">
        <f t="shared" si="142"/>
        <v>001390</v>
      </c>
      <c r="F9150" t="s">
        <v>27246</v>
      </c>
      <c r="G9150" t="s">
        <v>27247</v>
      </c>
      <c r="H9150" t="s">
        <v>27248</v>
      </c>
      <c r="I9150" t="s">
        <v>44998</v>
      </c>
      <c r="J9150" t="s">
        <v>18316</v>
      </c>
      <c r="L9150" t="s">
        <v>27250</v>
      </c>
      <c r="M9150" t="s">
        <v>27251</v>
      </c>
      <c r="N9150" t="s">
        <v>27252</v>
      </c>
      <c r="Q9150" s="1">
        <v>44538</v>
      </c>
      <c r="R9150" t="s">
        <v>27253</v>
      </c>
      <c r="S9150" t="s">
        <v>27254</v>
      </c>
      <c r="T9150" t="s">
        <v>27255</v>
      </c>
    </row>
    <row r="9151" spans="1:20" x14ac:dyDescent="0.3">
      <c r="A9151" t="str">
        <f>"0611832395100"</f>
        <v>0611832395100</v>
      </c>
      <c r="B9151" t="str">
        <f>"LL8053"</f>
        <v>LL8053</v>
      </c>
      <c r="C9151" t="s">
        <v>44999</v>
      </c>
      <c r="D9151" t="s">
        <v>28138</v>
      </c>
      <c r="E9151" t="str">
        <f t="shared" si="142"/>
        <v>001390</v>
      </c>
      <c r="F9151" t="s">
        <v>27246</v>
      </c>
      <c r="G9151" t="s">
        <v>27247</v>
      </c>
      <c r="H9151" t="s">
        <v>27248</v>
      </c>
      <c r="I9151" t="s">
        <v>45000</v>
      </c>
      <c r="J9151" t="s">
        <v>18318</v>
      </c>
      <c r="L9151" t="s">
        <v>27250</v>
      </c>
      <c r="M9151" t="s">
        <v>27251</v>
      </c>
      <c r="N9151" t="s">
        <v>27252</v>
      </c>
      <c r="P9151" t="s">
        <v>27925</v>
      </c>
      <c r="Q9151" s="1">
        <v>44538</v>
      </c>
      <c r="R9151" t="s">
        <v>27253</v>
      </c>
      <c r="S9151" t="s">
        <v>27254</v>
      </c>
      <c r="T9151" t="s">
        <v>27255</v>
      </c>
    </row>
    <row r="9152" spans="1:20" x14ac:dyDescent="0.3">
      <c r="A9152" t="str">
        <f>"0611832396100"</f>
        <v>0611832396100</v>
      </c>
      <c r="B9152" t="str">
        <f>"LK5072"</f>
        <v>LK5072</v>
      </c>
      <c r="C9152" t="s">
        <v>45001</v>
      </c>
      <c r="D9152" t="s">
        <v>27245</v>
      </c>
      <c r="E9152" t="str">
        <f t="shared" si="142"/>
        <v>001390</v>
      </c>
      <c r="F9152" t="s">
        <v>27246</v>
      </c>
      <c r="G9152" t="s">
        <v>27247</v>
      </c>
      <c r="H9152" t="s">
        <v>27248</v>
      </c>
      <c r="I9152" t="s">
        <v>45002</v>
      </c>
      <c r="J9152" t="s">
        <v>18320</v>
      </c>
      <c r="L9152" t="s">
        <v>27250</v>
      </c>
      <c r="M9152" t="s">
        <v>27251</v>
      </c>
      <c r="N9152" t="s">
        <v>27252</v>
      </c>
      <c r="Q9152" s="1">
        <v>44538</v>
      </c>
      <c r="R9152" t="s">
        <v>27253</v>
      </c>
      <c r="S9152" t="s">
        <v>27254</v>
      </c>
      <c r="T9152" t="s">
        <v>27255</v>
      </c>
    </row>
    <row r="9153" spans="1:20" x14ac:dyDescent="0.3">
      <c r="A9153" t="str">
        <f>"0611837440100"</f>
        <v>0611837440100</v>
      </c>
      <c r="B9153" t="str">
        <f>"LL3100"</f>
        <v>LL3100</v>
      </c>
      <c r="C9153" t="s">
        <v>45003</v>
      </c>
      <c r="D9153" t="s">
        <v>27245</v>
      </c>
      <c r="E9153" t="str">
        <f t="shared" si="142"/>
        <v>001390</v>
      </c>
      <c r="F9153" t="s">
        <v>27246</v>
      </c>
      <c r="G9153" t="s">
        <v>27247</v>
      </c>
      <c r="H9153" t="s">
        <v>27248</v>
      </c>
      <c r="I9153" t="s">
        <v>45004</v>
      </c>
      <c r="J9153" t="s">
        <v>18322</v>
      </c>
      <c r="L9153" t="s">
        <v>27250</v>
      </c>
      <c r="M9153" t="s">
        <v>27251</v>
      </c>
      <c r="N9153" t="s">
        <v>27252</v>
      </c>
      <c r="Q9153" s="1">
        <v>44538</v>
      </c>
      <c r="R9153" t="s">
        <v>27253</v>
      </c>
      <c r="S9153" t="s">
        <v>27254</v>
      </c>
      <c r="T9153" t="s">
        <v>27255</v>
      </c>
    </row>
    <row r="9154" spans="1:20" x14ac:dyDescent="0.3">
      <c r="A9154" t="str">
        <f>"0611832397100"</f>
        <v>0611832397100</v>
      </c>
      <c r="B9154" t="str">
        <f>"LL3438"</f>
        <v>LL3438</v>
      </c>
      <c r="C9154" t="s">
        <v>45005</v>
      </c>
      <c r="D9154" t="s">
        <v>27245</v>
      </c>
      <c r="E9154" t="str">
        <f t="shared" ref="E9154:E9217" si="143">"001390"</f>
        <v>001390</v>
      </c>
      <c r="F9154" t="s">
        <v>27246</v>
      </c>
      <c r="G9154" t="s">
        <v>27247</v>
      </c>
      <c r="H9154" t="s">
        <v>27248</v>
      </c>
      <c r="I9154" t="s">
        <v>45006</v>
      </c>
      <c r="J9154" t="s">
        <v>18324</v>
      </c>
      <c r="L9154" t="s">
        <v>27250</v>
      </c>
      <c r="M9154" t="s">
        <v>27251</v>
      </c>
      <c r="N9154" t="s">
        <v>27252</v>
      </c>
      <c r="Q9154" s="1">
        <v>44538</v>
      </c>
      <c r="R9154" t="s">
        <v>27253</v>
      </c>
      <c r="S9154" t="s">
        <v>27254</v>
      </c>
      <c r="T9154" t="s">
        <v>27255</v>
      </c>
    </row>
    <row r="9155" spans="1:20" x14ac:dyDescent="0.3">
      <c r="A9155" t="str">
        <f>"0611832398100"</f>
        <v>0611832398100</v>
      </c>
      <c r="B9155" t="str">
        <f>"LL4872"</f>
        <v>LL4872</v>
      </c>
      <c r="C9155" t="s">
        <v>45007</v>
      </c>
      <c r="D9155" t="s">
        <v>27245</v>
      </c>
      <c r="E9155" t="str">
        <f t="shared" si="143"/>
        <v>001390</v>
      </c>
      <c r="F9155" t="s">
        <v>27246</v>
      </c>
      <c r="G9155" t="s">
        <v>27247</v>
      </c>
      <c r="H9155" t="s">
        <v>27248</v>
      </c>
      <c r="I9155" t="s">
        <v>45008</v>
      </c>
      <c r="J9155" t="s">
        <v>18326</v>
      </c>
      <c r="L9155" t="s">
        <v>27250</v>
      </c>
      <c r="M9155" t="s">
        <v>27251</v>
      </c>
      <c r="N9155" t="s">
        <v>27252</v>
      </c>
      <c r="Q9155" s="1">
        <v>44538</v>
      </c>
      <c r="R9155" t="s">
        <v>27253</v>
      </c>
      <c r="S9155" t="s">
        <v>27254</v>
      </c>
      <c r="T9155" t="s">
        <v>27255</v>
      </c>
    </row>
    <row r="9156" spans="1:20" x14ac:dyDescent="0.3">
      <c r="A9156" t="str">
        <f>"0611832399100"</f>
        <v>0611832399100</v>
      </c>
      <c r="B9156" t="str">
        <f>"LL0025"</f>
        <v>LL0025</v>
      </c>
      <c r="C9156" t="s">
        <v>45009</v>
      </c>
      <c r="D9156" t="s">
        <v>27245</v>
      </c>
      <c r="E9156" t="str">
        <f t="shared" si="143"/>
        <v>001390</v>
      </c>
      <c r="F9156" t="s">
        <v>27246</v>
      </c>
      <c r="G9156" t="s">
        <v>27247</v>
      </c>
      <c r="H9156" t="s">
        <v>27248</v>
      </c>
      <c r="I9156" t="s">
        <v>45010</v>
      </c>
      <c r="J9156" t="s">
        <v>18328</v>
      </c>
      <c r="L9156" t="s">
        <v>27250</v>
      </c>
      <c r="M9156" t="s">
        <v>27251</v>
      </c>
      <c r="N9156" t="s">
        <v>27252</v>
      </c>
      <c r="Q9156" s="1">
        <v>44538</v>
      </c>
      <c r="R9156" t="s">
        <v>27253</v>
      </c>
      <c r="S9156" t="s">
        <v>27254</v>
      </c>
      <c r="T9156" t="s">
        <v>27255</v>
      </c>
    </row>
    <row r="9157" spans="1:20" x14ac:dyDescent="0.3">
      <c r="A9157" t="str">
        <f>"0611857054100"</f>
        <v>0611857054100</v>
      </c>
      <c r="B9157" t="str">
        <f>"LL5052"</f>
        <v>LL5052</v>
      </c>
      <c r="C9157" t="s">
        <v>45011</v>
      </c>
      <c r="D9157" t="s">
        <v>27245</v>
      </c>
      <c r="E9157" t="str">
        <f t="shared" si="143"/>
        <v>001390</v>
      </c>
      <c r="F9157" t="s">
        <v>27246</v>
      </c>
      <c r="G9157" t="s">
        <v>27247</v>
      </c>
      <c r="H9157" t="s">
        <v>27248</v>
      </c>
      <c r="I9157" t="s">
        <v>45012</v>
      </c>
      <c r="J9157" t="s">
        <v>18330</v>
      </c>
      <c r="L9157" t="s">
        <v>27250</v>
      </c>
      <c r="M9157" t="s">
        <v>27251</v>
      </c>
      <c r="N9157" t="s">
        <v>27252</v>
      </c>
      <c r="Q9157" s="1">
        <v>44812</v>
      </c>
      <c r="R9157" t="s">
        <v>27253</v>
      </c>
      <c r="S9157" t="s">
        <v>27254</v>
      </c>
      <c r="T9157" t="s">
        <v>27255</v>
      </c>
    </row>
    <row r="9158" spans="1:20" x14ac:dyDescent="0.3">
      <c r="A9158" t="str">
        <f>"0611837441100"</f>
        <v>0611837441100</v>
      </c>
      <c r="B9158" t="str">
        <f>"LL0005"</f>
        <v>LL0005</v>
      </c>
      <c r="C9158" t="s">
        <v>45013</v>
      </c>
      <c r="D9158" t="s">
        <v>27245</v>
      </c>
      <c r="E9158" t="str">
        <f t="shared" si="143"/>
        <v>001390</v>
      </c>
      <c r="F9158" t="s">
        <v>27246</v>
      </c>
      <c r="G9158" t="s">
        <v>27247</v>
      </c>
      <c r="H9158" t="s">
        <v>27248</v>
      </c>
      <c r="I9158" t="s">
        <v>45014</v>
      </c>
      <c r="J9158" t="s">
        <v>18332</v>
      </c>
      <c r="L9158" t="s">
        <v>27250</v>
      </c>
      <c r="M9158" t="s">
        <v>27251</v>
      </c>
      <c r="N9158" t="s">
        <v>27252</v>
      </c>
      <c r="Q9158" s="1">
        <v>44538</v>
      </c>
      <c r="R9158" t="s">
        <v>27253</v>
      </c>
      <c r="S9158" t="s">
        <v>27254</v>
      </c>
      <c r="T9158" t="s">
        <v>27255</v>
      </c>
    </row>
    <row r="9159" spans="1:20" x14ac:dyDescent="0.3">
      <c r="A9159" t="str">
        <f>"0611832400100"</f>
        <v>0611832400100</v>
      </c>
      <c r="B9159" t="str">
        <f>"LL3062"</f>
        <v>LL3062</v>
      </c>
      <c r="C9159" t="s">
        <v>45015</v>
      </c>
      <c r="D9159" t="s">
        <v>27245</v>
      </c>
      <c r="E9159" t="str">
        <f t="shared" si="143"/>
        <v>001390</v>
      </c>
      <c r="F9159" t="s">
        <v>27246</v>
      </c>
      <c r="G9159" t="s">
        <v>27247</v>
      </c>
      <c r="H9159" t="s">
        <v>27248</v>
      </c>
      <c r="I9159" t="s">
        <v>45016</v>
      </c>
      <c r="J9159" t="s">
        <v>18334</v>
      </c>
      <c r="L9159" t="s">
        <v>27250</v>
      </c>
      <c r="M9159" t="s">
        <v>27251</v>
      </c>
      <c r="N9159" t="s">
        <v>27252</v>
      </c>
      <c r="Q9159" s="1">
        <v>44538</v>
      </c>
      <c r="R9159" t="s">
        <v>27253</v>
      </c>
      <c r="S9159" t="s">
        <v>27254</v>
      </c>
      <c r="T9159" t="s">
        <v>27255</v>
      </c>
    </row>
    <row r="9160" spans="1:20" x14ac:dyDescent="0.3">
      <c r="A9160" t="str">
        <f>"0611832401100"</f>
        <v>0611832401100</v>
      </c>
      <c r="B9160" t="str">
        <f>"LL3063"</f>
        <v>LL3063</v>
      </c>
      <c r="C9160" t="s">
        <v>45017</v>
      </c>
      <c r="D9160" t="s">
        <v>27245</v>
      </c>
      <c r="E9160" t="str">
        <f t="shared" si="143"/>
        <v>001390</v>
      </c>
      <c r="F9160" t="s">
        <v>27246</v>
      </c>
      <c r="G9160" t="s">
        <v>27247</v>
      </c>
      <c r="H9160" t="s">
        <v>27248</v>
      </c>
      <c r="I9160" t="s">
        <v>45018</v>
      </c>
      <c r="J9160" t="s">
        <v>18336</v>
      </c>
      <c r="L9160" t="s">
        <v>27250</v>
      </c>
      <c r="M9160" t="s">
        <v>27251</v>
      </c>
      <c r="N9160" t="s">
        <v>27252</v>
      </c>
      <c r="Q9160" s="1">
        <v>44538</v>
      </c>
      <c r="R9160" t="s">
        <v>27253</v>
      </c>
      <c r="S9160" t="s">
        <v>27254</v>
      </c>
      <c r="T9160" t="s">
        <v>27255</v>
      </c>
    </row>
    <row r="9161" spans="1:20" x14ac:dyDescent="0.3">
      <c r="A9161" t="str">
        <f>"0611832402100"</f>
        <v>0611832402100</v>
      </c>
      <c r="B9161" t="str">
        <f>"LL8218"</f>
        <v>LL8218</v>
      </c>
      <c r="C9161" t="s">
        <v>45019</v>
      </c>
      <c r="D9161" t="s">
        <v>27245</v>
      </c>
      <c r="E9161" t="str">
        <f t="shared" si="143"/>
        <v>001390</v>
      </c>
      <c r="F9161" t="s">
        <v>27246</v>
      </c>
      <c r="G9161" t="s">
        <v>27247</v>
      </c>
      <c r="H9161" t="s">
        <v>27248</v>
      </c>
      <c r="I9161" t="s">
        <v>45020</v>
      </c>
      <c r="J9161" t="s">
        <v>18338</v>
      </c>
      <c r="L9161" t="s">
        <v>27250</v>
      </c>
      <c r="M9161" t="s">
        <v>27251</v>
      </c>
      <c r="N9161" t="s">
        <v>27252</v>
      </c>
      <c r="Q9161" s="1">
        <v>44538</v>
      </c>
      <c r="R9161" t="s">
        <v>27253</v>
      </c>
      <c r="S9161" t="s">
        <v>27254</v>
      </c>
      <c r="T9161" t="s">
        <v>27255</v>
      </c>
    </row>
    <row r="9162" spans="1:20" x14ac:dyDescent="0.3">
      <c r="A9162" t="str">
        <f>"0611832403100"</f>
        <v>0611832403100</v>
      </c>
      <c r="B9162" t="str">
        <f>"LL3163"</f>
        <v>LL3163</v>
      </c>
      <c r="C9162" t="s">
        <v>45021</v>
      </c>
      <c r="D9162" t="s">
        <v>27245</v>
      </c>
      <c r="E9162" t="str">
        <f t="shared" si="143"/>
        <v>001390</v>
      </c>
      <c r="F9162" t="s">
        <v>27246</v>
      </c>
      <c r="G9162" t="s">
        <v>27247</v>
      </c>
      <c r="H9162" t="s">
        <v>27248</v>
      </c>
      <c r="I9162" t="s">
        <v>45022</v>
      </c>
      <c r="J9162" t="s">
        <v>18340</v>
      </c>
      <c r="L9162" t="s">
        <v>27250</v>
      </c>
      <c r="M9162" t="s">
        <v>27251</v>
      </c>
      <c r="N9162" t="s">
        <v>27252</v>
      </c>
      <c r="Q9162" s="1">
        <v>44538</v>
      </c>
      <c r="R9162" t="s">
        <v>27253</v>
      </c>
      <c r="S9162" t="s">
        <v>27254</v>
      </c>
      <c r="T9162" t="s">
        <v>27255</v>
      </c>
    </row>
    <row r="9163" spans="1:20" x14ac:dyDescent="0.3">
      <c r="A9163" t="str">
        <f>"0611832404100"</f>
        <v>0611832404100</v>
      </c>
      <c r="B9163" t="str">
        <f>"LL0060"</f>
        <v>LL0060</v>
      </c>
      <c r="C9163" t="s">
        <v>45023</v>
      </c>
      <c r="D9163" t="s">
        <v>27245</v>
      </c>
      <c r="E9163" t="str">
        <f t="shared" si="143"/>
        <v>001390</v>
      </c>
      <c r="F9163" t="s">
        <v>27246</v>
      </c>
      <c r="G9163" t="s">
        <v>27247</v>
      </c>
      <c r="H9163" t="s">
        <v>27248</v>
      </c>
      <c r="I9163" t="s">
        <v>45024</v>
      </c>
      <c r="J9163" t="s">
        <v>18342</v>
      </c>
      <c r="L9163" t="s">
        <v>27250</v>
      </c>
      <c r="M9163" t="s">
        <v>27251</v>
      </c>
      <c r="N9163" t="s">
        <v>27252</v>
      </c>
      <c r="Q9163" s="1">
        <v>44538</v>
      </c>
      <c r="R9163" t="s">
        <v>27253</v>
      </c>
      <c r="S9163" t="s">
        <v>27254</v>
      </c>
      <c r="T9163" t="s">
        <v>27255</v>
      </c>
    </row>
    <row r="9164" spans="1:20" x14ac:dyDescent="0.3">
      <c r="A9164" t="str">
        <f>"0611832405100"</f>
        <v>0611832405100</v>
      </c>
      <c r="B9164" t="str">
        <f>"LL3091"</f>
        <v>LL3091</v>
      </c>
      <c r="C9164" t="s">
        <v>45025</v>
      </c>
      <c r="D9164" t="s">
        <v>27245</v>
      </c>
      <c r="E9164" t="str">
        <f t="shared" si="143"/>
        <v>001390</v>
      </c>
      <c r="F9164" t="s">
        <v>27246</v>
      </c>
      <c r="G9164" t="s">
        <v>27247</v>
      </c>
      <c r="H9164" t="s">
        <v>27248</v>
      </c>
      <c r="I9164" t="s">
        <v>45026</v>
      </c>
      <c r="J9164" t="s">
        <v>18344</v>
      </c>
      <c r="L9164" t="s">
        <v>27250</v>
      </c>
      <c r="M9164" t="s">
        <v>27251</v>
      </c>
      <c r="N9164" t="s">
        <v>27252</v>
      </c>
      <c r="Q9164" s="1">
        <v>44538</v>
      </c>
      <c r="R9164" t="s">
        <v>27253</v>
      </c>
      <c r="S9164" t="s">
        <v>27254</v>
      </c>
      <c r="T9164" t="s">
        <v>27255</v>
      </c>
    </row>
    <row r="9165" spans="1:20" x14ac:dyDescent="0.3">
      <c r="A9165" t="str">
        <f>"0611832406100"</f>
        <v>0611832406100</v>
      </c>
      <c r="B9165" t="str">
        <f>"LL8150"</f>
        <v>LL8150</v>
      </c>
      <c r="C9165" t="s">
        <v>45027</v>
      </c>
      <c r="D9165" t="s">
        <v>27245</v>
      </c>
      <c r="E9165" t="str">
        <f t="shared" si="143"/>
        <v>001390</v>
      </c>
      <c r="F9165" t="s">
        <v>27246</v>
      </c>
      <c r="G9165" t="s">
        <v>27247</v>
      </c>
      <c r="H9165" t="s">
        <v>27248</v>
      </c>
      <c r="I9165" t="s">
        <v>45028</v>
      </c>
      <c r="J9165" t="s">
        <v>18346</v>
      </c>
      <c r="L9165" t="s">
        <v>27250</v>
      </c>
      <c r="M9165" t="s">
        <v>27251</v>
      </c>
      <c r="N9165" t="s">
        <v>27252</v>
      </c>
      <c r="Q9165" s="1">
        <v>44538</v>
      </c>
      <c r="R9165" t="s">
        <v>27253</v>
      </c>
      <c r="S9165" t="s">
        <v>27254</v>
      </c>
      <c r="T9165" t="s">
        <v>27255</v>
      </c>
    </row>
    <row r="9166" spans="1:20" x14ac:dyDescent="0.3">
      <c r="A9166" t="str">
        <f>"0611832407100"</f>
        <v>0611832407100</v>
      </c>
      <c r="B9166" t="str">
        <f>"LL3134"</f>
        <v>LL3134</v>
      </c>
      <c r="C9166" t="s">
        <v>45029</v>
      </c>
      <c r="D9166" t="s">
        <v>27245</v>
      </c>
      <c r="E9166" t="str">
        <f t="shared" si="143"/>
        <v>001390</v>
      </c>
      <c r="F9166" t="s">
        <v>27246</v>
      </c>
      <c r="G9166" t="s">
        <v>27247</v>
      </c>
      <c r="H9166" t="s">
        <v>27248</v>
      </c>
      <c r="I9166" t="s">
        <v>45030</v>
      </c>
      <c r="J9166" t="s">
        <v>18348</v>
      </c>
      <c r="L9166" t="s">
        <v>27250</v>
      </c>
      <c r="M9166" t="s">
        <v>27251</v>
      </c>
      <c r="N9166" t="s">
        <v>27252</v>
      </c>
      <c r="Q9166" s="1">
        <v>44538</v>
      </c>
      <c r="R9166" t="s">
        <v>27253</v>
      </c>
      <c r="S9166" t="s">
        <v>27254</v>
      </c>
      <c r="T9166" t="s">
        <v>27255</v>
      </c>
    </row>
    <row r="9167" spans="1:20" x14ac:dyDescent="0.3">
      <c r="A9167" t="str">
        <f>"0611832408100"</f>
        <v>0611832408100</v>
      </c>
      <c r="B9167" t="str">
        <f>"LL8287"</f>
        <v>LL8287</v>
      </c>
      <c r="C9167" t="s">
        <v>45031</v>
      </c>
      <c r="D9167" t="s">
        <v>27245</v>
      </c>
      <c r="E9167" t="str">
        <f t="shared" si="143"/>
        <v>001390</v>
      </c>
      <c r="F9167" t="s">
        <v>27246</v>
      </c>
      <c r="G9167" t="s">
        <v>27247</v>
      </c>
      <c r="H9167" t="s">
        <v>27248</v>
      </c>
      <c r="I9167" t="s">
        <v>45032</v>
      </c>
      <c r="J9167" t="s">
        <v>18350</v>
      </c>
      <c r="L9167" t="s">
        <v>27250</v>
      </c>
      <c r="M9167" t="s">
        <v>27251</v>
      </c>
      <c r="N9167" t="s">
        <v>27252</v>
      </c>
      <c r="Q9167" s="1">
        <v>44538</v>
      </c>
      <c r="R9167" t="s">
        <v>27253</v>
      </c>
      <c r="S9167" t="s">
        <v>27254</v>
      </c>
      <c r="T9167" t="s">
        <v>27255</v>
      </c>
    </row>
    <row r="9168" spans="1:20" x14ac:dyDescent="0.3">
      <c r="A9168" t="str">
        <f>"0611832409100"</f>
        <v>0611832409100</v>
      </c>
      <c r="B9168" t="str">
        <f>"LL3124"</f>
        <v>LL3124</v>
      </c>
      <c r="C9168" t="s">
        <v>45033</v>
      </c>
      <c r="D9168" t="s">
        <v>27245</v>
      </c>
      <c r="E9168" t="str">
        <f t="shared" si="143"/>
        <v>001390</v>
      </c>
      <c r="F9168" t="s">
        <v>27246</v>
      </c>
      <c r="G9168" t="s">
        <v>27247</v>
      </c>
      <c r="H9168" t="s">
        <v>27248</v>
      </c>
      <c r="I9168" t="s">
        <v>45034</v>
      </c>
      <c r="J9168" t="s">
        <v>18352</v>
      </c>
      <c r="L9168" t="s">
        <v>27250</v>
      </c>
      <c r="M9168" t="s">
        <v>27251</v>
      </c>
      <c r="N9168" t="s">
        <v>27252</v>
      </c>
      <c r="Q9168" s="1">
        <v>44538</v>
      </c>
      <c r="R9168" t="s">
        <v>27253</v>
      </c>
      <c r="S9168" t="s">
        <v>27254</v>
      </c>
      <c r="T9168" t="s">
        <v>27255</v>
      </c>
    </row>
    <row r="9169" spans="1:20" x14ac:dyDescent="0.3">
      <c r="A9169" t="str">
        <f>"0611832410100"</f>
        <v>0611832410100</v>
      </c>
      <c r="B9169" t="str">
        <f>"LL0061"</f>
        <v>LL0061</v>
      </c>
      <c r="C9169" t="s">
        <v>45035</v>
      </c>
      <c r="D9169" t="s">
        <v>27245</v>
      </c>
      <c r="E9169" t="str">
        <f t="shared" si="143"/>
        <v>001390</v>
      </c>
      <c r="F9169" t="s">
        <v>27246</v>
      </c>
      <c r="G9169" t="s">
        <v>27247</v>
      </c>
      <c r="H9169" t="s">
        <v>27248</v>
      </c>
      <c r="I9169" t="s">
        <v>45036</v>
      </c>
      <c r="J9169" t="s">
        <v>18354</v>
      </c>
      <c r="L9169" t="s">
        <v>27250</v>
      </c>
      <c r="M9169" t="s">
        <v>27251</v>
      </c>
      <c r="N9169" t="s">
        <v>27252</v>
      </c>
      <c r="Q9169" s="1">
        <v>44538</v>
      </c>
      <c r="R9169" t="s">
        <v>27253</v>
      </c>
      <c r="S9169" t="s">
        <v>27254</v>
      </c>
      <c r="T9169" t="s">
        <v>27255</v>
      </c>
    </row>
    <row r="9170" spans="1:20" x14ac:dyDescent="0.3">
      <c r="A9170" t="str">
        <f>"0611832411100"</f>
        <v>0611832411100</v>
      </c>
      <c r="B9170" t="str">
        <f>"LL8151"</f>
        <v>LL8151</v>
      </c>
      <c r="C9170" t="s">
        <v>45037</v>
      </c>
      <c r="D9170" t="s">
        <v>27245</v>
      </c>
      <c r="E9170" t="str">
        <f t="shared" si="143"/>
        <v>001390</v>
      </c>
      <c r="F9170" t="s">
        <v>27246</v>
      </c>
      <c r="G9170" t="s">
        <v>27247</v>
      </c>
      <c r="H9170" t="s">
        <v>27248</v>
      </c>
      <c r="I9170" t="s">
        <v>45038</v>
      </c>
      <c r="J9170" t="s">
        <v>18356</v>
      </c>
      <c r="L9170" t="s">
        <v>27250</v>
      </c>
      <c r="M9170" t="s">
        <v>27251</v>
      </c>
      <c r="N9170" t="s">
        <v>27252</v>
      </c>
      <c r="Q9170" s="1">
        <v>44538</v>
      </c>
      <c r="R9170" t="s">
        <v>27253</v>
      </c>
      <c r="S9170" t="s">
        <v>27254</v>
      </c>
      <c r="T9170" t="s">
        <v>27255</v>
      </c>
    </row>
    <row r="9171" spans="1:20" x14ac:dyDescent="0.3">
      <c r="A9171" t="str">
        <f>"0611832412100"</f>
        <v>0611832412100</v>
      </c>
      <c r="B9171" t="str">
        <f>"LL8315"</f>
        <v>LL8315</v>
      </c>
      <c r="C9171" t="s">
        <v>45039</v>
      </c>
      <c r="D9171" t="s">
        <v>27245</v>
      </c>
      <c r="E9171" t="str">
        <f t="shared" si="143"/>
        <v>001390</v>
      </c>
      <c r="F9171" t="s">
        <v>27246</v>
      </c>
      <c r="G9171" t="s">
        <v>27247</v>
      </c>
      <c r="H9171" t="s">
        <v>27248</v>
      </c>
      <c r="I9171" t="s">
        <v>45040</v>
      </c>
      <c r="J9171" t="s">
        <v>18358</v>
      </c>
      <c r="L9171" t="s">
        <v>27250</v>
      </c>
      <c r="M9171" t="s">
        <v>27251</v>
      </c>
      <c r="N9171" t="s">
        <v>27252</v>
      </c>
      <c r="Q9171" s="1">
        <v>44538</v>
      </c>
      <c r="R9171" t="s">
        <v>27253</v>
      </c>
      <c r="S9171" t="s">
        <v>27254</v>
      </c>
      <c r="T9171" t="s">
        <v>27255</v>
      </c>
    </row>
    <row r="9172" spans="1:20" x14ac:dyDescent="0.3">
      <c r="A9172" t="str">
        <f>"0611832413100"</f>
        <v>0611832413100</v>
      </c>
      <c r="B9172" t="str">
        <f>"LL3181"</f>
        <v>LL3181</v>
      </c>
      <c r="C9172" t="s">
        <v>45041</v>
      </c>
      <c r="D9172" t="s">
        <v>27245</v>
      </c>
      <c r="E9172" t="str">
        <f t="shared" si="143"/>
        <v>001390</v>
      </c>
      <c r="F9172" t="s">
        <v>27246</v>
      </c>
      <c r="G9172" t="s">
        <v>27247</v>
      </c>
      <c r="H9172" t="s">
        <v>27248</v>
      </c>
      <c r="I9172" t="s">
        <v>45042</v>
      </c>
      <c r="J9172" t="s">
        <v>18360</v>
      </c>
      <c r="L9172" t="s">
        <v>27250</v>
      </c>
      <c r="M9172" t="s">
        <v>27251</v>
      </c>
      <c r="N9172" t="s">
        <v>27252</v>
      </c>
      <c r="Q9172" s="1">
        <v>44538</v>
      </c>
      <c r="R9172" t="s">
        <v>27253</v>
      </c>
      <c r="S9172" t="s">
        <v>27254</v>
      </c>
      <c r="T9172" t="s">
        <v>27255</v>
      </c>
    </row>
    <row r="9173" spans="1:20" x14ac:dyDescent="0.3">
      <c r="A9173" t="str">
        <f>"0611832414100"</f>
        <v>0611832414100</v>
      </c>
      <c r="B9173" t="str">
        <f>"LL3149"</f>
        <v>LL3149</v>
      </c>
      <c r="C9173" t="s">
        <v>45043</v>
      </c>
      <c r="D9173" t="s">
        <v>27245</v>
      </c>
      <c r="E9173" t="str">
        <f t="shared" si="143"/>
        <v>001390</v>
      </c>
      <c r="F9173" t="s">
        <v>27246</v>
      </c>
      <c r="G9173" t="s">
        <v>27247</v>
      </c>
      <c r="H9173" t="s">
        <v>27248</v>
      </c>
      <c r="I9173" t="s">
        <v>45044</v>
      </c>
      <c r="J9173" t="s">
        <v>18362</v>
      </c>
      <c r="L9173" t="s">
        <v>27250</v>
      </c>
      <c r="M9173" t="s">
        <v>27251</v>
      </c>
      <c r="N9173" t="s">
        <v>27252</v>
      </c>
      <c r="Q9173" s="1">
        <v>44538</v>
      </c>
      <c r="R9173" t="s">
        <v>27253</v>
      </c>
      <c r="S9173" t="s">
        <v>27254</v>
      </c>
      <c r="T9173" t="s">
        <v>27255</v>
      </c>
    </row>
    <row r="9174" spans="1:20" x14ac:dyDescent="0.3">
      <c r="A9174" t="str">
        <f>"0611837442100"</f>
        <v>0611837442100</v>
      </c>
      <c r="B9174" t="str">
        <f>"LL0177"</f>
        <v>LL0177</v>
      </c>
      <c r="C9174" t="s">
        <v>45045</v>
      </c>
      <c r="D9174" t="s">
        <v>27245</v>
      </c>
      <c r="E9174" t="str">
        <f t="shared" si="143"/>
        <v>001390</v>
      </c>
      <c r="F9174" t="s">
        <v>27246</v>
      </c>
      <c r="G9174" t="s">
        <v>27247</v>
      </c>
      <c r="H9174" t="s">
        <v>27248</v>
      </c>
      <c r="I9174" t="s">
        <v>45046</v>
      </c>
      <c r="J9174" t="s">
        <v>18364</v>
      </c>
      <c r="L9174" t="s">
        <v>27250</v>
      </c>
      <c r="M9174" t="s">
        <v>27251</v>
      </c>
      <c r="N9174" t="s">
        <v>27252</v>
      </c>
      <c r="Q9174" s="1">
        <v>44538</v>
      </c>
      <c r="R9174" t="s">
        <v>27253</v>
      </c>
      <c r="S9174" t="s">
        <v>27254</v>
      </c>
      <c r="T9174" t="s">
        <v>27255</v>
      </c>
    </row>
    <row r="9175" spans="1:20" x14ac:dyDescent="0.3">
      <c r="A9175" t="str">
        <f>"0611837443100"</f>
        <v>0611837443100</v>
      </c>
      <c r="B9175" t="str">
        <f>"LL0178"</f>
        <v>LL0178</v>
      </c>
      <c r="C9175" t="s">
        <v>45047</v>
      </c>
      <c r="D9175" t="s">
        <v>27245</v>
      </c>
      <c r="E9175" t="str">
        <f t="shared" si="143"/>
        <v>001390</v>
      </c>
      <c r="F9175" t="s">
        <v>27246</v>
      </c>
      <c r="G9175" t="s">
        <v>27247</v>
      </c>
      <c r="H9175" t="s">
        <v>27248</v>
      </c>
      <c r="I9175" t="s">
        <v>45048</v>
      </c>
      <c r="J9175" t="s">
        <v>18366</v>
      </c>
      <c r="L9175" t="s">
        <v>27250</v>
      </c>
      <c r="M9175" t="s">
        <v>27251</v>
      </c>
      <c r="N9175" t="s">
        <v>27252</v>
      </c>
      <c r="Q9175" s="1">
        <v>44538</v>
      </c>
      <c r="R9175" t="s">
        <v>27253</v>
      </c>
      <c r="S9175" t="s">
        <v>27254</v>
      </c>
      <c r="T9175" t="s">
        <v>27255</v>
      </c>
    </row>
    <row r="9176" spans="1:20" x14ac:dyDescent="0.3">
      <c r="A9176" t="str">
        <f>"0611837444100"</f>
        <v>0611837444100</v>
      </c>
      <c r="B9176" t="str">
        <f>"LL0176"</f>
        <v>LL0176</v>
      </c>
      <c r="C9176" t="s">
        <v>45049</v>
      </c>
      <c r="D9176" t="s">
        <v>27245</v>
      </c>
      <c r="E9176" t="str">
        <f t="shared" si="143"/>
        <v>001390</v>
      </c>
      <c r="F9176" t="s">
        <v>27246</v>
      </c>
      <c r="G9176" t="s">
        <v>27247</v>
      </c>
      <c r="H9176" t="s">
        <v>27248</v>
      </c>
      <c r="I9176" t="s">
        <v>45050</v>
      </c>
      <c r="J9176" t="s">
        <v>18368</v>
      </c>
      <c r="L9176" t="s">
        <v>27250</v>
      </c>
      <c r="M9176" t="s">
        <v>27251</v>
      </c>
      <c r="N9176" t="s">
        <v>27252</v>
      </c>
      <c r="Q9176" s="1">
        <v>44538</v>
      </c>
      <c r="R9176" t="s">
        <v>27253</v>
      </c>
      <c r="S9176" t="s">
        <v>27254</v>
      </c>
      <c r="T9176" t="s">
        <v>27255</v>
      </c>
    </row>
    <row r="9177" spans="1:20" x14ac:dyDescent="0.3">
      <c r="A9177" t="str">
        <f>"0611832415100"</f>
        <v>0611832415100</v>
      </c>
      <c r="B9177" t="str">
        <f>"LL3137"</f>
        <v>LL3137</v>
      </c>
      <c r="C9177" t="s">
        <v>45051</v>
      </c>
      <c r="D9177" t="s">
        <v>27245</v>
      </c>
      <c r="E9177" t="str">
        <f t="shared" si="143"/>
        <v>001390</v>
      </c>
      <c r="F9177" t="s">
        <v>27246</v>
      </c>
      <c r="G9177" t="s">
        <v>27247</v>
      </c>
      <c r="H9177" t="s">
        <v>27248</v>
      </c>
      <c r="I9177" t="s">
        <v>45052</v>
      </c>
      <c r="J9177" t="s">
        <v>18370</v>
      </c>
      <c r="L9177" t="s">
        <v>27250</v>
      </c>
      <c r="M9177" t="s">
        <v>27251</v>
      </c>
      <c r="N9177" t="s">
        <v>27252</v>
      </c>
      <c r="Q9177" s="1">
        <v>44538</v>
      </c>
      <c r="R9177" t="s">
        <v>27253</v>
      </c>
      <c r="S9177" t="s">
        <v>27254</v>
      </c>
      <c r="T9177" t="s">
        <v>27255</v>
      </c>
    </row>
    <row r="9178" spans="1:20" x14ac:dyDescent="0.3">
      <c r="A9178" t="str">
        <f>"0611832416100"</f>
        <v>0611832416100</v>
      </c>
      <c r="B9178" t="str">
        <f>"LL3178"</f>
        <v>LL3178</v>
      </c>
      <c r="C9178" t="s">
        <v>45053</v>
      </c>
      <c r="D9178" t="s">
        <v>27245</v>
      </c>
      <c r="E9178" t="str">
        <f t="shared" si="143"/>
        <v>001390</v>
      </c>
      <c r="F9178" t="s">
        <v>27246</v>
      </c>
      <c r="G9178" t="s">
        <v>27247</v>
      </c>
      <c r="H9178" t="s">
        <v>27248</v>
      </c>
      <c r="I9178" t="s">
        <v>45054</v>
      </c>
      <c r="J9178" t="s">
        <v>18372</v>
      </c>
      <c r="L9178" t="s">
        <v>27250</v>
      </c>
      <c r="M9178" t="s">
        <v>27251</v>
      </c>
      <c r="N9178" t="s">
        <v>27252</v>
      </c>
      <c r="Q9178" s="1">
        <v>44538</v>
      </c>
      <c r="R9178" t="s">
        <v>27253</v>
      </c>
      <c r="S9178" t="s">
        <v>27254</v>
      </c>
      <c r="T9178" t="s">
        <v>27255</v>
      </c>
    </row>
    <row r="9179" spans="1:20" x14ac:dyDescent="0.3">
      <c r="A9179" t="str">
        <f>"0611837445100"</f>
        <v>0611837445100</v>
      </c>
      <c r="B9179" t="str">
        <f>"LL3096"</f>
        <v>LL3096</v>
      </c>
      <c r="C9179" t="s">
        <v>45055</v>
      </c>
      <c r="D9179" t="s">
        <v>27245</v>
      </c>
      <c r="E9179" t="str">
        <f t="shared" si="143"/>
        <v>001390</v>
      </c>
      <c r="F9179" t="s">
        <v>27246</v>
      </c>
      <c r="G9179" t="s">
        <v>27247</v>
      </c>
      <c r="H9179" t="s">
        <v>27248</v>
      </c>
      <c r="I9179" t="s">
        <v>45056</v>
      </c>
      <c r="J9179" t="s">
        <v>18376</v>
      </c>
      <c r="L9179" t="s">
        <v>27250</v>
      </c>
      <c r="M9179" t="s">
        <v>27251</v>
      </c>
      <c r="N9179" t="s">
        <v>27252</v>
      </c>
      <c r="Q9179" s="1">
        <v>44538</v>
      </c>
      <c r="R9179" t="s">
        <v>27253</v>
      </c>
      <c r="S9179" t="s">
        <v>27254</v>
      </c>
      <c r="T9179" t="s">
        <v>27255</v>
      </c>
    </row>
    <row r="9180" spans="1:20" x14ac:dyDescent="0.3">
      <c r="A9180" t="str">
        <f>"0611832418100"</f>
        <v>0611832418100</v>
      </c>
      <c r="B9180" t="str">
        <f>"LL3398"</f>
        <v>LL3398</v>
      </c>
      <c r="C9180" t="s">
        <v>45057</v>
      </c>
      <c r="D9180" t="s">
        <v>27245</v>
      </c>
      <c r="E9180" t="str">
        <f t="shared" si="143"/>
        <v>001390</v>
      </c>
      <c r="F9180" t="s">
        <v>27246</v>
      </c>
      <c r="G9180" t="s">
        <v>27247</v>
      </c>
      <c r="H9180" t="s">
        <v>27248</v>
      </c>
      <c r="I9180" t="s">
        <v>45058</v>
      </c>
      <c r="J9180" t="s">
        <v>18374</v>
      </c>
      <c r="L9180" t="s">
        <v>27250</v>
      </c>
      <c r="M9180" t="s">
        <v>27251</v>
      </c>
      <c r="N9180" t="s">
        <v>27252</v>
      </c>
      <c r="Q9180" s="1">
        <v>44538</v>
      </c>
      <c r="R9180" t="s">
        <v>27253</v>
      </c>
      <c r="S9180" t="s">
        <v>27254</v>
      </c>
      <c r="T9180" t="s">
        <v>27255</v>
      </c>
    </row>
    <row r="9181" spans="1:20" x14ac:dyDescent="0.3">
      <c r="A9181" t="str">
        <f>"0611837446100"</f>
        <v>0611837446100</v>
      </c>
      <c r="B9181" t="str">
        <f>"LL3439"</f>
        <v>LL3439</v>
      </c>
      <c r="C9181" t="s">
        <v>45059</v>
      </c>
      <c r="D9181" t="s">
        <v>27245</v>
      </c>
      <c r="E9181" t="str">
        <f t="shared" si="143"/>
        <v>001390</v>
      </c>
      <c r="F9181" t="s">
        <v>27246</v>
      </c>
      <c r="G9181" t="s">
        <v>27247</v>
      </c>
      <c r="H9181" t="s">
        <v>27248</v>
      </c>
      <c r="I9181" t="s">
        <v>45060</v>
      </c>
      <c r="J9181" t="s">
        <v>18378</v>
      </c>
      <c r="L9181" t="s">
        <v>27250</v>
      </c>
      <c r="M9181" t="s">
        <v>27251</v>
      </c>
      <c r="N9181" t="s">
        <v>27252</v>
      </c>
      <c r="Q9181" s="1">
        <v>44538</v>
      </c>
      <c r="R9181" t="s">
        <v>27253</v>
      </c>
      <c r="S9181" t="s">
        <v>27254</v>
      </c>
      <c r="T9181" t="s">
        <v>27255</v>
      </c>
    </row>
    <row r="9182" spans="1:20" x14ac:dyDescent="0.3">
      <c r="A9182" t="str">
        <f>"0611832420100"</f>
        <v>0611832420100</v>
      </c>
      <c r="B9182" t="str">
        <f>"LL0006"</f>
        <v>LL0006</v>
      </c>
      <c r="C9182" t="s">
        <v>45061</v>
      </c>
      <c r="D9182" t="s">
        <v>27245</v>
      </c>
      <c r="E9182" t="str">
        <f t="shared" si="143"/>
        <v>001390</v>
      </c>
      <c r="F9182" t="s">
        <v>27246</v>
      </c>
      <c r="G9182" t="s">
        <v>27247</v>
      </c>
      <c r="H9182" t="s">
        <v>27248</v>
      </c>
      <c r="I9182" t="s">
        <v>45062</v>
      </c>
      <c r="J9182" t="s">
        <v>18380</v>
      </c>
      <c r="L9182" t="s">
        <v>27250</v>
      </c>
      <c r="M9182" t="s">
        <v>27251</v>
      </c>
      <c r="N9182" t="s">
        <v>27252</v>
      </c>
      <c r="Q9182" s="1">
        <v>44538</v>
      </c>
      <c r="R9182" t="s">
        <v>27253</v>
      </c>
      <c r="S9182" t="s">
        <v>27254</v>
      </c>
      <c r="T9182" t="s">
        <v>27255</v>
      </c>
    </row>
    <row r="9183" spans="1:20" x14ac:dyDescent="0.3">
      <c r="A9183" t="str">
        <f>"0611832421100"</f>
        <v>0611832421100</v>
      </c>
      <c r="B9183" t="str">
        <f>"LL3150"</f>
        <v>LL3150</v>
      </c>
      <c r="C9183" t="s">
        <v>45063</v>
      </c>
      <c r="D9183" t="s">
        <v>27245</v>
      </c>
      <c r="E9183" t="str">
        <f t="shared" si="143"/>
        <v>001390</v>
      </c>
      <c r="F9183" t="s">
        <v>27246</v>
      </c>
      <c r="G9183" t="s">
        <v>27247</v>
      </c>
      <c r="H9183" t="s">
        <v>27248</v>
      </c>
      <c r="I9183" t="s">
        <v>45064</v>
      </c>
      <c r="J9183" t="s">
        <v>18382</v>
      </c>
      <c r="L9183" t="s">
        <v>27250</v>
      </c>
      <c r="M9183" t="s">
        <v>27251</v>
      </c>
      <c r="N9183" t="s">
        <v>27252</v>
      </c>
      <c r="Q9183" s="1">
        <v>44538</v>
      </c>
      <c r="R9183" t="s">
        <v>27253</v>
      </c>
      <c r="S9183" t="s">
        <v>27254</v>
      </c>
      <c r="T9183" t="s">
        <v>27255</v>
      </c>
    </row>
    <row r="9184" spans="1:20" x14ac:dyDescent="0.3">
      <c r="A9184" t="str">
        <f>"0611832422100"</f>
        <v>0611832422100</v>
      </c>
      <c r="B9184" t="str">
        <f>"LL8142"</f>
        <v>LL8142</v>
      </c>
      <c r="C9184" t="s">
        <v>45065</v>
      </c>
      <c r="D9184" t="s">
        <v>27245</v>
      </c>
      <c r="E9184" t="str">
        <f t="shared" si="143"/>
        <v>001390</v>
      </c>
      <c r="F9184" t="s">
        <v>27246</v>
      </c>
      <c r="G9184" t="s">
        <v>27247</v>
      </c>
      <c r="H9184" t="s">
        <v>27248</v>
      </c>
      <c r="I9184" t="s">
        <v>45066</v>
      </c>
      <c r="J9184" t="s">
        <v>18384</v>
      </c>
      <c r="L9184" t="s">
        <v>27250</v>
      </c>
      <c r="M9184" t="s">
        <v>27251</v>
      </c>
      <c r="N9184" t="s">
        <v>27252</v>
      </c>
      <c r="Q9184" s="1">
        <v>44538</v>
      </c>
      <c r="R9184" t="s">
        <v>27253</v>
      </c>
      <c r="S9184" t="s">
        <v>27254</v>
      </c>
      <c r="T9184" t="s">
        <v>27255</v>
      </c>
    </row>
    <row r="9185" spans="1:20" x14ac:dyDescent="0.3">
      <c r="A9185" t="str">
        <f>"0611832423100"</f>
        <v>0611832423100</v>
      </c>
      <c r="B9185" t="str">
        <f>"LL3071"</f>
        <v>LL3071</v>
      </c>
      <c r="C9185" t="s">
        <v>45067</v>
      </c>
      <c r="D9185" t="s">
        <v>27245</v>
      </c>
      <c r="E9185" t="str">
        <f t="shared" si="143"/>
        <v>001390</v>
      </c>
      <c r="F9185" t="s">
        <v>27246</v>
      </c>
      <c r="G9185" t="s">
        <v>27247</v>
      </c>
      <c r="H9185" t="s">
        <v>27248</v>
      </c>
      <c r="I9185" t="s">
        <v>45068</v>
      </c>
      <c r="J9185" t="s">
        <v>18386</v>
      </c>
      <c r="L9185" t="s">
        <v>27250</v>
      </c>
      <c r="M9185" t="s">
        <v>27251</v>
      </c>
      <c r="N9185" t="s">
        <v>27252</v>
      </c>
      <c r="Q9185" s="1">
        <v>44538</v>
      </c>
      <c r="R9185" t="s">
        <v>27253</v>
      </c>
      <c r="S9185" t="s">
        <v>27254</v>
      </c>
      <c r="T9185" t="s">
        <v>27255</v>
      </c>
    </row>
    <row r="9186" spans="1:20" x14ac:dyDescent="0.3">
      <c r="A9186" t="str">
        <f>"0611832424100"</f>
        <v>0611832424100</v>
      </c>
      <c r="B9186" t="str">
        <f>"LL3072"</f>
        <v>LL3072</v>
      </c>
      <c r="C9186" t="s">
        <v>45069</v>
      </c>
      <c r="D9186" t="s">
        <v>27245</v>
      </c>
      <c r="E9186" t="str">
        <f t="shared" si="143"/>
        <v>001390</v>
      </c>
      <c r="F9186" t="s">
        <v>27246</v>
      </c>
      <c r="G9186" t="s">
        <v>27247</v>
      </c>
      <c r="H9186" t="s">
        <v>27248</v>
      </c>
      <c r="I9186" t="s">
        <v>45070</v>
      </c>
      <c r="J9186" t="s">
        <v>18388</v>
      </c>
      <c r="L9186" t="s">
        <v>27250</v>
      </c>
      <c r="M9186" t="s">
        <v>27251</v>
      </c>
      <c r="N9186" t="s">
        <v>27252</v>
      </c>
      <c r="Q9186" s="1">
        <v>44538</v>
      </c>
      <c r="R9186" t="s">
        <v>27253</v>
      </c>
      <c r="S9186" t="s">
        <v>27254</v>
      </c>
      <c r="T9186" t="s">
        <v>27255</v>
      </c>
    </row>
    <row r="9187" spans="1:20" x14ac:dyDescent="0.3">
      <c r="A9187" t="str">
        <f>"0611832425100"</f>
        <v>0611832425100</v>
      </c>
      <c r="B9187" t="str">
        <f>"LL3140"</f>
        <v>LL3140</v>
      </c>
      <c r="C9187" t="s">
        <v>45071</v>
      </c>
      <c r="D9187" t="s">
        <v>27245</v>
      </c>
      <c r="E9187" t="str">
        <f t="shared" si="143"/>
        <v>001390</v>
      </c>
      <c r="F9187" t="s">
        <v>27246</v>
      </c>
      <c r="G9187" t="s">
        <v>27247</v>
      </c>
      <c r="H9187" t="s">
        <v>27248</v>
      </c>
      <c r="I9187" t="s">
        <v>45072</v>
      </c>
      <c r="J9187" t="s">
        <v>18390</v>
      </c>
      <c r="L9187" t="s">
        <v>27250</v>
      </c>
      <c r="M9187" t="s">
        <v>27251</v>
      </c>
      <c r="N9187" t="s">
        <v>27252</v>
      </c>
      <c r="Q9187" s="1">
        <v>44538</v>
      </c>
      <c r="R9187" t="s">
        <v>27253</v>
      </c>
      <c r="S9187" t="s">
        <v>27254</v>
      </c>
      <c r="T9187" t="s">
        <v>27255</v>
      </c>
    </row>
    <row r="9188" spans="1:20" x14ac:dyDescent="0.3">
      <c r="A9188" t="str">
        <f>"0611837447100"</f>
        <v>0611837447100</v>
      </c>
      <c r="B9188" t="str">
        <f>"LL3182"</f>
        <v>LL3182</v>
      </c>
      <c r="C9188" t="s">
        <v>45073</v>
      </c>
      <c r="D9188" t="s">
        <v>27245</v>
      </c>
      <c r="E9188" t="str">
        <f t="shared" si="143"/>
        <v>001390</v>
      </c>
      <c r="F9188" t="s">
        <v>27246</v>
      </c>
      <c r="G9188" t="s">
        <v>27247</v>
      </c>
      <c r="H9188" t="s">
        <v>27248</v>
      </c>
      <c r="I9188" t="s">
        <v>45074</v>
      </c>
      <c r="J9188" t="s">
        <v>18392</v>
      </c>
      <c r="L9188" t="s">
        <v>27250</v>
      </c>
      <c r="M9188" t="s">
        <v>27251</v>
      </c>
      <c r="N9188" t="s">
        <v>27252</v>
      </c>
      <c r="Q9188" s="1">
        <v>44538</v>
      </c>
      <c r="R9188" t="s">
        <v>27253</v>
      </c>
      <c r="S9188" t="s">
        <v>27254</v>
      </c>
      <c r="T9188" t="s">
        <v>27255</v>
      </c>
    </row>
    <row r="9189" spans="1:20" x14ac:dyDescent="0.3">
      <c r="A9189" t="str">
        <f>"0611884354100"</f>
        <v>0611884354100</v>
      </c>
      <c r="B9189" t="str">
        <f>"LL3183"</f>
        <v>LL3183</v>
      </c>
      <c r="C9189" t="s">
        <v>45075</v>
      </c>
      <c r="D9189" t="s">
        <v>27245</v>
      </c>
      <c r="E9189" t="str">
        <f t="shared" si="143"/>
        <v>001390</v>
      </c>
      <c r="F9189" t="s">
        <v>27246</v>
      </c>
      <c r="G9189" t="s">
        <v>27247</v>
      </c>
      <c r="H9189" t="s">
        <v>27248</v>
      </c>
      <c r="I9189" t="s">
        <v>45076</v>
      </c>
      <c r="J9189" t="s">
        <v>18394</v>
      </c>
      <c r="L9189" t="s">
        <v>27430</v>
      </c>
      <c r="M9189" t="s">
        <v>27251</v>
      </c>
      <c r="N9189" t="s">
        <v>27252</v>
      </c>
      <c r="Q9189" s="1">
        <v>45250</v>
      </c>
      <c r="R9189" t="s">
        <v>27253</v>
      </c>
      <c r="S9189" t="s">
        <v>27254</v>
      </c>
      <c r="T9189" t="s">
        <v>27255</v>
      </c>
    </row>
    <row r="9190" spans="1:20" x14ac:dyDescent="0.3">
      <c r="A9190" t="str">
        <f>"0611832427100"</f>
        <v>0611832427100</v>
      </c>
      <c r="B9190" t="str">
        <f>"LL3432"</f>
        <v>LL3432</v>
      </c>
      <c r="C9190" t="s">
        <v>45077</v>
      </c>
      <c r="D9190" t="s">
        <v>27245</v>
      </c>
      <c r="E9190" t="str">
        <f t="shared" si="143"/>
        <v>001390</v>
      </c>
      <c r="F9190" t="s">
        <v>27246</v>
      </c>
      <c r="G9190" t="s">
        <v>27247</v>
      </c>
      <c r="H9190" t="s">
        <v>27248</v>
      </c>
      <c r="I9190" t="s">
        <v>45078</v>
      </c>
      <c r="J9190" t="s">
        <v>18396</v>
      </c>
      <c r="L9190" t="s">
        <v>27250</v>
      </c>
      <c r="M9190" t="s">
        <v>27251</v>
      </c>
      <c r="N9190" t="s">
        <v>27252</v>
      </c>
      <c r="Q9190" s="1">
        <v>44538</v>
      </c>
      <c r="R9190" t="s">
        <v>27253</v>
      </c>
      <c r="S9190" t="s">
        <v>27254</v>
      </c>
      <c r="T9190" t="s">
        <v>27255</v>
      </c>
    </row>
    <row r="9191" spans="1:20" x14ac:dyDescent="0.3">
      <c r="A9191" t="str">
        <f>"0611832428100"</f>
        <v>0611832428100</v>
      </c>
      <c r="B9191" t="str">
        <f>"LL3143"</f>
        <v>LL3143</v>
      </c>
      <c r="C9191" t="s">
        <v>45079</v>
      </c>
      <c r="D9191" t="s">
        <v>27245</v>
      </c>
      <c r="E9191" t="str">
        <f t="shared" si="143"/>
        <v>001390</v>
      </c>
      <c r="F9191" t="s">
        <v>27246</v>
      </c>
      <c r="G9191" t="s">
        <v>27247</v>
      </c>
      <c r="H9191" t="s">
        <v>27248</v>
      </c>
      <c r="I9191" t="s">
        <v>45080</v>
      </c>
      <c r="J9191" t="s">
        <v>18398</v>
      </c>
      <c r="L9191" t="s">
        <v>27250</v>
      </c>
      <c r="M9191" t="s">
        <v>27251</v>
      </c>
      <c r="N9191" t="s">
        <v>27252</v>
      </c>
      <c r="Q9191" s="1">
        <v>44538</v>
      </c>
      <c r="R9191" t="s">
        <v>27253</v>
      </c>
      <c r="S9191" t="s">
        <v>27254</v>
      </c>
      <c r="T9191" t="s">
        <v>27255</v>
      </c>
    </row>
    <row r="9192" spans="1:20" x14ac:dyDescent="0.3">
      <c r="A9192" t="str">
        <f>"0611832429100"</f>
        <v>0611832429100</v>
      </c>
      <c r="B9192" t="str">
        <f>"LL3145"</f>
        <v>LL3145</v>
      </c>
      <c r="C9192" t="s">
        <v>45081</v>
      </c>
      <c r="D9192" t="s">
        <v>27245</v>
      </c>
      <c r="E9192" t="str">
        <f t="shared" si="143"/>
        <v>001390</v>
      </c>
      <c r="F9192" t="s">
        <v>27246</v>
      </c>
      <c r="G9192" t="s">
        <v>27247</v>
      </c>
      <c r="H9192" t="s">
        <v>27248</v>
      </c>
      <c r="I9192" t="s">
        <v>45082</v>
      </c>
      <c r="J9192" t="s">
        <v>18400</v>
      </c>
      <c r="L9192" t="s">
        <v>27250</v>
      </c>
      <c r="M9192" t="s">
        <v>27251</v>
      </c>
      <c r="N9192" t="s">
        <v>27252</v>
      </c>
      <c r="Q9192" s="1">
        <v>44538</v>
      </c>
      <c r="R9192" t="s">
        <v>27253</v>
      </c>
      <c r="S9192" t="s">
        <v>27254</v>
      </c>
      <c r="T9192" t="s">
        <v>27255</v>
      </c>
    </row>
    <row r="9193" spans="1:20" x14ac:dyDescent="0.3">
      <c r="A9193" t="str">
        <f>"0611832430100"</f>
        <v>0611832430100</v>
      </c>
      <c r="B9193" t="str">
        <f>"LL0062"</f>
        <v>LL0062</v>
      </c>
      <c r="C9193" t="s">
        <v>45083</v>
      </c>
      <c r="D9193" t="s">
        <v>27245</v>
      </c>
      <c r="E9193" t="str">
        <f t="shared" si="143"/>
        <v>001390</v>
      </c>
      <c r="F9193" t="s">
        <v>27246</v>
      </c>
      <c r="G9193" t="s">
        <v>27247</v>
      </c>
      <c r="H9193" t="s">
        <v>27248</v>
      </c>
      <c r="I9193" t="s">
        <v>45084</v>
      </c>
      <c r="J9193" t="s">
        <v>18402</v>
      </c>
      <c r="L9193" t="s">
        <v>27250</v>
      </c>
      <c r="M9193" t="s">
        <v>27251</v>
      </c>
      <c r="N9193" t="s">
        <v>27252</v>
      </c>
      <c r="Q9193" s="1">
        <v>44538</v>
      </c>
      <c r="R9193" t="s">
        <v>27253</v>
      </c>
      <c r="S9193" t="s">
        <v>27254</v>
      </c>
      <c r="T9193" t="s">
        <v>27255</v>
      </c>
    </row>
    <row r="9194" spans="1:20" x14ac:dyDescent="0.3">
      <c r="A9194" t="str">
        <f>"0611837448100"</f>
        <v>0611837448100</v>
      </c>
      <c r="B9194" t="str">
        <f>"LL3097"</f>
        <v>LL3097</v>
      </c>
      <c r="C9194" t="s">
        <v>45085</v>
      </c>
      <c r="D9194" t="s">
        <v>27245</v>
      </c>
      <c r="E9194" t="str">
        <f t="shared" si="143"/>
        <v>001390</v>
      </c>
      <c r="F9194" t="s">
        <v>27246</v>
      </c>
      <c r="G9194" t="s">
        <v>27247</v>
      </c>
      <c r="H9194" t="s">
        <v>27248</v>
      </c>
      <c r="I9194" t="s">
        <v>45086</v>
      </c>
      <c r="J9194" t="s">
        <v>18404</v>
      </c>
      <c r="L9194" t="s">
        <v>27250</v>
      </c>
      <c r="M9194" t="s">
        <v>27251</v>
      </c>
      <c r="N9194" t="s">
        <v>27252</v>
      </c>
      <c r="Q9194" s="1">
        <v>44538</v>
      </c>
      <c r="R9194" t="s">
        <v>27253</v>
      </c>
      <c r="S9194" t="s">
        <v>27254</v>
      </c>
      <c r="T9194" t="s">
        <v>27255</v>
      </c>
    </row>
    <row r="9195" spans="1:20" x14ac:dyDescent="0.3">
      <c r="A9195" t="str">
        <f>"0611837449100"</f>
        <v>0611837449100</v>
      </c>
      <c r="B9195" t="str">
        <f>"LL8288"</f>
        <v>LL8288</v>
      </c>
      <c r="C9195" t="s">
        <v>45087</v>
      </c>
      <c r="D9195" t="s">
        <v>27245</v>
      </c>
      <c r="E9195" t="str">
        <f t="shared" si="143"/>
        <v>001390</v>
      </c>
      <c r="F9195" t="s">
        <v>27246</v>
      </c>
      <c r="G9195" t="s">
        <v>27247</v>
      </c>
      <c r="H9195" t="s">
        <v>27248</v>
      </c>
      <c r="I9195" t="s">
        <v>45088</v>
      </c>
      <c r="J9195" t="s">
        <v>18406</v>
      </c>
      <c r="L9195" t="s">
        <v>27250</v>
      </c>
      <c r="M9195" t="s">
        <v>27251</v>
      </c>
      <c r="N9195" t="s">
        <v>27252</v>
      </c>
      <c r="Q9195" s="1">
        <v>44538</v>
      </c>
      <c r="R9195" t="s">
        <v>27253</v>
      </c>
      <c r="S9195" t="s">
        <v>27254</v>
      </c>
      <c r="T9195" t="s">
        <v>27255</v>
      </c>
    </row>
    <row r="9196" spans="1:20" x14ac:dyDescent="0.3">
      <c r="A9196" t="str">
        <f>"0611837450100"</f>
        <v>0611837450100</v>
      </c>
      <c r="B9196" t="str">
        <f>"LL3151"</f>
        <v>LL3151</v>
      </c>
      <c r="C9196" t="s">
        <v>45089</v>
      </c>
      <c r="D9196" t="s">
        <v>27245</v>
      </c>
      <c r="E9196" t="str">
        <f t="shared" si="143"/>
        <v>001390</v>
      </c>
      <c r="F9196" t="s">
        <v>27246</v>
      </c>
      <c r="G9196" t="s">
        <v>27247</v>
      </c>
      <c r="H9196" t="s">
        <v>27248</v>
      </c>
      <c r="I9196" t="s">
        <v>45090</v>
      </c>
      <c r="J9196" t="s">
        <v>18408</v>
      </c>
      <c r="L9196" t="s">
        <v>27250</v>
      </c>
      <c r="M9196" t="s">
        <v>27251</v>
      </c>
      <c r="N9196" t="s">
        <v>27252</v>
      </c>
      <c r="Q9196" s="1">
        <v>44538</v>
      </c>
      <c r="R9196" t="s">
        <v>27253</v>
      </c>
      <c r="S9196" t="s">
        <v>27254</v>
      </c>
      <c r="T9196" t="s">
        <v>27255</v>
      </c>
    </row>
    <row r="9197" spans="1:20" x14ac:dyDescent="0.3">
      <c r="A9197" t="str">
        <f>"0611837451100"</f>
        <v>0611837451100</v>
      </c>
      <c r="B9197" t="str">
        <f>"LL8289"</f>
        <v>LL8289</v>
      </c>
      <c r="C9197" t="s">
        <v>45091</v>
      </c>
      <c r="D9197" t="s">
        <v>27245</v>
      </c>
      <c r="E9197" t="str">
        <f t="shared" si="143"/>
        <v>001390</v>
      </c>
      <c r="F9197" t="s">
        <v>27246</v>
      </c>
      <c r="G9197" t="s">
        <v>27247</v>
      </c>
      <c r="H9197" t="s">
        <v>27248</v>
      </c>
      <c r="I9197" t="s">
        <v>45092</v>
      </c>
      <c r="J9197" t="s">
        <v>18410</v>
      </c>
      <c r="L9197" t="s">
        <v>27250</v>
      </c>
      <c r="M9197" t="s">
        <v>27251</v>
      </c>
      <c r="N9197" t="s">
        <v>27252</v>
      </c>
      <c r="Q9197" s="1">
        <v>44538</v>
      </c>
      <c r="R9197" t="s">
        <v>27253</v>
      </c>
      <c r="S9197" t="s">
        <v>27254</v>
      </c>
      <c r="T9197" t="s">
        <v>27255</v>
      </c>
    </row>
    <row r="9198" spans="1:20" x14ac:dyDescent="0.3">
      <c r="A9198" t="str">
        <f>"0611832431100"</f>
        <v>0611832431100</v>
      </c>
      <c r="B9198" t="str">
        <f>"LL3435"</f>
        <v>LL3435</v>
      </c>
      <c r="C9198" t="s">
        <v>45093</v>
      </c>
      <c r="D9198" t="s">
        <v>27245</v>
      </c>
      <c r="E9198" t="str">
        <f t="shared" si="143"/>
        <v>001390</v>
      </c>
      <c r="F9198" t="s">
        <v>27246</v>
      </c>
      <c r="G9198" t="s">
        <v>27247</v>
      </c>
      <c r="H9198" t="s">
        <v>27248</v>
      </c>
      <c r="I9198" t="s">
        <v>45094</v>
      </c>
      <c r="J9198" t="s">
        <v>18412</v>
      </c>
      <c r="L9198" t="s">
        <v>27250</v>
      </c>
      <c r="M9198" t="s">
        <v>27251</v>
      </c>
      <c r="N9198" t="s">
        <v>27252</v>
      </c>
      <c r="Q9198" s="1">
        <v>44538</v>
      </c>
      <c r="R9198" t="s">
        <v>27253</v>
      </c>
      <c r="S9198" t="s">
        <v>27254</v>
      </c>
      <c r="T9198" t="s">
        <v>27255</v>
      </c>
    </row>
    <row r="9199" spans="1:20" x14ac:dyDescent="0.3">
      <c r="A9199" t="str">
        <f>"0611832432100"</f>
        <v>0611832432100</v>
      </c>
      <c r="B9199" t="str">
        <f>"LL3152"</f>
        <v>LL3152</v>
      </c>
      <c r="C9199" t="s">
        <v>45095</v>
      </c>
      <c r="D9199" t="s">
        <v>27245</v>
      </c>
      <c r="E9199" t="str">
        <f t="shared" si="143"/>
        <v>001390</v>
      </c>
      <c r="F9199" t="s">
        <v>27246</v>
      </c>
      <c r="G9199" t="s">
        <v>27247</v>
      </c>
      <c r="H9199" t="s">
        <v>27248</v>
      </c>
      <c r="I9199" t="s">
        <v>45096</v>
      </c>
      <c r="J9199" t="s">
        <v>18414</v>
      </c>
      <c r="L9199" t="s">
        <v>27250</v>
      </c>
      <c r="M9199" t="s">
        <v>27251</v>
      </c>
      <c r="N9199" t="s">
        <v>27252</v>
      </c>
      <c r="Q9199" s="1">
        <v>44538</v>
      </c>
      <c r="R9199" t="s">
        <v>27253</v>
      </c>
      <c r="S9199" t="s">
        <v>27254</v>
      </c>
      <c r="T9199" t="s">
        <v>27255</v>
      </c>
    </row>
    <row r="9200" spans="1:20" x14ac:dyDescent="0.3">
      <c r="A9200" t="str">
        <f>"0611832433100"</f>
        <v>0611832433100</v>
      </c>
      <c r="B9200" t="str">
        <f>"LL3153"</f>
        <v>LL3153</v>
      </c>
      <c r="C9200" t="s">
        <v>45097</v>
      </c>
      <c r="D9200" t="s">
        <v>27245</v>
      </c>
      <c r="E9200" t="str">
        <f t="shared" si="143"/>
        <v>001390</v>
      </c>
      <c r="F9200" t="s">
        <v>27246</v>
      </c>
      <c r="G9200" t="s">
        <v>27247</v>
      </c>
      <c r="H9200" t="s">
        <v>27248</v>
      </c>
      <c r="I9200" t="s">
        <v>45098</v>
      </c>
      <c r="J9200" t="s">
        <v>18416</v>
      </c>
      <c r="L9200" t="s">
        <v>27250</v>
      </c>
      <c r="M9200" t="s">
        <v>27251</v>
      </c>
      <c r="N9200" t="s">
        <v>27252</v>
      </c>
      <c r="Q9200" s="1">
        <v>44538</v>
      </c>
      <c r="R9200" t="s">
        <v>27253</v>
      </c>
      <c r="S9200" t="s">
        <v>27254</v>
      </c>
      <c r="T9200" t="s">
        <v>27255</v>
      </c>
    </row>
    <row r="9201" spans="1:20" x14ac:dyDescent="0.3">
      <c r="A9201" t="str">
        <f>"0611832435100"</f>
        <v>0611832435100</v>
      </c>
      <c r="B9201" t="str">
        <f>"LK6113"</f>
        <v>LK6113</v>
      </c>
      <c r="C9201" t="s">
        <v>45099</v>
      </c>
      <c r="D9201" t="s">
        <v>27245</v>
      </c>
      <c r="E9201" t="str">
        <f t="shared" si="143"/>
        <v>001390</v>
      </c>
      <c r="F9201" t="s">
        <v>27246</v>
      </c>
      <c r="G9201" t="s">
        <v>27247</v>
      </c>
      <c r="H9201" t="s">
        <v>27248</v>
      </c>
      <c r="I9201" t="s">
        <v>45100</v>
      </c>
      <c r="J9201" t="s">
        <v>18426</v>
      </c>
      <c r="L9201" t="s">
        <v>27250</v>
      </c>
      <c r="M9201" t="s">
        <v>27251</v>
      </c>
      <c r="N9201" t="s">
        <v>27252</v>
      </c>
      <c r="Q9201" s="1">
        <v>44538</v>
      </c>
      <c r="R9201" t="s">
        <v>27253</v>
      </c>
      <c r="S9201" t="s">
        <v>27254</v>
      </c>
      <c r="T9201" t="s">
        <v>27255</v>
      </c>
    </row>
    <row r="9202" spans="1:20" x14ac:dyDescent="0.3">
      <c r="A9202" t="str">
        <f>"0611832436100"</f>
        <v>0611832436100</v>
      </c>
      <c r="B9202" t="str">
        <f>"LK6339"</f>
        <v>LK6339</v>
      </c>
      <c r="C9202" t="s">
        <v>45101</v>
      </c>
      <c r="D9202" t="s">
        <v>27245</v>
      </c>
      <c r="E9202" t="str">
        <f t="shared" si="143"/>
        <v>001390</v>
      </c>
      <c r="F9202" t="s">
        <v>27246</v>
      </c>
      <c r="G9202" t="s">
        <v>27247</v>
      </c>
      <c r="H9202" t="s">
        <v>27248</v>
      </c>
      <c r="I9202" t="s">
        <v>45102</v>
      </c>
      <c r="J9202" t="s">
        <v>18428</v>
      </c>
      <c r="L9202" t="s">
        <v>27250</v>
      </c>
      <c r="M9202" t="s">
        <v>27251</v>
      </c>
      <c r="N9202" t="s">
        <v>27252</v>
      </c>
      <c r="Q9202" s="1">
        <v>44538</v>
      </c>
      <c r="R9202" t="s">
        <v>27253</v>
      </c>
      <c r="S9202" t="s">
        <v>27254</v>
      </c>
      <c r="T9202" t="s">
        <v>27255</v>
      </c>
    </row>
    <row r="9203" spans="1:20" x14ac:dyDescent="0.3">
      <c r="A9203" t="str">
        <f>"0611832437100"</f>
        <v>0611832437100</v>
      </c>
      <c r="B9203" t="str">
        <f>"LL3155"</f>
        <v>LL3155</v>
      </c>
      <c r="C9203" t="s">
        <v>45103</v>
      </c>
      <c r="D9203" t="s">
        <v>27245</v>
      </c>
      <c r="E9203" t="str">
        <f t="shared" si="143"/>
        <v>001390</v>
      </c>
      <c r="F9203" t="s">
        <v>27246</v>
      </c>
      <c r="G9203" t="s">
        <v>27247</v>
      </c>
      <c r="H9203" t="s">
        <v>27248</v>
      </c>
      <c r="I9203" t="s">
        <v>45104</v>
      </c>
      <c r="J9203" t="s">
        <v>18430</v>
      </c>
      <c r="L9203" t="s">
        <v>27250</v>
      </c>
      <c r="M9203" t="s">
        <v>27251</v>
      </c>
      <c r="N9203" t="s">
        <v>27252</v>
      </c>
      <c r="Q9203" s="1">
        <v>44538</v>
      </c>
      <c r="R9203" t="s">
        <v>27253</v>
      </c>
      <c r="S9203" t="s">
        <v>27254</v>
      </c>
      <c r="T9203" t="s">
        <v>27255</v>
      </c>
    </row>
    <row r="9204" spans="1:20" x14ac:dyDescent="0.3">
      <c r="A9204" t="str">
        <f>"0611832438100"</f>
        <v>0611832438100</v>
      </c>
      <c r="B9204" t="str">
        <f>"LL8220"</f>
        <v>LL8220</v>
      </c>
      <c r="C9204" t="s">
        <v>45105</v>
      </c>
      <c r="D9204" t="s">
        <v>27245</v>
      </c>
      <c r="E9204" t="str">
        <f t="shared" si="143"/>
        <v>001390</v>
      </c>
      <c r="F9204" t="s">
        <v>27246</v>
      </c>
      <c r="G9204" t="s">
        <v>27247</v>
      </c>
      <c r="H9204" t="s">
        <v>27248</v>
      </c>
      <c r="I9204" t="s">
        <v>45106</v>
      </c>
      <c r="J9204" t="s">
        <v>18432</v>
      </c>
      <c r="L9204" t="s">
        <v>27250</v>
      </c>
      <c r="M9204" t="s">
        <v>27251</v>
      </c>
      <c r="N9204" t="s">
        <v>27252</v>
      </c>
      <c r="Q9204" s="1">
        <v>44538</v>
      </c>
      <c r="R9204" t="s">
        <v>27253</v>
      </c>
      <c r="S9204" t="s">
        <v>27254</v>
      </c>
      <c r="T9204" t="s">
        <v>27255</v>
      </c>
    </row>
    <row r="9205" spans="1:20" x14ac:dyDescent="0.3">
      <c r="A9205" t="str">
        <f>"0611837452100"</f>
        <v>0611837452100</v>
      </c>
      <c r="B9205" t="str">
        <f>"LL0179"</f>
        <v>LL0179</v>
      </c>
      <c r="C9205" t="s">
        <v>45107</v>
      </c>
      <c r="D9205" t="s">
        <v>27245</v>
      </c>
      <c r="E9205" t="str">
        <f t="shared" si="143"/>
        <v>001390</v>
      </c>
      <c r="F9205" t="s">
        <v>27246</v>
      </c>
      <c r="G9205" t="s">
        <v>27247</v>
      </c>
      <c r="H9205" t="s">
        <v>27248</v>
      </c>
      <c r="I9205" t="s">
        <v>45108</v>
      </c>
      <c r="J9205" t="s">
        <v>18418</v>
      </c>
      <c r="L9205" t="s">
        <v>27250</v>
      </c>
      <c r="M9205" t="s">
        <v>27251</v>
      </c>
      <c r="N9205" t="s">
        <v>27252</v>
      </c>
      <c r="Q9205" s="1">
        <v>44538</v>
      </c>
      <c r="R9205" t="s">
        <v>27253</v>
      </c>
      <c r="S9205" t="s">
        <v>27254</v>
      </c>
      <c r="T9205" t="s">
        <v>27255</v>
      </c>
    </row>
    <row r="9206" spans="1:20" x14ac:dyDescent="0.3">
      <c r="A9206" t="str">
        <f>"0611837453100"</f>
        <v>0611837453100</v>
      </c>
      <c r="B9206" t="str">
        <f>"LL0180"</f>
        <v>LL0180</v>
      </c>
      <c r="C9206" t="s">
        <v>45109</v>
      </c>
      <c r="D9206" t="s">
        <v>27245</v>
      </c>
      <c r="E9206" t="str">
        <f t="shared" si="143"/>
        <v>001390</v>
      </c>
      <c r="F9206" t="s">
        <v>27246</v>
      </c>
      <c r="G9206" t="s">
        <v>27247</v>
      </c>
      <c r="H9206" t="s">
        <v>27248</v>
      </c>
      <c r="I9206" t="s">
        <v>45110</v>
      </c>
      <c r="J9206" t="s">
        <v>18420</v>
      </c>
      <c r="L9206" t="s">
        <v>27250</v>
      </c>
      <c r="M9206" t="s">
        <v>27251</v>
      </c>
      <c r="N9206" t="s">
        <v>27252</v>
      </c>
      <c r="Q9206" s="1">
        <v>44538</v>
      </c>
      <c r="R9206" t="s">
        <v>27253</v>
      </c>
      <c r="S9206" t="s">
        <v>27254</v>
      </c>
      <c r="T9206" t="s">
        <v>27255</v>
      </c>
    </row>
    <row r="9207" spans="1:20" x14ac:dyDescent="0.3">
      <c r="A9207" t="str">
        <f>"0611837454100"</f>
        <v>0611837454100</v>
      </c>
      <c r="B9207" t="str">
        <f>"LL0181"</f>
        <v>LL0181</v>
      </c>
      <c r="C9207" t="s">
        <v>45111</v>
      </c>
      <c r="D9207" t="s">
        <v>27245</v>
      </c>
      <c r="E9207" t="str">
        <f t="shared" si="143"/>
        <v>001390</v>
      </c>
      <c r="F9207" t="s">
        <v>27246</v>
      </c>
      <c r="G9207" t="s">
        <v>27247</v>
      </c>
      <c r="H9207" t="s">
        <v>27248</v>
      </c>
      <c r="I9207" t="s">
        <v>45112</v>
      </c>
      <c r="J9207" t="s">
        <v>18422</v>
      </c>
      <c r="L9207" t="s">
        <v>27250</v>
      </c>
      <c r="M9207" t="s">
        <v>27251</v>
      </c>
      <c r="N9207" t="s">
        <v>27252</v>
      </c>
      <c r="Q9207" s="1">
        <v>44538</v>
      </c>
      <c r="R9207" t="s">
        <v>27253</v>
      </c>
      <c r="S9207" t="s">
        <v>27254</v>
      </c>
      <c r="T9207" t="s">
        <v>27255</v>
      </c>
    </row>
    <row r="9208" spans="1:20" x14ac:dyDescent="0.3">
      <c r="A9208" t="str">
        <f>"0611837455100"</f>
        <v>0611837455100</v>
      </c>
      <c r="B9208" t="str">
        <f>"LL0182"</f>
        <v>LL0182</v>
      </c>
      <c r="C9208" t="s">
        <v>45113</v>
      </c>
      <c r="D9208" t="s">
        <v>27245</v>
      </c>
      <c r="E9208" t="str">
        <f t="shared" si="143"/>
        <v>001390</v>
      </c>
      <c r="F9208" t="s">
        <v>27246</v>
      </c>
      <c r="G9208" t="s">
        <v>27247</v>
      </c>
      <c r="H9208" t="s">
        <v>27248</v>
      </c>
      <c r="I9208" t="s">
        <v>45114</v>
      </c>
      <c r="J9208" t="s">
        <v>18424</v>
      </c>
      <c r="L9208" t="s">
        <v>27250</v>
      </c>
      <c r="M9208" t="s">
        <v>27251</v>
      </c>
      <c r="N9208" t="s">
        <v>27252</v>
      </c>
      <c r="Q9208" s="1">
        <v>44538</v>
      </c>
      <c r="R9208" t="s">
        <v>27253</v>
      </c>
      <c r="S9208" t="s">
        <v>27254</v>
      </c>
      <c r="T9208" t="s">
        <v>27255</v>
      </c>
    </row>
    <row r="9209" spans="1:20" x14ac:dyDescent="0.3">
      <c r="A9209" t="str">
        <f>"0611832439100"</f>
        <v>0611832439100</v>
      </c>
      <c r="B9209" t="str">
        <f>"LL8110"</f>
        <v>LL8110</v>
      </c>
      <c r="C9209" t="s">
        <v>45115</v>
      </c>
      <c r="D9209" t="s">
        <v>27245</v>
      </c>
      <c r="E9209" t="str">
        <f t="shared" si="143"/>
        <v>001390</v>
      </c>
      <c r="F9209" t="s">
        <v>27246</v>
      </c>
      <c r="G9209" t="s">
        <v>27247</v>
      </c>
      <c r="H9209" t="s">
        <v>27248</v>
      </c>
      <c r="I9209" t="s">
        <v>45116</v>
      </c>
      <c r="J9209" t="s">
        <v>18434</v>
      </c>
      <c r="L9209" t="s">
        <v>27250</v>
      </c>
      <c r="M9209" t="s">
        <v>27251</v>
      </c>
      <c r="N9209" t="s">
        <v>27252</v>
      </c>
      <c r="Q9209" s="1">
        <v>44538</v>
      </c>
      <c r="R9209" t="s">
        <v>27253</v>
      </c>
      <c r="S9209" t="s">
        <v>27254</v>
      </c>
      <c r="T9209" t="s">
        <v>27255</v>
      </c>
    </row>
    <row r="9210" spans="1:20" x14ac:dyDescent="0.3">
      <c r="A9210" t="str">
        <f>"0611832440100"</f>
        <v>0611832440100</v>
      </c>
      <c r="B9210" t="str">
        <f>"LL3160"</f>
        <v>LL3160</v>
      </c>
      <c r="C9210" t="s">
        <v>45117</v>
      </c>
      <c r="D9210" t="s">
        <v>27245</v>
      </c>
      <c r="E9210" t="str">
        <f t="shared" si="143"/>
        <v>001390</v>
      </c>
      <c r="F9210" t="s">
        <v>27246</v>
      </c>
      <c r="G9210" t="s">
        <v>27247</v>
      </c>
      <c r="H9210" t="s">
        <v>27248</v>
      </c>
      <c r="I9210" t="s">
        <v>45118</v>
      </c>
      <c r="J9210" t="s">
        <v>18436</v>
      </c>
      <c r="L9210" t="s">
        <v>27250</v>
      </c>
      <c r="M9210" t="s">
        <v>27251</v>
      </c>
      <c r="N9210" t="s">
        <v>27252</v>
      </c>
      <c r="Q9210" s="1">
        <v>44538</v>
      </c>
      <c r="R9210" t="s">
        <v>27253</v>
      </c>
      <c r="S9210" t="s">
        <v>27254</v>
      </c>
      <c r="T9210" t="s">
        <v>27255</v>
      </c>
    </row>
    <row r="9211" spans="1:20" x14ac:dyDescent="0.3">
      <c r="A9211" t="str">
        <f>"0611832441200"</f>
        <v>0611832441200</v>
      </c>
      <c r="B9211" t="str">
        <f>"KY3160"</f>
        <v>KY3160</v>
      </c>
      <c r="C9211" t="s">
        <v>45117</v>
      </c>
      <c r="D9211" t="s">
        <v>27682</v>
      </c>
      <c r="E9211" t="str">
        <f t="shared" si="143"/>
        <v>001390</v>
      </c>
      <c r="F9211" t="s">
        <v>27246</v>
      </c>
      <c r="G9211" t="s">
        <v>27247</v>
      </c>
      <c r="H9211" t="s">
        <v>27248</v>
      </c>
      <c r="I9211" t="s">
        <v>45119</v>
      </c>
      <c r="J9211" t="s">
        <v>18438</v>
      </c>
      <c r="L9211" t="s">
        <v>27250</v>
      </c>
      <c r="M9211" t="s">
        <v>27251</v>
      </c>
      <c r="N9211" t="s">
        <v>27252</v>
      </c>
      <c r="Q9211" s="1">
        <v>44538</v>
      </c>
      <c r="R9211" t="s">
        <v>27253</v>
      </c>
      <c r="S9211" t="s">
        <v>27254</v>
      </c>
      <c r="T9211" t="s">
        <v>27684</v>
      </c>
    </row>
    <row r="9212" spans="1:20" x14ac:dyDescent="0.3">
      <c r="A9212" t="str">
        <f>"0611832442100"</f>
        <v>0611832442100</v>
      </c>
      <c r="B9212" t="str">
        <f>"LL3161"</f>
        <v>LL3161</v>
      </c>
      <c r="C9212" t="s">
        <v>45120</v>
      </c>
      <c r="D9212" t="s">
        <v>27245</v>
      </c>
      <c r="E9212" t="str">
        <f t="shared" si="143"/>
        <v>001390</v>
      </c>
      <c r="F9212" t="s">
        <v>27246</v>
      </c>
      <c r="G9212" t="s">
        <v>27247</v>
      </c>
      <c r="H9212" t="s">
        <v>27248</v>
      </c>
      <c r="I9212" t="s">
        <v>45121</v>
      </c>
      <c r="J9212" t="s">
        <v>18440</v>
      </c>
      <c r="L9212" t="s">
        <v>27250</v>
      </c>
      <c r="M9212" t="s">
        <v>27251</v>
      </c>
      <c r="N9212" t="s">
        <v>27252</v>
      </c>
      <c r="Q9212" s="1">
        <v>44538</v>
      </c>
      <c r="R9212" t="s">
        <v>27253</v>
      </c>
      <c r="S9212" t="s">
        <v>27254</v>
      </c>
      <c r="T9212" t="s">
        <v>27255</v>
      </c>
    </row>
    <row r="9213" spans="1:20" x14ac:dyDescent="0.3">
      <c r="A9213" t="str">
        <f>"0611832443100"</f>
        <v>0611832443100</v>
      </c>
      <c r="B9213" t="str">
        <f>"LL8282"</f>
        <v>LL8282</v>
      </c>
      <c r="C9213" t="s">
        <v>45122</v>
      </c>
      <c r="D9213" t="s">
        <v>27245</v>
      </c>
      <c r="E9213" t="str">
        <f t="shared" si="143"/>
        <v>001390</v>
      </c>
      <c r="F9213" t="s">
        <v>27246</v>
      </c>
      <c r="G9213" t="s">
        <v>27247</v>
      </c>
      <c r="H9213" t="s">
        <v>27248</v>
      </c>
      <c r="I9213" t="s">
        <v>45123</v>
      </c>
      <c r="J9213" t="s">
        <v>18442</v>
      </c>
      <c r="L9213" t="s">
        <v>27250</v>
      </c>
      <c r="M9213" t="s">
        <v>27251</v>
      </c>
      <c r="N9213" t="s">
        <v>27252</v>
      </c>
      <c r="Q9213" s="1">
        <v>44538</v>
      </c>
      <c r="R9213" t="s">
        <v>27253</v>
      </c>
      <c r="S9213" t="s">
        <v>27254</v>
      </c>
      <c r="T9213" t="s">
        <v>27255</v>
      </c>
    </row>
    <row r="9214" spans="1:20" x14ac:dyDescent="0.3">
      <c r="A9214" t="str">
        <f>"0611832444100"</f>
        <v>0611832444100</v>
      </c>
      <c r="B9214" t="str">
        <f>"LL3166"</f>
        <v>LL3166</v>
      </c>
      <c r="C9214" t="s">
        <v>45124</v>
      </c>
      <c r="D9214" t="s">
        <v>27245</v>
      </c>
      <c r="E9214" t="str">
        <f t="shared" si="143"/>
        <v>001390</v>
      </c>
      <c r="F9214" t="s">
        <v>27246</v>
      </c>
      <c r="G9214" t="s">
        <v>27247</v>
      </c>
      <c r="H9214" t="s">
        <v>27248</v>
      </c>
      <c r="I9214" t="s">
        <v>45125</v>
      </c>
      <c r="J9214" t="s">
        <v>18444</v>
      </c>
      <c r="L9214" t="s">
        <v>27250</v>
      </c>
      <c r="M9214" t="s">
        <v>27251</v>
      </c>
      <c r="N9214" t="s">
        <v>27252</v>
      </c>
      <c r="Q9214" s="1">
        <v>44538</v>
      </c>
      <c r="R9214" t="s">
        <v>27253</v>
      </c>
      <c r="S9214" t="s">
        <v>27254</v>
      </c>
      <c r="T9214" t="s">
        <v>27255</v>
      </c>
    </row>
    <row r="9215" spans="1:20" x14ac:dyDescent="0.3">
      <c r="A9215" t="str">
        <f>"0611832445100"</f>
        <v>0611832445100</v>
      </c>
      <c r="B9215" t="str">
        <f>"LL3107"</f>
        <v>LL3107</v>
      </c>
      <c r="C9215" t="s">
        <v>45126</v>
      </c>
      <c r="D9215" t="s">
        <v>27245</v>
      </c>
      <c r="E9215" t="str">
        <f t="shared" si="143"/>
        <v>001390</v>
      </c>
      <c r="F9215" t="s">
        <v>27246</v>
      </c>
      <c r="G9215" t="s">
        <v>27247</v>
      </c>
      <c r="H9215" t="s">
        <v>27248</v>
      </c>
      <c r="I9215" t="s">
        <v>45127</v>
      </c>
      <c r="J9215" t="s">
        <v>18446</v>
      </c>
      <c r="L9215" t="s">
        <v>27250</v>
      </c>
      <c r="M9215" t="s">
        <v>27251</v>
      </c>
      <c r="N9215" t="s">
        <v>27252</v>
      </c>
      <c r="Q9215" s="1">
        <v>44538</v>
      </c>
      <c r="R9215" t="s">
        <v>27253</v>
      </c>
      <c r="S9215" t="s">
        <v>27254</v>
      </c>
      <c r="T9215" t="s">
        <v>27255</v>
      </c>
    </row>
    <row r="9216" spans="1:20" x14ac:dyDescent="0.3">
      <c r="A9216" t="str">
        <f>"0611832446100"</f>
        <v>0611832446100</v>
      </c>
      <c r="B9216" t="str">
        <f>"LL3167"</f>
        <v>LL3167</v>
      </c>
      <c r="C9216" t="s">
        <v>45128</v>
      </c>
      <c r="D9216" t="s">
        <v>27245</v>
      </c>
      <c r="E9216" t="str">
        <f t="shared" si="143"/>
        <v>001390</v>
      </c>
      <c r="F9216" t="s">
        <v>27246</v>
      </c>
      <c r="G9216" t="s">
        <v>27247</v>
      </c>
      <c r="H9216" t="s">
        <v>27248</v>
      </c>
      <c r="I9216" t="s">
        <v>45129</v>
      </c>
      <c r="J9216" t="s">
        <v>18448</v>
      </c>
      <c r="L9216" t="s">
        <v>27250</v>
      </c>
      <c r="M9216" t="s">
        <v>27251</v>
      </c>
      <c r="N9216" t="s">
        <v>27252</v>
      </c>
      <c r="Q9216" s="1">
        <v>44538</v>
      </c>
      <c r="R9216" t="s">
        <v>27253</v>
      </c>
      <c r="S9216" t="s">
        <v>27254</v>
      </c>
      <c r="T9216" t="s">
        <v>27255</v>
      </c>
    </row>
    <row r="9217" spans="1:20" x14ac:dyDescent="0.3">
      <c r="A9217" t="str">
        <f>"0611832447100"</f>
        <v>0611832447100</v>
      </c>
      <c r="B9217" t="str">
        <f>"LL3180"</f>
        <v>LL3180</v>
      </c>
      <c r="C9217" t="s">
        <v>45130</v>
      </c>
      <c r="D9217" t="s">
        <v>27245</v>
      </c>
      <c r="E9217" t="str">
        <f t="shared" si="143"/>
        <v>001390</v>
      </c>
      <c r="F9217" t="s">
        <v>27246</v>
      </c>
      <c r="G9217" t="s">
        <v>27247</v>
      </c>
      <c r="H9217" t="s">
        <v>27248</v>
      </c>
      <c r="I9217" t="s">
        <v>45131</v>
      </c>
      <c r="J9217" t="s">
        <v>18450</v>
      </c>
      <c r="L9217" t="s">
        <v>27250</v>
      </c>
      <c r="M9217" t="s">
        <v>27251</v>
      </c>
      <c r="N9217" t="s">
        <v>27252</v>
      </c>
      <c r="Q9217" s="1">
        <v>44538</v>
      </c>
      <c r="R9217" t="s">
        <v>27253</v>
      </c>
      <c r="S9217" t="s">
        <v>27254</v>
      </c>
      <c r="T9217" t="s">
        <v>27255</v>
      </c>
    </row>
    <row r="9218" spans="1:20" x14ac:dyDescent="0.3">
      <c r="A9218" t="str">
        <f>"0611832448100"</f>
        <v>0611832448100</v>
      </c>
      <c r="B9218" t="str">
        <f>"LL3073"</f>
        <v>LL3073</v>
      </c>
      <c r="C9218" t="s">
        <v>45132</v>
      </c>
      <c r="D9218" t="s">
        <v>27245</v>
      </c>
      <c r="E9218" t="str">
        <f t="shared" ref="E9218:E9281" si="144">"001390"</f>
        <v>001390</v>
      </c>
      <c r="F9218" t="s">
        <v>27246</v>
      </c>
      <c r="G9218" t="s">
        <v>27247</v>
      </c>
      <c r="H9218" t="s">
        <v>27248</v>
      </c>
      <c r="I9218" t="s">
        <v>45133</v>
      </c>
      <c r="J9218" t="s">
        <v>18452</v>
      </c>
      <c r="L9218" t="s">
        <v>27250</v>
      </c>
      <c r="M9218" t="s">
        <v>27251</v>
      </c>
      <c r="N9218" t="s">
        <v>27252</v>
      </c>
      <c r="Q9218" s="1">
        <v>44538</v>
      </c>
      <c r="R9218" t="s">
        <v>27253</v>
      </c>
      <c r="S9218" t="s">
        <v>27254</v>
      </c>
      <c r="T9218" t="s">
        <v>27255</v>
      </c>
    </row>
    <row r="9219" spans="1:20" x14ac:dyDescent="0.3">
      <c r="A9219" t="str">
        <f>"0611832449100"</f>
        <v>0611832449100</v>
      </c>
      <c r="B9219" t="str">
        <f>"LL3188"</f>
        <v>LL3188</v>
      </c>
      <c r="C9219" t="s">
        <v>45134</v>
      </c>
      <c r="D9219" t="s">
        <v>27245</v>
      </c>
      <c r="E9219" t="str">
        <f t="shared" si="144"/>
        <v>001390</v>
      </c>
      <c r="F9219" t="s">
        <v>27246</v>
      </c>
      <c r="G9219" t="s">
        <v>27247</v>
      </c>
      <c r="H9219" t="s">
        <v>27248</v>
      </c>
      <c r="I9219" t="s">
        <v>45135</v>
      </c>
      <c r="J9219" t="s">
        <v>18454</v>
      </c>
      <c r="L9219" t="s">
        <v>27250</v>
      </c>
      <c r="M9219" t="s">
        <v>27251</v>
      </c>
      <c r="N9219" t="s">
        <v>27252</v>
      </c>
      <c r="Q9219" s="1">
        <v>44538</v>
      </c>
      <c r="R9219" t="s">
        <v>27253</v>
      </c>
      <c r="S9219" t="s">
        <v>27254</v>
      </c>
      <c r="T9219" t="s">
        <v>27255</v>
      </c>
    </row>
    <row r="9220" spans="1:20" x14ac:dyDescent="0.3">
      <c r="A9220" t="str">
        <f>"0611832450100"</f>
        <v>0611832450100</v>
      </c>
      <c r="B9220" t="str">
        <f>"LL0063"</f>
        <v>LL0063</v>
      </c>
      <c r="C9220" t="s">
        <v>45136</v>
      </c>
      <c r="D9220" t="s">
        <v>27245</v>
      </c>
      <c r="E9220" t="str">
        <f t="shared" si="144"/>
        <v>001390</v>
      </c>
      <c r="F9220" t="s">
        <v>27246</v>
      </c>
      <c r="G9220" t="s">
        <v>27247</v>
      </c>
      <c r="H9220" t="s">
        <v>27248</v>
      </c>
      <c r="I9220" t="s">
        <v>45137</v>
      </c>
      <c r="J9220" t="s">
        <v>18456</v>
      </c>
      <c r="L9220" t="s">
        <v>27250</v>
      </c>
      <c r="M9220" t="s">
        <v>27251</v>
      </c>
      <c r="N9220" t="s">
        <v>27252</v>
      </c>
      <c r="Q9220" s="1">
        <v>44538</v>
      </c>
      <c r="R9220" t="s">
        <v>27253</v>
      </c>
      <c r="S9220" t="s">
        <v>27254</v>
      </c>
      <c r="T9220" t="s">
        <v>27255</v>
      </c>
    </row>
    <row r="9221" spans="1:20" x14ac:dyDescent="0.3">
      <c r="A9221" t="str">
        <f>"0611832451100"</f>
        <v>0611832451100</v>
      </c>
      <c r="B9221" t="str">
        <f>"LL3190"</f>
        <v>LL3190</v>
      </c>
      <c r="C9221" t="s">
        <v>45138</v>
      </c>
      <c r="D9221" t="s">
        <v>27245</v>
      </c>
      <c r="E9221" t="str">
        <f t="shared" si="144"/>
        <v>001390</v>
      </c>
      <c r="F9221" t="s">
        <v>27246</v>
      </c>
      <c r="G9221" t="s">
        <v>27247</v>
      </c>
      <c r="H9221" t="s">
        <v>27248</v>
      </c>
      <c r="I9221" t="s">
        <v>45139</v>
      </c>
      <c r="J9221" t="s">
        <v>18458</v>
      </c>
      <c r="L9221" t="s">
        <v>27250</v>
      </c>
      <c r="M9221" t="s">
        <v>27251</v>
      </c>
      <c r="N9221" t="s">
        <v>27252</v>
      </c>
      <c r="Q9221" s="1">
        <v>44538</v>
      </c>
      <c r="R9221" t="s">
        <v>27253</v>
      </c>
      <c r="S9221" t="s">
        <v>27254</v>
      </c>
      <c r="T9221" t="s">
        <v>27255</v>
      </c>
    </row>
    <row r="9222" spans="1:20" x14ac:dyDescent="0.3">
      <c r="A9222" t="str">
        <f>"0611832452200"</f>
        <v>0611832452200</v>
      </c>
      <c r="B9222" t="str">
        <f>"KY3190"</f>
        <v>KY3190</v>
      </c>
      <c r="C9222" t="s">
        <v>45138</v>
      </c>
      <c r="D9222" t="s">
        <v>27682</v>
      </c>
      <c r="E9222" t="str">
        <f t="shared" si="144"/>
        <v>001390</v>
      </c>
      <c r="F9222" t="s">
        <v>27246</v>
      </c>
      <c r="G9222" t="s">
        <v>27247</v>
      </c>
      <c r="H9222" t="s">
        <v>27248</v>
      </c>
      <c r="I9222" t="s">
        <v>45140</v>
      </c>
      <c r="J9222" t="s">
        <v>18460</v>
      </c>
      <c r="L9222" t="s">
        <v>27250</v>
      </c>
      <c r="M9222" t="s">
        <v>27251</v>
      </c>
      <c r="N9222" t="s">
        <v>27252</v>
      </c>
      <c r="Q9222" s="1">
        <v>44538</v>
      </c>
      <c r="R9222" t="s">
        <v>27253</v>
      </c>
      <c r="S9222" t="s">
        <v>27254</v>
      </c>
      <c r="T9222" t="s">
        <v>27684</v>
      </c>
    </row>
    <row r="9223" spans="1:20" x14ac:dyDescent="0.3">
      <c r="A9223" t="str">
        <f>"0611837456100"</f>
        <v>0611837456100</v>
      </c>
      <c r="B9223" t="str">
        <f>"LL5018"</f>
        <v>LL5018</v>
      </c>
      <c r="C9223" t="s">
        <v>45141</v>
      </c>
      <c r="D9223" t="s">
        <v>27245</v>
      </c>
      <c r="E9223" t="str">
        <f t="shared" si="144"/>
        <v>001390</v>
      </c>
      <c r="F9223" t="s">
        <v>27246</v>
      </c>
      <c r="G9223" t="s">
        <v>27247</v>
      </c>
      <c r="H9223" t="s">
        <v>27248</v>
      </c>
      <c r="I9223" t="s">
        <v>45142</v>
      </c>
      <c r="J9223" t="s">
        <v>18462</v>
      </c>
      <c r="L9223" t="s">
        <v>27250</v>
      </c>
      <c r="M9223" t="s">
        <v>27251</v>
      </c>
      <c r="N9223" t="s">
        <v>27252</v>
      </c>
      <c r="Q9223" s="1">
        <v>44538</v>
      </c>
      <c r="R9223" t="s">
        <v>27253</v>
      </c>
      <c r="S9223" t="s">
        <v>27254</v>
      </c>
      <c r="T9223" t="s">
        <v>27255</v>
      </c>
    </row>
    <row r="9224" spans="1:20" x14ac:dyDescent="0.3">
      <c r="A9224" t="str">
        <f>"0611837457100"</f>
        <v>0611837457100</v>
      </c>
      <c r="B9224" t="str">
        <f>"LL8290"</f>
        <v>LL8290</v>
      </c>
      <c r="C9224" t="s">
        <v>45143</v>
      </c>
      <c r="D9224" t="s">
        <v>27245</v>
      </c>
      <c r="E9224" t="str">
        <f t="shared" si="144"/>
        <v>001390</v>
      </c>
      <c r="F9224" t="s">
        <v>27246</v>
      </c>
      <c r="G9224" t="s">
        <v>27247</v>
      </c>
      <c r="H9224" t="s">
        <v>27248</v>
      </c>
      <c r="I9224" t="s">
        <v>45144</v>
      </c>
      <c r="J9224" t="s">
        <v>18464</v>
      </c>
      <c r="L9224" t="s">
        <v>27250</v>
      </c>
      <c r="M9224" t="s">
        <v>27251</v>
      </c>
      <c r="N9224" t="s">
        <v>27252</v>
      </c>
      <c r="Q9224" s="1">
        <v>44538</v>
      </c>
      <c r="R9224" t="s">
        <v>27253</v>
      </c>
      <c r="S9224" t="s">
        <v>27254</v>
      </c>
      <c r="T9224" t="s">
        <v>27255</v>
      </c>
    </row>
    <row r="9225" spans="1:20" x14ac:dyDescent="0.3">
      <c r="A9225" t="str">
        <f>"0611837458100"</f>
        <v>0611837458100</v>
      </c>
      <c r="B9225" t="str">
        <f>"LL8291"</f>
        <v>LL8291</v>
      </c>
      <c r="C9225" t="s">
        <v>45145</v>
      </c>
      <c r="D9225" t="s">
        <v>27245</v>
      </c>
      <c r="E9225" t="str">
        <f t="shared" si="144"/>
        <v>001390</v>
      </c>
      <c r="F9225" t="s">
        <v>27246</v>
      </c>
      <c r="G9225" t="s">
        <v>27247</v>
      </c>
      <c r="H9225" t="s">
        <v>27248</v>
      </c>
      <c r="I9225" t="s">
        <v>45146</v>
      </c>
      <c r="J9225" t="s">
        <v>18466</v>
      </c>
      <c r="L9225" t="s">
        <v>27250</v>
      </c>
      <c r="M9225" t="s">
        <v>27251</v>
      </c>
      <c r="N9225" t="s">
        <v>27252</v>
      </c>
      <c r="Q9225" s="1">
        <v>44538</v>
      </c>
      <c r="R9225" t="s">
        <v>27253</v>
      </c>
      <c r="S9225" t="s">
        <v>27254</v>
      </c>
      <c r="T9225" t="s">
        <v>27255</v>
      </c>
    </row>
    <row r="9226" spans="1:20" x14ac:dyDescent="0.3">
      <c r="A9226" t="str">
        <f>"0611832453100"</f>
        <v>0611832453100</v>
      </c>
      <c r="B9226" t="str">
        <f>"LL5019"</f>
        <v>LL5019</v>
      </c>
      <c r="C9226" t="s">
        <v>45147</v>
      </c>
      <c r="D9226" t="s">
        <v>27245</v>
      </c>
      <c r="E9226" t="str">
        <f t="shared" si="144"/>
        <v>001390</v>
      </c>
      <c r="F9226" t="s">
        <v>27246</v>
      </c>
      <c r="G9226" t="s">
        <v>27247</v>
      </c>
      <c r="H9226" t="s">
        <v>27248</v>
      </c>
      <c r="I9226" t="s">
        <v>45148</v>
      </c>
      <c r="J9226" t="s">
        <v>18468</v>
      </c>
      <c r="L9226" t="s">
        <v>27250</v>
      </c>
      <c r="M9226" t="s">
        <v>27251</v>
      </c>
      <c r="N9226" t="s">
        <v>27252</v>
      </c>
      <c r="Q9226" s="1">
        <v>44538</v>
      </c>
      <c r="R9226" t="s">
        <v>27253</v>
      </c>
      <c r="S9226" t="s">
        <v>27254</v>
      </c>
      <c r="T9226" t="s">
        <v>27255</v>
      </c>
    </row>
    <row r="9227" spans="1:20" x14ac:dyDescent="0.3">
      <c r="A9227" t="str">
        <f>"0611832454100"</f>
        <v>0611832454100</v>
      </c>
      <c r="B9227" t="str">
        <f>"LL3195"</f>
        <v>LL3195</v>
      </c>
      <c r="C9227" t="s">
        <v>45149</v>
      </c>
      <c r="D9227" t="s">
        <v>27245</v>
      </c>
      <c r="E9227" t="str">
        <f t="shared" si="144"/>
        <v>001390</v>
      </c>
      <c r="F9227" t="s">
        <v>27246</v>
      </c>
      <c r="G9227" t="s">
        <v>27247</v>
      </c>
      <c r="H9227" t="s">
        <v>27248</v>
      </c>
      <c r="I9227" t="s">
        <v>45150</v>
      </c>
      <c r="J9227" t="s">
        <v>18470</v>
      </c>
      <c r="L9227" t="s">
        <v>27250</v>
      </c>
      <c r="M9227" t="s">
        <v>27251</v>
      </c>
      <c r="N9227" t="s">
        <v>27252</v>
      </c>
      <c r="Q9227" s="1">
        <v>44538</v>
      </c>
      <c r="R9227" t="s">
        <v>27253</v>
      </c>
      <c r="S9227" t="s">
        <v>27254</v>
      </c>
      <c r="T9227" t="s">
        <v>27255</v>
      </c>
    </row>
    <row r="9228" spans="1:20" x14ac:dyDescent="0.3">
      <c r="A9228" t="str">
        <f>"0611832455100"</f>
        <v>0611832455100</v>
      </c>
      <c r="B9228" t="str">
        <f>"LL0050"</f>
        <v>LL0050</v>
      </c>
      <c r="C9228" t="s">
        <v>45151</v>
      </c>
      <c r="D9228" t="s">
        <v>27245</v>
      </c>
      <c r="E9228" t="str">
        <f t="shared" si="144"/>
        <v>001390</v>
      </c>
      <c r="F9228" t="s">
        <v>27246</v>
      </c>
      <c r="G9228" t="s">
        <v>27247</v>
      </c>
      <c r="H9228" t="s">
        <v>27248</v>
      </c>
      <c r="I9228" t="s">
        <v>45152</v>
      </c>
      <c r="J9228" t="s">
        <v>18472</v>
      </c>
      <c r="L9228" t="s">
        <v>27250</v>
      </c>
      <c r="M9228" t="s">
        <v>27251</v>
      </c>
      <c r="N9228" t="s">
        <v>27252</v>
      </c>
      <c r="Q9228" s="1">
        <v>44538</v>
      </c>
      <c r="R9228" t="s">
        <v>27253</v>
      </c>
      <c r="S9228" t="s">
        <v>27254</v>
      </c>
      <c r="T9228" t="s">
        <v>27255</v>
      </c>
    </row>
    <row r="9229" spans="1:20" x14ac:dyDescent="0.3">
      <c r="A9229" t="str">
        <f>"0611832456100"</f>
        <v>0611832456100</v>
      </c>
      <c r="B9229" t="str">
        <f>"LL3210"</f>
        <v>LL3210</v>
      </c>
      <c r="C9229" t="s">
        <v>45153</v>
      </c>
      <c r="D9229" t="s">
        <v>27245</v>
      </c>
      <c r="E9229" t="str">
        <f t="shared" si="144"/>
        <v>001390</v>
      </c>
      <c r="F9229" t="s">
        <v>27246</v>
      </c>
      <c r="G9229" t="s">
        <v>27247</v>
      </c>
      <c r="H9229" t="s">
        <v>27248</v>
      </c>
      <c r="I9229" t="s">
        <v>45154</v>
      </c>
      <c r="J9229" t="s">
        <v>18474</v>
      </c>
      <c r="L9229" t="s">
        <v>27250</v>
      </c>
      <c r="M9229" t="s">
        <v>27251</v>
      </c>
      <c r="N9229" t="s">
        <v>27252</v>
      </c>
      <c r="Q9229" s="1">
        <v>44538</v>
      </c>
      <c r="R9229" t="s">
        <v>27253</v>
      </c>
      <c r="S9229" t="s">
        <v>27254</v>
      </c>
      <c r="T9229" t="s">
        <v>27255</v>
      </c>
    </row>
    <row r="9230" spans="1:20" x14ac:dyDescent="0.3">
      <c r="A9230" t="str">
        <f>"0611832457100"</f>
        <v>0611832457100</v>
      </c>
      <c r="B9230" t="str">
        <f>"LL3131"</f>
        <v>LL3131</v>
      </c>
      <c r="C9230" t="s">
        <v>45155</v>
      </c>
      <c r="D9230" t="s">
        <v>27245</v>
      </c>
      <c r="E9230" t="str">
        <f t="shared" si="144"/>
        <v>001390</v>
      </c>
      <c r="F9230" t="s">
        <v>27246</v>
      </c>
      <c r="G9230" t="s">
        <v>27247</v>
      </c>
      <c r="H9230" t="s">
        <v>27248</v>
      </c>
      <c r="I9230" t="s">
        <v>45156</v>
      </c>
      <c r="J9230" t="s">
        <v>18476</v>
      </c>
      <c r="L9230" t="s">
        <v>27250</v>
      </c>
      <c r="M9230" t="s">
        <v>27251</v>
      </c>
      <c r="N9230" t="s">
        <v>27252</v>
      </c>
      <c r="Q9230" s="1">
        <v>44538</v>
      </c>
      <c r="R9230" t="s">
        <v>27253</v>
      </c>
      <c r="S9230" t="s">
        <v>27254</v>
      </c>
      <c r="T9230" t="s">
        <v>27255</v>
      </c>
    </row>
    <row r="9231" spans="1:20" x14ac:dyDescent="0.3">
      <c r="A9231" t="str">
        <f>"0611832458100"</f>
        <v>0611832458100</v>
      </c>
      <c r="B9231" t="str">
        <f>"LL3154"</f>
        <v>LL3154</v>
      </c>
      <c r="C9231" t="s">
        <v>45157</v>
      </c>
      <c r="D9231" t="s">
        <v>27245</v>
      </c>
      <c r="E9231" t="str">
        <f t="shared" si="144"/>
        <v>001390</v>
      </c>
      <c r="F9231" t="s">
        <v>27246</v>
      </c>
      <c r="G9231" t="s">
        <v>27247</v>
      </c>
      <c r="H9231" t="s">
        <v>27248</v>
      </c>
      <c r="I9231" t="s">
        <v>45158</v>
      </c>
      <c r="J9231" t="s">
        <v>18484</v>
      </c>
      <c r="L9231" t="s">
        <v>27250</v>
      </c>
      <c r="M9231" t="s">
        <v>27251</v>
      </c>
      <c r="N9231" t="s">
        <v>27252</v>
      </c>
      <c r="Q9231" s="1">
        <v>44538</v>
      </c>
      <c r="R9231" t="s">
        <v>27253</v>
      </c>
      <c r="S9231" t="s">
        <v>27254</v>
      </c>
      <c r="T9231" t="s">
        <v>27255</v>
      </c>
    </row>
    <row r="9232" spans="1:20" x14ac:dyDescent="0.3">
      <c r="A9232" t="str">
        <f>"0611832459100"</f>
        <v>0611832459100</v>
      </c>
      <c r="B9232" t="str">
        <f>"LL3440"</f>
        <v>LL3440</v>
      </c>
      <c r="C9232" t="s">
        <v>45159</v>
      </c>
      <c r="D9232" t="s">
        <v>27245</v>
      </c>
      <c r="E9232" t="str">
        <f t="shared" si="144"/>
        <v>001390</v>
      </c>
      <c r="F9232" t="s">
        <v>27246</v>
      </c>
      <c r="G9232" t="s">
        <v>27247</v>
      </c>
      <c r="H9232" t="s">
        <v>27248</v>
      </c>
      <c r="I9232" t="s">
        <v>45160</v>
      </c>
      <c r="J9232" t="s">
        <v>18486</v>
      </c>
      <c r="L9232" t="s">
        <v>27250</v>
      </c>
      <c r="M9232" t="s">
        <v>27251</v>
      </c>
      <c r="N9232" t="s">
        <v>27252</v>
      </c>
      <c r="Q9232" s="1">
        <v>44538</v>
      </c>
      <c r="R9232" t="s">
        <v>27253</v>
      </c>
      <c r="S9232" t="s">
        <v>27254</v>
      </c>
      <c r="T9232" t="s">
        <v>27255</v>
      </c>
    </row>
    <row r="9233" spans="1:20" x14ac:dyDescent="0.3">
      <c r="A9233" t="str">
        <f>"0611837459100"</f>
        <v>0611837459100</v>
      </c>
      <c r="B9233" t="str">
        <f>"LL5020"</f>
        <v>LL5020</v>
      </c>
      <c r="C9233" t="s">
        <v>45161</v>
      </c>
      <c r="D9233" t="s">
        <v>27245</v>
      </c>
      <c r="E9233" t="str">
        <f t="shared" si="144"/>
        <v>001390</v>
      </c>
      <c r="F9233" t="s">
        <v>27246</v>
      </c>
      <c r="G9233" t="s">
        <v>27247</v>
      </c>
      <c r="H9233" t="s">
        <v>27248</v>
      </c>
      <c r="I9233" t="s">
        <v>45162</v>
      </c>
      <c r="J9233" t="s">
        <v>18488</v>
      </c>
      <c r="L9233" t="s">
        <v>27250</v>
      </c>
      <c r="M9233" t="s">
        <v>27251</v>
      </c>
      <c r="N9233" t="s">
        <v>27252</v>
      </c>
      <c r="Q9233" s="1">
        <v>44538</v>
      </c>
      <c r="R9233" t="s">
        <v>27253</v>
      </c>
      <c r="S9233" t="s">
        <v>27254</v>
      </c>
      <c r="T9233" t="s">
        <v>27255</v>
      </c>
    </row>
    <row r="9234" spans="1:20" x14ac:dyDescent="0.3">
      <c r="A9234" t="str">
        <f>"0611832460100"</f>
        <v>0611832460100</v>
      </c>
      <c r="B9234" t="str">
        <f>"LL3220"</f>
        <v>LL3220</v>
      </c>
      <c r="C9234" t="s">
        <v>45163</v>
      </c>
      <c r="D9234" t="s">
        <v>27245</v>
      </c>
      <c r="E9234" t="str">
        <f t="shared" si="144"/>
        <v>001390</v>
      </c>
      <c r="F9234" t="s">
        <v>27246</v>
      </c>
      <c r="G9234" t="s">
        <v>27247</v>
      </c>
      <c r="H9234" t="s">
        <v>27248</v>
      </c>
      <c r="I9234" t="s">
        <v>45164</v>
      </c>
      <c r="J9234" t="s">
        <v>18490</v>
      </c>
      <c r="L9234" t="s">
        <v>27250</v>
      </c>
      <c r="M9234" t="s">
        <v>27251</v>
      </c>
      <c r="N9234" t="s">
        <v>27252</v>
      </c>
      <c r="Q9234" s="1">
        <v>44538</v>
      </c>
      <c r="R9234" t="s">
        <v>27253</v>
      </c>
      <c r="S9234" t="s">
        <v>27254</v>
      </c>
      <c r="T9234" t="s">
        <v>27255</v>
      </c>
    </row>
    <row r="9235" spans="1:20" x14ac:dyDescent="0.3">
      <c r="A9235" t="str">
        <f>"0611832461100"</f>
        <v>0611832461100</v>
      </c>
      <c r="B9235" t="str">
        <f>"LL0170"</f>
        <v>LL0170</v>
      </c>
      <c r="C9235" t="s">
        <v>45165</v>
      </c>
      <c r="D9235" t="s">
        <v>27245</v>
      </c>
      <c r="E9235" t="str">
        <f t="shared" si="144"/>
        <v>001390</v>
      </c>
      <c r="F9235" t="s">
        <v>27246</v>
      </c>
      <c r="G9235" t="s">
        <v>27247</v>
      </c>
      <c r="H9235" t="s">
        <v>27248</v>
      </c>
      <c r="I9235" t="s">
        <v>45166</v>
      </c>
      <c r="J9235" t="s">
        <v>18492</v>
      </c>
      <c r="L9235" t="s">
        <v>27250</v>
      </c>
      <c r="M9235" t="s">
        <v>27251</v>
      </c>
      <c r="N9235" t="s">
        <v>27252</v>
      </c>
      <c r="Q9235" s="1">
        <v>44538</v>
      </c>
      <c r="R9235" t="s">
        <v>27253</v>
      </c>
      <c r="S9235" t="s">
        <v>27254</v>
      </c>
      <c r="T9235" t="s">
        <v>27255</v>
      </c>
    </row>
    <row r="9236" spans="1:20" x14ac:dyDescent="0.3">
      <c r="A9236" t="str">
        <f>"0611832462100"</f>
        <v>0611832462100</v>
      </c>
      <c r="B9236" t="str">
        <f>"LL0044"</f>
        <v>LL0044</v>
      </c>
      <c r="C9236" t="s">
        <v>45167</v>
      </c>
      <c r="D9236" t="s">
        <v>27245</v>
      </c>
      <c r="E9236" t="str">
        <f t="shared" si="144"/>
        <v>001390</v>
      </c>
      <c r="F9236" t="s">
        <v>27246</v>
      </c>
      <c r="G9236" t="s">
        <v>27247</v>
      </c>
      <c r="H9236" t="s">
        <v>27248</v>
      </c>
      <c r="I9236" t="s">
        <v>45168</v>
      </c>
      <c r="J9236" t="s">
        <v>18494</v>
      </c>
      <c r="L9236" t="s">
        <v>27250</v>
      </c>
      <c r="M9236" t="s">
        <v>27251</v>
      </c>
      <c r="N9236" t="s">
        <v>27252</v>
      </c>
      <c r="Q9236" s="1">
        <v>44538</v>
      </c>
      <c r="R9236" t="s">
        <v>27253</v>
      </c>
      <c r="S9236" t="s">
        <v>27254</v>
      </c>
      <c r="T9236" t="s">
        <v>27255</v>
      </c>
    </row>
    <row r="9237" spans="1:20" x14ac:dyDescent="0.3">
      <c r="A9237" t="str">
        <f>"0611832463100"</f>
        <v>0611832463100</v>
      </c>
      <c r="B9237" t="str">
        <f>"LL3076"</f>
        <v>LL3076</v>
      </c>
      <c r="C9237" t="s">
        <v>45169</v>
      </c>
      <c r="D9237" t="s">
        <v>27245</v>
      </c>
      <c r="E9237" t="str">
        <f t="shared" si="144"/>
        <v>001390</v>
      </c>
      <c r="F9237" t="s">
        <v>27246</v>
      </c>
      <c r="G9237" t="s">
        <v>27247</v>
      </c>
      <c r="H9237" t="s">
        <v>27248</v>
      </c>
      <c r="I9237" t="s">
        <v>45170</v>
      </c>
      <c r="J9237" t="s">
        <v>18496</v>
      </c>
      <c r="L9237" t="s">
        <v>27250</v>
      </c>
      <c r="M9237" t="s">
        <v>27251</v>
      </c>
      <c r="N9237" t="s">
        <v>27252</v>
      </c>
      <c r="Q9237" s="1">
        <v>44538</v>
      </c>
      <c r="R9237" t="s">
        <v>27253</v>
      </c>
      <c r="S9237" t="s">
        <v>27254</v>
      </c>
      <c r="T9237" t="s">
        <v>27255</v>
      </c>
    </row>
    <row r="9238" spans="1:20" x14ac:dyDescent="0.3">
      <c r="A9238" t="str">
        <f>"0611832465100"</f>
        <v>0611832465100</v>
      </c>
      <c r="B9238" t="str">
        <f>"LL0045"</f>
        <v>LL0045</v>
      </c>
      <c r="C9238" t="s">
        <v>45171</v>
      </c>
      <c r="D9238" t="s">
        <v>28138</v>
      </c>
      <c r="E9238" t="str">
        <f t="shared" si="144"/>
        <v>001390</v>
      </c>
      <c r="F9238" t="s">
        <v>27246</v>
      </c>
      <c r="G9238" t="s">
        <v>27247</v>
      </c>
      <c r="H9238" t="s">
        <v>27248</v>
      </c>
      <c r="I9238" t="s">
        <v>45172</v>
      </c>
      <c r="J9238" t="s">
        <v>18498</v>
      </c>
      <c r="L9238" t="s">
        <v>27250</v>
      </c>
      <c r="M9238" t="s">
        <v>27251</v>
      </c>
      <c r="N9238" t="s">
        <v>27252</v>
      </c>
      <c r="P9238" t="s">
        <v>27925</v>
      </c>
      <c r="Q9238" s="1">
        <v>44538</v>
      </c>
      <c r="R9238" t="s">
        <v>27253</v>
      </c>
      <c r="S9238" t="s">
        <v>27254</v>
      </c>
      <c r="T9238" t="s">
        <v>27255</v>
      </c>
    </row>
    <row r="9239" spans="1:20" x14ac:dyDescent="0.3">
      <c r="A9239" t="str">
        <f>"0611832466100"</f>
        <v>0611832466100</v>
      </c>
      <c r="B9239" t="str">
        <f>"LL8283"</f>
        <v>LL8283</v>
      </c>
      <c r="C9239" t="s">
        <v>45173</v>
      </c>
      <c r="D9239" t="s">
        <v>27245</v>
      </c>
      <c r="E9239" t="str">
        <f t="shared" si="144"/>
        <v>001390</v>
      </c>
      <c r="F9239" t="s">
        <v>27246</v>
      </c>
      <c r="G9239" t="s">
        <v>27247</v>
      </c>
      <c r="H9239" t="s">
        <v>27248</v>
      </c>
      <c r="I9239" t="s">
        <v>45174</v>
      </c>
      <c r="J9239" t="s">
        <v>18500</v>
      </c>
      <c r="L9239" t="s">
        <v>27250</v>
      </c>
      <c r="M9239" t="s">
        <v>27251</v>
      </c>
      <c r="N9239" t="s">
        <v>27252</v>
      </c>
      <c r="Q9239" s="1">
        <v>44538</v>
      </c>
      <c r="R9239" t="s">
        <v>27253</v>
      </c>
      <c r="S9239" t="s">
        <v>27254</v>
      </c>
      <c r="T9239" t="s">
        <v>27255</v>
      </c>
    </row>
    <row r="9240" spans="1:20" x14ac:dyDescent="0.3">
      <c r="A9240" t="str">
        <f>"0611837460100"</f>
        <v>0611837460100</v>
      </c>
      <c r="B9240" t="str">
        <f>"LL8331"</f>
        <v>LL8331</v>
      </c>
      <c r="C9240" t="s">
        <v>45175</v>
      </c>
      <c r="D9240" t="s">
        <v>27245</v>
      </c>
      <c r="E9240" t="str">
        <f t="shared" si="144"/>
        <v>001390</v>
      </c>
      <c r="F9240" t="s">
        <v>27246</v>
      </c>
      <c r="G9240" t="s">
        <v>27247</v>
      </c>
      <c r="H9240" t="s">
        <v>27248</v>
      </c>
      <c r="I9240" t="s">
        <v>45176</v>
      </c>
      <c r="J9240" t="s">
        <v>18502</v>
      </c>
      <c r="L9240" t="s">
        <v>27250</v>
      </c>
      <c r="M9240" t="s">
        <v>27251</v>
      </c>
      <c r="N9240" t="s">
        <v>27252</v>
      </c>
      <c r="Q9240" s="1">
        <v>44538</v>
      </c>
      <c r="R9240" t="s">
        <v>27253</v>
      </c>
      <c r="S9240" t="s">
        <v>27254</v>
      </c>
      <c r="T9240" t="s">
        <v>27255</v>
      </c>
    </row>
    <row r="9241" spans="1:20" x14ac:dyDescent="0.3">
      <c r="A9241" t="str">
        <f>"0611832467100"</f>
        <v>0611832467100</v>
      </c>
      <c r="B9241" t="str">
        <f>"LL8221"</f>
        <v>LL8221</v>
      </c>
      <c r="C9241" t="s">
        <v>45177</v>
      </c>
      <c r="D9241" t="s">
        <v>27245</v>
      </c>
      <c r="E9241" t="str">
        <f t="shared" si="144"/>
        <v>001390</v>
      </c>
      <c r="F9241" t="s">
        <v>27246</v>
      </c>
      <c r="G9241" t="s">
        <v>27247</v>
      </c>
      <c r="H9241" t="s">
        <v>27248</v>
      </c>
      <c r="I9241" t="s">
        <v>45178</v>
      </c>
      <c r="J9241" t="s">
        <v>18504</v>
      </c>
      <c r="L9241" t="s">
        <v>27250</v>
      </c>
      <c r="M9241" t="s">
        <v>27251</v>
      </c>
      <c r="N9241" t="s">
        <v>27252</v>
      </c>
      <c r="Q9241" s="1">
        <v>44538</v>
      </c>
      <c r="R9241" t="s">
        <v>27253</v>
      </c>
      <c r="S9241" t="s">
        <v>27254</v>
      </c>
      <c r="T9241" t="s">
        <v>27255</v>
      </c>
    </row>
    <row r="9242" spans="1:20" x14ac:dyDescent="0.3">
      <c r="A9242" t="str">
        <f>"0611832468100"</f>
        <v>0611832468100</v>
      </c>
      <c r="B9242" t="str">
        <f>"LL8120"</f>
        <v>LL8120</v>
      </c>
      <c r="C9242" t="s">
        <v>45179</v>
      </c>
      <c r="D9242" t="s">
        <v>27245</v>
      </c>
      <c r="E9242" t="str">
        <f t="shared" si="144"/>
        <v>001390</v>
      </c>
      <c r="F9242" t="s">
        <v>27246</v>
      </c>
      <c r="G9242" t="s">
        <v>27247</v>
      </c>
      <c r="H9242" t="s">
        <v>27248</v>
      </c>
      <c r="I9242" t="s">
        <v>45180</v>
      </c>
      <c r="J9242" t="s">
        <v>18506</v>
      </c>
      <c r="L9242" t="s">
        <v>27250</v>
      </c>
      <c r="M9242" t="s">
        <v>27251</v>
      </c>
      <c r="N9242" t="s">
        <v>27252</v>
      </c>
      <c r="Q9242" s="1">
        <v>44538</v>
      </c>
      <c r="R9242" t="s">
        <v>27253</v>
      </c>
      <c r="S9242" t="s">
        <v>27254</v>
      </c>
      <c r="T9242" t="s">
        <v>27255</v>
      </c>
    </row>
    <row r="9243" spans="1:20" x14ac:dyDescent="0.3">
      <c r="A9243" t="str">
        <f>"0611832469100"</f>
        <v>0611832469100</v>
      </c>
      <c r="B9243" t="str">
        <f>"LL3087"</f>
        <v>LL3087</v>
      </c>
      <c r="C9243" t="s">
        <v>45181</v>
      </c>
      <c r="D9243" t="s">
        <v>27245</v>
      </c>
      <c r="E9243" t="str">
        <f t="shared" si="144"/>
        <v>001390</v>
      </c>
      <c r="F9243" t="s">
        <v>27246</v>
      </c>
      <c r="G9243" t="s">
        <v>27247</v>
      </c>
      <c r="H9243" t="s">
        <v>27248</v>
      </c>
      <c r="I9243" t="s">
        <v>45182</v>
      </c>
      <c r="J9243" t="s">
        <v>18508</v>
      </c>
      <c r="L9243" t="s">
        <v>27250</v>
      </c>
      <c r="M9243" t="s">
        <v>27251</v>
      </c>
      <c r="N9243" t="s">
        <v>27252</v>
      </c>
      <c r="Q9243" s="1">
        <v>44538</v>
      </c>
      <c r="R9243" t="s">
        <v>27253</v>
      </c>
      <c r="S9243" t="s">
        <v>27254</v>
      </c>
      <c r="T9243" t="s">
        <v>27255</v>
      </c>
    </row>
    <row r="9244" spans="1:20" x14ac:dyDescent="0.3">
      <c r="A9244" t="str">
        <f>"0611832470100"</f>
        <v>0611832470100</v>
      </c>
      <c r="B9244" t="str">
        <f>"LL3185"</f>
        <v>LL3185</v>
      </c>
      <c r="C9244" t="s">
        <v>45183</v>
      </c>
      <c r="D9244" t="s">
        <v>27245</v>
      </c>
      <c r="E9244" t="str">
        <f t="shared" si="144"/>
        <v>001390</v>
      </c>
      <c r="F9244" t="s">
        <v>27246</v>
      </c>
      <c r="G9244" t="s">
        <v>27247</v>
      </c>
      <c r="H9244" t="s">
        <v>27248</v>
      </c>
      <c r="I9244" t="s">
        <v>45184</v>
      </c>
      <c r="J9244" t="s">
        <v>18510</v>
      </c>
      <c r="L9244" t="s">
        <v>27250</v>
      </c>
      <c r="M9244" t="s">
        <v>27251</v>
      </c>
      <c r="N9244" t="s">
        <v>27252</v>
      </c>
      <c r="Q9244" s="1">
        <v>44538</v>
      </c>
      <c r="R9244" t="s">
        <v>27253</v>
      </c>
      <c r="S9244" t="s">
        <v>27254</v>
      </c>
      <c r="T9244" t="s">
        <v>27255</v>
      </c>
    </row>
    <row r="9245" spans="1:20" x14ac:dyDescent="0.3">
      <c r="A9245" t="str">
        <f>"0611832471100"</f>
        <v>0611832471100</v>
      </c>
      <c r="B9245" t="str">
        <f>"LB5807"</f>
        <v>LB5807</v>
      </c>
      <c r="C9245" t="s">
        <v>45185</v>
      </c>
      <c r="D9245" t="s">
        <v>27245</v>
      </c>
      <c r="E9245" t="str">
        <f t="shared" si="144"/>
        <v>001390</v>
      </c>
      <c r="F9245" t="s">
        <v>27246</v>
      </c>
      <c r="G9245" t="s">
        <v>27247</v>
      </c>
      <c r="H9245" t="s">
        <v>27248</v>
      </c>
      <c r="I9245" t="s">
        <v>45186</v>
      </c>
      <c r="J9245" t="s">
        <v>18512</v>
      </c>
      <c r="L9245" t="s">
        <v>27250</v>
      </c>
      <c r="M9245" t="s">
        <v>27251</v>
      </c>
      <c r="N9245" t="s">
        <v>27252</v>
      </c>
      <c r="Q9245" s="1">
        <v>44538</v>
      </c>
      <c r="R9245" t="s">
        <v>27253</v>
      </c>
      <c r="S9245" t="s">
        <v>27254</v>
      </c>
      <c r="T9245" t="s">
        <v>27255</v>
      </c>
    </row>
    <row r="9246" spans="1:20" x14ac:dyDescent="0.3">
      <c r="A9246" t="str">
        <f>"0611832472100"</f>
        <v>0611832472100</v>
      </c>
      <c r="B9246" t="str">
        <f>"LL3243"</f>
        <v>LL3243</v>
      </c>
      <c r="C9246" t="s">
        <v>45187</v>
      </c>
      <c r="D9246" t="s">
        <v>27245</v>
      </c>
      <c r="E9246" t="str">
        <f t="shared" si="144"/>
        <v>001390</v>
      </c>
      <c r="F9246" t="s">
        <v>27246</v>
      </c>
      <c r="G9246" t="s">
        <v>27247</v>
      </c>
      <c r="H9246" t="s">
        <v>27248</v>
      </c>
      <c r="I9246" t="s">
        <v>45188</v>
      </c>
      <c r="J9246" t="s">
        <v>18514</v>
      </c>
      <c r="L9246" t="s">
        <v>27250</v>
      </c>
      <c r="M9246" t="s">
        <v>27251</v>
      </c>
      <c r="N9246" t="s">
        <v>27252</v>
      </c>
      <c r="Q9246" s="1">
        <v>44538</v>
      </c>
      <c r="R9246" t="s">
        <v>27253</v>
      </c>
      <c r="S9246" t="s">
        <v>27254</v>
      </c>
      <c r="T9246" t="s">
        <v>27255</v>
      </c>
    </row>
    <row r="9247" spans="1:20" x14ac:dyDescent="0.3">
      <c r="A9247" t="str">
        <f>"0611832473100"</f>
        <v>0611832473100</v>
      </c>
      <c r="B9247" t="str">
        <f>"LB0197"</f>
        <v>LB0197</v>
      </c>
      <c r="C9247" t="s">
        <v>45189</v>
      </c>
      <c r="D9247" t="s">
        <v>27245</v>
      </c>
      <c r="E9247" t="str">
        <f t="shared" si="144"/>
        <v>001390</v>
      </c>
      <c r="F9247" t="s">
        <v>27246</v>
      </c>
      <c r="G9247" t="s">
        <v>27247</v>
      </c>
      <c r="H9247" t="s">
        <v>27248</v>
      </c>
      <c r="I9247" t="s">
        <v>45190</v>
      </c>
      <c r="J9247" t="s">
        <v>18516</v>
      </c>
      <c r="L9247" t="s">
        <v>27250</v>
      </c>
      <c r="M9247" t="s">
        <v>27251</v>
      </c>
      <c r="N9247" t="s">
        <v>27252</v>
      </c>
      <c r="Q9247" s="1">
        <v>44538</v>
      </c>
      <c r="R9247" t="s">
        <v>27253</v>
      </c>
      <c r="S9247" t="s">
        <v>27254</v>
      </c>
      <c r="T9247" t="s">
        <v>27255</v>
      </c>
    </row>
    <row r="9248" spans="1:20" x14ac:dyDescent="0.3">
      <c r="A9248" t="str">
        <f>"0611832474100"</f>
        <v>0611832474100</v>
      </c>
      <c r="B9248" t="str">
        <f>"LL3245"</f>
        <v>LL3245</v>
      </c>
      <c r="C9248" t="s">
        <v>45191</v>
      </c>
      <c r="D9248" t="s">
        <v>27245</v>
      </c>
      <c r="E9248" t="str">
        <f t="shared" si="144"/>
        <v>001390</v>
      </c>
      <c r="F9248" t="s">
        <v>27246</v>
      </c>
      <c r="G9248" t="s">
        <v>27247</v>
      </c>
      <c r="H9248" t="s">
        <v>27248</v>
      </c>
      <c r="I9248" t="s">
        <v>45192</v>
      </c>
      <c r="J9248" t="s">
        <v>18518</v>
      </c>
      <c r="L9248" t="s">
        <v>27250</v>
      </c>
      <c r="M9248" t="s">
        <v>27251</v>
      </c>
      <c r="N9248" t="s">
        <v>27252</v>
      </c>
      <c r="Q9248" s="1">
        <v>44538</v>
      </c>
      <c r="R9248" t="s">
        <v>27253</v>
      </c>
      <c r="S9248" t="s">
        <v>27254</v>
      </c>
      <c r="T9248" t="s">
        <v>27255</v>
      </c>
    </row>
    <row r="9249" spans="1:20" x14ac:dyDescent="0.3">
      <c r="A9249" t="str">
        <f>"0611837461100"</f>
        <v>0611837461100</v>
      </c>
      <c r="B9249" t="str">
        <f>"LL8222"</f>
        <v>LL8222</v>
      </c>
      <c r="C9249" t="s">
        <v>45193</v>
      </c>
      <c r="D9249" t="s">
        <v>27245</v>
      </c>
      <c r="E9249" t="str">
        <f t="shared" si="144"/>
        <v>001390</v>
      </c>
      <c r="F9249" t="s">
        <v>27246</v>
      </c>
      <c r="G9249" t="s">
        <v>27247</v>
      </c>
      <c r="H9249" t="s">
        <v>27248</v>
      </c>
      <c r="I9249" t="s">
        <v>45194</v>
      </c>
      <c r="J9249" t="s">
        <v>18520</v>
      </c>
      <c r="L9249" t="s">
        <v>27250</v>
      </c>
      <c r="M9249" t="s">
        <v>27251</v>
      </c>
      <c r="N9249" t="s">
        <v>27252</v>
      </c>
      <c r="Q9249" s="1">
        <v>44538</v>
      </c>
      <c r="R9249" t="s">
        <v>27253</v>
      </c>
      <c r="S9249" t="s">
        <v>27254</v>
      </c>
      <c r="T9249" t="s">
        <v>27255</v>
      </c>
    </row>
    <row r="9250" spans="1:20" x14ac:dyDescent="0.3">
      <c r="A9250" t="str">
        <f>"0611832475100"</f>
        <v>0611832475100</v>
      </c>
      <c r="B9250" t="str">
        <f>"LL3249"</f>
        <v>LL3249</v>
      </c>
      <c r="C9250" t="s">
        <v>45195</v>
      </c>
      <c r="D9250" t="s">
        <v>27245</v>
      </c>
      <c r="E9250" t="str">
        <f t="shared" si="144"/>
        <v>001390</v>
      </c>
      <c r="F9250" t="s">
        <v>27246</v>
      </c>
      <c r="G9250" t="s">
        <v>27247</v>
      </c>
      <c r="H9250" t="s">
        <v>27248</v>
      </c>
      <c r="I9250" t="s">
        <v>45196</v>
      </c>
      <c r="J9250" t="s">
        <v>18522</v>
      </c>
      <c r="L9250" t="s">
        <v>27250</v>
      </c>
      <c r="M9250" t="s">
        <v>27251</v>
      </c>
      <c r="N9250" t="s">
        <v>27252</v>
      </c>
      <c r="Q9250" s="1">
        <v>44538</v>
      </c>
      <c r="R9250" t="s">
        <v>27253</v>
      </c>
      <c r="S9250" t="s">
        <v>27254</v>
      </c>
      <c r="T9250" t="s">
        <v>27255</v>
      </c>
    </row>
    <row r="9251" spans="1:20" x14ac:dyDescent="0.3">
      <c r="A9251" t="str">
        <f>"0611832476100"</f>
        <v>0611832476100</v>
      </c>
      <c r="B9251" t="str">
        <f>"LL8316"</f>
        <v>LL8316</v>
      </c>
      <c r="C9251" t="s">
        <v>45197</v>
      </c>
      <c r="D9251" t="s">
        <v>27245</v>
      </c>
      <c r="E9251" t="str">
        <f t="shared" si="144"/>
        <v>001390</v>
      </c>
      <c r="F9251" t="s">
        <v>27246</v>
      </c>
      <c r="G9251" t="s">
        <v>27247</v>
      </c>
      <c r="H9251" t="s">
        <v>27248</v>
      </c>
      <c r="I9251" t="s">
        <v>45198</v>
      </c>
      <c r="J9251" t="s">
        <v>18524</v>
      </c>
      <c r="L9251" t="s">
        <v>27250</v>
      </c>
      <c r="M9251" t="s">
        <v>27251</v>
      </c>
      <c r="N9251" t="s">
        <v>27252</v>
      </c>
      <c r="Q9251" s="1">
        <v>44538</v>
      </c>
      <c r="R9251" t="s">
        <v>27253</v>
      </c>
      <c r="S9251" t="s">
        <v>27254</v>
      </c>
      <c r="T9251" t="s">
        <v>27255</v>
      </c>
    </row>
    <row r="9252" spans="1:20" x14ac:dyDescent="0.3">
      <c r="A9252" t="str">
        <f>"0611832477100"</f>
        <v>0611832477100</v>
      </c>
      <c r="B9252" t="str">
        <f>"LK6264"</f>
        <v>LK6264</v>
      </c>
      <c r="C9252" t="s">
        <v>45199</v>
      </c>
      <c r="D9252" t="s">
        <v>27245</v>
      </c>
      <c r="E9252" t="str">
        <f t="shared" si="144"/>
        <v>001390</v>
      </c>
      <c r="F9252" t="s">
        <v>27246</v>
      </c>
      <c r="G9252" t="s">
        <v>27247</v>
      </c>
      <c r="H9252" t="s">
        <v>27248</v>
      </c>
      <c r="I9252" t="s">
        <v>45200</v>
      </c>
      <c r="J9252" t="s">
        <v>18526</v>
      </c>
      <c r="L9252" t="s">
        <v>27250</v>
      </c>
      <c r="M9252" t="s">
        <v>27251</v>
      </c>
      <c r="N9252" t="s">
        <v>27252</v>
      </c>
      <c r="Q9252" s="1">
        <v>44538</v>
      </c>
      <c r="R9252" t="s">
        <v>27253</v>
      </c>
      <c r="S9252" t="s">
        <v>27254</v>
      </c>
      <c r="T9252" t="s">
        <v>27255</v>
      </c>
    </row>
    <row r="9253" spans="1:20" x14ac:dyDescent="0.3">
      <c r="A9253" t="str">
        <f>"0611832478100"</f>
        <v>0611832478100</v>
      </c>
      <c r="B9253" t="str">
        <f>"LL0123"</f>
        <v>LL0123</v>
      </c>
      <c r="C9253" t="s">
        <v>45201</v>
      </c>
      <c r="D9253" t="s">
        <v>27245</v>
      </c>
      <c r="E9253" t="str">
        <f t="shared" si="144"/>
        <v>001390</v>
      </c>
      <c r="F9253" t="s">
        <v>27246</v>
      </c>
      <c r="G9253" t="s">
        <v>27247</v>
      </c>
      <c r="H9253" t="s">
        <v>27248</v>
      </c>
      <c r="I9253" t="s">
        <v>45202</v>
      </c>
      <c r="J9253" t="s">
        <v>18528</v>
      </c>
      <c r="L9253" t="s">
        <v>27250</v>
      </c>
      <c r="M9253" t="s">
        <v>27251</v>
      </c>
      <c r="N9253" t="s">
        <v>27252</v>
      </c>
      <c r="Q9253" s="1">
        <v>44538</v>
      </c>
      <c r="R9253" t="s">
        <v>27253</v>
      </c>
      <c r="S9253" t="s">
        <v>27254</v>
      </c>
      <c r="T9253" t="s">
        <v>27255</v>
      </c>
    </row>
    <row r="9254" spans="1:20" x14ac:dyDescent="0.3">
      <c r="A9254" t="str">
        <f>"0611832479100"</f>
        <v>0611832479100</v>
      </c>
      <c r="B9254" t="str">
        <f>"LL0124"</f>
        <v>LL0124</v>
      </c>
      <c r="C9254" t="s">
        <v>45203</v>
      </c>
      <c r="D9254" t="s">
        <v>27245</v>
      </c>
      <c r="E9254" t="str">
        <f t="shared" si="144"/>
        <v>001390</v>
      </c>
      <c r="F9254" t="s">
        <v>27246</v>
      </c>
      <c r="G9254" t="s">
        <v>27247</v>
      </c>
      <c r="H9254" t="s">
        <v>27248</v>
      </c>
      <c r="I9254" t="s">
        <v>45204</v>
      </c>
      <c r="J9254" t="s">
        <v>18530</v>
      </c>
      <c r="L9254" t="s">
        <v>27250</v>
      </c>
      <c r="M9254" t="s">
        <v>27251</v>
      </c>
      <c r="N9254" t="s">
        <v>27252</v>
      </c>
      <c r="O9254">
        <v>300</v>
      </c>
      <c r="Q9254" s="1">
        <v>44538</v>
      </c>
      <c r="R9254" t="s">
        <v>27253</v>
      </c>
      <c r="S9254" t="s">
        <v>27254</v>
      </c>
      <c r="T9254" t="s">
        <v>27255</v>
      </c>
    </row>
    <row r="9255" spans="1:20" x14ac:dyDescent="0.3">
      <c r="A9255" t="str">
        <f>"0611837463100"</f>
        <v>0611837463100</v>
      </c>
      <c r="B9255" t="str">
        <f>"LL4840"</f>
        <v>LL4840</v>
      </c>
      <c r="C9255" t="s">
        <v>45205</v>
      </c>
      <c r="D9255" t="s">
        <v>27245</v>
      </c>
      <c r="E9255" t="str">
        <f t="shared" si="144"/>
        <v>001390</v>
      </c>
      <c r="F9255" t="s">
        <v>27246</v>
      </c>
      <c r="G9255" t="s">
        <v>27247</v>
      </c>
      <c r="H9255" t="s">
        <v>27248</v>
      </c>
      <c r="I9255" t="s">
        <v>45206</v>
      </c>
      <c r="J9255" t="s">
        <v>18532</v>
      </c>
      <c r="L9255" t="s">
        <v>27250</v>
      </c>
      <c r="M9255" t="s">
        <v>27251</v>
      </c>
      <c r="N9255" t="s">
        <v>27252</v>
      </c>
      <c r="Q9255" s="1">
        <v>44538</v>
      </c>
      <c r="R9255" t="s">
        <v>27253</v>
      </c>
      <c r="S9255" t="s">
        <v>27254</v>
      </c>
      <c r="T9255" t="s">
        <v>27255</v>
      </c>
    </row>
    <row r="9256" spans="1:20" x14ac:dyDescent="0.3">
      <c r="A9256" t="str">
        <f>"0611832480100"</f>
        <v>0611832480100</v>
      </c>
      <c r="B9256" t="str">
        <f>"LL8125"</f>
        <v>LL8125</v>
      </c>
      <c r="C9256" t="s">
        <v>45207</v>
      </c>
      <c r="D9256" t="s">
        <v>27245</v>
      </c>
      <c r="E9256" t="str">
        <f t="shared" si="144"/>
        <v>001390</v>
      </c>
      <c r="F9256" t="s">
        <v>27246</v>
      </c>
      <c r="G9256" t="s">
        <v>27247</v>
      </c>
      <c r="H9256" t="s">
        <v>27248</v>
      </c>
      <c r="I9256" t="s">
        <v>45208</v>
      </c>
      <c r="J9256" t="s">
        <v>18534</v>
      </c>
      <c r="L9256" t="s">
        <v>27250</v>
      </c>
      <c r="M9256" t="s">
        <v>27251</v>
      </c>
      <c r="N9256" t="s">
        <v>27252</v>
      </c>
      <c r="Q9256" s="1">
        <v>44538</v>
      </c>
      <c r="R9256" t="s">
        <v>27253</v>
      </c>
      <c r="S9256" t="s">
        <v>27254</v>
      </c>
      <c r="T9256" t="s">
        <v>27255</v>
      </c>
    </row>
    <row r="9257" spans="1:20" x14ac:dyDescent="0.3">
      <c r="A9257" t="str">
        <f>"0611832481100"</f>
        <v>0611832481100</v>
      </c>
      <c r="B9257" t="str">
        <f>"LL3125"</f>
        <v>LL3125</v>
      </c>
      <c r="C9257" t="s">
        <v>45209</v>
      </c>
      <c r="D9257" t="s">
        <v>27245</v>
      </c>
      <c r="E9257" t="str">
        <f t="shared" si="144"/>
        <v>001390</v>
      </c>
      <c r="F9257" t="s">
        <v>27246</v>
      </c>
      <c r="G9257" t="s">
        <v>27247</v>
      </c>
      <c r="H9257" t="s">
        <v>27248</v>
      </c>
      <c r="I9257" t="s">
        <v>45210</v>
      </c>
      <c r="J9257" t="s">
        <v>18536</v>
      </c>
      <c r="L9257" t="s">
        <v>27250</v>
      </c>
      <c r="M9257" t="s">
        <v>27251</v>
      </c>
      <c r="N9257" t="s">
        <v>27252</v>
      </c>
      <c r="Q9257" s="1">
        <v>44538</v>
      </c>
      <c r="R9257" t="s">
        <v>27253</v>
      </c>
      <c r="S9257" t="s">
        <v>27254</v>
      </c>
      <c r="T9257" t="s">
        <v>27255</v>
      </c>
    </row>
    <row r="9258" spans="1:20" x14ac:dyDescent="0.3">
      <c r="A9258" t="str">
        <f>"0611832482100"</f>
        <v>0611832482100</v>
      </c>
      <c r="B9258" t="str">
        <f>"LL3109"</f>
        <v>LL3109</v>
      </c>
      <c r="C9258" t="s">
        <v>45211</v>
      </c>
      <c r="D9258" t="s">
        <v>27245</v>
      </c>
      <c r="E9258" t="str">
        <f t="shared" si="144"/>
        <v>001390</v>
      </c>
      <c r="F9258" t="s">
        <v>27246</v>
      </c>
      <c r="G9258" t="s">
        <v>27247</v>
      </c>
      <c r="H9258" t="s">
        <v>27248</v>
      </c>
      <c r="I9258" t="s">
        <v>45212</v>
      </c>
      <c r="J9258" t="s">
        <v>18538</v>
      </c>
      <c r="L9258" t="s">
        <v>27250</v>
      </c>
      <c r="M9258" t="s">
        <v>27251</v>
      </c>
      <c r="N9258" t="s">
        <v>27252</v>
      </c>
      <c r="Q9258" s="1">
        <v>44538</v>
      </c>
      <c r="R9258" t="s">
        <v>27253</v>
      </c>
      <c r="S9258" t="s">
        <v>27254</v>
      </c>
      <c r="T9258" t="s">
        <v>27255</v>
      </c>
    </row>
    <row r="9259" spans="1:20" x14ac:dyDescent="0.3">
      <c r="A9259" t="str">
        <f>"0611832483100"</f>
        <v>0611832483100</v>
      </c>
      <c r="B9259" t="str">
        <f>"LL8223"</f>
        <v>LL8223</v>
      </c>
      <c r="C9259" t="s">
        <v>45213</v>
      </c>
      <c r="D9259" t="s">
        <v>27245</v>
      </c>
      <c r="E9259" t="str">
        <f t="shared" si="144"/>
        <v>001390</v>
      </c>
      <c r="F9259" t="s">
        <v>27246</v>
      </c>
      <c r="G9259" t="s">
        <v>27247</v>
      </c>
      <c r="H9259" t="s">
        <v>27248</v>
      </c>
      <c r="I9259" t="s">
        <v>45214</v>
      </c>
      <c r="J9259" t="s">
        <v>18540</v>
      </c>
      <c r="L9259" t="s">
        <v>27250</v>
      </c>
      <c r="M9259" t="s">
        <v>27251</v>
      </c>
      <c r="N9259" t="s">
        <v>27252</v>
      </c>
      <c r="Q9259" s="1">
        <v>44538</v>
      </c>
      <c r="R9259" t="s">
        <v>27253</v>
      </c>
      <c r="S9259" t="s">
        <v>27254</v>
      </c>
      <c r="T9259" t="s">
        <v>27255</v>
      </c>
    </row>
    <row r="9260" spans="1:20" x14ac:dyDescent="0.3">
      <c r="A9260" t="str">
        <f>"0611832320100"</f>
        <v>0611832320100</v>
      </c>
      <c r="B9260" t="str">
        <f>"LL4853"</f>
        <v>LL4853</v>
      </c>
      <c r="C9260" t="s">
        <v>45215</v>
      </c>
      <c r="D9260" t="s">
        <v>27245</v>
      </c>
      <c r="E9260" t="str">
        <f t="shared" si="144"/>
        <v>001390</v>
      </c>
      <c r="F9260" t="s">
        <v>27246</v>
      </c>
      <c r="G9260" t="s">
        <v>27247</v>
      </c>
      <c r="H9260" t="s">
        <v>27248</v>
      </c>
      <c r="I9260" t="s">
        <v>45216</v>
      </c>
      <c r="J9260" t="s">
        <v>18542</v>
      </c>
      <c r="L9260" t="s">
        <v>27250</v>
      </c>
      <c r="M9260" t="s">
        <v>27251</v>
      </c>
      <c r="N9260" t="s">
        <v>27252</v>
      </c>
      <c r="Q9260" s="1">
        <v>44538</v>
      </c>
      <c r="R9260" t="s">
        <v>27253</v>
      </c>
      <c r="S9260" t="s">
        <v>27254</v>
      </c>
      <c r="T9260" t="s">
        <v>27255</v>
      </c>
    </row>
    <row r="9261" spans="1:20" x14ac:dyDescent="0.3">
      <c r="A9261" t="str">
        <f>"0611832484100"</f>
        <v>0611832484100</v>
      </c>
      <c r="B9261" t="str">
        <f>"LL3142"</f>
        <v>LL3142</v>
      </c>
      <c r="C9261" t="s">
        <v>45217</v>
      </c>
      <c r="D9261" t="s">
        <v>27245</v>
      </c>
      <c r="E9261" t="str">
        <f t="shared" si="144"/>
        <v>001390</v>
      </c>
      <c r="F9261" t="s">
        <v>27246</v>
      </c>
      <c r="G9261" t="s">
        <v>27247</v>
      </c>
      <c r="H9261" t="s">
        <v>27248</v>
      </c>
      <c r="I9261" t="s">
        <v>45218</v>
      </c>
      <c r="J9261" t="s">
        <v>18544</v>
      </c>
      <c r="L9261" t="s">
        <v>27250</v>
      </c>
      <c r="M9261" t="s">
        <v>27251</v>
      </c>
      <c r="N9261" t="s">
        <v>27252</v>
      </c>
      <c r="Q9261" s="1">
        <v>44538</v>
      </c>
      <c r="R9261" t="s">
        <v>27253</v>
      </c>
      <c r="S9261" t="s">
        <v>27254</v>
      </c>
      <c r="T9261" t="s">
        <v>27255</v>
      </c>
    </row>
    <row r="9262" spans="1:20" x14ac:dyDescent="0.3">
      <c r="A9262" t="str">
        <f>"0611832485100"</f>
        <v>0611832485100</v>
      </c>
      <c r="B9262" t="str">
        <f>"LK5546"</f>
        <v>LK5546</v>
      </c>
      <c r="C9262" t="s">
        <v>45219</v>
      </c>
      <c r="D9262" t="s">
        <v>27245</v>
      </c>
      <c r="E9262" t="str">
        <f t="shared" si="144"/>
        <v>001390</v>
      </c>
      <c r="F9262" t="s">
        <v>27246</v>
      </c>
      <c r="G9262" t="s">
        <v>27247</v>
      </c>
      <c r="H9262" t="s">
        <v>27248</v>
      </c>
      <c r="I9262" t="s">
        <v>45220</v>
      </c>
      <c r="J9262" t="s">
        <v>18546</v>
      </c>
      <c r="L9262" t="s">
        <v>27250</v>
      </c>
      <c r="M9262" t="s">
        <v>27251</v>
      </c>
      <c r="N9262" t="s">
        <v>27252</v>
      </c>
      <c r="Q9262" s="1">
        <v>44538</v>
      </c>
      <c r="R9262" t="s">
        <v>27253</v>
      </c>
      <c r="S9262" t="s">
        <v>27254</v>
      </c>
      <c r="T9262" t="s">
        <v>27255</v>
      </c>
    </row>
    <row r="9263" spans="1:20" x14ac:dyDescent="0.3">
      <c r="A9263" t="str">
        <f>"0611884355100"</f>
        <v>0611884355100</v>
      </c>
      <c r="B9263" t="str">
        <f>"LK7174"</f>
        <v>LK7174</v>
      </c>
      <c r="C9263" t="s">
        <v>45221</v>
      </c>
      <c r="D9263" t="s">
        <v>27245</v>
      </c>
      <c r="E9263" t="str">
        <f t="shared" si="144"/>
        <v>001390</v>
      </c>
      <c r="F9263" t="s">
        <v>27246</v>
      </c>
      <c r="G9263" t="s">
        <v>27247</v>
      </c>
      <c r="H9263" t="s">
        <v>27248</v>
      </c>
      <c r="I9263" t="s">
        <v>45222</v>
      </c>
      <c r="J9263" t="s">
        <v>18548</v>
      </c>
      <c r="L9263" t="s">
        <v>27430</v>
      </c>
      <c r="M9263" t="s">
        <v>27251</v>
      </c>
      <c r="N9263" t="s">
        <v>27252</v>
      </c>
      <c r="Q9263" s="1">
        <v>45250</v>
      </c>
      <c r="R9263" t="s">
        <v>27253</v>
      </c>
      <c r="S9263" t="s">
        <v>27254</v>
      </c>
      <c r="T9263" t="s">
        <v>27255</v>
      </c>
    </row>
    <row r="9264" spans="1:20" x14ac:dyDescent="0.3">
      <c r="A9264" t="str">
        <f>"0611832486100"</f>
        <v>0611832486100</v>
      </c>
      <c r="B9264" t="str">
        <f>"LK6340"</f>
        <v>LK6340</v>
      </c>
      <c r="C9264" t="s">
        <v>45223</v>
      </c>
      <c r="D9264" t="s">
        <v>27245</v>
      </c>
      <c r="E9264" t="str">
        <f t="shared" si="144"/>
        <v>001390</v>
      </c>
      <c r="F9264" t="s">
        <v>27246</v>
      </c>
      <c r="G9264" t="s">
        <v>27247</v>
      </c>
      <c r="H9264" t="s">
        <v>27248</v>
      </c>
      <c r="I9264" t="s">
        <v>45224</v>
      </c>
      <c r="J9264" t="s">
        <v>18550</v>
      </c>
      <c r="L9264" t="s">
        <v>27250</v>
      </c>
      <c r="M9264" t="s">
        <v>27251</v>
      </c>
      <c r="N9264" t="s">
        <v>27252</v>
      </c>
      <c r="Q9264" s="1">
        <v>44538</v>
      </c>
      <c r="R9264" t="s">
        <v>27253</v>
      </c>
      <c r="S9264" t="s">
        <v>27254</v>
      </c>
      <c r="T9264" t="s">
        <v>27255</v>
      </c>
    </row>
    <row r="9265" spans="1:20" x14ac:dyDescent="0.3">
      <c r="A9265" t="str">
        <f>"0611832487100"</f>
        <v>0611832487100</v>
      </c>
      <c r="B9265" t="str">
        <f>"LL4873"</f>
        <v>LL4873</v>
      </c>
      <c r="C9265" t="s">
        <v>45225</v>
      </c>
      <c r="D9265" t="s">
        <v>27245</v>
      </c>
      <c r="E9265" t="str">
        <f t="shared" si="144"/>
        <v>001390</v>
      </c>
      <c r="F9265" t="s">
        <v>27246</v>
      </c>
      <c r="G9265" t="s">
        <v>27247</v>
      </c>
      <c r="H9265" t="s">
        <v>27248</v>
      </c>
      <c r="I9265" t="s">
        <v>45226</v>
      </c>
      <c r="J9265" t="s">
        <v>18552</v>
      </c>
      <c r="L9265" t="s">
        <v>27250</v>
      </c>
      <c r="M9265" t="s">
        <v>27251</v>
      </c>
      <c r="N9265" t="s">
        <v>27252</v>
      </c>
      <c r="Q9265" s="1">
        <v>44538</v>
      </c>
      <c r="R9265" t="s">
        <v>27253</v>
      </c>
      <c r="S9265" t="s">
        <v>27254</v>
      </c>
      <c r="T9265" t="s">
        <v>27255</v>
      </c>
    </row>
    <row r="9266" spans="1:20" x14ac:dyDescent="0.3">
      <c r="A9266" t="str">
        <f>"0611832488100"</f>
        <v>0611832488100</v>
      </c>
      <c r="B9266" t="str">
        <f>"LL0166"</f>
        <v>LL0166</v>
      </c>
      <c r="C9266" t="s">
        <v>45227</v>
      </c>
      <c r="D9266" t="s">
        <v>27245</v>
      </c>
      <c r="E9266" t="str">
        <f t="shared" si="144"/>
        <v>001390</v>
      </c>
      <c r="F9266" t="s">
        <v>27246</v>
      </c>
      <c r="G9266" t="s">
        <v>27247</v>
      </c>
      <c r="H9266" t="s">
        <v>27248</v>
      </c>
      <c r="I9266" t="s">
        <v>45228</v>
      </c>
      <c r="J9266" t="s">
        <v>18554</v>
      </c>
      <c r="L9266" t="s">
        <v>27250</v>
      </c>
      <c r="M9266" t="s">
        <v>27251</v>
      </c>
      <c r="N9266" t="s">
        <v>27252</v>
      </c>
      <c r="Q9266" s="1">
        <v>44538</v>
      </c>
      <c r="R9266" t="s">
        <v>27253</v>
      </c>
      <c r="S9266" t="s">
        <v>27254</v>
      </c>
      <c r="T9266" t="s">
        <v>27255</v>
      </c>
    </row>
    <row r="9267" spans="1:20" x14ac:dyDescent="0.3">
      <c r="A9267" t="str">
        <f>"0611832489100"</f>
        <v>0611832489100</v>
      </c>
      <c r="B9267" t="str">
        <f>"LL8079"</f>
        <v>LL8079</v>
      </c>
      <c r="C9267" t="s">
        <v>45229</v>
      </c>
      <c r="D9267" t="s">
        <v>27245</v>
      </c>
      <c r="E9267" t="str">
        <f t="shared" si="144"/>
        <v>001390</v>
      </c>
      <c r="F9267" t="s">
        <v>27246</v>
      </c>
      <c r="G9267" t="s">
        <v>27247</v>
      </c>
      <c r="H9267" t="s">
        <v>27248</v>
      </c>
      <c r="I9267" t="s">
        <v>45230</v>
      </c>
      <c r="J9267" t="s">
        <v>18556</v>
      </c>
      <c r="L9267" t="s">
        <v>27250</v>
      </c>
      <c r="M9267" t="s">
        <v>27251</v>
      </c>
      <c r="N9267" t="s">
        <v>27252</v>
      </c>
      <c r="Q9267" s="1">
        <v>44538</v>
      </c>
      <c r="R9267" t="s">
        <v>27253</v>
      </c>
      <c r="S9267" t="s">
        <v>27254</v>
      </c>
      <c r="T9267" t="s">
        <v>27255</v>
      </c>
    </row>
    <row r="9268" spans="1:20" x14ac:dyDescent="0.3">
      <c r="A9268" t="str">
        <f>"0611832490100"</f>
        <v>0611832490100</v>
      </c>
      <c r="B9268" t="str">
        <f>"LL3084"</f>
        <v>LL3084</v>
      </c>
      <c r="C9268" t="s">
        <v>45231</v>
      </c>
      <c r="D9268" t="s">
        <v>27245</v>
      </c>
      <c r="E9268" t="str">
        <f t="shared" si="144"/>
        <v>001390</v>
      </c>
      <c r="F9268" t="s">
        <v>27246</v>
      </c>
      <c r="G9268" t="s">
        <v>27247</v>
      </c>
      <c r="H9268" t="s">
        <v>27248</v>
      </c>
      <c r="I9268" t="s">
        <v>45232</v>
      </c>
      <c r="J9268" t="s">
        <v>18558</v>
      </c>
      <c r="L9268" t="s">
        <v>27250</v>
      </c>
      <c r="M9268" t="s">
        <v>27251</v>
      </c>
      <c r="N9268" t="s">
        <v>27252</v>
      </c>
      <c r="Q9268" s="1">
        <v>44538</v>
      </c>
      <c r="R9268" t="s">
        <v>27253</v>
      </c>
      <c r="S9268" t="s">
        <v>27254</v>
      </c>
      <c r="T9268" t="s">
        <v>27255</v>
      </c>
    </row>
    <row r="9269" spans="1:20" x14ac:dyDescent="0.3">
      <c r="A9269" t="str">
        <f>"0611884356100"</f>
        <v>0611884356100</v>
      </c>
      <c r="B9269" t="str">
        <f>"LF1118"</f>
        <v>LF1118</v>
      </c>
      <c r="C9269" t="s">
        <v>45233</v>
      </c>
      <c r="D9269" t="s">
        <v>27245</v>
      </c>
      <c r="E9269" t="str">
        <f t="shared" si="144"/>
        <v>001390</v>
      </c>
      <c r="F9269" t="s">
        <v>27246</v>
      </c>
      <c r="G9269" t="s">
        <v>27247</v>
      </c>
      <c r="H9269" t="s">
        <v>27248</v>
      </c>
      <c r="I9269" t="s">
        <v>45234</v>
      </c>
      <c r="J9269" t="s">
        <v>16537</v>
      </c>
      <c r="L9269" t="s">
        <v>27430</v>
      </c>
      <c r="M9269" t="s">
        <v>27251</v>
      </c>
      <c r="N9269" t="s">
        <v>27252</v>
      </c>
      <c r="Q9269" s="1">
        <v>45250</v>
      </c>
      <c r="R9269" t="s">
        <v>27253</v>
      </c>
      <c r="S9269" t="s">
        <v>27254</v>
      </c>
      <c r="T9269" t="s">
        <v>27255</v>
      </c>
    </row>
    <row r="9270" spans="1:20" x14ac:dyDescent="0.3">
      <c r="A9270" t="str">
        <f>"0611832492100"</f>
        <v>0611832492100</v>
      </c>
      <c r="B9270" t="str">
        <f>"LL8080"</f>
        <v>LL8080</v>
      </c>
      <c r="C9270" t="s">
        <v>45235</v>
      </c>
      <c r="D9270" t="s">
        <v>27245</v>
      </c>
      <c r="E9270" t="str">
        <f t="shared" si="144"/>
        <v>001390</v>
      </c>
      <c r="F9270" t="s">
        <v>27246</v>
      </c>
      <c r="G9270" t="s">
        <v>27247</v>
      </c>
      <c r="H9270" t="s">
        <v>27248</v>
      </c>
      <c r="I9270" t="s">
        <v>45236</v>
      </c>
      <c r="J9270" t="s">
        <v>18560</v>
      </c>
      <c r="L9270" t="s">
        <v>27250</v>
      </c>
      <c r="M9270" t="s">
        <v>27251</v>
      </c>
      <c r="N9270" t="s">
        <v>27252</v>
      </c>
      <c r="Q9270" s="1">
        <v>44538</v>
      </c>
      <c r="R9270" t="s">
        <v>27253</v>
      </c>
      <c r="S9270" t="s">
        <v>27254</v>
      </c>
      <c r="T9270" t="s">
        <v>27255</v>
      </c>
    </row>
    <row r="9271" spans="1:20" x14ac:dyDescent="0.3">
      <c r="A9271" t="str">
        <f>"0611832493100"</f>
        <v>0611832493100</v>
      </c>
      <c r="B9271" t="str">
        <f>"LL3112"</f>
        <v>LL3112</v>
      </c>
      <c r="C9271" t="s">
        <v>45237</v>
      </c>
      <c r="D9271" t="s">
        <v>27245</v>
      </c>
      <c r="E9271" t="str">
        <f t="shared" si="144"/>
        <v>001390</v>
      </c>
      <c r="F9271" t="s">
        <v>27246</v>
      </c>
      <c r="G9271" t="s">
        <v>27247</v>
      </c>
      <c r="H9271" t="s">
        <v>27248</v>
      </c>
      <c r="I9271" t="s">
        <v>45238</v>
      </c>
      <c r="J9271" t="s">
        <v>18562</v>
      </c>
      <c r="L9271" t="s">
        <v>27250</v>
      </c>
      <c r="M9271" t="s">
        <v>27251</v>
      </c>
      <c r="N9271" t="s">
        <v>27252</v>
      </c>
      <c r="Q9271" s="1">
        <v>44538</v>
      </c>
      <c r="R9271" t="s">
        <v>27253</v>
      </c>
      <c r="S9271" t="s">
        <v>27254</v>
      </c>
      <c r="T9271" t="s">
        <v>27255</v>
      </c>
    </row>
    <row r="9272" spans="1:20" x14ac:dyDescent="0.3">
      <c r="A9272" t="str">
        <f>"0611832495100"</f>
        <v>0611832495100</v>
      </c>
      <c r="B9272" t="str">
        <f>"LL3270"</f>
        <v>LL3270</v>
      </c>
      <c r="C9272" t="s">
        <v>45239</v>
      </c>
      <c r="D9272" t="s">
        <v>27245</v>
      </c>
      <c r="E9272" t="str">
        <f t="shared" si="144"/>
        <v>001390</v>
      </c>
      <c r="F9272" t="s">
        <v>27246</v>
      </c>
      <c r="G9272" t="s">
        <v>27247</v>
      </c>
      <c r="H9272" t="s">
        <v>27248</v>
      </c>
      <c r="I9272" t="s">
        <v>45240</v>
      </c>
      <c r="J9272" t="s">
        <v>18564</v>
      </c>
      <c r="L9272" t="s">
        <v>27250</v>
      </c>
      <c r="M9272" t="s">
        <v>27251</v>
      </c>
      <c r="N9272" t="s">
        <v>27252</v>
      </c>
      <c r="Q9272" s="1">
        <v>44538</v>
      </c>
      <c r="R9272" t="s">
        <v>27253</v>
      </c>
      <c r="S9272" t="s">
        <v>27254</v>
      </c>
      <c r="T9272" t="s">
        <v>27255</v>
      </c>
    </row>
    <row r="9273" spans="1:20" x14ac:dyDescent="0.3">
      <c r="A9273" t="str">
        <f>"0611832496100"</f>
        <v>0611832496100</v>
      </c>
      <c r="B9273" t="str">
        <f>"LL0130"</f>
        <v>LL0130</v>
      </c>
      <c r="C9273" t="s">
        <v>45241</v>
      </c>
      <c r="D9273" t="s">
        <v>27245</v>
      </c>
      <c r="E9273" t="str">
        <f t="shared" si="144"/>
        <v>001390</v>
      </c>
      <c r="F9273" t="s">
        <v>27246</v>
      </c>
      <c r="G9273" t="s">
        <v>27247</v>
      </c>
      <c r="H9273" t="s">
        <v>27248</v>
      </c>
      <c r="I9273" t="s">
        <v>45242</v>
      </c>
      <c r="J9273" t="s">
        <v>18566</v>
      </c>
      <c r="L9273" t="s">
        <v>27250</v>
      </c>
      <c r="M9273" t="s">
        <v>27251</v>
      </c>
      <c r="N9273" t="s">
        <v>27252</v>
      </c>
      <c r="Q9273" s="1">
        <v>44538</v>
      </c>
      <c r="R9273" t="s">
        <v>27253</v>
      </c>
      <c r="S9273" t="s">
        <v>27254</v>
      </c>
      <c r="T9273" t="s">
        <v>27255</v>
      </c>
    </row>
    <row r="9274" spans="1:20" x14ac:dyDescent="0.3">
      <c r="A9274" t="str">
        <f>"0611832497100"</f>
        <v>0611832497100</v>
      </c>
      <c r="B9274" t="str">
        <f>"LL0131"</f>
        <v>LL0131</v>
      </c>
      <c r="C9274" t="s">
        <v>45243</v>
      </c>
      <c r="D9274" t="s">
        <v>27245</v>
      </c>
      <c r="E9274" t="str">
        <f t="shared" si="144"/>
        <v>001390</v>
      </c>
      <c r="F9274" t="s">
        <v>27246</v>
      </c>
      <c r="G9274" t="s">
        <v>27247</v>
      </c>
      <c r="H9274" t="s">
        <v>27248</v>
      </c>
      <c r="I9274" t="s">
        <v>45244</v>
      </c>
      <c r="J9274" t="s">
        <v>18568</v>
      </c>
      <c r="L9274" t="s">
        <v>27250</v>
      </c>
      <c r="M9274" t="s">
        <v>27251</v>
      </c>
      <c r="N9274" t="s">
        <v>27252</v>
      </c>
      <c r="Q9274" s="1">
        <v>44538</v>
      </c>
      <c r="R9274" t="s">
        <v>27253</v>
      </c>
      <c r="S9274" t="s">
        <v>27254</v>
      </c>
      <c r="T9274" t="s">
        <v>27255</v>
      </c>
    </row>
    <row r="9275" spans="1:20" x14ac:dyDescent="0.3">
      <c r="A9275" t="str">
        <f>"0611837464100"</f>
        <v>0611837464100</v>
      </c>
      <c r="B9275" t="str">
        <f>"LL8292"</f>
        <v>LL8292</v>
      </c>
      <c r="C9275" t="s">
        <v>45245</v>
      </c>
      <c r="D9275" t="s">
        <v>27245</v>
      </c>
      <c r="E9275" t="str">
        <f t="shared" si="144"/>
        <v>001390</v>
      </c>
      <c r="F9275" t="s">
        <v>27246</v>
      </c>
      <c r="G9275" t="s">
        <v>27247</v>
      </c>
      <c r="H9275" t="s">
        <v>27248</v>
      </c>
      <c r="I9275" t="s">
        <v>45246</v>
      </c>
      <c r="J9275" t="s">
        <v>18570</v>
      </c>
      <c r="L9275" t="s">
        <v>27250</v>
      </c>
      <c r="M9275" t="s">
        <v>27251</v>
      </c>
      <c r="N9275" t="s">
        <v>27252</v>
      </c>
      <c r="Q9275" s="1">
        <v>44538</v>
      </c>
      <c r="R9275" t="s">
        <v>27253</v>
      </c>
      <c r="S9275" t="s">
        <v>27254</v>
      </c>
      <c r="T9275" t="s">
        <v>27255</v>
      </c>
    </row>
    <row r="9276" spans="1:20" x14ac:dyDescent="0.3">
      <c r="A9276" t="str">
        <f>"0611832498100"</f>
        <v>0611832498100</v>
      </c>
      <c r="B9276" t="str">
        <f>"LL8026"</f>
        <v>LL8026</v>
      </c>
      <c r="C9276" t="s">
        <v>45247</v>
      </c>
      <c r="D9276" t="s">
        <v>27245</v>
      </c>
      <c r="E9276" t="str">
        <f t="shared" si="144"/>
        <v>001390</v>
      </c>
      <c r="F9276" t="s">
        <v>27246</v>
      </c>
      <c r="G9276" t="s">
        <v>27247</v>
      </c>
      <c r="H9276" t="s">
        <v>27248</v>
      </c>
      <c r="I9276" t="s">
        <v>45248</v>
      </c>
      <c r="J9276" t="s">
        <v>18572</v>
      </c>
      <c r="L9276" t="s">
        <v>27250</v>
      </c>
      <c r="M9276" t="s">
        <v>27251</v>
      </c>
      <c r="N9276" t="s">
        <v>27252</v>
      </c>
      <c r="Q9276" s="1">
        <v>44538</v>
      </c>
      <c r="R9276" t="s">
        <v>27253</v>
      </c>
      <c r="S9276" t="s">
        <v>27254</v>
      </c>
      <c r="T9276" t="s">
        <v>27255</v>
      </c>
    </row>
    <row r="9277" spans="1:20" x14ac:dyDescent="0.3">
      <c r="A9277" t="str">
        <f>"0611832499100"</f>
        <v>0611832499100</v>
      </c>
      <c r="B9277" t="str">
        <f>"LL3067"</f>
        <v>LL3067</v>
      </c>
      <c r="C9277" t="s">
        <v>45249</v>
      </c>
      <c r="D9277" t="s">
        <v>27245</v>
      </c>
      <c r="E9277" t="str">
        <f t="shared" si="144"/>
        <v>001390</v>
      </c>
      <c r="F9277" t="s">
        <v>27246</v>
      </c>
      <c r="G9277" t="s">
        <v>27247</v>
      </c>
      <c r="H9277" t="s">
        <v>27248</v>
      </c>
      <c r="I9277" t="s">
        <v>45250</v>
      </c>
      <c r="J9277" t="s">
        <v>18574</v>
      </c>
      <c r="L9277" t="s">
        <v>27250</v>
      </c>
      <c r="M9277" t="s">
        <v>27251</v>
      </c>
      <c r="N9277" t="s">
        <v>27252</v>
      </c>
      <c r="Q9277" s="1">
        <v>44538</v>
      </c>
      <c r="R9277" t="s">
        <v>27253</v>
      </c>
      <c r="S9277" t="s">
        <v>27254</v>
      </c>
      <c r="T9277" t="s">
        <v>27255</v>
      </c>
    </row>
    <row r="9278" spans="1:20" x14ac:dyDescent="0.3">
      <c r="A9278" t="str">
        <f>"0611837465100"</f>
        <v>0611837465100</v>
      </c>
      <c r="B9278" t="str">
        <f>"LF0034"</f>
        <v>LF0034</v>
      </c>
      <c r="C9278" t="s">
        <v>45251</v>
      </c>
      <c r="D9278" t="s">
        <v>27245</v>
      </c>
      <c r="E9278" t="str">
        <f t="shared" si="144"/>
        <v>001390</v>
      </c>
      <c r="F9278" t="s">
        <v>27246</v>
      </c>
      <c r="G9278" t="s">
        <v>27247</v>
      </c>
      <c r="H9278" t="s">
        <v>27248</v>
      </c>
      <c r="I9278" t="s">
        <v>45252</v>
      </c>
      <c r="J9278" t="s">
        <v>18576</v>
      </c>
      <c r="L9278" t="s">
        <v>27250</v>
      </c>
      <c r="M9278" t="s">
        <v>27251</v>
      </c>
      <c r="N9278" t="s">
        <v>27252</v>
      </c>
      <c r="Q9278" s="1">
        <v>44538</v>
      </c>
      <c r="R9278" t="s">
        <v>27253</v>
      </c>
      <c r="S9278" t="s">
        <v>27254</v>
      </c>
      <c r="T9278" t="s">
        <v>27255</v>
      </c>
    </row>
    <row r="9279" spans="1:20" x14ac:dyDescent="0.3">
      <c r="A9279" t="str">
        <f>"0611837466100"</f>
        <v>0611837466100</v>
      </c>
      <c r="B9279" t="str">
        <f>"LF0035"</f>
        <v>LF0035</v>
      </c>
      <c r="C9279" t="s">
        <v>45253</v>
      </c>
      <c r="D9279" t="s">
        <v>27245</v>
      </c>
      <c r="E9279" t="str">
        <f t="shared" si="144"/>
        <v>001390</v>
      </c>
      <c r="F9279" t="s">
        <v>27246</v>
      </c>
      <c r="G9279" t="s">
        <v>27247</v>
      </c>
      <c r="H9279" t="s">
        <v>27248</v>
      </c>
      <c r="I9279" t="s">
        <v>45254</v>
      </c>
      <c r="J9279" t="s">
        <v>18578</v>
      </c>
      <c r="L9279" t="s">
        <v>27250</v>
      </c>
      <c r="M9279" t="s">
        <v>27251</v>
      </c>
      <c r="N9279" t="s">
        <v>27252</v>
      </c>
      <c r="Q9279" s="1">
        <v>44538</v>
      </c>
      <c r="R9279" t="s">
        <v>27253</v>
      </c>
      <c r="S9279" t="s">
        <v>27254</v>
      </c>
      <c r="T9279" t="s">
        <v>27255</v>
      </c>
    </row>
    <row r="9280" spans="1:20" x14ac:dyDescent="0.3">
      <c r="A9280" t="str">
        <f>"0611832500100"</f>
        <v>0611832500100</v>
      </c>
      <c r="B9280" t="str">
        <f>"LL3144"</f>
        <v>LL3144</v>
      </c>
      <c r="C9280" t="s">
        <v>45255</v>
      </c>
      <c r="D9280" t="s">
        <v>27245</v>
      </c>
      <c r="E9280" t="str">
        <f t="shared" si="144"/>
        <v>001390</v>
      </c>
      <c r="F9280" t="s">
        <v>27246</v>
      </c>
      <c r="G9280" t="s">
        <v>27247</v>
      </c>
      <c r="H9280" t="s">
        <v>27248</v>
      </c>
      <c r="I9280" t="s">
        <v>45256</v>
      </c>
      <c r="J9280" t="s">
        <v>18580</v>
      </c>
      <c r="L9280" t="s">
        <v>27250</v>
      </c>
      <c r="M9280" t="s">
        <v>27251</v>
      </c>
      <c r="N9280" t="s">
        <v>27252</v>
      </c>
      <c r="Q9280" s="1">
        <v>44538</v>
      </c>
      <c r="R9280" t="s">
        <v>27253</v>
      </c>
      <c r="S9280" t="s">
        <v>27254</v>
      </c>
      <c r="T9280" t="s">
        <v>27255</v>
      </c>
    </row>
    <row r="9281" spans="1:20" x14ac:dyDescent="0.3">
      <c r="A9281" t="str">
        <f>"0611832501100"</f>
        <v>0611832501100</v>
      </c>
      <c r="B9281" t="str">
        <f>"LL0183"</f>
        <v>LL0183</v>
      </c>
      <c r="C9281" t="s">
        <v>45257</v>
      </c>
      <c r="D9281" t="s">
        <v>27245</v>
      </c>
      <c r="E9281" t="str">
        <f t="shared" si="144"/>
        <v>001390</v>
      </c>
      <c r="F9281" t="s">
        <v>27246</v>
      </c>
      <c r="G9281" t="s">
        <v>27247</v>
      </c>
      <c r="H9281" t="s">
        <v>27248</v>
      </c>
      <c r="I9281" t="s">
        <v>45258</v>
      </c>
      <c r="J9281" t="s">
        <v>18582</v>
      </c>
      <c r="L9281" t="s">
        <v>27250</v>
      </c>
      <c r="M9281" t="s">
        <v>27251</v>
      </c>
      <c r="N9281" t="s">
        <v>27252</v>
      </c>
      <c r="Q9281" s="1">
        <v>44538</v>
      </c>
      <c r="R9281" t="s">
        <v>27253</v>
      </c>
      <c r="S9281" t="s">
        <v>27254</v>
      </c>
      <c r="T9281" t="s">
        <v>27255</v>
      </c>
    </row>
    <row r="9282" spans="1:20" x14ac:dyDescent="0.3">
      <c r="A9282" t="str">
        <f>"0611832502100"</f>
        <v>0611832502100</v>
      </c>
      <c r="B9282" t="str">
        <f>"LL1705"</f>
        <v>LL1705</v>
      </c>
      <c r="C9282" t="s">
        <v>45259</v>
      </c>
      <c r="D9282" t="s">
        <v>27245</v>
      </c>
      <c r="E9282" t="str">
        <f t="shared" ref="E9282:E9345" si="145">"001390"</f>
        <v>001390</v>
      </c>
      <c r="F9282" t="s">
        <v>27246</v>
      </c>
      <c r="G9282" t="s">
        <v>27247</v>
      </c>
      <c r="H9282" t="s">
        <v>27248</v>
      </c>
      <c r="I9282" t="s">
        <v>45260</v>
      </c>
      <c r="J9282" t="s">
        <v>18584</v>
      </c>
      <c r="L9282" t="s">
        <v>27250</v>
      </c>
      <c r="M9282" t="s">
        <v>27251</v>
      </c>
      <c r="N9282" t="s">
        <v>27252</v>
      </c>
      <c r="Q9282" s="1">
        <v>44538</v>
      </c>
      <c r="R9282" t="s">
        <v>27253</v>
      </c>
      <c r="S9282" t="s">
        <v>27254</v>
      </c>
      <c r="T9282" t="s">
        <v>27255</v>
      </c>
    </row>
    <row r="9283" spans="1:20" x14ac:dyDescent="0.3">
      <c r="A9283" t="str">
        <f>"0611832503100"</f>
        <v>0611832503100</v>
      </c>
      <c r="B9283" t="str">
        <f>"LL1703"</f>
        <v>LL1703</v>
      </c>
      <c r="C9283" t="s">
        <v>45261</v>
      </c>
      <c r="D9283" t="s">
        <v>27245</v>
      </c>
      <c r="E9283" t="str">
        <f t="shared" si="145"/>
        <v>001390</v>
      </c>
      <c r="F9283" t="s">
        <v>27246</v>
      </c>
      <c r="G9283" t="s">
        <v>27247</v>
      </c>
      <c r="H9283" t="s">
        <v>27248</v>
      </c>
      <c r="I9283" t="s">
        <v>45262</v>
      </c>
      <c r="J9283" t="s">
        <v>18586</v>
      </c>
      <c r="L9283" t="s">
        <v>27250</v>
      </c>
      <c r="M9283" t="s">
        <v>27251</v>
      </c>
      <c r="N9283" t="s">
        <v>27252</v>
      </c>
      <c r="Q9283" s="1">
        <v>44538</v>
      </c>
      <c r="R9283" t="s">
        <v>27253</v>
      </c>
      <c r="S9283" t="s">
        <v>27254</v>
      </c>
      <c r="T9283" t="s">
        <v>27255</v>
      </c>
    </row>
    <row r="9284" spans="1:20" x14ac:dyDescent="0.3">
      <c r="A9284" t="str">
        <f>"0611832504100"</f>
        <v>0611832504100</v>
      </c>
      <c r="B9284" t="str">
        <f>"LL1704"</f>
        <v>LL1704</v>
      </c>
      <c r="C9284" t="s">
        <v>45263</v>
      </c>
      <c r="D9284" t="s">
        <v>27245</v>
      </c>
      <c r="E9284" t="str">
        <f t="shared" si="145"/>
        <v>001390</v>
      </c>
      <c r="F9284" t="s">
        <v>27246</v>
      </c>
      <c r="G9284" t="s">
        <v>27247</v>
      </c>
      <c r="H9284" t="s">
        <v>27248</v>
      </c>
      <c r="I9284" t="s">
        <v>45264</v>
      </c>
      <c r="J9284" t="s">
        <v>18588</v>
      </c>
      <c r="L9284" t="s">
        <v>27250</v>
      </c>
      <c r="M9284" t="s">
        <v>27251</v>
      </c>
      <c r="N9284" t="s">
        <v>27252</v>
      </c>
      <c r="Q9284" s="1">
        <v>44538</v>
      </c>
      <c r="R9284" t="s">
        <v>27253</v>
      </c>
      <c r="S9284" t="s">
        <v>27254</v>
      </c>
      <c r="T9284" t="s">
        <v>27255</v>
      </c>
    </row>
    <row r="9285" spans="1:20" x14ac:dyDescent="0.3">
      <c r="A9285" t="str">
        <f>"0611837467100"</f>
        <v>0611837467100</v>
      </c>
      <c r="B9285" t="str">
        <f>"LL3290"</f>
        <v>LL3290</v>
      </c>
      <c r="C9285" t="s">
        <v>45265</v>
      </c>
      <c r="D9285" t="s">
        <v>27245</v>
      </c>
      <c r="E9285" t="str">
        <f t="shared" si="145"/>
        <v>001390</v>
      </c>
      <c r="F9285" t="s">
        <v>27246</v>
      </c>
      <c r="G9285" t="s">
        <v>27247</v>
      </c>
      <c r="H9285" t="s">
        <v>27248</v>
      </c>
      <c r="I9285" t="s">
        <v>45266</v>
      </c>
      <c r="J9285" t="s">
        <v>18590</v>
      </c>
      <c r="L9285" t="s">
        <v>27250</v>
      </c>
      <c r="M9285" t="s">
        <v>27251</v>
      </c>
      <c r="N9285" t="s">
        <v>27252</v>
      </c>
      <c r="Q9285" s="1">
        <v>44538</v>
      </c>
      <c r="R9285" t="s">
        <v>27253</v>
      </c>
      <c r="S9285" t="s">
        <v>27254</v>
      </c>
      <c r="T9285" t="s">
        <v>27255</v>
      </c>
    </row>
    <row r="9286" spans="1:20" x14ac:dyDescent="0.3">
      <c r="A9286" t="str">
        <f>"0611832505100"</f>
        <v>0611832505100</v>
      </c>
      <c r="B9286" t="str">
        <f>"LL8224"</f>
        <v>LL8224</v>
      </c>
      <c r="C9286" t="s">
        <v>45267</v>
      </c>
      <c r="D9286" t="s">
        <v>27245</v>
      </c>
      <c r="E9286" t="str">
        <f t="shared" si="145"/>
        <v>001390</v>
      </c>
      <c r="F9286" t="s">
        <v>27246</v>
      </c>
      <c r="G9286" t="s">
        <v>27247</v>
      </c>
      <c r="H9286" t="s">
        <v>27248</v>
      </c>
      <c r="I9286" t="s">
        <v>45268</v>
      </c>
      <c r="J9286" t="s">
        <v>18592</v>
      </c>
      <c r="L9286" t="s">
        <v>27250</v>
      </c>
      <c r="M9286" t="s">
        <v>27251</v>
      </c>
      <c r="N9286" t="s">
        <v>27252</v>
      </c>
      <c r="Q9286" s="1">
        <v>44538</v>
      </c>
      <c r="R9286" t="s">
        <v>27253</v>
      </c>
      <c r="S9286" t="s">
        <v>27254</v>
      </c>
      <c r="T9286" t="s">
        <v>27255</v>
      </c>
    </row>
    <row r="9287" spans="1:20" x14ac:dyDescent="0.3">
      <c r="A9287" t="str">
        <f>"0611837468100"</f>
        <v>0611837468100</v>
      </c>
      <c r="B9287" t="str">
        <f>"LL8225"</f>
        <v>LL8225</v>
      </c>
      <c r="C9287" t="s">
        <v>45269</v>
      </c>
      <c r="D9287" t="s">
        <v>27245</v>
      </c>
      <c r="E9287" t="str">
        <f t="shared" si="145"/>
        <v>001390</v>
      </c>
      <c r="F9287" t="s">
        <v>27246</v>
      </c>
      <c r="G9287" t="s">
        <v>27247</v>
      </c>
      <c r="H9287" t="s">
        <v>27248</v>
      </c>
      <c r="I9287" t="s">
        <v>45270</v>
      </c>
      <c r="J9287" t="s">
        <v>18594</v>
      </c>
      <c r="L9287" t="s">
        <v>27250</v>
      </c>
      <c r="M9287" t="s">
        <v>27251</v>
      </c>
      <c r="N9287" t="s">
        <v>27252</v>
      </c>
      <c r="Q9287" s="1">
        <v>44538</v>
      </c>
      <c r="R9287" t="s">
        <v>27253</v>
      </c>
      <c r="S9287" t="s">
        <v>27254</v>
      </c>
      <c r="T9287" t="s">
        <v>27255</v>
      </c>
    </row>
    <row r="9288" spans="1:20" x14ac:dyDescent="0.3">
      <c r="A9288" t="str">
        <f>"0611837469100"</f>
        <v>0611837469100</v>
      </c>
      <c r="B9288" t="str">
        <f>"LL0184"</f>
        <v>LL0184</v>
      </c>
      <c r="C9288" t="s">
        <v>45271</v>
      </c>
      <c r="D9288" t="s">
        <v>27245</v>
      </c>
      <c r="E9288" t="str">
        <f t="shared" si="145"/>
        <v>001390</v>
      </c>
      <c r="F9288" t="s">
        <v>27246</v>
      </c>
      <c r="G9288" t="s">
        <v>27247</v>
      </c>
      <c r="H9288" t="s">
        <v>27248</v>
      </c>
      <c r="I9288" t="s">
        <v>45272</v>
      </c>
      <c r="J9288" t="s">
        <v>18478</v>
      </c>
      <c r="L9288" t="s">
        <v>27250</v>
      </c>
      <c r="M9288" t="s">
        <v>27251</v>
      </c>
      <c r="N9288" t="s">
        <v>27252</v>
      </c>
      <c r="Q9288" s="1">
        <v>44538</v>
      </c>
      <c r="R9288" t="s">
        <v>27253</v>
      </c>
      <c r="S9288" t="s">
        <v>27254</v>
      </c>
      <c r="T9288" t="s">
        <v>27255</v>
      </c>
    </row>
    <row r="9289" spans="1:20" x14ac:dyDescent="0.3">
      <c r="A9289" t="str">
        <f>"0611832506100"</f>
        <v>0611832506100</v>
      </c>
      <c r="B9289" t="str">
        <f>"LL0185"</f>
        <v>LL0185</v>
      </c>
      <c r="C9289" t="s">
        <v>45273</v>
      </c>
      <c r="D9289" t="s">
        <v>27245</v>
      </c>
      <c r="E9289" t="str">
        <f t="shared" si="145"/>
        <v>001390</v>
      </c>
      <c r="F9289" t="s">
        <v>27246</v>
      </c>
      <c r="G9289" t="s">
        <v>27247</v>
      </c>
      <c r="H9289" t="s">
        <v>27248</v>
      </c>
      <c r="I9289" t="s">
        <v>45274</v>
      </c>
      <c r="J9289" t="s">
        <v>18596</v>
      </c>
      <c r="L9289" t="s">
        <v>27250</v>
      </c>
      <c r="M9289" t="s">
        <v>27251</v>
      </c>
      <c r="N9289" t="s">
        <v>27252</v>
      </c>
      <c r="Q9289" s="1">
        <v>44538</v>
      </c>
      <c r="R9289" t="s">
        <v>27253</v>
      </c>
      <c r="S9289" t="s">
        <v>27254</v>
      </c>
      <c r="T9289" t="s">
        <v>27255</v>
      </c>
    </row>
    <row r="9290" spans="1:20" x14ac:dyDescent="0.3">
      <c r="A9290" t="str">
        <f>"0611832507100"</f>
        <v>0611832507100</v>
      </c>
      <c r="B9290" t="str">
        <f>"LL8152"</f>
        <v>LL8152</v>
      </c>
      <c r="C9290" t="s">
        <v>45275</v>
      </c>
      <c r="D9290" t="s">
        <v>27245</v>
      </c>
      <c r="E9290" t="str">
        <f t="shared" si="145"/>
        <v>001390</v>
      </c>
      <c r="F9290" t="s">
        <v>27246</v>
      </c>
      <c r="G9290" t="s">
        <v>27247</v>
      </c>
      <c r="H9290" t="s">
        <v>27248</v>
      </c>
      <c r="I9290" t="s">
        <v>45276</v>
      </c>
      <c r="J9290" t="s">
        <v>18598</v>
      </c>
      <c r="L9290" t="s">
        <v>27250</v>
      </c>
      <c r="M9290" t="s">
        <v>27251</v>
      </c>
      <c r="N9290" t="s">
        <v>27252</v>
      </c>
      <c r="Q9290" s="1">
        <v>44538</v>
      </c>
      <c r="R9290" t="s">
        <v>27253</v>
      </c>
      <c r="S9290" t="s">
        <v>27254</v>
      </c>
      <c r="T9290" t="s">
        <v>27255</v>
      </c>
    </row>
    <row r="9291" spans="1:20" x14ac:dyDescent="0.3">
      <c r="A9291" t="str">
        <f>"0611837470100"</f>
        <v>0611837470100</v>
      </c>
      <c r="B9291" t="str">
        <f>"LL0046"</f>
        <v>LL0046</v>
      </c>
      <c r="C9291" t="s">
        <v>45277</v>
      </c>
      <c r="D9291" t="s">
        <v>27245</v>
      </c>
      <c r="E9291" t="str">
        <f t="shared" si="145"/>
        <v>001390</v>
      </c>
      <c r="F9291" t="s">
        <v>27246</v>
      </c>
      <c r="G9291" t="s">
        <v>27247</v>
      </c>
      <c r="H9291" t="s">
        <v>27248</v>
      </c>
      <c r="I9291" t="s">
        <v>45278</v>
      </c>
      <c r="J9291" t="s">
        <v>18600</v>
      </c>
      <c r="L9291" t="s">
        <v>27250</v>
      </c>
      <c r="M9291" t="s">
        <v>27251</v>
      </c>
      <c r="N9291" t="s">
        <v>27252</v>
      </c>
      <c r="Q9291" s="1">
        <v>44538</v>
      </c>
      <c r="R9291" t="s">
        <v>27253</v>
      </c>
      <c r="S9291" t="s">
        <v>27254</v>
      </c>
      <c r="T9291" t="s">
        <v>27255</v>
      </c>
    </row>
    <row r="9292" spans="1:20" x14ac:dyDescent="0.3">
      <c r="A9292" t="str">
        <f>"0611884357100"</f>
        <v>0611884357100</v>
      </c>
      <c r="B9292" t="str">
        <f>"LL5063"</f>
        <v>LL5063</v>
      </c>
      <c r="C9292" t="s">
        <v>45279</v>
      </c>
      <c r="D9292" t="s">
        <v>27245</v>
      </c>
      <c r="E9292" t="str">
        <f t="shared" si="145"/>
        <v>001390</v>
      </c>
      <c r="F9292" t="s">
        <v>27246</v>
      </c>
      <c r="G9292" t="s">
        <v>27247</v>
      </c>
      <c r="H9292" t="s">
        <v>27248</v>
      </c>
      <c r="I9292" t="s">
        <v>45280</v>
      </c>
      <c r="J9292" t="s">
        <v>18602</v>
      </c>
      <c r="L9292" t="s">
        <v>27430</v>
      </c>
      <c r="M9292" t="s">
        <v>27251</v>
      </c>
      <c r="N9292" t="s">
        <v>27252</v>
      </c>
      <c r="Q9292" s="1">
        <v>45250</v>
      </c>
      <c r="R9292" t="s">
        <v>27253</v>
      </c>
      <c r="S9292" t="s">
        <v>27254</v>
      </c>
      <c r="T9292" t="s">
        <v>27255</v>
      </c>
    </row>
    <row r="9293" spans="1:20" x14ac:dyDescent="0.3">
      <c r="A9293" t="str">
        <f>"0611832508100"</f>
        <v>0611832508100</v>
      </c>
      <c r="B9293" t="str">
        <f>"LL3146"</f>
        <v>LL3146</v>
      </c>
      <c r="C9293" t="s">
        <v>45281</v>
      </c>
      <c r="D9293" t="s">
        <v>27245</v>
      </c>
      <c r="E9293" t="str">
        <f t="shared" si="145"/>
        <v>001390</v>
      </c>
      <c r="F9293" t="s">
        <v>27246</v>
      </c>
      <c r="G9293" t="s">
        <v>27247</v>
      </c>
      <c r="H9293" t="s">
        <v>27248</v>
      </c>
      <c r="I9293" t="s">
        <v>45282</v>
      </c>
      <c r="J9293" t="s">
        <v>18604</v>
      </c>
      <c r="L9293" t="s">
        <v>27250</v>
      </c>
      <c r="M9293" t="s">
        <v>27251</v>
      </c>
      <c r="N9293" t="s">
        <v>27252</v>
      </c>
      <c r="Q9293" s="1">
        <v>44538</v>
      </c>
      <c r="R9293" t="s">
        <v>27253</v>
      </c>
      <c r="S9293" t="s">
        <v>27254</v>
      </c>
      <c r="T9293" t="s">
        <v>27255</v>
      </c>
    </row>
    <row r="9294" spans="1:20" x14ac:dyDescent="0.3">
      <c r="A9294" t="str">
        <f>"0611832509100"</f>
        <v>0611832509100</v>
      </c>
      <c r="B9294" t="str">
        <f>"LK3958"</f>
        <v>LK3958</v>
      </c>
      <c r="C9294" t="s">
        <v>45283</v>
      </c>
      <c r="D9294" t="s">
        <v>27245</v>
      </c>
      <c r="E9294" t="str">
        <f t="shared" si="145"/>
        <v>001390</v>
      </c>
      <c r="F9294" t="s">
        <v>27246</v>
      </c>
      <c r="G9294" t="s">
        <v>27247</v>
      </c>
      <c r="H9294" t="s">
        <v>27248</v>
      </c>
      <c r="I9294" t="s">
        <v>45284</v>
      </c>
      <c r="J9294" t="s">
        <v>18606</v>
      </c>
      <c r="L9294" t="s">
        <v>27250</v>
      </c>
      <c r="M9294" t="s">
        <v>27251</v>
      </c>
      <c r="N9294" t="s">
        <v>27252</v>
      </c>
      <c r="Q9294" s="1">
        <v>44538</v>
      </c>
      <c r="R9294" t="s">
        <v>27253</v>
      </c>
      <c r="S9294" t="s">
        <v>27254</v>
      </c>
      <c r="T9294" t="s">
        <v>27255</v>
      </c>
    </row>
    <row r="9295" spans="1:20" x14ac:dyDescent="0.3">
      <c r="A9295" t="str">
        <f>"0611857055100"</f>
        <v>0611857055100</v>
      </c>
      <c r="B9295" t="str">
        <f>"LL5057"</f>
        <v>LL5057</v>
      </c>
      <c r="C9295" t="s">
        <v>45285</v>
      </c>
      <c r="D9295" t="s">
        <v>27245</v>
      </c>
      <c r="E9295" t="str">
        <f t="shared" si="145"/>
        <v>001390</v>
      </c>
      <c r="F9295" t="s">
        <v>27246</v>
      </c>
      <c r="G9295" t="s">
        <v>27247</v>
      </c>
      <c r="H9295" t="s">
        <v>27248</v>
      </c>
      <c r="I9295" t="s">
        <v>45286</v>
      </c>
      <c r="J9295" t="s">
        <v>18608</v>
      </c>
      <c r="L9295" t="s">
        <v>27250</v>
      </c>
      <c r="M9295" t="s">
        <v>27251</v>
      </c>
      <c r="N9295" t="s">
        <v>27252</v>
      </c>
      <c r="Q9295" s="1">
        <v>44812</v>
      </c>
      <c r="R9295" t="s">
        <v>27253</v>
      </c>
      <c r="S9295" t="s">
        <v>27254</v>
      </c>
      <c r="T9295" t="s">
        <v>27255</v>
      </c>
    </row>
    <row r="9296" spans="1:20" x14ac:dyDescent="0.3">
      <c r="A9296" t="str">
        <f>"0611832510100"</f>
        <v>0611832510100</v>
      </c>
      <c r="B9296" t="str">
        <f>"LL4020"</f>
        <v>LL4020</v>
      </c>
      <c r="C9296" t="s">
        <v>45287</v>
      </c>
      <c r="D9296" t="s">
        <v>27245</v>
      </c>
      <c r="E9296" t="str">
        <f t="shared" si="145"/>
        <v>001390</v>
      </c>
      <c r="F9296" t="s">
        <v>27246</v>
      </c>
      <c r="G9296" t="s">
        <v>27247</v>
      </c>
      <c r="H9296" t="s">
        <v>27248</v>
      </c>
      <c r="I9296" t="s">
        <v>45288</v>
      </c>
      <c r="J9296" t="s">
        <v>18610</v>
      </c>
      <c r="L9296" t="s">
        <v>27250</v>
      </c>
      <c r="M9296" t="s">
        <v>27251</v>
      </c>
      <c r="N9296" t="s">
        <v>27252</v>
      </c>
      <c r="O9296">
        <v>300</v>
      </c>
      <c r="Q9296" s="1">
        <v>44538</v>
      </c>
      <c r="R9296" t="s">
        <v>27253</v>
      </c>
      <c r="S9296" t="s">
        <v>27254</v>
      </c>
      <c r="T9296" t="s">
        <v>27255</v>
      </c>
    </row>
    <row r="9297" spans="1:20" x14ac:dyDescent="0.3">
      <c r="A9297" t="str">
        <f>"0611832511100"</f>
        <v>0611832511100</v>
      </c>
      <c r="B9297" t="str">
        <f>"LL8081"</f>
        <v>LL8081</v>
      </c>
      <c r="C9297" t="s">
        <v>45289</v>
      </c>
      <c r="D9297" t="s">
        <v>27245</v>
      </c>
      <c r="E9297" t="str">
        <f t="shared" si="145"/>
        <v>001390</v>
      </c>
      <c r="F9297" t="s">
        <v>27246</v>
      </c>
      <c r="G9297" t="s">
        <v>27247</v>
      </c>
      <c r="H9297" t="s">
        <v>27248</v>
      </c>
      <c r="I9297" t="s">
        <v>45290</v>
      </c>
      <c r="J9297" t="s">
        <v>18612</v>
      </c>
      <c r="L9297" t="s">
        <v>27250</v>
      </c>
      <c r="M9297" t="s">
        <v>27251</v>
      </c>
      <c r="N9297" t="s">
        <v>27252</v>
      </c>
      <c r="Q9297" s="1">
        <v>44538</v>
      </c>
      <c r="R9297" t="s">
        <v>27253</v>
      </c>
      <c r="S9297" t="s">
        <v>27254</v>
      </c>
      <c r="T9297" t="s">
        <v>27255</v>
      </c>
    </row>
    <row r="9298" spans="1:20" x14ac:dyDescent="0.3">
      <c r="A9298" t="str">
        <f>"0611857056100"</f>
        <v>0611857056100</v>
      </c>
      <c r="B9298" t="str">
        <f>"LL5044"</f>
        <v>LL5044</v>
      </c>
      <c r="C9298" t="s">
        <v>45291</v>
      </c>
      <c r="D9298" t="s">
        <v>27245</v>
      </c>
      <c r="E9298" t="str">
        <f t="shared" si="145"/>
        <v>001390</v>
      </c>
      <c r="F9298" t="s">
        <v>27246</v>
      </c>
      <c r="G9298" t="s">
        <v>27247</v>
      </c>
      <c r="H9298" t="s">
        <v>27248</v>
      </c>
      <c r="I9298" t="s">
        <v>45292</v>
      </c>
      <c r="J9298" t="s">
        <v>18614</v>
      </c>
      <c r="L9298" t="s">
        <v>27250</v>
      </c>
      <c r="M9298" t="s">
        <v>27251</v>
      </c>
      <c r="N9298" t="s">
        <v>27252</v>
      </c>
      <c r="Q9298" s="1">
        <v>44812</v>
      </c>
      <c r="R9298" t="s">
        <v>27253</v>
      </c>
      <c r="S9298" t="s">
        <v>27254</v>
      </c>
      <c r="T9298" t="s">
        <v>27255</v>
      </c>
    </row>
    <row r="9299" spans="1:20" x14ac:dyDescent="0.3">
      <c r="A9299" t="str">
        <f>"0611832512100"</f>
        <v>0611832512100</v>
      </c>
      <c r="B9299" t="str">
        <f>"LL3330"</f>
        <v>LL3330</v>
      </c>
      <c r="C9299" t="s">
        <v>45293</v>
      </c>
      <c r="D9299" t="s">
        <v>27245</v>
      </c>
      <c r="E9299" t="str">
        <f t="shared" si="145"/>
        <v>001390</v>
      </c>
      <c r="F9299" t="s">
        <v>27246</v>
      </c>
      <c r="G9299" t="s">
        <v>27247</v>
      </c>
      <c r="H9299" t="s">
        <v>27248</v>
      </c>
      <c r="I9299" t="s">
        <v>45294</v>
      </c>
      <c r="J9299" t="s">
        <v>18616</v>
      </c>
      <c r="L9299" t="s">
        <v>27250</v>
      </c>
      <c r="M9299" t="s">
        <v>27251</v>
      </c>
      <c r="N9299" t="s">
        <v>27252</v>
      </c>
      <c r="Q9299" s="1">
        <v>44538</v>
      </c>
      <c r="R9299" t="s">
        <v>27253</v>
      </c>
      <c r="S9299" t="s">
        <v>27254</v>
      </c>
      <c r="T9299" t="s">
        <v>27255</v>
      </c>
    </row>
    <row r="9300" spans="1:20" x14ac:dyDescent="0.3">
      <c r="A9300" t="str">
        <f>"0611837471100"</f>
        <v>0611837471100</v>
      </c>
      <c r="B9300" t="str">
        <f>"LL0029"</f>
        <v>LL0029</v>
      </c>
      <c r="C9300" t="s">
        <v>45295</v>
      </c>
      <c r="D9300" t="s">
        <v>27245</v>
      </c>
      <c r="E9300" t="str">
        <f t="shared" si="145"/>
        <v>001390</v>
      </c>
      <c r="F9300" t="s">
        <v>27246</v>
      </c>
      <c r="G9300" t="s">
        <v>27247</v>
      </c>
      <c r="H9300" t="s">
        <v>27248</v>
      </c>
      <c r="I9300" t="s">
        <v>45296</v>
      </c>
      <c r="J9300" t="s">
        <v>18618</v>
      </c>
      <c r="L9300" t="s">
        <v>27250</v>
      </c>
      <c r="M9300" t="s">
        <v>27251</v>
      </c>
      <c r="N9300" t="s">
        <v>27252</v>
      </c>
      <c r="Q9300" s="1">
        <v>44538</v>
      </c>
      <c r="R9300" t="s">
        <v>27253</v>
      </c>
      <c r="S9300" t="s">
        <v>27254</v>
      </c>
      <c r="T9300" t="s">
        <v>27255</v>
      </c>
    </row>
    <row r="9301" spans="1:20" x14ac:dyDescent="0.3">
      <c r="A9301" t="str">
        <f>"0611832513100"</f>
        <v>0611832513100</v>
      </c>
      <c r="B9301" t="str">
        <f>"LL4021"</f>
        <v>LL4021</v>
      </c>
      <c r="C9301" t="s">
        <v>45297</v>
      </c>
      <c r="D9301" t="s">
        <v>27245</v>
      </c>
      <c r="E9301" t="str">
        <f t="shared" si="145"/>
        <v>001390</v>
      </c>
      <c r="F9301" t="s">
        <v>27246</v>
      </c>
      <c r="G9301" t="s">
        <v>27247</v>
      </c>
      <c r="H9301" t="s">
        <v>27248</v>
      </c>
      <c r="I9301" t="s">
        <v>45298</v>
      </c>
      <c r="J9301" t="s">
        <v>18620</v>
      </c>
      <c r="L9301" t="s">
        <v>27250</v>
      </c>
      <c r="M9301" t="s">
        <v>27251</v>
      </c>
      <c r="N9301" t="s">
        <v>27252</v>
      </c>
      <c r="Q9301" s="1">
        <v>44538</v>
      </c>
      <c r="R9301" t="s">
        <v>27253</v>
      </c>
      <c r="S9301" t="s">
        <v>27254</v>
      </c>
      <c r="T9301" t="s">
        <v>27255</v>
      </c>
    </row>
    <row r="9302" spans="1:20" x14ac:dyDescent="0.3">
      <c r="A9302" t="str">
        <f>"0611832514100"</f>
        <v>0611832514100</v>
      </c>
      <c r="B9302" t="str">
        <f>"LB5809"</f>
        <v>LB5809</v>
      </c>
      <c r="C9302" t="s">
        <v>45299</v>
      </c>
      <c r="D9302" t="s">
        <v>27245</v>
      </c>
      <c r="E9302" t="str">
        <f t="shared" si="145"/>
        <v>001390</v>
      </c>
      <c r="F9302" t="s">
        <v>27246</v>
      </c>
      <c r="G9302" t="s">
        <v>27247</v>
      </c>
      <c r="H9302" t="s">
        <v>27248</v>
      </c>
      <c r="I9302" t="s">
        <v>45300</v>
      </c>
      <c r="J9302" t="s">
        <v>18622</v>
      </c>
      <c r="L9302" t="s">
        <v>27250</v>
      </c>
      <c r="M9302" t="s">
        <v>27251</v>
      </c>
      <c r="N9302" t="s">
        <v>27252</v>
      </c>
      <c r="Q9302" s="1">
        <v>44538</v>
      </c>
      <c r="R9302" t="s">
        <v>27253</v>
      </c>
      <c r="S9302" t="s">
        <v>27254</v>
      </c>
      <c r="T9302" t="s">
        <v>27255</v>
      </c>
    </row>
    <row r="9303" spans="1:20" x14ac:dyDescent="0.3">
      <c r="A9303" t="str">
        <f>"0611832515100"</f>
        <v>0611832515100</v>
      </c>
      <c r="B9303" t="str">
        <f>"LL0064"</f>
        <v>LL0064</v>
      </c>
      <c r="C9303" t="s">
        <v>45301</v>
      </c>
      <c r="D9303" t="s">
        <v>27245</v>
      </c>
      <c r="E9303" t="str">
        <f t="shared" si="145"/>
        <v>001390</v>
      </c>
      <c r="F9303" t="s">
        <v>27246</v>
      </c>
      <c r="G9303" t="s">
        <v>27247</v>
      </c>
      <c r="H9303" t="s">
        <v>27248</v>
      </c>
      <c r="I9303" t="s">
        <v>45302</v>
      </c>
      <c r="J9303" t="s">
        <v>18624</v>
      </c>
      <c r="L9303" t="s">
        <v>27250</v>
      </c>
      <c r="M9303" t="s">
        <v>27251</v>
      </c>
      <c r="N9303" t="s">
        <v>27252</v>
      </c>
      <c r="Q9303" s="1">
        <v>44538</v>
      </c>
      <c r="R9303" t="s">
        <v>27253</v>
      </c>
      <c r="S9303" t="s">
        <v>27254</v>
      </c>
      <c r="T9303" t="s">
        <v>27255</v>
      </c>
    </row>
    <row r="9304" spans="1:20" x14ac:dyDescent="0.3">
      <c r="A9304" t="str">
        <f>"0611837472100"</f>
        <v>0611837472100</v>
      </c>
      <c r="B9304" t="str">
        <f>"LL4841"</f>
        <v>LL4841</v>
      </c>
      <c r="C9304" t="s">
        <v>45303</v>
      </c>
      <c r="D9304" t="s">
        <v>28138</v>
      </c>
      <c r="E9304" t="str">
        <f t="shared" si="145"/>
        <v>001390</v>
      </c>
      <c r="F9304" t="s">
        <v>27246</v>
      </c>
      <c r="G9304" t="s">
        <v>27247</v>
      </c>
      <c r="H9304" t="s">
        <v>27248</v>
      </c>
      <c r="I9304" t="s">
        <v>45304</v>
      </c>
      <c r="J9304" t="s">
        <v>18626</v>
      </c>
      <c r="L9304" t="s">
        <v>27250</v>
      </c>
      <c r="M9304" t="s">
        <v>27251</v>
      </c>
      <c r="N9304" t="s">
        <v>27252</v>
      </c>
      <c r="P9304" t="s">
        <v>27925</v>
      </c>
      <c r="Q9304" s="1">
        <v>44538</v>
      </c>
      <c r="R9304" t="s">
        <v>27253</v>
      </c>
      <c r="S9304" t="s">
        <v>27254</v>
      </c>
      <c r="T9304" t="s">
        <v>27255</v>
      </c>
    </row>
    <row r="9305" spans="1:20" x14ac:dyDescent="0.3">
      <c r="A9305" t="str">
        <f>"0611832516100"</f>
        <v>0611832516100</v>
      </c>
      <c r="B9305" t="str">
        <f>"LL2184"</f>
        <v>LL2184</v>
      </c>
      <c r="C9305" t="s">
        <v>45305</v>
      </c>
      <c r="D9305" t="s">
        <v>27245</v>
      </c>
      <c r="E9305" t="str">
        <f t="shared" si="145"/>
        <v>001390</v>
      </c>
      <c r="F9305" t="s">
        <v>27246</v>
      </c>
      <c r="G9305" t="s">
        <v>27247</v>
      </c>
      <c r="H9305" t="s">
        <v>27248</v>
      </c>
      <c r="I9305" t="s">
        <v>45306</v>
      </c>
      <c r="J9305" t="s">
        <v>18628</v>
      </c>
      <c r="L9305" t="s">
        <v>27250</v>
      </c>
      <c r="M9305" t="s">
        <v>27251</v>
      </c>
      <c r="N9305" t="s">
        <v>27252</v>
      </c>
      <c r="Q9305" s="1">
        <v>44538</v>
      </c>
      <c r="R9305" t="s">
        <v>27253</v>
      </c>
      <c r="S9305" t="s">
        <v>27254</v>
      </c>
      <c r="T9305" t="s">
        <v>27255</v>
      </c>
    </row>
    <row r="9306" spans="1:20" x14ac:dyDescent="0.3">
      <c r="A9306" t="str">
        <f>"0611832517100"</f>
        <v>0611832517100</v>
      </c>
      <c r="B9306" t="str">
        <f>"LL8082"</f>
        <v>LL8082</v>
      </c>
      <c r="C9306" t="s">
        <v>45307</v>
      </c>
      <c r="D9306" t="s">
        <v>27245</v>
      </c>
      <c r="E9306" t="str">
        <f t="shared" si="145"/>
        <v>001390</v>
      </c>
      <c r="F9306" t="s">
        <v>27246</v>
      </c>
      <c r="G9306" t="s">
        <v>27247</v>
      </c>
      <c r="H9306" t="s">
        <v>27248</v>
      </c>
      <c r="I9306" t="s">
        <v>45308</v>
      </c>
      <c r="J9306" t="s">
        <v>18630</v>
      </c>
      <c r="L9306" t="s">
        <v>27250</v>
      </c>
      <c r="M9306" t="s">
        <v>27251</v>
      </c>
      <c r="N9306" t="s">
        <v>27252</v>
      </c>
      <c r="Q9306" s="1">
        <v>44538</v>
      </c>
      <c r="R9306" t="s">
        <v>27253</v>
      </c>
      <c r="S9306" t="s">
        <v>27254</v>
      </c>
      <c r="T9306" t="s">
        <v>27255</v>
      </c>
    </row>
    <row r="9307" spans="1:20" x14ac:dyDescent="0.3">
      <c r="A9307" t="str">
        <f>"0611837473100"</f>
        <v>0611837473100</v>
      </c>
      <c r="B9307" t="str">
        <f>"LL0030"</f>
        <v>LL0030</v>
      </c>
      <c r="C9307" t="s">
        <v>45309</v>
      </c>
      <c r="D9307" t="s">
        <v>27245</v>
      </c>
      <c r="E9307" t="str">
        <f t="shared" si="145"/>
        <v>001390</v>
      </c>
      <c r="F9307" t="s">
        <v>27246</v>
      </c>
      <c r="G9307" t="s">
        <v>27247</v>
      </c>
      <c r="H9307" t="s">
        <v>27248</v>
      </c>
      <c r="I9307" t="s">
        <v>45310</v>
      </c>
      <c r="J9307" t="s">
        <v>18632</v>
      </c>
      <c r="L9307" t="s">
        <v>27250</v>
      </c>
      <c r="M9307" t="s">
        <v>27251</v>
      </c>
      <c r="N9307" t="s">
        <v>27252</v>
      </c>
      <c r="Q9307" s="1">
        <v>44538</v>
      </c>
      <c r="R9307" t="s">
        <v>27253</v>
      </c>
      <c r="S9307" t="s">
        <v>27254</v>
      </c>
      <c r="T9307" t="s">
        <v>27255</v>
      </c>
    </row>
    <row r="9308" spans="1:20" x14ac:dyDescent="0.3">
      <c r="A9308" t="str">
        <f>"0611837474100"</f>
        <v>0611837474100</v>
      </c>
      <c r="B9308" t="str">
        <f>"LL3340"</f>
        <v>LL3340</v>
      </c>
      <c r="C9308" t="s">
        <v>45311</v>
      </c>
      <c r="D9308" t="s">
        <v>27245</v>
      </c>
      <c r="E9308" t="str">
        <f t="shared" si="145"/>
        <v>001390</v>
      </c>
      <c r="F9308" t="s">
        <v>27246</v>
      </c>
      <c r="G9308" t="s">
        <v>27247</v>
      </c>
      <c r="H9308" t="s">
        <v>27248</v>
      </c>
      <c r="I9308" t="s">
        <v>45312</v>
      </c>
      <c r="J9308" t="s">
        <v>18634</v>
      </c>
      <c r="L9308" t="s">
        <v>27250</v>
      </c>
      <c r="M9308" t="s">
        <v>27251</v>
      </c>
      <c r="N9308" t="s">
        <v>27252</v>
      </c>
      <c r="Q9308" s="1">
        <v>44538</v>
      </c>
      <c r="R9308" t="s">
        <v>27253</v>
      </c>
      <c r="S9308" t="s">
        <v>27254</v>
      </c>
      <c r="T9308" t="s">
        <v>27255</v>
      </c>
    </row>
    <row r="9309" spans="1:20" x14ac:dyDescent="0.3">
      <c r="A9309" t="str">
        <f>"0611832518100"</f>
        <v>0611832518100</v>
      </c>
      <c r="B9309" t="str">
        <f>"LK2316"</f>
        <v>LK2316</v>
      </c>
      <c r="C9309" t="s">
        <v>45313</v>
      </c>
      <c r="D9309" t="s">
        <v>27245</v>
      </c>
      <c r="E9309" t="str">
        <f t="shared" si="145"/>
        <v>001390</v>
      </c>
      <c r="F9309" t="s">
        <v>27246</v>
      </c>
      <c r="G9309" t="s">
        <v>27247</v>
      </c>
      <c r="H9309" t="s">
        <v>27248</v>
      </c>
      <c r="I9309" t="s">
        <v>45314</v>
      </c>
      <c r="J9309" t="s">
        <v>18636</v>
      </c>
      <c r="L9309" t="s">
        <v>27250</v>
      </c>
      <c r="M9309" t="s">
        <v>27251</v>
      </c>
      <c r="N9309" t="s">
        <v>27252</v>
      </c>
      <c r="Q9309" s="1">
        <v>44538</v>
      </c>
      <c r="R9309" t="s">
        <v>27253</v>
      </c>
      <c r="S9309" t="s">
        <v>27254</v>
      </c>
      <c r="T9309" t="s">
        <v>27255</v>
      </c>
    </row>
    <row r="9310" spans="1:20" x14ac:dyDescent="0.3">
      <c r="A9310" t="str">
        <f>"0611832519100"</f>
        <v>0611832519100</v>
      </c>
      <c r="B9310" t="str">
        <f>"LK6762"</f>
        <v>LK6762</v>
      </c>
      <c r="C9310" t="s">
        <v>45315</v>
      </c>
      <c r="D9310" t="s">
        <v>27245</v>
      </c>
      <c r="E9310" t="str">
        <f t="shared" si="145"/>
        <v>001390</v>
      </c>
      <c r="F9310" t="s">
        <v>27246</v>
      </c>
      <c r="G9310" t="s">
        <v>27247</v>
      </c>
      <c r="H9310" t="s">
        <v>27248</v>
      </c>
      <c r="I9310" t="s">
        <v>45316</v>
      </c>
      <c r="J9310" t="s">
        <v>18638</v>
      </c>
      <c r="L9310" t="s">
        <v>27250</v>
      </c>
      <c r="M9310" t="s">
        <v>27251</v>
      </c>
      <c r="N9310" t="s">
        <v>27252</v>
      </c>
      <c r="Q9310" s="1">
        <v>44538</v>
      </c>
      <c r="R9310" t="s">
        <v>27253</v>
      </c>
      <c r="S9310" t="s">
        <v>27254</v>
      </c>
      <c r="T9310" t="s">
        <v>27255</v>
      </c>
    </row>
    <row r="9311" spans="1:20" x14ac:dyDescent="0.3">
      <c r="A9311" t="str">
        <f>"0611832520100"</f>
        <v>0611832520100</v>
      </c>
      <c r="B9311" t="str">
        <f>"LK2317"</f>
        <v>LK2317</v>
      </c>
      <c r="C9311" t="s">
        <v>45317</v>
      </c>
      <c r="D9311" t="s">
        <v>27245</v>
      </c>
      <c r="E9311" t="str">
        <f t="shared" si="145"/>
        <v>001390</v>
      </c>
      <c r="F9311" t="s">
        <v>27246</v>
      </c>
      <c r="G9311" t="s">
        <v>27247</v>
      </c>
      <c r="H9311" t="s">
        <v>27248</v>
      </c>
      <c r="I9311" t="s">
        <v>45318</v>
      </c>
      <c r="J9311" t="s">
        <v>18640</v>
      </c>
      <c r="L9311" t="s">
        <v>27250</v>
      </c>
      <c r="M9311" t="s">
        <v>27251</v>
      </c>
      <c r="N9311" t="s">
        <v>27252</v>
      </c>
      <c r="Q9311" s="1">
        <v>44538</v>
      </c>
      <c r="R9311" t="s">
        <v>27253</v>
      </c>
      <c r="S9311" t="s">
        <v>27254</v>
      </c>
      <c r="T9311" t="s">
        <v>27255</v>
      </c>
    </row>
    <row r="9312" spans="1:20" x14ac:dyDescent="0.3">
      <c r="A9312" t="str">
        <f>"0611832521100"</f>
        <v>0611832521100</v>
      </c>
      <c r="B9312" t="str">
        <f>"LK2319"</f>
        <v>LK2319</v>
      </c>
      <c r="C9312" t="s">
        <v>45319</v>
      </c>
      <c r="D9312" t="s">
        <v>27245</v>
      </c>
      <c r="E9312" t="str">
        <f t="shared" si="145"/>
        <v>001390</v>
      </c>
      <c r="F9312" t="s">
        <v>27246</v>
      </c>
      <c r="G9312" t="s">
        <v>27247</v>
      </c>
      <c r="H9312" t="s">
        <v>27248</v>
      </c>
      <c r="I9312" t="s">
        <v>45320</v>
      </c>
      <c r="J9312" t="s">
        <v>18642</v>
      </c>
      <c r="L9312" t="s">
        <v>27250</v>
      </c>
      <c r="M9312" t="s">
        <v>27251</v>
      </c>
      <c r="N9312" t="s">
        <v>27252</v>
      </c>
      <c r="Q9312" s="1">
        <v>44538</v>
      </c>
      <c r="R9312" t="s">
        <v>27253</v>
      </c>
      <c r="S9312" t="s">
        <v>27254</v>
      </c>
      <c r="T9312" t="s">
        <v>27255</v>
      </c>
    </row>
    <row r="9313" spans="1:20" x14ac:dyDescent="0.3">
      <c r="A9313" t="str">
        <f>"0611884358100"</f>
        <v>0611884358100</v>
      </c>
      <c r="B9313" t="str">
        <f>"LL8343"</f>
        <v>LL8343</v>
      </c>
      <c r="C9313" t="s">
        <v>45321</v>
      </c>
      <c r="D9313" t="s">
        <v>27245</v>
      </c>
      <c r="E9313" t="str">
        <f t="shared" si="145"/>
        <v>001390</v>
      </c>
      <c r="F9313" t="s">
        <v>27246</v>
      </c>
      <c r="G9313" t="s">
        <v>27247</v>
      </c>
      <c r="H9313" t="s">
        <v>27248</v>
      </c>
      <c r="I9313" t="s">
        <v>45322</v>
      </c>
      <c r="J9313" t="s">
        <v>18644</v>
      </c>
      <c r="L9313" t="s">
        <v>27430</v>
      </c>
      <c r="M9313" t="s">
        <v>27251</v>
      </c>
      <c r="N9313" t="s">
        <v>27252</v>
      </c>
      <c r="Q9313" s="1">
        <v>45250</v>
      </c>
      <c r="R9313" t="s">
        <v>27253</v>
      </c>
      <c r="S9313" t="s">
        <v>27254</v>
      </c>
      <c r="T9313" t="s">
        <v>27255</v>
      </c>
    </row>
    <row r="9314" spans="1:20" x14ac:dyDescent="0.3">
      <c r="A9314" t="str">
        <f>"0611832523100"</f>
        <v>0611832523100</v>
      </c>
      <c r="B9314" t="str">
        <f>"LK3959"</f>
        <v>LK3959</v>
      </c>
      <c r="C9314" t="s">
        <v>45323</v>
      </c>
      <c r="D9314" t="s">
        <v>27245</v>
      </c>
      <c r="E9314" t="str">
        <f t="shared" si="145"/>
        <v>001390</v>
      </c>
      <c r="F9314" t="s">
        <v>27246</v>
      </c>
      <c r="G9314" t="s">
        <v>27247</v>
      </c>
      <c r="H9314" t="s">
        <v>27248</v>
      </c>
      <c r="I9314" t="s">
        <v>45324</v>
      </c>
      <c r="J9314" t="s">
        <v>18646</v>
      </c>
      <c r="L9314" t="s">
        <v>27250</v>
      </c>
      <c r="M9314" t="s">
        <v>27251</v>
      </c>
      <c r="N9314" t="s">
        <v>27252</v>
      </c>
      <c r="Q9314" s="1">
        <v>44538</v>
      </c>
      <c r="R9314" t="s">
        <v>27253</v>
      </c>
      <c r="S9314" t="s">
        <v>27254</v>
      </c>
      <c r="T9314" t="s">
        <v>27255</v>
      </c>
    </row>
    <row r="9315" spans="1:20" x14ac:dyDescent="0.3">
      <c r="A9315" t="str">
        <f>"0611832524100"</f>
        <v>0611832524100</v>
      </c>
      <c r="B9315" t="str">
        <f>"LL3431"</f>
        <v>LL3431</v>
      </c>
      <c r="C9315" t="s">
        <v>45325</v>
      </c>
      <c r="D9315" t="s">
        <v>27245</v>
      </c>
      <c r="E9315" t="str">
        <f t="shared" si="145"/>
        <v>001390</v>
      </c>
      <c r="F9315" t="s">
        <v>27246</v>
      </c>
      <c r="G9315" t="s">
        <v>27247</v>
      </c>
      <c r="H9315" t="s">
        <v>27248</v>
      </c>
      <c r="I9315" t="s">
        <v>45326</v>
      </c>
      <c r="J9315" t="s">
        <v>18648</v>
      </c>
      <c r="L9315" t="s">
        <v>27250</v>
      </c>
      <c r="M9315" t="s">
        <v>27251</v>
      </c>
      <c r="N9315" t="s">
        <v>27252</v>
      </c>
      <c r="Q9315" s="1">
        <v>44538</v>
      </c>
      <c r="R9315" t="s">
        <v>27253</v>
      </c>
      <c r="S9315" t="s">
        <v>27254</v>
      </c>
      <c r="T9315" t="s">
        <v>27255</v>
      </c>
    </row>
    <row r="9316" spans="1:20" x14ac:dyDescent="0.3">
      <c r="A9316" t="str">
        <f>"0611837475100"</f>
        <v>0611837475100</v>
      </c>
      <c r="B9316" t="str">
        <f>"LL8293"</f>
        <v>LL8293</v>
      </c>
      <c r="C9316" t="s">
        <v>45327</v>
      </c>
      <c r="D9316" t="s">
        <v>27245</v>
      </c>
      <c r="E9316" t="str">
        <f t="shared" si="145"/>
        <v>001390</v>
      </c>
      <c r="F9316" t="s">
        <v>27246</v>
      </c>
      <c r="G9316" t="s">
        <v>27247</v>
      </c>
      <c r="H9316" t="s">
        <v>27248</v>
      </c>
      <c r="I9316" t="s">
        <v>45328</v>
      </c>
      <c r="J9316" t="s">
        <v>18650</v>
      </c>
      <c r="L9316" t="s">
        <v>27250</v>
      </c>
      <c r="M9316" t="s">
        <v>27251</v>
      </c>
      <c r="N9316" t="s">
        <v>27252</v>
      </c>
      <c r="Q9316" s="1">
        <v>44538</v>
      </c>
      <c r="R9316" t="s">
        <v>27253</v>
      </c>
      <c r="S9316" t="s">
        <v>27254</v>
      </c>
      <c r="T9316" t="s">
        <v>27255</v>
      </c>
    </row>
    <row r="9317" spans="1:20" x14ac:dyDescent="0.3">
      <c r="A9317" t="str">
        <f>"0611837476100"</f>
        <v>0611837476100</v>
      </c>
      <c r="B9317" t="str">
        <f>"LL8294"</f>
        <v>LL8294</v>
      </c>
      <c r="C9317" t="s">
        <v>45329</v>
      </c>
      <c r="D9317" t="s">
        <v>27245</v>
      </c>
      <c r="E9317" t="str">
        <f t="shared" si="145"/>
        <v>001390</v>
      </c>
      <c r="F9317" t="s">
        <v>27246</v>
      </c>
      <c r="G9317" t="s">
        <v>27247</v>
      </c>
      <c r="H9317" t="s">
        <v>27248</v>
      </c>
      <c r="I9317" t="s">
        <v>45330</v>
      </c>
      <c r="J9317" t="s">
        <v>18652</v>
      </c>
      <c r="L9317" t="s">
        <v>27250</v>
      </c>
      <c r="M9317" t="s">
        <v>27251</v>
      </c>
      <c r="N9317" t="s">
        <v>27252</v>
      </c>
      <c r="Q9317" s="1">
        <v>44538</v>
      </c>
      <c r="R9317" t="s">
        <v>27253</v>
      </c>
      <c r="S9317" t="s">
        <v>27254</v>
      </c>
      <c r="T9317" t="s">
        <v>27255</v>
      </c>
    </row>
    <row r="9318" spans="1:20" x14ac:dyDescent="0.3">
      <c r="A9318" t="str">
        <f>"0611832526100"</f>
        <v>0611832526100</v>
      </c>
      <c r="B9318" t="str">
        <f>"LL3126"</f>
        <v>LL3126</v>
      </c>
      <c r="C9318" t="s">
        <v>45331</v>
      </c>
      <c r="D9318" t="s">
        <v>27245</v>
      </c>
      <c r="E9318" t="str">
        <f t="shared" si="145"/>
        <v>001390</v>
      </c>
      <c r="F9318" t="s">
        <v>27246</v>
      </c>
      <c r="G9318" t="s">
        <v>27247</v>
      </c>
      <c r="H9318" t="s">
        <v>27248</v>
      </c>
      <c r="I9318" t="s">
        <v>45332</v>
      </c>
      <c r="J9318" t="s">
        <v>18654</v>
      </c>
      <c r="L9318" t="s">
        <v>27250</v>
      </c>
      <c r="M9318" t="s">
        <v>27251</v>
      </c>
      <c r="N9318" t="s">
        <v>27252</v>
      </c>
      <c r="Q9318" s="1">
        <v>44538</v>
      </c>
      <c r="R9318" t="s">
        <v>27253</v>
      </c>
      <c r="S9318" t="s">
        <v>27254</v>
      </c>
      <c r="T9318" t="s">
        <v>27255</v>
      </c>
    </row>
    <row r="9319" spans="1:20" x14ac:dyDescent="0.3">
      <c r="A9319" t="str">
        <f>"0611832527100"</f>
        <v>0611832527100</v>
      </c>
      <c r="B9319" t="str">
        <f>"LK6114"</f>
        <v>LK6114</v>
      </c>
      <c r="C9319" t="s">
        <v>45333</v>
      </c>
      <c r="D9319" t="s">
        <v>27245</v>
      </c>
      <c r="E9319" t="str">
        <f t="shared" si="145"/>
        <v>001390</v>
      </c>
      <c r="F9319" t="s">
        <v>27246</v>
      </c>
      <c r="G9319" t="s">
        <v>27247</v>
      </c>
      <c r="H9319" t="s">
        <v>27248</v>
      </c>
      <c r="I9319" t="s">
        <v>45334</v>
      </c>
      <c r="J9319" t="s">
        <v>18656</v>
      </c>
      <c r="L9319" t="s">
        <v>27250</v>
      </c>
      <c r="M9319" t="s">
        <v>27251</v>
      </c>
      <c r="N9319" t="s">
        <v>27252</v>
      </c>
      <c r="Q9319" s="1">
        <v>44538</v>
      </c>
      <c r="R9319" t="s">
        <v>27253</v>
      </c>
      <c r="S9319" t="s">
        <v>27254</v>
      </c>
      <c r="T9319" t="s">
        <v>27255</v>
      </c>
    </row>
    <row r="9320" spans="1:20" x14ac:dyDescent="0.3">
      <c r="A9320" t="str">
        <f>"0611832528100"</f>
        <v>0611832528100</v>
      </c>
      <c r="B9320" t="str">
        <f>"LL3350"</f>
        <v>LL3350</v>
      </c>
      <c r="C9320" t="s">
        <v>45335</v>
      </c>
      <c r="D9320" t="s">
        <v>27245</v>
      </c>
      <c r="E9320" t="str">
        <f t="shared" si="145"/>
        <v>001390</v>
      </c>
      <c r="F9320" t="s">
        <v>27246</v>
      </c>
      <c r="G9320" t="s">
        <v>27247</v>
      </c>
      <c r="H9320" t="s">
        <v>27248</v>
      </c>
      <c r="I9320" t="s">
        <v>45336</v>
      </c>
      <c r="J9320" t="s">
        <v>18658</v>
      </c>
      <c r="L9320" t="s">
        <v>27250</v>
      </c>
      <c r="M9320" t="s">
        <v>27251</v>
      </c>
      <c r="N9320" t="s">
        <v>27252</v>
      </c>
      <c r="Q9320" s="1">
        <v>44538</v>
      </c>
      <c r="R9320" t="s">
        <v>27253</v>
      </c>
      <c r="S9320" t="s">
        <v>27254</v>
      </c>
      <c r="T9320" t="s">
        <v>27255</v>
      </c>
    </row>
    <row r="9321" spans="1:20" x14ac:dyDescent="0.3">
      <c r="A9321" t="str">
        <f>"0611832529100"</f>
        <v>0611832529100</v>
      </c>
      <c r="B9321" t="str">
        <f>"LL3157"</f>
        <v>LL3157</v>
      </c>
      <c r="C9321" t="s">
        <v>45337</v>
      </c>
      <c r="D9321" t="s">
        <v>27245</v>
      </c>
      <c r="E9321" t="str">
        <f t="shared" si="145"/>
        <v>001390</v>
      </c>
      <c r="F9321" t="s">
        <v>27246</v>
      </c>
      <c r="G9321" t="s">
        <v>27247</v>
      </c>
      <c r="H9321" t="s">
        <v>27248</v>
      </c>
      <c r="I9321" t="s">
        <v>45338</v>
      </c>
      <c r="J9321" t="s">
        <v>18660</v>
      </c>
      <c r="L9321" t="s">
        <v>27250</v>
      </c>
      <c r="M9321" t="s">
        <v>27251</v>
      </c>
      <c r="N9321" t="s">
        <v>27252</v>
      </c>
      <c r="Q9321" s="1">
        <v>44538</v>
      </c>
      <c r="R9321" t="s">
        <v>27253</v>
      </c>
      <c r="S9321" t="s">
        <v>27254</v>
      </c>
      <c r="T9321" t="s">
        <v>27255</v>
      </c>
    </row>
    <row r="9322" spans="1:20" x14ac:dyDescent="0.3">
      <c r="A9322" t="str">
        <f>"0611832530100"</f>
        <v>0611832530100</v>
      </c>
      <c r="B9322" t="str">
        <f>"LL0065"</f>
        <v>LL0065</v>
      </c>
      <c r="C9322" t="s">
        <v>45339</v>
      </c>
      <c r="D9322" t="s">
        <v>27245</v>
      </c>
      <c r="E9322" t="str">
        <f t="shared" si="145"/>
        <v>001390</v>
      </c>
      <c r="F9322" t="s">
        <v>27246</v>
      </c>
      <c r="G9322" t="s">
        <v>27247</v>
      </c>
      <c r="H9322" t="s">
        <v>27248</v>
      </c>
      <c r="I9322" t="s">
        <v>45340</v>
      </c>
      <c r="J9322" t="s">
        <v>18662</v>
      </c>
      <c r="L9322" t="s">
        <v>27250</v>
      </c>
      <c r="M9322" t="s">
        <v>27251</v>
      </c>
      <c r="N9322" t="s">
        <v>27252</v>
      </c>
      <c r="Q9322" s="1">
        <v>44538</v>
      </c>
      <c r="R9322" t="s">
        <v>27253</v>
      </c>
      <c r="S9322" t="s">
        <v>27254</v>
      </c>
      <c r="T9322" t="s">
        <v>27255</v>
      </c>
    </row>
    <row r="9323" spans="1:20" x14ac:dyDescent="0.3">
      <c r="A9323" t="str">
        <f>"0611832531100"</f>
        <v>0611832531100</v>
      </c>
      <c r="B9323" t="str">
        <f>"LL0031"</f>
        <v>LL0031</v>
      </c>
      <c r="C9323" t="s">
        <v>45341</v>
      </c>
      <c r="D9323" t="s">
        <v>27245</v>
      </c>
      <c r="E9323" t="str">
        <f t="shared" si="145"/>
        <v>001390</v>
      </c>
      <c r="F9323" t="s">
        <v>27246</v>
      </c>
      <c r="G9323" t="s">
        <v>27247</v>
      </c>
      <c r="H9323" t="s">
        <v>27248</v>
      </c>
      <c r="I9323" t="s">
        <v>45342</v>
      </c>
      <c r="J9323" t="s">
        <v>18664</v>
      </c>
      <c r="L9323" t="s">
        <v>27250</v>
      </c>
      <c r="M9323" t="s">
        <v>27251</v>
      </c>
      <c r="N9323" t="s">
        <v>27252</v>
      </c>
      <c r="Q9323" s="1">
        <v>44538</v>
      </c>
      <c r="R9323" t="s">
        <v>27253</v>
      </c>
      <c r="S9323" t="s">
        <v>27254</v>
      </c>
      <c r="T9323" t="s">
        <v>27255</v>
      </c>
    </row>
    <row r="9324" spans="1:20" x14ac:dyDescent="0.3">
      <c r="A9324" t="str">
        <f>"0611832533100"</f>
        <v>0611832533100</v>
      </c>
      <c r="B9324" t="str">
        <f>"LL3079"</f>
        <v>LL3079</v>
      </c>
      <c r="C9324" t="s">
        <v>45343</v>
      </c>
      <c r="D9324" t="s">
        <v>27245</v>
      </c>
      <c r="E9324" t="str">
        <f t="shared" si="145"/>
        <v>001390</v>
      </c>
      <c r="F9324" t="s">
        <v>27246</v>
      </c>
      <c r="G9324" t="s">
        <v>27247</v>
      </c>
      <c r="H9324" t="s">
        <v>27248</v>
      </c>
      <c r="I9324" t="s">
        <v>45344</v>
      </c>
      <c r="J9324" t="s">
        <v>18666</v>
      </c>
      <c r="L9324" t="s">
        <v>27250</v>
      </c>
      <c r="M9324" t="s">
        <v>27251</v>
      </c>
      <c r="N9324" t="s">
        <v>27252</v>
      </c>
      <c r="Q9324" s="1">
        <v>44538</v>
      </c>
      <c r="R9324" t="s">
        <v>27253</v>
      </c>
      <c r="S9324" t="s">
        <v>27254</v>
      </c>
      <c r="T9324" t="s">
        <v>27255</v>
      </c>
    </row>
    <row r="9325" spans="1:20" x14ac:dyDescent="0.3">
      <c r="A9325" t="str">
        <f>"0611832534100"</f>
        <v>0611832534100</v>
      </c>
      <c r="B9325" t="str">
        <f>"LL8126"</f>
        <v>LL8126</v>
      </c>
      <c r="C9325" t="s">
        <v>45345</v>
      </c>
      <c r="D9325" t="s">
        <v>27245</v>
      </c>
      <c r="E9325" t="str">
        <f t="shared" si="145"/>
        <v>001390</v>
      </c>
      <c r="F9325" t="s">
        <v>27246</v>
      </c>
      <c r="G9325" t="s">
        <v>27247</v>
      </c>
      <c r="H9325" t="s">
        <v>27248</v>
      </c>
      <c r="I9325" t="s">
        <v>45346</v>
      </c>
      <c r="J9325" t="s">
        <v>18668</v>
      </c>
      <c r="L9325" t="s">
        <v>27250</v>
      </c>
      <c r="M9325" t="s">
        <v>27251</v>
      </c>
      <c r="N9325" t="s">
        <v>27252</v>
      </c>
      <c r="Q9325" s="1">
        <v>44538</v>
      </c>
      <c r="R9325" t="s">
        <v>27253</v>
      </c>
      <c r="S9325" t="s">
        <v>27254</v>
      </c>
      <c r="T9325" t="s">
        <v>27255</v>
      </c>
    </row>
    <row r="9326" spans="1:20" x14ac:dyDescent="0.3">
      <c r="A9326" t="str">
        <f>"0611832535100"</f>
        <v>0611832535100</v>
      </c>
      <c r="B9326" t="str">
        <f>"LL8317"</f>
        <v>LL8317</v>
      </c>
      <c r="C9326" t="s">
        <v>45347</v>
      </c>
      <c r="D9326" t="s">
        <v>27245</v>
      </c>
      <c r="E9326" t="str">
        <f t="shared" si="145"/>
        <v>001390</v>
      </c>
      <c r="F9326" t="s">
        <v>27246</v>
      </c>
      <c r="G9326" t="s">
        <v>27247</v>
      </c>
      <c r="H9326" t="s">
        <v>27248</v>
      </c>
      <c r="I9326" t="s">
        <v>45348</v>
      </c>
      <c r="J9326" t="s">
        <v>18670</v>
      </c>
      <c r="L9326" t="s">
        <v>27250</v>
      </c>
      <c r="M9326" t="s">
        <v>27251</v>
      </c>
      <c r="N9326" t="s">
        <v>27252</v>
      </c>
      <c r="Q9326" s="1">
        <v>44538</v>
      </c>
      <c r="R9326" t="s">
        <v>27253</v>
      </c>
      <c r="S9326" t="s">
        <v>27254</v>
      </c>
      <c r="T9326" t="s">
        <v>27255</v>
      </c>
    </row>
    <row r="9327" spans="1:20" x14ac:dyDescent="0.3">
      <c r="A9327" t="str">
        <f>"0611832536100"</f>
        <v>0611832536100</v>
      </c>
      <c r="B9327" t="str">
        <f>"LL3360"</f>
        <v>LL3360</v>
      </c>
      <c r="C9327" t="s">
        <v>45349</v>
      </c>
      <c r="D9327" t="s">
        <v>27245</v>
      </c>
      <c r="E9327" t="str">
        <f t="shared" si="145"/>
        <v>001390</v>
      </c>
      <c r="F9327" t="s">
        <v>27246</v>
      </c>
      <c r="G9327" t="s">
        <v>27247</v>
      </c>
      <c r="H9327" t="s">
        <v>27248</v>
      </c>
      <c r="I9327" t="s">
        <v>45350</v>
      </c>
      <c r="J9327" t="s">
        <v>18672</v>
      </c>
      <c r="L9327" t="s">
        <v>27250</v>
      </c>
      <c r="M9327" t="s">
        <v>27251</v>
      </c>
      <c r="N9327" t="s">
        <v>27252</v>
      </c>
      <c r="Q9327" s="1">
        <v>44538</v>
      </c>
      <c r="R9327" t="s">
        <v>27253</v>
      </c>
      <c r="S9327" t="s">
        <v>27254</v>
      </c>
      <c r="T9327" t="s">
        <v>27255</v>
      </c>
    </row>
    <row r="9328" spans="1:20" x14ac:dyDescent="0.3">
      <c r="A9328" t="str">
        <f>"0611832537100"</f>
        <v>0611832537100</v>
      </c>
      <c r="B9328" t="str">
        <f>"LL3362"</f>
        <v>LL3362</v>
      </c>
      <c r="C9328" t="s">
        <v>45351</v>
      </c>
      <c r="D9328" t="s">
        <v>27245</v>
      </c>
      <c r="E9328" t="str">
        <f t="shared" si="145"/>
        <v>001390</v>
      </c>
      <c r="F9328" t="s">
        <v>27246</v>
      </c>
      <c r="G9328" t="s">
        <v>27247</v>
      </c>
      <c r="H9328" t="s">
        <v>27248</v>
      </c>
      <c r="I9328" t="s">
        <v>45352</v>
      </c>
      <c r="J9328" t="s">
        <v>18674</v>
      </c>
      <c r="L9328" t="s">
        <v>27250</v>
      </c>
      <c r="M9328" t="s">
        <v>27251</v>
      </c>
      <c r="N9328" t="s">
        <v>27252</v>
      </c>
      <c r="Q9328" s="1">
        <v>44538</v>
      </c>
      <c r="R9328" t="s">
        <v>27253</v>
      </c>
      <c r="S9328" t="s">
        <v>27254</v>
      </c>
      <c r="T9328" t="s">
        <v>27255</v>
      </c>
    </row>
    <row r="9329" spans="1:20" x14ac:dyDescent="0.3">
      <c r="A9329" t="str">
        <f>"0611832538100"</f>
        <v>0611832538100</v>
      </c>
      <c r="B9329" t="str">
        <f>"LL3363"</f>
        <v>LL3363</v>
      </c>
      <c r="C9329" t="s">
        <v>45353</v>
      </c>
      <c r="D9329" t="s">
        <v>27245</v>
      </c>
      <c r="E9329" t="str">
        <f t="shared" si="145"/>
        <v>001390</v>
      </c>
      <c r="F9329" t="s">
        <v>27246</v>
      </c>
      <c r="G9329" t="s">
        <v>27247</v>
      </c>
      <c r="H9329" t="s">
        <v>27248</v>
      </c>
      <c r="I9329" t="s">
        <v>45354</v>
      </c>
      <c r="J9329" t="s">
        <v>18676</v>
      </c>
      <c r="L9329" t="s">
        <v>27250</v>
      </c>
      <c r="M9329" t="s">
        <v>27251</v>
      </c>
      <c r="N9329" t="s">
        <v>27252</v>
      </c>
      <c r="Q9329" s="1">
        <v>44538</v>
      </c>
      <c r="R9329" t="s">
        <v>27253</v>
      </c>
      <c r="S9329" t="s">
        <v>27254</v>
      </c>
      <c r="T9329" t="s">
        <v>27255</v>
      </c>
    </row>
    <row r="9330" spans="1:20" x14ac:dyDescent="0.3">
      <c r="A9330" t="str">
        <f>"0611832539100"</f>
        <v>0611832539100</v>
      </c>
      <c r="B9330" t="str">
        <f>"LL3365"</f>
        <v>LL3365</v>
      </c>
      <c r="C9330" t="s">
        <v>45355</v>
      </c>
      <c r="D9330" t="s">
        <v>27245</v>
      </c>
      <c r="E9330" t="str">
        <f t="shared" si="145"/>
        <v>001390</v>
      </c>
      <c r="F9330" t="s">
        <v>27246</v>
      </c>
      <c r="G9330" t="s">
        <v>27247</v>
      </c>
      <c r="H9330" t="s">
        <v>27248</v>
      </c>
      <c r="I9330" t="s">
        <v>45356</v>
      </c>
      <c r="J9330" t="s">
        <v>18678</v>
      </c>
      <c r="L9330" t="s">
        <v>27250</v>
      </c>
      <c r="M9330" t="s">
        <v>27251</v>
      </c>
      <c r="N9330" t="s">
        <v>27252</v>
      </c>
      <c r="Q9330" s="1">
        <v>44538</v>
      </c>
      <c r="R9330" t="s">
        <v>27253</v>
      </c>
      <c r="S9330" t="s">
        <v>27254</v>
      </c>
      <c r="T9330" t="s">
        <v>27255</v>
      </c>
    </row>
    <row r="9331" spans="1:20" x14ac:dyDescent="0.3">
      <c r="A9331" t="str">
        <f>"0611832540100"</f>
        <v>0611832540100</v>
      </c>
      <c r="B9331" t="str">
        <f>"LL3176"</f>
        <v>LL3176</v>
      </c>
      <c r="C9331" t="s">
        <v>45357</v>
      </c>
      <c r="D9331" t="s">
        <v>27245</v>
      </c>
      <c r="E9331" t="str">
        <f t="shared" si="145"/>
        <v>001390</v>
      </c>
      <c r="F9331" t="s">
        <v>27246</v>
      </c>
      <c r="G9331" t="s">
        <v>27247</v>
      </c>
      <c r="H9331" t="s">
        <v>27248</v>
      </c>
      <c r="I9331" t="s">
        <v>45358</v>
      </c>
      <c r="J9331" t="s">
        <v>18680</v>
      </c>
      <c r="L9331" t="s">
        <v>27250</v>
      </c>
      <c r="M9331" t="s">
        <v>27251</v>
      </c>
      <c r="N9331" t="s">
        <v>27252</v>
      </c>
      <c r="Q9331" s="1">
        <v>44538</v>
      </c>
      <c r="R9331" t="s">
        <v>27253</v>
      </c>
      <c r="S9331" t="s">
        <v>27254</v>
      </c>
      <c r="T9331" t="s">
        <v>27255</v>
      </c>
    </row>
    <row r="9332" spans="1:20" x14ac:dyDescent="0.3">
      <c r="A9332" t="str">
        <f>"0611837478100"</f>
        <v>0611837478100</v>
      </c>
      <c r="B9332" t="str">
        <f>"LL0167"</f>
        <v>LL0167</v>
      </c>
      <c r="C9332" t="s">
        <v>45359</v>
      </c>
      <c r="D9332" t="s">
        <v>27245</v>
      </c>
      <c r="E9332" t="str">
        <f t="shared" si="145"/>
        <v>001390</v>
      </c>
      <c r="F9332" t="s">
        <v>27246</v>
      </c>
      <c r="G9332" t="s">
        <v>27247</v>
      </c>
      <c r="H9332" t="s">
        <v>27248</v>
      </c>
      <c r="I9332" t="s">
        <v>45360</v>
      </c>
      <c r="J9332" t="s">
        <v>18682</v>
      </c>
      <c r="L9332" t="s">
        <v>27250</v>
      </c>
      <c r="M9332" t="s">
        <v>27251</v>
      </c>
      <c r="N9332" t="s">
        <v>27252</v>
      </c>
      <c r="Q9332" s="1">
        <v>44538</v>
      </c>
      <c r="R9332" t="s">
        <v>27253</v>
      </c>
      <c r="S9332" t="s">
        <v>27254</v>
      </c>
      <c r="T9332" t="s">
        <v>27255</v>
      </c>
    </row>
    <row r="9333" spans="1:20" x14ac:dyDescent="0.3">
      <c r="A9333" t="str">
        <f>"0611832541100"</f>
        <v>0611832541100</v>
      </c>
      <c r="B9333" t="str">
        <f>"LL3117"</f>
        <v>LL3117</v>
      </c>
      <c r="C9333" t="s">
        <v>45361</v>
      </c>
      <c r="D9333" t="s">
        <v>27245</v>
      </c>
      <c r="E9333" t="str">
        <f t="shared" si="145"/>
        <v>001390</v>
      </c>
      <c r="F9333" t="s">
        <v>27246</v>
      </c>
      <c r="G9333" t="s">
        <v>27247</v>
      </c>
      <c r="H9333" t="s">
        <v>27248</v>
      </c>
      <c r="I9333" t="s">
        <v>45362</v>
      </c>
      <c r="J9333" t="s">
        <v>18684</v>
      </c>
      <c r="L9333" t="s">
        <v>27250</v>
      </c>
      <c r="M9333" t="s">
        <v>27251</v>
      </c>
      <c r="N9333" t="s">
        <v>27252</v>
      </c>
      <c r="Q9333" s="1">
        <v>44538</v>
      </c>
      <c r="R9333" t="s">
        <v>27253</v>
      </c>
      <c r="S9333" t="s">
        <v>27254</v>
      </c>
      <c r="T9333" t="s">
        <v>27255</v>
      </c>
    </row>
    <row r="9334" spans="1:20" x14ac:dyDescent="0.3">
      <c r="A9334" t="str">
        <f>"0611832542100"</f>
        <v>0611832542100</v>
      </c>
      <c r="B9334" t="str">
        <f>"LL3369"</f>
        <v>LL3369</v>
      </c>
      <c r="C9334" t="s">
        <v>45363</v>
      </c>
      <c r="D9334" t="s">
        <v>27245</v>
      </c>
      <c r="E9334" t="str">
        <f t="shared" si="145"/>
        <v>001390</v>
      </c>
      <c r="F9334" t="s">
        <v>27246</v>
      </c>
      <c r="G9334" t="s">
        <v>27247</v>
      </c>
      <c r="H9334" t="s">
        <v>27248</v>
      </c>
      <c r="I9334" t="s">
        <v>45364</v>
      </c>
      <c r="J9334" t="s">
        <v>18686</v>
      </c>
      <c r="L9334" t="s">
        <v>27250</v>
      </c>
      <c r="M9334" t="s">
        <v>27251</v>
      </c>
      <c r="N9334" t="s">
        <v>27252</v>
      </c>
      <c r="Q9334" s="1">
        <v>44538</v>
      </c>
      <c r="R9334" t="s">
        <v>27253</v>
      </c>
      <c r="S9334" t="s">
        <v>27254</v>
      </c>
      <c r="T9334" t="s">
        <v>27255</v>
      </c>
    </row>
    <row r="9335" spans="1:20" x14ac:dyDescent="0.3">
      <c r="A9335" t="str">
        <f>"0611832543100"</f>
        <v>0611832543100</v>
      </c>
      <c r="B9335" t="str">
        <f>"LL3375"</f>
        <v>LL3375</v>
      </c>
      <c r="C9335" t="s">
        <v>45365</v>
      </c>
      <c r="D9335" t="s">
        <v>27245</v>
      </c>
      <c r="E9335" t="str">
        <f t="shared" si="145"/>
        <v>001390</v>
      </c>
      <c r="F9335" t="s">
        <v>27246</v>
      </c>
      <c r="G9335" t="s">
        <v>27247</v>
      </c>
      <c r="H9335" t="s">
        <v>27248</v>
      </c>
      <c r="I9335" t="s">
        <v>45366</v>
      </c>
      <c r="J9335" t="s">
        <v>18688</v>
      </c>
      <c r="L9335" t="s">
        <v>27250</v>
      </c>
      <c r="M9335" t="s">
        <v>27251</v>
      </c>
      <c r="N9335" t="s">
        <v>27252</v>
      </c>
      <c r="Q9335" s="1">
        <v>44538</v>
      </c>
      <c r="R9335" t="s">
        <v>27253</v>
      </c>
      <c r="S9335" t="s">
        <v>27254</v>
      </c>
      <c r="T9335" t="s">
        <v>27255</v>
      </c>
    </row>
    <row r="9336" spans="1:20" x14ac:dyDescent="0.3">
      <c r="A9336" t="str">
        <f>"0611832544200"</f>
        <v>0611832544200</v>
      </c>
      <c r="B9336" t="str">
        <f>"KY3375"</f>
        <v>KY3375</v>
      </c>
      <c r="C9336" t="s">
        <v>45365</v>
      </c>
      <c r="D9336" t="s">
        <v>27682</v>
      </c>
      <c r="E9336" t="str">
        <f t="shared" si="145"/>
        <v>001390</v>
      </c>
      <c r="F9336" t="s">
        <v>27246</v>
      </c>
      <c r="G9336" t="s">
        <v>27247</v>
      </c>
      <c r="H9336" t="s">
        <v>27248</v>
      </c>
      <c r="I9336" t="s">
        <v>45367</v>
      </c>
      <c r="J9336" t="s">
        <v>18690</v>
      </c>
      <c r="L9336" t="s">
        <v>27250</v>
      </c>
      <c r="M9336" t="s">
        <v>27251</v>
      </c>
      <c r="N9336" t="s">
        <v>27252</v>
      </c>
      <c r="Q9336" s="1">
        <v>44538</v>
      </c>
      <c r="R9336" t="s">
        <v>27253</v>
      </c>
      <c r="S9336" t="s">
        <v>27254</v>
      </c>
      <c r="T9336" t="s">
        <v>27684</v>
      </c>
    </row>
    <row r="9337" spans="1:20" x14ac:dyDescent="0.3">
      <c r="A9337" t="str">
        <f>"0611832545100"</f>
        <v>0611832545100</v>
      </c>
      <c r="B9337" t="str">
        <f>"LL3376"</f>
        <v>LL3376</v>
      </c>
      <c r="C9337" t="s">
        <v>45368</v>
      </c>
      <c r="D9337" t="s">
        <v>27245</v>
      </c>
      <c r="E9337" t="str">
        <f t="shared" si="145"/>
        <v>001390</v>
      </c>
      <c r="F9337" t="s">
        <v>27246</v>
      </c>
      <c r="G9337" t="s">
        <v>27247</v>
      </c>
      <c r="H9337" t="s">
        <v>27248</v>
      </c>
      <c r="I9337" t="s">
        <v>45369</v>
      </c>
      <c r="J9337" t="s">
        <v>18692</v>
      </c>
      <c r="L9337" t="s">
        <v>27250</v>
      </c>
      <c r="M9337" t="s">
        <v>27251</v>
      </c>
      <c r="N9337" t="s">
        <v>27252</v>
      </c>
      <c r="Q9337" s="1">
        <v>44538</v>
      </c>
      <c r="R9337" t="s">
        <v>27253</v>
      </c>
      <c r="S9337" t="s">
        <v>27254</v>
      </c>
      <c r="T9337" t="s">
        <v>27255</v>
      </c>
    </row>
    <row r="9338" spans="1:20" x14ac:dyDescent="0.3">
      <c r="A9338" t="str">
        <f>"0611832546100"</f>
        <v>0611832546100</v>
      </c>
      <c r="B9338" t="str">
        <f>"LL3377"</f>
        <v>LL3377</v>
      </c>
      <c r="C9338" t="s">
        <v>45370</v>
      </c>
      <c r="D9338" t="s">
        <v>27245</v>
      </c>
      <c r="E9338" t="str">
        <f t="shared" si="145"/>
        <v>001390</v>
      </c>
      <c r="F9338" t="s">
        <v>27246</v>
      </c>
      <c r="G9338" t="s">
        <v>27247</v>
      </c>
      <c r="H9338" t="s">
        <v>27248</v>
      </c>
      <c r="I9338" t="s">
        <v>45371</v>
      </c>
      <c r="J9338" t="s">
        <v>18694</v>
      </c>
      <c r="L9338" t="s">
        <v>27250</v>
      </c>
      <c r="M9338" t="s">
        <v>27251</v>
      </c>
      <c r="N9338" t="s">
        <v>27252</v>
      </c>
      <c r="Q9338" s="1">
        <v>44538</v>
      </c>
      <c r="R9338" t="s">
        <v>27253</v>
      </c>
      <c r="S9338" t="s">
        <v>27254</v>
      </c>
      <c r="T9338" t="s">
        <v>27255</v>
      </c>
    </row>
    <row r="9339" spans="1:20" x14ac:dyDescent="0.3">
      <c r="A9339" t="str">
        <f>"0611832547100"</f>
        <v>0611832547100</v>
      </c>
      <c r="B9339" t="str">
        <f>"LL4874"</f>
        <v>LL4874</v>
      </c>
      <c r="C9339" t="s">
        <v>45372</v>
      </c>
      <c r="D9339" t="s">
        <v>27245</v>
      </c>
      <c r="E9339" t="str">
        <f t="shared" si="145"/>
        <v>001390</v>
      </c>
      <c r="F9339" t="s">
        <v>27246</v>
      </c>
      <c r="G9339" t="s">
        <v>27247</v>
      </c>
      <c r="H9339" t="s">
        <v>27248</v>
      </c>
      <c r="I9339" t="s">
        <v>45373</v>
      </c>
      <c r="J9339" t="s">
        <v>18698</v>
      </c>
      <c r="L9339" t="s">
        <v>27250</v>
      </c>
      <c r="M9339" t="s">
        <v>27251</v>
      </c>
      <c r="N9339" t="s">
        <v>27252</v>
      </c>
      <c r="Q9339" s="1">
        <v>44538</v>
      </c>
      <c r="R9339" t="s">
        <v>27253</v>
      </c>
      <c r="S9339" t="s">
        <v>27254</v>
      </c>
      <c r="T9339" t="s">
        <v>27255</v>
      </c>
    </row>
    <row r="9340" spans="1:20" x14ac:dyDescent="0.3">
      <c r="A9340" t="str">
        <f>"0611832548100"</f>
        <v>0611832548100</v>
      </c>
      <c r="B9340" t="str">
        <f>"LL3168"</f>
        <v>LL3168</v>
      </c>
      <c r="C9340" t="s">
        <v>45374</v>
      </c>
      <c r="D9340" t="s">
        <v>27245</v>
      </c>
      <c r="E9340" t="str">
        <f t="shared" si="145"/>
        <v>001390</v>
      </c>
      <c r="F9340" t="s">
        <v>27246</v>
      </c>
      <c r="G9340" t="s">
        <v>27247</v>
      </c>
      <c r="H9340" t="s">
        <v>27248</v>
      </c>
      <c r="I9340" t="s">
        <v>45375</v>
      </c>
      <c r="J9340" t="s">
        <v>18700</v>
      </c>
      <c r="L9340" t="s">
        <v>27250</v>
      </c>
      <c r="M9340" t="s">
        <v>27251</v>
      </c>
      <c r="N9340" t="s">
        <v>27252</v>
      </c>
      <c r="Q9340" s="1">
        <v>44538</v>
      </c>
      <c r="R9340" t="s">
        <v>27253</v>
      </c>
      <c r="S9340" t="s">
        <v>27254</v>
      </c>
      <c r="T9340" t="s">
        <v>27255</v>
      </c>
    </row>
    <row r="9341" spans="1:20" x14ac:dyDescent="0.3">
      <c r="A9341" t="str">
        <f>"0611832549100"</f>
        <v>0611832549100</v>
      </c>
      <c r="B9341" t="str">
        <f>"LL0126"</f>
        <v>LL0126</v>
      </c>
      <c r="C9341" t="s">
        <v>45376</v>
      </c>
      <c r="D9341" t="s">
        <v>27245</v>
      </c>
      <c r="E9341" t="str">
        <f t="shared" si="145"/>
        <v>001390</v>
      </c>
      <c r="F9341" t="s">
        <v>27246</v>
      </c>
      <c r="G9341" t="s">
        <v>27247</v>
      </c>
      <c r="H9341" t="s">
        <v>27248</v>
      </c>
      <c r="I9341" t="s">
        <v>45377</v>
      </c>
      <c r="J9341" t="s">
        <v>18702</v>
      </c>
      <c r="L9341" t="s">
        <v>27250</v>
      </c>
      <c r="M9341" t="s">
        <v>27251</v>
      </c>
      <c r="N9341" t="s">
        <v>27252</v>
      </c>
      <c r="Q9341" s="1">
        <v>44538</v>
      </c>
      <c r="R9341" t="s">
        <v>27253</v>
      </c>
      <c r="S9341" t="s">
        <v>27254</v>
      </c>
      <c r="T9341" t="s">
        <v>27255</v>
      </c>
    </row>
    <row r="9342" spans="1:20" x14ac:dyDescent="0.3">
      <c r="A9342" t="str">
        <f>"0611832551100"</f>
        <v>0611832551100</v>
      </c>
      <c r="B9342" t="str">
        <f>"LL8143"</f>
        <v>LL8143</v>
      </c>
      <c r="C9342" t="s">
        <v>45378</v>
      </c>
      <c r="D9342" t="s">
        <v>27245</v>
      </c>
      <c r="E9342" t="str">
        <f t="shared" si="145"/>
        <v>001390</v>
      </c>
      <c r="F9342" t="s">
        <v>27246</v>
      </c>
      <c r="G9342" t="s">
        <v>27247</v>
      </c>
      <c r="H9342" t="s">
        <v>27248</v>
      </c>
      <c r="I9342" t="s">
        <v>45379</v>
      </c>
      <c r="J9342" t="s">
        <v>18704</v>
      </c>
      <c r="L9342" t="s">
        <v>27250</v>
      </c>
      <c r="M9342" t="s">
        <v>27251</v>
      </c>
      <c r="N9342" t="s">
        <v>27252</v>
      </c>
      <c r="Q9342" s="1">
        <v>44538</v>
      </c>
      <c r="R9342" t="s">
        <v>27253</v>
      </c>
      <c r="S9342" t="s">
        <v>27254</v>
      </c>
      <c r="T9342" t="s">
        <v>27255</v>
      </c>
    </row>
    <row r="9343" spans="1:20" x14ac:dyDescent="0.3">
      <c r="A9343" t="str">
        <f>"0611832552100"</f>
        <v>0611832552100</v>
      </c>
      <c r="B9343" t="str">
        <f>"LL8339"</f>
        <v>LL8339</v>
      </c>
      <c r="C9343" t="s">
        <v>45380</v>
      </c>
      <c r="D9343" t="s">
        <v>27245</v>
      </c>
      <c r="E9343" t="str">
        <f t="shared" si="145"/>
        <v>001390</v>
      </c>
      <c r="F9343" t="s">
        <v>27246</v>
      </c>
      <c r="G9343" t="s">
        <v>27247</v>
      </c>
      <c r="H9343" t="s">
        <v>27248</v>
      </c>
      <c r="I9343" t="s">
        <v>45381</v>
      </c>
      <c r="J9343" t="s">
        <v>18706</v>
      </c>
      <c r="L9343" t="s">
        <v>27250</v>
      </c>
      <c r="M9343" t="s">
        <v>27251</v>
      </c>
      <c r="N9343" t="s">
        <v>27252</v>
      </c>
      <c r="Q9343" s="1">
        <v>44538</v>
      </c>
      <c r="R9343" t="s">
        <v>27253</v>
      </c>
      <c r="S9343" t="s">
        <v>27254</v>
      </c>
      <c r="T9343" t="s">
        <v>27255</v>
      </c>
    </row>
    <row r="9344" spans="1:20" x14ac:dyDescent="0.3">
      <c r="A9344" t="str">
        <f>"0611832553100"</f>
        <v>0611832553100</v>
      </c>
      <c r="B9344" t="str">
        <f>"LL0125"</f>
        <v>LL0125</v>
      </c>
      <c r="C9344" t="s">
        <v>45382</v>
      </c>
      <c r="D9344" t="s">
        <v>27245</v>
      </c>
      <c r="E9344" t="str">
        <f t="shared" si="145"/>
        <v>001390</v>
      </c>
      <c r="F9344" t="s">
        <v>27246</v>
      </c>
      <c r="G9344" t="s">
        <v>27247</v>
      </c>
      <c r="H9344" t="s">
        <v>27248</v>
      </c>
      <c r="I9344" t="s">
        <v>45383</v>
      </c>
      <c r="J9344" t="s">
        <v>18696</v>
      </c>
      <c r="L9344" t="s">
        <v>27250</v>
      </c>
      <c r="M9344" t="s">
        <v>27251</v>
      </c>
      <c r="N9344" t="s">
        <v>27252</v>
      </c>
      <c r="Q9344" s="1">
        <v>44538</v>
      </c>
      <c r="R9344" t="s">
        <v>27253</v>
      </c>
      <c r="S9344" t="s">
        <v>27254</v>
      </c>
      <c r="T9344" t="s">
        <v>27255</v>
      </c>
    </row>
    <row r="9345" spans="1:20" x14ac:dyDescent="0.3">
      <c r="A9345" t="str">
        <f>"0611832554100"</f>
        <v>0611832554100</v>
      </c>
      <c r="B9345" t="str">
        <f>"LL3395"</f>
        <v>LL3395</v>
      </c>
      <c r="C9345" t="s">
        <v>45384</v>
      </c>
      <c r="D9345" t="s">
        <v>27245</v>
      </c>
      <c r="E9345" t="str">
        <f t="shared" si="145"/>
        <v>001390</v>
      </c>
      <c r="F9345" t="s">
        <v>27246</v>
      </c>
      <c r="G9345" t="s">
        <v>27247</v>
      </c>
      <c r="H9345" t="s">
        <v>27248</v>
      </c>
      <c r="I9345" t="s">
        <v>45385</v>
      </c>
      <c r="J9345" t="s">
        <v>18708</v>
      </c>
      <c r="L9345" t="s">
        <v>27250</v>
      </c>
      <c r="M9345" t="s">
        <v>27251</v>
      </c>
      <c r="N9345" t="s">
        <v>27252</v>
      </c>
      <c r="Q9345" s="1">
        <v>44538</v>
      </c>
      <c r="R9345" t="s">
        <v>27253</v>
      </c>
      <c r="S9345" t="s">
        <v>27254</v>
      </c>
      <c r="T9345" t="s">
        <v>27255</v>
      </c>
    </row>
    <row r="9346" spans="1:20" x14ac:dyDescent="0.3">
      <c r="A9346" t="str">
        <f>"0611832555100"</f>
        <v>0611832555100</v>
      </c>
      <c r="B9346" t="str">
        <f>"LL8318"</f>
        <v>LL8318</v>
      </c>
      <c r="C9346" t="s">
        <v>45386</v>
      </c>
      <c r="D9346" t="s">
        <v>27245</v>
      </c>
      <c r="E9346" t="str">
        <f t="shared" ref="E9346:E9409" si="146">"001390"</f>
        <v>001390</v>
      </c>
      <c r="F9346" t="s">
        <v>27246</v>
      </c>
      <c r="G9346" t="s">
        <v>27247</v>
      </c>
      <c r="H9346" t="s">
        <v>27248</v>
      </c>
      <c r="I9346" t="s">
        <v>45387</v>
      </c>
      <c r="J9346" t="s">
        <v>18710</v>
      </c>
      <c r="L9346" t="s">
        <v>27250</v>
      </c>
      <c r="M9346" t="s">
        <v>27251</v>
      </c>
      <c r="N9346" t="s">
        <v>27252</v>
      </c>
      <c r="Q9346" s="1">
        <v>44538</v>
      </c>
      <c r="R9346" t="s">
        <v>27253</v>
      </c>
      <c r="S9346" t="s">
        <v>27254</v>
      </c>
      <c r="T9346" t="s">
        <v>27255</v>
      </c>
    </row>
    <row r="9347" spans="1:20" x14ac:dyDescent="0.3">
      <c r="A9347" t="str">
        <f>"0611832556100"</f>
        <v>0611832556100</v>
      </c>
      <c r="B9347" t="str">
        <f>"LL3385"</f>
        <v>LL3385</v>
      </c>
      <c r="C9347" t="s">
        <v>45388</v>
      </c>
      <c r="D9347" t="s">
        <v>27245</v>
      </c>
      <c r="E9347" t="str">
        <f t="shared" si="146"/>
        <v>001390</v>
      </c>
      <c r="F9347" t="s">
        <v>27246</v>
      </c>
      <c r="G9347" t="s">
        <v>27247</v>
      </c>
      <c r="H9347" t="s">
        <v>27248</v>
      </c>
      <c r="I9347" t="s">
        <v>45389</v>
      </c>
      <c r="J9347" t="s">
        <v>18712</v>
      </c>
      <c r="L9347" t="s">
        <v>27250</v>
      </c>
      <c r="M9347" t="s">
        <v>27251</v>
      </c>
      <c r="N9347" t="s">
        <v>27252</v>
      </c>
      <c r="Q9347" s="1">
        <v>44538</v>
      </c>
      <c r="R9347" t="s">
        <v>27253</v>
      </c>
      <c r="S9347" t="s">
        <v>27254</v>
      </c>
      <c r="T9347" t="s">
        <v>27255</v>
      </c>
    </row>
    <row r="9348" spans="1:20" x14ac:dyDescent="0.3">
      <c r="A9348" t="str">
        <f>"0611837479100"</f>
        <v>0611837479100</v>
      </c>
      <c r="B9348" t="str">
        <f>"LL0186"</f>
        <v>LL0186</v>
      </c>
      <c r="C9348" t="s">
        <v>45390</v>
      </c>
      <c r="D9348" t="s">
        <v>27245</v>
      </c>
      <c r="E9348" t="str">
        <f t="shared" si="146"/>
        <v>001390</v>
      </c>
      <c r="F9348" t="s">
        <v>27246</v>
      </c>
      <c r="G9348" t="s">
        <v>27247</v>
      </c>
      <c r="H9348" t="s">
        <v>27248</v>
      </c>
      <c r="I9348" t="s">
        <v>45391</v>
      </c>
      <c r="J9348" t="s">
        <v>18480</v>
      </c>
      <c r="L9348" t="s">
        <v>27250</v>
      </c>
      <c r="M9348" t="s">
        <v>27251</v>
      </c>
      <c r="N9348" t="s">
        <v>27252</v>
      </c>
      <c r="Q9348" s="1">
        <v>44538</v>
      </c>
      <c r="R9348" t="s">
        <v>27253</v>
      </c>
      <c r="S9348" t="s">
        <v>27254</v>
      </c>
      <c r="T9348" t="s">
        <v>27255</v>
      </c>
    </row>
    <row r="9349" spans="1:20" x14ac:dyDescent="0.3">
      <c r="A9349" t="str">
        <f>"0611837480100"</f>
        <v>0611837480100</v>
      </c>
      <c r="B9349" t="str">
        <f>"LL0187"</f>
        <v>LL0187</v>
      </c>
      <c r="C9349" t="s">
        <v>45392</v>
      </c>
      <c r="D9349" t="s">
        <v>27245</v>
      </c>
      <c r="E9349" t="str">
        <f t="shared" si="146"/>
        <v>001390</v>
      </c>
      <c r="F9349" t="s">
        <v>27246</v>
      </c>
      <c r="G9349" t="s">
        <v>27247</v>
      </c>
      <c r="H9349" t="s">
        <v>27248</v>
      </c>
      <c r="I9349" t="s">
        <v>45393</v>
      </c>
      <c r="J9349" t="s">
        <v>18482</v>
      </c>
      <c r="L9349" t="s">
        <v>27250</v>
      </c>
      <c r="M9349" t="s">
        <v>27251</v>
      </c>
      <c r="N9349" t="s">
        <v>27252</v>
      </c>
      <c r="Q9349" s="1">
        <v>44538</v>
      </c>
      <c r="R9349" t="s">
        <v>27253</v>
      </c>
      <c r="S9349" t="s">
        <v>27254</v>
      </c>
      <c r="T9349" t="s">
        <v>27255</v>
      </c>
    </row>
    <row r="9350" spans="1:20" x14ac:dyDescent="0.3">
      <c r="A9350" t="str">
        <f>"0611832557100"</f>
        <v>0611832557100</v>
      </c>
      <c r="B9350" t="str">
        <f>"LL4826"</f>
        <v>LL4826</v>
      </c>
      <c r="C9350" t="s">
        <v>45394</v>
      </c>
      <c r="D9350" t="s">
        <v>27245</v>
      </c>
      <c r="E9350" t="str">
        <f t="shared" si="146"/>
        <v>001390</v>
      </c>
      <c r="F9350" t="s">
        <v>27246</v>
      </c>
      <c r="G9350" t="s">
        <v>27247</v>
      </c>
      <c r="H9350" t="s">
        <v>27248</v>
      </c>
      <c r="I9350" t="s">
        <v>45395</v>
      </c>
      <c r="J9350" t="s">
        <v>18714</v>
      </c>
      <c r="L9350" t="s">
        <v>27250</v>
      </c>
      <c r="M9350" t="s">
        <v>27251</v>
      </c>
      <c r="N9350" t="s">
        <v>27252</v>
      </c>
      <c r="Q9350" s="1">
        <v>44538</v>
      </c>
      <c r="R9350" t="s">
        <v>27253</v>
      </c>
      <c r="S9350" t="s">
        <v>27254</v>
      </c>
      <c r="T9350" t="s">
        <v>27255</v>
      </c>
    </row>
    <row r="9351" spans="1:20" x14ac:dyDescent="0.3">
      <c r="A9351" t="str">
        <f>"0611832558100"</f>
        <v>0611832558100</v>
      </c>
      <c r="B9351" t="str">
        <f>"LL3119"</f>
        <v>LL3119</v>
      </c>
      <c r="C9351" t="s">
        <v>45396</v>
      </c>
      <c r="D9351" t="s">
        <v>27245</v>
      </c>
      <c r="E9351" t="str">
        <f t="shared" si="146"/>
        <v>001390</v>
      </c>
      <c r="F9351" t="s">
        <v>27246</v>
      </c>
      <c r="G9351" t="s">
        <v>27247</v>
      </c>
      <c r="H9351" t="s">
        <v>27248</v>
      </c>
      <c r="I9351" t="s">
        <v>45397</v>
      </c>
      <c r="J9351" t="s">
        <v>18716</v>
      </c>
      <c r="L9351" t="s">
        <v>27250</v>
      </c>
      <c r="M9351" t="s">
        <v>27251</v>
      </c>
      <c r="N9351" t="s">
        <v>27252</v>
      </c>
      <c r="Q9351" s="1">
        <v>44538</v>
      </c>
      <c r="R9351" t="s">
        <v>27253</v>
      </c>
      <c r="S9351" t="s">
        <v>27254</v>
      </c>
      <c r="T9351" t="s">
        <v>27255</v>
      </c>
    </row>
    <row r="9352" spans="1:20" x14ac:dyDescent="0.3">
      <c r="A9352" t="str">
        <f>"0611832559100"</f>
        <v>0611832559100</v>
      </c>
      <c r="B9352" t="str">
        <f>"LL3147"</f>
        <v>LL3147</v>
      </c>
      <c r="C9352" t="s">
        <v>45398</v>
      </c>
      <c r="D9352" t="s">
        <v>27245</v>
      </c>
      <c r="E9352" t="str">
        <f t="shared" si="146"/>
        <v>001390</v>
      </c>
      <c r="F9352" t="s">
        <v>27246</v>
      </c>
      <c r="G9352" t="s">
        <v>27247</v>
      </c>
      <c r="H9352" t="s">
        <v>27248</v>
      </c>
      <c r="I9352" t="s">
        <v>45399</v>
      </c>
      <c r="J9352" t="s">
        <v>18718</v>
      </c>
      <c r="L9352" t="s">
        <v>27250</v>
      </c>
      <c r="M9352" t="s">
        <v>27251</v>
      </c>
      <c r="N9352" t="s">
        <v>27252</v>
      </c>
      <c r="Q9352" s="1">
        <v>44538</v>
      </c>
      <c r="R9352" t="s">
        <v>27253</v>
      </c>
      <c r="S9352" t="s">
        <v>27254</v>
      </c>
      <c r="T9352" t="s">
        <v>27255</v>
      </c>
    </row>
    <row r="9353" spans="1:20" x14ac:dyDescent="0.3">
      <c r="A9353" t="str">
        <f>"0611832560100"</f>
        <v>0611832560100</v>
      </c>
      <c r="B9353" t="str">
        <f>"LL3196"</f>
        <v>LL3196</v>
      </c>
      <c r="C9353" t="s">
        <v>45400</v>
      </c>
      <c r="D9353" t="s">
        <v>27245</v>
      </c>
      <c r="E9353" t="str">
        <f t="shared" si="146"/>
        <v>001390</v>
      </c>
      <c r="F9353" t="s">
        <v>27246</v>
      </c>
      <c r="G9353" t="s">
        <v>27247</v>
      </c>
      <c r="H9353" t="s">
        <v>27248</v>
      </c>
      <c r="I9353" t="s">
        <v>45401</v>
      </c>
      <c r="J9353" t="s">
        <v>18720</v>
      </c>
      <c r="L9353" t="s">
        <v>27250</v>
      </c>
      <c r="M9353" t="s">
        <v>27251</v>
      </c>
      <c r="N9353" t="s">
        <v>27252</v>
      </c>
      <c r="Q9353" s="1">
        <v>44538</v>
      </c>
      <c r="R9353" t="s">
        <v>27253</v>
      </c>
      <c r="S9353" t="s">
        <v>27254</v>
      </c>
      <c r="T9353" t="s">
        <v>27255</v>
      </c>
    </row>
    <row r="9354" spans="1:20" x14ac:dyDescent="0.3">
      <c r="A9354" t="str">
        <f>"0611857057100"</f>
        <v>0611857057100</v>
      </c>
      <c r="B9354" t="str">
        <f>"LL5058"</f>
        <v>LL5058</v>
      </c>
      <c r="C9354" t="s">
        <v>45402</v>
      </c>
      <c r="D9354" t="s">
        <v>27245</v>
      </c>
      <c r="E9354" t="str">
        <f t="shared" si="146"/>
        <v>001390</v>
      </c>
      <c r="F9354" t="s">
        <v>27246</v>
      </c>
      <c r="G9354" t="s">
        <v>27247</v>
      </c>
      <c r="H9354" t="s">
        <v>27248</v>
      </c>
      <c r="I9354" t="s">
        <v>45403</v>
      </c>
      <c r="J9354" t="s">
        <v>18722</v>
      </c>
      <c r="L9354" t="s">
        <v>27250</v>
      </c>
      <c r="M9354" t="s">
        <v>27251</v>
      </c>
      <c r="N9354" t="s">
        <v>27252</v>
      </c>
      <c r="Q9354" s="1">
        <v>44812</v>
      </c>
      <c r="R9354" t="s">
        <v>27253</v>
      </c>
      <c r="S9354" t="s">
        <v>27254</v>
      </c>
      <c r="T9354" t="s">
        <v>27255</v>
      </c>
    </row>
    <row r="9355" spans="1:20" x14ac:dyDescent="0.3">
      <c r="A9355" t="str">
        <f>"0611832562100"</f>
        <v>0611832562100</v>
      </c>
      <c r="B9355" t="str">
        <f>"LL8078"</f>
        <v>LL8078</v>
      </c>
      <c r="C9355" t="s">
        <v>45404</v>
      </c>
      <c r="D9355" t="s">
        <v>27245</v>
      </c>
      <c r="E9355" t="str">
        <f t="shared" si="146"/>
        <v>001390</v>
      </c>
      <c r="F9355" t="s">
        <v>27246</v>
      </c>
      <c r="G9355" t="s">
        <v>27247</v>
      </c>
      <c r="H9355" t="s">
        <v>27248</v>
      </c>
      <c r="I9355" t="s">
        <v>45405</v>
      </c>
      <c r="J9355" t="s">
        <v>18724</v>
      </c>
      <c r="L9355" t="s">
        <v>27250</v>
      </c>
      <c r="M9355" t="s">
        <v>27251</v>
      </c>
      <c r="N9355" t="s">
        <v>27252</v>
      </c>
      <c r="Q9355" s="1">
        <v>44538</v>
      </c>
      <c r="R9355" t="s">
        <v>27253</v>
      </c>
      <c r="S9355" t="s">
        <v>27254</v>
      </c>
      <c r="T9355" t="s">
        <v>27255</v>
      </c>
    </row>
    <row r="9356" spans="1:20" x14ac:dyDescent="0.3">
      <c r="A9356" t="str">
        <f>"0611832563100"</f>
        <v>0611832563100</v>
      </c>
      <c r="B9356" t="str">
        <f>"LL3120"</f>
        <v>LL3120</v>
      </c>
      <c r="C9356" t="s">
        <v>45406</v>
      </c>
      <c r="D9356" t="s">
        <v>27245</v>
      </c>
      <c r="E9356" t="str">
        <f t="shared" si="146"/>
        <v>001390</v>
      </c>
      <c r="F9356" t="s">
        <v>27246</v>
      </c>
      <c r="G9356" t="s">
        <v>27247</v>
      </c>
      <c r="H9356" t="s">
        <v>27248</v>
      </c>
      <c r="I9356" t="s">
        <v>45407</v>
      </c>
      <c r="J9356" t="s">
        <v>18726</v>
      </c>
      <c r="L9356" t="s">
        <v>27250</v>
      </c>
      <c r="M9356" t="s">
        <v>27251</v>
      </c>
      <c r="N9356" t="s">
        <v>27252</v>
      </c>
      <c r="Q9356" s="1">
        <v>44538</v>
      </c>
      <c r="R9356" t="s">
        <v>27253</v>
      </c>
      <c r="S9356" t="s">
        <v>27254</v>
      </c>
      <c r="T9356" t="s">
        <v>27255</v>
      </c>
    </row>
    <row r="9357" spans="1:20" x14ac:dyDescent="0.3">
      <c r="A9357" t="str">
        <f>"0611832564100"</f>
        <v>0611832564100</v>
      </c>
      <c r="B9357" t="str">
        <f>"LK6265"</f>
        <v>LK6265</v>
      </c>
      <c r="C9357" t="s">
        <v>45408</v>
      </c>
      <c r="D9357" t="s">
        <v>27245</v>
      </c>
      <c r="E9357" t="str">
        <f t="shared" si="146"/>
        <v>001390</v>
      </c>
      <c r="F9357" t="s">
        <v>27246</v>
      </c>
      <c r="G9357" t="s">
        <v>27247</v>
      </c>
      <c r="H9357" t="s">
        <v>27248</v>
      </c>
      <c r="I9357" t="s">
        <v>45409</v>
      </c>
      <c r="J9357" t="s">
        <v>18728</v>
      </c>
      <c r="L9357" t="s">
        <v>27250</v>
      </c>
      <c r="M9357" t="s">
        <v>27251</v>
      </c>
      <c r="N9357" t="s">
        <v>27252</v>
      </c>
      <c r="Q9357" s="1">
        <v>44538</v>
      </c>
      <c r="R9357" t="s">
        <v>27253</v>
      </c>
      <c r="S9357" t="s">
        <v>27254</v>
      </c>
      <c r="T9357" t="s">
        <v>27255</v>
      </c>
    </row>
    <row r="9358" spans="1:20" x14ac:dyDescent="0.3">
      <c r="A9358" t="str">
        <f>"0611884359100"</f>
        <v>0611884359100</v>
      </c>
      <c r="B9358" t="str">
        <f>"LL5064"</f>
        <v>LL5064</v>
      </c>
      <c r="C9358" t="s">
        <v>45410</v>
      </c>
      <c r="D9358" t="s">
        <v>27245</v>
      </c>
      <c r="E9358" t="str">
        <f t="shared" si="146"/>
        <v>001390</v>
      </c>
      <c r="F9358" t="s">
        <v>27246</v>
      </c>
      <c r="G9358" t="s">
        <v>27247</v>
      </c>
      <c r="H9358" t="s">
        <v>27248</v>
      </c>
      <c r="I9358" t="s">
        <v>45411</v>
      </c>
      <c r="J9358" t="s">
        <v>18730</v>
      </c>
      <c r="L9358" t="s">
        <v>27430</v>
      </c>
      <c r="M9358" t="s">
        <v>27251</v>
      </c>
      <c r="N9358" t="s">
        <v>27252</v>
      </c>
      <c r="Q9358" s="1">
        <v>45250</v>
      </c>
      <c r="R9358" t="s">
        <v>27253</v>
      </c>
      <c r="S9358" t="s">
        <v>27254</v>
      </c>
      <c r="T9358" t="s">
        <v>27255</v>
      </c>
    </row>
    <row r="9359" spans="1:20" x14ac:dyDescent="0.3">
      <c r="A9359" t="str">
        <f>"0611832565100"</f>
        <v>0611832565100</v>
      </c>
      <c r="B9359" t="str">
        <f>"LL8228"</f>
        <v>LL8228</v>
      </c>
      <c r="C9359" t="s">
        <v>45412</v>
      </c>
      <c r="D9359" t="s">
        <v>27245</v>
      </c>
      <c r="E9359" t="str">
        <f t="shared" si="146"/>
        <v>001390</v>
      </c>
      <c r="F9359" t="s">
        <v>27246</v>
      </c>
      <c r="G9359" t="s">
        <v>27247</v>
      </c>
      <c r="H9359" t="s">
        <v>27248</v>
      </c>
      <c r="I9359" t="s">
        <v>45413</v>
      </c>
      <c r="J9359" t="s">
        <v>18732</v>
      </c>
      <c r="L9359" t="s">
        <v>27250</v>
      </c>
      <c r="M9359" t="s">
        <v>27251</v>
      </c>
      <c r="N9359" t="s">
        <v>27252</v>
      </c>
      <c r="Q9359" s="1">
        <v>44538</v>
      </c>
      <c r="R9359" t="s">
        <v>27253</v>
      </c>
      <c r="S9359" t="s">
        <v>27254</v>
      </c>
      <c r="T9359" t="s">
        <v>27255</v>
      </c>
    </row>
    <row r="9360" spans="1:20" x14ac:dyDescent="0.3">
      <c r="A9360" t="str">
        <f>"0611832566100"</f>
        <v>0611832566100</v>
      </c>
      <c r="B9360" t="str">
        <f>"LL3420"</f>
        <v>LL3420</v>
      </c>
      <c r="C9360" t="s">
        <v>45414</v>
      </c>
      <c r="D9360" t="s">
        <v>27245</v>
      </c>
      <c r="E9360" t="str">
        <f t="shared" si="146"/>
        <v>001390</v>
      </c>
      <c r="F9360" t="s">
        <v>27246</v>
      </c>
      <c r="G9360" t="s">
        <v>27247</v>
      </c>
      <c r="H9360" t="s">
        <v>27248</v>
      </c>
      <c r="I9360" t="s">
        <v>45415</v>
      </c>
      <c r="J9360" t="s">
        <v>18734</v>
      </c>
      <c r="L9360" t="s">
        <v>27250</v>
      </c>
      <c r="M9360" t="s">
        <v>27251</v>
      </c>
      <c r="N9360" t="s">
        <v>27252</v>
      </c>
      <c r="Q9360" s="1">
        <v>44538</v>
      </c>
      <c r="R9360" t="s">
        <v>27253</v>
      </c>
      <c r="S9360" t="s">
        <v>27254</v>
      </c>
      <c r="T9360" t="s">
        <v>27255</v>
      </c>
    </row>
    <row r="9361" spans="1:20" x14ac:dyDescent="0.3">
      <c r="A9361" t="str">
        <f>"0611832567100"</f>
        <v>0611832567100</v>
      </c>
      <c r="B9361" t="str">
        <f>"LL3082"</f>
        <v>LL3082</v>
      </c>
      <c r="C9361" t="s">
        <v>45416</v>
      </c>
      <c r="D9361" t="s">
        <v>27245</v>
      </c>
      <c r="E9361" t="str">
        <f t="shared" si="146"/>
        <v>001390</v>
      </c>
      <c r="F9361" t="s">
        <v>27246</v>
      </c>
      <c r="G9361" t="s">
        <v>27247</v>
      </c>
      <c r="H9361" t="s">
        <v>27248</v>
      </c>
      <c r="I9361" t="s">
        <v>45417</v>
      </c>
      <c r="J9361" t="s">
        <v>18736</v>
      </c>
      <c r="L9361" t="s">
        <v>27250</v>
      </c>
      <c r="M9361" t="s">
        <v>27251</v>
      </c>
      <c r="N9361" t="s">
        <v>27252</v>
      </c>
      <c r="Q9361" s="1">
        <v>44538</v>
      </c>
      <c r="R9361" t="s">
        <v>27253</v>
      </c>
      <c r="S9361" t="s">
        <v>27254</v>
      </c>
      <c r="T9361" t="s">
        <v>27255</v>
      </c>
    </row>
    <row r="9362" spans="1:20" x14ac:dyDescent="0.3">
      <c r="A9362" t="str">
        <f>"0611832568100"</f>
        <v>0611832568100</v>
      </c>
      <c r="B9362" t="str">
        <f>"LL8083"</f>
        <v>LL8083</v>
      </c>
      <c r="C9362" t="s">
        <v>45418</v>
      </c>
      <c r="D9362" t="s">
        <v>27245</v>
      </c>
      <c r="E9362" t="str">
        <f t="shared" si="146"/>
        <v>001390</v>
      </c>
      <c r="F9362" t="s">
        <v>27246</v>
      </c>
      <c r="G9362" t="s">
        <v>27247</v>
      </c>
      <c r="H9362" t="s">
        <v>27248</v>
      </c>
      <c r="I9362" t="s">
        <v>45419</v>
      </c>
      <c r="J9362" t="s">
        <v>18738</v>
      </c>
      <c r="L9362" t="s">
        <v>27250</v>
      </c>
      <c r="M9362" t="s">
        <v>27251</v>
      </c>
      <c r="N9362" t="s">
        <v>27252</v>
      </c>
      <c r="Q9362" s="1">
        <v>44538</v>
      </c>
      <c r="R9362" t="s">
        <v>27253</v>
      </c>
      <c r="S9362" t="s">
        <v>27254</v>
      </c>
      <c r="T9362" t="s">
        <v>27255</v>
      </c>
    </row>
    <row r="9363" spans="1:20" x14ac:dyDescent="0.3">
      <c r="A9363" t="str">
        <f>"0611832569100"</f>
        <v>0611832569100</v>
      </c>
      <c r="B9363" t="str">
        <f>"LL3430"</f>
        <v>LL3430</v>
      </c>
      <c r="C9363" t="s">
        <v>45420</v>
      </c>
      <c r="D9363" t="s">
        <v>27245</v>
      </c>
      <c r="E9363" t="str">
        <f t="shared" si="146"/>
        <v>001390</v>
      </c>
      <c r="F9363" t="s">
        <v>27246</v>
      </c>
      <c r="G9363" t="s">
        <v>27247</v>
      </c>
      <c r="H9363" t="s">
        <v>27248</v>
      </c>
      <c r="I9363" t="s">
        <v>45421</v>
      </c>
      <c r="J9363" t="s">
        <v>18740</v>
      </c>
      <c r="L9363" t="s">
        <v>27250</v>
      </c>
      <c r="M9363" t="s">
        <v>27251</v>
      </c>
      <c r="N9363" t="s">
        <v>27252</v>
      </c>
      <c r="Q9363" s="1">
        <v>44538</v>
      </c>
      <c r="R9363" t="s">
        <v>27253</v>
      </c>
      <c r="S9363" t="s">
        <v>27254</v>
      </c>
      <c r="T9363" t="s">
        <v>27255</v>
      </c>
    </row>
    <row r="9364" spans="1:20" x14ac:dyDescent="0.3">
      <c r="A9364" t="str">
        <f>"0611837481100"</f>
        <v>0611837481100</v>
      </c>
      <c r="B9364" t="str">
        <f>"LL8127"</f>
        <v>LL8127</v>
      </c>
      <c r="C9364" t="s">
        <v>45422</v>
      </c>
      <c r="D9364" t="s">
        <v>27245</v>
      </c>
      <c r="E9364" t="str">
        <f t="shared" si="146"/>
        <v>001390</v>
      </c>
      <c r="F9364" t="s">
        <v>27246</v>
      </c>
      <c r="G9364" t="s">
        <v>27247</v>
      </c>
      <c r="H9364" t="s">
        <v>27248</v>
      </c>
      <c r="I9364" t="s">
        <v>45423</v>
      </c>
      <c r="J9364" t="s">
        <v>18742</v>
      </c>
      <c r="L9364" t="s">
        <v>27250</v>
      </c>
      <c r="M9364" t="s">
        <v>27251</v>
      </c>
      <c r="N9364" t="s">
        <v>27252</v>
      </c>
      <c r="Q9364" s="1">
        <v>44538</v>
      </c>
      <c r="R9364" t="s">
        <v>27253</v>
      </c>
      <c r="S9364" t="s">
        <v>27254</v>
      </c>
      <c r="T9364" t="s">
        <v>27255</v>
      </c>
    </row>
    <row r="9365" spans="1:20" x14ac:dyDescent="0.3">
      <c r="A9365" t="str">
        <f>"0611837483100"</f>
        <v>0611837483100</v>
      </c>
      <c r="B9365" t="str">
        <f>"LQ6003"</f>
        <v>LQ6003</v>
      </c>
      <c r="C9365" t="s">
        <v>45424</v>
      </c>
      <c r="D9365" t="s">
        <v>27245</v>
      </c>
      <c r="E9365" t="str">
        <f t="shared" si="146"/>
        <v>001390</v>
      </c>
      <c r="F9365" t="s">
        <v>27246</v>
      </c>
      <c r="G9365" t="s">
        <v>27247</v>
      </c>
      <c r="H9365" t="s">
        <v>27248</v>
      </c>
      <c r="I9365" t="s">
        <v>45425</v>
      </c>
      <c r="J9365" t="s">
        <v>18744</v>
      </c>
      <c r="L9365" t="s">
        <v>27250</v>
      </c>
      <c r="M9365" t="s">
        <v>27251</v>
      </c>
      <c r="N9365" t="s">
        <v>27252</v>
      </c>
      <c r="Q9365" s="1">
        <v>44538</v>
      </c>
      <c r="R9365" t="s">
        <v>27253</v>
      </c>
      <c r="S9365" t="s">
        <v>27254</v>
      </c>
      <c r="T9365" t="s">
        <v>27255</v>
      </c>
    </row>
    <row r="9366" spans="1:20" x14ac:dyDescent="0.3">
      <c r="A9366" t="str">
        <f>"0611884360025"</f>
        <v>0611884360025</v>
      </c>
      <c r="B9366" t="str">
        <f>"MC4500"</f>
        <v>MC4500</v>
      </c>
      <c r="C9366" t="s">
        <v>45426</v>
      </c>
      <c r="D9366" t="s">
        <v>27267</v>
      </c>
      <c r="E9366" t="str">
        <f t="shared" si="146"/>
        <v>001390</v>
      </c>
      <c r="F9366" t="s">
        <v>27246</v>
      </c>
      <c r="G9366" t="s">
        <v>27247</v>
      </c>
      <c r="H9366" t="s">
        <v>27248</v>
      </c>
      <c r="I9366" t="s">
        <v>45427</v>
      </c>
      <c r="J9366" t="s">
        <v>18746</v>
      </c>
      <c r="L9366" t="s">
        <v>27430</v>
      </c>
      <c r="M9366" t="s">
        <v>27251</v>
      </c>
      <c r="N9366" t="s">
        <v>27252</v>
      </c>
      <c r="Q9366" s="1">
        <v>45250</v>
      </c>
      <c r="R9366" t="s">
        <v>27253</v>
      </c>
      <c r="S9366" t="s">
        <v>27254</v>
      </c>
      <c r="T9366" t="s">
        <v>27269</v>
      </c>
    </row>
    <row r="9367" spans="1:20" x14ac:dyDescent="0.3">
      <c r="A9367" t="str">
        <f>"0611837485100"</f>
        <v>0611837485100</v>
      </c>
      <c r="B9367" t="str">
        <f>"LB6152"</f>
        <v>LB6152</v>
      </c>
      <c r="C9367" t="s">
        <v>45428</v>
      </c>
      <c r="D9367" t="s">
        <v>27245</v>
      </c>
      <c r="E9367" t="str">
        <f t="shared" si="146"/>
        <v>001390</v>
      </c>
      <c r="F9367" t="s">
        <v>27246</v>
      </c>
      <c r="G9367" t="s">
        <v>27247</v>
      </c>
      <c r="H9367" t="s">
        <v>27248</v>
      </c>
      <c r="I9367" t="s">
        <v>45429</v>
      </c>
      <c r="J9367" t="s">
        <v>18748</v>
      </c>
      <c r="L9367" t="s">
        <v>27250</v>
      </c>
      <c r="M9367" t="s">
        <v>27251</v>
      </c>
      <c r="N9367" t="s">
        <v>27252</v>
      </c>
      <c r="Q9367" s="1">
        <v>44538</v>
      </c>
      <c r="R9367" t="s">
        <v>27253</v>
      </c>
      <c r="S9367" t="s">
        <v>27254</v>
      </c>
      <c r="T9367" t="s">
        <v>27255</v>
      </c>
    </row>
    <row r="9368" spans="1:20" x14ac:dyDescent="0.3">
      <c r="A9368" t="str">
        <f>"0611837486100"</f>
        <v>0611837486100</v>
      </c>
      <c r="B9368" t="str">
        <f>"LD0040"</f>
        <v>LD0040</v>
      </c>
      <c r="C9368" t="s">
        <v>45430</v>
      </c>
      <c r="D9368" t="s">
        <v>27245</v>
      </c>
      <c r="E9368" t="str">
        <f t="shared" si="146"/>
        <v>001390</v>
      </c>
      <c r="F9368" t="s">
        <v>27246</v>
      </c>
      <c r="G9368" t="s">
        <v>27247</v>
      </c>
      <c r="H9368" t="s">
        <v>27248</v>
      </c>
      <c r="I9368" t="s">
        <v>45431</v>
      </c>
      <c r="J9368" t="s">
        <v>18750</v>
      </c>
      <c r="L9368" t="s">
        <v>27250</v>
      </c>
      <c r="M9368" t="s">
        <v>27251</v>
      </c>
      <c r="N9368" t="s">
        <v>27252</v>
      </c>
      <c r="Q9368" s="1">
        <v>44538</v>
      </c>
      <c r="R9368" t="s">
        <v>27253</v>
      </c>
      <c r="S9368" t="s">
        <v>27254</v>
      </c>
      <c r="T9368" t="s">
        <v>27255</v>
      </c>
    </row>
    <row r="9369" spans="1:20" x14ac:dyDescent="0.3">
      <c r="A9369" t="str">
        <f>"0611837487025"</f>
        <v>0611837487025</v>
      </c>
      <c r="B9369" t="str">
        <f>"MC4086"</f>
        <v>MC4086</v>
      </c>
      <c r="C9369" t="s">
        <v>45432</v>
      </c>
      <c r="D9369" t="s">
        <v>27267</v>
      </c>
      <c r="E9369" t="str">
        <f t="shared" si="146"/>
        <v>001390</v>
      </c>
      <c r="F9369" t="s">
        <v>27246</v>
      </c>
      <c r="G9369" t="s">
        <v>27247</v>
      </c>
      <c r="H9369" t="s">
        <v>27248</v>
      </c>
      <c r="I9369" t="s">
        <v>45433</v>
      </c>
      <c r="J9369" t="s">
        <v>18752</v>
      </c>
      <c r="L9369" t="s">
        <v>27250</v>
      </c>
      <c r="M9369" t="s">
        <v>27251</v>
      </c>
      <c r="N9369" t="s">
        <v>27252</v>
      </c>
      <c r="Q9369" s="1">
        <v>44538</v>
      </c>
      <c r="R9369" t="s">
        <v>27253</v>
      </c>
      <c r="S9369" t="s">
        <v>27254</v>
      </c>
      <c r="T9369" t="s">
        <v>27269</v>
      </c>
    </row>
    <row r="9370" spans="1:20" x14ac:dyDescent="0.3">
      <c r="A9370" t="str">
        <f>"0611857058025"</f>
        <v>0611857058025</v>
      </c>
      <c r="B9370" t="str">
        <f>"MC4424"</f>
        <v>MC4424</v>
      </c>
      <c r="C9370" t="s">
        <v>45434</v>
      </c>
      <c r="D9370" t="s">
        <v>27267</v>
      </c>
      <c r="E9370" t="str">
        <f t="shared" si="146"/>
        <v>001390</v>
      </c>
      <c r="F9370" t="s">
        <v>27246</v>
      </c>
      <c r="G9370" t="s">
        <v>27247</v>
      </c>
      <c r="H9370" t="s">
        <v>27248</v>
      </c>
      <c r="I9370" t="s">
        <v>45435</v>
      </c>
      <c r="J9370" t="s">
        <v>18754</v>
      </c>
      <c r="L9370" t="s">
        <v>27250</v>
      </c>
      <c r="M9370" t="s">
        <v>27251</v>
      </c>
      <c r="N9370" t="s">
        <v>27252</v>
      </c>
      <c r="Q9370" s="1">
        <v>44812</v>
      </c>
      <c r="R9370" t="s">
        <v>27253</v>
      </c>
      <c r="S9370" t="s">
        <v>27254</v>
      </c>
      <c r="T9370" t="s">
        <v>27269</v>
      </c>
    </row>
    <row r="9371" spans="1:20" x14ac:dyDescent="0.3">
      <c r="A9371" t="str">
        <f>"0611837489025"</f>
        <v>0611837489025</v>
      </c>
      <c r="B9371" t="str">
        <f>"MQ3186"</f>
        <v>MQ3186</v>
      </c>
      <c r="C9371" t="s">
        <v>45436</v>
      </c>
      <c r="D9371" t="s">
        <v>27267</v>
      </c>
      <c r="E9371" t="str">
        <f t="shared" si="146"/>
        <v>001390</v>
      </c>
      <c r="F9371" t="s">
        <v>27246</v>
      </c>
      <c r="G9371" t="s">
        <v>27247</v>
      </c>
      <c r="H9371" t="s">
        <v>27248</v>
      </c>
      <c r="I9371" t="s">
        <v>45437</v>
      </c>
      <c r="J9371" t="s">
        <v>18758</v>
      </c>
      <c r="L9371" t="s">
        <v>27250</v>
      </c>
      <c r="M9371" t="s">
        <v>27251</v>
      </c>
      <c r="N9371" t="s">
        <v>27252</v>
      </c>
      <c r="Q9371" s="1">
        <v>44538</v>
      </c>
      <c r="R9371" t="s">
        <v>27253</v>
      </c>
      <c r="S9371" t="s">
        <v>27254</v>
      </c>
      <c r="T9371" t="s">
        <v>27269</v>
      </c>
    </row>
    <row r="9372" spans="1:20" x14ac:dyDescent="0.3">
      <c r="A9372" t="str">
        <f>"0611863444100"</f>
        <v>0611863444100</v>
      </c>
      <c r="B9372" t="str">
        <f>"CN5293"</f>
        <v>CN5293</v>
      </c>
      <c r="C9372" t="s">
        <v>45436</v>
      </c>
      <c r="D9372" t="s">
        <v>27335</v>
      </c>
      <c r="E9372" t="str">
        <f t="shared" si="146"/>
        <v>001390</v>
      </c>
      <c r="F9372" t="s">
        <v>27246</v>
      </c>
      <c r="G9372" t="s">
        <v>27247</v>
      </c>
      <c r="H9372" t="s">
        <v>27248</v>
      </c>
      <c r="I9372" t="s">
        <v>45438</v>
      </c>
      <c r="J9372" t="s">
        <v>18756</v>
      </c>
      <c r="L9372" t="s">
        <v>27250</v>
      </c>
      <c r="M9372" t="s">
        <v>27251</v>
      </c>
      <c r="N9372" t="s">
        <v>27252</v>
      </c>
      <c r="Q9372" s="1">
        <v>44846</v>
      </c>
      <c r="R9372" t="s">
        <v>27253</v>
      </c>
      <c r="S9372" t="s">
        <v>27254</v>
      </c>
      <c r="T9372" t="s">
        <v>27255</v>
      </c>
    </row>
    <row r="9373" spans="1:20" x14ac:dyDescent="0.3">
      <c r="A9373" t="str">
        <f>"0611863445050"</f>
        <v>0611863445050</v>
      </c>
      <c r="B9373" t="str">
        <f>"CR4413"</f>
        <v>CR4413</v>
      </c>
      <c r="C9373" t="s">
        <v>45439</v>
      </c>
      <c r="D9373" t="s">
        <v>27286</v>
      </c>
      <c r="E9373" t="str">
        <f t="shared" si="146"/>
        <v>001390</v>
      </c>
      <c r="F9373" t="s">
        <v>27246</v>
      </c>
      <c r="G9373" t="s">
        <v>27247</v>
      </c>
      <c r="H9373" t="s">
        <v>27248</v>
      </c>
      <c r="I9373" t="s">
        <v>45440</v>
      </c>
      <c r="J9373" t="s">
        <v>18760</v>
      </c>
      <c r="L9373" t="s">
        <v>27250</v>
      </c>
      <c r="M9373" t="s">
        <v>27251</v>
      </c>
      <c r="N9373" t="s">
        <v>27252</v>
      </c>
      <c r="Q9373" s="1">
        <v>44846</v>
      </c>
      <c r="R9373" t="s">
        <v>27253</v>
      </c>
      <c r="S9373" t="s">
        <v>27254</v>
      </c>
      <c r="T9373" t="s">
        <v>27265</v>
      </c>
    </row>
    <row r="9374" spans="1:20" x14ac:dyDescent="0.3">
      <c r="A9374" t="str">
        <f>"0611863446100"</f>
        <v>0611863446100</v>
      </c>
      <c r="B9374" t="str">
        <f>"CN2384"</f>
        <v>CN2384</v>
      </c>
      <c r="C9374" t="s">
        <v>45441</v>
      </c>
      <c r="D9374" t="s">
        <v>27335</v>
      </c>
      <c r="E9374" t="str">
        <f t="shared" si="146"/>
        <v>001390</v>
      </c>
      <c r="F9374" t="s">
        <v>27246</v>
      </c>
      <c r="G9374" t="s">
        <v>27247</v>
      </c>
      <c r="H9374" t="s">
        <v>27248</v>
      </c>
      <c r="I9374" t="s">
        <v>45442</v>
      </c>
      <c r="J9374" t="s">
        <v>18762</v>
      </c>
      <c r="L9374" t="s">
        <v>27250</v>
      </c>
      <c r="M9374" t="s">
        <v>27251</v>
      </c>
      <c r="N9374" t="s">
        <v>27252</v>
      </c>
      <c r="Q9374" s="1">
        <v>44846</v>
      </c>
      <c r="R9374" t="s">
        <v>27253</v>
      </c>
      <c r="S9374" t="s">
        <v>27254</v>
      </c>
      <c r="T9374" t="s">
        <v>27255</v>
      </c>
    </row>
    <row r="9375" spans="1:20" x14ac:dyDescent="0.3">
      <c r="A9375" t="str">
        <f>"0611837490025"</f>
        <v>0611837490025</v>
      </c>
      <c r="B9375" t="str">
        <f>"MQ0104"</f>
        <v>MQ0104</v>
      </c>
      <c r="C9375" t="s">
        <v>45443</v>
      </c>
      <c r="D9375" t="s">
        <v>27267</v>
      </c>
      <c r="E9375" t="str">
        <f t="shared" si="146"/>
        <v>001390</v>
      </c>
      <c r="F9375" t="s">
        <v>27246</v>
      </c>
      <c r="G9375" t="s">
        <v>27247</v>
      </c>
      <c r="H9375" t="s">
        <v>27248</v>
      </c>
      <c r="I9375" t="s">
        <v>45444</v>
      </c>
      <c r="J9375" t="s">
        <v>18766</v>
      </c>
      <c r="L9375" t="s">
        <v>27250</v>
      </c>
      <c r="M9375" t="s">
        <v>27251</v>
      </c>
      <c r="N9375" t="s">
        <v>27252</v>
      </c>
      <c r="Q9375" s="1">
        <v>44538</v>
      </c>
      <c r="R9375" t="s">
        <v>27253</v>
      </c>
      <c r="S9375" t="s">
        <v>27254</v>
      </c>
      <c r="T9375" t="s">
        <v>27269</v>
      </c>
    </row>
    <row r="9376" spans="1:20" x14ac:dyDescent="0.3">
      <c r="A9376" t="str">
        <f>"0611863447100"</f>
        <v>0611863447100</v>
      </c>
      <c r="B9376" t="str">
        <f>"CN5294"</f>
        <v>CN5294</v>
      </c>
      <c r="C9376" t="s">
        <v>45443</v>
      </c>
      <c r="D9376" t="s">
        <v>27335</v>
      </c>
      <c r="E9376" t="str">
        <f t="shared" si="146"/>
        <v>001390</v>
      </c>
      <c r="F9376" t="s">
        <v>27246</v>
      </c>
      <c r="G9376" t="s">
        <v>27247</v>
      </c>
      <c r="H9376" t="s">
        <v>27248</v>
      </c>
      <c r="I9376" t="s">
        <v>45445</v>
      </c>
      <c r="J9376" t="s">
        <v>18764</v>
      </c>
      <c r="L9376" t="s">
        <v>27250</v>
      </c>
      <c r="M9376" t="s">
        <v>27251</v>
      </c>
      <c r="N9376" t="s">
        <v>27252</v>
      </c>
      <c r="Q9376" s="1">
        <v>44846</v>
      </c>
      <c r="R9376" t="s">
        <v>27253</v>
      </c>
      <c r="S9376" t="s">
        <v>27254</v>
      </c>
      <c r="T9376" t="s">
        <v>27255</v>
      </c>
    </row>
    <row r="9377" spans="1:20" x14ac:dyDescent="0.3">
      <c r="A9377" t="str">
        <f>"0611863448050"</f>
        <v>0611863448050</v>
      </c>
      <c r="B9377" t="str">
        <f>"CR4414"</f>
        <v>CR4414</v>
      </c>
      <c r="C9377" t="s">
        <v>45446</v>
      </c>
      <c r="D9377" t="s">
        <v>27286</v>
      </c>
      <c r="E9377" t="str">
        <f t="shared" si="146"/>
        <v>001390</v>
      </c>
      <c r="F9377" t="s">
        <v>27246</v>
      </c>
      <c r="G9377" t="s">
        <v>27247</v>
      </c>
      <c r="H9377" t="s">
        <v>27248</v>
      </c>
      <c r="I9377" t="s">
        <v>45447</v>
      </c>
      <c r="J9377" t="s">
        <v>18768</v>
      </c>
      <c r="L9377" t="s">
        <v>27250</v>
      </c>
      <c r="M9377" t="s">
        <v>27251</v>
      </c>
      <c r="N9377" t="s">
        <v>27252</v>
      </c>
      <c r="Q9377" s="1">
        <v>44846</v>
      </c>
      <c r="R9377" t="s">
        <v>27253</v>
      </c>
      <c r="S9377" t="s">
        <v>27254</v>
      </c>
      <c r="T9377" t="s">
        <v>27265</v>
      </c>
    </row>
    <row r="9378" spans="1:20" x14ac:dyDescent="0.3">
      <c r="A9378" t="str">
        <f>"0611837491025"</f>
        <v>0611837491025</v>
      </c>
      <c r="B9378" t="str">
        <f>"MQ0312"</f>
        <v>MQ0312</v>
      </c>
      <c r="C9378" t="s">
        <v>45448</v>
      </c>
      <c r="D9378" t="s">
        <v>27267</v>
      </c>
      <c r="E9378" t="str">
        <f t="shared" si="146"/>
        <v>001390</v>
      </c>
      <c r="F9378" t="s">
        <v>27246</v>
      </c>
      <c r="G9378" t="s">
        <v>27247</v>
      </c>
      <c r="H9378" t="s">
        <v>27248</v>
      </c>
      <c r="I9378" t="s">
        <v>45449</v>
      </c>
      <c r="J9378" t="s">
        <v>18770</v>
      </c>
      <c r="L9378" t="s">
        <v>27250</v>
      </c>
      <c r="M9378" t="s">
        <v>27251</v>
      </c>
      <c r="N9378" t="s">
        <v>27252</v>
      </c>
      <c r="Q9378" s="1">
        <v>44538</v>
      </c>
      <c r="R9378" t="s">
        <v>27253</v>
      </c>
      <c r="S9378" t="s">
        <v>27254</v>
      </c>
      <c r="T9378" t="s">
        <v>27269</v>
      </c>
    </row>
    <row r="9379" spans="1:20" x14ac:dyDescent="0.3">
      <c r="A9379" t="str">
        <f>"0611837492025"</f>
        <v>0611837492025</v>
      </c>
      <c r="B9379" t="str">
        <f>"MQ9010"</f>
        <v>MQ9010</v>
      </c>
      <c r="C9379" t="s">
        <v>45450</v>
      </c>
      <c r="D9379" t="s">
        <v>27267</v>
      </c>
      <c r="E9379" t="str">
        <f t="shared" si="146"/>
        <v>001390</v>
      </c>
      <c r="F9379" t="s">
        <v>27246</v>
      </c>
      <c r="G9379" t="s">
        <v>27247</v>
      </c>
      <c r="H9379" t="s">
        <v>27248</v>
      </c>
      <c r="I9379" t="s">
        <v>45451</v>
      </c>
      <c r="J9379" t="s">
        <v>18774</v>
      </c>
      <c r="L9379" t="s">
        <v>27250</v>
      </c>
      <c r="M9379" t="s">
        <v>27251</v>
      </c>
      <c r="N9379" t="s">
        <v>27252</v>
      </c>
      <c r="Q9379" s="1">
        <v>44538</v>
      </c>
      <c r="R9379" t="s">
        <v>27253</v>
      </c>
      <c r="S9379" t="s">
        <v>27254</v>
      </c>
      <c r="T9379" t="s">
        <v>27269</v>
      </c>
    </row>
    <row r="9380" spans="1:20" x14ac:dyDescent="0.3">
      <c r="A9380" t="str">
        <f>"0611863449100"</f>
        <v>0611863449100</v>
      </c>
      <c r="B9380" t="str">
        <f>"CN5295"</f>
        <v>CN5295</v>
      </c>
      <c r="C9380" t="s">
        <v>45450</v>
      </c>
      <c r="D9380" t="s">
        <v>27335</v>
      </c>
      <c r="E9380" t="str">
        <f t="shared" si="146"/>
        <v>001390</v>
      </c>
      <c r="F9380" t="s">
        <v>27246</v>
      </c>
      <c r="G9380" t="s">
        <v>27247</v>
      </c>
      <c r="H9380" t="s">
        <v>27248</v>
      </c>
      <c r="I9380" t="s">
        <v>45452</v>
      </c>
      <c r="J9380" t="s">
        <v>18772</v>
      </c>
      <c r="L9380" t="s">
        <v>27250</v>
      </c>
      <c r="M9380" t="s">
        <v>27251</v>
      </c>
      <c r="N9380" t="s">
        <v>27252</v>
      </c>
      <c r="Q9380" s="1">
        <v>44846</v>
      </c>
      <c r="R9380" t="s">
        <v>27253</v>
      </c>
      <c r="S9380" t="s">
        <v>27254</v>
      </c>
      <c r="T9380" t="s">
        <v>27255</v>
      </c>
    </row>
    <row r="9381" spans="1:20" x14ac:dyDescent="0.3">
      <c r="A9381" t="str">
        <f>"0611863450050"</f>
        <v>0611863450050</v>
      </c>
      <c r="B9381" t="str">
        <f>"CR4416"</f>
        <v>CR4416</v>
      </c>
      <c r="C9381" t="s">
        <v>45450</v>
      </c>
      <c r="D9381" t="s">
        <v>27263</v>
      </c>
      <c r="E9381" t="str">
        <f t="shared" si="146"/>
        <v>001390</v>
      </c>
      <c r="F9381" t="s">
        <v>27246</v>
      </c>
      <c r="G9381" t="s">
        <v>27247</v>
      </c>
      <c r="H9381" t="s">
        <v>27248</v>
      </c>
      <c r="I9381" t="s">
        <v>45453</v>
      </c>
      <c r="J9381" t="s">
        <v>18776</v>
      </c>
      <c r="L9381" t="s">
        <v>27250</v>
      </c>
      <c r="M9381" t="s">
        <v>27251</v>
      </c>
      <c r="N9381" t="s">
        <v>27252</v>
      </c>
      <c r="Q9381" s="1">
        <v>44846</v>
      </c>
      <c r="R9381" t="s">
        <v>27253</v>
      </c>
      <c r="S9381" t="s">
        <v>27254</v>
      </c>
      <c r="T9381" t="s">
        <v>27265</v>
      </c>
    </row>
    <row r="9382" spans="1:20" x14ac:dyDescent="0.3">
      <c r="A9382" t="str">
        <f>"0611837494025"</f>
        <v>0611837494025</v>
      </c>
      <c r="B9382" t="str">
        <f>"MC0586"</f>
        <v>MC0586</v>
      </c>
      <c r="C9382" t="s">
        <v>45454</v>
      </c>
      <c r="D9382" t="s">
        <v>27267</v>
      </c>
      <c r="E9382" t="str">
        <f t="shared" si="146"/>
        <v>001390</v>
      </c>
      <c r="F9382" t="s">
        <v>27246</v>
      </c>
      <c r="G9382" t="s">
        <v>27247</v>
      </c>
      <c r="H9382" t="s">
        <v>27248</v>
      </c>
      <c r="I9382" t="s">
        <v>45455</v>
      </c>
      <c r="J9382" t="s">
        <v>18778</v>
      </c>
      <c r="L9382" t="s">
        <v>27250</v>
      </c>
      <c r="M9382" t="s">
        <v>27251</v>
      </c>
      <c r="N9382" t="s">
        <v>27252</v>
      </c>
      <c r="Q9382" s="1">
        <v>44538</v>
      </c>
      <c r="R9382" t="s">
        <v>27253</v>
      </c>
      <c r="S9382" t="s">
        <v>27254</v>
      </c>
      <c r="T9382" t="s">
        <v>27269</v>
      </c>
    </row>
    <row r="9383" spans="1:20" x14ac:dyDescent="0.3">
      <c r="A9383" t="str">
        <f>"0611857059025"</f>
        <v>0611857059025</v>
      </c>
      <c r="B9383" t="str">
        <f>"MQ0800"</f>
        <v>MQ0800</v>
      </c>
      <c r="C9383" t="s">
        <v>45456</v>
      </c>
      <c r="D9383" t="s">
        <v>27267</v>
      </c>
      <c r="E9383" t="str">
        <f t="shared" si="146"/>
        <v>001390</v>
      </c>
      <c r="F9383" t="s">
        <v>27246</v>
      </c>
      <c r="G9383" t="s">
        <v>27247</v>
      </c>
      <c r="H9383" t="s">
        <v>27248</v>
      </c>
      <c r="I9383" t="s">
        <v>45457</v>
      </c>
      <c r="J9383" t="s">
        <v>18780</v>
      </c>
      <c r="L9383" t="s">
        <v>27250</v>
      </c>
      <c r="M9383" t="s">
        <v>27251</v>
      </c>
      <c r="N9383" t="s">
        <v>27252</v>
      </c>
      <c r="Q9383" s="1">
        <v>44812</v>
      </c>
      <c r="R9383" t="s">
        <v>27253</v>
      </c>
      <c r="S9383" t="s">
        <v>27254</v>
      </c>
      <c r="T9383" t="s">
        <v>27269</v>
      </c>
    </row>
    <row r="9384" spans="1:20" x14ac:dyDescent="0.3">
      <c r="A9384" t="str">
        <f>"0611837495100"</f>
        <v>0611837495100</v>
      </c>
      <c r="B9384" t="str">
        <f>"LC9157"</f>
        <v>LC9157</v>
      </c>
      <c r="C9384" t="s">
        <v>45458</v>
      </c>
      <c r="D9384" t="s">
        <v>27245</v>
      </c>
      <c r="E9384" t="str">
        <f t="shared" si="146"/>
        <v>001390</v>
      </c>
      <c r="F9384" t="s">
        <v>27246</v>
      </c>
      <c r="G9384" t="s">
        <v>27247</v>
      </c>
      <c r="H9384" t="s">
        <v>27248</v>
      </c>
      <c r="I9384" t="s">
        <v>45459</v>
      </c>
      <c r="J9384" t="s">
        <v>18782</v>
      </c>
      <c r="L9384" t="s">
        <v>27250</v>
      </c>
      <c r="M9384" t="s">
        <v>27251</v>
      </c>
      <c r="N9384" t="s">
        <v>27252</v>
      </c>
      <c r="Q9384" s="1">
        <v>44538</v>
      </c>
      <c r="R9384" t="s">
        <v>27253</v>
      </c>
      <c r="S9384" t="s">
        <v>27254</v>
      </c>
      <c r="T9384" t="s">
        <v>27255</v>
      </c>
    </row>
    <row r="9385" spans="1:20" x14ac:dyDescent="0.3">
      <c r="A9385" t="str">
        <f>"0611863451100"</f>
        <v>0611863451100</v>
      </c>
      <c r="B9385" t="str">
        <f>"CN5296"</f>
        <v>CN5296</v>
      </c>
      <c r="C9385" t="s">
        <v>45460</v>
      </c>
      <c r="D9385" t="s">
        <v>27335</v>
      </c>
      <c r="E9385" t="str">
        <f t="shared" si="146"/>
        <v>001390</v>
      </c>
      <c r="F9385" t="s">
        <v>27246</v>
      </c>
      <c r="G9385" t="s">
        <v>27247</v>
      </c>
      <c r="H9385" t="s">
        <v>27248</v>
      </c>
      <c r="I9385" t="s">
        <v>45461</v>
      </c>
      <c r="J9385" t="s">
        <v>18784</v>
      </c>
      <c r="L9385" t="s">
        <v>27250</v>
      </c>
      <c r="M9385" t="s">
        <v>27251</v>
      </c>
      <c r="N9385" t="s">
        <v>27252</v>
      </c>
      <c r="Q9385" s="1">
        <v>44846</v>
      </c>
      <c r="R9385" t="s">
        <v>27253</v>
      </c>
      <c r="S9385" t="s">
        <v>27254</v>
      </c>
      <c r="T9385" t="s">
        <v>27255</v>
      </c>
    </row>
    <row r="9386" spans="1:20" x14ac:dyDescent="0.3">
      <c r="A9386" t="str">
        <f>"0611837496025"</f>
        <v>0611837496025</v>
      </c>
      <c r="B9386" t="str">
        <f>"MC0585"</f>
        <v>MC0585</v>
      </c>
      <c r="C9386" t="s">
        <v>45462</v>
      </c>
      <c r="D9386" t="s">
        <v>27267</v>
      </c>
      <c r="E9386" t="str">
        <f t="shared" si="146"/>
        <v>001390</v>
      </c>
      <c r="F9386" t="s">
        <v>27246</v>
      </c>
      <c r="G9386" t="s">
        <v>27247</v>
      </c>
      <c r="H9386" t="s">
        <v>27248</v>
      </c>
      <c r="I9386" t="s">
        <v>45463</v>
      </c>
      <c r="J9386" t="s">
        <v>18786</v>
      </c>
      <c r="L9386" t="s">
        <v>27250</v>
      </c>
      <c r="M9386" t="s">
        <v>27251</v>
      </c>
      <c r="N9386" t="s">
        <v>27252</v>
      </c>
      <c r="Q9386" s="1">
        <v>44538</v>
      </c>
      <c r="R9386" t="s">
        <v>27253</v>
      </c>
      <c r="S9386" t="s">
        <v>27254</v>
      </c>
      <c r="T9386" t="s">
        <v>27269</v>
      </c>
    </row>
    <row r="9387" spans="1:20" x14ac:dyDescent="0.3">
      <c r="A9387" t="str">
        <f>"0611863452050"</f>
        <v>0611863452050</v>
      </c>
      <c r="B9387" t="str">
        <f>"CR4415"</f>
        <v>CR4415</v>
      </c>
      <c r="C9387" t="s">
        <v>45464</v>
      </c>
      <c r="D9387" t="s">
        <v>27286</v>
      </c>
      <c r="E9387" t="str">
        <f t="shared" si="146"/>
        <v>001390</v>
      </c>
      <c r="F9387" t="s">
        <v>27246</v>
      </c>
      <c r="G9387" t="s">
        <v>27247</v>
      </c>
      <c r="H9387" t="s">
        <v>27248</v>
      </c>
      <c r="I9387" t="s">
        <v>45465</v>
      </c>
      <c r="J9387" t="s">
        <v>18788</v>
      </c>
      <c r="L9387" t="s">
        <v>27250</v>
      </c>
      <c r="M9387" t="s">
        <v>27251</v>
      </c>
      <c r="N9387" t="s">
        <v>27252</v>
      </c>
      <c r="Q9387" s="1">
        <v>44846</v>
      </c>
      <c r="R9387" t="s">
        <v>27253</v>
      </c>
      <c r="S9387" t="s">
        <v>27254</v>
      </c>
      <c r="T9387" t="s">
        <v>27265</v>
      </c>
    </row>
    <row r="9388" spans="1:20" x14ac:dyDescent="0.3">
      <c r="A9388" t="str">
        <f>"0611884361025"</f>
        <v>0611884361025</v>
      </c>
      <c r="B9388" t="str">
        <f>"MQ0840"</f>
        <v>MQ0840</v>
      </c>
      <c r="C9388" t="s">
        <v>45466</v>
      </c>
      <c r="D9388" t="s">
        <v>27267</v>
      </c>
      <c r="E9388" t="str">
        <f t="shared" si="146"/>
        <v>001390</v>
      </c>
      <c r="F9388" t="s">
        <v>27246</v>
      </c>
      <c r="G9388" t="s">
        <v>27247</v>
      </c>
      <c r="H9388" t="s">
        <v>27248</v>
      </c>
      <c r="I9388" t="s">
        <v>45467</v>
      </c>
      <c r="J9388" t="s">
        <v>18790</v>
      </c>
      <c r="L9388" t="s">
        <v>27430</v>
      </c>
      <c r="M9388" t="s">
        <v>27251</v>
      </c>
      <c r="N9388" t="s">
        <v>27252</v>
      </c>
      <c r="Q9388" s="1">
        <v>45250</v>
      </c>
      <c r="R9388" t="s">
        <v>27253</v>
      </c>
      <c r="S9388" t="s">
        <v>27254</v>
      </c>
      <c r="T9388" t="s">
        <v>27269</v>
      </c>
    </row>
    <row r="9389" spans="1:20" x14ac:dyDescent="0.3">
      <c r="A9389" t="str">
        <f>"0611837498100"</f>
        <v>0611837498100</v>
      </c>
      <c r="B9389" t="str">
        <f>"LK6356"</f>
        <v>LK6356</v>
      </c>
      <c r="C9389" t="s">
        <v>45468</v>
      </c>
      <c r="D9389" t="s">
        <v>27245</v>
      </c>
      <c r="E9389" t="str">
        <f t="shared" si="146"/>
        <v>001390</v>
      </c>
      <c r="F9389" t="s">
        <v>27246</v>
      </c>
      <c r="G9389" t="s">
        <v>27247</v>
      </c>
      <c r="H9389" t="s">
        <v>27248</v>
      </c>
      <c r="I9389" t="s">
        <v>45469</v>
      </c>
      <c r="J9389" t="s">
        <v>18792</v>
      </c>
      <c r="L9389" t="s">
        <v>27250</v>
      </c>
      <c r="M9389" t="s">
        <v>27251</v>
      </c>
      <c r="N9389" t="s">
        <v>27252</v>
      </c>
      <c r="Q9389" s="1">
        <v>44538</v>
      </c>
      <c r="R9389" t="s">
        <v>27253</v>
      </c>
      <c r="S9389" t="s">
        <v>27254</v>
      </c>
      <c r="T9389" t="s">
        <v>27255</v>
      </c>
    </row>
    <row r="9390" spans="1:20" x14ac:dyDescent="0.3">
      <c r="A9390" t="str">
        <f>"0611837499100"</f>
        <v>0611837499100</v>
      </c>
      <c r="B9390" t="str">
        <f>"LC5805"</f>
        <v>LC5805</v>
      </c>
      <c r="C9390" t="s">
        <v>45470</v>
      </c>
      <c r="D9390" t="s">
        <v>27245</v>
      </c>
      <c r="E9390" t="str">
        <f t="shared" si="146"/>
        <v>001390</v>
      </c>
      <c r="F9390" t="s">
        <v>27246</v>
      </c>
      <c r="G9390" t="s">
        <v>27247</v>
      </c>
      <c r="H9390" t="s">
        <v>27248</v>
      </c>
      <c r="I9390" t="s">
        <v>45471</v>
      </c>
      <c r="J9390" t="s">
        <v>18794</v>
      </c>
      <c r="L9390" t="s">
        <v>27250</v>
      </c>
      <c r="M9390" t="s">
        <v>27251</v>
      </c>
      <c r="N9390" t="s">
        <v>27252</v>
      </c>
      <c r="Q9390" s="1">
        <v>44538</v>
      </c>
      <c r="R9390" t="s">
        <v>27253</v>
      </c>
      <c r="S9390" t="s">
        <v>27254</v>
      </c>
      <c r="T9390" t="s">
        <v>27255</v>
      </c>
    </row>
    <row r="9391" spans="1:20" x14ac:dyDescent="0.3">
      <c r="A9391" t="str">
        <f>"0611884362025"</f>
        <v>0611884362025</v>
      </c>
      <c r="B9391" t="str">
        <f>"MC4470"</f>
        <v>MC4470</v>
      </c>
      <c r="C9391" t="s">
        <v>45470</v>
      </c>
      <c r="D9391" t="s">
        <v>27267</v>
      </c>
      <c r="E9391" t="str">
        <f t="shared" si="146"/>
        <v>001390</v>
      </c>
      <c r="F9391" t="s">
        <v>27246</v>
      </c>
      <c r="G9391" t="s">
        <v>27247</v>
      </c>
      <c r="H9391" t="s">
        <v>27248</v>
      </c>
      <c r="I9391" t="s">
        <v>45472</v>
      </c>
      <c r="J9391" t="s">
        <v>18796</v>
      </c>
      <c r="L9391" t="s">
        <v>27430</v>
      </c>
      <c r="M9391" t="s">
        <v>27251</v>
      </c>
      <c r="N9391" t="s">
        <v>27252</v>
      </c>
      <c r="Q9391" s="1">
        <v>45250</v>
      </c>
      <c r="R9391" t="s">
        <v>27253</v>
      </c>
      <c r="S9391" t="s">
        <v>27254</v>
      </c>
      <c r="T9391" t="s">
        <v>27269</v>
      </c>
    </row>
    <row r="9392" spans="1:20" x14ac:dyDescent="0.3">
      <c r="A9392" t="str">
        <f>"0611884363025"</f>
        <v>0611884363025</v>
      </c>
      <c r="B9392" t="str">
        <f>"MC4498"</f>
        <v>MC4498</v>
      </c>
      <c r="C9392" t="s">
        <v>45473</v>
      </c>
      <c r="D9392" t="s">
        <v>27267</v>
      </c>
      <c r="E9392" t="str">
        <f t="shared" si="146"/>
        <v>001390</v>
      </c>
      <c r="F9392" t="s">
        <v>27246</v>
      </c>
      <c r="G9392" t="s">
        <v>27247</v>
      </c>
      <c r="H9392" t="s">
        <v>27248</v>
      </c>
      <c r="I9392" t="s">
        <v>45474</v>
      </c>
      <c r="J9392" t="s">
        <v>17730</v>
      </c>
      <c r="L9392" t="s">
        <v>27430</v>
      </c>
      <c r="M9392" t="s">
        <v>27251</v>
      </c>
      <c r="N9392" t="s">
        <v>27252</v>
      </c>
      <c r="Q9392" s="1">
        <v>45250</v>
      </c>
      <c r="R9392" t="s">
        <v>27253</v>
      </c>
      <c r="S9392" t="s">
        <v>27254</v>
      </c>
      <c r="T9392" t="s">
        <v>27269</v>
      </c>
    </row>
    <row r="9393" spans="1:20" x14ac:dyDescent="0.3">
      <c r="A9393" t="str">
        <f>"0611884364100"</f>
        <v>0611884364100</v>
      </c>
      <c r="B9393" t="str">
        <f>"LC8557"</f>
        <v>LC8557</v>
      </c>
      <c r="C9393" t="s">
        <v>45475</v>
      </c>
      <c r="D9393" t="s">
        <v>27245</v>
      </c>
      <c r="E9393" t="str">
        <f t="shared" si="146"/>
        <v>001390</v>
      </c>
      <c r="F9393" t="s">
        <v>27246</v>
      </c>
      <c r="G9393" t="s">
        <v>27247</v>
      </c>
      <c r="H9393" t="s">
        <v>27248</v>
      </c>
      <c r="I9393" t="s">
        <v>45476</v>
      </c>
      <c r="J9393" t="s">
        <v>17746</v>
      </c>
      <c r="L9393" t="s">
        <v>27430</v>
      </c>
      <c r="M9393" t="s">
        <v>27251</v>
      </c>
      <c r="N9393" t="s">
        <v>27252</v>
      </c>
      <c r="Q9393" s="1">
        <v>45250</v>
      </c>
      <c r="R9393" t="s">
        <v>27253</v>
      </c>
      <c r="S9393" t="s">
        <v>27254</v>
      </c>
      <c r="T9393" t="s">
        <v>27255</v>
      </c>
    </row>
    <row r="9394" spans="1:20" x14ac:dyDescent="0.3">
      <c r="A9394" t="str">
        <f>"0611884365100"</f>
        <v>0611884365100</v>
      </c>
      <c r="B9394" t="str">
        <f>"LQ6297"</f>
        <v>LQ6297</v>
      </c>
      <c r="C9394" t="s">
        <v>45477</v>
      </c>
      <c r="D9394" t="s">
        <v>27245</v>
      </c>
      <c r="E9394" t="str">
        <f t="shared" si="146"/>
        <v>001390</v>
      </c>
      <c r="F9394" t="s">
        <v>27246</v>
      </c>
      <c r="G9394" t="s">
        <v>27247</v>
      </c>
      <c r="H9394" t="s">
        <v>27248</v>
      </c>
      <c r="I9394" t="s">
        <v>45478</v>
      </c>
      <c r="J9394" t="s">
        <v>18798</v>
      </c>
      <c r="L9394" t="s">
        <v>27430</v>
      </c>
      <c r="M9394" t="s">
        <v>27251</v>
      </c>
      <c r="N9394" t="s">
        <v>27252</v>
      </c>
      <c r="Q9394" s="1">
        <v>45250</v>
      </c>
      <c r="R9394" t="s">
        <v>27253</v>
      </c>
      <c r="S9394" t="s">
        <v>27254</v>
      </c>
      <c r="T9394" t="s">
        <v>27255</v>
      </c>
    </row>
    <row r="9395" spans="1:20" x14ac:dyDescent="0.3">
      <c r="A9395" t="str">
        <f>"0611837516100"</f>
        <v>0611837516100</v>
      </c>
      <c r="B9395" t="str">
        <f>"LQ6072"</f>
        <v>LQ6072</v>
      </c>
      <c r="C9395" t="s">
        <v>45479</v>
      </c>
      <c r="D9395" t="s">
        <v>27245</v>
      </c>
      <c r="E9395" t="str">
        <f t="shared" si="146"/>
        <v>001390</v>
      </c>
      <c r="F9395" t="s">
        <v>27246</v>
      </c>
      <c r="G9395" t="s">
        <v>27247</v>
      </c>
      <c r="H9395" t="s">
        <v>27248</v>
      </c>
      <c r="I9395" t="s">
        <v>45480</v>
      </c>
      <c r="J9395" t="s">
        <v>18800</v>
      </c>
      <c r="L9395" t="s">
        <v>27250</v>
      </c>
      <c r="M9395" t="s">
        <v>27251</v>
      </c>
      <c r="N9395" t="s">
        <v>27252</v>
      </c>
      <c r="Q9395" s="1">
        <v>44538</v>
      </c>
      <c r="R9395" t="s">
        <v>27253</v>
      </c>
      <c r="S9395" t="s">
        <v>27254</v>
      </c>
      <c r="T9395" t="s">
        <v>27255</v>
      </c>
    </row>
    <row r="9396" spans="1:20" x14ac:dyDescent="0.3">
      <c r="A9396" t="str">
        <f>"0611837517100"</f>
        <v>0611837517100</v>
      </c>
      <c r="B9396" t="str">
        <f>"LQ0959"</f>
        <v>LQ0959</v>
      </c>
      <c r="C9396" t="s">
        <v>45481</v>
      </c>
      <c r="D9396" t="s">
        <v>27245</v>
      </c>
      <c r="E9396" t="str">
        <f t="shared" si="146"/>
        <v>001390</v>
      </c>
      <c r="F9396" t="s">
        <v>27246</v>
      </c>
      <c r="G9396" t="s">
        <v>27247</v>
      </c>
      <c r="H9396" t="s">
        <v>27248</v>
      </c>
      <c r="I9396" t="s">
        <v>45482</v>
      </c>
      <c r="J9396" t="s">
        <v>18802</v>
      </c>
      <c r="L9396" t="s">
        <v>27250</v>
      </c>
      <c r="M9396" t="s">
        <v>27251</v>
      </c>
      <c r="N9396" t="s">
        <v>27252</v>
      </c>
      <c r="Q9396" s="1">
        <v>44538</v>
      </c>
      <c r="R9396" t="s">
        <v>27253</v>
      </c>
      <c r="S9396" t="s">
        <v>27254</v>
      </c>
      <c r="T9396" t="s">
        <v>27255</v>
      </c>
    </row>
    <row r="9397" spans="1:20" x14ac:dyDescent="0.3">
      <c r="A9397" t="str">
        <f>"0611837518100"</f>
        <v>0611837518100</v>
      </c>
      <c r="B9397" t="str">
        <f>"LQ6204"</f>
        <v>LQ6204</v>
      </c>
      <c r="C9397" t="s">
        <v>45483</v>
      </c>
      <c r="D9397" t="s">
        <v>27245</v>
      </c>
      <c r="E9397" t="str">
        <f t="shared" si="146"/>
        <v>001390</v>
      </c>
      <c r="F9397" t="s">
        <v>27246</v>
      </c>
      <c r="G9397" t="s">
        <v>27247</v>
      </c>
      <c r="H9397" t="s">
        <v>27248</v>
      </c>
      <c r="I9397" t="s">
        <v>45484</v>
      </c>
      <c r="J9397" t="s">
        <v>18804</v>
      </c>
      <c r="L9397" t="s">
        <v>27250</v>
      </c>
      <c r="M9397" t="s">
        <v>27251</v>
      </c>
      <c r="N9397" t="s">
        <v>27252</v>
      </c>
      <c r="Q9397" s="1">
        <v>44538</v>
      </c>
      <c r="R9397" t="s">
        <v>27253</v>
      </c>
      <c r="S9397" t="s">
        <v>27254</v>
      </c>
      <c r="T9397" t="s">
        <v>27255</v>
      </c>
    </row>
    <row r="9398" spans="1:20" x14ac:dyDescent="0.3">
      <c r="A9398" t="str">
        <f>"0611837520100"</f>
        <v>0611837520100</v>
      </c>
      <c r="B9398" t="str">
        <f>"LQ0960"</f>
        <v>LQ0960</v>
      </c>
      <c r="C9398" t="s">
        <v>45485</v>
      </c>
      <c r="D9398" t="s">
        <v>27245</v>
      </c>
      <c r="E9398" t="str">
        <f t="shared" si="146"/>
        <v>001390</v>
      </c>
      <c r="F9398" t="s">
        <v>27246</v>
      </c>
      <c r="G9398" t="s">
        <v>27247</v>
      </c>
      <c r="H9398" t="s">
        <v>27248</v>
      </c>
      <c r="I9398" t="s">
        <v>45486</v>
      </c>
      <c r="J9398" t="s">
        <v>18806</v>
      </c>
      <c r="L9398" t="s">
        <v>27250</v>
      </c>
      <c r="M9398" t="s">
        <v>27251</v>
      </c>
      <c r="N9398" t="s">
        <v>27252</v>
      </c>
      <c r="Q9398" s="1">
        <v>44538</v>
      </c>
      <c r="R9398" t="s">
        <v>27253</v>
      </c>
      <c r="S9398" t="s">
        <v>27254</v>
      </c>
      <c r="T9398" t="s">
        <v>27255</v>
      </c>
    </row>
    <row r="9399" spans="1:20" x14ac:dyDescent="0.3">
      <c r="A9399" t="str">
        <f>"0611837521100"</f>
        <v>0611837521100</v>
      </c>
      <c r="B9399" t="str">
        <f>"LQ0961"</f>
        <v>LQ0961</v>
      </c>
      <c r="C9399" t="s">
        <v>45487</v>
      </c>
      <c r="D9399" t="s">
        <v>27245</v>
      </c>
      <c r="E9399" t="str">
        <f t="shared" si="146"/>
        <v>001390</v>
      </c>
      <c r="F9399" t="s">
        <v>27246</v>
      </c>
      <c r="G9399" t="s">
        <v>27247</v>
      </c>
      <c r="H9399" t="s">
        <v>27248</v>
      </c>
      <c r="I9399" t="s">
        <v>45488</v>
      </c>
      <c r="J9399" t="s">
        <v>18808</v>
      </c>
      <c r="L9399" t="s">
        <v>27250</v>
      </c>
      <c r="M9399" t="s">
        <v>27251</v>
      </c>
      <c r="N9399" t="s">
        <v>27252</v>
      </c>
      <c r="Q9399" s="1">
        <v>44538</v>
      </c>
      <c r="R9399" t="s">
        <v>27253</v>
      </c>
      <c r="S9399" t="s">
        <v>27254</v>
      </c>
      <c r="T9399" t="s">
        <v>27255</v>
      </c>
    </row>
    <row r="9400" spans="1:20" x14ac:dyDescent="0.3">
      <c r="A9400" t="str">
        <f>"0611884366100"</f>
        <v>0611884366100</v>
      </c>
      <c r="B9400" t="str">
        <f>"LQ6299"</f>
        <v>LQ6299</v>
      </c>
      <c r="C9400" t="s">
        <v>45489</v>
      </c>
      <c r="D9400" t="s">
        <v>27245</v>
      </c>
      <c r="E9400" t="str">
        <f t="shared" si="146"/>
        <v>001390</v>
      </c>
      <c r="F9400" t="s">
        <v>27246</v>
      </c>
      <c r="G9400" t="s">
        <v>27247</v>
      </c>
      <c r="H9400" t="s">
        <v>27248</v>
      </c>
      <c r="I9400" t="s">
        <v>45490</v>
      </c>
      <c r="J9400" t="s">
        <v>18810</v>
      </c>
      <c r="L9400" t="s">
        <v>27430</v>
      </c>
      <c r="M9400" t="s">
        <v>27251</v>
      </c>
      <c r="N9400" t="s">
        <v>27252</v>
      </c>
      <c r="Q9400" s="1">
        <v>45250</v>
      </c>
      <c r="R9400" t="s">
        <v>27253</v>
      </c>
      <c r="S9400" t="s">
        <v>27254</v>
      </c>
      <c r="T9400" t="s">
        <v>27255</v>
      </c>
    </row>
    <row r="9401" spans="1:20" x14ac:dyDescent="0.3">
      <c r="A9401" t="str">
        <f>"0611837522100"</f>
        <v>0611837522100</v>
      </c>
      <c r="B9401" t="str">
        <f>"LQ6102"</f>
        <v>LQ6102</v>
      </c>
      <c r="C9401" t="s">
        <v>45491</v>
      </c>
      <c r="D9401" t="s">
        <v>27245</v>
      </c>
      <c r="E9401" t="str">
        <f t="shared" si="146"/>
        <v>001390</v>
      </c>
      <c r="F9401" t="s">
        <v>27246</v>
      </c>
      <c r="G9401" t="s">
        <v>27247</v>
      </c>
      <c r="H9401" t="s">
        <v>27248</v>
      </c>
      <c r="I9401" t="s">
        <v>45492</v>
      </c>
      <c r="J9401" t="s">
        <v>18812</v>
      </c>
      <c r="L9401" t="s">
        <v>27250</v>
      </c>
      <c r="M9401" t="s">
        <v>27251</v>
      </c>
      <c r="N9401" t="s">
        <v>27252</v>
      </c>
      <c r="Q9401" s="1">
        <v>44538</v>
      </c>
      <c r="R9401" t="s">
        <v>27253</v>
      </c>
      <c r="S9401" t="s">
        <v>27254</v>
      </c>
      <c r="T9401" t="s">
        <v>27255</v>
      </c>
    </row>
    <row r="9402" spans="1:20" x14ac:dyDescent="0.3">
      <c r="A9402" t="str">
        <f>"0611837523100"</f>
        <v>0611837523100</v>
      </c>
      <c r="B9402" t="str">
        <f>"LQ6075"</f>
        <v>LQ6075</v>
      </c>
      <c r="C9402" t="s">
        <v>45493</v>
      </c>
      <c r="D9402" t="s">
        <v>27245</v>
      </c>
      <c r="E9402" t="str">
        <f t="shared" si="146"/>
        <v>001390</v>
      </c>
      <c r="F9402" t="s">
        <v>27246</v>
      </c>
      <c r="G9402" t="s">
        <v>27247</v>
      </c>
      <c r="H9402" t="s">
        <v>27248</v>
      </c>
      <c r="I9402" t="s">
        <v>45494</v>
      </c>
      <c r="J9402" t="s">
        <v>18814</v>
      </c>
      <c r="L9402" t="s">
        <v>27250</v>
      </c>
      <c r="M9402" t="s">
        <v>27251</v>
      </c>
      <c r="N9402" t="s">
        <v>27252</v>
      </c>
      <c r="Q9402" s="1">
        <v>44538</v>
      </c>
      <c r="R9402" t="s">
        <v>27253</v>
      </c>
      <c r="S9402" t="s">
        <v>27254</v>
      </c>
      <c r="T9402" t="s">
        <v>27255</v>
      </c>
    </row>
    <row r="9403" spans="1:20" x14ac:dyDescent="0.3">
      <c r="A9403" t="str">
        <f>"0611837524025"</f>
        <v>0611837524025</v>
      </c>
      <c r="B9403" t="str">
        <f>"MQ5155"</f>
        <v>MQ5155</v>
      </c>
      <c r="C9403" t="s">
        <v>45495</v>
      </c>
      <c r="D9403" t="s">
        <v>27267</v>
      </c>
      <c r="E9403" t="str">
        <f t="shared" si="146"/>
        <v>001390</v>
      </c>
      <c r="F9403" t="s">
        <v>27246</v>
      </c>
      <c r="G9403" t="s">
        <v>27247</v>
      </c>
      <c r="H9403" t="s">
        <v>27248</v>
      </c>
      <c r="I9403" t="s">
        <v>45496</v>
      </c>
      <c r="J9403" t="s">
        <v>18816</v>
      </c>
      <c r="L9403" t="s">
        <v>27250</v>
      </c>
      <c r="M9403" t="s">
        <v>27251</v>
      </c>
      <c r="N9403" t="s">
        <v>27252</v>
      </c>
      <c r="Q9403" s="1">
        <v>44538</v>
      </c>
      <c r="R9403" t="s">
        <v>27253</v>
      </c>
      <c r="S9403" t="s">
        <v>27254</v>
      </c>
      <c r="T9403" t="s">
        <v>27269</v>
      </c>
    </row>
    <row r="9404" spans="1:20" x14ac:dyDescent="0.3">
      <c r="A9404" t="str">
        <f>"0611837526100"</f>
        <v>0611837526100</v>
      </c>
      <c r="B9404" t="str">
        <f>"LK3960"</f>
        <v>LK3960</v>
      </c>
      <c r="C9404" t="s">
        <v>45497</v>
      </c>
      <c r="D9404" t="s">
        <v>27245</v>
      </c>
      <c r="E9404" t="str">
        <f t="shared" si="146"/>
        <v>001390</v>
      </c>
      <c r="F9404" t="s">
        <v>27246</v>
      </c>
      <c r="G9404" t="s">
        <v>27247</v>
      </c>
      <c r="H9404" t="s">
        <v>27248</v>
      </c>
      <c r="I9404" t="s">
        <v>45498</v>
      </c>
      <c r="J9404" t="s">
        <v>18818</v>
      </c>
      <c r="L9404" t="s">
        <v>27250</v>
      </c>
      <c r="M9404" t="s">
        <v>27251</v>
      </c>
      <c r="N9404" t="s">
        <v>27252</v>
      </c>
      <c r="Q9404" s="1">
        <v>44538</v>
      </c>
      <c r="R9404" t="s">
        <v>27253</v>
      </c>
      <c r="S9404" t="s">
        <v>27254</v>
      </c>
      <c r="T9404" t="s">
        <v>27255</v>
      </c>
    </row>
    <row r="9405" spans="1:20" x14ac:dyDescent="0.3">
      <c r="A9405" t="str">
        <f>"0611863453050"</f>
        <v>0611863453050</v>
      </c>
      <c r="B9405" t="str">
        <f>"CR4002"</f>
        <v>CR4002</v>
      </c>
      <c r="C9405" t="s">
        <v>45499</v>
      </c>
      <c r="D9405" t="s">
        <v>27263</v>
      </c>
      <c r="E9405" t="str">
        <f t="shared" si="146"/>
        <v>001390</v>
      </c>
      <c r="F9405" t="s">
        <v>27246</v>
      </c>
      <c r="G9405" t="s">
        <v>27247</v>
      </c>
      <c r="H9405" t="s">
        <v>27248</v>
      </c>
      <c r="I9405" t="s">
        <v>45500</v>
      </c>
      <c r="J9405" t="s">
        <v>18820</v>
      </c>
      <c r="L9405" t="s">
        <v>27250</v>
      </c>
      <c r="M9405" t="s">
        <v>27251</v>
      </c>
      <c r="N9405" t="s">
        <v>27252</v>
      </c>
      <c r="Q9405" s="1">
        <v>44846</v>
      </c>
      <c r="R9405" t="s">
        <v>27253</v>
      </c>
      <c r="S9405" t="s">
        <v>27254</v>
      </c>
      <c r="T9405" t="s">
        <v>27265</v>
      </c>
    </row>
    <row r="9406" spans="1:20" x14ac:dyDescent="0.3">
      <c r="A9406" t="str">
        <f>"0611863454050"</f>
        <v>0611863454050</v>
      </c>
      <c r="B9406" t="str">
        <f>"CR4990"</f>
        <v>CR4990</v>
      </c>
      <c r="C9406" t="s">
        <v>45501</v>
      </c>
      <c r="D9406" t="s">
        <v>27263</v>
      </c>
      <c r="E9406" t="str">
        <f t="shared" si="146"/>
        <v>001390</v>
      </c>
      <c r="F9406" t="s">
        <v>27246</v>
      </c>
      <c r="G9406" t="s">
        <v>27247</v>
      </c>
      <c r="H9406" t="s">
        <v>27248</v>
      </c>
      <c r="I9406" t="s">
        <v>45502</v>
      </c>
      <c r="J9406" t="s">
        <v>18822</v>
      </c>
      <c r="L9406" t="s">
        <v>27250</v>
      </c>
      <c r="M9406" t="s">
        <v>27251</v>
      </c>
      <c r="N9406" t="s">
        <v>27252</v>
      </c>
      <c r="Q9406" s="1">
        <v>44846</v>
      </c>
      <c r="R9406" t="s">
        <v>27253</v>
      </c>
      <c r="S9406" t="s">
        <v>27254</v>
      </c>
      <c r="T9406" t="s">
        <v>27265</v>
      </c>
    </row>
    <row r="9407" spans="1:20" x14ac:dyDescent="0.3">
      <c r="A9407" t="str">
        <f>"0611863455050"</f>
        <v>0611863455050</v>
      </c>
      <c r="B9407" t="str">
        <f>"CR4005"</f>
        <v>CR4005</v>
      </c>
      <c r="C9407" t="s">
        <v>45503</v>
      </c>
      <c r="D9407" t="s">
        <v>27263</v>
      </c>
      <c r="E9407" t="str">
        <f t="shared" si="146"/>
        <v>001390</v>
      </c>
      <c r="F9407" t="s">
        <v>27246</v>
      </c>
      <c r="G9407" t="s">
        <v>27247</v>
      </c>
      <c r="H9407" t="s">
        <v>27248</v>
      </c>
      <c r="I9407" t="s">
        <v>45504</v>
      </c>
      <c r="J9407" t="s">
        <v>18824</v>
      </c>
      <c r="L9407" t="s">
        <v>27250</v>
      </c>
      <c r="M9407" t="s">
        <v>27251</v>
      </c>
      <c r="N9407" t="s">
        <v>27252</v>
      </c>
      <c r="Q9407" s="1">
        <v>44846</v>
      </c>
      <c r="R9407" t="s">
        <v>27253</v>
      </c>
      <c r="S9407" t="s">
        <v>27254</v>
      </c>
      <c r="T9407" t="s">
        <v>27265</v>
      </c>
    </row>
    <row r="9408" spans="1:20" x14ac:dyDescent="0.3">
      <c r="A9408" t="str">
        <f>"0611863456050"</f>
        <v>0611863456050</v>
      </c>
      <c r="B9408" t="str">
        <f>"CR5218"</f>
        <v>CR5218</v>
      </c>
      <c r="C9408" t="s">
        <v>45505</v>
      </c>
      <c r="D9408" t="s">
        <v>27263</v>
      </c>
      <c r="E9408" t="str">
        <f t="shared" si="146"/>
        <v>001390</v>
      </c>
      <c r="F9408" t="s">
        <v>27246</v>
      </c>
      <c r="G9408" t="s">
        <v>27247</v>
      </c>
      <c r="H9408" t="s">
        <v>27248</v>
      </c>
      <c r="I9408" t="s">
        <v>45506</v>
      </c>
      <c r="J9408" t="s">
        <v>18826</v>
      </c>
      <c r="L9408" t="s">
        <v>27250</v>
      </c>
      <c r="M9408" t="s">
        <v>27251</v>
      </c>
      <c r="N9408" t="s">
        <v>27252</v>
      </c>
      <c r="Q9408" s="1">
        <v>44846</v>
      </c>
      <c r="R9408" t="s">
        <v>27253</v>
      </c>
      <c r="S9408" t="s">
        <v>27254</v>
      </c>
      <c r="T9408" t="s">
        <v>27265</v>
      </c>
    </row>
    <row r="9409" spans="1:20" x14ac:dyDescent="0.3">
      <c r="A9409" t="str">
        <f>"0611863457050"</f>
        <v>0611863457050</v>
      </c>
      <c r="B9409" t="str">
        <f>"CR4003"</f>
        <v>CR4003</v>
      </c>
      <c r="C9409" t="s">
        <v>45507</v>
      </c>
      <c r="D9409" t="s">
        <v>27263</v>
      </c>
      <c r="E9409" t="str">
        <f t="shared" si="146"/>
        <v>001390</v>
      </c>
      <c r="F9409" t="s">
        <v>27246</v>
      </c>
      <c r="G9409" t="s">
        <v>27247</v>
      </c>
      <c r="H9409" t="s">
        <v>27248</v>
      </c>
      <c r="I9409" t="s">
        <v>45508</v>
      </c>
      <c r="J9409" t="s">
        <v>18828</v>
      </c>
      <c r="L9409" t="s">
        <v>27250</v>
      </c>
      <c r="M9409" t="s">
        <v>27251</v>
      </c>
      <c r="N9409" t="s">
        <v>27252</v>
      </c>
      <c r="Q9409" s="1">
        <v>44846</v>
      </c>
      <c r="R9409" t="s">
        <v>27253</v>
      </c>
      <c r="S9409" t="s">
        <v>27254</v>
      </c>
      <c r="T9409" t="s">
        <v>27265</v>
      </c>
    </row>
    <row r="9410" spans="1:20" x14ac:dyDescent="0.3">
      <c r="A9410" t="str">
        <f>"0611863458050"</f>
        <v>0611863458050</v>
      </c>
      <c r="B9410" t="str">
        <f>"CR4004"</f>
        <v>CR4004</v>
      </c>
      <c r="C9410" t="s">
        <v>45509</v>
      </c>
      <c r="D9410" t="s">
        <v>27263</v>
      </c>
      <c r="E9410" t="str">
        <f t="shared" ref="E9410:E9473" si="147">"001390"</f>
        <v>001390</v>
      </c>
      <c r="F9410" t="s">
        <v>27246</v>
      </c>
      <c r="G9410" t="s">
        <v>27247</v>
      </c>
      <c r="H9410" t="s">
        <v>27248</v>
      </c>
      <c r="I9410" t="s">
        <v>45510</v>
      </c>
      <c r="J9410" t="s">
        <v>18830</v>
      </c>
      <c r="L9410" t="s">
        <v>27250</v>
      </c>
      <c r="M9410" t="s">
        <v>27251</v>
      </c>
      <c r="N9410" t="s">
        <v>27252</v>
      </c>
      <c r="Q9410" s="1">
        <v>44846</v>
      </c>
      <c r="R9410" t="s">
        <v>27253</v>
      </c>
      <c r="S9410" t="s">
        <v>27254</v>
      </c>
      <c r="T9410" t="s">
        <v>27265</v>
      </c>
    </row>
    <row r="9411" spans="1:20" x14ac:dyDescent="0.3">
      <c r="A9411" t="str">
        <f>"0611837527100"</f>
        <v>0611837527100</v>
      </c>
      <c r="B9411" t="str">
        <f>"LQ0885"</f>
        <v>LQ0885</v>
      </c>
      <c r="C9411" t="s">
        <v>45511</v>
      </c>
      <c r="D9411" t="s">
        <v>27245</v>
      </c>
      <c r="E9411" t="str">
        <f t="shared" si="147"/>
        <v>001390</v>
      </c>
      <c r="F9411" t="s">
        <v>27246</v>
      </c>
      <c r="G9411" t="s">
        <v>27247</v>
      </c>
      <c r="H9411" t="s">
        <v>27248</v>
      </c>
      <c r="I9411" t="s">
        <v>45512</v>
      </c>
      <c r="J9411" t="s">
        <v>18832</v>
      </c>
      <c r="L9411" t="s">
        <v>27250</v>
      </c>
      <c r="M9411" t="s">
        <v>27251</v>
      </c>
      <c r="N9411" t="s">
        <v>27252</v>
      </c>
      <c r="Q9411" s="1">
        <v>44538</v>
      </c>
      <c r="R9411" t="s">
        <v>27253</v>
      </c>
      <c r="S9411" t="s">
        <v>27254</v>
      </c>
      <c r="T9411" t="s">
        <v>27255</v>
      </c>
    </row>
    <row r="9412" spans="1:20" x14ac:dyDescent="0.3">
      <c r="A9412" t="str">
        <f>"0611837528100"</f>
        <v>0611837528100</v>
      </c>
      <c r="B9412" t="str">
        <f>"LS0105"</f>
        <v>LS0105</v>
      </c>
      <c r="C9412" t="s">
        <v>45513</v>
      </c>
      <c r="D9412" t="s">
        <v>27245</v>
      </c>
      <c r="E9412" t="str">
        <f t="shared" si="147"/>
        <v>001390</v>
      </c>
      <c r="F9412" t="s">
        <v>27246</v>
      </c>
      <c r="G9412" t="s">
        <v>27247</v>
      </c>
      <c r="H9412" t="s">
        <v>27248</v>
      </c>
      <c r="I9412" t="s">
        <v>45514</v>
      </c>
      <c r="J9412" t="s">
        <v>18844</v>
      </c>
      <c r="L9412" t="s">
        <v>27250</v>
      </c>
      <c r="M9412" t="s">
        <v>27251</v>
      </c>
      <c r="N9412" t="s">
        <v>27252</v>
      </c>
      <c r="Q9412" s="1">
        <v>44538</v>
      </c>
      <c r="R9412" t="s">
        <v>27253</v>
      </c>
      <c r="S9412" t="s">
        <v>27254</v>
      </c>
      <c r="T9412" t="s">
        <v>27255</v>
      </c>
    </row>
    <row r="9413" spans="1:20" x14ac:dyDescent="0.3">
      <c r="A9413" t="str">
        <f>"0611837529100"</f>
        <v>0611837529100</v>
      </c>
      <c r="B9413" t="str">
        <f>"LK6763"</f>
        <v>LK6763</v>
      </c>
      <c r="C9413" t="s">
        <v>45515</v>
      </c>
      <c r="D9413" t="s">
        <v>27245</v>
      </c>
      <c r="E9413" t="str">
        <f t="shared" si="147"/>
        <v>001390</v>
      </c>
      <c r="F9413" t="s">
        <v>27246</v>
      </c>
      <c r="G9413" t="s">
        <v>27247</v>
      </c>
      <c r="H9413" t="s">
        <v>27248</v>
      </c>
      <c r="I9413" t="s">
        <v>45516</v>
      </c>
      <c r="J9413" t="s">
        <v>18834</v>
      </c>
      <c r="L9413" t="s">
        <v>27250</v>
      </c>
      <c r="M9413" t="s">
        <v>27251</v>
      </c>
      <c r="N9413" t="s">
        <v>27252</v>
      </c>
      <c r="Q9413" s="1">
        <v>44538</v>
      </c>
      <c r="R9413" t="s">
        <v>27253</v>
      </c>
      <c r="S9413" t="s">
        <v>27254</v>
      </c>
      <c r="T9413" t="s">
        <v>27255</v>
      </c>
    </row>
    <row r="9414" spans="1:20" x14ac:dyDescent="0.3">
      <c r="A9414" t="str">
        <f>"0611837530100"</f>
        <v>0611837530100</v>
      </c>
      <c r="B9414" t="str">
        <f>"LK6764"</f>
        <v>LK6764</v>
      </c>
      <c r="C9414" t="s">
        <v>45517</v>
      </c>
      <c r="D9414" t="s">
        <v>27245</v>
      </c>
      <c r="E9414" t="str">
        <f t="shared" si="147"/>
        <v>001390</v>
      </c>
      <c r="F9414" t="s">
        <v>27246</v>
      </c>
      <c r="G9414" t="s">
        <v>27247</v>
      </c>
      <c r="H9414" t="s">
        <v>27248</v>
      </c>
      <c r="I9414" t="s">
        <v>45518</v>
      </c>
      <c r="J9414" t="s">
        <v>18836</v>
      </c>
      <c r="L9414" t="s">
        <v>27250</v>
      </c>
      <c r="M9414" t="s">
        <v>27251</v>
      </c>
      <c r="N9414" t="s">
        <v>27252</v>
      </c>
      <c r="Q9414" s="1">
        <v>44538</v>
      </c>
      <c r="R9414" t="s">
        <v>27253</v>
      </c>
      <c r="S9414" t="s">
        <v>27254</v>
      </c>
      <c r="T9414" t="s">
        <v>27255</v>
      </c>
    </row>
    <row r="9415" spans="1:20" x14ac:dyDescent="0.3">
      <c r="A9415" t="str">
        <f>"0611837531100"</f>
        <v>0611837531100</v>
      </c>
      <c r="B9415" t="str">
        <f>"LS0104"</f>
        <v>LS0104</v>
      </c>
      <c r="C9415" t="s">
        <v>45519</v>
      </c>
      <c r="D9415" t="s">
        <v>27245</v>
      </c>
      <c r="E9415" t="str">
        <f t="shared" si="147"/>
        <v>001390</v>
      </c>
      <c r="F9415" t="s">
        <v>27246</v>
      </c>
      <c r="G9415" t="s">
        <v>27247</v>
      </c>
      <c r="H9415" t="s">
        <v>27248</v>
      </c>
      <c r="I9415" t="s">
        <v>45520</v>
      </c>
      <c r="J9415" t="s">
        <v>18838</v>
      </c>
      <c r="L9415" t="s">
        <v>27250</v>
      </c>
      <c r="M9415" t="s">
        <v>27251</v>
      </c>
      <c r="N9415" t="s">
        <v>27252</v>
      </c>
      <c r="Q9415" s="1">
        <v>44538</v>
      </c>
      <c r="R9415" t="s">
        <v>27253</v>
      </c>
      <c r="S9415" t="s">
        <v>27254</v>
      </c>
      <c r="T9415" t="s">
        <v>27255</v>
      </c>
    </row>
    <row r="9416" spans="1:20" x14ac:dyDescent="0.3">
      <c r="A9416" t="str">
        <f>"0611837532100"</f>
        <v>0611837532100</v>
      </c>
      <c r="B9416" t="str">
        <f>"LK1724"</f>
        <v>LK1724</v>
      </c>
      <c r="C9416" t="s">
        <v>45521</v>
      </c>
      <c r="D9416" t="s">
        <v>27245</v>
      </c>
      <c r="E9416" t="str">
        <f t="shared" si="147"/>
        <v>001390</v>
      </c>
      <c r="F9416" t="s">
        <v>27246</v>
      </c>
      <c r="G9416" t="s">
        <v>27247</v>
      </c>
      <c r="H9416" t="s">
        <v>27248</v>
      </c>
      <c r="I9416" t="s">
        <v>45522</v>
      </c>
      <c r="J9416" t="s">
        <v>18840</v>
      </c>
      <c r="L9416" t="s">
        <v>27250</v>
      </c>
      <c r="M9416" t="s">
        <v>27251</v>
      </c>
      <c r="N9416" t="s">
        <v>27252</v>
      </c>
      <c r="Q9416" s="1">
        <v>44538</v>
      </c>
      <c r="R9416" t="s">
        <v>27253</v>
      </c>
      <c r="S9416" t="s">
        <v>27254</v>
      </c>
      <c r="T9416" t="s">
        <v>27255</v>
      </c>
    </row>
    <row r="9417" spans="1:20" x14ac:dyDescent="0.3">
      <c r="A9417" t="str">
        <f>"0611837533100"</f>
        <v>0611837533100</v>
      </c>
      <c r="B9417" t="str">
        <f>"LK1725"</f>
        <v>LK1725</v>
      </c>
      <c r="C9417" t="s">
        <v>45523</v>
      </c>
      <c r="D9417" t="s">
        <v>27245</v>
      </c>
      <c r="E9417" t="str">
        <f t="shared" si="147"/>
        <v>001390</v>
      </c>
      <c r="F9417" t="s">
        <v>27246</v>
      </c>
      <c r="G9417" t="s">
        <v>27247</v>
      </c>
      <c r="H9417" t="s">
        <v>27248</v>
      </c>
      <c r="I9417" t="s">
        <v>45524</v>
      </c>
      <c r="J9417" t="s">
        <v>18842</v>
      </c>
      <c r="L9417" t="s">
        <v>27250</v>
      </c>
      <c r="M9417" t="s">
        <v>27251</v>
      </c>
      <c r="N9417" t="s">
        <v>27252</v>
      </c>
      <c r="Q9417" s="1">
        <v>44538</v>
      </c>
      <c r="R9417" t="s">
        <v>27253</v>
      </c>
      <c r="S9417" t="s">
        <v>27254</v>
      </c>
      <c r="T9417" t="s">
        <v>27255</v>
      </c>
    </row>
    <row r="9418" spans="1:20" x14ac:dyDescent="0.3">
      <c r="A9418" t="str">
        <f>"0611837534025"</f>
        <v>0611837534025</v>
      </c>
      <c r="B9418" t="str">
        <f>"MC3524"</f>
        <v>MC3524</v>
      </c>
      <c r="C9418" t="s">
        <v>45525</v>
      </c>
      <c r="D9418" t="s">
        <v>27267</v>
      </c>
      <c r="E9418" t="str">
        <f t="shared" si="147"/>
        <v>001390</v>
      </c>
      <c r="F9418" t="s">
        <v>27246</v>
      </c>
      <c r="G9418" t="s">
        <v>27247</v>
      </c>
      <c r="H9418" t="s">
        <v>27248</v>
      </c>
      <c r="I9418" t="s">
        <v>45526</v>
      </c>
      <c r="J9418" t="s">
        <v>18846</v>
      </c>
      <c r="L9418" t="s">
        <v>27250</v>
      </c>
      <c r="M9418" t="s">
        <v>27251</v>
      </c>
      <c r="N9418" t="s">
        <v>27252</v>
      </c>
      <c r="Q9418" s="1">
        <v>44538</v>
      </c>
      <c r="R9418" t="s">
        <v>27253</v>
      </c>
      <c r="S9418" t="s">
        <v>27254</v>
      </c>
      <c r="T9418" t="s">
        <v>27269</v>
      </c>
    </row>
    <row r="9419" spans="1:20" x14ac:dyDescent="0.3">
      <c r="A9419" t="str">
        <f>"0611837544100"</f>
        <v>0611837544100</v>
      </c>
      <c r="B9419" t="str">
        <f>"LK1712"</f>
        <v>LK1712</v>
      </c>
      <c r="C9419" t="s">
        <v>45527</v>
      </c>
      <c r="D9419" t="s">
        <v>27245</v>
      </c>
      <c r="E9419" t="str">
        <f t="shared" si="147"/>
        <v>001390</v>
      </c>
      <c r="F9419" t="s">
        <v>27246</v>
      </c>
      <c r="G9419" t="s">
        <v>27247</v>
      </c>
      <c r="H9419" t="s">
        <v>27248</v>
      </c>
      <c r="I9419" t="s">
        <v>45528</v>
      </c>
      <c r="J9419" t="s">
        <v>18848</v>
      </c>
      <c r="L9419" t="s">
        <v>27250</v>
      </c>
      <c r="M9419" t="s">
        <v>27251</v>
      </c>
      <c r="N9419" t="s">
        <v>27252</v>
      </c>
      <c r="Q9419" s="1">
        <v>44538</v>
      </c>
      <c r="R9419" t="s">
        <v>27253</v>
      </c>
      <c r="S9419" t="s">
        <v>27254</v>
      </c>
      <c r="T9419" t="s">
        <v>27255</v>
      </c>
    </row>
    <row r="9420" spans="1:20" x14ac:dyDescent="0.3">
      <c r="A9420" t="str">
        <f>"0611884367100"</f>
        <v>0611884367100</v>
      </c>
      <c r="B9420" t="str">
        <f>"LQ0979"</f>
        <v>LQ0979</v>
      </c>
      <c r="C9420" t="s">
        <v>45529</v>
      </c>
      <c r="D9420" t="s">
        <v>27245</v>
      </c>
      <c r="E9420" t="str">
        <f t="shared" si="147"/>
        <v>001390</v>
      </c>
      <c r="F9420" t="s">
        <v>27246</v>
      </c>
      <c r="G9420" t="s">
        <v>27247</v>
      </c>
      <c r="H9420" t="s">
        <v>27248</v>
      </c>
      <c r="I9420" t="s">
        <v>45530</v>
      </c>
      <c r="J9420" t="s">
        <v>18850</v>
      </c>
      <c r="L9420" t="s">
        <v>27430</v>
      </c>
      <c r="M9420" t="s">
        <v>27251</v>
      </c>
      <c r="N9420" t="s">
        <v>27252</v>
      </c>
      <c r="Q9420" s="1">
        <v>45250</v>
      </c>
      <c r="R9420" t="s">
        <v>27253</v>
      </c>
      <c r="S9420" t="s">
        <v>27254</v>
      </c>
      <c r="T9420" t="s">
        <v>27255</v>
      </c>
    </row>
    <row r="9421" spans="1:20" x14ac:dyDescent="0.3">
      <c r="A9421" t="str">
        <f>"0611837548100"</f>
        <v>0611837548100</v>
      </c>
      <c r="B9421" t="str">
        <f>"LS0106"</f>
        <v>LS0106</v>
      </c>
      <c r="C9421" t="s">
        <v>45531</v>
      </c>
      <c r="D9421" t="s">
        <v>27245</v>
      </c>
      <c r="E9421" t="str">
        <f t="shared" si="147"/>
        <v>001390</v>
      </c>
      <c r="F9421" t="s">
        <v>27246</v>
      </c>
      <c r="G9421" t="s">
        <v>27247</v>
      </c>
      <c r="H9421" t="s">
        <v>27248</v>
      </c>
      <c r="I9421" t="s">
        <v>45532</v>
      </c>
      <c r="J9421" t="s">
        <v>18852</v>
      </c>
      <c r="L9421" t="s">
        <v>27250</v>
      </c>
      <c r="M9421" t="s">
        <v>27251</v>
      </c>
      <c r="N9421" t="s">
        <v>27252</v>
      </c>
      <c r="Q9421" s="1">
        <v>44538</v>
      </c>
      <c r="R9421" t="s">
        <v>27253</v>
      </c>
      <c r="S9421" t="s">
        <v>27254</v>
      </c>
      <c r="T9421" t="s">
        <v>27255</v>
      </c>
    </row>
    <row r="9422" spans="1:20" x14ac:dyDescent="0.3">
      <c r="A9422" t="str">
        <f>"0611837549100"</f>
        <v>0611837549100</v>
      </c>
      <c r="B9422" t="str">
        <f>"LK1726"</f>
        <v>LK1726</v>
      </c>
      <c r="C9422" t="s">
        <v>45533</v>
      </c>
      <c r="D9422" t="s">
        <v>27245</v>
      </c>
      <c r="E9422" t="str">
        <f t="shared" si="147"/>
        <v>001390</v>
      </c>
      <c r="F9422" t="s">
        <v>27246</v>
      </c>
      <c r="G9422" t="s">
        <v>27247</v>
      </c>
      <c r="H9422" t="s">
        <v>27248</v>
      </c>
      <c r="I9422" t="s">
        <v>45534</v>
      </c>
      <c r="J9422" t="s">
        <v>18854</v>
      </c>
      <c r="L9422" t="s">
        <v>27250</v>
      </c>
      <c r="M9422" t="s">
        <v>27251</v>
      </c>
      <c r="N9422" t="s">
        <v>27252</v>
      </c>
      <c r="Q9422" s="1">
        <v>44538</v>
      </c>
      <c r="R9422" t="s">
        <v>27253</v>
      </c>
      <c r="S9422" t="s">
        <v>27254</v>
      </c>
      <c r="T9422" t="s">
        <v>27255</v>
      </c>
    </row>
    <row r="9423" spans="1:20" x14ac:dyDescent="0.3">
      <c r="A9423" t="str">
        <f>"0611837550100"</f>
        <v>0611837550100</v>
      </c>
      <c r="B9423" t="str">
        <f>"LQ3617"</f>
        <v>LQ3617</v>
      </c>
      <c r="C9423" t="s">
        <v>45535</v>
      </c>
      <c r="D9423" t="s">
        <v>27245</v>
      </c>
      <c r="E9423" t="str">
        <f t="shared" si="147"/>
        <v>001390</v>
      </c>
      <c r="F9423" t="s">
        <v>27246</v>
      </c>
      <c r="G9423" t="s">
        <v>27247</v>
      </c>
      <c r="H9423" t="s">
        <v>27248</v>
      </c>
      <c r="I9423" t="s">
        <v>45536</v>
      </c>
      <c r="J9423" t="s">
        <v>20354</v>
      </c>
      <c r="L9423" t="s">
        <v>27250</v>
      </c>
      <c r="M9423" t="s">
        <v>27251</v>
      </c>
      <c r="N9423" t="s">
        <v>27252</v>
      </c>
      <c r="Q9423" s="1">
        <v>44538</v>
      </c>
      <c r="R9423" t="s">
        <v>27253</v>
      </c>
      <c r="S9423" t="s">
        <v>27254</v>
      </c>
      <c r="T9423" t="s">
        <v>27255</v>
      </c>
    </row>
    <row r="9424" spans="1:20" x14ac:dyDescent="0.3">
      <c r="A9424" t="str">
        <f>"0611837551100"</f>
        <v>0611837551100</v>
      </c>
      <c r="B9424" t="str">
        <f>"LQ3619"</f>
        <v>LQ3619</v>
      </c>
      <c r="C9424" t="s">
        <v>45537</v>
      </c>
      <c r="D9424" t="s">
        <v>27245</v>
      </c>
      <c r="E9424" t="str">
        <f t="shared" si="147"/>
        <v>001390</v>
      </c>
      <c r="F9424" t="s">
        <v>27246</v>
      </c>
      <c r="G9424" t="s">
        <v>27247</v>
      </c>
      <c r="H9424" t="s">
        <v>27248</v>
      </c>
      <c r="I9424" t="s">
        <v>45538</v>
      </c>
      <c r="J9424" t="s">
        <v>20358</v>
      </c>
      <c r="L9424" t="s">
        <v>27250</v>
      </c>
      <c r="M9424" t="s">
        <v>27251</v>
      </c>
      <c r="N9424" t="s">
        <v>27252</v>
      </c>
      <c r="Q9424" s="1">
        <v>44538</v>
      </c>
      <c r="R9424" t="s">
        <v>27253</v>
      </c>
      <c r="S9424" t="s">
        <v>27254</v>
      </c>
      <c r="T9424" t="s">
        <v>27255</v>
      </c>
    </row>
    <row r="9425" spans="1:20" x14ac:dyDescent="0.3">
      <c r="A9425" t="str">
        <f>"0611837552100"</f>
        <v>0611837552100</v>
      </c>
      <c r="B9425" t="str">
        <f>"LQ3621"</f>
        <v>LQ3621</v>
      </c>
      <c r="C9425" t="s">
        <v>45539</v>
      </c>
      <c r="D9425" t="s">
        <v>27245</v>
      </c>
      <c r="E9425" t="str">
        <f t="shared" si="147"/>
        <v>001390</v>
      </c>
      <c r="F9425" t="s">
        <v>27246</v>
      </c>
      <c r="G9425" t="s">
        <v>27247</v>
      </c>
      <c r="H9425" t="s">
        <v>27248</v>
      </c>
      <c r="I9425" t="s">
        <v>45540</v>
      </c>
      <c r="J9425" t="s">
        <v>20362</v>
      </c>
      <c r="L9425" t="s">
        <v>27250</v>
      </c>
      <c r="M9425" t="s">
        <v>27251</v>
      </c>
      <c r="N9425" t="s">
        <v>27252</v>
      </c>
      <c r="Q9425" s="1">
        <v>44538</v>
      </c>
      <c r="R9425" t="s">
        <v>27253</v>
      </c>
      <c r="S9425" t="s">
        <v>27254</v>
      </c>
      <c r="T9425" t="s">
        <v>27255</v>
      </c>
    </row>
    <row r="9426" spans="1:20" x14ac:dyDescent="0.3">
      <c r="A9426" t="str">
        <f>"0611884368100"</f>
        <v>0611884368100</v>
      </c>
      <c r="B9426" t="str">
        <f>"LK7142"</f>
        <v>LK7142</v>
      </c>
      <c r="C9426" t="s">
        <v>45541</v>
      </c>
      <c r="D9426" t="s">
        <v>27245</v>
      </c>
      <c r="E9426" t="str">
        <f t="shared" si="147"/>
        <v>001390</v>
      </c>
      <c r="F9426" t="s">
        <v>27246</v>
      </c>
      <c r="G9426" t="s">
        <v>27247</v>
      </c>
      <c r="H9426" t="s">
        <v>27248</v>
      </c>
      <c r="I9426" t="s">
        <v>45542</v>
      </c>
      <c r="J9426" t="s">
        <v>18856</v>
      </c>
      <c r="L9426" t="s">
        <v>27430</v>
      </c>
      <c r="M9426" t="s">
        <v>27251</v>
      </c>
      <c r="N9426" t="s">
        <v>27252</v>
      </c>
      <c r="Q9426" s="1">
        <v>45250</v>
      </c>
      <c r="R9426" t="s">
        <v>27253</v>
      </c>
      <c r="S9426" t="s">
        <v>27254</v>
      </c>
      <c r="T9426" t="s">
        <v>27255</v>
      </c>
    </row>
    <row r="9427" spans="1:20" x14ac:dyDescent="0.3">
      <c r="A9427" t="str">
        <f>"0611837553100"</f>
        <v>0611837553100</v>
      </c>
      <c r="B9427" t="str">
        <f>"LQ6162"</f>
        <v>LQ6162</v>
      </c>
      <c r="C9427" t="s">
        <v>45543</v>
      </c>
      <c r="D9427" t="s">
        <v>27245</v>
      </c>
      <c r="E9427" t="str">
        <f t="shared" si="147"/>
        <v>001390</v>
      </c>
      <c r="F9427" t="s">
        <v>27246</v>
      </c>
      <c r="G9427" t="s">
        <v>27247</v>
      </c>
      <c r="H9427" t="s">
        <v>27248</v>
      </c>
      <c r="I9427" t="s">
        <v>45544</v>
      </c>
      <c r="J9427" t="s">
        <v>18858</v>
      </c>
      <c r="L9427" t="s">
        <v>27250</v>
      </c>
      <c r="M9427" t="s">
        <v>27251</v>
      </c>
      <c r="N9427" t="s">
        <v>27252</v>
      </c>
      <c r="Q9427" s="1">
        <v>44538</v>
      </c>
      <c r="R9427" t="s">
        <v>27253</v>
      </c>
      <c r="S9427" t="s">
        <v>27254</v>
      </c>
      <c r="T9427" t="s">
        <v>27255</v>
      </c>
    </row>
    <row r="9428" spans="1:20" x14ac:dyDescent="0.3">
      <c r="A9428" t="str">
        <f>"0611837554100"</f>
        <v>0611837554100</v>
      </c>
      <c r="B9428" t="str">
        <f>"LQ6076"</f>
        <v>LQ6076</v>
      </c>
      <c r="C9428" t="s">
        <v>45545</v>
      </c>
      <c r="D9428" t="s">
        <v>27245</v>
      </c>
      <c r="E9428" t="str">
        <f t="shared" si="147"/>
        <v>001390</v>
      </c>
      <c r="F9428" t="s">
        <v>27246</v>
      </c>
      <c r="G9428" t="s">
        <v>27247</v>
      </c>
      <c r="H9428" t="s">
        <v>27248</v>
      </c>
      <c r="I9428" t="s">
        <v>45546</v>
      </c>
      <c r="J9428" t="s">
        <v>18860</v>
      </c>
      <c r="L9428" t="s">
        <v>27250</v>
      </c>
      <c r="M9428" t="s">
        <v>27251</v>
      </c>
      <c r="N9428" t="s">
        <v>27252</v>
      </c>
      <c r="Q9428" s="1">
        <v>44538</v>
      </c>
      <c r="R9428" t="s">
        <v>27253</v>
      </c>
      <c r="S9428" t="s">
        <v>27254</v>
      </c>
      <c r="T9428" t="s">
        <v>27255</v>
      </c>
    </row>
    <row r="9429" spans="1:20" x14ac:dyDescent="0.3">
      <c r="A9429" t="str">
        <f>"0611837555100"</f>
        <v>0611837555100</v>
      </c>
      <c r="B9429" t="str">
        <f>"LQ6205"</f>
        <v>LQ6205</v>
      </c>
      <c r="C9429" t="s">
        <v>45547</v>
      </c>
      <c r="D9429" t="s">
        <v>27245</v>
      </c>
      <c r="E9429" t="str">
        <f t="shared" si="147"/>
        <v>001390</v>
      </c>
      <c r="F9429" t="s">
        <v>27246</v>
      </c>
      <c r="G9429" t="s">
        <v>27247</v>
      </c>
      <c r="H9429" t="s">
        <v>27248</v>
      </c>
      <c r="I9429" t="s">
        <v>45548</v>
      </c>
      <c r="J9429" t="s">
        <v>18862</v>
      </c>
      <c r="L9429" t="s">
        <v>27250</v>
      </c>
      <c r="M9429" t="s">
        <v>27251</v>
      </c>
      <c r="N9429" t="s">
        <v>27252</v>
      </c>
      <c r="Q9429" s="1">
        <v>44538</v>
      </c>
      <c r="R9429" t="s">
        <v>27253</v>
      </c>
      <c r="S9429" t="s">
        <v>27254</v>
      </c>
      <c r="T9429" t="s">
        <v>27255</v>
      </c>
    </row>
    <row r="9430" spans="1:20" x14ac:dyDescent="0.3">
      <c r="A9430" t="str">
        <f>"0611837556100"</f>
        <v>0611837556100</v>
      </c>
      <c r="B9430" t="str">
        <f>"LQ6242"</f>
        <v>LQ6242</v>
      </c>
      <c r="C9430" t="s">
        <v>45549</v>
      </c>
      <c r="D9430" t="s">
        <v>27245</v>
      </c>
      <c r="E9430" t="str">
        <f t="shared" si="147"/>
        <v>001390</v>
      </c>
      <c r="F9430" t="s">
        <v>27246</v>
      </c>
      <c r="G9430" t="s">
        <v>27247</v>
      </c>
      <c r="H9430" t="s">
        <v>27248</v>
      </c>
      <c r="I9430" t="s">
        <v>45550</v>
      </c>
      <c r="J9430" t="s">
        <v>18864</v>
      </c>
      <c r="L9430" t="s">
        <v>27250</v>
      </c>
      <c r="M9430" t="s">
        <v>27251</v>
      </c>
      <c r="N9430" t="s">
        <v>27252</v>
      </c>
      <c r="Q9430" s="1">
        <v>44538</v>
      </c>
      <c r="R9430" t="s">
        <v>27253</v>
      </c>
      <c r="S9430" t="s">
        <v>27254</v>
      </c>
      <c r="T9430" t="s">
        <v>27255</v>
      </c>
    </row>
    <row r="9431" spans="1:20" x14ac:dyDescent="0.3">
      <c r="A9431" t="str">
        <f>"0611837557100"</f>
        <v>0611837557100</v>
      </c>
      <c r="B9431" t="str">
        <f>"LQ6243"</f>
        <v>LQ6243</v>
      </c>
      <c r="C9431" t="s">
        <v>45551</v>
      </c>
      <c r="D9431" t="s">
        <v>27245</v>
      </c>
      <c r="E9431" t="str">
        <f t="shared" si="147"/>
        <v>001390</v>
      </c>
      <c r="F9431" t="s">
        <v>27246</v>
      </c>
      <c r="G9431" t="s">
        <v>27247</v>
      </c>
      <c r="H9431" t="s">
        <v>27248</v>
      </c>
      <c r="I9431" t="s">
        <v>45552</v>
      </c>
      <c r="J9431" t="s">
        <v>18866</v>
      </c>
      <c r="L9431" t="s">
        <v>27250</v>
      </c>
      <c r="M9431" t="s">
        <v>27251</v>
      </c>
      <c r="N9431" t="s">
        <v>27252</v>
      </c>
      <c r="Q9431" s="1">
        <v>44538</v>
      </c>
      <c r="R9431" t="s">
        <v>27253</v>
      </c>
      <c r="S9431" t="s">
        <v>27254</v>
      </c>
      <c r="T9431" t="s">
        <v>27255</v>
      </c>
    </row>
    <row r="9432" spans="1:20" x14ac:dyDescent="0.3">
      <c r="A9432" t="str">
        <f>"0611837558100"</f>
        <v>0611837558100</v>
      </c>
      <c r="B9432" t="str">
        <f>"LQ6103"</f>
        <v>LQ6103</v>
      </c>
      <c r="C9432" t="s">
        <v>45553</v>
      </c>
      <c r="D9432" t="s">
        <v>27245</v>
      </c>
      <c r="E9432" t="str">
        <f t="shared" si="147"/>
        <v>001390</v>
      </c>
      <c r="F9432" t="s">
        <v>27246</v>
      </c>
      <c r="G9432" t="s">
        <v>27247</v>
      </c>
      <c r="H9432" t="s">
        <v>27248</v>
      </c>
      <c r="I9432" t="s">
        <v>45554</v>
      </c>
      <c r="J9432" t="s">
        <v>18868</v>
      </c>
      <c r="L9432" t="s">
        <v>27250</v>
      </c>
      <c r="M9432" t="s">
        <v>27251</v>
      </c>
      <c r="N9432" t="s">
        <v>27252</v>
      </c>
      <c r="Q9432" s="1">
        <v>44538</v>
      </c>
      <c r="R9432" t="s">
        <v>27253</v>
      </c>
      <c r="S9432" t="s">
        <v>27254</v>
      </c>
      <c r="T9432" t="s">
        <v>27255</v>
      </c>
    </row>
    <row r="9433" spans="1:20" x14ac:dyDescent="0.3">
      <c r="A9433" t="str">
        <f>"0611857060100"</f>
        <v>0611857060100</v>
      </c>
      <c r="B9433" t="str">
        <f>"LQ6270"</f>
        <v>LQ6270</v>
      </c>
      <c r="C9433" t="s">
        <v>45555</v>
      </c>
      <c r="D9433" t="s">
        <v>27245</v>
      </c>
      <c r="E9433" t="str">
        <f t="shared" si="147"/>
        <v>001390</v>
      </c>
      <c r="F9433" t="s">
        <v>27246</v>
      </c>
      <c r="G9433" t="s">
        <v>27247</v>
      </c>
      <c r="H9433" t="s">
        <v>27248</v>
      </c>
      <c r="I9433" t="s">
        <v>45556</v>
      </c>
      <c r="J9433" t="s">
        <v>18870</v>
      </c>
      <c r="L9433" t="s">
        <v>27250</v>
      </c>
      <c r="M9433" t="s">
        <v>27251</v>
      </c>
      <c r="N9433" t="s">
        <v>27252</v>
      </c>
      <c r="Q9433" s="1">
        <v>44812</v>
      </c>
      <c r="R9433" t="s">
        <v>27253</v>
      </c>
      <c r="S9433" t="s">
        <v>27254</v>
      </c>
      <c r="T9433" t="s">
        <v>27255</v>
      </c>
    </row>
    <row r="9434" spans="1:20" x14ac:dyDescent="0.3">
      <c r="A9434" t="str">
        <f>"0611837559100"</f>
        <v>0611837559100</v>
      </c>
      <c r="B9434" t="str">
        <f>"LQ6163"</f>
        <v>LQ6163</v>
      </c>
      <c r="C9434" t="s">
        <v>45557</v>
      </c>
      <c r="D9434" t="s">
        <v>27245</v>
      </c>
      <c r="E9434" t="str">
        <f t="shared" si="147"/>
        <v>001390</v>
      </c>
      <c r="F9434" t="s">
        <v>27246</v>
      </c>
      <c r="G9434" t="s">
        <v>27247</v>
      </c>
      <c r="H9434" t="s">
        <v>27248</v>
      </c>
      <c r="I9434" t="s">
        <v>45558</v>
      </c>
      <c r="J9434" t="s">
        <v>18872</v>
      </c>
      <c r="L9434" t="s">
        <v>27250</v>
      </c>
      <c r="M9434" t="s">
        <v>27251</v>
      </c>
      <c r="N9434" t="s">
        <v>27252</v>
      </c>
      <c r="Q9434" s="1">
        <v>44538</v>
      </c>
      <c r="R9434" t="s">
        <v>27253</v>
      </c>
      <c r="S9434" t="s">
        <v>27254</v>
      </c>
      <c r="T9434" t="s">
        <v>27255</v>
      </c>
    </row>
    <row r="9435" spans="1:20" x14ac:dyDescent="0.3">
      <c r="A9435" t="str">
        <f>"0611837560100"</f>
        <v>0611837560100</v>
      </c>
      <c r="B9435" t="str">
        <f>"LQ6104"</f>
        <v>LQ6104</v>
      </c>
      <c r="C9435" t="s">
        <v>45559</v>
      </c>
      <c r="D9435" t="s">
        <v>27245</v>
      </c>
      <c r="E9435" t="str">
        <f t="shared" si="147"/>
        <v>001390</v>
      </c>
      <c r="F9435" t="s">
        <v>27246</v>
      </c>
      <c r="G9435" t="s">
        <v>27247</v>
      </c>
      <c r="H9435" t="s">
        <v>27248</v>
      </c>
      <c r="I9435" t="s">
        <v>45560</v>
      </c>
      <c r="J9435" t="s">
        <v>18874</v>
      </c>
      <c r="L9435" t="s">
        <v>27250</v>
      </c>
      <c r="M9435" t="s">
        <v>27251</v>
      </c>
      <c r="N9435" t="s">
        <v>27252</v>
      </c>
      <c r="Q9435" s="1">
        <v>44538</v>
      </c>
      <c r="R9435" t="s">
        <v>27253</v>
      </c>
      <c r="S9435" t="s">
        <v>27254</v>
      </c>
      <c r="T9435" t="s">
        <v>27255</v>
      </c>
    </row>
    <row r="9436" spans="1:20" x14ac:dyDescent="0.3">
      <c r="A9436" t="str">
        <f>"0611837561100"</f>
        <v>0611837561100</v>
      </c>
      <c r="B9436" t="str">
        <f>"LQ6206"</f>
        <v>LQ6206</v>
      </c>
      <c r="C9436" t="s">
        <v>45561</v>
      </c>
      <c r="D9436" t="s">
        <v>27245</v>
      </c>
      <c r="E9436" t="str">
        <f t="shared" si="147"/>
        <v>001390</v>
      </c>
      <c r="F9436" t="s">
        <v>27246</v>
      </c>
      <c r="G9436" t="s">
        <v>27247</v>
      </c>
      <c r="H9436" t="s">
        <v>27248</v>
      </c>
      <c r="I9436" t="s">
        <v>45562</v>
      </c>
      <c r="J9436" t="s">
        <v>18876</v>
      </c>
      <c r="L9436" t="s">
        <v>27250</v>
      </c>
      <c r="M9436" t="s">
        <v>27251</v>
      </c>
      <c r="N9436" t="s">
        <v>27252</v>
      </c>
      <c r="Q9436" s="1">
        <v>44538</v>
      </c>
      <c r="R9436" t="s">
        <v>27253</v>
      </c>
      <c r="S9436" t="s">
        <v>27254</v>
      </c>
      <c r="T9436" t="s">
        <v>27255</v>
      </c>
    </row>
    <row r="9437" spans="1:20" x14ac:dyDescent="0.3">
      <c r="A9437" t="str">
        <f>"0611837562100"</f>
        <v>0611837562100</v>
      </c>
      <c r="B9437" t="str">
        <f>"LQ6105"</f>
        <v>LQ6105</v>
      </c>
      <c r="C9437" t="s">
        <v>45563</v>
      </c>
      <c r="D9437" t="s">
        <v>27245</v>
      </c>
      <c r="E9437" t="str">
        <f t="shared" si="147"/>
        <v>001390</v>
      </c>
      <c r="F9437" t="s">
        <v>27246</v>
      </c>
      <c r="G9437" t="s">
        <v>27247</v>
      </c>
      <c r="H9437" t="s">
        <v>27248</v>
      </c>
      <c r="I9437" t="s">
        <v>45564</v>
      </c>
      <c r="J9437" t="s">
        <v>18878</v>
      </c>
      <c r="L9437" t="s">
        <v>27250</v>
      </c>
      <c r="M9437" t="s">
        <v>27251</v>
      </c>
      <c r="N9437" t="s">
        <v>27252</v>
      </c>
      <c r="Q9437" s="1">
        <v>44538</v>
      </c>
      <c r="R9437" t="s">
        <v>27253</v>
      </c>
      <c r="S9437" t="s">
        <v>27254</v>
      </c>
      <c r="T9437" t="s">
        <v>27255</v>
      </c>
    </row>
    <row r="9438" spans="1:20" x14ac:dyDescent="0.3">
      <c r="A9438" t="str">
        <f>"0611884369100"</f>
        <v>0611884369100</v>
      </c>
      <c r="B9438" t="str">
        <f>"LQ6300"</f>
        <v>LQ6300</v>
      </c>
      <c r="C9438" t="s">
        <v>45565</v>
      </c>
      <c r="D9438" t="s">
        <v>27245</v>
      </c>
      <c r="E9438" t="str">
        <f t="shared" si="147"/>
        <v>001390</v>
      </c>
      <c r="F9438" t="s">
        <v>27246</v>
      </c>
      <c r="G9438" t="s">
        <v>27247</v>
      </c>
      <c r="H9438" t="s">
        <v>27248</v>
      </c>
      <c r="I9438" t="s">
        <v>45566</v>
      </c>
      <c r="J9438" t="s">
        <v>18880</v>
      </c>
      <c r="L9438" t="s">
        <v>27430</v>
      </c>
      <c r="M9438" t="s">
        <v>27251</v>
      </c>
      <c r="N9438" t="s">
        <v>27252</v>
      </c>
      <c r="Q9438" s="1">
        <v>45250</v>
      </c>
      <c r="R9438" t="s">
        <v>27253</v>
      </c>
      <c r="S9438" t="s">
        <v>27254</v>
      </c>
      <c r="T9438" t="s">
        <v>27255</v>
      </c>
    </row>
    <row r="9439" spans="1:20" x14ac:dyDescent="0.3">
      <c r="A9439" t="str">
        <f>"0611837563100"</f>
        <v>0611837563100</v>
      </c>
      <c r="B9439" t="str">
        <f>"LQ6244"</f>
        <v>LQ6244</v>
      </c>
      <c r="C9439" t="s">
        <v>45567</v>
      </c>
      <c r="D9439" t="s">
        <v>27245</v>
      </c>
      <c r="E9439" t="str">
        <f t="shared" si="147"/>
        <v>001390</v>
      </c>
      <c r="F9439" t="s">
        <v>27246</v>
      </c>
      <c r="G9439" t="s">
        <v>27247</v>
      </c>
      <c r="H9439" t="s">
        <v>27248</v>
      </c>
      <c r="I9439" t="s">
        <v>45568</v>
      </c>
      <c r="J9439" t="s">
        <v>18882</v>
      </c>
      <c r="L9439" t="s">
        <v>27250</v>
      </c>
      <c r="M9439" t="s">
        <v>27251</v>
      </c>
      <c r="N9439" t="s">
        <v>27252</v>
      </c>
      <c r="Q9439" s="1">
        <v>44538</v>
      </c>
      <c r="R9439" t="s">
        <v>27253</v>
      </c>
      <c r="S9439" t="s">
        <v>27254</v>
      </c>
      <c r="T9439" t="s">
        <v>27255</v>
      </c>
    </row>
    <row r="9440" spans="1:20" x14ac:dyDescent="0.3">
      <c r="A9440" t="str">
        <f>"0611837564100"</f>
        <v>0611837564100</v>
      </c>
      <c r="B9440" t="str">
        <f>"LQ6164"</f>
        <v>LQ6164</v>
      </c>
      <c r="C9440" t="s">
        <v>45569</v>
      </c>
      <c r="D9440" t="s">
        <v>27245</v>
      </c>
      <c r="E9440" t="str">
        <f t="shared" si="147"/>
        <v>001390</v>
      </c>
      <c r="F9440" t="s">
        <v>27246</v>
      </c>
      <c r="G9440" t="s">
        <v>27247</v>
      </c>
      <c r="H9440" t="s">
        <v>27248</v>
      </c>
      <c r="I9440" t="s">
        <v>45570</v>
      </c>
      <c r="J9440" t="s">
        <v>18884</v>
      </c>
      <c r="L9440" t="s">
        <v>27250</v>
      </c>
      <c r="M9440" t="s">
        <v>27251</v>
      </c>
      <c r="N9440" t="s">
        <v>27252</v>
      </c>
      <c r="Q9440" s="1">
        <v>44538</v>
      </c>
      <c r="R9440" t="s">
        <v>27253</v>
      </c>
      <c r="S9440" t="s">
        <v>27254</v>
      </c>
      <c r="T9440" t="s">
        <v>27255</v>
      </c>
    </row>
    <row r="9441" spans="1:20" x14ac:dyDescent="0.3">
      <c r="A9441" t="str">
        <f>"0611837565100"</f>
        <v>0611837565100</v>
      </c>
      <c r="B9441" t="str">
        <f>"LQ6207"</f>
        <v>LQ6207</v>
      </c>
      <c r="C9441" t="s">
        <v>45571</v>
      </c>
      <c r="D9441" t="s">
        <v>27245</v>
      </c>
      <c r="E9441" t="str">
        <f t="shared" si="147"/>
        <v>001390</v>
      </c>
      <c r="F9441" t="s">
        <v>27246</v>
      </c>
      <c r="G9441" t="s">
        <v>27247</v>
      </c>
      <c r="H9441" t="s">
        <v>27248</v>
      </c>
      <c r="I9441" t="s">
        <v>45572</v>
      </c>
      <c r="J9441" t="s">
        <v>18886</v>
      </c>
      <c r="L9441" t="s">
        <v>27250</v>
      </c>
      <c r="M9441" t="s">
        <v>27251</v>
      </c>
      <c r="N9441" t="s">
        <v>27252</v>
      </c>
      <c r="Q9441" s="1">
        <v>44538</v>
      </c>
      <c r="R9441" t="s">
        <v>27253</v>
      </c>
      <c r="S9441" t="s">
        <v>27254</v>
      </c>
      <c r="T9441" t="s">
        <v>27255</v>
      </c>
    </row>
    <row r="9442" spans="1:20" x14ac:dyDescent="0.3">
      <c r="A9442" t="str">
        <f>"0611837566100"</f>
        <v>0611837566100</v>
      </c>
      <c r="B9442" t="str">
        <f>"LQ6245"</f>
        <v>LQ6245</v>
      </c>
      <c r="C9442" t="s">
        <v>45573</v>
      </c>
      <c r="D9442" t="s">
        <v>27245</v>
      </c>
      <c r="E9442" t="str">
        <f t="shared" si="147"/>
        <v>001390</v>
      </c>
      <c r="F9442" t="s">
        <v>27246</v>
      </c>
      <c r="G9442" t="s">
        <v>27247</v>
      </c>
      <c r="H9442" t="s">
        <v>27248</v>
      </c>
      <c r="I9442" t="s">
        <v>45574</v>
      </c>
      <c r="J9442" t="s">
        <v>18888</v>
      </c>
      <c r="L9442" t="s">
        <v>27250</v>
      </c>
      <c r="M9442" t="s">
        <v>27251</v>
      </c>
      <c r="N9442" t="s">
        <v>27252</v>
      </c>
      <c r="Q9442" s="1">
        <v>44538</v>
      </c>
      <c r="R9442" t="s">
        <v>27253</v>
      </c>
      <c r="S9442" t="s">
        <v>27254</v>
      </c>
      <c r="T9442" t="s">
        <v>27255</v>
      </c>
    </row>
    <row r="9443" spans="1:20" x14ac:dyDescent="0.3">
      <c r="A9443" t="str">
        <f>"0611837567100"</f>
        <v>0611837567100</v>
      </c>
      <c r="B9443" t="str">
        <f>"LQ6208"</f>
        <v>LQ6208</v>
      </c>
      <c r="C9443" t="s">
        <v>45575</v>
      </c>
      <c r="D9443" t="s">
        <v>27245</v>
      </c>
      <c r="E9443" t="str">
        <f t="shared" si="147"/>
        <v>001390</v>
      </c>
      <c r="F9443" t="s">
        <v>27246</v>
      </c>
      <c r="G9443" t="s">
        <v>27247</v>
      </c>
      <c r="H9443" t="s">
        <v>27248</v>
      </c>
      <c r="I9443" t="s">
        <v>45576</v>
      </c>
      <c r="J9443" t="s">
        <v>18890</v>
      </c>
      <c r="L9443" t="s">
        <v>27250</v>
      </c>
      <c r="M9443" t="s">
        <v>27251</v>
      </c>
      <c r="N9443" t="s">
        <v>27252</v>
      </c>
      <c r="Q9443" s="1">
        <v>44538</v>
      </c>
      <c r="R9443" t="s">
        <v>27253</v>
      </c>
      <c r="S9443" t="s">
        <v>27254</v>
      </c>
      <c r="T9443" t="s">
        <v>27255</v>
      </c>
    </row>
    <row r="9444" spans="1:20" x14ac:dyDescent="0.3">
      <c r="A9444" t="str">
        <f>"0611837568100"</f>
        <v>0611837568100</v>
      </c>
      <c r="B9444" t="str">
        <f>"LQ6107"</f>
        <v>LQ6107</v>
      </c>
      <c r="C9444" t="s">
        <v>45577</v>
      </c>
      <c r="D9444" t="s">
        <v>27245</v>
      </c>
      <c r="E9444" t="str">
        <f t="shared" si="147"/>
        <v>001390</v>
      </c>
      <c r="F9444" t="s">
        <v>27246</v>
      </c>
      <c r="G9444" t="s">
        <v>27247</v>
      </c>
      <c r="H9444" t="s">
        <v>27248</v>
      </c>
      <c r="I9444" t="s">
        <v>45578</v>
      </c>
      <c r="J9444" t="s">
        <v>18892</v>
      </c>
      <c r="L9444" t="s">
        <v>27250</v>
      </c>
      <c r="M9444" t="s">
        <v>27251</v>
      </c>
      <c r="N9444" t="s">
        <v>27252</v>
      </c>
      <c r="Q9444" s="1">
        <v>44538</v>
      </c>
      <c r="R9444" t="s">
        <v>27253</v>
      </c>
      <c r="S9444" t="s">
        <v>27254</v>
      </c>
      <c r="T9444" t="s">
        <v>27255</v>
      </c>
    </row>
    <row r="9445" spans="1:20" x14ac:dyDescent="0.3">
      <c r="A9445" t="str">
        <f>"0611837569100"</f>
        <v>0611837569100</v>
      </c>
      <c r="B9445" t="str">
        <f>"LB7631"</f>
        <v>LB7631</v>
      </c>
      <c r="C9445" t="s">
        <v>45579</v>
      </c>
      <c r="D9445" t="s">
        <v>27245</v>
      </c>
      <c r="E9445" t="str">
        <f t="shared" si="147"/>
        <v>001390</v>
      </c>
      <c r="F9445" t="s">
        <v>27246</v>
      </c>
      <c r="G9445" t="s">
        <v>27247</v>
      </c>
      <c r="H9445" t="s">
        <v>27248</v>
      </c>
      <c r="I9445" t="s">
        <v>45580</v>
      </c>
      <c r="J9445" t="s">
        <v>18894</v>
      </c>
      <c r="L9445" t="s">
        <v>27250</v>
      </c>
      <c r="M9445" t="s">
        <v>27251</v>
      </c>
      <c r="N9445" t="s">
        <v>27252</v>
      </c>
      <c r="Q9445" s="1">
        <v>44538</v>
      </c>
      <c r="R9445" t="s">
        <v>27253</v>
      </c>
      <c r="S9445" t="s">
        <v>27254</v>
      </c>
      <c r="T9445" t="s">
        <v>27255</v>
      </c>
    </row>
    <row r="9446" spans="1:20" x14ac:dyDescent="0.3">
      <c r="A9446" t="str">
        <f>"0611837570100"</f>
        <v>0611837570100</v>
      </c>
      <c r="B9446" t="str">
        <f>"LB6190"</f>
        <v>LB6190</v>
      </c>
      <c r="C9446" t="s">
        <v>45581</v>
      </c>
      <c r="D9446" t="s">
        <v>27245</v>
      </c>
      <c r="E9446" t="str">
        <f t="shared" si="147"/>
        <v>001390</v>
      </c>
      <c r="F9446" t="s">
        <v>27246</v>
      </c>
      <c r="G9446" t="s">
        <v>27247</v>
      </c>
      <c r="H9446" t="s">
        <v>27248</v>
      </c>
      <c r="I9446" t="s">
        <v>45582</v>
      </c>
      <c r="J9446" t="s">
        <v>18896</v>
      </c>
      <c r="L9446" t="s">
        <v>27250</v>
      </c>
      <c r="M9446" t="s">
        <v>27251</v>
      </c>
      <c r="N9446" t="s">
        <v>27252</v>
      </c>
      <c r="Q9446" s="1">
        <v>44538</v>
      </c>
      <c r="R9446" t="s">
        <v>27253</v>
      </c>
      <c r="S9446" t="s">
        <v>27254</v>
      </c>
      <c r="T9446" t="s">
        <v>27255</v>
      </c>
    </row>
    <row r="9447" spans="1:20" x14ac:dyDescent="0.3">
      <c r="A9447" t="str">
        <f>"0611837571100"</f>
        <v>0611837571100</v>
      </c>
      <c r="B9447" t="str">
        <f>"LB6248"</f>
        <v>LB6248</v>
      </c>
      <c r="C9447" t="s">
        <v>45583</v>
      </c>
      <c r="D9447" t="s">
        <v>27245</v>
      </c>
      <c r="E9447" t="str">
        <f t="shared" si="147"/>
        <v>001390</v>
      </c>
      <c r="F9447" t="s">
        <v>27246</v>
      </c>
      <c r="G9447" t="s">
        <v>27247</v>
      </c>
      <c r="H9447" t="s">
        <v>27248</v>
      </c>
      <c r="I9447" t="s">
        <v>45584</v>
      </c>
      <c r="J9447" t="s">
        <v>18898</v>
      </c>
      <c r="L9447" t="s">
        <v>27250</v>
      </c>
      <c r="M9447" t="s">
        <v>27251</v>
      </c>
      <c r="N9447" t="s">
        <v>27252</v>
      </c>
      <c r="Q9447" s="1">
        <v>44538</v>
      </c>
      <c r="R9447" t="s">
        <v>27253</v>
      </c>
      <c r="S9447" t="s">
        <v>27254</v>
      </c>
      <c r="T9447" t="s">
        <v>27255</v>
      </c>
    </row>
    <row r="9448" spans="1:20" x14ac:dyDescent="0.3">
      <c r="A9448" t="str">
        <f>"0611837572100"</f>
        <v>0611837572100</v>
      </c>
      <c r="B9448" t="str">
        <f>"LB6260"</f>
        <v>LB6260</v>
      </c>
      <c r="C9448" t="s">
        <v>45585</v>
      </c>
      <c r="D9448" t="s">
        <v>27245</v>
      </c>
      <c r="E9448" t="str">
        <f t="shared" si="147"/>
        <v>001390</v>
      </c>
      <c r="F9448" t="s">
        <v>27246</v>
      </c>
      <c r="G9448" t="s">
        <v>27247</v>
      </c>
      <c r="H9448" t="s">
        <v>27248</v>
      </c>
      <c r="I9448" t="s">
        <v>45586</v>
      </c>
      <c r="J9448" t="s">
        <v>18900</v>
      </c>
      <c r="L9448" t="s">
        <v>27250</v>
      </c>
      <c r="M9448" t="s">
        <v>27251</v>
      </c>
      <c r="N9448" t="s">
        <v>27252</v>
      </c>
      <c r="Q9448" s="1">
        <v>44538</v>
      </c>
      <c r="R9448" t="s">
        <v>27253</v>
      </c>
      <c r="S9448" t="s">
        <v>27254</v>
      </c>
      <c r="T9448" t="s">
        <v>27255</v>
      </c>
    </row>
    <row r="9449" spans="1:20" x14ac:dyDescent="0.3">
      <c r="A9449" t="str">
        <f>"0611837573100"</f>
        <v>0611837573100</v>
      </c>
      <c r="B9449" t="str">
        <f>"LB7632"</f>
        <v>LB7632</v>
      </c>
      <c r="C9449" t="s">
        <v>45587</v>
      </c>
      <c r="D9449" t="s">
        <v>27245</v>
      </c>
      <c r="E9449" t="str">
        <f t="shared" si="147"/>
        <v>001390</v>
      </c>
      <c r="F9449" t="s">
        <v>27246</v>
      </c>
      <c r="G9449" t="s">
        <v>27247</v>
      </c>
      <c r="H9449" t="s">
        <v>27248</v>
      </c>
      <c r="I9449" t="s">
        <v>45588</v>
      </c>
      <c r="J9449" t="s">
        <v>18902</v>
      </c>
      <c r="L9449" t="s">
        <v>27250</v>
      </c>
      <c r="M9449" t="s">
        <v>27251</v>
      </c>
      <c r="N9449" t="s">
        <v>27252</v>
      </c>
      <c r="Q9449" s="1">
        <v>44538</v>
      </c>
      <c r="R9449" t="s">
        <v>27253</v>
      </c>
      <c r="S9449" t="s">
        <v>27254</v>
      </c>
      <c r="T9449" t="s">
        <v>27255</v>
      </c>
    </row>
    <row r="9450" spans="1:20" x14ac:dyDescent="0.3">
      <c r="A9450" t="str">
        <f>"0611837574100"</f>
        <v>0611837574100</v>
      </c>
      <c r="B9450" t="str">
        <f>"LB7634"</f>
        <v>LB7634</v>
      </c>
      <c r="C9450" t="s">
        <v>45589</v>
      </c>
      <c r="D9450" t="s">
        <v>27245</v>
      </c>
      <c r="E9450" t="str">
        <f t="shared" si="147"/>
        <v>001390</v>
      </c>
      <c r="F9450" t="s">
        <v>27246</v>
      </c>
      <c r="G9450" t="s">
        <v>27247</v>
      </c>
      <c r="H9450" t="s">
        <v>27248</v>
      </c>
      <c r="I9450" t="s">
        <v>45590</v>
      </c>
      <c r="J9450" t="s">
        <v>18904</v>
      </c>
      <c r="L9450" t="s">
        <v>27250</v>
      </c>
      <c r="M9450" t="s">
        <v>27251</v>
      </c>
      <c r="N9450" t="s">
        <v>27252</v>
      </c>
      <c r="Q9450" s="1">
        <v>44538</v>
      </c>
      <c r="R9450" t="s">
        <v>27253</v>
      </c>
      <c r="S9450" t="s">
        <v>27254</v>
      </c>
      <c r="T9450" t="s">
        <v>27255</v>
      </c>
    </row>
    <row r="9451" spans="1:20" x14ac:dyDescent="0.3">
      <c r="A9451" t="str">
        <f>"0611837575100"</f>
        <v>0611837575100</v>
      </c>
      <c r="B9451" t="str">
        <f>"LB6263"</f>
        <v>LB6263</v>
      </c>
      <c r="C9451" t="s">
        <v>45591</v>
      </c>
      <c r="D9451" t="s">
        <v>27245</v>
      </c>
      <c r="E9451" t="str">
        <f t="shared" si="147"/>
        <v>001390</v>
      </c>
      <c r="F9451" t="s">
        <v>27246</v>
      </c>
      <c r="G9451" t="s">
        <v>27247</v>
      </c>
      <c r="H9451" t="s">
        <v>27248</v>
      </c>
      <c r="I9451" t="s">
        <v>45592</v>
      </c>
      <c r="J9451" t="s">
        <v>18906</v>
      </c>
      <c r="L9451" t="s">
        <v>27250</v>
      </c>
      <c r="M9451" t="s">
        <v>27251</v>
      </c>
      <c r="N9451" t="s">
        <v>27252</v>
      </c>
      <c r="Q9451" s="1">
        <v>44538</v>
      </c>
      <c r="R9451" t="s">
        <v>27253</v>
      </c>
      <c r="S9451" t="s">
        <v>27254</v>
      </c>
      <c r="T9451" t="s">
        <v>27255</v>
      </c>
    </row>
    <row r="9452" spans="1:20" x14ac:dyDescent="0.3">
      <c r="A9452" t="str">
        <f>"0611837576100"</f>
        <v>0611837576100</v>
      </c>
      <c r="B9452" t="str">
        <f>"LK0313"</f>
        <v>LK0313</v>
      </c>
      <c r="C9452" t="s">
        <v>45593</v>
      </c>
      <c r="D9452" t="s">
        <v>27245</v>
      </c>
      <c r="E9452" t="str">
        <f t="shared" si="147"/>
        <v>001390</v>
      </c>
      <c r="F9452" t="s">
        <v>27246</v>
      </c>
      <c r="G9452" t="s">
        <v>27247</v>
      </c>
      <c r="H9452" t="s">
        <v>27248</v>
      </c>
      <c r="I9452" t="s">
        <v>45594</v>
      </c>
      <c r="J9452" t="s">
        <v>18908</v>
      </c>
      <c r="L9452" t="s">
        <v>27250</v>
      </c>
      <c r="M9452" t="s">
        <v>27251</v>
      </c>
      <c r="N9452" t="s">
        <v>27252</v>
      </c>
      <c r="Q9452" s="1">
        <v>44538</v>
      </c>
      <c r="R9452" t="s">
        <v>27253</v>
      </c>
      <c r="S9452" t="s">
        <v>27254</v>
      </c>
      <c r="T9452" t="s">
        <v>27255</v>
      </c>
    </row>
    <row r="9453" spans="1:20" x14ac:dyDescent="0.3">
      <c r="A9453" t="str">
        <f>"0611837577100"</f>
        <v>0611837577100</v>
      </c>
      <c r="B9453" t="str">
        <f>"LB6267"</f>
        <v>LB6267</v>
      </c>
      <c r="C9453" t="s">
        <v>45595</v>
      </c>
      <c r="D9453" t="s">
        <v>27245</v>
      </c>
      <c r="E9453" t="str">
        <f t="shared" si="147"/>
        <v>001390</v>
      </c>
      <c r="F9453" t="s">
        <v>27246</v>
      </c>
      <c r="G9453" t="s">
        <v>27247</v>
      </c>
      <c r="H9453" t="s">
        <v>27248</v>
      </c>
      <c r="I9453" t="s">
        <v>45596</v>
      </c>
      <c r="J9453" t="s">
        <v>18910</v>
      </c>
      <c r="L9453" t="s">
        <v>27250</v>
      </c>
      <c r="M9453" t="s">
        <v>27251</v>
      </c>
      <c r="N9453" t="s">
        <v>27252</v>
      </c>
      <c r="Q9453" s="1">
        <v>44538</v>
      </c>
      <c r="R9453" t="s">
        <v>27253</v>
      </c>
      <c r="S9453" t="s">
        <v>27254</v>
      </c>
      <c r="T9453" t="s">
        <v>27255</v>
      </c>
    </row>
    <row r="9454" spans="1:20" x14ac:dyDescent="0.3">
      <c r="A9454" t="str">
        <f>"0611837578100"</f>
        <v>0611837578100</v>
      </c>
      <c r="B9454" t="str">
        <f>"LB6268"</f>
        <v>LB6268</v>
      </c>
      <c r="C9454" t="s">
        <v>45597</v>
      </c>
      <c r="D9454" t="s">
        <v>27245</v>
      </c>
      <c r="E9454" t="str">
        <f t="shared" si="147"/>
        <v>001390</v>
      </c>
      <c r="F9454" t="s">
        <v>27246</v>
      </c>
      <c r="G9454" t="s">
        <v>27247</v>
      </c>
      <c r="H9454" t="s">
        <v>27248</v>
      </c>
      <c r="I9454" t="s">
        <v>45598</v>
      </c>
      <c r="J9454" t="s">
        <v>18912</v>
      </c>
      <c r="L9454" t="s">
        <v>27250</v>
      </c>
      <c r="M9454" t="s">
        <v>27251</v>
      </c>
      <c r="N9454" t="s">
        <v>27252</v>
      </c>
      <c r="Q9454" s="1">
        <v>44538</v>
      </c>
      <c r="R9454" t="s">
        <v>27253</v>
      </c>
      <c r="S9454" t="s">
        <v>27254</v>
      </c>
      <c r="T9454" t="s">
        <v>27255</v>
      </c>
    </row>
    <row r="9455" spans="1:20" x14ac:dyDescent="0.3">
      <c r="A9455" t="str">
        <f>"0611837579100"</f>
        <v>0611837579100</v>
      </c>
      <c r="B9455" t="str">
        <f>"LB6269"</f>
        <v>LB6269</v>
      </c>
      <c r="C9455" t="s">
        <v>45599</v>
      </c>
      <c r="D9455" t="s">
        <v>27245</v>
      </c>
      <c r="E9455" t="str">
        <f t="shared" si="147"/>
        <v>001390</v>
      </c>
      <c r="F9455" t="s">
        <v>27246</v>
      </c>
      <c r="G9455" t="s">
        <v>27247</v>
      </c>
      <c r="H9455" t="s">
        <v>27248</v>
      </c>
      <c r="I9455" t="s">
        <v>45600</v>
      </c>
      <c r="J9455" t="s">
        <v>18914</v>
      </c>
      <c r="L9455" t="s">
        <v>27250</v>
      </c>
      <c r="M9455" t="s">
        <v>27251</v>
      </c>
      <c r="N9455" t="s">
        <v>27252</v>
      </c>
      <c r="Q9455" s="1">
        <v>44538</v>
      </c>
      <c r="R9455" t="s">
        <v>27253</v>
      </c>
      <c r="S9455" t="s">
        <v>27254</v>
      </c>
      <c r="T9455" t="s">
        <v>27255</v>
      </c>
    </row>
    <row r="9456" spans="1:20" x14ac:dyDescent="0.3">
      <c r="A9456" t="str">
        <f>"0611837580100"</f>
        <v>0611837580100</v>
      </c>
      <c r="B9456" t="str">
        <f>"LB6265"</f>
        <v>LB6265</v>
      </c>
      <c r="C9456" t="s">
        <v>45601</v>
      </c>
      <c r="D9456" t="s">
        <v>27245</v>
      </c>
      <c r="E9456" t="str">
        <f t="shared" si="147"/>
        <v>001390</v>
      </c>
      <c r="F9456" t="s">
        <v>27246</v>
      </c>
      <c r="G9456" t="s">
        <v>27247</v>
      </c>
      <c r="H9456" t="s">
        <v>27248</v>
      </c>
      <c r="I9456" t="s">
        <v>45602</v>
      </c>
      <c r="J9456" t="s">
        <v>18916</v>
      </c>
      <c r="L9456" t="s">
        <v>27250</v>
      </c>
      <c r="M9456" t="s">
        <v>27251</v>
      </c>
      <c r="N9456" t="s">
        <v>27252</v>
      </c>
      <c r="Q9456" s="1">
        <v>44538</v>
      </c>
      <c r="R9456" t="s">
        <v>27253</v>
      </c>
      <c r="S9456" t="s">
        <v>27254</v>
      </c>
      <c r="T9456" t="s">
        <v>27255</v>
      </c>
    </row>
    <row r="9457" spans="1:20" x14ac:dyDescent="0.3">
      <c r="A9457" t="str">
        <f>"0611837581100"</f>
        <v>0611837581100</v>
      </c>
      <c r="B9457" t="str">
        <f>"LK1345"</f>
        <v>LK1345</v>
      </c>
      <c r="C9457" t="s">
        <v>45603</v>
      </c>
      <c r="D9457" t="s">
        <v>27245</v>
      </c>
      <c r="E9457" t="str">
        <f t="shared" si="147"/>
        <v>001390</v>
      </c>
      <c r="F9457" t="s">
        <v>27246</v>
      </c>
      <c r="G9457" t="s">
        <v>27247</v>
      </c>
      <c r="H9457" t="s">
        <v>27248</v>
      </c>
      <c r="I9457" t="s">
        <v>45604</v>
      </c>
      <c r="J9457" t="s">
        <v>18918</v>
      </c>
      <c r="L9457" t="s">
        <v>27250</v>
      </c>
      <c r="M9457" t="s">
        <v>27251</v>
      </c>
      <c r="N9457" t="s">
        <v>27252</v>
      </c>
      <c r="Q9457" s="1">
        <v>44538</v>
      </c>
      <c r="R9457" t="s">
        <v>27253</v>
      </c>
      <c r="S9457" t="s">
        <v>27254</v>
      </c>
      <c r="T9457" t="s">
        <v>27255</v>
      </c>
    </row>
    <row r="9458" spans="1:20" x14ac:dyDescent="0.3">
      <c r="A9458" t="str">
        <f>"0611837583100"</f>
        <v>0611837583100</v>
      </c>
      <c r="B9458" t="str">
        <f>"LB7635"</f>
        <v>LB7635</v>
      </c>
      <c r="C9458" t="s">
        <v>45605</v>
      </c>
      <c r="D9458" t="s">
        <v>27245</v>
      </c>
      <c r="E9458" t="str">
        <f t="shared" si="147"/>
        <v>001390</v>
      </c>
      <c r="F9458" t="s">
        <v>27246</v>
      </c>
      <c r="G9458" t="s">
        <v>27247</v>
      </c>
      <c r="H9458" t="s">
        <v>27248</v>
      </c>
      <c r="I9458" t="s">
        <v>45606</v>
      </c>
      <c r="J9458" t="s">
        <v>18920</v>
      </c>
      <c r="L9458" t="s">
        <v>27250</v>
      </c>
      <c r="M9458" t="s">
        <v>27251</v>
      </c>
      <c r="N9458" t="s">
        <v>27252</v>
      </c>
      <c r="Q9458" s="1">
        <v>44538</v>
      </c>
      <c r="R9458" t="s">
        <v>27253</v>
      </c>
      <c r="S9458" t="s">
        <v>27254</v>
      </c>
      <c r="T9458" t="s">
        <v>27255</v>
      </c>
    </row>
    <row r="9459" spans="1:20" x14ac:dyDescent="0.3">
      <c r="A9459" t="str">
        <f>"0611837584100"</f>
        <v>0611837584100</v>
      </c>
      <c r="B9459" t="str">
        <f>"LB7637"</f>
        <v>LB7637</v>
      </c>
      <c r="C9459" t="s">
        <v>45607</v>
      </c>
      <c r="D9459" t="s">
        <v>27245</v>
      </c>
      <c r="E9459" t="str">
        <f t="shared" si="147"/>
        <v>001390</v>
      </c>
      <c r="F9459" t="s">
        <v>27246</v>
      </c>
      <c r="G9459" t="s">
        <v>27247</v>
      </c>
      <c r="H9459" t="s">
        <v>27248</v>
      </c>
      <c r="I9459" t="s">
        <v>45608</v>
      </c>
      <c r="J9459" t="s">
        <v>18922</v>
      </c>
      <c r="L9459" t="s">
        <v>27250</v>
      </c>
      <c r="M9459" t="s">
        <v>27251</v>
      </c>
      <c r="N9459" t="s">
        <v>27252</v>
      </c>
      <c r="Q9459" s="1">
        <v>44538</v>
      </c>
      <c r="R9459" t="s">
        <v>27253</v>
      </c>
      <c r="S9459" t="s">
        <v>27254</v>
      </c>
      <c r="T9459" t="s">
        <v>27255</v>
      </c>
    </row>
    <row r="9460" spans="1:20" x14ac:dyDescent="0.3">
      <c r="A9460" t="str">
        <f>"0611837585100"</f>
        <v>0611837585100</v>
      </c>
      <c r="B9460" t="str">
        <f>"LB6270"</f>
        <v>LB6270</v>
      </c>
      <c r="C9460" t="s">
        <v>45609</v>
      </c>
      <c r="D9460" t="s">
        <v>27245</v>
      </c>
      <c r="E9460" t="str">
        <f t="shared" si="147"/>
        <v>001390</v>
      </c>
      <c r="F9460" t="s">
        <v>27246</v>
      </c>
      <c r="G9460" t="s">
        <v>27247</v>
      </c>
      <c r="H9460" t="s">
        <v>27248</v>
      </c>
      <c r="I9460" t="s">
        <v>45610</v>
      </c>
      <c r="J9460" t="s">
        <v>18924</v>
      </c>
      <c r="L9460" t="s">
        <v>27250</v>
      </c>
      <c r="M9460" t="s">
        <v>27251</v>
      </c>
      <c r="N9460" t="s">
        <v>27252</v>
      </c>
      <c r="Q9460" s="1">
        <v>44538</v>
      </c>
      <c r="R9460" t="s">
        <v>27253</v>
      </c>
      <c r="S9460" t="s">
        <v>27254</v>
      </c>
      <c r="T9460" t="s">
        <v>27255</v>
      </c>
    </row>
    <row r="9461" spans="1:20" x14ac:dyDescent="0.3">
      <c r="A9461" t="str">
        <f>"0611837586100"</f>
        <v>0611837586100</v>
      </c>
      <c r="B9461" t="str">
        <f>"LB6271"</f>
        <v>LB6271</v>
      </c>
      <c r="C9461" t="s">
        <v>45611</v>
      </c>
      <c r="D9461" t="s">
        <v>27245</v>
      </c>
      <c r="E9461" t="str">
        <f t="shared" si="147"/>
        <v>001390</v>
      </c>
      <c r="F9461" t="s">
        <v>27246</v>
      </c>
      <c r="G9461" t="s">
        <v>27247</v>
      </c>
      <c r="H9461" t="s">
        <v>27248</v>
      </c>
      <c r="I9461" t="s">
        <v>45612</v>
      </c>
      <c r="J9461" t="s">
        <v>18926</v>
      </c>
      <c r="L9461" t="s">
        <v>27250</v>
      </c>
      <c r="M9461" t="s">
        <v>27251</v>
      </c>
      <c r="N9461" t="s">
        <v>27252</v>
      </c>
      <c r="Q9461" s="1">
        <v>44538</v>
      </c>
      <c r="R9461" t="s">
        <v>27253</v>
      </c>
      <c r="S9461" t="s">
        <v>27254</v>
      </c>
      <c r="T9461" t="s">
        <v>27255</v>
      </c>
    </row>
    <row r="9462" spans="1:20" x14ac:dyDescent="0.3">
      <c r="A9462" t="str">
        <f>"0611837587100"</f>
        <v>0611837587100</v>
      </c>
      <c r="B9462" t="str">
        <f>"LK0315"</f>
        <v>LK0315</v>
      </c>
      <c r="C9462" t="s">
        <v>45613</v>
      </c>
      <c r="D9462" t="s">
        <v>27245</v>
      </c>
      <c r="E9462" t="str">
        <f t="shared" si="147"/>
        <v>001390</v>
      </c>
      <c r="F9462" t="s">
        <v>27246</v>
      </c>
      <c r="G9462" t="s">
        <v>27247</v>
      </c>
      <c r="H9462" t="s">
        <v>27248</v>
      </c>
      <c r="I9462" t="s">
        <v>45614</v>
      </c>
      <c r="J9462" t="s">
        <v>19294</v>
      </c>
      <c r="L9462" t="s">
        <v>27250</v>
      </c>
      <c r="M9462" t="s">
        <v>27251</v>
      </c>
      <c r="N9462" t="s">
        <v>27252</v>
      </c>
      <c r="Q9462" s="1">
        <v>44538</v>
      </c>
      <c r="R9462" t="s">
        <v>27253</v>
      </c>
      <c r="S9462" t="s">
        <v>27254</v>
      </c>
      <c r="T9462" t="s">
        <v>27255</v>
      </c>
    </row>
    <row r="9463" spans="1:20" x14ac:dyDescent="0.3">
      <c r="A9463" t="str">
        <f>"0611837588100"</f>
        <v>0611837588100</v>
      </c>
      <c r="B9463" t="str">
        <f>"LK6655"</f>
        <v>LK6655</v>
      </c>
      <c r="C9463" t="s">
        <v>45615</v>
      </c>
      <c r="D9463" t="s">
        <v>27245</v>
      </c>
      <c r="E9463" t="str">
        <f t="shared" si="147"/>
        <v>001390</v>
      </c>
      <c r="F9463" t="s">
        <v>27246</v>
      </c>
      <c r="G9463" t="s">
        <v>27247</v>
      </c>
      <c r="H9463" t="s">
        <v>27248</v>
      </c>
      <c r="I9463" t="s">
        <v>45616</v>
      </c>
      <c r="J9463" t="s">
        <v>19298</v>
      </c>
      <c r="L9463" t="s">
        <v>27250</v>
      </c>
      <c r="M9463" t="s">
        <v>27251</v>
      </c>
      <c r="N9463" t="s">
        <v>27252</v>
      </c>
      <c r="Q9463" s="1">
        <v>44538</v>
      </c>
      <c r="R9463" t="s">
        <v>27253</v>
      </c>
      <c r="S9463" t="s">
        <v>27254</v>
      </c>
      <c r="T9463" t="s">
        <v>27255</v>
      </c>
    </row>
    <row r="9464" spans="1:20" x14ac:dyDescent="0.3">
      <c r="A9464" t="str">
        <f>"0611837589100"</f>
        <v>0611837589100</v>
      </c>
      <c r="B9464" t="str">
        <f>"LB6207"</f>
        <v>LB6207</v>
      </c>
      <c r="C9464" t="s">
        <v>45617</v>
      </c>
      <c r="D9464" t="s">
        <v>27245</v>
      </c>
      <c r="E9464" t="str">
        <f t="shared" si="147"/>
        <v>001390</v>
      </c>
      <c r="F9464" t="s">
        <v>27246</v>
      </c>
      <c r="G9464" t="s">
        <v>27247</v>
      </c>
      <c r="H9464" t="s">
        <v>27248</v>
      </c>
      <c r="I9464" t="s">
        <v>45618</v>
      </c>
      <c r="J9464" t="s">
        <v>18928</v>
      </c>
      <c r="L9464" t="s">
        <v>27250</v>
      </c>
      <c r="M9464" t="s">
        <v>27251</v>
      </c>
      <c r="N9464" t="s">
        <v>27252</v>
      </c>
      <c r="Q9464" s="1">
        <v>44538</v>
      </c>
      <c r="R9464" t="s">
        <v>27253</v>
      </c>
      <c r="S9464" t="s">
        <v>27254</v>
      </c>
      <c r="T9464" t="s">
        <v>27255</v>
      </c>
    </row>
    <row r="9465" spans="1:20" x14ac:dyDescent="0.3">
      <c r="A9465" t="str">
        <f>"0611837590100"</f>
        <v>0611837590100</v>
      </c>
      <c r="B9465" t="str">
        <f>"LK1713"</f>
        <v>LK1713</v>
      </c>
      <c r="C9465" t="s">
        <v>45619</v>
      </c>
      <c r="D9465" t="s">
        <v>27245</v>
      </c>
      <c r="E9465" t="str">
        <f t="shared" si="147"/>
        <v>001390</v>
      </c>
      <c r="F9465" t="s">
        <v>27246</v>
      </c>
      <c r="G9465" t="s">
        <v>27247</v>
      </c>
      <c r="H9465" t="s">
        <v>27248</v>
      </c>
      <c r="I9465" t="s">
        <v>45620</v>
      </c>
      <c r="J9465" t="s">
        <v>19288</v>
      </c>
      <c r="L9465" t="s">
        <v>27250</v>
      </c>
      <c r="M9465" t="s">
        <v>27251</v>
      </c>
      <c r="N9465" t="s">
        <v>27252</v>
      </c>
      <c r="Q9465" s="1">
        <v>44538</v>
      </c>
      <c r="R9465" t="s">
        <v>27253</v>
      </c>
      <c r="S9465" t="s">
        <v>27254</v>
      </c>
      <c r="T9465" t="s">
        <v>27255</v>
      </c>
    </row>
    <row r="9466" spans="1:20" x14ac:dyDescent="0.3">
      <c r="A9466" t="str">
        <f>"0611837591100"</f>
        <v>0611837591100</v>
      </c>
      <c r="B9466" t="str">
        <f>"LB6261"</f>
        <v>LB6261</v>
      </c>
      <c r="C9466" t="s">
        <v>45621</v>
      </c>
      <c r="D9466" t="s">
        <v>27245</v>
      </c>
      <c r="E9466" t="str">
        <f t="shared" si="147"/>
        <v>001390</v>
      </c>
      <c r="F9466" t="s">
        <v>27246</v>
      </c>
      <c r="G9466" t="s">
        <v>27247</v>
      </c>
      <c r="H9466" t="s">
        <v>27248</v>
      </c>
      <c r="I9466" t="s">
        <v>45622</v>
      </c>
      <c r="J9466" t="s">
        <v>19290</v>
      </c>
      <c r="L9466" t="s">
        <v>27250</v>
      </c>
      <c r="M9466" t="s">
        <v>27251</v>
      </c>
      <c r="N9466" t="s">
        <v>27252</v>
      </c>
      <c r="Q9466" s="1">
        <v>44538</v>
      </c>
      <c r="R9466" t="s">
        <v>27253</v>
      </c>
      <c r="S9466" t="s">
        <v>27254</v>
      </c>
      <c r="T9466" t="s">
        <v>27255</v>
      </c>
    </row>
    <row r="9467" spans="1:20" x14ac:dyDescent="0.3">
      <c r="A9467" t="str">
        <f>"0611837592100"</f>
        <v>0611837592100</v>
      </c>
      <c r="B9467" t="str">
        <f>"LK0314"</f>
        <v>LK0314</v>
      </c>
      <c r="C9467" t="s">
        <v>45623</v>
      </c>
      <c r="D9467" t="s">
        <v>27245</v>
      </c>
      <c r="E9467" t="str">
        <f t="shared" si="147"/>
        <v>001390</v>
      </c>
      <c r="F9467" t="s">
        <v>27246</v>
      </c>
      <c r="G9467" t="s">
        <v>27247</v>
      </c>
      <c r="H9467" t="s">
        <v>27248</v>
      </c>
      <c r="I9467" t="s">
        <v>45624</v>
      </c>
      <c r="J9467" t="s">
        <v>19292</v>
      </c>
      <c r="L9467" t="s">
        <v>27250</v>
      </c>
      <c r="M9467" t="s">
        <v>27251</v>
      </c>
      <c r="N9467" t="s">
        <v>27252</v>
      </c>
      <c r="Q9467" s="1">
        <v>44538</v>
      </c>
      <c r="R9467" t="s">
        <v>27253</v>
      </c>
      <c r="S9467" t="s">
        <v>27254</v>
      </c>
      <c r="T9467" t="s">
        <v>27255</v>
      </c>
    </row>
    <row r="9468" spans="1:20" x14ac:dyDescent="0.3">
      <c r="A9468" t="str">
        <f>"0611837593100"</f>
        <v>0611837593100</v>
      </c>
      <c r="B9468" t="str">
        <f>"LB6262"</f>
        <v>LB6262</v>
      </c>
      <c r="C9468" t="s">
        <v>45625</v>
      </c>
      <c r="D9468" t="s">
        <v>27245</v>
      </c>
      <c r="E9468" t="str">
        <f t="shared" si="147"/>
        <v>001390</v>
      </c>
      <c r="F9468" t="s">
        <v>27246</v>
      </c>
      <c r="G9468" t="s">
        <v>27247</v>
      </c>
      <c r="H9468" t="s">
        <v>27248</v>
      </c>
      <c r="I9468" t="s">
        <v>45626</v>
      </c>
      <c r="J9468" t="s">
        <v>19296</v>
      </c>
      <c r="L9468" t="s">
        <v>27250</v>
      </c>
      <c r="M9468" t="s">
        <v>27251</v>
      </c>
      <c r="N9468" t="s">
        <v>27252</v>
      </c>
      <c r="Q9468" s="1">
        <v>44538</v>
      </c>
      <c r="R9468" t="s">
        <v>27253</v>
      </c>
      <c r="S9468" t="s">
        <v>27254</v>
      </c>
      <c r="T9468" t="s">
        <v>27255</v>
      </c>
    </row>
    <row r="9469" spans="1:20" x14ac:dyDescent="0.3">
      <c r="A9469" t="str">
        <f>"0611837594100"</f>
        <v>0611837594100</v>
      </c>
      <c r="B9469" t="str">
        <f>"LB6583"</f>
        <v>LB6583</v>
      </c>
      <c r="C9469" t="s">
        <v>45627</v>
      </c>
      <c r="D9469" t="s">
        <v>27245</v>
      </c>
      <c r="E9469" t="str">
        <f t="shared" si="147"/>
        <v>001390</v>
      </c>
      <c r="F9469" t="s">
        <v>27246</v>
      </c>
      <c r="G9469" t="s">
        <v>27247</v>
      </c>
      <c r="H9469" t="s">
        <v>27248</v>
      </c>
      <c r="I9469" t="s">
        <v>45628</v>
      </c>
      <c r="J9469" t="s">
        <v>18930</v>
      </c>
      <c r="L9469" t="s">
        <v>27250</v>
      </c>
      <c r="M9469" t="s">
        <v>27251</v>
      </c>
      <c r="N9469" t="s">
        <v>27252</v>
      </c>
      <c r="Q9469" s="1">
        <v>44538</v>
      </c>
      <c r="R9469" t="s">
        <v>27253</v>
      </c>
      <c r="S9469" t="s">
        <v>27254</v>
      </c>
      <c r="T9469" t="s">
        <v>27255</v>
      </c>
    </row>
    <row r="9470" spans="1:20" x14ac:dyDescent="0.3">
      <c r="A9470" t="str">
        <f>"0611837595100"</f>
        <v>0611837595100</v>
      </c>
      <c r="B9470" t="str">
        <f>"LB6209"</f>
        <v>LB6209</v>
      </c>
      <c r="C9470" t="s">
        <v>45629</v>
      </c>
      <c r="D9470" t="s">
        <v>27245</v>
      </c>
      <c r="E9470" t="str">
        <f t="shared" si="147"/>
        <v>001390</v>
      </c>
      <c r="F9470" t="s">
        <v>27246</v>
      </c>
      <c r="G9470" t="s">
        <v>27247</v>
      </c>
      <c r="H9470" t="s">
        <v>27248</v>
      </c>
      <c r="I9470" t="s">
        <v>45630</v>
      </c>
      <c r="J9470" t="s">
        <v>18932</v>
      </c>
      <c r="L9470" t="s">
        <v>27250</v>
      </c>
      <c r="M9470" t="s">
        <v>27251</v>
      </c>
      <c r="N9470" t="s">
        <v>27252</v>
      </c>
      <c r="Q9470" s="1">
        <v>44538</v>
      </c>
      <c r="R9470" t="s">
        <v>27253</v>
      </c>
      <c r="S9470" t="s">
        <v>27254</v>
      </c>
      <c r="T9470" t="s">
        <v>27255</v>
      </c>
    </row>
    <row r="9471" spans="1:20" x14ac:dyDescent="0.3">
      <c r="A9471" t="str">
        <f>"0611837596100"</f>
        <v>0611837596100</v>
      </c>
      <c r="B9471" t="str">
        <f>"LB7247"</f>
        <v>LB7247</v>
      </c>
      <c r="C9471" t="s">
        <v>45631</v>
      </c>
      <c r="D9471" t="s">
        <v>27245</v>
      </c>
      <c r="E9471" t="str">
        <f t="shared" si="147"/>
        <v>001390</v>
      </c>
      <c r="F9471" t="s">
        <v>27246</v>
      </c>
      <c r="G9471" t="s">
        <v>27247</v>
      </c>
      <c r="H9471" t="s">
        <v>27248</v>
      </c>
      <c r="I9471" t="s">
        <v>45632</v>
      </c>
      <c r="J9471" t="s">
        <v>18934</v>
      </c>
      <c r="L9471" t="s">
        <v>27250</v>
      </c>
      <c r="M9471" t="s">
        <v>27251</v>
      </c>
      <c r="N9471" t="s">
        <v>27252</v>
      </c>
      <c r="Q9471" s="1">
        <v>44538</v>
      </c>
      <c r="R9471" t="s">
        <v>27253</v>
      </c>
      <c r="S9471" t="s">
        <v>27254</v>
      </c>
      <c r="T9471" t="s">
        <v>27255</v>
      </c>
    </row>
    <row r="9472" spans="1:20" x14ac:dyDescent="0.3">
      <c r="A9472" t="str">
        <f>"0611837597100"</f>
        <v>0611837597100</v>
      </c>
      <c r="B9472" t="str">
        <f>"LB6211"</f>
        <v>LB6211</v>
      </c>
      <c r="C9472" t="s">
        <v>45633</v>
      </c>
      <c r="D9472" t="s">
        <v>27245</v>
      </c>
      <c r="E9472" t="str">
        <f t="shared" si="147"/>
        <v>001390</v>
      </c>
      <c r="F9472" t="s">
        <v>27246</v>
      </c>
      <c r="G9472" t="s">
        <v>27247</v>
      </c>
      <c r="H9472" t="s">
        <v>27248</v>
      </c>
      <c r="I9472" t="s">
        <v>45634</v>
      </c>
      <c r="J9472" t="s">
        <v>18936</v>
      </c>
      <c r="L9472" t="s">
        <v>27250</v>
      </c>
      <c r="M9472" t="s">
        <v>27251</v>
      </c>
      <c r="N9472" t="s">
        <v>27252</v>
      </c>
      <c r="Q9472" s="1">
        <v>44538</v>
      </c>
      <c r="R9472" t="s">
        <v>27253</v>
      </c>
      <c r="S9472" t="s">
        <v>27254</v>
      </c>
      <c r="T9472" t="s">
        <v>27255</v>
      </c>
    </row>
    <row r="9473" spans="1:20" x14ac:dyDescent="0.3">
      <c r="A9473" t="str">
        <f>"0611884370100"</f>
        <v>0611884370100</v>
      </c>
      <c r="B9473" t="str">
        <f>"LQ6301"</f>
        <v>LQ6301</v>
      </c>
      <c r="C9473" t="s">
        <v>45635</v>
      </c>
      <c r="D9473" t="s">
        <v>27245</v>
      </c>
      <c r="E9473" t="str">
        <f t="shared" si="147"/>
        <v>001390</v>
      </c>
      <c r="F9473" t="s">
        <v>27246</v>
      </c>
      <c r="G9473" t="s">
        <v>27247</v>
      </c>
      <c r="H9473" t="s">
        <v>27248</v>
      </c>
      <c r="I9473" t="s">
        <v>45636</v>
      </c>
      <c r="J9473" t="s">
        <v>18938</v>
      </c>
      <c r="L9473" t="s">
        <v>27430</v>
      </c>
      <c r="M9473" t="s">
        <v>27251</v>
      </c>
      <c r="N9473" t="s">
        <v>27252</v>
      </c>
      <c r="Q9473" s="1">
        <v>45250</v>
      </c>
      <c r="R9473" t="s">
        <v>27253</v>
      </c>
      <c r="S9473" t="s">
        <v>27254</v>
      </c>
      <c r="T9473" t="s">
        <v>27255</v>
      </c>
    </row>
    <row r="9474" spans="1:20" x14ac:dyDescent="0.3">
      <c r="A9474" t="str">
        <f>"0611837598100"</f>
        <v>0611837598100</v>
      </c>
      <c r="B9474" t="str">
        <f>"LQ5967"</f>
        <v>LQ5967</v>
      </c>
      <c r="C9474" t="s">
        <v>45637</v>
      </c>
      <c r="D9474" t="s">
        <v>27245</v>
      </c>
      <c r="E9474" t="str">
        <f t="shared" ref="E9474:E9537" si="148">"001390"</f>
        <v>001390</v>
      </c>
      <c r="F9474" t="s">
        <v>27246</v>
      </c>
      <c r="G9474" t="s">
        <v>27247</v>
      </c>
      <c r="H9474" t="s">
        <v>27248</v>
      </c>
      <c r="I9474" t="s">
        <v>45638</v>
      </c>
      <c r="J9474" t="s">
        <v>18940</v>
      </c>
      <c r="L9474" t="s">
        <v>27250</v>
      </c>
      <c r="M9474" t="s">
        <v>27251</v>
      </c>
      <c r="N9474" t="s">
        <v>27252</v>
      </c>
      <c r="Q9474" s="1">
        <v>44538</v>
      </c>
      <c r="R9474" t="s">
        <v>27253</v>
      </c>
      <c r="S9474" t="s">
        <v>27254</v>
      </c>
      <c r="T9474" t="s">
        <v>27255</v>
      </c>
    </row>
    <row r="9475" spans="1:20" x14ac:dyDescent="0.3">
      <c r="A9475" t="str">
        <f>"0611837599100"</f>
        <v>0611837599100</v>
      </c>
      <c r="B9475" t="str">
        <f>"LQ5536"</f>
        <v>LQ5536</v>
      </c>
      <c r="C9475" t="s">
        <v>45639</v>
      </c>
      <c r="D9475" t="s">
        <v>27245</v>
      </c>
      <c r="E9475" t="str">
        <f t="shared" si="148"/>
        <v>001390</v>
      </c>
      <c r="F9475" t="s">
        <v>27246</v>
      </c>
      <c r="G9475" t="s">
        <v>27247</v>
      </c>
      <c r="H9475" t="s">
        <v>27248</v>
      </c>
      <c r="I9475" t="s">
        <v>45640</v>
      </c>
      <c r="J9475" t="s">
        <v>18942</v>
      </c>
      <c r="L9475" t="s">
        <v>27250</v>
      </c>
      <c r="M9475" t="s">
        <v>27251</v>
      </c>
      <c r="N9475" t="s">
        <v>27252</v>
      </c>
      <c r="Q9475" s="1">
        <v>44538</v>
      </c>
      <c r="R9475" t="s">
        <v>27253</v>
      </c>
      <c r="S9475" t="s">
        <v>27254</v>
      </c>
      <c r="T9475" t="s">
        <v>27255</v>
      </c>
    </row>
    <row r="9476" spans="1:20" x14ac:dyDescent="0.3">
      <c r="A9476" t="str">
        <f>"0611837600100"</f>
        <v>0611837600100</v>
      </c>
      <c r="B9476" t="str">
        <f>"LQ6108"</f>
        <v>LQ6108</v>
      </c>
      <c r="C9476" t="s">
        <v>45641</v>
      </c>
      <c r="D9476" t="s">
        <v>27245</v>
      </c>
      <c r="E9476" t="str">
        <f t="shared" si="148"/>
        <v>001390</v>
      </c>
      <c r="F9476" t="s">
        <v>27246</v>
      </c>
      <c r="G9476" t="s">
        <v>27247</v>
      </c>
      <c r="H9476" t="s">
        <v>27248</v>
      </c>
      <c r="I9476" t="s">
        <v>45642</v>
      </c>
      <c r="J9476" t="s">
        <v>18944</v>
      </c>
      <c r="L9476" t="s">
        <v>27250</v>
      </c>
      <c r="M9476" t="s">
        <v>27251</v>
      </c>
      <c r="N9476" t="s">
        <v>27252</v>
      </c>
      <c r="Q9476" s="1">
        <v>44538</v>
      </c>
      <c r="R9476" t="s">
        <v>27253</v>
      </c>
      <c r="S9476" t="s">
        <v>27254</v>
      </c>
      <c r="T9476" t="s">
        <v>27255</v>
      </c>
    </row>
    <row r="9477" spans="1:20" x14ac:dyDescent="0.3">
      <c r="A9477" t="str">
        <f>"0611837601100"</f>
        <v>0611837601100</v>
      </c>
      <c r="B9477" t="str">
        <f>"LQ6209"</f>
        <v>LQ6209</v>
      </c>
      <c r="C9477" t="s">
        <v>45643</v>
      </c>
      <c r="D9477" t="s">
        <v>27245</v>
      </c>
      <c r="E9477" t="str">
        <f t="shared" si="148"/>
        <v>001390</v>
      </c>
      <c r="F9477" t="s">
        <v>27246</v>
      </c>
      <c r="G9477" t="s">
        <v>27247</v>
      </c>
      <c r="H9477" t="s">
        <v>27248</v>
      </c>
      <c r="I9477" t="s">
        <v>45644</v>
      </c>
      <c r="J9477" t="s">
        <v>18946</v>
      </c>
      <c r="L9477" t="s">
        <v>27250</v>
      </c>
      <c r="M9477" t="s">
        <v>27251</v>
      </c>
      <c r="N9477" t="s">
        <v>27252</v>
      </c>
      <c r="Q9477" s="1">
        <v>44538</v>
      </c>
      <c r="R9477" t="s">
        <v>27253</v>
      </c>
      <c r="S9477" t="s">
        <v>27254</v>
      </c>
      <c r="T9477" t="s">
        <v>27255</v>
      </c>
    </row>
    <row r="9478" spans="1:20" x14ac:dyDescent="0.3">
      <c r="A9478" t="str">
        <f>"0611837602100"</f>
        <v>0611837602100</v>
      </c>
      <c r="B9478" t="str">
        <f>"LQ5868"</f>
        <v>LQ5868</v>
      </c>
      <c r="C9478" t="s">
        <v>45645</v>
      </c>
      <c r="D9478" t="s">
        <v>27245</v>
      </c>
      <c r="E9478" t="str">
        <f t="shared" si="148"/>
        <v>001390</v>
      </c>
      <c r="F9478" t="s">
        <v>27246</v>
      </c>
      <c r="G9478" t="s">
        <v>27247</v>
      </c>
      <c r="H9478" t="s">
        <v>27248</v>
      </c>
      <c r="I9478" t="s">
        <v>45646</v>
      </c>
      <c r="J9478" t="s">
        <v>18948</v>
      </c>
      <c r="L9478" t="s">
        <v>27250</v>
      </c>
      <c r="M9478" t="s">
        <v>27251</v>
      </c>
      <c r="N9478" t="s">
        <v>27252</v>
      </c>
      <c r="Q9478" s="1">
        <v>44538</v>
      </c>
      <c r="R9478" t="s">
        <v>27253</v>
      </c>
      <c r="S9478" t="s">
        <v>27254</v>
      </c>
      <c r="T9478" t="s">
        <v>27255</v>
      </c>
    </row>
    <row r="9479" spans="1:20" x14ac:dyDescent="0.3">
      <c r="A9479" t="str">
        <f>"0611857061100"</f>
        <v>0611857061100</v>
      </c>
      <c r="B9479" t="str">
        <f>"LQ6271"</f>
        <v>LQ6271</v>
      </c>
      <c r="C9479" t="s">
        <v>45647</v>
      </c>
      <c r="D9479" t="s">
        <v>27245</v>
      </c>
      <c r="E9479" t="str">
        <f t="shared" si="148"/>
        <v>001390</v>
      </c>
      <c r="F9479" t="s">
        <v>27246</v>
      </c>
      <c r="G9479" t="s">
        <v>27247</v>
      </c>
      <c r="H9479" t="s">
        <v>27248</v>
      </c>
      <c r="I9479" t="s">
        <v>45648</v>
      </c>
      <c r="J9479" t="s">
        <v>18950</v>
      </c>
      <c r="L9479" t="s">
        <v>27250</v>
      </c>
      <c r="M9479" t="s">
        <v>27251</v>
      </c>
      <c r="N9479" t="s">
        <v>27252</v>
      </c>
      <c r="Q9479" s="1">
        <v>44812</v>
      </c>
      <c r="R9479" t="s">
        <v>27253</v>
      </c>
      <c r="S9479" t="s">
        <v>27254</v>
      </c>
      <c r="T9479" t="s">
        <v>27255</v>
      </c>
    </row>
    <row r="9480" spans="1:20" x14ac:dyDescent="0.3">
      <c r="A9480" t="str">
        <f>"0611837603100"</f>
        <v>0611837603100</v>
      </c>
      <c r="B9480" t="str">
        <f>"LQ6210"</f>
        <v>LQ6210</v>
      </c>
      <c r="C9480" t="s">
        <v>45649</v>
      </c>
      <c r="D9480" t="s">
        <v>27245</v>
      </c>
      <c r="E9480" t="str">
        <f t="shared" si="148"/>
        <v>001390</v>
      </c>
      <c r="F9480" t="s">
        <v>27246</v>
      </c>
      <c r="G9480" t="s">
        <v>27247</v>
      </c>
      <c r="H9480" t="s">
        <v>27248</v>
      </c>
      <c r="I9480" t="s">
        <v>45650</v>
      </c>
      <c r="J9480" t="s">
        <v>18952</v>
      </c>
      <c r="L9480" t="s">
        <v>27250</v>
      </c>
      <c r="M9480" t="s">
        <v>27251</v>
      </c>
      <c r="N9480" t="s">
        <v>27252</v>
      </c>
      <c r="Q9480" s="1">
        <v>44538</v>
      </c>
      <c r="R9480" t="s">
        <v>27253</v>
      </c>
      <c r="S9480" t="s">
        <v>27254</v>
      </c>
      <c r="T9480" t="s">
        <v>27255</v>
      </c>
    </row>
    <row r="9481" spans="1:20" x14ac:dyDescent="0.3">
      <c r="A9481" t="str">
        <f>"0611837604100"</f>
        <v>0611837604100</v>
      </c>
      <c r="B9481" t="str">
        <f>"LQ6109"</f>
        <v>LQ6109</v>
      </c>
      <c r="C9481" t="s">
        <v>45651</v>
      </c>
      <c r="D9481" t="s">
        <v>27245</v>
      </c>
      <c r="E9481" t="str">
        <f t="shared" si="148"/>
        <v>001390</v>
      </c>
      <c r="F9481" t="s">
        <v>27246</v>
      </c>
      <c r="G9481" t="s">
        <v>27247</v>
      </c>
      <c r="H9481" t="s">
        <v>27248</v>
      </c>
      <c r="I9481" t="s">
        <v>45652</v>
      </c>
      <c r="J9481" t="s">
        <v>18954</v>
      </c>
      <c r="L9481" t="s">
        <v>27250</v>
      </c>
      <c r="M9481" t="s">
        <v>27251</v>
      </c>
      <c r="N9481" t="s">
        <v>27252</v>
      </c>
      <c r="Q9481" s="1">
        <v>44538</v>
      </c>
      <c r="R9481" t="s">
        <v>27253</v>
      </c>
      <c r="S9481" t="s">
        <v>27254</v>
      </c>
      <c r="T9481" t="s">
        <v>27255</v>
      </c>
    </row>
    <row r="9482" spans="1:20" x14ac:dyDescent="0.3">
      <c r="A9482" t="str">
        <f>"0611837605100"</f>
        <v>0611837605100</v>
      </c>
      <c r="B9482" t="str">
        <f>"LQ5968"</f>
        <v>LQ5968</v>
      </c>
      <c r="C9482" t="s">
        <v>45653</v>
      </c>
      <c r="D9482" t="s">
        <v>27245</v>
      </c>
      <c r="E9482" t="str">
        <f t="shared" si="148"/>
        <v>001390</v>
      </c>
      <c r="F9482" t="s">
        <v>27246</v>
      </c>
      <c r="G9482" t="s">
        <v>27247</v>
      </c>
      <c r="H9482" t="s">
        <v>27248</v>
      </c>
      <c r="I9482" t="s">
        <v>45654</v>
      </c>
      <c r="J9482" t="s">
        <v>18956</v>
      </c>
      <c r="L9482" t="s">
        <v>27250</v>
      </c>
      <c r="M9482" t="s">
        <v>27251</v>
      </c>
      <c r="N9482" t="s">
        <v>27252</v>
      </c>
      <c r="Q9482" s="1">
        <v>44538</v>
      </c>
      <c r="R9482" t="s">
        <v>27253</v>
      </c>
      <c r="S9482" t="s">
        <v>27254</v>
      </c>
      <c r="T9482" t="s">
        <v>27255</v>
      </c>
    </row>
    <row r="9483" spans="1:20" x14ac:dyDescent="0.3">
      <c r="A9483" t="str">
        <f>"0611857062100"</f>
        <v>0611857062100</v>
      </c>
      <c r="B9483" t="str">
        <f>"LQ6272"</f>
        <v>LQ6272</v>
      </c>
      <c r="C9483" t="s">
        <v>45655</v>
      </c>
      <c r="D9483" t="s">
        <v>27245</v>
      </c>
      <c r="E9483" t="str">
        <f t="shared" si="148"/>
        <v>001390</v>
      </c>
      <c r="F9483" t="s">
        <v>27246</v>
      </c>
      <c r="G9483" t="s">
        <v>27247</v>
      </c>
      <c r="H9483" t="s">
        <v>27248</v>
      </c>
      <c r="I9483" t="s">
        <v>45656</v>
      </c>
      <c r="J9483" t="s">
        <v>18958</v>
      </c>
      <c r="L9483" t="s">
        <v>27250</v>
      </c>
      <c r="M9483" t="s">
        <v>27251</v>
      </c>
      <c r="N9483" t="s">
        <v>27252</v>
      </c>
      <c r="Q9483" s="1">
        <v>44812</v>
      </c>
      <c r="R9483" t="s">
        <v>27253</v>
      </c>
      <c r="S9483" t="s">
        <v>27254</v>
      </c>
      <c r="T9483" t="s">
        <v>27255</v>
      </c>
    </row>
    <row r="9484" spans="1:20" x14ac:dyDescent="0.3">
      <c r="A9484" t="str">
        <f>"0611837606100"</f>
        <v>0611837606100</v>
      </c>
      <c r="B9484" t="str">
        <f>"LQ6110"</f>
        <v>LQ6110</v>
      </c>
      <c r="C9484" t="s">
        <v>45657</v>
      </c>
      <c r="D9484" t="s">
        <v>27245</v>
      </c>
      <c r="E9484" t="str">
        <f t="shared" si="148"/>
        <v>001390</v>
      </c>
      <c r="F9484" t="s">
        <v>27246</v>
      </c>
      <c r="G9484" t="s">
        <v>27247</v>
      </c>
      <c r="H9484" t="s">
        <v>27248</v>
      </c>
      <c r="I9484" t="s">
        <v>45658</v>
      </c>
      <c r="J9484" t="s">
        <v>18960</v>
      </c>
      <c r="L9484" t="s">
        <v>27250</v>
      </c>
      <c r="M9484" t="s">
        <v>27251</v>
      </c>
      <c r="N9484" t="s">
        <v>27252</v>
      </c>
      <c r="Q9484" s="1">
        <v>44538</v>
      </c>
      <c r="R9484" t="s">
        <v>27253</v>
      </c>
      <c r="S9484" t="s">
        <v>27254</v>
      </c>
      <c r="T9484" t="s">
        <v>27255</v>
      </c>
    </row>
    <row r="9485" spans="1:20" x14ac:dyDescent="0.3">
      <c r="A9485" t="str">
        <f>"0611837608100"</f>
        <v>0611837608100</v>
      </c>
      <c r="B9485" t="str">
        <f>"LQ6028"</f>
        <v>LQ6028</v>
      </c>
      <c r="C9485" t="s">
        <v>45659</v>
      </c>
      <c r="D9485" t="s">
        <v>27245</v>
      </c>
      <c r="E9485" t="str">
        <f t="shared" si="148"/>
        <v>001390</v>
      </c>
      <c r="F9485" t="s">
        <v>27246</v>
      </c>
      <c r="G9485" t="s">
        <v>27247</v>
      </c>
      <c r="H9485" t="s">
        <v>27248</v>
      </c>
      <c r="I9485" t="s">
        <v>45660</v>
      </c>
      <c r="J9485" t="s">
        <v>18962</v>
      </c>
      <c r="L9485" t="s">
        <v>27250</v>
      </c>
      <c r="M9485" t="s">
        <v>27251</v>
      </c>
      <c r="N9485" t="s">
        <v>27252</v>
      </c>
      <c r="Q9485" s="1">
        <v>44538</v>
      </c>
      <c r="R9485" t="s">
        <v>27253</v>
      </c>
      <c r="S9485" t="s">
        <v>27254</v>
      </c>
      <c r="T9485" t="s">
        <v>27255</v>
      </c>
    </row>
    <row r="9486" spans="1:20" x14ac:dyDescent="0.3">
      <c r="A9486" t="str">
        <f>"0611837609100"</f>
        <v>0611837609100</v>
      </c>
      <c r="B9486" t="str">
        <f>"LQ6111"</f>
        <v>LQ6111</v>
      </c>
      <c r="C9486" t="s">
        <v>45661</v>
      </c>
      <c r="D9486" t="s">
        <v>27245</v>
      </c>
      <c r="E9486" t="str">
        <f t="shared" si="148"/>
        <v>001390</v>
      </c>
      <c r="F9486" t="s">
        <v>27246</v>
      </c>
      <c r="G9486" t="s">
        <v>27247</v>
      </c>
      <c r="H9486" t="s">
        <v>27248</v>
      </c>
      <c r="I9486" t="s">
        <v>45662</v>
      </c>
      <c r="J9486" t="s">
        <v>18964</v>
      </c>
      <c r="L9486" t="s">
        <v>27250</v>
      </c>
      <c r="M9486" t="s">
        <v>27251</v>
      </c>
      <c r="N9486" t="s">
        <v>27252</v>
      </c>
      <c r="Q9486" s="1">
        <v>44538</v>
      </c>
      <c r="R9486" t="s">
        <v>27253</v>
      </c>
      <c r="S9486" t="s">
        <v>27254</v>
      </c>
      <c r="T9486" t="s">
        <v>27255</v>
      </c>
    </row>
    <row r="9487" spans="1:20" x14ac:dyDescent="0.3">
      <c r="A9487" t="str">
        <f>"0611837610100"</f>
        <v>0611837610100</v>
      </c>
      <c r="B9487" t="str">
        <f>"LK6810"</f>
        <v>LK6810</v>
      </c>
      <c r="C9487" t="s">
        <v>45663</v>
      </c>
      <c r="D9487" t="s">
        <v>27245</v>
      </c>
      <c r="E9487" t="str">
        <f t="shared" si="148"/>
        <v>001390</v>
      </c>
      <c r="F9487" t="s">
        <v>27246</v>
      </c>
      <c r="G9487" t="s">
        <v>27247</v>
      </c>
      <c r="H9487" t="s">
        <v>27248</v>
      </c>
      <c r="I9487" t="s">
        <v>45664</v>
      </c>
      <c r="J9487" t="s">
        <v>18966</v>
      </c>
      <c r="L9487" t="s">
        <v>27250</v>
      </c>
      <c r="M9487" t="s">
        <v>27251</v>
      </c>
      <c r="N9487" t="s">
        <v>27252</v>
      </c>
      <c r="Q9487" s="1">
        <v>44538</v>
      </c>
      <c r="R9487" t="s">
        <v>27253</v>
      </c>
      <c r="S9487" t="s">
        <v>27254</v>
      </c>
      <c r="T9487" t="s">
        <v>27255</v>
      </c>
    </row>
    <row r="9488" spans="1:20" x14ac:dyDescent="0.3">
      <c r="A9488" t="str">
        <f>"0611837611100"</f>
        <v>0611837611100</v>
      </c>
      <c r="B9488" t="str">
        <f>"LK6811"</f>
        <v>LK6811</v>
      </c>
      <c r="C9488" t="s">
        <v>45665</v>
      </c>
      <c r="D9488" t="s">
        <v>27245</v>
      </c>
      <c r="E9488" t="str">
        <f t="shared" si="148"/>
        <v>001390</v>
      </c>
      <c r="F9488" t="s">
        <v>27246</v>
      </c>
      <c r="G9488" t="s">
        <v>27247</v>
      </c>
      <c r="H9488" t="s">
        <v>27248</v>
      </c>
      <c r="I9488" t="s">
        <v>45666</v>
      </c>
      <c r="J9488" t="s">
        <v>18968</v>
      </c>
      <c r="L9488" t="s">
        <v>27250</v>
      </c>
      <c r="M9488" t="s">
        <v>27251</v>
      </c>
      <c r="N9488" t="s">
        <v>27252</v>
      </c>
      <c r="Q9488" s="1">
        <v>44538</v>
      </c>
      <c r="R9488" t="s">
        <v>27253</v>
      </c>
      <c r="S9488" t="s">
        <v>27254</v>
      </c>
      <c r="T9488" t="s">
        <v>27255</v>
      </c>
    </row>
    <row r="9489" spans="1:20" x14ac:dyDescent="0.3">
      <c r="A9489" t="str">
        <f>"0611837612100"</f>
        <v>0611837612100</v>
      </c>
      <c r="B9489" t="str">
        <f>"LQ6125"</f>
        <v>LQ6125</v>
      </c>
      <c r="C9489" t="s">
        <v>45667</v>
      </c>
      <c r="D9489" t="s">
        <v>27245</v>
      </c>
      <c r="E9489" t="str">
        <f t="shared" si="148"/>
        <v>001390</v>
      </c>
      <c r="F9489" t="s">
        <v>27246</v>
      </c>
      <c r="G9489" t="s">
        <v>27247</v>
      </c>
      <c r="H9489" t="s">
        <v>27248</v>
      </c>
      <c r="I9489" t="s">
        <v>45668</v>
      </c>
      <c r="J9489" t="s">
        <v>18970</v>
      </c>
      <c r="L9489" t="s">
        <v>27250</v>
      </c>
      <c r="M9489" t="s">
        <v>27251</v>
      </c>
      <c r="N9489" t="s">
        <v>27252</v>
      </c>
      <c r="Q9489" s="1">
        <v>44538</v>
      </c>
      <c r="R9489" t="s">
        <v>27253</v>
      </c>
      <c r="S9489" t="s">
        <v>27254</v>
      </c>
      <c r="T9489" t="s">
        <v>27255</v>
      </c>
    </row>
    <row r="9490" spans="1:20" x14ac:dyDescent="0.3">
      <c r="A9490" t="str">
        <f>"0611837613100"</f>
        <v>0611837613100</v>
      </c>
      <c r="B9490" t="str">
        <f>"LQ5969"</f>
        <v>LQ5969</v>
      </c>
      <c r="C9490" t="s">
        <v>45669</v>
      </c>
      <c r="D9490" t="s">
        <v>27245</v>
      </c>
      <c r="E9490" t="str">
        <f t="shared" si="148"/>
        <v>001390</v>
      </c>
      <c r="F9490" t="s">
        <v>27246</v>
      </c>
      <c r="G9490" t="s">
        <v>27247</v>
      </c>
      <c r="H9490" t="s">
        <v>27248</v>
      </c>
      <c r="I9490" t="s">
        <v>45670</v>
      </c>
      <c r="J9490" t="s">
        <v>18972</v>
      </c>
      <c r="L9490" t="s">
        <v>27250</v>
      </c>
      <c r="M9490" t="s">
        <v>27251</v>
      </c>
      <c r="N9490" t="s">
        <v>27252</v>
      </c>
      <c r="Q9490" s="1">
        <v>44538</v>
      </c>
      <c r="R9490" t="s">
        <v>27253</v>
      </c>
      <c r="S9490" t="s">
        <v>27254</v>
      </c>
      <c r="T9490" t="s">
        <v>27255</v>
      </c>
    </row>
    <row r="9491" spans="1:20" x14ac:dyDescent="0.3">
      <c r="A9491" t="str">
        <f>"0611837615100"</f>
        <v>0611837615100</v>
      </c>
      <c r="B9491" t="str">
        <f>"LQ5884"</f>
        <v>LQ5884</v>
      </c>
      <c r="C9491" t="s">
        <v>45671</v>
      </c>
      <c r="D9491" t="s">
        <v>27245</v>
      </c>
      <c r="E9491" t="str">
        <f t="shared" si="148"/>
        <v>001390</v>
      </c>
      <c r="F9491" t="s">
        <v>27246</v>
      </c>
      <c r="G9491" t="s">
        <v>27247</v>
      </c>
      <c r="H9491" t="s">
        <v>27248</v>
      </c>
      <c r="I9491" t="s">
        <v>45672</v>
      </c>
      <c r="J9491" t="s">
        <v>18974</v>
      </c>
      <c r="L9491" t="s">
        <v>27250</v>
      </c>
      <c r="M9491" t="s">
        <v>27251</v>
      </c>
      <c r="N9491" t="s">
        <v>27252</v>
      </c>
      <c r="Q9491" s="1">
        <v>44538</v>
      </c>
      <c r="R9491" t="s">
        <v>27253</v>
      </c>
      <c r="S9491" t="s">
        <v>27254</v>
      </c>
      <c r="T9491" t="s">
        <v>27255</v>
      </c>
    </row>
    <row r="9492" spans="1:20" x14ac:dyDescent="0.3">
      <c r="A9492" t="str">
        <f>"0611837616100"</f>
        <v>0611837616100</v>
      </c>
      <c r="B9492" t="str">
        <f>"LQ5545"</f>
        <v>LQ5545</v>
      </c>
      <c r="C9492" t="s">
        <v>45673</v>
      </c>
      <c r="D9492" t="s">
        <v>27245</v>
      </c>
      <c r="E9492" t="str">
        <f t="shared" si="148"/>
        <v>001390</v>
      </c>
      <c r="F9492" t="s">
        <v>27246</v>
      </c>
      <c r="G9492" t="s">
        <v>27247</v>
      </c>
      <c r="H9492" t="s">
        <v>27248</v>
      </c>
      <c r="I9492" t="s">
        <v>45674</v>
      </c>
      <c r="J9492" t="s">
        <v>18976</v>
      </c>
      <c r="L9492" t="s">
        <v>27250</v>
      </c>
      <c r="M9492" t="s">
        <v>27251</v>
      </c>
      <c r="N9492" t="s">
        <v>27252</v>
      </c>
      <c r="Q9492" s="1">
        <v>44538</v>
      </c>
      <c r="R9492" t="s">
        <v>27253</v>
      </c>
      <c r="S9492" t="s">
        <v>27254</v>
      </c>
      <c r="T9492" t="s">
        <v>27255</v>
      </c>
    </row>
    <row r="9493" spans="1:20" x14ac:dyDescent="0.3">
      <c r="A9493" t="str">
        <f>"0611837617100"</f>
        <v>0611837617100</v>
      </c>
      <c r="B9493" t="str">
        <f>"LQ0455"</f>
        <v>LQ0455</v>
      </c>
      <c r="C9493" t="s">
        <v>45675</v>
      </c>
      <c r="D9493" t="s">
        <v>27245</v>
      </c>
      <c r="E9493" t="str">
        <f t="shared" si="148"/>
        <v>001390</v>
      </c>
      <c r="F9493" t="s">
        <v>27246</v>
      </c>
      <c r="G9493" t="s">
        <v>27247</v>
      </c>
      <c r="H9493" t="s">
        <v>27248</v>
      </c>
      <c r="I9493" t="s">
        <v>45676</v>
      </c>
      <c r="J9493" t="s">
        <v>18978</v>
      </c>
      <c r="L9493" t="s">
        <v>27250</v>
      </c>
      <c r="M9493" t="s">
        <v>27251</v>
      </c>
      <c r="N9493" t="s">
        <v>27252</v>
      </c>
      <c r="Q9493" s="1">
        <v>44538</v>
      </c>
      <c r="R9493" t="s">
        <v>27253</v>
      </c>
      <c r="S9493" t="s">
        <v>27254</v>
      </c>
      <c r="T9493" t="s">
        <v>27255</v>
      </c>
    </row>
    <row r="9494" spans="1:20" x14ac:dyDescent="0.3">
      <c r="A9494" t="str">
        <f>"0611857063100"</f>
        <v>0611857063100</v>
      </c>
      <c r="B9494" t="str">
        <f>"LQ6273"</f>
        <v>LQ6273</v>
      </c>
      <c r="C9494" t="s">
        <v>45677</v>
      </c>
      <c r="D9494" t="s">
        <v>27245</v>
      </c>
      <c r="E9494" t="str">
        <f t="shared" si="148"/>
        <v>001390</v>
      </c>
      <c r="F9494" t="s">
        <v>27246</v>
      </c>
      <c r="G9494" t="s">
        <v>27247</v>
      </c>
      <c r="H9494" t="s">
        <v>27248</v>
      </c>
      <c r="I9494" t="s">
        <v>45678</v>
      </c>
      <c r="J9494" t="s">
        <v>18980</v>
      </c>
      <c r="L9494" t="s">
        <v>27250</v>
      </c>
      <c r="M9494" t="s">
        <v>27251</v>
      </c>
      <c r="N9494" t="s">
        <v>27252</v>
      </c>
      <c r="Q9494" s="1">
        <v>44812</v>
      </c>
      <c r="R9494" t="s">
        <v>27253</v>
      </c>
      <c r="S9494" t="s">
        <v>27254</v>
      </c>
      <c r="T9494" t="s">
        <v>27255</v>
      </c>
    </row>
    <row r="9495" spans="1:20" x14ac:dyDescent="0.3">
      <c r="A9495" t="str">
        <f>"0611837618100"</f>
        <v>0611837618100</v>
      </c>
      <c r="B9495" t="str">
        <f>"MB5620"</f>
        <v>MB5620</v>
      </c>
      <c r="C9495" t="s">
        <v>45679</v>
      </c>
      <c r="D9495" t="s">
        <v>27274</v>
      </c>
      <c r="E9495" t="str">
        <f t="shared" si="148"/>
        <v>001390</v>
      </c>
      <c r="F9495" t="s">
        <v>27246</v>
      </c>
      <c r="G9495" t="s">
        <v>27247</v>
      </c>
      <c r="H9495" t="s">
        <v>27248</v>
      </c>
      <c r="I9495" t="s">
        <v>45680</v>
      </c>
      <c r="J9495" t="s">
        <v>18982</v>
      </c>
      <c r="L9495" t="s">
        <v>27250</v>
      </c>
      <c r="M9495" t="s">
        <v>27251</v>
      </c>
      <c r="N9495" t="s">
        <v>27252</v>
      </c>
      <c r="Q9495" s="1">
        <v>44538</v>
      </c>
      <c r="R9495" t="s">
        <v>27253</v>
      </c>
      <c r="S9495" t="s">
        <v>27254</v>
      </c>
      <c r="T9495" t="s">
        <v>27276</v>
      </c>
    </row>
    <row r="9496" spans="1:20" x14ac:dyDescent="0.3">
      <c r="A9496" t="str">
        <f>"0611837619100"</f>
        <v>0611837619100</v>
      </c>
      <c r="B9496" t="str">
        <f>"LB6340"</f>
        <v>LB6340</v>
      </c>
      <c r="C9496" t="s">
        <v>45681</v>
      </c>
      <c r="D9496" t="s">
        <v>27245</v>
      </c>
      <c r="E9496" t="str">
        <f t="shared" si="148"/>
        <v>001390</v>
      </c>
      <c r="F9496" t="s">
        <v>27246</v>
      </c>
      <c r="G9496" t="s">
        <v>27247</v>
      </c>
      <c r="H9496" t="s">
        <v>27248</v>
      </c>
      <c r="I9496" t="s">
        <v>45682</v>
      </c>
      <c r="J9496" t="s">
        <v>18984</v>
      </c>
      <c r="L9496" t="s">
        <v>27250</v>
      </c>
      <c r="M9496" t="s">
        <v>27251</v>
      </c>
      <c r="N9496" t="s">
        <v>27252</v>
      </c>
      <c r="Q9496" s="1">
        <v>44538</v>
      </c>
      <c r="R9496" t="s">
        <v>27253</v>
      </c>
      <c r="S9496" t="s">
        <v>27254</v>
      </c>
      <c r="T9496" t="s">
        <v>27255</v>
      </c>
    </row>
    <row r="9497" spans="1:20" x14ac:dyDescent="0.3">
      <c r="A9497" t="str">
        <f>"0611837620100"</f>
        <v>0611837620100</v>
      </c>
      <c r="B9497" t="str">
        <f>"LB6347"</f>
        <v>LB6347</v>
      </c>
      <c r="C9497" t="s">
        <v>45683</v>
      </c>
      <c r="D9497" t="s">
        <v>27245</v>
      </c>
      <c r="E9497" t="str">
        <f t="shared" si="148"/>
        <v>001390</v>
      </c>
      <c r="F9497" t="s">
        <v>27246</v>
      </c>
      <c r="G9497" t="s">
        <v>27247</v>
      </c>
      <c r="H9497" t="s">
        <v>27248</v>
      </c>
      <c r="I9497" t="s">
        <v>45684</v>
      </c>
      <c r="J9497" t="s">
        <v>18986</v>
      </c>
      <c r="L9497" t="s">
        <v>27250</v>
      </c>
      <c r="M9497" t="s">
        <v>27251</v>
      </c>
      <c r="N9497" t="s">
        <v>27252</v>
      </c>
      <c r="Q9497" s="1">
        <v>44538</v>
      </c>
      <c r="R9497" t="s">
        <v>27253</v>
      </c>
      <c r="S9497" t="s">
        <v>27254</v>
      </c>
      <c r="T9497" t="s">
        <v>27255</v>
      </c>
    </row>
    <row r="9498" spans="1:20" x14ac:dyDescent="0.3">
      <c r="A9498" t="str">
        <f>"0611837621100"</f>
        <v>0611837621100</v>
      </c>
      <c r="B9498" t="str">
        <f>"LK0318"</f>
        <v>LK0318</v>
      </c>
      <c r="C9498" t="s">
        <v>45685</v>
      </c>
      <c r="D9498" t="s">
        <v>27245</v>
      </c>
      <c r="E9498" t="str">
        <f t="shared" si="148"/>
        <v>001390</v>
      </c>
      <c r="F9498" t="s">
        <v>27246</v>
      </c>
      <c r="G9498" t="s">
        <v>27247</v>
      </c>
      <c r="H9498" t="s">
        <v>27248</v>
      </c>
      <c r="I9498" t="s">
        <v>45686</v>
      </c>
      <c r="J9498" t="s">
        <v>18988</v>
      </c>
      <c r="L9498" t="s">
        <v>27250</v>
      </c>
      <c r="M9498" t="s">
        <v>27251</v>
      </c>
      <c r="N9498" t="s">
        <v>27252</v>
      </c>
      <c r="Q9498" s="1">
        <v>44538</v>
      </c>
      <c r="R9498" t="s">
        <v>27253</v>
      </c>
      <c r="S9498" t="s">
        <v>27254</v>
      </c>
      <c r="T9498" t="s">
        <v>27255</v>
      </c>
    </row>
    <row r="9499" spans="1:20" x14ac:dyDescent="0.3">
      <c r="A9499" t="str">
        <f>"0611837623100"</f>
        <v>0611837623100</v>
      </c>
      <c r="B9499" t="str">
        <f>"LB7641"</f>
        <v>LB7641</v>
      </c>
      <c r="C9499" t="s">
        <v>45687</v>
      </c>
      <c r="D9499" t="s">
        <v>27245</v>
      </c>
      <c r="E9499" t="str">
        <f t="shared" si="148"/>
        <v>001390</v>
      </c>
      <c r="F9499" t="s">
        <v>27246</v>
      </c>
      <c r="G9499" t="s">
        <v>27247</v>
      </c>
      <c r="H9499" t="s">
        <v>27248</v>
      </c>
      <c r="I9499" t="s">
        <v>45688</v>
      </c>
      <c r="J9499" t="s">
        <v>18990</v>
      </c>
      <c r="L9499" t="s">
        <v>27250</v>
      </c>
      <c r="M9499" t="s">
        <v>27251</v>
      </c>
      <c r="N9499" t="s">
        <v>27252</v>
      </c>
      <c r="Q9499" s="1">
        <v>44538</v>
      </c>
      <c r="R9499" t="s">
        <v>27253</v>
      </c>
      <c r="S9499" t="s">
        <v>27254</v>
      </c>
      <c r="T9499" t="s">
        <v>27255</v>
      </c>
    </row>
    <row r="9500" spans="1:20" x14ac:dyDescent="0.3">
      <c r="A9500" t="str">
        <f>"0611837626100"</f>
        <v>0611837626100</v>
      </c>
      <c r="B9500" t="str">
        <f>"LB6349"</f>
        <v>LB6349</v>
      </c>
      <c r="C9500" t="s">
        <v>45689</v>
      </c>
      <c r="D9500" t="s">
        <v>27245</v>
      </c>
      <c r="E9500" t="str">
        <f t="shared" si="148"/>
        <v>001390</v>
      </c>
      <c r="F9500" t="s">
        <v>27246</v>
      </c>
      <c r="G9500" t="s">
        <v>27247</v>
      </c>
      <c r="H9500" t="s">
        <v>27248</v>
      </c>
      <c r="I9500" t="s">
        <v>45690</v>
      </c>
      <c r="J9500" t="s">
        <v>18992</v>
      </c>
      <c r="L9500" t="s">
        <v>27250</v>
      </c>
      <c r="M9500" t="s">
        <v>27251</v>
      </c>
      <c r="N9500" t="s">
        <v>27252</v>
      </c>
      <c r="Q9500" s="1">
        <v>44538</v>
      </c>
      <c r="R9500" t="s">
        <v>27253</v>
      </c>
      <c r="S9500" t="s">
        <v>27254</v>
      </c>
      <c r="T9500" t="s">
        <v>27255</v>
      </c>
    </row>
    <row r="9501" spans="1:20" x14ac:dyDescent="0.3">
      <c r="A9501" t="str">
        <f>"0611837631100"</f>
        <v>0611837631100</v>
      </c>
      <c r="B9501" t="str">
        <f>"LB6219"</f>
        <v>LB6219</v>
      </c>
      <c r="C9501" t="s">
        <v>45691</v>
      </c>
      <c r="D9501" t="s">
        <v>27245</v>
      </c>
      <c r="E9501" t="str">
        <f t="shared" si="148"/>
        <v>001390</v>
      </c>
      <c r="F9501" t="s">
        <v>27246</v>
      </c>
      <c r="G9501" t="s">
        <v>27247</v>
      </c>
      <c r="H9501" t="s">
        <v>27248</v>
      </c>
      <c r="I9501" t="s">
        <v>45692</v>
      </c>
      <c r="J9501" t="s">
        <v>18994</v>
      </c>
      <c r="L9501" t="s">
        <v>27250</v>
      </c>
      <c r="M9501" t="s">
        <v>27251</v>
      </c>
      <c r="N9501" t="s">
        <v>27252</v>
      </c>
      <c r="Q9501" s="1">
        <v>44538</v>
      </c>
      <c r="R9501" t="s">
        <v>27253</v>
      </c>
      <c r="S9501" t="s">
        <v>27254</v>
      </c>
      <c r="T9501" t="s">
        <v>27255</v>
      </c>
    </row>
    <row r="9502" spans="1:20" x14ac:dyDescent="0.3">
      <c r="A9502" t="str">
        <f>"0611837634100"</f>
        <v>0611837634100</v>
      </c>
      <c r="B9502" t="str">
        <f>"LB6343"</f>
        <v>LB6343</v>
      </c>
      <c r="C9502" t="s">
        <v>45693</v>
      </c>
      <c r="D9502" t="s">
        <v>27245</v>
      </c>
      <c r="E9502" t="str">
        <f t="shared" si="148"/>
        <v>001390</v>
      </c>
      <c r="F9502" t="s">
        <v>27246</v>
      </c>
      <c r="G9502" t="s">
        <v>27247</v>
      </c>
      <c r="H9502" t="s">
        <v>27248</v>
      </c>
      <c r="I9502" t="s">
        <v>45694</v>
      </c>
      <c r="J9502" t="s">
        <v>18996</v>
      </c>
      <c r="L9502" t="s">
        <v>27250</v>
      </c>
      <c r="M9502" t="s">
        <v>27251</v>
      </c>
      <c r="N9502" t="s">
        <v>27252</v>
      </c>
      <c r="Q9502" s="1">
        <v>44538</v>
      </c>
      <c r="R9502" t="s">
        <v>27253</v>
      </c>
      <c r="S9502" t="s">
        <v>27254</v>
      </c>
      <c r="T9502" t="s">
        <v>27255</v>
      </c>
    </row>
    <row r="9503" spans="1:20" x14ac:dyDescent="0.3">
      <c r="A9503" t="str">
        <f>"0611837635100"</f>
        <v>0611837635100</v>
      </c>
      <c r="B9503" t="str">
        <f>"LB6687"</f>
        <v>LB6687</v>
      </c>
      <c r="C9503" t="s">
        <v>45695</v>
      </c>
      <c r="D9503" t="s">
        <v>27245</v>
      </c>
      <c r="E9503" t="str">
        <f t="shared" si="148"/>
        <v>001390</v>
      </c>
      <c r="F9503" t="s">
        <v>27246</v>
      </c>
      <c r="G9503" t="s">
        <v>27247</v>
      </c>
      <c r="H9503" t="s">
        <v>27248</v>
      </c>
      <c r="I9503" t="s">
        <v>45696</v>
      </c>
      <c r="J9503" t="s">
        <v>18998</v>
      </c>
      <c r="L9503" t="s">
        <v>27250</v>
      </c>
      <c r="M9503" t="s">
        <v>27251</v>
      </c>
      <c r="N9503" t="s">
        <v>27252</v>
      </c>
      <c r="Q9503" s="1">
        <v>44538</v>
      </c>
      <c r="R9503" t="s">
        <v>27253</v>
      </c>
      <c r="S9503" t="s">
        <v>27254</v>
      </c>
      <c r="T9503" t="s">
        <v>27255</v>
      </c>
    </row>
    <row r="9504" spans="1:20" x14ac:dyDescent="0.3">
      <c r="A9504" t="str">
        <f>"0611837639100"</f>
        <v>0611837639100</v>
      </c>
      <c r="B9504" t="str">
        <f>"LB6688"</f>
        <v>LB6688</v>
      </c>
      <c r="C9504" t="s">
        <v>45697</v>
      </c>
      <c r="D9504" t="s">
        <v>27245</v>
      </c>
      <c r="E9504" t="str">
        <f t="shared" si="148"/>
        <v>001390</v>
      </c>
      <c r="F9504" t="s">
        <v>27246</v>
      </c>
      <c r="G9504" t="s">
        <v>27247</v>
      </c>
      <c r="H9504" t="s">
        <v>27248</v>
      </c>
      <c r="I9504" t="s">
        <v>45698</v>
      </c>
      <c r="J9504" t="s">
        <v>19000</v>
      </c>
      <c r="L9504" t="s">
        <v>27250</v>
      </c>
      <c r="M9504" t="s">
        <v>27251</v>
      </c>
      <c r="N9504" t="s">
        <v>27252</v>
      </c>
      <c r="Q9504" s="1">
        <v>44538</v>
      </c>
      <c r="R9504" t="s">
        <v>27253</v>
      </c>
      <c r="S9504" t="s">
        <v>27254</v>
      </c>
      <c r="T9504" t="s">
        <v>27255</v>
      </c>
    </row>
    <row r="9505" spans="1:20" x14ac:dyDescent="0.3">
      <c r="A9505" t="str">
        <f>"0611837640100"</f>
        <v>0611837640100</v>
      </c>
      <c r="B9505" t="str">
        <f>"LB6359"</f>
        <v>LB6359</v>
      </c>
      <c r="C9505" t="s">
        <v>45699</v>
      </c>
      <c r="D9505" t="s">
        <v>27245</v>
      </c>
      <c r="E9505" t="str">
        <f t="shared" si="148"/>
        <v>001390</v>
      </c>
      <c r="F9505" t="s">
        <v>27246</v>
      </c>
      <c r="G9505" t="s">
        <v>27247</v>
      </c>
      <c r="H9505" t="s">
        <v>27248</v>
      </c>
      <c r="I9505" t="s">
        <v>45700</v>
      </c>
      <c r="J9505" t="s">
        <v>19002</v>
      </c>
      <c r="L9505" t="s">
        <v>27250</v>
      </c>
      <c r="M9505" t="s">
        <v>27251</v>
      </c>
      <c r="N9505" t="s">
        <v>27252</v>
      </c>
      <c r="Q9505" s="1">
        <v>44538</v>
      </c>
      <c r="R9505" t="s">
        <v>27253</v>
      </c>
      <c r="S9505" t="s">
        <v>27254</v>
      </c>
      <c r="T9505" t="s">
        <v>27255</v>
      </c>
    </row>
    <row r="9506" spans="1:20" x14ac:dyDescent="0.3">
      <c r="A9506" t="str">
        <f>"0611837641100"</f>
        <v>0611837641100</v>
      </c>
      <c r="B9506" t="str">
        <f>"LB6302"</f>
        <v>LB6302</v>
      </c>
      <c r="C9506" t="s">
        <v>45701</v>
      </c>
      <c r="D9506" t="s">
        <v>27245</v>
      </c>
      <c r="E9506" t="str">
        <f t="shared" si="148"/>
        <v>001390</v>
      </c>
      <c r="F9506" t="s">
        <v>27246</v>
      </c>
      <c r="G9506" t="s">
        <v>27247</v>
      </c>
      <c r="H9506" t="s">
        <v>27248</v>
      </c>
      <c r="I9506" t="s">
        <v>45702</v>
      </c>
      <c r="J9506" t="s">
        <v>19004</v>
      </c>
      <c r="L9506" t="s">
        <v>27250</v>
      </c>
      <c r="M9506" t="s">
        <v>27251</v>
      </c>
      <c r="N9506" t="s">
        <v>27252</v>
      </c>
      <c r="Q9506" s="1">
        <v>44538</v>
      </c>
      <c r="R9506" t="s">
        <v>27253</v>
      </c>
      <c r="S9506" t="s">
        <v>27254</v>
      </c>
      <c r="T9506" t="s">
        <v>27255</v>
      </c>
    </row>
    <row r="9507" spans="1:20" x14ac:dyDescent="0.3">
      <c r="A9507" t="str">
        <f>"0611837642100"</f>
        <v>0611837642100</v>
      </c>
      <c r="B9507" t="str">
        <f>"LB6345"</f>
        <v>LB6345</v>
      </c>
      <c r="C9507" t="s">
        <v>45703</v>
      </c>
      <c r="D9507" t="s">
        <v>27245</v>
      </c>
      <c r="E9507" t="str">
        <f t="shared" si="148"/>
        <v>001390</v>
      </c>
      <c r="F9507" t="s">
        <v>27246</v>
      </c>
      <c r="G9507" t="s">
        <v>27247</v>
      </c>
      <c r="H9507" t="s">
        <v>27248</v>
      </c>
      <c r="I9507" t="s">
        <v>45704</v>
      </c>
      <c r="J9507" t="s">
        <v>19006</v>
      </c>
      <c r="L9507" t="s">
        <v>27250</v>
      </c>
      <c r="M9507" t="s">
        <v>27251</v>
      </c>
      <c r="N9507" t="s">
        <v>27252</v>
      </c>
      <c r="Q9507" s="1">
        <v>44538</v>
      </c>
      <c r="R9507" t="s">
        <v>27253</v>
      </c>
      <c r="S9507" t="s">
        <v>27254</v>
      </c>
      <c r="T9507" t="s">
        <v>27255</v>
      </c>
    </row>
    <row r="9508" spans="1:20" x14ac:dyDescent="0.3">
      <c r="A9508" t="str">
        <f>"0611837643100"</f>
        <v>0611837643100</v>
      </c>
      <c r="B9508" t="str">
        <f>"LB7560"</f>
        <v>LB7560</v>
      </c>
      <c r="C9508" t="s">
        <v>45705</v>
      </c>
      <c r="D9508" t="s">
        <v>27245</v>
      </c>
      <c r="E9508" t="str">
        <f t="shared" si="148"/>
        <v>001390</v>
      </c>
      <c r="F9508" t="s">
        <v>27246</v>
      </c>
      <c r="G9508" t="s">
        <v>27247</v>
      </c>
      <c r="H9508" t="s">
        <v>27248</v>
      </c>
      <c r="I9508" t="s">
        <v>45706</v>
      </c>
      <c r="J9508" t="s">
        <v>19008</v>
      </c>
      <c r="L9508" t="s">
        <v>27250</v>
      </c>
      <c r="M9508" t="s">
        <v>27251</v>
      </c>
      <c r="N9508" t="s">
        <v>27252</v>
      </c>
      <c r="Q9508" s="1">
        <v>44538</v>
      </c>
      <c r="R9508" t="s">
        <v>27253</v>
      </c>
      <c r="S9508" t="s">
        <v>27254</v>
      </c>
      <c r="T9508" t="s">
        <v>27255</v>
      </c>
    </row>
    <row r="9509" spans="1:20" x14ac:dyDescent="0.3">
      <c r="A9509" t="str">
        <f>"0611837644100"</f>
        <v>0611837644100</v>
      </c>
      <c r="B9509" t="str">
        <f>"LQ0963"</f>
        <v>LQ0963</v>
      </c>
      <c r="C9509" t="s">
        <v>45707</v>
      </c>
      <c r="D9509" t="s">
        <v>27245</v>
      </c>
      <c r="E9509" t="str">
        <f t="shared" si="148"/>
        <v>001390</v>
      </c>
      <c r="F9509" t="s">
        <v>27246</v>
      </c>
      <c r="G9509" t="s">
        <v>27247</v>
      </c>
      <c r="H9509" t="s">
        <v>27248</v>
      </c>
      <c r="I9509" t="s">
        <v>45708</v>
      </c>
      <c r="J9509" t="s">
        <v>20610</v>
      </c>
      <c r="L9509" t="s">
        <v>27250</v>
      </c>
      <c r="M9509" t="s">
        <v>27251</v>
      </c>
      <c r="N9509" t="s">
        <v>27252</v>
      </c>
      <c r="Q9509" s="1">
        <v>44538</v>
      </c>
      <c r="R9509" t="s">
        <v>27253</v>
      </c>
      <c r="S9509" t="s">
        <v>27254</v>
      </c>
      <c r="T9509" t="s">
        <v>27255</v>
      </c>
    </row>
    <row r="9510" spans="1:20" x14ac:dyDescent="0.3">
      <c r="A9510" t="str">
        <f>"0611837651100"</f>
        <v>0611837651100</v>
      </c>
      <c r="B9510" t="str">
        <f>"LK6518"</f>
        <v>LK6518</v>
      </c>
      <c r="C9510" t="s">
        <v>45709</v>
      </c>
      <c r="D9510" t="s">
        <v>27245</v>
      </c>
      <c r="E9510" t="str">
        <f t="shared" si="148"/>
        <v>001390</v>
      </c>
      <c r="F9510" t="s">
        <v>27246</v>
      </c>
      <c r="G9510" t="s">
        <v>27247</v>
      </c>
      <c r="H9510" t="s">
        <v>27248</v>
      </c>
      <c r="I9510" t="s">
        <v>45710</v>
      </c>
      <c r="J9510" t="s">
        <v>19010</v>
      </c>
      <c r="L9510" t="s">
        <v>27250</v>
      </c>
      <c r="M9510" t="s">
        <v>27251</v>
      </c>
      <c r="N9510" t="s">
        <v>27252</v>
      </c>
      <c r="Q9510" s="1">
        <v>44538</v>
      </c>
      <c r="R9510" t="s">
        <v>27253</v>
      </c>
      <c r="S9510" t="s">
        <v>27254</v>
      </c>
      <c r="T9510" t="s">
        <v>27255</v>
      </c>
    </row>
    <row r="9511" spans="1:20" x14ac:dyDescent="0.3">
      <c r="A9511" t="str">
        <f>"0611837652100"</f>
        <v>0611837652100</v>
      </c>
      <c r="B9511" t="str">
        <f>"LQ3411"</f>
        <v>LQ3411</v>
      </c>
      <c r="C9511" t="s">
        <v>45711</v>
      </c>
      <c r="D9511" t="s">
        <v>27245</v>
      </c>
      <c r="E9511" t="str">
        <f t="shared" si="148"/>
        <v>001390</v>
      </c>
      <c r="F9511" t="s">
        <v>27246</v>
      </c>
      <c r="G9511" t="s">
        <v>27247</v>
      </c>
      <c r="H9511" t="s">
        <v>27248</v>
      </c>
      <c r="I9511" t="s">
        <v>45712</v>
      </c>
      <c r="J9511" t="s">
        <v>19012</v>
      </c>
      <c r="L9511" t="s">
        <v>27250</v>
      </c>
      <c r="M9511" t="s">
        <v>27251</v>
      </c>
      <c r="N9511" t="s">
        <v>27252</v>
      </c>
      <c r="Q9511" s="1">
        <v>44538</v>
      </c>
      <c r="R9511" t="s">
        <v>27253</v>
      </c>
      <c r="S9511" t="s">
        <v>27254</v>
      </c>
      <c r="T9511" t="s">
        <v>27255</v>
      </c>
    </row>
    <row r="9512" spans="1:20" x14ac:dyDescent="0.3">
      <c r="A9512" t="str">
        <f>"0611863459050"</f>
        <v>0611863459050</v>
      </c>
      <c r="B9512" t="str">
        <f>"CR3550"</f>
        <v>CR3550</v>
      </c>
      <c r="C9512" t="s">
        <v>45711</v>
      </c>
      <c r="D9512" t="s">
        <v>27263</v>
      </c>
      <c r="E9512" t="str">
        <f t="shared" si="148"/>
        <v>001390</v>
      </c>
      <c r="F9512" t="s">
        <v>27246</v>
      </c>
      <c r="G9512" t="s">
        <v>27247</v>
      </c>
      <c r="H9512" t="s">
        <v>27248</v>
      </c>
      <c r="I9512" t="s">
        <v>45713</v>
      </c>
      <c r="J9512" t="s">
        <v>19014</v>
      </c>
      <c r="L9512" t="s">
        <v>27250</v>
      </c>
      <c r="M9512" t="s">
        <v>27251</v>
      </c>
      <c r="N9512" t="s">
        <v>27252</v>
      </c>
      <c r="Q9512" s="1">
        <v>44846</v>
      </c>
      <c r="R9512" t="s">
        <v>27253</v>
      </c>
      <c r="S9512" t="s">
        <v>27254</v>
      </c>
      <c r="T9512" t="s">
        <v>27265</v>
      </c>
    </row>
    <row r="9513" spans="1:20" x14ac:dyDescent="0.3">
      <c r="A9513" t="str">
        <f>"0611837653100"</f>
        <v>0611837653100</v>
      </c>
      <c r="B9513" t="str">
        <f>"LQ3412"</f>
        <v>LQ3412</v>
      </c>
      <c r="C9513" t="s">
        <v>45714</v>
      </c>
      <c r="D9513" t="s">
        <v>27245</v>
      </c>
      <c r="E9513" t="str">
        <f t="shared" si="148"/>
        <v>001390</v>
      </c>
      <c r="F9513" t="s">
        <v>27246</v>
      </c>
      <c r="G9513" t="s">
        <v>27247</v>
      </c>
      <c r="H9513" t="s">
        <v>27248</v>
      </c>
      <c r="I9513" t="s">
        <v>45715</v>
      </c>
      <c r="J9513" t="s">
        <v>19016</v>
      </c>
      <c r="L9513" t="s">
        <v>27250</v>
      </c>
      <c r="M9513" t="s">
        <v>27251</v>
      </c>
      <c r="N9513" t="s">
        <v>27252</v>
      </c>
      <c r="Q9513" s="1">
        <v>44538</v>
      </c>
      <c r="R9513" t="s">
        <v>27253</v>
      </c>
      <c r="S9513" t="s">
        <v>27254</v>
      </c>
      <c r="T9513" t="s">
        <v>27255</v>
      </c>
    </row>
    <row r="9514" spans="1:20" x14ac:dyDescent="0.3">
      <c r="A9514" t="str">
        <f>"0611863460050"</f>
        <v>0611863460050</v>
      </c>
      <c r="B9514" t="str">
        <f>"CR3551"</f>
        <v>CR3551</v>
      </c>
      <c r="C9514" t="s">
        <v>45714</v>
      </c>
      <c r="D9514" t="s">
        <v>27263</v>
      </c>
      <c r="E9514" t="str">
        <f t="shared" si="148"/>
        <v>001390</v>
      </c>
      <c r="F9514" t="s">
        <v>27246</v>
      </c>
      <c r="G9514" t="s">
        <v>27247</v>
      </c>
      <c r="H9514" t="s">
        <v>27248</v>
      </c>
      <c r="I9514" t="s">
        <v>45716</v>
      </c>
      <c r="J9514" t="s">
        <v>19018</v>
      </c>
      <c r="L9514" t="s">
        <v>27250</v>
      </c>
      <c r="M9514" t="s">
        <v>27251</v>
      </c>
      <c r="N9514" t="s">
        <v>27252</v>
      </c>
      <c r="Q9514" s="1">
        <v>44846</v>
      </c>
      <c r="R9514" t="s">
        <v>27253</v>
      </c>
      <c r="S9514" t="s">
        <v>27254</v>
      </c>
      <c r="T9514" t="s">
        <v>27265</v>
      </c>
    </row>
    <row r="9515" spans="1:20" x14ac:dyDescent="0.3">
      <c r="A9515" t="str">
        <f>"0611837654100"</f>
        <v>0611837654100</v>
      </c>
      <c r="B9515" t="str">
        <f>"LQ3847"</f>
        <v>LQ3847</v>
      </c>
      <c r="C9515" t="s">
        <v>45717</v>
      </c>
      <c r="D9515" t="s">
        <v>27245</v>
      </c>
      <c r="E9515" t="str">
        <f t="shared" si="148"/>
        <v>001390</v>
      </c>
      <c r="F9515" t="s">
        <v>27246</v>
      </c>
      <c r="G9515" t="s">
        <v>27247</v>
      </c>
      <c r="H9515" t="s">
        <v>27248</v>
      </c>
      <c r="I9515" t="s">
        <v>45718</v>
      </c>
      <c r="J9515" t="s">
        <v>19020</v>
      </c>
      <c r="L9515" t="s">
        <v>27250</v>
      </c>
      <c r="M9515" t="s">
        <v>27251</v>
      </c>
      <c r="N9515" t="s">
        <v>27252</v>
      </c>
      <c r="Q9515" s="1">
        <v>44538</v>
      </c>
      <c r="R9515" t="s">
        <v>27253</v>
      </c>
      <c r="S9515" t="s">
        <v>27254</v>
      </c>
      <c r="T9515" t="s">
        <v>27255</v>
      </c>
    </row>
    <row r="9516" spans="1:20" x14ac:dyDescent="0.3">
      <c r="A9516" t="str">
        <f>"0611837655100"</f>
        <v>0611837655100</v>
      </c>
      <c r="B9516" t="str">
        <f>"LQ0919"</f>
        <v>LQ0919</v>
      </c>
      <c r="C9516" t="s">
        <v>45719</v>
      </c>
      <c r="D9516" t="s">
        <v>27245</v>
      </c>
      <c r="E9516" t="str">
        <f t="shared" si="148"/>
        <v>001390</v>
      </c>
      <c r="F9516" t="s">
        <v>27246</v>
      </c>
      <c r="G9516" t="s">
        <v>27247</v>
      </c>
      <c r="H9516" t="s">
        <v>27248</v>
      </c>
      <c r="I9516" t="s">
        <v>45720</v>
      </c>
      <c r="J9516" t="s">
        <v>19022</v>
      </c>
      <c r="L9516" t="s">
        <v>27250</v>
      </c>
      <c r="M9516" t="s">
        <v>27251</v>
      </c>
      <c r="N9516" t="s">
        <v>27252</v>
      </c>
      <c r="Q9516" s="1">
        <v>44538</v>
      </c>
      <c r="R9516" t="s">
        <v>27253</v>
      </c>
      <c r="S9516" t="s">
        <v>27254</v>
      </c>
      <c r="T9516" t="s">
        <v>27255</v>
      </c>
    </row>
    <row r="9517" spans="1:20" x14ac:dyDescent="0.3">
      <c r="A9517" t="str">
        <f>"0611863461050"</f>
        <v>0611863461050</v>
      </c>
      <c r="B9517" t="str">
        <f>"CR4039"</f>
        <v>CR4039</v>
      </c>
      <c r="C9517" t="s">
        <v>45719</v>
      </c>
      <c r="D9517" t="s">
        <v>27263</v>
      </c>
      <c r="E9517" t="str">
        <f t="shared" si="148"/>
        <v>001390</v>
      </c>
      <c r="F9517" t="s">
        <v>27246</v>
      </c>
      <c r="G9517" t="s">
        <v>27247</v>
      </c>
      <c r="H9517" t="s">
        <v>27248</v>
      </c>
      <c r="I9517" t="s">
        <v>45721</v>
      </c>
      <c r="J9517" t="s">
        <v>19024</v>
      </c>
      <c r="L9517" t="s">
        <v>27250</v>
      </c>
      <c r="M9517" t="s">
        <v>27251</v>
      </c>
      <c r="N9517" t="s">
        <v>27252</v>
      </c>
      <c r="Q9517" s="1">
        <v>44846</v>
      </c>
      <c r="R9517" t="s">
        <v>27253</v>
      </c>
      <c r="S9517" t="s">
        <v>27254</v>
      </c>
      <c r="T9517" t="s">
        <v>27265</v>
      </c>
    </row>
    <row r="9518" spans="1:20" x14ac:dyDescent="0.3">
      <c r="A9518" t="str">
        <f>"0611857064100"</f>
        <v>0611857064100</v>
      </c>
      <c r="B9518" t="str">
        <f>"LQ3891"</f>
        <v>LQ3891</v>
      </c>
      <c r="C9518" t="s">
        <v>45722</v>
      </c>
      <c r="D9518" t="s">
        <v>27245</v>
      </c>
      <c r="E9518" t="str">
        <f t="shared" si="148"/>
        <v>001390</v>
      </c>
      <c r="F9518" t="s">
        <v>27246</v>
      </c>
      <c r="G9518" t="s">
        <v>27247</v>
      </c>
      <c r="H9518" t="s">
        <v>27248</v>
      </c>
      <c r="I9518" t="s">
        <v>45723</v>
      </c>
      <c r="J9518" t="s">
        <v>19026</v>
      </c>
      <c r="L9518" t="s">
        <v>27250</v>
      </c>
      <c r="M9518" t="s">
        <v>27251</v>
      </c>
      <c r="N9518" t="s">
        <v>27252</v>
      </c>
      <c r="Q9518" s="1">
        <v>44812</v>
      </c>
      <c r="R9518" t="s">
        <v>27253</v>
      </c>
      <c r="S9518" t="s">
        <v>27254</v>
      </c>
      <c r="T9518" t="s">
        <v>27255</v>
      </c>
    </row>
    <row r="9519" spans="1:20" x14ac:dyDescent="0.3">
      <c r="A9519" t="str">
        <f>"0611837656100"</f>
        <v>0611837656100</v>
      </c>
      <c r="B9519" t="str">
        <f>"LQ3848"</f>
        <v>LQ3848</v>
      </c>
      <c r="C9519" t="s">
        <v>45724</v>
      </c>
      <c r="D9519" t="s">
        <v>27245</v>
      </c>
      <c r="E9519" t="str">
        <f t="shared" si="148"/>
        <v>001390</v>
      </c>
      <c r="F9519" t="s">
        <v>27246</v>
      </c>
      <c r="G9519" t="s">
        <v>27247</v>
      </c>
      <c r="H9519" t="s">
        <v>27248</v>
      </c>
      <c r="I9519" t="s">
        <v>45725</v>
      </c>
      <c r="J9519" t="s">
        <v>19028</v>
      </c>
      <c r="L9519" t="s">
        <v>27250</v>
      </c>
      <c r="M9519" t="s">
        <v>27251</v>
      </c>
      <c r="N9519" t="s">
        <v>27252</v>
      </c>
      <c r="Q9519" s="1">
        <v>44538</v>
      </c>
      <c r="R9519" t="s">
        <v>27253</v>
      </c>
      <c r="S9519" t="s">
        <v>27254</v>
      </c>
      <c r="T9519" t="s">
        <v>27255</v>
      </c>
    </row>
    <row r="9520" spans="1:20" x14ac:dyDescent="0.3">
      <c r="A9520" t="str">
        <f>"0611837657100"</f>
        <v>0611837657100</v>
      </c>
      <c r="B9520" t="str">
        <f>"LQ3413"</f>
        <v>LQ3413</v>
      </c>
      <c r="C9520" t="s">
        <v>45726</v>
      </c>
      <c r="D9520" t="s">
        <v>27245</v>
      </c>
      <c r="E9520" t="str">
        <f t="shared" si="148"/>
        <v>001390</v>
      </c>
      <c r="F9520" t="s">
        <v>27246</v>
      </c>
      <c r="G9520" t="s">
        <v>27247</v>
      </c>
      <c r="H9520" t="s">
        <v>27248</v>
      </c>
      <c r="I9520" t="s">
        <v>45727</v>
      </c>
      <c r="J9520" t="s">
        <v>19030</v>
      </c>
      <c r="L9520" t="s">
        <v>27250</v>
      </c>
      <c r="M9520" t="s">
        <v>27251</v>
      </c>
      <c r="N9520" t="s">
        <v>27252</v>
      </c>
      <c r="Q9520" s="1">
        <v>44538</v>
      </c>
      <c r="R9520" t="s">
        <v>27253</v>
      </c>
      <c r="S9520" t="s">
        <v>27254</v>
      </c>
      <c r="T9520" t="s">
        <v>27255</v>
      </c>
    </row>
    <row r="9521" spans="1:20" x14ac:dyDescent="0.3">
      <c r="A9521" t="str">
        <f>"0611863462050"</f>
        <v>0611863462050</v>
      </c>
      <c r="B9521" t="str">
        <f>"CR3552"</f>
        <v>CR3552</v>
      </c>
      <c r="C9521" t="s">
        <v>45726</v>
      </c>
      <c r="D9521" t="s">
        <v>27263</v>
      </c>
      <c r="E9521" t="str">
        <f t="shared" si="148"/>
        <v>001390</v>
      </c>
      <c r="F9521" t="s">
        <v>27246</v>
      </c>
      <c r="G9521" t="s">
        <v>27247</v>
      </c>
      <c r="H9521" t="s">
        <v>27248</v>
      </c>
      <c r="I9521" t="s">
        <v>45728</v>
      </c>
      <c r="J9521" t="s">
        <v>19032</v>
      </c>
      <c r="L9521" t="s">
        <v>27250</v>
      </c>
      <c r="M9521" t="s">
        <v>27251</v>
      </c>
      <c r="N9521" t="s">
        <v>27252</v>
      </c>
      <c r="Q9521" s="1">
        <v>44846</v>
      </c>
      <c r="R9521" t="s">
        <v>27253</v>
      </c>
      <c r="S9521" t="s">
        <v>27254</v>
      </c>
      <c r="T9521" t="s">
        <v>27265</v>
      </c>
    </row>
    <row r="9522" spans="1:20" x14ac:dyDescent="0.3">
      <c r="A9522" t="str">
        <f>"0611837658100"</f>
        <v>0611837658100</v>
      </c>
      <c r="B9522" t="str">
        <f>"LQ3760"</f>
        <v>LQ3760</v>
      </c>
      <c r="C9522" t="s">
        <v>45729</v>
      </c>
      <c r="D9522" t="s">
        <v>27245</v>
      </c>
      <c r="E9522" t="str">
        <f t="shared" si="148"/>
        <v>001390</v>
      </c>
      <c r="F9522" t="s">
        <v>27246</v>
      </c>
      <c r="G9522" t="s">
        <v>27247</v>
      </c>
      <c r="H9522" t="s">
        <v>27248</v>
      </c>
      <c r="I9522" t="s">
        <v>45730</v>
      </c>
      <c r="J9522" t="s">
        <v>19034</v>
      </c>
      <c r="L9522" t="s">
        <v>27250</v>
      </c>
      <c r="M9522" t="s">
        <v>27251</v>
      </c>
      <c r="N9522" t="s">
        <v>27252</v>
      </c>
      <c r="Q9522" s="1">
        <v>44538</v>
      </c>
      <c r="R9522" t="s">
        <v>27253</v>
      </c>
      <c r="S9522" t="s">
        <v>27254</v>
      </c>
      <c r="T9522" t="s">
        <v>27255</v>
      </c>
    </row>
    <row r="9523" spans="1:20" x14ac:dyDescent="0.3">
      <c r="A9523" t="str">
        <f>"0611863463050"</f>
        <v>0611863463050</v>
      </c>
      <c r="B9523" t="str">
        <f>"CR4844"</f>
        <v>CR4844</v>
      </c>
      <c r="C9523" t="s">
        <v>45729</v>
      </c>
      <c r="D9523" t="s">
        <v>27263</v>
      </c>
      <c r="E9523" t="str">
        <f t="shared" si="148"/>
        <v>001390</v>
      </c>
      <c r="F9523" t="s">
        <v>27246</v>
      </c>
      <c r="G9523" t="s">
        <v>27247</v>
      </c>
      <c r="H9523" t="s">
        <v>27248</v>
      </c>
      <c r="I9523" t="s">
        <v>45731</v>
      </c>
      <c r="J9523" t="s">
        <v>19036</v>
      </c>
      <c r="L9523" t="s">
        <v>27250</v>
      </c>
      <c r="M9523" t="s">
        <v>27251</v>
      </c>
      <c r="N9523" t="s">
        <v>27252</v>
      </c>
      <c r="Q9523" s="1">
        <v>44846</v>
      </c>
      <c r="R9523" t="s">
        <v>27253</v>
      </c>
      <c r="S9523" t="s">
        <v>27254</v>
      </c>
      <c r="T9523" t="s">
        <v>27265</v>
      </c>
    </row>
    <row r="9524" spans="1:20" x14ac:dyDescent="0.3">
      <c r="A9524" t="str">
        <f>"0611884371100"</f>
        <v>0611884371100</v>
      </c>
      <c r="B9524" t="str">
        <f>"LQ3920"</f>
        <v>LQ3920</v>
      </c>
      <c r="C9524" t="s">
        <v>45732</v>
      </c>
      <c r="D9524" t="s">
        <v>27245</v>
      </c>
      <c r="E9524" t="str">
        <f t="shared" si="148"/>
        <v>001390</v>
      </c>
      <c r="F9524" t="s">
        <v>27246</v>
      </c>
      <c r="G9524" t="s">
        <v>27247</v>
      </c>
      <c r="H9524" t="s">
        <v>27248</v>
      </c>
      <c r="I9524" t="s">
        <v>45733</v>
      </c>
      <c r="J9524" t="s">
        <v>19038</v>
      </c>
      <c r="L9524" t="s">
        <v>27430</v>
      </c>
      <c r="M9524" t="s">
        <v>27251</v>
      </c>
      <c r="N9524" t="s">
        <v>27252</v>
      </c>
      <c r="Q9524" s="1">
        <v>45250</v>
      </c>
      <c r="R9524" t="s">
        <v>27253</v>
      </c>
      <c r="S9524" t="s">
        <v>27254</v>
      </c>
      <c r="T9524" t="s">
        <v>27255</v>
      </c>
    </row>
    <row r="9525" spans="1:20" x14ac:dyDescent="0.3">
      <c r="A9525" t="str">
        <f>"0611837659100"</f>
        <v>0611837659100</v>
      </c>
      <c r="B9525" t="str">
        <f>"LQ0921"</f>
        <v>LQ0921</v>
      </c>
      <c r="C9525" t="s">
        <v>45734</v>
      </c>
      <c r="D9525" t="s">
        <v>27245</v>
      </c>
      <c r="E9525" t="str">
        <f t="shared" si="148"/>
        <v>001390</v>
      </c>
      <c r="F9525" t="s">
        <v>27246</v>
      </c>
      <c r="G9525" t="s">
        <v>27247</v>
      </c>
      <c r="H9525" t="s">
        <v>27248</v>
      </c>
      <c r="I9525" t="s">
        <v>45735</v>
      </c>
      <c r="J9525" t="s">
        <v>19040</v>
      </c>
      <c r="L9525" t="s">
        <v>27250</v>
      </c>
      <c r="M9525" t="s">
        <v>27251</v>
      </c>
      <c r="N9525" t="s">
        <v>27252</v>
      </c>
      <c r="Q9525" s="1">
        <v>44538</v>
      </c>
      <c r="R9525" t="s">
        <v>27253</v>
      </c>
      <c r="S9525" t="s">
        <v>27254</v>
      </c>
      <c r="T9525" t="s">
        <v>27255</v>
      </c>
    </row>
    <row r="9526" spans="1:20" x14ac:dyDescent="0.3">
      <c r="A9526" t="str">
        <f>"0611863464050"</f>
        <v>0611863464050</v>
      </c>
      <c r="B9526" t="str">
        <f>"CR4046"</f>
        <v>CR4046</v>
      </c>
      <c r="C9526" t="s">
        <v>45734</v>
      </c>
      <c r="D9526" t="s">
        <v>27263</v>
      </c>
      <c r="E9526" t="str">
        <f t="shared" si="148"/>
        <v>001390</v>
      </c>
      <c r="F9526" t="s">
        <v>27246</v>
      </c>
      <c r="G9526" t="s">
        <v>27247</v>
      </c>
      <c r="H9526" t="s">
        <v>27248</v>
      </c>
      <c r="I9526" t="s">
        <v>45736</v>
      </c>
      <c r="J9526" t="s">
        <v>19042</v>
      </c>
      <c r="L9526" t="s">
        <v>27250</v>
      </c>
      <c r="M9526" t="s">
        <v>27251</v>
      </c>
      <c r="N9526" t="s">
        <v>27252</v>
      </c>
      <c r="Q9526" s="1">
        <v>44846</v>
      </c>
      <c r="R9526" t="s">
        <v>27253</v>
      </c>
      <c r="S9526" t="s">
        <v>27254</v>
      </c>
      <c r="T9526" t="s">
        <v>27265</v>
      </c>
    </row>
    <row r="9527" spans="1:20" x14ac:dyDescent="0.3">
      <c r="A9527" t="str">
        <f>"0611837660100"</f>
        <v>0611837660100</v>
      </c>
      <c r="B9527" t="str">
        <f>"LQ0736"</f>
        <v>LQ0736</v>
      </c>
      <c r="C9527" t="s">
        <v>45737</v>
      </c>
      <c r="D9527" t="s">
        <v>27245</v>
      </c>
      <c r="E9527" t="str">
        <f t="shared" si="148"/>
        <v>001390</v>
      </c>
      <c r="F9527" t="s">
        <v>27246</v>
      </c>
      <c r="G9527" t="s">
        <v>27247</v>
      </c>
      <c r="H9527" t="s">
        <v>27248</v>
      </c>
      <c r="I9527" t="s">
        <v>45738</v>
      </c>
      <c r="J9527" t="s">
        <v>19044</v>
      </c>
      <c r="L9527" t="s">
        <v>27250</v>
      </c>
      <c r="M9527" t="s">
        <v>27251</v>
      </c>
      <c r="N9527" t="s">
        <v>27252</v>
      </c>
      <c r="Q9527" s="1">
        <v>44538</v>
      </c>
      <c r="R9527" t="s">
        <v>27253</v>
      </c>
      <c r="S9527" t="s">
        <v>27254</v>
      </c>
      <c r="T9527" t="s">
        <v>27255</v>
      </c>
    </row>
    <row r="9528" spans="1:20" x14ac:dyDescent="0.3">
      <c r="A9528" t="str">
        <f>"0611837661100"</f>
        <v>0611837661100</v>
      </c>
      <c r="B9528" t="str">
        <f>"LQ0809"</f>
        <v>LQ0809</v>
      </c>
      <c r="C9528" t="s">
        <v>45739</v>
      </c>
      <c r="D9528" t="s">
        <v>27245</v>
      </c>
      <c r="E9528" t="str">
        <f t="shared" si="148"/>
        <v>001390</v>
      </c>
      <c r="F9528" t="s">
        <v>27246</v>
      </c>
      <c r="G9528" t="s">
        <v>27247</v>
      </c>
      <c r="H9528" t="s">
        <v>27248</v>
      </c>
      <c r="I9528" t="s">
        <v>45740</v>
      </c>
      <c r="J9528" t="s">
        <v>19054</v>
      </c>
      <c r="L9528" t="s">
        <v>27250</v>
      </c>
      <c r="M9528" t="s">
        <v>27251</v>
      </c>
      <c r="N9528" t="s">
        <v>27252</v>
      </c>
      <c r="Q9528" s="1">
        <v>44538</v>
      </c>
      <c r="R9528" t="s">
        <v>27253</v>
      </c>
      <c r="S9528" t="s">
        <v>27254</v>
      </c>
      <c r="T9528" t="s">
        <v>27255</v>
      </c>
    </row>
    <row r="9529" spans="1:20" x14ac:dyDescent="0.3">
      <c r="A9529" t="str">
        <f>"0611837662100"</f>
        <v>0611837662100</v>
      </c>
      <c r="B9529" t="str">
        <f>"LQ3761"</f>
        <v>LQ3761</v>
      </c>
      <c r="C9529" t="s">
        <v>45741</v>
      </c>
      <c r="D9529" t="s">
        <v>27245</v>
      </c>
      <c r="E9529" t="str">
        <f t="shared" si="148"/>
        <v>001390</v>
      </c>
      <c r="F9529" t="s">
        <v>27246</v>
      </c>
      <c r="G9529" t="s">
        <v>27247</v>
      </c>
      <c r="H9529" t="s">
        <v>27248</v>
      </c>
      <c r="I9529" t="s">
        <v>45742</v>
      </c>
      <c r="J9529" t="s">
        <v>19058</v>
      </c>
      <c r="L9529" t="s">
        <v>27250</v>
      </c>
      <c r="M9529" t="s">
        <v>27251</v>
      </c>
      <c r="N9529" t="s">
        <v>27252</v>
      </c>
      <c r="Q9529" s="1">
        <v>44538</v>
      </c>
      <c r="R9529" t="s">
        <v>27253</v>
      </c>
      <c r="S9529" t="s">
        <v>27254</v>
      </c>
      <c r="T9529" t="s">
        <v>27255</v>
      </c>
    </row>
    <row r="9530" spans="1:20" x14ac:dyDescent="0.3">
      <c r="A9530" t="str">
        <f>"0611837663100"</f>
        <v>0611837663100</v>
      </c>
      <c r="B9530" t="str">
        <f>"LQ3414"</f>
        <v>LQ3414</v>
      </c>
      <c r="C9530" t="s">
        <v>45743</v>
      </c>
      <c r="D9530" t="s">
        <v>27245</v>
      </c>
      <c r="E9530" t="str">
        <f t="shared" si="148"/>
        <v>001390</v>
      </c>
      <c r="F9530" t="s">
        <v>27246</v>
      </c>
      <c r="G9530" t="s">
        <v>27247</v>
      </c>
      <c r="H9530" t="s">
        <v>27248</v>
      </c>
      <c r="I9530" t="s">
        <v>45744</v>
      </c>
      <c r="J9530" t="s">
        <v>19062</v>
      </c>
      <c r="L9530" t="s">
        <v>27250</v>
      </c>
      <c r="M9530" t="s">
        <v>27251</v>
      </c>
      <c r="N9530" t="s">
        <v>27252</v>
      </c>
      <c r="Q9530" s="1">
        <v>44538</v>
      </c>
      <c r="R9530" t="s">
        <v>27253</v>
      </c>
      <c r="S9530" t="s">
        <v>27254</v>
      </c>
      <c r="T9530" t="s">
        <v>27255</v>
      </c>
    </row>
    <row r="9531" spans="1:20" x14ac:dyDescent="0.3">
      <c r="A9531" t="str">
        <f>"0611837664100"</f>
        <v>0611837664100</v>
      </c>
      <c r="B9531" t="str">
        <f>"LQ0734"</f>
        <v>LQ0734</v>
      </c>
      <c r="C9531" t="s">
        <v>45745</v>
      </c>
      <c r="D9531" t="s">
        <v>27245</v>
      </c>
      <c r="E9531" t="str">
        <f t="shared" si="148"/>
        <v>001390</v>
      </c>
      <c r="F9531" t="s">
        <v>27246</v>
      </c>
      <c r="G9531" t="s">
        <v>27247</v>
      </c>
      <c r="H9531" t="s">
        <v>27248</v>
      </c>
      <c r="I9531" t="s">
        <v>45746</v>
      </c>
      <c r="J9531" t="s">
        <v>19050</v>
      </c>
      <c r="L9531" t="s">
        <v>27250</v>
      </c>
      <c r="M9531" t="s">
        <v>27251</v>
      </c>
      <c r="N9531" t="s">
        <v>27252</v>
      </c>
      <c r="Q9531" s="1">
        <v>44538</v>
      </c>
      <c r="R9531" t="s">
        <v>27253</v>
      </c>
      <c r="S9531" t="s">
        <v>27254</v>
      </c>
      <c r="T9531" t="s">
        <v>27255</v>
      </c>
    </row>
    <row r="9532" spans="1:20" x14ac:dyDescent="0.3">
      <c r="A9532" t="str">
        <f>"0611863465050"</f>
        <v>0611863465050</v>
      </c>
      <c r="B9532" t="str">
        <f>"CR2450"</f>
        <v>CR2450</v>
      </c>
      <c r="C9532" t="s">
        <v>45745</v>
      </c>
      <c r="D9532" t="s">
        <v>27263</v>
      </c>
      <c r="E9532" t="str">
        <f t="shared" si="148"/>
        <v>001390</v>
      </c>
      <c r="F9532" t="s">
        <v>27246</v>
      </c>
      <c r="G9532" t="s">
        <v>27247</v>
      </c>
      <c r="H9532" t="s">
        <v>27248</v>
      </c>
      <c r="I9532" t="s">
        <v>45747</v>
      </c>
      <c r="J9532" t="s">
        <v>19052</v>
      </c>
      <c r="L9532" t="s">
        <v>27250</v>
      </c>
      <c r="M9532" t="s">
        <v>27251</v>
      </c>
      <c r="N9532" t="s">
        <v>27252</v>
      </c>
      <c r="Q9532" s="1">
        <v>44846</v>
      </c>
      <c r="R9532" t="s">
        <v>27253</v>
      </c>
      <c r="S9532" t="s">
        <v>27254</v>
      </c>
      <c r="T9532" t="s">
        <v>27265</v>
      </c>
    </row>
    <row r="9533" spans="1:20" x14ac:dyDescent="0.3">
      <c r="A9533" t="str">
        <f>"0611837665100"</f>
        <v>0611837665100</v>
      </c>
      <c r="B9533" t="str">
        <f>"LQ3849"</f>
        <v>LQ3849</v>
      </c>
      <c r="C9533" t="s">
        <v>45748</v>
      </c>
      <c r="D9533" t="s">
        <v>27245</v>
      </c>
      <c r="E9533" t="str">
        <f t="shared" si="148"/>
        <v>001390</v>
      </c>
      <c r="F9533" t="s">
        <v>27246</v>
      </c>
      <c r="G9533" t="s">
        <v>27247</v>
      </c>
      <c r="H9533" t="s">
        <v>27248</v>
      </c>
      <c r="I9533" t="s">
        <v>45749</v>
      </c>
      <c r="J9533" t="s">
        <v>19046</v>
      </c>
      <c r="L9533" t="s">
        <v>27250</v>
      </c>
      <c r="M9533" t="s">
        <v>27251</v>
      </c>
      <c r="N9533" t="s">
        <v>27252</v>
      </c>
      <c r="Q9533" s="1">
        <v>44538</v>
      </c>
      <c r="R9533" t="s">
        <v>27253</v>
      </c>
      <c r="S9533" t="s">
        <v>27254</v>
      </c>
      <c r="T9533" t="s">
        <v>27255</v>
      </c>
    </row>
    <row r="9534" spans="1:20" x14ac:dyDescent="0.3">
      <c r="A9534" t="str">
        <f>"0611863466050"</f>
        <v>0611863466050</v>
      </c>
      <c r="B9534" t="str">
        <f>"CR4991"</f>
        <v>CR4991</v>
      </c>
      <c r="C9534" t="s">
        <v>45748</v>
      </c>
      <c r="D9534" t="s">
        <v>27263</v>
      </c>
      <c r="E9534" t="str">
        <f t="shared" si="148"/>
        <v>001390</v>
      </c>
      <c r="F9534" t="s">
        <v>27246</v>
      </c>
      <c r="G9534" t="s">
        <v>27247</v>
      </c>
      <c r="H9534" t="s">
        <v>27248</v>
      </c>
      <c r="I9534" t="s">
        <v>45750</v>
      </c>
      <c r="J9534" t="s">
        <v>19048</v>
      </c>
      <c r="L9534" t="s">
        <v>27250</v>
      </c>
      <c r="M9534" t="s">
        <v>27251</v>
      </c>
      <c r="N9534" t="s">
        <v>27252</v>
      </c>
      <c r="Q9534" s="1">
        <v>44846</v>
      </c>
      <c r="R9534" t="s">
        <v>27253</v>
      </c>
      <c r="S9534" t="s">
        <v>27254</v>
      </c>
      <c r="T9534" t="s">
        <v>27265</v>
      </c>
    </row>
    <row r="9535" spans="1:20" x14ac:dyDescent="0.3">
      <c r="A9535" t="str">
        <f>"0611863467050"</f>
        <v>0611863467050</v>
      </c>
      <c r="B9535" t="str">
        <f>"CR4845"</f>
        <v>CR4845</v>
      </c>
      <c r="C9535" t="s">
        <v>45751</v>
      </c>
      <c r="D9535" t="s">
        <v>27263</v>
      </c>
      <c r="E9535" t="str">
        <f t="shared" si="148"/>
        <v>001390</v>
      </c>
      <c r="F9535" t="s">
        <v>27246</v>
      </c>
      <c r="G9535" t="s">
        <v>27247</v>
      </c>
      <c r="H9535" t="s">
        <v>27248</v>
      </c>
      <c r="I9535" t="s">
        <v>45752</v>
      </c>
      <c r="J9535" t="s">
        <v>19060</v>
      </c>
      <c r="L9535" t="s">
        <v>27250</v>
      </c>
      <c r="M9535" t="s">
        <v>27251</v>
      </c>
      <c r="N9535" t="s">
        <v>27252</v>
      </c>
      <c r="Q9535" s="1">
        <v>44846</v>
      </c>
      <c r="R9535" t="s">
        <v>27253</v>
      </c>
      <c r="S9535" t="s">
        <v>27254</v>
      </c>
      <c r="T9535" t="s">
        <v>27265</v>
      </c>
    </row>
    <row r="9536" spans="1:20" x14ac:dyDescent="0.3">
      <c r="A9536" t="str">
        <f>"0611863468050"</f>
        <v>0611863468050</v>
      </c>
      <c r="B9536" t="str">
        <f>"CR3553"</f>
        <v>CR3553</v>
      </c>
      <c r="C9536" t="s">
        <v>45753</v>
      </c>
      <c r="D9536" t="s">
        <v>27263</v>
      </c>
      <c r="E9536" t="str">
        <f t="shared" si="148"/>
        <v>001390</v>
      </c>
      <c r="F9536" t="s">
        <v>27246</v>
      </c>
      <c r="G9536" t="s">
        <v>27247</v>
      </c>
      <c r="H9536" t="s">
        <v>27248</v>
      </c>
      <c r="I9536" t="s">
        <v>45754</v>
      </c>
      <c r="J9536" t="s">
        <v>19064</v>
      </c>
      <c r="L9536" t="s">
        <v>27250</v>
      </c>
      <c r="M9536" t="s">
        <v>27251</v>
      </c>
      <c r="N9536" t="s">
        <v>27252</v>
      </c>
      <c r="Q9536" s="1">
        <v>44846</v>
      </c>
      <c r="R9536" t="s">
        <v>27253</v>
      </c>
      <c r="S9536" t="s">
        <v>27254</v>
      </c>
      <c r="T9536" t="s">
        <v>27265</v>
      </c>
    </row>
    <row r="9537" spans="1:20" x14ac:dyDescent="0.3">
      <c r="A9537" t="str">
        <f>"0611863469050"</f>
        <v>0611863469050</v>
      </c>
      <c r="B9537" t="str">
        <f>"CR2449"</f>
        <v>CR2449</v>
      </c>
      <c r="C9537" t="s">
        <v>45755</v>
      </c>
      <c r="D9537" t="s">
        <v>27263</v>
      </c>
      <c r="E9537" t="str">
        <f t="shared" si="148"/>
        <v>001390</v>
      </c>
      <c r="F9537" t="s">
        <v>27246</v>
      </c>
      <c r="G9537" t="s">
        <v>27247</v>
      </c>
      <c r="H9537" t="s">
        <v>27248</v>
      </c>
      <c r="I9537" t="s">
        <v>45756</v>
      </c>
      <c r="J9537" t="s">
        <v>19056</v>
      </c>
      <c r="L9537" t="s">
        <v>27250</v>
      </c>
      <c r="M9537" t="s">
        <v>27251</v>
      </c>
      <c r="N9537" t="s">
        <v>27252</v>
      </c>
      <c r="Q9537" s="1">
        <v>44846</v>
      </c>
      <c r="R9537" t="s">
        <v>27253</v>
      </c>
      <c r="S9537" t="s">
        <v>27254</v>
      </c>
      <c r="T9537" t="s">
        <v>27265</v>
      </c>
    </row>
    <row r="9538" spans="1:20" x14ac:dyDescent="0.3">
      <c r="A9538" t="str">
        <f>"0611837666100"</f>
        <v>0611837666100</v>
      </c>
      <c r="B9538" t="str">
        <f>"LQ3415"</f>
        <v>LQ3415</v>
      </c>
      <c r="C9538" t="s">
        <v>45757</v>
      </c>
      <c r="D9538" t="s">
        <v>27245</v>
      </c>
      <c r="E9538" t="str">
        <f t="shared" ref="E9538:E9601" si="149">"001390"</f>
        <v>001390</v>
      </c>
      <c r="F9538" t="s">
        <v>27246</v>
      </c>
      <c r="G9538" t="s">
        <v>27247</v>
      </c>
      <c r="H9538" t="s">
        <v>27248</v>
      </c>
      <c r="I9538" t="s">
        <v>45758</v>
      </c>
      <c r="J9538" t="s">
        <v>19066</v>
      </c>
      <c r="L9538" t="s">
        <v>27250</v>
      </c>
      <c r="M9538" t="s">
        <v>27251</v>
      </c>
      <c r="N9538" t="s">
        <v>27252</v>
      </c>
      <c r="Q9538" s="1">
        <v>44538</v>
      </c>
      <c r="R9538" t="s">
        <v>27253</v>
      </c>
      <c r="S9538" t="s">
        <v>27254</v>
      </c>
      <c r="T9538" t="s">
        <v>27255</v>
      </c>
    </row>
    <row r="9539" spans="1:20" x14ac:dyDescent="0.3">
      <c r="A9539" t="str">
        <f>"0611863470050"</f>
        <v>0611863470050</v>
      </c>
      <c r="B9539" t="str">
        <f>"CR3554"</f>
        <v>CR3554</v>
      </c>
      <c r="C9539" t="s">
        <v>45757</v>
      </c>
      <c r="D9539" t="s">
        <v>27263</v>
      </c>
      <c r="E9539" t="str">
        <f t="shared" si="149"/>
        <v>001390</v>
      </c>
      <c r="F9539" t="s">
        <v>27246</v>
      </c>
      <c r="G9539" t="s">
        <v>27247</v>
      </c>
      <c r="H9539" t="s">
        <v>27248</v>
      </c>
      <c r="I9539" t="s">
        <v>45759</v>
      </c>
      <c r="J9539" t="s">
        <v>19068</v>
      </c>
      <c r="L9539" t="s">
        <v>27250</v>
      </c>
      <c r="M9539" t="s">
        <v>27251</v>
      </c>
      <c r="N9539" t="s">
        <v>27252</v>
      </c>
      <c r="Q9539" s="1">
        <v>44846</v>
      </c>
      <c r="R9539" t="s">
        <v>27253</v>
      </c>
      <c r="S9539" t="s">
        <v>27254</v>
      </c>
      <c r="T9539" t="s">
        <v>27265</v>
      </c>
    </row>
    <row r="9540" spans="1:20" x14ac:dyDescent="0.3">
      <c r="A9540" t="str">
        <f>"0611837668100"</f>
        <v>0611837668100</v>
      </c>
      <c r="B9540" t="str">
        <f>"LQ3850"</f>
        <v>LQ3850</v>
      </c>
      <c r="C9540" t="s">
        <v>45760</v>
      </c>
      <c r="D9540" t="s">
        <v>27245</v>
      </c>
      <c r="E9540" t="str">
        <f t="shared" si="149"/>
        <v>001390</v>
      </c>
      <c r="F9540" t="s">
        <v>27246</v>
      </c>
      <c r="G9540" t="s">
        <v>27247</v>
      </c>
      <c r="H9540" t="s">
        <v>27248</v>
      </c>
      <c r="I9540" t="s">
        <v>45761</v>
      </c>
      <c r="J9540" t="s">
        <v>19070</v>
      </c>
      <c r="L9540" t="s">
        <v>27250</v>
      </c>
      <c r="M9540" t="s">
        <v>27251</v>
      </c>
      <c r="N9540" t="s">
        <v>27252</v>
      </c>
      <c r="Q9540" s="1">
        <v>44538</v>
      </c>
      <c r="R9540" t="s">
        <v>27253</v>
      </c>
      <c r="S9540" t="s">
        <v>27254</v>
      </c>
      <c r="T9540" t="s">
        <v>27255</v>
      </c>
    </row>
    <row r="9541" spans="1:20" x14ac:dyDescent="0.3">
      <c r="A9541" t="str">
        <f>"0611863471050"</f>
        <v>0611863471050</v>
      </c>
      <c r="B9541" t="str">
        <f>"CR4992"</f>
        <v>CR4992</v>
      </c>
      <c r="C9541" t="s">
        <v>45760</v>
      </c>
      <c r="D9541" t="s">
        <v>27263</v>
      </c>
      <c r="E9541" t="str">
        <f t="shared" si="149"/>
        <v>001390</v>
      </c>
      <c r="F9541" t="s">
        <v>27246</v>
      </c>
      <c r="G9541" t="s">
        <v>27247</v>
      </c>
      <c r="H9541" t="s">
        <v>27248</v>
      </c>
      <c r="I9541" t="s">
        <v>45762</v>
      </c>
      <c r="J9541" t="s">
        <v>19072</v>
      </c>
      <c r="L9541" t="s">
        <v>27250</v>
      </c>
      <c r="M9541" t="s">
        <v>27251</v>
      </c>
      <c r="N9541" t="s">
        <v>27252</v>
      </c>
      <c r="Q9541" s="1">
        <v>44846</v>
      </c>
      <c r="R9541" t="s">
        <v>27253</v>
      </c>
      <c r="S9541" t="s">
        <v>27254</v>
      </c>
      <c r="T9541" t="s">
        <v>27265</v>
      </c>
    </row>
    <row r="9542" spans="1:20" x14ac:dyDescent="0.3">
      <c r="A9542" t="str">
        <f>"0611837670100"</f>
        <v>0611837670100</v>
      </c>
      <c r="B9542" t="str">
        <f>"LQ3767"</f>
        <v>LQ3767</v>
      </c>
      <c r="C9542" t="s">
        <v>45763</v>
      </c>
      <c r="D9542" t="s">
        <v>27245</v>
      </c>
      <c r="E9542" t="str">
        <f t="shared" si="149"/>
        <v>001390</v>
      </c>
      <c r="F9542" t="s">
        <v>27246</v>
      </c>
      <c r="G9542" t="s">
        <v>27247</v>
      </c>
      <c r="H9542" t="s">
        <v>27248</v>
      </c>
      <c r="I9542" t="s">
        <v>45764</v>
      </c>
      <c r="J9542" t="s">
        <v>19074</v>
      </c>
      <c r="L9542" t="s">
        <v>27250</v>
      </c>
      <c r="M9542" t="s">
        <v>27251</v>
      </c>
      <c r="N9542" t="s">
        <v>27252</v>
      </c>
      <c r="Q9542" s="1">
        <v>44538</v>
      </c>
      <c r="R9542" t="s">
        <v>27253</v>
      </c>
      <c r="S9542" t="s">
        <v>27254</v>
      </c>
      <c r="T9542" t="s">
        <v>27255</v>
      </c>
    </row>
    <row r="9543" spans="1:20" x14ac:dyDescent="0.3">
      <c r="A9543" t="str">
        <f>"0611863472050"</f>
        <v>0611863472050</v>
      </c>
      <c r="B9543" t="str">
        <f>"CR4993"</f>
        <v>CR4993</v>
      </c>
      <c r="C9543" t="s">
        <v>45765</v>
      </c>
      <c r="D9543" t="s">
        <v>27263</v>
      </c>
      <c r="E9543" t="str">
        <f t="shared" si="149"/>
        <v>001390</v>
      </c>
      <c r="F9543" t="s">
        <v>27246</v>
      </c>
      <c r="G9543" t="s">
        <v>27247</v>
      </c>
      <c r="H9543" t="s">
        <v>27248</v>
      </c>
      <c r="I9543" t="s">
        <v>45766</v>
      </c>
      <c r="J9543" t="s">
        <v>19076</v>
      </c>
      <c r="L9543" t="s">
        <v>27250</v>
      </c>
      <c r="M9543" t="s">
        <v>27251</v>
      </c>
      <c r="N9543" t="s">
        <v>27252</v>
      </c>
      <c r="Q9543" s="1">
        <v>44846</v>
      </c>
      <c r="R9543" t="s">
        <v>27253</v>
      </c>
      <c r="S9543" t="s">
        <v>27254</v>
      </c>
      <c r="T9543" t="s">
        <v>27265</v>
      </c>
    </row>
    <row r="9544" spans="1:20" x14ac:dyDescent="0.3">
      <c r="A9544" t="str">
        <f>"0611837671100"</f>
        <v>0611837671100</v>
      </c>
      <c r="B9544" t="str">
        <f>"LQ0922"</f>
        <v>LQ0922</v>
      </c>
      <c r="C9544" t="s">
        <v>45767</v>
      </c>
      <c r="D9544" t="s">
        <v>27245</v>
      </c>
      <c r="E9544" t="str">
        <f t="shared" si="149"/>
        <v>001390</v>
      </c>
      <c r="F9544" t="s">
        <v>27246</v>
      </c>
      <c r="G9544" t="s">
        <v>27247</v>
      </c>
      <c r="H9544" t="s">
        <v>27248</v>
      </c>
      <c r="I9544" t="s">
        <v>45768</v>
      </c>
      <c r="J9544" t="s">
        <v>19078</v>
      </c>
      <c r="L9544" t="s">
        <v>27250</v>
      </c>
      <c r="M9544" t="s">
        <v>27251</v>
      </c>
      <c r="N9544" t="s">
        <v>27252</v>
      </c>
      <c r="Q9544" s="1">
        <v>44538</v>
      </c>
      <c r="R9544" t="s">
        <v>27253</v>
      </c>
      <c r="S9544" t="s">
        <v>27254</v>
      </c>
      <c r="T9544" t="s">
        <v>27255</v>
      </c>
    </row>
    <row r="9545" spans="1:20" x14ac:dyDescent="0.3">
      <c r="A9545" t="str">
        <f>"0611863473050"</f>
        <v>0611863473050</v>
      </c>
      <c r="B9545" t="str">
        <f>"CR4047"</f>
        <v>CR4047</v>
      </c>
      <c r="C9545" t="s">
        <v>45767</v>
      </c>
      <c r="D9545" t="s">
        <v>27263</v>
      </c>
      <c r="E9545" t="str">
        <f t="shared" si="149"/>
        <v>001390</v>
      </c>
      <c r="F9545" t="s">
        <v>27246</v>
      </c>
      <c r="G9545" t="s">
        <v>27247</v>
      </c>
      <c r="H9545" t="s">
        <v>27248</v>
      </c>
      <c r="I9545" t="s">
        <v>45769</v>
      </c>
      <c r="J9545" t="s">
        <v>19080</v>
      </c>
      <c r="L9545" t="s">
        <v>27250</v>
      </c>
      <c r="M9545" t="s">
        <v>27251</v>
      </c>
      <c r="N9545" t="s">
        <v>27252</v>
      </c>
      <c r="Q9545" s="1">
        <v>44846</v>
      </c>
      <c r="R9545" t="s">
        <v>27253</v>
      </c>
      <c r="S9545" t="s">
        <v>27254</v>
      </c>
      <c r="T9545" t="s">
        <v>27265</v>
      </c>
    </row>
    <row r="9546" spans="1:20" x14ac:dyDescent="0.3">
      <c r="A9546" t="str">
        <f>"0611837673100"</f>
        <v>0611837673100</v>
      </c>
      <c r="B9546" t="str">
        <f>"LQ3762"</f>
        <v>LQ3762</v>
      </c>
      <c r="C9546" t="s">
        <v>45770</v>
      </c>
      <c r="D9546" t="s">
        <v>27245</v>
      </c>
      <c r="E9546" t="str">
        <f t="shared" si="149"/>
        <v>001390</v>
      </c>
      <c r="F9546" t="s">
        <v>27246</v>
      </c>
      <c r="G9546" t="s">
        <v>27247</v>
      </c>
      <c r="H9546" t="s">
        <v>27248</v>
      </c>
      <c r="I9546" t="s">
        <v>45771</v>
      </c>
      <c r="J9546" t="s">
        <v>19082</v>
      </c>
      <c r="L9546" t="s">
        <v>27250</v>
      </c>
      <c r="M9546" t="s">
        <v>27251</v>
      </c>
      <c r="N9546" t="s">
        <v>27252</v>
      </c>
      <c r="Q9546" s="1">
        <v>44538</v>
      </c>
      <c r="R9546" t="s">
        <v>27253</v>
      </c>
      <c r="S9546" t="s">
        <v>27254</v>
      </c>
      <c r="T9546" t="s">
        <v>27255</v>
      </c>
    </row>
    <row r="9547" spans="1:20" x14ac:dyDescent="0.3">
      <c r="A9547" t="str">
        <f>"0611863474050"</f>
        <v>0611863474050</v>
      </c>
      <c r="B9547" t="str">
        <f>"CR4846"</f>
        <v>CR4846</v>
      </c>
      <c r="C9547" t="s">
        <v>45770</v>
      </c>
      <c r="D9547" t="s">
        <v>27263</v>
      </c>
      <c r="E9547" t="str">
        <f t="shared" si="149"/>
        <v>001390</v>
      </c>
      <c r="F9547" t="s">
        <v>27246</v>
      </c>
      <c r="G9547" t="s">
        <v>27247</v>
      </c>
      <c r="H9547" t="s">
        <v>27248</v>
      </c>
      <c r="I9547" t="s">
        <v>45772</v>
      </c>
      <c r="J9547" t="s">
        <v>19084</v>
      </c>
      <c r="L9547" t="s">
        <v>27250</v>
      </c>
      <c r="M9547" t="s">
        <v>27251</v>
      </c>
      <c r="N9547" t="s">
        <v>27252</v>
      </c>
      <c r="Q9547" s="1">
        <v>44846</v>
      </c>
      <c r="R9547" t="s">
        <v>27253</v>
      </c>
      <c r="S9547" t="s">
        <v>27254</v>
      </c>
      <c r="T9547" t="s">
        <v>27265</v>
      </c>
    </row>
    <row r="9548" spans="1:20" x14ac:dyDescent="0.3">
      <c r="A9548" t="str">
        <f>"0611837674100"</f>
        <v>0611837674100</v>
      </c>
      <c r="B9548" t="str">
        <f>"LQ3609"</f>
        <v>LQ3609</v>
      </c>
      <c r="C9548" t="s">
        <v>45773</v>
      </c>
      <c r="D9548" t="s">
        <v>27245</v>
      </c>
      <c r="E9548" t="str">
        <f t="shared" si="149"/>
        <v>001390</v>
      </c>
      <c r="F9548" t="s">
        <v>27246</v>
      </c>
      <c r="G9548" t="s">
        <v>27247</v>
      </c>
      <c r="H9548" t="s">
        <v>27248</v>
      </c>
      <c r="I9548" t="s">
        <v>45774</v>
      </c>
      <c r="J9548" t="s">
        <v>19086</v>
      </c>
      <c r="L9548" t="s">
        <v>27250</v>
      </c>
      <c r="M9548" t="s">
        <v>27251</v>
      </c>
      <c r="N9548" t="s">
        <v>27252</v>
      </c>
      <c r="Q9548" s="1">
        <v>44538</v>
      </c>
      <c r="R9548" t="s">
        <v>27253</v>
      </c>
      <c r="S9548" t="s">
        <v>27254</v>
      </c>
      <c r="T9548" t="s">
        <v>27255</v>
      </c>
    </row>
    <row r="9549" spans="1:20" x14ac:dyDescent="0.3">
      <c r="A9549" t="str">
        <f>"0611863475050"</f>
        <v>0611863475050</v>
      </c>
      <c r="B9549" t="str">
        <f>"CR4044"</f>
        <v>CR4044</v>
      </c>
      <c r="C9549" t="s">
        <v>45773</v>
      </c>
      <c r="D9549" t="s">
        <v>27263</v>
      </c>
      <c r="E9549" t="str">
        <f t="shared" si="149"/>
        <v>001390</v>
      </c>
      <c r="F9549" t="s">
        <v>27246</v>
      </c>
      <c r="G9549" t="s">
        <v>27247</v>
      </c>
      <c r="H9549" t="s">
        <v>27248</v>
      </c>
      <c r="I9549" t="s">
        <v>45775</v>
      </c>
      <c r="J9549" t="s">
        <v>19088</v>
      </c>
      <c r="L9549" t="s">
        <v>27250</v>
      </c>
      <c r="M9549" t="s">
        <v>27251</v>
      </c>
      <c r="N9549" t="s">
        <v>27252</v>
      </c>
      <c r="Q9549" s="1">
        <v>44846</v>
      </c>
      <c r="R9549" t="s">
        <v>27253</v>
      </c>
      <c r="S9549" t="s">
        <v>27254</v>
      </c>
      <c r="T9549" t="s">
        <v>27265</v>
      </c>
    </row>
    <row r="9550" spans="1:20" x14ac:dyDescent="0.3">
      <c r="A9550" t="str">
        <f>"0611884372100"</f>
        <v>0611884372100</v>
      </c>
      <c r="B9550" t="str">
        <f>"LQ3921"</f>
        <v>LQ3921</v>
      </c>
      <c r="C9550" t="s">
        <v>45776</v>
      </c>
      <c r="D9550" t="s">
        <v>27245</v>
      </c>
      <c r="E9550" t="str">
        <f t="shared" si="149"/>
        <v>001390</v>
      </c>
      <c r="F9550" t="s">
        <v>27246</v>
      </c>
      <c r="G9550" t="s">
        <v>27247</v>
      </c>
      <c r="H9550" t="s">
        <v>27248</v>
      </c>
      <c r="I9550" t="s">
        <v>45777</v>
      </c>
      <c r="J9550" t="s">
        <v>19090</v>
      </c>
      <c r="L9550" t="s">
        <v>27430</v>
      </c>
      <c r="M9550" t="s">
        <v>27251</v>
      </c>
      <c r="N9550" t="s">
        <v>27252</v>
      </c>
      <c r="Q9550" s="1">
        <v>45250</v>
      </c>
      <c r="R9550" t="s">
        <v>27253</v>
      </c>
      <c r="S9550" t="s">
        <v>27254</v>
      </c>
      <c r="T9550" t="s">
        <v>27255</v>
      </c>
    </row>
    <row r="9551" spans="1:20" x14ac:dyDescent="0.3">
      <c r="A9551" t="str">
        <f>"0611837675100"</f>
        <v>0611837675100</v>
      </c>
      <c r="B9551" t="str">
        <f>"LQ3763"</f>
        <v>LQ3763</v>
      </c>
      <c r="C9551" t="s">
        <v>45778</v>
      </c>
      <c r="D9551" t="s">
        <v>27245</v>
      </c>
      <c r="E9551" t="str">
        <f t="shared" si="149"/>
        <v>001390</v>
      </c>
      <c r="F9551" t="s">
        <v>27246</v>
      </c>
      <c r="G9551" t="s">
        <v>27247</v>
      </c>
      <c r="H9551" t="s">
        <v>27248</v>
      </c>
      <c r="I9551" t="s">
        <v>45779</v>
      </c>
      <c r="J9551" t="s">
        <v>19092</v>
      </c>
      <c r="L9551" t="s">
        <v>27250</v>
      </c>
      <c r="M9551" t="s">
        <v>27251</v>
      </c>
      <c r="N9551" t="s">
        <v>27252</v>
      </c>
      <c r="Q9551" s="1">
        <v>44538</v>
      </c>
      <c r="R9551" t="s">
        <v>27253</v>
      </c>
      <c r="S9551" t="s">
        <v>27254</v>
      </c>
      <c r="T9551" t="s">
        <v>27255</v>
      </c>
    </row>
    <row r="9552" spans="1:20" x14ac:dyDescent="0.3">
      <c r="A9552" t="str">
        <f>"0611837676100"</f>
        <v>0611837676100</v>
      </c>
      <c r="B9552" t="str">
        <f>"LQ3416"</f>
        <v>LQ3416</v>
      </c>
      <c r="C9552" t="s">
        <v>45780</v>
      </c>
      <c r="D9552" t="s">
        <v>27245</v>
      </c>
      <c r="E9552" t="str">
        <f t="shared" si="149"/>
        <v>001390</v>
      </c>
      <c r="F9552" t="s">
        <v>27246</v>
      </c>
      <c r="G9552" t="s">
        <v>27247</v>
      </c>
      <c r="H9552" t="s">
        <v>27248</v>
      </c>
      <c r="I9552" t="s">
        <v>45781</v>
      </c>
      <c r="J9552" t="s">
        <v>19094</v>
      </c>
      <c r="L9552" t="s">
        <v>27250</v>
      </c>
      <c r="M9552" t="s">
        <v>27251</v>
      </c>
      <c r="N9552" t="s">
        <v>27252</v>
      </c>
      <c r="Q9552" s="1">
        <v>44538</v>
      </c>
      <c r="R9552" t="s">
        <v>27253</v>
      </c>
      <c r="S9552" t="s">
        <v>27254</v>
      </c>
      <c r="T9552" t="s">
        <v>27255</v>
      </c>
    </row>
    <row r="9553" spans="1:20" x14ac:dyDescent="0.3">
      <c r="A9553" t="str">
        <f>"0611837677100"</f>
        <v>0611837677100</v>
      </c>
      <c r="B9553" t="str">
        <f>"LQ3851"</f>
        <v>LQ3851</v>
      </c>
      <c r="C9553" t="s">
        <v>45782</v>
      </c>
      <c r="D9553" t="s">
        <v>27245</v>
      </c>
      <c r="E9553" t="str">
        <f t="shared" si="149"/>
        <v>001390</v>
      </c>
      <c r="F9553" t="s">
        <v>27246</v>
      </c>
      <c r="G9553" t="s">
        <v>27247</v>
      </c>
      <c r="H9553" t="s">
        <v>27248</v>
      </c>
      <c r="I9553" t="s">
        <v>45783</v>
      </c>
      <c r="J9553" t="s">
        <v>19096</v>
      </c>
      <c r="L9553" t="s">
        <v>27250</v>
      </c>
      <c r="M9553" t="s">
        <v>27251</v>
      </c>
      <c r="N9553" t="s">
        <v>27252</v>
      </c>
      <c r="Q9553" s="1">
        <v>44538</v>
      </c>
      <c r="R9553" t="s">
        <v>27253</v>
      </c>
      <c r="S9553" t="s">
        <v>27254</v>
      </c>
      <c r="T9553" t="s">
        <v>27255</v>
      </c>
    </row>
    <row r="9554" spans="1:20" x14ac:dyDescent="0.3">
      <c r="A9554" t="str">
        <f>"0611837678100"</f>
        <v>0611837678100</v>
      </c>
      <c r="B9554" t="str">
        <f>"LQ0888"</f>
        <v>LQ0888</v>
      </c>
      <c r="C9554" t="s">
        <v>45784</v>
      </c>
      <c r="D9554" t="s">
        <v>27245</v>
      </c>
      <c r="E9554" t="str">
        <f t="shared" si="149"/>
        <v>001390</v>
      </c>
      <c r="F9554" t="s">
        <v>27246</v>
      </c>
      <c r="G9554" t="s">
        <v>27247</v>
      </c>
      <c r="H9554" t="s">
        <v>27248</v>
      </c>
      <c r="I9554" t="s">
        <v>45785</v>
      </c>
      <c r="J9554" t="s">
        <v>19098</v>
      </c>
      <c r="L9554" t="s">
        <v>27250</v>
      </c>
      <c r="M9554" t="s">
        <v>27251</v>
      </c>
      <c r="N9554" t="s">
        <v>27252</v>
      </c>
      <c r="Q9554" s="1">
        <v>44538</v>
      </c>
      <c r="R9554" t="s">
        <v>27253</v>
      </c>
      <c r="S9554" t="s">
        <v>27254</v>
      </c>
      <c r="T9554" t="s">
        <v>27255</v>
      </c>
    </row>
    <row r="9555" spans="1:20" x14ac:dyDescent="0.3">
      <c r="A9555" t="str">
        <f>"0611837679100"</f>
        <v>0611837679100</v>
      </c>
      <c r="B9555" t="str">
        <f>"LQ3764"</f>
        <v>LQ3764</v>
      </c>
      <c r="C9555" t="s">
        <v>45786</v>
      </c>
      <c r="D9555" t="s">
        <v>27245</v>
      </c>
      <c r="E9555" t="str">
        <f t="shared" si="149"/>
        <v>001390</v>
      </c>
      <c r="F9555" t="s">
        <v>27246</v>
      </c>
      <c r="G9555" t="s">
        <v>27247</v>
      </c>
      <c r="H9555" t="s">
        <v>27248</v>
      </c>
      <c r="I9555" t="s">
        <v>45787</v>
      </c>
      <c r="J9555" t="s">
        <v>19100</v>
      </c>
      <c r="L9555" t="s">
        <v>27250</v>
      </c>
      <c r="M9555" t="s">
        <v>27251</v>
      </c>
      <c r="N9555" t="s">
        <v>27252</v>
      </c>
      <c r="Q9555" s="1">
        <v>44538</v>
      </c>
      <c r="R9555" t="s">
        <v>27253</v>
      </c>
      <c r="S9555" t="s">
        <v>27254</v>
      </c>
      <c r="T9555" t="s">
        <v>27255</v>
      </c>
    </row>
    <row r="9556" spans="1:20" x14ac:dyDescent="0.3">
      <c r="A9556" t="str">
        <f>"0611863476050"</f>
        <v>0611863476050</v>
      </c>
      <c r="B9556" t="str">
        <f>"CR4847"</f>
        <v>CR4847</v>
      </c>
      <c r="C9556" t="s">
        <v>45786</v>
      </c>
      <c r="D9556" t="s">
        <v>27263</v>
      </c>
      <c r="E9556" t="str">
        <f t="shared" si="149"/>
        <v>001390</v>
      </c>
      <c r="F9556" t="s">
        <v>27246</v>
      </c>
      <c r="G9556" t="s">
        <v>27247</v>
      </c>
      <c r="H9556" t="s">
        <v>27248</v>
      </c>
      <c r="I9556" t="s">
        <v>45788</v>
      </c>
      <c r="J9556" t="s">
        <v>19102</v>
      </c>
      <c r="L9556" t="s">
        <v>27250</v>
      </c>
      <c r="M9556" t="s">
        <v>27251</v>
      </c>
      <c r="N9556" t="s">
        <v>27252</v>
      </c>
      <c r="Q9556" s="1">
        <v>44846</v>
      </c>
      <c r="R9556" t="s">
        <v>27253</v>
      </c>
      <c r="S9556" t="s">
        <v>27254</v>
      </c>
      <c r="T9556" t="s">
        <v>27265</v>
      </c>
    </row>
    <row r="9557" spans="1:20" x14ac:dyDescent="0.3">
      <c r="A9557" t="str">
        <f>"0611837680100"</f>
        <v>0611837680100</v>
      </c>
      <c r="B9557" t="str">
        <f>"LQ3765"</f>
        <v>LQ3765</v>
      </c>
      <c r="C9557" t="s">
        <v>45789</v>
      </c>
      <c r="D9557" t="s">
        <v>27245</v>
      </c>
      <c r="E9557" t="str">
        <f t="shared" si="149"/>
        <v>001390</v>
      </c>
      <c r="F9557" t="s">
        <v>27246</v>
      </c>
      <c r="G9557" t="s">
        <v>27247</v>
      </c>
      <c r="H9557" t="s">
        <v>27248</v>
      </c>
      <c r="I9557" t="s">
        <v>45790</v>
      </c>
      <c r="J9557" t="s">
        <v>19104</v>
      </c>
      <c r="L9557" t="s">
        <v>27250</v>
      </c>
      <c r="M9557" t="s">
        <v>27251</v>
      </c>
      <c r="N9557" t="s">
        <v>27252</v>
      </c>
      <c r="Q9557" s="1">
        <v>44538</v>
      </c>
      <c r="R9557" t="s">
        <v>27253</v>
      </c>
      <c r="S9557" t="s">
        <v>27254</v>
      </c>
      <c r="T9557" t="s">
        <v>27255</v>
      </c>
    </row>
    <row r="9558" spans="1:20" x14ac:dyDescent="0.3">
      <c r="A9558" t="str">
        <f>"0611863477050"</f>
        <v>0611863477050</v>
      </c>
      <c r="B9558" t="str">
        <f>"CR4848"</f>
        <v>CR4848</v>
      </c>
      <c r="C9558" t="s">
        <v>45789</v>
      </c>
      <c r="D9558" t="s">
        <v>27263</v>
      </c>
      <c r="E9558" t="str">
        <f t="shared" si="149"/>
        <v>001390</v>
      </c>
      <c r="F9558" t="s">
        <v>27246</v>
      </c>
      <c r="G9558" t="s">
        <v>27247</v>
      </c>
      <c r="H9558" t="s">
        <v>27248</v>
      </c>
      <c r="I9558" t="s">
        <v>45791</v>
      </c>
      <c r="J9558" t="s">
        <v>19106</v>
      </c>
      <c r="L9558" t="s">
        <v>27250</v>
      </c>
      <c r="M9558" t="s">
        <v>27251</v>
      </c>
      <c r="N9558" t="s">
        <v>27252</v>
      </c>
      <c r="Q9558" s="1">
        <v>44846</v>
      </c>
      <c r="R9558" t="s">
        <v>27253</v>
      </c>
      <c r="S9558" t="s">
        <v>27254</v>
      </c>
      <c r="T9558" t="s">
        <v>27265</v>
      </c>
    </row>
    <row r="9559" spans="1:20" x14ac:dyDescent="0.3">
      <c r="A9559" t="str">
        <f>"0611884373100"</f>
        <v>0611884373100</v>
      </c>
      <c r="B9559" t="str">
        <f>"LQ3922"</f>
        <v>LQ3922</v>
      </c>
      <c r="C9559" t="s">
        <v>45792</v>
      </c>
      <c r="D9559" t="s">
        <v>27245</v>
      </c>
      <c r="E9559" t="str">
        <f t="shared" si="149"/>
        <v>001390</v>
      </c>
      <c r="F9559" t="s">
        <v>27246</v>
      </c>
      <c r="G9559" t="s">
        <v>27247</v>
      </c>
      <c r="H9559" t="s">
        <v>27248</v>
      </c>
      <c r="I9559" t="s">
        <v>45793</v>
      </c>
      <c r="J9559" t="s">
        <v>19108</v>
      </c>
      <c r="L9559" t="s">
        <v>27430</v>
      </c>
      <c r="M9559" t="s">
        <v>27251</v>
      </c>
      <c r="N9559" t="s">
        <v>27252</v>
      </c>
      <c r="Q9559" s="1">
        <v>45250</v>
      </c>
      <c r="R9559" t="s">
        <v>27253</v>
      </c>
      <c r="S9559" t="s">
        <v>27254</v>
      </c>
      <c r="T9559" t="s">
        <v>27255</v>
      </c>
    </row>
    <row r="9560" spans="1:20" x14ac:dyDescent="0.3">
      <c r="A9560" t="str">
        <f>"0611857065100"</f>
        <v>0611857065100</v>
      </c>
      <c r="B9560" t="str">
        <f>"LQ3892"</f>
        <v>LQ3892</v>
      </c>
      <c r="C9560" t="s">
        <v>45794</v>
      </c>
      <c r="D9560" t="s">
        <v>27245</v>
      </c>
      <c r="E9560" t="str">
        <f t="shared" si="149"/>
        <v>001390</v>
      </c>
      <c r="F9560" t="s">
        <v>27246</v>
      </c>
      <c r="G9560" t="s">
        <v>27247</v>
      </c>
      <c r="H9560" t="s">
        <v>27248</v>
      </c>
      <c r="I9560" t="s">
        <v>45795</v>
      </c>
      <c r="J9560" t="s">
        <v>19110</v>
      </c>
      <c r="L9560" t="s">
        <v>27250</v>
      </c>
      <c r="M9560" t="s">
        <v>27251</v>
      </c>
      <c r="N9560" t="s">
        <v>27252</v>
      </c>
      <c r="Q9560" s="1">
        <v>44812</v>
      </c>
      <c r="R9560" t="s">
        <v>27253</v>
      </c>
      <c r="S9560" t="s">
        <v>27254</v>
      </c>
      <c r="T9560" t="s">
        <v>27255</v>
      </c>
    </row>
    <row r="9561" spans="1:20" x14ac:dyDescent="0.3">
      <c r="A9561" t="str">
        <f>"0611857066100"</f>
        <v>0611857066100</v>
      </c>
      <c r="B9561" t="str">
        <f>"LQ3893"</f>
        <v>LQ3893</v>
      </c>
      <c r="C9561" t="s">
        <v>45796</v>
      </c>
      <c r="D9561" t="s">
        <v>27245</v>
      </c>
      <c r="E9561" t="str">
        <f t="shared" si="149"/>
        <v>001390</v>
      </c>
      <c r="F9561" t="s">
        <v>27246</v>
      </c>
      <c r="G9561" t="s">
        <v>27247</v>
      </c>
      <c r="H9561" t="s">
        <v>27248</v>
      </c>
      <c r="I9561" t="s">
        <v>45797</v>
      </c>
      <c r="J9561" t="s">
        <v>19112</v>
      </c>
      <c r="L9561" t="s">
        <v>27250</v>
      </c>
      <c r="M9561" t="s">
        <v>27251</v>
      </c>
      <c r="N9561" t="s">
        <v>27252</v>
      </c>
      <c r="Q9561" s="1">
        <v>44812</v>
      </c>
      <c r="R9561" t="s">
        <v>27253</v>
      </c>
      <c r="S9561" t="s">
        <v>27254</v>
      </c>
      <c r="T9561" t="s">
        <v>27255</v>
      </c>
    </row>
    <row r="9562" spans="1:20" x14ac:dyDescent="0.3">
      <c r="A9562" t="str">
        <f>"0611837682100"</f>
        <v>0611837682100</v>
      </c>
      <c r="B9562" t="str">
        <f>"LQ0923"</f>
        <v>LQ0923</v>
      </c>
      <c r="C9562" t="s">
        <v>45798</v>
      </c>
      <c r="D9562" t="s">
        <v>27245</v>
      </c>
      <c r="E9562" t="str">
        <f t="shared" si="149"/>
        <v>001390</v>
      </c>
      <c r="F9562" t="s">
        <v>27246</v>
      </c>
      <c r="G9562" t="s">
        <v>27247</v>
      </c>
      <c r="H9562" t="s">
        <v>27248</v>
      </c>
      <c r="I9562" t="s">
        <v>45799</v>
      </c>
      <c r="J9562" t="s">
        <v>19114</v>
      </c>
      <c r="L9562" t="s">
        <v>27250</v>
      </c>
      <c r="M9562" t="s">
        <v>27251</v>
      </c>
      <c r="N9562" t="s">
        <v>27252</v>
      </c>
      <c r="Q9562" s="1">
        <v>44538</v>
      </c>
      <c r="R9562" t="s">
        <v>27253</v>
      </c>
      <c r="S9562" t="s">
        <v>27254</v>
      </c>
      <c r="T9562" t="s">
        <v>27255</v>
      </c>
    </row>
    <row r="9563" spans="1:20" x14ac:dyDescent="0.3">
      <c r="A9563" t="str">
        <f>"0611863478050"</f>
        <v>0611863478050</v>
      </c>
      <c r="B9563" t="str">
        <f>"CR5219"</f>
        <v>CR5219</v>
      </c>
      <c r="C9563" t="s">
        <v>45798</v>
      </c>
      <c r="D9563" t="s">
        <v>27263</v>
      </c>
      <c r="E9563" t="str">
        <f t="shared" si="149"/>
        <v>001390</v>
      </c>
      <c r="F9563" t="s">
        <v>27246</v>
      </c>
      <c r="G9563" t="s">
        <v>27247</v>
      </c>
      <c r="H9563" t="s">
        <v>27248</v>
      </c>
      <c r="I9563" t="s">
        <v>45800</v>
      </c>
      <c r="J9563" t="s">
        <v>19116</v>
      </c>
      <c r="L9563" t="s">
        <v>27250</v>
      </c>
      <c r="M9563" t="s">
        <v>27251</v>
      </c>
      <c r="N9563" t="s">
        <v>27252</v>
      </c>
      <c r="Q9563" s="1">
        <v>44846</v>
      </c>
      <c r="R9563" t="s">
        <v>27253</v>
      </c>
      <c r="S9563" t="s">
        <v>27254</v>
      </c>
      <c r="T9563" t="s">
        <v>27265</v>
      </c>
    </row>
    <row r="9564" spans="1:20" x14ac:dyDescent="0.3">
      <c r="A9564" t="str">
        <f>"0611837683100"</f>
        <v>0611837683100</v>
      </c>
      <c r="B9564" t="str">
        <f>"LQ0914"</f>
        <v>LQ0914</v>
      </c>
      <c r="C9564" t="s">
        <v>45801</v>
      </c>
      <c r="D9564" t="s">
        <v>27245</v>
      </c>
      <c r="E9564" t="str">
        <f t="shared" si="149"/>
        <v>001390</v>
      </c>
      <c r="F9564" t="s">
        <v>27246</v>
      </c>
      <c r="G9564" t="s">
        <v>27247</v>
      </c>
      <c r="H9564" t="s">
        <v>27248</v>
      </c>
      <c r="I9564" t="s">
        <v>45802</v>
      </c>
      <c r="J9564" t="s">
        <v>19118</v>
      </c>
      <c r="L9564" t="s">
        <v>27250</v>
      </c>
      <c r="M9564" t="s">
        <v>27251</v>
      </c>
      <c r="N9564" t="s">
        <v>27252</v>
      </c>
      <c r="Q9564" s="1">
        <v>44538</v>
      </c>
      <c r="R9564" t="s">
        <v>27253</v>
      </c>
      <c r="S9564" t="s">
        <v>27254</v>
      </c>
      <c r="T9564" t="s">
        <v>27255</v>
      </c>
    </row>
    <row r="9565" spans="1:20" x14ac:dyDescent="0.3">
      <c r="A9565" t="str">
        <f>"0611837684100"</f>
        <v>0611837684100</v>
      </c>
      <c r="B9565" t="str">
        <f>"LQ3611"</f>
        <v>LQ3611</v>
      </c>
      <c r="C9565" t="s">
        <v>45803</v>
      </c>
      <c r="D9565" t="s">
        <v>27245</v>
      </c>
      <c r="E9565" t="str">
        <f t="shared" si="149"/>
        <v>001390</v>
      </c>
      <c r="F9565" t="s">
        <v>27246</v>
      </c>
      <c r="G9565" t="s">
        <v>27247</v>
      </c>
      <c r="H9565" t="s">
        <v>27248</v>
      </c>
      <c r="I9565" t="s">
        <v>45804</v>
      </c>
      <c r="J9565" t="s">
        <v>19120</v>
      </c>
      <c r="L9565" t="s">
        <v>27250</v>
      </c>
      <c r="M9565" t="s">
        <v>27251</v>
      </c>
      <c r="N9565" t="s">
        <v>27252</v>
      </c>
      <c r="Q9565" s="1">
        <v>44538</v>
      </c>
      <c r="R9565" t="s">
        <v>27253</v>
      </c>
      <c r="S9565" t="s">
        <v>27254</v>
      </c>
      <c r="T9565" t="s">
        <v>27255</v>
      </c>
    </row>
    <row r="9566" spans="1:20" x14ac:dyDescent="0.3">
      <c r="A9566" t="str">
        <f>"0611837685100"</f>
        <v>0611837685100</v>
      </c>
      <c r="B9566" t="str">
        <f>"LQ0737"</f>
        <v>LQ0737</v>
      </c>
      <c r="C9566" t="s">
        <v>45805</v>
      </c>
      <c r="D9566" t="s">
        <v>27245</v>
      </c>
      <c r="E9566" t="str">
        <f t="shared" si="149"/>
        <v>001390</v>
      </c>
      <c r="F9566" t="s">
        <v>27246</v>
      </c>
      <c r="G9566" t="s">
        <v>27247</v>
      </c>
      <c r="H9566" t="s">
        <v>27248</v>
      </c>
      <c r="I9566" t="s">
        <v>45806</v>
      </c>
      <c r="J9566" t="s">
        <v>19122</v>
      </c>
      <c r="L9566" t="s">
        <v>27250</v>
      </c>
      <c r="M9566" t="s">
        <v>27251</v>
      </c>
      <c r="N9566" t="s">
        <v>27252</v>
      </c>
      <c r="Q9566" s="1">
        <v>44538</v>
      </c>
      <c r="R9566" t="s">
        <v>27253</v>
      </c>
      <c r="S9566" t="s">
        <v>27254</v>
      </c>
      <c r="T9566" t="s">
        <v>27255</v>
      </c>
    </row>
    <row r="9567" spans="1:20" x14ac:dyDescent="0.3">
      <c r="A9567" t="str">
        <f>"0611863479050"</f>
        <v>0611863479050</v>
      </c>
      <c r="B9567" t="str">
        <f>"CR2737"</f>
        <v>CR2737</v>
      </c>
      <c r="C9567" t="s">
        <v>45805</v>
      </c>
      <c r="D9567" t="s">
        <v>27263</v>
      </c>
      <c r="E9567" t="str">
        <f t="shared" si="149"/>
        <v>001390</v>
      </c>
      <c r="F9567" t="s">
        <v>27246</v>
      </c>
      <c r="G9567" t="s">
        <v>27247</v>
      </c>
      <c r="H9567" t="s">
        <v>27248</v>
      </c>
      <c r="I9567" t="s">
        <v>45807</v>
      </c>
      <c r="J9567" t="s">
        <v>19124</v>
      </c>
      <c r="L9567" t="s">
        <v>27250</v>
      </c>
      <c r="M9567" t="s">
        <v>27251</v>
      </c>
      <c r="N9567" t="s">
        <v>27252</v>
      </c>
      <c r="Q9567" s="1">
        <v>44846</v>
      </c>
      <c r="R9567" t="s">
        <v>27253</v>
      </c>
      <c r="S9567" t="s">
        <v>27254</v>
      </c>
      <c r="T9567" t="s">
        <v>27265</v>
      </c>
    </row>
    <row r="9568" spans="1:20" x14ac:dyDescent="0.3">
      <c r="A9568" t="str">
        <f>"0611863480050"</f>
        <v>0611863480050</v>
      </c>
      <c r="B9568" t="str">
        <f>"CR4045"</f>
        <v>CR4045</v>
      </c>
      <c r="C9568" t="s">
        <v>45808</v>
      </c>
      <c r="D9568" t="s">
        <v>27263</v>
      </c>
      <c r="E9568" t="str">
        <f t="shared" si="149"/>
        <v>001390</v>
      </c>
      <c r="F9568" t="s">
        <v>27246</v>
      </c>
      <c r="G9568" t="s">
        <v>27247</v>
      </c>
      <c r="H9568" t="s">
        <v>27248</v>
      </c>
      <c r="I9568" t="s">
        <v>45809</v>
      </c>
      <c r="J9568" t="s">
        <v>19126</v>
      </c>
      <c r="L9568" t="s">
        <v>27250</v>
      </c>
      <c r="M9568" t="s">
        <v>27251</v>
      </c>
      <c r="N9568" t="s">
        <v>27252</v>
      </c>
      <c r="Q9568" s="1">
        <v>44846</v>
      </c>
      <c r="R9568" t="s">
        <v>27253</v>
      </c>
      <c r="S9568" t="s">
        <v>27254</v>
      </c>
      <c r="T9568" t="s">
        <v>27265</v>
      </c>
    </row>
    <row r="9569" spans="1:20" x14ac:dyDescent="0.3">
      <c r="A9569" t="str">
        <f>"0611857067100"</f>
        <v>0611857067100</v>
      </c>
      <c r="B9569" t="str">
        <f>"LQ3894"</f>
        <v>LQ3894</v>
      </c>
      <c r="C9569" t="s">
        <v>45810</v>
      </c>
      <c r="D9569" t="s">
        <v>27245</v>
      </c>
      <c r="E9569" t="str">
        <f t="shared" si="149"/>
        <v>001390</v>
      </c>
      <c r="F9569" t="s">
        <v>27246</v>
      </c>
      <c r="G9569" t="s">
        <v>27247</v>
      </c>
      <c r="H9569" t="s">
        <v>27248</v>
      </c>
      <c r="I9569" t="s">
        <v>45811</v>
      </c>
      <c r="J9569" t="s">
        <v>19128</v>
      </c>
      <c r="L9569" t="s">
        <v>27250</v>
      </c>
      <c r="M9569" t="s">
        <v>27251</v>
      </c>
      <c r="N9569" t="s">
        <v>27252</v>
      </c>
      <c r="Q9569" s="1">
        <v>44812</v>
      </c>
      <c r="R9569" t="s">
        <v>27253</v>
      </c>
      <c r="S9569" t="s">
        <v>27254</v>
      </c>
      <c r="T9569" t="s">
        <v>27255</v>
      </c>
    </row>
    <row r="9570" spans="1:20" x14ac:dyDescent="0.3">
      <c r="A9570" t="str">
        <f>"0611863481050"</f>
        <v>0611863481050</v>
      </c>
      <c r="B9570" t="str">
        <f>"CR5220"</f>
        <v>CR5220</v>
      </c>
      <c r="C9570" t="s">
        <v>45810</v>
      </c>
      <c r="D9570" t="s">
        <v>27263</v>
      </c>
      <c r="E9570" t="str">
        <f t="shared" si="149"/>
        <v>001390</v>
      </c>
      <c r="F9570" t="s">
        <v>27246</v>
      </c>
      <c r="G9570" t="s">
        <v>27247</v>
      </c>
      <c r="H9570" t="s">
        <v>27248</v>
      </c>
      <c r="I9570" t="s">
        <v>45812</v>
      </c>
      <c r="J9570" t="s">
        <v>19130</v>
      </c>
      <c r="L9570" t="s">
        <v>27250</v>
      </c>
      <c r="M9570" t="s">
        <v>27251</v>
      </c>
      <c r="N9570" t="s">
        <v>27252</v>
      </c>
      <c r="Q9570" s="1">
        <v>44846</v>
      </c>
      <c r="R9570" t="s">
        <v>27253</v>
      </c>
      <c r="S9570" t="s">
        <v>27254</v>
      </c>
      <c r="T9570" t="s">
        <v>27265</v>
      </c>
    </row>
    <row r="9571" spans="1:20" x14ac:dyDescent="0.3">
      <c r="A9571" t="str">
        <f>"0611837687100"</f>
        <v>0611837687100</v>
      </c>
      <c r="B9571" t="str">
        <f>"LQ0811"</f>
        <v>LQ0811</v>
      </c>
      <c r="C9571" t="s">
        <v>45813</v>
      </c>
      <c r="D9571" t="s">
        <v>27245</v>
      </c>
      <c r="E9571" t="str">
        <f t="shared" si="149"/>
        <v>001390</v>
      </c>
      <c r="F9571" t="s">
        <v>27246</v>
      </c>
      <c r="G9571" t="s">
        <v>27247</v>
      </c>
      <c r="H9571" t="s">
        <v>27248</v>
      </c>
      <c r="I9571" t="s">
        <v>45814</v>
      </c>
      <c r="J9571" t="s">
        <v>19132</v>
      </c>
      <c r="L9571" t="s">
        <v>27250</v>
      </c>
      <c r="M9571" t="s">
        <v>27251</v>
      </c>
      <c r="N9571" t="s">
        <v>27252</v>
      </c>
      <c r="Q9571" s="1">
        <v>44538</v>
      </c>
      <c r="R9571" t="s">
        <v>27253</v>
      </c>
      <c r="S9571" t="s">
        <v>27254</v>
      </c>
      <c r="T9571" t="s">
        <v>27255</v>
      </c>
    </row>
    <row r="9572" spans="1:20" x14ac:dyDescent="0.3">
      <c r="A9572" t="str">
        <f>"0611863482050"</f>
        <v>0611863482050</v>
      </c>
      <c r="B9572" t="str">
        <f>"CR2452"</f>
        <v>CR2452</v>
      </c>
      <c r="C9572" t="s">
        <v>45813</v>
      </c>
      <c r="D9572" t="s">
        <v>27263</v>
      </c>
      <c r="E9572" t="str">
        <f t="shared" si="149"/>
        <v>001390</v>
      </c>
      <c r="F9572" t="s">
        <v>27246</v>
      </c>
      <c r="G9572" t="s">
        <v>27247</v>
      </c>
      <c r="H9572" t="s">
        <v>27248</v>
      </c>
      <c r="I9572" t="s">
        <v>45815</v>
      </c>
      <c r="J9572" t="s">
        <v>19134</v>
      </c>
      <c r="L9572" t="s">
        <v>27250</v>
      </c>
      <c r="M9572" t="s">
        <v>27251</v>
      </c>
      <c r="N9572" t="s">
        <v>27252</v>
      </c>
      <c r="Q9572" s="1">
        <v>44846</v>
      </c>
      <c r="R9572" t="s">
        <v>27253</v>
      </c>
      <c r="S9572" t="s">
        <v>27254</v>
      </c>
      <c r="T9572" t="s">
        <v>27265</v>
      </c>
    </row>
    <row r="9573" spans="1:20" x14ac:dyDescent="0.3">
      <c r="A9573" t="str">
        <f>"0611863483050"</f>
        <v>0611863483050</v>
      </c>
      <c r="B9573" t="str">
        <f>"CR4994"</f>
        <v>CR4994</v>
      </c>
      <c r="C9573" t="s">
        <v>45816</v>
      </c>
      <c r="D9573" t="s">
        <v>27263</v>
      </c>
      <c r="E9573" t="str">
        <f t="shared" si="149"/>
        <v>001390</v>
      </c>
      <c r="F9573" t="s">
        <v>27246</v>
      </c>
      <c r="G9573" t="s">
        <v>27247</v>
      </c>
      <c r="H9573" t="s">
        <v>27248</v>
      </c>
      <c r="I9573" t="s">
        <v>45817</v>
      </c>
      <c r="J9573" t="s">
        <v>19138</v>
      </c>
      <c r="L9573" t="s">
        <v>27250</v>
      </c>
      <c r="M9573" t="s">
        <v>27251</v>
      </c>
      <c r="N9573" t="s">
        <v>27252</v>
      </c>
      <c r="Q9573" s="1">
        <v>44846</v>
      </c>
      <c r="R9573" t="s">
        <v>27253</v>
      </c>
      <c r="S9573" t="s">
        <v>27254</v>
      </c>
      <c r="T9573" t="s">
        <v>27265</v>
      </c>
    </row>
    <row r="9574" spans="1:20" x14ac:dyDescent="0.3">
      <c r="A9574" t="str">
        <f>"0611837688100"</f>
        <v>0611837688100</v>
      </c>
      <c r="B9574" t="str">
        <f>"LQ3853"</f>
        <v>LQ3853</v>
      </c>
      <c r="C9574" t="s">
        <v>45818</v>
      </c>
      <c r="D9574" t="s">
        <v>27245</v>
      </c>
      <c r="E9574" t="str">
        <f t="shared" si="149"/>
        <v>001390</v>
      </c>
      <c r="F9574" t="s">
        <v>27246</v>
      </c>
      <c r="G9574" t="s">
        <v>27247</v>
      </c>
      <c r="H9574" t="s">
        <v>27248</v>
      </c>
      <c r="I9574" t="s">
        <v>45819</v>
      </c>
      <c r="J9574" t="s">
        <v>19140</v>
      </c>
      <c r="L9574" t="s">
        <v>27250</v>
      </c>
      <c r="M9574" t="s">
        <v>27251</v>
      </c>
      <c r="N9574" t="s">
        <v>27252</v>
      </c>
      <c r="Q9574" s="1">
        <v>44538</v>
      </c>
      <c r="R9574" t="s">
        <v>27253</v>
      </c>
      <c r="S9574" t="s">
        <v>27254</v>
      </c>
      <c r="T9574" t="s">
        <v>27255</v>
      </c>
    </row>
    <row r="9575" spans="1:20" x14ac:dyDescent="0.3">
      <c r="A9575" t="str">
        <f>"0611837689100"</f>
        <v>0611837689100</v>
      </c>
      <c r="B9575" t="str">
        <f>"LQ5890"</f>
        <v>LQ5890</v>
      </c>
      <c r="C9575" t="s">
        <v>45820</v>
      </c>
      <c r="D9575" t="s">
        <v>27245</v>
      </c>
      <c r="E9575" t="str">
        <f t="shared" si="149"/>
        <v>001390</v>
      </c>
      <c r="F9575" t="s">
        <v>27246</v>
      </c>
      <c r="G9575" t="s">
        <v>27247</v>
      </c>
      <c r="H9575" t="s">
        <v>27248</v>
      </c>
      <c r="I9575" t="s">
        <v>45821</v>
      </c>
      <c r="J9575" t="s">
        <v>19144</v>
      </c>
      <c r="L9575" t="s">
        <v>27250</v>
      </c>
      <c r="M9575" t="s">
        <v>27251</v>
      </c>
      <c r="N9575" t="s">
        <v>27252</v>
      </c>
      <c r="Q9575" s="1">
        <v>44538</v>
      </c>
      <c r="R9575" t="s">
        <v>27253</v>
      </c>
      <c r="S9575" t="s">
        <v>27254</v>
      </c>
      <c r="T9575" t="s">
        <v>27255</v>
      </c>
    </row>
    <row r="9576" spans="1:20" x14ac:dyDescent="0.3">
      <c r="A9576" t="str">
        <f>"0611863484050"</f>
        <v>0611863484050</v>
      </c>
      <c r="B9576" t="str">
        <f>"CR2454"</f>
        <v>CR2454</v>
      </c>
      <c r="C9576" t="s">
        <v>45820</v>
      </c>
      <c r="D9576" t="s">
        <v>27263</v>
      </c>
      <c r="E9576" t="str">
        <f t="shared" si="149"/>
        <v>001390</v>
      </c>
      <c r="F9576" t="s">
        <v>27246</v>
      </c>
      <c r="G9576" t="s">
        <v>27247</v>
      </c>
      <c r="H9576" t="s">
        <v>27248</v>
      </c>
      <c r="I9576" t="s">
        <v>45822</v>
      </c>
      <c r="J9576" t="s">
        <v>19146</v>
      </c>
      <c r="L9576" t="s">
        <v>27250</v>
      </c>
      <c r="M9576" t="s">
        <v>27251</v>
      </c>
      <c r="N9576" t="s">
        <v>27252</v>
      </c>
      <c r="Q9576" s="1">
        <v>44846</v>
      </c>
      <c r="R9576" t="s">
        <v>27253</v>
      </c>
      <c r="S9576" t="s">
        <v>27254</v>
      </c>
      <c r="T9576" t="s">
        <v>27265</v>
      </c>
    </row>
    <row r="9577" spans="1:20" x14ac:dyDescent="0.3">
      <c r="A9577" t="str">
        <f>"0611837691100"</f>
        <v>0611837691100</v>
      </c>
      <c r="B9577" t="str">
        <f>"LQ3852"</f>
        <v>LQ3852</v>
      </c>
      <c r="C9577" t="s">
        <v>45823</v>
      </c>
      <c r="D9577" t="s">
        <v>27245</v>
      </c>
      <c r="E9577" t="str">
        <f t="shared" si="149"/>
        <v>001390</v>
      </c>
      <c r="F9577" t="s">
        <v>27246</v>
      </c>
      <c r="G9577" t="s">
        <v>27247</v>
      </c>
      <c r="H9577" t="s">
        <v>27248</v>
      </c>
      <c r="I9577" t="s">
        <v>45824</v>
      </c>
      <c r="J9577" t="s">
        <v>19136</v>
      </c>
      <c r="L9577" t="s">
        <v>27250</v>
      </c>
      <c r="M9577" t="s">
        <v>27251</v>
      </c>
      <c r="N9577" t="s">
        <v>27252</v>
      </c>
      <c r="Q9577" s="1">
        <v>44538</v>
      </c>
      <c r="R9577" t="s">
        <v>27253</v>
      </c>
      <c r="S9577" t="s">
        <v>27254</v>
      </c>
      <c r="T9577" t="s">
        <v>27255</v>
      </c>
    </row>
    <row r="9578" spans="1:20" x14ac:dyDescent="0.3">
      <c r="A9578" t="str">
        <f>"0611837692100"</f>
        <v>0611837692100</v>
      </c>
      <c r="B9578" t="str">
        <f>"LQ0738"</f>
        <v>LQ0738</v>
      </c>
      <c r="C9578" t="s">
        <v>45825</v>
      </c>
      <c r="D9578" t="s">
        <v>27245</v>
      </c>
      <c r="E9578" t="str">
        <f t="shared" si="149"/>
        <v>001390</v>
      </c>
      <c r="F9578" t="s">
        <v>27246</v>
      </c>
      <c r="G9578" t="s">
        <v>27247</v>
      </c>
      <c r="H9578" t="s">
        <v>27248</v>
      </c>
      <c r="I9578" t="s">
        <v>45826</v>
      </c>
      <c r="J9578" t="s">
        <v>19142</v>
      </c>
      <c r="L9578" t="s">
        <v>27250</v>
      </c>
      <c r="M9578" t="s">
        <v>27251</v>
      </c>
      <c r="N9578" t="s">
        <v>27252</v>
      </c>
      <c r="Q9578" s="1">
        <v>44538</v>
      </c>
      <c r="R9578" t="s">
        <v>27253</v>
      </c>
      <c r="S9578" t="s">
        <v>27254</v>
      </c>
      <c r="T9578" t="s">
        <v>27255</v>
      </c>
    </row>
    <row r="9579" spans="1:20" x14ac:dyDescent="0.3">
      <c r="A9579" t="str">
        <f>"0611837693100"</f>
        <v>0611837693100</v>
      </c>
      <c r="B9579" t="str">
        <f>"LQ0891"</f>
        <v>LQ0891</v>
      </c>
      <c r="C9579" t="s">
        <v>45827</v>
      </c>
      <c r="D9579" t="s">
        <v>27245</v>
      </c>
      <c r="E9579" t="str">
        <f t="shared" si="149"/>
        <v>001390</v>
      </c>
      <c r="F9579" t="s">
        <v>27246</v>
      </c>
      <c r="G9579" t="s">
        <v>27247</v>
      </c>
      <c r="H9579" t="s">
        <v>27248</v>
      </c>
      <c r="I9579" t="s">
        <v>45828</v>
      </c>
      <c r="J9579" t="s">
        <v>19148</v>
      </c>
      <c r="L9579" t="s">
        <v>27250</v>
      </c>
      <c r="M9579" t="s">
        <v>27251</v>
      </c>
      <c r="N9579" t="s">
        <v>27252</v>
      </c>
      <c r="Q9579" s="1">
        <v>44538</v>
      </c>
      <c r="R9579" t="s">
        <v>27253</v>
      </c>
      <c r="S9579" t="s">
        <v>27254</v>
      </c>
      <c r="T9579" t="s">
        <v>27255</v>
      </c>
    </row>
    <row r="9580" spans="1:20" x14ac:dyDescent="0.3">
      <c r="A9580" t="str">
        <f>"0611863485050"</f>
        <v>0611863485050</v>
      </c>
      <c r="B9580" t="str">
        <f>"CR2792"</f>
        <v>CR2792</v>
      </c>
      <c r="C9580" t="s">
        <v>45827</v>
      </c>
      <c r="D9580" t="s">
        <v>27263</v>
      </c>
      <c r="E9580" t="str">
        <f t="shared" si="149"/>
        <v>001390</v>
      </c>
      <c r="F9580" t="s">
        <v>27246</v>
      </c>
      <c r="G9580" t="s">
        <v>27247</v>
      </c>
      <c r="H9580" t="s">
        <v>27248</v>
      </c>
      <c r="I9580" t="s">
        <v>45829</v>
      </c>
      <c r="J9580" t="s">
        <v>19150</v>
      </c>
      <c r="L9580" t="s">
        <v>27250</v>
      </c>
      <c r="M9580" t="s">
        <v>27251</v>
      </c>
      <c r="N9580" t="s">
        <v>27252</v>
      </c>
      <c r="Q9580" s="1">
        <v>44846</v>
      </c>
      <c r="R9580" t="s">
        <v>27253</v>
      </c>
      <c r="S9580" t="s">
        <v>27254</v>
      </c>
      <c r="T9580" t="s">
        <v>27265</v>
      </c>
    </row>
    <row r="9581" spans="1:20" x14ac:dyDescent="0.3">
      <c r="A9581" t="str">
        <f>"0611837694100"</f>
        <v>0611837694100</v>
      </c>
      <c r="B9581" t="str">
        <f>"LQ3854"</f>
        <v>LQ3854</v>
      </c>
      <c r="C9581" t="s">
        <v>45830</v>
      </c>
      <c r="D9581" t="s">
        <v>27245</v>
      </c>
      <c r="E9581" t="str">
        <f t="shared" si="149"/>
        <v>001390</v>
      </c>
      <c r="F9581" t="s">
        <v>27246</v>
      </c>
      <c r="G9581" t="s">
        <v>27247</v>
      </c>
      <c r="H9581" t="s">
        <v>27248</v>
      </c>
      <c r="I9581" t="s">
        <v>45831</v>
      </c>
      <c r="J9581" t="s">
        <v>19152</v>
      </c>
      <c r="L9581" t="s">
        <v>27250</v>
      </c>
      <c r="M9581" t="s">
        <v>27251</v>
      </c>
      <c r="N9581" t="s">
        <v>27252</v>
      </c>
      <c r="Q9581" s="1">
        <v>44538</v>
      </c>
      <c r="R9581" t="s">
        <v>27253</v>
      </c>
      <c r="S9581" t="s">
        <v>27254</v>
      </c>
      <c r="T9581" t="s">
        <v>27255</v>
      </c>
    </row>
    <row r="9582" spans="1:20" x14ac:dyDescent="0.3">
      <c r="A9582" t="str">
        <f>"0611863486050"</f>
        <v>0611863486050</v>
      </c>
      <c r="B9582" t="str">
        <f>"CR4995"</f>
        <v>CR4995</v>
      </c>
      <c r="C9582" t="s">
        <v>45830</v>
      </c>
      <c r="D9582" t="s">
        <v>27263</v>
      </c>
      <c r="E9582" t="str">
        <f t="shared" si="149"/>
        <v>001390</v>
      </c>
      <c r="F9582" t="s">
        <v>27246</v>
      </c>
      <c r="G9582" t="s">
        <v>27247</v>
      </c>
      <c r="H9582" t="s">
        <v>27248</v>
      </c>
      <c r="I9582" t="s">
        <v>45832</v>
      </c>
      <c r="J9582" t="s">
        <v>19154</v>
      </c>
      <c r="L9582" t="s">
        <v>27250</v>
      </c>
      <c r="M9582" t="s">
        <v>27251</v>
      </c>
      <c r="N9582" t="s">
        <v>27252</v>
      </c>
      <c r="Q9582" s="1">
        <v>44846</v>
      </c>
      <c r="R9582" t="s">
        <v>27253</v>
      </c>
      <c r="S9582" t="s">
        <v>27254</v>
      </c>
      <c r="T9582" t="s">
        <v>27265</v>
      </c>
    </row>
    <row r="9583" spans="1:20" x14ac:dyDescent="0.3">
      <c r="A9583" t="str">
        <f>"0611837695100"</f>
        <v>0611837695100</v>
      </c>
      <c r="B9583" t="str">
        <f>"LQ0892"</f>
        <v>LQ0892</v>
      </c>
      <c r="C9583" t="s">
        <v>45833</v>
      </c>
      <c r="D9583" t="s">
        <v>27245</v>
      </c>
      <c r="E9583" t="str">
        <f t="shared" si="149"/>
        <v>001390</v>
      </c>
      <c r="F9583" t="s">
        <v>27246</v>
      </c>
      <c r="G9583" t="s">
        <v>27247</v>
      </c>
      <c r="H9583" t="s">
        <v>27248</v>
      </c>
      <c r="I9583" t="s">
        <v>45834</v>
      </c>
      <c r="J9583" t="s">
        <v>19156</v>
      </c>
      <c r="L9583" t="s">
        <v>27250</v>
      </c>
      <c r="M9583" t="s">
        <v>27251</v>
      </c>
      <c r="N9583" t="s">
        <v>27252</v>
      </c>
      <c r="Q9583" s="1">
        <v>44538</v>
      </c>
      <c r="R9583" t="s">
        <v>27253</v>
      </c>
      <c r="S9583" t="s">
        <v>27254</v>
      </c>
      <c r="T9583" t="s">
        <v>27255</v>
      </c>
    </row>
    <row r="9584" spans="1:20" x14ac:dyDescent="0.3">
      <c r="A9584" t="str">
        <f>"0611863487050"</f>
        <v>0611863487050</v>
      </c>
      <c r="B9584" t="str">
        <f>"CR2794"</f>
        <v>CR2794</v>
      </c>
      <c r="C9584" t="s">
        <v>45833</v>
      </c>
      <c r="D9584" t="s">
        <v>27263</v>
      </c>
      <c r="E9584" t="str">
        <f t="shared" si="149"/>
        <v>001390</v>
      </c>
      <c r="F9584" t="s">
        <v>27246</v>
      </c>
      <c r="G9584" t="s">
        <v>27247</v>
      </c>
      <c r="H9584" t="s">
        <v>27248</v>
      </c>
      <c r="I9584" t="s">
        <v>45835</v>
      </c>
      <c r="J9584" t="s">
        <v>19158</v>
      </c>
      <c r="L9584" t="s">
        <v>27250</v>
      </c>
      <c r="M9584" t="s">
        <v>27251</v>
      </c>
      <c r="N9584" t="s">
        <v>27252</v>
      </c>
      <c r="Q9584" s="1">
        <v>44846</v>
      </c>
      <c r="R9584" t="s">
        <v>27253</v>
      </c>
      <c r="S9584" t="s">
        <v>27254</v>
      </c>
      <c r="T9584" t="s">
        <v>27265</v>
      </c>
    </row>
    <row r="9585" spans="1:20" x14ac:dyDescent="0.3">
      <c r="A9585" t="str">
        <f>"0611863488050"</f>
        <v>0611863488050</v>
      </c>
      <c r="B9585" t="str">
        <f>"CR4996"</f>
        <v>CR4996</v>
      </c>
      <c r="C9585" t="s">
        <v>45836</v>
      </c>
      <c r="D9585" t="s">
        <v>27263</v>
      </c>
      <c r="E9585" t="str">
        <f t="shared" si="149"/>
        <v>001390</v>
      </c>
      <c r="F9585" t="s">
        <v>27246</v>
      </c>
      <c r="G9585" t="s">
        <v>27247</v>
      </c>
      <c r="H9585" t="s">
        <v>27248</v>
      </c>
      <c r="I9585" t="s">
        <v>45837</v>
      </c>
      <c r="J9585" t="s">
        <v>19160</v>
      </c>
      <c r="L9585" t="s">
        <v>27250</v>
      </c>
      <c r="M9585" t="s">
        <v>27251</v>
      </c>
      <c r="N9585" t="s">
        <v>27252</v>
      </c>
      <c r="Q9585" s="1">
        <v>44846</v>
      </c>
      <c r="R9585" t="s">
        <v>27253</v>
      </c>
      <c r="S9585" t="s">
        <v>27254</v>
      </c>
      <c r="T9585" t="s">
        <v>27265</v>
      </c>
    </row>
    <row r="9586" spans="1:20" x14ac:dyDescent="0.3">
      <c r="A9586" t="str">
        <f>"0611837697100"</f>
        <v>0611837697100</v>
      </c>
      <c r="B9586" t="str">
        <f>"LQ3766"</f>
        <v>LQ3766</v>
      </c>
      <c r="C9586" t="s">
        <v>45838</v>
      </c>
      <c r="D9586" t="s">
        <v>27245</v>
      </c>
      <c r="E9586" t="str">
        <f t="shared" si="149"/>
        <v>001390</v>
      </c>
      <c r="F9586" t="s">
        <v>27246</v>
      </c>
      <c r="G9586" t="s">
        <v>27247</v>
      </c>
      <c r="H9586" t="s">
        <v>27248</v>
      </c>
      <c r="I9586" t="s">
        <v>45839</v>
      </c>
      <c r="J9586" t="s">
        <v>19162</v>
      </c>
      <c r="L9586" t="s">
        <v>27250</v>
      </c>
      <c r="M9586" t="s">
        <v>27251</v>
      </c>
      <c r="N9586" t="s">
        <v>27252</v>
      </c>
      <c r="Q9586" s="1">
        <v>44538</v>
      </c>
      <c r="R9586" t="s">
        <v>27253</v>
      </c>
      <c r="S9586" t="s">
        <v>27254</v>
      </c>
      <c r="T9586" t="s">
        <v>27255</v>
      </c>
    </row>
    <row r="9587" spans="1:20" x14ac:dyDescent="0.3">
      <c r="A9587" t="str">
        <f>"0611863489050"</f>
        <v>0611863489050</v>
      </c>
      <c r="B9587" t="str">
        <f>"CR4849"</f>
        <v>CR4849</v>
      </c>
      <c r="C9587" t="s">
        <v>45838</v>
      </c>
      <c r="D9587" t="s">
        <v>27263</v>
      </c>
      <c r="E9587" t="str">
        <f t="shared" si="149"/>
        <v>001390</v>
      </c>
      <c r="F9587" t="s">
        <v>27246</v>
      </c>
      <c r="G9587" t="s">
        <v>27247</v>
      </c>
      <c r="H9587" t="s">
        <v>27248</v>
      </c>
      <c r="I9587" t="s">
        <v>45840</v>
      </c>
      <c r="J9587" t="s">
        <v>19164</v>
      </c>
      <c r="L9587" t="s">
        <v>27250</v>
      </c>
      <c r="M9587" t="s">
        <v>27251</v>
      </c>
      <c r="N9587" t="s">
        <v>27252</v>
      </c>
      <c r="Q9587" s="1">
        <v>44846</v>
      </c>
      <c r="R9587" t="s">
        <v>27253</v>
      </c>
      <c r="S9587" t="s">
        <v>27254</v>
      </c>
      <c r="T9587" t="s">
        <v>27265</v>
      </c>
    </row>
    <row r="9588" spans="1:20" x14ac:dyDescent="0.3">
      <c r="A9588" t="str">
        <f>"0611857068100"</f>
        <v>0611857068100</v>
      </c>
      <c r="B9588" t="str">
        <f>"LQ3895"</f>
        <v>LQ3895</v>
      </c>
      <c r="C9588" t="s">
        <v>45841</v>
      </c>
      <c r="D9588" t="s">
        <v>27245</v>
      </c>
      <c r="E9588" t="str">
        <f t="shared" si="149"/>
        <v>001390</v>
      </c>
      <c r="F9588" t="s">
        <v>27246</v>
      </c>
      <c r="G9588" t="s">
        <v>27247</v>
      </c>
      <c r="H9588" t="s">
        <v>27248</v>
      </c>
      <c r="I9588" t="s">
        <v>45842</v>
      </c>
      <c r="J9588" t="s">
        <v>19166</v>
      </c>
      <c r="L9588" t="s">
        <v>27250</v>
      </c>
      <c r="M9588" t="s">
        <v>27251</v>
      </c>
      <c r="N9588" t="s">
        <v>27252</v>
      </c>
      <c r="Q9588" s="1">
        <v>44812</v>
      </c>
      <c r="R9588" t="s">
        <v>27253</v>
      </c>
      <c r="S9588" t="s">
        <v>27254</v>
      </c>
      <c r="T9588" t="s">
        <v>27255</v>
      </c>
    </row>
    <row r="9589" spans="1:20" x14ac:dyDescent="0.3">
      <c r="A9589" t="str">
        <f>"0611863490050"</f>
        <v>0611863490050</v>
      </c>
      <c r="B9589" t="str">
        <f>"CR5221"</f>
        <v>CR5221</v>
      </c>
      <c r="C9589" t="s">
        <v>45841</v>
      </c>
      <c r="D9589" t="s">
        <v>27263</v>
      </c>
      <c r="E9589" t="str">
        <f t="shared" si="149"/>
        <v>001390</v>
      </c>
      <c r="F9589" t="s">
        <v>27246</v>
      </c>
      <c r="G9589" t="s">
        <v>27247</v>
      </c>
      <c r="H9589" t="s">
        <v>27248</v>
      </c>
      <c r="I9589" t="s">
        <v>45843</v>
      </c>
      <c r="J9589" t="s">
        <v>19168</v>
      </c>
      <c r="L9589" t="s">
        <v>27250</v>
      </c>
      <c r="M9589" t="s">
        <v>27251</v>
      </c>
      <c r="N9589" t="s">
        <v>27252</v>
      </c>
      <c r="Q9589" s="1">
        <v>44846</v>
      </c>
      <c r="R9589" t="s">
        <v>27253</v>
      </c>
      <c r="S9589" t="s">
        <v>27254</v>
      </c>
      <c r="T9589" t="s">
        <v>27265</v>
      </c>
    </row>
    <row r="9590" spans="1:20" x14ac:dyDescent="0.3">
      <c r="A9590" t="str">
        <f>"0611837698100"</f>
        <v>0611837698100</v>
      </c>
      <c r="B9590" t="str">
        <f>"LQ0813"</f>
        <v>LQ0813</v>
      </c>
      <c r="C9590" t="s">
        <v>45844</v>
      </c>
      <c r="D9590" t="s">
        <v>27245</v>
      </c>
      <c r="E9590" t="str">
        <f t="shared" si="149"/>
        <v>001390</v>
      </c>
      <c r="F9590" t="s">
        <v>27246</v>
      </c>
      <c r="G9590" t="s">
        <v>27247</v>
      </c>
      <c r="H9590" t="s">
        <v>27248</v>
      </c>
      <c r="I9590" t="s">
        <v>45845</v>
      </c>
      <c r="J9590" t="s">
        <v>19174</v>
      </c>
      <c r="L9590" t="s">
        <v>27250</v>
      </c>
      <c r="M9590" t="s">
        <v>27251</v>
      </c>
      <c r="N9590" t="s">
        <v>27252</v>
      </c>
      <c r="Q9590" s="1">
        <v>44538</v>
      </c>
      <c r="R9590" t="s">
        <v>27253</v>
      </c>
      <c r="S9590" t="s">
        <v>27254</v>
      </c>
      <c r="T9590" t="s">
        <v>27255</v>
      </c>
    </row>
    <row r="9591" spans="1:20" x14ac:dyDescent="0.3">
      <c r="A9591" t="str">
        <f>"0611863491050"</f>
        <v>0611863491050</v>
      </c>
      <c r="B9591" t="str">
        <f>"CR2455"</f>
        <v>CR2455</v>
      </c>
      <c r="C9591" t="s">
        <v>45844</v>
      </c>
      <c r="D9591" t="s">
        <v>27263</v>
      </c>
      <c r="E9591" t="str">
        <f t="shared" si="149"/>
        <v>001390</v>
      </c>
      <c r="F9591" t="s">
        <v>27246</v>
      </c>
      <c r="G9591" t="s">
        <v>27247</v>
      </c>
      <c r="H9591" t="s">
        <v>27248</v>
      </c>
      <c r="I9591" t="s">
        <v>45846</v>
      </c>
      <c r="J9591" t="s">
        <v>19176</v>
      </c>
      <c r="L9591" t="s">
        <v>27250</v>
      </c>
      <c r="M9591" t="s">
        <v>27251</v>
      </c>
      <c r="N9591" t="s">
        <v>27252</v>
      </c>
      <c r="Q9591" s="1">
        <v>44846</v>
      </c>
      <c r="R9591" t="s">
        <v>27253</v>
      </c>
      <c r="S9591" t="s">
        <v>27254</v>
      </c>
      <c r="T9591" t="s">
        <v>27265</v>
      </c>
    </row>
    <row r="9592" spans="1:20" x14ac:dyDescent="0.3">
      <c r="A9592" t="str">
        <f>"0611837699100"</f>
        <v>0611837699100</v>
      </c>
      <c r="B9592" t="str">
        <f>"LQ0924"</f>
        <v>LQ0924</v>
      </c>
      <c r="C9592" t="s">
        <v>45847</v>
      </c>
      <c r="D9592" t="s">
        <v>27245</v>
      </c>
      <c r="E9592" t="str">
        <f t="shared" si="149"/>
        <v>001390</v>
      </c>
      <c r="F9592" t="s">
        <v>27246</v>
      </c>
      <c r="G9592" t="s">
        <v>27247</v>
      </c>
      <c r="H9592" t="s">
        <v>27248</v>
      </c>
      <c r="I9592" t="s">
        <v>45848</v>
      </c>
      <c r="J9592" t="s">
        <v>19178</v>
      </c>
      <c r="L9592" t="s">
        <v>27250</v>
      </c>
      <c r="M9592" t="s">
        <v>27251</v>
      </c>
      <c r="N9592" t="s">
        <v>27252</v>
      </c>
      <c r="Q9592" s="1">
        <v>44538</v>
      </c>
      <c r="R9592" t="s">
        <v>27253</v>
      </c>
      <c r="S9592" t="s">
        <v>27254</v>
      </c>
      <c r="T9592" t="s">
        <v>27255</v>
      </c>
    </row>
    <row r="9593" spans="1:20" x14ac:dyDescent="0.3">
      <c r="A9593" t="str">
        <f>"0611837700100"</f>
        <v>0611837700100</v>
      </c>
      <c r="B9593" t="str">
        <f>"LQ0925"</f>
        <v>LQ0925</v>
      </c>
      <c r="C9593" t="s">
        <v>45849</v>
      </c>
      <c r="D9593" t="s">
        <v>27245</v>
      </c>
      <c r="E9593" t="str">
        <f t="shared" si="149"/>
        <v>001390</v>
      </c>
      <c r="F9593" t="s">
        <v>27246</v>
      </c>
      <c r="G9593" t="s">
        <v>27247</v>
      </c>
      <c r="H9593" t="s">
        <v>27248</v>
      </c>
      <c r="I9593" t="s">
        <v>45850</v>
      </c>
      <c r="J9593" t="s">
        <v>19180</v>
      </c>
      <c r="L9593" t="s">
        <v>27250</v>
      </c>
      <c r="M9593" t="s">
        <v>27251</v>
      </c>
      <c r="N9593" t="s">
        <v>27252</v>
      </c>
      <c r="Q9593" s="1">
        <v>44538</v>
      </c>
      <c r="R9593" t="s">
        <v>27253</v>
      </c>
      <c r="S9593" t="s">
        <v>27254</v>
      </c>
      <c r="T9593" t="s">
        <v>27255</v>
      </c>
    </row>
    <row r="9594" spans="1:20" x14ac:dyDescent="0.3">
      <c r="A9594" t="str">
        <f>"0611837701100"</f>
        <v>0611837701100</v>
      </c>
      <c r="B9594" t="str">
        <f>"LQ3856"</f>
        <v>LQ3856</v>
      </c>
      <c r="C9594" t="s">
        <v>45851</v>
      </c>
      <c r="D9594" t="s">
        <v>27245</v>
      </c>
      <c r="E9594" t="str">
        <f t="shared" si="149"/>
        <v>001390</v>
      </c>
      <c r="F9594" t="s">
        <v>27246</v>
      </c>
      <c r="G9594" t="s">
        <v>27247</v>
      </c>
      <c r="H9594" t="s">
        <v>27248</v>
      </c>
      <c r="I9594" t="s">
        <v>45852</v>
      </c>
      <c r="J9594" t="s">
        <v>19170</v>
      </c>
      <c r="L9594" t="s">
        <v>27250</v>
      </c>
      <c r="M9594" t="s">
        <v>27251</v>
      </c>
      <c r="N9594" t="s">
        <v>27252</v>
      </c>
      <c r="Q9594" s="1">
        <v>44538</v>
      </c>
      <c r="R9594" t="s">
        <v>27253</v>
      </c>
      <c r="S9594" t="s">
        <v>27254</v>
      </c>
      <c r="T9594" t="s">
        <v>27255</v>
      </c>
    </row>
    <row r="9595" spans="1:20" x14ac:dyDescent="0.3">
      <c r="A9595" t="str">
        <f>"0611863493050"</f>
        <v>0611863493050</v>
      </c>
      <c r="B9595" t="str">
        <f>"CR4997"</f>
        <v>CR4997</v>
      </c>
      <c r="C9595" t="s">
        <v>45851</v>
      </c>
      <c r="D9595" t="s">
        <v>27263</v>
      </c>
      <c r="E9595" t="str">
        <f t="shared" si="149"/>
        <v>001390</v>
      </c>
      <c r="F9595" t="s">
        <v>27246</v>
      </c>
      <c r="G9595" t="s">
        <v>27247</v>
      </c>
      <c r="H9595" t="s">
        <v>27248</v>
      </c>
      <c r="I9595" t="s">
        <v>45853</v>
      </c>
      <c r="J9595" t="s">
        <v>19172</v>
      </c>
      <c r="L9595" t="s">
        <v>27250</v>
      </c>
      <c r="M9595" t="s">
        <v>27251</v>
      </c>
      <c r="N9595" t="s">
        <v>27252</v>
      </c>
      <c r="Q9595" s="1">
        <v>44846</v>
      </c>
      <c r="R9595" t="s">
        <v>27253</v>
      </c>
      <c r="S9595" t="s">
        <v>27254</v>
      </c>
      <c r="T9595" t="s">
        <v>27265</v>
      </c>
    </row>
    <row r="9596" spans="1:20" x14ac:dyDescent="0.3">
      <c r="A9596" t="str">
        <f>"0611857069100"</f>
        <v>0611857069100</v>
      </c>
      <c r="B9596" t="str">
        <f>"LQ3896"</f>
        <v>LQ3896</v>
      </c>
      <c r="C9596" t="s">
        <v>45854</v>
      </c>
      <c r="D9596" t="s">
        <v>27245</v>
      </c>
      <c r="E9596" t="str">
        <f t="shared" si="149"/>
        <v>001390</v>
      </c>
      <c r="F9596" t="s">
        <v>27246</v>
      </c>
      <c r="G9596" t="s">
        <v>27247</v>
      </c>
      <c r="H9596" t="s">
        <v>27248</v>
      </c>
      <c r="I9596" t="s">
        <v>45855</v>
      </c>
      <c r="J9596" t="s">
        <v>19182</v>
      </c>
      <c r="L9596" t="s">
        <v>27250</v>
      </c>
      <c r="M9596" t="s">
        <v>27251</v>
      </c>
      <c r="N9596" t="s">
        <v>27252</v>
      </c>
      <c r="Q9596" s="1">
        <v>44812</v>
      </c>
      <c r="R9596" t="s">
        <v>27253</v>
      </c>
      <c r="S9596" t="s">
        <v>27254</v>
      </c>
      <c r="T9596" t="s">
        <v>27255</v>
      </c>
    </row>
    <row r="9597" spans="1:20" x14ac:dyDescent="0.3">
      <c r="A9597" t="str">
        <f>"0611837702100"</f>
        <v>0611837702100</v>
      </c>
      <c r="B9597" t="str">
        <f>"LQ0926"</f>
        <v>LQ0926</v>
      </c>
      <c r="C9597" t="s">
        <v>45856</v>
      </c>
      <c r="D9597" t="s">
        <v>27245</v>
      </c>
      <c r="E9597" t="str">
        <f t="shared" si="149"/>
        <v>001390</v>
      </c>
      <c r="F9597" t="s">
        <v>27246</v>
      </c>
      <c r="G9597" t="s">
        <v>27247</v>
      </c>
      <c r="H9597" t="s">
        <v>27248</v>
      </c>
      <c r="I9597" t="s">
        <v>45857</v>
      </c>
      <c r="J9597" t="s">
        <v>19184</v>
      </c>
      <c r="L9597" t="s">
        <v>27250</v>
      </c>
      <c r="M9597" t="s">
        <v>27251</v>
      </c>
      <c r="N9597" t="s">
        <v>27252</v>
      </c>
      <c r="Q9597" s="1">
        <v>44538</v>
      </c>
      <c r="R9597" t="s">
        <v>27253</v>
      </c>
      <c r="S9597" t="s">
        <v>27254</v>
      </c>
      <c r="T9597" t="s">
        <v>27255</v>
      </c>
    </row>
    <row r="9598" spans="1:20" x14ac:dyDescent="0.3">
      <c r="A9598" t="str">
        <f>"0611837705100"</f>
        <v>0611837705100</v>
      </c>
      <c r="B9598" t="str">
        <f>"LQ0731"</f>
        <v>LQ0731</v>
      </c>
      <c r="C9598" t="s">
        <v>45858</v>
      </c>
      <c r="D9598" t="s">
        <v>27245</v>
      </c>
      <c r="E9598" t="str">
        <f t="shared" si="149"/>
        <v>001390</v>
      </c>
      <c r="F9598" t="s">
        <v>27246</v>
      </c>
      <c r="G9598" t="s">
        <v>27247</v>
      </c>
      <c r="H9598" t="s">
        <v>27248</v>
      </c>
      <c r="I9598" t="s">
        <v>45859</v>
      </c>
      <c r="J9598" t="s">
        <v>19186</v>
      </c>
      <c r="L9598" t="s">
        <v>27250</v>
      </c>
      <c r="M9598" t="s">
        <v>27251</v>
      </c>
      <c r="N9598" t="s">
        <v>27252</v>
      </c>
      <c r="Q9598" s="1">
        <v>44538</v>
      </c>
      <c r="R9598" t="s">
        <v>27253</v>
      </c>
      <c r="S9598" t="s">
        <v>27254</v>
      </c>
      <c r="T9598" t="s">
        <v>27255</v>
      </c>
    </row>
    <row r="9599" spans="1:20" x14ac:dyDescent="0.3">
      <c r="A9599" t="str">
        <f>"0611863495050"</f>
        <v>0611863495050</v>
      </c>
      <c r="B9599" t="str">
        <f>"CR2456"</f>
        <v>CR2456</v>
      </c>
      <c r="C9599" t="s">
        <v>45858</v>
      </c>
      <c r="D9599" t="s">
        <v>27263</v>
      </c>
      <c r="E9599" t="str">
        <f t="shared" si="149"/>
        <v>001390</v>
      </c>
      <c r="F9599" t="s">
        <v>27246</v>
      </c>
      <c r="G9599" t="s">
        <v>27247</v>
      </c>
      <c r="H9599" t="s">
        <v>27248</v>
      </c>
      <c r="I9599" t="s">
        <v>45860</v>
      </c>
      <c r="J9599" t="s">
        <v>19188</v>
      </c>
      <c r="L9599" t="s">
        <v>27250</v>
      </c>
      <c r="M9599" t="s">
        <v>27251</v>
      </c>
      <c r="N9599" t="s">
        <v>27252</v>
      </c>
      <c r="Q9599" s="1">
        <v>44846</v>
      </c>
      <c r="R9599" t="s">
        <v>27253</v>
      </c>
      <c r="S9599" t="s">
        <v>27254</v>
      </c>
      <c r="T9599" t="s">
        <v>27265</v>
      </c>
    </row>
    <row r="9600" spans="1:20" x14ac:dyDescent="0.3">
      <c r="A9600" t="str">
        <f>"0611837703100"</f>
        <v>0611837703100</v>
      </c>
      <c r="B9600" t="str">
        <f>"LQ3613"</f>
        <v>LQ3613</v>
      </c>
      <c r="C9600" t="s">
        <v>45861</v>
      </c>
      <c r="D9600" t="s">
        <v>27245</v>
      </c>
      <c r="E9600" t="str">
        <f t="shared" si="149"/>
        <v>001390</v>
      </c>
      <c r="F9600" t="s">
        <v>27246</v>
      </c>
      <c r="G9600" t="s">
        <v>27247</v>
      </c>
      <c r="H9600" t="s">
        <v>27248</v>
      </c>
      <c r="I9600" t="s">
        <v>45862</v>
      </c>
      <c r="J9600" t="s">
        <v>19190</v>
      </c>
      <c r="L9600" t="s">
        <v>27430</v>
      </c>
      <c r="M9600" t="s">
        <v>27251</v>
      </c>
      <c r="N9600" t="s">
        <v>27252</v>
      </c>
      <c r="Q9600" s="1">
        <v>44538</v>
      </c>
      <c r="R9600" t="s">
        <v>27253</v>
      </c>
      <c r="S9600" t="s">
        <v>27254</v>
      </c>
      <c r="T9600" t="s">
        <v>27255</v>
      </c>
    </row>
    <row r="9601" spans="1:20" x14ac:dyDescent="0.3">
      <c r="A9601" t="str">
        <f>"0611837706100"</f>
        <v>0611837706100</v>
      </c>
      <c r="B9601" t="str">
        <f>"LQ0927"</f>
        <v>LQ0927</v>
      </c>
      <c r="C9601" t="s">
        <v>45863</v>
      </c>
      <c r="D9601" t="s">
        <v>27245</v>
      </c>
      <c r="E9601" t="str">
        <f t="shared" si="149"/>
        <v>001390</v>
      </c>
      <c r="F9601" t="s">
        <v>27246</v>
      </c>
      <c r="G9601" t="s">
        <v>27247</v>
      </c>
      <c r="H9601" t="s">
        <v>27248</v>
      </c>
      <c r="I9601" t="s">
        <v>45864</v>
      </c>
      <c r="J9601" t="s">
        <v>19192</v>
      </c>
      <c r="L9601" t="s">
        <v>27250</v>
      </c>
      <c r="M9601" t="s">
        <v>27251</v>
      </c>
      <c r="N9601" t="s">
        <v>27252</v>
      </c>
      <c r="Q9601" s="1">
        <v>44538</v>
      </c>
      <c r="R9601" t="s">
        <v>27253</v>
      </c>
      <c r="S9601" t="s">
        <v>27254</v>
      </c>
      <c r="T9601" t="s">
        <v>27255</v>
      </c>
    </row>
    <row r="9602" spans="1:20" x14ac:dyDescent="0.3">
      <c r="A9602" t="str">
        <f>"0611863497050"</f>
        <v>0611863497050</v>
      </c>
      <c r="B9602" t="str">
        <f>"CR4050"</f>
        <v>CR4050</v>
      </c>
      <c r="C9602" t="s">
        <v>45863</v>
      </c>
      <c r="D9602" t="s">
        <v>27263</v>
      </c>
      <c r="E9602" t="str">
        <f t="shared" ref="E9602:E9665" si="150">"001390"</f>
        <v>001390</v>
      </c>
      <c r="F9602" t="s">
        <v>27246</v>
      </c>
      <c r="G9602" t="s">
        <v>27247</v>
      </c>
      <c r="H9602" t="s">
        <v>27248</v>
      </c>
      <c r="I9602" t="s">
        <v>45865</v>
      </c>
      <c r="J9602" t="s">
        <v>19194</v>
      </c>
      <c r="L9602" t="s">
        <v>27250</v>
      </c>
      <c r="M9602" t="s">
        <v>27251</v>
      </c>
      <c r="N9602" t="s">
        <v>27252</v>
      </c>
      <c r="Q9602" s="1">
        <v>44846</v>
      </c>
      <c r="R9602" t="s">
        <v>27253</v>
      </c>
      <c r="S9602" t="s">
        <v>27254</v>
      </c>
      <c r="T9602" t="s">
        <v>27265</v>
      </c>
    </row>
    <row r="9603" spans="1:20" x14ac:dyDescent="0.3">
      <c r="A9603" t="str">
        <f>"0611837707100"</f>
        <v>0611837707100</v>
      </c>
      <c r="B9603" t="str">
        <f>"LQ0920"</f>
        <v>LQ0920</v>
      </c>
      <c r="C9603" t="s">
        <v>45866</v>
      </c>
      <c r="D9603" t="s">
        <v>27245</v>
      </c>
      <c r="E9603" t="str">
        <f t="shared" si="150"/>
        <v>001390</v>
      </c>
      <c r="F9603" t="s">
        <v>27246</v>
      </c>
      <c r="G9603" t="s">
        <v>27247</v>
      </c>
      <c r="H9603" t="s">
        <v>27248</v>
      </c>
      <c r="I9603" t="s">
        <v>45867</v>
      </c>
      <c r="J9603" t="s">
        <v>19196</v>
      </c>
      <c r="L9603" t="s">
        <v>27250</v>
      </c>
      <c r="M9603" t="s">
        <v>27251</v>
      </c>
      <c r="N9603" t="s">
        <v>27252</v>
      </c>
      <c r="Q9603" s="1">
        <v>44538</v>
      </c>
      <c r="R9603" t="s">
        <v>27253</v>
      </c>
      <c r="S9603" t="s">
        <v>27254</v>
      </c>
      <c r="T9603" t="s">
        <v>27255</v>
      </c>
    </row>
    <row r="9604" spans="1:20" x14ac:dyDescent="0.3">
      <c r="A9604" t="str">
        <f>"0611837708100"</f>
        <v>0611837708100</v>
      </c>
      <c r="B9604" t="str">
        <f>"LQ0814"</f>
        <v>LQ0814</v>
      </c>
      <c r="C9604" t="s">
        <v>45868</v>
      </c>
      <c r="D9604" t="s">
        <v>27245</v>
      </c>
      <c r="E9604" t="str">
        <f t="shared" si="150"/>
        <v>001390</v>
      </c>
      <c r="F9604" t="s">
        <v>27246</v>
      </c>
      <c r="G9604" t="s">
        <v>27247</v>
      </c>
      <c r="H9604" t="s">
        <v>27248</v>
      </c>
      <c r="I9604" t="s">
        <v>45869</v>
      </c>
      <c r="J9604" t="s">
        <v>19198</v>
      </c>
      <c r="L9604" t="s">
        <v>27250</v>
      </c>
      <c r="M9604" t="s">
        <v>27251</v>
      </c>
      <c r="N9604" t="s">
        <v>27252</v>
      </c>
      <c r="Q9604" s="1">
        <v>44538</v>
      </c>
      <c r="R9604" t="s">
        <v>27253</v>
      </c>
      <c r="S9604" t="s">
        <v>27254</v>
      </c>
      <c r="T9604" t="s">
        <v>27255</v>
      </c>
    </row>
    <row r="9605" spans="1:20" x14ac:dyDescent="0.3">
      <c r="A9605" t="str">
        <f>"0611863498050"</f>
        <v>0611863498050</v>
      </c>
      <c r="B9605" t="str">
        <f>"CR2458"</f>
        <v>CR2458</v>
      </c>
      <c r="C9605" t="s">
        <v>45868</v>
      </c>
      <c r="D9605" t="s">
        <v>27263</v>
      </c>
      <c r="E9605" t="str">
        <f t="shared" si="150"/>
        <v>001390</v>
      </c>
      <c r="F9605" t="s">
        <v>27246</v>
      </c>
      <c r="G9605" t="s">
        <v>27247</v>
      </c>
      <c r="H9605" t="s">
        <v>27248</v>
      </c>
      <c r="I9605" t="s">
        <v>45870</v>
      </c>
      <c r="J9605" t="s">
        <v>19200</v>
      </c>
      <c r="L9605" t="s">
        <v>27250</v>
      </c>
      <c r="M9605" t="s">
        <v>27251</v>
      </c>
      <c r="N9605" t="s">
        <v>27252</v>
      </c>
      <c r="Q9605" s="1">
        <v>44846</v>
      </c>
      <c r="R9605" t="s">
        <v>27253</v>
      </c>
      <c r="S9605" t="s">
        <v>27254</v>
      </c>
      <c r="T9605" t="s">
        <v>27265</v>
      </c>
    </row>
    <row r="9606" spans="1:20" x14ac:dyDescent="0.3">
      <c r="A9606" t="str">
        <f>"0611837709100"</f>
        <v>0611837709100</v>
      </c>
      <c r="B9606" t="str">
        <f>"LQ0732"</f>
        <v>LQ0732</v>
      </c>
      <c r="C9606" t="s">
        <v>45871</v>
      </c>
      <c r="D9606" t="s">
        <v>27245</v>
      </c>
      <c r="E9606" t="str">
        <f t="shared" si="150"/>
        <v>001390</v>
      </c>
      <c r="F9606" t="s">
        <v>27246</v>
      </c>
      <c r="G9606" t="s">
        <v>27247</v>
      </c>
      <c r="H9606" t="s">
        <v>27248</v>
      </c>
      <c r="I9606" t="s">
        <v>45872</v>
      </c>
      <c r="J9606" t="s">
        <v>19202</v>
      </c>
      <c r="L9606" t="s">
        <v>27250</v>
      </c>
      <c r="M9606" t="s">
        <v>27251</v>
      </c>
      <c r="N9606" t="s">
        <v>27252</v>
      </c>
      <c r="Q9606" s="1">
        <v>44538</v>
      </c>
      <c r="R9606" t="s">
        <v>27253</v>
      </c>
      <c r="S9606" t="s">
        <v>27254</v>
      </c>
      <c r="T9606" t="s">
        <v>27255</v>
      </c>
    </row>
    <row r="9607" spans="1:20" x14ac:dyDescent="0.3">
      <c r="A9607" t="str">
        <f>"0611863499050"</f>
        <v>0611863499050</v>
      </c>
      <c r="B9607" t="str">
        <f>"CR2457"</f>
        <v>CR2457</v>
      </c>
      <c r="C9607" t="s">
        <v>45871</v>
      </c>
      <c r="D9607" t="s">
        <v>27263</v>
      </c>
      <c r="E9607" t="str">
        <f t="shared" si="150"/>
        <v>001390</v>
      </c>
      <c r="F9607" t="s">
        <v>27246</v>
      </c>
      <c r="G9607" t="s">
        <v>27247</v>
      </c>
      <c r="H9607" t="s">
        <v>27248</v>
      </c>
      <c r="I9607" t="s">
        <v>45873</v>
      </c>
      <c r="J9607" t="s">
        <v>19204</v>
      </c>
      <c r="L9607" t="s">
        <v>27250</v>
      </c>
      <c r="M9607" t="s">
        <v>27251</v>
      </c>
      <c r="N9607" t="s">
        <v>27252</v>
      </c>
      <c r="Q9607" s="1">
        <v>44846</v>
      </c>
      <c r="R9607" t="s">
        <v>27253</v>
      </c>
      <c r="S9607" t="s">
        <v>27254</v>
      </c>
      <c r="T9607" t="s">
        <v>27265</v>
      </c>
    </row>
    <row r="9608" spans="1:20" x14ac:dyDescent="0.3">
      <c r="A9608" t="str">
        <f>"0611837710100"</f>
        <v>0611837710100</v>
      </c>
      <c r="B9608" t="str">
        <f>"LQ0928"</f>
        <v>LQ0928</v>
      </c>
      <c r="C9608" t="s">
        <v>45874</v>
      </c>
      <c r="D9608" t="s">
        <v>27245</v>
      </c>
      <c r="E9608" t="str">
        <f t="shared" si="150"/>
        <v>001390</v>
      </c>
      <c r="F9608" t="s">
        <v>27246</v>
      </c>
      <c r="G9608" t="s">
        <v>27247</v>
      </c>
      <c r="H9608" t="s">
        <v>27248</v>
      </c>
      <c r="I9608" t="s">
        <v>45875</v>
      </c>
      <c r="J9608" t="s">
        <v>19206</v>
      </c>
      <c r="L9608" t="s">
        <v>27250</v>
      </c>
      <c r="M9608" t="s">
        <v>27251</v>
      </c>
      <c r="N9608" t="s">
        <v>27252</v>
      </c>
      <c r="Q9608" s="1">
        <v>44538</v>
      </c>
      <c r="R9608" t="s">
        <v>27253</v>
      </c>
      <c r="S9608" t="s">
        <v>27254</v>
      </c>
      <c r="T9608" t="s">
        <v>27255</v>
      </c>
    </row>
    <row r="9609" spans="1:20" x14ac:dyDescent="0.3">
      <c r="A9609" t="str">
        <f>"0611837711100"</f>
        <v>0611837711100</v>
      </c>
      <c r="B9609" t="str">
        <f>"LQ0683"</f>
        <v>LQ0683</v>
      </c>
      <c r="C9609" t="s">
        <v>45876</v>
      </c>
      <c r="D9609" t="s">
        <v>27245</v>
      </c>
      <c r="E9609" t="str">
        <f t="shared" si="150"/>
        <v>001390</v>
      </c>
      <c r="F9609" t="s">
        <v>27246</v>
      </c>
      <c r="G9609" t="s">
        <v>27247</v>
      </c>
      <c r="H9609" t="s">
        <v>27248</v>
      </c>
      <c r="I9609" t="s">
        <v>45877</v>
      </c>
      <c r="J9609" t="s">
        <v>19208</v>
      </c>
      <c r="L9609" t="s">
        <v>27250</v>
      </c>
      <c r="M9609" t="s">
        <v>27251</v>
      </c>
      <c r="N9609" t="s">
        <v>27252</v>
      </c>
      <c r="Q9609" s="1">
        <v>44538</v>
      </c>
      <c r="R9609" t="s">
        <v>27253</v>
      </c>
      <c r="S9609" t="s">
        <v>27254</v>
      </c>
      <c r="T9609" t="s">
        <v>27255</v>
      </c>
    </row>
    <row r="9610" spans="1:20" x14ac:dyDescent="0.3">
      <c r="A9610" t="str">
        <f>"0611837712100"</f>
        <v>0611837712100</v>
      </c>
      <c r="B9610" t="str">
        <f>"LQ0929"</f>
        <v>LQ0929</v>
      </c>
      <c r="C9610" t="s">
        <v>45878</v>
      </c>
      <c r="D9610" t="s">
        <v>27245</v>
      </c>
      <c r="E9610" t="str">
        <f t="shared" si="150"/>
        <v>001390</v>
      </c>
      <c r="F9610" t="s">
        <v>27246</v>
      </c>
      <c r="G9610" t="s">
        <v>27247</v>
      </c>
      <c r="H9610" t="s">
        <v>27248</v>
      </c>
      <c r="I9610" t="s">
        <v>45879</v>
      </c>
      <c r="J9610" t="s">
        <v>19210</v>
      </c>
      <c r="L9610" t="s">
        <v>27250</v>
      </c>
      <c r="M9610" t="s">
        <v>27251</v>
      </c>
      <c r="N9610" t="s">
        <v>27252</v>
      </c>
      <c r="Q9610" s="1">
        <v>44538</v>
      </c>
      <c r="R9610" t="s">
        <v>27253</v>
      </c>
      <c r="S9610" t="s">
        <v>27254</v>
      </c>
      <c r="T9610" t="s">
        <v>27255</v>
      </c>
    </row>
    <row r="9611" spans="1:20" x14ac:dyDescent="0.3">
      <c r="A9611" t="str">
        <f>"0611837713100"</f>
        <v>0611837713100</v>
      </c>
      <c r="B9611" t="str">
        <f>"LQ0930"</f>
        <v>LQ0930</v>
      </c>
      <c r="C9611" t="s">
        <v>45880</v>
      </c>
      <c r="D9611" t="s">
        <v>27245</v>
      </c>
      <c r="E9611" t="str">
        <f t="shared" si="150"/>
        <v>001390</v>
      </c>
      <c r="F9611" t="s">
        <v>27246</v>
      </c>
      <c r="G9611" t="s">
        <v>27247</v>
      </c>
      <c r="H9611" t="s">
        <v>27248</v>
      </c>
      <c r="I9611" t="s">
        <v>45881</v>
      </c>
      <c r="J9611" t="s">
        <v>19212</v>
      </c>
      <c r="L9611" t="s">
        <v>27250</v>
      </c>
      <c r="M9611" t="s">
        <v>27251</v>
      </c>
      <c r="N9611" t="s">
        <v>27252</v>
      </c>
      <c r="Q9611" s="1">
        <v>44538</v>
      </c>
      <c r="R9611" t="s">
        <v>27253</v>
      </c>
      <c r="S9611" t="s">
        <v>27254</v>
      </c>
      <c r="T9611" t="s">
        <v>27255</v>
      </c>
    </row>
    <row r="9612" spans="1:20" x14ac:dyDescent="0.3">
      <c r="A9612" t="str">
        <f>"0611863500050"</f>
        <v>0611863500050</v>
      </c>
      <c r="B9612" t="str">
        <f>"CR4051"</f>
        <v>CR4051</v>
      </c>
      <c r="C9612" t="s">
        <v>45880</v>
      </c>
      <c r="D9612" t="s">
        <v>27263</v>
      </c>
      <c r="E9612" t="str">
        <f t="shared" si="150"/>
        <v>001390</v>
      </c>
      <c r="F9612" t="s">
        <v>27246</v>
      </c>
      <c r="G9612" t="s">
        <v>27247</v>
      </c>
      <c r="H9612" t="s">
        <v>27248</v>
      </c>
      <c r="I9612" t="s">
        <v>45882</v>
      </c>
      <c r="J9612" t="s">
        <v>19214</v>
      </c>
      <c r="L9612" t="s">
        <v>27250</v>
      </c>
      <c r="M9612" t="s">
        <v>27251</v>
      </c>
      <c r="N9612" t="s">
        <v>27252</v>
      </c>
      <c r="Q9612" s="1">
        <v>44846</v>
      </c>
      <c r="R9612" t="s">
        <v>27253</v>
      </c>
      <c r="S9612" t="s">
        <v>27254</v>
      </c>
      <c r="T9612" t="s">
        <v>27265</v>
      </c>
    </row>
    <row r="9613" spans="1:20" x14ac:dyDescent="0.3">
      <c r="A9613" t="str">
        <f>"0611837714100"</f>
        <v>0611837714100</v>
      </c>
      <c r="B9613" t="str">
        <f>"LQ0733"</f>
        <v>LQ0733</v>
      </c>
      <c r="C9613" t="s">
        <v>45883</v>
      </c>
      <c r="D9613" t="s">
        <v>27245</v>
      </c>
      <c r="E9613" t="str">
        <f t="shared" si="150"/>
        <v>001390</v>
      </c>
      <c r="F9613" t="s">
        <v>27246</v>
      </c>
      <c r="G9613" t="s">
        <v>27247</v>
      </c>
      <c r="H9613" t="s">
        <v>27248</v>
      </c>
      <c r="I9613" t="s">
        <v>45884</v>
      </c>
      <c r="J9613" t="s">
        <v>19216</v>
      </c>
      <c r="L9613" t="s">
        <v>27250</v>
      </c>
      <c r="M9613" t="s">
        <v>27251</v>
      </c>
      <c r="N9613" t="s">
        <v>27252</v>
      </c>
      <c r="Q9613" s="1">
        <v>44538</v>
      </c>
      <c r="R9613" t="s">
        <v>27253</v>
      </c>
      <c r="S9613" t="s">
        <v>27254</v>
      </c>
      <c r="T9613" t="s">
        <v>27255</v>
      </c>
    </row>
    <row r="9614" spans="1:20" x14ac:dyDescent="0.3">
      <c r="A9614" t="str">
        <f>"0611837716100"</f>
        <v>0611837716100</v>
      </c>
      <c r="B9614" t="str">
        <f>"LQ3615"</f>
        <v>LQ3615</v>
      </c>
      <c r="C9614" t="s">
        <v>45885</v>
      </c>
      <c r="D9614" t="s">
        <v>27245</v>
      </c>
      <c r="E9614" t="str">
        <f t="shared" si="150"/>
        <v>001390</v>
      </c>
      <c r="F9614" t="s">
        <v>27246</v>
      </c>
      <c r="G9614" t="s">
        <v>27247</v>
      </c>
      <c r="H9614" t="s">
        <v>27248</v>
      </c>
      <c r="I9614" t="s">
        <v>45886</v>
      </c>
      <c r="J9614" t="s">
        <v>19218</v>
      </c>
      <c r="L9614" t="s">
        <v>27250</v>
      </c>
      <c r="M9614" t="s">
        <v>27251</v>
      </c>
      <c r="N9614" t="s">
        <v>27252</v>
      </c>
      <c r="Q9614" s="1">
        <v>44538</v>
      </c>
      <c r="R9614" t="s">
        <v>27253</v>
      </c>
      <c r="S9614" t="s">
        <v>27254</v>
      </c>
      <c r="T9614" t="s">
        <v>27255</v>
      </c>
    </row>
    <row r="9615" spans="1:20" x14ac:dyDescent="0.3">
      <c r="A9615" t="str">
        <f>"0611837717100"</f>
        <v>0611837717100</v>
      </c>
      <c r="B9615" t="str">
        <f>"LQ5892"</f>
        <v>LQ5892</v>
      </c>
      <c r="C9615" t="s">
        <v>45887</v>
      </c>
      <c r="D9615" t="s">
        <v>27245</v>
      </c>
      <c r="E9615" t="str">
        <f t="shared" si="150"/>
        <v>001390</v>
      </c>
      <c r="F9615" t="s">
        <v>27246</v>
      </c>
      <c r="G9615" t="s">
        <v>27247</v>
      </c>
      <c r="H9615" t="s">
        <v>27248</v>
      </c>
      <c r="I9615" t="s">
        <v>45888</v>
      </c>
      <c r="J9615" t="s">
        <v>19220</v>
      </c>
      <c r="L9615" t="s">
        <v>27250</v>
      </c>
      <c r="M9615" t="s">
        <v>27251</v>
      </c>
      <c r="N9615" t="s">
        <v>27252</v>
      </c>
      <c r="Q9615" s="1">
        <v>44538</v>
      </c>
      <c r="R9615" t="s">
        <v>27253</v>
      </c>
      <c r="S9615" t="s">
        <v>27254</v>
      </c>
      <c r="T9615" t="s">
        <v>27255</v>
      </c>
    </row>
    <row r="9616" spans="1:20" x14ac:dyDescent="0.3">
      <c r="A9616" t="str">
        <f>"0611863501050"</f>
        <v>0611863501050</v>
      </c>
      <c r="B9616" t="str">
        <f>"CR4998"</f>
        <v>CR4998</v>
      </c>
      <c r="C9616" t="s">
        <v>45887</v>
      </c>
      <c r="D9616" t="s">
        <v>27263</v>
      </c>
      <c r="E9616" t="str">
        <f t="shared" si="150"/>
        <v>001390</v>
      </c>
      <c r="F9616" t="s">
        <v>27246</v>
      </c>
      <c r="G9616" t="s">
        <v>27247</v>
      </c>
      <c r="H9616" t="s">
        <v>27248</v>
      </c>
      <c r="I9616" t="s">
        <v>45889</v>
      </c>
      <c r="J9616" t="s">
        <v>19222</v>
      </c>
      <c r="L9616" t="s">
        <v>27250</v>
      </c>
      <c r="M9616" t="s">
        <v>27251</v>
      </c>
      <c r="N9616" t="s">
        <v>27252</v>
      </c>
      <c r="Q9616" s="1">
        <v>44846</v>
      </c>
      <c r="R9616" t="s">
        <v>27253</v>
      </c>
      <c r="S9616" t="s">
        <v>27254</v>
      </c>
      <c r="T9616" t="s">
        <v>27265</v>
      </c>
    </row>
    <row r="9617" spans="1:20" x14ac:dyDescent="0.3">
      <c r="A9617" t="str">
        <f>"0611837718100"</f>
        <v>0611837718100</v>
      </c>
      <c r="B9617" t="str">
        <f>"LQ0931"</f>
        <v>LQ0931</v>
      </c>
      <c r="C9617" t="s">
        <v>45890</v>
      </c>
      <c r="D9617" t="s">
        <v>27245</v>
      </c>
      <c r="E9617" t="str">
        <f t="shared" si="150"/>
        <v>001390</v>
      </c>
      <c r="F9617" t="s">
        <v>27246</v>
      </c>
      <c r="G9617" t="s">
        <v>27247</v>
      </c>
      <c r="H9617" t="s">
        <v>27248</v>
      </c>
      <c r="I9617" t="s">
        <v>45891</v>
      </c>
      <c r="J9617" t="s">
        <v>19224</v>
      </c>
      <c r="L9617" t="s">
        <v>27250</v>
      </c>
      <c r="M9617" t="s">
        <v>27251</v>
      </c>
      <c r="N9617" t="s">
        <v>27252</v>
      </c>
      <c r="Q9617" s="1">
        <v>44538</v>
      </c>
      <c r="R9617" t="s">
        <v>27253</v>
      </c>
      <c r="S9617" t="s">
        <v>27254</v>
      </c>
      <c r="T9617" t="s">
        <v>27255</v>
      </c>
    </row>
    <row r="9618" spans="1:20" x14ac:dyDescent="0.3">
      <c r="A9618" t="str">
        <f>"0611863502050"</f>
        <v>0611863502050</v>
      </c>
      <c r="B9618" t="str">
        <f>"CR4052"</f>
        <v>CR4052</v>
      </c>
      <c r="C9618" t="s">
        <v>45890</v>
      </c>
      <c r="D9618" t="s">
        <v>27263</v>
      </c>
      <c r="E9618" t="str">
        <f t="shared" si="150"/>
        <v>001390</v>
      </c>
      <c r="F9618" t="s">
        <v>27246</v>
      </c>
      <c r="G9618" t="s">
        <v>27247</v>
      </c>
      <c r="H9618" t="s">
        <v>27248</v>
      </c>
      <c r="I9618" t="s">
        <v>45892</v>
      </c>
      <c r="J9618" t="s">
        <v>19226</v>
      </c>
      <c r="L9618" t="s">
        <v>27250</v>
      </c>
      <c r="M9618" t="s">
        <v>27251</v>
      </c>
      <c r="N9618" t="s">
        <v>27252</v>
      </c>
      <c r="Q9618" s="1">
        <v>44846</v>
      </c>
      <c r="R9618" t="s">
        <v>27253</v>
      </c>
      <c r="S9618" t="s">
        <v>27254</v>
      </c>
      <c r="T9618" t="s">
        <v>27265</v>
      </c>
    </row>
    <row r="9619" spans="1:20" x14ac:dyDescent="0.3">
      <c r="A9619" t="str">
        <f>"0611863503050"</f>
        <v>0611863503050</v>
      </c>
      <c r="B9619" t="str">
        <f>"CR4999"</f>
        <v>CR4999</v>
      </c>
      <c r="C9619" t="s">
        <v>45893</v>
      </c>
      <c r="D9619" t="s">
        <v>27263</v>
      </c>
      <c r="E9619" t="str">
        <f t="shared" si="150"/>
        <v>001390</v>
      </c>
      <c r="F9619" t="s">
        <v>27246</v>
      </c>
      <c r="G9619" t="s">
        <v>27247</v>
      </c>
      <c r="H9619" t="s">
        <v>27248</v>
      </c>
      <c r="I9619" t="s">
        <v>45894</v>
      </c>
      <c r="J9619" t="s">
        <v>19228</v>
      </c>
      <c r="L9619" t="s">
        <v>27250</v>
      </c>
      <c r="M9619" t="s">
        <v>27251</v>
      </c>
      <c r="N9619" t="s">
        <v>27252</v>
      </c>
      <c r="Q9619" s="1">
        <v>44846</v>
      </c>
      <c r="R9619" t="s">
        <v>27253</v>
      </c>
      <c r="S9619" t="s">
        <v>27254</v>
      </c>
      <c r="T9619" t="s">
        <v>27265</v>
      </c>
    </row>
    <row r="9620" spans="1:20" x14ac:dyDescent="0.3">
      <c r="A9620" t="str">
        <f>"0611837722100"</f>
        <v>0611837722100</v>
      </c>
      <c r="B9620" t="str">
        <f>"LQ3418"</f>
        <v>LQ3418</v>
      </c>
      <c r="C9620" t="s">
        <v>45895</v>
      </c>
      <c r="D9620" t="s">
        <v>27245</v>
      </c>
      <c r="E9620" t="str">
        <f t="shared" si="150"/>
        <v>001390</v>
      </c>
      <c r="F9620" t="s">
        <v>27246</v>
      </c>
      <c r="G9620" t="s">
        <v>27247</v>
      </c>
      <c r="H9620" t="s">
        <v>27248</v>
      </c>
      <c r="I9620" t="s">
        <v>45896</v>
      </c>
      <c r="J9620" t="s">
        <v>19230</v>
      </c>
      <c r="L9620" t="s">
        <v>27250</v>
      </c>
      <c r="M9620" t="s">
        <v>27251</v>
      </c>
      <c r="N9620" t="s">
        <v>27252</v>
      </c>
      <c r="Q9620" s="1">
        <v>44538</v>
      </c>
      <c r="R9620" t="s">
        <v>27253</v>
      </c>
      <c r="S9620" t="s">
        <v>27254</v>
      </c>
      <c r="T9620" t="s">
        <v>27255</v>
      </c>
    </row>
    <row r="9621" spans="1:20" x14ac:dyDescent="0.3">
      <c r="A9621" t="str">
        <f>"0611837724100"</f>
        <v>0611837724100</v>
      </c>
      <c r="B9621" t="str">
        <f>"LB6362"</f>
        <v>LB6362</v>
      </c>
      <c r="C9621" t="s">
        <v>45897</v>
      </c>
      <c r="D9621" t="s">
        <v>27245</v>
      </c>
      <c r="E9621" t="str">
        <f t="shared" si="150"/>
        <v>001390</v>
      </c>
      <c r="F9621" t="s">
        <v>27246</v>
      </c>
      <c r="G9621" t="s">
        <v>27247</v>
      </c>
      <c r="H9621" t="s">
        <v>27248</v>
      </c>
      <c r="I9621" t="s">
        <v>45898</v>
      </c>
      <c r="J9621" t="s">
        <v>19232</v>
      </c>
      <c r="L9621" t="s">
        <v>27250</v>
      </c>
      <c r="M9621" t="s">
        <v>27251</v>
      </c>
      <c r="N9621" t="s">
        <v>27252</v>
      </c>
      <c r="Q9621" s="1">
        <v>44538</v>
      </c>
      <c r="R9621" t="s">
        <v>27253</v>
      </c>
      <c r="S9621" t="s">
        <v>27254</v>
      </c>
      <c r="T9621" t="s">
        <v>27255</v>
      </c>
    </row>
    <row r="9622" spans="1:20" x14ac:dyDescent="0.3">
      <c r="A9622" t="str">
        <f>"0611837725100"</f>
        <v>0611837725100</v>
      </c>
      <c r="B9622" t="str">
        <f>"LB6354"</f>
        <v>LB6354</v>
      </c>
      <c r="C9622" t="s">
        <v>45899</v>
      </c>
      <c r="D9622" t="s">
        <v>27245</v>
      </c>
      <c r="E9622" t="str">
        <f t="shared" si="150"/>
        <v>001390</v>
      </c>
      <c r="F9622" t="s">
        <v>27246</v>
      </c>
      <c r="G9622" t="s">
        <v>27247</v>
      </c>
      <c r="H9622" t="s">
        <v>27248</v>
      </c>
      <c r="I9622" t="s">
        <v>45900</v>
      </c>
      <c r="J9622" t="s">
        <v>19234</v>
      </c>
      <c r="L9622" t="s">
        <v>27250</v>
      </c>
      <c r="M9622" t="s">
        <v>27251</v>
      </c>
      <c r="N9622" t="s">
        <v>27252</v>
      </c>
      <c r="Q9622" s="1">
        <v>44538</v>
      </c>
      <c r="R9622" t="s">
        <v>27253</v>
      </c>
      <c r="S9622" t="s">
        <v>27254</v>
      </c>
      <c r="T9622" t="s">
        <v>27255</v>
      </c>
    </row>
    <row r="9623" spans="1:20" x14ac:dyDescent="0.3">
      <c r="A9623" t="str">
        <f>"0611837726100"</f>
        <v>0611837726100</v>
      </c>
      <c r="B9623" t="str">
        <f>"LB6352"</f>
        <v>LB6352</v>
      </c>
      <c r="C9623" t="s">
        <v>45901</v>
      </c>
      <c r="D9623" t="s">
        <v>27245</v>
      </c>
      <c r="E9623" t="str">
        <f t="shared" si="150"/>
        <v>001390</v>
      </c>
      <c r="F9623" t="s">
        <v>27246</v>
      </c>
      <c r="G9623" t="s">
        <v>27247</v>
      </c>
      <c r="H9623" t="s">
        <v>27248</v>
      </c>
      <c r="I9623" t="s">
        <v>45902</v>
      </c>
      <c r="J9623" t="s">
        <v>19236</v>
      </c>
      <c r="L9623" t="s">
        <v>27250</v>
      </c>
      <c r="M9623" t="s">
        <v>27251</v>
      </c>
      <c r="N9623" t="s">
        <v>27252</v>
      </c>
      <c r="Q9623" s="1">
        <v>44538</v>
      </c>
      <c r="R9623" t="s">
        <v>27253</v>
      </c>
      <c r="S9623" t="s">
        <v>27254</v>
      </c>
      <c r="T9623" t="s">
        <v>27255</v>
      </c>
    </row>
    <row r="9624" spans="1:20" x14ac:dyDescent="0.3">
      <c r="A9624" t="str">
        <f>"0611837727100"</f>
        <v>0611837727100</v>
      </c>
      <c r="B9624" t="str">
        <f>"LB6355"</f>
        <v>LB6355</v>
      </c>
      <c r="C9624" t="s">
        <v>45903</v>
      </c>
      <c r="D9624" t="s">
        <v>27245</v>
      </c>
      <c r="E9624" t="str">
        <f t="shared" si="150"/>
        <v>001390</v>
      </c>
      <c r="F9624" t="s">
        <v>27246</v>
      </c>
      <c r="G9624" t="s">
        <v>27247</v>
      </c>
      <c r="H9624" t="s">
        <v>27248</v>
      </c>
      <c r="I9624" t="s">
        <v>45904</v>
      </c>
      <c r="J9624" t="s">
        <v>19238</v>
      </c>
      <c r="L9624" t="s">
        <v>27250</v>
      </c>
      <c r="M9624" t="s">
        <v>27251</v>
      </c>
      <c r="N9624" t="s">
        <v>27252</v>
      </c>
      <c r="Q9624" s="1">
        <v>44538</v>
      </c>
      <c r="R9624" t="s">
        <v>27253</v>
      </c>
      <c r="S9624" t="s">
        <v>27254</v>
      </c>
      <c r="T9624" t="s">
        <v>27255</v>
      </c>
    </row>
    <row r="9625" spans="1:20" x14ac:dyDescent="0.3">
      <c r="A9625" t="str">
        <f>"0611837728100"</f>
        <v>0611837728100</v>
      </c>
      <c r="B9625" t="str">
        <f>"LB6356"</f>
        <v>LB6356</v>
      </c>
      <c r="C9625" t="s">
        <v>45905</v>
      </c>
      <c r="D9625" t="s">
        <v>27245</v>
      </c>
      <c r="E9625" t="str">
        <f t="shared" si="150"/>
        <v>001390</v>
      </c>
      <c r="F9625" t="s">
        <v>27246</v>
      </c>
      <c r="G9625" t="s">
        <v>27247</v>
      </c>
      <c r="H9625" t="s">
        <v>27248</v>
      </c>
      <c r="I9625" t="s">
        <v>45906</v>
      </c>
      <c r="J9625" t="s">
        <v>19240</v>
      </c>
      <c r="L9625" t="s">
        <v>27250</v>
      </c>
      <c r="M9625" t="s">
        <v>27251</v>
      </c>
      <c r="N9625" t="s">
        <v>27252</v>
      </c>
      <c r="Q9625" s="1">
        <v>44538</v>
      </c>
      <c r="R9625" t="s">
        <v>27253</v>
      </c>
      <c r="S9625" t="s">
        <v>27254</v>
      </c>
      <c r="T9625" t="s">
        <v>27255</v>
      </c>
    </row>
    <row r="9626" spans="1:20" x14ac:dyDescent="0.3">
      <c r="A9626" t="str">
        <f>"0611837729100"</f>
        <v>0611837729100</v>
      </c>
      <c r="B9626" t="str">
        <f>"LB6353"</f>
        <v>LB6353</v>
      </c>
      <c r="C9626" t="s">
        <v>45907</v>
      </c>
      <c r="D9626" t="s">
        <v>27245</v>
      </c>
      <c r="E9626" t="str">
        <f t="shared" si="150"/>
        <v>001390</v>
      </c>
      <c r="F9626" t="s">
        <v>27246</v>
      </c>
      <c r="G9626" t="s">
        <v>27247</v>
      </c>
      <c r="H9626" t="s">
        <v>27248</v>
      </c>
      <c r="I9626" t="s">
        <v>45908</v>
      </c>
      <c r="J9626" t="s">
        <v>19242</v>
      </c>
      <c r="L9626" t="s">
        <v>27250</v>
      </c>
      <c r="M9626" t="s">
        <v>27251</v>
      </c>
      <c r="N9626" t="s">
        <v>27252</v>
      </c>
      <c r="Q9626" s="1">
        <v>44538</v>
      </c>
      <c r="R9626" t="s">
        <v>27253</v>
      </c>
      <c r="S9626" t="s">
        <v>27254</v>
      </c>
      <c r="T9626" t="s">
        <v>27255</v>
      </c>
    </row>
    <row r="9627" spans="1:20" x14ac:dyDescent="0.3">
      <c r="A9627" t="str">
        <f>"0611837730100"</f>
        <v>0611837730100</v>
      </c>
      <c r="B9627" t="str">
        <f>"LB7260"</f>
        <v>LB7260</v>
      </c>
      <c r="C9627" t="s">
        <v>45909</v>
      </c>
      <c r="D9627" t="s">
        <v>27245</v>
      </c>
      <c r="E9627" t="str">
        <f t="shared" si="150"/>
        <v>001390</v>
      </c>
      <c r="F9627" t="s">
        <v>27246</v>
      </c>
      <c r="G9627" t="s">
        <v>27247</v>
      </c>
      <c r="H9627" t="s">
        <v>27248</v>
      </c>
      <c r="I9627" t="s">
        <v>45910</v>
      </c>
      <c r="J9627" t="s">
        <v>19244</v>
      </c>
      <c r="L9627" t="s">
        <v>27250</v>
      </c>
      <c r="M9627" t="s">
        <v>27251</v>
      </c>
      <c r="N9627" t="s">
        <v>27252</v>
      </c>
      <c r="Q9627" s="1">
        <v>44538</v>
      </c>
      <c r="R9627" t="s">
        <v>27253</v>
      </c>
      <c r="S9627" t="s">
        <v>27254</v>
      </c>
      <c r="T9627" t="s">
        <v>27255</v>
      </c>
    </row>
    <row r="9628" spans="1:20" x14ac:dyDescent="0.3">
      <c r="A9628" t="str">
        <f>"0611837731100"</f>
        <v>0611837731100</v>
      </c>
      <c r="B9628" t="str">
        <f>"LB7462"</f>
        <v>LB7462</v>
      </c>
      <c r="C9628" t="s">
        <v>45911</v>
      </c>
      <c r="D9628" t="s">
        <v>27245</v>
      </c>
      <c r="E9628" t="str">
        <f t="shared" si="150"/>
        <v>001390</v>
      </c>
      <c r="F9628" t="s">
        <v>27246</v>
      </c>
      <c r="G9628" t="s">
        <v>27247</v>
      </c>
      <c r="H9628" t="s">
        <v>27248</v>
      </c>
      <c r="I9628" t="s">
        <v>45912</v>
      </c>
      <c r="J9628" t="s">
        <v>19246</v>
      </c>
      <c r="L9628" t="s">
        <v>27250</v>
      </c>
      <c r="M9628" t="s">
        <v>27251</v>
      </c>
      <c r="N9628" t="s">
        <v>27252</v>
      </c>
      <c r="Q9628" s="1">
        <v>44538</v>
      </c>
      <c r="R9628" t="s">
        <v>27253</v>
      </c>
      <c r="S9628" t="s">
        <v>27254</v>
      </c>
      <c r="T9628" t="s">
        <v>27255</v>
      </c>
    </row>
    <row r="9629" spans="1:20" x14ac:dyDescent="0.3">
      <c r="A9629" t="str">
        <f>"0611837732100"</f>
        <v>0611837732100</v>
      </c>
      <c r="B9629" t="str">
        <f>"LK6812"</f>
        <v>LK6812</v>
      </c>
      <c r="C9629" t="s">
        <v>45913</v>
      </c>
      <c r="D9629" t="s">
        <v>28138</v>
      </c>
      <c r="E9629" t="str">
        <f t="shared" si="150"/>
        <v>001390</v>
      </c>
      <c r="F9629" t="s">
        <v>27246</v>
      </c>
      <c r="G9629" t="s">
        <v>27247</v>
      </c>
      <c r="H9629" t="s">
        <v>27248</v>
      </c>
      <c r="I9629" t="s">
        <v>45914</v>
      </c>
      <c r="J9629" t="s">
        <v>19248</v>
      </c>
      <c r="L9629" t="s">
        <v>27250</v>
      </c>
      <c r="M9629" t="s">
        <v>27251</v>
      </c>
      <c r="N9629" t="s">
        <v>27252</v>
      </c>
      <c r="P9629" t="s">
        <v>27925</v>
      </c>
      <c r="Q9629" s="1">
        <v>44538</v>
      </c>
      <c r="R9629" t="s">
        <v>27253</v>
      </c>
      <c r="S9629" t="s">
        <v>27254</v>
      </c>
      <c r="T9629" t="s">
        <v>27255</v>
      </c>
    </row>
    <row r="9630" spans="1:20" x14ac:dyDescent="0.3">
      <c r="A9630" t="str">
        <f>"0611837733100"</f>
        <v>0611837733100</v>
      </c>
      <c r="B9630" t="str">
        <f>"LK5520"</f>
        <v>LK5520</v>
      </c>
      <c r="C9630" t="s">
        <v>45915</v>
      </c>
      <c r="D9630" t="s">
        <v>28138</v>
      </c>
      <c r="E9630" t="str">
        <f t="shared" si="150"/>
        <v>001390</v>
      </c>
      <c r="F9630" t="s">
        <v>27246</v>
      </c>
      <c r="G9630" t="s">
        <v>27247</v>
      </c>
      <c r="H9630" t="s">
        <v>27248</v>
      </c>
      <c r="I9630" t="s">
        <v>45916</v>
      </c>
      <c r="J9630" t="s">
        <v>19250</v>
      </c>
      <c r="L9630" t="s">
        <v>27250</v>
      </c>
      <c r="M9630" t="s">
        <v>27251</v>
      </c>
      <c r="N9630" t="s">
        <v>27252</v>
      </c>
      <c r="P9630" t="s">
        <v>27925</v>
      </c>
      <c r="Q9630" s="1">
        <v>44538</v>
      </c>
      <c r="R9630" t="s">
        <v>27253</v>
      </c>
      <c r="S9630" t="s">
        <v>27254</v>
      </c>
      <c r="T9630" t="s">
        <v>27255</v>
      </c>
    </row>
    <row r="9631" spans="1:20" x14ac:dyDescent="0.3">
      <c r="A9631" t="str">
        <f>"0611837734100"</f>
        <v>0611837734100</v>
      </c>
      <c r="B9631" t="str">
        <f>"LK5073"</f>
        <v>LK5073</v>
      </c>
      <c r="C9631" t="s">
        <v>45917</v>
      </c>
      <c r="D9631" t="s">
        <v>27245</v>
      </c>
      <c r="E9631" t="str">
        <f t="shared" si="150"/>
        <v>001390</v>
      </c>
      <c r="F9631" t="s">
        <v>27246</v>
      </c>
      <c r="G9631" t="s">
        <v>27247</v>
      </c>
      <c r="H9631" t="s">
        <v>27248</v>
      </c>
      <c r="I9631" t="s">
        <v>45918</v>
      </c>
      <c r="J9631" t="s">
        <v>19252</v>
      </c>
      <c r="L9631" t="s">
        <v>27250</v>
      </c>
      <c r="M9631" t="s">
        <v>27251</v>
      </c>
      <c r="N9631" t="s">
        <v>27252</v>
      </c>
      <c r="Q9631" s="1">
        <v>44538</v>
      </c>
      <c r="R9631" t="s">
        <v>27253</v>
      </c>
      <c r="S9631" t="s">
        <v>27254</v>
      </c>
      <c r="T9631" t="s">
        <v>27255</v>
      </c>
    </row>
    <row r="9632" spans="1:20" x14ac:dyDescent="0.3">
      <c r="A9632" t="str">
        <f>"0611837735100"</f>
        <v>0611837735100</v>
      </c>
      <c r="B9632" t="str">
        <f>"LK4428"</f>
        <v>LK4428</v>
      </c>
      <c r="C9632" t="s">
        <v>45919</v>
      </c>
      <c r="D9632" t="s">
        <v>27245</v>
      </c>
      <c r="E9632" t="str">
        <f t="shared" si="150"/>
        <v>001390</v>
      </c>
      <c r="F9632" t="s">
        <v>27246</v>
      </c>
      <c r="G9632" t="s">
        <v>27247</v>
      </c>
      <c r="H9632" t="s">
        <v>27248</v>
      </c>
      <c r="I9632" t="s">
        <v>45920</v>
      </c>
      <c r="J9632" t="s">
        <v>19254</v>
      </c>
      <c r="L9632" t="s">
        <v>27250</v>
      </c>
      <c r="M9632" t="s">
        <v>27251</v>
      </c>
      <c r="N9632" t="s">
        <v>27252</v>
      </c>
      <c r="Q9632" s="1">
        <v>44538</v>
      </c>
      <c r="R9632" t="s">
        <v>27253</v>
      </c>
      <c r="S9632" t="s">
        <v>27254</v>
      </c>
      <c r="T9632" t="s">
        <v>27255</v>
      </c>
    </row>
    <row r="9633" spans="1:20" x14ac:dyDescent="0.3">
      <c r="A9633" t="str">
        <f>"0611837736100"</f>
        <v>0611837736100</v>
      </c>
      <c r="B9633" t="str">
        <f>"LK6115"</f>
        <v>LK6115</v>
      </c>
      <c r="C9633" t="s">
        <v>45921</v>
      </c>
      <c r="D9633" t="s">
        <v>27245</v>
      </c>
      <c r="E9633" t="str">
        <f t="shared" si="150"/>
        <v>001390</v>
      </c>
      <c r="F9633" t="s">
        <v>27246</v>
      </c>
      <c r="G9633" t="s">
        <v>27247</v>
      </c>
      <c r="H9633" t="s">
        <v>27248</v>
      </c>
      <c r="I9633" t="s">
        <v>45922</v>
      </c>
      <c r="J9633" t="s">
        <v>19256</v>
      </c>
      <c r="L9633" t="s">
        <v>27250</v>
      </c>
      <c r="M9633" t="s">
        <v>27251</v>
      </c>
      <c r="N9633" t="s">
        <v>27252</v>
      </c>
      <c r="Q9633" s="1">
        <v>44538</v>
      </c>
      <c r="R9633" t="s">
        <v>27253</v>
      </c>
      <c r="S9633" t="s">
        <v>27254</v>
      </c>
      <c r="T9633" t="s">
        <v>27255</v>
      </c>
    </row>
    <row r="9634" spans="1:20" x14ac:dyDescent="0.3">
      <c r="A9634" t="str">
        <f>"0611863504050"</f>
        <v>0611863504050</v>
      </c>
      <c r="B9634" t="str">
        <f>"CE1493"</f>
        <v>CE1493</v>
      </c>
      <c r="C9634" t="s">
        <v>45923</v>
      </c>
      <c r="D9634" t="s">
        <v>27923</v>
      </c>
      <c r="E9634" t="str">
        <f t="shared" si="150"/>
        <v>001390</v>
      </c>
      <c r="F9634" t="s">
        <v>27246</v>
      </c>
      <c r="G9634" t="s">
        <v>27247</v>
      </c>
      <c r="H9634" t="s">
        <v>27248</v>
      </c>
      <c r="I9634" t="s">
        <v>45924</v>
      </c>
      <c r="J9634" t="s">
        <v>19258</v>
      </c>
      <c r="L9634" t="s">
        <v>27250</v>
      </c>
      <c r="M9634" t="s">
        <v>27251</v>
      </c>
      <c r="N9634" t="s">
        <v>27252</v>
      </c>
      <c r="P9634" t="s">
        <v>27925</v>
      </c>
      <c r="Q9634" s="1">
        <v>44846</v>
      </c>
      <c r="R9634" t="s">
        <v>27253</v>
      </c>
      <c r="S9634" t="s">
        <v>27254</v>
      </c>
      <c r="T9634" t="s">
        <v>27265</v>
      </c>
    </row>
    <row r="9635" spans="1:20" x14ac:dyDescent="0.3">
      <c r="A9635" t="str">
        <f>"0611863505050"</f>
        <v>0611863505050</v>
      </c>
      <c r="B9635" t="str">
        <f>"CE1143"</f>
        <v>CE1143</v>
      </c>
      <c r="C9635" t="s">
        <v>45925</v>
      </c>
      <c r="D9635" t="s">
        <v>28556</v>
      </c>
      <c r="E9635" t="str">
        <f t="shared" si="150"/>
        <v>001390</v>
      </c>
      <c r="F9635" t="s">
        <v>27246</v>
      </c>
      <c r="G9635" t="s">
        <v>27247</v>
      </c>
      <c r="H9635" t="s">
        <v>27248</v>
      </c>
      <c r="I9635" t="s">
        <v>45926</v>
      </c>
      <c r="J9635" t="s">
        <v>19260</v>
      </c>
      <c r="L9635" t="s">
        <v>27250</v>
      </c>
      <c r="M9635" t="s">
        <v>27251</v>
      </c>
      <c r="N9635" t="s">
        <v>27252</v>
      </c>
      <c r="P9635" t="s">
        <v>27925</v>
      </c>
      <c r="Q9635" s="1">
        <v>44846</v>
      </c>
      <c r="R9635" t="s">
        <v>27253</v>
      </c>
      <c r="S9635" t="s">
        <v>27254</v>
      </c>
      <c r="T9635" t="s">
        <v>28378</v>
      </c>
    </row>
    <row r="9636" spans="1:20" x14ac:dyDescent="0.3">
      <c r="A9636" t="str">
        <f>"0611863507050"</f>
        <v>0611863507050</v>
      </c>
      <c r="B9636" t="str">
        <f>"CE1286"</f>
        <v>CE1286</v>
      </c>
      <c r="C9636" t="s">
        <v>45927</v>
      </c>
      <c r="D9636" t="s">
        <v>27923</v>
      </c>
      <c r="E9636" t="str">
        <f t="shared" si="150"/>
        <v>001390</v>
      </c>
      <c r="F9636" t="s">
        <v>27246</v>
      </c>
      <c r="G9636" t="s">
        <v>27247</v>
      </c>
      <c r="H9636" t="s">
        <v>27248</v>
      </c>
      <c r="I9636" t="s">
        <v>45928</v>
      </c>
      <c r="J9636" t="s">
        <v>19262</v>
      </c>
      <c r="L9636" t="s">
        <v>27250</v>
      </c>
      <c r="M9636" t="s">
        <v>27251</v>
      </c>
      <c r="N9636" t="s">
        <v>27252</v>
      </c>
      <c r="P9636" t="s">
        <v>27925</v>
      </c>
      <c r="Q9636" s="1">
        <v>44846</v>
      </c>
      <c r="R9636" t="s">
        <v>27253</v>
      </c>
      <c r="S9636" t="s">
        <v>27254</v>
      </c>
      <c r="T9636" t="s">
        <v>27265</v>
      </c>
    </row>
    <row r="9637" spans="1:20" x14ac:dyDescent="0.3">
      <c r="A9637" t="str">
        <f>"0611863508050"</f>
        <v>0611863508050</v>
      </c>
      <c r="B9637" t="str">
        <f>"CE1144"</f>
        <v>CE1144</v>
      </c>
      <c r="C9637" t="s">
        <v>45929</v>
      </c>
      <c r="D9637" t="s">
        <v>27923</v>
      </c>
      <c r="E9637" t="str">
        <f t="shared" si="150"/>
        <v>001390</v>
      </c>
      <c r="F9637" t="s">
        <v>27246</v>
      </c>
      <c r="G9637" t="s">
        <v>27247</v>
      </c>
      <c r="H9637" t="s">
        <v>27248</v>
      </c>
      <c r="I9637" t="s">
        <v>45930</v>
      </c>
      <c r="J9637" t="s">
        <v>19264</v>
      </c>
      <c r="L9637" t="s">
        <v>27250</v>
      </c>
      <c r="M9637" t="s">
        <v>27251</v>
      </c>
      <c r="N9637" t="s">
        <v>27252</v>
      </c>
      <c r="P9637" t="s">
        <v>27925</v>
      </c>
      <c r="Q9637" s="1">
        <v>44846</v>
      </c>
      <c r="R9637" t="s">
        <v>27253</v>
      </c>
      <c r="S9637" t="s">
        <v>27254</v>
      </c>
      <c r="T9637" t="s">
        <v>27265</v>
      </c>
    </row>
    <row r="9638" spans="1:20" x14ac:dyDescent="0.3">
      <c r="A9638" t="str">
        <f>"0611863509050"</f>
        <v>0611863509050</v>
      </c>
      <c r="B9638" t="str">
        <f>"CE1125"</f>
        <v>CE1125</v>
      </c>
      <c r="C9638" t="s">
        <v>45931</v>
      </c>
      <c r="D9638" t="s">
        <v>27923</v>
      </c>
      <c r="E9638" t="str">
        <f t="shared" si="150"/>
        <v>001390</v>
      </c>
      <c r="F9638" t="s">
        <v>27246</v>
      </c>
      <c r="G9638" t="s">
        <v>27247</v>
      </c>
      <c r="H9638" t="s">
        <v>27248</v>
      </c>
      <c r="I9638" t="s">
        <v>45932</v>
      </c>
      <c r="J9638" t="s">
        <v>19266</v>
      </c>
      <c r="L9638" t="s">
        <v>27250</v>
      </c>
      <c r="M9638" t="s">
        <v>27251</v>
      </c>
      <c r="N9638" t="s">
        <v>27252</v>
      </c>
      <c r="P9638" t="s">
        <v>27925</v>
      </c>
      <c r="Q9638" s="1">
        <v>44846</v>
      </c>
      <c r="R9638" t="s">
        <v>27253</v>
      </c>
      <c r="S9638" t="s">
        <v>27254</v>
      </c>
      <c r="T9638" t="s">
        <v>27265</v>
      </c>
    </row>
    <row r="9639" spans="1:20" x14ac:dyDescent="0.3">
      <c r="A9639" t="str">
        <f>"0611863510050"</f>
        <v>0611863510050</v>
      </c>
      <c r="B9639" t="str">
        <f>"CE1146"</f>
        <v>CE1146</v>
      </c>
      <c r="C9639" t="s">
        <v>45933</v>
      </c>
      <c r="D9639" t="s">
        <v>27923</v>
      </c>
      <c r="E9639" t="str">
        <f t="shared" si="150"/>
        <v>001390</v>
      </c>
      <c r="F9639" t="s">
        <v>27246</v>
      </c>
      <c r="G9639" t="s">
        <v>27247</v>
      </c>
      <c r="H9639" t="s">
        <v>27248</v>
      </c>
      <c r="I9639" t="s">
        <v>45934</v>
      </c>
      <c r="J9639" t="s">
        <v>19268</v>
      </c>
      <c r="L9639" t="s">
        <v>27250</v>
      </c>
      <c r="M9639" t="s">
        <v>27251</v>
      </c>
      <c r="N9639" t="s">
        <v>27252</v>
      </c>
      <c r="P9639" t="s">
        <v>27925</v>
      </c>
      <c r="Q9639" s="1">
        <v>44846</v>
      </c>
      <c r="R9639" t="s">
        <v>27253</v>
      </c>
      <c r="S9639" t="s">
        <v>27254</v>
      </c>
      <c r="T9639" t="s">
        <v>27265</v>
      </c>
    </row>
    <row r="9640" spans="1:20" x14ac:dyDescent="0.3">
      <c r="A9640" t="str">
        <f>"0611863511050"</f>
        <v>0611863511050</v>
      </c>
      <c r="B9640" t="str">
        <f>"CE1126"</f>
        <v>CE1126</v>
      </c>
      <c r="C9640" t="s">
        <v>45935</v>
      </c>
      <c r="D9640" t="s">
        <v>27923</v>
      </c>
      <c r="E9640" t="str">
        <f t="shared" si="150"/>
        <v>001390</v>
      </c>
      <c r="F9640" t="s">
        <v>27246</v>
      </c>
      <c r="G9640" t="s">
        <v>27247</v>
      </c>
      <c r="H9640" t="s">
        <v>27248</v>
      </c>
      <c r="I9640" t="s">
        <v>45936</v>
      </c>
      <c r="J9640" t="s">
        <v>19270</v>
      </c>
      <c r="L9640" t="s">
        <v>27250</v>
      </c>
      <c r="M9640" t="s">
        <v>27251</v>
      </c>
      <c r="N9640" t="s">
        <v>27252</v>
      </c>
      <c r="P9640" t="s">
        <v>27925</v>
      </c>
      <c r="Q9640" s="1">
        <v>44846</v>
      </c>
      <c r="R9640" t="s">
        <v>27253</v>
      </c>
      <c r="S9640" t="s">
        <v>27254</v>
      </c>
      <c r="T9640" t="s">
        <v>27265</v>
      </c>
    </row>
    <row r="9641" spans="1:20" x14ac:dyDescent="0.3">
      <c r="A9641" t="str">
        <f>"0611863512050"</f>
        <v>0611863512050</v>
      </c>
      <c r="B9641" t="str">
        <f>"CE1127"</f>
        <v>CE1127</v>
      </c>
      <c r="C9641" t="s">
        <v>45937</v>
      </c>
      <c r="D9641" t="s">
        <v>27923</v>
      </c>
      <c r="E9641" t="str">
        <f t="shared" si="150"/>
        <v>001390</v>
      </c>
      <c r="F9641" t="s">
        <v>27246</v>
      </c>
      <c r="G9641" t="s">
        <v>27247</v>
      </c>
      <c r="H9641" t="s">
        <v>27248</v>
      </c>
      <c r="I9641" t="s">
        <v>45938</v>
      </c>
      <c r="J9641" t="s">
        <v>19272</v>
      </c>
      <c r="L9641" t="s">
        <v>27250</v>
      </c>
      <c r="M9641" t="s">
        <v>27251</v>
      </c>
      <c r="N9641" t="s">
        <v>27252</v>
      </c>
      <c r="P9641" t="s">
        <v>27925</v>
      </c>
      <c r="Q9641" s="1">
        <v>44846</v>
      </c>
      <c r="R9641" t="s">
        <v>27253</v>
      </c>
      <c r="S9641" t="s">
        <v>27254</v>
      </c>
      <c r="T9641" t="s">
        <v>27265</v>
      </c>
    </row>
    <row r="9642" spans="1:20" x14ac:dyDescent="0.3">
      <c r="A9642" t="str">
        <f>"0611863513050"</f>
        <v>0611863513050</v>
      </c>
      <c r="B9642" t="str">
        <f>"CE1614"</f>
        <v>CE1614</v>
      </c>
      <c r="C9642" t="s">
        <v>45939</v>
      </c>
      <c r="D9642" t="s">
        <v>27923</v>
      </c>
      <c r="E9642" t="str">
        <f t="shared" si="150"/>
        <v>001390</v>
      </c>
      <c r="F9642" t="s">
        <v>27246</v>
      </c>
      <c r="G9642" t="s">
        <v>27247</v>
      </c>
      <c r="H9642" t="s">
        <v>27248</v>
      </c>
      <c r="I9642" t="s">
        <v>45940</v>
      </c>
      <c r="J9642" t="s">
        <v>19274</v>
      </c>
      <c r="L9642" t="s">
        <v>27250</v>
      </c>
      <c r="M9642" t="s">
        <v>27251</v>
      </c>
      <c r="N9642" t="s">
        <v>27252</v>
      </c>
      <c r="P9642" t="s">
        <v>27925</v>
      </c>
      <c r="Q9642" s="1">
        <v>44846</v>
      </c>
      <c r="R9642" t="s">
        <v>27253</v>
      </c>
      <c r="S9642" t="s">
        <v>27254</v>
      </c>
      <c r="T9642" t="s">
        <v>27265</v>
      </c>
    </row>
    <row r="9643" spans="1:20" x14ac:dyDescent="0.3">
      <c r="A9643" t="str">
        <f>"0611863514050"</f>
        <v>0611863514050</v>
      </c>
      <c r="B9643" t="str">
        <f>"CE1198"</f>
        <v>CE1198</v>
      </c>
      <c r="C9643" t="s">
        <v>45941</v>
      </c>
      <c r="D9643" t="s">
        <v>27923</v>
      </c>
      <c r="E9643" t="str">
        <f t="shared" si="150"/>
        <v>001390</v>
      </c>
      <c r="F9643" t="s">
        <v>27246</v>
      </c>
      <c r="G9643" t="s">
        <v>27247</v>
      </c>
      <c r="H9643" t="s">
        <v>27248</v>
      </c>
      <c r="I9643" t="s">
        <v>45942</v>
      </c>
      <c r="J9643" t="s">
        <v>19276</v>
      </c>
      <c r="L9643" t="s">
        <v>27250</v>
      </c>
      <c r="M9643" t="s">
        <v>27251</v>
      </c>
      <c r="N9643" t="s">
        <v>27252</v>
      </c>
      <c r="P9643" t="s">
        <v>27925</v>
      </c>
      <c r="Q9643" s="1">
        <v>44846</v>
      </c>
      <c r="R9643" t="s">
        <v>27253</v>
      </c>
      <c r="S9643" t="s">
        <v>27254</v>
      </c>
      <c r="T9643" t="s">
        <v>27265</v>
      </c>
    </row>
    <row r="9644" spans="1:20" x14ac:dyDescent="0.3">
      <c r="A9644" t="str">
        <f>"0611863515050"</f>
        <v>0611863515050</v>
      </c>
      <c r="B9644" t="str">
        <f>"CE1147"</f>
        <v>CE1147</v>
      </c>
      <c r="C9644" t="s">
        <v>45943</v>
      </c>
      <c r="D9644" t="s">
        <v>27923</v>
      </c>
      <c r="E9644" t="str">
        <f t="shared" si="150"/>
        <v>001390</v>
      </c>
      <c r="F9644" t="s">
        <v>27246</v>
      </c>
      <c r="G9644" t="s">
        <v>27247</v>
      </c>
      <c r="H9644" t="s">
        <v>27248</v>
      </c>
      <c r="I9644" t="s">
        <v>45944</v>
      </c>
      <c r="J9644" t="s">
        <v>19278</v>
      </c>
      <c r="L9644" t="s">
        <v>27250</v>
      </c>
      <c r="M9644" t="s">
        <v>27251</v>
      </c>
      <c r="N9644" t="s">
        <v>27252</v>
      </c>
      <c r="P9644" t="s">
        <v>27925</v>
      </c>
      <c r="Q9644" s="1">
        <v>44846</v>
      </c>
      <c r="R9644" t="s">
        <v>27253</v>
      </c>
      <c r="S9644" t="s">
        <v>27254</v>
      </c>
      <c r="T9644" t="s">
        <v>27265</v>
      </c>
    </row>
    <row r="9645" spans="1:20" x14ac:dyDescent="0.3">
      <c r="A9645" t="str">
        <f>"0611863516050"</f>
        <v>0611863516050</v>
      </c>
      <c r="B9645" t="str">
        <f>"CE1128"</f>
        <v>CE1128</v>
      </c>
      <c r="C9645" t="s">
        <v>45945</v>
      </c>
      <c r="D9645" t="s">
        <v>28556</v>
      </c>
      <c r="E9645" t="str">
        <f t="shared" si="150"/>
        <v>001390</v>
      </c>
      <c r="F9645" t="s">
        <v>27246</v>
      </c>
      <c r="G9645" t="s">
        <v>27247</v>
      </c>
      <c r="H9645" t="s">
        <v>27248</v>
      </c>
      <c r="I9645" t="s">
        <v>45946</v>
      </c>
      <c r="J9645" t="s">
        <v>19280</v>
      </c>
      <c r="L9645" t="s">
        <v>27250</v>
      </c>
      <c r="M9645" t="s">
        <v>27251</v>
      </c>
      <c r="N9645" t="s">
        <v>27252</v>
      </c>
      <c r="P9645" t="s">
        <v>27925</v>
      </c>
      <c r="Q9645" s="1">
        <v>44846</v>
      </c>
      <c r="R9645" t="s">
        <v>27253</v>
      </c>
      <c r="S9645" t="s">
        <v>27254</v>
      </c>
      <c r="T9645" t="s">
        <v>28378</v>
      </c>
    </row>
    <row r="9646" spans="1:20" x14ac:dyDescent="0.3">
      <c r="A9646" t="str">
        <f>"0611884374100"</f>
        <v>0611884374100</v>
      </c>
      <c r="B9646" t="str">
        <f>"LQ0980"</f>
        <v>LQ0980</v>
      </c>
      <c r="C9646" t="s">
        <v>45947</v>
      </c>
      <c r="D9646" t="s">
        <v>27245</v>
      </c>
      <c r="E9646" t="str">
        <f t="shared" si="150"/>
        <v>001390</v>
      </c>
      <c r="F9646" t="s">
        <v>27246</v>
      </c>
      <c r="G9646" t="s">
        <v>27247</v>
      </c>
      <c r="H9646" t="s">
        <v>27248</v>
      </c>
      <c r="I9646" t="s">
        <v>45948</v>
      </c>
      <c r="J9646" t="s">
        <v>19282</v>
      </c>
      <c r="L9646" t="s">
        <v>27430</v>
      </c>
      <c r="M9646" t="s">
        <v>27251</v>
      </c>
      <c r="N9646" t="s">
        <v>27252</v>
      </c>
      <c r="Q9646" s="1">
        <v>45250</v>
      </c>
      <c r="R9646" t="s">
        <v>27253</v>
      </c>
      <c r="S9646" t="s">
        <v>27254</v>
      </c>
      <c r="T9646" t="s">
        <v>27255</v>
      </c>
    </row>
    <row r="9647" spans="1:20" x14ac:dyDescent="0.3">
      <c r="A9647" t="str">
        <f>"0611884375100"</f>
        <v>0611884375100</v>
      </c>
      <c r="B9647" t="str">
        <f>"LQ3924"</f>
        <v>LQ3924</v>
      </c>
      <c r="C9647" t="s">
        <v>45949</v>
      </c>
      <c r="D9647" t="s">
        <v>27245</v>
      </c>
      <c r="E9647" t="str">
        <f t="shared" si="150"/>
        <v>001390</v>
      </c>
      <c r="F9647" t="s">
        <v>27246</v>
      </c>
      <c r="G9647" t="s">
        <v>27247</v>
      </c>
      <c r="H9647" t="s">
        <v>27248</v>
      </c>
      <c r="I9647" t="s">
        <v>45950</v>
      </c>
      <c r="J9647" t="s">
        <v>19284</v>
      </c>
      <c r="L9647" t="s">
        <v>27430</v>
      </c>
      <c r="M9647" t="s">
        <v>27251</v>
      </c>
      <c r="N9647" t="s">
        <v>27252</v>
      </c>
      <c r="Q9647" s="1">
        <v>45250</v>
      </c>
      <c r="R9647" t="s">
        <v>27253</v>
      </c>
      <c r="S9647" t="s">
        <v>27254</v>
      </c>
      <c r="T9647" t="s">
        <v>27255</v>
      </c>
    </row>
    <row r="9648" spans="1:20" x14ac:dyDescent="0.3">
      <c r="A9648" t="str">
        <f>"0611837741100"</f>
        <v>0611837741100</v>
      </c>
      <c r="B9648" t="str">
        <f>"LB6382"</f>
        <v>LB6382</v>
      </c>
      <c r="C9648" t="s">
        <v>45951</v>
      </c>
      <c r="D9648" t="s">
        <v>27245</v>
      </c>
      <c r="E9648" t="str">
        <f t="shared" si="150"/>
        <v>001390</v>
      </c>
      <c r="F9648" t="s">
        <v>27246</v>
      </c>
      <c r="G9648" t="s">
        <v>27247</v>
      </c>
      <c r="H9648" t="s">
        <v>27248</v>
      </c>
      <c r="I9648" t="s">
        <v>45952</v>
      </c>
      <c r="J9648" t="s">
        <v>19286</v>
      </c>
      <c r="L9648" t="s">
        <v>27250</v>
      </c>
      <c r="M9648" t="s">
        <v>27251</v>
      </c>
      <c r="N9648" t="s">
        <v>27252</v>
      </c>
      <c r="Q9648" s="1">
        <v>44538</v>
      </c>
      <c r="R9648" t="s">
        <v>27253</v>
      </c>
      <c r="S9648" t="s">
        <v>27254</v>
      </c>
      <c r="T9648" t="s">
        <v>27255</v>
      </c>
    </row>
    <row r="9649" spans="1:20" x14ac:dyDescent="0.3">
      <c r="A9649" t="str">
        <f>"0611837742100"</f>
        <v>0611837742100</v>
      </c>
      <c r="B9649" t="str">
        <f>"LB6384"</f>
        <v>LB6384</v>
      </c>
      <c r="C9649" t="s">
        <v>45953</v>
      </c>
      <c r="D9649" t="s">
        <v>27245</v>
      </c>
      <c r="E9649" t="str">
        <f t="shared" si="150"/>
        <v>001390</v>
      </c>
      <c r="F9649" t="s">
        <v>27246</v>
      </c>
      <c r="G9649" t="s">
        <v>27247</v>
      </c>
      <c r="H9649" t="s">
        <v>27248</v>
      </c>
      <c r="I9649" t="s">
        <v>45954</v>
      </c>
      <c r="J9649" t="s">
        <v>19300</v>
      </c>
      <c r="L9649" t="s">
        <v>27250</v>
      </c>
      <c r="M9649" t="s">
        <v>27251</v>
      </c>
      <c r="N9649" t="s">
        <v>27252</v>
      </c>
      <c r="Q9649" s="1">
        <v>44538</v>
      </c>
      <c r="R9649" t="s">
        <v>27253</v>
      </c>
      <c r="S9649" t="s">
        <v>27254</v>
      </c>
      <c r="T9649" t="s">
        <v>27255</v>
      </c>
    </row>
    <row r="9650" spans="1:20" x14ac:dyDescent="0.3">
      <c r="A9650" t="str">
        <f>"0611837743100"</f>
        <v>0611837743100</v>
      </c>
      <c r="B9650" t="str">
        <f>"LB6385"</f>
        <v>LB6385</v>
      </c>
      <c r="C9650" t="s">
        <v>45955</v>
      </c>
      <c r="D9650" t="s">
        <v>27245</v>
      </c>
      <c r="E9650" t="str">
        <f t="shared" si="150"/>
        <v>001390</v>
      </c>
      <c r="F9650" t="s">
        <v>27246</v>
      </c>
      <c r="G9650" t="s">
        <v>27247</v>
      </c>
      <c r="H9650" t="s">
        <v>27248</v>
      </c>
      <c r="I9650" t="s">
        <v>45956</v>
      </c>
      <c r="J9650" t="s">
        <v>19302</v>
      </c>
      <c r="L9650" t="s">
        <v>27250</v>
      </c>
      <c r="M9650" t="s">
        <v>27251</v>
      </c>
      <c r="N9650" t="s">
        <v>27252</v>
      </c>
      <c r="Q9650" s="1">
        <v>44538</v>
      </c>
      <c r="R9650" t="s">
        <v>27253</v>
      </c>
      <c r="S9650" t="s">
        <v>27254</v>
      </c>
      <c r="T9650" t="s">
        <v>27255</v>
      </c>
    </row>
    <row r="9651" spans="1:20" x14ac:dyDescent="0.3">
      <c r="A9651" t="str">
        <f>"0611837744100"</f>
        <v>0611837744100</v>
      </c>
      <c r="B9651" t="str">
        <f>"LB6386"</f>
        <v>LB6386</v>
      </c>
      <c r="C9651" t="s">
        <v>45957</v>
      </c>
      <c r="D9651" t="s">
        <v>27245</v>
      </c>
      <c r="E9651" t="str">
        <f t="shared" si="150"/>
        <v>001390</v>
      </c>
      <c r="F9651" t="s">
        <v>27246</v>
      </c>
      <c r="G9651" t="s">
        <v>27247</v>
      </c>
      <c r="H9651" t="s">
        <v>27248</v>
      </c>
      <c r="I9651" t="s">
        <v>45958</v>
      </c>
      <c r="J9651" t="s">
        <v>19306</v>
      </c>
      <c r="L9651" t="s">
        <v>27250</v>
      </c>
      <c r="M9651" t="s">
        <v>27251</v>
      </c>
      <c r="N9651" t="s">
        <v>27252</v>
      </c>
      <c r="Q9651" s="1">
        <v>44538</v>
      </c>
      <c r="R9651" t="s">
        <v>27253</v>
      </c>
      <c r="S9651" t="s">
        <v>27254</v>
      </c>
      <c r="T9651" t="s">
        <v>27255</v>
      </c>
    </row>
    <row r="9652" spans="1:20" x14ac:dyDescent="0.3">
      <c r="A9652" t="str">
        <f>"0611837745100"</f>
        <v>0611837745100</v>
      </c>
      <c r="B9652" t="str">
        <f>"LK1715"</f>
        <v>LK1715</v>
      </c>
      <c r="C9652" t="s">
        <v>45959</v>
      </c>
      <c r="D9652" t="s">
        <v>27245</v>
      </c>
      <c r="E9652" t="str">
        <f t="shared" si="150"/>
        <v>001390</v>
      </c>
      <c r="F9652" t="s">
        <v>27246</v>
      </c>
      <c r="G9652" t="s">
        <v>27247</v>
      </c>
      <c r="H9652" t="s">
        <v>27248</v>
      </c>
      <c r="I9652" t="s">
        <v>45960</v>
      </c>
      <c r="J9652" t="s">
        <v>19304</v>
      </c>
      <c r="L9652" t="s">
        <v>27250</v>
      </c>
      <c r="M9652" t="s">
        <v>27251</v>
      </c>
      <c r="N9652" t="s">
        <v>27252</v>
      </c>
      <c r="Q9652" s="1">
        <v>44538</v>
      </c>
      <c r="R9652" t="s">
        <v>27253</v>
      </c>
      <c r="S9652" t="s">
        <v>27254</v>
      </c>
      <c r="T9652" t="s">
        <v>27255</v>
      </c>
    </row>
    <row r="9653" spans="1:20" x14ac:dyDescent="0.3">
      <c r="A9653" t="str">
        <f>"0611884376100"</f>
        <v>0611884376100</v>
      </c>
      <c r="B9653" t="str">
        <f>"LQ3925"</f>
        <v>LQ3925</v>
      </c>
      <c r="C9653" t="s">
        <v>45961</v>
      </c>
      <c r="D9653" t="s">
        <v>27245</v>
      </c>
      <c r="E9653" t="str">
        <f t="shared" si="150"/>
        <v>001390</v>
      </c>
      <c r="F9653" t="s">
        <v>27246</v>
      </c>
      <c r="G9653" t="s">
        <v>27247</v>
      </c>
      <c r="H9653" t="s">
        <v>27248</v>
      </c>
      <c r="I9653" t="s">
        <v>45962</v>
      </c>
      <c r="J9653" t="s">
        <v>19308</v>
      </c>
      <c r="L9653" t="s">
        <v>27430</v>
      </c>
      <c r="M9653" t="s">
        <v>27251</v>
      </c>
      <c r="N9653" t="s">
        <v>27252</v>
      </c>
      <c r="Q9653" s="1">
        <v>45250</v>
      </c>
      <c r="R9653" t="s">
        <v>27253</v>
      </c>
      <c r="S9653" t="s">
        <v>27254</v>
      </c>
      <c r="T9653" t="s">
        <v>27255</v>
      </c>
    </row>
    <row r="9654" spans="1:20" x14ac:dyDescent="0.3">
      <c r="A9654" t="str">
        <f>"0611837747100"</f>
        <v>0611837747100</v>
      </c>
      <c r="B9654" t="str">
        <f>"LB6419"</f>
        <v>LB6419</v>
      </c>
      <c r="C9654" t="s">
        <v>45963</v>
      </c>
      <c r="D9654" t="s">
        <v>27245</v>
      </c>
      <c r="E9654" t="str">
        <f t="shared" si="150"/>
        <v>001390</v>
      </c>
      <c r="F9654" t="s">
        <v>27246</v>
      </c>
      <c r="G9654" t="s">
        <v>27247</v>
      </c>
      <c r="H9654" t="s">
        <v>27248</v>
      </c>
      <c r="I9654" t="s">
        <v>45964</v>
      </c>
      <c r="J9654" t="s">
        <v>19310</v>
      </c>
      <c r="L9654" t="s">
        <v>27250</v>
      </c>
      <c r="M9654" t="s">
        <v>27251</v>
      </c>
      <c r="N9654" t="s">
        <v>27252</v>
      </c>
      <c r="Q9654" s="1">
        <v>44538</v>
      </c>
      <c r="R9654" t="s">
        <v>27253</v>
      </c>
      <c r="S9654" t="s">
        <v>27254</v>
      </c>
      <c r="T9654" t="s">
        <v>27255</v>
      </c>
    </row>
    <row r="9655" spans="1:20" x14ac:dyDescent="0.3">
      <c r="A9655" t="str">
        <f>"0611837748100"</f>
        <v>0611837748100</v>
      </c>
      <c r="B9655" t="str">
        <f>"LB6307"</f>
        <v>LB6307</v>
      </c>
      <c r="C9655" t="s">
        <v>45965</v>
      </c>
      <c r="D9655" t="s">
        <v>27245</v>
      </c>
      <c r="E9655" t="str">
        <f t="shared" si="150"/>
        <v>001390</v>
      </c>
      <c r="F9655" t="s">
        <v>27246</v>
      </c>
      <c r="G9655" t="s">
        <v>27247</v>
      </c>
      <c r="H9655" t="s">
        <v>27248</v>
      </c>
      <c r="I9655" t="s">
        <v>45966</v>
      </c>
      <c r="J9655" t="s">
        <v>19312</v>
      </c>
      <c r="L9655" t="s">
        <v>27250</v>
      </c>
      <c r="M9655" t="s">
        <v>27251</v>
      </c>
      <c r="N9655" t="s">
        <v>27252</v>
      </c>
      <c r="Q9655" s="1">
        <v>44538</v>
      </c>
      <c r="R9655" t="s">
        <v>27253</v>
      </c>
      <c r="S9655" t="s">
        <v>27254</v>
      </c>
      <c r="T9655" t="s">
        <v>27255</v>
      </c>
    </row>
    <row r="9656" spans="1:20" x14ac:dyDescent="0.3">
      <c r="A9656" t="str">
        <f>"0611837749100"</f>
        <v>0611837749100</v>
      </c>
      <c r="B9656" t="str">
        <f>"LK1716"</f>
        <v>LK1716</v>
      </c>
      <c r="C9656" t="s">
        <v>45967</v>
      </c>
      <c r="D9656" t="s">
        <v>27245</v>
      </c>
      <c r="E9656" t="str">
        <f t="shared" si="150"/>
        <v>001390</v>
      </c>
      <c r="F9656" t="s">
        <v>27246</v>
      </c>
      <c r="G9656" t="s">
        <v>27247</v>
      </c>
      <c r="H9656" t="s">
        <v>27248</v>
      </c>
      <c r="I9656" t="s">
        <v>45968</v>
      </c>
      <c r="J9656" t="s">
        <v>19314</v>
      </c>
      <c r="L9656" t="s">
        <v>27250</v>
      </c>
      <c r="M9656" t="s">
        <v>27251</v>
      </c>
      <c r="N9656" t="s">
        <v>27252</v>
      </c>
      <c r="Q9656" s="1">
        <v>44538</v>
      </c>
      <c r="R9656" t="s">
        <v>27253</v>
      </c>
      <c r="S9656" t="s">
        <v>27254</v>
      </c>
      <c r="T9656" t="s">
        <v>27255</v>
      </c>
    </row>
    <row r="9657" spans="1:20" x14ac:dyDescent="0.3">
      <c r="A9657" t="str">
        <f>"0611837750100"</f>
        <v>0611837750100</v>
      </c>
      <c r="B9657" t="str">
        <f>"LK4340"</f>
        <v>LK4340</v>
      </c>
      <c r="C9657" t="s">
        <v>45969</v>
      </c>
      <c r="D9657" t="s">
        <v>27245</v>
      </c>
      <c r="E9657" t="str">
        <f t="shared" si="150"/>
        <v>001390</v>
      </c>
      <c r="F9657" t="s">
        <v>27246</v>
      </c>
      <c r="G9657" t="s">
        <v>27247</v>
      </c>
      <c r="H9657" t="s">
        <v>27248</v>
      </c>
      <c r="I9657" t="s">
        <v>45970</v>
      </c>
      <c r="J9657" t="s">
        <v>19316</v>
      </c>
      <c r="L9657" t="s">
        <v>27250</v>
      </c>
      <c r="M9657" t="s">
        <v>27251</v>
      </c>
      <c r="N9657" t="s">
        <v>27252</v>
      </c>
      <c r="Q9657" s="1">
        <v>44538</v>
      </c>
      <c r="R9657" t="s">
        <v>27253</v>
      </c>
      <c r="S9657" t="s">
        <v>27254</v>
      </c>
      <c r="T9657" t="s">
        <v>27255</v>
      </c>
    </row>
    <row r="9658" spans="1:20" x14ac:dyDescent="0.3">
      <c r="A9658" t="str">
        <f>"0611837752100"</f>
        <v>0611837752100</v>
      </c>
      <c r="B9658" t="str">
        <f>"LB6389"</f>
        <v>LB6389</v>
      </c>
      <c r="C9658" t="s">
        <v>45971</v>
      </c>
      <c r="D9658" t="s">
        <v>27245</v>
      </c>
      <c r="E9658" t="str">
        <f t="shared" si="150"/>
        <v>001390</v>
      </c>
      <c r="F9658" t="s">
        <v>27246</v>
      </c>
      <c r="G9658" t="s">
        <v>27247</v>
      </c>
      <c r="H9658" t="s">
        <v>27248</v>
      </c>
      <c r="I9658" t="s">
        <v>45972</v>
      </c>
      <c r="J9658" t="s">
        <v>19318</v>
      </c>
      <c r="L9658" t="s">
        <v>27250</v>
      </c>
      <c r="M9658" t="s">
        <v>27251</v>
      </c>
      <c r="N9658" t="s">
        <v>27252</v>
      </c>
      <c r="Q9658" s="1">
        <v>44538</v>
      </c>
      <c r="R9658" t="s">
        <v>27253</v>
      </c>
      <c r="S9658" t="s">
        <v>27254</v>
      </c>
      <c r="T9658" t="s">
        <v>27255</v>
      </c>
    </row>
    <row r="9659" spans="1:20" x14ac:dyDescent="0.3">
      <c r="A9659" t="str">
        <f>"0611837753100"</f>
        <v>0611837753100</v>
      </c>
      <c r="B9659" t="str">
        <f>"LB6391"</f>
        <v>LB6391</v>
      </c>
      <c r="C9659" t="s">
        <v>45973</v>
      </c>
      <c r="D9659" t="s">
        <v>27245</v>
      </c>
      <c r="E9659" t="str">
        <f t="shared" si="150"/>
        <v>001390</v>
      </c>
      <c r="F9659" t="s">
        <v>27246</v>
      </c>
      <c r="G9659" t="s">
        <v>27247</v>
      </c>
      <c r="H9659" t="s">
        <v>27248</v>
      </c>
      <c r="I9659" t="s">
        <v>45974</v>
      </c>
      <c r="J9659" t="s">
        <v>19320</v>
      </c>
      <c r="L9659" t="s">
        <v>27250</v>
      </c>
      <c r="M9659" t="s">
        <v>27251</v>
      </c>
      <c r="N9659" t="s">
        <v>27252</v>
      </c>
      <c r="O9659">
        <v>200</v>
      </c>
      <c r="Q9659" s="1">
        <v>44538</v>
      </c>
      <c r="R9659" t="s">
        <v>27253</v>
      </c>
      <c r="S9659" t="s">
        <v>27254</v>
      </c>
      <c r="T9659" t="s">
        <v>27255</v>
      </c>
    </row>
    <row r="9660" spans="1:20" x14ac:dyDescent="0.3">
      <c r="A9660" t="str">
        <f>"0611837754100"</f>
        <v>0611837754100</v>
      </c>
      <c r="B9660" t="str">
        <f>"LB7561"</f>
        <v>LB7561</v>
      </c>
      <c r="C9660" t="s">
        <v>45975</v>
      </c>
      <c r="D9660" t="s">
        <v>27245</v>
      </c>
      <c r="E9660" t="str">
        <f t="shared" si="150"/>
        <v>001390</v>
      </c>
      <c r="F9660" t="s">
        <v>27246</v>
      </c>
      <c r="G9660" t="s">
        <v>27247</v>
      </c>
      <c r="H9660" t="s">
        <v>27248</v>
      </c>
      <c r="I9660" t="s">
        <v>45976</v>
      </c>
      <c r="J9660" t="s">
        <v>19322</v>
      </c>
      <c r="L9660" t="s">
        <v>27250</v>
      </c>
      <c r="M9660" t="s">
        <v>27251</v>
      </c>
      <c r="N9660" t="s">
        <v>27252</v>
      </c>
      <c r="Q9660" s="1">
        <v>44538</v>
      </c>
      <c r="R9660" t="s">
        <v>27253</v>
      </c>
      <c r="S9660" t="s">
        <v>27254</v>
      </c>
      <c r="T9660" t="s">
        <v>27255</v>
      </c>
    </row>
    <row r="9661" spans="1:20" x14ac:dyDescent="0.3">
      <c r="A9661" t="str">
        <f>"0611837755100"</f>
        <v>0611837755100</v>
      </c>
      <c r="B9661" t="str">
        <f>"LK0320"</f>
        <v>LK0320</v>
      </c>
      <c r="C9661" t="s">
        <v>45977</v>
      </c>
      <c r="D9661" t="s">
        <v>27245</v>
      </c>
      <c r="E9661" t="str">
        <f t="shared" si="150"/>
        <v>001390</v>
      </c>
      <c r="F9661" t="s">
        <v>27246</v>
      </c>
      <c r="G9661" t="s">
        <v>27247</v>
      </c>
      <c r="H9661" t="s">
        <v>27248</v>
      </c>
      <c r="I9661" t="s">
        <v>45978</v>
      </c>
      <c r="J9661" t="s">
        <v>19324</v>
      </c>
      <c r="L9661" t="s">
        <v>27250</v>
      </c>
      <c r="M9661" t="s">
        <v>27251</v>
      </c>
      <c r="N9661" t="s">
        <v>27252</v>
      </c>
      <c r="Q9661" s="1">
        <v>44538</v>
      </c>
      <c r="R9661" t="s">
        <v>27253</v>
      </c>
      <c r="S9661" t="s">
        <v>27254</v>
      </c>
      <c r="T9661" t="s">
        <v>27255</v>
      </c>
    </row>
    <row r="9662" spans="1:20" x14ac:dyDescent="0.3">
      <c r="A9662" t="str">
        <f>"0611837756100"</f>
        <v>0611837756100</v>
      </c>
      <c r="B9662" t="str">
        <f>"LB6392"</f>
        <v>LB6392</v>
      </c>
      <c r="C9662" t="s">
        <v>45979</v>
      </c>
      <c r="D9662" t="s">
        <v>27245</v>
      </c>
      <c r="E9662" t="str">
        <f t="shared" si="150"/>
        <v>001390</v>
      </c>
      <c r="F9662" t="s">
        <v>27246</v>
      </c>
      <c r="G9662" t="s">
        <v>27247</v>
      </c>
      <c r="H9662" t="s">
        <v>27248</v>
      </c>
      <c r="I9662" t="s">
        <v>45980</v>
      </c>
      <c r="J9662" t="s">
        <v>19326</v>
      </c>
      <c r="L9662" t="s">
        <v>27250</v>
      </c>
      <c r="M9662" t="s">
        <v>27251</v>
      </c>
      <c r="N9662" t="s">
        <v>27252</v>
      </c>
      <c r="Q9662" s="1">
        <v>44538</v>
      </c>
      <c r="R9662" t="s">
        <v>27253</v>
      </c>
      <c r="S9662" t="s">
        <v>27254</v>
      </c>
      <c r="T9662" t="s">
        <v>27255</v>
      </c>
    </row>
    <row r="9663" spans="1:20" x14ac:dyDescent="0.3">
      <c r="A9663" t="str">
        <f>"0611837757100"</f>
        <v>0611837757100</v>
      </c>
      <c r="B9663" t="str">
        <f>"LB6393"</f>
        <v>LB6393</v>
      </c>
      <c r="C9663" t="s">
        <v>45981</v>
      </c>
      <c r="D9663" t="s">
        <v>27245</v>
      </c>
      <c r="E9663" t="str">
        <f t="shared" si="150"/>
        <v>001390</v>
      </c>
      <c r="F9663" t="s">
        <v>27246</v>
      </c>
      <c r="G9663" t="s">
        <v>27247</v>
      </c>
      <c r="H9663" t="s">
        <v>27248</v>
      </c>
      <c r="I9663" t="s">
        <v>45982</v>
      </c>
      <c r="J9663" t="s">
        <v>19328</v>
      </c>
      <c r="L9663" t="s">
        <v>27250</v>
      </c>
      <c r="M9663" t="s">
        <v>27251</v>
      </c>
      <c r="N9663" t="s">
        <v>27252</v>
      </c>
      <c r="Q9663" s="1">
        <v>44538</v>
      </c>
      <c r="R9663" t="s">
        <v>27253</v>
      </c>
      <c r="S9663" t="s">
        <v>27254</v>
      </c>
      <c r="T9663" t="s">
        <v>27255</v>
      </c>
    </row>
    <row r="9664" spans="1:20" x14ac:dyDescent="0.3">
      <c r="A9664" t="str">
        <f>"0611837758100"</f>
        <v>0611837758100</v>
      </c>
      <c r="B9664" t="str">
        <f>"LK2342"</f>
        <v>LK2342</v>
      </c>
      <c r="C9664" t="s">
        <v>45983</v>
      </c>
      <c r="D9664" t="s">
        <v>27245</v>
      </c>
      <c r="E9664" t="str">
        <f t="shared" si="150"/>
        <v>001390</v>
      </c>
      <c r="F9664" t="s">
        <v>27246</v>
      </c>
      <c r="G9664" t="s">
        <v>27247</v>
      </c>
      <c r="H9664" t="s">
        <v>27248</v>
      </c>
      <c r="I9664" t="s">
        <v>45984</v>
      </c>
      <c r="J9664" t="s">
        <v>19330</v>
      </c>
      <c r="L9664" t="s">
        <v>27250</v>
      </c>
      <c r="M9664" t="s">
        <v>27251</v>
      </c>
      <c r="N9664" t="s">
        <v>27252</v>
      </c>
      <c r="Q9664" s="1">
        <v>44538</v>
      </c>
      <c r="R9664" t="s">
        <v>27253</v>
      </c>
      <c r="S9664" t="s">
        <v>27254</v>
      </c>
      <c r="T9664" t="s">
        <v>27255</v>
      </c>
    </row>
    <row r="9665" spans="1:20" x14ac:dyDescent="0.3">
      <c r="A9665" t="str">
        <f>"0611837759100"</f>
        <v>0611837759100</v>
      </c>
      <c r="B9665" t="str">
        <f>"LB6421"</f>
        <v>LB6421</v>
      </c>
      <c r="C9665" t="s">
        <v>45985</v>
      </c>
      <c r="D9665" t="s">
        <v>27245</v>
      </c>
      <c r="E9665" t="str">
        <f t="shared" si="150"/>
        <v>001390</v>
      </c>
      <c r="F9665" t="s">
        <v>27246</v>
      </c>
      <c r="G9665" t="s">
        <v>27247</v>
      </c>
      <c r="H9665" t="s">
        <v>27248</v>
      </c>
      <c r="I9665" t="s">
        <v>45986</v>
      </c>
      <c r="J9665" t="s">
        <v>19332</v>
      </c>
      <c r="L9665" t="s">
        <v>27250</v>
      </c>
      <c r="M9665" t="s">
        <v>27251</v>
      </c>
      <c r="N9665" t="s">
        <v>27252</v>
      </c>
      <c r="Q9665" s="1">
        <v>44538</v>
      </c>
      <c r="R9665" t="s">
        <v>27253</v>
      </c>
      <c r="S9665" t="s">
        <v>27254</v>
      </c>
      <c r="T9665" t="s">
        <v>27255</v>
      </c>
    </row>
    <row r="9666" spans="1:20" x14ac:dyDescent="0.3">
      <c r="A9666" t="str">
        <f>"0611837760100"</f>
        <v>0611837760100</v>
      </c>
      <c r="B9666" t="str">
        <f>"LK3475"</f>
        <v>LK3475</v>
      </c>
      <c r="C9666" t="s">
        <v>45987</v>
      </c>
      <c r="D9666" t="s">
        <v>27245</v>
      </c>
      <c r="E9666" t="str">
        <f t="shared" ref="E9666:E9729" si="151">"001390"</f>
        <v>001390</v>
      </c>
      <c r="F9666" t="s">
        <v>27246</v>
      </c>
      <c r="G9666" t="s">
        <v>27247</v>
      </c>
      <c r="H9666" t="s">
        <v>27248</v>
      </c>
      <c r="I9666" t="s">
        <v>45988</v>
      </c>
      <c r="J9666" t="s">
        <v>19334</v>
      </c>
      <c r="L9666" t="s">
        <v>27250</v>
      </c>
      <c r="M9666" t="s">
        <v>27251</v>
      </c>
      <c r="N9666" t="s">
        <v>27252</v>
      </c>
      <c r="Q9666" s="1">
        <v>44538</v>
      </c>
      <c r="R9666" t="s">
        <v>27253</v>
      </c>
      <c r="S9666" t="s">
        <v>27254</v>
      </c>
      <c r="T9666" t="s">
        <v>27255</v>
      </c>
    </row>
    <row r="9667" spans="1:20" x14ac:dyDescent="0.3">
      <c r="A9667" t="str">
        <f>"0611837761100"</f>
        <v>0611837761100</v>
      </c>
      <c r="B9667" t="str">
        <f>"LK1717"</f>
        <v>LK1717</v>
      </c>
      <c r="C9667" t="s">
        <v>45989</v>
      </c>
      <c r="D9667" t="s">
        <v>27245</v>
      </c>
      <c r="E9667" t="str">
        <f t="shared" si="151"/>
        <v>001390</v>
      </c>
      <c r="F9667" t="s">
        <v>27246</v>
      </c>
      <c r="G9667" t="s">
        <v>27247</v>
      </c>
      <c r="H9667" t="s">
        <v>27248</v>
      </c>
      <c r="I9667" t="s">
        <v>45990</v>
      </c>
      <c r="J9667" t="s">
        <v>19336</v>
      </c>
      <c r="L9667" t="s">
        <v>27250</v>
      </c>
      <c r="M9667" t="s">
        <v>27251</v>
      </c>
      <c r="N9667" t="s">
        <v>27252</v>
      </c>
      <c r="Q9667" s="1">
        <v>44538</v>
      </c>
      <c r="R9667" t="s">
        <v>27253</v>
      </c>
      <c r="S9667" t="s">
        <v>27254</v>
      </c>
      <c r="T9667" t="s">
        <v>27255</v>
      </c>
    </row>
    <row r="9668" spans="1:20" x14ac:dyDescent="0.3">
      <c r="A9668" t="str">
        <f>"0611837762100"</f>
        <v>0611837762100</v>
      </c>
      <c r="B9668" t="str">
        <f>"LB6394"</f>
        <v>LB6394</v>
      </c>
      <c r="C9668" t="s">
        <v>45991</v>
      </c>
      <c r="D9668" t="s">
        <v>27245</v>
      </c>
      <c r="E9668" t="str">
        <f t="shared" si="151"/>
        <v>001390</v>
      </c>
      <c r="F9668" t="s">
        <v>27246</v>
      </c>
      <c r="G9668" t="s">
        <v>27247</v>
      </c>
      <c r="H9668" t="s">
        <v>27248</v>
      </c>
      <c r="I9668" t="s">
        <v>45992</v>
      </c>
      <c r="J9668" t="s">
        <v>19338</v>
      </c>
      <c r="L9668" t="s">
        <v>27250</v>
      </c>
      <c r="M9668" t="s">
        <v>27251</v>
      </c>
      <c r="N9668" t="s">
        <v>27252</v>
      </c>
      <c r="Q9668" s="1">
        <v>44538</v>
      </c>
      <c r="R9668" t="s">
        <v>27253</v>
      </c>
      <c r="S9668" t="s">
        <v>27254</v>
      </c>
      <c r="T9668" t="s">
        <v>27255</v>
      </c>
    </row>
    <row r="9669" spans="1:20" x14ac:dyDescent="0.3">
      <c r="A9669" t="str">
        <f>"0611837763100"</f>
        <v>0611837763100</v>
      </c>
      <c r="B9669" t="str">
        <f>"LK3476"</f>
        <v>LK3476</v>
      </c>
      <c r="C9669" t="s">
        <v>45993</v>
      </c>
      <c r="D9669" t="s">
        <v>27245</v>
      </c>
      <c r="E9669" t="str">
        <f t="shared" si="151"/>
        <v>001390</v>
      </c>
      <c r="F9669" t="s">
        <v>27246</v>
      </c>
      <c r="G9669" t="s">
        <v>27247</v>
      </c>
      <c r="H9669" t="s">
        <v>27248</v>
      </c>
      <c r="I9669" t="s">
        <v>45994</v>
      </c>
      <c r="J9669" t="s">
        <v>19340</v>
      </c>
      <c r="L9669" t="s">
        <v>27250</v>
      </c>
      <c r="M9669" t="s">
        <v>27251</v>
      </c>
      <c r="N9669" t="s">
        <v>27252</v>
      </c>
      <c r="Q9669" s="1">
        <v>44538</v>
      </c>
      <c r="R9669" t="s">
        <v>27253</v>
      </c>
      <c r="S9669" t="s">
        <v>27254</v>
      </c>
      <c r="T9669" t="s">
        <v>27255</v>
      </c>
    </row>
    <row r="9670" spans="1:20" x14ac:dyDescent="0.3">
      <c r="A9670" t="str">
        <f>"0611837764100"</f>
        <v>0611837764100</v>
      </c>
      <c r="B9670" t="str">
        <f>"LK1718"</f>
        <v>LK1718</v>
      </c>
      <c r="C9670" t="s">
        <v>45995</v>
      </c>
      <c r="D9670" t="s">
        <v>27245</v>
      </c>
      <c r="E9670" t="str">
        <f t="shared" si="151"/>
        <v>001390</v>
      </c>
      <c r="F9670" t="s">
        <v>27246</v>
      </c>
      <c r="G9670" t="s">
        <v>27247</v>
      </c>
      <c r="H9670" t="s">
        <v>27248</v>
      </c>
      <c r="I9670" t="s">
        <v>45996</v>
      </c>
      <c r="J9670" t="s">
        <v>19342</v>
      </c>
      <c r="L9670" t="s">
        <v>27250</v>
      </c>
      <c r="M9670" t="s">
        <v>27251</v>
      </c>
      <c r="N9670" t="s">
        <v>27252</v>
      </c>
      <c r="Q9670" s="1">
        <v>44538</v>
      </c>
      <c r="R9670" t="s">
        <v>27253</v>
      </c>
      <c r="S9670" t="s">
        <v>27254</v>
      </c>
      <c r="T9670" t="s">
        <v>27255</v>
      </c>
    </row>
    <row r="9671" spans="1:20" x14ac:dyDescent="0.3">
      <c r="A9671" t="str">
        <f>"0611837765100"</f>
        <v>0611837765100</v>
      </c>
      <c r="B9671" t="str">
        <f>"LK0321"</f>
        <v>LK0321</v>
      </c>
      <c r="C9671" t="s">
        <v>45997</v>
      </c>
      <c r="D9671" t="s">
        <v>27245</v>
      </c>
      <c r="E9671" t="str">
        <f t="shared" si="151"/>
        <v>001390</v>
      </c>
      <c r="F9671" t="s">
        <v>27246</v>
      </c>
      <c r="G9671" t="s">
        <v>27247</v>
      </c>
      <c r="H9671" t="s">
        <v>27248</v>
      </c>
      <c r="I9671" t="s">
        <v>45998</v>
      </c>
      <c r="J9671" t="s">
        <v>19344</v>
      </c>
      <c r="L9671" t="s">
        <v>27250</v>
      </c>
      <c r="M9671" t="s">
        <v>27251</v>
      </c>
      <c r="N9671" t="s">
        <v>27252</v>
      </c>
      <c r="Q9671" s="1">
        <v>44538</v>
      </c>
      <c r="R9671" t="s">
        <v>27253</v>
      </c>
      <c r="S9671" t="s">
        <v>27254</v>
      </c>
      <c r="T9671" t="s">
        <v>27255</v>
      </c>
    </row>
    <row r="9672" spans="1:20" x14ac:dyDescent="0.3">
      <c r="A9672" t="str">
        <f>"0611837766100"</f>
        <v>0611837766100</v>
      </c>
      <c r="B9672" t="str">
        <f>"LB6395"</f>
        <v>LB6395</v>
      </c>
      <c r="C9672" t="s">
        <v>45999</v>
      </c>
      <c r="D9672" t="s">
        <v>27245</v>
      </c>
      <c r="E9672" t="str">
        <f t="shared" si="151"/>
        <v>001390</v>
      </c>
      <c r="F9672" t="s">
        <v>27246</v>
      </c>
      <c r="G9672" t="s">
        <v>27247</v>
      </c>
      <c r="H9672" t="s">
        <v>27248</v>
      </c>
      <c r="I9672" t="s">
        <v>46000</v>
      </c>
      <c r="J9672" t="s">
        <v>19346</v>
      </c>
      <c r="L9672" t="s">
        <v>27250</v>
      </c>
      <c r="M9672" t="s">
        <v>27251</v>
      </c>
      <c r="N9672" t="s">
        <v>27252</v>
      </c>
      <c r="Q9672" s="1">
        <v>44538</v>
      </c>
      <c r="R9672" t="s">
        <v>27253</v>
      </c>
      <c r="S9672" t="s">
        <v>27254</v>
      </c>
      <c r="T9672" t="s">
        <v>27255</v>
      </c>
    </row>
    <row r="9673" spans="1:20" x14ac:dyDescent="0.3">
      <c r="A9673" t="str">
        <f>"0611837767100"</f>
        <v>0611837767100</v>
      </c>
      <c r="B9673" t="str">
        <f>"LK0323"</f>
        <v>LK0323</v>
      </c>
      <c r="C9673" t="s">
        <v>46001</v>
      </c>
      <c r="D9673" t="s">
        <v>27245</v>
      </c>
      <c r="E9673" t="str">
        <f t="shared" si="151"/>
        <v>001390</v>
      </c>
      <c r="F9673" t="s">
        <v>27246</v>
      </c>
      <c r="G9673" t="s">
        <v>27247</v>
      </c>
      <c r="H9673" t="s">
        <v>27248</v>
      </c>
      <c r="I9673" t="s">
        <v>46002</v>
      </c>
      <c r="J9673" t="s">
        <v>19348</v>
      </c>
      <c r="L9673" t="s">
        <v>27250</v>
      </c>
      <c r="M9673" t="s">
        <v>27251</v>
      </c>
      <c r="N9673" t="s">
        <v>27252</v>
      </c>
      <c r="Q9673" s="1">
        <v>44538</v>
      </c>
      <c r="R9673" t="s">
        <v>27253</v>
      </c>
      <c r="S9673" t="s">
        <v>27254</v>
      </c>
      <c r="T9673" t="s">
        <v>27255</v>
      </c>
    </row>
    <row r="9674" spans="1:20" x14ac:dyDescent="0.3">
      <c r="A9674" t="str">
        <f>"0611863522050"</f>
        <v>0611863522050</v>
      </c>
      <c r="B9674" t="str">
        <f>"CR4855"</f>
        <v>CR4855</v>
      </c>
      <c r="C9674" t="s">
        <v>46003</v>
      </c>
      <c r="D9674" t="s">
        <v>27271</v>
      </c>
      <c r="E9674" t="str">
        <f t="shared" si="151"/>
        <v>001390</v>
      </c>
      <c r="F9674" t="s">
        <v>27246</v>
      </c>
      <c r="G9674" t="s">
        <v>27247</v>
      </c>
      <c r="H9674" t="s">
        <v>27248</v>
      </c>
      <c r="I9674" t="s">
        <v>46004</v>
      </c>
      <c r="J9674" t="s">
        <v>19350</v>
      </c>
      <c r="L9674" t="s">
        <v>27250</v>
      </c>
      <c r="M9674" t="s">
        <v>27251</v>
      </c>
      <c r="N9674" t="s">
        <v>27252</v>
      </c>
      <c r="P9674" t="s">
        <v>27341</v>
      </c>
      <c r="Q9674" s="1">
        <v>44846</v>
      </c>
      <c r="R9674" t="s">
        <v>27253</v>
      </c>
      <c r="S9674" t="s">
        <v>27254</v>
      </c>
      <c r="T9674" t="s">
        <v>27265</v>
      </c>
    </row>
    <row r="9675" spans="1:20" x14ac:dyDescent="0.3">
      <c r="A9675" t="str">
        <f>"0611863523050"</f>
        <v>0611863523050</v>
      </c>
      <c r="B9675" t="str">
        <f>"CR4850"</f>
        <v>CR4850</v>
      </c>
      <c r="C9675" t="s">
        <v>46005</v>
      </c>
      <c r="D9675" t="s">
        <v>27271</v>
      </c>
      <c r="E9675" t="str">
        <f t="shared" si="151"/>
        <v>001390</v>
      </c>
      <c r="F9675" t="s">
        <v>27246</v>
      </c>
      <c r="G9675" t="s">
        <v>27247</v>
      </c>
      <c r="H9675" t="s">
        <v>27248</v>
      </c>
      <c r="I9675" t="s">
        <v>46006</v>
      </c>
      <c r="J9675" t="s">
        <v>19352</v>
      </c>
      <c r="L9675" t="s">
        <v>27250</v>
      </c>
      <c r="M9675" t="s">
        <v>27251</v>
      </c>
      <c r="N9675" t="s">
        <v>27252</v>
      </c>
      <c r="P9675" t="s">
        <v>27341</v>
      </c>
      <c r="Q9675" s="1">
        <v>44846</v>
      </c>
      <c r="R9675" t="s">
        <v>27253</v>
      </c>
      <c r="S9675" t="s">
        <v>27254</v>
      </c>
      <c r="T9675" t="s">
        <v>27265</v>
      </c>
    </row>
    <row r="9676" spans="1:20" x14ac:dyDescent="0.3">
      <c r="A9676" t="str">
        <f>"0611863524050"</f>
        <v>0611863524050</v>
      </c>
      <c r="B9676" t="str">
        <f>"CR4851"</f>
        <v>CR4851</v>
      </c>
      <c r="C9676" t="s">
        <v>46007</v>
      </c>
      <c r="D9676" t="s">
        <v>27271</v>
      </c>
      <c r="E9676" t="str">
        <f t="shared" si="151"/>
        <v>001390</v>
      </c>
      <c r="F9676" t="s">
        <v>27246</v>
      </c>
      <c r="G9676" t="s">
        <v>27247</v>
      </c>
      <c r="H9676" t="s">
        <v>27248</v>
      </c>
      <c r="I9676" t="s">
        <v>46008</v>
      </c>
      <c r="J9676" t="s">
        <v>19354</v>
      </c>
      <c r="L9676" t="s">
        <v>27250</v>
      </c>
      <c r="M9676" t="s">
        <v>27251</v>
      </c>
      <c r="N9676" t="s">
        <v>27252</v>
      </c>
      <c r="P9676" t="s">
        <v>27341</v>
      </c>
      <c r="Q9676" s="1">
        <v>44846</v>
      </c>
      <c r="R9676" t="s">
        <v>27253</v>
      </c>
      <c r="S9676" t="s">
        <v>27254</v>
      </c>
      <c r="T9676" t="s">
        <v>27265</v>
      </c>
    </row>
    <row r="9677" spans="1:20" x14ac:dyDescent="0.3">
      <c r="A9677" t="str">
        <f>"0611863525050"</f>
        <v>0611863525050</v>
      </c>
      <c r="B9677" t="str">
        <f>"CR4852"</f>
        <v>CR4852</v>
      </c>
      <c r="C9677" t="s">
        <v>46009</v>
      </c>
      <c r="D9677" t="s">
        <v>27271</v>
      </c>
      <c r="E9677" t="str">
        <f t="shared" si="151"/>
        <v>001390</v>
      </c>
      <c r="F9677" t="s">
        <v>27246</v>
      </c>
      <c r="G9677" t="s">
        <v>27247</v>
      </c>
      <c r="H9677" t="s">
        <v>27248</v>
      </c>
      <c r="I9677" t="s">
        <v>46010</v>
      </c>
      <c r="J9677" t="s">
        <v>19356</v>
      </c>
      <c r="L9677" t="s">
        <v>27250</v>
      </c>
      <c r="M9677" t="s">
        <v>27251</v>
      </c>
      <c r="N9677" t="s">
        <v>27252</v>
      </c>
      <c r="P9677" t="s">
        <v>27341</v>
      </c>
      <c r="Q9677" s="1">
        <v>44846</v>
      </c>
      <c r="R9677" t="s">
        <v>27253</v>
      </c>
      <c r="S9677" t="s">
        <v>27254</v>
      </c>
      <c r="T9677" t="s">
        <v>27265</v>
      </c>
    </row>
    <row r="9678" spans="1:20" x14ac:dyDescent="0.3">
      <c r="A9678" t="str">
        <f>"0611863526050"</f>
        <v>0611863526050</v>
      </c>
      <c r="B9678" t="str">
        <f>"CR5000"</f>
        <v>CR5000</v>
      </c>
      <c r="C9678" t="s">
        <v>46011</v>
      </c>
      <c r="D9678" t="s">
        <v>27271</v>
      </c>
      <c r="E9678" t="str">
        <f t="shared" si="151"/>
        <v>001390</v>
      </c>
      <c r="F9678" t="s">
        <v>27246</v>
      </c>
      <c r="G9678" t="s">
        <v>27247</v>
      </c>
      <c r="H9678" t="s">
        <v>27248</v>
      </c>
      <c r="I9678" t="s">
        <v>46012</v>
      </c>
      <c r="J9678" t="s">
        <v>19358</v>
      </c>
      <c r="L9678" t="s">
        <v>27250</v>
      </c>
      <c r="M9678" t="s">
        <v>27251</v>
      </c>
      <c r="N9678" t="s">
        <v>27252</v>
      </c>
      <c r="P9678" t="s">
        <v>27341</v>
      </c>
      <c r="Q9678" s="1">
        <v>44846</v>
      </c>
      <c r="R9678" t="s">
        <v>27253</v>
      </c>
      <c r="S9678" t="s">
        <v>27254</v>
      </c>
      <c r="T9678" t="s">
        <v>27265</v>
      </c>
    </row>
    <row r="9679" spans="1:20" x14ac:dyDescent="0.3">
      <c r="A9679" t="str">
        <f>"0611863527050"</f>
        <v>0611863527050</v>
      </c>
      <c r="B9679" t="str">
        <f>"CR4055"</f>
        <v>CR4055</v>
      </c>
      <c r="C9679" t="s">
        <v>46013</v>
      </c>
      <c r="D9679" t="s">
        <v>27271</v>
      </c>
      <c r="E9679" t="str">
        <f t="shared" si="151"/>
        <v>001390</v>
      </c>
      <c r="F9679" t="s">
        <v>27246</v>
      </c>
      <c r="G9679" t="s">
        <v>27247</v>
      </c>
      <c r="H9679" t="s">
        <v>27248</v>
      </c>
      <c r="I9679" t="s">
        <v>46014</v>
      </c>
      <c r="J9679" t="s">
        <v>19360</v>
      </c>
      <c r="L9679" t="s">
        <v>27250</v>
      </c>
      <c r="M9679" t="s">
        <v>27251</v>
      </c>
      <c r="N9679" t="s">
        <v>27252</v>
      </c>
      <c r="P9679" t="s">
        <v>27341</v>
      </c>
      <c r="Q9679" s="1">
        <v>44846</v>
      </c>
      <c r="R9679" t="s">
        <v>27253</v>
      </c>
      <c r="S9679" t="s">
        <v>27254</v>
      </c>
      <c r="T9679" t="s">
        <v>27265</v>
      </c>
    </row>
    <row r="9680" spans="1:20" x14ac:dyDescent="0.3">
      <c r="A9680" t="str">
        <f>"0611863528050"</f>
        <v>0611863528050</v>
      </c>
      <c r="B9680" t="str">
        <f>"CR5001"</f>
        <v>CR5001</v>
      </c>
      <c r="C9680" t="s">
        <v>46015</v>
      </c>
      <c r="D9680" t="s">
        <v>27271</v>
      </c>
      <c r="E9680" t="str">
        <f t="shared" si="151"/>
        <v>001390</v>
      </c>
      <c r="F9680" t="s">
        <v>27246</v>
      </c>
      <c r="G9680" t="s">
        <v>27247</v>
      </c>
      <c r="H9680" t="s">
        <v>27248</v>
      </c>
      <c r="I9680" t="s">
        <v>46016</v>
      </c>
      <c r="J9680" t="s">
        <v>19362</v>
      </c>
      <c r="L9680" t="s">
        <v>27250</v>
      </c>
      <c r="M9680" t="s">
        <v>27251</v>
      </c>
      <c r="N9680" t="s">
        <v>27252</v>
      </c>
      <c r="P9680" t="s">
        <v>27341</v>
      </c>
      <c r="Q9680" s="1">
        <v>44846</v>
      </c>
      <c r="R9680" t="s">
        <v>27253</v>
      </c>
      <c r="S9680" t="s">
        <v>27254</v>
      </c>
      <c r="T9680" t="s">
        <v>27265</v>
      </c>
    </row>
    <row r="9681" spans="1:20" x14ac:dyDescent="0.3">
      <c r="A9681" t="str">
        <f>"0611863529050"</f>
        <v>0611863529050</v>
      </c>
      <c r="B9681" t="str">
        <f>"CR4854"</f>
        <v>CR4854</v>
      </c>
      <c r="C9681" t="s">
        <v>46017</v>
      </c>
      <c r="D9681" t="s">
        <v>27271</v>
      </c>
      <c r="E9681" t="str">
        <f t="shared" si="151"/>
        <v>001390</v>
      </c>
      <c r="F9681" t="s">
        <v>27246</v>
      </c>
      <c r="G9681" t="s">
        <v>27247</v>
      </c>
      <c r="H9681" t="s">
        <v>27248</v>
      </c>
      <c r="I9681" t="s">
        <v>46018</v>
      </c>
      <c r="J9681" t="s">
        <v>19364</v>
      </c>
      <c r="L9681" t="s">
        <v>27250</v>
      </c>
      <c r="M9681" t="s">
        <v>27251</v>
      </c>
      <c r="N9681" t="s">
        <v>27252</v>
      </c>
      <c r="P9681" t="s">
        <v>27341</v>
      </c>
      <c r="Q9681" s="1">
        <v>44846</v>
      </c>
      <c r="R9681" t="s">
        <v>27253</v>
      </c>
      <c r="S9681" t="s">
        <v>27254</v>
      </c>
      <c r="T9681" t="s">
        <v>27265</v>
      </c>
    </row>
    <row r="9682" spans="1:20" x14ac:dyDescent="0.3">
      <c r="A9682" t="str">
        <f>"0611863530050"</f>
        <v>0611863530050</v>
      </c>
      <c r="B9682" t="str">
        <f>"CR4853"</f>
        <v>CR4853</v>
      </c>
      <c r="C9682" t="s">
        <v>46019</v>
      </c>
      <c r="D9682" t="s">
        <v>27271</v>
      </c>
      <c r="E9682" t="str">
        <f t="shared" si="151"/>
        <v>001390</v>
      </c>
      <c r="F9682" t="s">
        <v>27246</v>
      </c>
      <c r="G9682" t="s">
        <v>27247</v>
      </c>
      <c r="H9682" t="s">
        <v>27248</v>
      </c>
      <c r="I9682" t="s">
        <v>46020</v>
      </c>
      <c r="J9682" t="s">
        <v>19366</v>
      </c>
      <c r="L9682" t="s">
        <v>27250</v>
      </c>
      <c r="M9682" t="s">
        <v>27251</v>
      </c>
      <c r="N9682" t="s">
        <v>27252</v>
      </c>
      <c r="P9682" t="s">
        <v>27341</v>
      </c>
      <c r="Q9682" s="1">
        <v>44846</v>
      </c>
      <c r="R9682" t="s">
        <v>27253</v>
      </c>
      <c r="S9682" t="s">
        <v>27254</v>
      </c>
      <c r="T9682" t="s">
        <v>27265</v>
      </c>
    </row>
    <row r="9683" spans="1:20" x14ac:dyDescent="0.3">
      <c r="A9683" t="str">
        <f>"0611863531050"</f>
        <v>0611863531050</v>
      </c>
      <c r="B9683" t="str">
        <f>"CR5002"</f>
        <v>CR5002</v>
      </c>
      <c r="C9683" t="s">
        <v>46021</v>
      </c>
      <c r="D9683" t="s">
        <v>27271</v>
      </c>
      <c r="E9683" t="str">
        <f t="shared" si="151"/>
        <v>001390</v>
      </c>
      <c r="F9683" t="s">
        <v>27246</v>
      </c>
      <c r="G9683" t="s">
        <v>27247</v>
      </c>
      <c r="H9683" t="s">
        <v>27248</v>
      </c>
      <c r="I9683" t="s">
        <v>46022</v>
      </c>
      <c r="J9683" t="s">
        <v>19368</v>
      </c>
      <c r="L9683" t="s">
        <v>27250</v>
      </c>
      <c r="M9683" t="s">
        <v>27251</v>
      </c>
      <c r="N9683" t="s">
        <v>27252</v>
      </c>
      <c r="P9683" t="s">
        <v>27341</v>
      </c>
      <c r="Q9683" s="1">
        <v>44846</v>
      </c>
      <c r="R9683" t="s">
        <v>27253</v>
      </c>
      <c r="S9683" t="s">
        <v>27254</v>
      </c>
      <c r="T9683" t="s">
        <v>27265</v>
      </c>
    </row>
    <row r="9684" spans="1:20" x14ac:dyDescent="0.3">
      <c r="A9684" t="str">
        <f>"0611863532050"</f>
        <v>0611863532050</v>
      </c>
      <c r="B9684" t="str">
        <f>"CR5003"</f>
        <v>CR5003</v>
      </c>
      <c r="C9684" t="s">
        <v>46023</v>
      </c>
      <c r="D9684" t="s">
        <v>27271</v>
      </c>
      <c r="E9684" t="str">
        <f t="shared" si="151"/>
        <v>001390</v>
      </c>
      <c r="F9684" t="s">
        <v>27246</v>
      </c>
      <c r="G9684" t="s">
        <v>27247</v>
      </c>
      <c r="H9684" t="s">
        <v>27248</v>
      </c>
      <c r="I9684" t="s">
        <v>46024</v>
      </c>
      <c r="J9684" t="s">
        <v>19370</v>
      </c>
      <c r="L9684" t="s">
        <v>27250</v>
      </c>
      <c r="M9684" t="s">
        <v>27251</v>
      </c>
      <c r="N9684" t="s">
        <v>27252</v>
      </c>
      <c r="P9684" t="s">
        <v>27341</v>
      </c>
      <c r="Q9684" s="1">
        <v>44846</v>
      </c>
      <c r="R9684" t="s">
        <v>27253</v>
      </c>
      <c r="S9684" t="s">
        <v>27254</v>
      </c>
      <c r="T9684" t="s">
        <v>27265</v>
      </c>
    </row>
    <row r="9685" spans="1:20" x14ac:dyDescent="0.3">
      <c r="A9685" t="str">
        <f>"0611837768100"</f>
        <v>0611837768100</v>
      </c>
      <c r="B9685" t="str">
        <f>"LK5074"</f>
        <v>LK5074</v>
      </c>
      <c r="C9685" t="s">
        <v>46025</v>
      </c>
      <c r="D9685" t="s">
        <v>28138</v>
      </c>
      <c r="E9685" t="str">
        <f t="shared" si="151"/>
        <v>001390</v>
      </c>
      <c r="F9685" t="s">
        <v>27246</v>
      </c>
      <c r="G9685" t="s">
        <v>27247</v>
      </c>
      <c r="H9685" t="s">
        <v>27248</v>
      </c>
      <c r="I9685" t="s">
        <v>46026</v>
      </c>
      <c r="J9685" t="s">
        <v>19372</v>
      </c>
      <c r="L9685" t="s">
        <v>27250</v>
      </c>
      <c r="M9685" t="s">
        <v>27251</v>
      </c>
      <c r="N9685" t="s">
        <v>27252</v>
      </c>
      <c r="P9685" t="s">
        <v>27925</v>
      </c>
      <c r="Q9685" s="1">
        <v>44538</v>
      </c>
      <c r="R9685" t="s">
        <v>27253</v>
      </c>
      <c r="S9685" t="s">
        <v>27254</v>
      </c>
      <c r="T9685" t="s">
        <v>27255</v>
      </c>
    </row>
    <row r="9686" spans="1:20" x14ac:dyDescent="0.3">
      <c r="A9686" t="str">
        <f>"0611837769100"</f>
        <v>0611837769100</v>
      </c>
      <c r="B9686" t="str">
        <f>"LK6116"</f>
        <v>LK6116</v>
      </c>
      <c r="C9686" t="s">
        <v>46027</v>
      </c>
      <c r="D9686" t="s">
        <v>28138</v>
      </c>
      <c r="E9686" t="str">
        <f t="shared" si="151"/>
        <v>001390</v>
      </c>
      <c r="F9686" t="s">
        <v>27246</v>
      </c>
      <c r="G9686" t="s">
        <v>27247</v>
      </c>
      <c r="H9686" t="s">
        <v>27248</v>
      </c>
      <c r="I9686" t="s">
        <v>46028</v>
      </c>
      <c r="J9686" t="s">
        <v>19374</v>
      </c>
      <c r="L9686" t="s">
        <v>27250</v>
      </c>
      <c r="M9686" t="s">
        <v>27251</v>
      </c>
      <c r="N9686" t="s">
        <v>27252</v>
      </c>
      <c r="P9686" t="s">
        <v>27925</v>
      </c>
      <c r="Q9686" s="1">
        <v>44538</v>
      </c>
      <c r="R9686" t="s">
        <v>27253</v>
      </c>
      <c r="S9686" t="s">
        <v>27254</v>
      </c>
      <c r="T9686" t="s">
        <v>27255</v>
      </c>
    </row>
    <row r="9687" spans="1:20" x14ac:dyDescent="0.3">
      <c r="A9687" t="str">
        <f>"0611837770100"</f>
        <v>0611837770100</v>
      </c>
      <c r="B9687" t="str">
        <f>"LK5075"</f>
        <v>LK5075</v>
      </c>
      <c r="C9687" t="s">
        <v>46029</v>
      </c>
      <c r="D9687" t="s">
        <v>28138</v>
      </c>
      <c r="E9687" t="str">
        <f t="shared" si="151"/>
        <v>001390</v>
      </c>
      <c r="F9687" t="s">
        <v>27246</v>
      </c>
      <c r="G9687" t="s">
        <v>27247</v>
      </c>
      <c r="H9687" t="s">
        <v>27248</v>
      </c>
      <c r="I9687" t="s">
        <v>46030</v>
      </c>
      <c r="J9687" t="s">
        <v>19376</v>
      </c>
      <c r="L9687" t="s">
        <v>27250</v>
      </c>
      <c r="M9687" t="s">
        <v>27251</v>
      </c>
      <c r="N9687" t="s">
        <v>27252</v>
      </c>
      <c r="P9687" t="s">
        <v>27925</v>
      </c>
      <c r="Q9687" s="1">
        <v>44538</v>
      </c>
      <c r="R9687" t="s">
        <v>27253</v>
      </c>
      <c r="S9687" t="s">
        <v>27254</v>
      </c>
      <c r="T9687" t="s">
        <v>27255</v>
      </c>
    </row>
    <row r="9688" spans="1:20" x14ac:dyDescent="0.3">
      <c r="A9688" t="str">
        <f>"0611837771100"</f>
        <v>0611837771100</v>
      </c>
      <c r="B9688" t="str">
        <f>"LK5076"</f>
        <v>LK5076</v>
      </c>
      <c r="C9688" t="s">
        <v>46031</v>
      </c>
      <c r="D9688" t="s">
        <v>28138</v>
      </c>
      <c r="E9688" t="str">
        <f t="shared" si="151"/>
        <v>001390</v>
      </c>
      <c r="F9688" t="s">
        <v>27246</v>
      </c>
      <c r="G9688" t="s">
        <v>27247</v>
      </c>
      <c r="H9688" t="s">
        <v>27248</v>
      </c>
      <c r="I9688" t="s">
        <v>46032</v>
      </c>
      <c r="J9688" t="s">
        <v>19378</v>
      </c>
      <c r="L9688" t="s">
        <v>27250</v>
      </c>
      <c r="M9688" t="s">
        <v>27251</v>
      </c>
      <c r="N9688" t="s">
        <v>27252</v>
      </c>
      <c r="P9688" t="s">
        <v>27925</v>
      </c>
      <c r="Q9688" s="1">
        <v>44538</v>
      </c>
      <c r="R9688" t="s">
        <v>27253</v>
      </c>
      <c r="S9688" t="s">
        <v>27254</v>
      </c>
      <c r="T9688" t="s">
        <v>27255</v>
      </c>
    </row>
    <row r="9689" spans="1:20" x14ac:dyDescent="0.3">
      <c r="A9689" t="str">
        <f>"0611837772100"</f>
        <v>0611837772100</v>
      </c>
      <c r="B9689" t="str">
        <f>"LK5077"</f>
        <v>LK5077</v>
      </c>
      <c r="C9689" t="s">
        <v>46033</v>
      </c>
      <c r="D9689" t="s">
        <v>28138</v>
      </c>
      <c r="E9689" t="str">
        <f t="shared" si="151"/>
        <v>001390</v>
      </c>
      <c r="F9689" t="s">
        <v>27246</v>
      </c>
      <c r="G9689" t="s">
        <v>27247</v>
      </c>
      <c r="H9689" t="s">
        <v>27248</v>
      </c>
      <c r="I9689" t="s">
        <v>46034</v>
      </c>
      <c r="J9689" t="s">
        <v>19380</v>
      </c>
      <c r="L9689" t="s">
        <v>27250</v>
      </c>
      <c r="M9689" t="s">
        <v>27251</v>
      </c>
      <c r="N9689" t="s">
        <v>27252</v>
      </c>
      <c r="P9689" t="s">
        <v>27925</v>
      </c>
      <c r="Q9689" s="1">
        <v>44538</v>
      </c>
      <c r="R9689" t="s">
        <v>27253</v>
      </c>
      <c r="S9689" t="s">
        <v>27254</v>
      </c>
      <c r="T9689" t="s">
        <v>27255</v>
      </c>
    </row>
    <row r="9690" spans="1:20" x14ac:dyDescent="0.3">
      <c r="A9690" t="str">
        <f>"0611837773100"</f>
        <v>0611837773100</v>
      </c>
      <c r="B9690" t="str">
        <f>"LK5078"</f>
        <v>LK5078</v>
      </c>
      <c r="C9690" t="s">
        <v>46035</v>
      </c>
      <c r="D9690" t="s">
        <v>28138</v>
      </c>
      <c r="E9690" t="str">
        <f t="shared" si="151"/>
        <v>001390</v>
      </c>
      <c r="F9690" t="s">
        <v>27246</v>
      </c>
      <c r="G9690" t="s">
        <v>27247</v>
      </c>
      <c r="H9690" t="s">
        <v>27248</v>
      </c>
      <c r="I9690" t="s">
        <v>46036</v>
      </c>
      <c r="J9690" t="s">
        <v>19382</v>
      </c>
      <c r="L9690" t="s">
        <v>27250</v>
      </c>
      <c r="M9690" t="s">
        <v>27251</v>
      </c>
      <c r="N9690" t="s">
        <v>27252</v>
      </c>
      <c r="P9690" t="s">
        <v>27925</v>
      </c>
      <c r="Q9690" s="1">
        <v>44538</v>
      </c>
      <c r="R9690" t="s">
        <v>27253</v>
      </c>
      <c r="S9690" t="s">
        <v>27254</v>
      </c>
      <c r="T9690" t="s">
        <v>27255</v>
      </c>
    </row>
    <row r="9691" spans="1:20" x14ac:dyDescent="0.3">
      <c r="A9691" t="str">
        <f>"0611837774100"</f>
        <v>0611837774100</v>
      </c>
      <c r="B9691" t="str">
        <f>"LK5079"</f>
        <v>LK5079</v>
      </c>
      <c r="C9691" t="s">
        <v>46037</v>
      </c>
      <c r="D9691" t="s">
        <v>28138</v>
      </c>
      <c r="E9691" t="str">
        <f t="shared" si="151"/>
        <v>001390</v>
      </c>
      <c r="F9691" t="s">
        <v>27246</v>
      </c>
      <c r="G9691" t="s">
        <v>27247</v>
      </c>
      <c r="H9691" t="s">
        <v>27248</v>
      </c>
      <c r="I9691" t="s">
        <v>46038</v>
      </c>
      <c r="J9691" t="s">
        <v>19384</v>
      </c>
      <c r="L9691" t="s">
        <v>27250</v>
      </c>
      <c r="M9691" t="s">
        <v>27251</v>
      </c>
      <c r="N9691" t="s">
        <v>27252</v>
      </c>
      <c r="P9691" t="s">
        <v>27925</v>
      </c>
      <c r="Q9691" s="1">
        <v>44538</v>
      </c>
      <c r="R9691" t="s">
        <v>27253</v>
      </c>
      <c r="S9691" t="s">
        <v>27254</v>
      </c>
      <c r="T9691" t="s">
        <v>27255</v>
      </c>
    </row>
    <row r="9692" spans="1:20" x14ac:dyDescent="0.3">
      <c r="A9692" t="str">
        <f>"0611884377100"</f>
        <v>0611884377100</v>
      </c>
      <c r="B9692" t="str">
        <f>"LK7140"</f>
        <v>LK7140</v>
      </c>
      <c r="C9692" t="s">
        <v>46039</v>
      </c>
      <c r="D9692" t="s">
        <v>27245</v>
      </c>
      <c r="E9692" t="str">
        <f t="shared" si="151"/>
        <v>001390</v>
      </c>
      <c r="F9692" t="s">
        <v>27246</v>
      </c>
      <c r="G9692" t="s">
        <v>27247</v>
      </c>
      <c r="H9692" t="s">
        <v>27248</v>
      </c>
      <c r="I9692" t="s">
        <v>46040</v>
      </c>
      <c r="J9692" t="s">
        <v>19400</v>
      </c>
      <c r="L9692" t="s">
        <v>27430</v>
      </c>
      <c r="M9692" t="s">
        <v>27251</v>
      </c>
      <c r="N9692" t="s">
        <v>27252</v>
      </c>
      <c r="Q9692" s="1">
        <v>45250</v>
      </c>
      <c r="R9692" t="s">
        <v>27253</v>
      </c>
      <c r="S9692" t="s">
        <v>27254</v>
      </c>
      <c r="T9692" t="s">
        <v>27255</v>
      </c>
    </row>
    <row r="9693" spans="1:20" x14ac:dyDescent="0.3">
      <c r="A9693" t="str">
        <f>"0611884378100"</f>
        <v>0611884378100</v>
      </c>
      <c r="B9693" t="str">
        <f>"LK7141"</f>
        <v>LK7141</v>
      </c>
      <c r="C9693" t="s">
        <v>46041</v>
      </c>
      <c r="D9693" t="s">
        <v>27245</v>
      </c>
      <c r="E9693" t="str">
        <f t="shared" si="151"/>
        <v>001390</v>
      </c>
      <c r="F9693" t="s">
        <v>27246</v>
      </c>
      <c r="G9693" t="s">
        <v>27247</v>
      </c>
      <c r="H9693" t="s">
        <v>27248</v>
      </c>
      <c r="I9693" t="s">
        <v>46042</v>
      </c>
      <c r="J9693" t="s">
        <v>19404</v>
      </c>
      <c r="L9693" t="s">
        <v>27430</v>
      </c>
      <c r="M9693" t="s">
        <v>27251</v>
      </c>
      <c r="N9693" t="s">
        <v>27252</v>
      </c>
      <c r="Q9693" s="1">
        <v>45250</v>
      </c>
      <c r="R9693" t="s">
        <v>27253</v>
      </c>
      <c r="S9693" t="s">
        <v>27254</v>
      </c>
      <c r="T9693" t="s">
        <v>27255</v>
      </c>
    </row>
    <row r="9694" spans="1:20" x14ac:dyDescent="0.3">
      <c r="A9694" t="str">
        <f>"0611837775100"</f>
        <v>0611837775100</v>
      </c>
      <c r="B9694" t="str">
        <f>"LK5667"</f>
        <v>LK5667</v>
      </c>
      <c r="C9694" t="s">
        <v>46043</v>
      </c>
      <c r="D9694" t="s">
        <v>28138</v>
      </c>
      <c r="E9694" t="str">
        <f t="shared" si="151"/>
        <v>001390</v>
      </c>
      <c r="F9694" t="s">
        <v>27246</v>
      </c>
      <c r="G9694" t="s">
        <v>27247</v>
      </c>
      <c r="H9694" t="s">
        <v>27248</v>
      </c>
      <c r="I9694" t="s">
        <v>46044</v>
      </c>
      <c r="J9694" t="s">
        <v>19512</v>
      </c>
      <c r="L9694" t="s">
        <v>27250</v>
      </c>
      <c r="M9694" t="s">
        <v>27251</v>
      </c>
      <c r="N9694" t="s">
        <v>27252</v>
      </c>
      <c r="P9694" t="s">
        <v>27925</v>
      </c>
      <c r="Q9694" s="1">
        <v>44538</v>
      </c>
      <c r="R9694" t="s">
        <v>27253</v>
      </c>
      <c r="S9694" t="s">
        <v>27254</v>
      </c>
      <c r="T9694" t="s">
        <v>27255</v>
      </c>
    </row>
    <row r="9695" spans="1:20" x14ac:dyDescent="0.3">
      <c r="A9695" t="str">
        <f>"0611837778100"</f>
        <v>0611837778100</v>
      </c>
      <c r="B9695" t="str">
        <f>"LK6229"</f>
        <v>LK6229</v>
      </c>
      <c r="C9695" t="s">
        <v>46045</v>
      </c>
      <c r="D9695" t="s">
        <v>27245</v>
      </c>
      <c r="E9695" t="str">
        <f t="shared" si="151"/>
        <v>001390</v>
      </c>
      <c r="F9695" t="s">
        <v>27246</v>
      </c>
      <c r="G9695" t="s">
        <v>27247</v>
      </c>
      <c r="H9695" t="s">
        <v>27248</v>
      </c>
      <c r="I9695" t="s">
        <v>46046</v>
      </c>
      <c r="J9695" t="s">
        <v>19514</v>
      </c>
      <c r="L9695" t="s">
        <v>27250</v>
      </c>
      <c r="M9695" t="s">
        <v>27251</v>
      </c>
      <c r="N9695" t="s">
        <v>27252</v>
      </c>
      <c r="Q9695" s="1">
        <v>44538</v>
      </c>
      <c r="R9695" t="s">
        <v>27253</v>
      </c>
      <c r="S9695" t="s">
        <v>27254</v>
      </c>
      <c r="T9695" t="s">
        <v>27255</v>
      </c>
    </row>
    <row r="9696" spans="1:20" x14ac:dyDescent="0.3">
      <c r="A9696" t="str">
        <f>"0611837779100"</f>
        <v>0611837779100</v>
      </c>
      <c r="B9696" t="str">
        <f>"LK5080"</f>
        <v>LK5080</v>
      </c>
      <c r="C9696" t="s">
        <v>46047</v>
      </c>
      <c r="D9696" t="s">
        <v>27245</v>
      </c>
      <c r="E9696" t="str">
        <f t="shared" si="151"/>
        <v>001390</v>
      </c>
      <c r="F9696" t="s">
        <v>27246</v>
      </c>
      <c r="G9696" t="s">
        <v>27247</v>
      </c>
      <c r="H9696" t="s">
        <v>27248</v>
      </c>
      <c r="I9696" t="s">
        <v>46048</v>
      </c>
      <c r="J9696" t="s">
        <v>19516</v>
      </c>
      <c r="L9696" t="s">
        <v>27250</v>
      </c>
      <c r="M9696" t="s">
        <v>27251</v>
      </c>
      <c r="N9696" t="s">
        <v>27252</v>
      </c>
      <c r="Q9696" s="1">
        <v>44538</v>
      </c>
      <c r="R9696" t="s">
        <v>27253</v>
      </c>
      <c r="S9696" t="s">
        <v>27254</v>
      </c>
      <c r="T9696" t="s">
        <v>27255</v>
      </c>
    </row>
    <row r="9697" spans="1:20" x14ac:dyDescent="0.3">
      <c r="A9697" t="str">
        <f>"0611837780100"</f>
        <v>0611837780100</v>
      </c>
      <c r="B9697" t="str">
        <f>"LK5081"</f>
        <v>LK5081</v>
      </c>
      <c r="C9697" t="s">
        <v>46049</v>
      </c>
      <c r="D9697" t="s">
        <v>27245</v>
      </c>
      <c r="E9697" t="str">
        <f t="shared" si="151"/>
        <v>001390</v>
      </c>
      <c r="F9697" t="s">
        <v>27246</v>
      </c>
      <c r="G9697" t="s">
        <v>27247</v>
      </c>
      <c r="H9697" t="s">
        <v>27248</v>
      </c>
      <c r="I9697" t="s">
        <v>46050</v>
      </c>
      <c r="J9697" t="s">
        <v>19518</v>
      </c>
      <c r="L9697" t="s">
        <v>27250</v>
      </c>
      <c r="M9697" t="s">
        <v>27251</v>
      </c>
      <c r="N9697" t="s">
        <v>27252</v>
      </c>
      <c r="Q9697" s="1">
        <v>44538</v>
      </c>
      <c r="R9697" t="s">
        <v>27253</v>
      </c>
      <c r="S9697" t="s">
        <v>27254</v>
      </c>
      <c r="T9697" t="s">
        <v>27255</v>
      </c>
    </row>
    <row r="9698" spans="1:20" x14ac:dyDescent="0.3">
      <c r="A9698" t="str">
        <f>"0611837781100"</f>
        <v>0611837781100</v>
      </c>
      <c r="B9698" t="str">
        <f>"LK5082"</f>
        <v>LK5082</v>
      </c>
      <c r="C9698" t="s">
        <v>46051</v>
      </c>
      <c r="D9698" t="s">
        <v>27245</v>
      </c>
      <c r="E9698" t="str">
        <f t="shared" si="151"/>
        <v>001390</v>
      </c>
      <c r="F9698" t="s">
        <v>27246</v>
      </c>
      <c r="G9698" t="s">
        <v>27247</v>
      </c>
      <c r="H9698" t="s">
        <v>27248</v>
      </c>
      <c r="I9698" t="s">
        <v>46052</v>
      </c>
      <c r="J9698" t="s">
        <v>19520</v>
      </c>
      <c r="L9698" t="s">
        <v>27250</v>
      </c>
      <c r="M9698" t="s">
        <v>27251</v>
      </c>
      <c r="N9698" t="s">
        <v>27252</v>
      </c>
      <c r="Q9698" s="1">
        <v>44538</v>
      </c>
      <c r="R9698" t="s">
        <v>27253</v>
      </c>
      <c r="S9698" t="s">
        <v>27254</v>
      </c>
      <c r="T9698" t="s">
        <v>27255</v>
      </c>
    </row>
    <row r="9699" spans="1:20" x14ac:dyDescent="0.3">
      <c r="A9699" t="str">
        <f>"0611837782100"</f>
        <v>0611837782100</v>
      </c>
      <c r="B9699" t="str">
        <f>"LK5083"</f>
        <v>LK5083</v>
      </c>
      <c r="C9699" t="s">
        <v>46053</v>
      </c>
      <c r="D9699" t="s">
        <v>27245</v>
      </c>
      <c r="E9699" t="str">
        <f t="shared" si="151"/>
        <v>001390</v>
      </c>
      <c r="F9699" t="s">
        <v>27246</v>
      </c>
      <c r="G9699" t="s">
        <v>27247</v>
      </c>
      <c r="H9699" t="s">
        <v>27248</v>
      </c>
      <c r="I9699" t="s">
        <v>46054</v>
      </c>
      <c r="J9699" t="s">
        <v>19522</v>
      </c>
      <c r="L9699" t="s">
        <v>27250</v>
      </c>
      <c r="M9699" t="s">
        <v>27251</v>
      </c>
      <c r="N9699" t="s">
        <v>27252</v>
      </c>
      <c r="Q9699" s="1">
        <v>44538</v>
      </c>
      <c r="R9699" t="s">
        <v>27253</v>
      </c>
      <c r="S9699" t="s">
        <v>27254</v>
      </c>
      <c r="T9699" t="s">
        <v>27255</v>
      </c>
    </row>
    <row r="9700" spans="1:20" x14ac:dyDescent="0.3">
      <c r="A9700" t="str">
        <f>"0611837783100"</f>
        <v>0611837783100</v>
      </c>
      <c r="B9700" t="str">
        <f>"LK5084"</f>
        <v>LK5084</v>
      </c>
      <c r="C9700" t="s">
        <v>46055</v>
      </c>
      <c r="D9700" t="s">
        <v>27245</v>
      </c>
      <c r="E9700" t="str">
        <f t="shared" si="151"/>
        <v>001390</v>
      </c>
      <c r="F9700" t="s">
        <v>27246</v>
      </c>
      <c r="G9700" t="s">
        <v>27247</v>
      </c>
      <c r="H9700" t="s">
        <v>27248</v>
      </c>
      <c r="I9700" t="s">
        <v>46056</v>
      </c>
      <c r="J9700" t="s">
        <v>19524</v>
      </c>
      <c r="L9700" t="s">
        <v>27250</v>
      </c>
      <c r="M9700" t="s">
        <v>27251</v>
      </c>
      <c r="N9700" t="s">
        <v>27252</v>
      </c>
      <c r="Q9700" s="1">
        <v>44538</v>
      </c>
      <c r="R9700" t="s">
        <v>27253</v>
      </c>
      <c r="S9700" t="s">
        <v>27254</v>
      </c>
      <c r="T9700" t="s">
        <v>27255</v>
      </c>
    </row>
    <row r="9701" spans="1:20" x14ac:dyDescent="0.3">
      <c r="A9701" t="str">
        <f>"0611837784100"</f>
        <v>0611837784100</v>
      </c>
      <c r="B9701" t="str">
        <f>"LK5085"</f>
        <v>LK5085</v>
      </c>
      <c r="C9701" t="s">
        <v>46057</v>
      </c>
      <c r="D9701" t="s">
        <v>27245</v>
      </c>
      <c r="E9701" t="str">
        <f t="shared" si="151"/>
        <v>001390</v>
      </c>
      <c r="F9701" t="s">
        <v>27246</v>
      </c>
      <c r="G9701" t="s">
        <v>27247</v>
      </c>
      <c r="H9701" t="s">
        <v>27248</v>
      </c>
      <c r="I9701" t="s">
        <v>46058</v>
      </c>
      <c r="J9701" t="s">
        <v>19526</v>
      </c>
      <c r="L9701" t="s">
        <v>27250</v>
      </c>
      <c r="M9701" t="s">
        <v>27251</v>
      </c>
      <c r="N9701" t="s">
        <v>27252</v>
      </c>
      <c r="Q9701" s="1">
        <v>44538</v>
      </c>
      <c r="R9701" t="s">
        <v>27253</v>
      </c>
      <c r="S9701" t="s">
        <v>27254</v>
      </c>
      <c r="T9701" t="s">
        <v>27255</v>
      </c>
    </row>
    <row r="9702" spans="1:20" x14ac:dyDescent="0.3">
      <c r="A9702" t="str">
        <f>"0611884379100"</f>
        <v>0611884379100</v>
      </c>
      <c r="B9702" t="str">
        <f>"LK7139"</f>
        <v>LK7139</v>
      </c>
      <c r="C9702" t="s">
        <v>46059</v>
      </c>
      <c r="D9702" t="s">
        <v>27245</v>
      </c>
      <c r="E9702" t="str">
        <f t="shared" si="151"/>
        <v>001390</v>
      </c>
      <c r="F9702" t="s">
        <v>27246</v>
      </c>
      <c r="G9702" t="s">
        <v>27247</v>
      </c>
      <c r="H9702" t="s">
        <v>27248</v>
      </c>
      <c r="I9702" t="s">
        <v>46060</v>
      </c>
      <c r="J9702" t="s">
        <v>19528</v>
      </c>
      <c r="L9702" t="s">
        <v>27430</v>
      </c>
      <c r="M9702" t="s">
        <v>27251</v>
      </c>
      <c r="N9702" t="s">
        <v>27252</v>
      </c>
      <c r="Q9702" s="1">
        <v>45250</v>
      </c>
      <c r="R9702" t="s">
        <v>27253</v>
      </c>
      <c r="S9702" t="s">
        <v>27254</v>
      </c>
      <c r="T9702" t="s">
        <v>27255</v>
      </c>
    </row>
    <row r="9703" spans="1:20" x14ac:dyDescent="0.3">
      <c r="A9703" t="str">
        <f>"0611837785100"</f>
        <v>0611837785100</v>
      </c>
      <c r="B9703" t="str">
        <f>"LK5086"</f>
        <v>LK5086</v>
      </c>
      <c r="C9703" t="s">
        <v>46061</v>
      </c>
      <c r="D9703" t="s">
        <v>27245</v>
      </c>
      <c r="E9703" t="str">
        <f t="shared" si="151"/>
        <v>001390</v>
      </c>
      <c r="F9703" t="s">
        <v>27246</v>
      </c>
      <c r="G9703" t="s">
        <v>27247</v>
      </c>
      <c r="H9703" t="s">
        <v>27248</v>
      </c>
      <c r="I9703" t="s">
        <v>46062</v>
      </c>
      <c r="J9703" t="s">
        <v>19530</v>
      </c>
      <c r="L9703" t="s">
        <v>27250</v>
      </c>
      <c r="M9703" t="s">
        <v>27251</v>
      </c>
      <c r="N9703" t="s">
        <v>27252</v>
      </c>
      <c r="Q9703" s="1">
        <v>44538</v>
      </c>
      <c r="R9703" t="s">
        <v>27253</v>
      </c>
      <c r="S9703" t="s">
        <v>27254</v>
      </c>
      <c r="T9703" t="s">
        <v>27255</v>
      </c>
    </row>
    <row r="9704" spans="1:20" x14ac:dyDescent="0.3">
      <c r="A9704" t="str">
        <f>"0611837786100"</f>
        <v>0611837786100</v>
      </c>
      <c r="B9704" t="str">
        <f>"LK6918"</f>
        <v>LK6918</v>
      </c>
      <c r="C9704" t="s">
        <v>46063</v>
      </c>
      <c r="D9704" t="s">
        <v>28138</v>
      </c>
      <c r="E9704" t="str">
        <f t="shared" si="151"/>
        <v>001390</v>
      </c>
      <c r="F9704" t="s">
        <v>27246</v>
      </c>
      <c r="G9704" t="s">
        <v>27247</v>
      </c>
      <c r="H9704" t="s">
        <v>27248</v>
      </c>
      <c r="I9704" t="s">
        <v>46064</v>
      </c>
      <c r="J9704" t="s">
        <v>19532</v>
      </c>
      <c r="L9704" t="s">
        <v>27250</v>
      </c>
      <c r="M9704" t="s">
        <v>27251</v>
      </c>
      <c r="N9704" t="s">
        <v>27252</v>
      </c>
      <c r="P9704" t="s">
        <v>27925</v>
      </c>
      <c r="Q9704" s="1">
        <v>44538</v>
      </c>
      <c r="R9704" t="s">
        <v>27253</v>
      </c>
      <c r="S9704" t="s">
        <v>27254</v>
      </c>
      <c r="T9704" t="s">
        <v>27255</v>
      </c>
    </row>
    <row r="9705" spans="1:20" x14ac:dyDescent="0.3">
      <c r="A9705" t="str">
        <f>"0611837787100"</f>
        <v>0611837787100</v>
      </c>
      <c r="B9705" t="str">
        <f>"LK6919"</f>
        <v>LK6919</v>
      </c>
      <c r="C9705" t="s">
        <v>46065</v>
      </c>
      <c r="D9705" t="s">
        <v>28138</v>
      </c>
      <c r="E9705" t="str">
        <f t="shared" si="151"/>
        <v>001390</v>
      </c>
      <c r="F9705" t="s">
        <v>27246</v>
      </c>
      <c r="G9705" t="s">
        <v>27247</v>
      </c>
      <c r="H9705" t="s">
        <v>27248</v>
      </c>
      <c r="I9705" t="s">
        <v>46066</v>
      </c>
      <c r="J9705" t="s">
        <v>19534</v>
      </c>
      <c r="L9705" t="s">
        <v>27250</v>
      </c>
      <c r="M9705" t="s">
        <v>27251</v>
      </c>
      <c r="N9705" t="s">
        <v>27252</v>
      </c>
      <c r="P9705" t="s">
        <v>27925</v>
      </c>
      <c r="Q9705" s="1">
        <v>44538</v>
      </c>
      <c r="R9705" t="s">
        <v>27253</v>
      </c>
      <c r="S9705" t="s">
        <v>27254</v>
      </c>
      <c r="T9705" t="s">
        <v>27255</v>
      </c>
    </row>
    <row r="9706" spans="1:20" x14ac:dyDescent="0.3">
      <c r="A9706" t="str">
        <f>"0611837788100"</f>
        <v>0611837788100</v>
      </c>
      <c r="B9706" t="str">
        <f>"LK6920"</f>
        <v>LK6920</v>
      </c>
      <c r="C9706" t="s">
        <v>46067</v>
      </c>
      <c r="D9706" t="s">
        <v>28138</v>
      </c>
      <c r="E9706" t="str">
        <f t="shared" si="151"/>
        <v>001390</v>
      </c>
      <c r="F9706" t="s">
        <v>27246</v>
      </c>
      <c r="G9706" t="s">
        <v>27247</v>
      </c>
      <c r="H9706" t="s">
        <v>27248</v>
      </c>
      <c r="I9706" t="s">
        <v>46068</v>
      </c>
      <c r="J9706" t="s">
        <v>19536</v>
      </c>
      <c r="L9706" t="s">
        <v>27250</v>
      </c>
      <c r="M9706" t="s">
        <v>27251</v>
      </c>
      <c r="N9706" t="s">
        <v>27252</v>
      </c>
      <c r="P9706" t="s">
        <v>27925</v>
      </c>
      <c r="Q9706" s="1">
        <v>44538</v>
      </c>
      <c r="R9706" t="s">
        <v>27253</v>
      </c>
      <c r="S9706" t="s">
        <v>27254</v>
      </c>
      <c r="T9706" t="s">
        <v>27255</v>
      </c>
    </row>
    <row r="9707" spans="1:20" x14ac:dyDescent="0.3">
      <c r="A9707" t="str">
        <f>"0611837789100"</f>
        <v>0611837789100</v>
      </c>
      <c r="B9707" t="str">
        <f>"LK6921"</f>
        <v>LK6921</v>
      </c>
      <c r="C9707" t="s">
        <v>46069</v>
      </c>
      <c r="D9707" t="s">
        <v>28138</v>
      </c>
      <c r="E9707" t="str">
        <f t="shared" si="151"/>
        <v>001390</v>
      </c>
      <c r="F9707" t="s">
        <v>27246</v>
      </c>
      <c r="G9707" t="s">
        <v>27247</v>
      </c>
      <c r="H9707" t="s">
        <v>27248</v>
      </c>
      <c r="I9707" t="s">
        <v>46070</v>
      </c>
      <c r="J9707" t="s">
        <v>19538</v>
      </c>
      <c r="L9707" t="s">
        <v>27250</v>
      </c>
      <c r="M9707" t="s">
        <v>27251</v>
      </c>
      <c r="N9707" t="s">
        <v>27252</v>
      </c>
      <c r="P9707" t="s">
        <v>27925</v>
      </c>
      <c r="Q9707" s="1">
        <v>44538</v>
      </c>
      <c r="R9707" t="s">
        <v>27253</v>
      </c>
      <c r="S9707" t="s">
        <v>27254</v>
      </c>
      <c r="T9707" t="s">
        <v>27255</v>
      </c>
    </row>
    <row r="9708" spans="1:20" x14ac:dyDescent="0.3">
      <c r="A9708" t="str">
        <f>"0611837790100"</f>
        <v>0611837790100</v>
      </c>
      <c r="B9708" t="str">
        <f>"LK6922"</f>
        <v>LK6922</v>
      </c>
      <c r="C9708" t="s">
        <v>46071</v>
      </c>
      <c r="D9708" t="s">
        <v>28138</v>
      </c>
      <c r="E9708" t="str">
        <f t="shared" si="151"/>
        <v>001390</v>
      </c>
      <c r="F9708" t="s">
        <v>27246</v>
      </c>
      <c r="G9708" t="s">
        <v>27247</v>
      </c>
      <c r="H9708" t="s">
        <v>27248</v>
      </c>
      <c r="I9708" t="s">
        <v>46072</v>
      </c>
      <c r="J9708" t="s">
        <v>19540</v>
      </c>
      <c r="L9708" t="s">
        <v>27250</v>
      </c>
      <c r="M9708" t="s">
        <v>27251</v>
      </c>
      <c r="N9708" t="s">
        <v>27252</v>
      </c>
      <c r="P9708" t="s">
        <v>27925</v>
      </c>
      <c r="Q9708" s="1">
        <v>44538</v>
      </c>
      <c r="R9708" t="s">
        <v>27253</v>
      </c>
      <c r="S9708" t="s">
        <v>27254</v>
      </c>
      <c r="T9708" t="s">
        <v>27255</v>
      </c>
    </row>
    <row r="9709" spans="1:20" x14ac:dyDescent="0.3">
      <c r="A9709" t="str">
        <f>"0611837791100"</f>
        <v>0611837791100</v>
      </c>
      <c r="B9709" t="str">
        <f>"LK6923"</f>
        <v>LK6923</v>
      </c>
      <c r="C9709" t="s">
        <v>46073</v>
      </c>
      <c r="D9709" t="s">
        <v>28138</v>
      </c>
      <c r="E9709" t="str">
        <f t="shared" si="151"/>
        <v>001390</v>
      </c>
      <c r="F9709" t="s">
        <v>27246</v>
      </c>
      <c r="G9709" t="s">
        <v>27247</v>
      </c>
      <c r="H9709" t="s">
        <v>27248</v>
      </c>
      <c r="I9709" t="s">
        <v>46074</v>
      </c>
      <c r="J9709" t="s">
        <v>19542</v>
      </c>
      <c r="L9709" t="s">
        <v>27250</v>
      </c>
      <c r="M9709" t="s">
        <v>27251</v>
      </c>
      <c r="N9709" t="s">
        <v>27252</v>
      </c>
      <c r="P9709" t="s">
        <v>27925</v>
      </c>
      <c r="Q9709" s="1">
        <v>44538</v>
      </c>
      <c r="R9709" t="s">
        <v>27253</v>
      </c>
      <c r="S9709" t="s">
        <v>27254</v>
      </c>
      <c r="T9709" t="s">
        <v>27255</v>
      </c>
    </row>
    <row r="9710" spans="1:20" x14ac:dyDescent="0.3">
      <c r="A9710" t="str">
        <f>"0611837792100"</f>
        <v>0611837792100</v>
      </c>
      <c r="B9710" t="str">
        <f>"LK6924"</f>
        <v>LK6924</v>
      </c>
      <c r="C9710" t="s">
        <v>46075</v>
      </c>
      <c r="D9710" t="s">
        <v>28138</v>
      </c>
      <c r="E9710" t="str">
        <f t="shared" si="151"/>
        <v>001390</v>
      </c>
      <c r="F9710" t="s">
        <v>27246</v>
      </c>
      <c r="G9710" t="s">
        <v>27247</v>
      </c>
      <c r="H9710" t="s">
        <v>27248</v>
      </c>
      <c r="I9710" t="s">
        <v>46076</v>
      </c>
      <c r="J9710" t="s">
        <v>19544</v>
      </c>
      <c r="L9710" t="s">
        <v>27250</v>
      </c>
      <c r="M9710" t="s">
        <v>27251</v>
      </c>
      <c r="N9710" t="s">
        <v>27252</v>
      </c>
      <c r="P9710" t="s">
        <v>27925</v>
      </c>
      <c r="Q9710" s="1">
        <v>44538</v>
      </c>
      <c r="R9710" t="s">
        <v>27253</v>
      </c>
      <c r="S9710" t="s">
        <v>27254</v>
      </c>
      <c r="T9710" t="s">
        <v>27255</v>
      </c>
    </row>
    <row r="9711" spans="1:20" x14ac:dyDescent="0.3">
      <c r="A9711" t="str">
        <f>"0611837793100"</f>
        <v>0611837793100</v>
      </c>
      <c r="B9711" t="str">
        <f>"LK6925"</f>
        <v>LK6925</v>
      </c>
      <c r="C9711" t="s">
        <v>46077</v>
      </c>
      <c r="D9711" t="s">
        <v>28138</v>
      </c>
      <c r="E9711" t="str">
        <f t="shared" si="151"/>
        <v>001390</v>
      </c>
      <c r="F9711" t="s">
        <v>27246</v>
      </c>
      <c r="G9711" t="s">
        <v>27247</v>
      </c>
      <c r="H9711" t="s">
        <v>27248</v>
      </c>
      <c r="I9711" t="s">
        <v>46078</v>
      </c>
      <c r="J9711" t="s">
        <v>19546</v>
      </c>
      <c r="L9711" t="s">
        <v>27250</v>
      </c>
      <c r="M9711" t="s">
        <v>27251</v>
      </c>
      <c r="N9711" t="s">
        <v>27252</v>
      </c>
      <c r="P9711" t="s">
        <v>27925</v>
      </c>
      <c r="Q9711" s="1">
        <v>44538</v>
      </c>
      <c r="R9711" t="s">
        <v>27253</v>
      </c>
      <c r="S9711" t="s">
        <v>27254</v>
      </c>
      <c r="T9711" t="s">
        <v>27255</v>
      </c>
    </row>
    <row r="9712" spans="1:20" x14ac:dyDescent="0.3">
      <c r="A9712" t="str">
        <f>"0611837794100"</f>
        <v>0611837794100</v>
      </c>
      <c r="B9712" t="str">
        <f>"LK6926"</f>
        <v>LK6926</v>
      </c>
      <c r="C9712" t="s">
        <v>46079</v>
      </c>
      <c r="D9712" t="s">
        <v>28138</v>
      </c>
      <c r="E9712" t="str">
        <f t="shared" si="151"/>
        <v>001390</v>
      </c>
      <c r="F9712" t="s">
        <v>27246</v>
      </c>
      <c r="G9712" t="s">
        <v>27247</v>
      </c>
      <c r="H9712" t="s">
        <v>27248</v>
      </c>
      <c r="I9712" t="s">
        <v>46080</v>
      </c>
      <c r="J9712" t="s">
        <v>19548</v>
      </c>
      <c r="L9712" t="s">
        <v>27250</v>
      </c>
      <c r="M9712" t="s">
        <v>27251</v>
      </c>
      <c r="N9712" t="s">
        <v>27252</v>
      </c>
      <c r="P9712" t="s">
        <v>27925</v>
      </c>
      <c r="Q9712" s="1">
        <v>44538</v>
      </c>
      <c r="R9712" t="s">
        <v>27253</v>
      </c>
      <c r="S9712" t="s">
        <v>27254</v>
      </c>
      <c r="T9712" t="s">
        <v>27255</v>
      </c>
    </row>
    <row r="9713" spans="1:20" x14ac:dyDescent="0.3">
      <c r="A9713" t="str">
        <f>"0611837795100"</f>
        <v>0611837795100</v>
      </c>
      <c r="B9713" t="str">
        <f>"LK6927"</f>
        <v>LK6927</v>
      </c>
      <c r="C9713" t="s">
        <v>46081</v>
      </c>
      <c r="D9713" t="s">
        <v>28138</v>
      </c>
      <c r="E9713" t="str">
        <f t="shared" si="151"/>
        <v>001390</v>
      </c>
      <c r="F9713" t="s">
        <v>27246</v>
      </c>
      <c r="G9713" t="s">
        <v>27247</v>
      </c>
      <c r="H9713" t="s">
        <v>27248</v>
      </c>
      <c r="I9713" t="s">
        <v>46082</v>
      </c>
      <c r="J9713" t="s">
        <v>19550</v>
      </c>
      <c r="L9713" t="s">
        <v>27250</v>
      </c>
      <c r="M9713" t="s">
        <v>27251</v>
      </c>
      <c r="N9713" t="s">
        <v>27252</v>
      </c>
      <c r="P9713" t="s">
        <v>27925</v>
      </c>
      <c r="Q9713" s="1">
        <v>44538</v>
      </c>
      <c r="R9713" t="s">
        <v>27253</v>
      </c>
      <c r="S9713" t="s">
        <v>27254</v>
      </c>
      <c r="T9713" t="s">
        <v>27255</v>
      </c>
    </row>
    <row r="9714" spans="1:20" x14ac:dyDescent="0.3">
      <c r="A9714" t="str">
        <f>"0611837796100"</f>
        <v>0611837796100</v>
      </c>
      <c r="B9714" t="str">
        <f>"LK6928"</f>
        <v>LK6928</v>
      </c>
      <c r="C9714" t="s">
        <v>46083</v>
      </c>
      <c r="D9714" t="s">
        <v>28138</v>
      </c>
      <c r="E9714" t="str">
        <f t="shared" si="151"/>
        <v>001390</v>
      </c>
      <c r="F9714" t="s">
        <v>27246</v>
      </c>
      <c r="G9714" t="s">
        <v>27247</v>
      </c>
      <c r="H9714" t="s">
        <v>27248</v>
      </c>
      <c r="I9714" t="s">
        <v>46084</v>
      </c>
      <c r="J9714" t="s">
        <v>19552</v>
      </c>
      <c r="L9714" t="s">
        <v>27250</v>
      </c>
      <c r="M9714" t="s">
        <v>27251</v>
      </c>
      <c r="N9714" t="s">
        <v>27252</v>
      </c>
      <c r="P9714" t="s">
        <v>27925</v>
      </c>
      <c r="Q9714" s="1">
        <v>44538</v>
      </c>
      <c r="R9714" t="s">
        <v>27253</v>
      </c>
      <c r="S9714" t="s">
        <v>27254</v>
      </c>
      <c r="T9714" t="s">
        <v>27255</v>
      </c>
    </row>
    <row r="9715" spans="1:20" x14ac:dyDescent="0.3">
      <c r="A9715" t="str">
        <f>"0611837797100"</f>
        <v>0611837797100</v>
      </c>
      <c r="B9715" t="str">
        <f>"LK6929"</f>
        <v>LK6929</v>
      </c>
      <c r="C9715" t="s">
        <v>46085</v>
      </c>
      <c r="D9715" t="s">
        <v>28138</v>
      </c>
      <c r="E9715" t="str">
        <f t="shared" si="151"/>
        <v>001390</v>
      </c>
      <c r="F9715" t="s">
        <v>27246</v>
      </c>
      <c r="G9715" t="s">
        <v>27247</v>
      </c>
      <c r="H9715" t="s">
        <v>27248</v>
      </c>
      <c r="I9715" t="s">
        <v>46086</v>
      </c>
      <c r="J9715" t="s">
        <v>19554</v>
      </c>
      <c r="L9715" t="s">
        <v>27250</v>
      </c>
      <c r="M9715" t="s">
        <v>27251</v>
      </c>
      <c r="N9715" t="s">
        <v>27252</v>
      </c>
      <c r="P9715" t="s">
        <v>27925</v>
      </c>
      <c r="Q9715" s="1">
        <v>44538</v>
      </c>
      <c r="R9715" t="s">
        <v>27253</v>
      </c>
      <c r="S9715" t="s">
        <v>27254</v>
      </c>
      <c r="T9715" t="s">
        <v>27255</v>
      </c>
    </row>
    <row r="9716" spans="1:20" x14ac:dyDescent="0.3">
      <c r="A9716" t="str">
        <f>"0611837798100"</f>
        <v>0611837798100</v>
      </c>
      <c r="B9716" t="str">
        <f>"LK6930"</f>
        <v>LK6930</v>
      </c>
      <c r="C9716" t="s">
        <v>46087</v>
      </c>
      <c r="D9716" t="s">
        <v>28138</v>
      </c>
      <c r="E9716" t="str">
        <f t="shared" si="151"/>
        <v>001390</v>
      </c>
      <c r="F9716" t="s">
        <v>27246</v>
      </c>
      <c r="G9716" t="s">
        <v>27247</v>
      </c>
      <c r="H9716" t="s">
        <v>27248</v>
      </c>
      <c r="I9716" t="s">
        <v>46088</v>
      </c>
      <c r="J9716" t="s">
        <v>19556</v>
      </c>
      <c r="L9716" t="s">
        <v>27250</v>
      </c>
      <c r="M9716" t="s">
        <v>27251</v>
      </c>
      <c r="N9716" t="s">
        <v>27252</v>
      </c>
      <c r="P9716" t="s">
        <v>27925</v>
      </c>
      <c r="Q9716" s="1">
        <v>44538</v>
      </c>
      <c r="R9716" t="s">
        <v>27253</v>
      </c>
      <c r="S9716" t="s">
        <v>27254</v>
      </c>
      <c r="T9716" t="s">
        <v>27255</v>
      </c>
    </row>
    <row r="9717" spans="1:20" x14ac:dyDescent="0.3">
      <c r="A9717" t="str">
        <f>"0611837799100"</f>
        <v>0611837799100</v>
      </c>
      <c r="B9717" t="str">
        <f>"LK6931"</f>
        <v>LK6931</v>
      </c>
      <c r="C9717" t="s">
        <v>46089</v>
      </c>
      <c r="D9717" t="s">
        <v>28138</v>
      </c>
      <c r="E9717" t="str">
        <f t="shared" si="151"/>
        <v>001390</v>
      </c>
      <c r="F9717" t="s">
        <v>27246</v>
      </c>
      <c r="G9717" t="s">
        <v>27247</v>
      </c>
      <c r="H9717" t="s">
        <v>27248</v>
      </c>
      <c r="I9717" t="s">
        <v>46090</v>
      </c>
      <c r="J9717" t="s">
        <v>19558</v>
      </c>
      <c r="L9717" t="s">
        <v>27250</v>
      </c>
      <c r="M9717" t="s">
        <v>27251</v>
      </c>
      <c r="N9717" t="s">
        <v>27252</v>
      </c>
      <c r="P9717" t="s">
        <v>27925</v>
      </c>
      <c r="Q9717" s="1">
        <v>44538</v>
      </c>
      <c r="R9717" t="s">
        <v>27253</v>
      </c>
      <c r="S9717" t="s">
        <v>27254</v>
      </c>
      <c r="T9717" t="s">
        <v>27255</v>
      </c>
    </row>
    <row r="9718" spans="1:20" x14ac:dyDescent="0.3">
      <c r="A9718" t="str">
        <f>"0611863533050"</f>
        <v>0611863533050</v>
      </c>
      <c r="B9718" t="str">
        <f>"CR5222"</f>
        <v>CR5222</v>
      </c>
      <c r="C9718" t="s">
        <v>46091</v>
      </c>
      <c r="D9718" t="s">
        <v>27263</v>
      </c>
      <c r="E9718" t="str">
        <f t="shared" si="151"/>
        <v>001390</v>
      </c>
      <c r="F9718" t="s">
        <v>27246</v>
      </c>
      <c r="G9718" t="s">
        <v>27247</v>
      </c>
      <c r="H9718" t="s">
        <v>27248</v>
      </c>
      <c r="I9718" t="s">
        <v>46092</v>
      </c>
      <c r="J9718" t="s">
        <v>19560</v>
      </c>
      <c r="L9718" t="s">
        <v>27250</v>
      </c>
      <c r="M9718" t="s">
        <v>27251</v>
      </c>
      <c r="N9718" t="s">
        <v>27252</v>
      </c>
      <c r="Q9718" s="1">
        <v>44846</v>
      </c>
      <c r="R9718" t="s">
        <v>27253</v>
      </c>
      <c r="S9718" t="s">
        <v>27254</v>
      </c>
      <c r="T9718" t="s">
        <v>27265</v>
      </c>
    </row>
    <row r="9719" spans="1:20" x14ac:dyDescent="0.3">
      <c r="A9719" t="str">
        <f>"0611863534050"</f>
        <v>0611863534050</v>
      </c>
      <c r="B9719" t="str">
        <f>"CR5223"</f>
        <v>CR5223</v>
      </c>
      <c r="C9719" t="s">
        <v>46093</v>
      </c>
      <c r="D9719" t="s">
        <v>27263</v>
      </c>
      <c r="E9719" t="str">
        <f t="shared" si="151"/>
        <v>001390</v>
      </c>
      <c r="F9719" t="s">
        <v>27246</v>
      </c>
      <c r="G9719" t="s">
        <v>27247</v>
      </c>
      <c r="H9719" t="s">
        <v>27248</v>
      </c>
      <c r="I9719" t="s">
        <v>46094</v>
      </c>
      <c r="J9719" t="s">
        <v>19562</v>
      </c>
      <c r="L9719" t="s">
        <v>27250</v>
      </c>
      <c r="M9719" t="s">
        <v>27251</v>
      </c>
      <c r="N9719" t="s">
        <v>27252</v>
      </c>
      <c r="Q9719" s="1">
        <v>44846</v>
      </c>
      <c r="R9719" t="s">
        <v>27253</v>
      </c>
      <c r="S9719" t="s">
        <v>27254</v>
      </c>
      <c r="T9719" t="s">
        <v>27265</v>
      </c>
    </row>
    <row r="9720" spans="1:20" x14ac:dyDescent="0.3">
      <c r="A9720" t="str">
        <f>"0611863535050"</f>
        <v>0611863535050</v>
      </c>
      <c r="B9720" t="str">
        <f>"CR5224"</f>
        <v>CR5224</v>
      </c>
      <c r="C9720" t="s">
        <v>46095</v>
      </c>
      <c r="D9720" t="s">
        <v>27263</v>
      </c>
      <c r="E9720" t="str">
        <f t="shared" si="151"/>
        <v>001390</v>
      </c>
      <c r="F9720" t="s">
        <v>27246</v>
      </c>
      <c r="G9720" t="s">
        <v>27247</v>
      </c>
      <c r="H9720" t="s">
        <v>27248</v>
      </c>
      <c r="I9720" t="s">
        <v>46096</v>
      </c>
      <c r="J9720" t="s">
        <v>19564</v>
      </c>
      <c r="L9720" t="s">
        <v>27250</v>
      </c>
      <c r="M9720" t="s">
        <v>27251</v>
      </c>
      <c r="N9720" t="s">
        <v>27252</v>
      </c>
      <c r="Q9720" s="1">
        <v>44846</v>
      </c>
      <c r="R9720" t="s">
        <v>27253</v>
      </c>
      <c r="S9720" t="s">
        <v>27254</v>
      </c>
      <c r="T9720" t="s">
        <v>27265</v>
      </c>
    </row>
    <row r="9721" spans="1:20" x14ac:dyDescent="0.3">
      <c r="A9721" t="str">
        <f>"0611857070100"</f>
        <v>0611857070100</v>
      </c>
      <c r="B9721" t="str">
        <f>"LQ3897"</f>
        <v>LQ3897</v>
      </c>
      <c r="C9721" t="s">
        <v>46097</v>
      </c>
      <c r="D9721" t="s">
        <v>27245</v>
      </c>
      <c r="E9721" t="str">
        <f t="shared" si="151"/>
        <v>001390</v>
      </c>
      <c r="F9721" t="s">
        <v>27246</v>
      </c>
      <c r="G9721" t="s">
        <v>27247</v>
      </c>
      <c r="H9721" t="s">
        <v>27248</v>
      </c>
      <c r="I9721" t="s">
        <v>46098</v>
      </c>
      <c r="J9721" t="s">
        <v>19566</v>
      </c>
      <c r="L9721" t="s">
        <v>27250</v>
      </c>
      <c r="M9721" t="s">
        <v>27251</v>
      </c>
      <c r="N9721" t="s">
        <v>27252</v>
      </c>
      <c r="Q9721" s="1">
        <v>44812</v>
      </c>
      <c r="R9721" t="s">
        <v>27253</v>
      </c>
      <c r="S9721" t="s">
        <v>27254</v>
      </c>
      <c r="T9721" t="s">
        <v>27255</v>
      </c>
    </row>
    <row r="9722" spans="1:20" x14ac:dyDescent="0.3">
      <c r="A9722" t="str">
        <f>"0611863536050"</f>
        <v>0611863536050</v>
      </c>
      <c r="B9722" t="str">
        <f>"CR5225"</f>
        <v>CR5225</v>
      </c>
      <c r="C9722" t="s">
        <v>46099</v>
      </c>
      <c r="D9722" t="s">
        <v>27263</v>
      </c>
      <c r="E9722" t="str">
        <f t="shared" si="151"/>
        <v>001390</v>
      </c>
      <c r="F9722" t="s">
        <v>27246</v>
      </c>
      <c r="G9722" t="s">
        <v>27247</v>
      </c>
      <c r="H9722" t="s">
        <v>27248</v>
      </c>
      <c r="I9722" t="s">
        <v>46100</v>
      </c>
      <c r="J9722" t="s">
        <v>19568</v>
      </c>
      <c r="L9722" t="s">
        <v>27250</v>
      </c>
      <c r="M9722" t="s">
        <v>27251</v>
      </c>
      <c r="N9722" t="s">
        <v>27252</v>
      </c>
      <c r="Q9722" s="1">
        <v>44846</v>
      </c>
      <c r="R9722" t="s">
        <v>27253</v>
      </c>
      <c r="S9722" t="s">
        <v>27254</v>
      </c>
      <c r="T9722" t="s">
        <v>27265</v>
      </c>
    </row>
    <row r="9723" spans="1:20" x14ac:dyDescent="0.3">
      <c r="A9723" t="str">
        <f>"0611863537050"</f>
        <v>0611863537050</v>
      </c>
      <c r="B9723" t="str">
        <f>"CR5226"</f>
        <v>CR5226</v>
      </c>
      <c r="C9723" t="s">
        <v>46101</v>
      </c>
      <c r="D9723" t="s">
        <v>27263</v>
      </c>
      <c r="E9723" t="str">
        <f t="shared" si="151"/>
        <v>001390</v>
      </c>
      <c r="F9723" t="s">
        <v>27246</v>
      </c>
      <c r="G9723" t="s">
        <v>27247</v>
      </c>
      <c r="H9723" t="s">
        <v>27248</v>
      </c>
      <c r="I9723" t="s">
        <v>46102</v>
      </c>
      <c r="J9723" t="s">
        <v>19570</v>
      </c>
      <c r="L9723" t="s">
        <v>27250</v>
      </c>
      <c r="M9723" t="s">
        <v>27251</v>
      </c>
      <c r="N9723" t="s">
        <v>27252</v>
      </c>
      <c r="Q9723" s="1">
        <v>44846</v>
      </c>
      <c r="R9723" t="s">
        <v>27253</v>
      </c>
      <c r="S9723" t="s">
        <v>27254</v>
      </c>
      <c r="T9723" t="s">
        <v>27265</v>
      </c>
    </row>
    <row r="9724" spans="1:20" x14ac:dyDescent="0.3">
      <c r="A9724" t="str">
        <f>"0611863538050"</f>
        <v>0611863538050</v>
      </c>
      <c r="B9724" t="str">
        <f>"CR3332"</f>
        <v>CR3332</v>
      </c>
      <c r="C9724" t="s">
        <v>46103</v>
      </c>
      <c r="D9724" t="s">
        <v>27263</v>
      </c>
      <c r="E9724" t="str">
        <f t="shared" si="151"/>
        <v>001390</v>
      </c>
      <c r="F9724" t="s">
        <v>27246</v>
      </c>
      <c r="G9724" t="s">
        <v>27247</v>
      </c>
      <c r="H9724" t="s">
        <v>27248</v>
      </c>
      <c r="I9724" t="s">
        <v>46104</v>
      </c>
      <c r="J9724" t="s">
        <v>19572</v>
      </c>
      <c r="L9724" t="s">
        <v>27250</v>
      </c>
      <c r="M9724" t="s">
        <v>27251</v>
      </c>
      <c r="N9724" t="s">
        <v>27252</v>
      </c>
      <c r="Q9724" s="1">
        <v>44846</v>
      </c>
      <c r="R9724" t="s">
        <v>27253</v>
      </c>
      <c r="S9724" t="s">
        <v>27254</v>
      </c>
      <c r="T9724" t="s">
        <v>27265</v>
      </c>
    </row>
    <row r="9725" spans="1:20" x14ac:dyDescent="0.3">
      <c r="A9725" t="str">
        <f>"0611863539050"</f>
        <v>0611863539050</v>
      </c>
      <c r="B9725" t="str">
        <f>"CR2891"</f>
        <v>CR2891</v>
      </c>
      <c r="C9725" t="s">
        <v>46105</v>
      </c>
      <c r="D9725" t="s">
        <v>27263</v>
      </c>
      <c r="E9725" t="str">
        <f t="shared" si="151"/>
        <v>001390</v>
      </c>
      <c r="F9725" t="s">
        <v>27246</v>
      </c>
      <c r="G9725" t="s">
        <v>27247</v>
      </c>
      <c r="H9725" t="s">
        <v>27248</v>
      </c>
      <c r="I9725" t="s">
        <v>46106</v>
      </c>
      <c r="J9725" t="s">
        <v>19574</v>
      </c>
      <c r="L9725" t="s">
        <v>27250</v>
      </c>
      <c r="M9725" t="s">
        <v>27251</v>
      </c>
      <c r="N9725" t="s">
        <v>27252</v>
      </c>
      <c r="Q9725" s="1">
        <v>44846</v>
      </c>
      <c r="R9725" t="s">
        <v>27253</v>
      </c>
      <c r="S9725" t="s">
        <v>27254</v>
      </c>
      <c r="T9725" t="s">
        <v>27265</v>
      </c>
    </row>
    <row r="9726" spans="1:20" x14ac:dyDescent="0.3">
      <c r="A9726" t="str">
        <f>"0611863540050"</f>
        <v>0611863540050</v>
      </c>
      <c r="B9726" t="str">
        <f>"CR2892"</f>
        <v>CR2892</v>
      </c>
      <c r="C9726" t="s">
        <v>46107</v>
      </c>
      <c r="D9726" t="s">
        <v>27263</v>
      </c>
      <c r="E9726" t="str">
        <f t="shared" si="151"/>
        <v>001390</v>
      </c>
      <c r="F9726" t="s">
        <v>27246</v>
      </c>
      <c r="G9726" t="s">
        <v>27247</v>
      </c>
      <c r="H9726" t="s">
        <v>27248</v>
      </c>
      <c r="I9726" t="s">
        <v>46108</v>
      </c>
      <c r="J9726" t="s">
        <v>19576</v>
      </c>
      <c r="L9726" t="s">
        <v>27250</v>
      </c>
      <c r="M9726" t="s">
        <v>27251</v>
      </c>
      <c r="N9726" t="s">
        <v>27252</v>
      </c>
      <c r="Q9726" s="1">
        <v>44846</v>
      </c>
      <c r="R9726" t="s">
        <v>27253</v>
      </c>
      <c r="S9726" t="s">
        <v>27254</v>
      </c>
      <c r="T9726" t="s">
        <v>27265</v>
      </c>
    </row>
    <row r="9727" spans="1:20" x14ac:dyDescent="0.3">
      <c r="A9727" t="str">
        <f>"0611863541050"</f>
        <v>0611863541050</v>
      </c>
      <c r="B9727" t="str">
        <f>"CR4068"</f>
        <v>CR4068</v>
      </c>
      <c r="C9727" t="s">
        <v>46109</v>
      </c>
      <c r="D9727" t="s">
        <v>27263</v>
      </c>
      <c r="E9727" t="str">
        <f t="shared" si="151"/>
        <v>001390</v>
      </c>
      <c r="F9727" t="s">
        <v>27246</v>
      </c>
      <c r="G9727" t="s">
        <v>27247</v>
      </c>
      <c r="H9727" t="s">
        <v>27248</v>
      </c>
      <c r="I9727" t="s">
        <v>46110</v>
      </c>
      <c r="J9727" t="s">
        <v>19578</v>
      </c>
      <c r="L9727" t="s">
        <v>27250</v>
      </c>
      <c r="M9727" t="s">
        <v>27251</v>
      </c>
      <c r="N9727" t="s">
        <v>27252</v>
      </c>
      <c r="Q9727" s="1">
        <v>44846</v>
      </c>
      <c r="R9727" t="s">
        <v>27253</v>
      </c>
      <c r="S9727" t="s">
        <v>27254</v>
      </c>
      <c r="T9727" t="s">
        <v>27265</v>
      </c>
    </row>
    <row r="9728" spans="1:20" x14ac:dyDescent="0.3">
      <c r="A9728" t="str">
        <f>"0611863542050"</f>
        <v>0611863542050</v>
      </c>
      <c r="B9728" t="str">
        <f>"CR4069"</f>
        <v>CR4069</v>
      </c>
      <c r="C9728" t="s">
        <v>46111</v>
      </c>
      <c r="D9728" t="s">
        <v>27263</v>
      </c>
      <c r="E9728" t="str">
        <f t="shared" si="151"/>
        <v>001390</v>
      </c>
      <c r="F9728" t="s">
        <v>27246</v>
      </c>
      <c r="G9728" t="s">
        <v>27247</v>
      </c>
      <c r="H9728" t="s">
        <v>27248</v>
      </c>
      <c r="I9728" t="s">
        <v>46112</v>
      </c>
      <c r="J9728" t="s">
        <v>19580</v>
      </c>
      <c r="L9728" t="s">
        <v>27250</v>
      </c>
      <c r="M9728" t="s">
        <v>27251</v>
      </c>
      <c r="N9728" t="s">
        <v>27252</v>
      </c>
      <c r="Q9728" s="1">
        <v>44846</v>
      </c>
      <c r="R9728" t="s">
        <v>27253</v>
      </c>
      <c r="S9728" t="s">
        <v>27254</v>
      </c>
      <c r="T9728" t="s">
        <v>27265</v>
      </c>
    </row>
    <row r="9729" spans="1:20" x14ac:dyDescent="0.3">
      <c r="A9729" t="str">
        <f>"0611863543050"</f>
        <v>0611863543050</v>
      </c>
      <c r="B9729" t="str">
        <f>"CR2901"</f>
        <v>CR2901</v>
      </c>
      <c r="C9729" t="s">
        <v>46113</v>
      </c>
      <c r="D9729" t="s">
        <v>27263</v>
      </c>
      <c r="E9729" t="str">
        <f t="shared" si="151"/>
        <v>001390</v>
      </c>
      <c r="F9729" t="s">
        <v>27246</v>
      </c>
      <c r="G9729" t="s">
        <v>27247</v>
      </c>
      <c r="H9729" t="s">
        <v>27248</v>
      </c>
      <c r="I9729" t="s">
        <v>46114</v>
      </c>
      <c r="J9729" t="s">
        <v>19582</v>
      </c>
      <c r="L9729" t="s">
        <v>27250</v>
      </c>
      <c r="M9729" t="s">
        <v>27251</v>
      </c>
      <c r="N9729" t="s">
        <v>27252</v>
      </c>
      <c r="Q9729" s="1">
        <v>44846</v>
      </c>
      <c r="R9729" t="s">
        <v>27253</v>
      </c>
      <c r="S9729" t="s">
        <v>27254</v>
      </c>
      <c r="T9729" t="s">
        <v>27265</v>
      </c>
    </row>
    <row r="9730" spans="1:20" x14ac:dyDescent="0.3">
      <c r="A9730" t="str">
        <f>"0611863544050"</f>
        <v>0611863544050</v>
      </c>
      <c r="B9730" t="str">
        <f>"CR2903"</f>
        <v>CR2903</v>
      </c>
      <c r="C9730" t="s">
        <v>46115</v>
      </c>
      <c r="D9730" t="s">
        <v>27263</v>
      </c>
      <c r="E9730" t="str">
        <f t="shared" ref="E9730:E9793" si="152">"001390"</f>
        <v>001390</v>
      </c>
      <c r="F9730" t="s">
        <v>27246</v>
      </c>
      <c r="G9730" t="s">
        <v>27247</v>
      </c>
      <c r="H9730" t="s">
        <v>27248</v>
      </c>
      <c r="I9730" t="s">
        <v>46116</v>
      </c>
      <c r="J9730" t="s">
        <v>19584</v>
      </c>
      <c r="L9730" t="s">
        <v>27250</v>
      </c>
      <c r="M9730" t="s">
        <v>27251</v>
      </c>
      <c r="N9730" t="s">
        <v>27252</v>
      </c>
      <c r="Q9730" s="1">
        <v>44846</v>
      </c>
      <c r="R9730" t="s">
        <v>27253</v>
      </c>
      <c r="S9730" t="s">
        <v>27254</v>
      </c>
      <c r="T9730" t="s">
        <v>27265</v>
      </c>
    </row>
    <row r="9731" spans="1:20" x14ac:dyDescent="0.3">
      <c r="A9731" t="str">
        <f>"0611863545050"</f>
        <v>0611863545050</v>
      </c>
      <c r="B9731" t="str">
        <f>"CR2904"</f>
        <v>CR2904</v>
      </c>
      <c r="C9731" t="s">
        <v>46117</v>
      </c>
      <c r="D9731" t="s">
        <v>27263</v>
      </c>
      <c r="E9731" t="str">
        <f t="shared" si="152"/>
        <v>001390</v>
      </c>
      <c r="F9731" t="s">
        <v>27246</v>
      </c>
      <c r="G9731" t="s">
        <v>27247</v>
      </c>
      <c r="H9731" t="s">
        <v>27248</v>
      </c>
      <c r="I9731" t="s">
        <v>46118</v>
      </c>
      <c r="J9731" t="s">
        <v>19586</v>
      </c>
      <c r="L9731" t="s">
        <v>27250</v>
      </c>
      <c r="M9731" t="s">
        <v>27251</v>
      </c>
      <c r="N9731" t="s">
        <v>27252</v>
      </c>
      <c r="Q9731" s="1">
        <v>44846</v>
      </c>
      <c r="R9731" t="s">
        <v>27253</v>
      </c>
      <c r="S9731" t="s">
        <v>27254</v>
      </c>
      <c r="T9731" t="s">
        <v>27265</v>
      </c>
    </row>
    <row r="9732" spans="1:20" x14ac:dyDescent="0.3">
      <c r="A9732" t="str">
        <f>"0611863546050"</f>
        <v>0611863546050</v>
      </c>
      <c r="B9732" t="str">
        <f>"CR2905"</f>
        <v>CR2905</v>
      </c>
      <c r="C9732" t="s">
        <v>46119</v>
      </c>
      <c r="D9732" t="s">
        <v>27263</v>
      </c>
      <c r="E9732" t="str">
        <f t="shared" si="152"/>
        <v>001390</v>
      </c>
      <c r="F9732" t="s">
        <v>27246</v>
      </c>
      <c r="G9732" t="s">
        <v>27247</v>
      </c>
      <c r="H9732" t="s">
        <v>27248</v>
      </c>
      <c r="I9732" t="s">
        <v>46120</v>
      </c>
      <c r="J9732" t="s">
        <v>19588</v>
      </c>
      <c r="L9732" t="s">
        <v>27250</v>
      </c>
      <c r="M9732" t="s">
        <v>27251</v>
      </c>
      <c r="N9732" t="s">
        <v>27252</v>
      </c>
      <c r="Q9732" s="1">
        <v>44846</v>
      </c>
      <c r="R9732" t="s">
        <v>27253</v>
      </c>
      <c r="S9732" t="s">
        <v>27254</v>
      </c>
      <c r="T9732" t="s">
        <v>27265</v>
      </c>
    </row>
    <row r="9733" spans="1:20" x14ac:dyDescent="0.3">
      <c r="A9733" t="str">
        <f>"0611863547050"</f>
        <v>0611863547050</v>
      </c>
      <c r="B9733" t="str">
        <f>"CR2473"</f>
        <v>CR2473</v>
      </c>
      <c r="C9733" t="s">
        <v>46121</v>
      </c>
      <c r="D9733" t="s">
        <v>27263</v>
      </c>
      <c r="E9733" t="str">
        <f t="shared" si="152"/>
        <v>001390</v>
      </c>
      <c r="F9733" t="s">
        <v>27246</v>
      </c>
      <c r="G9733" t="s">
        <v>27247</v>
      </c>
      <c r="H9733" t="s">
        <v>27248</v>
      </c>
      <c r="I9733" t="s">
        <v>46122</v>
      </c>
      <c r="J9733" t="s">
        <v>19590</v>
      </c>
      <c r="L9733" t="s">
        <v>27250</v>
      </c>
      <c r="M9733" t="s">
        <v>27251</v>
      </c>
      <c r="N9733" t="s">
        <v>27252</v>
      </c>
      <c r="Q9733" s="1">
        <v>44846</v>
      </c>
      <c r="R9733" t="s">
        <v>27253</v>
      </c>
      <c r="S9733" t="s">
        <v>27254</v>
      </c>
      <c r="T9733" t="s">
        <v>27265</v>
      </c>
    </row>
    <row r="9734" spans="1:20" x14ac:dyDescent="0.3">
      <c r="A9734" t="str">
        <f>"0611837800100"</f>
        <v>0611837800100</v>
      </c>
      <c r="B9734" t="str">
        <f>"LK6932"</f>
        <v>LK6932</v>
      </c>
      <c r="C9734" t="s">
        <v>46123</v>
      </c>
      <c r="D9734" t="s">
        <v>28138</v>
      </c>
      <c r="E9734" t="str">
        <f t="shared" si="152"/>
        <v>001390</v>
      </c>
      <c r="F9734" t="s">
        <v>27246</v>
      </c>
      <c r="G9734" t="s">
        <v>27247</v>
      </c>
      <c r="H9734" t="s">
        <v>27248</v>
      </c>
      <c r="I9734" t="s">
        <v>46124</v>
      </c>
      <c r="J9734" t="s">
        <v>19592</v>
      </c>
      <c r="L9734" t="s">
        <v>27250</v>
      </c>
      <c r="M9734" t="s">
        <v>27251</v>
      </c>
      <c r="N9734" t="s">
        <v>27252</v>
      </c>
      <c r="P9734" t="s">
        <v>27925</v>
      </c>
      <c r="Q9734" s="1">
        <v>44538</v>
      </c>
      <c r="R9734" t="s">
        <v>27253</v>
      </c>
      <c r="S9734" t="s">
        <v>27254</v>
      </c>
      <c r="T9734" t="s">
        <v>27255</v>
      </c>
    </row>
    <row r="9735" spans="1:20" x14ac:dyDescent="0.3">
      <c r="A9735" t="str">
        <f>"0611837801100"</f>
        <v>0611837801100</v>
      </c>
      <c r="B9735" t="str">
        <f>"LK6933"</f>
        <v>LK6933</v>
      </c>
      <c r="C9735" t="s">
        <v>46125</v>
      </c>
      <c r="D9735" t="s">
        <v>28138</v>
      </c>
      <c r="E9735" t="str">
        <f t="shared" si="152"/>
        <v>001390</v>
      </c>
      <c r="F9735" t="s">
        <v>27246</v>
      </c>
      <c r="G9735" t="s">
        <v>27247</v>
      </c>
      <c r="H9735" t="s">
        <v>27248</v>
      </c>
      <c r="I9735" t="s">
        <v>46126</v>
      </c>
      <c r="J9735" t="s">
        <v>19594</v>
      </c>
      <c r="L9735" t="s">
        <v>27250</v>
      </c>
      <c r="M9735" t="s">
        <v>27251</v>
      </c>
      <c r="N9735" t="s">
        <v>27252</v>
      </c>
      <c r="P9735" t="s">
        <v>27925</v>
      </c>
      <c r="Q9735" s="1">
        <v>44538</v>
      </c>
      <c r="R9735" t="s">
        <v>27253</v>
      </c>
      <c r="S9735" t="s">
        <v>27254</v>
      </c>
      <c r="T9735" t="s">
        <v>27255</v>
      </c>
    </row>
    <row r="9736" spans="1:20" x14ac:dyDescent="0.3">
      <c r="A9736" t="str">
        <f>"0611837802100"</f>
        <v>0611837802100</v>
      </c>
      <c r="B9736" t="str">
        <f>"LK6934"</f>
        <v>LK6934</v>
      </c>
      <c r="C9736" t="s">
        <v>46127</v>
      </c>
      <c r="D9736" t="s">
        <v>28138</v>
      </c>
      <c r="E9736" t="str">
        <f t="shared" si="152"/>
        <v>001390</v>
      </c>
      <c r="F9736" t="s">
        <v>27246</v>
      </c>
      <c r="G9736" t="s">
        <v>27247</v>
      </c>
      <c r="H9736" t="s">
        <v>27248</v>
      </c>
      <c r="I9736" t="s">
        <v>46128</v>
      </c>
      <c r="J9736" t="s">
        <v>19596</v>
      </c>
      <c r="L9736" t="s">
        <v>27250</v>
      </c>
      <c r="M9736" t="s">
        <v>27251</v>
      </c>
      <c r="N9736" t="s">
        <v>27252</v>
      </c>
      <c r="P9736" t="s">
        <v>27925</v>
      </c>
      <c r="Q9736" s="1">
        <v>44538</v>
      </c>
      <c r="R9736" t="s">
        <v>27253</v>
      </c>
      <c r="S9736" t="s">
        <v>27254</v>
      </c>
      <c r="T9736" t="s">
        <v>27255</v>
      </c>
    </row>
    <row r="9737" spans="1:20" x14ac:dyDescent="0.3">
      <c r="A9737" t="str">
        <f>"0611837803100"</f>
        <v>0611837803100</v>
      </c>
      <c r="B9737" t="str">
        <f>"LK6935"</f>
        <v>LK6935</v>
      </c>
      <c r="C9737" t="s">
        <v>46129</v>
      </c>
      <c r="D9737" t="s">
        <v>28138</v>
      </c>
      <c r="E9737" t="str">
        <f t="shared" si="152"/>
        <v>001390</v>
      </c>
      <c r="F9737" t="s">
        <v>27246</v>
      </c>
      <c r="G9737" t="s">
        <v>27247</v>
      </c>
      <c r="H9737" t="s">
        <v>27248</v>
      </c>
      <c r="I9737" t="s">
        <v>46130</v>
      </c>
      <c r="J9737" t="s">
        <v>19598</v>
      </c>
      <c r="L9737" t="s">
        <v>27250</v>
      </c>
      <c r="M9737" t="s">
        <v>27251</v>
      </c>
      <c r="N9737" t="s">
        <v>27252</v>
      </c>
      <c r="P9737" t="s">
        <v>27925</v>
      </c>
      <c r="Q9737" s="1">
        <v>44538</v>
      </c>
      <c r="R9737" t="s">
        <v>27253</v>
      </c>
      <c r="S9737" t="s">
        <v>27254</v>
      </c>
      <c r="T9737" t="s">
        <v>27255</v>
      </c>
    </row>
    <row r="9738" spans="1:20" x14ac:dyDescent="0.3">
      <c r="A9738" t="str">
        <f>"0611837804100"</f>
        <v>0611837804100</v>
      </c>
      <c r="B9738" t="str">
        <f>"LK6936"</f>
        <v>LK6936</v>
      </c>
      <c r="C9738" t="s">
        <v>46131</v>
      </c>
      <c r="D9738" t="s">
        <v>28138</v>
      </c>
      <c r="E9738" t="str">
        <f t="shared" si="152"/>
        <v>001390</v>
      </c>
      <c r="F9738" t="s">
        <v>27246</v>
      </c>
      <c r="G9738" t="s">
        <v>27247</v>
      </c>
      <c r="H9738" t="s">
        <v>27248</v>
      </c>
      <c r="I9738" t="s">
        <v>46132</v>
      </c>
      <c r="J9738" t="s">
        <v>19600</v>
      </c>
      <c r="L9738" t="s">
        <v>27250</v>
      </c>
      <c r="M9738" t="s">
        <v>27251</v>
      </c>
      <c r="N9738" t="s">
        <v>27252</v>
      </c>
      <c r="P9738" t="s">
        <v>27925</v>
      </c>
      <c r="Q9738" s="1">
        <v>44538</v>
      </c>
      <c r="R9738" t="s">
        <v>27253</v>
      </c>
      <c r="S9738" t="s">
        <v>27254</v>
      </c>
      <c r="T9738" t="s">
        <v>27255</v>
      </c>
    </row>
    <row r="9739" spans="1:20" x14ac:dyDescent="0.3">
      <c r="A9739" t="str">
        <f>"0611837805100"</f>
        <v>0611837805100</v>
      </c>
      <c r="B9739" t="str">
        <f>"LK6937"</f>
        <v>LK6937</v>
      </c>
      <c r="C9739" t="s">
        <v>46133</v>
      </c>
      <c r="D9739" t="s">
        <v>28138</v>
      </c>
      <c r="E9739" t="str">
        <f t="shared" si="152"/>
        <v>001390</v>
      </c>
      <c r="F9739" t="s">
        <v>27246</v>
      </c>
      <c r="G9739" t="s">
        <v>27247</v>
      </c>
      <c r="H9739" t="s">
        <v>27248</v>
      </c>
      <c r="I9739" t="s">
        <v>46134</v>
      </c>
      <c r="J9739" t="s">
        <v>19602</v>
      </c>
      <c r="L9739" t="s">
        <v>27250</v>
      </c>
      <c r="M9739" t="s">
        <v>27251</v>
      </c>
      <c r="N9739" t="s">
        <v>27252</v>
      </c>
      <c r="P9739" t="s">
        <v>27925</v>
      </c>
      <c r="Q9739" s="1">
        <v>44538</v>
      </c>
      <c r="R9739" t="s">
        <v>27253</v>
      </c>
      <c r="S9739" t="s">
        <v>27254</v>
      </c>
      <c r="T9739" t="s">
        <v>27255</v>
      </c>
    </row>
    <row r="9740" spans="1:20" x14ac:dyDescent="0.3">
      <c r="A9740" t="str">
        <f>"0611837806100"</f>
        <v>0611837806100</v>
      </c>
      <c r="B9740" t="str">
        <f>"LK6938"</f>
        <v>LK6938</v>
      </c>
      <c r="C9740" t="s">
        <v>46135</v>
      </c>
      <c r="D9740" t="s">
        <v>28138</v>
      </c>
      <c r="E9740" t="str">
        <f t="shared" si="152"/>
        <v>001390</v>
      </c>
      <c r="F9740" t="s">
        <v>27246</v>
      </c>
      <c r="G9740" t="s">
        <v>27247</v>
      </c>
      <c r="H9740" t="s">
        <v>27248</v>
      </c>
      <c r="I9740" t="s">
        <v>46136</v>
      </c>
      <c r="J9740" t="s">
        <v>19604</v>
      </c>
      <c r="L9740" t="s">
        <v>27250</v>
      </c>
      <c r="M9740" t="s">
        <v>27251</v>
      </c>
      <c r="N9740" t="s">
        <v>27252</v>
      </c>
      <c r="P9740" t="s">
        <v>27925</v>
      </c>
      <c r="Q9740" s="1">
        <v>44538</v>
      </c>
      <c r="R9740" t="s">
        <v>27253</v>
      </c>
      <c r="S9740" t="s">
        <v>27254</v>
      </c>
      <c r="T9740" t="s">
        <v>27255</v>
      </c>
    </row>
    <row r="9741" spans="1:20" x14ac:dyDescent="0.3">
      <c r="A9741" t="str">
        <f>"0611837807100"</f>
        <v>0611837807100</v>
      </c>
      <c r="B9741" t="str">
        <f>"LK6939"</f>
        <v>LK6939</v>
      </c>
      <c r="C9741" t="s">
        <v>46137</v>
      </c>
      <c r="D9741" t="s">
        <v>28138</v>
      </c>
      <c r="E9741" t="str">
        <f t="shared" si="152"/>
        <v>001390</v>
      </c>
      <c r="F9741" t="s">
        <v>27246</v>
      </c>
      <c r="G9741" t="s">
        <v>27247</v>
      </c>
      <c r="H9741" t="s">
        <v>27248</v>
      </c>
      <c r="I9741" t="s">
        <v>46138</v>
      </c>
      <c r="J9741" t="s">
        <v>19606</v>
      </c>
      <c r="L9741" t="s">
        <v>27250</v>
      </c>
      <c r="M9741" t="s">
        <v>27251</v>
      </c>
      <c r="N9741" t="s">
        <v>27252</v>
      </c>
      <c r="P9741" t="s">
        <v>27925</v>
      </c>
      <c r="Q9741" s="1">
        <v>44538</v>
      </c>
      <c r="R9741" t="s">
        <v>27253</v>
      </c>
      <c r="S9741" t="s">
        <v>27254</v>
      </c>
      <c r="T9741" t="s">
        <v>27255</v>
      </c>
    </row>
    <row r="9742" spans="1:20" x14ac:dyDescent="0.3">
      <c r="A9742" t="str">
        <f>"0611837808100"</f>
        <v>0611837808100</v>
      </c>
      <c r="B9742" t="str">
        <f>"LK6940"</f>
        <v>LK6940</v>
      </c>
      <c r="C9742" t="s">
        <v>46139</v>
      </c>
      <c r="D9742" t="s">
        <v>28138</v>
      </c>
      <c r="E9742" t="str">
        <f t="shared" si="152"/>
        <v>001390</v>
      </c>
      <c r="F9742" t="s">
        <v>27246</v>
      </c>
      <c r="G9742" t="s">
        <v>27247</v>
      </c>
      <c r="H9742" t="s">
        <v>27248</v>
      </c>
      <c r="I9742" t="s">
        <v>46140</v>
      </c>
      <c r="J9742" t="s">
        <v>19608</v>
      </c>
      <c r="L9742" t="s">
        <v>27250</v>
      </c>
      <c r="M9742" t="s">
        <v>27251</v>
      </c>
      <c r="N9742" t="s">
        <v>27252</v>
      </c>
      <c r="P9742" t="s">
        <v>27925</v>
      </c>
      <c r="Q9742" s="1">
        <v>44538</v>
      </c>
      <c r="R9742" t="s">
        <v>27253</v>
      </c>
      <c r="S9742" t="s">
        <v>27254</v>
      </c>
      <c r="T9742" t="s">
        <v>27255</v>
      </c>
    </row>
    <row r="9743" spans="1:20" x14ac:dyDescent="0.3">
      <c r="A9743" t="str">
        <f>"0611837809100"</f>
        <v>0611837809100</v>
      </c>
      <c r="B9743" t="str">
        <f>"LK6941"</f>
        <v>LK6941</v>
      </c>
      <c r="C9743" t="s">
        <v>46141</v>
      </c>
      <c r="D9743" t="s">
        <v>28138</v>
      </c>
      <c r="E9743" t="str">
        <f t="shared" si="152"/>
        <v>001390</v>
      </c>
      <c r="F9743" t="s">
        <v>27246</v>
      </c>
      <c r="G9743" t="s">
        <v>27247</v>
      </c>
      <c r="H9743" t="s">
        <v>27248</v>
      </c>
      <c r="I9743" t="s">
        <v>46142</v>
      </c>
      <c r="J9743" t="s">
        <v>19610</v>
      </c>
      <c r="L9743" t="s">
        <v>27250</v>
      </c>
      <c r="M9743" t="s">
        <v>27251</v>
      </c>
      <c r="N9743" t="s">
        <v>27252</v>
      </c>
      <c r="P9743" t="s">
        <v>27925</v>
      </c>
      <c r="Q9743" s="1">
        <v>44538</v>
      </c>
      <c r="R9743" t="s">
        <v>27253</v>
      </c>
      <c r="S9743" t="s">
        <v>27254</v>
      </c>
      <c r="T9743" t="s">
        <v>27255</v>
      </c>
    </row>
    <row r="9744" spans="1:20" x14ac:dyDescent="0.3">
      <c r="A9744" t="str">
        <f>"0611837810100"</f>
        <v>0611837810100</v>
      </c>
      <c r="B9744" t="str">
        <f>"LB6236"</f>
        <v>LB6236</v>
      </c>
      <c r="C9744" t="s">
        <v>46143</v>
      </c>
      <c r="D9744" t="s">
        <v>28138</v>
      </c>
      <c r="E9744" t="str">
        <f t="shared" si="152"/>
        <v>001390</v>
      </c>
      <c r="F9744" t="s">
        <v>27246</v>
      </c>
      <c r="G9744" t="s">
        <v>27247</v>
      </c>
      <c r="H9744" t="s">
        <v>27248</v>
      </c>
      <c r="I9744" t="s">
        <v>46144</v>
      </c>
      <c r="J9744" t="s">
        <v>19612</v>
      </c>
      <c r="L9744" t="s">
        <v>27250</v>
      </c>
      <c r="M9744" t="s">
        <v>27251</v>
      </c>
      <c r="N9744" t="s">
        <v>27252</v>
      </c>
      <c r="P9744" t="s">
        <v>27925</v>
      </c>
      <c r="Q9744" s="1">
        <v>44538</v>
      </c>
      <c r="R9744" t="s">
        <v>27253</v>
      </c>
      <c r="S9744" t="s">
        <v>27254</v>
      </c>
      <c r="T9744" t="s">
        <v>27255</v>
      </c>
    </row>
    <row r="9745" spans="1:20" x14ac:dyDescent="0.3">
      <c r="A9745" t="str">
        <f>"0611837811100"</f>
        <v>0611837811100</v>
      </c>
      <c r="B9745" t="str">
        <f>"LB6309"</f>
        <v>LB6309</v>
      </c>
      <c r="C9745" t="s">
        <v>46145</v>
      </c>
      <c r="D9745" t="s">
        <v>28138</v>
      </c>
      <c r="E9745" t="str">
        <f t="shared" si="152"/>
        <v>001390</v>
      </c>
      <c r="F9745" t="s">
        <v>27246</v>
      </c>
      <c r="G9745" t="s">
        <v>27247</v>
      </c>
      <c r="H9745" t="s">
        <v>27248</v>
      </c>
      <c r="I9745" t="s">
        <v>46146</v>
      </c>
      <c r="J9745" t="s">
        <v>19614</v>
      </c>
      <c r="L9745" t="s">
        <v>27250</v>
      </c>
      <c r="M9745" t="s">
        <v>27251</v>
      </c>
      <c r="N9745" t="s">
        <v>27252</v>
      </c>
      <c r="P9745" t="s">
        <v>27925</v>
      </c>
      <c r="Q9745" s="1">
        <v>44538</v>
      </c>
      <c r="R9745" t="s">
        <v>27253</v>
      </c>
      <c r="S9745" t="s">
        <v>27254</v>
      </c>
      <c r="T9745" t="s">
        <v>27255</v>
      </c>
    </row>
    <row r="9746" spans="1:20" x14ac:dyDescent="0.3">
      <c r="A9746" t="str">
        <f>"0611837812100"</f>
        <v>0611837812100</v>
      </c>
      <c r="B9746" t="str">
        <f>"LB6460"</f>
        <v>LB6460</v>
      </c>
      <c r="C9746" t="s">
        <v>46147</v>
      </c>
      <c r="D9746" t="s">
        <v>28138</v>
      </c>
      <c r="E9746" t="str">
        <f t="shared" si="152"/>
        <v>001390</v>
      </c>
      <c r="F9746" t="s">
        <v>27246</v>
      </c>
      <c r="G9746" t="s">
        <v>27247</v>
      </c>
      <c r="H9746" t="s">
        <v>27248</v>
      </c>
      <c r="I9746" t="s">
        <v>46148</v>
      </c>
      <c r="J9746" t="s">
        <v>19616</v>
      </c>
      <c r="L9746" t="s">
        <v>27250</v>
      </c>
      <c r="M9746" t="s">
        <v>27251</v>
      </c>
      <c r="N9746" t="s">
        <v>27252</v>
      </c>
      <c r="P9746" t="s">
        <v>27925</v>
      </c>
      <c r="Q9746" s="1">
        <v>44538</v>
      </c>
      <c r="R9746" t="s">
        <v>27253</v>
      </c>
      <c r="S9746" t="s">
        <v>27254</v>
      </c>
      <c r="T9746" t="s">
        <v>27255</v>
      </c>
    </row>
    <row r="9747" spans="1:20" x14ac:dyDescent="0.3">
      <c r="A9747" t="str">
        <f>"0611837813100"</f>
        <v>0611837813100</v>
      </c>
      <c r="B9747" t="str">
        <f>"LK1347"</f>
        <v>LK1347</v>
      </c>
      <c r="C9747" t="s">
        <v>46149</v>
      </c>
      <c r="D9747" t="s">
        <v>28138</v>
      </c>
      <c r="E9747" t="str">
        <f t="shared" si="152"/>
        <v>001390</v>
      </c>
      <c r="F9747" t="s">
        <v>27246</v>
      </c>
      <c r="G9747" t="s">
        <v>27247</v>
      </c>
      <c r="H9747" t="s">
        <v>27248</v>
      </c>
      <c r="I9747" t="s">
        <v>46150</v>
      </c>
      <c r="J9747" t="s">
        <v>19618</v>
      </c>
      <c r="L9747" t="s">
        <v>27250</v>
      </c>
      <c r="M9747" t="s">
        <v>27251</v>
      </c>
      <c r="N9747" t="s">
        <v>27252</v>
      </c>
      <c r="P9747" t="s">
        <v>27925</v>
      </c>
      <c r="Q9747" s="1">
        <v>44538</v>
      </c>
      <c r="R9747" t="s">
        <v>27253</v>
      </c>
      <c r="S9747" t="s">
        <v>27254</v>
      </c>
      <c r="T9747" t="s">
        <v>27255</v>
      </c>
    </row>
    <row r="9748" spans="1:20" x14ac:dyDescent="0.3">
      <c r="A9748" t="str">
        <f>"0611837814100"</f>
        <v>0611837814100</v>
      </c>
      <c r="B9748" t="str">
        <f>"LB7566"</f>
        <v>LB7566</v>
      </c>
      <c r="C9748" t="s">
        <v>46151</v>
      </c>
      <c r="D9748" t="s">
        <v>28138</v>
      </c>
      <c r="E9748" t="str">
        <f t="shared" si="152"/>
        <v>001390</v>
      </c>
      <c r="F9748" t="s">
        <v>27246</v>
      </c>
      <c r="G9748" t="s">
        <v>27247</v>
      </c>
      <c r="H9748" t="s">
        <v>27248</v>
      </c>
      <c r="I9748" t="s">
        <v>46152</v>
      </c>
      <c r="J9748" t="s">
        <v>19620</v>
      </c>
      <c r="L9748" t="s">
        <v>27250</v>
      </c>
      <c r="M9748" t="s">
        <v>27251</v>
      </c>
      <c r="N9748" t="s">
        <v>27252</v>
      </c>
      <c r="P9748" t="s">
        <v>27925</v>
      </c>
      <c r="Q9748" s="1">
        <v>44538</v>
      </c>
      <c r="R9748" t="s">
        <v>27253</v>
      </c>
      <c r="S9748" t="s">
        <v>27254</v>
      </c>
      <c r="T9748" t="s">
        <v>27255</v>
      </c>
    </row>
    <row r="9749" spans="1:20" x14ac:dyDescent="0.3">
      <c r="A9749" t="str">
        <f>"0611863548050"</f>
        <v>0611863548050</v>
      </c>
      <c r="B9749" t="str">
        <f>"CE1671"</f>
        <v>CE1671</v>
      </c>
      <c r="C9749" t="s">
        <v>46153</v>
      </c>
      <c r="D9749" t="s">
        <v>27923</v>
      </c>
      <c r="E9749" t="str">
        <f t="shared" si="152"/>
        <v>001390</v>
      </c>
      <c r="F9749" t="s">
        <v>27246</v>
      </c>
      <c r="G9749" t="s">
        <v>27247</v>
      </c>
      <c r="H9749" t="s">
        <v>27248</v>
      </c>
      <c r="I9749" t="s">
        <v>46154</v>
      </c>
      <c r="J9749" t="s">
        <v>19622</v>
      </c>
      <c r="L9749" t="s">
        <v>27250</v>
      </c>
      <c r="M9749" t="s">
        <v>27251</v>
      </c>
      <c r="N9749" t="s">
        <v>27252</v>
      </c>
      <c r="P9749" t="s">
        <v>27925</v>
      </c>
      <c r="Q9749" s="1">
        <v>44846</v>
      </c>
      <c r="R9749" t="s">
        <v>27253</v>
      </c>
      <c r="S9749" t="s">
        <v>27254</v>
      </c>
      <c r="T9749" t="s">
        <v>27265</v>
      </c>
    </row>
    <row r="9750" spans="1:20" x14ac:dyDescent="0.3">
      <c r="A9750" t="str">
        <f>"0611863549050"</f>
        <v>0611863549050</v>
      </c>
      <c r="B9750" t="str">
        <f>"CE1672"</f>
        <v>CE1672</v>
      </c>
      <c r="C9750" t="s">
        <v>46155</v>
      </c>
      <c r="D9750" t="s">
        <v>27923</v>
      </c>
      <c r="E9750" t="str">
        <f t="shared" si="152"/>
        <v>001390</v>
      </c>
      <c r="F9750" t="s">
        <v>27246</v>
      </c>
      <c r="G9750" t="s">
        <v>27247</v>
      </c>
      <c r="H9750" t="s">
        <v>27248</v>
      </c>
      <c r="I9750" t="s">
        <v>46156</v>
      </c>
      <c r="J9750" t="s">
        <v>19624</v>
      </c>
      <c r="L9750" t="s">
        <v>27250</v>
      </c>
      <c r="M9750" t="s">
        <v>27251</v>
      </c>
      <c r="N9750" t="s">
        <v>27252</v>
      </c>
      <c r="P9750" t="s">
        <v>27925</v>
      </c>
      <c r="Q9750" s="1">
        <v>44846</v>
      </c>
      <c r="R9750" t="s">
        <v>27253</v>
      </c>
      <c r="S9750" t="s">
        <v>27254</v>
      </c>
      <c r="T9750" t="s">
        <v>27265</v>
      </c>
    </row>
    <row r="9751" spans="1:20" x14ac:dyDescent="0.3">
      <c r="A9751" t="str">
        <f>"0611863550050"</f>
        <v>0611863550050</v>
      </c>
      <c r="B9751" t="str">
        <f>"CE1673"</f>
        <v>CE1673</v>
      </c>
      <c r="C9751" t="s">
        <v>46157</v>
      </c>
      <c r="D9751" t="s">
        <v>27923</v>
      </c>
      <c r="E9751" t="str">
        <f t="shared" si="152"/>
        <v>001390</v>
      </c>
      <c r="F9751" t="s">
        <v>27246</v>
      </c>
      <c r="G9751" t="s">
        <v>27247</v>
      </c>
      <c r="H9751" t="s">
        <v>27248</v>
      </c>
      <c r="I9751" t="s">
        <v>46158</v>
      </c>
      <c r="J9751" t="s">
        <v>19626</v>
      </c>
      <c r="L9751" t="s">
        <v>27250</v>
      </c>
      <c r="M9751" t="s">
        <v>27251</v>
      </c>
      <c r="N9751" t="s">
        <v>27252</v>
      </c>
      <c r="P9751" t="s">
        <v>27925</v>
      </c>
      <c r="Q9751" s="1">
        <v>44846</v>
      </c>
      <c r="R9751" t="s">
        <v>27253</v>
      </c>
      <c r="S9751" t="s">
        <v>27254</v>
      </c>
      <c r="T9751" t="s">
        <v>27265</v>
      </c>
    </row>
    <row r="9752" spans="1:20" x14ac:dyDescent="0.3">
      <c r="A9752" t="str">
        <f>"0611863551050"</f>
        <v>0611863551050</v>
      </c>
      <c r="B9752" t="str">
        <f>"CE1615"</f>
        <v>CE1615</v>
      </c>
      <c r="C9752" t="s">
        <v>46159</v>
      </c>
      <c r="D9752" t="s">
        <v>27923</v>
      </c>
      <c r="E9752" t="str">
        <f t="shared" si="152"/>
        <v>001390</v>
      </c>
      <c r="F9752" t="s">
        <v>27246</v>
      </c>
      <c r="G9752" t="s">
        <v>27247</v>
      </c>
      <c r="H9752" t="s">
        <v>27248</v>
      </c>
      <c r="I9752" t="s">
        <v>46160</v>
      </c>
      <c r="J9752" t="s">
        <v>19628</v>
      </c>
      <c r="L9752" t="s">
        <v>27250</v>
      </c>
      <c r="M9752" t="s">
        <v>27251</v>
      </c>
      <c r="N9752" t="s">
        <v>27252</v>
      </c>
      <c r="P9752" t="s">
        <v>27925</v>
      </c>
      <c r="Q9752" s="1">
        <v>44846</v>
      </c>
      <c r="R9752" t="s">
        <v>27253</v>
      </c>
      <c r="S9752" t="s">
        <v>27254</v>
      </c>
      <c r="T9752" t="s">
        <v>27265</v>
      </c>
    </row>
    <row r="9753" spans="1:20" x14ac:dyDescent="0.3">
      <c r="A9753" t="str">
        <f>"0611884380100"</f>
        <v>0611884380100</v>
      </c>
      <c r="B9753" t="str">
        <f>"LQ0974"</f>
        <v>LQ0974</v>
      </c>
      <c r="C9753" t="s">
        <v>46161</v>
      </c>
      <c r="D9753" t="s">
        <v>27245</v>
      </c>
      <c r="E9753" t="str">
        <f t="shared" si="152"/>
        <v>001390</v>
      </c>
      <c r="F9753" t="s">
        <v>27246</v>
      </c>
      <c r="G9753" t="s">
        <v>27247</v>
      </c>
      <c r="H9753" t="s">
        <v>27248</v>
      </c>
      <c r="I9753" t="s">
        <v>46162</v>
      </c>
      <c r="J9753" t="s">
        <v>19636</v>
      </c>
      <c r="L9753" t="s">
        <v>27430</v>
      </c>
      <c r="M9753" t="s">
        <v>27251</v>
      </c>
      <c r="N9753" t="s">
        <v>27252</v>
      </c>
      <c r="Q9753" s="1">
        <v>45250</v>
      </c>
      <c r="R9753" t="s">
        <v>27253</v>
      </c>
      <c r="S9753" t="s">
        <v>27254</v>
      </c>
      <c r="T9753" t="s">
        <v>27255</v>
      </c>
    </row>
    <row r="9754" spans="1:20" x14ac:dyDescent="0.3">
      <c r="A9754" t="str">
        <f>"0611837815100"</f>
        <v>0611837815100</v>
      </c>
      <c r="B9754" t="str">
        <f>"LB6590"</f>
        <v>LB6590</v>
      </c>
      <c r="C9754" t="s">
        <v>46163</v>
      </c>
      <c r="D9754" t="s">
        <v>27245</v>
      </c>
      <c r="E9754" t="str">
        <f t="shared" si="152"/>
        <v>001390</v>
      </c>
      <c r="F9754" t="s">
        <v>27246</v>
      </c>
      <c r="G9754" t="s">
        <v>27247</v>
      </c>
      <c r="H9754" t="s">
        <v>27248</v>
      </c>
      <c r="I9754" t="s">
        <v>46164</v>
      </c>
      <c r="J9754" t="s">
        <v>19638</v>
      </c>
      <c r="L9754" t="s">
        <v>27250</v>
      </c>
      <c r="M9754" t="s">
        <v>27251</v>
      </c>
      <c r="N9754" t="s">
        <v>27252</v>
      </c>
      <c r="Q9754" s="1">
        <v>44538</v>
      </c>
      <c r="R9754" t="s">
        <v>27253</v>
      </c>
      <c r="S9754" t="s">
        <v>27254</v>
      </c>
      <c r="T9754" t="s">
        <v>27255</v>
      </c>
    </row>
    <row r="9755" spans="1:20" x14ac:dyDescent="0.3">
      <c r="A9755" t="str">
        <f>"0611837817100"</f>
        <v>0611837817100</v>
      </c>
      <c r="B9755" t="str">
        <f>"LS0102"</f>
        <v>LS0102</v>
      </c>
      <c r="C9755" t="s">
        <v>46165</v>
      </c>
      <c r="D9755" t="s">
        <v>27245</v>
      </c>
      <c r="E9755" t="str">
        <f t="shared" si="152"/>
        <v>001390</v>
      </c>
      <c r="F9755" t="s">
        <v>27246</v>
      </c>
      <c r="G9755" t="s">
        <v>27247</v>
      </c>
      <c r="H9755" t="s">
        <v>27248</v>
      </c>
      <c r="I9755" t="s">
        <v>46166</v>
      </c>
      <c r="J9755" t="s">
        <v>19634</v>
      </c>
      <c r="L9755" t="s">
        <v>27250</v>
      </c>
      <c r="M9755" t="s">
        <v>27251</v>
      </c>
      <c r="N9755" t="s">
        <v>27252</v>
      </c>
      <c r="Q9755" s="1">
        <v>44538</v>
      </c>
      <c r="R9755" t="s">
        <v>27253</v>
      </c>
      <c r="S9755" t="s">
        <v>27254</v>
      </c>
      <c r="T9755" t="s">
        <v>27255</v>
      </c>
    </row>
    <row r="9756" spans="1:20" x14ac:dyDescent="0.3">
      <c r="A9756" t="str">
        <f>"0611837818100"</f>
        <v>0611837818100</v>
      </c>
      <c r="B9756" t="str">
        <f>"LQ0962"</f>
        <v>LQ0962</v>
      </c>
      <c r="C9756" t="s">
        <v>46167</v>
      </c>
      <c r="D9756" t="s">
        <v>27245</v>
      </c>
      <c r="E9756" t="str">
        <f t="shared" si="152"/>
        <v>001390</v>
      </c>
      <c r="F9756" t="s">
        <v>27246</v>
      </c>
      <c r="G9756" t="s">
        <v>27247</v>
      </c>
      <c r="H9756" t="s">
        <v>27248</v>
      </c>
      <c r="I9756" t="s">
        <v>46168</v>
      </c>
      <c r="J9756" t="s">
        <v>19640</v>
      </c>
      <c r="L9756" t="s">
        <v>27250</v>
      </c>
      <c r="M9756" t="s">
        <v>27251</v>
      </c>
      <c r="N9756" t="s">
        <v>27252</v>
      </c>
      <c r="Q9756" s="1">
        <v>44538</v>
      </c>
      <c r="R9756" t="s">
        <v>27253</v>
      </c>
      <c r="S9756" t="s">
        <v>27254</v>
      </c>
      <c r="T9756" t="s">
        <v>27255</v>
      </c>
    </row>
    <row r="9757" spans="1:20" x14ac:dyDescent="0.3">
      <c r="A9757" t="str">
        <f>"0611884381100"</f>
        <v>0611884381100</v>
      </c>
      <c r="B9757" t="str">
        <f>"LK7175"</f>
        <v>LK7175</v>
      </c>
      <c r="C9757" t="s">
        <v>46169</v>
      </c>
      <c r="D9757" t="s">
        <v>27245</v>
      </c>
      <c r="E9757" t="str">
        <f t="shared" si="152"/>
        <v>001390</v>
      </c>
      <c r="F9757" t="s">
        <v>27246</v>
      </c>
      <c r="G9757" t="s">
        <v>27247</v>
      </c>
      <c r="H9757" t="s">
        <v>27248</v>
      </c>
      <c r="I9757" t="s">
        <v>46170</v>
      </c>
      <c r="J9757" t="s">
        <v>19642</v>
      </c>
      <c r="L9757" t="s">
        <v>27430</v>
      </c>
      <c r="M9757" t="s">
        <v>27251</v>
      </c>
      <c r="N9757" t="s">
        <v>27252</v>
      </c>
      <c r="Q9757" s="1">
        <v>45250</v>
      </c>
      <c r="R9757" t="s">
        <v>27253</v>
      </c>
      <c r="S9757" t="s">
        <v>27254</v>
      </c>
      <c r="T9757" t="s">
        <v>27255</v>
      </c>
    </row>
    <row r="9758" spans="1:20" x14ac:dyDescent="0.3">
      <c r="A9758" t="str">
        <f>"0611837822100"</f>
        <v>0611837822100</v>
      </c>
      <c r="B9758" t="str">
        <f>"LK0555"</f>
        <v>LK0555</v>
      </c>
      <c r="C9758" t="s">
        <v>46171</v>
      </c>
      <c r="D9758" t="s">
        <v>27245</v>
      </c>
      <c r="E9758" t="str">
        <f t="shared" si="152"/>
        <v>001390</v>
      </c>
      <c r="F9758" t="s">
        <v>27246</v>
      </c>
      <c r="G9758" t="s">
        <v>27247</v>
      </c>
      <c r="H9758" t="s">
        <v>27248</v>
      </c>
      <c r="I9758" t="s">
        <v>46172</v>
      </c>
      <c r="J9758" t="s">
        <v>19644</v>
      </c>
      <c r="L9758" t="s">
        <v>27250</v>
      </c>
      <c r="M9758" t="s">
        <v>27251</v>
      </c>
      <c r="N9758" t="s">
        <v>27252</v>
      </c>
      <c r="Q9758" s="1">
        <v>44538</v>
      </c>
      <c r="R9758" t="s">
        <v>27253</v>
      </c>
      <c r="S9758" t="s">
        <v>27254</v>
      </c>
      <c r="T9758" t="s">
        <v>27255</v>
      </c>
    </row>
    <row r="9759" spans="1:20" x14ac:dyDescent="0.3">
      <c r="A9759" t="str">
        <f>"0611837823100"</f>
        <v>0611837823100</v>
      </c>
      <c r="B9759" t="str">
        <f>"LK2354"</f>
        <v>LK2354</v>
      </c>
      <c r="C9759" t="s">
        <v>46173</v>
      </c>
      <c r="D9759" t="s">
        <v>27245</v>
      </c>
      <c r="E9759" t="str">
        <f t="shared" si="152"/>
        <v>001390</v>
      </c>
      <c r="F9759" t="s">
        <v>27246</v>
      </c>
      <c r="G9759" t="s">
        <v>27247</v>
      </c>
      <c r="H9759" t="s">
        <v>27248</v>
      </c>
      <c r="I9759" t="s">
        <v>46174</v>
      </c>
      <c r="J9759" t="s">
        <v>19646</v>
      </c>
      <c r="L9759" t="s">
        <v>27250</v>
      </c>
      <c r="M9759" t="s">
        <v>27251</v>
      </c>
      <c r="N9759" t="s">
        <v>27252</v>
      </c>
      <c r="Q9759" s="1">
        <v>44538</v>
      </c>
      <c r="R9759" t="s">
        <v>27253</v>
      </c>
      <c r="S9759" t="s">
        <v>27254</v>
      </c>
      <c r="T9759" t="s">
        <v>27255</v>
      </c>
    </row>
    <row r="9760" spans="1:20" x14ac:dyDescent="0.3">
      <c r="A9760" t="str">
        <f>"0611837824100"</f>
        <v>0611837824100</v>
      </c>
      <c r="B9760" t="str">
        <f>"LK2704"</f>
        <v>LK2704</v>
      </c>
      <c r="C9760" t="s">
        <v>46175</v>
      </c>
      <c r="D9760" t="s">
        <v>27245</v>
      </c>
      <c r="E9760" t="str">
        <f t="shared" si="152"/>
        <v>001390</v>
      </c>
      <c r="F9760" t="s">
        <v>27246</v>
      </c>
      <c r="G9760" t="s">
        <v>27247</v>
      </c>
      <c r="H9760" t="s">
        <v>27248</v>
      </c>
      <c r="I9760" t="s">
        <v>46176</v>
      </c>
      <c r="J9760" t="s">
        <v>19648</v>
      </c>
      <c r="L9760" t="s">
        <v>27250</v>
      </c>
      <c r="M9760" t="s">
        <v>27251</v>
      </c>
      <c r="N9760" t="s">
        <v>27252</v>
      </c>
      <c r="Q9760" s="1">
        <v>44538</v>
      </c>
      <c r="R9760" t="s">
        <v>27253</v>
      </c>
      <c r="S9760" t="s">
        <v>27254</v>
      </c>
      <c r="T9760" t="s">
        <v>27255</v>
      </c>
    </row>
    <row r="9761" spans="1:20" x14ac:dyDescent="0.3">
      <c r="A9761" t="str">
        <f>"0611837825100"</f>
        <v>0611837825100</v>
      </c>
      <c r="B9761" t="str">
        <f>"LK3659"</f>
        <v>LK3659</v>
      </c>
      <c r="C9761" t="s">
        <v>46177</v>
      </c>
      <c r="D9761" t="s">
        <v>27245</v>
      </c>
      <c r="E9761" t="str">
        <f t="shared" si="152"/>
        <v>001390</v>
      </c>
      <c r="F9761" t="s">
        <v>27246</v>
      </c>
      <c r="G9761" t="s">
        <v>27247</v>
      </c>
      <c r="H9761" t="s">
        <v>27248</v>
      </c>
      <c r="I9761" t="s">
        <v>46178</v>
      </c>
      <c r="J9761" t="s">
        <v>19650</v>
      </c>
      <c r="L9761" t="s">
        <v>27250</v>
      </c>
      <c r="M9761" t="s">
        <v>27251</v>
      </c>
      <c r="N9761" t="s">
        <v>27252</v>
      </c>
      <c r="Q9761" s="1">
        <v>44538</v>
      </c>
      <c r="R9761" t="s">
        <v>27253</v>
      </c>
      <c r="S9761" t="s">
        <v>27254</v>
      </c>
      <c r="T9761" t="s">
        <v>27255</v>
      </c>
    </row>
    <row r="9762" spans="1:20" x14ac:dyDescent="0.3">
      <c r="A9762" t="str">
        <f>"0611837827100"</f>
        <v>0611837827100</v>
      </c>
      <c r="B9762" t="str">
        <f>"LK3660"</f>
        <v>LK3660</v>
      </c>
      <c r="C9762" t="s">
        <v>46179</v>
      </c>
      <c r="D9762" t="s">
        <v>27245</v>
      </c>
      <c r="E9762" t="str">
        <f t="shared" si="152"/>
        <v>001390</v>
      </c>
      <c r="F9762" t="s">
        <v>27246</v>
      </c>
      <c r="G9762" t="s">
        <v>27247</v>
      </c>
      <c r="H9762" t="s">
        <v>27248</v>
      </c>
      <c r="I9762" t="s">
        <v>46180</v>
      </c>
      <c r="J9762" t="s">
        <v>19652</v>
      </c>
      <c r="L9762" t="s">
        <v>27250</v>
      </c>
      <c r="M9762" t="s">
        <v>27251</v>
      </c>
      <c r="N9762" t="s">
        <v>27252</v>
      </c>
      <c r="Q9762" s="1">
        <v>44538</v>
      </c>
      <c r="R9762" t="s">
        <v>27253</v>
      </c>
      <c r="S9762" t="s">
        <v>27254</v>
      </c>
      <c r="T9762" t="s">
        <v>27255</v>
      </c>
    </row>
    <row r="9763" spans="1:20" x14ac:dyDescent="0.3">
      <c r="A9763" t="str">
        <f>"0611837828100"</f>
        <v>0611837828100</v>
      </c>
      <c r="B9763" t="str">
        <f>"LK2985"</f>
        <v>LK2985</v>
      </c>
      <c r="C9763" t="s">
        <v>46181</v>
      </c>
      <c r="D9763" t="s">
        <v>27245</v>
      </c>
      <c r="E9763" t="str">
        <f t="shared" si="152"/>
        <v>001390</v>
      </c>
      <c r="F9763" t="s">
        <v>27246</v>
      </c>
      <c r="G9763" t="s">
        <v>27247</v>
      </c>
      <c r="H9763" t="s">
        <v>27248</v>
      </c>
      <c r="I9763" t="s">
        <v>46182</v>
      </c>
      <c r="J9763" t="s">
        <v>19654</v>
      </c>
      <c r="L9763" t="s">
        <v>27250</v>
      </c>
      <c r="M9763" t="s">
        <v>27251</v>
      </c>
      <c r="N9763" t="s">
        <v>27252</v>
      </c>
      <c r="Q9763" s="1">
        <v>44538</v>
      </c>
      <c r="R9763" t="s">
        <v>27253</v>
      </c>
      <c r="S9763" t="s">
        <v>27254</v>
      </c>
      <c r="T9763" t="s">
        <v>27255</v>
      </c>
    </row>
    <row r="9764" spans="1:20" x14ac:dyDescent="0.3">
      <c r="A9764" t="str">
        <f>"0611837830100"</f>
        <v>0611837830100</v>
      </c>
      <c r="B9764" t="str">
        <f>"LK0566"</f>
        <v>LK0566</v>
      </c>
      <c r="C9764" t="s">
        <v>46183</v>
      </c>
      <c r="D9764" t="s">
        <v>27245</v>
      </c>
      <c r="E9764" t="str">
        <f t="shared" si="152"/>
        <v>001390</v>
      </c>
      <c r="F9764" t="s">
        <v>27246</v>
      </c>
      <c r="G9764" t="s">
        <v>27247</v>
      </c>
      <c r="H9764" t="s">
        <v>27248</v>
      </c>
      <c r="I9764" t="s">
        <v>46184</v>
      </c>
      <c r="J9764" t="s">
        <v>19656</v>
      </c>
      <c r="L9764" t="s">
        <v>27250</v>
      </c>
      <c r="M9764" t="s">
        <v>27251</v>
      </c>
      <c r="N9764" t="s">
        <v>27252</v>
      </c>
      <c r="Q9764" s="1">
        <v>44538</v>
      </c>
      <c r="R9764" t="s">
        <v>27253</v>
      </c>
      <c r="S9764" t="s">
        <v>27254</v>
      </c>
      <c r="T9764" t="s">
        <v>27255</v>
      </c>
    </row>
    <row r="9765" spans="1:20" x14ac:dyDescent="0.3">
      <c r="A9765" t="str">
        <f>"0611837831100"</f>
        <v>0611837831100</v>
      </c>
      <c r="B9765" t="str">
        <f>"LQ0896"</f>
        <v>LQ0896</v>
      </c>
      <c r="C9765" t="s">
        <v>46185</v>
      </c>
      <c r="D9765" t="s">
        <v>27245</v>
      </c>
      <c r="E9765" t="str">
        <f t="shared" si="152"/>
        <v>001390</v>
      </c>
      <c r="F9765" t="s">
        <v>27246</v>
      </c>
      <c r="G9765" t="s">
        <v>27247</v>
      </c>
      <c r="H9765" t="s">
        <v>27248</v>
      </c>
      <c r="I9765" t="s">
        <v>46186</v>
      </c>
      <c r="J9765" t="s">
        <v>19658</v>
      </c>
      <c r="L9765" t="s">
        <v>27250</v>
      </c>
      <c r="M9765" t="s">
        <v>27251</v>
      </c>
      <c r="N9765" t="s">
        <v>27252</v>
      </c>
      <c r="Q9765" s="1">
        <v>44538</v>
      </c>
      <c r="R9765" t="s">
        <v>27253</v>
      </c>
      <c r="S9765" t="s">
        <v>27254</v>
      </c>
      <c r="T9765" t="s">
        <v>27255</v>
      </c>
    </row>
    <row r="9766" spans="1:20" x14ac:dyDescent="0.3">
      <c r="A9766" t="str">
        <f>"0611863552050"</f>
        <v>0611863552050</v>
      </c>
      <c r="B9766" t="str">
        <f>"CR3558"</f>
        <v>CR3558</v>
      </c>
      <c r="C9766" t="s">
        <v>46185</v>
      </c>
      <c r="D9766" t="s">
        <v>27263</v>
      </c>
      <c r="E9766" t="str">
        <f t="shared" si="152"/>
        <v>001390</v>
      </c>
      <c r="F9766" t="s">
        <v>27246</v>
      </c>
      <c r="G9766" t="s">
        <v>27247</v>
      </c>
      <c r="H9766" t="s">
        <v>27248</v>
      </c>
      <c r="I9766" t="s">
        <v>46187</v>
      </c>
      <c r="J9766" t="s">
        <v>19660</v>
      </c>
      <c r="L9766" t="s">
        <v>27250</v>
      </c>
      <c r="M9766" t="s">
        <v>27251</v>
      </c>
      <c r="N9766" t="s">
        <v>27252</v>
      </c>
      <c r="Q9766" s="1">
        <v>44846</v>
      </c>
      <c r="R9766" t="s">
        <v>27253</v>
      </c>
      <c r="S9766" t="s">
        <v>27254</v>
      </c>
      <c r="T9766" t="s">
        <v>27265</v>
      </c>
    </row>
    <row r="9767" spans="1:20" x14ac:dyDescent="0.3">
      <c r="A9767" t="str">
        <f>"0611863553050"</f>
        <v>0611863553050</v>
      </c>
      <c r="B9767" t="str">
        <f>"CR5227"</f>
        <v>CR5227</v>
      </c>
      <c r="C9767" t="s">
        <v>46188</v>
      </c>
      <c r="D9767" t="s">
        <v>27263</v>
      </c>
      <c r="E9767" t="str">
        <f t="shared" si="152"/>
        <v>001390</v>
      </c>
      <c r="F9767" t="s">
        <v>27246</v>
      </c>
      <c r="G9767" t="s">
        <v>27247</v>
      </c>
      <c r="H9767" t="s">
        <v>27248</v>
      </c>
      <c r="I9767" t="s">
        <v>46189</v>
      </c>
      <c r="J9767" t="s">
        <v>19662</v>
      </c>
      <c r="L9767" t="s">
        <v>27250</v>
      </c>
      <c r="M9767" t="s">
        <v>27251</v>
      </c>
      <c r="N9767" t="s">
        <v>27252</v>
      </c>
      <c r="Q9767" s="1">
        <v>44846</v>
      </c>
      <c r="R9767" t="s">
        <v>27253</v>
      </c>
      <c r="S9767" t="s">
        <v>27254</v>
      </c>
      <c r="T9767" t="s">
        <v>27265</v>
      </c>
    </row>
    <row r="9768" spans="1:20" x14ac:dyDescent="0.3">
      <c r="A9768" t="str">
        <f>"0611863554050"</f>
        <v>0611863554050</v>
      </c>
      <c r="B9768" t="str">
        <f>"CR5004"</f>
        <v>CR5004</v>
      </c>
      <c r="C9768" t="s">
        <v>46190</v>
      </c>
      <c r="D9768" t="s">
        <v>27263</v>
      </c>
      <c r="E9768" t="str">
        <f t="shared" si="152"/>
        <v>001390</v>
      </c>
      <c r="F9768" t="s">
        <v>27246</v>
      </c>
      <c r="G9768" t="s">
        <v>27247</v>
      </c>
      <c r="H9768" t="s">
        <v>27248</v>
      </c>
      <c r="I9768" t="s">
        <v>46191</v>
      </c>
      <c r="J9768" t="s">
        <v>19664</v>
      </c>
      <c r="L9768" t="s">
        <v>27250</v>
      </c>
      <c r="M9768" t="s">
        <v>27251</v>
      </c>
      <c r="N9768" t="s">
        <v>27252</v>
      </c>
      <c r="Q9768" s="1">
        <v>44846</v>
      </c>
      <c r="R9768" t="s">
        <v>27253</v>
      </c>
      <c r="S9768" t="s">
        <v>27254</v>
      </c>
      <c r="T9768" t="s">
        <v>27265</v>
      </c>
    </row>
    <row r="9769" spans="1:20" x14ac:dyDescent="0.3">
      <c r="A9769" t="str">
        <f>"0611857071100"</f>
        <v>0611857071100</v>
      </c>
      <c r="B9769" t="str">
        <f>"LK7058"</f>
        <v>LK7058</v>
      </c>
      <c r="C9769" t="s">
        <v>46192</v>
      </c>
      <c r="D9769" t="s">
        <v>27245</v>
      </c>
      <c r="E9769" t="str">
        <f t="shared" si="152"/>
        <v>001390</v>
      </c>
      <c r="F9769" t="s">
        <v>27246</v>
      </c>
      <c r="G9769" t="s">
        <v>27247</v>
      </c>
      <c r="H9769" t="s">
        <v>27248</v>
      </c>
      <c r="I9769" t="s">
        <v>46193</v>
      </c>
      <c r="J9769" t="s">
        <v>19666</v>
      </c>
      <c r="L9769" t="s">
        <v>27250</v>
      </c>
      <c r="M9769" t="s">
        <v>27251</v>
      </c>
      <c r="N9769" t="s">
        <v>27252</v>
      </c>
      <c r="Q9769" s="1">
        <v>44812</v>
      </c>
      <c r="R9769" t="s">
        <v>27253</v>
      </c>
      <c r="S9769" t="s">
        <v>27254</v>
      </c>
      <c r="T9769" t="s">
        <v>27255</v>
      </c>
    </row>
    <row r="9770" spans="1:20" x14ac:dyDescent="0.3">
      <c r="A9770" t="str">
        <f>"0611863555050"</f>
        <v>0611863555050</v>
      </c>
      <c r="B9770" t="str">
        <f>"CR2138"</f>
        <v>CR2138</v>
      </c>
      <c r="C9770" t="s">
        <v>46194</v>
      </c>
      <c r="D9770" t="s">
        <v>27263</v>
      </c>
      <c r="E9770" t="str">
        <f t="shared" si="152"/>
        <v>001390</v>
      </c>
      <c r="F9770" t="s">
        <v>27246</v>
      </c>
      <c r="G9770" t="s">
        <v>27247</v>
      </c>
      <c r="H9770" t="s">
        <v>27248</v>
      </c>
      <c r="I9770" t="s">
        <v>46195</v>
      </c>
      <c r="J9770" t="s">
        <v>19668</v>
      </c>
      <c r="L9770" t="s">
        <v>27250</v>
      </c>
      <c r="M9770" t="s">
        <v>27251</v>
      </c>
      <c r="N9770" t="s">
        <v>27252</v>
      </c>
      <c r="Q9770" s="1">
        <v>44846</v>
      </c>
      <c r="R9770" t="s">
        <v>27253</v>
      </c>
      <c r="S9770" t="s">
        <v>27254</v>
      </c>
      <c r="T9770" t="s">
        <v>27265</v>
      </c>
    </row>
    <row r="9771" spans="1:20" x14ac:dyDescent="0.3">
      <c r="A9771" t="str">
        <f>"0611837832100"</f>
        <v>0611837832100</v>
      </c>
      <c r="B9771" t="str">
        <f>"LB6576"</f>
        <v>LB6576</v>
      </c>
      <c r="C9771" t="s">
        <v>46196</v>
      </c>
      <c r="D9771" t="s">
        <v>27245</v>
      </c>
      <c r="E9771" t="str">
        <f t="shared" si="152"/>
        <v>001390</v>
      </c>
      <c r="F9771" t="s">
        <v>27246</v>
      </c>
      <c r="G9771" t="s">
        <v>27247</v>
      </c>
      <c r="H9771" t="s">
        <v>27248</v>
      </c>
      <c r="I9771" t="s">
        <v>46197</v>
      </c>
      <c r="J9771" t="s">
        <v>19670</v>
      </c>
      <c r="L9771" t="s">
        <v>27250</v>
      </c>
      <c r="M9771" t="s">
        <v>27251</v>
      </c>
      <c r="N9771" t="s">
        <v>27252</v>
      </c>
      <c r="Q9771" s="1">
        <v>44538</v>
      </c>
      <c r="R9771" t="s">
        <v>27253</v>
      </c>
      <c r="S9771" t="s">
        <v>27254</v>
      </c>
      <c r="T9771" t="s">
        <v>27255</v>
      </c>
    </row>
    <row r="9772" spans="1:20" x14ac:dyDescent="0.3">
      <c r="A9772" t="str">
        <f>"0611837833100"</f>
        <v>0611837833100</v>
      </c>
      <c r="B9772" t="str">
        <f>"LB7582"</f>
        <v>LB7582</v>
      </c>
      <c r="C9772" t="s">
        <v>46198</v>
      </c>
      <c r="D9772" t="s">
        <v>27245</v>
      </c>
      <c r="E9772" t="str">
        <f t="shared" si="152"/>
        <v>001390</v>
      </c>
      <c r="F9772" t="s">
        <v>27246</v>
      </c>
      <c r="G9772" t="s">
        <v>27247</v>
      </c>
      <c r="H9772" t="s">
        <v>27248</v>
      </c>
      <c r="I9772" t="s">
        <v>46199</v>
      </c>
      <c r="J9772" t="s">
        <v>19672</v>
      </c>
      <c r="L9772" t="s">
        <v>27250</v>
      </c>
      <c r="M9772" t="s">
        <v>27251</v>
      </c>
      <c r="N9772" t="s">
        <v>27252</v>
      </c>
      <c r="Q9772" s="1">
        <v>44538</v>
      </c>
      <c r="R9772" t="s">
        <v>27253</v>
      </c>
      <c r="S9772" t="s">
        <v>27254</v>
      </c>
      <c r="T9772" t="s">
        <v>27255</v>
      </c>
    </row>
    <row r="9773" spans="1:20" x14ac:dyDescent="0.3">
      <c r="A9773" t="str">
        <f>"0611837834100"</f>
        <v>0611837834100</v>
      </c>
      <c r="B9773" t="str">
        <f>"LB6577"</f>
        <v>LB6577</v>
      </c>
      <c r="C9773" t="s">
        <v>46200</v>
      </c>
      <c r="D9773" t="s">
        <v>27245</v>
      </c>
      <c r="E9773" t="str">
        <f t="shared" si="152"/>
        <v>001390</v>
      </c>
      <c r="F9773" t="s">
        <v>27246</v>
      </c>
      <c r="G9773" t="s">
        <v>27247</v>
      </c>
      <c r="H9773" t="s">
        <v>27248</v>
      </c>
      <c r="I9773" t="s">
        <v>46201</v>
      </c>
      <c r="J9773" t="s">
        <v>19674</v>
      </c>
      <c r="L9773" t="s">
        <v>27250</v>
      </c>
      <c r="M9773" t="s">
        <v>27251</v>
      </c>
      <c r="N9773" t="s">
        <v>27252</v>
      </c>
      <c r="Q9773" s="1">
        <v>44538</v>
      </c>
      <c r="R9773" t="s">
        <v>27253</v>
      </c>
      <c r="S9773" t="s">
        <v>27254</v>
      </c>
      <c r="T9773" t="s">
        <v>27255</v>
      </c>
    </row>
    <row r="9774" spans="1:20" x14ac:dyDescent="0.3">
      <c r="A9774" t="str">
        <f>"0611837835100"</f>
        <v>0611837835100</v>
      </c>
      <c r="B9774" t="str">
        <f>"LB6575"</f>
        <v>LB6575</v>
      </c>
      <c r="C9774" t="s">
        <v>46202</v>
      </c>
      <c r="D9774" t="s">
        <v>27245</v>
      </c>
      <c r="E9774" t="str">
        <f t="shared" si="152"/>
        <v>001390</v>
      </c>
      <c r="F9774" t="s">
        <v>27246</v>
      </c>
      <c r="G9774" t="s">
        <v>27247</v>
      </c>
      <c r="H9774" t="s">
        <v>27248</v>
      </c>
      <c r="I9774" t="s">
        <v>46203</v>
      </c>
      <c r="J9774" t="s">
        <v>19676</v>
      </c>
      <c r="L9774" t="s">
        <v>27250</v>
      </c>
      <c r="M9774" t="s">
        <v>27251</v>
      </c>
      <c r="N9774" t="s">
        <v>27252</v>
      </c>
      <c r="Q9774" s="1">
        <v>44538</v>
      </c>
      <c r="R9774" t="s">
        <v>27253</v>
      </c>
      <c r="S9774" t="s">
        <v>27254</v>
      </c>
      <c r="T9774" t="s">
        <v>27255</v>
      </c>
    </row>
    <row r="9775" spans="1:20" x14ac:dyDescent="0.3">
      <c r="A9775" t="str">
        <f>"0611837836100"</f>
        <v>0611837836100</v>
      </c>
      <c r="B9775" t="str">
        <f>"LB6579"</f>
        <v>LB6579</v>
      </c>
      <c r="C9775" t="s">
        <v>46204</v>
      </c>
      <c r="D9775" t="s">
        <v>27245</v>
      </c>
      <c r="E9775" t="str">
        <f t="shared" si="152"/>
        <v>001390</v>
      </c>
      <c r="F9775" t="s">
        <v>27246</v>
      </c>
      <c r="G9775" t="s">
        <v>27247</v>
      </c>
      <c r="H9775" t="s">
        <v>27248</v>
      </c>
      <c r="I9775" t="s">
        <v>46205</v>
      </c>
      <c r="J9775" t="s">
        <v>19678</v>
      </c>
      <c r="L9775" t="s">
        <v>27250</v>
      </c>
      <c r="M9775" t="s">
        <v>27251</v>
      </c>
      <c r="N9775" t="s">
        <v>27252</v>
      </c>
      <c r="Q9775" s="1">
        <v>44538</v>
      </c>
      <c r="R9775" t="s">
        <v>27253</v>
      </c>
      <c r="S9775" t="s">
        <v>27254</v>
      </c>
      <c r="T9775" t="s">
        <v>27255</v>
      </c>
    </row>
    <row r="9776" spans="1:20" x14ac:dyDescent="0.3">
      <c r="A9776" t="str">
        <f>"0611837837100"</f>
        <v>0611837837100</v>
      </c>
      <c r="B9776" t="str">
        <f>"LB6580"</f>
        <v>LB6580</v>
      </c>
      <c r="C9776" t="s">
        <v>46206</v>
      </c>
      <c r="D9776" t="s">
        <v>27245</v>
      </c>
      <c r="E9776" t="str">
        <f t="shared" si="152"/>
        <v>001390</v>
      </c>
      <c r="F9776" t="s">
        <v>27246</v>
      </c>
      <c r="G9776" t="s">
        <v>27247</v>
      </c>
      <c r="H9776" t="s">
        <v>27248</v>
      </c>
      <c r="I9776" t="s">
        <v>46207</v>
      </c>
      <c r="J9776" t="s">
        <v>19680</v>
      </c>
      <c r="L9776" t="s">
        <v>27250</v>
      </c>
      <c r="M9776" t="s">
        <v>27251</v>
      </c>
      <c r="N9776" t="s">
        <v>27252</v>
      </c>
      <c r="Q9776" s="1">
        <v>44538</v>
      </c>
      <c r="R9776" t="s">
        <v>27253</v>
      </c>
      <c r="S9776" t="s">
        <v>27254</v>
      </c>
      <c r="T9776" t="s">
        <v>27255</v>
      </c>
    </row>
    <row r="9777" spans="1:20" x14ac:dyDescent="0.3">
      <c r="A9777" t="str">
        <f>"0611837838100"</f>
        <v>0611837838100</v>
      </c>
      <c r="B9777" t="str">
        <f>"LK2963"</f>
        <v>LK2963</v>
      </c>
      <c r="C9777" t="s">
        <v>46208</v>
      </c>
      <c r="D9777" t="s">
        <v>28138</v>
      </c>
      <c r="E9777" t="str">
        <f t="shared" si="152"/>
        <v>001390</v>
      </c>
      <c r="F9777" t="s">
        <v>27246</v>
      </c>
      <c r="G9777" t="s">
        <v>27247</v>
      </c>
      <c r="H9777" t="s">
        <v>27248</v>
      </c>
      <c r="I9777" t="s">
        <v>46209</v>
      </c>
      <c r="J9777" t="s">
        <v>19686</v>
      </c>
      <c r="L9777" t="s">
        <v>27250</v>
      </c>
      <c r="M9777" t="s">
        <v>27251</v>
      </c>
      <c r="N9777" t="s">
        <v>27252</v>
      </c>
      <c r="P9777" t="s">
        <v>27925</v>
      </c>
      <c r="Q9777" s="1">
        <v>44538</v>
      </c>
      <c r="R9777" t="s">
        <v>27253</v>
      </c>
      <c r="S9777" t="s">
        <v>27254</v>
      </c>
      <c r="T9777" t="s">
        <v>27255</v>
      </c>
    </row>
    <row r="9778" spans="1:20" x14ac:dyDescent="0.3">
      <c r="A9778" t="str">
        <f>"0611837839100"</f>
        <v>0611837839100</v>
      </c>
      <c r="B9778" t="str">
        <f>"LB6428"</f>
        <v>LB6428</v>
      </c>
      <c r="C9778" t="s">
        <v>46210</v>
      </c>
      <c r="D9778" t="s">
        <v>28138</v>
      </c>
      <c r="E9778" t="str">
        <f t="shared" si="152"/>
        <v>001390</v>
      </c>
      <c r="F9778" t="s">
        <v>27246</v>
      </c>
      <c r="G9778" t="s">
        <v>27247</v>
      </c>
      <c r="H9778" t="s">
        <v>27248</v>
      </c>
      <c r="I9778" t="s">
        <v>46211</v>
      </c>
      <c r="J9778" t="s">
        <v>19682</v>
      </c>
      <c r="L9778" t="s">
        <v>27250</v>
      </c>
      <c r="M9778" t="s">
        <v>27251</v>
      </c>
      <c r="N9778" t="s">
        <v>27252</v>
      </c>
      <c r="P9778" t="s">
        <v>27925</v>
      </c>
      <c r="Q9778" s="1">
        <v>44538</v>
      </c>
      <c r="R9778" t="s">
        <v>27253</v>
      </c>
      <c r="S9778" t="s">
        <v>27254</v>
      </c>
      <c r="T9778" t="s">
        <v>27255</v>
      </c>
    </row>
    <row r="9779" spans="1:20" x14ac:dyDescent="0.3">
      <c r="A9779" t="str">
        <f>"0611837840100"</f>
        <v>0611837840100</v>
      </c>
      <c r="B9779" t="str">
        <f>"LB6628"</f>
        <v>LB6628</v>
      </c>
      <c r="C9779" t="s">
        <v>46212</v>
      </c>
      <c r="D9779" t="s">
        <v>28138</v>
      </c>
      <c r="E9779" t="str">
        <f t="shared" si="152"/>
        <v>001390</v>
      </c>
      <c r="F9779" t="s">
        <v>27246</v>
      </c>
      <c r="G9779" t="s">
        <v>27247</v>
      </c>
      <c r="H9779" t="s">
        <v>27248</v>
      </c>
      <c r="I9779" t="s">
        <v>46213</v>
      </c>
      <c r="J9779" t="s">
        <v>19684</v>
      </c>
      <c r="L9779" t="s">
        <v>27250</v>
      </c>
      <c r="M9779" t="s">
        <v>27251</v>
      </c>
      <c r="N9779" t="s">
        <v>27252</v>
      </c>
      <c r="P9779" t="s">
        <v>27925</v>
      </c>
      <c r="Q9779" s="1">
        <v>44538</v>
      </c>
      <c r="R9779" t="s">
        <v>27253</v>
      </c>
      <c r="S9779" t="s">
        <v>27254</v>
      </c>
      <c r="T9779" t="s">
        <v>27255</v>
      </c>
    </row>
    <row r="9780" spans="1:20" x14ac:dyDescent="0.3">
      <c r="A9780" t="str">
        <f>"0611837841100"</f>
        <v>0611837841100</v>
      </c>
      <c r="B9780" t="str">
        <f>"LK1349"</f>
        <v>LK1349</v>
      </c>
      <c r="C9780" t="s">
        <v>46214</v>
      </c>
      <c r="D9780" t="s">
        <v>28138</v>
      </c>
      <c r="E9780" t="str">
        <f t="shared" si="152"/>
        <v>001390</v>
      </c>
      <c r="F9780" t="s">
        <v>27246</v>
      </c>
      <c r="G9780" t="s">
        <v>27247</v>
      </c>
      <c r="H9780" t="s">
        <v>27248</v>
      </c>
      <c r="I9780" t="s">
        <v>46215</v>
      </c>
      <c r="J9780" t="s">
        <v>19688</v>
      </c>
      <c r="L9780" t="s">
        <v>27250</v>
      </c>
      <c r="M9780" t="s">
        <v>27251</v>
      </c>
      <c r="N9780" t="s">
        <v>27252</v>
      </c>
      <c r="P9780" t="s">
        <v>27925</v>
      </c>
      <c r="Q9780" s="1">
        <v>44538</v>
      </c>
      <c r="R9780" t="s">
        <v>27253</v>
      </c>
      <c r="S9780" t="s">
        <v>27254</v>
      </c>
      <c r="T9780" t="s">
        <v>27255</v>
      </c>
    </row>
    <row r="9781" spans="1:20" x14ac:dyDescent="0.3">
      <c r="A9781" t="str">
        <f>"0611837842100"</f>
        <v>0611837842100</v>
      </c>
      <c r="B9781" t="str">
        <f>"LB6314"</f>
        <v>LB6314</v>
      </c>
      <c r="C9781" t="s">
        <v>46216</v>
      </c>
      <c r="D9781" t="s">
        <v>28138</v>
      </c>
      <c r="E9781" t="str">
        <f t="shared" si="152"/>
        <v>001390</v>
      </c>
      <c r="F9781" t="s">
        <v>27246</v>
      </c>
      <c r="G9781" t="s">
        <v>27247</v>
      </c>
      <c r="H9781" t="s">
        <v>27248</v>
      </c>
      <c r="I9781" t="s">
        <v>46217</v>
      </c>
      <c r="J9781" t="s">
        <v>19690</v>
      </c>
      <c r="L9781" t="s">
        <v>27250</v>
      </c>
      <c r="M9781" t="s">
        <v>27251</v>
      </c>
      <c r="N9781" t="s">
        <v>27252</v>
      </c>
      <c r="P9781" t="s">
        <v>27925</v>
      </c>
      <c r="Q9781" s="1">
        <v>44538</v>
      </c>
      <c r="R9781" t="s">
        <v>27253</v>
      </c>
      <c r="S9781" t="s">
        <v>27254</v>
      </c>
      <c r="T9781" t="s">
        <v>27255</v>
      </c>
    </row>
    <row r="9782" spans="1:20" x14ac:dyDescent="0.3">
      <c r="A9782" t="str">
        <f>"0611837843100"</f>
        <v>0611837843100</v>
      </c>
      <c r="B9782" t="str">
        <f>"LK2964"</f>
        <v>LK2964</v>
      </c>
      <c r="C9782" t="s">
        <v>46218</v>
      </c>
      <c r="D9782" t="s">
        <v>28138</v>
      </c>
      <c r="E9782" t="str">
        <f t="shared" si="152"/>
        <v>001390</v>
      </c>
      <c r="F9782" t="s">
        <v>27246</v>
      </c>
      <c r="G9782" t="s">
        <v>27247</v>
      </c>
      <c r="H9782" t="s">
        <v>27248</v>
      </c>
      <c r="I9782" t="s">
        <v>46219</v>
      </c>
      <c r="J9782" t="s">
        <v>19692</v>
      </c>
      <c r="L9782" t="s">
        <v>27250</v>
      </c>
      <c r="M9782" t="s">
        <v>27251</v>
      </c>
      <c r="N9782" t="s">
        <v>27252</v>
      </c>
      <c r="P9782" t="s">
        <v>27925</v>
      </c>
      <c r="Q9782" s="1">
        <v>44538</v>
      </c>
      <c r="R9782" t="s">
        <v>27253</v>
      </c>
      <c r="S9782" t="s">
        <v>27254</v>
      </c>
      <c r="T9782" t="s">
        <v>27255</v>
      </c>
    </row>
    <row r="9783" spans="1:20" x14ac:dyDescent="0.3">
      <c r="A9783" t="str">
        <f>"0611837844100"</f>
        <v>0611837844100</v>
      </c>
      <c r="B9783" t="str">
        <f>"LB6429"</f>
        <v>LB6429</v>
      </c>
      <c r="C9783" t="s">
        <v>46220</v>
      </c>
      <c r="D9783" t="s">
        <v>28138</v>
      </c>
      <c r="E9783" t="str">
        <f t="shared" si="152"/>
        <v>001390</v>
      </c>
      <c r="F9783" t="s">
        <v>27246</v>
      </c>
      <c r="G9783" t="s">
        <v>27247</v>
      </c>
      <c r="H9783" t="s">
        <v>27248</v>
      </c>
      <c r="I9783" t="s">
        <v>46221</v>
      </c>
      <c r="J9783" t="s">
        <v>19694</v>
      </c>
      <c r="L9783" t="s">
        <v>27250</v>
      </c>
      <c r="M9783" t="s">
        <v>27251</v>
      </c>
      <c r="N9783" t="s">
        <v>27252</v>
      </c>
      <c r="P9783" t="s">
        <v>27925</v>
      </c>
      <c r="Q9783" s="1">
        <v>44538</v>
      </c>
      <c r="R9783" t="s">
        <v>27253</v>
      </c>
      <c r="S9783" t="s">
        <v>27254</v>
      </c>
      <c r="T9783" t="s">
        <v>27255</v>
      </c>
    </row>
    <row r="9784" spans="1:20" x14ac:dyDescent="0.3">
      <c r="A9784" t="str">
        <f>"0611837845100"</f>
        <v>0611837845100</v>
      </c>
      <c r="B9784" t="str">
        <f>"LB6381"</f>
        <v>LB6381</v>
      </c>
      <c r="C9784" t="s">
        <v>46222</v>
      </c>
      <c r="D9784" t="s">
        <v>28138</v>
      </c>
      <c r="E9784" t="str">
        <f t="shared" si="152"/>
        <v>001390</v>
      </c>
      <c r="F9784" t="s">
        <v>27246</v>
      </c>
      <c r="G9784" t="s">
        <v>27247</v>
      </c>
      <c r="H9784" t="s">
        <v>27248</v>
      </c>
      <c r="I9784" t="s">
        <v>46223</v>
      </c>
      <c r="J9784" t="s">
        <v>19696</v>
      </c>
      <c r="L9784" t="s">
        <v>27250</v>
      </c>
      <c r="M9784" t="s">
        <v>27251</v>
      </c>
      <c r="N9784" t="s">
        <v>27252</v>
      </c>
      <c r="P9784" t="s">
        <v>27925</v>
      </c>
      <c r="Q9784" s="1">
        <v>44538</v>
      </c>
      <c r="R9784" t="s">
        <v>27253</v>
      </c>
      <c r="S9784" t="s">
        <v>27254</v>
      </c>
      <c r="T9784" t="s">
        <v>27255</v>
      </c>
    </row>
    <row r="9785" spans="1:20" x14ac:dyDescent="0.3">
      <c r="A9785" t="str">
        <f>"0611837847100"</f>
        <v>0611837847100</v>
      </c>
      <c r="B9785" t="str">
        <f>"LB6431"</f>
        <v>LB6431</v>
      </c>
      <c r="C9785" t="s">
        <v>46224</v>
      </c>
      <c r="D9785" t="s">
        <v>28138</v>
      </c>
      <c r="E9785" t="str">
        <f t="shared" si="152"/>
        <v>001390</v>
      </c>
      <c r="F9785" t="s">
        <v>27246</v>
      </c>
      <c r="G9785" t="s">
        <v>27247</v>
      </c>
      <c r="H9785" t="s">
        <v>27248</v>
      </c>
      <c r="I9785" t="s">
        <v>46225</v>
      </c>
      <c r="J9785" t="s">
        <v>19698</v>
      </c>
      <c r="L9785" t="s">
        <v>27250</v>
      </c>
      <c r="M9785" t="s">
        <v>27251</v>
      </c>
      <c r="N9785" t="s">
        <v>27252</v>
      </c>
      <c r="P9785" t="s">
        <v>27925</v>
      </c>
      <c r="Q9785" s="1">
        <v>44538</v>
      </c>
      <c r="R9785" t="s">
        <v>27253</v>
      </c>
      <c r="S9785" t="s">
        <v>27254</v>
      </c>
      <c r="T9785" t="s">
        <v>27255</v>
      </c>
    </row>
    <row r="9786" spans="1:20" x14ac:dyDescent="0.3">
      <c r="A9786" t="str">
        <f>"0611837848100"</f>
        <v>0611837848100</v>
      </c>
      <c r="B9786" t="str">
        <f>"LK1733"</f>
        <v>LK1733</v>
      </c>
      <c r="C9786" t="s">
        <v>46226</v>
      </c>
      <c r="D9786" t="s">
        <v>28138</v>
      </c>
      <c r="E9786" t="str">
        <f t="shared" si="152"/>
        <v>001390</v>
      </c>
      <c r="F9786" t="s">
        <v>27246</v>
      </c>
      <c r="G9786" t="s">
        <v>27247</v>
      </c>
      <c r="H9786" t="s">
        <v>27248</v>
      </c>
      <c r="I9786" t="s">
        <v>46227</v>
      </c>
      <c r="J9786" t="s">
        <v>19700</v>
      </c>
      <c r="L9786" t="s">
        <v>27250</v>
      </c>
      <c r="M9786" t="s">
        <v>27251</v>
      </c>
      <c r="N9786" t="s">
        <v>27252</v>
      </c>
      <c r="P9786" t="s">
        <v>27925</v>
      </c>
      <c r="Q9786" s="1">
        <v>44538</v>
      </c>
      <c r="R9786" t="s">
        <v>27253</v>
      </c>
      <c r="S9786" t="s">
        <v>27254</v>
      </c>
      <c r="T9786" t="s">
        <v>27255</v>
      </c>
    </row>
    <row r="9787" spans="1:20" x14ac:dyDescent="0.3">
      <c r="A9787" t="str">
        <f>"0611837849100"</f>
        <v>0611837849100</v>
      </c>
      <c r="B9787" t="str">
        <f>"LB6432"</f>
        <v>LB6432</v>
      </c>
      <c r="C9787" t="s">
        <v>46228</v>
      </c>
      <c r="D9787" t="s">
        <v>28138</v>
      </c>
      <c r="E9787" t="str">
        <f t="shared" si="152"/>
        <v>001390</v>
      </c>
      <c r="F9787" t="s">
        <v>27246</v>
      </c>
      <c r="G9787" t="s">
        <v>27247</v>
      </c>
      <c r="H9787" t="s">
        <v>27248</v>
      </c>
      <c r="I9787" t="s">
        <v>46229</v>
      </c>
      <c r="J9787" t="s">
        <v>19702</v>
      </c>
      <c r="L9787" t="s">
        <v>27250</v>
      </c>
      <c r="M9787" t="s">
        <v>27251</v>
      </c>
      <c r="N9787" t="s">
        <v>27252</v>
      </c>
      <c r="P9787" t="s">
        <v>27925</v>
      </c>
      <c r="Q9787" s="1">
        <v>44538</v>
      </c>
      <c r="R9787" t="s">
        <v>27253</v>
      </c>
      <c r="S9787" t="s">
        <v>27254</v>
      </c>
      <c r="T9787" t="s">
        <v>27255</v>
      </c>
    </row>
    <row r="9788" spans="1:20" x14ac:dyDescent="0.3">
      <c r="A9788" t="str">
        <f>"0611837850100"</f>
        <v>0611837850100</v>
      </c>
      <c r="B9788" t="str">
        <f>"LB6433"</f>
        <v>LB6433</v>
      </c>
      <c r="C9788" t="s">
        <v>46230</v>
      </c>
      <c r="D9788" t="s">
        <v>28138</v>
      </c>
      <c r="E9788" t="str">
        <f t="shared" si="152"/>
        <v>001390</v>
      </c>
      <c r="F9788" t="s">
        <v>27246</v>
      </c>
      <c r="G9788" t="s">
        <v>27247</v>
      </c>
      <c r="H9788" t="s">
        <v>27248</v>
      </c>
      <c r="I9788" t="s">
        <v>46231</v>
      </c>
      <c r="J9788" t="s">
        <v>19704</v>
      </c>
      <c r="L9788" t="s">
        <v>27250</v>
      </c>
      <c r="M9788" t="s">
        <v>27251</v>
      </c>
      <c r="N9788" t="s">
        <v>27252</v>
      </c>
      <c r="P9788" t="s">
        <v>27925</v>
      </c>
      <c r="Q9788" s="1">
        <v>44538</v>
      </c>
      <c r="R9788" t="s">
        <v>27253</v>
      </c>
      <c r="S9788" t="s">
        <v>27254</v>
      </c>
      <c r="T9788" t="s">
        <v>27255</v>
      </c>
    </row>
    <row r="9789" spans="1:20" x14ac:dyDescent="0.3">
      <c r="A9789" t="str">
        <f>"0611837853100"</f>
        <v>0611837853100</v>
      </c>
      <c r="B9789" t="str">
        <f>"LK1350"</f>
        <v>LK1350</v>
      </c>
      <c r="C9789" t="s">
        <v>46232</v>
      </c>
      <c r="D9789" t="s">
        <v>28138</v>
      </c>
      <c r="E9789" t="str">
        <f t="shared" si="152"/>
        <v>001390</v>
      </c>
      <c r="F9789" t="s">
        <v>27246</v>
      </c>
      <c r="G9789" t="s">
        <v>27247</v>
      </c>
      <c r="H9789" t="s">
        <v>27248</v>
      </c>
      <c r="I9789" t="s">
        <v>46233</v>
      </c>
      <c r="J9789" t="s">
        <v>19706</v>
      </c>
      <c r="L9789" t="s">
        <v>27250</v>
      </c>
      <c r="M9789" t="s">
        <v>27251</v>
      </c>
      <c r="N9789" t="s">
        <v>27252</v>
      </c>
      <c r="P9789" t="s">
        <v>27925</v>
      </c>
      <c r="Q9789" s="1">
        <v>44538</v>
      </c>
      <c r="R9789" t="s">
        <v>27253</v>
      </c>
      <c r="S9789" t="s">
        <v>27254</v>
      </c>
      <c r="T9789" t="s">
        <v>27255</v>
      </c>
    </row>
    <row r="9790" spans="1:20" x14ac:dyDescent="0.3">
      <c r="A9790" t="str">
        <f>"0611837854100"</f>
        <v>0611837854100</v>
      </c>
      <c r="B9790" t="str">
        <f>"LB6435"</f>
        <v>LB6435</v>
      </c>
      <c r="C9790" t="s">
        <v>46234</v>
      </c>
      <c r="D9790" t="s">
        <v>28138</v>
      </c>
      <c r="E9790" t="str">
        <f t="shared" si="152"/>
        <v>001390</v>
      </c>
      <c r="F9790" t="s">
        <v>27246</v>
      </c>
      <c r="G9790" t="s">
        <v>27247</v>
      </c>
      <c r="H9790" t="s">
        <v>27248</v>
      </c>
      <c r="I9790" t="s">
        <v>46235</v>
      </c>
      <c r="J9790" t="s">
        <v>19708</v>
      </c>
      <c r="L9790" t="s">
        <v>27250</v>
      </c>
      <c r="M9790" t="s">
        <v>27251</v>
      </c>
      <c r="N9790" t="s">
        <v>27252</v>
      </c>
      <c r="P9790" t="s">
        <v>27925</v>
      </c>
      <c r="Q9790" s="1">
        <v>44538</v>
      </c>
      <c r="R9790" t="s">
        <v>27253</v>
      </c>
      <c r="S9790" t="s">
        <v>27254</v>
      </c>
      <c r="T9790" t="s">
        <v>27255</v>
      </c>
    </row>
    <row r="9791" spans="1:20" x14ac:dyDescent="0.3">
      <c r="A9791" t="str">
        <f>"0611863556050"</f>
        <v>0611863556050</v>
      </c>
      <c r="B9791" t="str">
        <f>"CE1494"</f>
        <v>CE1494</v>
      </c>
      <c r="C9791" t="s">
        <v>46236</v>
      </c>
      <c r="D9791" t="s">
        <v>27923</v>
      </c>
      <c r="E9791" t="str">
        <f t="shared" si="152"/>
        <v>001390</v>
      </c>
      <c r="F9791" t="s">
        <v>27246</v>
      </c>
      <c r="G9791" t="s">
        <v>27247</v>
      </c>
      <c r="H9791" t="s">
        <v>27248</v>
      </c>
      <c r="I9791" t="s">
        <v>46237</v>
      </c>
      <c r="J9791" t="s">
        <v>19710</v>
      </c>
      <c r="L9791" t="s">
        <v>27250</v>
      </c>
      <c r="M9791" t="s">
        <v>27251</v>
      </c>
      <c r="N9791" t="s">
        <v>27252</v>
      </c>
      <c r="P9791" t="s">
        <v>27925</v>
      </c>
      <c r="Q9791" s="1">
        <v>44846</v>
      </c>
      <c r="R9791" t="s">
        <v>27253</v>
      </c>
      <c r="S9791" t="s">
        <v>27254</v>
      </c>
      <c r="T9791" t="s">
        <v>27265</v>
      </c>
    </row>
    <row r="9792" spans="1:20" x14ac:dyDescent="0.3">
      <c r="A9792" t="str">
        <f>"0611884382050"</f>
        <v>0611884382050</v>
      </c>
      <c r="B9792" t="str">
        <f>"CE1728"</f>
        <v>CE1728</v>
      </c>
      <c r="C9792" t="s">
        <v>46238</v>
      </c>
      <c r="D9792" t="s">
        <v>27923</v>
      </c>
      <c r="E9792" t="str">
        <f t="shared" si="152"/>
        <v>001390</v>
      </c>
      <c r="F9792" t="s">
        <v>27246</v>
      </c>
      <c r="G9792" t="s">
        <v>27247</v>
      </c>
      <c r="H9792" t="s">
        <v>27248</v>
      </c>
      <c r="I9792" t="s">
        <v>46239</v>
      </c>
      <c r="J9792" t="s">
        <v>19712</v>
      </c>
      <c r="L9792" t="s">
        <v>27430</v>
      </c>
      <c r="M9792" t="s">
        <v>27251</v>
      </c>
      <c r="N9792" t="s">
        <v>27252</v>
      </c>
      <c r="P9792" t="s">
        <v>27925</v>
      </c>
      <c r="Q9792" s="1">
        <v>45250</v>
      </c>
      <c r="R9792" t="s">
        <v>27253</v>
      </c>
      <c r="S9792" t="s">
        <v>27254</v>
      </c>
      <c r="T9792" t="s">
        <v>27265</v>
      </c>
    </row>
    <row r="9793" spans="1:20" x14ac:dyDescent="0.3">
      <c r="A9793" t="str">
        <f>"0611863557050"</f>
        <v>0611863557050</v>
      </c>
      <c r="B9793" t="str">
        <f>"CE1616"</f>
        <v>CE1616</v>
      </c>
      <c r="C9793" t="s">
        <v>46240</v>
      </c>
      <c r="D9793" t="s">
        <v>27923</v>
      </c>
      <c r="E9793" t="str">
        <f t="shared" si="152"/>
        <v>001390</v>
      </c>
      <c r="F9793" t="s">
        <v>27246</v>
      </c>
      <c r="G9793" t="s">
        <v>27247</v>
      </c>
      <c r="H9793" t="s">
        <v>27248</v>
      </c>
      <c r="I9793" t="s">
        <v>46241</v>
      </c>
      <c r="J9793" t="s">
        <v>19714</v>
      </c>
      <c r="L9793" t="s">
        <v>27250</v>
      </c>
      <c r="M9793" t="s">
        <v>27251</v>
      </c>
      <c r="N9793" t="s">
        <v>27252</v>
      </c>
      <c r="P9793" t="s">
        <v>27925</v>
      </c>
      <c r="Q9793" s="1">
        <v>44846</v>
      </c>
      <c r="R9793" t="s">
        <v>27253</v>
      </c>
      <c r="S9793" t="s">
        <v>27254</v>
      </c>
      <c r="T9793" t="s">
        <v>27265</v>
      </c>
    </row>
    <row r="9794" spans="1:20" x14ac:dyDescent="0.3">
      <c r="A9794" t="str">
        <f>"0611837856100"</f>
        <v>0611837856100</v>
      </c>
      <c r="B9794" t="str">
        <f>"LK2609"</f>
        <v>LK2609</v>
      </c>
      <c r="C9794" t="s">
        <v>46242</v>
      </c>
      <c r="D9794" t="s">
        <v>27245</v>
      </c>
      <c r="E9794" t="str">
        <f t="shared" ref="E9794:E9857" si="153">"001390"</f>
        <v>001390</v>
      </c>
      <c r="F9794" t="s">
        <v>27246</v>
      </c>
      <c r="G9794" t="s">
        <v>27247</v>
      </c>
      <c r="H9794" t="s">
        <v>27248</v>
      </c>
      <c r="I9794" t="s">
        <v>46243</v>
      </c>
      <c r="J9794" t="s">
        <v>19716</v>
      </c>
      <c r="L9794" t="s">
        <v>27250</v>
      </c>
      <c r="M9794" t="s">
        <v>27251</v>
      </c>
      <c r="N9794" t="s">
        <v>27252</v>
      </c>
      <c r="Q9794" s="1">
        <v>44538</v>
      </c>
      <c r="R9794" t="s">
        <v>27253</v>
      </c>
      <c r="S9794" t="s">
        <v>27254</v>
      </c>
      <c r="T9794" t="s">
        <v>27255</v>
      </c>
    </row>
    <row r="9795" spans="1:20" x14ac:dyDescent="0.3">
      <c r="A9795" t="str">
        <f>"0611837858100"</f>
        <v>0611837858100</v>
      </c>
      <c r="B9795" t="str">
        <f>"LK2348"</f>
        <v>LK2348</v>
      </c>
      <c r="C9795" t="s">
        <v>46244</v>
      </c>
      <c r="D9795" t="s">
        <v>27245</v>
      </c>
      <c r="E9795" t="str">
        <f t="shared" si="153"/>
        <v>001390</v>
      </c>
      <c r="F9795" t="s">
        <v>27246</v>
      </c>
      <c r="G9795" t="s">
        <v>27247</v>
      </c>
      <c r="H9795" t="s">
        <v>27248</v>
      </c>
      <c r="I9795" t="s">
        <v>46245</v>
      </c>
      <c r="J9795" t="s">
        <v>19718</v>
      </c>
      <c r="L9795" t="s">
        <v>27250</v>
      </c>
      <c r="M9795" t="s">
        <v>27251</v>
      </c>
      <c r="N9795" t="s">
        <v>27252</v>
      </c>
      <c r="Q9795" s="1">
        <v>44538</v>
      </c>
      <c r="R9795" t="s">
        <v>27253</v>
      </c>
      <c r="S9795" t="s">
        <v>27254</v>
      </c>
      <c r="T9795" t="s">
        <v>27255</v>
      </c>
    </row>
    <row r="9796" spans="1:20" x14ac:dyDescent="0.3">
      <c r="A9796" t="str">
        <f>"0611837859100"</f>
        <v>0611837859100</v>
      </c>
      <c r="B9796" t="str">
        <f>"LK6942"</f>
        <v>LK6942</v>
      </c>
      <c r="C9796" t="s">
        <v>46246</v>
      </c>
      <c r="D9796" t="s">
        <v>27245</v>
      </c>
      <c r="E9796" t="str">
        <f t="shared" si="153"/>
        <v>001390</v>
      </c>
      <c r="F9796" t="s">
        <v>27246</v>
      </c>
      <c r="G9796" t="s">
        <v>27247</v>
      </c>
      <c r="H9796" t="s">
        <v>27248</v>
      </c>
      <c r="I9796" t="s">
        <v>46247</v>
      </c>
      <c r="J9796" t="s">
        <v>19720</v>
      </c>
      <c r="L9796" t="s">
        <v>27250</v>
      </c>
      <c r="M9796" t="s">
        <v>27251</v>
      </c>
      <c r="N9796" t="s">
        <v>27252</v>
      </c>
      <c r="Q9796" s="1">
        <v>44538</v>
      </c>
      <c r="R9796" t="s">
        <v>27253</v>
      </c>
      <c r="S9796" t="s">
        <v>27254</v>
      </c>
      <c r="T9796" t="s">
        <v>27255</v>
      </c>
    </row>
    <row r="9797" spans="1:20" x14ac:dyDescent="0.3">
      <c r="A9797" t="str">
        <f>"0611837860100"</f>
        <v>0611837860100</v>
      </c>
      <c r="B9797" t="str">
        <f>"LK6943"</f>
        <v>LK6943</v>
      </c>
      <c r="C9797" t="s">
        <v>46248</v>
      </c>
      <c r="D9797" t="s">
        <v>27245</v>
      </c>
      <c r="E9797" t="str">
        <f t="shared" si="153"/>
        <v>001390</v>
      </c>
      <c r="F9797" t="s">
        <v>27246</v>
      </c>
      <c r="G9797" t="s">
        <v>27247</v>
      </c>
      <c r="H9797" t="s">
        <v>27248</v>
      </c>
      <c r="I9797" t="s">
        <v>46249</v>
      </c>
      <c r="J9797" t="s">
        <v>19722</v>
      </c>
      <c r="L9797" t="s">
        <v>27250</v>
      </c>
      <c r="M9797" t="s">
        <v>27251</v>
      </c>
      <c r="N9797" t="s">
        <v>27252</v>
      </c>
      <c r="Q9797" s="1">
        <v>44538</v>
      </c>
      <c r="R9797" t="s">
        <v>27253</v>
      </c>
      <c r="S9797" t="s">
        <v>27254</v>
      </c>
      <c r="T9797" t="s">
        <v>27255</v>
      </c>
    </row>
    <row r="9798" spans="1:20" x14ac:dyDescent="0.3">
      <c r="A9798" t="str">
        <f>"0611837861100"</f>
        <v>0611837861100</v>
      </c>
      <c r="B9798" t="str">
        <f>"LK2967"</f>
        <v>LK2967</v>
      </c>
      <c r="C9798" t="s">
        <v>46250</v>
      </c>
      <c r="D9798" t="s">
        <v>27245</v>
      </c>
      <c r="E9798" t="str">
        <f t="shared" si="153"/>
        <v>001390</v>
      </c>
      <c r="F9798" t="s">
        <v>27246</v>
      </c>
      <c r="G9798" t="s">
        <v>27247</v>
      </c>
      <c r="H9798" t="s">
        <v>27248</v>
      </c>
      <c r="I9798" t="s">
        <v>46251</v>
      </c>
      <c r="J9798" t="s">
        <v>19724</v>
      </c>
      <c r="L9798" t="s">
        <v>27250</v>
      </c>
      <c r="M9798" t="s">
        <v>27251</v>
      </c>
      <c r="N9798" t="s">
        <v>27252</v>
      </c>
      <c r="Q9798" s="1">
        <v>44538</v>
      </c>
      <c r="R9798" t="s">
        <v>27253</v>
      </c>
      <c r="S9798" t="s">
        <v>27254</v>
      </c>
      <c r="T9798" t="s">
        <v>27255</v>
      </c>
    </row>
    <row r="9799" spans="1:20" x14ac:dyDescent="0.3">
      <c r="A9799" t="str">
        <f>"0611837862100"</f>
        <v>0611837862100</v>
      </c>
      <c r="B9799" t="str">
        <f>"LK2968"</f>
        <v>LK2968</v>
      </c>
      <c r="C9799" t="s">
        <v>46252</v>
      </c>
      <c r="D9799" t="s">
        <v>27245</v>
      </c>
      <c r="E9799" t="str">
        <f t="shared" si="153"/>
        <v>001390</v>
      </c>
      <c r="F9799" t="s">
        <v>27246</v>
      </c>
      <c r="G9799" t="s">
        <v>27247</v>
      </c>
      <c r="H9799" t="s">
        <v>27248</v>
      </c>
      <c r="I9799" t="s">
        <v>46253</v>
      </c>
      <c r="J9799" t="s">
        <v>19726</v>
      </c>
      <c r="L9799" t="s">
        <v>27250</v>
      </c>
      <c r="M9799" t="s">
        <v>27251</v>
      </c>
      <c r="N9799" t="s">
        <v>27252</v>
      </c>
      <c r="Q9799" s="1">
        <v>44538</v>
      </c>
      <c r="R9799" t="s">
        <v>27253</v>
      </c>
      <c r="S9799" t="s">
        <v>27254</v>
      </c>
      <c r="T9799" t="s">
        <v>27255</v>
      </c>
    </row>
    <row r="9800" spans="1:20" x14ac:dyDescent="0.3">
      <c r="A9800" t="str">
        <f>"0611837863100"</f>
        <v>0611837863100</v>
      </c>
      <c r="B9800" t="str">
        <f>"LK6944"</f>
        <v>LK6944</v>
      </c>
      <c r="C9800" t="s">
        <v>46254</v>
      </c>
      <c r="D9800" t="s">
        <v>27245</v>
      </c>
      <c r="E9800" t="str">
        <f t="shared" si="153"/>
        <v>001390</v>
      </c>
      <c r="F9800" t="s">
        <v>27246</v>
      </c>
      <c r="G9800" t="s">
        <v>27247</v>
      </c>
      <c r="H9800" t="s">
        <v>27248</v>
      </c>
      <c r="I9800" t="s">
        <v>46255</v>
      </c>
      <c r="J9800" t="s">
        <v>19728</v>
      </c>
      <c r="L9800" t="s">
        <v>27250</v>
      </c>
      <c r="M9800" t="s">
        <v>27251</v>
      </c>
      <c r="N9800" t="s">
        <v>27252</v>
      </c>
      <c r="Q9800" s="1">
        <v>44538</v>
      </c>
      <c r="R9800" t="s">
        <v>27253</v>
      </c>
      <c r="S9800" t="s">
        <v>27254</v>
      </c>
      <c r="T9800" t="s">
        <v>27255</v>
      </c>
    </row>
    <row r="9801" spans="1:20" x14ac:dyDescent="0.3">
      <c r="A9801" t="str">
        <f>"0611837864100"</f>
        <v>0611837864100</v>
      </c>
      <c r="B9801" t="str">
        <f>"LK6656"</f>
        <v>LK6656</v>
      </c>
      <c r="C9801" t="s">
        <v>46256</v>
      </c>
      <c r="D9801" t="s">
        <v>27245</v>
      </c>
      <c r="E9801" t="str">
        <f t="shared" si="153"/>
        <v>001390</v>
      </c>
      <c r="F9801" t="s">
        <v>27246</v>
      </c>
      <c r="G9801" t="s">
        <v>27247</v>
      </c>
      <c r="H9801" t="s">
        <v>27248</v>
      </c>
      <c r="I9801" t="s">
        <v>46257</v>
      </c>
      <c r="J9801" t="s">
        <v>19730</v>
      </c>
      <c r="L9801" t="s">
        <v>27250</v>
      </c>
      <c r="M9801" t="s">
        <v>27251</v>
      </c>
      <c r="N9801" t="s">
        <v>27252</v>
      </c>
      <c r="Q9801" s="1">
        <v>44538</v>
      </c>
      <c r="R9801" t="s">
        <v>27253</v>
      </c>
      <c r="S9801" t="s">
        <v>27254</v>
      </c>
      <c r="T9801" t="s">
        <v>27255</v>
      </c>
    </row>
    <row r="9802" spans="1:20" x14ac:dyDescent="0.3">
      <c r="A9802" t="str">
        <f>"0611837865100"</f>
        <v>0611837865100</v>
      </c>
      <c r="B9802" t="str">
        <f>"LK6945"</f>
        <v>LK6945</v>
      </c>
      <c r="C9802" t="s">
        <v>46258</v>
      </c>
      <c r="D9802" t="s">
        <v>27245</v>
      </c>
      <c r="E9802" t="str">
        <f t="shared" si="153"/>
        <v>001390</v>
      </c>
      <c r="F9802" t="s">
        <v>27246</v>
      </c>
      <c r="G9802" t="s">
        <v>27247</v>
      </c>
      <c r="H9802" t="s">
        <v>27248</v>
      </c>
      <c r="I9802" t="s">
        <v>46259</v>
      </c>
      <c r="J9802" t="s">
        <v>19732</v>
      </c>
      <c r="L9802" t="s">
        <v>27250</v>
      </c>
      <c r="M9802" t="s">
        <v>27251</v>
      </c>
      <c r="N9802" t="s">
        <v>27252</v>
      </c>
      <c r="Q9802" s="1">
        <v>44538</v>
      </c>
      <c r="R9802" t="s">
        <v>27253</v>
      </c>
      <c r="S9802" t="s">
        <v>27254</v>
      </c>
      <c r="T9802" t="s">
        <v>27255</v>
      </c>
    </row>
    <row r="9803" spans="1:20" x14ac:dyDescent="0.3">
      <c r="A9803" t="str">
        <f>"0611837866100"</f>
        <v>0611837866100</v>
      </c>
      <c r="B9803" t="str">
        <f>"LK5525"</f>
        <v>LK5525</v>
      </c>
      <c r="C9803" t="s">
        <v>46260</v>
      </c>
      <c r="D9803" t="s">
        <v>27245</v>
      </c>
      <c r="E9803" t="str">
        <f t="shared" si="153"/>
        <v>001390</v>
      </c>
      <c r="F9803" t="s">
        <v>27246</v>
      </c>
      <c r="G9803" t="s">
        <v>27247</v>
      </c>
      <c r="H9803" t="s">
        <v>27248</v>
      </c>
      <c r="I9803" t="s">
        <v>46261</v>
      </c>
      <c r="J9803" t="s">
        <v>19734</v>
      </c>
      <c r="L9803" t="s">
        <v>27250</v>
      </c>
      <c r="M9803" t="s">
        <v>27251</v>
      </c>
      <c r="N9803" t="s">
        <v>27252</v>
      </c>
      <c r="Q9803" s="1">
        <v>44538</v>
      </c>
      <c r="R9803" t="s">
        <v>27253</v>
      </c>
      <c r="S9803" t="s">
        <v>27254</v>
      </c>
      <c r="T9803" t="s">
        <v>27255</v>
      </c>
    </row>
    <row r="9804" spans="1:20" x14ac:dyDescent="0.3">
      <c r="A9804" t="str">
        <f>"0611837867100"</f>
        <v>0611837867100</v>
      </c>
      <c r="B9804" t="str">
        <f>"LK2969"</f>
        <v>LK2969</v>
      </c>
      <c r="C9804" t="s">
        <v>46262</v>
      </c>
      <c r="D9804" t="s">
        <v>27245</v>
      </c>
      <c r="E9804" t="str">
        <f t="shared" si="153"/>
        <v>001390</v>
      </c>
      <c r="F9804" t="s">
        <v>27246</v>
      </c>
      <c r="G9804" t="s">
        <v>27247</v>
      </c>
      <c r="H9804" t="s">
        <v>27248</v>
      </c>
      <c r="I9804" t="s">
        <v>46263</v>
      </c>
      <c r="J9804" t="s">
        <v>19736</v>
      </c>
      <c r="L9804" t="s">
        <v>27250</v>
      </c>
      <c r="M9804" t="s">
        <v>27251</v>
      </c>
      <c r="N9804" t="s">
        <v>27252</v>
      </c>
      <c r="Q9804" s="1">
        <v>44538</v>
      </c>
      <c r="R9804" t="s">
        <v>27253</v>
      </c>
      <c r="S9804" t="s">
        <v>27254</v>
      </c>
      <c r="T9804" t="s">
        <v>27255</v>
      </c>
    </row>
    <row r="9805" spans="1:20" x14ac:dyDescent="0.3">
      <c r="A9805" t="str">
        <f>"0611837868100"</f>
        <v>0611837868100</v>
      </c>
      <c r="B9805" t="str">
        <f>"LK3982"</f>
        <v>LK3982</v>
      </c>
      <c r="C9805" t="s">
        <v>46264</v>
      </c>
      <c r="D9805" t="s">
        <v>27245</v>
      </c>
      <c r="E9805" t="str">
        <f t="shared" si="153"/>
        <v>001390</v>
      </c>
      <c r="F9805" t="s">
        <v>27246</v>
      </c>
      <c r="G9805" t="s">
        <v>27247</v>
      </c>
      <c r="H9805" t="s">
        <v>27248</v>
      </c>
      <c r="I9805" t="s">
        <v>46265</v>
      </c>
      <c r="J9805" t="s">
        <v>19738</v>
      </c>
      <c r="L9805" t="s">
        <v>27250</v>
      </c>
      <c r="M9805" t="s">
        <v>27251</v>
      </c>
      <c r="N9805" t="s">
        <v>27252</v>
      </c>
      <c r="Q9805" s="1">
        <v>44538</v>
      </c>
      <c r="R9805" t="s">
        <v>27253</v>
      </c>
      <c r="S9805" t="s">
        <v>27254</v>
      </c>
      <c r="T9805" t="s">
        <v>27255</v>
      </c>
    </row>
    <row r="9806" spans="1:20" x14ac:dyDescent="0.3">
      <c r="A9806" t="str">
        <f>"0611837869100"</f>
        <v>0611837869100</v>
      </c>
      <c r="B9806" t="str">
        <f>"LK2970"</f>
        <v>LK2970</v>
      </c>
      <c r="C9806" t="s">
        <v>46266</v>
      </c>
      <c r="D9806" t="s">
        <v>27245</v>
      </c>
      <c r="E9806" t="str">
        <f t="shared" si="153"/>
        <v>001390</v>
      </c>
      <c r="F9806" t="s">
        <v>27246</v>
      </c>
      <c r="G9806" t="s">
        <v>27247</v>
      </c>
      <c r="H9806" t="s">
        <v>27248</v>
      </c>
      <c r="I9806" t="s">
        <v>46267</v>
      </c>
      <c r="J9806" t="s">
        <v>19740</v>
      </c>
      <c r="L9806" t="s">
        <v>27250</v>
      </c>
      <c r="M9806" t="s">
        <v>27251</v>
      </c>
      <c r="N9806" t="s">
        <v>27252</v>
      </c>
      <c r="Q9806" s="1">
        <v>44538</v>
      </c>
      <c r="R9806" t="s">
        <v>27253</v>
      </c>
      <c r="S9806" t="s">
        <v>27254</v>
      </c>
      <c r="T9806" t="s">
        <v>27255</v>
      </c>
    </row>
    <row r="9807" spans="1:20" x14ac:dyDescent="0.3">
      <c r="A9807" t="str">
        <f>"0611837870100"</f>
        <v>0611837870100</v>
      </c>
      <c r="B9807" t="str">
        <f>"LK3983"</f>
        <v>LK3983</v>
      </c>
      <c r="C9807" t="s">
        <v>46268</v>
      </c>
      <c r="D9807" t="s">
        <v>27245</v>
      </c>
      <c r="E9807" t="str">
        <f t="shared" si="153"/>
        <v>001390</v>
      </c>
      <c r="F9807" t="s">
        <v>27246</v>
      </c>
      <c r="G9807" t="s">
        <v>27247</v>
      </c>
      <c r="H9807" t="s">
        <v>27248</v>
      </c>
      <c r="I9807" t="s">
        <v>46269</v>
      </c>
      <c r="J9807" t="s">
        <v>19742</v>
      </c>
      <c r="L9807" t="s">
        <v>27250</v>
      </c>
      <c r="M9807" t="s">
        <v>27251</v>
      </c>
      <c r="N9807" t="s">
        <v>27252</v>
      </c>
      <c r="Q9807" s="1">
        <v>44538</v>
      </c>
      <c r="R9807" t="s">
        <v>27253</v>
      </c>
      <c r="S9807" t="s">
        <v>27254</v>
      </c>
      <c r="T9807" t="s">
        <v>27255</v>
      </c>
    </row>
    <row r="9808" spans="1:20" x14ac:dyDescent="0.3">
      <c r="A9808" t="str">
        <f>"0611837871100"</f>
        <v>0611837871100</v>
      </c>
      <c r="B9808" t="str">
        <f>"LK6946"</f>
        <v>LK6946</v>
      </c>
      <c r="C9808" t="s">
        <v>46270</v>
      </c>
      <c r="D9808" t="s">
        <v>27245</v>
      </c>
      <c r="E9808" t="str">
        <f t="shared" si="153"/>
        <v>001390</v>
      </c>
      <c r="F9808" t="s">
        <v>27246</v>
      </c>
      <c r="G9808" t="s">
        <v>27247</v>
      </c>
      <c r="H9808" t="s">
        <v>27248</v>
      </c>
      <c r="I9808" t="s">
        <v>46271</v>
      </c>
      <c r="J9808" t="s">
        <v>19744</v>
      </c>
      <c r="L9808" t="s">
        <v>27250</v>
      </c>
      <c r="M9808" t="s">
        <v>27251</v>
      </c>
      <c r="N9808" t="s">
        <v>27252</v>
      </c>
      <c r="Q9808" s="1">
        <v>44538</v>
      </c>
      <c r="R9808" t="s">
        <v>27253</v>
      </c>
      <c r="S9808" t="s">
        <v>27254</v>
      </c>
      <c r="T9808" t="s">
        <v>27255</v>
      </c>
    </row>
    <row r="9809" spans="1:20" x14ac:dyDescent="0.3">
      <c r="A9809" t="str">
        <f>"0611837872100"</f>
        <v>0611837872100</v>
      </c>
      <c r="B9809" t="str">
        <f>"LK2971"</f>
        <v>LK2971</v>
      </c>
      <c r="C9809" t="s">
        <v>46272</v>
      </c>
      <c r="D9809" t="s">
        <v>27245</v>
      </c>
      <c r="E9809" t="str">
        <f t="shared" si="153"/>
        <v>001390</v>
      </c>
      <c r="F9809" t="s">
        <v>27246</v>
      </c>
      <c r="G9809" t="s">
        <v>27247</v>
      </c>
      <c r="H9809" t="s">
        <v>27248</v>
      </c>
      <c r="I9809" t="s">
        <v>46273</v>
      </c>
      <c r="J9809" t="s">
        <v>19746</v>
      </c>
      <c r="L9809" t="s">
        <v>27250</v>
      </c>
      <c r="M9809" t="s">
        <v>27251</v>
      </c>
      <c r="N9809" t="s">
        <v>27252</v>
      </c>
      <c r="Q9809" s="1">
        <v>44538</v>
      </c>
      <c r="R9809" t="s">
        <v>27253</v>
      </c>
      <c r="S9809" t="s">
        <v>27254</v>
      </c>
      <c r="T9809" t="s">
        <v>27255</v>
      </c>
    </row>
    <row r="9810" spans="1:20" x14ac:dyDescent="0.3">
      <c r="A9810" t="str">
        <f>"0611837873100"</f>
        <v>0611837873100</v>
      </c>
      <c r="B9810" t="str">
        <f>"LK6947"</f>
        <v>LK6947</v>
      </c>
      <c r="C9810" t="s">
        <v>46274</v>
      </c>
      <c r="D9810" t="s">
        <v>27245</v>
      </c>
      <c r="E9810" t="str">
        <f t="shared" si="153"/>
        <v>001390</v>
      </c>
      <c r="F9810" t="s">
        <v>27246</v>
      </c>
      <c r="G9810" t="s">
        <v>27247</v>
      </c>
      <c r="H9810" t="s">
        <v>27248</v>
      </c>
      <c r="I9810" t="s">
        <v>46275</v>
      </c>
      <c r="J9810" t="s">
        <v>19748</v>
      </c>
      <c r="L9810" t="s">
        <v>27250</v>
      </c>
      <c r="M9810" t="s">
        <v>27251</v>
      </c>
      <c r="N9810" t="s">
        <v>27252</v>
      </c>
      <c r="Q9810" s="1">
        <v>44538</v>
      </c>
      <c r="R9810" t="s">
        <v>27253</v>
      </c>
      <c r="S9810" t="s">
        <v>27254</v>
      </c>
      <c r="T9810" t="s">
        <v>27255</v>
      </c>
    </row>
    <row r="9811" spans="1:20" x14ac:dyDescent="0.3">
      <c r="A9811" t="str">
        <f>"0611837874100"</f>
        <v>0611837874100</v>
      </c>
      <c r="B9811" t="str">
        <f>"LK1340"</f>
        <v>LK1340</v>
      </c>
      <c r="C9811" t="s">
        <v>46276</v>
      </c>
      <c r="D9811" t="s">
        <v>27245</v>
      </c>
      <c r="E9811" t="str">
        <f t="shared" si="153"/>
        <v>001390</v>
      </c>
      <c r="F9811" t="s">
        <v>27246</v>
      </c>
      <c r="G9811" t="s">
        <v>27247</v>
      </c>
      <c r="H9811" t="s">
        <v>27248</v>
      </c>
      <c r="I9811" t="s">
        <v>46277</v>
      </c>
      <c r="J9811" t="s">
        <v>19750</v>
      </c>
      <c r="L9811" t="s">
        <v>27250</v>
      </c>
      <c r="M9811" t="s">
        <v>27251</v>
      </c>
      <c r="N9811" t="s">
        <v>27252</v>
      </c>
      <c r="Q9811" s="1">
        <v>44538</v>
      </c>
      <c r="R9811" t="s">
        <v>27253</v>
      </c>
      <c r="S9811" t="s">
        <v>27254</v>
      </c>
      <c r="T9811" t="s">
        <v>27255</v>
      </c>
    </row>
    <row r="9812" spans="1:20" x14ac:dyDescent="0.3">
      <c r="A9812" t="str">
        <f>"0611837875100"</f>
        <v>0611837875100</v>
      </c>
      <c r="B9812" t="str">
        <f>"LK6657"</f>
        <v>LK6657</v>
      </c>
      <c r="C9812" t="s">
        <v>46278</v>
      </c>
      <c r="D9812" t="s">
        <v>27245</v>
      </c>
      <c r="E9812" t="str">
        <f t="shared" si="153"/>
        <v>001390</v>
      </c>
      <c r="F9812" t="s">
        <v>27246</v>
      </c>
      <c r="G9812" t="s">
        <v>27247</v>
      </c>
      <c r="H9812" t="s">
        <v>27248</v>
      </c>
      <c r="I9812" t="s">
        <v>46279</v>
      </c>
      <c r="J9812" t="s">
        <v>19752</v>
      </c>
      <c r="L9812" t="s">
        <v>27250</v>
      </c>
      <c r="M9812" t="s">
        <v>27251</v>
      </c>
      <c r="N9812" t="s">
        <v>27252</v>
      </c>
      <c r="Q9812" s="1">
        <v>44538</v>
      </c>
      <c r="R9812" t="s">
        <v>27253</v>
      </c>
      <c r="S9812" t="s">
        <v>27254</v>
      </c>
      <c r="T9812" t="s">
        <v>27255</v>
      </c>
    </row>
    <row r="9813" spans="1:20" x14ac:dyDescent="0.3">
      <c r="A9813" t="str">
        <f>"0611837876100"</f>
        <v>0611837876100</v>
      </c>
      <c r="B9813" t="str">
        <f>"LK2972"</f>
        <v>LK2972</v>
      </c>
      <c r="C9813" t="s">
        <v>46280</v>
      </c>
      <c r="D9813" t="s">
        <v>27245</v>
      </c>
      <c r="E9813" t="str">
        <f t="shared" si="153"/>
        <v>001390</v>
      </c>
      <c r="F9813" t="s">
        <v>27246</v>
      </c>
      <c r="G9813" t="s">
        <v>27247</v>
      </c>
      <c r="H9813" t="s">
        <v>27248</v>
      </c>
      <c r="I9813" t="s">
        <v>46281</v>
      </c>
      <c r="J9813" t="s">
        <v>19754</v>
      </c>
      <c r="L9813" t="s">
        <v>27250</v>
      </c>
      <c r="M9813" t="s">
        <v>27251</v>
      </c>
      <c r="N9813" t="s">
        <v>27252</v>
      </c>
      <c r="Q9813" s="1">
        <v>44538</v>
      </c>
      <c r="R9813" t="s">
        <v>27253</v>
      </c>
      <c r="S9813" t="s">
        <v>27254</v>
      </c>
      <c r="T9813" t="s">
        <v>27255</v>
      </c>
    </row>
    <row r="9814" spans="1:20" x14ac:dyDescent="0.3">
      <c r="A9814" t="str">
        <f>"0611837879100"</f>
        <v>0611837879100</v>
      </c>
      <c r="B9814" t="str">
        <f>"LQ0459"</f>
        <v>LQ0459</v>
      </c>
      <c r="C9814" t="s">
        <v>46282</v>
      </c>
      <c r="D9814" t="s">
        <v>27245</v>
      </c>
      <c r="E9814" t="str">
        <f t="shared" si="153"/>
        <v>001390</v>
      </c>
      <c r="F9814" t="s">
        <v>27246</v>
      </c>
      <c r="G9814" t="s">
        <v>27247</v>
      </c>
      <c r="H9814" t="s">
        <v>27248</v>
      </c>
      <c r="I9814" t="s">
        <v>46283</v>
      </c>
      <c r="J9814" t="s">
        <v>19756</v>
      </c>
      <c r="L9814" t="s">
        <v>27250</v>
      </c>
      <c r="M9814" t="s">
        <v>27251</v>
      </c>
      <c r="N9814" t="s">
        <v>27252</v>
      </c>
      <c r="Q9814" s="1">
        <v>44538</v>
      </c>
      <c r="R9814" t="s">
        <v>27253</v>
      </c>
      <c r="S9814" t="s">
        <v>27254</v>
      </c>
      <c r="T9814" t="s">
        <v>27255</v>
      </c>
    </row>
    <row r="9815" spans="1:20" x14ac:dyDescent="0.3">
      <c r="A9815" t="str">
        <f>"0611837882100"</f>
        <v>0611837882100</v>
      </c>
      <c r="B9815" t="str">
        <f>"LQ5733"</f>
        <v>LQ5733</v>
      </c>
      <c r="C9815" t="s">
        <v>46284</v>
      </c>
      <c r="D9815" t="s">
        <v>27245</v>
      </c>
      <c r="E9815" t="str">
        <f t="shared" si="153"/>
        <v>001390</v>
      </c>
      <c r="F9815" t="s">
        <v>27246</v>
      </c>
      <c r="G9815" t="s">
        <v>27247</v>
      </c>
      <c r="H9815" t="s">
        <v>27248</v>
      </c>
      <c r="I9815" t="s">
        <v>46285</v>
      </c>
      <c r="J9815" t="s">
        <v>19758</v>
      </c>
      <c r="L9815" t="s">
        <v>27250</v>
      </c>
      <c r="M9815" t="s">
        <v>27251</v>
      </c>
      <c r="N9815" t="s">
        <v>27252</v>
      </c>
      <c r="Q9815" s="1">
        <v>44538</v>
      </c>
      <c r="R9815" t="s">
        <v>27253</v>
      </c>
      <c r="S9815" t="s">
        <v>27254</v>
      </c>
      <c r="T9815" t="s">
        <v>27255</v>
      </c>
    </row>
    <row r="9816" spans="1:20" x14ac:dyDescent="0.3">
      <c r="A9816" t="str">
        <f>"0611837883100"</f>
        <v>0611837883100</v>
      </c>
      <c r="B9816" t="str">
        <f>"LQ6165"</f>
        <v>LQ6165</v>
      </c>
      <c r="C9816" t="s">
        <v>46286</v>
      </c>
      <c r="D9816" t="s">
        <v>27245</v>
      </c>
      <c r="E9816" t="str">
        <f t="shared" si="153"/>
        <v>001390</v>
      </c>
      <c r="F9816" t="s">
        <v>27246</v>
      </c>
      <c r="G9816" t="s">
        <v>27247</v>
      </c>
      <c r="H9816" t="s">
        <v>27248</v>
      </c>
      <c r="I9816" t="s">
        <v>46287</v>
      </c>
      <c r="J9816" t="s">
        <v>19760</v>
      </c>
      <c r="L9816" t="s">
        <v>27250</v>
      </c>
      <c r="M9816" t="s">
        <v>27251</v>
      </c>
      <c r="N9816" t="s">
        <v>27252</v>
      </c>
      <c r="Q9816" s="1">
        <v>44538</v>
      </c>
      <c r="R9816" t="s">
        <v>27253</v>
      </c>
      <c r="S9816" t="s">
        <v>27254</v>
      </c>
      <c r="T9816" t="s">
        <v>27255</v>
      </c>
    </row>
    <row r="9817" spans="1:20" x14ac:dyDescent="0.3">
      <c r="A9817" t="str">
        <f>"0611837884100"</f>
        <v>0611837884100</v>
      </c>
      <c r="B9817" t="str">
        <f>"LQ6166"</f>
        <v>LQ6166</v>
      </c>
      <c r="C9817" t="s">
        <v>46288</v>
      </c>
      <c r="D9817" t="s">
        <v>27245</v>
      </c>
      <c r="E9817" t="str">
        <f t="shared" si="153"/>
        <v>001390</v>
      </c>
      <c r="F9817" t="s">
        <v>27246</v>
      </c>
      <c r="G9817" t="s">
        <v>27247</v>
      </c>
      <c r="H9817" t="s">
        <v>27248</v>
      </c>
      <c r="I9817" t="s">
        <v>46289</v>
      </c>
      <c r="J9817" t="s">
        <v>19762</v>
      </c>
      <c r="L9817" t="s">
        <v>27250</v>
      </c>
      <c r="M9817" t="s">
        <v>27251</v>
      </c>
      <c r="N9817" t="s">
        <v>27252</v>
      </c>
      <c r="Q9817" s="1">
        <v>44538</v>
      </c>
      <c r="R9817" t="s">
        <v>27253</v>
      </c>
      <c r="S9817" t="s">
        <v>27254</v>
      </c>
      <c r="T9817" t="s">
        <v>27255</v>
      </c>
    </row>
    <row r="9818" spans="1:20" x14ac:dyDescent="0.3">
      <c r="A9818" t="str">
        <f>"0611837885100"</f>
        <v>0611837885100</v>
      </c>
      <c r="B9818" t="str">
        <f>"LQ6147"</f>
        <v>LQ6147</v>
      </c>
      <c r="C9818" t="s">
        <v>46290</v>
      </c>
      <c r="D9818" t="s">
        <v>27245</v>
      </c>
      <c r="E9818" t="str">
        <f t="shared" si="153"/>
        <v>001390</v>
      </c>
      <c r="F9818" t="s">
        <v>27246</v>
      </c>
      <c r="G9818" t="s">
        <v>27247</v>
      </c>
      <c r="H9818" t="s">
        <v>27248</v>
      </c>
      <c r="I9818" t="s">
        <v>46291</v>
      </c>
      <c r="J9818" t="s">
        <v>19764</v>
      </c>
      <c r="L9818" t="s">
        <v>27250</v>
      </c>
      <c r="M9818" t="s">
        <v>27251</v>
      </c>
      <c r="N9818" t="s">
        <v>27252</v>
      </c>
      <c r="Q9818" s="1">
        <v>44538</v>
      </c>
      <c r="R9818" t="s">
        <v>27253</v>
      </c>
      <c r="S9818" t="s">
        <v>27254</v>
      </c>
      <c r="T9818" t="s">
        <v>27255</v>
      </c>
    </row>
    <row r="9819" spans="1:20" x14ac:dyDescent="0.3">
      <c r="A9819" t="str">
        <f>"0611837886100"</f>
        <v>0611837886100</v>
      </c>
      <c r="B9819" t="str">
        <f>"LQ5462"</f>
        <v>LQ5462</v>
      </c>
      <c r="C9819" t="s">
        <v>46292</v>
      </c>
      <c r="D9819" t="s">
        <v>27245</v>
      </c>
      <c r="E9819" t="str">
        <f t="shared" si="153"/>
        <v>001390</v>
      </c>
      <c r="F9819" t="s">
        <v>27246</v>
      </c>
      <c r="G9819" t="s">
        <v>27247</v>
      </c>
      <c r="H9819" t="s">
        <v>27248</v>
      </c>
      <c r="I9819" t="s">
        <v>46293</v>
      </c>
      <c r="J9819" t="s">
        <v>19766</v>
      </c>
      <c r="L9819" t="s">
        <v>27250</v>
      </c>
      <c r="M9819" t="s">
        <v>27251</v>
      </c>
      <c r="N9819" t="s">
        <v>27252</v>
      </c>
      <c r="Q9819" s="1">
        <v>44538</v>
      </c>
      <c r="R9819" t="s">
        <v>27253</v>
      </c>
      <c r="S9819" t="s">
        <v>27254</v>
      </c>
      <c r="T9819" t="s">
        <v>27255</v>
      </c>
    </row>
    <row r="9820" spans="1:20" x14ac:dyDescent="0.3">
      <c r="A9820" t="str">
        <f>"0611837887100"</f>
        <v>0611837887100</v>
      </c>
      <c r="B9820" t="str">
        <f>"LQ6144"</f>
        <v>LQ6144</v>
      </c>
      <c r="C9820" t="s">
        <v>46294</v>
      </c>
      <c r="D9820" t="s">
        <v>27245</v>
      </c>
      <c r="E9820" t="str">
        <f t="shared" si="153"/>
        <v>001390</v>
      </c>
      <c r="F9820" t="s">
        <v>27246</v>
      </c>
      <c r="G9820" t="s">
        <v>27247</v>
      </c>
      <c r="H9820" t="s">
        <v>27248</v>
      </c>
      <c r="I9820" t="s">
        <v>46295</v>
      </c>
      <c r="J9820" t="s">
        <v>19768</v>
      </c>
      <c r="L9820" t="s">
        <v>27250</v>
      </c>
      <c r="M9820" t="s">
        <v>27251</v>
      </c>
      <c r="N9820" t="s">
        <v>27252</v>
      </c>
      <c r="Q9820" s="1">
        <v>44538</v>
      </c>
      <c r="R9820" t="s">
        <v>27253</v>
      </c>
      <c r="S9820" t="s">
        <v>27254</v>
      </c>
      <c r="T9820" t="s">
        <v>27255</v>
      </c>
    </row>
    <row r="9821" spans="1:20" x14ac:dyDescent="0.3">
      <c r="A9821" t="str">
        <f>"0611837888100"</f>
        <v>0611837888100</v>
      </c>
      <c r="B9821" t="str">
        <f>"LQ6145"</f>
        <v>LQ6145</v>
      </c>
      <c r="C9821" t="s">
        <v>46296</v>
      </c>
      <c r="D9821" t="s">
        <v>27245</v>
      </c>
      <c r="E9821" t="str">
        <f t="shared" si="153"/>
        <v>001390</v>
      </c>
      <c r="F9821" t="s">
        <v>27246</v>
      </c>
      <c r="G9821" t="s">
        <v>27247</v>
      </c>
      <c r="H9821" t="s">
        <v>27248</v>
      </c>
      <c r="I9821" t="s">
        <v>46297</v>
      </c>
      <c r="J9821" t="s">
        <v>19770</v>
      </c>
      <c r="L9821" t="s">
        <v>27250</v>
      </c>
      <c r="M9821" t="s">
        <v>27251</v>
      </c>
      <c r="N9821" t="s">
        <v>27252</v>
      </c>
      <c r="Q9821" s="1">
        <v>44538</v>
      </c>
      <c r="R9821" t="s">
        <v>27253</v>
      </c>
      <c r="S9821" t="s">
        <v>27254</v>
      </c>
      <c r="T9821" t="s">
        <v>27255</v>
      </c>
    </row>
    <row r="9822" spans="1:20" x14ac:dyDescent="0.3">
      <c r="A9822" t="str">
        <f>"0611837890100"</f>
        <v>0611837890100</v>
      </c>
      <c r="B9822" t="str">
        <f>"LQ5736"</f>
        <v>LQ5736</v>
      </c>
      <c r="C9822" t="s">
        <v>46298</v>
      </c>
      <c r="D9822" t="s">
        <v>27245</v>
      </c>
      <c r="E9822" t="str">
        <f t="shared" si="153"/>
        <v>001390</v>
      </c>
      <c r="F9822" t="s">
        <v>27246</v>
      </c>
      <c r="G9822" t="s">
        <v>27247</v>
      </c>
      <c r="H9822" t="s">
        <v>27248</v>
      </c>
      <c r="I9822" t="s">
        <v>46299</v>
      </c>
      <c r="J9822" t="s">
        <v>19772</v>
      </c>
      <c r="L9822" t="s">
        <v>27250</v>
      </c>
      <c r="M9822" t="s">
        <v>27251</v>
      </c>
      <c r="N9822" t="s">
        <v>27252</v>
      </c>
      <c r="Q9822" s="1">
        <v>44538</v>
      </c>
      <c r="R9822" t="s">
        <v>27253</v>
      </c>
      <c r="S9822" t="s">
        <v>27254</v>
      </c>
      <c r="T9822" t="s">
        <v>27255</v>
      </c>
    </row>
    <row r="9823" spans="1:20" x14ac:dyDescent="0.3">
      <c r="A9823" t="str">
        <f>"0611837891100"</f>
        <v>0611837891100</v>
      </c>
      <c r="B9823" t="str">
        <f>"LQ5464"</f>
        <v>LQ5464</v>
      </c>
      <c r="C9823" t="s">
        <v>46300</v>
      </c>
      <c r="D9823" t="s">
        <v>27245</v>
      </c>
      <c r="E9823" t="str">
        <f t="shared" si="153"/>
        <v>001390</v>
      </c>
      <c r="F9823" t="s">
        <v>27246</v>
      </c>
      <c r="G9823" t="s">
        <v>27247</v>
      </c>
      <c r="H9823" t="s">
        <v>27248</v>
      </c>
      <c r="I9823" t="s">
        <v>46301</v>
      </c>
      <c r="J9823" t="s">
        <v>19774</v>
      </c>
      <c r="L9823" t="s">
        <v>27250</v>
      </c>
      <c r="M9823" t="s">
        <v>27251</v>
      </c>
      <c r="N9823" t="s">
        <v>27252</v>
      </c>
      <c r="Q9823" s="1">
        <v>44538</v>
      </c>
      <c r="R9823" t="s">
        <v>27253</v>
      </c>
      <c r="S9823" t="s">
        <v>27254</v>
      </c>
      <c r="T9823" t="s">
        <v>27255</v>
      </c>
    </row>
    <row r="9824" spans="1:20" x14ac:dyDescent="0.3">
      <c r="A9824" t="str">
        <f>"0611863558050"</f>
        <v>0611863558050</v>
      </c>
      <c r="B9824" t="str">
        <f>"CE0789"</f>
        <v>CE0789</v>
      </c>
      <c r="C9824" t="s">
        <v>46302</v>
      </c>
      <c r="D9824" t="s">
        <v>27263</v>
      </c>
      <c r="E9824" t="str">
        <f t="shared" si="153"/>
        <v>001390</v>
      </c>
      <c r="F9824" t="s">
        <v>27246</v>
      </c>
      <c r="G9824" t="s">
        <v>27247</v>
      </c>
      <c r="H9824" t="s">
        <v>27248</v>
      </c>
      <c r="I9824" t="s">
        <v>46303</v>
      </c>
      <c r="J9824" t="s">
        <v>19776</v>
      </c>
      <c r="L9824" t="s">
        <v>27250</v>
      </c>
      <c r="M9824" t="s">
        <v>27251</v>
      </c>
      <c r="N9824" t="s">
        <v>27252</v>
      </c>
      <c r="Q9824" s="1">
        <v>44846</v>
      </c>
      <c r="R9824" t="s">
        <v>27253</v>
      </c>
      <c r="S9824" t="s">
        <v>27254</v>
      </c>
      <c r="T9824" t="s">
        <v>27265</v>
      </c>
    </row>
    <row r="9825" spans="1:20" x14ac:dyDescent="0.3">
      <c r="A9825" t="str">
        <f>"0611837892100"</f>
        <v>0611837892100</v>
      </c>
      <c r="B9825" t="str">
        <f>"LQ5737"</f>
        <v>LQ5737</v>
      </c>
      <c r="C9825" t="s">
        <v>46304</v>
      </c>
      <c r="D9825" t="s">
        <v>27245</v>
      </c>
      <c r="E9825" t="str">
        <f t="shared" si="153"/>
        <v>001390</v>
      </c>
      <c r="F9825" t="s">
        <v>27246</v>
      </c>
      <c r="G9825" t="s">
        <v>27247</v>
      </c>
      <c r="H9825" t="s">
        <v>27248</v>
      </c>
      <c r="I9825" t="s">
        <v>46305</v>
      </c>
      <c r="J9825" t="s">
        <v>19778</v>
      </c>
      <c r="L9825" t="s">
        <v>27250</v>
      </c>
      <c r="M9825" t="s">
        <v>27251</v>
      </c>
      <c r="N9825" t="s">
        <v>27252</v>
      </c>
      <c r="Q9825" s="1">
        <v>44538</v>
      </c>
      <c r="R9825" t="s">
        <v>27253</v>
      </c>
      <c r="S9825" t="s">
        <v>27254</v>
      </c>
      <c r="T9825" t="s">
        <v>27255</v>
      </c>
    </row>
    <row r="9826" spans="1:20" x14ac:dyDescent="0.3">
      <c r="A9826" t="str">
        <f>"0611863559050"</f>
        <v>0611863559050</v>
      </c>
      <c r="B9826" t="str">
        <f>"CE0790"</f>
        <v>CE0790</v>
      </c>
      <c r="C9826" t="s">
        <v>46306</v>
      </c>
      <c r="D9826" t="s">
        <v>27263</v>
      </c>
      <c r="E9826" t="str">
        <f t="shared" si="153"/>
        <v>001390</v>
      </c>
      <c r="F9826" t="s">
        <v>27246</v>
      </c>
      <c r="G9826" t="s">
        <v>27247</v>
      </c>
      <c r="H9826" t="s">
        <v>27248</v>
      </c>
      <c r="I9826" t="s">
        <v>46307</v>
      </c>
      <c r="J9826" t="s">
        <v>19780</v>
      </c>
      <c r="L9826" t="s">
        <v>27250</v>
      </c>
      <c r="M9826" t="s">
        <v>27251</v>
      </c>
      <c r="N9826" t="s">
        <v>27252</v>
      </c>
      <c r="Q9826" s="1">
        <v>44846</v>
      </c>
      <c r="R9826" t="s">
        <v>27253</v>
      </c>
      <c r="S9826" t="s">
        <v>27254</v>
      </c>
      <c r="T9826" t="s">
        <v>27265</v>
      </c>
    </row>
    <row r="9827" spans="1:20" x14ac:dyDescent="0.3">
      <c r="A9827" t="str">
        <f>"0611837893100"</f>
        <v>0611837893100</v>
      </c>
      <c r="B9827" t="str">
        <f>"LQ5465"</f>
        <v>LQ5465</v>
      </c>
      <c r="C9827" t="s">
        <v>46308</v>
      </c>
      <c r="D9827" t="s">
        <v>27245</v>
      </c>
      <c r="E9827" t="str">
        <f t="shared" si="153"/>
        <v>001390</v>
      </c>
      <c r="F9827" t="s">
        <v>27246</v>
      </c>
      <c r="G9827" t="s">
        <v>27247</v>
      </c>
      <c r="H9827" t="s">
        <v>27248</v>
      </c>
      <c r="I9827" t="s">
        <v>46309</v>
      </c>
      <c r="J9827" t="s">
        <v>19782</v>
      </c>
      <c r="L9827" t="s">
        <v>27250</v>
      </c>
      <c r="M9827" t="s">
        <v>27251</v>
      </c>
      <c r="N9827" t="s">
        <v>27252</v>
      </c>
      <c r="Q9827" s="1">
        <v>44538</v>
      </c>
      <c r="R9827" t="s">
        <v>27253</v>
      </c>
      <c r="S9827" t="s">
        <v>27254</v>
      </c>
      <c r="T9827" t="s">
        <v>27255</v>
      </c>
    </row>
    <row r="9828" spans="1:20" x14ac:dyDescent="0.3">
      <c r="A9828" t="str">
        <f>"0611863560050"</f>
        <v>0611863560050</v>
      </c>
      <c r="B9828" t="str">
        <f>"CE0791"</f>
        <v>CE0791</v>
      </c>
      <c r="C9828" t="s">
        <v>46310</v>
      </c>
      <c r="D9828" t="s">
        <v>27263</v>
      </c>
      <c r="E9828" t="str">
        <f t="shared" si="153"/>
        <v>001390</v>
      </c>
      <c r="F9828" t="s">
        <v>27246</v>
      </c>
      <c r="G9828" t="s">
        <v>27247</v>
      </c>
      <c r="H9828" t="s">
        <v>27248</v>
      </c>
      <c r="I9828" t="s">
        <v>46311</v>
      </c>
      <c r="J9828" t="s">
        <v>19786</v>
      </c>
      <c r="L9828" t="s">
        <v>27250</v>
      </c>
      <c r="M9828" t="s">
        <v>27251</v>
      </c>
      <c r="N9828" t="s">
        <v>27252</v>
      </c>
      <c r="Q9828" s="1">
        <v>44846</v>
      </c>
      <c r="R9828" t="s">
        <v>27253</v>
      </c>
      <c r="S9828" t="s">
        <v>27254</v>
      </c>
      <c r="T9828" t="s">
        <v>27265</v>
      </c>
    </row>
    <row r="9829" spans="1:20" x14ac:dyDescent="0.3">
      <c r="A9829" t="str">
        <f>"0611837894100"</f>
        <v>0611837894100</v>
      </c>
      <c r="B9829" t="str">
        <f>"LQ0464"</f>
        <v>LQ0464</v>
      </c>
      <c r="C9829" t="s">
        <v>46312</v>
      </c>
      <c r="D9829" t="s">
        <v>27245</v>
      </c>
      <c r="E9829" t="str">
        <f t="shared" si="153"/>
        <v>001390</v>
      </c>
      <c r="F9829" t="s">
        <v>27246</v>
      </c>
      <c r="G9829" t="s">
        <v>27247</v>
      </c>
      <c r="H9829" t="s">
        <v>27248</v>
      </c>
      <c r="I9829" t="s">
        <v>46313</v>
      </c>
      <c r="J9829" t="s">
        <v>19784</v>
      </c>
      <c r="L9829" t="s">
        <v>27250</v>
      </c>
      <c r="M9829" t="s">
        <v>27251</v>
      </c>
      <c r="N9829" t="s">
        <v>27252</v>
      </c>
      <c r="Q9829" s="1">
        <v>44538</v>
      </c>
      <c r="R9829" t="s">
        <v>27253</v>
      </c>
      <c r="S9829" t="s">
        <v>27254</v>
      </c>
      <c r="T9829" t="s">
        <v>27255</v>
      </c>
    </row>
    <row r="9830" spans="1:20" x14ac:dyDescent="0.3">
      <c r="A9830" t="str">
        <f>"0611837895100"</f>
        <v>0611837895100</v>
      </c>
      <c r="B9830" t="str">
        <f>"LK7024"</f>
        <v>LK7024</v>
      </c>
      <c r="C9830" t="s">
        <v>46314</v>
      </c>
      <c r="D9830" t="s">
        <v>27245</v>
      </c>
      <c r="E9830" t="str">
        <f t="shared" si="153"/>
        <v>001390</v>
      </c>
      <c r="F9830" t="s">
        <v>27246</v>
      </c>
      <c r="G9830" t="s">
        <v>27247</v>
      </c>
      <c r="H9830" t="s">
        <v>27248</v>
      </c>
      <c r="I9830" t="s">
        <v>46315</v>
      </c>
      <c r="J9830" t="s">
        <v>19788</v>
      </c>
      <c r="L9830" t="s">
        <v>27250</v>
      </c>
      <c r="M9830" t="s">
        <v>27251</v>
      </c>
      <c r="N9830" t="s">
        <v>27252</v>
      </c>
      <c r="Q9830" s="1">
        <v>44538</v>
      </c>
      <c r="R9830" t="s">
        <v>27253</v>
      </c>
      <c r="S9830" t="s">
        <v>27254</v>
      </c>
      <c r="T9830" t="s">
        <v>27255</v>
      </c>
    </row>
    <row r="9831" spans="1:20" x14ac:dyDescent="0.3">
      <c r="A9831" t="str">
        <f>"0611837896100"</f>
        <v>0611837896100</v>
      </c>
      <c r="B9831" t="str">
        <f>"LK7025"</f>
        <v>LK7025</v>
      </c>
      <c r="C9831" t="s">
        <v>46316</v>
      </c>
      <c r="D9831" t="s">
        <v>27245</v>
      </c>
      <c r="E9831" t="str">
        <f t="shared" si="153"/>
        <v>001390</v>
      </c>
      <c r="F9831" t="s">
        <v>27246</v>
      </c>
      <c r="G9831" t="s">
        <v>27247</v>
      </c>
      <c r="H9831" t="s">
        <v>27248</v>
      </c>
      <c r="I9831" t="s">
        <v>46317</v>
      </c>
      <c r="J9831" t="s">
        <v>19790</v>
      </c>
      <c r="L9831" t="s">
        <v>27250</v>
      </c>
      <c r="M9831" t="s">
        <v>27251</v>
      </c>
      <c r="N9831" t="s">
        <v>27252</v>
      </c>
      <c r="Q9831" s="1">
        <v>44538</v>
      </c>
      <c r="R9831" t="s">
        <v>27253</v>
      </c>
      <c r="S9831" t="s">
        <v>27254</v>
      </c>
      <c r="T9831" t="s">
        <v>27255</v>
      </c>
    </row>
    <row r="9832" spans="1:20" x14ac:dyDescent="0.3">
      <c r="A9832" t="str">
        <f>"0611837897100"</f>
        <v>0611837897100</v>
      </c>
      <c r="B9832" t="str">
        <f>"LK7026"</f>
        <v>LK7026</v>
      </c>
      <c r="C9832" t="s">
        <v>46318</v>
      </c>
      <c r="D9832" t="s">
        <v>27245</v>
      </c>
      <c r="E9832" t="str">
        <f t="shared" si="153"/>
        <v>001390</v>
      </c>
      <c r="F9832" t="s">
        <v>27246</v>
      </c>
      <c r="G9832" t="s">
        <v>27247</v>
      </c>
      <c r="H9832" t="s">
        <v>27248</v>
      </c>
      <c r="I9832" t="s">
        <v>46319</v>
      </c>
      <c r="J9832" t="s">
        <v>19792</v>
      </c>
      <c r="L9832" t="s">
        <v>27250</v>
      </c>
      <c r="M9832" t="s">
        <v>27251</v>
      </c>
      <c r="N9832" t="s">
        <v>27252</v>
      </c>
      <c r="Q9832" s="1">
        <v>44538</v>
      </c>
      <c r="R9832" t="s">
        <v>27253</v>
      </c>
      <c r="S9832" t="s">
        <v>27254</v>
      </c>
      <c r="T9832" t="s">
        <v>27255</v>
      </c>
    </row>
    <row r="9833" spans="1:20" x14ac:dyDescent="0.3">
      <c r="A9833" t="str">
        <f>"0611837898100"</f>
        <v>0611837898100</v>
      </c>
      <c r="B9833" t="str">
        <f>"LB6758"</f>
        <v>LB6758</v>
      </c>
      <c r="C9833" t="s">
        <v>46320</v>
      </c>
      <c r="D9833" t="s">
        <v>27245</v>
      </c>
      <c r="E9833" t="str">
        <f t="shared" si="153"/>
        <v>001390</v>
      </c>
      <c r="F9833" t="s">
        <v>27246</v>
      </c>
      <c r="G9833" t="s">
        <v>27247</v>
      </c>
      <c r="H9833" t="s">
        <v>27248</v>
      </c>
      <c r="I9833" t="s">
        <v>46321</v>
      </c>
      <c r="J9833" t="s">
        <v>19794</v>
      </c>
      <c r="L9833" t="s">
        <v>27250</v>
      </c>
      <c r="M9833" t="s">
        <v>27251</v>
      </c>
      <c r="N9833" t="s">
        <v>27252</v>
      </c>
      <c r="Q9833" s="1">
        <v>44538</v>
      </c>
      <c r="R9833" t="s">
        <v>27253</v>
      </c>
      <c r="S9833" t="s">
        <v>27254</v>
      </c>
      <c r="T9833" t="s">
        <v>27255</v>
      </c>
    </row>
    <row r="9834" spans="1:20" x14ac:dyDescent="0.3">
      <c r="A9834" t="str">
        <f>"0611837899100"</f>
        <v>0611837899100</v>
      </c>
      <c r="B9834" t="str">
        <f>"LB6757"</f>
        <v>LB6757</v>
      </c>
      <c r="C9834" t="s">
        <v>46322</v>
      </c>
      <c r="D9834" t="s">
        <v>27245</v>
      </c>
      <c r="E9834" t="str">
        <f t="shared" si="153"/>
        <v>001390</v>
      </c>
      <c r="F9834" t="s">
        <v>27246</v>
      </c>
      <c r="G9834" t="s">
        <v>27247</v>
      </c>
      <c r="H9834" t="s">
        <v>27248</v>
      </c>
      <c r="I9834" t="s">
        <v>46323</v>
      </c>
      <c r="J9834" t="s">
        <v>19796</v>
      </c>
      <c r="L9834" t="s">
        <v>27250</v>
      </c>
      <c r="M9834" t="s">
        <v>27251</v>
      </c>
      <c r="N9834" t="s">
        <v>27252</v>
      </c>
      <c r="Q9834" s="1">
        <v>44538</v>
      </c>
      <c r="R9834" t="s">
        <v>27253</v>
      </c>
      <c r="S9834" t="s">
        <v>27254</v>
      </c>
      <c r="T9834" t="s">
        <v>27255</v>
      </c>
    </row>
    <row r="9835" spans="1:20" x14ac:dyDescent="0.3">
      <c r="A9835" t="str">
        <f>"0611837900100"</f>
        <v>0611837900100</v>
      </c>
      <c r="B9835" t="str">
        <f>"LB6755"</f>
        <v>LB6755</v>
      </c>
      <c r="C9835" t="s">
        <v>46324</v>
      </c>
      <c r="D9835" t="s">
        <v>27245</v>
      </c>
      <c r="E9835" t="str">
        <f t="shared" si="153"/>
        <v>001390</v>
      </c>
      <c r="F9835" t="s">
        <v>27246</v>
      </c>
      <c r="G9835" t="s">
        <v>27247</v>
      </c>
      <c r="H9835" t="s">
        <v>27248</v>
      </c>
      <c r="I9835" t="s">
        <v>46325</v>
      </c>
      <c r="J9835" t="s">
        <v>19798</v>
      </c>
      <c r="L9835" t="s">
        <v>27250</v>
      </c>
      <c r="M9835" t="s">
        <v>27251</v>
      </c>
      <c r="N9835" t="s">
        <v>27252</v>
      </c>
      <c r="Q9835" s="1">
        <v>44538</v>
      </c>
      <c r="R9835" t="s">
        <v>27253</v>
      </c>
      <c r="S9835" t="s">
        <v>27254</v>
      </c>
      <c r="T9835" t="s">
        <v>27255</v>
      </c>
    </row>
    <row r="9836" spans="1:20" x14ac:dyDescent="0.3">
      <c r="A9836" t="str">
        <f>"0611837901100"</f>
        <v>0611837901100</v>
      </c>
      <c r="B9836" t="str">
        <f>"LK0896"</f>
        <v>LK0896</v>
      </c>
      <c r="C9836" t="s">
        <v>46326</v>
      </c>
      <c r="D9836" t="s">
        <v>27245</v>
      </c>
      <c r="E9836" t="str">
        <f t="shared" si="153"/>
        <v>001390</v>
      </c>
      <c r="F9836" t="s">
        <v>27246</v>
      </c>
      <c r="G9836" t="s">
        <v>27247</v>
      </c>
      <c r="H9836" t="s">
        <v>27248</v>
      </c>
      <c r="I9836" t="s">
        <v>46327</v>
      </c>
      <c r="J9836" t="s">
        <v>19800</v>
      </c>
      <c r="L9836" t="s">
        <v>27250</v>
      </c>
      <c r="M9836" t="s">
        <v>27251</v>
      </c>
      <c r="N9836" t="s">
        <v>27252</v>
      </c>
      <c r="Q9836" s="1">
        <v>44538</v>
      </c>
      <c r="R9836" t="s">
        <v>27253</v>
      </c>
      <c r="S9836" t="s">
        <v>27254</v>
      </c>
      <c r="T9836" t="s">
        <v>27255</v>
      </c>
    </row>
    <row r="9837" spans="1:20" x14ac:dyDescent="0.3">
      <c r="A9837" t="str">
        <f>"0611837902100"</f>
        <v>0611837902100</v>
      </c>
      <c r="B9837" t="str">
        <f>"LK6969"</f>
        <v>LK6969</v>
      </c>
      <c r="C9837" t="s">
        <v>46328</v>
      </c>
      <c r="D9837" t="s">
        <v>27245</v>
      </c>
      <c r="E9837" t="str">
        <f t="shared" si="153"/>
        <v>001390</v>
      </c>
      <c r="F9837" t="s">
        <v>27246</v>
      </c>
      <c r="G9837" t="s">
        <v>27247</v>
      </c>
      <c r="H9837" t="s">
        <v>27248</v>
      </c>
      <c r="I9837" t="s">
        <v>46329</v>
      </c>
      <c r="J9837" t="s">
        <v>19802</v>
      </c>
      <c r="L9837" t="s">
        <v>27250</v>
      </c>
      <c r="M9837" t="s">
        <v>27251</v>
      </c>
      <c r="N9837" t="s">
        <v>27252</v>
      </c>
      <c r="Q9837" s="1">
        <v>44538</v>
      </c>
      <c r="R9837" t="s">
        <v>27253</v>
      </c>
      <c r="S9837" t="s">
        <v>27254</v>
      </c>
      <c r="T9837" t="s">
        <v>27255</v>
      </c>
    </row>
    <row r="9838" spans="1:20" x14ac:dyDescent="0.3">
      <c r="A9838" t="str">
        <f>"0611837903100"</f>
        <v>0611837903100</v>
      </c>
      <c r="B9838" t="str">
        <f>"LK3480"</f>
        <v>LK3480</v>
      </c>
      <c r="C9838" t="s">
        <v>46330</v>
      </c>
      <c r="D9838" t="s">
        <v>27245</v>
      </c>
      <c r="E9838" t="str">
        <f t="shared" si="153"/>
        <v>001390</v>
      </c>
      <c r="F9838" t="s">
        <v>27246</v>
      </c>
      <c r="G9838" t="s">
        <v>27247</v>
      </c>
      <c r="H9838" t="s">
        <v>27248</v>
      </c>
      <c r="I9838" t="s">
        <v>46331</v>
      </c>
      <c r="J9838" t="s">
        <v>19804</v>
      </c>
      <c r="L9838" t="s">
        <v>27250</v>
      </c>
      <c r="M9838" t="s">
        <v>27251</v>
      </c>
      <c r="N9838" t="s">
        <v>27252</v>
      </c>
      <c r="Q9838" s="1">
        <v>44538</v>
      </c>
      <c r="R9838" t="s">
        <v>27253</v>
      </c>
      <c r="S9838" t="s">
        <v>27254</v>
      </c>
      <c r="T9838" t="s">
        <v>27255</v>
      </c>
    </row>
    <row r="9839" spans="1:20" x14ac:dyDescent="0.3">
      <c r="A9839" t="str">
        <f>"0611837904100"</f>
        <v>0611837904100</v>
      </c>
      <c r="B9839" t="str">
        <f>"LB6776"</f>
        <v>LB6776</v>
      </c>
      <c r="C9839" t="s">
        <v>46332</v>
      </c>
      <c r="D9839" t="s">
        <v>27245</v>
      </c>
      <c r="E9839" t="str">
        <f t="shared" si="153"/>
        <v>001390</v>
      </c>
      <c r="F9839" t="s">
        <v>27246</v>
      </c>
      <c r="G9839" t="s">
        <v>27247</v>
      </c>
      <c r="H9839" t="s">
        <v>27248</v>
      </c>
      <c r="I9839" t="s">
        <v>46333</v>
      </c>
      <c r="J9839" t="s">
        <v>19806</v>
      </c>
      <c r="L9839" t="s">
        <v>27250</v>
      </c>
      <c r="M9839" t="s">
        <v>27251</v>
      </c>
      <c r="N9839" t="s">
        <v>27252</v>
      </c>
      <c r="Q9839" s="1">
        <v>44538</v>
      </c>
      <c r="R9839" t="s">
        <v>27253</v>
      </c>
      <c r="S9839" t="s">
        <v>27254</v>
      </c>
      <c r="T9839" t="s">
        <v>27255</v>
      </c>
    </row>
    <row r="9840" spans="1:20" x14ac:dyDescent="0.3">
      <c r="A9840" t="str">
        <f>"0611837905100"</f>
        <v>0611837905100</v>
      </c>
      <c r="B9840" t="str">
        <f>"LB6591"</f>
        <v>LB6591</v>
      </c>
      <c r="C9840" t="s">
        <v>46334</v>
      </c>
      <c r="D9840" t="s">
        <v>27245</v>
      </c>
      <c r="E9840" t="str">
        <f t="shared" si="153"/>
        <v>001390</v>
      </c>
      <c r="F9840" t="s">
        <v>27246</v>
      </c>
      <c r="G9840" t="s">
        <v>27247</v>
      </c>
      <c r="H9840" t="s">
        <v>27248</v>
      </c>
      <c r="I9840" t="s">
        <v>46335</v>
      </c>
      <c r="J9840" t="s">
        <v>19808</v>
      </c>
      <c r="L9840" t="s">
        <v>27250</v>
      </c>
      <c r="M9840" t="s">
        <v>27251</v>
      </c>
      <c r="N9840" t="s">
        <v>27252</v>
      </c>
      <c r="Q9840" s="1">
        <v>44538</v>
      </c>
      <c r="R9840" t="s">
        <v>27253</v>
      </c>
      <c r="S9840" t="s">
        <v>27254</v>
      </c>
      <c r="T9840" t="s">
        <v>27255</v>
      </c>
    </row>
    <row r="9841" spans="1:20" x14ac:dyDescent="0.3">
      <c r="A9841" t="str">
        <f>"0611837906100"</f>
        <v>0611837906100</v>
      </c>
      <c r="B9841" t="str">
        <f>"LB6781"</f>
        <v>LB6781</v>
      </c>
      <c r="C9841" t="s">
        <v>46336</v>
      </c>
      <c r="D9841" t="s">
        <v>27245</v>
      </c>
      <c r="E9841" t="str">
        <f t="shared" si="153"/>
        <v>001390</v>
      </c>
      <c r="F9841" t="s">
        <v>27246</v>
      </c>
      <c r="G9841" t="s">
        <v>27247</v>
      </c>
      <c r="H9841" t="s">
        <v>27248</v>
      </c>
      <c r="I9841" t="s">
        <v>46337</v>
      </c>
      <c r="J9841" t="s">
        <v>19810</v>
      </c>
      <c r="L9841" t="s">
        <v>27250</v>
      </c>
      <c r="M9841" t="s">
        <v>27251</v>
      </c>
      <c r="N9841" t="s">
        <v>27252</v>
      </c>
      <c r="Q9841" s="1">
        <v>44538</v>
      </c>
      <c r="R9841" t="s">
        <v>27253</v>
      </c>
      <c r="S9841" t="s">
        <v>27254</v>
      </c>
      <c r="T9841" t="s">
        <v>27255</v>
      </c>
    </row>
    <row r="9842" spans="1:20" x14ac:dyDescent="0.3">
      <c r="A9842" t="str">
        <f>"0611837907100"</f>
        <v>0611837907100</v>
      </c>
      <c r="B9842" t="str">
        <f>"LK0333"</f>
        <v>LK0333</v>
      </c>
      <c r="C9842" t="s">
        <v>46338</v>
      </c>
      <c r="D9842" t="s">
        <v>27245</v>
      </c>
      <c r="E9842" t="str">
        <f t="shared" si="153"/>
        <v>001390</v>
      </c>
      <c r="F9842" t="s">
        <v>27246</v>
      </c>
      <c r="G9842" t="s">
        <v>27247</v>
      </c>
      <c r="H9842" t="s">
        <v>27248</v>
      </c>
      <c r="I9842" t="s">
        <v>46339</v>
      </c>
      <c r="J9842" t="s">
        <v>19812</v>
      </c>
      <c r="L9842" t="s">
        <v>27250</v>
      </c>
      <c r="M9842" t="s">
        <v>27251</v>
      </c>
      <c r="N9842" t="s">
        <v>27252</v>
      </c>
      <c r="Q9842" s="1">
        <v>44538</v>
      </c>
      <c r="R9842" t="s">
        <v>27253</v>
      </c>
      <c r="S9842" t="s">
        <v>27254</v>
      </c>
      <c r="T9842" t="s">
        <v>27255</v>
      </c>
    </row>
    <row r="9843" spans="1:20" x14ac:dyDescent="0.3">
      <c r="A9843" t="str">
        <f>"0611837908100"</f>
        <v>0611837908100</v>
      </c>
      <c r="B9843" t="str">
        <f>"LB6592"</f>
        <v>LB6592</v>
      </c>
      <c r="C9843" t="s">
        <v>46340</v>
      </c>
      <c r="D9843" t="s">
        <v>27245</v>
      </c>
      <c r="E9843" t="str">
        <f t="shared" si="153"/>
        <v>001390</v>
      </c>
      <c r="F9843" t="s">
        <v>27246</v>
      </c>
      <c r="G9843" t="s">
        <v>27247</v>
      </c>
      <c r="H9843" t="s">
        <v>27248</v>
      </c>
      <c r="I9843" t="s">
        <v>46341</v>
      </c>
      <c r="J9843" t="s">
        <v>19814</v>
      </c>
      <c r="L9843" t="s">
        <v>27250</v>
      </c>
      <c r="M9843" t="s">
        <v>27251</v>
      </c>
      <c r="N9843" t="s">
        <v>27252</v>
      </c>
      <c r="Q9843" s="1">
        <v>44538</v>
      </c>
      <c r="R9843" t="s">
        <v>27253</v>
      </c>
      <c r="S9843" t="s">
        <v>27254</v>
      </c>
      <c r="T9843" t="s">
        <v>27255</v>
      </c>
    </row>
    <row r="9844" spans="1:20" x14ac:dyDescent="0.3">
      <c r="A9844" t="str">
        <f>"0611837909100"</f>
        <v>0611837909100</v>
      </c>
      <c r="B9844" t="str">
        <f>"LB6323"</f>
        <v>LB6323</v>
      </c>
      <c r="C9844" t="s">
        <v>46342</v>
      </c>
      <c r="D9844" t="s">
        <v>27245</v>
      </c>
      <c r="E9844" t="str">
        <f t="shared" si="153"/>
        <v>001390</v>
      </c>
      <c r="F9844" t="s">
        <v>27246</v>
      </c>
      <c r="G9844" t="s">
        <v>27247</v>
      </c>
      <c r="H9844" t="s">
        <v>27248</v>
      </c>
      <c r="I9844" t="s">
        <v>46343</v>
      </c>
      <c r="J9844" t="s">
        <v>19816</v>
      </c>
      <c r="L9844" t="s">
        <v>27250</v>
      </c>
      <c r="M9844" t="s">
        <v>27251</v>
      </c>
      <c r="N9844" t="s">
        <v>27252</v>
      </c>
      <c r="Q9844" s="1">
        <v>44538</v>
      </c>
      <c r="R9844" t="s">
        <v>27253</v>
      </c>
      <c r="S9844" t="s">
        <v>27254</v>
      </c>
      <c r="T9844" t="s">
        <v>27255</v>
      </c>
    </row>
    <row r="9845" spans="1:20" x14ac:dyDescent="0.3">
      <c r="A9845" t="str">
        <f>"0611837910100"</f>
        <v>0611837910100</v>
      </c>
      <c r="B9845" t="str">
        <f>"LB6324"</f>
        <v>LB6324</v>
      </c>
      <c r="C9845" t="s">
        <v>46344</v>
      </c>
      <c r="D9845" t="s">
        <v>27245</v>
      </c>
      <c r="E9845" t="str">
        <f t="shared" si="153"/>
        <v>001390</v>
      </c>
      <c r="F9845" t="s">
        <v>27246</v>
      </c>
      <c r="G9845" t="s">
        <v>27247</v>
      </c>
      <c r="H9845" t="s">
        <v>27248</v>
      </c>
      <c r="I9845" t="s">
        <v>46345</v>
      </c>
      <c r="J9845" t="s">
        <v>19818</v>
      </c>
      <c r="L9845" t="s">
        <v>27250</v>
      </c>
      <c r="M9845" t="s">
        <v>27251</v>
      </c>
      <c r="N9845" t="s">
        <v>27252</v>
      </c>
      <c r="Q9845" s="1">
        <v>44538</v>
      </c>
      <c r="R9845" t="s">
        <v>27253</v>
      </c>
      <c r="S9845" t="s">
        <v>27254</v>
      </c>
      <c r="T9845" t="s">
        <v>27255</v>
      </c>
    </row>
    <row r="9846" spans="1:20" x14ac:dyDescent="0.3">
      <c r="A9846" t="str">
        <f>"0611837911100"</f>
        <v>0611837911100</v>
      </c>
      <c r="B9846" t="str">
        <f>"LB6777"</f>
        <v>LB6777</v>
      </c>
      <c r="C9846" t="s">
        <v>46346</v>
      </c>
      <c r="D9846" t="s">
        <v>27245</v>
      </c>
      <c r="E9846" t="str">
        <f t="shared" si="153"/>
        <v>001390</v>
      </c>
      <c r="F9846" t="s">
        <v>27246</v>
      </c>
      <c r="G9846" t="s">
        <v>27247</v>
      </c>
      <c r="H9846" t="s">
        <v>27248</v>
      </c>
      <c r="I9846" t="s">
        <v>46347</v>
      </c>
      <c r="J9846" t="s">
        <v>19820</v>
      </c>
      <c r="L9846" t="s">
        <v>27250</v>
      </c>
      <c r="M9846" t="s">
        <v>27251</v>
      </c>
      <c r="N9846" t="s">
        <v>27252</v>
      </c>
      <c r="Q9846" s="1">
        <v>44538</v>
      </c>
      <c r="R9846" t="s">
        <v>27253</v>
      </c>
      <c r="S9846" t="s">
        <v>27254</v>
      </c>
      <c r="T9846" t="s">
        <v>27255</v>
      </c>
    </row>
    <row r="9847" spans="1:20" x14ac:dyDescent="0.3">
      <c r="A9847" t="str">
        <f>"0611837912100"</f>
        <v>0611837912100</v>
      </c>
      <c r="B9847" t="str">
        <f>"LB6325"</f>
        <v>LB6325</v>
      </c>
      <c r="C9847" t="s">
        <v>46348</v>
      </c>
      <c r="D9847" t="s">
        <v>27245</v>
      </c>
      <c r="E9847" t="str">
        <f t="shared" si="153"/>
        <v>001390</v>
      </c>
      <c r="F9847" t="s">
        <v>27246</v>
      </c>
      <c r="G9847" t="s">
        <v>27247</v>
      </c>
      <c r="H9847" t="s">
        <v>27248</v>
      </c>
      <c r="I9847" t="s">
        <v>46349</v>
      </c>
      <c r="J9847" t="s">
        <v>19822</v>
      </c>
      <c r="L9847" t="s">
        <v>27250</v>
      </c>
      <c r="M9847" t="s">
        <v>27251</v>
      </c>
      <c r="N9847" t="s">
        <v>27252</v>
      </c>
      <c r="Q9847" s="1">
        <v>44538</v>
      </c>
      <c r="R9847" t="s">
        <v>27253</v>
      </c>
      <c r="S9847" t="s">
        <v>27254</v>
      </c>
      <c r="T9847" t="s">
        <v>27255</v>
      </c>
    </row>
    <row r="9848" spans="1:20" x14ac:dyDescent="0.3">
      <c r="A9848" t="str">
        <f>"0611837913100"</f>
        <v>0611837913100</v>
      </c>
      <c r="B9848" t="str">
        <f>"LK0334"</f>
        <v>LK0334</v>
      </c>
      <c r="C9848" t="s">
        <v>46350</v>
      </c>
      <c r="D9848" t="s">
        <v>27245</v>
      </c>
      <c r="E9848" t="str">
        <f t="shared" si="153"/>
        <v>001390</v>
      </c>
      <c r="F9848" t="s">
        <v>27246</v>
      </c>
      <c r="G9848" t="s">
        <v>27247</v>
      </c>
      <c r="H9848" t="s">
        <v>27248</v>
      </c>
      <c r="I9848" t="s">
        <v>46351</v>
      </c>
      <c r="J9848" t="s">
        <v>19824</v>
      </c>
      <c r="L9848" t="s">
        <v>27250</v>
      </c>
      <c r="M9848" t="s">
        <v>27251</v>
      </c>
      <c r="N9848" t="s">
        <v>27252</v>
      </c>
      <c r="Q9848" s="1">
        <v>44538</v>
      </c>
      <c r="R9848" t="s">
        <v>27253</v>
      </c>
      <c r="S9848" t="s">
        <v>27254</v>
      </c>
      <c r="T9848" t="s">
        <v>27255</v>
      </c>
    </row>
    <row r="9849" spans="1:20" x14ac:dyDescent="0.3">
      <c r="A9849" t="str">
        <f>"0611837914100"</f>
        <v>0611837914100</v>
      </c>
      <c r="B9849" t="str">
        <f>"LB6761"</f>
        <v>LB6761</v>
      </c>
      <c r="C9849" t="s">
        <v>46352</v>
      </c>
      <c r="D9849" t="s">
        <v>27245</v>
      </c>
      <c r="E9849" t="str">
        <f t="shared" si="153"/>
        <v>001390</v>
      </c>
      <c r="F9849" t="s">
        <v>27246</v>
      </c>
      <c r="G9849" t="s">
        <v>27247</v>
      </c>
      <c r="H9849" t="s">
        <v>27248</v>
      </c>
      <c r="I9849" t="s">
        <v>46353</v>
      </c>
      <c r="J9849" t="s">
        <v>19826</v>
      </c>
      <c r="L9849" t="s">
        <v>27250</v>
      </c>
      <c r="M9849" t="s">
        <v>27251</v>
      </c>
      <c r="N9849" t="s">
        <v>27252</v>
      </c>
      <c r="Q9849" s="1">
        <v>44538</v>
      </c>
      <c r="R9849" t="s">
        <v>27253</v>
      </c>
      <c r="S9849" t="s">
        <v>27254</v>
      </c>
      <c r="T9849" t="s">
        <v>27255</v>
      </c>
    </row>
    <row r="9850" spans="1:20" x14ac:dyDescent="0.3">
      <c r="A9850" t="str">
        <f>"0611837916100"</f>
        <v>0611837916100</v>
      </c>
      <c r="B9850" t="str">
        <f>"LB6775"</f>
        <v>LB6775</v>
      </c>
      <c r="C9850" t="s">
        <v>46354</v>
      </c>
      <c r="D9850" t="s">
        <v>27245</v>
      </c>
      <c r="E9850" t="str">
        <f t="shared" si="153"/>
        <v>001390</v>
      </c>
      <c r="F9850" t="s">
        <v>27246</v>
      </c>
      <c r="G9850" t="s">
        <v>27247</v>
      </c>
      <c r="H9850" t="s">
        <v>27248</v>
      </c>
      <c r="I9850" t="s">
        <v>46355</v>
      </c>
      <c r="J9850" t="s">
        <v>19828</v>
      </c>
      <c r="L9850" t="s">
        <v>27250</v>
      </c>
      <c r="M9850" t="s">
        <v>27251</v>
      </c>
      <c r="N9850" t="s">
        <v>27252</v>
      </c>
      <c r="Q9850" s="1">
        <v>44538</v>
      </c>
      <c r="R9850" t="s">
        <v>27253</v>
      </c>
      <c r="S9850" t="s">
        <v>27254</v>
      </c>
      <c r="T9850" t="s">
        <v>27255</v>
      </c>
    </row>
    <row r="9851" spans="1:20" x14ac:dyDescent="0.3">
      <c r="A9851" t="str">
        <f>"0611837917100"</f>
        <v>0611837917100</v>
      </c>
      <c r="B9851" t="str">
        <f>"LK0897"</f>
        <v>LK0897</v>
      </c>
      <c r="C9851" t="s">
        <v>46356</v>
      </c>
      <c r="D9851" t="s">
        <v>27245</v>
      </c>
      <c r="E9851" t="str">
        <f t="shared" si="153"/>
        <v>001390</v>
      </c>
      <c r="F9851" t="s">
        <v>27246</v>
      </c>
      <c r="G9851" t="s">
        <v>27247</v>
      </c>
      <c r="H9851" t="s">
        <v>27248</v>
      </c>
      <c r="I9851" t="s">
        <v>46357</v>
      </c>
      <c r="J9851" t="s">
        <v>19830</v>
      </c>
      <c r="L9851" t="s">
        <v>27250</v>
      </c>
      <c r="M9851" t="s">
        <v>27251</v>
      </c>
      <c r="N9851" t="s">
        <v>27252</v>
      </c>
      <c r="Q9851" s="1">
        <v>44538</v>
      </c>
      <c r="R9851" t="s">
        <v>27253</v>
      </c>
      <c r="S9851" t="s">
        <v>27254</v>
      </c>
      <c r="T9851" t="s">
        <v>27255</v>
      </c>
    </row>
    <row r="9852" spans="1:20" x14ac:dyDescent="0.3">
      <c r="A9852" t="str">
        <f>"0611837919100"</f>
        <v>0611837919100</v>
      </c>
      <c r="B9852" t="str">
        <f>"LB6631"</f>
        <v>LB6631</v>
      </c>
      <c r="C9852" t="s">
        <v>46358</v>
      </c>
      <c r="D9852" t="s">
        <v>27245</v>
      </c>
      <c r="E9852" t="str">
        <f t="shared" si="153"/>
        <v>001390</v>
      </c>
      <c r="F9852" t="s">
        <v>27246</v>
      </c>
      <c r="G9852" t="s">
        <v>27247</v>
      </c>
      <c r="H9852" t="s">
        <v>27248</v>
      </c>
      <c r="I9852" t="s">
        <v>46359</v>
      </c>
      <c r="J9852" t="s">
        <v>19832</v>
      </c>
      <c r="L9852" t="s">
        <v>27250</v>
      </c>
      <c r="M9852" t="s">
        <v>27251</v>
      </c>
      <c r="N9852" t="s">
        <v>27252</v>
      </c>
      <c r="Q9852" s="1">
        <v>44538</v>
      </c>
      <c r="R9852" t="s">
        <v>27253</v>
      </c>
      <c r="S9852" t="s">
        <v>27254</v>
      </c>
      <c r="T9852" t="s">
        <v>27255</v>
      </c>
    </row>
    <row r="9853" spans="1:20" x14ac:dyDescent="0.3">
      <c r="A9853" t="str">
        <f>"0611837920100"</f>
        <v>0611837920100</v>
      </c>
      <c r="B9853" t="str">
        <f>"LK7027"</f>
        <v>LK7027</v>
      </c>
      <c r="C9853" t="s">
        <v>46360</v>
      </c>
      <c r="D9853" t="s">
        <v>27245</v>
      </c>
      <c r="E9853" t="str">
        <f t="shared" si="153"/>
        <v>001390</v>
      </c>
      <c r="F9853" t="s">
        <v>27246</v>
      </c>
      <c r="G9853" t="s">
        <v>27247</v>
      </c>
      <c r="H9853" t="s">
        <v>27248</v>
      </c>
      <c r="I9853" t="s">
        <v>46361</v>
      </c>
      <c r="J9853" t="s">
        <v>19834</v>
      </c>
      <c r="L9853" t="s">
        <v>27250</v>
      </c>
      <c r="M9853" t="s">
        <v>27251</v>
      </c>
      <c r="N9853" t="s">
        <v>27252</v>
      </c>
      <c r="Q9853" s="1">
        <v>44538</v>
      </c>
      <c r="R9853" t="s">
        <v>27253</v>
      </c>
      <c r="S9853" t="s">
        <v>27254</v>
      </c>
      <c r="T9853" t="s">
        <v>27255</v>
      </c>
    </row>
    <row r="9854" spans="1:20" x14ac:dyDescent="0.3">
      <c r="A9854" t="str">
        <f>"0611837921100"</f>
        <v>0611837921100</v>
      </c>
      <c r="B9854" t="str">
        <f>"LB6763"</f>
        <v>LB6763</v>
      </c>
      <c r="C9854" t="s">
        <v>46362</v>
      </c>
      <c r="D9854" t="s">
        <v>27245</v>
      </c>
      <c r="E9854" t="str">
        <f t="shared" si="153"/>
        <v>001390</v>
      </c>
      <c r="F9854" t="s">
        <v>27246</v>
      </c>
      <c r="G9854" t="s">
        <v>27247</v>
      </c>
      <c r="H9854" t="s">
        <v>27248</v>
      </c>
      <c r="I9854" t="s">
        <v>46363</v>
      </c>
      <c r="J9854" t="s">
        <v>19836</v>
      </c>
      <c r="L9854" t="s">
        <v>27250</v>
      </c>
      <c r="M9854" t="s">
        <v>27251</v>
      </c>
      <c r="N9854" t="s">
        <v>27252</v>
      </c>
      <c r="Q9854" s="1">
        <v>44538</v>
      </c>
      <c r="R9854" t="s">
        <v>27253</v>
      </c>
      <c r="S9854" t="s">
        <v>27254</v>
      </c>
      <c r="T9854" t="s">
        <v>27255</v>
      </c>
    </row>
    <row r="9855" spans="1:20" x14ac:dyDescent="0.3">
      <c r="A9855" t="str">
        <f>"0611837922100"</f>
        <v>0611837922100</v>
      </c>
      <c r="B9855" t="str">
        <f>"LK2974"</f>
        <v>LK2974</v>
      </c>
      <c r="C9855" t="s">
        <v>46364</v>
      </c>
      <c r="D9855" t="s">
        <v>27245</v>
      </c>
      <c r="E9855" t="str">
        <f t="shared" si="153"/>
        <v>001390</v>
      </c>
      <c r="F9855" t="s">
        <v>27246</v>
      </c>
      <c r="G9855" t="s">
        <v>27247</v>
      </c>
      <c r="H9855" t="s">
        <v>27248</v>
      </c>
      <c r="I9855" t="s">
        <v>46365</v>
      </c>
      <c r="J9855" t="s">
        <v>19838</v>
      </c>
      <c r="L9855" t="s">
        <v>27250</v>
      </c>
      <c r="M9855" t="s">
        <v>27251</v>
      </c>
      <c r="N9855" t="s">
        <v>27252</v>
      </c>
      <c r="Q9855" s="1">
        <v>44538</v>
      </c>
      <c r="R9855" t="s">
        <v>27253</v>
      </c>
      <c r="S9855" t="s">
        <v>27254</v>
      </c>
      <c r="T9855" t="s">
        <v>27255</v>
      </c>
    </row>
    <row r="9856" spans="1:20" x14ac:dyDescent="0.3">
      <c r="A9856" t="str">
        <f>"0611837923100"</f>
        <v>0611837923100</v>
      </c>
      <c r="B9856" t="str">
        <f>"LB6765"</f>
        <v>LB6765</v>
      </c>
      <c r="C9856" t="s">
        <v>46366</v>
      </c>
      <c r="D9856" t="s">
        <v>27245</v>
      </c>
      <c r="E9856" t="str">
        <f t="shared" si="153"/>
        <v>001390</v>
      </c>
      <c r="F9856" t="s">
        <v>27246</v>
      </c>
      <c r="G9856" t="s">
        <v>27247</v>
      </c>
      <c r="H9856" t="s">
        <v>27248</v>
      </c>
      <c r="I9856" t="s">
        <v>46367</v>
      </c>
      <c r="J9856" t="s">
        <v>19840</v>
      </c>
      <c r="L9856" t="s">
        <v>27250</v>
      </c>
      <c r="M9856" t="s">
        <v>27251</v>
      </c>
      <c r="N9856" t="s">
        <v>27252</v>
      </c>
      <c r="Q9856" s="1">
        <v>44538</v>
      </c>
      <c r="R9856" t="s">
        <v>27253</v>
      </c>
      <c r="S9856" t="s">
        <v>27254</v>
      </c>
      <c r="T9856" t="s">
        <v>27255</v>
      </c>
    </row>
    <row r="9857" spans="1:20" x14ac:dyDescent="0.3">
      <c r="A9857" t="str">
        <f>"0611837924100"</f>
        <v>0611837924100</v>
      </c>
      <c r="B9857" t="str">
        <f>"LB6762"</f>
        <v>LB6762</v>
      </c>
      <c r="C9857" t="s">
        <v>46368</v>
      </c>
      <c r="D9857" t="s">
        <v>27245</v>
      </c>
      <c r="E9857" t="str">
        <f t="shared" si="153"/>
        <v>001390</v>
      </c>
      <c r="F9857" t="s">
        <v>27246</v>
      </c>
      <c r="G9857" t="s">
        <v>27247</v>
      </c>
      <c r="H9857" t="s">
        <v>27248</v>
      </c>
      <c r="I9857" t="s">
        <v>46369</v>
      </c>
      <c r="J9857" t="s">
        <v>19842</v>
      </c>
      <c r="L9857" t="s">
        <v>27250</v>
      </c>
      <c r="M9857" t="s">
        <v>27251</v>
      </c>
      <c r="N9857" t="s">
        <v>27252</v>
      </c>
      <c r="Q9857" s="1">
        <v>44538</v>
      </c>
      <c r="R9857" t="s">
        <v>27253</v>
      </c>
      <c r="S9857" t="s">
        <v>27254</v>
      </c>
      <c r="T9857" t="s">
        <v>27255</v>
      </c>
    </row>
    <row r="9858" spans="1:20" x14ac:dyDescent="0.3">
      <c r="A9858" t="str">
        <f>"0611837925100"</f>
        <v>0611837925100</v>
      </c>
      <c r="B9858" t="str">
        <f>"LK5879"</f>
        <v>LK5879</v>
      </c>
      <c r="C9858" t="s">
        <v>46370</v>
      </c>
      <c r="D9858" t="s">
        <v>27245</v>
      </c>
      <c r="E9858" t="str">
        <f t="shared" ref="E9858:E9921" si="154">"001390"</f>
        <v>001390</v>
      </c>
      <c r="F9858" t="s">
        <v>27246</v>
      </c>
      <c r="G9858" t="s">
        <v>27247</v>
      </c>
      <c r="H9858" t="s">
        <v>27248</v>
      </c>
      <c r="I9858" t="s">
        <v>46371</v>
      </c>
      <c r="J9858" t="s">
        <v>19844</v>
      </c>
      <c r="L9858" t="s">
        <v>27250</v>
      </c>
      <c r="M9858" t="s">
        <v>27251</v>
      </c>
      <c r="N9858" t="s">
        <v>27252</v>
      </c>
      <c r="Q9858" s="1">
        <v>44538</v>
      </c>
      <c r="R9858" t="s">
        <v>27253</v>
      </c>
      <c r="S9858" t="s">
        <v>27254</v>
      </c>
      <c r="T9858" t="s">
        <v>27255</v>
      </c>
    </row>
    <row r="9859" spans="1:20" x14ac:dyDescent="0.3">
      <c r="A9859" t="str">
        <f>"0611837926100"</f>
        <v>0611837926100</v>
      </c>
      <c r="B9859" t="str">
        <f>"LB6764"</f>
        <v>LB6764</v>
      </c>
      <c r="C9859" t="s">
        <v>46372</v>
      </c>
      <c r="D9859" t="s">
        <v>27245</v>
      </c>
      <c r="E9859" t="str">
        <f t="shared" si="154"/>
        <v>001390</v>
      </c>
      <c r="F9859" t="s">
        <v>27246</v>
      </c>
      <c r="G9859" t="s">
        <v>27247</v>
      </c>
      <c r="H9859" t="s">
        <v>27248</v>
      </c>
      <c r="I9859" t="s">
        <v>46373</v>
      </c>
      <c r="J9859" t="s">
        <v>19846</v>
      </c>
      <c r="L9859" t="s">
        <v>27250</v>
      </c>
      <c r="M9859" t="s">
        <v>27251</v>
      </c>
      <c r="N9859" t="s">
        <v>27252</v>
      </c>
      <c r="Q9859" s="1">
        <v>44538</v>
      </c>
      <c r="R9859" t="s">
        <v>27253</v>
      </c>
      <c r="S9859" t="s">
        <v>27254</v>
      </c>
      <c r="T9859" t="s">
        <v>27255</v>
      </c>
    </row>
    <row r="9860" spans="1:20" x14ac:dyDescent="0.3">
      <c r="A9860" t="str">
        <f>"0611837927100"</f>
        <v>0611837927100</v>
      </c>
      <c r="B9860" t="str">
        <f>"LB6759"</f>
        <v>LB6759</v>
      </c>
      <c r="C9860" t="s">
        <v>46374</v>
      </c>
      <c r="D9860" t="s">
        <v>27245</v>
      </c>
      <c r="E9860" t="str">
        <f t="shared" si="154"/>
        <v>001390</v>
      </c>
      <c r="F9860" t="s">
        <v>27246</v>
      </c>
      <c r="G9860" t="s">
        <v>27247</v>
      </c>
      <c r="H9860" t="s">
        <v>27248</v>
      </c>
      <c r="I9860" t="s">
        <v>46375</v>
      </c>
      <c r="J9860" t="s">
        <v>19848</v>
      </c>
      <c r="L9860" t="s">
        <v>27250</v>
      </c>
      <c r="M9860" t="s">
        <v>27251</v>
      </c>
      <c r="N9860" t="s">
        <v>27252</v>
      </c>
      <c r="Q9860" s="1">
        <v>44538</v>
      </c>
      <c r="R9860" t="s">
        <v>27253</v>
      </c>
      <c r="S9860" t="s">
        <v>27254</v>
      </c>
      <c r="T9860" t="s">
        <v>27255</v>
      </c>
    </row>
    <row r="9861" spans="1:20" x14ac:dyDescent="0.3">
      <c r="A9861" t="str">
        <f>"0611837928100"</f>
        <v>0611837928100</v>
      </c>
      <c r="B9861" t="str">
        <f>"LB6766"</f>
        <v>LB6766</v>
      </c>
      <c r="C9861" t="s">
        <v>46376</v>
      </c>
      <c r="D9861" t="s">
        <v>27245</v>
      </c>
      <c r="E9861" t="str">
        <f t="shared" si="154"/>
        <v>001390</v>
      </c>
      <c r="F9861" t="s">
        <v>27246</v>
      </c>
      <c r="G9861" t="s">
        <v>27247</v>
      </c>
      <c r="H9861" t="s">
        <v>27248</v>
      </c>
      <c r="I9861" t="s">
        <v>46377</v>
      </c>
      <c r="J9861" t="s">
        <v>19850</v>
      </c>
      <c r="L9861" t="s">
        <v>27250</v>
      </c>
      <c r="M9861" t="s">
        <v>27251</v>
      </c>
      <c r="N9861" t="s">
        <v>27252</v>
      </c>
      <c r="Q9861" s="1">
        <v>44538</v>
      </c>
      <c r="R9861" t="s">
        <v>27253</v>
      </c>
      <c r="S9861" t="s">
        <v>27254</v>
      </c>
      <c r="T9861" t="s">
        <v>27255</v>
      </c>
    </row>
    <row r="9862" spans="1:20" x14ac:dyDescent="0.3">
      <c r="A9862" t="str">
        <f>"0611837929100"</f>
        <v>0611837929100</v>
      </c>
      <c r="B9862" t="str">
        <f>"LK2723"</f>
        <v>LK2723</v>
      </c>
      <c r="C9862" t="s">
        <v>46378</v>
      </c>
      <c r="D9862" t="s">
        <v>27245</v>
      </c>
      <c r="E9862" t="str">
        <f t="shared" si="154"/>
        <v>001390</v>
      </c>
      <c r="F9862" t="s">
        <v>27246</v>
      </c>
      <c r="G9862" t="s">
        <v>27247</v>
      </c>
      <c r="H9862" t="s">
        <v>27248</v>
      </c>
      <c r="I9862" t="s">
        <v>46379</v>
      </c>
      <c r="J9862" t="s">
        <v>19852</v>
      </c>
      <c r="L9862" t="s">
        <v>27250</v>
      </c>
      <c r="M9862" t="s">
        <v>27251</v>
      </c>
      <c r="N9862" t="s">
        <v>27252</v>
      </c>
      <c r="Q9862" s="1">
        <v>44538</v>
      </c>
      <c r="R9862" t="s">
        <v>27253</v>
      </c>
      <c r="S9862" t="s">
        <v>27254</v>
      </c>
      <c r="T9862" t="s">
        <v>27255</v>
      </c>
    </row>
    <row r="9863" spans="1:20" x14ac:dyDescent="0.3">
      <c r="A9863" t="str">
        <f>"0611837930100"</f>
        <v>0611837930100</v>
      </c>
      <c r="B9863" t="str">
        <f>"LK2724"</f>
        <v>LK2724</v>
      </c>
      <c r="C9863" t="s">
        <v>46380</v>
      </c>
      <c r="D9863" t="s">
        <v>27245</v>
      </c>
      <c r="E9863" t="str">
        <f t="shared" si="154"/>
        <v>001390</v>
      </c>
      <c r="F9863" t="s">
        <v>27246</v>
      </c>
      <c r="G9863" t="s">
        <v>27247</v>
      </c>
      <c r="H9863" t="s">
        <v>27248</v>
      </c>
      <c r="I9863" t="s">
        <v>46381</v>
      </c>
      <c r="J9863" t="s">
        <v>19854</v>
      </c>
      <c r="L9863" t="s">
        <v>27250</v>
      </c>
      <c r="M9863" t="s">
        <v>27251</v>
      </c>
      <c r="N9863" t="s">
        <v>27252</v>
      </c>
      <c r="Q9863" s="1">
        <v>44538</v>
      </c>
      <c r="R9863" t="s">
        <v>27253</v>
      </c>
      <c r="S9863" t="s">
        <v>27254</v>
      </c>
      <c r="T9863" t="s">
        <v>27255</v>
      </c>
    </row>
    <row r="9864" spans="1:20" x14ac:dyDescent="0.3">
      <c r="A9864" t="str">
        <f>"0611837932100"</f>
        <v>0611837932100</v>
      </c>
      <c r="B9864" t="str">
        <f>"LB6768"</f>
        <v>LB6768</v>
      </c>
      <c r="C9864" t="s">
        <v>46382</v>
      </c>
      <c r="D9864" t="s">
        <v>27245</v>
      </c>
      <c r="E9864" t="str">
        <f t="shared" si="154"/>
        <v>001390</v>
      </c>
      <c r="F9864" t="s">
        <v>27246</v>
      </c>
      <c r="G9864" t="s">
        <v>27247</v>
      </c>
      <c r="H9864" t="s">
        <v>27248</v>
      </c>
      <c r="I9864" t="s">
        <v>46383</v>
      </c>
      <c r="J9864" t="s">
        <v>19856</v>
      </c>
      <c r="L9864" t="s">
        <v>27250</v>
      </c>
      <c r="M9864" t="s">
        <v>27251</v>
      </c>
      <c r="N9864" t="s">
        <v>27252</v>
      </c>
      <c r="Q9864" s="1">
        <v>44538</v>
      </c>
      <c r="R9864" t="s">
        <v>27253</v>
      </c>
      <c r="S9864" t="s">
        <v>27254</v>
      </c>
      <c r="T9864" t="s">
        <v>27255</v>
      </c>
    </row>
    <row r="9865" spans="1:20" x14ac:dyDescent="0.3">
      <c r="A9865" t="str">
        <f>"0611837933100"</f>
        <v>0611837933100</v>
      </c>
      <c r="B9865" t="str">
        <f>"LK1983"</f>
        <v>LK1983</v>
      </c>
      <c r="C9865" t="s">
        <v>46384</v>
      </c>
      <c r="D9865" t="s">
        <v>27245</v>
      </c>
      <c r="E9865" t="str">
        <f t="shared" si="154"/>
        <v>001390</v>
      </c>
      <c r="F9865" t="s">
        <v>27246</v>
      </c>
      <c r="G9865" t="s">
        <v>27247</v>
      </c>
      <c r="H9865" t="s">
        <v>27248</v>
      </c>
      <c r="I9865" t="s">
        <v>46385</v>
      </c>
      <c r="J9865" t="s">
        <v>19858</v>
      </c>
      <c r="L9865" t="s">
        <v>27250</v>
      </c>
      <c r="M9865" t="s">
        <v>27251</v>
      </c>
      <c r="N9865" t="s">
        <v>27252</v>
      </c>
      <c r="Q9865" s="1">
        <v>44538</v>
      </c>
      <c r="R9865" t="s">
        <v>27253</v>
      </c>
      <c r="S9865" t="s">
        <v>27254</v>
      </c>
      <c r="T9865" t="s">
        <v>27255</v>
      </c>
    </row>
    <row r="9866" spans="1:20" x14ac:dyDescent="0.3">
      <c r="A9866" t="str">
        <f>"0611837934100"</f>
        <v>0611837934100</v>
      </c>
      <c r="B9866" t="str">
        <f>"LK7028"</f>
        <v>LK7028</v>
      </c>
      <c r="C9866" t="s">
        <v>46386</v>
      </c>
      <c r="D9866" t="s">
        <v>27245</v>
      </c>
      <c r="E9866" t="str">
        <f t="shared" si="154"/>
        <v>001390</v>
      </c>
      <c r="F9866" t="s">
        <v>27246</v>
      </c>
      <c r="G9866" t="s">
        <v>27247</v>
      </c>
      <c r="H9866" t="s">
        <v>27248</v>
      </c>
      <c r="I9866" t="s">
        <v>46387</v>
      </c>
      <c r="J9866" t="s">
        <v>19860</v>
      </c>
      <c r="L9866" t="s">
        <v>27250</v>
      </c>
      <c r="M9866" t="s">
        <v>27251</v>
      </c>
      <c r="N9866" t="s">
        <v>27252</v>
      </c>
      <c r="Q9866" s="1">
        <v>44538</v>
      </c>
      <c r="R9866" t="s">
        <v>27253</v>
      </c>
      <c r="S9866" t="s">
        <v>27254</v>
      </c>
      <c r="T9866" t="s">
        <v>27255</v>
      </c>
    </row>
    <row r="9867" spans="1:20" x14ac:dyDescent="0.3">
      <c r="A9867" t="str">
        <f>"0611837935100"</f>
        <v>0611837935100</v>
      </c>
      <c r="B9867" t="str">
        <f>"LB6756"</f>
        <v>LB6756</v>
      </c>
      <c r="C9867" t="s">
        <v>46388</v>
      </c>
      <c r="D9867" t="s">
        <v>27245</v>
      </c>
      <c r="E9867" t="str">
        <f t="shared" si="154"/>
        <v>001390</v>
      </c>
      <c r="F9867" t="s">
        <v>27246</v>
      </c>
      <c r="G9867" t="s">
        <v>27247</v>
      </c>
      <c r="H9867" t="s">
        <v>27248</v>
      </c>
      <c r="I9867" t="s">
        <v>46389</v>
      </c>
      <c r="J9867" t="s">
        <v>19862</v>
      </c>
      <c r="L9867" t="s">
        <v>27250</v>
      </c>
      <c r="M9867" t="s">
        <v>27251</v>
      </c>
      <c r="N9867" t="s">
        <v>27252</v>
      </c>
      <c r="Q9867" s="1">
        <v>44538</v>
      </c>
      <c r="R9867" t="s">
        <v>27253</v>
      </c>
      <c r="S9867" t="s">
        <v>27254</v>
      </c>
      <c r="T9867" t="s">
        <v>27255</v>
      </c>
    </row>
    <row r="9868" spans="1:20" x14ac:dyDescent="0.3">
      <c r="A9868" t="str">
        <f>"0611837936100"</f>
        <v>0611837936100</v>
      </c>
      <c r="B9868" t="str">
        <f>"LK1984"</f>
        <v>LK1984</v>
      </c>
      <c r="C9868" t="s">
        <v>46390</v>
      </c>
      <c r="D9868" t="s">
        <v>27245</v>
      </c>
      <c r="E9868" t="str">
        <f t="shared" si="154"/>
        <v>001390</v>
      </c>
      <c r="F9868" t="s">
        <v>27246</v>
      </c>
      <c r="G9868" t="s">
        <v>27247</v>
      </c>
      <c r="H9868" t="s">
        <v>27248</v>
      </c>
      <c r="I9868" t="s">
        <v>46391</v>
      </c>
      <c r="J9868" t="s">
        <v>19864</v>
      </c>
      <c r="L9868" t="s">
        <v>27250</v>
      </c>
      <c r="M9868" t="s">
        <v>27251</v>
      </c>
      <c r="N9868" t="s">
        <v>27252</v>
      </c>
      <c r="Q9868" s="1">
        <v>44538</v>
      </c>
      <c r="R9868" t="s">
        <v>27253</v>
      </c>
      <c r="S9868" t="s">
        <v>27254</v>
      </c>
      <c r="T9868" t="s">
        <v>27255</v>
      </c>
    </row>
    <row r="9869" spans="1:20" x14ac:dyDescent="0.3">
      <c r="A9869" t="str">
        <f>"0611837937100"</f>
        <v>0611837937100</v>
      </c>
      <c r="B9869" t="str">
        <f>"LK3481"</f>
        <v>LK3481</v>
      </c>
      <c r="C9869" t="s">
        <v>46392</v>
      </c>
      <c r="D9869" t="s">
        <v>27245</v>
      </c>
      <c r="E9869" t="str">
        <f t="shared" si="154"/>
        <v>001390</v>
      </c>
      <c r="F9869" t="s">
        <v>27246</v>
      </c>
      <c r="G9869" t="s">
        <v>27247</v>
      </c>
      <c r="H9869" t="s">
        <v>27248</v>
      </c>
      <c r="I9869" t="s">
        <v>46393</v>
      </c>
      <c r="J9869" t="s">
        <v>19866</v>
      </c>
      <c r="L9869" t="s">
        <v>27250</v>
      </c>
      <c r="M9869" t="s">
        <v>27251</v>
      </c>
      <c r="N9869" t="s">
        <v>27252</v>
      </c>
      <c r="Q9869" s="1">
        <v>44538</v>
      </c>
      <c r="R9869" t="s">
        <v>27253</v>
      </c>
      <c r="S9869" t="s">
        <v>27254</v>
      </c>
      <c r="T9869" t="s">
        <v>27255</v>
      </c>
    </row>
    <row r="9870" spans="1:20" x14ac:dyDescent="0.3">
      <c r="A9870" t="str">
        <f>"0611837938100"</f>
        <v>0611837938100</v>
      </c>
      <c r="B9870" t="str">
        <f>"LB6770"</f>
        <v>LB6770</v>
      </c>
      <c r="C9870" t="s">
        <v>46394</v>
      </c>
      <c r="D9870" t="s">
        <v>27245</v>
      </c>
      <c r="E9870" t="str">
        <f t="shared" si="154"/>
        <v>001390</v>
      </c>
      <c r="F9870" t="s">
        <v>27246</v>
      </c>
      <c r="G9870" t="s">
        <v>27247</v>
      </c>
      <c r="H9870" t="s">
        <v>27248</v>
      </c>
      <c r="I9870" t="s">
        <v>46395</v>
      </c>
      <c r="J9870" t="s">
        <v>19868</v>
      </c>
      <c r="L9870" t="s">
        <v>27250</v>
      </c>
      <c r="M9870" t="s">
        <v>27251</v>
      </c>
      <c r="N9870" t="s">
        <v>27252</v>
      </c>
      <c r="Q9870" s="1">
        <v>44538</v>
      </c>
      <c r="R9870" t="s">
        <v>27253</v>
      </c>
      <c r="S9870" t="s">
        <v>27254</v>
      </c>
      <c r="T9870" t="s">
        <v>27255</v>
      </c>
    </row>
    <row r="9871" spans="1:20" x14ac:dyDescent="0.3">
      <c r="A9871" t="str">
        <f>"0611837939100"</f>
        <v>0611837939100</v>
      </c>
      <c r="B9871" t="str">
        <f>"LB6769"</f>
        <v>LB6769</v>
      </c>
      <c r="C9871" t="s">
        <v>46396</v>
      </c>
      <c r="D9871" t="s">
        <v>27245</v>
      </c>
      <c r="E9871" t="str">
        <f t="shared" si="154"/>
        <v>001390</v>
      </c>
      <c r="F9871" t="s">
        <v>27246</v>
      </c>
      <c r="G9871" t="s">
        <v>27247</v>
      </c>
      <c r="H9871" t="s">
        <v>27248</v>
      </c>
      <c r="I9871" t="s">
        <v>46397</v>
      </c>
      <c r="J9871" t="s">
        <v>19870</v>
      </c>
      <c r="L9871" t="s">
        <v>27250</v>
      </c>
      <c r="M9871" t="s">
        <v>27251</v>
      </c>
      <c r="N9871" t="s">
        <v>27252</v>
      </c>
      <c r="Q9871" s="1">
        <v>44538</v>
      </c>
      <c r="R9871" t="s">
        <v>27253</v>
      </c>
      <c r="S9871" t="s">
        <v>27254</v>
      </c>
      <c r="T9871" t="s">
        <v>27255</v>
      </c>
    </row>
    <row r="9872" spans="1:20" x14ac:dyDescent="0.3">
      <c r="A9872" t="str">
        <f>"0611837940100"</f>
        <v>0611837940100</v>
      </c>
      <c r="B9872" t="str">
        <f>"LB6774"</f>
        <v>LB6774</v>
      </c>
      <c r="C9872" t="s">
        <v>46398</v>
      </c>
      <c r="D9872" t="s">
        <v>27245</v>
      </c>
      <c r="E9872" t="str">
        <f t="shared" si="154"/>
        <v>001390</v>
      </c>
      <c r="F9872" t="s">
        <v>27246</v>
      </c>
      <c r="G9872" t="s">
        <v>27247</v>
      </c>
      <c r="H9872" t="s">
        <v>27248</v>
      </c>
      <c r="I9872" t="s">
        <v>46399</v>
      </c>
      <c r="J9872" t="s">
        <v>19872</v>
      </c>
      <c r="L9872" t="s">
        <v>27250</v>
      </c>
      <c r="M9872" t="s">
        <v>27251</v>
      </c>
      <c r="N9872" t="s">
        <v>27252</v>
      </c>
      <c r="Q9872" s="1">
        <v>44538</v>
      </c>
      <c r="R9872" t="s">
        <v>27253</v>
      </c>
      <c r="S9872" t="s">
        <v>27254</v>
      </c>
      <c r="T9872" t="s">
        <v>27255</v>
      </c>
    </row>
    <row r="9873" spans="1:20" x14ac:dyDescent="0.3">
      <c r="A9873" t="str">
        <f>"0611837941100"</f>
        <v>0611837941100</v>
      </c>
      <c r="B9873" t="str">
        <f>"LB6773"</f>
        <v>LB6773</v>
      </c>
      <c r="C9873" t="s">
        <v>46400</v>
      </c>
      <c r="D9873" t="s">
        <v>27245</v>
      </c>
      <c r="E9873" t="str">
        <f t="shared" si="154"/>
        <v>001390</v>
      </c>
      <c r="F9873" t="s">
        <v>27246</v>
      </c>
      <c r="G9873" t="s">
        <v>27247</v>
      </c>
      <c r="H9873" t="s">
        <v>27248</v>
      </c>
      <c r="I9873" t="s">
        <v>46401</v>
      </c>
      <c r="J9873" t="s">
        <v>19874</v>
      </c>
      <c r="L9873" t="s">
        <v>27250</v>
      </c>
      <c r="M9873" t="s">
        <v>27251</v>
      </c>
      <c r="N9873" t="s">
        <v>27252</v>
      </c>
      <c r="Q9873" s="1">
        <v>44538</v>
      </c>
      <c r="R9873" t="s">
        <v>27253</v>
      </c>
      <c r="S9873" t="s">
        <v>27254</v>
      </c>
      <c r="T9873" t="s">
        <v>27255</v>
      </c>
    </row>
    <row r="9874" spans="1:20" x14ac:dyDescent="0.3">
      <c r="A9874" t="str">
        <f>"0611837942100"</f>
        <v>0611837942100</v>
      </c>
      <c r="B9874" t="str">
        <f>"LB7466"</f>
        <v>LB7466</v>
      </c>
      <c r="C9874" t="s">
        <v>46402</v>
      </c>
      <c r="D9874" t="s">
        <v>27245</v>
      </c>
      <c r="E9874" t="str">
        <f t="shared" si="154"/>
        <v>001390</v>
      </c>
      <c r="F9874" t="s">
        <v>27246</v>
      </c>
      <c r="G9874" t="s">
        <v>27247</v>
      </c>
      <c r="H9874" t="s">
        <v>27248</v>
      </c>
      <c r="I9874" t="s">
        <v>46403</v>
      </c>
      <c r="J9874" t="s">
        <v>19876</v>
      </c>
      <c r="L9874" t="s">
        <v>27250</v>
      </c>
      <c r="M9874" t="s">
        <v>27251</v>
      </c>
      <c r="N9874" t="s">
        <v>27252</v>
      </c>
      <c r="Q9874" s="1">
        <v>44538</v>
      </c>
      <c r="R9874" t="s">
        <v>27253</v>
      </c>
      <c r="S9874" t="s">
        <v>27254</v>
      </c>
      <c r="T9874" t="s">
        <v>27255</v>
      </c>
    </row>
    <row r="9875" spans="1:20" x14ac:dyDescent="0.3">
      <c r="A9875" t="str">
        <f>"0611837943100"</f>
        <v>0611837943100</v>
      </c>
      <c r="B9875" t="str">
        <f>"LB6771"</f>
        <v>LB6771</v>
      </c>
      <c r="C9875" t="s">
        <v>46404</v>
      </c>
      <c r="D9875" t="s">
        <v>27245</v>
      </c>
      <c r="E9875" t="str">
        <f t="shared" si="154"/>
        <v>001390</v>
      </c>
      <c r="F9875" t="s">
        <v>27246</v>
      </c>
      <c r="G9875" t="s">
        <v>27247</v>
      </c>
      <c r="H9875" t="s">
        <v>27248</v>
      </c>
      <c r="I9875" t="s">
        <v>46405</v>
      </c>
      <c r="J9875" t="s">
        <v>19878</v>
      </c>
      <c r="L9875" t="s">
        <v>27250</v>
      </c>
      <c r="M9875" t="s">
        <v>27251</v>
      </c>
      <c r="N9875" t="s">
        <v>27252</v>
      </c>
      <c r="Q9875" s="1">
        <v>44538</v>
      </c>
      <c r="R9875" t="s">
        <v>27253</v>
      </c>
      <c r="S9875" t="s">
        <v>27254</v>
      </c>
      <c r="T9875" t="s">
        <v>27255</v>
      </c>
    </row>
    <row r="9876" spans="1:20" x14ac:dyDescent="0.3">
      <c r="A9876" t="str">
        <f>"0611837944100"</f>
        <v>0611837944100</v>
      </c>
      <c r="B9876" t="str">
        <f>"LK0898"</f>
        <v>LK0898</v>
      </c>
      <c r="C9876" t="s">
        <v>46406</v>
      </c>
      <c r="D9876" t="s">
        <v>27245</v>
      </c>
      <c r="E9876" t="str">
        <f t="shared" si="154"/>
        <v>001390</v>
      </c>
      <c r="F9876" t="s">
        <v>27246</v>
      </c>
      <c r="G9876" t="s">
        <v>27247</v>
      </c>
      <c r="H9876" t="s">
        <v>27248</v>
      </c>
      <c r="I9876" t="s">
        <v>46407</v>
      </c>
      <c r="J9876" t="s">
        <v>19880</v>
      </c>
      <c r="L9876" t="s">
        <v>27250</v>
      </c>
      <c r="M9876" t="s">
        <v>27251</v>
      </c>
      <c r="N9876" t="s">
        <v>27252</v>
      </c>
      <c r="Q9876" s="1">
        <v>44538</v>
      </c>
      <c r="R9876" t="s">
        <v>27253</v>
      </c>
      <c r="S9876" t="s">
        <v>27254</v>
      </c>
      <c r="T9876" t="s">
        <v>27255</v>
      </c>
    </row>
    <row r="9877" spans="1:20" x14ac:dyDescent="0.3">
      <c r="A9877" t="str">
        <f>"0611837945100"</f>
        <v>0611837945100</v>
      </c>
      <c r="B9877" t="str">
        <f>"LB6772"</f>
        <v>LB6772</v>
      </c>
      <c r="C9877" t="s">
        <v>46408</v>
      </c>
      <c r="D9877" t="s">
        <v>27245</v>
      </c>
      <c r="E9877" t="str">
        <f t="shared" si="154"/>
        <v>001390</v>
      </c>
      <c r="F9877" t="s">
        <v>27246</v>
      </c>
      <c r="G9877" t="s">
        <v>27247</v>
      </c>
      <c r="H9877" t="s">
        <v>27248</v>
      </c>
      <c r="I9877" t="s">
        <v>46409</v>
      </c>
      <c r="J9877" t="s">
        <v>19882</v>
      </c>
      <c r="L9877" t="s">
        <v>27250</v>
      </c>
      <c r="M9877" t="s">
        <v>27251</v>
      </c>
      <c r="N9877" t="s">
        <v>27252</v>
      </c>
      <c r="Q9877" s="1">
        <v>44538</v>
      </c>
      <c r="R9877" t="s">
        <v>27253</v>
      </c>
      <c r="S9877" t="s">
        <v>27254</v>
      </c>
      <c r="T9877" t="s">
        <v>27255</v>
      </c>
    </row>
    <row r="9878" spans="1:20" x14ac:dyDescent="0.3">
      <c r="A9878" t="str">
        <f>"0611837946100"</f>
        <v>0611837946100</v>
      </c>
      <c r="B9878" t="str">
        <f>"LB6593"</f>
        <v>LB6593</v>
      </c>
      <c r="C9878" t="s">
        <v>46410</v>
      </c>
      <c r="D9878" t="s">
        <v>27245</v>
      </c>
      <c r="E9878" t="str">
        <f t="shared" si="154"/>
        <v>001390</v>
      </c>
      <c r="F9878" t="s">
        <v>27246</v>
      </c>
      <c r="G9878" t="s">
        <v>27247</v>
      </c>
      <c r="H9878" t="s">
        <v>27248</v>
      </c>
      <c r="I9878" t="s">
        <v>46411</v>
      </c>
      <c r="J9878" t="s">
        <v>19884</v>
      </c>
      <c r="L9878" t="s">
        <v>27250</v>
      </c>
      <c r="M9878" t="s">
        <v>27251</v>
      </c>
      <c r="N9878" t="s">
        <v>27252</v>
      </c>
      <c r="Q9878" s="1">
        <v>44538</v>
      </c>
      <c r="R9878" t="s">
        <v>27253</v>
      </c>
      <c r="S9878" t="s">
        <v>27254</v>
      </c>
      <c r="T9878" t="s">
        <v>27255</v>
      </c>
    </row>
    <row r="9879" spans="1:20" x14ac:dyDescent="0.3">
      <c r="A9879" t="str">
        <f>"0611837947100"</f>
        <v>0611837947100</v>
      </c>
      <c r="B9879" t="str">
        <f>"LK4342"</f>
        <v>LK4342</v>
      </c>
      <c r="C9879" t="s">
        <v>46412</v>
      </c>
      <c r="D9879" t="s">
        <v>27245</v>
      </c>
      <c r="E9879" t="str">
        <f t="shared" si="154"/>
        <v>001390</v>
      </c>
      <c r="F9879" t="s">
        <v>27246</v>
      </c>
      <c r="G9879" t="s">
        <v>27247</v>
      </c>
      <c r="H9879" t="s">
        <v>27248</v>
      </c>
      <c r="I9879" t="s">
        <v>46413</v>
      </c>
      <c r="J9879" t="s">
        <v>19886</v>
      </c>
      <c r="L9879" t="s">
        <v>27250</v>
      </c>
      <c r="M9879" t="s">
        <v>27251</v>
      </c>
      <c r="N9879" t="s">
        <v>27252</v>
      </c>
      <c r="Q9879" s="1">
        <v>44538</v>
      </c>
      <c r="R9879" t="s">
        <v>27253</v>
      </c>
      <c r="S9879" t="s">
        <v>27254</v>
      </c>
      <c r="T9879" t="s">
        <v>27255</v>
      </c>
    </row>
    <row r="9880" spans="1:20" x14ac:dyDescent="0.3">
      <c r="A9880" t="str">
        <f>"0611837948100"</f>
        <v>0611837948100</v>
      </c>
      <c r="B9880" t="str">
        <f>"LK0911"</f>
        <v>LK0911</v>
      </c>
      <c r="C9880" t="s">
        <v>46414</v>
      </c>
      <c r="D9880" t="s">
        <v>27245</v>
      </c>
      <c r="E9880" t="str">
        <f t="shared" si="154"/>
        <v>001390</v>
      </c>
      <c r="F9880" t="s">
        <v>27246</v>
      </c>
      <c r="G9880" t="s">
        <v>27247</v>
      </c>
      <c r="H9880" t="s">
        <v>27248</v>
      </c>
      <c r="I9880" t="s">
        <v>46415</v>
      </c>
      <c r="J9880" t="s">
        <v>19888</v>
      </c>
      <c r="L9880" t="s">
        <v>27250</v>
      </c>
      <c r="M9880" t="s">
        <v>27251</v>
      </c>
      <c r="N9880" t="s">
        <v>27252</v>
      </c>
      <c r="Q9880" s="1">
        <v>44538</v>
      </c>
      <c r="R9880" t="s">
        <v>27253</v>
      </c>
      <c r="S9880" t="s">
        <v>27254</v>
      </c>
      <c r="T9880" t="s">
        <v>27255</v>
      </c>
    </row>
    <row r="9881" spans="1:20" x14ac:dyDescent="0.3">
      <c r="A9881" t="str">
        <f>"0611837949100"</f>
        <v>0611837949100</v>
      </c>
      <c r="B9881" t="str">
        <f>"LK0608"</f>
        <v>LK0608</v>
      </c>
      <c r="C9881" t="s">
        <v>46416</v>
      </c>
      <c r="D9881" t="s">
        <v>27245</v>
      </c>
      <c r="E9881" t="str">
        <f t="shared" si="154"/>
        <v>001390</v>
      </c>
      <c r="F9881" t="s">
        <v>27246</v>
      </c>
      <c r="G9881" t="s">
        <v>27247</v>
      </c>
      <c r="H9881" t="s">
        <v>27248</v>
      </c>
      <c r="I9881" t="s">
        <v>46417</v>
      </c>
      <c r="J9881" t="s">
        <v>19890</v>
      </c>
      <c r="L9881" t="s">
        <v>27250</v>
      </c>
      <c r="M9881" t="s">
        <v>27251</v>
      </c>
      <c r="N9881" t="s">
        <v>27252</v>
      </c>
      <c r="Q9881" s="1">
        <v>44538</v>
      </c>
      <c r="R9881" t="s">
        <v>27253</v>
      </c>
      <c r="S9881" t="s">
        <v>27254</v>
      </c>
      <c r="T9881" t="s">
        <v>27255</v>
      </c>
    </row>
    <row r="9882" spans="1:20" x14ac:dyDescent="0.3">
      <c r="A9882" t="str">
        <f>"0611837951100"</f>
        <v>0611837951100</v>
      </c>
      <c r="B9882" t="str">
        <f>"LK2976"</f>
        <v>LK2976</v>
      </c>
      <c r="C9882" t="s">
        <v>46418</v>
      </c>
      <c r="D9882" t="s">
        <v>27245</v>
      </c>
      <c r="E9882" t="str">
        <f t="shared" si="154"/>
        <v>001390</v>
      </c>
      <c r="F9882" t="s">
        <v>27246</v>
      </c>
      <c r="G9882" t="s">
        <v>27247</v>
      </c>
      <c r="H9882" t="s">
        <v>27248</v>
      </c>
      <c r="I9882" t="s">
        <v>46419</v>
      </c>
      <c r="J9882" t="s">
        <v>19892</v>
      </c>
      <c r="L9882" t="s">
        <v>27250</v>
      </c>
      <c r="M9882" t="s">
        <v>27251</v>
      </c>
      <c r="N9882" t="s">
        <v>27252</v>
      </c>
      <c r="Q9882" s="1">
        <v>44538</v>
      </c>
      <c r="R9882" t="s">
        <v>27253</v>
      </c>
      <c r="S9882" t="s">
        <v>27254</v>
      </c>
      <c r="T9882" t="s">
        <v>27255</v>
      </c>
    </row>
    <row r="9883" spans="1:20" x14ac:dyDescent="0.3">
      <c r="A9883" t="str">
        <f>"0611837953100"</f>
        <v>0611837953100</v>
      </c>
      <c r="B9883" t="str">
        <f>"LK6519"</f>
        <v>LK6519</v>
      </c>
      <c r="C9883" t="s">
        <v>46420</v>
      </c>
      <c r="D9883" t="s">
        <v>27245</v>
      </c>
      <c r="E9883" t="str">
        <f t="shared" si="154"/>
        <v>001390</v>
      </c>
      <c r="F9883" t="s">
        <v>27246</v>
      </c>
      <c r="G9883" t="s">
        <v>27247</v>
      </c>
      <c r="H9883" t="s">
        <v>27248</v>
      </c>
      <c r="I9883" t="s">
        <v>46421</v>
      </c>
      <c r="J9883" t="s">
        <v>19894</v>
      </c>
      <c r="L9883" t="s">
        <v>27250</v>
      </c>
      <c r="M9883" t="s">
        <v>27251</v>
      </c>
      <c r="N9883" t="s">
        <v>27252</v>
      </c>
      <c r="Q9883" s="1">
        <v>44538</v>
      </c>
      <c r="R9883" t="s">
        <v>27253</v>
      </c>
      <c r="S9883" t="s">
        <v>27254</v>
      </c>
      <c r="T9883" t="s">
        <v>27255</v>
      </c>
    </row>
    <row r="9884" spans="1:20" x14ac:dyDescent="0.3">
      <c r="A9884" t="str">
        <f>"0611863561050"</f>
        <v>0611863561050</v>
      </c>
      <c r="B9884" t="str">
        <f>"CR5005"</f>
        <v>CR5005</v>
      </c>
      <c r="C9884" t="s">
        <v>46422</v>
      </c>
      <c r="D9884" t="s">
        <v>27271</v>
      </c>
      <c r="E9884" t="str">
        <f t="shared" si="154"/>
        <v>001390</v>
      </c>
      <c r="F9884" t="s">
        <v>27246</v>
      </c>
      <c r="G9884" t="s">
        <v>27247</v>
      </c>
      <c r="H9884" t="s">
        <v>27248</v>
      </c>
      <c r="I9884" t="s">
        <v>46423</v>
      </c>
      <c r="J9884" t="s">
        <v>19896</v>
      </c>
      <c r="L9884" t="s">
        <v>27250</v>
      </c>
      <c r="M9884" t="s">
        <v>27251</v>
      </c>
      <c r="N9884" t="s">
        <v>27252</v>
      </c>
      <c r="P9884" t="s">
        <v>27341</v>
      </c>
      <c r="Q9884" s="1">
        <v>44846</v>
      </c>
      <c r="R9884" t="s">
        <v>27253</v>
      </c>
      <c r="S9884" t="s">
        <v>27254</v>
      </c>
      <c r="T9884" t="s">
        <v>27265</v>
      </c>
    </row>
    <row r="9885" spans="1:20" x14ac:dyDescent="0.3">
      <c r="A9885" t="str">
        <f>"0611863562050"</f>
        <v>0611863562050</v>
      </c>
      <c r="B9885" t="str">
        <f>"CR3559"</f>
        <v>CR3559</v>
      </c>
      <c r="C9885" t="s">
        <v>46424</v>
      </c>
      <c r="D9885" t="s">
        <v>27271</v>
      </c>
      <c r="E9885" t="str">
        <f t="shared" si="154"/>
        <v>001390</v>
      </c>
      <c r="F9885" t="s">
        <v>27246</v>
      </c>
      <c r="G9885" t="s">
        <v>27247</v>
      </c>
      <c r="H9885" t="s">
        <v>27248</v>
      </c>
      <c r="I9885" t="s">
        <v>46425</v>
      </c>
      <c r="J9885" t="s">
        <v>19898</v>
      </c>
      <c r="L9885" t="s">
        <v>27250</v>
      </c>
      <c r="M9885" t="s">
        <v>27251</v>
      </c>
      <c r="N9885" t="s">
        <v>27252</v>
      </c>
      <c r="P9885" t="s">
        <v>27341</v>
      </c>
      <c r="Q9885" s="1">
        <v>44846</v>
      </c>
      <c r="R9885" t="s">
        <v>27253</v>
      </c>
      <c r="S9885" t="s">
        <v>27254</v>
      </c>
      <c r="T9885" t="s">
        <v>27265</v>
      </c>
    </row>
    <row r="9886" spans="1:20" x14ac:dyDescent="0.3">
      <c r="A9886" t="str">
        <f>"0611863563050"</f>
        <v>0611863563050</v>
      </c>
      <c r="B9886" t="str">
        <f>"CR3560"</f>
        <v>CR3560</v>
      </c>
      <c r="C9886" t="s">
        <v>46426</v>
      </c>
      <c r="D9886" t="s">
        <v>27271</v>
      </c>
      <c r="E9886" t="str">
        <f t="shared" si="154"/>
        <v>001390</v>
      </c>
      <c r="F9886" t="s">
        <v>27246</v>
      </c>
      <c r="G9886" t="s">
        <v>27247</v>
      </c>
      <c r="H9886" t="s">
        <v>27248</v>
      </c>
      <c r="I9886" t="s">
        <v>46427</v>
      </c>
      <c r="J9886" t="s">
        <v>19900</v>
      </c>
      <c r="L9886" t="s">
        <v>27250</v>
      </c>
      <c r="M9886" t="s">
        <v>27251</v>
      </c>
      <c r="N9886" t="s">
        <v>27252</v>
      </c>
      <c r="P9886" t="s">
        <v>27341</v>
      </c>
      <c r="Q9886" s="1">
        <v>44846</v>
      </c>
      <c r="R9886" t="s">
        <v>27253</v>
      </c>
      <c r="S9886" t="s">
        <v>27254</v>
      </c>
      <c r="T9886" t="s">
        <v>27265</v>
      </c>
    </row>
    <row r="9887" spans="1:20" x14ac:dyDescent="0.3">
      <c r="A9887" t="str">
        <f>"0611863564050"</f>
        <v>0611863564050</v>
      </c>
      <c r="B9887" t="str">
        <f>"CR3561"</f>
        <v>CR3561</v>
      </c>
      <c r="C9887" t="s">
        <v>46428</v>
      </c>
      <c r="D9887" t="s">
        <v>27271</v>
      </c>
      <c r="E9887" t="str">
        <f t="shared" si="154"/>
        <v>001390</v>
      </c>
      <c r="F9887" t="s">
        <v>27246</v>
      </c>
      <c r="G9887" t="s">
        <v>27247</v>
      </c>
      <c r="H9887" t="s">
        <v>27248</v>
      </c>
      <c r="I9887" t="s">
        <v>46429</v>
      </c>
      <c r="J9887" t="s">
        <v>19902</v>
      </c>
      <c r="L9887" t="s">
        <v>27250</v>
      </c>
      <c r="M9887" t="s">
        <v>27251</v>
      </c>
      <c r="N9887" t="s">
        <v>27252</v>
      </c>
      <c r="P9887" t="s">
        <v>27341</v>
      </c>
      <c r="Q9887" s="1">
        <v>44846</v>
      </c>
      <c r="R9887" t="s">
        <v>27253</v>
      </c>
      <c r="S9887" t="s">
        <v>27254</v>
      </c>
      <c r="T9887" t="s">
        <v>27265</v>
      </c>
    </row>
    <row r="9888" spans="1:20" x14ac:dyDescent="0.3">
      <c r="A9888" t="str">
        <f>"0611863565050"</f>
        <v>0611863565050</v>
      </c>
      <c r="B9888" t="str">
        <f>"CR3562"</f>
        <v>CR3562</v>
      </c>
      <c r="C9888" t="s">
        <v>46430</v>
      </c>
      <c r="D9888" t="s">
        <v>27271</v>
      </c>
      <c r="E9888" t="str">
        <f t="shared" si="154"/>
        <v>001390</v>
      </c>
      <c r="F9888" t="s">
        <v>27246</v>
      </c>
      <c r="G9888" t="s">
        <v>27247</v>
      </c>
      <c r="H9888" t="s">
        <v>27248</v>
      </c>
      <c r="I9888" t="s">
        <v>46431</v>
      </c>
      <c r="J9888" t="s">
        <v>19904</v>
      </c>
      <c r="L9888" t="s">
        <v>27250</v>
      </c>
      <c r="M9888" t="s">
        <v>27251</v>
      </c>
      <c r="N9888" t="s">
        <v>27252</v>
      </c>
      <c r="P9888" t="s">
        <v>27341</v>
      </c>
      <c r="Q9888" s="1">
        <v>44846</v>
      </c>
      <c r="R9888" t="s">
        <v>27253</v>
      </c>
      <c r="S9888" t="s">
        <v>27254</v>
      </c>
      <c r="T9888" t="s">
        <v>27265</v>
      </c>
    </row>
    <row r="9889" spans="1:20" x14ac:dyDescent="0.3">
      <c r="A9889" t="str">
        <f>"0611863566050"</f>
        <v>0611863566050</v>
      </c>
      <c r="B9889" t="str">
        <f>"CR5006"</f>
        <v>CR5006</v>
      </c>
      <c r="C9889" t="s">
        <v>46432</v>
      </c>
      <c r="D9889" t="s">
        <v>27271</v>
      </c>
      <c r="E9889" t="str">
        <f t="shared" si="154"/>
        <v>001390</v>
      </c>
      <c r="F9889" t="s">
        <v>27246</v>
      </c>
      <c r="G9889" t="s">
        <v>27247</v>
      </c>
      <c r="H9889" t="s">
        <v>27248</v>
      </c>
      <c r="I9889" t="s">
        <v>46433</v>
      </c>
      <c r="J9889" t="s">
        <v>19906</v>
      </c>
      <c r="L9889" t="s">
        <v>27250</v>
      </c>
      <c r="M9889" t="s">
        <v>27251</v>
      </c>
      <c r="N9889" t="s">
        <v>27252</v>
      </c>
      <c r="P9889" t="s">
        <v>27341</v>
      </c>
      <c r="Q9889" s="1">
        <v>44846</v>
      </c>
      <c r="R9889" t="s">
        <v>27253</v>
      </c>
      <c r="S9889" t="s">
        <v>27254</v>
      </c>
      <c r="T9889" t="s">
        <v>27265</v>
      </c>
    </row>
    <row r="9890" spans="1:20" x14ac:dyDescent="0.3">
      <c r="A9890" t="str">
        <f>"0611884383100"</f>
        <v>0611884383100</v>
      </c>
      <c r="B9890" t="str">
        <f>"LQ0981"</f>
        <v>LQ0981</v>
      </c>
      <c r="C9890" t="s">
        <v>46434</v>
      </c>
      <c r="D9890" t="s">
        <v>27245</v>
      </c>
      <c r="E9890" t="str">
        <f t="shared" si="154"/>
        <v>001390</v>
      </c>
      <c r="F9890" t="s">
        <v>27246</v>
      </c>
      <c r="G9890" t="s">
        <v>27247</v>
      </c>
      <c r="H9890" t="s">
        <v>27248</v>
      </c>
      <c r="I9890" t="s">
        <v>46435</v>
      </c>
      <c r="J9890" t="s">
        <v>19908</v>
      </c>
      <c r="L9890" t="s">
        <v>27430</v>
      </c>
      <c r="M9890" t="s">
        <v>27251</v>
      </c>
      <c r="N9890" t="s">
        <v>27252</v>
      </c>
      <c r="Q9890" s="1">
        <v>45250</v>
      </c>
      <c r="R9890" t="s">
        <v>27253</v>
      </c>
      <c r="S9890" t="s">
        <v>27254</v>
      </c>
      <c r="T9890" t="s">
        <v>27255</v>
      </c>
    </row>
    <row r="9891" spans="1:20" x14ac:dyDescent="0.3">
      <c r="A9891" t="str">
        <f>"0611863567050"</f>
        <v>0611863567050</v>
      </c>
      <c r="B9891" t="str">
        <f>"CR2476"</f>
        <v>CR2476</v>
      </c>
      <c r="C9891" t="s">
        <v>46436</v>
      </c>
      <c r="D9891" t="s">
        <v>27271</v>
      </c>
      <c r="E9891" t="str">
        <f t="shared" si="154"/>
        <v>001390</v>
      </c>
      <c r="F9891" t="s">
        <v>27246</v>
      </c>
      <c r="G9891" t="s">
        <v>27247</v>
      </c>
      <c r="H9891" t="s">
        <v>27248</v>
      </c>
      <c r="I9891" t="s">
        <v>46437</v>
      </c>
      <c r="J9891" t="s">
        <v>19910</v>
      </c>
      <c r="L9891" t="s">
        <v>27250</v>
      </c>
      <c r="M9891" t="s">
        <v>27251</v>
      </c>
      <c r="N9891" t="s">
        <v>27252</v>
      </c>
      <c r="P9891" t="s">
        <v>27341</v>
      </c>
      <c r="Q9891" s="1">
        <v>44846</v>
      </c>
      <c r="R9891" t="s">
        <v>27253</v>
      </c>
      <c r="S9891" t="s">
        <v>27254</v>
      </c>
      <c r="T9891" t="s">
        <v>27265</v>
      </c>
    </row>
    <row r="9892" spans="1:20" x14ac:dyDescent="0.3">
      <c r="A9892" t="str">
        <f>"0611863568050"</f>
        <v>0611863568050</v>
      </c>
      <c r="B9892" t="str">
        <f>"CR3734"</f>
        <v>CR3734</v>
      </c>
      <c r="C9892" t="s">
        <v>46438</v>
      </c>
      <c r="D9892" t="s">
        <v>27271</v>
      </c>
      <c r="E9892" t="str">
        <f t="shared" si="154"/>
        <v>001390</v>
      </c>
      <c r="F9892" t="s">
        <v>27246</v>
      </c>
      <c r="G9892" t="s">
        <v>27247</v>
      </c>
      <c r="H9892" t="s">
        <v>27248</v>
      </c>
      <c r="I9892" t="s">
        <v>46439</v>
      </c>
      <c r="J9892" t="s">
        <v>19912</v>
      </c>
      <c r="L9892" t="s">
        <v>27250</v>
      </c>
      <c r="M9892" t="s">
        <v>27251</v>
      </c>
      <c r="N9892" t="s">
        <v>27252</v>
      </c>
      <c r="P9892" t="s">
        <v>27341</v>
      </c>
      <c r="Q9892" s="1">
        <v>44846</v>
      </c>
      <c r="R9892" t="s">
        <v>27253</v>
      </c>
      <c r="S9892" t="s">
        <v>27254</v>
      </c>
      <c r="T9892" t="s">
        <v>27265</v>
      </c>
    </row>
    <row r="9893" spans="1:20" x14ac:dyDescent="0.3">
      <c r="A9893" t="str">
        <f>"0611863569050"</f>
        <v>0611863569050</v>
      </c>
      <c r="B9893" t="str">
        <f>"CR2477"</f>
        <v>CR2477</v>
      </c>
      <c r="C9893" t="s">
        <v>46440</v>
      </c>
      <c r="D9893" t="s">
        <v>27271</v>
      </c>
      <c r="E9893" t="str">
        <f t="shared" si="154"/>
        <v>001390</v>
      </c>
      <c r="F9893" t="s">
        <v>27246</v>
      </c>
      <c r="G9893" t="s">
        <v>27247</v>
      </c>
      <c r="H9893" t="s">
        <v>27248</v>
      </c>
      <c r="I9893" t="s">
        <v>46441</v>
      </c>
      <c r="J9893" t="s">
        <v>19914</v>
      </c>
      <c r="L9893" t="s">
        <v>27250</v>
      </c>
      <c r="M9893" t="s">
        <v>27251</v>
      </c>
      <c r="N9893" t="s">
        <v>27252</v>
      </c>
      <c r="P9893" t="s">
        <v>27341</v>
      </c>
      <c r="Q9893" s="1">
        <v>44846</v>
      </c>
      <c r="R9893" t="s">
        <v>27253</v>
      </c>
      <c r="S9893" t="s">
        <v>27254</v>
      </c>
      <c r="T9893" t="s">
        <v>27265</v>
      </c>
    </row>
    <row r="9894" spans="1:20" x14ac:dyDescent="0.3">
      <c r="A9894" t="str">
        <f>"0611863570050"</f>
        <v>0611863570050</v>
      </c>
      <c r="B9894" t="str">
        <f>"CR3138"</f>
        <v>CR3138</v>
      </c>
      <c r="C9894" t="s">
        <v>46442</v>
      </c>
      <c r="D9894" t="s">
        <v>27271</v>
      </c>
      <c r="E9894" t="str">
        <f t="shared" si="154"/>
        <v>001390</v>
      </c>
      <c r="F9894" t="s">
        <v>27246</v>
      </c>
      <c r="G9894" t="s">
        <v>27247</v>
      </c>
      <c r="H9894" t="s">
        <v>27248</v>
      </c>
      <c r="I9894" t="s">
        <v>46443</v>
      </c>
      <c r="J9894" t="s">
        <v>19916</v>
      </c>
      <c r="L9894" t="s">
        <v>27250</v>
      </c>
      <c r="M9894" t="s">
        <v>27251</v>
      </c>
      <c r="N9894" t="s">
        <v>27252</v>
      </c>
      <c r="P9894" t="s">
        <v>27341</v>
      </c>
      <c r="Q9894" s="1">
        <v>44846</v>
      </c>
      <c r="R9894" t="s">
        <v>27253</v>
      </c>
      <c r="S9894" t="s">
        <v>27254</v>
      </c>
      <c r="T9894" t="s">
        <v>27265</v>
      </c>
    </row>
    <row r="9895" spans="1:20" x14ac:dyDescent="0.3">
      <c r="A9895" t="str">
        <f>"0611884384050"</f>
        <v>0611884384050</v>
      </c>
      <c r="B9895" t="str">
        <f>"CR5418"</f>
        <v>CR5418</v>
      </c>
      <c r="C9895" t="s">
        <v>46444</v>
      </c>
      <c r="D9895" t="s">
        <v>27271</v>
      </c>
      <c r="E9895" t="str">
        <f t="shared" si="154"/>
        <v>001390</v>
      </c>
      <c r="F9895" t="s">
        <v>27246</v>
      </c>
      <c r="G9895" t="s">
        <v>27247</v>
      </c>
      <c r="H9895" t="s">
        <v>27248</v>
      </c>
      <c r="I9895" t="s">
        <v>46445</v>
      </c>
      <c r="J9895" t="s">
        <v>19918</v>
      </c>
      <c r="L9895" t="s">
        <v>27430</v>
      </c>
      <c r="M9895" t="s">
        <v>27251</v>
      </c>
      <c r="N9895" t="s">
        <v>27252</v>
      </c>
      <c r="P9895" t="s">
        <v>27341</v>
      </c>
      <c r="Q9895" s="1">
        <v>45250</v>
      </c>
      <c r="R9895" t="s">
        <v>27253</v>
      </c>
      <c r="S9895" t="s">
        <v>27254</v>
      </c>
      <c r="T9895" t="s">
        <v>27265</v>
      </c>
    </row>
    <row r="9896" spans="1:20" x14ac:dyDescent="0.3">
      <c r="A9896" t="str">
        <f>"0611863571050"</f>
        <v>0611863571050</v>
      </c>
      <c r="B9896" t="str">
        <f>"CR2741"</f>
        <v>CR2741</v>
      </c>
      <c r="C9896" t="s">
        <v>46446</v>
      </c>
      <c r="D9896" t="s">
        <v>27271</v>
      </c>
      <c r="E9896" t="str">
        <f t="shared" si="154"/>
        <v>001390</v>
      </c>
      <c r="F9896" t="s">
        <v>27246</v>
      </c>
      <c r="G9896" t="s">
        <v>27247</v>
      </c>
      <c r="H9896" t="s">
        <v>27248</v>
      </c>
      <c r="I9896" t="s">
        <v>46447</v>
      </c>
      <c r="J9896" t="s">
        <v>19920</v>
      </c>
      <c r="L9896" t="s">
        <v>27250</v>
      </c>
      <c r="M9896" t="s">
        <v>27251</v>
      </c>
      <c r="N9896" t="s">
        <v>27252</v>
      </c>
      <c r="P9896" t="s">
        <v>27341</v>
      </c>
      <c r="Q9896" s="1">
        <v>44846</v>
      </c>
      <c r="R9896" t="s">
        <v>27253</v>
      </c>
      <c r="S9896" t="s">
        <v>27254</v>
      </c>
      <c r="T9896" t="s">
        <v>27265</v>
      </c>
    </row>
    <row r="9897" spans="1:20" x14ac:dyDescent="0.3">
      <c r="A9897" t="str">
        <f>"0611863572050"</f>
        <v>0611863572050</v>
      </c>
      <c r="B9897" t="str">
        <f>"CR3140"</f>
        <v>CR3140</v>
      </c>
      <c r="C9897" t="s">
        <v>46448</v>
      </c>
      <c r="D9897" t="s">
        <v>27271</v>
      </c>
      <c r="E9897" t="str">
        <f t="shared" si="154"/>
        <v>001390</v>
      </c>
      <c r="F9897" t="s">
        <v>27246</v>
      </c>
      <c r="G9897" t="s">
        <v>27247</v>
      </c>
      <c r="H9897" t="s">
        <v>27248</v>
      </c>
      <c r="I9897" t="s">
        <v>46449</v>
      </c>
      <c r="J9897" t="s">
        <v>19922</v>
      </c>
      <c r="L9897" t="s">
        <v>27250</v>
      </c>
      <c r="M9897" t="s">
        <v>27251</v>
      </c>
      <c r="N9897" t="s">
        <v>27252</v>
      </c>
      <c r="P9897" t="s">
        <v>27341</v>
      </c>
      <c r="Q9897" s="1">
        <v>44846</v>
      </c>
      <c r="R9897" t="s">
        <v>27253</v>
      </c>
      <c r="S9897" t="s">
        <v>27254</v>
      </c>
      <c r="T9897" t="s">
        <v>27265</v>
      </c>
    </row>
    <row r="9898" spans="1:20" x14ac:dyDescent="0.3">
      <c r="A9898" t="str">
        <f>"0611863573050"</f>
        <v>0611863573050</v>
      </c>
      <c r="B9898" t="str">
        <f>"CR2479"</f>
        <v>CR2479</v>
      </c>
      <c r="C9898" t="s">
        <v>46450</v>
      </c>
      <c r="D9898" t="s">
        <v>27271</v>
      </c>
      <c r="E9898" t="str">
        <f t="shared" si="154"/>
        <v>001390</v>
      </c>
      <c r="F9898" t="s">
        <v>27246</v>
      </c>
      <c r="G9898" t="s">
        <v>27247</v>
      </c>
      <c r="H9898" t="s">
        <v>27248</v>
      </c>
      <c r="I9898" t="s">
        <v>46451</v>
      </c>
      <c r="J9898" t="s">
        <v>19924</v>
      </c>
      <c r="L9898" t="s">
        <v>27250</v>
      </c>
      <c r="M9898" t="s">
        <v>27251</v>
      </c>
      <c r="N9898" t="s">
        <v>27252</v>
      </c>
      <c r="P9898" t="s">
        <v>27341</v>
      </c>
      <c r="Q9898" s="1">
        <v>44846</v>
      </c>
      <c r="R9898" t="s">
        <v>27253</v>
      </c>
      <c r="S9898" t="s">
        <v>27254</v>
      </c>
      <c r="T9898" t="s">
        <v>27265</v>
      </c>
    </row>
    <row r="9899" spans="1:20" x14ac:dyDescent="0.3">
      <c r="A9899" t="str">
        <f>"0611863574050"</f>
        <v>0611863574050</v>
      </c>
      <c r="B9899" t="str">
        <f>"CR2480"</f>
        <v>CR2480</v>
      </c>
      <c r="C9899" t="s">
        <v>46452</v>
      </c>
      <c r="D9899" t="s">
        <v>27271</v>
      </c>
      <c r="E9899" t="str">
        <f t="shared" si="154"/>
        <v>001390</v>
      </c>
      <c r="F9899" t="s">
        <v>27246</v>
      </c>
      <c r="G9899" t="s">
        <v>27247</v>
      </c>
      <c r="H9899" t="s">
        <v>27248</v>
      </c>
      <c r="I9899" t="s">
        <v>46453</v>
      </c>
      <c r="J9899" t="s">
        <v>19926</v>
      </c>
      <c r="L9899" t="s">
        <v>27250</v>
      </c>
      <c r="M9899" t="s">
        <v>27251</v>
      </c>
      <c r="N9899" t="s">
        <v>27252</v>
      </c>
      <c r="P9899" t="s">
        <v>27341</v>
      </c>
      <c r="Q9899" s="1">
        <v>44846</v>
      </c>
      <c r="R9899" t="s">
        <v>27253</v>
      </c>
      <c r="S9899" t="s">
        <v>27254</v>
      </c>
      <c r="T9899" t="s">
        <v>27265</v>
      </c>
    </row>
    <row r="9900" spans="1:20" x14ac:dyDescent="0.3">
      <c r="A9900" t="str">
        <f>"0611837956100"</f>
        <v>0611837956100</v>
      </c>
      <c r="B9900" t="str">
        <f>"LQ0818"</f>
        <v>LQ0818</v>
      </c>
      <c r="C9900" t="s">
        <v>46454</v>
      </c>
      <c r="D9900" t="s">
        <v>27245</v>
      </c>
      <c r="E9900" t="str">
        <f t="shared" si="154"/>
        <v>001390</v>
      </c>
      <c r="F9900" t="s">
        <v>27246</v>
      </c>
      <c r="G9900" t="s">
        <v>27247</v>
      </c>
      <c r="H9900" t="s">
        <v>27248</v>
      </c>
      <c r="I9900" t="s">
        <v>46455</v>
      </c>
      <c r="J9900" t="s">
        <v>19928</v>
      </c>
      <c r="L9900" t="s">
        <v>27250</v>
      </c>
      <c r="M9900" t="s">
        <v>27251</v>
      </c>
      <c r="N9900" t="s">
        <v>27252</v>
      </c>
      <c r="Q9900" s="1">
        <v>44538</v>
      </c>
      <c r="R9900" t="s">
        <v>27253</v>
      </c>
      <c r="S9900" t="s">
        <v>27254</v>
      </c>
      <c r="T9900" t="s">
        <v>27255</v>
      </c>
    </row>
    <row r="9901" spans="1:20" x14ac:dyDescent="0.3">
      <c r="A9901" t="str">
        <f>"0611837958100"</f>
        <v>0611837958100</v>
      </c>
      <c r="B9901" t="str">
        <f>"MB6150"</f>
        <v>MB6150</v>
      </c>
      <c r="C9901" t="s">
        <v>46456</v>
      </c>
      <c r="D9901" t="s">
        <v>27274</v>
      </c>
      <c r="E9901" t="str">
        <f t="shared" si="154"/>
        <v>001390</v>
      </c>
      <c r="F9901" t="s">
        <v>27246</v>
      </c>
      <c r="G9901" t="s">
        <v>27247</v>
      </c>
      <c r="H9901" t="s">
        <v>27248</v>
      </c>
      <c r="I9901" t="s">
        <v>46457</v>
      </c>
      <c r="J9901" t="s">
        <v>19630</v>
      </c>
      <c r="L9901" t="s">
        <v>27250</v>
      </c>
      <c r="M9901" t="s">
        <v>27251</v>
      </c>
      <c r="N9901" t="s">
        <v>27252</v>
      </c>
      <c r="Q9901" s="1">
        <v>44538</v>
      </c>
      <c r="R9901" t="s">
        <v>27253</v>
      </c>
      <c r="S9901" t="s">
        <v>27254</v>
      </c>
      <c r="T9901" t="s">
        <v>27276</v>
      </c>
    </row>
    <row r="9902" spans="1:20" x14ac:dyDescent="0.3">
      <c r="A9902" t="str">
        <f>"0611837959025"</f>
        <v>0611837959025</v>
      </c>
      <c r="B9902" t="str">
        <f>"MC2310"</f>
        <v>MC2310</v>
      </c>
      <c r="C9902" t="s">
        <v>46456</v>
      </c>
      <c r="D9902" t="s">
        <v>27267</v>
      </c>
      <c r="E9902" t="str">
        <f t="shared" si="154"/>
        <v>001390</v>
      </c>
      <c r="F9902" t="s">
        <v>27246</v>
      </c>
      <c r="G9902" t="s">
        <v>27247</v>
      </c>
      <c r="H9902" t="s">
        <v>27248</v>
      </c>
      <c r="I9902" t="s">
        <v>46458</v>
      </c>
      <c r="J9902" t="s">
        <v>19632</v>
      </c>
      <c r="L9902" t="s">
        <v>27250</v>
      </c>
      <c r="M9902" t="s">
        <v>27251</v>
      </c>
      <c r="N9902" t="s">
        <v>27252</v>
      </c>
      <c r="Q9902" s="1">
        <v>44538</v>
      </c>
      <c r="R9902" t="s">
        <v>27253</v>
      </c>
      <c r="S9902" t="s">
        <v>27254</v>
      </c>
      <c r="T9902" t="s">
        <v>27269</v>
      </c>
    </row>
    <row r="9903" spans="1:20" x14ac:dyDescent="0.3">
      <c r="A9903" t="str">
        <f>"0611837960100"</f>
        <v>0611837960100</v>
      </c>
      <c r="B9903" t="str">
        <f>"LK3995"</f>
        <v>LK3995</v>
      </c>
      <c r="C9903" t="s">
        <v>46459</v>
      </c>
      <c r="D9903" t="s">
        <v>28138</v>
      </c>
      <c r="E9903" t="str">
        <f t="shared" si="154"/>
        <v>001390</v>
      </c>
      <c r="F9903" t="s">
        <v>27246</v>
      </c>
      <c r="G9903" t="s">
        <v>27247</v>
      </c>
      <c r="H9903" t="s">
        <v>27248</v>
      </c>
      <c r="I9903" t="s">
        <v>46460</v>
      </c>
      <c r="J9903" t="s">
        <v>19930</v>
      </c>
      <c r="L9903" t="s">
        <v>27250</v>
      </c>
      <c r="M9903" t="s">
        <v>27251</v>
      </c>
      <c r="N9903" t="s">
        <v>27252</v>
      </c>
      <c r="P9903" t="s">
        <v>27925</v>
      </c>
      <c r="Q9903" s="1">
        <v>44538</v>
      </c>
      <c r="R9903" t="s">
        <v>27253</v>
      </c>
      <c r="S9903" t="s">
        <v>27254</v>
      </c>
      <c r="T9903" t="s">
        <v>27255</v>
      </c>
    </row>
    <row r="9904" spans="1:20" x14ac:dyDescent="0.3">
      <c r="A9904" t="str">
        <f>"0611837961100"</f>
        <v>0611837961100</v>
      </c>
      <c r="B9904" t="str">
        <f>"LK3996"</f>
        <v>LK3996</v>
      </c>
      <c r="C9904" t="s">
        <v>46461</v>
      </c>
      <c r="D9904" t="s">
        <v>28138</v>
      </c>
      <c r="E9904" t="str">
        <f t="shared" si="154"/>
        <v>001390</v>
      </c>
      <c r="F9904" t="s">
        <v>27246</v>
      </c>
      <c r="G9904" t="s">
        <v>27247</v>
      </c>
      <c r="H9904" t="s">
        <v>27248</v>
      </c>
      <c r="I9904" t="s">
        <v>46462</v>
      </c>
      <c r="J9904" t="s">
        <v>19932</v>
      </c>
      <c r="L9904" t="s">
        <v>27250</v>
      </c>
      <c r="M9904" t="s">
        <v>27251</v>
      </c>
      <c r="N9904" t="s">
        <v>27252</v>
      </c>
      <c r="P9904" t="s">
        <v>27925</v>
      </c>
      <c r="Q9904" s="1">
        <v>44538</v>
      </c>
      <c r="R9904" t="s">
        <v>27253</v>
      </c>
      <c r="S9904" t="s">
        <v>27254</v>
      </c>
      <c r="T9904" t="s">
        <v>27255</v>
      </c>
    </row>
    <row r="9905" spans="1:20" x14ac:dyDescent="0.3">
      <c r="A9905" t="str">
        <f>"0611837971100"</f>
        <v>0611837971100</v>
      </c>
      <c r="B9905" t="str">
        <f>"LK6875"</f>
        <v>LK6875</v>
      </c>
      <c r="C9905" t="s">
        <v>46463</v>
      </c>
      <c r="D9905" t="s">
        <v>28138</v>
      </c>
      <c r="E9905" t="str">
        <f t="shared" si="154"/>
        <v>001390</v>
      </c>
      <c r="F9905" t="s">
        <v>27246</v>
      </c>
      <c r="G9905" t="s">
        <v>27247</v>
      </c>
      <c r="H9905" t="s">
        <v>27248</v>
      </c>
      <c r="I9905" t="s">
        <v>46464</v>
      </c>
      <c r="J9905" t="s">
        <v>19934</v>
      </c>
      <c r="L9905" t="s">
        <v>27250</v>
      </c>
      <c r="M9905" t="s">
        <v>27251</v>
      </c>
      <c r="N9905" t="s">
        <v>27252</v>
      </c>
      <c r="P9905" t="s">
        <v>27925</v>
      </c>
      <c r="Q9905" s="1">
        <v>44538</v>
      </c>
      <c r="R9905" t="s">
        <v>27253</v>
      </c>
      <c r="S9905" t="s">
        <v>27254</v>
      </c>
      <c r="T9905" t="s">
        <v>27255</v>
      </c>
    </row>
    <row r="9906" spans="1:20" x14ac:dyDescent="0.3">
      <c r="A9906" t="str">
        <f>"0611837972100"</f>
        <v>0611837972100</v>
      </c>
      <c r="B9906" t="str">
        <f>"LK3997"</f>
        <v>LK3997</v>
      </c>
      <c r="C9906" t="s">
        <v>46465</v>
      </c>
      <c r="D9906" t="s">
        <v>28138</v>
      </c>
      <c r="E9906" t="str">
        <f t="shared" si="154"/>
        <v>001390</v>
      </c>
      <c r="F9906" t="s">
        <v>27246</v>
      </c>
      <c r="G9906" t="s">
        <v>27247</v>
      </c>
      <c r="H9906" t="s">
        <v>27248</v>
      </c>
      <c r="I9906" t="s">
        <v>46466</v>
      </c>
      <c r="J9906" t="s">
        <v>19936</v>
      </c>
      <c r="L9906" t="s">
        <v>27250</v>
      </c>
      <c r="M9906" t="s">
        <v>27251</v>
      </c>
      <c r="N9906" t="s">
        <v>27252</v>
      </c>
      <c r="P9906" t="s">
        <v>27925</v>
      </c>
      <c r="Q9906" s="1">
        <v>44538</v>
      </c>
      <c r="R9906" t="s">
        <v>27253</v>
      </c>
      <c r="S9906" t="s">
        <v>27254</v>
      </c>
      <c r="T9906" t="s">
        <v>27255</v>
      </c>
    </row>
    <row r="9907" spans="1:20" x14ac:dyDescent="0.3">
      <c r="A9907" t="str">
        <f>"0611837973100"</f>
        <v>0611837973100</v>
      </c>
      <c r="B9907" t="str">
        <f>"LK3998"</f>
        <v>LK3998</v>
      </c>
      <c r="C9907" t="s">
        <v>46467</v>
      </c>
      <c r="D9907" t="s">
        <v>28138</v>
      </c>
      <c r="E9907" t="str">
        <f t="shared" si="154"/>
        <v>001390</v>
      </c>
      <c r="F9907" t="s">
        <v>27246</v>
      </c>
      <c r="G9907" t="s">
        <v>27247</v>
      </c>
      <c r="H9907" t="s">
        <v>27248</v>
      </c>
      <c r="I9907" t="s">
        <v>46468</v>
      </c>
      <c r="J9907" t="s">
        <v>19938</v>
      </c>
      <c r="L9907" t="s">
        <v>27250</v>
      </c>
      <c r="M9907" t="s">
        <v>27251</v>
      </c>
      <c r="N9907" t="s">
        <v>27252</v>
      </c>
      <c r="P9907" t="s">
        <v>27925</v>
      </c>
      <c r="Q9907" s="1">
        <v>44538</v>
      </c>
      <c r="R9907" t="s">
        <v>27253</v>
      </c>
      <c r="S9907" t="s">
        <v>27254</v>
      </c>
      <c r="T9907" t="s">
        <v>27255</v>
      </c>
    </row>
    <row r="9908" spans="1:20" x14ac:dyDescent="0.3">
      <c r="A9908" t="str">
        <f>"0611837974100"</f>
        <v>0611837974100</v>
      </c>
      <c r="B9908" t="str">
        <f>"LK6118"</f>
        <v>LK6118</v>
      </c>
      <c r="C9908" t="s">
        <v>46469</v>
      </c>
      <c r="D9908" t="s">
        <v>28138</v>
      </c>
      <c r="E9908" t="str">
        <f t="shared" si="154"/>
        <v>001390</v>
      </c>
      <c r="F9908" t="s">
        <v>27246</v>
      </c>
      <c r="G9908" t="s">
        <v>27247</v>
      </c>
      <c r="H9908" t="s">
        <v>27248</v>
      </c>
      <c r="I9908" t="s">
        <v>46470</v>
      </c>
      <c r="J9908" t="s">
        <v>19940</v>
      </c>
      <c r="L9908" t="s">
        <v>27250</v>
      </c>
      <c r="M9908" t="s">
        <v>27251</v>
      </c>
      <c r="N9908" t="s">
        <v>27252</v>
      </c>
      <c r="P9908" t="s">
        <v>27925</v>
      </c>
      <c r="Q9908" s="1">
        <v>44538</v>
      </c>
      <c r="R9908" t="s">
        <v>27253</v>
      </c>
      <c r="S9908" t="s">
        <v>27254</v>
      </c>
      <c r="T9908" t="s">
        <v>27255</v>
      </c>
    </row>
    <row r="9909" spans="1:20" x14ac:dyDescent="0.3">
      <c r="A9909" t="str">
        <f>"0611837975100"</f>
        <v>0611837975100</v>
      </c>
      <c r="B9909" t="str">
        <f>"LK4344"</f>
        <v>LK4344</v>
      </c>
      <c r="C9909" t="s">
        <v>46471</v>
      </c>
      <c r="D9909" t="s">
        <v>28138</v>
      </c>
      <c r="E9909" t="str">
        <f t="shared" si="154"/>
        <v>001390</v>
      </c>
      <c r="F9909" t="s">
        <v>27246</v>
      </c>
      <c r="G9909" t="s">
        <v>27247</v>
      </c>
      <c r="H9909" t="s">
        <v>27248</v>
      </c>
      <c r="I9909" t="s">
        <v>46472</v>
      </c>
      <c r="J9909" t="s">
        <v>19942</v>
      </c>
      <c r="L9909" t="s">
        <v>27250</v>
      </c>
      <c r="M9909" t="s">
        <v>27251</v>
      </c>
      <c r="N9909" t="s">
        <v>27252</v>
      </c>
      <c r="P9909" t="s">
        <v>27925</v>
      </c>
      <c r="Q9909" s="1">
        <v>44538</v>
      </c>
      <c r="R9909" t="s">
        <v>27253</v>
      </c>
      <c r="S9909" t="s">
        <v>27254</v>
      </c>
      <c r="T9909" t="s">
        <v>27255</v>
      </c>
    </row>
    <row r="9910" spans="1:20" x14ac:dyDescent="0.3">
      <c r="A9910" t="str">
        <f>"0611837976100"</f>
        <v>0611837976100</v>
      </c>
      <c r="B9910" t="str">
        <f>"LK3999"</f>
        <v>LK3999</v>
      </c>
      <c r="C9910" t="s">
        <v>46473</v>
      </c>
      <c r="D9910" t="s">
        <v>28138</v>
      </c>
      <c r="E9910" t="str">
        <f t="shared" si="154"/>
        <v>001390</v>
      </c>
      <c r="F9910" t="s">
        <v>27246</v>
      </c>
      <c r="G9910" t="s">
        <v>27247</v>
      </c>
      <c r="H9910" t="s">
        <v>27248</v>
      </c>
      <c r="I9910" t="s">
        <v>46474</v>
      </c>
      <c r="J9910" t="s">
        <v>19944</v>
      </c>
      <c r="L9910" t="s">
        <v>27250</v>
      </c>
      <c r="M9910" t="s">
        <v>27251</v>
      </c>
      <c r="N9910" t="s">
        <v>27252</v>
      </c>
      <c r="P9910" t="s">
        <v>27925</v>
      </c>
      <c r="Q9910" s="1">
        <v>44538</v>
      </c>
      <c r="R9910" t="s">
        <v>27253</v>
      </c>
      <c r="S9910" t="s">
        <v>27254</v>
      </c>
      <c r="T9910" t="s">
        <v>27255</v>
      </c>
    </row>
    <row r="9911" spans="1:20" x14ac:dyDescent="0.3">
      <c r="A9911" t="str">
        <f>"0611837977100"</f>
        <v>0611837977100</v>
      </c>
      <c r="B9911" t="str">
        <f>"LK4517"</f>
        <v>LK4517</v>
      </c>
      <c r="C9911" t="s">
        <v>46475</v>
      </c>
      <c r="D9911" t="s">
        <v>28138</v>
      </c>
      <c r="E9911" t="str">
        <f t="shared" si="154"/>
        <v>001390</v>
      </c>
      <c r="F9911" t="s">
        <v>27246</v>
      </c>
      <c r="G9911" t="s">
        <v>27247</v>
      </c>
      <c r="H9911" t="s">
        <v>27248</v>
      </c>
      <c r="I9911" t="s">
        <v>46476</v>
      </c>
      <c r="J9911" t="s">
        <v>19946</v>
      </c>
      <c r="L9911" t="s">
        <v>27250</v>
      </c>
      <c r="M9911" t="s">
        <v>27251</v>
      </c>
      <c r="N9911" t="s">
        <v>27252</v>
      </c>
      <c r="P9911" t="s">
        <v>27925</v>
      </c>
      <c r="Q9911" s="1">
        <v>44538</v>
      </c>
      <c r="R9911" t="s">
        <v>27253</v>
      </c>
      <c r="S9911" t="s">
        <v>27254</v>
      </c>
      <c r="T9911" t="s">
        <v>27255</v>
      </c>
    </row>
    <row r="9912" spans="1:20" x14ac:dyDescent="0.3">
      <c r="A9912" t="str">
        <f>"0611837978100"</f>
        <v>0611837978100</v>
      </c>
      <c r="B9912" t="str">
        <f>"LK4518"</f>
        <v>LK4518</v>
      </c>
      <c r="C9912" t="s">
        <v>46477</v>
      </c>
      <c r="D9912" t="s">
        <v>28138</v>
      </c>
      <c r="E9912" t="str">
        <f t="shared" si="154"/>
        <v>001390</v>
      </c>
      <c r="F9912" t="s">
        <v>27246</v>
      </c>
      <c r="G9912" t="s">
        <v>27247</v>
      </c>
      <c r="H9912" t="s">
        <v>27248</v>
      </c>
      <c r="I9912" t="s">
        <v>46478</v>
      </c>
      <c r="J9912" t="s">
        <v>19948</v>
      </c>
      <c r="L9912" t="s">
        <v>27250</v>
      </c>
      <c r="M9912" t="s">
        <v>27251</v>
      </c>
      <c r="N9912" t="s">
        <v>27252</v>
      </c>
      <c r="P9912" t="s">
        <v>27925</v>
      </c>
      <c r="Q9912" s="1">
        <v>44538</v>
      </c>
      <c r="R9912" t="s">
        <v>27253</v>
      </c>
      <c r="S9912" t="s">
        <v>27254</v>
      </c>
      <c r="T9912" t="s">
        <v>27255</v>
      </c>
    </row>
    <row r="9913" spans="1:20" x14ac:dyDescent="0.3">
      <c r="A9913" t="str">
        <f>"0611837979100"</f>
        <v>0611837979100</v>
      </c>
      <c r="B9913" t="str">
        <f>"LK4345"</f>
        <v>LK4345</v>
      </c>
      <c r="C9913" t="s">
        <v>46479</v>
      </c>
      <c r="D9913" t="s">
        <v>28138</v>
      </c>
      <c r="E9913" t="str">
        <f t="shared" si="154"/>
        <v>001390</v>
      </c>
      <c r="F9913" t="s">
        <v>27246</v>
      </c>
      <c r="G9913" t="s">
        <v>27247</v>
      </c>
      <c r="H9913" t="s">
        <v>27248</v>
      </c>
      <c r="I9913" t="s">
        <v>46480</v>
      </c>
      <c r="J9913" t="s">
        <v>19950</v>
      </c>
      <c r="L9913" t="s">
        <v>27250</v>
      </c>
      <c r="M9913" t="s">
        <v>27251</v>
      </c>
      <c r="N9913" t="s">
        <v>27252</v>
      </c>
      <c r="P9913" t="s">
        <v>27925</v>
      </c>
      <c r="Q9913" s="1">
        <v>44538</v>
      </c>
      <c r="R9913" t="s">
        <v>27253</v>
      </c>
      <c r="S9913" t="s">
        <v>27254</v>
      </c>
      <c r="T9913" t="s">
        <v>27255</v>
      </c>
    </row>
    <row r="9914" spans="1:20" x14ac:dyDescent="0.3">
      <c r="A9914" t="str">
        <f>"0611837980100"</f>
        <v>0611837980100</v>
      </c>
      <c r="B9914" t="str">
        <f>"LK4000"</f>
        <v>LK4000</v>
      </c>
      <c r="C9914" t="s">
        <v>46481</v>
      </c>
      <c r="D9914" t="s">
        <v>28138</v>
      </c>
      <c r="E9914" t="str">
        <f t="shared" si="154"/>
        <v>001390</v>
      </c>
      <c r="F9914" t="s">
        <v>27246</v>
      </c>
      <c r="G9914" t="s">
        <v>27247</v>
      </c>
      <c r="H9914" t="s">
        <v>27248</v>
      </c>
      <c r="I9914" t="s">
        <v>46482</v>
      </c>
      <c r="J9914" t="s">
        <v>19952</v>
      </c>
      <c r="L9914" t="s">
        <v>27250</v>
      </c>
      <c r="M9914" t="s">
        <v>27251</v>
      </c>
      <c r="N9914" t="s">
        <v>27252</v>
      </c>
      <c r="P9914" t="s">
        <v>27925</v>
      </c>
      <c r="Q9914" s="1">
        <v>44538</v>
      </c>
      <c r="R9914" t="s">
        <v>27253</v>
      </c>
      <c r="S9914" t="s">
        <v>27254</v>
      </c>
      <c r="T9914" t="s">
        <v>27255</v>
      </c>
    </row>
    <row r="9915" spans="1:20" x14ac:dyDescent="0.3">
      <c r="A9915" t="str">
        <f>"0611837981100"</f>
        <v>0611837981100</v>
      </c>
      <c r="B9915" t="str">
        <f>"LB7010"</f>
        <v>LB7010</v>
      </c>
      <c r="C9915" t="s">
        <v>46483</v>
      </c>
      <c r="D9915" t="s">
        <v>27245</v>
      </c>
      <c r="E9915" t="str">
        <f t="shared" si="154"/>
        <v>001390</v>
      </c>
      <c r="F9915" t="s">
        <v>27246</v>
      </c>
      <c r="G9915" t="s">
        <v>27247</v>
      </c>
      <c r="H9915" t="s">
        <v>27248</v>
      </c>
      <c r="I9915" t="s">
        <v>46484</v>
      </c>
      <c r="J9915" t="s">
        <v>19954</v>
      </c>
      <c r="L9915" t="s">
        <v>27250</v>
      </c>
      <c r="M9915" t="s">
        <v>27251</v>
      </c>
      <c r="N9915" t="s">
        <v>27252</v>
      </c>
      <c r="Q9915" s="1">
        <v>44538</v>
      </c>
      <c r="R9915" t="s">
        <v>27253</v>
      </c>
      <c r="S9915" t="s">
        <v>27254</v>
      </c>
      <c r="T9915" t="s">
        <v>27255</v>
      </c>
    </row>
    <row r="9916" spans="1:20" x14ac:dyDescent="0.3">
      <c r="A9916" t="str">
        <f>"0611837982100"</f>
        <v>0611837982100</v>
      </c>
      <c r="B9916" t="str">
        <f>"LB7011"</f>
        <v>LB7011</v>
      </c>
      <c r="C9916" t="s">
        <v>46485</v>
      </c>
      <c r="D9916" t="s">
        <v>27245</v>
      </c>
      <c r="E9916" t="str">
        <f t="shared" si="154"/>
        <v>001390</v>
      </c>
      <c r="F9916" t="s">
        <v>27246</v>
      </c>
      <c r="G9916" t="s">
        <v>27247</v>
      </c>
      <c r="H9916" t="s">
        <v>27248</v>
      </c>
      <c r="I9916" t="s">
        <v>46486</v>
      </c>
      <c r="J9916" t="s">
        <v>19956</v>
      </c>
      <c r="L9916" t="s">
        <v>27250</v>
      </c>
      <c r="M9916" t="s">
        <v>27251</v>
      </c>
      <c r="N9916" t="s">
        <v>27252</v>
      </c>
      <c r="Q9916" s="1">
        <v>44538</v>
      </c>
      <c r="R9916" t="s">
        <v>27253</v>
      </c>
      <c r="S9916" t="s">
        <v>27254</v>
      </c>
      <c r="T9916" t="s">
        <v>27255</v>
      </c>
    </row>
    <row r="9917" spans="1:20" x14ac:dyDescent="0.3">
      <c r="A9917" t="str">
        <f>"0611837983100"</f>
        <v>0611837983100</v>
      </c>
      <c r="B9917" t="str">
        <f>"LB7013"</f>
        <v>LB7013</v>
      </c>
      <c r="C9917" t="s">
        <v>46487</v>
      </c>
      <c r="D9917" t="s">
        <v>27245</v>
      </c>
      <c r="E9917" t="str">
        <f t="shared" si="154"/>
        <v>001390</v>
      </c>
      <c r="F9917" t="s">
        <v>27246</v>
      </c>
      <c r="G9917" t="s">
        <v>27247</v>
      </c>
      <c r="H9917" t="s">
        <v>27248</v>
      </c>
      <c r="I9917" t="s">
        <v>46488</v>
      </c>
      <c r="J9917" t="s">
        <v>19958</v>
      </c>
      <c r="L9917" t="s">
        <v>27250</v>
      </c>
      <c r="M9917" t="s">
        <v>27251</v>
      </c>
      <c r="N9917" t="s">
        <v>27252</v>
      </c>
      <c r="Q9917" s="1">
        <v>44538</v>
      </c>
      <c r="R9917" t="s">
        <v>27253</v>
      </c>
      <c r="S9917" t="s">
        <v>27254</v>
      </c>
      <c r="T9917" t="s">
        <v>27255</v>
      </c>
    </row>
    <row r="9918" spans="1:20" x14ac:dyDescent="0.3">
      <c r="A9918" t="str">
        <f>"0611837985100"</f>
        <v>0611837985100</v>
      </c>
      <c r="B9918" t="str">
        <f>"LS0108"</f>
        <v>LS0108</v>
      </c>
      <c r="C9918" t="s">
        <v>46489</v>
      </c>
      <c r="D9918" t="s">
        <v>27245</v>
      </c>
      <c r="E9918" t="str">
        <f t="shared" si="154"/>
        <v>001390</v>
      </c>
      <c r="F9918" t="s">
        <v>27246</v>
      </c>
      <c r="G9918" t="s">
        <v>27247</v>
      </c>
      <c r="H9918" t="s">
        <v>27248</v>
      </c>
      <c r="I9918" t="s">
        <v>46490</v>
      </c>
      <c r="J9918" t="s">
        <v>19960</v>
      </c>
      <c r="L9918" t="s">
        <v>27250</v>
      </c>
      <c r="M9918" t="s">
        <v>27251</v>
      </c>
      <c r="N9918" t="s">
        <v>27252</v>
      </c>
      <c r="Q9918" s="1">
        <v>44538</v>
      </c>
      <c r="R9918" t="s">
        <v>27253</v>
      </c>
      <c r="S9918" t="s">
        <v>27254</v>
      </c>
      <c r="T9918" t="s">
        <v>27255</v>
      </c>
    </row>
    <row r="9919" spans="1:20" x14ac:dyDescent="0.3">
      <c r="A9919" t="str">
        <f>"0611837986100"</f>
        <v>0611837986100</v>
      </c>
      <c r="B9919" t="str">
        <f>"LK1727"</f>
        <v>LK1727</v>
      </c>
      <c r="C9919" t="s">
        <v>46491</v>
      </c>
      <c r="D9919" t="s">
        <v>27245</v>
      </c>
      <c r="E9919" t="str">
        <f t="shared" si="154"/>
        <v>001390</v>
      </c>
      <c r="F9919" t="s">
        <v>27246</v>
      </c>
      <c r="G9919" t="s">
        <v>27247</v>
      </c>
      <c r="H9919" t="s">
        <v>27248</v>
      </c>
      <c r="I9919" t="s">
        <v>46492</v>
      </c>
      <c r="J9919" t="s">
        <v>19962</v>
      </c>
      <c r="L9919" t="s">
        <v>27250</v>
      </c>
      <c r="M9919" t="s">
        <v>27251</v>
      </c>
      <c r="N9919" t="s">
        <v>27252</v>
      </c>
      <c r="Q9919" s="1">
        <v>44538</v>
      </c>
      <c r="R9919" t="s">
        <v>27253</v>
      </c>
      <c r="S9919" t="s">
        <v>27254</v>
      </c>
      <c r="T9919" t="s">
        <v>27255</v>
      </c>
    </row>
    <row r="9920" spans="1:20" x14ac:dyDescent="0.3">
      <c r="A9920" t="str">
        <f>"0611863575050"</f>
        <v>0611863575050</v>
      </c>
      <c r="B9920" t="str">
        <f>"CR4865"</f>
        <v>CR4865</v>
      </c>
      <c r="C9920" t="s">
        <v>46493</v>
      </c>
      <c r="D9920" t="s">
        <v>27271</v>
      </c>
      <c r="E9920" t="str">
        <f t="shared" si="154"/>
        <v>001390</v>
      </c>
      <c r="F9920" t="s">
        <v>27246</v>
      </c>
      <c r="G9920" t="s">
        <v>27247</v>
      </c>
      <c r="H9920" t="s">
        <v>27248</v>
      </c>
      <c r="I9920" t="s">
        <v>46494</v>
      </c>
      <c r="J9920" t="s">
        <v>19964</v>
      </c>
      <c r="L9920" t="s">
        <v>27250</v>
      </c>
      <c r="M9920" t="s">
        <v>27251</v>
      </c>
      <c r="N9920" t="s">
        <v>27252</v>
      </c>
      <c r="P9920" t="s">
        <v>27341</v>
      </c>
      <c r="Q9920" s="1">
        <v>44846</v>
      </c>
      <c r="R9920" t="s">
        <v>27253</v>
      </c>
      <c r="S9920" t="s">
        <v>27254</v>
      </c>
      <c r="T9920" t="s">
        <v>27265</v>
      </c>
    </row>
    <row r="9921" spans="1:20" x14ac:dyDescent="0.3">
      <c r="A9921" t="str">
        <f>"0611837987100"</f>
        <v>0611837987100</v>
      </c>
      <c r="B9921" t="str">
        <f>"LB7069"</f>
        <v>LB7069</v>
      </c>
      <c r="C9921" t="s">
        <v>46495</v>
      </c>
      <c r="D9921" t="s">
        <v>27245</v>
      </c>
      <c r="E9921" t="str">
        <f t="shared" si="154"/>
        <v>001390</v>
      </c>
      <c r="F9921" t="s">
        <v>27246</v>
      </c>
      <c r="G9921" t="s">
        <v>27247</v>
      </c>
      <c r="H9921" t="s">
        <v>27248</v>
      </c>
      <c r="I9921" t="s">
        <v>46496</v>
      </c>
      <c r="J9921" t="s">
        <v>19966</v>
      </c>
      <c r="L9921" t="s">
        <v>27250</v>
      </c>
      <c r="M9921" t="s">
        <v>27251</v>
      </c>
      <c r="N9921" t="s">
        <v>27252</v>
      </c>
      <c r="Q9921" s="1">
        <v>44538</v>
      </c>
      <c r="R9921" t="s">
        <v>27253</v>
      </c>
      <c r="S9921" t="s">
        <v>27254</v>
      </c>
      <c r="T9921" t="s">
        <v>27255</v>
      </c>
    </row>
    <row r="9922" spans="1:20" x14ac:dyDescent="0.3">
      <c r="A9922" t="str">
        <f>"0611837988100"</f>
        <v>0611837988100</v>
      </c>
      <c r="B9922" t="str">
        <f>"LK1351"</f>
        <v>LK1351</v>
      </c>
      <c r="C9922" t="s">
        <v>46497</v>
      </c>
      <c r="D9922" t="s">
        <v>27245</v>
      </c>
      <c r="E9922" t="str">
        <f t="shared" ref="E9922:E9985" si="155">"001390"</f>
        <v>001390</v>
      </c>
      <c r="F9922" t="s">
        <v>27246</v>
      </c>
      <c r="G9922" t="s">
        <v>27247</v>
      </c>
      <c r="H9922" t="s">
        <v>27248</v>
      </c>
      <c r="I9922" t="s">
        <v>46498</v>
      </c>
      <c r="J9922" t="s">
        <v>19968</v>
      </c>
      <c r="L9922" t="s">
        <v>27250</v>
      </c>
      <c r="M9922" t="s">
        <v>27251</v>
      </c>
      <c r="N9922" t="s">
        <v>27252</v>
      </c>
      <c r="Q9922" s="1">
        <v>44538</v>
      </c>
      <c r="R9922" t="s">
        <v>27253</v>
      </c>
      <c r="S9922" t="s">
        <v>27254</v>
      </c>
      <c r="T9922" t="s">
        <v>27255</v>
      </c>
    </row>
    <row r="9923" spans="1:20" x14ac:dyDescent="0.3">
      <c r="A9923" t="str">
        <f>"0611837989100"</f>
        <v>0611837989100</v>
      </c>
      <c r="B9923" t="str">
        <f>"LB7659"</f>
        <v>LB7659</v>
      </c>
      <c r="C9923" t="s">
        <v>46499</v>
      </c>
      <c r="D9923" t="s">
        <v>27245</v>
      </c>
      <c r="E9923" t="str">
        <f t="shared" si="155"/>
        <v>001390</v>
      </c>
      <c r="F9923" t="s">
        <v>27246</v>
      </c>
      <c r="G9923" t="s">
        <v>27247</v>
      </c>
      <c r="H9923" t="s">
        <v>27248</v>
      </c>
      <c r="I9923" t="s">
        <v>46500</v>
      </c>
      <c r="J9923" t="s">
        <v>19970</v>
      </c>
      <c r="L9923" t="s">
        <v>27250</v>
      </c>
      <c r="M9923" t="s">
        <v>27251</v>
      </c>
      <c r="N9923" t="s">
        <v>27252</v>
      </c>
      <c r="Q9923" s="1">
        <v>44538</v>
      </c>
      <c r="R9923" t="s">
        <v>27253</v>
      </c>
      <c r="S9923" t="s">
        <v>27254</v>
      </c>
      <c r="T9923" t="s">
        <v>27255</v>
      </c>
    </row>
    <row r="9924" spans="1:20" x14ac:dyDescent="0.3">
      <c r="A9924" t="str">
        <f>"0611863576050"</f>
        <v>0611863576050</v>
      </c>
      <c r="B9924" t="str">
        <f>"CR2140"</f>
        <v>CR2140</v>
      </c>
      <c r="C9924" t="s">
        <v>46501</v>
      </c>
      <c r="D9924" t="s">
        <v>27263</v>
      </c>
      <c r="E9924" t="str">
        <f t="shared" si="155"/>
        <v>001390</v>
      </c>
      <c r="F9924" t="s">
        <v>27246</v>
      </c>
      <c r="G9924" t="s">
        <v>27247</v>
      </c>
      <c r="H9924" t="s">
        <v>27248</v>
      </c>
      <c r="I9924" t="s">
        <v>46502</v>
      </c>
      <c r="J9924" t="s">
        <v>19972</v>
      </c>
      <c r="L9924" t="s">
        <v>27250</v>
      </c>
      <c r="M9924" t="s">
        <v>27251</v>
      </c>
      <c r="N9924" t="s">
        <v>27252</v>
      </c>
      <c r="Q9924" s="1">
        <v>44846</v>
      </c>
      <c r="R9924" t="s">
        <v>27253</v>
      </c>
      <c r="S9924" t="s">
        <v>27254</v>
      </c>
      <c r="T9924" t="s">
        <v>27265</v>
      </c>
    </row>
    <row r="9925" spans="1:20" x14ac:dyDescent="0.3">
      <c r="A9925" t="str">
        <f>"0611863577050"</f>
        <v>0611863577050</v>
      </c>
      <c r="B9925" t="str">
        <f>"CR2482"</f>
        <v>CR2482</v>
      </c>
      <c r="C9925" t="s">
        <v>46503</v>
      </c>
      <c r="D9925" t="s">
        <v>27271</v>
      </c>
      <c r="E9925" t="str">
        <f t="shared" si="155"/>
        <v>001390</v>
      </c>
      <c r="F9925" t="s">
        <v>27246</v>
      </c>
      <c r="G9925" t="s">
        <v>27247</v>
      </c>
      <c r="H9925" t="s">
        <v>27248</v>
      </c>
      <c r="I9925" t="s">
        <v>46504</v>
      </c>
      <c r="J9925" t="s">
        <v>19974</v>
      </c>
      <c r="L9925" t="s">
        <v>27250</v>
      </c>
      <c r="M9925" t="s">
        <v>27251</v>
      </c>
      <c r="N9925" t="s">
        <v>27252</v>
      </c>
      <c r="O9925">
        <v>150</v>
      </c>
      <c r="P9925" t="s">
        <v>27341</v>
      </c>
      <c r="Q9925" s="1">
        <v>44846</v>
      </c>
      <c r="R9925" t="s">
        <v>27253</v>
      </c>
      <c r="S9925" t="s">
        <v>27254</v>
      </c>
      <c r="T9925" t="s">
        <v>27265</v>
      </c>
    </row>
    <row r="9926" spans="1:20" x14ac:dyDescent="0.3">
      <c r="A9926" t="str">
        <f>"0611863578050"</f>
        <v>0611863578050</v>
      </c>
      <c r="B9926" t="str">
        <f>"CR3772"</f>
        <v>CR3772</v>
      </c>
      <c r="C9926" t="s">
        <v>46505</v>
      </c>
      <c r="D9926" t="s">
        <v>27271</v>
      </c>
      <c r="E9926" t="str">
        <f t="shared" si="155"/>
        <v>001390</v>
      </c>
      <c r="F9926" t="s">
        <v>27246</v>
      </c>
      <c r="G9926" t="s">
        <v>27247</v>
      </c>
      <c r="H9926" t="s">
        <v>27248</v>
      </c>
      <c r="I9926" t="s">
        <v>46506</v>
      </c>
      <c r="J9926" t="s">
        <v>19976</v>
      </c>
      <c r="L9926" t="s">
        <v>27250</v>
      </c>
      <c r="M9926" t="s">
        <v>27251</v>
      </c>
      <c r="N9926" t="s">
        <v>27252</v>
      </c>
      <c r="P9926" t="s">
        <v>27341</v>
      </c>
      <c r="Q9926" s="1">
        <v>44846</v>
      </c>
      <c r="R9926" t="s">
        <v>27253</v>
      </c>
      <c r="S9926" t="s">
        <v>27254</v>
      </c>
      <c r="T9926" t="s">
        <v>27265</v>
      </c>
    </row>
    <row r="9927" spans="1:20" x14ac:dyDescent="0.3">
      <c r="A9927" t="str">
        <f>"0611863579050"</f>
        <v>0611863579050</v>
      </c>
      <c r="B9927" t="str">
        <f>"CR5007"</f>
        <v>CR5007</v>
      </c>
      <c r="C9927" t="s">
        <v>46507</v>
      </c>
      <c r="D9927" t="s">
        <v>27271</v>
      </c>
      <c r="E9927" t="str">
        <f t="shared" si="155"/>
        <v>001390</v>
      </c>
      <c r="F9927" t="s">
        <v>27246</v>
      </c>
      <c r="G9927" t="s">
        <v>27247</v>
      </c>
      <c r="H9927" t="s">
        <v>27248</v>
      </c>
      <c r="I9927" t="s">
        <v>46508</v>
      </c>
      <c r="J9927" t="s">
        <v>19978</v>
      </c>
      <c r="L9927" t="s">
        <v>27250</v>
      </c>
      <c r="M9927" t="s">
        <v>27251</v>
      </c>
      <c r="N9927" t="s">
        <v>27252</v>
      </c>
      <c r="P9927" t="s">
        <v>27341</v>
      </c>
      <c r="Q9927" s="1">
        <v>44846</v>
      </c>
      <c r="R9927" t="s">
        <v>27253</v>
      </c>
      <c r="S9927" t="s">
        <v>27254</v>
      </c>
      <c r="T9927" t="s">
        <v>27265</v>
      </c>
    </row>
    <row r="9928" spans="1:20" x14ac:dyDescent="0.3">
      <c r="A9928" t="str">
        <f>"0611863580050"</f>
        <v>0611863580050</v>
      </c>
      <c r="B9928" t="str">
        <f>"CR3903"</f>
        <v>CR3903</v>
      </c>
      <c r="C9928" t="s">
        <v>46509</v>
      </c>
      <c r="D9928" t="s">
        <v>27271</v>
      </c>
      <c r="E9928" t="str">
        <f t="shared" si="155"/>
        <v>001390</v>
      </c>
      <c r="F9928" t="s">
        <v>27246</v>
      </c>
      <c r="G9928" t="s">
        <v>27247</v>
      </c>
      <c r="H9928" t="s">
        <v>27248</v>
      </c>
      <c r="I9928" t="s">
        <v>46510</v>
      </c>
      <c r="J9928" t="s">
        <v>19980</v>
      </c>
      <c r="L9928" t="s">
        <v>27250</v>
      </c>
      <c r="M9928" t="s">
        <v>27251</v>
      </c>
      <c r="N9928" t="s">
        <v>27252</v>
      </c>
      <c r="P9928" t="s">
        <v>27341</v>
      </c>
      <c r="Q9928" s="1">
        <v>44846</v>
      </c>
      <c r="R9928" t="s">
        <v>27253</v>
      </c>
      <c r="S9928" t="s">
        <v>27254</v>
      </c>
      <c r="T9928" t="s">
        <v>27265</v>
      </c>
    </row>
    <row r="9929" spans="1:20" x14ac:dyDescent="0.3">
      <c r="A9929" t="str">
        <f>"0611863581050"</f>
        <v>0611863581050</v>
      </c>
      <c r="B9929" t="str">
        <f>"CR4856"</f>
        <v>CR4856</v>
      </c>
      <c r="C9929" t="s">
        <v>46511</v>
      </c>
      <c r="D9929" t="s">
        <v>27271</v>
      </c>
      <c r="E9929" t="str">
        <f t="shared" si="155"/>
        <v>001390</v>
      </c>
      <c r="F9929" t="s">
        <v>27246</v>
      </c>
      <c r="G9929" t="s">
        <v>27247</v>
      </c>
      <c r="H9929" t="s">
        <v>27248</v>
      </c>
      <c r="I9929" t="s">
        <v>46512</v>
      </c>
      <c r="J9929" t="s">
        <v>19982</v>
      </c>
      <c r="L9929" t="s">
        <v>27250</v>
      </c>
      <c r="M9929" t="s">
        <v>27251</v>
      </c>
      <c r="N9929" t="s">
        <v>27252</v>
      </c>
      <c r="P9929" t="s">
        <v>27341</v>
      </c>
      <c r="Q9929" s="1">
        <v>44846</v>
      </c>
      <c r="R9929" t="s">
        <v>27253</v>
      </c>
      <c r="S9929" t="s">
        <v>27254</v>
      </c>
      <c r="T9929" t="s">
        <v>27265</v>
      </c>
    </row>
    <row r="9930" spans="1:20" x14ac:dyDescent="0.3">
      <c r="A9930" t="str">
        <f>"0611863582050"</f>
        <v>0611863582050</v>
      </c>
      <c r="B9930" t="str">
        <f>"CR2484"</f>
        <v>CR2484</v>
      </c>
      <c r="C9930" t="s">
        <v>46513</v>
      </c>
      <c r="D9930" t="s">
        <v>27271</v>
      </c>
      <c r="E9930" t="str">
        <f t="shared" si="155"/>
        <v>001390</v>
      </c>
      <c r="F9930" t="s">
        <v>27246</v>
      </c>
      <c r="G9930" t="s">
        <v>27247</v>
      </c>
      <c r="H9930" t="s">
        <v>27248</v>
      </c>
      <c r="I9930" t="s">
        <v>46514</v>
      </c>
      <c r="J9930" t="s">
        <v>19984</v>
      </c>
      <c r="L9930" t="s">
        <v>27250</v>
      </c>
      <c r="M9930" t="s">
        <v>27251</v>
      </c>
      <c r="N9930" t="s">
        <v>27252</v>
      </c>
      <c r="P9930" t="s">
        <v>27341</v>
      </c>
      <c r="Q9930" s="1">
        <v>44846</v>
      </c>
      <c r="R9930" t="s">
        <v>27253</v>
      </c>
      <c r="S9930" t="s">
        <v>27254</v>
      </c>
      <c r="T9930" t="s">
        <v>27265</v>
      </c>
    </row>
    <row r="9931" spans="1:20" x14ac:dyDescent="0.3">
      <c r="A9931" t="str">
        <f>"0611863583050"</f>
        <v>0611863583050</v>
      </c>
      <c r="B9931" t="str">
        <f>"CR2987"</f>
        <v>CR2987</v>
      </c>
      <c r="C9931" t="s">
        <v>46515</v>
      </c>
      <c r="D9931" t="s">
        <v>27271</v>
      </c>
      <c r="E9931" t="str">
        <f t="shared" si="155"/>
        <v>001390</v>
      </c>
      <c r="F9931" t="s">
        <v>27246</v>
      </c>
      <c r="G9931" t="s">
        <v>27247</v>
      </c>
      <c r="H9931" t="s">
        <v>27248</v>
      </c>
      <c r="I9931" t="s">
        <v>46516</v>
      </c>
      <c r="J9931" t="s">
        <v>19986</v>
      </c>
      <c r="L9931" t="s">
        <v>27250</v>
      </c>
      <c r="M9931" t="s">
        <v>27251</v>
      </c>
      <c r="N9931" t="s">
        <v>27252</v>
      </c>
      <c r="P9931" t="s">
        <v>27341</v>
      </c>
      <c r="Q9931" s="1">
        <v>44846</v>
      </c>
      <c r="R9931" t="s">
        <v>27253</v>
      </c>
      <c r="S9931" t="s">
        <v>27254</v>
      </c>
      <c r="T9931" t="s">
        <v>27265</v>
      </c>
    </row>
    <row r="9932" spans="1:20" x14ac:dyDescent="0.3">
      <c r="A9932" t="str">
        <f>"0611863584050"</f>
        <v>0611863584050</v>
      </c>
      <c r="B9932" t="str">
        <f>"CR3142"</f>
        <v>CR3142</v>
      </c>
      <c r="C9932" t="s">
        <v>46517</v>
      </c>
      <c r="D9932" t="s">
        <v>27271</v>
      </c>
      <c r="E9932" t="str">
        <f t="shared" si="155"/>
        <v>001390</v>
      </c>
      <c r="F9932" t="s">
        <v>27246</v>
      </c>
      <c r="G9932" t="s">
        <v>27247</v>
      </c>
      <c r="H9932" t="s">
        <v>27248</v>
      </c>
      <c r="I9932" t="s">
        <v>46518</v>
      </c>
      <c r="J9932" t="s">
        <v>19988</v>
      </c>
      <c r="L9932" t="s">
        <v>27250</v>
      </c>
      <c r="M9932" t="s">
        <v>27251</v>
      </c>
      <c r="N9932" t="s">
        <v>27252</v>
      </c>
      <c r="P9932" t="s">
        <v>27341</v>
      </c>
      <c r="Q9932" s="1">
        <v>44846</v>
      </c>
      <c r="R9932" t="s">
        <v>27253</v>
      </c>
      <c r="S9932" t="s">
        <v>27254</v>
      </c>
      <c r="T9932" t="s">
        <v>27265</v>
      </c>
    </row>
    <row r="9933" spans="1:20" x14ac:dyDescent="0.3">
      <c r="A9933" t="str">
        <f>"0611863585050"</f>
        <v>0611863585050</v>
      </c>
      <c r="B9933" t="str">
        <f>"CR2742"</f>
        <v>CR2742</v>
      </c>
      <c r="C9933" t="s">
        <v>46519</v>
      </c>
      <c r="D9933" t="s">
        <v>27271</v>
      </c>
      <c r="E9933" t="str">
        <f t="shared" si="155"/>
        <v>001390</v>
      </c>
      <c r="F9933" t="s">
        <v>27246</v>
      </c>
      <c r="G9933" t="s">
        <v>27247</v>
      </c>
      <c r="H9933" t="s">
        <v>27248</v>
      </c>
      <c r="I9933" t="s">
        <v>46520</v>
      </c>
      <c r="J9933" t="s">
        <v>19990</v>
      </c>
      <c r="L9933" t="s">
        <v>27250</v>
      </c>
      <c r="M9933" t="s">
        <v>27251</v>
      </c>
      <c r="N9933" t="s">
        <v>27252</v>
      </c>
      <c r="P9933" t="s">
        <v>27341</v>
      </c>
      <c r="Q9933" s="1">
        <v>44846</v>
      </c>
      <c r="R9933" t="s">
        <v>27253</v>
      </c>
      <c r="S9933" t="s">
        <v>27254</v>
      </c>
      <c r="T9933" t="s">
        <v>27265</v>
      </c>
    </row>
    <row r="9934" spans="1:20" x14ac:dyDescent="0.3">
      <c r="A9934" t="str">
        <f>"0611863586050"</f>
        <v>0611863586050</v>
      </c>
      <c r="B9934" t="str">
        <f>"CR2488"</f>
        <v>CR2488</v>
      </c>
      <c r="C9934" t="s">
        <v>46521</v>
      </c>
      <c r="D9934" t="s">
        <v>27271</v>
      </c>
      <c r="E9934" t="str">
        <f t="shared" si="155"/>
        <v>001390</v>
      </c>
      <c r="F9934" t="s">
        <v>27246</v>
      </c>
      <c r="G9934" t="s">
        <v>27247</v>
      </c>
      <c r="H9934" t="s">
        <v>27248</v>
      </c>
      <c r="I9934" t="s">
        <v>46522</v>
      </c>
      <c r="J9934" t="s">
        <v>19992</v>
      </c>
      <c r="L9934" t="s">
        <v>27250</v>
      </c>
      <c r="M9934" t="s">
        <v>27251</v>
      </c>
      <c r="N9934" t="s">
        <v>27252</v>
      </c>
      <c r="P9934" t="s">
        <v>27341</v>
      </c>
      <c r="Q9934" s="1">
        <v>44846</v>
      </c>
      <c r="R9934" t="s">
        <v>27253</v>
      </c>
      <c r="S9934" t="s">
        <v>27254</v>
      </c>
      <c r="T9934" t="s">
        <v>27265</v>
      </c>
    </row>
    <row r="9935" spans="1:20" x14ac:dyDescent="0.3">
      <c r="A9935" t="str">
        <f>"0611863587050"</f>
        <v>0611863587050</v>
      </c>
      <c r="B9935" t="str">
        <f>"CR3906"</f>
        <v>CR3906</v>
      </c>
      <c r="C9935" t="s">
        <v>46523</v>
      </c>
      <c r="D9935" t="s">
        <v>27271</v>
      </c>
      <c r="E9935" t="str">
        <f t="shared" si="155"/>
        <v>001390</v>
      </c>
      <c r="F9935" t="s">
        <v>27246</v>
      </c>
      <c r="G9935" t="s">
        <v>27247</v>
      </c>
      <c r="H9935" t="s">
        <v>27248</v>
      </c>
      <c r="I9935" t="s">
        <v>46524</v>
      </c>
      <c r="J9935" t="s">
        <v>19994</v>
      </c>
      <c r="L9935" t="s">
        <v>27250</v>
      </c>
      <c r="M9935" t="s">
        <v>27251</v>
      </c>
      <c r="N9935" t="s">
        <v>27252</v>
      </c>
      <c r="P9935" t="s">
        <v>27341</v>
      </c>
      <c r="Q9935" s="1">
        <v>44846</v>
      </c>
      <c r="R9935" t="s">
        <v>27253</v>
      </c>
      <c r="S9935" t="s">
        <v>27254</v>
      </c>
      <c r="T9935" t="s">
        <v>27265</v>
      </c>
    </row>
    <row r="9936" spans="1:20" x14ac:dyDescent="0.3">
      <c r="A9936" t="str">
        <f>"0611863588050"</f>
        <v>0611863588050</v>
      </c>
      <c r="B9936" t="str">
        <f>"CR2743"</f>
        <v>CR2743</v>
      </c>
      <c r="C9936" t="s">
        <v>46525</v>
      </c>
      <c r="D9936" t="s">
        <v>27271</v>
      </c>
      <c r="E9936" t="str">
        <f t="shared" si="155"/>
        <v>001390</v>
      </c>
      <c r="F9936" t="s">
        <v>27246</v>
      </c>
      <c r="G9936" t="s">
        <v>27247</v>
      </c>
      <c r="H9936" t="s">
        <v>27248</v>
      </c>
      <c r="I9936" t="s">
        <v>46526</v>
      </c>
      <c r="J9936" t="s">
        <v>19996</v>
      </c>
      <c r="L9936" t="s">
        <v>27250</v>
      </c>
      <c r="M9936" t="s">
        <v>27251</v>
      </c>
      <c r="N9936" t="s">
        <v>27252</v>
      </c>
      <c r="P9936" t="s">
        <v>27341</v>
      </c>
      <c r="Q9936" s="1">
        <v>44846</v>
      </c>
      <c r="R9936" t="s">
        <v>27253</v>
      </c>
      <c r="S9936" t="s">
        <v>27254</v>
      </c>
      <c r="T9936" t="s">
        <v>27265</v>
      </c>
    </row>
    <row r="9937" spans="1:20" x14ac:dyDescent="0.3">
      <c r="A9937" t="str">
        <f>"0611863589050"</f>
        <v>0611863589050</v>
      </c>
      <c r="B9937" t="str">
        <f>"CR5042"</f>
        <v>CR5042</v>
      </c>
      <c r="C9937" t="s">
        <v>46527</v>
      </c>
      <c r="D9937" t="s">
        <v>27271</v>
      </c>
      <c r="E9937" t="str">
        <f t="shared" si="155"/>
        <v>001390</v>
      </c>
      <c r="F9937" t="s">
        <v>27246</v>
      </c>
      <c r="G9937" t="s">
        <v>27247</v>
      </c>
      <c r="H9937" t="s">
        <v>27248</v>
      </c>
      <c r="I9937" t="s">
        <v>46528</v>
      </c>
      <c r="J9937" t="s">
        <v>19998</v>
      </c>
      <c r="L9937" t="s">
        <v>27250</v>
      </c>
      <c r="M9937" t="s">
        <v>27251</v>
      </c>
      <c r="N9937" t="s">
        <v>27252</v>
      </c>
      <c r="P9937" t="s">
        <v>27341</v>
      </c>
      <c r="Q9937" s="1">
        <v>44846</v>
      </c>
      <c r="R9937" t="s">
        <v>27253</v>
      </c>
      <c r="S9937" t="s">
        <v>27254</v>
      </c>
      <c r="T9937" t="s">
        <v>27265</v>
      </c>
    </row>
    <row r="9938" spans="1:20" x14ac:dyDescent="0.3">
      <c r="A9938" t="str">
        <f>"0611863590050"</f>
        <v>0611863590050</v>
      </c>
      <c r="B9938" t="str">
        <f>"CR3143"</f>
        <v>CR3143</v>
      </c>
      <c r="C9938" t="s">
        <v>46529</v>
      </c>
      <c r="D9938" t="s">
        <v>27271</v>
      </c>
      <c r="E9938" t="str">
        <f t="shared" si="155"/>
        <v>001390</v>
      </c>
      <c r="F9938" t="s">
        <v>27246</v>
      </c>
      <c r="G9938" t="s">
        <v>27247</v>
      </c>
      <c r="H9938" t="s">
        <v>27248</v>
      </c>
      <c r="I9938" t="s">
        <v>46530</v>
      </c>
      <c r="J9938" t="s">
        <v>20000</v>
      </c>
      <c r="L9938" t="s">
        <v>27250</v>
      </c>
      <c r="M9938" t="s">
        <v>27251</v>
      </c>
      <c r="N9938" t="s">
        <v>27252</v>
      </c>
      <c r="P9938" t="s">
        <v>27341</v>
      </c>
      <c r="Q9938" s="1">
        <v>44846</v>
      </c>
      <c r="R9938" t="s">
        <v>27253</v>
      </c>
      <c r="S9938" t="s">
        <v>27254</v>
      </c>
      <c r="T9938" t="s">
        <v>27265</v>
      </c>
    </row>
    <row r="9939" spans="1:20" x14ac:dyDescent="0.3">
      <c r="A9939" t="str">
        <f>"0611863592050"</f>
        <v>0611863592050</v>
      </c>
      <c r="B9939" t="str">
        <f>"CR2744"</f>
        <v>CR2744</v>
      </c>
      <c r="C9939" t="s">
        <v>46531</v>
      </c>
      <c r="D9939" t="s">
        <v>27271</v>
      </c>
      <c r="E9939" t="str">
        <f t="shared" si="155"/>
        <v>001390</v>
      </c>
      <c r="F9939" t="s">
        <v>27246</v>
      </c>
      <c r="G9939" t="s">
        <v>27247</v>
      </c>
      <c r="H9939" t="s">
        <v>27248</v>
      </c>
      <c r="I9939" t="s">
        <v>46532</v>
      </c>
      <c r="J9939" t="s">
        <v>20002</v>
      </c>
      <c r="L9939" t="s">
        <v>27250</v>
      </c>
      <c r="M9939" t="s">
        <v>27251</v>
      </c>
      <c r="N9939" t="s">
        <v>27252</v>
      </c>
      <c r="P9939" t="s">
        <v>27341</v>
      </c>
      <c r="Q9939" s="1">
        <v>44846</v>
      </c>
      <c r="R9939" t="s">
        <v>27253</v>
      </c>
      <c r="S9939" t="s">
        <v>27254</v>
      </c>
      <c r="T9939" t="s">
        <v>27265</v>
      </c>
    </row>
    <row r="9940" spans="1:20" x14ac:dyDescent="0.3">
      <c r="A9940" t="str">
        <f>"0611863593050"</f>
        <v>0611863593050</v>
      </c>
      <c r="B9940" t="str">
        <f>"CR4773"</f>
        <v>CR4773</v>
      </c>
      <c r="C9940" t="s">
        <v>46533</v>
      </c>
      <c r="D9940" t="s">
        <v>27271</v>
      </c>
      <c r="E9940" t="str">
        <f t="shared" si="155"/>
        <v>001390</v>
      </c>
      <c r="F9940" t="s">
        <v>27246</v>
      </c>
      <c r="G9940" t="s">
        <v>27247</v>
      </c>
      <c r="H9940" t="s">
        <v>27248</v>
      </c>
      <c r="I9940" t="s">
        <v>46534</v>
      </c>
      <c r="J9940" t="s">
        <v>20004</v>
      </c>
      <c r="L9940" t="s">
        <v>27250</v>
      </c>
      <c r="M9940" t="s">
        <v>27251</v>
      </c>
      <c r="N9940" t="s">
        <v>27252</v>
      </c>
      <c r="P9940" t="s">
        <v>27341</v>
      </c>
      <c r="Q9940" s="1">
        <v>44846</v>
      </c>
      <c r="R9940" t="s">
        <v>27253</v>
      </c>
      <c r="S9940" t="s">
        <v>27254</v>
      </c>
      <c r="T9940" t="s">
        <v>27265</v>
      </c>
    </row>
    <row r="9941" spans="1:20" x14ac:dyDescent="0.3">
      <c r="A9941" t="str">
        <f>"0611863594050"</f>
        <v>0611863594050</v>
      </c>
      <c r="B9941" t="str">
        <f>"CR3905"</f>
        <v>CR3905</v>
      </c>
      <c r="C9941" t="s">
        <v>46535</v>
      </c>
      <c r="D9941" t="s">
        <v>27271</v>
      </c>
      <c r="E9941" t="str">
        <f t="shared" si="155"/>
        <v>001390</v>
      </c>
      <c r="F9941" t="s">
        <v>27246</v>
      </c>
      <c r="G9941" t="s">
        <v>27247</v>
      </c>
      <c r="H9941" t="s">
        <v>27248</v>
      </c>
      <c r="I9941" t="s">
        <v>46536</v>
      </c>
      <c r="J9941" t="s">
        <v>20006</v>
      </c>
      <c r="L9941" t="s">
        <v>27250</v>
      </c>
      <c r="M9941" t="s">
        <v>27251</v>
      </c>
      <c r="N9941" t="s">
        <v>27252</v>
      </c>
      <c r="P9941" t="s">
        <v>27341</v>
      </c>
      <c r="Q9941" s="1">
        <v>44846</v>
      </c>
      <c r="R9941" t="s">
        <v>27253</v>
      </c>
      <c r="S9941" t="s">
        <v>27254</v>
      </c>
      <c r="T9941" t="s">
        <v>27265</v>
      </c>
    </row>
    <row r="9942" spans="1:20" x14ac:dyDescent="0.3">
      <c r="A9942" t="str">
        <f>"0611884385050"</f>
        <v>0611884385050</v>
      </c>
      <c r="B9942" t="str">
        <f>"CR5383"</f>
        <v>CR5383</v>
      </c>
      <c r="C9942" t="s">
        <v>46537</v>
      </c>
      <c r="D9942" t="s">
        <v>27271</v>
      </c>
      <c r="E9942" t="str">
        <f t="shared" si="155"/>
        <v>001390</v>
      </c>
      <c r="F9942" t="s">
        <v>27246</v>
      </c>
      <c r="G9942" t="s">
        <v>27247</v>
      </c>
      <c r="H9942" t="s">
        <v>27248</v>
      </c>
      <c r="I9942" t="s">
        <v>46538</v>
      </c>
      <c r="J9942" t="s">
        <v>20008</v>
      </c>
      <c r="L9942" t="s">
        <v>27430</v>
      </c>
      <c r="M9942" t="s">
        <v>27251</v>
      </c>
      <c r="N9942" t="s">
        <v>27252</v>
      </c>
      <c r="P9942" t="s">
        <v>27341</v>
      </c>
      <c r="Q9942" s="1">
        <v>45250</v>
      </c>
      <c r="R9942" t="s">
        <v>27253</v>
      </c>
      <c r="S9942" t="s">
        <v>27254</v>
      </c>
      <c r="T9942" t="s">
        <v>27265</v>
      </c>
    </row>
    <row r="9943" spans="1:20" x14ac:dyDescent="0.3">
      <c r="A9943" t="str">
        <f>"0611884386050"</f>
        <v>0611884386050</v>
      </c>
      <c r="B9943" t="str">
        <f>"CR5394"</f>
        <v>CR5394</v>
      </c>
      <c r="C9943" t="s">
        <v>46539</v>
      </c>
      <c r="D9943" t="s">
        <v>27271</v>
      </c>
      <c r="E9943" t="str">
        <f t="shared" si="155"/>
        <v>001390</v>
      </c>
      <c r="F9943" t="s">
        <v>27246</v>
      </c>
      <c r="G9943" t="s">
        <v>27247</v>
      </c>
      <c r="H9943" t="s">
        <v>27248</v>
      </c>
      <c r="I9943" t="s">
        <v>46540</v>
      </c>
      <c r="J9943" t="s">
        <v>20010</v>
      </c>
      <c r="L9943" t="s">
        <v>27430</v>
      </c>
      <c r="M9943" t="s">
        <v>27251</v>
      </c>
      <c r="N9943" t="s">
        <v>27252</v>
      </c>
      <c r="P9943" t="s">
        <v>27341</v>
      </c>
      <c r="Q9943" s="1">
        <v>45250</v>
      </c>
      <c r="R9943" t="s">
        <v>27253</v>
      </c>
      <c r="S9943" t="s">
        <v>27254</v>
      </c>
      <c r="T9943" t="s">
        <v>27265</v>
      </c>
    </row>
    <row r="9944" spans="1:20" x14ac:dyDescent="0.3">
      <c r="A9944" t="str">
        <f>"0611884387050"</f>
        <v>0611884387050</v>
      </c>
      <c r="B9944" t="str">
        <f>"CR5416"</f>
        <v>CR5416</v>
      </c>
      <c r="C9944" t="s">
        <v>46541</v>
      </c>
      <c r="D9944" t="s">
        <v>27271</v>
      </c>
      <c r="E9944" t="str">
        <f t="shared" si="155"/>
        <v>001390</v>
      </c>
      <c r="F9944" t="s">
        <v>27246</v>
      </c>
      <c r="G9944" t="s">
        <v>27247</v>
      </c>
      <c r="H9944" t="s">
        <v>27248</v>
      </c>
      <c r="I9944" t="s">
        <v>46542</v>
      </c>
      <c r="J9944" t="s">
        <v>20012</v>
      </c>
      <c r="L9944" t="s">
        <v>27430</v>
      </c>
      <c r="M9944" t="s">
        <v>27251</v>
      </c>
      <c r="N9944" t="s">
        <v>27252</v>
      </c>
      <c r="P9944" t="s">
        <v>27341</v>
      </c>
      <c r="Q9944" s="1">
        <v>45250</v>
      </c>
      <c r="R9944" t="s">
        <v>27253</v>
      </c>
      <c r="S9944" t="s">
        <v>27254</v>
      </c>
      <c r="T9944" t="s">
        <v>27265</v>
      </c>
    </row>
    <row r="9945" spans="1:20" x14ac:dyDescent="0.3">
      <c r="A9945" t="str">
        <f>"0611863595050"</f>
        <v>0611863595050</v>
      </c>
      <c r="B9945" t="str">
        <f>"CR2489"</f>
        <v>CR2489</v>
      </c>
      <c r="C9945" t="s">
        <v>46543</v>
      </c>
      <c r="D9945" t="s">
        <v>27271</v>
      </c>
      <c r="E9945" t="str">
        <f t="shared" si="155"/>
        <v>001390</v>
      </c>
      <c r="F9945" t="s">
        <v>27246</v>
      </c>
      <c r="G9945" t="s">
        <v>27247</v>
      </c>
      <c r="H9945" t="s">
        <v>27248</v>
      </c>
      <c r="I9945" t="s">
        <v>46544</v>
      </c>
      <c r="J9945" t="s">
        <v>20014</v>
      </c>
      <c r="L9945" t="s">
        <v>27250</v>
      </c>
      <c r="M9945" t="s">
        <v>27251</v>
      </c>
      <c r="N9945" t="s">
        <v>27252</v>
      </c>
      <c r="P9945" t="s">
        <v>27341</v>
      </c>
      <c r="Q9945" s="1">
        <v>44846</v>
      </c>
      <c r="R9945" t="s">
        <v>27253</v>
      </c>
      <c r="S9945" t="s">
        <v>27254</v>
      </c>
      <c r="T9945" t="s">
        <v>27265</v>
      </c>
    </row>
    <row r="9946" spans="1:20" x14ac:dyDescent="0.3">
      <c r="A9946" t="str">
        <f>"0611863596050"</f>
        <v>0611863596050</v>
      </c>
      <c r="B9946" t="str">
        <f>"CR5073"</f>
        <v>CR5073</v>
      </c>
      <c r="C9946" t="s">
        <v>46545</v>
      </c>
      <c r="D9946" t="s">
        <v>27271</v>
      </c>
      <c r="E9946" t="str">
        <f t="shared" si="155"/>
        <v>001390</v>
      </c>
      <c r="F9946" t="s">
        <v>27246</v>
      </c>
      <c r="G9946" t="s">
        <v>27247</v>
      </c>
      <c r="H9946" t="s">
        <v>27248</v>
      </c>
      <c r="I9946" t="s">
        <v>46546</v>
      </c>
      <c r="J9946" t="s">
        <v>20016</v>
      </c>
      <c r="L9946" t="s">
        <v>27250</v>
      </c>
      <c r="M9946" t="s">
        <v>27251</v>
      </c>
      <c r="N9946" t="s">
        <v>27252</v>
      </c>
      <c r="P9946" t="s">
        <v>27341</v>
      </c>
      <c r="Q9946" s="1">
        <v>44846</v>
      </c>
      <c r="R9946" t="s">
        <v>27253</v>
      </c>
      <c r="S9946" t="s">
        <v>27254</v>
      </c>
      <c r="T9946" t="s">
        <v>27265</v>
      </c>
    </row>
    <row r="9947" spans="1:20" x14ac:dyDescent="0.3">
      <c r="A9947" t="str">
        <f>"0611863597050"</f>
        <v>0611863597050</v>
      </c>
      <c r="B9947" t="str">
        <f>"CR5008"</f>
        <v>CR5008</v>
      </c>
      <c r="C9947" t="s">
        <v>46547</v>
      </c>
      <c r="D9947" t="s">
        <v>27271</v>
      </c>
      <c r="E9947" t="str">
        <f t="shared" si="155"/>
        <v>001390</v>
      </c>
      <c r="F9947" t="s">
        <v>27246</v>
      </c>
      <c r="G9947" t="s">
        <v>27247</v>
      </c>
      <c r="H9947" t="s">
        <v>27248</v>
      </c>
      <c r="I9947" t="s">
        <v>46548</v>
      </c>
      <c r="J9947" t="s">
        <v>20018</v>
      </c>
      <c r="L9947" t="s">
        <v>27250</v>
      </c>
      <c r="M9947" t="s">
        <v>27251</v>
      </c>
      <c r="N9947" t="s">
        <v>27252</v>
      </c>
      <c r="P9947" t="s">
        <v>27341</v>
      </c>
      <c r="Q9947" s="1">
        <v>44846</v>
      </c>
      <c r="R9947" t="s">
        <v>27253</v>
      </c>
      <c r="S9947" t="s">
        <v>27254</v>
      </c>
      <c r="T9947" t="s">
        <v>27265</v>
      </c>
    </row>
    <row r="9948" spans="1:20" x14ac:dyDescent="0.3">
      <c r="A9948" t="str">
        <f>"0611863598050"</f>
        <v>0611863598050</v>
      </c>
      <c r="B9948" t="str">
        <f>"CR2491"</f>
        <v>CR2491</v>
      </c>
      <c r="C9948" t="s">
        <v>46549</v>
      </c>
      <c r="D9948" t="s">
        <v>27271</v>
      </c>
      <c r="E9948" t="str">
        <f t="shared" si="155"/>
        <v>001390</v>
      </c>
      <c r="F9948" t="s">
        <v>27246</v>
      </c>
      <c r="G9948" t="s">
        <v>27247</v>
      </c>
      <c r="H9948" t="s">
        <v>27248</v>
      </c>
      <c r="I9948" t="s">
        <v>46550</v>
      </c>
      <c r="J9948" t="s">
        <v>20020</v>
      </c>
      <c r="L9948" t="s">
        <v>27250</v>
      </c>
      <c r="M9948" t="s">
        <v>27251</v>
      </c>
      <c r="N9948" t="s">
        <v>27252</v>
      </c>
      <c r="P9948" t="s">
        <v>27341</v>
      </c>
      <c r="Q9948" s="1">
        <v>44846</v>
      </c>
      <c r="R9948" t="s">
        <v>27253</v>
      </c>
      <c r="S9948" t="s">
        <v>27254</v>
      </c>
      <c r="T9948" t="s">
        <v>27265</v>
      </c>
    </row>
    <row r="9949" spans="1:20" x14ac:dyDescent="0.3">
      <c r="A9949" t="str">
        <f>"0611863599050"</f>
        <v>0611863599050</v>
      </c>
      <c r="B9949" t="str">
        <f>"CR2492"</f>
        <v>CR2492</v>
      </c>
      <c r="C9949" t="s">
        <v>46551</v>
      </c>
      <c r="D9949" t="s">
        <v>27271</v>
      </c>
      <c r="E9949" t="str">
        <f t="shared" si="155"/>
        <v>001390</v>
      </c>
      <c r="F9949" t="s">
        <v>27246</v>
      </c>
      <c r="G9949" t="s">
        <v>27247</v>
      </c>
      <c r="H9949" t="s">
        <v>27248</v>
      </c>
      <c r="I9949" t="s">
        <v>46552</v>
      </c>
      <c r="J9949" t="s">
        <v>20022</v>
      </c>
      <c r="L9949" t="s">
        <v>27250</v>
      </c>
      <c r="M9949" t="s">
        <v>27251</v>
      </c>
      <c r="N9949" t="s">
        <v>27252</v>
      </c>
      <c r="P9949" t="s">
        <v>27341</v>
      </c>
      <c r="Q9949" s="1">
        <v>44846</v>
      </c>
      <c r="R9949" t="s">
        <v>27253</v>
      </c>
      <c r="S9949" t="s">
        <v>27254</v>
      </c>
      <c r="T9949" t="s">
        <v>27265</v>
      </c>
    </row>
    <row r="9950" spans="1:20" x14ac:dyDescent="0.3">
      <c r="A9950" t="str">
        <f>"0611863600050"</f>
        <v>0611863600050</v>
      </c>
      <c r="B9950" t="str">
        <f>"CR2493"</f>
        <v>CR2493</v>
      </c>
      <c r="C9950" t="s">
        <v>46553</v>
      </c>
      <c r="D9950" t="s">
        <v>27271</v>
      </c>
      <c r="E9950" t="str">
        <f t="shared" si="155"/>
        <v>001390</v>
      </c>
      <c r="F9950" t="s">
        <v>27246</v>
      </c>
      <c r="G9950" t="s">
        <v>27247</v>
      </c>
      <c r="H9950" t="s">
        <v>27248</v>
      </c>
      <c r="I9950" t="s">
        <v>46554</v>
      </c>
      <c r="J9950" t="s">
        <v>20024</v>
      </c>
      <c r="L9950" t="s">
        <v>27250</v>
      </c>
      <c r="M9950" t="s">
        <v>27251</v>
      </c>
      <c r="N9950" t="s">
        <v>27252</v>
      </c>
      <c r="P9950" t="s">
        <v>27341</v>
      </c>
      <c r="Q9950" s="1">
        <v>44846</v>
      </c>
      <c r="R9950" t="s">
        <v>27253</v>
      </c>
      <c r="S9950" t="s">
        <v>27254</v>
      </c>
      <c r="T9950" t="s">
        <v>27265</v>
      </c>
    </row>
    <row r="9951" spans="1:20" x14ac:dyDescent="0.3">
      <c r="A9951" t="str">
        <f>"0611863601050"</f>
        <v>0611863601050</v>
      </c>
      <c r="B9951" t="str">
        <f>"CR2494"</f>
        <v>CR2494</v>
      </c>
      <c r="C9951" t="s">
        <v>46555</v>
      </c>
      <c r="D9951" t="s">
        <v>27271</v>
      </c>
      <c r="E9951" t="str">
        <f t="shared" si="155"/>
        <v>001390</v>
      </c>
      <c r="F9951" t="s">
        <v>27246</v>
      </c>
      <c r="G9951" t="s">
        <v>27247</v>
      </c>
      <c r="H9951" t="s">
        <v>27248</v>
      </c>
      <c r="I9951" t="s">
        <v>46556</v>
      </c>
      <c r="J9951" t="s">
        <v>20026</v>
      </c>
      <c r="L9951" t="s">
        <v>27250</v>
      </c>
      <c r="M9951" t="s">
        <v>27251</v>
      </c>
      <c r="N9951" t="s">
        <v>27252</v>
      </c>
      <c r="P9951" t="s">
        <v>27341</v>
      </c>
      <c r="Q9951" s="1">
        <v>44846</v>
      </c>
      <c r="R9951" t="s">
        <v>27253</v>
      </c>
      <c r="S9951" t="s">
        <v>27254</v>
      </c>
      <c r="T9951" t="s">
        <v>27265</v>
      </c>
    </row>
    <row r="9952" spans="1:20" x14ac:dyDescent="0.3">
      <c r="A9952" t="str">
        <f>"0611863602050"</f>
        <v>0611863602050</v>
      </c>
      <c r="B9952" t="str">
        <f>"CR2496"</f>
        <v>CR2496</v>
      </c>
      <c r="C9952" t="s">
        <v>46557</v>
      </c>
      <c r="D9952" t="s">
        <v>27271</v>
      </c>
      <c r="E9952" t="str">
        <f t="shared" si="155"/>
        <v>001390</v>
      </c>
      <c r="F9952" t="s">
        <v>27246</v>
      </c>
      <c r="G9952" t="s">
        <v>27247</v>
      </c>
      <c r="H9952" t="s">
        <v>27248</v>
      </c>
      <c r="I9952" t="s">
        <v>46558</v>
      </c>
      <c r="J9952" t="s">
        <v>20028</v>
      </c>
      <c r="L9952" t="s">
        <v>27250</v>
      </c>
      <c r="M9952" t="s">
        <v>27251</v>
      </c>
      <c r="N9952" t="s">
        <v>27252</v>
      </c>
      <c r="P9952" t="s">
        <v>27341</v>
      </c>
      <c r="Q9952" s="1">
        <v>44846</v>
      </c>
      <c r="R9952" t="s">
        <v>27253</v>
      </c>
      <c r="S9952" t="s">
        <v>27254</v>
      </c>
      <c r="T9952" t="s">
        <v>27265</v>
      </c>
    </row>
    <row r="9953" spans="1:20" x14ac:dyDescent="0.3">
      <c r="A9953" t="str">
        <f>"0611863603050"</f>
        <v>0611863603050</v>
      </c>
      <c r="B9953" t="str">
        <f>"CR2988"</f>
        <v>CR2988</v>
      </c>
      <c r="C9953" t="s">
        <v>46559</v>
      </c>
      <c r="D9953" t="s">
        <v>27271</v>
      </c>
      <c r="E9953" t="str">
        <f t="shared" si="155"/>
        <v>001390</v>
      </c>
      <c r="F9953" t="s">
        <v>27246</v>
      </c>
      <c r="G9953" t="s">
        <v>27247</v>
      </c>
      <c r="H9953" t="s">
        <v>27248</v>
      </c>
      <c r="I9953" t="s">
        <v>46560</v>
      </c>
      <c r="J9953" t="s">
        <v>20030</v>
      </c>
      <c r="L9953" t="s">
        <v>27250</v>
      </c>
      <c r="M9953" t="s">
        <v>27251</v>
      </c>
      <c r="N9953" t="s">
        <v>27252</v>
      </c>
      <c r="P9953" t="s">
        <v>27341</v>
      </c>
      <c r="Q9953" s="1">
        <v>44846</v>
      </c>
      <c r="R9953" t="s">
        <v>27253</v>
      </c>
      <c r="S9953" t="s">
        <v>27254</v>
      </c>
      <c r="T9953" t="s">
        <v>27265</v>
      </c>
    </row>
    <row r="9954" spans="1:20" x14ac:dyDescent="0.3">
      <c r="A9954" t="str">
        <f>"0611863604050"</f>
        <v>0611863604050</v>
      </c>
      <c r="B9954" t="str">
        <f>"CR2497"</f>
        <v>CR2497</v>
      </c>
      <c r="C9954" t="s">
        <v>46561</v>
      </c>
      <c r="D9954" t="s">
        <v>27271</v>
      </c>
      <c r="E9954" t="str">
        <f t="shared" si="155"/>
        <v>001390</v>
      </c>
      <c r="F9954" t="s">
        <v>27246</v>
      </c>
      <c r="G9954" t="s">
        <v>27247</v>
      </c>
      <c r="H9954" t="s">
        <v>27248</v>
      </c>
      <c r="I9954" t="s">
        <v>46562</v>
      </c>
      <c r="J9954" t="s">
        <v>20032</v>
      </c>
      <c r="L9954" t="s">
        <v>27250</v>
      </c>
      <c r="M9954" t="s">
        <v>27251</v>
      </c>
      <c r="N9954" t="s">
        <v>27252</v>
      </c>
      <c r="P9954" t="s">
        <v>27341</v>
      </c>
      <c r="Q9954" s="1">
        <v>44846</v>
      </c>
      <c r="R9954" t="s">
        <v>27253</v>
      </c>
      <c r="S9954" t="s">
        <v>27254</v>
      </c>
      <c r="T9954" t="s">
        <v>27265</v>
      </c>
    </row>
    <row r="9955" spans="1:20" x14ac:dyDescent="0.3">
      <c r="A9955" t="str">
        <f>"0611863605050"</f>
        <v>0611863605050</v>
      </c>
      <c r="B9955" t="str">
        <f>"CR2498"</f>
        <v>CR2498</v>
      </c>
      <c r="C9955" t="s">
        <v>46563</v>
      </c>
      <c r="D9955" t="s">
        <v>27271</v>
      </c>
      <c r="E9955" t="str">
        <f t="shared" si="155"/>
        <v>001390</v>
      </c>
      <c r="F9955" t="s">
        <v>27246</v>
      </c>
      <c r="G9955" t="s">
        <v>27247</v>
      </c>
      <c r="H9955" t="s">
        <v>27248</v>
      </c>
      <c r="I9955" t="s">
        <v>46564</v>
      </c>
      <c r="J9955" t="s">
        <v>20034</v>
      </c>
      <c r="L9955" t="s">
        <v>27250</v>
      </c>
      <c r="M9955" t="s">
        <v>27251</v>
      </c>
      <c r="N9955" t="s">
        <v>27252</v>
      </c>
      <c r="P9955" t="s">
        <v>27341</v>
      </c>
      <c r="Q9955" s="1">
        <v>44846</v>
      </c>
      <c r="R9955" t="s">
        <v>27253</v>
      </c>
      <c r="S9955" t="s">
        <v>27254</v>
      </c>
      <c r="T9955" t="s">
        <v>27265</v>
      </c>
    </row>
    <row r="9956" spans="1:20" x14ac:dyDescent="0.3">
      <c r="A9956" t="str">
        <f>"0611863606050"</f>
        <v>0611863606050</v>
      </c>
      <c r="B9956" t="str">
        <f>"CR3699"</f>
        <v>CR3699</v>
      </c>
      <c r="C9956" t="s">
        <v>46565</v>
      </c>
      <c r="D9956" t="s">
        <v>27271</v>
      </c>
      <c r="E9956" t="str">
        <f t="shared" si="155"/>
        <v>001390</v>
      </c>
      <c r="F9956" t="s">
        <v>27246</v>
      </c>
      <c r="G9956" t="s">
        <v>27247</v>
      </c>
      <c r="H9956" t="s">
        <v>27248</v>
      </c>
      <c r="I9956" t="s">
        <v>46566</v>
      </c>
      <c r="J9956" t="s">
        <v>20036</v>
      </c>
      <c r="L9956" t="s">
        <v>27250</v>
      </c>
      <c r="M9956" t="s">
        <v>27251</v>
      </c>
      <c r="N9956" t="s">
        <v>27252</v>
      </c>
      <c r="P9956" t="s">
        <v>27341</v>
      </c>
      <c r="Q9956" s="1">
        <v>44846</v>
      </c>
      <c r="R9956" t="s">
        <v>27253</v>
      </c>
      <c r="S9956" t="s">
        <v>27254</v>
      </c>
      <c r="T9956" t="s">
        <v>27265</v>
      </c>
    </row>
    <row r="9957" spans="1:20" x14ac:dyDescent="0.3">
      <c r="A9957" t="str">
        <f>"0611863607050"</f>
        <v>0611863607050</v>
      </c>
      <c r="B9957" t="str">
        <f>"CR3904"</f>
        <v>CR3904</v>
      </c>
      <c r="C9957" t="s">
        <v>46567</v>
      </c>
      <c r="D9957" t="s">
        <v>27271</v>
      </c>
      <c r="E9957" t="str">
        <f t="shared" si="155"/>
        <v>001390</v>
      </c>
      <c r="F9957" t="s">
        <v>27246</v>
      </c>
      <c r="G9957" t="s">
        <v>27247</v>
      </c>
      <c r="H9957" t="s">
        <v>27248</v>
      </c>
      <c r="I9957" t="s">
        <v>46568</v>
      </c>
      <c r="J9957" t="s">
        <v>20038</v>
      </c>
      <c r="L9957" t="s">
        <v>27250</v>
      </c>
      <c r="M9957" t="s">
        <v>27251</v>
      </c>
      <c r="N9957" t="s">
        <v>27252</v>
      </c>
      <c r="P9957" t="s">
        <v>27341</v>
      </c>
      <c r="Q9957" s="1">
        <v>44846</v>
      </c>
      <c r="R9957" t="s">
        <v>27253</v>
      </c>
      <c r="S9957" t="s">
        <v>27254</v>
      </c>
      <c r="T9957" t="s">
        <v>27265</v>
      </c>
    </row>
    <row r="9958" spans="1:20" x14ac:dyDescent="0.3">
      <c r="A9958" t="str">
        <f>"0611838000100"</f>
        <v>0611838000100</v>
      </c>
      <c r="B9958" t="str">
        <f>"LK6716"</f>
        <v>LK6716</v>
      </c>
      <c r="C9958" t="s">
        <v>46569</v>
      </c>
      <c r="D9958" t="s">
        <v>27245</v>
      </c>
      <c r="E9958" t="str">
        <f t="shared" si="155"/>
        <v>001390</v>
      </c>
      <c r="F9958" t="s">
        <v>27246</v>
      </c>
      <c r="G9958" t="s">
        <v>27247</v>
      </c>
      <c r="H9958" t="s">
        <v>27248</v>
      </c>
      <c r="I9958" t="s">
        <v>46570</v>
      </c>
      <c r="J9958" t="s">
        <v>20040</v>
      </c>
      <c r="L9958" t="s">
        <v>27250</v>
      </c>
      <c r="M9958" t="s">
        <v>27251</v>
      </c>
      <c r="N9958" t="s">
        <v>27252</v>
      </c>
      <c r="Q9958" s="1">
        <v>44538</v>
      </c>
      <c r="R9958" t="s">
        <v>27253</v>
      </c>
      <c r="S9958" t="s">
        <v>27254</v>
      </c>
      <c r="T9958" t="s">
        <v>27255</v>
      </c>
    </row>
    <row r="9959" spans="1:20" x14ac:dyDescent="0.3">
      <c r="A9959" t="str">
        <f>"0611838001100"</f>
        <v>0611838001100</v>
      </c>
      <c r="B9959" t="str">
        <f>"LK5100"</f>
        <v>LK5100</v>
      </c>
      <c r="C9959" t="s">
        <v>46571</v>
      </c>
      <c r="D9959" t="s">
        <v>27245</v>
      </c>
      <c r="E9959" t="str">
        <f t="shared" si="155"/>
        <v>001390</v>
      </c>
      <c r="F9959" t="s">
        <v>27246</v>
      </c>
      <c r="G9959" t="s">
        <v>27247</v>
      </c>
      <c r="H9959" t="s">
        <v>27248</v>
      </c>
      <c r="I9959" t="s">
        <v>46572</v>
      </c>
      <c r="J9959" t="s">
        <v>20042</v>
      </c>
      <c r="L9959" t="s">
        <v>27250</v>
      </c>
      <c r="M9959" t="s">
        <v>27251</v>
      </c>
      <c r="N9959" t="s">
        <v>27252</v>
      </c>
      <c r="Q9959" s="1">
        <v>44538</v>
      </c>
      <c r="R9959" t="s">
        <v>27253</v>
      </c>
      <c r="S9959" t="s">
        <v>27254</v>
      </c>
      <c r="T9959" t="s">
        <v>27255</v>
      </c>
    </row>
    <row r="9960" spans="1:20" x14ac:dyDescent="0.3">
      <c r="A9960" t="str">
        <f>"0611838002100"</f>
        <v>0611838002100</v>
      </c>
      <c r="B9960" t="str">
        <f>"LK6119"</f>
        <v>LK6119</v>
      </c>
      <c r="C9960" t="s">
        <v>46573</v>
      </c>
      <c r="D9960" t="s">
        <v>27245</v>
      </c>
      <c r="E9960" t="str">
        <f t="shared" si="155"/>
        <v>001390</v>
      </c>
      <c r="F9960" t="s">
        <v>27246</v>
      </c>
      <c r="G9960" t="s">
        <v>27247</v>
      </c>
      <c r="H9960" t="s">
        <v>27248</v>
      </c>
      <c r="I9960" t="s">
        <v>46574</v>
      </c>
      <c r="J9960" t="s">
        <v>20044</v>
      </c>
      <c r="L9960" t="s">
        <v>27250</v>
      </c>
      <c r="M9960" t="s">
        <v>27251</v>
      </c>
      <c r="N9960" t="s">
        <v>27252</v>
      </c>
      <c r="Q9960" s="1">
        <v>44538</v>
      </c>
      <c r="R9960" t="s">
        <v>27253</v>
      </c>
      <c r="S9960" t="s">
        <v>27254</v>
      </c>
      <c r="T9960" t="s">
        <v>27255</v>
      </c>
    </row>
    <row r="9961" spans="1:20" x14ac:dyDescent="0.3">
      <c r="A9961" t="str">
        <f>"0611838003100"</f>
        <v>0611838003100</v>
      </c>
      <c r="B9961" t="str">
        <f>"LK7029"</f>
        <v>LK7029</v>
      </c>
      <c r="C9961" t="s">
        <v>46575</v>
      </c>
      <c r="D9961" t="s">
        <v>27245</v>
      </c>
      <c r="E9961" t="str">
        <f t="shared" si="155"/>
        <v>001390</v>
      </c>
      <c r="F9961" t="s">
        <v>27246</v>
      </c>
      <c r="G9961" t="s">
        <v>27247</v>
      </c>
      <c r="H9961" t="s">
        <v>27248</v>
      </c>
      <c r="I9961" t="s">
        <v>46576</v>
      </c>
      <c r="J9961" t="s">
        <v>20046</v>
      </c>
      <c r="L9961" t="s">
        <v>27250</v>
      </c>
      <c r="M9961" t="s">
        <v>27251</v>
      </c>
      <c r="N9961" t="s">
        <v>27252</v>
      </c>
      <c r="Q9961" s="1">
        <v>44538</v>
      </c>
      <c r="R9961" t="s">
        <v>27253</v>
      </c>
      <c r="S9961" t="s">
        <v>27254</v>
      </c>
      <c r="T9961" t="s">
        <v>27255</v>
      </c>
    </row>
    <row r="9962" spans="1:20" x14ac:dyDescent="0.3">
      <c r="A9962" t="str">
        <f>"0611838004100"</f>
        <v>0611838004100</v>
      </c>
      <c r="B9962" t="str">
        <f>"LK5101"</f>
        <v>LK5101</v>
      </c>
      <c r="C9962" t="s">
        <v>46577</v>
      </c>
      <c r="D9962" t="s">
        <v>27245</v>
      </c>
      <c r="E9962" t="str">
        <f t="shared" si="155"/>
        <v>001390</v>
      </c>
      <c r="F9962" t="s">
        <v>27246</v>
      </c>
      <c r="G9962" t="s">
        <v>27247</v>
      </c>
      <c r="H9962" t="s">
        <v>27248</v>
      </c>
      <c r="I9962" t="s">
        <v>46578</v>
      </c>
      <c r="J9962" t="s">
        <v>20048</v>
      </c>
      <c r="L9962" t="s">
        <v>27250</v>
      </c>
      <c r="M9962" t="s">
        <v>27251</v>
      </c>
      <c r="N9962" t="s">
        <v>27252</v>
      </c>
      <c r="Q9962" s="1">
        <v>44538</v>
      </c>
      <c r="R9962" t="s">
        <v>27253</v>
      </c>
      <c r="S9962" t="s">
        <v>27254</v>
      </c>
      <c r="T9962" t="s">
        <v>27255</v>
      </c>
    </row>
    <row r="9963" spans="1:20" x14ac:dyDescent="0.3">
      <c r="A9963" t="str">
        <f>"0611838005100"</f>
        <v>0611838005100</v>
      </c>
      <c r="B9963" t="str">
        <f>"LK5102"</f>
        <v>LK5102</v>
      </c>
      <c r="C9963" t="s">
        <v>46579</v>
      </c>
      <c r="D9963" t="s">
        <v>27245</v>
      </c>
      <c r="E9963" t="str">
        <f t="shared" si="155"/>
        <v>001390</v>
      </c>
      <c r="F9963" t="s">
        <v>27246</v>
      </c>
      <c r="G9963" t="s">
        <v>27247</v>
      </c>
      <c r="H9963" t="s">
        <v>27248</v>
      </c>
      <c r="I9963" t="s">
        <v>46580</v>
      </c>
      <c r="J9963" t="s">
        <v>20050</v>
      </c>
      <c r="L9963" t="s">
        <v>27250</v>
      </c>
      <c r="M9963" t="s">
        <v>27251</v>
      </c>
      <c r="N9963" t="s">
        <v>27252</v>
      </c>
      <c r="Q9963" s="1">
        <v>44538</v>
      </c>
      <c r="R9963" t="s">
        <v>27253</v>
      </c>
      <c r="S9963" t="s">
        <v>27254</v>
      </c>
      <c r="T9963" t="s">
        <v>27255</v>
      </c>
    </row>
    <row r="9964" spans="1:20" x14ac:dyDescent="0.3">
      <c r="A9964" t="str">
        <f>"0611838006100"</f>
        <v>0611838006100</v>
      </c>
      <c r="B9964" t="str">
        <f>"LK5103"</f>
        <v>LK5103</v>
      </c>
      <c r="C9964" t="s">
        <v>46581</v>
      </c>
      <c r="D9964" t="s">
        <v>27245</v>
      </c>
      <c r="E9964" t="str">
        <f t="shared" si="155"/>
        <v>001390</v>
      </c>
      <c r="F9964" t="s">
        <v>27246</v>
      </c>
      <c r="G9964" t="s">
        <v>27247</v>
      </c>
      <c r="H9964" t="s">
        <v>27248</v>
      </c>
      <c r="I9964" t="s">
        <v>46582</v>
      </c>
      <c r="J9964" t="s">
        <v>20052</v>
      </c>
      <c r="L9964" t="s">
        <v>27250</v>
      </c>
      <c r="M9964" t="s">
        <v>27251</v>
      </c>
      <c r="N9964" t="s">
        <v>27252</v>
      </c>
      <c r="Q9964" s="1">
        <v>44538</v>
      </c>
      <c r="R9964" t="s">
        <v>27253</v>
      </c>
      <c r="S9964" t="s">
        <v>27254</v>
      </c>
      <c r="T9964" t="s">
        <v>27255</v>
      </c>
    </row>
    <row r="9965" spans="1:20" x14ac:dyDescent="0.3">
      <c r="A9965" t="str">
        <f>"0611838007100"</f>
        <v>0611838007100</v>
      </c>
      <c r="B9965" t="str">
        <f>"LK5881"</f>
        <v>LK5881</v>
      </c>
      <c r="C9965" t="s">
        <v>46583</v>
      </c>
      <c r="D9965" t="s">
        <v>27245</v>
      </c>
      <c r="E9965" t="str">
        <f t="shared" si="155"/>
        <v>001390</v>
      </c>
      <c r="F9965" t="s">
        <v>27246</v>
      </c>
      <c r="G9965" t="s">
        <v>27247</v>
      </c>
      <c r="H9965" t="s">
        <v>27248</v>
      </c>
      <c r="I9965" t="s">
        <v>46584</v>
      </c>
      <c r="J9965" t="s">
        <v>20054</v>
      </c>
      <c r="L9965" t="s">
        <v>27250</v>
      </c>
      <c r="M9965" t="s">
        <v>27251</v>
      </c>
      <c r="N9965" t="s">
        <v>27252</v>
      </c>
      <c r="Q9965" s="1">
        <v>44538</v>
      </c>
      <c r="R9965" t="s">
        <v>27253</v>
      </c>
      <c r="S9965" t="s">
        <v>27254</v>
      </c>
      <c r="T9965" t="s">
        <v>27255</v>
      </c>
    </row>
    <row r="9966" spans="1:20" x14ac:dyDescent="0.3">
      <c r="A9966" t="str">
        <f>"0611838008100"</f>
        <v>0611838008100</v>
      </c>
      <c r="B9966" t="str">
        <f>"LK5104"</f>
        <v>LK5104</v>
      </c>
      <c r="C9966" t="s">
        <v>46585</v>
      </c>
      <c r="D9966" t="s">
        <v>27245</v>
      </c>
      <c r="E9966" t="str">
        <f t="shared" si="155"/>
        <v>001390</v>
      </c>
      <c r="F9966" t="s">
        <v>27246</v>
      </c>
      <c r="G9966" t="s">
        <v>27247</v>
      </c>
      <c r="H9966" t="s">
        <v>27248</v>
      </c>
      <c r="I9966" t="s">
        <v>46586</v>
      </c>
      <c r="J9966" t="s">
        <v>20056</v>
      </c>
      <c r="L9966" t="s">
        <v>27250</v>
      </c>
      <c r="M9966" t="s">
        <v>27251</v>
      </c>
      <c r="N9966" t="s">
        <v>27252</v>
      </c>
      <c r="Q9966" s="1">
        <v>44538</v>
      </c>
      <c r="R9966" t="s">
        <v>27253</v>
      </c>
      <c r="S9966" t="s">
        <v>27254</v>
      </c>
      <c r="T9966" t="s">
        <v>27255</v>
      </c>
    </row>
    <row r="9967" spans="1:20" x14ac:dyDescent="0.3">
      <c r="A9967" t="str">
        <f>"0611838009100"</f>
        <v>0611838009100</v>
      </c>
      <c r="B9967" t="str">
        <f>"LK5105"</f>
        <v>LK5105</v>
      </c>
      <c r="C9967" t="s">
        <v>46587</v>
      </c>
      <c r="D9967" t="s">
        <v>27245</v>
      </c>
      <c r="E9967" t="str">
        <f t="shared" si="155"/>
        <v>001390</v>
      </c>
      <c r="F9967" t="s">
        <v>27246</v>
      </c>
      <c r="G9967" t="s">
        <v>27247</v>
      </c>
      <c r="H9967" t="s">
        <v>27248</v>
      </c>
      <c r="I9967" t="s">
        <v>46588</v>
      </c>
      <c r="J9967" t="s">
        <v>20058</v>
      </c>
      <c r="L9967" t="s">
        <v>27250</v>
      </c>
      <c r="M9967" t="s">
        <v>27251</v>
      </c>
      <c r="N9967" t="s">
        <v>27252</v>
      </c>
      <c r="Q9967" s="1">
        <v>44538</v>
      </c>
      <c r="R9967" t="s">
        <v>27253</v>
      </c>
      <c r="S9967" t="s">
        <v>27254</v>
      </c>
      <c r="T9967" t="s">
        <v>27255</v>
      </c>
    </row>
    <row r="9968" spans="1:20" x14ac:dyDescent="0.3">
      <c r="A9968" t="str">
        <f>"0611838010100"</f>
        <v>0611838010100</v>
      </c>
      <c r="B9968" t="str">
        <f>"LK6120"</f>
        <v>LK6120</v>
      </c>
      <c r="C9968" t="s">
        <v>46589</v>
      </c>
      <c r="D9968" t="s">
        <v>27245</v>
      </c>
      <c r="E9968" t="str">
        <f t="shared" si="155"/>
        <v>001390</v>
      </c>
      <c r="F9968" t="s">
        <v>27246</v>
      </c>
      <c r="G9968" t="s">
        <v>27247</v>
      </c>
      <c r="H9968" t="s">
        <v>27248</v>
      </c>
      <c r="I9968" t="s">
        <v>46590</v>
      </c>
      <c r="J9968" t="s">
        <v>20060</v>
      </c>
      <c r="L9968" t="s">
        <v>27250</v>
      </c>
      <c r="M9968" t="s">
        <v>27251</v>
      </c>
      <c r="N9968" t="s">
        <v>27252</v>
      </c>
      <c r="Q9968" s="1">
        <v>44538</v>
      </c>
      <c r="R9968" t="s">
        <v>27253</v>
      </c>
      <c r="S9968" t="s">
        <v>27254</v>
      </c>
      <c r="T9968" t="s">
        <v>27255</v>
      </c>
    </row>
    <row r="9969" spans="1:20" x14ac:dyDescent="0.3">
      <c r="A9969" t="str">
        <f>"0611838011100"</f>
        <v>0611838011100</v>
      </c>
      <c r="B9969" t="str">
        <f>"LK5106"</f>
        <v>LK5106</v>
      </c>
      <c r="C9969" t="s">
        <v>46591</v>
      </c>
      <c r="D9969" t="s">
        <v>27245</v>
      </c>
      <c r="E9969" t="str">
        <f t="shared" si="155"/>
        <v>001390</v>
      </c>
      <c r="F9969" t="s">
        <v>27246</v>
      </c>
      <c r="G9969" t="s">
        <v>27247</v>
      </c>
      <c r="H9969" t="s">
        <v>27248</v>
      </c>
      <c r="I9969" t="s">
        <v>46592</v>
      </c>
      <c r="J9969" t="s">
        <v>20062</v>
      </c>
      <c r="L9969" t="s">
        <v>27250</v>
      </c>
      <c r="M9969" t="s">
        <v>27251</v>
      </c>
      <c r="N9969" t="s">
        <v>27252</v>
      </c>
      <c r="Q9969" s="1">
        <v>44538</v>
      </c>
      <c r="R9969" t="s">
        <v>27253</v>
      </c>
      <c r="S9969" t="s">
        <v>27254</v>
      </c>
      <c r="T9969" t="s">
        <v>27255</v>
      </c>
    </row>
    <row r="9970" spans="1:20" x14ac:dyDescent="0.3">
      <c r="A9970" t="str">
        <f>"0611838012100"</f>
        <v>0611838012100</v>
      </c>
      <c r="B9970" t="str">
        <f>"LK5107"</f>
        <v>LK5107</v>
      </c>
      <c r="C9970" t="s">
        <v>46593</v>
      </c>
      <c r="D9970" t="s">
        <v>27245</v>
      </c>
      <c r="E9970" t="str">
        <f t="shared" si="155"/>
        <v>001390</v>
      </c>
      <c r="F9970" t="s">
        <v>27246</v>
      </c>
      <c r="G9970" t="s">
        <v>27247</v>
      </c>
      <c r="H9970" t="s">
        <v>27248</v>
      </c>
      <c r="I9970" t="s">
        <v>46594</v>
      </c>
      <c r="J9970" t="s">
        <v>20064</v>
      </c>
      <c r="L9970" t="s">
        <v>27250</v>
      </c>
      <c r="M9970" t="s">
        <v>27251</v>
      </c>
      <c r="N9970" t="s">
        <v>27252</v>
      </c>
      <c r="Q9970" s="1">
        <v>44538</v>
      </c>
      <c r="R9970" t="s">
        <v>27253</v>
      </c>
      <c r="S9970" t="s">
        <v>27254</v>
      </c>
      <c r="T9970" t="s">
        <v>27255</v>
      </c>
    </row>
    <row r="9971" spans="1:20" x14ac:dyDescent="0.3">
      <c r="A9971" t="str">
        <f>"0611838013100"</f>
        <v>0611838013100</v>
      </c>
      <c r="B9971" t="str">
        <f>"LK5108"</f>
        <v>LK5108</v>
      </c>
      <c r="C9971" t="s">
        <v>46595</v>
      </c>
      <c r="D9971" t="s">
        <v>27245</v>
      </c>
      <c r="E9971" t="str">
        <f t="shared" si="155"/>
        <v>001390</v>
      </c>
      <c r="F9971" t="s">
        <v>27246</v>
      </c>
      <c r="G9971" t="s">
        <v>27247</v>
      </c>
      <c r="H9971" t="s">
        <v>27248</v>
      </c>
      <c r="I9971" t="s">
        <v>46596</v>
      </c>
      <c r="J9971" t="s">
        <v>20066</v>
      </c>
      <c r="L9971" t="s">
        <v>27250</v>
      </c>
      <c r="M9971" t="s">
        <v>27251</v>
      </c>
      <c r="N9971" t="s">
        <v>27252</v>
      </c>
      <c r="Q9971" s="1">
        <v>44538</v>
      </c>
      <c r="R9971" t="s">
        <v>27253</v>
      </c>
      <c r="S9971" t="s">
        <v>27254</v>
      </c>
      <c r="T9971" t="s">
        <v>27255</v>
      </c>
    </row>
    <row r="9972" spans="1:20" x14ac:dyDescent="0.3">
      <c r="A9972" t="str">
        <f>"0611838014100"</f>
        <v>0611838014100</v>
      </c>
      <c r="B9972" t="str">
        <f>"LK6121"</f>
        <v>LK6121</v>
      </c>
      <c r="C9972" t="s">
        <v>46597</v>
      </c>
      <c r="D9972" t="s">
        <v>27245</v>
      </c>
      <c r="E9972" t="str">
        <f t="shared" si="155"/>
        <v>001390</v>
      </c>
      <c r="F9972" t="s">
        <v>27246</v>
      </c>
      <c r="G9972" t="s">
        <v>27247</v>
      </c>
      <c r="H9972" t="s">
        <v>27248</v>
      </c>
      <c r="I9972" t="s">
        <v>46598</v>
      </c>
      <c r="J9972" t="s">
        <v>20068</v>
      </c>
      <c r="L9972" t="s">
        <v>27250</v>
      </c>
      <c r="M9972" t="s">
        <v>27251</v>
      </c>
      <c r="N9972" t="s">
        <v>27252</v>
      </c>
      <c r="Q9972" s="1">
        <v>44538</v>
      </c>
      <c r="R9972" t="s">
        <v>27253</v>
      </c>
      <c r="S9972" t="s">
        <v>27254</v>
      </c>
      <c r="T9972" t="s">
        <v>27255</v>
      </c>
    </row>
    <row r="9973" spans="1:20" x14ac:dyDescent="0.3">
      <c r="A9973" t="str">
        <f>"0611838015100"</f>
        <v>0611838015100</v>
      </c>
      <c r="B9973" t="str">
        <f>"LK7030"</f>
        <v>LK7030</v>
      </c>
      <c r="C9973" t="s">
        <v>46599</v>
      </c>
      <c r="D9973" t="s">
        <v>27245</v>
      </c>
      <c r="E9973" t="str">
        <f t="shared" si="155"/>
        <v>001390</v>
      </c>
      <c r="F9973" t="s">
        <v>27246</v>
      </c>
      <c r="G9973" t="s">
        <v>27247</v>
      </c>
      <c r="H9973" t="s">
        <v>27248</v>
      </c>
      <c r="I9973" t="s">
        <v>46600</v>
      </c>
      <c r="J9973" t="s">
        <v>20070</v>
      </c>
      <c r="L9973" t="s">
        <v>27250</v>
      </c>
      <c r="M9973" t="s">
        <v>27251</v>
      </c>
      <c r="N9973" t="s">
        <v>27252</v>
      </c>
      <c r="Q9973" s="1">
        <v>44538</v>
      </c>
      <c r="R9973" t="s">
        <v>27253</v>
      </c>
      <c r="S9973" t="s">
        <v>27254</v>
      </c>
      <c r="T9973" t="s">
        <v>27255</v>
      </c>
    </row>
    <row r="9974" spans="1:20" x14ac:dyDescent="0.3">
      <c r="A9974" t="str">
        <f>"0611838016100"</f>
        <v>0611838016100</v>
      </c>
      <c r="B9974" t="str">
        <f>"LK5109"</f>
        <v>LK5109</v>
      </c>
      <c r="C9974" t="s">
        <v>46601</v>
      </c>
      <c r="D9974" t="s">
        <v>27245</v>
      </c>
      <c r="E9974" t="str">
        <f t="shared" si="155"/>
        <v>001390</v>
      </c>
      <c r="F9974" t="s">
        <v>27246</v>
      </c>
      <c r="G9974" t="s">
        <v>27247</v>
      </c>
      <c r="H9974" t="s">
        <v>27248</v>
      </c>
      <c r="I9974" t="s">
        <v>46602</v>
      </c>
      <c r="J9974" t="s">
        <v>20072</v>
      </c>
      <c r="L9974" t="s">
        <v>27250</v>
      </c>
      <c r="M9974" t="s">
        <v>27251</v>
      </c>
      <c r="N9974" t="s">
        <v>27252</v>
      </c>
      <c r="Q9974" s="1">
        <v>44538</v>
      </c>
      <c r="R9974" t="s">
        <v>27253</v>
      </c>
      <c r="S9974" t="s">
        <v>27254</v>
      </c>
      <c r="T9974" t="s">
        <v>27255</v>
      </c>
    </row>
    <row r="9975" spans="1:20" x14ac:dyDescent="0.3">
      <c r="A9975" t="str">
        <f>"0611838017100"</f>
        <v>0611838017100</v>
      </c>
      <c r="B9975" t="str">
        <f>"LK5110"</f>
        <v>LK5110</v>
      </c>
      <c r="C9975" t="s">
        <v>46603</v>
      </c>
      <c r="D9975" t="s">
        <v>27245</v>
      </c>
      <c r="E9975" t="str">
        <f t="shared" si="155"/>
        <v>001390</v>
      </c>
      <c r="F9975" t="s">
        <v>27246</v>
      </c>
      <c r="G9975" t="s">
        <v>27247</v>
      </c>
      <c r="H9975" t="s">
        <v>27248</v>
      </c>
      <c r="I9975" t="s">
        <v>46604</v>
      </c>
      <c r="J9975" t="s">
        <v>20074</v>
      </c>
      <c r="L9975" t="s">
        <v>27250</v>
      </c>
      <c r="M9975" t="s">
        <v>27251</v>
      </c>
      <c r="N9975" t="s">
        <v>27252</v>
      </c>
      <c r="Q9975" s="1">
        <v>44538</v>
      </c>
      <c r="R9975" t="s">
        <v>27253</v>
      </c>
      <c r="S9975" t="s">
        <v>27254</v>
      </c>
      <c r="T9975" t="s">
        <v>27255</v>
      </c>
    </row>
    <row r="9976" spans="1:20" x14ac:dyDescent="0.3">
      <c r="A9976" t="str">
        <f>"0611838018100"</f>
        <v>0611838018100</v>
      </c>
      <c r="B9976" t="str">
        <f>"LK5111"</f>
        <v>LK5111</v>
      </c>
      <c r="C9976" t="s">
        <v>46605</v>
      </c>
      <c r="D9976" t="s">
        <v>27245</v>
      </c>
      <c r="E9976" t="str">
        <f t="shared" si="155"/>
        <v>001390</v>
      </c>
      <c r="F9976" t="s">
        <v>27246</v>
      </c>
      <c r="G9976" t="s">
        <v>27247</v>
      </c>
      <c r="H9976" t="s">
        <v>27248</v>
      </c>
      <c r="I9976" t="s">
        <v>46606</v>
      </c>
      <c r="J9976" t="s">
        <v>20076</v>
      </c>
      <c r="L9976" t="s">
        <v>27250</v>
      </c>
      <c r="M9976" t="s">
        <v>27251</v>
      </c>
      <c r="N9976" t="s">
        <v>27252</v>
      </c>
      <c r="Q9976" s="1">
        <v>44538</v>
      </c>
      <c r="R9976" t="s">
        <v>27253</v>
      </c>
      <c r="S9976" t="s">
        <v>27254</v>
      </c>
      <c r="T9976" t="s">
        <v>27255</v>
      </c>
    </row>
    <row r="9977" spans="1:20" x14ac:dyDescent="0.3">
      <c r="A9977" t="str">
        <f>"0611838019100"</f>
        <v>0611838019100</v>
      </c>
      <c r="B9977" t="str">
        <f>"LK5112"</f>
        <v>LK5112</v>
      </c>
      <c r="C9977" t="s">
        <v>46607</v>
      </c>
      <c r="D9977" t="s">
        <v>27245</v>
      </c>
      <c r="E9977" t="str">
        <f t="shared" si="155"/>
        <v>001390</v>
      </c>
      <c r="F9977" t="s">
        <v>27246</v>
      </c>
      <c r="G9977" t="s">
        <v>27247</v>
      </c>
      <c r="H9977" t="s">
        <v>27248</v>
      </c>
      <c r="I9977" t="s">
        <v>46608</v>
      </c>
      <c r="J9977" t="s">
        <v>20078</v>
      </c>
      <c r="L9977" t="s">
        <v>27250</v>
      </c>
      <c r="M9977" t="s">
        <v>27251</v>
      </c>
      <c r="N9977" t="s">
        <v>27252</v>
      </c>
      <c r="Q9977" s="1">
        <v>44538</v>
      </c>
      <c r="R9977" t="s">
        <v>27253</v>
      </c>
      <c r="S9977" t="s">
        <v>27254</v>
      </c>
      <c r="T9977" t="s">
        <v>27255</v>
      </c>
    </row>
    <row r="9978" spans="1:20" x14ac:dyDescent="0.3">
      <c r="A9978" t="str">
        <f>"0611838020100"</f>
        <v>0611838020100</v>
      </c>
      <c r="B9978" t="str">
        <f>"LK5113"</f>
        <v>LK5113</v>
      </c>
      <c r="C9978" t="s">
        <v>46609</v>
      </c>
      <c r="D9978" t="s">
        <v>27245</v>
      </c>
      <c r="E9978" t="str">
        <f t="shared" si="155"/>
        <v>001390</v>
      </c>
      <c r="F9978" t="s">
        <v>27246</v>
      </c>
      <c r="G9978" t="s">
        <v>27247</v>
      </c>
      <c r="H9978" t="s">
        <v>27248</v>
      </c>
      <c r="I9978" t="s">
        <v>46610</v>
      </c>
      <c r="J9978" t="s">
        <v>20080</v>
      </c>
      <c r="L9978" t="s">
        <v>27250</v>
      </c>
      <c r="M9978" t="s">
        <v>27251</v>
      </c>
      <c r="N9978" t="s">
        <v>27252</v>
      </c>
      <c r="Q9978" s="1">
        <v>44538</v>
      </c>
      <c r="R9978" t="s">
        <v>27253</v>
      </c>
      <c r="S9978" t="s">
        <v>27254</v>
      </c>
      <c r="T9978" t="s">
        <v>27255</v>
      </c>
    </row>
    <row r="9979" spans="1:20" x14ac:dyDescent="0.3">
      <c r="A9979" t="str">
        <f>"0611838021100"</f>
        <v>0611838021100</v>
      </c>
      <c r="B9979" t="str">
        <f>"LK5114"</f>
        <v>LK5114</v>
      </c>
      <c r="C9979" t="s">
        <v>46611</v>
      </c>
      <c r="D9979" t="s">
        <v>27245</v>
      </c>
      <c r="E9979" t="str">
        <f t="shared" si="155"/>
        <v>001390</v>
      </c>
      <c r="F9979" t="s">
        <v>27246</v>
      </c>
      <c r="G9979" t="s">
        <v>27247</v>
      </c>
      <c r="H9979" t="s">
        <v>27248</v>
      </c>
      <c r="I9979" t="s">
        <v>46612</v>
      </c>
      <c r="J9979" t="s">
        <v>20082</v>
      </c>
      <c r="L9979" t="s">
        <v>27250</v>
      </c>
      <c r="M9979" t="s">
        <v>27251</v>
      </c>
      <c r="N9979" t="s">
        <v>27252</v>
      </c>
      <c r="Q9979" s="1">
        <v>44538</v>
      </c>
      <c r="R9979" t="s">
        <v>27253</v>
      </c>
      <c r="S9979" t="s">
        <v>27254</v>
      </c>
      <c r="T9979" t="s">
        <v>27255</v>
      </c>
    </row>
    <row r="9980" spans="1:20" x14ac:dyDescent="0.3">
      <c r="A9980" t="str">
        <f>"0611838022100"</f>
        <v>0611838022100</v>
      </c>
      <c r="B9980" t="str">
        <f>"LK5882"</f>
        <v>LK5882</v>
      </c>
      <c r="C9980" t="s">
        <v>46613</v>
      </c>
      <c r="D9980" t="s">
        <v>27245</v>
      </c>
      <c r="E9980" t="str">
        <f t="shared" si="155"/>
        <v>001390</v>
      </c>
      <c r="F9980" t="s">
        <v>27246</v>
      </c>
      <c r="G9980" t="s">
        <v>27247</v>
      </c>
      <c r="H9980" t="s">
        <v>27248</v>
      </c>
      <c r="I9980" t="s">
        <v>46614</v>
      </c>
      <c r="J9980" t="s">
        <v>20084</v>
      </c>
      <c r="L9980" t="s">
        <v>27250</v>
      </c>
      <c r="M9980" t="s">
        <v>27251</v>
      </c>
      <c r="N9980" t="s">
        <v>27252</v>
      </c>
      <c r="Q9980" s="1">
        <v>44538</v>
      </c>
      <c r="R9980" t="s">
        <v>27253</v>
      </c>
      <c r="S9980" t="s">
        <v>27254</v>
      </c>
      <c r="T9980" t="s">
        <v>27255</v>
      </c>
    </row>
    <row r="9981" spans="1:20" x14ac:dyDescent="0.3">
      <c r="A9981" t="str">
        <f>"0611838023100"</f>
        <v>0611838023100</v>
      </c>
      <c r="B9981" t="str">
        <f>"LK5115"</f>
        <v>LK5115</v>
      </c>
      <c r="C9981" t="s">
        <v>46615</v>
      </c>
      <c r="D9981" t="s">
        <v>27245</v>
      </c>
      <c r="E9981" t="str">
        <f t="shared" si="155"/>
        <v>001390</v>
      </c>
      <c r="F9981" t="s">
        <v>27246</v>
      </c>
      <c r="G9981" t="s">
        <v>27247</v>
      </c>
      <c r="H9981" t="s">
        <v>27248</v>
      </c>
      <c r="I9981" t="s">
        <v>46616</v>
      </c>
      <c r="J9981" t="s">
        <v>20086</v>
      </c>
      <c r="L9981" t="s">
        <v>27250</v>
      </c>
      <c r="M9981" t="s">
        <v>27251</v>
      </c>
      <c r="N9981" t="s">
        <v>27252</v>
      </c>
      <c r="Q9981" s="1">
        <v>44538</v>
      </c>
      <c r="R9981" t="s">
        <v>27253</v>
      </c>
      <c r="S9981" t="s">
        <v>27254</v>
      </c>
      <c r="T9981" t="s">
        <v>27255</v>
      </c>
    </row>
    <row r="9982" spans="1:20" x14ac:dyDescent="0.3">
      <c r="A9982" t="str">
        <f>"0611838024100"</f>
        <v>0611838024100</v>
      </c>
      <c r="B9982" t="str">
        <f>"LB6436"</f>
        <v>LB6436</v>
      </c>
      <c r="C9982" t="s">
        <v>46617</v>
      </c>
      <c r="D9982" t="s">
        <v>28138</v>
      </c>
      <c r="E9982" t="str">
        <f t="shared" si="155"/>
        <v>001390</v>
      </c>
      <c r="F9982" t="s">
        <v>27246</v>
      </c>
      <c r="G9982" t="s">
        <v>27247</v>
      </c>
      <c r="H9982" t="s">
        <v>27248</v>
      </c>
      <c r="I9982" t="s">
        <v>46618</v>
      </c>
      <c r="J9982" t="s">
        <v>20088</v>
      </c>
      <c r="L9982" t="s">
        <v>27250</v>
      </c>
      <c r="M9982" t="s">
        <v>27251</v>
      </c>
      <c r="N9982" t="s">
        <v>27252</v>
      </c>
      <c r="P9982" t="s">
        <v>27925</v>
      </c>
      <c r="Q9982" s="1">
        <v>44538</v>
      </c>
      <c r="R9982" t="s">
        <v>27253</v>
      </c>
      <c r="S9982" t="s">
        <v>27254</v>
      </c>
      <c r="T9982" t="s">
        <v>27255</v>
      </c>
    </row>
    <row r="9983" spans="1:20" x14ac:dyDescent="0.3">
      <c r="A9983" t="str">
        <f>"0611838025100"</f>
        <v>0611838025100</v>
      </c>
      <c r="B9983" t="str">
        <f>"LK5307"</f>
        <v>LK5307</v>
      </c>
      <c r="C9983" t="s">
        <v>46619</v>
      </c>
      <c r="D9983" t="s">
        <v>27245</v>
      </c>
      <c r="E9983" t="str">
        <f t="shared" si="155"/>
        <v>001390</v>
      </c>
      <c r="F9983" t="s">
        <v>27246</v>
      </c>
      <c r="G9983" t="s">
        <v>27247</v>
      </c>
      <c r="H9983" t="s">
        <v>27248</v>
      </c>
      <c r="I9983" t="s">
        <v>46620</v>
      </c>
      <c r="J9983" t="s">
        <v>20090</v>
      </c>
      <c r="L9983" t="s">
        <v>27250</v>
      </c>
      <c r="M9983" t="s">
        <v>27251</v>
      </c>
      <c r="N9983" t="s">
        <v>27252</v>
      </c>
      <c r="Q9983" s="1">
        <v>44538</v>
      </c>
      <c r="R9983" t="s">
        <v>27253</v>
      </c>
      <c r="S9983" t="s">
        <v>27254</v>
      </c>
      <c r="T9983" t="s">
        <v>27255</v>
      </c>
    </row>
    <row r="9984" spans="1:20" x14ac:dyDescent="0.3">
      <c r="A9984" t="str">
        <f>"0611838026100"</f>
        <v>0611838026100</v>
      </c>
      <c r="B9984" t="str">
        <f>"LK0063"</f>
        <v>LK0063</v>
      </c>
      <c r="C9984" t="s">
        <v>46621</v>
      </c>
      <c r="D9984" t="s">
        <v>28138</v>
      </c>
      <c r="E9984" t="str">
        <f t="shared" si="155"/>
        <v>001390</v>
      </c>
      <c r="F9984" t="s">
        <v>27246</v>
      </c>
      <c r="G9984" t="s">
        <v>27247</v>
      </c>
      <c r="H9984" t="s">
        <v>27248</v>
      </c>
      <c r="I9984" t="s">
        <v>46622</v>
      </c>
      <c r="J9984" t="s">
        <v>20092</v>
      </c>
      <c r="L9984" t="s">
        <v>27250</v>
      </c>
      <c r="M9984" t="s">
        <v>27251</v>
      </c>
      <c r="N9984" t="s">
        <v>27252</v>
      </c>
      <c r="P9984" t="s">
        <v>27925</v>
      </c>
      <c r="Q9984" s="1">
        <v>44538</v>
      </c>
      <c r="R9984" t="s">
        <v>27253</v>
      </c>
      <c r="S9984" t="s">
        <v>27254</v>
      </c>
      <c r="T9984" t="s">
        <v>27255</v>
      </c>
    </row>
    <row r="9985" spans="1:20" x14ac:dyDescent="0.3">
      <c r="A9985" t="str">
        <f>"0611838041100"</f>
        <v>0611838041100</v>
      </c>
      <c r="B9985" t="str">
        <f>"LQ5974"</f>
        <v>LQ5974</v>
      </c>
      <c r="C9985" t="s">
        <v>46623</v>
      </c>
      <c r="D9985" t="s">
        <v>27245</v>
      </c>
      <c r="E9985" t="str">
        <f t="shared" si="155"/>
        <v>001390</v>
      </c>
      <c r="F9985" t="s">
        <v>27246</v>
      </c>
      <c r="G9985" t="s">
        <v>27247</v>
      </c>
      <c r="H9985" t="s">
        <v>27248</v>
      </c>
      <c r="I9985" t="s">
        <v>46624</v>
      </c>
      <c r="J9985" t="s">
        <v>20094</v>
      </c>
      <c r="L9985" t="s">
        <v>27250</v>
      </c>
      <c r="M9985" t="s">
        <v>27251</v>
      </c>
      <c r="N9985" t="s">
        <v>27252</v>
      </c>
      <c r="Q9985" s="1">
        <v>44538</v>
      </c>
      <c r="R9985" t="s">
        <v>27253</v>
      </c>
      <c r="S9985" t="s">
        <v>27254</v>
      </c>
      <c r="T9985" t="s">
        <v>27255</v>
      </c>
    </row>
    <row r="9986" spans="1:20" x14ac:dyDescent="0.3">
      <c r="A9986" t="str">
        <f>"0611838042100"</f>
        <v>0611838042100</v>
      </c>
      <c r="B9986" t="str">
        <f>"LQ5886"</f>
        <v>LQ5886</v>
      </c>
      <c r="C9986" t="s">
        <v>46625</v>
      </c>
      <c r="D9986" t="s">
        <v>27245</v>
      </c>
      <c r="E9986" t="str">
        <f t="shared" ref="E9986:E10049" si="156">"001390"</f>
        <v>001390</v>
      </c>
      <c r="F9986" t="s">
        <v>27246</v>
      </c>
      <c r="G9986" t="s">
        <v>27247</v>
      </c>
      <c r="H9986" t="s">
        <v>27248</v>
      </c>
      <c r="I9986" t="s">
        <v>46626</v>
      </c>
      <c r="J9986" t="s">
        <v>20096</v>
      </c>
      <c r="L9986" t="s">
        <v>27250</v>
      </c>
      <c r="M9986" t="s">
        <v>27251</v>
      </c>
      <c r="N9986" t="s">
        <v>27252</v>
      </c>
      <c r="Q9986" s="1">
        <v>44538</v>
      </c>
      <c r="R9986" t="s">
        <v>27253</v>
      </c>
      <c r="S9986" t="s">
        <v>27254</v>
      </c>
      <c r="T9986" t="s">
        <v>27255</v>
      </c>
    </row>
    <row r="9987" spans="1:20" x14ac:dyDescent="0.3">
      <c r="A9987" t="str">
        <f>"0611838043100"</f>
        <v>0611838043100</v>
      </c>
      <c r="B9987" t="str">
        <f>"LQ6030"</f>
        <v>LQ6030</v>
      </c>
      <c r="C9987" t="s">
        <v>46627</v>
      </c>
      <c r="D9987" t="s">
        <v>27245</v>
      </c>
      <c r="E9987" t="str">
        <f t="shared" si="156"/>
        <v>001390</v>
      </c>
      <c r="F9987" t="s">
        <v>27246</v>
      </c>
      <c r="G9987" t="s">
        <v>27247</v>
      </c>
      <c r="H9987" t="s">
        <v>27248</v>
      </c>
      <c r="I9987" t="s">
        <v>46628</v>
      </c>
      <c r="J9987" t="s">
        <v>20098</v>
      </c>
      <c r="L9987" t="s">
        <v>27250</v>
      </c>
      <c r="M9987" t="s">
        <v>27251</v>
      </c>
      <c r="N9987" t="s">
        <v>27252</v>
      </c>
      <c r="Q9987" s="1">
        <v>44538</v>
      </c>
      <c r="R9987" t="s">
        <v>27253</v>
      </c>
      <c r="S9987" t="s">
        <v>27254</v>
      </c>
      <c r="T9987" t="s">
        <v>27255</v>
      </c>
    </row>
    <row r="9988" spans="1:20" x14ac:dyDescent="0.3">
      <c r="A9988" t="str">
        <f>"0611838044100"</f>
        <v>0611838044100</v>
      </c>
      <c r="B9988" t="str">
        <f>"LQ5975"</f>
        <v>LQ5975</v>
      </c>
      <c r="C9988" t="s">
        <v>46629</v>
      </c>
      <c r="D9988" t="s">
        <v>27245</v>
      </c>
      <c r="E9988" t="str">
        <f t="shared" si="156"/>
        <v>001390</v>
      </c>
      <c r="F9988" t="s">
        <v>27246</v>
      </c>
      <c r="G9988" t="s">
        <v>27247</v>
      </c>
      <c r="H9988" t="s">
        <v>27248</v>
      </c>
      <c r="I9988" t="s">
        <v>46630</v>
      </c>
      <c r="J9988" t="s">
        <v>20100</v>
      </c>
      <c r="L9988" t="s">
        <v>27250</v>
      </c>
      <c r="M9988" t="s">
        <v>27251</v>
      </c>
      <c r="N9988" t="s">
        <v>27252</v>
      </c>
      <c r="Q9988" s="1">
        <v>44538</v>
      </c>
      <c r="R9988" t="s">
        <v>27253</v>
      </c>
      <c r="S9988" t="s">
        <v>27254</v>
      </c>
      <c r="T9988" t="s">
        <v>27255</v>
      </c>
    </row>
    <row r="9989" spans="1:20" x14ac:dyDescent="0.3">
      <c r="A9989" t="str">
        <f>"0611838045100"</f>
        <v>0611838045100</v>
      </c>
      <c r="B9989" t="str">
        <f>"LQ6212"</f>
        <v>LQ6212</v>
      </c>
      <c r="C9989" t="s">
        <v>46631</v>
      </c>
      <c r="D9989" t="s">
        <v>27245</v>
      </c>
      <c r="E9989" t="str">
        <f t="shared" si="156"/>
        <v>001390</v>
      </c>
      <c r="F9989" t="s">
        <v>27246</v>
      </c>
      <c r="G9989" t="s">
        <v>27247</v>
      </c>
      <c r="H9989" t="s">
        <v>27248</v>
      </c>
      <c r="I9989" t="s">
        <v>46632</v>
      </c>
      <c r="J9989" t="s">
        <v>20102</v>
      </c>
      <c r="L9989" t="s">
        <v>27250</v>
      </c>
      <c r="M9989" t="s">
        <v>27251</v>
      </c>
      <c r="N9989" t="s">
        <v>27252</v>
      </c>
      <c r="Q9989" s="1">
        <v>44538</v>
      </c>
      <c r="R9989" t="s">
        <v>27253</v>
      </c>
      <c r="S9989" t="s">
        <v>27254</v>
      </c>
      <c r="T9989" t="s">
        <v>27255</v>
      </c>
    </row>
    <row r="9990" spans="1:20" x14ac:dyDescent="0.3">
      <c r="A9990" t="str">
        <f>"0611838047100"</f>
        <v>0611838047100</v>
      </c>
      <c r="B9990" t="str">
        <f>"LQ6031"</f>
        <v>LQ6031</v>
      </c>
      <c r="C9990" t="s">
        <v>46633</v>
      </c>
      <c r="D9990" t="s">
        <v>27245</v>
      </c>
      <c r="E9990" t="str">
        <f t="shared" si="156"/>
        <v>001390</v>
      </c>
      <c r="F9990" t="s">
        <v>27246</v>
      </c>
      <c r="G9990" t="s">
        <v>27247</v>
      </c>
      <c r="H9990" t="s">
        <v>27248</v>
      </c>
      <c r="I9990" t="s">
        <v>46634</v>
      </c>
      <c r="J9990" t="s">
        <v>20104</v>
      </c>
      <c r="L9990" t="s">
        <v>27250</v>
      </c>
      <c r="M9990" t="s">
        <v>27251</v>
      </c>
      <c r="N9990" t="s">
        <v>27252</v>
      </c>
      <c r="Q9990" s="1">
        <v>44538</v>
      </c>
      <c r="R9990" t="s">
        <v>27253</v>
      </c>
      <c r="S9990" t="s">
        <v>27254</v>
      </c>
      <c r="T9990" t="s">
        <v>27255</v>
      </c>
    </row>
    <row r="9991" spans="1:20" x14ac:dyDescent="0.3">
      <c r="A9991" t="str">
        <f>"0611838048100"</f>
        <v>0611838048100</v>
      </c>
      <c r="B9991" t="str">
        <f>"LQ6148"</f>
        <v>LQ6148</v>
      </c>
      <c r="C9991" t="s">
        <v>46635</v>
      </c>
      <c r="D9991" t="s">
        <v>27245</v>
      </c>
      <c r="E9991" t="str">
        <f t="shared" si="156"/>
        <v>001390</v>
      </c>
      <c r="F9991" t="s">
        <v>27246</v>
      </c>
      <c r="G9991" t="s">
        <v>27247</v>
      </c>
      <c r="H9991" t="s">
        <v>27248</v>
      </c>
      <c r="I9991" t="s">
        <v>46636</v>
      </c>
      <c r="J9991" t="s">
        <v>20106</v>
      </c>
      <c r="L9991" t="s">
        <v>27250</v>
      </c>
      <c r="M9991" t="s">
        <v>27251</v>
      </c>
      <c r="N9991" t="s">
        <v>27252</v>
      </c>
      <c r="Q9991" s="1">
        <v>44538</v>
      </c>
      <c r="R9991" t="s">
        <v>27253</v>
      </c>
      <c r="S9991" t="s">
        <v>27254</v>
      </c>
      <c r="T9991" t="s">
        <v>27255</v>
      </c>
    </row>
    <row r="9992" spans="1:20" x14ac:dyDescent="0.3">
      <c r="A9992" t="str">
        <f>"0611838049100"</f>
        <v>0611838049100</v>
      </c>
      <c r="B9992" t="str">
        <f>"LQ5541"</f>
        <v>LQ5541</v>
      </c>
      <c r="C9992" t="s">
        <v>46637</v>
      </c>
      <c r="D9992" t="s">
        <v>27245</v>
      </c>
      <c r="E9992" t="str">
        <f t="shared" si="156"/>
        <v>001390</v>
      </c>
      <c r="F9992" t="s">
        <v>27246</v>
      </c>
      <c r="G9992" t="s">
        <v>27247</v>
      </c>
      <c r="H9992" t="s">
        <v>27248</v>
      </c>
      <c r="I9992" t="s">
        <v>46638</v>
      </c>
      <c r="J9992" t="s">
        <v>20108</v>
      </c>
      <c r="L9992" t="s">
        <v>27250</v>
      </c>
      <c r="M9992" t="s">
        <v>27251</v>
      </c>
      <c r="N9992" t="s">
        <v>27252</v>
      </c>
      <c r="Q9992" s="1">
        <v>44538</v>
      </c>
      <c r="R9992" t="s">
        <v>27253</v>
      </c>
      <c r="S9992" t="s">
        <v>27254</v>
      </c>
      <c r="T9992" t="s">
        <v>27255</v>
      </c>
    </row>
    <row r="9993" spans="1:20" x14ac:dyDescent="0.3">
      <c r="A9993" t="str">
        <f>"0611838050100"</f>
        <v>0611838050100</v>
      </c>
      <c r="B9993" t="str">
        <f>"LQ5542"</f>
        <v>LQ5542</v>
      </c>
      <c r="C9993" t="s">
        <v>46639</v>
      </c>
      <c r="D9993" t="s">
        <v>27245</v>
      </c>
      <c r="E9993" t="str">
        <f t="shared" si="156"/>
        <v>001390</v>
      </c>
      <c r="F9993" t="s">
        <v>27246</v>
      </c>
      <c r="G9993" t="s">
        <v>27247</v>
      </c>
      <c r="H9993" t="s">
        <v>27248</v>
      </c>
      <c r="I9993" t="s">
        <v>46640</v>
      </c>
      <c r="J9993" t="s">
        <v>20110</v>
      </c>
      <c r="L9993" t="s">
        <v>27250</v>
      </c>
      <c r="M9993" t="s">
        <v>27251</v>
      </c>
      <c r="N9993" t="s">
        <v>27252</v>
      </c>
      <c r="Q9993" s="1">
        <v>44538</v>
      </c>
      <c r="R9993" t="s">
        <v>27253</v>
      </c>
      <c r="S9993" t="s">
        <v>27254</v>
      </c>
      <c r="T9993" t="s">
        <v>27255</v>
      </c>
    </row>
    <row r="9994" spans="1:20" x14ac:dyDescent="0.3">
      <c r="A9994" t="str">
        <f>"0611838051100"</f>
        <v>0611838051100</v>
      </c>
      <c r="B9994" t="str">
        <f>"LQ5543"</f>
        <v>LQ5543</v>
      </c>
      <c r="C9994" t="s">
        <v>46641</v>
      </c>
      <c r="D9994" t="s">
        <v>27245</v>
      </c>
      <c r="E9994" t="str">
        <f t="shared" si="156"/>
        <v>001390</v>
      </c>
      <c r="F9994" t="s">
        <v>27246</v>
      </c>
      <c r="G9994" t="s">
        <v>27247</v>
      </c>
      <c r="H9994" t="s">
        <v>27248</v>
      </c>
      <c r="I9994" t="s">
        <v>46642</v>
      </c>
      <c r="J9994" t="s">
        <v>20112</v>
      </c>
      <c r="L9994" t="s">
        <v>27250</v>
      </c>
      <c r="M9994" t="s">
        <v>27251</v>
      </c>
      <c r="N9994" t="s">
        <v>27252</v>
      </c>
      <c r="Q9994" s="1">
        <v>44538</v>
      </c>
      <c r="R9994" t="s">
        <v>27253</v>
      </c>
      <c r="S9994" t="s">
        <v>27254</v>
      </c>
      <c r="T9994" t="s">
        <v>27255</v>
      </c>
    </row>
    <row r="9995" spans="1:20" x14ac:dyDescent="0.3">
      <c r="A9995" t="str">
        <f>"0611838052100"</f>
        <v>0611838052100</v>
      </c>
      <c r="B9995" t="str">
        <f>"LQ5887"</f>
        <v>LQ5887</v>
      </c>
      <c r="C9995" t="s">
        <v>46643</v>
      </c>
      <c r="D9995" t="s">
        <v>27245</v>
      </c>
      <c r="E9995" t="str">
        <f t="shared" si="156"/>
        <v>001390</v>
      </c>
      <c r="F9995" t="s">
        <v>27246</v>
      </c>
      <c r="G9995" t="s">
        <v>27247</v>
      </c>
      <c r="H9995" t="s">
        <v>27248</v>
      </c>
      <c r="I9995" t="s">
        <v>46644</v>
      </c>
      <c r="J9995" t="s">
        <v>20114</v>
      </c>
      <c r="L9995" t="s">
        <v>27250</v>
      </c>
      <c r="M9995" t="s">
        <v>27251</v>
      </c>
      <c r="N9995" t="s">
        <v>27252</v>
      </c>
      <c r="Q9995" s="1">
        <v>44538</v>
      </c>
      <c r="R9995" t="s">
        <v>27253</v>
      </c>
      <c r="S9995" t="s">
        <v>27254</v>
      </c>
      <c r="T9995" t="s">
        <v>27255</v>
      </c>
    </row>
    <row r="9996" spans="1:20" x14ac:dyDescent="0.3">
      <c r="A9996" t="str">
        <f>"0611838053100"</f>
        <v>0611838053100</v>
      </c>
      <c r="B9996" t="str">
        <f>"LQ5978"</f>
        <v>LQ5978</v>
      </c>
      <c r="C9996" t="s">
        <v>46645</v>
      </c>
      <c r="D9996" t="s">
        <v>27245</v>
      </c>
      <c r="E9996" t="str">
        <f t="shared" si="156"/>
        <v>001390</v>
      </c>
      <c r="F9996" t="s">
        <v>27246</v>
      </c>
      <c r="G9996" t="s">
        <v>27247</v>
      </c>
      <c r="H9996" t="s">
        <v>27248</v>
      </c>
      <c r="I9996" t="s">
        <v>46646</v>
      </c>
      <c r="J9996" t="s">
        <v>20116</v>
      </c>
      <c r="L9996" t="s">
        <v>27250</v>
      </c>
      <c r="M9996" t="s">
        <v>27251</v>
      </c>
      <c r="N9996" t="s">
        <v>27252</v>
      </c>
      <c r="Q9996" s="1">
        <v>44538</v>
      </c>
      <c r="R9996" t="s">
        <v>27253</v>
      </c>
      <c r="S9996" t="s">
        <v>27254</v>
      </c>
      <c r="T9996" t="s">
        <v>27255</v>
      </c>
    </row>
    <row r="9997" spans="1:20" x14ac:dyDescent="0.3">
      <c r="A9997" t="str">
        <f>"0611838054100"</f>
        <v>0611838054100</v>
      </c>
      <c r="B9997" t="str">
        <f>"LQ5544"</f>
        <v>LQ5544</v>
      </c>
      <c r="C9997" t="s">
        <v>46647</v>
      </c>
      <c r="D9997" t="s">
        <v>27245</v>
      </c>
      <c r="E9997" t="str">
        <f t="shared" si="156"/>
        <v>001390</v>
      </c>
      <c r="F9997" t="s">
        <v>27246</v>
      </c>
      <c r="G9997" t="s">
        <v>27247</v>
      </c>
      <c r="H9997" t="s">
        <v>27248</v>
      </c>
      <c r="I9997" t="s">
        <v>46648</v>
      </c>
      <c r="J9997" t="s">
        <v>20118</v>
      </c>
      <c r="L9997" t="s">
        <v>27250</v>
      </c>
      <c r="M9997" t="s">
        <v>27251</v>
      </c>
      <c r="N9997" t="s">
        <v>27252</v>
      </c>
      <c r="Q9997" s="1">
        <v>44538</v>
      </c>
      <c r="R9997" t="s">
        <v>27253</v>
      </c>
      <c r="S9997" t="s">
        <v>27254</v>
      </c>
      <c r="T9997" t="s">
        <v>27255</v>
      </c>
    </row>
    <row r="9998" spans="1:20" x14ac:dyDescent="0.3">
      <c r="A9998" t="str">
        <f>"0611838055100"</f>
        <v>0611838055100</v>
      </c>
      <c r="B9998" t="str">
        <f>"LQ6246"</f>
        <v>LQ6246</v>
      </c>
      <c r="C9998" t="s">
        <v>46649</v>
      </c>
      <c r="D9998" t="s">
        <v>27245</v>
      </c>
      <c r="E9998" t="str">
        <f t="shared" si="156"/>
        <v>001390</v>
      </c>
      <c r="F9998" t="s">
        <v>27246</v>
      </c>
      <c r="G9998" t="s">
        <v>27247</v>
      </c>
      <c r="H9998" t="s">
        <v>27248</v>
      </c>
      <c r="I9998" t="s">
        <v>46650</v>
      </c>
      <c r="J9998" t="s">
        <v>20124</v>
      </c>
      <c r="L9998" t="s">
        <v>27250</v>
      </c>
      <c r="M9998" t="s">
        <v>27251</v>
      </c>
      <c r="N9998" t="s">
        <v>27252</v>
      </c>
      <c r="Q9998" s="1">
        <v>44538</v>
      </c>
      <c r="R9998" t="s">
        <v>27253</v>
      </c>
      <c r="S9998" t="s">
        <v>27254</v>
      </c>
      <c r="T9998" t="s">
        <v>27255</v>
      </c>
    </row>
    <row r="9999" spans="1:20" x14ac:dyDescent="0.3">
      <c r="A9999" t="str">
        <f>"0611838056100"</f>
        <v>0611838056100</v>
      </c>
      <c r="B9999" t="str">
        <f>"LQ6182"</f>
        <v>LQ6182</v>
      </c>
      <c r="C9999" t="s">
        <v>46651</v>
      </c>
      <c r="D9999" t="s">
        <v>27245</v>
      </c>
      <c r="E9999" t="str">
        <f t="shared" si="156"/>
        <v>001390</v>
      </c>
      <c r="F9999" t="s">
        <v>27246</v>
      </c>
      <c r="G9999" t="s">
        <v>27247</v>
      </c>
      <c r="H9999" t="s">
        <v>27248</v>
      </c>
      <c r="I9999" t="s">
        <v>46652</v>
      </c>
      <c r="J9999" t="s">
        <v>20126</v>
      </c>
      <c r="L9999" t="s">
        <v>27250</v>
      </c>
      <c r="M9999" t="s">
        <v>27251</v>
      </c>
      <c r="N9999" t="s">
        <v>27252</v>
      </c>
      <c r="Q9999" s="1">
        <v>44538</v>
      </c>
      <c r="R9999" t="s">
        <v>27253</v>
      </c>
      <c r="S9999" t="s">
        <v>27254</v>
      </c>
      <c r="T9999" t="s">
        <v>27255</v>
      </c>
    </row>
    <row r="10000" spans="1:20" x14ac:dyDescent="0.3">
      <c r="A10000" t="str">
        <f>"0611838057100"</f>
        <v>0611838057100</v>
      </c>
      <c r="B10000" t="str">
        <f>"LS0109"</f>
        <v>LS0109</v>
      </c>
      <c r="C10000" t="s">
        <v>46653</v>
      </c>
      <c r="D10000" t="s">
        <v>27245</v>
      </c>
      <c r="E10000" t="str">
        <f t="shared" si="156"/>
        <v>001390</v>
      </c>
      <c r="F10000" t="s">
        <v>27246</v>
      </c>
      <c r="G10000" t="s">
        <v>27247</v>
      </c>
      <c r="H10000" t="s">
        <v>27248</v>
      </c>
      <c r="I10000" t="s">
        <v>46654</v>
      </c>
      <c r="J10000" t="s">
        <v>20122</v>
      </c>
      <c r="L10000" t="s">
        <v>27250</v>
      </c>
      <c r="M10000" t="s">
        <v>27251</v>
      </c>
      <c r="N10000" t="s">
        <v>27252</v>
      </c>
      <c r="Q10000" s="1">
        <v>44538</v>
      </c>
      <c r="R10000" t="s">
        <v>27253</v>
      </c>
      <c r="S10000" t="s">
        <v>27254</v>
      </c>
      <c r="T10000" t="s">
        <v>27255</v>
      </c>
    </row>
    <row r="10001" spans="1:20" x14ac:dyDescent="0.3">
      <c r="A10001" t="str">
        <f>"0611838058100"</f>
        <v>0611838058100</v>
      </c>
      <c r="B10001" t="str">
        <f>"LQ6211"</f>
        <v>LQ6211</v>
      </c>
      <c r="C10001" t="s">
        <v>46655</v>
      </c>
      <c r="D10001" t="s">
        <v>27245</v>
      </c>
      <c r="E10001" t="str">
        <f t="shared" si="156"/>
        <v>001390</v>
      </c>
      <c r="F10001" t="s">
        <v>27246</v>
      </c>
      <c r="G10001" t="s">
        <v>27247</v>
      </c>
      <c r="H10001" t="s">
        <v>27248</v>
      </c>
      <c r="I10001" t="s">
        <v>46656</v>
      </c>
      <c r="J10001" t="s">
        <v>20128</v>
      </c>
      <c r="L10001" t="s">
        <v>27250</v>
      </c>
      <c r="M10001" t="s">
        <v>27251</v>
      </c>
      <c r="N10001" t="s">
        <v>27252</v>
      </c>
      <c r="Q10001" s="1">
        <v>44538</v>
      </c>
      <c r="R10001" t="s">
        <v>27253</v>
      </c>
      <c r="S10001" t="s">
        <v>27254</v>
      </c>
      <c r="T10001" t="s">
        <v>27255</v>
      </c>
    </row>
    <row r="10002" spans="1:20" x14ac:dyDescent="0.3">
      <c r="A10002" t="str">
        <f>"0611857072100"</f>
        <v>0611857072100</v>
      </c>
      <c r="B10002" t="str">
        <f>"LQ6274"</f>
        <v>LQ6274</v>
      </c>
      <c r="C10002" t="s">
        <v>46657</v>
      </c>
      <c r="D10002" t="s">
        <v>27245</v>
      </c>
      <c r="E10002" t="str">
        <f t="shared" si="156"/>
        <v>001390</v>
      </c>
      <c r="F10002" t="s">
        <v>27246</v>
      </c>
      <c r="G10002" t="s">
        <v>27247</v>
      </c>
      <c r="H10002" t="s">
        <v>27248</v>
      </c>
      <c r="I10002" t="s">
        <v>46658</v>
      </c>
      <c r="J10002" t="s">
        <v>20130</v>
      </c>
      <c r="L10002" t="s">
        <v>27250</v>
      </c>
      <c r="M10002" t="s">
        <v>27251</v>
      </c>
      <c r="N10002" t="s">
        <v>27252</v>
      </c>
      <c r="Q10002" s="1">
        <v>44812</v>
      </c>
      <c r="R10002" t="s">
        <v>27253</v>
      </c>
      <c r="S10002" t="s">
        <v>27254</v>
      </c>
      <c r="T10002" t="s">
        <v>27255</v>
      </c>
    </row>
    <row r="10003" spans="1:20" x14ac:dyDescent="0.3">
      <c r="A10003" t="str">
        <f>"0611838059100"</f>
        <v>0611838059100</v>
      </c>
      <c r="B10003" t="str">
        <f>"LK1728"</f>
        <v>LK1728</v>
      </c>
      <c r="C10003" t="s">
        <v>46659</v>
      </c>
      <c r="D10003" t="s">
        <v>27245</v>
      </c>
      <c r="E10003" t="str">
        <f t="shared" si="156"/>
        <v>001390</v>
      </c>
      <c r="F10003" t="s">
        <v>27246</v>
      </c>
      <c r="G10003" t="s">
        <v>27247</v>
      </c>
      <c r="H10003" t="s">
        <v>27248</v>
      </c>
      <c r="I10003" t="s">
        <v>46660</v>
      </c>
      <c r="J10003" t="s">
        <v>20132</v>
      </c>
      <c r="L10003" t="s">
        <v>27250</v>
      </c>
      <c r="M10003" t="s">
        <v>27251</v>
      </c>
      <c r="N10003" t="s">
        <v>27252</v>
      </c>
      <c r="Q10003" s="1">
        <v>44538</v>
      </c>
      <c r="R10003" t="s">
        <v>27253</v>
      </c>
      <c r="S10003" t="s">
        <v>27254</v>
      </c>
      <c r="T10003" t="s">
        <v>27255</v>
      </c>
    </row>
    <row r="10004" spans="1:20" x14ac:dyDescent="0.3">
      <c r="A10004" t="str">
        <f>"0611838060100"</f>
        <v>0611838060100</v>
      </c>
      <c r="B10004" t="str">
        <f>"LK5308"</f>
        <v>LK5308</v>
      </c>
      <c r="C10004" t="s">
        <v>46661</v>
      </c>
      <c r="D10004" t="s">
        <v>27245</v>
      </c>
      <c r="E10004" t="str">
        <f t="shared" si="156"/>
        <v>001390</v>
      </c>
      <c r="F10004" t="s">
        <v>27246</v>
      </c>
      <c r="G10004" t="s">
        <v>27247</v>
      </c>
      <c r="H10004" t="s">
        <v>27248</v>
      </c>
      <c r="I10004" t="s">
        <v>46662</v>
      </c>
      <c r="J10004" t="s">
        <v>20134</v>
      </c>
      <c r="L10004" t="s">
        <v>27250</v>
      </c>
      <c r="M10004" t="s">
        <v>27251</v>
      </c>
      <c r="N10004" t="s">
        <v>27252</v>
      </c>
      <c r="Q10004" s="1">
        <v>44538</v>
      </c>
      <c r="R10004" t="s">
        <v>27253</v>
      </c>
      <c r="S10004" t="s">
        <v>27254</v>
      </c>
      <c r="T10004" t="s">
        <v>27255</v>
      </c>
    </row>
    <row r="10005" spans="1:20" x14ac:dyDescent="0.3">
      <c r="A10005" t="str">
        <f>"0611838061100"</f>
        <v>0611838061100</v>
      </c>
      <c r="B10005" t="str">
        <f>"LS0110"</f>
        <v>LS0110</v>
      </c>
      <c r="C10005" t="s">
        <v>46663</v>
      </c>
      <c r="D10005" t="s">
        <v>27245</v>
      </c>
      <c r="E10005" t="str">
        <f t="shared" si="156"/>
        <v>001390</v>
      </c>
      <c r="F10005" t="s">
        <v>27246</v>
      </c>
      <c r="G10005" t="s">
        <v>27247</v>
      </c>
      <c r="H10005" t="s">
        <v>27248</v>
      </c>
      <c r="I10005" t="s">
        <v>46664</v>
      </c>
      <c r="J10005" t="s">
        <v>20120</v>
      </c>
      <c r="L10005" t="s">
        <v>27250</v>
      </c>
      <c r="M10005" t="s">
        <v>27251</v>
      </c>
      <c r="N10005" t="s">
        <v>27252</v>
      </c>
      <c r="Q10005" s="1">
        <v>44538</v>
      </c>
      <c r="R10005" t="s">
        <v>27253</v>
      </c>
      <c r="S10005" t="s">
        <v>27254</v>
      </c>
      <c r="T10005" t="s">
        <v>27255</v>
      </c>
    </row>
    <row r="10006" spans="1:20" x14ac:dyDescent="0.3">
      <c r="A10006" t="str">
        <f>"0611838062100"</f>
        <v>0611838062100</v>
      </c>
      <c r="B10006" t="str">
        <f>"LQ3768"</f>
        <v>LQ3768</v>
      </c>
      <c r="C10006" t="s">
        <v>46665</v>
      </c>
      <c r="D10006" t="s">
        <v>27245</v>
      </c>
      <c r="E10006" t="str">
        <f t="shared" si="156"/>
        <v>001390</v>
      </c>
      <c r="F10006" t="s">
        <v>27246</v>
      </c>
      <c r="G10006" t="s">
        <v>27247</v>
      </c>
      <c r="H10006" t="s">
        <v>27248</v>
      </c>
      <c r="I10006" t="s">
        <v>46666</v>
      </c>
      <c r="J10006" t="s">
        <v>20136</v>
      </c>
      <c r="L10006" t="s">
        <v>27250</v>
      </c>
      <c r="M10006" t="s">
        <v>27251</v>
      </c>
      <c r="N10006" t="s">
        <v>27252</v>
      </c>
      <c r="Q10006" s="1">
        <v>44538</v>
      </c>
      <c r="R10006" t="s">
        <v>27253</v>
      </c>
      <c r="S10006" t="s">
        <v>27254</v>
      </c>
      <c r="T10006" t="s">
        <v>27255</v>
      </c>
    </row>
    <row r="10007" spans="1:20" x14ac:dyDescent="0.3">
      <c r="A10007" t="str">
        <f>"0611838063100"</f>
        <v>0611838063100</v>
      </c>
      <c r="B10007" t="str">
        <f>"LS0111"</f>
        <v>LS0111</v>
      </c>
      <c r="C10007" t="s">
        <v>46667</v>
      </c>
      <c r="D10007" t="s">
        <v>27245</v>
      </c>
      <c r="E10007" t="str">
        <f t="shared" si="156"/>
        <v>001390</v>
      </c>
      <c r="F10007" t="s">
        <v>27246</v>
      </c>
      <c r="G10007" t="s">
        <v>27247</v>
      </c>
      <c r="H10007" t="s">
        <v>27248</v>
      </c>
      <c r="I10007" t="s">
        <v>46668</v>
      </c>
      <c r="J10007" t="s">
        <v>20138</v>
      </c>
      <c r="L10007" t="s">
        <v>27250</v>
      </c>
      <c r="M10007" t="s">
        <v>27251</v>
      </c>
      <c r="N10007" t="s">
        <v>27252</v>
      </c>
      <c r="Q10007" s="1">
        <v>44538</v>
      </c>
      <c r="R10007" t="s">
        <v>27253</v>
      </c>
      <c r="S10007" t="s">
        <v>27254</v>
      </c>
      <c r="T10007" t="s">
        <v>27255</v>
      </c>
    </row>
    <row r="10008" spans="1:20" x14ac:dyDescent="0.3">
      <c r="A10008" t="str">
        <f>"0611838064100"</f>
        <v>0611838064100</v>
      </c>
      <c r="B10008" t="str">
        <f>"LK1729"</f>
        <v>LK1729</v>
      </c>
      <c r="C10008" t="s">
        <v>46669</v>
      </c>
      <c r="D10008" t="s">
        <v>27245</v>
      </c>
      <c r="E10008" t="str">
        <f t="shared" si="156"/>
        <v>001390</v>
      </c>
      <c r="F10008" t="s">
        <v>27246</v>
      </c>
      <c r="G10008" t="s">
        <v>27247</v>
      </c>
      <c r="H10008" t="s">
        <v>27248</v>
      </c>
      <c r="I10008" t="s">
        <v>46670</v>
      </c>
      <c r="J10008" t="s">
        <v>20140</v>
      </c>
      <c r="L10008" t="s">
        <v>27250</v>
      </c>
      <c r="M10008" t="s">
        <v>27251</v>
      </c>
      <c r="N10008" t="s">
        <v>27252</v>
      </c>
      <c r="Q10008" s="1">
        <v>44538</v>
      </c>
      <c r="R10008" t="s">
        <v>27253</v>
      </c>
      <c r="S10008" t="s">
        <v>27254</v>
      </c>
      <c r="T10008" t="s">
        <v>27255</v>
      </c>
    </row>
    <row r="10009" spans="1:20" x14ac:dyDescent="0.3">
      <c r="A10009" t="str">
        <f>"0611838065100"</f>
        <v>0611838065100</v>
      </c>
      <c r="B10009" t="str">
        <f>"LS0112"</f>
        <v>LS0112</v>
      </c>
      <c r="C10009" t="s">
        <v>46671</v>
      </c>
      <c r="D10009" t="s">
        <v>27245</v>
      </c>
      <c r="E10009" t="str">
        <f t="shared" si="156"/>
        <v>001390</v>
      </c>
      <c r="F10009" t="s">
        <v>27246</v>
      </c>
      <c r="G10009" t="s">
        <v>27247</v>
      </c>
      <c r="H10009" t="s">
        <v>27248</v>
      </c>
      <c r="I10009" t="s">
        <v>46672</v>
      </c>
      <c r="J10009" t="s">
        <v>20142</v>
      </c>
      <c r="L10009" t="s">
        <v>27250</v>
      </c>
      <c r="M10009" t="s">
        <v>27251</v>
      </c>
      <c r="N10009" t="s">
        <v>27252</v>
      </c>
      <c r="Q10009" s="1">
        <v>44538</v>
      </c>
      <c r="R10009" t="s">
        <v>27253</v>
      </c>
      <c r="S10009" t="s">
        <v>27254</v>
      </c>
      <c r="T10009" t="s">
        <v>27255</v>
      </c>
    </row>
    <row r="10010" spans="1:20" x14ac:dyDescent="0.3">
      <c r="A10010" t="str">
        <f>"0611863608050"</f>
        <v>0611863608050</v>
      </c>
      <c r="B10010" t="str">
        <f>"CE1617"</f>
        <v>CE1617</v>
      </c>
      <c r="C10010" t="s">
        <v>46673</v>
      </c>
      <c r="D10010" t="s">
        <v>27923</v>
      </c>
      <c r="E10010" t="str">
        <f t="shared" si="156"/>
        <v>001390</v>
      </c>
      <c r="F10010" t="s">
        <v>27246</v>
      </c>
      <c r="G10010" t="s">
        <v>27247</v>
      </c>
      <c r="H10010" t="s">
        <v>27248</v>
      </c>
      <c r="I10010" t="s">
        <v>46674</v>
      </c>
      <c r="J10010" t="s">
        <v>20144</v>
      </c>
      <c r="L10010" t="s">
        <v>27250</v>
      </c>
      <c r="M10010" t="s">
        <v>27251</v>
      </c>
      <c r="N10010" t="s">
        <v>27252</v>
      </c>
      <c r="P10010" t="s">
        <v>27925</v>
      </c>
      <c r="Q10010" s="1">
        <v>44846</v>
      </c>
      <c r="R10010" t="s">
        <v>27253</v>
      </c>
      <c r="S10010" t="s">
        <v>27254</v>
      </c>
      <c r="T10010" t="s">
        <v>27265</v>
      </c>
    </row>
    <row r="10011" spans="1:20" x14ac:dyDescent="0.3">
      <c r="A10011" t="str">
        <f>"0611863609050"</f>
        <v>0611863609050</v>
      </c>
      <c r="B10011" t="str">
        <f>"CE0500"</f>
        <v>CE0500</v>
      </c>
      <c r="C10011" t="s">
        <v>46675</v>
      </c>
      <c r="D10011" t="s">
        <v>27923</v>
      </c>
      <c r="E10011" t="str">
        <f t="shared" si="156"/>
        <v>001390</v>
      </c>
      <c r="F10011" t="s">
        <v>27246</v>
      </c>
      <c r="G10011" t="s">
        <v>27247</v>
      </c>
      <c r="H10011" t="s">
        <v>27248</v>
      </c>
      <c r="I10011" t="s">
        <v>46676</v>
      </c>
      <c r="J10011" t="s">
        <v>20146</v>
      </c>
      <c r="L10011" t="s">
        <v>27250</v>
      </c>
      <c r="M10011" t="s">
        <v>27251</v>
      </c>
      <c r="N10011" t="s">
        <v>27252</v>
      </c>
      <c r="P10011" t="s">
        <v>27925</v>
      </c>
      <c r="Q10011" s="1">
        <v>44846</v>
      </c>
      <c r="R10011" t="s">
        <v>27253</v>
      </c>
      <c r="S10011" t="s">
        <v>27254</v>
      </c>
      <c r="T10011" t="s">
        <v>27265</v>
      </c>
    </row>
    <row r="10012" spans="1:20" x14ac:dyDescent="0.3">
      <c r="A10012" t="str">
        <f>"0611863611050"</f>
        <v>0611863611050</v>
      </c>
      <c r="B10012" t="str">
        <f>"CE0501"</f>
        <v>CE0501</v>
      </c>
      <c r="C10012" t="s">
        <v>46677</v>
      </c>
      <c r="D10012" t="s">
        <v>27923</v>
      </c>
      <c r="E10012" t="str">
        <f t="shared" si="156"/>
        <v>001390</v>
      </c>
      <c r="F10012" t="s">
        <v>27246</v>
      </c>
      <c r="G10012" t="s">
        <v>27247</v>
      </c>
      <c r="H10012" t="s">
        <v>27248</v>
      </c>
      <c r="I10012" t="s">
        <v>46678</v>
      </c>
      <c r="J10012" t="s">
        <v>20148</v>
      </c>
      <c r="L10012" t="s">
        <v>27250</v>
      </c>
      <c r="M10012" t="s">
        <v>27251</v>
      </c>
      <c r="N10012" t="s">
        <v>27252</v>
      </c>
      <c r="P10012" t="s">
        <v>27925</v>
      </c>
      <c r="Q10012" s="1">
        <v>44846</v>
      </c>
      <c r="R10012" t="s">
        <v>27253</v>
      </c>
      <c r="S10012" t="s">
        <v>27254</v>
      </c>
      <c r="T10012" t="s">
        <v>27265</v>
      </c>
    </row>
    <row r="10013" spans="1:20" x14ac:dyDescent="0.3">
      <c r="A10013" t="str">
        <f>"0611863612050"</f>
        <v>0611863612050</v>
      </c>
      <c r="B10013" t="str">
        <f>"CE0502"</f>
        <v>CE0502</v>
      </c>
      <c r="C10013" t="s">
        <v>46679</v>
      </c>
      <c r="D10013" t="s">
        <v>27923</v>
      </c>
      <c r="E10013" t="str">
        <f t="shared" si="156"/>
        <v>001390</v>
      </c>
      <c r="F10013" t="s">
        <v>27246</v>
      </c>
      <c r="G10013" t="s">
        <v>27247</v>
      </c>
      <c r="H10013" t="s">
        <v>27248</v>
      </c>
      <c r="I10013" t="s">
        <v>46680</v>
      </c>
      <c r="J10013" t="s">
        <v>20150</v>
      </c>
      <c r="L10013" t="s">
        <v>27250</v>
      </c>
      <c r="M10013" t="s">
        <v>27251</v>
      </c>
      <c r="N10013" t="s">
        <v>27252</v>
      </c>
      <c r="P10013" t="s">
        <v>27925</v>
      </c>
      <c r="Q10013" s="1">
        <v>44846</v>
      </c>
      <c r="R10013" t="s">
        <v>27253</v>
      </c>
      <c r="S10013" t="s">
        <v>27254</v>
      </c>
      <c r="T10013" t="s">
        <v>27265</v>
      </c>
    </row>
    <row r="10014" spans="1:20" x14ac:dyDescent="0.3">
      <c r="A10014" t="str">
        <f>"0611863613050"</f>
        <v>0611863613050</v>
      </c>
      <c r="B10014" t="str">
        <f>"CE1674"</f>
        <v>CE1674</v>
      </c>
      <c r="C10014" t="s">
        <v>46681</v>
      </c>
      <c r="D10014" t="s">
        <v>27923</v>
      </c>
      <c r="E10014" t="str">
        <f t="shared" si="156"/>
        <v>001390</v>
      </c>
      <c r="F10014" t="s">
        <v>27246</v>
      </c>
      <c r="G10014" t="s">
        <v>27247</v>
      </c>
      <c r="H10014" t="s">
        <v>27248</v>
      </c>
      <c r="I10014" t="s">
        <v>46682</v>
      </c>
      <c r="J10014" t="s">
        <v>20152</v>
      </c>
      <c r="L10014" t="s">
        <v>27250</v>
      </c>
      <c r="M10014" t="s">
        <v>27251</v>
      </c>
      <c r="N10014" t="s">
        <v>27252</v>
      </c>
      <c r="P10014" t="s">
        <v>27925</v>
      </c>
      <c r="Q10014" s="1">
        <v>44846</v>
      </c>
      <c r="R10014" t="s">
        <v>27253</v>
      </c>
      <c r="S10014" t="s">
        <v>27254</v>
      </c>
      <c r="T10014" t="s">
        <v>27265</v>
      </c>
    </row>
    <row r="10015" spans="1:20" x14ac:dyDescent="0.3">
      <c r="A10015" t="str">
        <f>"0611863614050"</f>
        <v>0611863614050</v>
      </c>
      <c r="B10015" t="str">
        <f>"CE1238"</f>
        <v>CE1238</v>
      </c>
      <c r="C10015" t="s">
        <v>46683</v>
      </c>
      <c r="D10015" t="s">
        <v>27923</v>
      </c>
      <c r="E10015" t="str">
        <f t="shared" si="156"/>
        <v>001390</v>
      </c>
      <c r="F10015" t="s">
        <v>27246</v>
      </c>
      <c r="G10015" t="s">
        <v>27247</v>
      </c>
      <c r="H10015" t="s">
        <v>27248</v>
      </c>
      <c r="I10015" t="s">
        <v>46684</v>
      </c>
      <c r="J10015" t="s">
        <v>20154</v>
      </c>
      <c r="L10015" t="s">
        <v>27250</v>
      </c>
      <c r="M10015" t="s">
        <v>27251</v>
      </c>
      <c r="N10015" t="s">
        <v>27252</v>
      </c>
      <c r="P10015" t="s">
        <v>27925</v>
      </c>
      <c r="Q10015" s="1">
        <v>44846</v>
      </c>
      <c r="R10015" t="s">
        <v>27253</v>
      </c>
      <c r="S10015" t="s">
        <v>27254</v>
      </c>
      <c r="T10015" t="s">
        <v>27265</v>
      </c>
    </row>
    <row r="10016" spans="1:20" x14ac:dyDescent="0.3">
      <c r="A10016" t="str">
        <f>"0611863615050"</f>
        <v>0611863615050</v>
      </c>
      <c r="B10016" t="str">
        <f>"CE1129"</f>
        <v>CE1129</v>
      </c>
      <c r="C10016" t="s">
        <v>46685</v>
      </c>
      <c r="D10016" t="s">
        <v>27923</v>
      </c>
      <c r="E10016" t="str">
        <f t="shared" si="156"/>
        <v>001390</v>
      </c>
      <c r="F10016" t="s">
        <v>27246</v>
      </c>
      <c r="G10016" t="s">
        <v>27247</v>
      </c>
      <c r="H10016" t="s">
        <v>27248</v>
      </c>
      <c r="I10016" t="s">
        <v>46686</v>
      </c>
      <c r="J10016" t="s">
        <v>20156</v>
      </c>
      <c r="L10016" t="s">
        <v>27250</v>
      </c>
      <c r="M10016" t="s">
        <v>27251</v>
      </c>
      <c r="N10016" t="s">
        <v>27252</v>
      </c>
      <c r="P10016" t="s">
        <v>27925</v>
      </c>
      <c r="Q10016" s="1">
        <v>44846</v>
      </c>
      <c r="R10016" t="s">
        <v>27253</v>
      </c>
      <c r="S10016" t="s">
        <v>27254</v>
      </c>
      <c r="T10016" t="s">
        <v>27265</v>
      </c>
    </row>
    <row r="10017" spans="1:20" x14ac:dyDescent="0.3">
      <c r="A10017" t="str">
        <f>"0611863617050"</f>
        <v>0611863617050</v>
      </c>
      <c r="B10017" t="str">
        <f>"CE0505"</f>
        <v>CE0505</v>
      </c>
      <c r="C10017" t="s">
        <v>46687</v>
      </c>
      <c r="D10017" t="s">
        <v>27923</v>
      </c>
      <c r="E10017" t="str">
        <f t="shared" si="156"/>
        <v>001390</v>
      </c>
      <c r="F10017" t="s">
        <v>27246</v>
      </c>
      <c r="G10017" t="s">
        <v>27247</v>
      </c>
      <c r="H10017" t="s">
        <v>27248</v>
      </c>
      <c r="I10017" t="s">
        <v>46688</v>
      </c>
      <c r="J10017" t="s">
        <v>20160</v>
      </c>
      <c r="L10017" t="s">
        <v>27250</v>
      </c>
      <c r="M10017" t="s">
        <v>27251</v>
      </c>
      <c r="N10017" t="s">
        <v>27252</v>
      </c>
      <c r="P10017" t="s">
        <v>27925</v>
      </c>
      <c r="Q10017" s="1">
        <v>44846</v>
      </c>
      <c r="R10017" t="s">
        <v>27253</v>
      </c>
      <c r="S10017" t="s">
        <v>27254</v>
      </c>
      <c r="T10017" t="s">
        <v>27265</v>
      </c>
    </row>
    <row r="10018" spans="1:20" x14ac:dyDescent="0.3">
      <c r="A10018" t="str">
        <f>"0611863616050"</f>
        <v>0611863616050</v>
      </c>
      <c r="B10018" t="str">
        <f>"CE0499"</f>
        <v>CE0499</v>
      </c>
      <c r="C10018" t="s">
        <v>46689</v>
      </c>
      <c r="D10018" t="s">
        <v>27923</v>
      </c>
      <c r="E10018" t="str">
        <f t="shared" si="156"/>
        <v>001390</v>
      </c>
      <c r="F10018" t="s">
        <v>27246</v>
      </c>
      <c r="G10018" t="s">
        <v>27247</v>
      </c>
      <c r="H10018" t="s">
        <v>27248</v>
      </c>
      <c r="I10018" t="s">
        <v>46690</v>
      </c>
      <c r="J10018" t="s">
        <v>20158</v>
      </c>
      <c r="L10018" t="s">
        <v>27250</v>
      </c>
      <c r="M10018" t="s">
        <v>27251</v>
      </c>
      <c r="N10018" t="s">
        <v>27252</v>
      </c>
      <c r="P10018" t="s">
        <v>27925</v>
      </c>
      <c r="Q10018" s="1">
        <v>44846</v>
      </c>
      <c r="R10018" t="s">
        <v>27253</v>
      </c>
      <c r="S10018" t="s">
        <v>27254</v>
      </c>
      <c r="T10018" t="s">
        <v>27265</v>
      </c>
    </row>
    <row r="10019" spans="1:20" x14ac:dyDescent="0.3">
      <c r="A10019" t="str">
        <f>"0611863618050"</f>
        <v>0611863618050</v>
      </c>
      <c r="B10019" t="str">
        <f>"CE1618"</f>
        <v>CE1618</v>
      </c>
      <c r="C10019" t="s">
        <v>46691</v>
      </c>
      <c r="D10019" t="s">
        <v>27923</v>
      </c>
      <c r="E10019" t="str">
        <f t="shared" si="156"/>
        <v>001390</v>
      </c>
      <c r="F10019" t="s">
        <v>27246</v>
      </c>
      <c r="G10019" t="s">
        <v>27247</v>
      </c>
      <c r="H10019" t="s">
        <v>27248</v>
      </c>
      <c r="I10019" t="s">
        <v>46692</v>
      </c>
      <c r="J10019" t="s">
        <v>20162</v>
      </c>
      <c r="L10019" t="s">
        <v>27250</v>
      </c>
      <c r="M10019" t="s">
        <v>27251</v>
      </c>
      <c r="N10019" t="s">
        <v>27252</v>
      </c>
      <c r="P10019" t="s">
        <v>27925</v>
      </c>
      <c r="Q10019" s="1">
        <v>44846</v>
      </c>
      <c r="R10019" t="s">
        <v>27253</v>
      </c>
      <c r="S10019" t="s">
        <v>27254</v>
      </c>
      <c r="T10019" t="s">
        <v>27265</v>
      </c>
    </row>
    <row r="10020" spans="1:20" x14ac:dyDescent="0.3">
      <c r="A10020" t="str">
        <f>"0611884388050"</f>
        <v>0611884388050</v>
      </c>
      <c r="B10020" t="str">
        <f>"CE1729"</f>
        <v>CE1729</v>
      </c>
      <c r="C10020" t="s">
        <v>46693</v>
      </c>
      <c r="D10020" t="s">
        <v>27923</v>
      </c>
      <c r="E10020" t="str">
        <f t="shared" si="156"/>
        <v>001390</v>
      </c>
      <c r="F10020" t="s">
        <v>27246</v>
      </c>
      <c r="G10020" t="s">
        <v>27247</v>
      </c>
      <c r="H10020" t="s">
        <v>27248</v>
      </c>
      <c r="I10020" t="s">
        <v>46694</v>
      </c>
      <c r="J10020" t="s">
        <v>20164</v>
      </c>
      <c r="L10020" t="s">
        <v>27430</v>
      </c>
      <c r="M10020" t="s">
        <v>27251</v>
      </c>
      <c r="N10020" t="s">
        <v>27252</v>
      </c>
      <c r="P10020" t="s">
        <v>27925</v>
      </c>
      <c r="Q10020" s="1">
        <v>45250</v>
      </c>
      <c r="R10020" t="s">
        <v>27253</v>
      </c>
      <c r="S10020" t="s">
        <v>27254</v>
      </c>
      <c r="T10020" t="s">
        <v>27265</v>
      </c>
    </row>
    <row r="10021" spans="1:20" x14ac:dyDescent="0.3">
      <c r="A10021" t="str">
        <f>"0611863619050"</f>
        <v>0611863619050</v>
      </c>
      <c r="B10021" t="str">
        <f>"CE1675"</f>
        <v>CE1675</v>
      </c>
      <c r="C10021" t="s">
        <v>46695</v>
      </c>
      <c r="D10021" t="s">
        <v>27923</v>
      </c>
      <c r="E10021" t="str">
        <f t="shared" si="156"/>
        <v>001390</v>
      </c>
      <c r="F10021" t="s">
        <v>27246</v>
      </c>
      <c r="G10021" t="s">
        <v>27247</v>
      </c>
      <c r="H10021" t="s">
        <v>27248</v>
      </c>
      <c r="I10021" t="s">
        <v>46696</v>
      </c>
      <c r="J10021" t="s">
        <v>20166</v>
      </c>
      <c r="L10021" t="s">
        <v>27250</v>
      </c>
      <c r="M10021" t="s">
        <v>27251</v>
      </c>
      <c r="N10021" t="s">
        <v>27252</v>
      </c>
      <c r="P10021" t="s">
        <v>27925</v>
      </c>
      <c r="Q10021" s="1">
        <v>44846</v>
      </c>
      <c r="R10021" t="s">
        <v>27253</v>
      </c>
      <c r="S10021" t="s">
        <v>27254</v>
      </c>
      <c r="T10021" t="s">
        <v>27265</v>
      </c>
    </row>
    <row r="10022" spans="1:20" x14ac:dyDescent="0.3">
      <c r="A10022" t="str">
        <f>"0611863620050"</f>
        <v>0611863620050</v>
      </c>
      <c r="B10022" t="str">
        <f>"CE1199"</f>
        <v>CE1199</v>
      </c>
      <c r="C10022" t="s">
        <v>46697</v>
      </c>
      <c r="D10022" t="s">
        <v>28556</v>
      </c>
      <c r="E10022" t="str">
        <f t="shared" si="156"/>
        <v>001390</v>
      </c>
      <c r="F10022" t="s">
        <v>27246</v>
      </c>
      <c r="G10022" t="s">
        <v>27247</v>
      </c>
      <c r="H10022" t="s">
        <v>27248</v>
      </c>
      <c r="I10022" t="s">
        <v>46698</v>
      </c>
      <c r="J10022" t="s">
        <v>20170</v>
      </c>
      <c r="L10022" t="s">
        <v>27250</v>
      </c>
      <c r="M10022" t="s">
        <v>27251</v>
      </c>
      <c r="N10022" t="s">
        <v>27252</v>
      </c>
      <c r="P10022" t="s">
        <v>27925</v>
      </c>
      <c r="Q10022" s="1">
        <v>44846</v>
      </c>
      <c r="R10022" t="s">
        <v>27253</v>
      </c>
      <c r="S10022" t="s">
        <v>27254</v>
      </c>
      <c r="T10022" t="s">
        <v>28378</v>
      </c>
    </row>
    <row r="10023" spans="1:20" x14ac:dyDescent="0.3">
      <c r="A10023" t="str">
        <f>"0611863621050"</f>
        <v>0611863621050</v>
      </c>
      <c r="B10023" t="str">
        <f>"CE1239"</f>
        <v>CE1239</v>
      </c>
      <c r="C10023" t="s">
        <v>46699</v>
      </c>
      <c r="D10023" t="s">
        <v>27923</v>
      </c>
      <c r="E10023" t="str">
        <f t="shared" si="156"/>
        <v>001390</v>
      </c>
      <c r="F10023" t="s">
        <v>27246</v>
      </c>
      <c r="G10023" t="s">
        <v>27247</v>
      </c>
      <c r="H10023" t="s">
        <v>27248</v>
      </c>
      <c r="I10023" t="s">
        <v>46700</v>
      </c>
      <c r="J10023" t="s">
        <v>20168</v>
      </c>
      <c r="L10023" t="s">
        <v>27250</v>
      </c>
      <c r="M10023" t="s">
        <v>27251</v>
      </c>
      <c r="N10023" t="s">
        <v>27252</v>
      </c>
      <c r="P10023" t="s">
        <v>27925</v>
      </c>
      <c r="Q10023" s="1">
        <v>44846</v>
      </c>
      <c r="R10023" t="s">
        <v>27253</v>
      </c>
      <c r="S10023" t="s">
        <v>27254</v>
      </c>
      <c r="T10023" t="s">
        <v>27265</v>
      </c>
    </row>
    <row r="10024" spans="1:20" x14ac:dyDescent="0.3">
      <c r="A10024" t="str">
        <f>"0611863622050"</f>
        <v>0611863622050</v>
      </c>
      <c r="B10024" t="str">
        <f>"CE1676"</f>
        <v>CE1676</v>
      </c>
      <c r="C10024" t="s">
        <v>46701</v>
      </c>
      <c r="D10024" t="s">
        <v>27923</v>
      </c>
      <c r="E10024" t="str">
        <f t="shared" si="156"/>
        <v>001390</v>
      </c>
      <c r="F10024" t="s">
        <v>27246</v>
      </c>
      <c r="G10024" t="s">
        <v>27247</v>
      </c>
      <c r="H10024" t="s">
        <v>27248</v>
      </c>
      <c r="I10024" t="s">
        <v>46702</v>
      </c>
      <c r="J10024" t="s">
        <v>20172</v>
      </c>
      <c r="L10024" t="s">
        <v>27250</v>
      </c>
      <c r="M10024" t="s">
        <v>27251</v>
      </c>
      <c r="N10024" t="s">
        <v>27252</v>
      </c>
      <c r="P10024" t="s">
        <v>27925</v>
      </c>
      <c r="Q10024" s="1">
        <v>44846</v>
      </c>
      <c r="R10024" t="s">
        <v>27253</v>
      </c>
      <c r="S10024" t="s">
        <v>27254</v>
      </c>
      <c r="T10024" t="s">
        <v>27265</v>
      </c>
    </row>
    <row r="10025" spans="1:20" x14ac:dyDescent="0.3">
      <c r="A10025" t="str">
        <f>"0611863623050"</f>
        <v>0611863623050</v>
      </c>
      <c r="B10025" t="str">
        <f>"CE1361"</f>
        <v>CE1361</v>
      </c>
      <c r="C10025" t="s">
        <v>46703</v>
      </c>
      <c r="D10025" t="s">
        <v>27923</v>
      </c>
      <c r="E10025" t="str">
        <f t="shared" si="156"/>
        <v>001390</v>
      </c>
      <c r="F10025" t="s">
        <v>27246</v>
      </c>
      <c r="G10025" t="s">
        <v>27247</v>
      </c>
      <c r="H10025" t="s">
        <v>27248</v>
      </c>
      <c r="I10025" t="s">
        <v>46704</v>
      </c>
      <c r="J10025" t="s">
        <v>20174</v>
      </c>
      <c r="L10025" t="s">
        <v>27250</v>
      </c>
      <c r="M10025" t="s">
        <v>27251</v>
      </c>
      <c r="N10025" t="s">
        <v>27252</v>
      </c>
      <c r="P10025" t="s">
        <v>27925</v>
      </c>
      <c r="Q10025" s="1">
        <v>44846</v>
      </c>
      <c r="R10025" t="s">
        <v>27253</v>
      </c>
      <c r="S10025" t="s">
        <v>27254</v>
      </c>
      <c r="T10025" t="s">
        <v>27265</v>
      </c>
    </row>
    <row r="10026" spans="1:20" x14ac:dyDescent="0.3">
      <c r="A10026" t="str">
        <f>"0611863624050"</f>
        <v>0611863624050</v>
      </c>
      <c r="B10026" t="str">
        <f>"CE0938"</f>
        <v>CE0938</v>
      </c>
      <c r="C10026" t="s">
        <v>46705</v>
      </c>
      <c r="D10026" t="s">
        <v>27923</v>
      </c>
      <c r="E10026" t="str">
        <f t="shared" si="156"/>
        <v>001390</v>
      </c>
      <c r="F10026" t="s">
        <v>27246</v>
      </c>
      <c r="G10026" t="s">
        <v>27247</v>
      </c>
      <c r="H10026" t="s">
        <v>27248</v>
      </c>
      <c r="I10026" t="s">
        <v>46706</v>
      </c>
      <c r="J10026" t="s">
        <v>20176</v>
      </c>
      <c r="L10026" t="s">
        <v>27250</v>
      </c>
      <c r="M10026" t="s">
        <v>27251</v>
      </c>
      <c r="N10026" t="s">
        <v>27252</v>
      </c>
      <c r="P10026" t="s">
        <v>27925</v>
      </c>
      <c r="Q10026" s="1">
        <v>44846</v>
      </c>
      <c r="R10026" t="s">
        <v>27253</v>
      </c>
      <c r="S10026" t="s">
        <v>27254</v>
      </c>
      <c r="T10026" t="s">
        <v>27265</v>
      </c>
    </row>
    <row r="10027" spans="1:20" x14ac:dyDescent="0.3">
      <c r="A10027" t="str">
        <f>"0611863625050"</f>
        <v>0611863625050</v>
      </c>
      <c r="B10027" t="str">
        <f>"CE0940"</f>
        <v>CE0940</v>
      </c>
      <c r="C10027" t="s">
        <v>46707</v>
      </c>
      <c r="D10027" t="s">
        <v>27923</v>
      </c>
      <c r="E10027" t="str">
        <f t="shared" si="156"/>
        <v>001390</v>
      </c>
      <c r="F10027" t="s">
        <v>27246</v>
      </c>
      <c r="G10027" t="s">
        <v>27247</v>
      </c>
      <c r="H10027" t="s">
        <v>27248</v>
      </c>
      <c r="I10027" t="s">
        <v>46708</v>
      </c>
      <c r="J10027" t="s">
        <v>20178</v>
      </c>
      <c r="L10027" t="s">
        <v>27250</v>
      </c>
      <c r="M10027" t="s">
        <v>27251</v>
      </c>
      <c r="N10027" t="s">
        <v>27252</v>
      </c>
      <c r="P10027" t="s">
        <v>27925</v>
      </c>
      <c r="Q10027" s="1">
        <v>44846</v>
      </c>
      <c r="R10027" t="s">
        <v>27253</v>
      </c>
      <c r="S10027" t="s">
        <v>27254</v>
      </c>
      <c r="T10027" t="s">
        <v>27265</v>
      </c>
    </row>
    <row r="10028" spans="1:20" x14ac:dyDescent="0.3">
      <c r="A10028" t="str">
        <f>"0611863626050"</f>
        <v>0611863626050</v>
      </c>
      <c r="B10028" t="str">
        <f>"CE1200"</f>
        <v>CE1200</v>
      </c>
      <c r="C10028" t="s">
        <v>46709</v>
      </c>
      <c r="D10028" t="s">
        <v>27923</v>
      </c>
      <c r="E10028" t="str">
        <f t="shared" si="156"/>
        <v>001390</v>
      </c>
      <c r="F10028" t="s">
        <v>27246</v>
      </c>
      <c r="G10028" t="s">
        <v>27247</v>
      </c>
      <c r="H10028" t="s">
        <v>27248</v>
      </c>
      <c r="I10028" t="s">
        <v>46710</v>
      </c>
      <c r="J10028" t="s">
        <v>20180</v>
      </c>
      <c r="L10028" t="s">
        <v>27250</v>
      </c>
      <c r="M10028" t="s">
        <v>27251</v>
      </c>
      <c r="N10028" t="s">
        <v>27252</v>
      </c>
      <c r="P10028" t="s">
        <v>27925</v>
      </c>
      <c r="Q10028" s="1">
        <v>44846</v>
      </c>
      <c r="R10028" t="s">
        <v>27253</v>
      </c>
      <c r="S10028" t="s">
        <v>27254</v>
      </c>
      <c r="T10028" t="s">
        <v>27265</v>
      </c>
    </row>
    <row r="10029" spans="1:20" x14ac:dyDescent="0.3">
      <c r="A10029" t="str">
        <f>"0611863627050"</f>
        <v>0611863627050</v>
      </c>
      <c r="B10029" t="str">
        <f>"CE1677"</f>
        <v>CE1677</v>
      </c>
      <c r="C10029" t="s">
        <v>46711</v>
      </c>
      <c r="D10029" t="s">
        <v>27923</v>
      </c>
      <c r="E10029" t="str">
        <f t="shared" si="156"/>
        <v>001390</v>
      </c>
      <c r="F10029" t="s">
        <v>27246</v>
      </c>
      <c r="G10029" t="s">
        <v>27247</v>
      </c>
      <c r="H10029" t="s">
        <v>27248</v>
      </c>
      <c r="I10029" t="s">
        <v>46712</v>
      </c>
      <c r="J10029" t="s">
        <v>20182</v>
      </c>
      <c r="L10029" t="s">
        <v>27250</v>
      </c>
      <c r="M10029" t="s">
        <v>27251</v>
      </c>
      <c r="N10029" t="s">
        <v>27252</v>
      </c>
      <c r="P10029" t="s">
        <v>27925</v>
      </c>
      <c r="Q10029" s="1">
        <v>44846</v>
      </c>
      <c r="R10029" t="s">
        <v>27253</v>
      </c>
      <c r="S10029" t="s">
        <v>27254</v>
      </c>
      <c r="T10029" t="s">
        <v>27265</v>
      </c>
    </row>
    <row r="10030" spans="1:20" x14ac:dyDescent="0.3">
      <c r="A10030" t="str">
        <f>"0611863628050"</f>
        <v>0611863628050</v>
      </c>
      <c r="B10030" t="str">
        <f>"CE0900"</f>
        <v>CE0900</v>
      </c>
      <c r="C10030" t="s">
        <v>46713</v>
      </c>
      <c r="D10030" t="s">
        <v>27923</v>
      </c>
      <c r="E10030" t="str">
        <f t="shared" si="156"/>
        <v>001390</v>
      </c>
      <c r="F10030" t="s">
        <v>27246</v>
      </c>
      <c r="G10030" t="s">
        <v>27247</v>
      </c>
      <c r="H10030" t="s">
        <v>27248</v>
      </c>
      <c r="I10030" t="s">
        <v>46714</v>
      </c>
      <c r="J10030" t="s">
        <v>20184</v>
      </c>
      <c r="L10030" t="s">
        <v>27250</v>
      </c>
      <c r="M10030" t="s">
        <v>27251</v>
      </c>
      <c r="N10030" t="s">
        <v>27252</v>
      </c>
      <c r="P10030" t="s">
        <v>27925</v>
      </c>
      <c r="Q10030" s="1">
        <v>44846</v>
      </c>
      <c r="R10030" t="s">
        <v>27253</v>
      </c>
      <c r="S10030" t="s">
        <v>27254</v>
      </c>
      <c r="T10030" t="s">
        <v>27265</v>
      </c>
    </row>
    <row r="10031" spans="1:20" x14ac:dyDescent="0.3">
      <c r="A10031" t="str">
        <f>"0611863629050"</f>
        <v>0611863629050</v>
      </c>
      <c r="B10031" t="str">
        <f>"CE0880"</f>
        <v>CE0880</v>
      </c>
      <c r="C10031" t="s">
        <v>46715</v>
      </c>
      <c r="D10031" t="s">
        <v>27923</v>
      </c>
      <c r="E10031" t="str">
        <f t="shared" si="156"/>
        <v>001390</v>
      </c>
      <c r="F10031" t="s">
        <v>27246</v>
      </c>
      <c r="G10031" t="s">
        <v>27247</v>
      </c>
      <c r="H10031" t="s">
        <v>27248</v>
      </c>
      <c r="I10031" t="s">
        <v>46716</v>
      </c>
      <c r="J10031" t="s">
        <v>20186</v>
      </c>
      <c r="L10031" t="s">
        <v>27250</v>
      </c>
      <c r="M10031" t="s">
        <v>27251</v>
      </c>
      <c r="N10031" t="s">
        <v>27252</v>
      </c>
      <c r="P10031" t="s">
        <v>27925</v>
      </c>
      <c r="Q10031" s="1">
        <v>44846</v>
      </c>
      <c r="R10031" t="s">
        <v>27253</v>
      </c>
      <c r="S10031" t="s">
        <v>27254</v>
      </c>
      <c r="T10031" t="s">
        <v>27265</v>
      </c>
    </row>
    <row r="10032" spans="1:20" x14ac:dyDescent="0.3">
      <c r="A10032" t="str">
        <f>"0611863630050"</f>
        <v>0611863630050</v>
      </c>
      <c r="B10032" t="str">
        <f>"CE1287"</f>
        <v>CE1287</v>
      </c>
      <c r="C10032" t="s">
        <v>46717</v>
      </c>
      <c r="D10032" t="s">
        <v>27923</v>
      </c>
      <c r="E10032" t="str">
        <f t="shared" si="156"/>
        <v>001390</v>
      </c>
      <c r="F10032" t="s">
        <v>27246</v>
      </c>
      <c r="G10032" t="s">
        <v>27247</v>
      </c>
      <c r="H10032" t="s">
        <v>27248</v>
      </c>
      <c r="I10032" t="s">
        <v>46718</v>
      </c>
      <c r="J10032" t="s">
        <v>20188</v>
      </c>
      <c r="L10032" t="s">
        <v>27250</v>
      </c>
      <c r="M10032" t="s">
        <v>27251</v>
      </c>
      <c r="N10032" t="s">
        <v>27252</v>
      </c>
      <c r="P10032" t="s">
        <v>27925</v>
      </c>
      <c r="Q10032" s="1">
        <v>44846</v>
      </c>
      <c r="R10032" t="s">
        <v>27253</v>
      </c>
      <c r="S10032" t="s">
        <v>27254</v>
      </c>
      <c r="T10032" t="s">
        <v>27265</v>
      </c>
    </row>
    <row r="10033" spans="1:20" x14ac:dyDescent="0.3">
      <c r="A10033" t="str">
        <f>"0611863633050"</f>
        <v>0611863633050</v>
      </c>
      <c r="B10033" t="str">
        <f>"CE0881"</f>
        <v>CE0881</v>
      </c>
      <c r="C10033" t="s">
        <v>46719</v>
      </c>
      <c r="D10033" t="s">
        <v>27923</v>
      </c>
      <c r="E10033" t="str">
        <f t="shared" si="156"/>
        <v>001390</v>
      </c>
      <c r="F10033" t="s">
        <v>27246</v>
      </c>
      <c r="G10033" t="s">
        <v>27247</v>
      </c>
      <c r="H10033" t="s">
        <v>27248</v>
      </c>
      <c r="I10033" t="s">
        <v>46720</v>
      </c>
      <c r="J10033" t="s">
        <v>20194</v>
      </c>
      <c r="L10033" t="s">
        <v>27250</v>
      </c>
      <c r="M10033" t="s">
        <v>27251</v>
      </c>
      <c r="N10033" t="s">
        <v>27252</v>
      </c>
      <c r="P10033" t="s">
        <v>27925</v>
      </c>
      <c r="Q10033" s="1">
        <v>44846</v>
      </c>
      <c r="R10033" t="s">
        <v>27253</v>
      </c>
      <c r="S10033" t="s">
        <v>27254</v>
      </c>
      <c r="T10033" t="s">
        <v>27265</v>
      </c>
    </row>
    <row r="10034" spans="1:20" x14ac:dyDescent="0.3">
      <c r="A10034" t="str">
        <f>"0611863631050"</f>
        <v>0611863631050</v>
      </c>
      <c r="B10034" t="str">
        <f>"CE1241"</f>
        <v>CE1241</v>
      </c>
      <c r="C10034" t="s">
        <v>46721</v>
      </c>
      <c r="D10034" t="s">
        <v>27923</v>
      </c>
      <c r="E10034" t="str">
        <f t="shared" si="156"/>
        <v>001390</v>
      </c>
      <c r="F10034" t="s">
        <v>27246</v>
      </c>
      <c r="G10034" t="s">
        <v>27247</v>
      </c>
      <c r="H10034" t="s">
        <v>27248</v>
      </c>
      <c r="I10034" t="s">
        <v>46722</v>
      </c>
      <c r="J10034" t="s">
        <v>20190</v>
      </c>
      <c r="L10034" t="s">
        <v>27250</v>
      </c>
      <c r="M10034" t="s">
        <v>27251</v>
      </c>
      <c r="N10034" t="s">
        <v>27252</v>
      </c>
      <c r="P10034" t="s">
        <v>27925</v>
      </c>
      <c r="Q10034" s="1">
        <v>44846</v>
      </c>
      <c r="R10034" t="s">
        <v>27253</v>
      </c>
      <c r="S10034" t="s">
        <v>27254</v>
      </c>
      <c r="T10034" t="s">
        <v>27265</v>
      </c>
    </row>
    <row r="10035" spans="1:20" x14ac:dyDescent="0.3">
      <c r="A10035" t="str">
        <f>"0611863632050"</f>
        <v>0611863632050</v>
      </c>
      <c r="B10035" t="str">
        <f>"CE1678"</f>
        <v>CE1678</v>
      </c>
      <c r="C10035" t="s">
        <v>46723</v>
      </c>
      <c r="D10035" t="s">
        <v>27923</v>
      </c>
      <c r="E10035" t="str">
        <f t="shared" si="156"/>
        <v>001390</v>
      </c>
      <c r="F10035" t="s">
        <v>27246</v>
      </c>
      <c r="G10035" t="s">
        <v>27247</v>
      </c>
      <c r="H10035" t="s">
        <v>27248</v>
      </c>
      <c r="I10035" t="s">
        <v>46724</v>
      </c>
      <c r="J10035" t="s">
        <v>20192</v>
      </c>
      <c r="L10035" t="s">
        <v>27250</v>
      </c>
      <c r="M10035" t="s">
        <v>27251</v>
      </c>
      <c r="N10035" t="s">
        <v>27252</v>
      </c>
      <c r="P10035" t="s">
        <v>27925</v>
      </c>
      <c r="Q10035" s="1">
        <v>44846</v>
      </c>
      <c r="R10035" t="s">
        <v>27253</v>
      </c>
      <c r="S10035" t="s">
        <v>27254</v>
      </c>
      <c r="T10035" t="s">
        <v>27265</v>
      </c>
    </row>
    <row r="10036" spans="1:20" x14ac:dyDescent="0.3">
      <c r="A10036" t="str">
        <f>"0611863634050"</f>
        <v>0611863634050</v>
      </c>
      <c r="B10036" t="str">
        <f>"CE0882"</f>
        <v>CE0882</v>
      </c>
      <c r="C10036" t="s">
        <v>46725</v>
      </c>
      <c r="D10036" t="s">
        <v>27923</v>
      </c>
      <c r="E10036" t="str">
        <f t="shared" si="156"/>
        <v>001390</v>
      </c>
      <c r="F10036" t="s">
        <v>27246</v>
      </c>
      <c r="G10036" t="s">
        <v>27247</v>
      </c>
      <c r="H10036" t="s">
        <v>27248</v>
      </c>
      <c r="I10036" t="s">
        <v>46726</v>
      </c>
      <c r="J10036" t="s">
        <v>20196</v>
      </c>
      <c r="L10036" t="s">
        <v>27250</v>
      </c>
      <c r="M10036" t="s">
        <v>27251</v>
      </c>
      <c r="N10036" t="s">
        <v>27252</v>
      </c>
      <c r="P10036" t="s">
        <v>27925</v>
      </c>
      <c r="Q10036" s="1">
        <v>44846</v>
      </c>
      <c r="R10036" t="s">
        <v>27253</v>
      </c>
      <c r="S10036" t="s">
        <v>27254</v>
      </c>
      <c r="T10036" t="s">
        <v>27265</v>
      </c>
    </row>
    <row r="10037" spans="1:20" x14ac:dyDescent="0.3">
      <c r="A10037" t="str">
        <f>"0611863635050"</f>
        <v>0611863635050</v>
      </c>
      <c r="B10037" t="str">
        <f>"CE0883"</f>
        <v>CE0883</v>
      </c>
      <c r="C10037" t="s">
        <v>46727</v>
      </c>
      <c r="D10037" t="s">
        <v>27923</v>
      </c>
      <c r="E10037" t="str">
        <f t="shared" si="156"/>
        <v>001390</v>
      </c>
      <c r="F10037" t="s">
        <v>27246</v>
      </c>
      <c r="G10037" t="s">
        <v>27247</v>
      </c>
      <c r="H10037" t="s">
        <v>27248</v>
      </c>
      <c r="I10037" t="s">
        <v>46728</v>
      </c>
      <c r="J10037" t="s">
        <v>20198</v>
      </c>
      <c r="L10037" t="s">
        <v>27250</v>
      </c>
      <c r="M10037" t="s">
        <v>27251</v>
      </c>
      <c r="N10037" t="s">
        <v>27252</v>
      </c>
      <c r="P10037" t="s">
        <v>27925</v>
      </c>
      <c r="Q10037" s="1">
        <v>44846</v>
      </c>
      <c r="R10037" t="s">
        <v>27253</v>
      </c>
      <c r="S10037" t="s">
        <v>27254</v>
      </c>
      <c r="T10037" t="s">
        <v>27265</v>
      </c>
    </row>
    <row r="10038" spans="1:20" x14ac:dyDescent="0.3">
      <c r="A10038" t="str">
        <f>"0611863636050"</f>
        <v>0611863636050</v>
      </c>
      <c r="B10038" t="str">
        <f>"CE0828"</f>
        <v>CE0828</v>
      </c>
      <c r="C10038" t="s">
        <v>46729</v>
      </c>
      <c r="D10038" t="s">
        <v>27923</v>
      </c>
      <c r="E10038" t="str">
        <f t="shared" si="156"/>
        <v>001390</v>
      </c>
      <c r="F10038" t="s">
        <v>27246</v>
      </c>
      <c r="G10038" t="s">
        <v>27247</v>
      </c>
      <c r="H10038" t="s">
        <v>27248</v>
      </c>
      <c r="I10038" t="s">
        <v>46730</v>
      </c>
      <c r="J10038" t="s">
        <v>20200</v>
      </c>
      <c r="L10038" t="s">
        <v>27250</v>
      </c>
      <c r="M10038" t="s">
        <v>27251</v>
      </c>
      <c r="N10038" t="s">
        <v>27252</v>
      </c>
      <c r="P10038" t="s">
        <v>27925</v>
      </c>
      <c r="Q10038" s="1">
        <v>44846</v>
      </c>
      <c r="R10038" t="s">
        <v>27253</v>
      </c>
      <c r="S10038" t="s">
        <v>27254</v>
      </c>
      <c r="T10038" t="s">
        <v>27265</v>
      </c>
    </row>
    <row r="10039" spans="1:20" x14ac:dyDescent="0.3">
      <c r="A10039" t="str">
        <f>"0611863637050"</f>
        <v>0611863637050</v>
      </c>
      <c r="B10039" t="str">
        <f>"CE0506"</f>
        <v>CE0506</v>
      </c>
      <c r="C10039" t="s">
        <v>46731</v>
      </c>
      <c r="D10039" t="s">
        <v>27923</v>
      </c>
      <c r="E10039" t="str">
        <f t="shared" si="156"/>
        <v>001390</v>
      </c>
      <c r="F10039" t="s">
        <v>27246</v>
      </c>
      <c r="G10039" t="s">
        <v>27247</v>
      </c>
      <c r="H10039" t="s">
        <v>27248</v>
      </c>
      <c r="I10039" t="s">
        <v>46732</v>
      </c>
      <c r="J10039" t="s">
        <v>20202</v>
      </c>
      <c r="L10039" t="s">
        <v>27250</v>
      </c>
      <c r="M10039" t="s">
        <v>27251</v>
      </c>
      <c r="N10039" t="s">
        <v>27252</v>
      </c>
      <c r="P10039" t="s">
        <v>27925</v>
      </c>
      <c r="Q10039" s="1">
        <v>44846</v>
      </c>
      <c r="R10039" t="s">
        <v>27253</v>
      </c>
      <c r="S10039" t="s">
        <v>27254</v>
      </c>
      <c r="T10039" t="s">
        <v>27265</v>
      </c>
    </row>
    <row r="10040" spans="1:20" x14ac:dyDescent="0.3">
      <c r="A10040" t="str">
        <f>"0611863639050"</f>
        <v>0611863639050</v>
      </c>
      <c r="B10040" t="str">
        <f>"CE0508"</f>
        <v>CE0508</v>
      </c>
      <c r="C10040" t="s">
        <v>46733</v>
      </c>
      <c r="D10040" t="s">
        <v>28556</v>
      </c>
      <c r="E10040" t="str">
        <f t="shared" si="156"/>
        <v>001390</v>
      </c>
      <c r="F10040" t="s">
        <v>27246</v>
      </c>
      <c r="G10040" t="s">
        <v>27247</v>
      </c>
      <c r="H10040" t="s">
        <v>27248</v>
      </c>
      <c r="I10040" t="s">
        <v>46734</v>
      </c>
      <c r="J10040" t="s">
        <v>20204</v>
      </c>
      <c r="L10040" t="s">
        <v>27250</v>
      </c>
      <c r="M10040" t="s">
        <v>27251</v>
      </c>
      <c r="N10040" t="s">
        <v>27252</v>
      </c>
      <c r="P10040" t="s">
        <v>27925</v>
      </c>
      <c r="Q10040" s="1">
        <v>44846</v>
      </c>
      <c r="R10040" t="s">
        <v>27253</v>
      </c>
      <c r="S10040" t="s">
        <v>27254</v>
      </c>
      <c r="T10040" t="s">
        <v>28378</v>
      </c>
    </row>
    <row r="10041" spans="1:20" x14ac:dyDescent="0.3">
      <c r="A10041" t="str">
        <f>"0611863640050"</f>
        <v>0611863640050</v>
      </c>
      <c r="B10041" t="str">
        <f>"CE0884"</f>
        <v>CE0884</v>
      </c>
      <c r="C10041" t="s">
        <v>46735</v>
      </c>
      <c r="D10041" t="s">
        <v>27923</v>
      </c>
      <c r="E10041" t="str">
        <f t="shared" si="156"/>
        <v>001390</v>
      </c>
      <c r="F10041" t="s">
        <v>27246</v>
      </c>
      <c r="G10041" t="s">
        <v>27247</v>
      </c>
      <c r="H10041" t="s">
        <v>27248</v>
      </c>
      <c r="I10041" t="s">
        <v>46736</v>
      </c>
      <c r="J10041" t="s">
        <v>20206</v>
      </c>
      <c r="L10041" t="s">
        <v>27250</v>
      </c>
      <c r="M10041" t="s">
        <v>27251</v>
      </c>
      <c r="N10041" t="s">
        <v>27252</v>
      </c>
      <c r="P10041" t="s">
        <v>27925</v>
      </c>
      <c r="Q10041" s="1">
        <v>44846</v>
      </c>
      <c r="R10041" t="s">
        <v>27253</v>
      </c>
      <c r="S10041" t="s">
        <v>27254</v>
      </c>
      <c r="T10041" t="s">
        <v>27265</v>
      </c>
    </row>
    <row r="10042" spans="1:20" x14ac:dyDescent="0.3">
      <c r="A10042" t="str">
        <f>"0611863641050"</f>
        <v>0611863641050</v>
      </c>
      <c r="B10042" t="str">
        <f>"CE0885"</f>
        <v>CE0885</v>
      </c>
      <c r="C10042" t="s">
        <v>46737</v>
      </c>
      <c r="D10042" t="s">
        <v>27923</v>
      </c>
      <c r="E10042" t="str">
        <f t="shared" si="156"/>
        <v>001390</v>
      </c>
      <c r="F10042" t="s">
        <v>27246</v>
      </c>
      <c r="G10042" t="s">
        <v>27247</v>
      </c>
      <c r="H10042" t="s">
        <v>27248</v>
      </c>
      <c r="I10042" t="s">
        <v>46738</v>
      </c>
      <c r="J10042" t="s">
        <v>20208</v>
      </c>
      <c r="L10042" t="s">
        <v>27250</v>
      </c>
      <c r="M10042" t="s">
        <v>27251</v>
      </c>
      <c r="N10042" t="s">
        <v>27252</v>
      </c>
      <c r="P10042" t="s">
        <v>27925</v>
      </c>
      <c r="Q10042" s="1">
        <v>44846</v>
      </c>
      <c r="R10042" t="s">
        <v>27253</v>
      </c>
      <c r="S10042" t="s">
        <v>27254</v>
      </c>
      <c r="T10042" t="s">
        <v>27265</v>
      </c>
    </row>
    <row r="10043" spans="1:20" x14ac:dyDescent="0.3">
      <c r="A10043" t="str">
        <f>"0611863642050"</f>
        <v>0611863642050</v>
      </c>
      <c r="B10043" t="str">
        <f>"CE0509"</f>
        <v>CE0509</v>
      </c>
      <c r="C10043" t="s">
        <v>46739</v>
      </c>
      <c r="D10043" t="s">
        <v>27923</v>
      </c>
      <c r="E10043" t="str">
        <f t="shared" si="156"/>
        <v>001390</v>
      </c>
      <c r="F10043" t="s">
        <v>27246</v>
      </c>
      <c r="G10043" t="s">
        <v>27247</v>
      </c>
      <c r="H10043" t="s">
        <v>27248</v>
      </c>
      <c r="I10043" t="s">
        <v>46740</v>
      </c>
      <c r="J10043" t="s">
        <v>20210</v>
      </c>
      <c r="L10043" t="s">
        <v>27250</v>
      </c>
      <c r="M10043" t="s">
        <v>27251</v>
      </c>
      <c r="N10043" t="s">
        <v>27252</v>
      </c>
      <c r="P10043" t="s">
        <v>27925</v>
      </c>
      <c r="Q10043" s="1">
        <v>44846</v>
      </c>
      <c r="R10043" t="s">
        <v>27253</v>
      </c>
      <c r="S10043" t="s">
        <v>27254</v>
      </c>
      <c r="T10043" t="s">
        <v>27265</v>
      </c>
    </row>
    <row r="10044" spans="1:20" x14ac:dyDescent="0.3">
      <c r="A10044" t="str">
        <f>"0611863643050"</f>
        <v>0611863643050</v>
      </c>
      <c r="B10044" t="str">
        <f>"CE0510"</f>
        <v>CE0510</v>
      </c>
      <c r="C10044" t="s">
        <v>46741</v>
      </c>
      <c r="D10044" t="s">
        <v>27923</v>
      </c>
      <c r="E10044" t="str">
        <f t="shared" si="156"/>
        <v>001390</v>
      </c>
      <c r="F10044" t="s">
        <v>27246</v>
      </c>
      <c r="G10044" t="s">
        <v>27247</v>
      </c>
      <c r="H10044" t="s">
        <v>27248</v>
      </c>
      <c r="I10044" t="s">
        <v>46742</v>
      </c>
      <c r="J10044" t="s">
        <v>20212</v>
      </c>
      <c r="L10044" t="s">
        <v>27250</v>
      </c>
      <c r="M10044" t="s">
        <v>27251</v>
      </c>
      <c r="N10044" t="s">
        <v>27252</v>
      </c>
      <c r="P10044" t="s">
        <v>27925</v>
      </c>
      <c r="Q10044" s="1">
        <v>44846</v>
      </c>
      <c r="R10044" t="s">
        <v>27253</v>
      </c>
      <c r="S10044" t="s">
        <v>27254</v>
      </c>
      <c r="T10044" t="s">
        <v>27265</v>
      </c>
    </row>
    <row r="10045" spans="1:20" x14ac:dyDescent="0.3">
      <c r="A10045" t="str">
        <f>"0611863644050"</f>
        <v>0611863644050</v>
      </c>
      <c r="B10045" t="str">
        <f>"CE0511"</f>
        <v>CE0511</v>
      </c>
      <c r="C10045" t="s">
        <v>46743</v>
      </c>
      <c r="D10045" t="s">
        <v>27923</v>
      </c>
      <c r="E10045" t="str">
        <f t="shared" si="156"/>
        <v>001390</v>
      </c>
      <c r="F10045" t="s">
        <v>27246</v>
      </c>
      <c r="G10045" t="s">
        <v>27247</v>
      </c>
      <c r="H10045" t="s">
        <v>27248</v>
      </c>
      <c r="I10045" t="s">
        <v>46744</v>
      </c>
      <c r="J10045" t="s">
        <v>20214</v>
      </c>
      <c r="L10045" t="s">
        <v>27250</v>
      </c>
      <c r="M10045" t="s">
        <v>27251</v>
      </c>
      <c r="N10045" t="s">
        <v>27252</v>
      </c>
      <c r="P10045" t="s">
        <v>27925</v>
      </c>
      <c r="Q10045" s="1">
        <v>44846</v>
      </c>
      <c r="R10045" t="s">
        <v>27253</v>
      </c>
      <c r="S10045" t="s">
        <v>27254</v>
      </c>
      <c r="T10045" t="s">
        <v>27265</v>
      </c>
    </row>
    <row r="10046" spans="1:20" x14ac:dyDescent="0.3">
      <c r="A10046" t="str">
        <f>"0611863645050"</f>
        <v>0611863645050</v>
      </c>
      <c r="B10046" t="str">
        <f>"CE0899"</f>
        <v>CE0899</v>
      </c>
      <c r="C10046" t="s">
        <v>46745</v>
      </c>
      <c r="D10046" t="s">
        <v>27923</v>
      </c>
      <c r="E10046" t="str">
        <f t="shared" si="156"/>
        <v>001390</v>
      </c>
      <c r="F10046" t="s">
        <v>27246</v>
      </c>
      <c r="G10046" t="s">
        <v>27247</v>
      </c>
      <c r="H10046" t="s">
        <v>27248</v>
      </c>
      <c r="I10046" t="s">
        <v>46746</v>
      </c>
      <c r="J10046" t="s">
        <v>20216</v>
      </c>
      <c r="L10046" t="s">
        <v>27250</v>
      </c>
      <c r="M10046" t="s">
        <v>27251</v>
      </c>
      <c r="N10046" t="s">
        <v>27252</v>
      </c>
      <c r="P10046" t="s">
        <v>27925</v>
      </c>
      <c r="Q10046" s="1">
        <v>44846</v>
      </c>
      <c r="R10046" t="s">
        <v>27253</v>
      </c>
      <c r="S10046" t="s">
        <v>27254</v>
      </c>
      <c r="T10046" t="s">
        <v>27265</v>
      </c>
    </row>
    <row r="10047" spans="1:20" x14ac:dyDescent="0.3">
      <c r="A10047" t="str">
        <f>"0611863646050"</f>
        <v>0611863646050</v>
      </c>
      <c r="B10047" t="str">
        <f>"CE1288"</f>
        <v>CE1288</v>
      </c>
      <c r="C10047" t="s">
        <v>46747</v>
      </c>
      <c r="D10047" t="s">
        <v>27923</v>
      </c>
      <c r="E10047" t="str">
        <f t="shared" si="156"/>
        <v>001390</v>
      </c>
      <c r="F10047" t="s">
        <v>27246</v>
      </c>
      <c r="G10047" t="s">
        <v>27247</v>
      </c>
      <c r="H10047" t="s">
        <v>27248</v>
      </c>
      <c r="I10047" t="s">
        <v>46748</v>
      </c>
      <c r="J10047" t="s">
        <v>20218</v>
      </c>
      <c r="L10047" t="s">
        <v>27250</v>
      </c>
      <c r="M10047" t="s">
        <v>27251</v>
      </c>
      <c r="N10047" t="s">
        <v>27252</v>
      </c>
      <c r="P10047" t="s">
        <v>27925</v>
      </c>
      <c r="Q10047" s="1">
        <v>44846</v>
      </c>
      <c r="R10047" t="s">
        <v>27253</v>
      </c>
      <c r="S10047" t="s">
        <v>27254</v>
      </c>
      <c r="T10047" t="s">
        <v>27265</v>
      </c>
    </row>
    <row r="10048" spans="1:20" x14ac:dyDescent="0.3">
      <c r="A10048" t="str">
        <f>"0611863647050"</f>
        <v>0611863647050</v>
      </c>
      <c r="B10048" t="str">
        <f>"CE1130"</f>
        <v>CE1130</v>
      </c>
      <c r="C10048" t="s">
        <v>46749</v>
      </c>
      <c r="D10048" t="s">
        <v>27923</v>
      </c>
      <c r="E10048" t="str">
        <f t="shared" si="156"/>
        <v>001390</v>
      </c>
      <c r="F10048" t="s">
        <v>27246</v>
      </c>
      <c r="G10048" t="s">
        <v>27247</v>
      </c>
      <c r="H10048" t="s">
        <v>27248</v>
      </c>
      <c r="I10048" t="s">
        <v>46750</v>
      </c>
      <c r="J10048" t="s">
        <v>20220</v>
      </c>
      <c r="L10048" t="s">
        <v>27250</v>
      </c>
      <c r="M10048" t="s">
        <v>27251</v>
      </c>
      <c r="N10048" t="s">
        <v>27252</v>
      </c>
      <c r="P10048" t="s">
        <v>27925</v>
      </c>
      <c r="Q10048" s="1">
        <v>44846</v>
      </c>
      <c r="R10048" t="s">
        <v>27253</v>
      </c>
      <c r="S10048" t="s">
        <v>27254</v>
      </c>
      <c r="T10048" t="s">
        <v>27265</v>
      </c>
    </row>
    <row r="10049" spans="1:20" x14ac:dyDescent="0.3">
      <c r="A10049" t="str">
        <f>"0611863648050"</f>
        <v>0611863648050</v>
      </c>
      <c r="B10049" t="str">
        <f>"CE0516"</f>
        <v>CE0516</v>
      </c>
      <c r="C10049" t="s">
        <v>46751</v>
      </c>
      <c r="D10049" t="s">
        <v>28556</v>
      </c>
      <c r="E10049" t="str">
        <f t="shared" si="156"/>
        <v>001390</v>
      </c>
      <c r="F10049" t="s">
        <v>27246</v>
      </c>
      <c r="G10049" t="s">
        <v>27247</v>
      </c>
      <c r="H10049" t="s">
        <v>27248</v>
      </c>
      <c r="I10049" t="s">
        <v>46752</v>
      </c>
      <c r="J10049" t="s">
        <v>20222</v>
      </c>
      <c r="L10049" t="s">
        <v>27250</v>
      </c>
      <c r="M10049" t="s">
        <v>27251</v>
      </c>
      <c r="N10049" t="s">
        <v>27252</v>
      </c>
      <c r="P10049" t="s">
        <v>27925</v>
      </c>
      <c r="Q10049" s="1">
        <v>44846</v>
      </c>
      <c r="R10049" t="s">
        <v>27253</v>
      </c>
      <c r="S10049" t="s">
        <v>27254</v>
      </c>
      <c r="T10049" t="s">
        <v>28378</v>
      </c>
    </row>
    <row r="10050" spans="1:20" x14ac:dyDescent="0.3">
      <c r="A10050" t="str">
        <f>"0611863651050"</f>
        <v>0611863651050</v>
      </c>
      <c r="B10050" t="str">
        <f>"CE1131"</f>
        <v>CE1131</v>
      </c>
      <c r="C10050" t="s">
        <v>46753</v>
      </c>
      <c r="D10050" t="s">
        <v>27923</v>
      </c>
      <c r="E10050" t="str">
        <f t="shared" ref="E10050:E10113" si="157">"001390"</f>
        <v>001390</v>
      </c>
      <c r="F10050" t="s">
        <v>27246</v>
      </c>
      <c r="G10050" t="s">
        <v>27247</v>
      </c>
      <c r="H10050" t="s">
        <v>27248</v>
      </c>
      <c r="I10050" t="s">
        <v>46754</v>
      </c>
      <c r="J10050" t="s">
        <v>20224</v>
      </c>
      <c r="L10050" t="s">
        <v>27250</v>
      </c>
      <c r="M10050" t="s">
        <v>27251</v>
      </c>
      <c r="N10050" t="s">
        <v>27252</v>
      </c>
      <c r="P10050" t="s">
        <v>27925</v>
      </c>
      <c r="Q10050" s="1">
        <v>44846</v>
      </c>
      <c r="R10050" t="s">
        <v>27253</v>
      </c>
      <c r="S10050" t="s">
        <v>27254</v>
      </c>
      <c r="T10050" t="s">
        <v>27265</v>
      </c>
    </row>
    <row r="10051" spans="1:20" x14ac:dyDescent="0.3">
      <c r="A10051" t="str">
        <f>"0611838067100"</f>
        <v>0611838067100</v>
      </c>
      <c r="B10051" t="str">
        <f>"LQ6213"</f>
        <v>LQ6213</v>
      </c>
      <c r="C10051" t="s">
        <v>46755</v>
      </c>
      <c r="D10051" t="s">
        <v>27245</v>
      </c>
      <c r="E10051" t="str">
        <f t="shared" si="157"/>
        <v>001390</v>
      </c>
      <c r="F10051" t="s">
        <v>27246</v>
      </c>
      <c r="G10051" t="s">
        <v>27247</v>
      </c>
      <c r="H10051" t="s">
        <v>27248</v>
      </c>
      <c r="I10051" t="s">
        <v>46756</v>
      </c>
      <c r="J10051" t="s">
        <v>20226</v>
      </c>
      <c r="L10051" t="s">
        <v>27250</v>
      </c>
      <c r="M10051" t="s">
        <v>27251</v>
      </c>
      <c r="N10051" t="s">
        <v>27252</v>
      </c>
      <c r="Q10051" s="1">
        <v>44538</v>
      </c>
      <c r="R10051" t="s">
        <v>27253</v>
      </c>
      <c r="S10051" t="s">
        <v>27254</v>
      </c>
      <c r="T10051" t="s">
        <v>27255</v>
      </c>
    </row>
    <row r="10052" spans="1:20" x14ac:dyDescent="0.3">
      <c r="A10052" t="str">
        <f>"0611863652050"</f>
        <v>0611863652050</v>
      </c>
      <c r="B10052" t="str">
        <f>"CE1289"</f>
        <v>CE1289</v>
      </c>
      <c r="C10052" t="s">
        <v>46757</v>
      </c>
      <c r="D10052" t="s">
        <v>27923</v>
      </c>
      <c r="E10052" t="str">
        <f t="shared" si="157"/>
        <v>001390</v>
      </c>
      <c r="F10052" t="s">
        <v>27246</v>
      </c>
      <c r="G10052" t="s">
        <v>27247</v>
      </c>
      <c r="H10052" t="s">
        <v>27248</v>
      </c>
      <c r="I10052" t="s">
        <v>46758</v>
      </c>
      <c r="J10052" t="s">
        <v>20228</v>
      </c>
      <c r="L10052" t="s">
        <v>27250</v>
      </c>
      <c r="M10052" t="s">
        <v>27251</v>
      </c>
      <c r="N10052" t="s">
        <v>27252</v>
      </c>
      <c r="P10052" t="s">
        <v>27925</v>
      </c>
      <c r="Q10052" s="1">
        <v>44846</v>
      </c>
      <c r="R10052" t="s">
        <v>27253</v>
      </c>
      <c r="S10052" t="s">
        <v>27254</v>
      </c>
      <c r="T10052" t="s">
        <v>27265</v>
      </c>
    </row>
    <row r="10053" spans="1:20" x14ac:dyDescent="0.3">
      <c r="A10053" t="str">
        <f>"0611863653050"</f>
        <v>0611863653050</v>
      </c>
      <c r="B10053" t="str">
        <f>"CE1679"</f>
        <v>CE1679</v>
      </c>
      <c r="C10053" t="s">
        <v>46759</v>
      </c>
      <c r="D10053" t="s">
        <v>27923</v>
      </c>
      <c r="E10053" t="str">
        <f t="shared" si="157"/>
        <v>001390</v>
      </c>
      <c r="F10053" t="s">
        <v>27246</v>
      </c>
      <c r="G10053" t="s">
        <v>27247</v>
      </c>
      <c r="H10053" t="s">
        <v>27248</v>
      </c>
      <c r="I10053" t="s">
        <v>46760</v>
      </c>
      <c r="J10053" t="s">
        <v>20230</v>
      </c>
      <c r="L10053" t="s">
        <v>27250</v>
      </c>
      <c r="M10053" t="s">
        <v>27251</v>
      </c>
      <c r="N10053" t="s">
        <v>27252</v>
      </c>
      <c r="P10053" t="s">
        <v>27925</v>
      </c>
      <c r="Q10053" s="1">
        <v>44846</v>
      </c>
      <c r="R10053" t="s">
        <v>27253</v>
      </c>
      <c r="S10053" t="s">
        <v>27254</v>
      </c>
      <c r="T10053" t="s">
        <v>27265</v>
      </c>
    </row>
    <row r="10054" spans="1:20" x14ac:dyDescent="0.3">
      <c r="A10054" t="str">
        <f>"0611838068100"</f>
        <v>0611838068100</v>
      </c>
      <c r="B10054" t="str">
        <f>"LB6509"</f>
        <v>LB6509</v>
      </c>
      <c r="C10054" t="s">
        <v>46761</v>
      </c>
      <c r="D10054" t="s">
        <v>27245</v>
      </c>
      <c r="E10054" t="str">
        <f t="shared" si="157"/>
        <v>001390</v>
      </c>
      <c r="F10054" t="s">
        <v>27246</v>
      </c>
      <c r="G10054" t="s">
        <v>27247</v>
      </c>
      <c r="H10054" t="s">
        <v>27248</v>
      </c>
      <c r="I10054" t="s">
        <v>46762</v>
      </c>
      <c r="J10054" t="s">
        <v>20232</v>
      </c>
      <c r="L10054" t="s">
        <v>27250</v>
      </c>
      <c r="M10054" t="s">
        <v>27251</v>
      </c>
      <c r="N10054" t="s">
        <v>27252</v>
      </c>
      <c r="Q10054" s="1">
        <v>44538</v>
      </c>
      <c r="R10054" t="s">
        <v>27253</v>
      </c>
      <c r="S10054" t="s">
        <v>27254</v>
      </c>
      <c r="T10054" t="s">
        <v>27255</v>
      </c>
    </row>
    <row r="10055" spans="1:20" x14ac:dyDescent="0.3">
      <c r="A10055" t="str">
        <f>"0611838069100"</f>
        <v>0611838069100</v>
      </c>
      <c r="B10055" t="str">
        <f>"LK6658"</f>
        <v>LK6658</v>
      </c>
      <c r="C10055" t="s">
        <v>46763</v>
      </c>
      <c r="D10055" t="s">
        <v>28138</v>
      </c>
      <c r="E10055" t="str">
        <f t="shared" si="157"/>
        <v>001390</v>
      </c>
      <c r="F10055" t="s">
        <v>27246</v>
      </c>
      <c r="G10055" t="s">
        <v>27247</v>
      </c>
      <c r="H10055" t="s">
        <v>27248</v>
      </c>
      <c r="I10055" t="s">
        <v>46764</v>
      </c>
      <c r="J10055" t="s">
        <v>20234</v>
      </c>
      <c r="L10055" t="s">
        <v>27250</v>
      </c>
      <c r="M10055" t="s">
        <v>27251</v>
      </c>
      <c r="N10055" t="s">
        <v>27252</v>
      </c>
      <c r="P10055" t="s">
        <v>27925</v>
      </c>
      <c r="Q10055" s="1">
        <v>44538</v>
      </c>
      <c r="R10055" t="s">
        <v>27253</v>
      </c>
      <c r="S10055" t="s">
        <v>27254</v>
      </c>
      <c r="T10055" t="s">
        <v>27255</v>
      </c>
    </row>
    <row r="10056" spans="1:20" x14ac:dyDescent="0.3">
      <c r="A10056" t="str">
        <f>"0611863654050"</f>
        <v>0611863654050</v>
      </c>
      <c r="B10056" t="str">
        <f>"CR5228"</f>
        <v>CR5228</v>
      </c>
      <c r="C10056" t="s">
        <v>46765</v>
      </c>
      <c r="D10056" t="s">
        <v>27271</v>
      </c>
      <c r="E10056" t="str">
        <f t="shared" si="157"/>
        <v>001390</v>
      </c>
      <c r="F10056" t="s">
        <v>27246</v>
      </c>
      <c r="G10056" t="s">
        <v>27247</v>
      </c>
      <c r="H10056" t="s">
        <v>27248</v>
      </c>
      <c r="I10056" t="s">
        <v>46766</v>
      </c>
      <c r="J10056" t="s">
        <v>20236</v>
      </c>
      <c r="L10056" t="s">
        <v>27250</v>
      </c>
      <c r="M10056" t="s">
        <v>27251</v>
      </c>
      <c r="N10056" t="s">
        <v>27252</v>
      </c>
      <c r="P10056" t="s">
        <v>27341</v>
      </c>
      <c r="Q10056" s="1">
        <v>44846</v>
      </c>
      <c r="R10056" t="s">
        <v>27253</v>
      </c>
      <c r="S10056" t="s">
        <v>27254</v>
      </c>
      <c r="T10056" t="s">
        <v>27265</v>
      </c>
    </row>
    <row r="10057" spans="1:20" x14ac:dyDescent="0.3">
      <c r="A10057" t="str">
        <f>"0611863655050"</f>
        <v>0611863655050</v>
      </c>
      <c r="B10057" t="str">
        <f>"CR5229"</f>
        <v>CR5229</v>
      </c>
      <c r="C10057" t="s">
        <v>46767</v>
      </c>
      <c r="D10057" t="s">
        <v>27271</v>
      </c>
      <c r="E10057" t="str">
        <f t="shared" si="157"/>
        <v>001390</v>
      </c>
      <c r="F10057" t="s">
        <v>27246</v>
      </c>
      <c r="G10057" t="s">
        <v>27247</v>
      </c>
      <c r="H10057" t="s">
        <v>27248</v>
      </c>
      <c r="I10057" t="s">
        <v>46768</v>
      </c>
      <c r="J10057" t="s">
        <v>20238</v>
      </c>
      <c r="L10057" t="s">
        <v>27250</v>
      </c>
      <c r="M10057" t="s">
        <v>27251</v>
      </c>
      <c r="N10057" t="s">
        <v>27252</v>
      </c>
      <c r="P10057" t="s">
        <v>27341</v>
      </c>
      <c r="Q10057" s="1">
        <v>44846</v>
      </c>
      <c r="R10057" t="s">
        <v>27253</v>
      </c>
      <c r="S10057" t="s">
        <v>27254</v>
      </c>
      <c r="T10057" t="s">
        <v>27265</v>
      </c>
    </row>
    <row r="10058" spans="1:20" x14ac:dyDescent="0.3">
      <c r="A10058" t="str">
        <f>"0611863656050"</f>
        <v>0611863656050</v>
      </c>
      <c r="B10058" t="str">
        <f>"CR5230"</f>
        <v>CR5230</v>
      </c>
      <c r="C10058" t="s">
        <v>46769</v>
      </c>
      <c r="D10058" t="s">
        <v>27271</v>
      </c>
      <c r="E10058" t="str">
        <f t="shared" si="157"/>
        <v>001390</v>
      </c>
      <c r="F10058" t="s">
        <v>27246</v>
      </c>
      <c r="G10058" t="s">
        <v>27247</v>
      </c>
      <c r="H10058" t="s">
        <v>27248</v>
      </c>
      <c r="I10058" t="s">
        <v>46770</v>
      </c>
      <c r="J10058" t="s">
        <v>20240</v>
      </c>
      <c r="L10058" t="s">
        <v>27250</v>
      </c>
      <c r="M10058" t="s">
        <v>27251</v>
      </c>
      <c r="N10058" t="s">
        <v>27252</v>
      </c>
      <c r="P10058" t="s">
        <v>27341</v>
      </c>
      <c r="Q10058" s="1">
        <v>44846</v>
      </c>
      <c r="R10058" t="s">
        <v>27253</v>
      </c>
      <c r="S10058" t="s">
        <v>27254</v>
      </c>
      <c r="T10058" t="s">
        <v>27265</v>
      </c>
    </row>
    <row r="10059" spans="1:20" x14ac:dyDescent="0.3">
      <c r="A10059" t="str">
        <f>"0611863657050"</f>
        <v>0611863657050</v>
      </c>
      <c r="B10059" t="str">
        <f>"CR5231"</f>
        <v>CR5231</v>
      </c>
      <c r="C10059" t="s">
        <v>46771</v>
      </c>
      <c r="D10059" t="s">
        <v>27271</v>
      </c>
      <c r="E10059" t="str">
        <f t="shared" si="157"/>
        <v>001390</v>
      </c>
      <c r="F10059" t="s">
        <v>27246</v>
      </c>
      <c r="G10059" t="s">
        <v>27247</v>
      </c>
      <c r="H10059" t="s">
        <v>27248</v>
      </c>
      <c r="I10059" t="s">
        <v>46772</v>
      </c>
      <c r="J10059" t="s">
        <v>20242</v>
      </c>
      <c r="L10059" t="s">
        <v>27250</v>
      </c>
      <c r="M10059" t="s">
        <v>27251</v>
      </c>
      <c r="N10059" t="s">
        <v>27252</v>
      </c>
      <c r="P10059" t="s">
        <v>27341</v>
      </c>
      <c r="Q10059" s="1">
        <v>44846</v>
      </c>
      <c r="R10059" t="s">
        <v>27253</v>
      </c>
      <c r="S10059" t="s">
        <v>27254</v>
      </c>
      <c r="T10059" t="s">
        <v>27265</v>
      </c>
    </row>
    <row r="10060" spans="1:20" x14ac:dyDescent="0.3">
      <c r="A10060" t="str">
        <f>"0611863658050"</f>
        <v>0611863658050</v>
      </c>
      <c r="B10060" t="str">
        <f>"CR5232"</f>
        <v>CR5232</v>
      </c>
      <c r="C10060" t="s">
        <v>46773</v>
      </c>
      <c r="D10060" t="s">
        <v>27271</v>
      </c>
      <c r="E10060" t="str">
        <f t="shared" si="157"/>
        <v>001390</v>
      </c>
      <c r="F10060" t="s">
        <v>27246</v>
      </c>
      <c r="G10060" t="s">
        <v>27247</v>
      </c>
      <c r="H10060" t="s">
        <v>27248</v>
      </c>
      <c r="I10060" t="s">
        <v>46774</v>
      </c>
      <c r="J10060" t="s">
        <v>20244</v>
      </c>
      <c r="L10060" t="s">
        <v>27250</v>
      </c>
      <c r="M10060" t="s">
        <v>27251</v>
      </c>
      <c r="N10060" t="s">
        <v>27252</v>
      </c>
      <c r="P10060" t="s">
        <v>27341</v>
      </c>
      <c r="Q10060" s="1">
        <v>44846</v>
      </c>
      <c r="R10060" t="s">
        <v>27253</v>
      </c>
      <c r="S10060" t="s">
        <v>27254</v>
      </c>
      <c r="T10060" t="s">
        <v>27265</v>
      </c>
    </row>
    <row r="10061" spans="1:20" x14ac:dyDescent="0.3">
      <c r="A10061" t="str">
        <f>"0611863659050"</f>
        <v>0611863659050</v>
      </c>
      <c r="B10061" t="str">
        <f>"CR5233"</f>
        <v>CR5233</v>
      </c>
      <c r="C10061" t="s">
        <v>46775</v>
      </c>
      <c r="D10061" t="s">
        <v>27271</v>
      </c>
      <c r="E10061" t="str">
        <f t="shared" si="157"/>
        <v>001390</v>
      </c>
      <c r="F10061" t="s">
        <v>27246</v>
      </c>
      <c r="G10061" t="s">
        <v>27247</v>
      </c>
      <c r="H10061" t="s">
        <v>27248</v>
      </c>
      <c r="I10061" t="s">
        <v>46776</v>
      </c>
      <c r="J10061" t="s">
        <v>20246</v>
      </c>
      <c r="L10061" t="s">
        <v>27250</v>
      </c>
      <c r="M10061" t="s">
        <v>27251</v>
      </c>
      <c r="N10061" t="s">
        <v>27252</v>
      </c>
      <c r="P10061" t="s">
        <v>27341</v>
      </c>
      <c r="Q10061" s="1">
        <v>44846</v>
      </c>
      <c r="R10061" t="s">
        <v>27253</v>
      </c>
      <c r="S10061" t="s">
        <v>27254</v>
      </c>
      <c r="T10061" t="s">
        <v>27265</v>
      </c>
    </row>
    <row r="10062" spans="1:20" x14ac:dyDescent="0.3">
      <c r="A10062" t="str">
        <f>"0611863660050"</f>
        <v>0611863660050</v>
      </c>
      <c r="B10062" t="str">
        <f>"CR5234"</f>
        <v>CR5234</v>
      </c>
      <c r="C10062" t="s">
        <v>46777</v>
      </c>
      <c r="D10062" t="s">
        <v>27271</v>
      </c>
      <c r="E10062" t="str">
        <f t="shared" si="157"/>
        <v>001390</v>
      </c>
      <c r="F10062" t="s">
        <v>27246</v>
      </c>
      <c r="G10062" t="s">
        <v>27247</v>
      </c>
      <c r="H10062" t="s">
        <v>27248</v>
      </c>
      <c r="I10062" t="s">
        <v>46778</v>
      </c>
      <c r="J10062" t="s">
        <v>20248</v>
      </c>
      <c r="L10062" t="s">
        <v>27250</v>
      </c>
      <c r="M10062" t="s">
        <v>27251</v>
      </c>
      <c r="N10062" t="s">
        <v>27252</v>
      </c>
      <c r="P10062" t="s">
        <v>27341</v>
      </c>
      <c r="Q10062" s="1">
        <v>44846</v>
      </c>
      <c r="R10062" t="s">
        <v>27253</v>
      </c>
      <c r="S10062" t="s">
        <v>27254</v>
      </c>
      <c r="T10062" t="s">
        <v>27265</v>
      </c>
    </row>
    <row r="10063" spans="1:20" x14ac:dyDescent="0.3">
      <c r="A10063" t="str">
        <f>"0611863661050"</f>
        <v>0611863661050</v>
      </c>
      <c r="B10063" t="str">
        <f>"CR5235"</f>
        <v>CR5235</v>
      </c>
      <c r="C10063" t="s">
        <v>46779</v>
      </c>
      <c r="D10063" t="s">
        <v>27271</v>
      </c>
      <c r="E10063" t="str">
        <f t="shared" si="157"/>
        <v>001390</v>
      </c>
      <c r="F10063" t="s">
        <v>27246</v>
      </c>
      <c r="G10063" t="s">
        <v>27247</v>
      </c>
      <c r="H10063" t="s">
        <v>27248</v>
      </c>
      <c r="I10063" t="s">
        <v>46780</v>
      </c>
      <c r="J10063" t="s">
        <v>20250</v>
      </c>
      <c r="L10063" t="s">
        <v>27250</v>
      </c>
      <c r="M10063" t="s">
        <v>27251</v>
      </c>
      <c r="N10063" t="s">
        <v>27252</v>
      </c>
      <c r="P10063" t="s">
        <v>27341</v>
      </c>
      <c r="Q10063" s="1">
        <v>44846</v>
      </c>
      <c r="R10063" t="s">
        <v>27253</v>
      </c>
      <c r="S10063" t="s">
        <v>27254</v>
      </c>
      <c r="T10063" t="s">
        <v>27265</v>
      </c>
    </row>
    <row r="10064" spans="1:20" x14ac:dyDescent="0.3">
      <c r="A10064" t="str">
        <f>"0611838070100"</f>
        <v>0611838070100</v>
      </c>
      <c r="B10064" t="str">
        <f>"LK4346"</f>
        <v>LK4346</v>
      </c>
      <c r="C10064" t="s">
        <v>46781</v>
      </c>
      <c r="D10064" t="s">
        <v>27245</v>
      </c>
      <c r="E10064" t="str">
        <f t="shared" si="157"/>
        <v>001390</v>
      </c>
      <c r="F10064" t="s">
        <v>27246</v>
      </c>
      <c r="G10064" t="s">
        <v>27247</v>
      </c>
      <c r="H10064" t="s">
        <v>27248</v>
      </c>
      <c r="I10064" t="s">
        <v>46782</v>
      </c>
      <c r="J10064" t="s">
        <v>20252</v>
      </c>
      <c r="L10064" t="s">
        <v>27250</v>
      </c>
      <c r="M10064" t="s">
        <v>27251</v>
      </c>
      <c r="N10064" t="s">
        <v>27252</v>
      </c>
      <c r="Q10064" s="1">
        <v>44538</v>
      </c>
      <c r="R10064" t="s">
        <v>27253</v>
      </c>
      <c r="S10064" t="s">
        <v>27254</v>
      </c>
      <c r="T10064" t="s">
        <v>27255</v>
      </c>
    </row>
    <row r="10065" spans="1:20" x14ac:dyDescent="0.3">
      <c r="A10065" t="str">
        <f>"0611838071100"</f>
        <v>0611838071100</v>
      </c>
      <c r="B10065" t="str">
        <f>"LK5116"</f>
        <v>LK5116</v>
      </c>
      <c r="C10065" t="s">
        <v>46783</v>
      </c>
      <c r="D10065" t="s">
        <v>27245</v>
      </c>
      <c r="E10065" t="str">
        <f t="shared" si="157"/>
        <v>001390</v>
      </c>
      <c r="F10065" t="s">
        <v>27246</v>
      </c>
      <c r="G10065" t="s">
        <v>27247</v>
      </c>
      <c r="H10065" t="s">
        <v>27248</v>
      </c>
      <c r="I10065" t="s">
        <v>46784</v>
      </c>
      <c r="J10065" t="s">
        <v>20254</v>
      </c>
      <c r="L10065" t="s">
        <v>27250</v>
      </c>
      <c r="M10065" t="s">
        <v>27251</v>
      </c>
      <c r="N10065" t="s">
        <v>27252</v>
      </c>
      <c r="Q10065" s="1">
        <v>44538</v>
      </c>
      <c r="R10065" t="s">
        <v>27253</v>
      </c>
      <c r="S10065" t="s">
        <v>27254</v>
      </c>
      <c r="T10065" t="s">
        <v>27255</v>
      </c>
    </row>
    <row r="10066" spans="1:20" x14ac:dyDescent="0.3">
      <c r="A10066" t="str">
        <f>"0611838072100"</f>
        <v>0611838072100</v>
      </c>
      <c r="B10066" t="str">
        <f>"LK4347"</f>
        <v>LK4347</v>
      </c>
      <c r="C10066" t="s">
        <v>46785</v>
      </c>
      <c r="D10066" t="s">
        <v>27245</v>
      </c>
      <c r="E10066" t="str">
        <f t="shared" si="157"/>
        <v>001390</v>
      </c>
      <c r="F10066" t="s">
        <v>27246</v>
      </c>
      <c r="G10066" t="s">
        <v>27247</v>
      </c>
      <c r="H10066" t="s">
        <v>27248</v>
      </c>
      <c r="I10066" t="s">
        <v>46786</v>
      </c>
      <c r="J10066" t="s">
        <v>20256</v>
      </c>
      <c r="L10066" t="s">
        <v>27250</v>
      </c>
      <c r="M10066" t="s">
        <v>27251</v>
      </c>
      <c r="N10066" t="s">
        <v>27252</v>
      </c>
      <c r="Q10066" s="1">
        <v>44538</v>
      </c>
      <c r="R10066" t="s">
        <v>27253</v>
      </c>
      <c r="S10066" t="s">
        <v>27254</v>
      </c>
      <c r="T10066" t="s">
        <v>27255</v>
      </c>
    </row>
    <row r="10067" spans="1:20" x14ac:dyDescent="0.3">
      <c r="A10067" t="str">
        <f>"0611838073100"</f>
        <v>0611838073100</v>
      </c>
      <c r="B10067" t="str">
        <f>"LK4348"</f>
        <v>LK4348</v>
      </c>
      <c r="C10067" t="s">
        <v>46787</v>
      </c>
      <c r="D10067" t="s">
        <v>27245</v>
      </c>
      <c r="E10067" t="str">
        <f t="shared" si="157"/>
        <v>001390</v>
      </c>
      <c r="F10067" t="s">
        <v>27246</v>
      </c>
      <c r="G10067" t="s">
        <v>27247</v>
      </c>
      <c r="H10067" t="s">
        <v>27248</v>
      </c>
      <c r="I10067" t="s">
        <v>46788</v>
      </c>
      <c r="J10067" t="s">
        <v>20258</v>
      </c>
      <c r="L10067" t="s">
        <v>27250</v>
      </c>
      <c r="M10067" t="s">
        <v>27251</v>
      </c>
      <c r="N10067" t="s">
        <v>27252</v>
      </c>
      <c r="Q10067" s="1">
        <v>44538</v>
      </c>
      <c r="R10067" t="s">
        <v>27253</v>
      </c>
      <c r="S10067" t="s">
        <v>27254</v>
      </c>
      <c r="T10067" t="s">
        <v>27255</v>
      </c>
    </row>
    <row r="10068" spans="1:20" x14ac:dyDescent="0.3">
      <c r="A10068" t="str">
        <f>"0611838074100"</f>
        <v>0611838074100</v>
      </c>
      <c r="B10068" t="str">
        <f>"LK5117"</f>
        <v>LK5117</v>
      </c>
      <c r="C10068" t="s">
        <v>46789</v>
      </c>
      <c r="D10068" t="s">
        <v>27245</v>
      </c>
      <c r="E10068" t="str">
        <f t="shared" si="157"/>
        <v>001390</v>
      </c>
      <c r="F10068" t="s">
        <v>27246</v>
      </c>
      <c r="G10068" t="s">
        <v>27247</v>
      </c>
      <c r="H10068" t="s">
        <v>27248</v>
      </c>
      <c r="I10068" t="s">
        <v>46790</v>
      </c>
      <c r="J10068" t="s">
        <v>20260</v>
      </c>
      <c r="L10068" t="s">
        <v>27250</v>
      </c>
      <c r="M10068" t="s">
        <v>27251</v>
      </c>
      <c r="N10068" t="s">
        <v>27252</v>
      </c>
      <c r="Q10068" s="1">
        <v>44538</v>
      </c>
      <c r="R10068" t="s">
        <v>27253</v>
      </c>
      <c r="S10068" t="s">
        <v>27254</v>
      </c>
      <c r="T10068" t="s">
        <v>27255</v>
      </c>
    </row>
    <row r="10069" spans="1:20" x14ac:dyDescent="0.3">
      <c r="A10069" t="str">
        <f>"0611838075100"</f>
        <v>0611838075100</v>
      </c>
      <c r="B10069" t="str">
        <f>"LK5600"</f>
        <v>LK5600</v>
      </c>
      <c r="C10069" t="s">
        <v>46791</v>
      </c>
      <c r="D10069" t="s">
        <v>27245</v>
      </c>
      <c r="E10069" t="str">
        <f t="shared" si="157"/>
        <v>001390</v>
      </c>
      <c r="F10069" t="s">
        <v>27246</v>
      </c>
      <c r="G10069" t="s">
        <v>27247</v>
      </c>
      <c r="H10069" t="s">
        <v>27248</v>
      </c>
      <c r="I10069" t="s">
        <v>46792</v>
      </c>
      <c r="J10069" t="s">
        <v>20262</v>
      </c>
      <c r="L10069" t="s">
        <v>27250</v>
      </c>
      <c r="M10069" t="s">
        <v>27251</v>
      </c>
      <c r="N10069" t="s">
        <v>27252</v>
      </c>
      <c r="Q10069" s="1">
        <v>44538</v>
      </c>
      <c r="R10069" t="s">
        <v>27253</v>
      </c>
      <c r="S10069" t="s">
        <v>27254</v>
      </c>
      <c r="T10069" t="s">
        <v>27255</v>
      </c>
    </row>
    <row r="10070" spans="1:20" x14ac:dyDescent="0.3">
      <c r="A10070" t="str">
        <f>"0611838076100"</f>
        <v>0611838076100</v>
      </c>
      <c r="B10070" t="str">
        <f>"LQ6214"</f>
        <v>LQ6214</v>
      </c>
      <c r="C10070" t="s">
        <v>46793</v>
      </c>
      <c r="D10070" t="s">
        <v>27245</v>
      </c>
      <c r="E10070" t="str">
        <f t="shared" si="157"/>
        <v>001390</v>
      </c>
      <c r="F10070" t="s">
        <v>27246</v>
      </c>
      <c r="G10070" t="s">
        <v>27247</v>
      </c>
      <c r="H10070" t="s">
        <v>27248</v>
      </c>
      <c r="I10070" t="s">
        <v>46794</v>
      </c>
      <c r="J10070" t="s">
        <v>20264</v>
      </c>
      <c r="L10070" t="s">
        <v>27250</v>
      </c>
      <c r="M10070" t="s">
        <v>27251</v>
      </c>
      <c r="N10070" t="s">
        <v>27252</v>
      </c>
      <c r="Q10070" s="1">
        <v>44538</v>
      </c>
      <c r="R10070" t="s">
        <v>27253</v>
      </c>
      <c r="S10070" t="s">
        <v>27254</v>
      </c>
      <c r="T10070" t="s">
        <v>27255</v>
      </c>
    </row>
    <row r="10071" spans="1:20" x14ac:dyDescent="0.3">
      <c r="A10071" t="str">
        <f>"0611838077100"</f>
        <v>0611838077100</v>
      </c>
      <c r="B10071" t="str">
        <f>"LK5318"</f>
        <v>LK5318</v>
      </c>
      <c r="C10071" t="s">
        <v>46795</v>
      </c>
      <c r="D10071" t="s">
        <v>27245</v>
      </c>
      <c r="E10071" t="str">
        <f t="shared" si="157"/>
        <v>001390</v>
      </c>
      <c r="F10071" t="s">
        <v>27246</v>
      </c>
      <c r="G10071" t="s">
        <v>27247</v>
      </c>
      <c r="H10071" t="s">
        <v>27248</v>
      </c>
      <c r="I10071" t="s">
        <v>46796</v>
      </c>
      <c r="J10071" t="s">
        <v>20266</v>
      </c>
      <c r="L10071" t="s">
        <v>27250</v>
      </c>
      <c r="M10071" t="s">
        <v>27251</v>
      </c>
      <c r="N10071" t="s">
        <v>27252</v>
      </c>
      <c r="Q10071" s="1">
        <v>44538</v>
      </c>
      <c r="R10071" t="s">
        <v>27253</v>
      </c>
      <c r="S10071" t="s">
        <v>27254</v>
      </c>
      <c r="T10071" t="s">
        <v>27255</v>
      </c>
    </row>
    <row r="10072" spans="1:20" x14ac:dyDescent="0.3">
      <c r="A10072" t="str">
        <f>"0611838081100"</f>
        <v>0611838081100</v>
      </c>
      <c r="B10072" t="str">
        <f>"LB7493"</f>
        <v>LB7493</v>
      </c>
      <c r="C10072" t="s">
        <v>46797</v>
      </c>
      <c r="D10072" t="s">
        <v>27245</v>
      </c>
      <c r="E10072" t="str">
        <f t="shared" si="157"/>
        <v>001390</v>
      </c>
      <c r="F10072" t="s">
        <v>27246</v>
      </c>
      <c r="G10072" t="s">
        <v>27247</v>
      </c>
      <c r="H10072" t="s">
        <v>27248</v>
      </c>
      <c r="I10072" t="s">
        <v>46798</v>
      </c>
      <c r="J10072" t="s">
        <v>20268</v>
      </c>
      <c r="L10072" t="s">
        <v>27250</v>
      </c>
      <c r="M10072" t="s">
        <v>27251</v>
      </c>
      <c r="N10072" t="s">
        <v>27252</v>
      </c>
      <c r="Q10072" s="1">
        <v>44538</v>
      </c>
      <c r="R10072" t="s">
        <v>27253</v>
      </c>
      <c r="S10072" t="s">
        <v>27254</v>
      </c>
      <c r="T10072" t="s">
        <v>27255</v>
      </c>
    </row>
    <row r="10073" spans="1:20" x14ac:dyDescent="0.3">
      <c r="A10073" t="str">
        <f>"0611838083100"</f>
        <v>0611838083100</v>
      </c>
      <c r="B10073" t="str">
        <f>"LK6424"</f>
        <v>LK6424</v>
      </c>
      <c r="C10073" t="s">
        <v>46799</v>
      </c>
      <c r="D10073" t="s">
        <v>27245</v>
      </c>
      <c r="E10073" t="str">
        <f t="shared" si="157"/>
        <v>001390</v>
      </c>
      <c r="F10073" t="s">
        <v>27246</v>
      </c>
      <c r="G10073" t="s">
        <v>27247</v>
      </c>
      <c r="H10073" t="s">
        <v>27248</v>
      </c>
      <c r="I10073" t="s">
        <v>46800</v>
      </c>
      <c r="J10073" t="s">
        <v>20270</v>
      </c>
      <c r="L10073" t="s">
        <v>27250</v>
      </c>
      <c r="M10073" t="s">
        <v>27251</v>
      </c>
      <c r="N10073" t="s">
        <v>27252</v>
      </c>
      <c r="Q10073" s="1">
        <v>44538</v>
      </c>
      <c r="R10073" t="s">
        <v>27253</v>
      </c>
      <c r="S10073" t="s">
        <v>27254</v>
      </c>
      <c r="T10073" t="s">
        <v>27255</v>
      </c>
    </row>
    <row r="10074" spans="1:20" x14ac:dyDescent="0.3">
      <c r="A10074" t="str">
        <f>"0611838084100"</f>
        <v>0611838084100</v>
      </c>
      <c r="B10074" t="str">
        <f>"LK6426"</f>
        <v>LK6426</v>
      </c>
      <c r="C10074" t="s">
        <v>46801</v>
      </c>
      <c r="D10074" t="s">
        <v>27245</v>
      </c>
      <c r="E10074" t="str">
        <f t="shared" si="157"/>
        <v>001390</v>
      </c>
      <c r="F10074" t="s">
        <v>27246</v>
      </c>
      <c r="G10074" t="s">
        <v>27247</v>
      </c>
      <c r="H10074" t="s">
        <v>27248</v>
      </c>
      <c r="I10074" t="s">
        <v>46802</v>
      </c>
      <c r="J10074" t="s">
        <v>20274</v>
      </c>
      <c r="L10074" t="s">
        <v>27250</v>
      </c>
      <c r="M10074" t="s">
        <v>27251</v>
      </c>
      <c r="N10074" t="s">
        <v>27252</v>
      </c>
      <c r="Q10074" s="1">
        <v>44538</v>
      </c>
      <c r="R10074" t="s">
        <v>27253</v>
      </c>
      <c r="S10074" t="s">
        <v>27254</v>
      </c>
      <c r="T10074" t="s">
        <v>27255</v>
      </c>
    </row>
    <row r="10075" spans="1:20" x14ac:dyDescent="0.3">
      <c r="A10075" t="str">
        <f>"0611838085100"</f>
        <v>0611838085100</v>
      </c>
      <c r="B10075" t="str">
        <f>"LK6425"</f>
        <v>LK6425</v>
      </c>
      <c r="C10075" t="s">
        <v>46803</v>
      </c>
      <c r="D10075" t="s">
        <v>27245</v>
      </c>
      <c r="E10075" t="str">
        <f t="shared" si="157"/>
        <v>001390</v>
      </c>
      <c r="F10075" t="s">
        <v>27246</v>
      </c>
      <c r="G10075" t="s">
        <v>27247</v>
      </c>
      <c r="H10075" t="s">
        <v>27248</v>
      </c>
      <c r="I10075" t="s">
        <v>46804</v>
      </c>
      <c r="J10075" t="s">
        <v>20272</v>
      </c>
      <c r="L10075" t="s">
        <v>27250</v>
      </c>
      <c r="M10075" t="s">
        <v>27251</v>
      </c>
      <c r="N10075" t="s">
        <v>27252</v>
      </c>
      <c r="Q10075" s="1">
        <v>44538</v>
      </c>
      <c r="R10075" t="s">
        <v>27253</v>
      </c>
      <c r="S10075" t="s">
        <v>27254</v>
      </c>
      <c r="T10075" t="s">
        <v>27255</v>
      </c>
    </row>
    <row r="10076" spans="1:20" x14ac:dyDescent="0.3">
      <c r="A10076" t="str">
        <f>"0611838086100"</f>
        <v>0611838086100</v>
      </c>
      <c r="B10076" t="str">
        <f>"LK6427"</f>
        <v>LK6427</v>
      </c>
      <c r="C10076" t="s">
        <v>46805</v>
      </c>
      <c r="D10076" t="s">
        <v>27245</v>
      </c>
      <c r="E10076" t="str">
        <f t="shared" si="157"/>
        <v>001390</v>
      </c>
      <c r="F10076" t="s">
        <v>27246</v>
      </c>
      <c r="G10076" t="s">
        <v>27247</v>
      </c>
      <c r="H10076" t="s">
        <v>27248</v>
      </c>
      <c r="I10076" t="s">
        <v>46806</v>
      </c>
      <c r="J10076" t="s">
        <v>20276</v>
      </c>
      <c r="L10076" t="s">
        <v>27250</v>
      </c>
      <c r="M10076" t="s">
        <v>27251</v>
      </c>
      <c r="N10076" t="s">
        <v>27252</v>
      </c>
      <c r="Q10076" s="1">
        <v>44538</v>
      </c>
      <c r="R10076" t="s">
        <v>27253</v>
      </c>
      <c r="S10076" t="s">
        <v>27254</v>
      </c>
      <c r="T10076" t="s">
        <v>27255</v>
      </c>
    </row>
    <row r="10077" spans="1:20" x14ac:dyDescent="0.3">
      <c r="A10077" t="str">
        <f>"0611838087100"</f>
        <v>0611838087100</v>
      </c>
      <c r="B10077" t="str">
        <f>"LK6428"</f>
        <v>LK6428</v>
      </c>
      <c r="C10077" t="s">
        <v>46807</v>
      </c>
      <c r="D10077" t="s">
        <v>27245</v>
      </c>
      <c r="E10077" t="str">
        <f t="shared" si="157"/>
        <v>001390</v>
      </c>
      <c r="F10077" t="s">
        <v>27246</v>
      </c>
      <c r="G10077" t="s">
        <v>27247</v>
      </c>
      <c r="H10077" t="s">
        <v>27248</v>
      </c>
      <c r="I10077" t="s">
        <v>46808</v>
      </c>
      <c r="J10077" t="s">
        <v>20278</v>
      </c>
      <c r="L10077" t="s">
        <v>27250</v>
      </c>
      <c r="M10077" t="s">
        <v>27251</v>
      </c>
      <c r="N10077" t="s">
        <v>27252</v>
      </c>
      <c r="Q10077" s="1">
        <v>44538</v>
      </c>
      <c r="R10077" t="s">
        <v>27253</v>
      </c>
      <c r="S10077" t="s">
        <v>27254</v>
      </c>
      <c r="T10077" t="s">
        <v>27255</v>
      </c>
    </row>
    <row r="10078" spans="1:20" x14ac:dyDescent="0.3">
      <c r="A10078" t="str">
        <f>"0611838088100"</f>
        <v>0611838088100</v>
      </c>
      <c r="B10078" t="str">
        <f>"LK6429"</f>
        <v>LK6429</v>
      </c>
      <c r="C10078" t="s">
        <v>46809</v>
      </c>
      <c r="D10078" t="s">
        <v>27245</v>
      </c>
      <c r="E10078" t="str">
        <f t="shared" si="157"/>
        <v>001390</v>
      </c>
      <c r="F10078" t="s">
        <v>27246</v>
      </c>
      <c r="G10078" t="s">
        <v>27247</v>
      </c>
      <c r="H10078" t="s">
        <v>27248</v>
      </c>
      <c r="I10078" t="s">
        <v>46810</v>
      </c>
      <c r="J10078" t="s">
        <v>20280</v>
      </c>
      <c r="L10078" t="s">
        <v>27250</v>
      </c>
      <c r="M10078" t="s">
        <v>27251</v>
      </c>
      <c r="N10078" t="s">
        <v>27252</v>
      </c>
      <c r="Q10078" s="1">
        <v>44538</v>
      </c>
      <c r="R10078" t="s">
        <v>27253</v>
      </c>
      <c r="S10078" t="s">
        <v>27254</v>
      </c>
      <c r="T10078" t="s">
        <v>27255</v>
      </c>
    </row>
    <row r="10079" spans="1:20" x14ac:dyDescent="0.3">
      <c r="A10079" t="str">
        <f>"0611838089100"</f>
        <v>0611838089100</v>
      </c>
      <c r="B10079" t="str">
        <f>"LK6430"</f>
        <v>LK6430</v>
      </c>
      <c r="C10079" t="s">
        <v>46811</v>
      </c>
      <c r="D10079" t="s">
        <v>27245</v>
      </c>
      <c r="E10079" t="str">
        <f t="shared" si="157"/>
        <v>001390</v>
      </c>
      <c r="F10079" t="s">
        <v>27246</v>
      </c>
      <c r="G10079" t="s">
        <v>27247</v>
      </c>
      <c r="H10079" t="s">
        <v>27248</v>
      </c>
      <c r="I10079" t="s">
        <v>46812</v>
      </c>
      <c r="J10079" t="s">
        <v>20282</v>
      </c>
      <c r="L10079" t="s">
        <v>27250</v>
      </c>
      <c r="M10079" t="s">
        <v>27251</v>
      </c>
      <c r="N10079" t="s">
        <v>27252</v>
      </c>
      <c r="Q10079" s="1">
        <v>44538</v>
      </c>
      <c r="R10079" t="s">
        <v>27253</v>
      </c>
      <c r="S10079" t="s">
        <v>27254</v>
      </c>
      <c r="T10079" t="s">
        <v>27255</v>
      </c>
    </row>
    <row r="10080" spans="1:20" x14ac:dyDescent="0.3">
      <c r="A10080" t="str">
        <f>"0611857073100"</f>
        <v>0611857073100</v>
      </c>
      <c r="B10080" t="str">
        <f>"LK7100"</f>
        <v>LK7100</v>
      </c>
      <c r="C10080" t="s">
        <v>46813</v>
      </c>
      <c r="D10080" t="s">
        <v>27245</v>
      </c>
      <c r="E10080" t="str">
        <f t="shared" si="157"/>
        <v>001390</v>
      </c>
      <c r="F10080" t="s">
        <v>27246</v>
      </c>
      <c r="G10080" t="s">
        <v>27247</v>
      </c>
      <c r="H10080" t="s">
        <v>27248</v>
      </c>
      <c r="I10080" t="s">
        <v>46814</v>
      </c>
      <c r="J10080" t="s">
        <v>20284</v>
      </c>
      <c r="L10080" t="s">
        <v>27250</v>
      </c>
      <c r="M10080" t="s">
        <v>27251</v>
      </c>
      <c r="N10080" t="s">
        <v>27252</v>
      </c>
      <c r="Q10080" s="1">
        <v>44812</v>
      </c>
      <c r="R10080" t="s">
        <v>27253</v>
      </c>
      <c r="S10080" t="s">
        <v>27254</v>
      </c>
      <c r="T10080" t="s">
        <v>27255</v>
      </c>
    </row>
    <row r="10081" spans="1:20" x14ac:dyDescent="0.3">
      <c r="A10081" t="str">
        <f>"0611838090100"</f>
        <v>0611838090100</v>
      </c>
      <c r="B10081" t="str">
        <f>"LK6431"</f>
        <v>LK6431</v>
      </c>
      <c r="C10081" t="s">
        <v>46815</v>
      </c>
      <c r="D10081" t="s">
        <v>27245</v>
      </c>
      <c r="E10081" t="str">
        <f t="shared" si="157"/>
        <v>001390</v>
      </c>
      <c r="F10081" t="s">
        <v>27246</v>
      </c>
      <c r="G10081" t="s">
        <v>27247</v>
      </c>
      <c r="H10081" t="s">
        <v>27248</v>
      </c>
      <c r="I10081" t="s">
        <v>46816</v>
      </c>
      <c r="J10081" t="s">
        <v>20286</v>
      </c>
      <c r="L10081" t="s">
        <v>27250</v>
      </c>
      <c r="M10081" t="s">
        <v>27251</v>
      </c>
      <c r="N10081" t="s">
        <v>27252</v>
      </c>
      <c r="Q10081" s="1">
        <v>44538</v>
      </c>
      <c r="R10081" t="s">
        <v>27253</v>
      </c>
      <c r="S10081" t="s">
        <v>27254</v>
      </c>
      <c r="T10081" t="s">
        <v>27255</v>
      </c>
    </row>
    <row r="10082" spans="1:20" x14ac:dyDescent="0.3">
      <c r="A10082" t="str">
        <f>"0611838091100"</f>
        <v>0611838091100</v>
      </c>
      <c r="B10082" t="str">
        <f>"LK6432"</f>
        <v>LK6432</v>
      </c>
      <c r="C10082" t="s">
        <v>46817</v>
      </c>
      <c r="D10082" t="s">
        <v>27245</v>
      </c>
      <c r="E10082" t="str">
        <f t="shared" si="157"/>
        <v>001390</v>
      </c>
      <c r="F10082" t="s">
        <v>27246</v>
      </c>
      <c r="G10082" t="s">
        <v>27247</v>
      </c>
      <c r="H10082" t="s">
        <v>27248</v>
      </c>
      <c r="I10082" t="s">
        <v>46818</v>
      </c>
      <c r="J10082" t="s">
        <v>20288</v>
      </c>
      <c r="L10082" t="s">
        <v>27250</v>
      </c>
      <c r="M10082" t="s">
        <v>27251</v>
      </c>
      <c r="N10082" t="s">
        <v>27252</v>
      </c>
      <c r="Q10082" s="1">
        <v>44538</v>
      </c>
      <c r="R10082" t="s">
        <v>27253</v>
      </c>
      <c r="S10082" t="s">
        <v>27254</v>
      </c>
      <c r="T10082" t="s">
        <v>27255</v>
      </c>
    </row>
    <row r="10083" spans="1:20" x14ac:dyDescent="0.3">
      <c r="A10083" t="str">
        <f>"0611838092100"</f>
        <v>0611838092100</v>
      </c>
      <c r="B10083" t="str">
        <f>"LK6433"</f>
        <v>LK6433</v>
      </c>
      <c r="C10083" t="s">
        <v>46819</v>
      </c>
      <c r="D10083" t="s">
        <v>27245</v>
      </c>
      <c r="E10083" t="str">
        <f t="shared" si="157"/>
        <v>001390</v>
      </c>
      <c r="F10083" t="s">
        <v>27246</v>
      </c>
      <c r="G10083" t="s">
        <v>27247</v>
      </c>
      <c r="H10083" t="s">
        <v>27248</v>
      </c>
      <c r="I10083" t="s">
        <v>46820</v>
      </c>
      <c r="J10083" t="s">
        <v>20290</v>
      </c>
      <c r="L10083" t="s">
        <v>27250</v>
      </c>
      <c r="M10083" t="s">
        <v>27251</v>
      </c>
      <c r="N10083" t="s">
        <v>27252</v>
      </c>
      <c r="Q10083" s="1">
        <v>44538</v>
      </c>
      <c r="R10083" t="s">
        <v>27253</v>
      </c>
      <c r="S10083" t="s">
        <v>27254</v>
      </c>
      <c r="T10083" t="s">
        <v>27255</v>
      </c>
    </row>
    <row r="10084" spans="1:20" x14ac:dyDescent="0.3">
      <c r="A10084" t="str">
        <f>"0611838093100"</f>
        <v>0611838093100</v>
      </c>
      <c r="B10084" t="str">
        <f>"LK6437"</f>
        <v>LK6437</v>
      </c>
      <c r="C10084" t="s">
        <v>46821</v>
      </c>
      <c r="D10084" t="s">
        <v>27245</v>
      </c>
      <c r="E10084" t="str">
        <f t="shared" si="157"/>
        <v>001390</v>
      </c>
      <c r="F10084" t="s">
        <v>27246</v>
      </c>
      <c r="G10084" t="s">
        <v>27247</v>
      </c>
      <c r="H10084" t="s">
        <v>27248</v>
      </c>
      <c r="I10084" t="s">
        <v>46822</v>
      </c>
      <c r="J10084" t="s">
        <v>20292</v>
      </c>
      <c r="L10084" t="s">
        <v>27250</v>
      </c>
      <c r="M10084" t="s">
        <v>27251</v>
      </c>
      <c r="N10084" t="s">
        <v>27252</v>
      </c>
      <c r="Q10084" s="1">
        <v>44538</v>
      </c>
      <c r="R10084" t="s">
        <v>27253</v>
      </c>
      <c r="S10084" t="s">
        <v>27254</v>
      </c>
      <c r="T10084" t="s">
        <v>27255</v>
      </c>
    </row>
    <row r="10085" spans="1:20" x14ac:dyDescent="0.3">
      <c r="A10085" t="str">
        <f>"0611838094100"</f>
        <v>0611838094100</v>
      </c>
      <c r="B10085" t="str">
        <f>"LK6434"</f>
        <v>LK6434</v>
      </c>
      <c r="C10085" t="s">
        <v>46823</v>
      </c>
      <c r="D10085" t="s">
        <v>27245</v>
      </c>
      <c r="E10085" t="str">
        <f t="shared" si="157"/>
        <v>001390</v>
      </c>
      <c r="F10085" t="s">
        <v>27246</v>
      </c>
      <c r="G10085" t="s">
        <v>27247</v>
      </c>
      <c r="H10085" t="s">
        <v>27248</v>
      </c>
      <c r="I10085" t="s">
        <v>46824</v>
      </c>
      <c r="J10085" t="s">
        <v>20294</v>
      </c>
      <c r="L10085" t="s">
        <v>27250</v>
      </c>
      <c r="M10085" t="s">
        <v>27251</v>
      </c>
      <c r="N10085" t="s">
        <v>27252</v>
      </c>
      <c r="Q10085" s="1">
        <v>44538</v>
      </c>
      <c r="R10085" t="s">
        <v>27253</v>
      </c>
      <c r="S10085" t="s">
        <v>27254</v>
      </c>
      <c r="T10085" t="s">
        <v>27255</v>
      </c>
    </row>
    <row r="10086" spans="1:20" x14ac:dyDescent="0.3">
      <c r="A10086" t="str">
        <f>"0611838096100"</f>
        <v>0611838096100</v>
      </c>
      <c r="B10086" t="str">
        <f>"LK6436"</f>
        <v>LK6436</v>
      </c>
      <c r="C10086" t="s">
        <v>46825</v>
      </c>
      <c r="D10086" t="s">
        <v>27245</v>
      </c>
      <c r="E10086" t="str">
        <f t="shared" si="157"/>
        <v>001390</v>
      </c>
      <c r="F10086" t="s">
        <v>27246</v>
      </c>
      <c r="G10086" t="s">
        <v>27247</v>
      </c>
      <c r="H10086" t="s">
        <v>27248</v>
      </c>
      <c r="I10086" t="s">
        <v>46826</v>
      </c>
      <c r="J10086" t="s">
        <v>20296</v>
      </c>
      <c r="L10086" t="s">
        <v>27250</v>
      </c>
      <c r="M10086" t="s">
        <v>27251</v>
      </c>
      <c r="N10086" t="s">
        <v>27252</v>
      </c>
      <c r="Q10086" s="1">
        <v>44538</v>
      </c>
      <c r="R10086" t="s">
        <v>27253</v>
      </c>
      <c r="S10086" t="s">
        <v>27254</v>
      </c>
      <c r="T10086" t="s">
        <v>27255</v>
      </c>
    </row>
    <row r="10087" spans="1:20" x14ac:dyDescent="0.3">
      <c r="A10087" t="str">
        <f>"0611838097100"</f>
        <v>0611838097100</v>
      </c>
      <c r="B10087" t="str">
        <f>"LK6122"</f>
        <v>LK6122</v>
      </c>
      <c r="C10087" t="s">
        <v>46827</v>
      </c>
      <c r="D10087" t="s">
        <v>27245</v>
      </c>
      <c r="E10087" t="str">
        <f t="shared" si="157"/>
        <v>001390</v>
      </c>
      <c r="F10087" t="s">
        <v>27246</v>
      </c>
      <c r="G10087" t="s">
        <v>27247</v>
      </c>
      <c r="H10087" t="s">
        <v>27248</v>
      </c>
      <c r="I10087" t="s">
        <v>46828</v>
      </c>
      <c r="J10087" t="s">
        <v>20298</v>
      </c>
      <c r="L10087" t="s">
        <v>27250</v>
      </c>
      <c r="M10087" t="s">
        <v>27251</v>
      </c>
      <c r="N10087" t="s">
        <v>27252</v>
      </c>
      <c r="Q10087" s="1">
        <v>44538</v>
      </c>
      <c r="R10087" t="s">
        <v>27253</v>
      </c>
      <c r="S10087" t="s">
        <v>27254</v>
      </c>
      <c r="T10087" t="s">
        <v>27255</v>
      </c>
    </row>
    <row r="10088" spans="1:20" x14ac:dyDescent="0.3">
      <c r="A10088" t="str">
        <f>"0611838100100"</f>
        <v>0611838100100</v>
      </c>
      <c r="B10088" t="str">
        <f>"LK6438"</f>
        <v>LK6438</v>
      </c>
      <c r="C10088" t="s">
        <v>46829</v>
      </c>
      <c r="D10088" t="s">
        <v>27245</v>
      </c>
      <c r="E10088" t="str">
        <f t="shared" si="157"/>
        <v>001390</v>
      </c>
      <c r="F10088" t="s">
        <v>27246</v>
      </c>
      <c r="G10088" t="s">
        <v>27247</v>
      </c>
      <c r="H10088" t="s">
        <v>27248</v>
      </c>
      <c r="I10088" t="s">
        <v>46830</v>
      </c>
      <c r="J10088" t="s">
        <v>20300</v>
      </c>
      <c r="L10088" t="s">
        <v>27250</v>
      </c>
      <c r="M10088" t="s">
        <v>27251</v>
      </c>
      <c r="N10088" t="s">
        <v>27252</v>
      </c>
      <c r="Q10088" s="1">
        <v>44538</v>
      </c>
      <c r="R10088" t="s">
        <v>27253</v>
      </c>
      <c r="S10088" t="s">
        <v>27254</v>
      </c>
      <c r="T10088" t="s">
        <v>27255</v>
      </c>
    </row>
    <row r="10089" spans="1:20" x14ac:dyDescent="0.3">
      <c r="A10089" t="str">
        <f>"0611838101100"</f>
        <v>0611838101100</v>
      </c>
      <c r="B10089" t="str">
        <f>"LK6439"</f>
        <v>LK6439</v>
      </c>
      <c r="C10089" t="s">
        <v>46831</v>
      </c>
      <c r="D10089" t="s">
        <v>27245</v>
      </c>
      <c r="E10089" t="str">
        <f t="shared" si="157"/>
        <v>001390</v>
      </c>
      <c r="F10089" t="s">
        <v>27246</v>
      </c>
      <c r="G10089" t="s">
        <v>27247</v>
      </c>
      <c r="H10089" t="s">
        <v>27248</v>
      </c>
      <c r="I10089" t="s">
        <v>46832</v>
      </c>
      <c r="J10089" t="s">
        <v>20302</v>
      </c>
      <c r="L10089" t="s">
        <v>27250</v>
      </c>
      <c r="M10089" t="s">
        <v>27251</v>
      </c>
      <c r="N10089" t="s">
        <v>27252</v>
      </c>
      <c r="Q10089" s="1">
        <v>44538</v>
      </c>
      <c r="R10089" t="s">
        <v>27253</v>
      </c>
      <c r="S10089" t="s">
        <v>27254</v>
      </c>
      <c r="T10089" t="s">
        <v>27255</v>
      </c>
    </row>
    <row r="10090" spans="1:20" x14ac:dyDescent="0.3">
      <c r="A10090" t="str">
        <f>"0611838102100"</f>
        <v>0611838102100</v>
      </c>
      <c r="B10090" t="str">
        <f>"LK6876"</f>
        <v>LK6876</v>
      </c>
      <c r="C10090" t="s">
        <v>46833</v>
      </c>
      <c r="D10090" t="s">
        <v>27245</v>
      </c>
      <c r="E10090" t="str">
        <f t="shared" si="157"/>
        <v>001390</v>
      </c>
      <c r="F10090" t="s">
        <v>27246</v>
      </c>
      <c r="G10090" t="s">
        <v>27247</v>
      </c>
      <c r="H10090" t="s">
        <v>27248</v>
      </c>
      <c r="I10090" t="s">
        <v>46834</v>
      </c>
      <c r="J10090" t="s">
        <v>20304</v>
      </c>
      <c r="L10090" t="s">
        <v>27250</v>
      </c>
      <c r="M10090" t="s">
        <v>27251</v>
      </c>
      <c r="N10090" t="s">
        <v>27252</v>
      </c>
      <c r="Q10090" s="1">
        <v>44538</v>
      </c>
      <c r="R10090" t="s">
        <v>27253</v>
      </c>
      <c r="S10090" t="s">
        <v>27254</v>
      </c>
      <c r="T10090" t="s">
        <v>27255</v>
      </c>
    </row>
    <row r="10091" spans="1:20" x14ac:dyDescent="0.3">
      <c r="A10091" t="str">
        <f>"0611838103100"</f>
        <v>0611838103100</v>
      </c>
      <c r="B10091" t="str">
        <f>"LK6440"</f>
        <v>LK6440</v>
      </c>
      <c r="C10091" t="s">
        <v>46835</v>
      </c>
      <c r="D10091" t="s">
        <v>27245</v>
      </c>
      <c r="E10091" t="str">
        <f t="shared" si="157"/>
        <v>001390</v>
      </c>
      <c r="F10091" t="s">
        <v>27246</v>
      </c>
      <c r="G10091" t="s">
        <v>27247</v>
      </c>
      <c r="H10091" t="s">
        <v>27248</v>
      </c>
      <c r="I10091" t="s">
        <v>46836</v>
      </c>
      <c r="J10091" t="s">
        <v>20306</v>
      </c>
      <c r="L10091" t="s">
        <v>27250</v>
      </c>
      <c r="M10091" t="s">
        <v>27251</v>
      </c>
      <c r="N10091" t="s">
        <v>27252</v>
      </c>
      <c r="Q10091" s="1">
        <v>44538</v>
      </c>
      <c r="R10091" t="s">
        <v>27253</v>
      </c>
      <c r="S10091" t="s">
        <v>27254</v>
      </c>
      <c r="T10091" t="s">
        <v>27255</v>
      </c>
    </row>
    <row r="10092" spans="1:20" x14ac:dyDescent="0.3">
      <c r="A10092" t="str">
        <f>"0611838104100"</f>
        <v>0611838104100</v>
      </c>
      <c r="B10092" t="str">
        <f>"LK6441"</f>
        <v>LK6441</v>
      </c>
      <c r="C10092" t="s">
        <v>46837</v>
      </c>
      <c r="D10092" t="s">
        <v>27245</v>
      </c>
      <c r="E10092" t="str">
        <f t="shared" si="157"/>
        <v>001390</v>
      </c>
      <c r="F10092" t="s">
        <v>27246</v>
      </c>
      <c r="G10092" t="s">
        <v>27247</v>
      </c>
      <c r="H10092" t="s">
        <v>27248</v>
      </c>
      <c r="I10092" t="s">
        <v>46838</v>
      </c>
      <c r="J10092" t="s">
        <v>20308</v>
      </c>
      <c r="L10092" t="s">
        <v>27250</v>
      </c>
      <c r="M10092" t="s">
        <v>27251</v>
      </c>
      <c r="N10092" t="s">
        <v>27252</v>
      </c>
      <c r="Q10092" s="1">
        <v>44538</v>
      </c>
      <c r="R10092" t="s">
        <v>27253</v>
      </c>
      <c r="S10092" t="s">
        <v>27254</v>
      </c>
      <c r="T10092" t="s">
        <v>27255</v>
      </c>
    </row>
    <row r="10093" spans="1:20" x14ac:dyDescent="0.3">
      <c r="A10093" t="str">
        <f>"0611838105100"</f>
        <v>0611838105100</v>
      </c>
      <c r="B10093" t="str">
        <f>"LK6442"</f>
        <v>LK6442</v>
      </c>
      <c r="C10093" t="s">
        <v>46839</v>
      </c>
      <c r="D10093" t="s">
        <v>27245</v>
      </c>
      <c r="E10093" t="str">
        <f t="shared" si="157"/>
        <v>001390</v>
      </c>
      <c r="F10093" t="s">
        <v>27246</v>
      </c>
      <c r="G10093" t="s">
        <v>27247</v>
      </c>
      <c r="H10093" t="s">
        <v>27248</v>
      </c>
      <c r="I10093" t="s">
        <v>46840</v>
      </c>
      <c r="J10093" t="s">
        <v>20310</v>
      </c>
      <c r="L10093" t="s">
        <v>27250</v>
      </c>
      <c r="M10093" t="s">
        <v>27251</v>
      </c>
      <c r="N10093" t="s">
        <v>27252</v>
      </c>
      <c r="Q10093" s="1">
        <v>44538</v>
      </c>
      <c r="R10093" t="s">
        <v>27253</v>
      </c>
      <c r="S10093" t="s">
        <v>27254</v>
      </c>
      <c r="T10093" t="s">
        <v>27255</v>
      </c>
    </row>
    <row r="10094" spans="1:20" x14ac:dyDescent="0.3">
      <c r="A10094" t="str">
        <f>"0611838106100"</f>
        <v>0611838106100</v>
      </c>
      <c r="B10094" t="str">
        <f>"LK6443"</f>
        <v>LK6443</v>
      </c>
      <c r="C10094" t="s">
        <v>46841</v>
      </c>
      <c r="D10094" t="s">
        <v>27245</v>
      </c>
      <c r="E10094" t="str">
        <f t="shared" si="157"/>
        <v>001390</v>
      </c>
      <c r="F10094" t="s">
        <v>27246</v>
      </c>
      <c r="G10094" t="s">
        <v>27247</v>
      </c>
      <c r="H10094" t="s">
        <v>27248</v>
      </c>
      <c r="I10094" t="s">
        <v>46842</v>
      </c>
      <c r="J10094" t="s">
        <v>20312</v>
      </c>
      <c r="L10094" t="s">
        <v>27250</v>
      </c>
      <c r="M10094" t="s">
        <v>27251</v>
      </c>
      <c r="N10094" t="s">
        <v>27252</v>
      </c>
      <c r="Q10094" s="1">
        <v>44538</v>
      </c>
      <c r="R10094" t="s">
        <v>27253</v>
      </c>
      <c r="S10094" t="s">
        <v>27254</v>
      </c>
      <c r="T10094" t="s">
        <v>27255</v>
      </c>
    </row>
    <row r="10095" spans="1:20" x14ac:dyDescent="0.3">
      <c r="A10095" t="str">
        <f>"0611857074100"</f>
        <v>0611857074100</v>
      </c>
      <c r="B10095" t="str">
        <f>"LK7099"</f>
        <v>LK7099</v>
      </c>
      <c r="C10095" t="s">
        <v>46843</v>
      </c>
      <c r="D10095" t="s">
        <v>27245</v>
      </c>
      <c r="E10095" t="str">
        <f t="shared" si="157"/>
        <v>001390</v>
      </c>
      <c r="F10095" t="s">
        <v>27246</v>
      </c>
      <c r="G10095" t="s">
        <v>27247</v>
      </c>
      <c r="H10095" t="s">
        <v>27248</v>
      </c>
      <c r="I10095" t="s">
        <v>46844</v>
      </c>
      <c r="J10095" t="s">
        <v>20314</v>
      </c>
      <c r="L10095" t="s">
        <v>27250</v>
      </c>
      <c r="M10095" t="s">
        <v>27251</v>
      </c>
      <c r="N10095" t="s">
        <v>27252</v>
      </c>
      <c r="Q10095" s="1">
        <v>44812</v>
      </c>
      <c r="R10095" t="s">
        <v>27253</v>
      </c>
      <c r="S10095" t="s">
        <v>27254</v>
      </c>
      <c r="T10095" t="s">
        <v>27255</v>
      </c>
    </row>
    <row r="10096" spans="1:20" x14ac:dyDescent="0.3">
      <c r="A10096" t="str">
        <f>"0611838107100"</f>
        <v>0611838107100</v>
      </c>
      <c r="B10096" t="str">
        <f>"LK6444"</f>
        <v>LK6444</v>
      </c>
      <c r="C10096" t="s">
        <v>46845</v>
      </c>
      <c r="D10096" t="s">
        <v>27245</v>
      </c>
      <c r="E10096" t="str">
        <f t="shared" si="157"/>
        <v>001390</v>
      </c>
      <c r="F10096" t="s">
        <v>27246</v>
      </c>
      <c r="G10096" t="s">
        <v>27247</v>
      </c>
      <c r="H10096" t="s">
        <v>27248</v>
      </c>
      <c r="I10096" t="s">
        <v>46846</v>
      </c>
      <c r="J10096" t="s">
        <v>20316</v>
      </c>
      <c r="L10096" t="s">
        <v>27250</v>
      </c>
      <c r="M10096" t="s">
        <v>27251</v>
      </c>
      <c r="N10096" t="s">
        <v>27252</v>
      </c>
      <c r="Q10096" s="1">
        <v>44538</v>
      </c>
      <c r="R10096" t="s">
        <v>27253</v>
      </c>
      <c r="S10096" t="s">
        <v>27254</v>
      </c>
      <c r="T10096" t="s">
        <v>27255</v>
      </c>
    </row>
    <row r="10097" spans="1:20" x14ac:dyDescent="0.3">
      <c r="A10097" t="str">
        <f>"0611838108100"</f>
        <v>0611838108100</v>
      </c>
      <c r="B10097" t="str">
        <f>"LK6445"</f>
        <v>LK6445</v>
      </c>
      <c r="C10097" t="s">
        <v>46847</v>
      </c>
      <c r="D10097" t="s">
        <v>27245</v>
      </c>
      <c r="E10097" t="str">
        <f t="shared" si="157"/>
        <v>001390</v>
      </c>
      <c r="F10097" t="s">
        <v>27246</v>
      </c>
      <c r="G10097" t="s">
        <v>27247</v>
      </c>
      <c r="H10097" t="s">
        <v>27248</v>
      </c>
      <c r="I10097" t="s">
        <v>46848</v>
      </c>
      <c r="J10097" t="s">
        <v>20318</v>
      </c>
      <c r="L10097" t="s">
        <v>27250</v>
      </c>
      <c r="M10097" t="s">
        <v>27251</v>
      </c>
      <c r="N10097" t="s">
        <v>27252</v>
      </c>
      <c r="Q10097" s="1">
        <v>44538</v>
      </c>
      <c r="R10097" t="s">
        <v>27253</v>
      </c>
      <c r="S10097" t="s">
        <v>27254</v>
      </c>
      <c r="T10097" t="s">
        <v>27255</v>
      </c>
    </row>
    <row r="10098" spans="1:20" x14ac:dyDescent="0.3">
      <c r="A10098" t="str">
        <f>"0611838110100"</f>
        <v>0611838110100</v>
      </c>
      <c r="B10098" t="str">
        <f>"LK6126"</f>
        <v>LK6126</v>
      </c>
      <c r="C10098" t="s">
        <v>46849</v>
      </c>
      <c r="D10098" t="s">
        <v>27245</v>
      </c>
      <c r="E10098" t="str">
        <f t="shared" si="157"/>
        <v>001390</v>
      </c>
      <c r="F10098" t="s">
        <v>27246</v>
      </c>
      <c r="G10098" t="s">
        <v>27247</v>
      </c>
      <c r="H10098" t="s">
        <v>27248</v>
      </c>
      <c r="I10098" t="s">
        <v>46850</v>
      </c>
      <c r="J10098" t="s">
        <v>20320</v>
      </c>
      <c r="L10098" t="s">
        <v>27250</v>
      </c>
      <c r="M10098" t="s">
        <v>27251</v>
      </c>
      <c r="N10098" t="s">
        <v>27252</v>
      </c>
      <c r="Q10098" s="1">
        <v>44538</v>
      </c>
      <c r="R10098" t="s">
        <v>27253</v>
      </c>
      <c r="S10098" t="s">
        <v>27254</v>
      </c>
      <c r="T10098" t="s">
        <v>27255</v>
      </c>
    </row>
    <row r="10099" spans="1:20" x14ac:dyDescent="0.3">
      <c r="A10099" t="str">
        <f>"0611838125100"</f>
        <v>0611838125100</v>
      </c>
      <c r="B10099" t="str">
        <f>"LB7501"</f>
        <v>LB7501</v>
      </c>
      <c r="C10099" t="s">
        <v>46851</v>
      </c>
      <c r="D10099" t="s">
        <v>27245</v>
      </c>
      <c r="E10099" t="str">
        <f t="shared" si="157"/>
        <v>001390</v>
      </c>
      <c r="F10099" t="s">
        <v>27246</v>
      </c>
      <c r="G10099" t="s">
        <v>27247</v>
      </c>
      <c r="H10099" t="s">
        <v>27248</v>
      </c>
      <c r="I10099" t="s">
        <v>46852</v>
      </c>
      <c r="J10099" t="s">
        <v>20322</v>
      </c>
      <c r="L10099" t="s">
        <v>27250</v>
      </c>
      <c r="M10099" t="s">
        <v>27251</v>
      </c>
      <c r="N10099" t="s">
        <v>27252</v>
      </c>
      <c r="Q10099" s="1">
        <v>44538</v>
      </c>
      <c r="R10099" t="s">
        <v>27253</v>
      </c>
      <c r="S10099" t="s">
        <v>27254</v>
      </c>
      <c r="T10099" t="s">
        <v>27255</v>
      </c>
    </row>
    <row r="10100" spans="1:20" x14ac:dyDescent="0.3">
      <c r="A10100" t="str">
        <f>"0611838126100"</f>
        <v>0611838126100</v>
      </c>
      <c r="B10100" t="str">
        <f>"LB7673"</f>
        <v>LB7673</v>
      </c>
      <c r="C10100" t="s">
        <v>46853</v>
      </c>
      <c r="D10100" t="s">
        <v>27245</v>
      </c>
      <c r="E10100" t="str">
        <f t="shared" si="157"/>
        <v>001390</v>
      </c>
      <c r="F10100" t="s">
        <v>27246</v>
      </c>
      <c r="G10100" t="s">
        <v>27247</v>
      </c>
      <c r="H10100" t="s">
        <v>27248</v>
      </c>
      <c r="I10100" t="s">
        <v>46854</v>
      </c>
      <c r="J10100" t="s">
        <v>20324</v>
      </c>
      <c r="L10100" t="s">
        <v>27250</v>
      </c>
      <c r="M10100" t="s">
        <v>27251</v>
      </c>
      <c r="N10100" t="s">
        <v>27252</v>
      </c>
      <c r="Q10100" s="1">
        <v>44538</v>
      </c>
      <c r="R10100" t="s">
        <v>27253</v>
      </c>
      <c r="S10100" t="s">
        <v>27254</v>
      </c>
      <c r="T10100" t="s">
        <v>27255</v>
      </c>
    </row>
    <row r="10101" spans="1:20" x14ac:dyDescent="0.3">
      <c r="A10101" t="str">
        <f>"0611838127100"</f>
        <v>0611838127100</v>
      </c>
      <c r="B10101" t="str">
        <f>"LB7489"</f>
        <v>LB7489</v>
      </c>
      <c r="C10101" t="s">
        <v>46855</v>
      </c>
      <c r="D10101" t="s">
        <v>27245</v>
      </c>
      <c r="E10101" t="str">
        <f t="shared" si="157"/>
        <v>001390</v>
      </c>
      <c r="F10101" t="s">
        <v>27246</v>
      </c>
      <c r="G10101" t="s">
        <v>27247</v>
      </c>
      <c r="H10101" t="s">
        <v>27248</v>
      </c>
      <c r="I10101" t="s">
        <v>46856</v>
      </c>
      <c r="J10101" t="s">
        <v>20326</v>
      </c>
      <c r="L10101" t="s">
        <v>27250</v>
      </c>
      <c r="M10101" t="s">
        <v>27251</v>
      </c>
      <c r="N10101" t="s">
        <v>27252</v>
      </c>
      <c r="Q10101" s="1">
        <v>44538</v>
      </c>
      <c r="R10101" t="s">
        <v>27253</v>
      </c>
      <c r="S10101" t="s">
        <v>27254</v>
      </c>
      <c r="T10101" t="s">
        <v>27255</v>
      </c>
    </row>
    <row r="10102" spans="1:20" x14ac:dyDescent="0.3">
      <c r="A10102" t="str">
        <f>"0611838128100"</f>
        <v>0611838128100</v>
      </c>
      <c r="B10102" t="str">
        <f>"LB7488"</f>
        <v>LB7488</v>
      </c>
      <c r="C10102" t="s">
        <v>46857</v>
      </c>
      <c r="D10102" t="s">
        <v>27245</v>
      </c>
      <c r="E10102" t="str">
        <f t="shared" si="157"/>
        <v>001390</v>
      </c>
      <c r="F10102" t="s">
        <v>27246</v>
      </c>
      <c r="G10102" t="s">
        <v>27247</v>
      </c>
      <c r="H10102" t="s">
        <v>27248</v>
      </c>
      <c r="I10102" t="s">
        <v>46858</v>
      </c>
      <c r="J10102" t="s">
        <v>20328</v>
      </c>
      <c r="L10102" t="s">
        <v>27250</v>
      </c>
      <c r="M10102" t="s">
        <v>27251</v>
      </c>
      <c r="N10102" t="s">
        <v>27252</v>
      </c>
      <c r="Q10102" s="1">
        <v>44538</v>
      </c>
      <c r="R10102" t="s">
        <v>27253</v>
      </c>
      <c r="S10102" t="s">
        <v>27254</v>
      </c>
      <c r="T10102" t="s">
        <v>27255</v>
      </c>
    </row>
    <row r="10103" spans="1:20" x14ac:dyDescent="0.3">
      <c r="A10103" t="str">
        <f>"0611838129100"</f>
        <v>0611838129100</v>
      </c>
      <c r="B10103" t="str">
        <f>"LB7492"</f>
        <v>LB7492</v>
      </c>
      <c r="C10103" t="s">
        <v>46859</v>
      </c>
      <c r="D10103" t="s">
        <v>27245</v>
      </c>
      <c r="E10103" t="str">
        <f t="shared" si="157"/>
        <v>001390</v>
      </c>
      <c r="F10103" t="s">
        <v>27246</v>
      </c>
      <c r="G10103" t="s">
        <v>27247</v>
      </c>
      <c r="H10103" t="s">
        <v>27248</v>
      </c>
      <c r="I10103" t="s">
        <v>46860</v>
      </c>
      <c r="J10103" t="s">
        <v>20330</v>
      </c>
      <c r="L10103" t="s">
        <v>27250</v>
      </c>
      <c r="M10103" t="s">
        <v>27251</v>
      </c>
      <c r="N10103" t="s">
        <v>27252</v>
      </c>
      <c r="Q10103" s="1">
        <v>44538</v>
      </c>
      <c r="R10103" t="s">
        <v>27253</v>
      </c>
      <c r="S10103" t="s">
        <v>27254</v>
      </c>
      <c r="T10103" t="s">
        <v>27255</v>
      </c>
    </row>
    <row r="10104" spans="1:20" x14ac:dyDescent="0.3">
      <c r="A10104" t="str">
        <f>"0611838130100"</f>
        <v>0611838130100</v>
      </c>
      <c r="B10104" t="str">
        <f>"LB7494"</f>
        <v>LB7494</v>
      </c>
      <c r="C10104" t="s">
        <v>46861</v>
      </c>
      <c r="D10104" t="s">
        <v>27245</v>
      </c>
      <c r="E10104" t="str">
        <f t="shared" si="157"/>
        <v>001390</v>
      </c>
      <c r="F10104" t="s">
        <v>27246</v>
      </c>
      <c r="G10104" t="s">
        <v>27247</v>
      </c>
      <c r="H10104" t="s">
        <v>27248</v>
      </c>
      <c r="I10104" t="s">
        <v>46862</v>
      </c>
      <c r="J10104" t="s">
        <v>20332</v>
      </c>
      <c r="L10104" t="s">
        <v>27250</v>
      </c>
      <c r="M10104" t="s">
        <v>27251</v>
      </c>
      <c r="N10104" t="s">
        <v>27252</v>
      </c>
      <c r="Q10104" s="1">
        <v>44538</v>
      </c>
      <c r="R10104" t="s">
        <v>27253</v>
      </c>
      <c r="S10104" t="s">
        <v>27254</v>
      </c>
      <c r="T10104" t="s">
        <v>27255</v>
      </c>
    </row>
    <row r="10105" spans="1:20" x14ac:dyDescent="0.3">
      <c r="A10105" t="str">
        <f>"0611838131100"</f>
        <v>0611838131100</v>
      </c>
      <c r="B10105" t="str">
        <f>"LB7495"</f>
        <v>LB7495</v>
      </c>
      <c r="C10105" t="s">
        <v>46863</v>
      </c>
      <c r="D10105" t="s">
        <v>27245</v>
      </c>
      <c r="E10105" t="str">
        <f t="shared" si="157"/>
        <v>001390</v>
      </c>
      <c r="F10105" t="s">
        <v>27246</v>
      </c>
      <c r="G10105" t="s">
        <v>27247</v>
      </c>
      <c r="H10105" t="s">
        <v>27248</v>
      </c>
      <c r="I10105" t="s">
        <v>46864</v>
      </c>
      <c r="J10105" t="s">
        <v>20334</v>
      </c>
      <c r="L10105" t="s">
        <v>27250</v>
      </c>
      <c r="M10105" t="s">
        <v>27251</v>
      </c>
      <c r="N10105" t="s">
        <v>27252</v>
      </c>
      <c r="Q10105" s="1">
        <v>44538</v>
      </c>
      <c r="R10105" t="s">
        <v>27253</v>
      </c>
      <c r="S10105" t="s">
        <v>27254</v>
      </c>
      <c r="T10105" t="s">
        <v>27255</v>
      </c>
    </row>
    <row r="10106" spans="1:20" x14ac:dyDescent="0.3">
      <c r="A10106" t="str">
        <f>"0611838133100"</f>
        <v>0611838133100</v>
      </c>
      <c r="B10106" t="str">
        <f>"LB7497"</f>
        <v>LB7497</v>
      </c>
      <c r="C10106" t="s">
        <v>46865</v>
      </c>
      <c r="D10106" t="s">
        <v>27245</v>
      </c>
      <c r="E10106" t="str">
        <f t="shared" si="157"/>
        <v>001390</v>
      </c>
      <c r="F10106" t="s">
        <v>27246</v>
      </c>
      <c r="G10106" t="s">
        <v>27247</v>
      </c>
      <c r="H10106" t="s">
        <v>27248</v>
      </c>
      <c r="I10106" t="s">
        <v>46866</v>
      </c>
      <c r="J10106" t="s">
        <v>20336</v>
      </c>
      <c r="L10106" t="s">
        <v>27250</v>
      </c>
      <c r="M10106" t="s">
        <v>27251</v>
      </c>
      <c r="N10106" t="s">
        <v>27252</v>
      </c>
      <c r="Q10106" s="1">
        <v>44538</v>
      </c>
      <c r="R10106" t="s">
        <v>27253</v>
      </c>
      <c r="S10106" t="s">
        <v>27254</v>
      </c>
      <c r="T10106" t="s">
        <v>27255</v>
      </c>
    </row>
    <row r="10107" spans="1:20" x14ac:dyDescent="0.3">
      <c r="A10107" t="str">
        <f>"0611838134100"</f>
        <v>0611838134100</v>
      </c>
      <c r="B10107" t="str">
        <f>"LQ3283"</f>
        <v>LQ3283</v>
      </c>
      <c r="C10107" t="s">
        <v>46867</v>
      </c>
      <c r="D10107" t="s">
        <v>27245</v>
      </c>
      <c r="E10107" t="str">
        <f t="shared" si="157"/>
        <v>001390</v>
      </c>
      <c r="F10107" t="s">
        <v>27246</v>
      </c>
      <c r="G10107" t="s">
        <v>27247</v>
      </c>
      <c r="H10107" t="s">
        <v>27248</v>
      </c>
      <c r="I10107" t="s">
        <v>46868</v>
      </c>
      <c r="J10107" t="s">
        <v>20338</v>
      </c>
      <c r="L10107" t="s">
        <v>27250</v>
      </c>
      <c r="M10107" t="s">
        <v>27251</v>
      </c>
      <c r="N10107" t="s">
        <v>27252</v>
      </c>
      <c r="Q10107" s="1">
        <v>44538</v>
      </c>
      <c r="R10107" t="s">
        <v>27253</v>
      </c>
      <c r="S10107" t="s">
        <v>27254</v>
      </c>
      <c r="T10107" t="s">
        <v>27255</v>
      </c>
    </row>
    <row r="10108" spans="1:20" x14ac:dyDescent="0.3">
      <c r="A10108" t="str">
        <f>"0611838135100"</f>
        <v>0611838135100</v>
      </c>
      <c r="B10108" t="str">
        <f>"LQ3180"</f>
        <v>LQ3180</v>
      </c>
      <c r="C10108" t="s">
        <v>46869</v>
      </c>
      <c r="D10108" t="s">
        <v>27245</v>
      </c>
      <c r="E10108" t="str">
        <f t="shared" si="157"/>
        <v>001390</v>
      </c>
      <c r="F10108" t="s">
        <v>27246</v>
      </c>
      <c r="G10108" t="s">
        <v>27247</v>
      </c>
      <c r="H10108" t="s">
        <v>27248</v>
      </c>
      <c r="I10108" t="s">
        <v>46870</v>
      </c>
      <c r="J10108" t="s">
        <v>20340</v>
      </c>
      <c r="L10108" t="s">
        <v>27250</v>
      </c>
      <c r="M10108" t="s">
        <v>27251</v>
      </c>
      <c r="N10108" t="s">
        <v>27252</v>
      </c>
      <c r="Q10108" s="1">
        <v>44538</v>
      </c>
      <c r="R10108" t="s">
        <v>27253</v>
      </c>
      <c r="S10108" t="s">
        <v>27254</v>
      </c>
      <c r="T10108" t="s">
        <v>27255</v>
      </c>
    </row>
    <row r="10109" spans="1:20" x14ac:dyDescent="0.3">
      <c r="A10109" t="str">
        <f>"0611838136100"</f>
        <v>0611838136100</v>
      </c>
      <c r="B10109" t="str">
        <f>"LK5605"</f>
        <v>LK5605</v>
      </c>
      <c r="C10109" t="s">
        <v>46871</v>
      </c>
      <c r="D10109" t="s">
        <v>27245</v>
      </c>
      <c r="E10109" t="str">
        <f t="shared" si="157"/>
        <v>001390</v>
      </c>
      <c r="F10109" t="s">
        <v>27246</v>
      </c>
      <c r="G10109" t="s">
        <v>27247</v>
      </c>
      <c r="H10109" t="s">
        <v>27248</v>
      </c>
      <c r="I10109" t="s">
        <v>46872</v>
      </c>
      <c r="J10109" t="s">
        <v>20342</v>
      </c>
      <c r="L10109" t="s">
        <v>27250</v>
      </c>
      <c r="M10109" t="s">
        <v>27251</v>
      </c>
      <c r="N10109" t="s">
        <v>27252</v>
      </c>
      <c r="Q10109" s="1">
        <v>44538</v>
      </c>
      <c r="R10109" t="s">
        <v>27253</v>
      </c>
      <c r="S10109" t="s">
        <v>27254</v>
      </c>
      <c r="T10109" t="s">
        <v>27255</v>
      </c>
    </row>
    <row r="10110" spans="1:20" x14ac:dyDescent="0.3">
      <c r="A10110" t="str">
        <f>"0611838137100"</f>
        <v>0611838137100</v>
      </c>
      <c r="B10110" t="str">
        <f>"LQ3421"</f>
        <v>LQ3421</v>
      </c>
      <c r="C10110" t="s">
        <v>46873</v>
      </c>
      <c r="D10110" t="s">
        <v>27245</v>
      </c>
      <c r="E10110" t="str">
        <f t="shared" si="157"/>
        <v>001390</v>
      </c>
      <c r="F10110" t="s">
        <v>27246</v>
      </c>
      <c r="G10110" t="s">
        <v>27247</v>
      </c>
      <c r="H10110" t="s">
        <v>27248</v>
      </c>
      <c r="I10110" t="s">
        <v>46874</v>
      </c>
      <c r="J10110" t="s">
        <v>20344</v>
      </c>
      <c r="L10110" t="s">
        <v>27250</v>
      </c>
      <c r="M10110" t="s">
        <v>27251</v>
      </c>
      <c r="N10110" t="s">
        <v>27252</v>
      </c>
      <c r="Q10110" s="1">
        <v>44538</v>
      </c>
      <c r="R10110" t="s">
        <v>27253</v>
      </c>
      <c r="S10110" t="s">
        <v>27254</v>
      </c>
      <c r="T10110" t="s">
        <v>27255</v>
      </c>
    </row>
    <row r="10111" spans="1:20" x14ac:dyDescent="0.3">
      <c r="A10111" t="str">
        <f>"0611838138100"</f>
        <v>0611838138100</v>
      </c>
      <c r="B10111" t="str">
        <f>"LQ0965"</f>
        <v>LQ0965</v>
      </c>
      <c r="C10111" t="s">
        <v>46875</v>
      </c>
      <c r="D10111" t="s">
        <v>27245</v>
      </c>
      <c r="E10111" t="str">
        <f t="shared" si="157"/>
        <v>001390</v>
      </c>
      <c r="F10111" t="s">
        <v>27246</v>
      </c>
      <c r="G10111" t="s">
        <v>27247</v>
      </c>
      <c r="H10111" t="s">
        <v>27248</v>
      </c>
      <c r="I10111" t="s">
        <v>46876</v>
      </c>
      <c r="J10111" t="s">
        <v>20346</v>
      </c>
      <c r="L10111" t="s">
        <v>27250</v>
      </c>
      <c r="M10111" t="s">
        <v>27251</v>
      </c>
      <c r="N10111" t="s">
        <v>27252</v>
      </c>
      <c r="Q10111" s="1">
        <v>44538</v>
      </c>
      <c r="R10111" t="s">
        <v>27253</v>
      </c>
      <c r="S10111" t="s">
        <v>27254</v>
      </c>
      <c r="T10111" t="s">
        <v>27255</v>
      </c>
    </row>
    <row r="10112" spans="1:20" x14ac:dyDescent="0.3">
      <c r="A10112" t="str">
        <f>"0611838139100"</f>
        <v>0611838139100</v>
      </c>
      <c r="B10112" t="str">
        <f>"LQ3247"</f>
        <v>LQ3247</v>
      </c>
      <c r="C10112" t="s">
        <v>46877</v>
      </c>
      <c r="D10112" t="s">
        <v>27245</v>
      </c>
      <c r="E10112" t="str">
        <f t="shared" si="157"/>
        <v>001390</v>
      </c>
      <c r="F10112" t="s">
        <v>27246</v>
      </c>
      <c r="G10112" t="s">
        <v>27247</v>
      </c>
      <c r="H10112" t="s">
        <v>27248</v>
      </c>
      <c r="I10112" t="s">
        <v>46878</v>
      </c>
      <c r="J10112" t="s">
        <v>20348</v>
      </c>
      <c r="L10112" t="s">
        <v>27250</v>
      </c>
      <c r="M10112" t="s">
        <v>27251</v>
      </c>
      <c r="N10112" t="s">
        <v>27252</v>
      </c>
      <c r="Q10112" s="1">
        <v>44538</v>
      </c>
      <c r="R10112" t="s">
        <v>27253</v>
      </c>
      <c r="S10112" t="s">
        <v>27254</v>
      </c>
      <c r="T10112" t="s">
        <v>27255</v>
      </c>
    </row>
    <row r="10113" spans="1:20" x14ac:dyDescent="0.3">
      <c r="A10113" t="str">
        <f>"0611838140100"</f>
        <v>0611838140100</v>
      </c>
      <c r="B10113" t="str">
        <f>"LQ3181"</f>
        <v>LQ3181</v>
      </c>
      <c r="C10113" t="s">
        <v>46879</v>
      </c>
      <c r="D10113" t="s">
        <v>27245</v>
      </c>
      <c r="E10113" t="str">
        <f t="shared" si="157"/>
        <v>001390</v>
      </c>
      <c r="F10113" t="s">
        <v>27246</v>
      </c>
      <c r="G10113" t="s">
        <v>27247</v>
      </c>
      <c r="H10113" t="s">
        <v>27248</v>
      </c>
      <c r="I10113" t="s">
        <v>46880</v>
      </c>
      <c r="J10113" t="s">
        <v>20350</v>
      </c>
      <c r="L10113" t="s">
        <v>27250</v>
      </c>
      <c r="M10113" t="s">
        <v>27251</v>
      </c>
      <c r="N10113" t="s">
        <v>27252</v>
      </c>
      <c r="Q10113" s="1">
        <v>44538</v>
      </c>
      <c r="R10113" t="s">
        <v>27253</v>
      </c>
      <c r="S10113" t="s">
        <v>27254</v>
      </c>
      <c r="T10113" t="s">
        <v>27255</v>
      </c>
    </row>
    <row r="10114" spans="1:20" x14ac:dyDescent="0.3">
      <c r="A10114" t="str">
        <f>"0611838141100"</f>
        <v>0611838141100</v>
      </c>
      <c r="B10114" t="str">
        <f>"LQ3248"</f>
        <v>LQ3248</v>
      </c>
      <c r="C10114" t="s">
        <v>46881</v>
      </c>
      <c r="D10114" t="s">
        <v>27245</v>
      </c>
      <c r="E10114" t="str">
        <f t="shared" ref="E10114:E10177" si="158">"001390"</f>
        <v>001390</v>
      </c>
      <c r="F10114" t="s">
        <v>27246</v>
      </c>
      <c r="G10114" t="s">
        <v>27247</v>
      </c>
      <c r="H10114" t="s">
        <v>27248</v>
      </c>
      <c r="I10114" t="s">
        <v>46882</v>
      </c>
      <c r="J10114" t="s">
        <v>20352</v>
      </c>
      <c r="L10114" t="s">
        <v>27250</v>
      </c>
      <c r="M10114" t="s">
        <v>27251</v>
      </c>
      <c r="N10114" t="s">
        <v>27252</v>
      </c>
      <c r="Q10114" s="1">
        <v>44538</v>
      </c>
      <c r="R10114" t="s">
        <v>27253</v>
      </c>
      <c r="S10114" t="s">
        <v>27254</v>
      </c>
      <c r="T10114" t="s">
        <v>27255</v>
      </c>
    </row>
    <row r="10115" spans="1:20" x14ac:dyDescent="0.3">
      <c r="A10115" t="str">
        <f>"0611838143100"</f>
        <v>0611838143100</v>
      </c>
      <c r="B10115" t="str">
        <f>"LQ3618"</f>
        <v>LQ3618</v>
      </c>
      <c r="C10115" t="s">
        <v>46883</v>
      </c>
      <c r="D10115" t="s">
        <v>27245</v>
      </c>
      <c r="E10115" t="str">
        <f t="shared" si="158"/>
        <v>001390</v>
      </c>
      <c r="F10115" t="s">
        <v>27246</v>
      </c>
      <c r="G10115" t="s">
        <v>27247</v>
      </c>
      <c r="H10115" t="s">
        <v>27248</v>
      </c>
      <c r="I10115" t="s">
        <v>46884</v>
      </c>
      <c r="J10115" t="s">
        <v>20356</v>
      </c>
      <c r="L10115" t="s">
        <v>27250</v>
      </c>
      <c r="M10115" t="s">
        <v>27251</v>
      </c>
      <c r="N10115" t="s">
        <v>27252</v>
      </c>
      <c r="Q10115" s="1">
        <v>44538</v>
      </c>
      <c r="R10115" t="s">
        <v>27253</v>
      </c>
      <c r="S10115" t="s">
        <v>27254</v>
      </c>
      <c r="T10115" t="s">
        <v>27255</v>
      </c>
    </row>
    <row r="10116" spans="1:20" x14ac:dyDescent="0.3">
      <c r="A10116" t="str">
        <f>"0611838144100"</f>
        <v>0611838144100</v>
      </c>
      <c r="B10116" t="str">
        <f>"LQ3620"</f>
        <v>LQ3620</v>
      </c>
      <c r="C10116" t="s">
        <v>46885</v>
      </c>
      <c r="D10116" t="s">
        <v>27245</v>
      </c>
      <c r="E10116" t="str">
        <f t="shared" si="158"/>
        <v>001390</v>
      </c>
      <c r="F10116" t="s">
        <v>27246</v>
      </c>
      <c r="G10116" t="s">
        <v>27247</v>
      </c>
      <c r="H10116" t="s">
        <v>27248</v>
      </c>
      <c r="I10116" t="s">
        <v>46886</v>
      </c>
      <c r="J10116" t="s">
        <v>20360</v>
      </c>
      <c r="L10116" t="s">
        <v>27250</v>
      </c>
      <c r="M10116" t="s">
        <v>27251</v>
      </c>
      <c r="N10116" t="s">
        <v>27252</v>
      </c>
      <c r="Q10116" s="1">
        <v>44538</v>
      </c>
      <c r="R10116" t="s">
        <v>27253</v>
      </c>
      <c r="S10116" t="s">
        <v>27254</v>
      </c>
      <c r="T10116" t="s">
        <v>27255</v>
      </c>
    </row>
    <row r="10117" spans="1:20" x14ac:dyDescent="0.3">
      <c r="A10117" t="str">
        <f>"0611838145100"</f>
        <v>0611838145100</v>
      </c>
      <c r="B10117" t="str">
        <f>"LQ3857"</f>
        <v>LQ3857</v>
      </c>
      <c r="C10117" t="s">
        <v>46887</v>
      </c>
      <c r="D10117" t="s">
        <v>27245</v>
      </c>
      <c r="E10117" t="str">
        <f t="shared" si="158"/>
        <v>001390</v>
      </c>
      <c r="F10117" t="s">
        <v>27246</v>
      </c>
      <c r="G10117" t="s">
        <v>27247</v>
      </c>
      <c r="H10117" t="s">
        <v>27248</v>
      </c>
      <c r="I10117" t="s">
        <v>46888</v>
      </c>
      <c r="J10117" t="s">
        <v>20364</v>
      </c>
      <c r="L10117" t="s">
        <v>27250</v>
      </c>
      <c r="M10117" t="s">
        <v>27251</v>
      </c>
      <c r="N10117" t="s">
        <v>27252</v>
      </c>
      <c r="Q10117" s="1">
        <v>44538</v>
      </c>
      <c r="R10117" t="s">
        <v>27253</v>
      </c>
      <c r="S10117" t="s">
        <v>27254</v>
      </c>
      <c r="T10117" t="s">
        <v>27255</v>
      </c>
    </row>
    <row r="10118" spans="1:20" x14ac:dyDescent="0.3">
      <c r="A10118" t="str">
        <f>"0611838146100"</f>
        <v>0611838146100</v>
      </c>
      <c r="B10118" t="str">
        <f>"LQ3858"</f>
        <v>LQ3858</v>
      </c>
      <c r="C10118" t="s">
        <v>46889</v>
      </c>
      <c r="D10118" t="s">
        <v>27245</v>
      </c>
      <c r="E10118" t="str">
        <f t="shared" si="158"/>
        <v>001390</v>
      </c>
      <c r="F10118" t="s">
        <v>27246</v>
      </c>
      <c r="G10118" t="s">
        <v>27247</v>
      </c>
      <c r="H10118" t="s">
        <v>27248</v>
      </c>
      <c r="I10118" t="s">
        <v>46890</v>
      </c>
      <c r="J10118" t="s">
        <v>20366</v>
      </c>
      <c r="L10118" t="s">
        <v>27250</v>
      </c>
      <c r="M10118" t="s">
        <v>27251</v>
      </c>
      <c r="N10118" t="s">
        <v>27252</v>
      </c>
      <c r="Q10118" s="1">
        <v>44538</v>
      </c>
      <c r="R10118" t="s">
        <v>27253</v>
      </c>
      <c r="S10118" t="s">
        <v>27254</v>
      </c>
      <c r="T10118" t="s">
        <v>27255</v>
      </c>
    </row>
    <row r="10119" spans="1:20" x14ac:dyDescent="0.3">
      <c r="A10119" t="str">
        <f>"0611884389100"</f>
        <v>0611884389100</v>
      </c>
      <c r="B10119" t="str">
        <f>"LK7143"</f>
        <v>LK7143</v>
      </c>
      <c r="C10119" t="s">
        <v>46891</v>
      </c>
      <c r="D10119" t="s">
        <v>27245</v>
      </c>
      <c r="E10119" t="str">
        <f t="shared" si="158"/>
        <v>001390</v>
      </c>
      <c r="F10119" t="s">
        <v>27246</v>
      </c>
      <c r="G10119" t="s">
        <v>27247</v>
      </c>
      <c r="H10119" t="s">
        <v>27248</v>
      </c>
      <c r="I10119" t="s">
        <v>46892</v>
      </c>
      <c r="J10119" t="s">
        <v>20368</v>
      </c>
      <c r="L10119" t="s">
        <v>27430</v>
      </c>
      <c r="M10119" t="s">
        <v>27251</v>
      </c>
      <c r="N10119" t="s">
        <v>27252</v>
      </c>
      <c r="Q10119" s="1">
        <v>45250</v>
      </c>
      <c r="R10119" t="s">
        <v>27253</v>
      </c>
      <c r="S10119" t="s">
        <v>27254</v>
      </c>
      <c r="T10119" t="s">
        <v>27255</v>
      </c>
    </row>
    <row r="10120" spans="1:20" x14ac:dyDescent="0.3">
      <c r="A10120" t="str">
        <f>"0611838147100"</f>
        <v>0611838147100</v>
      </c>
      <c r="B10120" t="str">
        <f>"LQ3859"</f>
        <v>LQ3859</v>
      </c>
      <c r="C10120" t="s">
        <v>46893</v>
      </c>
      <c r="D10120" t="s">
        <v>27245</v>
      </c>
      <c r="E10120" t="str">
        <f t="shared" si="158"/>
        <v>001390</v>
      </c>
      <c r="F10120" t="s">
        <v>27246</v>
      </c>
      <c r="G10120" t="s">
        <v>27247</v>
      </c>
      <c r="H10120" t="s">
        <v>27248</v>
      </c>
      <c r="I10120" t="s">
        <v>46894</v>
      </c>
      <c r="J10120" t="s">
        <v>20372</v>
      </c>
      <c r="L10120" t="s">
        <v>27250</v>
      </c>
      <c r="M10120" t="s">
        <v>27251</v>
      </c>
      <c r="N10120" t="s">
        <v>27252</v>
      </c>
      <c r="Q10120" s="1">
        <v>44538</v>
      </c>
      <c r="R10120" t="s">
        <v>27253</v>
      </c>
      <c r="S10120" t="s">
        <v>27254</v>
      </c>
      <c r="T10120" t="s">
        <v>27255</v>
      </c>
    </row>
    <row r="10121" spans="1:20" x14ac:dyDescent="0.3">
      <c r="A10121" t="str">
        <f>"0611838148100"</f>
        <v>0611838148100</v>
      </c>
      <c r="B10121" t="str">
        <f>"LQ3622"</f>
        <v>LQ3622</v>
      </c>
      <c r="C10121" t="s">
        <v>46895</v>
      </c>
      <c r="D10121" t="s">
        <v>27245</v>
      </c>
      <c r="E10121" t="str">
        <f t="shared" si="158"/>
        <v>001390</v>
      </c>
      <c r="F10121" t="s">
        <v>27246</v>
      </c>
      <c r="G10121" t="s">
        <v>27247</v>
      </c>
      <c r="H10121" t="s">
        <v>27248</v>
      </c>
      <c r="I10121" t="s">
        <v>46896</v>
      </c>
      <c r="J10121" t="s">
        <v>20370</v>
      </c>
      <c r="L10121" t="s">
        <v>27250</v>
      </c>
      <c r="M10121" t="s">
        <v>27251</v>
      </c>
      <c r="N10121" t="s">
        <v>27252</v>
      </c>
      <c r="Q10121" s="1">
        <v>44538</v>
      </c>
      <c r="R10121" t="s">
        <v>27253</v>
      </c>
      <c r="S10121" t="s">
        <v>27254</v>
      </c>
      <c r="T10121" t="s">
        <v>27255</v>
      </c>
    </row>
    <row r="10122" spans="1:20" x14ac:dyDescent="0.3">
      <c r="A10122" t="str">
        <f>"0611838149100"</f>
        <v>0611838149100</v>
      </c>
      <c r="B10122" t="str">
        <f>"LQ3860"</f>
        <v>LQ3860</v>
      </c>
      <c r="C10122" t="s">
        <v>46897</v>
      </c>
      <c r="D10122" t="s">
        <v>27245</v>
      </c>
      <c r="E10122" t="str">
        <f t="shared" si="158"/>
        <v>001390</v>
      </c>
      <c r="F10122" t="s">
        <v>27246</v>
      </c>
      <c r="G10122" t="s">
        <v>27247</v>
      </c>
      <c r="H10122" t="s">
        <v>27248</v>
      </c>
      <c r="I10122" t="s">
        <v>46898</v>
      </c>
      <c r="J10122" t="s">
        <v>20374</v>
      </c>
      <c r="L10122" t="s">
        <v>27250</v>
      </c>
      <c r="M10122" t="s">
        <v>27251</v>
      </c>
      <c r="N10122" t="s">
        <v>27252</v>
      </c>
      <c r="Q10122" s="1">
        <v>44538</v>
      </c>
      <c r="R10122" t="s">
        <v>27253</v>
      </c>
      <c r="S10122" t="s">
        <v>27254</v>
      </c>
      <c r="T10122" t="s">
        <v>27255</v>
      </c>
    </row>
    <row r="10123" spans="1:20" x14ac:dyDescent="0.3">
      <c r="A10123" t="str">
        <f>"0611838150100"</f>
        <v>0611838150100</v>
      </c>
      <c r="B10123" t="str">
        <f>"LQ3182"</f>
        <v>LQ3182</v>
      </c>
      <c r="C10123" t="s">
        <v>46899</v>
      </c>
      <c r="D10123" t="s">
        <v>27245</v>
      </c>
      <c r="E10123" t="str">
        <f t="shared" si="158"/>
        <v>001390</v>
      </c>
      <c r="F10123" t="s">
        <v>27246</v>
      </c>
      <c r="G10123" t="s">
        <v>27247</v>
      </c>
      <c r="H10123" t="s">
        <v>27248</v>
      </c>
      <c r="I10123" t="s">
        <v>46900</v>
      </c>
      <c r="J10123" t="s">
        <v>20376</v>
      </c>
      <c r="L10123" t="s">
        <v>27250</v>
      </c>
      <c r="M10123" t="s">
        <v>27251</v>
      </c>
      <c r="N10123" t="s">
        <v>27252</v>
      </c>
      <c r="Q10123" s="1">
        <v>44538</v>
      </c>
      <c r="R10123" t="s">
        <v>27253</v>
      </c>
      <c r="S10123" t="s">
        <v>27254</v>
      </c>
      <c r="T10123" t="s">
        <v>27255</v>
      </c>
    </row>
    <row r="10124" spans="1:20" x14ac:dyDescent="0.3">
      <c r="A10124" t="str">
        <f>"0611838151100"</f>
        <v>0611838151100</v>
      </c>
      <c r="B10124" t="str">
        <f>"LQ3771"</f>
        <v>LQ3771</v>
      </c>
      <c r="C10124" t="s">
        <v>46901</v>
      </c>
      <c r="D10124" t="s">
        <v>27245</v>
      </c>
      <c r="E10124" t="str">
        <f t="shared" si="158"/>
        <v>001390</v>
      </c>
      <c r="F10124" t="s">
        <v>27246</v>
      </c>
      <c r="G10124" t="s">
        <v>27247</v>
      </c>
      <c r="H10124" t="s">
        <v>27248</v>
      </c>
      <c r="I10124" t="s">
        <v>46902</v>
      </c>
      <c r="J10124" t="s">
        <v>20378</v>
      </c>
      <c r="L10124" t="s">
        <v>27250</v>
      </c>
      <c r="M10124" t="s">
        <v>27251</v>
      </c>
      <c r="N10124" t="s">
        <v>27252</v>
      </c>
      <c r="Q10124" s="1">
        <v>44538</v>
      </c>
      <c r="R10124" t="s">
        <v>27253</v>
      </c>
      <c r="S10124" t="s">
        <v>27254</v>
      </c>
      <c r="T10124" t="s">
        <v>27255</v>
      </c>
    </row>
    <row r="10125" spans="1:20" x14ac:dyDescent="0.3">
      <c r="A10125" t="str">
        <f>"0611838152100"</f>
        <v>0611838152100</v>
      </c>
      <c r="B10125" t="str">
        <f>"LQ3772"</f>
        <v>LQ3772</v>
      </c>
      <c r="C10125" t="s">
        <v>46903</v>
      </c>
      <c r="D10125" t="s">
        <v>27245</v>
      </c>
      <c r="E10125" t="str">
        <f t="shared" si="158"/>
        <v>001390</v>
      </c>
      <c r="F10125" t="s">
        <v>27246</v>
      </c>
      <c r="G10125" t="s">
        <v>27247</v>
      </c>
      <c r="H10125" t="s">
        <v>27248</v>
      </c>
      <c r="I10125" t="s">
        <v>46904</v>
      </c>
      <c r="J10125" t="s">
        <v>20380</v>
      </c>
      <c r="L10125" t="s">
        <v>27250</v>
      </c>
      <c r="M10125" t="s">
        <v>27251</v>
      </c>
      <c r="N10125" t="s">
        <v>27252</v>
      </c>
      <c r="Q10125" s="1">
        <v>44538</v>
      </c>
      <c r="R10125" t="s">
        <v>27253</v>
      </c>
      <c r="S10125" t="s">
        <v>27254</v>
      </c>
      <c r="T10125" t="s">
        <v>27255</v>
      </c>
    </row>
    <row r="10126" spans="1:20" x14ac:dyDescent="0.3">
      <c r="A10126" t="str">
        <f>"0611838153100"</f>
        <v>0611838153100</v>
      </c>
      <c r="B10126" t="str">
        <f>"LK5607"</f>
        <v>LK5607</v>
      </c>
      <c r="C10126" t="s">
        <v>46905</v>
      </c>
      <c r="D10126" t="s">
        <v>27245</v>
      </c>
      <c r="E10126" t="str">
        <f t="shared" si="158"/>
        <v>001390</v>
      </c>
      <c r="F10126" t="s">
        <v>27246</v>
      </c>
      <c r="G10126" t="s">
        <v>27247</v>
      </c>
      <c r="H10126" t="s">
        <v>27248</v>
      </c>
      <c r="I10126" t="s">
        <v>46906</v>
      </c>
      <c r="J10126" t="s">
        <v>20382</v>
      </c>
      <c r="L10126" t="s">
        <v>27250</v>
      </c>
      <c r="M10126" t="s">
        <v>27251</v>
      </c>
      <c r="N10126" t="s">
        <v>27252</v>
      </c>
      <c r="Q10126" s="1">
        <v>44538</v>
      </c>
      <c r="R10126" t="s">
        <v>27253</v>
      </c>
      <c r="S10126" t="s">
        <v>27254</v>
      </c>
      <c r="T10126" t="s">
        <v>27255</v>
      </c>
    </row>
    <row r="10127" spans="1:20" x14ac:dyDescent="0.3">
      <c r="A10127" t="str">
        <f>"0611838154100"</f>
        <v>0611838154100</v>
      </c>
      <c r="B10127" t="str">
        <f>"LQ0966"</f>
        <v>LQ0966</v>
      </c>
      <c r="C10127" t="s">
        <v>46907</v>
      </c>
      <c r="D10127" t="s">
        <v>27245</v>
      </c>
      <c r="E10127" t="str">
        <f t="shared" si="158"/>
        <v>001390</v>
      </c>
      <c r="F10127" t="s">
        <v>27246</v>
      </c>
      <c r="G10127" t="s">
        <v>27247</v>
      </c>
      <c r="H10127" t="s">
        <v>27248</v>
      </c>
      <c r="I10127" t="s">
        <v>46908</v>
      </c>
      <c r="J10127" t="s">
        <v>20384</v>
      </c>
      <c r="L10127" t="s">
        <v>27250</v>
      </c>
      <c r="M10127" t="s">
        <v>27251</v>
      </c>
      <c r="N10127" t="s">
        <v>27252</v>
      </c>
      <c r="Q10127" s="1">
        <v>44538</v>
      </c>
      <c r="R10127" t="s">
        <v>27253</v>
      </c>
      <c r="S10127" t="s">
        <v>27254</v>
      </c>
      <c r="T10127" t="s">
        <v>27255</v>
      </c>
    </row>
    <row r="10128" spans="1:20" x14ac:dyDescent="0.3">
      <c r="A10128" t="str">
        <f>"0611838155100"</f>
        <v>0611838155100</v>
      </c>
      <c r="B10128" t="str">
        <f>"LQ3183"</f>
        <v>LQ3183</v>
      </c>
      <c r="C10128" t="s">
        <v>46909</v>
      </c>
      <c r="D10128" t="s">
        <v>27245</v>
      </c>
      <c r="E10128" t="str">
        <f t="shared" si="158"/>
        <v>001390</v>
      </c>
      <c r="F10128" t="s">
        <v>27246</v>
      </c>
      <c r="G10128" t="s">
        <v>27247</v>
      </c>
      <c r="H10128" t="s">
        <v>27248</v>
      </c>
      <c r="I10128" t="s">
        <v>46910</v>
      </c>
      <c r="J10128" t="s">
        <v>20386</v>
      </c>
      <c r="L10128" t="s">
        <v>27250</v>
      </c>
      <c r="M10128" t="s">
        <v>27251</v>
      </c>
      <c r="N10128" t="s">
        <v>27252</v>
      </c>
      <c r="Q10128" s="1">
        <v>44538</v>
      </c>
      <c r="R10128" t="s">
        <v>27253</v>
      </c>
      <c r="S10128" t="s">
        <v>27254</v>
      </c>
      <c r="T10128" t="s">
        <v>27255</v>
      </c>
    </row>
    <row r="10129" spans="1:20" x14ac:dyDescent="0.3">
      <c r="A10129" t="str">
        <f>"0611838156100"</f>
        <v>0611838156100</v>
      </c>
      <c r="B10129" t="str">
        <f>"LQ3282"</f>
        <v>LQ3282</v>
      </c>
      <c r="C10129" t="s">
        <v>46911</v>
      </c>
      <c r="D10129" t="s">
        <v>27245</v>
      </c>
      <c r="E10129" t="str">
        <f t="shared" si="158"/>
        <v>001390</v>
      </c>
      <c r="F10129" t="s">
        <v>27246</v>
      </c>
      <c r="G10129" t="s">
        <v>27247</v>
      </c>
      <c r="H10129" t="s">
        <v>27248</v>
      </c>
      <c r="I10129" t="s">
        <v>46912</v>
      </c>
      <c r="J10129" t="s">
        <v>20388</v>
      </c>
      <c r="L10129" t="s">
        <v>27250</v>
      </c>
      <c r="M10129" t="s">
        <v>27251</v>
      </c>
      <c r="N10129" t="s">
        <v>27252</v>
      </c>
      <c r="Q10129" s="1">
        <v>44538</v>
      </c>
      <c r="R10129" t="s">
        <v>27253</v>
      </c>
      <c r="S10129" t="s">
        <v>27254</v>
      </c>
      <c r="T10129" t="s">
        <v>27255</v>
      </c>
    </row>
    <row r="10130" spans="1:20" x14ac:dyDescent="0.3">
      <c r="A10130" t="str">
        <f>"0611863662050"</f>
        <v>0611863662050</v>
      </c>
      <c r="B10130" t="str">
        <f>"CR3965"</f>
        <v>CR3965</v>
      </c>
      <c r="C10130" t="s">
        <v>46913</v>
      </c>
      <c r="D10130" t="s">
        <v>27271</v>
      </c>
      <c r="E10130" t="str">
        <f t="shared" si="158"/>
        <v>001390</v>
      </c>
      <c r="F10130" t="s">
        <v>27246</v>
      </c>
      <c r="G10130" t="s">
        <v>27247</v>
      </c>
      <c r="H10130" t="s">
        <v>27248</v>
      </c>
      <c r="I10130" t="s">
        <v>46914</v>
      </c>
      <c r="J10130" t="s">
        <v>20390</v>
      </c>
      <c r="L10130" t="s">
        <v>27250</v>
      </c>
      <c r="M10130" t="s">
        <v>27251</v>
      </c>
      <c r="N10130" t="s">
        <v>27252</v>
      </c>
      <c r="P10130" t="s">
        <v>27341</v>
      </c>
      <c r="Q10130" s="1">
        <v>44846</v>
      </c>
      <c r="R10130" t="s">
        <v>27253</v>
      </c>
      <c r="S10130" t="s">
        <v>27254</v>
      </c>
      <c r="T10130" t="s">
        <v>27265</v>
      </c>
    </row>
    <row r="10131" spans="1:20" x14ac:dyDescent="0.3">
      <c r="A10131" t="str">
        <f>"0611863663050"</f>
        <v>0611863663050</v>
      </c>
      <c r="B10131" t="str">
        <f>"CR2502"</f>
        <v>CR2502</v>
      </c>
      <c r="C10131" t="s">
        <v>46915</v>
      </c>
      <c r="D10131" t="s">
        <v>27271</v>
      </c>
      <c r="E10131" t="str">
        <f t="shared" si="158"/>
        <v>001390</v>
      </c>
      <c r="F10131" t="s">
        <v>27246</v>
      </c>
      <c r="G10131" t="s">
        <v>27247</v>
      </c>
      <c r="H10131" t="s">
        <v>27248</v>
      </c>
      <c r="I10131" t="s">
        <v>46916</v>
      </c>
      <c r="J10131" t="s">
        <v>20392</v>
      </c>
      <c r="L10131" t="s">
        <v>27250</v>
      </c>
      <c r="M10131" t="s">
        <v>27251</v>
      </c>
      <c r="N10131" t="s">
        <v>27252</v>
      </c>
      <c r="P10131" t="s">
        <v>27341</v>
      </c>
      <c r="Q10131" s="1">
        <v>44846</v>
      </c>
      <c r="R10131" t="s">
        <v>27253</v>
      </c>
      <c r="S10131" t="s">
        <v>27254</v>
      </c>
      <c r="T10131" t="s">
        <v>27265</v>
      </c>
    </row>
    <row r="10132" spans="1:20" x14ac:dyDescent="0.3">
      <c r="A10132" t="str">
        <f>"0611863664050"</f>
        <v>0611863664050</v>
      </c>
      <c r="B10132" t="str">
        <f>"CR2747"</f>
        <v>CR2747</v>
      </c>
      <c r="C10132" t="s">
        <v>46917</v>
      </c>
      <c r="D10132" t="s">
        <v>27271</v>
      </c>
      <c r="E10132" t="str">
        <f t="shared" si="158"/>
        <v>001390</v>
      </c>
      <c r="F10132" t="s">
        <v>27246</v>
      </c>
      <c r="G10132" t="s">
        <v>27247</v>
      </c>
      <c r="H10132" t="s">
        <v>27248</v>
      </c>
      <c r="I10132" t="s">
        <v>46918</v>
      </c>
      <c r="J10132" t="s">
        <v>20394</v>
      </c>
      <c r="L10132" t="s">
        <v>27250</v>
      </c>
      <c r="M10132" t="s">
        <v>27251</v>
      </c>
      <c r="N10132" t="s">
        <v>27252</v>
      </c>
      <c r="P10132" t="s">
        <v>27341</v>
      </c>
      <c r="Q10132" s="1">
        <v>44846</v>
      </c>
      <c r="R10132" t="s">
        <v>27253</v>
      </c>
      <c r="S10132" t="s">
        <v>27254</v>
      </c>
      <c r="T10132" t="s">
        <v>27265</v>
      </c>
    </row>
    <row r="10133" spans="1:20" x14ac:dyDescent="0.3">
      <c r="A10133" t="str">
        <f>"0611863665050"</f>
        <v>0611863665050</v>
      </c>
      <c r="B10133" t="str">
        <f>"CR5009"</f>
        <v>CR5009</v>
      </c>
      <c r="C10133" t="s">
        <v>46919</v>
      </c>
      <c r="D10133" t="s">
        <v>27271</v>
      </c>
      <c r="E10133" t="str">
        <f t="shared" si="158"/>
        <v>001390</v>
      </c>
      <c r="F10133" t="s">
        <v>27246</v>
      </c>
      <c r="G10133" t="s">
        <v>27247</v>
      </c>
      <c r="H10133" t="s">
        <v>27248</v>
      </c>
      <c r="I10133" t="s">
        <v>46920</v>
      </c>
      <c r="J10133" t="s">
        <v>20396</v>
      </c>
      <c r="L10133" t="s">
        <v>27250</v>
      </c>
      <c r="M10133" t="s">
        <v>27251</v>
      </c>
      <c r="N10133" t="s">
        <v>27252</v>
      </c>
      <c r="P10133" t="s">
        <v>27341</v>
      </c>
      <c r="Q10133" s="1">
        <v>44846</v>
      </c>
      <c r="R10133" t="s">
        <v>27253</v>
      </c>
      <c r="S10133" t="s">
        <v>27254</v>
      </c>
      <c r="T10133" t="s">
        <v>27265</v>
      </c>
    </row>
    <row r="10134" spans="1:20" x14ac:dyDescent="0.3">
      <c r="A10134" t="str">
        <f>"0611863666050"</f>
        <v>0611863666050</v>
      </c>
      <c r="B10134" t="str">
        <f>"CR3145"</f>
        <v>CR3145</v>
      </c>
      <c r="C10134" t="s">
        <v>46921</v>
      </c>
      <c r="D10134" t="s">
        <v>27271</v>
      </c>
      <c r="E10134" t="str">
        <f t="shared" si="158"/>
        <v>001390</v>
      </c>
      <c r="F10134" t="s">
        <v>27246</v>
      </c>
      <c r="G10134" t="s">
        <v>27247</v>
      </c>
      <c r="H10134" t="s">
        <v>27248</v>
      </c>
      <c r="I10134" t="s">
        <v>46922</v>
      </c>
      <c r="J10134" t="s">
        <v>20398</v>
      </c>
      <c r="L10134" t="s">
        <v>27250</v>
      </c>
      <c r="M10134" t="s">
        <v>27251</v>
      </c>
      <c r="N10134" t="s">
        <v>27252</v>
      </c>
      <c r="P10134" t="s">
        <v>27341</v>
      </c>
      <c r="Q10134" s="1">
        <v>44846</v>
      </c>
      <c r="R10134" t="s">
        <v>27253</v>
      </c>
      <c r="S10134" t="s">
        <v>27254</v>
      </c>
      <c r="T10134" t="s">
        <v>27265</v>
      </c>
    </row>
    <row r="10135" spans="1:20" x14ac:dyDescent="0.3">
      <c r="A10135" t="str">
        <f>"0611863667050"</f>
        <v>0611863667050</v>
      </c>
      <c r="B10135" t="str">
        <f>"CR3735"</f>
        <v>CR3735</v>
      </c>
      <c r="C10135" t="s">
        <v>46923</v>
      </c>
      <c r="D10135" t="s">
        <v>27271</v>
      </c>
      <c r="E10135" t="str">
        <f t="shared" si="158"/>
        <v>001390</v>
      </c>
      <c r="F10135" t="s">
        <v>27246</v>
      </c>
      <c r="G10135" t="s">
        <v>27247</v>
      </c>
      <c r="H10135" t="s">
        <v>27248</v>
      </c>
      <c r="I10135" t="s">
        <v>46924</v>
      </c>
      <c r="J10135" t="s">
        <v>20400</v>
      </c>
      <c r="L10135" t="s">
        <v>27250</v>
      </c>
      <c r="M10135" t="s">
        <v>27251</v>
      </c>
      <c r="N10135" t="s">
        <v>27252</v>
      </c>
      <c r="P10135" t="s">
        <v>27341</v>
      </c>
      <c r="Q10135" s="1">
        <v>44846</v>
      </c>
      <c r="R10135" t="s">
        <v>27253</v>
      </c>
      <c r="S10135" t="s">
        <v>27254</v>
      </c>
      <c r="T10135" t="s">
        <v>27265</v>
      </c>
    </row>
    <row r="10136" spans="1:20" x14ac:dyDescent="0.3">
      <c r="A10136" t="str">
        <f>"0611863668050"</f>
        <v>0611863668050</v>
      </c>
      <c r="B10136" t="str">
        <f>"CR3966"</f>
        <v>CR3966</v>
      </c>
      <c r="C10136" t="s">
        <v>46925</v>
      </c>
      <c r="D10136" t="s">
        <v>27271</v>
      </c>
      <c r="E10136" t="str">
        <f t="shared" si="158"/>
        <v>001390</v>
      </c>
      <c r="F10136" t="s">
        <v>27246</v>
      </c>
      <c r="G10136" t="s">
        <v>27247</v>
      </c>
      <c r="H10136" t="s">
        <v>27248</v>
      </c>
      <c r="I10136" t="s">
        <v>46926</v>
      </c>
      <c r="J10136" t="s">
        <v>20402</v>
      </c>
      <c r="L10136" t="s">
        <v>27250</v>
      </c>
      <c r="M10136" t="s">
        <v>27251</v>
      </c>
      <c r="N10136" t="s">
        <v>27252</v>
      </c>
      <c r="P10136" t="s">
        <v>27341</v>
      </c>
      <c r="Q10136" s="1">
        <v>44846</v>
      </c>
      <c r="R10136" t="s">
        <v>27253</v>
      </c>
      <c r="S10136" t="s">
        <v>27254</v>
      </c>
      <c r="T10136" t="s">
        <v>27265</v>
      </c>
    </row>
    <row r="10137" spans="1:20" x14ac:dyDescent="0.3">
      <c r="A10137" t="str">
        <f>"0611863669050"</f>
        <v>0611863669050</v>
      </c>
      <c r="B10137" t="str">
        <f>"CR4114"</f>
        <v>CR4114</v>
      </c>
      <c r="C10137" t="s">
        <v>46927</v>
      </c>
      <c r="D10137" t="s">
        <v>27271</v>
      </c>
      <c r="E10137" t="str">
        <f t="shared" si="158"/>
        <v>001390</v>
      </c>
      <c r="F10137" t="s">
        <v>27246</v>
      </c>
      <c r="G10137" t="s">
        <v>27247</v>
      </c>
      <c r="H10137" t="s">
        <v>27248</v>
      </c>
      <c r="I10137" t="s">
        <v>46928</v>
      </c>
      <c r="J10137" t="s">
        <v>20404</v>
      </c>
      <c r="L10137" t="s">
        <v>27250</v>
      </c>
      <c r="M10137" t="s">
        <v>27251</v>
      </c>
      <c r="N10137" t="s">
        <v>27252</v>
      </c>
      <c r="P10137" t="s">
        <v>27341</v>
      </c>
      <c r="Q10137" s="1">
        <v>44846</v>
      </c>
      <c r="R10137" t="s">
        <v>27253</v>
      </c>
      <c r="S10137" t="s">
        <v>27254</v>
      </c>
      <c r="T10137" t="s">
        <v>27265</v>
      </c>
    </row>
    <row r="10138" spans="1:20" x14ac:dyDescent="0.3">
      <c r="A10138" t="str">
        <f>"0611863670050"</f>
        <v>0611863670050</v>
      </c>
      <c r="B10138" t="str">
        <f>"CR2506"</f>
        <v>CR2506</v>
      </c>
      <c r="C10138" t="s">
        <v>46929</v>
      </c>
      <c r="D10138" t="s">
        <v>27271</v>
      </c>
      <c r="E10138" t="str">
        <f t="shared" si="158"/>
        <v>001390</v>
      </c>
      <c r="F10138" t="s">
        <v>27246</v>
      </c>
      <c r="G10138" t="s">
        <v>27247</v>
      </c>
      <c r="H10138" t="s">
        <v>27248</v>
      </c>
      <c r="I10138" t="s">
        <v>46930</v>
      </c>
      <c r="J10138" t="s">
        <v>20406</v>
      </c>
      <c r="L10138" t="s">
        <v>27250</v>
      </c>
      <c r="M10138" t="s">
        <v>27251</v>
      </c>
      <c r="N10138" t="s">
        <v>27252</v>
      </c>
      <c r="P10138" t="s">
        <v>27341</v>
      </c>
      <c r="Q10138" s="1">
        <v>44846</v>
      </c>
      <c r="R10138" t="s">
        <v>27253</v>
      </c>
      <c r="S10138" t="s">
        <v>27254</v>
      </c>
      <c r="T10138" t="s">
        <v>27265</v>
      </c>
    </row>
    <row r="10139" spans="1:20" x14ac:dyDescent="0.3">
      <c r="A10139" t="str">
        <f>"0611863671050"</f>
        <v>0611863671050</v>
      </c>
      <c r="B10139" t="str">
        <f>"CR3146"</f>
        <v>CR3146</v>
      </c>
      <c r="C10139" t="s">
        <v>46931</v>
      </c>
      <c r="D10139" t="s">
        <v>27271</v>
      </c>
      <c r="E10139" t="str">
        <f t="shared" si="158"/>
        <v>001390</v>
      </c>
      <c r="F10139" t="s">
        <v>27246</v>
      </c>
      <c r="G10139" t="s">
        <v>27247</v>
      </c>
      <c r="H10139" t="s">
        <v>27248</v>
      </c>
      <c r="I10139" t="s">
        <v>46932</v>
      </c>
      <c r="J10139" t="s">
        <v>20408</v>
      </c>
      <c r="L10139" t="s">
        <v>27250</v>
      </c>
      <c r="M10139" t="s">
        <v>27251</v>
      </c>
      <c r="N10139" t="s">
        <v>27252</v>
      </c>
      <c r="P10139" t="s">
        <v>27341</v>
      </c>
      <c r="Q10139" s="1">
        <v>44846</v>
      </c>
      <c r="R10139" t="s">
        <v>27253</v>
      </c>
      <c r="S10139" t="s">
        <v>27254</v>
      </c>
      <c r="T10139" t="s">
        <v>27265</v>
      </c>
    </row>
    <row r="10140" spans="1:20" x14ac:dyDescent="0.3">
      <c r="A10140" t="str">
        <f>"0611863672050"</f>
        <v>0611863672050</v>
      </c>
      <c r="B10140" t="str">
        <f>"CR3967"</f>
        <v>CR3967</v>
      </c>
      <c r="C10140" t="s">
        <v>46933</v>
      </c>
      <c r="D10140" t="s">
        <v>27271</v>
      </c>
      <c r="E10140" t="str">
        <f t="shared" si="158"/>
        <v>001390</v>
      </c>
      <c r="F10140" t="s">
        <v>27246</v>
      </c>
      <c r="G10140" t="s">
        <v>27247</v>
      </c>
      <c r="H10140" t="s">
        <v>27248</v>
      </c>
      <c r="I10140" t="s">
        <v>46934</v>
      </c>
      <c r="J10140" t="s">
        <v>20410</v>
      </c>
      <c r="L10140" t="s">
        <v>27250</v>
      </c>
      <c r="M10140" t="s">
        <v>27251</v>
      </c>
      <c r="N10140" t="s">
        <v>27252</v>
      </c>
      <c r="P10140" t="s">
        <v>27341</v>
      </c>
      <c r="Q10140" s="1">
        <v>44846</v>
      </c>
      <c r="R10140" t="s">
        <v>27253</v>
      </c>
      <c r="S10140" t="s">
        <v>27254</v>
      </c>
      <c r="T10140" t="s">
        <v>27265</v>
      </c>
    </row>
    <row r="10141" spans="1:20" x14ac:dyDescent="0.3">
      <c r="A10141" t="str">
        <f>"0611863673050"</f>
        <v>0611863673050</v>
      </c>
      <c r="B10141" t="str">
        <f>"CR3907"</f>
        <v>CR3907</v>
      </c>
      <c r="C10141" t="s">
        <v>46935</v>
      </c>
      <c r="D10141" t="s">
        <v>27271</v>
      </c>
      <c r="E10141" t="str">
        <f t="shared" si="158"/>
        <v>001390</v>
      </c>
      <c r="F10141" t="s">
        <v>27246</v>
      </c>
      <c r="G10141" t="s">
        <v>27247</v>
      </c>
      <c r="H10141" t="s">
        <v>27248</v>
      </c>
      <c r="I10141" t="s">
        <v>46936</v>
      </c>
      <c r="J10141" t="s">
        <v>20412</v>
      </c>
      <c r="L10141" t="s">
        <v>27250</v>
      </c>
      <c r="M10141" t="s">
        <v>27251</v>
      </c>
      <c r="N10141" t="s">
        <v>27252</v>
      </c>
      <c r="P10141" t="s">
        <v>27341</v>
      </c>
      <c r="Q10141" s="1">
        <v>44846</v>
      </c>
      <c r="R10141" t="s">
        <v>27253</v>
      </c>
      <c r="S10141" t="s">
        <v>27254</v>
      </c>
      <c r="T10141" t="s">
        <v>27265</v>
      </c>
    </row>
    <row r="10142" spans="1:20" x14ac:dyDescent="0.3">
      <c r="A10142" t="str">
        <f>"0611863674050"</f>
        <v>0611863674050</v>
      </c>
      <c r="B10142" t="str">
        <f>"CR2914"</f>
        <v>CR2914</v>
      </c>
      <c r="C10142" t="s">
        <v>46937</v>
      </c>
      <c r="D10142" t="s">
        <v>27271</v>
      </c>
      <c r="E10142" t="str">
        <f t="shared" si="158"/>
        <v>001390</v>
      </c>
      <c r="F10142" t="s">
        <v>27246</v>
      </c>
      <c r="G10142" t="s">
        <v>27247</v>
      </c>
      <c r="H10142" t="s">
        <v>27248</v>
      </c>
      <c r="I10142" t="s">
        <v>46938</v>
      </c>
      <c r="J10142" t="s">
        <v>20414</v>
      </c>
      <c r="L10142" t="s">
        <v>27250</v>
      </c>
      <c r="M10142" t="s">
        <v>27251</v>
      </c>
      <c r="N10142" t="s">
        <v>27252</v>
      </c>
      <c r="P10142" t="s">
        <v>27341</v>
      </c>
      <c r="Q10142" s="1">
        <v>44846</v>
      </c>
      <c r="R10142" t="s">
        <v>27253</v>
      </c>
      <c r="S10142" t="s">
        <v>27254</v>
      </c>
      <c r="T10142" t="s">
        <v>27265</v>
      </c>
    </row>
    <row r="10143" spans="1:20" x14ac:dyDescent="0.3">
      <c r="A10143" t="str">
        <f>"0611863675050"</f>
        <v>0611863675050</v>
      </c>
      <c r="B10143" t="str">
        <f>"CR2927"</f>
        <v>CR2927</v>
      </c>
      <c r="C10143" t="s">
        <v>46939</v>
      </c>
      <c r="D10143" t="s">
        <v>27271</v>
      </c>
      <c r="E10143" t="str">
        <f t="shared" si="158"/>
        <v>001390</v>
      </c>
      <c r="F10143" t="s">
        <v>27246</v>
      </c>
      <c r="G10143" t="s">
        <v>27247</v>
      </c>
      <c r="H10143" t="s">
        <v>27248</v>
      </c>
      <c r="I10143" t="s">
        <v>46940</v>
      </c>
      <c r="J10143" t="s">
        <v>20416</v>
      </c>
      <c r="L10143" t="s">
        <v>27250</v>
      </c>
      <c r="M10143" t="s">
        <v>27251</v>
      </c>
      <c r="N10143" t="s">
        <v>27252</v>
      </c>
      <c r="P10143" t="s">
        <v>27341</v>
      </c>
      <c r="Q10143" s="1">
        <v>44846</v>
      </c>
      <c r="R10143" t="s">
        <v>27253</v>
      </c>
      <c r="S10143" t="s">
        <v>27254</v>
      </c>
      <c r="T10143" t="s">
        <v>27265</v>
      </c>
    </row>
    <row r="10144" spans="1:20" x14ac:dyDescent="0.3">
      <c r="A10144" t="str">
        <f>"0611863676050"</f>
        <v>0611863676050</v>
      </c>
      <c r="B10144" t="str">
        <f>"CR3908"</f>
        <v>CR3908</v>
      </c>
      <c r="C10144" t="s">
        <v>46941</v>
      </c>
      <c r="D10144" t="s">
        <v>27271</v>
      </c>
      <c r="E10144" t="str">
        <f t="shared" si="158"/>
        <v>001390</v>
      </c>
      <c r="F10144" t="s">
        <v>27246</v>
      </c>
      <c r="G10144" t="s">
        <v>27247</v>
      </c>
      <c r="H10144" t="s">
        <v>27248</v>
      </c>
      <c r="I10144" t="s">
        <v>46942</v>
      </c>
      <c r="J10144" t="s">
        <v>20418</v>
      </c>
      <c r="L10144" t="s">
        <v>27250</v>
      </c>
      <c r="M10144" t="s">
        <v>27251</v>
      </c>
      <c r="N10144" t="s">
        <v>27252</v>
      </c>
      <c r="P10144" t="s">
        <v>27341</v>
      </c>
      <c r="Q10144" s="1">
        <v>44846</v>
      </c>
      <c r="R10144" t="s">
        <v>27253</v>
      </c>
      <c r="S10144" t="s">
        <v>27254</v>
      </c>
      <c r="T10144" t="s">
        <v>27265</v>
      </c>
    </row>
    <row r="10145" spans="1:20" x14ac:dyDescent="0.3">
      <c r="A10145" t="str">
        <f>"0611863677050"</f>
        <v>0611863677050</v>
      </c>
      <c r="B10145" t="str">
        <f>"CR2915"</f>
        <v>CR2915</v>
      </c>
      <c r="C10145" t="s">
        <v>46943</v>
      </c>
      <c r="D10145" t="s">
        <v>27271</v>
      </c>
      <c r="E10145" t="str">
        <f t="shared" si="158"/>
        <v>001390</v>
      </c>
      <c r="F10145" t="s">
        <v>27246</v>
      </c>
      <c r="G10145" t="s">
        <v>27247</v>
      </c>
      <c r="H10145" t="s">
        <v>27248</v>
      </c>
      <c r="I10145" t="s">
        <v>46944</v>
      </c>
      <c r="J10145" t="s">
        <v>20420</v>
      </c>
      <c r="L10145" t="s">
        <v>27250</v>
      </c>
      <c r="M10145" t="s">
        <v>27251</v>
      </c>
      <c r="N10145" t="s">
        <v>27252</v>
      </c>
      <c r="P10145" t="s">
        <v>27341</v>
      </c>
      <c r="Q10145" s="1">
        <v>44846</v>
      </c>
      <c r="R10145" t="s">
        <v>27253</v>
      </c>
      <c r="S10145" t="s">
        <v>27254</v>
      </c>
      <c r="T10145" t="s">
        <v>27265</v>
      </c>
    </row>
    <row r="10146" spans="1:20" x14ac:dyDescent="0.3">
      <c r="A10146" t="str">
        <f>"0611863678050"</f>
        <v>0611863678050</v>
      </c>
      <c r="B10146" t="str">
        <f>"CR4905"</f>
        <v>CR4905</v>
      </c>
      <c r="C10146" t="s">
        <v>46945</v>
      </c>
      <c r="D10146" t="s">
        <v>27271</v>
      </c>
      <c r="E10146" t="str">
        <f t="shared" si="158"/>
        <v>001390</v>
      </c>
      <c r="F10146" t="s">
        <v>27246</v>
      </c>
      <c r="G10146" t="s">
        <v>27247</v>
      </c>
      <c r="H10146" t="s">
        <v>27248</v>
      </c>
      <c r="I10146" t="s">
        <v>46946</v>
      </c>
      <c r="J10146" t="s">
        <v>20422</v>
      </c>
      <c r="L10146" t="s">
        <v>27250</v>
      </c>
      <c r="M10146" t="s">
        <v>27251</v>
      </c>
      <c r="N10146" t="s">
        <v>27252</v>
      </c>
      <c r="P10146" t="s">
        <v>27341</v>
      </c>
      <c r="Q10146" s="1">
        <v>44846</v>
      </c>
      <c r="R10146" t="s">
        <v>27253</v>
      </c>
      <c r="S10146" t="s">
        <v>27254</v>
      </c>
      <c r="T10146" t="s">
        <v>27265</v>
      </c>
    </row>
    <row r="10147" spans="1:20" x14ac:dyDescent="0.3">
      <c r="A10147" t="str">
        <f>"0611863679050"</f>
        <v>0611863679050</v>
      </c>
      <c r="B10147" t="str">
        <f>"CR2503"</f>
        <v>CR2503</v>
      </c>
      <c r="C10147" t="s">
        <v>46947</v>
      </c>
      <c r="D10147" t="s">
        <v>27271</v>
      </c>
      <c r="E10147" t="str">
        <f t="shared" si="158"/>
        <v>001390</v>
      </c>
      <c r="F10147" t="s">
        <v>27246</v>
      </c>
      <c r="G10147" t="s">
        <v>27247</v>
      </c>
      <c r="H10147" t="s">
        <v>27248</v>
      </c>
      <c r="I10147" t="s">
        <v>46948</v>
      </c>
      <c r="J10147" t="s">
        <v>20424</v>
      </c>
      <c r="L10147" t="s">
        <v>27250</v>
      </c>
      <c r="M10147" t="s">
        <v>27251</v>
      </c>
      <c r="N10147" t="s">
        <v>27252</v>
      </c>
      <c r="P10147" t="s">
        <v>27341</v>
      </c>
      <c r="Q10147" s="1">
        <v>44846</v>
      </c>
      <c r="R10147" t="s">
        <v>27253</v>
      </c>
      <c r="S10147" t="s">
        <v>27254</v>
      </c>
      <c r="T10147" t="s">
        <v>27265</v>
      </c>
    </row>
    <row r="10148" spans="1:20" x14ac:dyDescent="0.3">
      <c r="A10148" t="str">
        <f>"0611863680050"</f>
        <v>0611863680050</v>
      </c>
      <c r="B10148" t="str">
        <f>"CR3909"</f>
        <v>CR3909</v>
      </c>
      <c r="C10148" t="s">
        <v>46949</v>
      </c>
      <c r="D10148" t="s">
        <v>27271</v>
      </c>
      <c r="E10148" t="str">
        <f t="shared" si="158"/>
        <v>001390</v>
      </c>
      <c r="F10148" t="s">
        <v>27246</v>
      </c>
      <c r="G10148" t="s">
        <v>27247</v>
      </c>
      <c r="H10148" t="s">
        <v>27248</v>
      </c>
      <c r="I10148" t="s">
        <v>46950</v>
      </c>
      <c r="J10148" t="s">
        <v>20426</v>
      </c>
      <c r="L10148" t="s">
        <v>27250</v>
      </c>
      <c r="M10148" t="s">
        <v>27251</v>
      </c>
      <c r="N10148" t="s">
        <v>27252</v>
      </c>
      <c r="P10148" t="s">
        <v>27341</v>
      </c>
      <c r="Q10148" s="1">
        <v>44846</v>
      </c>
      <c r="R10148" t="s">
        <v>27253</v>
      </c>
      <c r="S10148" t="s">
        <v>27254</v>
      </c>
      <c r="T10148" t="s">
        <v>27265</v>
      </c>
    </row>
    <row r="10149" spans="1:20" x14ac:dyDescent="0.3">
      <c r="A10149" t="str">
        <f>"0611863681050"</f>
        <v>0611863681050</v>
      </c>
      <c r="B10149" t="str">
        <f>"CR2504"</f>
        <v>CR2504</v>
      </c>
      <c r="C10149" t="s">
        <v>46951</v>
      </c>
      <c r="D10149" t="s">
        <v>27271</v>
      </c>
      <c r="E10149" t="str">
        <f t="shared" si="158"/>
        <v>001390</v>
      </c>
      <c r="F10149" t="s">
        <v>27246</v>
      </c>
      <c r="G10149" t="s">
        <v>27247</v>
      </c>
      <c r="H10149" t="s">
        <v>27248</v>
      </c>
      <c r="I10149" t="s">
        <v>46952</v>
      </c>
      <c r="J10149" t="s">
        <v>20428</v>
      </c>
      <c r="L10149" t="s">
        <v>27250</v>
      </c>
      <c r="M10149" t="s">
        <v>27251</v>
      </c>
      <c r="N10149" t="s">
        <v>27252</v>
      </c>
      <c r="P10149" t="s">
        <v>27341</v>
      </c>
      <c r="Q10149" s="1">
        <v>44846</v>
      </c>
      <c r="R10149" t="s">
        <v>27253</v>
      </c>
      <c r="S10149" t="s">
        <v>27254</v>
      </c>
      <c r="T10149" t="s">
        <v>27265</v>
      </c>
    </row>
    <row r="10150" spans="1:20" x14ac:dyDescent="0.3">
      <c r="A10150" t="str">
        <f>"0611863682050"</f>
        <v>0611863682050</v>
      </c>
      <c r="B10150" t="str">
        <f>"CR2749"</f>
        <v>CR2749</v>
      </c>
      <c r="C10150" t="s">
        <v>46953</v>
      </c>
      <c r="D10150" t="s">
        <v>27271</v>
      </c>
      <c r="E10150" t="str">
        <f t="shared" si="158"/>
        <v>001390</v>
      </c>
      <c r="F10150" t="s">
        <v>27246</v>
      </c>
      <c r="G10150" t="s">
        <v>27247</v>
      </c>
      <c r="H10150" t="s">
        <v>27248</v>
      </c>
      <c r="I10150" t="s">
        <v>46954</v>
      </c>
      <c r="J10150" t="s">
        <v>20430</v>
      </c>
      <c r="L10150" t="s">
        <v>27250</v>
      </c>
      <c r="M10150" t="s">
        <v>27251</v>
      </c>
      <c r="N10150" t="s">
        <v>27252</v>
      </c>
      <c r="P10150" t="s">
        <v>27341</v>
      </c>
      <c r="Q10150" s="1">
        <v>44846</v>
      </c>
      <c r="R10150" t="s">
        <v>27253</v>
      </c>
      <c r="S10150" t="s">
        <v>27254</v>
      </c>
      <c r="T10150" t="s">
        <v>27265</v>
      </c>
    </row>
    <row r="10151" spans="1:20" x14ac:dyDescent="0.3">
      <c r="A10151" t="str">
        <f>"0611863683050"</f>
        <v>0611863683050</v>
      </c>
      <c r="B10151" t="str">
        <f>"CR4858"</f>
        <v>CR4858</v>
      </c>
      <c r="C10151" t="s">
        <v>46955</v>
      </c>
      <c r="D10151" t="s">
        <v>27271</v>
      </c>
      <c r="E10151" t="str">
        <f t="shared" si="158"/>
        <v>001390</v>
      </c>
      <c r="F10151" t="s">
        <v>27246</v>
      </c>
      <c r="G10151" t="s">
        <v>27247</v>
      </c>
      <c r="H10151" t="s">
        <v>27248</v>
      </c>
      <c r="I10151" t="s">
        <v>46956</v>
      </c>
      <c r="J10151" t="s">
        <v>20432</v>
      </c>
      <c r="L10151" t="s">
        <v>27250</v>
      </c>
      <c r="M10151" t="s">
        <v>27251</v>
      </c>
      <c r="N10151" t="s">
        <v>27252</v>
      </c>
      <c r="P10151" t="s">
        <v>27341</v>
      </c>
      <c r="Q10151" s="1">
        <v>44846</v>
      </c>
      <c r="R10151" t="s">
        <v>27253</v>
      </c>
      <c r="S10151" t="s">
        <v>27254</v>
      </c>
      <c r="T10151" t="s">
        <v>27265</v>
      </c>
    </row>
    <row r="10152" spans="1:20" x14ac:dyDescent="0.3">
      <c r="A10152" t="str">
        <f>"0611863684050"</f>
        <v>0611863684050</v>
      </c>
      <c r="B10152" t="str">
        <f>"CR4115"</f>
        <v>CR4115</v>
      </c>
      <c r="C10152" t="s">
        <v>46957</v>
      </c>
      <c r="D10152" t="s">
        <v>27271</v>
      </c>
      <c r="E10152" t="str">
        <f t="shared" si="158"/>
        <v>001390</v>
      </c>
      <c r="F10152" t="s">
        <v>27246</v>
      </c>
      <c r="G10152" t="s">
        <v>27247</v>
      </c>
      <c r="H10152" t="s">
        <v>27248</v>
      </c>
      <c r="I10152" t="s">
        <v>46958</v>
      </c>
      <c r="J10152" t="s">
        <v>20434</v>
      </c>
      <c r="L10152" t="s">
        <v>27250</v>
      </c>
      <c r="M10152" t="s">
        <v>27251</v>
      </c>
      <c r="N10152" t="s">
        <v>27252</v>
      </c>
      <c r="P10152" t="s">
        <v>27341</v>
      </c>
      <c r="Q10152" s="1">
        <v>44846</v>
      </c>
      <c r="R10152" t="s">
        <v>27253</v>
      </c>
      <c r="S10152" t="s">
        <v>27254</v>
      </c>
      <c r="T10152" t="s">
        <v>27265</v>
      </c>
    </row>
    <row r="10153" spans="1:20" x14ac:dyDescent="0.3">
      <c r="A10153" t="str">
        <f>"0611863686050"</f>
        <v>0611863686050</v>
      </c>
      <c r="B10153" t="str">
        <f>"CR2989"</f>
        <v>CR2989</v>
      </c>
      <c r="C10153" t="s">
        <v>46959</v>
      </c>
      <c r="D10153" t="s">
        <v>27271</v>
      </c>
      <c r="E10153" t="str">
        <f t="shared" si="158"/>
        <v>001390</v>
      </c>
      <c r="F10153" t="s">
        <v>27246</v>
      </c>
      <c r="G10153" t="s">
        <v>27247</v>
      </c>
      <c r="H10153" t="s">
        <v>27248</v>
      </c>
      <c r="I10153" t="s">
        <v>46960</v>
      </c>
      <c r="J10153" t="s">
        <v>20436</v>
      </c>
      <c r="L10153" t="s">
        <v>27250</v>
      </c>
      <c r="M10153" t="s">
        <v>27251</v>
      </c>
      <c r="N10153" t="s">
        <v>27252</v>
      </c>
      <c r="P10153" t="s">
        <v>27341</v>
      </c>
      <c r="Q10153" s="1">
        <v>44846</v>
      </c>
      <c r="R10153" t="s">
        <v>27253</v>
      </c>
      <c r="S10153" t="s">
        <v>27254</v>
      </c>
      <c r="T10153" t="s">
        <v>27265</v>
      </c>
    </row>
    <row r="10154" spans="1:20" x14ac:dyDescent="0.3">
      <c r="A10154" t="str">
        <f>"0611863687050"</f>
        <v>0611863687050</v>
      </c>
      <c r="B10154" t="str">
        <f>"CR3149"</f>
        <v>CR3149</v>
      </c>
      <c r="C10154" t="s">
        <v>46961</v>
      </c>
      <c r="D10154" t="s">
        <v>27271</v>
      </c>
      <c r="E10154" t="str">
        <f t="shared" si="158"/>
        <v>001390</v>
      </c>
      <c r="F10154" t="s">
        <v>27246</v>
      </c>
      <c r="G10154" t="s">
        <v>27247</v>
      </c>
      <c r="H10154" t="s">
        <v>27248</v>
      </c>
      <c r="I10154" t="s">
        <v>46962</v>
      </c>
      <c r="J10154" t="s">
        <v>20438</v>
      </c>
      <c r="L10154" t="s">
        <v>27250</v>
      </c>
      <c r="M10154" t="s">
        <v>27251</v>
      </c>
      <c r="N10154" t="s">
        <v>27252</v>
      </c>
      <c r="P10154" t="s">
        <v>27341</v>
      </c>
      <c r="Q10154" s="1">
        <v>44846</v>
      </c>
      <c r="R10154" t="s">
        <v>27253</v>
      </c>
      <c r="S10154" t="s">
        <v>27254</v>
      </c>
      <c r="T10154" t="s">
        <v>27265</v>
      </c>
    </row>
    <row r="10155" spans="1:20" x14ac:dyDescent="0.3">
      <c r="A10155" t="str">
        <f>"0611863688050"</f>
        <v>0611863688050</v>
      </c>
      <c r="B10155" t="str">
        <f>"CR3910"</f>
        <v>CR3910</v>
      </c>
      <c r="C10155" t="s">
        <v>46963</v>
      </c>
      <c r="D10155" t="s">
        <v>27271</v>
      </c>
      <c r="E10155" t="str">
        <f t="shared" si="158"/>
        <v>001390</v>
      </c>
      <c r="F10155" t="s">
        <v>27246</v>
      </c>
      <c r="G10155" t="s">
        <v>27247</v>
      </c>
      <c r="H10155" t="s">
        <v>27248</v>
      </c>
      <c r="I10155" t="s">
        <v>46964</v>
      </c>
      <c r="J10155" t="s">
        <v>20440</v>
      </c>
      <c r="L10155" t="s">
        <v>27250</v>
      </c>
      <c r="M10155" t="s">
        <v>27251</v>
      </c>
      <c r="N10155" t="s">
        <v>27252</v>
      </c>
      <c r="P10155" t="s">
        <v>27341</v>
      </c>
      <c r="Q10155" s="1">
        <v>44846</v>
      </c>
      <c r="R10155" t="s">
        <v>27253</v>
      </c>
      <c r="S10155" t="s">
        <v>27254</v>
      </c>
      <c r="T10155" t="s">
        <v>27265</v>
      </c>
    </row>
    <row r="10156" spans="1:20" x14ac:dyDescent="0.3">
      <c r="A10156" t="str">
        <f>"0611863689050"</f>
        <v>0611863689050</v>
      </c>
      <c r="B10156" t="str">
        <f>"CR5010"</f>
        <v>CR5010</v>
      </c>
      <c r="C10156" t="s">
        <v>46965</v>
      </c>
      <c r="D10156" t="s">
        <v>27271</v>
      </c>
      <c r="E10156" t="str">
        <f t="shared" si="158"/>
        <v>001390</v>
      </c>
      <c r="F10156" t="s">
        <v>27246</v>
      </c>
      <c r="G10156" t="s">
        <v>27247</v>
      </c>
      <c r="H10156" t="s">
        <v>27248</v>
      </c>
      <c r="I10156" t="s">
        <v>46966</v>
      </c>
      <c r="J10156" t="s">
        <v>20442</v>
      </c>
      <c r="L10156" t="s">
        <v>27250</v>
      </c>
      <c r="M10156" t="s">
        <v>27251</v>
      </c>
      <c r="N10156" t="s">
        <v>27252</v>
      </c>
      <c r="P10156" t="s">
        <v>27341</v>
      </c>
      <c r="Q10156" s="1">
        <v>44846</v>
      </c>
      <c r="R10156" t="s">
        <v>27253</v>
      </c>
      <c r="S10156" t="s">
        <v>27254</v>
      </c>
      <c r="T10156" t="s">
        <v>27265</v>
      </c>
    </row>
    <row r="10157" spans="1:20" x14ac:dyDescent="0.3">
      <c r="A10157" t="str">
        <f>"0611863690050"</f>
        <v>0611863690050</v>
      </c>
      <c r="B10157" t="str">
        <f>"CR2917"</f>
        <v>CR2917</v>
      </c>
      <c r="C10157" t="s">
        <v>46967</v>
      </c>
      <c r="D10157" t="s">
        <v>27271</v>
      </c>
      <c r="E10157" t="str">
        <f t="shared" si="158"/>
        <v>001390</v>
      </c>
      <c r="F10157" t="s">
        <v>27246</v>
      </c>
      <c r="G10157" t="s">
        <v>27247</v>
      </c>
      <c r="H10157" t="s">
        <v>27248</v>
      </c>
      <c r="I10157" t="s">
        <v>46968</v>
      </c>
      <c r="J10157" t="s">
        <v>20444</v>
      </c>
      <c r="L10157" t="s">
        <v>27250</v>
      </c>
      <c r="M10157" t="s">
        <v>27251</v>
      </c>
      <c r="N10157" t="s">
        <v>27252</v>
      </c>
      <c r="P10157" t="s">
        <v>27341</v>
      </c>
      <c r="Q10157" s="1">
        <v>44846</v>
      </c>
      <c r="R10157" t="s">
        <v>27253</v>
      </c>
      <c r="S10157" t="s">
        <v>27254</v>
      </c>
      <c r="T10157" t="s">
        <v>27265</v>
      </c>
    </row>
    <row r="10158" spans="1:20" x14ac:dyDescent="0.3">
      <c r="A10158" t="str">
        <f>"0611863691050"</f>
        <v>0611863691050</v>
      </c>
      <c r="B10158" t="str">
        <f>"CR4861"</f>
        <v>CR4861</v>
      </c>
      <c r="C10158" t="s">
        <v>46969</v>
      </c>
      <c r="D10158" t="s">
        <v>27271</v>
      </c>
      <c r="E10158" t="str">
        <f t="shared" si="158"/>
        <v>001390</v>
      </c>
      <c r="F10158" t="s">
        <v>27246</v>
      </c>
      <c r="G10158" t="s">
        <v>27247</v>
      </c>
      <c r="H10158" t="s">
        <v>27248</v>
      </c>
      <c r="I10158" t="s">
        <v>46970</v>
      </c>
      <c r="J10158" t="s">
        <v>20446</v>
      </c>
      <c r="L10158" t="s">
        <v>27250</v>
      </c>
      <c r="M10158" t="s">
        <v>27251</v>
      </c>
      <c r="N10158" t="s">
        <v>27252</v>
      </c>
      <c r="P10158" t="s">
        <v>27341</v>
      </c>
      <c r="Q10158" s="1">
        <v>44846</v>
      </c>
      <c r="R10158" t="s">
        <v>27253</v>
      </c>
      <c r="S10158" t="s">
        <v>27254</v>
      </c>
      <c r="T10158" t="s">
        <v>27265</v>
      </c>
    </row>
    <row r="10159" spans="1:20" x14ac:dyDescent="0.3">
      <c r="A10159" t="str">
        <f>"0611863692050"</f>
        <v>0611863692050</v>
      </c>
      <c r="B10159" t="str">
        <f>"CR4860"</f>
        <v>CR4860</v>
      </c>
      <c r="C10159" t="s">
        <v>46971</v>
      </c>
      <c r="D10159" t="s">
        <v>27271</v>
      </c>
      <c r="E10159" t="str">
        <f t="shared" si="158"/>
        <v>001390</v>
      </c>
      <c r="F10159" t="s">
        <v>27246</v>
      </c>
      <c r="G10159" t="s">
        <v>27247</v>
      </c>
      <c r="H10159" t="s">
        <v>27248</v>
      </c>
      <c r="I10159" t="s">
        <v>46972</v>
      </c>
      <c r="J10159" t="s">
        <v>20448</v>
      </c>
      <c r="L10159" t="s">
        <v>27250</v>
      </c>
      <c r="M10159" t="s">
        <v>27251</v>
      </c>
      <c r="N10159" t="s">
        <v>27252</v>
      </c>
      <c r="P10159" t="s">
        <v>27341</v>
      </c>
      <c r="Q10159" s="1">
        <v>44846</v>
      </c>
      <c r="R10159" t="s">
        <v>27253</v>
      </c>
      <c r="S10159" t="s">
        <v>27254</v>
      </c>
      <c r="T10159" t="s">
        <v>27265</v>
      </c>
    </row>
    <row r="10160" spans="1:20" x14ac:dyDescent="0.3">
      <c r="A10160" t="str">
        <f>"0611863693050"</f>
        <v>0611863693050</v>
      </c>
      <c r="B10160" t="str">
        <f>"CR4864"</f>
        <v>CR4864</v>
      </c>
      <c r="C10160" t="s">
        <v>46973</v>
      </c>
      <c r="D10160" t="s">
        <v>27271</v>
      </c>
      <c r="E10160" t="str">
        <f t="shared" si="158"/>
        <v>001390</v>
      </c>
      <c r="F10160" t="s">
        <v>27246</v>
      </c>
      <c r="G10160" t="s">
        <v>27247</v>
      </c>
      <c r="H10160" t="s">
        <v>27248</v>
      </c>
      <c r="I10160" t="s">
        <v>46974</v>
      </c>
      <c r="J10160" t="s">
        <v>20450</v>
      </c>
      <c r="L10160" t="s">
        <v>27250</v>
      </c>
      <c r="M10160" t="s">
        <v>27251</v>
      </c>
      <c r="N10160" t="s">
        <v>27252</v>
      </c>
      <c r="P10160" t="s">
        <v>27341</v>
      </c>
      <c r="Q10160" s="1">
        <v>44846</v>
      </c>
      <c r="R10160" t="s">
        <v>27253</v>
      </c>
      <c r="S10160" t="s">
        <v>27254</v>
      </c>
      <c r="T10160" t="s">
        <v>27265</v>
      </c>
    </row>
    <row r="10161" spans="1:20" x14ac:dyDescent="0.3">
      <c r="A10161" t="str">
        <f>"0611863694050"</f>
        <v>0611863694050</v>
      </c>
      <c r="B10161" t="str">
        <f>"CR4859"</f>
        <v>CR4859</v>
      </c>
      <c r="C10161" t="s">
        <v>46975</v>
      </c>
      <c r="D10161" t="s">
        <v>27271</v>
      </c>
      <c r="E10161" t="str">
        <f t="shared" si="158"/>
        <v>001390</v>
      </c>
      <c r="F10161" t="s">
        <v>27246</v>
      </c>
      <c r="G10161" t="s">
        <v>27247</v>
      </c>
      <c r="H10161" t="s">
        <v>27248</v>
      </c>
      <c r="I10161" t="s">
        <v>46976</v>
      </c>
      <c r="J10161" t="s">
        <v>20452</v>
      </c>
      <c r="L10161" t="s">
        <v>27250</v>
      </c>
      <c r="M10161" t="s">
        <v>27251</v>
      </c>
      <c r="N10161" t="s">
        <v>27252</v>
      </c>
      <c r="P10161" t="s">
        <v>27341</v>
      </c>
      <c r="Q10161" s="1">
        <v>44846</v>
      </c>
      <c r="R10161" t="s">
        <v>27253</v>
      </c>
      <c r="S10161" t="s">
        <v>27254</v>
      </c>
      <c r="T10161" t="s">
        <v>27265</v>
      </c>
    </row>
    <row r="10162" spans="1:20" x14ac:dyDescent="0.3">
      <c r="A10162" t="str">
        <f>"0611863695050"</f>
        <v>0611863695050</v>
      </c>
      <c r="B10162" t="str">
        <f>"CR4862"</f>
        <v>CR4862</v>
      </c>
      <c r="C10162" t="s">
        <v>46977</v>
      </c>
      <c r="D10162" t="s">
        <v>27271</v>
      </c>
      <c r="E10162" t="str">
        <f t="shared" si="158"/>
        <v>001390</v>
      </c>
      <c r="F10162" t="s">
        <v>27246</v>
      </c>
      <c r="G10162" t="s">
        <v>27247</v>
      </c>
      <c r="H10162" t="s">
        <v>27248</v>
      </c>
      <c r="I10162" t="s">
        <v>46978</v>
      </c>
      <c r="J10162" t="s">
        <v>20454</v>
      </c>
      <c r="L10162" t="s">
        <v>27250</v>
      </c>
      <c r="M10162" t="s">
        <v>27251</v>
      </c>
      <c r="N10162" t="s">
        <v>27252</v>
      </c>
      <c r="P10162" t="s">
        <v>27341</v>
      </c>
      <c r="Q10162" s="1">
        <v>44846</v>
      </c>
      <c r="R10162" t="s">
        <v>27253</v>
      </c>
      <c r="S10162" t="s">
        <v>27254</v>
      </c>
      <c r="T10162" t="s">
        <v>27265</v>
      </c>
    </row>
    <row r="10163" spans="1:20" x14ac:dyDescent="0.3">
      <c r="A10163" t="str">
        <f>"0611863696050"</f>
        <v>0611863696050</v>
      </c>
      <c r="B10163" t="str">
        <f>"CR3911"</f>
        <v>CR3911</v>
      </c>
      <c r="C10163" t="s">
        <v>46979</v>
      </c>
      <c r="D10163" t="s">
        <v>27271</v>
      </c>
      <c r="E10163" t="str">
        <f t="shared" si="158"/>
        <v>001390</v>
      </c>
      <c r="F10163" t="s">
        <v>27246</v>
      </c>
      <c r="G10163" t="s">
        <v>27247</v>
      </c>
      <c r="H10163" t="s">
        <v>27248</v>
      </c>
      <c r="I10163" t="s">
        <v>46980</v>
      </c>
      <c r="J10163" t="s">
        <v>20456</v>
      </c>
      <c r="L10163" t="s">
        <v>27250</v>
      </c>
      <c r="M10163" t="s">
        <v>27251</v>
      </c>
      <c r="N10163" t="s">
        <v>27252</v>
      </c>
      <c r="P10163" t="s">
        <v>27341</v>
      </c>
      <c r="Q10163" s="1">
        <v>44846</v>
      </c>
      <c r="R10163" t="s">
        <v>27253</v>
      </c>
      <c r="S10163" t="s">
        <v>27254</v>
      </c>
      <c r="T10163" t="s">
        <v>27265</v>
      </c>
    </row>
    <row r="10164" spans="1:20" x14ac:dyDescent="0.3">
      <c r="A10164" t="str">
        <f>"0611863697050"</f>
        <v>0611863697050</v>
      </c>
      <c r="B10164" t="str">
        <f>"CR4116"</f>
        <v>CR4116</v>
      </c>
      <c r="C10164" t="s">
        <v>46981</v>
      </c>
      <c r="D10164" t="s">
        <v>27271</v>
      </c>
      <c r="E10164" t="str">
        <f t="shared" si="158"/>
        <v>001390</v>
      </c>
      <c r="F10164" t="s">
        <v>27246</v>
      </c>
      <c r="G10164" t="s">
        <v>27247</v>
      </c>
      <c r="H10164" t="s">
        <v>27248</v>
      </c>
      <c r="I10164" t="s">
        <v>46982</v>
      </c>
      <c r="J10164" t="s">
        <v>20458</v>
      </c>
      <c r="L10164" t="s">
        <v>27250</v>
      </c>
      <c r="M10164" t="s">
        <v>27251</v>
      </c>
      <c r="N10164" t="s">
        <v>27252</v>
      </c>
      <c r="P10164" t="s">
        <v>27341</v>
      </c>
      <c r="Q10164" s="1">
        <v>44846</v>
      </c>
      <c r="R10164" t="s">
        <v>27253</v>
      </c>
      <c r="S10164" t="s">
        <v>27254</v>
      </c>
      <c r="T10164" t="s">
        <v>27265</v>
      </c>
    </row>
    <row r="10165" spans="1:20" x14ac:dyDescent="0.3">
      <c r="A10165" t="str">
        <f>"0611863698050"</f>
        <v>0611863698050</v>
      </c>
      <c r="B10165" t="str">
        <f>"CR4117"</f>
        <v>CR4117</v>
      </c>
      <c r="C10165" t="s">
        <v>46983</v>
      </c>
      <c r="D10165" t="s">
        <v>27271</v>
      </c>
      <c r="E10165" t="str">
        <f t="shared" si="158"/>
        <v>001390</v>
      </c>
      <c r="F10165" t="s">
        <v>27246</v>
      </c>
      <c r="G10165" t="s">
        <v>27247</v>
      </c>
      <c r="H10165" t="s">
        <v>27248</v>
      </c>
      <c r="I10165" t="s">
        <v>46984</v>
      </c>
      <c r="J10165" t="s">
        <v>20460</v>
      </c>
      <c r="L10165" t="s">
        <v>27250</v>
      </c>
      <c r="M10165" t="s">
        <v>27251</v>
      </c>
      <c r="N10165" t="s">
        <v>27252</v>
      </c>
      <c r="P10165" t="s">
        <v>27341</v>
      </c>
      <c r="Q10165" s="1">
        <v>44846</v>
      </c>
      <c r="R10165" t="s">
        <v>27253</v>
      </c>
      <c r="S10165" t="s">
        <v>27254</v>
      </c>
      <c r="T10165" t="s">
        <v>27265</v>
      </c>
    </row>
    <row r="10166" spans="1:20" x14ac:dyDescent="0.3">
      <c r="A10166" t="str">
        <f>"0611863699050"</f>
        <v>0611863699050</v>
      </c>
      <c r="B10166" t="str">
        <f>"CR2751"</f>
        <v>CR2751</v>
      </c>
      <c r="C10166" t="s">
        <v>46985</v>
      </c>
      <c r="D10166" t="s">
        <v>27271</v>
      </c>
      <c r="E10166" t="str">
        <f t="shared" si="158"/>
        <v>001390</v>
      </c>
      <c r="F10166" t="s">
        <v>27246</v>
      </c>
      <c r="G10166" t="s">
        <v>27247</v>
      </c>
      <c r="H10166" t="s">
        <v>27248</v>
      </c>
      <c r="I10166" t="s">
        <v>46986</v>
      </c>
      <c r="J10166" t="s">
        <v>20462</v>
      </c>
      <c r="L10166" t="s">
        <v>27250</v>
      </c>
      <c r="M10166" t="s">
        <v>27251</v>
      </c>
      <c r="N10166" t="s">
        <v>27252</v>
      </c>
      <c r="P10166" t="s">
        <v>27341</v>
      </c>
      <c r="Q10166" s="1">
        <v>44846</v>
      </c>
      <c r="R10166" t="s">
        <v>27253</v>
      </c>
      <c r="S10166" t="s">
        <v>27254</v>
      </c>
      <c r="T10166" t="s">
        <v>27265</v>
      </c>
    </row>
    <row r="10167" spans="1:20" x14ac:dyDescent="0.3">
      <c r="A10167" t="str">
        <f>"0611863700050"</f>
        <v>0611863700050</v>
      </c>
      <c r="B10167" t="str">
        <f>"CR2928"</f>
        <v>CR2928</v>
      </c>
      <c r="C10167" t="s">
        <v>46987</v>
      </c>
      <c r="D10167" t="s">
        <v>27271</v>
      </c>
      <c r="E10167" t="str">
        <f t="shared" si="158"/>
        <v>001390</v>
      </c>
      <c r="F10167" t="s">
        <v>27246</v>
      </c>
      <c r="G10167" t="s">
        <v>27247</v>
      </c>
      <c r="H10167" t="s">
        <v>27248</v>
      </c>
      <c r="I10167" t="s">
        <v>46988</v>
      </c>
      <c r="J10167" t="s">
        <v>20464</v>
      </c>
      <c r="L10167" t="s">
        <v>27250</v>
      </c>
      <c r="M10167" t="s">
        <v>27251</v>
      </c>
      <c r="N10167" t="s">
        <v>27252</v>
      </c>
      <c r="P10167" t="s">
        <v>27341</v>
      </c>
      <c r="Q10167" s="1">
        <v>44846</v>
      </c>
      <c r="R10167" t="s">
        <v>27253</v>
      </c>
      <c r="S10167" t="s">
        <v>27254</v>
      </c>
      <c r="T10167" t="s">
        <v>27265</v>
      </c>
    </row>
    <row r="10168" spans="1:20" x14ac:dyDescent="0.3">
      <c r="A10168" t="str">
        <f>"0611863701050"</f>
        <v>0611863701050</v>
      </c>
      <c r="B10168" t="str">
        <f>"CR2505"</f>
        <v>CR2505</v>
      </c>
      <c r="C10168" t="s">
        <v>46989</v>
      </c>
      <c r="D10168" t="s">
        <v>27271</v>
      </c>
      <c r="E10168" t="str">
        <f t="shared" si="158"/>
        <v>001390</v>
      </c>
      <c r="F10168" t="s">
        <v>27246</v>
      </c>
      <c r="G10168" t="s">
        <v>27247</v>
      </c>
      <c r="H10168" t="s">
        <v>27248</v>
      </c>
      <c r="I10168" t="s">
        <v>46990</v>
      </c>
      <c r="J10168" t="s">
        <v>20466</v>
      </c>
      <c r="L10168" t="s">
        <v>27250</v>
      </c>
      <c r="M10168" t="s">
        <v>27251</v>
      </c>
      <c r="N10168" t="s">
        <v>27252</v>
      </c>
      <c r="P10168" t="s">
        <v>27341</v>
      </c>
      <c r="Q10168" s="1">
        <v>44846</v>
      </c>
      <c r="R10168" t="s">
        <v>27253</v>
      </c>
      <c r="S10168" t="s">
        <v>27254</v>
      </c>
      <c r="T10168" t="s">
        <v>27265</v>
      </c>
    </row>
    <row r="10169" spans="1:20" x14ac:dyDescent="0.3">
      <c r="A10169" t="str">
        <f>"0611863702050"</f>
        <v>0611863702050</v>
      </c>
      <c r="B10169" t="str">
        <f>"CR2754"</f>
        <v>CR2754</v>
      </c>
      <c r="C10169" t="s">
        <v>46991</v>
      </c>
      <c r="D10169" t="s">
        <v>27271</v>
      </c>
      <c r="E10169" t="str">
        <f t="shared" si="158"/>
        <v>001390</v>
      </c>
      <c r="F10169" t="s">
        <v>27246</v>
      </c>
      <c r="G10169" t="s">
        <v>27247</v>
      </c>
      <c r="H10169" t="s">
        <v>27248</v>
      </c>
      <c r="I10169" t="s">
        <v>46992</v>
      </c>
      <c r="J10169" t="s">
        <v>20468</v>
      </c>
      <c r="L10169" t="s">
        <v>27250</v>
      </c>
      <c r="M10169" t="s">
        <v>27251</v>
      </c>
      <c r="N10169" t="s">
        <v>27252</v>
      </c>
      <c r="P10169" t="s">
        <v>27341</v>
      </c>
      <c r="Q10169" s="1">
        <v>44846</v>
      </c>
      <c r="R10169" t="s">
        <v>27253</v>
      </c>
      <c r="S10169" t="s">
        <v>27254</v>
      </c>
      <c r="T10169" t="s">
        <v>27265</v>
      </c>
    </row>
    <row r="10170" spans="1:20" x14ac:dyDescent="0.3">
      <c r="A10170" t="str">
        <f>"0611863703050"</f>
        <v>0611863703050</v>
      </c>
      <c r="B10170" t="str">
        <f>"CR2508"</f>
        <v>CR2508</v>
      </c>
      <c r="C10170" t="s">
        <v>46993</v>
      </c>
      <c r="D10170" t="s">
        <v>27271</v>
      </c>
      <c r="E10170" t="str">
        <f t="shared" si="158"/>
        <v>001390</v>
      </c>
      <c r="F10170" t="s">
        <v>27246</v>
      </c>
      <c r="G10170" t="s">
        <v>27247</v>
      </c>
      <c r="H10170" t="s">
        <v>27248</v>
      </c>
      <c r="I10170" t="s">
        <v>46994</v>
      </c>
      <c r="J10170" t="s">
        <v>20470</v>
      </c>
      <c r="L10170" t="s">
        <v>27250</v>
      </c>
      <c r="M10170" t="s">
        <v>27251</v>
      </c>
      <c r="N10170" t="s">
        <v>27252</v>
      </c>
      <c r="P10170" t="s">
        <v>27341</v>
      </c>
      <c r="Q10170" s="1">
        <v>44846</v>
      </c>
      <c r="R10170" t="s">
        <v>27253</v>
      </c>
      <c r="S10170" t="s">
        <v>27254</v>
      </c>
      <c r="T10170" t="s">
        <v>27265</v>
      </c>
    </row>
    <row r="10171" spans="1:20" x14ac:dyDescent="0.3">
      <c r="A10171" t="str">
        <f>"0611863704050"</f>
        <v>0611863704050</v>
      </c>
      <c r="B10171" t="str">
        <f>"CR2509"</f>
        <v>CR2509</v>
      </c>
      <c r="C10171" t="s">
        <v>46995</v>
      </c>
      <c r="D10171" t="s">
        <v>27271</v>
      </c>
      <c r="E10171" t="str">
        <f t="shared" si="158"/>
        <v>001390</v>
      </c>
      <c r="F10171" t="s">
        <v>27246</v>
      </c>
      <c r="G10171" t="s">
        <v>27247</v>
      </c>
      <c r="H10171" t="s">
        <v>27248</v>
      </c>
      <c r="I10171" t="s">
        <v>46996</v>
      </c>
      <c r="J10171" t="s">
        <v>20472</v>
      </c>
      <c r="L10171" t="s">
        <v>27250</v>
      </c>
      <c r="M10171" t="s">
        <v>27251</v>
      </c>
      <c r="N10171" t="s">
        <v>27252</v>
      </c>
      <c r="P10171" t="s">
        <v>27341</v>
      </c>
      <c r="Q10171" s="1">
        <v>44846</v>
      </c>
      <c r="R10171" t="s">
        <v>27253</v>
      </c>
      <c r="S10171" t="s">
        <v>27254</v>
      </c>
      <c r="T10171" t="s">
        <v>27265</v>
      </c>
    </row>
    <row r="10172" spans="1:20" x14ac:dyDescent="0.3">
      <c r="A10172" t="str">
        <f>"0611863705050"</f>
        <v>0611863705050</v>
      </c>
      <c r="B10172" t="str">
        <f>"CR2510"</f>
        <v>CR2510</v>
      </c>
      <c r="C10172" t="s">
        <v>46997</v>
      </c>
      <c r="D10172" t="s">
        <v>27271</v>
      </c>
      <c r="E10172" t="str">
        <f t="shared" si="158"/>
        <v>001390</v>
      </c>
      <c r="F10172" t="s">
        <v>27246</v>
      </c>
      <c r="G10172" t="s">
        <v>27247</v>
      </c>
      <c r="H10172" t="s">
        <v>27248</v>
      </c>
      <c r="I10172" t="s">
        <v>46998</v>
      </c>
      <c r="J10172" t="s">
        <v>20474</v>
      </c>
      <c r="L10172" t="s">
        <v>27250</v>
      </c>
      <c r="M10172" t="s">
        <v>27251</v>
      </c>
      <c r="N10172" t="s">
        <v>27252</v>
      </c>
      <c r="P10172" t="s">
        <v>27341</v>
      </c>
      <c r="Q10172" s="1">
        <v>44846</v>
      </c>
      <c r="R10172" t="s">
        <v>27253</v>
      </c>
      <c r="S10172" t="s">
        <v>27254</v>
      </c>
      <c r="T10172" t="s">
        <v>27265</v>
      </c>
    </row>
    <row r="10173" spans="1:20" x14ac:dyDescent="0.3">
      <c r="A10173" t="str">
        <f>"0611863706050"</f>
        <v>0611863706050</v>
      </c>
      <c r="B10173" t="str">
        <f>"CR3736"</f>
        <v>CR3736</v>
      </c>
      <c r="C10173" t="s">
        <v>46999</v>
      </c>
      <c r="D10173" t="s">
        <v>27271</v>
      </c>
      <c r="E10173" t="str">
        <f t="shared" si="158"/>
        <v>001390</v>
      </c>
      <c r="F10173" t="s">
        <v>27246</v>
      </c>
      <c r="G10173" t="s">
        <v>27247</v>
      </c>
      <c r="H10173" t="s">
        <v>27248</v>
      </c>
      <c r="I10173" t="s">
        <v>47000</v>
      </c>
      <c r="J10173" t="s">
        <v>20476</v>
      </c>
      <c r="L10173" t="s">
        <v>27250</v>
      </c>
      <c r="M10173" t="s">
        <v>27251</v>
      </c>
      <c r="N10173" t="s">
        <v>27252</v>
      </c>
      <c r="P10173" t="s">
        <v>27341</v>
      </c>
      <c r="Q10173" s="1">
        <v>44846</v>
      </c>
      <c r="R10173" t="s">
        <v>27253</v>
      </c>
      <c r="S10173" t="s">
        <v>27254</v>
      </c>
      <c r="T10173" t="s">
        <v>27265</v>
      </c>
    </row>
    <row r="10174" spans="1:20" x14ac:dyDescent="0.3">
      <c r="A10174" t="str">
        <f>"0611863707050"</f>
        <v>0611863707050</v>
      </c>
      <c r="B10174" t="str">
        <f>"CR3912"</f>
        <v>CR3912</v>
      </c>
      <c r="C10174" t="s">
        <v>47001</v>
      </c>
      <c r="D10174" t="s">
        <v>27271</v>
      </c>
      <c r="E10174" t="str">
        <f t="shared" si="158"/>
        <v>001390</v>
      </c>
      <c r="F10174" t="s">
        <v>27246</v>
      </c>
      <c r="G10174" t="s">
        <v>27247</v>
      </c>
      <c r="H10174" t="s">
        <v>27248</v>
      </c>
      <c r="I10174" t="s">
        <v>47002</v>
      </c>
      <c r="J10174" t="s">
        <v>20478</v>
      </c>
      <c r="L10174" t="s">
        <v>27250</v>
      </c>
      <c r="M10174" t="s">
        <v>27251</v>
      </c>
      <c r="N10174" t="s">
        <v>27252</v>
      </c>
      <c r="P10174" t="s">
        <v>27341</v>
      </c>
      <c r="Q10174" s="1">
        <v>44846</v>
      </c>
      <c r="R10174" t="s">
        <v>27253</v>
      </c>
      <c r="S10174" t="s">
        <v>27254</v>
      </c>
      <c r="T10174" t="s">
        <v>27265</v>
      </c>
    </row>
    <row r="10175" spans="1:20" x14ac:dyDescent="0.3">
      <c r="A10175" t="str">
        <f>"0611863708050"</f>
        <v>0611863708050</v>
      </c>
      <c r="B10175" t="str">
        <f>"CR2511"</f>
        <v>CR2511</v>
      </c>
      <c r="C10175" t="s">
        <v>47003</v>
      </c>
      <c r="D10175" t="s">
        <v>27271</v>
      </c>
      <c r="E10175" t="str">
        <f t="shared" si="158"/>
        <v>001390</v>
      </c>
      <c r="F10175" t="s">
        <v>27246</v>
      </c>
      <c r="G10175" t="s">
        <v>27247</v>
      </c>
      <c r="H10175" t="s">
        <v>27248</v>
      </c>
      <c r="I10175" t="s">
        <v>47004</v>
      </c>
      <c r="J10175" t="s">
        <v>20480</v>
      </c>
      <c r="L10175" t="s">
        <v>27250</v>
      </c>
      <c r="M10175" t="s">
        <v>27251</v>
      </c>
      <c r="N10175" t="s">
        <v>27252</v>
      </c>
      <c r="P10175" t="s">
        <v>27341</v>
      </c>
      <c r="Q10175" s="1">
        <v>44846</v>
      </c>
      <c r="R10175" t="s">
        <v>27253</v>
      </c>
      <c r="S10175" t="s">
        <v>27254</v>
      </c>
      <c r="T10175" t="s">
        <v>27265</v>
      </c>
    </row>
    <row r="10176" spans="1:20" x14ac:dyDescent="0.3">
      <c r="A10176" t="str">
        <f>"0611863709050"</f>
        <v>0611863709050</v>
      </c>
      <c r="B10176" t="str">
        <f>"CR2753"</f>
        <v>CR2753</v>
      </c>
      <c r="C10176" t="s">
        <v>47005</v>
      </c>
      <c r="D10176" t="s">
        <v>27271</v>
      </c>
      <c r="E10176" t="str">
        <f t="shared" si="158"/>
        <v>001390</v>
      </c>
      <c r="F10176" t="s">
        <v>27246</v>
      </c>
      <c r="G10176" t="s">
        <v>27247</v>
      </c>
      <c r="H10176" t="s">
        <v>27248</v>
      </c>
      <c r="I10176" t="s">
        <v>47006</v>
      </c>
      <c r="J10176" t="s">
        <v>20482</v>
      </c>
      <c r="L10176" t="s">
        <v>27250</v>
      </c>
      <c r="M10176" t="s">
        <v>27251</v>
      </c>
      <c r="N10176" t="s">
        <v>27252</v>
      </c>
      <c r="P10176" t="s">
        <v>27341</v>
      </c>
      <c r="Q10176" s="1">
        <v>44846</v>
      </c>
      <c r="R10176" t="s">
        <v>27253</v>
      </c>
      <c r="S10176" t="s">
        <v>27254</v>
      </c>
      <c r="T10176" t="s">
        <v>27265</v>
      </c>
    </row>
    <row r="10177" spans="1:20" x14ac:dyDescent="0.3">
      <c r="A10177" t="str">
        <f>"0611863710050"</f>
        <v>0611863710050</v>
      </c>
      <c r="B10177" t="str">
        <f>"CR2929"</f>
        <v>CR2929</v>
      </c>
      <c r="C10177" t="s">
        <v>47007</v>
      </c>
      <c r="D10177" t="s">
        <v>27271</v>
      </c>
      <c r="E10177" t="str">
        <f t="shared" si="158"/>
        <v>001390</v>
      </c>
      <c r="F10177" t="s">
        <v>27246</v>
      </c>
      <c r="G10177" t="s">
        <v>27247</v>
      </c>
      <c r="H10177" t="s">
        <v>27248</v>
      </c>
      <c r="I10177" t="s">
        <v>47008</v>
      </c>
      <c r="J10177" t="s">
        <v>20484</v>
      </c>
      <c r="L10177" t="s">
        <v>27250</v>
      </c>
      <c r="M10177" t="s">
        <v>27251</v>
      </c>
      <c r="N10177" t="s">
        <v>27252</v>
      </c>
      <c r="P10177" t="s">
        <v>27341</v>
      </c>
      <c r="Q10177" s="1">
        <v>44846</v>
      </c>
      <c r="R10177" t="s">
        <v>27253</v>
      </c>
      <c r="S10177" t="s">
        <v>27254</v>
      </c>
      <c r="T10177" t="s">
        <v>27265</v>
      </c>
    </row>
    <row r="10178" spans="1:20" x14ac:dyDescent="0.3">
      <c r="A10178" t="str">
        <f>"0611863711050"</f>
        <v>0611863711050</v>
      </c>
      <c r="B10178" t="str">
        <f>"CR2512"</f>
        <v>CR2512</v>
      </c>
      <c r="C10178" t="s">
        <v>47009</v>
      </c>
      <c r="D10178" t="s">
        <v>27271</v>
      </c>
      <c r="E10178" t="str">
        <f t="shared" ref="E10178:E10241" si="159">"001390"</f>
        <v>001390</v>
      </c>
      <c r="F10178" t="s">
        <v>27246</v>
      </c>
      <c r="G10178" t="s">
        <v>27247</v>
      </c>
      <c r="H10178" t="s">
        <v>27248</v>
      </c>
      <c r="I10178" t="s">
        <v>47010</v>
      </c>
      <c r="J10178" t="s">
        <v>20486</v>
      </c>
      <c r="L10178" t="s">
        <v>27250</v>
      </c>
      <c r="M10178" t="s">
        <v>27251</v>
      </c>
      <c r="N10178" t="s">
        <v>27252</v>
      </c>
      <c r="P10178" t="s">
        <v>27341</v>
      </c>
      <c r="Q10178" s="1">
        <v>44846</v>
      </c>
      <c r="R10178" t="s">
        <v>27253</v>
      </c>
      <c r="S10178" t="s">
        <v>27254</v>
      </c>
      <c r="T10178" t="s">
        <v>27265</v>
      </c>
    </row>
    <row r="10179" spans="1:20" x14ac:dyDescent="0.3">
      <c r="A10179" t="str">
        <f>"0611863712050"</f>
        <v>0611863712050</v>
      </c>
      <c r="B10179" t="str">
        <f>"CR2513"</f>
        <v>CR2513</v>
      </c>
      <c r="C10179" t="s">
        <v>47011</v>
      </c>
      <c r="D10179" t="s">
        <v>27271</v>
      </c>
      <c r="E10179" t="str">
        <f t="shared" si="159"/>
        <v>001390</v>
      </c>
      <c r="F10179" t="s">
        <v>27246</v>
      </c>
      <c r="G10179" t="s">
        <v>27247</v>
      </c>
      <c r="H10179" t="s">
        <v>27248</v>
      </c>
      <c r="I10179" t="s">
        <v>47012</v>
      </c>
      <c r="J10179" t="s">
        <v>20488</v>
      </c>
      <c r="L10179" t="s">
        <v>27250</v>
      </c>
      <c r="M10179" t="s">
        <v>27251</v>
      </c>
      <c r="N10179" t="s">
        <v>27252</v>
      </c>
      <c r="P10179" t="s">
        <v>27341</v>
      </c>
      <c r="Q10179" s="1">
        <v>44846</v>
      </c>
      <c r="R10179" t="s">
        <v>27253</v>
      </c>
      <c r="S10179" t="s">
        <v>27254</v>
      </c>
      <c r="T10179" t="s">
        <v>27265</v>
      </c>
    </row>
    <row r="10180" spans="1:20" x14ac:dyDescent="0.3">
      <c r="A10180" t="str">
        <f>"0611863713050"</f>
        <v>0611863713050</v>
      </c>
      <c r="B10180" t="str">
        <f>"CR2990"</f>
        <v>CR2990</v>
      </c>
      <c r="C10180" t="s">
        <v>47013</v>
      </c>
      <c r="D10180" t="s">
        <v>27271</v>
      </c>
      <c r="E10180" t="str">
        <f t="shared" si="159"/>
        <v>001390</v>
      </c>
      <c r="F10180" t="s">
        <v>27246</v>
      </c>
      <c r="G10180" t="s">
        <v>27247</v>
      </c>
      <c r="H10180" t="s">
        <v>27248</v>
      </c>
      <c r="I10180" t="s">
        <v>47014</v>
      </c>
      <c r="J10180" t="s">
        <v>20490</v>
      </c>
      <c r="L10180" t="s">
        <v>27250</v>
      </c>
      <c r="M10180" t="s">
        <v>27251</v>
      </c>
      <c r="N10180" t="s">
        <v>27252</v>
      </c>
      <c r="P10180" t="s">
        <v>27341</v>
      </c>
      <c r="Q10180" s="1">
        <v>44846</v>
      </c>
      <c r="R10180" t="s">
        <v>27253</v>
      </c>
      <c r="S10180" t="s">
        <v>27254</v>
      </c>
      <c r="T10180" t="s">
        <v>27265</v>
      </c>
    </row>
    <row r="10181" spans="1:20" x14ac:dyDescent="0.3">
      <c r="A10181" t="str">
        <f>"0611863714050"</f>
        <v>0611863714050</v>
      </c>
      <c r="B10181" t="str">
        <f>"CR3152"</f>
        <v>CR3152</v>
      </c>
      <c r="C10181" t="s">
        <v>47015</v>
      </c>
      <c r="D10181" t="s">
        <v>27271</v>
      </c>
      <c r="E10181" t="str">
        <f t="shared" si="159"/>
        <v>001390</v>
      </c>
      <c r="F10181" t="s">
        <v>27246</v>
      </c>
      <c r="G10181" t="s">
        <v>27247</v>
      </c>
      <c r="H10181" t="s">
        <v>27248</v>
      </c>
      <c r="I10181" t="s">
        <v>47016</v>
      </c>
      <c r="J10181" t="s">
        <v>20492</v>
      </c>
      <c r="L10181" t="s">
        <v>27250</v>
      </c>
      <c r="M10181" t="s">
        <v>27251</v>
      </c>
      <c r="N10181" t="s">
        <v>27252</v>
      </c>
      <c r="P10181" t="s">
        <v>27341</v>
      </c>
      <c r="Q10181" s="1">
        <v>44846</v>
      </c>
      <c r="R10181" t="s">
        <v>27253</v>
      </c>
      <c r="S10181" t="s">
        <v>27254</v>
      </c>
      <c r="T10181" t="s">
        <v>27265</v>
      </c>
    </row>
    <row r="10182" spans="1:20" x14ac:dyDescent="0.3">
      <c r="A10182" t="str">
        <f>"0611863715050"</f>
        <v>0611863715050</v>
      </c>
      <c r="B10182" t="str">
        <f>"CR2991"</f>
        <v>CR2991</v>
      </c>
      <c r="C10182" t="s">
        <v>47017</v>
      </c>
      <c r="D10182" t="s">
        <v>27271</v>
      </c>
      <c r="E10182" t="str">
        <f t="shared" si="159"/>
        <v>001390</v>
      </c>
      <c r="F10182" t="s">
        <v>27246</v>
      </c>
      <c r="G10182" t="s">
        <v>27247</v>
      </c>
      <c r="H10182" t="s">
        <v>27248</v>
      </c>
      <c r="I10182" t="s">
        <v>47018</v>
      </c>
      <c r="J10182" t="s">
        <v>20494</v>
      </c>
      <c r="L10182" t="s">
        <v>27250</v>
      </c>
      <c r="M10182" t="s">
        <v>27251</v>
      </c>
      <c r="N10182" t="s">
        <v>27252</v>
      </c>
      <c r="P10182" t="s">
        <v>27341</v>
      </c>
      <c r="Q10182" s="1">
        <v>44846</v>
      </c>
      <c r="R10182" t="s">
        <v>27253</v>
      </c>
      <c r="S10182" t="s">
        <v>27254</v>
      </c>
      <c r="T10182" t="s">
        <v>27265</v>
      </c>
    </row>
    <row r="10183" spans="1:20" x14ac:dyDescent="0.3">
      <c r="A10183" t="str">
        <f>"0611863716050"</f>
        <v>0611863716050</v>
      </c>
      <c r="B10183" t="str">
        <f>"CR2992"</f>
        <v>CR2992</v>
      </c>
      <c r="C10183" t="s">
        <v>47019</v>
      </c>
      <c r="D10183" t="s">
        <v>27271</v>
      </c>
      <c r="E10183" t="str">
        <f t="shared" si="159"/>
        <v>001390</v>
      </c>
      <c r="F10183" t="s">
        <v>27246</v>
      </c>
      <c r="G10183" t="s">
        <v>27247</v>
      </c>
      <c r="H10183" t="s">
        <v>27248</v>
      </c>
      <c r="I10183" t="s">
        <v>47020</v>
      </c>
      <c r="J10183" t="s">
        <v>20496</v>
      </c>
      <c r="L10183" t="s">
        <v>27250</v>
      </c>
      <c r="M10183" t="s">
        <v>27251</v>
      </c>
      <c r="N10183" t="s">
        <v>27252</v>
      </c>
      <c r="P10183" t="s">
        <v>27341</v>
      </c>
      <c r="Q10183" s="1">
        <v>44846</v>
      </c>
      <c r="R10183" t="s">
        <v>27253</v>
      </c>
      <c r="S10183" t="s">
        <v>27254</v>
      </c>
      <c r="T10183" t="s">
        <v>27265</v>
      </c>
    </row>
    <row r="10184" spans="1:20" x14ac:dyDescent="0.3">
      <c r="A10184" t="str">
        <f>"0611863717050"</f>
        <v>0611863717050</v>
      </c>
      <c r="B10184" t="str">
        <f>"CR5236"</f>
        <v>CR5236</v>
      </c>
      <c r="C10184" t="s">
        <v>47021</v>
      </c>
      <c r="D10184" t="s">
        <v>27271</v>
      </c>
      <c r="E10184" t="str">
        <f t="shared" si="159"/>
        <v>001390</v>
      </c>
      <c r="F10184" t="s">
        <v>27246</v>
      </c>
      <c r="G10184" t="s">
        <v>27247</v>
      </c>
      <c r="H10184" t="s">
        <v>27248</v>
      </c>
      <c r="I10184" t="s">
        <v>47022</v>
      </c>
      <c r="J10184" t="s">
        <v>20498</v>
      </c>
      <c r="L10184" t="s">
        <v>27250</v>
      </c>
      <c r="M10184" t="s">
        <v>27251</v>
      </c>
      <c r="N10184" t="s">
        <v>27252</v>
      </c>
      <c r="P10184" t="s">
        <v>27341</v>
      </c>
      <c r="Q10184" s="1">
        <v>44846</v>
      </c>
      <c r="R10184" t="s">
        <v>27253</v>
      </c>
      <c r="S10184" t="s">
        <v>27254</v>
      </c>
      <c r="T10184" t="s">
        <v>27265</v>
      </c>
    </row>
    <row r="10185" spans="1:20" x14ac:dyDescent="0.3">
      <c r="A10185" t="str">
        <f>"0611884390050"</f>
        <v>0611884390050</v>
      </c>
      <c r="B10185" t="str">
        <f>"CR5395"</f>
        <v>CR5395</v>
      </c>
      <c r="C10185" t="s">
        <v>47023</v>
      </c>
      <c r="D10185" t="s">
        <v>27271</v>
      </c>
      <c r="E10185" t="str">
        <f t="shared" si="159"/>
        <v>001390</v>
      </c>
      <c r="F10185" t="s">
        <v>27246</v>
      </c>
      <c r="G10185" t="s">
        <v>27247</v>
      </c>
      <c r="H10185" t="s">
        <v>27248</v>
      </c>
      <c r="I10185" t="s">
        <v>47024</v>
      </c>
      <c r="J10185" t="s">
        <v>20500</v>
      </c>
      <c r="L10185" t="s">
        <v>27430</v>
      </c>
      <c r="M10185" t="s">
        <v>27251</v>
      </c>
      <c r="N10185" t="s">
        <v>27252</v>
      </c>
      <c r="P10185" t="s">
        <v>27341</v>
      </c>
      <c r="Q10185" s="1">
        <v>45250</v>
      </c>
      <c r="R10185" t="s">
        <v>27253</v>
      </c>
      <c r="S10185" t="s">
        <v>27254</v>
      </c>
      <c r="T10185" t="s">
        <v>27265</v>
      </c>
    </row>
    <row r="10186" spans="1:20" x14ac:dyDescent="0.3">
      <c r="A10186" t="str">
        <f>"0611863718050"</f>
        <v>0611863718050</v>
      </c>
      <c r="B10186" t="str">
        <f>"CR3737"</f>
        <v>CR3737</v>
      </c>
      <c r="C10186" t="s">
        <v>47025</v>
      </c>
      <c r="D10186" t="s">
        <v>27271</v>
      </c>
      <c r="E10186" t="str">
        <f t="shared" si="159"/>
        <v>001390</v>
      </c>
      <c r="F10186" t="s">
        <v>27246</v>
      </c>
      <c r="G10186" t="s">
        <v>27247</v>
      </c>
      <c r="H10186" t="s">
        <v>27248</v>
      </c>
      <c r="I10186" t="s">
        <v>47026</v>
      </c>
      <c r="J10186" t="s">
        <v>20502</v>
      </c>
      <c r="L10186" t="s">
        <v>27250</v>
      </c>
      <c r="M10186" t="s">
        <v>27251</v>
      </c>
      <c r="N10186" t="s">
        <v>27252</v>
      </c>
      <c r="P10186" t="s">
        <v>27341</v>
      </c>
      <c r="Q10186" s="1">
        <v>44846</v>
      </c>
      <c r="R10186" t="s">
        <v>27253</v>
      </c>
      <c r="S10186" t="s">
        <v>27254</v>
      </c>
      <c r="T10186" t="s">
        <v>27265</v>
      </c>
    </row>
    <row r="10187" spans="1:20" x14ac:dyDescent="0.3">
      <c r="A10187" t="str">
        <f>"0611884391050"</f>
        <v>0611884391050</v>
      </c>
      <c r="B10187" t="str">
        <f>"CR5396"</f>
        <v>CR5396</v>
      </c>
      <c r="C10187" t="s">
        <v>47027</v>
      </c>
      <c r="D10187" t="s">
        <v>27271</v>
      </c>
      <c r="E10187" t="str">
        <f t="shared" si="159"/>
        <v>001390</v>
      </c>
      <c r="F10187" t="s">
        <v>27246</v>
      </c>
      <c r="G10187" t="s">
        <v>27247</v>
      </c>
      <c r="H10187" t="s">
        <v>27248</v>
      </c>
      <c r="I10187" t="s">
        <v>47028</v>
      </c>
      <c r="J10187" t="s">
        <v>20504</v>
      </c>
      <c r="L10187" t="s">
        <v>27430</v>
      </c>
      <c r="M10187" t="s">
        <v>27251</v>
      </c>
      <c r="N10187" t="s">
        <v>27252</v>
      </c>
      <c r="P10187" t="s">
        <v>27341</v>
      </c>
      <c r="Q10187" s="1">
        <v>45250</v>
      </c>
      <c r="R10187" t="s">
        <v>27253</v>
      </c>
      <c r="S10187" t="s">
        <v>27254</v>
      </c>
      <c r="T10187" t="s">
        <v>27265</v>
      </c>
    </row>
    <row r="10188" spans="1:20" x14ac:dyDescent="0.3">
      <c r="A10188" t="str">
        <f>"0611863719050"</f>
        <v>0611863719050</v>
      </c>
      <c r="B10188" t="str">
        <f>"CR2515"</f>
        <v>CR2515</v>
      </c>
      <c r="C10188" t="s">
        <v>47029</v>
      </c>
      <c r="D10188" t="s">
        <v>27271</v>
      </c>
      <c r="E10188" t="str">
        <f t="shared" si="159"/>
        <v>001390</v>
      </c>
      <c r="F10188" t="s">
        <v>27246</v>
      </c>
      <c r="G10188" t="s">
        <v>27247</v>
      </c>
      <c r="H10188" t="s">
        <v>27248</v>
      </c>
      <c r="I10188" t="s">
        <v>47030</v>
      </c>
      <c r="J10188" t="s">
        <v>20506</v>
      </c>
      <c r="L10188" t="s">
        <v>27250</v>
      </c>
      <c r="M10188" t="s">
        <v>27251</v>
      </c>
      <c r="N10188" t="s">
        <v>27252</v>
      </c>
      <c r="P10188" t="s">
        <v>27341</v>
      </c>
      <c r="Q10188" s="1">
        <v>44846</v>
      </c>
      <c r="R10188" t="s">
        <v>27253</v>
      </c>
      <c r="S10188" t="s">
        <v>27254</v>
      </c>
      <c r="T10188" t="s">
        <v>27265</v>
      </c>
    </row>
    <row r="10189" spans="1:20" x14ac:dyDescent="0.3">
      <c r="A10189" t="str">
        <f>"0611863720050"</f>
        <v>0611863720050</v>
      </c>
      <c r="B10189" t="str">
        <f>"CR4122"</f>
        <v>CR4122</v>
      </c>
      <c r="C10189" t="s">
        <v>47031</v>
      </c>
      <c r="D10189" t="s">
        <v>27271</v>
      </c>
      <c r="E10189" t="str">
        <f t="shared" si="159"/>
        <v>001390</v>
      </c>
      <c r="F10189" t="s">
        <v>27246</v>
      </c>
      <c r="G10189" t="s">
        <v>27247</v>
      </c>
      <c r="H10189" t="s">
        <v>27248</v>
      </c>
      <c r="I10189" t="s">
        <v>47032</v>
      </c>
      <c r="J10189" t="s">
        <v>20508</v>
      </c>
      <c r="L10189" t="s">
        <v>27250</v>
      </c>
      <c r="M10189" t="s">
        <v>27251</v>
      </c>
      <c r="N10189" t="s">
        <v>27252</v>
      </c>
      <c r="P10189" t="s">
        <v>27341</v>
      </c>
      <c r="Q10189" s="1">
        <v>44846</v>
      </c>
      <c r="R10189" t="s">
        <v>27253</v>
      </c>
      <c r="S10189" t="s">
        <v>27254</v>
      </c>
      <c r="T10189" t="s">
        <v>27265</v>
      </c>
    </row>
    <row r="10190" spans="1:20" x14ac:dyDescent="0.3">
      <c r="A10190" t="str">
        <f>"0611863721050"</f>
        <v>0611863721050</v>
      </c>
      <c r="B10190" t="str">
        <f>"CR2516"</f>
        <v>CR2516</v>
      </c>
      <c r="C10190" t="s">
        <v>47033</v>
      </c>
      <c r="D10190" t="s">
        <v>27271</v>
      </c>
      <c r="E10190" t="str">
        <f t="shared" si="159"/>
        <v>001390</v>
      </c>
      <c r="F10190" t="s">
        <v>27246</v>
      </c>
      <c r="G10190" t="s">
        <v>27247</v>
      </c>
      <c r="H10190" t="s">
        <v>27248</v>
      </c>
      <c r="I10190" t="s">
        <v>47034</v>
      </c>
      <c r="J10190" t="s">
        <v>20510</v>
      </c>
      <c r="L10190" t="s">
        <v>27250</v>
      </c>
      <c r="M10190" t="s">
        <v>27251</v>
      </c>
      <c r="N10190" t="s">
        <v>27252</v>
      </c>
      <c r="P10190" t="s">
        <v>27341</v>
      </c>
      <c r="Q10190" s="1">
        <v>44846</v>
      </c>
      <c r="R10190" t="s">
        <v>27253</v>
      </c>
      <c r="S10190" t="s">
        <v>27254</v>
      </c>
      <c r="T10190" t="s">
        <v>27265</v>
      </c>
    </row>
    <row r="10191" spans="1:20" x14ac:dyDescent="0.3">
      <c r="A10191" t="str">
        <f>"0611863722050"</f>
        <v>0611863722050</v>
      </c>
      <c r="B10191" t="str">
        <f>"CR2993"</f>
        <v>CR2993</v>
      </c>
      <c r="C10191" t="s">
        <v>47035</v>
      </c>
      <c r="D10191" t="s">
        <v>27271</v>
      </c>
      <c r="E10191" t="str">
        <f t="shared" si="159"/>
        <v>001390</v>
      </c>
      <c r="F10191" t="s">
        <v>27246</v>
      </c>
      <c r="G10191" t="s">
        <v>27247</v>
      </c>
      <c r="H10191" t="s">
        <v>27248</v>
      </c>
      <c r="I10191" t="s">
        <v>47036</v>
      </c>
      <c r="J10191" t="s">
        <v>20512</v>
      </c>
      <c r="L10191" t="s">
        <v>27250</v>
      </c>
      <c r="M10191" t="s">
        <v>27251</v>
      </c>
      <c r="N10191" t="s">
        <v>27252</v>
      </c>
      <c r="P10191" t="s">
        <v>27341</v>
      </c>
      <c r="Q10191" s="1">
        <v>44846</v>
      </c>
      <c r="R10191" t="s">
        <v>27253</v>
      </c>
      <c r="S10191" t="s">
        <v>27254</v>
      </c>
      <c r="T10191" t="s">
        <v>27265</v>
      </c>
    </row>
    <row r="10192" spans="1:20" x14ac:dyDescent="0.3">
      <c r="A10192" t="str">
        <f>"0611863723050"</f>
        <v>0611863723050</v>
      </c>
      <c r="B10192" t="str">
        <f>"CR2517"</f>
        <v>CR2517</v>
      </c>
      <c r="C10192" t="s">
        <v>47037</v>
      </c>
      <c r="D10192" t="s">
        <v>27271</v>
      </c>
      <c r="E10192" t="str">
        <f t="shared" si="159"/>
        <v>001390</v>
      </c>
      <c r="F10192" t="s">
        <v>27246</v>
      </c>
      <c r="G10192" t="s">
        <v>27247</v>
      </c>
      <c r="H10192" t="s">
        <v>27248</v>
      </c>
      <c r="I10192" t="s">
        <v>47038</v>
      </c>
      <c r="J10192" t="s">
        <v>20514</v>
      </c>
      <c r="L10192" t="s">
        <v>27250</v>
      </c>
      <c r="M10192" t="s">
        <v>27251</v>
      </c>
      <c r="N10192" t="s">
        <v>27252</v>
      </c>
      <c r="P10192" t="s">
        <v>27341</v>
      </c>
      <c r="Q10192" s="1">
        <v>44846</v>
      </c>
      <c r="R10192" t="s">
        <v>27253</v>
      </c>
      <c r="S10192" t="s">
        <v>27254</v>
      </c>
      <c r="T10192" t="s">
        <v>27265</v>
      </c>
    </row>
    <row r="10193" spans="1:20" x14ac:dyDescent="0.3">
      <c r="A10193" t="str">
        <f>"0611863724050"</f>
        <v>0611863724050</v>
      </c>
      <c r="B10193" t="str">
        <f>"CR2518"</f>
        <v>CR2518</v>
      </c>
      <c r="C10193" t="s">
        <v>47039</v>
      </c>
      <c r="D10193" t="s">
        <v>27271</v>
      </c>
      <c r="E10193" t="str">
        <f t="shared" si="159"/>
        <v>001390</v>
      </c>
      <c r="F10193" t="s">
        <v>27246</v>
      </c>
      <c r="G10193" t="s">
        <v>27247</v>
      </c>
      <c r="H10193" t="s">
        <v>27248</v>
      </c>
      <c r="I10193" t="s">
        <v>47040</v>
      </c>
      <c r="J10193" t="s">
        <v>20516</v>
      </c>
      <c r="L10193" t="s">
        <v>27250</v>
      </c>
      <c r="M10193" t="s">
        <v>27251</v>
      </c>
      <c r="N10193" t="s">
        <v>27252</v>
      </c>
      <c r="P10193" t="s">
        <v>27341</v>
      </c>
      <c r="Q10193" s="1">
        <v>44846</v>
      </c>
      <c r="R10193" t="s">
        <v>27253</v>
      </c>
      <c r="S10193" t="s">
        <v>27254</v>
      </c>
      <c r="T10193" t="s">
        <v>27265</v>
      </c>
    </row>
    <row r="10194" spans="1:20" x14ac:dyDescent="0.3">
      <c r="A10194" t="str">
        <f>"0611863726050"</f>
        <v>0611863726050</v>
      </c>
      <c r="B10194" t="str">
        <f>"CR3913"</f>
        <v>CR3913</v>
      </c>
      <c r="C10194" t="s">
        <v>47041</v>
      </c>
      <c r="D10194" t="s">
        <v>27271</v>
      </c>
      <c r="E10194" t="str">
        <f t="shared" si="159"/>
        <v>001390</v>
      </c>
      <c r="F10194" t="s">
        <v>27246</v>
      </c>
      <c r="G10194" t="s">
        <v>27247</v>
      </c>
      <c r="H10194" t="s">
        <v>27248</v>
      </c>
      <c r="I10194" t="s">
        <v>47042</v>
      </c>
      <c r="J10194" t="s">
        <v>20518</v>
      </c>
      <c r="L10194" t="s">
        <v>27250</v>
      </c>
      <c r="M10194" t="s">
        <v>27251</v>
      </c>
      <c r="N10194" t="s">
        <v>27252</v>
      </c>
      <c r="P10194" t="s">
        <v>27341</v>
      </c>
      <c r="Q10194" s="1">
        <v>44846</v>
      </c>
      <c r="R10194" t="s">
        <v>27253</v>
      </c>
      <c r="S10194" t="s">
        <v>27254</v>
      </c>
      <c r="T10194" t="s">
        <v>27265</v>
      </c>
    </row>
    <row r="10195" spans="1:20" x14ac:dyDescent="0.3">
      <c r="A10195" t="str">
        <f>"0611838157100"</f>
        <v>0611838157100</v>
      </c>
      <c r="B10195" t="str">
        <f>"LQ3769"</f>
        <v>LQ3769</v>
      </c>
      <c r="C10195" t="s">
        <v>47043</v>
      </c>
      <c r="D10195" t="s">
        <v>27245</v>
      </c>
      <c r="E10195" t="str">
        <f t="shared" si="159"/>
        <v>001390</v>
      </c>
      <c r="F10195" t="s">
        <v>27246</v>
      </c>
      <c r="G10195" t="s">
        <v>27247</v>
      </c>
      <c r="H10195" t="s">
        <v>27248</v>
      </c>
      <c r="I10195" t="s">
        <v>47044</v>
      </c>
      <c r="J10195" t="s">
        <v>20520</v>
      </c>
      <c r="L10195" t="s">
        <v>27250</v>
      </c>
      <c r="M10195" t="s">
        <v>27251</v>
      </c>
      <c r="N10195" t="s">
        <v>27252</v>
      </c>
      <c r="Q10195" s="1">
        <v>44538</v>
      </c>
      <c r="R10195" t="s">
        <v>27253</v>
      </c>
      <c r="S10195" t="s">
        <v>27254</v>
      </c>
      <c r="T10195" t="s">
        <v>27255</v>
      </c>
    </row>
    <row r="10196" spans="1:20" x14ac:dyDescent="0.3">
      <c r="A10196" t="str">
        <f>"0611884392100"</f>
        <v>0611884392100</v>
      </c>
      <c r="B10196" t="str">
        <f>"LQ0982"</f>
        <v>LQ0982</v>
      </c>
      <c r="C10196" t="s">
        <v>47045</v>
      </c>
      <c r="D10196" t="s">
        <v>27245</v>
      </c>
      <c r="E10196" t="str">
        <f t="shared" si="159"/>
        <v>001390</v>
      </c>
      <c r="F10196" t="s">
        <v>27246</v>
      </c>
      <c r="G10196" t="s">
        <v>27247</v>
      </c>
      <c r="H10196" t="s">
        <v>27248</v>
      </c>
      <c r="I10196" t="s">
        <v>47046</v>
      </c>
      <c r="J10196" t="s">
        <v>20522</v>
      </c>
      <c r="L10196" t="s">
        <v>27430</v>
      </c>
      <c r="M10196" t="s">
        <v>27251</v>
      </c>
      <c r="N10196" t="s">
        <v>27252</v>
      </c>
      <c r="Q10196" s="1">
        <v>45250</v>
      </c>
      <c r="R10196" t="s">
        <v>27253</v>
      </c>
      <c r="S10196" t="s">
        <v>27254</v>
      </c>
      <c r="T10196" t="s">
        <v>27255</v>
      </c>
    </row>
    <row r="10197" spans="1:20" x14ac:dyDescent="0.3">
      <c r="A10197" t="str">
        <f>"0611838158100"</f>
        <v>0611838158100</v>
      </c>
      <c r="B10197" t="str">
        <f>"LK5118"</f>
        <v>LK5118</v>
      </c>
      <c r="C10197" t="s">
        <v>47047</v>
      </c>
      <c r="D10197" t="s">
        <v>27245</v>
      </c>
      <c r="E10197" t="str">
        <f t="shared" si="159"/>
        <v>001390</v>
      </c>
      <c r="F10197" t="s">
        <v>27246</v>
      </c>
      <c r="G10197" t="s">
        <v>27247</v>
      </c>
      <c r="H10197" t="s">
        <v>27248</v>
      </c>
      <c r="I10197" t="s">
        <v>47048</v>
      </c>
      <c r="J10197" t="s">
        <v>20524</v>
      </c>
      <c r="L10197" t="s">
        <v>27250</v>
      </c>
      <c r="M10197" t="s">
        <v>27251</v>
      </c>
      <c r="N10197" t="s">
        <v>27252</v>
      </c>
      <c r="Q10197" s="1">
        <v>44538</v>
      </c>
      <c r="R10197" t="s">
        <v>27253</v>
      </c>
      <c r="S10197" t="s">
        <v>27254</v>
      </c>
      <c r="T10197" t="s">
        <v>27255</v>
      </c>
    </row>
    <row r="10198" spans="1:20" x14ac:dyDescent="0.3">
      <c r="A10198" t="str">
        <f>"0611838159100"</f>
        <v>0611838159100</v>
      </c>
      <c r="B10198" t="str">
        <f>"LK5886"</f>
        <v>LK5886</v>
      </c>
      <c r="C10198" t="s">
        <v>47049</v>
      </c>
      <c r="D10198" t="s">
        <v>28138</v>
      </c>
      <c r="E10198" t="str">
        <f t="shared" si="159"/>
        <v>001390</v>
      </c>
      <c r="F10198" t="s">
        <v>27246</v>
      </c>
      <c r="G10198" t="s">
        <v>27247</v>
      </c>
      <c r="H10198" t="s">
        <v>27248</v>
      </c>
      <c r="I10198" t="s">
        <v>47050</v>
      </c>
      <c r="J10198" t="s">
        <v>20526</v>
      </c>
      <c r="L10198" t="s">
        <v>27250</v>
      </c>
      <c r="M10198" t="s">
        <v>27251</v>
      </c>
      <c r="N10198" t="s">
        <v>27252</v>
      </c>
      <c r="P10198" t="s">
        <v>27925</v>
      </c>
      <c r="Q10198" s="1">
        <v>44538</v>
      </c>
      <c r="R10198" t="s">
        <v>27253</v>
      </c>
      <c r="S10198" t="s">
        <v>27254</v>
      </c>
      <c r="T10198" t="s">
        <v>27255</v>
      </c>
    </row>
    <row r="10199" spans="1:20" x14ac:dyDescent="0.3">
      <c r="A10199" t="str">
        <f>"0611838160100"</f>
        <v>0611838160100</v>
      </c>
      <c r="B10199" t="str">
        <f>"LK5887"</f>
        <v>LK5887</v>
      </c>
      <c r="C10199" t="s">
        <v>47051</v>
      </c>
      <c r="D10199" t="s">
        <v>28138</v>
      </c>
      <c r="E10199" t="str">
        <f t="shared" si="159"/>
        <v>001390</v>
      </c>
      <c r="F10199" t="s">
        <v>27246</v>
      </c>
      <c r="G10199" t="s">
        <v>27247</v>
      </c>
      <c r="H10199" t="s">
        <v>27248</v>
      </c>
      <c r="I10199" t="s">
        <v>47052</v>
      </c>
      <c r="J10199" t="s">
        <v>20528</v>
      </c>
      <c r="L10199" t="s">
        <v>27250</v>
      </c>
      <c r="M10199" t="s">
        <v>27251</v>
      </c>
      <c r="N10199" t="s">
        <v>27252</v>
      </c>
      <c r="P10199" t="s">
        <v>27925</v>
      </c>
      <c r="Q10199" s="1">
        <v>44538</v>
      </c>
      <c r="R10199" t="s">
        <v>27253</v>
      </c>
      <c r="S10199" t="s">
        <v>27254</v>
      </c>
      <c r="T10199" t="s">
        <v>27255</v>
      </c>
    </row>
    <row r="10200" spans="1:20" x14ac:dyDescent="0.3">
      <c r="A10200" t="str">
        <f>"0611838161100"</f>
        <v>0611838161100</v>
      </c>
      <c r="B10200" t="str">
        <f>"LK5888"</f>
        <v>LK5888</v>
      </c>
      <c r="C10200" t="s">
        <v>47053</v>
      </c>
      <c r="D10200" t="s">
        <v>28138</v>
      </c>
      <c r="E10200" t="str">
        <f t="shared" si="159"/>
        <v>001390</v>
      </c>
      <c r="F10200" t="s">
        <v>27246</v>
      </c>
      <c r="G10200" t="s">
        <v>27247</v>
      </c>
      <c r="H10200" t="s">
        <v>27248</v>
      </c>
      <c r="I10200" t="s">
        <v>47054</v>
      </c>
      <c r="J10200" t="s">
        <v>20530</v>
      </c>
      <c r="L10200" t="s">
        <v>27250</v>
      </c>
      <c r="M10200" t="s">
        <v>27251</v>
      </c>
      <c r="N10200" t="s">
        <v>27252</v>
      </c>
      <c r="P10200" t="s">
        <v>27925</v>
      </c>
      <c r="Q10200" s="1">
        <v>44538</v>
      </c>
      <c r="R10200" t="s">
        <v>27253</v>
      </c>
      <c r="S10200" t="s">
        <v>27254</v>
      </c>
      <c r="T10200" t="s">
        <v>27255</v>
      </c>
    </row>
    <row r="10201" spans="1:20" x14ac:dyDescent="0.3">
      <c r="A10201" t="str">
        <f>"0611838162100"</f>
        <v>0611838162100</v>
      </c>
      <c r="B10201" t="str">
        <f>"LK5890"</f>
        <v>LK5890</v>
      </c>
      <c r="C10201" t="s">
        <v>47055</v>
      </c>
      <c r="D10201" t="s">
        <v>28138</v>
      </c>
      <c r="E10201" t="str">
        <f t="shared" si="159"/>
        <v>001390</v>
      </c>
      <c r="F10201" t="s">
        <v>27246</v>
      </c>
      <c r="G10201" t="s">
        <v>27247</v>
      </c>
      <c r="H10201" t="s">
        <v>27248</v>
      </c>
      <c r="I10201" t="s">
        <v>47056</v>
      </c>
      <c r="J10201" t="s">
        <v>20532</v>
      </c>
      <c r="L10201" t="s">
        <v>27250</v>
      </c>
      <c r="M10201" t="s">
        <v>27251</v>
      </c>
      <c r="N10201" t="s">
        <v>27252</v>
      </c>
      <c r="P10201" t="s">
        <v>27925</v>
      </c>
      <c r="Q10201" s="1">
        <v>44538</v>
      </c>
      <c r="R10201" t="s">
        <v>27253</v>
      </c>
      <c r="S10201" t="s">
        <v>27254</v>
      </c>
      <c r="T10201" t="s">
        <v>27255</v>
      </c>
    </row>
    <row r="10202" spans="1:20" x14ac:dyDescent="0.3">
      <c r="A10202" t="str">
        <f>"0611838163100"</f>
        <v>0611838163100</v>
      </c>
      <c r="B10202" t="str">
        <f>"LK5891"</f>
        <v>LK5891</v>
      </c>
      <c r="C10202" t="s">
        <v>47057</v>
      </c>
      <c r="D10202" t="s">
        <v>28138</v>
      </c>
      <c r="E10202" t="str">
        <f t="shared" si="159"/>
        <v>001390</v>
      </c>
      <c r="F10202" t="s">
        <v>27246</v>
      </c>
      <c r="G10202" t="s">
        <v>27247</v>
      </c>
      <c r="H10202" t="s">
        <v>27248</v>
      </c>
      <c r="I10202" t="s">
        <v>47058</v>
      </c>
      <c r="J10202" t="s">
        <v>20534</v>
      </c>
      <c r="L10202" t="s">
        <v>27250</v>
      </c>
      <c r="M10202" t="s">
        <v>27251</v>
      </c>
      <c r="N10202" t="s">
        <v>27252</v>
      </c>
      <c r="P10202" t="s">
        <v>27925</v>
      </c>
      <c r="Q10202" s="1">
        <v>44538</v>
      </c>
      <c r="R10202" t="s">
        <v>27253</v>
      </c>
      <c r="S10202" t="s">
        <v>27254</v>
      </c>
      <c r="T10202" t="s">
        <v>27255</v>
      </c>
    </row>
    <row r="10203" spans="1:20" x14ac:dyDescent="0.3">
      <c r="A10203" t="str">
        <f>"0611838164100"</f>
        <v>0611838164100</v>
      </c>
      <c r="B10203" t="str">
        <f>"LK5892"</f>
        <v>LK5892</v>
      </c>
      <c r="C10203" t="s">
        <v>47059</v>
      </c>
      <c r="D10203" t="s">
        <v>28138</v>
      </c>
      <c r="E10203" t="str">
        <f t="shared" si="159"/>
        <v>001390</v>
      </c>
      <c r="F10203" t="s">
        <v>27246</v>
      </c>
      <c r="G10203" t="s">
        <v>27247</v>
      </c>
      <c r="H10203" t="s">
        <v>27248</v>
      </c>
      <c r="I10203" t="s">
        <v>47060</v>
      </c>
      <c r="J10203" t="s">
        <v>20536</v>
      </c>
      <c r="L10203" t="s">
        <v>27250</v>
      </c>
      <c r="M10203" t="s">
        <v>27251</v>
      </c>
      <c r="N10203" t="s">
        <v>27252</v>
      </c>
      <c r="P10203" t="s">
        <v>27925</v>
      </c>
      <c r="Q10203" s="1">
        <v>44538</v>
      </c>
      <c r="R10203" t="s">
        <v>27253</v>
      </c>
      <c r="S10203" t="s">
        <v>27254</v>
      </c>
      <c r="T10203" t="s">
        <v>27255</v>
      </c>
    </row>
    <row r="10204" spans="1:20" x14ac:dyDescent="0.3">
      <c r="A10204" t="str">
        <f>"0611838165100"</f>
        <v>0611838165100</v>
      </c>
      <c r="B10204" t="str">
        <f>"LK6660"</f>
        <v>LK6660</v>
      </c>
      <c r="C10204" t="s">
        <v>47061</v>
      </c>
      <c r="D10204" t="s">
        <v>28138</v>
      </c>
      <c r="E10204" t="str">
        <f t="shared" si="159"/>
        <v>001390</v>
      </c>
      <c r="F10204" t="s">
        <v>27246</v>
      </c>
      <c r="G10204" t="s">
        <v>27247</v>
      </c>
      <c r="H10204" t="s">
        <v>27248</v>
      </c>
      <c r="I10204" t="s">
        <v>47062</v>
      </c>
      <c r="J10204" t="s">
        <v>20538</v>
      </c>
      <c r="L10204" t="s">
        <v>27250</v>
      </c>
      <c r="M10204" t="s">
        <v>27251</v>
      </c>
      <c r="N10204" t="s">
        <v>27252</v>
      </c>
      <c r="P10204" t="s">
        <v>27925</v>
      </c>
      <c r="Q10204" s="1">
        <v>44538</v>
      </c>
      <c r="R10204" t="s">
        <v>27253</v>
      </c>
      <c r="S10204" t="s">
        <v>27254</v>
      </c>
      <c r="T10204" t="s">
        <v>27255</v>
      </c>
    </row>
    <row r="10205" spans="1:20" x14ac:dyDescent="0.3">
      <c r="A10205" t="str">
        <f>"0611838166100"</f>
        <v>0611838166100</v>
      </c>
      <c r="B10205" t="str">
        <f>"LK5893"</f>
        <v>LK5893</v>
      </c>
      <c r="C10205" t="s">
        <v>47063</v>
      </c>
      <c r="D10205" t="s">
        <v>28138</v>
      </c>
      <c r="E10205" t="str">
        <f t="shared" si="159"/>
        <v>001390</v>
      </c>
      <c r="F10205" t="s">
        <v>27246</v>
      </c>
      <c r="G10205" t="s">
        <v>27247</v>
      </c>
      <c r="H10205" t="s">
        <v>27248</v>
      </c>
      <c r="I10205" t="s">
        <v>47064</v>
      </c>
      <c r="J10205" t="s">
        <v>20540</v>
      </c>
      <c r="L10205" t="s">
        <v>27250</v>
      </c>
      <c r="M10205" t="s">
        <v>27251</v>
      </c>
      <c r="N10205" t="s">
        <v>27252</v>
      </c>
      <c r="P10205" t="s">
        <v>27925</v>
      </c>
      <c r="Q10205" s="1">
        <v>44538</v>
      </c>
      <c r="R10205" t="s">
        <v>27253</v>
      </c>
      <c r="S10205" t="s">
        <v>27254</v>
      </c>
      <c r="T10205" t="s">
        <v>27255</v>
      </c>
    </row>
    <row r="10206" spans="1:20" x14ac:dyDescent="0.3">
      <c r="A10206" t="str">
        <f>"0611838167100"</f>
        <v>0611838167100</v>
      </c>
      <c r="B10206" t="str">
        <f>"LK5889"</f>
        <v>LK5889</v>
      </c>
      <c r="C10206" t="s">
        <v>47065</v>
      </c>
      <c r="D10206" t="s">
        <v>28138</v>
      </c>
      <c r="E10206" t="str">
        <f t="shared" si="159"/>
        <v>001390</v>
      </c>
      <c r="F10206" t="s">
        <v>27246</v>
      </c>
      <c r="G10206" t="s">
        <v>27247</v>
      </c>
      <c r="H10206" t="s">
        <v>27248</v>
      </c>
      <c r="I10206" t="s">
        <v>47066</v>
      </c>
      <c r="J10206" t="s">
        <v>20542</v>
      </c>
      <c r="L10206" t="s">
        <v>27250</v>
      </c>
      <c r="M10206" t="s">
        <v>27251</v>
      </c>
      <c r="N10206" t="s">
        <v>27252</v>
      </c>
      <c r="P10206" t="s">
        <v>27925</v>
      </c>
      <c r="Q10206" s="1">
        <v>44538</v>
      </c>
      <c r="R10206" t="s">
        <v>27253</v>
      </c>
      <c r="S10206" t="s">
        <v>27254</v>
      </c>
      <c r="T10206" t="s">
        <v>27255</v>
      </c>
    </row>
    <row r="10207" spans="1:20" x14ac:dyDescent="0.3">
      <c r="A10207" t="str">
        <f>"0611838168100"</f>
        <v>0611838168100</v>
      </c>
      <c r="B10207" t="str">
        <f>"LK5894"</f>
        <v>LK5894</v>
      </c>
      <c r="C10207" t="s">
        <v>47067</v>
      </c>
      <c r="D10207" t="s">
        <v>28138</v>
      </c>
      <c r="E10207" t="str">
        <f t="shared" si="159"/>
        <v>001390</v>
      </c>
      <c r="F10207" t="s">
        <v>27246</v>
      </c>
      <c r="G10207" t="s">
        <v>27247</v>
      </c>
      <c r="H10207" t="s">
        <v>27248</v>
      </c>
      <c r="I10207" t="s">
        <v>47068</v>
      </c>
      <c r="J10207" t="s">
        <v>20544</v>
      </c>
      <c r="L10207" t="s">
        <v>27250</v>
      </c>
      <c r="M10207" t="s">
        <v>27251</v>
      </c>
      <c r="N10207" t="s">
        <v>27252</v>
      </c>
      <c r="P10207" t="s">
        <v>27925</v>
      </c>
      <c r="Q10207" s="1">
        <v>44538</v>
      </c>
      <c r="R10207" t="s">
        <v>27253</v>
      </c>
      <c r="S10207" t="s">
        <v>27254</v>
      </c>
      <c r="T10207" t="s">
        <v>27255</v>
      </c>
    </row>
    <row r="10208" spans="1:20" x14ac:dyDescent="0.3">
      <c r="A10208" t="str">
        <f>"0611838169100"</f>
        <v>0611838169100</v>
      </c>
      <c r="B10208" t="str">
        <f>"LK5895"</f>
        <v>LK5895</v>
      </c>
      <c r="C10208" t="s">
        <v>47069</v>
      </c>
      <c r="D10208" t="s">
        <v>28138</v>
      </c>
      <c r="E10208" t="str">
        <f t="shared" si="159"/>
        <v>001390</v>
      </c>
      <c r="F10208" t="s">
        <v>27246</v>
      </c>
      <c r="G10208" t="s">
        <v>27247</v>
      </c>
      <c r="H10208" t="s">
        <v>27248</v>
      </c>
      <c r="I10208" t="s">
        <v>47070</v>
      </c>
      <c r="J10208" t="s">
        <v>20546</v>
      </c>
      <c r="L10208" t="s">
        <v>27250</v>
      </c>
      <c r="M10208" t="s">
        <v>27251</v>
      </c>
      <c r="N10208" t="s">
        <v>27252</v>
      </c>
      <c r="P10208" t="s">
        <v>27925</v>
      </c>
      <c r="Q10208" s="1">
        <v>44538</v>
      </c>
      <c r="R10208" t="s">
        <v>27253</v>
      </c>
      <c r="S10208" t="s">
        <v>27254</v>
      </c>
      <c r="T10208" t="s">
        <v>27255</v>
      </c>
    </row>
    <row r="10209" spans="1:20" x14ac:dyDescent="0.3">
      <c r="A10209" t="str">
        <f>"0611838170100"</f>
        <v>0611838170100</v>
      </c>
      <c r="B10209" t="str">
        <f>"LK5896"</f>
        <v>LK5896</v>
      </c>
      <c r="C10209" t="s">
        <v>47071</v>
      </c>
      <c r="D10209" t="s">
        <v>28138</v>
      </c>
      <c r="E10209" t="str">
        <f t="shared" si="159"/>
        <v>001390</v>
      </c>
      <c r="F10209" t="s">
        <v>27246</v>
      </c>
      <c r="G10209" t="s">
        <v>27247</v>
      </c>
      <c r="H10209" t="s">
        <v>27248</v>
      </c>
      <c r="I10209" t="s">
        <v>47072</v>
      </c>
      <c r="J10209" t="s">
        <v>20548</v>
      </c>
      <c r="L10209" t="s">
        <v>27250</v>
      </c>
      <c r="M10209" t="s">
        <v>27251</v>
      </c>
      <c r="N10209" t="s">
        <v>27252</v>
      </c>
      <c r="P10209" t="s">
        <v>27925</v>
      </c>
      <c r="Q10209" s="1">
        <v>44538</v>
      </c>
      <c r="R10209" t="s">
        <v>27253</v>
      </c>
      <c r="S10209" t="s">
        <v>27254</v>
      </c>
      <c r="T10209" t="s">
        <v>27255</v>
      </c>
    </row>
    <row r="10210" spans="1:20" x14ac:dyDescent="0.3">
      <c r="A10210" t="str">
        <f>"0611838171100"</f>
        <v>0611838171100</v>
      </c>
      <c r="B10210" t="str">
        <f>"LK5897"</f>
        <v>LK5897</v>
      </c>
      <c r="C10210" t="s">
        <v>47073</v>
      </c>
      <c r="D10210" t="s">
        <v>28138</v>
      </c>
      <c r="E10210" t="str">
        <f t="shared" si="159"/>
        <v>001390</v>
      </c>
      <c r="F10210" t="s">
        <v>27246</v>
      </c>
      <c r="G10210" t="s">
        <v>27247</v>
      </c>
      <c r="H10210" t="s">
        <v>27248</v>
      </c>
      <c r="I10210" t="s">
        <v>47074</v>
      </c>
      <c r="J10210" t="s">
        <v>20550</v>
      </c>
      <c r="L10210" t="s">
        <v>27250</v>
      </c>
      <c r="M10210" t="s">
        <v>27251</v>
      </c>
      <c r="N10210" t="s">
        <v>27252</v>
      </c>
      <c r="P10210" t="s">
        <v>27925</v>
      </c>
      <c r="Q10210" s="1">
        <v>44538</v>
      </c>
      <c r="R10210" t="s">
        <v>27253</v>
      </c>
      <c r="S10210" t="s">
        <v>27254</v>
      </c>
      <c r="T10210" t="s">
        <v>27255</v>
      </c>
    </row>
    <row r="10211" spans="1:20" x14ac:dyDescent="0.3">
      <c r="A10211" t="str">
        <f>"0611838172100"</f>
        <v>0611838172100</v>
      </c>
      <c r="B10211" t="str">
        <f>"LK6659"</f>
        <v>LK6659</v>
      </c>
      <c r="C10211" t="s">
        <v>47075</v>
      </c>
      <c r="D10211" t="s">
        <v>28138</v>
      </c>
      <c r="E10211" t="str">
        <f t="shared" si="159"/>
        <v>001390</v>
      </c>
      <c r="F10211" t="s">
        <v>27246</v>
      </c>
      <c r="G10211" t="s">
        <v>27247</v>
      </c>
      <c r="H10211" t="s">
        <v>27248</v>
      </c>
      <c r="I10211" t="s">
        <v>47076</v>
      </c>
      <c r="J10211" t="s">
        <v>20552</v>
      </c>
      <c r="L10211" t="s">
        <v>27250</v>
      </c>
      <c r="M10211" t="s">
        <v>27251</v>
      </c>
      <c r="N10211" t="s">
        <v>27252</v>
      </c>
      <c r="P10211" t="s">
        <v>27925</v>
      </c>
      <c r="Q10211" s="1">
        <v>44538</v>
      </c>
      <c r="R10211" t="s">
        <v>27253</v>
      </c>
      <c r="S10211" t="s">
        <v>27254</v>
      </c>
      <c r="T10211" t="s">
        <v>27255</v>
      </c>
    </row>
    <row r="10212" spans="1:20" x14ac:dyDescent="0.3">
      <c r="A10212" t="str">
        <f>"0611838173100"</f>
        <v>0611838173100</v>
      </c>
      <c r="B10212" t="str">
        <f>"LK5898"</f>
        <v>LK5898</v>
      </c>
      <c r="C10212" t="s">
        <v>47077</v>
      </c>
      <c r="D10212" t="s">
        <v>28138</v>
      </c>
      <c r="E10212" t="str">
        <f t="shared" si="159"/>
        <v>001390</v>
      </c>
      <c r="F10212" t="s">
        <v>27246</v>
      </c>
      <c r="G10212" t="s">
        <v>27247</v>
      </c>
      <c r="H10212" t="s">
        <v>27248</v>
      </c>
      <c r="I10212" t="s">
        <v>47078</v>
      </c>
      <c r="J10212" t="s">
        <v>20554</v>
      </c>
      <c r="L10212" t="s">
        <v>27250</v>
      </c>
      <c r="M10212" t="s">
        <v>27251</v>
      </c>
      <c r="N10212" t="s">
        <v>27252</v>
      </c>
      <c r="P10212" t="s">
        <v>27925</v>
      </c>
      <c r="Q10212" s="1">
        <v>44538</v>
      </c>
      <c r="R10212" t="s">
        <v>27253</v>
      </c>
      <c r="S10212" t="s">
        <v>27254</v>
      </c>
      <c r="T10212" t="s">
        <v>27255</v>
      </c>
    </row>
    <row r="10213" spans="1:20" x14ac:dyDescent="0.3">
      <c r="A10213" t="str">
        <f>"0611838174100"</f>
        <v>0611838174100</v>
      </c>
      <c r="B10213" t="str">
        <f>"LK5899"</f>
        <v>LK5899</v>
      </c>
      <c r="C10213" t="s">
        <v>47079</v>
      </c>
      <c r="D10213" t="s">
        <v>28138</v>
      </c>
      <c r="E10213" t="str">
        <f t="shared" si="159"/>
        <v>001390</v>
      </c>
      <c r="F10213" t="s">
        <v>27246</v>
      </c>
      <c r="G10213" t="s">
        <v>27247</v>
      </c>
      <c r="H10213" t="s">
        <v>27248</v>
      </c>
      <c r="I10213" t="s">
        <v>47080</v>
      </c>
      <c r="J10213" t="s">
        <v>20556</v>
      </c>
      <c r="L10213" t="s">
        <v>27250</v>
      </c>
      <c r="M10213" t="s">
        <v>27251</v>
      </c>
      <c r="N10213" t="s">
        <v>27252</v>
      </c>
      <c r="P10213" t="s">
        <v>27925</v>
      </c>
      <c r="Q10213" s="1">
        <v>44538</v>
      </c>
      <c r="R10213" t="s">
        <v>27253</v>
      </c>
      <c r="S10213" t="s">
        <v>27254</v>
      </c>
      <c r="T10213" t="s">
        <v>27255</v>
      </c>
    </row>
    <row r="10214" spans="1:20" x14ac:dyDescent="0.3">
      <c r="A10214" t="str">
        <f>"0611838175100"</f>
        <v>0611838175100</v>
      </c>
      <c r="B10214" t="str">
        <f>"LK5900"</f>
        <v>LK5900</v>
      </c>
      <c r="C10214" t="s">
        <v>47081</v>
      </c>
      <c r="D10214" t="s">
        <v>28138</v>
      </c>
      <c r="E10214" t="str">
        <f t="shared" si="159"/>
        <v>001390</v>
      </c>
      <c r="F10214" t="s">
        <v>27246</v>
      </c>
      <c r="G10214" t="s">
        <v>27247</v>
      </c>
      <c r="H10214" t="s">
        <v>27248</v>
      </c>
      <c r="I10214" t="s">
        <v>47082</v>
      </c>
      <c r="J10214" t="s">
        <v>20558</v>
      </c>
      <c r="L10214" t="s">
        <v>27250</v>
      </c>
      <c r="M10214" t="s">
        <v>27251</v>
      </c>
      <c r="N10214" t="s">
        <v>27252</v>
      </c>
      <c r="P10214" t="s">
        <v>27925</v>
      </c>
      <c r="Q10214" s="1">
        <v>44538</v>
      </c>
      <c r="R10214" t="s">
        <v>27253</v>
      </c>
      <c r="S10214" t="s">
        <v>27254</v>
      </c>
      <c r="T10214" t="s">
        <v>27255</v>
      </c>
    </row>
    <row r="10215" spans="1:20" x14ac:dyDescent="0.3">
      <c r="A10215" t="str">
        <f>"0611838176100"</f>
        <v>0611838176100</v>
      </c>
      <c r="B10215" t="str">
        <f>"LK5901"</f>
        <v>LK5901</v>
      </c>
      <c r="C10215" t="s">
        <v>47083</v>
      </c>
      <c r="D10215" t="s">
        <v>28138</v>
      </c>
      <c r="E10215" t="str">
        <f t="shared" si="159"/>
        <v>001390</v>
      </c>
      <c r="F10215" t="s">
        <v>27246</v>
      </c>
      <c r="G10215" t="s">
        <v>27247</v>
      </c>
      <c r="H10215" t="s">
        <v>27248</v>
      </c>
      <c r="I10215" t="s">
        <v>47084</v>
      </c>
      <c r="J10215" t="s">
        <v>20560</v>
      </c>
      <c r="L10215" t="s">
        <v>27250</v>
      </c>
      <c r="M10215" t="s">
        <v>27251</v>
      </c>
      <c r="N10215" t="s">
        <v>27252</v>
      </c>
      <c r="P10215" t="s">
        <v>27925</v>
      </c>
      <c r="Q10215" s="1">
        <v>44538</v>
      </c>
      <c r="R10215" t="s">
        <v>27253</v>
      </c>
      <c r="S10215" t="s">
        <v>27254</v>
      </c>
      <c r="T10215" t="s">
        <v>27255</v>
      </c>
    </row>
    <row r="10216" spans="1:20" x14ac:dyDescent="0.3">
      <c r="A10216" t="str">
        <f>"0611838177100"</f>
        <v>0611838177100</v>
      </c>
      <c r="B10216" t="str">
        <f>"LK5902"</f>
        <v>LK5902</v>
      </c>
      <c r="C10216" t="s">
        <v>47085</v>
      </c>
      <c r="D10216" t="s">
        <v>28138</v>
      </c>
      <c r="E10216" t="str">
        <f t="shared" si="159"/>
        <v>001390</v>
      </c>
      <c r="F10216" t="s">
        <v>27246</v>
      </c>
      <c r="G10216" t="s">
        <v>27247</v>
      </c>
      <c r="H10216" t="s">
        <v>27248</v>
      </c>
      <c r="I10216" t="s">
        <v>47086</v>
      </c>
      <c r="J10216" t="s">
        <v>20562</v>
      </c>
      <c r="L10216" t="s">
        <v>27250</v>
      </c>
      <c r="M10216" t="s">
        <v>27251</v>
      </c>
      <c r="N10216" t="s">
        <v>27252</v>
      </c>
      <c r="P10216" t="s">
        <v>27925</v>
      </c>
      <c r="Q10216" s="1">
        <v>44538</v>
      </c>
      <c r="R10216" t="s">
        <v>27253</v>
      </c>
      <c r="S10216" t="s">
        <v>27254</v>
      </c>
      <c r="T10216" t="s">
        <v>27255</v>
      </c>
    </row>
    <row r="10217" spans="1:20" x14ac:dyDescent="0.3">
      <c r="A10217" t="str">
        <f>"0611838178100"</f>
        <v>0611838178100</v>
      </c>
      <c r="B10217" t="str">
        <f>"LK5903"</f>
        <v>LK5903</v>
      </c>
      <c r="C10217" t="s">
        <v>47087</v>
      </c>
      <c r="D10217" t="s">
        <v>28138</v>
      </c>
      <c r="E10217" t="str">
        <f t="shared" si="159"/>
        <v>001390</v>
      </c>
      <c r="F10217" t="s">
        <v>27246</v>
      </c>
      <c r="G10217" t="s">
        <v>27247</v>
      </c>
      <c r="H10217" t="s">
        <v>27248</v>
      </c>
      <c r="I10217" t="s">
        <v>47088</v>
      </c>
      <c r="J10217" t="s">
        <v>20564</v>
      </c>
      <c r="L10217" t="s">
        <v>27250</v>
      </c>
      <c r="M10217" t="s">
        <v>27251</v>
      </c>
      <c r="N10217" t="s">
        <v>27252</v>
      </c>
      <c r="P10217" t="s">
        <v>27925</v>
      </c>
      <c r="Q10217" s="1">
        <v>44538</v>
      </c>
      <c r="R10217" t="s">
        <v>27253</v>
      </c>
      <c r="S10217" t="s">
        <v>27254</v>
      </c>
      <c r="T10217" t="s">
        <v>27255</v>
      </c>
    </row>
    <row r="10218" spans="1:20" x14ac:dyDescent="0.3">
      <c r="A10218" t="str">
        <f>"0611838179100"</f>
        <v>0611838179100</v>
      </c>
      <c r="B10218" t="str">
        <f>"LK5904"</f>
        <v>LK5904</v>
      </c>
      <c r="C10218" t="s">
        <v>47089</v>
      </c>
      <c r="D10218" t="s">
        <v>28138</v>
      </c>
      <c r="E10218" t="str">
        <f t="shared" si="159"/>
        <v>001390</v>
      </c>
      <c r="F10218" t="s">
        <v>27246</v>
      </c>
      <c r="G10218" t="s">
        <v>27247</v>
      </c>
      <c r="H10218" t="s">
        <v>27248</v>
      </c>
      <c r="I10218" t="s">
        <v>47090</v>
      </c>
      <c r="J10218" t="s">
        <v>20566</v>
      </c>
      <c r="L10218" t="s">
        <v>27250</v>
      </c>
      <c r="M10218" t="s">
        <v>27251</v>
      </c>
      <c r="N10218" t="s">
        <v>27252</v>
      </c>
      <c r="P10218" t="s">
        <v>27925</v>
      </c>
      <c r="Q10218" s="1">
        <v>44538</v>
      </c>
      <c r="R10218" t="s">
        <v>27253</v>
      </c>
      <c r="S10218" t="s">
        <v>27254</v>
      </c>
      <c r="T10218" t="s">
        <v>27255</v>
      </c>
    </row>
    <row r="10219" spans="1:20" x14ac:dyDescent="0.3">
      <c r="A10219" t="str">
        <f>"0611838180100"</f>
        <v>0611838180100</v>
      </c>
      <c r="B10219" t="str">
        <f>"LK5885"</f>
        <v>LK5885</v>
      </c>
      <c r="C10219" t="s">
        <v>47091</v>
      </c>
      <c r="D10219" t="s">
        <v>28138</v>
      </c>
      <c r="E10219" t="str">
        <f t="shared" si="159"/>
        <v>001390</v>
      </c>
      <c r="F10219" t="s">
        <v>27246</v>
      </c>
      <c r="G10219" t="s">
        <v>27247</v>
      </c>
      <c r="H10219" t="s">
        <v>27248</v>
      </c>
      <c r="I10219" t="s">
        <v>47092</v>
      </c>
      <c r="J10219" t="s">
        <v>20568</v>
      </c>
      <c r="L10219" t="s">
        <v>27250</v>
      </c>
      <c r="M10219" t="s">
        <v>27251</v>
      </c>
      <c r="N10219" t="s">
        <v>27252</v>
      </c>
      <c r="P10219" t="s">
        <v>27925</v>
      </c>
      <c r="Q10219" s="1">
        <v>44538</v>
      </c>
      <c r="R10219" t="s">
        <v>27253</v>
      </c>
      <c r="S10219" t="s">
        <v>27254</v>
      </c>
      <c r="T10219" t="s">
        <v>27255</v>
      </c>
    </row>
    <row r="10220" spans="1:20" x14ac:dyDescent="0.3">
      <c r="A10220" t="str">
        <f>"0611838181100"</f>
        <v>0611838181100</v>
      </c>
      <c r="B10220" t="str">
        <f>"LK5905"</f>
        <v>LK5905</v>
      </c>
      <c r="C10220" t="s">
        <v>47093</v>
      </c>
      <c r="D10220" t="s">
        <v>28138</v>
      </c>
      <c r="E10220" t="str">
        <f t="shared" si="159"/>
        <v>001390</v>
      </c>
      <c r="F10220" t="s">
        <v>27246</v>
      </c>
      <c r="G10220" t="s">
        <v>27247</v>
      </c>
      <c r="H10220" t="s">
        <v>27248</v>
      </c>
      <c r="I10220" t="s">
        <v>47094</v>
      </c>
      <c r="J10220" t="s">
        <v>20570</v>
      </c>
      <c r="L10220" t="s">
        <v>27250</v>
      </c>
      <c r="M10220" t="s">
        <v>27251</v>
      </c>
      <c r="N10220" t="s">
        <v>27252</v>
      </c>
      <c r="P10220" t="s">
        <v>27925</v>
      </c>
      <c r="Q10220" s="1">
        <v>44538</v>
      </c>
      <c r="R10220" t="s">
        <v>27253</v>
      </c>
      <c r="S10220" t="s">
        <v>27254</v>
      </c>
      <c r="T10220" t="s">
        <v>27255</v>
      </c>
    </row>
    <row r="10221" spans="1:20" x14ac:dyDescent="0.3">
      <c r="A10221" t="str">
        <f>"0611838182100"</f>
        <v>0611838182100</v>
      </c>
      <c r="B10221" t="str">
        <f>"LK5906"</f>
        <v>LK5906</v>
      </c>
      <c r="C10221" t="s">
        <v>47095</v>
      </c>
      <c r="D10221" t="s">
        <v>28138</v>
      </c>
      <c r="E10221" t="str">
        <f t="shared" si="159"/>
        <v>001390</v>
      </c>
      <c r="F10221" t="s">
        <v>27246</v>
      </c>
      <c r="G10221" t="s">
        <v>27247</v>
      </c>
      <c r="H10221" t="s">
        <v>27248</v>
      </c>
      <c r="I10221" t="s">
        <v>47096</v>
      </c>
      <c r="J10221" t="s">
        <v>20572</v>
      </c>
      <c r="L10221" t="s">
        <v>27250</v>
      </c>
      <c r="M10221" t="s">
        <v>27251</v>
      </c>
      <c r="N10221" t="s">
        <v>27252</v>
      </c>
      <c r="P10221" t="s">
        <v>27925</v>
      </c>
      <c r="Q10221" s="1">
        <v>44538</v>
      </c>
      <c r="R10221" t="s">
        <v>27253</v>
      </c>
      <c r="S10221" t="s">
        <v>27254</v>
      </c>
      <c r="T10221" t="s">
        <v>27255</v>
      </c>
    </row>
    <row r="10222" spans="1:20" x14ac:dyDescent="0.3">
      <c r="A10222" t="str">
        <f>"0611838183100"</f>
        <v>0611838183100</v>
      </c>
      <c r="B10222" t="str">
        <f>"LK5907"</f>
        <v>LK5907</v>
      </c>
      <c r="C10222" t="s">
        <v>47097</v>
      </c>
      <c r="D10222" t="s">
        <v>28138</v>
      </c>
      <c r="E10222" t="str">
        <f t="shared" si="159"/>
        <v>001390</v>
      </c>
      <c r="F10222" t="s">
        <v>27246</v>
      </c>
      <c r="G10222" t="s">
        <v>27247</v>
      </c>
      <c r="H10222" t="s">
        <v>27248</v>
      </c>
      <c r="I10222" t="s">
        <v>47098</v>
      </c>
      <c r="J10222" t="s">
        <v>20574</v>
      </c>
      <c r="L10222" t="s">
        <v>27250</v>
      </c>
      <c r="M10222" t="s">
        <v>27251</v>
      </c>
      <c r="N10222" t="s">
        <v>27252</v>
      </c>
      <c r="P10222" t="s">
        <v>27925</v>
      </c>
      <c r="Q10222" s="1">
        <v>44538</v>
      </c>
      <c r="R10222" t="s">
        <v>27253</v>
      </c>
      <c r="S10222" t="s">
        <v>27254</v>
      </c>
      <c r="T10222" t="s">
        <v>27255</v>
      </c>
    </row>
    <row r="10223" spans="1:20" x14ac:dyDescent="0.3">
      <c r="A10223" t="str">
        <f>"0611838184100"</f>
        <v>0611838184100</v>
      </c>
      <c r="B10223" t="str">
        <f>"LK5908"</f>
        <v>LK5908</v>
      </c>
      <c r="C10223" t="s">
        <v>47099</v>
      </c>
      <c r="D10223" t="s">
        <v>28138</v>
      </c>
      <c r="E10223" t="str">
        <f t="shared" si="159"/>
        <v>001390</v>
      </c>
      <c r="F10223" t="s">
        <v>27246</v>
      </c>
      <c r="G10223" t="s">
        <v>27247</v>
      </c>
      <c r="H10223" t="s">
        <v>27248</v>
      </c>
      <c r="I10223" t="s">
        <v>47100</v>
      </c>
      <c r="J10223" t="s">
        <v>20576</v>
      </c>
      <c r="L10223" t="s">
        <v>27250</v>
      </c>
      <c r="M10223" t="s">
        <v>27251</v>
      </c>
      <c r="N10223" t="s">
        <v>27252</v>
      </c>
      <c r="P10223" t="s">
        <v>27925</v>
      </c>
      <c r="Q10223" s="1">
        <v>44538</v>
      </c>
      <c r="R10223" t="s">
        <v>27253</v>
      </c>
      <c r="S10223" t="s">
        <v>27254</v>
      </c>
      <c r="T10223" t="s">
        <v>27255</v>
      </c>
    </row>
    <row r="10224" spans="1:20" x14ac:dyDescent="0.3">
      <c r="A10224" t="str">
        <f>"0611838185100"</f>
        <v>0611838185100</v>
      </c>
      <c r="B10224" t="str">
        <f>"LK5909"</f>
        <v>LK5909</v>
      </c>
      <c r="C10224" t="s">
        <v>47101</v>
      </c>
      <c r="D10224" t="s">
        <v>28138</v>
      </c>
      <c r="E10224" t="str">
        <f t="shared" si="159"/>
        <v>001390</v>
      </c>
      <c r="F10224" t="s">
        <v>27246</v>
      </c>
      <c r="G10224" t="s">
        <v>27247</v>
      </c>
      <c r="H10224" t="s">
        <v>27248</v>
      </c>
      <c r="I10224" t="s">
        <v>47102</v>
      </c>
      <c r="J10224" t="s">
        <v>20578</v>
      </c>
      <c r="L10224" t="s">
        <v>27250</v>
      </c>
      <c r="M10224" t="s">
        <v>27251</v>
      </c>
      <c r="N10224" t="s">
        <v>27252</v>
      </c>
      <c r="P10224" t="s">
        <v>27925</v>
      </c>
      <c r="Q10224" s="1">
        <v>44538</v>
      </c>
      <c r="R10224" t="s">
        <v>27253</v>
      </c>
      <c r="S10224" t="s">
        <v>27254</v>
      </c>
      <c r="T10224" t="s">
        <v>27255</v>
      </c>
    </row>
    <row r="10225" spans="1:20" x14ac:dyDescent="0.3">
      <c r="A10225" t="str">
        <f>"0611838186100"</f>
        <v>0611838186100</v>
      </c>
      <c r="B10225" t="str">
        <f>"LK5910"</f>
        <v>LK5910</v>
      </c>
      <c r="C10225" t="s">
        <v>47103</v>
      </c>
      <c r="D10225" t="s">
        <v>28138</v>
      </c>
      <c r="E10225" t="str">
        <f t="shared" si="159"/>
        <v>001390</v>
      </c>
      <c r="F10225" t="s">
        <v>27246</v>
      </c>
      <c r="G10225" t="s">
        <v>27247</v>
      </c>
      <c r="H10225" t="s">
        <v>27248</v>
      </c>
      <c r="I10225" t="s">
        <v>47104</v>
      </c>
      <c r="J10225" t="s">
        <v>20580</v>
      </c>
      <c r="L10225" t="s">
        <v>27250</v>
      </c>
      <c r="M10225" t="s">
        <v>27251</v>
      </c>
      <c r="N10225" t="s">
        <v>27252</v>
      </c>
      <c r="P10225" t="s">
        <v>27925</v>
      </c>
      <c r="Q10225" s="1">
        <v>44538</v>
      </c>
      <c r="R10225" t="s">
        <v>27253</v>
      </c>
      <c r="S10225" t="s">
        <v>27254</v>
      </c>
      <c r="T10225" t="s">
        <v>27255</v>
      </c>
    </row>
    <row r="10226" spans="1:20" x14ac:dyDescent="0.3">
      <c r="A10226" t="str">
        <f>"0611884393100"</f>
        <v>0611884393100</v>
      </c>
      <c r="B10226" t="str">
        <f>"LQ0983"</f>
        <v>LQ0983</v>
      </c>
      <c r="C10226" t="s">
        <v>47105</v>
      </c>
      <c r="D10226" t="s">
        <v>27245</v>
      </c>
      <c r="E10226" t="str">
        <f t="shared" si="159"/>
        <v>001390</v>
      </c>
      <c r="F10226" t="s">
        <v>27246</v>
      </c>
      <c r="G10226" t="s">
        <v>27247</v>
      </c>
      <c r="H10226" t="s">
        <v>27248</v>
      </c>
      <c r="I10226" t="s">
        <v>47106</v>
      </c>
      <c r="J10226" t="s">
        <v>20582</v>
      </c>
      <c r="L10226" t="s">
        <v>27430</v>
      </c>
      <c r="M10226" t="s">
        <v>27251</v>
      </c>
      <c r="N10226" t="s">
        <v>27252</v>
      </c>
      <c r="Q10226" s="1">
        <v>45250</v>
      </c>
      <c r="R10226" t="s">
        <v>27253</v>
      </c>
      <c r="S10226" t="s">
        <v>27254</v>
      </c>
      <c r="T10226" t="s">
        <v>27255</v>
      </c>
    </row>
    <row r="10227" spans="1:20" x14ac:dyDescent="0.3">
      <c r="A10227" t="str">
        <f>"0611838187100"</f>
        <v>0611838187100</v>
      </c>
      <c r="B10227" t="str">
        <f>"LB7540"</f>
        <v>LB7540</v>
      </c>
      <c r="C10227" t="s">
        <v>47107</v>
      </c>
      <c r="D10227" t="s">
        <v>28138</v>
      </c>
      <c r="E10227" t="str">
        <f t="shared" si="159"/>
        <v>001390</v>
      </c>
      <c r="F10227" t="s">
        <v>27246</v>
      </c>
      <c r="G10227" t="s">
        <v>27247</v>
      </c>
      <c r="H10227" t="s">
        <v>27248</v>
      </c>
      <c r="I10227" t="s">
        <v>47108</v>
      </c>
      <c r="J10227" t="s">
        <v>20584</v>
      </c>
      <c r="L10227" t="s">
        <v>27250</v>
      </c>
      <c r="M10227" t="s">
        <v>27251</v>
      </c>
      <c r="N10227" t="s">
        <v>27252</v>
      </c>
      <c r="P10227" t="s">
        <v>27925</v>
      </c>
      <c r="Q10227" s="1">
        <v>44538</v>
      </c>
      <c r="R10227" t="s">
        <v>27253</v>
      </c>
      <c r="S10227" t="s">
        <v>27254</v>
      </c>
      <c r="T10227" t="s">
        <v>27255</v>
      </c>
    </row>
    <row r="10228" spans="1:20" x14ac:dyDescent="0.3">
      <c r="A10228" t="str">
        <f>"0611838188100"</f>
        <v>0611838188100</v>
      </c>
      <c r="B10228" t="str">
        <f>"LB7541"</f>
        <v>LB7541</v>
      </c>
      <c r="C10228" t="s">
        <v>47109</v>
      </c>
      <c r="D10228" t="s">
        <v>28138</v>
      </c>
      <c r="E10228" t="str">
        <f t="shared" si="159"/>
        <v>001390</v>
      </c>
      <c r="F10228" t="s">
        <v>27246</v>
      </c>
      <c r="G10228" t="s">
        <v>27247</v>
      </c>
      <c r="H10228" t="s">
        <v>27248</v>
      </c>
      <c r="I10228" t="s">
        <v>47110</v>
      </c>
      <c r="J10228" t="s">
        <v>20586</v>
      </c>
      <c r="L10228" t="s">
        <v>27250</v>
      </c>
      <c r="M10228" t="s">
        <v>27251</v>
      </c>
      <c r="N10228" t="s">
        <v>27252</v>
      </c>
      <c r="P10228" t="s">
        <v>27925</v>
      </c>
      <c r="Q10228" s="1">
        <v>44538</v>
      </c>
      <c r="R10228" t="s">
        <v>27253</v>
      </c>
      <c r="S10228" t="s">
        <v>27254</v>
      </c>
      <c r="T10228" t="s">
        <v>27255</v>
      </c>
    </row>
    <row r="10229" spans="1:20" x14ac:dyDescent="0.3">
      <c r="A10229" t="str">
        <f>"0611838189100"</f>
        <v>0611838189100</v>
      </c>
      <c r="B10229" t="str">
        <f>"LB7542"</f>
        <v>LB7542</v>
      </c>
      <c r="C10229" t="s">
        <v>47111</v>
      </c>
      <c r="D10229" t="s">
        <v>28138</v>
      </c>
      <c r="E10229" t="str">
        <f t="shared" si="159"/>
        <v>001390</v>
      </c>
      <c r="F10229" t="s">
        <v>27246</v>
      </c>
      <c r="G10229" t="s">
        <v>27247</v>
      </c>
      <c r="H10229" t="s">
        <v>27248</v>
      </c>
      <c r="I10229" t="s">
        <v>47112</v>
      </c>
      <c r="J10229" t="s">
        <v>20588</v>
      </c>
      <c r="L10229" t="s">
        <v>27250</v>
      </c>
      <c r="M10229" t="s">
        <v>27251</v>
      </c>
      <c r="N10229" t="s">
        <v>27252</v>
      </c>
      <c r="P10229" t="s">
        <v>27925</v>
      </c>
      <c r="Q10229" s="1">
        <v>44538</v>
      </c>
      <c r="R10229" t="s">
        <v>27253</v>
      </c>
      <c r="S10229" t="s">
        <v>27254</v>
      </c>
      <c r="T10229" t="s">
        <v>27255</v>
      </c>
    </row>
    <row r="10230" spans="1:20" x14ac:dyDescent="0.3">
      <c r="A10230" t="str">
        <f>"0611838190100"</f>
        <v>0611838190100</v>
      </c>
      <c r="B10230" t="str">
        <f>"LB7545"</f>
        <v>LB7545</v>
      </c>
      <c r="C10230" t="s">
        <v>47113</v>
      </c>
      <c r="D10230" t="s">
        <v>28138</v>
      </c>
      <c r="E10230" t="str">
        <f t="shared" si="159"/>
        <v>001390</v>
      </c>
      <c r="F10230" t="s">
        <v>27246</v>
      </c>
      <c r="G10230" t="s">
        <v>27247</v>
      </c>
      <c r="H10230" t="s">
        <v>27248</v>
      </c>
      <c r="I10230" t="s">
        <v>47114</v>
      </c>
      <c r="J10230" t="s">
        <v>20590</v>
      </c>
      <c r="L10230" t="s">
        <v>27250</v>
      </c>
      <c r="M10230" t="s">
        <v>27251</v>
      </c>
      <c r="N10230" t="s">
        <v>27252</v>
      </c>
      <c r="P10230" t="s">
        <v>27925</v>
      </c>
      <c r="Q10230" s="1">
        <v>44538</v>
      </c>
      <c r="R10230" t="s">
        <v>27253</v>
      </c>
      <c r="S10230" t="s">
        <v>27254</v>
      </c>
      <c r="T10230" t="s">
        <v>27255</v>
      </c>
    </row>
    <row r="10231" spans="1:20" x14ac:dyDescent="0.3">
      <c r="A10231" t="str">
        <f>"0611838191100"</f>
        <v>0611838191100</v>
      </c>
      <c r="B10231" t="str">
        <f>"LB6438"</f>
        <v>LB6438</v>
      </c>
      <c r="C10231" t="s">
        <v>47115</v>
      </c>
      <c r="D10231" t="s">
        <v>28138</v>
      </c>
      <c r="E10231" t="str">
        <f t="shared" si="159"/>
        <v>001390</v>
      </c>
      <c r="F10231" t="s">
        <v>27246</v>
      </c>
      <c r="G10231" t="s">
        <v>27247</v>
      </c>
      <c r="H10231" t="s">
        <v>27248</v>
      </c>
      <c r="I10231" t="s">
        <v>47116</v>
      </c>
      <c r="J10231" t="s">
        <v>20592</v>
      </c>
      <c r="L10231" t="s">
        <v>27250</v>
      </c>
      <c r="M10231" t="s">
        <v>27251</v>
      </c>
      <c r="N10231" t="s">
        <v>27252</v>
      </c>
      <c r="P10231" t="s">
        <v>27925</v>
      </c>
      <c r="Q10231" s="1">
        <v>44538</v>
      </c>
      <c r="R10231" t="s">
        <v>27253</v>
      </c>
      <c r="S10231" t="s">
        <v>27254</v>
      </c>
      <c r="T10231" t="s">
        <v>27255</v>
      </c>
    </row>
    <row r="10232" spans="1:20" x14ac:dyDescent="0.3">
      <c r="A10232" t="str">
        <f>"0611838192100"</f>
        <v>0611838192100</v>
      </c>
      <c r="B10232" t="str">
        <f>"LB7547"</f>
        <v>LB7547</v>
      </c>
      <c r="C10232" t="s">
        <v>47117</v>
      </c>
      <c r="D10232" t="s">
        <v>28138</v>
      </c>
      <c r="E10232" t="str">
        <f t="shared" si="159"/>
        <v>001390</v>
      </c>
      <c r="F10232" t="s">
        <v>27246</v>
      </c>
      <c r="G10232" t="s">
        <v>27247</v>
      </c>
      <c r="H10232" t="s">
        <v>27248</v>
      </c>
      <c r="I10232" t="s">
        <v>47118</v>
      </c>
      <c r="J10232" t="s">
        <v>20594</v>
      </c>
      <c r="L10232" t="s">
        <v>27250</v>
      </c>
      <c r="M10232" t="s">
        <v>27251</v>
      </c>
      <c r="N10232" t="s">
        <v>27252</v>
      </c>
      <c r="P10232" t="s">
        <v>27925</v>
      </c>
      <c r="Q10232" s="1">
        <v>44538</v>
      </c>
      <c r="R10232" t="s">
        <v>27253</v>
      </c>
      <c r="S10232" t="s">
        <v>27254</v>
      </c>
      <c r="T10232" t="s">
        <v>27255</v>
      </c>
    </row>
    <row r="10233" spans="1:20" x14ac:dyDescent="0.3">
      <c r="A10233" t="str">
        <f>"0611838193100"</f>
        <v>0611838193100</v>
      </c>
      <c r="B10233" t="str">
        <f>"LB7550"</f>
        <v>LB7550</v>
      </c>
      <c r="C10233" t="s">
        <v>47119</v>
      </c>
      <c r="D10233" t="s">
        <v>28138</v>
      </c>
      <c r="E10233" t="str">
        <f t="shared" si="159"/>
        <v>001390</v>
      </c>
      <c r="F10233" t="s">
        <v>27246</v>
      </c>
      <c r="G10233" t="s">
        <v>27247</v>
      </c>
      <c r="H10233" t="s">
        <v>27248</v>
      </c>
      <c r="I10233" t="s">
        <v>47120</v>
      </c>
      <c r="J10233" t="s">
        <v>20596</v>
      </c>
      <c r="L10233" t="s">
        <v>27250</v>
      </c>
      <c r="M10233" t="s">
        <v>27251</v>
      </c>
      <c r="N10233" t="s">
        <v>27252</v>
      </c>
      <c r="P10233" t="s">
        <v>27925</v>
      </c>
      <c r="Q10233" s="1">
        <v>44538</v>
      </c>
      <c r="R10233" t="s">
        <v>27253</v>
      </c>
      <c r="S10233" t="s">
        <v>27254</v>
      </c>
      <c r="T10233" t="s">
        <v>27255</v>
      </c>
    </row>
    <row r="10234" spans="1:20" x14ac:dyDescent="0.3">
      <c r="A10234" t="str">
        <f>"0611838194100"</f>
        <v>0611838194100</v>
      </c>
      <c r="B10234" t="str">
        <f>"LB7552"</f>
        <v>LB7552</v>
      </c>
      <c r="C10234" t="s">
        <v>47121</v>
      </c>
      <c r="D10234" t="s">
        <v>28138</v>
      </c>
      <c r="E10234" t="str">
        <f t="shared" si="159"/>
        <v>001390</v>
      </c>
      <c r="F10234" t="s">
        <v>27246</v>
      </c>
      <c r="G10234" t="s">
        <v>27247</v>
      </c>
      <c r="H10234" t="s">
        <v>27248</v>
      </c>
      <c r="I10234" t="s">
        <v>47122</v>
      </c>
      <c r="J10234" t="s">
        <v>20598</v>
      </c>
      <c r="L10234" t="s">
        <v>27250</v>
      </c>
      <c r="M10234" t="s">
        <v>27251</v>
      </c>
      <c r="N10234" t="s">
        <v>27252</v>
      </c>
      <c r="P10234" t="s">
        <v>27925</v>
      </c>
      <c r="Q10234" s="1">
        <v>44538</v>
      </c>
      <c r="R10234" t="s">
        <v>27253</v>
      </c>
      <c r="S10234" t="s">
        <v>27254</v>
      </c>
      <c r="T10234" t="s">
        <v>27255</v>
      </c>
    </row>
    <row r="10235" spans="1:20" x14ac:dyDescent="0.3">
      <c r="A10235" t="str">
        <f>"0611838195100"</f>
        <v>0611838195100</v>
      </c>
      <c r="B10235" t="str">
        <f>"LB7554"</f>
        <v>LB7554</v>
      </c>
      <c r="C10235" t="s">
        <v>47123</v>
      </c>
      <c r="D10235" t="s">
        <v>28138</v>
      </c>
      <c r="E10235" t="str">
        <f t="shared" si="159"/>
        <v>001390</v>
      </c>
      <c r="F10235" t="s">
        <v>27246</v>
      </c>
      <c r="G10235" t="s">
        <v>27247</v>
      </c>
      <c r="H10235" t="s">
        <v>27248</v>
      </c>
      <c r="I10235" t="s">
        <v>47124</v>
      </c>
      <c r="J10235" t="s">
        <v>20600</v>
      </c>
      <c r="L10235" t="s">
        <v>27250</v>
      </c>
      <c r="M10235" t="s">
        <v>27251</v>
      </c>
      <c r="N10235" t="s">
        <v>27252</v>
      </c>
      <c r="P10235" t="s">
        <v>27925</v>
      </c>
      <c r="Q10235" s="1">
        <v>44538</v>
      </c>
      <c r="R10235" t="s">
        <v>27253</v>
      </c>
      <c r="S10235" t="s">
        <v>27254</v>
      </c>
      <c r="T10235" t="s">
        <v>27255</v>
      </c>
    </row>
    <row r="10236" spans="1:20" x14ac:dyDescent="0.3">
      <c r="A10236" t="str">
        <f>"0611838198100"</f>
        <v>0611838198100</v>
      </c>
      <c r="B10236" t="str">
        <f>"LB7677"</f>
        <v>LB7677</v>
      </c>
      <c r="C10236" t="s">
        <v>47125</v>
      </c>
      <c r="D10236" t="s">
        <v>28138</v>
      </c>
      <c r="E10236" t="str">
        <f t="shared" si="159"/>
        <v>001390</v>
      </c>
      <c r="F10236" t="s">
        <v>27246</v>
      </c>
      <c r="G10236" t="s">
        <v>27247</v>
      </c>
      <c r="H10236" t="s">
        <v>27248</v>
      </c>
      <c r="I10236" t="s">
        <v>47126</v>
      </c>
      <c r="J10236" t="s">
        <v>20602</v>
      </c>
      <c r="L10236" t="s">
        <v>27250</v>
      </c>
      <c r="M10236" t="s">
        <v>27251</v>
      </c>
      <c r="N10236" t="s">
        <v>27252</v>
      </c>
      <c r="P10236" t="s">
        <v>27925</v>
      </c>
      <c r="Q10236" s="1">
        <v>44538</v>
      </c>
      <c r="R10236" t="s">
        <v>27253</v>
      </c>
      <c r="S10236" t="s">
        <v>27254</v>
      </c>
      <c r="T10236" t="s">
        <v>27255</v>
      </c>
    </row>
    <row r="10237" spans="1:20" x14ac:dyDescent="0.3">
      <c r="A10237" t="str">
        <f>"0611838200100"</f>
        <v>0611838200100</v>
      </c>
      <c r="B10237" t="str">
        <f>"LK0338"</f>
        <v>LK0338</v>
      </c>
      <c r="C10237" t="s">
        <v>47127</v>
      </c>
      <c r="D10237" t="s">
        <v>28138</v>
      </c>
      <c r="E10237" t="str">
        <f t="shared" si="159"/>
        <v>001390</v>
      </c>
      <c r="F10237" t="s">
        <v>27246</v>
      </c>
      <c r="G10237" t="s">
        <v>27247</v>
      </c>
      <c r="H10237" t="s">
        <v>27248</v>
      </c>
      <c r="I10237" t="s">
        <v>47128</v>
      </c>
      <c r="J10237" t="s">
        <v>20604</v>
      </c>
      <c r="L10237" t="s">
        <v>27250</v>
      </c>
      <c r="M10237" t="s">
        <v>27251</v>
      </c>
      <c r="N10237" t="s">
        <v>27252</v>
      </c>
      <c r="P10237" t="s">
        <v>27925</v>
      </c>
      <c r="Q10237" s="1">
        <v>44538</v>
      </c>
      <c r="R10237" t="s">
        <v>27253</v>
      </c>
      <c r="S10237" t="s">
        <v>27254</v>
      </c>
      <c r="T10237" t="s">
        <v>27255</v>
      </c>
    </row>
    <row r="10238" spans="1:20" x14ac:dyDescent="0.3">
      <c r="A10238" t="str">
        <f>"0611838201100"</f>
        <v>0611838201100</v>
      </c>
      <c r="B10238" t="str">
        <f>"LB7558"</f>
        <v>LB7558</v>
      </c>
      <c r="C10238" t="s">
        <v>47129</v>
      </c>
      <c r="D10238" t="s">
        <v>28138</v>
      </c>
      <c r="E10238" t="str">
        <f t="shared" si="159"/>
        <v>001390</v>
      </c>
      <c r="F10238" t="s">
        <v>27246</v>
      </c>
      <c r="G10238" t="s">
        <v>27247</v>
      </c>
      <c r="H10238" t="s">
        <v>27248</v>
      </c>
      <c r="I10238" t="s">
        <v>47130</v>
      </c>
      <c r="J10238" t="s">
        <v>20606</v>
      </c>
      <c r="L10238" t="s">
        <v>27250</v>
      </c>
      <c r="M10238" t="s">
        <v>27251</v>
      </c>
      <c r="N10238" t="s">
        <v>27252</v>
      </c>
      <c r="P10238" t="s">
        <v>27925</v>
      </c>
      <c r="Q10238" s="1">
        <v>44538</v>
      </c>
      <c r="R10238" t="s">
        <v>27253</v>
      </c>
      <c r="S10238" t="s">
        <v>27254</v>
      </c>
      <c r="T10238" t="s">
        <v>27255</v>
      </c>
    </row>
    <row r="10239" spans="1:20" x14ac:dyDescent="0.3">
      <c r="A10239" t="str">
        <f>"0611838202100"</f>
        <v>0611838202100</v>
      </c>
      <c r="B10239" t="str">
        <f>"LB7565"</f>
        <v>LB7565</v>
      </c>
      <c r="C10239" t="s">
        <v>47131</v>
      </c>
      <c r="D10239" t="s">
        <v>27245</v>
      </c>
      <c r="E10239" t="str">
        <f t="shared" si="159"/>
        <v>001390</v>
      </c>
      <c r="F10239" t="s">
        <v>27246</v>
      </c>
      <c r="G10239" t="s">
        <v>27247</v>
      </c>
      <c r="H10239" t="s">
        <v>27248</v>
      </c>
      <c r="I10239" t="s">
        <v>47132</v>
      </c>
      <c r="J10239" t="s">
        <v>20608</v>
      </c>
      <c r="L10239" t="s">
        <v>27250</v>
      </c>
      <c r="M10239" t="s">
        <v>27251</v>
      </c>
      <c r="N10239" t="s">
        <v>27252</v>
      </c>
      <c r="Q10239" s="1">
        <v>44538</v>
      </c>
      <c r="R10239" t="s">
        <v>27253</v>
      </c>
      <c r="S10239" t="s">
        <v>27254</v>
      </c>
      <c r="T10239" t="s">
        <v>27255</v>
      </c>
    </row>
    <row r="10240" spans="1:20" x14ac:dyDescent="0.3">
      <c r="A10240" t="str">
        <f>"0611838207100"</f>
        <v>0611838207100</v>
      </c>
      <c r="B10240" t="str">
        <f>"LQ0964"</f>
        <v>LQ0964</v>
      </c>
      <c r="C10240" t="s">
        <v>47133</v>
      </c>
      <c r="D10240" t="s">
        <v>27245</v>
      </c>
      <c r="E10240" t="str">
        <f t="shared" si="159"/>
        <v>001390</v>
      </c>
      <c r="F10240" t="s">
        <v>27246</v>
      </c>
      <c r="G10240" t="s">
        <v>27247</v>
      </c>
      <c r="H10240" t="s">
        <v>27248</v>
      </c>
      <c r="I10240" t="s">
        <v>47134</v>
      </c>
      <c r="J10240" t="s">
        <v>20612</v>
      </c>
      <c r="L10240" t="s">
        <v>27250</v>
      </c>
      <c r="M10240" t="s">
        <v>27251</v>
      </c>
      <c r="N10240" t="s">
        <v>27252</v>
      </c>
      <c r="Q10240" s="1">
        <v>44538</v>
      </c>
      <c r="R10240" t="s">
        <v>27253</v>
      </c>
      <c r="S10240" t="s">
        <v>27254</v>
      </c>
      <c r="T10240" t="s">
        <v>27255</v>
      </c>
    </row>
    <row r="10241" spans="1:20" x14ac:dyDescent="0.3">
      <c r="A10241" t="str">
        <f>"0611838209100"</f>
        <v>0611838209100</v>
      </c>
      <c r="B10241" t="str">
        <f>"LQ3808"</f>
        <v>LQ3808</v>
      </c>
      <c r="C10241" t="s">
        <v>47135</v>
      </c>
      <c r="D10241" t="s">
        <v>27245</v>
      </c>
      <c r="E10241" t="str">
        <f t="shared" si="159"/>
        <v>001390</v>
      </c>
      <c r="F10241" t="s">
        <v>27246</v>
      </c>
      <c r="G10241" t="s">
        <v>27247</v>
      </c>
      <c r="H10241" t="s">
        <v>27248</v>
      </c>
      <c r="I10241" t="s">
        <v>47136</v>
      </c>
      <c r="J10241" t="s">
        <v>20614</v>
      </c>
      <c r="L10241" t="s">
        <v>27250</v>
      </c>
      <c r="M10241" t="s">
        <v>27251</v>
      </c>
      <c r="N10241" t="s">
        <v>27252</v>
      </c>
      <c r="Q10241" s="1">
        <v>44538</v>
      </c>
      <c r="R10241" t="s">
        <v>27253</v>
      </c>
      <c r="S10241" t="s">
        <v>27254</v>
      </c>
      <c r="T10241" t="s">
        <v>27255</v>
      </c>
    </row>
    <row r="10242" spans="1:20" x14ac:dyDescent="0.3">
      <c r="A10242" t="str">
        <f>"0611838212100"</f>
        <v>0611838212100</v>
      </c>
      <c r="B10242" t="str">
        <f>"LK0920"</f>
        <v>LK0920</v>
      </c>
      <c r="C10242" t="s">
        <v>47137</v>
      </c>
      <c r="D10242" t="s">
        <v>27245</v>
      </c>
      <c r="E10242" t="str">
        <f t="shared" ref="E10242:E10305" si="160">"001390"</f>
        <v>001390</v>
      </c>
      <c r="F10242" t="s">
        <v>27246</v>
      </c>
      <c r="G10242" t="s">
        <v>27247</v>
      </c>
      <c r="H10242" t="s">
        <v>27248</v>
      </c>
      <c r="I10242" t="s">
        <v>47138</v>
      </c>
      <c r="J10242" t="s">
        <v>20616</v>
      </c>
      <c r="L10242" t="s">
        <v>27250</v>
      </c>
      <c r="M10242" t="s">
        <v>27251</v>
      </c>
      <c r="N10242" t="s">
        <v>27252</v>
      </c>
      <c r="Q10242" s="1">
        <v>44538</v>
      </c>
      <c r="R10242" t="s">
        <v>27253</v>
      </c>
      <c r="S10242" t="s">
        <v>27254</v>
      </c>
      <c r="T10242" t="s">
        <v>27255</v>
      </c>
    </row>
    <row r="10243" spans="1:20" x14ac:dyDescent="0.3">
      <c r="A10243" t="str">
        <f>"0611838214050"</f>
        <v>0611838214050</v>
      </c>
      <c r="B10243" t="str">
        <f>"NM0008"</f>
        <v>NM0008</v>
      </c>
      <c r="C10243" t="s">
        <v>47137</v>
      </c>
      <c r="D10243" t="s">
        <v>35877</v>
      </c>
      <c r="E10243" t="str">
        <f t="shared" si="160"/>
        <v>001390</v>
      </c>
      <c r="F10243" t="s">
        <v>27246</v>
      </c>
      <c r="G10243" t="s">
        <v>27247</v>
      </c>
      <c r="H10243" t="s">
        <v>27248</v>
      </c>
      <c r="I10243" t="s">
        <v>47139</v>
      </c>
      <c r="J10243" t="s">
        <v>20618</v>
      </c>
      <c r="L10243" t="s">
        <v>27250</v>
      </c>
      <c r="M10243" t="s">
        <v>27251</v>
      </c>
      <c r="N10243" t="s">
        <v>27252</v>
      </c>
      <c r="Q10243" s="1">
        <v>44538</v>
      </c>
      <c r="R10243" t="s">
        <v>27253</v>
      </c>
      <c r="S10243" t="s">
        <v>27254</v>
      </c>
      <c r="T10243" t="s">
        <v>35879</v>
      </c>
    </row>
    <row r="10244" spans="1:20" x14ac:dyDescent="0.3">
      <c r="A10244" t="str">
        <f>"0611838215100"</f>
        <v>0611838215100</v>
      </c>
      <c r="B10244" t="str">
        <f>"LK6558"</f>
        <v>LK6558</v>
      </c>
      <c r="C10244" t="s">
        <v>47140</v>
      </c>
      <c r="D10244" t="s">
        <v>27245</v>
      </c>
      <c r="E10244" t="str">
        <f t="shared" si="160"/>
        <v>001390</v>
      </c>
      <c r="F10244" t="s">
        <v>27246</v>
      </c>
      <c r="G10244" t="s">
        <v>27247</v>
      </c>
      <c r="H10244" t="s">
        <v>27248</v>
      </c>
      <c r="I10244" t="s">
        <v>47141</v>
      </c>
      <c r="J10244" t="s">
        <v>20620</v>
      </c>
      <c r="L10244" t="s">
        <v>27250</v>
      </c>
      <c r="M10244" t="s">
        <v>27251</v>
      </c>
      <c r="N10244" t="s">
        <v>27252</v>
      </c>
      <c r="Q10244" s="1">
        <v>44538</v>
      </c>
      <c r="R10244" t="s">
        <v>27253</v>
      </c>
      <c r="S10244" t="s">
        <v>27254</v>
      </c>
      <c r="T10244" t="s">
        <v>27255</v>
      </c>
    </row>
    <row r="10245" spans="1:20" x14ac:dyDescent="0.3">
      <c r="A10245" t="str">
        <f>"0611838216100"</f>
        <v>0611838216100</v>
      </c>
      <c r="B10245" t="str">
        <f>"LK6970"</f>
        <v>LK6970</v>
      </c>
      <c r="C10245" t="s">
        <v>47142</v>
      </c>
      <c r="D10245" t="s">
        <v>27245</v>
      </c>
      <c r="E10245" t="str">
        <f t="shared" si="160"/>
        <v>001390</v>
      </c>
      <c r="F10245" t="s">
        <v>27246</v>
      </c>
      <c r="G10245" t="s">
        <v>27247</v>
      </c>
      <c r="H10245" t="s">
        <v>27248</v>
      </c>
      <c r="I10245" t="s">
        <v>47143</v>
      </c>
      <c r="J10245" t="s">
        <v>19386</v>
      </c>
      <c r="L10245" t="s">
        <v>27250</v>
      </c>
      <c r="M10245" t="s">
        <v>27251</v>
      </c>
      <c r="N10245" t="s">
        <v>27252</v>
      </c>
      <c r="Q10245" s="1">
        <v>44538</v>
      </c>
      <c r="R10245" t="s">
        <v>27253</v>
      </c>
      <c r="S10245" t="s">
        <v>27254</v>
      </c>
      <c r="T10245" t="s">
        <v>27255</v>
      </c>
    </row>
    <row r="10246" spans="1:20" x14ac:dyDescent="0.3">
      <c r="A10246" t="str">
        <f>"0611838217100"</f>
        <v>0611838217100</v>
      </c>
      <c r="B10246" t="str">
        <f>"LK6971"</f>
        <v>LK6971</v>
      </c>
      <c r="C10246" t="s">
        <v>47144</v>
      </c>
      <c r="D10246" t="s">
        <v>27245</v>
      </c>
      <c r="E10246" t="str">
        <f t="shared" si="160"/>
        <v>001390</v>
      </c>
      <c r="F10246" t="s">
        <v>27246</v>
      </c>
      <c r="G10246" t="s">
        <v>27247</v>
      </c>
      <c r="H10246" t="s">
        <v>27248</v>
      </c>
      <c r="I10246" t="s">
        <v>47145</v>
      </c>
      <c r="J10246" t="s">
        <v>19388</v>
      </c>
      <c r="L10246" t="s">
        <v>27250</v>
      </c>
      <c r="M10246" t="s">
        <v>27251</v>
      </c>
      <c r="N10246" t="s">
        <v>27252</v>
      </c>
      <c r="Q10246" s="1">
        <v>44538</v>
      </c>
      <c r="R10246" t="s">
        <v>27253</v>
      </c>
      <c r="S10246" t="s">
        <v>27254</v>
      </c>
      <c r="T10246" t="s">
        <v>27255</v>
      </c>
    </row>
    <row r="10247" spans="1:20" x14ac:dyDescent="0.3">
      <c r="A10247" t="str">
        <f>"0611857075100"</f>
        <v>0611857075100</v>
      </c>
      <c r="B10247" t="str">
        <f>"LK7101"</f>
        <v>LK7101</v>
      </c>
      <c r="C10247" t="s">
        <v>47146</v>
      </c>
      <c r="D10247" t="s">
        <v>27245</v>
      </c>
      <c r="E10247" t="str">
        <f t="shared" si="160"/>
        <v>001390</v>
      </c>
      <c r="F10247" t="s">
        <v>27246</v>
      </c>
      <c r="G10247" t="s">
        <v>27247</v>
      </c>
      <c r="H10247" t="s">
        <v>27248</v>
      </c>
      <c r="I10247" t="s">
        <v>47147</v>
      </c>
      <c r="J10247" t="s">
        <v>19390</v>
      </c>
      <c r="L10247" t="s">
        <v>27250</v>
      </c>
      <c r="M10247" t="s">
        <v>27251</v>
      </c>
      <c r="N10247" t="s">
        <v>27252</v>
      </c>
      <c r="Q10247" s="1">
        <v>44812</v>
      </c>
      <c r="R10247" t="s">
        <v>27253</v>
      </c>
      <c r="S10247" t="s">
        <v>27254</v>
      </c>
      <c r="T10247" t="s">
        <v>27255</v>
      </c>
    </row>
    <row r="10248" spans="1:20" x14ac:dyDescent="0.3">
      <c r="A10248" t="str">
        <f>"0611838218100"</f>
        <v>0611838218100</v>
      </c>
      <c r="B10248" t="str">
        <f>"LK6972"</f>
        <v>LK6972</v>
      </c>
      <c r="C10248" t="s">
        <v>47148</v>
      </c>
      <c r="D10248" t="s">
        <v>27245</v>
      </c>
      <c r="E10248" t="str">
        <f t="shared" si="160"/>
        <v>001390</v>
      </c>
      <c r="F10248" t="s">
        <v>27246</v>
      </c>
      <c r="G10248" t="s">
        <v>27247</v>
      </c>
      <c r="H10248" t="s">
        <v>27248</v>
      </c>
      <c r="I10248" t="s">
        <v>47149</v>
      </c>
      <c r="J10248" t="s">
        <v>19392</v>
      </c>
      <c r="L10248" t="s">
        <v>27250</v>
      </c>
      <c r="M10248" t="s">
        <v>27251</v>
      </c>
      <c r="N10248" t="s">
        <v>27252</v>
      </c>
      <c r="Q10248" s="1">
        <v>44538</v>
      </c>
      <c r="R10248" t="s">
        <v>27253</v>
      </c>
      <c r="S10248" t="s">
        <v>27254</v>
      </c>
      <c r="T10248" t="s">
        <v>27255</v>
      </c>
    </row>
    <row r="10249" spans="1:20" x14ac:dyDescent="0.3">
      <c r="A10249" t="str">
        <f>"0611838219100"</f>
        <v>0611838219100</v>
      </c>
      <c r="B10249" t="str">
        <f>"LK6973"</f>
        <v>LK6973</v>
      </c>
      <c r="C10249" t="s">
        <v>47150</v>
      </c>
      <c r="D10249" t="s">
        <v>27245</v>
      </c>
      <c r="E10249" t="str">
        <f t="shared" si="160"/>
        <v>001390</v>
      </c>
      <c r="F10249" t="s">
        <v>27246</v>
      </c>
      <c r="G10249" t="s">
        <v>27247</v>
      </c>
      <c r="H10249" t="s">
        <v>27248</v>
      </c>
      <c r="I10249" t="s">
        <v>47151</v>
      </c>
      <c r="J10249" t="s">
        <v>19394</v>
      </c>
      <c r="L10249" t="s">
        <v>27250</v>
      </c>
      <c r="M10249" t="s">
        <v>27251</v>
      </c>
      <c r="N10249" t="s">
        <v>27252</v>
      </c>
      <c r="Q10249" s="1">
        <v>44538</v>
      </c>
      <c r="R10249" t="s">
        <v>27253</v>
      </c>
      <c r="S10249" t="s">
        <v>27254</v>
      </c>
      <c r="T10249" t="s">
        <v>27255</v>
      </c>
    </row>
    <row r="10250" spans="1:20" x14ac:dyDescent="0.3">
      <c r="A10250" t="str">
        <f>"0611838220100"</f>
        <v>0611838220100</v>
      </c>
      <c r="B10250" t="str">
        <f>"LK6974"</f>
        <v>LK6974</v>
      </c>
      <c r="C10250" t="s">
        <v>47152</v>
      </c>
      <c r="D10250" t="s">
        <v>27245</v>
      </c>
      <c r="E10250" t="str">
        <f t="shared" si="160"/>
        <v>001390</v>
      </c>
      <c r="F10250" t="s">
        <v>27246</v>
      </c>
      <c r="G10250" t="s">
        <v>27247</v>
      </c>
      <c r="H10250" t="s">
        <v>27248</v>
      </c>
      <c r="I10250" t="s">
        <v>47153</v>
      </c>
      <c r="J10250" t="s">
        <v>19396</v>
      </c>
      <c r="L10250" t="s">
        <v>27250</v>
      </c>
      <c r="M10250" t="s">
        <v>27251</v>
      </c>
      <c r="N10250" t="s">
        <v>27252</v>
      </c>
      <c r="Q10250" s="1">
        <v>44538</v>
      </c>
      <c r="R10250" t="s">
        <v>27253</v>
      </c>
      <c r="S10250" t="s">
        <v>27254</v>
      </c>
      <c r="T10250" t="s">
        <v>27255</v>
      </c>
    </row>
    <row r="10251" spans="1:20" x14ac:dyDescent="0.3">
      <c r="A10251" t="str">
        <f>"0611838221100"</f>
        <v>0611838221100</v>
      </c>
      <c r="B10251" t="str">
        <f>"LK6975"</f>
        <v>LK6975</v>
      </c>
      <c r="C10251" t="s">
        <v>47154</v>
      </c>
      <c r="D10251" t="s">
        <v>27245</v>
      </c>
      <c r="E10251" t="str">
        <f t="shared" si="160"/>
        <v>001390</v>
      </c>
      <c r="F10251" t="s">
        <v>27246</v>
      </c>
      <c r="G10251" t="s">
        <v>27247</v>
      </c>
      <c r="H10251" t="s">
        <v>27248</v>
      </c>
      <c r="I10251" t="s">
        <v>47155</v>
      </c>
      <c r="J10251" t="s">
        <v>19398</v>
      </c>
      <c r="L10251" t="s">
        <v>27250</v>
      </c>
      <c r="M10251" t="s">
        <v>27251</v>
      </c>
      <c r="N10251" t="s">
        <v>27252</v>
      </c>
      <c r="Q10251" s="1">
        <v>44538</v>
      </c>
      <c r="R10251" t="s">
        <v>27253</v>
      </c>
      <c r="S10251" t="s">
        <v>27254</v>
      </c>
      <c r="T10251" t="s">
        <v>27255</v>
      </c>
    </row>
    <row r="10252" spans="1:20" x14ac:dyDescent="0.3">
      <c r="A10252" t="str">
        <f>"0611838222100"</f>
        <v>0611838222100</v>
      </c>
      <c r="B10252" t="str">
        <f>"LK6976"</f>
        <v>LK6976</v>
      </c>
      <c r="C10252" t="s">
        <v>47156</v>
      </c>
      <c r="D10252" t="s">
        <v>27245</v>
      </c>
      <c r="E10252" t="str">
        <f t="shared" si="160"/>
        <v>001390</v>
      </c>
      <c r="F10252" t="s">
        <v>27246</v>
      </c>
      <c r="G10252" t="s">
        <v>27247</v>
      </c>
      <c r="H10252" t="s">
        <v>27248</v>
      </c>
      <c r="I10252" t="s">
        <v>47157</v>
      </c>
      <c r="J10252" t="s">
        <v>19402</v>
      </c>
      <c r="L10252" t="s">
        <v>27250</v>
      </c>
      <c r="M10252" t="s">
        <v>27251</v>
      </c>
      <c r="N10252" t="s">
        <v>27252</v>
      </c>
      <c r="Q10252" s="1">
        <v>44538</v>
      </c>
      <c r="R10252" t="s">
        <v>27253</v>
      </c>
      <c r="S10252" t="s">
        <v>27254</v>
      </c>
      <c r="T10252" t="s">
        <v>27255</v>
      </c>
    </row>
    <row r="10253" spans="1:20" x14ac:dyDescent="0.3">
      <c r="A10253" t="str">
        <f>"0611838223100"</f>
        <v>0611838223100</v>
      </c>
      <c r="B10253" t="str">
        <f>"LK2726"</f>
        <v>LK2726</v>
      </c>
      <c r="C10253" t="s">
        <v>47158</v>
      </c>
      <c r="D10253" t="s">
        <v>27245</v>
      </c>
      <c r="E10253" t="str">
        <f t="shared" si="160"/>
        <v>001390</v>
      </c>
      <c r="F10253" t="s">
        <v>27246</v>
      </c>
      <c r="G10253" t="s">
        <v>27247</v>
      </c>
      <c r="H10253" t="s">
        <v>27248</v>
      </c>
      <c r="I10253" t="s">
        <v>47159</v>
      </c>
      <c r="J10253" t="s">
        <v>19406</v>
      </c>
      <c r="L10253" t="s">
        <v>27250</v>
      </c>
      <c r="M10253" t="s">
        <v>27251</v>
      </c>
      <c r="N10253" t="s">
        <v>27252</v>
      </c>
      <c r="Q10253" s="1">
        <v>44538</v>
      </c>
      <c r="R10253" t="s">
        <v>27253</v>
      </c>
      <c r="S10253" t="s">
        <v>27254</v>
      </c>
      <c r="T10253" t="s">
        <v>27255</v>
      </c>
    </row>
    <row r="10254" spans="1:20" x14ac:dyDescent="0.3">
      <c r="A10254" t="str">
        <f>"0611838224050"</f>
        <v>0611838224050</v>
      </c>
      <c r="B10254" t="str">
        <f>"NM0015"</f>
        <v>NM0015</v>
      </c>
      <c r="C10254" t="s">
        <v>47158</v>
      </c>
      <c r="D10254" t="s">
        <v>35877</v>
      </c>
      <c r="E10254" t="str">
        <f t="shared" si="160"/>
        <v>001390</v>
      </c>
      <c r="F10254" t="s">
        <v>27246</v>
      </c>
      <c r="G10254" t="s">
        <v>27247</v>
      </c>
      <c r="H10254" t="s">
        <v>27248</v>
      </c>
      <c r="I10254" t="s">
        <v>47160</v>
      </c>
      <c r="J10254" t="s">
        <v>19408</v>
      </c>
      <c r="L10254" t="s">
        <v>27250</v>
      </c>
      <c r="M10254" t="s">
        <v>27251</v>
      </c>
      <c r="N10254" t="s">
        <v>27252</v>
      </c>
      <c r="Q10254" s="1">
        <v>44538</v>
      </c>
      <c r="R10254" t="s">
        <v>27253</v>
      </c>
      <c r="S10254" t="s">
        <v>27254</v>
      </c>
      <c r="T10254" t="s">
        <v>35879</v>
      </c>
    </row>
    <row r="10255" spans="1:20" x14ac:dyDescent="0.3">
      <c r="A10255" t="str">
        <f>"0611838225100"</f>
        <v>0611838225100</v>
      </c>
      <c r="B10255" t="str">
        <f>"LK1719"</f>
        <v>LK1719</v>
      </c>
      <c r="C10255" t="s">
        <v>47161</v>
      </c>
      <c r="D10255" t="s">
        <v>27245</v>
      </c>
      <c r="E10255" t="str">
        <f t="shared" si="160"/>
        <v>001390</v>
      </c>
      <c r="F10255" t="s">
        <v>27246</v>
      </c>
      <c r="G10255" t="s">
        <v>27247</v>
      </c>
      <c r="H10255" t="s">
        <v>27248</v>
      </c>
      <c r="I10255" t="s">
        <v>47162</v>
      </c>
      <c r="J10255" t="s">
        <v>19410</v>
      </c>
      <c r="L10255" t="s">
        <v>27250</v>
      </c>
      <c r="M10255" t="s">
        <v>27251</v>
      </c>
      <c r="N10255" t="s">
        <v>27252</v>
      </c>
      <c r="Q10255" s="1">
        <v>44538</v>
      </c>
      <c r="R10255" t="s">
        <v>27253</v>
      </c>
      <c r="S10255" t="s">
        <v>27254</v>
      </c>
      <c r="T10255" t="s">
        <v>27255</v>
      </c>
    </row>
    <row r="10256" spans="1:20" x14ac:dyDescent="0.3">
      <c r="A10256" t="str">
        <f>"0611838226025"</f>
        <v>0611838226025</v>
      </c>
      <c r="B10256" t="str">
        <f>"MC2306"</f>
        <v>MC2306</v>
      </c>
      <c r="C10256" t="s">
        <v>47161</v>
      </c>
      <c r="D10256" t="s">
        <v>27267</v>
      </c>
      <c r="E10256" t="str">
        <f t="shared" si="160"/>
        <v>001390</v>
      </c>
      <c r="F10256" t="s">
        <v>27246</v>
      </c>
      <c r="G10256" t="s">
        <v>27247</v>
      </c>
      <c r="H10256" t="s">
        <v>27248</v>
      </c>
      <c r="I10256" t="s">
        <v>47163</v>
      </c>
      <c r="J10256" t="s">
        <v>19412</v>
      </c>
      <c r="L10256" t="s">
        <v>27250</v>
      </c>
      <c r="M10256" t="s">
        <v>27251</v>
      </c>
      <c r="N10256" t="s">
        <v>27252</v>
      </c>
      <c r="Q10256" s="1">
        <v>44538</v>
      </c>
      <c r="R10256" t="s">
        <v>27253</v>
      </c>
      <c r="S10256" t="s">
        <v>27254</v>
      </c>
      <c r="T10256" t="s">
        <v>27269</v>
      </c>
    </row>
    <row r="10257" spans="1:20" x14ac:dyDescent="0.3">
      <c r="A10257" t="str">
        <f>"0611838227050"</f>
        <v>0611838227050</v>
      </c>
      <c r="B10257" t="str">
        <f>"NM0016"</f>
        <v>NM0016</v>
      </c>
      <c r="C10257" t="s">
        <v>47161</v>
      </c>
      <c r="D10257" t="s">
        <v>35877</v>
      </c>
      <c r="E10257" t="str">
        <f t="shared" si="160"/>
        <v>001390</v>
      </c>
      <c r="F10257" t="s">
        <v>27246</v>
      </c>
      <c r="G10257" t="s">
        <v>27247</v>
      </c>
      <c r="H10257" t="s">
        <v>27248</v>
      </c>
      <c r="I10257" t="s">
        <v>47164</v>
      </c>
      <c r="J10257" t="s">
        <v>19414</v>
      </c>
      <c r="L10257" t="s">
        <v>27250</v>
      </c>
      <c r="M10257" t="s">
        <v>27251</v>
      </c>
      <c r="N10257" t="s">
        <v>27252</v>
      </c>
      <c r="Q10257" s="1">
        <v>44538</v>
      </c>
      <c r="R10257" t="s">
        <v>27253</v>
      </c>
      <c r="S10257" t="s">
        <v>27254</v>
      </c>
      <c r="T10257" t="s">
        <v>35879</v>
      </c>
    </row>
    <row r="10258" spans="1:20" x14ac:dyDescent="0.3">
      <c r="A10258" t="str">
        <f>"0611838228100"</f>
        <v>0611838228100</v>
      </c>
      <c r="B10258" t="str">
        <f>"LK4349"</f>
        <v>LK4349</v>
      </c>
      <c r="C10258" t="s">
        <v>47165</v>
      </c>
      <c r="D10258" t="s">
        <v>27245</v>
      </c>
      <c r="E10258" t="str">
        <f t="shared" si="160"/>
        <v>001390</v>
      </c>
      <c r="F10258" t="s">
        <v>27246</v>
      </c>
      <c r="G10258" t="s">
        <v>27247</v>
      </c>
      <c r="H10258" t="s">
        <v>27248</v>
      </c>
      <c r="I10258" t="s">
        <v>47166</v>
      </c>
      <c r="J10258" t="s">
        <v>19416</v>
      </c>
      <c r="L10258" t="s">
        <v>27250</v>
      </c>
      <c r="M10258" t="s">
        <v>27251</v>
      </c>
      <c r="N10258" t="s">
        <v>27252</v>
      </c>
      <c r="Q10258" s="1">
        <v>44538</v>
      </c>
      <c r="R10258" t="s">
        <v>27253</v>
      </c>
      <c r="S10258" t="s">
        <v>27254</v>
      </c>
      <c r="T10258" t="s">
        <v>27255</v>
      </c>
    </row>
    <row r="10259" spans="1:20" x14ac:dyDescent="0.3">
      <c r="A10259" t="str">
        <f>"0611838229050"</f>
        <v>0611838229050</v>
      </c>
      <c r="B10259" t="str">
        <f>"NM0017"</f>
        <v>NM0017</v>
      </c>
      <c r="C10259" t="s">
        <v>47165</v>
      </c>
      <c r="D10259" t="s">
        <v>35877</v>
      </c>
      <c r="E10259" t="str">
        <f t="shared" si="160"/>
        <v>001390</v>
      </c>
      <c r="F10259" t="s">
        <v>27246</v>
      </c>
      <c r="G10259" t="s">
        <v>27247</v>
      </c>
      <c r="H10259" t="s">
        <v>27248</v>
      </c>
      <c r="I10259" t="s">
        <v>47167</v>
      </c>
      <c r="J10259" t="s">
        <v>19418</v>
      </c>
      <c r="L10259" t="s">
        <v>27250</v>
      </c>
      <c r="M10259" t="s">
        <v>27251</v>
      </c>
      <c r="N10259" t="s">
        <v>27252</v>
      </c>
      <c r="Q10259" s="1">
        <v>44538</v>
      </c>
      <c r="R10259" t="s">
        <v>27253</v>
      </c>
      <c r="S10259" t="s">
        <v>27254</v>
      </c>
      <c r="T10259" t="s">
        <v>35879</v>
      </c>
    </row>
    <row r="10260" spans="1:20" x14ac:dyDescent="0.3">
      <c r="A10260" t="str">
        <f>"0611838230100"</f>
        <v>0611838230100</v>
      </c>
      <c r="B10260" t="str">
        <f>"LK2725"</f>
        <v>LK2725</v>
      </c>
      <c r="C10260" t="s">
        <v>47168</v>
      </c>
      <c r="D10260" t="s">
        <v>27245</v>
      </c>
      <c r="E10260" t="str">
        <f t="shared" si="160"/>
        <v>001390</v>
      </c>
      <c r="F10260" t="s">
        <v>27246</v>
      </c>
      <c r="G10260" t="s">
        <v>27247</v>
      </c>
      <c r="H10260" t="s">
        <v>27248</v>
      </c>
      <c r="I10260" t="s">
        <v>47169</v>
      </c>
      <c r="J10260" t="s">
        <v>19420</v>
      </c>
      <c r="L10260" t="s">
        <v>27250</v>
      </c>
      <c r="M10260" t="s">
        <v>27251</v>
      </c>
      <c r="N10260" t="s">
        <v>27252</v>
      </c>
      <c r="Q10260" s="1">
        <v>44538</v>
      </c>
      <c r="R10260" t="s">
        <v>27253</v>
      </c>
      <c r="S10260" t="s">
        <v>27254</v>
      </c>
      <c r="T10260" t="s">
        <v>27255</v>
      </c>
    </row>
    <row r="10261" spans="1:20" x14ac:dyDescent="0.3">
      <c r="A10261" t="str">
        <f>"0611838231050"</f>
        <v>0611838231050</v>
      </c>
      <c r="B10261" t="str">
        <f>"NM0019"</f>
        <v>NM0019</v>
      </c>
      <c r="C10261" t="s">
        <v>47168</v>
      </c>
      <c r="D10261" t="s">
        <v>35877</v>
      </c>
      <c r="E10261" t="str">
        <f t="shared" si="160"/>
        <v>001390</v>
      </c>
      <c r="F10261" t="s">
        <v>27246</v>
      </c>
      <c r="G10261" t="s">
        <v>27247</v>
      </c>
      <c r="H10261" t="s">
        <v>27248</v>
      </c>
      <c r="I10261" t="s">
        <v>47170</v>
      </c>
      <c r="J10261" t="s">
        <v>19422</v>
      </c>
      <c r="L10261" t="s">
        <v>27250</v>
      </c>
      <c r="M10261" t="s">
        <v>27251</v>
      </c>
      <c r="N10261" t="s">
        <v>27252</v>
      </c>
      <c r="Q10261" s="1">
        <v>44538</v>
      </c>
      <c r="R10261" t="s">
        <v>27253</v>
      </c>
      <c r="S10261" t="s">
        <v>27254</v>
      </c>
      <c r="T10261" t="s">
        <v>35879</v>
      </c>
    </row>
    <row r="10262" spans="1:20" x14ac:dyDescent="0.3">
      <c r="A10262" t="str">
        <f>"0611838232100"</f>
        <v>0611838232100</v>
      </c>
      <c r="B10262" t="str">
        <f>"LK1985"</f>
        <v>LK1985</v>
      </c>
      <c r="C10262" t="s">
        <v>47171</v>
      </c>
      <c r="D10262" t="s">
        <v>27245</v>
      </c>
      <c r="E10262" t="str">
        <f t="shared" si="160"/>
        <v>001390</v>
      </c>
      <c r="F10262" t="s">
        <v>27246</v>
      </c>
      <c r="G10262" t="s">
        <v>27247</v>
      </c>
      <c r="H10262" t="s">
        <v>27248</v>
      </c>
      <c r="I10262" t="s">
        <v>47172</v>
      </c>
      <c r="J10262" t="s">
        <v>19424</v>
      </c>
      <c r="L10262" t="s">
        <v>27250</v>
      </c>
      <c r="M10262" t="s">
        <v>27251</v>
      </c>
      <c r="N10262" t="s">
        <v>27252</v>
      </c>
      <c r="Q10262" s="1">
        <v>44538</v>
      </c>
      <c r="R10262" t="s">
        <v>27253</v>
      </c>
      <c r="S10262" t="s">
        <v>27254</v>
      </c>
      <c r="T10262" t="s">
        <v>27255</v>
      </c>
    </row>
    <row r="10263" spans="1:20" x14ac:dyDescent="0.3">
      <c r="A10263" t="str">
        <f>"0611838233050"</f>
        <v>0611838233050</v>
      </c>
      <c r="B10263" t="str">
        <f>"NM0020"</f>
        <v>NM0020</v>
      </c>
      <c r="C10263" t="s">
        <v>47171</v>
      </c>
      <c r="D10263" t="s">
        <v>35877</v>
      </c>
      <c r="E10263" t="str">
        <f t="shared" si="160"/>
        <v>001390</v>
      </c>
      <c r="F10263" t="s">
        <v>27246</v>
      </c>
      <c r="G10263" t="s">
        <v>27247</v>
      </c>
      <c r="H10263" t="s">
        <v>27248</v>
      </c>
      <c r="I10263" t="s">
        <v>47173</v>
      </c>
      <c r="J10263" t="s">
        <v>19426</v>
      </c>
      <c r="L10263" t="s">
        <v>27250</v>
      </c>
      <c r="M10263" t="s">
        <v>27251</v>
      </c>
      <c r="N10263" t="s">
        <v>27252</v>
      </c>
      <c r="Q10263" s="1">
        <v>44538</v>
      </c>
      <c r="R10263" t="s">
        <v>27253</v>
      </c>
      <c r="S10263" t="s">
        <v>27254</v>
      </c>
      <c r="T10263" t="s">
        <v>35879</v>
      </c>
    </row>
    <row r="10264" spans="1:20" x14ac:dyDescent="0.3">
      <c r="A10264" t="str">
        <f>"0611838234100"</f>
        <v>0611838234100</v>
      </c>
      <c r="B10264" t="str">
        <f>"LK4520"</f>
        <v>LK4520</v>
      </c>
      <c r="C10264" t="s">
        <v>47174</v>
      </c>
      <c r="D10264" t="s">
        <v>27245</v>
      </c>
      <c r="E10264" t="str">
        <f t="shared" si="160"/>
        <v>001390</v>
      </c>
      <c r="F10264" t="s">
        <v>27246</v>
      </c>
      <c r="G10264" t="s">
        <v>27247</v>
      </c>
      <c r="H10264" t="s">
        <v>27248</v>
      </c>
      <c r="I10264" t="s">
        <v>47175</v>
      </c>
      <c r="J10264" t="s">
        <v>19428</v>
      </c>
      <c r="L10264" t="s">
        <v>27250</v>
      </c>
      <c r="M10264" t="s">
        <v>27251</v>
      </c>
      <c r="N10264" t="s">
        <v>27252</v>
      </c>
      <c r="Q10264" s="1">
        <v>44538</v>
      </c>
      <c r="R10264" t="s">
        <v>27253</v>
      </c>
      <c r="S10264" t="s">
        <v>27254</v>
      </c>
      <c r="T10264" t="s">
        <v>27255</v>
      </c>
    </row>
    <row r="10265" spans="1:20" x14ac:dyDescent="0.3">
      <c r="A10265" t="str">
        <f>"0611838235100"</f>
        <v>0611838235100</v>
      </c>
      <c r="B10265" t="str">
        <f>"LK4521"</f>
        <v>LK4521</v>
      </c>
      <c r="C10265" t="s">
        <v>47176</v>
      </c>
      <c r="D10265" t="s">
        <v>27245</v>
      </c>
      <c r="E10265" t="str">
        <f t="shared" si="160"/>
        <v>001390</v>
      </c>
      <c r="F10265" t="s">
        <v>27246</v>
      </c>
      <c r="G10265" t="s">
        <v>27247</v>
      </c>
      <c r="H10265" t="s">
        <v>27248</v>
      </c>
      <c r="I10265" t="s">
        <v>47177</v>
      </c>
      <c r="J10265" t="s">
        <v>19430</v>
      </c>
      <c r="L10265" t="s">
        <v>27250</v>
      </c>
      <c r="M10265" t="s">
        <v>27251</v>
      </c>
      <c r="N10265" t="s">
        <v>27252</v>
      </c>
      <c r="Q10265" s="1">
        <v>44538</v>
      </c>
      <c r="R10265" t="s">
        <v>27253</v>
      </c>
      <c r="S10265" t="s">
        <v>27254</v>
      </c>
      <c r="T10265" t="s">
        <v>27255</v>
      </c>
    </row>
    <row r="10266" spans="1:20" x14ac:dyDescent="0.3">
      <c r="A10266" t="str">
        <f>"0611838236050"</f>
        <v>0611838236050</v>
      </c>
      <c r="B10266" t="str">
        <f>"NM0022"</f>
        <v>NM0022</v>
      </c>
      <c r="C10266" t="s">
        <v>47176</v>
      </c>
      <c r="D10266" t="s">
        <v>35877</v>
      </c>
      <c r="E10266" t="str">
        <f t="shared" si="160"/>
        <v>001390</v>
      </c>
      <c r="F10266" t="s">
        <v>27246</v>
      </c>
      <c r="G10266" t="s">
        <v>27247</v>
      </c>
      <c r="H10266" t="s">
        <v>27248</v>
      </c>
      <c r="I10266" t="s">
        <v>47178</v>
      </c>
      <c r="J10266" t="s">
        <v>19432</v>
      </c>
      <c r="L10266" t="s">
        <v>27250</v>
      </c>
      <c r="M10266" t="s">
        <v>27251</v>
      </c>
      <c r="N10266" t="s">
        <v>27252</v>
      </c>
      <c r="Q10266" s="1">
        <v>44538</v>
      </c>
      <c r="R10266" t="s">
        <v>27253</v>
      </c>
      <c r="S10266" t="s">
        <v>27254</v>
      </c>
      <c r="T10266" t="s">
        <v>35879</v>
      </c>
    </row>
    <row r="10267" spans="1:20" x14ac:dyDescent="0.3">
      <c r="A10267" t="str">
        <f>"0611838237100"</f>
        <v>0611838237100</v>
      </c>
      <c r="B10267" t="str">
        <f>"LK6559"</f>
        <v>LK6559</v>
      </c>
      <c r="C10267" t="s">
        <v>47179</v>
      </c>
      <c r="D10267" t="s">
        <v>27245</v>
      </c>
      <c r="E10267" t="str">
        <f t="shared" si="160"/>
        <v>001390</v>
      </c>
      <c r="F10267" t="s">
        <v>27246</v>
      </c>
      <c r="G10267" t="s">
        <v>27247</v>
      </c>
      <c r="H10267" t="s">
        <v>27248</v>
      </c>
      <c r="I10267" t="s">
        <v>47180</v>
      </c>
      <c r="J10267" t="s">
        <v>19434</v>
      </c>
      <c r="L10267" t="s">
        <v>27250</v>
      </c>
      <c r="M10267" t="s">
        <v>27251</v>
      </c>
      <c r="N10267" t="s">
        <v>27252</v>
      </c>
      <c r="O10267">
        <v>100</v>
      </c>
      <c r="Q10267" s="1">
        <v>44538</v>
      </c>
      <c r="R10267" t="s">
        <v>27253</v>
      </c>
      <c r="S10267" t="s">
        <v>27254</v>
      </c>
      <c r="T10267" t="s">
        <v>27255</v>
      </c>
    </row>
    <row r="10268" spans="1:20" x14ac:dyDescent="0.3">
      <c r="A10268" t="str">
        <f>"0611838239100"</f>
        <v>0611838239100</v>
      </c>
      <c r="B10268" t="str">
        <f>"LK4437"</f>
        <v>LK4437</v>
      </c>
      <c r="C10268" t="s">
        <v>47181</v>
      </c>
      <c r="D10268" t="s">
        <v>27245</v>
      </c>
      <c r="E10268" t="str">
        <f t="shared" si="160"/>
        <v>001390</v>
      </c>
      <c r="F10268" t="s">
        <v>27246</v>
      </c>
      <c r="G10268" t="s">
        <v>27247</v>
      </c>
      <c r="H10268" t="s">
        <v>27248</v>
      </c>
      <c r="I10268" t="s">
        <v>47182</v>
      </c>
      <c r="J10268" t="s">
        <v>19436</v>
      </c>
      <c r="L10268" t="s">
        <v>27250</v>
      </c>
      <c r="M10268" t="s">
        <v>27251</v>
      </c>
      <c r="N10268" t="s">
        <v>27252</v>
      </c>
      <c r="Q10268" s="1">
        <v>44538</v>
      </c>
      <c r="R10268" t="s">
        <v>27253</v>
      </c>
      <c r="S10268" t="s">
        <v>27254</v>
      </c>
      <c r="T10268" t="s">
        <v>27255</v>
      </c>
    </row>
    <row r="10269" spans="1:20" x14ac:dyDescent="0.3">
      <c r="A10269" t="str">
        <f>"0611838240050"</f>
        <v>0611838240050</v>
      </c>
      <c r="B10269" t="str">
        <f>"NM0024"</f>
        <v>NM0024</v>
      </c>
      <c r="C10269" t="s">
        <v>47181</v>
      </c>
      <c r="D10269" t="s">
        <v>35877</v>
      </c>
      <c r="E10269" t="str">
        <f t="shared" si="160"/>
        <v>001390</v>
      </c>
      <c r="F10269" t="s">
        <v>27246</v>
      </c>
      <c r="G10269" t="s">
        <v>27247</v>
      </c>
      <c r="H10269" t="s">
        <v>27248</v>
      </c>
      <c r="I10269" t="s">
        <v>47183</v>
      </c>
      <c r="J10269" t="s">
        <v>19438</v>
      </c>
      <c r="L10269" t="s">
        <v>27250</v>
      </c>
      <c r="M10269" t="s">
        <v>27251</v>
      </c>
      <c r="N10269" t="s">
        <v>27252</v>
      </c>
      <c r="Q10269" s="1">
        <v>44538</v>
      </c>
      <c r="R10269" t="s">
        <v>27253</v>
      </c>
      <c r="S10269" t="s">
        <v>27254</v>
      </c>
      <c r="T10269" t="s">
        <v>35879</v>
      </c>
    </row>
    <row r="10270" spans="1:20" x14ac:dyDescent="0.3">
      <c r="A10270" t="str">
        <f>"0611838241100"</f>
        <v>0611838241100</v>
      </c>
      <c r="B10270" t="str">
        <f>"LK4522"</f>
        <v>LK4522</v>
      </c>
      <c r="C10270" t="s">
        <v>47184</v>
      </c>
      <c r="D10270" t="s">
        <v>27245</v>
      </c>
      <c r="E10270" t="str">
        <f t="shared" si="160"/>
        <v>001390</v>
      </c>
      <c r="F10270" t="s">
        <v>27246</v>
      </c>
      <c r="G10270" t="s">
        <v>27247</v>
      </c>
      <c r="H10270" t="s">
        <v>27248</v>
      </c>
      <c r="I10270" t="s">
        <v>47185</v>
      </c>
      <c r="J10270" t="s">
        <v>19440</v>
      </c>
      <c r="L10270" t="s">
        <v>27250</v>
      </c>
      <c r="M10270" t="s">
        <v>27251</v>
      </c>
      <c r="N10270" t="s">
        <v>27252</v>
      </c>
      <c r="Q10270" s="1">
        <v>44538</v>
      </c>
      <c r="R10270" t="s">
        <v>27253</v>
      </c>
      <c r="S10270" t="s">
        <v>27254</v>
      </c>
      <c r="T10270" t="s">
        <v>27255</v>
      </c>
    </row>
    <row r="10271" spans="1:20" x14ac:dyDescent="0.3">
      <c r="A10271" t="str">
        <f>"0611838242100"</f>
        <v>0611838242100</v>
      </c>
      <c r="B10271" t="str">
        <f>"LK1080"</f>
        <v>LK1080</v>
      </c>
      <c r="C10271" t="s">
        <v>47186</v>
      </c>
      <c r="D10271" t="s">
        <v>27245</v>
      </c>
      <c r="E10271" t="str">
        <f t="shared" si="160"/>
        <v>001390</v>
      </c>
      <c r="F10271" t="s">
        <v>27246</v>
      </c>
      <c r="G10271" t="s">
        <v>27247</v>
      </c>
      <c r="H10271" t="s">
        <v>27248</v>
      </c>
      <c r="I10271" t="s">
        <v>47187</v>
      </c>
      <c r="J10271" t="s">
        <v>19442</v>
      </c>
      <c r="L10271" t="s">
        <v>27250</v>
      </c>
      <c r="M10271" t="s">
        <v>27251</v>
      </c>
      <c r="N10271" t="s">
        <v>27252</v>
      </c>
      <c r="Q10271" s="1">
        <v>44538</v>
      </c>
      <c r="R10271" t="s">
        <v>27253</v>
      </c>
      <c r="S10271" t="s">
        <v>27254</v>
      </c>
      <c r="T10271" t="s">
        <v>27255</v>
      </c>
    </row>
    <row r="10272" spans="1:20" x14ac:dyDescent="0.3">
      <c r="A10272" t="str">
        <f>"0611838243025"</f>
        <v>0611838243025</v>
      </c>
      <c r="B10272" t="str">
        <f>"MC1617"</f>
        <v>MC1617</v>
      </c>
      <c r="C10272" t="s">
        <v>47186</v>
      </c>
      <c r="D10272" t="s">
        <v>27267</v>
      </c>
      <c r="E10272" t="str">
        <f t="shared" si="160"/>
        <v>001390</v>
      </c>
      <c r="F10272" t="s">
        <v>27246</v>
      </c>
      <c r="G10272" t="s">
        <v>27247</v>
      </c>
      <c r="H10272" t="s">
        <v>27248</v>
      </c>
      <c r="I10272" t="s">
        <v>47188</v>
      </c>
      <c r="J10272" t="s">
        <v>19444</v>
      </c>
      <c r="L10272" t="s">
        <v>27250</v>
      </c>
      <c r="M10272" t="s">
        <v>27251</v>
      </c>
      <c r="N10272" t="s">
        <v>27252</v>
      </c>
      <c r="Q10272" s="1">
        <v>44538</v>
      </c>
      <c r="R10272" t="s">
        <v>27253</v>
      </c>
      <c r="S10272" t="s">
        <v>27254</v>
      </c>
      <c r="T10272" t="s">
        <v>27269</v>
      </c>
    </row>
    <row r="10273" spans="1:20" x14ac:dyDescent="0.3">
      <c r="A10273" t="str">
        <f>"0611838244050"</f>
        <v>0611838244050</v>
      </c>
      <c r="B10273" t="str">
        <f>"NM0027"</f>
        <v>NM0027</v>
      </c>
      <c r="C10273" t="s">
        <v>47186</v>
      </c>
      <c r="D10273" t="s">
        <v>35877</v>
      </c>
      <c r="E10273" t="str">
        <f t="shared" si="160"/>
        <v>001390</v>
      </c>
      <c r="F10273" t="s">
        <v>27246</v>
      </c>
      <c r="G10273" t="s">
        <v>27247</v>
      </c>
      <c r="H10273" t="s">
        <v>27248</v>
      </c>
      <c r="I10273" t="s">
        <v>47189</v>
      </c>
      <c r="J10273" t="s">
        <v>19446</v>
      </c>
      <c r="L10273" t="s">
        <v>27250</v>
      </c>
      <c r="M10273" t="s">
        <v>27251</v>
      </c>
      <c r="N10273" t="s">
        <v>27252</v>
      </c>
      <c r="Q10273" s="1">
        <v>44538</v>
      </c>
      <c r="R10273" t="s">
        <v>27253</v>
      </c>
      <c r="S10273" t="s">
        <v>27254</v>
      </c>
      <c r="T10273" t="s">
        <v>35879</v>
      </c>
    </row>
    <row r="10274" spans="1:20" x14ac:dyDescent="0.3">
      <c r="A10274" t="str">
        <f>"0611838245100"</f>
        <v>0611838245100</v>
      </c>
      <c r="B10274" t="str">
        <f>"LK5669"</f>
        <v>LK5669</v>
      </c>
      <c r="C10274" t="s">
        <v>47190</v>
      </c>
      <c r="D10274" t="s">
        <v>27245</v>
      </c>
      <c r="E10274" t="str">
        <f t="shared" si="160"/>
        <v>001390</v>
      </c>
      <c r="F10274" t="s">
        <v>27246</v>
      </c>
      <c r="G10274" t="s">
        <v>27247</v>
      </c>
      <c r="H10274" t="s">
        <v>27248</v>
      </c>
      <c r="I10274" t="s">
        <v>47191</v>
      </c>
      <c r="J10274" t="s">
        <v>19448</v>
      </c>
      <c r="L10274" t="s">
        <v>27250</v>
      </c>
      <c r="M10274" t="s">
        <v>27251</v>
      </c>
      <c r="N10274" t="s">
        <v>27252</v>
      </c>
      <c r="Q10274" s="1">
        <v>44538</v>
      </c>
      <c r="R10274" t="s">
        <v>27253</v>
      </c>
      <c r="S10274" t="s">
        <v>27254</v>
      </c>
      <c r="T10274" t="s">
        <v>27255</v>
      </c>
    </row>
    <row r="10275" spans="1:20" x14ac:dyDescent="0.3">
      <c r="A10275" t="str">
        <f>"0611838246050"</f>
        <v>0611838246050</v>
      </c>
      <c r="B10275" t="str">
        <f>"NM0072"</f>
        <v>NM0072</v>
      </c>
      <c r="C10275" t="s">
        <v>47190</v>
      </c>
      <c r="D10275" t="s">
        <v>35877</v>
      </c>
      <c r="E10275" t="str">
        <f t="shared" si="160"/>
        <v>001390</v>
      </c>
      <c r="F10275" t="s">
        <v>27246</v>
      </c>
      <c r="G10275" t="s">
        <v>27247</v>
      </c>
      <c r="H10275" t="s">
        <v>27248</v>
      </c>
      <c r="I10275" t="s">
        <v>47192</v>
      </c>
      <c r="J10275" t="s">
        <v>19450</v>
      </c>
      <c r="L10275" t="s">
        <v>27250</v>
      </c>
      <c r="M10275" t="s">
        <v>27251</v>
      </c>
      <c r="N10275" t="s">
        <v>27252</v>
      </c>
      <c r="Q10275" s="1">
        <v>44538</v>
      </c>
      <c r="R10275" t="s">
        <v>27253</v>
      </c>
      <c r="S10275" t="s">
        <v>27254</v>
      </c>
      <c r="T10275" t="s">
        <v>35879</v>
      </c>
    </row>
    <row r="10276" spans="1:20" x14ac:dyDescent="0.3">
      <c r="A10276" t="str">
        <f>"0611838247100"</f>
        <v>0611838247100</v>
      </c>
      <c r="B10276" t="str">
        <f>"LK4350"</f>
        <v>LK4350</v>
      </c>
      <c r="C10276" t="s">
        <v>47193</v>
      </c>
      <c r="D10276" t="s">
        <v>27245</v>
      </c>
      <c r="E10276" t="str">
        <f t="shared" si="160"/>
        <v>001390</v>
      </c>
      <c r="F10276" t="s">
        <v>27246</v>
      </c>
      <c r="G10276" t="s">
        <v>27247</v>
      </c>
      <c r="H10276" t="s">
        <v>27248</v>
      </c>
      <c r="I10276" t="s">
        <v>47194</v>
      </c>
      <c r="J10276" t="s">
        <v>19452</v>
      </c>
      <c r="L10276" t="s">
        <v>27250</v>
      </c>
      <c r="M10276" t="s">
        <v>27251</v>
      </c>
      <c r="N10276" t="s">
        <v>27252</v>
      </c>
      <c r="Q10276" s="1">
        <v>44538</v>
      </c>
      <c r="R10276" t="s">
        <v>27253</v>
      </c>
      <c r="S10276" t="s">
        <v>27254</v>
      </c>
      <c r="T10276" t="s">
        <v>27255</v>
      </c>
    </row>
    <row r="10277" spans="1:20" x14ac:dyDescent="0.3">
      <c r="A10277" t="str">
        <f>"0611838248050"</f>
        <v>0611838248050</v>
      </c>
      <c r="B10277" t="str">
        <f>"NM0030"</f>
        <v>NM0030</v>
      </c>
      <c r="C10277" t="s">
        <v>47193</v>
      </c>
      <c r="D10277" t="s">
        <v>35877</v>
      </c>
      <c r="E10277" t="str">
        <f t="shared" si="160"/>
        <v>001390</v>
      </c>
      <c r="F10277" t="s">
        <v>27246</v>
      </c>
      <c r="G10277" t="s">
        <v>27247</v>
      </c>
      <c r="H10277" t="s">
        <v>27248</v>
      </c>
      <c r="I10277" t="s">
        <v>47195</v>
      </c>
      <c r="J10277" t="s">
        <v>19454</v>
      </c>
      <c r="L10277" t="s">
        <v>27250</v>
      </c>
      <c r="M10277" t="s">
        <v>27251</v>
      </c>
      <c r="N10277" t="s">
        <v>27252</v>
      </c>
      <c r="Q10277" s="1">
        <v>44538</v>
      </c>
      <c r="R10277" t="s">
        <v>27253</v>
      </c>
      <c r="S10277" t="s">
        <v>27254</v>
      </c>
      <c r="T10277" t="s">
        <v>35879</v>
      </c>
    </row>
    <row r="10278" spans="1:20" x14ac:dyDescent="0.3">
      <c r="A10278" t="str">
        <f>"0611838249100"</f>
        <v>0611838249100</v>
      </c>
      <c r="B10278" t="str">
        <f>"LK4351"</f>
        <v>LK4351</v>
      </c>
      <c r="C10278" t="s">
        <v>47196</v>
      </c>
      <c r="D10278" t="s">
        <v>27245</v>
      </c>
      <c r="E10278" t="str">
        <f t="shared" si="160"/>
        <v>001390</v>
      </c>
      <c r="F10278" t="s">
        <v>27246</v>
      </c>
      <c r="G10278" t="s">
        <v>27247</v>
      </c>
      <c r="H10278" t="s">
        <v>27248</v>
      </c>
      <c r="I10278" t="s">
        <v>47197</v>
      </c>
      <c r="J10278" t="s">
        <v>19456</v>
      </c>
      <c r="L10278" t="s">
        <v>27250</v>
      </c>
      <c r="M10278" t="s">
        <v>27251</v>
      </c>
      <c r="N10278" t="s">
        <v>27252</v>
      </c>
      <c r="Q10278" s="1">
        <v>44538</v>
      </c>
      <c r="R10278" t="s">
        <v>27253</v>
      </c>
      <c r="S10278" t="s">
        <v>27254</v>
      </c>
      <c r="T10278" t="s">
        <v>27255</v>
      </c>
    </row>
    <row r="10279" spans="1:20" x14ac:dyDescent="0.3">
      <c r="A10279" t="str">
        <f>"0611838250050"</f>
        <v>0611838250050</v>
      </c>
      <c r="B10279" t="str">
        <f>"NM0031"</f>
        <v>NM0031</v>
      </c>
      <c r="C10279" t="s">
        <v>47196</v>
      </c>
      <c r="D10279" t="s">
        <v>35877</v>
      </c>
      <c r="E10279" t="str">
        <f t="shared" si="160"/>
        <v>001390</v>
      </c>
      <c r="F10279" t="s">
        <v>27246</v>
      </c>
      <c r="G10279" t="s">
        <v>27247</v>
      </c>
      <c r="H10279" t="s">
        <v>27248</v>
      </c>
      <c r="I10279" t="s">
        <v>47198</v>
      </c>
      <c r="J10279" t="s">
        <v>19458</v>
      </c>
      <c r="L10279" t="s">
        <v>27250</v>
      </c>
      <c r="M10279" t="s">
        <v>27251</v>
      </c>
      <c r="N10279" t="s">
        <v>27252</v>
      </c>
      <c r="Q10279" s="1">
        <v>44538</v>
      </c>
      <c r="R10279" t="s">
        <v>27253</v>
      </c>
      <c r="S10279" t="s">
        <v>27254</v>
      </c>
      <c r="T10279" t="s">
        <v>35879</v>
      </c>
    </row>
    <row r="10280" spans="1:20" x14ac:dyDescent="0.3">
      <c r="A10280" t="str">
        <f>"0611838251100"</f>
        <v>0611838251100</v>
      </c>
      <c r="B10280" t="str">
        <f>"LK1721"</f>
        <v>LK1721</v>
      </c>
      <c r="C10280" t="s">
        <v>47199</v>
      </c>
      <c r="D10280" t="s">
        <v>27245</v>
      </c>
      <c r="E10280" t="str">
        <f t="shared" si="160"/>
        <v>001390</v>
      </c>
      <c r="F10280" t="s">
        <v>27246</v>
      </c>
      <c r="G10280" t="s">
        <v>27247</v>
      </c>
      <c r="H10280" t="s">
        <v>27248</v>
      </c>
      <c r="I10280" t="s">
        <v>47200</v>
      </c>
      <c r="J10280" t="s">
        <v>19460</v>
      </c>
      <c r="L10280" t="s">
        <v>27250</v>
      </c>
      <c r="M10280" t="s">
        <v>27251</v>
      </c>
      <c r="N10280" t="s">
        <v>27252</v>
      </c>
      <c r="Q10280" s="1">
        <v>44538</v>
      </c>
      <c r="R10280" t="s">
        <v>27253</v>
      </c>
      <c r="S10280" t="s">
        <v>27254</v>
      </c>
      <c r="T10280" t="s">
        <v>27255</v>
      </c>
    </row>
    <row r="10281" spans="1:20" x14ac:dyDescent="0.3">
      <c r="A10281" t="str">
        <f>"0611838252025"</f>
        <v>0611838252025</v>
      </c>
      <c r="B10281" t="str">
        <f>"MC2308"</f>
        <v>MC2308</v>
      </c>
      <c r="C10281" t="s">
        <v>47199</v>
      </c>
      <c r="D10281" t="s">
        <v>27267</v>
      </c>
      <c r="E10281" t="str">
        <f t="shared" si="160"/>
        <v>001390</v>
      </c>
      <c r="F10281" t="s">
        <v>27246</v>
      </c>
      <c r="G10281" t="s">
        <v>27247</v>
      </c>
      <c r="H10281" t="s">
        <v>27248</v>
      </c>
      <c r="I10281" t="s">
        <v>47201</v>
      </c>
      <c r="J10281" t="s">
        <v>19462</v>
      </c>
      <c r="L10281" t="s">
        <v>27250</v>
      </c>
      <c r="M10281" t="s">
        <v>27251</v>
      </c>
      <c r="N10281" t="s">
        <v>27252</v>
      </c>
      <c r="Q10281" s="1">
        <v>44538</v>
      </c>
      <c r="R10281" t="s">
        <v>27253</v>
      </c>
      <c r="S10281" t="s">
        <v>27254</v>
      </c>
      <c r="T10281" t="s">
        <v>27269</v>
      </c>
    </row>
    <row r="10282" spans="1:20" x14ac:dyDescent="0.3">
      <c r="A10282" t="str">
        <f>"0611838253050"</f>
        <v>0611838253050</v>
      </c>
      <c r="B10282" t="str">
        <f>"NM0032"</f>
        <v>NM0032</v>
      </c>
      <c r="C10282" t="s">
        <v>47199</v>
      </c>
      <c r="D10282" t="s">
        <v>35877</v>
      </c>
      <c r="E10282" t="str">
        <f t="shared" si="160"/>
        <v>001390</v>
      </c>
      <c r="F10282" t="s">
        <v>27246</v>
      </c>
      <c r="G10282" t="s">
        <v>27247</v>
      </c>
      <c r="H10282" t="s">
        <v>27248</v>
      </c>
      <c r="I10282" t="s">
        <v>47202</v>
      </c>
      <c r="J10282" t="s">
        <v>19464</v>
      </c>
      <c r="L10282" t="s">
        <v>27250</v>
      </c>
      <c r="M10282" t="s">
        <v>27251</v>
      </c>
      <c r="N10282" t="s">
        <v>27252</v>
      </c>
      <c r="Q10282" s="1">
        <v>44538</v>
      </c>
      <c r="R10282" t="s">
        <v>27253</v>
      </c>
      <c r="S10282" t="s">
        <v>27254</v>
      </c>
      <c r="T10282" t="s">
        <v>35879</v>
      </c>
    </row>
    <row r="10283" spans="1:20" x14ac:dyDescent="0.3">
      <c r="A10283" t="str">
        <f>"0611838254100"</f>
        <v>0611838254100</v>
      </c>
      <c r="B10283" t="str">
        <f>"LK6520"</f>
        <v>LK6520</v>
      </c>
      <c r="C10283" t="s">
        <v>47203</v>
      </c>
      <c r="D10283" t="s">
        <v>27245</v>
      </c>
      <c r="E10283" t="str">
        <f t="shared" si="160"/>
        <v>001390</v>
      </c>
      <c r="F10283" t="s">
        <v>27246</v>
      </c>
      <c r="G10283" t="s">
        <v>27247</v>
      </c>
      <c r="H10283" t="s">
        <v>27248</v>
      </c>
      <c r="I10283" t="s">
        <v>47204</v>
      </c>
      <c r="J10283" t="s">
        <v>19466</v>
      </c>
      <c r="L10283" t="s">
        <v>27250</v>
      </c>
      <c r="M10283" t="s">
        <v>27251</v>
      </c>
      <c r="N10283" t="s">
        <v>27252</v>
      </c>
      <c r="Q10283" s="1">
        <v>44538</v>
      </c>
      <c r="R10283" t="s">
        <v>27253</v>
      </c>
      <c r="S10283" t="s">
        <v>27254</v>
      </c>
      <c r="T10283" t="s">
        <v>27255</v>
      </c>
    </row>
    <row r="10284" spans="1:20" x14ac:dyDescent="0.3">
      <c r="A10284" t="str">
        <f>"0611838255100"</f>
        <v>0611838255100</v>
      </c>
      <c r="B10284" t="str">
        <f>"LK6948"</f>
        <v>LK6948</v>
      </c>
      <c r="C10284" t="s">
        <v>47205</v>
      </c>
      <c r="D10284" t="s">
        <v>27245</v>
      </c>
      <c r="E10284" t="str">
        <f t="shared" si="160"/>
        <v>001390</v>
      </c>
      <c r="F10284" t="s">
        <v>27246</v>
      </c>
      <c r="G10284" t="s">
        <v>27247</v>
      </c>
      <c r="H10284" t="s">
        <v>27248</v>
      </c>
      <c r="I10284" t="s">
        <v>47206</v>
      </c>
      <c r="J10284" t="s">
        <v>19468</v>
      </c>
      <c r="L10284" t="s">
        <v>27250</v>
      </c>
      <c r="M10284" t="s">
        <v>27251</v>
      </c>
      <c r="N10284" t="s">
        <v>27252</v>
      </c>
      <c r="Q10284" s="1">
        <v>44538</v>
      </c>
      <c r="R10284" t="s">
        <v>27253</v>
      </c>
      <c r="S10284" t="s">
        <v>27254</v>
      </c>
      <c r="T10284" t="s">
        <v>27255</v>
      </c>
    </row>
    <row r="10285" spans="1:20" x14ac:dyDescent="0.3">
      <c r="A10285" t="str">
        <f>"0611838256100"</f>
        <v>0611838256100</v>
      </c>
      <c r="B10285" t="str">
        <f>"LK1986"</f>
        <v>LK1986</v>
      </c>
      <c r="C10285" t="s">
        <v>47207</v>
      </c>
      <c r="D10285" t="s">
        <v>27245</v>
      </c>
      <c r="E10285" t="str">
        <f t="shared" si="160"/>
        <v>001390</v>
      </c>
      <c r="F10285" t="s">
        <v>27246</v>
      </c>
      <c r="G10285" t="s">
        <v>27247</v>
      </c>
      <c r="H10285" t="s">
        <v>27248</v>
      </c>
      <c r="I10285" t="s">
        <v>47208</v>
      </c>
      <c r="J10285" t="s">
        <v>19470</v>
      </c>
      <c r="L10285" t="s">
        <v>27250</v>
      </c>
      <c r="M10285" t="s">
        <v>27251</v>
      </c>
      <c r="N10285" t="s">
        <v>27252</v>
      </c>
      <c r="Q10285" s="1">
        <v>44538</v>
      </c>
      <c r="R10285" t="s">
        <v>27253</v>
      </c>
      <c r="S10285" t="s">
        <v>27254</v>
      </c>
      <c r="T10285" t="s">
        <v>27255</v>
      </c>
    </row>
    <row r="10286" spans="1:20" x14ac:dyDescent="0.3">
      <c r="A10286" t="str">
        <f>"0611838257050"</f>
        <v>0611838257050</v>
      </c>
      <c r="B10286" t="str">
        <f>"NM0033"</f>
        <v>NM0033</v>
      </c>
      <c r="C10286" t="s">
        <v>47207</v>
      </c>
      <c r="D10286" t="s">
        <v>35877</v>
      </c>
      <c r="E10286" t="str">
        <f t="shared" si="160"/>
        <v>001390</v>
      </c>
      <c r="F10286" t="s">
        <v>27246</v>
      </c>
      <c r="G10286" t="s">
        <v>27247</v>
      </c>
      <c r="H10286" t="s">
        <v>27248</v>
      </c>
      <c r="I10286" t="s">
        <v>47209</v>
      </c>
      <c r="J10286" t="s">
        <v>19472</v>
      </c>
      <c r="L10286" t="s">
        <v>27250</v>
      </c>
      <c r="M10286" t="s">
        <v>27251</v>
      </c>
      <c r="N10286" t="s">
        <v>27252</v>
      </c>
      <c r="Q10286" s="1">
        <v>44538</v>
      </c>
      <c r="R10286" t="s">
        <v>27253</v>
      </c>
      <c r="S10286" t="s">
        <v>27254</v>
      </c>
      <c r="T10286" t="s">
        <v>35879</v>
      </c>
    </row>
    <row r="10287" spans="1:20" x14ac:dyDescent="0.3">
      <c r="A10287" t="str">
        <f>"0611838258100"</f>
        <v>0611838258100</v>
      </c>
      <c r="B10287" t="str">
        <f>"LK1346"</f>
        <v>LK1346</v>
      </c>
      <c r="C10287" t="s">
        <v>47210</v>
      </c>
      <c r="D10287" t="s">
        <v>27245</v>
      </c>
      <c r="E10287" t="str">
        <f t="shared" si="160"/>
        <v>001390</v>
      </c>
      <c r="F10287" t="s">
        <v>27246</v>
      </c>
      <c r="G10287" t="s">
        <v>27247</v>
      </c>
      <c r="H10287" t="s">
        <v>27248</v>
      </c>
      <c r="I10287" t="s">
        <v>47211</v>
      </c>
      <c r="J10287" t="s">
        <v>19474</v>
      </c>
      <c r="L10287" t="s">
        <v>27250</v>
      </c>
      <c r="M10287" t="s">
        <v>27251</v>
      </c>
      <c r="N10287" t="s">
        <v>27252</v>
      </c>
      <c r="Q10287" s="1">
        <v>44538</v>
      </c>
      <c r="R10287" t="s">
        <v>27253</v>
      </c>
      <c r="S10287" t="s">
        <v>27254</v>
      </c>
      <c r="T10287" t="s">
        <v>27255</v>
      </c>
    </row>
    <row r="10288" spans="1:20" x14ac:dyDescent="0.3">
      <c r="A10288" t="str">
        <f>"0611838259100"</f>
        <v>0611838259100</v>
      </c>
      <c r="B10288" t="str">
        <f>"MB0012"</f>
        <v>MB0012</v>
      </c>
      <c r="C10288" t="s">
        <v>47212</v>
      </c>
      <c r="D10288" t="s">
        <v>27274</v>
      </c>
      <c r="E10288" t="str">
        <f t="shared" si="160"/>
        <v>001390</v>
      </c>
      <c r="F10288" t="s">
        <v>27246</v>
      </c>
      <c r="G10288" t="s">
        <v>27247</v>
      </c>
      <c r="H10288" t="s">
        <v>27248</v>
      </c>
      <c r="I10288" t="s">
        <v>47213</v>
      </c>
      <c r="J10288" t="s">
        <v>19476</v>
      </c>
      <c r="L10288" t="s">
        <v>27250</v>
      </c>
      <c r="M10288" t="s">
        <v>27251</v>
      </c>
      <c r="N10288" t="s">
        <v>27252</v>
      </c>
      <c r="Q10288" s="1">
        <v>44538</v>
      </c>
      <c r="R10288" t="s">
        <v>27253</v>
      </c>
      <c r="S10288" t="s">
        <v>27254</v>
      </c>
      <c r="T10288" t="s">
        <v>27276</v>
      </c>
    </row>
    <row r="10289" spans="1:20" x14ac:dyDescent="0.3">
      <c r="A10289" t="str">
        <f>"0611838261100"</f>
        <v>0611838261100</v>
      </c>
      <c r="B10289" t="str">
        <f>"LK5670"</f>
        <v>LK5670</v>
      </c>
      <c r="C10289" t="s">
        <v>47214</v>
      </c>
      <c r="D10289" t="s">
        <v>27245</v>
      </c>
      <c r="E10289" t="str">
        <f t="shared" si="160"/>
        <v>001390</v>
      </c>
      <c r="F10289" t="s">
        <v>27246</v>
      </c>
      <c r="G10289" t="s">
        <v>27247</v>
      </c>
      <c r="H10289" t="s">
        <v>27248</v>
      </c>
      <c r="I10289" t="s">
        <v>47215</v>
      </c>
      <c r="J10289" t="s">
        <v>19478</v>
      </c>
      <c r="L10289" t="s">
        <v>27250</v>
      </c>
      <c r="M10289" t="s">
        <v>27251</v>
      </c>
      <c r="N10289" t="s">
        <v>27252</v>
      </c>
      <c r="Q10289" s="1">
        <v>44538</v>
      </c>
      <c r="R10289" t="s">
        <v>27253</v>
      </c>
      <c r="S10289" t="s">
        <v>27254</v>
      </c>
      <c r="T10289" t="s">
        <v>27255</v>
      </c>
    </row>
    <row r="10290" spans="1:20" x14ac:dyDescent="0.3">
      <c r="A10290" t="str">
        <f>"0611838262100"</f>
        <v>0611838262100</v>
      </c>
      <c r="B10290" t="str">
        <f>"LK4352"</f>
        <v>LK4352</v>
      </c>
      <c r="C10290" t="s">
        <v>47216</v>
      </c>
      <c r="D10290" t="s">
        <v>27245</v>
      </c>
      <c r="E10290" t="str">
        <f t="shared" si="160"/>
        <v>001390</v>
      </c>
      <c r="F10290" t="s">
        <v>27246</v>
      </c>
      <c r="G10290" t="s">
        <v>27247</v>
      </c>
      <c r="H10290" t="s">
        <v>27248</v>
      </c>
      <c r="I10290" t="s">
        <v>47217</v>
      </c>
      <c r="J10290" t="s">
        <v>19484</v>
      </c>
      <c r="L10290" t="s">
        <v>27250</v>
      </c>
      <c r="M10290" t="s">
        <v>27251</v>
      </c>
      <c r="N10290" t="s">
        <v>27252</v>
      </c>
      <c r="Q10290" s="1">
        <v>44538</v>
      </c>
      <c r="R10290" t="s">
        <v>27253</v>
      </c>
      <c r="S10290" t="s">
        <v>27254</v>
      </c>
      <c r="T10290" t="s">
        <v>27255</v>
      </c>
    </row>
    <row r="10291" spans="1:20" x14ac:dyDescent="0.3">
      <c r="A10291" t="str">
        <f>"0611838264100"</f>
        <v>0611838264100</v>
      </c>
      <c r="B10291" t="str">
        <f>"LK4882"</f>
        <v>LK4882</v>
      </c>
      <c r="C10291" t="s">
        <v>47218</v>
      </c>
      <c r="D10291" t="s">
        <v>27245</v>
      </c>
      <c r="E10291" t="str">
        <f t="shared" si="160"/>
        <v>001390</v>
      </c>
      <c r="F10291" t="s">
        <v>27246</v>
      </c>
      <c r="G10291" t="s">
        <v>27247</v>
      </c>
      <c r="H10291" t="s">
        <v>27248</v>
      </c>
      <c r="I10291" t="s">
        <v>47219</v>
      </c>
      <c r="J10291" t="s">
        <v>19480</v>
      </c>
      <c r="L10291" t="s">
        <v>27250</v>
      </c>
      <c r="M10291" t="s">
        <v>27251</v>
      </c>
      <c r="N10291" t="s">
        <v>27252</v>
      </c>
      <c r="Q10291" s="1">
        <v>44538</v>
      </c>
      <c r="R10291" t="s">
        <v>27253</v>
      </c>
      <c r="S10291" t="s">
        <v>27254</v>
      </c>
      <c r="T10291" t="s">
        <v>27255</v>
      </c>
    </row>
    <row r="10292" spans="1:20" x14ac:dyDescent="0.3">
      <c r="A10292" t="str">
        <f>"0611838265050"</f>
        <v>0611838265050</v>
      </c>
      <c r="B10292" t="str">
        <f>"NM0036"</f>
        <v>NM0036</v>
      </c>
      <c r="C10292" t="s">
        <v>47218</v>
      </c>
      <c r="D10292" t="s">
        <v>35877</v>
      </c>
      <c r="E10292" t="str">
        <f t="shared" si="160"/>
        <v>001390</v>
      </c>
      <c r="F10292" t="s">
        <v>27246</v>
      </c>
      <c r="G10292" t="s">
        <v>27247</v>
      </c>
      <c r="H10292" t="s">
        <v>27248</v>
      </c>
      <c r="I10292" t="s">
        <v>47220</v>
      </c>
      <c r="J10292" t="s">
        <v>19482</v>
      </c>
      <c r="L10292" t="s">
        <v>27250</v>
      </c>
      <c r="M10292" t="s">
        <v>27251</v>
      </c>
      <c r="N10292" t="s">
        <v>27252</v>
      </c>
      <c r="Q10292" s="1">
        <v>44538</v>
      </c>
      <c r="R10292" t="s">
        <v>27253</v>
      </c>
      <c r="S10292" t="s">
        <v>27254</v>
      </c>
      <c r="T10292" t="s">
        <v>35879</v>
      </c>
    </row>
    <row r="10293" spans="1:20" x14ac:dyDescent="0.3">
      <c r="A10293" t="str">
        <f>"0611838267100"</f>
        <v>0611838267100</v>
      </c>
      <c r="B10293" t="str">
        <f>"LK1723"</f>
        <v>LK1723</v>
      </c>
      <c r="C10293" t="s">
        <v>47221</v>
      </c>
      <c r="D10293" t="s">
        <v>27245</v>
      </c>
      <c r="E10293" t="str">
        <f t="shared" si="160"/>
        <v>001390</v>
      </c>
      <c r="F10293" t="s">
        <v>27246</v>
      </c>
      <c r="G10293" t="s">
        <v>27247</v>
      </c>
      <c r="H10293" t="s">
        <v>27248</v>
      </c>
      <c r="I10293" t="s">
        <v>47222</v>
      </c>
      <c r="J10293" t="s">
        <v>19486</v>
      </c>
      <c r="L10293" t="s">
        <v>27250</v>
      </c>
      <c r="M10293" t="s">
        <v>27251</v>
      </c>
      <c r="N10293" t="s">
        <v>27252</v>
      </c>
      <c r="Q10293" s="1">
        <v>44538</v>
      </c>
      <c r="R10293" t="s">
        <v>27253</v>
      </c>
      <c r="S10293" t="s">
        <v>27254</v>
      </c>
      <c r="T10293" t="s">
        <v>27255</v>
      </c>
    </row>
    <row r="10294" spans="1:20" x14ac:dyDescent="0.3">
      <c r="A10294" t="str">
        <f>"0611838268050"</f>
        <v>0611838268050</v>
      </c>
      <c r="B10294" t="str">
        <f>"NM0039"</f>
        <v>NM0039</v>
      </c>
      <c r="C10294" t="s">
        <v>47221</v>
      </c>
      <c r="D10294" t="s">
        <v>35877</v>
      </c>
      <c r="E10294" t="str">
        <f t="shared" si="160"/>
        <v>001390</v>
      </c>
      <c r="F10294" t="s">
        <v>27246</v>
      </c>
      <c r="G10294" t="s">
        <v>27247</v>
      </c>
      <c r="H10294" t="s">
        <v>27248</v>
      </c>
      <c r="I10294" t="s">
        <v>47223</v>
      </c>
      <c r="J10294" t="s">
        <v>19488</v>
      </c>
      <c r="L10294" t="s">
        <v>27250</v>
      </c>
      <c r="M10294" t="s">
        <v>27251</v>
      </c>
      <c r="N10294" t="s">
        <v>27252</v>
      </c>
      <c r="Q10294" s="1">
        <v>44538</v>
      </c>
      <c r="R10294" t="s">
        <v>27253</v>
      </c>
      <c r="S10294" t="s">
        <v>27254</v>
      </c>
      <c r="T10294" t="s">
        <v>35879</v>
      </c>
    </row>
    <row r="10295" spans="1:20" x14ac:dyDescent="0.3">
      <c r="A10295" t="str">
        <f>"0611838269100"</f>
        <v>0611838269100</v>
      </c>
      <c r="B10295" t="str">
        <f>"LK5602"</f>
        <v>LK5602</v>
      </c>
      <c r="C10295" t="s">
        <v>47224</v>
      </c>
      <c r="D10295" t="s">
        <v>27245</v>
      </c>
      <c r="E10295" t="str">
        <f t="shared" si="160"/>
        <v>001390</v>
      </c>
      <c r="F10295" t="s">
        <v>27246</v>
      </c>
      <c r="G10295" t="s">
        <v>27247</v>
      </c>
      <c r="H10295" t="s">
        <v>27248</v>
      </c>
      <c r="I10295" t="s">
        <v>47225</v>
      </c>
      <c r="J10295" t="s">
        <v>19490</v>
      </c>
      <c r="L10295" t="s">
        <v>27250</v>
      </c>
      <c r="M10295" t="s">
        <v>27251</v>
      </c>
      <c r="N10295" t="s">
        <v>27252</v>
      </c>
      <c r="Q10295" s="1">
        <v>44538</v>
      </c>
      <c r="R10295" t="s">
        <v>27253</v>
      </c>
      <c r="S10295" t="s">
        <v>27254</v>
      </c>
      <c r="T10295" t="s">
        <v>27255</v>
      </c>
    </row>
    <row r="10296" spans="1:20" x14ac:dyDescent="0.3">
      <c r="A10296" t="str">
        <f>"0611838270100"</f>
        <v>0611838270100</v>
      </c>
      <c r="B10296" t="str">
        <f>"LK5603"</f>
        <v>LK5603</v>
      </c>
      <c r="C10296" t="s">
        <v>47226</v>
      </c>
      <c r="D10296" t="s">
        <v>27245</v>
      </c>
      <c r="E10296" t="str">
        <f t="shared" si="160"/>
        <v>001390</v>
      </c>
      <c r="F10296" t="s">
        <v>27246</v>
      </c>
      <c r="G10296" t="s">
        <v>27247</v>
      </c>
      <c r="H10296" t="s">
        <v>27248</v>
      </c>
      <c r="I10296" t="s">
        <v>47227</v>
      </c>
      <c r="J10296" t="s">
        <v>19492</v>
      </c>
      <c r="L10296" t="s">
        <v>27250</v>
      </c>
      <c r="M10296" t="s">
        <v>27251</v>
      </c>
      <c r="N10296" t="s">
        <v>27252</v>
      </c>
      <c r="O10296">
        <v>100</v>
      </c>
      <c r="Q10296" s="1">
        <v>44538</v>
      </c>
      <c r="R10296" t="s">
        <v>27253</v>
      </c>
      <c r="S10296" t="s">
        <v>27254</v>
      </c>
      <c r="T10296" t="s">
        <v>27255</v>
      </c>
    </row>
    <row r="10297" spans="1:20" x14ac:dyDescent="0.3">
      <c r="A10297" t="str">
        <f>"0611838271100"</f>
        <v>0611838271100</v>
      </c>
      <c r="B10297" t="str">
        <f>"LK5604"</f>
        <v>LK5604</v>
      </c>
      <c r="C10297" t="s">
        <v>47228</v>
      </c>
      <c r="D10297" t="s">
        <v>27245</v>
      </c>
      <c r="E10297" t="str">
        <f t="shared" si="160"/>
        <v>001390</v>
      </c>
      <c r="F10297" t="s">
        <v>27246</v>
      </c>
      <c r="G10297" t="s">
        <v>27247</v>
      </c>
      <c r="H10297" t="s">
        <v>27248</v>
      </c>
      <c r="I10297" t="s">
        <v>47229</v>
      </c>
      <c r="J10297" t="s">
        <v>19494</v>
      </c>
      <c r="L10297" t="s">
        <v>27250</v>
      </c>
      <c r="M10297" t="s">
        <v>27251</v>
      </c>
      <c r="N10297" t="s">
        <v>27252</v>
      </c>
      <c r="Q10297" s="1">
        <v>44538</v>
      </c>
      <c r="R10297" t="s">
        <v>27253</v>
      </c>
      <c r="S10297" t="s">
        <v>27254</v>
      </c>
      <c r="T10297" t="s">
        <v>27255</v>
      </c>
    </row>
    <row r="10298" spans="1:20" x14ac:dyDescent="0.3">
      <c r="A10298" t="str">
        <f>"0611838272050"</f>
        <v>0611838272050</v>
      </c>
      <c r="B10298" t="str">
        <f>"NM0073"</f>
        <v>NM0073</v>
      </c>
      <c r="C10298" t="s">
        <v>47228</v>
      </c>
      <c r="D10298" t="s">
        <v>35877</v>
      </c>
      <c r="E10298" t="str">
        <f t="shared" si="160"/>
        <v>001390</v>
      </c>
      <c r="F10298" t="s">
        <v>27246</v>
      </c>
      <c r="G10298" t="s">
        <v>27247</v>
      </c>
      <c r="H10298" t="s">
        <v>27248</v>
      </c>
      <c r="I10298" t="s">
        <v>47230</v>
      </c>
      <c r="J10298" t="s">
        <v>19496</v>
      </c>
      <c r="L10298" t="s">
        <v>27250</v>
      </c>
      <c r="M10298" t="s">
        <v>27251</v>
      </c>
      <c r="N10298" t="s">
        <v>27252</v>
      </c>
      <c r="Q10298" s="1">
        <v>44538</v>
      </c>
      <c r="R10298" t="s">
        <v>27253</v>
      </c>
      <c r="S10298" t="s">
        <v>27254</v>
      </c>
      <c r="T10298" t="s">
        <v>35879</v>
      </c>
    </row>
    <row r="10299" spans="1:20" x14ac:dyDescent="0.3">
      <c r="A10299" t="str">
        <f>"0611838273100"</f>
        <v>0611838273100</v>
      </c>
      <c r="B10299" t="str">
        <f>"LK4353"</f>
        <v>LK4353</v>
      </c>
      <c r="C10299" t="s">
        <v>47231</v>
      </c>
      <c r="D10299" t="s">
        <v>27245</v>
      </c>
      <c r="E10299" t="str">
        <f t="shared" si="160"/>
        <v>001390</v>
      </c>
      <c r="F10299" t="s">
        <v>27246</v>
      </c>
      <c r="G10299" t="s">
        <v>27247</v>
      </c>
      <c r="H10299" t="s">
        <v>27248</v>
      </c>
      <c r="I10299" t="s">
        <v>47232</v>
      </c>
      <c r="J10299" t="s">
        <v>19498</v>
      </c>
      <c r="L10299" t="s">
        <v>27250</v>
      </c>
      <c r="M10299" t="s">
        <v>27251</v>
      </c>
      <c r="N10299" t="s">
        <v>27252</v>
      </c>
      <c r="Q10299" s="1">
        <v>44538</v>
      </c>
      <c r="R10299" t="s">
        <v>27253</v>
      </c>
      <c r="S10299" t="s">
        <v>27254</v>
      </c>
      <c r="T10299" t="s">
        <v>27255</v>
      </c>
    </row>
    <row r="10300" spans="1:20" x14ac:dyDescent="0.3">
      <c r="A10300" t="str">
        <f>"0611838274050"</f>
        <v>0611838274050</v>
      </c>
      <c r="B10300" t="str">
        <f>"NM0041"</f>
        <v>NM0041</v>
      </c>
      <c r="C10300" t="s">
        <v>47231</v>
      </c>
      <c r="D10300" t="s">
        <v>35877</v>
      </c>
      <c r="E10300" t="str">
        <f t="shared" si="160"/>
        <v>001390</v>
      </c>
      <c r="F10300" t="s">
        <v>27246</v>
      </c>
      <c r="G10300" t="s">
        <v>27247</v>
      </c>
      <c r="H10300" t="s">
        <v>27248</v>
      </c>
      <c r="I10300" t="s">
        <v>47233</v>
      </c>
      <c r="J10300" t="s">
        <v>19500</v>
      </c>
      <c r="L10300" t="s">
        <v>27250</v>
      </c>
      <c r="M10300" t="s">
        <v>27251</v>
      </c>
      <c r="N10300" t="s">
        <v>27252</v>
      </c>
      <c r="Q10300" s="1">
        <v>44538</v>
      </c>
      <c r="R10300" t="s">
        <v>27253</v>
      </c>
      <c r="S10300" t="s">
        <v>27254</v>
      </c>
      <c r="T10300" t="s">
        <v>35879</v>
      </c>
    </row>
    <row r="10301" spans="1:20" x14ac:dyDescent="0.3">
      <c r="A10301" t="str">
        <f>"0611838275100"</f>
        <v>0611838275100</v>
      </c>
      <c r="B10301" t="str">
        <f>"LK1082"</f>
        <v>LK1082</v>
      </c>
      <c r="C10301" t="s">
        <v>47234</v>
      </c>
      <c r="D10301" t="s">
        <v>27245</v>
      </c>
      <c r="E10301" t="str">
        <f t="shared" si="160"/>
        <v>001390</v>
      </c>
      <c r="F10301" t="s">
        <v>27246</v>
      </c>
      <c r="G10301" t="s">
        <v>27247</v>
      </c>
      <c r="H10301" t="s">
        <v>27248</v>
      </c>
      <c r="I10301" t="s">
        <v>47235</v>
      </c>
      <c r="J10301" t="s">
        <v>19502</v>
      </c>
      <c r="L10301" t="s">
        <v>27250</v>
      </c>
      <c r="M10301" t="s">
        <v>27251</v>
      </c>
      <c r="N10301" t="s">
        <v>27252</v>
      </c>
      <c r="Q10301" s="1">
        <v>44538</v>
      </c>
      <c r="R10301" t="s">
        <v>27253</v>
      </c>
      <c r="S10301" t="s">
        <v>27254</v>
      </c>
      <c r="T10301" t="s">
        <v>27255</v>
      </c>
    </row>
    <row r="10302" spans="1:20" x14ac:dyDescent="0.3">
      <c r="A10302" t="str">
        <f>"0611838276025"</f>
        <v>0611838276025</v>
      </c>
      <c r="B10302" t="str">
        <f>"MC1615"</f>
        <v>MC1615</v>
      </c>
      <c r="C10302" t="s">
        <v>47234</v>
      </c>
      <c r="D10302" t="s">
        <v>27267</v>
      </c>
      <c r="E10302" t="str">
        <f t="shared" si="160"/>
        <v>001390</v>
      </c>
      <c r="F10302" t="s">
        <v>27246</v>
      </c>
      <c r="G10302" t="s">
        <v>27247</v>
      </c>
      <c r="H10302" t="s">
        <v>27248</v>
      </c>
      <c r="I10302" t="s">
        <v>47236</v>
      </c>
      <c r="J10302" t="s">
        <v>19504</v>
      </c>
      <c r="L10302" t="s">
        <v>27250</v>
      </c>
      <c r="M10302" t="s">
        <v>27251</v>
      </c>
      <c r="N10302" t="s">
        <v>27252</v>
      </c>
      <c r="Q10302" s="1">
        <v>44538</v>
      </c>
      <c r="R10302" t="s">
        <v>27253</v>
      </c>
      <c r="S10302" t="s">
        <v>27254</v>
      </c>
      <c r="T10302" t="s">
        <v>27269</v>
      </c>
    </row>
    <row r="10303" spans="1:20" x14ac:dyDescent="0.3">
      <c r="A10303" t="str">
        <f>"0611838277050"</f>
        <v>0611838277050</v>
      </c>
      <c r="B10303" t="str">
        <f>"NM0042"</f>
        <v>NM0042</v>
      </c>
      <c r="C10303" t="s">
        <v>47234</v>
      </c>
      <c r="D10303" t="s">
        <v>35877</v>
      </c>
      <c r="E10303" t="str">
        <f t="shared" si="160"/>
        <v>001390</v>
      </c>
      <c r="F10303" t="s">
        <v>27246</v>
      </c>
      <c r="G10303" t="s">
        <v>27247</v>
      </c>
      <c r="H10303" t="s">
        <v>27248</v>
      </c>
      <c r="I10303" t="s">
        <v>47237</v>
      </c>
      <c r="J10303" t="s">
        <v>19506</v>
      </c>
      <c r="L10303" t="s">
        <v>27250</v>
      </c>
      <c r="M10303" t="s">
        <v>27251</v>
      </c>
      <c r="N10303" t="s">
        <v>27252</v>
      </c>
      <c r="Q10303" s="1">
        <v>44538</v>
      </c>
      <c r="R10303" t="s">
        <v>27253</v>
      </c>
      <c r="S10303" t="s">
        <v>27254</v>
      </c>
      <c r="T10303" t="s">
        <v>35879</v>
      </c>
    </row>
    <row r="10304" spans="1:20" x14ac:dyDescent="0.3">
      <c r="A10304" t="str">
        <f>"0611838278100"</f>
        <v>0611838278100</v>
      </c>
      <c r="B10304" t="str">
        <f>"LK5675"</f>
        <v>LK5675</v>
      </c>
      <c r="C10304" t="s">
        <v>47238</v>
      </c>
      <c r="D10304" t="s">
        <v>27245</v>
      </c>
      <c r="E10304" t="str">
        <f t="shared" si="160"/>
        <v>001390</v>
      </c>
      <c r="F10304" t="s">
        <v>27246</v>
      </c>
      <c r="G10304" t="s">
        <v>27247</v>
      </c>
      <c r="H10304" t="s">
        <v>27248</v>
      </c>
      <c r="I10304" t="s">
        <v>47239</v>
      </c>
      <c r="J10304" t="s">
        <v>19508</v>
      </c>
      <c r="L10304" t="s">
        <v>27250</v>
      </c>
      <c r="M10304" t="s">
        <v>27251</v>
      </c>
      <c r="N10304" t="s">
        <v>27252</v>
      </c>
      <c r="O10304">
        <v>100</v>
      </c>
      <c r="Q10304" s="1">
        <v>44538</v>
      </c>
      <c r="R10304" t="s">
        <v>27253</v>
      </c>
      <c r="S10304" t="s">
        <v>27254</v>
      </c>
      <c r="T10304" t="s">
        <v>27255</v>
      </c>
    </row>
    <row r="10305" spans="1:20" x14ac:dyDescent="0.3">
      <c r="A10305" t="str">
        <f>"0611838279050"</f>
        <v>0611838279050</v>
      </c>
      <c r="B10305" t="str">
        <f>"NM0074"</f>
        <v>NM0074</v>
      </c>
      <c r="C10305" t="s">
        <v>47238</v>
      </c>
      <c r="D10305" t="s">
        <v>35877</v>
      </c>
      <c r="E10305" t="str">
        <f t="shared" si="160"/>
        <v>001390</v>
      </c>
      <c r="F10305" t="s">
        <v>27246</v>
      </c>
      <c r="G10305" t="s">
        <v>27247</v>
      </c>
      <c r="H10305" t="s">
        <v>27248</v>
      </c>
      <c r="I10305" t="s">
        <v>47240</v>
      </c>
      <c r="J10305" t="s">
        <v>19510</v>
      </c>
      <c r="L10305" t="s">
        <v>27250</v>
      </c>
      <c r="M10305" t="s">
        <v>27251</v>
      </c>
      <c r="N10305" t="s">
        <v>27252</v>
      </c>
      <c r="Q10305" s="1">
        <v>44538</v>
      </c>
      <c r="R10305" t="s">
        <v>27253</v>
      </c>
      <c r="S10305" t="s">
        <v>27254</v>
      </c>
      <c r="T10305" t="s">
        <v>35879</v>
      </c>
    </row>
    <row r="10306" spans="1:20" x14ac:dyDescent="0.3">
      <c r="A10306" t="str">
        <f>"0611838280100"</f>
        <v>0611838280100</v>
      </c>
      <c r="B10306" t="str">
        <f>"LK0339"</f>
        <v>LK0339</v>
      </c>
      <c r="C10306" t="s">
        <v>47241</v>
      </c>
      <c r="D10306" t="s">
        <v>27245</v>
      </c>
      <c r="E10306" t="str">
        <f t="shared" ref="E10306:E10369" si="161">"001390"</f>
        <v>001390</v>
      </c>
      <c r="F10306" t="s">
        <v>27246</v>
      </c>
      <c r="G10306" t="s">
        <v>27247</v>
      </c>
      <c r="H10306" t="s">
        <v>27248</v>
      </c>
      <c r="I10306" t="s">
        <v>47242</v>
      </c>
      <c r="J10306" t="s">
        <v>20622</v>
      </c>
      <c r="L10306" t="s">
        <v>27250</v>
      </c>
      <c r="M10306" t="s">
        <v>27251</v>
      </c>
      <c r="N10306" t="s">
        <v>27252</v>
      </c>
      <c r="Q10306" s="1">
        <v>44538</v>
      </c>
      <c r="R10306" t="s">
        <v>27253</v>
      </c>
      <c r="S10306" t="s">
        <v>27254</v>
      </c>
      <c r="T10306" t="s">
        <v>27255</v>
      </c>
    </row>
    <row r="10307" spans="1:20" x14ac:dyDescent="0.3">
      <c r="A10307" t="str">
        <f>"0611838282050"</f>
        <v>0611838282050</v>
      </c>
      <c r="B10307" t="str">
        <f>"NM0009"</f>
        <v>NM0009</v>
      </c>
      <c r="C10307" t="s">
        <v>47241</v>
      </c>
      <c r="D10307" t="s">
        <v>35877</v>
      </c>
      <c r="E10307" t="str">
        <f t="shared" si="161"/>
        <v>001390</v>
      </c>
      <c r="F10307" t="s">
        <v>27246</v>
      </c>
      <c r="G10307" t="s">
        <v>27247</v>
      </c>
      <c r="H10307" t="s">
        <v>27248</v>
      </c>
      <c r="I10307" t="s">
        <v>47243</v>
      </c>
      <c r="J10307" t="s">
        <v>20624</v>
      </c>
      <c r="L10307" t="s">
        <v>27250</v>
      </c>
      <c r="M10307" t="s">
        <v>27251</v>
      </c>
      <c r="N10307" t="s">
        <v>27252</v>
      </c>
      <c r="Q10307" s="1">
        <v>44538</v>
      </c>
      <c r="R10307" t="s">
        <v>27253</v>
      </c>
      <c r="S10307" t="s">
        <v>27254</v>
      </c>
      <c r="T10307" t="s">
        <v>35879</v>
      </c>
    </row>
    <row r="10308" spans="1:20" x14ac:dyDescent="0.3">
      <c r="A10308" t="str">
        <f>"0611838283025"</f>
        <v>0611838283025</v>
      </c>
      <c r="B10308" t="str">
        <f>"MC3608"</f>
        <v>MC3608</v>
      </c>
      <c r="C10308" t="s">
        <v>47244</v>
      </c>
      <c r="D10308" t="s">
        <v>27267</v>
      </c>
      <c r="E10308" t="str">
        <f t="shared" si="161"/>
        <v>001390</v>
      </c>
      <c r="F10308" t="s">
        <v>27246</v>
      </c>
      <c r="G10308" t="s">
        <v>27247</v>
      </c>
      <c r="H10308" t="s">
        <v>27248</v>
      </c>
      <c r="I10308" t="s">
        <v>47245</v>
      </c>
      <c r="J10308" t="s">
        <v>20626</v>
      </c>
      <c r="L10308" t="s">
        <v>27250</v>
      </c>
      <c r="M10308" t="s">
        <v>27251</v>
      </c>
      <c r="N10308" t="s">
        <v>27252</v>
      </c>
      <c r="Q10308" s="1">
        <v>44538</v>
      </c>
      <c r="R10308" t="s">
        <v>27253</v>
      </c>
      <c r="S10308" t="s">
        <v>27254</v>
      </c>
      <c r="T10308" t="s">
        <v>27269</v>
      </c>
    </row>
    <row r="10309" spans="1:20" x14ac:dyDescent="0.3">
      <c r="A10309" t="str">
        <f>"0611838284100"</f>
        <v>0611838284100</v>
      </c>
      <c r="B10309" t="str">
        <f>"LB6409"</f>
        <v>LB6409</v>
      </c>
      <c r="C10309" t="s">
        <v>47246</v>
      </c>
      <c r="D10309" t="s">
        <v>27245</v>
      </c>
      <c r="E10309" t="str">
        <f t="shared" si="161"/>
        <v>001390</v>
      </c>
      <c r="F10309" t="s">
        <v>27246</v>
      </c>
      <c r="G10309" t="s">
        <v>27247</v>
      </c>
      <c r="H10309" t="s">
        <v>27248</v>
      </c>
      <c r="I10309" t="s">
        <v>47247</v>
      </c>
      <c r="J10309" t="s">
        <v>20628</v>
      </c>
      <c r="L10309" t="s">
        <v>27250</v>
      </c>
      <c r="M10309" t="s">
        <v>27251</v>
      </c>
      <c r="N10309" t="s">
        <v>27252</v>
      </c>
      <c r="Q10309" s="1">
        <v>44538</v>
      </c>
      <c r="R10309" t="s">
        <v>27253</v>
      </c>
      <c r="S10309" t="s">
        <v>27254</v>
      </c>
      <c r="T10309" t="s">
        <v>27255</v>
      </c>
    </row>
    <row r="10310" spans="1:20" x14ac:dyDescent="0.3">
      <c r="A10310" t="str">
        <f>"0611838286050"</f>
        <v>0611838286050</v>
      </c>
      <c r="B10310" t="str">
        <f>"NM0010"</f>
        <v>NM0010</v>
      </c>
      <c r="C10310" t="s">
        <v>47246</v>
      </c>
      <c r="D10310" t="s">
        <v>35877</v>
      </c>
      <c r="E10310" t="str">
        <f t="shared" si="161"/>
        <v>001390</v>
      </c>
      <c r="F10310" t="s">
        <v>27246</v>
      </c>
      <c r="G10310" t="s">
        <v>27247</v>
      </c>
      <c r="H10310" t="s">
        <v>27248</v>
      </c>
      <c r="I10310" t="s">
        <v>47248</v>
      </c>
      <c r="J10310" t="s">
        <v>20630</v>
      </c>
      <c r="L10310" t="s">
        <v>27250</v>
      </c>
      <c r="M10310" t="s">
        <v>27251</v>
      </c>
      <c r="N10310" t="s">
        <v>27252</v>
      </c>
      <c r="Q10310" s="1">
        <v>44538</v>
      </c>
      <c r="R10310" t="s">
        <v>27253</v>
      </c>
      <c r="S10310" t="s">
        <v>27254</v>
      </c>
      <c r="T10310" t="s">
        <v>35879</v>
      </c>
    </row>
    <row r="10311" spans="1:20" x14ac:dyDescent="0.3">
      <c r="A10311" t="str">
        <f>"0611838287100"</f>
        <v>0611838287100</v>
      </c>
      <c r="B10311" t="str">
        <f>"LB6372"</f>
        <v>LB6372</v>
      </c>
      <c r="C10311" t="s">
        <v>47249</v>
      </c>
      <c r="D10311" t="s">
        <v>27245</v>
      </c>
      <c r="E10311" t="str">
        <f t="shared" si="161"/>
        <v>001390</v>
      </c>
      <c r="F10311" t="s">
        <v>27246</v>
      </c>
      <c r="G10311" t="s">
        <v>27247</v>
      </c>
      <c r="H10311" t="s">
        <v>27248</v>
      </c>
      <c r="I10311" t="s">
        <v>47250</v>
      </c>
      <c r="J10311" t="s">
        <v>20632</v>
      </c>
      <c r="L10311" t="s">
        <v>27250</v>
      </c>
      <c r="M10311" t="s">
        <v>27251</v>
      </c>
      <c r="N10311" t="s">
        <v>27252</v>
      </c>
      <c r="Q10311" s="1">
        <v>44538</v>
      </c>
      <c r="R10311" t="s">
        <v>27253</v>
      </c>
      <c r="S10311" t="s">
        <v>27254</v>
      </c>
      <c r="T10311" t="s">
        <v>27255</v>
      </c>
    </row>
    <row r="10312" spans="1:20" x14ac:dyDescent="0.3">
      <c r="A10312" t="str">
        <f>"0611838288025"</f>
        <v>0611838288025</v>
      </c>
      <c r="B10312" t="str">
        <f>"MC0755"</f>
        <v>MC0755</v>
      </c>
      <c r="C10312" t="s">
        <v>47249</v>
      </c>
      <c r="D10312" t="s">
        <v>27267</v>
      </c>
      <c r="E10312" t="str">
        <f t="shared" si="161"/>
        <v>001390</v>
      </c>
      <c r="F10312" t="s">
        <v>27246</v>
      </c>
      <c r="G10312" t="s">
        <v>27247</v>
      </c>
      <c r="H10312" t="s">
        <v>27248</v>
      </c>
      <c r="I10312" t="s">
        <v>47251</v>
      </c>
      <c r="J10312" t="s">
        <v>20634</v>
      </c>
      <c r="L10312" t="s">
        <v>27250</v>
      </c>
      <c r="M10312" t="s">
        <v>27251</v>
      </c>
      <c r="N10312" t="s">
        <v>27252</v>
      </c>
      <c r="Q10312" s="1">
        <v>44538</v>
      </c>
      <c r="R10312" t="s">
        <v>27253</v>
      </c>
      <c r="S10312" t="s">
        <v>27254</v>
      </c>
      <c r="T10312" t="s">
        <v>27269</v>
      </c>
    </row>
    <row r="10313" spans="1:20" x14ac:dyDescent="0.3">
      <c r="A10313" t="str">
        <f>"0611838289050"</f>
        <v>0611838289050</v>
      </c>
      <c r="B10313" t="str">
        <f>"NM0011"</f>
        <v>NM0011</v>
      </c>
      <c r="C10313" t="s">
        <v>47249</v>
      </c>
      <c r="D10313" t="s">
        <v>35877</v>
      </c>
      <c r="E10313" t="str">
        <f t="shared" si="161"/>
        <v>001390</v>
      </c>
      <c r="F10313" t="s">
        <v>27246</v>
      </c>
      <c r="G10313" t="s">
        <v>27247</v>
      </c>
      <c r="H10313" t="s">
        <v>27248</v>
      </c>
      <c r="I10313" t="s">
        <v>47252</v>
      </c>
      <c r="J10313" t="s">
        <v>20636</v>
      </c>
      <c r="L10313" t="s">
        <v>27250</v>
      </c>
      <c r="M10313" t="s">
        <v>27251</v>
      </c>
      <c r="N10313" t="s">
        <v>27252</v>
      </c>
      <c r="Q10313" s="1">
        <v>44538</v>
      </c>
      <c r="R10313" t="s">
        <v>27253</v>
      </c>
      <c r="S10313" t="s">
        <v>27254</v>
      </c>
      <c r="T10313" t="s">
        <v>35879</v>
      </c>
    </row>
    <row r="10314" spans="1:20" x14ac:dyDescent="0.3">
      <c r="A10314" t="str">
        <f>"0611838290100"</f>
        <v>0611838290100</v>
      </c>
      <c r="B10314" t="str">
        <f>"LK4568"</f>
        <v>LK4568</v>
      </c>
      <c r="C10314" t="s">
        <v>47253</v>
      </c>
      <c r="D10314" t="s">
        <v>27245</v>
      </c>
      <c r="E10314" t="str">
        <f t="shared" si="161"/>
        <v>001390</v>
      </c>
      <c r="F10314" t="s">
        <v>27246</v>
      </c>
      <c r="G10314" t="s">
        <v>27247</v>
      </c>
      <c r="H10314" t="s">
        <v>27248</v>
      </c>
      <c r="I10314" t="s">
        <v>47254</v>
      </c>
      <c r="J10314" t="s">
        <v>20638</v>
      </c>
      <c r="L10314" t="s">
        <v>27250</v>
      </c>
      <c r="M10314" t="s">
        <v>27251</v>
      </c>
      <c r="N10314" t="s">
        <v>27252</v>
      </c>
      <c r="O10314">
        <v>100</v>
      </c>
      <c r="Q10314" s="1">
        <v>44538</v>
      </c>
      <c r="R10314" t="s">
        <v>27253</v>
      </c>
      <c r="S10314" t="s">
        <v>27254</v>
      </c>
      <c r="T10314" t="s">
        <v>27255</v>
      </c>
    </row>
    <row r="10315" spans="1:20" x14ac:dyDescent="0.3">
      <c r="A10315" t="str">
        <f>"0611838291050"</f>
        <v>0611838291050</v>
      </c>
      <c r="B10315" t="str">
        <f>"NM0012"</f>
        <v>NM0012</v>
      </c>
      <c r="C10315" t="s">
        <v>47253</v>
      </c>
      <c r="D10315" t="s">
        <v>35877</v>
      </c>
      <c r="E10315" t="str">
        <f t="shared" si="161"/>
        <v>001390</v>
      </c>
      <c r="F10315" t="s">
        <v>27246</v>
      </c>
      <c r="G10315" t="s">
        <v>27247</v>
      </c>
      <c r="H10315" t="s">
        <v>27248</v>
      </c>
      <c r="I10315" t="s">
        <v>47255</v>
      </c>
      <c r="J10315" t="s">
        <v>20640</v>
      </c>
      <c r="L10315" t="s">
        <v>27250</v>
      </c>
      <c r="M10315" t="s">
        <v>27251</v>
      </c>
      <c r="N10315" t="s">
        <v>27252</v>
      </c>
      <c r="Q10315" s="1">
        <v>44538</v>
      </c>
      <c r="R10315" t="s">
        <v>27253</v>
      </c>
      <c r="S10315" t="s">
        <v>27254</v>
      </c>
      <c r="T10315" t="s">
        <v>35879</v>
      </c>
    </row>
    <row r="10316" spans="1:20" x14ac:dyDescent="0.3">
      <c r="A10316" t="str">
        <f>"0611838292100"</f>
        <v>0611838292100</v>
      </c>
      <c r="B10316" t="str">
        <f>"MB6151"</f>
        <v>MB6151</v>
      </c>
      <c r="C10316" t="s">
        <v>47256</v>
      </c>
      <c r="D10316" t="s">
        <v>27274</v>
      </c>
      <c r="E10316" t="str">
        <f t="shared" si="161"/>
        <v>001390</v>
      </c>
      <c r="F10316" t="s">
        <v>27246</v>
      </c>
      <c r="G10316" t="s">
        <v>27247</v>
      </c>
      <c r="H10316" t="s">
        <v>27248</v>
      </c>
      <c r="I10316" t="s">
        <v>47257</v>
      </c>
      <c r="J10316" t="s">
        <v>20642</v>
      </c>
      <c r="L10316" t="s">
        <v>27250</v>
      </c>
      <c r="M10316" t="s">
        <v>27251</v>
      </c>
      <c r="N10316" t="s">
        <v>27252</v>
      </c>
      <c r="Q10316" s="1">
        <v>44538</v>
      </c>
      <c r="R10316" t="s">
        <v>27253</v>
      </c>
      <c r="S10316" t="s">
        <v>27254</v>
      </c>
      <c r="T10316" t="s">
        <v>27276</v>
      </c>
    </row>
    <row r="10317" spans="1:20" x14ac:dyDescent="0.3">
      <c r="A10317" t="str">
        <f>"0611838293100"</f>
        <v>0611838293100</v>
      </c>
      <c r="B10317" t="str">
        <f>"LB7671"</f>
        <v>LB7671</v>
      </c>
      <c r="C10317" t="s">
        <v>47256</v>
      </c>
      <c r="D10317" t="s">
        <v>27245</v>
      </c>
      <c r="E10317" t="str">
        <f t="shared" si="161"/>
        <v>001390</v>
      </c>
      <c r="F10317" t="s">
        <v>27246</v>
      </c>
      <c r="G10317" t="s">
        <v>27247</v>
      </c>
      <c r="H10317" t="s">
        <v>27248</v>
      </c>
      <c r="I10317" t="s">
        <v>47258</v>
      </c>
      <c r="J10317" t="s">
        <v>20644</v>
      </c>
      <c r="L10317" t="s">
        <v>27250</v>
      </c>
      <c r="M10317" t="s">
        <v>27251</v>
      </c>
      <c r="N10317" t="s">
        <v>27252</v>
      </c>
      <c r="Q10317" s="1">
        <v>44538</v>
      </c>
      <c r="R10317" t="s">
        <v>27253</v>
      </c>
      <c r="S10317" t="s">
        <v>27254</v>
      </c>
      <c r="T10317" t="s">
        <v>27255</v>
      </c>
    </row>
    <row r="10318" spans="1:20" x14ac:dyDescent="0.3">
      <c r="A10318" t="str">
        <f>"0611838294025"</f>
        <v>0611838294025</v>
      </c>
      <c r="B10318" t="str">
        <f>"MC0754"</f>
        <v>MC0754</v>
      </c>
      <c r="C10318" t="s">
        <v>47256</v>
      </c>
      <c r="D10318" t="s">
        <v>27267</v>
      </c>
      <c r="E10318" t="str">
        <f t="shared" si="161"/>
        <v>001390</v>
      </c>
      <c r="F10318" t="s">
        <v>27246</v>
      </c>
      <c r="G10318" t="s">
        <v>27247</v>
      </c>
      <c r="H10318" t="s">
        <v>27248</v>
      </c>
      <c r="I10318" t="s">
        <v>47259</v>
      </c>
      <c r="J10318" t="s">
        <v>20646</v>
      </c>
      <c r="L10318" t="s">
        <v>27250</v>
      </c>
      <c r="M10318" t="s">
        <v>27251</v>
      </c>
      <c r="N10318" t="s">
        <v>27252</v>
      </c>
      <c r="Q10318" s="1">
        <v>44538</v>
      </c>
      <c r="R10318" t="s">
        <v>27253</v>
      </c>
      <c r="S10318" t="s">
        <v>27254</v>
      </c>
      <c r="T10318" t="s">
        <v>27269</v>
      </c>
    </row>
    <row r="10319" spans="1:20" x14ac:dyDescent="0.3">
      <c r="A10319" t="str">
        <f>"0611838295050"</f>
        <v>0611838295050</v>
      </c>
      <c r="B10319" t="str">
        <f>"NM0013"</f>
        <v>NM0013</v>
      </c>
      <c r="C10319" t="s">
        <v>47256</v>
      </c>
      <c r="D10319" t="s">
        <v>35877</v>
      </c>
      <c r="E10319" t="str">
        <f t="shared" si="161"/>
        <v>001390</v>
      </c>
      <c r="F10319" t="s">
        <v>27246</v>
      </c>
      <c r="G10319" t="s">
        <v>27247</v>
      </c>
      <c r="H10319" t="s">
        <v>27248</v>
      </c>
      <c r="I10319" t="s">
        <v>47260</v>
      </c>
      <c r="J10319" t="s">
        <v>20648</v>
      </c>
      <c r="L10319" t="s">
        <v>27250</v>
      </c>
      <c r="M10319" t="s">
        <v>27251</v>
      </c>
      <c r="N10319" t="s">
        <v>27252</v>
      </c>
      <c r="Q10319" s="1">
        <v>44538</v>
      </c>
      <c r="R10319" t="s">
        <v>27253</v>
      </c>
      <c r="S10319" t="s">
        <v>27254</v>
      </c>
      <c r="T10319" t="s">
        <v>35879</v>
      </c>
    </row>
    <row r="10320" spans="1:20" x14ac:dyDescent="0.3">
      <c r="A10320" t="str">
        <f>"0611838296100"</f>
        <v>0611838296100</v>
      </c>
      <c r="B10320" t="str">
        <f>"LB6439"</f>
        <v>LB6439</v>
      </c>
      <c r="C10320" t="s">
        <v>47261</v>
      </c>
      <c r="D10320" t="s">
        <v>27245</v>
      </c>
      <c r="E10320" t="str">
        <f t="shared" si="161"/>
        <v>001390</v>
      </c>
      <c r="F10320" t="s">
        <v>27246</v>
      </c>
      <c r="G10320" t="s">
        <v>27247</v>
      </c>
      <c r="H10320" t="s">
        <v>27248</v>
      </c>
      <c r="I10320" t="s">
        <v>47262</v>
      </c>
      <c r="J10320" t="s">
        <v>20650</v>
      </c>
      <c r="L10320" t="s">
        <v>27250</v>
      </c>
      <c r="M10320" t="s">
        <v>27251</v>
      </c>
      <c r="N10320" t="s">
        <v>27252</v>
      </c>
      <c r="Q10320" s="1">
        <v>44538</v>
      </c>
      <c r="R10320" t="s">
        <v>27253</v>
      </c>
      <c r="S10320" t="s">
        <v>27254</v>
      </c>
      <c r="T10320" t="s">
        <v>27255</v>
      </c>
    </row>
    <row r="10321" spans="1:20" x14ac:dyDescent="0.3">
      <c r="A10321" t="str">
        <f>"0611838299100"</f>
        <v>0611838299100</v>
      </c>
      <c r="B10321" t="str">
        <f>"LK4615"</f>
        <v>LK4615</v>
      </c>
      <c r="C10321" t="s">
        <v>47263</v>
      </c>
      <c r="D10321" t="s">
        <v>27245</v>
      </c>
      <c r="E10321" t="str">
        <f t="shared" si="161"/>
        <v>001390</v>
      </c>
      <c r="F10321" t="s">
        <v>27246</v>
      </c>
      <c r="G10321" t="s">
        <v>27247</v>
      </c>
      <c r="H10321" t="s">
        <v>27248</v>
      </c>
      <c r="I10321" t="s">
        <v>47264</v>
      </c>
      <c r="J10321" t="s">
        <v>20652</v>
      </c>
      <c r="L10321" t="s">
        <v>27250</v>
      </c>
      <c r="M10321" t="s">
        <v>27251</v>
      </c>
      <c r="N10321" t="s">
        <v>27252</v>
      </c>
      <c r="Q10321" s="1">
        <v>44538</v>
      </c>
      <c r="R10321" t="s">
        <v>27253</v>
      </c>
      <c r="S10321" t="s">
        <v>27254</v>
      </c>
      <c r="T10321" t="s">
        <v>27255</v>
      </c>
    </row>
    <row r="10322" spans="1:20" x14ac:dyDescent="0.3">
      <c r="A10322" t="str">
        <f>"0611838300100"</f>
        <v>0611838300100</v>
      </c>
      <c r="B10322" t="str">
        <f>"LK4884"</f>
        <v>LK4884</v>
      </c>
      <c r="C10322" t="s">
        <v>47265</v>
      </c>
      <c r="D10322" t="s">
        <v>27245</v>
      </c>
      <c r="E10322" t="str">
        <f t="shared" si="161"/>
        <v>001390</v>
      </c>
      <c r="F10322" t="s">
        <v>27246</v>
      </c>
      <c r="G10322" t="s">
        <v>27247</v>
      </c>
      <c r="H10322" t="s">
        <v>27248</v>
      </c>
      <c r="I10322" t="s">
        <v>47266</v>
      </c>
      <c r="J10322" t="s">
        <v>20654</v>
      </c>
      <c r="L10322" t="s">
        <v>27250</v>
      </c>
      <c r="M10322" t="s">
        <v>27251</v>
      </c>
      <c r="N10322" t="s">
        <v>27252</v>
      </c>
      <c r="Q10322" s="1">
        <v>44538</v>
      </c>
      <c r="R10322" t="s">
        <v>27253</v>
      </c>
      <c r="S10322" t="s">
        <v>27254</v>
      </c>
      <c r="T10322" t="s">
        <v>27255</v>
      </c>
    </row>
    <row r="10323" spans="1:20" x14ac:dyDescent="0.3">
      <c r="A10323" t="str">
        <f>"0611838301100"</f>
        <v>0611838301100</v>
      </c>
      <c r="B10323" t="str">
        <f>"LK5120"</f>
        <v>LK5120</v>
      </c>
      <c r="C10323" t="s">
        <v>47267</v>
      </c>
      <c r="D10323" t="s">
        <v>27245</v>
      </c>
      <c r="E10323" t="str">
        <f t="shared" si="161"/>
        <v>001390</v>
      </c>
      <c r="F10323" t="s">
        <v>27246</v>
      </c>
      <c r="G10323" t="s">
        <v>27247</v>
      </c>
      <c r="H10323" t="s">
        <v>27248</v>
      </c>
      <c r="I10323" t="s">
        <v>47268</v>
      </c>
      <c r="J10323" t="s">
        <v>20656</v>
      </c>
      <c r="L10323" t="s">
        <v>27250</v>
      </c>
      <c r="M10323" t="s">
        <v>27251</v>
      </c>
      <c r="N10323" t="s">
        <v>27252</v>
      </c>
      <c r="Q10323" s="1">
        <v>44538</v>
      </c>
      <c r="R10323" t="s">
        <v>27253</v>
      </c>
      <c r="S10323" t="s">
        <v>27254</v>
      </c>
      <c r="T10323" t="s">
        <v>27255</v>
      </c>
    </row>
    <row r="10324" spans="1:20" x14ac:dyDescent="0.3">
      <c r="A10324" t="str">
        <f>"0611838303100"</f>
        <v>0611838303100</v>
      </c>
      <c r="B10324" t="str">
        <f>"LK4407"</f>
        <v>LK4407</v>
      </c>
      <c r="C10324" t="s">
        <v>47269</v>
      </c>
      <c r="D10324" t="s">
        <v>27245</v>
      </c>
      <c r="E10324" t="str">
        <f t="shared" si="161"/>
        <v>001390</v>
      </c>
      <c r="F10324" t="s">
        <v>27246</v>
      </c>
      <c r="G10324" t="s">
        <v>27247</v>
      </c>
      <c r="H10324" t="s">
        <v>27248</v>
      </c>
      <c r="I10324" t="s">
        <v>47270</v>
      </c>
      <c r="J10324" t="s">
        <v>20658</v>
      </c>
      <c r="L10324" t="s">
        <v>27250</v>
      </c>
      <c r="M10324" t="s">
        <v>27251</v>
      </c>
      <c r="N10324" t="s">
        <v>27252</v>
      </c>
      <c r="Q10324" s="1">
        <v>44538</v>
      </c>
      <c r="R10324" t="s">
        <v>27253</v>
      </c>
      <c r="S10324" t="s">
        <v>27254</v>
      </c>
      <c r="T10324" t="s">
        <v>27255</v>
      </c>
    </row>
    <row r="10325" spans="1:20" x14ac:dyDescent="0.3">
      <c r="A10325" t="str">
        <f>"0611838305100"</f>
        <v>0611838305100</v>
      </c>
      <c r="B10325" t="str">
        <f>"LK3500"</f>
        <v>LK3500</v>
      </c>
      <c r="C10325" t="s">
        <v>47271</v>
      </c>
      <c r="D10325" t="s">
        <v>27245</v>
      </c>
      <c r="E10325" t="str">
        <f t="shared" si="161"/>
        <v>001390</v>
      </c>
      <c r="F10325" t="s">
        <v>27246</v>
      </c>
      <c r="G10325" t="s">
        <v>27247</v>
      </c>
      <c r="H10325" t="s">
        <v>27248</v>
      </c>
      <c r="I10325" t="s">
        <v>47272</v>
      </c>
      <c r="J10325" t="s">
        <v>20660</v>
      </c>
      <c r="L10325" t="s">
        <v>27250</v>
      </c>
      <c r="M10325" t="s">
        <v>27251</v>
      </c>
      <c r="N10325" t="s">
        <v>27252</v>
      </c>
      <c r="Q10325" s="1">
        <v>44538</v>
      </c>
      <c r="R10325" t="s">
        <v>27253</v>
      </c>
      <c r="S10325" t="s">
        <v>27254</v>
      </c>
      <c r="T10325" t="s">
        <v>27255</v>
      </c>
    </row>
    <row r="10326" spans="1:20" x14ac:dyDescent="0.3">
      <c r="A10326" t="str">
        <f>"0611838306100"</f>
        <v>0611838306100</v>
      </c>
      <c r="B10326" t="str">
        <f>"LK3501"</f>
        <v>LK3501</v>
      </c>
      <c r="C10326" t="s">
        <v>47273</v>
      </c>
      <c r="D10326" t="s">
        <v>27245</v>
      </c>
      <c r="E10326" t="str">
        <f t="shared" si="161"/>
        <v>001390</v>
      </c>
      <c r="F10326" t="s">
        <v>27246</v>
      </c>
      <c r="G10326" t="s">
        <v>27247</v>
      </c>
      <c r="H10326" t="s">
        <v>27248</v>
      </c>
      <c r="I10326" t="s">
        <v>47274</v>
      </c>
      <c r="J10326" t="s">
        <v>20662</v>
      </c>
      <c r="L10326" t="s">
        <v>27250</v>
      </c>
      <c r="M10326" t="s">
        <v>27251</v>
      </c>
      <c r="N10326" t="s">
        <v>27252</v>
      </c>
      <c r="Q10326" s="1">
        <v>44538</v>
      </c>
      <c r="R10326" t="s">
        <v>27253</v>
      </c>
      <c r="S10326" t="s">
        <v>27254</v>
      </c>
      <c r="T10326" t="s">
        <v>27255</v>
      </c>
    </row>
    <row r="10327" spans="1:20" x14ac:dyDescent="0.3">
      <c r="A10327" t="str">
        <f>"0611838307100"</f>
        <v>0611838307100</v>
      </c>
      <c r="B10327" t="str">
        <f>"LK5121"</f>
        <v>LK5121</v>
      </c>
      <c r="C10327" t="s">
        <v>47275</v>
      </c>
      <c r="D10327" t="s">
        <v>27245</v>
      </c>
      <c r="E10327" t="str">
        <f t="shared" si="161"/>
        <v>001390</v>
      </c>
      <c r="F10327" t="s">
        <v>27246</v>
      </c>
      <c r="G10327" t="s">
        <v>27247</v>
      </c>
      <c r="H10327" t="s">
        <v>27248</v>
      </c>
      <c r="I10327" t="s">
        <v>47276</v>
      </c>
      <c r="J10327" t="s">
        <v>20664</v>
      </c>
      <c r="L10327" t="s">
        <v>27250</v>
      </c>
      <c r="M10327" t="s">
        <v>27251</v>
      </c>
      <c r="N10327" t="s">
        <v>27252</v>
      </c>
      <c r="Q10327" s="1">
        <v>44538</v>
      </c>
      <c r="R10327" t="s">
        <v>27253</v>
      </c>
      <c r="S10327" t="s">
        <v>27254</v>
      </c>
      <c r="T10327" t="s">
        <v>27255</v>
      </c>
    </row>
    <row r="10328" spans="1:20" x14ac:dyDescent="0.3">
      <c r="A10328" t="str">
        <f>"0611838308100"</f>
        <v>0611838308100</v>
      </c>
      <c r="B10328" t="str">
        <f>"LK6845"</f>
        <v>LK6845</v>
      </c>
      <c r="C10328" t="s">
        <v>47277</v>
      </c>
      <c r="D10328" t="s">
        <v>27245</v>
      </c>
      <c r="E10328" t="str">
        <f t="shared" si="161"/>
        <v>001390</v>
      </c>
      <c r="F10328" t="s">
        <v>27246</v>
      </c>
      <c r="G10328" t="s">
        <v>27247</v>
      </c>
      <c r="H10328" t="s">
        <v>27248</v>
      </c>
      <c r="I10328" t="s">
        <v>47278</v>
      </c>
      <c r="J10328" t="s">
        <v>20668</v>
      </c>
      <c r="L10328" t="s">
        <v>27250</v>
      </c>
      <c r="M10328" t="s">
        <v>27251</v>
      </c>
      <c r="N10328" t="s">
        <v>27252</v>
      </c>
      <c r="Q10328" s="1">
        <v>44538</v>
      </c>
      <c r="R10328" t="s">
        <v>27253</v>
      </c>
      <c r="S10328" t="s">
        <v>27254</v>
      </c>
      <c r="T10328" t="s">
        <v>27255</v>
      </c>
    </row>
    <row r="10329" spans="1:20" x14ac:dyDescent="0.3">
      <c r="A10329" t="str">
        <f>"0611838309100"</f>
        <v>0611838309100</v>
      </c>
      <c r="B10329" t="str">
        <f>"LK3502"</f>
        <v>LK3502</v>
      </c>
      <c r="C10329" t="s">
        <v>47279</v>
      </c>
      <c r="D10329" t="s">
        <v>27245</v>
      </c>
      <c r="E10329" t="str">
        <f t="shared" si="161"/>
        <v>001390</v>
      </c>
      <c r="F10329" t="s">
        <v>27246</v>
      </c>
      <c r="G10329" t="s">
        <v>27247</v>
      </c>
      <c r="H10329" t="s">
        <v>27248</v>
      </c>
      <c r="I10329" t="s">
        <v>47280</v>
      </c>
      <c r="J10329" t="s">
        <v>20666</v>
      </c>
      <c r="L10329" t="s">
        <v>27250</v>
      </c>
      <c r="M10329" t="s">
        <v>27251</v>
      </c>
      <c r="N10329" t="s">
        <v>27252</v>
      </c>
      <c r="Q10329" s="1">
        <v>44538</v>
      </c>
      <c r="R10329" t="s">
        <v>27253</v>
      </c>
      <c r="S10329" t="s">
        <v>27254</v>
      </c>
      <c r="T10329" t="s">
        <v>27255</v>
      </c>
    </row>
    <row r="10330" spans="1:20" x14ac:dyDescent="0.3">
      <c r="A10330" t="str">
        <f>"0611838310100"</f>
        <v>0611838310100</v>
      </c>
      <c r="B10330" t="str">
        <f>"LK4885"</f>
        <v>LK4885</v>
      </c>
      <c r="C10330" t="s">
        <v>47281</v>
      </c>
      <c r="D10330" t="s">
        <v>27245</v>
      </c>
      <c r="E10330" t="str">
        <f t="shared" si="161"/>
        <v>001390</v>
      </c>
      <c r="F10330" t="s">
        <v>27246</v>
      </c>
      <c r="G10330" t="s">
        <v>27247</v>
      </c>
      <c r="H10330" t="s">
        <v>27248</v>
      </c>
      <c r="I10330" t="s">
        <v>47282</v>
      </c>
      <c r="J10330" t="s">
        <v>20670</v>
      </c>
      <c r="L10330" t="s">
        <v>27250</v>
      </c>
      <c r="M10330" t="s">
        <v>27251</v>
      </c>
      <c r="N10330" t="s">
        <v>27252</v>
      </c>
      <c r="Q10330" s="1">
        <v>44538</v>
      </c>
      <c r="R10330" t="s">
        <v>27253</v>
      </c>
      <c r="S10330" t="s">
        <v>27254</v>
      </c>
      <c r="T10330" t="s">
        <v>27255</v>
      </c>
    </row>
    <row r="10331" spans="1:20" x14ac:dyDescent="0.3">
      <c r="A10331" t="str">
        <f>"0611838312100"</f>
        <v>0611838312100</v>
      </c>
      <c r="B10331" t="str">
        <f>"LK3503"</f>
        <v>LK3503</v>
      </c>
      <c r="C10331" t="s">
        <v>47283</v>
      </c>
      <c r="D10331" t="s">
        <v>27245</v>
      </c>
      <c r="E10331" t="str">
        <f t="shared" si="161"/>
        <v>001390</v>
      </c>
      <c r="F10331" t="s">
        <v>27246</v>
      </c>
      <c r="G10331" t="s">
        <v>27247</v>
      </c>
      <c r="H10331" t="s">
        <v>27248</v>
      </c>
      <c r="I10331" t="s">
        <v>47284</v>
      </c>
      <c r="J10331" t="s">
        <v>20672</v>
      </c>
      <c r="L10331" t="s">
        <v>27250</v>
      </c>
      <c r="M10331" t="s">
        <v>27251</v>
      </c>
      <c r="N10331" t="s">
        <v>27252</v>
      </c>
      <c r="Q10331" s="1">
        <v>44538</v>
      </c>
      <c r="R10331" t="s">
        <v>27253</v>
      </c>
      <c r="S10331" t="s">
        <v>27254</v>
      </c>
      <c r="T10331" t="s">
        <v>27255</v>
      </c>
    </row>
    <row r="10332" spans="1:20" x14ac:dyDescent="0.3">
      <c r="A10332" t="str">
        <f>"0611838314100"</f>
        <v>0611838314100</v>
      </c>
      <c r="B10332" t="str">
        <f>"LK4523"</f>
        <v>LK4523</v>
      </c>
      <c r="C10332" t="s">
        <v>47285</v>
      </c>
      <c r="D10332" t="s">
        <v>27245</v>
      </c>
      <c r="E10332" t="str">
        <f t="shared" si="161"/>
        <v>001390</v>
      </c>
      <c r="F10332" t="s">
        <v>27246</v>
      </c>
      <c r="G10332" t="s">
        <v>27247</v>
      </c>
      <c r="H10332" t="s">
        <v>27248</v>
      </c>
      <c r="I10332" t="s">
        <v>47286</v>
      </c>
      <c r="J10332" t="s">
        <v>20674</v>
      </c>
      <c r="L10332" t="s">
        <v>27250</v>
      </c>
      <c r="M10332" t="s">
        <v>27251</v>
      </c>
      <c r="N10332" t="s">
        <v>27252</v>
      </c>
      <c r="Q10332" s="1">
        <v>44538</v>
      </c>
      <c r="R10332" t="s">
        <v>27253</v>
      </c>
      <c r="S10332" t="s">
        <v>27254</v>
      </c>
      <c r="T10332" t="s">
        <v>27255</v>
      </c>
    </row>
    <row r="10333" spans="1:20" x14ac:dyDescent="0.3">
      <c r="A10333" t="str">
        <f>"0611838315100"</f>
        <v>0611838315100</v>
      </c>
      <c r="B10333" t="str">
        <f>"LK4886"</f>
        <v>LK4886</v>
      </c>
      <c r="C10333" t="s">
        <v>47287</v>
      </c>
      <c r="D10333" t="s">
        <v>27245</v>
      </c>
      <c r="E10333" t="str">
        <f t="shared" si="161"/>
        <v>001390</v>
      </c>
      <c r="F10333" t="s">
        <v>27246</v>
      </c>
      <c r="G10333" t="s">
        <v>27247</v>
      </c>
      <c r="H10333" t="s">
        <v>27248</v>
      </c>
      <c r="I10333" t="s">
        <v>47288</v>
      </c>
      <c r="J10333" t="s">
        <v>20676</v>
      </c>
      <c r="L10333" t="s">
        <v>27250</v>
      </c>
      <c r="M10333" t="s">
        <v>27251</v>
      </c>
      <c r="N10333" t="s">
        <v>27252</v>
      </c>
      <c r="Q10333" s="1">
        <v>44538</v>
      </c>
      <c r="R10333" t="s">
        <v>27253</v>
      </c>
      <c r="S10333" t="s">
        <v>27254</v>
      </c>
      <c r="T10333" t="s">
        <v>27255</v>
      </c>
    </row>
    <row r="10334" spans="1:20" x14ac:dyDescent="0.3">
      <c r="A10334" t="str">
        <f>"0611838316100"</f>
        <v>0611838316100</v>
      </c>
      <c r="B10334" t="str">
        <f>"LK6977"</f>
        <v>LK6977</v>
      </c>
      <c r="C10334" t="s">
        <v>47289</v>
      </c>
      <c r="D10334" t="s">
        <v>27245</v>
      </c>
      <c r="E10334" t="str">
        <f t="shared" si="161"/>
        <v>001390</v>
      </c>
      <c r="F10334" t="s">
        <v>27246</v>
      </c>
      <c r="G10334" t="s">
        <v>27247</v>
      </c>
      <c r="H10334" t="s">
        <v>27248</v>
      </c>
      <c r="I10334" t="s">
        <v>47290</v>
      </c>
      <c r="J10334" t="s">
        <v>20678</v>
      </c>
      <c r="L10334" t="s">
        <v>27250</v>
      </c>
      <c r="M10334" t="s">
        <v>27251</v>
      </c>
      <c r="N10334" t="s">
        <v>27252</v>
      </c>
      <c r="Q10334" s="1">
        <v>44538</v>
      </c>
      <c r="R10334" t="s">
        <v>27253</v>
      </c>
      <c r="S10334" t="s">
        <v>27254</v>
      </c>
      <c r="T10334" t="s">
        <v>27255</v>
      </c>
    </row>
    <row r="10335" spans="1:20" x14ac:dyDescent="0.3">
      <c r="A10335" t="str">
        <f>"0611838317100"</f>
        <v>0611838317100</v>
      </c>
      <c r="B10335" t="str">
        <f>"LK5676"</f>
        <v>LK5676</v>
      </c>
      <c r="C10335" t="s">
        <v>47291</v>
      </c>
      <c r="D10335" t="s">
        <v>27245</v>
      </c>
      <c r="E10335" t="str">
        <f t="shared" si="161"/>
        <v>001390</v>
      </c>
      <c r="F10335" t="s">
        <v>27246</v>
      </c>
      <c r="G10335" t="s">
        <v>27247</v>
      </c>
      <c r="H10335" t="s">
        <v>27248</v>
      </c>
      <c r="I10335" t="s">
        <v>47292</v>
      </c>
      <c r="J10335" t="s">
        <v>20680</v>
      </c>
      <c r="L10335" t="s">
        <v>27250</v>
      </c>
      <c r="M10335" t="s">
        <v>27251</v>
      </c>
      <c r="N10335" t="s">
        <v>27252</v>
      </c>
      <c r="Q10335" s="1">
        <v>44538</v>
      </c>
      <c r="R10335" t="s">
        <v>27253</v>
      </c>
      <c r="S10335" t="s">
        <v>27254</v>
      </c>
      <c r="T10335" t="s">
        <v>27255</v>
      </c>
    </row>
    <row r="10336" spans="1:20" x14ac:dyDescent="0.3">
      <c r="A10336" t="str">
        <f>"0611838318100"</f>
        <v>0611838318100</v>
      </c>
      <c r="B10336" t="str">
        <f>"LB6305"</f>
        <v>LB6305</v>
      </c>
      <c r="C10336" t="s">
        <v>47293</v>
      </c>
      <c r="D10336" t="s">
        <v>27245</v>
      </c>
      <c r="E10336" t="str">
        <f t="shared" si="161"/>
        <v>001390</v>
      </c>
      <c r="F10336" t="s">
        <v>27246</v>
      </c>
      <c r="G10336" t="s">
        <v>27247</v>
      </c>
      <c r="H10336" t="s">
        <v>27248</v>
      </c>
      <c r="I10336" t="s">
        <v>47294</v>
      </c>
      <c r="J10336" t="s">
        <v>20682</v>
      </c>
      <c r="L10336" t="s">
        <v>27250</v>
      </c>
      <c r="M10336" t="s">
        <v>27251</v>
      </c>
      <c r="N10336" t="s">
        <v>27252</v>
      </c>
      <c r="Q10336" s="1">
        <v>44538</v>
      </c>
      <c r="R10336" t="s">
        <v>27253</v>
      </c>
      <c r="S10336" t="s">
        <v>27254</v>
      </c>
      <c r="T10336" t="s">
        <v>27255</v>
      </c>
    </row>
    <row r="10337" spans="1:20" x14ac:dyDescent="0.3">
      <c r="A10337" t="str">
        <f>"0611838320100"</f>
        <v>0611838320100</v>
      </c>
      <c r="B10337" t="str">
        <f>"LB6308"</f>
        <v>LB6308</v>
      </c>
      <c r="C10337" t="s">
        <v>47295</v>
      </c>
      <c r="D10337" t="s">
        <v>27245</v>
      </c>
      <c r="E10337" t="str">
        <f t="shared" si="161"/>
        <v>001390</v>
      </c>
      <c r="F10337" t="s">
        <v>27246</v>
      </c>
      <c r="G10337" t="s">
        <v>27247</v>
      </c>
      <c r="H10337" t="s">
        <v>27248</v>
      </c>
      <c r="I10337" t="s">
        <v>47296</v>
      </c>
      <c r="J10337" t="s">
        <v>20684</v>
      </c>
      <c r="L10337" t="s">
        <v>27250</v>
      </c>
      <c r="M10337" t="s">
        <v>27251</v>
      </c>
      <c r="N10337" t="s">
        <v>27252</v>
      </c>
      <c r="Q10337" s="1">
        <v>44538</v>
      </c>
      <c r="R10337" t="s">
        <v>27253</v>
      </c>
      <c r="S10337" t="s">
        <v>27254</v>
      </c>
      <c r="T10337" t="s">
        <v>27255</v>
      </c>
    </row>
    <row r="10338" spans="1:20" x14ac:dyDescent="0.3">
      <c r="A10338" t="str">
        <f>"0611838321100"</f>
        <v>0611838321100</v>
      </c>
      <c r="B10338" t="str">
        <f>"LK0919"</f>
        <v>LK0919</v>
      </c>
      <c r="C10338" t="s">
        <v>47297</v>
      </c>
      <c r="D10338" t="s">
        <v>27245</v>
      </c>
      <c r="E10338" t="str">
        <f t="shared" si="161"/>
        <v>001390</v>
      </c>
      <c r="F10338" t="s">
        <v>27246</v>
      </c>
      <c r="G10338" t="s">
        <v>27247</v>
      </c>
      <c r="H10338" t="s">
        <v>27248</v>
      </c>
      <c r="I10338" t="s">
        <v>47298</v>
      </c>
      <c r="J10338" t="s">
        <v>20686</v>
      </c>
      <c r="L10338" t="s">
        <v>27250</v>
      </c>
      <c r="M10338" t="s">
        <v>27251</v>
      </c>
      <c r="N10338" t="s">
        <v>27252</v>
      </c>
      <c r="Q10338" s="1">
        <v>44538</v>
      </c>
      <c r="R10338" t="s">
        <v>27253</v>
      </c>
      <c r="S10338" t="s">
        <v>27254</v>
      </c>
      <c r="T10338" t="s">
        <v>27255</v>
      </c>
    </row>
    <row r="10339" spans="1:20" x14ac:dyDescent="0.3">
      <c r="A10339" t="str">
        <f>"0611838322100"</f>
        <v>0611838322100</v>
      </c>
      <c r="B10339" t="str">
        <f>"LK5677"</f>
        <v>LK5677</v>
      </c>
      <c r="C10339" t="s">
        <v>47299</v>
      </c>
      <c r="D10339" t="s">
        <v>27245</v>
      </c>
      <c r="E10339" t="str">
        <f t="shared" si="161"/>
        <v>001390</v>
      </c>
      <c r="F10339" t="s">
        <v>27246</v>
      </c>
      <c r="G10339" t="s">
        <v>27247</v>
      </c>
      <c r="H10339" t="s">
        <v>27248</v>
      </c>
      <c r="I10339" t="s">
        <v>47300</v>
      </c>
      <c r="J10339" t="s">
        <v>20688</v>
      </c>
      <c r="L10339" t="s">
        <v>27250</v>
      </c>
      <c r="M10339" t="s">
        <v>27251</v>
      </c>
      <c r="N10339" t="s">
        <v>27252</v>
      </c>
      <c r="Q10339" s="1">
        <v>44538</v>
      </c>
      <c r="R10339" t="s">
        <v>27253</v>
      </c>
      <c r="S10339" t="s">
        <v>27254</v>
      </c>
      <c r="T10339" t="s">
        <v>27255</v>
      </c>
    </row>
    <row r="10340" spans="1:20" x14ac:dyDescent="0.3">
      <c r="A10340" t="str">
        <f>"0611838323100"</f>
        <v>0611838323100</v>
      </c>
      <c r="B10340" t="str">
        <f>"LK0336"</f>
        <v>LK0336</v>
      </c>
      <c r="C10340" t="s">
        <v>47301</v>
      </c>
      <c r="D10340" t="s">
        <v>27245</v>
      </c>
      <c r="E10340" t="str">
        <f t="shared" si="161"/>
        <v>001390</v>
      </c>
      <c r="F10340" t="s">
        <v>27246</v>
      </c>
      <c r="G10340" t="s">
        <v>27247</v>
      </c>
      <c r="H10340" t="s">
        <v>27248</v>
      </c>
      <c r="I10340" t="s">
        <v>47302</v>
      </c>
      <c r="J10340" t="s">
        <v>20690</v>
      </c>
      <c r="L10340" t="s">
        <v>27250</v>
      </c>
      <c r="M10340" t="s">
        <v>27251</v>
      </c>
      <c r="N10340" t="s">
        <v>27252</v>
      </c>
      <c r="Q10340" s="1">
        <v>44538</v>
      </c>
      <c r="R10340" t="s">
        <v>27253</v>
      </c>
      <c r="S10340" t="s">
        <v>27254</v>
      </c>
      <c r="T10340" t="s">
        <v>27255</v>
      </c>
    </row>
    <row r="10341" spans="1:20" x14ac:dyDescent="0.3">
      <c r="A10341" t="str">
        <f>"0611838324050"</f>
        <v>0611838324050</v>
      </c>
      <c r="B10341" t="str">
        <f>"NM0062"</f>
        <v>NM0062</v>
      </c>
      <c r="C10341" t="s">
        <v>47301</v>
      </c>
      <c r="D10341" t="s">
        <v>35877</v>
      </c>
      <c r="E10341" t="str">
        <f t="shared" si="161"/>
        <v>001390</v>
      </c>
      <c r="F10341" t="s">
        <v>27246</v>
      </c>
      <c r="G10341" t="s">
        <v>27247</v>
      </c>
      <c r="H10341" t="s">
        <v>27248</v>
      </c>
      <c r="I10341" t="s">
        <v>47303</v>
      </c>
      <c r="J10341" t="s">
        <v>20692</v>
      </c>
      <c r="L10341" t="s">
        <v>27250</v>
      </c>
      <c r="M10341" t="s">
        <v>27251</v>
      </c>
      <c r="N10341" t="s">
        <v>27252</v>
      </c>
      <c r="Q10341" s="1">
        <v>44538</v>
      </c>
      <c r="R10341" t="s">
        <v>27253</v>
      </c>
      <c r="S10341" t="s">
        <v>27254</v>
      </c>
      <c r="T10341" t="s">
        <v>35879</v>
      </c>
    </row>
    <row r="10342" spans="1:20" x14ac:dyDescent="0.3">
      <c r="A10342" t="str">
        <f>"0611838325100"</f>
        <v>0611838325100</v>
      </c>
      <c r="B10342" t="str">
        <f>"LS0113"</f>
        <v>LS0113</v>
      </c>
      <c r="C10342" t="s">
        <v>47304</v>
      </c>
      <c r="D10342" t="s">
        <v>27245</v>
      </c>
      <c r="E10342" t="str">
        <f t="shared" si="161"/>
        <v>001390</v>
      </c>
      <c r="F10342" t="s">
        <v>27246</v>
      </c>
      <c r="G10342" t="s">
        <v>27247</v>
      </c>
      <c r="H10342" t="s">
        <v>27248</v>
      </c>
      <c r="I10342" t="s">
        <v>47305</v>
      </c>
      <c r="J10342" t="s">
        <v>20694</v>
      </c>
      <c r="L10342" t="s">
        <v>27250</v>
      </c>
      <c r="M10342" t="s">
        <v>27251</v>
      </c>
      <c r="N10342" t="s">
        <v>27252</v>
      </c>
      <c r="Q10342" s="1">
        <v>44538</v>
      </c>
      <c r="R10342" t="s">
        <v>27253</v>
      </c>
      <c r="S10342" t="s">
        <v>27254</v>
      </c>
      <c r="T10342" t="s">
        <v>27255</v>
      </c>
    </row>
    <row r="10343" spans="1:20" x14ac:dyDescent="0.3">
      <c r="A10343" t="str">
        <f>"0611838326100"</f>
        <v>0611838326100</v>
      </c>
      <c r="B10343" t="str">
        <f>"LK1731"</f>
        <v>LK1731</v>
      </c>
      <c r="C10343" t="s">
        <v>47306</v>
      </c>
      <c r="D10343" t="s">
        <v>27245</v>
      </c>
      <c r="E10343" t="str">
        <f t="shared" si="161"/>
        <v>001390</v>
      </c>
      <c r="F10343" t="s">
        <v>27246</v>
      </c>
      <c r="G10343" t="s">
        <v>27247</v>
      </c>
      <c r="H10343" t="s">
        <v>27248</v>
      </c>
      <c r="I10343" t="s">
        <v>47307</v>
      </c>
      <c r="J10343" t="s">
        <v>20696</v>
      </c>
      <c r="L10343" t="s">
        <v>27250</v>
      </c>
      <c r="M10343" t="s">
        <v>27251</v>
      </c>
      <c r="N10343" t="s">
        <v>27252</v>
      </c>
      <c r="Q10343" s="1">
        <v>44538</v>
      </c>
      <c r="R10343" t="s">
        <v>27253</v>
      </c>
      <c r="S10343" t="s">
        <v>27254</v>
      </c>
      <c r="T10343" t="s">
        <v>27255</v>
      </c>
    </row>
    <row r="10344" spans="1:20" x14ac:dyDescent="0.3">
      <c r="A10344" t="str">
        <f>"0611838327100"</f>
        <v>0611838327100</v>
      </c>
      <c r="B10344" t="str">
        <f>"LK5331"</f>
        <v>LK5331</v>
      </c>
      <c r="C10344" t="s">
        <v>47308</v>
      </c>
      <c r="D10344" t="s">
        <v>27245</v>
      </c>
      <c r="E10344" t="str">
        <f t="shared" si="161"/>
        <v>001390</v>
      </c>
      <c r="F10344" t="s">
        <v>27246</v>
      </c>
      <c r="G10344" t="s">
        <v>27247</v>
      </c>
      <c r="H10344" t="s">
        <v>27248</v>
      </c>
      <c r="I10344" t="s">
        <v>47309</v>
      </c>
      <c r="J10344" t="s">
        <v>20698</v>
      </c>
      <c r="L10344" t="s">
        <v>27250</v>
      </c>
      <c r="M10344" t="s">
        <v>27251</v>
      </c>
      <c r="N10344" t="s">
        <v>27252</v>
      </c>
      <c r="Q10344" s="1">
        <v>44538</v>
      </c>
      <c r="R10344" t="s">
        <v>27253</v>
      </c>
      <c r="S10344" t="s">
        <v>27254</v>
      </c>
      <c r="T10344" t="s">
        <v>27255</v>
      </c>
    </row>
    <row r="10345" spans="1:20" x14ac:dyDescent="0.3">
      <c r="A10345" t="str">
        <f>"0611838328100"</f>
        <v>0611838328100</v>
      </c>
      <c r="B10345" t="str">
        <f>"LQ3740"</f>
        <v>LQ3740</v>
      </c>
      <c r="C10345" t="s">
        <v>47310</v>
      </c>
      <c r="D10345" t="s">
        <v>27245</v>
      </c>
      <c r="E10345" t="str">
        <f t="shared" si="161"/>
        <v>001390</v>
      </c>
      <c r="F10345" t="s">
        <v>27246</v>
      </c>
      <c r="G10345" t="s">
        <v>27247</v>
      </c>
      <c r="H10345" t="s">
        <v>27248</v>
      </c>
      <c r="I10345" t="s">
        <v>47311</v>
      </c>
      <c r="J10345" t="s">
        <v>20700</v>
      </c>
      <c r="L10345" t="s">
        <v>27250</v>
      </c>
      <c r="M10345" t="s">
        <v>27251</v>
      </c>
      <c r="N10345" t="s">
        <v>27252</v>
      </c>
      <c r="Q10345" s="1">
        <v>44538</v>
      </c>
      <c r="R10345" t="s">
        <v>27253</v>
      </c>
      <c r="S10345" t="s">
        <v>27254</v>
      </c>
      <c r="T10345" t="s">
        <v>27255</v>
      </c>
    </row>
    <row r="10346" spans="1:20" x14ac:dyDescent="0.3">
      <c r="A10346" t="str">
        <f>"0611857076100"</f>
        <v>0611857076100</v>
      </c>
      <c r="B10346" t="str">
        <f>"LF3492"</f>
        <v>LF3492</v>
      </c>
      <c r="C10346" t="s">
        <v>47312</v>
      </c>
      <c r="D10346" t="s">
        <v>27245</v>
      </c>
      <c r="E10346" t="str">
        <f t="shared" si="161"/>
        <v>001390</v>
      </c>
      <c r="F10346" t="s">
        <v>27246</v>
      </c>
      <c r="G10346" t="s">
        <v>27247</v>
      </c>
      <c r="H10346" t="s">
        <v>27248</v>
      </c>
      <c r="I10346" t="s">
        <v>47313</v>
      </c>
      <c r="J10346" t="s">
        <v>20702</v>
      </c>
      <c r="L10346" t="s">
        <v>27250</v>
      </c>
      <c r="M10346" t="s">
        <v>27251</v>
      </c>
      <c r="N10346" t="s">
        <v>27252</v>
      </c>
      <c r="Q10346" s="1">
        <v>44812</v>
      </c>
      <c r="R10346" t="s">
        <v>27253</v>
      </c>
      <c r="S10346" t="s">
        <v>27254</v>
      </c>
      <c r="T10346" t="s">
        <v>27255</v>
      </c>
    </row>
    <row r="10347" spans="1:20" x14ac:dyDescent="0.3">
      <c r="A10347" t="str">
        <f>"0611838354100"</f>
        <v>0611838354100</v>
      </c>
      <c r="B10347" t="str">
        <f>"MB5732"</f>
        <v>MB5732</v>
      </c>
      <c r="C10347" t="s">
        <v>47314</v>
      </c>
      <c r="D10347" t="s">
        <v>27274</v>
      </c>
      <c r="E10347" t="str">
        <f t="shared" si="161"/>
        <v>001390</v>
      </c>
      <c r="F10347" t="s">
        <v>27246</v>
      </c>
      <c r="G10347" t="s">
        <v>27247</v>
      </c>
      <c r="H10347" t="s">
        <v>27248</v>
      </c>
      <c r="I10347" t="s">
        <v>47315</v>
      </c>
      <c r="J10347" t="s">
        <v>20706</v>
      </c>
      <c r="L10347" t="s">
        <v>27250</v>
      </c>
      <c r="M10347" t="s">
        <v>27251</v>
      </c>
      <c r="N10347" t="s">
        <v>27252</v>
      </c>
      <c r="Q10347" s="1">
        <v>44538</v>
      </c>
      <c r="R10347" t="s">
        <v>27253</v>
      </c>
      <c r="S10347" t="s">
        <v>27254</v>
      </c>
      <c r="T10347" t="s">
        <v>27276</v>
      </c>
    </row>
    <row r="10348" spans="1:20" x14ac:dyDescent="0.3">
      <c r="A10348" t="str">
        <f>"0611838355100"</f>
        <v>0611838355100</v>
      </c>
      <c r="B10348" t="str">
        <f>"LF5710"</f>
        <v>LF5710</v>
      </c>
      <c r="C10348" t="s">
        <v>47316</v>
      </c>
      <c r="D10348" t="s">
        <v>27245</v>
      </c>
      <c r="E10348" t="str">
        <f t="shared" si="161"/>
        <v>001390</v>
      </c>
      <c r="F10348" t="s">
        <v>27246</v>
      </c>
      <c r="G10348" t="s">
        <v>27247</v>
      </c>
      <c r="H10348" t="s">
        <v>27248</v>
      </c>
      <c r="I10348" t="s">
        <v>47317</v>
      </c>
      <c r="J10348" t="s">
        <v>20704</v>
      </c>
      <c r="L10348" t="s">
        <v>27250</v>
      </c>
      <c r="M10348" t="s">
        <v>27251</v>
      </c>
      <c r="N10348" t="s">
        <v>27252</v>
      </c>
      <c r="Q10348" s="1">
        <v>44538</v>
      </c>
      <c r="R10348" t="s">
        <v>27253</v>
      </c>
      <c r="S10348" t="s">
        <v>27254</v>
      </c>
      <c r="T10348" t="s">
        <v>27255</v>
      </c>
    </row>
    <row r="10349" spans="1:20" x14ac:dyDescent="0.3">
      <c r="A10349" t="str">
        <f>"0611838356100"</f>
        <v>0611838356100</v>
      </c>
      <c r="B10349" t="str">
        <f>"LK0340"</f>
        <v>LK0340</v>
      </c>
      <c r="C10349" t="s">
        <v>47318</v>
      </c>
      <c r="D10349" t="s">
        <v>27245</v>
      </c>
      <c r="E10349" t="str">
        <f t="shared" si="161"/>
        <v>001390</v>
      </c>
      <c r="F10349" t="s">
        <v>27246</v>
      </c>
      <c r="G10349" t="s">
        <v>27247</v>
      </c>
      <c r="H10349" t="s">
        <v>27248</v>
      </c>
      <c r="I10349" t="s">
        <v>47319</v>
      </c>
      <c r="J10349" t="s">
        <v>20708</v>
      </c>
      <c r="L10349" t="s">
        <v>27250</v>
      </c>
      <c r="M10349" t="s">
        <v>27251</v>
      </c>
      <c r="N10349" t="s">
        <v>27252</v>
      </c>
      <c r="Q10349" s="1">
        <v>44538</v>
      </c>
      <c r="R10349" t="s">
        <v>27253</v>
      </c>
      <c r="S10349" t="s">
        <v>27254</v>
      </c>
      <c r="T10349" t="s">
        <v>27255</v>
      </c>
    </row>
    <row r="10350" spans="1:20" x14ac:dyDescent="0.3">
      <c r="A10350" t="str">
        <f>"0611838358100"</f>
        <v>0611838358100</v>
      </c>
      <c r="B10350" t="str">
        <f>"LB7750"</f>
        <v>LB7750</v>
      </c>
      <c r="C10350" t="s">
        <v>47320</v>
      </c>
      <c r="D10350" t="s">
        <v>27245</v>
      </c>
      <c r="E10350" t="str">
        <f t="shared" si="161"/>
        <v>001390</v>
      </c>
      <c r="F10350" t="s">
        <v>27246</v>
      </c>
      <c r="G10350" t="s">
        <v>27247</v>
      </c>
      <c r="H10350" t="s">
        <v>27248</v>
      </c>
      <c r="I10350" t="s">
        <v>47321</v>
      </c>
      <c r="J10350" t="s">
        <v>20710</v>
      </c>
      <c r="L10350" t="s">
        <v>27250</v>
      </c>
      <c r="M10350" t="s">
        <v>27251</v>
      </c>
      <c r="N10350" t="s">
        <v>27252</v>
      </c>
      <c r="Q10350" s="1">
        <v>44538</v>
      </c>
      <c r="R10350" t="s">
        <v>27253</v>
      </c>
      <c r="S10350" t="s">
        <v>27254</v>
      </c>
      <c r="T10350" t="s">
        <v>27255</v>
      </c>
    </row>
    <row r="10351" spans="1:20" x14ac:dyDescent="0.3">
      <c r="A10351" t="str">
        <f>"0611838360100"</f>
        <v>0611838360100</v>
      </c>
      <c r="B10351" t="str">
        <f>"LB7866"</f>
        <v>LB7866</v>
      </c>
      <c r="C10351" t="s">
        <v>47322</v>
      </c>
      <c r="D10351" t="s">
        <v>27245</v>
      </c>
      <c r="E10351" t="str">
        <f t="shared" si="161"/>
        <v>001390</v>
      </c>
      <c r="F10351" t="s">
        <v>27246</v>
      </c>
      <c r="G10351" t="s">
        <v>27247</v>
      </c>
      <c r="H10351" t="s">
        <v>27248</v>
      </c>
      <c r="I10351" t="s">
        <v>47323</v>
      </c>
      <c r="J10351" t="s">
        <v>20712</v>
      </c>
      <c r="L10351" t="s">
        <v>27250</v>
      </c>
      <c r="M10351" t="s">
        <v>27251</v>
      </c>
      <c r="N10351" t="s">
        <v>27252</v>
      </c>
      <c r="Q10351" s="1">
        <v>44538</v>
      </c>
      <c r="R10351" t="s">
        <v>27253</v>
      </c>
      <c r="S10351" t="s">
        <v>27254</v>
      </c>
      <c r="T10351" t="s">
        <v>27255</v>
      </c>
    </row>
    <row r="10352" spans="1:20" x14ac:dyDescent="0.3">
      <c r="A10352" t="str">
        <f>"0611838361100"</f>
        <v>0611838361100</v>
      </c>
      <c r="B10352" t="str">
        <f>"LK0610"</f>
        <v>LK0610</v>
      </c>
      <c r="C10352" t="s">
        <v>47324</v>
      </c>
      <c r="D10352" t="s">
        <v>27245</v>
      </c>
      <c r="E10352" t="str">
        <f t="shared" si="161"/>
        <v>001390</v>
      </c>
      <c r="F10352" t="s">
        <v>27246</v>
      </c>
      <c r="G10352" t="s">
        <v>27247</v>
      </c>
      <c r="H10352" t="s">
        <v>27248</v>
      </c>
      <c r="I10352" t="s">
        <v>47325</v>
      </c>
      <c r="J10352" t="s">
        <v>20714</v>
      </c>
      <c r="L10352" t="s">
        <v>27250</v>
      </c>
      <c r="M10352" t="s">
        <v>27251</v>
      </c>
      <c r="N10352" t="s">
        <v>27252</v>
      </c>
      <c r="Q10352" s="1">
        <v>44538</v>
      </c>
      <c r="R10352" t="s">
        <v>27253</v>
      </c>
      <c r="S10352" t="s">
        <v>27254</v>
      </c>
      <c r="T10352" t="s">
        <v>27255</v>
      </c>
    </row>
    <row r="10353" spans="1:20" x14ac:dyDescent="0.3">
      <c r="A10353" t="str">
        <f>"0611838362100"</f>
        <v>0611838362100</v>
      </c>
      <c r="B10353" t="str">
        <f>"LK2361"</f>
        <v>LK2361</v>
      </c>
      <c r="C10353" t="s">
        <v>47326</v>
      </c>
      <c r="D10353" t="s">
        <v>27245</v>
      </c>
      <c r="E10353" t="str">
        <f t="shared" si="161"/>
        <v>001390</v>
      </c>
      <c r="F10353" t="s">
        <v>27246</v>
      </c>
      <c r="G10353" t="s">
        <v>27247</v>
      </c>
      <c r="H10353" t="s">
        <v>27248</v>
      </c>
      <c r="I10353" t="s">
        <v>47327</v>
      </c>
      <c r="J10353" t="s">
        <v>20716</v>
      </c>
      <c r="L10353" t="s">
        <v>27250</v>
      </c>
      <c r="M10353" t="s">
        <v>27251</v>
      </c>
      <c r="N10353" t="s">
        <v>27252</v>
      </c>
      <c r="Q10353" s="1">
        <v>44538</v>
      </c>
      <c r="R10353" t="s">
        <v>27253</v>
      </c>
      <c r="S10353" t="s">
        <v>27254</v>
      </c>
      <c r="T10353" t="s">
        <v>27255</v>
      </c>
    </row>
    <row r="10354" spans="1:20" x14ac:dyDescent="0.3">
      <c r="A10354" t="str">
        <f>"0611838363100"</f>
        <v>0611838363100</v>
      </c>
      <c r="B10354" t="str">
        <f>"LK5913"</f>
        <v>LK5913</v>
      </c>
      <c r="C10354" t="s">
        <v>47328</v>
      </c>
      <c r="D10354" t="s">
        <v>27245</v>
      </c>
      <c r="E10354" t="str">
        <f t="shared" si="161"/>
        <v>001390</v>
      </c>
      <c r="F10354" t="s">
        <v>27246</v>
      </c>
      <c r="G10354" t="s">
        <v>27247</v>
      </c>
      <c r="H10354" t="s">
        <v>27248</v>
      </c>
      <c r="I10354" t="s">
        <v>47329</v>
      </c>
      <c r="J10354" t="s">
        <v>20718</v>
      </c>
      <c r="L10354" t="s">
        <v>27250</v>
      </c>
      <c r="M10354" t="s">
        <v>27251</v>
      </c>
      <c r="N10354" t="s">
        <v>27252</v>
      </c>
      <c r="Q10354" s="1">
        <v>44538</v>
      </c>
      <c r="R10354" t="s">
        <v>27253</v>
      </c>
      <c r="S10354" t="s">
        <v>27254</v>
      </c>
      <c r="T10354" t="s">
        <v>27255</v>
      </c>
    </row>
    <row r="10355" spans="1:20" x14ac:dyDescent="0.3">
      <c r="A10355" t="str">
        <f>"0611838364100"</f>
        <v>0611838364100</v>
      </c>
      <c r="B10355" t="str">
        <f>"LB7754"</f>
        <v>LB7754</v>
      </c>
      <c r="C10355" t="s">
        <v>47330</v>
      </c>
      <c r="D10355" t="s">
        <v>27245</v>
      </c>
      <c r="E10355" t="str">
        <f t="shared" si="161"/>
        <v>001390</v>
      </c>
      <c r="F10355" t="s">
        <v>27246</v>
      </c>
      <c r="G10355" t="s">
        <v>27247</v>
      </c>
      <c r="H10355" t="s">
        <v>27248</v>
      </c>
      <c r="I10355" t="s">
        <v>47331</v>
      </c>
      <c r="J10355" t="s">
        <v>20720</v>
      </c>
      <c r="L10355" t="s">
        <v>27250</v>
      </c>
      <c r="M10355" t="s">
        <v>27251</v>
      </c>
      <c r="N10355" t="s">
        <v>27252</v>
      </c>
      <c r="Q10355" s="1">
        <v>44538</v>
      </c>
      <c r="R10355" t="s">
        <v>27253</v>
      </c>
      <c r="S10355" t="s">
        <v>27254</v>
      </c>
      <c r="T10355" t="s">
        <v>27255</v>
      </c>
    </row>
    <row r="10356" spans="1:20" x14ac:dyDescent="0.3">
      <c r="A10356" t="str">
        <f>"0611838365025"</f>
        <v>0611838365025</v>
      </c>
      <c r="B10356" t="str">
        <f>"MQ5129"</f>
        <v>MQ5129</v>
      </c>
      <c r="C10356" t="s">
        <v>47332</v>
      </c>
      <c r="D10356" t="s">
        <v>27267</v>
      </c>
      <c r="E10356" t="str">
        <f t="shared" si="161"/>
        <v>001390</v>
      </c>
      <c r="F10356" t="s">
        <v>27246</v>
      </c>
      <c r="G10356" t="s">
        <v>27247</v>
      </c>
      <c r="H10356" t="s">
        <v>27248</v>
      </c>
      <c r="I10356" t="s">
        <v>47333</v>
      </c>
      <c r="J10356" t="s">
        <v>20724</v>
      </c>
      <c r="L10356" t="s">
        <v>27250</v>
      </c>
      <c r="M10356" t="s">
        <v>27251</v>
      </c>
      <c r="N10356" t="s">
        <v>27252</v>
      </c>
      <c r="Q10356" s="1">
        <v>44538</v>
      </c>
      <c r="R10356" t="s">
        <v>27253</v>
      </c>
      <c r="S10356" t="s">
        <v>27254</v>
      </c>
      <c r="T10356" t="s">
        <v>27269</v>
      </c>
    </row>
    <row r="10357" spans="1:20" x14ac:dyDescent="0.3">
      <c r="A10357" t="str">
        <f>"0611863727100"</f>
        <v>0611863727100</v>
      </c>
      <c r="B10357" t="str">
        <f>"CN5340"</f>
        <v>CN5340</v>
      </c>
      <c r="C10357" t="s">
        <v>47332</v>
      </c>
      <c r="D10357" t="s">
        <v>27335</v>
      </c>
      <c r="E10357" t="str">
        <f t="shared" si="161"/>
        <v>001390</v>
      </c>
      <c r="F10357" t="s">
        <v>27246</v>
      </c>
      <c r="G10357" t="s">
        <v>27247</v>
      </c>
      <c r="H10357" t="s">
        <v>27248</v>
      </c>
      <c r="I10357" t="s">
        <v>47334</v>
      </c>
      <c r="J10357" t="s">
        <v>20722</v>
      </c>
      <c r="L10357" t="s">
        <v>27250</v>
      </c>
      <c r="M10357" t="s">
        <v>27251</v>
      </c>
      <c r="N10357" t="s">
        <v>27252</v>
      </c>
      <c r="Q10357" s="1">
        <v>44846</v>
      </c>
      <c r="R10357" t="s">
        <v>27253</v>
      </c>
      <c r="S10357" t="s">
        <v>27254</v>
      </c>
      <c r="T10357" t="s">
        <v>27255</v>
      </c>
    </row>
    <row r="10358" spans="1:20" x14ac:dyDescent="0.3">
      <c r="A10358" t="str">
        <f>"0611857077025"</f>
        <v>0611857077025</v>
      </c>
      <c r="B10358" t="str">
        <f>"MQ0801"</f>
        <v>MQ0801</v>
      </c>
      <c r="C10358" t="s">
        <v>47335</v>
      </c>
      <c r="D10358" t="s">
        <v>27267</v>
      </c>
      <c r="E10358" t="str">
        <f t="shared" si="161"/>
        <v>001390</v>
      </c>
      <c r="F10358" t="s">
        <v>27246</v>
      </c>
      <c r="G10358" t="s">
        <v>27247</v>
      </c>
      <c r="H10358" t="s">
        <v>27248</v>
      </c>
      <c r="I10358" t="s">
        <v>47336</v>
      </c>
      <c r="J10358" t="s">
        <v>20726</v>
      </c>
      <c r="L10358" t="s">
        <v>27250</v>
      </c>
      <c r="M10358" t="s">
        <v>27251</v>
      </c>
      <c r="N10358" t="s">
        <v>27252</v>
      </c>
      <c r="Q10358" s="1">
        <v>44812</v>
      </c>
      <c r="R10358" t="s">
        <v>27253</v>
      </c>
      <c r="S10358" t="s">
        <v>27254</v>
      </c>
      <c r="T10358" t="s">
        <v>27269</v>
      </c>
    </row>
    <row r="10359" spans="1:20" x14ac:dyDescent="0.3">
      <c r="A10359" t="str">
        <f>"0611838366025"</f>
        <v>0611838366025</v>
      </c>
      <c r="B10359" t="str">
        <f>"MC0592"</f>
        <v>MC0592</v>
      </c>
      <c r="C10359" t="s">
        <v>47337</v>
      </c>
      <c r="D10359" t="s">
        <v>27267</v>
      </c>
      <c r="E10359" t="str">
        <f t="shared" si="161"/>
        <v>001390</v>
      </c>
      <c r="F10359" t="s">
        <v>27246</v>
      </c>
      <c r="G10359" t="s">
        <v>27247</v>
      </c>
      <c r="H10359" t="s">
        <v>27248</v>
      </c>
      <c r="I10359" t="s">
        <v>47338</v>
      </c>
      <c r="J10359" t="s">
        <v>20728</v>
      </c>
      <c r="L10359" t="s">
        <v>27250</v>
      </c>
      <c r="M10359" t="s">
        <v>27251</v>
      </c>
      <c r="N10359" t="s">
        <v>27252</v>
      </c>
      <c r="Q10359" s="1">
        <v>44538</v>
      </c>
      <c r="R10359" t="s">
        <v>27253</v>
      </c>
      <c r="S10359" t="s">
        <v>27254</v>
      </c>
      <c r="T10359" t="s">
        <v>27269</v>
      </c>
    </row>
    <row r="10360" spans="1:20" x14ac:dyDescent="0.3">
      <c r="A10360" t="str">
        <f>"0611838367100"</f>
        <v>0611838367100</v>
      </c>
      <c r="B10360" t="str">
        <f>"LH8076"</f>
        <v>LH8076</v>
      </c>
      <c r="C10360" t="s">
        <v>47339</v>
      </c>
      <c r="D10360" t="s">
        <v>27245</v>
      </c>
      <c r="E10360" t="str">
        <f t="shared" si="161"/>
        <v>001390</v>
      </c>
      <c r="F10360" t="s">
        <v>27246</v>
      </c>
      <c r="G10360" t="s">
        <v>27247</v>
      </c>
      <c r="H10360" t="s">
        <v>27248</v>
      </c>
      <c r="I10360" t="s">
        <v>47340</v>
      </c>
      <c r="J10360" t="s">
        <v>20730</v>
      </c>
      <c r="L10360" t="s">
        <v>27250</v>
      </c>
      <c r="M10360" t="s">
        <v>27251</v>
      </c>
      <c r="N10360" t="s">
        <v>27252</v>
      </c>
      <c r="Q10360" s="1">
        <v>44538</v>
      </c>
      <c r="R10360" t="s">
        <v>27253</v>
      </c>
      <c r="S10360" t="s">
        <v>27254</v>
      </c>
      <c r="T10360" t="s">
        <v>27255</v>
      </c>
    </row>
    <row r="10361" spans="1:20" x14ac:dyDescent="0.3">
      <c r="A10361" t="str">
        <f>"0611838369025"</f>
        <v>0611838369025</v>
      </c>
      <c r="B10361" t="str">
        <f>"MC3401"</f>
        <v>MC3401</v>
      </c>
      <c r="C10361" t="s">
        <v>47341</v>
      </c>
      <c r="D10361" t="s">
        <v>27267</v>
      </c>
      <c r="E10361" t="str">
        <f t="shared" si="161"/>
        <v>001390</v>
      </c>
      <c r="F10361" t="s">
        <v>27246</v>
      </c>
      <c r="G10361" t="s">
        <v>27247</v>
      </c>
      <c r="H10361" t="s">
        <v>27248</v>
      </c>
      <c r="I10361" t="s">
        <v>47342</v>
      </c>
      <c r="J10361" t="s">
        <v>20734</v>
      </c>
      <c r="L10361" t="s">
        <v>27250</v>
      </c>
      <c r="M10361" t="s">
        <v>27251</v>
      </c>
      <c r="N10361" t="s">
        <v>27252</v>
      </c>
      <c r="Q10361" s="1">
        <v>44538</v>
      </c>
      <c r="R10361" t="s">
        <v>27253</v>
      </c>
      <c r="S10361" t="s">
        <v>27254</v>
      </c>
      <c r="T10361" t="s">
        <v>27269</v>
      </c>
    </row>
    <row r="10362" spans="1:20" x14ac:dyDescent="0.3">
      <c r="A10362" t="str">
        <f>"0611863728100"</f>
        <v>0611863728100</v>
      </c>
      <c r="B10362" t="str">
        <f>"CN2385"</f>
        <v>CN2385</v>
      </c>
      <c r="C10362" t="s">
        <v>47341</v>
      </c>
      <c r="D10362" t="s">
        <v>27335</v>
      </c>
      <c r="E10362" t="str">
        <f t="shared" si="161"/>
        <v>001390</v>
      </c>
      <c r="F10362" t="s">
        <v>27246</v>
      </c>
      <c r="G10362" t="s">
        <v>27247</v>
      </c>
      <c r="H10362" t="s">
        <v>27248</v>
      </c>
      <c r="I10362" t="s">
        <v>47343</v>
      </c>
      <c r="J10362" t="s">
        <v>20732</v>
      </c>
      <c r="L10362" t="s">
        <v>27250</v>
      </c>
      <c r="M10362" t="s">
        <v>27251</v>
      </c>
      <c r="N10362" t="s">
        <v>27252</v>
      </c>
      <c r="Q10362" s="1">
        <v>44846</v>
      </c>
      <c r="R10362" t="s">
        <v>27253</v>
      </c>
      <c r="S10362" t="s">
        <v>27254</v>
      </c>
      <c r="T10362" t="s">
        <v>27255</v>
      </c>
    </row>
    <row r="10363" spans="1:20" x14ac:dyDescent="0.3">
      <c r="A10363" t="str">
        <f>"0611838370025"</f>
        <v>0611838370025</v>
      </c>
      <c r="B10363" t="str">
        <f>"MC2619"</f>
        <v>MC2619</v>
      </c>
      <c r="C10363" t="s">
        <v>47344</v>
      </c>
      <c r="D10363" t="s">
        <v>27267</v>
      </c>
      <c r="E10363" t="str">
        <f t="shared" si="161"/>
        <v>001390</v>
      </c>
      <c r="F10363" t="s">
        <v>27246</v>
      </c>
      <c r="G10363" t="s">
        <v>27247</v>
      </c>
      <c r="H10363" t="s">
        <v>27248</v>
      </c>
      <c r="I10363" t="s">
        <v>47345</v>
      </c>
      <c r="J10363" t="s">
        <v>20736</v>
      </c>
      <c r="L10363" t="s">
        <v>27250</v>
      </c>
      <c r="M10363" t="s">
        <v>27251</v>
      </c>
      <c r="N10363" t="s">
        <v>27252</v>
      </c>
      <c r="Q10363" s="1">
        <v>44538</v>
      </c>
      <c r="R10363" t="s">
        <v>27253</v>
      </c>
      <c r="S10363" t="s">
        <v>27254</v>
      </c>
      <c r="T10363" t="s">
        <v>27269</v>
      </c>
    </row>
    <row r="10364" spans="1:20" x14ac:dyDescent="0.3">
      <c r="A10364" t="str">
        <f>"0611838371025"</f>
        <v>0611838371025</v>
      </c>
      <c r="B10364" t="str">
        <f>"MC0593"</f>
        <v>MC0593</v>
      </c>
      <c r="C10364" t="s">
        <v>47346</v>
      </c>
      <c r="D10364" t="s">
        <v>27267</v>
      </c>
      <c r="E10364" t="str">
        <f t="shared" si="161"/>
        <v>001390</v>
      </c>
      <c r="F10364" t="s">
        <v>27246</v>
      </c>
      <c r="G10364" t="s">
        <v>27247</v>
      </c>
      <c r="H10364" t="s">
        <v>27248</v>
      </c>
      <c r="I10364" t="s">
        <v>47347</v>
      </c>
      <c r="J10364" t="s">
        <v>20738</v>
      </c>
      <c r="L10364" t="s">
        <v>27250</v>
      </c>
      <c r="M10364" t="s">
        <v>27251</v>
      </c>
      <c r="N10364" t="s">
        <v>27252</v>
      </c>
      <c r="Q10364" s="1">
        <v>44538</v>
      </c>
      <c r="R10364" t="s">
        <v>27253</v>
      </c>
      <c r="S10364" t="s">
        <v>27254</v>
      </c>
      <c r="T10364" t="s">
        <v>27269</v>
      </c>
    </row>
    <row r="10365" spans="1:20" x14ac:dyDescent="0.3">
      <c r="A10365" t="str">
        <f>"0611838372025"</f>
        <v>0611838372025</v>
      </c>
      <c r="B10365" t="str">
        <f>"MC0605"</f>
        <v>MC0605</v>
      </c>
      <c r="C10365" t="s">
        <v>47348</v>
      </c>
      <c r="D10365" t="s">
        <v>27267</v>
      </c>
      <c r="E10365" t="str">
        <f t="shared" si="161"/>
        <v>001390</v>
      </c>
      <c r="F10365" t="s">
        <v>27246</v>
      </c>
      <c r="G10365" t="s">
        <v>27247</v>
      </c>
      <c r="H10365" t="s">
        <v>27248</v>
      </c>
      <c r="I10365" t="s">
        <v>47349</v>
      </c>
      <c r="J10365" t="s">
        <v>20742</v>
      </c>
      <c r="L10365" t="s">
        <v>27250</v>
      </c>
      <c r="M10365" t="s">
        <v>27251</v>
      </c>
      <c r="N10365" t="s">
        <v>27252</v>
      </c>
      <c r="Q10365" s="1">
        <v>44538</v>
      </c>
      <c r="R10365" t="s">
        <v>27253</v>
      </c>
      <c r="S10365" t="s">
        <v>27254</v>
      </c>
      <c r="T10365" t="s">
        <v>27269</v>
      </c>
    </row>
    <row r="10366" spans="1:20" x14ac:dyDescent="0.3">
      <c r="A10366" t="str">
        <f>"0611863729100"</f>
        <v>0611863729100</v>
      </c>
      <c r="B10366" t="str">
        <f>"CN5341"</f>
        <v>CN5341</v>
      </c>
      <c r="C10366" t="s">
        <v>47348</v>
      </c>
      <c r="D10366" t="s">
        <v>27335</v>
      </c>
      <c r="E10366" t="str">
        <f t="shared" si="161"/>
        <v>001390</v>
      </c>
      <c r="F10366" t="s">
        <v>27246</v>
      </c>
      <c r="G10366" t="s">
        <v>27247</v>
      </c>
      <c r="H10366" t="s">
        <v>27248</v>
      </c>
      <c r="I10366" t="s">
        <v>47350</v>
      </c>
      <c r="J10366" t="s">
        <v>20740</v>
      </c>
      <c r="L10366" t="s">
        <v>27250</v>
      </c>
      <c r="M10366" t="s">
        <v>27251</v>
      </c>
      <c r="N10366" t="s">
        <v>27252</v>
      </c>
      <c r="Q10366" s="1">
        <v>44846</v>
      </c>
      <c r="R10366" t="s">
        <v>27253</v>
      </c>
      <c r="S10366" t="s">
        <v>27254</v>
      </c>
      <c r="T10366" t="s">
        <v>27255</v>
      </c>
    </row>
    <row r="10367" spans="1:20" x14ac:dyDescent="0.3">
      <c r="A10367" t="str">
        <f>"0611863730050"</f>
        <v>0611863730050</v>
      </c>
      <c r="B10367" t="str">
        <f>"CR4436"</f>
        <v>CR4436</v>
      </c>
      <c r="C10367" t="s">
        <v>47348</v>
      </c>
      <c r="D10367" t="s">
        <v>27263</v>
      </c>
      <c r="E10367" t="str">
        <f t="shared" si="161"/>
        <v>001390</v>
      </c>
      <c r="F10367" t="s">
        <v>27246</v>
      </c>
      <c r="G10367" t="s">
        <v>27247</v>
      </c>
      <c r="H10367" t="s">
        <v>27248</v>
      </c>
      <c r="I10367" t="s">
        <v>47351</v>
      </c>
      <c r="J10367" t="s">
        <v>20744</v>
      </c>
      <c r="L10367" t="s">
        <v>27250</v>
      </c>
      <c r="M10367" t="s">
        <v>27251</v>
      </c>
      <c r="N10367" t="s">
        <v>27252</v>
      </c>
      <c r="Q10367" s="1">
        <v>44846</v>
      </c>
      <c r="R10367" t="s">
        <v>27253</v>
      </c>
      <c r="S10367" t="s">
        <v>27254</v>
      </c>
      <c r="T10367" t="s">
        <v>27265</v>
      </c>
    </row>
    <row r="10368" spans="1:20" x14ac:dyDescent="0.3">
      <c r="A10368" t="str">
        <f>"0611863731050"</f>
        <v>0611863731050</v>
      </c>
      <c r="B10368" t="str">
        <f>"CE1010"</f>
        <v>CE1010</v>
      </c>
      <c r="C10368" t="s">
        <v>47352</v>
      </c>
      <c r="D10368" t="s">
        <v>27263</v>
      </c>
      <c r="E10368" t="str">
        <f t="shared" si="161"/>
        <v>001390</v>
      </c>
      <c r="F10368" t="s">
        <v>27246</v>
      </c>
      <c r="G10368" t="s">
        <v>27247</v>
      </c>
      <c r="H10368" t="s">
        <v>27248</v>
      </c>
      <c r="I10368" t="s">
        <v>47353</v>
      </c>
      <c r="J10368" t="s">
        <v>20746</v>
      </c>
      <c r="L10368" t="s">
        <v>27250</v>
      </c>
      <c r="M10368" t="s">
        <v>27251</v>
      </c>
      <c r="N10368" t="s">
        <v>27252</v>
      </c>
      <c r="Q10368" s="1">
        <v>44846</v>
      </c>
      <c r="R10368" t="s">
        <v>27253</v>
      </c>
      <c r="S10368" t="s">
        <v>27254</v>
      </c>
      <c r="T10368" t="s">
        <v>27265</v>
      </c>
    </row>
    <row r="10369" spans="1:20" x14ac:dyDescent="0.3">
      <c r="A10369" t="str">
        <f>"0611838374025"</f>
        <v>0611838374025</v>
      </c>
      <c r="B10369" t="str">
        <f>"MC4355"</f>
        <v>MC4355</v>
      </c>
      <c r="C10369" t="s">
        <v>47354</v>
      </c>
      <c r="D10369" t="s">
        <v>27267</v>
      </c>
      <c r="E10369" t="str">
        <f t="shared" si="161"/>
        <v>001390</v>
      </c>
      <c r="F10369" t="s">
        <v>27246</v>
      </c>
      <c r="G10369" t="s">
        <v>27247</v>
      </c>
      <c r="H10369" t="s">
        <v>27248</v>
      </c>
      <c r="I10369" t="s">
        <v>47355</v>
      </c>
      <c r="J10369" t="s">
        <v>20750</v>
      </c>
      <c r="L10369" t="s">
        <v>27250</v>
      </c>
      <c r="M10369" t="s">
        <v>27251</v>
      </c>
      <c r="N10369" t="s">
        <v>27252</v>
      </c>
      <c r="Q10369" s="1">
        <v>44538</v>
      </c>
      <c r="R10369" t="s">
        <v>27253</v>
      </c>
      <c r="S10369" t="s">
        <v>27254</v>
      </c>
      <c r="T10369" t="s">
        <v>27269</v>
      </c>
    </row>
    <row r="10370" spans="1:20" x14ac:dyDescent="0.3">
      <c r="A10370" t="str">
        <f>"0611863732050"</f>
        <v>0611863732050</v>
      </c>
      <c r="B10370" t="str">
        <f>"CR4418"</f>
        <v>CR4418</v>
      </c>
      <c r="C10370" t="s">
        <v>47354</v>
      </c>
      <c r="D10370" t="s">
        <v>27263</v>
      </c>
      <c r="E10370" t="str">
        <f t="shared" ref="E10370:E10433" si="162">"001390"</f>
        <v>001390</v>
      </c>
      <c r="F10370" t="s">
        <v>27246</v>
      </c>
      <c r="G10370" t="s">
        <v>27247</v>
      </c>
      <c r="H10370" t="s">
        <v>27248</v>
      </c>
      <c r="I10370" t="s">
        <v>47356</v>
      </c>
      <c r="J10370" t="s">
        <v>20752</v>
      </c>
      <c r="L10370" t="s">
        <v>27250</v>
      </c>
      <c r="M10370" t="s">
        <v>27251</v>
      </c>
      <c r="N10370" t="s">
        <v>27252</v>
      </c>
      <c r="Q10370" s="1">
        <v>44846</v>
      </c>
      <c r="R10370" t="s">
        <v>27253</v>
      </c>
      <c r="S10370" t="s">
        <v>27254</v>
      </c>
      <c r="T10370" t="s">
        <v>27265</v>
      </c>
    </row>
    <row r="10371" spans="1:20" x14ac:dyDescent="0.3">
      <c r="A10371" t="str">
        <f>"0611863733100"</f>
        <v>0611863733100</v>
      </c>
      <c r="B10371" t="str">
        <f>"CN5298"</f>
        <v>CN5298</v>
      </c>
      <c r="C10371" t="s">
        <v>47354</v>
      </c>
      <c r="D10371" t="s">
        <v>27335</v>
      </c>
      <c r="E10371" t="str">
        <f t="shared" si="162"/>
        <v>001390</v>
      </c>
      <c r="F10371" t="s">
        <v>27246</v>
      </c>
      <c r="G10371" t="s">
        <v>27247</v>
      </c>
      <c r="H10371" t="s">
        <v>27248</v>
      </c>
      <c r="I10371" t="s">
        <v>47357</v>
      </c>
      <c r="J10371" t="s">
        <v>20748</v>
      </c>
      <c r="L10371" t="s">
        <v>27250</v>
      </c>
      <c r="M10371" t="s">
        <v>27251</v>
      </c>
      <c r="N10371" t="s">
        <v>27252</v>
      </c>
      <c r="Q10371" s="1">
        <v>44846</v>
      </c>
      <c r="R10371" t="s">
        <v>27253</v>
      </c>
      <c r="S10371" t="s">
        <v>27254</v>
      </c>
      <c r="T10371" t="s">
        <v>27255</v>
      </c>
    </row>
    <row r="10372" spans="1:20" x14ac:dyDescent="0.3">
      <c r="A10372" t="str">
        <f>"0611838375025"</f>
        <v>0611838375025</v>
      </c>
      <c r="B10372" t="str">
        <f>"MQ0313"</f>
        <v>MQ0313</v>
      </c>
      <c r="C10372" t="s">
        <v>47358</v>
      </c>
      <c r="D10372" t="s">
        <v>27267</v>
      </c>
      <c r="E10372" t="str">
        <f t="shared" si="162"/>
        <v>001390</v>
      </c>
      <c r="F10372" t="s">
        <v>27246</v>
      </c>
      <c r="G10372" t="s">
        <v>27247</v>
      </c>
      <c r="H10372" t="s">
        <v>27248</v>
      </c>
      <c r="I10372" t="s">
        <v>47359</v>
      </c>
      <c r="J10372" t="s">
        <v>20754</v>
      </c>
      <c r="L10372" t="s">
        <v>27250</v>
      </c>
      <c r="M10372" t="s">
        <v>27251</v>
      </c>
      <c r="N10372" t="s">
        <v>27252</v>
      </c>
      <c r="Q10372" s="1">
        <v>44538</v>
      </c>
      <c r="R10372" t="s">
        <v>27253</v>
      </c>
      <c r="S10372" t="s">
        <v>27254</v>
      </c>
      <c r="T10372" t="s">
        <v>27269</v>
      </c>
    </row>
    <row r="10373" spans="1:20" x14ac:dyDescent="0.3">
      <c r="A10373" t="str">
        <f>"0611838376025"</f>
        <v>0611838376025</v>
      </c>
      <c r="B10373" t="str">
        <f>"MC1477"</f>
        <v>MC1477</v>
      </c>
      <c r="C10373" t="s">
        <v>47360</v>
      </c>
      <c r="D10373" t="s">
        <v>27267</v>
      </c>
      <c r="E10373" t="str">
        <f t="shared" si="162"/>
        <v>001390</v>
      </c>
      <c r="F10373" t="s">
        <v>27246</v>
      </c>
      <c r="G10373" t="s">
        <v>27247</v>
      </c>
      <c r="H10373" t="s">
        <v>27248</v>
      </c>
      <c r="I10373" t="s">
        <v>47361</v>
      </c>
      <c r="J10373" t="s">
        <v>20756</v>
      </c>
      <c r="L10373" t="s">
        <v>27250</v>
      </c>
      <c r="M10373" t="s">
        <v>27251</v>
      </c>
      <c r="N10373" t="s">
        <v>27252</v>
      </c>
      <c r="Q10373" s="1">
        <v>44538</v>
      </c>
      <c r="R10373" t="s">
        <v>27253</v>
      </c>
      <c r="S10373" t="s">
        <v>27254</v>
      </c>
      <c r="T10373" t="s">
        <v>27269</v>
      </c>
    </row>
    <row r="10374" spans="1:20" x14ac:dyDescent="0.3">
      <c r="A10374" t="str">
        <f>"0611838377100"</f>
        <v>0611838377100</v>
      </c>
      <c r="B10374" t="str">
        <f>"LH8055"</f>
        <v>LH8055</v>
      </c>
      <c r="C10374" t="s">
        <v>47362</v>
      </c>
      <c r="D10374" t="s">
        <v>27245</v>
      </c>
      <c r="E10374" t="str">
        <f t="shared" si="162"/>
        <v>001390</v>
      </c>
      <c r="F10374" t="s">
        <v>27246</v>
      </c>
      <c r="G10374" t="s">
        <v>27247</v>
      </c>
      <c r="H10374" t="s">
        <v>27248</v>
      </c>
      <c r="I10374" t="s">
        <v>47363</v>
      </c>
      <c r="J10374" t="s">
        <v>20758</v>
      </c>
      <c r="L10374" t="s">
        <v>27250</v>
      </c>
      <c r="M10374" t="s">
        <v>27251</v>
      </c>
      <c r="N10374" t="s">
        <v>27252</v>
      </c>
      <c r="Q10374" s="1">
        <v>44538</v>
      </c>
      <c r="R10374" t="s">
        <v>27253</v>
      </c>
      <c r="S10374" t="s">
        <v>27254</v>
      </c>
      <c r="T10374" t="s">
        <v>27255</v>
      </c>
    </row>
    <row r="10375" spans="1:20" x14ac:dyDescent="0.3">
      <c r="A10375" t="str">
        <f>"0611838378025"</f>
        <v>0611838378025</v>
      </c>
      <c r="B10375" t="str">
        <f>"MC3787"</f>
        <v>MC3787</v>
      </c>
      <c r="C10375" t="s">
        <v>47362</v>
      </c>
      <c r="D10375" t="s">
        <v>27267</v>
      </c>
      <c r="E10375" t="str">
        <f t="shared" si="162"/>
        <v>001390</v>
      </c>
      <c r="F10375" t="s">
        <v>27246</v>
      </c>
      <c r="G10375" t="s">
        <v>27247</v>
      </c>
      <c r="H10375" t="s">
        <v>27248</v>
      </c>
      <c r="I10375" t="s">
        <v>47364</v>
      </c>
      <c r="J10375" t="s">
        <v>20760</v>
      </c>
      <c r="L10375" t="s">
        <v>27250</v>
      </c>
      <c r="M10375" t="s">
        <v>27251</v>
      </c>
      <c r="N10375" t="s">
        <v>27252</v>
      </c>
      <c r="Q10375" s="1">
        <v>44538</v>
      </c>
      <c r="R10375" t="s">
        <v>27253</v>
      </c>
      <c r="S10375" t="s">
        <v>27254</v>
      </c>
      <c r="T10375" t="s">
        <v>27269</v>
      </c>
    </row>
    <row r="10376" spans="1:20" x14ac:dyDescent="0.3">
      <c r="A10376" t="str">
        <f>"0611838379025"</f>
        <v>0611838379025</v>
      </c>
      <c r="B10376" t="str">
        <f>"MC0606"</f>
        <v>MC0606</v>
      </c>
      <c r="C10376" t="s">
        <v>47365</v>
      </c>
      <c r="D10376" t="s">
        <v>27267</v>
      </c>
      <c r="E10376" t="str">
        <f t="shared" si="162"/>
        <v>001390</v>
      </c>
      <c r="F10376" t="s">
        <v>27246</v>
      </c>
      <c r="G10376" t="s">
        <v>27247</v>
      </c>
      <c r="H10376" t="s">
        <v>27248</v>
      </c>
      <c r="I10376" t="s">
        <v>47366</v>
      </c>
      <c r="J10376" t="s">
        <v>20764</v>
      </c>
      <c r="L10376" t="s">
        <v>27250</v>
      </c>
      <c r="M10376" t="s">
        <v>27251</v>
      </c>
      <c r="N10376" t="s">
        <v>27252</v>
      </c>
      <c r="Q10376" s="1">
        <v>44538</v>
      </c>
      <c r="R10376" t="s">
        <v>27253</v>
      </c>
      <c r="S10376" t="s">
        <v>27254</v>
      </c>
      <c r="T10376" t="s">
        <v>27269</v>
      </c>
    </row>
    <row r="10377" spans="1:20" x14ac:dyDescent="0.3">
      <c r="A10377" t="str">
        <f>"0611863734100"</f>
        <v>0611863734100</v>
      </c>
      <c r="B10377" t="str">
        <f>"CN5342"</f>
        <v>CN5342</v>
      </c>
      <c r="C10377" t="s">
        <v>47365</v>
      </c>
      <c r="D10377" t="s">
        <v>27335</v>
      </c>
      <c r="E10377" t="str">
        <f t="shared" si="162"/>
        <v>001390</v>
      </c>
      <c r="F10377" t="s">
        <v>27246</v>
      </c>
      <c r="G10377" t="s">
        <v>27247</v>
      </c>
      <c r="H10377" t="s">
        <v>27248</v>
      </c>
      <c r="I10377" t="s">
        <v>47367</v>
      </c>
      <c r="J10377" t="s">
        <v>20762</v>
      </c>
      <c r="L10377" t="s">
        <v>27250</v>
      </c>
      <c r="M10377" t="s">
        <v>27251</v>
      </c>
      <c r="N10377" t="s">
        <v>27252</v>
      </c>
      <c r="Q10377" s="1">
        <v>44846</v>
      </c>
      <c r="R10377" t="s">
        <v>27253</v>
      </c>
      <c r="S10377" t="s">
        <v>27254</v>
      </c>
      <c r="T10377" t="s">
        <v>27255</v>
      </c>
    </row>
    <row r="10378" spans="1:20" x14ac:dyDescent="0.3">
      <c r="A10378" t="str">
        <f>"0611863735050"</f>
        <v>0611863735050</v>
      </c>
      <c r="B10378" t="str">
        <f>"CR4432"</f>
        <v>CR4432</v>
      </c>
      <c r="C10378" t="s">
        <v>47365</v>
      </c>
      <c r="D10378" t="s">
        <v>27263</v>
      </c>
      <c r="E10378" t="str">
        <f t="shared" si="162"/>
        <v>001390</v>
      </c>
      <c r="F10378" t="s">
        <v>27246</v>
      </c>
      <c r="G10378" t="s">
        <v>27247</v>
      </c>
      <c r="H10378" t="s">
        <v>27248</v>
      </c>
      <c r="I10378" t="s">
        <v>47368</v>
      </c>
      <c r="J10378" t="s">
        <v>20766</v>
      </c>
      <c r="L10378" t="s">
        <v>27250</v>
      </c>
      <c r="M10378" t="s">
        <v>27251</v>
      </c>
      <c r="N10378" t="s">
        <v>27252</v>
      </c>
      <c r="Q10378" s="1">
        <v>44846</v>
      </c>
      <c r="R10378" t="s">
        <v>27253</v>
      </c>
      <c r="S10378" t="s">
        <v>27254</v>
      </c>
      <c r="T10378" t="s">
        <v>27265</v>
      </c>
    </row>
    <row r="10379" spans="1:20" x14ac:dyDescent="0.3">
      <c r="A10379" t="str">
        <f>"0611838380025"</f>
        <v>0611838380025</v>
      </c>
      <c r="B10379" t="str">
        <f>"MC0594"</f>
        <v>MC0594</v>
      </c>
      <c r="C10379" t="s">
        <v>47369</v>
      </c>
      <c r="D10379" t="s">
        <v>27267</v>
      </c>
      <c r="E10379" t="str">
        <f t="shared" si="162"/>
        <v>001390</v>
      </c>
      <c r="F10379" t="s">
        <v>27246</v>
      </c>
      <c r="G10379" t="s">
        <v>27247</v>
      </c>
      <c r="H10379" t="s">
        <v>27248</v>
      </c>
      <c r="I10379" t="s">
        <v>47370</v>
      </c>
      <c r="J10379" t="s">
        <v>20768</v>
      </c>
      <c r="L10379" t="s">
        <v>27250</v>
      </c>
      <c r="M10379" t="s">
        <v>27251</v>
      </c>
      <c r="N10379" t="s">
        <v>27252</v>
      </c>
      <c r="Q10379" s="1">
        <v>44538</v>
      </c>
      <c r="R10379" t="s">
        <v>27253</v>
      </c>
      <c r="S10379" t="s">
        <v>27254</v>
      </c>
      <c r="T10379" t="s">
        <v>27269</v>
      </c>
    </row>
    <row r="10380" spans="1:20" x14ac:dyDescent="0.3">
      <c r="A10380" t="str">
        <f>"0611838382025"</f>
        <v>0611838382025</v>
      </c>
      <c r="B10380" t="str">
        <f>"MC2847"</f>
        <v>MC2847</v>
      </c>
      <c r="C10380" t="s">
        <v>47371</v>
      </c>
      <c r="D10380" t="s">
        <v>27267</v>
      </c>
      <c r="E10380" t="str">
        <f t="shared" si="162"/>
        <v>001390</v>
      </c>
      <c r="F10380" t="s">
        <v>27246</v>
      </c>
      <c r="G10380" t="s">
        <v>27247</v>
      </c>
      <c r="H10380" t="s">
        <v>27248</v>
      </c>
      <c r="I10380" t="s">
        <v>47372</v>
      </c>
      <c r="J10380" t="s">
        <v>20772</v>
      </c>
      <c r="L10380" t="s">
        <v>27250</v>
      </c>
      <c r="M10380" t="s">
        <v>27251</v>
      </c>
      <c r="N10380" t="s">
        <v>27252</v>
      </c>
      <c r="Q10380" s="1">
        <v>44538</v>
      </c>
      <c r="R10380" t="s">
        <v>27253</v>
      </c>
      <c r="S10380" t="s">
        <v>27254</v>
      </c>
      <c r="T10380" t="s">
        <v>27269</v>
      </c>
    </row>
    <row r="10381" spans="1:20" x14ac:dyDescent="0.3">
      <c r="A10381" t="str">
        <f>"0611863736100"</f>
        <v>0611863736100</v>
      </c>
      <c r="B10381" t="str">
        <f>"CN5343"</f>
        <v>CN5343</v>
      </c>
      <c r="C10381" t="s">
        <v>47371</v>
      </c>
      <c r="D10381" t="s">
        <v>27335</v>
      </c>
      <c r="E10381" t="str">
        <f t="shared" si="162"/>
        <v>001390</v>
      </c>
      <c r="F10381" t="s">
        <v>27246</v>
      </c>
      <c r="G10381" t="s">
        <v>27247</v>
      </c>
      <c r="H10381" t="s">
        <v>27248</v>
      </c>
      <c r="I10381" t="s">
        <v>47373</v>
      </c>
      <c r="J10381" t="s">
        <v>20770</v>
      </c>
      <c r="L10381" t="s">
        <v>27250</v>
      </c>
      <c r="M10381" t="s">
        <v>27251</v>
      </c>
      <c r="N10381" t="s">
        <v>27252</v>
      </c>
      <c r="Q10381" s="1">
        <v>44846</v>
      </c>
      <c r="R10381" t="s">
        <v>27253</v>
      </c>
      <c r="S10381" t="s">
        <v>27254</v>
      </c>
      <c r="T10381" t="s">
        <v>27255</v>
      </c>
    </row>
    <row r="10382" spans="1:20" x14ac:dyDescent="0.3">
      <c r="A10382" t="str">
        <f>"0611863737050"</f>
        <v>0611863737050</v>
      </c>
      <c r="B10382" t="str">
        <f>"CR4434"</f>
        <v>CR4434</v>
      </c>
      <c r="C10382" t="s">
        <v>47371</v>
      </c>
      <c r="D10382" t="s">
        <v>27263</v>
      </c>
      <c r="E10382" t="str">
        <f t="shared" si="162"/>
        <v>001390</v>
      </c>
      <c r="F10382" t="s">
        <v>27246</v>
      </c>
      <c r="G10382" t="s">
        <v>27247</v>
      </c>
      <c r="H10382" t="s">
        <v>27248</v>
      </c>
      <c r="I10382" t="s">
        <v>47374</v>
      </c>
      <c r="J10382" t="s">
        <v>20774</v>
      </c>
      <c r="L10382" t="s">
        <v>27250</v>
      </c>
      <c r="M10382" t="s">
        <v>27251</v>
      </c>
      <c r="N10382" t="s">
        <v>27252</v>
      </c>
      <c r="Q10382" s="1">
        <v>44846</v>
      </c>
      <c r="R10382" t="s">
        <v>27253</v>
      </c>
      <c r="S10382" t="s">
        <v>27254</v>
      </c>
      <c r="T10382" t="s">
        <v>27265</v>
      </c>
    </row>
    <row r="10383" spans="1:20" x14ac:dyDescent="0.3">
      <c r="A10383" t="str">
        <f>"0611857078025"</f>
        <v>0611857078025</v>
      </c>
      <c r="B10383" t="str">
        <f>"MC4425"</f>
        <v>MC4425</v>
      </c>
      <c r="C10383" t="s">
        <v>47375</v>
      </c>
      <c r="D10383" t="s">
        <v>27267</v>
      </c>
      <c r="E10383" t="str">
        <f t="shared" si="162"/>
        <v>001390</v>
      </c>
      <c r="F10383" t="s">
        <v>27246</v>
      </c>
      <c r="G10383" t="s">
        <v>27247</v>
      </c>
      <c r="H10383" t="s">
        <v>27248</v>
      </c>
      <c r="I10383" t="s">
        <v>47376</v>
      </c>
      <c r="J10383" t="s">
        <v>20776</v>
      </c>
      <c r="L10383" t="s">
        <v>27250</v>
      </c>
      <c r="M10383" t="s">
        <v>27251</v>
      </c>
      <c r="N10383" t="s">
        <v>27252</v>
      </c>
      <c r="Q10383" s="1">
        <v>44812</v>
      </c>
      <c r="R10383" t="s">
        <v>27253</v>
      </c>
      <c r="S10383" t="s">
        <v>27254</v>
      </c>
      <c r="T10383" t="s">
        <v>27269</v>
      </c>
    </row>
    <row r="10384" spans="1:20" x14ac:dyDescent="0.3">
      <c r="A10384" t="str">
        <f>"0611863738100"</f>
        <v>0611863738100</v>
      </c>
      <c r="B10384" t="str">
        <f>"CN2387"</f>
        <v>CN2387</v>
      </c>
      <c r="C10384" t="s">
        <v>47377</v>
      </c>
      <c r="D10384" t="s">
        <v>27339</v>
      </c>
      <c r="E10384" t="str">
        <f t="shared" si="162"/>
        <v>001390</v>
      </c>
      <c r="F10384" t="s">
        <v>27246</v>
      </c>
      <c r="G10384" t="s">
        <v>27247</v>
      </c>
      <c r="H10384" t="s">
        <v>27248</v>
      </c>
      <c r="I10384" t="s">
        <v>47378</v>
      </c>
      <c r="J10384" t="s">
        <v>20778</v>
      </c>
      <c r="L10384" t="s">
        <v>27250</v>
      </c>
      <c r="M10384" t="s">
        <v>27251</v>
      </c>
      <c r="N10384" t="s">
        <v>27252</v>
      </c>
      <c r="P10384" t="s">
        <v>27341</v>
      </c>
      <c r="Q10384" s="1">
        <v>44846</v>
      </c>
      <c r="R10384" t="s">
        <v>27253</v>
      </c>
      <c r="S10384" t="s">
        <v>27254</v>
      </c>
      <c r="T10384" t="s">
        <v>27255</v>
      </c>
    </row>
    <row r="10385" spans="1:20" x14ac:dyDescent="0.3">
      <c r="A10385" t="str">
        <f>"0611863739100"</f>
        <v>0611863739100</v>
      </c>
      <c r="B10385" t="str">
        <f>"CN5303"</f>
        <v>CN5303</v>
      </c>
      <c r="C10385" t="s">
        <v>47379</v>
      </c>
      <c r="D10385" t="s">
        <v>27339</v>
      </c>
      <c r="E10385" t="str">
        <f t="shared" si="162"/>
        <v>001390</v>
      </c>
      <c r="F10385" t="s">
        <v>27246</v>
      </c>
      <c r="G10385" t="s">
        <v>27247</v>
      </c>
      <c r="H10385" t="s">
        <v>27248</v>
      </c>
      <c r="I10385" t="s">
        <v>47380</v>
      </c>
      <c r="J10385" t="s">
        <v>20780</v>
      </c>
      <c r="L10385" t="s">
        <v>27250</v>
      </c>
      <c r="M10385" t="s">
        <v>27251</v>
      </c>
      <c r="N10385" t="s">
        <v>27252</v>
      </c>
      <c r="P10385" t="s">
        <v>27341</v>
      </c>
      <c r="Q10385" s="1">
        <v>44846</v>
      </c>
      <c r="R10385" t="s">
        <v>27253</v>
      </c>
      <c r="S10385" t="s">
        <v>27254</v>
      </c>
      <c r="T10385" t="s">
        <v>27255</v>
      </c>
    </row>
    <row r="10386" spans="1:20" x14ac:dyDescent="0.3">
      <c r="A10386" t="str">
        <f>"0611863740050"</f>
        <v>0611863740050</v>
      </c>
      <c r="B10386" t="str">
        <f>"CR3817"</f>
        <v>CR3817</v>
      </c>
      <c r="C10386" t="s">
        <v>47379</v>
      </c>
      <c r="D10386" t="s">
        <v>27271</v>
      </c>
      <c r="E10386" t="str">
        <f t="shared" si="162"/>
        <v>001390</v>
      </c>
      <c r="F10386" t="s">
        <v>27246</v>
      </c>
      <c r="G10386" t="s">
        <v>27247</v>
      </c>
      <c r="H10386" t="s">
        <v>27248</v>
      </c>
      <c r="I10386" t="s">
        <v>47381</v>
      </c>
      <c r="J10386" t="s">
        <v>20782</v>
      </c>
      <c r="L10386" t="s">
        <v>27250</v>
      </c>
      <c r="M10386" t="s">
        <v>27251</v>
      </c>
      <c r="N10386" t="s">
        <v>27252</v>
      </c>
      <c r="P10386" t="s">
        <v>27341</v>
      </c>
      <c r="Q10386" s="1">
        <v>44846</v>
      </c>
      <c r="R10386" t="s">
        <v>27253</v>
      </c>
      <c r="S10386" t="s">
        <v>27254</v>
      </c>
      <c r="T10386" t="s">
        <v>27265</v>
      </c>
    </row>
    <row r="10387" spans="1:20" x14ac:dyDescent="0.3">
      <c r="A10387" t="str">
        <f>"0611863741100"</f>
        <v>0611863741100</v>
      </c>
      <c r="B10387" t="str">
        <f>"CN2388"</f>
        <v>CN2388</v>
      </c>
      <c r="C10387" t="s">
        <v>47382</v>
      </c>
      <c r="D10387" t="s">
        <v>27339</v>
      </c>
      <c r="E10387" t="str">
        <f t="shared" si="162"/>
        <v>001390</v>
      </c>
      <c r="F10387" t="s">
        <v>27246</v>
      </c>
      <c r="G10387" t="s">
        <v>27247</v>
      </c>
      <c r="H10387" t="s">
        <v>27248</v>
      </c>
      <c r="I10387" t="s">
        <v>47383</v>
      </c>
      <c r="J10387" t="s">
        <v>20784</v>
      </c>
      <c r="L10387" t="s">
        <v>27250</v>
      </c>
      <c r="M10387" t="s">
        <v>27251</v>
      </c>
      <c r="N10387" t="s">
        <v>27252</v>
      </c>
      <c r="P10387" t="s">
        <v>27341</v>
      </c>
      <c r="Q10387" s="1">
        <v>44846</v>
      </c>
      <c r="R10387" t="s">
        <v>27253</v>
      </c>
      <c r="S10387" t="s">
        <v>27254</v>
      </c>
      <c r="T10387" t="s">
        <v>27255</v>
      </c>
    </row>
    <row r="10388" spans="1:20" x14ac:dyDescent="0.3">
      <c r="A10388" t="str">
        <f>"0611863742100"</f>
        <v>0611863742100</v>
      </c>
      <c r="B10388" t="str">
        <f>"CN5304"</f>
        <v>CN5304</v>
      </c>
      <c r="C10388" t="s">
        <v>47384</v>
      </c>
      <c r="D10388" t="s">
        <v>27339</v>
      </c>
      <c r="E10388" t="str">
        <f t="shared" si="162"/>
        <v>001390</v>
      </c>
      <c r="F10388" t="s">
        <v>27246</v>
      </c>
      <c r="G10388" t="s">
        <v>27247</v>
      </c>
      <c r="H10388" t="s">
        <v>27248</v>
      </c>
      <c r="I10388" t="s">
        <v>47385</v>
      </c>
      <c r="J10388" t="s">
        <v>20786</v>
      </c>
      <c r="L10388" t="s">
        <v>27250</v>
      </c>
      <c r="M10388" t="s">
        <v>27251</v>
      </c>
      <c r="N10388" t="s">
        <v>27252</v>
      </c>
      <c r="P10388" t="s">
        <v>27341</v>
      </c>
      <c r="Q10388" s="1">
        <v>44846</v>
      </c>
      <c r="R10388" t="s">
        <v>27253</v>
      </c>
      <c r="S10388" t="s">
        <v>27254</v>
      </c>
      <c r="T10388" t="s">
        <v>27255</v>
      </c>
    </row>
    <row r="10389" spans="1:20" x14ac:dyDescent="0.3">
      <c r="A10389" t="str">
        <f>"0611863743050"</f>
        <v>0611863743050</v>
      </c>
      <c r="B10389" t="str">
        <f>"CR4872"</f>
        <v>CR4872</v>
      </c>
      <c r="C10389" t="s">
        <v>47384</v>
      </c>
      <c r="D10389" t="s">
        <v>27271</v>
      </c>
      <c r="E10389" t="str">
        <f t="shared" si="162"/>
        <v>001390</v>
      </c>
      <c r="F10389" t="s">
        <v>27246</v>
      </c>
      <c r="G10389" t="s">
        <v>27247</v>
      </c>
      <c r="H10389" t="s">
        <v>27248</v>
      </c>
      <c r="I10389" t="s">
        <v>47386</v>
      </c>
      <c r="J10389" t="s">
        <v>20788</v>
      </c>
      <c r="L10389" t="s">
        <v>27250</v>
      </c>
      <c r="M10389" t="s">
        <v>27251</v>
      </c>
      <c r="N10389" t="s">
        <v>27252</v>
      </c>
      <c r="P10389" t="s">
        <v>27341</v>
      </c>
      <c r="Q10389" s="1">
        <v>44846</v>
      </c>
      <c r="R10389" t="s">
        <v>27253</v>
      </c>
      <c r="S10389" t="s">
        <v>27254</v>
      </c>
      <c r="T10389" t="s">
        <v>27265</v>
      </c>
    </row>
    <row r="10390" spans="1:20" x14ac:dyDescent="0.3">
      <c r="A10390" t="str">
        <f>"0611863744100"</f>
        <v>0611863744100</v>
      </c>
      <c r="B10390" t="str">
        <f>"CN5307"</f>
        <v>CN5307</v>
      </c>
      <c r="C10390" t="s">
        <v>47387</v>
      </c>
      <c r="D10390" t="s">
        <v>27339</v>
      </c>
      <c r="E10390" t="str">
        <f t="shared" si="162"/>
        <v>001390</v>
      </c>
      <c r="F10390" t="s">
        <v>27246</v>
      </c>
      <c r="G10390" t="s">
        <v>27247</v>
      </c>
      <c r="H10390" t="s">
        <v>27248</v>
      </c>
      <c r="I10390" t="s">
        <v>47388</v>
      </c>
      <c r="J10390" t="s">
        <v>20790</v>
      </c>
      <c r="L10390" t="s">
        <v>27250</v>
      </c>
      <c r="M10390" t="s">
        <v>27251</v>
      </c>
      <c r="N10390" t="s">
        <v>27252</v>
      </c>
      <c r="P10390" t="s">
        <v>27341</v>
      </c>
      <c r="Q10390" s="1">
        <v>44846</v>
      </c>
      <c r="R10390" t="s">
        <v>27253</v>
      </c>
      <c r="S10390" t="s">
        <v>27254</v>
      </c>
      <c r="T10390" t="s">
        <v>27255</v>
      </c>
    </row>
    <row r="10391" spans="1:20" x14ac:dyDescent="0.3">
      <c r="A10391" t="str">
        <f>"0611863745050"</f>
        <v>0611863745050</v>
      </c>
      <c r="B10391" t="str">
        <f>"CR3939"</f>
        <v>CR3939</v>
      </c>
      <c r="C10391" t="s">
        <v>47387</v>
      </c>
      <c r="D10391" t="s">
        <v>27271</v>
      </c>
      <c r="E10391" t="str">
        <f t="shared" si="162"/>
        <v>001390</v>
      </c>
      <c r="F10391" t="s">
        <v>27246</v>
      </c>
      <c r="G10391" t="s">
        <v>27247</v>
      </c>
      <c r="H10391" t="s">
        <v>27248</v>
      </c>
      <c r="I10391" t="s">
        <v>47389</v>
      </c>
      <c r="J10391" t="s">
        <v>20792</v>
      </c>
      <c r="L10391" t="s">
        <v>27250</v>
      </c>
      <c r="M10391" t="s">
        <v>27251</v>
      </c>
      <c r="N10391" t="s">
        <v>27252</v>
      </c>
      <c r="P10391" t="s">
        <v>27341</v>
      </c>
      <c r="Q10391" s="1">
        <v>44846</v>
      </c>
      <c r="R10391" t="s">
        <v>27253</v>
      </c>
      <c r="S10391" t="s">
        <v>27254</v>
      </c>
      <c r="T10391" t="s">
        <v>27265</v>
      </c>
    </row>
    <row r="10392" spans="1:20" x14ac:dyDescent="0.3">
      <c r="A10392" t="str">
        <f>"0611863746100"</f>
        <v>0611863746100</v>
      </c>
      <c r="B10392" t="str">
        <f>"CN5305"</f>
        <v>CN5305</v>
      </c>
      <c r="C10392" t="s">
        <v>47390</v>
      </c>
      <c r="D10392" t="s">
        <v>27339</v>
      </c>
      <c r="E10392" t="str">
        <f t="shared" si="162"/>
        <v>001390</v>
      </c>
      <c r="F10392" t="s">
        <v>27246</v>
      </c>
      <c r="G10392" t="s">
        <v>27247</v>
      </c>
      <c r="H10392" t="s">
        <v>27248</v>
      </c>
      <c r="I10392" t="s">
        <v>47391</v>
      </c>
      <c r="J10392" t="s">
        <v>20794</v>
      </c>
      <c r="L10392" t="s">
        <v>27250</v>
      </c>
      <c r="M10392" t="s">
        <v>27251</v>
      </c>
      <c r="N10392" t="s">
        <v>27252</v>
      </c>
      <c r="P10392" t="s">
        <v>27341</v>
      </c>
      <c r="Q10392" s="1">
        <v>44846</v>
      </c>
      <c r="R10392" t="s">
        <v>27253</v>
      </c>
      <c r="S10392" t="s">
        <v>27254</v>
      </c>
      <c r="T10392" t="s">
        <v>27255</v>
      </c>
    </row>
    <row r="10393" spans="1:20" x14ac:dyDescent="0.3">
      <c r="A10393" t="str">
        <f>"0611863747100"</f>
        <v>0611863747100</v>
      </c>
      <c r="B10393" t="str">
        <f>"CN5306"</f>
        <v>CN5306</v>
      </c>
      <c r="C10393" t="s">
        <v>47392</v>
      </c>
      <c r="D10393" t="s">
        <v>27339</v>
      </c>
      <c r="E10393" t="str">
        <f t="shared" si="162"/>
        <v>001390</v>
      </c>
      <c r="F10393" t="s">
        <v>27246</v>
      </c>
      <c r="G10393" t="s">
        <v>27247</v>
      </c>
      <c r="H10393" t="s">
        <v>27248</v>
      </c>
      <c r="I10393" t="s">
        <v>47393</v>
      </c>
      <c r="J10393" t="s">
        <v>20796</v>
      </c>
      <c r="L10393" t="s">
        <v>27250</v>
      </c>
      <c r="M10393" t="s">
        <v>27251</v>
      </c>
      <c r="N10393" t="s">
        <v>27252</v>
      </c>
      <c r="P10393" t="s">
        <v>27341</v>
      </c>
      <c r="Q10393" s="1">
        <v>44846</v>
      </c>
      <c r="R10393" t="s">
        <v>27253</v>
      </c>
      <c r="S10393" t="s">
        <v>27254</v>
      </c>
      <c r="T10393" t="s">
        <v>27255</v>
      </c>
    </row>
    <row r="10394" spans="1:20" x14ac:dyDescent="0.3">
      <c r="A10394" t="str">
        <f>"0611863748050"</f>
        <v>0611863748050</v>
      </c>
      <c r="B10394" t="str">
        <f>"CR3819"</f>
        <v>CR3819</v>
      </c>
      <c r="C10394" t="s">
        <v>47392</v>
      </c>
      <c r="D10394" t="s">
        <v>27271</v>
      </c>
      <c r="E10394" t="str">
        <f t="shared" si="162"/>
        <v>001390</v>
      </c>
      <c r="F10394" t="s">
        <v>27246</v>
      </c>
      <c r="G10394" t="s">
        <v>27247</v>
      </c>
      <c r="H10394" t="s">
        <v>27248</v>
      </c>
      <c r="I10394" t="s">
        <v>47394</v>
      </c>
      <c r="J10394" t="s">
        <v>20798</v>
      </c>
      <c r="L10394" t="s">
        <v>27250</v>
      </c>
      <c r="M10394" t="s">
        <v>27251</v>
      </c>
      <c r="N10394" t="s">
        <v>27252</v>
      </c>
      <c r="P10394" t="s">
        <v>27341</v>
      </c>
      <c r="Q10394" s="1">
        <v>44846</v>
      </c>
      <c r="R10394" t="s">
        <v>27253</v>
      </c>
      <c r="S10394" t="s">
        <v>27254</v>
      </c>
      <c r="T10394" t="s">
        <v>27265</v>
      </c>
    </row>
    <row r="10395" spans="1:20" x14ac:dyDescent="0.3">
      <c r="A10395" t="str">
        <f>"0611863749100"</f>
        <v>0611863749100</v>
      </c>
      <c r="B10395" t="str">
        <f>"CN5308"</f>
        <v>CN5308</v>
      </c>
      <c r="C10395" t="s">
        <v>47395</v>
      </c>
      <c r="D10395" t="s">
        <v>27339</v>
      </c>
      <c r="E10395" t="str">
        <f t="shared" si="162"/>
        <v>001390</v>
      </c>
      <c r="F10395" t="s">
        <v>27246</v>
      </c>
      <c r="G10395" t="s">
        <v>27247</v>
      </c>
      <c r="H10395" t="s">
        <v>27248</v>
      </c>
      <c r="I10395" t="s">
        <v>47396</v>
      </c>
      <c r="J10395" t="s">
        <v>20800</v>
      </c>
      <c r="L10395" t="s">
        <v>27250</v>
      </c>
      <c r="M10395" t="s">
        <v>27251</v>
      </c>
      <c r="N10395" t="s">
        <v>27252</v>
      </c>
      <c r="P10395" t="s">
        <v>27341</v>
      </c>
      <c r="Q10395" s="1">
        <v>44846</v>
      </c>
      <c r="R10395" t="s">
        <v>27253</v>
      </c>
      <c r="S10395" t="s">
        <v>27254</v>
      </c>
      <c r="T10395" t="s">
        <v>27255</v>
      </c>
    </row>
    <row r="10396" spans="1:20" x14ac:dyDescent="0.3">
      <c r="A10396" t="str">
        <f>"0611863751100"</f>
        <v>0611863751100</v>
      </c>
      <c r="B10396" t="str">
        <f>"CN5309"</f>
        <v>CN5309</v>
      </c>
      <c r="C10396" t="s">
        <v>47397</v>
      </c>
      <c r="D10396" t="s">
        <v>27339</v>
      </c>
      <c r="E10396" t="str">
        <f t="shared" si="162"/>
        <v>001390</v>
      </c>
      <c r="F10396" t="s">
        <v>27246</v>
      </c>
      <c r="G10396" t="s">
        <v>27247</v>
      </c>
      <c r="H10396" t="s">
        <v>27248</v>
      </c>
      <c r="I10396" t="s">
        <v>47398</v>
      </c>
      <c r="J10396" t="s">
        <v>20802</v>
      </c>
      <c r="L10396" t="s">
        <v>27250</v>
      </c>
      <c r="M10396" t="s">
        <v>27251</v>
      </c>
      <c r="N10396" t="s">
        <v>27252</v>
      </c>
      <c r="P10396" t="s">
        <v>27341</v>
      </c>
      <c r="Q10396" s="1">
        <v>44846</v>
      </c>
      <c r="R10396" t="s">
        <v>27253</v>
      </c>
      <c r="S10396" t="s">
        <v>27254</v>
      </c>
      <c r="T10396" t="s">
        <v>27255</v>
      </c>
    </row>
    <row r="10397" spans="1:20" x14ac:dyDescent="0.3">
      <c r="A10397" t="str">
        <f>"0611863752050"</f>
        <v>0611863752050</v>
      </c>
      <c r="B10397" t="str">
        <f>"CR3822"</f>
        <v>CR3822</v>
      </c>
      <c r="C10397" t="s">
        <v>47399</v>
      </c>
      <c r="D10397" t="s">
        <v>28376</v>
      </c>
      <c r="E10397" t="str">
        <f t="shared" si="162"/>
        <v>001390</v>
      </c>
      <c r="F10397" t="s">
        <v>27246</v>
      </c>
      <c r="G10397" t="s">
        <v>27247</v>
      </c>
      <c r="H10397" t="s">
        <v>27248</v>
      </c>
      <c r="I10397" t="s">
        <v>47400</v>
      </c>
      <c r="J10397" t="s">
        <v>20804</v>
      </c>
      <c r="L10397" t="s">
        <v>27250</v>
      </c>
      <c r="M10397" t="s">
        <v>27251</v>
      </c>
      <c r="N10397" t="s">
        <v>27252</v>
      </c>
      <c r="P10397" t="s">
        <v>27341</v>
      </c>
      <c r="Q10397" s="1">
        <v>44846</v>
      </c>
      <c r="R10397" t="s">
        <v>27253</v>
      </c>
      <c r="S10397" t="s">
        <v>27254</v>
      </c>
      <c r="T10397" t="s">
        <v>28378</v>
      </c>
    </row>
    <row r="10398" spans="1:20" x14ac:dyDescent="0.3">
      <c r="A10398" t="str">
        <f>"0611863753100"</f>
        <v>0611863753100</v>
      </c>
      <c r="B10398" t="str">
        <f>"CN5310"</f>
        <v>CN5310</v>
      </c>
      <c r="C10398" t="s">
        <v>47401</v>
      </c>
      <c r="D10398" t="s">
        <v>27339</v>
      </c>
      <c r="E10398" t="str">
        <f t="shared" si="162"/>
        <v>001390</v>
      </c>
      <c r="F10398" t="s">
        <v>27246</v>
      </c>
      <c r="G10398" t="s">
        <v>27247</v>
      </c>
      <c r="H10398" t="s">
        <v>27248</v>
      </c>
      <c r="I10398" t="s">
        <v>47402</v>
      </c>
      <c r="J10398" t="s">
        <v>20806</v>
      </c>
      <c r="L10398" t="s">
        <v>27250</v>
      </c>
      <c r="M10398" t="s">
        <v>27251</v>
      </c>
      <c r="N10398" t="s">
        <v>27252</v>
      </c>
      <c r="P10398" t="s">
        <v>27341</v>
      </c>
      <c r="Q10398" s="1">
        <v>44846</v>
      </c>
      <c r="R10398" t="s">
        <v>27253</v>
      </c>
      <c r="S10398" t="s">
        <v>27254</v>
      </c>
      <c r="T10398" t="s">
        <v>27255</v>
      </c>
    </row>
    <row r="10399" spans="1:20" x14ac:dyDescent="0.3">
      <c r="A10399" t="str">
        <f>"0611838383100"</f>
        <v>0611838383100</v>
      </c>
      <c r="B10399" t="str">
        <f>"LH6400"</f>
        <v>LH6400</v>
      </c>
      <c r="C10399" t="s">
        <v>47403</v>
      </c>
      <c r="D10399" t="s">
        <v>27245</v>
      </c>
      <c r="E10399" t="str">
        <f t="shared" si="162"/>
        <v>001390</v>
      </c>
      <c r="F10399" t="s">
        <v>27246</v>
      </c>
      <c r="G10399" t="s">
        <v>27247</v>
      </c>
      <c r="H10399" t="s">
        <v>27248</v>
      </c>
      <c r="I10399" t="s">
        <v>47404</v>
      </c>
      <c r="J10399" t="s">
        <v>20808</v>
      </c>
      <c r="L10399" t="s">
        <v>27250</v>
      </c>
      <c r="M10399" t="s">
        <v>27251</v>
      </c>
      <c r="N10399" t="s">
        <v>27252</v>
      </c>
      <c r="Q10399" s="1">
        <v>44538</v>
      </c>
      <c r="R10399" t="s">
        <v>27253</v>
      </c>
      <c r="S10399" t="s">
        <v>27254</v>
      </c>
      <c r="T10399" t="s">
        <v>27255</v>
      </c>
    </row>
    <row r="10400" spans="1:20" x14ac:dyDescent="0.3">
      <c r="A10400" t="str">
        <f>"0611838384025"</f>
        <v>0611838384025</v>
      </c>
      <c r="B10400" t="str">
        <f>"MC0607"</f>
        <v>MC0607</v>
      </c>
      <c r="C10400" t="s">
        <v>47403</v>
      </c>
      <c r="D10400" t="s">
        <v>27267</v>
      </c>
      <c r="E10400" t="str">
        <f t="shared" si="162"/>
        <v>001390</v>
      </c>
      <c r="F10400" t="s">
        <v>27246</v>
      </c>
      <c r="G10400" t="s">
        <v>27247</v>
      </c>
      <c r="H10400" t="s">
        <v>27248</v>
      </c>
      <c r="I10400" t="s">
        <v>47405</v>
      </c>
      <c r="J10400" t="s">
        <v>20810</v>
      </c>
      <c r="L10400" t="s">
        <v>27250</v>
      </c>
      <c r="M10400" t="s">
        <v>27251</v>
      </c>
      <c r="N10400" t="s">
        <v>27252</v>
      </c>
      <c r="Q10400" s="1">
        <v>44538</v>
      </c>
      <c r="R10400" t="s">
        <v>27253</v>
      </c>
      <c r="S10400" t="s">
        <v>27254</v>
      </c>
      <c r="T10400" t="s">
        <v>27269</v>
      </c>
    </row>
    <row r="10401" spans="1:20" x14ac:dyDescent="0.3">
      <c r="A10401" t="str">
        <f>"0611863754050"</f>
        <v>0611863754050</v>
      </c>
      <c r="B10401" t="str">
        <f>"CR4437"</f>
        <v>CR4437</v>
      </c>
      <c r="C10401" t="s">
        <v>47403</v>
      </c>
      <c r="D10401" t="s">
        <v>27263</v>
      </c>
      <c r="E10401" t="str">
        <f t="shared" si="162"/>
        <v>001390</v>
      </c>
      <c r="F10401" t="s">
        <v>27246</v>
      </c>
      <c r="G10401" t="s">
        <v>27247</v>
      </c>
      <c r="H10401" t="s">
        <v>27248</v>
      </c>
      <c r="I10401" t="s">
        <v>47406</v>
      </c>
      <c r="J10401" t="s">
        <v>20812</v>
      </c>
      <c r="L10401" t="s">
        <v>27250</v>
      </c>
      <c r="M10401" t="s">
        <v>27251</v>
      </c>
      <c r="N10401" t="s">
        <v>27252</v>
      </c>
      <c r="Q10401" s="1">
        <v>44846</v>
      </c>
      <c r="R10401" t="s">
        <v>27253</v>
      </c>
      <c r="S10401" t="s">
        <v>27254</v>
      </c>
      <c r="T10401" t="s">
        <v>27265</v>
      </c>
    </row>
    <row r="10402" spans="1:20" x14ac:dyDescent="0.3">
      <c r="A10402" t="str">
        <f>"0611863755100"</f>
        <v>0611863755100</v>
      </c>
      <c r="B10402" t="str">
        <f>"CN5344"</f>
        <v>CN5344</v>
      </c>
      <c r="C10402" t="s">
        <v>47407</v>
      </c>
      <c r="D10402" t="s">
        <v>27335</v>
      </c>
      <c r="E10402" t="str">
        <f t="shared" si="162"/>
        <v>001390</v>
      </c>
      <c r="F10402" t="s">
        <v>27246</v>
      </c>
      <c r="G10402" t="s">
        <v>27247</v>
      </c>
      <c r="H10402" t="s">
        <v>27248</v>
      </c>
      <c r="I10402" t="s">
        <v>47408</v>
      </c>
      <c r="J10402" t="s">
        <v>20814</v>
      </c>
      <c r="L10402" t="s">
        <v>27250</v>
      </c>
      <c r="M10402" t="s">
        <v>27251</v>
      </c>
      <c r="N10402" t="s">
        <v>27252</v>
      </c>
      <c r="Q10402" s="1">
        <v>44846</v>
      </c>
      <c r="R10402" t="s">
        <v>27253</v>
      </c>
      <c r="S10402" t="s">
        <v>27254</v>
      </c>
      <c r="T10402" t="s">
        <v>27255</v>
      </c>
    </row>
    <row r="10403" spans="1:20" x14ac:dyDescent="0.3">
      <c r="A10403" t="str">
        <f>"0611838385025"</f>
        <v>0611838385025</v>
      </c>
      <c r="B10403" t="str">
        <f>"MC2961"</f>
        <v>MC2961</v>
      </c>
      <c r="C10403" t="s">
        <v>47409</v>
      </c>
      <c r="D10403" t="s">
        <v>27267</v>
      </c>
      <c r="E10403" t="str">
        <f t="shared" si="162"/>
        <v>001390</v>
      </c>
      <c r="F10403" t="s">
        <v>27246</v>
      </c>
      <c r="G10403" t="s">
        <v>27247</v>
      </c>
      <c r="H10403" t="s">
        <v>27248</v>
      </c>
      <c r="I10403" t="s">
        <v>47410</v>
      </c>
      <c r="J10403" t="s">
        <v>20816</v>
      </c>
      <c r="L10403" t="s">
        <v>27250</v>
      </c>
      <c r="M10403" t="s">
        <v>27251</v>
      </c>
      <c r="N10403" t="s">
        <v>27252</v>
      </c>
      <c r="Q10403" s="1">
        <v>44538</v>
      </c>
      <c r="R10403" t="s">
        <v>27253</v>
      </c>
      <c r="S10403" t="s">
        <v>27254</v>
      </c>
      <c r="T10403" t="s">
        <v>27269</v>
      </c>
    </row>
    <row r="10404" spans="1:20" x14ac:dyDescent="0.3">
      <c r="A10404" t="str">
        <f>"0611863756050"</f>
        <v>0611863756050</v>
      </c>
      <c r="B10404" t="str">
        <f>"CE1011"</f>
        <v>CE1011</v>
      </c>
      <c r="C10404" t="s">
        <v>47409</v>
      </c>
      <c r="D10404" t="s">
        <v>27263</v>
      </c>
      <c r="E10404" t="str">
        <f t="shared" si="162"/>
        <v>001390</v>
      </c>
      <c r="F10404" t="s">
        <v>27246</v>
      </c>
      <c r="G10404" t="s">
        <v>27247</v>
      </c>
      <c r="H10404" t="s">
        <v>27248</v>
      </c>
      <c r="I10404" t="s">
        <v>47411</v>
      </c>
      <c r="J10404" t="s">
        <v>20818</v>
      </c>
      <c r="L10404" t="s">
        <v>27250</v>
      </c>
      <c r="M10404" t="s">
        <v>27251</v>
      </c>
      <c r="N10404" t="s">
        <v>27252</v>
      </c>
      <c r="Q10404" s="1">
        <v>44846</v>
      </c>
      <c r="R10404" t="s">
        <v>27253</v>
      </c>
      <c r="S10404" t="s">
        <v>27254</v>
      </c>
      <c r="T10404" t="s">
        <v>27265</v>
      </c>
    </row>
    <row r="10405" spans="1:20" x14ac:dyDescent="0.3">
      <c r="A10405" t="str">
        <f>"0611838386100"</f>
        <v>0611838386100</v>
      </c>
      <c r="B10405" t="str">
        <f>"LH6401"</f>
        <v>LH6401</v>
      </c>
      <c r="C10405" t="s">
        <v>47412</v>
      </c>
      <c r="D10405" t="s">
        <v>27245</v>
      </c>
      <c r="E10405" t="str">
        <f t="shared" si="162"/>
        <v>001390</v>
      </c>
      <c r="F10405" t="s">
        <v>27246</v>
      </c>
      <c r="G10405" t="s">
        <v>27247</v>
      </c>
      <c r="H10405" t="s">
        <v>27248</v>
      </c>
      <c r="I10405" t="s">
        <v>47413</v>
      </c>
      <c r="J10405" t="s">
        <v>20820</v>
      </c>
      <c r="L10405" t="s">
        <v>27250</v>
      </c>
      <c r="M10405" t="s">
        <v>27251</v>
      </c>
      <c r="N10405" t="s">
        <v>27252</v>
      </c>
      <c r="Q10405" s="1">
        <v>44538</v>
      </c>
      <c r="R10405" t="s">
        <v>27253</v>
      </c>
      <c r="S10405" t="s">
        <v>27254</v>
      </c>
      <c r="T10405" t="s">
        <v>27255</v>
      </c>
    </row>
    <row r="10406" spans="1:20" x14ac:dyDescent="0.3">
      <c r="A10406" t="str">
        <f>"0611838387025"</f>
        <v>0611838387025</v>
      </c>
      <c r="B10406" t="str">
        <f>"MC0608"</f>
        <v>MC0608</v>
      </c>
      <c r="C10406" t="s">
        <v>47412</v>
      </c>
      <c r="D10406" t="s">
        <v>27267</v>
      </c>
      <c r="E10406" t="str">
        <f t="shared" si="162"/>
        <v>001390</v>
      </c>
      <c r="F10406" t="s">
        <v>27246</v>
      </c>
      <c r="G10406" t="s">
        <v>27247</v>
      </c>
      <c r="H10406" t="s">
        <v>27248</v>
      </c>
      <c r="I10406" t="s">
        <v>47414</v>
      </c>
      <c r="J10406" t="s">
        <v>20822</v>
      </c>
      <c r="L10406" t="s">
        <v>27250</v>
      </c>
      <c r="M10406" t="s">
        <v>27251</v>
      </c>
      <c r="N10406" t="s">
        <v>27252</v>
      </c>
      <c r="Q10406" s="1">
        <v>44538</v>
      </c>
      <c r="R10406" t="s">
        <v>27253</v>
      </c>
      <c r="S10406" t="s">
        <v>27254</v>
      </c>
      <c r="T10406" t="s">
        <v>27269</v>
      </c>
    </row>
    <row r="10407" spans="1:20" x14ac:dyDescent="0.3">
      <c r="A10407" t="str">
        <f>"0611863757050"</f>
        <v>0611863757050</v>
      </c>
      <c r="B10407" t="str">
        <f>"CR4433"</f>
        <v>CR4433</v>
      </c>
      <c r="C10407" t="s">
        <v>47412</v>
      </c>
      <c r="D10407" t="s">
        <v>27263</v>
      </c>
      <c r="E10407" t="str">
        <f t="shared" si="162"/>
        <v>001390</v>
      </c>
      <c r="F10407" t="s">
        <v>27246</v>
      </c>
      <c r="G10407" t="s">
        <v>27247</v>
      </c>
      <c r="H10407" t="s">
        <v>27248</v>
      </c>
      <c r="I10407" t="s">
        <v>47415</v>
      </c>
      <c r="J10407" t="s">
        <v>20824</v>
      </c>
      <c r="L10407" t="s">
        <v>27250</v>
      </c>
      <c r="M10407" t="s">
        <v>27251</v>
      </c>
      <c r="N10407" t="s">
        <v>27252</v>
      </c>
      <c r="Q10407" s="1">
        <v>44846</v>
      </c>
      <c r="R10407" t="s">
        <v>27253</v>
      </c>
      <c r="S10407" t="s">
        <v>27254</v>
      </c>
      <c r="T10407" t="s">
        <v>27265</v>
      </c>
    </row>
    <row r="10408" spans="1:20" x14ac:dyDescent="0.3">
      <c r="A10408" t="str">
        <f>"0611863758100"</f>
        <v>0611863758100</v>
      </c>
      <c r="B10408" t="str">
        <f>"CN5345"</f>
        <v>CN5345</v>
      </c>
      <c r="C10408" t="s">
        <v>47416</v>
      </c>
      <c r="D10408" t="s">
        <v>27335</v>
      </c>
      <c r="E10408" t="str">
        <f t="shared" si="162"/>
        <v>001390</v>
      </c>
      <c r="F10408" t="s">
        <v>27246</v>
      </c>
      <c r="G10408" t="s">
        <v>27247</v>
      </c>
      <c r="H10408" t="s">
        <v>27248</v>
      </c>
      <c r="I10408" t="s">
        <v>47417</v>
      </c>
      <c r="J10408" t="s">
        <v>20826</v>
      </c>
      <c r="L10408" t="s">
        <v>27250</v>
      </c>
      <c r="M10408" t="s">
        <v>27251</v>
      </c>
      <c r="N10408" t="s">
        <v>27252</v>
      </c>
      <c r="Q10408" s="1">
        <v>44846</v>
      </c>
      <c r="R10408" t="s">
        <v>27253</v>
      </c>
      <c r="S10408" t="s">
        <v>27254</v>
      </c>
      <c r="T10408" t="s">
        <v>27255</v>
      </c>
    </row>
    <row r="10409" spans="1:20" x14ac:dyDescent="0.3">
      <c r="A10409" t="str">
        <f>"0611838388025"</f>
        <v>0611838388025</v>
      </c>
      <c r="B10409" t="str">
        <f>"MC0595"</f>
        <v>MC0595</v>
      </c>
      <c r="C10409" t="s">
        <v>47418</v>
      </c>
      <c r="D10409" t="s">
        <v>27267</v>
      </c>
      <c r="E10409" t="str">
        <f t="shared" si="162"/>
        <v>001390</v>
      </c>
      <c r="F10409" t="s">
        <v>27246</v>
      </c>
      <c r="G10409" t="s">
        <v>27247</v>
      </c>
      <c r="H10409" t="s">
        <v>27248</v>
      </c>
      <c r="I10409" t="s">
        <v>47419</v>
      </c>
      <c r="J10409" t="s">
        <v>20828</v>
      </c>
      <c r="L10409" t="s">
        <v>27250</v>
      </c>
      <c r="M10409" t="s">
        <v>27251</v>
      </c>
      <c r="N10409" t="s">
        <v>27252</v>
      </c>
      <c r="Q10409" s="1">
        <v>44538</v>
      </c>
      <c r="R10409" t="s">
        <v>27253</v>
      </c>
      <c r="S10409" t="s">
        <v>27254</v>
      </c>
      <c r="T10409" t="s">
        <v>27269</v>
      </c>
    </row>
    <row r="10410" spans="1:20" x14ac:dyDescent="0.3">
      <c r="A10410" t="str">
        <f>"0611838390025"</f>
        <v>0611838390025</v>
      </c>
      <c r="B10410" t="str">
        <f>"MQ6062"</f>
        <v>MQ6062</v>
      </c>
      <c r="C10410" t="s">
        <v>47420</v>
      </c>
      <c r="D10410" t="s">
        <v>27267</v>
      </c>
      <c r="E10410" t="str">
        <f t="shared" si="162"/>
        <v>001390</v>
      </c>
      <c r="F10410" t="s">
        <v>27246</v>
      </c>
      <c r="G10410" t="s">
        <v>27247</v>
      </c>
      <c r="H10410" t="s">
        <v>27248</v>
      </c>
      <c r="I10410" t="s">
        <v>47421</v>
      </c>
      <c r="J10410" t="s">
        <v>20830</v>
      </c>
      <c r="L10410" t="s">
        <v>27250</v>
      </c>
      <c r="M10410" t="s">
        <v>27251</v>
      </c>
      <c r="N10410" t="s">
        <v>27252</v>
      </c>
      <c r="Q10410" s="1">
        <v>44538</v>
      </c>
      <c r="R10410" t="s">
        <v>27253</v>
      </c>
      <c r="S10410" t="s">
        <v>27254</v>
      </c>
      <c r="T10410" t="s">
        <v>27269</v>
      </c>
    </row>
    <row r="10411" spans="1:20" x14ac:dyDescent="0.3">
      <c r="A10411" t="str">
        <f>"0611838391025"</f>
        <v>0611838391025</v>
      </c>
      <c r="B10411" t="str">
        <f>"MQ6063"</f>
        <v>MQ6063</v>
      </c>
      <c r="C10411" t="s">
        <v>47422</v>
      </c>
      <c r="D10411" t="s">
        <v>27267</v>
      </c>
      <c r="E10411" t="str">
        <f t="shared" si="162"/>
        <v>001390</v>
      </c>
      <c r="F10411" t="s">
        <v>27246</v>
      </c>
      <c r="G10411" t="s">
        <v>27247</v>
      </c>
      <c r="H10411" t="s">
        <v>27248</v>
      </c>
      <c r="I10411" t="s">
        <v>47423</v>
      </c>
      <c r="J10411" t="s">
        <v>20832</v>
      </c>
      <c r="L10411" t="s">
        <v>27250</v>
      </c>
      <c r="M10411" t="s">
        <v>27251</v>
      </c>
      <c r="N10411" t="s">
        <v>27252</v>
      </c>
      <c r="Q10411" s="1">
        <v>44538</v>
      </c>
      <c r="R10411" t="s">
        <v>27253</v>
      </c>
      <c r="S10411" t="s">
        <v>27254</v>
      </c>
      <c r="T10411" t="s">
        <v>27269</v>
      </c>
    </row>
    <row r="10412" spans="1:20" x14ac:dyDescent="0.3">
      <c r="A10412" t="str">
        <f>"0611838393025"</f>
        <v>0611838393025</v>
      </c>
      <c r="B10412" t="str">
        <f>"MQ6064"</f>
        <v>MQ6064</v>
      </c>
      <c r="C10412" t="s">
        <v>47424</v>
      </c>
      <c r="D10412" t="s">
        <v>27267</v>
      </c>
      <c r="E10412" t="str">
        <f t="shared" si="162"/>
        <v>001390</v>
      </c>
      <c r="F10412" t="s">
        <v>27246</v>
      </c>
      <c r="G10412" t="s">
        <v>27247</v>
      </c>
      <c r="H10412" t="s">
        <v>27248</v>
      </c>
      <c r="I10412" t="s">
        <v>47425</v>
      </c>
      <c r="J10412" t="s">
        <v>20834</v>
      </c>
      <c r="L10412" t="s">
        <v>27250</v>
      </c>
      <c r="M10412" t="s">
        <v>27251</v>
      </c>
      <c r="N10412" t="s">
        <v>27252</v>
      </c>
      <c r="Q10412" s="1">
        <v>44538</v>
      </c>
      <c r="R10412" t="s">
        <v>27253</v>
      </c>
      <c r="S10412" t="s">
        <v>27254</v>
      </c>
      <c r="T10412" t="s">
        <v>27269</v>
      </c>
    </row>
    <row r="10413" spans="1:20" x14ac:dyDescent="0.3">
      <c r="A10413" t="str">
        <f>"0611838394025"</f>
        <v>0611838394025</v>
      </c>
      <c r="B10413" t="str">
        <f>"MQ6065"</f>
        <v>MQ6065</v>
      </c>
      <c r="C10413" t="s">
        <v>47426</v>
      </c>
      <c r="D10413" t="s">
        <v>27267</v>
      </c>
      <c r="E10413" t="str">
        <f t="shared" si="162"/>
        <v>001390</v>
      </c>
      <c r="F10413" t="s">
        <v>27246</v>
      </c>
      <c r="G10413" t="s">
        <v>27247</v>
      </c>
      <c r="H10413" t="s">
        <v>27248</v>
      </c>
      <c r="I10413" t="s">
        <v>47427</v>
      </c>
      <c r="J10413" t="s">
        <v>20836</v>
      </c>
      <c r="L10413" t="s">
        <v>27250</v>
      </c>
      <c r="M10413" t="s">
        <v>27251</v>
      </c>
      <c r="N10413" t="s">
        <v>27252</v>
      </c>
      <c r="Q10413" s="1">
        <v>44538</v>
      </c>
      <c r="R10413" t="s">
        <v>27253</v>
      </c>
      <c r="S10413" t="s">
        <v>27254</v>
      </c>
      <c r="T10413" t="s">
        <v>27269</v>
      </c>
    </row>
    <row r="10414" spans="1:20" x14ac:dyDescent="0.3">
      <c r="A10414" t="str">
        <f>"0611838399025"</f>
        <v>0611838399025</v>
      </c>
      <c r="B10414" t="str">
        <f>"MQ0321"</f>
        <v>MQ0321</v>
      </c>
      <c r="C10414" t="s">
        <v>47428</v>
      </c>
      <c r="D10414" t="s">
        <v>28499</v>
      </c>
      <c r="E10414" t="str">
        <f t="shared" si="162"/>
        <v>001390</v>
      </c>
      <c r="F10414" t="s">
        <v>27246</v>
      </c>
      <c r="G10414" t="s">
        <v>27247</v>
      </c>
      <c r="H10414" t="s">
        <v>27248</v>
      </c>
      <c r="I10414" t="s">
        <v>47429</v>
      </c>
      <c r="J10414" t="s">
        <v>20838</v>
      </c>
      <c r="L10414" t="s">
        <v>27250</v>
      </c>
      <c r="M10414" t="s">
        <v>27251</v>
      </c>
      <c r="N10414" t="s">
        <v>27252</v>
      </c>
      <c r="P10414" t="s">
        <v>27341</v>
      </c>
      <c r="Q10414" s="1">
        <v>44538</v>
      </c>
      <c r="R10414" t="s">
        <v>27253</v>
      </c>
      <c r="S10414" t="s">
        <v>27254</v>
      </c>
      <c r="T10414" t="s">
        <v>27269</v>
      </c>
    </row>
    <row r="10415" spans="1:20" x14ac:dyDescent="0.3">
      <c r="A10415" t="str">
        <f>"0611863759100"</f>
        <v>0611863759100</v>
      </c>
      <c r="B10415" t="str">
        <f>"CN5311"</f>
        <v>CN5311</v>
      </c>
      <c r="C10415" t="s">
        <v>47430</v>
      </c>
      <c r="D10415" t="s">
        <v>27552</v>
      </c>
      <c r="E10415" t="str">
        <f t="shared" si="162"/>
        <v>001390</v>
      </c>
      <c r="F10415" t="s">
        <v>27246</v>
      </c>
      <c r="G10415" t="s">
        <v>27247</v>
      </c>
      <c r="H10415" t="s">
        <v>27248</v>
      </c>
      <c r="I10415" t="s">
        <v>47431</v>
      </c>
      <c r="J10415" t="s">
        <v>20840</v>
      </c>
      <c r="L10415" t="s">
        <v>27250</v>
      </c>
      <c r="M10415" t="s">
        <v>27251</v>
      </c>
      <c r="N10415" t="s">
        <v>27252</v>
      </c>
      <c r="P10415" t="s">
        <v>27341</v>
      </c>
      <c r="Q10415" s="1">
        <v>44846</v>
      </c>
      <c r="R10415" t="s">
        <v>27253</v>
      </c>
      <c r="S10415" t="s">
        <v>27254</v>
      </c>
      <c r="T10415" t="s">
        <v>27255</v>
      </c>
    </row>
    <row r="10416" spans="1:20" x14ac:dyDescent="0.3">
      <c r="A10416" t="str">
        <f>"0611863760050"</f>
        <v>0611863760050</v>
      </c>
      <c r="B10416" t="str">
        <f>"CR4420"</f>
        <v>CR4420</v>
      </c>
      <c r="C10416" t="s">
        <v>47430</v>
      </c>
      <c r="D10416" t="s">
        <v>28376</v>
      </c>
      <c r="E10416" t="str">
        <f t="shared" si="162"/>
        <v>001390</v>
      </c>
      <c r="F10416" t="s">
        <v>27246</v>
      </c>
      <c r="G10416" t="s">
        <v>27247</v>
      </c>
      <c r="H10416" t="s">
        <v>27248</v>
      </c>
      <c r="I10416" t="s">
        <v>47432</v>
      </c>
      <c r="J10416" t="s">
        <v>20842</v>
      </c>
      <c r="L10416" t="s">
        <v>27250</v>
      </c>
      <c r="M10416" t="s">
        <v>27251</v>
      </c>
      <c r="N10416" t="s">
        <v>27252</v>
      </c>
      <c r="P10416" t="s">
        <v>27341</v>
      </c>
      <c r="Q10416" s="1">
        <v>44846</v>
      </c>
      <c r="R10416" t="s">
        <v>27253</v>
      </c>
      <c r="S10416" t="s">
        <v>27254</v>
      </c>
      <c r="T10416" t="s">
        <v>28378</v>
      </c>
    </row>
    <row r="10417" spans="1:20" x14ac:dyDescent="0.3">
      <c r="A10417" t="str">
        <f>"0611838401025"</f>
        <v>0611838401025</v>
      </c>
      <c r="B10417" t="str">
        <f>"MQ0322"</f>
        <v>MQ0322</v>
      </c>
      <c r="C10417" t="s">
        <v>47433</v>
      </c>
      <c r="D10417" t="s">
        <v>28499</v>
      </c>
      <c r="E10417" t="str">
        <f t="shared" si="162"/>
        <v>001390</v>
      </c>
      <c r="F10417" t="s">
        <v>27246</v>
      </c>
      <c r="G10417" t="s">
        <v>27247</v>
      </c>
      <c r="H10417" t="s">
        <v>27248</v>
      </c>
      <c r="I10417" t="s">
        <v>47434</v>
      </c>
      <c r="J10417" t="s">
        <v>20846</v>
      </c>
      <c r="L10417" t="s">
        <v>27250</v>
      </c>
      <c r="M10417" t="s">
        <v>27251</v>
      </c>
      <c r="N10417" t="s">
        <v>27252</v>
      </c>
      <c r="P10417" t="s">
        <v>27341</v>
      </c>
      <c r="Q10417" s="1">
        <v>44538</v>
      </c>
      <c r="R10417" t="s">
        <v>27253</v>
      </c>
      <c r="S10417" t="s">
        <v>27254</v>
      </c>
      <c r="T10417" t="s">
        <v>27269</v>
      </c>
    </row>
    <row r="10418" spans="1:20" x14ac:dyDescent="0.3">
      <c r="A10418" t="str">
        <f>"0611863761100"</f>
        <v>0611863761100</v>
      </c>
      <c r="B10418" t="str">
        <f>"CN5312"</f>
        <v>CN5312</v>
      </c>
      <c r="C10418" t="s">
        <v>47433</v>
      </c>
      <c r="D10418" t="s">
        <v>27339</v>
      </c>
      <c r="E10418" t="str">
        <f t="shared" si="162"/>
        <v>001390</v>
      </c>
      <c r="F10418" t="s">
        <v>27246</v>
      </c>
      <c r="G10418" t="s">
        <v>27247</v>
      </c>
      <c r="H10418" t="s">
        <v>27248</v>
      </c>
      <c r="I10418" t="s">
        <v>47435</v>
      </c>
      <c r="J10418" t="s">
        <v>20844</v>
      </c>
      <c r="L10418" t="s">
        <v>27250</v>
      </c>
      <c r="M10418" t="s">
        <v>27251</v>
      </c>
      <c r="N10418" t="s">
        <v>27252</v>
      </c>
      <c r="P10418" t="s">
        <v>27341</v>
      </c>
      <c r="Q10418" s="1">
        <v>44846</v>
      </c>
      <c r="R10418" t="s">
        <v>27253</v>
      </c>
      <c r="S10418" t="s">
        <v>27254</v>
      </c>
      <c r="T10418" t="s">
        <v>27255</v>
      </c>
    </row>
    <row r="10419" spans="1:20" x14ac:dyDescent="0.3">
      <c r="A10419" t="str">
        <f>"0611863762050"</f>
        <v>0611863762050</v>
      </c>
      <c r="B10419" t="str">
        <f>"CR3945"</f>
        <v>CR3945</v>
      </c>
      <c r="C10419" t="s">
        <v>47433</v>
      </c>
      <c r="D10419" t="s">
        <v>27271</v>
      </c>
      <c r="E10419" t="str">
        <f t="shared" si="162"/>
        <v>001390</v>
      </c>
      <c r="F10419" t="s">
        <v>27246</v>
      </c>
      <c r="G10419" t="s">
        <v>27247</v>
      </c>
      <c r="H10419" t="s">
        <v>27248</v>
      </c>
      <c r="I10419" t="s">
        <v>47436</v>
      </c>
      <c r="J10419" t="s">
        <v>20848</v>
      </c>
      <c r="L10419" t="s">
        <v>27250</v>
      </c>
      <c r="M10419" t="s">
        <v>27251</v>
      </c>
      <c r="N10419" t="s">
        <v>27252</v>
      </c>
      <c r="P10419" t="s">
        <v>27341</v>
      </c>
      <c r="Q10419" s="1">
        <v>44846</v>
      </c>
      <c r="R10419" t="s">
        <v>27253</v>
      </c>
      <c r="S10419" t="s">
        <v>27254</v>
      </c>
      <c r="T10419" t="s">
        <v>27265</v>
      </c>
    </row>
    <row r="10420" spans="1:20" x14ac:dyDescent="0.3">
      <c r="A10420" t="str">
        <f>"0611838402025"</f>
        <v>0611838402025</v>
      </c>
      <c r="B10420" t="str">
        <f>"MQ0434"</f>
        <v>MQ0434</v>
      </c>
      <c r="C10420" t="s">
        <v>47437</v>
      </c>
      <c r="D10420" t="s">
        <v>28499</v>
      </c>
      <c r="E10420" t="str">
        <f t="shared" si="162"/>
        <v>001390</v>
      </c>
      <c r="F10420" t="s">
        <v>27246</v>
      </c>
      <c r="G10420" t="s">
        <v>27247</v>
      </c>
      <c r="H10420" t="s">
        <v>27248</v>
      </c>
      <c r="I10420" t="s">
        <v>47438</v>
      </c>
      <c r="J10420" t="s">
        <v>20852</v>
      </c>
      <c r="L10420" t="s">
        <v>27250</v>
      </c>
      <c r="M10420" t="s">
        <v>27251</v>
      </c>
      <c r="N10420" t="s">
        <v>27252</v>
      </c>
      <c r="P10420" t="s">
        <v>27341</v>
      </c>
      <c r="Q10420" s="1">
        <v>44538</v>
      </c>
      <c r="R10420" t="s">
        <v>27253</v>
      </c>
      <c r="S10420" t="s">
        <v>27254</v>
      </c>
      <c r="T10420" t="s">
        <v>27269</v>
      </c>
    </row>
    <row r="10421" spans="1:20" x14ac:dyDescent="0.3">
      <c r="A10421" t="str">
        <f>"0611863763100"</f>
        <v>0611863763100</v>
      </c>
      <c r="B10421" t="str">
        <f>"CN5313"</f>
        <v>CN5313</v>
      </c>
      <c r="C10421" t="s">
        <v>47437</v>
      </c>
      <c r="D10421" t="s">
        <v>27339</v>
      </c>
      <c r="E10421" t="str">
        <f t="shared" si="162"/>
        <v>001390</v>
      </c>
      <c r="F10421" t="s">
        <v>27246</v>
      </c>
      <c r="G10421" t="s">
        <v>27247</v>
      </c>
      <c r="H10421" t="s">
        <v>27248</v>
      </c>
      <c r="I10421" t="s">
        <v>47439</v>
      </c>
      <c r="J10421" t="s">
        <v>20850</v>
      </c>
      <c r="L10421" t="s">
        <v>27250</v>
      </c>
      <c r="M10421" t="s">
        <v>27251</v>
      </c>
      <c r="N10421" t="s">
        <v>27252</v>
      </c>
      <c r="P10421" t="s">
        <v>27341</v>
      </c>
      <c r="Q10421" s="1">
        <v>44846</v>
      </c>
      <c r="R10421" t="s">
        <v>27253</v>
      </c>
      <c r="S10421" t="s">
        <v>27254</v>
      </c>
      <c r="T10421" t="s">
        <v>27255</v>
      </c>
    </row>
    <row r="10422" spans="1:20" x14ac:dyDescent="0.3">
      <c r="A10422" t="str">
        <f>"0611863764050"</f>
        <v>0611863764050</v>
      </c>
      <c r="B10422" t="str">
        <f>"CR4421"</f>
        <v>CR4421</v>
      </c>
      <c r="C10422" t="s">
        <v>47440</v>
      </c>
      <c r="D10422" t="s">
        <v>28376</v>
      </c>
      <c r="E10422" t="str">
        <f t="shared" si="162"/>
        <v>001390</v>
      </c>
      <c r="F10422" t="s">
        <v>27246</v>
      </c>
      <c r="G10422" t="s">
        <v>27247</v>
      </c>
      <c r="H10422" t="s">
        <v>27248</v>
      </c>
      <c r="I10422" t="s">
        <v>47441</v>
      </c>
      <c r="J10422" t="s">
        <v>20854</v>
      </c>
      <c r="L10422" t="s">
        <v>27250</v>
      </c>
      <c r="M10422" t="s">
        <v>27251</v>
      </c>
      <c r="N10422" t="s">
        <v>27252</v>
      </c>
      <c r="P10422" t="s">
        <v>27341</v>
      </c>
      <c r="Q10422" s="1">
        <v>44846</v>
      </c>
      <c r="R10422" t="s">
        <v>27253</v>
      </c>
      <c r="S10422" t="s">
        <v>27254</v>
      </c>
      <c r="T10422" t="s">
        <v>28378</v>
      </c>
    </row>
    <row r="10423" spans="1:20" x14ac:dyDescent="0.3">
      <c r="A10423" t="str">
        <f>"0611838403025"</f>
        <v>0611838403025</v>
      </c>
      <c r="B10423" t="str">
        <f>"MQ0323"</f>
        <v>MQ0323</v>
      </c>
      <c r="C10423" t="s">
        <v>47442</v>
      </c>
      <c r="D10423" t="s">
        <v>28499</v>
      </c>
      <c r="E10423" t="str">
        <f t="shared" si="162"/>
        <v>001390</v>
      </c>
      <c r="F10423" t="s">
        <v>27246</v>
      </c>
      <c r="G10423" t="s">
        <v>27247</v>
      </c>
      <c r="H10423" t="s">
        <v>27248</v>
      </c>
      <c r="I10423" t="s">
        <v>47443</v>
      </c>
      <c r="J10423" t="s">
        <v>20858</v>
      </c>
      <c r="L10423" t="s">
        <v>27250</v>
      </c>
      <c r="M10423" t="s">
        <v>27251</v>
      </c>
      <c r="N10423" t="s">
        <v>27252</v>
      </c>
      <c r="P10423" t="s">
        <v>27341</v>
      </c>
      <c r="Q10423" s="1">
        <v>44538</v>
      </c>
      <c r="R10423" t="s">
        <v>27253</v>
      </c>
      <c r="S10423" t="s">
        <v>27254</v>
      </c>
      <c r="T10423" t="s">
        <v>27269</v>
      </c>
    </row>
    <row r="10424" spans="1:20" x14ac:dyDescent="0.3">
      <c r="A10424" t="str">
        <f>"0611863765100"</f>
        <v>0611863765100</v>
      </c>
      <c r="B10424" t="str">
        <f>"CN5314"</f>
        <v>CN5314</v>
      </c>
      <c r="C10424" t="s">
        <v>47442</v>
      </c>
      <c r="D10424" t="s">
        <v>27339</v>
      </c>
      <c r="E10424" t="str">
        <f t="shared" si="162"/>
        <v>001390</v>
      </c>
      <c r="F10424" t="s">
        <v>27246</v>
      </c>
      <c r="G10424" t="s">
        <v>27247</v>
      </c>
      <c r="H10424" t="s">
        <v>27248</v>
      </c>
      <c r="I10424" t="s">
        <v>47444</v>
      </c>
      <c r="J10424" t="s">
        <v>20856</v>
      </c>
      <c r="L10424" t="s">
        <v>27250</v>
      </c>
      <c r="M10424" t="s">
        <v>27251</v>
      </c>
      <c r="N10424" t="s">
        <v>27252</v>
      </c>
      <c r="P10424" t="s">
        <v>27341</v>
      </c>
      <c r="Q10424" s="1">
        <v>44846</v>
      </c>
      <c r="R10424" t="s">
        <v>27253</v>
      </c>
      <c r="S10424" t="s">
        <v>27254</v>
      </c>
      <c r="T10424" t="s">
        <v>27255</v>
      </c>
    </row>
    <row r="10425" spans="1:20" x14ac:dyDescent="0.3">
      <c r="A10425" t="str">
        <f>"0611863766050"</f>
        <v>0611863766050</v>
      </c>
      <c r="B10425" t="str">
        <f>"CR3946"</f>
        <v>CR3946</v>
      </c>
      <c r="C10425" t="s">
        <v>47442</v>
      </c>
      <c r="D10425" t="s">
        <v>27271</v>
      </c>
      <c r="E10425" t="str">
        <f t="shared" si="162"/>
        <v>001390</v>
      </c>
      <c r="F10425" t="s">
        <v>27246</v>
      </c>
      <c r="G10425" t="s">
        <v>27247</v>
      </c>
      <c r="H10425" t="s">
        <v>27248</v>
      </c>
      <c r="I10425" t="s">
        <v>47445</v>
      </c>
      <c r="J10425" t="s">
        <v>20860</v>
      </c>
      <c r="L10425" t="s">
        <v>27250</v>
      </c>
      <c r="M10425" t="s">
        <v>27251</v>
      </c>
      <c r="N10425" t="s">
        <v>27252</v>
      </c>
      <c r="P10425" t="s">
        <v>27341</v>
      </c>
      <c r="Q10425" s="1">
        <v>44846</v>
      </c>
      <c r="R10425" t="s">
        <v>27253</v>
      </c>
      <c r="S10425" t="s">
        <v>27254</v>
      </c>
      <c r="T10425" t="s">
        <v>27265</v>
      </c>
    </row>
    <row r="10426" spans="1:20" x14ac:dyDescent="0.3">
      <c r="A10426" t="str">
        <f>"0611838404025"</f>
        <v>0611838404025</v>
      </c>
      <c r="B10426" t="str">
        <f>"MQ0324"</f>
        <v>MQ0324</v>
      </c>
      <c r="C10426" t="s">
        <v>47446</v>
      </c>
      <c r="D10426" t="s">
        <v>28499</v>
      </c>
      <c r="E10426" t="str">
        <f t="shared" si="162"/>
        <v>001390</v>
      </c>
      <c r="F10426" t="s">
        <v>27246</v>
      </c>
      <c r="G10426" t="s">
        <v>27247</v>
      </c>
      <c r="H10426" t="s">
        <v>27248</v>
      </c>
      <c r="I10426" t="s">
        <v>47447</v>
      </c>
      <c r="J10426" t="s">
        <v>20864</v>
      </c>
      <c r="L10426" t="s">
        <v>27250</v>
      </c>
      <c r="M10426" t="s">
        <v>27251</v>
      </c>
      <c r="N10426" t="s">
        <v>27252</v>
      </c>
      <c r="P10426" t="s">
        <v>27341</v>
      </c>
      <c r="Q10426" s="1">
        <v>44538</v>
      </c>
      <c r="R10426" t="s">
        <v>27253</v>
      </c>
      <c r="S10426" t="s">
        <v>27254</v>
      </c>
      <c r="T10426" t="s">
        <v>27269</v>
      </c>
    </row>
    <row r="10427" spans="1:20" x14ac:dyDescent="0.3">
      <c r="A10427" t="str">
        <f>"0611863767100"</f>
        <v>0611863767100</v>
      </c>
      <c r="B10427" t="str">
        <f>"CN5315"</f>
        <v>CN5315</v>
      </c>
      <c r="C10427" t="s">
        <v>47446</v>
      </c>
      <c r="D10427" t="s">
        <v>27339</v>
      </c>
      <c r="E10427" t="str">
        <f t="shared" si="162"/>
        <v>001390</v>
      </c>
      <c r="F10427" t="s">
        <v>27246</v>
      </c>
      <c r="G10427" t="s">
        <v>27247</v>
      </c>
      <c r="H10427" t="s">
        <v>27248</v>
      </c>
      <c r="I10427" t="s">
        <v>47448</v>
      </c>
      <c r="J10427" t="s">
        <v>20862</v>
      </c>
      <c r="L10427" t="s">
        <v>27250</v>
      </c>
      <c r="M10427" t="s">
        <v>27251</v>
      </c>
      <c r="N10427" t="s">
        <v>27252</v>
      </c>
      <c r="P10427" t="s">
        <v>27341</v>
      </c>
      <c r="Q10427" s="1">
        <v>44846</v>
      </c>
      <c r="R10427" t="s">
        <v>27253</v>
      </c>
      <c r="S10427" t="s">
        <v>27254</v>
      </c>
      <c r="T10427" t="s">
        <v>27255</v>
      </c>
    </row>
    <row r="10428" spans="1:20" x14ac:dyDescent="0.3">
      <c r="A10428" t="str">
        <f>"0611857079025"</f>
        <v>0611857079025</v>
      </c>
      <c r="B10428" t="str">
        <f>"MC4415"</f>
        <v>MC4415</v>
      </c>
      <c r="C10428" t="s">
        <v>47449</v>
      </c>
      <c r="D10428" t="s">
        <v>28499</v>
      </c>
      <c r="E10428" t="str">
        <f t="shared" si="162"/>
        <v>001390</v>
      </c>
      <c r="F10428" t="s">
        <v>27246</v>
      </c>
      <c r="G10428" t="s">
        <v>27247</v>
      </c>
      <c r="H10428" t="s">
        <v>27248</v>
      </c>
      <c r="I10428" t="s">
        <v>47450</v>
      </c>
      <c r="J10428" t="s">
        <v>20868</v>
      </c>
      <c r="L10428" t="s">
        <v>27250</v>
      </c>
      <c r="M10428" t="s">
        <v>27251</v>
      </c>
      <c r="N10428" t="s">
        <v>27252</v>
      </c>
      <c r="P10428" t="s">
        <v>27341</v>
      </c>
      <c r="Q10428" s="1">
        <v>44812</v>
      </c>
      <c r="R10428" t="s">
        <v>27253</v>
      </c>
      <c r="S10428" t="s">
        <v>27254</v>
      </c>
      <c r="T10428" t="s">
        <v>27269</v>
      </c>
    </row>
    <row r="10429" spans="1:20" x14ac:dyDescent="0.3">
      <c r="A10429" t="str">
        <f>"0611863768100"</f>
        <v>0611863768100</v>
      </c>
      <c r="B10429" t="str">
        <f>"CN2315"</f>
        <v>CN2315</v>
      </c>
      <c r="C10429" t="s">
        <v>47449</v>
      </c>
      <c r="D10429" t="s">
        <v>27339</v>
      </c>
      <c r="E10429" t="str">
        <f t="shared" si="162"/>
        <v>001390</v>
      </c>
      <c r="F10429" t="s">
        <v>27246</v>
      </c>
      <c r="G10429" t="s">
        <v>27247</v>
      </c>
      <c r="H10429" t="s">
        <v>27248</v>
      </c>
      <c r="I10429" t="s">
        <v>47451</v>
      </c>
      <c r="J10429" t="s">
        <v>20866</v>
      </c>
      <c r="L10429" t="s">
        <v>27250</v>
      </c>
      <c r="M10429" t="s">
        <v>27251</v>
      </c>
      <c r="N10429" t="s">
        <v>27252</v>
      </c>
      <c r="P10429" t="s">
        <v>27341</v>
      </c>
      <c r="Q10429" s="1">
        <v>44846</v>
      </c>
      <c r="R10429" t="s">
        <v>27253</v>
      </c>
      <c r="S10429" t="s">
        <v>27254</v>
      </c>
      <c r="T10429" t="s">
        <v>27255</v>
      </c>
    </row>
    <row r="10430" spans="1:20" x14ac:dyDescent="0.3">
      <c r="A10430" t="str">
        <f>"0611838405025"</f>
        <v>0611838405025</v>
      </c>
      <c r="B10430" t="str">
        <f>"MQ0435"</f>
        <v>MQ0435</v>
      </c>
      <c r="C10430" t="s">
        <v>47452</v>
      </c>
      <c r="D10430" t="s">
        <v>28499</v>
      </c>
      <c r="E10430" t="str">
        <f t="shared" si="162"/>
        <v>001390</v>
      </c>
      <c r="F10430" t="s">
        <v>27246</v>
      </c>
      <c r="G10430" t="s">
        <v>27247</v>
      </c>
      <c r="H10430" t="s">
        <v>27248</v>
      </c>
      <c r="I10430" t="s">
        <v>47453</v>
      </c>
      <c r="J10430" t="s">
        <v>20870</v>
      </c>
      <c r="L10430" t="s">
        <v>27250</v>
      </c>
      <c r="M10430" t="s">
        <v>27251</v>
      </c>
      <c r="N10430" t="s">
        <v>27252</v>
      </c>
      <c r="P10430" t="s">
        <v>27341</v>
      </c>
      <c r="Q10430" s="1">
        <v>44538</v>
      </c>
      <c r="R10430" t="s">
        <v>27253</v>
      </c>
      <c r="S10430" t="s">
        <v>27254</v>
      </c>
      <c r="T10430" t="s">
        <v>27269</v>
      </c>
    </row>
    <row r="10431" spans="1:20" x14ac:dyDescent="0.3">
      <c r="A10431" t="str">
        <f>"0611838406025"</f>
        <v>0611838406025</v>
      </c>
      <c r="B10431" t="str">
        <f>"MQ0325"</f>
        <v>MQ0325</v>
      </c>
      <c r="C10431" t="s">
        <v>47454</v>
      </c>
      <c r="D10431" t="s">
        <v>28499</v>
      </c>
      <c r="E10431" t="str">
        <f t="shared" si="162"/>
        <v>001390</v>
      </c>
      <c r="F10431" t="s">
        <v>27246</v>
      </c>
      <c r="G10431" t="s">
        <v>27247</v>
      </c>
      <c r="H10431" t="s">
        <v>27248</v>
      </c>
      <c r="I10431" t="s">
        <v>47455</v>
      </c>
      <c r="J10431" t="s">
        <v>20874</v>
      </c>
      <c r="L10431" t="s">
        <v>27250</v>
      </c>
      <c r="M10431" t="s">
        <v>27251</v>
      </c>
      <c r="N10431" t="s">
        <v>27252</v>
      </c>
      <c r="P10431" t="s">
        <v>27341</v>
      </c>
      <c r="Q10431" s="1">
        <v>44538</v>
      </c>
      <c r="R10431" t="s">
        <v>27253</v>
      </c>
      <c r="S10431" t="s">
        <v>27254</v>
      </c>
      <c r="T10431" t="s">
        <v>27269</v>
      </c>
    </row>
    <row r="10432" spans="1:20" x14ac:dyDescent="0.3">
      <c r="A10432" t="str">
        <f>"0611863769100"</f>
        <v>0611863769100</v>
      </c>
      <c r="B10432" t="str">
        <f>"CN5316"</f>
        <v>CN5316</v>
      </c>
      <c r="C10432" t="s">
        <v>47454</v>
      </c>
      <c r="D10432" t="s">
        <v>27339</v>
      </c>
      <c r="E10432" t="str">
        <f t="shared" si="162"/>
        <v>001390</v>
      </c>
      <c r="F10432" t="s">
        <v>27246</v>
      </c>
      <c r="G10432" t="s">
        <v>27247</v>
      </c>
      <c r="H10432" t="s">
        <v>27248</v>
      </c>
      <c r="I10432" t="s">
        <v>47456</v>
      </c>
      <c r="J10432" t="s">
        <v>20872</v>
      </c>
      <c r="L10432" t="s">
        <v>27250</v>
      </c>
      <c r="M10432" t="s">
        <v>27251</v>
      </c>
      <c r="N10432" t="s">
        <v>27252</v>
      </c>
      <c r="P10432" t="s">
        <v>27341</v>
      </c>
      <c r="Q10432" s="1">
        <v>44846</v>
      </c>
      <c r="R10432" t="s">
        <v>27253</v>
      </c>
      <c r="S10432" t="s">
        <v>27254</v>
      </c>
      <c r="T10432" t="s">
        <v>27255</v>
      </c>
    </row>
    <row r="10433" spans="1:20" x14ac:dyDescent="0.3">
      <c r="A10433" t="str">
        <f>"0611838407025"</f>
        <v>0611838407025</v>
      </c>
      <c r="B10433" t="str">
        <f>"MQ0436"</f>
        <v>MQ0436</v>
      </c>
      <c r="C10433" t="s">
        <v>47457</v>
      </c>
      <c r="D10433" t="s">
        <v>28499</v>
      </c>
      <c r="E10433" t="str">
        <f t="shared" si="162"/>
        <v>001390</v>
      </c>
      <c r="F10433" t="s">
        <v>27246</v>
      </c>
      <c r="G10433" t="s">
        <v>27247</v>
      </c>
      <c r="H10433" t="s">
        <v>27248</v>
      </c>
      <c r="I10433" t="s">
        <v>47458</v>
      </c>
      <c r="J10433" t="s">
        <v>20876</v>
      </c>
      <c r="L10433" t="s">
        <v>27250</v>
      </c>
      <c r="M10433" t="s">
        <v>27251</v>
      </c>
      <c r="N10433" t="s">
        <v>27252</v>
      </c>
      <c r="P10433" t="s">
        <v>27341</v>
      </c>
      <c r="Q10433" s="1">
        <v>44538</v>
      </c>
      <c r="R10433" t="s">
        <v>27253</v>
      </c>
      <c r="S10433" t="s">
        <v>27254</v>
      </c>
      <c r="T10433" t="s">
        <v>27269</v>
      </c>
    </row>
    <row r="10434" spans="1:20" x14ac:dyDescent="0.3">
      <c r="A10434" t="str">
        <f>"0611863770100"</f>
        <v>0611863770100</v>
      </c>
      <c r="B10434" t="str">
        <f>"CN5317"</f>
        <v>CN5317</v>
      </c>
      <c r="C10434" t="s">
        <v>47459</v>
      </c>
      <c r="D10434" t="s">
        <v>27552</v>
      </c>
      <c r="E10434" t="str">
        <f t="shared" ref="E10434:E10497" si="163">"001390"</f>
        <v>001390</v>
      </c>
      <c r="F10434" t="s">
        <v>27246</v>
      </c>
      <c r="G10434" t="s">
        <v>27247</v>
      </c>
      <c r="H10434" t="s">
        <v>27248</v>
      </c>
      <c r="I10434" t="s">
        <v>47460</v>
      </c>
      <c r="J10434" t="s">
        <v>20878</v>
      </c>
      <c r="L10434" t="s">
        <v>27250</v>
      </c>
      <c r="M10434" t="s">
        <v>27251</v>
      </c>
      <c r="N10434" t="s">
        <v>27252</v>
      </c>
      <c r="P10434" t="s">
        <v>27341</v>
      </c>
      <c r="Q10434" s="1">
        <v>44846</v>
      </c>
      <c r="R10434" t="s">
        <v>27253</v>
      </c>
      <c r="S10434" t="s">
        <v>27254</v>
      </c>
      <c r="T10434" t="s">
        <v>27255</v>
      </c>
    </row>
    <row r="10435" spans="1:20" x14ac:dyDescent="0.3">
      <c r="A10435" t="str">
        <f>"0611863771050"</f>
        <v>0611863771050</v>
      </c>
      <c r="B10435" t="str">
        <f>"CR4419"</f>
        <v>CR4419</v>
      </c>
      <c r="C10435" t="s">
        <v>47459</v>
      </c>
      <c r="D10435" t="s">
        <v>28376</v>
      </c>
      <c r="E10435" t="str">
        <f t="shared" si="163"/>
        <v>001390</v>
      </c>
      <c r="F10435" t="s">
        <v>27246</v>
      </c>
      <c r="G10435" t="s">
        <v>27247</v>
      </c>
      <c r="H10435" t="s">
        <v>27248</v>
      </c>
      <c r="I10435" t="s">
        <v>47461</v>
      </c>
      <c r="J10435" t="s">
        <v>20880</v>
      </c>
      <c r="L10435" t="s">
        <v>27250</v>
      </c>
      <c r="M10435" t="s">
        <v>27251</v>
      </c>
      <c r="N10435" t="s">
        <v>27252</v>
      </c>
      <c r="P10435" t="s">
        <v>27341</v>
      </c>
      <c r="Q10435" s="1">
        <v>44846</v>
      </c>
      <c r="R10435" t="s">
        <v>27253</v>
      </c>
      <c r="S10435" t="s">
        <v>27254</v>
      </c>
      <c r="T10435" t="s">
        <v>28378</v>
      </c>
    </row>
    <row r="10436" spans="1:20" x14ac:dyDescent="0.3">
      <c r="A10436" t="str">
        <f>"0611863772050"</f>
        <v>0611863772050</v>
      </c>
      <c r="B10436" t="str">
        <f>"CR4422"</f>
        <v>CR4422</v>
      </c>
      <c r="C10436" t="s">
        <v>47462</v>
      </c>
      <c r="D10436" t="s">
        <v>28376</v>
      </c>
      <c r="E10436" t="str">
        <f t="shared" si="163"/>
        <v>001390</v>
      </c>
      <c r="F10436" t="s">
        <v>27246</v>
      </c>
      <c r="G10436" t="s">
        <v>27247</v>
      </c>
      <c r="H10436" t="s">
        <v>27248</v>
      </c>
      <c r="I10436" t="s">
        <v>47463</v>
      </c>
      <c r="J10436" t="s">
        <v>20882</v>
      </c>
      <c r="L10436" t="s">
        <v>27250</v>
      </c>
      <c r="M10436" t="s">
        <v>27251</v>
      </c>
      <c r="N10436" t="s">
        <v>27252</v>
      </c>
      <c r="P10436" t="s">
        <v>27341</v>
      </c>
      <c r="Q10436" s="1">
        <v>44846</v>
      </c>
      <c r="R10436" t="s">
        <v>27253</v>
      </c>
      <c r="S10436" t="s">
        <v>27254</v>
      </c>
      <c r="T10436" t="s">
        <v>28378</v>
      </c>
    </row>
    <row r="10437" spans="1:20" x14ac:dyDescent="0.3">
      <c r="A10437" t="str">
        <f>"0611863773100"</f>
        <v>0611863773100</v>
      </c>
      <c r="B10437" t="str">
        <f>"CN5318"</f>
        <v>CN5318</v>
      </c>
      <c r="C10437" t="s">
        <v>47464</v>
      </c>
      <c r="D10437" t="s">
        <v>27339</v>
      </c>
      <c r="E10437" t="str">
        <f t="shared" si="163"/>
        <v>001390</v>
      </c>
      <c r="F10437" t="s">
        <v>27246</v>
      </c>
      <c r="G10437" t="s">
        <v>27247</v>
      </c>
      <c r="H10437" t="s">
        <v>27248</v>
      </c>
      <c r="I10437" t="s">
        <v>47465</v>
      </c>
      <c r="J10437" t="s">
        <v>20884</v>
      </c>
      <c r="L10437" t="s">
        <v>27250</v>
      </c>
      <c r="M10437" t="s">
        <v>27251</v>
      </c>
      <c r="N10437" t="s">
        <v>27252</v>
      </c>
      <c r="P10437" t="s">
        <v>27341</v>
      </c>
      <c r="Q10437" s="1">
        <v>44846</v>
      </c>
      <c r="R10437" t="s">
        <v>27253</v>
      </c>
      <c r="S10437" t="s">
        <v>27254</v>
      </c>
      <c r="T10437" t="s">
        <v>27255</v>
      </c>
    </row>
    <row r="10438" spans="1:20" x14ac:dyDescent="0.3">
      <c r="A10438" t="str">
        <f>"0611863774050"</f>
        <v>0611863774050</v>
      </c>
      <c r="B10438" t="str">
        <f>"CR3942"</f>
        <v>CR3942</v>
      </c>
      <c r="C10438" t="s">
        <v>47464</v>
      </c>
      <c r="D10438" t="s">
        <v>27271</v>
      </c>
      <c r="E10438" t="str">
        <f t="shared" si="163"/>
        <v>001390</v>
      </c>
      <c r="F10438" t="s">
        <v>27246</v>
      </c>
      <c r="G10438" t="s">
        <v>27247</v>
      </c>
      <c r="H10438" t="s">
        <v>27248</v>
      </c>
      <c r="I10438" t="s">
        <v>47466</v>
      </c>
      <c r="J10438" t="s">
        <v>20886</v>
      </c>
      <c r="L10438" t="s">
        <v>27250</v>
      </c>
      <c r="M10438" t="s">
        <v>27251</v>
      </c>
      <c r="N10438" t="s">
        <v>27252</v>
      </c>
      <c r="P10438" t="s">
        <v>27341</v>
      </c>
      <c r="Q10438" s="1">
        <v>44846</v>
      </c>
      <c r="R10438" t="s">
        <v>27253</v>
      </c>
      <c r="S10438" t="s">
        <v>27254</v>
      </c>
      <c r="T10438" t="s">
        <v>27265</v>
      </c>
    </row>
    <row r="10439" spans="1:20" x14ac:dyDescent="0.3">
      <c r="A10439" t="str">
        <f>"0611863775100"</f>
        <v>0611863775100</v>
      </c>
      <c r="B10439" t="str">
        <f>"CN5319"</f>
        <v>CN5319</v>
      </c>
      <c r="C10439" t="s">
        <v>47467</v>
      </c>
      <c r="D10439" t="s">
        <v>27339</v>
      </c>
      <c r="E10439" t="str">
        <f t="shared" si="163"/>
        <v>001390</v>
      </c>
      <c r="F10439" t="s">
        <v>27246</v>
      </c>
      <c r="G10439" t="s">
        <v>27247</v>
      </c>
      <c r="H10439" t="s">
        <v>27248</v>
      </c>
      <c r="I10439" t="s">
        <v>47468</v>
      </c>
      <c r="J10439" t="s">
        <v>20888</v>
      </c>
      <c r="L10439" t="s">
        <v>27250</v>
      </c>
      <c r="M10439" t="s">
        <v>27251</v>
      </c>
      <c r="N10439" t="s">
        <v>27252</v>
      </c>
      <c r="P10439" t="s">
        <v>27341</v>
      </c>
      <c r="Q10439" s="1">
        <v>44846</v>
      </c>
      <c r="R10439" t="s">
        <v>27253</v>
      </c>
      <c r="S10439" t="s">
        <v>27254</v>
      </c>
      <c r="T10439" t="s">
        <v>27255</v>
      </c>
    </row>
    <row r="10440" spans="1:20" x14ac:dyDescent="0.3">
      <c r="A10440" t="str">
        <f>"0611863776050"</f>
        <v>0611863776050</v>
      </c>
      <c r="B10440" t="str">
        <f>"CR3940"</f>
        <v>CR3940</v>
      </c>
      <c r="C10440" t="s">
        <v>47467</v>
      </c>
      <c r="D10440" t="s">
        <v>27271</v>
      </c>
      <c r="E10440" t="str">
        <f t="shared" si="163"/>
        <v>001390</v>
      </c>
      <c r="F10440" t="s">
        <v>27246</v>
      </c>
      <c r="G10440" t="s">
        <v>27247</v>
      </c>
      <c r="H10440" t="s">
        <v>27248</v>
      </c>
      <c r="I10440" t="s">
        <v>47469</v>
      </c>
      <c r="J10440" t="s">
        <v>20890</v>
      </c>
      <c r="L10440" t="s">
        <v>27250</v>
      </c>
      <c r="M10440" t="s">
        <v>27251</v>
      </c>
      <c r="N10440" t="s">
        <v>27252</v>
      </c>
      <c r="P10440" t="s">
        <v>27341</v>
      </c>
      <c r="Q10440" s="1">
        <v>44846</v>
      </c>
      <c r="R10440" t="s">
        <v>27253</v>
      </c>
      <c r="S10440" t="s">
        <v>27254</v>
      </c>
      <c r="T10440" t="s">
        <v>27265</v>
      </c>
    </row>
    <row r="10441" spans="1:20" x14ac:dyDescent="0.3">
      <c r="A10441" t="str">
        <f>"0611863777100"</f>
        <v>0611863777100</v>
      </c>
      <c r="B10441" t="str">
        <f>"CN5320"</f>
        <v>CN5320</v>
      </c>
      <c r="C10441" t="s">
        <v>47470</v>
      </c>
      <c r="D10441" t="s">
        <v>27339</v>
      </c>
      <c r="E10441" t="str">
        <f t="shared" si="163"/>
        <v>001390</v>
      </c>
      <c r="F10441" t="s">
        <v>27246</v>
      </c>
      <c r="G10441" t="s">
        <v>27247</v>
      </c>
      <c r="H10441" t="s">
        <v>27248</v>
      </c>
      <c r="I10441" t="s">
        <v>47471</v>
      </c>
      <c r="J10441" t="s">
        <v>20892</v>
      </c>
      <c r="L10441" t="s">
        <v>27250</v>
      </c>
      <c r="M10441" t="s">
        <v>27251</v>
      </c>
      <c r="N10441" t="s">
        <v>27252</v>
      </c>
      <c r="P10441" t="s">
        <v>27341</v>
      </c>
      <c r="Q10441" s="1">
        <v>44846</v>
      </c>
      <c r="R10441" t="s">
        <v>27253</v>
      </c>
      <c r="S10441" t="s">
        <v>27254</v>
      </c>
      <c r="T10441" t="s">
        <v>27255</v>
      </c>
    </row>
    <row r="10442" spans="1:20" x14ac:dyDescent="0.3">
      <c r="A10442" t="str">
        <f>"0611863778050"</f>
        <v>0611863778050</v>
      </c>
      <c r="B10442" t="str">
        <f>"CR3941"</f>
        <v>CR3941</v>
      </c>
      <c r="C10442" t="s">
        <v>47470</v>
      </c>
      <c r="D10442" t="s">
        <v>27271</v>
      </c>
      <c r="E10442" t="str">
        <f t="shared" si="163"/>
        <v>001390</v>
      </c>
      <c r="F10442" t="s">
        <v>27246</v>
      </c>
      <c r="G10442" t="s">
        <v>27247</v>
      </c>
      <c r="H10442" t="s">
        <v>27248</v>
      </c>
      <c r="I10442" t="s">
        <v>47472</v>
      </c>
      <c r="J10442" t="s">
        <v>20894</v>
      </c>
      <c r="L10442" t="s">
        <v>27250</v>
      </c>
      <c r="M10442" t="s">
        <v>27251</v>
      </c>
      <c r="N10442" t="s">
        <v>27252</v>
      </c>
      <c r="P10442" t="s">
        <v>27341</v>
      </c>
      <c r="Q10442" s="1">
        <v>44846</v>
      </c>
      <c r="R10442" t="s">
        <v>27253</v>
      </c>
      <c r="S10442" t="s">
        <v>27254</v>
      </c>
      <c r="T10442" t="s">
        <v>27265</v>
      </c>
    </row>
    <row r="10443" spans="1:20" x14ac:dyDescent="0.3">
      <c r="A10443" t="str">
        <f>"0611863779100"</f>
        <v>0611863779100</v>
      </c>
      <c r="B10443" t="str">
        <f>"CN2316"</f>
        <v>CN2316</v>
      </c>
      <c r="C10443" t="s">
        <v>47473</v>
      </c>
      <c r="D10443" t="s">
        <v>27339</v>
      </c>
      <c r="E10443" t="str">
        <f t="shared" si="163"/>
        <v>001390</v>
      </c>
      <c r="F10443" t="s">
        <v>27246</v>
      </c>
      <c r="G10443" t="s">
        <v>27247</v>
      </c>
      <c r="H10443" t="s">
        <v>27248</v>
      </c>
      <c r="I10443" t="s">
        <v>47474</v>
      </c>
      <c r="J10443" t="s">
        <v>20896</v>
      </c>
      <c r="L10443" t="s">
        <v>27250</v>
      </c>
      <c r="M10443" t="s">
        <v>27251</v>
      </c>
      <c r="N10443" t="s">
        <v>27252</v>
      </c>
      <c r="P10443" t="s">
        <v>27341</v>
      </c>
      <c r="Q10443" s="1">
        <v>44846</v>
      </c>
      <c r="R10443" t="s">
        <v>27253</v>
      </c>
      <c r="S10443" t="s">
        <v>27254</v>
      </c>
      <c r="T10443" t="s">
        <v>27255</v>
      </c>
    </row>
    <row r="10444" spans="1:20" x14ac:dyDescent="0.3">
      <c r="A10444" t="str">
        <f>"0611863780100"</f>
        <v>0611863780100</v>
      </c>
      <c r="B10444" t="str">
        <f>"CN5321"</f>
        <v>CN5321</v>
      </c>
      <c r="C10444" t="s">
        <v>47475</v>
      </c>
      <c r="D10444" t="s">
        <v>27339</v>
      </c>
      <c r="E10444" t="str">
        <f t="shared" si="163"/>
        <v>001390</v>
      </c>
      <c r="F10444" t="s">
        <v>27246</v>
      </c>
      <c r="G10444" t="s">
        <v>27247</v>
      </c>
      <c r="H10444" t="s">
        <v>27248</v>
      </c>
      <c r="I10444" t="s">
        <v>47476</v>
      </c>
      <c r="J10444" t="s">
        <v>20898</v>
      </c>
      <c r="L10444" t="s">
        <v>27250</v>
      </c>
      <c r="M10444" t="s">
        <v>27251</v>
      </c>
      <c r="N10444" t="s">
        <v>27252</v>
      </c>
      <c r="P10444" t="s">
        <v>27341</v>
      </c>
      <c r="Q10444" s="1">
        <v>44846</v>
      </c>
      <c r="R10444" t="s">
        <v>27253</v>
      </c>
      <c r="S10444" t="s">
        <v>27254</v>
      </c>
      <c r="T10444" t="s">
        <v>27255</v>
      </c>
    </row>
    <row r="10445" spans="1:20" x14ac:dyDescent="0.3">
      <c r="A10445" t="str">
        <f>"0611863781050"</f>
        <v>0611863781050</v>
      </c>
      <c r="B10445" t="str">
        <f>"CR3943"</f>
        <v>CR3943</v>
      </c>
      <c r="C10445" t="s">
        <v>47475</v>
      </c>
      <c r="D10445" t="s">
        <v>27271</v>
      </c>
      <c r="E10445" t="str">
        <f t="shared" si="163"/>
        <v>001390</v>
      </c>
      <c r="F10445" t="s">
        <v>27246</v>
      </c>
      <c r="G10445" t="s">
        <v>27247</v>
      </c>
      <c r="H10445" t="s">
        <v>27248</v>
      </c>
      <c r="I10445" t="s">
        <v>47477</v>
      </c>
      <c r="J10445" t="s">
        <v>20900</v>
      </c>
      <c r="L10445" t="s">
        <v>27250</v>
      </c>
      <c r="M10445" t="s">
        <v>27251</v>
      </c>
      <c r="N10445" t="s">
        <v>27252</v>
      </c>
      <c r="P10445" t="s">
        <v>27341</v>
      </c>
      <c r="Q10445" s="1">
        <v>44846</v>
      </c>
      <c r="R10445" t="s">
        <v>27253</v>
      </c>
      <c r="S10445" t="s">
        <v>27254</v>
      </c>
      <c r="T10445" t="s">
        <v>27265</v>
      </c>
    </row>
    <row r="10446" spans="1:20" x14ac:dyDescent="0.3">
      <c r="A10446" t="str">
        <f>"0611863782100"</f>
        <v>0611863782100</v>
      </c>
      <c r="B10446" t="str">
        <f>"CN5322"</f>
        <v>CN5322</v>
      </c>
      <c r="C10446" t="s">
        <v>47478</v>
      </c>
      <c r="D10446" t="s">
        <v>27339</v>
      </c>
      <c r="E10446" t="str">
        <f t="shared" si="163"/>
        <v>001390</v>
      </c>
      <c r="F10446" t="s">
        <v>27246</v>
      </c>
      <c r="G10446" t="s">
        <v>27247</v>
      </c>
      <c r="H10446" t="s">
        <v>27248</v>
      </c>
      <c r="I10446" t="s">
        <v>47479</v>
      </c>
      <c r="J10446" t="s">
        <v>20902</v>
      </c>
      <c r="L10446" t="s">
        <v>27250</v>
      </c>
      <c r="M10446" t="s">
        <v>27251</v>
      </c>
      <c r="N10446" t="s">
        <v>27252</v>
      </c>
      <c r="P10446" t="s">
        <v>27341</v>
      </c>
      <c r="Q10446" s="1">
        <v>44846</v>
      </c>
      <c r="R10446" t="s">
        <v>27253</v>
      </c>
      <c r="S10446" t="s">
        <v>27254</v>
      </c>
      <c r="T10446" t="s">
        <v>27255</v>
      </c>
    </row>
    <row r="10447" spans="1:20" x14ac:dyDescent="0.3">
      <c r="A10447" t="str">
        <f>"0611838409025"</f>
        <v>0611838409025</v>
      </c>
      <c r="B10447" t="str">
        <f>"MQ0326"</f>
        <v>MQ0326</v>
      </c>
      <c r="C10447" t="s">
        <v>47480</v>
      </c>
      <c r="D10447" t="s">
        <v>28499</v>
      </c>
      <c r="E10447" t="str">
        <f t="shared" si="163"/>
        <v>001390</v>
      </c>
      <c r="F10447" t="s">
        <v>27246</v>
      </c>
      <c r="G10447" t="s">
        <v>27247</v>
      </c>
      <c r="H10447" t="s">
        <v>27248</v>
      </c>
      <c r="I10447" t="s">
        <v>47481</v>
      </c>
      <c r="J10447" t="s">
        <v>20906</v>
      </c>
      <c r="L10447" t="s">
        <v>27250</v>
      </c>
      <c r="M10447" t="s">
        <v>27251</v>
      </c>
      <c r="N10447" t="s">
        <v>27252</v>
      </c>
      <c r="P10447" t="s">
        <v>27341</v>
      </c>
      <c r="Q10447" s="1">
        <v>44538</v>
      </c>
      <c r="R10447" t="s">
        <v>27253</v>
      </c>
      <c r="S10447" t="s">
        <v>27254</v>
      </c>
      <c r="T10447" t="s">
        <v>27269</v>
      </c>
    </row>
    <row r="10448" spans="1:20" x14ac:dyDescent="0.3">
      <c r="A10448" t="str">
        <f>"0611863783100"</f>
        <v>0611863783100</v>
      </c>
      <c r="B10448" t="str">
        <f>"CN5324"</f>
        <v>CN5324</v>
      </c>
      <c r="C10448" t="s">
        <v>47480</v>
      </c>
      <c r="D10448" t="s">
        <v>27339</v>
      </c>
      <c r="E10448" t="str">
        <f t="shared" si="163"/>
        <v>001390</v>
      </c>
      <c r="F10448" t="s">
        <v>27246</v>
      </c>
      <c r="G10448" t="s">
        <v>27247</v>
      </c>
      <c r="H10448" t="s">
        <v>27248</v>
      </c>
      <c r="I10448" t="s">
        <v>47482</v>
      </c>
      <c r="J10448" t="s">
        <v>20904</v>
      </c>
      <c r="L10448" t="s">
        <v>27250</v>
      </c>
      <c r="M10448" t="s">
        <v>27251</v>
      </c>
      <c r="N10448" t="s">
        <v>27252</v>
      </c>
      <c r="P10448" t="s">
        <v>27341</v>
      </c>
      <c r="Q10448" s="1">
        <v>44846</v>
      </c>
      <c r="R10448" t="s">
        <v>27253</v>
      </c>
      <c r="S10448" t="s">
        <v>27254</v>
      </c>
      <c r="T10448" t="s">
        <v>27255</v>
      </c>
    </row>
    <row r="10449" spans="1:20" x14ac:dyDescent="0.3">
      <c r="A10449" t="str">
        <f>"0611863784050"</f>
        <v>0611863784050</v>
      </c>
      <c r="B10449" t="str">
        <f>"CR3944"</f>
        <v>CR3944</v>
      </c>
      <c r="C10449" t="s">
        <v>47480</v>
      </c>
      <c r="D10449" t="s">
        <v>27271</v>
      </c>
      <c r="E10449" t="str">
        <f t="shared" si="163"/>
        <v>001390</v>
      </c>
      <c r="F10449" t="s">
        <v>27246</v>
      </c>
      <c r="G10449" t="s">
        <v>27247</v>
      </c>
      <c r="H10449" t="s">
        <v>27248</v>
      </c>
      <c r="I10449" t="s">
        <v>47483</v>
      </c>
      <c r="J10449" t="s">
        <v>20908</v>
      </c>
      <c r="L10449" t="s">
        <v>27250</v>
      </c>
      <c r="M10449" t="s">
        <v>27251</v>
      </c>
      <c r="N10449" t="s">
        <v>27252</v>
      </c>
      <c r="P10449" t="s">
        <v>27341</v>
      </c>
      <c r="Q10449" s="1">
        <v>44846</v>
      </c>
      <c r="R10449" t="s">
        <v>27253</v>
      </c>
      <c r="S10449" t="s">
        <v>27254</v>
      </c>
      <c r="T10449" t="s">
        <v>27265</v>
      </c>
    </row>
    <row r="10450" spans="1:20" x14ac:dyDescent="0.3">
      <c r="A10450" t="str">
        <f>"0611838410025"</f>
        <v>0611838410025</v>
      </c>
      <c r="B10450" t="str">
        <f>"MQ0437"</f>
        <v>MQ0437</v>
      </c>
      <c r="C10450" t="s">
        <v>47484</v>
      </c>
      <c r="D10450" t="s">
        <v>28499</v>
      </c>
      <c r="E10450" t="str">
        <f t="shared" si="163"/>
        <v>001390</v>
      </c>
      <c r="F10450" t="s">
        <v>27246</v>
      </c>
      <c r="G10450" t="s">
        <v>27247</v>
      </c>
      <c r="H10450" t="s">
        <v>27248</v>
      </c>
      <c r="I10450" t="s">
        <v>47485</v>
      </c>
      <c r="J10450" t="s">
        <v>20912</v>
      </c>
      <c r="L10450" t="s">
        <v>27250</v>
      </c>
      <c r="M10450" t="s">
        <v>27251</v>
      </c>
      <c r="N10450" t="s">
        <v>27252</v>
      </c>
      <c r="P10450" t="s">
        <v>27341</v>
      </c>
      <c r="Q10450" s="1">
        <v>44538</v>
      </c>
      <c r="R10450" t="s">
        <v>27253</v>
      </c>
      <c r="S10450" t="s">
        <v>27254</v>
      </c>
      <c r="T10450" t="s">
        <v>27269</v>
      </c>
    </row>
    <row r="10451" spans="1:20" x14ac:dyDescent="0.3">
      <c r="A10451" t="str">
        <f>"0611863785100"</f>
        <v>0611863785100</v>
      </c>
      <c r="B10451" t="str">
        <f>"CN5323"</f>
        <v>CN5323</v>
      </c>
      <c r="C10451" t="s">
        <v>47484</v>
      </c>
      <c r="D10451" t="s">
        <v>27339</v>
      </c>
      <c r="E10451" t="str">
        <f t="shared" si="163"/>
        <v>001390</v>
      </c>
      <c r="F10451" t="s">
        <v>27246</v>
      </c>
      <c r="G10451" t="s">
        <v>27247</v>
      </c>
      <c r="H10451" t="s">
        <v>27248</v>
      </c>
      <c r="I10451" t="s">
        <v>47486</v>
      </c>
      <c r="J10451" t="s">
        <v>20910</v>
      </c>
      <c r="L10451" t="s">
        <v>27250</v>
      </c>
      <c r="M10451" t="s">
        <v>27251</v>
      </c>
      <c r="N10451" t="s">
        <v>27252</v>
      </c>
      <c r="P10451" t="s">
        <v>27341</v>
      </c>
      <c r="Q10451" s="1">
        <v>44846</v>
      </c>
      <c r="R10451" t="s">
        <v>27253</v>
      </c>
      <c r="S10451" t="s">
        <v>27254</v>
      </c>
      <c r="T10451" t="s">
        <v>27255</v>
      </c>
    </row>
    <row r="10452" spans="1:20" x14ac:dyDescent="0.3">
      <c r="A10452" t="str">
        <f>"0611863786050"</f>
        <v>0611863786050</v>
      </c>
      <c r="B10452" t="str">
        <f>"CR3254"</f>
        <v>CR3254</v>
      </c>
      <c r="C10452" t="s">
        <v>47484</v>
      </c>
      <c r="D10452" t="s">
        <v>27271</v>
      </c>
      <c r="E10452" t="str">
        <f t="shared" si="163"/>
        <v>001390</v>
      </c>
      <c r="F10452" t="s">
        <v>27246</v>
      </c>
      <c r="G10452" t="s">
        <v>27247</v>
      </c>
      <c r="H10452" t="s">
        <v>27248</v>
      </c>
      <c r="I10452" t="s">
        <v>47487</v>
      </c>
      <c r="J10452" t="s">
        <v>20914</v>
      </c>
      <c r="L10452" t="s">
        <v>27250</v>
      </c>
      <c r="M10452" t="s">
        <v>27251</v>
      </c>
      <c r="N10452" t="s">
        <v>27252</v>
      </c>
      <c r="P10452" t="s">
        <v>27341</v>
      </c>
      <c r="Q10452" s="1">
        <v>44846</v>
      </c>
      <c r="R10452" t="s">
        <v>27253</v>
      </c>
      <c r="S10452" t="s">
        <v>27254</v>
      </c>
      <c r="T10452" t="s">
        <v>27265</v>
      </c>
    </row>
    <row r="10453" spans="1:20" x14ac:dyDescent="0.3">
      <c r="A10453" t="str">
        <f>"0611838411025"</f>
        <v>0611838411025</v>
      </c>
      <c r="B10453" t="str">
        <f>"MQ0327"</f>
        <v>MQ0327</v>
      </c>
      <c r="C10453" t="s">
        <v>47488</v>
      </c>
      <c r="D10453" t="s">
        <v>28499</v>
      </c>
      <c r="E10453" t="str">
        <f t="shared" si="163"/>
        <v>001390</v>
      </c>
      <c r="F10453" t="s">
        <v>27246</v>
      </c>
      <c r="G10453" t="s">
        <v>27247</v>
      </c>
      <c r="H10453" t="s">
        <v>27248</v>
      </c>
      <c r="I10453" t="s">
        <v>47489</v>
      </c>
      <c r="J10453" t="s">
        <v>20918</v>
      </c>
      <c r="L10453" t="s">
        <v>27250</v>
      </c>
      <c r="M10453" t="s">
        <v>27251</v>
      </c>
      <c r="N10453" t="s">
        <v>27252</v>
      </c>
      <c r="P10453" t="s">
        <v>27341</v>
      </c>
      <c r="Q10453" s="1">
        <v>44538</v>
      </c>
      <c r="R10453" t="s">
        <v>27253</v>
      </c>
      <c r="S10453" t="s">
        <v>27254</v>
      </c>
      <c r="T10453" t="s">
        <v>27269</v>
      </c>
    </row>
    <row r="10454" spans="1:20" x14ac:dyDescent="0.3">
      <c r="A10454" t="str">
        <f>"0611863787100"</f>
        <v>0611863787100</v>
      </c>
      <c r="B10454" t="str">
        <f>"CN5325"</f>
        <v>CN5325</v>
      </c>
      <c r="C10454" t="s">
        <v>47488</v>
      </c>
      <c r="D10454" t="s">
        <v>27339</v>
      </c>
      <c r="E10454" t="str">
        <f t="shared" si="163"/>
        <v>001390</v>
      </c>
      <c r="F10454" t="s">
        <v>27246</v>
      </c>
      <c r="G10454" t="s">
        <v>27247</v>
      </c>
      <c r="H10454" t="s">
        <v>27248</v>
      </c>
      <c r="I10454" t="s">
        <v>47490</v>
      </c>
      <c r="J10454" t="s">
        <v>20916</v>
      </c>
      <c r="L10454" t="s">
        <v>27250</v>
      </c>
      <c r="M10454" t="s">
        <v>27251</v>
      </c>
      <c r="N10454" t="s">
        <v>27252</v>
      </c>
      <c r="P10454" t="s">
        <v>27341</v>
      </c>
      <c r="Q10454" s="1">
        <v>44846</v>
      </c>
      <c r="R10454" t="s">
        <v>27253</v>
      </c>
      <c r="S10454" t="s">
        <v>27254</v>
      </c>
      <c r="T10454" t="s">
        <v>27255</v>
      </c>
    </row>
    <row r="10455" spans="1:20" x14ac:dyDescent="0.3">
      <c r="A10455" t="str">
        <f>"0611863788050"</f>
        <v>0611863788050</v>
      </c>
      <c r="B10455" t="str">
        <f>"CR4426"</f>
        <v>CR4426</v>
      </c>
      <c r="C10455" t="s">
        <v>47491</v>
      </c>
      <c r="D10455" t="s">
        <v>27271</v>
      </c>
      <c r="E10455" t="str">
        <f t="shared" si="163"/>
        <v>001390</v>
      </c>
      <c r="F10455" t="s">
        <v>27246</v>
      </c>
      <c r="G10455" t="s">
        <v>27247</v>
      </c>
      <c r="H10455" t="s">
        <v>27248</v>
      </c>
      <c r="I10455" t="s">
        <v>47492</v>
      </c>
      <c r="J10455" t="s">
        <v>20920</v>
      </c>
      <c r="L10455" t="s">
        <v>27250</v>
      </c>
      <c r="M10455" t="s">
        <v>27251</v>
      </c>
      <c r="N10455" t="s">
        <v>27252</v>
      </c>
      <c r="P10455" t="s">
        <v>27341</v>
      </c>
      <c r="Q10455" s="1">
        <v>44846</v>
      </c>
      <c r="R10455" t="s">
        <v>27253</v>
      </c>
      <c r="S10455" t="s">
        <v>27254</v>
      </c>
      <c r="T10455" t="s">
        <v>27265</v>
      </c>
    </row>
    <row r="10456" spans="1:20" x14ac:dyDescent="0.3">
      <c r="A10456" t="str">
        <f>"0611838413025"</f>
        <v>0611838413025</v>
      </c>
      <c r="B10456" t="str">
        <f>"MQ0627"</f>
        <v>MQ0627</v>
      </c>
      <c r="C10456" t="s">
        <v>47493</v>
      </c>
      <c r="D10456" t="s">
        <v>28499</v>
      </c>
      <c r="E10456" t="str">
        <f t="shared" si="163"/>
        <v>001390</v>
      </c>
      <c r="F10456" t="s">
        <v>27246</v>
      </c>
      <c r="G10456" t="s">
        <v>27247</v>
      </c>
      <c r="H10456" t="s">
        <v>27248</v>
      </c>
      <c r="I10456" t="s">
        <v>47494</v>
      </c>
      <c r="J10456" t="s">
        <v>20922</v>
      </c>
      <c r="L10456" t="s">
        <v>27250</v>
      </c>
      <c r="M10456" t="s">
        <v>27251</v>
      </c>
      <c r="N10456" t="s">
        <v>27252</v>
      </c>
      <c r="P10456" t="s">
        <v>27341</v>
      </c>
      <c r="Q10456" s="1">
        <v>44538</v>
      </c>
      <c r="R10456" t="s">
        <v>27253</v>
      </c>
      <c r="S10456" t="s">
        <v>27254</v>
      </c>
      <c r="T10456" t="s">
        <v>27269</v>
      </c>
    </row>
    <row r="10457" spans="1:20" x14ac:dyDescent="0.3">
      <c r="A10457" t="str">
        <f>"0611863789050"</f>
        <v>0611863789050</v>
      </c>
      <c r="B10457" t="str">
        <f>"CR4427"</f>
        <v>CR4427</v>
      </c>
      <c r="C10457" t="s">
        <v>47493</v>
      </c>
      <c r="D10457" t="s">
        <v>27271</v>
      </c>
      <c r="E10457" t="str">
        <f t="shared" si="163"/>
        <v>001390</v>
      </c>
      <c r="F10457" t="s">
        <v>27246</v>
      </c>
      <c r="G10457" t="s">
        <v>27247</v>
      </c>
      <c r="H10457" t="s">
        <v>27248</v>
      </c>
      <c r="I10457" t="s">
        <v>47495</v>
      </c>
      <c r="J10457" t="s">
        <v>20924</v>
      </c>
      <c r="L10457" t="s">
        <v>27250</v>
      </c>
      <c r="M10457" t="s">
        <v>27251</v>
      </c>
      <c r="N10457" t="s">
        <v>27252</v>
      </c>
      <c r="P10457" t="s">
        <v>27341</v>
      </c>
      <c r="Q10457" s="1">
        <v>44846</v>
      </c>
      <c r="R10457" t="s">
        <v>27253</v>
      </c>
      <c r="S10457" t="s">
        <v>27254</v>
      </c>
      <c r="T10457" t="s">
        <v>27265</v>
      </c>
    </row>
    <row r="10458" spans="1:20" x14ac:dyDescent="0.3">
      <c r="A10458" t="str">
        <f>"0611857080025"</f>
        <v>0611857080025</v>
      </c>
      <c r="B10458" t="str">
        <f>"MC4416"</f>
        <v>MC4416</v>
      </c>
      <c r="C10458" t="s">
        <v>47496</v>
      </c>
      <c r="D10458" t="s">
        <v>28499</v>
      </c>
      <c r="E10458" t="str">
        <f t="shared" si="163"/>
        <v>001390</v>
      </c>
      <c r="F10458" t="s">
        <v>27246</v>
      </c>
      <c r="G10458" t="s">
        <v>27247</v>
      </c>
      <c r="H10458" t="s">
        <v>27248</v>
      </c>
      <c r="I10458" t="s">
        <v>47497</v>
      </c>
      <c r="J10458" t="s">
        <v>20928</v>
      </c>
      <c r="L10458" t="s">
        <v>27250</v>
      </c>
      <c r="M10458" t="s">
        <v>27251</v>
      </c>
      <c r="N10458" t="s">
        <v>27252</v>
      </c>
      <c r="P10458" t="s">
        <v>27341</v>
      </c>
      <c r="Q10458" s="1">
        <v>44812</v>
      </c>
      <c r="R10458" t="s">
        <v>27253</v>
      </c>
      <c r="S10458" t="s">
        <v>27254</v>
      </c>
      <c r="T10458" t="s">
        <v>27269</v>
      </c>
    </row>
    <row r="10459" spans="1:20" x14ac:dyDescent="0.3">
      <c r="A10459" t="str">
        <f>"0611863790100"</f>
        <v>0611863790100</v>
      </c>
      <c r="B10459" t="str">
        <f>"CN2317"</f>
        <v>CN2317</v>
      </c>
      <c r="C10459" t="s">
        <v>47496</v>
      </c>
      <c r="D10459" t="s">
        <v>27339</v>
      </c>
      <c r="E10459" t="str">
        <f t="shared" si="163"/>
        <v>001390</v>
      </c>
      <c r="F10459" t="s">
        <v>27246</v>
      </c>
      <c r="G10459" t="s">
        <v>27247</v>
      </c>
      <c r="H10459" t="s">
        <v>27248</v>
      </c>
      <c r="I10459" t="s">
        <v>47498</v>
      </c>
      <c r="J10459" t="s">
        <v>20926</v>
      </c>
      <c r="L10459" t="s">
        <v>27250</v>
      </c>
      <c r="M10459" t="s">
        <v>27251</v>
      </c>
      <c r="N10459" t="s">
        <v>27252</v>
      </c>
      <c r="P10459" t="s">
        <v>27341</v>
      </c>
      <c r="Q10459" s="1">
        <v>44846</v>
      </c>
      <c r="R10459" t="s">
        <v>27253</v>
      </c>
      <c r="S10459" t="s">
        <v>27254</v>
      </c>
      <c r="T10459" t="s">
        <v>27255</v>
      </c>
    </row>
    <row r="10460" spans="1:20" x14ac:dyDescent="0.3">
      <c r="A10460" t="str">
        <f>"0611838414025"</f>
        <v>0611838414025</v>
      </c>
      <c r="B10460" t="str">
        <f>"MQ0328"</f>
        <v>MQ0328</v>
      </c>
      <c r="C10460" t="s">
        <v>47499</v>
      </c>
      <c r="D10460" t="s">
        <v>28499</v>
      </c>
      <c r="E10460" t="str">
        <f t="shared" si="163"/>
        <v>001390</v>
      </c>
      <c r="F10460" t="s">
        <v>27246</v>
      </c>
      <c r="G10460" t="s">
        <v>27247</v>
      </c>
      <c r="H10460" t="s">
        <v>27248</v>
      </c>
      <c r="I10460" t="s">
        <v>47500</v>
      </c>
      <c r="J10460" t="s">
        <v>20932</v>
      </c>
      <c r="L10460" t="s">
        <v>27250</v>
      </c>
      <c r="M10460" t="s">
        <v>27251</v>
      </c>
      <c r="N10460" t="s">
        <v>27252</v>
      </c>
      <c r="P10460" t="s">
        <v>27341</v>
      </c>
      <c r="Q10460" s="1">
        <v>44538</v>
      </c>
      <c r="R10460" t="s">
        <v>27253</v>
      </c>
      <c r="S10460" t="s">
        <v>27254</v>
      </c>
      <c r="T10460" t="s">
        <v>27269</v>
      </c>
    </row>
    <row r="10461" spans="1:20" x14ac:dyDescent="0.3">
      <c r="A10461" t="str">
        <f>"0611863791100"</f>
        <v>0611863791100</v>
      </c>
      <c r="B10461" t="str">
        <f>"CN5327"</f>
        <v>CN5327</v>
      </c>
      <c r="C10461" t="s">
        <v>47499</v>
      </c>
      <c r="D10461" t="s">
        <v>27339</v>
      </c>
      <c r="E10461" t="str">
        <f t="shared" si="163"/>
        <v>001390</v>
      </c>
      <c r="F10461" t="s">
        <v>27246</v>
      </c>
      <c r="G10461" t="s">
        <v>27247</v>
      </c>
      <c r="H10461" t="s">
        <v>27248</v>
      </c>
      <c r="I10461" t="s">
        <v>47501</v>
      </c>
      <c r="J10461" t="s">
        <v>20930</v>
      </c>
      <c r="L10461" t="s">
        <v>27250</v>
      </c>
      <c r="M10461" t="s">
        <v>27251</v>
      </c>
      <c r="N10461" t="s">
        <v>27252</v>
      </c>
      <c r="P10461" t="s">
        <v>27341</v>
      </c>
      <c r="Q10461" s="1">
        <v>44846</v>
      </c>
      <c r="R10461" t="s">
        <v>27253</v>
      </c>
      <c r="S10461" t="s">
        <v>27254</v>
      </c>
      <c r="T10461" t="s">
        <v>27255</v>
      </c>
    </row>
    <row r="10462" spans="1:20" x14ac:dyDescent="0.3">
      <c r="A10462" t="str">
        <f>"0611863792050"</f>
        <v>0611863792050</v>
      </c>
      <c r="B10462" t="str">
        <f>"CR3947"</f>
        <v>CR3947</v>
      </c>
      <c r="C10462" t="s">
        <v>47499</v>
      </c>
      <c r="D10462" t="s">
        <v>27271</v>
      </c>
      <c r="E10462" t="str">
        <f t="shared" si="163"/>
        <v>001390</v>
      </c>
      <c r="F10462" t="s">
        <v>27246</v>
      </c>
      <c r="G10462" t="s">
        <v>27247</v>
      </c>
      <c r="H10462" t="s">
        <v>27248</v>
      </c>
      <c r="I10462" t="s">
        <v>47502</v>
      </c>
      <c r="J10462" t="s">
        <v>20934</v>
      </c>
      <c r="L10462" t="s">
        <v>27250</v>
      </c>
      <c r="M10462" t="s">
        <v>27251</v>
      </c>
      <c r="N10462" t="s">
        <v>27252</v>
      </c>
      <c r="P10462" t="s">
        <v>27341</v>
      </c>
      <c r="Q10462" s="1">
        <v>44846</v>
      </c>
      <c r="R10462" t="s">
        <v>27253</v>
      </c>
      <c r="S10462" t="s">
        <v>27254</v>
      </c>
      <c r="T10462" t="s">
        <v>27265</v>
      </c>
    </row>
    <row r="10463" spans="1:20" x14ac:dyDescent="0.3">
      <c r="A10463" t="str">
        <f>"0611838415025"</f>
        <v>0611838415025</v>
      </c>
      <c r="B10463" t="str">
        <f>"MQ0439"</f>
        <v>MQ0439</v>
      </c>
      <c r="C10463" t="s">
        <v>47503</v>
      </c>
      <c r="D10463" t="s">
        <v>28499</v>
      </c>
      <c r="E10463" t="str">
        <f t="shared" si="163"/>
        <v>001390</v>
      </c>
      <c r="F10463" t="s">
        <v>27246</v>
      </c>
      <c r="G10463" t="s">
        <v>27247</v>
      </c>
      <c r="H10463" t="s">
        <v>27248</v>
      </c>
      <c r="I10463" t="s">
        <v>47504</v>
      </c>
      <c r="J10463" t="s">
        <v>20938</v>
      </c>
      <c r="L10463" t="s">
        <v>27250</v>
      </c>
      <c r="M10463" t="s">
        <v>27251</v>
      </c>
      <c r="N10463" t="s">
        <v>27252</v>
      </c>
      <c r="P10463" t="s">
        <v>27341</v>
      </c>
      <c r="Q10463" s="1">
        <v>44538</v>
      </c>
      <c r="R10463" t="s">
        <v>27253</v>
      </c>
      <c r="S10463" t="s">
        <v>27254</v>
      </c>
      <c r="T10463" t="s">
        <v>27269</v>
      </c>
    </row>
    <row r="10464" spans="1:20" x14ac:dyDescent="0.3">
      <c r="A10464" t="str">
        <f>"0611863793100"</f>
        <v>0611863793100</v>
      </c>
      <c r="B10464" t="str">
        <f>"CN5326"</f>
        <v>CN5326</v>
      </c>
      <c r="C10464" t="s">
        <v>47503</v>
      </c>
      <c r="D10464" t="s">
        <v>27339</v>
      </c>
      <c r="E10464" t="str">
        <f t="shared" si="163"/>
        <v>001390</v>
      </c>
      <c r="F10464" t="s">
        <v>27246</v>
      </c>
      <c r="G10464" t="s">
        <v>27247</v>
      </c>
      <c r="H10464" t="s">
        <v>27248</v>
      </c>
      <c r="I10464" t="s">
        <v>47505</v>
      </c>
      <c r="J10464" t="s">
        <v>20936</v>
      </c>
      <c r="L10464" t="s">
        <v>27250</v>
      </c>
      <c r="M10464" t="s">
        <v>27251</v>
      </c>
      <c r="N10464" t="s">
        <v>27252</v>
      </c>
      <c r="P10464" t="s">
        <v>27341</v>
      </c>
      <c r="Q10464" s="1">
        <v>44846</v>
      </c>
      <c r="R10464" t="s">
        <v>27253</v>
      </c>
      <c r="S10464" t="s">
        <v>27254</v>
      </c>
      <c r="T10464" t="s">
        <v>27255</v>
      </c>
    </row>
    <row r="10465" spans="1:20" x14ac:dyDescent="0.3">
      <c r="A10465" t="str">
        <f>"0611838417025"</f>
        <v>0611838417025</v>
      </c>
      <c r="B10465" t="str">
        <f>"MC2053"</f>
        <v>MC2053</v>
      </c>
      <c r="C10465" t="s">
        <v>47506</v>
      </c>
      <c r="D10465" t="s">
        <v>27267</v>
      </c>
      <c r="E10465" t="str">
        <f t="shared" si="163"/>
        <v>001390</v>
      </c>
      <c r="F10465" t="s">
        <v>27246</v>
      </c>
      <c r="G10465" t="s">
        <v>27247</v>
      </c>
      <c r="H10465" t="s">
        <v>27248</v>
      </c>
      <c r="I10465" t="s">
        <v>47507</v>
      </c>
      <c r="J10465" t="s">
        <v>20942</v>
      </c>
      <c r="L10465" t="s">
        <v>27250</v>
      </c>
      <c r="M10465" t="s">
        <v>27251</v>
      </c>
      <c r="N10465" t="s">
        <v>27252</v>
      </c>
      <c r="Q10465" s="1">
        <v>44538</v>
      </c>
      <c r="R10465" t="s">
        <v>27253</v>
      </c>
      <c r="S10465" t="s">
        <v>27254</v>
      </c>
      <c r="T10465" t="s">
        <v>27269</v>
      </c>
    </row>
    <row r="10466" spans="1:20" x14ac:dyDescent="0.3">
      <c r="A10466" t="str">
        <f>"0611863794100"</f>
        <v>0611863794100</v>
      </c>
      <c r="B10466" t="str">
        <f>"CN5297"</f>
        <v>CN5297</v>
      </c>
      <c r="C10466" t="s">
        <v>47506</v>
      </c>
      <c r="D10466" t="s">
        <v>27335</v>
      </c>
      <c r="E10466" t="str">
        <f t="shared" si="163"/>
        <v>001390</v>
      </c>
      <c r="F10466" t="s">
        <v>27246</v>
      </c>
      <c r="G10466" t="s">
        <v>27247</v>
      </c>
      <c r="H10466" t="s">
        <v>27248</v>
      </c>
      <c r="I10466" t="s">
        <v>47508</v>
      </c>
      <c r="J10466" t="s">
        <v>20940</v>
      </c>
      <c r="L10466" t="s">
        <v>27250</v>
      </c>
      <c r="M10466" t="s">
        <v>27251</v>
      </c>
      <c r="N10466" t="s">
        <v>27252</v>
      </c>
      <c r="Q10466" s="1">
        <v>44846</v>
      </c>
      <c r="R10466" t="s">
        <v>27253</v>
      </c>
      <c r="S10466" t="s">
        <v>27254</v>
      </c>
      <c r="T10466" t="s">
        <v>27255</v>
      </c>
    </row>
    <row r="10467" spans="1:20" x14ac:dyDescent="0.3">
      <c r="A10467" t="str">
        <f>"0611863795050"</f>
        <v>0611863795050</v>
      </c>
      <c r="B10467" t="str">
        <f>"CR4417"</f>
        <v>CR4417</v>
      </c>
      <c r="C10467" t="s">
        <v>47506</v>
      </c>
      <c r="D10467" t="s">
        <v>27263</v>
      </c>
      <c r="E10467" t="str">
        <f t="shared" si="163"/>
        <v>001390</v>
      </c>
      <c r="F10467" t="s">
        <v>27246</v>
      </c>
      <c r="G10467" t="s">
        <v>27247</v>
      </c>
      <c r="H10467" t="s">
        <v>27248</v>
      </c>
      <c r="I10467" t="s">
        <v>47509</v>
      </c>
      <c r="J10467" t="s">
        <v>20944</v>
      </c>
      <c r="L10467" t="s">
        <v>27250</v>
      </c>
      <c r="M10467" t="s">
        <v>27251</v>
      </c>
      <c r="N10467" t="s">
        <v>27252</v>
      </c>
      <c r="Q10467" s="1">
        <v>44846</v>
      </c>
      <c r="R10467" t="s">
        <v>27253</v>
      </c>
      <c r="S10467" t="s">
        <v>27254</v>
      </c>
      <c r="T10467" t="s">
        <v>27265</v>
      </c>
    </row>
    <row r="10468" spans="1:20" x14ac:dyDescent="0.3">
      <c r="A10468" t="str">
        <f>"0611838418025"</f>
        <v>0611838418025</v>
      </c>
      <c r="B10468" t="str">
        <f>"MC0596"</f>
        <v>MC0596</v>
      </c>
      <c r="C10468" t="s">
        <v>47510</v>
      </c>
      <c r="D10468" t="s">
        <v>27267</v>
      </c>
      <c r="E10468" t="str">
        <f t="shared" si="163"/>
        <v>001390</v>
      </c>
      <c r="F10468" t="s">
        <v>27246</v>
      </c>
      <c r="G10468" t="s">
        <v>27247</v>
      </c>
      <c r="H10468" t="s">
        <v>27248</v>
      </c>
      <c r="I10468" t="s">
        <v>47511</v>
      </c>
      <c r="J10468" t="s">
        <v>20946</v>
      </c>
      <c r="L10468" t="s">
        <v>27250</v>
      </c>
      <c r="M10468" t="s">
        <v>27251</v>
      </c>
      <c r="N10468" t="s">
        <v>27252</v>
      </c>
      <c r="Q10468" s="1">
        <v>44538</v>
      </c>
      <c r="R10468" t="s">
        <v>27253</v>
      </c>
      <c r="S10468" t="s">
        <v>27254</v>
      </c>
      <c r="T10468" t="s">
        <v>27269</v>
      </c>
    </row>
    <row r="10469" spans="1:20" x14ac:dyDescent="0.3">
      <c r="A10469" t="str">
        <f>"0611884394025"</f>
        <v>0611884394025</v>
      </c>
      <c r="B10469" t="str">
        <f>"MQ7453"</f>
        <v>MQ7453</v>
      </c>
      <c r="C10469" t="s">
        <v>47512</v>
      </c>
      <c r="D10469" t="s">
        <v>27267</v>
      </c>
      <c r="E10469" t="str">
        <f t="shared" si="163"/>
        <v>001390</v>
      </c>
      <c r="F10469" t="s">
        <v>27246</v>
      </c>
      <c r="G10469" t="s">
        <v>27247</v>
      </c>
      <c r="H10469" t="s">
        <v>27248</v>
      </c>
      <c r="I10469" t="s">
        <v>47513</v>
      </c>
      <c r="J10469" t="s">
        <v>20948</v>
      </c>
      <c r="L10469" t="s">
        <v>27430</v>
      </c>
      <c r="M10469" t="s">
        <v>27251</v>
      </c>
      <c r="N10469" t="s">
        <v>27252</v>
      </c>
      <c r="Q10469" s="1">
        <v>45250</v>
      </c>
      <c r="R10469" t="s">
        <v>27253</v>
      </c>
      <c r="S10469" t="s">
        <v>27254</v>
      </c>
      <c r="T10469" t="s">
        <v>27269</v>
      </c>
    </row>
    <row r="10470" spans="1:20" x14ac:dyDescent="0.3">
      <c r="A10470" t="str">
        <f>"0611884395025"</f>
        <v>0611884395025</v>
      </c>
      <c r="B10470" t="str">
        <f>"MQ0841"</f>
        <v>MQ0841</v>
      </c>
      <c r="C10470" t="s">
        <v>47514</v>
      </c>
      <c r="D10470" t="s">
        <v>27267</v>
      </c>
      <c r="E10470" t="str">
        <f t="shared" si="163"/>
        <v>001390</v>
      </c>
      <c r="F10470" t="s">
        <v>27246</v>
      </c>
      <c r="G10470" t="s">
        <v>27247</v>
      </c>
      <c r="H10470" t="s">
        <v>27248</v>
      </c>
      <c r="I10470" t="s">
        <v>47515</v>
      </c>
      <c r="J10470" t="s">
        <v>20950</v>
      </c>
      <c r="L10470" t="s">
        <v>27430</v>
      </c>
      <c r="M10470" t="s">
        <v>27251</v>
      </c>
      <c r="N10470" t="s">
        <v>27252</v>
      </c>
      <c r="Q10470" s="1">
        <v>45250</v>
      </c>
      <c r="R10470" t="s">
        <v>27253</v>
      </c>
      <c r="S10470" t="s">
        <v>27254</v>
      </c>
      <c r="T10470" t="s">
        <v>27269</v>
      </c>
    </row>
    <row r="10471" spans="1:20" x14ac:dyDescent="0.3">
      <c r="A10471" t="str">
        <f>"0611884396025"</f>
        <v>0611884396025</v>
      </c>
      <c r="B10471" t="str">
        <f>"MQ7186"</f>
        <v>MQ7186</v>
      </c>
      <c r="C10471" t="s">
        <v>47516</v>
      </c>
      <c r="D10471" t="s">
        <v>27267</v>
      </c>
      <c r="E10471" t="str">
        <f t="shared" si="163"/>
        <v>001390</v>
      </c>
      <c r="F10471" t="s">
        <v>27246</v>
      </c>
      <c r="G10471" t="s">
        <v>27247</v>
      </c>
      <c r="H10471" t="s">
        <v>27248</v>
      </c>
      <c r="I10471" t="s">
        <v>47517</v>
      </c>
      <c r="J10471" t="s">
        <v>20952</v>
      </c>
      <c r="L10471" t="s">
        <v>27430</v>
      </c>
      <c r="M10471" t="s">
        <v>27251</v>
      </c>
      <c r="N10471" t="s">
        <v>27252</v>
      </c>
      <c r="Q10471" s="1">
        <v>45250</v>
      </c>
      <c r="R10471" t="s">
        <v>27253</v>
      </c>
      <c r="S10471" t="s">
        <v>27254</v>
      </c>
      <c r="T10471" t="s">
        <v>27269</v>
      </c>
    </row>
    <row r="10472" spans="1:20" x14ac:dyDescent="0.3">
      <c r="A10472" t="str">
        <f>"0611884397025"</f>
        <v>0611884397025</v>
      </c>
      <c r="B10472" t="str">
        <f>"MQ0842"</f>
        <v>MQ0842</v>
      </c>
      <c r="C10472" t="s">
        <v>47518</v>
      </c>
      <c r="D10472" t="s">
        <v>27267</v>
      </c>
      <c r="E10472" t="str">
        <f t="shared" si="163"/>
        <v>001390</v>
      </c>
      <c r="F10472" t="s">
        <v>27246</v>
      </c>
      <c r="G10472" t="s">
        <v>27247</v>
      </c>
      <c r="H10472" t="s">
        <v>27248</v>
      </c>
      <c r="I10472" t="s">
        <v>47519</v>
      </c>
      <c r="J10472" t="s">
        <v>20954</v>
      </c>
      <c r="L10472" t="s">
        <v>27430</v>
      </c>
      <c r="M10472" t="s">
        <v>27251</v>
      </c>
      <c r="N10472" t="s">
        <v>27252</v>
      </c>
      <c r="Q10472" s="1">
        <v>45250</v>
      </c>
      <c r="R10472" t="s">
        <v>27253</v>
      </c>
      <c r="S10472" t="s">
        <v>27254</v>
      </c>
      <c r="T10472" t="s">
        <v>27269</v>
      </c>
    </row>
    <row r="10473" spans="1:20" x14ac:dyDescent="0.3">
      <c r="A10473" t="str">
        <f>"0611884398025"</f>
        <v>0611884398025</v>
      </c>
      <c r="B10473" t="str">
        <f>"MQ7454"</f>
        <v>MQ7454</v>
      </c>
      <c r="C10473" t="s">
        <v>47520</v>
      </c>
      <c r="D10473" t="s">
        <v>27267</v>
      </c>
      <c r="E10473" t="str">
        <f t="shared" si="163"/>
        <v>001390</v>
      </c>
      <c r="F10473" t="s">
        <v>27246</v>
      </c>
      <c r="G10473" t="s">
        <v>27247</v>
      </c>
      <c r="H10473" t="s">
        <v>27248</v>
      </c>
      <c r="I10473" t="s">
        <v>47521</v>
      </c>
      <c r="J10473" t="s">
        <v>20956</v>
      </c>
      <c r="L10473" t="s">
        <v>27430</v>
      </c>
      <c r="M10473" t="s">
        <v>27251</v>
      </c>
      <c r="N10473" t="s">
        <v>27252</v>
      </c>
      <c r="Q10473" s="1">
        <v>45250</v>
      </c>
      <c r="R10473" t="s">
        <v>27253</v>
      </c>
      <c r="S10473" t="s">
        <v>27254</v>
      </c>
      <c r="T10473" t="s">
        <v>27269</v>
      </c>
    </row>
    <row r="10474" spans="1:20" x14ac:dyDescent="0.3">
      <c r="A10474" t="str">
        <f>"0611884399025"</f>
        <v>0611884399025</v>
      </c>
      <c r="B10474" t="str">
        <f>"MQ7455"</f>
        <v>MQ7455</v>
      </c>
      <c r="C10474" t="s">
        <v>47522</v>
      </c>
      <c r="D10474" t="s">
        <v>27267</v>
      </c>
      <c r="E10474" t="str">
        <f t="shared" si="163"/>
        <v>001390</v>
      </c>
      <c r="F10474" t="s">
        <v>27246</v>
      </c>
      <c r="G10474" t="s">
        <v>27247</v>
      </c>
      <c r="H10474" t="s">
        <v>27248</v>
      </c>
      <c r="I10474" t="s">
        <v>47523</v>
      </c>
      <c r="J10474" t="s">
        <v>20958</v>
      </c>
      <c r="L10474" t="s">
        <v>27430</v>
      </c>
      <c r="M10474" t="s">
        <v>27251</v>
      </c>
      <c r="N10474" t="s">
        <v>27252</v>
      </c>
      <c r="Q10474" s="1">
        <v>45250</v>
      </c>
      <c r="R10474" t="s">
        <v>27253</v>
      </c>
      <c r="S10474" t="s">
        <v>27254</v>
      </c>
      <c r="T10474" t="s">
        <v>27269</v>
      </c>
    </row>
    <row r="10475" spans="1:20" x14ac:dyDescent="0.3">
      <c r="A10475" t="str">
        <f>"0611838419025"</f>
        <v>0611838419025</v>
      </c>
      <c r="B10475" t="str">
        <f>"MC1611"</f>
        <v>MC1611</v>
      </c>
      <c r="C10475" t="s">
        <v>47524</v>
      </c>
      <c r="D10475" t="s">
        <v>27267</v>
      </c>
      <c r="E10475" t="str">
        <f t="shared" si="163"/>
        <v>001390</v>
      </c>
      <c r="F10475" t="s">
        <v>27246</v>
      </c>
      <c r="G10475" t="s">
        <v>27247</v>
      </c>
      <c r="H10475" t="s">
        <v>27248</v>
      </c>
      <c r="I10475" t="s">
        <v>47525</v>
      </c>
      <c r="J10475" t="s">
        <v>20960</v>
      </c>
      <c r="L10475" t="s">
        <v>27250</v>
      </c>
      <c r="M10475" t="s">
        <v>27251</v>
      </c>
      <c r="N10475" t="s">
        <v>27252</v>
      </c>
      <c r="Q10475" s="1">
        <v>44538</v>
      </c>
      <c r="R10475" t="s">
        <v>27253</v>
      </c>
      <c r="S10475" t="s">
        <v>27254</v>
      </c>
      <c r="T10475" t="s">
        <v>27269</v>
      </c>
    </row>
    <row r="10476" spans="1:20" x14ac:dyDescent="0.3">
      <c r="A10476" t="str">
        <f>"0611838420025"</f>
        <v>0611838420025</v>
      </c>
      <c r="B10476" t="str">
        <f>"MQ6066"</f>
        <v>MQ6066</v>
      </c>
      <c r="C10476" t="s">
        <v>47526</v>
      </c>
      <c r="D10476" t="s">
        <v>27267</v>
      </c>
      <c r="E10476" t="str">
        <f t="shared" si="163"/>
        <v>001390</v>
      </c>
      <c r="F10476" t="s">
        <v>27246</v>
      </c>
      <c r="G10476" t="s">
        <v>27247</v>
      </c>
      <c r="H10476" t="s">
        <v>27248</v>
      </c>
      <c r="I10476" t="s">
        <v>47527</v>
      </c>
      <c r="J10476" t="s">
        <v>20962</v>
      </c>
      <c r="L10476" t="s">
        <v>27250</v>
      </c>
      <c r="M10476" t="s">
        <v>27251</v>
      </c>
      <c r="N10476" t="s">
        <v>27252</v>
      </c>
      <c r="Q10476" s="1">
        <v>44538</v>
      </c>
      <c r="R10476" t="s">
        <v>27253</v>
      </c>
      <c r="S10476" t="s">
        <v>27254</v>
      </c>
      <c r="T10476" t="s">
        <v>27269</v>
      </c>
    </row>
    <row r="10477" spans="1:20" x14ac:dyDescent="0.3">
      <c r="A10477" t="str">
        <f>"0611863796050"</f>
        <v>0611863796050</v>
      </c>
      <c r="B10477" t="str">
        <f>"CE1703"</f>
        <v>CE1703</v>
      </c>
      <c r="C10477" t="s">
        <v>47526</v>
      </c>
      <c r="D10477" t="s">
        <v>27263</v>
      </c>
      <c r="E10477" t="str">
        <f t="shared" si="163"/>
        <v>001390</v>
      </c>
      <c r="F10477" t="s">
        <v>27246</v>
      </c>
      <c r="G10477" t="s">
        <v>27247</v>
      </c>
      <c r="H10477" t="s">
        <v>27248</v>
      </c>
      <c r="I10477" t="s">
        <v>47528</v>
      </c>
      <c r="J10477" t="s">
        <v>20964</v>
      </c>
      <c r="L10477" t="s">
        <v>27250</v>
      </c>
      <c r="M10477" t="s">
        <v>27251</v>
      </c>
      <c r="N10477" t="s">
        <v>27252</v>
      </c>
      <c r="Q10477" s="1">
        <v>44846</v>
      </c>
      <c r="R10477" t="s">
        <v>27253</v>
      </c>
      <c r="S10477" t="s">
        <v>27254</v>
      </c>
      <c r="T10477" t="s">
        <v>27265</v>
      </c>
    </row>
    <row r="10478" spans="1:20" x14ac:dyDescent="0.3">
      <c r="A10478" t="str">
        <f>"0611884400025"</f>
        <v>0611884400025</v>
      </c>
      <c r="B10478" t="str">
        <f>"MQ0844"</f>
        <v>MQ0844</v>
      </c>
      <c r="C10478" t="s">
        <v>47529</v>
      </c>
      <c r="D10478" t="s">
        <v>27267</v>
      </c>
      <c r="E10478" t="str">
        <f t="shared" si="163"/>
        <v>001390</v>
      </c>
      <c r="F10478" t="s">
        <v>27246</v>
      </c>
      <c r="G10478" t="s">
        <v>27247</v>
      </c>
      <c r="H10478" t="s">
        <v>27248</v>
      </c>
      <c r="I10478" t="s">
        <v>47530</v>
      </c>
      <c r="J10478" t="s">
        <v>20966</v>
      </c>
      <c r="L10478" t="s">
        <v>27430</v>
      </c>
      <c r="M10478" t="s">
        <v>27251</v>
      </c>
      <c r="N10478" t="s">
        <v>27252</v>
      </c>
      <c r="Q10478" s="1">
        <v>45250</v>
      </c>
      <c r="R10478" t="s">
        <v>27253</v>
      </c>
      <c r="S10478" t="s">
        <v>27254</v>
      </c>
      <c r="T10478" t="s">
        <v>27269</v>
      </c>
    </row>
    <row r="10479" spans="1:20" x14ac:dyDescent="0.3">
      <c r="A10479" t="str">
        <f>"0611838421025"</f>
        <v>0611838421025</v>
      </c>
      <c r="B10479" t="str">
        <f>"MQ6067"</f>
        <v>MQ6067</v>
      </c>
      <c r="C10479" t="s">
        <v>47531</v>
      </c>
      <c r="D10479" t="s">
        <v>27267</v>
      </c>
      <c r="E10479" t="str">
        <f t="shared" si="163"/>
        <v>001390</v>
      </c>
      <c r="F10479" t="s">
        <v>27246</v>
      </c>
      <c r="G10479" t="s">
        <v>27247</v>
      </c>
      <c r="H10479" t="s">
        <v>27248</v>
      </c>
      <c r="I10479" t="s">
        <v>47532</v>
      </c>
      <c r="J10479" t="s">
        <v>20968</v>
      </c>
      <c r="L10479" t="s">
        <v>27250</v>
      </c>
      <c r="M10479" t="s">
        <v>27251</v>
      </c>
      <c r="N10479" t="s">
        <v>27252</v>
      </c>
      <c r="Q10479" s="1">
        <v>44538</v>
      </c>
      <c r="R10479" t="s">
        <v>27253</v>
      </c>
      <c r="S10479" t="s">
        <v>27254</v>
      </c>
      <c r="T10479" t="s">
        <v>27269</v>
      </c>
    </row>
    <row r="10480" spans="1:20" x14ac:dyDescent="0.3">
      <c r="A10480" t="str">
        <f>"0611863797050"</f>
        <v>0611863797050</v>
      </c>
      <c r="B10480" t="str">
        <f>"CE1704"</f>
        <v>CE1704</v>
      </c>
      <c r="C10480" t="s">
        <v>47531</v>
      </c>
      <c r="D10480" t="s">
        <v>27263</v>
      </c>
      <c r="E10480" t="str">
        <f t="shared" si="163"/>
        <v>001390</v>
      </c>
      <c r="F10480" t="s">
        <v>27246</v>
      </c>
      <c r="G10480" t="s">
        <v>27247</v>
      </c>
      <c r="H10480" t="s">
        <v>27248</v>
      </c>
      <c r="I10480" t="s">
        <v>47533</v>
      </c>
      <c r="J10480" t="s">
        <v>20970</v>
      </c>
      <c r="L10480" t="s">
        <v>27250</v>
      </c>
      <c r="M10480" t="s">
        <v>27251</v>
      </c>
      <c r="N10480" t="s">
        <v>27252</v>
      </c>
      <c r="Q10480" s="1">
        <v>44846</v>
      </c>
      <c r="R10480" t="s">
        <v>27253</v>
      </c>
      <c r="S10480" t="s">
        <v>27254</v>
      </c>
      <c r="T10480" t="s">
        <v>27265</v>
      </c>
    </row>
    <row r="10481" spans="1:20" x14ac:dyDescent="0.3">
      <c r="A10481" t="str">
        <f>"0611884401025"</f>
        <v>0611884401025</v>
      </c>
      <c r="B10481" t="str">
        <f>"MQ0845"</f>
        <v>MQ0845</v>
      </c>
      <c r="C10481" t="s">
        <v>47534</v>
      </c>
      <c r="D10481" t="s">
        <v>27267</v>
      </c>
      <c r="E10481" t="str">
        <f t="shared" si="163"/>
        <v>001390</v>
      </c>
      <c r="F10481" t="s">
        <v>27246</v>
      </c>
      <c r="G10481" t="s">
        <v>27247</v>
      </c>
      <c r="H10481" t="s">
        <v>27248</v>
      </c>
      <c r="I10481" t="s">
        <v>47535</v>
      </c>
      <c r="J10481" t="s">
        <v>20972</v>
      </c>
      <c r="L10481" t="s">
        <v>27430</v>
      </c>
      <c r="M10481" t="s">
        <v>27251</v>
      </c>
      <c r="N10481" t="s">
        <v>27252</v>
      </c>
      <c r="Q10481" s="1">
        <v>45250</v>
      </c>
      <c r="R10481" t="s">
        <v>27253</v>
      </c>
      <c r="S10481" t="s">
        <v>27254</v>
      </c>
      <c r="T10481" t="s">
        <v>27269</v>
      </c>
    </row>
    <row r="10482" spans="1:20" x14ac:dyDescent="0.3">
      <c r="A10482" t="str">
        <f>"0611838422025"</f>
        <v>0611838422025</v>
      </c>
      <c r="B10482" t="str">
        <f>"MQ6068"</f>
        <v>MQ6068</v>
      </c>
      <c r="C10482" t="s">
        <v>47536</v>
      </c>
      <c r="D10482" t="s">
        <v>27267</v>
      </c>
      <c r="E10482" t="str">
        <f t="shared" si="163"/>
        <v>001390</v>
      </c>
      <c r="F10482" t="s">
        <v>27246</v>
      </c>
      <c r="G10482" t="s">
        <v>27247</v>
      </c>
      <c r="H10482" t="s">
        <v>27248</v>
      </c>
      <c r="I10482" t="s">
        <v>47537</v>
      </c>
      <c r="J10482" t="s">
        <v>20974</v>
      </c>
      <c r="L10482" t="s">
        <v>27250</v>
      </c>
      <c r="M10482" t="s">
        <v>27251</v>
      </c>
      <c r="N10482" t="s">
        <v>27252</v>
      </c>
      <c r="Q10482" s="1">
        <v>44538</v>
      </c>
      <c r="R10482" t="s">
        <v>27253</v>
      </c>
      <c r="S10482" t="s">
        <v>27254</v>
      </c>
      <c r="T10482" t="s">
        <v>27269</v>
      </c>
    </row>
    <row r="10483" spans="1:20" x14ac:dyDescent="0.3">
      <c r="A10483" t="str">
        <f>"0611863798050"</f>
        <v>0611863798050</v>
      </c>
      <c r="B10483" t="str">
        <f>"CE1705"</f>
        <v>CE1705</v>
      </c>
      <c r="C10483" t="s">
        <v>47536</v>
      </c>
      <c r="D10483" t="s">
        <v>27263</v>
      </c>
      <c r="E10483" t="str">
        <f t="shared" si="163"/>
        <v>001390</v>
      </c>
      <c r="F10483" t="s">
        <v>27246</v>
      </c>
      <c r="G10483" t="s">
        <v>27247</v>
      </c>
      <c r="H10483" t="s">
        <v>27248</v>
      </c>
      <c r="I10483" t="s">
        <v>47538</v>
      </c>
      <c r="J10483" t="s">
        <v>20976</v>
      </c>
      <c r="L10483" t="s">
        <v>27250</v>
      </c>
      <c r="M10483" t="s">
        <v>27251</v>
      </c>
      <c r="N10483" t="s">
        <v>27252</v>
      </c>
      <c r="Q10483" s="1">
        <v>44846</v>
      </c>
      <c r="R10483" t="s">
        <v>27253</v>
      </c>
      <c r="S10483" t="s">
        <v>27254</v>
      </c>
      <c r="T10483" t="s">
        <v>27265</v>
      </c>
    </row>
    <row r="10484" spans="1:20" x14ac:dyDescent="0.3">
      <c r="A10484" t="str">
        <f>"0611838423025"</f>
        <v>0611838423025</v>
      </c>
      <c r="B10484" t="str">
        <f>"MQ6069"</f>
        <v>MQ6069</v>
      </c>
      <c r="C10484" t="s">
        <v>47539</v>
      </c>
      <c r="D10484" t="s">
        <v>27267</v>
      </c>
      <c r="E10484" t="str">
        <f t="shared" si="163"/>
        <v>001390</v>
      </c>
      <c r="F10484" t="s">
        <v>27246</v>
      </c>
      <c r="G10484" t="s">
        <v>27247</v>
      </c>
      <c r="H10484" t="s">
        <v>27248</v>
      </c>
      <c r="I10484" t="s">
        <v>47540</v>
      </c>
      <c r="J10484" t="s">
        <v>20978</v>
      </c>
      <c r="L10484" t="s">
        <v>27250</v>
      </c>
      <c r="M10484" t="s">
        <v>27251</v>
      </c>
      <c r="N10484" t="s">
        <v>27252</v>
      </c>
      <c r="Q10484" s="1">
        <v>44538</v>
      </c>
      <c r="R10484" t="s">
        <v>27253</v>
      </c>
      <c r="S10484" t="s">
        <v>27254</v>
      </c>
      <c r="T10484" t="s">
        <v>27269</v>
      </c>
    </row>
    <row r="10485" spans="1:20" x14ac:dyDescent="0.3">
      <c r="A10485" t="str">
        <f>"0611863799050"</f>
        <v>0611863799050</v>
      </c>
      <c r="B10485" t="str">
        <f>"CE1706"</f>
        <v>CE1706</v>
      </c>
      <c r="C10485" t="s">
        <v>47539</v>
      </c>
      <c r="D10485" t="s">
        <v>27263</v>
      </c>
      <c r="E10485" t="str">
        <f t="shared" si="163"/>
        <v>001390</v>
      </c>
      <c r="F10485" t="s">
        <v>27246</v>
      </c>
      <c r="G10485" t="s">
        <v>27247</v>
      </c>
      <c r="H10485" t="s">
        <v>27248</v>
      </c>
      <c r="I10485" t="s">
        <v>47541</v>
      </c>
      <c r="J10485" t="s">
        <v>20980</v>
      </c>
      <c r="L10485" t="s">
        <v>27250</v>
      </c>
      <c r="M10485" t="s">
        <v>27251</v>
      </c>
      <c r="N10485" t="s">
        <v>27252</v>
      </c>
      <c r="Q10485" s="1">
        <v>44846</v>
      </c>
      <c r="R10485" t="s">
        <v>27253</v>
      </c>
      <c r="S10485" t="s">
        <v>27254</v>
      </c>
      <c r="T10485" t="s">
        <v>27265</v>
      </c>
    </row>
    <row r="10486" spans="1:20" x14ac:dyDescent="0.3">
      <c r="A10486" t="str">
        <f>"0611838424025"</f>
        <v>0611838424025</v>
      </c>
      <c r="B10486" t="str">
        <f>"MQ6070"</f>
        <v>MQ6070</v>
      </c>
      <c r="C10486" t="s">
        <v>47542</v>
      </c>
      <c r="D10486" t="s">
        <v>27267</v>
      </c>
      <c r="E10486" t="str">
        <f t="shared" si="163"/>
        <v>001390</v>
      </c>
      <c r="F10486" t="s">
        <v>27246</v>
      </c>
      <c r="G10486" t="s">
        <v>27247</v>
      </c>
      <c r="H10486" t="s">
        <v>27248</v>
      </c>
      <c r="I10486" t="s">
        <v>47543</v>
      </c>
      <c r="J10486" t="s">
        <v>20982</v>
      </c>
      <c r="L10486" t="s">
        <v>27250</v>
      </c>
      <c r="M10486" t="s">
        <v>27251</v>
      </c>
      <c r="N10486" t="s">
        <v>27252</v>
      </c>
      <c r="Q10486" s="1">
        <v>44538</v>
      </c>
      <c r="R10486" t="s">
        <v>27253</v>
      </c>
      <c r="S10486" t="s">
        <v>27254</v>
      </c>
      <c r="T10486" t="s">
        <v>27269</v>
      </c>
    </row>
    <row r="10487" spans="1:20" x14ac:dyDescent="0.3">
      <c r="A10487" t="str">
        <f>"0611863800050"</f>
        <v>0611863800050</v>
      </c>
      <c r="B10487" t="str">
        <f>"CE1707"</f>
        <v>CE1707</v>
      </c>
      <c r="C10487" t="s">
        <v>47542</v>
      </c>
      <c r="D10487" t="s">
        <v>27263</v>
      </c>
      <c r="E10487" t="str">
        <f t="shared" si="163"/>
        <v>001390</v>
      </c>
      <c r="F10487" t="s">
        <v>27246</v>
      </c>
      <c r="G10487" t="s">
        <v>27247</v>
      </c>
      <c r="H10487" t="s">
        <v>27248</v>
      </c>
      <c r="I10487" t="s">
        <v>47544</v>
      </c>
      <c r="J10487" t="s">
        <v>20984</v>
      </c>
      <c r="L10487" t="s">
        <v>27250</v>
      </c>
      <c r="M10487" t="s">
        <v>27251</v>
      </c>
      <c r="N10487" t="s">
        <v>27252</v>
      </c>
      <c r="Q10487" s="1">
        <v>44846</v>
      </c>
      <c r="R10487" t="s">
        <v>27253</v>
      </c>
      <c r="S10487" t="s">
        <v>27254</v>
      </c>
      <c r="T10487" t="s">
        <v>27265</v>
      </c>
    </row>
    <row r="10488" spans="1:20" x14ac:dyDescent="0.3">
      <c r="A10488" t="str">
        <f>"0611838425025"</f>
        <v>0611838425025</v>
      </c>
      <c r="B10488" t="str">
        <f>"MQ0440"</f>
        <v>MQ0440</v>
      </c>
      <c r="C10488" t="s">
        <v>47545</v>
      </c>
      <c r="D10488" t="s">
        <v>27267</v>
      </c>
      <c r="E10488" t="str">
        <f t="shared" si="163"/>
        <v>001390</v>
      </c>
      <c r="F10488" t="s">
        <v>27246</v>
      </c>
      <c r="G10488" t="s">
        <v>27247</v>
      </c>
      <c r="H10488" t="s">
        <v>27248</v>
      </c>
      <c r="I10488" t="s">
        <v>47546</v>
      </c>
      <c r="J10488" t="s">
        <v>20986</v>
      </c>
      <c r="L10488" t="s">
        <v>27250</v>
      </c>
      <c r="M10488" t="s">
        <v>27251</v>
      </c>
      <c r="N10488" t="s">
        <v>27252</v>
      </c>
      <c r="Q10488" s="1">
        <v>44538</v>
      </c>
      <c r="R10488" t="s">
        <v>27253</v>
      </c>
      <c r="S10488" t="s">
        <v>27254</v>
      </c>
      <c r="T10488" t="s">
        <v>27269</v>
      </c>
    </row>
    <row r="10489" spans="1:20" x14ac:dyDescent="0.3">
      <c r="A10489" t="str">
        <f>"0611838426025"</f>
        <v>0611838426025</v>
      </c>
      <c r="B10489" t="str">
        <f>"MQ0441"</f>
        <v>MQ0441</v>
      </c>
      <c r="C10489" t="s">
        <v>47547</v>
      </c>
      <c r="D10489" t="s">
        <v>27267</v>
      </c>
      <c r="E10489" t="str">
        <f t="shared" si="163"/>
        <v>001390</v>
      </c>
      <c r="F10489" t="s">
        <v>27246</v>
      </c>
      <c r="G10489" t="s">
        <v>27247</v>
      </c>
      <c r="H10489" t="s">
        <v>27248</v>
      </c>
      <c r="I10489" t="s">
        <v>47548</v>
      </c>
      <c r="J10489" t="s">
        <v>20988</v>
      </c>
      <c r="L10489" t="s">
        <v>27250</v>
      </c>
      <c r="M10489" t="s">
        <v>27251</v>
      </c>
      <c r="N10489" t="s">
        <v>27252</v>
      </c>
      <c r="Q10489" s="1">
        <v>44538</v>
      </c>
      <c r="R10489" t="s">
        <v>27253</v>
      </c>
      <c r="S10489" t="s">
        <v>27254</v>
      </c>
      <c r="T10489" t="s">
        <v>27269</v>
      </c>
    </row>
    <row r="10490" spans="1:20" x14ac:dyDescent="0.3">
      <c r="A10490" t="str">
        <f>"0611838427025"</f>
        <v>0611838427025</v>
      </c>
      <c r="B10490" t="str">
        <f>"MQ0442"</f>
        <v>MQ0442</v>
      </c>
      <c r="C10490" t="s">
        <v>47549</v>
      </c>
      <c r="D10490" t="s">
        <v>27267</v>
      </c>
      <c r="E10490" t="str">
        <f t="shared" si="163"/>
        <v>001390</v>
      </c>
      <c r="F10490" t="s">
        <v>27246</v>
      </c>
      <c r="G10490" t="s">
        <v>27247</v>
      </c>
      <c r="H10490" t="s">
        <v>27248</v>
      </c>
      <c r="I10490" t="s">
        <v>47550</v>
      </c>
      <c r="J10490" t="s">
        <v>20990</v>
      </c>
      <c r="L10490" t="s">
        <v>27250</v>
      </c>
      <c r="M10490" t="s">
        <v>27251</v>
      </c>
      <c r="N10490" t="s">
        <v>27252</v>
      </c>
      <c r="Q10490" s="1">
        <v>44538</v>
      </c>
      <c r="R10490" t="s">
        <v>27253</v>
      </c>
      <c r="S10490" t="s">
        <v>27254</v>
      </c>
      <c r="T10490" t="s">
        <v>27269</v>
      </c>
    </row>
    <row r="10491" spans="1:20" x14ac:dyDescent="0.3">
      <c r="A10491" t="str">
        <f>"0611838428025"</f>
        <v>0611838428025</v>
      </c>
      <c r="B10491" t="str">
        <f>"MQ0727"</f>
        <v>MQ0727</v>
      </c>
      <c r="C10491" t="s">
        <v>47551</v>
      </c>
      <c r="D10491" t="s">
        <v>27267</v>
      </c>
      <c r="E10491" t="str">
        <f t="shared" si="163"/>
        <v>001390</v>
      </c>
      <c r="F10491" t="s">
        <v>27246</v>
      </c>
      <c r="G10491" t="s">
        <v>27247</v>
      </c>
      <c r="H10491" t="s">
        <v>27248</v>
      </c>
      <c r="I10491" t="s">
        <v>47552</v>
      </c>
      <c r="J10491" t="s">
        <v>20992</v>
      </c>
      <c r="L10491" t="s">
        <v>27250</v>
      </c>
      <c r="M10491" t="s">
        <v>27251</v>
      </c>
      <c r="N10491" t="s">
        <v>27252</v>
      </c>
      <c r="Q10491" s="1">
        <v>44538</v>
      </c>
      <c r="R10491" t="s">
        <v>27253</v>
      </c>
      <c r="S10491" t="s">
        <v>27254</v>
      </c>
      <c r="T10491" t="s">
        <v>27269</v>
      </c>
    </row>
    <row r="10492" spans="1:20" x14ac:dyDescent="0.3">
      <c r="A10492" t="str">
        <f>"0611838429025"</f>
        <v>0611838429025</v>
      </c>
      <c r="B10492" t="str">
        <f>"MQ0657"</f>
        <v>MQ0657</v>
      </c>
      <c r="C10492" t="s">
        <v>47553</v>
      </c>
      <c r="D10492" t="s">
        <v>27267</v>
      </c>
      <c r="E10492" t="str">
        <f t="shared" si="163"/>
        <v>001390</v>
      </c>
      <c r="F10492" t="s">
        <v>27246</v>
      </c>
      <c r="G10492" t="s">
        <v>27247</v>
      </c>
      <c r="H10492" t="s">
        <v>27248</v>
      </c>
      <c r="I10492" t="s">
        <v>47554</v>
      </c>
      <c r="J10492" t="s">
        <v>20994</v>
      </c>
      <c r="L10492" t="s">
        <v>27250</v>
      </c>
      <c r="M10492" t="s">
        <v>27251</v>
      </c>
      <c r="N10492" t="s">
        <v>27252</v>
      </c>
      <c r="Q10492" s="1">
        <v>44538</v>
      </c>
      <c r="R10492" t="s">
        <v>27253</v>
      </c>
      <c r="S10492" t="s">
        <v>27254</v>
      </c>
      <c r="T10492" t="s">
        <v>27269</v>
      </c>
    </row>
    <row r="10493" spans="1:20" x14ac:dyDescent="0.3">
      <c r="A10493" t="str">
        <f>"0611838430025"</f>
        <v>0611838430025</v>
      </c>
      <c r="B10493" t="str">
        <f>"MQ0443"</f>
        <v>MQ0443</v>
      </c>
      <c r="C10493" t="s">
        <v>47555</v>
      </c>
      <c r="D10493" t="s">
        <v>27267</v>
      </c>
      <c r="E10493" t="str">
        <f t="shared" si="163"/>
        <v>001390</v>
      </c>
      <c r="F10493" t="s">
        <v>27246</v>
      </c>
      <c r="G10493" t="s">
        <v>27247</v>
      </c>
      <c r="H10493" t="s">
        <v>27248</v>
      </c>
      <c r="I10493" t="s">
        <v>47556</v>
      </c>
      <c r="J10493" t="s">
        <v>20996</v>
      </c>
      <c r="L10493" t="s">
        <v>27250</v>
      </c>
      <c r="M10493" t="s">
        <v>27251</v>
      </c>
      <c r="N10493" t="s">
        <v>27252</v>
      </c>
      <c r="Q10493" s="1">
        <v>44538</v>
      </c>
      <c r="R10493" t="s">
        <v>27253</v>
      </c>
      <c r="S10493" t="s">
        <v>27254</v>
      </c>
      <c r="T10493" t="s">
        <v>27269</v>
      </c>
    </row>
    <row r="10494" spans="1:20" x14ac:dyDescent="0.3">
      <c r="A10494" t="str">
        <f>"0611838431025"</f>
        <v>0611838431025</v>
      </c>
      <c r="B10494" t="str">
        <f>"MC2047"</f>
        <v>MC2047</v>
      </c>
      <c r="C10494" t="s">
        <v>47557</v>
      </c>
      <c r="D10494" t="s">
        <v>27267</v>
      </c>
      <c r="E10494" t="str">
        <f t="shared" si="163"/>
        <v>001390</v>
      </c>
      <c r="F10494" t="s">
        <v>27246</v>
      </c>
      <c r="G10494" t="s">
        <v>27247</v>
      </c>
      <c r="H10494" t="s">
        <v>27248</v>
      </c>
      <c r="I10494" t="s">
        <v>47558</v>
      </c>
      <c r="J10494" t="s">
        <v>20998</v>
      </c>
      <c r="L10494" t="s">
        <v>27250</v>
      </c>
      <c r="M10494" t="s">
        <v>27251</v>
      </c>
      <c r="N10494" t="s">
        <v>27252</v>
      </c>
      <c r="Q10494" s="1">
        <v>44538</v>
      </c>
      <c r="R10494" t="s">
        <v>27253</v>
      </c>
      <c r="S10494" t="s">
        <v>27254</v>
      </c>
      <c r="T10494" t="s">
        <v>27269</v>
      </c>
    </row>
    <row r="10495" spans="1:20" x14ac:dyDescent="0.3">
      <c r="A10495" t="str">
        <f>"0611863801050"</f>
        <v>0611863801050</v>
      </c>
      <c r="B10495" t="str">
        <f>"CR4429"</f>
        <v>CR4429</v>
      </c>
      <c r="C10495" t="s">
        <v>47557</v>
      </c>
      <c r="D10495" t="s">
        <v>27263</v>
      </c>
      <c r="E10495" t="str">
        <f t="shared" si="163"/>
        <v>001390</v>
      </c>
      <c r="F10495" t="s">
        <v>27246</v>
      </c>
      <c r="G10495" t="s">
        <v>27247</v>
      </c>
      <c r="H10495" t="s">
        <v>27248</v>
      </c>
      <c r="I10495" t="s">
        <v>47559</v>
      </c>
      <c r="J10495" t="s">
        <v>21000</v>
      </c>
      <c r="L10495" t="s">
        <v>27250</v>
      </c>
      <c r="M10495" t="s">
        <v>27251</v>
      </c>
      <c r="N10495" t="s">
        <v>27252</v>
      </c>
      <c r="Q10495" s="1">
        <v>44846</v>
      </c>
      <c r="R10495" t="s">
        <v>27253</v>
      </c>
      <c r="S10495" t="s">
        <v>27254</v>
      </c>
      <c r="T10495" t="s">
        <v>27265</v>
      </c>
    </row>
    <row r="10496" spans="1:20" x14ac:dyDescent="0.3">
      <c r="A10496" t="str">
        <f>"0611838432025"</f>
        <v>0611838432025</v>
      </c>
      <c r="B10496" t="str">
        <f>"MC3306"</f>
        <v>MC3306</v>
      </c>
      <c r="C10496" t="s">
        <v>47560</v>
      </c>
      <c r="D10496" t="s">
        <v>27267</v>
      </c>
      <c r="E10496" t="str">
        <f t="shared" si="163"/>
        <v>001390</v>
      </c>
      <c r="F10496" t="s">
        <v>27246</v>
      </c>
      <c r="G10496" t="s">
        <v>27247</v>
      </c>
      <c r="H10496" t="s">
        <v>27248</v>
      </c>
      <c r="I10496" t="s">
        <v>47561</v>
      </c>
      <c r="J10496" t="s">
        <v>21004</v>
      </c>
      <c r="L10496" t="s">
        <v>27250</v>
      </c>
      <c r="M10496" t="s">
        <v>27251</v>
      </c>
      <c r="N10496" t="s">
        <v>27252</v>
      </c>
      <c r="Q10496" s="1">
        <v>44538</v>
      </c>
      <c r="R10496" t="s">
        <v>27253</v>
      </c>
      <c r="S10496" t="s">
        <v>27254</v>
      </c>
      <c r="T10496" t="s">
        <v>27269</v>
      </c>
    </row>
    <row r="10497" spans="1:20" x14ac:dyDescent="0.3">
      <c r="A10497" t="str">
        <f>"0611863802100"</f>
        <v>0611863802100</v>
      </c>
      <c r="B10497" t="str">
        <f>"CN2386"</f>
        <v>CN2386</v>
      </c>
      <c r="C10497" t="s">
        <v>47560</v>
      </c>
      <c r="D10497" t="s">
        <v>27335</v>
      </c>
      <c r="E10497" t="str">
        <f t="shared" si="163"/>
        <v>001390</v>
      </c>
      <c r="F10497" t="s">
        <v>27246</v>
      </c>
      <c r="G10497" t="s">
        <v>27247</v>
      </c>
      <c r="H10497" t="s">
        <v>27248</v>
      </c>
      <c r="I10497" t="s">
        <v>47562</v>
      </c>
      <c r="J10497" t="s">
        <v>21002</v>
      </c>
      <c r="L10497" t="s">
        <v>27250</v>
      </c>
      <c r="M10497" t="s">
        <v>27251</v>
      </c>
      <c r="N10497" t="s">
        <v>27252</v>
      </c>
      <c r="Q10497" s="1">
        <v>44846</v>
      </c>
      <c r="R10497" t="s">
        <v>27253</v>
      </c>
      <c r="S10497" t="s">
        <v>27254</v>
      </c>
      <c r="T10497" t="s">
        <v>27255</v>
      </c>
    </row>
    <row r="10498" spans="1:20" x14ac:dyDescent="0.3">
      <c r="A10498" t="str">
        <f>"0611838433025"</f>
        <v>0611838433025</v>
      </c>
      <c r="B10498" t="str">
        <f>"MC4053"</f>
        <v>MC4053</v>
      </c>
      <c r="C10498" t="s">
        <v>47563</v>
      </c>
      <c r="D10498" t="s">
        <v>27267</v>
      </c>
      <c r="E10498" t="str">
        <f t="shared" ref="E10498:E10561" si="164">"001390"</f>
        <v>001390</v>
      </c>
      <c r="F10498" t="s">
        <v>27246</v>
      </c>
      <c r="G10498" t="s">
        <v>27247</v>
      </c>
      <c r="H10498" t="s">
        <v>27248</v>
      </c>
      <c r="I10498" t="s">
        <v>47564</v>
      </c>
      <c r="J10498" t="s">
        <v>21006</v>
      </c>
      <c r="L10498" t="s">
        <v>27250</v>
      </c>
      <c r="M10498" t="s">
        <v>27251</v>
      </c>
      <c r="N10498" t="s">
        <v>27252</v>
      </c>
      <c r="Q10498" s="1">
        <v>44538</v>
      </c>
      <c r="R10498" t="s">
        <v>27253</v>
      </c>
      <c r="S10498" t="s">
        <v>27254</v>
      </c>
      <c r="T10498" t="s">
        <v>27269</v>
      </c>
    </row>
    <row r="10499" spans="1:20" x14ac:dyDescent="0.3">
      <c r="A10499" t="str">
        <f>"0611838435025"</f>
        <v>0611838435025</v>
      </c>
      <c r="B10499" t="str">
        <f>"MC2050"</f>
        <v>MC2050</v>
      </c>
      <c r="C10499" t="s">
        <v>47565</v>
      </c>
      <c r="D10499" t="s">
        <v>27267</v>
      </c>
      <c r="E10499" t="str">
        <f t="shared" si="164"/>
        <v>001390</v>
      </c>
      <c r="F10499" t="s">
        <v>27246</v>
      </c>
      <c r="G10499" t="s">
        <v>27247</v>
      </c>
      <c r="H10499" t="s">
        <v>27248</v>
      </c>
      <c r="I10499" t="s">
        <v>47566</v>
      </c>
      <c r="J10499" t="s">
        <v>21008</v>
      </c>
      <c r="L10499" t="s">
        <v>27250</v>
      </c>
      <c r="M10499" t="s">
        <v>27251</v>
      </c>
      <c r="N10499" t="s">
        <v>27252</v>
      </c>
      <c r="Q10499" s="1">
        <v>44538</v>
      </c>
      <c r="R10499" t="s">
        <v>27253</v>
      </c>
      <c r="S10499" t="s">
        <v>27254</v>
      </c>
      <c r="T10499" t="s">
        <v>27269</v>
      </c>
    </row>
    <row r="10500" spans="1:20" x14ac:dyDescent="0.3">
      <c r="A10500" t="str">
        <f>"0611838436025"</f>
        <v>0611838436025</v>
      </c>
      <c r="B10500" t="str">
        <f>"MC0900"</f>
        <v>MC0900</v>
      </c>
      <c r="C10500" t="s">
        <v>47567</v>
      </c>
      <c r="D10500" t="s">
        <v>27267</v>
      </c>
      <c r="E10500" t="str">
        <f t="shared" si="164"/>
        <v>001390</v>
      </c>
      <c r="F10500" t="s">
        <v>27246</v>
      </c>
      <c r="G10500" t="s">
        <v>27247</v>
      </c>
      <c r="H10500" t="s">
        <v>27248</v>
      </c>
      <c r="I10500" t="s">
        <v>47568</v>
      </c>
      <c r="J10500" t="s">
        <v>21010</v>
      </c>
      <c r="L10500" t="s">
        <v>27250</v>
      </c>
      <c r="M10500" t="s">
        <v>27251</v>
      </c>
      <c r="N10500" t="s">
        <v>27252</v>
      </c>
      <c r="Q10500" s="1">
        <v>44538</v>
      </c>
      <c r="R10500" t="s">
        <v>27253</v>
      </c>
      <c r="S10500" t="s">
        <v>27254</v>
      </c>
      <c r="T10500" t="s">
        <v>27269</v>
      </c>
    </row>
    <row r="10501" spans="1:20" x14ac:dyDescent="0.3">
      <c r="A10501" t="str">
        <f>"0611863803050"</f>
        <v>0611863803050</v>
      </c>
      <c r="B10501" t="str">
        <f>"CE1007"</f>
        <v>CE1007</v>
      </c>
      <c r="C10501" t="s">
        <v>47569</v>
      </c>
      <c r="D10501" t="s">
        <v>27263</v>
      </c>
      <c r="E10501" t="str">
        <f t="shared" si="164"/>
        <v>001390</v>
      </c>
      <c r="F10501" t="s">
        <v>27246</v>
      </c>
      <c r="G10501" t="s">
        <v>27247</v>
      </c>
      <c r="H10501" t="s">
        <v>27248</v>
      </c>
      <c r="I10501" t="s">
        <v>47570</v>
      </c>
      <c r="J10501" t="s">
        <v>21012</v>
      </c>
      <c r="L10501" t="s">
        <v>27250</v>
      </c>
      <c r="M10501" t="s">
        <v>27251</v>
      </c>
      <c r="N10501" t="s">
        <v>27252</v>
      </c>
      <c r="Q10501" s="1">
        <v>44846</v>
      </c>
      <c r="R10501" t="s">
        <v>27253</v>
      </c>
      <c r="S10501" t="s">
        <v>27254</v>
      </c>
      <c r="T10501" t="s">
        <v>27265</v>
      </c>
    </row>
    <row r="10502" spans="1:20" x14ac:dyDescent="0.3">
      <c r="A10502" t="str">
        <f>"0611863804050"</f>
        <v>0611863804050</v>
      </c>
      <c r="B10502" t="str">
        <f>"CE1008"</f>
        <v>CE1008</v>
      </c>
      <c r="C10502" t="s">
        <v>47571</v>
      </c>
      <c r="D10502" t="s">
        <v>27263</v>
      </c>
      <c r="E10502" t="str">
        <f t="shared" si="164"/>
        <v>001390</v>
      </c>
      <c r="F10502" t="s">
        <v>27246</v>
      </c>
      <c r="G10502" t="s">
        <v>27247</v>
      </c>
      <c r="H10502" t="s">
        <v>27248</v>
      </c>
      <c r="I10502" t="s">
        <v>47572</v>
      </c>
      <c r="J10502" t="s">
        <v>21014</v>
      </c>
      <c r="L10502" t="s">
        <v>27250</v>
      </c>
      <c r="M10502" t="s">
        <v>27251</v>
      </c>
      <c r="N10502" t="s">
        <v>27252</v>
      </c>
      <c r="Q10502" s="1">
        <v>44846</v>
      </c>
      <c r="R10502" t="s">
        <v>27253</v>
      </c>
      <c r="S10502" t="s">
        <v>27254</v>
      </c>
      <c r="T10502" t="s">
        <v>27265</v>
      </c>
    </row>
    <row r="10503" spans="1:20" x14ac:dyDescent="0.3">
      <c r="A10503" t="str">
        <f>"0611838437100"</f>
        <v>0611838437100</v>
      </c>
      <c r="B10503" t="str">
        <f>"LK0349"</f>
        <v>LK0349</v>
      </c>
      <c r="C10503" t="s">
        <v>47573</v>
      </c>
      <c r="D10503" t="s">
        <v>27245</v>
      </c>
      <c r="E10503" t="str">
        <f t="shared" si="164"/>
        <v>001390</v>
      </c>
      <c r="F10503" t="s">
        <v>27246</v>
      </c>
      <c r="G10503" t="s">
        <v>27247</v>
      </c>
      <c r="H10503" t="s">
        <v>27248</v>
      </c>
      <c r="I10503" t="s">
        <v>47574</v>
      </c>
      <c r="J10503" t="s">
        <v>21016</v>
      </c>
      <c r="L10503" t="s">
        <v>27250</v>
      </c>
      <c r="M10503" t="s">
        <v>27251</v>
      </c>
      <c r="N10503" t="s">
        <v>27252</v>
      </c>
      <c r="Q10503" s="1">
        <v>44538</v>
      </c>
      <c r="R10503" t="s">
        <v>27253</v>
      </c>
      <c r="S10503" t="s">
        <v>27254</v>
      </c>
      <c r="T10503" t="s">
        <v>27255</v>
      </c>
    </row>
    <row r="10504" spans="1:20" x14ac:dyDescent="0.3">
      <c r="A10504" t="str">
        <f>"0611838438025"</f>
        <v>0611838438025</v>
      </c>
      <c r="B10504" t="str">
        <f>"MQ0629"</f>
        <v>MQ0629</v>
      </c>
      <c r="C10504" t="s">
        <v>47575</v>
      </c>
      <c r="D10504" t="s">
        <v>28057</v>
      </c>
      <c r="E10504" t="str">
        <f t="shared" si="164"/>
        <v>001390</v>
      </c>
      <c r="F10504" t="s">
        <v>27246</v>
      </c>
      <c r="G10504" t="s">
        <v>27247</v>
      </c>
      <c r="H10504" t="s">
        <v>27248</v>
      </c>
      <c r="I10504" t="s">
        <v>47576</v>
      </c>
      <c r="J10504" t="s">
        <v>21018</v>
      </c>
      <c r="L10504" t="s">
        <v>27250</v>
      </c>
      <c r="M10504" t="s">
        <v>27251</v>
      </c>
      <c r="N10504" t="s">
        <v>27252</v>
      </c>
      <c r="P10504" t="s">
        <v>27925</v>
      </c>
      <c r="Q10504" s="1">
        <v>44538</v>
      </c>
      <c r="R10504" t="s">
        <v>27253</v>
      </c>
      <c r="S10504" t="s">
        <v>27254</v>
      </c>
      <c r="T10504" t="s">
        <v>27269</v>
      </c>
    </row>
    <row r="10505" spans="1:20" x14ac:dyDescent="0.3">
      <c r="A10505" t="str">
        <f>"0611863849050"</f>
        <v>0611863849050</v>
      </c>
      <c r="B10505" t="str">
        <f>"CE1250"</f>
        <v>CE1250</v>
      </c>
      <c r="C10505" t="s">
        <v>47575</v>
      </c>
      <c r="D10505" t="s">
        <v>27923</v>
      </c>
      <c r="E10505" t="str">
        <f t="shared" si="164"/>
        <v>001390</v>
      </c>
      <c r="F10505" t="s">
        <v>27246</v>
      </c>
      <c r="G10505" t="s">
        <v>27247</v>
      </c>
      <c r="H10505" t="s">
        <v>27248</v>
      </c>
      <c r="I10505" t="s">
        <v>47577</v>
      </c>
      <c r="J10505" t="s">
        <v>21182</v>
      </c>
      <c r="L10505" t="s">
        <v>27250</v>
      </c>
      <c r="M10505" t="s">
        <v>27251</v>
      </c>
      <c r="N10505" t="s">
        <v>27252</v>
      </c>
      <c r="P10505" t="s">
        <v>27925</v>
      </c>
      <c r="Q10505" s="1">
        <v>44846</v>
      </c>
      <c r="R10505" t="s">
        <v>27253</v>
      </c>
      <c r="S10505" t="s">
        <v>27254</v>
      </c>
      <c r="T10505" t="s">
        <v>27265</v>
      </c>
    </row>
    <row r="10506" spans="1:20" x14ac:dyDescent="0.3">
      <c r="A10506" t="str">
        <f>"0611857081100"</f>
        <v>0611857081100</v>
      </c>
      <c r="B10506" t="str">
        <f>"LQ6275"</f>
        <v>LQ6275</v>
      </c>
      <c r="C10506" t="s">
        <v>47578</v>
      </c>
      <c r="D10506" t="s">
        <v>27245</v>
      </c>
      <c r="E10506" t="str">
        <f t="shared" si="164"/>
        <v>001390</v>
      </c>
      <c r="F10506" t="s">
        <v>27246</v>
      </c>
      <c r="G10506" t="s">
        <v>27247</v>
      </c>
      <c r="H10506" t="s">
        <v>27248</v>
      </c>
      <c r="I10506" t="s">
        <v>47579</v>
      </c>
      <c r="J10506" t="s">
        <v>21020</v>
      </c>
      <c r="L10506" t="s">
        <v>27250</v>
      </c>
      <c r="M10506" t="s">
        <v>27251</v>
      </c>
      <c r="N10506" t="s">
        <v>27252</v>
      </c>
      <c r="Q10506" s="1">
        <v>44812</v>
      </c>
      <c r="R10506" t="s">
        <v>27253</v>
      </c>
      <c r="S10506" t="s">
        <v>27254</v>
      </c>
      <c r="T10506" t="s">
        <v>27255</v>
      </c>
    </row>
    <row r="10507" spans="1:20" x14ac:dyDescent="0.3">
      <c r="A10507" t="str">
        <f>"0611838439100"</f>
        <v>0611838439100</v>
      </c>
      <c r="B10507" t="str">
        <f>"LQ6127"</f>
        <v>LQ6127</v>
      </c>
      <c r="C10507" t="s">
        <v>47580</v>
      </c>
      <c r="D10507" t="s">
        <v>27245</v>
      </c>
      <c r="E10507" t="str">
        <f t="shared" si="164"/>
        <v>001390</v>
      </c>
      <c r="F10507" t="s">
        <v>27246</v>
      </c>
      <c r="G10507" t="s">
        <v>27247</v>
      </c>
      <c r="H10507" t="s">
        <v>27248</v>
      </c>
      <c r="I10507" t="s">
        <v>47581</v>
      </c>
      <c r="J10507" t="s">
        <v>21022</v>
      </c>
      <c r="L10507" t="s">
        <v>27250</v>
      </c>
      <c r="M10507" t="s">
        <v>27251</v>
      </c>
      <c r="N10507" t="s">
        <v>27252</v>
      </c>
      <c r="Q10507" s="1">
        <v>44538</v>
      </c>
      <c r="R10507" t="s">
        <v>27253</v>
      </c>
      <c r="S10507" t="s">
        <v>27254</v>
      </c>
      <c r="T10507" t="s">
        <v>27255</v>
      </c>
    </row>
    <row r="10508" spans="1:20" x14ac:dyDescent="0.3">
      <c r="A10508" t="str">
        <f>"0611838440100"</f>
        <v>0611838440100</v>
      </c>
      <c r="B10508" t="str">
        <f>"LQ6129"</f>
        <v>LQ6129</v>
      </c>
      <c r="C10508" t="s">
        <v>47582</v>
      </c>
      <c r="D10508" t="s">
        <v>27245</v>
      </c>
      <c r="E10508" t="str">
        <f t="shared" si="164"/>
        <v>001390</v>
      </c>
      <c r="F10508" t="s">
        <v>27246</v>
      </c>
      <c r="G10508" t="s">
        <v>27247</v>
      </c>
      <c r="H10508" t="s">
        <v>27248</v>
      </c>
      <c r="I10508" t="s">
        <v>47583</v>
      </c>
      <c r="J10508" t="s">
        <v>21024</v>
      </c>
      <c r="L10508" t="s">
        <v>27250</v>
      </c>
      <c r="M10508" t="s">
        <v>27251</v>
      </c>
      <c r="N10508" t="s">
        <v>27252</v>
      </c>
      <c r="Q10508" s="1">
        <v>44538</v>
      </c>
      <c r="R10508" t="s">
        <v>27253</v>
      </c>
      <c r="S10508" t="s">
        <v>27254</v>
      </c>
      <c r="T10508" t="s">
        <v>27255</v>
      </c>
    </row>
    <row r="10509" spans="1:20" x14ac:dyDescent="0.3">
      <c r="A10509" t="str">
        <f>"0611863805050"</f>
        <v>0611863805050</v>
      </c>
      <c r="B10509" t="str">
        <f>"CR2523"</f>
        <v>CR2523</v>
      </c>
      <c r="C10509" t="s">
        <v>47584</v>
      </c>
      <c r="D10509" t="s">
        <v>27263</v>
      </c>
      <c r="E10509" t="str">
        <f t="shared" si="164"/>
        <v>001390</v>
      </c>
      <c r="F10509" t="s">
        <v>27246</v>
      </c>
      <c r="G10509" t="s">
        <v>27247</v>
      </c>
      <c r="H10509" t="s">
        <v>27248</v>
      </c>
      <c r="I10509" t="s">
        <v>47585</v>
      </c>
      <c r="J10509" t="s">
        <v>21026</v>
      </c>
      <c r="L10509" t="s">
        <v>27250</v>
      </c>
      <c r="M10509" t="s">
        <v>27251</v>
      </c>
      <c r="N10509" t="s">
        <v>27252</v>
      </c>
      <c r="Q10509" s="1">
        <v>44846</v>
      </c>
      <c r="R10509" t="s">
        <v>27253</v>
      </c>
      <c r="S10509" t="s">
        <v>27254</v>
      </c>
      <c r="T10509" t="s">
        <v>27265</v>
      </c>
    </row>
    <row r="10510" spans="1:20" x14ac:dyDescent="0.3">
      <c r="A10510" t="str">
        <f>"0611863806050"</f>
        <v>0611863806050</v>
      </c>
      <c r="B10510" t="str">
        <f>"CR2519"</f>
        <v>CR2519</v>
      </c>
      <c r="C10510" t="s">
        <v>47586</v>
      </c>
      <c r="D10510" t="s">
        <v>27263</v>
      </c>
      <c r="E10510" t="str">
        <f t="shared" si="164"/>
        <v>001390</v>
      </c>
      <c r="F10510" t="s">
        <v>27246</v>
      </c>
      <c r="G10510" t="s">
        <v>27247</v>
      </c>
      <c r="H10510" t="s">
        <v>27248</v>
      </c>
      <c r="I10510" t="s">
        <v>47587</v>
      </c>
      <c r="J10510" t="s">
        <v>21028</v>
      </c>
      <c r="L10510" t="s">
        <v>27250</v>
      </c>
      <c r="M10510" t="s">
        <v>27251</v>
      </c>
      <c r="N10510" t="s">
        <v>27252</v>
      </c>
      <c r="Q10510" s="1">
        <v>44846</v>
      </c>
      <c r="R10510" t="s">
        <v>27253</v>
      </c>
      <c r="S10510" t="s">
        <v>27254</v>
      </c>
      <c r="T10510" t="s">
        <v>27265</v>
      </c>
    </row>
    <row r="10511" spans="1:20" x14ac:dyDescent="0.3">
      <c r="A10511" t="str">
        <f>"0611863807050"</f>
        <v>0611863807050</v>
      </c>
      <c r="B10511" t="str">
        <f>"CR2520"</f>
        <v>CR2520</v>
      </c>
      <c r="C10511" t="s">
        <v>47588</v>
      </c>
      <c r="D10511" t="s">
        <v>27263</v>
      </c>
      <c r="E10511" t="str">
        <f t="shared" si="164"/>
        <v>001390</v>
      </c>
      <c r="F10511" t="s">
        <v>27246</v>
      </c>
      <c r="G10511" t="s">
        <v>27247</v>
      </c>
      <c r="H10511" t="s">
        <v>27248</v>
      </c>
      <c r="I10511" t="s">
        <v>47589</v>
      </c>
      <c r="J10511" t="s">
        <v>21030</v>
      </c>
      <c r="L10511" t="s">
        <v>27250</v>
      </c>
      <c r="M10511" t="s">
        <v>27251</v>
      </c>
      <c r="N10511" t="s">
        <v>27252</v>
      </c>
      <c r="Q10511" s="1">
        <v>44846</v>
      </c>
      <c r="R10511" t="s">
        <v>27253</v>
      </c>
      <c r="S10511" t="s">
        <v>27254</v>
      </c>
      <c r="T10511" t="s">
        <v>27265</v>
      </c>
    </row>
    <row r="10512" spans="1:20" x14ac:dyDescent="0.3">
      <c r="A10512" t="str">
        <f>"0611863808050"</f>
        <v>0611863808050</v>
      </c>
      <c r="B10512" t="str">
        <f>"CR2522"</f>
        <v>CR2522</v>
      </c>
      <c r="C10512" t="s">
        <v>47590</v>
      </c>
      <c r="D10512" t="s">
        <v>27263</v>
      </c>
      <c r="E10512" t="str">
        <f t="shared" si="164"/>
        <v>001390</v>
      </c>
      <c r="F10512" t="s">
        <v>27246</v>
      </c>
      <c r="G10512" t="s">
        <v>27247</v>
      </c>
      <c r="H10512" t="s">
        <v>27248</v>
      </c>
      <c r="I10512" t="s">
        <v>47591</v>
      </c>
      <c r="J10512" t="s">
        <v>21032</v>
      </c>
      <c r="L10512" t="s">
        <v>27250</v>
      </c>
      <c r="M10512" t="s">
        <v>27251</v>
      </c>
      <c r="N10512" t="s">
        <v>27252</v>
      </c>
      <c r="Q10512" s="1">
        <v>44846</v>
      </c>
      <c r="R10512" t="s">
        <v>27253</v>
      </c>
      <c r="S10512" t="s">
        <v>27254</v>
      </c>
      <c r="T10512" t="s">
        <v>27265</v>
      </c>
    </row>
    <row r="10513" spans="1:20" x14ac:dyDescent="0.3">
      <c r="A10513" t="str">
        <f>"0611863809050"</f>
        <v>0611863809050</v>
      </c>
      <c r="B10513" t="str">
        <f>"CR2521"</f>
        <v>CR2521</v>
      </c>
      <c r="C10513" t="s">
        <v>47592</v>
      </c>
      <c r="D10513" t="s">
        <v>27263</v>
      </c>
      <c r="E10513" t="str">
        <f t="shared" si="164"/>
        <v>001390</v>
      </c>
      <c r="F10513" t="s">
        <v>27246</v>
      </c>
      <c r="G10513" t="s">
        <v>27247</v>
      </c>
      <c r="H10513" t="s">
        <v>27248</v>
      </c>
      <c r="I10513" t="s">
        <v>47593</v>
      </c>
      <c r="J10513" t="s">
        <v>21034</v>
      </c>
      <c r="L10513" t="s">
        <v>27250</v>
      </c>
      <c r="M10513" t="s">
        <v>27251</v>
      </c>
      <c r="N10513" t="s">
        <v>27252</v>
      </c>
      <c r="Q10513" s="1">
        <v>44846</v>
      </c>
      <c r="R10513" t="s">
        <v>27253</v>
      </c>
      <c r="S10513" t="s">
        <v>27254</v>
      </c>
      <c r="T10513" t="s">
        <v>27265</v>
      </c>
    </row>
    <row r="10514" spans="1:20" x14ac:dyDescent="0.3">
      <c r="A10514" t="str">
        <f>"0611838441100"</f>
        <v>0611838441100</v>
      </c>
      <c r="B10514" t="str">
        <f>"LH8115"</f>
        <v>LH8115</v>
      </c>
      <c r="C10514" t="s">
        <v>47594</v>
      </c>
      <c r="D10514" t="s">
        <v>27245</v>
      </c>
      <c r="E10514" t="str">
        <f t="shared" si="164"/>
        <v>001390</v>
      </c>
      <c r="F10514" t="s">
        <v>27246</v>
      </c>
      <c r="G10514" t="s">
        <v>27247</v>
      </c>
      <c r="H10514" t="s">
        <v>27248</v>
      </c>
      <c r="I10514" t="s">
        <v>47595</v>
      </c>
      <c r="J10514" t="s">
        <v>21036</v>
      </c>
      <c r="L10514" t="s">
        <v>27250</v>
      </c>
      <c r="M10514" t="s">
        <v>27251</v>
      </c>
      <c r="N10514" t="s">
        <v>27252</v>
      </c>
      <c r="Q10514" s="1">
        <v>44538</v>
      </c>
      <c r="R10514" t="s">
        <v>27253</v>
      </c>
      <c r="S10514" t="s">
        <v>27254</v>
      </c>
      <c r="T10514" t="s">
        <v>27255</v>
      </c>
    </row>
    <row r="10515" spans="1:20" x14ac:dyDescent="0.3">
      <c r="A10515" t="str">
        <f>"0611838446100"</f>
        <v>0611838446100</v>
      </c>
      <c r="B10515" t="str">
        <f>"LK6446"</f>
        <v>LK6446</v>
      </c>
      <c r="C10515" t="s">
        <v>47596</v>
      </c>
      <c r="D10515" t="s">
        <v>28138</v>
      </c>
      <c r="E10515" t="str">
        <f t="shared" si="164"/>
        <v>001390</v>
      </c>
      <c r="F10515" t="s">
        <v>27246</v>
      </c>
      <c r="G10515" t="s">
        <v>27247</v>
      </c>
      <c r="H10515" t="s">
        <v>27248</v>
      </c>
      <c r="I10515" t="s">
        <v>47597</v>
      </c>
      <c r="J10515" t="s">
        <v>21038</v>
      </c>
      <c r="L10515" t="s">
        <v>27250</v>
      </c>
      <c r="M10515" t="s">
        <v>27251</v>
      </c>
      <c r="N10515" t="s">
        <v>27252</v>
      </c>
      <c r="P10515" t="s">
        <v>27925</v>
      </c>
      <c r="Q10515" s="1">
        <v>44538</v>
      </c>
      <c r="R10515" t="s">
        <v>27253</v>
      </c>
      <c r="S10515" t="s">
        <v>27254</v>
      </c>
      <c r="T10515" t="s">
        <v>27255</v>
      </c>
    </row>
    <row r="10516" spans="1:20" x14ac:dyDescent="0.3">
      <c r="A10516" t="str">
        <f>"0611838447100"</f>
        <v>0611838447100</v>
      </c>
      <c r="B10516" t="str">
        <f>"LK6272"</f>
        <v>LK6272</v>
      </c>
      <c r="C10516" t="s">
        <v>47598</v>
      </c>
      <c r="D10516" t="s">
        <v>28138</v>
      </c>
      <c r="E10516" t="str">
        <f t="shared" si="164"/>
        <v>001390</v>
      </c>
      <c r="F10516" t="s">
        <v>27246</v>
      </c>
      <c r="G10516" t="s">
        <v>27247</v>
      </c>
      <c r="H10516" t="s">
        <v>27248</v>
      </c>
      <c r="I10516" t="s">
        <v>47599</v>
      </c>
      <c r="J10516" t="s">
        <v>21040</v>
      </c>
      <c r="L10516" t="s">
        <v>27250</v>
      </c>
      <c r="M10516" t="s">
        <v>27251</v>
      </c>
      <c r="N10516" t="s">
        <v>27252</v>
      </c>
      <c r="P10516" t="s">
        <v>27925</v>
      </c>
      <c r="Q10516" s="1">
        <v>44538</v>
      </c>
      <c r="R10516" t="s">
        <v>27253</v>
      </c>
      <c r="S10516" t="s">
        <v>27254</v>
      </c>
      <c r="T10516" t="s">
        <v>27255</v>
      </c>
    </row>
    <row r="10517" spans="1:20" x14ac:dyDescent="0.3">
      <c r="A10517" t="str">
        <f>"0611838448100"</f>
        <v>0611838448100</v>
      </c>
      <c r="B10517" t="str">
        <f>"LK6274"</f>
        <v>LK6274</v>
      </c>
      <c r="C10517" t="s">
        <v>47600</v>
      </c>
      <c r="D10517" t="s">
        <v>28138</v>
      </c>
      <c r="E10517" t="str">
        <f t="shared" si="164"/>
        <v>001390</v>
      </c>
      <c r="F10517" t="s">
        <v>27246</v>
      </c>
      <c r="G10517" t="s">
        <v>27247</v>
      </c>
      <c r="H10517" t="s">
        <v>27248</v>
      </c>
      <c r="I10517" t="s">
        <v>47601</v>
      </c>
      <c r="J10517" t="s">
        <v>21044</v>
      </c>
      <c r="L10517" t="s">
        <v>27250</v>
      </c>
      <c r="M10517" t="s">
        <v>27251</v>
      </c>
      <c r="N10517" t="s">
        <v>27252</v>
      </c>
      <c r="P10517" t="s">
        <v>27925</v>
      </c>
      <c r="Q10517" s="1">
        <v>44538</v>
      </c>
      <c r="R10517" t="s">
        <v>27253</v>
      </c>
      <c r="S10517" t="s">
        <v>27254</v>
      </c>
      <c r="T10517" t="s">
        <v>27255</v>
      </c>
    </row>
    <row r="10518" spans="1:20" x14ac:dyDescent="0.3">
      <c r="A10518" t="str">
        <f>"0611838449100"</f>
        <v>0611838449100</v>
      </c>
      <c r="B10518" t="str">
        <f>"LK6273"</f>
        <v>LK6273</v>
      </c>
      <c r="C10518" t="s">
        <v>47602</v>
      </c>
      <c r="D10518" t="s">
        <v>28138</v>
      </c>
      <c r="E10518" t="str">
        <f t="shared" si="164"/>
        <v>001390</v>
      </c>
      <c r="F10518" t="s">
        <v>27246</v>
      </c>
      <c r="G10518" t="s">
        <v>27247</v>
      </c>
      <c r="H10518" t="s">
        <v>27248</v>
      </c>
      <c r="I10518" t="s">
        <v>47603</v>
      </c>
      <c r="J10518" t="s">
        <v>21042</v>
      </c>
      <c r="L10518" t="s">
        <v>27250</v>
      </c>
      <c r="M10518" t="s">
        <v>27251</v>
      </c>
      <c r="N10518" t="s">
        <v>27252</v>
      </c>
      <c r="P10518" t="s">
        <v>27925</v>
      </c>
      <c r="Q10518" s="1">
        <v>44538</v>
      </c>
      <c r="R10518" t="s">
        <v>27253</v>
      </c>
      <c r="S10518" t="s">
        <v>27254</v>
      </c>
      <c r="T10518" t="s">
        <v>27255</v>
      </c>
    </row>
    <row r="10519" spans="1:20" x14ac:dyDescent="0.3">
      <c r="A10519" t="str">
        <f>"0611838450100"</f>
        <v>0611838450100</v>
      </c>
      <c r="B10519" t="str">
        <f>"LK6275"</f>
        <v>LK6275</v>
      </c>
      <c r="C10519" t="s">
        <v>47604</v>
      </c>
      <c r="D10519" t="s">
        <v>28138</v>
      </c>
      <c r="E10519" t="str">
        <f t="shared" si="164"/>
        <v>001390</v>
      </c>
      <c r="F10519" t="s">
        <v>27246</v>
      </c>
      <c r="G10519" t="s">
        <v>27247</v>
      </c>
      <c r="H10519" t="s">
        <v>27248</v>
      </c>
      <c r="I10519" t="s">
        <v>47605</v>
      </c>
      <c r="J10519" t="s">
        <v>21046</v>
      </c>
      <c r="L10519" t="s">
        <v>27250</v>
      </c>
      <c r="M10519" t="s">
        <v>27251</v>
      </c>
      <c r="N10519" t="s">
        <v>27252</v>
      </c>
      <c r="P10519" t="s">
        <v>27925</v>
      </c>
      <c r="Q10519" s="1">
        <v>44538</v>
      </c>
      <c r="R10519" t="s">
        <v>27253</v>
      </c>
      <c r="S10519" t="s">
        <v>27254</v>
      </c>
      <c r="T10519" t="s">
        <v>27255</v>
      </c>
    </row>
    <row r="10520" spans="1:20" x14ac:dyDescent="0.3">
      <c r="A10520" t="str">
        <f>"0611838451100"</f>
        <v>0611838451100</v>
      </c>
      <c r="B10520" t="str">
        <f>"LK6276"</f>
        <v>LK6276</v>
      </c>
      <c r="C10520" t="s">
        <v>47606</v>
      </c>
      <c r="D10520" t="s">
        <v>28138</v>
      </c>
      <c r="E10520" t="str">
        <f t="shared" si="164"/>
        <v>001390</v>
      </c>
      <c r="F10520" t="s">
        <v>27246</v>
      </c>
      <c r="G10520" t="s">
        <v>27247</v>
      </c>
      <c r="H10520" t="s">
        <v>27248</v>
      </c>
      <c r="I10520" t="s">
        <v>47607</v>
      </c>
      <c r="J10520" t="s">
        <v>21048</v>
      </c>
      <c r="L10520" t="s">
        <v>27250</v>
      </c>
      <c r="M10520" t="s">
        <v>27251</v>
      </c>
      <c r="N10520" t="s">
        <v>27252</v>
      </c>
      <c r="P10520" t="s">
        <v>27925</v>
      </c>
      <c r="Q10520" s="1">
        <v>44538</v>
      </c>
      <c r="R10520" t="s">
        <v>27253</v>
      </c>
      <c r="S10520" t="s">
        <v>27254</v>
      </c>
      <c r="T10520" t="s">
        <v>27255</v>
      </c>
    </row>
    <row r="10521" spans="1:20" x14ac:dyDescent="0.3">
      <c r="A10521" t="str">
        <f>"0611838453025"</f>
        <v>0611838453025</v>
      </c>
      <c r="B10521" t="str">
        <f>"MC4054"</f>
        <v>MC4054</v>
      </c>
      <c r="C10521" t="s">
        <v>47608</v>
      </c>
      <c r="D10521" t="s">
        <v>27267</v>
      </c>
      <c r="E10521" t="str">
        <f t="shared" si="164"/>
        <v>001390</v>
      </c>
      <c r="F10521" t="s">
        <v>27246</v>
      </c>
      <c r="G10521" t="s">
        <v>27247</v>
      </c>
      <c r="H10521" t="s">
        <v>27248</v>
      </c>
      <c r="I10521" t="s">
        <v>47609</v>
      </c>
      <c r="J10521" t="s">
        <v>21050</v>
      </c>
      <c r="L10521" t="s">
        <v>27250</v>
      </c>
      <c r="M10521" t="s">
        <v>27251</v>
      </c>
      <c r="N10521" t="s">
        <v>27252</v>
      </c>
      <c r="Q10521" s="1">
        <v>44538</v>
      </c>
      <c r="R10521" t="s">
        <v>27253</v>
      </c>
      <c r="S10521" t="s">
        <v>27254</v>
      </c>
      <c r="T10521" t="s">
        <v>27269</v>
      </c>
    </row>
    <row r="10522" spans="1:20" x14ac:dyDescent="0.3">
      <c r="A10522" t="str">
        <f>"0611863810050"</f>
        <v>0611863810050</v>
      </c>
      <c r="B10522" t="str">
        <f>"CE1014"</f>
        <v>CE1014</v>
      </c>
      <c r="C10522" t="s">
        <v>47608</v>
      </c>
      <c r="D10522" t="s">
        <v>27263</v>
      </c>
      <c r="E10522" t="str">
        <f t="shared" si="164"/>
        <v>001390</v>
      </c>
      <c r="F10522" t="s">
        <v>27246</v>
      </c>
      <c r="G10522" t="s">
        <v>27247</v>
      </c>
      <c r="H10522" t="s">
        <v>27248</v>
      </c>
      <c r="I10522" t="s">
        <v>47610</v>
      </c>
      <c r="J10522" t="s">
        <v>21052</v>
      </c>
      <c r="L10522" t="s">
        <v>27250</v>
      </c>
      <c r="M10522" t="s">
        <v>27251</v>
      </c>
      <c r="N10522" t="s">
        <v>27252</v>
      </c>
      <c r="Q10522" s="1">
        <v>44846</v>
      </c>
      <c r="R10522" t="s">
        <v>27253</v>
      </c>
      <c r="S10522" t="s">
        <v>27254</v>
      </c>
      <c r="T10522" t="s">
        <v>27265</v>
      </c>
    </row>
    <row r="10523" spans="1:20" x14ac:dyDescent="0.3">
      <c r="A10523" t="str">
        <f>"0611838454025"</f>
        <v>0611838454025</v>
      </c>
      <c r="B10523" t="str">
        <f>"MC0609"</f>
        <v>MC0609</v>
      </c>
      <c r="C10523" t="s">
        <v>47611</v>
      </c>
      <c r="D10523" t="s">
        <v>27267</v>
      </c>
      <c r="E10523" t="str">
        <f t="shared" si="164"/>
        <v>001390</v>
      </c>
      <c r="F10523" t="s">
        <v>27246</v>
      </c>
      <c r="G10523" t="s">
        <v>27247</v>
      </c>
      <c r="H10523" t="s">
        <v>27248</v>
      </c>
      <c r="I10523" t="s">
        <v>47612</v>
      </c>
      <c r="J10523" t="s">
        <v>21056</v>
      </c>
      <c r="L10523" t="s">
        <v>27250</v>
      </c>
      <c r="M10523" t="s">
        <v>27251</v>
      </c>
      <c r="N10523" t="s">
        <v>27252</v>
      </c>
      <c r="Q10523" s="1">
        <v>44538</v>
      </c>
      <c r="R10523" t="s">
        <v>27253</v>
      </c>
      <c r="S10523" t="s">
        <v>27254</v>
      </c>
      <c r="T10523" t="s">
        <v>27269</v>
      </c>
    </row>
    <row r="10524" spans="1:20" x14ac:dyDescent="0.3">
      <c r="A10524" t="str">
        <f>"0611863811100"</f>
        <v>0611863811100</v>
      </c>
      <c r="B10524" t="str">
        <f>"CN5346"</f>
        <v>CN5346</v>
      </c>
      <c r="C10524" t="s">
        <v>47611</v>
      </c>
      <c r="D10524" t="s">
        <v>27335</v>
      </c>
      <c r="E10524" t="str">
        <f t="shared" si="164"/>
        <v>001390</v>
      </c>
      <c r="F10524" t="s">
        <v>27246</v>
      </c>
      <c r="G10524" t="s">
        <v>27247</v>
      </c>
      <c r="H10524" t="s">
        <v>27248</v>
      </c>
      <c r="I10524" t="s">
        <v>47613</v>
      </c>
      <c r="J10524" t="s">
        <v>21054</v>
      </c>
      <c r="L10524" t="s">
        <v>27250</v>
      </c>
      <c r="M10524" t="s">
        <v>27251</v>
      </c>
      <c r="N10524" t="s">
        <v>27252</v>
      </c>
      <c r="Q10524" s="1">
        <v>44846</v>
      </c>
      <c r="R10524" t="s">
        <v>27253</v>
      </c>
      <c r="S10524" t="s">
        <v>27254</v>
      </c>
      <c r="T10524" t="s">
        <v>27255</v>
      </c>
    </row>
    <row r="10525" spans="1:20" x14ac:dyDescent="0.3">
      <c r="A10525" t="str">
        <f>"0611863812050"</f>
        <v>0611863812050</v>
      </c>
      <c r="B10525" t="str">
        <f>"CR4438"</f>
        <v>CR4438</v>
      </c>
      <c r="C10525" t="s">
        <v>47611</v>
      </c>
      <c r="D10525" t="s">
        <v>27263</v>
      </c>
      <c r="E10525" t="str">
        <f t="shared" si="164"/>
        <v>001390</v>
      </c>
      <c r="F10525" t="s">
        <v>27246</v>
      </c>
      <c r="G10525" t="s">
        <v>27247</v>
      </c>
      <c r="H10525" t="s">
        <v>27248</v>
      </c>
      <c r="I10525" t="s">
        <v>47614</v>
      </c>
      <c r="J10525" t="s">
        <v>21058</v>
      </c>
      <c r="L10525" t="s">
        <v>27250</v>
      </c>
      <c r="M10525" t="s">
        <v>27251</v>
      </c>
      <c r="N10525" t="s">
        <v>27252</v>
      </c>
      <c r="Q10525" s="1">
        <v>44846</v>
      </c>
      <c r="R10525" t="s">
        <v>27253</v>
      </c>
      <c r="S10525" t="s">
        <v>27254</v>
      </c>
      <c r="T10525" t="s">
        <v>27265</v>
      </c>
    </row>
    <row r="10526" spans="1:20" x14ac:dyDescent="0.3">
      <c r="A10526" t="str">
        <f>"0611838455025"</f>
        <v>0611838455025</v>
      </c>
      <c r="B10526" t="str">
        <f>"MC4055"</f>
        <v>MC4055</v>
      </c>
      <c r="C10526" t="s">
        <v>47615</v>
      </c>
      <c r="D10526" t="s">
        <v>27267</v>
      </c>
      <c r="E10526" t="str">
        <f t="shared" si="164"/>
        <v>001390</v>
      </c>
      <c r="F10526" t="s">
        <v>27246</v>
      </c>
      <c r="G10526" t="s">
        <v>27247</v>
      </c>
      <c r="H10526" t="s">
        <v>27248</v>
      </c>
      <c r="I10526" t="s">
        <v>47616</v>
      </c>
      <c r="J10526" t="s">
        <v>21060</v>
      </c>
      <c r="L10526" t="s">
        <v>27250</v>
      </c>
      <c r="M10526" t="s">
        <v>27251</v>
      </c>
      <c r="N10526" t="s">
        <v>27252</v>
      </c>
      <c r="Q10526" s="1">
        <v>44538</v>
      </c>
      <c r="R10526" t="s">
        <v>27253</v>
      </c>
      <c r="S10526" t="s">
        <v>27254</v>
      </c>
      <c r="T10526" t="s">
        <v>27269</v>
      </c>
    </row>
    <row r="10527" spans="1:20" x14ac:dyDescent="0.3">
      <c r="A10527" t="str">
        <f>"0611838456025"</f>
        <v>0611838456025</v>
      </c>
      <c r="B10527" t="str">
        <f>"MC0610"</f>
        <v>MC0610</v>
      </c>
      <c r="C10527" t="s">
        <v>47617</v>
      </c>
      <c r="D10527" t="s">
        <v>27267</v>
      </c>
      <c r="E10527" t="str">
        <f t="shared" si="164"/>
        <v>001390</v>
      </c>
      <c r="F10527" t="s">
        <v>27246</v>
      </c>
      <c r="G10527" t="s">
        <v>27247</v>
      </c>
      <c r="H10527" t="s">
        <v>27248</v>
      </c>
      <c r="I10527" t="s">
        <v>47618</v>
      </c>
      <c r="J10527" t="s">
        <v>21064</v>
      </c>
      <c r="L10527" t="s">
        <v>27250</v>
      </c>
      <c r="M10527" t="s">
        <v>27251</v>
      </c>
      <c r="N10527" t="s">
        <v>27252</v>
      </c>
      <c r="Q10527" s="1">
        <v>44538</v>
      </c>
      <c r="R10527" t="s">
        <v>27253</v>
      </c>
      <c r="S10527" t="s">
        <v>27254</v>
      </c>
      <c r="T10527" t="s">
        <v>27269</v>
      </c>
    </row>
    <row r="10528" spans="1:20" x14ac:dyDescent="0.3">
      <c r="A10528" t="str">
        <f>"0611863813100"</f>
        <v>0611863813100</v>
      </c>
      <c r="B10528" t="str">
        <f>"CN5347"</f>
        <v>CN5347</v>
      </c>
      <c r="C10528" t="s">
        <v>47617</v>
      </c>
      <c r="D10528" t="s">
        <v>27335</v>
      </c>
      <c r="E10528" t="str">
        <f t="shared" si="164"/>
        <v>001390</v>
      </c>
      <c r="F10528" t="s">
        <v>27246</v>
      </c>
      <c r="G10528" t="s">
        <v>27247</v>
      </c>
      <c r="H10528" t="s">
        <v>27248</v>
      </c>
      <c r="I10528" t="s">
        <v>47619</v>
      </c>
      <c r="J10528" t="s">
        <v>21062</v>
      </c>
      <c r="L10528" t="s">
        <v>27250</v>
      </c>
      <c r="M10528" t="s">
        <v>27251</v>
      </c>
      <c r="N10528" t="s">
        <v>27252</v>
      </c>
      <c r="Q10528" s="1">
        <v>44846</v>
      </c>
      <c r="R10528" t="s">
        <v>27253</v>
      </c>
      <c r="S10528" t="s">
        <v>27254</v>
      </c>
      <c r="T10528" t="s">
        <v>27255</v>
      </c>
    </row>
    <row r="10529" spans="1:20" x14ac:dyDescent="0.3">
      <c r="A10529" t="str">
        <f>"0611863814050"</f>
        <v>0611863814050</v>
      </c>
      <c r="B10529" t="str">
        <f>"CE1015"</f>
        <v>CE1015</v>
      </c>
      <c r="C10529" t="s">
        <v>47617</v>
      </c>
      <c r="D10529" t="s">
        <v>27263</v>
      </c>
      <c r="E10529" t="str">
        <f t="shared" si="164"/>
        <v>001390</v>
      </c>
      <c r="F10529" t="s">
        <v>27246</v>
      </c>
      <c r="G10529" t="s">
        <v>27247</v>
      </c>
      <c r="H10529" t="s">
        <v>27248</v>
      </c>
      <c r="I10529" t="s">
        <v>47620</v>
      </c>
      <c r="J10529" t="s">
        <v>21066</v>
      </c>
      <c r="L10529" t="s">
        <v>27250</v>
      </c>
      <c r="M10529" t="s">
        <v>27251</v>
      </c>
      <c r="N10529" t="s">
        <v>27252</v>
      </c>
      <c r="Q10529" s="1">
        <v>44846</v>
      </c>
      <c r="R10529" t="s">
        <v>27253</v>
      </c>
      <c r="S10529" t="s">
        <v>27254</v>
      </c>
      <c r="T10529" t="s">
        <v>27265</v>
      </c>
    </row>
    <row r="10530" spans="1:20" x14ac:dyDescent="0.3">
      <c r="A10530" t="str">
        <f>"0611863815050"</f>
        <v>0611863815050</v>
      </c>
      <c r="B10530" t="str">
        <f>"CR4431"</f>
        <v>CR4431</v>
      </c>
      <c r="C10530" t="s">
        <v>47621</v>
      </c>
      <c r="D10530" t="s">
        <v>27263</v>
      </c>
      <c r="E10530" t="str">
        <f t="shared" si="164"/>
        <v>001390</v>
      </c>
      <c r="F10530" t="s">
        <v>27246</v>
      </c>
      <c r="G10530" t="s">
        <v>27247</v>
      </c>
      <c r="H10530" t="s">
        <v>27248</v>
      </c>
      <c r="I10530" t="s">
        <v>47622</v>
      </c>
      <c r="J10530" t="s">
        <v>21068</v>
      </c>
      <c r="L10530" t="s">
        <v>27250</v>
      </c>
      <c r="M10530" t="s">
        <v>27251</v>
      </c>
      <c r="N10530" t="s">
        <v>27252</v>
      </c>
      <c r="Q10530" s="1">
        <v>44846</v>
      </c>
      <c r="R10530" t="s">
        <v>27253</v>
      </c>
      <c r="S10530" t="s">
        <v>27254</v>
      </c>
      <c r="T10530" t="s">
        <v>27265</v>
      </c>
    </row>
    <row r="10531" spans="1:20" x14ac:dyDescent="0.3">
      <c r="A10531" t="str">
        <f>"0611838457025"</f>
        <v>0611838457025</v>
      </c>
      <c r="B10531" t="str">
        <f>"MC1332"</f>
        <v>MC1332</v>
      </c>
      <c r="C10531" t="s">
        <v>47623</v>
      </c>
      <c r="D10531" t="s">
        <v>27267</v>
      </c>
      <c r="E10531" t="str">
        <f t="shared" si="164"/>
        <v>001390</v>
      </c>
      <c r="F10531" t="s">
        <v>27246</v>
      </c>
      <c r="G10531" t="s">
        <v>27247</v>
      </c>
      <c r="H10531" t="s">
        <v>27248</v>
      </c>
      <c r="I10531" t="s">
        <v>47624</v>
      </c>
      <c r="J10531" t="s">
        <v>21070</v>
      </c>
      <c r="L10531" t="s">
        <v>27250</v>
      </c>
      <c r="M10531" t="s">
        <v>27251</v>
      </c>
      <c r="N10531" t="s">
        <v>27252</v>
      </c>
      <c r="Q10531" s="1">
        <v>44538</v>
      </c>
      <c r="R10531" t="s">
        <v>27253</v>
      </c>
      <c r="S10531" t="s">
        <v>27254</v>
      </c>
      <c r="T10531" t="s">
        <v>27269</v>
      </c>
    </row>
    <row r="10532" spans="1:20" x14ac:dyDescent="0.3">
      <c r="A10532" t="str">
        <f>"0611838458100"</f>
        <v>0611838458100</v>
      </c>
      <c r="B10532" t="str">
        <f>"LH6404"</f>
        <v>LH6404</v>
      </c>
      <c r="C10532" t="s">
        <v>47625</v>
      </c>
      <c r="D10532" t="s">
        <v>27245</v>
      </c>
      <c r="E10532" t="str">
        <f t="shared" si="164"/>
        <v>001390</v>
      </c>
      <c r="F10532" t="s">
        <v>27246</v>
      </c>
      <c r="G10532" t="s">
        <v>27247</v>
      </c>
      <c r="H10532" t="s">
        <v>27248</v>
      </c>
      <c r="I10532" t="s">
        <v>47626</v>
      </c>
      <c r="J10532" t="s">
        <v>21072</v>
      </c>
      <c r="L10532" t="s">
        <v>27250</v>
      </c>
      <c r="M10532" t="s">
        <v>27251</v>
      </c>
      <c r="N10532" t="s">
        <v>27252</v>
      </c>
      <c r="Q10532" s="1">
        <v>44538</v>
      </c>
      <c r="R10532" t="s">
        <v>27253</v>
      </c>
      <c r="S10532" t="s">
        <v>27254</v>
      </c>
      <c r="T10532" t="s">
        <v>27255</v>
      </c>
    </row>
    <row r="10533" spans="1:20" x14ac:dyDescent="0.3">
      <c r="A10533" t="str">
        <f>"0611838459025"</f>
        <v>0611838459025</v>
      </c>
      <c r="B10533" t="str">
        <f>"MQ0336"</f>
        <v>MQ0336</v>
      </c>
      <c r="C10533" t="s">
        <v>47625</v>
      </c>
      <c r="D10533" t="s">
        <v>27267</v>
      </c>
      <c r="E10533" t="str">
        <f t="shared" si="164"/>
        <v>001390</v>
      </c>
      <c r="F10533" t="s">
        <v>27246</v>
      </c>
      <c r="G10533" t="s">
        <v>27247</v>
      </c>
      <c r="H10533" t="s">
        <v>27248</v>
      </c>
      <c r="I10533" t="s">
        <v>47627</v>
      </c>
      <c r="J10533" t="s">
        <v>21074</v>
      </c>
      <c r="L10533" t="s">
        <v>27250</v>
      </c>
      <c r="M10533" t="s">
        <v>27251</v>
      </c>
      <c r="N10533" t="s">
        <v>27252</v>
      </c>
      <c r="Q10533" s="1">
        <v>44538</v>
      </c>
      <c r="R10533" t="s">
        <v>27253</v>
      </c>
      <c r="S10533" t="s">
        <v>27254</v>
      </c>
      <c r="T10533" t="s">
        <v>27269</v>
      </c>
    </row>
    <row r="10534" spans="1:20" x14ac:dyDescent="0.3">
      <c r="A10534" t="str">
        <f>"0611863816100"</f>
        <v>0611863816100</v>
      </c>
      <c r="B10534" t="str">
        <f>"CN5328"</f>
        <v>CN5328</v>
      </c>
      <c r="C10534" t="s">
        <v>47628</v>
      </c>
      <c r="D10534" t="s">
        <v>27339</v>
      </c>
      <c r="E10534" t="str">
        <f t="shared" si="164"/>
        <v>001390</v>
      </c>
      <c r="F10534" t="s">
        <v>27246</v>
      </c>
      <c r="G10534" t="s">
        <v>27247</v>
      </c>
      <c r="H10534" t="s">
        <v>27248</v>
      </c>
      <c r="I10534" t="s">
        <v>47629</v>
      </c>
      <c r="J10534" t="s">
        <v>21076</v>
      </c>
      <c r="L10534" t="s">
        <v>27250</v>
      </c>
      <c r="M10534" t="s">
        <v>27251</v>
      </c>
      <c r="N10534" t="s">
        <v>27252</v>
      </c>
      <c r="P10534" t="s">
        <v>27341</v>
      </c>
      <c r="Q10534" s="1">
        <v>44846</v>
      </c>
      <c r="R10534" t="s">
        <v>27253</v>
      </c>
      <c r="S10534" t="s">
        <v>27254</v>
      </c>
      <c r="T10534" t="s">
        <v>27255</v>
      </c>
    </row>
    <row r="10535" spans="1:20" x14ac:dyDescent="0.3">
      <c r="A10535" t="str">
        <f>"0611863817100"</f>
        <v>0611863817100</v>
      </c>
      <c r="B10535" t="str">
        <f>"CN5329"</f>
        <v>CN5329</v>
      </c>
      <c r="C10535" t="s">
        <v>47630</v>
      </c>
      <c r="D10535" t="s">
        <v>27339</v>
      </c>
      <c r="E10535" t="str">
        <f t="shared" si="164"/>
        <v>001390</v>
      </c>
      <c r="F10535" t="s">
        <v>27246</v>
      </c>
      <c r="G10535" t="s">
        <v>27247</v>
      </c>
      <c r="H10535" t="s">
        <v>27248</v>
      </c>
      <c r="I10535" t="s">
        <v>47631</v>
      </c>
      <c r="J10535" t="s">
        <v>21078</v>
      </c>
      <c r="L10535" t="s">
        <v>27250</v>
      </c>
      <c r="M10535" t="s">
        <v>27251</v>
      </c>
      <c r="N10535" t="s">
        <v>27252</v>
      </c>
      <c r="P10535" t="s">
        <v>27341</v>
      </c>
      <c r="Q10535" s="1">
        <v>44846</v>
      </c>
      <c r="R10535" t="s">
        <v>27253</v>
      </c>
      <c r="S10535" t="s">
        <v>27254</v>
      </c>
      <c r="T10535" t="s">
        <v>27255</v>
      </c>
    </row>
    <row r="10536" spans="1:20" x14ac:dyDescent="0.3">
      <c r="A10536" t="str">
        <f>"0611863818050"</f>
        <v>0611863818050</v>
      </c>
      <c r="B10536" t="str">
        <f>"CR3827"</f>
        <v>CR3827</v>
      </c>
      <c r="C10536" t="s">
        <v>47632</v>
      </c>
      <c r="D10536" t="s">
        <v>28376</v>
      </c>
      <c r="E10536" t="str">
        <f t="shared" si="164"/>
        <v>001390</v>
      </c>
      <c r="F10536" t="s">
        <v>27246</v>
      </c>
      <c r="G10536" t="s">
        <v>27247</v>
      </c>
      <c r="H10536" t="s">
        <v>27248</v>
      </c>
      <c r="I10536" t="s">
        <v>47633</v>
      </c>
      <c r="J10536" t="s">
        <v>21080</v>
      </c>
      <c r="L10536" t="s">
        <v>27250</v>
      </c>
      <c r="M10536" t="s">
        <v>27251</v>
      </c>
      <c r="N10536" t="s">
        <v>27252</v>
      </c>
      <c r="P10536" t="s">
        <v>27341</v>
      </c>
      <c r="Q10536" s="1">
        <v>44846</v>
      </c>
      <c r="R10536" t="s">
        <v>27253</v>
      </c>
      <c r="S10536" t="s">
        <v>27254</v>
      </c>
      <c r="T10536" t="s">
        <v>28378</v>
      </c>
    </row>
    <row r="10537" spans="1:20" x14ac:dyDescent="0.3">
      <c r="A10537" t="str">
        <f>"0611863819100"</f>
        <v>0611863819100</v>
      </c>
      <c r="B10537" t="str">
        <f>"CN5330"</f>
        <v>CN5330</v>
      </c>
      <c r="C10537" t="s">
        <v>47634</v>
      </c>
      <c r="D10537" t="s">
        <v>27339</v>
      </c>
      <c r="E10537" t="str">
        <f t="shared" si="164"/>
        <v>001390</v>
      </c>
      <c r="F10537" t="s">
        <v>27246</v>
      </c>
      <c r="G10537" t="s">
        <v>27247</v>
      </c>
      <c r="H10537" t="s">
        <v>27248</v>
      </c>
      <c r="I10537" t="s">
        <v>47635</v>
      </c>
      <c r="J10537" t="s">
        <v>21082</v>
      </c>
      <c r="L10537" t="s">
        <v>27250</v>
      </c>
      <c r="M10537" t="s">
        <v>27251</v>
      </c>
      <c r="N10537" t="s">
        <v>27252</v>
      </c>
      <c r="P10537" t="s">
        <v>27341</v>
      </c>
      <c r="Q10537" s="1">
        <v>44846</v>
      </c>
      <c r="R10537" t="s">
        <v>27253</v>
      </c>
      <c r="S10537" t="s">
        <v>27254</v>
      </c>
      <c r="T10537" t="s">
        <v>27255</v>
      </c>
    </row>
    <row r="10538" spans="1:20" x14ac:dyDescent="0.3">
      <c r="A10538" t="str">
        <f>"0611863820050"</f>
        <v>0611863820050</v>
      </c>
      <c r="B10538" t="str">
        <f>"CR3828"</f>
        <v>CR3828</v>
      </c>
      <c r="C10538" t="s">
        <v>47636</v>
      </c>
      <c r="D10538" t="s">
        <v>28376</v>
      </c>
      <c r="E10538" t="str">
        <f t="shared" si="164"/>
        <v>001390</v>
      </c>
      <c r="F10538" t="s">
        <v>27246</v>
      </c>
      <c r="G10538" t="s">
        <v>27247</v>
      </c>
      <c r="H10538" t="s">
        <v>27248</v>
      </c>
      <c r="I10538" t="s">
        <v>47637</v>
      </c>
      <c r="J10538" t="s">
        <v>21084</v>
      </c>
      <c r="L10538" t="s">
        <v>27250</v>
      </c>
      <c r="M10538" t="s">
        <v>27251</v>
      </c>
      <c r="N10538" t="s">
        <v>27252</v>
      </c>
      <c r="P10538" t="s">
        <v>27341</v>
      </c>
      <c r="Q10538" s="1">
        <v>44846</v>
      </c>
      <c r="R10538" t="s">
        <v>27253</v>
      </c>
      <c r="S10538" t="s">
        <v>27254</v>
      </c>
      <c r="T10538" t="s">
        <v>28378</v>
      </c>
    </row>
    <row r="10539" spans="1:20" x14ac:dyDescent="0.3">
      <c r="A10539" t="str">
        <f>"0611863821100"</f>
        <v>0611863821100</v>
      </c>
      <c r="B10539" t="str">
        <f>"CN5331"</f>
        <v>CN5331</v>
      </c>
      <c r="C10539" t="s">
        <v>47638</v>
      </c>
      <c r="D10539" t="s">
        <v>27339</v>
      </c>
      <c r="E10539" t="str">
        <f t="shared" si="164"/>
        <v>001390</v>
      </c>
      <c r="F10539" t="s">
        <v>27246</v>
      </c>
      <c r="G10539" t="s">
        <v>27247</v>
      </c>
      <c r="H10539" t="s">
        <v>27248</v>
      </c>
      <c r="I10539" t="s">
        <v>47639</v>
      </c>
      <c r="J10539" t="s">
        <v>21086</v>
      </c>
      <c r="L10539" t="s">
        <v>27250</v>
      </c>
      <c r="M10539" t="s">
        <v>27251</v>
      </c>
      <c r="N10539" t="s">
        <v>27252</v>
      </c>
      <c r="P10539" t="s">
        <v>27341</v>
      </c>
      <c r="Q10539" s="1">
        <v>44846</v>
      </c>
      <c r="R10539" t="s">
        <v>27253</v>
      </c>
      <c r="S10539" t="s">
        <v>27254</v>
      </c>
      <c r="T10539" t="s">
        <v>27255</v>
      </c>
    </row>
    <row r="10540" spans="1:20" x14ac:dyDescent="0.3">
      <c r="A10540" t="str">
        <f>"0611863822050"</f>
        <v>0611863822050</v>
      </c>
      <c r="B10540" t="str">
        <f>"CR3829"</f>
        <v>CR3829</v>
      </c>
      <c r="C10540" t="s">
        <v>47640</v>
      </c>
      <c r="D10540" t="s">
        <v>28376</v>
      </c>
      <c r="E10540" t="str">
        <f t="shared" si="164"/>
        <v>001390</v>
      </c>
      <c r="F10540" t="s">
        <v>27246</v>
      </c>
      <c r="G10540" t="s">
        <v>27247</v>
      </c>
      <c r="H10540" t="s">
        <v>27248</v>
      </c>
      <c r="I10540" t="s">
        <v>47641</v>
      </c>
      <c r="J10540" t="s">
        <v>21088</v>
      </c>
      <c r="L10540" t="s">
        <v>27250</v>
      </c>
      <c r="M10540" t="s">
        <v>27251</v>
      </c>
      <c r="N10540" t="s">
        <v>27252</v>
      </c>
      <c r="P10540" t="s">
        <v>27341</v>
      </c>
      <c r="Q10540" s="1">
        <v>44846</v>
      </c>
      <c r="R10540" t="s">
        <v>27253</v>
      </c>
      <c r="S10540" t="s">
        <v>27254</v>
      </c>
      <c r="T10540" t="s">
        <v>28378</v>
      </c>
    </row>
    <row r="10541" spans="1:20" x14ac:dyDescent="0.3">
      <c r="A10541" t="str">
        <f>"0611863823100"</f>
        <v>0611863823100</v>
      </c>
      <c r="B10541" t="str">
        <f>"CN5332"</f>
        <v>CN5332</v>
      </c>
      <c r="C10541" t="s">
        <v>47642</v>
      </c>
      <c r="D10541" t="s">
        <v>27339</v>
      </c>
      <c r="E10541" t="str">
        <f t="shared" si="164"/>
        <v>001390</v>
      </c>
      <c r="F10541" t="s">
        <v>27246</v>
      </c>
      <c r="G10541" t="s">
        <v>27247</v>
      </c>
      <c r="H10541" t="s">
        <v>27248</v>
      </c>
      <c r="I10541" t="s">
        <v>47643</v>
      </c>
      <c r="J10541" t="s">
        <v>21090</v>
      </c>
      <c r="L10541" t="s">
        <v>27250</v>
      </c>
      <c r="M10541" t="s">
        <v>27251</v>
      </c>
      <c r="N10541" t="s">
        <v>27252</v>
      </c>
      <c r="P10541" t="s">
        <v>27341</v>
      </c>
      <c r="Q10541" s="1">
        <v>44846</v>
      </c>
      <c r="R10541" t="s">
        <v>27253</v>
      </c>
      <c r="S10541" t="s">
        <v>27254</v>
      </c>
      <c r="T10541" t="s">
        <v>27255</v>
      </c>
    </row>
    <row r="10542" spans="1:20" x14ac:dyDescent="0.3">
      <c r="A10542" t="str">
        <f>"0611863824050"</f>
        <v>0611863824050</v>
      </c>
      <c r="B10542" t="str">
        <f>"CR3830"</f>
        <v>CR3830</v>
      </c>
      <c r="C10542" t="s">
        <v>47644</v>
      </c>
      <c r="D10542" t="s">
        <v>28376</v>
      </c>
      <c r="E10542" t="str">
        <f t="shared" si="164"/>
        <v>001390</v>
      </c>
      <c r="F10542" t="s">
        <v>27246</v>
      </c>
      <c r="G10542" t="s">
        <v>27247</v>
      </c>
      <c r="H10542" t="s">
        <v>27248</v>
      </c>
      <c r="I10542" t="s">
        <v>47645</v>
      </c>
      <c r="J10542" t="s">
        <v>21092</v>
      </c>
      <c r="L10542" t="s">
        <v>27250</v>
      </c>
      <c r="M10542" t="s">
        <v>27251</v>
      </c>
      <c r="N10542" t="s">
        <v>27252</v>
      </c>
      <c r="P10542" t="s">
        <v>27341</v>
      </c>
      <c r="Q10542" s="1">
        <v>44846</v>
      </c>
      <c r="R10542" t="s">
        <v>27253</v>
      </c>
      <c r="S10542" t="s">
        <v>27254</v>
      </c>
      <c r="T10542" t="s">
        <v>28378</v>
      </c>
    </row>
    <row r="10543" spans="1:20" x14ac:dyDescent="0.3">
      <c r="A10543" t="str">
        <f>"0611863825100"</f>
        <v>0611863825100</v>
      </c>
      <c r="B10543" t="str">
        <f>"CN5333"</f>
        <v>CN5333</v>
      </c>
      <c r="C10543" t="s">
        <v>47646</v>
      </c>
      <c r="D10543" t="s">
        <v>27339</v>
      </c>
      <c r="E10543" t="str">
        <f t="shared" si="164"/>
        <v>001390</v>
      </c>
      <c r="F10543" t="s">
        <v>27246</v>
      </c>
      <c r="G10543" t="s">
        <v>27247</v>
      </c>
      <c r="H10543" t="s">
        <v>27248</v>
      </c>
      <c r="I10543" t="s">
        <v>47647</v>
      </c>
      <c r="J10543" t="s">
        <v>21094</v>
      </c>
      <c r="L10543" t="s">
        <v>27250</v>
      </c>
      <c r="M10543" t="s">
        <v>27251</v>
      </c>
      <c r="N10543" t="s">
        <v>27252</v>
      </c>
      <c r="P10543" t="s">
        <v>27341</v>
      </c>
      <c r="Q10543" s="1">
        <v>44846</v>
      </c>
      <c r="R10543" t="s">
        <v>27253</v>
      </c>
      <c r="S10543" t="s">
        <v>27254</v>
      </c>
      <c r="T10543" t="s">
        <v>27255</v>
      </c>
    </row>
    <row r="10544" spans="1:20" x14ac:dyDescent="0.3">
      <c r="A10544" t="str">
        <f>"0611863826050"</f>
        <v>0611863826050</v>
      </c>
      <c r="B10544" t="str">
        <f>"CR3948"</f>
        <v>CR3948</v>
      </c>
      <c r="C10544" t="s">
        <v>47648</v>
      </c>
      <c r="D10544" t="s">
        <v>28376</v>
      </c>
      <c r="E10544" t="str">
        <f t="shared" si="164"/>
        <v>001390</v>
      </c>
      <c r="F10544" t="s">
        <v>27246</v>
      </c>
      <c r="G10544" t="s">
        <v>27247</v>
      </c>
      <c r="H10544" t="s">
        <v>27248</v>
      </c>
      <c r="I10544" t="s">
        <v>47649</v>
      </c>
      <c r="J10544" t="s">
        <v>21096</v>
      </c>
      <c r="L10544" t="s">
        <v>27250</v>
      </c>
      <c r="M10544" t="s">
        <v>27251</v>
      </c>
      <c r="N10544" t="s">
        <v>27252</v>
      </c>
      <c r="P10544" t="s">
        <v>27341</v>
      </c>
      <c r="Q10544" s="1">
        <v>44846</v>
      </c>
      <c r="R10544" t="s">
        <v>27253</v>
      </c>
      <c r="S10544" t="s">
        <v>27254</v>
      </c>
      <c r="T10544" t="s">
        <v>28378</v>
      </c>
    </row>
    <row r="10545" spans="1:20" x14ac:dyDescent="0.3">
      <c r="A10545" t="str">
        <f>"0611863827100"</f>
        <v>0611863827100</v>
      </c>
      <c r="B10545" t="str">
        <f>"CN5334"</f>
        <v>CN5334</v>
      </c>
      <c r="C10545" t="s">
        <v>47650</v>
      </c>
      <c r="D10545" t="s">
        <v>27339</v>
      </c>
      <c r="E10545" t="str">
        <f t="shared" si="164"/>
        <v>001390</v>
      </c>
      <c r="F10545" t="s">
        <v>27246</v>
      </c>
      <c r="G10545" t="s">
        <v>27247</v>
      </c>
      <c r="H10545" t="s">
        <v>27248</v>
      </c>
      <c r="I10545" t="s">
        <v>47651</v>
      </c>
      <c r="J10545" t="s">
        <v>21098</v>
      </c>
      <c r="L10545" t="s">
        <v>27250</v>
      </c>
      <c r="M10545" t="s">
        <v>27251</v>
      </c>
      <c r="N10545" t="s">
        <v>27252</v>
      </c>
      <c r="P10545" t="s">
        <v>27341</v>
      </c>
      <c r="Q10545" s="1">
        <v>44846</v>
      </c>
      <c r="R10545" t="s">
        <v>27253</v>
      </c>
      <c r="S10545" t="s">
        <v>27254</v>
      </c>
      <c r="T10545" t="s">
        <v>27255</v>
      </c>
    </row>
    <row r="10546" spans="1:20" x14ac:dyDescent="0.3">
      <c r="A10546" t="str">
        <f>"0611863828100"</f>
        <v>0611863828100</v>
      </c>
      <c r="B10546" t="str">
        <f>"CN5335"</f>
        <v>CN5335</v>
      </c>
      <c r="C10546" t="s">
        <v>47652</v>
      </c>
      <c r="D10546" t="s">
        <v>27339</v>
      </c>
      <c r="E10546" t="str">
        <f t="shared" si="164"/>
        <v>001390</v>
      </c>
      <c r="F10546" t="s">
        <v>27246</v>
      </c>
      <c r="G10546" t="s">
        <v>27247</v>
      </c>
      <c r="H10546" t="s">
        <v>27248</v>
      </c>
      <c r="I10546" t="s">
        <v>47653</v>
      </c>
      <c r="J10546" t="s">
        <v>21100</v>
      </c>
      <c r="L10546" t="s">
        <v>27250</v>
      </c>
      <c r="M10546" t="s">
        <v>27251</v>
      </c>
      <c r="N10546" t="s">
        <v>27252</v>
      </c>
      <c r="P10546" t="s">
        <v>27341</v>
      </c>
      <c r="Q10546" s="1">
        <v>44846</v>
      </c>
      <c r="R10546" t="s">
        <v>27253</v>
      </c>
      <c r="S10546" t="s">
        <v>27254</v>
      </c>
      <c r="T10546" t="s">
        <v>27255</v>
      </c>
    </row>
    <row r="10547" spans="1:20" x14ac:dyDescent="0.3">
      <c r="A10547" t="str">
        <f>"0611863829100"</f>
        <v>0611863829100</v>
      </c>
      <c r="B10547" t="str">
        <f>"CN5336"</f>
        <v>CN5336</v>
      </c>
      <c r="C10547" t="s">
        <v>47654</v>
      </c>
      <c r="D10547" t="s">
        <v>27339</v>
      </c>
      <c r="E10547" t="str">
        <f t="shared" si="164"/>
        <v>001390</v>
      </c>
      <c r="F10547" t="s">
        <v>27246</v>
      </c>
      <c r="G10547" t="s">
        <v>27247</v>
      </c>
      <c r="H10547" t="s">
        <v>27248</v>
      </c>
      <c r="I10547" t="s">
        <v>47655</v>
      </c>
      <c r="J10547" t="s">
        <v>21102</v>
      </c>
      <c r="L10547" t="s">
        <v>27250</v>
      </c>
      <c r="M10547" t="s">
        <v>27251</v>
      </c>
      <c r="N10547" t="s">
        <v>27252</v>
      </c>
      <c r="P10547" t="s">
        <v>27341</v>
      </c>
      <c r="Q10547" s="1">
        <v>44846</v>
      </c>
      <c r="R10547" t="s">
        <v>27253</v>
      </c>
      <c r="S10547" t="s">
        <v>27254</v>
      </c>
      <c r="T10547" t="s">
        <v>27255</v>
      </c>
    </row>
    <row r="10548" spans="1:20" x14ac:dyDescent="0.3">
      <c r="A10548" t="str">
        <f>"0611863830050"</f>
        <v>0611863830050</v>
      </c>
      <c r="B10548" t="str">
        <f>"CR3831"</f>
        <v>CR3831</v>
      </c>
      <c r="C10548" t="s">
        <v>47656</v>
      </c>
      <c r="D10548" t="s">
        <v>27271</v>
      </c>
      <c r="E10548" t="str">
        <f t="shared" si="164"/>
        <v>001390</v>
      </c>
      <c r="F10548" t="s">
        <v>27246</v>
      </c>
      <c r="G10548" t="s">
        <v>27247</v>
      </c>
      <c r="H10548" t="s">
        <v>27248</v>
      </c>
      <c r="I10548" t="s">
        <v>47657</v>
      </c>
      <c r="J10548" t="s">
        <v>21104</v>
      </c>
      <c r="L10548" t="s">
        <v>27250</v>
      </c>
      <c r="M10548" t="s">
        <v>27251</v>
      </c>
      <c r="N10548" t="s">
        <v>27252</v>
      </c>
      <c r="P10548" t="s">
        <v>27341</v>
      </c>
      <c r="Q10548" s="1">
        <v>44846</v>
      </c>
      <c r="R10548" t="s">
        <v>27253</v>
      </c>
      <c r="S10548" t="s">
        <v>27254</v>
      </c>
      <c r="T10548" t="s">
        <v>27265</v>
      </c>
    </row>
    <row r="10549" spans="1:20" x14ac:dyDescent="0.3">
      <c r="A10549" t="str">
        <f>"0611863831100"</f>
        <v>0611863831100</v>
      </c>
      <c r="B10549" t="str">
        <f>"CN5337"</f>
        <v>CN5337</v>
      </c>
      <c r="C10549" t="s">
        <v>47658</v>
      </c>
      <c r="D10549" t="s">
        <v>27339</v>
      </c>
      <c r="E10549" t="str">
        <f t="shared" si="164"/>
        <v>001390</v>
      </c>
      <c r="F10549" t="s">
        <v>27246</v>
      </c>
      <c r="G10549" t="s">
        <v>27247</v>
      </c>
      <c r="H10549" t="s">
        <v>27248</v>
      </c>
      <c r="I10549" t="s">
        <v>47659</v>
      </c>
      <c r="J10549" t="s">
        <v>21106</v>
      </c>
      <c r="L10549" t="s">
        <v>27250</v>
      </c>
      <c r="M10549" t="s">
        <v>27251</v>
      </c>
      <c r="N10549" t="s">
        <v>27252</v>
      </c>
      <c r="P10549" t="s">
        <v>27341</v>
      </c>
      <c r="Q10549" s="1">
        <v>44846</v>
      </c>
      <c r="R10549" t="s">
        <v>27253</v>
      </c>
      <c r="S10549" t="s">
        <v>27254</v>
      </c>
      <c r="T10549" t="s">
        <v>27255</v>
      </c>
    </row>
    <row r="10550" spans="1:20" x14ac:dyDescent="0.3">
      <c r="A10550" t="str">
        <f>"0611863832100"</f>
        <v>0611863832100</v>
      </c>
      <c r="B10550" t="str">
        <f>"CN5338"</f>
        <v>CN5338</v>
      </c>
      <c r="C10550" t="s">
        <v>47660</v>
      </c>
      <c r="D10550" t="s">
        <v>27339</v>
      </c>
      <c r="E10550" t="str">
        <f t="shared" si="164"/>
        <v>001390</v>
      </c>
      <c r="F10550" t="s">
        <v>27246</v>
      </c>
      <c r="G10550" t="s">
        <v>27247</v>
      </c>
      <c r="H10550" t="s">
        <v>27248</v>
      </c>
      <c r="I10550" t="s">
        <v>47661</v>
      </c>
      <c r="J10550" t="s">
        <v>21108</v>
      </c>
      <c r="L10550" t="s">
        <v>27250</v>
      </c>
      <c r="M10550" t="s">
        <v>27251</v>
      </c>
      <c r="N10550" t="s">
        <v>27252</v>
      </c>
      <c r="P10550" t="s">
        <v>27341</v>
      </c>
      <c r="Q10550" s="1">
        <v>44846</v>
      </c>
      <c r="R10550" t="s">
        <v>27253</v>
      </c>
      <c r="S10550" t="s">
        <v>27254</v>
      </c>
      <c r="T10550" t="s">
        <v>27255</v>
      </c>
    </row>
    <row r="10551" spans="1:20" x14ac:dyDescent="0.3">
      <c r="A10551" t="str">
        <f>"0611838461100"</f>
        <v>0611838461100</v>
      </c>
      <c r="B10551" t="str">
        <f>"LH8876"</f>
        <v>LH8876</v>
      </c>
      <c r="C10551" t="s">
        <v>47662</v>
      </c>
      <c r="D10551" t="s">
        <v>27552</v>
      </c>
      <c r="E10551" t="str">
        <f t="shared" si="164"/>
        <v>001390</v>
      </c>
      <c r="F10551" t="s">
        <v>27246</v>
      </c>
      <c r="G10551" t="s">
        <v>27247</v>
      </c>
      <c r="H10551" t="s">
        <v>27248</v>
      </c>
      <c r="I10551" t="s">
        <v>47663</v>
      </c>
      <c r="J10551" t="s">
        <v>21110</v>
      </c>
      <c r="L10551" t="s">
        <v>27250</v>
      </c>
      <c r="M10551" t="s">
        <v>27251</v>
      </c>
      <c r="N10551" t="s">
        <v>27252</v>
      </c>
      <c r="P10551" t="s">
        <v>27341</v>
      </c>
      <c r="Q10551" s="1">
        <v>44538</v>
      </c>
      <c r="R10551" t="s">
        <v>27253</v>
      </c>
      <c r="S10551" t="s">
        <v>27254</v>
      </c>
      <c r="T10551" t="s">
        <v>27255</v>
      </c>
    </row>
    <row r="10552" spans="1:20" x14ac:dyDescent="0.3">
      <c r="A10552" t="str">
        <f>"0611863833100"</f>
        <v>0611863833100</v>
      </c>
      <c r="B10552" t="str">
        <f>"CN5339"</f>
        <v>CN5339</v>
      </c>
      <c r="C10552" t="s">
        <v>47664</v>
      </c>
      <c r="D10552" t="s">
        <v>27339</v>
      </c>
      <c r="E10552" t="str">
        <f t="shared" si="164"/>
        <v>001390</v>
      </c>
      <c r="F10552" t="s">
        <v>27246</v>
      </c>
      <c r="G10552" t="s">
        <v>27247</v>
      </c>
      <c r="H10552" t="s">
        <v>27248</v>
      </c>
      <c r="I10552" t="s">
        <v>47665</v>
      </c>
      <c r="J10552" t="s">
        <v>21112</v>
      </c>
      <c r="L10552" t="s">
        <v>27250</v>
      </c>
      <c r="M10552" t="s">
        <v>27251</v>
      </c>
      <c r="N10552" t="s">
        <v>27252</v>
      </c>
      <c r="P10552" t="s">
        <v>27341</v>
      </c>
      <c r="Q10552" s="1">
        <v>44846</v>
      </c>
      <c r="R10552" t="s">
        <v>27253</v>
      </c>
      <c r="S10552" t="s">
        <v>27254</v>
      </c>
      <c r="T10552" t="s">
        <v>27255</v>
      </c>
    </row>
    <row r="10553" spans="1:20" x14ac:dyDescent="0.3">
      <c r="A10553" t="str">
        <f>"0611863834050"</f>
        <v>0611863834050</v>
      </c>
      <c r="B10553" t="str">
        <f>"CR3832"</f>
        <v>CR3832</v>
      </c>
      <c r="C10553" t="s">
        <v>47666</v>
      </c>
      <c r="D10553" t="s">
        <v>27271</v>
      </c>
      <c r="E10553" t="str">
        <f t="shared" si="164"/>
        <v>001390</v>
      </c>
      <c r="F10553" t="s">
        <v>27246</v>
      </c>
      <c r="G10553" t="s">
        <v>27247</v>
      </c>
      <c r="H10553" t="s">
        <v>27248</v>
      </c>
      <c r="I10553" t="s">
        <v>47667</v>
      </c>
      <c r="J10553" t="s">
        <v>21114</v>
      </c>
      <c r="L10553" t="s">
        <v>27250</v>
      </c>
      <c r="M10553" t="s">
        <v>27251</v>
      </c>
      <c r="N10553" t="s">
        <v>27252</v>
      </c>
      <c r="P10553" t="s">
        <v>27341</v>
      </c>
      <c r="Q10553" s="1">
        <v>44846</v>
      </c>
      <c r="R10553" t="s">
        <v>27253</v>
      </c>
      <c r="S10553" t="s">
        <v>27254</v>
      </c>
      <c r="T10553" t="s">
        <v>27265</v>
      </c>
    </row>
    <row r="10554" spans="1:20" x14ac:dyDescent="0.3">
      <c r="A10554" t="str">
        <f>"0611838462025"</f>
        <v>0611838462025</v>
      </c>
      <c r="B10554" t="str">
        <f>"MC0601"</f>
        <v>MC0601</v>
      </c>
      <c r="C10554" t="s">
        <v>47668</v>
      </c>
      <c r="D10554" t="s">
        <v>27267</v>
      </c>
      <c r="E10554" t="str">
        <f t="shared" si="164"/>
        <v>001390</v>
      </c>
      <c r="F10554" t="s">
        <v>27246</v>
      </c>
      <c r="G10554" t="s">
        <v>27247</v>
      </c>
      <c r="H10554" t="s">
        <v>27248</v>
      </c>
      <c r="I10554" t="s">
        <v>47669</v>
      </c>
      <c r="J10554" t="s">
        <v>21116</v>
      </c>
      <c r="L10554" t="s">
        <v>27250</v>
      </c>
      <c r="M10554" t="s">
        <v>27251</v>
      </c>
      <c r="N10554" t="s">
        <v>27252</v>
      </c>
      <c r="Q10554" s="1">
        <v>44538</v>
      </c>
      <c r="R10554" t="s">
        <v>27253</v>
      </c>
      <c r="S10554" t="s">
        <v>27254</v>
      </c>
      <c r="T10554" t="s">
        <v>27269</v>
      </c>
    </row>
    <row r="10555" spans="1:20" x14ac:dyDescent="0.3">
      <c r="A10555" t="str">
        <f>"0611838463025"</f>
        <v>0611838463025</v>
      </c>
      <c r="B10555" t="str">
        <f>"MQ0728"</f>
        <v>MQ0728</v>
      </c>
      <c r="C10555" t="s">
        <v>47670</v>
      </c>
      <c r="D10555" t="s">
        <v>27267</v>
      </c>
      <c r="E10555" t="str">
        <f t="shared" si="164"/>
        <v>001390</v>
      </c>
      <c r="F10555" t="s">
        <v>27246</v>
      </c>
      <c r="G10555" t="s">
        <v>27247</v>
      </c>
      <c r="H10555" t="s">
        <v>27248</v>
      </c>
      <c r="I10555" t="s">
        <v>47671</v>
      </c>
      <c r="J10555" t="s">
        <v>21118</v>
      </c>
      <c r="L10555" t="s">
        <v>27250</v>
      </c>
      <c r="M10555" t="s">
        <v>27251</v>
      </c>
      <c r="N10555" t="s">
        <v>27252</v>
      </c>
      <c r="Q10555" s="1">
        <v>44538</v>
      </c>
      <c r="R10555" t="s">
        <v>27253</v>
      </c>
      <c r="S10555" t="s">
        <v>27254</v>
      </c>
      <c r="T10555" t="s">
        <v>27269</v>
      </c>
    </row>
    <row r="10556" spans="1:20" x14ac:dyDescent="0.3">
      <c r="A10556" t="str">
        <f>"0611838464025"</f>
        <v>0611838464025</v>
      </c>
      <c r="B10556" t="str">
        <f>"MQ0729"</f>
        <v>MQ0729</v>
      </c>
      <c r="C10556" t="s">
        <v>47672</v>
      </c>
      <c r="D10556" t="s">
        <v>27267</v>
      </c>
      <c r="E10556" t="str">
        <f t="shared" si="164"/>
        <v>001390</v>
      </c>
      <c r="F10556" t="s">
        <v>27246</v>
      </c>
      <c r="G10556" t="s">
        <v>27247</v>
      </c>
      <c r="H10556" t="s">
        <v>27248</v>
      </c>
      <c r="I10556" t="s">
        <v>47673</v>
      </c>
      <c r="J10556" t="s">
        <v>21120</v>
      </c>
      <c r="L10556" t="s">
        <v>27250</v>
      </c>
      <c r="M10556" t="s">
        <v>27251</v>
      </c>
      <c r="N10556" t="s">
        <v>27252</v>
      </c>
      <c r="Q10556" s="1">
        <v>44538</v>
      </c>
      <c r="R10556" t="s">
        <v>27253</v>
      </c>
      <c r="S10556" t="s">
        <v>27254</v>
      </c>
      <c r="T10556" t="s">
        <v>27269</v>
      </c>
    </row>
    <row r="10557" spans="1:20" x14ac:dyDescent="0.3">
      <c r="A10557" t="str">
        <f>"0611838465025"</f>
        <v>0611838465025</v>
      </c>
      <c r="B10557" t="str">
        <f>"MQ0653"</f>
        <v>MQ0653</v>
      </c>
      <c r="C10557" t="s">
        <v>47674</v>
      </c>
      <c r="D10557" t="s">
        <v>27267</v>
      </c>
      <c r="E10557" t="str">
        <f t="shared" si="164"/>
        <v>001390</v>
      </c>
      <c r="F10557" t="s">
        <v>27246</v>
      </c>
      <c r="G10557" t="s">
        <v>27247</v>
      </c>
      <c r="H10557" t="s">
        <v>27248</v>
      </c>
      <c r="I10557" t="s">
        <v>47675</v>
      </c>
      <c r="J10557" t="s">
        <v>21122</v>
      </c>
      <c r="L10557" t="s">
        <v>27250</v>
      </c>
      <c r="M10557" t="s">
        <v>27251</v>
      </c>
      <c r="N10557" t="s">
        <v>27252</v>
      </c>
      <c r="Q10557" s="1">
        <v>44538</v>
      </c>
      <c r="R10557" t="s">
        <v>27253</v>
      </c>
      <c r="S10557" t="s">
        <v>27254</v>
      </c>
      <c r="T10557" t="s">
        <v>27269</v>
      </c>
    </row>
    <row r="10558" spans="1:20" x14ac:dyDescent="0.3">
      <c r="A10558" t="str">
        <f>"0611838466025"</f>
        <v>0611838466025</v>
      </c>
      <c r="B10558" t="str">
        <f>"MQ0654"</f>
        <v>MQ0654</v>
      </c>
      <c r="C10558" t="s">
        <v>47676</v>
      </c>
      <c r="D10558" t="s">
        <v>27267</v>
      </c>
      <c r="E10558" t="str">
        <f t="shared" si="164"/>
        <v>001390</v>
      </c>
      <c r="F10558" t="s">
        <v>27246</v>
      </c>
      <c r="G10558" t="s">
        <v>27247</v>
      </c>
      <c r="H10558" t="s">
        <v>27248</v>
      </c>
      <c r="I10558" t="s">
        <v>47677</v>
      </c>
      <c r="J10558" t="s">
        <v>21124</v>
      </c>
      <c r="L10558" t="s">
        <v>27250</v>
      </c>
      <c r="M10558" t="s">
        <v>27251</v>
      </c>
      <c r="N10558" t="s">
        <v>27252</v>
      </c>
      <c r="Q10558" s="1">
        <v>44538</v>
      </c>
      <c r="R10558" t="s">
        <v>27253</v>
      </c>
      <c r="S10558" t="s">
        <v>27254</v>
      </c>
      <c r="T10558" t="s">
        <v>27269</v>
      </c>
    </row>
    <row r="10559" spans="1:20" x14ac:dyDescent="0.3">
      <c r="A10559" t="str">
        <f>"0611838467025"</f>
        <v>0611838467025</v>
      </c>
      <c r="B10559" t="str">
        <f>"MQ0655"</f>
        <v>MQ0655</v>
      </c>
      <c r="C10559" t="s">
        <v>47678</v>
      </c>
      <c r="D10559" t="s">
        <v>27267</v>
      </c>
      <c r="E10559" t="str">
        <f t="shared" si="164"/>
        <v>001390</v>
      </c>
      <c r="F10559" t="s">
        <v>27246</v>
      </c>
      <c r="G10559" t="s">
        <v>27247</v>
      </c>
      <c r="H10559" t="s">
        <v>27248</v>
      </c>
      <c r="I10559" t="s">
        <v>47679</v>
      </c>
      <c r="J10559" t="s">
        <v>21126</v>
      </c>
      <c r="L10559" t="s">
        <v>27250</v>
      </c>
      <c r="M10559" t="s">
        <v>27251</v>
      </c>
      <c r="N10559" t="s">
        <v>27252</v>
      </c>
      <c r="Q10559" s="1">
        <v>44538</v>
      </c>
      <c r="R10559" t="s">
        <v>27253</v>
      </c>
      <c r="S10559" t="s">
        <v>27254</v>
      </c>
      <c r="T10559" t="s">
        <v>27269</v>
      </c>
    </row>
    <row r="10560" spans="1:20" x14ac:dyDescent="0.3">
      <c r="A10560" t="str">
        <f>"0611838468025"</f>
        <v>0611838468025</v>
      </c>
      <c r="B10560" t="str">
        <f>"MQ0656"</f>
        <v>MQ0656</v>
      </c>
      <c r="C10560" t="s">
        <v>47680</v>
      </c>
      <c r="D10560" t="s">
        <v>27267</v>
      </c>
      <c r="E10560" t="str">
        <f t="shared" si="164"/>
        <v>001390</v>
      </c>
      <c r="F10560" t="s">
        <v>27246</v>
      </c>
      <c r="G10560" t="s">
        <v>27247</v>
      </c>
      <c r="H10560" t="s">
        <v>27248</v>
      </c>
      <c r="I10560" t="s">
        <v>47681</v>
      </c>
      <c r="J10560" t="s">
        <v>21128</v>
      </c>
      <c r="L10560" t="s">
        <v>27250</v>
      </c>
      <c r="M10560" t="s">
        <v>27251</v>
      </c>
      <c r="N10560" t="s">
        <v>27252</v>
      </c>
      <c r="Q10560" s="1">
        <v>44538</v>
      </c>
      <c r="R10560" t="s">
        <v>27253</v>
      </c>
      <c r="S10560" t="s">
        <v>27254</v>
      </c>
      <c r="T10560" t="s">
        <v>27269</v>
      </c>
    </row>
    <row r="10561" spans="1:20" x14ac:dyDescent="0.3">
      <c r="A10561" t="str">
        <f>"0611863835050"</f>
        <v>0611863835050</v>
      </c>
      <c r="B10561" t="str">
        <f>"CR3824"</f>
        <v>CR3824</v>
      </c>
      <c r="C10561" t="s">
        <v>47682</v>
      </c>
      <c r="D10561" t="s">
        <v>27263</v>
      </c>
      <c r="E10561" t="str">
        <f t="shared" si="164"/>
        <v>001390</v>
      </c>
      <c r="F10561" t="s">
        <v>27246</v>
      </c>
      <c r="G10561" t="s">
        <v>27247</v>
      </c>
      <c r="H10561" t="s">
        <v>27248</v>
      </c>
      <c r="I10561" t="s">
        <v>47683</v>
      </c>
      <c r="J10561" t="s">
        <v>21130</v>
      </c>
      <c r="L10561" t="s">
        <v>27250</v>
      </c>
      <c r="M10561" t="s">
        <v>27251</v>
      </c>
      <c r="N10561" t="s">
        <v>27252</v>
      </c>
      <c r="Q10561" s="1">
        <v>44846</v>
      </c>
      <c r="R10561" t="s">
        <v>27253</v>
      </c>
      <c r="S10561" t="s">
        <v>27254</v>
      </c>
      <c r="T10561" t="s">
        <v>27265</v>
      </c>
    </row>
    <row r="10562" spans="1:20" x14ac:dyDescent="0.3">
      <c r="A10562" t="str">
        <f>"0611863836050"</f>
        <v>0611863836050</v>
      </c>
      <c r="B10562" t="str">
        <f>"CR3825"</f>
        <v>CR3825</v>
      </c>
      <c r="C10562" t="s">
        <v>47684</v>
      </c>
      <c r="D10562" t="s">
        <v>27263</v>
      </c>
      <c r="E10562" t="str">
        <f t="shared" ref="E10562:E10625" si="165">"001390"</f>
        <v>001390</v>
      </c>
      <c r="F10562" t="s">
        <v>27246</v>
      </c>
      <c r="G10562" t="s">
        <v>27247</v>
      </c>
      <c r="H10562" t="s">
        <v>27248</v>
      </c>
      <c r="I10562" t="s">
        <v>47685</v>
      </c>
      <c r="J10562" t="s">
        <v>21132</v>
      </c>
      <c r="L10562" t="s">
        <v>27250</v>
      </c>
      <c r="M10562" t="s">
        <v>27251</v>
      </c>
      <c r="N10562" t="s">
        <v>27252</v>
      </c>
      <c r="Q10562" s="1">
        <v>44846</v>
      </c>
      <c r="R10562" t="s">
        <v>27253</v>
      </c>
      <c r="S10562" t="s">
        <v>27254</v>
      </c>
      <c r="T10562" t="s">
        <v>27265</v>
      </c>
    </row>
    <row r="10563" spans="1:20" x14ac:dyDescent="0.3">
      <c r="A10563" t="str">
        <f>"0611884402025"</f>
        <v>0611884402025</v>
      </c>
      <c r="B10563" t="str">
        <f>"MQ0843"</f>
        <v>MQ0843</v>
      </c>
      <c r="C10563" t="s">
        <v>47686</v>
      </c>
      <c r="D10563" t="s">
        <v>27267</v>
      </c>
      <c r="E10563" t="str">
        <f t="shared" si="165"/>
        <v>001390</v>
      </c>
      <c r="F10563" t="s">
        <v>27246</v>
      </c>
      <c r="G10563" t="s">
        <v>27247</v>
      </c>
      <c r="H10563" t="s">
        <v>27248</v>
      </c>
      <c r="I10563" t="s">
        <v>47687</v>
      </c>
      <c r="J10563" t="s">
        <v>21134</v>
      </c>
      <c r="L10563" t="s">
        <v>27430</v>
      </c>
      <c r="M10563" t="s">
        <v>27251</v>
      </c>
      <c r="N10563" t="s">
        <v>27252</v>
      </c>
      <c r="Q10563" s="1">
        <v>45250</v>
      </c>
      <c r="R10563" t="s">
        <v>27253</v>
      </c>
      <c r="S10563" t="s">
        <v>27254</v>
      </c>
      <c r="T10563" t="s">
        <v>27269</v>
      </c>
    </row>
    <row r="10564" spans="1:20" x14ac:dyDescent="0.3">
      <c r="A10564" t="str">
        <f>"0611838469025"</f>
        <v>0611838469025</v>
      </c>
      <c r="B10564" t="str">
        <f>"MQ0430"</f>
        <v>MQ0430</v>
      </c>
      <c r="C10564" t="s">
        <v>47688</v>
      </c>
      <c r="D10564" t="s">
        <v>28057</v>
      </c>
      <c r="E10564" t="str">
        <f t="shared" si="165"/>
        <v>001390</v>
      </c>
      <c r="F10564" t="s">
        <v>27246</v>
      </c>
      <c r="G10564" t="s">
        <v>27247</v>
      </c>
      <c r="H10564" t="s">
        <v>27248</v>
      </c>
      <c r="I10564" t="s">
        <v>47689</v>
      </c>
      <c r="J10564" t="s">
        <v>21136</v>
      </c>
      <c r="L10564" t="s">
        <v>27250</v>
      </c>
      <c r="M10564" t="s">
        <v>27251</v>
      </c>
      <c r="N10564" t="s">
        <v>27252</v>
      </c>
      <c r="P10564" t="s">
        <v>27925</v>
      </c>
      <c r="Q10564" s="1">
        <v>44538</v>
      </c>
      <c r="R10564" t="s">
        <v>27253</v>
      </c>
      <c r="S10564" t="s">
        <v>27254</v>
      </c>
      <c r="T10564" t="s">
        <v>27269</v>
      </c>
    </row>
    <row r="10565" spans="1:20" x14ac:dyDescent="0.3">
      <c r="A10565" t="str">
        <f>"0611863837050"</f>
        <v>0611863837050</v>
      </c>
      <c r="B10565" t="str">
        <f>"CE1717"</f>
        <v>CE1717</v>
      </c>
      <c r="C10565" t="s">
        <v>47690</v>
      </c>
      <c r="D10565" t="s">
        <v>27923</v>
      </c>
      <c r="E10565" t="str">
        <f t="shared" si="165"/>
        <v>001390</v>
      </c>
      <c r="F10565" t="s">
        <v>27246</v>
      </c>
      <c r="G10565" t="s">
        <v>27247</v>
      </c>
      <c r="H10565" t="s">
        <v>27248</v>
      </c>
      <c r="I10565" t="s">
        <v>47691</v>
      </c>
      <c r="J10565" t="s">
        <v>21138</v>
      </c>
      <c r="L10565" t="s">
        <v>27250</v>
      </c>
      <c r="M10565" t="s">
        <v>27251</v>
      </c>
      <c r="N10565" t="s">
        <v>27252</v>
      </c>
      <c r="P10565" t="s">
        <v>27925</v>
      </c>
      <c r="Q10565" s="1">
        <v>44846</v>
      </c>
      <c r="R10565" t="s">
        <v>27253</v>
      </c>
      <c r="S10565" t="s">
        <v>27254</v>
      </c>
      <c r="T10565" t="s">
        <v>27265</v>
      </c>
    </row>
    <row r="10566" spans="1:20" x14ac:dyDescent="0.3">
      <c r="A10566" t="str">
        <f>"0611838470025"</f>
        <v>0611838470025</v>
      </c>
      <c r="B10566" t="str">
        <f>"MQ0431"</f>
        <v>MQ0431</v>
      </c>
      <c r="C10566" t="s">
        <v>47692</v>
      </c>
      <c r="D10566" t="s">
        <v>28057</v>
      </c>
      <c r="E10566" t="str">
        <f t="shared" si="165"/>
        <v>001390</v>
      </c>
      <c r="F10566" t="s">
        <v>27246</v>
      </c>
      <c r="G10566" t="s">
        <v>27247</v>
      </c>
      <c r="H10566" t="s">
        <v>27248</v>
      </c>
      <c r="I10566" t="s">
        <v>47693</v>
      </c>
      <c r="J10566" t="s">
        <v>21140</v>
      </c>
      <c r="L10566" t="s">
        <v>27250</v>
      </c>
      <c r="M10566" t="s">
        <v>27251</v>
      </c>
      <c r="N10566" t="s">
        <v>27252</v>
      </c>
      <c r="P10566" t="s">
        <v>27925</v>
      </c>
      <c r="Q10566" s="1">
        <v>44538</v>
      </c>
      <c r="R10566" t="s">
        <v>27253</v>
      </c>
      <c r="S10566" t="s">
        <v>27254</v>
      </c>
      <c r="T10566" t="s">
        <v>27269</v>
      </c>
    </row>
    <row r="10567" spans="1:20" x14ac:dyDescent="0.3">
      <c r="A10567" t="str">
        <f>"0611863838050"</f>
        <v>0611863838050</v>
      </c>
      <c r="B10567" t="str">
        <f>"CE1715"</f>
        <v>CE1715</v>
      </c>
      <c r="C10567" t="s">
        <v>47692</v>
      </c>
      <c r="D10567" t="s">
        <v>27923</v>
      </c>
      <c r="E10567" t="str">
        <f t="shared" si="165"/>
        <v>001390</v>
      </c>
      <c r="F10567" t="s">
        <v>27246</v>
      </c>
      <c r="G10567" t="s">
        <v>27247</v>
      </c>
      <c r="H10567" t="s">
        <v>27248</v>
      </c>
      <c r="I10567" t="s">
        <v>47694</v>
      </c>
      <c r="J10567" t="s">
        <v>21142</v>
      </c>
      <c r="L10567" t="s">
        <v>27250</v>
      </c>
      <c r="M10567" t="s">
        <v>27251</v>
      </c>
      <c r="N10567" t="s">
        <v>27252</v>
      </c>
      <c r="P10567" t="s">
        <v>27925</v>
      </c>
      <c r="Q10567" s="1">
        <v>44846</v>
      </c>
      <c r="R10567" t="s">
        <v>27253</v>
      </c>
      <c r="S10567" t="s">
        <v>27254</v>
      </c>
      <c r="T10567" t="s">
        <v>27265</v>
      </c>
    </row>
    <row r="10568" spans="1:20" x14ac:dyDescent="0.3">
      <c r="A10568" t="str">
        <f>"0611863839050"</f>
        <v>0611863839050</v>
      </c>
      <c r="B10568" t="str">
        <f>"CE1018"</f>
        <v>CE1018</v>
      </c>
      <c r="C10568" t="s">
        <v>47695</v>
      </c>
      <c r="D10568" t="s">
        <v>27923</v>
      </c>
      <c r="E10568" t="str">
        <f t="shared" si="165"/>
        <v>001390</v>
      </c>
      <c r="F10568" t="s">
        <v>27246</v>
      </c>
      <c r="G10568" t="s">
        <v>27247</v>
      </c>
      <c r="H10568" t="s">
        <v>27248</v>
      </c>
      <c r="I10568" t="s">
        <v>47696</v>
      </c>
      <c r="J10568" t="s">
        <v>21144</v>
      </c>
      <c r="L10568" t="s">
        <v>27250</v>
      </c>
      <c r="M10568" t="s">
        <v>27251</v>
      </c>
      <c r="N10568" t="s">
        <v>27252</v>
      </c>
      <c r="P10568" t="s">
        <v>27925</v>
      </c>
      <c r="Q10568" s="1">
        <v>44846</v>
      </c>
      <c r="R10568" t="s">
        <v>27253</v>
      </c>
      <c r="S10568" t="s">
        <v>27254</v>
      </c>
      <c r="T10568" t="s">
        <v>27265</v>
      </c>
    </row>
    <row r="10569" spans="1:20" x14ac:dyDescent="0.3">
      <c r="A10569" t="str">
        <f>"0611838471025"</f>
        <v>0611838471025</v>
      </c>
      <c r="B10569" t="str">
        <f>"MQ0432"</f>
        <v>MQ0432</v>
      </c>
      <c r="C10569" t="s">
        <v>47697</v>
      </c>
      <c r="D10569" t="s">
        <v>28057</v>
      </c>
      <c r="E10569" t="str">
        <f t="shared" si="165"/>
        <v>001390</v>
      </c>
      <c r="F10569" t="s">
        <v>27246</v>
      </c>
      <c r="G10569" t="s">
        <v>27247</v>
      </c>
      <c r="H10569" t="s">
        <v>27248</v>
      </c>
      <c r="I10569" t="s">
        <v>47698</v>
      </c>
      <c r="J10569" t="s">
        <v>21146</v>
      </c>
      <c r="L10569" t="s">
        <v>27250</v>
      </c>
      <c r="M10569" t="s">
        <v>27251</v>
      </c>
      <c r="N10569" t="s">
        <v>27252</v>
      </c>
      <c r="P10569" t="s">
        <v>27925</v>
      </c>
      <c r="Q10569" s="1">
        <v>44538</v>
      </c>
      <c r="R10569" t="s">
        <v>27253</v>
      </c>
      <c r="S10569" t="s">
        <v>27254</v>
      </c>
      <c r="T10569" t="s">
        <v>27269</v>
      </c>
    </row>
    <row r="10570" spans="1:20" x14ac:dyDescent="0.3">
      <c r="A10570" t="str">
        <f>"0611863840050"</f>
        <v>0611863840050</v>
      </c>
      <c r="B10570" t="str">
        <f>"CE1019"</f>
        <v>CE1019</v>
      </c>
      <c r="C10570" t="s">
        <v>47699</v>
      </c>
      <c r="D10570" t="s">
        <v>27923</v>
      </c>
      <c r="E10570" t="str">
        <f t="shared" si="165"/>
        <v>001390</v>
      </c>
      <c r="F10570" t="s">
        <v>27246</v>
      </c>
      <c r="G10570" t="s">
        <v>27247</v>
      </c>
      <c r="H10570" t="s">
        <v>27248</v>
      </c>
      <c r="I10570" t="s">
        <v>47700</v>
      </c>
      <c r="J10570" t="s">
        <v>21148</v>
      </c>
      <c r="L10570" t="s">
        <v>27250</v>
      </c>
      <c r="M10570" t="s">
        <v>27251</v>
      </c>
      <c r="N10570" t="s">
        <v>27252</v>
      </c>
      <c r="P10570" t="s">
        <v>27925</v>
      </c>
      <c r="Q10570" s="1">
        <v>44846</v>
      </c>
      <c r="R10570" t="s">
        <v>27253</v>
      </c>
      <c r="S10570" t="s">
        <v>27254</v>
      </c>
      <c r="T10570" t="s">
        <v>27265</v>
      </c>
    </row>
    <row r="10571" spans="1:20" x14ac:dyDescent="0.3">
      <c r="A10571" t="str">
        <f>"0611838472025"</f>
        <v>0611838472025</v>
      </c>
      <c r="B10571" t="str">
        <f>"MQ0433"</f>
        <v>MQ0433</v>
      </c>
      <c r="C10571" t="s">
        <v>47701</v>
      </c>
      <c r="D10571" t="s">
        <v>28057</v>
      </c>
      <c r="E10571" t="str">
        <f t="shared" si="165"/>
        <v>001390</v>
      </c>
      <c r="F10571" t="s">
        <v>27246</v>
      </c>
      <c r="G10571" t="s">
        <v>27247</v>
      </c>
      <c r="H10571" t="s">
        <v>27248</v>
      </c>
      <c r="I10571" t="s">
        <v>47702</v>
      </c>
      <c r="J10571" t="s">
        <v>21150</v>
      </c>
      <c r="L10571" t="s">
        <v>27250</v>
      </c>
      <c r="M10571" t="s">
        <v>27251</v>
      </c>
      <c r="N10571" t="s">
        <v>27252</v>
      </c>
      <c r="P10571" t="s">
        <v>27925</v>
      </c>
      <c r="Q10571" s="1">
        <v>44538</v>
      </c>
      <c r="R10571" t="s">
        <v>27253</v>
      </c>
      <c r="S10571" t="s">
        <v>27254</v>
      </c>
      <c r="T10571" t="s">
        <v>27269</v>
      </c>
    </row>
    <row r="10572" spans="1:20" x14ac:dyDescent="0.3">
      <c r="A10572" t="str">
        <f>"0611838473025"</f>
        <v>0611838473025</v>
      </c>
      <c r="B10572" t="str">
        <f>"MQ0444"</f>
        <v>MQ0444</v>
      </c>
      <c r="C10572" t="s">
        <v>47703</v>
      </c>
      <c r="D10572" t="s">
        <v>28057</v>
      </c>
      <c r="E10572" t="str">
        <f t="shared" si="165"/>
        <v>001390</v>
      </c>
      <c r="F10572" t="s">
        <v>27246</v>
      </c>
      <c r="G10572" t="s">
        <v>27247</v>
      </c>
      <c r="H10572" t="s">
        <v>27248</v>
      </c>
      <c r="I10572" t="s">
        <v>47704</v>
      </c>
      <c r="J10572" t="s">
        <v>21152</v>
      </c>
      <c r="L10572" t="s">
        <v>27250</v>
      </c>
      <c r="M10572" t="s">
        <v>27251</v>
      </c>
      <c r="N10572" t="s">
        <v>27252</v>
      </c>
      <c r="P10572" t="s">
        <v>27925</v>
      </c>
      <c r="Q10572" s="1">
        <v>44538</v>
      </c>
      <c r="R10572" t="s">
        <v>27253</v>
      </c>
      <c r="S10572" t="s">
        <v>27254</v>
      </c>
      <c r="T10572" t="s">
        <v>27269</v>
      </c>
    </row>
    <row r="10573" spans="1:20" x14ac:dyDescent="0.3">
      <c r="A10573" t="str">
        <f>"0611863841050"</f>
        <v>0611863841050</v>
      </c>
      <c r="B10573" t="str">
        <f>"CE1713"</f>
        <v>CE1713</v>
      </c>
      <c r="C10573" t="s">
        <v>47705</v>
      </c>
      <c r="D10573" t="s">
        <v>27923</v>
      </c>
      <c r="E10573" t="str">
        <f t="shared" si="165"/>
        <v>001390</v>
      </c>
      <c r="F10573" t="s">
        <v>27246</v>
      </c>
      <c r="G10573" t="s">
        <v>27247</v>
      </c>
      <c r="H10573" t="s">
        <v>27248</v>
      </c>
      <c r="I10573" t="s">
        <v>47706</v>
      </c>
      <c r="J10573" t="s">
        <v>21154</v>
      </c>
      <c r="L10573" t="s">
        <v>27250</v>
      </c>
      <c r="M10573" t="s">
        <v>27251</v>
      </c>
      <c r="N10573" t="s">
        <v>27252</v>
      </c>
      <c r="P10573" t="s">
        <v>27925</v>
      </c>
      <c r="Q10573" s="1">
        <v>44846</v>
      </c>
      <c r="R10573" t="s">
        <v>27253</v>
      </c>
      <c r="S10573" t="s">
        <v>27254</v>
      </c>
      <c r="T10573" t="s">
        <v>27265</v>
      </c>
    </row>
    <row r="10574" spans="1:20" x14ac:dyDescent="0.3">
      <c r="A10574" t="str">
        <f>"0611838474025"</f>
        <v>0611838474025</v>
      </c>
      <c r="B10574" t="str">
        <f>"MQ0445"</f>
        <v>MQ0445</v>
      </c>
      <c r="C10574" t="s">
        <v>47707</v>
      </c>
      <c r="D10574" t="s">
        <v>28057</v>
      </c>
      <c r="E10574" t="str">
        <f t="shared" si="165"/>
        <v>001390</v>
      </c>
      <c r="F10574" t="s">
        <v>27246</v>
      </c>
      <c r="G10574" t="s">
        <v>27247</v>
      </c>
      <c r="H10574" t="s">
        <v>27248</v>
      </c>
      <c r="I10574" t="s">
        <v>47708</v>
      </c>
      <c r="J10574" t="s">
        <v>21156</v>
      </c>
      <c r="L10574" t="s">
        <v>27250</v>
      </c>
      <c r="M10574" t="s">
        <v>27251</v>
      </c>
      <c r="N10574" t="s">
        <v>27252</v>
      </c>
      <c r="P10574" t="s">
        <v>27925</v>
      </c>
      <c r="Q10574" s="1">
        <v>44538</v>
      </c>
      <c r="R10574" t="s">
        <v>27253</v>
      </c>
      <c r="S10574" t="s">
        <v>27254</v>
      </c>
      <c r="T10574" t="s">
        <v>27269</v>
      </c>
    </row>
    <row r="10575" spans="1:20" x14ac:dyDescent="0.3">
      <c r="A10575" t="str">
        <f>"0611863842050"</f>
        <v>0611863842050</v>
      </c>
      <c r="B10575" t="str">
        <f>"CE1714"</f>
        <v>CE1714</v>
      </c>
      <c r="C10575" t="s">
        <v>47709</v>
      </c>
      <c r="D10575" t="s">
        <v>27923</v>
      </c>
      <c r="E10575" t="str">
        <f t="shared" si="165"/>
        <v>001390</v>
      </c>
      <c r="F10575" t="s">
        <v>27246</v>
      </c>
      <c r="G10575" t="s">
        <v>27247</v>
      </c>
      <c r="H10575" t="s">
        <v>27248</v>
      </c>
      <c r="I10575" t="s">
        <v>47710</v>
      </c>
      <c r="J10575" t="s">
        <v>21158</v>
      </c>
      <c r="L10575" t="s">
        <v>27250</v>
      </c>
      <c r="M10575" t="s">
        <v>27251</v>
      </c>
      <c r="N10575" t="s">
        <v>27252</v>
      </c>
      <c r="P10575" t="s">
        <v>27925</v>
      </c>
      <c r="Q10575" s="1">
        <v>44846</v>
      </c>
      <c r="R10575" t="s">
        <v>27253</v>
      </c>
      <c r="S10575" t="s">
        <v>27254</v>
      </c>
      <c r="T10575" t="s">
        <v>27265</v>
      </c>
    </row>
    <row r="10576" spans="1:20" x14ac:dyDescent="0.3">
      <c r="A10576" t="str">
        <f>"0611838475025"</f>
        <v>0611838475025</v>
      </c>
      <c r="B10576" t="str">
        <f>"MQ0446"</f>
        <v>MQ0446</v>
      </c>
      <c r="C10576" t="s">
        <v>47711</v>
      </c>
      <c r="D10576" t="s">
        <v>28057</v>
      </c>
      <c r="E10576" t="str">
        <f t="shared" si="165"/>
        <v>001390</v>
      </c>
      <c r="F10576" t="s">
        <v>27246</v>
      </c>
      <c r="G10576" t="s">
        <v>27247</v>
      </c>
      <c r="H10576" t="s">
        <v>27248</v>
      </c>
      <c r="I10576" t="s">
        <v>47712</v>
      </c>
      <c r="J10576" t="s">
        <v>21160</v>
      </c>
      <c r="L10576" t="s">
        <v>27250</v>
      </c>
      <c r="M10576" t="s">
        <v>27251</v>
      </c>
      <c r="N10576" t="s">
        <v>27252</v>
      </c>
      <c r="P10576" t="s">
        <v>27925</v>
      </c>
      <c r="Q10576" s="1">
        <v>44538</v>
      </c>
      <c r="R10576" t="s">
        <v>27253</v>
      </c>
      <c r="S10576" t="s">
        <v>27254</v>
      </c>
      <c r="T10576" t="s">
        <v>27269</v>
      </c>
    </row>
    <row r="10577" spans="1:20" x14ac:dyDescent="0.3">
      <c r="A10577" t="str">
        <f>"0611863843050"</f>
        <v>0611863843050</v>
      </c>
      <c r="B10577" t="str">
        <f>"CE1022"</f>
        <v>CE1022</v>
      </c>
      <c r="C10577" t="s">
        <v>47713</v>
      </c>
      <c r="D10577" t="s">
        <v>27923</v>
      </c>
      <c r="E10577" t="str">
        <f t="shared" si="165"/>
        <v>001390</v>
      </c>
      <c r="F10577" t="s">
        <v>27246</v>
      </c>
      <c r="G10577" t="s">
        <v>27247</v>
      </c>
      <c r="H10577" t="s">
        <v>27248</v>
      </c>
      <c r="I10577" t="s">
        <v>47714</v>
      </c>
      <c r="J10577" t="s">
        <v>21162</v>
      </c>
      <c r="L10577" t="s">
        <v>27250</v>
      </c>
      <c r="M10577" t="s">
        <v>27251</v>
      </c>
      <c r="N10577" t="s">
        <v>27252</v>
      </c>
      <c r="P10577" t="s">
        <v>27925</v>
      </c>
      <c r="Q10577" s="1">
        <v>44846</v>
      </c>
      <c r="R10577" t="s">
        <v>27253</v>
      </c>
      <c r="S10577" t="s">
        <v>27254</v>
      </c>
      <c r="T10577" t="s">
        <v>27265</v>
      </c>
    </row>
    <row r="10578" spans="1:20" x14ac:dyDescent="0.3">
      <c r="A10578" t="str">
        <f>"0611863844050"</f>
        <v>0611863844050</v>
      </c>
      <c r="B10578" t="str">
        <f>"CE1718"</f>
        <v>CE1718</v>
      </c>
      <c r="C10578" t="s">
        <v>47715</v>
      </c>
      <c r="D10578" t="s">
        <v>27923</v>
      </c>
      <c r="E10578" t="str">
        <f t="shared" si="165"/>
        <v>001390</v>
      </c>
      <c r="F10578" t="s">
        <v>27246</v>
      </c>
      <c r="G10578" t="s">
        <v>27247</v>
      </c>
      <c r="H10578" t="s">
        <v>27248</v>
      </c>
      <c r="I10578" t="s">
        <v>47716</v>
      </c>
      <c r="J10578" t="s">
        <v>21164</v>
      </c>
      <c r="L10578" t="s">
        <v>27250</v>
      </c>
      <c r="M10578" t="s">
        <v>27251</v>
      </c>
      <c r="N10578" t="s">
        <v>27252</v>
      </c>
      <c r="P10578" t="s">
        <v>27925</v>
      </c>
      <c r="Q10578" s="1">
        <v>44846</v>
      </c>
      <c r="R10578" t="s">
        <v>27253</v>
      </c>
      <c r="S10578" t="s">
        <v>27254</v>
      </c>
      <c r="T10578" t="s">
        <v>27265</v>
      </c>
    </row>
    <row r="10579" spans="1:20" x14ac:dyDescent="0.3">
      <c r="A10579" t="str">
        <f>"0611838476025"</f>
        <v>0611838476025</v>
      </c>
      <c r="B10579" t="str">
        <f>"MQ0447"</f>
        <v>MQ0447</v>
      </c>
      <c r="C10579" t="s">
        <v>47717</v>
      </c>
      <c r="D10579" t="s">
        <v>28057</v>
      </c>
      <c r="E10579" t="str">
        <f t="shared" si="165"/>
        <v>001390</v>
      </c>
      <c r="F10579" t="s">
        <v>27246</v>
      </c>
      <c r="G10579" t="s">
        <v>27247</v>
      </c>
      <c r="H10579" t="s">
        <v>27248</v>
      </c>
      <c r="I10579" t="s">
        <v>47718</v>
      </c>
      <c r="J10579" t="s">
        <v>21166</v>
      </c>
      <c r="L10579" t="s">
        <v>27250</v>
      </c>
      <c r="M10579" t="s">
        <v>27251</v>
      </c>
      <c r="N10579" t="s">
        <v>27252</v>
      </c>
      <c r="P10579" t="s">
        <v>27925</v>
      </c>
      <c r="Q10579" s="1">
        <v>44538</v>
      </c>
      <c r="R10579" t="s">
        <v>27253</v>
      </c>
      <c r="S10579" t="s">
        <v>27254</v>
      </c>
      <c r="T10579" t="s">
        <v>27269</v>
      </c>
    </row>
    <row r="10580" spans="1:20" x14ac:dyDescent="0.3">
      <c r="A10580" t="str">
        <f>"0611863845050"</f>
        <v>0611863845050</v>
      </c>
      <c r="B10580" t="str">
        <f>"CE1716"</f>
        <v>CE1716</v>
      </c>
      <c r="C10580" t="s">
        <v>47717</v>
      </c>
      <c r="D10580" t="s">
        <v>27923</v>
      </c>
      <c r="E10580" t="str">
        <f t="shared" si="165"/>
        <v>001390</v>
      </c>
      <c r="F10580" t="s">
        <v>27246</v>
      </c>
      <c r="G10580" t="s">
        <v>27247</v>
      </c>
      <c r="H10580" t="s">
        <v>27248</v>
      </c>
      <c r="I10580" t="s">
        <v>47719</v>
      </c>
      <c r="J10580" t="s">
        <v>21168</v>
      </c>
      <c r="L10580" t="s">
        <v>27250</v>
      </c>
      <c r="M10580" t="s">
        <v>27251</v>
      </c>
      <c r="N10580" t="s">
        <v>27252</v>
      </c>
      <c r="P10580" t="s">
        <v>27925</v>
      </c>
      <c r="Q10580" s="1">
        <v>44846</v>
      </c>
      <c r="R10580" t="s">
        <v>27253</v>
      </c>
      <c r="S10580" t="s">
        <v>27254</v>
      </c>
      <c r="T10580" t="s">
        <v>27265</v>
      </c>
    </row>
    <row r="10581" spans="1:20" x14ac:dyDescent="0.3">
      <c r="A10581" t="str">
        <f>"0611838477025"</f>
        <v>0611838477025</v>
      </c>
      <c r="B10581" t="str">
        <f>"MQ0448"</f>
        <v>MQ0448</v>
      </c>
      <c r="C10581" t="s">
        <v>47720</v>
      </c>
      <c r="D10581" t="s">
        <v>28057</v>
      </c>
      <c r="E10581" t="str">
        <f t="shared" si="165"/>
        <v>001390</v>
      </c>
      <c r="F10581" t="s">
        <v>27246</v>
      </c>
      <c r="G10581" t="s">
        <v>27247</v>
      </c>
      <c r="H10581" t="s">
        <v>27248</v>
      </c>
      <c r="I10581" t="s">
        <v>47721</v>
      </c>
      <c r="J10581" t="s">
        <v>21170</v>
      </c>
      <c r="L10581" t="s">
        <v>27250</v>
      </c>
      <c r="M10581" t="s">
        <v>27251</v>
      </c>
      <c r="N10581" t="s">
        <v>27252</v>
      </c>
      <c r="P10581" t="s">
        <v>27925</v>
      </c>
      <c r="Q10581" s="1">
        <v>44538</v>
      </c>
      <c r="R10581" t="s">
        <v>27253</v>
      </c>
      <c r="S10581" t="s">
        <v>27254</v>
      </c>
      <c r="T10581" t="s">
        <v>27269</v>
      </c>
    </row>
    <row r="10582" spans="1:20" x14ac:dyDescent="0.3">
      <c r="A10582" t="str">
        <f>"0611863846050"</f>
        <v>0611863846050</v>
      </c>
      <c r="B10582" t="str">
        <f>"CE1060"</f>
        <v>CE1060</v>
      </c>
      <c r="C10582" t="s">
        <v>47722</v>
      </c>
      <c r="D10582" t="s">
        <v>27923</v>
      </c>
      <c r="E10582" t="str">
        <f t="shared" si="165"/>
        <v>001390</v>
      </c>
      <c r="F10582" t="s">
        <v>27246</v>
      </c>
      <c r="G10582" t="s">
        <v>27247</v>
      </c>
      <c r="H10582" t="s">
        <v>27248</v>
      </c>
      <c r="I10582" t="s">
        <v>47723</v>
      </c>
      <c r="J10582" t="s">
        <v>21172</v>
      </c>
      <c r="L10582" t="s">
        <v>27250</v>
      </c>
      <c r="M10582" t="s">
        <v>27251</v>
      </c>
      <c r="N10582" t="s">
        <v>27252</v>
      </c>
      <c r="P10582" t="s">
        <v>27925</v>
      </c>
      <c r="Q10582" s="1">
        <v>44846</v>
      </c>
      <c r="R10582" t="s">
        <v>27253</v>
      </c>
      <c r="S10582" t="s">
        <v>27254</v>
      </c>
      <c r="T10582" t="s">
        <v>27265</v>
      </c>
    </row>
    <row r="10583" spans="1:20" x14ac:dyDescent="0.3">
      <c r="A10583" t="str">
        <f>"0611838478025"</f>
        <v>0611838478025</v>
      </c>
      <c r="B10583" t="str">
        <f>"MQ0449"</f>
        <v>MQ0449</v>
      </c>
      <c r="C10583" t="s">
        <v>47724</v>
      </c>
      <c r="D10583" t="s">
        <v>28057</v>
      </c>
      <c r="E10583" t="str">
        <f t="shared" si="165"/>
        <v>001390</v>
      </c>
      <c r="F10583" t="s">
        <v>27246</v>
      </c>
      <c r="G10583" t="s">
        <v>27247</v>
      </c>
      <c r="H10583" t="s">
        <v>27248</v>
      </c>
      <c r="I10583" t="s">
        <v>47725</v>
      </c>
      <c r="J10583" t="s">
        <v>21174</v>
      </c>
      <c r="L10583" t="s">
        <v>27250</v>
      </c>
      <c r="M10583" t="s">
        <v>27251</v>
      </c>
      <c r="N10583" t="s">
        <v>27252</v>
      </c>
      <c r="P10583" t="s">
        <v>27925</v>
      </c>
      <c r="Q10583" s="1">
        <v>44538</v>
      </c>
      <c r="R10583" t="s">
        <v>27253</v>
      </c>
      <c r="S10583" t="s">
        <v>27254</v>
      </c>
      <c r="T10583" t="s">
        <v>27269</v>
      </c>
    </row>
    <row r="10584" spans="1:20" x14ac:dyDescent="0.3">
      <c r="A10584" t="str">
        <f>"0611863847050"</f>
        <v>0611863847050</v>
      </c>
      <c r="B10584" t="str">
        <f>"CE1719"</f>
        <v>CE1719</v>
      </c>
      <c r="C10584" t="s">
        <v>47726</v>
      </c>
      <c r="D10584" t="s">
        <v>27923</v>
      </c>
      <c r="E10584" t="str">
        <f t="shared" si="165"/>
        <v>001390</v>
      </c>
      <c r="F10584" t="s">
        <v>27246</v>
      </c>
      <c r="G10584" t="s">
        <v>27247</v>
      </c>
      <c r="H10584" t="s">
        <v>27248</v>
      </c>
      <c r="I10584" t="s">
        <v>47727</v>
      </c>
      <c r="J10584" t="s">
        <v>21176</v>
      </c>
      <c r="L10584" t="s">
        <v>27250</v>
      </c>
      <c r="M10584" t="s">
        <v>27251</v>
      </c>
      <c r="N10584" t="s">
        <v>27252</v>
      </c>
      <c r="P10584" t="s">
        <v>27925</v>
      </c>
      <c r="Q10584" s="1">
        <v>44846</v>
      </c>
      <c r="R10584" t="s">
        <v>27253</v>
      </c>
      <c r="S10584" t="s">
        <v>27254</v>
      </c>
      <c r="T10584" t="s">
        <v>27265</v>
      </c>
    </row>
    <row r="10585" spans="1:20" x14ac:dyDescent="0.3">
      <c r="A10585" t="str">
        <f>"0611863848050"</f>
        <v>0611863848050</v>
      </c>
      <c r="B10585" t="str">
        <f>"CE1023"</f>
        <v>CE1023</v>
      </c>
      <c r="C10585" t="s">
        <v>47728</v>
      </c>
      <c r="D10585" t="s">
        <v>27923</v>
      </c>
      <c r="E10585" t="str">
        <f t="shared" si="165"/>
        <v>001390</v>
      </c>
      <c r="F10585" t="s">
        <v>27246</v>
      </c>
      <c r="G10585" t="s">
        <v>27247</v>
      </c>
      <c r="H10585" t="s">
        <v>27248</v>
      </c>
      <c r="I10585" t="s">
        <v>47729</v>
      </c>
      <c r="J10585" t="s">
        <v>21178</v>
      </c>
      <c r="L10585" t="s">
        <v>27250</v>
      </c>
      <c r="M10585" t="s">
        <v>27251</v>
      </c>
      <c r="N10585" t="s">
        <v>27252</v>
      </c>
      <c r="P10585" t="s">
        <v>27925</v>
      </c>
      <c r="Q10585" s="1">
        <v>44846</v>
      </c>
      <c r="R10585" t="s">
        <v>27253</v>
      </c>
      <c r="S10585" t="s">
        <v>27254</v>
      </c>
      <c r="T10585" t="s">
        <v>27265</v>
      </c>
    </row>
    <row r="10586" spans="1:20" x14ac:dyDescent="0.3">
      <c r="A10586" t="str">
        <f>"0611838479025"</f>
        <v>0611838479025</v>
      </c>
      <c r="B10586" t="str">
        <f>"MQ0450"</f>
        <v>MQ0450</v>
      </c>
      <c r="C10586" t="s">
        <v>47730</v>
      </c>
      <c r="D10586" t="s">
        <v>28057</v>
      </c>
      <c r="E10586" t="str">
        <f t="shared" si="165"/>
        <v>001390</v>
      </c>
      <c r="F10586" t="s">
        <v>27246</v>
      </c>
      <c r="G10586" t="s">
        <v>27247</v>
      </c>
      <c r="H10586" t="s">
        <v>27248</v>
      </c>
      <c r="I10586" t="s">
        <v>47731</v>
      </c>
      <c r="J10586" t="s">
        <v>21180</v>
      </c>
      <c r="L10586" t="s">
        <v>27250</v>
      </c>
      <c r="M10586" t="s">
        <v>27251</v>
      </c>
      <c r="N10586" t="s">
        <v>27252</v>
      </c>
      <c r="P10586" t="s">
        <v>27925</v>
      </c>
      <c r="Q10586" s="1">
        <v>44538</v>
      </c>
      <c r="R10586" t="s">
        <v>27253</v>
      </c>
      <c r="S10586" t="s">
        <v>27254</v>
      </c>
      <c r="T10586" t="s">
        <v>27269</v>
      </c>
    </row>
    <row r="10587" spans="1:20" x14ac:dyDescent="0.3">
      <c r="A10587" t="str">
        <f>"0611838480025"</f>
        <v>0611838480025</v>
      </c>
      <c r="B10587" t="str">
        <f>"MQ0339"</f>
        <v>MQ0339</v>
      </c>
      <c r="C10587" t="s">
        <v>47732</v>
      </c>
      <c r="D10587" t="s">
        <v>27267</v>
      </c>
      <c r="E10587" t="str">
        <f t="shared" si="165"/>
        <v>001390</v>
      </c>
      <c r="F10587" t="s">
        <v>27246</v>
      </c>
      <c r="G10587" t="s">
        <v>27247</v>
      </c>
      <c r="H10587" t="s">
        <v>27248</v>
      </c>
      <c r="I10587" t="s">
        <v>47733</v>
      </c>
      <c r="J10587" t="s">
        <v>21184</v>
      </c>
      <c r="L10587" t="s">
        <v>27250</v>
      </c>
      <c r="M10587" t="s">
        <v>27251</v>
      </c>
      <c r="N10587" t="s">
        <v>27252</v>
      </c>
      <c r="Q10587" s="1">
        <v>44538</v>
      </c>
      <c r="R10587" t="s">
        <v>27253</v>
      </c>
      <c r="S10587" t="s">
        <v>27254</v>
      </c>
      <c r="T10587" t="s">
        <v>27269</v>
      </c>
    </row>
    <row r="10588" spans="1:20" x14ac:dyDescent="0.3">
      <c r="A10588" t="str">
        <f>"0611838481025"</f>
        <v>0611838481025</v>
      </c>
      <c r="B10588" t="str">
        <f>"MC0611"</f>
        <v>MC0611</v>
      </c>
      <c r="C10588" t="s">
        <v>47734</v>
      </c>
      <c r="D10588" t="s">
        <v>27267</v>
      </c>
      <c r="E10588" t="str">
        <f t="shared" si="165"/>
        <v>001390</v>
      </c>
      <c r="F10588" t="s">
        <v>27246</v>
      </c>
      <c r="G10588" t="s">
        <v>27247</v>
      </c>
      <c r="H10588" t="s">
        <v>27248</v>
      </c>
      <c r="I10588" t="s">
        <v>47735</v>
      </c>
      <c r="J10588" t="s">
        <v>21186</v>
      </c>
      <c r="L10588" t="s">
        <v>27250</v>
      </c>
      <c r="M10588" t="s">
        <v>27251</v>
      </c>
      <c r="N10588" t="s">
        <v>27252</v>
      </c>
      <c r="Q10588" s="1">
        <v>44538</v>
      </c>
      <c r="R10588" t="s">
        <v>27253</v>
      </c>
      <c r="S10588" t="s">
        <v>27254</v>
      </c>
      <c r="T10588" t="s">
        <v>27269</v>
      </c>
    </row>
    <row r="10589" spans="1:20" x14ac:dyDescent="0.3">
      <c r="A10589" t="str">
        <f>"0611838482025"</f>
        <v>0611838482025</v>
      </c>
      <c r="B10589" t="str">
        <f>"MC0615"</f>
        <v>MC0615</v>
      </c>
      <c r="C10589" t="s">
        <v>47736</v>
      </c>
      <c r="D10589" t="s">
        <v>27267</v>
      </c>
      <c r="E10589" t="str">
        <f t="shared" si="165"/>
        <v>001390</v>
      </c>
      <c r="F10589" t="s">
        <v>27246</v>
      </c>
      <c r="G10589" t="s">
        <v>27247</v>
      </c>
      <c r="H10589" t="s">
        <v>27248</v>
      </c>
      <c r="I10589" t="s">
        <v>47737</v>
      </c>
      <c r="J10589" t="s">
        <v>21188</v>
      </c>
      <c r="L10589" t="s">
        <v>27250</v>
      </c>
      <c r="M10589" t="s">
        <v>27251</v>
      </c>
      <c r="N10589" t="s">
        <v>27252</v>
      </c>
      <c r="Q10589" s="1">
        <v>44538</v>
      </c>
      <c r="R10589" t="s">
        <v>27253</v>
      </c>
      <c r="S10589" t="s">
        <v>27254</v>
      </c>
      <c r="T10589" t="s">
        <v>27269</v>
      </c>
    </row>
    <row r="10590" spans="1:20" x14ac:dyDescent="0.3">
      <c r="A10590" t="str">
        <f>"0611863850100"</f>
        <v>0611863850100</v>
      </c>
      <c r="B10590" t="str">
        <f>"CN5299"</f>
        <v>CN5299</v>
      </c>
      <c r="C10590" t="s">
        <v>47738</v>
      </c>
      <c r="D10590" t="s">
        <v>27339</v>
      </c>
      <c r="E10590" t="str">
        <f t="shared" si="165"/>
        <v>001390</v>
      </c>
      <c r="F10590" t="s">
        <v>27246</v>
      </c>
      <c r="G10590" t="s">
        <v>27247</v>
      </c>
      <c r="H10590" t="s">
        <v>27248</v>
      </c>
      <c r="I10590" t="s">
        <v>47739</v>
      </c>
      <c r="J10590" t="s">
        <v>21190</v>
      </c>
      <c r="L10590" t="s">
        <v>27250</v>
      </c>
      <c r="M10590" t="s">
        <v>27251</v>
      </c>
      <c r="N10590" t="s">
        <v>27252</v>
      </c>
      <c r="P10590" t="s">
        <v>27341</v>
      </c>
      <c r="Q10590" s="1">
        <v>44846</v>
      </c>
      <c r="R10590" t="s">
        <v>27253</v>
      </c>
      <c r="S10590" t="s">
        <v>27254</v>
      </c>
      <c r="T10590" t="s">
        <v>27255</v>
      </c>
    </row>
    <row r="10591" spans="1:20" x14ac:dyDescent="0.3">
      <c r="A10591" t="str">
        <f>"0611863851050"</f>
        <v>0611863851050</v>
      </c>
      <c r="B10591" t="str">
        <f>"CR4874"</f>
        <v>CR4874</v>
      </c>
      <c r="C10591" t="s">
        <v>47738</v>
      </c>
      <c r="D10591" t="s">
        <v>27271</v>
      </c>
      <c r="E10591" t="str">
        <f t="shared" si="165"/>
        <v>001390</v>
      </c>
      <c r="F10591" t="s">
        <v>27246</v>
      </c>
      <c r="G10591" t="s">
        <v>27247</v>
      </c>
      <c r="H10591" t="s">
        <v>27248</v>
      </c>
      <c r="I10591" t="s">
        <v>47740</v>
      </c>
      <c r="J10591" t="s">
        <v>21192</v>
      </c>
      <c r="L10591" t="s">
        <v>27250</v>
      </c>
      <c r="M10591" t="s">
        <v>27251</v>
      </c>
      <c r="N10591" t="s">
        <v>27252</v>
      </c>
      <c r="P10591" t="s">
        <v>27341</v>
      </c>
      <c r="Q10591" s="1">
        <v>44846</v>
      </c>
      <c r="R10591" t="s">
        <v>27253</v>
      </c>
      <c r="S10591" t="s">
        <v>27254</v>
      </c>
      <c r="T10591" t="s">
        <v>27265</v>
      </c>
    </row>
    <row r="10592" spans="1:20" x14ac:dyDescent="0.3">
      <c r="A10592" t="str">
        <f>"0611863852100"</f>
        <v>0611863852100</v>
      </c>
      <c r="B10592" t="str">
        <f>"CN5300"</f>
        <v>CN5300</v>
      </c>
      <c r="C10592" t="s">
        <v>47741</v>
      </c>
      <c r="D10592" t="s">
        <v>27339</v>
      </c>
      <c r="E10592" t="str">
        <f t="shared" si="165"/>
        <v>001390</v>
      </c>
      <c r="F10592" t="s">
        <v>27246</v>
      </c>
      <c r="G10592" t="s">
        <v>27247</v>
      </c>
      <c r="H10592" t="s">
        <v>27248</v>
      </c>
      <c r="I10592" t="s">
        <v>47742</v>
      </c>
      <c r="J10592" t="s">
        <v>21194</v>
      </c>
      <c r="L10592" t="s">
        <v>27250</v>
      </c>
      <c r="M10592" t="s">
        <v>27251</v>
      </c>
      <c r="N10592" t="s">
        <v>27252</v>
      </c>
      <c r="P10592" t="s">
        <v>27341</v>
      </c>
      <c r="Q10592" s="1">
        <v>44846</v>
      </c>
      <c r="R10592" t="s">
        <v>27253</v>
      </c>
      <c r="S10592" t="s">
        <v>27254</v>
      </c>
      <c r="T10592" t="s">
        <v>27255</v>
      </c>
    </row>
    <row r="10593" spans="1:20" x14ac:dyDescent="0.3">
      <c r="A10593" t="str">
        <f>"0611863853050"</f>
        <v>0611863853050</v>
      </c>
      <c r="B10593" t="str">
        <f>"CR4873"</f>
        <v>CR4873</v>
      </c>
      <c r="C10593" t="s">
        <v>47741</v>
      </c>
      <c r="D10593" t="s">
        <v>27271</v>
      </c>
      <c r="E10593" t="str">
        <f t="shared" si="165"/>
        <v>001390</v>
      </c>
      <c r="F10593" t="s">
        <v>27246</v>
      </c>
      <c r="G10593" t="s">
        <v>27247</v>
      </c>
      <c r="H10593" t="s">
        <v>27248</v>
      </c>
      <c r="I10593" t="s">
        <v>47743</v>
      </c>
      <c r="J10593" t="s">
        <v>21196</v>
      </c>
      <c r="L10593" t="s">
        <v>27250</v>
      </c>
      <c r="M10593" t="s">
        <v>27251</v>
      </c>
      <c r="N10593" t="s">
        <v>27252</v>
      </c>
      <c r="P10593" t="s">
        <v>27341</v>
      </c>
      <c r="Q10593" s="1">
        <v>44846</v>
      </c>
      <c r="R10593" t="s">
        <v>27253</v>
      </c>
      <c r="S10593" t="s">
        <v>27254</v>
      </c>
      <c r="T10593" t="s">
        <v>27265</v>
      </c>
    </row>
    <row r="10594" spans="1:20" x14ac:dyDescent="0.3">
      <c r="A10594" t="str">
        <f>"0611863854100"</f>
        <v>0611863854100</v>
      </c>
      <c r="B10594" t="str">
        <f>"CN5301"</f>
        <v>CN5301</v>
      </c>
      <c r="C10594" t="s">
        <v>47744</v>
      </c>
      <c r="D10594" t="s">
        <v>27339</v>
      </c>
      <c r="E10594" t="str">
        <f t="shared" si="165"/>
        <v>001390</v>
      </c>
      <c r="F10594" t="s">
        <v>27246</v>
      </c>
      <c r="G10594" t="s">
        <v>27247</v>
      </c>
      <c r="H10594" t="s">
        <v>27248</v>
      </c>
      <c r="I10594" t="s">
        <v>47745</v>
      </c>
      <c r="J10594" t="s">
        <v>21198</v>
      </c>
      <c r="L10594" t="s">
        <v>27250</v>
      </c>
      <c r="M10594" t="s">
        <v>27251</v>
      </c>
      <c r="N10594" t="s">
        <v>27252</v>
      </c>
      <c r="P10594" t="s">
        <v>27341</v>
      </c>
      <c r="Q10594" s="1">
        <v>44846</v>
      </c>
      <c r="R10594" t="s">
        <v>27253</v>
      </c>
      <c r="S10594" t="s">
        <v>27254</v>
      </c>
      <c r="T10594" t="s">
        <v>27255</v>
      </c>
    </row>
    <row r="10595" spans="1:20" x14ac:dyDescent="0.3">
      <c r="A10595" t="str">
        <f>"0611863855050"</f>
        <v>0611863855050</v>
      </c>
      <c r="B10595" t="str">
        <f>"CR4876"</f>
        <v>CR4876</v>
      </c>
      <c r="C10595" t="s">
        <v>47744</v>
      </c>
      <c r="D10595" t="s">
        <v>27271</v>
      </c>
      <c r="E10595" t="str">
        <f t="shared" si="165"/>
        <v>001390</v>
      </c>
      <c r="F10595" t="s">
        <v>27246</v>
      </c>
      <c r="G10595" t="s">
        <v>27247</v>
      </c>
      <c r="H10595" t="s">
        <v>27248</v>
      </c>
      <c r="I10595" t="s">
        <v>47746</v>
      </c>
      <c r="J10595" t="s">
        <v>21200</v>
      </c>
      <c r="L10595" t="s">
        <v>27250</v>
      </c>
      <c r="M10595" t="s">
        <v>27251</v>
      </c>
      <c r="N10595" t="s">
        <v>27252</v>
      </c>
      <c r="P10595" t="s">
        <v>27341</v>
      </c>
      <c r="Q10595" s="1">
        <v>44846</v>
      </c>
      <c r="R10595" t="s">
        <v>27253</v>
      </c>
      <c r="S10595" t="s">
        <v>27254</v>
      </c>
      <c r="T10595" t="s">
        <v>27265</v>
      </c>
    </row>
    <row r="10596" spans="1:20" x14ac:dyDescent="0.3">
      <c r="A10596" t="str">
        <f>"0611863856100"</f>
        <v>0611863856100</v>
      </c>
      <c r="B10596" t="str">
        <f>"CN5302"</f>
        <v>CN5302</v>
      </c>
      <c r="C10596" t="s">
        <v>47747</v>
      </c>
      <c r="D10596" t="s">
        <v>27339</v>
      </c>
      <c r="E10596" t="str">
        <f t="shared" si="165"/>
        <v>001390</v>
      </c>
      <c r="F10596" t="s">
        <v>27246</v>
      </c>
      <c r="G10596" t="s">
        <v>27247</v>
      </c>
      <c r="H10596" t="s">
        <v>27248</v>
      </c>
      <c r="I10596" t="s">
        <v>47748</v>
      </c>
      <c r="J10596" t="s">
        <v>21202</v>
      </c>
      <c r="L10596" t="s">
        <v>27250</v>
      </c>
      <c r="M10596" t="s">
        <v>27251</v>
      </c>
      <c r="N10596" t="s">
        <v>27252</v>
      </c>
      <c r="P10596" t="s">
        <v>27341</v>
      </c>
      <c r="Q10596" s="1">
        <v>44846</v>
      </c>
      <c r="R10596" t="s">
        <v>27253</v>
      </c>
      <c r="S10596" t="s">
        <v>27254</v>
      </c>
      <c r="T10596" t="s">
        <v>27255</v>
      </c>
    </row>
    <row r="10597" spans="1:20" x14ac:dyDescent="0.3">
      <c r="A10597" t="str">
        <f>"0611863857050"</f>
        <v>0611863857050</v>
      </c>
      <c r="B10597" t="str">
        <f>"CR4875"</f>
        <v>CR4875</v>
      </c>
      <c r="C10597" t="s">
        <v>47747</v>
      </c>
      <c r="D10597" t="s">
        <v>27271</v>
      </c>
      <c r="E10597" t="str">
        <f t="shared" si="165"/>
        <v>001390</v>
      </c>
      <c r="F10597" t="s">
        <v>27246</v>
      </c>
      <c r="G10597" t="s">
        <v>27247</v>
      </c>
      <c r="H10597" t="s">
        <v>27248</v>
      </c>
      <c r="I10597" t="s">
        <v>47749</v>
      </c>
      <c r="J10597" t="s">
        <v>21204</v>
      </c>
      <c r="L10597" t="s">
        <v>27250</v>
      </c>
      <c r="M10597" t="s">
        <v>27251</v>
      </c>
      <c r="N10597" t="s">
        <v>27252</v>
      </c>
      <c r="P10597" t="s">
        <v>27341</v>
      </c>
      <c r="Q10597" s="1">
        <v>44846</v>
      </c>
      <c r="R10597" t="s">
        <v>27253</v>
      </c>
      <c r="S10597" t="s">
        <v>27254</v>
      </c>
      <c r="T10597" t="s">
        <v>27265</v>
      </c>
    </row>
    <row r="10598" spans="1:20" x14ac:dyDescent="0.3">
      <c r="A10598" t="str">
        <f>"0611838483100"</f>
        <v>0611838483100</v>
      </c>
      <c r="B10598" t="str">
        <f>"LH6543"</f>
        <v>LH6543</v>
      </c>
      <c r="C10598" t="s">
        <v>47750</v>
      </c>
      <c r="D10598" t="s">
        <v>27245</v>
      </c>
      <c r="E10598" t="str">
        <f t="shared" si="165"/>
        <v>001390</v>
      </c>
      <c r="F10598" t="s">
        <v>27246</v>
      </c>
      <c r="G10598" t="s">
        <v>27247</v>
      </c>
      <c r="H10598" t="s">
        <v>27248</v>
      </c>
      <c r="I10598" t="s">
        <v>47751</v>
      </c>
      <c r="J10598" t="s">
        <v>21206</v>
      </c>
      <c r="L10598" t="s">
        <v>27250</v>
      </c>
      <c r="M10598" t="s">
        <v>27251</v>
      </c>
      <c r="N10598" t="s">
        <v>27252</v>
      </c>
      <c r="Q10598" s="1">
        <v>44538</v>
      </c>
      <c r="R10598" t="s">
        <v>27253</v>
      </c>
      <c r="S10598" t="s">
        <v>27254</v>
      </c>
      <c r="T10598" t="s">
        <v>27255</v>
      </c>
    </row>
    <row r="10599" spans="1:20" x14ac:dyDescent="0.3">
      <c r="A10599" t="str">
        <f>"0611838484025"</f>
        <v>0611838484025</v>
      </c>
      <c r="B10599" t="str">
        <f>"MC0616"</f>
        <v>MC0616</v>
      </c>
      <c r="C10599" t="s">
        <v>47750</v>
      </c>
      <c r="D10599" t="s">
        <v>27267</v>
      </c>
      <c r="E10599" t="str">
        <f t="shared" si="165"/>
        <v>001390</v>
      </c>
      <c r="F10599" t="s">
        <v>27246</v>
      </c>
      <c r="G10599" t="s">
        <v>27247</v>
      </c>
      <c r="H10599" t="s">
        <v>27248</v>
      </c>
      <c r="I10599" t="s">
        <v>47752</v>
      </c>
      <c r="J10599" t="s">
        <v>21208</v>
      </c>
      <c r="L10599" t="s">
        <v>27250</v>
      </c>
      <c r="M10599" t="s">
        <v>27251</v>
      </c>
      <c r="N10599" t="s">
        <v>27252</v>
      </c>
      <c r="Q10599" s="1">
        <v>44538</v>
      </c>
      <c r="R10599" t="s">
        <v>27253</v>
      </c>
      <c r="S10599" t="s">
        <v>27254</v>
      </c>
      <c r="T10599" t="s">
        <v>27269</v>
      </c>
    </row>
    <row r="10600" spans="1:20" x14ac:dyDescent="0.3">
      <c r="A10600" t="str">
        <f>"0611838485100"</f>
        <v>0611838485100</v>
      </c>
      <c r="B10600" t="str">
        <f>"LL0009"</f>
        <v>LL0009</v>
      </c>
      <c r="C10600" t="s">
        <v>47753</v>
      </c>
      <c r="D10600" t="s">
        <v>27245</v>
      </c>
      <c r="E10600" t="str">
        <f t="shared" si="165"/>
        <v>001390</v>
      </c>
      <c r="F10600" t="s">
        <v>27246</v>
      </c>
      <c r="G10600" t="s">
        <v>27247</v>
      </c>
      <c r="H10600" t="s">
        <v>27248</v>
      </c>
      <c r="I10600" t="s">
        <v>47754</v>
      </c>
      <c r="J10600" t="s">
        <v>21210</v>
      </c>
      <c r="L10600" t="s">
        <v>27250</v>
      </c>
      <c r="M10600" t="s">
        <v>27251</v>
      </c>
      <c r="N10600" t="s">
        <v>27252</v>
      </c>
      <c r="Q10600" s="1">
        <v>44538</v>
      </c>
      <c r="R10600" t="s">
        <v>27253</v>
      </c>
      <c r="S10600" t="s">
        <v>27254</v>
      </c>
      <c r="T10600" t="s">
        <v>27255</v>
      </c>
    </row>
    <row r="10601" spans="1:20" x14ac:dyDescent="0.3">
      <c r="A10601" t="str">
        <f>"0611838486100"</f>
        <v>0611838486100</v>
      </c>
      <c r="B10601" t="str">
        <f>"LL3860"</f>
        <v>LL3860</v>
      </c>
      <c r="C10601" t="s">
        <v>47755</v>
      </c>
      <c r="D10601" t="s">
        <v>27245</v>
      </c>
      <c r="E10601" t="str">
        <f t="shared" si="165"/>
        <v>001390</v>
      </c>
      <c r="F10601" t="s">
        <v>27246</v>
      </c>
      <c r="G10601" t="s">
        <v>27247</v>
      </c>
      <c r="H10601" t="s">
        <v>27248</v>
      </c>
      <c r="I10601" t="s">
        <v>47756</v>
      </c>
      <c r="J10601" t="s">
        <v>21212</v>
      </c>
      <c r="L10601" t="s">
        <v>27250</v>
      </c>
      <c r="M10601" t="s">
        <v>27251</v>
      </c>
      <c r="N10601" t="s">
        <v>27252</v>
      </c>
      <c r="Q10601" s="1">
        <v>44538</v>
      </c>
      <c r="R10601" t="s">
        <v>27253</v>
      </c>
      <c r="S10601" t="s">
        <v>27254</v>
      </c>
      <c r="T10601" t="s">
        <v>27255</v>
      </c>
    </row>
    <row r="10602" spans="1:20" x14ac:dyDescent="0.3">
      <c r="A10602" t="str">
        <f>"0611857082025"</f>
        <v>0611857082025</v>
      </c>
      <c r="B10602" t="str">
        <f>"MQ0802"</f>
        <v>MQ0802</v>
      </c>
      <c r="C10602" t="s">
        <v>47757</v>
      </c>
      <c r="D10602" t="s">
        <v>27267</v>
      </c>
      <c r="E10602" t="str">
        <f t="shared" si="165"/>
        <v>001390</v>
      </c>
      <c r="F10602" t="s">
        <v>27246</v>
      </c>
      <c r="G10602" t="s">
        <v>27247</v>
      </c>
      <c r="H10602" t="s">
        <v>27248</v>
      </c>
      <c r="I10602" t="s">
        <v>47758</v>
      </c>
      <c r="J10602" t="s">
        <v>21214</v>
      </c>
      <c r="L10602" t="s">
        <v>27250</v>
      </c>
      <c r="M10602" t="s">
        <v>27251</v>
      </c>
      <c r="N10602" t="s">
        <v>27252</v>
      </c>
      <c r="Q10602" s="1">
        <v>44812</v>
      </c>
      <c r="R10602" t="s">
        <v>27253</v>
      </c>
      <c r="S10602" t="s">
        <v>27254</v>
      </c>
      <c r="T10602" t="s">
        <v>27269</v>
      </c>
    </row>
    <row r="10603" spans="1:20" x14ac:dyDescent="0.3">
      <c r="A10603" t="str">
        <f>"0611838487025"</f>
        <v>0611838487025</v>
      </c>
      <c r="B10603" t="str">
        <f>"MC0617"</f>
        <v>MC0617</v>
      </c>
      <c r="C10603" t="s">
        <v>47759</v>
      </c>
      <c r="D10603" t="s">
        <v>27267</v>
      </c>
      <c r="E10603" t="str">
        <f t="shared" si="165"/>
        <v>001390</v>
      </c>
      <c r="F10603" t="s">
        <v>27246</v>
      </c>
      <c r="G10603" t="s">
        <v>27247</v>
      </c>
      <c r="H10603" t="s">
        <v>27248</v>
      </c>
      <c r="I10603" t="s">
        <v>47760</v>
      </c>
      <c r="J10603" t="s">
        <v>21216</v>
      </c>
      <c r="L10603" t="s">
        <v>27250</v>
      </c>
      <c r="M10603" t="s">
        <v>27251</v>
      </c>
      <c r="N10603" t="s">
        <v>27252</v>
      </c>
      <c r="Q10603" s="1">
        <v>44538</v>
      </c>
      <c r="R10603" t="s">
        <v>27253</v>
      </c>
      <c r="S10603" t="s">
        <v>27254</v>
      </c>
      <c r="T10603" t="s">
        <v>27269</v>
      </c>
    </row>
    <row r="10604" spans="1:20" x14ac:dyDescent="0.3">
      <c r="A10604" t="str">
        <f>"0611838489025"</f>
        <v>0611838489025</v>
      </c>
      <c r="B10604" t="str">
        <f>"MC3363"</f>
        <v>MC3363</v>
      </c>
      <c r="C10604" t="s">
        <v>47761</v>
      </c>
      <c r="D10604" t="s">
        <v>27267</v>
      </c>
      <c r="E10604" t="str">
        <f t="shared" si="165"/>
        <v>001390</v>
      </c>
      <c r="F10604" t="s">
        <v>27246</v>
      </c>
      <c r="G10604" t="s">
        <v>27247</v>
      </c>
      <c r="H10604" t="s">
        <v>27248</v>
      </c>
      <c r="I10604" t="s">
        <v>47762</v>
      </c>
      <c r="J10604" t="s">
        <v>21218</v>
      </c>
      <c r="L10604" t="s">
        <v>27250</v>
      </c>
      <c r="M10604" t="s">
        <v>27251</v>
      </c>
      <c r="N10604" t="s">
        <v>27252</v>
      </c>
      <c r="Q10604" s="1">
        <v>44538</v>
      </c>
      <c r="R10604" t="s">
        <v>27253</v>
      </c>
      <c r="S10604" t="s">
        <v>27254</v>
      </c>
      <c r="T10604" t="s">
        <v>27269</v>
      </c>
    </row>
    <row r="10605" spans="1:20" x14ac:dyDescent="0.3">
      <c r="A10605" t="str">
        <f>"0611838490100"</f>
        <v>0611838490100</v>
      </c>
      <c r="B10605" t="str">
        <f>"LF5845"</f>
        <v>LF5845</v>
      </c>
      <c r="C10605" t="s">
        <v>47763</v>
      </c>
      <c r="D10605" t="s">
        <v>27245</v>
      </c>
      <c r="E10605" t="str">
        <f t="shared" si="165"/>
        <v>001390</v>
      </c>
      <c r="F10605" t="s">
        <v>27246</v>
      </c>
      <c r="G10605" t="s">
        <v>27247</v>
      </c>
      <c r="H10605" t="s">
        <v>27248</v>
      </c>
      <c r="I10605" t="s">
        <v>47764</v>
      </c>
      <c r="J10605" t="s">
        <v>21220</v>
      </c>
      <c r="L10605" t="s">
        <v>27250</v>
      </c>
      <c r="M10605" t="s">
        <v>27251</v>
      </c>
      <c r="N10605" t="s">
        <v>27252</v>
      </c>
      <c r="Q10605" s="1">
        <v>44538</v>
      </c>
      <c r="R10605" t="s">
        <v>27253</v>
      </c>
      <c r="S10605" t="s">
        <v>27254</v>
      </c>
      <c r="T10605" t="s">
        <v>27255</v>
      </c>
    </row>
    <row r="10606" spans="1:20" x14ac:dyDescent="0.3">
      <c r="A10606" t="str">
        <f>"0611884403100"</f>
        <v>0611884403100</v>
      </c>
      <c r="B10606" t="str">
        <f>"LF9112"</f>
        <v>LF9112</v>
      </c>
      <c r="C10606" t="s">
        <v>47765</v>
      </c>
      <c r="D10606" t="s">
        <v>27245</v>
      </c>
      <c r="E10606" t="str">
        <f t="shared" si="165"/>
        <v>001390</v>
      </c>
      <c r="F10606" t="s">
        <v>27246</v>
      </c>
      <c r="G10606" t="s">
        <v>27247</v>
      </c>
      <c r="H10606" t="s">
        <v>27248</v>
      </c>
      <c r="I10606" t="s">
        <v>47766</v>
      </c>
      <c r="J10606" t="s">
        <v>21222</v>
      </c>
      <c r="L10606" t="s">
        <v>27430</v>
      </c>
      <c r="M10606" t="s">
        <v>27251</v>
      </c>
      <c r="N10606" t="s">
        <v>27252</v>
      </c>
      <c r="Q10606" s="1">
        <v>45250</v>
      </c>
      <c r="R10606" t="s">
        <v>27253</v>
      </c>
      <c r="S10606" t="s">
        <v>27254</v>
      </c>
      <c r="T10606" t="s">
        <v>27255</v>
      </c>
    </row>
    <row r="10607" spans="1:20" x14ac:dyDescent="0.3">
      <c r="A10607" t="str">
        <f>"0611838491100"</f>
        <v>0611838491100</v>
      </c>
      <c r="B10607" t="str">
        <f>"LF5860"</f>
        <v>LF5860</v>
      </c>
      <c r="C10607" t="s">
        <v>47767</v>
      </c>
      <c r="D10607" t="s">
        <v>27245</v>
      </c>
      <c r="E10607" t="str">
        <f t="shared" si="165"/>
        <v>001390</v>
      </c>
      <c r="F10607" t="s">
        <v>27246</v>
      </c>
      <c r="G10607" t="s">
        <v>27247</v>
      </c>
      <c r="H10607" t="s">
        <v>27248</v>
      </c>
      <c r="I10607" t="s">
        <v>47768</v>
      </c>
      <c r="J10607" t="s">
        <v>21224</v>
      </c>
      <c r="L10607" t="s">
        <v>27250</v>
      </c>
      <c r="M10607" t="s">
        <v>27251</v>
      </c>
      <c r="N10607" t="s">
        <v>27252</v>
      </c>
      <c r="Q10607" s="1">
        <v>44538</v>
      </c>
      <c r="R10607" t="s">
        <v>27253</v>
      </c>
      <c r="S10607" t="s">
        <v>27254</v>
      </c>
      <c r="T10607" t="s">
        <v>27255</v>
      </c>
    </row>
    <row r="10608" spans="1:20" x14ac:dyDescent="0.3">
      <c r="A10608" t="str">
        <f>"0611884404100"</f>
        <v>0611884404100</v>
      </c>
      <c r="B10608" t="str">
        <f>"LF9113"</f>
        <v>LF9113</v>
      </c>
      <c r="C10608" t="s">
        <v>47769</v>
      </c>
      <c r="D10608" t="s">
        <v>27245</v>
      </c>
      <c r="E10608" t="str">
        <f t="shared" si="165"/>
        <v>001390</v>
      </c>
      <c r="F10608" t="s">
        <v>27246</v>
      </c>
      <c r="G10608" t="s">
        <v>27247</v>
      </c>
      <c r="H10608" t="s">
        <v>27248</v>
      </c>
      <c r="I10608" t="s">
        <v>47770</v>
      </c>
      <c r="J10608" t="s">
        <v>21226</v>
      </c>
      <c r="L10608" t="s">
        <v>27430</v>
      </c>
      <c r="M10608" t="s">
        <v>27251</v>
      </c>
      <c r="N10608" t="s">
        <v>27252</v>
      </c>
      <c r="Q10608" s="1">
        <v>45250</v>
      </c>
      <c r="R10608" t="s">
        <v>27253</v>
      </c>
      <c r="S10608" t="s">
        <v>27254</v>
      </c>
      <c r="T10608" t="s">
        <v>27255</v>
      </c>
    </row>
    <row r="10609" spans="1:20" x14ac:dyDescent="0.3">
      <c r="A10609" t="str">
        <f>"0611838492100"</f>
        <v>0611838492100</v>
      </c>
      <c r="B10609" t="str">
        <f>"LF5853"</f>
        <v>LF5853</v>
      </c>
      <c r="C10609" t="s">
        <v>47771</v>
      </c>
      <c r="D10609" t="s">
        <v>27245</v>
      </c>
      <c r="E10609" t="str">
        <f t="shared" si="165"/>
        <v>001390</v>
      </c>
      <c r="F10609" t="s">
        <v>27246</v>
      </c>
      <c r="G10609" t="s">
        <v>27247</v>
      </c>
      <c r="H10609" t="s">
        <v>27248</v>
      </c>
      <c r="I10609" t="s">
        <v>47772</v>
      </c>
      <c r="J10609" t="s">
        <v>21228</v>
      </c>
      <c r="L10609" t="s">
        <v>27250</v>
      </c>
      <c r="M10609" t="s">
        <v>27251</v>
      </c>
      <c r="N10609" t="s">
        <v>27252</v>
      </c>
      <c r="Q10609" s="1">
        <v>44538</v>
      </c>
      <c r="R10609" t="s">
        <v>27253</v>
      </c>
      <c r="S10609" t="s">
        <v>27254</v>
      </c>
      <c r="T10609" t="s">
        <v>27255</v>
      </c>
    </row>
    <row r="10610" spans="1:20" x14ac:dyDescent="0.3">
      <c r="A10610" t="str">
        <f>"0611863858100"</f>
        <v>0611863858100</v>
      </c>
      <c r="B10610" t="str">
        <f>"CN2330"</f>
        <v>CN2330</v>
      </c>
      <c r="C10610" t="s">
        <v>47773</v>
      </c>
      <c r="D10610" t="s">
        <v>27245</v>
      </c>
      <c r="E10610" t="str">
        <f t="shared" si="165"/>
        <v>001390</v>
      </c>
      <c r="F10610" t="s">
        <v>27246</v>
      </c>
      <c r="G10610" t="s">
        <v>27247</v>
      </c>
      <c r="H10610" t="s">
        <v>27248</v>
      </c>
      <c r="I10610" t="s">
        <v>47774</v>
      </c>
      <c r="J10610" t="s">
        <v>21230</v>
      </c>
      <c r="L10610" t="s">
        <v>27250</v>
      </c>
      <c r="M10610" t="s">
        <v>27251</v>
      </c>
      <c r="N10610" t="s">
        <v>27252</v>
      </c>
      <c r="Q10610" s="1">
        <v>44846</v>
      </c>
      <c r="R10610" t="s">
        <v>27253</v>
      </c>
      <c r="S10610" t="s">
        <v>27254</v>
      </c>
      <c r="T10610" t="s">
        <v>27255</v>
      </c>
    </row>
    <row r="10611" spans="1:20" x14ac:dyDescent="0.3">
      <c r="A10611" t="str">
        <f>"0611863859100"</f>
        <v>0611863859100</v>
      </c>
      <c r="B10611" t="str">
        <f>"CN2321"</f>
        <v>CN2321</v>
      </c>
      <c r="C10611" t="s">
        <v>47775</v>
      </c>
      <c r="D10611" t="s">
        <v>27245</v>
      </c>
      <c r="E10611" t="str">
        <f t="shared" si="165"/>
        <v>001390</v>
      </c>
      <c r="F10611" t="s">
        <v>27246</v>
      </c>
      <c r="G10611" t="s">
        <v>27247</v>
      </c>
      <c r="H10611" t="s">
        <v>27248</v>
      </c>
      <c r="I10611" t="s">
        <v>47776</v>
      </c>
      <c r="J10611" t="s">
        <v>21232</v>
      </c>
      <c r="L10611" t="s">
        <v>27250</v>
      </c>
      <c r="M10611" t="s">
        <v>27251</v>
      </c>
      <c r="N10611" t="s">
        <v>27252</v>
      </c>
      <c r="Q10611" s="1">
        <v>44846</v>
      </c>
      <c r="R10611" t="s">
        <v>27253</v>
      </c>
      <c r="S10611" t="s">
        <v>27254</v>
      </c>
      <c r="T10611" t="s">
        <v>27255</v>
      </c>
    </row>
    <row r="10612" spans="1:20" x14ac:dyDescent="0.3">
      <c r="A10612" t="str">
        <f>"0611838493100"</f>
        <v>0611838493100</v>
      </c>
      <c r="B10612" t="str">
        <f>"LF0017"</f>
        <v>LF0017</v>
      </c>
      <c r="C10612" t="s">
        <v>47777</v>
      </c>
      <c r="D10612" t="s">
        <v>27245</v>
      </c>
      <c r="E10612" t="str">
        <f t="shared" si="165"/>
        <v>001390</v>
      </c>
      <c r="F10612" t="s">
        <v>27246</v>
      </c>
      <c r="G10612" t="s">
        <v>27247</v>
      </c>
      <c r="H10612" t="s">
        <v>27248</v>
      </c>
      <c r="I10612" t="s">
        <v>47778</v>
      </c>
      <c r="J10612" t="s">
        <v>21234</v>
      </c>
      <c r="L10612" t="s">
        <v>27250</v>
      </c>
      <c r="M10612" t="s">
        <v>27251</v>
      </c>
      <c r="N10612" t="s">
        <v>27252</v>
      </c>
      <c r="Q10612" s="1">
        <v>44538</v>
      </c>
      <c r="R10612" t="s">
        <v>27253</v>
      </c>
      <c r="S10612" t="s">
        <v>27254</v>
      </c>
      <c r="T10612" t="s">
        <v>27255</v>
      </c>
    </row>
    <row r="10613" spans="1:20" x14ac:dyDescent="0.3">
      <c r="A10613" t="str">
        <f>"0611838494100"</f>
        <v>0611838494100</v>
      </c>
      <c r="B10613" t="str">
        <f>"LF0038"</f>
        <v>LF0038</v>
      </c>
      <c r="C10613" t="s">
        <v>47779</v>
      </c>
      <c r="D10613" t="s">
        <v>27245</v>
      </c>
      <c r="E10613" t="str">
        <f t="shared" si="165"/>
        <v>001390</v>
      </c>
      <c r="F10613" t="s">
        <v>27246</v>
      </c>
      <c r="G10613" t="s">
        <v>27247</v>
      </c>
      <c r="H10613" t="s">
        <v>27248</v>
      </c>
      <c r="I10613" t="s">
        <v>47780</v>
      </c>
      <c r="J10613" t="s">
        <v>21236</v>
      </c>
      <c r="L10613" t="s">
        <v>27250</v>
      </c>
      <c r="M10613" t="s">
        <v>27251</v>
      </c>
      <c r="N10613" t="s">
        <v>27252</v>
      </c>
      <c r="Q10613" s="1">
        <v>44538</v>
      </c>
      <c r="R10613" t="s">
        <v>27253</v>
      </c>
      <c r="S10613" t="s">
        <v>27254</v>
      </c>
      <c r="T10613" t="s">
        <v>27255</v>
      </c>
    </row>
    <row r="10614" spans="1:20" x14ac:dyDescent="0.3">
      <c r="A10614" t="str">
        <f>"0611831036100"</f>
        <v>0611831036100</v>
      </c>
      <c r="B10614" t="str">
        <f>"LF0600"</f>
        <v>LF0600</v>
      </c>
      <c r="C10614" t="s">
        <v>47781</v>
      </c>
      <c r="D10614" t="s">
        <v>27245</v>
      </c>
      <c r="E10614" t="str">
        <f t="shared" si="165"/>
        <v>001390</v>
      </c>
      <c r="F10614" t="s">
        <v>27246</v>
      </c>
      <c r="G10614" t="s">
        <v>27247</v>
      </c>
      <c r="H10614" t="s">
        <v>27248</v>
      </c>
      <c r="I10614" t="s">
        <v>47782</v>
      </c>
      <c r="J10614" t="s">
        <v>21238</v>
      </c>
      <c r="L10614" t="s">
        <v>27250</v>
      </c>
      <c r="M10614" t="s">
        <v>27251</v>
      </c>
      <c r="N10614" t="s">
        <v>27252</v>
      </c>
      <c r="Q10614" s="1">
        <v>44538</v>
      </c>
      <c r="R10614" t="s">
        <v>27253</v>
      </c>
      <c r="S10614" t="s">
        <v>27254</v>
      </c>
      <c r="T10614" t="s">
        <v>27255</v>
      </c>
    </row>
    <row r="10615" spans="1:20" x14ac:dyDescent="0.3">
      <c r="A10615" t="str">
        <f>"0611838505025"</f>
        <v>0611838505025</v>
      </c>
      <c r="B10615" t="str">
        <f>"MC1628"</f>
        <v>MC1628</v>
      </c>
      <c r="C10615" t="s">
        <v>47783</v>
      </c>
      <c r="D10615" t="s">
        <v>27267</v>
      </c>
      <c r="E10615" t="str">
        <f t="shared" si="165"/>
        <v>001390</v>
      </c>
      <c r="F10615" t="s">
        <v>27246</v>
      </c>
      <c r="G10615" t="s">
        <v>27247</v>
      </c>
      <c r="H10615" t="s">
        <v>27248</v>
      </c>
      <c r="I10615" t="s">
        <v>47784</v>
      </c>
      <c r="J10615" t="s">
        <v>21240</v>
      </c>
      <c r="L10615" t="s">
        <v>27250</v>
      </c>
      <c r="M10615" t="s">
        <v>27251</v>
      </c>
      <c r="N10615" t="s">
        <v>27252</v>
      </c>
      <c r="Q10615" s="1">
        <v>44538</v>
      </c>
      <c r="R10615" t="s">
        <v>27253</v>
      </c>
      <c r="S10615" t="s">
        <v>27254</v>
      </c>
      <c r="T10615" t="s">
        <v>27269</v>
      </c>
    </row>
    <row r="10616" spans="1:20" x14ac:dyDescent="0.3">
      <c r="A10616" t="str">
        <f>"0611838506025"</f>
        <v>0611838506025</v>
      </c>
      <c r="B10616" t="str">
        <f>"MC4408"</f>
        <v>MC4408</v>
      </c>
      <c r="C10616" t="s">
        <v>47785</v>
      </c>
      <c r="D10616" t="s">
        <v>27267</v>
      </c>
      <c r="E10616" t="str">
        <f t="shared" si="165"/>
        <v>001390</v>
      </c>
      <c r="F10616" t="s">
        <v>27246</v>
      </c>
      <c r="G10616" t="s">
        <v>27247</v>
      </c>
      <c r="H10616" t="s">
        <v>27248</v>
      </c>
      <c r="I10616" t="s">
        <v>47786</v>
      </c>
      <c r="J10616" t="s">
        <v>21242</v>
      </c>
      <c r="L10616" t="s">
        <v>27250</v>
      </c>
      <c r="M10616" t="s">
        <v>27251</v>
      </c>
      <c r="N10616" t="s">
        <v>27252</v>
      </c>
      <c r="Q10616" s="1">
        <v>44538</v>
      </c>
      <c r="R10616" t="s">
        <v>27253</v>
      </c>
      <c r="S10616" t="s">
        <v>27254</v>
      </c>
      <c r="T10616" t="s">
        <v>27269</v>
      </c>
    </row>
    <row r="10617" spans="1:20" x14ac:dyDescent="0.3">
      <c r="A10617" t="str">
        <f>"0611838507025"</f>
        <v>0611838507025</v>
      </c>
      <c r="B10617" t="str">
        <f>"MC1629"</f>
        <v>MC1629</v>
      </c>
      <c r="C10617" t="s">
        <v>47787</v>
      </c>
      <c r="D10617" t="s">
        <v>27267</v>
      </c>
      <c r="E10617" t="str">
        <f t="shared" si="165"/>
        <v>001390</v>
      </c>
      <c r="F10617" t="s">
        <v>27246</v>
      </c>
      <c r="G10617" t="s">
        <v>27247</v>
      </c>
      <c r="H10617" t="s">
        <v>27248</v>
      </c>
      <c r="I10617" t="s">
        <v>47788</v>
      </c>
      <c r="J10617" t="s">
        <v>21244</v>
      </c>
      <c r="L10617" t="s">
        <v>27250</v>
      </c>
      <c r="M10617" t="s">
        <v>27251</v>
      </c>
      <c r="N10617" t="s">
        <v>27252</v>
      </c>
      <c r="Q10617" s="1">
        <v>44538</v>
      </c>
      <c r="R10617" t="s">
        <v>27253</v>
      </c>
      <c r="S10617" t="s">
        <v>27254</v>
      </c>
      <c r="T10617" t="s">
        <v>27269</v>
      </c>
    </row>
    <row r="10618" spans="1:20" x14ac:dyDescent="0.3">
      <c r="A10618" t="str">
        <f>"0611838508025"</f>
        <v>0611838508025</v>
      </c>
      <c r="B10618" t="str">
        <f>"MC3402"</f>
        <v>MC3402</v>
      </c>
      <c r="C10618" t="s">
        <v>47789</v>
      </c>
      <c r="D10618" t="s">
        <v>27267</v>
      </c>
      <c r="E10618" t="str">
        <f t="shared" si="165"/>
        <v>001390</v>
      </c>
      <c r="F10618" t="s">
        <v>27246</v>
      </c>
      <c r="G10618" t="s">
        <v>27247</v>
      </c>
      <c r="H10618" t="s">
        <v>27248</v>
      </c>
      <c r="I10618" t="s">
        <v>47790</v>
      </c>
      <c r="J10618" t="s">
        <v>21246</v>
      </c>
      <c r="L10618" t="s">
        <v>27250</v>
      </c>
      <c r="M10618" t="s">
        <v>27251</v>
      </c>
      <c r="N10618" t="s">
        <v>27252</v>
      </c>
      <c r="Q10618" s="1">
        <v>44538</v>
      </c>
      <c r="R10618" t="s">
        <v>27253</v>
      </c>
      <c r="S10618" t="s">
        <v>27254</v>
      </c>
      <c r="T10618" t="s">
        <v>27269</v>
      </c>
    </row>
    <row r="10619" spans="1:20" x14ac:dyDescent="0.3">
      <c r="A10619" t="str">
        <f>"0611838509025"</f>
        <v>0611838509025</v>
      </c>
      <c r="B10619" t="str">
        <f>"MC3789"</f>
        <v>MC3789</v>
      </c>
      <c r="C10619" t="s">
        <v>47791</v>
      </c>
      <c r="D10619" t="s">
        <v>27267</v>
      </c>
      <c r="E10619" t="str">
        <f t="shared" si="165"/>
        <v>001390</v>
      </c>
      <c r="F10619" t="s">
        <v>27246</v>
      </c>
      <c r="G10619" t="s">
        <v>27247</v>
      </c>
      <c r="H10619" t="s">
        <v>27248</v>
      </c>
      <c r="I10619" t="s">
        <v>47792</v>
      </c>
      <c r="J10619" t="s">
        <v>21248</v>
      </c>
      <c r="L10619" t="s">
        <v>27250</v>
      </c>
      <c r="M10619" t="s">
        <v>27251</v>
      </c>
      <c r="N10619" t="s">
        <v>27252</v>
      </c>
      <c r="Q10619" s="1">
        <v>44538</v>
      </c>
      <c r="R10619" t="s">
        <v>27253</v>
      </c>
      <c r="S10619" t="s">
        <v>27254</v>
      </c>
      <c r="T10619" t="s">
        <v>27269</v>
      </c>
    </row>
    <row r="10620" spans="1:20" x14ac:dyDescent="0.3">
      <c r="A10620" t="str">
        <f>"0611838510025"</f>
        <v>0611838510025</v>
      </c>
      <c r="B10620" t="str">
        <f>"MC2760"</f>
        <v>MC2760</v>
      </c>
      <c r="C10620" t="s">
        <v>47793</v>
      </c>
      <c r="D10620" t="s">
        <v>27267</v>
      </c>
      <c r="E10620" t="str">
        <f t="shared" si="165"/>
        <v>001390</v>
      </c>
      <c r="F10620" t="s">
        <v>27246</v>
      </c>
      <c r="G10620" t="s">
        <v>27247</v>
      </c>
      <c r="H10620" t="s">
        <v>27248</v>
      </c>
      <c r="I10620" t="s">
        <v>47794</v>
      </c>
      <c r="J10620" t="s">
        <v>21250</v>
      </c>
      <c r="L10620" t="s">
        <v>27250</v>
      </c>
      <c r="M10620" t="s">
        <v>27251</v>
      </c>
      <c r="N10620" t="s">
        <v>27252</v>
      </c>
      <c r="Q10620" s="1">
        <v>44538</v>
      </c>
      <c r="R10620" t="s">
        <v>27253</v>
      </c>
      <c r="S10620" t="s">
        <v>27254</v>
      </c>
      <c r="T10620" t="s">
        <v>27269</v>
      </c>
    </row>
    <row r="10621" spans="1:20" x14ac:dyDescent="0.3">
      <c r="A10621" t="str">
        <f>"0611838511025"</f>
        <v>0611838511025</v>
      </c>
      <c r="B10621" t="str">
        <f>"MC1630"</f>
        <v>MC1630</v>
      </c>
      <c r="C10621" t="s">
        <v>47795</v>
      </c>
      <c r="D10621" t="s">
        <v>27267</v>
      </c>
      <c r="E10621" t="str">
        <f t="shared" si="165"/>
        <v>001390</v>
      </c>
      <c r="F10621" t="s">
        <v>27246</v>
      </c>
      <c r="G10621" t="s">
        <v>27247</v>
      </c>
      <c r="H10621" t="s">
        <v>27248</v>
      </c>
      <c r="I10621" t="s">
        <v>47796</v>
      </c>
      <c r="J10621" t="s">
        <v>21252</v>
      </c>
      <c r="L10621" t="s">
        <v>27250</v>
      </c>
      <c r="M10621" t="s">
        <v>27251</v>
      </c>
      <c r="N10621" t="s">
        <v>27252</v>
      </c>
      <c r="Q10621" s="1">
        <v>44538</v>
      </c>
      <c r="R10621" t="s">
        <v>27253</v>
      </c>
      <c r="S10621" t="s">
        <v>27254</v>
      </c>
      <c r="T10621" t="s">
        <v>27269</v>
      </c>
    </row>
    <row r="10622" spans="1:20" x14ac:dyDescent="0.3">
      <c r="A10622" t="str">
        <f>"0611838512100"</f>
        <v>0611838512100</v>
      </c>
      <c r="B10622" t="str">
        <f>"LH6639"</f>
        <v>LH6639</v>
      </c>
      <c r="C10622" t="s">
        <v>47797</v>
      </c>
      <c r="D10622" t="s">
        <v>27245</v>
      </c>
      <c r="E10622" t="str">
        <f t="shared" si="165"/>
        <v>001390</v>
      </c>
      <c r="F10622" t="s">
        <v>27246</v>
      </c>
      <c r="G10622" t="s">
        <v>27247</v>
      </c>
      <c r="H10622" t="s">
        <v>27248</v>
      </c>
      <c r="I10622" t="s">
        <v>47798</v>
      </c>
      <c r="J10622" t="s">
        <v>21254</v>
      </c>
      <c r="L10622" t="s">
        <v>27250</v>
      </c>
      <c r="M10622" t="s">
        <v>27251</v>
      </c>
      <c r="N10622" t="s">
        <v>27252</v>
      </c>
      <c r="Q10622" s="1">
        <v>44538</v>
      </c>
      <c r="R10622" t="s">
        <v>27253</v>
      </c>
      <c r="S10622" t="s">
        <v>27254</v>
      </c>
      <c r="T10622" t="s">
        <v>27255</v>
      </c>
    </row>
    <row r="10623" spans="1:20" x14ac:dyDescent="0.3">
      <c r="A10623" t="str">
        <f>"0611838515025"</f>
        <v>0611838515025</v>
      </c>
      <c r="B10623" t="str">
        <f>"MC4304"</f>
        <v>MC4304</v>
      </c>
      <c r="C10623" t="s">
        <v>47799</v>
      </c>
      <c r="D10623" t="s">
        <v>27267</v>
      </c>
      <c r="E10623" t="str">
        <f t="shared" si="165"/>
        <v>001390</v>
      </c>
      <c r="F10623" t="s">
        <v>27246</v>
      </c>
      <c r="G10623" t="s">
        <v>27247</v>
      </c>
      <c r="H10623" t="s">
        <v>27248</v>
      </c>
      <c r="I10623" t="s">
        <v>47800</v>
      </c>
      <c r="J10623" t="s">
        <v>21256</v>
      </c>
      <c r="L10623" t="s">
        <v>27250</v>
      </c>
      <c r="M10623" t="s">
        <v>27251</v>
      </c>
      <c r="N10623" t="s">
        <v>27252</v>
      </c>
      <c r="Q10623" s="1">
        <v>44538</v>
      </c>
      <c r="R10623" t="s">
        <v>27253</v>
      </c>
      <c r="S10623" t="s">
        <v>27254</v>
      </c>
      <c r="T10623" t="s">
        <v>27269</v>
      </c>
    </row>
    <row r="10624" spans="1:20" x14ac:dyDescent="0.3">
      <c r="A10624" t="str">
        <f>"0611838517025"</f>
        <v>0611838517025</v>
      </c>
      <c r="B10624" t="str">
        <f>"MC4306"</f>
        <v>MC4306</v>
      </c>
      <c r="C10624" t="s">
        <v>47801</v>
      </c>
      <c r="D10624" t="s">
        <v>27267</v>
      </c>
      <c r="E10624" t="str">
        <f t="shared" si="165"/>
        <v>001390</v>
      </c>
      <c r="F10624" t="s">
        <v>27246</v>
      </c>
      <c r="G10624" t="s">
        <v>27247</v>
      </c>
      <c r="H10624" t="s">
        <v>27248</v>
      </c>
      <c r="I10624" t="s">
        <v>47802</v>
      </c>
      <c r="J10624" t="s">
        <v>21258</v>
      </c>
      <c r="L10624" t="s">
        <v>27250</v>
      </c>
      <c r="M10624" t="s">
        <v>27251</v>
      </c>
      <c r="N10624" t="s">
        <v>27252</v>
      </c>
      <c r="Q10624" s="1">
        <v>44538</v>
      </c>
      <c r="R10624" t="s">
        <v>27253</v>
      </c>
      <c r="S10624" t="s">
        <v>27254</v>
      </c>
      <c r="T10624" t="s">
        <v>27269</v>
      </c>
    </row>
    <row r="10625" spans="1:20" x14ac:dyDescent="0.3">
      <c r="A10625" t="str">
        <f>"0611838518025"</f>
        <v>0611838518025</v>
      </c>
      <c r="B10625" t="str">
        <f>"MC4307"</f>
        <v>MC4307</v>
      </c>
      <c r="C10625" t="s">
        <v>47803</v>
      </c>
      <c r="D10625" t="s">
        <v>27267</v>
      </c>
      <c r="E10625" t="str">
        <f t="shared" si="165"/>
        <v>001390</v>
      </c>
      <c r="F10625" t="s">
        <v>27246</v>
      </c>
      <c r="G10625" t="s">
        <v>27247</v>
      </c>
      <c r="H10625" t="s">
        <v>27248</v>
      </c>
      <c r="I10625" t="s">
        <v>47804</v>
      </c>
      <c r="J10625" t="s">
        <v>21260</v>
      </c>
      <c r="L10625" t="s">
        <v>27250</v>
      </c>
      <c r="M10625" t="s">
        <v>27251</v>
      </c>
      <c r="N10625" t="s">
        <v>27252</v>
      </c>
      <c r="Q10625" s="1">
        <v>44538</v>
      </c>
      <c r="R10625" t="s">
        <v>27253</v>
      </c>
      <c r="S10625" t="s">
        <v>27254</v>
      </c>
      <c r="T10625" t="s">
        <v>27269</v>
      </c>
    </row>
    <row r="10626" spans="1:20" x14ac:dyDescent="0.3">
      <c r="A10626" t="str">
        <f>"0611838519100"</f>
        <v>0611838519100</v>
      </c>
      <c r="B10626" t="str">
        <f>"LH8723"</f>
        <v>LH8723</v>
      </c>
      <c r="C10626" t="s">
        <v>47805</v>
      </c>
      <c r="D10626" t="s">
        <v>27245</v>
      </c>
      <c r="E10626" t="str">
        <f t="shared" ref="E10626:E10689" si="166">"001390"</f>
        <v>001390</v>
      </c>
      <c r="F10626" t="s">
        <v>27246</v>
      </c>
      <c r="G10626" t="s">
        <v>27247</v>
      </c>
      <c r="H10626" t="s">
        <v>27248</v>
      </c>
      <c r="I10626" t="s">
        <v>47806</v>
      </c>
      <c r="J10626" t="s">
        <v>21262</v>
      </c>
      <c r="L10626" t="s">
        <v>27250</v>
      </c>
      <c r="M10626" t="s">
        <v>27251</v>
      </c>
      <c r="N10626" t="s">
        <v>27252</v>
      </c>
      <c r="Q10626" s="1">
        <v>44538</v>
      </c>
      <c r="R10626" t="s">
        <v>27253</v>
      </c>
      <c r="S10626" t="s">
        <v>27254</v>
      </c>
      <c r="T10626" t="s">
        <v>27255</v>
      </c>
    </row>
    <row r="10627" spans="1:20" x14ac:dyDescent="0.3">
      <c r="A10627" t="str">
        <f>"0611838520025"</f>
        <v>0611838520025</v>
      </c>
      <c r="B10627" t="str">
        <f>"MC0627"</f>
        <v>MC0627</v>
      </c>
      <c r="C10627" t="s">
        <v>47805</v>
      </c>
      <c r="D10627" t="s">
        <v>27267</v>
      </c>
      <c r="E10627" t="str">
        <f t="shared" si="166"/>
        <v>001390</v>
      </c>
      <c r="F10627" t="s">
        <v>27246</v>
      </c>
      <c r="G10627" t="s">
        <v>27247</v>
      </c>
      <c r="H10627" t="s">
        <v>27248</v>
      </c>
      <c r="I10627" t="s">
        <v>47807</v>
      </c>
      <c r="J10627" t="s">
        <v>21264</v>
      </c>
      <c r="L10627" t="s">
        <v>27250</v>
      </c>
      <c r="M10627" t="s">
        <v>27251</v>
      </c>
      <c r="N10627" t="s">
        <v>27252</v>
      </c>
      <c r="Q10627" s="1">
        <v>44538</v>
      </c>
      <c r="R10627" t="s">
        <v>27253</v>
      </c>
      <c r="S10627" t="s">
        <v>27254</v>
      </c>
      <c r="T10627" t="s">
        <v>27269</v>
      </c>
    </row>
    <row r="10628" spans="1:20" x14ac:dyDescent="0.3">
      <c r="A10628" t="str">
        <f>"0611838521025"</f>
        <v>0611838521025</v>
      </c>
      <c r="B10628" t="str">
        <f>"MC4308"</f>
        <v>MC4308</v>
      </c>
      <c r="C10628" t="s">
        <v>47808</v>
      </c>
      <c r="D10628" t="s">
        <v>28057</v>
      </c>
      <c r="E10628" t="str">
        <f t="shared" si="166"/>
        <v>001390</v>
      </c>
      <c r="F10628" t="s">
        <v>27246</v>
      </c>
      <c r="G10628" t="s">
        <v>27247</v>
      </c>
      <c r="H10628" t="s">
        <v>27248</v>
      </c>
      <c r="I10628" t="s">
        <v>47809</v>
      </c>
      <c r="J10628" t="s">
        <v>21266</v>
      </c>
      <c r="L10628" t="s">
        <v>27250</v>
      </c>
      <c r="M10628" t="s">
        <v>27251</v>
      </c>
      <c r="N10628" t="s">
        <v>27252</v>
      </c>
      <c r="P10628" t="s">
        <v>27925</v>
      </c>
      <c r="Q10628" s="1">
        <v>44538</v>
      </c>
      <c r="R10628" t="s">
        <v>27253</v>
      </c>
      <c r="S10628" t="s">
        <v>27254</v>
      </c>
      <c r="T10628" t="s">
        <v>27269</v>
      </c>
    </row>
    <row r="10629" spans="1:20" x14ac:dyDescent="0.3">
      <c r="A10629" t="str">
        <f>"0611857083025"</f>
        <v>0611857083025</v>
      </c>
      <c r="B10629" t="str">
        <f>"MC4445"</f>
        <v>MC4445</v>
      </c>
      <c r="C10629" t="s">
        <v>47810</v>
      </c>
      <c r="D10629" t="s">
        <v>28057</v>
      </c>
      <c r="E10629" t="str">
        <f t="shared" si="166"/>
        <v>001390</v>
      </c>
      <c r="F10629" t="s">
        <v>27246</v>
      </c>
      <c r="G10629" t="s">
        <v>27247</v>
      </c>
      <c r="H10629" t="s">
        <v>27248</v>
      </c>
      <c r="I10629" t="s">
        <v>47811</v>
      </c>
      <c r="J10629" t="s">
        <v>21268</v>
      </c>
      <c r="L10629" t="s">
        <v>27250</v>
      </c>
      <c r="M10629" t="s">
        <v>27251</v>
      </c>
      <c r="N10629" t="s">
        <v>27252</v>
      </c>
      <c r="P10629" t="s">
        <v>27925</v>
      </c>
      <c r="Q10629" s="1">
        <v>44812</v>
      </c>
      <c r="R10629" t="s">
        <v>27253</v>
      </c>
      <c r="S10629" t="s">
        <v>27254</v>
      </c>
      <c r="T10629" t="s">
        <v>27269</v>
      </c>
    </row>
    <row r="10630" spans="1:20" x14ac:dyDescent="0.3">
      <c r="A10630" t="str">
        <f>"0611838522100"</f>
        <v>0611838522100</v>
      </c>
      <c r="B10630" t="str">
        <f>"MB5915"</f>
        <v>MB5915</v>
      </c>
      <c r="C10630" t="s">
        <v>47812</v>
      </c>
      <c r="D10630" t="s">
        <v>27274</v>
      </c>
      <c r="E10630" t="str">
        <f t="shared" si="166"/>
        <v>001390</v>
      </c>
      <c r="F10630" t="s">
        <v>27246</v>
      </c>
      <c r="G10630" t="s">
        <v>27247</v>
      </c>
      <c r="H10630" t="s">
        <v>27248</v>
      </c>
      <c r="I10630" t="s">
        <v>47813</v>
      </c>
      <c r="J10630" t="s">
        <v>21270</v>
      </c>
      <c r="L10630" t="s">
        <v>27250</v>
      </c>
      <c r="M10630" t="s">
        <v>27251</v>
      </c>
      <c r="N10630" t="s">
        <v>27252</v>
      </c>
      <c r="Q10630" s="1">
        <v>44538</v>
      </c>
      <c r="R10630" t="s">
        <v>27253</v>
      </c>
      <c r="S10630" t="s">
        <v>27254</v>
      </c>
      <c r="T10630" t="s">
        <v>27276</v>
      </c>
    </row>
    <row r="10631" spans="1:20" x14ac:dyDescent="0.3">
      <c r="A10631" t="str">
        <f>"0611838523100"</f>
        <v>0611838523100</v>
      </c>
      <c r="B10631" t="str">
        <f>"LF5915"</f>
        <v>LF5915</v>
      </c>
      <c r="C10631" t="s">
        <v>47812</v>
      </c>
      <c r="D10631" t="s">
        <v>27245</v>
      </c>
      <c r="E10631" t="str">
        <f t="shared" si="166"/>
        <v>001390</v>
      </c>
      <c r="F10631" t="s">
        <v>27246</v>
      </c>
      <c r="G10631" t="s">
        <v>27247</v>
      </c>
      <c r="H10631" t="s">
        <v>27248</v>
      </c>
      <c r="I10631" t="s">
        <v>47814</v>
      </c>
      <c r="J10631" t="s">
        <v>21272</v>
      </c>
      <c r="L10631" t="s">
        <v>27250</v>
      </c>
      <c r="M10631" t="s">
        <v>27251</v>
      </c>
      <c r="N10631" t="s">
        <v>27252</v>
      </c>
      <c r="Q10631" s="1">
        <v>44538</v>
      </c>
      <c r="R10631" t="s">
        <v>27253</v>
      </c>
      <c r="S10631" t="s">
        <v>27254</v>
      </c>
      <c r="T10631" t="s">
        <v>27255</v>
      </c>
    </row>
    <row r="10632" spans="1:20" x14ac:dyDescent="0.3">
      <c r="A10632" t="str">
        <f>"0611863860050"</f>
        <v>0611863860050</v>
      </c>
      <c r="B10632" t="str">
        <f>"CE1424"</f>
        <v>CE1424</v>
      </c>
      <c r="C10632" t="s">
        <v>47815</v>
      </c>
      <c r="D10632" t="s">
        <v>27263</v>
      </c>
      <c r="E10632" t="str">
        <f t="shared" si="166"/>
        <v>001390</v>
      </c>
      <c r="F10632" t="s">
        <v>27246</v>
      </c>
      <c r="G10632" t="s">
        <v>27247</v>
      </c>
      <c r="H10632" t="s">
        <v>27248</v>
      </c>
      <c r="I10632" t="s">
        <v>47816</v>
      </c>
      <c r="J10632" t="s">
        <v>21274</v>
      </c>
      <c r="L10632" t="s">
        <v>27250</v>
      </c>
      <c r="M10632" t="s">
        <v>27251</v>
      </c>
      <c r="N10632" t="s">
        <v>27252</v>
      </c>
      <c r="Q10632" s="1">
        <v>44846</v>
      </c>
      <c r="R10632" t="s">
        <v>27253</v>
      </c>
      <c r="S10632" t="s">
        <v>27254</v>
      </c>
      <c r="T10632" t="s">
        <v>27265</v>
      </c>
    </row>
    <row r="10633" spans="1:20" x14ac:dyDescent="0.3">
      <c r="A10633" t="str">
        <f>"0611838524100"</f>
        <v>0611838524100</v>
      </c>
      <c r="B10633" t="str">
        <f>"LK6833"</f>
        <v>LK6833</v>
      </c>
      <c r="C10633" t="s">
        <v>47817</v>
      </c>
      <c r="D10633" t="s">
        <v>27245</v>
      </c>
      <c r="E10633" t="str">
        <f t="shared" si="166"/>
        <v>001390</v>
      </c>
      <c r="F10633" t="s">
        <v>27246</v>
      </c>
      <c r="G10633" t="s">
        <v>27247</v>
      </c>
      <c r="H10633" t="s">
        <v>27248</v>
      </c>
      <c r="I10633" t="s">
        <v>47818</v>
      </c>
      <c r="J10633" t="s">
        <v>21276</v>
      </c>
      <c r="L10633" t="s">
        <v>27250</v>
      </c>
      <c r="M10633" t="s">
        <v>27251</v>
      </c>
      <c r="N10633" t="s">
        <v>27252</v>
      </c>
      <c r="Q10633" s="1">
        <v>44538</v>
      </c>
      <c r="R10633" t="s">
        <v>27253</v>
      </c>
      <c r="S10633" t="s">
        <v>27254</v>
      </c>
      <c r="T10633" t="s">
        <v>27255</v>
      </c>
    </row>
    <row r="10634" spans="1:20" x14ac:dyDescent="0.3">
      <c r="A10634" t="str">
        <f>"0611838525100"</f>
        <v>0611838525100</v>
      </c>
      <c r="B10634" t="str">
        <f>"LD0048"</f>
        <v>LD0048</v>
      </c>
      <c r="C10634" t="s">
        <v>47819</v>
      </c>
      <c r="D10634" t="s">
        <v>27245</v>
      </c>
      <c r="E10634" t="str">
        <f t="shared" si="166"/>
        <v>001390</v>
      </c>
      <c r="F10634" t="s">
        <v>27246</v>
      </c>
      <c r="G10634" t="s">
        <v>27247</v>
      </c>
      <c r="H10634" t="s">
        <v>27248</v>
      </c>
      <c r="I10634" t="s">
        <v>47820</v>
      </c>
      <c r="J10634" t="s">
        <v>21278</v>
      </c>
      <c r="L10634" t="s">
        <v>27250</v>
      </c>
      <c r="M10634" t="s">
        <v>27251</v>
      </c>
      <c r="N10634" t="s">
        <v>27252</v>
      </c>
      <c r="Q10634" s="1">
        <v>44538</v>
      </c>
      <c r="R10634" t="s">
        <v>27253</v>
      </c>
      <c r="S10634" t="s">
        <v>27254</v>
      </c>
      <c r="T10634" t="s">
        <v>27255</v>
      </c>
    </row>
    <row r="10635" spans="1:20" x14ac:dyDescent="0.3">
      <c r="A10635" t="str">
        <f>"0611838526100"</f>
        <v>0611838526100</v>
      </c>
      <c r="B10635" t="str">
        <f>"LD0049"</f>
        <v>LD0049</v>
      </c>
      <c r="C10635" t="s">
        <v>47821</v>
      </c>
      <c r="D10635" t="s">
        <v>27245</v>
      </c>
      <c r="E10635" t="str">
        <f t="shared" si="166"/>
        <v>001390</v>
      </c>
      <c r="F10635" t="s">
        <v>27246</v>
      </c>
      <c r="G10635" t="s">
        <v>27247</v>
      </c>
      <c r="H10635" t="s">
        <v>27248</v>
      </c>
      <c r="I10635" t="s">
        <v>47822</v>
      </c>
      <c r="J10635" t="s">
        <v>21280</v>
      </c>
      <c r="L10635" t="s">
        <v>27250</v>
      </c>
      <c r="M10635" t="s">
        <v>27251</v>
      </c>
      <c r="N10635" t="s">
        <v>27252</v>
      </c>
      <c r="Q10635" s="1">
        <v>44538</v>
      </c>
      <c r="R10635" t="s">
        <v>27253</v>
      </c>
      <c r="S10635" t="s">
        <v>27254</v>
      </c>
      <c r="T10635" t="s">
        <v>27255</v>
      </c>
    </row>
    <row r="10636" spans="1:20" x14ac:dyDescent="0.3">
      <c r="A10636" t="str">
        <f>"0611838527100"</f>
        <v>0611838527100</v>
      </c>
      <c r="B10636" t="str">
        <f>"LQ3757"</f>
        <v>LQ3757</v>
      </c>
      <c r="C10636" t="s">
        <v>47823</v>
      </c>
      <c r="D10636" t="s">
        <v>27245</v>
      </c>
      <c r="E10636" t="str">
        <f t="shared" si="166"/>
        <v>001390</v>
      </c>
      <c r="F10636" t="s">
        <v>27246</v>
      </c>
      <c r="G10636" t="s">
        <v>27247</v>
      </c>
      <c r="H10636" t="s">
        <v>27248</v>
      </c>
      <c r="I10636" t="s">
        <v>47824</v>
      </c>
      <c r="J10636" t="s">
        <v>21282</v>
      </c>
      <c r="L10636" t="s">
        <v>27250</v>
      </c>
      <c r="M10636" t="s">
        <v>27251</v>
      </c>
      <c r="N10636" t="s">
        <v>27252</v>
      </c>
      <c r="Q10636" s="1">
        <v>44538</v>
      </c>
      <c r="R10636" t="s">
        <v>27253</v>
      </c>
      <c r="S10636" t="s">
        <v>27254</v>
      </c>
      <c r="T10636" t="s">
        <v>27255</v>
      </c>
    </row>
    <row r="10637" spans="1:20" x14ac:dyDescent="0.3">
      <c r="A10637" t="str">
        <f>"0611863861050"</f>
        <v>0611863861050</v>
      </c>
      <c r="B10637" t="str">
        <f>"CR4066"</f>
        <v>CR4066</v>
      </c>
      <c r="C10637" t="s">
        <v>47823</v>
      </c>
      <c r="D10637" t="s">
        <v>27263</v>
      </c>
      <c r="E10637" t="str">
        <f t="shared" si="166"/>
        <v>001390</v>
      </c>
      <c r="F10637" t="s">
        <v>27246</v>
      </c>
      <c r="G10637" t="s">
        <v>27247</v>
      </c>
      <c r="H10637" t="s">
        <v>27248</v>
      </c>
      <c r="I10637" t="s">
        <v>47825</v>
      </c>
      <c r="J10637" t="s">
        <v>21284</v>
      </c>
      <c r="L10637" t="s">
        <v>27250</v>
      </c>
      <c r="M10637" t="s">
        <v>27251</v>
      </c>
      <c r="N10637" t="s">
        <v>27252</v>
      </c>
      <c r="Q10637" s="1">
        <v>44846</v>
      </c>
      <c r="R10637" t="s">
        <v>27253</v>
      </c>
      <c r="S10637" t="s">
        <v>27254</v>
      </c>
      <c r="T10637" t="s">
        <v>27265</v>
      </c>
    </row>
    <row r="10638" spans="1:20" x14ac:dyDescent="0.3">
      <c r="A10638" t="str">
        <f>"0611838528100"</f>
        <v>0611838528100</v>
      </c>
      <c r="B10638" t="str">
        <f>"LB3200"</f>
        <v>LB3200</v>
      </c>
      <c r="C10638" t="s">
        <v>47826</v>
      </c>
      <c r="D10638" t="s">
        <v>27245</v>
      </c>
      <c r="E10638" t="str">
        <f t="shared" si="166"/>
        <v>001390</v>
      </c>
      <c r="F10638" t="s">
        <v>27246</v>
      </c>
      <c r="G10638" t="s">
        <v>27247</v>
      </c>
      <c r="H10638" t="s">
        <v>27248</v>
      </c>
      <c r="I10638" t="s">
        <v>47827</v>
      </c>
      <c r="J10638" t="s">
        <v>21286</v>
      </c>
      <c r="L10638" t="s">
        <v>27250</v>
      </c>
      <c r="M10638" t="s">
        <v>27251</v>
      </c>
      <c r="N10638" t="s">
        <v>27252</v>
      </c>
      <c r="Q10638" s="1">
        <v>44538</v>
      </c>
      <c r="R10638" t="s">
        <v>27253</v>
      </c>
      <c r="S10638" t="s">
        <v>27254</v>
      </c>
      <c r="T10638" t="s">
        <v>27255</v>
      </c>
    </row>
    <row r="10639" spans="1:20" x14ac:dyDescent="0.3">
      <c r="A10639" t="str">
        <f>"0611838529100"</f>
        <v>0611838529100</v>
      </c>
      <c r="B10639" t="str">
        <f>"LK5796"</f>
        <v>LK5796</v>
      </c>
      <c r="C10639" t="s">
        <v>47828</v>
      </c>
      <c r="D10639" t="s">
        <v>27245</v>
      </c>
      <c r="E10639" t="str">
        <f t="shared" si="166"/>
        <v>001390</v>
      </c>
      <c r="F10639" t="s">
        <v>27246</v>
      </c>
      <c r="G10639" t="s">
        <v>27247</v>
      </c>
      <c r="H10639" t="s">
        <v>27248</v>
      </c>
      <c r="I10639" t="s">
        <v>47829</v>
      </c>
      <c r="J10639" t="s">
        <v>21288</v>
      </c>
      <c r="L10639" t="s">
        <v>27250</v>
      </c>
      <c r="M10639" t="s">
        <v>27251</v>
      </c>
      <c r="N10639" t="s">
        <v>27252</v>
      </c>
      <c r="Q10639" s="1">
        <v>44538</v>
      </c>
      <c r="R10639" t="s">
        <v>27253</v>
      </c>
      <c r="S10639" t="s">
        <v>27254</v>
      </c>
      <c r="T10639" t="s">
        <v>27255</v>
      </c>
    </row>
    <row r="10640" spans="1:20" x14ac:dyDescent="0.3">
      <c r="A10640" t="str">
        <f>"0611863862050"</f>
        <v>0611863862050</v>
      </c>
      <c r="B10640" t="str">
        <f>"CR2995"</f>
        <v>CR2995</v>
      </c>
      <c r="C10640" t="s">
        <v>47828</v>
      </c>
      <c r="D10640" t="s">
        <v>27263</v>
      </c>
      <c r="E10640" t="str">
        <f t="shared" si="166"/>
        <v>001390</v>
      </c>
      <c r="F10640" t="s">
        <v>27246</v>
      </c>
      <c r="G10640" t="s">
        <v>27247</v>
      </c>
      <c r="H10640" t="s">
        <v>27248</v>
      </c>
      <c r="I10640" t="s">
        <v>47830</v>
      </c>
      <c r="J10640" t="s">
        <v>21290</v>
      </c>
      <c r="L10640" t="s">
        <v>27250</v>
      </c>
      <c r="M10640" t="s">
        <v>27251</v>
      </c>
      <c r="N10640" t="s">
        <v>27252</v>
      </c>
      <c r="Q10640" s="1">
        <v>44846</v>
      </c>
      <c r="R10640" t="s">
        <v>27253</v>
      </c>
      <c r="S10640" t="s">
        <v>27254</v>
      </c>
      <c r="T10640" t="s">
        <v>27265</v>
      </c>
    </row>
    <row r="10641" spans="1:20" x14ac:dyDescent="0.3">
      <c r="A10641" t="str">
        <f>"0611838530100"</f>
        <v>0611838530100</v>
      </c>
      <c r="B10641" t="str">
        <f>"LF5918"</f>
        <v>LF5918</v>
      </c>
      <c r="C10641" t="s">
        <v>47831</v>
      </c>
      <c r="D10641" t="s">
        <v>27245</v>
      </c>
      <c r="E10641" t="str">
        <f t="shared" si="166"/>
        <v>001390</v>
      </c>
      <c r="F10641" t="s">
        <v>27246</v>
      </c>
      <c r="G10641" t="s">
        <v>27247</v>
      </c>
      <c r="H10641" t="s">
        <v>27248</v>
      </c>
      <c r="I10641" t="s">
        <v>47832</v>
      </c>
      <c r="J10641" t="s">
        <v>21292</v>
      </c>
      <c r="L10641" t="s">
        <v>27250</v>
      </c>
      <c r="M10641" t="s">
        <v>27251</v>
      </c>
      <c r="N10641" t="s">
        <v>27252</v>
      </c>
      <c r="Q10641" s="1">
        <v>44538</v>
      </c>
      <c r="R10641" t="s">
        <v>27253</v>
      </c>
      <c r="S10641" t="s">
        <v>27254</v>
      </c>
      <c r="T10641" t="s">
        <v>27255</v>
      </c>
    </row>
    <row r="10642" spans="1:20" x14ac:dyDescent="0.3">
      <c r="A10642" t="str">
        <f>"0611838531100"</f>
        <v>0611838531100</v>
      </c>
      <c r="B10642" t="str">
        <f>"LF5923"</f>
        <v>LF5923</v>
      </c>
      <c r="C10642" t="s">
        <v>47833</v>
      </c>
      <c r="D10642" t="s">
        <v>27245</v>
      </c>
      <c r="E10642" t="str">
        <f t="shared" si="166"/>
        <v>001390</v>
      </c>
      <c r="F10642" t="s">
        <v>27246</v>
      </c>
      <c r="G10642" t="s">
        <v>27247</v>
      </c>
      <c r="H10642" t="s">
        <v>27248</v>
      </c>
      <c r="I10642" t="s">
        <v>47834</v>
      </c>
      <c r="J10642" t="s">
        <v>21294</v>
      </c>
      <c r="L10642" t="s">
        <v>27250</v>
      </c>
      <c r="M10642" t="s">
        <v>27251</v>
      </c>
      <c r="N10642" t="s">
        <v>27252</v>
      </c>
      <c r="Q10642" s="1">
        <v>44538</v>
      </c>
      <c r="R10642" t="s">
        <v>27253</v>
      </c>
      <c r="S10642" t="s">
        <v>27254</v>
      </c>
      <c r="T10642" t="s">
        <v>27255</v>
      </c>
    </row>
    <row r="10643" spans="1:20" x14ac:dyDescent="0.3">
      <c r="A10643" t="str">
        <f>"0611838532100"</f>
        <v>0611838532100</v>
      </c>
      <c r="B10643" t="str">
        <f>"LH6660"</f>
        <v>LH6660</v>
      </c>
      <c r="C10643" t="s">
        <v>47835</v>
      </c>
      <c r="D10643" t="s">
        <v>27245</v>
      </c>
      <c r="E10643" t="str">
        <f t="shared" si="166"/>
        <v>001390</v>
      </c>
      <c r="F10643" t="s">
        <v>27246</v>
      </c>
      <c r="G10643" t="s">
        <v>27247</v>
      </c>
      <c r="H10643" t="s">
        <v>27248</v>
      </c>
      <c r="I10643" t="s">
        <v>47836</v>
      </c>
      <c r="J10643" t="s">
        <v>21296</v>
      </c>
      <c r="L10643" t="s">
        <v>27250</v>
      </c>
      <c r="M10643" t="s">
        <v>27251</v>
      </c>
      <c r="N10643" t="s">
        <v>27252</v>
      </c>
      <c r="Q10643" s="1">
        <v>44538</v>
      </c>
      <c r="R10643" t="s">
        <v>27253</v>
      </c>
      <c r="S10643" t="s">
        <v>27254</v>
      </c>
      <c r="T10643" t="s">
        <v>27255</v>
      </c>
    </row>
    <row r="10644" spans="1:20" x14ac:dyDescent="0.3">
      <c r="A10644" t="str">
        <f>"0611884405100"</f>
        <v>0611884405100</v>
      </c>
      <c r="B10644" t="str">
        <f>"LF5916"</f>
        <v>LF5916</v>
      </c>
      <c r="C10644" t="s">
        <v>47837</v>
      </c>
      <c r="D10644" t="s">
        <v>27245</v>
      </c>
      <c r="E10644" t="str">
        <f t="shared" si="166"/>
        <v>001390</v>
      </c>
      <c r="F10644" t="s">
        <v>27246</v>
      </c>
      <c r="G10644" t="s">
        <v>27247</v>
      </c>
      <c r="H10644" t="s">
        <v>27248</v>
      </c>
      <c r="I10644" t="s">
        <v>47838</v>
      </c>
      <c r="J10644" t="s">
        <v>21298</v>
      </c>
      <c r="L10644" t="s">
        <v>27430</v>
      </c>
      <c r="M10644" t="s">
        <v>27251</v>
      </c>
      <c r="N10644" t="s">
        <v>27252</v>
      </c>
      <c r="Q10644" s="1">
        <v>45250</v>
      </c>
      <c r="R10644" t="s">
        <v>27253</v>
      </c>
      <c r="S10644" t="s">
        <v>27254</v>
      </c>
      <c r="T10644" t="s">
        <v>27255</v>
      </c>
    </row>
    <row r="10645" spans="1:20" x14ac:dyDescent="0.3">
      <c r="A10645" t="str">
        <f>"0611838534100"</f>
        <v>0611838534100</v>
      </c>
      <c r="B10645" t="str">
        <f>"LK2579"</f>
        <v>LK2579</v>
      </c>
      <c r="C10645" t="s">
        <v>47839</v>
      </c>
      <c r="D10645" t="s">
        <v>27245</v>
      </c>
      <c r="E10645" t="str">
        <f t="shared" si="166"/>
        <v>001390</v>
      </c>
      <c r="F10645" t="s">
        <v>27246</v>
      </c>
      <c r="G10645" t="s">
        <v>27247</v>
      </c>
      <c r="H10645" t="s">
        <v>27248</v>
      </c>
      <c r="I10645" t="s">
        <v>47840</v>
      </c>
      <c r="J10645" t="s">
        <v>21300</v>
      </c>
      <c r="L10645" t="s">
        <v>27250</v>
      </c>
      <c r="M10645" t="s">
        <v>27251</v>
      </c>
      <c r="N10645" t="s">
        <v>27252</v>
      </c>
      <c r="Q10645" s="1">
        <v>44538</v>
      </c>
      <c r="R10645" t="s">
        <v>27253</v>
      </c>
      <c r="S10645" t="s">
        <v>27254</v>
      </c>
      <c r="T10645" t="s">
        <v>27255</v>
      </c>
    </row>
    <row r="10646" spans="1:20" x14ac:dyDescent="0.3">
      <c r="A10646" t="str">
        <f>"0611863863050"</f>
        <v>0611863863050</v>
      </c>
      <c r="B10646" t="str">
        <f>"CR2524"</f>
        <v>CR2524</v>
      </c>
      <c r="C10646" t="s">
        <v>47839</v>
      </c>
      <c r="D10646" t="s">
        <v>27263</v>
      </c>
      <c r="E10646" t="str">
        <f t="shared" si="166"/>
        <v>001390</v>
      </c>
      <c r="F10646" t="s">
        <v>27246</v>
      </c>
      <c r="G10646" t="s">
        <v>27247</v>
      </c>
      <c r="H10646" t="s">
        <v>27248</v>
      </c>
      <c r="I10646" t="s">
        <v>47841</v>
      </c>
      <c r="J10646" t="s">
        <v>21302</v>
      </c>
      <c r="L10646" t="s">
        <v>27250</v>
      </c>
      <c r="M10646" t="s">
        <v>27251</v>
      </c>
      <c r="N10646" t="s">
        <v>27252</v>
      </c>
      <c r="Q10646" s="1">
        <v>44846</v>
      </c>
      <c r="R10646" t="s">
        <v>27253</v>
      </c>
      <c r="S10646" t="s">
        <v>27254</v>
      </c>
      <c r="T10646" t="s">
        <v>27265</v>
      </c>
    </row>
    <row r="10647" spans="1:20" x14ac:dyDescent="0.3">
      <c r="A10647" t="str">
        <f>"0611838536100"</f>
        <v>0611838536100</v>
      </c>
      <c r="B10647" t="str">
        <f>"LK6765"</f>
        <v>LK6765</v>
      </c>
      <c r="C10647" t="s">
        <v>47842</v>
      </c>
      <c r="D10647" t="s">
        <v>27245</v>
      </c>
      <c r="E10647" t="str">
        <f t="shared" si="166"/>
        <v>001390</v>
      </c>
      <c r="F10647" t="s">
        <v>27246</v>
      </c>
      <c r="G10647" t="s">
        <v>27247</v>
      </c>
      <c r="H10647" t="s">
        <v>27248</v>
      </c>
      <c r="I10647" t="s">
        <v>47843</v>
      </c>
      <c r="J10647" t="s">
        <v>21304</v>
      </c>
      <c r="L10647" t="s">
        <v>27250</v>
      </c>
      <c r="M10647" t="s">
        <v>27251</v>
      </c>
      <c r="N10647" t="s">
        <v>27252</v>
      </c>
      <c r="Q10647" s="1">
        <v>44538</v>
      </c>
      <c r="R10647" t="s">
        <v>27253</v>
      </c>
      <c r="S10647" t="s">
        <v>27254</v>
      </c>
      <c r="T10647" t="s">
        <v>27255</v>
      </c>
    </row>
    <row r="10648" spans="1:20" x14ac:dyDescent="0.3">
      <c r="A10648" t="str">
        <f>"0611838537100"</f>
        <v>0611838537100</v>
      </c>
      <c r="B10648" t="str">
        <f>"LK6766"</f>
        <v>LK6766</v>
      </c>
      <c r="C10648" t="s">
        <v>47844</v>
      </c>
      <c r="D10648" t="s">
        <v>27245</v>
      </c>
      <c r="E10648" t="str">
        <f t="shared" si="166"/>
        <v>001390</v>
      </c>
      <c r="F10648" t="s">
        <v>27246</v>
      </c>
      <c r="G10648" t="s">
        <v>27247</v>
      </c>
      <c r="H10648" t="s">
        <v>27248</v>
      </c>
      <c r="I10648" t="s">
        <v>47845</v>
      </c>
      <c r="J10648" t="s">
        <v>21306</v>
      </c>
      <c r="L10648" t="s">
        <v>27250</v>
      </c>
      <c r="M10648" t="s">
        <v>27251</v>
      </c>
      <c r="N10648" t="s">
        <v>27252</v>
      </c>
      <c r="Q10648" s="1">
        <v>44538</v>
      </c>
      <c r="R10648" t="s">
        <v>27253</v>
      </c>
      <c r="S10648" t="s">
        <v>27254</v>
      </c>
      <c r="T10648" t="s">
        <v>27255</v>
      </c>
    </row>
    <row r="10649" spans="1:20" x14ac:dyDescent="0.3">
      <c r="A10649" t="str">
        <f>"0611838538100"</f>
        <v>0611838538100</v>
      </c>
      <c r="B10649" t="str">
        <f>"LK6767"</f>
        <v>LK6767</v>
      </c>
      <c r="C10649" t="s">
        <v>47846</v>
      </c>
      <c r="D10649" t="s">
        <v>27245</v>
      </c>
      <c r="E10649" t="str">
        <f t="shared" si="166"/>
        <v>001390</v>
      </c>
      <c r="F10649" t="s">
        <v>27246</v>
      </c>
      <c r="G10649" t="s">
        <v>27247</v>
      </c>
      <c r="H10649" t="s">
        <v>27248</v>
      </c>
      <c r="I10649" t="s">
        <v>47847</v>
      </c>
      <c r="J10649" t="s">
        <v>21308</v>
      </c>
      <c r="L10649" t="s">
        <v>27250</v>
      </c>
      <c r="M10649" t="s">
        <v>27251</v>
      </c>
      <c r="N10649" t="s">
        <v>27252</v>
      </c>
      <c r="Q10649" s="1">
        <v>44538</v>
      </c>
      <c r="R10649" t="s">
        <v>27253</v>
      </c>
      <c r="S10649" t="s">
        <v>27254</v>
      </c>
      <c r="T10649" t="s">
        <v>27255</v>
      </c>
    </row>
    <row r="10650" spans="1:20" x14ac:dyDescent="0.3">
      <c r="A10650" t="str">
        <f>"0611838539100"</f>
        <v>0611838539100</v>
      </c>
      <c r="B10650" t="str">
        <f>"LK6768"</f>
        <v>LK6768</v>
      </c>
      <c r="C10650" t="s">
        <v>47848</v>
      </c>
      <c r="D10650" t="s">
        <v>27245</v>
      </c>
      <c r="E10650" t="str">
        <f t="shared" si="166"/>
        <v>001390</v>
      </c>
      <c r="F10650" t="s">
        <v>27246</v>
      </c>
      <c r="G10650" t="s">
        <v>27247</v>
      </c>
      <c r="H10650" t="s">
        <v>27248</v>
      </c>
      <c r="I10650" t="s">
        <v>47849</v>
      </c>
      <c r="J10650" t="s">
        <v>21310</v>
      </c>
      <c r="L10650" t="s">
        <v>27250</v>
      </c>
      <c r="M10650" t="s">
        <v>27251</v>
      </c>
      <c r="N10650" t="s">
        <v>27252</v>
      </c>
      <c r="Q10650" s="1">
        <v>44538</v>
      </c>
      <c r="R10650" t="s">
        <v>27253</v>
      </c>
      <c r="S10650" t="s">
        <v>27254</v>
      </c>
      <c r="T10650" t="s">
        <v>27255</v>
      </c>
    </row>
    <row r="10651" spans="1:20" x14ac:dyDescent="0.3">
      <c r="A10651" t="str">
        <f>"0611884406100"</f>
        <v>0611884406100</v>
      </c>
      <c r="B10651" t="str">
        <f>"LQ6293"</f>
        <v>LQ6293</v>
      </c>
      <c r="C10651" t="s">
        <v>47850</v>
      </c>
      <c r="D10651" t="s">
        <v>27245</v>
      </c>
      <c r="E10651" t="str">
        <f t="shared" si="166"/>
        <v>001390</v>
      </c>
      <c r="F10651" t="s">
        <v>27246</v>
      </c>
      <c r="G10651" t="s">
        <v>27247</v>
      </c>
      <c r="H10651" t="s">
        <v>27248</v>
      </c>
      <c r="I10651" t="s">
        <v>47851</v>
      </c>
      <c r="J10651" t="s">
        <v>21312</v>
      </c>
      <c r="L10651" t="s">
        <v>27430</v>
      </c>
      <c r="M10651" t="s">
        <v>27251</v>
      </c>
      <c r="N10651" t="s">
        <v>27252</v>
      </c>
      <c r="Q10651" s="1">
        <v>45250</v>
      </c>
      <c r="R10651" t="s">
        <v>27253</v>
      </c>
      <c r="S10651" t="s">
        <v>27254</v>
      </c>
      <c r="T10651" t="s">
        <v>27255</v>
      </c>
    </row>
    <row r="10652" spans="1:20" x14ac:dyDescent="0.3">
      <c r="A10652" t="str">
        <f>"0611838540100"</f>
        <v>0611838540100</v>
      </c>
      <c r="B10652" t="str">
        <f>"LK2580"</f>
        <v>LK2580</v>
      </c>
      <c r="C10652" t="s">
        <v>47852</v>
      </c>
      <c r="D10652" t="s">
        <v>27245</v>
      </c>
      <c r="E10652" t="str">
        <f t="shared" si="166"/>
        <v>001390</v>
      </c>
      <c r="F10652" t="s">
        <v>27246</v>
      </c>
      <c r="G10652" t="s">
        <v>27247</v>
      </c>
      <c r="H10652" t="s">
        <v>27248</v>
      </c>
      <c r="I10652" t="s">
        <v>47853</v>
      </c>
      <c r="J10652" t="s">
        <v>21314</v>
      </c>
      <c r="L10652" t="s">
        <v>27250</v>
      </c>
      <c r="M10652" t="s">
        <v>27251</v>
      </c>
      <c r="N10652" t="s">
        <v>27252</v>
      </c>
      <c r="Q10652" s="1">
        <v>44538</v>
      </c>
      <c r="R10652" t="s">
        <v>27253</v>
      </c>
      <c r="S10652" t="s">
        <v>27254</v>
      </c>
      <c r="T10652" t="s">
        <v>27255</v>
      </c>
    </row>
    <row r="10653" spans="1:20" x14ac:dyDescent="0.3">
      <c r="A10653" t="str">
        <f>"0611838542100"</f>
        <v>0611838542100</v>
      </c>
      <c r="B10653" t="str">
        <f>"LK5608"</f>
        <v>LK5608</v>
      </c>
      <c r="C10653" t="s">
        <v>47854</v>
      </c>
      <c r="D10653" t="s">
        <v>27245</v>
      </c>
      <c r="E10653" t="str">
        <f t="shared" si="166"/>
        <v>001390</v>
      </c>
      <c r="F10653" t="s">
        <v>27246</v>
      </c>
      <c r="G10653" t="s">
        <v>27247</v>
      </c>
      <c r="H10653" t="s">
        <v>27248</v>
      </c>
      <c r="I10653" t="s">
        <v>47855</v>
      </c>
      <c r="J10653" t="s">
        <v>21316</v>
      </c>
      <c r="L10653" t="s">
        <v>27250</v>
      </c>
      <c r="M10653" t="s">
        <v>27251</v>
      </c>
      <c r="N10653" t="s">
        <v>27252</v>
      </c>
      <c r="Q10653" s="1">
        <v>44538</v>
      </c>
      <c r="R10653" t="s">
        <v>27253</v>
      </c>
      <c r="S10653" t="s">
        <v>27254</v>
      </c>
      <c r="T10653" t="s">
        <v>27255</v>
      </c>
    </row>
    <row r="10654" spans="1:20" x14ac:dyDescent="0.3">
      <c r="A10654" t="str">
        <f>"0611838543025"</f>
        <v>0611838543025</v>
      </c>
      <c r="B10654" t="str">
        <f>"MC2621"</f>
        <v>MC2621</v>
      </c>
      <c r="C10654" t="s">
        <v>47854</v>
      </c>
      <c r="D10654" t="s">
        <v>27267</v>
      </c>
      <c r="E10654" t="str">
        <f t="shared" si="166"/>
        <v>001390</v>
      </c>
      <c r="F10654" t="s">
        <v>27246</v>
      </c>
      <c r="G10654" t="s">
        <v>27247</v>
      </c>
      <c r="H10654" t="s">
        <v>27248</v>
      </c>
      <c r="I10654" t="s">
        <v>47856</v>
      </c>
      <c r="J10654" t="s">
        <v>21318</v>
      </c>
      <c r="L10654" t="s">
        <v>27250</v>
      </c>
      <c r="M10654" t="s">
        <v>27251</v>
      </c>
      <c r="N10654" t="s">
        <v>27252</v>
      </c>
      <c r="Q10654" s="1">
        <v>44538</v>
      </c>
      <c r="R10654" t="s">
        <v>27253</v>
      </c>
      <c r="S10654" t="s">
        <v>27254</v>
      </c>
      <c r="T10654" t="s">
        <v>27269</v>
      </c>
    </row>
    <row r="10655" spans="1:20" x14ac:dyDescent="0.3">
      <c r="A10655" t="str">
        <f>"0611863864050"</f>
        <v>0611863864050</v>
      </c>
      <c r="B10655" t="str">
        <f>"CR2997"</f>
        <v>CR2997</v>
      </c>
      <c r="C10655" t="s">
        <v>47854</v>
      </c>
      <c r="D10655" t="s">
        <v>27263</v>
      </c>
      <c r="E10655" t="str">
        <f t="shared" si="166"/>
        <v>001390</v>
      </c>
      <c r="F10655" t="s">
        <v>27246</v>
      </c>
      <c r="G10655" t="s">
        <v>27247</v>
      </c>
      <c r="H10655" t="s">
        <v>27248</v>
      </c>
      <c r="I10655" t="s">
        <v>47857</v>
      </c>
      <c r="J10655" t="s">
        <v>21320</v>
      </c>
      <c r="L10655" t="s">
        <v>27250</v>
      </c>
      <c r="M10655" t="s">
        <v>27251</v>
      </c>
      <c r="N10655" t="s">
        <v>27252</v>
      </c>
      <c r="Q10655" s="1">
        <v>44846</v>
      </c>
      <c r="R10655" t="s">
        <v>27253</v>
      </c>
      <c r="S10655" t="s">
        <v>27254</v>
      </c>
      <c r="T10655" t="s">
        <v>27265</v>
      </c>
    </row>
    <row r="10656" spans="1:20" x14ac:dyDescent="0.3">
      <c r="A10656" t="str">
        <f>"0611838544100"</f>
        <v>0611838544100</v>
      </c>
      <c r="B10656" t="str">
        <f>"LK0351"</f>
        <v>LK0351</v>
      </c>
      <c r="C10656" t="s">
        <v>47858</v>
      </c>
      <c r="D10656" t="s">
        <v>27245</v>
      </c>
      <c r="E10656" t="str">
        <f t="shared" si="166"/>
        <v>001390</v>
      </c>
      <c r="F10656" t="s">
        <v>27246</v>
      </c>
      <c r="G10656" t="s">
        <v>27247</v>
      </c>
      <c r="H10656" t="s">
        <v>27248</v>
      </c>
      <c r="I10656" t="s">
        <v>47859</v>
      </c>
      <c r="J10656" t="s">
        <v>21322</v>
      </c>
      <c r="L10656" t="s">
        <v>27250</v>
      </c>
      <c r="M10656" t="s">
        <v>27251</v>
      </c>
      <c r="N10656" t="s">
        <v>27252</v>
      </c>
      <c r="Q10656" s="1">
        <v>44538</v>
      </c>
      <c r="R10656" t="s">
        <v>27253</v>
      </c>
      <c r="S10656" t="s">
        <v>27254</v>
      </c>
      <c r="T10656" t="s">
        <v>27255</v>
      </c>
    </row>
    <row r="10657" spans="1:20" x14ac:dyDescent="0.3">
      <c r="A10657" t="str">
        <f>"0611838545100"</f>
        <v>0611838545100</v>
      </c>
      <c r="B10657" t="str">
        <f>"LC8599"</f>
        <v>LC8599</v>
      </c>
      <c r="C10657" t="s">
        <v>47860</v>
      </c>
      <c r="D10657" t="s">
        <v>27245</v>
      </c>
      <c r="E10657" t="str">
        <f t="shared" si="166"/>
        <v>001390</v>
      </c>
      <c r="F10657" t="s">
        <v>27246</v>
      </c>
      <c r="G10657" t="s">
        <v>27247</v>
      </c>
      <c r="H10657" t="s">
        <v>27248</v>
      </c>
      <c r="I10657" t="s">
        <v>47861</v>
      </c>
      <c r="J10657" t="s">
        <v>11363</v>
      </c>
      <c r="L10657" t="s">
        <v>27250</v>
      </c>
      <c r="M10657" t="s">
        <v>27251</v>
      </c>
      <c r="N10657" t="s">
        <v>27252</v>
      </c>
      <c r="Q10657" s="1">
        <v>44538</v>
      </c>
      <c r="R10657" t="s">
        <v>27253</v>
      </c>
      <c r="S10657" t="s">
        <v>27254</v>
      </c>
      <c r="T10657" t="s">
        <v>27255</v>
      </c>
    </row>
    <row r="10658" spans="1:20" x14ac:dyDescent="0.3">
      <c r="A10658" t="str">
        <f>"0611838546100"</f>
        <v>0611838546100</v>
      </c>
      <c r="B10658" t="str">
        <f>"LH6680"</f>
        <v>LH6680</v>
      </c>
      <c r="C10658" t="s">
        <v>47862</v>
      </c>
      <c r="D10658" t="s">
        <v>27245</v>
      </c>
      <c r="E10658" t="str">
        <f t="shared" si="166"/>
        <v>001390</v>
      </c>
      <c r="F10658" t="s">
        <v>27246</v>
      </c>
      <c r="G10658" t="s">
        <v>27247</v>
      </c>
      <c r="H10658" t="s">
        <v>27248</v>
      </c>
      <c r="I10658" t="s">
        <v>47863</v>
      </c>
      <c r="J10658" t="s">
        <v>21324</v>
      </c>
      <c r="L10658" t="s">
        <v>27250</v>
      </c>
      <c r="M10658" t="s">
        <v>27251</v>
      </c>
      <c r="N10658" t="s">
        <v>27252</v>
      </c>
      <c r="Q10658" s="1">
        <v>44538</v>
      </c>
      <c r="R10658" t="s">
        <v>27253</v>
      </c>
      <c r="S10658" t="s">
        <v>27254</v>
      </c>
      <c r="T10658" t="s">
        <v>27255</v>
      </c>
    </row>
    <row r="10659" spans="1:20" x14ac:dyDescent="0.3">
      <c r="A10659" t="str">
        <f>"0611838547025"</f>
        <v>0611838547025</v>
      </c>
      <c r="B10659" t="str">
        <f>"MC0633"</f>
        <v>MC0633</v>
      </c>
      <c r="C10659" t="s">
        <v>47864</v>
      </c>
      <c r="D10659" t="s">
        <v>27267</v>
      </c>
      <c r="E10659" t="str">
        <f t="shared" si="166"/>
        <v>001390</v>
      </c>
      <c r="F10659" t="s">
        <v>27246</v>
      </c>
      <c r="G10659" t="s">
        <v>27247</v>
      </c>
      <c r="H10659" t="s">
        <v>27248</v>
      </c>
      <c r="I10659" t="s">
        <v>47865</v>
      </c>
      <c r="J10659" t="s">
        <v>21326</v>
      </c>
      <c r="L10659" t="s">
        <v>27250</v>
      </c>
      <c r="M10659" t="s">
        <v>27251</v>
      </c>
      <c r="N10659" t="s">
        <v>27252</v>
      </c>
      <c r="Q10659" s="1">
        <v>44538</v>
      </c>
      <c r="R10659" t="s">
        <v>27253</v>
      </c>
      <c r="S10659" t="s">
        <v>27254</v>
      </c>
      <c r="T10659" t="s">
        <v>27269</v>
      </c>
    </row>
    <row r="10660" spans="1:20" x14ac:dyDescent="0.3">
      <c r="A10660" t="str">
        <f>"0611857084025"</f>
        <v>0611857084025</v>
      </c>
      <c r="B10660" t="str">
        <f>"MQ0803"</f>
        <v>MQ0803</v>
      </c>
      <c r="C10660" t="s">
        <v>47866</v>
      </c>
      <c r="D10660" t="s">
        <v>27267</v>
      </c>
      <c r="E10660" t="str">
        <f t="shared" si="166"/>
        <v>001390</v>
      </c>
      <c r="F10660" t="s">
        <v>27246</v>
      </c>
      <c r="G10660" t="s">
        <v>27247</v>
      </c>
      <c r="H10660" t="s">
        <v>27248</v>
      </c>
      <c r="I10660" t="s">
        <v>47867</v>
      </c>
      <c r="J10660" t="s">
        <v>21328</v>
      </c>
      <c r="L10660" t="s">
        <v>27250</v>
      </c>
      <c r="M10660" t="s">
        <v>27251</v>
      </c>
      <c r="N10660" t="s">
        <v>27252</v>
      </c>
      <c r="Q10660" s="1">
        <v>44812</v>
      </c>
      <c r="R10660" t="s">
        <v>27253</v>
      </c>
      <c r="S10660" t="s">
        <v>27254</v>
      </c>
      <c r="T10660" t="s">
        <v>27269</v>
      </c>
    </row>
    <row r="10661" spans="1:20" x14ac:dyDescent="0.3">
      <c r="A10661" t="str">
        <f>"0611838548025"</f>
        <v>0611838548025</v>
      </c>
      <c r="B10661" t="str">
        <f>"MC2536"</f>
        <v>MC2536</v>
      </c>
      <c r="C10661" t="s">
        <v>47868</v>
      </c>
      <c r="D10661" t="s">
        <v>27267</v>
      </c>
      <c r="E10661" t="str">
        <f t="shared" si="166"/>
        <v>001390</v>
      </c>
      <c r="F10661" t="s">
        <v>27246</v>
      </c>
      <c r="G10661" t="s">
        <v>27247</v>
      </c>
      <c r="H10661" t="s">
        <v>27248</v>
      </c>
      <c r="I10661" t="s">
        <v>47869</v>
      </c>
      <c r="J10661" t="s">
        <v>21330</v>
      </c>
      <c r="L10661" t="s">
        <v>27250</v>
      </c>
      <c r="M10661" t="s">
        <v>27251</v>
      </c>
      <c r="N10661" t="s">
        <v>27252</v>
      </c>
      <c r="Q10661" s="1">
        <v>44538</v>
      </c>
      <c r="R10661" t="s">
        <v>27253</v>
      </c>
      <c r="S10661" t="s">
        <v>27254</v>
      </c>
      <c r="T10661" t="s">
        <v>27269</v>
      </c>
    </row>
    <row r="10662" spans="1:20" x14ac:dyDescent="0.3">
      <c r="A10662" t="str">
        <f>"0611838549025"</f>
        <v>0611838549025</v>
      </c>
      <c r="B10662" t="str">
        <f>"MC2179"</f>
        <v>MC2179</v>
      </c>
      <c r="C10662" t="s">
        <v>47870</v>
      </c>
      <c r="D10662" t="s">
        <v>27267</v>
      </c>
      <c r="E10662" t="str">
        <f t="shared" si="166"/>
        <v>001390</v>
      </c>
      <c r="F10662" t="s">
        <v>27246</v>
      </c>
      <c r="G10662" t="s">
        <v>27247</v>
      </c>
      <c r="H10662" t="s">
        <v>27248</v>
      </c>
      <c r="I10662" t="s">
        <v>47871</v>
      </c>
      <c r="J10662" t="s">
        <v>21332</v>
      </c>
      <c r="L10662" t="s">
        <v>27250</v>
      </c>
      <c r="M10662" t="s">
        <v>27251</v>
      </c>
      <c r="N10662" t="s">
        <v>27252</v>
      </c>
      <c r="Q10662" s="1">
        <v>44538</v>
      </c>
      <c r="R10662" t="s">
        <v>27253</v>
      </c>
      <c r="S10662" t="s">
        <v>27254</v>
      </c>
      <c r="T10662" t="s">
        <v>27269</v>
      </c>
    </row>
    <row r="10663" spans="1:20" x14ac:dyDescent="0.3">
      <c r="A10663" t="str">
        <f>"0611838550025"</f>
        <v>0611838550025</v>
      </c>
      <c r="B10663" t="str">
        <f>"MC2764"</f>
        <v>MC2764</v>
      </c>
      <c r="C10663" t="s">
        <v>47872</v>
      </c>
      <c r="D10663" t="s">
        <v>27267</v>
      </c>
      <c r="E10663" t="str">
        <f t="shared" si="166"/>
        <v>001390</v>
      </c>
      <c r="F10663" t="s">
        <v>27246</v>
      </c>
      <c r="G10663" t="s">
        <v>27247</v>
      </c>
      <c r="H10663" t="s">
        <v>27248</v>
      </c>
      <c r="I10663" t="s">
        <v>47873</v>
      </c>
      <c r="J10663" t="s">
        <v>21334</v>
      </c>
      <c r="L10663" t="s">
        <v>27250</v>
      </c>
      <c r="M10663" t="s">
        <v>27251</v>
      </c>
      <c r="N10663" t="s">
        <v>27252</v>
      </c>
      <c r="Q10663" s="1">
        <v>44538</v>
      </c>
      <c r="R10663" t="s">
        <v>27253</v>
      </c>
      <c r="S10663" t="s">
        <v>27254</v>
      </c>
      <c r="T10663" t="s">
        <v>27269</v>
      </c>
    </row>
    <row r="10664" spans="1:20" x14ac:dyDescent="0.3">
      <c r="A10664" t="str">
        <f>"0611838551025"</f>
        <v>0611838551025</v>
      </c>
      <c r="B10664" t="str">
        <f>"MQ0526"</f>
        <v>MQ0526</v>
      </c>
      <c r="C10664" t="s">
        <v>47874</v>
      </c>
      <c r="D10664" t="s">
        <v>27267</v>
      </c>
      <c r="E10664" t="str">
        <f t="shared" si="166"/>
        <v>001390</v>
      </c>
      <c r="F10664" t="s">
        <v>27246</v>
      </c>
      <c r="G10664" t="s">
        <v>27247</v>
      </c>
      <c r="H10664" t="s">
        <v>27248</v>
      </c>
      <c r="I10664" t="s">
        <v>47875</v>
      </c>
      <c r="J10664" t="s">
        <v>21336</v>
      </c>
      <c r="L10664" t="s">
        <v>27250</v>
      </c>
      <c r="M10664" t="s">
        <v>27251</v>
      </c>
      <c r="N10664" t="s">
        <v>27252</v>
      </c>
      <c r="Q10664" s="1">
        <v>44538</v>
      </c>
      <c r="R10664" t="s">
        <v>27253</v>
      </c>
      <c r="S10664" t="s">
        <v>27254</v>
      </c>
      <c r="T10664" t="s">
        <v>27269</v>
      </c>
    </row>
    <row r="10665" spans="1:20" x14ac:dyDescent="0.3">
      <c r="A10665" t="str">
        <f>"0611838552025"</f>
        <v>0611838552025</v>
      </c>
      <c r="B10665" t="str">
        <f>"MQ5117"</f>
        <v>MQ5117</v>
      </c>
      <c r="C10665" t="s">
        <v>47876</v>
      </c>
      <c r="D10665" t="s">
        <v>27267</v>
      </c>
      <c r="E10665" t="str">
        <f t="shared" si="166"/>
        <v>001390</v>
      </c>
      <c r="F10665" t="s">
        <v>27246</v>
      </c>
      <c r="G10665" t="s">
        <v>27247</v>
      </c>
      <c r="H10665" t="s">
        <v>27248</v>
      </c>
      <c r="I10665" t="s">
        <v>47877</v>
      </c>
      <c r="J10665" t="s">
        <v>21338</v>
      </c>
      <c r="L10665" t="s">
        <v>27250</v>
      </c>
      <c r="M10665" t="s">
        <v>27251</v>
      </c>
      <c r="N10665" t="s">
        <v>27252</v>
      </c>
      <c r="Q10665" s="1">
        <v>44538</v>
      </c>
      <c r="R10665" t="s">
        <v>27253</v>
      </c>
      <c r="S10665" t="s">
        <v>27254</v>
      </c>
      <c r="T10665" t="s">
        <v>27269</v>
      </c>
    </row>
    <row r="10666" spans="1:20" x14ac:dyDescent="0.3">
      <c r="A10666" t="str">
        <f>"0611838555025"</f>
        <v>0611838555025</v>
      </c>
      <c r="B10666" t="str">
        <f>"MC1335"</f>
        <v>MC1335</v>
      </c>
      <c r="C10666" t="s">
        <v>47878</v>
      </c>
      <c r="D10666" t="s">
        <v>27267</v>
      </c>
      <c r="E10666" t="str">
        <f t="shared" si="166"/>
        <v>001390</v>
      </c>
      <c r="F10666" t="s">
        <v>27246</v>
      </c>
      <c r="G10666" t="s">
        <v>27247</v>
      </c>
      <c r="H10666" t="s">
        <v>27248</v>
      </c>
      <c r="I10666" t="s">
        <v>47879</v>
      </c>
      <c r="J10666" t="s">
        <v>21340</v>
      </c>
      <c r="L10666" t="s">
        <v>27250</v>
      </c>
      <c r="M10666" t="s">
        <v>27251</v>
      </c>
      <c r="N10666" t="s">
        <v>27252</v>
      </c>
      <c r="Q10666" s="1">
        <v>44538</v>
      </c>
      <c r="R10666" t="s">
        <v>27253</v>
      </c>
      <c r="S10666" t="s">
        <v>27254</v>
      </c>
      <c r="T10666" t="s">
        <v>27269</v>
      </c>
    </row>
    <row r="10667" spans="1:20" x14ac:dyDescent="0.3">
      <c r="A10667" t="str">
        <f>"0611884407100"</f>
        <v>0611884407100</v>
      </c>
      <c r="B10667" t="str">
        <f>"LQ0975"</f>
        <v>LQ0975</v>
      </c>
      <c r="C10667" t="s">
        <v>47880</v>
      </c>
      <c r="D10667" t="s">
        <v>27245</v>
      </c>
      <c r="E10667" t="str">
        <f t="shared" si="166"/>
        <v>001390</v>
      </c>
      <c r="F10667" t="s">
        <v>27246</v>
      </c>
      <c r="G10667" t="s">
        <v>27247</v>
      </c>
      <c r="H10667" t="s">
        <v>27248</v>
      </c>
      <c r="I10667" t="s">
        <v>47881</v>
      </c>
      <c r="J10667" t="s">
        <v>21342</v>
      </c>
      <c r="L10667" t="s">
        <v>27430</v>
      </c>
      <c r="M10667" t="s">
        <v>27251</v>
      </c>
      <c r="N10667" t="s">
        <v>27252</v>
      </c>
      <c r="Q10667" s="1">
        <v>45250</v>
      </c>
      <c r="R10667" t="s">
        <v>27253</v>
      </c>
      <c r="S10667" t="s">
        <v>27254</v>
      </c>
      <c r="T10667" t="s">
        <v>27255</v>
      </c>
    </row>
    <row r="10668" spans="1:20" x14ac:dyDescent="0.3">
      <c r="A10668" t="str">
        <f>"0611838560100"</f>
        <v>0611838560100</v>
      </c>
      <c r="B10668" t="str">
        <f>"LQ6167"</f>
        <v>LQ6167</v>
      </c>
      <c r="C10668" t="s">
        <v>47882</v>
      </c>
      <c r="D10668" t="s">
        <v>27245</v>
      </c>
      <c r="E10668" t="str">
        <f t="shared" si="166"/>
        <v>001390</v>
      </c>
      <c r="F10668" t="s">
        <v>27246</v>
      </c>
      <c r="G10668" t="s">
        <v>27247</v>
      </c>
      <c r="H10668" t="s">
        <v>27248</v>
      </c>
      <c r="I10668" t="s">
        <v>47883</v>
      </c>
      <c r="J10668" t="s">
        <v>21344</v>
      </c>
      <c r="L10668" t="s">
        <v>27250</v>
      </c>
      <c r="M10668" t="s">
        <v>27251</v>
      </c>
      <c r="N10668" t="s">
        <v>27252</v>
      </c>
      <c r="Q10668" s="1">
        <v>44538</v>
      </c>
      <c r="R10668" t="s">
        <v>27253</v>
      </c>
      <c r="S10668" t="s">
        <v>27254</v>
      </c>
      <c r="T10668" t="s">
        <v>27255</v>
      </c>
    </row>
    <row r="10669" spans="1:20" x14ac:dyDescent="0.3">
      <c r="A10669" t="str">
        <f>"0611838562100"</f>
        <v>0611838562100</v>
      </c>
      <c r="B10669" t="str">
        <f>"LQ6168"</f>
        <v>LQ6168</v>
      </c>
      <c r="C10669" t="s">
        <v>47884</v>
      </c>
      <c r="D10669" t="s">
        <v>27245</v>
      </c>
      <c r="E10669" t="str">
        <f t="shared" si="166"/>
        <v>001390</v>
      </c>
      <c r="F10669" t="s">
        <v>27246</v>
      </c>
      <c r="G10669" t="s">
        <v>27247</v>
      </c>
      <c r="H10669" t="s">
        <v>27248</v>
      </c>
      <c r="I10669" t="s">
        <v>47885</v>
      </c>
      <c r="J10669" t="s">
        <v>21346</v>
      </c>
      <c r="L10669" t="s">
        <v>27250</v>
      </c>
      <c r="M10669" t="s">
        <v>27251</v>
      </c>
      <c r="N10669" t="s">
        <v>27252</v>
      </c>
      <c r="Q10669" s="1">
        <v>44538</v>
      </c>
      <c r="R10669" t="s">
        <v>27253</v>
      </c>
      <c r="S10669" t="s">
        <v>27254</v>
      </c>
      <c r="T10669" t="s">
        <v>27255</v>
      </c>
    </row>
    <row r="10670" spans="1:20" x14ac:dyDescent="0.3">
      <c r="A10670" t="str">
        <f>"0611838563100"</f>
        <v>0611838563100</v>
      </c>
      <c r="B10670" t="str">
        <f>"LQ3623"</f>
        <v>LQ3623</v>
      </c>
      <c r="C10670" t="s">
        <v>47886</v>
      </c>
      <c r="D10670" t="s">
        <v>27245</v>
      </c>
      <c r="E10670" t="str">
        <f t="shared" si="166"/>
        <v>001390</v>
      </c>
      <c r="F10670" t="s">
        <v>27246</v>
      </c>
      <c r="G10670" t="s">
        <v>27247</v>
      </c>
      <c r="H10670" t="s">
        <v>27248</v>
      </c>
      <c r="I10670" t="s">
        <v>47887</v>
      </c>
      <c r="J10670" t="s">
        <v>21348</v>
      </c>
      <c r="L10670" t="s">
        <v>27250</v>
      </c>
      <c r="M10670" t="s">
        <v>27251</v>
      </c>
      <c r="N10670" t="s">
        <v>27252</v>
      </c>
      <c r="Q10670" s="1">
        <v>44538</v>
      </c>
      <c r="R10670" t="s">
        <v>27253</v>
      </c>
      <c r="S10670" t="s">
        <v>27254</v>
      </c>
      <c r="T10670" t="s">
        <v>27255</v>
      </c>
    </row>
    <row r="10671" spans="1:20" x14ac:dyDescent="0.3">
      <c r="A10671" t="str">
        <f>"0611838564100"</f>
        <v>0611838564100</v>
      </c>
      <c r="B10671" t="str">
        <f>"LQ3861"</f>
        <v>LQ3861</v>
      </c>
      <c r="C10671" t="s">
        <v>47888</v>
      </c>
      <c r="D10671" t="s">
        <v>27245</v>
      </c>
      <c r="E10671" t="str">
        <f t="shared" si="166"/>
        <v>001390</v>
      </c>
      <c r="F10671" t="s">
        <v>27246</v>
      </c>
      <c r="G10671" t="s">
        <v>27247</v>
      </c>
      <c r="H10671" t="s">
        <v>27248</v>
      </c>
      <c r="I10671" t="s">
        <v>47889</v>
      </c>
      <c r="J10671" t="s">
        <v>21350</v>
      </c>
      <c r="L10671" t="s">
        <v>27250</v>
      </c>
      <c r="M10671" t="s">
        <v>27251</v>
      </c>
      <c r="N10671" t="s">
        <v>27252</v>
      </c>
      <c r="Q10671" s="1">
        <v>44538</v>
      </c>
      <c r="R10671" t="s">
        <v>27253</v>
      </c>
      <c r="S10671" t="s">
        <v>27254</v>
      </c>
      <c r="T10671" t="s">
        <v>27255</v>
      </c>
    </row>
    <row r="10672" spans="1:20" x14ac:dyDescent="0.3">
      <c r="A10672" t="str">
        <f>"0611838566100"</f>
        <v>0611838566100</v>
      </c>
      <c r="B10672" t="str">
        <f>"LQ3624"</f>
        <v>LQ3624</v>
      </c>
      <c r="C10672" t="s">
        <v>47890</v>
      </c>
      <c r="D10672" t="s">
        <v>27245</v>
      </c>
      <c r="E10672" t="str">
        <f t="shared" si="166"/>
        <v>001390</v>
      </c>
      <c r="F10672" t="s">
        <v>27246</v>
      </c>
      <c r="G10672" t="s">
        <v>27247</v>
      </c>
      <c r="H10672" t="s">
        <v>27248</v>
      </c>
      <c r="I10672" t="s">
        <v>47891</v>
      </c>
      <c r="J10672" t="s">
        <v>21352</v>
      </c>
      <c r="L10672" t="s">
        <v>27250</v>
      </c>
      <c r="M10672" t="s">
        <v>27251</v>
      </c>
      <c r="N10672" t="s">
        <v>27252</v>
      </c>
      <c r="Q10672" s="1">
        <v>44538</v>
      </c>
      <c r="R10672" t="s">
        <v>27253</v>
      </c>
      <c r="S10672" t="s">
        <v>27254</v>
      </c>
      <c r="T10672" t="s">
        <v>27255</v>
      </c>
    </row>
    <row r="10673" spans="1:20" x14ac:dyDescent="0.3">
      <c r="A10673" t="str">
        <f>"0611838565100"</f>
        <v>0611838565100</v>
      </c>
      <c r="B10673" t="str">
        <f>"LQ3330"</f>
        <v>LQ3330</v>
      </c>
      <c r="C10673" t="s">
        <v>47892</v>
      </c>
      <c r="D10673" t="s">
        <v>27245</v>
      </c>
      <c r="E10673" t="str">
        <f t="shared" si="166"/>
        <v>001390</v>
      </c>
      <c r="F10673" t="s">
        <v>27246</v>
      </c>
      <c r="G10673" t="s">
        <v>27247</v>
      </c>
      <c r="H10673" t="s">
        <v>27248</v>
      </c>
      <c r="I10673" t="s">
        <v>47893</v>
      </c>
      <c r="J10673" t="s">
        <v>21354</v>
      </c>
      <c r="L10673" t="s">
        <v>27250</v>
      </c>
      <c r="M10673" t="s">
        <v>27251</v>
      </c>
      <c r="N10673" t="s">
        <v>27252</v>
      </c>
      <c r="Q10673" s="1">
        <v>44538</v>
      </c>
      <c r="R10673" t="s">
        <v>27253</v>
      </c>
      <c r="S10673" t="s">
        <v>27254</v>
      </c>
      <c r="T10673" t="s">
        <v>27255</v>
      </c>
    </row>
    <row r="10674" spans="1:20" x14ac:dyDescent="0.3">
      <c r="A10674" t="str">
        <f>"0611863865050"</f>
        <v>0611863865050</v>
      </c>
      <c r="B10674" t="str">
        <f>"CR2999"</f>
        <v>CR2999</v>
      </c>
      <c r="C10674" t="s">
        <v>47892</v>
      </c>
      <c r="D10674" t="s">
        <v>27263</v>
      </c>
      <c r="E10674" t="str">
        <f t="shared" si="166"/>
        <v>001390</v>
      </c>
      <c r="F10674" t="s">
        <v>27246</v>
      </c>
      <c r="G10674" t="s">
        <v>27247</v>
      </c>
      <c r="H10674" t="s">
        <v>27248</v>
      </c>
      <c r="I10674" t="s">
        <v>47894</v>
      </c>
      <c r="J10674" t="s">
        <v>21356</v>
      </c>
      <c r="L10674" t="s">
        <v>27250</v>
      </c>
      <c r="M10674" t="s">
        <v>27251</v>
      </c>
      <c r="N10674" t="s">
        <v>27252</v>
      </c>
      <c r="Q10674" s="1">
        <v>44846</v>
      </c>
      <c r="R10674" t="s">
        <v>27253</v>
      </c>
      <c r="S10674" t="s">
        <v>27254</v>
      </c>
      <c r="T10674" t="s">
        <v>27265</v>
      </c>
    </row>
    <row r="10675" spans="1:20" x14ac:dyDescent="0.3">
      <c r="A10675" t="str">
        <f>"0611838568100"</f>
        <v>0611838568100</v>
      </c>
      <c r="B10675" t="str">
        <f>"LQ3331"</f>
        <v>LQ3331</v>
      </c>
      <c r="C10675" t="s">
        <v>47895</v>
      </c>
      <c r="D10675" t="s">
        <v>27245</v>
      </c>
      <c r="E10675" t="str">
        <f t="shared" si="166"/>
        <v>001390</v>
      </c>
      <c r="F10675" t="s">
        <v>27246</v>
      </c>
      <c r="G10675" t="s">
        <v>27247</v>
      </c>
      <c r="H10675" t="s">
        <v>27248</v>
      </c>
      <c r="I10675" t="s">
        <v>47896</v>
      </c>
      <c r="J10675" t="s">
        <v>21358</v>
      </c>
      <c r="L10675" t="s">
        <v>27250</v>
      </c>
      <c r="M10675" t="s">
        <v>27251</v>
      </c>
      <c r="N10675" t="s">
        <v>27252</v>
      </c>
      <c r="Q10675" s="1">
        <v>44538</v>
      </c>
      <c r="R10675" t="s">
        <v>27253</v>
      </c>
      <c r="S10675" t="s">
        <v>27254</v>
      </c>
      <c r="T10675" t="s">
        <v>27255</v>
      </c>
    </row>
    <row r="10676" spans="1:20" x14ac:dyDescent="0.3">
      <c r="A10676" t="str">
        <f>"0611863866050"</f>
        <v>0611863866050</v>
      </c>
      <c r="B10676" t="str">
        <f>"CR3191"</f>
        <v>CR3191</v>
      </c>
      <c r="C10676" t="s">
        <v>47895</v>
      </c>
      <c r="D10676" t="s">
        <v>27263</v>
      </c>
      <c r="E10676" t="str">
        <f t="shared" si="166"/>
        <v>001390</v>
      </c>
      <c r="F10676" t="s">
        <v>27246</v>
      </c>
      <c r="G10676" t="s">
        <v>27247</v>
      </c>
      <c r="H10676" t="s">
        <v>27248</v>
      </c>
      <c r="I10676" t="s">
        <v>47897</v>
      </c>
      <c r="J10676" t="s">
        <v>21360</v>
      </c>
      <c r="L10676" t="s">
        <v>27250</v>
      </c>
      <c r="M10676" t="s">
        <v>27251</v>
      </c>
      <c r="N10676" t="s">
        <v>27252</v>
      </c>
      <c r="Q10676" s="1">
        <v>44846</v>
      </c>
      <c r="R10676" t="s">
        <v>27253</v>
      </c>
      <c r="S10676" t="s">
        <v>27254</v>
      </c>
      <c r="T10676" t="s">
        <v>27265</v>
      </c>
    </row>
    <row r="10677" spans="1:20" x14ac:dyDescent="0.3">
      <c r="A10677" t="str">
        <f>"0611838569100"</f>
        <v>0611838569100</v>
      </c>
      <c r="B10677" t="str">
        <f>"LQ3690"</f>
        <v>LQ3690</v>
      </c>
      <c r="C10677" t="s">
        <v>47898</v>
      </c>
      <c r="D10677" t="s">
        <v>27245</v>
      </c>
      <c r="E10677" t="str">
        <f t="shared" si="166"/>
        <v>001390</v>
      </c>
      <c r="F10677" t="s">
        <v>27246</v>
      </c>
      <c r="G10677" t="s">
        <v>27247</v>
      </c>
      <c r="H10677" t="s">
        <v>27248</v>
      </c>
      <c r="I10677" t="s">
        <v>47899</v>
      </c>
      <c r="J10677" t="s">
        <v>21362</v>
      </c>
      <c r="L10677" t="s">
        <v>27250</v>
      </c>
      <c r="M10677" t="s">
        <v>27251</v>
      </c>
      <c r="N10677" t="s">
        <v>27252</v>
      </c>
      <c r="Q10677" s="1">
        <v>44538</v>
      </c>
      <c r="R10677" t="s">
        <v>27253</v>
      </c>
      <c r="S10677" t="s">
        <v>27254</v>
      </c>
      <c r="T10677" t="s">
        <v>27255</v>
      </c>
    </row>
    <row r="10678" spans="1:20" x14ac:dyDescent="0.3">
      <c r="A10678" t="str">
        <f>"0611838570100"</f>
        <v>0611838570100</v>
      </c>
      <c r="B10678" t="str">
        <f>"LQ3332"</f>
        <v>LQ3332</v>
      </c>
      <c r="C10678" t="s">
        <v>47900</v>
      </c>
      <c r="D10678" t="s">
        <v>27245</v>
      </c>
      <c r="E10678" t="str">
        <f t="shared" si="166"/>
        <v>001390</v>
      </c>
      <c r="F10678" t="s">
        <v>27246</v>
      </c>
      <c r="G10678" t="s">
        <v>27247</v>
      </c>
      <c r="H10678" t="s">
        <v>27248</v>
      </c>
      <c r="I10678" t="s">
        <v>47901</v>
      </c>
      <c r="J10678" t="s">
        <v>21364</v>
      </c>
      <c r="L10678" t="s">
        <v>27250</v>
      </c>
      <c r="M10678" t="s">
        <v>27251</v>
      </c>
      <c r="N10678" t="s">
        <v>27252</v>
      </c>
      <c r="Q10678" s="1">
        <v>44538</v>
      </c>
      <c r="R10678" t="s">
        <v>27253</v>
      </c>
      <c r="S10678" t="s">
        <v>27254</v>
      </c>
      <c r="T10678" t="s">
        <v>27255</v>
      </c>
    </row>
    <row r="10679" spans="1:20" x14ac:dyDescent="0.3">
      <c r="A10679" t="str">
        <f>"0611863867050"</f>
        <v>0611863867050</v>
      </c>
      <c r="B10679" t="str">
        <f>"CR3192"</f>
        <v>CR3192</v>
      </c>
      <c r="C10679" t="s">
        <v>47900</v>
      </c>
      <c r="D10679" t="s">
        <v>27263</v>
      </c>
      <c r="E10679" t="str">
        <f t="shared" si="166"/>
        <v>001390</v>
      </c>
      <c r="F10679" t="s">
        <v>27246</v>
      </c>
      <c r="G10679" t="s">
        <v>27247</v>
      </c>
      <c r="H10679" t="s">
        <v>27248</v>
      </c>
      <c r="I10679" t="s">
        <v>47902</v>
      </c>
      <c r="J10679" t="s">
        <v>21366</v>
      </c>
      <c r="L10679" t="s">
        <v>27250</v>
      </c>
      <c r="M10679" t="s">
        <v>27251</v>
      </c>
      <c r="N10679" t="s">
        <v>27252</v>
      </c>
      <c r="Q10679" s="1">
        <v>44846</v>
      </c>
      <c r="R10679" t="s">
        <v>27253</v>
      </c>
      <c r="S10679" t="s">
        <v>27254</v>
      </c>
      <c r="T10679" t="s">
        <v>27265</v>
      </c>
    </row>
    <row r="10680" spans="1:20" x14ac:dyDescent="0.3">
      <c r="A10680" t="str">
        <f>"0611838571100"</f>
        <v>0611838571100</v>
      </c>
      <c r="B10680" t="str">
        <f>"LQ3333"</f>
        <v>LQ3333</v>
      </c>
      <c r="C10680" t="s">
        <v>47903</v>
      </c>
      <c r="D10680" t="s">
        <v>27245</v>
      </c>
      <c r="E10680" t="str">
        <f t="shared" si="166"/>
        <v>001390</v>
      </c>
      <c r="F10680" t="s">
        <v>27246</v>
      </c>
      <c r="G10680" t="s">
        <v>27247</v>
      </c>
      <c r="H10680" t="s">
        <v>27248</v>
      </c>
      <c r="I10680" t="s">
        <v>47904</v>
      </c>
      <c r="J10680" t="s">
        <v>21368</v>
      </c>
      <c r="L10680" t="s">
        <v>27250</v>
      </c>
      <c r="M10680" t="s">
        <v>27251</v>
      </c>
      <c r="N10680" t="s">
        <v>27252</v>
      </c>
      <c r="Q10680" s="1">
        <v>44538</v>
      </c>
      <c r="R10680" t="s">
        <v>27253</v>
      </c>
      <c r="S10680" t="s">
        <v>27254</v>
      </c>
      <c r="T10680" t="s">
        <v>27255</v>
      </c>
    </row>
    <row r="10681" spans="1:20" x14ac:dyDescent="0.3">
      <c r="A10681" t="str">
        <f>"0611863868050"</f>
        <v>0611863868050</v>
      </c>
      <c r="B10681" t="str">
        <f>"CR3001"</f>
        <v>CR3001</v>
      </c>
      <c r="C10681" t="s">
        <v>47903</v>
      </c>
      <c r="D10681" t="s">
        <v>27263</v>
      </c>
      <c r="E10681" t="str">
        <f t="shared" si="166"/>
        <v>001390</v>
      </c>
      <c r="F10681" t="s">
        <v>27246</v>
      </c>
      <c r="G10681" t="s">
        <v>27247</v>
      </c>
      <c r="H10681" t="s">
        <v>27248</v>
      </c>
      <c r="I10681" t="s">
        <v>47905</v>
      </c>
      <c r="J10681" t="s">
        <v>21370</v>
      </c>
      <c r="L10681" t="s">
        <v>27250</v>
      </c>
      <c r="M10681" t="s">
        <v>27251</v>
      </c>
      <c r="N10681" t="s">
        <v>27252</v>
      </c>
      <c r="Q10681" s="1">
        <v>44846</v>
      </c>
      <c r="R10681" t="s">
        <v>27253</v>
      </c>
      <c r="S10681" t="s">
        <v>27254</v>
      </c>
      <c r="T10681" t="s">
        <v>27265</v>
      </c>
    </row>
    <row r="10682" spans="1:20" x14ac:dyDescent="0.3">
      <c r="A10682" t="str">
        <f>"0611838572100"</f>
        <v>0611838572100</v>
      </c>
      <c r="B10682" t="str">
        <f>"LQ3334"</f>
        <v>LQ3334</v>
      </c>
      <c r="C10682" t="s">
        <v>47906</v>
      </c>
      <c r="D10682" t="s">
        <v>27245</v>
      </c>
      <c r="E10682" t="str">
        <f t="shared" si="166"/>
        <v>001390</v>
      </c>
      <c r="F10682" t="s">
        <v>27246</v>
      </c>
      <c r="G10682" t="s">
        <v>27247</v>
      </c>
      <c r="H10682" t="s">
        <v>27248</v>
      </c>
      <c r="I10682" t="s">
        <v>47907</v>
      </c>
      <c r="J10682" t="s">
        <v>21372</v>
      </c>
      <c r="L10682" t="s">
        <v>27250</v>
      </c>
      <c r="M10682" t="s">
        <v>27251</v>
      </c>
      <c r="N10682" t="s">
        <v>27252</v>
      </c>
      <c r="Q10682" s="1">
        <v>44538</v>
      </c>
      <c r="R10682" t="s">
        <v>27253</v>
      </c>
      <c r="S10682" t="s">
        <v>27254</v>
      </c>
      <c r="T10682" t="s">
        <v>27255</v>
      </c>
    </row>
    <row r="10683" spans="1:20" x14ac:dyDescent="0.3">
      <c r="A10683" t="str">
        <f>"0611838573100"</f>
        <v>0611838573100</v>
      </c>
      <c r="B10683" t="str">
        <f>"LQ3335"</f>
        <v>LQ3335</v>
      </c>
      <c r="C10683" t="s">
        <v>47908</v>
      </c>
      <c r="D10683" t="s">
        <v>27245</v>
      </c>
      <c r="E10683" t="str">
        <f t="shared" si="166"/>
        <v>001390</v>
      </c>
      <c r="F10683" t="s">
        <v>27246</v>
      </c>
      <c r="G10683" t="s">
        <v>27247</v>
      </c>
      <c r="H10683" t="s">
        <v>27248</v>
      </c>
      <c r="I10683" t="s">
        <v>47909</v>
      </c>
      <c r="J10683" t="s">
        <v>21374</v>
      </c>
      <c r="L10683" t="s">
        <v>27250</v>
      </c>
      <c r="M10683" t="s">
        <v>27251</v>
      </c>
      <c r="N10683" t="s">
        <v>27252</v>
      </c>
      <c r="Q10683" s="1">
        <v>44538</v>
      </c>
      <c r="R10683" t="s">
        <v>27253</v>
      </c>
      <c r="S10683" t="s">
        <v>27254</v>
      </c>
      <c r="T10683" t="s">
        <v>27255</v>
      </c>
    </row>
    <row r="10684" spans="1:20" x14ac:dyDescent="0.3">
      <c r="A10684" t="str">
        <f>"0611863869050"</f>
        <v>0611863869050</v>
      </c>
      <c r="B10684" t="str">
        <f>"CR3002"</f>
        <v>CR3002</v>
      </c>
      <c r="C10684" t="s">
        <v>47908</v>
      </c>
      <c r="D10684" t="s">
        <v>27263</v>
      </c>
      <c r="E10684" t="str">
        <f t="shared" si="166"/>
        <v>001390</v>
      </c>
      <c r="F10684" t="s">
        <v>27246</v>
      </c>
      <c r="G10684" t="s">
        <v>27247</v>
      </c>
      <c r="H10684" t="s">
        <v>27248</v>
      </c>
      <c r="I10684" t="s">
        <v>47910</v>
      </c>
      <c r="J10684" t="s">
        <v>21376</v>
      </c>
      <c r="L10684" t="s">
        <v>27250</v>
      </c>
      <c r="M10684" t="s">
        <v>27251</v>
      </c>
      <c r="N10684" t="s">
        <v>27252</v>
      </c>
      <c r="Q10684" s="1">
        <v>44846</v>
      </c>
      <c r="R10684" t="s">
        <v>27253</v>
      </c>
      <c r="S10684" t="s">
        <v>27254</v>
      </c>
      <c r="T10684" t="s">
        <v>27265</v>
      </c>
    </row>
    <row r="10685" spans="1:20" x14ac:dyDescent="0.3">
      <c r="A10685" t="str">
        <f>"0611838574100"</f>
        <v>0611838574100</v>
      </c>
      <c r="B10685" t="str">
        <f>"LQ3336"</f>
        <v>LQ3336</v>
      </c>
      <c r="C10685" t="s">
        <v>47911</v>
      </c>
      <c r="D10685" t="s">
        <v>27245</v>
      </c>
      <c r="E10685" t="str">
        <f t="shared" si="166"/>
        <v>001390</v>
      </c>
      <c r="F10685" t="s">
        <v>27246</v>
      </c>
      <c r="G10685" t="s">
        <v>27247</v>
      </c>
      <c r="H10685" t="s">
        <v>27248</v>
      </c>
      <c r="I10685" t="s">
        <v>47912</v>
      </c>
      <c r="J10685" t="s">
        <v>21378</v>
      </c>
      <c r="L10685" t="s">
        <v>27250</v>
      </c>
      <c r="M10685" t="s">
        <v>27251</v>
      </c>
      <c r="N10685" t="s">
        <v>27252</v>
      </c>
      <c r="Q10685" s="1">
        <v>44538</v>
      </c>
      <c r="R10685" t="s">
        <v>27253</v>
      </c>
      <c r="S10685" t="s">
        <v>27254</v>
      </c>
      <c r="T10685" t="s">
        <v>27255</v>
      </c>
    </row>
    <row r="10686" spans="1:20" x14ac:dyDescent="0.3">
      <c r="A10686" t="str">
        <f>"0611838575100"</f>
        <v>0611838575100</v>
      </c>
      <c r="B10686" t="str">
        <f>"LQ3337"</f>
        <v>LQ3337</v>
      </c>
      <c r="C10686" t="s">
        <v>47913</v>
      </c>
      <c r="D10686" t="s">
        <v>27245</v>
      </c>
      <c r="E10686" t="str">
        <f t="shared" si="166"/>
        <v>001390</v>
      </c>
      <c r="F10686" t="s">
        <v>27246</v>
      </c>
      <c r="G10686" t="s">
        <v>27247</v>
      </c>
      <c r="H10686" t="s">
        <v>27248</v>
      </c>
      <c r="I10686" t="s">
        <v>47914</v>
      </c>
      <c r="J10686" t="s">
        <v>21380</v>
      </c>
      <c r="L10686" t="s">
        <v>27250</v>
      </c>
      <c r="M10686" t="s">
        <v>27251</v>
      </c>
      <c r="N10686" t="s">
        <v>27252</v>
      </c>
      <c r="Q10686" s="1">
        <v>44538</v>
      </c>
      <c r="R10686" t="s">
        <v>27253</v>
      </c>
      <c r="S10686" t="s">
        <v>27254</v>
      </c>
      <c r="T10686" t="s">
        <v>27255</v>
      </c>
    </row>
    <row r="10687" spans="1:20" x14ac:dyDescent="0.3">
      <c r="A10687" t="str">
        <f>"0611863870050"</f>
        <v>0611863870050</v>
      </c>
      <c r="B10687" t="str">
        <f>"CR3003"</f>
        <v>CR3003</v>
      </c>
      <c r="C10687" t="s">
        <v>47913</v>
      </c>
      <c r="D10687" t="s">
        <v>27263</v>
      </c>
      <c r="E10687" t="str">
        <f t="shared" si="166"/>
        <v>001390</v>
      </c>
      <c r="F10687" t="s">
        <v>27246</v>
      </c>
      <c r="G10687" t="s">
        <v>27247</v>
      </c>
      <c r="H10687" t="s">
        <v>27248</v>
      </c>
      <c r="I10687" t="s">
        <v>47915</v>
      </c>
      <c r="J10687" t="s">
        <v>21382</v>
      </c>
      <c r="L10687" t="s">
        <v>27250</v>
      </c>
      <c r="M10687" t="s">
        <v>27251</v>
      </c>
      <c r="N10687" t="s">
        <v>27252</v>
      </c>
      <c r="Q10687" s="1">
        <v>44846</v>
      </c>
      <c r="R10687" t="s">
        <v>27253</v>
      </c>
      <c r="S10687" t="s">
        <v>27254</v>
      </c>
      <c r="T10687" t="s">
        <v>27265</v>
      </c>
    </row>
    <row r="10688" spans="1:20" x14ac:dyDescent="0.3">
      <c r="A10688" t="str">
        <f>"0611838576100"</f>
        <v>0611838576100</v>
      </c>
      <c r="B10688" t="str">
        <f>"LQ3626"</f>
        <v>LQ3626</v>
      </c>
      <c r="C10688" t="s">
        <v>47916</v>
      </c>
      <c r="D10688" t="s">
        <v>27245</v>
      </c>
      <c r="E10688" t="str">
        <f t="shared" si="166"/>
        <v>001390</v>
      </c>
      <c r="F10688" t="s">
        <v>27246</v>
      </c>
      <c r="G10688" t="s">
        <v>27247</v>
      </c>
      <c r="H10688" t="s">
        <v>27248</v>
      </c>
      <c r="I10688" t="s">
        <v>47917</v>
      </c>
      <c r="J10688" t="s">
        <v>21384</v>
      </c>
      <c r="L10688" t="s">
        <v>27250</v>
      </c>
      <c r="M10688" t="s">
        <v>27251</v>
      </c>
      <c r="N10688" t="s">
        <v>27252</v>
      </c>
      <c r="Q10688" s="1">
        <v>44538</v>
      </c>
      <c r="R10688" t="s">
        <v>27253</v>
      </c>
      <c r="S10688" t="s">
        <v>27254</v>
      </c>
      <c r="T10688" t="s">
        <v>27255</v>
      </c>
    </row>
    <row r="10689" spans="1:20" x14ac:dyDescent="0.3">
      <c r="A10689" t="str">
        <f>"0611863871050"</f>
        <v>0611863871050</v>
      </c>
      <c r="B10689" t="str">
        <f>"CR4037"</f>
        <v>CR4037</v>
      </c>
      <c r="C10689" t="s">
        <v>47916</v>
      </c>
      <c r="D10689" t="s">
        <v>27263</v>
      </c>
      <c r="E10689" t="str">
        <f t="shared" si="166"/>
        <v>001390</v>
      </c>
      <c r="F10689" t="s">
        <v>27246</v>
      </c>
      <c r="G10689" t="s">
        <v>27247</v>
      </c>
      <c r="H10689" t="s">
        <v>27248</v>
      </c>
      <c r="I10689" t="s">
        <v>47918</v>
      </c>
      <c r="J10689" t="s">
        <v>21386</v>
      </c>
      <c r="L10689" t="s">
        <v>27250</v>
      </c>
      <c r="M10689" t="s">
        <v>27251</v>
      </c>
      <c r="N10689" t="s">
        <v>27252</v>
      </c>
      <c r="Q10689" s="1">
        <v>44846</v>
      </c>
      <c r="R10689" t="s">
        <v>27253</v>
      </c>
      <c r="S10689" t="s">
        <v>27254</v>
      </c>
      <c r="T10689" t="s">
        <v>27265</v>
      </c>
    </row>
    <row r="10690" spans="1:20" x14ac:dyDescent="0.3">
      <c r="A10690" t="str">
        <f>"0611838577100"</f>
        <v>0611838577100</v>
      </c>
      <c r="B10690" t="str">
        <f>"LQ3339"</f>
        <v>LQ3339</v>
      </c>
      <c r="C10690" t="s">
        <v>47919</v>
      </c>
      <c r="D10690" t="s">
        <v>27245</v>
      </c>
      <c r="E10690" t="str">
        <f t="shared" ref="E10690:E10753" si="167">"001390"</f>
        <v>001390</v>
      </c>
      <c r="F10690" t="s">
        <v>27246</v>
      </c>
      <c r="G10690" t="s">
        <v>27247</v>
      </c>
      <c r="H10690" t="s">
        <v>27248</v>
      </c>
      <c r="I10690" t="s">
        <v>47920</v>
      </c>
      <c r="J10690" t="s">
        <v>21388</v>
      </c>
      <c r="L10690" t="s">
        <v>27250</v>
      </c>
      <c r="M10690" t="s">
        <v>27251</v>
      </c>
      <c r="N10690" t="s">
        <v>27252</v>
      </c>
      <c r="Q10690" s="1">
        <v>44538</v>
      </c>
      <c r="R10690" t="s">
        <v>27253</v>
      </c>
      <c r="S10690" t="s">
        <v>27254</v>
      </c>
      <c r="T10690" t="s">
        <v>27255</v>
      </c>
    </row>
    <row r="10691" spans="1:20" x14ac:dyDescent="0.3">
      <c r="A10691" t="str">
        <f>"0611838578100"</f>
        <v>0611838578100</v>
      </c>
      <c r="B10691" t="str">
        <f>"LQ3627"</f>
        <v>LQ3627</v>
      </c>
      <c r="C10691" t="s">
        <v>47921</v>
      </c>
      <c r="D10691" t="s">
        <v>27245</v>
      </c>
      <c r="E10691" t="str">
        <f t="shared" si="167"/>
        <v>001390</v>
      </c>
      <c r="F10691" t="s">
        <v>27246</v>
      </c>
      <c r="G10691" t="s">
        <v>27247</v>
      </c>
      <c r="H10691" t="s">
        <v>27248</v>
      </c>
      <c r="I10691" t="s">
        <v>47922</v>
      </c>
      <c r="J10691" t="s">
        <v>21390</v>
      </c>
      <c r="L10691" t="s">
        <v>27250</v>
      </c>
      <c r="M10691" t="s">
        <v>27251</v>
      </c>
      <c r="N10691" t="s">
        <v>27252</v>
      </c>
      <c r="Q10691" s="1">
        <v>44538</v>
      </c>
      <c r="R10691" t="s">
        <v>27253</v>
      </c>
      <c r="S10691" t="s">
        <v>27254</v>
      </c>
      <c r="T10691" t="s">
        <v>27255</v>
      </c>
    </row>
    <row r="10692" spans="1:20" x14ac:dyDescent="0.3">
      <c r="A10692" t="str">
        <f>"0611863872050"</f>
        <v>0611863872050</v>
      </c>
      <c r="B10692" t="str">
        <f>"CR4038"</f>
        <v>CR4038</v>
      </c>
      <c r="C10692" t="s">
        <v>47921</v>
      </c>
      <c r="D10692" t="s">
        <v>27263</v>
      </c>
      <c r="E10692" t="str">
        <f t="shared" si="167"/>
        <v>001390</v>
      </c>
      <c r="F10692" t="s">
        <v>27246</v>
      </c>
      <c r="G10692" t="s">
        <v>27247</v>
      </c>
      <c r="H10692" t="s">
        <v>27248</v>
      </c>
      <c r="I10692" t="s">
        <v>47923</v>
      </c>
      <c r="J10692" t="s">
        <v>21392</v>
      </c>
      <c r="L10692" t="s">
        <v>27250</v>
      </c>
      <c r="M10692" t="s">
        <v>27251</v>
      </c>
      <c r="N10692" t="s">
        <v>27252</v>
      </c>
      <c r="Q10692" s="1">
        <v>44846</v>
      </c>
      <c r="R10692" t="s">
        <v>27253</v>
      </c>
      <c r="S10692" t="s">
        <v>27254</v>
      </c>
      <c r="T10692" t="s">
        <v>27265</v>
      </c>
    </row>
    <row r="10693" spans="1:20" x14ac:dyDescent="0.3">
      <c r="A10693" t="str">
        <f>"0611838580100"</f>
        <v>0611838580100</v>
      </c>
      <c r="B10693" t="str">
        <f>"LQ3340"</f>
        <v>LQ3340</v>
      </c>
      <c r="C10693" t="s">
        <v>47924</v>
      </c>
      <c r="D10693" t="s">
        <v>27245</v>
      </c>
      <c r="E10693" t="str">
        <f t="shared" si="167"/>
        <v>001390</v>
      </c>
      <c r="F10693" t="s">
        <v>27246</v>
      </c>
      <c r="G10693" t="s">
        <v>27247</v>
      </c>
      <c r="H10693" t="s">
        <v>27248</v>
      </c>
      <c r="I10693" t="s">
        <v>47925</v>
      </c>
      <c r="J10693" t="s">
        <v>21394</v>
      </c>
      <c r="L10693" t="s">
        <v>27250</v>
      </c>
      <c r="M10693" t="s">
        <v>27251</v>
      </c>
      <c r="N10693" t="s">
        <v>27252</v>
      </c>
      <c r="Q10693" s="1">
        <v>44538</v>
      </c>
      <c r="R10693" t="s">
        <v>27253</v>
      </c>
      <c r="S10693" t="s">
        <v>27254</v>
      </c>
      <c r="T10693" t="s">
        <v>27255</v>
      </c>
    </row>
    <row r="10694" spans="1:20" x14ac:dyDescent="0.3">
      <c r="A10694" t="str">
        <f>"0611857085100"</f>
        <v>0611857085100</v>
      </c>
      <c r="B10694" t="str">
        <f>"LQ3898"</f>
        <v>LQ3898</v>
      </c>
      <c r="C10694" t="s">
        <v>47926</v>
      </c>
      <c r="D10694" t="s">
        <v>27245</v>
      </c>
      <c r="E10694" t="str">
        <f t="shared" si="167"/>
        <v>001390</v>
      </c>
      <c r="F10694" t="s">
        <v>27246</v>
      </c>
      <c r="G10694" t="s">
        <v>27247</v>
      </c>
      <c r="H10694" t="s">
        <v>27248</v>
      </c>
      <c r="I10694" t="s">
        <v>47927</v>
      </c>
      <c r="J10694" t="s">
        <v>21400</v>
      </c>
      <c r="L10694" t="s">
        <v>27250</v>
      </c>
      <c r="M10694" t="s">
        <v>27251</v>
      </c>
      <c r="N10694" t="s">
        <v>27252</v>
      </c>
      <c r="Q10694" s="1">
        <v>44812</v>
      </c>
      <c r="R10694" t="s">
        <v>27253</v>
      </c>
      <c r="S10694" t="s">
        <v>27254</v>
      </c>
      <c r="T10694" t="s">
        <v>27255</v>
      </c>
    </row>
    <row r="10695" spans="1:20" x14ac:dyDescent="0.3">
      <c r="A10695" t="str">
        <f>"0611838581100"</f>
        <v>0611838581100</v>
      </c>
      <c r="B10695" t="str">
        <f>"LQ3341"</f>
        <v>LQ3341</v>
      </c>
      <c r="C10695" t="s">
        <v>47928</v>
      </c>
      <c r="D10695" t="s">
        <v>27245</v>
      </c>
      <c r="E10695" t="str">
        <f t="shared" si="167"/>
        <v>001390</v>
      </c>
      <c r="F10695" t="s">
        <v>27246</v>
      </c>
      <c r="G10695" t="s">
        <v>27247</v>
      </c>
      <c r="H10695" t="s">
        <v>27248</v>
      </c>
      <c r="I10695" t="s">
        <v>47929</v>
      </c>
      <c r="J10695" t="s">
        <v>21396</v>
      </c>
      <c r="L10695" t="s">
        <v>27250</v>
      </c>
      <c r="M10695" t="s">
        <v>27251</v>
      </c>
      <c r="N10695" t="s">
        <v>27252</v>
      </c>
      <c r="Q10695" s="1">
        <v>44538</v>
      </c>
      <c r="R10695" t="s">
        <v>27253</v>
      </c>
      <c r="S10695" t="s">
        <v>27254</v>
      </c>
      <c r="T10695" t="s">
        <v>27255</v>
      </c>
    </row>
    <row r="10696" spans="1:20" x14ac:dyDescent="0.3">
      <c r="A10696" t="str">
        <f>"0611863873050"</f>
        <v>0611863873050</v>
      </c>
      <c r="B10696" t="str">
        <f>"CR3004"</f>
        <v>CR3004</v>
      </c>
      <c r="C10696" t="s">
        <v>47928</v>
      </c>
      <c r="D10696" t="s">
        <v>27263</v>
      </c>
      <c r="E10696" t="str">
        <f t="shared" si="167"/>
        <v>001390</v>
      </c>
      <c r="F10696" t="s">
        <v>27246</v>
      </c>
      <c r="G10696" t="s">
        <v>27247</v>
      </c>
      <c r="H10696" t="s">
        <v>27248</v>
      </c>
      <c r="I10696" t="s">
        <v>47930</v>
      </c>
      <c r="J10696" t="s">
        <v>21398</v>
      </c>
      <c r="L10696" t="s">
        <v>27250</v>
      </c>
      <c r="M10696" t="s">
        <v>27251</v>
      </c>
      <c r="N10696" t="s">
        <v>27252</v>
      </c>
      <c r="Q10696" s="1">
        <v>44846</v>
      </c>
      <c r="R10696" t="s">
        <v>27253</v>
      </c>
      <c r="S10696" t="s">
        <v>27254</v>
      </c>
      <c r="T10696" t="s">
        <v>27265</v>
      </c>
    </row>
    <row r="10697" spans="1:20" x14ac:dyDescent="0.3">
      <c r="A10697" t="str">
        <f>"0611863874050"</f>
        <v>0611863874050</v>
      </c>
      <c r="B10697" t="str">
        <f>"CR2525"</f>
        <v>CR2525</v>
      </c>
      <c r="C10697" t="s">
        <v>47931</v>
      </c>
      <c r="D10697" t="s">
        <v>27271</v>
      </c>
      <c r="E10697" t="str">
        <f t="shared" si="167"/>
        <v>001390</v>
      </c>
      <c r="F10697" t="s">
        <v>27246</v>
      </c>
      <c r="G10697" t="s">
        <v>27247</v>
      </c>
      <c r="H10697" t="s">
        <v>27248</v>
      </c>
      <c r="I10697" t="s">
        <v>47932</v>
      </c>
      <c r="J10697" t="s">
        <v>21402</v>
      </c>
      <c r="L10697" t="s">
        <v>27250</v>
      </c>
      <c r="M10697" t="s">
        <v>27251</v>
      </c>
      <c r="N10697" t="s">
        <v>27252</v>
      </c>
      <c r="P10697" t="s">
        <v>27341</v>
      </c>
      <c r="Q10697" s="1">
        <v>44846</v>
      </c>
      <c r="R10697" t="s">
        <v>27253</v>
      </c>
      <c r="S10697" t="s">
        <v>27254</v>
      </c>
      <c r="T10697" t="s">
        <v>27265</v>
      </c>
    </row>
    <row r="10698" spans="1:20" x14ac:dyDescent="0.3">
      <c r="A10698" t="str">
        <f>"0611863875050"</f>
        <v>0611863875050</v>
      </c>
      <c r="B10698" t="str">
        <f>"CR2526"</f>
        <v>CR2526</v>
      </c>
      <c r="C10698" t="s">
        <v>47933</v>
      </c>
      <c r="D10698" t="s">
        <v>27271</v>
      </c>
      <c r="E10698" t="str">
        <f t="shared" si="167"/>
        <v>001390</v>
      </c>
      <c r="F10698" t="s">
        <v>27246</v>
      </c>
      <c r="G10698" t="s">
        <v>27247</v>
      </c>
      <c r="H10698" t="s">
        <v>27248</v>
      </c>
      <c r="I10698" t="s">
        <v>47934</v>
      </c>
      <c r="J10698" t="s">
        <v>21404</v>
      </c>
      <c r="L10698" t="s">
        <v>27250</v>
      </c>
      <c r="M10698" t="s">
        <v>27251</v>
      </c>
      <c r="N10698" t="s">
        <v>27252</v>
      </c>
      <c r="P10698" t="s">
        <v>27341</v>
      </c>
      <c r="Q10698" s="1">
        <v>44846</v>
      </c>
      <c r="R10698" t="s">
        <v>27253</v>
      </c>
      <c r="S10698" t="s">
        <v>27254</v>
      </c>
      <c r="T10698" t="s">
        <v>27265</v>
      </c>
    </row>
    <row r="10699" spans="1:20" x14ac:dyDescent="0.3">
      <c r="A10699" t="str">
        <f>"0611863876050"</f>
        <v>0611863876050</v>
      </c>
      <c r="B10699" t="str">
        <f>"CR4054"</f>
        <v>CR4054</v>
      </c>
      <c r="C10699" t="s">
        <v>47935</v>
      </c>
      <c r="D10699" t="s">
        <v>27271</v>
      </c>
      <c r="E10699" t="str">
        <f t="shared" si="167"/>
        <v>001390</v>
      </c>
      <c r="F10699" t="s">
        <v>27246</v>
      </c>
      <c r="G10699" t="s">
        <v>27247</v>
      </c>
      <c r="H10699" t="s">
        <v>27248</v>
      </c>
      <c r="I10699" t="s">
        <v>47936</v>
      </c>
      <c r="J10699" t="s">
        <v>21406</v>
      </c>
      <c r="L10699" t="s">
        <v>27250</v>
      </c>
      <c r="M10699" t="s">
        <v>27251</v>
      </c>
      <c r="N10699" t="s">
        <v>27252</v>
      </c>
      <c r="P10699" t="s">
        <v>27341</v>
      </c>
      <c r="Q10699" s="1">
        <v>44846</v>
      </c>
      <c r="R10699" t="s">
        <v>27253</v>
      </c>
      <c r="S10699" t="s">
        <v>27254</v>
      </c>
      <c r="T10699" t="s">
        <v>27265</v>
      </c>
    </row>
    <row r="10700" spans="1:20" x14ac:dyDescent="0.3">
      <c r="A10700" t="str">
        <f>"0611863877050"</f>
        <v>0611863877050</v>
      </c>
      <c r="B10700" t="str">
        <f>"CR2527"</f>
        <v>CR2527</v>
      </c>
      <c r="C10700" t="s">
        <v>47937</v>
      </c>
      <c r="D10700" t="s">
        <v>27271</v>
      </c>
      <c r="E10700" t="str">
        <f t="shared" si="167"/>
        <v>001390</v>
      </c>
      <c r="F10700" t="s">
        <v>27246</v>
      </c>
      <c r="G10700" t="s">
        <v>27247</v>
      </c>
      <c r="H10700" t="s">
        <v>27248</v>
      </c>
      <c r="I10700" t="s">
        <v>47938</v>
      </c>
      <c r="J10700" t="s">
        <v>21408</v>
      </c>
      <c r="L10700" t="s">
        <v>27250</v>
      </c>
      <c r="M10700" t="s">
        <v>27251</v>
      </c>
      <c r="N10700" t="s">
        <v>27252</v>
      </c>
      <c r="P10700" t="s">
        <v>27341</v>
      </c>
      <c r="Q10700" s="1">
        <v>44846</v>
      </c>
      <c r="R10700" t="s">
        <v>27253</v>
      </c>
      <c r="S10700" t="s">
        <v>27254</v>
      </c>
      <c r="T10700" t="s">
        <v>27265</v>
      </c>
    </row>
    <row r="10701" spans="1:20" x14ac:dyDescent="0.3">
      <c r="A10701" t="str">
        <f>"0611863878050"</f>
        <v>0611863878050</v>
      </c>
      <c r="B10701" t="str">
        <f>"CR5011"</f>
        <v>CR5011</v>
      </c>
      <c r="C10701" t="s">
        <v>47939</v>
      </c>
      <c r="D10701" t="s">
        <v>27271</v>
      </c>
      <c r="E10701" t="str">
        <f t="shared" si="167"/>
        <v>001390</v>
      </c>
      <c r="F10701" t="s">
        <v>27246</v>
      </c>
      <c r="G10701" t="s">
        <v>27247</v>
      </c>
      <c r="H10701" t="s">
        <v>27248</v>
      </c>
      <c r="I10701" t="s">
        <v>47940</v>
      </c>
      <c r="J10701" t="s">
        <v>21410</v>
      </c>
      <c r="L10701" t="s">
        <v>27250</v>
      </c>
      <c r="M10701" t="s">
        <v>27251</v>
      </c>
      <c r="N10701" t="s">
        <v>27252</v>
      </c>
      <c r="P10701" t="s">
        <v>27341</v>
      </c>
      <c r="Q10701" s="1">
        <v>44846</v>
      </c>
      <c r="R10701" t="s">
        <v>27253</v>
      </c>
      <c r="S10701" t="s">
        <v>27254</v>
      </c>
      <c r="T10701" t="s">
        <v>27265</v>
      </c>
    </row>
    <row r="10702" spans="1:20" x14ac:dyDescent="0.3">
      <c r="A10702" t="str">
        <f>"0611863879050"</f>
        <v>0611863879050</v>
      </c>
      <c r="B10702" t="str">
        <f>"CR4868"</f>
        <v>CR4868</v>
      </c>
      <c r="C10702" t="s">
        <v>47941</v>
      </c>
      <c r="D10702" t="s">
        <v>27271</v>
      </c>
      <c r="E10702" t="str">
        <f t="shared" si="167"/>
        <v>001390</v>
      </c>
      <c r="F10702" t="s">
        <v>27246</v>
      </c>
      <c r="G10702" t="s">
        <v>27247</v>
      </c>
      <c r="H10702" t="s">
        <v>27248</v>
      </c>
      <c r="I10702" t="s">
        <v>47942</v>
      </c>
      <c r="J10702" t="s">
        <v>21412</v>
      </c>
      <c r="L10702" t="s">
        <v>27250</v>
      </c>
      <c r="M10702" t="s">
        <v>27251</v>
      </c>
      <c r="N10702" t="s">
        <v>27252</v>
      </c>
      <c r="P10702" t="s">
        <v>27341</v>
      </c>
      <c r="Q10702" s="1">
        <v>44846</v>
      </c>
      <c r="R10702" t="s">
        <v>27253</v>
      </c>
      <c r="S10702" t="s">
        <v>27254</v>
      </c>
      <c r="T10702" t="s">
        <v>27265</v>
      </c>
    </row>
    <row r="10703" spans="1:20" x14ac:dyDescent="0.3">
      <c r="A10703" t="str">
        <f>"0611863880050"</f>
        <v>0611863880050</v>
      </c>
      <c r="B10703" t="str">
        <f>"CR2528"</f>
        <v>CR2528</v>
      </c>
      <c r="C10703" t="s">
        <v>47943</v>
      </c>
      <c r="D10703" t="s">
        <v>27271</v>
      </c>
      <c r="E10703" t="str">
        <f t="shared" si="167"/>
        <v>001390</v>
      </c>
      <c r="F10703" t="s">
        <v>27246</v>
      </c>
      <c r="G10703" t="s">
        <v>27247</v>
      </c>
      <c r="H10703" t="s">
        <v>27248</v>
      </c>
      <c r="I10703" t="s">
        <v>47944</v>
      </c>
      <c r="J10703" t="s">
        <v>21414</v>
      </c>
      <c r="L10703" t="s">
        <v>27250</v>
      </c>
      <c r="M10703" t="s">
        <v>27251</v>
      </c>
      <c r="N10703" t="s">
        <v>27252</v>
      </c>
      <c r="P10703" t="s">
        <v>27341</v>
      </c>
      <c r="Q10703" s="1">
        <v>44846</v>
      </c>
      <c r="R10703" t="s">
        <v>27253</v>
      </c>
      <c r="S10703" t="s">
        <v>27254</v>
      </c>
      <c r="T10703" t="s">
        <v>27265</v>
      </c>
    </row>
    <row r="10704" spans="1:20" x14ac:dyDescent="0.3">
      <c r="A10704" t="str">
        <f>"0611863881050"</f>
        <v>0611863881050</v>
      </c>
      <c r="B10704" t="str">
        <f>"CR4867"</f>
        <v>CR4867</v>
      </c>
      <c r="C10704" t="s">
        <v>47945</v>
      </c>
      <c r="D10704" t="s">
        <v>27271</v>
      </c>
      <c r="E10704" t="str">
        <f t="shared" si="167"/>
        <v>001390</v>
      </c>
      <c r="F10704" t="s">
        <v>27246</v>
      </c>
      <c r="G10704" t="s">
        <v>27247</v>
      </c>
      <c r="H10704" t="s">
        <v>27248</v>
      </c>
      <c r="I10704" t="s">
        <v>47946</v>
      </c>
      <c r="J10704" t="s">
        <v>21416</v>
      </c>
      <c r="L10704" t="s">
        <v>27250</v>
      </c>
      <c r="M10704" t="s">
        <v>27251</v>
      </c>
      <c r="N10704" t="s">
        <v>27252</v>
      </c>
      <c r="P10704" t="s">
        <v>27341</v>
      </c>
      <c r="Q10704" s="1">
        <v>44846</v>
      </c>
      <c r="R10704" t="s">
        <v>27253</v>
      </c>
      <c r="S10704" t="s">
        <v>27254</v>
      </c>
      <c r="T10704" t="s">
        <v>27265</v>
      </c>
    </row>
    <row r="10705" spans="1:20" x14ac:dyDescent="0.3">
      <c r="A10705" t="str">
        <f>"0611863882050"</f>
        <v>0611863882050</v>
      </c>
      <c r="B10705" t="str">
        <f>"CR3914"</f>
        <v>CR3914</v>
      </c>
      <c r="C10705" t="s">
        <v>47947</v>
      </c>
      <c r="D10705" t="s">
        <v>27271</v>
      </c>
      <c r="E10705" t="str">
        <f t="shared" si="167"/>
        <v>001390</v>
      </c>
      <c r="F10705" t="s">
        <v>27246</v>
      </c>
      <c r="G10705" t="s">
        <v>27247</v>
      </c>
      <c r="H10705" t="s">
        <v>27248</v>
      </c>
      <c r="I10705" t="s">
        <v>47948</v>
      </c>
      <c r="J10705" t="s">
        <v>21418</v>
      </c>
      <c r="L10705" t="s">
        <v>27250</v>
      </c>
      <c r="M10705" t="s">
        <v>27251</v>
      </c>
      <c r="N10705" t="s">
        <v>27252</v>
      </c>
      <c r="P10705" t="s">
        <v>27341</v>
      </c>
      <c r="Q10705" s="1">
        <v>44846</v>
      </c>
      <c r="R10705" t="s">
        <v>27253</v>
      </c>
      <c r="S10705" t="s">
        <v>27254</v>
      </c>
      <c r="T10705" t="s">
        <v>27265</v>
      </c>
    </row>
    <row r="10706" spans="1:20" x14ac:dyDescent="0.3">
      <c r="A10706" t="str">
        <f>"0611863883050"</f>
        <v>0611863883050</v>
      </c>
      <c r="B10706" t="str">
        <f>"CR3738"</f>
        <v>CR3738</v>
      </c>
      <c r="C10706" t="s">
        <v>47949</v>
      </c>
      <c r="D10706" t="s">
        <v>27271</v>
      </c>
      <c r="E10706" t="str">
        <f t="shared" si="167"/>
        <v>001390</v>
      </c>
      <c r="F10706" t="s">
        <v>27246</v>
      </c>
      <c r="G10706" t="s">
        <v>27247</v>
      </c>
      <c r="H10706" t="s">
        <v>27248</v>
      </c>
      <c r="I10706" t="s">
        <v>47950</v>
      </c>
      <c r="J10706" t="s">
        <v>21420</v>
      </c>
      <c r="L10706" t="s">
        <v>27250</v>
      </c>
      <c r="M10706" t="s">
        <v>27251</v>
      </c>
      <c r="N10706" t="s">
        <v>27252</v>
      </c>
      <c r="P10706" t="s">
        <v>27341</v>
      </c>
      <c r="Q10706" s="1">
        <v>44846</v>
      </c>
      <c r="R10706" t="s">
        <v>27253</v>
      </c>
      <c r="S10706" t="s">
        <v>27254</v>
      </c>
      <c r="T10706" t="s">
        <v>27265</v>
      </c>
    </row>
    <row r="10707" spans="1:20" x14ac:dyDescent="0.3">
      <c r="A10707" t="str">
        <f>"0611863884050"</f>
        <v>0611863884050</v>
      </c>
      <c r="B10707" t="str">
        <f>"CR3739"</f>
        <v>CR3739</v>
      </c>
      <c r="C10707" t="s">
        <v>47951</v>
      </c>
      <c r="D10707" t="s">
        <v>27271</v>
      </c>
      <c r="E10707" t="str">
        <f t="shared" si="167"/>
        <v>001390</v>
      </c>
      <c r="F10707" t="s">
        <v>27246</v>
      </c>
      <c r="G10707" t="s">
        <v>27247</v>
      </c>
      <c r="H10707" t="s">
        <v>27248</v>
      </c>
      <c r="I10707" t="s">
        <v>47952</v>
      </c>
      <c r="J10707" t="s">
        <v>21422</v>
      </c>
      <c r="L10707" t="s">
        <v>27250</v>
      </c>
      <c r="M10707" t="s">
        <v>27251</v>
      </c>
      <c r="N10707" t="s">
        <v>27252</v>
      </c>
      <c r="P10707" t="s">
        <v>27341</v>
      </c>
      <c r="Q10707" s="1">
        <v>44846</v>
      </c>
      <c r="R10707" t="s">
        <v>27253</v>
      </c>
      <c r="S10707" t="s">
        <v>27254</v>
      </c>
      <c r="T10707" t="s">
        <v>27265</v>
      </c>
    </row>
    <row r="10708" spans="1:20" x14ac:dyDescent="0.3">
      <c r="A10708" t="str">
        <f>"0611863885050"</f>
        <v>0611863885050</v>
      </c>
      <c r="B10708" t="str">
        <f>"CR3740"</f>
        <v>CR3740</v>
      </c>
      <c r="C10708" t="s">
        <v>47953</v>
      </c>
      <c r="D10708" t="s">
        <v>27271</v>
      </c>
      <c r="E10708" t="str">
        <f t="shared" si="167"/>
        <v>001390</v>
      </c>
      <c r="F10708" t="s">
        <v>27246</v>
      </c>
      <c r="G10708" t="s">
        <v>27247</v>
      </c>
      <c r="H10708" t="s">
        <v>27248</v>
      </c>
      <c r="I10708" t="s">
        <v>47954</v>
      </c>
      <c r="J10708" t="s">
        <v>21424</v>
      </c>
      <c r="L10708" t="s">
        <v>27250</v>
      </c>
      <c r="M10708" t="s">
        <v>27251</v>
      </c>
      <c r="N10708" t="s">
        <v>27252</v>
      </c>
      <c r="P10708" t="s">
        <v>27341</v>
      </c>
      <c r="Q10708" s="1">
        <v>44846</v>
      </c>
      <c r="R10708" t="s">
        <v>27253</v>
      </c>
      <c r="S10708" t="s">
        <v>27254</v>
      </c>
      <c r="T10708" t="s">
        <v>27265</v>
      </c>
    </row>
    <row r="10709" spans="1:20" x14ac:dyDescent="0.3">
      <c r="A10709" t="str">
        <f>"0611863886050"</f>
        <v>0611863886050</v>
      </c>
      <c r="B10709" t="str">
        <f>"CR3741"</f>
        <v>CR3741</v>
      </c>
      <c r="C10709" t="s">
        <v>47955</v>
      </c>
      <c r="D10709" t="s">
        <v>27271</v>
      </c>
      <c r="E10709" t="str">
        <f t="shared" si="167"/>
        <v>001390</v>
      </c>
      <c r="F10709" t="s">
        <v>27246</v>
      </c>
      <c r="G10709" t="s">
        <v>27247</v>
      </c>
      <c r="H10709" t="s">
        <v>27248</v>
      </c>
      <c r="I10709" t="s">
        <v>47956</v>
      </c>
      <c r="J10709" t="s">
        <v>21426</v>
      </c>
      <c r="L10709" t="s">
        <v>27250</v>
      </c>
      <c r="M10709" t="s">
        <v>27251</v>
      </c>
      <c r="N10709" t="s">
        <v>27252</v>
      </c>
      <c r="P10709" t="s">
        <v>27341</v>
      </c>
      <c r="Q10709" s="1">
        <v>44846</v>
      </c>
      <c r="R10709" t="s">
        <v>27253</v>
      </c>
      <c r="S10709" t="s">
        <v>27254</v>
      </c>
      <c r="T10709" t="s">
        <v>27265</v>
      </c>
    </row>
    <row r="10710" spans="1:20" x14ac:dyDescent="0.3">
      <c r="A10710" t="str">
        <f>"0611863887050"</f>
        <v>0611863887050</v>
      </c>
      <c r="B10710" t="str">
        <f>"CR5012"</f>
        <v>CR5012</v>
      </c>
      <c r="C10710" t="s">
        <v>47957</v>
      </c>
      <c r="D10710" t="s">
        <v>27271</v>
      </c>
      <c r="E10710" t="str">
        <f t="shared" si="167"/>
        <v>001390</v>
      </c>
      <c r="F10710" t="s">
        <v>27246</v>
      </c>
      <c r="G10710" t="s">
        <v>27247</v>
      </c>
      <c r="H10710" t="s">
        <v>27248</v>
      </c>
      <c r="I10710" t="s">
        <v>47958</v>
      </c>
      <c r="J10710" t="s">
        <v>21428</v>
      </c>
      <c r="L10710" t="s">
        <v>27250</v>
      </c>
      <c r="M10710" t="s">
        <v>27251</v>
      </c>
      <c r="N10710" t="s">
        <v>27252</v>
      </c>
      <c r="P10710" t="s">
        <v>27341</v>
      </c>
      <c r="Q10710" s="1">
        <v>44846</v>
      </c>
      <c r="R10710" t="s">
        <v>27253</v>
      </c>
      <c r="S10710" t="s">
        <v>27254</v>
      </c>
      <c r="T10710" t="s">
        <v>27265</v>
      </c>
    </row>
    <row r="10711" spans="1:20" x14ac:dyDescent="0.3">
      <c r="A10711" t="str">
        <f>"0611863888050"</f>
        <v>0611863888050</v>
      </c>
      <c r="B10711" t="str">
        <f>"CR2529"</f>
        <v>CR2529</v>
      </c>
      <c r="C10711" t="s">
        <v>47959</v>
      </c>
      <c r="D10711" t="s">
        <v>27271</v>
      </c>
      <c r="E10711" t="str">
        <f t="shared" si="167"/>
        <v>001390</v>
      </c>
      <c r="F10711" t="s">
        <v>27246</v>
      </c>
      <c r="G10711" t="s">
        <v>27247</v>
      </c>
      <c r="H10711" t="s">
        <v>27248</v>
      </c>
      <c r="I10711" t="s">
        <v>47960</v>
      </c>
      <c r="J10711" t="s">
        <v>21430</v>
      </c>
      <c r="L10711" t="s">
        <v>27250</v>
      </c>
      <c r="M10711" t="s">
        <v>27251</v>
      </c>
      <c r="N10711" t="s">
        <v>27252</v>
      </c>
      <c r="P10711" t="s">
        <v>27341</v>
      </c>
      <c r="Q10711" s="1">
        <v>44846</v>
      </c>
      <c r="R10711" t="s">
        <v>27253</v>
      </c>
      <c r="S10711" t="s">
        <v>27254</v>
      </c>
      <c r="T10711" t="s">
        <v>27265</v>
      </c>
    </row>
    <row r="10712" spans="1:20" x14ac:dyDescent="0.3">
      <c r="A10712" t="str">
        <f>"0611838582100"</f>
        <v>0611838582100</v>
      </c>
      <c r="B10712" t="str">
        <f>"LK5333"</f>
        <v>LK5333</v>
      </c>
      <c r="C10712" t="s">
        <v>47961</v>
      </c>
      <c r="D10712" t="s">
        <v>27245</v>
      </c>
      <c r="E10712" t="str">
        <f t="shared" si="167"/>
        <v>001390</v>
      </c>
      <c r="F10712" t="s">
        <v>27246</v>
      </c>
      <c r="G10712" t="s">
        <v>27247</v>
      </c>
      <c r="H10712" t="s">
        <v>27248</v>
      </c>
      <c r="I10712" t="s">
        <v>47962</v>
      </c>
      <c r="J10712" t="s">
        <v>21432</v>
      </c>
      <c r="L10712" t="s">
        <v>27250</v>
      </c>
      <c r="M10712" t="s">
        <v>27251</v>
      </c>
      <c r="N10712" t="s">
        <v>27252</v>
      </c>
      <c r="Q10712" s="1">
        <v>44538</v>
      </c>
      <c r="R10712" t="s">
        <v>27253</v>
      </c>
      <c r="S10712" t="s">
        <v>27254</v>
      </c>
      <c r="T10712" t="s">
        <v>27255</v>
      </c>
    </row>
    <row r="10713" spans="1:20" x14ac:dyDescent="0.3">
      <c r="A10713" t="str">
        <f>"0611884408100"</f>
        <v>0611884408100</v>
      </c>
      <c r="B10713" t="str">
        <f>"LF9114"</f>
        <v>LF9114</v>
      </c>
      <c r="C10713" t="s">
        <v>47963</v>
      </c>
      <c r="D10713" t="s">
        <v>27245</v>
      </c>
      <c r="E10713" t="str">
        <f t="shared" si="167"/>
        <v>001390</v>
      </c>
      <c r="F10713" t="s">
        <v>27246</v>
      </c>
      <c r="G10713" t="s">
        <v>27247</v>
      </c>
      <c r="H10713" t="s">
        <v>27248</v>
      </c>
      <c r="I10713" t="s">
        <v>47964</v>
      </c>
      <c r="J10713" t="s">
        <v>21434</v>
      </c>
      <c r="L10713" t="s">
        <v>27430</v>
      </c>
      <c r="M10713" t="s">
        <v>27251</v>
      </c>
      <c r="N10713" t="s">
        <v>27252</v>
      </c>
      <c r="Q10713" s="1">
        <v>45250</v>
      </c>
      <c r="R10713" t="s">
        <v>27253</v>
      </c>
      <c r="S10713" t="s">
        <v>27254</v>
      </c>
      <c r="T10713" t="s">
        <v>27255</v>
      </c>
    </row>
    <row r="10714" spans="1:20" x14ac:dyDescent="0.3">
      <c r="A10714" t="str">
        <f>"0611838583100"</f>
        <v>0611838583100</v>
      </c>
      <c r="B10714" t="str">
        <f>"LS0114"</f>
        <v>LS0114</v>
      </c>
      <c r="C10714" t="s">
        <v>47965</v>
      </c>
      <c r="D10714" t="s">
        <v>27245</v>
      </c>
      <c r="E10714" t="str">
        <f t="shared" si="167"/>
        <v>001390</v>
      </c>
      <c r="F10714" t="s">
        <v>27246</v>
      </c>
      <c r="G10714" t="s">
        <v>27247</v>
      </c>
      <c r="H10714" t="s">
        <v>27248</v>
      </c>
      <c r="I10714" t="s">
        <v>47966</v>
      </c>
      <c r="J10714" t="s">
        <v>21438</v>
      </c>
      <c r="L10714" t="s">
        <v>27250</v>
      </c>
      <c r="M10714" t="s">
        <v>27251</v>
      </c>
      <c r="N10714" t="s">
        <v>27252</v>
      </c>
      <c r="Q10714" s="1">
        <v>44538</v>
      </c>
      <c r="R10714" t="s">
        <v>27253</v>
      </c>
      <c r="S10714" t="s">
        <v>27254</v>
      </c>
      <c r="T10714" t="s">
        <v>27255</v>
      </c>
    </row>
    <row r="10715" spans="1:20" x14ac:dyDescent="0.3">
      <c r="A10715" t="str">
        <f>"0611838584100"</f>
        <v>0611838584100</v>
      </c>
      <c r="B10715" t="str">
        <f>"LK4887"</f>
        <v>LK4887</v>
      </c>
      <c r="C10715" t="s">
        <v>47967</v>
      </c>
      <c r="D10715" t="s">
        <v>27245</v>
      </c>
      <c r="E10715" t="str">
        <f t="shared" si="167"/>
        <v>001390</v>
      </c>
      <c r="F10715" t="s">
        <v>27246</v>
      </c>
      <c r="G10715" t="s">
        <v>27247</v>
      </c>
      <c r="H10715" t="s">
        <v>27248</v>
      </c>
      <c r="I10715" t="s">
        <v>47968</v>
      </c>
      <c r="J10715" t="s">
        <v>21440</v>
      </c>
      <c r="L10715" t="s">
        <v>27250</v>
      </c>
      <c r="M10715" t="s">
        <v>27251</v>
      </c>
      <c r="N10715" t="s">
        <v>27252</v>
      </c>
      <c r="Q10715" s="1">
        <v>44538</v>
      </c>
      <c r="R10715" t="s">
        <v>27253</v>
      </c>
      <c r="S10715" t="s">
        <v>27254</v>
      </c>
      <c r="T10715" t="s">
        <v>27255</v>
      </c>
    </row>
    <row r="10716" spans="1:20" x14ac:dyDescent="0.3">
      <c r="A10716" t="str">
        <f>"0611838585100"</f>
        <v>0611838585100</v>
      </c>
      <c r="B10716" t="str">
        <f>"LK4888"</f>
        <v>LK4888</v>
      </c>
      <c r="C10716" t="s">
        <v>47969</v>
      </c>
      <c r="D10716" t="s">
        <v>27245</v>
      </c>
      <c r="E10716" t="str">
        <f t="shared" si="167"/>
        <v>001390</v>
      </c>
      <c r="F10716" t="s">
        <v>27246</v>
      </c>
      <c r="G10716" t="s">
        <v>27247</v>
      </c>
      <c r="H10716" t="s">
        <v>27248</v>
      </c>
      <c r="I10716" t="s">
        <v>47970</v>
      </c>
      <c r="J10716" t="s">
        <v>21442</v>
      </c>
      <c r="L10716" t="s">
        <v>27250</v>
      </c>
      <c r="M10716" t="s">
        <v>27251</v>
      </c>
      <c r="N10716" t="s">
        <v>27252</v>
      </c>
      <c r="Q10716" s="1">
        <v>44538</v>
      </c>
      <c r="R10716" t="s">
        <v>27253</v>
      </c>
      <c r="S10716" t="s">
        <v>27254</v>
      </c>
      <c r="T10716" t="s">
        <v>27255</v>
      </c>
    </row>
    <row r="10717" spans="1:20" x14ac:dyDescent="0.3">
      <c r="A10717" t="str">
        <f>"0611838586100"</f>
        <v>0611838586100</v>
      </c>
      <c r="B10717" t="str">
        <f>"LK4889"</f>
        <v>LK4889</v>
      </c>
      <c r="C10717" t="s">
        <v>47971</v>
      </c>
      <c r="D10717" t="s">
        <v>27245</v>
      </c>
      <c r="E10717" t="str">
        <f t="shared" si="167"/>
        <v>001390</v>
      </c>
      <c r="F10717" t="s">
        <v>27246</v>
      </c>
      <c r="G10717" t="s">
        <v>27247</v>
      </c>
      <c r="H10717" t="s">
        <v>27248</v>
      </c>
      <c r="I10717" t="s">
        <v>47972</v>
      </c>
      <c r="J10717" t="s">
        <v>21444</v>
      </c>
      <c r="L10717" t="s">
        <v>27250</v>
      </c>
      <c r="M10717" t="s">
        <v>27251</v>
      </c>
      <c r="N10717" t="s">
        <v>27252</v>
      </c>
      <c r="Q10717" s="1">
        <v>44538</v>
      </c>
      <c r="R10717" t="s">
        <v>27253</v>
      </c>
      <c r="S10717" t="s">
        <v>27254</v>
      </c>
      <c r="T10717" t="s">
        <v>27255</v>
      </c>
    </row>
    <row r="10718" spans="1:20" x14ac:dyDescent="0.3">
      <c r="A10718" t="str">
        <f>"0611838587100"</f>
        <v>0611838587100</v>
      </c>
      <c r="B10718" t="str">
        <f>"LK4890"</f>
        <v>LK4890</v>
      </c>
      <c r="C10718" t="s">
        <v>47973</v>
      </c>
      <c r="D10718" t="s">
        <v>27245</v>
      </c>
      <c r="E10718" t="str">
        <f t="shared" si="167"/>
        <v>001390</v>
      </c>
      <c r="F10718" t="s">
        <v>27246</v>
      </c>
      <c r="G10718" t="s">
        <v>27247</v>
      </c>
      <c r="H10718" t="s">
        <v>27248</v>
      </c>
      <c r="I10718" t="s">
        <v>47974</v>
      </c>
      <c r="J10718" t="s">
        <v>21446</v>
      </c>
      <c r="L10718" t="s">
        <v>27250</v>
      </c>
      <c r="M10718" t="s">
        <v>27251</v>
      </c>
      <c r="N10718" t="s">
        <v>27252</v>
      </c>
      <c r="Q10718" s="1">
        <v>44538</v>
      </c>
      <c r="R10718" t="s">
        <v>27253</v>
      </c>
      <c r="S10718" t="s">
        <v>27254</v>
      </c>
      <c r="T10718" t="s">
        <v>27255</v>
      </c>
    </row>
    <row r="10719" spans="1:20" x14ac:dyDescent="0.3">
      <c r="A10719" t="str">
        <f>"0611838588100"</f>
        <v>0611838588100</v>
      </c>
      <c r="B10719" t="str">
        <f>"LK4891"</f>
        <v>LK4891</v>
      </c>
      <c r="C10719" t="s">
        <v>47975</v>
      </c>
      <c r="D10719" t="s">
        <v>27245</v>
      </c>
      <c r="E10719" t="str">
        <f t="shared" si="167"/>
        <v>001390</v>
      </c>
      <c r="F10719" t="s">
        <v>27246</v>
      </c>
      <c r="G10719" t="s">
        <v>27247</v>
      </c>
      <c r="H10719" t="s">
        <v>27248</v>
      </c>
      <c r="I10719" t="s">
        <v>47976</v>
      </c>
      <c r="J10719" t="s">
        <v>21448</v>
      </c>
      <c r="L10719" t="s">
        <v>27250</v>
      </c>
      <c r="M10719" t="s">
        <v>27251</v>
      </c>
      <c r="N10719" t="s">
        <v>27252</v>
      </c>
      <c r="Q10719" s="1">
        <v>44538</v>
      </c>
      <c r="R10719" t="s">
        <v>27253</v>
      </c>
      <c r="S10719" t="s">
        <v>27254</v>
      </c>
      <c r="T10719" t="s">
        <v>27255</v>
      </c>
    </row>
    <row r="10720" spans="1:20" x14ac:dyDescent="0.3">
      <c r="A10720" t="str">
        <f>"0611838589100"</f>
        <v>0611838589100</v>
      </c>
      <c r="B10720" t="str">
        <f>"LK4892"</f>
        <v>LK4892</v>
      </c>
      <c r="C10720" t="s">
        <v>47977</v>
      </c>
      <c r="D10720" t="s">
        <v>27245</v>
      </c>
      <c r="E10720" t="str">
        <f t="shared" si="167"/>
        <v>001390</v>
      </c>
      <c r="F10720" t="s">
        <v>27246</v>
      </c>
      <c r="G10720" t="s">
        <v>27247</v>
      </c>
      <c r="H10720" t="s">
        <v>27248</v>
      </c>
      <c r="I10720" t="s">
        <v>47978</v>
      </c>
      <c r="J10720" t="s">
        <v>21450</v>
      </c>
      <c r="L10720" t="s">
        <v>27250</v>
      </c>
      <c r="M10720" t="s">
        <v>27251</v>
      </c>
      <c r="N10720" t="s">
        <v>27252</v>
      </c>
      <c r="Q10720" s="1">
        <v>44538</v>
      </c>
      <c r="R10720" t="s">
        <v>27253</v>
      </c>
      <c r="S10720" t="s">
        <v>27254</v>
      </c>
      <c r="T10720" t="s">
        <v>27255</v>
      </c>
    </row>
    <row r="10721" spans="1:20" x14ac:dyDescent="0.3">
      <c r="A10721" t="str">
        <f>"0611838590100"</f>
        <v>0611838590100</v>
      </c>
      <c r="B10721" t="str">
        <f>"LK4893"</f>
        <v>LK4893</v>
      </c>
      <c r="C10721" t="s">
        <v>47979</v>
      </c>
      <c r="D10721" t="s">
        <v>27245</v>
      </c>
      <c r="E10721" t="str">
        <f t="shared" si="167"/>
        <v>001390</v>
      </c>
      <c r="F10721" t="s">
        <v>27246</v>
      </c>
      <c r="G10721" t="s">
        <v>27247</v>
      </c>
      <c r="H10721" t="s">
        <v>27248</v>
      </c>
      <c r="I10721" t="s">
        <v>47980</v>
      </c>
      <c r="J10721" t="s">
        <v>21452</v>
      </c>
      <c r="L10721" t="s">
        <v>27250</v>
      </c>
      <c r="M10721" t="s">
        <v>27251</v>
      </c>
      <c r="N10721" t="s">
        <v>27252</v>
      </c>
      <c r="Q10721" s="1">
        <v>44538</v>
      </c>
      <c r="R10721" t="s">
        <v>27253</v>
      </c>
      <c r="S10721" t="s">
        <v>27254</v>
      </c>
      <c r="T10721" t="s">
        <v>27255</v>
      </c>
    </row>
    <row r="10722" spans="1:20" x14ac:dyDescent="0.3">
      <c r="A10722" t="str">
        <f>"0611838591100"</f>
        <v>0611838591100</v>
      </c>
      <c r="B10722" t="str">
        <f>"LK4894"</f>
        <v>LK4894</v>
      </c>
      <c r="C10722" t="s">
        <v>47981</v>
      </c>
      <c r="D10722" t="s">
        <v>27245</v>
      </c>
      <c r="E10722" t="str">
        <f t="shared" si="167"/>
        <v>001390</v>
      </c>
      <c r="F10722" t="s">
        <v>27246</v>
      </c>
      <c r="G10722" t="s">
        <v>27247</v>
      </c>
      <c r="H10722" t="s">
        <v>27248</v>
      </c>
      <c r="I10722" t="s">
        <v>47982</v>
      </c>
      <c r="J10722" t="s">
        <v>21454</v>
      </c>
      <c r="L10722" t="s">
        <v>27250</v>
      </c>
      <c r="M10722" t="s">
        <v>27251</v>
      </c>
      <c r="N10722" t="s">
        <v>27252</v>
      </c>
      <c r="Q10722" s="1">
        <v>44538</v>
      </c>
      <c r="R10722" t="s">
        <v>27253</v>
      </c>
      <c r="S10722" t="s">
        <v>27254</v>
      </c>
      <c r="T10722" t="s">
        <v>27255</v>
      </c>
    </row>
    <row r="10723" spans="1:20" x14ac:dyDescent="0.3">
      <c r="A10723" t="str">
        <f>"0611838592100"</f>
        <v>0611838592100</v>
      </c>
      <c r="B10723" t="str">
        <f>"LK4895"</f>
        <v>LK4895</v>
      </c>
      <c r="C10723" t="s">
        <v>47983</v>
      </c>
      <c r="D10723" t="s">
        <v>27245</v>
      </c>
      <c r="E10723" t="str">
        <f t="shared" si="167"/>
        <v>001390</v>
      </c>
      <c r="F10723" t="s">
        <v>27246</v>
      </c>
      <c r="G10723" t="s">
        <v>27247</v>
      </c>
      <c r="H10723" t="s">
        <v>27248</v>
      </c>
      <c r="I10723" t="s">
        <v>47984</v>
      </c>
      <c r="J10723" t="s">
        <v>21458</v>
      </c>
      <c r="L10723" t="s">
        <v>27250</v>
      </c>
      <c r="M10723" t="s">
        <v>27251</v>
      </c>
      <c r="N10723" t="s">
        <v>27252</v>
      </c>
      <c r="Q10723" s="1">
        <v>44538</v>
      </c>
      <c r="R10723" t="s">
        <v>27253</v>
      </c>
      <c r="S10723" t="s">
        <v>27254</v>
      </c>
      <c r="T10723" t="s">
        <v>27255</v>
      </c>
    </row>
    <row r="10724" spans="1:20" x14ac:dyDescent="0.3">
      <c r="A10724" t="str">
        <f>"0611838593100"</f>
        <v>0611838593100</v>
      </c>
      <c r="B10724" t="str">
        <f>"LK5123"</f>
        <v>LK5123</v>
      </c>
      <c r="C10724" t="s">
        <v>47985</v>
      </c>
      <c r="D10724" t="s">
        <v>27245</v>
      </c>
      <c r="E10724" t="str">
        <f t="shared" si="167"/>
        <v>001390</v>
      </c>
      <c r="F10724" t="s">
        <v>27246</v>
      </c>
      <c r="G10724" t="s">
        <v>27247</v>
      </c>
      <c r="H10724" t="s">
        <v>27248</v>
      </c>
      <c r="I10724" t="s">
        <v>47986</v>
      </c>
      <c r="J10724" t="s">
        <v>21460</v>
      </c>
      <c r="L10724" t="s">
        <v>27250</v>
      </c>
      <c r="M10724" t="s">
        <v>27251</v>
      </c>
      <c r="N10724" t="s">
        <v>27252</v>
      </c>
      <c r="Q10724" s="1">
        <v>44538</v>
      </c>
      <c r="R10724" t="s">
        <v>27253</v>
      </c>
      <c r="S10724" t="s">
        <v>27254</v>
      </c>
      <c r="T10724" t="s">
        <v>27255</v>
      </c>
    </row>
    <row r="10725" spans="1:20" x14ac:dyDescent="0.3">
      <c r="A10725" t="str">
        <f>"0611838594100"</f>
        <v>0611838594100</v>
      </c>
      <c r="B10725" t="str">
        <f>"LK5122"</f>
        <v>LK5122</v>
      </c>
      <c r="C10725" t="s">
        <v>47987</v>
      </c>
      <c r="D10725" t="s">
        <v>27245</v>
      </c>
      <c r="E10725" t="str">
        <f t="shared" si="167"/>
        <v>001390</v>
      </c>
      <c r="F10725" t="s">
        <v>27246</v>
      </c>
      <c r="G10725" t="s">
        <v>27247</v>
      </c>
      <c r="H10725" t="s">
        <v>27248</v>
      </c>
      <c r="I10725" t="s">
        <v>47988</v>
      </c>
      <c r="J10725" t="s">
        <v>21456</v>
      </c>
      <c r="L10725" t="s">
        <v>27250</v>
      </c>
      <c r="M10725" t="s">
        <v>27251</v>
      </c>
      <c r="N10725" t="s">
        <v>27252</v>
      </c>
      <c r="Q10725" s="1">
        <v>44538</v>
      </c>
      <c r="R10725" t="s">
        <v>27253</v>
      </c>
      <c r="S10725" t="s">
        <v>27254</v>
      </c>
      <c r="T10725" t="s">
        <v>27255</v>
      </c>
    </row>
    <row r="10726" spans="1:20" x14ac:dyDescent="0.3">
      <c r="A10726" t="str">
        <f>"0611838595100"</f>
        <v>0611838595100</v>
      </c>
      <c r="B10726" t="str">
        <f>"LK5126"</f>
        <v>LK5126</v>
      </c>
      <c r="C10726" t="s">
        <v>47989</v>
      </c>
      <c r="D10726" t="s">
        <v>27245</v>
      </c>
      <c r="E10726" t="str">
        <f t="shared" si="167"/>
        <v>001390</v>
      </c>
      <c r="F10726" t="s">
        <v>27246</v>
      </c>
      <c r="G10726" t="s">
        <v>27247</v>
      </c>
      <c r="H10726" t="s">
        <v>27248</v>
      </c>
      <c r="I10726" t="s">
        <v>47990</v>
      </c>
      <c r="J10726" t="s">
        <v>21462</v>
      </c>
      <c r="L10726" t="s">
        <v>27250</v>
      </c>
      <c r="M10726" t="s">
        <v>27251</v>
      </c>
      <c r="N10726" t="s">
        <v>27252</v>
      </c>
      <c r="Q10726" s="1">
        <v>44538</v>
      </c>
      <c r="R10726" t="s">
        <v>27253</v>
      </c>
      <c r="S10726" t="s">
        <v>27254</v>
      </c>
      <c r="T10726" t="s">
        <v>27255</v>
      </c>
    </row>
    <row r="10727" spans="1:20" x14ac:dyDescent="0.3">
      <c r="A10727" t="str">
        <f>"0611838597100"</f>
        <v>0611838597100</v>
      </c>
      <c r="B10727" t="str">
        <f>"LB7927"</f>
        <v>LB7927</v>
      </c>
      <c r="C10727" t="s">
        <v>47991</v>
      </c>
      <c r="D10727" t="s">
        <v>27245</v>
      </c>
      <c r="E10727" t="str">
        <f t="shared" si="167"/>
        <v>001390</v>
      </c>
      <c r="F10727" t="s">
        <v>27246</v>
      </c>
      <c r="G10727" t="s">
        <v>27247</v>
      </c>
      <c r="H10727" t="s">
        <v>27248</v>
      </c>
      <c r="I10727" t="s">
        <v>47992</v>
      </c>
      <c r="J10727" t="s">
        <v>21464</v>
      </c>
      <c r="L10727" t="s">
        <v>27250</v>
      </c>
      <c r="M10727" t="s">
        <v>27251</v>
      </c>
      <c r="N10727" t="s">
        <v>27252</v>
      </c>
      <c r="Q10727" s="1">
        <v>44538</v>
      </c>
      <c r="R10727" t="s">
        <v>27253</v>
      </c>
      <c r="S10727" t="s">
        <v>27254</v>
      </c>
      <c r="T10727" t="s">
        <v>27255</v>
      </c>
    </row>
    <row r="10728" spans="1:20" x14ac:dyDescent="0.3">
      <c r="A10728" t="str">
        <f>"0611884409100"</f>
        <v>0611884409100</v>
      </c>
      <c r="B10728" t="str">
        <f>"LQ3926"</f>
        <v>LQ3926</v>
      </c>
      <c r="C10728" t="s">
        <v>47993</v>
      </c>
      <c r="D10728" t="s">
        <v>27245</v>
      </c>
      <c r="E10728" t="str">
        <f t="shared" si="167"/>
        <v>001390</v>
      </c>
      <c r="F10728" t="s">
        <v>27246</v>
      </c>
      <c r="G10728" t="s">
        <v>27247</v>
      </c>
      <c r="H10728" t="s">
        <v>27248</v>
      </c>
      <c r="I10728" t="s">
        <v>47994</v>
      </c>
      <c r="J10728" t="s">
        <v>21466</v>
      </c>
      <c r="L10728" t="s">
        <v>27430</v>
      </c>
      <c r="M10728" t="s">
        <v>27251</v>
      </c>
      <c r="N10728" t="s">
        <v>27252</v>
      </c>
      <c r="Q10728" s="1">
        <v>45250</v>
      </c>
      <c r="R10728" t="s">
        <v>27253</v>
      </c>
      <c r="S10728" t="s">
        <v>27254</v>
      </c>
      <c r="T10728" t="s">
        <v>27255</v>
      </c>
    </row>
    <row r="10729" spans="1:20" x14ac:dyDescent="0.3">
      <c r="A10729" t="str">
        <f>"0611838598100"</f>
        <v>0611838598100</v>
      </c>
      <c r="B10729" t="str">
        <f>"LQ6183"</f>
        <v>LQ6183</v>
      </c>
      <c r="C10729" t="s">
        <v>47995</v>
      </c>
      <c r="D10729" t="s">
        <v>27245</v>
      </c>
      <c r="E10729" t="str">
        <f t="shared" si="167"/>
        <v>001390</v>
      </c>
      <c r="F10729" t="s">
        <v>27246</v>
      </c>
      <c r="G10729" t="s">
        <v>27247</v>
      </c>
      <c r="H10729" t="s">
        <v>27248</v>
      </c>
      <c r="I10729" t="s">
        <v>47996</v>
      </c>
      <c r="J10729" t="s">
        <v>21468</v>
      </c>
      <c r="L10729" t="s">
        <v>27250</v>
      </c>
      <c r="M10729" t="s">
        <v>27251</v>
      </c>
      <c r="N10729" t="s">
        <v>27252</v>
      </c>
      <c r="Q10729" s="1">
        <v>44538</v>
      </c>
      <c r="R10729" t="s">
        <v>27253</v>
      </c>
      <c r="S10729" t="s">
        <v>27254</v>
      </c>
      <c r="T10729" t="s">
        <v>27255</v>
      </c>
    </row>
    <row r="10730" spans="1:20" x14ac:dyDescent="0.3">
      <c r="A10730" t="str">
        <f>"0611838599100"</f>
        <v>0611838599100</v>
      </c>
      <c r="B10730" t="str">
        <f>"LB7907"</f>
        <v>LB7907</v>
      </c>
      <c r="C10730" t="s">
        <v>47997</v>
      </c>
      <c r="D10730" t="s">
        <v>27245</v>
      </c>
      <c r="E10730" t="str">
        <f t="shared" si="167"/>
        <v>001390</v>
      </c>
      <c r="F10730" t="s">
        <v>27246</v>
      </c>
      <c r="G10730" t="s">
        <v>27247</v>
      </c>
      <c r="H10730" t="s">
        <v>27248</v>
      </c>
      <c r="I10730" t="s">
        <v>47998</v>
      </c>
      <c r="J10730" t="s">
        <v>21470</v>
      </c>
      <c r="L10730" t="s">
        <v>27250</v>
      </c>
      <c r="M10730" t="s">
        <v>27251</v>
      </c>
      <c r="N10730" t="s">
        <v>27252</v>
      </c>
      <c r="Q10730" s="1">
        <v>44538</v>
      </c>
      <c r="R10730" t="s">
        <v>27253</v>
      </c>
      <c r="S10730" t="s">
        <v>27254</v>
      </c>
      <c r="T10730" t="s">
        <v>27255</v>
      </c>
    </row>
    <row r="10731" spans="1:20" x14ac:dyDescent="0.3">
      <c r="A10731" t="str">
        <f>"0611863889100"</f>
        <v>0611863889100</v>
      </c>
      <c r="B10731" t="str">
        <f>"CN2239"</f>
        <v>CN2239</v>
      </c>
      <c r="C10731" t="s">
        <v>47999</v>
      </c>
      <c r="D10731" t="s">
        <v>27335</v>
      </c>
      <c r="E10731" t="str">
        <f t="shared" si="167"/>
        <v>001390</v>
      </c>
      <c r="F10731" t="s">
        <v>27246</v>
      </c>
      <c r="G10731" t="s">
        <v>27247</v>
      </c>
      <c r="H10731" t="s">
        <v>27248</v>
      </c>
      <c r="I10731" t="s">
        <v>48000</v>
      </c>
      <c r="J10731" t="s">
        <v>21472</v>
      </c>
      <c r="L10731" t="s">
        <v>27250</v>
      </c>
      <c r="M10731" t="s">
        <v>27251</v>
      </c>
      <c r="N10731" t="s">
        <v>27252</v>
      </c>
      <c r="Q10731" s="1">
        <v>44846</v>
      </c>
      <c r="R10731" t="s">
        <v>27253</v>
      </c>
      <c r="S10731" t="s">
        <v>27254</v>
      </c>
      <c r="T10731" t="s">
        <v>27255</v>
      </c>
    </row>
    <row r="10732" spans="1:20" x14ac:dyDescent="0.3">
      <c r="A10732" t="str">
        <f>"0611838600100"</f>
        <v>0611838600100</v>
      </c>
      <c r="B10732" t="str">
        <f>"LB7928"</f>
        <v>LB7928</v>
      </c>
      <c r="C10732" t="s">
        <v>48001</v>
      </c>
      <c r="D10732" t="s">
        <v>27245</v>
      </c>
      <c r="E10732" t="str">
        <f t="shared" si="167"/>
        <v>001390</v>
      </c>
      <c r="F10732" t="s">
        <v>27246</v>
      </c>
      <c r="G10732" t="s">
        <v>27247</v>
      </c>
      <c r="H10732" t="s">
        <v>27248</v>
      </c>
      <c r="I10732" t="s">
        <v>48002</v>
      </c>
      <c r="J10732" t="s">
        <v>21474</v>
      </c>
      <c r="L10732" t="s">
        <v>27250</v>
      </c>
      <c r="M10732" t="s">
        <v>27251</v>
      </c>
      <c r="N10732" t="s">
        <v>27252</v>
      </c>
      <c r="Q10732" s="1">
        <v>44538</v>
      </c>
      <c r="R10732" t="s">
        <v>27253</v>
      </c>
      <c r="S10732" t="s">
        <v>27254</v>
      </c>
      <c r="T10732" t="s">
        <v>27255</v>
      </c>
    </row>
    <row r="10733" spans="1:20" x14ac:dyDescent="0.3">
      <c r="A10733" t="str">
        <f>"0611838601100"</f>
        <v>0611838601100</v>
      </c>
      <c r="B10733" t="str">
        <f>"LB7929"</f>
        <v>LB7929</v>
      </c>
      <c r="C10733" t="s">
        <v>48003</v>
      </c>
      <c r="D10733" t="s">
        <v>27245</v>
      </c>
      <c r="E10733" t="str">
        <f t="shared" si="167"/>
        <v>001390</v>
      </c>
      <c r="F10733" t="s">
        <v>27246</v>
      </c>
      <c r="G10733" t="s">
        <v>27247</v>
      </c>
      <c r="H10733" t="s">
        <v>27248</v>
      </c>
      <c r="I10733" t="s">
        <v>48004</v>
      </c>
      <c r="J10733" t="s">
        <v>21476</v>
      </c>
      <c r="L10733" t="s">
        <v>27250</v>
      </c>
      <c r="M10733" t="s">
        <v>27251</v>
      </c>
      <c r="N10733" t="s">
        <v>27252</v>
      </c>
      <c r="Q10733" s="1">
        <v>44538</v>
      </c>
      <c r="R10733" t="s">
        <v>27253</v>
      </c>
      <c r="S10733" t="s">
        <v>27254</v>
      </c>
      <c r="T10733" t="s">
        <v>27255</v>
      </c>
    </row>
    <row r="10734" spans="1:20" x14ac:dyDescent="0.3">
      <c r="A10734" t="str">
        <f>"0611838602100"</f>
        <v>0611838602100</v>
      </c>
      <c r="B10734" t="str">
        <f>"LQ6170"</f>
        <v>LQ6170</v>
      </c>
      <c r="C10734" t="s">
        <v>48005</v>
      </c>
      <c r="D10734" t="s">
        <v>27245</v>
      </c>
      <c r="E10734" t="str">
        <f t="shared" si="167"/>
        <v>001390</v>
      </c>
      <c r="F10734" t="s">
        <v>27246</v>
      </c>
      <c r="G10734" t="s">
        <v>27247</v>
      </c>
      <c r="H10734" t="s">
        <v>27248</v>
      </c>
      <c r="I10734" t="s">
        <v>48006</v>
      </c>
      <c r="J10734" t="s">
        <v>21478</v>
      </c>
      <c r="L10734" t="s">
        <v>27250</v>
      </c>
      <c r="M10734" t="s">
        <v>27251</v>
      </c>
      <c r="N10734" t="s">
        <v>27252</v>
      </c>
      <c r="Q10734" s="1">
        <v>44538</v>
      </c>
      <c r="R10734" t="s">
        <v>27253</v>
      </c>
      <c r="S10734" t="s">
        <v>27254</v>
      </c>
      <c r="T10734" t="s">
        <v>27255</v>
      </c>
    </row>
    <row r="10735" spans="1:20" x14ac:dyDescent="0.3">
      <c r="A10735" t="str">
        <f>"0611838603100"</f>
        <v>0611838603100</v>
      </c>
      <c r="B10735" t="str">
        <f>"LQ6171"</f>
        <v>LQ6171</v>
      </c>
      <c r="C10735" t="s">
        <v>48007</v>
      </c>
      <c r="D10735" t="s">
        <v>27245</v>
      </c>
      <c r="E10735" t="str">
        <f t="shared" si="167"/>
        <v>001390</v>
      </c>
      <c r="F10735" t="s">
        <v>27246</v>
      </c>
      <c r="G10735" t="s">
        <v>27247</v>
      </c>
      <c r="H10735" t="s">
        <v>27248</v>
      </c>
      <c r="I10735" t="s">
        <v>48008</v>
      </c>
      <c r="J10735" t="s">
        <v>21480</v>
      </c>
      <c r="L10735" t="s">
        <v>27250</v>
      </c>
      <c r="M10735" t="s">
        <v>27251</v>
      </c>
      <c r="N10735" t="s">
        <v>27252</v>
      </c>
      <c r="Q10735" s="1">
        <v>44538</v>
      </c>
      <c r="R10735" t="s">
        <v>27253</v>
      </c>
      <c r="S10735" t="s">
        <v>27254</v>
      </c>
      <c r="T10735" t="s">
        <v>27255</v>
      </c>
    </row>
    <row r="10736" spans="1:20" x14ac:dyDescent="0.3">
      <c r="A10736" t="str">
        <f>"0611838604100"</f>
        <v>0611838604100</v>
      </c>
      <c r="B10736" t="str">
        <f>"LQ5872"</f>
        <v>LQ5872</v>
      </c>
      <c r="C10736" t="s">
        <v>48009</v>
      </c>
      <c r="D10736" t="s">
        <v>27245</v>
      </c>
      <c r="E10736" t="str">
        <f t="shared" si="167"/>
        <v>001390</v>
      </c>
      <c r="F10736" t="s">
        <v>27246</v>
      </c>
      <c r="G10736" t="s">
        <v>27247</v>
      </c>
      <c r="H10736" t="s">
        <v>27248</v>
      </c>
      <c r="I10736" t="s">
        <v>48010</v>
      </c>
      <c r="J10736" t="s">
        <v>21482</v>
      </c>
      <c r="L10736" t="s">
        <v>27250</v>
      </c>
      <c r="M10736" t="s">
        <v>27251</v>
      </c>
      <c r="N10736" t="s">
        <v>27252</v>
      </c>
      <c r="Q10736" s="1">
        <v>44538</v>
      </c>
      <c r="R10736" t="s">
        <v>27253</v>
      </c>
      <c r="S10736" t="s">
        <v>27254</v>
      </c>
      <c r="T10736" t="s">
        <v>27255</v>
      </c>
    </row>
    <row r="10737" spans="1:20" x14ac:dyDescent="0.3">
      <c r="A10737" t="str">
        <f>"0611838605100"</f>
        <v>0611838605100</v>
      </c>
      <c r="B10737" t="str">
        <f>"LQ5873"</f>
        <v>LQ5873</v>
      </c>
      <c r="C10737" t="s">
        <v>48011</v>
      </c>
      <c r="D10737" t="s">
        <v>27245</v>
      </c>
      <c r="E10737" t="str">
        <f t="shared" si="167"/>
        <v>001390</v>
      </c>
      <c r="F10737" t="s">
        <v>27246</v>
      </c>
      <c r="G10737" t="s">
        <v>27247</v>
      </c>
      <c r="H10737" t="s">
        <v>27248</v>
      </c>
      <c r="I10737" t="s">
        <v>48012</v>
      </c>
      <c r="J10737" t="s">
        <v>21484</v>
      </c>
      <c r="L10737" t="s">
        <v>27250</v>
      </c>
      <c r="M10737" t="s">
        <v>27251</v>
      </c>
      <c r="N10737" t="s">
        <v>27252</v>
      </c>
      <c r="Q10737" s="1">
        <v>44538</v>
      </c>
      <c r="R10737" t="s">
        <v>27253</v>
      </c>
      <c r="S10737" t="s">
        <v>27254</v>
      </c>
      <c r="T10737" t="s">
        <v>27255</v>
      </c>
    </row>
    <row r="10738" spans="1:20" x14ac:dyDescent="0.3">
      <c r="A10738" t="str">
        <f>"0611838606100"</f>
        <v>0611838606100</v>
      </c>
      <c r="B10738" t="str">
        <f>"LQ6215"</f>
        <v>LQ6215</v>
      </c>
      <c r="C10738" t="s">
        <v>48013</v>
      </c>
      <c r="D10738" t="s">
        <v>27245</v>
      </c>
      <c r="E10738" t="str">
        <f t="shared" si="167"/>
        <v>001390</v>
      </c>
      <c r="F10738" t="s">
        <v>27246</v>
      </c>
      <c r="G10738" t="s">
        <v>27247</v>
      </c>
      <c r="H10738" t="s">
        <v>27248</v>
      </c>
      <c r="I10738" t="s">
        <v>48014</v>
      </c>
      <c r="J10738" t="s">
        <v>21486</v>
      </c>
      <c r="L10738" t="s">
        <v>27250</v>
      </c>
      <c r="M10738" t="s">
        <v>27251</v>
      </c>
      <c r="N10738" t="s">
        <v>27252</v>
      </c>
      <c r="Q10738" s="1">
        <v>44538</v>
      </c>
      <c r="R10738" t="s">
        <v>27253</v>
      </c>
      <c r="S10738" t="s">
        <v>27254</v>
      </c>
      <c r="T10738" t="s">
        <v>27255</v>
      </c>
    </row>
    <row r="10739" spans="1:20" x14ac:dyDescent="0.3">
      <c r="A10739" t="str">
        <f>"0611838607100"</f>
        <v>0611838607100</v>
      </c>
      <c r="B10739" t="str">
        <f>"LQ6216"</f>
        <v>LQ6216</v>
      </c>
      <c r="C10739" t="s">
        <v>48015</v>
      </c>
      <c r="D10739" t="s">
        <v>27245</v>
      </c>
      <c r="E10739" t="str">
        <f t="shared" si="167"/>
        <v>001390</v>
      </c>
      <c r="F10739" t="s">
        <v>27246</v>
      </c>
      <c r="G10739" t="s">
        <v>27247</v>
      </c>
      <c r="H10739" t="s">
        <v>27248</v>
      </c>
      <c r="I10739" t="s">
        <v>48016</v>
      </c>
      <c r="J10739" t="s">
        <v>21488</v>
      </c>
      <c r="L10739" t="s">
        <v>27250</v>
      </c>
      <c r="M10739" t="s">
        <v>27251</v>
      </c>
      <c r="N10739" t="s">
        <v>27252</v>
      </c>
      <c r="Q10739" s="1">
        <v>44538</v>
      </c>
      <c r="R10739" t="s">
        <v>27253</v>
      </c>
      <c r="S10739" t="s">
        <v>27254</v>
      </c>
      <c r="T10739" t="s">
        <v>27255</v>
      </c>
    </row>
    <row r="10740" spans="1:20" x14ac:dyDescent="0.3">
      <c r="A10740" t="str">
        <f>"0611857086100"</f>
        <v>0611857086100</v>
      </c>
      <c r="B10740" t="str">
        <f>"LQ6276"</f>
        <v>LQ6276</v>
      </c>
      <c r="C10740" t="s">
        <v>48017</v>
      </c>
      <c r="D10740" t="s">
        <v>27245</v>
      </c>
      <c r="E10740" t="str">
        <f t="shared" si="167"/>
        <v>001390</v>
      </c>
      <c r="F10740" t="s">
        <v>27246</v>
      </c>
      <c r="G10740" t="s">
        <v>27247</v>
      </c>
      <c r="H10740" t="s">
        <v>27248</v>
      </c>
      <c r="I10740" t="s">
        <v>48018</v>
      </c>
      <c r="J10740" t="s">
        <v>21490</v>
      </c>
      <c r="L10740" t="s">
        <v>27250</v>
      </c>
      <c r="M10740" t="s">
        <v>27251</v>
      </c>
      <c r="N10740" t="s">
        <v>27252</v>
      </c>
      <c r="Q10740" s="1">
        <v>44812</v>
      </c>
      <c r="R10740" t="s">
        <v>27253</v>
      </c>
      <c r="S10740" t="s">
        <v>27254</v>
      </c>
      <c r="T10740" t="s">
        <v>27255</v>
      </c>
    </row>
    <row r="10741" spans="1:20" x14ac:dyDescent="0.3">
      <c r="A10741" t="str">
        <f>"0611838608100"</f>
        <v>0611838608100</v>
      </c>
      <c r="B10741" t="str">
        <f>"LQ6217"</f>
        <v>LQ6217</v>
      </c>
      <c r="C10741" t="s">
        <v>48019</v>
      </c>
      <c r="D10741" t="s">
        <v>27245</v>
      </c>
      <c r="E10741" t="str">
        <f t="shared" si="167"/>
        <v>001390</v>
      </c>
      <c r="F10741" t="s">
        <v>27246</v>
      </c>
      <c r="G10741" t="s">
        <v>27247</v>
      </c>
      <c r="H10741" t="s">
        <v>27248</v>
      </c>
      <c r="I10741" t="s">
        <v>48020</v>
      </c>
      <c r="J10741" t="s">
        <v>21492</v>
      </c>
      <c r="L10741" t="s">
        <v>27250</v>
      </c>
      <c r="M10741" t="s">
        <v>27251</v>
      </c>
      <c r="N10741" t="s">
        <v>27252</v>
      </c>
      <c r="Q10741" s="1">
        <v>44538</v>
      </c>
      <c r="R10741" t="s">
        <v>27253</v>
      </c>
      <c r="S10741" t="s">
        <v>27254</v>
      </c>
      <c r="T10741" t="s">
        <v>27255</v>
      </c>
    </row>
    <row r="10742" spans="1:20" x14ac:dyDescent="0.3">
      <c r="A10742" t="str">
        <f>"0611857087100"</f>
        <v>0611857087100</v>
      </c>
      <c r="B10742" t="str">
        <f>"LQ6277"</f>
        <v>LQ6277</v>
      </c>
      <c r="C10742" t="s">
        <v>48021</v>
      </c>
      <c r="D10742" t="s">
        <v>27245</v>
      </c>
      <c r="E10742" t="str">
        <f t="shared" si="167"/>
        <v>001390</v>
      </c>
      <c r="F10742" t="s">
        <v>27246</v>
      </c>
      <c r="G10742" t="s">
        <v>27247</v>
      </c>
      <c r="H10742" t="s">
        <v>27248</v>
      </c>
      <c r="I10742" t="s">
        <v>48022</v>
      </c>
      <c r="J10742" t="s">
        <v>21494</v>
      </c>
      <c r="L10742" t="s">
        <v>27250</v>
      </c>
      <c r="M10742" t="s">
        <v>27251</v>
      </c>
      <c r="N10742" t="s">
        <v>27252</v>
      </c>
      <c r="Q10742" s="1">
        <v>44812</v>
      </c>
      <c r="R10742" t="s">
        <v>27253</v>
      </c>
      <c r="S10742" t="s">
        <v>27254</v>
      </c>
      <c r="T10742" t="s">
        <v>27255</v>
      </c>
    </row>
    <row r="10743" spans="1:20" x14ac:dyDescent="0.3">
      <c r="A10743" t="str">
        <f>"0611838609100"</f>
        <v>0611838609100</v>
      </c>
      <c r="B10743" t="str">
        <f>"LQ6218"</f>
        <v>LQ6218</v>
      </c>
      <c r="C10743" t="s">
        <v>48023</v>
      </c>
      <c r="D10743" t="s">
        <v>27245</v>
      </c>
      <c r="E10743" t="str">
        <f t="shared" si="167"/>
        <v>001390</v>
      </c>
      <c r="F10743" t="s">
        <v>27246</v>
      </c>
      <c r="G10743" t="s">
        <v>27247</v>
      </c>
      <c r="H10743" t="s">
        <v>27248</v>
      </c>
      <c r="I10743" t="s">
        <v>48024</v>
      </c>
      <c r="J10743" t="s">
        <v>21496</v>
      </c>
      <c r="L10743" t="s">
        <v>27250</v>
      </c>
      <c r="M10743" t="s">
        <v>27251</v>
      </c>
      <c r="N10743" t="s">
        <v>27252</v>
      </c>
      <c r="Q10743" s="1">
        <v>44538</v>
      </c>
      <c r="R10743" t="s">
        <v>27253</v>
      </c>
      <c r="S10743" t="s">
        <v>27254</v>
      </c>
      <c r="T10743" t="s">
        <v>27255</v>
      </c>
    </row>
    <row r="10744" spans="1:20" x14ac:dyDescent="0.3">
      <c r="A10744" t="str">
        <f>"0611857088100"</f>
        <v>0611857088100</v>
      </c>
      <c r="B10744" t="str">
        <f>"LQ6278"</f>
        <v>LQ6278</v>
      </c>
      <c r="C10744" t="s">
        <v>48025</v>
      </c>
      <c r="D10744" t="s">
        <v>27245</v>
      </c>
      <c r="E10744" t="str">
        <f t="shared" si="167"/>
        <v>001390</v>
      </c>
      <c r="F10744" t="s">
        <v>27246</v>
      </c>
      <c r="G10744" t="s">
        <v>27247</v>
      </c>
      <c r="H10744" t="s">
        <v>27248</v>
      </c>
      <c r="I10744" t="s">
        <v>48026</v>
      </c>
      <c r="J10744" t="s">
        <v>21498</v>
      </c>
      <c r="L10744" t="s">
        <v>27250</v>
      </c>
      <c r="M10744" t="s">
        <v>27251</v>
      </c>
      <c r="N10744" t="s">
        <v>27252</v>
      </c>
      <c r="Q10744" s="1">
        <v>44812</v>
      </c>
      <c r="R10744" t="s">
        <v>27253</v>
      </c>
      <c r="S10744" t="s">
        <v>27254</v>
      </c>
      <c r="T10744" t="s">
        <v>27255</v>
      </c>
    </row>
    <row r="10745" spans="1:20" x14ac:dyDescent="0.3">
      <c r="A10745" t="str">
        <f>"0611838610100"</f>
        <v>0611838610100</v>
      </c>
      <c r="B10745" t="str">
        <f>"LQ6169"</f>
        <v>LQ6169</v>
      </c>
      <c r="C10745" t="s">
        <v>48027</v>
      </c>
      <c r="D10745" t="s">
        <v>27245</v>
      </c>
      <c r="E10745" t="str">
        <f t="shared" si="167"/>
        <v>001390</v>
      </c>
      <c r="F10745" t="s">
        <v>27246</v>
      </c>
      <c r="G10745" t="s">
        <v>27247</v>
      </c>
      <c r="H10745" t="s">
        <v>27248</v>
      </c>
      <c r="I10745" t="s">
        <v>48028</v>
      </c>
      <c r="J10745" t="s">
        <v>21500</v>
      </c>
      <c r="L10745" t="s">
        <v>27250</v>
      </c>
      <c r="M10745" t="s">
        <v>27251</v>
      </c>
      <c r="N10745" t="s">
        <v>27252</v>
      </c>
      <c r="Q10745" s="1">
        <v>44538</v>
      </c>
      <c r="R10745" t="s">
        <v>27253</v>
      </c>
      <c r="S10745" t="s">
        <v>27254</v>
      </c>
      <c r="T10745" t="s">
        <v>27255</v>
      </c>
    </row>
    <row r="10746" spans="1:20" x14ac:dyDescent="0.3">
      <c r="A10746" t="str">
        <f>"0611838611100"</f>
        <v>0611838611100</v>
      </c>
      <c r="B10746" t="str">
        <f>"LQ6113"</f>
        <v>LQ6113</v>
      </c>
      <c r="C10746" t="s">
        <v>48029</v>
      </c>
      <c r="D10746" t="s">
        <v>27245</v>
      </c>
      <c r="E10746" t="str">
        <f t="shared" si="167"/>
        <v>001390</v>
      </c>
      <c r="F10746" t="s">
        <v>27246</v>
      </c>
      <c r="G10746" t="s">
        <v>27247</v>
      </c>
      <c r="H10746" t="s">
        <v>27248</v>
      </c>
      <c r="I10746" t="s">
        <v>48030</v>
      </c>
      <c r="J10746" t="s">
        <v>21502</v>
      </c>
      <c r="L10746" t="s">
        <v>27250</v>
      </c>
      <c r="M10746" t="s">
        <v>27251</v>
      </c>
      <c r="N10746" t="s">
        <v>27252</v>
      </c>
      <c r="Q10746" s="1">
        <v>44538</v>
      </c>
      <c r="R10746" t="s">
        <v>27253</v>
      </c>
      <c r="S10746" t="s">
        <v>27254</v>
      </c>
      <c r="T10746" t="s">
        <v>27255</v>
      </c>
    </row>
    <row r="10747" spans="1:20" x14ac:dyDescent="0.3">
      <c r="A10747" t="str">
        <f>"0611857089100"</f>
        <v>0611857089100</v>
      </c>
      <c r="B10747" t="str">
        <f>"LQ6279"</f>
        <v>LQ6279</v>
      </c>
      <c r="C10747" t="s">
        <v>48031</v>
      </c>
      <c r="D10747" t="s">
        <v>27245</v>
      </c>
      <c r="E10747" t="str">
        <f t="shared" si="167"/>
        <v>001390</v>
      </c>
      <c r="F10747" t="s">
        <v>27246</v>
      </c>
      <c r="G10747" t="s">
        <v>27247</v>
      </c>
      <c r="H10747" t="s">
        <v>27248</v>
      </c>
      <c r="I10747" t="s">
        <v>48032</v>
      </c>
      <c r="J10747" t="s">
        <v>21504</v>
      </c>
      <c r="L10747" t="s">
        <v>27250</v>
      </c>
      <c r="M10747" t="s">
        <v>27251</v>
      </c>
      <c r="N10747" t="s">
        <v>27252</v>
      </c>
      <c r="Q10747" s="1">
        <v>44812</v>
      </c>
      <c r="R10747" t="s">
        <v>27253</v>
      </c>
      <c r="S10747" t="s">
        <v>27254</v>
      </c>
      <c r="T10747" t="s">
        <v>27255</v>
      </c>
    </row>
    <row r="10748" spans="1:20" x14ac:dyDescent="0.3">
      <c r="A10748" t="str">
        <f>"0611838612100"</f>
        <v>0611838612100</v>
      </c>
      <c r="B10748" t="str">
        <f>"LQ6114"</f>
        <v>LQ6114</v>
      </c>
      <c r="C10748" t="s">
        <v>48033</v>
      </c>
      <c r="D10748" t="s">
        <v>27245</v>
      </c>
      <c r="E10748" t="str">
        <f t="shared" si="167"/>
        <v>001390</v>
      </c>
      <c r="F10748" t="s">
        <v>27246</v>
      </c>
      <c r="G10748" t="s">
        <v>27247</v>
      </c>
      <c r="H10748" t="s">
        <v>27248</v>
      </c>
      <c r="I10748" t="s">
        <v>48034</v>
      </c>
      <c r="J10748" t="s">
        <v>21506</v>
      </c>
      <c r="L10748" t="s">
        <v>27250</v>
      </c>
      <c r="M10748" t="s">
        <v>27251</v>
      </c>
      <c r="N10748" t="s">
        <v>27252</v>
      </c>
      <c r="Q10748" s="1">
        <v>44538</v>
      </c>
      <c r="R10748" t="s">
        <v>27253</v>
      </c>
      <c r="S10748" t="s">
        <v>27254</v>
      </c>
      <c r="T10748" t="s">
        <v>27255</v>
      </c>
    </row>
    <row r="10749" spans="1:20" x14ac:dyDescent="0.3">
      <c r="A10749" t="str">
        <f>"0611838613100"</f>
        <v>0611838613100</v>
      </c>
      <c r="B10749" t="str">
        <f>"LQ6115"</f>
        <v>LQ6115</v>
      </c>
      <c r="C10749" t="s">
        <v>48035</v>
      </c>
      <c r="D10749" t="s">
        <v>27245</v>
      </c>
      <c r="E10749" t="str">
        <f t="shared" si="167"/>
        <v>001390</v>
      </c>
      <c r="F10749" t="s">
        <v>27246</v>
      </c>
      <c r="G10749" t="s">
        <v>27247</v>
      </c>
      <c r="H10749" t="s">
        <v>27248</v>
      </c>
      <c r="I10749" t="s">
        <v>48036</v>
      </c>
      <c r="J10749" t="s">
        <v>21508</v>
      </c>
      <c r="L10749" t="s">
        <v>27250</v>
      </c>
      <c r="M10749" t="s">
        <v>27251</v>
      </c>
      <c r="N10749" t="s">
        <v>27252</v>
      </c>
      <c r="Q10749" s="1">
        <v>44538</v>
      </c>
      <c r="R10749" t="s">
        <v>27253</v>
      </c>
      <c r="S10749" t="s">
        <v>27254</v>
      </c>
      <c r="T10749" t="s">
        <v>27255</v>
      </c>
    </row>
    <row r="10750" spans="1:20" x14ac:dyDescent="0.3">
      <c r="A10750" t="str">
        <f>"0611857090100"</f>
        <v>0611857090100</v>
      </c>
      <c r="B10750" t="str">
        <f>"LQ6280"</f>
        <v>LQ6280</v>
      </c>
      <c r="C10750" t="s">
        <v>48037</v>
      </c>
      <c r="D10750" t="s">
        <v>27245</v>
      </c>
      <c r="E10750" t="str">
        <f t="shared" si="167"/>
        <v>001390</v>
      </c>
      <c r="F10750" t="s">
        <v>27246</v>
      </c>
      <c r="G10750" t="s">
        <v>27247</v>
      </c>
      <c r="H10750" t="s">
        <v>27248</v>
      </c>
      <c r="I10750" t="s">
        <v>48038</v>
      </c>
      <c r="J10750" t="s">
        <v>21510</v>
      </c>
      <c r="L10750" t="s">
        <v>27250</v>
      </c>
      <c r="M10750" t="s">
        <v>27251</v>
      </c>
      <c r="N10750" t="s">
        <v>27252</v>
      </c>
      <c r="Q10750" s="1">
        <v>44812</v>
      </c>
      <c r="R10750" t="s">
        <v>27253</v>
      </c>
      <c r="S10750" t="s">
        <v>27254</v>
      </c>
      <c r="T10750" t="s">
        <v>27255</v>
      </c>
    </row>
    <row r="10751" spans="1:20" x14ac:dyDescent="0.3">
      <c r="A10751" t="str">
        <f>"0611857091100"</f>
        <v>0611857091100</v>
      </c>
      <c r="B10751" t="str">
        <f>"LQ6281"</f>
        <v>LQ6281</v>
      </c>
      <c r="C10751" t="s">
        <v>48039</v>
      </c>
      <c r="D10751" t="s">
        <v>27245</v>
      </c>
      <c r="E10751" t="str">
        <f t="shared" si="167"/>
        <v>001390</v>
      </c>
      <c r="F10751" t="s">
        <v>27246</v>
      </c>
      <c r="G10751" t="s">
        <v>27247</v>
      </c>
      <c r="H10751" t="s">
        <v>27248</v>
      </c>
      <c r="I10751" t="s">
        <v>48040</v>
      </c>
      <c r="J10751" t="s">
        <v>21512</v>
      </c>
      <c r="L10751" t="s">
        <v>27250</v>
      </c>
      <c r="M10751" t="s">
        <v>27251</v>
      </c>
      <c r="N10751" t="s">
        <v>27252</v>
      </c>
      <c r="Q10751" s="1">
        <v>44812</v>
      </c>
      <c r="R10751" t="s">
        <v>27253</v>
      </c>
      <c r="S10751" t="s">
        <v>27254</v>
      </c>
      <c r="T10751" t="s">
        <v>27255</v>
      </c>
    </row>
    <row r="10752" spans="1:20" x14ac:dyDescent="0.3">
      <c r="A10752" t="str">
        <f>"0611857092100"</f>
        <v>0611857092100</v>
      </c>
      <c r="B10752" t="str">
        <f>"LQ6282"</f>
        <v>LQ6282</v>
      </c>
      <c r="C10752" t="s">
        <v>48041</v>
      </c>
      <c r="D10752" t="s">
        <v>27245</v>
      </c>
      <c r="E10752" t="str">
        <f t="shared" si="167"/>
        <v>001390</v>
      </c>
      <c r="F10752" t="s">
        <v>27246</v>
      </c>
      <c r="G10752" t="s">
        <v>27247</v>
      </c>
      <c r="H10752" t="s">
        <v>27248</v>
      </c>
      <c r="I10752" t="s">
        <v>48042</v>
      </c>
      <c r="J10752" t="s">
        <v>21516</v>
      </c>
      <c r="L10752" t="s">
        <v>27250</v>
      </c>
      <c r="M10752" t="s">
        <v>27251</v>
      </c>
      <c r="N10752" t="s">
        <v>27252</v>
      </c>
      <c r="Q10752" s="1">
        <v>44812</v>
      </c>
      <c r="R10752" t="s">
        <v>27253</v>
      </c>
      <c r="S10752" t="s">
        <v>27254</v>
      </c>
      <c r="T10752" t="s">
        <v>27255</v>
      </c>
    </row>
    <row r="10753" spans="1:20" x14ac:dyDescent="0.3">
      <c r="A10753" t="str">
        <f>"0611838614100"</f>
        <v>0611838614100</v>
      </c>
      <c r="B10753" t="str">
        <f>"LQ6116"</f>
        <v>LQ6116</v>
      </c>
      <c r="C10753" t="s">
        <v>48043</v>
      </c>
      <c r="D10753" t="s">
        <v>27245</v>
      </c>
      <c r="E10753" t="str">
        <f t="shared" si="167"/>
        <v>001390</v>
      </c>
      <c r="F10753" t="s">
        <v>27246</v>
      </c>
      <c r="G10753" t="s">
        <v>27247</v>
      </c>
      <c r="H10753" t="s">
        <v>27248</v>
      </c>
      <c r="I10753" t="s">
        <v>48044</v>
      </c>
      <c r="J10753" t="s">
        <v>21514</v>
      </c>
      <c r="L10753" t="s">
        <v>27250</v>
      </c>
      <c r="M10753" t="s">
        <v>27251</v>
      </c>
      <c r="N10753" t="s">
        <v>27252</v>
      </c>
      <c r="Q10753" s="1">
        <v>44538</v>
      </c>
      <c r="R10753" t="s">
        <v>27253</v>
      </c>
      <c r="S10753" t="s">
        <v>27254</v>
      </c>
      <c r="T10753" t="s">
        <v>27255</v>
      </c>
    </row>
    <row r="10754" spans="1:20" x14ac:dyDescent="0.3">
      <c r="A10754" t="str">
        <f>"0611838615100"</f>
        <v>0611838615100</v>
      </c>
      <c r="B10754" t="str">
        <f>"LQ6117"</f>
        <v>LQ6117</v>
      </c>
      <c r="C10754" t="s">
        <v>48045</v>
      </c>
      <c r="D10754" t="s">
        <v>27245</v>
      </c>
      <c r="E10754" t="str">
        <f t="shared" ref="E10754:E10817" si="168">"001390"</f>
        <v>001390</v>
      </c>
      <c r="F10754" t="s">
        <v>27246</v>
      </c>
      <c r="G10754" t="s">
        <v>27247</v>
      </c>
      <c r="H10754" t="s">
        <v>27248</v>
      </c>
      <c r="I10754" t="s">
        <v>48046</v>
      </c>
      <c r="J10754" t="s">
        <v>21518</v>
      </c>
      <c r="L10754" t="s">
        <v>27250</v>
      </c>
      <c r="M10754" t="s">
        <v>27251</v>
      </c>
      <c r="N10754" t="s">
        <v>27252</v>
      </c>
      <c r="Q10754" s="1">
        <v>44538</v>
      </c>
      <c r="R10754" t="s">
        <v>27253</v>
      </c>
      <c r="S10754" t="s">
        <v>27254</v>
      </c>
      <c r="T10754" t="s">
        <v>27255</v>
      </c>
    </row>
    <row r="10755" spans="1:20" x14ac:dyDescent="0.3">
      <c r="A10755" t="str">
        <f>"0611838616100"</f>
        <v>0611838616100</v>
      </c>
      <c r="B10755" t="str">
        <f>"LQ6084"</f>
        <v>LQ6084</v>
      </c>
      <c r="C10755" t="s">
        <v>48047</v>
      </c>
      <c r="D10755" t="s">
        <v>27245</v>
      </c>
      <c r="E10755" t="str">
        <f t="shared" si="168"/>
        <v>001390</v>
      </c>
      <c r="F10755" t="s">
        <v>27246</v>
      </c>
      <c r="G10755" t="s">
        <v>27247</v>
      </c>
      <c r="H10755" t="s">
        <v>27248</v>
      </c>
      <c r="I10755" t="s">
        <v>48048</v>
      </c>
      <c r="J10755" t="s">
        <v>21520</v>
      </c>
      <c r="L10755" t="s">
        <v>27250</v>
      </c>
      <c r="M10755" t="s">
        <v>27251</v>
      </c>
      <c r="N10755" t="s">
        <v>27252</v>
      </c>
      <c r="Q10755" s="1">
        <v>44538</v>
      </c>
      <c r="R10755" t="s">
        <v>27253</v>
      </c>
      <c r="S10755" t="s">
        <v>27254</v>
      </c>
      <c r="T10755" t="s">
        <v>27255</v>
      </c>
    </row>
    <row r="10756" spans="1:20" x14ac:dyDescent="0.3">
      <c r="A10756" t="str">
        <f>"0611838617100"</f>
        <v>0611838617100</v>
      </c>
      <c r="B10756" t="str">
        <f>"LQ0470"</f>
        <v>LQ0470</v>
      </c>
      <c r="C10756" t="s">
        <v>48049</v>
      </c>
      <c r="D10756" t="s">
        <v>27245</v>
      </c>
      <c r="E10756" t="str">
        <f t="shared" si="168"/>
        <v>001390</v>
      </c>
      <c r="F10756" t="s">
        <v>27246</v>
      </c>
      <c r="G10756" t="s">
        <v>27247</v>
      </c>
      <c r="H10756" t="s">
        <v>27248</v>
      </c>
      <c r="I10756" t="s">
        <v>48050</v>
      </c>
      <c r="J10756" t="s">
        <v>21522</v>
      </c>
      <c r="L10756" t="s">
        <v>27250</v>
      </c>
      <c r="M10756" t="s">
        <v>27251</v>
      </c>
      <c r="N10756" t="s">
        <v>27252</v>
      </c>
      <c r="Q10756" s="1">
        <v>44538</v>
      </c>
      <c r="R10756" t="s">
        <v>27253</v>
      </c>
      <c r="S10756" t="s">
        <v>27254</v>
      </c>
      <c r="T10756" t="s">
        <v>27255</v>
      </c>
    </row>
    <row r="10757" spans="1:20" x14ac:dyDescent="0.3">
      <c r="A10757" t="str">
        <f>"0611838619100"</f>
        <v>0611838619100</v>
      </c>
      <c r="B10757" t="str">
        <f>"LQ0469"</f>
        <v>LQ0469</v>
      </c>
      <c r="C10757" t="s">
        <v>48051</v>
      </c>
      <c r="D10757" t="s">
        <v>27245</v>
      </c>
      <c r="E10757" t="str">
        <f t="shared" si="168"/>
        <v>001390</v>
      </c>
      <c r="F10757" t="s">
        <v>27246</v>
      </c>
      <c r="G10757" t="s">
        <v>27247</v>
      </c>
      <c r="H10757" t="s">
        <v>27248</v>
      </c>
      <c r="I10757" t="s">
        <v>48052</v>
      </c>
      <c r="J10757" t="s">
        <v>21524</v>
      </c>
      <c r="L10757" t="s">
        <v>27250</v>
      </c>
      <c r="M10757" t="s">
        <v>27251</v>
      </c>
      <c r="N10757" t="s">
        <v>27252</v>
      </c>
      <c r="Q10757" s="1">
        <v>44538</v>
      </c>
      <c r="R10757" t="s">
        <v>27253</v>
      </c>
      <c r="S10757" t="s">
        <v>27254</v>
      </c>
      <c r="T10757" t="s">
        <v>27255</v>
      </c>
    </row>
    <row r="10758" spans="1:20" x14ac:dyDescent="0.3">
      <c r="A10758" t="str">
        <f>"0611838620100"</f>
        <v>0611838620100</v>
      </c>
      <c r="B10758" t="str">
        <f>"LQ5741"</f>
        <v>LQ5741</v>
      </c>
      <c r="C10758" t="s">
        <v>48053</v>
      </c>
      <c r="D10758" t="s">
        <v>27245</v>
      </c>
      <c r="E10758" t="str">
        <f t="shared" si="168"/>
        <v>001390</v>
      </c>
      <c r="F10758" t="s">
        <v>27246</v>
      </c>
      <c r="G10758" t="s">
        <v>27247</v>
      </c>
      <c r="H10758" t="s">
        <v>27248</v>
      </c>
      <c r="I10758" t="s">
        <v>48054</v>
      </c>
      <c r="J10758" t="s">
        <v>21526</v>
      </c>
      <c r="L10758" t="s">
        <v>27250</v>
      </c>
      <c r="M10758" t="s">
        <v>27251</v>
      </c>
      <c r="N10758" t="s">
        <v>27252</v>
      </c>
      <c r="Q10758" s="1">
        <v>44538</v>
      </c>
      <c r="R10758" t="s">
        <v>27253</v>
      </c>
      <c r="S10758" t="s">
        <v>27254</v>
      </c>
      <c r="T10758" t="s">
        <v>27255</v>
      </c>
    </row>
    <row r="10759" spans="1:20" x14ac:dyDescent="0.3">
      <c r="A10759" t="str">
        <f>"0611838621100"</f>
        <v>0611838621100</v>
      </c>
      <c r="B10759" t="str">
        <f>"LQ5566"</f>
        <v>LQ5566</v>
      </c>
      <c r="C10759" t="s">
        <v>48055</v>
      </c>
      <c r="D10759" t="s">
        <v>27245</v>
      </c>
      <c r="E10759" t="str">
        <f t="shared" si="168"/>
        <v>001390</v>
      </c>
      <c r="F10759" t="s">
        <v>27246</v>
      </c>
      <c r="G10759" t="s">
        <v>27247</v>
      </c>
      <c r="H10759" t="s">
        <v>27248</v>
      </c>
      <c r="I10759" t="s">
        <v>48056</v>
      </c>
      <c r="J10759" t="s">
        <v>21528</v>
      </c>
      <c r="L10759" t="s">
        <v>27250</v>
      </c>
      <c r="M10759" t="s">
        <v>27251</v>
      </c>
      <c r="N10759" t="s">
        <v>27252</v>
      </c>
      <c r="Q10759" s="1">
        <v>44538</v>
      </c>
      <c r="R10759" t="s">
        <v>27253</v>
      </c>
      <c r="S10759" t="s">
        <v>27254</v>
      </c>
      <c r="T10759" t="s">
        <v>27255</v>
      </c>
    </row>
    <row r="10760" spans="1:20" x14ac:dyDescent="0.3">
      <c r="A10760" t="str">
        <f>"0611838622100"</f>
        <v>0611838622100</v>
      </c>
      <c r="B10760" t="str">
        <f>"LQ6118"</f>
        <v>LQ6118</v>
      </c>
      <c r="C10760" t="s">
        <v>48057</v>
      </c>
      <c r="D10760" t="s">
        <v>27245</v>
      </c>
      <c r="E10760" t="str">
        <f t="shared" si="168"/>
        <v>001390</v>
      </c>
      <c r="F10760" t="s">
        <v>27246</v>
      </c>
      <c r="G10760" t="s">
        <v>27247</v>
      </c>
      <c r="H10760" t="s">
        <v>27248</v>
      </c>
      <c r="I10760" t="s">
        <v>48058</v>
      </c>
      <c r="J10760" t="s">
        <v>21530</v>
      </c>
      <c r="L10760" t="s">
        <v>27250</v>
      </c>
      <c r="M10760" t="s">
        <v>27251</v>
      </c>
      <c r="N10760" t="s">
        <v>27252</v>
      </c>
      <c r="Q10760" s="1">
        <v>44538</v>
      </c>
      <c r="R10760" t="s">
        <v>27253</v>
      </c>
      <c r="S10760" t="s">
        <v>27254</v>
      </c>
      <c r="T10760" t="s">
        <v>27255</v>
      </c>
    </row>
    <row r="10761" spans="1:20" x14ac:dyDescent="0.3">
      <c r="A10761" t="str">
        <f>"0611838623100"</f>
        <v>0611838623100</v>
      </c>
      <c r="B10761" t="str">
        <f>"LQ5979"</f>
        <v>LQ5979</v>
      </c>
      <c r="C10761" t="s">
        <v>48059</v>
      </c>
      <c r="D10761" t="s">
        <v>27245</v>
      </c>
      <c r="E10761" t="str">
        <f t="shared" si="168"/>
        <v>001390</v>
      </c>
      <c r="F10761" t="s">
        <v>27246</v>
      </c>
      <c r="G10761" t="s">
        <v>27247</v>
      </c>
      <c r="H10761" t="s">
        <v>27248</v>
      </c>
      <c r="I10761" t="s">
        <v>48060</v>
      </c>
      <c r="J10761" t="s">
        <v>21532</v>
      </c>
      <c r="L10761" t="s">
        <v>27250</v>
      </c>
      <c r="M10761" t="s">
        <v>27251</v>
      </c>
      <c r="N10761" t="s">
        <v>27252</v>
      </c>
      <c r="Q10761" s="1">
        <v>44538</v>
      </c>
      <c r="R10761" t="s">
        <v>27253</v>
      </c>
      <c r="S10761" t="s">
        <v>27254</v>
      </c>
      <c r="T10761" t="s">
        <v>27255</v>
      </c>
    </row>
    <row r="10762" spans="1:20" x14ac:dyDescent="0.3">
      <c r="A10762" t="str">
        <f>"0611838624100"</f>
        <v>0611838624100</v>
      </c>
      <c r="B10762" t="str">
        <f>"LK4610"</f>
        <v>LK4610</v>
      </c>
      <c r="C10762" t="s">
        <v>48061</v>
      </c>
      <c r="D10762" t="s">
        <v>27245</v>
      </c>
      <c r="E10762" t="str">
        <f t="shared" si="168"/>
        <v>001390</v>
      </c>
      <c r="F10762" t="s">
        <v>27246</v>
      </c>
      <c r="G10762" t="s">
        <v>27247</v>
      </c>
      <c r="H10762" t="s">
        <v>27248</v>
      </c>
      <c r="I10762" t="s">
        <v>48062</v>
      </c>
      <c r="J10762" t="s">
        <v>21534</v>
      </c>
      <c r="L10762" t="s">
        <v>27250</v>
      </c>
      <c r="M10762" t="s">
        <v>27251</v>
      </c>
      <c r="N10762" t="s">
        <v>27252</v>
      </c>
      <c r="Q10762" s="1">
        <v>44538</v>
      </c>
      <c r="R10762" t="s">
        <v>27253</v>
      </c>
      <c r="S10762" t="s">
        <v>27254</v>
      </c>
      <c r="T10762" t="s">
        <v>27255</v>
      </c>
    </row>
    <row r="10763" spans="1:20" x14ac:dyDescent="0.3">
      <c r="A10763" t="str">
        <f>"0611838625100"</f>
        <v>0611838625100</v>
      </c>
      <c r="B10763" t="str">
        <f>"MB6000"</f>
        <v>MB6000</v>
      </c>
      <c r="C10763" t="s">
        <v>48063</v>
      </c>
      <c r="D10763" t="s">
        <v>27274</v>
      </c>
      <c r="E10763" t="str">
        <f t="shared" si="168"/>
        <v>001390</v>
      </c>
      <c r="F10763" t="s">
        <v>27246</v>
      </c>
      <c r="G10763" t="s">
        <v>27247</v>
      </c>
      <c r="H10763" t="s">
        <v>27248</v>
      </c>
      <c r="I10763" t="s">
        <v>48064</v>
      </c>
      <c r="J10763" t="s">
        <v>21436</v>
      </c>
      <c r="L10763" t="s">
        <v>27250</v>
      </c>
      <c r="M10763" t="s">
        <v>27251</v>
      </c>
      <c r="N10763" t="s">
        <v>27252</v>
      </c>
      <c r="Q10763" s="1">
        <v>44538</v>
      </c>
      <c r="R10763" t="s">
        <v>27253</v>
      </c>
      <c r="S10763" t="s">
        <v>27254</v>
      </c>
      <c r="T10763" t="s">
        <v>27276</v>
      </c>
    </row>
    <row r="10764" spans="1:20" x14ac:dyDescent="0.3">
      <c r="A10764" t="str">
        <f>"0611838626100"</f>
        <v>0611838626100</v>
      </c>
      <c r="B10764" t="str">
        <f>"LK4611"</f>
        <v>LK4611</v>
      </c>
      <c r="C10764" t="s">
        <v>48065</v>
      </c>
      <c r="D10764" t="s">
        <v>27245</v>
      </c>
      <c r="E10764" t="str">
        <f t="shared" si="168"/>
        <v>001390</v>
      </c>
      <c r="F10764" t="s">
        <v>27246</v>
      </c>
      <c r="G10764" t="s">
        <v>27247</v>
      </c>
      <c r="H10764" t="s">
        <v>27248</v>
      </c>
      <c r="I10764" t="s">
        <v>48066</v>
      </c>
      <c r="J10764" t="s">
        <v>21536</v>
      </c>
      <c r="L10764" t="s">
        <v>27250</v>
      </c>
      <c r="M10764" t="s">
        <v>27251</v>
      </c>
      <c r="N10764" t="s">
        <v>27252</v>
      </c>
      <c r="Q10764" s="1">
        <v>44538</v>
      </c>
      <c r="R10764" t="s">
        <v>27253</v>
      </c>
      <c r="S10764" t="s">
        <v>27254</v>
      </c>
      <c r="T10764" t="s">
        <v>27255</v>
      </c>
    </row>
    <row r="10765" spans="1:20" x14ac:dyDescent="0.3">
      <c r="A10765" t="str">
        <f>"0611838627100"</f>
        <v>0611838627100</v>
      </c>
      <c r="B10765" t="str">
        <f>"MB2880"</f>
        <v>MB2880</v>
      </c>
      <c r="C10765" t="s">
        <v>48067</v>
      </c>
      <c r="D10765" t="s">
        <v>27274</v>
      </c>
      <c r="E10765" t="str">
        <f t="shared" si="168"/>
        <v>001390</v>
      </c>
      <c r="F10765" t="s">
        <v>27246</v>
      </c>
      <c r="G10765" t="s">
        <v>27247</v>
      </c>
      <c r="H10765" t="s">
        <v>27248</v>
      </c>
      <c r="I10765" t="s">
        <v>48068</v>
      </c>
      <c r="J10765" t="s">
        <v>21538</v>
      </c>
      <c r="L10765" t="s">
        <v>27250</v>
      </c>
      <c r="M10765" t="s">
        <v>27251</v>
      </c>
      <c r="N10765" t="s">
        <v>27252</v>
      </c>
      <c r="Q10765" s="1">
        <v>44538</v>
      </c>
      <c r="R10765" t="s">
        <v>27253</v>
      </c>
      <c r="S10765" t="s">
        <v>27254</v>
      </c>
      <c r="T10765" t="s">
        <v>27276</v>
      </c>
    </row>
    <row r="10766" spans="1:20" x14ac:dyDescent="0.3">
      <c r="A10766" t="str">
        <f>"0611838628100"</f>
        <v>0611838628100</v>
      </c>
      <c r="B10766" t="str">
        <f>"LK2581"</f>
        <v>LK2581</v>
      </c>
      <c r="C10766" t="s">
        <v>48067</v>
      </c>
      <c r="D10766" t="s">
        <v>27245</v>
      </c>
      <c r="E10766" t="str">
        <f t="shared" si="168"/>
        <v>001390</v>
      </c>
      <c r="F10766" t="s">
        <v>27246</v>
      </c>
      <c r="G10766" t="s">
        <v>27247</v>
      </c>
      <c r="H10766" t="s">
        <v>27248</v>
      </c>
      <c r="I10766" t="s">
        <v>48069</v>
      </c>
      <c r="J10766" t="s">
        <v>21540</v>
      </c>
      <c r="L10766" t="s">
        <v>27250</v>
      </c>
      <c r="M10766" t="s">
        <v>27251</v>
      </c>
      <c r="N10766" t="s">
        <v>27252</v>
      </c>
      <c r="Q10766" s="1">
        <v>44538</v>
      </c>
      <c r="R10766" t="s">
        <v>27253</v>
      </c>
      <c r="S10766" t="s">
        <v>27254</v>
      </c>
      <c r="T10766" t="s">
        <v>27255</v>
      </c>
    </row>
    <row r="10767" spans="1:20" x14ac:dyDescent="0.3">
      <c r="A10767" t="str">
        <f>"0611838629100"</f>
        <v>0611838629100</v>
      </c>
      <c r="B10767" t="str">
        <f>"LB7930"</f>
        <v>LB7930</v>
      </c>
      <c r="C10767" t="s">
        <v>48070</v>
      </c>
      <c r="D10767" t="s">
        <v>27245</v>
      </c>
      <c r="E10767" t="str">
        <f t="shared" si="168"/>
        <v>001390</v>
      </c>
      <c r="F10767" t="s">
        <v>27246</v>
      </c>
      <c r="G10767" t="s">
        <v>27247</v>
      </c>
      <c r="H10767" t="s">
        <v>27248</v>
      </c>
      <c r="I10767" t="s">
        <v>48071</v>
      </c>
      <c r="J10767" t="s">
        <v>21542</v>
      </c>
      <c r="L10767" t="s">
        <v>27250</v>
      </c>
      <c r="M10767" t="s">
        <v>27251</v>
      </c>
      <c r="N10767" t="s">
        <v>27252</v>
      </c>
      <c r="Q10767" s="1">
        <v>44538</v>
      </c>
      <c r="R10767" t="s">
        <v>27253</v>
      </c>
      <c r="S10767" t="s">
        <v>27254</v>
      </c>
      <c r="T10767" t="s">
        <v>27255</v>
      </c>
    </row>
    <row r="10768" spans="1:20" x14ac:dyDescent="0.3">
      <c r="A10768" t="str">
        <f>"0611838630100"</f>
        <v>0611838630100</v>
      </c>
      <c r="B10768" t="str">
        <f>"LB7931"</f>
        <v>LB7931</v>
      </c>
      <c r="C10768" t="s">
        <v>48072</v>
      </c>
      <c r="D10768" t="s">
        <v>27245</v>
      </c>
      <c r="E10768" t="str">
        <f t="shared" si="168"/>
        <v>001390</v>
      </c>
      <c r="F10768" t="s">
        <v>27246</v>
      </c>
      <c r="G10768" t="s">
        <v>27247</v>
      </c>
      <c r="H10768" t="s">
        <v>27248</v>
      </c>
      <c r="I10768" t="s">
        <v>48073</v>
      </c>
      <c r="J10768" t="s">
        <v>21544</v>
      </c>
      <c r="L10768" t="s">
        <v>27250</v>
      </c>
      <c r="M10768" t="s">
        <v>27251</v>
      </c>
      <c r="N10768" t="s">
        <v>27252</v>
      </c>
      <c r="Q10768" s="1">
        <v>44538</v>
      </c>
      <c r="R10768" t="s">
        <v>27253</v>
      </c>
      <c r="S10768" t="s">
        <v>27254</v>
      </c>
      <c r="T10768" t="s">
        <v>27255</v>
      </c>
    </row>
    <row r="10769" spans="1:20" x14ac:dyDescent="0.3">
      <c r="A10769" t="str">
        <f>"0611838631100"</f>
        <v>0611838631100</v>
      </c>
      <c r="B10769" t="str">
        <f>"LD0041"</f>
        <v>LD0041</v>
      </c>
      <c r="C10769" t="s">
        <v>48074</v>
      </c>
      <c r="D10769" t="s">
        <v>27245</v>
      </c>
      <c r="E10769" t="str">
        <f t="shared" si="168"/>
        <v>001390</v>
      </c>
      <c r="F10769" t="s">
        <v>27246</v>
      </c>
      <c r="G10769" t="s">
        <v>27247</v>
      </c>
      <c r="H10769" t="s">
        <v>27248</v>
      </c>
      <c r="I10769" t="s">
        <v>48075</v>
      </c>
      <c r="J10769" t="s">
        <v>21546</v>
      </c>
      <c r="L10769" t="s">
        <v>27250</v>
      </c>
      <c r="M10769" t="s">
        <v>27251</v>
      </c>
      <c r="N10769" t="s">
        <v>27252</v>
      </c>
      <c r="Q10769" s="1">
        <v>44538</v>
      </c>
      <c r="R10769" t="s">
        <v>27253</v>
      </c>
      <c r="S10769" t="s">
        <v>27254</v>
      </c>
      <c r="T10769" t="s">
        <v>27255</v>
      </c>
    </row>
    <row r="10770" spans="1:20" x14ac:dyDescent="0.3">
      <c r="A10770" t="str">
        <f>"0611838632100"</f>
        <v>0611838632100</v>
      </c>
      <c r="B10770" t="str">
        <f>"LD0042"</f>
        <v>LD0042</v>
      </c>
      <c r="C10770" t="s">
        <v>48076</v>
      </c>
      <c r="D10770" t="s">
        <v>27245</v>
      </c>
      <c r="E10770" t="str">
        <f t="shared" si="168"/>
        <v>001390</v>
      </c>
      <c r="F10770" t="s">
        <v>27246</v>
      </c>
      <c r="G10770" t="s">
        <v>27247</v>
      </c>
      <c r="H10770" t="s">
        <v>27248</v>
      </c>
      <c r="I10770" t="s">
        <v>48077</v>
      </c>
      <c r="J10770" t="s">
        <v>21548</v>
      </c>
      <c r="L10770" t="s">
        <v>27250</v>
      </c>
      <c r="M10770" t="s">
        <v>27251</v>
      </c>
      <c r="N10770" t="s">
        <v>27252</v>
      </c>
      <c r="Q10770" s="1">
        <v>44538</v>
      </c>
      <c r="R10770" t="s">
        <v>27253</v>
      </c>
      <c r="S10770" t="s">
        <v>27254</v>
      </c>
      <c r="T10770" t="s">
        <v>27255</v>
      </c>
    </row>
    <row r="10771" spans="1:20" x14ac:dyDescent="0.3">
      <c r="A10771" t="str">
        <f>"0611838633100"</f>
        <v>0611838633100</v>
      </c>
      <c r="B10771" t="str">
        <f>"LK6214"</f>
        <v>LK6214</v>
      </c>
      <c r="C10771" t="s">
        <v>48078</v>
      </c>
      <c r="D10771" t="s">
        <v>27245</v>
      </c>
      <c r="E10771" t="str">
        <f t="shared" si="168"/>
        <v>001390</v>
      </c>
      <c r="F10771" t="s">
        <v>27246</v>
      </c>
      <c r="G10771" t="s">
        <v>27247</v>
      </c>
      <c r="H10771" t="s">
        <v>27248</v>
      </c>
      <c r="I10771" t="s">
        <v>48079</v>
      </c>
      <c r="J10771" t="s">
        <v>21550</v>
      </c>
      <c r="L10771" t="s">
        <v>27250</v>
      </c>
      <c r="M10771" t="s">
        <v>27251</v>
      </c>
      <c r="N10771" t="s">
        <v>27252</v>
      </c>
      <c r="Q10771" s="1">
        <v>44538</v>
      </c>
      <c r="R10771" t="s">
        <v>27253</v>
      </c>
      <c r="S10771" t="s">
        <v>27254</v>
      </c>
      <c r="T10771" t="s">
        <v>27255</v>
      </c>
    </row>
    <row r="10772" spans="1:20" x14ac:dyDescent="0.3">
      <c r="A10772" t="str">
        <f>"0611838634100"</f>
        <v>0611838634100</v>
      </c>
      <c r="B10772" t="str">
        <f>"LK5814"</f>
        <v>LK5814</v>
      </c>
      <c r="C10772" t="s">
        <v>48080</v>
      </c>
      <c r="D10772" t="s">
        <v>27245</v>
      </c>
      <c r="E10772" t="str">
        <f t="shared" si="168"/>
        <v>001390</v>
      </c>
      <c r="F10772" t="s">
        <v>27246</v>
      </c>
      <c r="G10772" t="s">
        <v>27247</v>
      </c>
      <c r="H10772" t="s">
        <v>27248</v>
      </c>
      <c r="I10772" t="s">
        <v>48081</v>
      </c>
      <c r="J10772" t="s">
        <v>21552</v>
      </c>
      <c r="L10772" t="s">
        <v>27250</v>
      </c>
      <c r="M10772" t="s">
        <v>27251</v>
      </c>
      <c r="N10772" t="s">
        <v>27252</v>
      </c>
      <c r="Q10772" s="1">
        <v>44538</v>
      </c>
      <c r="R10772" t="s">
        <v>27253</v>
      </c>
      <c r="S10772" t="s">
        <v>27254</v>
      </c>
      <c r="T10772" t="s">
        <v>27255</v>
      </c>
    </row>
    <row r="10773" spans="1:20" x14ac:dyDescent="0.3">
      <c r="A10773" t="str">
        <f>"0611838635100"</f>
        <v>0611838635100</v>
      </c>
      <c r="B10773" t="str">
        <f>"LK3504"</f>
        <v>LK3504</v>
      </c>
      <c r="C10773" t="s">
        <v>48082</v>
      </c>
      <c r="D10773" t="s">
        <v>27245</v>
      </c>
      <c r="E10773" t="str">
        <f t="shared" si="168"/>
        <v>001390</v>
      </c>
      <c r="F10773" t="s">
        <v>27246</v>
      </c>
      <c r="G10773" t="s">
        <v>27247</v>
      </c>
      <c r="H10773" t="s">
        <v>27248</v>
      </c>
      <c r="I10773" t="s">
        <v>48083</v>
      </c>
      <c r="J10773" t="s">
        <v>21554</v>
      </c>
      <c r="L10773" t="s">
        <v>27250</v>
      </c>
      <c r="M10773" t="s">
        <v>27251</v>
      </c>
      <c r="N10773" t="s">
        <v>27252</v>
      </c>
      <c r="Q10773" s="1">
        <v>44538</v>
      </c>
      <c r="R10773" t="s">
        <v>27253</v>
      </c>
      <c r="S10773" t="s">
        <v>27254</v>
      </c>
      <c r="T10773" t="s">
        <v>27255</v>
      </c>
    </row>
    <row r="10774" spans="1:20" x14ac:dyDescent="0.3">
      <c r="A10774" t="str">
        <f>"0611838636100"</f>
        <v>0611838636100</v>
      </c>
      <c r="B10774" t="str">
        <f>"LK2705"</f>
        <v>LK2705</v>
      </c>
      <c r="C10774" t="s">
        <v>48084</v>
      </c>
      <c r="D10774" t="s">
        <v>27245</v>
      </c>
      <c r="E10774" t="str">
        <f t="shared" si="168"/>
        <v>001390</v>
      </c>
      <c r="F10774" t="s">
        <v>27246</v>
      </c>
      <c r="G10774" t="s">
        <v>27247</v>
      </c>
      <c r="H10774" t="s">
        <v>27248</v>
      </c>
      <c r="I10774" t="s">
        <v>48085</v>
      </c>
      <c r="J10774" t="s">
        <v>21556</v>
      </c>
      <c r="L10774" t="s">
        <v>27250</v>
      </c>
      <c r="M10774" t="s">
        <v>27251</v>
      </c>
      <c r="N10774" t="s">
        <v>27252</v>
      </c>
      <c r="Q10774" s="1">
        <v>44538</v>
      </c>
      <c r="R10774" t="s">
        <v>27253</v>
      </c>
      <c r="S10774" t="s">
        <v>27254</v>
      </c>
      <c r="T10774" t="s">
        <v>27255</v>
      </c>
    </row>
    <row r="10775" spans="1:20" x14ac:dyDescent="0.3">
      <c r="A10775" t="str">
        <f>"0611838637100"</f>
        <v>0611838637100</v>
      </c>
      <c r="B10775" t="str">
        <f>"LK2377"</f>
        <v>LK2377</v>
      </c>
      <c r="C10775" t="s">
        <v>48086</v>
      </c>
      <c r="D10775" t="s">
        <v>27245</v>
      </c>
      <c r="E10775" t="str">
        <f t="shared" si="168"/>
        <v>001390</v>
      </c>
      <c r="F10775" t="s">
        <v>27246</v>
      </c>
      <c r="G10775" t="s">
        <v>27247</v>
      </c>
      <c r="H10775" t="s">
        <v>27248</v>
      </c>
      <c r="I10775" t="s">
        <v>48087</v>
      </c>
      <c r="J10775" t="s">
        <v>21558</v>
      </c>
      <c r="L10775" t="s">
        <v>27250</v>
      </c>
      <c r="M10775" t="s">
        <v>27251</v>
      </c>
      <c r="N10775" t="s">
        <v>27252</v>
      </c>
      <c r="Q10775" s="1">
        <v>44538</v>
      </c>
      <c r="R10775" t="s">
        <v>27253</v>
      </c>
      <c r="S10775" t="s">
        <v>27254</v>
      </c>
      <c r="T10775" t="s">
        <v>27255</v>
      </c>
    </row>
    <row r="10776" spans="1:20" x14ac:dyDescent="0.3">
      <c r="A10776" t="str">
        <f>"0611838639100"</f>
        <v>0611838639100</v>
      </c>
      <c r="B10776" t="str">
        <f>"LK5815"</f>
        <v>LK5815</v>
      </c>
      <c r="C10776" t="s">
        <v>48088</v>
      </c>
      <c r="D10776" t="s">
        <v>27245</v>
      </c>
      <c r="E10776" t="str">
        <f t="shared" si="168"/>
        <v>001390</v>
      </c>
      <c r="F10776" t="s">
        <v>27246</v>
      </c>
      <c r="G10776" t="s">
        <v>27247</v>
      </c>
      <c r="H10776" t="s">
        <v>27248</v>
      </c>
      <c r="I10776" t="s">
        <v>48089</v>
      </c>
      <c r="J10776" t="s">
        <v>21560</v>
      </c>
      <c r="L10776" t="s">
        <v>27250</v>
      </c>
      <c r="M10776" t="s">
        <v>27251</v>
      </c>
      <c r="N10776" t="s">
        <v>27252</v>
      </c>
      <c r="Q10776" s="1">
        <v>44538</v>
      </c>
      <c r="R10776" t="s">
        <v>27253</v>
      </c>
      <c r="S10776" t="s">
        <v>27254</v>
      </c>
      <c r="T10776" t="s">
        <v>27255</v>
      </c>
    </row>
    <row r="10777" spans="1:20" x14ac:dyDescent="0.3">
      <c r="A10777" t="str">
        <f>"0611838641100"</f>
        <v>0611838641100</v>
      </c>
      <c r="B10777" t="str">
        <f>"LK5817"</f>
        <v>LK5817</v>
      </c>
      <c r="C10777" t="s">
        <v>48090</v>
      </c>
      <c r="D10777" t="s">
        <v>27245</v>
      </c>
      <c r="E10777" t="str">
        <f t="shared" si="168"/>
        <v>001390</v>
      </c>
      <c r="F10777" t="s">
        <v>27246</v>
      </c>
      <c r="G10777" t="s">
        <v>27247</v>
      </c>
      <c r="H10777" t="s">
        <v>27248</v>
      </c>
      <c r="I10777" t="s">
        <v>48091</v>
      </c>
      <c r="J10777" t="s">
        <v>21562</v>
      </c>
      <c r="L10777" t="s">
        <v>27250</v>
      </c>
      <c r="M10777" t="s">
        <v>27251</v>
      </c>
      <c r="N10777" t="s">
        <v>27252</v>
      </c>
      <c r="Q10777" s="1">
        <v>44538</v>
      </c>
      <c r="R10777" t="s">
        <v>27253</v>
      </c>
      <c r="S10777" t="s">
        <v>27254</v>
      </c>
      <c r="T10777" t="s">
        <v>27255</v>
      </c>
    </row>
    <row r="10778" spans="1:20" x14ac:dyDescent="0.3">
      <c r="A10778" t="str">
        <f>"0611838642100"</f>
        <v>0611838642100</v>
      </c>
      <c r="B10778" t="str">
        <f>"LB7934"</f>
        <v>LB7934</v>
      </c>
      <c r="C10778" t="s">
        <v>48092</v>
      </c>
      <c r="D10778" t="s">
        <v>27245</v>
      </c>
      <c r="E10778" t="str">
        <f t="shared" si="168"/>
        <v>001390</v>
      </c>
      <c r="F10778" t="s">
        <v>27246</v>
      </c>
      <c r="G10778" t="s">
        <v>27247</v>
      </c>
      <c r="H10778" t="s">
        <v>27248</v>
      </c>
      <c r="I10778" t="s">
        <v>48093</v>
      </c>
      <c r="J10778" t="s">
        <v>21564</v>
      </c>
      <c r="L10778" t="s">
        <v>27250</v>
      </c>
      <c r="M10778" t="s">
        <v>27251</v>
      </c>
      <c r="N10778" t="s">
        <v>27252</v>
      </c>
      <c r="Q10778" s="1">
        <v>44538</v>
      </c>
      <c r="R10778" t="s">
        <v>27253</v>
      </c>
      <c r="S10778" t="s">
        <v>27254</v>
      </c>
      <c r="T10778" t="s">
        <v>27255</v>
      </c>
    </row>
    <row r="10779" spans="1:20" x14ac:dyDescent="0.3">
      <c r="A10779" t="str">
        <f>"0611838643100"</f>
        <v>0611838643100</v>
      </c>
      <c r="B10779" t="str">
        <f>"LK5915"</f>
        <v>LK5915</v>
      </c>
      <c r="C10779" t="s">
        <v>48094</v>
      </c>
      <c r="D10779" t="s">
        <v>27245</v>
      </c>
      <c r="E10779" t="str">
        <f t="shared" si="168"/>
        <v>001390</v>
      </c>
      <c r="F10779" t="s">
        <v>27246</v>
      </c>
      <c r="G10779" t="s">
        <v>27247</v>
      </c>
      <c r="H10779" t="s">
        <v>27248</v>
      </c>
      <c r="I10779" t="s">
        <v>48095</v>
      </c>
      <c r="J10779" t="s">
        <v>21566</v>
      </c>
      <c r="L10779" t="s">
        <v>27250</v>
      </c>
      <c r="M10779" t="s">
        <v>27251</v>
      </c>
      <c r="N10779" t="s">
        <v>27252</v>
      </c>
      <c r="Q10779" s="1">
        <v>44538</v>
      </c>
      <c r="R10779" t="s">
        <v>27253</v>
      </c>
      <c r="S10779" t="s">
        <v>27254</v>
      </c>
      <c r="T10779" t="s">
        <v>27255</v>
      </c>
    </row>
    <row r="10780" spans="1:20" x14ac:dyDescent="0.3">
      <c r="A10780" t="str">
        <f>"0611838644100"</f>
        <v>0611838644100</v>
      </c>
      <c r="B10780" t="str">
        <f>"LK7031"</f>
        <v>LK7031</v>
      </c>
      <c r="C10780" t="s">
        <v>48096</v>
      </c>
      <c r="D10780" t="s">
        <v>27245</v>
      </c>
      <c r="E10780" t="str">
        <f t="shared" si="168"/>
        <v>001390</v>
      </c>
      <c r="F10780" t="s">
        <v>27246</v>
      </c>
      <c r="G10780" t="s">
        <v>27247</v>
      </c>
      <c r="H10780" t="s">
        <v>27248</v>
      </c>
      <c r="I10780" t="s">
        <v>48097</v>
      </c>
      <c r="J10780" t="s">
        <v>21568</v>
      </c>
      <c r="L10780" t="s">
        <v>27250</v>
      </c>
      <c r="M10780" t="s">
        <v>27251</v>
      </c>
      <c r="N10780" t="s">
        <v>27252</v>
      </c>
      <c r="Q10780" s="1">
        <v>44538</v>
      </c>
      <c r="R10780" t="s">
        <v>27253</v>
      </c>
      <c r="S10780" t="s">
        <v>27254</v>
      </c>
      <c r="T10780" t="s">
        <v>27255</v>
      </c>
    </row>
    <row r="10781" spans="1:20" x14ac:dyDescent="0.3">
      <c r="A10781" t="str">
        <f>"0611838646100"</f>
        <v>0611838646100</v>
      </c>
      <c r="B10781" t="str">
        <f>"LK7032"</f>
        <v>LK7032</v>
      </c>
      <c r="C10781" t="s">
        <v>48098</v>
      </c>
      <c r="D10781" t="s">
        <v>27245</v>
      </c>
      <c r="E10781" t="str">
        <f t="shared" si="168"/>
        <v>001390</v>
      </c>
      <c r="F10781" t="s">
        <v>27246</v>
      </c>
      <c r="G10781" t="s">
        <v>27247</v>
      </c>
      <c r="H10781" t="s">
        <v>27248</v>
      </c>
      <c r="I10781" t="s">
        <v>48099</v>
      </c>
      <c r="J10781" t="s">
        <v>21570</v>
      </c>
      <c r="L10781" t="s">
        <v>27250</v>
      </c>
      <c r="M10781" t="s">
        <v>27251</v>
      </c>
      <c r="N10781" t="s">
        <v>27252</v>
      </c>
      <c r="Q10781" s="1">
        <v>44538</v>
      </c>
      <c r="R10781" t="s">
        <v>27253</v>
      </c>
      <c r="S10781" t="s">
        <v>27254</v>
      </c>
      <c r="T10781" t="s">
        <v>27255</v>
      </c>
    </row>
    <row r="10782" spans="1:20" x14ac:dyDescent="0.3">
      <c r="A10782" t="str">
        <f>"0611838647100"</f>
        <v>0611838647100</v>
      </c>
      <c r="B10782" t="str">
        <f>"LB7946"</f>
        <v>LB7946</v>
      </c>
      <c r="C10782" t="s">
        <v>48100</v>
      </c>
      <c r="D10782" t="s">
        <v>27245</v>
      </c>
      <c r="E10782" t="str">
        <f t="shared" si="168"/>
        <v>001390</v>
      </c>
      <c r="F10782" t="s">
        <v>27246</v>
      </c>
      <c r="G10782" t="s">
        <v>27247</v>
      </c>
      <c r="H10782" t="s">
        <v>27248</v>
      </c>
      <c r="I10782" t="s">
        <v>48101</v>
      </c>
      <c r="J10782" t="s">
        <v>21572</v>
      </c>
      <c r="L10782" t="s">
        <v>27250</v>
      </c>
      <c r="M10782" t="s">
        <v>27251</v>
      </c>
      <c r="N10782" t="s">
        <v>27252</v>
      </c>
      <c r="Q10782" s="1">
        <v>44538</v>
      </c>
      <c r="R10782" t="s">
        <v>27253</v>
      </c>
      <c r="S10782" t="s">
        <v>27254</v>
      </c>
      <c r="T10782" t="s">
        <v>27255</v>
      </c>
    </row>
    <row r="10783" spans="1:20" x14ac:dyDescent="0.3">
      <c r="A10783" t="str">
        <f>"0611838648100"</f>
        <v>0611838648100</v>
      </c>
      <c r="B10783" t="str">
        <f>"LB7953"</f>
        <v>LB7953</v>
      </c>
      <c r="C10783" t="s">
        <v>48102</v>
      </c>
      <c r="D10783" t="s">
        <v>27245</v>
      </c>
      <c r="E10783" t="str">
        <f t="shared" si="168"/>
        <v>001390</v>
      </c>
      <c r="F10783" t="s">
        <v>27246</v>
      </c>
      <c r="G10783" t="s">
        <v>27247</v>
      </c>
      <c r="H10783" t="s">
        <v>27248</v>
      </c>
      <c r="I10783" t="s">
        <v>48103</v>
      </c>
      <c r="J10783" t="s">
        <v>21574</v>
      </c>
      <c r="L10783" t="s">
        <v>27250</v>
      </c>
      <c r="M10783" t="s">
        <v>27251</v>
      </c>
      <c r="N10783" t="s">
        <v>27252</v>
      </c>
      <c r="Q10783" s="1">
        <v>44538</v>
      </c>
      <c r="R10783" t="s">
        <v>27253</v>
      </c>
      <c r="S10783" t="s">
        <v>27254</v>
      </c>
      <c r="T10783" t="s">
        <v>27255</v>
      </c>
    </row>
    <row r="10784" spans="1:20" x14ac:dyDescent="0.3">
      <c r="A10784" t="str">
        <f>"0611838649100"</f>
        <v>0611838649100</v>
      </c>
      <c r="B10784" t="str">
        <f>"LK7033"</f>
        <v>LK7033</v>
      </c>
      <c r="C10784" t="s">
        <v>48104</v>
      </c>
      <c r="D10784" t="s">
        <v>27245</v>
      </c>
      <c r="E10784" t="str">
        <f t="shared" si="168"/>
        <v>001390</v>
      </c>
      <c r="F10784" t="s">
        <v>27246</v>
      </c>
      <c r="G10784" t="s">
        <v>27247</v>
      </c>
      <c r="H10784" t="s">
        <v>27248</v>
      </c>
      <c r="I10784" t="s">
        <v>48105</v>
      </c>
      <c r="J10784" t="s">
        <v>21576</v>
      </c>
      <c r="L10784" t="s">
        <v>27250</v>
      </c>
      <c r="M10784" t="s">
        <v>27251</v>
      </c>
      <c r="N10784" t="s">
        <v>27252</v>
      </c>
      <c r="Q10784" s="1">
        <v>44538</v>
      </c>
      <c r="R10784" t="s">
        <v>27253</v>
      </c>
      <c r="S10784" t="s">
        <v>27254</v>
      </c>
      <c r="T10784" t="s">
        <v>27255</v>
      </c>
    </row>
    <row r="10785" spans="1:20" x14ac:dyDescent="0.3">
      <c r="A10785" t="str">
        <f>"0611838650100"</f>
        <v>0611838650100</v>
      </c>
      <c r="B10785" t="str">
        <f>"LB7911"</f>
        <v>LB7911</v>
      </c>
      <c r="C10785" t="s">
        <v>48106</v>
      </c>
      <c r="D10785" t="s">
        <v>27245</v>
      </c>
      <c r="E10785" t="str">
        <f t="shared" si="168"/>
        <v>001390</v>
      </c>
      <c r="F10785" t="s">
        <v>27246</v>
      </c>
      <c r="G10785" t="s">
        <v>27247</v>
      </c>
      <c r="H10785" t="s">
        <v>27248</v>
      </c>
      <c r="I10785" t="s">
        <v>48107</v>
      </c>
      <c r="J10785" t="s">
        <v>21578</v>
      </c>
      <c r="L10785" t="s">
        <v>27250</v>
      </c>
      <c r="M10785" t="s">
        <v>27251</v>
      </c>
      <c r="N10785" t="s">
        <v>27252</v>
      </c>
      <c r="Q10785" s="1">
        <v>44538</v>
      </c>
      <c r="R10785" t="s">
        <v>27253</v>
      </c>
      <c r="S10785" t="s">
        <v>27254</v>
      </c>
      <c r="T10785" t="s">
        <v>27255</v>
      </c>
    </row>
    <row r="10786" spans="1:20" x14ac:dyDescent="0.3">
      <c r="A10786" t="str">
        <f>"0611838651100"</f>
        <v>0611838651100</v>
      </c>
      <c r="B10786" t="str">
        <f>"LB7947"</f>
        <v>LB7947</v>
      </c>
      <c r="C10786" t="s">
        <v>48108</v>
      </c>
      <c r="D10786" t="s">
        <v>27245</v>
      </c>
      <c r="E10786" t="str">
        <f t="shared" si="168"/>
        <v>001390</v>
      </c>
      <c r="F10786" t="s">
        <v>27246</v>
      </c>
      <c r="G10786" t="s">
        <v>27247</v>
      </c>
      <c r="H10786" t="s">
        <v>27248</v>
      </c>
      <c r="I10786" t="s">
        <v>48109</v>
      </c>
      <c r="J10786" t="s">
        <v>21580</v>
      </c>
      <c r="L10786" t="s">
        <v>27250</v>
      </c>
      <c r="M10786" t="s">
        <v>27251</v>
      </c>
      <c r="N10786" t="s">
        <v>27252</v>
      </c>
      <c r="Q10786" s="1">
        <v>44538</v>
      </c>
      <c r="R10786" t="s">
        <v>27253</v>
      </c>
      <c r="S10786" t="s">
        <v>27254</v>
      </c>
      <c r="T10786" t="s">
        <v>27255</v>
      </c>
    </row>
    <row r="10787" spans="1:20" x14ac:dyDescent="0.3">
      <c r="A10787" t="str">
        <f>"0611838652100"</f>
        <v>0611838652100</v>
      </c>
      <c r="B10787" t="str">
        <f>"LB7948"</f>
        <v>LB7948</v>
      </c>
      <c r="C10787" t="s">
        <v>48110</v>
      </c>
      <c r="D10787" t="s">
        <v>27245</v>
      </c>
      <c r="E10787" t="str">
        <f t="shared" si="168"/>
        <v>001390</v>
      </c>
      <c r="F10787" t="s">
        <v>27246</v>
      </c>
      <c r="G10787" t="s">
        <v>27247</v>
      </c>
      <c r="H10787" t="s">
        <v>27248</v>
      </c>
      <c r="I10787" t="s">
        <v>48111</v>
      </c>
      <c r="J10787" t="s">
        <v>21582</v>
      </c>
      <c r="L10787" t="s">
        <v>27250</v>
      </c>
      <c r="M10787" t="s">
        <v>27251</v>
      </c>
      <c r="N10787" t="s">
        <v>27252</v>
      </c>
      <c r="Q10787" s="1">
        <v>44538</v>
      </c>
      <c r="R10787" t="s">
        <v>27253</v>
      </c>
      <c r="S10787" t="s">
        <v>27254</v>
      </c>
      <c r="T10787" t="s">
        <v>27255</v>
      </c>
    </row>
    <row r="10788" spans="1:20" x14ac:dyDescent="0.3">
      <c r="A10788" t="str">
        <f>"0611838653100"</f>
        <v>0611838653100</v>
      </c>
      <c r="B10788" t="str">
        <f>"LB7915"</f>
        <v>LB7915</v>
      </c>
      <c r="C10788" t="s">
        <v>48112</v>
      </c>
      <c r="D10788" t="s">
        <v>27245</v>
      </c>
      <c r="E10788" t="str">
        <f t="shared" si="168"/>
        <v>001390</v>
      </c>
      <c r="F10788" t="s">
        <v>27246</v>
      </c>
      <c r="G10788" t="s">
        <v>27247</v>
      </c>
      <c r="H10788" t="s">
        <v>27248</v>
      </c>
      <c r="I10788" t="s">
        <v>48113</v>
      </c>
      <c r="J10788" t="s">
        <v>21584</v>
      </c>
      <c r="L10788" t="s">
        <v>27250</v>
      </c>
      <c r="M10788" t="s">
        <v>27251</v>
      </c>
      <c r="N10788" t="s">
        <v>27252</v>
      </c>
      <c r="Q10788" s="1">
        <v>44538</v>
      </c>
      <c r="R10788" t="s">
        <v>27253</v>
      </c>
      <c r="S10788" t="s">
        <v>27254</v>
      </c>
      <c r="T10788" t="s">
        <v>27255</v>
      </c>
    </row>
    <row r="10789" spans="1:20" x14ac:dyDescent="0.3">
      <c r="A10789" t="str">
        <f>"0611838654100"</f>
        <v>0611838654100</v>
      </c>
      <c r="B10789" t="str">
        <f>"LB7904"</f>
        <v>LB7904</v>
      </c>
      <c r="C10789" t="s">
        <v>48114</v>
      </c>
      <c r="D10789" t="s">
        <v>27245</v>
      </c>
      <c r="E10789" t="str">
        <f t="shared" si="168"/>
        <v>001390</v>
      </c>
      <c r="F10789" t="s">
        <v>27246</v>
      </c>
      <c r="G10789" t="s">
        <v>27247</v>
      </c>
      <c r="H10789" t="s">
        <v>27248</v>
      </c>
      <c r="I10789" t="s">
        <v>48115</v>
      </c>
      <c r="J10789" t="s">
        <v>21586</v>
      </c>
      <c r="L10789" t="s">
        <v>27250</v>
      </c>
      <c r="M10789" t="s">
        <v>27251</v>
      </c>
      <c r="N10789" t="s">
        <v>27252</v>
      </c>
      <c r="Q10789" s="1">
        <v>44538</v>
      </c>
      <c r="R10789" t="s">
        <v>27253</v>
      </c>
      <c r="S10789" t="s">
        <v>27254</v>
      </c>
      <c r="T10789" t="s">
        <v>27255</v>
      </c>
    </row>
    <row r="10790" spans="1:20" x14ac:dyDescent="0.3">
      <c r="A10790" t="str">
        <f>"0611838655100"</f>
        <v>0611838655100</v>
      </c>
      <c r="B10790" t="str">
        <f>"LB7949"</f>
        <v>LB7949</v>
      </c>
      <c r="C10790" t="s">
        <v>48116</v>
      </c>
      <c r="D10790" t="s">
        <v>27245</v>
      </c>
      <c r="E10790" t="str">
        <f t="shared" si="168"/>
        <v>001390</v>
      </c>
      <c r="F10790" t="s">
        <v>27246</v>
      </c>
      <c r="G10790" t="s">
        <v>27247</v>
      </c>
      <c r="H10790" t="s">
        <v>27248</v>
      </c>
      <c r="I10790" t="s">
        <v>48117</v>
      </c>
      <c r="J10790" t="s">
        <v>21588</v>
      </c>
      <c r="L10790" t="s">
        <v>27250</v>
      </c>
      <c r="M10790" t="s">
        <v>27251</v>
      </c>
      <c r="N10790" t="s">
        <v>27252</v>
      </c>
      <c r="Q10790" s="1">
        <v>44538</v>
      </c>
      <c r="R10790" t="s">
        <v>27253</v>
      </c>
      <c r="S10790" t="s">
        <v>27254</v>
      </c>
      <c r="T10790" t="s">
        <v>27255</v>
      </c>
    </row>
    <row r="10791" spans="1:20" x14ac:dyDescent="0.3">
      <c r="A10791" t="str">
        <f>"0611838656100"</f>
        <v>0611838656100</v>
      </c>
      <c r="B10791" t="str">
        <f>"LB7950"</f>
        <v>LB7950</v>
      </c>
      <c r="C10791" t="s">
        <v>48118</v>
      </c>
      <c r="D10791" t="s">
        <v>27245</v>
      </c>
      <c r="E10791" t="str">
        <f t="shared" si="168"/>
        <v>001390</v>
      </c>
      <c r="F10791" t="s">
        <v>27246</v>
      </c>
      <c r="G10791" t="s">
        <v>27247</v>
      </c>
      <c r="H10791" t="s">
        <v>27248</v>
      </c>
      <c r="I10791" t="s">
        <v>48119</v>
      </c>
      <c r="J10791" t="s">
        <v>21590</v>
      </c>
      <c r="L10791" t="s">
        <v>27250</v>
      </c>
      <c r="M10791" t="s">
        <v>27251</v>
      </c>
      <c r="N10791" t="s">
        <v>27252</v>
      </c>
      <c r="Q10791" s="1">
        <v>44538</v>
      </c>
      <c r="R10791" t="s">
        <v>27253</v>
      </c>
      <c r="S10791" t="s">
        <v>27254</v>
      </c>
      <c r="T10791" t="s">
        <v>27255</v>
      </c>
    </row>
    <row r="10792" spans="1:20" x14ac:dyDescent="0.3">
      <c r="A10792" t="str">
        <f>"0611838657100"</f>
        <v>0611838657100</v>
      </c>
      <c r="B10792" t="str">
        <f>"LB7958"</f>
        <v>LB7958</v>
      </c>
      <c r="C10792" t="s">
        <v>48120</v>
      </c>
      <c r="D10792" t="s">
        <v>27245</v>
      </c>
      <c r="E10792" t="str">
        <f t="shared" si="168"/>
        <v>001390</v>
      </c>
      <c r="F10792" t="s">
        <v>27246</v>
      </c>
      <c r="G10792" t="s">
        <v>27247</v>
      </c>
      <c r="H10792" t="s">
        <v>27248</v>
      </c>
      <c r="I10792" t="s">
        <v>48121</v>
      </c>
      <c r="J10792" t="s">
        <v>21592</v>
      </c>
      <c r="L10792" t="s">
        <v>27250</v>
      </c>
      <c r="M10792" t="s">
        <v>27251</v>
      </c>
      <c r="N10792" t="s">
        <v>27252</v>
      </c>
      <c r="Q10792" s="1">
        <v>44538</v>
      </c>
      <c r="R10792" t="s">
        <v>27253</v>
      </c>
      <c r="S10792" t="s">
        <v>27254</v>
      </c>
      <c r="T10792" t="s">
        <v>27255</v>
      </c>
    </row>
    <row r="10793" spans="1:20" x14ac:dyDescent="0.3">
      <c r="A10793" t="str">
        <f>"0611838658100"</f>
        <v>0611838658100</v>
      </c>
      <c r="B10793" t="str">
        <f>"LB7951"</f>
        <v>LB7951</v>
      </c>
      <c r="C10793" t="s">
        <v>48122</v>
      </c>
      <c r="D10793" t="s">
        <v>27245</v>
      </c>
      <c r="E10793" t="str">
        <f t="shared" si="168"/>
        <v>001390</v>
      </c>
      <c r="F10793" t="s">
        <v>27246</v>
      </c>
      <c r="G10793" t="s">
        <v>27247</v>
      </c>
      <c r="H10793" t="s">
        <v>27248</v>
      </c>
      <c r="I10793" t="s">
        <v>48123</v>
      </c>
      <c r="J10793" t="s">
        <v>21594</v>
      </c>
      <c r="L10793" t="s">
        <v>27250</v>
      </c>
      <c r="M10793" t="s">
        <v>27251</v>
      </c>
      <c r="N10793" t="s">
        <v>27252</v>
      </c>
      <c r="Q10793" s="1">
        <v>44538</v>
      </c>
      <c r="R10793" t="s">
        <v>27253</v>
      </c>
      <c r="S10793" t="s">
        <v>27254</v>
      </c>
      <c r="T10793" t="s">
        <v>27255</v>
      </c>
    </row>
    <row r="10794" spans="1:20" x14ac:dyDescent="0.3">
      <c r="A10794" t="str">
        <f>"0611838659100"</f>
        <v>0611838659100</v>
      </c>
      <c r="B10794" t="str">
        <f>"LB7952"</f>
        <v>LB7952</v>
      </c>
      <c r="C10794" t="s">
        <v>48124</v>
      </c>
      <c r="D10794" t="s">
        <v>27245</v>
      </c>
      <c r="E10794" t="str">
        <f t="shared" si="168"/>
        <v>001390</v>
      </c>
      <c r="F10794" t="s">
        <v>27246</v>
      </c>
      <c r="G10794" t="s">
        <v>27247</v>
      </c>
      <c r="H10794" t="s">
        <v>27248</v>
      </c>
      <c r="I10794" t="s">
        <v>48125</v>
      </c>
      <c r="J10794" t="s">
        <v>21596</v>
      </c>
      <c r="L10794" t="s">
        <v>27250</v>
      </c>
      <c r="M10794" t="s">
        <v>27251</v>
      </c>
      <c r="N10794" t="s">
        <v>27252</v>
      </c>
      <c r="Q10794" s="1">
        <v>44538</v>
      </c>
      <c r="R10794" t="s">
        <v>27253</v>
      </c>
      <c r="S10794" t="s">
        <v>27254</v>
      </c>
      <c r="T10794" t="s">
        <v>27255</v>
      </c>
    </row>
    <row r="10795" spans="1:20" x14ac:dyDescent="0.3">
      <c r="A10795" t="str">
        <f>"0611838666100"</f>
        <v>0611838666100</v>
      </c>
      <c r="B10795" t="str">
        <f>"LK0929"</f>
        <v>LK0929</v>
      </c>
      <c r="C10795" t="s">
        <v>48126</v>
      </c>
      <c r="D10795" t="s">
        <v>27245</v>
      </c>
      <c r="E10795" t="str">
        <f t="shared" si="168"/>
        <v>001390</v>
      </c>
      <c r="F10795" t="s">
        <v>27246</v>
      </c>
      <c r="G10795" t="s">
        <v>27247</v>
      </c>
      <c r="H10795" t="s">
        <v>27248</v>
      </c>
      <c r="I10795" t="s">
        <v>48127</v>
      </c>
      <c r="J10795" t="s">
        <v>21598</v>
      </c>
      <c r="L10795" t="s">
        <v>27250</v>
      </c>
      <c r="M10795" t="s">
        <v>27251</v>
      </c>
      <c r="N10795" t="s">
        <v>27252</v>
      </c>
      <c r="Q10795" s="1">
        <v>44538</v>
      </c>
      <c r="R10795" t="s">
        <v>27253</v>
      </c>
      <c r="S10795" t="s">
        <v>27254</v>
      </c>
      <c r="T10795" t="s">
        <v>27255</v>
      </c>
    </row>
    <row r="10796" spans="1:20" x14ac:dyDescent="0.3">
      <c r="A10796" t="str">
        <f>"0611838667100"</f>
        <v>0611838667100</v>
      </c>
      <c r="B10796" t="str">
        <f>"LK0930"</f>
        <v>LK0930</v>
      </c>
      <c r="C10796" t="s">
        <v>48128</v>
      </c>
      <c r="D10796" t="s">
        <v>27245</v>
      </c>
      <c r="E10796" t="str">
        <f t="shared" si="168"/>
        <v>001390</v>
      </c>
      <c r="F10796" t="s">
        <v>27246</v>
      </c>
      <c r="G10796" t="s">
        <v>27247</v>
      </c>
      <c r="H10796" t="s">
        <v>27248</v>
      </c>
      <c r="I10796" t="s">
        <v>48129</v>
      </c>
      <c r="J10796" t="s">
        <v>21600</v>
      </c>
      <c r="L10796" t="s">
        <v>27250</v>
      </c>
      <c r="M10796" t="s">
        <v>27251</v>
      </c>
      <c r="N10796" t="s">
        <v>27252</v>
      </c>
      <c r="Q10796" s="1">
        <v>44538</v>
      </c>
      <c r="R10796" t="s">
        <v>27253</v>
      </c>
      <c r="S10796" t="s">
        <v>27254</v>
      </c>
      <c r="T10796" t="s">
        <v>27255</v>
      </c>
    </row>
    <row r="10797" spans="1:20" x14ac:dyDescent="0.3">
      <c r="A10797" t="str">
        <f>"0611838668100"</f>
        <v>0611838668100</v>
      </c>
      <c r="B10797" t="str">
        <f>"LK0932"</f>
        <v>LK0932</v>
      </c>
      <c r="C10797" t="s">
        <v>48130</v>
      </c>
      <c r="D10797" t="s">
        <v>27245</v>
      </c>
      <c r="E10797" t="str">
        <f t="shared" si="168"/>
        <v>001390</v>
      </c>
      <c r="F10797" t="s">
        <v>27246</v>
      </c>
      <c r="G10797" t="s">
        <v>27247</v>
      </c>
      <c r="H10797" t="s">
        <v>27248</v>
      </c>
      <c r="I10797" t="s">
        <v>48131</v>
      </c>
      <c r="J10797" t="s">
        <v>21602</v>
      </c>
      <c r="L10797" t="s">
        <v>27250</v>
      </c>
      <c r="M10797" t="s">
        <v>27251</v>
      </c>
      <c r="N10797" t="s">
        <v>27252</v>
      </c>
      <c r="Q10797" s="1">
        <v>44538</v>
      </c>
      <c r="R10797" t="s">
        <v>27253</v>
      </c>
      <c r="S10797" t="s">
        <v>27254</v>
      </c>
      <c r="T10797" t="s">
        <v>27255</v>
      </c>
    </row>
    <row r="10798" spans="1:20" x14ac:dyDescent="0.3">
      <c r="A10798" t="str">
        <f>"0611838669100"</f>
        <v>0611838669100</v>
      </c>
      <c r="B10798" t="str">
        <f>"LK0934"</f>
        <v>LK0934</v>
      </c>
      <c r="C10798" t="s">
        <v>48132</v>
      </c>
      <c r="D10798" t="s">
        <v>27245</v>
      </c>
      <c r="E10798" t="str">
        <f t="shared" si="168"/>
        <v>001390</v>
      </c>
      <c r="F10798" t="s">
        <v>27246</v>
      </c>
      <c r="G10798" t="s">
        <v>27247</v>
      </c>
      <c r="H10798" t="s">
        <v>27248</v>
      </c>
      <c r="I10798" t="s">
        <v>48133</v>
      </c>
      <c r="J10798" t="s">
        <v>21604</v>
      </c>
      <c r="L10798" t="s">
        <v>27250</v>
      </c>
      <c r="M10798" t="s">
        <v>27251</v>
      </c>
      <c r="N10798" t="s">
        <v>27252</v>
      </c>
      <c r="Q10798" s="1">
        <v>44538</v>
      </c>
      <c r="R10798" t="s">
        <v>27253</v>
      </c>
      <c r="S10798" t="s">
        <v>27254</v>
      </c>
      <c r="T10798" t="s">
        <v>27255</v>
      </c>
    </row>
    <row r="10799" spans="1:20" x14ac:dyDescent="0.3">
      <c r="A10799" t="str">
        <f>"0611838671100"</f>
        <v>0611838671100</v>
      </c>
      <c r="B10799" t="str">
        <f>"LK1991"</f>
        <v>LK1991</v>
      </c>
      <c r="C10799" t="s">
        <v>48134</v>
      </c>
      <c r="D10799" t="s">
        <v>27245</v>
      </c>
      <c r="E10799" t="str">
        <f t="shared" si="168"/>
        <v>001390</v>
      </c>
      <c r="F10799" t="s">
        <v>27246</v>
      </c>
      <c r="G10799" t="s">
        <v>27247</v>
      </c>
      <c r="H10799" t="s">
        <v>27248</v>
      </c>
      <c r="I10799" t="s">
        <v>48135</v>
      </c>
      <c r="J10799" t="s">
        <v>21606</v>
      </c>
      <c r="L10799" t="s">
        <v>27250</v>
      </c>
      <c r="M10799" t="s">
        <v>27251</v>
      </c>
      <c r="N10799" t="s">
        <v>27252</v>
      </c>
      <c r="Q10799" s="1">
        <v>44538</v>
      </c>
      <c r="R10799" t="s">
        <v>27253</v>
      </c>
      <c r="S10799" t="s">
        <v>27254</v>
      </c>
      <c r="T10799" t="s">
        <v>27255</v>
      </c>
    </row>
    <row r="10800" spans="1:20" x14ac:dyDescent="0.3">
      <c r="A10800" t="str">
        <f>"0611838675100"</f>
        <v>0611838675100</v>
      </c>
      <c r="B10800" t="str">
        <f>"LK4019"</f>
        <v>LK4019</v>
      </c>
      <c r="C10800" t="s">
        <v>48136</v>
      </c>
      <c r="D10800" t="s">
        <v>27245</v>
      </c>
      <c r="E10800" t="str">
        <f t="shared" si="168"/>
        <v>001390</v>
      </c>
      <c r="F10800" t="s">
        <v>27246</v>
      </c>
      <c r="G10800" t="s">
        <v>27247</v>
      </c>
      <c r="H10800" t="s">
        <v>27248</v>
      </c>
      <c r="I10800" t="s">
        <v>48137</v>
      </c>
      <c r="J10800" t="s">
        <v>21608</v>
      </c>
      <c r="L10800" t="s">
        <v>27250</v>
      </c>
      <c r="M10800" t="s">
        <v>27251</v>
      </c>
      <c r="N10800" t="s">
        <v>27252</v>
      </c>
      <c r="Q10800" s="1">
        <v>44538</v>
      </c>
      <c r="R10800" t="s">
        <v>27253</v>
      </c>
      <c r="S10800" t="s">
        <v>27254</v>
      </c>
      <c r="T10800" t="s">
        <v>27255</v>
      </c>
    </row>
    <row r="10801" spans="1:20" x14ac:dyDescent="0.3">
      <c r="A10801" t="str">
        <f>"0611863890100"</f>
        <v>0611863890100</v>
      </c>
      <c r="B10801" t="str">
        <f>"CN2240"</f>
        <v>CN2240</v>
      </c>
      <c r="C10801" t="s">
        <v>48138</v>
      </c>
      <c r="D10801" t="s">
        <v>27335</v>
      </c>
      <c r="E10801" t="str">
        <f t="shared" si="168"/>
        <v>001390</v>
      </c>
      <c r="F10801" t="s">
        <v>27246</v>
      </c>
      <c r="G10801" t="s">
        <v>27247</v>
      </c>
      <c r="H10801" t="s">
        <v>27248</v>
      </c>
      <c r="I10801" t="s">
        <v>48139</v>
      </c>
      <c r="J10801" t="s">
        <v>21610</v>
      </c>
      <c r="L10801" t="s">
        <v>27250</v>
      </c>
      <c r="M10801" t="s">
        <v>27251</v>
      </c>
      <c r="N10801" t="s">
        <v>27252</v>
      </c>
      <c r="Q10801" s="1">
        <v>44846</v>
      </c>
      <c r="R10801" t="s">
        <v>27253</v>
      </c>
      <c r="S10801" t="s">
        <v>27254</v>
      </c>
      <c r="T10801" t="s">
        <v>27255</v>
      </c>
    </row>
    <row r="10802" spans="1:20" x14ac:dyDescent="0.3">
      <c r="A10802" t="str">
        <f>"0611838677100"</f>
        <v>0611838677100</v>
      </c>
      <c r="B10802" t="str">
        <f>"LK4613"</f>
        <v>LK4613</v>
      </c>
      <c r="C10802" t="s">
        <v>48140</v>
      </c>
      <c r="D10802" t="s">
        <v>27245</v>
      </c>
      <c r="E10802" t="str">
        <f t="shared" si="168"/>
        <v>001390</v>
      </c>
      <c r="F10802" t="s">
        <v>27246</v>
      </c>
      <c r="G10802" t="s">
        <v>27247</v>
      </c>
      <c r="H10802" t="s">
        <v>27248</v>
      </c>
      <c r="I10802" t="s">
        <v>48141</v>
      </c>
      <c r="J10802" t="s">
        <v>21612</v>
      </c>
      <c r="L10802" t="s">
        <v>27250</v>
      </c>
      <c r="M10802" t="s">
        <v>27251</v>
      </c>
      <c r="N10802" t="s">
        <v>27252</v>
      </c>
      <c r="Q10802" s="1">
        <v>44538</v>
      </c>
      <c r="R10802" t="s">
        <v>27253</v>
      </c>
      <c r="S10802" t="s">
        <v>27254</v>
      </c>
      <c r="T10802" t="s">
        <v>27255</v>
      </c>
    </row>
    <row r="10803" spans="1:20" x14ac:dyDescent="0.3">
      <c r="A10803" t="str">
        <f>"0611838678100"</f>
        <v>0611838678100</v>
      </c>
      <c r="B10803" t="str">
        <f>"LB7932"</f>
        <v>LB7932</v>
      </c>
      <c r="C10803" t="s">
        <v>48142</v>
      </c>
      <c r="D10803" t="s">
        <v>27245</v>
      </c>
      <c r="E10803" t="str">
        <f t="shared" si="168"/>
        <v>001390</v>
      </c>
      <c r="F10803" t="s">
        <v>27246</v>
      </c>
      <c r="G10803" t="s">
        <v>27247</v>
      </c>
      <c r="H10803" t="s">
        <v>27248</v>
      </c>
      <c r="I10803" t="s">
        <v>48143</v>
      </c>
      <c r="J10803" t="s">
        <v>21614</v>
      </c>
      <c r="L10803" t="s">
        <v>27250</v>
      </c>
      <c r="M10803" t="s">
        <v>27251</v>
      </c>
      <c r="N10803" t="s">
        <v>27252</v>
      </c>
      <c r="Q10803" s="1">
        <v>44538</v>
      </c>
      <c r="R10803" t="s">
        <v>27253</v>
      </c>
      <c r="S10803" t="s">
        <v>27254</v>
      </c>
      <c r="T10803" t="s">
        <v>27255</v>
      </c>
    </row>
    <row r="10804" spans="1:20" x14ac:dyDescent="0.3">
      <c r="A10804" t="str">
        <f>"0611838679100"</f>
        <v>0611838679100</v>
      </c>
      <c r="B10804" t="str">
        <f>"LB7912"</f>
        <v>LB7912</v>
      </c>
      <c r="C10804" t="s">
        <v>48144</v>
      </c>
      <c r="D10804" t="s">
        <v>27245</v>
      </c>
      <c r="E10804" t="str">
        <f t="shared" si="168"/>
        <v>001390</v>
      </c>
      <c r="F10804" t="s">
        <v>27246</v>
      </c>
      <c r="G10804" t="s">
        <v>27247</v>
      </c>
      <c r="H10804" t="s">
        <v>27248</v>
      </c>
      <c r="I10804" t="s">
        <v>48145</v>
      </c>
      <c r="J10804" t="s">
        <v>21616</v>
      </c>
      <c r="L10804" t="s">
        <v>27250</v>
      </c>
      <c r="M10804" t="s">
        <v>27251</v>
      </c>
      <c r="N10804" t="s">
        <v>27252</v>
      </c>
      <c r="Q10804" s="1">
        <v>44538</v>
      </c>
      <c r="R10804" t="s">
        <v>27253</v>
      </c>
      <c r="S10804" t="s">
        <v>27254</v>
      </c>
      <c r="T10804" t="s">
        <v>27255</v>
      </c>
    </row>
    <row r="10805" spans="1:20" x14ac:dyDescent="0.3">
      <c r="A10805" t="str">
        <f>"0611838680100"</f>
        <v>0611838680100</v>
      </c>
      <c r="B10805" t="str">
        <f>"LB7922"</f>
        <v>LB7922</v>
      </c>
      <c r="C10805" t="s">
        <v>48146</v>
      </c>
      <c r="D10805" t="s">
        <v>27245</v>
      </c>
      <c r="E10805" t="str">
        <f t="shared" si="168"/>
        <v>001390</v>
      </c>
      <c r="F10805" t="s">
        <v>27246</v>
      </c>
      <c r="G10805" t="s">
        <v>27247</v>
      </c>
      <c r="H10805" t="s">
        <v>27248</v>
      </c>
      <c r="I10805" t="s">
        <v>48147</v>
      </c>
      <c r="J10805" t="s">
        <v>21618</v>
      </c>
      <c r="L10805" t="s">
        <v>27250</v>
      </c>
      <c r="M10805" t="s">
        <v>27251</v>
      </c>
      <c r="N10805" t="s">
        <v>27252</v>
      </c>
      <c r="Q10805" s="1">
        <v>44538</v>
      </c>
      <c r="R10805" t="s">
        <v>27253</v>
      </c>
      <c r="S10805" t="s">
        <v>27254</v>
      </c>
      <c r="T10805" t="s">
        <v>27255</v>
      </c>
    </row>
    <row r="10806" spans="1:20" x14ac:dyDescent="0.3">
      <c r="A10806" t="str">
        <f>"0611838681025"</f>
        <v>0611838681025</v>
      </c>
      <c r="B10806" t="str">
        <f>"MC0636"</f>
        <v>MC0636</v>
      </c>
      <c r="C10806" t="s">
        <v>48148</v>
      </c>
      <c r="D10806" t="s">
        <v>27267</v>
      </c>
      <c r="E10806" t="str">
        <f t="shared" si="168"/>
        <v>001390</v>
      </c>
      <c r="F10806" t="s">
        <v>27246</v>
      </c>
      <c r="G10806" t="s">
        <v>27247</v>
      </c>
      <c r="H10806" t="s">
        <v>27248</v>
      </c>
      <c r="I10806" t="s">
        <v>48149</v>
      </c>
      <c r="J10806" t="s">
        <v>21620</v>
      </c>
      <c r="L10806" t="s">
        <v>27250</v>
      </c>
      <c r="M10806" t="s">
        <v>27251</v>
      </c>
      <c r="N10806" t="s">
        <v>27252</v>
      </c>
      <c r="Q10806" s="1">
        <v>44538</v>
      </c>
      <c r="R10806" t="s">
        <v>27253</v>
      </c>
      <c r="S10806" t="s">
        <v>27254</v>
      </c>
      <c r="T10806" t="s">
        <v>27269</v>
      </c>
    </row>
    <row r="10807" spans="1:20" x14ac:dyDescent="0.3">
      <c r="A10807" t="str">
        <f>"0611838682100"</f>
        <v>0611838682100</v>
      </c>
      <c r="B10807" t="str">
        <f>"LH6847"</f>
        <v>LH6847</v>
      </c>
      <c r="C10807" t="s">
        <v>48150</v>
      </c>
      <c r="D10807" t="s">
        <v>27245</v>
      </c>
      <c r="E10807" t="str">
        <f t="shared" si="168"/>
        <v>001390</v>
      </c>
      <c r="F10807" t="s">
        <v>27246</v>
      </c>
      <c r="G10807" t="s">
        <v>27247</v>
      </c>
      <c r="H10807" t="s">
        <v>27248</v>
      </c>
      <c r="I10807" t="s">
        <v>48151</v>
      </c>
      <c r="J10807" t="s">
        <v>21622</v>
      </c>
      <c r="L10807" t="s">
        <v>27250</v>
      </c>
      <c r="M10807" t="s">
        <v>27251</v>
      </c>
      <c r="N10807" t="s">
        <v>27252</v>
      </c>
      <c r="Q10807" s="1">
        <v>44538</v>
      </c>
      <c r="R10807" t="s">
        <v>27253</v>
      </c>
      <c r="S10807" t="s">
        <v>27254</v>
      </c>
      <c r="T10807" t="s">
        <v>27255</v>
      </c>
    </row>
    <row r="10808" spans="1:20" x14ac:dyDescent="0.3">
      <c r="A10808" t="str">
        <f>"0611838683100"</f>
        <v>0611838683100</v>
      </c>
      <c r="B10808" t="str">
        <f>"LC5360"</f>
        <v>LC5360</v>
      </c>
      <c r="C10808" t="s">
        <v>48152</v>
      </c>
      <c r="D10808" t="s">
        <v>27245</v>
      </c>
      <c r="E10808" t="str">
        <f t="shared" si="168"/>
        <v>001390</v>
      </c>
      <c r="F10808" t="s">
        <v>27246</v>
      </c>
      <c r="G10808" t="s">
        <v>27247</v>
      </c>
      <c r="H10808" t="s">
        <v>27248</v>
      </c>
      <c r="I10808" t="s">
        <v>48153</v>
      </c>
      <c r="J10808" t="s">
        <v>11357</v>
      </c>
      <c r="L10808" t="s">
        <v>27250</v>
      </c>
      <c r="M10808" t="s">
        <v>27251</v>
      </c>
      <c r="N10808" t="s">
        <v>27252</v>
      </c>
      <c r="Q10808" s="1">
        <v>44538</v>
      </c>
      <c r="R10808" t="s">
        <v>27253</v>
      </c>
      <c r="S10808" t="s">
        <v>27254</v>
      </c>
      <c r="T10808" t="s">
        <v>27255</v>
      </c>
    </row>
    <row r="10809" spans="1:20" x14ac:dyDescent="0.3">
      <c r="A10809" t="str">
        <f>"0611884410100"</f>
        <v>0611884410100</v>
      </c>
      <c r="B10809" t="str">
        <f>"LG8051"</f>
        <v>LG8051</v>
      </c>
      <c r="C10809" t="s">
        <v>48154</v>
      </c>
      <c r="D10809" t="s">
        <v>27245</v>
      </c>
      <c r="E10809" t="str">
        <f t="shared" si="168"/>
        <v>001390</v>
      </c>
      <c r="F10809" t="s">
        <v>27246</v>
      </c>
      <c r="G10809" t="s">
        <v>27247</v>
      </c>
      <c r="H10809" t="s">
        <v>27248</v>
      </c>
      <c r="I10809" t="s">
        <v>48155</v>
      </c>
      <c r="J10809" t="s">
        <v>21632</v>
      </c>
      <c r="L10809" t="s">
        <v>27430</v>
      </c>
      <c r="M10809" t="s">
        <v>27251</v>
      </c>
      <c r="N10809" t="s">
        <v>27252</v>
      </c>
      <c r="Q10809" s="1">
        <v>45250</v>
      </c>
      <c r="R10809" t="s">
        <v>27253</v>
      </c>
      <c r="S10809" t="s">
        <v>27254</v>
      </c>
      <c r="T10809" t="s">
        <v>27255</v>
      </c>
    </row>
    <row r="10810" spans="1:20" x14ac:dyDescent="0.3">
      <c r="A10810" t="str">
        <f>"0611838695100"</f>
        <v>0611838695100</v>
      </c>
      <c r="B10810" t="str">
        <f>"LG8023"</f>
        <v>LG8023</v>
      </c>
      <c r="C10810" t="s">
        <v>48156</v>
      </c>
      <c r="D10810" t="s">
        <v>27245</v>
      </c>
      <c r="E10810" t="str">
        <f t="shared" si="168"/>
        <v>001390</v>
      </c>
      <c r="F10810" t="s">
        <v>27246</v>
      </c>
      <c r="G10810" t="s">
        <v>27247</v>
      </c>
      <c r="H10810" t="s">
        <v>27248</v>
      </c>
      <c r="I10810" t="s">
        <v>48157</v>
      </c>
      <c r="J10810" t="s">
        <v>21634</v>
      </c>
      <c r="L10810" t="s">
        <v>27250</v>
      </c>
      <c r="M10810" t="s">
        <v>27251</v>
      </c>
      <c r="N10810" t="s">
        <v>27252</v>
      </c>
      <c r="Q10810" s="1">
        <v>44538</v>
      </c>
      <c r="R10810" t="s">
        <v>27253</v>
      </c>
      <c r="S10810" t="s">
        <v>27254</v>
      </c>
      <c r="T10810" t="s">
        <v>27255</v>
      </c>
    </row>
    <row r="10811" spans="1:20" x14ac:dyDescent="0.3">
      <c r="A10811" t="str">
        <f>"0611857093100"</f>
        <v>0611857093100</v>
      </c>
      <c r="B10811" t="str">
        <f>"LG8050"</f>
        <v>LG8050</v>
      </c>
      <c r="C10811" t="s">
        <v>48158</v>
      </c>
      <c r="D10811" t="s">
        <v>27245</v>
      </c>
      <c r="E10811" t="str">
        <f t="shared" si="168"/>
        <v>001390</v>
      </c>
      <c r="F10811" t="s">
        <v>27246</v>
      </c>
      <c r="G10811" t="s">
        <v>27247</v>
      </c>
      <c r="H10811" t="s">
        <v>27248</v>
      </c>
      <c r="I10811" t="s">
        <v>48159</v>
      </c>
      <c r="J10811" t="s">
        <v>21636</v>
      </c>
      <c r="L10811" t="s">
        <v>27250</v>
      </c>
      <c r="M10811" t="s">
        <v>27251</v>
      </c>
      <c r="N10811" t="s">
        <v>27252</v>
      </c>
      <c r="Q10811" s="1">
        <v>44812</v>
      </c>
      <c r="R10811" t="s">
        <v>27253</v>
      </c>
      <c r="S10811" t="s">
        <v>27254</v>
      </c>
      <c r="T10811" t="s">
        <v>27255</v>
      </c>
    </row>
    <row r="10812" spans="1:20" x14ac:dyDescent="0.3">
      <c r="A10812" t="str">
        <f>"0611838696100"</f>
        <v>0611838696100</v>
      </c>
      <c r="B10812" t="str">
        <f>"LB7986"</f>
        <v>LB7986</v>
      </c>
      <c r="C10812" t="s">
        <v>48160</v>
      </c>
      <c r="D10812" t="s">
        <v>27245</v>
      </c>
      <c r="E10812" t="str">
        <f t="shared" si="168"/>
        <v>001390</v>
      </c>
      <c r="F10812" t="s">
        <v>27246</v>
      </c>
      <c r="G10812" t="s">
        <v>27247</v>
      </c>
      <c r="H10812" t="s">
        <v>27248</v>
      </c>
      <c r="I10812" t="s">
        <v>48161</v>
      </c>
      <c r="J10812" t="s">
        <v>21638</v>
      </c>
      <c r="L10812" t="s">
        <v>27250</v>
      </c>
      <c r="M10812" t="s">
        <v>27251</v>
      </c>
      <c r="N10812" t="s">
        <v>27252</v>
      </c>
      <c r="Q10812" s="1">
        <v>44538</v>
      </c>
      <c r="R10812" t="s">
        <v>27253</v>
      </c>
      <c r="S10812" t="s">
        <v>27254</v>
      </c>
      <c r="T10812" t="s">
        <v>27255</v>
      </c>
    </row>
    <row r="10813" spans="1:20" x14ac:dyDescent="0.3">
      <c r="A10813" t="str">
        <f>"0611838697100"</f>
        <v>0611838697100</v>
      </c>
      <c r="B10813" t="str">
        <f>"LB7987"</f>
        <v>LB7987</v>
      </c>
      <c r="C10813" t="s">
        <v>48162</v>
      </c>
      <c r="D10813" t="s">
        <v>27245</v>
      </c>
      <c r="E10813" t="str">
        <f t="shared" si="168"/>
        <v>001390</v>
      </c>
      <c r="F10813" t="s">
        <v>27246</v>
      </c>
      <c r="G10813" t="s">
        <v>27247</v>
      </c>
      <c r="H10813" t="s">
        <v>27248</v>
      </c>
      <c r="I10813" t="s">
        <v>48163</v>
      </c>
      <c r="J10813" t="s">
        <v>21640</v>
      </c>
      <c r="L10813" t="s">
        <v>27250</v>
      </c>
      <c r="M10813" t="s">
        <v>27251</v>
      </c>
      <c r="N10813" t="s">
        <v>27252</v>
      </c>
      <c r="Q10813" s="1">
        <v>44538</v>
      </c>
      <c r="R10813" t="s">
        <v>27253</v>
      </c>
      <c r="S10813" t="s">
        <v>27254</v>
      </c>
      <c r="T10813" t="s">
        <v>27255</v>
      </c>
    </row>
    <row r="10814" spans="1:20" x14ac:dyDescent="0.3">
      <c r="A10814" t="str">
        <f>"0611838698100"</f>
        <v>0611838698100</v>
      </c>
      <c r="B10814" t="str">
        <f>"LK0936"</f>
        <v>LK0936</v>
      </c>
      <c r="C10814" t="s">
        <v>48164</v>
      </c>
      <c r="D10814" t="s">
        <v>27245</v>
      </c>
      <c r="E10814" t="str">
        <f t="shared" si="168"/>
        <v>001390</v>
      </c>
      <c r="F10814" t="s">
        <v>27246</v>
      </c>
      <c r="G10814" t="s">
        <v>27247</v>
      </c>
      <c r="H10814" t="s">
        <v>27248</v>
      </c>
      <c r="I10814" t="s">
        <v>48165</v>
      </c>
      <c r="J10814" t="s">
        <v>21642</v>
      </c>
      <c r="L10814" t="s">
        <v>27250</v>
      </c>
      <c r="M10814" t="s">
        <v>27251</v>
      </c>
      <c r="N10814" t="s">
        <v>27252</v>
      </c>
      <c r="Q10814" s="1">
        <v>44538</v>
      </c>
      <c r="R10814" t="s">
        <v>27253</v>
      </c>
      <c r="S10814" t="s">
        <v>27254</v>
      </c>
      <c r="T10814" t="s">
        <v>27255</v>
      </c>
    </row>
    <row r="10815" spans="1:20" x14ac:dyDescent="0.3">
      <c r="A10815" t="str">
        <f>"0611838699100"</f>
        <v>0611838699100</v>
      </c>
      <c r="B10815" t="str">
        <f>"LB7982"</f>
        <v>LB7982</v>
      </c>
      <c r="C10815" t="s">
        <v>48166</v>
      </c>
      <c r="D10815" t="s">
        <v>27245</v>
      </c>
      <c r="E10815" t="str">
        <f t="shared" si="168"/>
        <v>001390</v>
      </c>
      <c r="F10815" t="s">
        <v>27246</v>
      </c>
      <c r="G10815" t="s">
        <v>27247</v>
      </c>
      <c r="H10815" t="s">
        <v>27248</v>
      </c>
      <c r="I10815" t="s">
        <v>48167</v>
      </c>
      <c r="J10815" t="s">
        <v>21644</v>
      </c>
      <c r="L10815" t="s">
        <v>27250</v>
      </c>
      <c r="M10815" t="s">
        <v>27251</v>
      </c>
      <c r="N10815" t="s">
        <v>27252</v>
      </c>
      <c r="Q10815" s="1">
        <v>44538</v>
      </c>
      <c r="R10815" t="s">
        <v>27253</v>
      </c>
      <c r="S10815" t="s">
        <v>27254</v>
      </c>
      <c r="T10815" t="s">
        <v>27255</v>
      </c>
    </row>
    <row r="10816" spans="1:20" x14ac:dyDescent="0.3">
      <c r="A10816" t="str">
        <f>"0611838700100"</f>
        <v>0611838700100</v>
      </c>
      <c r="B10816" t="str">
        <f>"LH6867"</f>
        <v>LH6867</v>
      </c>
      <c r="C10816" t="s">
        <v>48168</v>
      </c>
      <c r="D10816" t="s">
        <v>27245</v>
      </c>
      <c r="E10816" t="str">
        <f t="shared" si="168"/>
        <v>001390</v>
      </c>
      <c r="F10816" t="s">
        <v>27246</v>
      </c>
      <c r="G10816" t="s">
        <v>27247</v>
      </c>
      <c r="H10816" t="s">
        <v>27248</v>
      </c>
      <c r="I10816" t="s">
        <v>48169</v>
      </c>
      <c r="J10816" t="s">
        <v>21646</v>
      </c>
      <c r="L10816" t="s">
        <v>27250</v>
      </c>
      <c r="M10816" t="s">
        <v>27251</v>
      </c>
      <c r="N10816" t="s">
        <v>27252</v>
      </c>
      <c r="Q10816" s="1">
        <v>44538</v>
      </c>
      <c r="R10816" t="s">
        <v>27253</v>
      </c>
      <c r="S10816" t="s">
        <v>27254</v>
      </c>
      <c r="T10816" t="s">
        <v>27255</v>
      </c>
    </row>
    <row r="10817" spans="1:20" x14ac:dyDescent="0.3">
      <c r="A10817" t="str">
        <f>"0611838701100"</f>
        <v>0611838701100</v>
      </c>
      <c r="B10817" t="str">
        <f>"LB8005"</f>
        <v>LB8005</v>
      </c>
      <c r="C10817" t="s">
        <v>48170</v>
      </c>
      <c r="D10817" t="s">
        <v>27245</v>
      </c>
      <c r="E10817" t="str">
        <f t="shared" si="168"/>
        <v>001390</v>
      </c>
      <c r="F10817" t="s">
        <v>27246</v>
      </c>
      <c r="G10817" t="s">
        <v>27247</v>
      </c>
      <c r="H10817" t="s">
        <v>27248</v>
      </c>
      <c r="I10817" t="s">
        <v>48171</v>
      </c>
      <c r="J10817" t="s">
        <v>21648</v>
      </c>
      <c r="L10817" t="s">
        <v>27250</v>
      </c>
      <c r="M10817" t="s">
        <v>27251</v>
      </c>
      <c r="N10817" t="s">
        <v>27252</v>
      </c>
      <c r="Q10817" s="1">
        <v>44538</v>
      </c>
      <c r="R10817" t="s">
        <v>27253</v>
      </c>
      <c r="S10817" t="s">
        <v>27254</v>
      </c>
      <c r="T10817" t="s">
        <v>27255</v>
      </c>
    </row>
    <row r="10818" spans="1:20" x14ac:dyDescent="0.3">
      <c r="A10818" t="str">
        <f>"0611838702100"</f>
        <v>0611838702100</v>
      </c>
      <c r="B10818" t="str">
        <f>"LB8007"</f>
        <v>LB8007</v>
      </c>
      <c r="C10818" t="s">
        <v>48172</v>
      </c>
      <c r="D10818" t="s">
        <v>27245</v>
      </c>
      <c r="E10818" t="str">
        <f t="shared" ref="E10818:E10881" si="169">"001390"</f>
        <v>001390</v>
      </c>
      <c r="F10818" t="s">
        <v>27246</v>
      </c>
      <c r="G10818" t="s">
        <v>27247</v>
      </c>
      <c r="H10818" t="s">
        <v>27248</v>
      </c>
      <c r="I10818" t="s">
        <v>48173</v>
      </c>
      <c r="J10818" t="s">
        <v>21650</v>
      </c>
      <c r="L10818" t="s">
        <v>27250</v>
      </c>
      <c r="M10818" t="s">
        <v>27251</v>
      </c>
      <c r="N10818" t="s">
        <v>27252</v>
      </c>
      <c r="Q10818" s="1">
        <v>44538</v>
      </c>
      <c r="R10818" t="s">
        <v>27253</v>
      </c>
      <c r="S10818" t="s">
        <v>27254</v>
      </c>
      <c r="T10818" t="s">
        <v>27255</v>
      </c>
    </row>
    <row r="10819" spans="1:20" x14ac:dyDescent="0.3">
      <c r="A10819" t="str">
        <f>"0611838703100"</f>
        <v>0611838703100</v>
      </c>
      <c r="B10819" t="str">
        <f>"LG8015"</f>
        <v>LG8015</v>
      </c>
      <c r="C10819" t="s">
        <v>48174</v>
      </c>
      <c r="D10819" t="s">
        <v>27245</v>
      </c>
      <c r="E10819" t="str">
        <f t="shared" si="169"/>
        <v>001390</v>
      </c>
      <c r="F10819" t="s">
        <v>27246</v>
      </c>
      <c r="G10819" t="s">
        <v>27247</v>
      </c>
      <c r="H10819" t="s">
        <v>27248</v>
      </c>
      <c r="I10819" t="s">
        <v>48175</v>
      </c>
      <c r="J10819" t="s">
        <v>21652</v>
      </c>
      <c r="L10819" t="s">
        <v>27250</v>
      </c>
      <c r="M10819" t="s">
        <v>27251</v>
      </c>
      <c r="N10819" t="s">
        <v>27252</v>
      </c>
      <c r="Q10819" s="1">
        <v>44538</v>
      </c>
      <c r="R10819" t="s">
        <v>27253</v>
      </c>
      <c r="S10819" t="s">
        <v>27254</v>
      </c>
      <c r="T10819" t="s">
        <v>27255</v>
      </c>
    </row>
    <row r="10820" spans="1:20" x14ac:dyDescent="0.3">
      <c r="A10820" t="str">
        <f>"0611838704100"</f>
        <v>0611838704100</v>
      </c>
      <c r="B10820" t="str">
        <f>"LB7993"</f>
        <v>LB7993</v>
      </c>
      <c r="C10820" t="s">
        <v>48176</v>
      </c>
      <c r="D10820" t="s">
        <v>27245</v>
      </c>
      <c r="E10820" t="str">
        <f t="shared" si="169"/>
        <v>001390</v>
      </c>
      <c r="F10820" t="s">
        <v>27246</v>
      </c>
      <c r="G10820" t="s">
        <v>27247</v>
      </c>
      <c r="H10820" t="s">
        <v>27248</v>
      </c>
      <c r="I10820" t="s">
        <v>48177</v>
      </c>
      <c r="J10820" t="s">
        <v>21654</v>
      </c>
      <c r="L10820" t="s">
        <v>27250</v>
      </c>
      <c r="M10820" t="s">
        <v>27251</v>
      </c>
      <c r="N10820" t="s">
        <v>27252</v>
      </c>
      <c r="Q10820" s="1">
        <v>44538</v>
      </c>
      <c r="R10820" t="s">
        <v>27253</v>
      </c>
      <c r="S10820" t="s">
        <v>27254</v>
      </c>
      <c r="T10820" t="s">
        <v>27255</v>
      </c>
    </row>
    <row r="10821" spans="1:20" x14ac:dyDescent="0.3">
      <c r="A10821" t="str">
        <f>"0611884411100"</f>
        <v>0611884411100</v>
      </c>
      <c r="B10821" t="str">
        <f>"LG8052"</f>
        <v>LG8052</v>
      </c>
      <c r="C10821" t="s">
        <v>48178</v>
      </c>
      <c r="D10821" t="s">
        <v>27245</v>
      </c>
      <c r="E10821" t="str">
        <f t="shared" si="169"/>
        <v>001390</v>
      </c>
      <c r="F10821" t="s">
        <v>27246</v>
      </c>
      <c r="G10821" t="s">
        <v>27247</v>
      </c>
      <c r="H10821" t="s">
        <v>27248</v>
      </c>
      <c r="I10821" t="s">
        <v>48179</v>
      </c>
      <c r="J10821" t="s">
        <v>21656</v>
      </c>
      <c r="L10821" t="s">
        <v>27430</v>
      </c>
      <c r="M10821" t="s">
        <v>27251</v>
      </c>
      <c r="N10821" t="s">
        <v>27252</v>
      </c>
      <c r="Q10821" s="1">
        <v>45250</v>
      </c>
      <c r="R10821" t="s">
        <v>27253</v>
      </c>
      <c r="S10821" t="s">
        <v>27254</v>
      </c>
      <c r="T10821" t="s">
        <v>27255</v>
      </c>
    </row>
    <row r="10822" spans="1:20" x14ac:dyDescent="0.3">
      <c r="A10822" t="str">
        <f>"0611884412100"</f>
        <v>0611884412100</v>
      </c>
      <c r="B10822" t="str">
        <f>"LG8053"</f>
        <v>LG8053</v>
      </c>
      <c r="C10822" t="s">
        <v>48180</v>
      </c>
      <c r="D10822" t="s">
        <v>27245</v>
      </c>
      <c r="E10822" t="str">
        <f t="shared" si="169"/>
        <v>001390</v>
      </c>
      <c r="F10822" t="s">
        <v>27246</v>
      </c>
      <c r="G10822" t="s">
        <v>27247</v>
      </c>
      <c r="H10822" t="s">
        <v>27248</v>
      </c>
      <c r="I10822" t="s">
        <v>48181</v>
      </c>
      <c r="J10822" t="s">
        <v>21658</v>
      </c>
      <c r="L10822" t="s">
        <v>27430</v>
      </c>
      <c r="M10822" t="s">
        <v>27251</v>
      </c>
      <c r="N10822" t="s">
        <v>27252</v>
      </c>
      <c r="Q10822" s="1">
        <v>45250</v>
      </c>
      <c r="R10822" t="s">
        <v>27253</v>
      </c>
      <c r="S10822" t="s">
        <v>27254</v>
      </c>
      <c r="T10822" t="s">
        <v>27255</v>
      </c>
    </row>
    <row r="10823" spans="1:20" x14ac:dyDescent="0.3">
      <c r="A10823" t="str">
        <f>"0611838705100"</f>
        <v>0611838705100</v>
      </c>
      <c r="B10823" t="str">
        <f>"LK2383"</f>
        <v>LK2383</v>
      </c>
      <c r="C10823" t="s">
        <v>48182</v>
      </c>
      <c r="D10823" t="s">
        <v>27245</v>
      </c>
      <c r="E10823" t="str">
        <f t="shared" si="169"/>
        <v>001390</v>
      </c>
      <c r="F10823" t="s">
        <v>27246</v>
      </c>
      <c r="G10823" t="s">
        <v>27247</v>
      </c>
      <c r="H10823" t="s">
        <v>27248</v>
      </c>
      <c r="I10823" t="s">
        <v>48183</v>
      </c>
      <c r="J10823" t="s">
        <v>21660</v>
      </c>
      <c r="L10823" t="s">
        <v>27250</v>
      </c>
      <c r="M10823" t="s">
        <v>27251</v>
      </c>
      <c r="N10823" t="s">
        <v>27252</v>
      </c>
      <c r="Q10823" s="1">
        <v>44538</v>
      </c>
      <c r="R10823" t="s">
        <v>27253</v>
      </c>
      <c r="S10823" t="s">
        <v>27254</v>
      </c>
      <c r="T10823" t="s">
        <v>27255</v>
      </c>
    </row>
    <row r="10824" spans="1:20" x14ac:dyDescent="0.3">
      <c r="A10824" t="str">
        <f>"0611838706100"</f>
        <v>0611838706100</v>
      </c>
      <c r="B10824" t="str">
        <f>"LB8098"</f>
        <v>LB8098</v>
      </c>
      <c r="C10824" t="s">
        <v>48184</v>
      </c>
      <c r="D10824" t="s">
        <v>28138</v>
      </c>
      <c r="E10824" t="str">
        <f t="shared" si="169"/>
        <v>001390</v>
      </c>
      <c r="F10824" t="s">
        <v>27246</v>
      </c>
      <c r="G10824" t="s">
        <v>27247</v>
      </c>
      <c r="H10824" t="s">
        <v>27248</v>
      </c>
      <c r="I10824" t="s">
        <v>48185</v>
      </c>
      <c r="J10824" t="s">
        <v>21662</v>
      </c>
      <c r="L10824" t="s">
        <v>27250</v>
      </c>
      <c r="M10824" t="s">
        <v>27251</v>
      </c>
      <c r="N10824" t="s">
        <v>27252</v>
      </c>
      <c r="P10824" t="s">
        <v>27925</v>
      </c>
      <c r="Q10824" s="1">
        <v>44538</v>
      </c>
      <c r="R10824" t="s">
        <v>27253</v>
      </c>
      <c r="S10824" t="s">
        <v>27254</v>
      </c>
      <c r="T10824" t="s">
        <v>27255</v>
      </c>
    </row>
    <row r="10825" spans="1:20" x14ac:dyDescent="0.3">
      <c r="A10825" t="str">
        <f>"0611838707100"</f>
        <v>0611838707100</v>
      </c>
      <c r="B10825" t="str">
        <f>"LF0039"</f>
        <v>LF0039</v>
      </c>
      <c r="C10825" t="s">
        <v>48186</v>
      </c>
      <c r="D10825" t="s">
        <v>27245</v>
      </c>
      <c r="E10825" t="str">
        <f t="shared" si="169"/>
        <v>001390</v>
      </c>
      <c r="F10825" t="s">
        <v>27246</v>
      </c>
      <c r="G10825" t="s">
        <v>27247</v>
      </c>
      <c r="H10825" t="s">
        <v>27248</v>
      </c>
      <c r="I10825" t="s">
        <v>48187</v>
      </c>
      <c r="J10825" t="s">
        <v>21664</v>
      </c>
      <c r="L10825" t="s">
        <v>27250</v>
      </c>
      <c r="M10825" t="s">
        <v>27251</v>
      </c>
      <c r="N10825" t="s">
        <v>27252</v>
      </c>
      <c r="Q10825" s="1">
        <v>44538</v>
      </c>
      <c r="R10825" t="s">
        <v>27253</v>
      </c>
      <c r="S10825" t="s">
        <v>27254</v>
      </c>
      <c r="T10825" t="s">
        <v>27255</v>
      </c>
    </row>
    <row r="10826" spans="1:20" x14ac:dyDescent="0.3">
      <c r="A10826" t="str">
        <f>"0611838708100"</f>
        <v>0611838708100</v>
      </c>
      <c r="B10826" t="str">
        <f>"LB8015"</f>
        <v>LB8015</v>
      </c>
      <c r="C10826" t="s">
        <v>48188</v>
      </c>
      <c r="D10826" t="s">
        <v>27245</v>
      </c>
      <c r="E10826" t="str">
        <f t="shared" si="169"/>
        <v>001390</v>
      </c>
      <c r="F10826" t="s">
        <v>27246</v>
      </c>
      <c r="G10826" t="s">
        <v>27247</v>
      </c>
      <c r="H10826" t="s">
        <v>27248</v>
      </c>
      <c r="I10826" t="s">
        <v>48189</v>
      </c>
      <c r="J10826" t="s">
        <v>21666</v>
      </c>
      <c r="L10826" t="s">
        <v>27250</v>
      </c>
      <c r="M10826" t="s">
        <v>27251</v>
      </c>
      <c r="N10826" t="s">
        <v>27252</v>
      </c>
      <c r="Q10826" s="1">
        <v>44538</v>
      </c>
      <c r="R10826" t="s">
        <v>27253</v>
      </c>
      <c r="S10826" t="s">
        <v>27254</v>
      </c>
      <c r="T10826" t="s">
        <v>27255</v>
      </c>
    </row>
    <row r="10827" spans="1:20" x14ac:dyDescent="0.3">
      <c r="A10827" t="str">
        <f>"0611838710100"</f>
        <v>0611838710100</v>
      </c>
      <c r="B10827" t="str">
        <f>"LG5500"</f>
        <v>LG5500</v>
      </c>
      <c r="C10827" t="s">
        <v>48190</v>
      </c>
      <c r="D10827" t="s">
        <v>27245</v>
      </c>
      <c r="E10827" t="str">
        <f t="shared" si="169"/>
        <v>001390</v>
      </c>
      <c r="F10827" t="s">
        <v>27246</v>
      </c>
      <c r="G10827" t="s">
        <v>27247</v>
      </c>
      <c r="H10827" t="s">
        <v>27248</v>
      </c>
      <c r="I10827" t="s">
        <v>48191</v>
      </c>
      <c r="J10827" t="s">
        <v>21668</v>
      </c>
      <c r="L10827" t="s">
        <v>27250</v>
      </c>
      <c r="M10827" t="s">
        <v>27251</v>
      </c>
      <c r="N10827" t="s">
        <v>27252</v>
      </c>
      <c r="Q10827" s="1">
        <v>44538</v>
      </c>
      <c r="R10827" t="s">
        <v>27253</v>
      </c>
      <c r="S10827" t="s">
        <v>27254</v>
      </c>
      <c r="T10827" t="s">
        <v>27255</v>
      </c>
    </row>
    <row r="10828" spans="1:20" x14ac:dyDescent="0.3">
      <c r="A10828" t="str">
        <f>"0611838711100"</f>
        <v>0611838711100</v>
      </c>
      <c r="B10828" t="str">
        <f>"LH0018"</f>
        <v>LH0018</v>
      </c>
      <c r="C10828" t="s">
        <v>48192</v>
      </c>
      <c r="D10828" t="s">
        <v>27245</v>
      </c>
      <c r="E10828" t="str">
        <f t="shared" si="169"/>
        <v>001390</v>
      </c>
      <c r="F10828" t="s">
        <v>27246</v>
      </c>
      <c r="G10828" t="s">
        <v>27247</v>
      </c>
      <c r="H10828" t="s">
        <v>27248</v>
      </c>
      <c r="I10828" t="s">
        <v>48193</v>
      </c>
      <c r="J10828" t="s">
        <v>21670</v>
      </c>
      <c r="L10828" t="s">
        <v>27250</v>
      </c>
      <c r="M10828" t="s">
        <v>27251</v>
      </c>
      <c r="N10828" t="s">
        <v>27252</v>
      </c>
      <c r="Q10828" s="1">
        <v>44538</v>
      </c>
      <c r="R10828" t="s">
        <v>27253</v>
      </c>
      <c r="S10828" t="s">
        <v>27254</v>
      </c>
      <c r="T10828" t="s">
        <v>27255</v>
      </c>
    </row>
    <row r="10829" spans="1:20" x14ac:dyDescent="0.3">
      <c r="A10829" t="str">
        <f>"0611838712100"</f>
        <v>0611838712100</v>
      </c>
      <c r="B10829" t="str">
        <f>"LK6769"</f>
        <v>LK6769</v>
      </c>
      <c r="C10829" t="s">
        <v>48194</v>
      </c>
      <c r="D10829" t="s">
        <v>27245</v>
      </c>
      <c r="E10829" t="str">
        <f t="shared" si="169"/>
        <v>001390</v>
      </c>
      <c r="F10829" t="s">
        <v>27246</v>
      </c>
      <c r="G10829" t="s">
        <v>27247</v>
      </c>
      <c r="H10829" t="s">
        <v>27248</v>
      </c>
      <c r="I10829" t="s">
        <v>48195</v>
      </c>
      <c r="J10829" t="s">
        <v>21672</v>
      </c>
      <c r="L10829" t="s">
        <v>27250</v>
      </c>
      <c r="M10829" t="s">
        <v>27251</v>
      </c>
      <c r="N10829" t="s">
        <v>27252</v>
      </c>
      <c r="Q10829" s="1">
        <v>44538</v>
      </c>
      <c r="R10829" t="s">
        <v>27253</v>
      </c>
      <c r="S10829" t="s">
        <v>27254</v>
      </c>
      <c r="T10829" t="s">
        <v>27255</v>
      </c>
    </row>
    <row r="10830" spans="1:20" x14ac:dyDescent="0.3">
      <c r="A10830" t="str">
        <f>"0611838713100"</f>
        <v>0611838713100</v>
      </c>
      <c r="B10830" t="str">
        <f>"LH6890"</f>
        <v>LH6890</v>
      </c>
      <c r="C10830" t="s">
        <v>48196</v>
      </c>
      <c r="D10830" t="s">
        <v>27245</v>
      </c>
      <c r="E10830" t="str">
        <f t="shared" si="169"/>
        <v>001390</v>
      </c>
      <c r="F10830" t="s">
        <v>27246</v>
      </c>
      <c r="G10830" t="s">
        <v>27247</v>
      </c>
      <c r="H10830" t="s">
        <v>27248</v>
      </c>
      <c r="I10830" t="s">
        <v>48197</v>
      </c>
      <c r="J10830" t="s">
        <v>21674</v>
      </c>
      <c r="L10830" t="s">
        <v>27250</v>
      </c>
      <c r="M10830" t="s">
        <v>27251</v>
      </c>
      <c r="N10830" t="s">
        <v>27252</v>
      </c>
      <c r="Q10830" s="1">
        <v>44538</v>
      </c>
      <c r="R10830" t="s">
        <v>27253</v>
      </c>
      <c r="S10830" t="s">
        <v>27254</v>
      </c>
      <c r="T10830" t="s">
        <v>27255</v>
      </c>
    </row>
    <row r="10831" spans="1:20" x14ac:dyDescent="0.3">
      <c r="A10831" t="str">
        <f>"0611838714100"</f>
        <v>0611838714100</v>
      </c>
      <c r="B10831" t="str">
        <f>"LK4524"</f>
        <v>LK4524</v>
      </c>
      <c r="C10831" t="s">
        <v>48198</v>
      </c>
      <c r="D10831" t="s">
        <v>27245</v>
      </c>
      <c r="E10831" t="str">
        <f t="shared" si="169"/>
        <v>001390</v>
      </c>
      <c r="F10831" t="s">
        <v>27246</v>
      </c>
      <c r="G10831" t="s">
        <v>27247</v>
      </c>
      <c r="H10831" t="s">
        <v>27248</v>
      </c>
      <c r="I10831" t="s">
        <v>48199</v>
      </c>
      <c r="J10831" t="s">
        <v>21676</v>
      </c>
      <c r="L10831" t="s">
        <v>27250</v>
      </c>
      <c r="M10831" t="s">
        <v>27251</v>
      </c>
      <c r="N10831" t="s">
        <v>27252</v>
      </c>
      <c r="Q10831" s="1">
        <v>44538</v>
      </c>
      <c r="R10831" t="s">
        <v>27253</v>
      </c>
      <c r="S10831" t="s">
        <v>27254</v>
      </c>
      <c r="T10831" t="s">
        <v>27255</v>
      </c>
    </row>
    <row r="10832" spans="1:20" x14ac:dyDescent="0.3">
      <c r="A10832" t="str">
        <f>"0611838716100"</f>
        <v>0611838716100</v>
      </c>
      <c r="B10832" t="str">
        <f>"LK1751"</f>
        <v>LK1751</v>
      </c>
      <c r="C10832" t="s">
        <v>48200</v>
      </c>
      <c r="D10832" t="s">
        <v>28138</v>
      </c>
      <c r="E10832" t="str">
        <f t="shared" si="169"/>
        <v>001390</v>
      </c>
      <c r="F10832" t="s">
        <v>27246</v>
      </c>
      <c r="G10832" t="s">
        <v>27247</v>
      </c>
      <c r="H10832" t="s">
        <v>27248</v>
      </c>
      <c r="I10832" t="s">
        <v>48201</v>
      </c>
      <c r="J10832" t="s">
        <v>21678</v>
      </c>
      <c r="L10832" t="s">
        <v>27250</v>
      </c>
      <c r="M10832" t="s">
        <v>27251</v>
      </c>
      <c r="N10832" t="s">
        <v>27252</v>
      </c>
      <c r="P10832" t="s">
        <v>27925</v>
      </c>
      <c r="Q10832" s="1">
        <v>44538</v>
      </c>
      <c r="R10832" t="s">
        <v>27253</v>
      </c>
      <c r="S10832" t="s">
        <v>27254</v>
      </c>
      <c r="T10832" t="s">
        <v>27255</v>
      </c>
    </row>
    <row r="10833" spans="1:20" x14ac:dyDescent="0.3">
      <c r="A10833" t="str">
        <f>"0611838718100"</f>
        <v>0611838718100</v>
      </c>
      <c r="B10833" t="str">
        <f>"LK2997"</f>
        <v>LK2997</v>
      </c>
      <c r="C10833" t="s">
        <v>48202</v>
      </c>
      <c r="D10833" t="s">
        <v>27245</v>
      </c>
      <c r="E10833" t="str">
        <f t="shared" si="169"/>
        <v>001390</v>
      </c>
      <c r="F10833" t="s">
        <v>27246</v>
      </c>
      <c r="G10833" t="s">
        <v>27247</v>
      </c>
      <c r="H10833" t="s">
        <v>27248</v>
      </c>
      <c r="I10833" t="s">
        <v>48203</v>
      </c>
      <c r="J10833" t="s">
        <v>21680</v>
      </c>
      <c r="L10833" t="s">
        <v>27250</v>
      </c>
      <c r="M10833" t="s">
        <v>27251</v>
      </c>
      <c r="N10833" t="s">
        <v>27252</v>
      </c>
      <c r="Q10833" s="1">
        <v>44538</v>
      </c>
      <c r="R10833" t="s">
        <v>27253</v>
      </c>
      <c r="S10833" t="s">
        <v>27254</v>
      </c>
      <c r="T10833" t="s">
        <v>27255</v>
      </c>
    </row>
    <row r="10834" spans="1:20" x14ac:dyDescent="0.3">
      <c r="A10834" t="str">
        <f>"0611838719100"</f>
        <v>0611838719100</v>
      </c>
      <c r="B10834" t="str">
        <f>"LB9900"</f>
        <v>LB9900</v>
      </c>
      <c r="C10834" t="s">
        <v>48204</v>
      </c>
      <c r="D10834" t="s">
        <v>27245</v>
      </c>
      <c r="E10834" t="str">
        <f t="shared" si="169"/>
        <v>001390</v>
      </c>
      <c r="F10834" t="s">
        <v>27246</v>
      </c>
      <c r="G10834" t="s">
        <v>27247</v>
      </c>
      <c r="H10834" t="s">
        <v>27248</v>
      </c>
      <c r="I10834" t="s">
        <v>48205</v>
      </c>
      <c r="J10834" t="s">
        <v>21682</v>
      </c>
      <c r="L10834" t="s">
        <v>27250</v>
      </c>
      <c r="M10834" t="s">
        <v>27251</v>
      </c>
      <c r="N10834" t="s">
        <v>27252</v>
      </c>
      <c r="Q10834" s="1">
        <v>44538</v>
      </c>
      <c r="R10834" t="s">
        <v>27253</v>
      </c>
      <c r="S10834" t="s">
        <v>27254</v>
      </c>
      <c r="T10834" t="s">
        <v>27255</v>
      </c>
    </row>
    <row r="10835" spans="1:20" x14ac:dyDescent="0.3">
      <c r="A10835" t="str">
        <f>"0611884413100"</f>
        <v>0611884413100</v>
      </c>
      <c r="B10835" t="str">
        <f>"LG8054"</f>
        <v>LG8054</v>
      </c>
      <c r="C10835" t="s">
        <v>48206</v>
      </c>
      <c r="D10835" t="s">
        <v>27245</v>
      </c>
      <c r="E10835" t="str">
        <f t="shared" si="169"/>
        <v>001390</v>
      </c>
      <c r="F10835" t="s">
        <v>27246</v>
      </c>
      <c r="G10835" t="s">
        <v>27247</v>
      </c>
      <c r="H10835" t="s">
        <v>27248</v>
      </c>
      <c r="I10835" t="s">
        <v>48207</v>
      </c>
      <c r="J10835" t="s">
        <v>21684</v>
      </c>
      <c r="L10835" t="s">
        <v>27430</v>
      </c>
      <c r="M10835" t="s">
        <v>27251</v>
      </c>
      <c r="N10835" t="s">
        <v>27252</v>
      </c>
      <c r="Q10835" s="1">
        <v>45250</v>
      </c>
      <c r="R10835" t="s">
        <v>27253</v>
      </c>
      <c r="S10835" t="s">
        <v>27254</v>
      </c>
      <c r="T10835" t="s">
        <v>27255</v>
      </c>
    </row>
    <row r="10836" spans="1:20" x14ac:dyDescent="0.3">
      <c r="A10836" t="str">
        <f>"0611838720100"</f>
        <v>0611838720100</v>
      </c>
      <c r="B10836" t="str">
        <f>"LH6928"</f>
        <v>LH6928</v>
      </c>
      <c r="C10836" t="s">
        <v>48208</v>
      </c>
      <c r="D10836" t="s">
        <v>27245</v>
      </c>
      <c r="E10836" t="str">
        <f t="shared" si="169"/>
        <v>001390</v>
      </c>
      <c r="F10836" t="s">
        <v>27246</v>
      </c>
      <c r="G10836" t="s">
        <v>27247</v>
      </c>
      <c r="H10836" t="s">
        <v>27248</v>
      </c>
      <c r="I10836" t="s">
        <v>48209</v>
      </c>
      <c r="J10836" t="s">
        <v>21686</v>
      </c>
      <c r="L10836" t="s">
        <v>27250</v>
      </c>
      <c r="M10836" t="s">
        <v>27251</v>
      </c>
      <c r="N10836" t="s">
        <v>27252</v>
      </c>
      <c r="Q10836" s="1">
        <v>44538</v>
      </c>
      <c r="R10836" t="s">
        <v>27253</v>
      </c>
      <c r="S10836" t="s">
        <v>27254</v>
      </c>
      <c r="T10836" t="s">
        <v>27255</v>
      </c>
    </row>
    <row r="10837" spans="1:20" x14ac:dyDescent="0.3">
      <c r="A10837" t="str">
        <f>"0611838721100"</f>
        <v>0611838721100</v>
      </c>
      <c r="B10837" t="str">
        <f>"LH8924"</f>
        <v>LH8924</v>
      </c>
      <c r="C10837" t="s">
        <v>48210</v>
      </c>
      <c r="D10837" t="s">
        <v>27245</v>
      </c>
      <c r="E10837" t="str">
        <f t="shared" si="169"/>
        <v>001390</v>
      </c>
      <c r="F10837" t="s">
        <v>27246</v>
      </c>
      <c r="G10837" t="s">
        <v>27247</v>
      </c>
      <c r="H10837" t="s">
        <v>27248</v>
      </c>
      <c r="I10837" t="s">
        <v>48211</v>
      </c>
      <c r="J10837" t="s">
        <v>21688</v>
      </c>
      <c r="L10837" t="s">
        <v>27250</v>
      </c>
      <c r="M10837" t="s">
        <v>27251</v>
      </c>
      <c r="N10837" t="s">
        <v>27252</v>
      </c>
      <c r="Q10837" s="1">
        <v>44538</v>
      </c>
      <c r="R10837" t="s">
        <v>27253</v>
      </c>
      <c r="S10837" t="s">
        <v>27254</v>
      </c>
      <c r="T10837" t="s">
        <v>27255</v>
      </c>
    </row>
    <row r="10838" spans="1:20" x14ac:dyDescent="0.3">
      <c r="A10838" t="str">
        <f>"0611838722100"</f>
        <v>0611838722100</v>
      </c>
      <c r="B10838" t="str">
        <f>"LK6770"</f>
        <v>LK6770</v>
      </c>
      <c r="C10838" t="s">
        <v>48212</v>
      </c>
      <c r="D10838" t="s">
        <v>27245</v>
      </c>
      <c r="E10838" t="str">
        <f t="shared" si="169"/>
        <v>001390</v>
      </c>
      <c r="F10838" t="s">
        <v>27246</v>
      </c>
      <c r="G10838" t="s">
        <v>27247</v>
      </c>
      <c r="H10838" t="s">
        <v>27248</v>
      </c>
      <c r="I10838" t="s">
        <v>48213</v>
      </c>
      <c r="J10838" t="s">
        <v>21690</v>
      </c>
      <c r="L10838" t="s">
        <v>27250</v>
      </c>
      <c r="M10838" t="s">
        <v>27251</v>
      </c>
      <c r="N10838" t="s">
        <v>27252</v>
      </c>
      <c r="Q10838" s="1">
        <v>44538</v>
      </c>
      <c r="R10838" t="s">
        <v>27253</v>
      </c>
      <c r="S10838" t="s">
        <v>27254</v>
      </c>
      <c r="T10838" t="s">
        <v>27255</v>
      </c>
    </row>
    <row r="10839" spans="1:20" x14ac:dyDescent="0.3">
      <c r="A10839" t="str">
        <f>"0611838724100"</f>
        <v>0611838724100</v>
      </c>
      <c r="B10839" t="str">
        <f>"LK3766"</f>
        <v>LK3766</v>
      </c>
      <c r="C10839" t="s">
        <v>48214</v>
      </c>
      <c r="D10839" t="s">
        <v>27245</v>
      </c>
      <c r="E10839" t="str">
        <f t="shared" si="169"/>
        <v>001390</v>
      </c>
      <c r="F10839" t="s">
        <v>27246</v>
      </c>
      <c r="G10839" t="s">
        <v>27247</v>
      </c>
      <c r="H10839" t="s">
        <v>27248</v>
      </c>
      <c r="I10839" t="s">
        <v>48215</v>
      </c>
      <c r="J10839" t="s">
        <v>21692</v>
      </c>
      <c r="L10839" t="s">
        <v>27250</v>
      </c>
      <c r="M10839" t="s">
        <v>27251</v>
      </c>
      <c r="N10839" t="s">
        <v>27252</v>
      </c>
      <c r="Q10839" s="1">
        <v>44538</v>
      </c>
      <c r="R10839" t="s">
        <v>27253</v>
      </c>
      <c r="S10839" t="s">
        <v>27254</v>
      </c>
      <c r="T10839" t="s">
        <v>27255</v>
      </c>
    </row>
    <row r="10840" spans="1:20" x14ac:dyDescent="0.3">
      <c r="A10840" t="str">
        <f>"0611857094100"</f>
        <v>0611857094100</v>
      </c>
      <c r="B10840" t="str">
        <f>"LK7102"</f>
        <v>LK7102</v>
      </c>
      <c r="C10840" t="s">
        <v>48216</v>
      </c>
      <c r="D10840" t="s">
        <v>27245</v>
      </c>
      <c r="E10840" t="str">
        <f t="shared" si="169"/>
        <v>001390</v>
      </c>
      <c r="F10840" t="s">
        <v>27246</v>
      </c>
      <c r="G10840" t="s">
        <v>27247</v>
      </c>
      <c r="H10840" t="s">
        <v>27248</v>
      </c>
      <c r="I10840" t="s">
        <v>48217</v>
      </c>
      <c r="J10840" t="s">
        <v>21694</v>
      </c>
      <c r="L10840" t="s">
        <v>27250</v>
      </c>
      <c r="M10840" t="s">
        <v>27251</v>
      </c>
      <c r="N10840" t="s">
        <v>27252</v>
      </c>
      <c r="Q10840" s="1">
        <v>44812</v>
      </c>
      <c r="R10840" t="s">
        <v>27253</v>
      </c>
      <c r="S10840" t="s">
        <v>27254</v>
      </c>
      <c r="T10840" t="s">
        <v>27255</v>
      </c>
    </row>
    <row r="10841" spans="1:20" x14ac:dyDescent="0.3">
      <c r="A10841" t="str">
        <f>"0611838726025"</f>
        <v>0611838726025</v>
      </c>
      <c r="B10841" t="str">
        <f>"MC0649"</f>
        <v>MC0649</v>
      </c>
      <c r="C10841" t="s">
        <v>48218</v>
      </c>
      <c r="D10841" t="s">
        <v>27267</v>
      </c>
      <c r="E10841" t="str">
        <f t="shared" si="169"/>
        <v>001390</v>
      </c>
      <c r="F10841" t="s">
        <v>27246</v>
      </c>
      <c r="G10841" t="s">
        <v>27247</v>
      </c>
      <c r="H10841" t="s">
        <v>27248</v>
      </c>
      <c r="I10841" t="s">
        <v>48219</v>
      </c>
      <c r="J10841" t="s">
        <v>21696</v>
      </c>
      <c r="L10841" t="s">
        <v>27250</v>
      </c>
      <c r="M10841" t="s">
        <v>27251</v>
      </c>
      <c r="N10841" t="s">
        <v>27252</v>
      </c>
      <c r="Q10841" s="1">
        <v>44538</v>
      </c>
      <c r="R10841" t="s">
        <v>27253</v>
      </c>
      <c r="S10841" t="s">
        <v>27254</v>
      </c>
      <c r="T10841" t="s">
        <v>27269</v>
      </c>
    </row>
    <row r="10842" spans="1:20" x14ac:dyDescent="0.3">
      <c r="A10842" t="str">
        <f>"0611857095025"</f>
        <v>0611857095025</v>
      </c>
      <c r="B10842" t="str">
        <f>"MQ0804"</f>
        <v>MQ0804</v>
      </c>
      <c r="C10842" t="s">
        <v>48220</v>
      </c>
      <c r="D10842" t="s">
        <v>27267</v>
      </c>
      <c r="E10842" t="str">
        <f t="shared" si="169"/>
        <v>001390</v>
      </c>
      <c r="F10842" t="s">
        <v>27246</v>
      </c>
      <c r="G10842" t="s">
        <v>27247</v>
      </c>
      <c r="H10842" t="s">
        <v>27248</v>
      </c>
      <c r="I10842" t="s">
        <v>48221</v>
      </c>
      <c r="J10842" t="s">
        <v>21698</v>
      </c>
      <c r="L10842" t="s">
        <v>27250</v>
      </c>
      <c r="M10842" t="s">
        <v>27251</v>
      </c>
      <c r="N10842" t="s">
        <v>27252</v>
      </c>
      <c r="Q10842" s="1">
        <v>44812</v>
      </c>
      <c r="R10842" t="s">
        <v>27253</v>
      </c>
      <c r="S10842" t="s">
        <v>27254</v>
      </c>
      <c r="T10842" t="s">
        <v>27269</v>
      </c>
    </row>
    <row r="10843" spans="1:20" x14ac:dyDescent="0.3">
      <c r="A10843" t="str">
        <f>"0611838728025"</f>
        <v>0611838728025</v>
      </c>
      <c r="B10843" t="str">
        <f>"MQ0349"</f>
        <v>MQ0349</v>
      </c>
      <c r="C10843" t="s">
        <v>48222</v>
      </c>
      <c r="D10843" t="s">
        <v>27267</v>
      </c>
      <c r="E10843" t="str">
        <f t="shared" si="169"/>
        <v>001390</v>
      </c>
      <c r="F10843" t="s">
        <v>27246</v>
      </c>
      <c r="G10843" t="s">
        <v>27247</v>
      </c>
      <c r="H10843" t="s">
        <v>27248</v>
      </c>
      <c r="I10843" t="s">
        <v>48223</v>
      </c>
      <c r="J10843" t="s">
        <v>21700</v>
      </c>
      <c r="L10843" t="s">
        <v>27250</v>
      </c>
      <c r="M10843" t="s">
        <v>27251</v>
      </c>
      <c r="N10843" t="s">
        <v>27252</v>
      </c>
      <c r="Q10843" s="1">
        <v>44538</v>
      </c>
      <c r="R10843" t="s">
        <v>27253</v>
      </c>
      <c r="S10843" t="s">
        <v>27254</v>
      </c>
      <c r="T10843" t="s">
        <v>27269</v>
      </c>
    </row>
    <row r="10844" spans="1:20" x14ac:dyDescent="0.3">
      <c r="A10844" t="str">
        <f>"0611838729025"</f>
        <v>0611838729025</v>
      </c>
      <c r="B10844" t="str">
        <f>"MC3793"</f>
        <v>MC3793</v>
      </c>
      <c r="C10844" t="s">
        <v>48224</v>
      </c>
      <c r="D10844" t="s">
        <v>27267</v>
      </c>
      <c r="E10844" t="str">
        <f t="shared" si="169"/>
        <v>001390</v>
      </c>
      <c r="F10844" t="s">
        <v>27246</v>
      </c>
      <c r="G10844" t="s">
        <v>27247</v>
      </c>
      <c r="H10844" t="s">
        <v>27248</v>
      </c>
      <c r="I10844" t="s">
        <v>48225</v>
      </c>
      <c r="J10844" t="s">
        <v>21702</v>
      </c>
      <c r="L10844" t="s">
        <v>27250</v>
      </c>
      <c r="M10844" t="s">
        <v>27251</v>
      </c>
      <c r="N10844" t="s">
        <v>27252</v>
      </c>
      <c r="Q10844" s="1">
        <v>44538</v>
      </c>
      <c r="R10844" t="s">
        <v>27253</v>
      </c>
      <c r="S10844" t="s">
        <v>27254</v>
      </c>
      <c r="T10844" t="s">
        <v>27269</v>
      </c>
    </row>
    <row r="10845" spans="1:20" x14ac:dyDescent="0.3">
      <c r="A10845" t="str">
        <f>"0611833566100"</f>
        <v>0611833566100</v>
      </c>
      <c r="B10845" t="str">
        <f>"LL3662"</f>
        <v>LL3662</v>
      </c>
      <c r="C10845" t="s">
        <v>48226</v>
      </c>
      <c r="D10845" t="s">
        <v>27245</v>
      </c>
      <c r="E10845" t="str">
        <f t="shared" si="169"/>
        <v>001390</v>
      </c>
      <c r="F10845" t="s">
        <v>27246</v>
      </c>
      <c r="G10845" t="s">
        <v>27247</v>
      </c>
      <c r="H10845" t="s">
        <v>27248</v>
      </c>
      <c r="I10845" t="s">
        <v>48227</v>
      </c>
      <c r="J10845" t="s">
        <v>21704</v>
      </c>
      <c r="L10845" t="s">
        <v>27250</v>
      </c>
      <c r="M10845" t="s">
        <v>27251</v>
      </c>
      <c r="N10845" t="s">
        <v>27252</v>
      </c>
      <c r="Q10845" s="1">
        <v>44538</v>
      </c>
      <c r="R10845" t="s">
        <v>27253</v>
      </c>
      <c r="S10845" t="s">
        <v>27254</v>
      </c>
      <c r="T10845" t="s">
        <v>27255</v>
      </c>
    </row>
    <row r="10846" spans="1:20" x14ac:dyDescent="0.3">
      <c r="A10846" t="str">
        <f>"0611833568100"</f>
        <v>0611833568100</v>
      </c>
      <c r="B10846" t="str">
        <f>"LL3683"</f>
        <v>LL3683</v>
      </c>
      <c r="C10846" t="s">
        <v>48228</v>
      </c>
      <c r="D10846" t="s">
        <v>27245</v>
      </c>
      <c r="E10846" t="str">
        <f t="shared" si="169"/>
        <v>001390</v>
      </c>
      <c r="F10846" t="s">
        <v>27246</v>
      </c>
      <c r="G10846" t="s">
        <v>27247</v>
      </c>
      <c r="H10846" t="s">
        <v>27248</v>
      </c>
      <c r="I10846" t="s">
        <v>48229</v>
      </c>
      <c r="J10846" t="s">
        <v>21706</v>
      </c>
      <c r="L10846" t="s">
        <v>27250</v>
      </c>
      <c r="M10846" t="s">
        <v>27251</v>
      </c>
      <c r="N10846" t="s">
        <v>27252</v>
      </c>
      <c r="Q10846" s="1">
        <v>44538</v>
      </c>
      <c r="R10846" t="s">
        <v>27253</v>
      </c>
      <c r="S10846" t="s">
        <v>27254</v>
      </c>
      <c r="T10846" t="s">
        <v>27255</v>
      </c>
    </row>
    <row r="10847" spans="1:20" x14ac:dyDescent="0.3">
      <c r="A10847" t="str">
        <f>"0611833569100"</f>
        <v>0611833569100</v>
      </c>
      <c r="B10847" t="str">
        <f>"LL3651"</f>
        <v>LL3651</v>
      </c>
      <c r="C10847" t="s">
        <v>48230</v>
      </c>
      <c r="D10847" t="s">
        <v>27245</v>
      </c>
      <c r="E10847" t="str">
        <f t="shared" si="169"/>
        <v>001390</v>
      </c>
      <c r="F10847" t="s">
        <v>27246</v>
      </c>
      <c r="G10847" t="s">
        <v>27247</v>
      </c>
      <c r="H10847" t="s">
        <v>27248</v>
      </c>
      <c r="I10847" t="s">
        <v>48231</v>
      </c>
      <c r="J10847" t="s">
        <v>21708</v>
      </c>
      <c r="L10847" t="s">
        <v>27250</v>
      </c>
      <c r="M10847" t="s">
        <v>27251</v>
      </c>
      <c r="N10847" t="s">
        <v>27252</v>
      </c>
      <c r="Q10847" s="1">
        <v>44538</v>
      </c>
      <c r="R10847" t="s">
        <v>27253</v>
      </c>
      <c r="S10847" t="s">
        <v>27254</v>
      </c>
      <c r="T10847" t="s">
        <v>27255</v>
      </c>
    </row>
    <row r="10848" spans="1:20" x14ac:dyDescent="0.3">
      <c r="A10848" t="str">
        <f>"0611833572100"</f>
        <v>0611833572100</v>
      </c>
      <c r="B10848" t="str">
        <f>"LL3665"</f>
        <v>LL3665</v>
      </c>
      <c r="C10848" t="s">
        <v>48232</v>
      </c>
      <c r="D10848" t="s">
        <v>27245</v>
      </c>
      <c r="E10848" t="str">
        <f t="shared" si="169"/>
        <v>001390</v>
      </c>
      <c r="F10848" t="s">
        <v>27246</v>
      </c>
      <c r="G10848" t="s">
        <v>27247</v>
      </c>
      <c r="H10848" t="s">
        <v>27248</v>
      </c>
      <c r="I10848" t="s">
        <v>48233</v>
      </c>
      <c r="J10848" t="s">
        <v>21710</v>
      </c>
      <c r="L10848" t="s">
        <v>27250</v>
      </c>
      <c r="M10848" t="s">
        <v>27251</v>
      </c>
      <c r="N10848" t="s">
        <v>27252</v>
      </c>
      <c r="Q10848" s="1">
        <v>44538</v>
      </c>
      <c r="R10848" t="s">
        <v>27253</v>
      </c>
      <c r="S10848" t="s">
        <v>27254</v>
      </c>
      <c r="T10848" t="s">
        <v>27255</v>
      </c>
    </row>
    <row r="10849" spans="1:20" x14ac:dyDescent="0.3">
      <c r="A10849" t="str">
        <f>"0611833573100"</f>
        <v>0611833573100</v>
      </c>
      <c r="B10849" t="str">
        <f>"LL0188"</f>
        <v>LL0188</v>
      </c>
      <c r="C10849" t="s">
        <v>48234</v>
      </c>
      <c r="D10849" t="s">
        <v>27245</v>
      </c>
      <c r="E10849" t="str">
        <f t="shared" si="169"/>
        <v>001390</v>
      </c>
      <c r="F10849" t="s">
        <v>27246</v>
      </c>
      <c r="G10849" t="s">
        <v>27247</v>
      </c>
      <c r="H10849" t="s">
        <v>27248</v>
      </c>
      <c r="I10849" t="s">
        <v>48235</v>
      </c>
      <c r="J10849" t="s">
        <v>21712</v>
      </c>
      <c r="L10849" t="s">
        <v>27250</v>
      </c>
      <c r="M10849" t="s">
        <v>27251</v>
      </c>
      <c r="N10849" t="s">
        <v>27252</v>
      </c>
      <c r="Q10849" s="1">
        <v>44538</v>
      </c>
      <c r="R10849" t="s">
        <v>27253</v>
      </c>
      <c r="S10849" t="s">
        <v>27254</v>
      </c>
      <c r="T10849" t="s">
        <v>27255</v>
      </c>
    </row>
    <row r="10850" spans="1:20" x14ac:dyDescent="0.3">
      <c r="A10850" t="str">
        <f>"0611833574100"</f>
        <v>0611833574100</v>
      </c>
      <c r="B10850" t="str">
        <f>"LL8144"</f>
        <v>LL8144</v>
      </c>
      <c r="C10850" t="s">
        <v>48236</v>
      </c>
      <c r="D10850" t="s">
        <v>27245</v>
      </c>
      <c r="E10850" t="str">
        <f t="shared" si="169"/>
        <v>001390</v>
      </c>
      <c r="F10850" t="s">
        <v>27246</v>
      </c>
      <c r="G10850" t="s">
        <v>27247</v>
      </c>
      <c r="H10850" t="s">
        <v>27248</v>
      </c>
      <c r="I10850" t="s">
        <v>48237</v>
      </c>
      <c r="J10850" t="s">
        <v>21714</v>
      </c>
      <c r="L10850" t="s">
        <v>27250</v>
      </c>
      <c r="M10850" t="s">
        <v>27251</v>
      </c>
      <c r="N10850" t="s">
        <v>27252</v>
      </c>
      <c r="Q10850" s="1">
        <v>44538</v>
      </c>
      <c r="R10850" t="s">
        <v>27253</v>
      </c>
      <c r="S10850" t="s">
        <v>27254</v>
      </c>
      <c r="T10850" t="s">
        <v>27255</v>
      </c>
    </row>
    <row r="10851" spans="1:20" x14ac:dyDescent="0.3">
      <c r="A10851" t="str">
        <f>"0611833580100"</f>
        <v>0611833580100</v>
      </c>
      <c r="B10851" t="str">
        <f>"LL8084"</f>
        <v>LL8084</v>
      </c>
      <c r="C10851" t="s">
        <v>48238</v>
      </c>
      <c r="D10851" t="s">
        <v>27245</v>
      </c>
      <c r="E10851" t="str">
        <f t="shared" si="169"/>
        <v>001390</v>
      </c>
      <c r="F10851" t="s">
        <v>27246</v>
      </c>
      <c r="G10851" t="s">
        <v>27247</v>
      </c>
      <c r="H10851" t="s">
        <v>27248</v>
      </c>
      <c r="I10851" t="s">
        <v>48239</v>
      </c>
      <c r="J10851" t="s">
        <v>21716</v>
      </c>
      <c r="L10851" t="s">
        <v>27250</v>
      </c>
      <c r="M10851" t="s">
        <v>27251</v>
      </c>
      <c r="N10851" t="s">
        <v>27252</v>
      </c>
      <c r="Q10851" s="1">
        <v>44538</v>
      </c>
      <c r="R10851" t="s">
        <v>27253</v>
      </c>
      <c r="S10851" t="s">
        <v>27254</v>
      </c>
      <c r="T10851" t="s">
        <v>27255</v>
      </c>
    </row>
    <row r="10852" spans="1:20" x14ac:dyDescent="0.3">
      <c r="A10852" t="str">
        <f>"0611833583100"</f>
        <v>0611833583100</v>
      </c>
      <c r="B10852" t="str">
        <f>"LL4869"</f>
        <v>LL4869</v>
      </c>
      <c r="C10852" t="s">
        <v>48240</v>
      </c>
      <c r="D10852" t="s">
        <v>27245</v>
      </c>
      <c r="E10852" t="str">
        <f t="shared" si="169"/>
        <v>001390</v>
      </c>
      <c r="F10852" t="s">
        <v>27246</v>
      </c>
      <c r="G10852" t="s">
        <v>27247</v>
      </c>
      <c r="H10852" t="s">
        <v>27248</v>
      </c>
      <c r="I10852" t="s">
        <v>48241</v>
      </c>
      <c r="J10852" t="s">
        <v>21718</v>
      </c>
      <c r="L10852" t="s">
        <v>27250</v>
      </c>
      <c r="M10852" t="s">
        <v>27251</v>
      </c>
      <c r="N10852" t="s">
        <v>27252</v>
      </c>
      <c r="Q10852" s="1">
        <v>44538</v>
      </c>
      <c r="R10852" t="s">
        <v>27253</v>
      </c>
      <c r="S10852" t="s">
        <v>27254</v>
      </c>
      <c r="T10852" t="s">
        <v>27255</v>
      </c>
    </row>
    <row r="10853" spans="1:20" x14ac:dyDescent="0.3">
      <c r="A10853" t="str">
        <f>"0611833584100"</f>
        <v>0611833584100</v>
      </c>
      <c r="B10853" t="str">
        <f>"LL3666"</f>
        <v>LL3666</v>
      </c>
      <c r="C10853" t="s">
        <v>48242</v>
      </c>
      <c r="D10853" t="s">
        <v>27245</v>
      </c>
      <c r="E10853" t="str">
        <f t="shared" si="169"/>
        <v>001390</v>
      </c>
      <c r="F10853" t="s">
        <v>27246</v>
      </c>
      <c r="G10853" t="s">
        <v>27247</v>
      </c>
      <c r="H10853" t="s">
        <v>27248</v>
      </c>
      <c r="I10853" t="s">
        <v>48243</v>
      </c>
      <c r="J10853" t="s">
        <v>21720</v>
      </c>
      <c r="L10853" t="s">
        <v>27250</v>
      </c>
      <c r="M10853" t="s">
        <v>27251</v>
      </c>
      <c r="N10853" t="s">
        <v>27252</v>
      </c>
      <c r="Q10853" s="1">
        <v>44538</v>
      </c>
      <c r="R10853" t="s">
        <v>27253</v>
      </c>
      <c r="S10853" t="s">
        <v>27254</v>
      </c>
      <c r="T10853" t="s">
        <v>27255</v>
      </c>
    </row>
    <row r="10854" spans="1:20" x14ac:dyDescent="0.3">
      <c r="A10854" t="str">
        <f>"0611833586100"</f>
        <v>0611833586100</v>
      </c>
      <c r="B10854" t="str">
        <f>"LL3667"</f>
        <v>LL3667</v>
      </c>
      <c r="C10854" t="s">
        <v>48244</v>
      </c>
      <c r="D10854" t="s">
        <v>27245</v>
      </c>
      <c r="E10854" t="str">
        <f t="shared" si="169"/>
        <v>001390</v>
      </c>
      <c r="F10854" t="s">
        <v>27246</v>
      </c>
      <c r="G10854" t="s">
        <v>27247</v>
      </c>
      <c r="H10854" t="s">
        <v>27248</v>
      </c>
      <c r="I10854" t="s">
        <v>48245</v>
      </c>
      <c r="J10854" t="s">
        <v>21722</v>
      </c>
      <c r="L10854" t="s">
        <v>27250</v>
      </c>
      <c r="M10854" t="s">
        <v>27251</v>
      </c>
      <c r="N10854" t="s">
        <v>27252</v>
      </c>
      <c r="Q10854" s="1">
        <v>44538</v>
      </c>
      <c r="R10854" t="s">
        <v>27253</v>
      </c>
      <c r="S10854" t="s">
        <v>27254</v>
      </c>
      <c r="T10854" t="s">
        <v>27255</v>
      </c>
    </row>
    <row r="10855" spans="1:20" x14ac:dyDescent="0.3">
      <c r="A10855" t="str">
        <f>"0611833587100"</f>
        <v>0611833587100</v>
      </c>
      <c r="B10855" t="str">
        <f>"LL3668"</f>
        <v>LL3668</v>
      </c>
      <c r="C10855" t="s">
        <v>48246</v>
      </c>
      <c r="D10855" t="s">
        <v>27245</v>
      </c>
      <c r="E10855" t="str">
        <f t="shared" si="169"/>
        <v>001390</v>
      </c>
      <c r="F10855" t="s">
        <v>27246</v>
      </c>
      <c r="G10855" t="s">
        <v>27247</v>
      </c>
      <c r="H10855" t="s">
        <v>27248</v>
      </c>
      <c r="I10855" t="s">
        <v>48247</v>
      </c>
      <c r="J10855" t="s">
        <v>21724</v>
      </c>
      <c r="L10855" t="s">
        <v>27250</v>
      </c>
      <c r="M10855" t="s">
        <v>27251</v>
      </c>
      <c r="N10855" t="s">
        <v>27252</v>
      </c>
      <c r="Q10855" s="1">
        <v>44538</v>
      </c>
      <c r="R10855" t="s">
        <v>27253</v>
      </c>
      <c r="S10855" t="s">
        <v>27254</v>
      </c>
      <c r="T10855" t="s">
        <v>27255</v>
      </c>
    </row>
    <row r="10856" spans="1:20" x14ac:dyDescent="0.3">
      <c r="A10856" t="str">
        <f>"0611833588100"</f>
        <v>0611833588100</v>
      </c>
      <c r="B10856" t="str">
        <f>"LL8320"</f>
        <v>LL8320</v>
      </c>
      <c r="C10856" t="s">
        <v>48248</v>
      </c>
      <c r="D10856" t="s">
        <v>27245</v>
      </c>
      <c r="E10856" t="str">
        <f t="shared" si="169"/>
        <v>001390</v>
      </c>
      <c r="F10856" t="s">
        <v>27246</v>
      </c>
      <c r="G10856" t="s">
        <v>27247</v>
      </c>
      <c r="H10856" t="s">
        <v>27248</v>
      </c>
      <c r="I10856" t="s">
        <v>48249</v>
      </c>
      <c r="J10856" t="s">
        <v>21726</v>
      </c>
      <c r="L10856" t="s">
        <v>27250</v>
      </c>
      <c r="M10856" t="s">
        <v>27251</v>
      </c>
      <c r="N10856" t="s">
        <v>27252</v>
      </c>
      <c r="Q10856" s="1">
        <v>44538</v>
      </c>
      <c r="R10856" t="s">
        <v>27253</v>
      </c>
      <c r="S10856" t="s">
        <v>27254</v>
      </c>
      <c r="T10856" t="s">
        <v>27255</v>
      </c>
    </row>
    <row r="10857" spans="1:20" x14ac:dyDescent="0.3">
      <c r="A10857" t="str">
        <f>"0611833589100"</f>
        <v>0611833589100</v>
      </c>
      <c r="B10857" t="str">
        <f>"LL0133"</f>
        <v>LL0133</v>
      </c>
      <c r="C10857" t="s">
        <v>48250</v>
      </c>
      <c r="D10857" t="s">
        <v>27245</v>
      </c>
      <c r="E10857" t="str">
        <f t="shared" si="169"/>
        <v>001390</v>
      </c>
      <c r="F10857" t="s">
        <v>27246</v>
      </c>
      <c r="G10857" t="s">
        <v>27247</v>
      </c>
      <c r="H10857" t="s">
        <v>27248</v>
      </c>
      <c r="I10857" t="s">
        <v>48251</v>
      </c>
      <c r="J10857" t="s">
        <v>21728</v>
      </c>
      <c r="L10857" t="s">
        <v>27250</v>
      </c>
      <c r="M10857" t="s">
        <v>27251</v>
      </c>
      <c r="N10857" t="s">
        <v>27252</v>
      </c>
      <c r="Q10857" s="1">
        <v>44538</v>
      </c>
      <c r="R10857" t="s">
        <v>27253</v>
      </c>
      <c r="S10857" t="s">
        <v>27254</v>
      </c>
      <c r="T10857" t="s">
        <v>27255</v>
      </c>
    </row>
    <row r="10858" spans="1:20" x14ac:dyDescent="0.3">
      <c r="A10858" t="str">
        <f>"0611833590100"</f>
        <v>0611833590100</v>
      </c>
      <c r="B10858" t="str">
        <f>"LL3676"</f>
        <v>LL3676</v>
      </c>
      <c r="C10858" t="s">
        <v>48252</v>
      </c>
      <c r="D10858" t="s">
        <v>27245</v>
      </c>
      <c r="E10858" t="str">
        <f t="shared" si="169"/>
        <v>001390</v>
      </c>
      <c r="F10858" t="s">
        <v>27246</v>
      </c>
      <c r="G10858" t="s">
        <v>27247</v>
      </c>
      <c r="H10858" t="s">
        <v>27248</v>
      </c>
      <c r="I10858" t="s">
        <v>48253</v>
      </c>
      <c r="J10858" t="s">
        <v>21730</v>
      </c>
      <c r="L10858" t="s">
        <v>27250</v>
      </c>
      <c r="M10858" t="s">
        <v>27251</v>
      </c>
      <c r="N10858" t="s">
        <v>27252</v>
      </c>
      <c r="Q10858" s="1">
        <v>44538</v>
      </c>
      <c r="R10858" t="s">
        <v>27253</v>
      </c>
      <c r="S10858" t="s">
        <v>27254</v>
      </c>
      <c r="T10858" t="s">
        <v>27255</v>
      </c>
    </row>
    <row r="10859" spans="1:20" x14ac:dyDescent="0.3">
      <c r="A10859" t="str">
        <f>"0611833592100"</f>
        <v>0611833592100</v>
      </c>
      <c r="B10859" t="str">
        <f>"LL3682"</f>
        <v>LL3682</v>
      </c>
      <c r="C10859" t="s">
        <v>48254</v>
      </c>
      <c r="D10859" t="s">
        <v>27245</v>
      </c>
      <c r="E10859" t="str">
        <f t="shared" si="169"/>
        <v>001390</v>
      </c>
      <c r="F10859" t="s">
        <v>27246</v>
      </c>
      <c r="G10859" t="s">
        <v>27247</v>
      </c>
      <c r="H10859" t="s">
        <v>27248</v>
      </c>
      <c r="I10859" t="s">
        <v>48255</v>
      </c>
      <c r="J10859" t="s">
        <v>21732</v>
      </c>
      <c r="L10859" t="s">
        <v>27250</v>
      </c>
      <c r="M10859" t="s">
        <v>27251</v>
      </c>
      <c r="N10859" t="s">
        <v>27252</v>
      </c>
      <c r="Q10859" s="1">
        <v>44538</v>
      </c>
      <c r="R10859" t="s">
        <v>27253</v>
      </c>
      <c r="S10859" t="s">
        <v>27254</v>
      </c>
      <c r="T10859" t="s">
        <v>27255</v>
      </c>
    </row>
    <row r="10860" spans="1:20" x14ac:dyDescent="0.3">
      <c r="A10860" t="str">
        <f>"0611833593100"</f>
        <v>0611833593100</v>
      </c>
      <c r="B10860" t="str">
        <f>"LL3654"</f>
        <v>LL3654</v>
      </c>
      <c r="C10860" t="s">
        <v>48256</v>
      </c>
      <c r="D10860" t="s">
        <v>27245</v>
      </c>
      <c r="E10860" t="str">
        <f t="shared" si="169"/>
        <v>001390</v>
      </c>
      <c r="F10860" t="s">
        <v>27246</v>
      </c>
      <c r="G10860" t="s">
        <v>27247</v>
      </c>
      <c r="H10860" t="s">
        <v>27248</v>
      </c>
      <c r="I10860" t="s">
        <v>48257</v>
      </c>
      <c r="J10860" t="s">
        <v>21734</v>
      </c>
      <c r="L10860" t="s">
        <v>27250</v>
      </c>
      <c r="M10860" t="s">
        <v>27251</v>
      </c>
      <c r="N10860" t="s">
        <v>27252</v>
      </c>
      <c r="Q10860" s="1">
        <v>44538</v>
      </c>
      <c r="R10860" t="s">
        <v>27253</v>
      </c>
      <c r="S10860" t="s">
        <v>27254</v>
      </c>
      <c r="T10860" t="s">
        <v>27255</v>
      </c>
    </row>
    <row r="10861" spans="1:20" x14ac:dyDescent="0.3">
      <c r="A10861" t="str">
        <f>"0611833594100"</f>
        <v>0611833594100</v>
      </c>
      <c r="B10861" t="str">
        <f>"LL3650"</f>
        <v>LL3650</v>
      </c>
      <c r="C10861" t="s">
        <v>48258</v>
      </c>
      <c r="D10861" t="s">
        <v>27245</v>
      </c>
      <c r="E10861" t="str">
        <f t="shared" si="169"/>
        <v>001390</v>
      </c>
      <c r="F10861" t="s">
        <v>27246</v>
      </c>
      <c r="G10861" t="s">
        <v>27247</v>
      </c>
      <c r="H10861" t="s">
        <v>27248</v>
      </c>
      <c r="I10861" t="s">
        <v>48259</v>
      </c>
      <c r="J10861" t="s">
        <v>21736</v>
      </c>
      <c r="L10861" t="s">
        <v>27250</v>
      </c>
      <c r="M10861" t="s">
        <v>27251</v>
      </c>
      <c r="N10861" t="s">
        <v>27252</v>
      </c>
      <c r="Q10861" s="1">
        <v>44538</v>
      </c>
      <c r="R10861" t="s">
        <v>27253</v>
      </c>
      <c r="S10861" t="s">
        <v>27254</v>
      </c>
      <c r="T10861" t="s">
        <v>27255</v>
      </c>
    </row>
    <row r="10862" spans="1:20" x14ac:dyDescent="0.3">
      <c r="A10862" t="str">
        <f>"0611833597100"</f>
        <v>0611833597100</v>
      </c>
      <c r="B10862" t="str">
        <f>"LL3655"</f>
        <v>LL3655</v>
      </c>
      <c r="C10862" t="s">
        <v>48260</v>
      </c>
      <c r="D10862" t="s">
        <v>27245</v>
      </c>
      <c r="E10862" t="str">
        <f t="shared" si="169"/>
        <v>001390</v>
      </c>
      <c r="F10862" t="s">
        <v>27246</v>
      </c>
      <c r="G10862" t="s">
        <v>27247</v>
      </c>
      <c r="H10862" t="s">
        <v>27248</v>
      </c>
      <c r="I10862" t="s">
        <v>48261</v>
      </c>
      <c r="J10862" t="s">
        <v>21738</v>
      </c>
      <c r="L10862" t="s">
        <v>27250</v>
      </c>
      <c r="M10862" t="s">
        <v>27251</v>
      </c>
      <c r="N10862" t="s">
        <v>27252</v>
      </c>
      <c r="Q10862" s="1">
        <v>44538</v>
      </c>
      <c r="R10862" t="s">
        <v>27253</v>
      </c>
      <c r="S10862" t="s">
        <v>27254</v>
      </c>
      <c r="T10862" t="s">
        <v>27255</v>
      </c>
    </row>
    <row r="10863" spans="1:20" x14ac:dyDescent="0.3">
      <c r="A10863" t="str">
        <f>"0611833600100"</f>
        <v>0611833600100</v>
      </c>
      <c r="B10863" t="str">
        <f>"LL8296"</f>
        <v>LL8296</v>
      </c>
      <c r="C10863" t="s">
        <v>48262</v>
      </c>
      <c r="D10863" t="s">
        <v>27245</v>
      </c>
      <c r="E10863" t="str">
        <f t="shared" si="169"/>
        <v>001390</v>
      </c>
      <c r="F10863" t="s">
        <v>27246</v>
      </c>
      <c r="G10863" t="s">
        <v>27247</v>
      </c>
      <c r="H10863" t="s">
        <v>27248</v>
      </c>
      <c r="I10863" t="s">
        <v>48263</v>
      </c>
      <c r="J10863" t="s">
        <v>21740</v>
      </c>
      <c r="L10863" t="s">
        <v>27250</v>
      </c>
      <c r="M10863" t="s">
        <v>27251</v>
      </c>
      <c r="N10863" t="s">
        <v>27252</v>
      </c>
      <c r="Q10863" s="1">
        <v>44538</v>
      </c>
      <c r="R10863" t="s">
        <v>27253</v>
      </c>
      <c r="S10863" t="s">
        <v>27254</v>
      </c>
      <c r="T10863" t="s">
        <v>27255</v>
      </c>
    </row>
    <row r="10864" spans="1:20" x14ac:dyDescent="0.3">
      <c r="A10864" t="str">
        <f>"0611833602100"</f>
        <v>0611833602100</v>
      </c>
      <c r="B10864" t="str">
        <f>"LL8231"</f>
        <v>LL8231</v>
      </c>
      <c r="C10864" t="s">
        <v>48264</v>
      </c>
      <c r="D10864" t="s">
        <v>27245</v>
      </c>
      <c r="E10864" t="str">
        <f t="shared" si="169"/>
        <v>001390</v>
      </c>
      <c r="F10864" t="s">
        <v>27246</v>
      </c>
      <c r="G10864" t="s">
        <v>27247</v>
      </c>
      <c r="H10864" t="s">
        <v>27248</v>
      </c>
      <c r="I10864" t="s">
        <v>48265</v>
      </c>
      <c r="J10864" t="s">
        <v>21742</v>
      </c>
      <c r="L10864" t="s">
        <v>27250</v>
      </c>
      <c r="M10864" t="s">
        <v>27251</v>
      </c>
      <c r="N10864" t="s">
        <v>27252</v>
      </c>
      <c r="Q10864" s="1">
        <v>44538</v>
      </c>
      <c r="R10864" t="s">
        <v>27253</v>
      </c>
      <c r="S10864" t="s">
        <v>27254</v>
      </c>
      <c r="T10864" t="s">
        <v>27255</v>
      </c>
    </row>
    <row r="10865" spans="1:20" x14ac:dyDescent="0.3">
      <c r="A10865" t="str">
        <f>"0611833603100"</f>
        <v>0611833603100</v>
      </c>
      <c r="B10865" t="str">
        <f>"LL3664"</f>
        <v>LL3664</v>
      </c>
      <c r="C10865" t="s">
        <v>48266</v>
      </c>
      <c r="D10865" t="s">
        <v>27245</v>
      </c>
      <c r="E10865" t="str">
        <f t="shared" si="169"/>
        <v>001390</v>
      </c>
      <c r="F10865" t="s">
        <v>27246</v>
      </c>
      <c r="G10865" t="s">
        <v>27247</v>
      </c>
      <c r="H10865" t="s">
        <v>27248</v>
      </c>
      <c r="I10865" t="s">
        <v>48267</v>
      </c>
      <c r="J10865" t="s">
        <v>21744</v>
      </c>
      <c r="L10865" t="s">
        <v>27250</v>
      </c>
      <c r="M10865" t="s">
        <v>27251</v>
      </c>
      <c r="N10865" t="s">
        <v>27252</v>
      </c>
      <c r="Q10865" s="1">
        <v>44538</v>
      </c>
      <c r="R10865" t="s">
        <v>27253</v>
      </c>
      <c r="S10865" t="s">
        <v>27254</v>
      </c>
      <c r="T10865" t="s">
        <v>27255</v>
      </c>
    </row>
    <row r="10866" spans="1:20" x14ac:dyDescent="0.3">
      <c r="A10866" t="str">
        <f>"0611833604100"</f>
        <v>0611833604100</v>
      </c>
      <c r="B10866" t="str">
        <f>"LL3671"</f>
        <v>LL3671</v>
      </c>
      <c r="C10866" t="s">
        <v>48268</v>
      </c>
      <c r="D10866" t="s">
        <v>27245</v>
      </c>
      <c r="E10866" t="str">
        <f t="shared" si="169"/>
        <v>001390</v>
      </c>
      <c r="F10866" t="s">
        <v>27246</v>
      </c>
      <c r="G10866" t="s">
        <v>27247</v>
      </c>
      <c r="H10866" t="s">
        <v>27248</v>
      </c>
      <c r="I10866" t="s">
        <v>48269</v>
      </c>
      <c r="J10866" t="s">
        <v>21746</v>
      </c>
      <c r="L10866" t="s">
        <v>27250</v>
      </c>
      <c r="M10866" t="s">
        <v>27251</v>
      </c>
      <c r="N10866" t="s">
        <v>27252</v>
      </c>
      <c r="Q10866" s="1">
        <v>44538</v>
      </c>
      <c r="R10866" t="s">
        <v>27253</v>
      </c>
      <c r="S10866" t="s">
        <v>27254</v>
      </c>
      <c r="T10866" t="s">
        <v>27255</v>
      </c>
    </row>
    <row r="10867" spans="1:20" x14ac:dyDescent="0.3">
      <c r="A10867" t="str">
        <f>"0611838730100"</f>
        <v>0611838730100</v>
      </c>
      <c r="B10867" t="str">
        <f>"LF6500"</f>
        <v>LF6500</v>
      </c>
      <c r="C10867" t="s">
        <v>48270</v>
      </c>
      <c r="D10867" t="s">
        <v>27245</v>
      </c>
      <c r="E10867" t="str">
        <f t="shared" si="169"/>
        <v>001390</v>
      </c>
      <c r="F10867" t="s">
        <v>27246</v>
      </c>
      <c r="G10867" t="s">
        <v>27247</v>
      </c>
      <c r="H10867" t="s">
        <v>27248</v>
      </c>
      <c r="I10867" t="s">
        <v>48271</v>
      </c>
      <c r="J10867" t="s">
        <v>21748</v>
      </c>
      <c r="L10867" t="s">
        <v>27250</v>
      </c>
      <c r="M10867" t="s">
        <v>27251</v>
      </c>
      <c r="N10867" t="s">
        <v>27252</v>
      </c>
      <c r="Q10867" s="1">
        <v>44538</v>
      </c>
      <c r="R10867" t="s">
        <v>27253</v>
      </c>
      <c r="S10867" t="s">
        <v>27254</v>
      </c>
      <c r="T10867" t="s">
        <v>27255</v>
      </c>
    </row>
    <row r="10868" spans="1:20" x14ac:dyDescent="0.3">
      <c r="A10868" t="str">
        <f>"0611838731100"</f>
        <v>0611838731100</v>
      </c>
      <c r="B10868" t="str">
        <f>"LL0122"</f>
        <v>LL0122</v>
      </c>
      <c r="C10868" t="s">
        <v>48272</v>
      </c>
      <c r="D10868" t="s">
        <v>27245</v>
      </c>
      <c r="E10868" t="str">
        <f t="shared" si="169"/>
        <v>001390</v>
      </c>
      <c r="F10868" t="s">
        <v>27246</v>
      </c>
      <c r="G10868" t="s">
        <v>27247</v>
      </c>
      <c r="H10868" t="s">
        <v>27248</v>
      </c>
      <c r="I10868" t="s">
        <v>48273</v>
      </c>
      <c r="J10868" t="s">
        <v>21754</v>
      </c>
      <c r="L10868" t="s">
        <v>27250</v>
      </c>
      <c r="M10868" t="s">
        <v>27251</v>
      </c>
      <c r="N10868" t="s">
        <v>27252</v>
      </c>
      <c r="Q10868" s="1">
        <v>44538</v>
      </c>
      <c r="R10868" t="s">
        <v>27253</v>
      </c>
      <c r="S10868" t="s">
        <v>27254</v>
      </c>
      <c r="T10868" t="s">
        <v>27255</v>
      </c>
    </row>
    <row r="10869" spans="1:20" x14ac:dyDescent="0.3">
      <c r="A10869" t="str">
        <f>"0611838732100"</f>
        <v>0611838732100</v>
      </c>
      <c r="B10869" t="str">
        <f>"LB9920"</f>
        <v>LB9920</v>
      </c>
      <c r="C10869" t="s">
        <v>48274</v>
      </c>
      <c r="D10869" t="s">
        <v>27245</v>
      </c>
      <c r="E10869" t="str">
        <f t="shared" si="169"/>
        <v>001390</v>
      </c>
      <c r="F10869" t="s">
        <v>27246</v>
      </c>
      <c r="G10869" t="s">
        <v>27247</v>
      </c>
      <c r="H10869" t="s">
        <v>27248</v>
      </c>
      <c r="I10869" t="s">
        <v>48275</v>
      </c>
      <c r="J10869" t="s">
        <v>21756</v>
      </c>
      <c r="L10869" t="s">
        <v>27250</v>
      </c>
      <c r="M10869" t="s">
        <v>27251</v>
      </c>
      <c r="N10869" t="s">
        <v>27252</v>
      </c>
      <c r="Q10869" s="1">
        <v>44538</v>
      </c>
      <c r="R10869" t="s">
        <v>27253</v>
      </c>
      <c r="S10869" t="s">
        <v>27254</v>
      </c>
      <c r="T10869" t="s">
        <v>27255</v>
      </c>
    </row>
    <row r="10870" spans="1:20" x14ac:dyDescent="0.3">
      <c r="A10870" t="str">
        <f>"0611838751100"</f>
        <v>0611838751100</v>
      </c>
      <c r="B10870" t="str">
        <f>"LG5415"</f>
        <v>LG5415</v>
      </c>
      <c r="C10870" t="s">
        <v>48276</v>
      </c>
      <c r="D10870" t="s">
        <v>27245</v>
      </c>
      <c r="E10870" t="str">
        <f t="shared" si="169"/>
        <v>001390</v>
      </c>
      <c r="F10870" t="s">
        <v>27246</v>
      </c>
      <c r="G10870" t="s">
        <v>27247</v>
      </c>
      <c r="H10870" t="s">
        <v>27248</v>
      </c>
      <c r="I10870" t="s">
        <v>48277</v>
      </c>
      <c r="J10870" t="s">
        <v>21758</v>
      </c>
      <c r="L10870" t="s">
        <v>27250</v>
      </c>
      <c r="M10870" t="s">
        <v>27251</v>
      </c>
      <c r="N10870" t="s">
        <v>27252</v>
      </c>
      <c r="Q10870" s="1">
        <v>44538</v>
      </c>
      <c r="R10870" t="s">
        <v>27253</v>
      </c>
      <c r="S10870" t="s">
        <v>27254</v>
      </c>
      <c r="T10870" t="s">
        <v>27255</v>
      </c>
    </row>
    <row r="10871" spans="1:20" x14ac:dyDescent="0.3">
      <c r="A10871" t="str">
        <f>"0611838733100"</f>
        <v>0611838733100</v>
      </c>
      <c r="B10871" t="str">
        <f>"LS0115"</f>
        <v>LS0115</v>
      </c>
      <c r="C10871" t="s">
        <v>48278</v>
      </c>
      <c r="D10871" t="s">
        <v>27245</v>
      </c>
      <c r="E10871" t="str">
        <f t="shared" si="169"/>
        <v>001390</v>
      </c>
      <c r="F10871" t="s">
        <v>27246</v>
      </c>
      <c r="G10871" t="s">
        <v>27247</v>
      </c>
      <c r="H10871" t="s">
        <v>27248</v>
      </c>
      <c r="I10871" t="s">
        <v>48279</v>
      </c>
      <c r="J10871" t="s">
        <v>21760</v>
      </c>
      <c r="L10871" t="s">
        <v>27250</v>
      </c>
      <c r="M10871" t="s">
        <v>27251</v>
      </c>
      <c r="N10871" t="s">
        <v>27252</v>
      </c>
      <c r="Q10871" s="1">
        <v>44538</v>
      </c>
      <c r="R10871" t="s">
        <v>27253</v>
      </c>
      <c r="S10871" t="s">
        <v>27254</v>
      </c>
      <c r="T10871" t="s">
        <v>27255</v>
      </c>
    </row>
    <row r="10872" spans="1:20" x14ac:dyDescent="0.3">
      <c r="A10872" t="str">
        <f>"0611838734100"</f>
        <v>0611838734100</v>
      </c>
      <c r="B10872" t="str">
        <f>"LK4525"</f>
        <v>LK4525</v>
      </c>
      <c r="C10872" t="s">
        <v>48280</v>
      </c>
      <c r="D10872" t="s">
        <v>28138</v>
      </c>
      <c r="E10872" t="str">
        <f t="shared" si="169"/>
        <v>001390</v>
      </c>
      <c r="F10872" t="s">
        <v>27246</v>
      </c>
      <c r="G10872" t="s">
        <v>27247</v>
      </c>
      <c r="H10872" t="s">
        <v>27248</v>
      </c>
      <c r="I10872" t="s">
        <v>48281</v>
      </c>
      <c r="J10872" t="s">
        <v>21762</v>
      </c>
      <c r="L10872" t="s">
        <v>27250</v>
      </c>
      <c r="M10872" t="s">
        <v>27251</v>
      </c>
      <c r="N10872" t="s">
        <v>27252</v>
      </c>
      <c r="P10872" t="s">
        <v>27925</v>
      </c>
      <c r="Q10872" s="1">
        <v>44538</v>
      </c>
      <c r="R10872" t="s">
        <v>27253</v>
      </c>
      <c r="S10872" t="s">
        <v>27254</v>
      </c>
      <c r="T10872" t="s">
        <v>27255</v>
      </c>
    </row>
    <row r="10873" spans="1:20" x14ac:dyDescent="0.3">
      <c r="A10873" t="str">
        <f>"0611857096100"</f>
        <v>0611857096100</v>
      </c>
      <c r="B10873" t="str">
        <f>"LK7103"</f>
        <v>LK7103</v>
      </c>
      <c r="C10873" t="s">
        <v>48282</v>
      </c>
      <c r="D10873" t="s">
        <v>28138</v>
      </c>
      <c r="E10873" t="str">
        <f t="shared" si="169"/>
        <v>001390</v>
      </c>
      <c r="F10873" t="s">
        <v>27246</v>
      </c>
      <c r="G10873" t="s">
        <v>27247</v>
      </c>
      <c r="H10873" t="s">
        <v>27248</v>
      </c>
      <c r="I10873" t="s">
        <v>48283</v>
      </c>
      <c r="J10873" t="s">
        <v>21764</v>
      </c>
      <c r="L10873" t="s">
        <v>27250</v>
      </c>
      <c r="M10873" t="s">
        <v>27251</v>
      </c>
      <c r="N10873" t="s">
        <v>27252</v>
      </c>
      <c r="P10873" t="s">
        <v>27925</v>
      </c>
      <c r="Q10873" s="1">
        <v>44812</v>
      </c>
      <c r="R10873" t="s">
        <v>27253</v>
      </c>
      <c r="S10873" t="s">
        <v>27254</v>
      </c>
      <c r="T10873" t="s">
        <v>27255</v>
      </c>
    </row>
    <row r="10874" spans="1:20" x14ac:dyDescent="0.3">
      <c r="A10874" t="str">
        <f>"0611838735100"</f>
        <v>0611838735100</v>
      </c>
      <c r="B10874" t="str">
        <f>"LK6661"</f>
        <v>LK6661</v>
      </c>
      <c r="C10874" t="s">
        <v>48284</v>
      </c>
      <c r="D10874" t="s">
        <v>28138</v>
      </c>
      <c r="E10874" t="str">
        <f t="shared" si="169"/>
        <v>001390</v>
      </c>
      <c r="F10874" t="s">
        <v>27246</v>
      </c>
      <c r="G10874" t="s">
        <v>27247</v>
      </c>
      <c r="H10874" t="s">
        <v>27248</v>
      </c>
      <c r="I10874" t="s">
        <v>48285</v>
      </c>
      <c r="J10874" t="s">
        <v>21766</v>
      </c>
      <c r="L10874" t="s">
        <v>27250</v>
      </c>
      <c r="M10874" t="s">
        <v>27251</v>
      </c>
      <c r="N10874" t="s">
        <v>27252</v>
      </c>
      <c r="P10874" t="s">
        <v>27925</v>
      </c>
      <c r="Q10874" s="1">
        <v>44538</v>
      </c>
      <c r="R10874" t="s">
        <v>27253</v>
      </c>
      <c r="S10874" t="s">
        <v>27254</v>
      </c>
      <c r="T10874" t="s">
        <v>27255</v>
      </c>
    </row>
    <row r="10875" spans="1:20" x14ac:dyDescent="0.3">
      <c r="A10875" t="str">
        <f>"0611838736100"</f>
        <v>0611838736100</v>
      </c>
      <c r="B10875" t="str">
        <f>"LK6877"</f>
        <v>LK6877</v>
      </c>
      <c r="C10875" t="s">
        <v>48286</v>
      </c>
      <c r="D10875" t="s">
        <v>28138</v>
      </c>
      <c r="E10875" t="str">
        <f t="shared" si="169"/>
        <v>001390</v>
      </c>
      <c r="F10875" t="s">
        <v>27246</v>
      </c>
      <c r="G10875" t="s">
        <v>27247</v>
      </c>
      <c r="H10875" t="s">
        <v>27248</v>
      </c>
      <c r="I10875" t="s">
        <v>48287</v>
      </c>
      <c r="J10875" t="s">
        <v>21768</v>
      </c>
      <c r="L10875" t="s">
        <v>27250</v>
      </c>
      <c r="M10875" t="s">
        <v>27251</v>
      </c>
      <c r="N10875" t="s">
        <v>27252</v>
      </c>
      <c r="P10875" t="s">
        <v>27925</v>
      </c>
      <c r="Q10875" s="1">
        <v>44538</v>
      </c>
      <c r="R10875" t="s">
        <v>27253</v>
      </c>
      <c r="S10875" t="s">
        <v>27254</v>
      </c>
      <c r="T10875" t="s">
        <v>27255</v>
      </c>
    </row>
    <row r="10876" spans="1:20" x14ac:dyDescent="0.3">
      <c r="A10876" t="str">
        <f>"0611838737100"</f>
        <v>0611838737100</v>
      </c>
      <c r="B10876" t="str">
        <f>"LK5919"</f>
        <v>LK5919</v>
      </c>
      <c r="C10876" t="s">
        <v>48288</v>
      </c>
      <c r="D10876" t="s">
        <v>28138</v>
      </c>
      <c r="E10876" t="str">
        <f t="shared" si="169"/>
        <v>001390</v>
      </c>
      <c r="F10876" t="s">
        <v>27246</v>
      </c>
      <c r="G10876" t="s">
        <v>27247</v>
      </c>
      <c r="H10876" t="s">
        <v>27248</v>
      </c>
      <c r="I10876" t="s">
        <v>48289</v>
      </c>
      <c r="J10876" t="s">
        <v>21770</v>
      </c>
      <c r="L10876" t="s">
        <v>27250</v>
      </c>
      <c r="M10876" t="s">
        <v>27251</v>
      </c>
      <c r="N10876" t="s">
        <v>27252</v>
      </c>
      <c r="P10876" t="s">
        <v>27925</v>
      </c>
      <c r="Q10876" s="1">
        <v>44538</v>
      </c>
      <c r="R10876" t="s">
        <v>27253</v>
      </c>
      <c r="S10876" t="s">
        <v>27254</v>
      </c>
      <c r="T10876" t="s">
        <v>27255</v>
      </c>
    </row>
    <row r="10877" spans="1:20" x14ac:dyDescent="0.3">
      <c r="A10877" t="str">
        <f>"0611838738100"</f>
        <v>0611838738100</v>
      </c>
      <c r="B10877" t="str">
        <f>"LK5920"</f>
        <v>LK5920</v>
      </c>
      <c r="C10877" t="s">
        <v>48290</v>
      </c>
      <c r="D10877" t="s">
        <v>28138</v>
      </c>
      <c r="E10877" t="str">
        <f t="shared" si="169"/>
        <v>001390</v>
      </c>
      <c r="F10877" t="s">
        <v>27246</v>
      </c>
      <c r="G10877" t="s">
        <v>27247</v>
      </c>
      <c r="H10877" t="s">
        <v>27248</v>
      </c>
      <c r="I10877" t="s">
        <v>48291</v>
      </c>
      <c r="J10877" t="s">
        <v>21772</v>
      </c>
      <c r="L10877" t="s">
        <v>27250</v>
      </c>
      <c r="M10877" t="s">
        <v>27251</v>
      </c>
      <c r="N10877" t="s">
        <v>27252</v>
      </c>
      <c r="P10877" t="s">
        <v>27925</v>
      </c>
      <c r="Q10877" s="1">
        <v>44538</v>
      </c>
      <c r="R10877" t="s">
        <v>27253</v>
      </c>
      <c r="S10877" t="s">
        <v>27254</v>
      </c>
      <c r="T10877" t="s">
        <v>27255</v>
      </c>
    </row>
    <row r="10878" spans="1:20" x14ac:dyDescent="0.3">
      <c r="A10878" t="str">
        <f>"0611838739100"</f>
        <v>0611838739100</v>
      </c>
      <c r="B10878" t="str">
        <f>"LK6279"</f>
        <v>LK6279</v>
      </c>
      <c r="C10878" t="s">
        <v>48292</v>
      </c>
      <c r="D10878" t="s">
        <v>28138</v>
      </c>
      <c r="E10878" t="str">
        <f t="shared" si="169"/>
        <v>001390</v>
      </c>
      <c r="F10878" t="s">
        <v>27246</v>
      </c>
      <c r="G10878" t="s">
        <v>27247</v>
      </c>
      <c r="H10878" t="s">
        <v>27248</v>
      </c>
      <c r="I10878" t="s">
        <v>48293</v>
      </c>
      <c r="J10878" t="s">
        <v>21774</v>
      </c>
      <c r="L10878" t="s">
        <v>27250</v>
      </c>
      <c r="M10878" t="s">
        <v>27251</v>
      </c>
      <c r="N10878" t="s">
        <v>27252</v>
      </c>
      <c r="P10878" t="s">
        <v>27925</v>
      </c>
      <c r="Q10878" s="1">
        <v>44538</v>
      </c>
      <c r="R10878" t="s">
        <v>27253</v>
      </c>
      <c r="S10878" t="s">
        <v>27254</v>
      </c>
      <c r="T10878" t="s">
        <v>27255</v>
      </c>
    </row>
    <row r="10879" spans="1:20" x14ac:dyDescent="0.3">
      <c r="A10879" t="str">
        <f>"0611838741100"</f>
        <v>0611838741100</v>
      </c>
      <c r="B10879" t="str">
        <f>"LK4026"</f>
        <v>LK4026</v>
      </c>
      <c r="C10879" t="s">
        <v>48294</v>
      </c>
      <c r="D10879" t="s">
        <v>28138</v>
      </c>
      <c r="E10879" t="str">
        <f t="shared" si="169"/>
        <v>001390</v>
      </c>
      <c r="F10879" t="s">
        <v>27246</v>
      </c>
      <c r="G10879" t="s">
        <v>27247</v>
      </c>
      <c r="H10879" t="s">
        <v>27248</v>
      </c>
      <c r="I10879" t="s">
        <v>48295</v>
      </c>
      <c r="J10879" t="s">
        <v>21776</v>
      </c>
      <c r="L10879" t="s">
        <v>27250</v>
      </c>
      <c r="M10879" t="s">
        <v>27251</v>
      </c>
      <c r="N10879" t="s">
        <v>27252</v>
      </c>
      <c r="P10879" t="s">
        <v>27925</v>
      </c>
      <c r="Q10879" s="1">
        <v>44538</v>
      </c>
      <c r="R10879" t="s">
        <v>27253</v>
      </c>
      <c r="S10879" t="s">
        <v>27254</v>
      </c>
      <c r="T10879" t="s">
        <v>27255</v>
      </c>
    </row>
    <row r="10880" spans="1:20" x14ac:dyDescent="0.3">
      <c r="A10880" t="str">
        <f>"0611838743100"</f>
        <v>0611838743100</v>
      </c>
      <c r="B10880" t="str">
        <f>"LK2384"</f>
        <v>LK2384</v>
      </c>
      <c r="C10880" t="s">
        <v>48296</v>
      </c>
      <c r="D10880" t="s">
        <v>28138</v>
      </c>
      <c r="E10880" t="str">
        <f t="shared" si="169"/>
        <v>001390</v>
      </c>
      <c r="F10880" t="s">
        <v>27246</v>
      </c>
      <c r="G10880" t="s">
        <v>27247</v>
      </c>
      <c r="H10880" t="s">
        <v>27248</v>
      </c>
      <c r="I10880" t="s">
        <v>48297</v>
      </c>
      <c r="J10880" t="s">
        <v>21778</v>
      </c>
      <c r="L10880" t="s">
        <v>27250</v>
      </c>
      <c r="M10880" t="s">
        <v>27251</v>
      </c>
      <c r="N10880" t="s">
        <v>27252</v>
      </c>
      <c r="P10880" t="s">
        <v>27925</v>
      </c>
      <c r="Q10880" s="1">
        <v>44538</v>
      </c>
      <c r="R10880" t="s">
        <v>27253</v>
      </c>
      <c r="S10880" t="s">
        <v>27254</v>
      </c>
      <c r="T10880" t="s">
        <v>27255</v>
      </c>
    </row>
    <row r="10881" spans="1:20" x14ac:dyDescent="0.3">
      <c r="A10881" t="str">
        <f>"0611838745100"</f>
        <v>0611838745100</v>
      </c>
      <c r="B10881" t="str">
        <f>"LK4526"</f>
        <v>LK4526</v>
      </c>
      <c r="C10881" t="s">
        <v>48298</v>
      </c>
      <c r="D10881" t="s">
        <v>28138</v>
      </c>
      <c r="E10881" t="str">
        <f t="shared" si="169"/>
        <v>001390</v>
      </c>
      <c r="F10881" t="s">
        <v>27246</v>
      </c>
      <c r="G10881" t="s">
        <v>27247</v>
      </c>
      <c r="H10881" t="s">
        <v>27248</v>
      </c>
      <c r="I10881" t="s">
        <v>48299</v>
      </c>
      <c r="J10881" t="s">
        <v>21780</v>
      </c>
      <c r="L10881" t="s">
        <v>27250</v>
      </c>
      <c r="M10881" t="s">
        <v>27251</v>
      </c>
      <c r="N10881" t="s">
        <v>27252</v>
      </c>
      <c r="P10881" t="s">
        <v>27925</v>
      </c>
      <c r="Q10881" s="1">
        <v>44538</v>
      </c>
      <c r="R10881" t="s">
        <v>27253</v>
      </c>
      <c r="S10881" t="s">
        <v>27254</v>
      </c>
      <c r="T10881" t="s">
        <v>27255</v>
      </c>
    </row>
    <row r="10882" spans="1:20" x14ac:dyDescent="0.3">
      <c r="A10882" t="str">
        <f>"0611838746100"</f>
        <v>0611838746100</v>
      </c>
      <c r="B10882" t="str">
        <f>"LK5922"</f>
        <v>LK5922</v>
      </c>
      <c r="C10882" t="s">
        <v>48300</v>
      </c>
      <c r="D10882" t="s">
        <v>28138</v>
      </c>
      <c r="E10882" t="str">
        <f t="shared" ref="E10882:E10945" si="170">"001390"</f>
        <v>001390</v>
      </c>
      <c r="F10882" t="s">
        <v>27246</v>
      </c>
      <c r="G10882" t="s">
        <v>27247</v>
      </c>
      <c r="H10882" t="s">
        <v>27248</v>
      </c>
      <c r="I10882" t="s">
        <v>48301</v>
      </c>
      <c r="J10882" t="s">
        <v>21782</v>
      </c>
      <c r="L10882" t="s">
        <v>27250</v>
      </c>
      <c r="M10882" t="s">
        <v>27251</v>
      </c>
      <c r="N10882" t="s">
        <v>27252</v>
      </c>
      <c r="P10882" t="s">
        <v>27925</v>
      </c>
      <c r="Q10882" s="1">
        <v>44538</v>
      </c>
      <c r="R10882" t="s">
        <v>27253</v>
      </c>
      <c r="S10882" t="s">
        <v>27254</v>
      </c>
      <c r="T10882" t="s">
        <v>27255</v>
      </c>
    </row>
    <row r="10883" spans="1:20" x14ac:dyDescent="0.3">
      <c r="A10883" t="str">
        <f>"0611838748100"</f>
        <v>0611838748100</v>
      </c>
      <c r="B10883" t="str">
        <f>"LK7034"</f>
        <v>LK7034</v>
      </c>
      <c r="C10883" t="s">
        <v>48302</v>
      </c>
      <c r="D10883" t="s">
        <v>28138</v>
      </c>
      <c r="E10883" t="str">
        <f t="shared" si="170"/>
        <v>001390</v>
      </c>
      <c r="F10883" t="s">
        <v>27246</v>
      </c>
      <c r="G10883" t="s">
        <v>27247</v>
      </c>
      <c r="H10883" t="s">
        <v>27248</v>
      </c>
      <c r="I10883" t="s">
        <v>48303</v>
      </c>
      <c r="J10883" t="s">
        <v>21784</v>
      </c>
      <c r="L10883" t="s">
        <v>27250</v>
      </c>
      <c r="M10883" t="s">
        <v>27251</v>
      </c>
      <c r="N10883" t="s">
        <v>27252</v>
      </c>
      <c r="P10883" t="s">
        <v>27925</v>
      </c>
      <c r="Q10883" s="1">
        <v>44538</v>
      </c>
      <c r="R10883" t="s">
        <v>27253</v>
      </c>
      <c r="S10883" t="s">
        <v>27254</v>
      </c>
      <c r="T10883" t="s">
        <v>27255</v>
      </c>
    </row>
    <row r="10884" spans="1:20" x14ac:dyDescent="0.3">
      <c r="A10884" t="str">
        <f>"0611838749100"</f>
        <v>0611838749100</v>
      </c>
      <c r="B10884" t="str">
        <f>"LK3002"</f>
        <v>LK3002</v>
      </c>
      <c r="C10884" t="s">
        <v>48304</v>
      </c>
      <c r="D10884" t="s">
        <v>28138</v>
      </c>
      <c r="E10884" t="str">
        <f t="shared" si="170"/>
        <v>001390</v>
      </c>
      <c r="F10884" t="s">
        <v>27246</v>
      </c>
      <c r="G10884" t="s">
        <v>27247</v>
      </c>
      <c r="H10884" t="s">
        <v>27248</v>
      </c>
      <c r="I10884" t="s">
        <v>48305</v>
      </c>
      <c r="J10884" t="s">
        <v>21786</v>
      </c>
      <c r="L10884" t="s">
        <v>27250</v>
      </c>
      <c r="M10884" t="s">
        <v>27251</v>
      </c>
      <c r="N10884" t="s">
        <v>27252</v>
      </c>
      <c r="P10884" t="s">
        <v>27925</v>
      </c>
      <c r="Q10884" s="1">
        <v>44538</v>
      </c>
      <c r="R10884" t="s">
        <v>27253</v>
      </c>
      <c r="S10884" t="s">
        <v>27254</v>
      </c>
      <c r="T10884" t="s">
        <v>27255</v>
      </c>
    </row>
    <row r="10885" spans="1:20" x14ac:dyDescent="0.3">
      <c r="A10885" t="str">
        <f>"0611838750100"</f>
        <v>0611838750100</v>
      </c>
      <c r="B10885" t="str">
        <f>"LK6813"</f>
        <v>LK6813</v>
      </c>
      <c r="C10885" t="s">
        <v>48306</v>
      </c>
      <c r="D10885" t="s">
        <v>28138</v>
      </c>
      <c r="E10885" t="str">
        <f t="shared" si="170"/>
        <v>001390</v>
      </c>
      <c r="F10885" t="s">
        <v>27246</v>
      </c>
      <c r="G10885" t="s">
        <v>27247</v>
      </c>
      <c r="H10885" t="s">
        <v>27248</v>
      </c>
      <c r="I10885" t="s">
        <v>48307</v>
      </c>
      <c r="J10885" t="s">
        <v>21788</v>
      </c>
      <c r="L10885" t="s">
        <v>27250</v>
      </c>
      <c r="M10885" t="s">
        <v>27251</v>
      </c>
      <c r="N10885" t="s">
        <v>27252</v>
      </c>
      <c r="P10885" t="s">
        <v>27925</v>
      </c>
      <c r="Q10885" s="1">
        <v>44538</v>
      </c>
      <c r="R10885" t="s">
        <v>27253</v>
      </c>
      <c r="S10885" t="s">
        <v>27254</v>
      </c>
      <c r="T10885" t="s">
        <v>27255</v>
      </c>
    </row>
    <row r="10886" spans="1:20" x14ac:dyDescent="0.3">
      <c r="A10886" t="str">
        <f>"0611838752100"</f>
        <v>0611838752100</v>
      </c>
      <c r="B10886" t="str">
        <f>"LK5923"</f>
        <v>LK5923</v>
      </c>
      <c r="C10886" t="s">
        <v>48308</v>
      </c>
      <c r="D10886" t="s">
        <v>27245</v>
      </c>
      <c r="E10886" t="str">
        <f t="shared" si="170"/>
        <v>001390</v>
      </c>
      <c r="F10886" t="s">
        <v>27246</v>
      </c>
      <c r="G10886" t="s">
        <v>27247</v>
      </c>
      <c r="H10886" t="s">
        <v>27248</v>
      </c>
      <c r="I10886" t="s">
        <v>48309</v>
      </c>
      <c r="J10886" t="s">
        <v>21790</v>
      </c>
      <c r="L10886" t="s">
        <v>27250</v>
      </c>
      <c r="M10886" t="s">
        <v>27251</v>
      </c>
      <c r="N10886" t="s">
        <v>27252</v>
      </c>
      <c r="Q10886" s="1">
        <v>44538</v>
      </c>
      <c r="R10886" t="s">
        <v>27253</v>
      </c>
      <c r="S10886" t="s">
        <v>27254</v>
      </c>
      <c r="T10886" t="s">
        <v>27255</v>
      </c>
    </row>
    <row r="10887" spans="1:20" x14ac:dyDescent="0.3">
      <c r="A10887" t="str">
        <f>"0611838753100"</f>
        <v>0611838753100</v>
      </c>
      <c r="B10887" t="str">
        <f>"LL8232"</f>
        <v>LL8232</v>
      </c>
      <c r="C10887" t="s">
        <v>48310</v>
      </c>
      <c r="D10887" t="s">
        <v>27245</v>
      </c>
      <c r="E10887" t="str">
        <f t="shared" si="170"/>
        <v>001390</v>
      </c>
      <c r="F10887" t="s">
        <v>27246</v>
      </c>
      <c r="G10887" t="s">
        <v>27247</v>
      </c>
      <c r="H10887" t="s">
        <v>27248</v>
      </c>
      <c r="I10887" t="s">
        <v>48311</v>
      </c>
      <c r="J10887" t="s">
        <v>21750</v>
      </c>
      <c r="L10887" t="s">
        <v>27250</v>
      </c>
      <c r="M10887" t="s">
        <v>27251</v>
      </c>
      <c r="N10887" t="s">
        <v>27252</v>
      </c>
      <c r="Q10887" s="1">
        <v>44538</v>
      </c>
      <c r="R10887" t="s">
        <v>27253</v>
      </c>
      <c r="S10887" t="s">
        <v>27254</v>
      </c>
      <c r="T10887" t="s">
        <v>27255</v>
      </c>
    </row>
    <row r="10888" spans="1:20" x14ac:dyDescent="0.3">
      <c r="A10888" t="str">
        <f>"0611838754100"</f>
        <v>0611838754100</v>
      </c>
      <c r="B10888" t="str">
        <f>"LL0094"</f>
        <v>LL0094</v>
      </c>
      <c r="C10888" t="s">
        <v>48312</v>
      </c>
      <c r="D10888" t="s">
        <v>27245</v>
      </c>
      <c r="E10888" t="str">
        <f t="shared" si="170"/>
        <v>001390</v>
      </c>
      <c r="F10888" t="s">
        <v>27246</v>
      </c>
      <c r="G10888" t="s">
        <v>27247</v>
      </c>
      <c r="H10888" t="s">
        <v>27248</v>
      </c>
      <c r="I10888" t="s">
        <v>48313</v>
      </c>
      <c r="J10888" t="s">
        <v>21752</v>
      </c>
      <c r="L10888" t="s">
        <v>27250</v>
      </c>
      <c r="M10888" t="s">
        <v>27251</v>
      </c>
      <c r="N10888" t="s">
        <v>27252</v>
      </c>
      <c r="Q10888" s="1">
        <v>44538</v>
      </c>
      <c r="R10888" t="s">
        <v>27253</v>
      </c>
      <c r="S10888" t="s">
        <v>27254</v>
      </c>
      <c r="T10888" t="s">
        <v>27255</v>
      </c>
    </row>
    <row r="10889" spans="1:20" x14ac:dyDescent="0.3">
      <c r="A10889" t="str">
        <f>"0611838755025"</f>
        <v>0611838755025</v>
      </c>
      <c r="B10889" t="str">
        <f>"MC3896"</f>
        <v>MC3896</v>
      </c>
      <c r="C10889" t="s">
        <v>48314</v>
      </c>
      <c r="D10889" t="s">
        <v>27267</v>
      </c>
      <c r="E10889" t="str">
        <f t="shared" si="170"/>
        <v>001390</v>
      </c>
      <c r="F10889" t="s">
        <v>27246</v>
      </c>
      <c r="G10889" t="s">
        <v>27247</v>
      </c>
      <c r="H10889" t="s">
        <v>27248</v>
      </c>
      <c r="I10889" t="s">
        <v>48315</v>
      </c>
      <c r="J10889" t="s">
        <v>21792</v>
      </c>
      <c r="L10889" t="s">
        <v>27250</v>
      </c>
      <c r="M10889" t="s">
        <v>27251</v>
      </c>
      <c r="N10889" t="s">
        <v>27252</v>
      </c>
      <c r="Q10889" s="1">
        <v>44538</v>
      </c>
      <c r="R10889" t="s">
        <v>27253</v>
      </c>
      <c r="S10889" t="s">
        <v>27254</v>
      </c>
      <c r="T10889" t="s">
        <v>27269</v>
      </c>
    </row>
    <row r="10890" spans="1:20" x14ac:dyDescent="0.3">
      <c r="A10890" t="str">
        <f>"0611838756100"</f>
        <v>0611838756100</v>
      </c>
      <c r="B10890" t="str">
        <f>"LF6520"</f>
        <v>LF6520</v>
      </c>
      <c r="C10890" t="s">
        <v>48316</v>
      </c>
      <c r="D10890" t="s">
        <v>27245</v>
      </c>
      <c r="E10890" t="str">
        <f t="shared" si="170"/>
        <v>001390</v>
      </c>
      <c r="F10890" t="s">
        <v>27246</v>
      </c>
      <c r="G10890" t="s">
        <v>27247</v>
      </c>
      <c r="H10890" t="s">
        <v>27248</v>
      </c>
      <c r="I10890" t="s">
        <v>48317</v>
      </c>
      <c r="J10890" t="s">
        <v>21794</v>
      </c>
      <c r="L10890" t="s">
        <v>27250</v>
      </c>
      <c r="M10890" t="s">
        <v>27251</v>
      </c>
      <c r="N10890" t="s">
        <v>27252</v>
      </c>
      <c r="Q10890" s="1">
        <v>44538</v>
      </c>
      <c r="R10890" t="s">
        <v>27253</v>
      </c>
      <c r="S10890" t="s">
        <v>27254</v>
      </c>
      <c r="T10890" t="s">
        <v>27255</v>
      </c>
    </row>
    <row r="10891" spans="1:20" x14ac:dyDescent="0.3">
      <c r="A10891" t="str">
        <f>"0611838762100"</f>
        <v>0611838762100</v>
      </c>
      <c r="B10891" t="str">
        <f>"LK1753"</f>
        <v>LK1753</v>
      </c>
      <c r="C10891" t="s">
        <v>48318</v>
      </c>
      <c r="D10891" t="s">
        <v>27245</v>
      </c>
      <c r="E10891" t="str">
        <f t="shared" si="170"/>
        <v>001390</v>
      </c>
      <c r="F10891" t="s">
        <v>27246</v>
      </c>
      <c r="G10891" t="s">
        <v>27247</v>
      </c>
      <c r="H10891" t="s">
        <v>27248</v>
      </c>
      <c r="I10891" t="s">
        <v>48319</v>
      </c>
      <c r="J10891" t="s">
        <v>21796</v>
      </c>
      <c r="L10891" t="s">
        <v>27250</v>
      </c>
      <c r="M10891" t="s">
        <v>27251</v>
      </c>
      <c r="N10891" t="s">
        <v>27252</v>
      </c>
      <c r="Q10891" s="1">
        <v>44538</v>
      </c>
      <c r="R10891" t="s">
        <v>27253</v>
      </c>
      <c r="S10891" t="s">
        <v>27254</v>
      </c>
      <c r="T10891" t="s">
        <v>27255</v>
      </c>
    </row>
    <row r="10892" spans="1:20" x14ac:dyDescent="0.3">
      <c r="A10892" t="str">
        <f>"0611838763100"</f>
        <v>0611838763100</v>
      </c>
      <c r="B10892" t="str">
        <f>"LG0675"</f>
        <v>LG0675</v>
      </c>
      <c r="C10892" t="s">
        <v>48320</v>
      </c>
      <c r="D10892" t="s">
        <v>27245</v>
      </c>
      <c r="E10892" t="str">
        <f t="shared" si="170"/>
        <v>001390</v>
      </c>
      <c r="F10892" t="s">
        <v>27246</v>
      </c>
      <c r="G10892" t="s">
        <v>27247</v>
      </c>
      <c r="H10892" t="s">
        <v>27248</v>
      </c>
      <c r="I10892" t="s">
        <v>48321</v>
      </c>
      <c r="J10892" t="s">
        <v>21798</v>
      </c>
      <c r="L10892" t="s">
        <v>27250</v>
      </c>
      <c r="M10892" t="s">
        <v>27251</v>
      </c>
      <c r="N10892" t="s">
        <v>27252</v>
      </c>
      <c r="Q10892" s="1">
        <v>44538</v>
      </c>
      <c r="R10892" t="s">
        <v>27253</v>
      </c>
      <c r="S10892" t="s">
        <v>27254</v>
      </c>
      <c r="T10892" t="s">
        <v>27255</v>
      </c>
    </row>
    <row r="10893" spans="1:20" x14ac:dyDescent="0.3">
      <c r="A10893" t="str">
        <f>"0611838758100"</f>
        <v>0611838758100</v>
      </c>
      <c r="B10893" t="str">
        <f>"LL8146"</f>
        <v>LL8146</v>
      </c>
      <c r="C10893" t="s">
        <v>48322</v>
      </c>
      <c r="D10893" t="s">
        <v>27245</v>
      </c>
      <c r="E10893" t="str">
        <f t="shared" si="170"/>
        <v>001390</v>
      </c>
      <c r="F10893" t="s">
        <v>27246</v>
      </c>
      <c r="G10893" t="s">
        <v>27247</v>
      </c>
      <c r="H10893" t="s">
        <v>27248</v>
      </c>
      <c r="I10893" t="s">
        <v>48323</v>
      </c>
      <c r="J10893" t="s">
        <v>21800</v>
      </c>
      <c r="L10893" t="s">
        <v>27250</v>
      </c>
      <c r="M10893" t="s">
        <v>27251</v>
      </c>
      <c r="N10893" t="s">
        <v>27252</v>
      </c>
      <c r="Q10893" s="1">
        <v>44538</v>
      </c>
      <c r="R10893" t="s">
        <v>27253</v>
      </c>
      <c r="S10893" t="s">
        <v>27254</v>
      </c>
      <c r="T10893" t="s">
        <v>27255</v>
      </c>
    </row>
    <row r="10894" spans="1:20" x14ac:dyDescent="0.3">
      <c r="A10894" t="str">
        <f>"0611838759025"</f>
        <v>0611838759025</v>
      </c>
      <c r="B10894" t="str">
        <f>"MC3880"</f>
        <v>MC3880</v>
      </c>
      <c r="C10894" t="s">
        <v>48324</v>
      </c>
      <c r="D10894" t="s">
        <v>27267</v>
      </c>
      <c r="E10894" t="str">
        <f t="shared" si="170"/>
        <v>001390</v>
      </c>
      <c r="F10894" t="s">
        <v>27246</v>
      </c>
      <c r="G10894" t="s">
        <v>27247</v>
      </c>
      <c r="H10894" t="s">
        <v>27248</v>
      </c>
      <c r="I10894" t="s">
        <v>48325</v>
      </c>
      <c r="J10894" t="s">
        <v>21802</v>
      </c>
      <c r="L10894" t="s">
        <v>27250</v>
      </c>
      <c r="M10894" t="s">
        <v>27251</v>
      </c>
      <c r="N10894" t="s">
        <v>27252</v>
      </c>
      <c r="Q10894" s="1">
        <v>44538</v>
      </c>
      <c r="R10894" t="s">
        <v>27253</v>
      </c>
      <c r="S10894" t="s">
        <v>27254</v>
      </c>
      <c r="T10894" t="s">
        <v>27269</v>
      </c>
    </row>
    <row r="10895" spans="1:20" x14ac:dyDescent="0.3">
      <c r="A10895" t="str">
        <f>"0611838761025"</f>
        <v>0611838761025</v>
      </c>
      <c r="B10895" t="str">
        <f>"MC0948"</f>
        <v>MC0948</v>
      </c>
      <c r="C10895" t="s">
        <v>48326</v>
      </c>
      <c r="D10895" t="s">
        <v>27267</v>
      </c>
      <c r="E10895" t="str">
        <f t="shared" si="170"/>
        <v>001390</v>
      </c>
      <c r="F10895" t="s">
        <v>27246</v>
      </c>
      <c r="G10895" t="s">
        <v>27247</v>
      </c>
      <c r="H10895" t="s">
        <v>27248</v>
      </c>
      <c r="I10895" t="s">
        <v>48327</v>
      </c>
      <c r="J10895" t="s">
        <v>21804</v>
      </c>
      <c r="L10895" t="s">
        <v>27250</v>
      </c>
      <c r="M10895" t="s">
        <v>27251</v>
      </c>
      <c r="N10895" t="s">
        <v>27252</v>
      </c>
      <c r="Q10895" s="1">
        <v>44538</v>
      </c>
      <c r="R10895" t="s">
        <v>27253</v>
      </c>
      <c r="S10895" t="s">
        <v>27254</v>
      </c>
      <c r="T10895" t="s">
        <v>27269</v>
      </c>
    </row>
    <row r="10896" spans="1:20" x14ac:dyDescent="0.3">
      <c r="A10896" t="str">
        <f>"0611838765100"</f>
        <v>0611838765100</v>
      </c>
      <c r="B10896" t="str">
        <f>"LB1620"</f>
        <v>LB1620</v>
      </c>
      <c r="C10896" t="s">
        <v>48328</v>
      </c>
      <c r="D10896" t="s">
        <v>27245</v>
      </c>
      <c r="E10896" t="str">
        <f t="shared" si="170"/>
        <v>001390</v>
      </c>
      <c r="F10896" t="s">
        <v>27246</v>
      </c>
      <c r="G10896" t="s">
        <v>27247</v>
      </c>
      <c r="H10896" t="s">
        <v>27248</v>
      </c>
      <c r="I10896" t="s">
        <v>48329</v>
      </c>
      <c r="J10896" t="s">
        <v>21806</v>
      </c>
      <c r="L10896" t="s">
        <v>27250</v>
      </c>
      <c r="M10896" t="s">
        <v>27251</v>
      </c>
      <c r="N10896" t="s">
        <v>27252</v>
      </c>
      <c r="Q10896" s="1">
        <v>44538</v>
      </c>
      <c r="R10896" t="s">
        <v>27253</v>
      </c>
      <c r="S10896" t="s">
        <v>27254</v>
      </c>
      <c r="T10896" t="s">
        <v>27255</v>
      </c>
    </row>
    <row r="10897" spans="1:20" x14ac:dyDescent="0.3">
      <c r="A10897" t="str">
        <f>"0611835128100"</f>
        <v>0611835128100</v>
      </c>
      <c r="B10897" t="str">
        <f>"LC8754"</f>
        <v>LC8754</v>
      </c>
      <c r="C10897" t="s">
        <v>48330</v>
      </c>
      <c r="D10897" t="s">
        <v>27245</v>
      </c>
      <c r="E10897" t="str">
        <f t="shared" si="170"/>
        <v>001390</v>
      </c>
      <c r="F10897" t="s">
        <v>27246</v>
      </c>
      <c r="G10897" t="s">
        <v>27247</v>
      </c>
      <c r="H10897" t="s">
        <v>27248</v>
      </c>
      <c r="I10897" t="s">
        <v>48331</v>
      </c>
      <c r="J10897" t="s">
        <v>21808</v>
      </c>
      <c r="L10897" t="s">
        <v>27250</v>
      </c>
      <c r="M10897" t="s">
        <v>27251</v>
      </c>
      <c r="N10897" t="s">
        <v>27252</v>
      </c>
      <c r="Q10897" s="1">
        <v>44538</v>
      </c>
      <c r="R10897" t="s">
        <v>27253</v>
      </c>
      <c r="S10897" t="s">
        <v>27254</v>
      </c>
      <c r="T10897" t="s">
        <v>27255</v>
      </c>
    </row>
    <row r="10898" spans="1:20" x14ac:dyDescent="0.3">
      <c r="A10898" t="str">
        <f>"0611835129025"</f>
        <v>0611835129025</v>
      </c>
      <c r="B10898" t="str">
        <f>"MC1751"</f>
        <v>MC1751</v>
      </c>
      <c r="C10898" t="s">
        <v>48330</v>
      </c>
      <c r="D10898" t="s">
        <v>27267</v>
      </c>
      <c r="E10898" t="str">
        <f t="shared" si="170"/>
        <v>001390</v>
      </c>
      <c r="F10898" t="s">
        <v>27246</v>
      </c>
      <c r="G10898" t="s">
        <v>27247</v>
      </c>
      <c r="H10898" t="s">
        <v>27248</v>
      </c>
      <c r="I10898" t="s">
        <v>48332</v>
      </c>
      <c r="J10898" t="s">
        <v>21810</v>
      </c>
      <c r="L10898" t="s">
        <v>27250</v>
      </c>
      <c r="M10898" t="s">
        <v>27251</v>
      </c>
      <c r="N10898" t="s">
        <v>27252</v>
      </c>
      <c r="Q10898" s="1">
        <v>44538</v>
      </c>
      <c r="R10898" t="s">
        <v>27253</v>
      </c>
      <c r="S10898" t="s">
        <v>27254</v>
      </c>
      <c r="T10898" t="s">
        <v>27269</v>
      </c>
    </row>
    <row r="10899" spans="1:20" x14ac:dyDescent="0.3">
      <c r="A10899" t="str">
        <f>"0611862553100"</f>
        <v>0611862553100</v>
      </c>
      <c r="B10899" t="str">
        <f>"CN5348"</f>
        <v>CN5348</v>
      </c>
      <c r="C10899" t="s">
        <v>48333</v>
      </c>
      <c r="D10899" t="s">
        <v>27335</v>
      </c>
      <c r="E10899" t="str">
        <f t="shared" si="170"/>
        <v>001390</v>
      </c>
      <c r="F10899" t="s">
        <v>27246</v>
      </c>
      <c r="G10899" t="s">
        <v>27247</v>
      </c>
      <c r="H10899" t="s">
        <v>27248</v>
      </c>
      <c r="I10899" t="s">
        <v>48334</v>
      </c>
      <c r="J10899" t="s">
        <v>21812</v>
      </c>
      <c r="L10899" t="s">
        <v>27250</v>
      </c>
      <c r="M10899" t="s">
        <v>27251</v>
      </c>
      <c r="N10899" t="s">
        <v>27252</v>
      </c>
      <c r="Q10899" s="1">
        <v>44846</v>
      </c>
      <c r="R10899" t="s">
        <v>27253</v>
      </c>
      <c r="S10899" t="s">
        <v>27254</v>
      </c>
      <c r="T10899" t="s">
        <v>27255</v>
      </c>
    </row>
    <row r="10900" spans="1:20" x14ac:dyDescent="0.3">
      <c r="A10900" t="str">
        <f>"0611835130100"</f>
        <v>0611835130100</v>
      </c>
      <c r="B10900" t="str">
        <f>"LC8766"</f>
        <v>LC8766</v>
      </c>
      <c r="C10900" t="s">
        <v>48335</v>
      </c>
      <c r="D10900" t="s">
        <v>27245</v>
      </c>
      <c r="E10900" t="str">
        <f t="shared" si="170"/>
        <v>001390</v>
      </c>
      <c r="F10900" t="s">
        <v>27246</v>
      </c>
      <c r="G10900" t="s">
        <v>27247</v>
      </c>
      <c r="H10900" t="s">
        <v>27248</v>
      </c>
      <c r="I10900" t="s">
        <v>48336</v>
      </c>
      <c r="J10900" t="s">
        <v>21814</v>
      </c>
      <c r="L10900" t="s">
        <v>27250</v>
      </c>
      <c r="M10900" t="s">
        <v>27251</v>
      </c>
      <c r="N10900" t="s">
        <v>27252</v>
      </c>
      <c r="Q10900" s="1">
        <v>44538</v>
      </c>
      <c r="R10900" t="s">
        <v>27253</v>
      </c>
      <c r="S10900" t="s">
        <v>27254</v>
      </c>
      <c r="T10900" t="s">
        <v>27255</v>
      </c>
    </row>
    <row r="10901" spans="1:20" x14ac:dyDescent="0.3">
      <c r="A10901" t="str">
        <f>"0611835131025"</f>
        <v>0611835131025</v>
      </c>
      <c r="B10901" t="str">
        <f>"MC1752"</f>
        <v>MC1752</v>
      </c>
      <c r="C10901" t="s">
        <v>48335</v>
      </c>
      <c r="D10901" t="s">
        <v>27267</v>
      </c>
      <c r="E10901" t="str">
        <f t="shared" si="170"/>
        <v>001390</v>
      </c>
      <c r="F10901" t="s">
        <v>27246</v>
      </c>
      <c r="G10901" t="s">
        <v>27247</v>
      </c>
      <c r="H10901" t="s">
        <v>27248</v>
      </c>
      <c r="I10901" t="s">
        <v>48337</v>
      </c>
      <c r="J10901" t="s">
        <v>21816</v>
      </c>
      <c r="L10901" t="s">
        <v>27250</v>
      </c>
      <c r="M10901" t="s">
        <v>27251</v>
      </c>
      <c r="N10901" t="s">
        <v>27252</v>
      </c>
      <c r="Q10901" s="1">
        <v>44538</v>
      </c>
      <c r="R10901" t="s">
        <v>27253</v>
      </c>
      <c r="S10901" t="s">
        <v>27254</v>
      </c>
      <c r="T10901" t="s">
        <v>27269</v>
      </c>
    </row>
    <row r="10902" spans="1:20" x14ac:dyDescent="0.3">
      <c r="A10902" t="str">
        <f>"0611835132100"</f>
        <v>0611835132100</v>
      </c>
      <c r="B10902" t="str">
        <f>"LC3400"</f>
        <v>LC3400</v>
      </c>
      <c r="C10902" t="s">
        <v>48338</v>
      </c>
      <c r="D10902" t="s">
        <v>27245</v>
      </c>
      <c r="E10902" t="str">
        <f t="shared" si="170"/>
        <v>001390</v>
      </c>
      <c r="F10902" t="s">
        <v>27246</v>
      </c>
      <c r="G10902" t="s">
        <v>27247</v>
      </c>
      <c r="H10902" t="s">
        <v>27248</v>
      </c>
      <c r="I10902" t="s">
        <v>48339</v>
      </c>
      <c r="J10902" t="s">
        <v>21818</v>
      </c>
      <c r="L10902" t="s">
        <v>27250</v>
      </c>
      <c r="M10902" t="s">
        <v>27251</v>
      </c>
      <c r="N10902" t="s">
        <v>27252</v>
      </c>
      <c r="Q10902" s="1">
        <v>44538</v>
      </c>
      <c r="R10902" t="s">
        <v>27253</v>
      </c>
      <c r="S10902" t="s">
        <v>27254</v>
      </c>
      <c r="T10902" t="s">
        <v>27255</v>
      </c>
    </row>
    <row r="10903" spans="1:20" x14ac:dyDescent="0.3">
      <c r="A10903" t="str">
        <f>"0611835133100"</f>
        <v>0611835133100</v>
      </c>
      <c r="B10903" t="str">
        <f>"LC8751"</f>
        <v>LC8751</v>
      </c>
      <c r="C10903" t="s">
        <v>48340</v>
      </c>
      <c r="D10903" t="s">
        <v>27245</v>
      </c>
      <c r="E10903" t="str">
        <f t="shared" si="170"/>
        <v>001390</v>
      </c>
      <c r="F10903" t="s">
        <v>27246</v>
      </c>
      <c r="G10903" t="s">
        <v>27247</v>
      </c>
      <c r="H10903" t="s">
        <v>27248</v>
      </c>
      <c r="I10903" t="s">
        <v>48341</v>
      </c>
      <c r="J10903" t="s">
        <v>21820</v>
      </c>
      <c r="L10903" t="s">
        <v>27250</v>
      </c>
      <c r="M10903" t="s">
        <v>27251</v>
      </c>
      <c r="N10903" t="s">
        <v>27252</v>
      </c>
      <c r="Q10903" s="1">
        <v>44538</v>
      </c>
      <c r="R10903" t="s">
        <v>27253</v>
      </c>
      <c r="S10903" t="s">
        <v>27254</v>
      </c>
      <c r="T10903" t="s">
        <v>27255</v>
      </c>
    </row>
    <row r="10904" spans="1:20" x14ac:dyDescent="0.3">
      <c r="A10904" t="str">
        <f>"0611835137100"</f>
        <v>0611835137100</v>
      </c>
      <c r="B10904" t="str">
        <f>"LC8750"</f>
        <v>LC8750</v>
      </c>
      <c r="C10904" t="s">
        <v>48342</v>
      </c>
      <c r="D10904" t="s">
        <v>27245</v>
      </c>
      <c r="E10904" t="str">
        <f t="shared" si="170"/>
        <v>001390</v>
      </c>
      <c r="F10904" t="s">
        <v>27246</v>
      </c>
      <c r="G10904" t="s">
        <v>27247</v>
      </c>
      <c r="H10904" t="s">
        <v>27248</v>
      </c>
      <c r="I10904" t="s">
        <v>48343</v>
      </c>
      <c r="J10904" t="s">
        <v>21822</v>
      </c>
      <c r="L10904" t="s">
        <v>27250</v>
      </c>
      <c r="M10904" t="s">
        <v>27251</v>
      </c>
      <c r="N10904" t="s">
        <v>27252</v>
      </c>
      <c r="O10904">
        <v>100</v>
      </c>
      <c r="Q10904" s="1">
        <v>44538</v>
      </c>
      <c r="R10904" t="s">
        <v>27253</v>
      </c>
      <c r="S10904" t="s">
        <v>27254</v>
      </c>
      <c r="T10904" t="s">
        <v>27255</v>
      </c>
    </row>
    <row r="10905" spans="1:20" x14ac:dyDescent="0.3">
      <c r="A10905" t="str">
        <f>"0611835138200"</f>
        <v>0611835138200</v>
      </c>
      <c r="B10905" t="str">
        <f>"KP8750"</f>
        <v>KP8750</v>
      </c>
      <c r="C10905" t="s">
        <v>48342</v>
      </c>
      <c r="D10905" t="s">
        <v>27682</v>
      </c>
      <c r="E10905" t="str">
        <f t="shared" si="170"/>
        <v>001390</v>
      </c>
      <c r="F10905" t="s">
        <v>27246</v>
      </c>
      <c r="G10905" t="s">
        <v>27247</v>
      </c>
      <c r="H10905" t="s">
        <v>27248</v>
      </c>
      <c r="I10905" t="s">
        <v>48344</v>
      </c>
      <c r="J10905" t="s">
        <v>21824</v>
      </c>
      <c r="L10905" t="s">
        <v>27250</v>
      </c>
      <c r="M10905" t="s">
        <v>27251</v>
      </c>
      <c r="N10905" t="s">
        <v>27252</v>
      </c>
      <c r="Q10905" s="1">
        <v>44538</v>
      </c>
      <c r="R10905" t="s">
        <v>27253</v>
      </c>
      <c r="S10905" t="s">
        <v>27254</v>
      </c>
      <c r="T10905" t="s">
        <v>27684</v>
      </c>
    </row>
    <row r="10906" spans="1:20" x14ac:dyDescent="0.3">
      <c r="A10906" t="str">
        <f>"0611835139025"</f>
        <v>0611835139025</v>
      </c>
      <c r="B10906" t="str">
        <f>"MC0811"</f>
        <v>MC0811</v>
      </c>
      <c r="C10906" t="s">
        <v>48342</v>
      </c>
      <c r="D10906" t="s">
        <v>27267</v>
      </c>
      <c r="E10906" t="str">
        <f t="shared" si="170"/>
        <v>001390</v>
      </c>
      <c r="F10906" t="s">
        <v>27246</v>
      </c>
      <c r="G10906" t="s">
        <v>27247</v>
      </c>
      <c r="H10906" t="s">
        <v>27248</v>
      </c>
      <c r="I10906" t="s">
        <v>48345</v>
      </c>
      <c r="J10906" t="s">
        <v>21826</v>
      </c>
      <c r="L10906" t="s">
        <v>27250</v>
      </c>
      <c r="M10906" t="s">
        <v>27251</v>
      </c>
      <c r="N10906" t="s">
        <v>27252</v>
      </c>
      <c r="Q10906" s="1">
        <v>44538</v>
      </c>
      <c r="R10906" t="s">
        <v>27253</v>
      </c>
      <c r="S10906" t="s">
        <v>27254</v>
      </c>
      <c r="T10906" t="s">
        <v>27269</v>
      </c>
    </row>
    <row r="10907" spans="1:20" x14ac:dyDescent="0.3">
      <c r="A10907" t="str">
        <f>"0611835134100"</f>
        <v>0611835134100</v>
      </c>
      <c r="B10907" t="str">
        <f>"LC8756"</f>
        <v>LC8756</v>
      </c>
      <c r="C10907" t="s">
        <v>48346</v>
      </c>
      <c r="D10907" t="s">
        <v>27245</v>
      </c>
      <c r="E10907" t="str">
        <f t="shared" si="170"/>
        <v>001390</v>
      </c>
      <c r="F10907" t="s">
        <v>27246</v>
      </c>
      <c r="G10907" t="s">
        <v>27247</v>
      </c>
      <c r="H10907" t="s">
        <v>27248</v>
      </c>
      <c r="I10907" t="s">
        <v>48347</v>
      </c>
      <c r="J10907" t="s">
        <v>21828</v>
      </c>
      <c r="L10907" t="s">
        <v>27250</v>
      </c>
      <c r="M10907" t="s">
        <v>27251</v>
      </c>
      <c r="N10907" t="s">
        <v>27252</v>
      </c>
      <c r="Q10907" s="1">
        <v>44538</v>
      </c>
      <c r="R10907" t="s">
        <v>27253</v>
      </c>
      <c r="S10907" t="s">
        <v>27254</v>
      </c>
      <c r="T10907" t="s">
        <v>27255</v>
      </c>
    </row>
    <row r="10908" spans="1:20" x14ac:dyDescent="0.3">
      <c r="A10908" t="str">
        <f>"0611835135025"</f>
        <v>0611835135025</v>
      </c>
      <c r="B10908" t="str">
        <f>"MC4343"</f>
        <v>MC4343</v>
      </c>
      <c r="C10908" t="s">
        <v>48346</v>
      </c>
      <c r="D10908" t="s">
        <v>27267</v>
      </c>
      <c r="E10908" t="str">
        <f t="shared" si="170"/>
        <v>001390</v>
      </c>
      <c r="F10908" t="s">
        <v>27246</v>
      </c>
      <c r="G10908" t="s">
        <v>27247</v>
      </c>
      <c r="H10908" t="s">
        <v>27248</v>
      </c>
      <c r="I10908" t="s">
        <v>48348</v>
      </c>
      <c r="J10908" t="s">
        <v>21830</v>
      </c>
      <c r="L10908" t="s">
        <v>27250</v>
      </c>
      <c r="M10908" t="s">
        <v>27251</v>
      </c>
      <c r="N10908" t="s">
        <v>27252</v>
      </c>
      <c r="Q10908" s="1">
        <v>44538</v>
      </c>
      <c r="R10908" t="s">
        <v>27253</v>
      </c>
      <c r="S10908" t="s">
        <v>27254</v>
      </c>
      <c r="T10908" t="s">
        <v>27269</v>
      </c>
    </row>
    <row r="10909" spans="1:20" x14ac:dyDescent="0.3">
      <c r="A10909" t="str">
        <f>"0611862555100"</f>
        <v>0611862555100</v>
      </c>
      <c r="B10909" t="str">
        <f>"CN5349"</f>
        <v>CN5349</v>
      </c>
      <c r="C10909" t="s">
        <v>48349</v>
      </c>
      <c r="D10909" t="s">
        <v>27335</v>
      </c>
      <c r="E10909" t="str">
        <f t="shared" si="170"/>
        <v>001390</v>
      </c>
      <c r="F10909" t="s">
        <v>27246</v>
      </c>
      <c r="G10909" t="s">
        <v>27247</v>
      </c>
      <c r="H10909" t="s">
        <v>27248</v>
      </c>
      <c r="I10909" t="s">
        <v>48350</v>
      </c>
      <c r="J10909" t="s">
        <v>21832</v>
      </c>
      <c r="L10909" t="s">
        <v>27250</v>
      </c>
      <c r="M10909" t="s">
        <v>27251</v>
      </c>
      <c r="N10909" t="s">
        <v>27252</v>
      </c>
      <c r="Q10909" s="1">
        <v>44846</v>
      </c>
      <c r="R10909" t="s">
        <v>27253</v>
      </c>
      <c r="S10909" t="s">
        <v>27254</v>
      </c>
      <c r="T10909" t="s">
        <v>27255</v>
      </c>
    </row>
    <row r="10910" spans="1:20" x14ac:dyDescent="0.3">
      <c r="A10910" t="str">
        <f>"0611835136100"</f>
        <v>0611835136100</v>
      </c>
      <c r="B10910" t="str">
        <f>"LC8757"</f>
        <v>LC8757</v>
      </c>
      <c r="C10910" t="s">
        <v>48351</v>
      </c>
      <c r="D10910" t="s">
        <v>27245</v>
      </c>
      <c r="E10910" t="str">
        <f t="shared" si="170"/>
        <v>001390</v>
      </c>
      <c r="F10910" t="s">
        <v>27246</v>
      </c>
      <c r="G10910" t="s">
        <v>27247</v>
      </c>
      <c r="H10910" t="s">
        <v>27248</v>
      </c>
      <c r="I10910" t="s">
        <v>48352</v>
      </c>
      <c r="J10910" t="s">
        <v>21834</v>
      </c>
      <c r="L10910" t="s">
        <v>27250</v>
      </c>
      <c r="M10910" t="s">
        <v>27251</v>
      </c>
      <c r="N10910" t="s">
        <v>27252</v>
      </c>
      <c r="Q10910" s="1">
        <v>44538</v>
      </c>
      <c r="R10910" t="s">
        <v>27253</v>
      </c>
      <c r="S10910" t="s">
        <v>27254</v>
      </c>
      <c r="T10910" t="s">
        <v>27255</v>
      </c>
    </row>
    <row r="10911" spans="1:20" x14ac:dyDescent="0.3">
      <c r="A10911" t="str">
        <f>"0611835140025"</f>
        <v>0611835140025</v>
      </c>
      <c r="B10911" t="str">
        <f>"MC1753"</f>
        <v>MC1753</v>
      </c>
      <c r="C10911" t="s">
        <v>48353</v>
      </c>
      <c r="D10911" t="s">
        <v>27267</v>
      </c>
      <c r="E10911" t="str">
        <f t="shared" si="170"/>
        <v>001390</v>
      </c>
      <c r="F10911" t="s">
        <v>27246</v>
      </c>
      <c r="G10911" t="s">
        <v>27247</v>
      </c>
      <c r="H10911" t="s">
        <v>27248</v>
      </c>
      <c r="I10911" t="s">
        <v>48354</v>
      </c>
      <c r="J10911" t="s">
        <v>21836</v>
      </c>
      <c r="L10911" t="s">
        <v>27250</v>
      </c>
      <c r="M10911" t="s">
        <v>27251</v>
      </c>
      <c r="N10911" t="s">
        <v>27252</v>
      </c>
      <c r="Q10911" s="1">
        <v>44538</v>
      </c>
      <c r="R10911" t="s">
        <v>27253</v>
      </c>
      <c r="S10911" t="s">
        <v>27254</v>
      </c>
      <c r="T10911" t="s">
        <v>27269</v>
      </c>
    </row>
    <row r="10912" spans="1:20" x14ac:dyDescent="0.3">
      <c r="A10912" t="str">
        <f>"0611835141025"</f>
        <v>0611835141025</v>
      </c>
      <c r="B10912" t="str">
        <f>"MQ0142"</f>
        <v>MQ0142</v>
      </c>
      <c r="C10912" t="s">
        <v>48355</v>
      </c>
      <c r="D10912" t="s">
        <v>27267</v>
      </c>
      <c r="E10912" t="str">
        <f t="shared" si="170"/>
        <v>001390</v>
      </c>
      <c r="F10912" t="s">
        <v>27246</v>
      </c>
      <c r="G10912" t="s">
        <v>27247</v>
      </c>
      <c r="H10912" t="s">
        <v>27248</v>
      </c>
      <c r="I10912" t="s">
        <v>48356</v>
      </c>
      <c r="J10912" t="s">
        <v>21838</v>
      </c>
      <c r="L10912" t="s">
        <v>27250</v>
      </c>
      <c r="M10912" t="s">
        <v>27251</v>
      </c>
      <c r="N10912" t="s">
        <v>27252</v>
      </c>
      <c r="Q10912" s="1">
        <v>44538</v>
      </c>
      <c r="R10912" t="s">
        <v>27253</v>
      </c>
      <c r="S10912" t="s">
        <v>27254</v>
      </c>
      <c r="T10912" t="s">
        <v>27269</v>
      </c>
    </row>
    <row r="10913" spans="1:20" x14ac:dyDescent="0.3">
      <c r="A10913" t="str">
        <f>"0611862556050"</f>
        <v>0611862556050</v>
      </c>
      <c r="B10913" t="str">
        <f>"CR4440"</f>
        <v>CR4440</v>
      </c>
      <c r="C10913" t="s">
        <v>48357</v>
      </c>
      <c r="D10913" t="s">
        <v>27286</v>
      </c>
      <c r="E10913" t="str">
        <f t="shared" si="170"/>
        <v>001390</v>
      </c>
      <c r="F10913" t="s">
        <v>27246</v>
      </c>
      <c r="G10913" t="s">
        <v>27247</v>
      </c>
      <c r="H10913" t="s">
        <v>27248</v>
      </c>
      <c r="I10913" t="s">
        <v>48358</v>
      </c>
      <c r="J10913" t="s">
        <v>21840</v>
      </c>
      <c r="L10913" t="s">
        <v>27250</v>
      </c>
      <c r="M10913" t="s">
        <v>27251</v>
      </c>
      <c r="N10913" t="s">
        <v>27252</v>
      </c>
      <c r="Q10913" s="1">
        <v>44846</v>
      </c>
      <c r="R10913" t="s">
        <v>27253</v>
      </c>
      <c r="S10913" t="s">
        <v>27254</v>
      </c>
      <c r="T10913" t="s">
        <v>27265</v>
      </c>
    </row>
    <row r="10914" spans="1:20" x14ac:dyDescent="0.3">
      <c r="A10914" t="str">
        <f>"0611835142100"</f>
        <v>0611835142100</v>
      </c>
      <c r="B10914" t="str">
        <f>"LC3401"</f>
        <v>LC3401</v>
      </c>
      <c r="C10914" t="s">
        <v>48359</v>
      </c>
      <c r="D10914" t="s">
        <v>27245</v>
      </c>
      <c r="E10914" t="str">
        <f t="shared" si="170"/>
        <v>001390</v>
      </c>
      <c r="F10914" t="s">
        <v>27246</v>
      </c>
      <c r="G10914" t="s">
        <v>27247</v>
      </c>
      <c r="H10914" t="s">
        <v>27248</v>
      </c>
      <c r="I10914" t="s">
        <v>48360</v>
      </c>
      <c r="J10914" t="s">
        <v>21842</v>
      </c>
      <c r="L10914" t="s">
        <v>27250</v>
      </c>
      <c r="M10914" t="s">
        <v>27251</v>
      </c>
      <c r="N10914" t="s">
        <v>27252</v>
      </c>
      <c r="Q10914" s="1">
        <v>44538</v>
      </c>
      <c r="R10914" t="s">
        <v>27253</v>
      </c>
      <c r="S10914" t="s">
        <v>27254</v>
      </c>
      <c r="T10914" t="s">
        <v>27255</v>
      </c>
    </row>
    <row r="10915" spans="1:20" x14ac:dyDescent="0.3">
      <c r="A10915" t="str">
        <f>"0611862557100"</f>
        <v>0611862557100</v>
      </c>
      <c r="B10915" t="str">
        <f>"CN5350"</f>
        <v>CN5350</v>
      </c>
      <c r="C10915" t="s">
        <v>48361</v>
      </c>
      <c r="D10915" t="s">
        <v>27335</v>
      </c>
      <c r="E10915" t="str">
        <f t="shared" si="170"/>
        <v>001390</v>
      </c>
      <c r="F10915" t="s">
        <v>27246</v>
      </c>
      <c r="G10915" t="s">
        <v>27247</v>
      </c>
      <c r="H10915" t="s">
        <v>27248</v>
      </c>
      <c r="I10915" t="s">
        <v>48362</v>
      </c>
      <c r="J10915" t="s">
        <v>21844</v>
      </c>
      <c r="L10915" t="s">
        <v>27250</v>
      </c>
      <c r="M10915" t="s">
        <v>27251</v>
      </c>
      <c r="N10915" t="s">
        <v>27252</v>
      </c>
      <c r="Q10915" s="1">
        <v>44846</v>
      </c>
      <c r="R10915" t="s">
        <v>27253</v>
      </c>
      <c r="S10915" t="s">
        <v>27254</v>
      </c>
      <c r="T10915" t="s">
        <v>27255</v>
      </c>
    </row>
    <row r="10916" spans="1:20" x14ac:dyDescent="0.3">
      <c r="A10916" t="str">
        <f>"0611835143100"</f>
        <v>0611835143100</v>
      </c>
      <c r="B10916" t="str">
        <f>"LC8753"</f>
        <v>LC8753</v>
      </c>
      <c r="C10916" t="s">
        <v>48363</v>
      </c>
      <c r="D10916" t="s">
        <v>27245</v>
      </c>
      <c r="E10916" t="str">
        <f t="shared" si="170"/>
        <v>001390</v>
      </c>
      <c r="F10916" t="s">
        <v>27246</v>
      </c>
      <c r="G10916" t="s">
        <v>27247</v>
      </c>
      <c r="H10916" t="s">
        <v>27248</v>
      </c>
      <c r="I10916" t="s">
        <v>48364</v>
      </c>
      <c r="J10916" t="s">
        <v>21846</v>
      </c>
      <c r="L10916" t="s">
        <v>27250</v>
      </c>
      <c r="M10916" t="s">
        <v>27251</v>
      </c>
      <c r="N10916" t="s">
        <v>27252</v>
      </c>
      <c r="Q10916" s="1">
        <v>44538</v>
      </c>
      <c r="R10916" t="s">
        <v>27253</v>
      </c>
      <c r="S10916" t="s">
        <v>27254</v>
      </c>
      <c r="T10916" t="s">
        <v>27255</v>
      </c>
    </row>
    <row r="10917" spans="1:20" x14ac:dyDescent="0.3">
      <c r="A10917" t="str">
        <f>"0611835144025"</f>
        <v>0611835144025</v>
      </c>
      <c r="B10917" t="str">
        <f>"MC2130"</f>
        <v>MC2130</v>
      </c>
      <c r="C10917" t="s">
        <v>48363</v>
      </c>
      <c r="D10917" t="s">
        <v>27267</v>
      </c>
      <c r="E10917" t="str">
        <f t="shared" si="170"/>
        <v>001390</v>
      </c>
      <c r="F10917" t="s">
        <v>27246</v>
      </c>
      <c r="G10917" t="s">
        <v>27247</v>
      </c>
      <c r="H10917" t="s">
        <v>27248</v>
      </c>
      <c r="I10917" t="s">
        <v>48365</v>
      </c>
      <c r="J10917" t="s">
        <v>21848</v>
      </c>
      <c r="L10917" t="s">
        <v>27250</v>
      </c>
      <c r="M10917" t="s">
        <v>27251</v>
      </c>
      <c r="N10917" t="s">
        <v>27252</v>
      </c>
      <c r="Q10917" s="1">
        <v>44538</v>
      </c>
      <c r="R10917" t="s">
        <v>27253</v>
      </c>
      <c r="S10917" t="s">
        <v>27254</v>
      </c>
      <c r="T10917" t="s">
        <v>27269</v>
      </c>
    </row>
    <row r="10918" spans="1:20" x14ac:dyDescent="0.3">
      <c r="A10918" t="str">
        <f>"0611835145100"</f>
        <v>0611835145100</v>
      </c>
      <c r="B10918" t="str">
        <f>"LC8760"</f>
        <v>LC8760</v>
      </c>
      <c r="C10918" t="s">
        <v>48366</v>
      </c>
      <c r="D10918" t="s">
        <v>27245</v>
      </c>
      <c r="E10918" t="str">
        <f t="shared" si="170"/>
        <v>001390</v>
      </c>
      <c r="F10918" t="s">
        <v>27246</v>
      </c>
      <c r="G10918" t="s">
        <v>27247</v>
      </c>
      <c r="H10918" t="s">
        <v>27248</v>
      </c>
      <c r="I10918" t="s">
        <v>48367</v>
      </c>
      <c r="J10918" t="s">
        <v>21850</v>
      </c>
      <c r="L10918" t="s">
        <v>27250</v>
      </c>
      <c r="M10918" t="s">
        <v>27251</v>
      </c>
      <c r="N10918" t="s">
        <v>27252</v>
      </c>
      <c r="Q10918" s="1">
        <v>44538</v>
      </c>
      <c r="R10918" t="s">
        <v>27253</v>
      </c>
      <c r="S10918" t="s">
        <v>27254</v>
      </c>
      <c r="T10918" t="s">
        <v>27255</v>
      </c>
    </row>
    <row r="10919" spans="1:20" x14ac:dyDescent="0.3">
      <c r="A10919" t="str">
        <f>"0611835146025"</f>
        <v>0611835146025</v>
      </c>
      <c r="B10919" t="str">
        <f>"MQ0143"</f>
        <v>MQ0143</v>
      </c>
      <c r="C10919" t="s">
        <v>48366</v>
      </c>
      <c r="D10919" t="s">
        <v>27267</v>
      </c>
      <c r="E10919" t="str">
        <f t="shared" si="170"/>
        <v>001390</v>
      </c>
      <c r="F10919" t="s">
        <v>27246</v>
      </c>
      <c r="G10919" t="s">
        <v>27247</v>
      </c>
      <c r="H10919" t="s">
        <v>27248</v>
      </c>
      <c r="I10919" t="s">
        <v>48368</v>
      </c>
      <c r="J10919" t="s">
        <v>21852</v>
      </c>
      <c r="L10919" t="s">
        <v>27250</v>
      </c>
      <c r="M10919" t="s">
        <v>27251</v>
      </c>
      <c r="N10919" t="s">
        <v>27252</v>
      </c>
      <c r="Q10919" s="1">
        <v>44538</v>
      </c>
      <c r="R10919" t="s">
        <v>27253</v>
      </c>
      <c r="S10919" t="s">
        <v>27254</v>
      </c>
      <c r="T10919" t="s">
        <v>27269</v>
      </c>
    </row>
    <row r="10920" spans="1:20" x14ac:dyDescent="0.3">
      <c r="A10920" t="str">
        <f>"0611835147025"</f>
        <v>0611835147025</v>
      </c>
      <c r="B10920" t="str">
        <f>"MC3279"</f>
        <v>MC3279</v>
      </c>
      <c r="C10920" t="s">
        <v>48369</v>
      </c>
      <c r="D10920" t="s">
        <v>27267</v>
      </c>
      <c r="E10920" t="str">
        <f t="shared" si="170"/>
        <v>001390</v>
      </c>
      <c r="F10920" t="s">
        <v>27246</v>
      </c>
      <c r="G10920" t="s">
        <v>27247</v>
      </c>
      <c r="H10920" t="s">
        <v>27248</v>
      </c>
      <c r="I10920" t="s">
        <v>48370</v>
      </c>
      <c r="J10920" t="s">
        <v>21854</v>
      </c>
      <c r="L10920" t="s">
        <v>27250</v>
      </c>
      <c r="M10920" t="s">
        <v>27251</v>
      </c>
      <c r="N10920" t="s">
        <v>27252</v>
      </c>
      <c r="Q10920" s="1">
        <v>44538</v>
      </c>
      <c r="R10920" t="s">
        <v>27253</v>
      </c>
      <c r="S10920" t="s">
        <v>27254</v>
      </c>
      <c r="T10920" t="s">
        <v>27269</v>
      </c>
    </row>
    <row r="10921" spans="1:20" x14ac:dyDescent="0.3">
      <c r="A10921" t="str">
        <f>"0611862558100"</f>
        <v>0611862558100</v>
      </c>
      <c r="B10921" t="str">
        <f>"CN5351"</f>
        <v>CN5351</v>
      </c>
      <c r="C10921" t="s">
        <v>48371</v>
      </c>
      <c r="D10921" t="s">
        <v>27335</v>
      </c>
      <c r="E10921" t="str">
        <f t="shared" si="170"/>
        <v>001390</v>
      </c>
      <c r="F10921" t="s">
        <v>27246</v>
      </c>
      <c r="G10921" t="s">
        <v>27247</v>
      </c>
      <c r="H10921" t="s">
        <v>27248</v>
      </c>
      <c r="I10921" t="s">
        <v>48372</v>
      </c>
      <c r="J10921" t="s">
        <v>21860</v>
      </c>
      <c r="L10921" t="s">
        <v>27250</v>
      </c>
      <c r="M10921" t="s">
        <v>27251</v>
      </c>
      <c r="N10921" t="s">
        <v>27252</v>
      </c>
      <c r="Q10921" s="1">
        <v>44846</v>
      </c>
      <c r="R10921" t="s">
        <v>27253</v>
      </c>
      <c r="S10921" t="s">
        <v>27254</v>
      </c>
      <c r="T10921" t="s">
        <v>27255</v>
      </c>
    </row>
    <row r="10922" spans="1:20" x14ac:dyDescent="0.3">
      <c r="A10922" t="str">
        <f>"0611835148100"</f>
        <v>0611835148100</v>
      </c>
      <c r="B10922" t="str">
        <f>"LC8761"</f>
        <v>LC8761</v>
      </c>
      <c r="C10922" t="s">
        <v>48373</v>
      </c>
      <c r="D10922" t="s">
        <v>27245</v>
      </c>
      <c r="E10922" t="str">
        <f t="shared" si="170"/>
        <v>001390</v>
      </c>
      <c r="F10922" t="s">
        <v>27246</v>
      </c>
      <c r="G10922" t="s">
        <v>27247</v>
      </c>
      <c r="H10922" t="s">
        <v>27248</v>
      </c>
      <c r="I10922" t="s">
        <v>48374</v>
      </c>
      <c r="J10922" t="s">
        <v>21856</v>
      </c>
      <c r="L10922" t="s">
        <v>27250</v>
      </c>
      <c r="M10922" t="s">
        <v>27251</v>
      </c>
      <c r="N10922" t="s">
        <v>27252</v>
      </c>
      <c r="Q10922" s="1">
        <v>44538</v>
      </c>
      <c r="R10922" t="s">
        <v>27253</v>
      </c>
      <c r="S10922" t="s">
        <v>27254</v>
      </c>
      <c r="T10922" t="s">
        <v>27255</v>
      </c>
    </row>
    <row r="10923" spans="1:20" x14ac:dyDescent="0.3">
      <c r="A10923" t="str">
        <f>"0611835149025"</f>
        <v>0611835149025</v>
      </c>
      <c r="B10923" t="str">
        <f>"MQ0144"</f>
        <v>MQ0144</v>
      </c>
      <c r="C10923" t="s">
        <v>48373</v>
      </c>
      <c r="D10923" t="s">
        <v>27267</v>
      </c>
      <c r="E10923" t="str">
        <f t="shared" si="170"/>
        <v>001390</v>
      </c>
      <c r="F10923" t="s">
        <v>27246</v>
      </c>
      <c r="G10923" t="s">
        <v>27247</v>
      </c>
      <c r="H10923" t="s">
        <v>27248</v>
      </c>
      <c r="I10923" t="s">
        <v>48375</v>
      </c>
      <c r="J10923" t="s">
        <v>21858</v>
      </c>
      <c r="L10923" t="s">
        <v>27250</v>
      </c>
      <c r="M10923" t="s">
        <v>27251</v>
      </c>
      <c r="N10923" t="s">
        <v>27252</v>
      </c>
      <c r="Q10923" s="1">
        <v>44538</v>
      </c>
      <c r="R10923" t="s">
        <v>27253</v>
      </c>
      <c r="S10923" t="s">
        <v>27254</v>
      </c>
      <c r="T10923" t="s">
        <v>27269</v>
      </c>
    </row>
    <row r="10924" spans="1:20" x14ac:dyDescent="0.3">
      <c r="A10924" t="str">
        <f>"0611835150100"</f>
        <v>0611835150100</v>
      </c>
      <c r="B10924" t="str">
        <f>"LC8763"</f>
        <v>LC8763</v>
      </c>
      <c r="C10924" t="s">
        <v>48376</v>
      </c>
      <c r="D10924" t="s">
        <v>27245</v>
      </c>
      <c r="E10924" t="str">
        <f t="shared" si="170"/>
        <v>001390</v>
      </c>
      <c r="F10924" t="s">
        <v>27246</v>
      </c>
      <c r="G10924" t="s">
        <v>27247</v>
      </c>
      <c r="H10924" t="s">
        <v>27248</v>
      </c>
      <c r="I10924" t="s">
        <v>48377</v>
      </c>
      <c r="J10924" t="s">
        <v>21862</v>
      </c>
      <c r="L10924" t="s">
        <v>27250</v>
      </c>
      <c r="M10924" t="s">
        <v>27251</v>
      </c>
      <c r="N10924" t="s">
        <v>27252</v>
      </c>
      <c r="Q10924" s="1">
        <v>44538</v>
      </c>
      <c r="R10924" t="s">
        <v>27253</v>
      </c>
      <c r="S10924" t="s">
        <v>27254</v>
      </c>
      <c r="T10924" t="s">
        <v>27255</v>
      </c>
    </row>
    <row r="10925" spans="1:20" x14ac:dyDescent="0.3">
      <c r="A10925" t="str">
        <f>"0611835151025"</f>
        <v>0611835151025</v>
      </c>
      <c r="B10925" t="str">
        <f>"MC2228"</f>
        <v>MC2228</v>
      </c>
      <c r="C10925" t="s">
        <v>48376</v>
      </c>
      <c r="D10925" t="s">
        <v>27267</v>
      </c>
      <c r="E10925" t="str">
        <f t="shared" si="170"/>
        <v>001390</v>
      </c>
      <c r="F10925" t="s">
        <v>27246</v>
      </c>
      <c r="G10925" t="s">
        <v>27247</v>
      </c>
      <c r="H10925" t="s">
        <v>27248</v>
      </c>
      <c r="I10925" t="s">
        <v>48378</v>
      </c>
      <c r="J10925" t="s">
        <v>21864</v>
      </c>
      <c r="L10925" t="s">
        <v>27250</v>
      </c>
      <c r="M10925" t="s">
        <v>27251</v>
      </c>
      <c r="N10925" t="s">
        <v>27252</v>
      </c>
      <c r="Q10925" s="1">
        <v>44538</v>
      </c>
      <c r="R10925" t="s">
        <v>27253</v>
      </c>
      <c r="S10925" t="s">
        <v>27254</v>
      </c>
      <c r="T10925" t="s">
        <v>27269</v>
      </c>
    </row>
    <row r="10926" spans="1:20" x14ac:dyDescent="0.3">
      <c r="A10926" t="str">
        <f>"0611884414025"</f>
        <v>0611884414025</v>
      </c>
      <c r="B10926" t="str">
        <f>"MC2923"</f>
        <v>MC2923</v>
      </c>
      <c r="C10926" t="s">
        <v>48379</v>
      </c>
      <c r="D10926" t="s">
        <v>27267</v>
      </c>
      <c r="E10926" t="str">
        <f t="shared" si="170"/>
        <v>001390</v>
      </c>
      <c r="F10926" t="s">
        <v>27246</v>
      </c>
      <c r="G10926" t="s">
        <v>27247</v>
      </c>
      <c r="H10926" t="s">
        <v>27248</v>
      </c>
      <c r="I10926" t="s">
        <v>48380</v>
      </c>
      <c r="J10926" t="s">
        <v>21866</v>
      </c>
      <c r="L10926" t="s">
        <v>27430</v>
      </c>
      <c r="M10926" t="s">
        <v>27251</v>
      </c>
      <c r="N10926" t="s">
        <v>27252</v>
      </c>
      <c r="Q10926" s="1">
        <v>45250</v>
      </c>
      <c r="R10926" t="s">
        <v>27253</v>
      </c>
      <c r="S10926" t="s">
        <v>27254</v>
      </c>
      <c r="T10926" t="s">
        <v>27269</v>
      </c>
    </row>
    <row r="10927" spans="1:20" x14ac:dyDescent="0.3">
      <c r="A10927" t="str">
        <f>"0611884415025"</f>
        <v>0611884415025</v>
      </c>
      <c r="B10927" t="str">
        <f>"MC4501"</f>
        <v>MC4501</v>
      </c>
      <c r="C10927" t="s">
        <v>48381</v>
      </c>
      <c r="D10927" t="s">
        <v>27267</v>
      </c>
      <c r="E10927" t="str">
        <f t="shared" si="170"/>
        <v>001390</v>
      </c>
      <c r="F10927" t="s">
        <v>27246</v>
      </c>
      <c r="G10927" t="s">
        <v>27247</v>
      </c>
      <c r="H10927" t="s">
        <v>27248</v>
      </c>
      <c r="I10927" t="s">
        <v>48382</v>
      </c>
      <c r="J10927" t="s">
        <v>21868</v>
      </c>
      <c r="L10927" t="s">
        <v>27430</v>
      </c>
      <c r="M10927" t="s">
        <v>27251</v>
      </c>
      <c r="N10927" t="s">
        <v>27252</v>
      </c>
      <c r="Q10927" s="1">
        <v>45250</v>
      </c>
      <c r="R10927" t="s">
        <v>27253</v>
      </c>
      <c r="S10927" t="s">
        <v>27254</v>
      </c>
      <c r="T10927" t="s">
        <v>27269</v>
      </c>
    </row>
    <row r="10928" spans="1:20" x14ac:dyDescent="0.3">
      <c r="A10928" t="str">
        <f>"0611838767025"</f>
        <v>0611838767025</v>
      </c>
      <c r="B10928" t="str">
        <f>"MC3663"</f>
        <v>MC3663</v>
      </c>
      <c r="C10928" t="s">
        <v>48383</v>
      </c>
      <c r="D10928" t="s">
        <v>27267</v>
      </c>
      <c r="E10928" t="str">
        <f t="shared" si="170"/>
        <v>001390</v>
      </c>
      <c r="F10928" t="s">
        <v>27246</v>
      </c>
      <c r="G10928" t="s">
        <v>27247</v>
      </c>
      <c r="H10928" t="s">
        <v>27248</v>
      </c>
      <c r="I10928" t="s">
        <v>48384</v>
      </c>
      <c r="J10928" t="s">
        <v>21870</v>
      </c>
      <c r="L10928" t="s">
        <v>27250</v>
      </c>
      <c r="M10928" t="s">
        <v>27251</v>
      </c>
      <c r="N10928" t="s">
        <v>27252</v>
      </c>
      <c r="Q10928" s="1">
        <v>44538</v>
      </c>
      <c r="R10928" t="s">
        <v>27253</v>
      </c>
      <c r="S10928" t="s">
        <v>27254</v>
      </c>
      <c r="T10928" t="s">
        <v>27269</v>
      </c>
    </row>
    <row r="10929" spans="1:20" x14ac:dyDescent="0.3">
      <c r="A10929" t="str">
        <f>"0611838768025"</f>
        <v>0611838768025</v>
      </c>
      <c r="B10929" t="str">
        <f>"MC3667"</f>
        <v>MC3667</v>
      </c>
      <c r="C10929" t="s">
        <v>48385</v>
      </c>
      <c r="D10929" t="s">
        <v>27267</v>
      </c>
      <c r="E10929" t="str">
        <f t="shared" si="170"/>
        <v>001390</v>
      </c>
      <c r="F10929" t="s">
        <v>27246</v>
      </c>
      <c r="G10929" t="s">
        <v>27247</v>
      </c>
      <c r="H10929" t="s">
        <v>27248</v>
      </c>
      <c r="I10929" t="s">
        <v>48386</v>
      </c>
      <c r="J10929" t="s">
        <v>21872</v>
      </c>
      <c r="L10929" t="s">
        <v>27250</v>
      </c>
      <c r="M10929" t="s">
        <v>27251</v>
      </c>
      <c r="N10929" t="s">
        <v>27252</v>
      </c>
      <c r="Q10929" s="1">
        <v>44538</v>
      </c>
      <c r="R10929" t="s">
        <v>27253</v>
      </c>
      <c r="S10929" t="s">
        <v>27254</v>
      </c>
      <c r="T10929" t="s">
        <v>27269</v>
      </c>
    </row>
    <row r="10930" spans="1:20" x14ac:dyDescent="0.3">
      <c r="A10930" t="str">
        <f>"0611838769100"</f>
        <v>0611838769100</v>
      </c>
      <c r="B10930" t="str">
        <f>"LK6949"</f>
        <v>LK6949</v>
      </c>
      <c r="C10930" t="s">
        <v>48387</v>
      </c>
      <c r="D10930" t="s">
        <v>27245</v>
      </c>
      <c r="E10930" t="str">
        <f t="shared" si="170"/>
        <v>001390</v>
      </c>
      <c r="F10930" t="s">
        <v>27246</v>
      </c>
      <c r="G10930" t="s">
        <v>27247</v>
      </c>
      <c r="H10930" t="s">
        <v>27248</v>
      </c>
      <c r="I10930" t="s">
        <v>48388</v>
      </c>
      <c r="J10930" t="s">
        <v>21874</v>
      </c>
      <c r="L10930" t="s">
        <v>27250</v>
      </c>
      <c r="M10930" t="s">
        <v>27251</v>
      </c>
      <c r="N10930" t="s">
        <v>27252</v>
      </c>
      <c r="Q10930" s="1">
        <v>44538</v>
      </c>
      <c r="R10930" t="s">
        <v>27253</v>
      </c>
      <c r="S10930" t="s">
        <v>27254</v>
      </c>
      <c r="T10930" t="s">
        <v>27255</v>
      </c>
    </row>
    <row r="10931" spans="1:20" x14ac:dyDescent="0.3">
      <c r="A10931" t="str">
        <f>"0611838770025"</f>
        <v>0611838770025</v>
      </c>
      <c r="B10931" t="str">
        <f>"MQ7262"</f>
        <v>MQ7262</v>
      </c>
      <c r="C10931" t="s">
        <v>48389</v>
      </c>
      <c r="D10931" t="s">
        <v>27267</v>
      </c>
      <c r="E10931" t="str">
        <f t="shared" si="170"/>
        <v>001390</v>
      </c>
      <c r="F10931" t="s">
        <v>27246</v>
      </c>
      <c r="G10931" t="s">
        <v>27247</v>
      </c>
      <c r="H10931" t="s">
        <v>27248</v>
      </c>
      <c r="I10931" t="s">
        <v>48390</v>
      </c>
      <c r="J10931" t="s">
        <v>21876</v>
      </c>
      <c r="L10931" t="s">
        <v>27250</v>
      </c>
      <c r="M10931" t="s">
        <v>27251</v>
      </c>
      <c r="N10931" t="s">
        <v>27252</v>
      </c>
      <c r="Q10931" s="1">
        <v>44538</v>
      </c>
      <c r="R10931" t="s">
        <v>27253</v>
      </c>
      <c r="S10931" t="s">
        <v>27254</v>
      </c>
      <c r="T10931" t="s">
        <v>27269</v>
      </c>
    </row>
    <row r="10932" spans="1:20" x14ac:dyDescent="0.3">
      <c r="A10932" t="str">
        <f>"0611838771100"</f>
        <v>0611838771100</v>
      </c>
      <c r="B10932" t="str">
        <f>"LK0941"</f>
        <v>LK0941</v>
      </c>
      <c r="C10932" t="s">
        <v>48391</v>
      </c>
      <c r="D10932" t="s">
        <v>27245</v>
      </c>
      <c r="E10932" t="str">
        <f t="shared" si="170"/>
        <v>001390</v>
      </c>
      <c r="F10932" t="s">
        <v>27246</v>
      </c>
      <c r="G10932" t="s">
        <v>27247</v>
      </c>
      <c r="H10932" t="s">
        <v>27248</v>
      </c>
      <c r="I10932" t="s">
        <v>48392</v>
      </c>
      <c r="J10932" t="s">
        <v>21878</v>
      </c>
      <c r="L10932" t="s">
        <v>27250</v>
      </c>
      <c r="M10932" t="s">
        <v>27251</v>
      </c>
      <c r="N10932" t="s">
        <v>27252</v>
      </c>
      <c r="Q10932" s="1">
        <v>44538</v>
      </c>
      <c r="R10932" t="s">
        <v>27253</v>
      </c>
      <c r="S10932" t="s">
        <v>27254</v>
      </c>
      <c r="T10932" t="s">
        <v>27255</v>
      </c>
    </row>
    <row r="10933" spans="1:20" x14ac:dyDescent="0.3">
      <c r="A10933" t="str">
        <f>"0611838772025"</f>
        <v>0611838772025</v>
      </c>
      <c r="B10933" t="str">
        <f>"MC2061"</f>
        <v>MC2061</v>
      </c>
      <c r="C10933" t="s">
        <v>48391</v>
      </c>
      <c r="D10933" t="s">
        <v>27267</v>
      </c>
      <c r="E10933" t="str">
        <f t="shared" si="170"/>
        <v>001390</v>
      </c>
      <c r="F10933" t="s">
        <v>27246</v>
      </c>
      <c r="G10933" t="s">
        <v>27247</v>
      </c>
      <c r="H10933" t="s">
        <v>27248</v>
      </c>
      <c r="I10933" t="s">
        <v>48393</v>
      </c>
      <c r="J10933" t="s">
        <v>21880</v>
      </c>
      <c r="L10933" t="s">
        <v>27250</v>
      </c>
      <c r="M10933" t="s">
        <v>27251</v>
      </c>
      <c r="N10933" t="s">
        <v>27252</v>
      </c>
      <c r="Q10933" s="1">
        <v>44538</v>
      </c>
      <c r="R10933" t="s">
        <v>27253</v>
      </c>
      <c r="S10933" t="s">
        <v>27254</v>
      </c>
      <c r="T10933" t="s">
        <v>27269</v>
      </c>
    </row>
    <row r="10934" spans="1:20" x14ac:dyDescent="0.3">
      <c r="A10934" t="str">
        <f>"0611838773100"</f>
        <v>0611838773100</v>
      </c>
      <c r="B10934" t="str">
        <f>"LB8050"</f>
        <v>LB8050</v>
      </c>
      <c r="C10934" t="s">
        <v>48394</v>
      </c>
      <c r="D10934" t="s">
        <v>27245</v>
      </c>
      <c r="E10934" t="str">
        <f t="shared" si="170"/>
        <v>001390</v>
      </c>
      <c r="F10934" t="s">
        <v>27246</v>
      </c>
      <c r="G10934" t="s">
        <v>27247</v>
      </c>
      <c r="H10934" t="s">
        <v>27248</v>
      </c>
      <c r="I10934" t="s">
        <v>48395</v>
      </c>
      <c r="J10934" t="s">
        <v>21882</v>
      </c>
      <c r="L10934" t="s">
        <v>27250</v>
      </c>
      <c r="M10934" t="s">
        <v>27251</v>
      </c>
      <c r="N10934" t="s">
        <v>27252</v>
      </c>
      <c r="Q10934" s="1">
        <v>44538</v>
      </c>
      <c r="R10934" t="s">
        <v>27253</v>
      </c>
      <c r="S10934" t="s">
        <v>27254</v>
      </c>
      <c r="T10934" t="s">
        <v>27255</v>
      </c>
    </row>
    <row r="10935" spans="1:20" x14ac:dyDescent="0.3">
      <c r="A10935" t="str">
        <f>"0611838774100"</f>
        <v>0611838774100</v>
      </c>
      <c r="B10935" t="str">
        <f>"LK2388"</f>
        <v>LK2388</v>
      </c>
      <c r="C10935" t="s">
        <v>48396</v>
      </c>
      <c r="D10935" t="s">
        <v>27245</v>
      </c>
      <c r="E10935" t="str">
        <f t="shared" si="170"/>
        <v>001390</v>
      </c>
      <c r="F10935" t="s">
        <v>27246</v>
      </c>
      <c r="G10935" t="s">
        <v>27247</v>
      </c>
      <c r="H10935" t="s">
        <v>27248</v>
      </c>
      <c r="I10935" t="s">
        <v>48397</v>
      </c>
      <c r="J10935" t="s">
        <v>21884</v>
      </c>
      <c r="L10935" t="s">
        <v>27250</v>
      </c>
      <c r="M10935" t="s">
        <v>27251</v>
      </c>
      <c r="N10935" t="s">
        <v>27252</v>
      </c>
      <c r="Q10935" s="1">
        <v>44538</v>
      </c>
      <c r="R10935" t="s">
        <v>27253</v>
      </c>
      <c r="S10935" t="s">
        <v>27254</v>
      </c>
      <c r="T10935" t="s">
        <v>27255</v>
      </c>
    </row>
    <row r="10936" spans="1:20" x14ac:dyDescent="0.3">
      <c r="A10936" t="str">
        <f>"0611838775025"</f>
        <v>0611838775025</v>
      </c>
      <c r="B10936" t="str">
        <f>"MC0658"</f>
        <v>MC0658</v>
      </c>
      <c r="C10936" t="s">
        <v>48398</v>
      </c>
      <c r="D10936" t="s">
        <v>27267</v>
      </c>
      <c r="E10936" t="str">
        <f t="shared" si="170"/>
        <v>001390</v>
      </c>
      <c r="F10936" t="s">
        <v>27246</v>
      </c>
      <c r="G10936" t="s">
        <v>27247</v>
      </c>
      <c r="H10936" t="s">
        <v>27248</v>
      </c>
      <c r="I10936" t="s">
        <v>48399</v>
      </c>
      <c r="J10936" t="s">
        <v>21886</v>
      </c>
      <c r="L10936" t="s">
        <v>27250</v>
      </c>
      <c r="M10936" t="s">
        <v>27251</v>
      </c>
      <c r="N10936" t="s">
        <v>27252</v>
      </c>
      <c r="Q10936" s="1">
        <v>44538</v>
      </c>
      <c r="R10936" t="s">
        <v>27253</v>
      </c>
      <c r="S10936" t="s">
        <v>27254</v>
      </c>
      <c r="T10936" t="s">
        <v>27269</v>
      </c>
    </row>
    <row r="10937" spans="1:20" x14ac:dyDescent="0.3">
      <c r="A10937" t="str">
        <f>"0611838776100"</f>
        <v>0611838776100</v>
      </c>
      <c r="B10937" t="str">
        <f>"LK0367"</f>
        <v>LK0367</v>
      </c>
      <c r="C10937" t="s">
        <v>48400</v>
      </c>
      <c r="D10937" t="s">
        <v>27245</v>
      </c>
      <c r="E10937" t="str">
        <f t="shared" si="170"/>
        <v>001390</v>
      </c>
      <c r="F10937" t="s">
        <v>27246</v>
      </c>
      <c r="G10937" t="s">
        <v>27247</v>
      </c>
      <c r="H10937" t="s">
        <v>27248</v>
      </c>
      <c r="I10937" t="s">
        <v>48401</v>
      </c>
      <c r="J10937" t="s">
        <v>21888</v>
      </c>
      <c r="L10937" t="s">
        <v>27250</v>
      </c>
      <c r="M10937" t="s">
        <v>27251</v>
      </c>
      <c r="N10937" t="s">
        <v>27252</v>
      </c>
      <c r="Q10937" s="1">
        <v>44538</v>
      </c>
      <c r="R10937" t="s">
        <v>27253</v>
      </c>
      <c r="S10937" t="s">
        <v>27254</v>
      </c>
      <c r="T10937" t="s">
        <v>27255</v>
      </c>
    </row>
    <row r="10938" spans="1:20" x14ac:dyDescent="0.3">
      <c r="A10938" t="str">
        <f>"0611838777025"</f>
        <v>0611838777025</v>
      </c>
      <c r="B10938" t="str">
        <f>"MC3897"</f>
        <v>MC3897</v>
      </c>
      <c r="C10938" t="s">
        <v>48400</v>
      </c>
      <c r="D10938" t="s">
        <v>27267</v>
      </c>
      <c r="E10938" t="str">
        <f t="shared" si="170"/>
        <v>001390</v>
      </c>
      <c r="F10938" t="s">
        <v>27246</v>
      </c>
      <c r="G10938" t="s">
        <v>27247</v>
      </c>
      <c r="H10938" t="s">
        <v>27248</v>
      </c>
      <c r="I10938" t="s">
        <v>48402</v>
      </c>
      <c r="J10938" t="s">
        <v>21890</v>
      </c>
      <c r="L10938" t="s">
        <v>27250</v>
      </c>
      <c r="M10938" t="s">
        <v>27251</v>
      </c>
      <c r="N10938" t="s">
        <v>27252</v>
      </c>
      <c r="Q10938" s="1">
        <v>44538</v>
      </c>
      <c r="R10938" t="s">
        <v>27253</v>
      </c>
      <c r="S10938" t="s">
        <v>27254</v>
      </c>
      <c r="T10938" t="s">
        <v>27269</v>
      </c>
    </row>
    <row r="10939" spans="1:20" x14ac:dyDescent="0.3">
      <c r="A10939" t="str">
        <f>"0611838778100"</f>
        <v>0611838778100</v>
      </c>
      <c r="B10939" t="str">
        <f>"LK4354"</f>
        <v>LK4354</v>
      </c>
      <c r="C10939" t="s">
        <v>48403</v>
      </c>
      <c r="D10939" t="s">
        <v>27245</v>
      </c>
      <c r="E10939" t="str">
        <f t="shared" si="170"/>
        <v>001390</v>
      </c>
      <c r="F10939" t="s">
        <v>27246</v>
      </c>
      <c r="G10939" t="s">
        <v>27247</v>
      </c>
      <c r="H10939" t="s">
        <v>27248</v>
      </c>
      <c r="I10939" t="s">
        <v>48404</v>
      </c>
      <c r="J10939" t="s">
        <v>21892</v>
      </c>
      <c r="L10939" t="s">
        <v>27250</v>
      </c>
      <c r="M10939" t="s">
        <v>27251</v>
      </c>
      <c r="N10939" t="s">
        <v>27252</v>
      </c>
      <c r="Q10939" s="1">
        <v>44538</v>
      </c>
      <c r="R10939" t="s">
        <v>27253</v>
      </c>
      <c r="S10939" t="s">
        <v>27254</v>
      </c>
      <c r="T10939" t="s">
        <v>27255</v>
      </c>
    </row>
    <row r="10940" spans="1:20" x14ac:dyDescent="0.3">
      <c r="A10940" t="str">
        <f>"0611838779025"</f>
        <v>0611838779025</v>
      </c>
      <c r="B10940" t="str">
        <f>"MC3374"</f>
        <v>MC3374</v>
      </c>
      <c r="C10940" t="s">
        <v>48405</v>
      </c>
      <c r="D10940" t="s">
        <v>27267</v>
      </c>
      <c r="E10940" t="str">
        <f t="shared" si="170"/>
        <v>001390</v>
      </c>
      <c r="F10940" t="s">
        <v>27246</v>
      </c>
      <c r="G10940" t="s">
        <v>27247</v>
      </c>
      <c r="H10940" t="s">
        <v>27248</v>
      </c>
      <c r="I10940" t="s">
        <v>48406</v>
      </c>
      <c r="J10940" t="s">
        <v>21894</v>
      </c>
      <c r="L10940" t="s">
        <v>27250</v>
      </c>
      <c r="M10940" t="s">
        <v>27251</v>
      </c>
      <c r="N10940" t="s">
        <v>27252</v>
      </c>
      <c r="Q10940" s="1">
        <v>44538</v>
      </c>
      <c r="R10940" t="s">
        <v>27253</v>
      </c>
      <c r="S10940" t="s">
        <v>27254</v>
      </c>
      <c r="T10940" t="s">
        <v>27269</v>
      </c>
    </row>
    <row r="10941" spans="1:20" x14ac:dyDescent="0.3">
      <c r="A10941" t="str">
        <f>"0611838780100"</f>
        <v>0611838780100</v>
      </c>
      <c r="B10941" t="str">
        <f>"LK6950"</f>
        <v>LK6950</v>
      </c>
      <c r="C10941" t="s">
        <v>48407</v>
      </c>
      <c r="D10941" t="s">
        <v>27245</v>
      </c>
      <c r="E10941" t="str">
        <f t="shared" si="170"/>
        <v>001390</v>
      </c>
      <c r="F10941" t="s">
        <v>27246</v>
      </c>
      <c r="G10941" t="s">
        <v>27247</v>
      </c>
      <c r="H10941" t="s">
        <v>27248</v>
      </c>
      <c r="I10941" t="s">
        <v>48408</v>
      </c>
      <c r="J10941" t="s">
        <v>21896</v>
      </c>
      <c r="L10941" t="s">
        <v>27250</v>
      </c>
      <c r="M10941" t="s">
        <v>27251</v>
      </c>
      <c r="N10941" t="s">
        <v>27252</v>
      </c>
      <c r="Q10941" s="1">
        <v>44538</v>
      </c>
      <c r="R10941" t="s">
        <v>27253</v>
      </c>
      <c r="S10941" t="s">
        <v>27254</v>
      </c>
      <c r="T10941" t="s">
        <v>27255</v>
      </c>
    </row>
    <row r="10942" spans="1:20" x14ac:dyDescent="0.3">
      <c r="A10942" t="str">
        <f>"0611838781025"</f>
        <v>0611838781025</v>
      </c>
      <c r="B10942" t="str">
        <f>"MQ0730"</f>
        <v>MQ0730</v>
      </c>
      <c r="C10942" t="s">
        <v>48409</v>
      </c>
      <c r="D10942" t="s">
        <v>27267</v>
      </c>
      <c r="E10942" t="str">
        <f t="shared" si="170"/>
        <v>001390</v>
      </c>
      <c r="F10942" t="s">
        <v>27246</v>
      </c>
      <c r="G10942" t="s">
        <v>27247</v>
      </c>
      <c r="H10942" t="s">
        <v>27248</v>
      </c>
      <c r="I10942" t="s">
        <v>48410</v>
      </c>
      <c r="J10942" t="s">
        <v>21898</v>
      </c>
      <c r="L10942" t="s">
        <v>27250</v>
      </c>
      <c r="M10942" t="s">
        <v>27251</v>
      </c>
      <c r="N10942" t="s">
        <v>27252</v>
      </c>
      <c r="Q10942" s="1">
        <v>44538</v>
      </c>
      <c r="R10942" t="s">
        <v>27253</v>
      </c>
      <c r="S10942" t="s">
        <v>27254</v>
      </c>
      <c r="T10942" t="s">
        <v>27269</v>
      </c>
    </row>
    <row r="10943" spans="1:20" x14ac:dyDescent="0.3">
      <c r="A10943" t="str">
        <f>"0611838782025"</f>
        <v>0611838782025</v>
      </c>
      <c r="B10943" t="str">
        <f>"MQ0731"</f>
        <v>MQ0731</v>
      </c>
      <c r="C10943" t="s">
        <v>48411</v>
      </c>
      <c r="D10943" t="s">
        <v>27267</v>
      </c>
      <c r="E10943" t="str">
        <f t="shared" si="170"/>
        <v>001390</v>
      </c>
      <c r="F10943" t="s">
        <v>27246</v>
      </c>
      <c r="G10943" t="s">
        <v>27247</v>
      </c>
      <c r="H10943" t="s">
        <v>27248</v>
      </c>
      <c r="I10943" t="s">
        <v>48412</v>
      </c>
      <c r="J10943" t="s">
        <v>21900</v>
      </c>
      <c r="L10943" t="s">
        <v>27250</v>
      </c>
      <c r="M10943" t="s">
        <v>27251</v>
      </c>
      <c r="N10943" t="s">
        <v>27252</v>
      </c>
      <c r="Q10943" s="1">
        <v>44538</v>
      </c>
      <c r="R10943" t="s">
        <v>27253</v>
      </c>
      <c r="S10943" t="s">
        <v>27254</v>
      </c>
      <c r="T10943" t="s">
        <v>27269</v>
      </c>
    </row>
    <row r="10944" spans="1:20" x14ac:dyDescent="0.3">
      <c r="A10944" t="str">
        <f>"0611838783025"</f>
        <v>0611838783025</v>
      </c>
      <c r="B10944" t="str">
        <f>"MQ6071"</f>
        <v>MQ6071</v>
      </c>
      <c r="C10944" t="s">
        <v>48413</v>
      </c>
      <c r="D10944" t="s">
        <v>27267</v>
      </c>
      <c r="E10944" t="str">
        <f t="shared" si="170"/>
        <v>001390</v>
      </c>
      <c r="F10944" t="s">
        <v>27246</v>
      </c>
      <c r="G10944" t="s">
        <v>27247</v>
      </c>
      <c r="H10944" t="s">
        <v>27248</v>
      </c>
      <c r="I10944" t="s">
        <v>48414</v>
      </c>
      <c r="J10944" t="s">
        <v>21902</v>
      </c>
      <c r="L10944" t="s">
        <v>27250</v>
      </c>
      <c r="M10944" t="s">
        <v>27251</v>
      </c>
      <c r="N10944" t="s">
        <v>27252</v>
      </c>
      <c r="Q10944" s="1">
        <v>44538</v>
      </c>
      <c r="R10944" t="s">
        <v>27253</v>
      </c>
      <c r="S10944" t="s">
        <v>27254</v>
      </c>
      <c r="T10944" t="s">
        <v>27269</v>
      </c>
    </row>
    <row r="10945" spans="1:20" x14ac:dyDescent="0.3">
      <c r="A10945" t="str">
        <f>"0611838784025"</f>
        <v>0611838784025</v>
      </c>
      <c r="B10945" t="str">
        <f>"MQ6072"</f>
        <v>MQ6072</v>
      </c>
      <c r="C10945" t="s">
        <v>48415</v>
      </c>
      <c r="D10945" t="s">
        <v>27267</v>
      </c>
      <c r="E10945" t="str">
        <f t="shared" si="170"/>
        <v>001390</v>
      </c>
      <c r="F10945" t="s">
        <v>27246</v>
      </c>
      <c r="G10945" t="s">
        <v>27247</v>
      </c>
      <c r="H10945" t="s">
        <v>27248</v>
      </c>
      <c r="I10945" t="s">
        <v>48416</v>
      </c>
      <c r="J10945" t="s">
        <v>21904</v>
      </c>
      <c r="L10945" t="s">
        <v>27250</v>
      </c>
      <c r="M10945" t="s">
        <v>27251</v>
      </c>
      <c r="N10945" t="s">
        <v>27252</v>
      </c>
      <c r="Q10945" s="1">
        <v>44538</v>
      </c>
      <c r="R10945" t="s">
        <v>27253</v>
      </c>
      <c r="S10945" t="s">
        <v>27254</v>
      </c>
      <c r="T10945" t="s">
        <v>27269</v>
      </c>
    </row>
    <row r="10946" spans="1:20" x14ac:dyDescent="0.3">
      <c r="A10946" t="str">
        <f>"0611838785025"</f>
        <v>0611838785025</v>
      </c>
      <c r="B10946" t="str">
        <f>"MC3796"</f>
        <v>MC3796</v>
      </c>
      <c r="C10946" t="s">
        <v>48417</v>
      </c>
      <c r="D10946" t="s">
        <v>27267</v>
      </c>
      <c r="E10946" t="str">
        <f t="shared" ref="E10946:E11009" si="171">"001390"</f>
        <v>001390</v>
      </c>
      <c r="F10946" t="s">
        <v>27246</v>
      </c>
      <c r="G10946" t="s">
        <v>27247</v>
      </c>
      <c r="H10946" t="s">
        <v>27248</v>
      </c>
      <c r="I10946" t="s">
        <v>48418</v>
      </c>
      <c r="J10946" t="s">
        <v>21906</v>
      </c>
      <c r="L10946" t="s">
        <v>27250</v>
      </c>
      <c r="M10946" t="s">
        <v>27251</v>
      </c>
      <c r="N10946" t="s">
        <v>27252</v>
      </c>
      <c r="Q10946" s="1">
        <v>44538</v>
      </c>
      <c r="R10946" t="s">
        <v>27253</v>
      </c>
      <c r="S10946" t="s">
        <v>27254</v>
      </c>
      <c r="T10946" t="s">
        <v>27269</v>
      </c>
    </row>
    <row r="10947" spans="1:20" x14ac:dyDescent="0.3">
      <c r="A10947" t="str">
        <f>"0611838786100"</f>
        <v>0611838786100</v>
      </c>
      <c r="B10947" t="str">
        <f>"LK4028"</f>
        <v>LK4028</v>
      </c>
      <c r="C10947" t="s">
        <v>48419</v>
      </c>
      <c r="D10947" t="s">
        <v>27245</v>
      </c>
      <c r="E10947" t="str">
        <f t="shared" si="171"/>
        <v>001390</v>
      </c>
      <c r="F10947" t="s">
        <v>27246</v>
      </c>
      <c r="G10947" t="s">
        <v>27247</v>
      </c>
      <c r="H10947" t="s">
        <v>27248</v>
      </c>
      <c r="I10947" t="s">
        <v>48420</v>
      </c>
      <c r="J10947" t="s">
        <v>21908</v>
      </c>
      <c r="L10947" t="s">
        <v>27250</v>
      </c>
      <c r="M10947" t="s">
        <v>27251</v>
      </c>
      <c r="N10947" t="s">
        <v>27252</v>
      </c>
      <c r="Q10947" s="1">
        <v>44538</v>
      </c>
      <c r="R10947" t="s">
        <v>27253</v>
      </c>
      <c r="S10947" t="s">
        <v>27254</v>
      </c>
      <c r="T10947" t="s">
        <v>27255</v>
      </c>
    </row>
    <row r="10948" spans="1:20" x14ac:dyDescent="0.3">
      <c r="A10948" t="str">
        <f>"0611838787025"</f>
        <v>0611838787025</v>
      </c>
      <c r="B10948" t="str">
        <f>"MC2793"</f>
        <v>MC2793</v>
      </c>
      <c r="C10948" t="s">
        <v>48419</v>
      </c>
      <c r="D10948" t="s">
        <v>27267</v>
      </c>
      <c r="E10948" t="str">
        <f t="shared" si="171"/>
        <v>001390</v>
      </c>
      <c r="F10948" t="s">
        <v>27246</v>
      </c>
      <c r="G10948" t="s">
        <v>27247</v>
      </c>
      <c r="H10948" t="s">
        <v>27248</v>
      </c>
      <c r="I10948" t="s">
        <v>48421</v>
      </c>
      <c r="J10948" t="s">
        <v>21910</v>
      </c>
      <c r="L10948" t="s">
        <v>27250</v>
      </c>
      <c r="M10948" t="s">
        <v>27251</v>
      </c>
      <c r="N10948" t="s">
        <v>27252</v>
      </c>
      <c r="Q10948" s="1">
        <v>44538</v>
      </c>
      <c r="R10948" t="s">
        <v>27253</v>
      </c>
      <c r="S10948" t="s">
        <v>27254</v>
      </c>
      <c r="T10948" t="s">
        <v>27269</v>
      </c>
    </row>
    <row r="10949" spans="1:20" x14ac:dyDescent="0.3">
      <c r="A10949" t="str">
        <f>"0611857097025"</f>
        <v>0611857097025</v>
      </c>
      <c r="B10949" t="str">
        <f>"MC4426"</f>
        <v>MC4426</v>
      </c>
      <c r="C10949" t="s">
        <v>48422</v>
      </c>
      <c r="D10949" t="s">
        <v>27267</v>
      </c>
      <c r="E10949" t="str">
        <f t="shared" si="171"/>
        <v>001390</v>
      </c>
      <c r="F10949" t="s">
        <v>27246</v>
      </c>
      <c r="G10949" t="s">
        <v>27247</v>
      </c>
      <c r="H10949" t="s">
        <v>27248</v>
      </c>
      <c r="I10949" t="s">
        <v>48423</v>
      </c>
      <c r="J10949" t="s">
        <v>21912</v>
      </c>
      <c r="L10949" t="s">
        <v>27250</v>
      </c>
      <c r="M10949" t="s">
        <v>27251</v>
      </c>
      <c r="N10949" t="s">
        <v>27252</v>
      </c>
      <c r="Q10949" s="1">
        <v>44812</v>
      </c>
      <c r="R10949" t="s">
        <v>27253</v>
      </c>
      <c r="S10949" t="s">
        <v>27254</v>
      </c>
      <c r="T10949" t="s">
        <v>27269</v>
      </c>
    </row>
    <row r="10950" spans="1:20" x14ac:dyDescent="0.3">
      <c r="A10950" t="str">
        <f>"0611838788100"</f>
        <v>0611838788100</v>
      </c>
      <c r="B10950" t="str">
        <f>"LH7279"</f>
        <v>LH7279</v>
      </c>
      <c r="C10950" t="s">
        <v>48424</v>
      </c>
      <c r="D10950" t="s">
        <v>27245</v>
      </c>
      <c r="E10950" t="str">
        <f t="shared" si="171"/>
        <v>001390</v>
      </c>
      <c r="F10950" t="s">
        <v>27246</v>
      </c>
      <c r="G10950" t="s">
        <v>27247</v>
      </c>
      <c r="H10950" t="s">
        <v>27248</v>
      </c>
      <c r="I10950" t="s">
        <v>48425</v>
      </c>
      <c r="J10950" t="s">
        <v>21914</v>
      </c>
      <c r="L10950" t="s">
        <v>27250</v>
      </c>
      <c r="M10950" t="s">
        <v>27251</v>
      </c>
      <c r="N10950" t="s">
        <v>27252</v>
      </c>
      <c r="Q10950" s="1">
        <v>44538</v>
      </c>
      <c r="R10950" t="s">
        <v>27253</v>
      </c>
      <c r="S10950" t="s">
        <v>27254</v>
      </c>
      <c r="T10950" t="s">
        <v>27255</v>
      </c>
    </row>
    <row r="10951" spans="1:20" x14ac:dyDescent="0.3">
      <c r="A10951" t="str">
        <f>"0611838789100"</f>
        <v>0611838789100</v>
      </c>
      <c r="B10951" t="str">
        <f>"LH7280"</f>
        <v>LH7280</v>
      </c>
      <c r="C10951" t="s">
        <v>48426</v>
      </c>
      <c r="D10951" t="s">
        <v>27245</v>
      </c>
      <c r="E10951" t="str">
        <f t="shared" si="171"/>
        <v>001390</v>
      </c>
      <c r="F10951" t="s">
        <v>27246</v>
      </c>
      <c r="G10951" t="s">
        <v>27247</v>
      </c>
      <c r="H10951" t="s">
        <v>27248</v>
      </c>
      <c r="I10951" t="s">
        <v>48427</v>
      </c>
      <c r="J10951" t="s">
        <v>21916</v>
      </c>
      <c r="L10951" t="s">
        <v>27250</v>
      </c>
      <c r="M10951" t="s">
        <v>27251</v>
      </c>
      <c r="N10951" t="s">
        <v>27252</v>
      </c>
      <c r="Q10951" s="1">
        <v>44538</v>
      </c>
      <c r="R10951" t="s">
        <v>27253</v>
      </c>
      <c r="S10951" t="s">
        <v>27254</v>
      </c>
      <c r="T10951" t="s">
        <v>27255</v>
      </c>
    </row>
    <row r="10952" spans="1:20" x14ac:dyDescent="0.3">
      <c r="A10952" t="str">
        <f>"0611838790025"</f>
        <v>0611838790025</v>
      </c>
      <c r="B10952" t="str">
        <f>"MC0656"</f>
        <v>MC0656</v>
      </c>
      <c r="C10952" t="s">
        <v>48426</v>
      </c>
      <c r="D10952" t="s">
        <v>27267</v>
      </c>
      <c r="E10952" t="str">
        <f t="shared" si="171"/>
        <v>001390</v>
      </c>
      <c r="F10952" t="s">
        <v>27246</v>
      </c>
      <c r="G10952" t="s">
        <v>27247</v>
      </c>
      <c r="H10952" t="s">
        <v>27248</v>
      </c>
      <c r="I10952" t="s">
        <v>48428</v>
      </c>
      <c r="J10952" t="s">
        <v>21918</v>
      </c>
      <c r="L10952" t="s">
        <v>27250</v>
      </c>
      <c r="M10952" t="s">
        <v>27251</v>
      </c>
      <c r="N10952" t="s">
        <v>27252</v>
      </c>
      <c r="Q10952" s="1">
        <v>44538</v>
      </c>
      <c r="R10952" t="s">
        <v>27253</v>
      </c>
      <c r="S10952" t="s">
        <v>27254</v>
      </c>
      <c r="T10952" t="s">
        <v>27269</v>
      </c>
    </row>
    <row r="10953" spans="1:20" x14ac:dyDescent="0.3">
      <c r="A10953" t="str">
        <f>"0611838791025"</f>
        <v>0611838791025</v>
      </c>
      <c r="B10953" t="str">
        <f>"MC4314"</f>
        <v>MC4314</v>
      </c>
      <c r="C10953" t="s">
        <v>48429</v>
      </c>
      <c r="D10953" t="s">
        <v>27267</v>
      </c>
      <c r="E10953" t="str">
        <f t="shared" si="171"/>
        <v>001390</v>
      </c>
      <c r="F10953" t="s">
        <v>27246</v>
      </c>
      <c r="G10953" t="s">
        <v>27247</v>
      </c>
      <c r="H10953" t="s">
        <v>27248</v>
      </c>
      <c r="I10953" t="s">
        <v>48430</v>
      </c>
      <c r="J10953" t="s">
        <v>21920</v>
      </c>
      <c r="L10953" t="s">
        <v>27250</v>
      </c>
      <c r="M10953" t="s">
        <v>27251</v>
      </c>
      <c r="N10953" t="s">
        <v>27252</v>
      </c>
      <c r="Q10953" s="1">
        <v>44538</v>
      </c>
      <c r="R10953" t="s">
        <v>27253</v>
      </c>
      <c r="S10953" t="s">
        <v>27254</v>
      </c>
      <c r="T10953" t="s">
        <v>27269</v>
      </c>
    </row>
    <row r="10954" spans="1:20" x14ac:dyDescent="0.3">
      <c r="A10954" t="str">
        <f>"0611838792100"</f>
        <v>0611838792100</v>
      </c>
      <c r="B10954" t="str">
        <f>"LH0021"</f>
        <v>LH0021</v>
      </c>
      <c r="C10954" t="s">
        <v>48431</v>
      </c>
      <c r="D10954" t="s">
        <v>27245</v>
      </c>
      <c r="E10954" t="str">
        <f t="shared" si="171"/>
        <v>001390</v>
      </c>
      <c r="F10954" t="s">
        <v>27246</v>
      </c>
      <c r="G10954" t="s">
        <v>27247</v>
      </c>
      <c r="H10954" t="s">
        <v>27248</v>
      </c>
      <c r="I10954" t="s">
        <v>48432</v>
      </c>
      <c r="J10954" t="s">
        <v>21922</v>
      </c>
      <c r="L10954" t="s">
        <v>27250</v>
      </c>
      <c r="M10954" t="s">
        <v>27251</v>
      </c>
      <c r="N10954" t="s">
        <v>27252</v>
      </c>
      <c r="Q10954" s="1">
        <v>44538</v>
      </c>
      <c r="R10954" t="s">
        <v>27253</v>
      </c>
      <c r="S10954" t="s">
        <v>27254</v>
      </c>
      <c r="T10954" t="s">
        <v>27255</v>
      </c>
    </row>
    <row r="10955" spans="1:20" x14ac:dyDescent="0.3">
      <c r="A10955" t="str">
        <f>"0611838793100"</f>
        <v>0611838793100</v>
      </c>
      <c r="B10955" t="str">
        <f>"LB8051"</f>
        <v>LB8051</v>
      </c>
      <c r="C10955" t="s">
        <v>48433</v>
      </c>
      <c r="D10955" t="s">
        <v>27245</v>
      </c>
      <c r="E10955" t="str">
        <f t="shared" si="171"/>
        <v>001390</v>
      </c>
      <c r="F10955" t="s">
        <v>27246</v>
      </c>
      <c r="G10955" t="s">
        <v>27247</v>
      </c>
      <c r="H10955" t="s">
        <v>27248</v>
      </c>
      <c r="I10955" t="s">
        <v>48434</v>
      </c>
      <c r="J10955" t="s">
        <v>21924</v>
      </c>
      <c r="L10955" t="s">
        <v>27250</v>
      </c>
      <c r="M10955" t="s">
        <v>27251</v>
      </c>
      <c r="N10955" t="s">
        <v>27252</v>
      </c>
      <c r="Q10955" s="1">
        <v>44538</v>
      </c>
      <c r="R10955" t="s">
        <v>27253</v>
      </c>
      <c r="S10955" t="s">
        <v>27254</v>
      </c>
      <c r="T10955" t="s">
        <v>27255</v>
      </c>
    </row>
    <row r="10956" spans="1:20" x14ac:dyDescent="0.3">
      <c r="A10956" t="str">
        <f>"0611838794025"</f>
        <v>0611838794025</v>
      </c>
      <c r="B10956" t="str">
        <f>"MC0657"</f>
        <v>MC0657</v>
      </c>
      <c r="C10956" t="s">
        <v>48433</v>
      </c>
      <c r="D10956" t="s">
        <v>27267</v>
      </c>
      <c r="E10956" t="str">
        <f t="shared" si="171"/>
        <v>001390</v>
      </c>
      <c r="F10956" t="s">
        <v>27246</v>
      </c>
      <c r="G10956" t="s">
        <v>27247</v>
      </c>
      <c r="H10956" t="s">
        <v>27248</v>
      </c>
      <c r="I10956" t="s">
        <v>48435</v>
      </c>
      <c r="J10956" t="s">
        <v>21926</v>
      </c>
      <c r="L10956" t="s">
        <v>27250</v>
      </c>
      <c r="M10956" t="s">
        <v>27251</v>
      </c>
      <c r="N10956" t="s">
        <v>27252</v>
      </c>
      <c r="Q10956" s="1">
        <v>44538</v>
      </c>
      <c r="R10956" t="s">
        <v>27253</v>
      </c>
      <c r="S10956" t="s">
        <v>27254</v>
      </c>
      <c r="T10956" t="s">
        <v>27269</v>
      </c>
    </row>
    <row r="10957" spans="1:20" x14ac:dyDescent="0.3">
      <c r="A10957" t="str">
        <f>"0611838795100"</f>
        <v>0611838795100</v>
      </c>
      <c r="B10957" t="str">
        <f>"LH7276"</f>
        <v>LH7276</v>
      </c>
      <c r="C10957" t="s">
        <v>48436</v>
      </c>
      <c r="D10957" t="s">
        <v>27245</v>
      </c>
      <c r="E10957" t="str">
        <f t="shared" si="171"/>
        <v>001390</v>
      </c>
      <c r="F10957" t="s">
        <v>27246</v>
      </c>
      <c r="G10957" t="s">
        <v>27247</v>
      </c>
      <c r="H10957" t="s">
        <v>27248</v>
      </c>
      <c r="I10957" t="s">
        <v>48437</v>
      </c>
      <c r="J10957" t="s">
        <v>21928</v>
      </c>
      <c r="L10957" t="s">
        <v>27250</v>
      </c>
      <c r="M10957" t="s">
        <v>27251</v>
      </c>
      <c r="N10957" t="s">
        <v>27252</v>
      </c>
      <c r="Q10957" s="1">
        <v>44538</v>
      </c>
      <c r="R10957" t="s">
        <v>27253</v>
      </c>
      <c r="S10957" t="s">
        <v>27254</v>
      </c>
      <c r="T10957" t="s">
        <v>27255</v>
      </c>
    </row>
    <row r="10958" spans="1:20" x14ac:dyDescent="0.3">
      <c r="A10958" t="str">
        <f>"0611884416025"</f>
        <v>0611884416025</v>
      </c>
      <c r="B10958" t="str">
        <f>"MQ0815"</f>
        <v>MQ0815</v>
      </c>
      <c r="C10958" t="s">
        <v>48438</v>
      </c>
      <c r="D10958" t="s">
        <v>27267</v>
      </c>
      <c r="E10958" t="str">
        <f t="shared" si="171"/>
        <v>001390</v>
      </c>
      <c r="F10958" t="s">
        <v>27246</v>
      </c>
      <c r="G10958" t="s">
        <v>27247</v>
      </c>
      <c r="H10958" t="s">
        <v>27248</v>
      </c>
      <c r="I10958" t="s">
        <v>48439</v>
      </c>
      <c r="J10958" t="s">
        <v>21930</v>
      </c>
      <c r="L10958" t="s">
        <v>27430</v>
      </c>
      <c r="M10958" t="s">
        <v>27251</v>
      </c>
      <c r="N10958" t="s">
        <v>27252</v>
      </c>
      <c r="Q10958" s="1">
        <v>45250</v>
      </c>
      <c r="R10958" t="s">
        <v>27253</v>
      </c>
      <c r="S10958" t="s">
        <v>27254</v>
      </c>
      <c r="T10958" t="s">
        <v>27269</v>
      </c>
    </row>
    <row r="10959" spans="1:20" x14ac:dyDescent="0.3">
      <c r="A10959" t="str">
        <f>"0611838796025"</f>
        <v>0611838796025</v>
      </c>
      <c r="B10959" t="str">
        <f>"MQ3045"</f>
        <v>MQ3045</v>
      </c>
      <c r="C10959" t="s">
        <v>48440</v>
      </c>
      <c r="D10959" t="s">
        <v>27267</v>
      </c>
      <c r="E10959" t="str">
        <f t="shared" si="171"/>
        <v>001390</v>
      </c>
      <c r="F10959" t="s">
        <v>27246</v>
      </c>
      <c r="G10959" t="s">
        <v>27247</v>
      </c>
      <c r="H10959" t="s">
        <v>27248</v>
      </c>
      <c r="I10959" t="s">
        <v>48441</v>
      </c>
      <c r="J10959" t="s">
        <v>21932</v>
      </c>
      <c r="L10959" t="s">
        <v>27250</v>
      </c>
      <c r="M10959" t="s">
        <v>27251</v>
      </c>
      <c r="N10959" t="s">
        <v>27252</v>
      </c>
      <c r="Q10959" s="1">
        <v>44538</v>
      </c>
      <c r="R10959" t="s">
        <v>27253</v>
      </c>
      <c r="S10959" t="s">
        <v>27254</v>
      </c>
      <c r="T10959" t="s">
        <v>27269</v>
      </c>
    </row>
    <row r="10960" spans="1:20" x14ac:dyDescent="0.3">
      <c r="A10960" t="str">
        <f>"0611838797025"</f>
        <v>0611838797025</v>
      </c>
      <c r="B10960" t="str">
        <f>"MQ0350"</f>
        <v>MQ0350</v>
      </c>
      <c r="C10960" t="s">
        <v>48442</v>
      </c>
      <c r="D10960" t="s">
        <v>27267</v>
      </c>
      <c r="E10960" t="str">
        <f t="shared" si="171"/>
        <v>001390</v>
      </c>
      <c r="F10960" t="s">
        <v>27246</v>
      </c>
      <c r="G10960" t="s">
        <v>27247</v>
      </c>
      <c r="H10960" t="s">
        <v>27248</v>
      </c>
      <c r="I10960" t="s">
        <v>48443</v>
      </c>
      <c r="J10960" t="s">
        <v>21934</v>
      </c>
      <c r="L10960" t="s">
        <v>27250</v>
      </c>
      <c r="M10960" t="s">
        <v>27251</v>
      </c>
      <c r="N10960" t="s">
        <v>27252</v>
      </c>
      <c r="Q10960" s="1">
        <v>44538</v>
      </c>
      <c r="R10960" t="s">
        <v>27253</v>
      </c>
      <c r="S10960" t="s">
        <v>27254</v>
      </c>
      <c r="T10960" t="s">
        <v>27269</v>
      </c>
    </row>
    <row r="10961" spans="1:20" x14ac:dyDescent="0.3">
      <c r="A10961" t="str">
        <f>"0611838798100"</f>
        <v>0611838798100</v>
      </c>
      <c r="B10961" t="str">
        <f>"LK1754"</f>
        <v>LK1754</v>
      </c>
      <c r="C10961" t="s">
        <v>48444</v>
      </c>
      <c r="D10961" t="s">
        <v>27245</v>
      </c>
      <c r="E10961" t="str">
        <f t="shared" si="171"/>
        <v>001390</v>
      </c>
      <c r="F10961" t="s">
        <v>27246</v>
      </c>
      <c r="G10961" t="s">
        <v>27247</v>
      </c>
      <c r="H10961" t="s">
        <v>27248</v>
      </c>
      <c r="I10961" t="s">
        <v>48445</v>
      </c>
      <c r="J10961" t="s">
        <v>21936</v>
      </c>
      <c r="L10961" t="s">
        <v>27250</v>
      </c>
      <c r="M10961" t="s">
        <v>27251</v>
      </c>
      <c r="N10961" t="s">
        <v>27252</v>
      </c>
      <c r="Q10961" s="1">
        <v>44538</v>
      </c>
      <c r="R10961" t="s">
        <v>27253</v>
      </c>
      <c r="S10961" t="s">
        <v>27254</v>
      </c>
      <c r="T10961" t="s">
        <v>27255</v>
      </c>
    </row>
    <row r="10962" spans="1:20" x14ac:dyDescent="0.3">
      <c r="A10962" t="str">
        <f>"0611884417100"</f>
        <v>0611884417100</v>
      </c>
      <c r="B10962" t="str">
        <f>"LK7176"</f>
        <v>LK7176</v>
      </c>
      <c r="C10962" t="s">
        <v>48446</v>
      </c>
      <c r="D10962" t="s">
        <v>27245</v>
      </c>
      <c r="E10962" t="str">
        <f t="shared" si="171"/>
        <v>001390</v>
      </c>
      <c r="F10962" t="s">
        <v>27246</v>
      </c>
      <c r="G10962" t="s">
        <v>27247</v>
      </c>
      <c r="H10962" t="s">
        <v>27248</v>
      </c>
      <c r="I10962" t="s">
        <v>48447</v>
      </c>
      <c r="J10962" t="s">
        <v>21938</v>
      </c>
      <c r="L10962" t="s">
        <v>27430</v>
      </c>
      <c r="M10962" t="s">
        <v>27251</v>
      </c>
      <c r="N10962" t="s">
        <v>27252</v>
      </c>
      <c r="Q10962" s="1">
        <v>45250</v>
      </c>
      <c r="R10962" t="s">
        <v>27253</v>
      </c>
      <c r="S10962" t="s">
        <v>27254</v>
      </c>
      <c r="T10962" t="s">
        <v>27255</v>
      </c>
    </row>
    <row r="10963" spans="1:20" x14ac:dyDescent="0.3">
      <c r="A10963" t="str">
        <f>"0611838799100"</f>
        <v>0611838799100</v>
      </c>
      <c r="B10963" t="str">
        <f>"LK0944"</f>
        <v>LK0944</v>
      </c>
      <c r="C10963" t="s">
        <v>48448</v>
      </c>
      <c r="D10963" t="s">
        <v>27245</v>
      </c>
      <c r="E10963" t="str">
        <f t="shared" si="171"/>
        <v>001390</v>
      </c>
      <c r="F10963" t="s">
        <v>27246</v>
      </c>
      <c r="G10963" t="s">
        <v>27247</v>
      </c>
      <c r="H10963" t="s">
        <v>27248</v>
      </c>
      <c r="I10963" t="s">
        <v>48449</v>
      </c>
      <c r="J10963" t="s">
        <v>21940</v>
      </c>
      <c r="L10963" t="s">
        <v>27250</v>
      </c>
      <c r="M10963" t="s">
        <v>27251</v>
      </c>
      <c r="N10963" t="s">
        <v>27252</v>
      </c>
      <c r="Q10963" s="1">
        <v>44538</v>
      </c>
      <c r="R10963" t="s">
        <v>27253</v>
      </c>
      <c r="S10963" t="s">
        <v>27254</v>
      </c>
      <c r="T10963" t="s">
        <v>27255</v>
      </c>
    </row>
    <row r="10964" spans="1:20" x14ac:dyDescent="0.3">
      <c r="A10964" t="str">
        <f>"0611838800025"</f>
        <v>0611838800025</v>
      </c>
      <c r="B10964" t="str">
        <f>"MC1704"</f>
        <v>MC1704</v>
      </c>
      <c r="C10964" t="s">
        <v>48448</v>
      </c>
      <c r="D10964" t="s">
        <v>27267</v>
      </c>
      <c r="E10964" t="str">
        <f t="shared" si="171"/>
        <v>001390</v>
      </c>
      <c r="F10964" t="s">
        <v>27246</v>
      </c>
      <c r="G10964" t="s">
        <v>27247</v>
      </c>
      <c r="H10964" t="s">
        <v>27248</v>
      </c>
      <c r="I10964" t="s">
        <v>48450</v>
      </c>
      <c r="J10964" t="s">
        <v>21942</v>
      </c>
      <c r="L10964" t="s">
        <v>27250</v>
      </c>
      <c r="M10964" t="s">
        <v>27251</v>
      </c>
      <c r="N10964" t="s">
        <v>27252</v>
      </c>
      <c r="Q10964" s="1">
        <v>44538</v>
      </c>
      <c r="R10964" t="s">
        <v>27253</v>
      </c>
      <c r="S10964" t="s">
        <v>27254</v>
      </c>
      <c r="T10964" t="s">
        <v>27269</v>
      </c>
    </row>
    <row r="10965" spans="1:20" x14ac:dyDescent="0.3">
      <c r="A10965" t="str">
        <f>"0611838801100"</f>
        <v>0611838801100</v>
      </c>
      <c r="B10965" t="str">
        <f>"LQ3774"</f>
        <v>LQ3774</v>
      </c>
      <c r="C10965" t="s">
        <v>48451</v>
      </c>
      <c r="D10965" t="s">
        <v>27245</v>
      </c>
      <c r="E10965" t="str">
        <f t="shared" si="171"/>
        <v>001390</v>
      </c>
      <c r="F10965" t="s">
        <v>27246</v>
      </c>
      <c r="G10965" t="s">
        <v>27247</v>
      </c>
      <c r="H10965" t="s">
        <v>27248</v>
      </c>
      <c r="I10965" t="s">
        <v>48452</v>
      </c>
      <c r="J10965" t="s">
        <v>21944</v>
      </c>
      <c r="L10965" t="s">
        <v>27250</v>
      </c>
      <c r="M10965" t="s">
        <v>27251</v>
      </c>
      <c r="N10965" t="s">
        <v>27252</v>
      </c>
      <c r="Q10965" s="1">
        <v>44538</v>
      </c>
      <c r="R10965" t="s">
        <v>27253</v>
      </c>
      <c r="S10965" t="s">
        <v>27254</v>
      </c>
      <c r="T10965" t="s">
        <v>27255</v>
      </c>
    </row>
    <row r="10966" spans="1:20" x14ac:dyDescent="0.3">
      <c r="A10966" t="str">
        <f>"0611838802025"</f>
        <v>0611838802025</v>
      </c>
      <c r="B10966" t="str">
        <f>"MQ3217"</f>
        <v>MQ3217</v>
      </c>
      <c r="C10966" t="s">
        <v>48451</v>
      </c>
      <c r="D10966" t="s">
        <v>27267</v>
      </c>
      <c r="E10966" t="str">
        <f t="shared" si="171"/>
        <v>001390</v>
      </c>
      <c r="F10966" t="s">
        <v>27246</v>
      </c>
      <c r="G10966" t="s">
        <v>27247</v>
      </c>
      <c r="H10966" t="s">
        <v>27248</v>
      </c>
      <c r="I10966" t="s">
        <v>48453</v>
      </c>
      <c r="J10966" t="s">
        <v>21946</v>
      </c>
      <c r="L10966" t="s">
        <v>27250</v>
      </c>
      <c r="M10966" t="s">
        <v>27251</v>
      </c>
      <c r="N10966" t="s">
        <v>27252</v>
      </c>
      <c r="Q10966" s="1">
        <v>44538</v>
      </c>
      <c r="R10966" t="s">
        <v>27253</v>
      </c>
      <c r="S10966" t="s">
        <v>27254</v>
      </c>
      <c r="T10966" t="s">
        <v>27269</v>
      </c>
    </row>
    <row r="10967" spans="1:20" x14ac:dyDescent="0.3">
      <c r="A10967" t="str">
        <f>"0611838803100"</f>
        <v>0611838803100</v>
      </c>
      <c r="B10967" t="str">
        <f>"LQ3862"</f>
        <v>LQ3862</v>
      </c>
      <c r="C10967" t="s">
        <v>48454</v>
      </c>
      <c r="D10967" t="s">
        <v>27245</v>
      </c>
      <c r="E10967" t="str">
        <f t="shared" si="171"/>
        <v>001390</v>
      </c>
      <c r="F10967" t="s">
        <v>27246</v>
      </c>
      <c r="G10967" t="s">
        <v>27247</v>
      </c>
      <c r="H10967" t="s">
        <v>27248</v>
      </c>
      <c r="I10967" t="s">
        <v>48455</v>
      </c>
      <c r="J10967" t="s">
        <v>21948</v>
      </c>
      <c r="L10967" t="s">
        <v>27250</v>
      </c>
      <c r="M10967" t="s">
        <v>27251</v>
      </c>
      <c r="N10967" t="s">
        <v>27252</v>
      </c>
      <c r="Q10967" s="1">
        <v>44538</v>
      </c>
      <c r="R10967" t="s">
        <v>27253</v>
      </c>
      <c r="S10967" t="s">
        <v>27254</v>
      </c>
      <c r="T10967" t="s">
        <v>27255</v>
      </c>
    </row>
    <row r="10968" spans="1:20" x14ac:dyDescent="0.3">
      <c r="A10968" t="str">
        <f>"0611857098025"</f>
        <v>0611857098025</v>
      </c>
      <c r="B10968" t="str">
        <f>"MC4417"</f>
        <v>MC4417</v>
      </c>
      <c r="C10968" t="s">
        <v>48454</v>
      </c>
      <c r="D10968" t="s">
        <v>27267</v>
      </c>
      <c r="E10968" t="str">
        <f t="shared" si="171"/>
        <v>001390</v>
      </c>
      <c r="F10968" t="s">
        <v>27246</v>
      </c>
      <c r="G10968" t="s">
        <v>27247</v>
      </c>
      <c r="H10968" t="s">
        <v>27248</v>
      </c>
      <c r="I10968" t="s">
        <v>48456</v>
      </c>
      <c r="J10968" t="s">
        <v>21950</v>
      </c>
      <c r="L10968" t="s">
        <v>27250</v>
      </c>
      <c r="M10968" t="s">
        <v>27251</v>
      </c>
      <c r="N10968" t="s">
        <v>27252</v>
      </c>
      <c r="Q10968" s="1">
        <v>44812</v>
      </c>
      <c r="R10968" t="s">
        <v>27253</v>
      </c>
      <c r="S10968" t="s">
        <v>27254</v>
      </c>
      <c r="T10968" t="s">
        <v>27269</v>
      </c>
    </row>
    <row r="10969" spans="1:20" x14ac:dyDescent="0.3">
      <c r="A10969" t="str">
        <f>"0611838804100"</f>
        <v>0611838804100</v>
      </c>
      <c r="B10969" t="str">
        <f>"LK0368"</f>
        <v>LK0368</v>
      </c>
      <c r="C10969" t="s">
        <v>48457</v>
      </c>
      <c r="D10969" t="s">
        <v>27245</v>
      </c>
      <c r="E10969" t="str">
        <f t="shared" si="171"/>
        <v>001390</v>
      </c>
      <c r="F10969" t="s">
        <v>27246</v>
      </c>
      <c r="G10969" t="s">
        <v>27247</v>
      </c>
      <c r="H10969" t="s">
        <v>27248</v>
      </c>
      <c r="I10969" t="s">
        <v>48458</v>
      </c>
      <c r="J10969" t="s">
        <v>21952</v>
      </c>
      <c r="L10969" t="s">
        <v>27250</v>
      </c>
      <c r="M10969" t="s">
        <v>27251</v>
      </c>
      <c r="N10969" t="s">
        <v>27252</v>
      </c>
      <c r="Q10969" s="1">
        <v>44538</v>
      </c>
      <c r="R10969" t="s">
        <v>27253</v>
      </c>
      <c r="S10969" t="s">
        <v>27254</v>
      </c>
      <c r="T10969" t="s">
        <v>27255</v>
      </c>
    </row>
    <row r="10970" spans="1:20" x14ac:dyDescent="0.3">
      <c r="A10970" t="str">
        <f>"0611838805100"</f>
        <v>0611838805100</v>
      </c>
      <c r="B10970" t="str">
        <f>"LH7310"</f>
        <v>LH7310</v>
      </c>
      <c r="C10970" t="s">
        <v>48459</v>
      </c>
      <c r="D10970" t="s">
        <v>27245</v>
      </c>
      <c r="E10970" t="str">
        <f t="shared" si="171"/>
        <v>001390</v>
      </c>
      <c r="F10970" t="s">
        <v>27246</v>
      </c>
      <c r="G10970" t="s">
        <v>27247</v>
      </c>
      <c r="H10970" t="s">
        <v>27248</v>
      </c>
      <c r="I10970" t="s">
        <v>48460</v>
      </c>
      <c r="J10970" t="s">
        <v>21954</v>
      </c>
      <c r="L10970" t="s">
        <v>27250</v>
      </c>
      <c r="M10970" t="s">
        <v>27251</v>
      </c>
      <c r="N10970" t="s">
        <v>27252</v>
      </c>
      <c r="Q10970" s="1">
        <v>44538</v>
      </c>
      <c r="R10970" t="s">
        <v>27253</v>
      </c>
      <c r="S10970" t="s">
        <v>27254</v>
      </c>
      <c r="T10970" t="s">
        <v>27255</v>
      </c>
    </row>
    <row r="10971" spans="1:20" x14ac:dyDescent="0.3">
      <c r="A10971" t="str">
        <f>"0611838806100"</f>
        <v>0611838806100</v>
      </c>
      <c r="B10971" t="str">
        <f>"LB8054"</f>
        <v>LB8054</v>
      </c>
      <c r="C10971" t="s">
        <v>48461</v>
      </c>
      <c r="D10971" t="s">
        <v>27245</v>
      </c>
      <c r="E10971" t="str">
        <f t="shared" si="171"/>
        <v>001390</v>
      </c>
      <c r="F10971" t="s">
        <v>27246</v>
      </c>
      <c r="G10971" t="s">
        <v>27247</v>
      </c>
      <c r="H10971" t="s">
        <v>27248</v>
      </c>
      <c r="I10971" t="s">
        <v>48462</v>
      </c>
      <c r="J10971" t="s">
        <v>21956</v>
      </c>
      <c r="L10971" t="s">
        <v>27250</v>
      </c>
      <c r="M10971" t="s">
        <v>27251</v>
      </c>
      <c r="N10971" t="s">
        <v>27252</v>
      </c>
      <c r="Q10971" s="1">
        <v>44538</v>
      </c>
      <c r="R10971" t="s">
        <v>27253</v>
      </c>
      <c r="S10971" t="s">
        <v>27254</v>
      </c>
      <c r="T10971" t="s">
        <v>27255</v>
      </c>
    </row>
    <row r="10972" spans="1:20" x14ac:dyDescent="0.3">
      <c r="A10972" t="str">
        <f>"0611838807025"</f>
        <v>0611838807025</v>
      </c>
      <c r="B10972" t="str">
        <f>"MC3898"</f>
        <v>MC3898</v>
      </c>
      <c r="C10972" t="s">
        <v>48461</v>
      </c>
      <c r="D10972" t="s">
        <v>27267</v>
      </c>
      <c r="E10972" t="str">
        <f t="shared" si="171"/>
        <v>001390</v>
      </c>
      <c r="F10972" t="s">
        <v>27246</v>
      </c>
      <c r="G10972" t="s">
        <v>27247</v>
      </c>
      <c r="H10972" t="s">
        <v>27248</v>
      </c>
      <c r="I10972" t="s">
        <v>48463</v>
      </c>
      <c r="J10972" t="s">
        <v>21958</v>
      </c>
      <c r="L10972" t="s">
        <v>27250</v>
      </c>
      <c r="M10972" t="s">
        <v>27251</v>
      </c>
      <c r="N10972" t="s">
        <v>27252</v>
      </c>
      <c r="Q10972" s="1">
        <v>44538</v>
      </c>
      <c r="R10972" t="s">
        <v>27253</v>
      </c>
      <c r="S10972" t="s">
        <v>27254</v>
      </c>
      <c r="T10972" t="s">
        <v>27269</v>
      </c>
    </row>
    <row r="10973" spans="1:20" x14ac:dyDescent="0.3">
      <c r="A10973" t="str">
        <f>"0611838809100"</f>
        <v>0611838809100</v>
      </c>
      <c r="B10973" t="str">
        <f>"LB8052"</f>
        <v>LB8052</v>
      </c>
      <c r="C10973" t="s">
        <v>48464</v>
      </c>
      <c r="D10973" t="s">
        <v>27245</v>
      </c>
      <c r="E10973" t="str">
        <f t="shared" si="171"/>
        <v>001390</v>
      </c>
      <c r="F10973" t="s">
        <v>27246</v>
      </c>
      <c r="G10973" t="s">
        <v>27247</v>
      </c>
      <c r="H10973" t="s">
        <v>27248</v>
      </c>
      <c r="I10973" t="s">
        <v>48465</v>
      </c>
      <c r="J10973" t="s">
        <v>21960</v>
      </c>
      <c r="L10973" t="s">
        <v>27250</v>
      </c>
      <c r="M10973" t="s">
        <v>27251</v>
      </c>
      <c r="N10973" t="s">
        <v>27252</v>
      </c>
      <c r="Q10973" s="1">
        <v>44538</v>
      </c>
      <c r="R10973" t="s">
        <v>27253</v>
      </c>
      <c r="S10973" t="s">
        <v>27254</v>
      </c>
      <c r="T10973" t="s">
        <v>27255</v>
      </c>
    </row>
    <row r="10974" spans="1:20" x14ac:dyDescent="0.3">
      <c r="A10974" t="str">
        <f>"0611838810025"</f>
        <v>0611838810025</v>
      </c>
      <c r="B10974" t="str">
        <f>"MC1481"</f>
        <v>MC1481</v>
      </c>
      <c r="C10974" t="s">
        <v>48464</v>
      </c>
      <c r="D10974" t="s">
        <v>27267</v>
      </c>
      <c r="E10974" t="str">
        <f t="shared" si="171"/>
        <v>001390</v>
      </c>
      <c r="F10974" t="s">
        <v>27246</v>
      </c>
      <c r="G10974" t="s">
        <v>27247</v>
      </c>
      <c r="H10974" t="s">
        <v>27248</v>
      </c>
      <c r="I10974" t="s">
        <v>48466</v>
      </c>
      <c r="J10974" t="s">
        <v>21962</v>
      </c>
      <c r="L10974" t="s">
        <v>27250</v>
      </c>
      <c r="M10974" t="s">
        <v>27251</v>
      </c>
      <c r="N10974" t="s">
        <v>27252</v>
      </c>
      <c r="Q10974" s="1">
        <v>44538</v>
      </c>
      <c r="R10974" t="s">
        <v>27253</v>
      </c>
      <c r="S10974" t="s">
        <v>27254</v>
      </c>
      <c r="T10974" t="s">
        <v>27269</v>
      </c>
    </row>
    <row r="10975" spans="1:20" x14ac:dyDescent="0.3">
      <c r="A10975" t="str">
        <f>"0611838811100"</f>
        <v>0611838811100</v>
      </c>
      <c r="B10975" t="str">
        <f>"LK0947"</f>
        <v>LK0947</v>
      </c>
      <c r="C10975" t="s">
        <v>48467</v>
      </c>
      <c r="D10975" t="s">
        <v>27245</v>
      </c>
      <c r="E10975" t="str">
        <f t="shared" si="171"/>
        <v>001390</v>
      </c>
      <c r="F10975" t="s">
        <v>27246</v>
      </c>
      <c r="G10975" t="s">
        <v>27247</v>
      </c>
      <c r="H10975" t="s">
        <v>27248</v>
      </c>
      <c r="I10975" t="s">
        <v>48468</v>
      </c>
      <c r="J10975" t="s">
        <v>21964</v>
      </c>
      <c r="L10975" t="s">
        <v>27250</v>
      </c>
      <c r="M10975" t="s">
        <v>27251</v>
      </c>
      <c r="N10975" t="s">
        <v>27252</v>
      </c>
      <c r="Q10975" s="1">
        <v>44538</v>
      </c>
      <c r="R10975" t="s">
        <v>27253</v>
      </c>
      <c r="S10975" t="s">
        <v>27254</v>
      </c>
      <c r="T10975" t="s">
        <v>27255</v>
      </c>
    </row>
    <row r="10976" spans="1:20" x14ac:dyDescent="0.3">
      <c r="A10976" t="str">
        <f>"0611838812100"</f>
        <v>0611838812100</v>
      </c>
      <c r="B10976" t="str">
        <f>"LK2392"</f>
        <v>LK2392</v>
      </c>
      <c r="C10976" t="s">
        <v>48469</v>
      </c>
      <c r="D10976" t="s">
        <v>27245</v>
      </c>
      <c r="E10976" t="str">
        <f t="shared" si="171"/>
        <v>001390</v>
      </c>
      <c r="F10976" t="s">
        <v>27246</v>
      </c>
      <c r="G10976" t="s">
        <v>27247</v>
      </c>
      <c r="H10976" t="s">
        <v>27248</v>
      </c>
      <c r="I10976" t="s">
        <v>48470</v>
      </c>
      <c r="J10976" t="s">
        <v>21966</v>
      </c>
      <c r="L10976" t="s">
        <v>27250</v>
      </c>
      <c r="M10976" t="s">
        <v>27251</v>
      </c>
      <c r="N10976" t="s">
        <v>27252</v>
      </c>
      <c r="Q10976" s="1">
        <v>44538</v>
      </c>
      <c r="R10976" t="s">
        <v>27253</v>
      </c>
      <c r="S10976" t="s">
        <v>27254</v>
      </c>
      <c r="T10976" t="s">
        <v>27255</v>
      </c>
    </row>
    <row r="10977" spans="1:20" x14ac:dyDescent="0.3">
      <c r="A10977" t="str">
        <f>"0611838813100"</f>
        <v>0611838813100</v>
      </c>
      <c r="B10977" t="str">
        <f>"LK0948"</f>
        <v>LK0948</v>
      </c>
      <c r="C10977" t="s">
        <v>48471</v>
      </c>
      <c r="D10977" t="s">
        <v>27245</v>
      </c>
      <c r="E10977" t="str">
        <f t="shared" si="171"/>
        <v>001390</v>
      </c>
      <c r="F10977" t="s">
        <v>27246</v>
      </c>
      <c r="G10977" t="s">
        <v>27247</v>
      </c>
      <c r="H10977" t="s">
        <v>27248</v>
      </c>
      <c r="I10977" t="s">
        <v>48472</v>
      </c>
      <c r="J10977" t="s">
        <v>21968</v>
      </c>
      <c r="L10977" t="s">
        <v>27250</v>
      </c>
      <c r="M10977" t="s">
        <v>27251</v>
      </c>
      <c r="N10977" t="s">
        <v>27252</v>
      </c>
      <c r="Q10977" s="1">
        <v>44538</v>
      </c>
      <c r="R10977" t="s">
        <v>27253</v>
      </c>
      <c r="S10977" t="s">
        <v>27254</v>
      </c>
      <c r="T10977" t="s">
        <v>27255</v>
      </c>
    </row>
    <row r="10978" spans="1:20" x14ac:dyDescent="0.3">
      <c r="A10978" t="str">
        <f>"0611838814025"</f>
        <v>0611838814025</v>
      </c>
      <c r="B10978" t="str">
        <f>"MC0911"</f>
        <v>MC0911</v>
      </c>
      <c r="C10978" t="s">
        <v>48473</v>
      </c>
      <c r="D10978" t="s">
        <v>27267</v>
      </c>
      <c r="E10978" t="str">
        <f t="shared" si="171"/>
        <v>001390</v>
      </c>
      <c r="F10978" t="s">
        <v>27246</v>
      </c>
      <c r="G10978" t="s">
        <v>27247</v>
      </c>
      <c r="H10978" t="s">
        <v>27248</v>
      </c>
      <c r="I10978" t="s">
        <v>48474</v>
      </c>
      <c r="J10978" t="s">
        <v>21970</v>
      </c>
      <c r="L10978" t="s">
        <v>27250</v>
      </c>
      <c r="M10978" t="s">
        <v>27251</v>
      </c>
      <c r="N10978" t="s">
        <v>27252</v>
      </c>
      <c r="Q10978" s="1">
        <v>44538</v>
      </c>
      <c r="R10978" t="s">
        <v>27253</v>
      </c>
      <c r="S10978" t="s">
        <v>27254</v>
      </c>
      <c r="T10978" t="s">
        <v>27269</v>
      </c>
    </row>
    <row r="10979" spans="1:20" x14ac:dyDescent="0.3">
      <c r="A10979" t="str">
        <f>"0611838815025"</f>
        <v>0611838815025</v>
      </c>
      <c r="B10979" t="str">
        <f>"MC4231"</f>
        <v>MC4231</v>
      </c>
      <c r="C10979" t="s">
        <v>48475</v>
      </c>
      <c r="D10979" t="s">
        <v>27267</v>
      </c>
      <c r="E10979" t="str">
        <f t="shared" si="171"/>
        <v>001390</v>
      </c>
      <c r="F10979" t="s">
        <v>27246</v>
      </c>
      <c r="G10979" t="s">
        <v>27247</v>
      </c>
      <c r="H10979" t="s">
        <v>27248</v>
      </c>
      <c r="I10979" t="s">
        <v>48476</v>
      </c>
      <c r="J10979" t="s">
        <v>21972</v>
      </c>
      <c r="L10979" t="s">
        <v>27250</v>
      </c>
      <c r="M10979" t="s">
        <v>27251</v>
      </c>
      <c r="N10979" t="s">
        <v>27252</v>
      </c>
      <c r="Q10979" s="1">
        <v>44538</v>
      </c>
      <c r="R10979" t="s">
        <v>27253</v>
      </c>
      <c r="S10979" t="s">
        <v>27254</v>
      </c>
      <c r="T10979" t="s">
        <v>27269</v>
      </c>
    </row>
    <row r="10980" spans="1:20" x14ac:dyDescent="0.3">
      <c r="A10980" t="str">
        <f>"0611863891050"</f>
        <v>0611863891050</v>
      </c>
      <c r="B10980" t="str">
        <f>"CR3006"</f>
        <v>CR3006</v>
      </c>
      <c r="C10980" t="s">
        <v>48477</v>
      </c>
      <c r="D10980" t="s">
        <v>27263</v>
      </c>
      <c r="E10980" t="str">
        <f t="shared" si="171"/>
        <v>001390</v>
      </c>
      <c r="F10980" t="s">
        <v>27246</v>
      </c>
      <c r="G10980" t="s">
        <v>27247</v>
      </c>
      <c r="H10980" t="s">
        <v>27248</v>
      </c>
      <c r="I10980" t="s">
        <v>48478</v>
      </c>
      <c r="J10980" t="s">
        <v>21974</v>
      </c>
      <c r="L10980" t="s">
        <v>27250</v>
      </c>
      <c r="M10980" t="s">
        <v>27251</v>
      </c>
      <c r="N10980" t="s">
        <v>27252</v>
      </c>
      <c r="Q10980" s="1">
        <v>44846</v>
      </c>
      <c r="R10980" t="s">
        <v>27253</v>
      </c>
      <c r="S10980" t="s">
        <v>27254</v>
      </c>
      <c r="T10980" t="s">
        <v>27265</v>
      </c>
    </row>
    <row r="10981" spans="1:20" x14ac:dyDescent="0.3">
      <c r="A10981" t="str">
        <f>"0611838817025"</f>
        <v>0611838817025</v>
      </c>
      <c r="B10981" t="str">
        <f>"MC1612"</f>
        <v>MC1612</v>
      </c>
      <c r="C10981" t="s">
        <v>48479</v>
      </c>
      <c r="D10981" t="s">
        <v>27267</v>
      </c>
      <c r="E10981" t="str">
        <f t="shared" si="171"/>
        <v>001390</v>
      </c>
      <c r="F10981" t="s">
        <v>27246</v>
      </c>
      <c r="G10981" t="s">
        <v>27247</v>
      </c>
      <c r="H10981" t="s">
        <v>27248</v>
      </c>
      <c r="I10981" t="s">
        <v>48480</v>
      </c>
      <c r="J10981" t="s">
        <v>21976</v>
      </c>
      <c r="L10981" t="s">
        <v>27250</v>
      </c>
      <c r="M10981" t="s">
        <v>27251</v>
      </c>
      <c r="N10981" t="s">
        <v>27252</v>
      </c>
      <c r="Q10981" s="1">
        <v>44538</v>
      </c>
      <c r="R10981" t="s">
        <v>27253</v>
      </c>
      <c r="S10981" t="s">
        <v>27254</v>
      </c>
      <c r="T10981" t="s">
        <v>27269</v>
      </c>
    </row>
    <row r="10982" spans="1:20" x14ac:dyDescent="0.3">
      <c r="A10982" t="str">
        <f>"0611838818025"</f>
        <v>0611838818025</v>
      </c>
      <c r="B10982" t="str">
        <f>"MC2292"</f>
        <v>MC2292</v>
      </c>
      <c r="C10982" t="s">
        <v>48481</v>
      </c>
      <c r="D10982" t="s">
        <v>27267</v>
      </c>
      <c r="E10982" t="str">
        <f t="shared" si="171"/>
        <v>001390</v>
      </c>
      <c r="F10982" t="s">
        <v>27246</v>
      </c>
      <c r="G10982" t="s">
        <v>27247</v>
      </c>
      <c r="H10982" t="s">
        <v>27248</v>
      </c>
      <c r="I10982" t="s">
        <v>48482</v>
      </c>
      <c r="J10982" t="s">
        <v>21978</v>
      </c>
      <c r="L10982" t="s">
        <v>27250</v>
      </c>
      <c r="M10982" t="s">
        <v>27251</v>
      </c>
      <c r="N10982" t="s">
        <v>27252</v>
      </c>
      <c r="Q10982" s="1">
        <v>44538</v>
      </c>
      <c r="R10982" t="s">
        <v>27253</v>
      </c>
      <c r="S10982" t="s">
        <v>27254</v>
      </c>
      <c r="T10982" t="s">
        <v>27269</v>
      </c>
    </row>
    <row r="10983" spans="1:20" x14ac:dyDescent="0.3">
      <c r="A10983" t="str">
        <f>"0611838819025"</f>
        <v>0611838819025</v>
      </c>
      <c r="B10983" t="str">
        <f>"MC2625"</f>
        <v>MC2625</v>
      </c>
      <c r="C10983" t="s">
        <v>48483</v>
      </c>
      <c r="D10983" t="s">
        <v>27267</v>
      </c>
      <c r="E10983" t="str">
        <f t="shared" si="171"/>
        <v>001390</v>
      </c>
      <c r="F10983" t="s">
        <v>27246</v>
      </c>
      <c r="G10983" t="s">
        <v>27247</v>
      </c>
      <c r="H10983" t="s">
        <v>27248</v>
      </c>
      <c r="I10983" t="s">
        <v>48484</v>
      </c>
      <c r="J10983" t="s">
        <v>21980</v>
      </c>
      <c r="L10983" t="s">
        <v>27250</v>
      </c>
      <c r="M10983" t="s">
        <v>27251</v>
      </c>
      <c r="N10983" t="s">
        <v>27252</v>
      </c>
      <c r="Q10983" s="1">
        <v>44538</v>
      </c>
      <c r="R10983" t="s">
        <v>27253</v>
      </c>
      <c r="S10983" t="s">
        <v>27254</v>
      </c>
      <c r="T10983" t="s">
        <v>27269</v>
      </c>
    </row>
    <row r="10984" spans="1:20" x14ac:dyDescent="0.3">
      <c r="A10984" t="str">
        <f>"0611838821100"</f>
        <v>0611838821100</v>
      </c>
      <c r="B10984" t="str">
        <f>"LH8921"</f>
        <v>LH8921</v>
      </c>
      <c r="C10984" t="s">
        <v>48485</v>
      </c>
      <c r="D10984" t="s">
        <v>27245</v>
      </c>
      <c r="E10984" t="str">
        <f t="shared" si="171"/>
        <v>001390</v>
      </c>
      <c r="F10984" t="s">
        <v>27246</v>
      </c>
      <c r="G10984" t="s">
        <v>27247</v>
      </c>
      <c r="H10984" t="s">
        <v>27248</v>
      </c>
      <c r="I10984" t="s">
        <v>48486</v>
      </c>
      <c r="J10984" t="s">
        <v>21982</v>
      </c>
      <c r="L10984" t="s">
        <v>27250</v>
      </c>
      <c r="M10984" t="s">
        <v>27251</v>
      </c>
      <c r="N10984" t="s">
        <v>27252</v>
      </c>
      <c r="Q10984" s="1">
        <v>44538</v>
      </c>
      <c r="R10984" t="s">
        <v>27253</v>
      </c>
      <c r="S10984" t="s">
        <v>27254</v>
      </c>
      <c r="T10984" t="s">
        <v>27255</v>
      </c>
    </row>
    <row r="10985" spans="1:20" x14ac:dyDescent="0.3">
      <c r="A10985" t="str">
        <f>"0611838822100"</f>
        <v>0611838822100</v>
      </c>
      <c r="B10985" t="str">
        <f>"LH8850"</f>
        <v>LH8850</v>
      </c>
      <c r="C10985" t="s">
        <v>48487</v>
      </c>
      <c r="D10985" t="s">
        <v>27245</v>
      </c>
      <c r="E10985" t="str">
        <f t="shared" si="171"/>
        <v>001390</v>
      </c>
      <c r="F10985" t="s">
        <v>27246</v>
      </c>
      <c r="G10985" t="s">
        <v>27247</v>
      </c>
      <c r="H10985" t="s">
        <v>27248</v>
      </c>
      <c r="I10985" t="s">
        <v>48488</v>
      </c>
      <c r="J10985" t="s">
        <v>21984</v>
      </c>
      <c r="L10985" t="s">
        <v>27250</v>
      </c>
      <c r="M10985" t="s">
        <v>27251</v>
      </c>
      <c r="N10985" t="s">
        <v>27252</v>
      </c>
      <c r="Q10985" s="1">
        <v>44538</v>
      </c>
      <c r="R10985" t="s">
        <v>27253</v>
      </c>
      <c r="S10985" t="s">
        <v>27254</v>
      </c>
      <c r="T10985" t="s">
        <v>27255</v>
      </c>
    </row>
    <row r="10986" spans="1:20" x14ac:dyDescent="0.3">
      <c r="A10986" t="str">
        <f>"0611838823100"</f>
        <v>0611838823100</v>
      </c>
      <c r="B10986" t="str">
        <f>"LC9300"</f>
        <v>LC9300</v>
      </c>
      <c r="C10986" t="s">
        <v>48489</v>
      </c>
      <c r="D10986" t="s">
        <v>27245</v>
      </c>
      <c r="E10986" t="str">
        <f t="shared" si="171"/>
        <v>001390</v>
      </c>
      <c r="F10986" t="s">
        <v>27246</v>
      </c>
      <c r="G10986" t="s">
        <v>27247</v>
      </c>
      <c r="H10986" t="s">
        <v>27248</v>
      </c>
      <c r="I10986" t="s">
        <v>48490</v>
      </c>
      <c r="J10986" t="s">
        <v>21986</v>
      </c>
      <c r="L10986" t="s">
        <v>27250</v>
      </c>
      <c r="M10986" t="s">
        <v>27251</v>
      </c>
      <c r="N10986" t="s">
        <v>27252</v>
      </c>
      <c r="Q10986" s="1">
        <v>44538</v>
      </c>
      <c r="R10986" t="s">
        <v>27253</v>
      </c>
      <c r="S10986" t="s">
        <v>27254</v>
      </c>
      <c r="T10986" t="s">
        <v>27255</v>
      </c>
    </row>
    <row r="10987" spans="1:20" x14ac:dyDescent="0.3">
      <c r="A10987" t="str">
        <f>"0611884418025"</f>
        <v>0611884418025</v>
      </c>
      <c r="B10987" t="str">
        <f>"MC4505"</f>
        <v>MC4505</v>
      </c>
      <c r="C10987" t="s">
        <v>48491</v>
      </c>
      <c r="D10987" t="s">
        <v>27267</v>
      </c>
      <c r="E10987" t="str">
        <f t="shared" si="171"/>
        <v>001390</v>
      </c>
      <c r="F10987" t="s">
        <v>27246</v>
      </c>
      <c r="G10987" t="s">
        <v>27247</v>
      </c>
      <c r="H10987" t="s">
        <v>27248</v>
      </c>
      <c r="I10987" t="s">
        <v>48492</v>
      </c>
      <c r="J10987" t="s">
        <v>21988</v>
      </c>
      <c r="L10987" t="s">
        <v>27430</v>
      </c>
      <c r="M10987" t="s">
        <v>27251</v>
      </c>
      <c r="N10987" t="s">
        <v>27252</v>
      </c>
      <c r="Q10987" s="1">
        <v>45250</v>
      </c>
      <c r="R10987" t="s">
        <v>27253</v>
      </c>
      <c r="S10987" t="s">
        <v>27254</v>
      </c>
      <c r="T10987" t="s">
        <v>27269</v>
      </c>
    </row>
    <row r="10988" spans="1:20" x14ac:dyDescent="0.3">
      <c r="A10988" t="str">
        <f>"0611838824025"</f>
        <v>0611838824025</v>
      </c>
      <c r="B10988" t="str">
        <f>"MC2062"</f>
        <v>MC2062</v>
      </c>
      <c r="C10988" t="s">
        <v>48493</v>
      </c>
      <c r="D10988" t="s">
        <v>27267</v>
      </c>
      <c r="E10988" t="str">
        <f t="shared" si="171"/>
        <v>001390</v>
      </c>
      <c r="F10988" t="s">
        <v>27246</v>
      </c>
      <c r="G10988" t="s">
        <v>27247</v>
      </c>
      <c r="H10988" t="s">
        <v>27248</v>
      </c>
      <c r="I10988" t="s">
        <v>48494</v>
      </c>
      <c r="J10988" t="s">
        <v>21990</v>
      </c>
      <c r="L10988" t="s">
        <v>27250</v>
      </c>
      <c r="M10988" t="s">
        <v>27251</v>
      </c>
      <c r="N10988" t="s">
        <v>27252</v>
      </c>
      <c r="Q10988" s="1">
        <v>44538</v>
      </c>
      <c r="R10988" t="s">
        <v>27253</v>
      </c>
      <c r="S10988" t="s">
        <v>27254</v>
      </c>
      <c r="T10988" t="s">
        <v>27269</v>
      </c>
    </row>
    <row r="10989" spans="1:20" x14ac:dyDescent="0.3">
      <c r="A10989" t="str">
        <f>"0611838825100"</f>
        <v>0611838825100</v>
      </c>
      <c r="B10989" t="str">
        <f>"LC9301"</f>
        <v>LC9301</v>
      </c>
      <c r="C10989" t="s">
        <v>48495</v>
      </c>
      <c r="D10989" t="s">
        <v>27245</v>
      </c>
      <c r="E10989" t="str">
        <f t="shared" si="171"/>
        <v>001390</v>
      </c>
      <c r="F10989" t="s">
        <v>27246</v>
      </c>
      <c r="G10989" t="s">
        <v>27247</v>
      </c>
      <c r="H10989" t="s">
        <v>27248</v>
      </c>
      <c r="I10989" t="s">
        <v>48496</v>
      </c>
      <c r="J10989" t="s">
        <v>21992</v>
      </c>
      <c r="L10989" t="s">
        <v>27250</v>
      </c>
      <c r="M10989" t="s">
        <v>27251</v>
      </c>
      <c r="N10989" t="s">
        <v>27252</v>
      </c>
      <c r="Q10989" s="1">
        <v>44538</v>
      </c>
      <c r="R10989" t="s">
        <v>27253</v>
      </c>
      <c r="S10989" t="s">
        <v>27254</v>
      </c>
      <c r="T10989" t="s">
        <v>27255</v>
      </c>
    </row>
    <row r="10990" spans="1:20" x14ac:dyDescent="0.3">
      <c r="A10990" t="str">
        <f>"0611884419025"</f>
        <v>0611884419025</v>
      </c>
      <c r="B10990" t="str">
        <f>"MC4497"</f>
        <v>MC4497</v>
      </c>
      <c r="C10990" t="s">
        <v>48497</v>
      </c>
      <c r="D10990" t="s">
        <v>27267</v>
      </c>
      <c r="E10990" t="str">
        <f t="shared" si="171"/>
        <v>001390</v>
      </c>
      <c r="F10990" t="s">
        <v>27246</v>
      </c>
      <c r="G10990" t="s">
        <v>27247</v>
      </c>
      <c r="H10990" t="s">
        <v>27248</v>
      </c>
      <c r="I10990" t="s">
        <v>48498</v>
      </c>
      <c r="J10990" t="s">
        <v>21994</v>
      </c>
      <c r="L10990" t="s">
        <v>27430</v>
      </c>
      <c r="M10990" t="s">
        <v>27251</v>
      </c>
      <c r="N10990" t="s">
        <v>27252</v>
      </c>
      <c r="Q10990" s="1">
        <v>45250</v>
      </c>
      <c r="R10990" t="s">
        <v>27253</v>
      </c>
      <c r="S10990" t="s">
        <v>27254</v>
      </c>
      <c r="T10990" t="s">
        <v>27269</v>
      </c>
    </row>
    <row r="10991" spans="1:20" x14ac:dyDescent="0.3">
      <c r="A10991" t="str">
        <f>"0611838826100"</f>
        <v>0611838826100</v>
      </c>
      <c r="B10991" t="str">
        <f>"LC0010"</f>
        <v>LC0010</v>
      </c>
      <c r="C10991" t="s">
        <v>48499</v>
      </c>
      <c r="D10991" t="s">
        <v>27245</v>
      </c>
      <c r="E10991" t="str">
        <f t="shared" si="171"/>
        <v>001390</v>
      </c>
      <c r="F10991" t="s">
        <v>27246</v>
      </c>
      <c r="G10991" t="s">
        <v>27247</v>
      </c>
      <c r="H10991" t="s">
        <v>27248</v>
      </c>
      <c r="I10991" t="s">
        <v>48500</v>
      </c>
      <c r="J10991" t="s">
        <v>21996</v>
      </c>
      <c r="L10991" t="s">
        <v>27250</v>
      </c>
      <c r="M10991" t="s">
        <v>27251</v>
      </c>
      <c r="N10991" t="s">
        <v>27252</v>
      </c>
      <c r="Q10991" s="1">
        <v>44538</v>
      </c>
      <c r="R10991" t="s">
        <v>27253</v>
      </c>
      <c r="S10991" t="s">
        <v>27254</v>
      </c>
      <c r="T10991" t="s">
        <v>27255</v>
      </c>
    </row>
    <row r="10992" spans="1:20" x14ac:dyDescent="0.3">
      <c r="A10992" t="str">
        <f>"0611838827100"</f>
        <v>0611838827100</v>
      </c>
      <c r="B10992" t="str">
        <f>"LC8800"</f>
        <v>LC8800</v>
      </c>
      <c r="C10992" t="s">
        <v>48501</v>
      </c>
      <c r="D10992" t="s">
        <v>27245</v>
      </c>
      <c r="E10992" t="str">
        <f t="shared" si="171"/>
        <v>001390</v>
      </c>
      <c r="F10992" t="s">
        <v>27246</v>
      </c>
      <c r="G10992" t="s">
        <v>27247</v>
      </c>
      <c r="H10992" t="s">
        <v>27248</v>
      </c>
      <c r="I10992" t="s">
        <v>48502</v>
      </c>
      <c r="J10992" t="s">
        <v>21998</v>
      </c>
      <c r="L10992" t="s">
        <v>27250</v>
      </c>
      <c r="M10992" t="s">
        <v>27251</v>
      </c>
      <c r="N10992" t="s">
        <v>27252</v>
      </c>
      <c r="Q10992" s="1">
        <v>44538</v>
      </c>
      <c r="R10992" t="s">
        <v>27253</v>
      </c>
      <c r="S10992" t="s">
        <v>27254</v>
      </c>
      <c r="T10992" t="s">
        <v>27255</v>
      </c>
    </row>
    <row r="10993" spans="1:20" x14ac:dyDescent="0.3">
      <c r="A10993" t="str">
        <f>"0611884420025"</f>
        <v>0611884420025</v>
      </c>
      <c r="B10993" t="str">
        <f>"MC4502"</f>
        <v>MC4502</v>
      </c>
      <c r="C10993" t="s">
        <v>48501</v>
      </c>
      <c r="D10993" t="s">
        <v>27267</v>
      </c>
      <c r="E10993" t="str">
        <f t="shared" si="171"/>
        <v>001390</v>
      </c>
      <c r="F10993" t="s">
        <v>27246</v>
      </c>
      <c r="G10993" t="s">
        <v>27247</v>
      </c>
      <c r="H10993" t="s">
        <v>27248</v>
      </c>
      <c r="I10993" t="s">
        <v>48503</v>
      </c>
      <c r="J10993" t="s">
        <v>22000</v>
      </c>
      <c r="L10993" t="s">
        <v>27430</v>
      </c>
      <c r="M10993" t="s">
        <v>27251</v>
      </c>
      <c r="N10993" t="s">
        <v>27252</v>
      </c>
      <c r="Q10993" s="1">
        <v>45250</v>
      </c>
      <c r="R10993" t="s">
        <v>27253</v>
      </c>
      <c r="S10993" t="s">
        <v>27254</v>
      </c>
      <c r="T10993" t="s">
        <v>27269</v>
      </c>
    </row>
    <row r="10994" spans="1:20" x14ac:dyDescent="0.3">
      <c r="A10994" t="str">
        <f>"0611838849100"</f>
        <v>0611838849100</v>
      </c>
      <c r="B10994" t="str">
        <f>"LC9151"</f>
        <v>LC9151</v>
      </c>
      <c r="C10994" t="s">
        <v>48504</v>
      </c>
      <c r="D10994" t="s">
        <v>27245</v>
      </c>
      <c r="E10994" t="str">
        <f t="shared" si="171"/>
        <v>001390</v>
      </c>
      <c r="F10994" t="s">
        <v>27246</v>
      </c>
      <c r="G10994" t="s">
        <v>27247</v>
      </c>
      <c r="H10994" t="s">
        <v>27248</v>
      </c>
      <c r="I10994" t="s">
        <v>48505</v>
      </c>
      <c r="J10994" t="s">
        <v>22136</v>
      </c>
      <c r="L10994" t="s">
        <v>27250</v>
      </c>
      <c r="M10994" t="s">
        <v>27251</v>
      </c>
      <c r="N10994" t="s">
        <v>27252</v>
      </c>
      <c r="Q10994" s="1">
        <v>44538</v>
      </c>
      <c r="R10994" t="s">
        <v>27253</v>
      </c>
      <c r="S10994" t="s">
        <v>27254</v>
      </c>
      <c r="T10994" t="s">
        <v>27255</v>
      </c>
    </row>
    <row r="10995" spans="1:20" x14ac:dyDescent="0.3">
      <c r="A10995" t="str">
        <f>"0611838850025"</f>
        <v>0611838850025</v>
      </c>
      <c r="B10995" t="str">
        <f>"MC4120"</f>
        <v>MC4120</v>
      </c>
      <c r="C10995" t="s">
        <v>48504</v>
      </c>
      <c r="D10995" t="s">
        <v>27267</v>
      </c>
      <c r="E10995" t="str">
        <f t="shared" si="171"/>
        <v>001390</v>
      </c>
      <c r="F10995" t="s">
        <v>27246</v>
      </c>
      <c r="G10995" t="s">
        <v>27247</v>
      </c>
      <c r="H10995" t="s">
        <v>27248</v>
      </c>
      <c r="I10995" t="s">
        <v>48506</v>
      </c>
      <c r="J10995" t="s">
        <v>22138</v>
      </c>
      <c r="L10995" t="s">
        <v>27250</v>
      </c>
      <c r="M10995" t="s">
        <v>27251</v>
      </c>
      <c r="N10995" t="s">
        <v>27252</v>
      </c>
      <c r="Q10995" s="1">
        <v>44538</v>
      </c>
      <c r="R10995" t="s">
        <v>27253</v>
      </c>
      <c r="S10995" t="s">
        <v>27254</v>
      </c>
      <c r="T10995" t="s">
        <v>27269</v>
      </c>
    </row>
    <row r="10996" spans="1:20" x14ac:dyDescent="0.3">
      <c r="A10996" t="str">
        <f>"0611863929100"</f>
        <v>0611863929100</v>
      </c>
      <c r="B10996" t="str">
        <f>"CN5368"</f>
        <v>CN5368</v>
      </c>
      <c r="C10996" t="s">
        <v>48507</v>
      </c>
      <c r="D10996" t="s">
        <v>27335</v>
      </c>
      <c r="E10996" t="str">
        <f t="shared" si="171"/>
        <v>001390</v>
      </c>
      <c r="F10996" t="s">
        <v>27246</v>
      </c>
      <c r="G10996" t="s">
        <v>27247</v>
      </c>
      <c r="H10996" t="s">
        <v>27248</v>
      </c>
      <c r="I10996" t="s">
        <v>48508</v>
      </c>
      <c r="J10996" t="s">
        <v>22140</v>
      </c>
      <c r="L10996" t="s">
        <v>27250</v>
      </c>
      <c r="M10996" t="s">
        <v>27251</v>
      </c>
      <c r="N10996" t="s">
        <v>27252</v>
      </c>
      <c r="Q10996" s="1">
        <v>44846</v>
      </c>
      <c r="R10996" t="s">
        <v>27253</v>
      </c>
      <c r="S10996" t="s">
        <v>27254</v>
      </c>
      <c r="T10996" t="s">
        <v>27255</v>
      </c>
    </row>
    <row r="10997" spans="1:20" x14ac:dyDescent="0.3">
      <c r="A10997" t="str">
        <f>"0611863930050"</f>
        <v>0611863930050</v>
      </c>
      <c r="B10997" t="str">
        <f>"CR4451"</f>
        <v>CR4451</v>
      </c>
      <c r="C10997" t="s">
        <v>48509</v>
      </c>
      <c r="D10997" t="s">
        <v>27286</v>
      </c>
      <c r="E10997" t="str">
        <f t="shared" si="171"/>
        <v>001390</v>
      </c>
      <c r="F10997" t="s">
        <v>27246</v>
      </c>
      <c r="G10997" t="s">
        <v>27247</v>
      </c>
      <c r="H10997" t="s">
        <v>27248</v>
      </c>
      <c r="I10997" t="s">
        <v>48510</v>
      </c>
      <c r="J10997" t="s">
        <v>22142</v>
      </c>
      <c r="L10997" t="s">
        <v>27250</v>
      </c>
      <c r="M10997" t="s">
        <v>27251</v>
      </c>
      <c r="N10997" t="s">
        <v>27252</v>
      </c>
      <c r="Q10997" s="1">
        <v>44846</v>
      </c>
      <c r="R10997" t="s">
        <v>27253</v>
      </c>
      <c r="S10997" t="s">
        <v>27254</v>
      </c>
      <c r="T10997" t="s">
        <v>27265</v>
      </c>
    </row>
    <row r="10998" spans="1:20" x14ac:dyDescent="0.3">
      <c r="A10998" t="str">
        <f>"0611838828025"</f>
        <v>0611838828025</v>
      </c>
      <c r="B10998" t="str">
        <f>"MC0659"</f>
        <v>MC0659</v>
      </c>
      <c r="C10998" t="s">
        <v>48511</v>
      </c>
      <c r="D10998" t="s">
        <v>27267</v>
      </c>
      <c r="E10998" t="str">
        <f t="shared" si="171"/>
        <v>001390</v>
      </c>
      <c r="F10998" t="s">
        <v>27246</v>
      </c>
      <c r="G10998" t="s">
        <v>27247</v>
      </c>
      <c r="H10998" t="s">
        <v>27248</v>
      </c>
      <c r="I10998" t="s">
        <v>48512</v>
      </c>
      <c r="J10998" t="s">
        <v>22002</v>
      </c>
      <c r="L10998" t="s">
        <v>27250</v>
      </c>
      <c r="M10998" t="s">
        <v>27251</v>
      </c>
      <c r="N10998" t="s">
        <v>27252</v>
      </c>
      <c r="Q10998" s="1">
        <v>44538</v>
      </c>
      <c r="R10998" t="s">
        <v>27253</v>
      </c>
      <c r="S10998" t="s">
        <v>27254</v>
      </c>
      <c r="T10998" t="s">
        <v>27269</v>
      </c>
    </row>
    <row r="10999" spans="1:20" x14ac:dyDescent="0.3">
      <c r="A10999" t="str">
        <f>"0611838829025"</f>
        <v>0611838829025</v>
      </c>
      <c r="B10999" t="str">
        <f>"MC3460"</f>
        <v>MC3460</v>
      </c>
      <c r="C10999" t="s">
        <v>48513</v>
      </c>
      <c r="D10999" t="s">
        <v>27267</v>
      </c>
      <c r="E10999" t="str">
        <f t="shared" si="171"/>
        <v>001390</v>
      </c>
      <c r="F10999" t="s">
        <v>27246</v>
      </c>
      <c r="G10999" t="s">
        <v>27247</v>
      </c>
      <c r="H10999" t="s">
        <v>27248</v>
      </c>
      <c r="I10999" t="s">
        <v>48514</v>
      </c>
      <c r="J10999" t="s">
        <v>22004</v>
      </c>
      <c r="L10999" t="s">
        <v>27250</v>
      </c>
      <c r="M10999" t="s">
        <v>27251</v>
      </c>
      <c r="N10999" t="s">
        <v>27252</v>
      </c>
      <c r="Q10999" s="1">
        <v>44538</v>
      </c>
      <c r="R10999" t="s">
        <v>27253</v>
      </c>
      <c r="S10999" t="s">
        <v>27254</v>
      </c>
      <c r="T10999" t="s">
        <v>27269</v>
      </c>
    </row>
    <row r="11000" spans="1:20" x14ac:dyDescent="0.3">
      <c r="A11000" t="str">
        <f>"0611838830025"</f>
        <v>0611838830025</v>
      </c>
      <c r="B11000" t="str">
        <f>"MC0660"</f>
        <v>MC0660</v>
      </c>
      <c r="C11000" t="s">
        <v>48515</v>
      </c>
      <c r="D11000" t="s">
        <v>27267</v>
      </c>
      <c r="E11000" t="str">
        <f t="shared" si="171"/>
        <v>001390</v>
      </c>
      <c r="F11000" t="s">
        <v>27246</v>
      </c>
      <c r="G11000" t="s">
        <v>27247</v>
      </c>
      <c r="H11000" t="s">
        <v>27248</v>
      </c>
      <c r="I11000" t="s">
        <v>48516</v>
      </c>
      <c r="J11000" t="s">
        <v>22006</v>
      </c>
      <c r="L11000" t="s">
        <v>27250</v>
      </c>
      <c r="M11000" t="s">
        <v>27251</v>
      </c>
      <c r="N11000" t="s">
        <v>27252</v>
      </c>
      <c r="Q11000" s="1">
        <v>44538</v>
      </c>
      <c r="R11000" t="s">
        <v>27253</v>
      </c>
      <c r="S11000" t="s">
        <v>27254</v>
      </c>
      <c r="T11000" t="s">
        <v>27269</v>
      </c>
    </row>
    <row r="11001" spans="1:20" x14ac:dyDescent="0.3">
      <c r="A11001" t="str">
        <f>"0611838831100"</f>
        <v>0611838831100</v>
      </c>
      <c r="B11001" t="str">
        <f>"LG6530"</f>
        <v>LG6530</v>
      </c>
      <c r="C11001" t="s">
        <v>48517</v>
      </c>
      <c r="D11001" t="s">
        <v>27245</v>
      </c>
      <c r="E11001" t="str">
        <f t="shared" si="171"/>
        <v>001390</v>
      </c>
      <c r="F11001" t="s">
        <v>27246</v>
      </c>
      <c r="G11001" t="s">
        <v>27247</v>
      </c>
      <c r="H11001" t="s">
        <v>27248</v>
      </c>
      <c r="I11001" t="s">
        <v>48518</v>
      </c>
      <c r="J11001" t="s">
        <v>22008</v>
      </c>
      <c r="L11001" t="s">
        <v>27250</v>
      </c>
      <c r="M11001" t="s">
        <v>27251</v>
      </c>
      <c r="N11001" t="s">
        <v>27252</v>
      </c>
      <c r="Q11001" s="1">
        <v>44538</v>
      </c>
      <c r="R11001" t="s">
        <v>27253</v>
      </c>
      <c r="S11001" t="s">
        <v>27254</v>
      </c>
      <c r="T11001" t="s">
        <v>27255</v>
      </c>
    </row>
    <row r="11002" spans="1:20" x14ac:dyDescent="0.3">
      <c r="A11002" t="str">
        <f>"0611863892050"</f>
        <v>0611863892050</v>
      </c>
      <c r="B11002" t="str">
        <f>"CR4608"</f>
        <v>CR4608</v>
      </c>
      <c r="C11002" t="s">
        <v>48519</v>
      </c>
      <c r="D11002" t="s">
        <v>27263</v>
      </c>
      <c r="E11002" t="str">
        <f t="shared" si="171"/>
        <v>001390</v>
      </c>
      <c r="F11002" t="s">
        <v>27246</v>
      </c>
      <c r="G11002" t="s">
        <v>27247</v>
      </c>
      <c r="H11002" t="s">
        <v>27248</v>
      </c>
      <c r="I11002" t="s">
        <v>48520</v>
      </c>
      <c r="J11002" t="s">
        <v>22010</v>
      </c>
      <c r="L11002" t="s">
        <v>27250</v>
      </c>
      <c r="M11002" t="s">
        <v>27251</v>
      </c>
      <c r="N11002" t="s">
        <v>27252</v>
      </c>
      <c r="Q11002" s="1">
        <v>44846</v>
      </c>
      <c r="R11002" t="s">
        <v>27253</v>
      </c>
      <c r="S11002" t="s">
        <v>27254</v>
      </c>
      <c r="T11002" t="s">
        <v>27265</v>
      </c>
    </row>
    <row r="11003" spans="1:20" x14ac:dyDescent="0.3">
      <c r="A11003" t="str">
        <f>"0611863893050"</f>
        <v>0611863893050</v>
      </c>
      <c r="B11003" t="str">
        <f>"CR4622"</f>
        <v>CR4622</v>
      </c>
      <c r="C11003" t="s">
        <v>48521</v>
      </c>
      <c r="D11003" t="s">
        <v>27263</v>
      </c>
      <c r="E11003" t="str">
        <f t="shared" si="171"/>
        <v>001390</v>
      </c>
      <c r="F11003" t="s">
        <v>27246</v>
      </c>
      <c r="G11003" t="s">
        <v>27247</v>
      </c>
      <c r="H11003" t="s">
        <v>27248</v>
      </c>
      <c r="I11003" t="s">
        <v>48522</v>
      </c>
      <c r="J11003" t="s">
        <v>22012</v>
      </c>
      <c r="L11003" t="s">
        <v>27250</v>
      </c>
      <c r="M11003" t="s">
        <v>27251</v>
      </c>
      <c r="N11003" t="s">
        <v>27252</v>
      </c>
      <c r="Q11003" s="1">
        <v>44846</v>
      </c>
      <c r="R11003" t="s">
        <v>27253</v>
      </c>
      <c r="S11003" t="s">
        <v>27254</v>
      </c>
      <c r="T11003" t="s">
        <v>27265</v>
      </c>
    </row>
    <row r="11004" spans="1:20" x14ac:dyDescent="0.3">
      <c r="A11004" t="str">
        <f>"0611863894050"</f>
        <v>0611863894050</v>
      </c>
      <c r="B11004" t="str">
        <f>"CR4623"</f>
        <v>CR4623</v>
      </c>
      <c r="C11004" t="s">
        <v>48523</v>
      </c>
      <c r="D11004" t="s">
        <v>27263</v>
      </c>
      <c r="E11004" t="str">
        <f t="shared" si="171"/>
        <v>001390</v>
      </c>
      <c r="F11004" t="s">
        <v>27246</v>
      </c>
      <c r="G11004" t="s">
        <v>27247</v>
      </c>
      <c r="H11004" t="s">
        <v>27248</v>
      </c>
      <c r="I11004" t="s">
        <v>48524</v>
      </c>
      <c r="J11004" t="s">
        <v>22014</v>
      </c>
      <c r="L11004" t="s">
        <v>27250</v>
      </c>
      <c r="M11004" t="s">
        <v>27251</v>
      </c>
      <c r="N11004" t="s">
        <v>27252</v>
      </c>
      <c r="Q11004" s="1">
        <v>44846</v>
      </c>
      <c r="R11004" t="s">
        <v>27253</v>
      </c>
      <c r="S11004" t="s">
        <v>27254</v>
      </c>
      <c r="T11004" t="s">
        <v>27265</v>
      </c>
    </row>
    <row r="11005" spans="1:20" x14ac:dyDescent="0.3">
      <c r="A11005" t="str">
        <f>"0611863895050"</f>
        <v>0611863895050</v>
      </c>
      <c r="B11005" t="str">
        <f>"CR4621"</f>
        <v>CR4621</v>
      </c>
      <c r="C11005" t="s">
        <v>48525</v>
      </c>
      <c r="D11005" t="s">
        <v>27263</v>
      </c>
      <c r="E11005" t="str">
        <f t="shared" si="171"/>
        <v>001390</v>
      </c>
      <c r="F11005" t="s">
        <v>27246</v>
      </c>
      <c r="G11005" t="s">
        <v>27247</v>
      </c>
      <c r="H11005" t="s">
        <v>27248</v>
      </c>
      <c r="I11005" t="s">
        <v>48526</v>
      </c>
      <c r="J11005" t="s">
        <v>22016</v>
      </c>
      <c r="L11005" t="s">
        <v>27250</v>
      </c>
      <c r="M11005" t="s">
        <v>27251</v>
      </c>
      <c r="N11005" t="s">
        <v>27252</v>
      </c>
      <c r="Q11005" s="1">
        <v>44846</v>
      </c>
      <c r="R11005" t="s">
        <v>27253</v>
      </c>
      <c r="S11005" t="s">
        <v>27254</v>
      </c>
      <c r="T11005" t="s">
        <v>27265</v>
      </c>
    </row>
    <row r="11006" spans="1:20" x14ac:dyDescent="0.3">
      <c r="A11006" t="str">
        <f>"0611863896050"</f>
        <v>0611863896050</v>
      </c>
      <c r="B11006" t="str">
        <f>"CR4620"</f>
        <v>CR4620</v>
      </c>
      <c r="C11006" t="s">
        <v>48527</v>
      </c>
      <c r="D11006" t="s">
        <v>27263</v>
      </c>
      <c r="E11006" t="str">
        <f t="shared" si="171"/>
        <v>001390</v>
      </c>
      <c r="F11006" t="s">
        <v>27246</v>
      </c>
      <c r="G11006" t="s">
        <v>27247</v>
      </c>
      <c r="H11006" t="s">
        <v>27248</v>
      </c>
      <c r="I11006" t="s">
        <v>48528</v>
      </c>
      <c r="J11006" t="s">
        <v>22018</v>
      </c>
      <c r="L11006" t="s">
        <v>27250</v>
      </c>
      <c r="M11006" t="s">
        <v>27251</v>
      </c>
      <c r="N11006" t="s">
        <v>27252</v>
      </c>
      <c r="Q11006" s="1">
        <v>44846</v>
      </c>
      <c r="R11006" t="s">
        <v>27253</v>
      </c>
      <c r="S11006" t="s">
        <v>27254</v>
      </c>
      <c r="T11006" t="s">
        <v>27265</v>
      </c>
    </row>
    <row r="11007" spans="1:20" x14ac:dyDescent="0.3">
      <c r="A11007" t="str">
        <f>"0611863897050"</f>
        <v>0611863897050</v>
      </c>
      <c r="B11007" t="str">
        <f>"CR4890"</f>
        <v>CR4890</v>
      </c>
      <c r="C11007" t="s">
        <v>48529</v>
      </c>
      <c r="D11007" t="s">
        <v>27263</v>
      </c>
      <c r="E11007" t="str">
        <f t="shared" si="171"/>
        <v>001390</v>
      </c>
      <c r="F11007" t="s">
        <v>27246</v>
      </c>
      <c r="G11007" t="s">
        <v>27247</v>
      </c>
      <c r="H11007" t="s">
        <v>27248</v>
      </c>
      <c r="I11007" t="s">
        <v>48530</v>
      </c>
      <c r="J11007" t="s">
        <v>22020</v>
      </c>
      <c r="L11007" t="s">
        <v>27250</v>
      </c>
      <c r="M11007" t="s">
        <v>27251</v>
      </c>
      <c r="N11007" t="s">
        <v>27252</v>
      </c>
      <c r="Q11007" s="1">
        <v>44846</v>
      </c>
      <c r="R11007" t="s">
        <v>27253</v>
      </c>
      <c r="S11007" t="s">
        <v>27254</v>
      </c>
      <c r="T11007" t="s">
        <v>27265</v>
      </c>
    </row>
    <row r="11008" spans="1:20" x14ac:dyDescent="0.3">
      <c r="A11008" t="str">
        <f>"0611863898050"</f>
        <v>0611863898050</v>
      </c>
      <c r="B11008" t="str">
        <f>"CR4624"</f>
        <v>CR4624</v>
      </c>
      <c r="C11008" t="s">
        <v>48531</v>
      </c>
      <c r="D11008" t="s">
        <v>27263</v>
      </c>
      <c r="E11008" t="str">
        <f t="shared" si="171"/>
        <v>001390</v>
      </c>
      <c r="F11008" t="s">
        <v>27246</v>
      </c>
      <c r="G11008" t="s">
        <v>27247</v>
      </c>
      <c r="H11008" t="s">
        <v>27248</v>
      </c>
      <c r="I11008" t="s">
        <v>48532</v>
      </c>
      <c r="J11008" t="s">
        <v>22022</v>
      </c>
      <c r="L11008" t="s">
        <v>27250</v>
      </c>
      <c r="M11008" t="s">
        <v>27251</v>
      </c>
      <c r="N11008" t="s">
        <v>27252</v>
      </c>
      <c r="Q11008" s="1">
        <v>44846</v>
      </c>
      <c r="R11008" t="s">
        <v>27253</v>
      </c>
      <c r="S11008" t="s">
        <v>27254</v>
      </c>
      <c r="T11008" t="s">
        <v>27265</v>
      </c>
    </row>
    <row r="11009" spans="1:20" x14ac:dyDescent="0.3">
      <c r="A11009" t="str">
        <f>"0611863899050"</f>
        <v>0611863899050</v>
      </c>
      <c r="B11009" t="str">
        <f>"CR4900"</f>
        <v>CR4900</v>
      </c>
      <c r="C11009" t="s">
        <v>48533</v>
      </c>
      <c r="D11009" t="s">
        <v>27263</v>
      </c>
      <c r="E11009" t="str">
        <f t="shared" si="171"/>
        <v>001390</v>
      </c>
      <c r="F11009" t="s">
        <v>27246</v>
      </c>
      <c r="G11009" t="s">
        <v>27247</v>
      </c>
      <c r="H11009" t="s">
        <v>27248</v>
      </c>
      <c r="I11009" t="s">
        <v>48534</v>
      </c>
      <c r="J11009" t="s">
        <v>22024</v>
      </c>
      <c r="L11009" t="s">
        <v>27250</v>
      </c>
      <c r="M11009" t="s">
        <v>27251</v>
      </c>
      <c r="N11009" t="s">
        <v>27252</v>
      </c>
      <c r="Q11009" s="1">
        <v>44846</v>
      </c>
      <c r="R11009" t="s">
        <v>27253</v>
      </c>
      <c r="S11009" t="s">
        <v>27254</v>
      </c>
      <c r="T11009" t="s">
        <v>27265</v>
      </c>
    </row>
    <row r="11010" spans="1:20" x14ac:dyDescent="0.3">
      <c r="A11010" t="str">
        <f>"0611884421050"</f>
        <v>0611884421050</v>
      </c>
      <c r="B11010" t="str">
        <f>"CR5291"</f>
        <v>CR5291</v>
      </c>
      <c r="C11010" t="s">
        <v>48535</v>
      </c>
      <c r="D11010" t="s">
        <v>27263</v>
      </c>
      <c r="E11010" t="str">
        <f t="shared" ref="E11010:E11073" si="172">"001390"</f>
        <v>001390</v>
      </c>
      <c r="F11010" t="s">
        <v>27246</v>
      </c>
      <c r="G11010" t="s">
        <v>27247</v>
      </c>
      <c r="H11010" t="s">
        <v>27248</v>
      </c>
      <c r="I11010" t="s">
        <v>48536</v>
      </c>
      <c r="J11010" t="s">
        <v>22026</v>
      </c>
      <c r="L11010" t="s">
        <v>27430</v>
      </c>
      <c r="M11010" t="s">
        <v>27251</v>
      </c>
      <c r="N11010" t="s">
        <v>27252</v>
      </c>
      <c r="Q11010" s="1">
        <v>45250</v>
      </c>
      <c r="R11010" t="s">
        <v>27253</v>
      </c>
      <c r="S11010" t="s">
        <v>27254</v>
      </c>
      <c r="T11010" t="s">
        <v>27265</v>
      </c>
    </row>
    <row r="11011" spans="1:20" x14ac:dyDescent="0.3">
      <c r="A11011" t="str">
        <f>"0611884422050"</f>
        <v>0611884422050</v>
      </c>
      <c r="B11011" t="str">
        <f>"CR5292"</f>
        <v>CR5292</v>
      </c>
      <c r="C11011" t="s">
        <v>48537</v>
      </c>
      <c r="D11011" t="s">
        <v>27263</v>
      </c>
      <c r="E11011" t="str">
        <f t="shared" si="172"/>
        <v>001390</v>
      </c>
      <c r="F11011" t="s">
        <v>27246</v>
      </c>
      <c r="G11011" t="s">
        <v>27247</v>
      </c>
      <c r="H11011" t="s">
        <v>27248</v>
      </c>
      <c r="I11011" t="s">
        <v>48538</v>
      </c>
      <c r="J11011" t="s">
        <v>22028</v>
      </c>
      <c r="L11011" t="s">
        <v>27430</v>
      </c>
      <c r="M11011" t="s">
        <v>27251</v>
      </c>
      <c r="N11011" t="s">
        <v>27252</v>
      </c>
      <c r="Q11011" s="1">
        <v>45250</v>
      </c>
      <c r="R11011" t="s">
        <v>27253</v>
      </c>
      <c r="S11011" t="s">
        <v>27254</v>
      </c>
      <c r="T11011" t="s">
        <v>27265</v>
      </c>
    </row>
    <row r="11012" spans="1:20" x14ac:dyDescent="0.3">
      <c r="A11012" t="str">
        <f>"0611863901050"</f>
        <v>0611863901050</v>
      </c>
      <c r="B11012" t="str">
        <f>"CR4892"</f>
        <v>CR4892</v>
      </c>
      <c r="C11012" t="s">
        <v>48539</v>
      </c>
      <c r="D11012" t="s">
        <v>27263</v>
      </c>
      <c r="E11012" t="str">
        <f t="shared" si="172"/>
        <v>001390</v>
      </c>
      <c r="F11012" t="s">
        <v>27246</v>
      </c>
      <c r="G11012" t="s">
        <v>27247</v>
      </c>
      <c r="H11012" t="s">
        <v>27248</v>
      </c>
      <c r="I11012" t="s">
        <v>48540</v>
      </c>
      <c r="J11012" t="s">
        <v>22030</v>
      </c>
      <c r="L11012" t="s">
        <v>27250</v>
      </c>
      <c r="M11012" t="s">
        <v>27251</v>
      </c>
      <c r="N11012" t="s">
        <v>27252</v>
      </c>
      <c r="Q11012" s="1">
        <v>44846</v>
      </c>
      <c r="R11012" t="s">
        <v>27253</v>
      </c>
      <c r="S11012" t="s">
        <v>27254</v>
      </c>
      <c r="T11012" t="s">
        <v>27265</v>
      </c>
    </row>
    <row r="11013" spans="1:20" x14ac:dyDescent="0.3">
      <c r="A11013" t="str">
        <f>"0611863902050"</f>
        <v>0611863902050</v>
      </c>
      <c r="B11013" t="str">
        <f>"CR4609"</f>
        <v>CR4609</v>
      </c>
      <c r="C11013" t="s">
        <v>48541</v>
      </c>
      <c r="D11013" t="s">
        <v>27263</v>
      </c>
      <c r="E11013" t="str">
        <f t="shared" si="172"/>
        <v>001390</v>
      </c>
      <c r="F11013" t="s">
        <v>27246</v>
      </c>
      <c r="G11013" t="s">
        <v>27247</v>
      </c>
      <c r="H11013" t="s">
        <v>27248</v>
      </c>
      <c r="I11013" t="s">
        <v>48542</v>
      </c>
      <c r="J11013" t="s">
        <v>22032</v>
      </c>
      <c r="L11013" t="s">
        <v>27250</v>
      </c>
      <c r="M11013" t="s">
        <v>27251</v>
      </c>
      <c r="N11013" t="s">
        <v>27252</v>
      </c>
      <c r="Q11013" s="1">
        <v>44846</v>
      </c>
      <c r="R11013" t="s">
        <v>27253</v>
      </c>
      <c r="S11013" t="s">
        <v>27254</v>
      </c>
      <c r="T11013" t="s">
        <v>27265</v>
      </c>
    </row>
    <row r="11014" spans="1:20" x14ac:dyDescent="0.3">
      <c r="A11014" t="str">
        <f>"0611884423050"</f>
        <v>0611884423050</v>
      </c>
      <c r="B11014" t="str">
        <f>"CR5293"</f>
        <v>CR5293</v>
      </c>
      <c r="C11014" t="s">
        <v>48543</v>
      </c>
      <c r="D11014" t="s">
        <v>27263</v>
      </c>
      <c r="E11014" t="str">
        <f t="shared" si="172"/>
        <v>001390</v>
      </c>
      <c r="F11014" t="s">
        <v>27246</v>
      </c>
      <c r="G11014" t="s">
        <v>27247</v>
      </c>
      <c r="H11014" t="s">
        <v>27248</v>
      </c>
      <c r="I11014" t="s">
        <v>48544</v>
      </c>
      <c r="J11014" t="s">
        <v>22034</v>
      </c>
      <c r="L11014" t="s">
        <v>27430</v>
      </c>
      <c r="M11014" t="s">
        <v>27251</v>
      </c>
      <c r="N11014" t="s">
        <v>27252</v>
      </c>
      <c r="Q11014" s="1">
        <v>45250</v>
      </c>
      <c r="R11014" t="s">
        <v>27253</v>
      </c>
      <c r="S11014" t="s">
        <v>27254</v>
      </c>
      <c r="T11014" t="s">
        <v>27265</v>
      </c>
    </row>
    <row r="11015" spans="1:20" x14ac:dyDescent="0.3">
      <c r="A11015" t="str">
        <f>"0611863903050"</f>
        <v>0611863903050</v>
      </c>
      <c r="B11015" t="str">
        <f>"CR4619"</f>
        <v>CR4619</v>
      </c>
      <c r="C11015" t="s">
        <v>48545</v>
      </c>
      <c r="D11015" t="s">
        <v>27263</v>
      </c>
      <c r="E11015" t="str">
        <f t="shared" si="172"/>
        <v>001390</v>
      </c>
      <c r="F11015" t="s">
        <v>27246</v>
      </c>
      <c r="G11015" t="s">
        <v>27247</v>
      </c>
      <c r="H11015" t="s">
        <v>27248</v>
      </c>
      <c r="I11015" t="s">
        <v>48546</v>
      </c>
      <c r="J11015" t="s">
        <v>22036</v>
      </c>
      <c r="L11015" t="s">
        <v>27250</v>
      </c>
      <c r="M11015" t="s">
        <v>27251</v>
      </c>
      <c r="N11015" t="s">
        <v>27252</v>
      </c>
      <c r="Q11015" s="1">
        <v>44846</v>
      </c>
      <c r="R11015" t="s">
        <v>27253</v>
      </c>
      <c r="S11015" t="s">
        <v>27254</v>
      </c>
      <c r="T11015" t="s">
        <v>27265</v>
      </c>
    </row>
    <row r="11016" spans="1:20" x14ac:dyDescent="0.3">
      <c r="A11016" t="str">
        <f>"0611884424050"</f>
        <v>0611884424050</v>
      </c>
      <c r="B11016" t="str">
        <f>"CR5294"</f>
        <v>CR5294</v>
      </c>
      <c r="C11016" t="s">
        <v>48547</v>
      </c>
      <c r="D11016" t="s">
        <v>27263</v>
      </c>
      <c r="E11016" t="str">
        <f t="shared" si="172"/>
        <v>001390</v>
      </c>
      <c r="F11016" t="s">
        <v>27246</v>
      </c>
      <c r="G11016" t="s">
        <v>27247</v>
      </c>
      <c r="H11016" t="s">
        <v>27248</v>
      </c>
      <c r="I11016" t="s">
        <v>48548</v>
      </c>
      <c r="J11016" t="s">
        <v>22038</v>
      </c>
      <c r="L11016" t="s">
        <v>27430</v>
      </c>
      <c r="M11016" t="s">
        <v>27251</v>
      </c>
      <c r="N11016" t="s">
        <v>27252</v>
      </c>
      <c r="Q11016" s="1">
        <v>45250</v>
      </c>
      <c r="R11016" t="s">
        <v>27253</v>
      </c>
      <c r="S11016" t="s">
        <v>27254</v>
      </c>
      <c r="T11016" t="s">
        <v>27265</v>
      </c>
    </row>
    <row r="11017" spans="1:20" x14ac:dyDescent="0.3">
      <c r="A11017" t="str">
        <f>"0611863904050"</f>
        <v>0611863904050</v>
      </c>
      <c r="B11017" t="str">
        <f>"CR4612"</f>
        <v>CR4612</v>
      </c>
      <c r="C11017" t="s">
        <v>48549</v>
      </c>
      <c r="D11017" t="s">
        <v>27263</v>
      </c>
      <c r="E11017" t="str">
        <f t="shared" si="172"/>
        <v>001390</v>
      </c>
      <c r="F11017" t="s">
        <v>27246</v>
      </c>
      <c r="G11017" t="s">
        <v>27247</v>
      </c>
      <c r="H11017" t="s">
        <v>27248</v>
      </c>
      <c r="I11017" t="s">
        <v>48550</v>
      </c>
      <c r="J11017" t="s">
        <v>22040</v>
      </c>
      <c r="L11017" t="s">
        <v>27250</v>
      </c>
      <c r="M11017" t="s">
        <v>27251</v>
      </c>
      <c r="N11017" t="s">
        <v>27252</v>
      </c>
      <c r="Q11017" s="1">
        <v>44846</v>
      </c>
      <c r="R11017" t="s">
        <v>27253</v>
      </c>
      <c r="S11017" t="s">
        <v>27254</v>
      </c>
      <c r="T11017" t="s">
        <v>27265</v>
      </c>
    </row>
    <row r="11018" spans="1:20" x14ac:dyDescent="0.3">
      <c r="A11018" t="str">
        <f>"0611863905050"</f>
        <v>0611863905050</v>
      </c>
      <c r="B11018" t="str">
        <f>"CR4613"</f>
        <v>CR4613</v>
      </c>
      <c r="C11018" t="s">
        <v>48551</v>
      </c>
      <c r="D11018" t="s">
        <v>27263</v>
      </c>
      <c r="E11018" t="str">
        <f t="shared" si="172"/>
        <v>001390</v>
      </c>
      <c r="F11018" t="s">
        <v>27246</v>
      </c>
      <c r="G11018" t="s">
        <v>27247</v>
      </c>
      <c r="H11018" t="s">
        <v>27248</v>
      </c>
      <c r="I11018" t="s">
        <v>48552</v>
      </c>
      <c r="J11018" t="s">
        <v>22042</v>
      </c>
      <c r="L11018" t="s">
        <v>27250</v>
      </c>
      <c r="M11018" t="s">
        <v>27251</v>
      </c>
      <c r="N11018" t="s">
        <v>27252</v>
      </c>
      <c r="Q11018" s="1">
        <v>44846</v>
      </c>
      <c r="R11018" t="s">
        <v>27253</v>
      </c>
      <c r="S11018" t="s">
        <v>27254</v>
      </c>
      <c r="T11018" t="s">
        <v>27265</v>
      </c>
    </row>
    <row r="11019" spans="1:20" x14ac:dyDescent="0.3">
      <c r="A11019" t="str">
        <f>"0611884425050"</f>
        <v>0611884425050</v>
      </c>
      <c r="B11019" t="str">
        <f>"CR5295"</f>
        <v>CR5295</v>
      </c>
      <c r="C11019" t="s">
        <v>48553</v>
      </c>
      <c r="D11019" t="s">
        <v>27263</v>
      </c>
      <c r="E11019" t="str">
        <f t="shared" si="172"/>
        <v>001390</v>
      </c>
      <c r="F11019" t="s">
        <v>27246</v>
      </c>
      <c r="G11019" t="s">
        <v>27247</v>
      </c>
      <c r="H11019" t="s">
        <v>27248</v>
      </c>
      <c r="I11019" t="s">
        <v>48554</v>
      </c>
      <c r="J11019" t="s">
        <v>22044</v>
      </c>
      <c r="L11019" t="s">
        <v>27430</v>
      </c>
      <c r="M11019" t="s">
        <v>27251</v>
      </c>
      <c r="N11019" t="s">
        <v>27252</v>
      </c>
      <c r="Q11019" s="1">
        <v>45250</v>
      </c>
      <c r="R11019" t="s">
        <v>27253</v>
      </c>
      <c r="S11019" t="s">
        <v>27254</v>
      </c>
      <c r="T11019" t="s">
        <v>27265</v>
      </c>
    </row>
    <row r="11020" spans="1:20" x14ac:dyDescent="0.3">
      <c r="A11020" t="str">
        <f>"0611863906050"</f>
        <v>0611863906050</v>
      </c>
      <c r="B11020" t="str">
        <f>"CR4615"</f>
        <v>CR4615</v>
      </c>
      <c r="C11020" t="s">
        <v>48555</v>
      </c>
      <c r="D11020" t="s">
        <v>27263</v>
      </c>
      <c r="E11020" t="str">
        <f t="shared" si="172"/>
        <v>001390</v>
      </c>
      <c r="F11020" t="s">
        <v>27246</v>
      </c>
      <c r="G11020" t="s">
        <v>27247</v>
      </c>
      <c r="H11020" t="s">
        <v>27248</v>
      </c>
      <c r="I11020" t="s">
        <v>48556</v>
      </c>
      <c r="J11020" t="s">
        <v>22046</v>
      </c>
      <c r="L11020" t="s">
        <v>27250</v>
      </c>
      <c r="M11020" t="s">
        <v>27251</v>
      </c>
      <c r="N11020" t="s">
        <v>27252</v>
      </c>
      <c r="Q11020" s="1">
        <v>44846</v>
      </c>
      <c r="R11020" t="s">
        <v>27253</v>
      </c>
      <c r="S11020" t="s">
        <v>27254</v>
      </c>
      <c r="T11020" t="s">
        <v>27265</v>
      </c>
    </row>
    <row r="11021" spans="1:20" x14ac:dyDescent="0.3">
      <c r="A11021" t="str">
        <f>"0611884426050"</f>
        <v>0611884426050</v>
      </c>
      <c r="B11021" t="str">
        <f>"CR5296"</f>
        <v>CR5296</v>
      </c>
      <c r="C11021" t="s">
        <v>48557</v>
      </c>
      <c r="D11021" t="s">
        <v>27263</v>
      </c>
      <c r="E11021" t="str">
        <f t="shared" si="172"/>
        <v>001390</v>
      </c>
      <c r="F11021" t="s">
        <v>27246</v>
      </c>
      <c r="G11021" t="s">
        <v>27247</v>
      </c>
      <c r="H11021" t="s">
        <v>27248</v>
      </c>
      <c r="I11021" t="s">
        <v>48558</v>
      </c>
      <c r="J11021" t="s">
        <v>22048</v>
      </c>
      <c r="L11021" t="s">
        <v>27430</v>
      </c>
      <c r="M11021" t="s">
        <v>27251</v>
      </c>
      <c r="N11021" t="s">
        <v>27252</v>
      </c>
      <c r="Q11021" s="1">
        <v>45250</v>
      </c>
      <c r="R11021" t="s">
        <v>27253</v>
      </c>
      <c r="S11021" t="s">
        <v>27254</v>
      </c>
      <c r="T11021" t="s">
        <v>27265</v>
      </c>
    </row>
    <row r="11022" spans="1:20" x14ac:dyDescent="0.3">
      <c r="A11022" t="str">
        <f>"0611884427050"</f>
        <v>0611884427050</v>
      </c>
      <c r="B11022" t="str">
        <f>"CR5297"</f>
        <v>CR5297</v>
      </c>
      <c r="C11022" t="s">
        <v>48559</v>
      </c>
      <c r="D11022" t="s">
        <v>27263</v>
      </c>
      <c r="E11022" t="str">
        <f t="shared" si="172"/>
        <v>001390</v>
      </c>
      <c r="F11022" t="s">
        <v>27246</v>
      </c>
      <c r="G11022" t="s">
        <v>27247</v>
      </c>
      <c r="H11022" t="s">
        <v>27248</v>
      </c>
      <c r="I11022" t="s">
        <v>48560</v>
      </c>
      <c r="J11022" t="s">
        <v>22050</v>
      </c>
      <c r="L11022" t="s">
        <v>27430</v>
      </c>
      <c r="M11022" t="s">
        <v>27251</v>
      </c>
      <c r="N11022" t="s">
        <v>27252</v>
      </c>
      <c r="Q11022" s="1">
        <v>45250</v>
      </c>
      <c r="R11022" t="s">
        <v>27253</v>
      </c>
      <c r="S11022" t="s">
        <v>27254</v>
      </c>
      <c r="T11022" t="s">
        <v>27265</v>
      </c>
    </row>
    <row r="11023" spans="1:20" x14ac:dyDescent="0.3">
      <c r="A11023" t="str">
        <f>"0611884428050"</f>
        <v>0611884428050</v>
      </c>
      <c r="B11023" t="str">
        <f>"CR5298"</f>
        <v>CR5298</v>
      </c>
      <c r="C11023" t="s">
        <v>48561</v>
      </c>
      <c r="D11023" t="s">
        <v>27263</v>
      </c>
      <c r="E11023" t="str">
        <f t="shared" si="172"/>
        <v>001390</v>
      </c>
      <c r="F11023" t="s">
        <v>27246</v>
      </c>
      <c r="G11023" t="s">
        <v>27247</v>
      </c>
      <c r="H11023" t="s">
        <v>27248</v>
      </c>
      <c r="I11023" t="s">
        <v>48562</v>
      </c>
      <c r="J11023" t="s">
        <v>22052</v>
      </c>
      <c r="L11023" t="s">
        <v>27430</v>
      </c>
      <c r="M11023" t="s">
        <v>27251</v>
      </c>
      <c r="N11023" t="s">
        <v>27252</v>
      </c>
      <c r="Q11023" s="1">
        <v>45250</v>
      </c>
      <c r="R11023" t="s">
        <v>27253</v>
      </c>
      <c r="S11023" t="s">
        <v>27254</v>
      </c>
      <c r="T11023" t="s">
        <v>27265</v>
      </c>
    </row>
    <row r="11024" spans="1:20" x14ac:dyDescent="0.3">
      <c r="A11024" t="str">
        <f>"0611863907050"</f>
        <v>0611863907050</v>
      </c>
      <c r="B11024" t="str">
        <f>"CR4614"</f>
        <v>CR4614</v>
      </c>
      <c r="C11024" t="s">
        <v>48563</v>
      </c>
      <c r="D11024" t="s">
        <v>27263</v>
      </c>
      <c r="E11024" t="str">
        <f t="shared" si="172"/>
        <v>001390</v>
      </c>
      <c r="F11024" t="s">
        <v>27246</v>
      </c>
      <c r="G11024" t="s">
        <v>27247</v>
      </c>
      <c r="H11024" t="s">
        <v>27248</v>
      </c>
      <c r="I11024" t="s">
        <v>48564</v>
      </c>
      <c r="J11024" t="s">
        <v>22054</v>
      </c>
      <c r="L11024" t="s">
        <v>27250</v>
      </c>
      <c r="M11024" t="s">
        <v>27251</v>
      </c>
      <c r="N11024" t="s">
        <v>27252</v>
      </c>
      <c r="Q11024" s="1">
        <v>44846</v>
      </c>
      <c r="R11024" t="s">
        <v>27253</v>
      </c>
      <c r="S11024" t="s">
        <v>27254</v>
      </c>
      <c r="T11024" t="s">
        <v>27265</v>
      </c>
    </row>
    <row r="11025" spans="1:20" x14ac:dyDescent="0.3">
      <c r="A11025" t="str">
        <f>"0611884429050"</f>
        <v>0611884429050</v>
      </c>
      <c r="B11025" t="str">
        <f>"CR5299"</f>
        <v>CR5299</v>
      </c>
      <c r="C11025" t="s">
        <v>48565</v>
      </c>
      <c r="D11025" t="s">
        <v>27263</v>
      </c>
      <c r="E11025" t="str">
        <f t="shared" si="172"/>
        <v>001390</v>
      </c>
      <c r="F11025" t="s">
        <v>27246</v>
      </c>
      <c r="G11025" t="s">
        <v>27247</v>
      </c>
      <c r="H11025" t="s">
        <v>27248</v>
      </c>
      <c r="I11025" t="s">
        <v>48566</v>
      </c>
      <c r="J11025" t="s">
        <v>22056</v>
      </c>
      <c r="L11025" t="s">
        <v>27430</v>
      </c>
      <c r="M11025" t="s">
        <v>27251</v>
      </c>
      <c r="N11025" t="s">
        <v>27252</v>
      </c>
      <c r="Q11025" s="1">
        <v>45250</v>
      </c>
      <c r="R11025" t="s">
        <v>27253</v>
      </c>
      <c r="S11025" t="s">
        <v>27254</v>
      </c>
      <c r="T11025" t="s">
        <v>27265</v>
      </c>
    </row>
    <row r="11026" spans="1:20" x14ac:dyDescent="0.3">
      <c r="A11026" t="str">
        <f>"0611863908050"</f>
        <v>0611863908050</v>
      </c>
      <c r="B11026" t="str">
        <f>"CR4616"</f>
        <v>CR4616</v>
      </c>
      <c r="C11026" t="s">
        <v>48567</v>
      </c>
      <c r="D11026" t="s">
        <v>27263</v>
      </c>
      <c r="E11026" t="str">
        <f t="shared" si="172"/>
        <v>001390</v>
      </c>
      <c r="F11026" t="s">
        <v>27246</v>
      </c>
      <c r="G11026" t="s">
        <v>27247</v>
      </c>
      <c r="H11026" t="s">
        <v>27248</v>
      </c>
      <c r="I11026" t="s">
        <v>48568</v>
      </c>
      <c r="J11026" t="s">
        <v>22058</v>
      </c>
      <c r="L11026" t="s">
        <v>27250</v>
      </c>
      <c r="M11026" t="s">
        <v>27251</v>
      </c>
      <c r="N11026" t="s">
        <v>27252</v>
      </c>
      <c r="Q11026" s="1">
        <v>44846</v>
      </c>
      <c r="R11026" t="s">
        <v>27253</v>
      </c>
      <c r="S11026" t="s">
        <v>27254</v>
      </c>
      <c r="T11026" t="s">
        <v>27265</v>
      </c>
    </row>
    <row r="11027" spans="1:20" x14ac:dyDescent="0.3">
      <c r="A11027" t="str">
        <f>"0611863909050"</f>
        <v>0611863909050</v>
      </c>
      <c r="B11027" t="str">
        <f>"CR4899"</f>
        <v>CR4899</v>
      </c>
      <c r="C11027" t="s">
        <v>48569</v>
      </c>
      <c r="D11027" t="s">
        <v>27263</v>
      </c>
      <c r="E11027" t="str">
        <f t="shared" si="172"/>
        <v>001390</v>
      </c>
      <c r="F11027" t="s">
        <v>27246</v>
      </c>
      <c r="G11027" t="s">
        <v>27247</v>
      </c>
      <c r="H11027" t="s">
        <v>27248</v>
      </c>
      <c r="I11027" t="s">
        <v>48570</v>
      </c>
      <c r="J11027" t="s">
        <v>22060</v>
      </c>
      <c r="L11027" t="s">
        <v>27250</v>
      </c>
      <c r="M11027" t="s">
        <v>27251</v>
      </c>
      <c r="N11027" t="s">
        <v>27252</v>
      </c>
      <c r="Q11027" s="1">
        <v>44846</v>
      </c>
      <c r="R11027" t="s">
        <v>27253</v>
      </c>
      <c r="S11027" t="s">
        <v>27254</v>
      </c>
      <c r="T11027" t="s">
        <v>27265</v>
      </c>
    </row>
    <row r="11028" spans="1:20" x14ac:dyDescent="0.3">
      <c r="A11028" t="str">
        <f>"0611863910050"</f>
        <v>0611863910050</v>
      </c>
      <c r="B11028" t="str">
        <f>"CR4617"</f>
        <v>CR4617</v>
      </c>
      <c r="C11028" t="s">
        <v>48571</v>
      </c>
      <c r="D11028" t="s">
        <v>27263</v>
      </c>
      <c r="E11028" t="str">
        <f t="shared" si="172"/>
        <v>001390</v>
      </c>
      <c r="F11028" t="s">
        <v>27246</v>
      </c>
      <c r="G11028" t="s">
        <v>27247</v>
      </c>
      <c r="H11028" t="s">
        <v>27248</v>
      </c>
      <c r="I11028" t="s">
        <v>48572</v>
      </c>
      <c r="J11028" t="s">
        <v>22062</v>
      </c>
      <c r="L11028" t="s">
        <v>27250</v>
      </c>
      <c r="M11028" t="s">
        <v>27251</v>
      </c>
      <c r="N11028" t="s">
        <v>27252</v>
      </c>
      <c r="Q11028" s="1">
        <v>44846</v>
      </c>
      <c r="R11028" t="s">
        <v>27253</v>
      </c>
      <c r="S11028" t="s">
        <v>27254</v>
      </c>
      <c r="T11028" t="s">
        <v>27265</v>
      </c>
    </row>
    <row r="11029" spans="1:20" x14ac:dyDescent="0.3">
      <c r="A11029" t="str">
        <f>"0611863911050"</f>
        <v>0611863911050</v>
      </c>
      <c r="B11029" t="str">
        <f>"CR4618"</f>
        <v>CR4618</v>
      </c>
      <c r="C11029" t="s">
        <v>48573</v>
      </c>
      <c r="D11029" t="s">
        <v>27263</v>
      </c>
      <c r="E11029" t="str">
        <f t="shared" si="172"/>
        <v>001390</v>
      </c>
      <c r="F11029" t="s">
        <v>27246</v>
      </c>
      <c r="G11029" t="s">
        <v>27247</v>
      </c>
      <c r="H11029" t="s">
        <v>27248</v>
      </c>
      <c r="I11029" t="s">
        <v>48574</v>
      </c>
      <c r="J11029" t="s">
        <v>22064</v>
      </c>
      <c r="L11029" t="s">
        <v>27250</v>
      </c>
      <c r="M11029" t="s">
        <v>27251</v>
      </c>
      <c r="N11029" t="s">
        <v>27252</v>
      </c>
      <c r="Q11029" s="1">
        <v>44846</v>
      </c>
      <c r="R11029" t="s">
        <v>27253</v>
      </c>
      <c r="S11029" t="s">
        <v>27254</v>
      </c>
      <c r="T11029" t="s">
        <v>27265</v>
      </c>
    </row>
    <row r="11030" spans="1:20" x14ac:dyDescent="0.3">
      <c r="A11030" t="str">
        <f>"0611863912050"</f>
        <v>0611863912050</v>
      </c>
      <c r="B11030" t="str">
        <f>"CR4893"</f>
        <v>CR4893</v>
      </c>
      <c r="C11030" t="s">
        <v>48575</v>
      </c>
      <c r="D11030" t="s">
        <v>27263</v>
      </c>
      <c r="E11030" t="str">
        <f t="shared" si="172"/>
        <v>001390</v>
      </c>
      <c r="F11030" t="s">
        <v>27246</v>
      </c>
      <c r="G11030" t="s">
        <v>27247</v>
      </c>
      <c r="H11030" t="s">
        <v>27248</v>
      </c>
      <c r="I11030" t="s">
        <v>48576</v>
      </c>
      <c r="J11030" t="s">
        <v>22066</v>
      </c>
      <c r="L11030" t="s">
        <v>27250</v>
      </c>
      <c r="M11030" t="s">
        <v>27251</v>
      </c>
      <c r="N11030" t="s">
        <v>27252</v>
      </c>
      <c r="Q11030" s="1">
        <v>44846</v>
      </c>
      <c r="R11030" t="s">
        <v>27253</v>
      </c>
      <c r="S11030" t="s">
        <v>27254</v>
      </c>
      <c r="T11030" t="s">
        <v>27265</v>
      </c>
    </row>
    <row r="11031" spans="1:20" x14ac:dyDescent="0.3">
      <c r="A11031" t="str">
        <f>"0611863913050"</f>
        <v>0611863913050</v>
      </c>
      <c r="B11031" t="str">
        <f>"CR5066"</f>
        <v>CR5066</v>
      </c>
      <c r="C11031" t="s">
        <v>48577</v>
      </c>
      <c r="D11031" t="s">
        <v>27263</v>
      </c>
      <c r="E11031" t="str">
        <f t="shared" si="172"/>
        <v>001390</v>
      </c>
      <c r="F11031" t="s">
        <v>27246</v>
      </c>
      <c r="G11031" t="s">
        <v>27247</v>
      </c>
      <c r="H11031" t="s">
        <v>27248</v>
      </c>
      <c r="I11031" t="s">
        <v>48578</v>
      </c>
      <c r="J11031" t="s">
        <v>22068</v>
      </c>
      <c r="L11031" t="s">
        <v>27250</v>
      </c>
      <c r="M11031" t="s">
        <v>27251</v>
      </c>
      <c r="N11031" t="s">
        <v>27252</v>
      </c>
      <c r="Q11031" s="1">
        <v>44846</v>
      </c>
      <c r="R11031" t="s">
        <v>27253</v>
      </c>
      <c r="S11031" t="s">
        <v>27254</v>
      </c>
      <c r="T11031" t="s">
        <v>27265</v>
      </c>
    </row>
    <row r="11032" spans="1:20" x14ac:dyDescent="0.3">
      <c r="A11032" t="str">
        <f>"0611863914050"</f>
        <v>0611863914050</v>
      </c>
      <c r="B11032" t="str">
        <f>"CR4894"</f>
        <v>CR4894</v>
      </c>
      <c r="C11032" t="s">
        <v>48579</v>
      </c>
      <c r="D11032" t="s">
        <v>27263</v>
      </c>
      <c r="E11032" t="str">
        <f t="shared" si="172"/>
        <v>001390</v>
      </c>
      <c r="F11032" t="s">
        <v>27246</v>
      </c>
      <c r="G11032" t="s">
        <v>27247</v>
      </c>
      <c r="H11032" t="s">
        <v>27248</v>
      </c>
      <c r="I11032" t="s">
        <v>48580</v>
      </c>
      <c r="J11032" t="s">
        <v>22070</v>
      </c>
      <c r="L11032" t="s">
        <v>27250</v>
      </c>
      <c r="M11032" t="s">
        <v>27251</v>
      </c>
      <c r="N11032" t="s">
        <v>27252</v>
      </c>
      <c r="Q11032" s="1">
        <v>44846</v>
      </c>
      <c r="R11032" t="s">
        <v>27253</v>
      </c>
      <c r="S11032" t="s">
        <v>27254</v>
      </c>
      <c r="T11032" t="s">
        <v>27265</v>
      </c>
    </row>
    <row r="11033" spans="1:20" x14ac:dyDescent="0.3">
      <c r="A11033" t="str">
        <f>"0611863915050"</f>
        <v>0611863915050</v>
      </c>
      <c r="B11033" t="str">
        <f>"CR4895"</f>
        <v>CR4895</v>
      </c>
      <c r="C11033" t="s">
        <v>48581</v>
      </c>
      <c r="D11033" t="s">
        <v>27263</v>
      </c>
      <c r="E11033" t="str">
        <f t="shared" si="172"/>
        <v>001390</v>
      </c>
      <c r="F11033" t="s">
        <v>27246</v>
      </c>
      <c r="G11033" t="s">
        <v>27247</v>
      </c>
      <c r="H11033" t="s">
        <v>27248</v>
      </c>
      <c r="I11033" t="s">
        <v>48582</v>
      </c>
      <c r="J11033" t="s">
        <v>22072</v>
      </c>
      <c r="L11033" t="s">
        <v>27250</v>
      </c>
      <c r="M11033" t="s">
        <v>27251</v>
      </c>
      <c r="N11033" t="s">
        <v>27252</v>
      </c>
      <c r="Q11033" s="1">
        <v>44846</v>
      </c>
      <c r="R11033" t="s">
        <v>27253</v>
      </c>
      <c r="S11033" t="s">
        <v>27254</v>
      </c>
      <c r="T11033" t="s">
        <v>27265</v>
      </c>
    </row>
    <row r="11034" spans="1:20" x14ac:dyDescent="0.3">
      <c r="A11034" t="str">
        <f>"0611863916050"</f>
        <v>0611863916050</v>
      </c>
      <c r="B11034" t="str">
        <f>"CR4896"</f>
        <v>CR4896</v>
      </c>
      <c r="C11034" t="s">
        <v>48583</v>
      </c>
      <c r="D11034" t="s">
        <v>27263</v>
      </c>
      <c r="E11034" t="str">
        <f t="shared" si="172"/>
        <v>001390</v>
      </c>
      <c r="F11034" t="s">
        <v>27246</v>
      </c>
      <c r="G11034" t="s">
        <v>27247</v>
      </c>
      <c r="H11034" t="s">
        <v>27248</v>
      </c>
      <c r="I11034" t="s">
        <v>48584</v>
      </c>
      <c r="J11034" t="s">
        <v>22074</v>
      </c>
      <c r="L11034" t="s">
        <v>27250</v>
      </c>
      <c r="M11034" t="s">
        <v>27251</v>
      </c>
      <c r="N11034" t="s">
        <v>27252</v>
      </c>
      <c r="Q11034" s="1">
        <v>44846</v>
      </c>
      <c r="R11034" t="s">
        <v>27253</v>
      </c>
      <c r="S11034" t="s">
        <v>27254</v>
      </c>
      <c r="T11034" t="s">
        <v>27265</v>
      </c>
    </row>
    <row r="11035" spans="1:20" x14ac:dyDescent="0.3">
      <c r="A11035" t="str">
        <f>"0611863917050"</f>
        <v>0611863917050</v>
      </c>
      <c r="B11035" t="str">
        <f>"CR4610"</f>
        <v>CR4610</v>
      </c>
      <c r="C11035" t="s">
        <v>48585</v>
      </c>
      <c r="D11035" t="s">
        <v>27263</v>
      </c>
      <c r="E11035" t="str">
        <f t="shared" si="172"/>
        <v>001390</v>
      </c>
      <c r="F11035" t="s">
        <v>27246</v>
      </c>
      <c r="G11035" t="s">
        <v>27247</v>
      </c>
      <c r="H11035" t="s">
        <v>27248</v>
      </c>
      <c r="I11035" t="s">
        <v>48586</v>
      </c>
      <c r="J11035" t="s">
        <v>22076</v>
      </c>
      <c r="L11035" t="s">
        <v>27250</v>
      </c>
      <c r="M11035" t="s">
        <v>27251</v>
      </c>
      <c r="N11035" t="s">
        <v>27252</v>
      </c>
      <c r="Q11035" s="1">
        <v>44846</v>
      </c>
      <c r="R11035" t="s">
        <v>27253</v>
      </c>
      <c r="S11035" t="s">
        <v>27254</v>
      </c>
      <c r="T11035" t="s">
        <v>27265</v>
      </c>
    </row>
    <row r="11036" spans="1:20" x14ac:dyDescent="0.3">
      <c r="A11036" t="str">
        <f>"0611863918050"</f>
        <v>0611863918050</v>
      </c>
      <c r="B11036" t="str">
        <f>"CR4611"</f>
        <v>CR4611</v>
      </c>
      <c r="C11036" t="s">
        <v>48587</v>
      </c>
      <c r="D11036" t="s">
        <v>27263</v>
      </c>
      <c r="E11036" t="str">
        <f t="shared" si="172"/>
        <v>001390</v>
      </c>
      <c r="F11036" t="s">
        <v>27246</v>
      </c>
      <c r="G11036" t="s">
        <v>27247</v>
      </c>
      <c r="H11036" t="s">
        <v>27248</v>
      </c>
      <c r="I11036" t="s">
        <v>48588</v>
      </c>
      <c r="J11036" t="s">
        <v>22078</v>
      </c>
      <c r="L11036" t="s">
        <v>27250</v>
      </c>
      <c r="M11036" t="s">
        <v>27251</v>
      </c>
      <c r="N11036" t="s">
        <v>27252</v>
      </c>
      <c r="Q11036" s="1">
        <v>44846</v>
      </c>
      <c r="R11036" t="s">
        <v>27253</v>
      </c>
      <c r="S11036" t="s">
        <v>27254</v>
      </c>
      <c r="T11036" t="s">
        <v>27265</v>
      </c>
    </row>
    <row r="11037" spans="1:20" x14ac:dyDescent="0.3">
      <c r="A11037" t="str">
        <f>"0611884430050"</f>
        <v>0611884430050</v>
      </c>
      <c r="B11037" t="str">
        <f>"CR5301"</f>
        <v>CR5301</v>
      </c>
      <c r="C11037" t="s">
        <v>48589</v>
      </c>
      <c r="D11037" t="s">
        <v>27263</v>
      </c>
      <c r="E11037" t="str">
        <f t="shared" si="172"/>
        <v>001390</v>
      </c>
      <c r="F11037" t="s">
        <v>27246</v>
      </c>
      <c r="G11037" t="s">
        <v>27247</v>
      </c>
      <c r="H11037" t="s">
        <v>27248</v>
      </c>
      <c r="I11037" t="s">
        <v>48590</v>
      </c>
      <c r="J11037" t="s">
        <v>22080</v>
      </c>
      <c r="L11037" t="s">
        <v>27430</v>
      </c>
      <c r="M11037" t="s">
        <v>27251</v>
      </c>
      <c r="N11037" t="s">
        <v>27252</v>
      </c>
      <c r="Q11037" s="1">
        <v>45250</v>
      </c>
      <c r="R11037" t="s">
        <v>27253</v>
      </c>
      <c r="S11037" t="s">
        <v>27254</v>
      </c>
      <c r="T11037" t="s">
        <v>27265</v>
      </c>
    </row>
    <row r="11038" spans="1:20" x14ac:dyDescent="0.3">
      <c r="A11038" t="str">
        <f>"0611884431050"</f>
        <v>0611884431050</v>
      </c>
      <c r="B11038" t="str">
        <f>"CR5302"</f>
        <v>CR5302</v>
      </c>
      <c r="C11038" t="s">
        <v>48591</v>
      </c>
      <c r="D11038" t="s">
        <v>27263</v>
      </c>
      <c r="E11038" t="str">
        <f t="shared" si="172"/>
        <v>001390</v>
      </c>
      <c r="F11038" t="s">
        <v>27246</v>
      </c>
      <c r="G11038" t="s">
        <v>27247</v>
      </c>
      <c r="H11038" t="s">
        <v>27248</v>
      </c>
      <c r="I11038" t="s">
        <v>48592</v>
      </c>
      <c r="J11038" t="s">
        <v>22082</v>
      </c>
      <c r="L11038" t="s">
        <v>27430</v>
      </c>
      <c r="M11038" t="s">
        <v>27251</v>
      </c>
      <c r="N11038" t="s">
        <v>27252</v>
      </c>
      <c r="Q11038" s="1">
        <v>45250</v>
      </c>
      <c r="R11038" t="s">
        <v>27253</v>
      </c>
      <c r="S11038" t="s">
        <v>27254</v>
      </c>
      <c r="T11038" t="s">
        <v>27265</v>
      </c>
    </row>
    <row r="11039" spans="1:20" x14ac:dyDescent="0.3">
      <c r="A11039" t="str">
        <f>"0611884432050"</f>
        <v>0611884432050</v>
      </c>
      <c r="B11039" t="str">
        <f>"CR5304"</f>
        <v>CR5304</v>
      </c>
      <c r="C11039" t="s">
        <v>48593</v>
      </c>
      <c r="D11039" t="s">
        <v>27263</v>
      </c>
      <c r="E11039" t="str">
        <f t="shared" si="172"/>
        <v>001390</v>
      </c>
      <c r="F11039" t="s">
        <v>27246</v>
      </c>
      <c r="G11039" t="s">
        <v>27247</v>
      </c>
      <c r="H11039" t="s">
        <v>27248</v>
      </c>
      <c r="I11039" t="s">
        <v>48594</v>
      </c>
      <c r="J11039" t="s">
        <v>22084</v>
      </c>
      <c r="L11039" t="s">
        <v>27430</v>
      </c>
      <c r="M11039" t="s">
        <v>27251</v>
      </c>
      <c r="N11039" t="s">
        <v>27252</v>
      </c>
      <c r="Q11039" s="1">
        <v>45250</v>
      </c>
      <c r="R11039" t="s">
        <v>27253</v>
      </c>
      <c r="S11039" t="s">
        <v>27254</v>
      </c>
      <c r="T11039" t="s">
        <v>27265</v>
      </c>
    </row>
    <row r="11040" spans="1:20" x14ac:dyDescent="0.3">
      <c r="A11040" t="str">
        <f>"0611884433050"</f>
        <v>0611884433050</v>
      </c>
      <c r="B11040" t="str">
        <f>"CR5305"</f>
        <v>CR5305</v>
      </c>
      <c r="C11040" t="s">
        <v>48595</v>
      </c>
      <c r="D11040" t="s">
        <v>27263</v>
      </c>
      <c r="E11040" t="str">
        <f t="shared" si="172"/>
        <v>001390</v>
      </c>
      <c r="F11040" t="s">
        <v>27246</v>
      </c>
      <c r="G11040" t="s">
        <v>27247</v>
      </c>
      <c r="H11040" t="s">
        <v>27248</v>
      </c>
      <c r="I11040" t="s">
        <v>48596</v>
      </c>
      <c r="J11040" t="s">
        <v>22086</v>
      </c>
      <c r="L11040" t="s">
        <v>27430</v>
      </c>
      <c r="M11040" t="s">
        <v>27251</v>
      </c>
      <c r="N11040" t="s">
        <v>27252</v>
      </c>
      <c r="Q11040" s="1">
        <v>45250</v>
      </c>
      <c r="R11040" t="s">
        <v>27253</v>
      </c>
      <c r="S11040" t="s">
        <v>27254</v>
      </c>
      <c r="T11040" t="s">
        <v>27265</v>
      </c>
    </row>
    <row r="11041" spans="1:20" x14ac:dyDescent="0.3">
      <c r="A11041" t="str">
        <f>"0611863919050"</f>
        <v>0611863919050</v>
      </c>
      <c r="B11041" t="str">
        <f>"CR4897"</f>
        <v>CR4897</v>
      </c>
      <c r="C11041" t="s">
        <v>48597</v>
      </c>
      <c r="D11041" t="s">
        <v>27263</v>
      </c>
      <c r="E11041" t="str">
        <f t="shared" si="172"/>
        <v>001390</v>
      </c>
      <c r="F11041" t="s">
        <v>27246</v>
      </c>
      <c r="G11041" t="s">
        <v>27247</v>
      </c>
      <c r="H11041" t="s">
        <v>27248</v>
      </c>
      <c r="I11041" t="s">
        <v>48598</v>
      </c>
      <c r="J11041" t="s">
        <v>22088</v>
      </c>
      <c r="L11041" t="s">
        <v>27250</v>
      </c>
      <c r="M11041" t="s">
        <v>27251</v>
      </c>
      <c r="N11041" t="s">
        <v>27252</v>
      </c>
      <c r="Q11041" s="1">
        <v>44846</v>
      </c>
      <c r="R11041" t="s">
        <v>27253</v>
      </c>
      <c r="S11041" t="s">
        <v>27254</v>
      </c>
      <c r="T11041" t="s">
        <v>27265</v>
      </c>
    </row>
    <row r="11042" spans="1:20" x14ac:dyDescent="0.3">
      <c r="A11042" t="str">
        <f>"0611863920050"</f>
        <v>0611863920050</v>
      </c>
      <c r="B11042" t="str">
        <f>"CR4625"</f>
        <v>CR4625</v>
      </c>
      <c r="C11042" t="s">
        <v>48599</v>
      </c>
      <c r="D11042" t="s">
        <v>27263</v>
      </c>
      <c r="E11042" t="str">
        <f t="shared" si="172"/>
        <v>001390</v>
      </c>
      <c r="F11042" t="s">
        <v>27246</v>
      </c>
      <c r="G11042" t="s">
        <v>27247</v>
      </c>
      <c r="H11042" t="s">
        <v>27248</v>
      </c>
      <c r="I11042" t="s">
        <v>48600</v>
      </c>
      <c r="J11042" t="s">
        <v>22090</v>
      </c>
      <c r="L11042" t="s">
        <v>27250</v>
      </c>
      <c r="M11042" t="s">
        <v>27251</v>
      </c>
      <c r="N11042" t="s">
        <v>27252</v>
      </c>
      <c r="Q11042" s="1">
        <v>44846</v>
      </c>
      <c r="R11042" t="s">
        <v>27253</v>
      </c>
      <c r="S11042" t="s">
        <v>27254</v>
      </c>
      <c r="T11042" t="s">
        <v>27265</v>
      </c>
    </row>
    <row r="11043" spans="1:20" x14ac:dyDescent="0.3">
      <c r="A11043" t="str">
        <f>"0611863921050"</f>
        <v>0611863921050</v>
      </c>
      <c r="B11043" t="str">
        <f>"CR4626"</f>
        <v>CR4626</v>
      </c>
      <c r="C11043" t="s">
        <v>48601</v>
      </c>
      <c r="D11043" t="s">
        <v>27263</v>
      </c>
      <c r="E11043" t="str">
        <f t="shared" si="172"/>
        <v>001390</v>
      </c>
      <c r="F11043" t="s">
        <v>27246</v>
      </c>
      <c r="G11043" t="s">
        <v>27247</v>
      </c>
      <c r="H11043" t="s">
        <v>27248</v>
      </c>
      <c r="I11043" t="s">
        <v>48602</v>
      </c>
      <c r="J11043" t="s">
        <v>22092</v>
      </c>
      <c r="L11043" t="s">
        <v>27250</v>
      </c>
      <c r="M11043" t="s">
        <v>27251</v>
      </c>
      <c r="N11043" t="s">
        <v>27252</v>
      </c>
      <c r="Q11043" s="1">
        <v>44846</v>
      </c>
      <c r="R11043" t="s">
        <v>27253</v>
      </c>
      <c r="S11043" t="s">
        <v>27254</v>
      </c>
      <c r="T11043" t="s">
        <v>27265</v>
      </c>
    </row>
    <row r="11044" spans="1:20" x14ac:dyDescent="0.3">
      <c r="A11044" t="str">
        <f>"0611863922050"</f>
        <v>0611863922050</v>
      </c>
      <c r="B11044" t="str">
        <f>"CR4627"</f>
        <v>CR4627</v>
      </c>
      <c r="C11044" t="s">
        <v>48603</v>
      </c>
      <c r="D11044" t="s">
        <v>27263</v>
      </c>
      <c r="E11044" t="str">
        <f t="shared" si="172"/>
        <v>001390</v>
      </c>
      <c r="F11044" t="s">
        <v>27246</v>
      </c>
      <c r="G11044" t="s">
        <v>27247</v>
      </c>
      <c r="H11044" t="s">
        <v>27248</v>
      </c>
      <c r="I11044" t="s">
        <v>48604</v>
      </c>
      <c r="J11044" t="s">
        <v>22094</v>
      </c>
      <c r="L11044" t="s">
        <v>27250</v>
      </c>
      <c r="M11044" t="s">
        <v>27251</v>
      </c>
      <c r="N11044" t="s">
        <v>27252</v>
      </c>
      <c r="Q11044" s="1">
        <v>44846</v>
      </c>
      <c r="R11044" t="s">
        <v>27253</v>
      </c>
      <c r="S11044" t="s">
        <v>27254</v>
      </c>
      <c r="T11044" t="s">
        <v>27265</v>
      </c>
    </row>
    <row r="11045" spans="1:20" x14ac:dyDescent="0.3">
      <c r="A11045" t="str">
        <f>"0611863923050"</f>
        <v>0611863923050</v>
      </c>
      <c r="B11045" t="str">
        <f>"CR4628"</f>
        <v>CR4628</v>
      </c>
      <c r="C11045" t="s">
        <v>48605</v>
      </c>
      <c r="D11045" t="s">
        <v>27263</v>
      </c>
      <c r="E11045" t="str">
        <f t="shared" si="172"/>
        <v>001390</v>
      </c>
      <c r="F11045" t="s">
        <v>27246</v>
      </c>
      <c r="G11045" t="s">
        <v>27247</v>
      </c>
      <c r="H11045" t="s">
        <v>27248</v>
      </c>
      <c r="I11045" t="s">
        <v>48606</v>
      </c>
      <c r="J11045" t="s">
        <v>22096</v>
      </c>
      <c r="L11045" t="s">
        <v>27250</v>
      </c>
      <c r="M11045" t="s">
        <v>27251</v>
      </c>
      <c r="N11045" t="s">
        <v>27252</v>
      </c>
      <c r="Q11045" s="1">
        <v>44846</v>
      </c>
      <c r="R11045" t="s">
        <v>27253</v>
      </c>
      <c r="S11045" t="s">
        <v>27254</v>
      </c>
      <c r="T11045" t="s">
        <v>27265</v>
      </c>
    </row>
    <row r="11046" spans="1:20" x14ac:dyDescent="0.3">
      <c r="A11046" t="str">
        <f>"0611863924050"</f>
        <v>0611863924050</v>
      </c>
      <c r="B11046" t="str">
        <f>"CR4629"</f>
        <v>CR4629</v>
      </c>
      <c r="C11046" t="s">
        <v>48607</v>
      </c>
      <c r="D11046" t="s">
        <v>27263</v>
      </c>
      <c r="E11046" t="str">
        <f t="shared" si="172"/>
        <v>001390</v>
      </c>
      <c r="F11046" t="s">
        <v>27246</v>
      </c>
      <c r="G11046" t="s">
        <v>27247</v>
      </c>
      <c r="H11046" t="s">
        <v>27248</v>
      </c>
      <c r="I11046" t="s">
        <v>48608</v>
      </c>
      <c r="J11046" t="s">
        <v>22098</v>
      </c>
      <c r="L11046" t="s">
        <v>27250</v>
      </c>
      <c r="M11046" t="s">
        <v>27251</v>
      </c>
      <c r="N11046" t="s">
        <v>27252</v>
      </c>
      <c r="Q11046" s="1">
        <v>44846</v>
      </c>
      <c r="R11046" t="s">
        <v>27253</v>
      </c>
      <c r="S11046" t="s">
        <v>27254</v>
      </c>
      <c r="T11046" t="s">
        <v>27265</v>
      </c>
    </row>
    <row r="11047" spans="1:20" x14ac:dyDescent="0.3">
      <c r="A11047" t="str">
        <f>"0611863925050"</f>
        <v>0611863925050</v>
      </c>
      <c r="B11047" t="str">
        <f>"CR4630"</f>
        <v>CR4630</v>
      </c>
      <c r="C11047" t="s">
        <v>48609</v>
      </c>
      <c r="D11047" t="s">
        <v>27263</v>
      </c>
      <c r="E11047" t="str">
        <f t="shared" si="172"/>
        <v>001390</v>
      </c>
      <c r="F11047" t="s">
        <v>27246</v>
      </c>
      <c r="G11047" t="s">
        <v>27247</v>
      </c>
      <c r="H11047" t="s">
        <v>27248</v>
      </c>
      <c r="I11047" t="s">
        <v>48610</v>
      </c>
      <c r="J11047" t="s">
        <v>22100</v>
      </c>
      <c r="L11047" t="s">
        <v>27250</v>
      </c>
      <c r="M11047" t="s">
        <v>27251</v>
      </c>
      <c r="N11047" t="s">
        <v>27252</v>
      </c>
      <c r="Q11047" s="1">
        <v>44846</v>
      </c>
      <c r="R11047" t="s">
        <v>27253</v>
      </c>
      <c r="S11047" t="s">
        <v>27254</v>
      </c>
      <c r="T11047" t="s">
        <v>27265</v>
      </c>
    </row>
    <row r="11048" spans="1:20" x14ac:dyDescent="0.3">
      <c r="A11048" t="str">
        <f>"0611863926050"</f>
        <v>0611863926050</v>
      </c>
      <c r="B11048" t="str">
        <f>"CR4631"</f>
        <v>CR4631</v>
      </c>
      <c r="C11048" t="s">
        <v>48611</v>
      </c>
      <c r="D11048" t="s">
        <v>27263</v>
      </c>
      <c r="E11048" t="str">
        <f t="shared" si="172"/>
        <v>001390</v>
      </c>
      <c r="F11048" t="s">
        <v>27246</v>
      </c>
      <c r="G11048" t="s">
        <v>27247</v>
      </c>
      <c r="H11048" t="s">
        <v>27248</v>
      </c>
      <c r="I11048" t="s">
        <v>48612</v>
      </c>
      <c r="J11048" t="s">
        <v>22102</v>
      </c>
      <c r="L11048" t="s">
        <v>27250</v>
      </c>
      <c r="M11048" t="s">
        <v>27251</v>
      </c>
      <c r="N11048" t="s">
        <v>27252</v>
      </c>
      <c r="Q11048" s="1">
        <v>44846</v>
      </c>
      <c r="R11048" t="s">
        <v>27253</v>
      </c>
      <c r="S11048" t="s">
        <v>27254</v>
      </c>
      <c r="T11048" t="s">
        <v>27265</v>
      </c>
    </row>
    <row r="11049" spans="1:20" x14ac:dyDescent="0.3">
      <c r="A11049" t="str">
        <f>"0611863927050"</f>
        <v>0611863927050</v>
      </c>
      <c r="B11049" t="str">
        <f>"CR4632"</f>
        <v>CR4632</v>
      </c>
      <c r="C11049" t="s">
        <v>48613</v>
      </c>
      <c r="D11049" t="s">
        <v>27263</v>
      </c>
      <c r="E11049" t="str">
        <f t="shared" si="172"/>
        <v>001390</v>
      </c>
      <c r="F11049" t="s">
        <v>27246</v>
      </c>
      <c r="G11049" t="s">
        <v>27247</v>
      </c>
      <c r="H11049" t="s">
        <v>27248</v>
      </c>
      <c r="I11049" t="s">
        <v>48614</v>
      </c>
      <c r="J11049" t="s">
        <v>22104</v>
      </c>
      <c r="L11049" t="s">
        <v>27250</v>
      </c>
      <c r="M11049" t="s">
        <v>27251</v>
      </c>
      <c r="N11049" t="s">
        <v>27252</v>
      </c>
      <c r="Q11049" s="1">
        <v>44846</v>
      </c>
      <c r="R11049" t="s">
        <v>27253</v>
      </c>
      <c r="S11049" t="s">
        <v>27254</v>
      </c>
      <c r="T11049" t="s">
        <v>27265</v>
      </c>
    </row>
    <row r="11050" spans="1:20" x14ac:dyDescent="0.3">
      <c r="A11050" t="str">
        <f>"0611863928050"</f>
        <v>0611863928050</v>
      </c>
      <c r="B11050" t="str">
        <f>"CR4898"</f>
        <v>CR4898</v>
      </c>
      <c r="C11050" t="s">
        <v>48615</v>
      </c>
      <c r="D11050" t="s">
        <v>27263</v>
      </c>
      <c r="E11050" t="str">
        <f t="shared" si="172"/>
        <v>001390</v>
      </c>
      <c r="F11050" t="s">
        <v>27246</v>
      </c>
      <c r="G11050" t="s">
        <v>27247</v>
      </c>
      <c r="H11050" t="s">
        <v>27248</v>
      </c>
      <c r="I11050" t="s">
        <v>48616</v>
      </c>
      <c r="J11050" t="s">
        <v>22106</v>
      </c>
      <c r="L11050" t="s">
        <v>27250</v>
      </c>
      <c r="M11050" t="s">
        <v>27251</v>
      </c>
      <c r="N11050" t="s">
        <v>27252</v>
      </c>
      <c r="Q11050" s="1">
        <v>44846</v>
      </c>
      <c r="R11050" t="s">
        <v>27253</v>
      </c>
      <c r="S11050" t="s">
        <v>27254</v>
      </c>
      <c r="T11050" t="s">
        <v>27265</v>
      </c>
    </row>
    <row r="11051" spans="1:20" x14ac:dyDescent="0.3">
      <c r="A11051" t="str">
        <f>"0611838832100"</f>
        <v>0611838832100</v>
      </c>
      <c r="B11051" t="str">
        <f>"LC0011"</f>
        <v>LC0011</v>
      </c>
      <c r="C11051" t="s">
        <v>48617</v>
      </c>
      <c r="D11051" t="s">
        <v>27245</v>
      </c>
      <c r="E11051" t="str">
        <f t="shared" si="172"/>
        <v>001390</v>
      </c>
      <c r="F11051" t="s">
        <v>27246</v>
      </c>
      <c r="G11051" t="s">
        <v>27247</v>
      </c>
      <c r="H11051" t="s">
        <v>27248</v>
      </c>
      <c r="I11051" t="s">
        <v>48618</v>
      </c>
      <c r="J11051" t="s">
        <v>11365</v>
      </c>
      <c r="L11051" t="s">
        <v>27250</v>
      </c>
      <c r="M11051" t="s">
        <v>27251</v>
      </c>
      <c r="N11051" t="s">
        <v>27252</v>
      </c>
      <c r="Q11051" s="1">
        <v>44538</v>
      </c>
      <c r="R11051" t="s">
        <v>27253</v>
      </c>
      <c r="S11051" t="s">
        <v>27254</v>
      </c>
      <c r="T11051" t="s">
        <v>27255</v>
      </c>
    </row>
    <row r="11052" spans="1:20" x14ac:dyDescent="0.3">
      <c r="A11052" t="str">
        <f>"0611838833100"</f>
        <v>0611838833100</v>
      </c>
      <c r="B11052" t="str">
        <f>"LB8115"</f>
        <v>LB8115</v>
      </c>
      <c r="C11052" t="s">
        <v>48619</v>
      </c>
      <c r="D11052" t="s">
        <v>27245</v>
      </c>
      <c r="E11052" t="str">
        <f t="shared" si="172"/>
        <v>001390</v>
      </c>
      <c r="F11052" t="s">
        <v>27246</v>
      </c>
      <c r="G11052" t="s">
        <v>27247</v>
      </c>
      <c r="H11052" t="s">
        <v>27248</v>
      </c>
      <c r="I11052" t="s">
        <v>48620</v>
      </c>
      <c r="J11052" t="s">
        <v>22110</v>
      </c>
      <c r="L11052" t="s">
        <v>27250</v>
      </c>
      <c r="M11052" t="s">
        <v>27251</v>
      </c>
      <c r="N11052" t="s">
        <v>27252</v>
      </c>
      <c r="Q11052" s="1">
        <v>44538</v>
      </c>
      <c r="R11052" t="s">
        <v>27253</v>
      </c>
      <c r="S11052" t="s">
        <v>27254</v>
      </c>
      <c r="T11052" t="s">
        <v>27255</v>
      </c>
    </row>
    <row r="11053" spans="1:20" x14ac:dyDescent="0.3">
      <c r="A11053" t="str">
        <f>"0611838834100"</f>
        <v>0611838834100</v>
      </c>
      <c r="B11053" t="str">
        <f>"LK3005"</f>
        <v>LK3005</v>
      </c>
      <c r="C11053" t="s">
        <v>48621</v>
      </c>
      <c r="D11053" t="s">
        <v>27245</v>
      </c>
      <c r="E11053" t="str">
        <f t="shared" si="172"/>
        <v>001390</v>
      </c>
      <c r="F11053" t="s">
        <v>27246</v>
      </c>
      <c r="G11053" t="s">
        <v>27247</v>
      </c>
      <c r="H11053" t="s">
        <v>27248</v>
      </c>
      <c r="I11053" t="s">
        <v>48622</v>
      </c>
      <c r="J11053" t="s">
        <v>22112</v>
      </c>
      <c r="L11053" t="s">
        <v>27250</v>
      </c>
      <c r="M11053" t="s">
        <v>27251</v>
      </c>
      <c r="N11053" t="s">
        <v>27252</v>
      </c>
      <c r="Q11053" s="1">
        <v>44538</v>
      </c>
      <c r="R11053" t="s">
        <v>27253</v>
      </c>
      <c r="S11053" t="s">
        <v>27254</v>
      </c>
      <c r="T11053" t="s">
        <v>27255</v>
      </c>
    </row>
    <row r="11054" spans="1:20" x14ac:dyDescent="0.3">
      <c r="A11054" t="str">
        <f>"0611838835100"</f>
        <v>0611838835100</v>
      </c>
      <c r="B11054" t="str">
        <f>"LB8100"</f>
        <v>LB8100</v>
      </c>
      <c r="C11054" t="s">
        <v>48623</v>
      </c>
      <c r="D11054" t="s">
        <v>27245</v>
      </c>
      <c r="E11054" t="str">
        <f t="shared" si="172"/>
        <v>001390</v>
      </c>
      <c r="F11054" t="s">
        <v>27246</v>
      </c>
      <c r="G11054" t="s">
        <v>27247</v>
      </c>
      <c r="H11054" t="s">
        <v>27248</v>
      </c>
      <c r="I11054" t="s">
        <v>48624</v>
      </c>
      <c r="J11054" t="s">
        <v>22108</v>
      </c>
      <c r="L11054" t="s">
        <v>27250</v>
      </c>
      <c r="M11054" t="s">
        <v>27251</v>
      </c>
      <c r="N11054" t="s">
        <v>27252</v>
      </c>
      <c r="Q11054" s="1">
        <v>44538</v>
      </c>
      <c r="R11054" t="s">
        <v>27253</v>
      </c>
      <c r="S11054" t="s">
        <v>27254</v>
      </c>
      <c r="T11054" t="s">
        <v>27255</v>
      </c>
    </row>
    <row r="11055" spans="1:20" x14ac:dyDescent="0.3">
      <c r="A11055" t="str">
        <f>"0611838836025"</f>
        <v>0611838836025</v>
      </c>
      <c r="B11055" t="str">
        <f>"MC3313"</f>
        <v>MC3313</v>
      </c>
      <c r="C11055" t="s">
        <v>48625</v>
      </c>
      <c r="D11055" t="s">
        <v>27267</v>
      </c>
      <c r="E11055" t="str">
        <f t="shared" si="172"/>
        <v>001390</v>
      </c>
      <c r="F11055" t="s">
        <v>27246</v>
      </c>
      <c r="G11055" t="s">
        <v>27247</v>
      </c>
      <c r="H11055" t="s">
        <v>27248</v>
      </c>
      <c r="I11055" t="s">
        <v>48626</v>
      </c>
      <c r="J11055" t="s">
        <v>22114</v>
      </c>
      <c r="L11055" t="s">
        <v>27250</v>
      </c>
      <c r="M11055" t="s">
        <v>27251</v>
      </c>
      <c r="N11055" t="s">
        <v>27252</v>
      </c>
      <c r="Q11055" s="1">
        <v>44538</v>
      </c>
      <c r="R11055" t="s">
        <v>27253</v>
      </c>
      <c r="S11055" t="s">
        <v>27254</v>
      </c>
      <c r="T11055" t="s">
        <v>27269</v>
      </c>
    </row>
    <row r="11056" spans="1:20" x14ac:dyDescent="0.3">
      <c r="A11056" t="str">
        <f>"0611838837025"</f>
        <v>0611838837025</v>
      </c>
      <c r="B11056" t="str">
        <f>"MQ0580"</f>
        <v>MQ0580</v>
      </c>
      <c r="C11056" t="s">
        <v>48627</v>
      </c>
      <c r="D11056" t="s">
        <v>27267</v>
      </c>
      <c r="E11056" t="str">
        <f t="shared" si="172"/>
        <v>001390</v>
      </c>
      <c r="F11056" t="s">
        <v>27246</v>
      </c>
      <c r="G11056" t="s">
        <v>27247</v>
      </c>
      <c r="H11056" t="s">
        <v>27248</v>
      </c>
      <c r="I11056" t="s">
        <v>48628</v>
      </c>
      <c r="J11056" t="s">
        <v>22116</v>
      </c>
      <c r="L11056" t="s">
        <v>27250</v>
      </c>
      <c r="M11056" t="s">
        <v>27251</v>
      </c>
      <c r="N11056" t="s">
        <v>27252</v>
      </c>
      <c r="Q11056" s="1">
        <v>44538</v>
      </c>
      <c r="R11056" t="s">
        <v>27253</v>
      </c>
      <c r="S11056" t="s">
        <v>27254</v>
      </c>
      <c r="T11056" t="s">
        <v>27269</v>
      </c>
    </row>
    <row r="11057" spans="1:20" x14ac:dyDescent="0.3">
      <c r="A11057" t="str">
        <f>"0611838838025"</f>
        <v>0611838838025</v>
      </c>
      <c r="B11057" t="str">
        <f>"MC4325"</f>
        <v>MC4325</v>
      </c>
      <c r="C11057" t="s">
        <v>48629</v>
      </c>
      <c r="D11057" t="s">
        <v>27267</v>
      </c>
      <c r="E11057" t="str">
        <f t="shared" si="172"/>
        <v>001390</v>
      </c>
      <c r="F11057" t="s">
        <v>27246</v>
      </c>
      <c r="G11057" t="s">
        <v>27247</v>
      </c>
      <c r="H11057" t="s">
        <v>27248</v>
      </c>
      <c r="I11057" t="s">
        <v>48630</v>
      </c>
      <c r="J11057" t="s">
        <v>22118</v>
      </c>
      <c r="L11057" t="s">
        <v>27250</v>
      </c>
      <c r="M11057" t="s">
        <v>27251</v>
      </c>
      <c r="N11057" t="s">
        <v>27252</v>
      </c>
      <c r="Q11057" s="1">
        <v>44538</v>
      </c>
      <c r="R11057" t="s">
        <v>27253</v>
      </c>
      <c r="S11057" t="s">
        <v>27254</v>
      </c>
      <c r="T11057" t="s">
        <v>27269</v>
      </c>
    </row>
    <row r="11058" spans="1:20" x14ac:dyDescent="0.3">
      <c r="A11058" t="str">
        <f>"0611884434100"</f>
        <v>0611884434100</v>
      </c>
      <c r="B11058" t="str">
        <f>"LQ3936"</f>
        <v>LQ3936</v>
      </c>
      <c r="C11058" t="s">
        <v>48631</v>
      </c>
      <c r="D11058" t="s">
        <v>27245</v>
      </c>
      <c r="E11058" t="str">
        <f t="shared" si="172"/>
        <v>001390</v>
      </c>
      <c r="F11058" t="s">
        <v>27246</v>
      </c>
      <c r="G11058" t="s">
        <v>27247</v>
      </c>
      <c r="H11058" t="s">
        <v>27248</v>
      </c>
      <c r="I11058" t="s">
        <v>48632</v>
      </c>
      <c r="J11058" t="s">
        <v>22120</v>
      </c>
      <c r="L11058" t="s">
        <v>27430</v>
      </c>
      <c r="M11058" t="s">
        <v>27251</v>
      </c>
      <c r="N11058" t="s">
        <v>27252</v>
      </c>
      <c r="Q11058" s="1">
        <v>45250</v>
      </c>
      <c r="R11058" t="s">
        <v>27253</v>
      </c>
      <c r="S11058" t="s">
        <v>27254</v>
      </c>
      <c r="T11058" t="s">
        <v>27255</v>
      </c>
    </row>
    <row r="11059" spans="1:20" x14ac:dyDescent="0.3">
      <c r="A11059" t="str">
        <f>"0611838839100"</f>
        <v>0611838839100</v>
      </c>
      <c r="B11059" t="str">
        <f>"LQ9012"</f>
        <v>LQ9012</v>
      </c>
      <c r="C11059" t="s">
        <v>48633</v>
      </c>
      <c r="D11059" t="s">
        <v>27245</v>
      </c>
      <c r="E11059" t="str">
        <f t="shared" si="172"/>
        <v>001390</v>
      </c>
      <c r="F11059" t="s">
        <v>27246</v>
      </c>
      <c r="G11059" t="s">
        <v>27247</v>
      </c>
      <c r="H11059" t="s">
        <v>27248</v>
      </c>
      <c r="I11059" t="s">
        <v>48634</v>
      </c>
      <c r="J11059" t="s">
        <v>22122</v>
      </c>
      <c r="L11059" t="s">
        <v>27250</v>
      </c>
      <c r="M11059" t="s">
        <v>27251</v>
      </c>
      <c r="N11059" t="s">
        <v>27252</v>
      </c>
      <c r="Q11059" s="1">
        <v>44538</v>
      </c>
      <c r="R11059" t="s">
        <v>27253</v>
      </c>
      <c r="S11059" t="s">
        <v>27254</v>
      </c>
      <c r="T11059" t="s">
        <v>27255</v>
      </c>
    </row>
    <row r="11060" spans="1:20" x14ac:dyDescent="0.3">
      <c r="A11060" t="str">
        <f>"0611884435100"</f>
        <v>0611884435100</v>
      </c>
      <c r="B11060" t="str">
        <f>"LQ3937"</f>
        <v>LQ3937</v>
      </c>
      <c r="C11060" t="s">
        <v>48635</v>
      </c>
      <c r="D11060" t="s">
        <v>27245</v>
      </c>
      <c r="E11060" t="str">
        <f t="shared" si="172"/>
        <v>001390</v>
      </c>
      <c r="F11060" t="s">
        <v>27246</v>
      </c>
      <c r="G11060" t="s">
        <v>27247</v>
      </c>
      <c r="H11060" t="s">
        <v>27248</v>
      </c>
      <c r="I11060" t="s">
        <v>48636</v>
      </c>
      <c r="J11060" t="s">
        <v>22124</v>
      </c>
      <c r="L11060" t="s">
        <v>27430</v>
      </c>
      <c r="M11060" t="s">
        <v>27251</v>
      </c>
      <c r="N11060" t="s">
        <v>27252</v>
      </c>
      <c r="Q11060" s="1">
        <v>45250</v>
      </c>
      <c r="R11060" t="s">
        <v>27253</v>
      </c>
      <c r="S11060" t="s">
        <v>27254</v>
      </c>
      <c r="T11060" t="s">
        <v>27255</v>
      </c>
    </row>
    <row r="11061" spans="1:20" x14ac:dyDescent="0.3">
      <c r="A11061" t="str">
        <f>"0611838841025"</f>
        <v>0611838841025</v>
      </c>
      <c r="B11061" t="str">
        <f>"MQ0658"</f>
        <v>MQ0658</v>
      </c>
      <c r="C11061" t="s">
        <v>48637</v>
      </c>
      <c r="D11061" t="s">
        <v>27267</v>
      </c>
      <c r="E11061" t="str">
        <f t="shared" si="172"/>
        <v>001390</v>
      </c>
      <c r="F11061" t="s">
        <v>27246</v>
      </c>
      <c r="G11061" t="s">
        <v>27247</v>
      </c>
      <c r="H11061" t="s">
        <v>27248</v>
      </c>
      <c r="I11061" t="s">
        <v>48638</v>
      </c>
      <c r="J11061" t="s">
        <v>22126</v>
      </c>
      <c r="L11061" t="s">
        <v>27250</v>
      </c>
      <c r="M11061" t="s">
        <v>27251</v>
      </c>
      <c r="N11061" t="s">
        <v>27252</v>
      </c>
      <c r="Q11061" s="1">
        <v>44538</v>
      </c>
      <c r="R11061" t="s">
        <v>27253</v>
      </c>
      <c r="S11061" t="s">
        <v>27254</v>
      </c>
      <c r="T11061" t="s">
        <v>27269</v>
      </c>
    </row>
    <row r="11062" spans="1:20" x14ac:dyDescent="0.3">
      <c r="A11062" t="str">
        <f>"0611838842025"</f>
        <v>0611838842025</v>
      </c>
      <c r="B11062" t="str">
        <f>"MQ0659"</f>
        <v>MQ0659</v>
      </c>
      <c r="C11062" t="s">
        <v>48639</v>
      </c>
      <c r="D11062" t="s">
        <v>27267</v>
      </c>
      <c r="E11062" t="str">
        <f t="shared" si="172"/>
        <v>001390</v>
      </c>
      <c r="F11062" t="s">
        <v>27246</v>
      </c>
      <c r="G11062" t="s">
        <v>27247</v>
      </c>
      <c r="H11062" t="s">
        <v>27248</v>
      </c>
      <c r="I11062" t="s">
        <v>48640</v>
      </c>
      <c r="J11062" t="s">
        <v>22128</v>
      </c>
      <c r="L11062" t="s">
        <v>27250</v>
      </c>
      <c r="M11062" t="s">
        <v>27251</v>
      </c>
      <c r="N11062" t="s">
        <v>27252</v>
      </c>
      <c r="Q11062" s="1">
        <v>44538</v>
      </c>
      <c r="R11062" t="s">
        <v>27253</v>
      </c>
      <c r="S11062" t="s">
        <v>27254</v>
      </c>
      <c r="T11062" t="s">
        <v>27269</v>
      </c>
    </row>
    <row r="11063" spans="1:20" x14ac:dyDescent="0.3">
      <c r="A11063" t="str">
        <f>"0611838843025"</f>
        <v>0611838843025</v>
      </c>
      <c r="B11063" t="str">
        <f>"MQ6073"</f>
        <v>MQ6073</v>
      </c>
      <c r="C11063" t="s">
        <v>48641</v>
      </c>
      <c r="D11063" t="s">
        <v>27267</v>
      </c>
      <c r="E11063" t="str">
        <f t="shared" si="172"/>
        <v>001390</v>
      </c>
      <c r="F11063" t="s">
        <v>27246</v>
      </c>
      <c r="G11063" t="s">
        <v>27247</v>
      </c>
      <c r="H11063" t="s">
        <v>27248</v>
      </c>
      <c r="I11063" t="s">
        <v>48642</v>
      </c>
      <c r="J11063" t="s">
        <v>22130</v>
      </c>
      <c r="L11063" t="s">
        <v>27250</v>
      </c>
      <c r="M11063" t="s">
        <v>27251</v>
      </c>
      <c r="N11063" t="s">
        <v>27252</v>
      </c>
      <c r="Q11063" s="1">
        <v>44538</v>
      </c>
      <c r="R11063" t="s">
        <v>27253</v>
      </c>
      <c r="S11063" t="s">
        <v>27254</v>
      </c>
      <c r="T11063" t="s">
        <v>27269</v>
      </c>
    </row>
    <row r="11064" spans="1:20" x14ac:dyDescent="0.3">
      <c r="A11064" t="str">
        <f>"0611838847025"</f>
        <v>0611838847025</v>
      </c>
      <c r="B11064" t="str">
        <f>"MC2068"</f>
        <v>MC2068</v>
      </c>
      <c r="C11064" t="s">
        <v>48643</v>
      </c>
      <c r="D11064" t="s">
        <v>27267</v>
      </c>
      <c r="E11064" t="str">
        <f t="shared" si="172"/>
        <v>001390</v>
      </c>
      <c r="F11064" t="s">
        <v>27246</v>
      </c>
      <c r="G11064" t="s">
        <v>27247</v>
      </c>
      <c r="H11064" t="s">
        <v>27248</v>
      </c>
      <c r="I11064" t="s">
        <v>48644</v>
      </c>
      <c r="J11064" t="s">
        <v>22132</v>
      </c>
      <c r="L11064" t="s">
        <v>27250</v>
      </c>
      <c r="M11064" t="s">
        <v>27251</v>
      </c>
      <c r="N11064" t="s">
        <v>27252</v>
      </c>
      <c r="Q11064" s="1">
        <v>44538</v>
      </c>
      <c r="R11064" t="s">
        <v>27253</v>
      </c>
      <c r="S11064" t="s">
        <v>27254</v>
      </c>
      <c r="T11064" t="s">
        <v>27269</v>
      </c>
    </row>
    <row r="11065" spans="1:20" x14ac:dyDescent="0.3">
      <c r="A11065" t="str">
        <f>"0611838848025"</f>
        <v>0611838848025</v>
      </c>
      <c r="B11065" t="str">
        <f>"MC4119"</f>
        <v>MC4119</v>
      </c>
      <c r="C11065" t="s">
        <v>48645</v>
      </c>
      <c r="D11065" t="s">
        <v>27267</v>
      </c>
      <c r="E11065" t="str">
        <f t="shared" si="172"/>
        <v>001390</v>
      </c>
      <c r="F11065" t="s">
        <v>27246</v>
      </c>
      <c r="G11065" t="s">
        <v>27247</v>
      </c>
      <c r="H11065" t="s">
        <v>27248</v>
      </c>
      <c r="I11065" t="s">
        <v>48646</v>
      </c>
      <c r="J11065" t="s">
        <v>22134</v>
      </c>
      <c r="L11065" t="s">
        <v>27250</v>
      </c>
      <c r="M11065" t="s">
        <v>27251</v>
      </c>
      <c r="N11065" t="s">
        <v>27252</v>
      </c>
      <c r="Q11065" s="1">
        <v>44538</v>
      </c>
      <c r="R11065" t="s">
        <v>27253</v>
      </c>
      <c r="S11065" t="s">
        <v>27254</v>
      </c>
      <c r="T11065" t="s">
        <v>27269</v>
      </c>
    </row>
    <row r="11066" spans="1:20" x14ac:dyDescent="0.3">
      <c r="A11066" t="str">
        <f>"0611884436025"</f>
        <v>0611884436025</v>
      </c>
      <c r="B11066" t="str">
        <f>"MC4503"</f>
        <v>MC4503</v>
      </c>
      <c r="C11066" t="s">
        <v>48647</v>
      </c>
      <c r="D11066" t="s">
        <v>27267</v>
      </c>
      <c r="E11066" t="str">
        <f t="shared" si="172"/>
        <v>001390</v>
      </c>
      <c r="F11066" t="s">
        <v>27246</v>
      </c>
      <c r="G11066" t="s">
        <v>27247</v>
      </c>
      <c r="H11066" t="s">
        <v>27248</v>
      </c>
      <c r="I11066" t="s">
        <v>48648</v>
      </c>
      <c r="J11066" t="s">
        <v>22144</v>
      </c>
      <c r="L11066" t="s">
        <v>27430</v>
      </c>
      <c r="M11066" t="s">
        <v>27251</v>
      </c>
      <c r="N11066" t="s">
        <v>27252</v>
      </c>
      <c r="Q11066" s="1">
        <v>45250</v>
      </c>
      <c r="R11066" t="s">
        <v>27253</v>
      </c>
      <c r="S11066" t="s">
        <v>27254</v>
      </c>
      <c r="T11066" t="s">
        <v>27269</v>
      </c>
    </row>
    <row r="11067" spans="1:20" x14ac:dyDescent="0.3">
      <c r="A11067" t="str">
        <f>"0611838851100"</f>
        <v>0611838851100</v>
      </c>
      <c r="B11067" t="str">
        <f>"LK6448"</f>
        <v>LK6448</v>
      </c>
      <c r="C11067" t="s">
        <v>48649</v>
      </c>
      <c r="D11067" t="s">
        <v>27245</v>
      </c>
      <c r="E11067" t="str">
        <f t="shared" si="172"/>
        <v>001390</v>
      </c>
      <c r="F11067" t="s">
        <v>27246</v>
      </c>
      <c r="G11067" t="s">
        <v>27247</v>
      </c>
      <c r="H11067" t="s">
        <v>27248</v>
      </c>
      <c r="I11067" t="s">
        <v>48650</v>
      </c>
      <c r="J11067" t="s">
        <v>22146</v>
      </c>
      <c r="L11067" t="s">
        <v>27250</v>
      </c>
      <c r="M11067" t="s">
        <v>27251</v>
      </c>
      <c r="N11067" t="s">
        <v>27252</v>
      </c>
      <c r="Q11067" s="1">
        <v>44538</v>
      </c>
      <c r="R11067" t="s">
        <v>27253</v>
      </c>
      <c r="S11067" t="s">
        <v>27254</v>
      </c>
      <c r="T11067" t="s">
        <v>27255</v>
      </c>
    </row>
    <row r="11068" spans="1:20" x14ac:dyDescent="0.3">
      <c r="A11068" t="str">
        <f>"0611863931050"</f>
        <v>0611863931050</v>
      </c>
      <c r="B11068" t="str">
        <f>"CR3007"</f>
        <v>CR3007</v>
      </c>
      <c r="C11068" t="s">
        <v>48651</v>
      </c>
      <c r="D11068" t="s">
        <v>27263</v>
      </c>
      <c r="E11068" t="str">
        <f t="shared" si="172"/>
        <v>001390</v>
      </c>
      <c r="F11068" t="s">
        <v>27246</v>
      </c>
      <c r="G11068" t="s">
        <v>27247</v>
      </c>
      <c r="H11068" t="s">
        <v>27248</v>
      </c>
      <c r="I11068" t="s">
        <v>48652</v>
      </c>
      <c r="J11068" t="s">
        <v>22148</v>
      </c>
      <c r="L11068" t="s">
        <v>27250</v>
      </c>
      <c r="M11068" t="s">
        <v>27251</v>
      </c>
      <c r="N11068" t="s">
        <v>27252</v>
      </c>
      <c r="Q11068" s="1">
        <v>44846</v>
      </c>
      <c r="R11068" t="s">
        <v>27253</v>
      </c>
      <c r="S11068" t="s">
        <v>27254</v>
      </c>
      <c r="T11068" t="s">
        <v>27265</v>
      </c>
    </row>
    <row r="11069" spans="1:20" x14ac:dyDescent="0.3">
      <c r="A11069" t="str">
        <f>"0611838852100"</f>
        <v>0611838852100</v>
      </c>
      <c r="B11069" t="str">
        <f>"LK5924"</f>
        <v>LK5924</v>
      </c>
      <c r="C11069" t="s">
        <v>48653</v>
      </c>
      <c r="D11069" t="s">
        <v>27245</v>
      </c>
      <c r="E11069" t="str">
        <f t="shared" si="172"/>
        <v>001390</v>
      </c>
      <c r="F11069" t="s">
        <v>27246</v>
      </c>
      <c r="G11069" t="s">
        <v>27247</v>
      </c>
      <c r="H11069" t="s">
        <v>27248</v>
      </c>
      <c r="I11069" t="s">
        <v>48654</v>
      </c>
      <c r="J11069" t="s">
        <v>22150</v>
      </c>
      <c r="L11069" t="s">
        <v>27250</v>
      </c>
      <c r="M11069" t="s">
        <v>27251</v>
      </c>
      <c r="N11069" t="s">
        <v>27252</v>
      </c>
      <c r="Q11069" s="1">
        <v>44538</v>
      </c>
      <c r="R11069" t="s">
        <v>27253</v>
      </c>
      <c r="S11069" t="s">
        <v>27254</v>
      </c>
      <c r="T11069" t="s">
        <v>27255</v>
      </c>
    </row>
    <row r="11070" spans="1:20" x14ac:dyDescent="0.3">
      <c r="A11070" t="str">
        <f>"0611838853025"</f>
        <v>0611838853025</v>
      </c>
      <c r="B11070" t="str">
        <f>"MC2063"</f>
        <v>MC2063</v>
      </c>
      <c r="C11070" t="s">
        <v>48653</v>
      </c>
      <c r="D11070" t="s">
        <v>27267</v>
      </c>
      <c r="E11070" t="str">
        <f t="shared" si="172"/>
        <v>001390</v>
      </c>
      <c r="F11070" t="s">
        <v>27246</v>
      </c>
      <c r="G11070" t="s">
        <v>27247</v>
      </c>
      <c r="H11070" t="s">
        <v>27248</v>
      </c>
      <c r="I11070" t="s">
        <v>48655</v>
      </c>
      <c r="J11070" t="s">
        <v>22152</v>
      </c>
      <c r="L11070" t="s">
        <v>27250</v>
      </c>
      <c r="M11070" t="s">
        <v>27251</v>
      </c>
      <c r="N11070" t="s">
        <v>27252</v>
      </c>
      <c r="Q11070" s="1">
        <v>44538</v>
      </c>
      <c r="R11070" t="s">
        <v>27253</v>
      </c>
      <c r="S11070" t="s">
        <v>27254</v>
      </c>
      <c r="T11070" t="s">
        <v>27269</v>
      </c>
    </row>
    <row r="11071" spans="1:20" x14ac:dyDescent="0.3">
      <c r="A11071" t="str">
        <f>"0611838854100"</f>
        <v>0611838854100</v>
      </c>
      <c r="B11071" t="str">
        <f>"LK0950"</f>
        <v>LK0950</v>
      </c>
      <c r="C11071" t="s">
        <v>48656</v>
      </c>
      <c r="D11071" t="s">
        <v>27245</v>
      </c>
      <c r="E11071" t="str">
        <f t="shared" si="172"/>
        <v>001390</v>
      </c>
      <c r="F11071" t="s">
        <v>27246</v>
      </c>
      <c r="G11071" t="s">
        <v>27247</v>
      </c>
      <c r="H11071" t="s">
        <v>27248</v>
      </c>
      <c r="I11071" t="s">
        <v>48657</v>
      </c>
      <c r="J11071" t="s">
        <v>22154</v>
      </c>
      <c r="L11071" t="s">
        <v>27250</v>
      </c>
      <c r="M11071" t="s">
        <v>27251</v>
      </c>
      <c r="N11071" t="s">
        <v>27252</v>
      </c>
      <c r="Q11071" s="1">
        <v>44538</v>
      </c>
      <c r="R11071" t="s">
        <v>27253</v>
      </c>
      <c r="S11071" t="s">
        <v>27254</v>
      </c>
      <c r="T11071" t="s">
        <v>27255</v>
      </c>
    </row>
    <row r="11072" spans="1:20" x14ac:dyDescent="0.3">
      <c r="A11072" t="str">
        <f>"0611838855100"</f>
        <v>0611838855100</v>
      </c>
      <c r="B11072" t="str">
        <f>"LB8185"</f>
        <v>LB8185</v>
      </c>
      <c r="C11072" t="s">
        <v>48658</v>
      </c>
      <c r="D11072" t="s">
        <v>27245</v>
      </c>
      <c r="E11072" t="str">
        <f t="shared" si="172"/>
        <v>001390</v>
      </c>
      <c r="F11072" t="s">
        <v>27246</v>
      </c>
      <c r="G11072" t="s">
        <v>27247</v>
      </c>
      <c r="H11072" t="s">
        <v>27248</v>
      </c>
      <c r="I11072" t="s">
        <v>48659</v>
      </c>
      <c r="J11072" t="s">
        <v>22156</v>
      </c>
      <c r="L11072" t="s">
        <v>27250</v>
      </c>
      <c r="M11072" t="s">
        <v>27251</v>
      </c>
      <c r="N11072" t="s">
        <v>27252</v>
      </c>
      <c r="Q11072" s="1">
        <v>44538</v>
      </c>
      <c r="R11072" t="s">
        <v>27253</v>
      </c>
      <c r="S11072" t="s">
        <v>27254</v>
      </c>
      <c r="T11072" t="s">
        <v>27255</v>
      </c>
    </row>
    <row r="11073" spans="1:20" x14ac:dyDescent="0.3">
      <c r="A11073" t="str">
        <f>"0611838856025"</f>
        <v>0611838856025</v>
      </c>
      <c r="B11073" t="str">
        <f>"MQ7263"</f>
        <v>MQ7263</v>
      </c>
      <c r="C11073" t="s">
        <v>48660</v>
      </c>
      <c r="D11073" t="s">
        <v>27267</v>
      </c>
      <c r="E11073" t="str">
        <f t="shared" si="172"/>
        <v>001390</v>
      </c>
      <c r="F11073" t="s">
        <v>27246</v>
      </c>
      <c r="G11073" t="s">
        <v>27247</v>
      </c>
      <c r="H11073" t="s">
        <v>27248</v>
      </c>
      <c r="I11073" t="s">
        <v>48661</v>
      </c>
      <c r="J11073" t="s">
        <v>22158</v>
      </c>
      <c r="L11073" t="s">
        <v>27250</v>
      </c>
      <c r="M11073" t="s">
        <v>27251</v>
      </c>
      <c r="N11073" t="s">
        <v>27252</v>
      </c>
      <c r="Q11073" s="1">
        <v>44538</v>
      </c>
      <c r="R11073" t="s">
        <v>27253</v>
      </c>
      <c r="S11073" t="s">
        <v>27254</v>
      </c>
      <c r="T11073" t="s">
        <v>27269</v>
      </c>
    </row>
    <row r="11074" spans="1:20" x14ac:dyDescent="0.3">
      <c r="A11074" t="str">
        <f>"0611838857025"</f>
        <v>0611838857025</v>
      </c>
      <c r="B11074" t="str">
        <f>"MQ0451"</f>
        <v>MQ0451</v>
      </c>
      <c r="C11074" t="s">
        <v>48662</v>
      </c>
      <c r="D11074" t="s">
        <v>27267</v>
      </c>
      <c r="E11074" t="str">
        <f t="shared" ref="E11074:E11137" si="173">"001390"</f>
        <v>001390</v>
      </c>
      <c r="F11074" t="s">
        <v>27246</v>
      </c>
      <c r="G11074" t="s">
        <v>27247</v>
      </c>
      <c r="H11074" t="s">
        <v>27248</v>
      </c>
      <c r="I11074" t="s">
        <v>48663</v>
      </c>
      <c r="J11074" t="s">
        <v>22160</v>
      </c>
      <c r="L11074" t="s">
        <v>27250</v>
      </c>
      <c r="M11074" t="s">
        <v>27251</v>
      </c>
      <c r="N11074" t="s">
        <v>27252</v>
      </c>
      <c r="Q11074" s="1">
        <v>44538</v>
      </c>
      <c r="R11074" t="s">
        <v>27253</v>
      </c>
      <c r="S11074" t="s">
        <v>27254</v>
      </c>
      <c r="T11074" t="s">
        <v>27269</v>
      </c>
    </row>
    <row r="11075" spans="1:20" x14ac:dyDescent="0.3">
      <c r="A11075" t="str">
        <f>"0611838858025"</f>
        <v>0611838858025</v>
      </c>
      <c r="B11075" t="str">
        <f>"MC0661"</f>
        <v>MC0661</v>
      </c>
      <c r="C11075" t="s">
        <v>48664</v>
      </c>
      <c r="D11075" t="s">
        <v>27267</v>
      </c>
      <c r="E11075" t="str">
        <f t="shared" si="173"/>
        <v>001390</v>
      </c>
      <c r="F11075" t="s">
        <v>27246</v>
      </c>
      <c r="G11075" t="s">
        <v>27247</v>
      </c>
      <c r="H11075" t="s">
        <v>27248</v>
      </c>
      <c r="I11075" t="s">
        <v>48665</v>
      </c>
      <c r="J11075" t="s">
        <v>22164</v>
      </c>
      <c r="L11075" t="s">
        <v>27250</v>
      </c>
      <c r="M11075" t="s">
        <v>27251</v>
      </c>
      <c r="N11075" t="s">
        <v>27252</v>
      </c>
      <c r="Q11075" s="1">
        <v>44538</v>
      </c>
      <c r="R11075" t="s">
        <v>27253</v>
      </c>
      <c r="S11075" t="s">
        <v>27254</v>
      </c>
      <c r="T11075" t="s">
        <v>27269</v>
      </c>
    </row>
    <row r="11076" spans="1:20" x14ac:dyDescent="0.3">
      <c r="A11076" t="str">
        <f>"0611863932100"</f>
        <v>0611863932100</v>
      </c>
      <c r="B11076" t="str">
        <f>"CN5358"</f>
        <v>CN5358</v>
      </c>
      <c r="C11076" t="s">
        <v>48664</v>
      </c>
      <c r="D11076" t="s">
        <v>27335</v>
      </c>
      <c r="E11076" t="str">
        <f t="shared" si="173"/>
        <v>001390</v>
      </c>
      <c r="F11076" t="s">
        <v>27246</v>
      </c>
      <c r="G11076" t="s">
        <v>27247</v>
      </c>
      <c r="H11076" t="s">
        <v>27248</v>
      </c>
      <c r="I11076" t="s">
        <v>48666</v>
      </c>
      <c r="J11076" t="s">
        <v>22162</v>
      </c>
      <c r="L11076" t="s">
        <v>27250</v>
      </c>
      <c r="M11076" t="s">
        <v>27251</v>
      </c>
      <c r="N11076" t="s">
        <v>27252</v>
      </c>
      <c r="Q11076" s="1">
        <v>44846</v>
      </c>
      <c r="R11076" t="s">
        <v>27253</v>
      </c>
      <c r="S11076" t="s">
        <v>27254</v>
      </c>
      <c r="T11076" t="s">
        <v>27255</v>
      </c>
    </row>
    <row r="11077" spans="1:20" x14ac:dyDescent="0.3">
      <c r="A11077" t="str">
        <f>"0611863933100"</f>
        <v>0611863933100</v>
      </c>
      <c r="B11077" t="str">
        <f>"CN5359"</f>
        <v>CN5359</v>
      </c>
      <c r="C11077" t="s">
        <v>48667</v>
      </c>
      <c r="D11077" t="s">
        <v>27335</v>
      </c>
      <c r="E11077" t="str">
        <f t="shared" si="173"/>
        <v>001390</v>
      </c>
      <c r="F11077" t="s">
        <v>27246</v>
      </c>
      <c r="G11077" t="s">
        <v>27247</v>
      </c>
      <c r="H11077" t="s">
        <v>27248</v>
      </c>
      <c r="I11077" t="s">
        <v>48668</v>
      </c>
      <c r="J11077" t="s">
        <v>22166</v>
      </c>
      <c r="L11077" t="s">
        <v>27250</v>
      </c>
      <c r="M11077" t="s">
        <v>27251</v>
      </c>
      <c r="N11077" t="s">
        <v>27252</v>
      </c>
      <c r="Q11077" s="1">
        <v>44846</v>
      </c>
      <c r="R11077" t="s">
        <v>27253</v>
      </c>
      <c r="S11077" t="s">
        <v>27254</v>
      </c>
      <c r="T11077" t="s">
        <v>27255</v>
      </c>
    </row>
    <row r="11078" spans="1:20" x14ac:dyDescent="0.3">
      <c r="A11078" t="str">
        <f>"0611863934050"</f>
        <v>0611863934050</v>
      </c>
      <c r="B11078" t="str">
        <f>"CR4442"</f>
        <v>CR4442</v>
      </c>
      <c r="C11078" t="s">
        <v>48669</v>
      </c>
      <c r="D11078" t="s">
        <v>27286</v>
      </c>
      <c r="E11078" t="str">
        <f t="shared" si="173"/>
        <v>001390</v>
      </c>
      <c r="F11078" t="s">
        <v>27246</v>
      </c>
      <c r="G11078" t="s">
        <v>27247</v>
      </c>
      <c r="H11078" t="s">
        <v>27248</v>
      </c>
      <c r="I11078" t="s">
        <v>48670</v>
      </c>
      <c r="J11078" t="s">
        <v>22168</v>
      </c>
      <c r="L11078" t="s">
        <v>27250</v>
      </c>
      <c r="M11078" t="s">
        <v>27251</v>
      </c>
      <c r="N11078" t="s">
        <v>27252</v>
      </c>
      <c r="Q11078" s="1">
        <v>44846</v>
      </c>
      <c r="R11078" t="s">
        <v>27253</v>
      </c>
      <c r="S11078" t="s">
        <v>27254</v>
      </c>
      <c r="T11078" t="s">
        <v>27265</v>
      </c>
    </row>
    <row r="11079" spans="1:20" x14ac:dyDescent="0.3">
      <c r="A11079" t="str">
        <f>"0611838859100"</f>
        <v>0611838859100</v>
      </c>
      <c r="B11079" t="str">
        <f>"LH7401"</f>
        <v>LH7401</v>
      </c>
      <c r="C11079" t="s">
        <v>48671</v>
      </c>
      <c r="D11079" t="s">
        <v>27245</v>
      </c>
      <c r="E11079" t="str">
        <f t="shared" si="173"/>
        <v>001390</v>
      </c>
      <c r="F11079" t="s">
        <v>27246</v>
      </c>
      <c r="G11079" t="s">
        <v>27247</v>
      </c>
      <c r="H11079" t="s">
        <v>27248</v>
      </c>
      <c r="I11079" t="s">
        <v>48672</v>
      </c>
      <c r="J11079" t="s">
        <v>22170</v>
      </c>
      <c r="L11079" t="s">
        <v>27250</v>
      </c>
      <c r="M11079" t="s">
        <v>27251</v>
      </c>
      <c r="N11079" t="s">
        <v>27252</v>
      </c>
      <c r="Q11079" s="1">
        <v>44538</v>
      </c>
      <c r="R11079" t="s">
        <v>27253</v>
      </c>
      <c r="S11079" t="s">
        <v>27254</v>
      </c>
      <c r="T11079" t="s">
        <v>27255</v>
      </c>
    </row>
    <row r="11080" spans="1:20" x14ac:dyDescent="0.3">
      <c r="A11080" t="str">
        <f>"0611838860025"</f>
        <v>0611838860025</v>
      </c>
      <c r="B11080" t="str">
        <f>"MC0662"</f>
        <v>MC0662</v>
      </c>
      <c r="C11080" t="s">
        <v>48671</v>
      </c>
      <c r="D11080" t="s">
        <v>27267</v>
      </c>
      <c r="E11080" t="str">
        <f t="shared" si="173"/>
        <v>001390</v>
      </c>
      <c r="F11080" t="s">
        <v>27246</v>
      </c>
      <c r="G11080" t="s">
        <v>27247</v>
      </c>
      <c r="H11080" t="s">
        <v>27248</v>
      </c>
      <c r="I11080" t="s">
        <v>48673</v>
      </c>
      <c r="J11080" t="s">
        <v>22172</v>
      </c>
      <c r="L11080" t="s">
        <v>27250</v>
      </c>
      <c r="M11080" t="s">
        <v>27251</v>
      </c>
      <c r="N11080" t="s">
        <v>27252</v>
      </c>
      <c r="Q11080" s="1">
        <v>44538</v>
      </c>
      <c r="R11080" t="s">
        <v>27253</v>
      </c>
      <c r="S11080" t="s">
        <v>27254</v>
      </c>
      <c r="T11080" t="s">
        <v>27269</v>
      </c>
    </row>
    <row r="11081" spans="1:20" x14ac:dyDescent="0.3">
      <c r="A11081" t="str">
        <f>"0611863935050"</f>
        <v>0611863935050</v>
      </c>
      <c r="B11081" t="str">
        <f>"CR5013"</f>
        <v>CR5013</v>
      </c>
      <c r="C11081" t="s">
        <v>48674</v>
      </c>
      <c r="D11081" t="s">
        <v>27263</v>
      </c>
      <c r="E11081" t="str">
        <f t="shared" si="173"/>
        <v>001390</v>
      </c>
      <c r="F11081" t="s">
        <v>27246</v>
      </c>
      <c r="G11081" t="s">
        <v>27247</v>
      </c>
      <c r="H11081" t="s">
        <v>27248</v>
      </c>
      <c r="I11081" t="s">
        <v>48675</v>
      </c>
      <c r="J11081" t="s">
        <v>22174</v>
      </c>
      <c r="L11081" t="s">
        <v>27250</v>
      </c>
      <c r="M11081" t="s">
        <v>27251</v>
      </c>
      <c r="N11081" t="s">
        <v>27252</v>
      </c>
      <c r="Q11081" s="1">
        <v>44846</v>
      </c>
      <c r="R11081" t="s">
        <v>27253</v>
      </c>
      <c r="S11081" t="s">
        <v>27254</v>
      </c>
      <c r="T11081" t="s">
        <v>27265</v>
      </c>
    </row>
    <row r="11082" spans="1:20" x14ac:dyDescent="0.3">
      <c r="A11082" t="str">
        <f>"0611838861100"</f>
        <v>0611838861100</v>
      </c>
      <c r="B11082" t="str">
        <f>"LB8172"</f>
        <v>LB8172</v>
      </c>
      <c r="C11082" t="s">
        <v>48676</v>
      </c>
      <c r="D11082" t="s">
        <v>27245</v>
      </c>
      <c r="E11082" t="str">
        <f t="shared" si="173"/>
        <v>001390</v>
      </c>
      <c r="F11082" t="s">
        <v>27246</v>
      </c>
      <c r="G11082" t="s">
        <v>27247</v>
      </c>
      <c r="H11082" t="s">
        <v>27248</v>
      </c>
      <c r="I11082" t="s">
        <v>48677</v>
      </c>
      <c r="J11082" t="s">
        <v>22176</v>
      </c>
      <c r="L11082" t="s">
        <v>27250</v>
      </c>
      <c r="M11082" t="s">
        <v>27251</v>
      </c>
      <c r="N11082" t="s">
        <v>27252</v>
      </c>
      <c r="Q11082" s="1">
        <v>44538</v>
      </c>
      <c r="R11082" t="s">
        <v>27253</v>
      </c>
      <c r="S11082" t="s">
        <v>27254</v>
      </c>
      <c r="T11082" t="s">
        <v>27255</v>
      </c>
    </row>
    <row r="11083" spans="1:20" x14ac:dyDescent="0.3">
      <c r="A11083" t="str">
        <f>"0611838862100"</f>
        <v>0611838862100</v>
      </c>
      <c r="B11083" t="str">
        <f>"LB8175"</f>
        <v>LB8175</v>
      </c>
      <c r="C11083" t="s">
        <v>48678</v>
      </c>
      <c r="D11083" t="s">
        <v>27245</v>
      </c>
      <c r="E11083" t="str">
        <f t="shared" si="173"/>
        <v>001390</v>
      </c>
      <c r="F11083" t="s">
        <v>27246</v>
      </c>
      <c r="G11083" t="s">
        <v>27247</v>
      </c>
      <c r="H11083" t="s">
        <v>27248</v>
      </c>
      <c r="I11083" t="s">
        <v>48679</v>
      </c>
      <c r="J11083" t="s">
        <v>22178</v>
      </c>
      <c r="L11083" t="s">
        <v>27250</v>
      </c>
      <c r="M11083" t="s">
        <v>27251</v>
      </c>
      <c r="N11083" t="s">
        <v>27252</v>
      </c>
      <c r="Q11083" s="1">
        <v>44538</v>
      </c>
      <c r="R11083" t="s">
        <v>27253</v>
      </c>
      <c r="S11083" t="s">
        <v>27254</v>
      </c>
      <c r="T11083" t="s">
        <v>27255</v>
      </c>
    </row>
    <row r="11084" spans="1:20" x14ac:dyDescent="0.3">
      <c r="A11084" t="str">
        <f>"0611838863025"</f>
        <v>0611838863025</v>
      </c>
      <c r="B11084" t="str">
        <f>"MQ0529"</f>
        <v>MQ0529</v>
      </c>
      <c r="C11084" t="s">
        <v>48680</v>
      </c>
      <c r="D11084" t="s">
        <v>28057</v>
      </c>
      <c r="E11084" t="str">
        <f t="shared" si="173"/>
        <v>001390</v>
      </c>
      <c r="F11084" t="s">
        <v>27246</v>
      </c>
      <c r="G11084" t="s">
        <v>27247</v>
      </c>
      <c r="H11084" t="s">
        <v>27248</v>
      </c>
      <c r="I11084" t="s">
        <v>48681</v>
      </c>
      <c r="J11084" t="s">
        <v>22180</v>
      </c>
      <c r="L11084" t="s">
        <v>27250</v>
      </c>
      <c r="M11084" t="s">
        <v>27251</v>
      </c>
      <c r="N11084" t="s">
        <v>27252</v>
      </c>
      <c r="P11084" t="s">
        <v>27925</v>
      </c>
      <c r="Q11084" s="1">
        <v>44538</v>
      </c>
      <c r="R11084" t="s">
        <v>27253</v>
      </c>
      <c r="S11084" t="s">
        <v>27254</v>
      </c>
      <c r="T11084" t="s">
        <v>27269</v>
      </c>
    </row>
    <row r="11085" spans="1:20" x14ac:dyDescent="0.3">
      <c r="A11085" t="str">
        <f>"0611838864025"</f>
        <v>0611838864025</v>
      </c>
      <c r="B11085" t="str">
        <f>"MQ5144"</f>
        <v>MQ5144</v>
      </c>
      <c r="C11085" t="s">
        <v>48682</v>
      </c>
      <c r="D11085" t="s">
        <v>28057</v>
      </c>
      <c r="E11085" t="str">
        <f t="shared" si="173"/>
        <v>001390</v>
      </c>
      <c r="F11085" t="s">
        <v>27246</v>
      </c>
      <c r="G11085" t="s">
        <v>27247</v>
      </c>
      <c r="H11085" t="s">
        <v>27248</v>
      </c>
      <c r="I11085" t="s">
        <v>48683</v>
      </c>
      <c r="J11085" t="s">
        <v>22182</v>
      </c>
      <c r="L11085" t="s">
        <v>27250</v>
      </c>
      <c r="M11085" t="s">
        <v>27251</v>
      </c>
      <c r="N11085" t="s">
        <v>27252</v>
      </c>
      <c r="P11085" t="s">
        <v>27925</v>
      </c>
      <c r="Q11085" s="1">
        <v>44538</v>
      </c>
      <c r="R11085" t="s">
        <v>27253</v>
      </c>
      <c r="S11085" t="s">
        <v>27254</v>
      </c>
      <c r="T11085" t="s">
        <v>27269</v>
      </c>
    </row>
    <row r="11086" spans="1:20" x14ac:dyDescent="0.3">
      <c r="A11086" t="str">
        <f>"0611838867025"</f>
        <v>0611838867025</v>
      </c>
      <c r="B11086" t="str">
        <f>"MQ0530"</f>
        <v>MQ0530</v>
      </c>
      <c r="C11086" t="s">
        <v>48684</v>
      </c>
      <c r="D11086" t="s">
        <v>28057</v>
      </c>
      <c r="E11086" t="str">
        <f t="shared" si="173"/>
        <v>001390</v>
      </c>
      <c r="F11086" t="s">
        <v>27246</v>
      </c>
      <c r="G11086" t="s">
        <v>27247</v>
      </c>
      <c r="H11086" t="s">
        <v>27248</v>
      </c>
      <c r="I11086" t="s">
        <v>48685</v>
      </c>
      <c r="J11086" t="s">
        <v>22184</v>
      </c>
      <c r="L11086" t="s">
        <v>27250</v>
      </c>
      <c r="M11086" t="s">
        <v>27251</v>
      </c>
      <c r="N11086" t="s">
        <v>27252</v>
      </c>
      <c r="P11086" t="s">
        <v>27925</v>
      </c>
      <c r="Q11086" s="1">
        <v>44538</v>
      </c>
      <c r="R11086" t="s">
        <v>27253</v>
      </c>
      <c r="S11086" t="s">
        <v>27254</v>
      </c>
      <c r="T11086" t="s">
        <v>27269</v>
      </c>
    </row>
    <row r="11087" spans="1:20" x14ac:dyDescent="0.3">
      <c r="A11087" t="str">
        <f>"0611838871100"</f>
        <v>0611838871100</v>
      </c>
      <c r="B11087" t="str">
        <f>"LQ3482"</f>
        <v>LQ3482</v>
      </c>
      <c r="C11087" t="s">
        <v>48686</v>
      </c>
      <c r="D11087" t="s">
        <v>27245</v>
      </c>
      <c r="E11087" t="str">
        <f t="shared" si="173"/>
        <v>001390</v>
      </c>
      <c r="F11087" t="s">
        <v>27246</v>
      </c>
      <c r="G11087" t="s">
        <v>27247</v>
      </c>
      <c r="H11087" t="s">
        <v>27248</v>
      </c>
      <c r="I11087" t="s">
        <v>48687</v>
      </c>
      <c r="J11087" t="s">
        <v>22186</v>
      </c>
      <c r="L11087" t="s">
        <v>27250</v>
      </c>
      <c r="M11087" t="s">
        <v>27251</v>
      </c>
      <c r="N11087" t="s">
        <v>27252</v>
      </c>
      <c r="Q11087" s="1">
        <v>44538</v>
      </c>
      <c r="R11087" t="s">
        <v>27253</v>
      </c>
      <c r="S11087" t="s">
        <v>27254</v>
      </c>
      <c r="T11087" t="s">
        <v>27255</v>
      </c>
    </row>
    <row r="11088" spans="1:20" x14ac:dyDescent="0.3">
      <c r="A11088" t="str">
        <f>"0611838873025"</f>
        <v>0611838873025</v>
      </c>
      <c r="B11088" t="str">
        <f>"MC2558"</f>
        <v>MC2558</v>
      </c>
      <c r="C11088" t="s">
        <v>48688</v>
      </c>
      <c r="D11088" t="s">
        <v>27267</v>
      </c>
      <c r="E11088" t="str">
        <f t="shared" si="173"/>
        <v>001390</v>
      </c>
      <c r="F11088" t="s">
        <v>27246</v>
      </c>
      <c r="G11088" t="s">
        <v>27247</v>
      </c>
      <c r="H11088" t="s">
        <v>27248</v>
      </c>
      <c r="I11088" t="s">
        <v>48689</v>
      </c>
      <c r="J11088" t="s">
        <v>22190</v>
      </c>
      <c r="L11088" t="s">
        <v>27250</v>
      </c>
      <c r="M11088" t="s">
        <v>27251</v>
      </c>
      <c r="N11088" t="s">
        <v>27252</v>
      </c>
      <c r="Q11088" s="1">
        <v>44538</v>
      </c>
      <c r="R11088" t="s">
        <v>27253</v>
      </c>
      <c r="S11088" t="s">
        <v>27254</v>
      </c>
      <c r="T11088" t="s">
        <v>27269</v>
      </c>
    </row>
    <row r="11089" spans="1:20" x14ac:dyDescent="0.3">
      <c r="A11089" t="str">
        <f>"0611863936100"</f>
        <v>0611863936100</v>
      </c>
      <c r="B11089" t="str">
        <f>"CN5360"</f>
        <v>CN5360</v>
      </c>
      <c r="C11089" t="s">
        <v>48688</v>
      </c>
      <c r="D11089" t="s">
        <v>27335</v>
      </c>
      <c r="E11089" t="str">
        <f t="shared" si="173"/>
        <v>001390</v>
      </c>
      <c r="F11089" t="s">
        <v>27246</v>
      </c>
      <c r="G11089" t="s">
        <v>27247</v>
      </c>
      <c r="H11089" t="s">
        <v>27248</v>
      </c>
      <c r="I11089" t="s">
        <v>48690</v>
      </c>
      <c r="J11089" t="s">
        <v>22188</v>
      </c>
      <c r="L11089" t="s">
        <v>27250</v>
      </c>
      <c r="M11089" t="s">
        <v>27251</v>
      </c>
      <c r="N11089" t="s">
        <v>27252</v>
      </c>
      <c r="Q11089" s="1">
        <v>44846</v>
      </c>
      <c r="R11089" t="s">
        <v>27253</v>
      </c>
      <c r="S11089" t="s">
        <v>27254</v>
      </c>
      <c r="T11089" t="s">
        <v>27255</v>
      </c>
    </row>
    <row r="11090" spans="1:20" x14ac:dyDescent="0.3">
      <c r="A11090" t="str">
        <f>"0611863937050"</f>
        <v>0611863937050</v>
      </c>
      <c r="B11090" t="str">
        <f>"CR4445"</f>
        <v>CR4445</v>
      </c>
      <c r="C11090" t="s">
        <v>48691</v>
      </c>
      <c r="D11090" t="s">
        <v>27286</v>
      </c>
      <c r="E11090" t="str">
        <f t="shared" si="173"/>
        <v>001390</v>
      </c>
      <c r="F11090" t="s">
        <v>27246</v>
      </c>
      <c r="G11090" t="s">
        <v>27247</v>
      </c>
      <c r="H11090" t="s">
        <v>27248</v>
      </c>
      <c r="I11090" t="s">
        <v>48692</v>
      </c>
      <c r="J11090" t="s">
        <v>22192</v>
      </c>
      <c r="L11090" t="s">
        <v>27250</v>
      </c>
      <c r="M11090" t="s">
        <v>27251</v>
      </c>
      <c r="N11090" t="s">
        <v>27252</v>
      </c>
      <c r="Q11090" s="1">
        <v>44846</v>
      </c>
      <c r="R11090" t="s">
        <v>27253</v>
      </c>
      <c r="S11090" t="s">
        <v>27254</v>
      </c>
      <c r="T11090" t="s">
        <v>27265</v>
      </c>
    </row>
    <row r="11091" spans="1:20" x14ac:dyDescent="0.3">
      <c r="A11091" t="str">
        <f>"0611838874025"</f>
        <v>0611838874025</v>
      </c>
      <c r="B11091" t="str">
        <f>"MQ0732"</f>
        <v>MQ0732</v>
      </c>
      <c r="C11091" t="s">
        <v>48693</v>
      </c>
      <c r="D11091" t="s">
        <v>27267</v>
      </c>
      <c r="E11091" t="str">
        <f t="shared" si="173"/>
        <v>001390</v>
      </c>
      <c r="F11091" t="s">
        <v>27246</v>
      </c>
      <c r="G11091" t="s">
        <v>27247</v>
      </c>
      <c r="H11091" t="s">
        <v>27248</v>
      </c>
      <c r="I11091" t="s">
        <v>48694</v>
      </c>
      <c r="J11091" t="s">
        <v>22194</v>
      </c>
      <c r="L11091" t="s">
        <v>27250</v>
      </c>
      <c r="M11091" t="s">
        <v>27251</v>
      </c>
      <c r="N11091" t="s">
        <v>27252</v>
      </c>
      <c r="Q11091" s="1">
        <v>44538</v>
      </c>
      <c r="R11091" t="s">
        <v>27253</v>
      </c>
      <c r="S11091" t="s">
        <v>27254</v>
      </c>
      <c r="T11091" t="s">
        <v>27269</v>
      </c>
    </row>
    <row r="11092" spans="1:20" x14ac:dyDescent="0.3">
      <c r="A11092" t="str">
        <f>"0611863938100"</f>
        <v>0611863938100</v>
      </c>
      <c r="B11092" t="str">
        <f>"CN5361"</f>
        <v>CN5361</v>
      </c>
      <c r="C11092" t="s">
        <v>48695</v>
      </c>
      <c r="D11092" t="s">
        <v>27335</v>
      </c>
      <c r="E11092" t="str">
        <f t="shared" si="173"/>
        <v>001390</v>
      </c>
      <c r="F11092" t="s">
        <v>27246</v>
      </c>
      <c r="G11092" t="s">
        <v>27247</v>
      </c>
      <c r="H11092" t="s">
        <v>27248</v>
      </c>
      <c r="I11092" t="s">
        <v>48696</v>
      </c>
      <c r="J11092" t="s">
        <v>22196</v>
      </c>
      <c r="L11092" t="s">
        <v>27250</v>
      </c>
      <c r="M11092" t="s">
        <v>27251</v>
      </c>
      <c r="N11092" t="s">
        <v>27252</v>
      </c>
      <c r="Q11092" s="1">
        <v>44846</v>
      </c>
      <c r="R11092" t="s">
        <v>27253</v>
      </c>
      <c r="S11092" t="s">
        <v>27254</v>
      </c>
      <c r="T11092" t="s">
        <v>27255</v>
      </c>
    </row>
    <row r="11093" spans="1:20" x14ac:dyDescent="0.3">
      <c r="A11093" t="str">
        <f>"0611838875025"</f>
        <v>0611838875025</v>
      </c>
      <c r="B11093" t="str">
        <f>"MC4328"</f>
        <v>MC4328</v>
      </c>
      <c r="C11093" t="s">
        <v>48697</v>
      </c>
      <c r="D11093" t="s">
        <v>27267</v>
      </c>
      <c r="E11093" t="str">
        <f t="shared" si="173"/>
        <v>001390</v>
      </c>
      <c r="F11093" t="s">
        <v>27246</v>
      </c>
      <c r="G11093" t="s">
        <v>27247</v>
      </c>
      <c r="H11093" t="s">
        <v>27248</v>
      </c>
      <c r="I11093" t="s">
        <v>48698</v>
      </c>
      <c r="J11093" t="s">
        <v>22198</v>
      </c>
      <c r="L11093" t="s">
        <v>27250</v>
      </c>
      <c r="M11093" t="s">
        <v>27251</v>
      </c>
      <c r="N11093" t="s">
        <v>27252</v>
      </c>
      <c r="Q11093" s="1">
        <v>44538</v>
      </c>
      <c r="R11093" t="s">
        <v>27253</v>
      </c>
      <c r="S11093" t="s">
        <v>27254</v>
      </c>
      <c r="T11093" t="s">
        <v>27269</v>
      </c>
    </row>
    <row r="11094" spans="1:20" x14ac:dyDescent="0.3">
      <c r="A11094" t="str">
        <f>"0611838876025"</f>
        <v>0611838876025</v>
      </c>
      <c r="B11094" t="str">
        <f>"MC4326"</f>
        <v>MC4326</v>
      </c>
      <c r="C11094" t="s">
        <v>48699</v>
      </c>
      <c r="D11094" t="s">
        <v>27267</v>
      </c>
      <c r="E11094" t="str">
        <f t="shared" si="173"/>
        <v>001390</v>
      </c>
      <c r="F11094" t="s">
        <v>27246</v>
      </c>
      <c r="G11094" t="s">
        <v>27247</v>
      </c>
      <c r="H11094" t="s">
        <v>27248</v>
      </c>
      <c r="I11094" t="s">
        <v>48700</v>
      </c>
      <c r="J11094" t="s">
        <v>22200</v>
      </c>
      <c r="L11094" t="s">
        <v>27250</v>
      </c>
      <c r="M11094" t="s">
        <v>27251</v>
      </c>
      <c r="N11094" t="s">
        <v>27252</v>
      </c>
      <c r="Q11094" s="1">
        <v>44538</v>
      </c>
      <c r="R11094" t="s">
        <v>27253</v>
      </c>
      <c r="S11094" t="s">
        <v>27254</v>
      </c>
      <c r="T11094" t="s">
        <v>27269</v>
      </c>
    </row>
    <row r="11095" spans="1:20" x14ac:dyDescent="0.3">
      <c r="A11095" t="str">
        <f>"0611838877100"</f>
        <v>0611838877100</v>
      </c>
      <c r="B11095" t="str">
        <f>"LQ3863"</f>
        <v>LQ3863</v>
      </c>
      <c r="C11095" t="s">
        <v>48701</v>
      </c>
      <c r="D11095" t="s">
        <v>27245</v>
      </c>
      <c r="E11095" t="str">
        <f t="shared" si="173"/>
        <v>001390</v>
      </c>
      <c r="F11095" t="s">
        <v>27246</v>
      </c>
      <c r="G11095" t="s">
        <v>27247</v>
      </c>
      <c r="H11095" t="s">
        <v>27248</v>
      </c>
      <c r="I11095" t="s">
        <v>48702</v>
      </c>
      <c r="J11095" t="s">
        <v>22202</v>
      </c>
      <c r="L11095" t="s">
        <v>27250</v>
      </c>
      <c r="M11095" t="s">
        <v>27251</v>
      </c>
      <c r="N11095" t="s">
        <v>27252</v>
      </c>
      <c r="Q11095" s="1">
        <v>44538</v>
      </c>
      <c r="R11095" t="s">
        <v>27253</v>
      </c>
      <c r="S11095" t="s">
        <v>27254</v>
      </c>
      <c r="T11095" t="s">
        <v>27255</v>
      </c>
    </row>
    <row r="11096" spans="1:20" x14ac:dyDescent="0.3">
      <c r="A11096" t="str">
        <f>"0611838878100"</f>
        <v>0611838878100</v>
      </c>
      <c r="B11096" t="str">
        <f>"LQ3864"</f>
        <v>LQ3864</v>
      </c>
      <c r="C11096" t="s">
        <v>48703</v>
      </c>
      <c r="D11096" t="s">
        <v>27245</v>
      </c>
      <c r="E11096" t="str">
        <f t="shared" si="173"/>
        <v>001390</v>
      </c>
      <c r="F11096" t="s">
        <v>27246</v>
      </c>
      <c r="G11096" t="s">
        <v>27247</v>
      </c>
      <c r="H11096" t="s">
        <v>27248</v>
      </c>
      <c r="I11096" t="s">
        <v>48704</v>
      </c>
      <c r="J11096" t="s">
        <v>22204</v>
      </c>
      <c r="L11096" t="s">
        <v>27250</v>
      </c>
      <c r="M11096" t="s">
        <v>27251</v>
      </c>
      <c r="N11096" t="s">
        <v>27252</v>
      </c>
      <c r="Q11096" s="1">
        <v>44538</v>
      </c>
      <c r="R11096" t="s">
        <v>27253</v>
      </c>
      <c r="S11096" t="s">
        <v>27254</v>
      </c>
      <c r="T11096" t="s">
        <v>27255</v>
      </c>
    </row>
    <row r="11097" spans="1:20" x14ac:dyDescent="0.3">
      <c r="A11097" t="str">
        <f>"0611838879100"</f>
        <v>0611838879100</v>
      </c>
      <c r="B11097" t="str">
        <f>"LQ3865"</f>
        <v>LQ3865</v>
      </c>
      <c r="C11097" t="s">
        <v>48705</v>
      </c>
      <c r="D11097" t="s">
        <v>27245</v>
      </c>
      <c r="E11097" t="str">
        <f t="shared" si="173"/>
        <v>001390</v>
      </c>
      <c r="F11097" t="s">
        <v>27246</v>
      </c>
      <c r="G11097" t="s">
        <v>27247</v>
      </c>
      <c r="H11097" t="s">
        <v>27248</v>
      </c>
      <c r="I11097" t="s">
        <v>48706</v>
      </c>
      <c r="J11097" t="s">
        <v>22206</v>
      </c>
      <c r="L11097" t="s">
        <v>27250</v>
      </c>
      <c r="M11097" t="s">
        <v>27251</v>
      </c>
      <c r="N11097" t="s">
        <v>27252</v>
      </c>
      <c r="Q11097" s="1">
        <v>44538</v>
      </c>
      <c r="R11097" t="s">
        <v>27253</v>
      </c>
      <c r="S11097" t="s">
        <v>27254</v>
      </c>
      <c r="T11097" t="s">
        <v>27255</v>
      </c>
    </row>
    <row r="11098" spans="1:20" x14ac:dyDescent="0.3">
      <c r="A11098" t="str">
        <f>"0611884437100"</f>
        <v>0611884437100</v>
      </c>
      <c r="B11098" t="str">
        <f>"LQ3927"</f>
        <v>LQ3927</v>
      </c>
      <c r="C11098" t="s">
        <v>48707</v>
      </c>
      <c r="D11098" t="s">
        <v>27245</v>
      </c>
      <c r="E11098" t="str">
        <f t="shared" si="173"/>
        <v>001390</v>
      </c>
      <c r="F11098" t="s">
        <v>27246</v>
      </c>
      <c r="G11098" t="s">
        <v>27247</v>
      </c>
      <c r="H11098" t="s">
        <v>27248</v>
      </c>
      <c r="I11098" t="s">
        <v>48708</v>
      </c>
      <c r="J11098" t="s">
        <v>22208</v>
      </c>
      <c r="L11098" t="s">
        <v>27430</v>
      </c>
      <c r="M11098" t="s">
        <v>27251</v>
      </c>
      <c r="N11098" t="s">
        <v>27252</v>
      </c>
      <c r="Q11098" s="1">
        <v>45250</v>
      </c>
      <c r="R11098" t="s">
        <v>27253</v>
      </c>
      <c r="S11098" t="s">
        <v>27254</v>
      </c>
      <c r="T11098" t="s">
        <v>27255</v>
      </c>
    </row>
    <row r="11099" spans="1:20" x14ac:dyDescent="0.3">
      <c r="A11099" t="str">
        <f>"0611884438100"</f>
        <v>0611884438100</v>
      </c>
      <c r="B11099" t="str">
        <f>"LQ3928"</f>
        <v>LQ3928</v>
      </c>
      <c r="C11099" t="s">
        <v>48709</v>
      </c>
      <c r="D11099" t="s">
        <v>27245</v>
      </c>
      <c r="E11099" t="str">
        <f t="shared" si="173"/>
        <v>001390</v>
      </c>
      <c r="F11099" t="s">
        <v>27246</v>
      </c>
      <c r="G11099" t="s">
        <v>27247</v>
      </c>
      <c r="H11099" t="s">
        <v>27248</v>
      </c>
      <c r="I11099" t="s">
        <v>48710</v>
      </c>
      <c r="J11099" t="s">
        <v>22210</v>
      </c>
      <c r="L11099" t="s">
        <v>27430</v>
      </c>
      <c r="M11099" t="s">
        <v>27251</v>
      </c>
      <c r="N11099" t="s">
        <v>27252</v>
      </c>
      <c r="Q11099" s="1">
        <v>45250</v>
      </c>
      <c r="R11099" t="s">
        <v>27253</v>
      </c>
      <c r="S11099" t="s">
        <v>27254</v>
      </c>
      <c r="T11099" t="s">
        <v>27255</v>
      </c>
    </row>
    <row r="11100" spans="1:20" x14ac:dyDescent="0.3">
      <c r="A11100" t="str">
        <f>"0611884439100"</f>
        <v>0611884439100</v>
      </c>
      <c r="B11100" t="str">
        <f>"LQ3929"</f>
        <v>LQ3929</v>
      </c>
      <c r="C11100" t="s">
        <v>48711</v>
      </c>
      <c r="D11100" t="s">
        <v>27245</v>
      </c>
      <c r="E11100" t="str">
        <f t="shared" si="173"/>
        <v>001390</v>
      </c>
      <c r="F11100" t="s">
        <v>27246</v>
      </c>
      <c r="G11100" t="s">
        <v>27247</v>
      </c>
      <c r="H11100" t="s">
        <v>27248</v>
      </c>
      <c r="I11100" t="s">
        <v>48712</v>
      </c>
      <c r="J11100" t="s">
        <v>22212</v>
      </c>
      <c r="L11100" t="s">
        <v>27430</v>
      </c>
      <c r="M11100" t="s">
        <v>27251</v>
      </c>
      <c r="N11100" t="s">
        <v>27252</v>
      </c>
      <c r="Q11100" s="1">
        <v>45250</v>
      </c>
      <c r="R11100" t="s">
        <v>27253</v>
      </c>
      <c r="S11100" t="s">
        <v>27254</v>
      </c>
      <c r="T11100" t="s">
        <v>27255</v>
      </c>
    </row>
    <row r="11101" spans="1:20" x14ac:dyDescent="0.3">
      <c r="A11101" t="str">
        <f>"0611838880025"</f>
        <v>0611838880025</v>
      </c>
      <c r="B11101" t="str">
        <f>"MQ0733"</f>
        <v>MQ0733</v>
      </c>
      <c r="C11101" t="s">
        <v>48713</v>
      </c>
      <c r="D11101" t="s">
        <v>27267</v>
      </c>
      <c r="E11101" t="str">
        <f t="shared" si="173"/>
        <v>001390</v>
      </c>
      <c r="F11101" t="s">
        <v>27246</v>
      </c>
      <c r="G11101" t="s">
        <v>27247</v>
      </c>
      <c r="H11101" t="s">
        <v>27248</v>
      </c>
      <c r="I11101" t="s">
        <v>48714</v>
      </c>
      <c r="J11101" t="s">
        <v>22214</v>
      </c>
      <c r="L11101" t="s">
        <v>27250</v>
      </c>
      <c r="M11101" t="s">
        <v>27251</v>
      </c>
      <c r="N11101" t="s">
        <v>27252</v>
      </c>
      <c r="Q11101" s="1">
        <v>44538</v>
      </c>
      <c r="R11101" t="s">
        <v>27253</v>
      </c>
      <c r="S11101" t="s">
        <v>27254</v>
      </c>
      <c r="T11101" t="s">
        <v>27269</v>
      </c>
    </row>
    <row r="11102" spans="1:20" x14ac:dyDescent="0.3">
      <c r="A11102" t="str">
        <f>"0611884440100"</f>
        <v>0611884440100</v>
      </c>
      <c r="B11102" t="str">
        <f>"LQ3938"</f>
        <v>LQ3938</v>
      </c>
      <c r="C11102" t="s">
        <v>48715</v>
      </c>
      <c r="D11102" t="s">
        <v>27245</v>
      </c>
      <c r="E11102" t="str">
        <f t="shared" si="173"/>
        <v>001390</v>
      </c>
      <c r="F11102" t="s">
        <v>27246</v>
      </c>
      <c r="G11102" t="s">
        <v>27247</v>
      </c>
      <c r="H11102" t="s">
        <v>27248</v>
      </c>
      <c r="I11102" t="s">
        <v>48716</v>
      </c>
      <c r="J11102" t="s">
        <v>22216</v>
      </c>
      <c r="L11102" t="s">
        <v>27430</v>
      </c>
      <c r="M11102" t="s">
        <v>27251</v>
      </c>
      <c r="N11102" t="s">
        <v>27252</v>
      </c>
      <c r="Q11102" s="1">
        <v>45250</v>
      </c>
      <c r="R11102" t="s">
        <v>27253</v>
      </c>
      <c r="S11102" t="s">
        <v>27254</v>
      </c>
      <c r="T11102" t="s">
        <v>27255</v>
      </c>
    </row>
    <row r="11103" spans="1:20" x14ac:dyDescent="0.3">
      <c r="A11103" t="str">
        <f>"0611838881025"</f>
        <v>0611838881025</v>
      </c>
      <c r="B11103" t="str">
        <f>"MC3430"</f>
        <v>MC3430</v>
      </c>
      <c r="C11103" t="s">
        <v>48717</v>
      </c>
      <c r="D11103" t="s">
        <v>27267</v>
      </c>
      <c r="E11103" t="str">
        <f t="shared" si="173"/>
        <v>001390</v>
      </c>
      <c r="F11103" t="s">
        <v>27246</v>
      </c>
      <c r="G11103" t="s">
        <v>27247</v>
      </c>
      <c r="H11103" t="s">
        <v>27248</v>
      </c>
      <c r="I11103" t="s">
        <v>48718</v>
      </c>
      <c r="J11103" t="s">
        <v>22218</v>
      </c>
      <c r="L11103" t="s">
        <v>27250</v>
      </c>
      <c r="M11103" t="s">
        <v>27251</v>
      </c>
      <c r="N11103" t="s">
        <v>27252</v>
      </c>
      <c r="Q11103" s="1">
        <v>44538</v>
      </c>
      <c r="R11103" t="s">
        <v>27253</v>
      </c>
      <c r="S11103" t="s">
        <v>27254</v>
      </c>
      <c r="T11103" t="s">
        <v>27269</v>
      </c>
    </row>
    <row r="11104" spans="1:20" x14ac:dyDescent="0.3">
      <c r="A11104" t="str">
        <f>"0611838882025"</f>
        <v>0611838882025</v>
      </c>
      <c r="B11104" t="str">
        <f>"MC3431"</f>
        <v>MC3431</v>
      </c>
      <c r="C11104" t="s">
        <v>48719</v>
      </c>
      <c r="D11104" t="s">
        <v>27267</v>
      </c>
      <c r="E11104" t="str">
        <f t="shared" si="173"/>
        <v>001390</v>
      </c>
      <c r="F11104" t="s">
        <v>27246</v>
      </c>
      <c r="G11104" t="s">
        <v>27247</v>
      </c>
      <c r="H11104" t="s">
        <v>27248</v>
      </c>
      <c r="I11104" t="s">
        <v>48720</v>
      </c>
      <c r="J11104" t="s">
        <v>22220</v>
      </c>
      <c r="L11104" t="s">
        <v>27250</v>
      </c>
      <c r="M11104" t="s">
        <v>27251</v>
      </c>
      <c r="N11104" t="s">
        <v>27252</v>
      </c>
      <c r="Q11104" s="1">
        <v>44538</v>
      </c>
      <c r="R11104" t="s">
        <v>27253</v>
      </c>
      <c r="S11104" t="s">
        <v>27254</v>
      </c>
      <c r="T11104" t="s">
        <v>27269</v>
      </c>
    </row>
    <row r="11105" spans="1:20" x14ac:dyDescent="0.3">
      <c r="A11105" t="str">
        <f>"0611838883100"</f>
        <v>0611838883100</v>
      </c>
      <c r="B11105" t="str">
        <f>"LK5343"</f>
        <v>LK5343</v>
      </c>
      <c r="C11105" t="s">
        <v>48721</v>
      </c>
      <c r="D11105" t="s">
        <v>27245</v>
      </c>
      <c r="E11105" t="str">
        <f t="shared" si="173"/>
        <v>001390</v>
      </c>
      <c r="F11105" t="s">
        <v>27246</v>
      </c>
      <c r="G11105" t="s">
        <v>27247</v>
      </c>
      <c r="H11105" t="s">
        <v>27248</v>
      </c>
      <c r="I11105" t="s">
        <v>48722</v>
      </c>
      <c r="J11105" t="s">
        <v>22222</v>
      </c>
      <c r="L11105" t="s">
        <v>27250</v>
      </c>
      <c r="M11105" t="s">
        <v>27251</v>
      </c>
      <c r="N11105" t="s">
        <v>27252</v>
      </c>
      <c r="Q11105" s="1">
        <v>44538</v>
      </c>
      <c r="R11105" t="s">
        <v>27253</v>
      </c>
      <c r="S11105" t="s">
        <v>27254</v>
      </c>
      <c r="T11105" t="s">
        <v>27255</v>
      </c>
    </row>
    <row r="11106" spans="1:20" x14ac:dyDescent="0.3">
      <c r="A11106" t="str">
        <f>"0611838884100"</f>
        <v>0611838884100</v>
      </c>
      <c r="B11106" t="str">
        <f>"LK5347"</f>
        <v>LK5347</v>
      </c>
      <c r="C11106" t="s">
        <v>48723</v>
      </c>
      <c r="D11106" t="s">
        <v>27245</v>
      </c>
      <c r="E11106" t="str">
        <f t="shared" si="173"/>
        <v>001390</v>
      </c>
      <c r="F11106" t="s">
        <v>27246</v>
      </c>
      <c r="G11106" t="s">
        <v>27247</v>
      </c>
      <c r="H11106" t="s">
        <v>27248</v>
      </c>
      <c r="I11106" t="s">
        <v>48724</v>
      </c>
      <c r="J11106" t="s">
        <v>22224</v>
      </c>
      <c r="L11106" t="s">
        <v>27250</v>
      </c>
      <c r="M11106" t="s">
        <v>27251</v>
      </c>
      <c r="N11106" t="s">
        <v>27252</v>
      </c>
      <c r="Q11106" s="1">
        <v>44538</v>
      </c>
      <c r="R11106" t="s">
        <v>27253</v>
      </c>
      <c r="S11106" t="s">
        <v>27254</v>
      </c>
      <c r="T11106" t="s">
        <v>27255</v>
      </c>
    </row>
    <row r="11107" spans="1:20" x14ac:dyDescent="0.3">
      <c r="A11107" t="str">
        <f>"0611838885100"</f>
        <v>0611838885100</v>
      </c>
      <c r="B11107" t="str">
        <f>"LB8192"</f>
        <v>LB8192</v>
      </c>
      <c r="C11107" t="s">
        <v>48725</v>
      </c>
      <c r="D11107" t="s">
        <v>27245</v>
      </c>
      <c r="E11107" t="str">
        <f t="shared" si="173"/>
        <v>001390</v>
      </c>
      <c r="F11107" t="s">
        <v>27246</v>
      </c>
      <c r="G11107" t="s">
        <v>27247</v>
      </c>
      <c r="H11107" t="s">
        <v>27248</v>
      </c>
      <c r="I11107" t="s">
        <v>48726</v>
      </c>
      <c r="J11107" t="s">
        <v>22226</v>
      </c>
      <c r="L11107" t="s">
        <v>27250</v>
      </c>
      <c r="M11107" t="s">
        <v>27251</v>
      </c>
      <c r="N11107" t="s">
        <v>27252</v>
      </c>
      <c r="Q11107" s="1">
        <v>44538</v>
      </c>
      <c r="R11107" t="s">
        <v>27253</v>
      </c>
      <c r="S11107" t="s">
        <v>27254</v>
      </c>
      <c r="T11107" t="s">
        <v>27255</v>
      </c>
    </row>
    <row r="11108" spans="1:20" x14ac:dyDescent="0.3">
      <c r="A11108" t="str">
        <f>"0611838886100"</f>
        <v>0611838886100</v>
      </c>
      <c r="B11108" t="str">
        <f>"LB8205"</f>
        <v>LB8205</v>
      </c>
      <c r="C11108" t="s">
        <v>48727</v>
      </c>
      <c r="D11108" t="s">
        <v>27245</v>
      </c>
      <c r="E11108" t="str">
        <f t="shared" si="173"/>
        <v>001390</v>
      </c>
      <c r="F11108" t="s">
        <v>27246</v>
      </c>
      <c r="G11108" t="s">
        <v>27247</v>
      </c>
      <c r="H11108" t="s">
        <v>27248</v>
      </c>
      <c r="I11108" t="s">
        <v>48728</v>
      </c>
      <c r="J11108" t="s">
        <v>22228</v>
      </c>
      <c r="L11108" t="s">
        <v>27250</v>
      </c>
      <c r="M11108" t="s">
        <v>27251</v>
      </c>
      <c r="N11108" t="s">
        <v>27252</v>
      </c>
      <c r="Q11108" s="1">
        <v>44538</v>
      </c>
      <c r="R11108" t="s">
        <v>27253</v>
      </c>
      <c r="S11108" t="s">
        <v>27254</v>
      </c>
      <c r="T11108" t="s">
        <v>27255</v>
      </c>
    </row>
    <row r="11109" spans="1:20" x14ac:dyDescent="0.3">
      <c r="A11109" t="str">
        <f>"0611838887025"</f>
        <v>0611838887025</v>
      </c>
      <c r="B11109" t="str">
        <f>"MC0663"</f>
        <v>MC0663</v>
      </c>
      <c r="C11109" t="s">
        <v>48729</v>
      </c>
      <c r="D11109" t="s">
        <v>27267</v>
      </c>
      <c r="E11109" t="str">
        <f t="shared" si="173"/>
        <v>001390</v>
      </c>
      <c r="F11109" t="s">
        <v>27246</v>
      </c>
      <c r="G11109" t="s">
        <v>27247</v>
      </c>
      <c r="H11109" t="s">
        <v>27248</v>
      </c>
      <c r="I11109" t="s">
        <v>48730</v>
      </c>
      <c r="J11109" t="s">
        <v>22232</v>
      </c>
      <c r="L11109" t="s">
        <v>27250</v>
      </c>
      <c r="M11109" t="s">
        <v>27251</v>
      </c>
      <c r="N11109" t="s">
        <v>27252</v>
      </c>
      <c r="Q11109" s="1">
        <v>44538</v>
      </c>
      <c r="R11109" t="s">
        <v>27253</v>
      </c>
      <c r="S11109" t="s">
        <v>27254</v>
      </c>
      <c r="T11109" t="s">
        <v>27269</v>
      </c>
    </row>
    <row r="11110" spans="1:20" x14ac:dyDescent="0.3">
      <c r="A11110" t="str">
        <f>"0611863939100"</f>
        <v>0611863939100</v>
      </c>
      <c r="B11110" t="str">
        <f>"CN5362"</f>
        <v>CN5362</v>
      </c>
      <c r="C11110" t="s">
        <v>48729</v>
      </c>
      <c r="D11110" t="s">
        <v>27335</v>
      </c>
      <c r="E11110" t="str">
        <f t="shared" si="173"/>
        <v>001390</v>
      </c>
      <c r="F11110" t="s">
        <v>27246</v>
      </c>
      <c r="G11110" t="s">
        <v>27247</v>
      </c>
      <c r="H11110" t="s">
        <v>27248</v>
      </c>
      <c r="I11110" t="s">
        <v>48731</v>
      </c>
      <c r="J11110" t="s">
        <v>22230</v>
      </c>
      <c r="L11110" t="s">
        <v>27250</v>
      </c>
      <c r="M11110" t="s">
        <v>27251</v>
      </c>
      <c r="N11110" t="s">
        <v>27252</v>
      </c>
      <c r="Q11110" s="1">
        <v>44846</v>
      </c>
      <c r="R11110" t="s">
        <v>27253</v>
      </c>
      <c r="S11110" t="s">
        <v>27254</v>
      </c>
      <c r="T11110" t="s">
        <v>27255</v>
      </c>
    </row>
    <row r="11111" spans="1:20" x14ac:dyDescent="0.3">
      <c r="A11111" t="str">
        <f>"0611863940100"</f>
        <v>0611863940100</v>
      </c>
      <c r="B11111" t="str">
        <f>"CN5352"</f>
        <v>CN5352</v>
      </c>
      <c r="C11111" t="s">
        <v>48732</v>
      </c>
      <c r="D11111" t="s">
        <v>27335</v>
      </c>
      <c r="E11111" t="str">
        <f t="shared" si="173"/>
        <v>001390</v>
      </c>
      <c r="F11111" t="s">
        <v>27246</v>
      </c>
      <c r="G11111" t="s">
        <v>27247</v>
      </c>
      <c r="H11111" t="s">
        <v>27248</v>
      </c>
      <c r="I11111" t="s">
        <v>48733</v>
      </c>
      <c r="J11111" t="s">
        <v>22234</v>
      </c>
      <c r="L11111" t="s">
        <v>27250</v>
      </c>
      <c r="M11111" t="s">
        <v>27251</v>
      </c>
      <c r="N11111" t="s">
        <v>27252</v>
      </c>
      <c r="Q11111" s="1">
        <v>44846</v>
      </c>
      <c r="R11111" t="s">
        <v>27253</v>
      </c>
      <c r="S11111" t="s">
        <v>27254</v>
      </c>
      <c r="T11111" t="s">
        <v>27255</v>
      </c>
    </row>
    <row r="11112" spans="1:20" x14ac:dyDescent="0.3">
      <c r="A11112" t="str">
        <f>"0611838888025"</f>
        <v>0611838888025</v>
      </c>
      <c r="B11112" t="str">
        <f>"MQ0351"</f>
        <v>MQ0351</v>
      </c>
      <c r="C11112" t="s">
        <v>48734</v>
      </c>
      <c r="D11112" t="s">
        <v>27267</v>
      </c>
      <c r="E11112" t="str">
        <f t="shared" si="173"/>
        <v>001390</v>
      </c>
      <c r="F11112" t="s">
        <v>27246</v>
      </c>
      <c r="G11112" t="s">
        <v>27247</v>
      </c>
      <c r="H11112" t="s">
        <v>27248</v>
      </c>
      <c r="I11112" t="s">
        <v>48735</v>
      </c>
      <c r="J11112" t="s">
        <v>22236</v>
      </c>
      <c r="L11112" t="s">
        <v>27250</v>
      </c>
      <c r="M11112" t="s">
        <v>27251</v>
      </c>
      <c r="N11112" t="s">
        <v>27252</v>
      </c>
      <c r="Q11112" s="1">
        <v>44538</v>
      </c>
      <c r="R11112" t="s">
        <v>27253</v>
      </c>
      <c r="S11112" t="s">
        <v>27254</v>
      </c>
      <c r="T11112" t="s">
        <v>27269</v>
      </c>
    </row>
    <row r="11113" spans="1:20" x14ac:dyDescent="0.3">
      <c r="A11113" t="str">
        <f>"0611838889100"</f>
        <v>0611838889100</v>
      </c>
      <c r="B11113" t="str">
        <f>"LK2501"</f>
        <v>LK2501</v>
      </c>
      <c r="C11113" t="s">
        <v>48736</v>
      </c>
      <c r="D11113" t="s">
        <v>27245</v>
      </c>
      <c r="E11113" t="str">
        <f t="shared" si="173"/>
        <v>001390</v>
      </c>
      <c r="F11113" t="s">
        <v>27246</v>
      </c>
      <c r="G11113" t="s">
        <v>27247</v>
      </c>
      <c r="H11113" t="s">
        <v>27248</v>
      </c>
      <c r="I11113" t="s">
        <v>48737</v>
      </c>
      <c r="J11113" t="s">
        <v>22238</v>
      </c>
      <c r="L11113" t="s">
        <v>27250</v>
      </c>
      <c r="M11113" t="s">
        <v>27251</v>
      </c>
      <c r="N11113" t="s">
        <v>27252</v>
      </c>
      <c r="Q11113" s="1">
        <v>44538</v>
      </c>
      <c r="R11113" t="s">
        <v>27253</v>
      </c>
      <c r="S11113" t="s">
        <v>27254</v>
      </c>
      <c r="T11113" t="s">
        <v>27255</v>
      </c>
    </row>
    <row r="11114" spans="1:20" x14ac:dyDescent="0.3">
      <c r="A11114" t="str">
        <f>"0611838890100"</f>
        <v>0611838890100</v>
      </c>
      <c r="B11114" t="str">
        <f>"LK4896"</f>
        <v>LK4896</v>
      </c>
      <c r="C11114" t="s">
        <v>48738</v>
      </c>
      <c r="D11114" t="s">
        <v>27245</v>
      </c>
      <c r="E11114" t="str">
        <f t="shared" si="173"/>
        <v>001390</v>
      </c>
      <c r="F11114" t="s">
        <v>27246</v>
      </c>
      <c r="G11114" t="s">
        <v>27247</v>
      </c>
      <c r="H11114" t="s">
        <v>27248</v>
      </c>
      <c r="I11114" t="s">
        <v>48739</v>
      </c>
      <c r="J11114" t="s">
        <v>22240</v>
      </c>
      <c r="L11114" t="s">
        <v>27250</v>
      </c>
      <c r="M11114" t="s">
        <v>27251</v>
      </c>
      <c r="N11114" t="s">
        <v>27252</v>
      </c>
      <c r="Q11114" s="1">
        <v>44538</v>
      </c>
      <c r="R11114" t="s">
        <v>27253</v>
      </c>
      <c r="S11114" t="s">
        <v>27254</v>
      </c>
      <c r="T11114" t="s">
        <v>27255</v>
      </c>
    </row>
    <row r="11115" spans="1:20" x14ac:dyDescent="0.3">
      <c r="A11115" t="str">
        <f>"0611838891100"</f>
        <v>0611838891100</v>
      </c>
      <c r="B11115" t="str">
        <f>"LK3507"</f>
        <v>LK3507</v>
      </c>
      <c r="C11115" t="s">
        <v>48740</v>
      </c>
      <c r="D11115" t="s">
        <v>27245</v>
      </c>
      <c r="E11115" t="str">
        <f t="shared" si="173"/>
        <v>001390</v>
      </c>
      <c r="F11115" t="s">
        <v>27246</v>
      </c>
      <c r="G11115" t="s">
        <v>27247</v>
      </c>
      <c r="H11115" t="s">
        <v>27248</v>
      </c>
      <c r="I11115" t="s">
        <v>48741</v>
      </c>
      <c r="J11115" t="s">
        <v>22242</v>
      </c>
      <c r="L11115" t="s">
        <v>27250</v>
      </c>
      <c r="M11115" t="s">
        <v>27251</v>
      </c>
      <c r="N11115" t="s">
        <v>27252</v>
      </c>
      <c r="Q11115" s="1">
        <v>44538</v>
      </c>
      <c r="R11115" t="s">
        <v>27253</v>
      </c>
      <c r="S11115" t="s">
        <v>27254</v>
      </c>
      <c r="T11115" t="s">
        <v>27255</v>
      </c>
    </row>
    <row r="11116" spans="1:20" x14ac:dyDescent="0.3">
      <c r="A11116" t="str">
        <f>"0611838893100"</f>
        <v>0611838893100</v>
      </c>
      <c r="B11116" t="str">
        <f>"LK5350"</f>
        <v>LK5350</v>
      </c>
      <c r="C11116" t="s">
        <v>48742</v>
      </c>
      <c r="D11116" t="s">
        <v>27245</v>
      </c>
      <c r="E11116" t="str">
        <f t="shared" si="173"/>
        <v>001390</v>
      </c>
      <c r="F11116" t="s">
        <v>27246</v>
      </c>
      <c r="G11116" t="s">
        <v>27247</v>
      </c>
      <c r="H11116" t="s">
        <v>27248</v>
      </c>
      <c r="I11116" t="s">
        <v>48743</v>
      </c>
      <c r="J11116" t="s">
        <v>22244</v>
      </c>
      <c r="L11116" t="s">
        <v>27250</v>
      </c>
      <c r="M11116" t="s">
        <v>27251</v>
      </c>
      <c r="N11116" t="s">
        <v>27252</v>
      </c>
      <c r="Q11116" s="1">
        <v>44538</v>
      </c>
      <c r="R11116" t="s">
        <v>27253</v>
      </c>
      <c r="S11116" t="s">
        <v>27254</v>
      </c>
      <c r="T11116" t="s">
        <v>27255</v>
      </c>
    </row>
    <row r="11117" spans="1:20" x14ac:dyDescent="0.3">
      <c r="A11117" t="str">
        <f>"0611838894100"</f>
        <v>0611838894100</v>
      </c>
      <c r="B11117" t="str">
        <f>"LQ3727"</f>
        <v>LQ3727</v>
      </c>
      <c r="C11117" t="s">
        <v>48744</v>
      </c>
      <c r="D11117" t="s">
        <v>27245</v>
      </c>
      <c r="E11117" t="str">
        <f t="shared" si="173"/>
        <v>001390</v>
      </c>
      <c r="F11117" t="s">
        <v>27246</v>
      </c>
      <c r="G11117" t="s">
        <v>27247</v>
      </c>
      <c r="H11117" t="s">
        <v>27248</v>
      </c>
      <c r="I11117" t="s">
        <v>48745</v>
      </c>
      <c r="J11117" t="s">
        <v>22246</v>
      </c>
      <c r="L11117" t="s">
        <v>27250</v>
      </c>
      <c r="M11117" t="s">
        <v>27251</v>
      </c>
      <c r="N11117" t="s">
        <v>27252</v>
      </c>
      <c r="Q11117" s="1">
        <v>44538</v>
      </c>
      <c r="R11117" t="s">
        <v>27253</v>
      </c>
      <c r="S11117" t="s">
        <v>27254</v>
      </c>
      <c r="T11117" t="s">
        <v>27255</v>
      </c>
    </row>
    <row r="11118" spans="1:20" x14ac:dyDescent="0.3">
      <c r="A11118" t="str">
        <f>"0611838896100"</f>
        <v>0611838896100</v>
      </c>
      <c r="B11118" t="str">
        <f>"LB8277"</f>
        <v>LB8277</v>
      </c>
      <c r="C11118" t="s">
        <v>48746</v>
      </c>
      <c r="D11118" t="s">
        <v>27245</v>
      </c>
      <c r="E11118" t="str">
        <f t="shared" si="173"/>
        <v>001390</v>
      </c>
      <c r="F11118" t="s">
        <v>27246</v>
      </c>
      <c r="G11118" t="s">
        <v>27247</v>
      </c>
      <c r="H11118" t="s">
        <v>27248</v>
      </c>
      <c r="I11118" t="s">
        <v>48747</v>
      </c>
      <c r="J11118" t="s">
        <v>22248</v>
      </c>
      <c r="L11118" t="s">
        <v>27250</v>
      </c>
      <c r="M11118" t="s">
        <v>27251</v>
      </c>
      <c r="N11118" t="s">
        <v>27252</v>
      </c>
      <c r="Q11118" s="1">
        <v>44538</v>
      </c>
      <c r="R11118" t="s">
        <v>27253</v>
      </c>
      <c r="S11118" t="s">
        <v>27254</v>
      </c>
      <c r="T11118" t="s">
        <v>27255</v>
      </c>
    </row>
    <row r="11119" spans="1:20" x14ac:dyDescent="0.3">
      <c r="A11119" t="str">
        <f>"0611884441100"</f>
        <v>0611884441100</v>
      </c>
      <c r="B11119" t="str">
        <f>"LK7177"</f>
        <v>LK7177</v>
      </c>
      <c r="C11119" t="s">
        <v>48748</v>
      </c>
      <c r="D11119" t="s">
        <v>27245</v>
      </c>
      <c r="E11119" t="str">
        <f t="shared" si="173"/>
        <v>001390</v>
      </c>
      <c r="F11119" t="s">
        <v>27246</v>
      </c>
      <c r="G11119" t="s">
        <v>27247</v>
      </c>
      <c r="H11119" t="s">
        <v>27248</v>
      </c>
      <c r="I11119" t="s">
        <v>48749</v>
      </c>
      <c r="J11119" t="s">
        <v>22250</v>
      </c>
      <c r="L11119" t="s">
        <v>27430</v>
      </c>
      <c r="M11119" t="s">
        <v>27251</v>
      </c>
      <c r="N11119" t="s">
        <v>27252</v>
      </c>
      <c r="Q11119" s="1">
        <v>45250</v>
      </c>
      <c r="R11119" t="s">
        <v>27253</v>
      </c>
      <c r="S11119" t="s">
        <v>27254</v>
      </c>
      <c r="T11119" t="s">
        <v>27255</v>
      </c>
    </row>
    <row r="11120" spans="1:20" x14ac:dyDescent="0.3">
      <c r="A11120" t="str">
        <f>"0611838897025"</f>
        <v>0611838897025</v>
      </c>
      <c r="B11120" t="str">
        <f>"MC4232"</f>
        <v>MC4232</v>
      </c>
      <c r="C11120" t="s">
        <v>48750</v>
      </c>
      <c r="D11120" t="s">
        <v>27267</v>
      </c>
      <c r="E11120" t="str">
        <f t="shared" si="173"/>
        <v>001390</v>
      </c>
      <c r="F11120" t="s">
        <v>27246</v>
      </c>
      <c r="G11120" t="s">
        <v>27247</v>
      </c>
      <c r="H11120" t="s">
        <v>27248</v>
      </c>
      <c r="I11120" t="s">
        <v>48751</v>
      </c>
      <c r="J11120" t="s">
        <v>22252</v>
      </c>
      <c r="L11120" t="s">
        <v>27250</v>
      </c>
      <c r="M11120" t="s">
        <v>27251</v>
      </c>
      <c r="N11120" t="s">
        <v>27252</v>
      </c>
      <c r="Q11120" s="1">
        <v>44538</v>
      </c>
      <c r="R11120" t="s">
        <v>27253</v>
      </c>
      <c r="S11120" t="s">
        <v>27254</v>
      </c>
      <c r="T11120" t="s">
        <v>27269</v>
      </c>
    </row>
    <row r="11121" spans="1:20" x14ac:dyDescent="0.3">
      <c r="A11121" t="str">
        <f>"0611863941050"</f>
        <v>0611863941050</v>
      </c>
      <c r="B11121" t="str">
        <f>"CR4452"</f>
        <v>CR4452</v>
      </c>
      <c r="C11121" t="s">
        <v>48752</v>
      </c>
      <c r="D11121" t="s">
        <v>27263</v>
      </c>
      <c r="E11121" t="str">
        <f t="shared" si="173"/>
        <v>001390</v>
      </c>
      <c r="F11121" t="s">
        <v>27246</v>
      </c>
      <c r="G11121" t="s">
        <v>27247</v>
      </c>
      <c r="H11121" t="s">
        <v>27248</v>
      </c>
      <c r="I11121" t="s">
        <v>48753</v>
      </c>
      <c r="J11121" t="s">
        <v>22254</v>
      </c>
      <c r="L11121" t="s">
        <v>27250</v>
      </c>
      <c r="M11121" t="s">
        <v>27251</v>
      </c>
      <c r="N11121" t="s">
        <v>27252</v>
      </c>
      <c r="Q11121" s="1">
        <v>44846</v>
      </c>
      <c r="R11121" t="s">
        <v>27253</v>
      </c>
      <c r="S11121" t="s">
        <v>27254</v>
      </c>
      <c r="T11121" t="s">
        <v>27265</v>
      </c>
    </row>
    <row r="11122" spans="1:20" x14ac:dyDescent="0.3">
      <c r="A11122" t="str">
        <f>"0611838898100"</f>
        <v>0611838898100</v>
      </c>
      <c r="B11122" t="str">
        <f>"LC9160"</f>
        <v>LC9160</v>
      </c>
      <c r="C11122" t="s">
        <v>48754</v>
      </c>
      <c r="D11122" t="s">
        <v>27245</v>
      </c>
      <c r="E11122" t="str">
        <f t="shared" si="173"/>
        <v>001390</v>
      </c>
      <c r="F11122" t="s">
        <v>27246</v>
      </c>
      <c r="G11122" t="s">
        <v>27247</v>
      </c>
      <c r="H11122" t="s">
        <v>27248</v>
      </c>
      <c r="I11122" t="s">
        <v>48755</v>
      </c>
      <c r="J11122" t="s">
        <v>22256</v>
      </c>
      <c r="L11122" t="s">
        <v>27250</v>
      </c>
      <c r="M11122" t="s">
        <v>27251</v>
      </c>
      <c r="N11122" t="s">
        <v>27252</v>
      </c>
      <c r="Q11122" s="1">
        <v>44538</v>
      </c>
      <c r="R11122" t="s">
        <v>27253</v>
      </c>
      <c r="S11122" t="s">
        <v>27254</v>
      </c>
      <c r="T11122" t="s">
        <v>27255</v>
      </c>
    </row>
    <row r="11123" spans="1:20" x14ac:dyDescent="0.3">
      <c r="A11123" t="str">
        <f>"0611838899100"</f>
        <v>0611838899100</v>
      </c>
      <c r="B11123" t="str">
        <f>"LC9159"</f>
        <v>LC9159</v>
      </c>
      <c r="C11123" t="s">
        <v>48756</v>
      </c>
      <c r="D11123" t="s">
        <v>27245</v>
      </c>
      <c r="E11123" t="str">
        <f t="shared" si="173"/>
        <v>001390</v>
      </c>
      <c r="F11123" t="s">
        <v>27246</v>
      </c>
      <c r="G11123" t="s">
        <v>27247</v>
      </c>
      <c r="H11123" t="s">
        <v>27248</v>
      </c>
      <c r="I11123" t="s">
        <v>48757</v>
      </c>
      <c r="J11123" t="s">
        <v>22258</v>
      </c>
      <c r="L11123" t="s">
        <v>27250</v>
      </c>
      <c r="M11123" t="s">
        <v>27251</v>
      </c>
      <c r="N11123" t="s">
        <v>27252</v>
      </c>
      <c r="Q11123" s="1">
        <v>44538</v>
      </c>
      <c r="R11123" t="s">
        <v>27253</v>
      </c>
      <c r="S11123" t="s">
        <v>27254</v>
      </c>
      <c r="T11123" t="s">
        <v>27255</v>
      </c>
    </row>
    <row r="11124" spans="1:20" x14ac:dyDescent="0.3">
      <c r="A11124" t="str">
        <f>"0611838900100"</f>
        <v>0611838900100</v>
      </c>
      <c r="B11124" t="str">
        <f>"LC9150"</f>
        <v>LC9150</v>
      </c>
      <c r="C11124" t="s">
        <v>48758</v>
      </c>
      <c r="D11124" t="s">
        <v>27245</v>
      </c>
      <c r="E11124" t="str">
        <f t="shared" si="173"/>
        <v>001390</v>
      </c>
      <c r="F11124" t="s">
        <v>27246</v>
      </c>
      <c r="G11124" t="s">
        <v>27247</v>
      </c>
      <c r="H11124" t="s">
        <v>27248</v>
      </c>
      <c r="I11124" t="s">
        <v>48759</v>
      </c>
      <c r="J11124" t="s">
        <v>22260</v>
      </c>
      <c r="L11124" t="s">
        <v>27250</v>
      </c>
      <c r="M11124" t="s">
        <v>27251</v>
      </c>
      <c r="N11124" t="s">
        <v>27252</v>
      </c>
      <c r="Q11124" s="1">
        <v>44538</v>
      </c>
      <c r="R11124" t="s">
        <v>27253</v>
      </c>
      <c r="S11124" t="s">
        <v>27254</v>
      </c>
      <c r="T11124" t="s">
        <v>27255</v>
      </c>
    </row>
    <row r="11125" spans="1:20" x14ac:dyDescent="0.3">
      <c r="A11125" t="str">
        <f>"0611838901200"</f>
        <v>0611838901200</v>
      </c>
      <c r="B11125" t="str">
        <f>"KP9150"</f>
        <v>KP9150</v>
      </c>
      <c r="C11125" t="s">
        <v>48758</v>
      </c>
      <c r="D11125" t="s">
        <v>27682</v>
      </c>
      <c r="E11125" t="str">
        <f t="shared" si="173"/>
        <v>001390</v>
      </c>
      <c r="F11125" t="s">
        <v>27246</v>
      </c>
      <c r="G11125" t="s">
        <v>27247</v>
      </c>
      <c r="H11125" t="s">
        <v>27248</v>
      </c>
      <c r="I11125" t="s">
        <v>48760</v>
      </c>
      <c r="J11125" t="s">
        <v>22262</v>
      </c>
      <c r="L11125" t="s">
        <v>27250</v>
      </c>
      <c r="M11125" t="s">
        <v>27251</v>
      </c>
      <c r="N11125" t="s">
        <v>27252</v>
      </c>
      <c r="Q11125" s="1">
        <v>44538</v>
      </c>
      <c r="R11125" t="s">
        <v>27253</v>
      </c>
      <c r="S11125" t="s">
        <v>27254</v>
      </c>
      <c r="T11125" t="s">
        <v>27684</v>
      </c>
    </row>
    <row r="11126" spans="1:20" x14ac:dyDescent="0.3">
      <c r="A11126" t="str">
        <f>"0611838902025"</f>
        <v>0611838902025</v>
      </c>
      <c r="B11126" t="str">
        <f>"MC1355"</f>
        <v>MC1355</v>
      </c>
      <c r="C11126" t="s">
        <v>48758</v>
      </c>
      <c r="D11126" t="s">
        <v>27267</v>
      </c>
      <c r="E11126" t="str">
        <f t="shared" si="173"/>
        <v>001390</v>
      </c>
      <c r="F11126" t="s">
        <v>27246</v>
      </c>
      <c r="G11126" t="s">
        <v>27247</v>
      </c>
      <c r="H11126" t="s">
        <v>27248</v>
      </c>
      <c r="I11126" t="s">
        <v>48761</v>
      </c>
      <c r="J11126" t="s">
        <v>22264</v>
      </c>
      <c r="L11126" t="s">
        <v>27250</v>
      </c>
      <c r="M11126" t="s">
        <v>27251</v>
      </c>
      <c r="N11126" t="s">
        <v>27252</v>
      </c>
      <c r="Q11126" s="1">
        <v>44538</v>
      </c>
      <c r="R11126" t="s">
        <v>27253</v>
      </c>
      <c r="S11126" t="s">
        <v>27254</v>
      </c>
      <c r="T11126" t="s">
        <v>27269</v>
      </c>
    </row>
    <row r="11127" spans="1:20" x14ac:dyDescent="0.3">
      <c r="A11127" t="str">
        <f>"0611838903025"</f>
        <v>0611838903025</v>
      </c>
      <c r="B11127" t="str">
        <f>"MC3800"</f>
        <v>MC3800</v>
      </c>
      <c r="C11127" t="s">
        <v>48762</v>
      </c>
      <c r="D11127" t="s">
        <v>27267</v>
      </c>
      <c r="E11127" t="str">
        <f t="shared" si="173"/>
        <v>001390</v>
      </c>
      <c r="F11127" t="s">
        <v>27246</v>
      </c>
      <c r="G11127" t="s">
        <v>27247</v>
      </c>
      <c r="H11127" t="s">
        <v>27248</v>
      </c>
      <c r="I11127" t="s">
        <v>48763</v>
      </c>
      <c r="J11127" t="s">
        <v>22266</v>
      </c>
      <c r="L11127" t="s">
        <v>27250</v>
      </c>
      <c r="M11127" t="s">
        <v>27251</v>
      </c>
      <c r="N11127" t="s">
        <v>27252</v>
      </c>
      <c r="Q11127" s="1">
        <v>44538</v>
      </c>
      <c r="R11127" t="s">
        <v>27253</v>
      </c>
      <c r="S11127" t="s">
        <v>27254</v>
      </c>
      <c r="T11127" t="s">
        <v>27269</v>
      </c>
    </row>
    <row r="11128" spans="1:20" x14ac:dyDescent="0.3">
      <c r="A11128" t="str">
        <f>"0611838904025"</f>
        <v>0611838904025</v>
      </c>
      <c r="B11128" t="str">
        <f>"MC3801"</f>
        <v>MC3801</v>
      </c>
      <c r="C11128" t="s">
        <v>48764</v>
      </c>
      <c r="D11128" t="s">
        <v>27267</v>
      </c>
      <c r="E11128" t="str">
        <f t="shared" si="173"/>
        <v>001390</v>
      </c>
      <c r="F11128" t="s">
        <v>27246</v>
      </c>
      <c r="G11128" t="s">
        <v>27247</v>
      </c>
      <c r="H11128" t="s">
        <v>27248</v>
      </c>
      <c r="I11128" t="s">
        <v>48765</v>
      </c>
      <c r="J11128" t="s">
        <v>22268</v>
      </c>
      <c r="L11128" t="s">
        <v>27250</v>
      </c>
      <c r="M11128" t="s">
        <v>27251</v>
      </c>
      <c r="N11128" t="s">
        <v>27252</v>
      </c>
      <c r="Q11128" s="1">
        <v>44538</v>
      </c>
      <c r="R11128" t="s">
        <v>27253</v>
      </c>
      <c r="S11128" t="s">
        <v>27254</v>
      </c>
      <c r="T11128" t="s">
        <v>27269</v>
      </c>
    </row>
    <row r="11129" spans="1:20" x14ac:dyDescent="0.3">
      <c r="A11129" t="str">
        <f>"0611838905100"</f>
        <v>0611838905100</v>
      </c>
      <c r="B11129" t="str">
        <f>"LQ3775"</f>
        <v>LQ3775</v>
      </c>
      <c r="C11129" t="s">
        <v>48766</v>
      </c>
      <c r="D11129" t="s">
        <v>27245</v>
      </c>
      <c r="E11129" t="str">
        <f t="shared" si="173"/>
        <v>001390</v>
      </c>
      <c r="F11129" t="s">
        <v>27246</v>
      </c>
      <c r="G11129" t="s">
        <v>27247</v>
      </c>
      <c r="H11129" t="s">
        <v>27248</v>
      </c>
      <c r="I11129" t="s">
        <v>48767</v>
      </c>
      <c r="J11129" t="s">
        <v>22270</v>
      </c>
      <c r="L11129" t="s">
        <v>27250</v>
      </c>
      <c r="M11129" t="s">
        <v>27251</v>
      </c>
      <c r="N11129" t="s">
        <v>27252</v>
      </c>
      <c r="Q11129" s="1">
        <v>44538</v>
      </c>
      <c r="R11129" t="s">
        <v>27253</v>
      </c>
      <c r="S11129" t="s">
        <v>27254</v>
      </c>
      <c r="T11129" t="s">
        <v>27255</v>
      </c>
    </row>
    <row r="11130" spans="1:20" x14ac:dyDescent="0.3">
      <c r="A11130" t="str">
        <f>"0611838906025"</f>
        <v>0611838906025</v>
      </c>
      <c r="B11130" t="str">
        <f>"MC4329"</f>
        <v>MC4329</v>
      </c>
      <c r="C11130" t="s">
        <v>48766</v>
      </c>
      <c r="D11130" t="s">
        <v>27267</v>
      </c>
      <c r="E11130" t="str">
        <f t="shared" si="173"/>
        <v>001390</v>
      </c>
      <c r="F11130" t="s">
        <v>27246</v>
      </c>
      <c r="G11130" t="s">
        <v>27247</v>
      </c>
      <c r="H11130" t="s">
        <v>27248</v>
      </c>
      <c r="I11130" t="s">
        <v>48768</v>
      </c>
      <c r="J11130" t="s">
        <v>22272</v>
      </c>
      <c r="L11130" t="s">
        <v>27250</v>
      </c>
      <c r="M11130" t="s">
        <v>27251</v>
      </c>
      <c r="N11130" t="s">
        <v>27252</v>
      </c>
      <c r="Q11130" s="1">
        <v>44538</v>
      </c>
      <c r="R11130" t="s">
        <v>27253</v>
      </c>
      <c r="S11130" t="s">
        <v>27254</v>
      </c>
      <c r="T11130" t="s">
        <v>27269</v>
      </c>
    </row>
    <row r="11131" spans="1:20" x14ac:dyDescent="0.3">
      <c r="A11131" t="str">
        <f>"0611838907100"</f>
        <v>0611838907100</v>
      </c>
      <c r="B11131" t="str">
        <f>"LC3402"</f>
        <v>LC3402</v>
      </c>
      <c r="C11131" t="s">
        <v>48769</v>
      </c>
      <c r="D11131" t="s">
        <v>27245</v>
      </c>
      <c r="E11131" t="str">
        <f t="shared" si="173"/>
        <v>001390</v>
      </c>
      <c r="F11131" t="s">
        <v>27246</v>
      </c>
      <c r="G11131" t="s">
        <v>27247</v>
      </c>
      <c r="H11131" t="s">
        <v>27248</v>
      </c>
      <c r="I11131" t="s">
        <v>48770</v>
      </c>
      <c r="J11131" t="s">
        <v>22274</v>
      </c>
      <c r="L11131" t="s">
        <v>27250</v>
      </c>
      <c r="M11131" t="s">
        <v>27251</v>
      </c>
      <c r="N11131" t="s">
        <v>27252</v>
      </c>
      <c r="Q11131" s="1">
        <v>44538</v>
      </c>
      <c r="R11131" t="s">
        <v>27253</v>
      </c>
      <c r="S11131" t="s">
        <v>27254</v>
      </c>
      <c r="T11131" t="s">
        <v>27255</v>
      </c>
    </row>
    <row r="11132" spans="1:20" x14ac:dyDescent="0.3">
      <c r="A11132" t="str">
        <f>"0611884442100"</f>
        <v>0611884442100</v>
      </c>
      <c r="B11132" t="str">
        <f>"LK6342"</f>
        <v>LK6342</v>
      </c>
      <c r="C11132" t="s">
        <v>48771</v>
      </c>
      <c r="D11132" t="s">
        <v>27245</v>
      </c>
      <c r="E11132" t="str">
        <f t="shared" si="173"/>
        <v>001390</v>
      </c>
      <c r="F11132" t="s">
        <v>27246</v>
      </c>
      <c r="G11132" t="s">
        <v>27247</v>
      </c>
      <c r="H11132" t="s">
        <v>27248</v>
      </c>
      <c r="I11132" t="s">
        <v>48772</v>
      </c>
      <c r="J11132" t="s">
        <v>22276</v>
      </c>
      <c r="L11132" t="s">
        <v>27430</v>
      </c>
      <c r="M11132" t="s">
        <v>27251</v>
      </c>
      <c r="N11132" t="s">
        <v>27252</v>
      </c>
      <c r="Q11132" s="1">
        <v>45250</v>
      </c>
      <c r="R11132" t="s">
        <v>27253</v>
      </c>
      <c r="S11132" t="s">
        <v>27254</v>
      </c>
      <c r="T11132" t="s">
        <v>27255</v>
      </c>
    </row>
    <row r="11133" spans="1:20" x14ac:dyDescent="0.3">
      <c r="A11133" t="str">
        <f>"0611863942050"</f>
        <v>0611863942050</v>
      </c>
      <c r="B11133" t="str">
        <f>"CR3033"</f>
        <v>CR3033</v>
      </c>
      <c r="C11133" t="s">
        <v>48773</v>
      </c>
      <c r="D11133" t="s">
        <v>27263</v>
      </c>
      <c r="E11133" t="str">
        <f t="shared" si="173"/>
        <v>001390</v>
      </c>
      <c r="F11133" t="s">
        <v>27246</v>
      </c>
      <c r="G11133" t="s">
        <v>27247</v>
      </c>
      <c r="H11133" t="s">
        <v>27248</v>
      </c>
      <c r="I11133" t="s">
        <v>48774</v>
      </c>
      <c r="J11133" t="s">
        <v>22278</v>
      </c>
      <c r="L11133" t="s">
        <v>27250</v>
      </c>
      <c r="M11133" t="s">
        <v>27251</v>
      </c>
      <c r="N11133" t="s">
        <v>27252</v>
      </c>
      <c r="Q11133" s="1">
        <v>44846</v>
      </c>
      <c r="R11133" t="s">
        <v>27253</v>
      </c>
      <c r="S11133" t="s">
        <v>27254</v>
      </c>
      <c r="T11133" t="s">
        <v>27265</v>
      </c>
    </row>
    <row r="11134" spans="1:20" x14ac:dyDescent="0.3">
      <c r="A11134" t="str">
        <f>"0611863943050"</f>
        <v>0611863943050</v>
      </c>
      <c r="B11134" t="str">
        <f>"CR3009"</f>
        <v>CR3009</v>
      </c>
      <c r="C11134" t="s">
        <v>48775</v>
      </c>
      <c r="D11134" t="s">
        <v>27263</v>
      </c>
      <c r="E11134" t="str">
        <f t="shared" si="173"/>
        <v>001390</v>
      </c>
      <c r="F11134" t="s">
        <v>27246</v>
      </c>
      <c r="G11134" t="s">
        <v>27247</v>
      </c>
      <c r="H11134" t="s">
        <v>27248</v>
      </c>
      <c r="I11134" t="s">
        <v>48776</v>
      </c>
      <c r="J11134" t="s">
        <v>22280</v>
      </c>
      <c r="L11134" t="s">
        <v>27250</v>
      </c>
      <c r="M11134" t="s">
        <v>27251</v>
      </c>
      <c r="N11134" t="s">
        <v>27252</v>
      </c>
      <c r="Q11134" s="1">
        <v>44846</v>
      </c>
      <c r="R11134" t="s">
        <v>27253</v>
      </c>
      <c r="S11134" t="s">
        <v>27254</v>
      </c>
      <c r="T11134" t="s">
        <v>27265</v>
      </c>
    </row>
    <row r="11135" spans="1:20" x14ac:dyDescent="0.3">
      <c r="A11135" t="str">
        <f>"0611863944050"</f>
        <v>0611863944050</v>
      </c>
      <c r="B11135" t="str">
        <f>"CR3563"</f>
        <v>CR3563</v>
      </c>
      <c r="C11135" t="s">
        <v>48777</v>
      </c>
      <c r="D11135" t="s">
        <v>27263</v>
      </c>
      <c r="E11135" t="str">
        <f t="shared" si="173"/>
        <v>001390</v>
      </c>
      <c r="F11135" t="s">
        <v>27246</v>
      </c>
      <c r="G11135" t="s">
        <v>27247</v>
      </c>
      <c r="H11135" t="s">
        <v>27248</v>
      </c>
      <c r="I11135" t="s">
        <v>48778</v>
      </c>
      <c r="J11135" t="s">
        <v>22282</v>
      </c>
      <c r="L11135" t="s">
        <v>27250</v>
      </c>
      <c r="M11135" t="s">
        <v>27251</v>
      </c>
      <c r="N11135" t="s">
        <v>27252</v>
      </c>
      <c r="Q11135" s="1">
        <v>44846</v>
      </c>
      <c r="R11135" t="s">
        <v>27253</v>
      </c>
      <c r="S11135" t="s">
        <v>27254</v>
      </c>
      <c r="T11135" t="s">
        <v>27265</v>
      </c>
    </row>
    <row r="11136" spans="1:20" x14ac:dyDescent="0.3">
      <c r="A11136" t="str">
        <f>"0611863945050"</f>
        <v>0611863945050</v>
      </c>
      <c r="B11136" t="str">
        <f>"CR3010"</f>
        <v>CR3010</v>
      </c>
      <c r="C11136" t="s">
        <v>48779</v>
      </c>
      <c r="D11136" t="s">
        <v>27263</v>
      </c>
      <c r="E11136" t="str">
        <f t="shared" si="173"/>
        <v>001390</v>
      </c>
      <c r="F11136" t="s">
        <v>27246</v>
      </c>
      <c r="G11136" t="s">
        <v>27247</v>
      </c>
      <c r="H11136" t="s">
        <v>27248</v>
      </c>
      <c r="I11136" t="s">
        <v>48780</v>
      </c>
      <c r="J11136" t="s">
        <v>22284</v>
      </c>
      <c r="L11136" t="s">
        <v>27250</v>
      </c>
      <c r="M11136" t="s">
        <v>27251</v>
      </c>
      <c r="N11136" t="s">
        <v>27252</v>
      </c>
      <c r="Q11136" s="1">
        <v>44846</v>
      </c>
      <c r="R11136" t="s">
        <v>27253</v>
      </c>
      <c r="S11136" t="s">
        <v>27254</v>
      </c>
      <c r="T11136" t="s">
        <v>27265</v>
      </c>
    </row>
    <row r="11137" spans="1:20" x14ac:dyDescent="0.3">
      <c r="A11137" t="str">
        <f>"0611863946050"</f>
        <v>0611863946050</v>
      </c>
      <c r="B11137" t="str">
        <f>"CR3257"</f>
        <v>CR3257</v>
      </c>
      <c r="C11137" t="s">
        <v>48781</v>
      </c>
      <c r="D11137" t="s">
        <v>27263</v>
      </c>
      <c r="E11137" t="str">
        <f t="shared" si="173"/>
        <v>001390</v>
      </c>
      <c r="F11137" t="s">
        <v>27246</v>
      </c>
      <c r="G11137" t="s">
        <v>27247</v>
      </c>
      <c r="H11137" t="s">
        <v>27248</v>
      </c>
      <c r="I11137" t="s">
        <v>48782</v>
      </c>
      <c r="J11137" t="s">
        <v>22286</v>
      </c>
      <c r="L11137" t="s">
        <v>27250</v>
      </c>
      <c r="M11137" t="s">
        <v>27251</v>
      </c>
      <c r="N11137" t="s">
        <v>27252</v>
      </c>
      <c r="Q11137" s="1">
        <v>44846</v>
      </c>
      <c r="R11137" t="s">
        <v>27253</v>
      </c>
      <c r="S11137" t="s">
        <v>27254</v>
      </c>
      <c r="T11137" t="s">
        <v>27265</v>
      </c>
    </row>
    <row r="11138" spans="1:20" x14ac:dyDescent="0.3">
      <c r="A11138" t="str">
        <f>"0611863947050"</f>
        <v>0611863947050</v>
      </c>
      <c r="B11138" t="str">
        <f>"CR3012"</f>
        <v>CR3012</v>
      </c>
      <c r="C11138" t="s">
        <v>48783</v>
      </c>
      <c r="D11138" t="s">
        <v>27263</v>
      </c>
      <c r="E11138" t="str">
        <f t="shared" ref="E11138:E11201" si="174">"001390"</f>
        <v>001390</v>
      </c>
      <c r="F11138" t="s">
        <v>27246</v>
      </c>
      <c r="G11138" t="s">
        <v>27247</v>
      </c>
      <c r="H11138" t="s">
        <v>27248</v>
      </c>
      <c r="I11138" t="s">
        <v>48784</v>
      </c>
      <c r="J11138" t="s">
        <v>22288</v>
      </c>
      <c r="L11138" t="s">
        <v>27250</v>
      </c>
      <c r="M11138" t="s">
        <v>27251</v>
      </c>
      <c r="N11138" t="s">
        <v>27252</v>
      </c>
      <c r="Q11138" s="1">
        <v>44846</v>
      </c>
      <c r="R11138" t="s">
        <v>27253</v>
      </c>
      <c r="S11138" t="s">
        <v>27254</v>
      </c>
      <c r="T11138" t="s">
        <v>27265</v>
      </c>
    </row>
    <row r="11139" spans="1:20" x14ac:dyDescent="0.3">
      <c r="A11139" t="str">
        <f>"0611884443025"</f>
        <v>0611884443025</v>
      </c>
      <c r="B11139" t="str">
        <f>"MC2329"</f>
        <v>MC2329</v>
      </c>
      <c r="C11139" t="s">
        <v>48785</v>
      </c>
      <c r="D11139" t="s">
        <v>27267</v>
      </c>
      <c r="E11139" t="str">
        <f t="shared" si="174"/>
        <v>001390</v>
      </c>
      <c r="F11139" t="s">
        <v>27246</v>
      </c>
      <c r="G11139" t="s">
        <v>27247</v>
      </c>
      <c r="H11139" t="s">
        <v>27248</v>
      </c>
      <c r="I11139" t="s">
        <v>48786</v>
      </c>
      <c r="J11139" t="s">
        <v>22290</v>
      </c>
      <c r="L11139" t="s">
        <v>27430</v>
      </c>
      <c r="M11139" t="s">
        <v>27251</v>
      </c>
      <c r="N11139" t="s">
        <v>27252</v>
      </c>
      <c r="Q11139" s="1">
        <v>45250</v>
      </c>
      <c r="R11139" t="s">
        <v>27253</v>
      </c>
      <c r="S11139" t="s">
        <v>27254</v>
      </c>
      <c r="T11139" t="s">
        <v>27269</v>
      </c>
    </row>
    <row r="11140" spans="1:20" x14ac:dyDescent="0.3">
      <c r="A11140" t="str">
        <f>"0611838913100"</f>
        <v>0611838913100</v>
      </c>
      <c r="B11140" t="str">
        <f>"LQ5981"</f>
        <v>LQ5981</v>
      </c>
      <c r="C11140" t="s">
        <v>48787</v>
      </c>
      <c r="D11140" t="s">
        <v>27245</v>
      </c>
      <c r="E11140" t="str">
        <f t="shared" si="174"/>
        <v>001390</v>
      </c>
      <c r="F11140" t="s">
        <v>27246</v>
      </c>
      <c r="G11140" t="s">
        <v>27247</v>
      </c>
      <c r="H11140" t="s">
        <v>27248</v>
      </c>
      <c r="I11140" t="s">
        <v>48788</v>
      </c>
      <c r="J11140" t="s">
        <v>22292</v>
      </c>
      <c r="L11140" t="s">
        <v>27250</v>
      </c>
      <c r="M11140" t="s">
        <v>27251</v>
      </c>
      <c r="N11140" t="s">
        <v>27252</v>
      </c>
      <c r="Q11140" s="1">
        <v>44538</v>
      </c>
      <c r="R11140" t="s">
        <v>27253</v>
      </c>
      <c r="S11140" t="s">
        <v>27254</v>
      </c>
      <c r="T11140" t="s">
        <v>27255</v>
      </c>
    </row>
    <row r="11141" spans="1:20" x14ac:dyDescent="0.3">
      <c r="A11141" t="str">
        <f>"0611838914025"</f>
        <v>0611838914025</v>
      </c>
      <c r="B11141" t="str">
        <f>"MC4233"</f>
        <v>MC4233</v>
      </c>
      <c r="C11141" t="s">
        <v>48787</v>
      </c>
      <c r="D11141" t="s">
        <v>27267</v>
      </c>
      <c r="E11141" t="str">
        <f t="shared" si="174"/>
        <v>001390</v>
      </c>
      <c r="F11141" t="s">
        <v>27246</v>
      </c>
      <c r="G11141" t="s">
        <v>27247</v>
      </c>
      <c r="H11141" t="s">
        <v>27248</v>
      </c>
      <c r="I11141" t="s">
        <v>48789</v>
      </c>
      <c r="J11141" t="s">
        <v>22294</v>
      </c>
      <c r="L11141" t="s">
        <v>27250</v>
      </c>
      <c r="M11141" t="s">
        <v>27251</v>
      </c>
      <c r="N11141" t="s">
        <v>27252</v>
      </c>
      <c r="Q11141" s="1">
        <v>44538</v>
      </c>
      <c r="R11141" t="s">
        <v>27253</v>
      </c>
      <c r="S11141" t="s">
        <v>27254</v>
      </c>
      <c r="T11141" t="s">
        <v>27269</v>
      </c>
    </row>
    <row r="11142" spans="1:20" x14ac:dyDescent="0.3">
      <c r="A11142" t="str">
        <f>"0611863948050"</f>
        <v>0611863948050</v>
      </c>
      <c r="B11142" t="str">
        <f>"CR3013"</f>
        <v>CR3013</v>
      </c>
      <c r="C11142" t="s">
        <v>48787</v>
      </c>
      <c r="D11142" t="s">
        <v>27263</v>
      </c>
      <c r="E11142" t="str">
        <f t="shared" si="174"/>
        <v>001390</v>
      </c>
      <c r="F11142" t="s">
        <v>27246</v>
      </c>
      <c r="G11142" t="s">
        <v>27247</v>
      </c>
      <c r="H11142" t="s">
        <v>27248</v>
      </c>
      <c r="I11142" t="s">
        <v>48790</v>
      </c>
      <c r="J11142" t="s">
        <v>22296</v>
      </c>
      <c r="L11142" t="s">
        <v>27250</v>
      </c>
      <c r="M11142" t="s">
        <v>27251</v>
      </c>
      <c r="N11142" t="s">
        <v>27252</v>
      </c>
      <c r="Q11142" s="1">
        <v>44846</v>
      </c>
      <c r="R11142" t="s">
        <v>27253</v>
      </c>
      <c r="S11142" t="s">
        <v>27254</v>
      </c>
      <c r="T11142" t="s">
        <v>27265</v>
      </c>
    </row>
    <row r="11143" spans="1:20" x14ac:dyDescent="0.3">
      <c r="A11143" t="str">
        <f>"0611838919100"</f>
        <v>0611838919100</v>
      </c>
      <c r="B11143" t="str">
        <f>"LK1505"</f>
        <v>LK1505</v>
      </c>
      <c r="C11143" t="s">
        <v>48791</v>
      </c>
      <c r="D11143" t="s">
        <v>27245</v>
      </c>
      <c r="E11143" t="str">
        <f t="shared" si="174"/>
        <v>001390</v>
      </c>
      <c r="F11143" t="s">
        <v>27246</v>
      </c>
      <c r="G11143" t="s">
        <v>27247</v>
      </c>
      <c r="H11143" t="s">
        <v>27248</v>
      </c>
      <c r="I11143" t="s">
        <v>48792</v>
      </c>
      <c r="J11143" t="s">
        <v>22298</v>
      </c>
      <c r="L11143" t="s">
        <v>27250</v>
      </c>
      <c r="M11143" t="s">
        <v>27251</v>
      </c>
      <c r="N11143" t="s">
        <v>27252</v>
      </c>
      <c r="Q11143" s="1">
        <v>44538</v>
      </c>
      <c r="R11143" t="s">
        <v>27253</v>
      </c>
      <c r="S11143" t="s">
        <v>27254</v>
      </c>
      <c r="T11143" t="s">
        <v>27255</v>
      </c>
    </row>
    <row r="11144" spans="1:20" x14ac:dyDescent="0.3">
      <c r="A11144" t="str">
        <f>"0611838920100"</f>
        <v>0611838920100</v>
      </c>
      <c r="B11144" t="str">
        <f>"LK1756"</f>
        <v>LK1756</v>
      </c>
      <c r="C11144" t="s">
        <v>48793</v>
      </c>
      <c r="D11144" t="s">
        <v>27245</v>
      </c>
      <c r="E11144" t="str">
        <f t="shared" si="174"/>
        <v>001390</v>
      </c>
      <c r="F11144" t="s">
        <v>27246</v>
      </c>
      <c r="G11144" t="s">
        <v>27247</v>
      </c>
      <c r="H11144" t="s">
        <v>27248</v>
      </c>
      <c r="I11144" t="s">
        <v>48794</v>
      </c>
      <c r="J11144" t="s">
        <v>22300</v>
      </c>
      <c r="L11144" t="s">
        <v>27250</v>
      </c>
      <c r="M11144" t="s">
        <v>27251</v>
      </c>
      <c r="N11144" t="s">
        <v>27252</v>
      </c>
      <c r="Q11144" s="1">
        <v>44538</v>
      </c>
      <c r="R11144" t="s">
        <v>27253</v>
      </c>
      <c r="S11144" t="s">
        <v>27254</v>
      </c>
      <c r="T11144" t="s">
        <v>27255</v>
      </c>
    </row>
    <row r="11145" spans="1:20" x14ac:dyDescent="0.3">
      <c r="A11145" t="str">
        <f>"0611838921100"</f>
        <v>0611838921100</v>
      </c>
      <c r="B11145" t="str">
        <f>"LK1506"</f>
        <v>LK1506</v>
      </c>
      <c r="C11145" t="s">
        <v>48795</v>
      </c>
      <c r="D11145" t="s">
        <v>27245</v>
      </c>
      <c r="E11145" t="str">
        <f t="shared" si="174"/>
        <v>001390</v>
      </c>
      <c r="F11145" t="s">
        <v>27246</v>
      </c>
      <c r="G11145" t="s">
        <v>27247</v>
      </c>
      <c r="H11145" t="s">
        <v>27248</v>
      </c>
      <c r="I11145" t="s">
        <v>48796</v>
      </c>
      <c r="J11145" t="s">
        <v>22302</v>
      </c>
      <c r="L11145" t="s">
        <v>27250</v>
      </c>
      <c r="M11145" t="s">
        <v>27251</v>
      </c>
      <c r="N11145" t="s">
        <v>27252</v>
      </c>
      <c r="Q11145" s="1">
        <v>44538</v>
      </c>
      <c r="R11145" t="s">
        <v>27253</v>
      </c>
      <c r="S11145" t="s">
        <v>27254</v>
      </c>
      <c r="T11145" t="s">
        <v>27255</v>
      </c>
    </row>
    <row r="11146" spans="1:20" x14ac:dyDescent="0.3">
      <c r="A11146" t="str">
        <f>"0611838922100"</f>
        <v>0611838922100</v>
      </c>
      <c r="B11146" t="str">
        <f>"LK1507"</f>
        <v>LK1507</v>
      </c>
      <c r="C11146" t="s">
        <v>48797</v>
      </c>
      <c r="D11146" t="s">
        <v>27245</v>
      </c>
      <c r="E11146" t="str">
        <f t="shared" si="174"/>
        <v>001390</v>
      </c>
      <c r="F11146" t="s">
        <v>27246</v>
      </c>
      <c r="G11146" t="s">
        <v>27247</v>
      </c>
      <c r="H11146" t="s">
        <v>27248</v>
      </c>
      <c r="I11146" t="s">
        <v>48798</v>
      </c>
      <c r="J11146" t="s">
        <v>22304</v>
      </c>
      <c r="L11146" t="s">
        <v>27250</v>
      </c>
      <c r="M11146" t="s">
        <v>27251</v>
      </c>
      <c r="N11146" t="s">
        <v>27252</v>
      </c>
      <c r="Q11146" s="1">
        <v>44538</v>
      </c>
      <c r="R11146" t="s">
        <v>27253</v>
      </c>
      <c r="S11146" t="s">
        <v>27254</v>
      </c>
      <c r="T11146" t="s">
        <v>27255</v>
      </c>
    </row>
    <row r="11147" spans="1:20" x14ac:dyDescent="0.3">
      <c r="A11147" t="str">
        <f>"0611884444100"</f>
        <v>0611884444100</v>
      </c>
      <c r="B11147" t="str">
        <f>"LK7144"</f>
        <v>LK7144</v>
      </c>
      <c r="C11147" t="s">
        <v>48799</v>
      </c>
      <c r="D11147" t="s">
        <v>27245</v>
      </c>
      <c r="E11147" t="str">
        <f t="shared" si="174"/>
        <v>001390</v>
      </c>
      <c r="F11147" t="s">
        <v>27246</v>
      </c>
      <c r="G11147" t="s">
        <v>27247</v>
      </c>
      <c r="H11147" t="s">
        <v>27248</v>
      </c>
      <c r="I11147" t="s">
        <v>48800</v>
      </c>
      <c r="J11147" t="s">
        <v>22306</v>
      </c>
      <c r="L11147" t="s">
        <v>27430</v>
      </c>
      <c r="M11147" t="s">
        <v>27251</v>
      </c>
      <c r="N11147" t="s">
        <v>27252</v>
      </c>
      <c r="Q11147" s="1">
        <v>45250</v>
      </c>
      <c r="R11147" t="s">
        <v>27253</v>
      </c>
      <c r="S11147" t="s">
        <v>27254</v>
      </c>
      <c r="T11147" t="s">
        <v>27255</v>
      </c>
    </row>
    <row r="11148" spans="1:20" x14ac:dyDescent="0.3">
      <c r="A11148" t="str">
        <f>"0611884445050"</f>
        <v>0611884445050</v>
      </c>
      <c r="B11148" t="str">
        <f>"CR5397"</f>
        <v>CR5397</v>
      </c>
      <c r="C11148" t="s">
        <v>48801</v>
      </c>
      <c r="D11148" t="s">
        <v>27271</v>
      </c>
      <c r="E11148" t="str">
        <f t="shared" si="174"/>
        <v>001390</v>
      </c>
      <c r="F11148" t="s">
        <v>27246</v>
      </c>
      <c r="G11148" t="s">
        <v>27247</v>
      </c>
      <c r="H11148" t="s">
        <v>27248</v>
      </c>
      <c r="I11148" t="s">
        <v>48802</v>
      </c>
      <c r="J11148" t="s">
        <v>22308</v>
      </c>
      <c r="L11148" t="s">
        <v>27430</v>
      </c>
      <c r="M11148" t="s">
        <v>27251</v>
      </c>
      <c r="N11148" t="s">
        <v>27252</v>
      </c>
      <c r="P11148" t="s">
        <v>27341</v>
      </c>
      <c r="Q11148" s="1">
        <v>45250</v>
      </c>
      <c r="R11148" t="s">
        <v>27253</v>
      </c>
      <c r="S11148" t="s">
        <v>27254</v>
      </c>
      <c r="T11148" t="s">
        <v>27265</v>
      </c>
    </row>
    <row r="11149" spans="1:20" x14ac:dyDescent="0.3">
      <c r="A11149" t="str">
        <f>"0611863949050"</f>
        <v>0611863949050</v>
      </c>
      <c r="B11149" t="str">
        <f>"CR3564"</f>
        <v>CR3564</v>
      </c>
      <c r="C11149" t="s">
        <v>48803</v>
      </c>
      <c r="D11149" t="s">
        <v>27271</v>
      </c>
      <c r="E11149" t="str">
        <f t="shared" si="174"/>
        <v>001390</v>
      </c>
      <c r="F11149" t="s">
        <v>27246</v>
      </c>
      <c r="G11149" t="s">
        <v>27247</v>
      </c>
      <c r="H11149" t="s">
        <v>27248</v>
      </c>
      <c r="I11149" t="s">
        <v>48804</v>
      </c>
      <c r="J11149" t="s">
        <v>22310</v>
      </c>
      <c r="L11149" t="s">
        <v>27250</v>
      </c>
      <c r="M11149" t="s">
        <v>27251</v>
      </c>
      <c r="N11149" t="s">
        <v>27252</v>
      </c>
      <c r="P11149" t="s">
        <v>27341</v>
      </c>
      <c r="Q11149" s="1">
        <v>44846</v>
      </c>
      <c r="R11149" t="s">
        <v>27253</v>
      </c>
      <c r="S11149" t="s">
        <v>27254</v>
      </c>
      <c r="T11149" t="s">
        <v>27265</v>
      </c>
    </row>
    <row r="11150" spans="1:20" x14ac:dyDescent="0.3">
      <c r="A11150" t="str">
        <f>"0611884446050"</f>
        <v>0611884446050</v>
      </c>
      <c r="B11150" t="str">
        <f>"CR5398"</f>
        <v>CR5398</v>
      </c>
      <c r="C11150" t="s">
        <v>48805</v>
      </c>
      <c r="D11150" t="s">
        <v>27271</v>
      </c>
      <c r="E11150" t="str">
        <f t="shared" si="174"/>
        <v>001390</v>
      </c>
      <c r="F11150" t="s">
        <v>27246</v>
      </c>
      <c r="G11150" t="s">
        <v>27247</v>
      </c>
      <c r="H11150" t="s">
        <v>27248</v>
      </c>
      <c r="I11150" t="s">
        <v>48806</v>
      </c>
      <c r="J11150" t="s">
        <v>22312</v>
      </c>
      <c r="L11150" t="s">
        <v>27430</v>
      </c>
      <c r="M11150" t="s">
        <v>27251</v>
      </c>
      <c r="N11150" t="s">
        <v>27252</v>
      </c>
      <c r="P11150" t="s">
        <v>27341</v>
      </c>
      <c r="Q11150" s="1">
        <v>45250</v>
      </c>
      <c r="R11150" t="s">
        <v>27253</v>
      </c>
      <c r="S11150" t="s">
        <v>27254</v>
      </c>
      <c r="T11150" t="s">
        <v>27265</v>
      </c>
    </row>
    <row r="11151" spans="1:20" x14ac:dyDescent="0.3">
      <c r="A11151" t="str">
        <f>"0611863950050"</f>
        <v>0611863950050</v>
      </c>
      <c r="B11151" t="str">
        <f>"CR3565"</f>
        <v>CR3565</v>
      </c>
      <c r="C11151" t="s">
        <v>48807</v>
      </c>
      <c r="D11151" t="s">
        <v>27271</v>
      </c>
      <c r="E11151" t="str">
        <f t="shared" si="174"/>
        <v>001390</v>
      </c>
      <c r="F11151" t="s">
        <v>27246</v>
      </c>
      <c r="G11151" t="s">
        <v>27247</v>
      </c>
      <c r="H11151" t="s">
        <v>27248</v>
      </c>
      <c r="I11151" t="s">
        <v>48808</v>
      </c>
      <c r="J11151" t="s">
        <v>22314</v>
      </c>
      <c r="L11151" t="s">
        <v>27250</v>
      </c>
      <c r="M11151" t="s">
        <v>27251</v>
      </c>
      <c r="N11151" t="s">
        <v>27252</v>
      </c>
      <c r="P11151" t="s">
        <v>27341</v>
      </c>
      <c r="Q11151" s="1">
        <v>44846</v>
      </c>
      <c r="R11151" t="s">
        <v>27253</v>
      </c>
      <c r="S11151" t="s">
        <v>27254</v>
      </c>
      <c r="T11151" t="s">
        <v>27265</v>
      </c>
    </row>
    <row r="11152" spans="1:20" x14ac:dyDescent="0.3">
      <c r="A11152" t="str">
        <f>"0611863951050"</f>
        <v>0611863951050</v>
      </c>
      <c r="B11152" t="str">
        <f>"CR3566"</f>
        <v>CR3566</v>
      </c>
      <c r="C11152" t="s">
        <v>48809</v>
      </c>
      <c r="D11152" t="s">
        <v>27271</v>
      </c>
      <c r="E11152" t="str">
        <f t="shared" si="174"/>
        <v>001390</v>
      </c>
      <c r="F11152" t="s">
        <v>27246</v>
      </c>
      <c r="G11152" t="s">
        <v>27247</v>
      </c>
      <c r="H11152" t="s">
        <v>27248</v>
      </c>
      <c r="I11152" t="s">
        <v>48810</v>
      </c>
      <c r="J11152" t="s">
        <v>22316</v>
      </c>
      <c r="L11152" t="s">
        <v>27250</v>
      </c>
      <c r="M11152" t="s">
        <v>27251</v>
      </c>
      <c r="N11152" t="s">
        <v>27252</v>
      </c>
      <c r="P11152" t="s">
        <v>27341</v>
      </c>
      <c r="Q11152" s="1">
        <v>44846</v>
      </c>
      <c r="R11152" t="s">
        <v>27253</v>
      </c>
      <c r="S11152" t="s">
        <v>27254</v>
      </c>
      <c r="T11152" t="s">
        <v>27265</v>
      </c>
    </row>
    <row r="11153" spans="1:20" x14ac:dyDescent="0.3">
      <c r="A11153" t="str">
        <f>"0611838923100"</f>
        <v>0611838923100</v>
      </c>
      <c r="B11153" t="str">
        <f>"LC9153"</f>
        <v>LC9153</v>
      </c>
      <c r="C11153" t="s">
        <v>48811</v>
      </c>
      <c r="D11153" t="s">
        <v>27245</v>
      </c>
      <c r="E11153" t="str">
        <f t="shared" si="174"/>
        <v>001390</v>
      </c>
      <c r="F11153" t="s">
        <v>27246</v>
      </c>
      <c r="G11153" t="s">
        <v>27247</v>
      </c>
      <c r="H11153" t="s">
        <v>27248</v>
      </c>
      <c r="I11153" t="s">
        <v>48812</v>
      </c>
      <c r="J11153" t="s">
        <v>22318</v>
      </c>
      <c r="L11153" t="s">
        <v>27250</v>
      </c>
      <c r="M11153" t="s">
        <v>27251</v>
      </c>
      <c r="N11153" t="s">
        <v>27252</v>
      </c>
      <c r="Q11153" s="1">
        <v>44538</v>
      </c>
      <c r="R11153" t="s">
        <v>27253</v>
      </c>
      <c r="S11153" t="s">
        <v>27254</v>
      </c>
      <c r="T11153" t="s">
        <v>27255</v>
      </c>
    </row>
    <row r="11154" spans="1:20" x14ac:dyDescent="0.3">
      <c r="A11154" t="str">
        <f>"0611838924025"</f>
        <v>0611838924025</v>
      </c>
      <c r="B11154" t="str">
        <f>"MC0959"</f>
        <v>MC0959</v>
      </c>
      <c r="C11154" t="s">
        <v>48811</v>
      </c>
      <c r="D11154" t="s">
        <v>27267</v>
      </c>
      <c r="E11154" t="str">
        <f t="shared" si="174"/>
        <v>001390</v>
      </c>
      <c r="F11154" t="s">
        <v>27246</v>
      </c>
      <c r="G11154" t="s">
        <v>27247</v>
      </c>
      <c r="H11154" t="s">
        <v>27248</v>
      </c>
      <c r="I11154" t="s">
        <v>48813</v>
      </c>
      <c r="J11154" t="s">
        <v>22320</v>
      </c>
      <c r="L11154" t="s">
        <v>27250</v>
      </c>
      <c r="M11154" t="s">
        <v>27251</v>
      </c>
      <c r="N11154" t="s">
        <v>27252</v>
      </c>
      <c r="Q11154" s="1">
        <v>44538</v>
      </c>
      <c r="R11154" t="s">
        <v>27253</v>
      </c>
      <c r="S11154" t="s">
        <v>27254</v>
      </c>
      <c r="T11154" t="s">
        <v>27269</v>
      </c>
    </row>
    <row r="11155" spans="1:20" x14ac:dyDescent="0.3">
      <c r="A11155" t="str">
        <f>"0611863952050"</f>
        <v>0611863952050</v>
      </c>
      <c r="B11155" t="str">
        <f>"CR4450"</f>
        <v>CR4450</v>
      </c>
      <c r="C11155" t="s">
        <v>48814</v>
      </c>
      <c r="D11155" t="s">
        <v>27263</v>
      </c>
      <c r="E11155" t="str">
        <f t="shared" si="174"/>
        <v>001390</v>
      </c>
      <c r="F11155" t="s">
        <v>27246</v>
      </c>
      <c r="G11155" t="s">
        <v>27247</v>
      </c>
      <c r="H11155" t="s">
        <v>27248</v>
      </c>
      <c r="I11155" t="s">
        <v>48815</v>
      </c>
      <c r="J11155" t="s">
        <v>22322</v>
      </c>
      <c r="L11155" t="s">
        <v>27250</v>
      </c>
      <c r="M11155" t="s">
        <v>27251</v>
      </c>
      <c r="N11155" t="s">
        <v>27252</v>
      </c>
      <c r="Q11155" s="1">
        <v>44846</v>
      </c>
      <c r="R11155" t="s">
        <v>27253</v>
      </c>
      <c r="S11155" t="s">
        <v>27254</v>
      </c>
      <c r="T11155" t="s">
        <v>27265</v>
      </c>
    </row>
    <row r="11156" spans="1:20" x14ac:dyDescent="0.3">
      <c r="A11156" t="str">
        <f>"0611838927025"</f>
        <v>0611838927025</v>
      </c>
      <c r="B11156" t="str">
        <f>"MQ0734"</f>
        <v>MQ0734</v>
      </c>
      <c r="C11156" t="s">
        <v>48816</v>
      </c>
      <c r="D11156" t="s">
        <v>27267</v>
      </c>
      <c r="E11156" t="str">
        <f t="shared" si="174"/>
        <v>001390</v>
      </c>
      <c r="F11156" t="s">
        <v>27246</v>
      </c>
      <c r="G11156" t="s">
        <v>27247</v>
      </c>
      <c r="H11156" t="s">
        <v>27248</v>
      </c>
      <c r="I11156" t="s">
        <v>48817</v>
      </c>
      <c r="J11156" t="s">
        <v>22324</v>
      </c>
      <c r="L11156" t="s">
        <v>27250</v>
      </c>
      <c r="M11156" t="s">
        <v>27251</v>
      </c>
      <c r="N11156" t="s">
        <v>27252</v>
      </c>
      <c r="Q11156" s="1">
        <v>44538</v>
      </c>
      <c r="R11156" t="s">
        <v>27253</v>
      </c>
      <c r="S11156" t="s">
        <v>27254</v>
      </c>
      <c r="T11156" t="s">
        <v>27269</v>
      </c>
    </row>
    <row r="11157" spans="1:20" x14ac:dyDescent="0.3">
      <c r="A11157" t="str">
        <f>"0611838928025"</f>
        <v>0611838928025</v>
      </c>
      <c r="B11157" t="str">
        <f>"MQ0581"</f>
        <v>MQ0581</v>
      </c>
      <c r="C11157" t="s">
        <v>48818</v>
      </c>
      <c r="D11157" t="s">
        <v>27267</v>
      </c>
      <c r="E11157" t="str">
        <f t="shared" si="174"/>
        <v>001390</v>
      </c>
      <c r="F11157" t="s">
        <v>27246</v>
      </c>
      <c r="G11157" t="s">
        <v>27247</v>
      </c>
      <c r="H11157" t="s">
        <v>27248</v>
      </c>
      <c r="I11157" t="s">
        <v>48819</v>
      </c>
      <c r="J11157" t="s">
        <v>22326</v>
      </c>
      <c r="L11157" t="s">
        <v>27250</v>
      </c>
      <c r="M11157" t="s">
        <v>27251</v>
      </c>
      <c r="N11157" t="s">
        <v>27252</v>
      </c>
      <c r="Q11157" s="1">
        <v>44538</v>
      </c>
      <c r="R11157" t="s">
        <v>27253</v>
      </c>
      <c r="S11157" t="s">
        <v>27254</v>
      </c>
      <c r="T11157" t="s">
        <v>27269</v>
      </c>
    </row>
    <row r="11158" spans="1:20" x14ac:dyDescent="0.3">
      <c r="A11158" t="str">
        <f>"0611838929100"</f>
        <v>0611838929100</v>
      </c>
      <c r="B11158" t="str">
        <f>"LB8164"</f>
        <v>LB8164</v>
      </c>
      <c r="C11158" t="s">
        <v>48820</v>
      </c>
      <c r="D11158" t="s">
        <v>27245</v>
      </c>
      <c r="E11158" t="str">
        <f t="shared" si="174"/>
        <v>001390</v>
      </c>
      <c r="F11158" t="s">
        <v>27246</v>
      </c>
      <c r="G11158" t="s">
        <v>27247</v>
      </c>
      <c r="H11158" t="s">
        <v>27248</v>
      </c>
      <c r="I11158" t="s">
        <v>48821</v>
      </c>
      <c r="J11158" t="s">
        <v>22328</v>
      </c>
      <c r="L11158" t="s">
        <v>27250</v>
      </c>
      <c r="M11158" t="s">
        <v>27251</v>
      </c>
      <c r="N11158" t="s">
        <v>27252</v>
      </c>
      <c r="Q11158" s="1">
        <v>44538</v>
      </c>
      <c r="R11158" t="s">
        <v>27253</v>
      </c>
      <c r="S11158" t="s">
        <v>27254</v>
      </c>
      <c r="T11158" t="s">
        <v>27255</v>
      </c>
    </row>
    <row r="11159" spans="1:20" x14ac:dyDescent="0.3">
      <c r="A11159" t="str">
        <f>"0611838930100"</f>
        <v>0611838930100</v>
      </c>
      <c r="B11159" t="str">
        <f>"LK6846"</f>
        <v>LK6846</v>
      </c>
      <c r="C11159" t="s">
        <v>48822</v>
      </c>
      <c r="D11159" t="s">
        <v>27245</v>
      </c>
      <c r="E11159" t="str">
        <f t="shared" si="174"/>
        <v>001390</v>
      </c>
      <c r="F11159" t="s">
        <v>27246</v>
      </c>
      <c r="G11159" t="s">
        <v>27247</v>
      </c>
      <c r="H11159" t="s">
        <v>27248</v>
      </c>
      <c r="I11159" t="s">
        <v>48823</v>
      </c>
      <c r="J11159" t="s">
        <v>22330</v>
      </c>
      <c r="L11159" t="s">
        <v>27250</v>
      </c>
      <c r="M11159" t="s">
        <v>27251</v>
      </c>
      <c r="N11159" t="s">
        <v>27252</v>
      </c>
      <c r="Q11159" s="1">
        <v>44538</v>
      </c>
      <c r="R11159" t="s">
        <v>27253</v>
      </c>
      <c r="S11159" t="s">
        <v>27254</v>
      </c>
      <c r="T11159" t="s">
        <v>27255</v>
      </c>
    </row>
    <row r="11160" spans="1:20" x14ac:dyDescent="0.3">
      <c r="A11160" t="str">
        <f>"0611838931100"</f>
        <v>0611838931100</v>
      </c>
      <c r="B11160" t="str">
        <f>"LH0045"</f>
        <v>LH0045</v>
      </c>
      <c r="C11160" t="s">
        <v>48824</v>
      </c>
      <c r="D11160" t="s">
        <v>27245</v>
      </c>
      <c r="E11160" t="str">
        <f t="shared" si="174"/>
        <v>001390</v>
      </c>
      <c r="F11160" t="s">
        <v>27246</v>
      </c>
      <c r="G11160" t="s">
        <v>27247</v>
      </c>
      <c r="H11160" t="s">
        <v>27248</v>
      </c>
      <c r="I11160" t="s">
        <v>48825</v>
      </c>
      <c r="J11160" t="s">
        <v>22332</v>
      </c>
      <c r="L11160" t="s">
        <v>27250</v>
      </c>
      <c r="M11160" t="s">
        <v>27251</v>
      </c>
      <c r="N11160" t="s">
        <v>27252</v>
      </c>
      <c r="Q11160" s="1">
        <v>44538</v>
      </c>
      <c r="R11160" t="s">
        <v>27253</v>
      </c>
      <c r="S11160" t="s">
        <v>27254</v>
      </c>
      <c r="T11160" t="s">
        <v>27255</v>
      </c>
    </row>
    <row r="11161" spans="1:20" x14ac:dyDescent="0.3">
      <c r="A11161" t="str">
        <f>"0611838932100"</f>
        <v>0611838932100</v>
      </c>
      <c r="B11161" t="str">
        <f>"LK2394"</f>
        <v>LK2394</v>
      </c>
      <c r="C11161" t="s">
        <v>48826</v>
      </c>
      <c r="D11161" t="s">
        <v>27245</v>
      </c>
      <c r="E11161" t="str">
        <f t="shared" si="174"/>
        <v>001390</v>
      </c>
      <c r="F11161" t="s">
        <v>27246</v>
      </c>
      <c r="G11161" t="s">
        <v>27247</v>
      </c>
      <c r="H11161" t="s">
        <v>27248</v>
      </c>
      <c r="I11161" t="s">
        <v>48827</v>
      </c>
      <c r="J11161" t="s">
        <v>22334</v>
      </c>
      <c r="L11161" t="s">
        <v>27250</v>
      </c>
      <c r="M11161" t="s">
        <v>27251</v>
      </c>
      <c r="N11161" t="s">
        <v>27252</v>
      </c>
      <c r="Q11161" s="1">
        <v>44538</v>
      </c>
      <c r="R11161" t="s">
        <v>27253</v>
      </c>
      <c r="S11161" t="s">
        <v>27254</v>
      </c>
      <c r="T11161" t="s">
        <v>27255</v>
      </c>
    </row>
    <row r="11162" spans="1:20" x14ac:dyDescent="0.3">
      <c r="A11162" t="str">
        <f>"0611838933100"</f>
        <v>0611838933100</v>
      </c>
      <c r="B11162" t="str">
        <f>"LK6136"</f>
        <v>LK6136</v>
      </c>
      <c r="C11162" t="s">
        <v>48828</v>
      </c>
      <c r="D11162" t="s">
        <v>27245</v>
      </c>
      <c r="E11162" t="str">
        <f t="shared" si="174"/>
        <v>001390</v>
      </c>
      <c r="F11162" t="s">
        <v>27246</v>
      </c>
      <c r="G11162" t="s">
        <v>27247</v>
      </c>
      <c r="H11162" t="s">
        <v>27248</v>
      </c>
      <c r="I11162" t="s">
        <v>48829</v>
      </c>
      <c r="J11162" t="s">
        <v>22336</v>
      </c>
      <c r="L11162" t="s">
        <v>27250</v>
      </c>
      <c r="M11162" t="s">
        <v>27251</v>
      </c>
      <c r="N11162" t="s">
        <v>27252</v>
      </c>
      <c r="Q11162" s="1">
        <v>44538</v>
      </c>
      <c r="R11162" t="s">
        <v>27253</v>
      </c>
      <c r="S11162" t="s">
        <v>27254</v>
      </c>
      <c r="T11162" t="s">
        <v>27255</v>
      </c>
    </row>
    <row r="11163" spans="1:20" x14ac:dyDescent="0.3">
      <c r="A11163" t="str">
        <f>"0611863953050"</f>
        <v>0611863953050</v>
      </c>
      <c r="B11163" t="str">
        <f>"CR3567"</f>
        <v>CR3567</v>
      </c>
      <c r="C11163" t="s">
        <v>48830</v>
      </c>
      <c r="D11163" t="s">
        <v>27263</v>
      </c>
      <c r="E11163" t="str">
        <f t="shared" si="174"/>
        <v>001390</v>
      </c>
      <c r="F11163" t="s">
        <v>27246</v>
      </c>
      <c r="G11163" t="s">
        <v>27247</v>
      </c>
      <c r="H11163" t="s">
        <v>27248</v>
      </c>
      <c r="I11163" t="s">
        <v>48831</v>
      </c>
      <c r="J11163" t="s">
        <v>22338</v>
      </c>
      <c r="L11163" t="s">
        <v>27250</v>
      </c>
      <c r="M11163" t="s">
        <v>27251</v>
      </c>
      <c r="N11163" t="s">
        <v>27252</v>
      </c>
      <c r="Q11163" s="1">
        <v>44846</v>
      </c>
      <c r="R11163" t="s">
        <v>27253</v>
      </c>
      <c r="S11163" t="s">
        <v>27254</v>
      </c>
      <c r="T11163" t="s">
        <v>27265</v>
      </c>
    </row>
    <row r="11164" spans="1:20" x14ac:dyDescent="0.3">
      <c r="A11164" t="str">
        <f>"0611838935025"</f>
        <v>0611838935025</v>
      </c>
      <c r="B11164" t="str">
        <f>"MQ0355"</f>
        <v>MQ0355</v>
      </c>
      <c r="C11164" t="s">
        <v>48832</v>
      </c>
      <c r="D11164" t="s">
        <v>27267</v>
      </c>
      <c r="E11164" t="str">
        <f t="shared" si="174"/>
        <v>001390</v>
      </c>
      <c r="F11164" t="s">
        <v>27246</v>
      </c>
      <c r="G11164" t="s">
        <v>27247</v>
      </c>
      <c r="H11164" t="s">
        <v>27248</v>
      </c>
      <c r="I11164" t="s">
        <v>48833</v>
      </c>
      <c r="J11164" t="s">
        <v>22340</v>
      </c>
      <c r="L11164" t="s">
        <v>27250</v>
      </c>
      <c r="M11164" t="s">
        <v>27251</v>
      </c>
      <c r="N11164" t="s">
        <v>27252</v>
      </c>
      <c r="Q11164" s="1">
        <v>44538</v>
      </c>
      <c r="R11164" t="s">
        <v>27253</v>
      </c>
      <c r="S11164" t="s">
        <v>27254</v>
      </c>
      <c r="T11164" t="s">
        <v>27269</v>
      </c>
    </row>
    <row r="11165" spans="1:20" x14ac:dyDescent="0.3">
      <c r="A11165" t="str">
        <f>"0611838936025"</f>
        <v>0611838936025</v>
      </c>
      <c r="B11165" t="str">
        <f>"MQ3187"</f>
        <v>MQ3187</v>
      </c>
      <c r="C11165" t="s">
        <v>48834</v>
      </c>
      <c r="D11165" t="s">
        <v>27267</v>
      </c>
      <c r="E11165" t="str">
        <f t="shared" si="174"/>
        <v>001390</v>
      </c>
      <c r="F11165" t="s">
        <v>27246</v>
      </c>
      <c r="G11165" t="s">
        <v>27247</v>
      </c>
      <c r="H11165" t="s">
        <v>27248</v>
      </c>
      <c r="I11165" t="s">
        <v>48835</v>
      </c>
      <c r="J11165" t="s">
        <v>22342</v>
      </c>
      <c r="L11165" t="s">
        <v>27250</v>
      </c>
      <c r="M11165" t="s">
        <v>27251</v>
      </c>
      <c r="N11165" t="s">
        <v>27252</v>
      </c>
      <c r="Q11165" s="1">
        <v>44538</v>
      </c>
      <c r="R11165" t="s">
        <v>27253</v>
      </c>
      <c r="S11165" t="s">
        <v>27254</v>
      </c>
      <c r="T11165" t="s">
        <v>27269</v>
      </c>
    </row>
    <row r="11166" spans="1:20" x14ac:dyDescent="0.3">
      <c r="A11166" t="str">
        <f>"0611838937025"</f>
        <v>0611838937025</v>
      </c>
      <c r="B11166" t="str">
        <f>"MQ3188"</f>
        <v>MQ3188</v>
      </c>
      <c r="C11166" t="s">
        <v>48836</v>
      </c>
      <c r="D11166" t="s">
        <v>27267</v>
      </c>
      <c r="E11166" t="str">
        <f t="shared" si="174"/>
        <v>001390</v>
      </c>
      <c r="F11166" t="s">
        <v>27246</v>
      </c>
      <c r="G11166" t="s">
        <v>27247</v>
      </c>
      <c r="H11166" t="s">
        <v>27248</v>
      </c>
      <c r="I11166" t="s">
        <v>48837</v>
      </c>
      <c r="J11166" t="s">
        <v>22344</v>
      </c>
      <c r="L11166" t="s">
        <v>27250</v>
      </c>
      <c r="M11166" t="s">
        <v>27251</v>
      </c>
      <c r="N11166" t="s">
        <v>27252</v>
      </c>
      <c r="Q11166" s="1">
        <v>44538</v>
      </c>
      <c r="R11166" t="s">
        <v>27253</v>
      </c>
      <c r="S11166" t="s">
        <v>27254</v>
      </c>
      <c r="T11166" t="s">
        <v>27269</v>
      </c>
    </row>
    <row r="11167" spans="1:20" x14ac:dyDescent="0.3">
      <c r="A11167" t="str">
        <f>"0611838938025"</f>
        <v>0611838938025</v>
      </c>
      <c r="B11167" t="str">
        <f>"MQ3189"</f>
        <v>MQ3189</v>
      </c>
      <c r="C11167" t="s">
        <v>48838</v>
      </c>
      <c r="D11167" t="s">
        <v>27267</v>
      </c>
      <c r="E11167" t="str">
        <f t="shared" si="174"/>
        <v>001390</v>
      </c>
      <c r="F11167" t="s">
        <v>27246</v>
      </c>
      <c r="G11167" t="s">
        <v>27247</v>
      </c>
      <c r="H11167" t="s">
        <v>27248</v>
      </c>
      <c r="I11167" t="s">
        <v>48839</v>
      </c>
      <c r="J11167" t="s">
        <v>22346</v>
      </c>
      <c r="L11167" t="s">
        <v>27250</v>
      </c>
      <c r="M11167" t="s">
        <v>27251</v>
      </c>
      <c r="N11167" t="s">
        <v>27252</v>
      </c>
      <c r="Q11167" s="1">
        <v>44538</v>
      </c>
      <c r="R11167" t="s">
        <v>27253</v>
      </c>
      <c r="S11167" t="s">
        <v>27254</v>
      </c>
      <c r="T11167" t="s">
        <v>27269</v>
      </c>
    </row>
    <row r="11168" spans="1:20" x14ac:dyDescent="0.3">
      <c r="A11168" t="str">
        <f>"0611838939025"</f>
        <v>0611838939025</v>
      </c>
      <c r="B11168" t="str">
        <f>"MQ3190"</f>
        <v>MQ3190</v>
      </c>
      <c r="C11168" t="s">
        <v>48840</v>
      </c>
      <c r="D11168" t="s">
        <v>27267</v>
      </c>
      <c r="E11168" t="str">
        <f t="shared" si="174"/>
        <v>001390</v>
      </c>
      <c r="F11168" t="s">
        <v>27246</v>
      </c>
      <c r="G11168" t="s">
        <v>27247</v>
      </c>
      <c r="H11168" t="s">
        <v>27248</v>
      </c>
      <c r="I11168" t="s">
        <v>48841</v>
      </c>
      <c r="J11168" t="s">
        <v>22348</v>
      </c>
      <c r="L11168" t="s">
        <v>27250</v>
      </c>
      <c r="M11168" t="s">
        <v>27251</v>
      </c>
      <c r="N11168" t="s">
        <v>27252</v>
      </c>
      <c r="Q11168" s="1">
        <v>44538</v>
      </c>
      <c r="R11168" t="s">
        <v>27253</v>
      </c>
      <c r="S11168" t="s">
        <v>27254</v>
      </c>
      <c r="T11168" t="s">
        <v>27269</v>
      </c>
    </row>
    <row r="11169" spans="1:20" x14ac:dyDescent="0.3">
      <c r="A11169" t="str">
        <f>"0611838940100"</f>
        <v>0611838940100</v>
      </c>
      <c r="B11169" t="str">
        <f>"LB8189"</f>
        <v>LB8189</v>
      </c>
      <c r="C11169" t="s">
        <v>48842</v>
      </c>
      <c r="D11169" t="s">
        <v>27245</v>
      </c>
      <c r="E11169" t="str">
        <f t="shared" si="174"/>
        <v>001390</v>
      </c>
      <c r="F11169" t="s">
        <v>27246</v>
      </c>
      <c r="G11169" t="s">
        <v>27247</v>
      </c>
      <c r="H11169" t="s">
        <v>27248</v>
      </c>
      <c r="I11169" t="s">
        <v>48843</v>
      </c>
      <c r="J11169" t="s">
        <v>22350</v>
      </c>
      <c r="L11169" t="s">
        <v>27250</v>
      </c>
      <c r="M11169" t="s">
        <v>27251</v>
      </c>
      <c r="N11169" t="s">
        <v>27252</v>
      </c>
      <c r="Q11169" s="1">
        <v>44538</v>
      </c>
      <c r="R11169" t="s">
        <v>27253</v>
      </c>
      <c r="S11169" t="s">
        <v>27254</v>
      </c>
      <c r="T11169" t="s">
        <v>27255</v>
      </c>
    </row>
    <row r="11170" spans="1:20" x14ac:dyDescent="0.3">
      <c r="A11170" t="str">
        <f>"0611863954100"</f>
        <v>0611863954100</v>
      </c>
      <c r="B11170" t="str">
        <f>"CN5363"</f>
        <v>CN5363</v>
      </c>
      <c r="C11170" t="s">
        <v>48844</v>
      </c>
      <c r="D11170" t="s">
        <v>27335</v>
      </c>
      <c r="E11170" t="str">
        <f t="shared" si="174"/>
        <v>001390</v>
      </c>
      <c r="F11170" t="s">
        <v>27246</v>
      </c>
      <c r="G11170" t="s">
        <v>27247</v>
      </c>
      <c r="H11170" t="s">
        <v>27248</v>
      </c>
      <c r="I11170" t="s">
        <v>48845</v>
      </c>
      <c r="J11170" t="s">
        <v>22352</v>
      </c>
      <c r="L11170" t="s">
        <v>27250</v>
      </c>
      <c r="M11170" t="s">
        <v>27251</v>
      </c>
      <c r="N11170" t="s">
        <v>27252</v>
      </c>
      <c r="Q11170" s="1">
        <v>44846</v>
      </c>
      <c r="R11170" t="s">
        <v>27253</v>
      </c>
      <c r="S11170" t="s">
        <v>27254</v>
      </c>
      <c r="T11170" t="s">
        <v>27255</v>
      </c>
    </row>
    <row r="11171" spans="1:20" x14ac:dyDescent="0.3">
      <c r="A11171" t="str">
        <f>"0611838942025"</f>
        <v>0611838942025</v>
      </c>
      <c r="B11171" t="str">
        <f>"MC2622"</f>
        <v>MC2622</v>
      </c>
      <c r="C11171" t="s">
        <v>48846</v>
      </c>
      <c r="D11171" t="s">
        <v>27267</v>
      </c>
      <c r="E11171" t="str">
        <f t="shared" si="174"/>
        <v>001390</v>
      </c>
      <c r="F11171" t="s">
        <v>27246</v>
      </c>
      <c r="G11171" t="s">
        <v>27247</v>
      </c>
      <c r="H11171" t="s">
        <v>27248</v>
      </c>
      <c r="I11171" t="s">
        <v>48847</v>
      </c>
      <c r="J11171" t="s">
        <v>22354</v>
      </c>
      <c r="L11171" t="s">
        <v>27250</v>
      </c>
      <c r="M11171" t="s">
        <v>27251</v>
      </c>
      <c r="N11171" t="s">
        <v>27252</v>
      </c>
      <c r="Q11171" s="1">
        <v>44538</v>
      </c>
      <c r="R11171" t="s">
        <v>27253</v>
      </c>
      <c r="S11171" t="s">
        <v>27254</v>
      </c>
      <c r="T11171" t="s">
        <v>27269</v>
      </c>
    </row>
    <row r="11172" spans="1:20" x14ac:dyDescent="0.3">
      <c r="A11172" t="str">
        <f>"0611838943025"</f>
        <v>0611838943025</v>
      </c>
      <c r="B11172" t="str">
        <f>"MQ0356"</f>
        <v>MQ0356</v>
      </c>
      <c r="C11172" t="s">
        <v>48848</v>
      </c>
      <c r="D11172" t="s">
        <v>27267</v>
      </c>
      <c r="E11172" t="str">
        <f t="shared" si="174"/>
        <v>001390</v>
      </c>
      <c r="F11172" t="s">
        <v>27246</v>
      </c>
      <c r="G11172" t="s">
        <v>27247</v>
      </c>
      <c r="H11172" t="s">
        <v>27248</v>
      </c>
      <c r="I11172" t="s">
        <v>48849</v>
      </c>
      <c r="J11172" t="s">
        <v>22356</v>
      </c>
      <c r="L11172" t="s">
        <v>27250</v>
      </c>
      <c r="M11172" t="s">
        <v>27251</v>
      </c>
      <c r="N11172" t="s">
        <v>27252</v>
      </c>
      <c r="Q11172" s="1">
        <v>44538</v>
      </c>
      <c r="R11172" t="s">
        <v>27253</v>
      </c>
      <c r="S11172" t="s">
        <v>27254</v>
      </c>
      <c r="T11172" t="s">
        <v>27269</v>
      </c>
    </row>
    <row r="11173" spans="1:20" x14ac:dyDescent="0.3">
      <c r="A11173" t="str">
        <f>"0611838944025"</f>
        <v>0611838944025</v>
      </c>
      <c r="B11173" t="str">
        <f>"MQ0357"</f>
        <v>MQ0357</v>
      </c>
      <c r="C11173" t="s">
        <v>48850</v>
      </c>
      <c r="D11173" t="s">
        <v>27267</v>
      </c>
      <c r="E11173" t="str">
        <f t="shared" si="174"/>
        <v>001390</v>
      </c>
      <c r="F11173" t="s">
        <v>27246</v>
      </c>
      <c r="G11173" t="s">
        <v>27247</v>
      </c>
      <c r="H11173" t="s">
        <v>27248</v>
      </c>
      <c r="I11173" t="s">
        <v>48851</v>
      </c>
      <c r="J11173" t="s">
        <v>22358</v>
      </c>
      <c r="L11173" t="s">
        <v>27250</v>
      </c>
      <c r="M11173" t="s">
        <v>27251</v>
      </c>
      <c r="N11173" t="s">
        <v>27252</v>
      </c>
      <c r="Q11173" s="1">
        <v>44538</v>
      </c>
      <c r="R11173" t="s">
        <v>27253</v>
      </c>
      <c r="S11173" t="s">
        <v>27254</v>
      </c>
      <c r="T11173" t="s">
        <v>27269</v>
      </c>
    </row>
    <row r="11174" spans="1:20" x14ac:dyDescent="0.3">
      <c r="A11174" t="str">
        <f>"0611838945025"</f>
        <v>0611838945025</v>
      </c>
      <c r="B11174" t="str">
        <f>"MQ0454"</f>
        <v>MQ0454</v>
      </c>
      <c r="C11174" t="s">
        <v>48852</v>
      </c>
      <c r="D11174" t="s">
        <v>27267</v>
      </c>
      <c r="E11174" t="str">
        <f t="shared" si="174"/>
        <v>001390</v>
      </c>
      <c r="F11174" t="s">
        <v>27246</v>
      </c>
      <c r="G11174" t="s">
        <v>27247</v>
      </c>
      <c r="H11174" t="s">
        <v>27248</v>
      </c>
      <c r="I11174" t="s">
        <v>48853</v>
      </c>
      <c r="J11174" t="s">
        <v>22360</v>
      </c>
      <c r="L11174" t="s">
        <v>27250</v>
      </c>
      <c r="M11174" t="s">
        <v>27251</v>
      </c>
      <c r="N11174" t="s">
        <v>27252</v>
      </c>
      <c r="Q11174" s="1">
        <v>44538</v>
      </c>
      <c r="R11174" t="s">
        <v>27253</v>
      </c>
      <c r="S11174" t="s">
        <v>27254</v>
      </c>
      <c r="T11174" t="s">
        <v>27269</v>
      </c>
    </row>
    <row r="11175" spans="1:20" x14ac:dyDescent="0.3">
      <c r="A11175" t="str">
        <f>"0611838946025"</f>
        <v>0611838946025</v>
      </c>
      <c r="B11175" t="str">
        <f>"MC0664"</f>
        <v>MC0664</v>
      </c>
      <c r="C11175" t="s">
        <v>48854</v>
      </c>
      <c r="D11175" t="s">
        <v>27267</v>
      </c>
      <c r="E11175" t="str">
        <f t="shared" si="174"/>
        <v>001390</v>
      </c>
      <c r="F11175" t="s">
        <v>27246</v>
      </c>
      <c r="G11175" t="s">
        <v>27247</v>
      </c>
      <c r="H11175" t="s">
        <v>27248</v>
      </c>
      <c r="I11175" t="s">
        <v>48855</v>
      </c>
      <c r="J11175" t="s">
        <v>22364</v>
      </c>
      <c r="L11175" t="s">
        <v>27250</v>
      </c>
      <c r="M11175" t="s">
        <v>27251</v>
      </c>
      <c r="N11175" t="s">
        <v>27252</v>
      </c>
      <c r="Q11175" s="1">
        <v>44538</v>
      </c>
      <c r="R11175" t="s">
        <v>27253</v>
      </c>
      <c r="S11175" t="s">
        <v>27254</v>
      </c>
      <c r="T11175" t="s">
        <v>27269</v>
      </c>
    </row>
    <row r="11176" spans="1:20" x14ac:dyDescent="0.3">
      <c r="A11176" t="str">
        <f>"0611863955100"</f>
        <v>0611863955100</v>
      </c>
      <c r="B11176" t="str">
        <f>"CN5371"</f>
        <v>CN5371</v>
      </c>
      <c r="C11176" t="s">
        <v>48854</v>
      </c>
      <c r="D11176" t="s">
        <v>27335</v>
      </c>
      <c r="E11176" t="str">
        <f t="shared" si="174"/>
        <v>001390</v>
      </c>
      <c r="F11176" t="s">
        <v>27246</v>
      </c>
      <c r="G11176" t="s">
        <v>27247</v>
      </c>
      <c r="H11176" t="s">
        <v>27248</v>
      </c>
      <c r="I11176" t="s">
        <v>48856</v>
      </c>
      <c r="J11176" t="s">
        <v>22362</v>
      </c>
      <c r="L11176" t="s">
        <v>27250</v>
      </c>
      <c r="M11176" t="s">
        <v>27251</v>
      </c>
      <c r="N11176" t="s">
        <v>27252</v>
      </c>
      <c r="Q11176" s="1">
        <v>44846</v>
      </c>
      <c r="R11176" t="s">
        <v>27253</v>
      </c>
      <c r="S11176" t="s">
        <v>27254</v>
      </c>
      <c r="T11176" t="s">
        <v>27255</v>
      </c>
    </row>
    <row r="11177" spans="1:20" x14ac:dyDescent="0.3">
      <c r="A11177" t="str">
        <f>"0611863956050"</f>
        <v>0611863956050</v>
      </c>
      <c r="B11177" t="str">
        <f>"CR4454"</f>
        <v>CR4454</v>
      </c>
      <c r="C11177" t="s">
        <v>48854</v>
      </c>
      <c r="D11177" t="s">
        <v>27263</v>
      </c>
      <c r="E11177" t="str">
        <f t="shared" si="174"/>
        <v>001390</v>
      </c>
      <c r="F11177" t="s">
        <v>27246</v>
      </c>
      <c r="G11177" t="s">
        <v>27247</v>
      </c>
      <c r="H11177" t="s">
        <v>27248</v>
      </c>
      <c r="I11177" t="s">
        <v>48857</v>
      </c>
      <c r="J11177" t="s">
        <v>22366</v>
      </c>
      <c r="L11177" t="s">
        <v>27250</v>
      </c>
      <c r="M11177" t="s">
        <v>27251</v>
      </c>
      <c r="N11177" t="s">
        <v>27252</v>
      </c>
      <c r="Q11177" s="1">
        <v>44846</v>
      </c>
      <c r="R11177" t="s">
        <v>27253</v>
      </c>
      <c r="S11177" t="s">
        <v>27254</v>
      </c>
      <c r="T11177" t="s">
        <v>27265</v>
      </c>
    </row>
    <row r="11178" spans="1:20" x14ac:dyDescent="0.3">
      <c r="A11178" t="str">
        <f>"0611838947100"</f>
        <v>0611838947100</v>
      </c>
      <c r="B11178" t="str">
        <f>"LB8301"</f>
        <v>LB8301</v>
      </c>
      <c r="C11178" t="s">
        <v>48858</v>
      </c>
      <c r="D11178" t="s">
        <v>27245</v>
      </c>
      <c r="E11178" t="str">
        <f t="shared" si="174"/>
        <v>001390</v>
      </c>
      <c r="F11178" t="s">
        <v>27246</v>
      </c>
      <c r="G11178" t="s">
        <v>27247</v>
      </c>
      <c r="H11178" t="s">
        <v>27248</v>
      </c>
      <c r="I11178" t="s">
        <v>48859</v>
      </c>
      <c r="J11178" t="s">
        <v>22368</v>
      </c>
      <c r="L11178" t="s">
        <v>27250</v>
      </c>
      <c r="M11178" t="s">
        <v>27251</v>
      </c>
      <c r="N11178" t="s">
        <v>27252</v>
      </c>
      <c r="Q11178" s="1">
        <v>44538</v>
      </c>
      <c r="R11178" t="s">
        <v>27253</v>
      </c>
      <c r="S11178" t="s">
        <v>27254</v>
      </c>
      <c r="T11178" t="s">
        <v>27255</v>
      </c>
    </row>
    <row r="11179" spans="1:20" x14ac:dyDescent="0.3">
      <c r="A11179" t="str">
        <f>"0611838948025"</f>
        <v>0611838948025</v>
      </c>
      <c r="B11179" t="str">
        <f>"MC2775"</f>
        <v>MC2775</v>
      </c>
      <c r="C11179" t="s">
        <v>48860</v>
      </c>
      <c r="D11179" t="s">
        <v>28057</v>
      </c>
      <c r="E11179" t="str">
        <f t="shared" si="174"/>
        <v>001390</v>
      </c>
      <c r="F11179" t="s">
        <v>27246</v>
      </c>
      <c r="G11179" t="s">
        <v>27247</v>
      </c>
      <c r="H11179" t="s">
        <v>27248</v>
      </c>
      <c r="I11179" t="s">
        <v>48861</v>
      </c>
      <c r="J11179" t="s">
        <v>22370</v>
      </c>
      <c r="L11179" t="s">
        <v>27250</v>
      </c>
      <c r="M11179" t="s">
        <v>27251</v>
      </c>
      <c r="N11179" t="s">
        <v>27252</v>
      </c>
      <c r="P11179" t="s">
        <v>27925</v>
      </c>
      <c r="Q11179" s="1">
        <v>44538</v>
      </c>
      <c r="R11179" t="s">
        <v>27253</v>
      </c>
      <c r="S11179" t="s">
        <v>27254</v>
      </c>
      <c r="T11179" t="s">
        <v>27269</v>
      </c>
    </row>
    <row r="11180" spans="1:20" x14ac:dyDescent="0.3">
      <c r="A11180" t="str">
        <f>"0611838949025"</f>
        <v>0611838949025</v>
      </c>
      <c r="B11180" t="str">
        <f>"MC3200"</f>
        <v>MC3200</v>
      </c>
      <c r="C11180" t="s">
        <v>48862</v>
      </c>
      <c r="D11180" t="s">
        <v>28057</v>
      </c>
      <c r="E11180" t="str">
        <f t="shared" si="174"/>
        <v>001390</v>
      </c>
      <c r="F11180" t="s">
        <v>27246</v>
      </c>
      <c r="G11180" t="s">
        <v>27247</v>
      </c>
      <c r="H11180" t="s">
        <v>27248</v>
      </c>
      <c r="I11180" t="s">
        <v>48863</v>
      </c>
      <c r="J11180" t="s">
        <v>22372</v>
      </c>
      <c r="L11180" t="s">
        <v>27250</v>
      </c>
      <c r="M11180" t="s">
        <v>27251</v>
      </c>
      <c r="N11180" t="s">
        <v>27252</v>
      </c>
      <c r="P11180" t="s">
        <v>27925</v>
      </c>
      <c r="Q11180" s="1">
        <v>44538</v>
      </c>
      <c r="R11180" t="s">
        <v>27253</v>
      </c>
      <c r="S11180" t="s">
        <v>27254</v>
      </c>
      <c r="T11180" t="s">
        <v>27269</v>
      </c>
    </row>
    <row r="11181" spans="1:20" x14ac:dyDescent="0.3">
      <c r="A11181" t="str">
        <f>"0611838950100"</f>
        <v>0611838950100</v>
      </c>
      <c r="B11181" t="str">
        <f>"LC9154"</f>
        <v>LC9154</v>
      </c>
      <c r="C11181" t="s">
        <v>48864</v>
      </c>
      <c r="D11181" t="s">
        <v>27245</v>
      </c>
      <c r="E11181" t="str">
        <f t="shared" si="174"/>
        <v>001390</v>
      </c>
      <c r="F11181" t="s">
        <v>27246</v>
      </c>
      <c r="G11181" t="s">
        <v>27247</v>
      </c>
      <c r="H11181" t="s">
        <v>27248</v>
      </c>
      <c r="I11181" t="s">
        <v>48865</v>
      </c>
      <c r="J11181" t="s">
        <v>22374</v>
      </c>
      <c r="L11181" t="s">
        <v>27250</v>
      </c>
      <c r="M11181" t="s">
        <v>27251</v>
      </c>
      <c r="N11181" t="s">
        <v>27252</v>
      </c>
      <c r="Q11181" s="1">
        <v>44538</v>
      </c>
      <c r="R11181" t="s">
        <v>27253</v>
      </c>
      <c r="S11181" t="s">
        <v>27254</v>
      </c>
      <c r="T11181" t="s">
        <v>27255</v>
      </c>
    </row>
    <row r="11182" spans="1:20" x14ac:dyDescent="0.3">
      <c r="A11182" t="str">
        <f>"0611838951100"</f>
        <v>0611838951100</v>
      </c>
      <c r="B11182" t="str">
        <f>"LH7418"</f>
        <v>LH7418</v>
      </c>
      <c r="C11182" t="s">
        <v>48866</v>
      </c>
      <c r="D11182" t="s">
        <v>27245</v>
      </c>
      <c r="E11182" t="str">
        <f t="shared" si="174"/>
        <v>001390</v>
      </c>
      <c r="F11182" t="s">
        <v>27246</v>
      </c>
      <c r="G11182" t="s">
        <v>27247</v>
      </c>
      <c r="H11182" t="s">
        <v>27248</v>
      </c>
      <c r="I11182" t="s">
        <v>48867</v>
      </c>
      <c r="J11182" t="s">
        <v>22376</v>
      </c>
      <c r="L11182" t="s">
        <v>27250</v>
      </c>
      <c r="M11182" t="s">
        <v>27251</v>
      </c>
      <c r="N11182" t="s">
        <v>27252</v>
      </c>
      <c r="Q11182" s="1">
        <v>44538</v>
      </c>
      <c r="R11182" t="s">
        <v>27253</v>
      </c>
      <c r="S11182" t="s">
        <v>27254</v>
      </c>
      <c r="T11182" t="s">
        <v>27255</v>
      </c>
    </row>
    <row r="11183" spans="1:20" x14ac:dyDescent="0.3">
      <c r="A11183" t="str">
        <f>"0611838952025"</f>
        <v>0611838952025</v>
      </c>
      <c r="B11183" t="str">
        <f>"MC1354"</f>
        <v>MC1354</v>
      </c>
      <c r="C11183" t="s">
        <v>48866</v>
      </c>
      <c r="D11183" t="s">
        <v>27267</v>
      </c>
      <c r="E11183" t="str">
        <f t="shared" si="174"/>
        <v>001390</v>
      </c>
      <c r="F11183" t="s">
        <v>27246</v>
      </c>
      <c r="G11183" t="s">
        <v>27247</v>
      </c>
      <c r="H11183" t="s">
        <v>27248</v>
      </c>
      <c r="I11183" t="s">
        <v>48868</v>
      </c>
      <c r="J11183" t="s">
        <v>22378</v>
      </c>
      <c r="L11183" t="s">
        <v>27250</v>
      </c>
      <c r="M11183" t="s">
        <v>27251</v>
      </c>
      <c r="N11183" t="s">
        <v>27252</v>
      </c>
      <c r="Q11183" s="1">
        <v>44538</v>
      </c>
      <c r="R11183" t="s">
        <v>27253</v>
      </c>
      <c r="S11183" t="s">
        <v>27254</v>
      </c>
      <c r="T11183" t="s">
        <v>27269</v>
      </c>
    </row>
    <row r="11184" spans="1:20" x14ac:dyDescent="0.3">
      <c r="A11184" t="str">
        <f>"0611863957100"</f>
        <v>0611863957100</v>
      </c>
      <c r="B11184" t="str">
        <f>"CN5364"</f>
        <v>CN5364</v>
      </c>
      <c r="C11184" t="s">
        <v>48869</v>
      </c>
      <c r="D11184" t="s">
        <v>27339</v>
      </c>
      <c r="E11184" t="str">
        <f t="shared" si="174"/>
        <v>001390</v>
      </c>
      <c r="F11184" t="s">
        <v>27246</v>
      </c>
      <c r="G11184" t="s">
        <v>27247</v>
      </c>
      <c r="H11184" t="s">
        <v>27248</v>
      </c>
      <c r="I11184" t="s">
        <v>48870</v>
      </c>
      <c r="J11184" t="s">
        <v>22380</v>
      </c>
      <c r="L11184" t="s">
        <v>27250</v>
      </c>
      <c r="M11184" t="s">
        <v>27251</v>
      </c>
      <c r="N11184" t="s">
        <v>27252</v>
      </c>
      <c r="P11184" t="s">
        <v>27341</v>
      </c>
      <c r="Q11184" s="1">
        <v>44846</v>
      </c>
      <c r="R11184" t="s">
        <v>27253</v>
      </c>
      <c r="S11184" t="s">
        <v>27254</v>
      </c>
      <c r="T11184" t="s">
        <v>27255</v>
      </c>
    </row>
    <row r="11185" spans="1:20" x14ac:dyDescent="0.3">
      <c r="A11185" t="str">
        <f>"0611863958100"</f>
        <v>0611863958100</v>
      </c>
      <c r="B11185" t="str">
        <f>"CN5365"</f>
        <v>CN5365</v>
      </c>
      <c r="C11185" t="s">
        <v>48871</v>
      </c>
      <c r="D11185" t="s">
        <v>27339</v>
      </c>
      <c r="E11185" t="str">
        <f t="shared" si="174"/>
        <v>001390</v>
      </c>
      <c r="F11185" t="s">
        <v>27246</v>
      </c>
      <c r="G11185" t="s">
        <v>27247</v>
      </c>
      <c r="H11185" t="s">
        <v>27248</v>
      </c>
      <c r="I11185" t="s">
        <v>48872</v>
      </c>
      <c r="J11185" t="s">
        <v>22382</v>
      </c>
      <c r="L11185" t="s">
        <v>27250</v>
      </c>
      <c r="M11185" t="s">
        <v>27251</v>
      </c>
      <c r="N11185" t="s">
        <v>27252</v>
      </c>
      <c r="P11185" t="s">
        <v>27341</v>
      </c>
      <c r="Q11185" s="1">
        <v>44846</v>
      </c>
      <c r="R11185" t="s">
        <v>27253</v>
      </c>
      <c r="S11185" t="s">
        <v>27254</v>
      </c>
      <c r="T11185" t="s">
        <v>27255</v>
      </c>
    </row>
    <row r="11186" spans="1:20" x14ac:dyDescent="0.3">
      <c r="A11186" t="str">
        <f>"0611838953025"</f>
        <v>0611838953025</v>
      </c>
      <c r="B11186" t="str">
        <f>"MQ0660"</f>
        <v>MQ0660</v>
      </c>
      <c r="C11186" t="s">
        <v>48873</v>
      </c>
      <c r="D11186" t="s">
        <v>27267</v>
      </c>
      <c r="E11186" t="str">
        <f t="shared" si="174"/>
        <v>001390</v>
      </c>
      <c r="F11186" t="s">
        <v>27246</v>
      </c>
      <c r="G11186" t="s">
        <v>27247</v>
      </c>
      <c r="H11186" t="s">
        <v>27248</v>
      </c>
      <c r="I11186" t="s">
        <v>48874</v>
      </c>
      <c r="J11186" t="s">
        <v>22384</v>
      </c>
      <c r="L11186" t="s">
        <v>27250</v>
      </c>
      <c r="M11186" t="s">
        <v>27251</v>
      </c>
      <c r="N11186" t="s">
        <v>27252</v>
      </c>
      <c r="Q11186" s="1">
        <v>44538</v>
      </c>
      <c r="R11186" t="s">
        <v>27253</v>
      </c>
      <c r="S11186" t="s">
        <v>27254</v>
      </c>
      <c r="T11186" t="s">
        <v>27269</v>
      </c>
    </row>
    <row r="11187" spans="1:20" x14ac:dyDescent="0.3">
      <c r="A11187" t="str">
        <f>"0611838954025"</f>
        <v>0611838954025</v>
      </c>
      <c r="B11187" t="str">
        <f>"MQ3191"</f>
        <v>MQ3191</v>
      </c>
      <c r="C11187" t="s">
        <v>48875</v>
      </c>
      <c r="D11187" t="s">
        <v>27267</v>
      </c>
      <c r="E11187" t="str">
        <f t="shared" si="174"/>
        <v>001390</v>
      </c>
      <c r="F11187" t="s">
        <v>27246</v>
      </c>
      <c r="G11187" t="s">
        <v>27247</v>
      </c>
      <c r="H11187" t="s">
        <v>27248</v>
      </c>
      <c r="I11187" t="s">
        <v>48876</v>
      </c>
      <c r="J11187" t="s">
        <v>22386</v>
      </c>
      <c r="L11187" t="s">
        <v>27250</v>
      </c>
      <c r="M11187" t="s">
        <v>27251</v>
      </c>
      <c r="N11187" t="s">
        <v>27252</v>
      </c>
      <c r="Q11187" s="1">
        <v>44538</v>
      </c>
      <c r="R11187" t="s">
        <v>27253</v>
      </c>
      <c r="S11187" t="s">
        <v>27254</v>
      </c>
      <c r="T11187" t="s">
        <v>27269</v>
      </c>
    </row>
    <row r="11188" spans="1:20" x14ac:dyDescent="0.3">
      <c r="A11188" t="str">
        <f>"0611838955025"</f>
        <v>0611838955025</v>
      </c>
      <c r="B11188" t="str">
        <f>"MQ3192"</f>
        <v>MQ3192</v>
      </c>
      <c r="C11188" t="s">
        <v>48877</v>
      </c>
      <c r="D11188" t="s">
        <v>27267</v>
      </c>
      <c r="E11188" t="str">
        <f t="shared" si="174"/>
        <v>001390</v>
      </c>
      <c r="F11188" t="s">
        <v>27246</v>
      </c>
      <c r="G11188" t="s">
        <v>27247</v>
      </c>
      <c r="H11188" t="s">
        <v>27248</v>
      </c>
      <c r="I11188" t="s">
        <v>48878</v>
      </c>
      <c r="J11188" t="s">
        <v>22388</v>
      </c>
      <c r="L11188" t="s">
        <v>27250</v>
      </c>
      <c r="M11188" t="s">
        <v>27251</v>
      </c>
      <c r="N11188" t="s">
        <v>27252</v>
      </c>
      <c r="Q11188" s="1">
        <v>44538</v>
      </c>
      <c r="R11188" t="s">
        <v>27253</v>
      </c>
      <c r="S11188" t="s">
        <v>27254</v>
      </c>
      <c r="T11188" t="s">
        <v>27269</v>
      </c>
    </row>
    <row r="11189" spans="1:20" x14ac:dyDescent="0.3">
      <c r="A11189" t="str">
        <f>"0611838956025"</f>
        <v>0611838956025</v>
      </c>
      <c r="B11189" t="str">
        <f>"MQ3194"</f>
        <v>MQ3194</v>
      </c>
      <c r="C11189" t="s">
        <v>48879</v>
      </c>
      <c r="D11189" t="s">
        <v>27267</v>
      </c>
      <c r="E11189" t="str">
        <f t="shared" si="174"/>
        <v>001390</v>
      </c>
      <c r="F11189" t="s">
        <v>27246</v>
      </c>
      <c r="G11189" t="s">
        <v>27247</v>
      </c>
      <c r="H11189" t="s">
        <v>27248</v>
      </c>
      <c r="I11189" t="s">
        <v>48880</v>
      </c>
      <c r="J11189" t="s">
        <v>22390</v>
      </c>
      <c r="L11189" t="s">
        <v>27250</v>
      </c>
      <c r="M11189" t="s">
        <v>27251</v>
      </c>
      <c r="N11189" t="s">
        <v>27252</v>
      </c>
      <c r="Q11189" s="1">
        <v>44538</v>
      </c>
      <c r="R11189" t="s">
        <v>27253</v>
      </c>
      <c r="S11189" t="s">
        <v>27254</v>
      </c>
      <c r="T11189" t="s">
        <v>27269</v>
      </c>
    </row>
    <row r="11190" spans="1:20" x14ac:dyDescent="0.3">
      <c r="A11190" t="str">
        <f>"0611838957025"</f>
        <v>0611838957025</v>
      </c>
      <c r="B11190" t="str">
        <f>"MQ3195"</f>
        <v>MQ3195</v>
      </c>
      <c r="C11190" t="s">
        <v>48881</v>
      </c>
      <c r="D11190" t="s">
        <v>27267</v>
      </c>
      <c r="E11190" t="str">
        <f t="shared" si="174"/>
        <v>001390</v>
      </c>
      <c r="F11190" t="s">
        <v>27246</v>
      </c>
      <c r="G11190" t="s">
        <v>27247</v>
      </c>
      <c r="H11190" t="s">
        <v>27248</v>
      </c>
      <c r="I11190" t="s">
        <v>48882</v>
      </c>
      <c r="J11190" t="s">
        <v>22392</v>
      </c>
      <c r="L11190" t="s">
        <v>27250</v>
      </c>
      <c r="M11190" t="s">
        <v>27251</v>
      </c>
      <c r="N11190" t="s">
        <v>27252</v>
      </c>
      <c r="Q11190" s="1">
        <v>44538</v>
      </c>
      <c r="R11190" t="s">
        <v>27253</v>
      </c>
      <c r="S11190" t="s">
        <v>27254</v>
      </c>
      <c r="T11190" t="s">
        <v>27269</v>
      </c>
    </row>
    <row r="11191" spans="1:20" x14ac:dyDescent="0.3">
      <c r="A11191" t="str">
        <f>"0611838958025"</f>
        <v>0611838958025</v>
      </c>
      <c r="B11191" t="str">
        <f>"MQ3196"</f>
        <v>MQ3196</v>
      </c>
      <c r="C11191" t="s">
        <v>48883</v>
      </c>
      <c r="D11191" t="s">
        <v>27267</v>
      </c>
      <c r="E11191" t="str">
        <f t="shared" si="174"/>
        <v>001390</v>
      </c>
      <c r="F11191" t="s">
        <v>27246</v>
      </c>
      <c r="G11191" t="s">
        <v>27247</v>
      </c>
      <c r="H11191" t="s">
        <v>27248</v>
      </c>
      <c r="I11191" t="s">
        <v>48884</v>
      </c>
      <c r="J11191" t="s">
        <v>22394</v>
      </c>
      <c r="L11191" t="s">
        <v>27250</v>
      </c>
      <c r="M11191" t="s">
        <v>27251</v>
      </c>
      <c r="N11191" t="s">
        <v>27252</v>
      </c>
      <c r="Q11191" s="1">
        <v>44538</v>
      </c>
      <c r="R11191" t="s">
        <v>27253</v>
      </c>
      <c r="S11191" t="s">
        <v>27254</v>
      </c>
      <c r="T11191" t="s">
        <v>27269</v>
      </c>
    </row>
    <row r="11192" spans="1:20" x14ac:dyDescent="0.3">
      <c r="A11192" t="str">
        <f>"0611838959025"</f>
        <v>0611838959025</v>
      </c>
      <c r="B11192" t="str">
        <f>"MQ0661"</f>
        <v>MQ0661</v>
      </c>
      <c r="C11192" t="s">
        <v>48885</v>
      </c>
      <c r="D11192" t="s">
        <v>27267</v>
      </c>
      <c r="E11192" t="str">
        <f t="shared" si="174"/>
        <v>001390</v>
      </c>
      <c r="F11192" t="s">
        <v>27246</v>
      </c>
      <c r="G11192" t="s">
        <v>27247</v>
      </c>
      <c r="H11192" t="s">
        <v>27248</v>
      </c>
      <c r="I11192" t="s">
        <v>48886</v>
      </c>
      <c r="J11192" t="s">
        <v>22396</v>
      </c>
      <c r="L11192" t="s">
        <v>27250</v>
      </c>
      <c r="M11192" t="s">
        <v>27251</v>
      </c>
      <c r="N11192" t="s">
        <v>27252</v>
      </c>
      <c r="Q11192" s="1">
        <v>44538</v>
      </c>
      <c r="R11192" t="s">
        <v>27253</v>
      </c>
      <c r="S11192" t="s">
        <v>27254</v>
      </c>
      <c r="T11192" t="s">
        <v>27269</v>
      </c>
    </row>
    <row r="11193" spans="1:20" x14ac:dyDescent="0.3">
      <c r="A11193" t="str">
        <f>"0611838960025"</f>
        <v>0611838960025</v>
      </c>
      <c r="B11193" t="str">
        <f>"MQ3197"</f>
        <v>MQ3197</v>
      </c>
      <c r="C11193" t="s">
        <v>48887</v>
      </c>
      <c r="D11193" t="s">
        <v>27267</v>
      </c>
      <c r="E11193" t="str">
        <f t="shared" si="174"/>
        <v>001390</v>
      </c>
      <c r="F11193" t="s">
        <v>27246</v>
      </c>
      <c r="G11193" t="s">
        <v>27247</v>
      </c>
      <c r="H11193" t="s">
        <v>27248</v>
      </c>
      <c r="I11193" t="s">
        <v>48888</v>
      </c>
      <c r="J11193" t="s">
        <v>22398</v>
      </c>
      <c r="L11193" t="s">
        <v>27250</v>
      </c>
      <c r="M11193" t="s">
        <v>27251</v>
      </c>
      <c r="N11193" t="s">
        <v>27252</v>
      </c>
      <c r="Q11193" s="1">
        <v>44538</v>
      </c>
      <c r="R11193" t="s">
        <v>27253</v>
      </c>
      <c r="S11193" t="s">
        <v>27254</v>
      </c>
      <c r="T11193" t="s">
        <v>27269</v>
      </c>
    </row>
    <row r="11194" spans="1:20" x14ac:dyDescent="0.3">
      <c r="A11194" t="str">
        <f>"0611838961025"</f>
        <v>0611838961025</v>
      </c>
      <c r="B11194" t="str">
        <f>"MQ0452"</f>
        <v>MQ0452</v>
      </c>
      <c r="C11194" t="s">
        <v>48889</v>
      </c>
      <c r="D11194" t="s">
        <v>27267</v>
      </c>
      <c r="E11194" t="str">
        <f t="shared" si="174"/>
        <v>001390</v>
      </c>
      <c r="F11194" t="s">
        <v>27246</v>
      </c>
      <c r="G11194" t="s">
        <v>27247</v>
      </c>
      <c r="H11194" t="s">
        <v>27248</v>
      </c>
      <c r="I11194" t="s">
        <v>48890</v>
      </c>
      <c r="J11194" t="s">
        <v>22400</v>
      </c>
      <c r="L11194" t="s">
        <v>27250</v>
      </c>
      <c r="M11194" t="s">
        <v>27251</v>
      </c>
      <c r="N11194" t="s">
        <v>27252</v>
      </c>
      <c r="Q11194" s="1">
        <v>44538</v>
      </c>
      <c r="R11194" t="s">
        <v>27253</v>
      </c>
      <c r="S11194" t="s">
        <v>27254</v>
      </c>
      <c r="T11194" t="s">
        <v>27269</v>
      </c>
    </row>
    <row r="11195" spans="1:20" x14ac:dyDescent="0.3">
      <c r="A11195" t="str">
        <f>"0611838963025"</f>
        <v>0611838963025</v>
      </c>
      <c r="B11195" t="str">
        <f>"MQ3199"</f>
        <v>MQ3199</v>
      </c>
      <c r="C11195" t="s">
        <v>48891</v>
      </c>
      <c r="D11195" t="s">
        <v>27267</v>
      </c>
      <c r="E11195" t="str">
        <f t="shared" si="174"/>
        <v>001390</v>
      </c>
      <c r="F11195" t="s">
        <v>27246</v>
      </c>
      <c r="G11195" t="s">
        <v>27247</v>
      </c>
      <c r="H11195" t="s">
        <v>27248</v>
      </c>
      <c r="I11195" t="s">
        <v>48892</v>
      </c>
      <c r="J11195" t="s">
        <v>22402</v>
      </c>
      <c r="L11195" t="s">
        <v>27250</v>
      </c>
      <c r="M11195" t="s">
        <v>27251</v>
      </c>
      <c r="N11195" t="s">
        <v>27252</v>
      </c>
      <c r="Q11195" s="1">
        <v>44538</v>
      </c>
      <c r="R11195" t="s">
        <v>27253</v>
      </c>
      <c r="S11195" t="s">
        <v>27254</v>
      </c>
      <c r="T11195" t="s">
        <v>27269</v>
      </c>
    </row>
    <row r="11196" spans="1:20" x14ac:dyDescent="0.3">
      <c r="A11196" t="str">
        <f>"0611838964025"</f>
        <v>0611838964025</v>
      </c>
      <c r="B11196" t="str">
        <f>"MQ0453"</f>
        <v>MQ0453</v>
      </c>
      <c r="C11196" t="s">
        <v>48893</v>
      </c>
      <c r="D11196" t="s">
        <v>27267</v>
      </c>
      <c r="E11196" t="str">
        <f t="shared" si="174"/>
        <v>001390</v>
      </c>
      <c r="F11196" t="s">
        <v>27246</v>
      </c>
      <c r="G11196" t="s">
        <v>27247</v>
      </c>
      <c r="H11196" t="s">
        <v>27248</v>
      </c>
      <c r="I11196" t="s">
        <v>48894</v>
      </c>
      <c r="J11196" t="s">
        <v>22404</v>
      </c>
      <c r="L11196" t="s">
        <v>27250</v>
      </c>
      <c r="M11196" t="s">
        <v>27251</v>
      </c>
      <c r="N11196" t="s">
        <v>27252</v>
      </c>
      <c r="Q11196" s="1">
        <v>44538</v>
      </c>
      <c r="R11196" t="s">
        <v>27253</v>
      </c>
      <c r="S11196" t="s">
        <v>27254</v>
      </c>
      <c r="T11196" t="s">
        <v>27269</v>
      </c>
    </row>
    <row r="11197" spans="1:20" x14ac:dyDescent="0.3">
      <c r="A11197" t="str">
        <f>"0611838965100"</f>
        <v>0611838965100</v>
      </c>
      <c r="B11197" t="str">
        <f>"LK6662"</f>
        <v>LK6662</v>
      </c>
      <c r="C11197" t="s">
        <v>48895</v>
      </c>
      <c r="D11197" t="s">
        <v>28138</v>
      </c>
      <c r="E11197" t="str">
        <f t="shared" si="174"/>
        <v>001390</v>
      </c>
      <c r="F11197" t="s">
        <v>27246</v>
      </c>
      <c r="G11197" t="s">
        <v>27247</v>
      </c>
      <c r="H11197" t="s">
        <v>27248</v>
      </c>
      <c r="I11197" t="s">
        <v>48896</v>
      </c>
      <c r="J11197" t="s">
        <v>22406</v>
      </c>
      <c r="L11197" t="s">
        <v>27250</v>
      </c>
      <c r="M11197" t="s">
        <v>27251</v>
      </c>
      <c r="N11197" t="s">
        <v>27252</v>
      </c>
      <c r="P11197" t="s">
        <v>27925</v>
      </c>
      <c r="Q11197" s="1">
        <v>44538</v>
      </c>
      <c r="R11197" t="s">
        <v>27253</v>
      </c>
      <c r="S11197" t="s">
        <v>27254</v>
      </c>
      <c r="T11197" t="s">
        <v>27255</v>
      </c>
    </row>
    <row r="11198" spans="1:20" x14ac:dyDescent="0.3">
      <c r="A11198" t="str">
        <f>"0611838966100"</f>
        <v>0611838966100</v>
      </c>
      <c r="B11198" t="str">
        <f>"LK6663"</f>
        <v>LK6663</v>
      </c>
      <c r="C11198" t="s">
        <v>48897</v>
      </c>
      <c r="D11198" t="s">
        <v>28138</v>
      </c>
      <c r="E11198" t="str">
        <f t="shared" si="174"/>
        <v>001390</v>
      </c>
      <c r="F11198" t="s">
        <v>27246</v>
      </c>
      <c r="G11198" t="s">
        <v>27247</v>
      </c>
      <c r="H11198" t="s">
        <v>27248</v>
      </c>
      <c r="I11198" t="s">
        <v>48898</v>
      </c>
      <c r="J11198" t="s">
        <v>22408</v>
      </c>
      <c r="L11198" t="s">
        <v>27250</v>
      </c>
      <c r="M11198" t="s">
        <v>27251</v>
      </c>
      <c r="N11198" t="s">
        <v>27252</v>
      </c>
      <c r="P11198" t="s">
        <v>27925</v>
      </c>
      <c r="Q11198" s="1">
        <v>44538</v>
      </c>
      <c r="R11198" t="s">
        <v>27253</v>
      </c>
      <c r="S11198" t="s">
        <v>27254</v>
      </c>
      <c r="T11198" t="s">
        <v>27255</v>
      </c>
    </row>
    <row r="11199" spans="1:20" x14ac:dyDescent="0.3">
      <c r="A11199" t="str">
        <f>"0611838967100"</f>
        <v>0611838967100</v>
      </c>
      <c r="B11199" t="str">
        <f>"LK3011"</f>
        <v>LK3011</v>
      </c>
      <c r="C11199" t="s">
        <v>48899</v>
      </c>
      <c r="D11199" t="s">
        <v>28138</v>
      </c>
      <c r="E11199" t="str">
        <f t="shared" si="174"/>
        <v>001390</v>
      </c>
      <c r="F11199" t="s">
        <v>27246</v>
      </c>
      <c r="G11199" t="s">
        <v>27247</v>
      </c>
      <c r="H11199" t="s">
        <v>27248</v>
      </c>
      <c r="I11199" t="s">
        <v>48900</v>
      </c>
      <c r="J11199" t="s">
        <v>22410</v>
      </c>
      <c r="L11199" t="s">
        <v>27250</v>
      </c>
      <c r="M11199" t="s">
        <v>27251</v>
      </c>
      <c r="N11199" t="s">
        <v>27252</v>
      </c>
      <c r="P11199" t="s">
        <v>27925</v>
      </c>
      <c r="Q11199" s="1">
        <v>44538</v>
      </c>
      <c r="R11199" t="s">
        <v>27253</v>
      </c>
      <c r="S11199" t="s">
        <v>27254</v>
      </c>
      <c r="T11199" t="s">
        <v>27255</v>
      </c>
    </row>
    <row r="11200" spans="1:20" x14ac:dyDescent="0.3">
      <c r="A11200" t="str">
        <f>"0611838968100"</f>
        <v>0611838968100</v>
      </c>
      <c r="B11200" t="str">
        <f>"LK6664"</f>
        <v>LK6664</v>
      </c>
      <c r="C11200" t="s">
        <v>48901</v>
      </c>
      <c r="D11200" t="s">
        <v>28138</v>
      </c>
      <c r="E11200" t="str">
        <f t="shared" si="174"/>
        <v>001390</v>
      </c>
      <c r="F11200" t="s">
        <v>27246</v>
      </c>
      <c r="G11200" t="s">
        <v>27247</v>
      </c>
      <c r="H11200" t="s">
        <v>27248</v>
      </c>
      <c r="I11200" t="s">
        <v>48902</v>
      </c>
      <c r="J11200" t="s">
        <v>22412</v>
      </c>
      <c r="L11200" t="s">
        <v>27250</v>
      </c>
      <c r="M11200" t="s">
        <v>27251</v>
      </c>
      <c r="N11200" t="s">
        <v>27252</v>
      </c>
      <c r="P11200" t="s">
        <v>27925</v>
      </c>
      <c r="Q11200" s="1">
        <v>44538</v>
      </c>
      <c r="R11200" t="s">
        <v>27253</v>
      </c>
      <c r="S11200" t="s">
        <v>27254</v>
      </c>
      <c r="T11200" t="s">
        <v>27255</v>
      </c>
    </row>
    <row r="11201" spans="1:20" x14ac:dyDescent="0.3">
      <c r="A11201" t="str">
        <f>"0611838969100"</f>
        <v>0611838969100</v>
      </c>
      <c r="B11201" t="str">
        <f>"LK6665"</f>
        <v>LK6665</v>
      </c>
      <c r="C11201" t="s">
        <v>48903</v>
      </c>
      <c r="D11201" t="s">
        <v>28138</v>
      </c>
      <c r="E11201" t="str">
        <f t="shared" si="174"/>
        <v>001390</v>
      </c>
      <c r="F11201" t="s">
        <v>27246</v>
      </c>
      <c r="G11201" t="s">
        <v>27247</v>
      </c>
      <c r="H11201" t="s">
        <v>27248</v>
      </c>
      <c r="I11201" t="s">
        <v>48904</v>
      </c>
      <c r="J11201" t="s">
        <v>22414</v>
      </c>
      <c r="L11201" t="s">
        <v>27250</v>
      </c>
      <c r="M11201" t="s">
        <v>27251</v>
      </c>
      <c r="N11201" t="s">
        <v>27252</v>
      </c>
      <c r="P11201" t="s">
        <v>27925</v>
      </c>
      <c r="Q11201" s="1">
        <v>44538</v>
      </c>
      <c r="R11201" t="s">
        <v>27253</v>
      </c>
      <c r="S11201" t="s">
        <v>27254</v>
      </c>
      <c r="T11201" t="s">
        <v>27255</v>
      </c>
    </row>
    <row r="11202" spans="1:20" x14ac:dyDescent="0.3">
      <c r="A11202" t="str">
        <f>"0611838970100"</f>
        <v>0611838970100</v>
      </c>
      <c r="B11202" t="str">
        <f>"LK6666"</f>
        <v>LK6666</v>
      </c>
      <c r="C11202" t="s">
        <v>48905</v>
      </c>
      <c r="D11202" t="s">
        <v>28138</v>
      </c>
      <c r="E11202" t="str">
        <f t="shared" ref="E11202:E11265" si="175">"001390"</f>
        <v>001390</v>
      </c>
      <c r="F11202" t="s">
        <v>27246</v>
      </c>
      <c r="G11202" t="s">
        <v>27247</v>
      </c>
      <c r="H11202" t="s">
        <v>27248</v>
      </c>
      <c r="I11202" t="s">
        <v>48906</v>
      </c>
      <c r="J11202" t="s">
        <v>22416</v>
      </c>
      <c r="L11202" t="s">
        <v>27250</v>
      </c>
      <c r="M11202" t="s">
        <v>27251</v>
      </c>
      <c r="N11202" t="s">
        <v>27252</v>
      </c>
      <c r="P11202" t="s">
        <v>27925</v>
      </c>
      <c r="Q11202" s="1">
        <v>44538</v>
      </c>
      <c r="R11202" t="s">
        <v>27253</v>
      </c>
      <c r="S11202" t="s">
        <v>27254</v>
      </c>
      <c r="T11202" t="s">
        <v>27255</v>
      </c>
    </row>
    <row r="11203" spans="1:20" x14ac:dyDescent="0.3">
      <c r="A11203" t="str">
        <f>"0611838971100"</f>
        <v>0611838971100</v>
      </c>
      <c r="B11203" t="str">
        <f>"LB8181"</f>
        <v>LB8181</v>
      </c>
      <c r="C11203" t="s">
        <v>48907</v>
      </c>
      <c r="D11203" t="s">
        <v>27245</v>
      </c>
      <c r="E11203" t="str">
        <f t="shared" si="175"/>
        <v>001390</v>
      </c>
      <c r="F11203" t="s">
        <v>27246</v>
      </c>
      <c r="G11203" t="s">
        <v>27247</v>
      </c>
      <c r="H11203" t="s">
        <v>27248</v>
      </c>
      <c r="I11203" t="s">
        <v>48908</v>
      </c>
      <c r="J11203" t="s">
        <v>22418</v>
      </c>
      <c r="L11203" t="s">
        <v>27250</v>
      </c>
      <c r="M11203" t="s">
        <v>27251</v>
      </c>
      <c r="N11203" t="s">
        <v>27252</v>
      </c>
      <c r="Q11203" s="1">
        <v>44538</v>
      </c>
      <c r="R11203" t="s">
        <v>27253</v>
      </c>
      <c r="S11203" t="s">
        <v>27254</v>
      </c>
      <c r="T11203" t="s">
        <v>27255</v>
      </c>
    </row>
    <row r="11204" spans="1:20" x14ac:dyDescent="0.3">
      <c r="A11204" t="str">
        <f>"0611838972100"</f>
        <v>0611838972100</v>
      </c>
      <c r="B11204" t="str">
        <f>"LB8182"</f>
        <v>LB8182</v>
      </c>
      <c r="C11204" t="s">
        <v>48909</v>
      </c>
      <c r="D11204" t="s">
        <v>27245</v>
      </c>
      <c r="E11204" t="str">
        <f t="shared" si="175"/>
        <v>001390</v>
      </c>
      <c r="F11204" t="s">
        <v>27246</v>
      </c>
      <c r="G11204" t="s">
        <v>27247</v>
      </c>
      <c r="H11204" t="s">
        <v>27248</v>
      </c>
      <c r="I11204" t="s">
        <v>48910</v>
      </c>
      <c r="J11204" t="s">
        <v>22420</v>
      </c>
      <c r="L11204" t="s">
        <v>27250</v>
      </c>
      <c r="M11204" t="s">
        <v>27251</v>
      </c>
      <c r="N11204" t="s">
        <v>27252</v>
      </c>
      <c r="Q11204" s="1">
        <v>44538</v>
      </c>
      <c r="R11204" t="s">
        <v>27253</v>
      </c>
      <c r="S11204" t="s">
        <v>27254</v>
      </c>
      <c r="T11204" t="s">
        <v>27255</v>
      </c>
    </row>
    <row r="11205" spans="1:20" x14ac:dyDescent="0.3">
      <c r="A11205" t="str">
        <f>"0611884447100"</f>
        <v>0611884447100</v>
      </c>
      <c r="B11205" t="str">
        <f>"LQ3939"</f>
        <v>LQ3939</v>
      </c>
      <c r="C11205" t="s">
        <v>48911</v>
      </c>
      <c r="D11205" t="s">
        <v>27245</v>
      </c>
      <c r="E11205" t="str">
        <f t="shared" si="175"/>
        <v>001390</v>
      </c>
      <c r="F11205" t="s">
        <v>27246</v>
      </c>
      <c r="G11205" t="s">
        <v>27247</v>
      </c>
      <c r="H11205" t="s">
        <v>27248</v>
      </c>
      <c r="I11205" t="s">
        <v>48912</v>
      </c>
      <c r="J11205" t="s">
        <v>22422</v>
      </c>
      <c r="L11205" t="s">
        <v>27430</v>
      </c>
      <c r="M11205" t="s">
        <v>27251</v>
      </c>
      <c r="N11205" t="s">
        <v>27252</v>
      </c>
      <c r="Q11205" s="1">
        <v>45250</v>
      </c>
      <c r="R11205" t="s">
        <v>27253</v>
      </c>
      <c r="S11205" t="s">
        <v>27254</v>
      </c>
      <c r="T11205" t="s">
        <v>27255</v>
      </c>
    </row>
    <row r="11206" spans="1:20" x14ac:dyDescent="0.3">
      <c r="A11206" t="str">
        <f>"0611838973100"</f>
        <v>0611838973100</v>
      </c>
      <c r="B11206" t="str">
        <f>"LK4032"</f>
        <v>LK4032</v>
      </c>
      <c r="C11206" t="s">
        <v>48913</v>
      </c>
      <c r="D11206" t="s">
        <v>27245</v>
      </c>
      <c r="E11206" t="str">
        <f t="shared" si="175"/>
        <v>001390</v>
      </c>
      <c r="F11206" t="s">
        <v>27246</v>
      </c>
      <c r="G11206" t="s">
        <v>27247</v>
      </c>
      <c r="H11206" t="s">
        <v>27248</v>
      </c>
      <c r="I11206" t="s">
        <v>48914</v>
      </c>
      <c r="J11206" t="s">
        <v>22424</v>
      </c>
      <c r="L11206" t="s">
        <v>27250</v>
      </c>
      <c r="M11206" t="s">
        <v>27251</v>
      </c>
      <c r="N11206" t="s">
        <v>27252</v>
      </c>
      <c r="Q11206" s="1">
        <v>44538</v>
      </c>
      <c r="R11206" t="s">
        <v>27253</v>
      </c>
      <c r="S11206" t="s">
        <v>27254</v>
      </c>
      <c r="T11206" t="s">
        <v>27255</v>
      </c>
    </row>
    <row r="11207" spans="1:20" x14ac:dyDescent="0.3">
      <c r="A11207" t="str">
        <f>"0611838974100"</f>
        <v>0611838974100</v>
      </c>
      <c r="B11207" t="str">
        <f>"LK4033"</f>
        <v>LK4033</v>
      </c>
      <c r="C11207" t="s">
        <v>48915</v>
      </c>
      <c r="D11207" t="s">
        <v>27245</v>
      </c>
      <c r="E11207" t="str">
        <f t="shared" si="175"/>
        <v>001390</v>
      </c>
      <c r="F11207" t="s">
        <v>27246</v>
      </c>
      <c r="G11207" t="s">
        <v>27247</v>
      </c>
      <c r="H11207" t="s">
        <v>27248</v>
      </c>
      <c r="I11207" t="s">
        <v>48916</v>
      </c>
      <c r="J11207" t="s">
        <v>22426</v>
      </c>
      <c r="L11207" t="s">
        <v>27250</v>
      </c>
      <c r="M11207" t="s">
        <v>27251</v>
      </c>
      <c r="N11207" t="s">
        <v>27252</v>
      </c>
      <c r="Q11207" s="1">
        <v>44538</v>
      </c>
      <c r="R11207" t="s">
        <v>27253</v>
      </c>
      <c r="S11207" t="s">
        <v>27254</v>
      </c>
      <c r="T11207" t="s">
        <v>27255</v>
      </c>
    </row>
    <row r="11208" spans="1:20" x14ac:dyDescent="0.3">
      <c r="A11208" t="str">
        <f>"0611838975100"</f>
        <v>0611838975100</v>
      </c>
      <c r="B11208" t="str">
        <f>"LH0046"</f>
        <v>LH0046</v>
      </c>
      <c r="C11208" t="s">
        <v>48917</v>
      </c>
      <c r="D11208" t="s">
        <v>27245</v>
      </c>
      <c r="E11208" t="str">
        <f t="shared" si="175"/>
        <v>001390</v>
      </c>
      <c r="F11208" t="s">
        <v>27246</v>
      </c>
      <c r="G11208" t="s">
        <v>27247</v>
      </c>
      <c r="H11208" t="s">
        <v>27248</v>
      </c>
      <c r="I11208" t="s">
        <v>48918</v>
      </c>
      <c r="J11208" t="s">
        <v>22428</v>
      </c>
      <c r="L11208" t="s">
        <v>27250</v>
      </c>
      <c r="M11208" t="s">
        <v>27251</v>
      </c>
      <c r="N11208" t="s">
        <v>27252</v>
      </c>
      <c r="Q11208" s="1">
        <v>44538</v>
      </c>
      <c r="R11208" t="s">
        <v>27253</v>
      </c>
      <c r="S11208" t="s">
        <v>27254</v>
      </c>
      <c r="T11208" t="s">
        <v>27255</v>
      </c>
    </row>
    <row r="11209" spans="1:20" x14ac:dyDescent="0.3">
      <c r="A11209" t="str">
        <f>"0611838976100"</f>
        <v>0611838976100</v>
      </c>
      <c r="B11209" t="str">
        <f>"LC9155"</f>
        <v>LC9155</v>
      </c>
      <c r="C11209" t="s">
        <v>48919</v>
      </c>
      <c r="D11209" t="s">
        <v>27245</v>
      </c>
      <c r="E11209" t="str">
        <f t="shared" si="175"/>
        <v>001390</v>
      </c>
      <c r="F11209" t="s">
        <v>27246</v>
      </c>
      <c r="G11209" t="s">
        <v>27247</v>
      </c>
      <c r="H11209" t="s">
        <v>27248</v>
      </c>
      <c r="I11209" t="s">
        <v>48920</v>
      </c>
      <c r="J11209" t="s">
        <v>22430</v>
      </c>
      <c r="L11209" t="s">
        <v>27250</v>
      </c>
      <c r="M11209" t="s">
        <v>27251</v>
      </c>
      <c r="N11209" t="s">
        <v>27252</v>
      </c>
      <c r="Q11209" s="1">
        <v>44538</v>
      </c>
      <c r="R11209" t="s">
        <v>27253</v>
      </c>
      <c r="S11209" t="s">
        <v>27254</v>
      </c>
      <c r="T11209" t="s">
        <v>27255</v>
      </c>
    </row>
    <row r="11210" spans="1:20" x14ac:dyDescent="0.3">
      <c r="A11210" t="str">
        <f>"0611838977025"</f>
        <v>0611838977025</v>
      </c>
      <c r="B11210" t="str">
        <f>"MC0813"</f>
        <v>MC0813</v>
      </c>
      <c r="C11210" t="s">
        <v>48919</v>
      </c>
      <c r="D11210" t="s">
        <v>27267</v>
      </c>
      <c r="E11210" t="str">
        <f t="shared" si="175"/>
        <v>001390</v>
      </c>
      <c r="F11210" t="s">
        <v>27246</v>
      </c>
      <c r="G11210" t="s">
        <v>27247</v>
      </c>
      <c r="H11210" t="s">
        <v>27248</v>
      </c>
      <c r="I11210" t="s">
        <v>48921</v>
      </c>
      <c r="J11210" t="s">
        <v>22432</v>
      </c>
      <c r="L11210" t="s">
        <v>27250</v>
      </c>
      <c r="M11210" t="s">
        <v>27251</v>
      </c>
      <c r="N11210" t="s">
        <v>27252</v>
      </c>
      <c r="Q11210" s="1">
        <v>44538</v>
      </c>
      <c r="R11210" t="s">
        <v>27253</v>
      </c>
      <c r="S11210" t="s">
        <v>27254</v>
      </c>
      <c r="T11210" t="s">
        <v>27269</v>
      </c>
    </row>
    <row r="11211" spans="1:20" x14ac:dyDescent="0.3">
      <c r="A11211" t="str">
        <f>"0611884448100"</f>
        <v>0611884448100</v>
      </c>
      <c r="B11211" t="str">
        <f>"LQ3940"</f>
        <v>LQ3940</v>
      </c>
      <c r="C11211" t="s">
        <v>48922</v>
      </c>
      <c r="D11211" t="s">
        <v>27245</v>
      </c>
      <c r="E11211" t="str">
        <f t="shared" si="175"/>
        <v>001390</v>
      </c>
      <c r="F11211" t="s">
        <v>27246</v>
      </c>
      <c r="G11211" t="s">
        <v>27247</v>
      </c>
      <c r="H11211" t="s">
        <v>27248</v>
      </c>
      <c r="I11211" t="s">
        <v>48923</v>
      </c>
      <c r="J11211" t="s">
        <v>22434</v>
      </c>
      <c r="L11211" t="s">
        <v>27430</v>
      </c>
      <c r="M11211" t="s">
        <v>27251</v>
      </c>
      <c r="N11211" t="s">
        <v>27252</v>
      </c>
      <c r="Q11211" s="1">
        <v>45250</v>
      </c>
      <c r="R11211" t="s">
        <v>27253</v>
      </c>
      <c r="S11211" t="s">
        <v>27254</v>
      </c>
      <c r="T11211" t="s">
        <v>27255</v>
      </c>
    </row>
    <row r="11212" spans="1:20" x14ac:dyDescent="0.3">
      <c r="A11212" t="str">
        <f>"0611884449025"</f>
        <v>0611884449025</v>
      </c>
      <c r="B11212" t="str">
        <f>"MQ0846"</f>
        <v>MQ0846</v>
      </c>
      <c r="C11212" t="s">
        <v>48924</v>
      </c>
      <c r="D11212" t="s">
        <v>27267</v>
      </c>
      <c r="E11212" t="str">
        <f t="shared" si="175"/>
        <v>001390</v>
      </c>
      <c r="F11212" t="s">
        <v>27246</v>
      </c>
      <c r="G11212" t="s">
        <v>27247</v>
      </c>
      <c r="H11212" t="s">
        <v>27248</v>
      </c>
      <c r="I11212" t="s">
        <v>48925</v>
      </c>
      <c r="J11212" t="s">
        <v>22436</v>
      </c>
      <c r="L11212" t="s">
        <v>27430</v>
      </c>
      <c r="M11212" t="s">
        <v>27251</v>
      </c>
      <c r="N11212" t="s">
        <v>27252</v>
      </c>
      <c r="Q11212" s="1">
        <v>45250</v>
      </c>
      <c r="R11212" t="s">
        <v>27253</v>
      </c>
      <c r="S11212" t="s">
        <v>27254</v>
      </c>
      <c r="T11212" t="s">
        <v>27269</v>
      </c>
    </row>
    <row r="11213" spans="1:20" x14ac:dyDescent="0.3">
      <c r="A11213" t="str">
        <f>"0611838979100"</f>
        <v>0611838979100</v>
      </c>
      <c r="B11213" t="str">
        <f>"LK6872"</f>
        <v>LK6872</v>
      </c>
      <c r="C11213" t="s">
        <v>48926</v>
      </c>
      <c r="D11213" t="s">
        <v>27245</v>
      </c>
      <c r="E11213" t="str">
        <f t="shared" si="175"/>
        <v>001390</v>
      </c>
      <c r="F11213" t="s">
        <v>27246</v>
      </c>
      <c r="G11213" t="s">
        <v>27247</v>
      </c>
      <c r="H11213" t="s">
        <v>27248</v>
      </c>
      <c r="I11213" t="s">
        <v>48927</v>
      </c>
      <c r="J11213" t="s">
        <v>22438</v>
      </c>
      <c r="L11213" t="s">
        <v>27250</v>
      </c>
      <c r="M11213" t="s">
        <v>27251</v>
      </c>
      <c r="N11213" t="s">
        <v>27252</v>
      </c>
      <c r="Q11213" s="1">
        <v>44538</v>
      </c>
      <c r="R11213" t="s">
        <v>27253</v>
      </c>
      <c r="S11213" t="s">
        <v>27254</v>
      </c>
      <c r="T11213" t="s">
        <v>27255</v>
      </c>
    </row>
    <row r="11214" spans="1:20" x14ac:dyDescent="0.3">
      <c r="A11214" t="str">
        <f>"0611838981100"</f>
        <v>0611838981100</v>
      </c>
      <c r="B11214" t="str">
        <f>"LC9156"</f>
        <v>LC9156</v>
      </c>
      <c r="C11214" t="s">
        <v>48928</v>
      </c>
      <c r="D11214" t="s">
        <v>27245</v>
      </c>
      <c r="E11214" t="str">
        <f t="shared" si="175"/>
        <v>001390</v>
      </c>
      <c r="F11214" t="s">
        <v>27246</v>
      </c>
      <c r="G11214" t="s">
        <v>27247</v>
      </c>
      <c r="H11214" t="s">
        <v>27248</v>
      </c>
      <c r="I11214" t="s">
        <v>48929</v>
      </c>
      <c r="J11214" t="s">
        <v>22440</v>
      </c>
      <c r="L11214" t="s">
        <v>27250</v>
      </c>
      <c r="M11214" t="s">
        <v>27251</v>
      </c>
      <c r="N11214" t="s">
        <v>27252</v>
      </c>
      <c r="Q11214" s="1">
        <v>44538</v>
      </c>
      <c r="R11214" t="s">
        <v>27253</v>
      </c>
      <c r="S11214" t="s">
        <v>27254</v>
      </c>
      <c r="T11214" t="s">
        <v>27255</v>
      </c>
    </row>
    <row r="11215" spans="1:20" x14ac:dyDescent="0.3">
      <c r="A11215" t="str">
        <f>"0611838982025"</f>
        <v>0611838982025</v>
      </c>
      <c r="B11215" t="str">
        <f>"MC0814"</f>
        <v>MC0814</v>
      </c>
      <c r="C11215" t="s">
        <v>48928</v>
      </c>
      <c r="D11215" t="s">
        <v>27267</v>
      </c>
      <c r="E11215" t="str">
        <f t="shared" si="175"/>
        <v>001390</v>
      </c>
      <c r="F11215" t="s">
        <v>27246</v>
      </c>
      <c r="G11215" t="s">
        <v>27247</v>
      </c>
      <c r="H11215" t="s">
        <v>27248</v>
      </c>
      <c r="I11215" t="s">
        <v>48930</v>
      </c>
      <c r="J11215" t="s">
        <v>22442</v>
      </c>
      <c r="L11215" t="s">
        <v>27250</v>
      </c>
      <c r="M11215" t="s">
        <v>27251</v>
      </c>
      <c r="N11215" t="s">
        <v>27252</v>
      </c>
      <c r="Q11215" s="1">
        <v>44538</v>
      </c>
      <c r="R11215" t="s">
        <v>27253</v>
      </c>
      <c r="S11215" t="s">
        <v>27254</v>
      </c>
      <c r="T11215" t="s">
        <v>27269</v>
      </c>
    </row>
    <row r="11216" spans="1:20" x14ac:dyDescent="0.3">
      <c r="A11216" t="str">
        <f>"0611863959100"</f>
        <v>0611863959100</v>
      </c>
      <c r="B11216" t="str">
        <f>"CN5369"</f>
        <v>CN5369</v>
      </c>
      <c r="C11216" t="s">
        <v>48931</v>
      </c>
      <c r="D11216" t="s">
        <v>27335</v>
      </c>
      <c r="E11216" t="str">
        <f t="shared" si="175"/>
        <v>001390</v>
      </c>
      <c r="F11216" t="s">
        <v>27246</v>
      </c>
      <c r="G11216" t="s">
        <v>27247</v>
      </c>
      <c r="H11216" t="s">
        <v>27248</v>
      </c>
      <c r="I11216" t="s">
        <v>48932</v>
      </c>
      <c r="J11216" t="s">
        <v>22444</v>
      </c>
      <c r="L11216" t="s">
        <v>27250</v>
      </c>
      <c r="M11216" t="s">
        <v>27251</v>
      </c>
      <c r="N11216" t="s">
        <v>27252</v>
      </c>
      <c r="Q11216" s="1">
        <v>44846</v>
      </c>
      <c r="R11216" t="s">
        <v>27253</v>
      </c>
      <c r="S11216" t="s">
        <v>27254</v>
      </c>
      <c r="T11216" t="s">
        <v>27255</v>
      </c>
    </row>
    <row r="11217" spans="1:20" x14ac:dyDescent="0.3">
      <c r="A11217" t="str">
        <f>"0611838985100"</f>
        <v>0611838985100</v>
      </c>
      <c r="B11217" t="str">
        <f>"LH7417"</f>
        <v>LH7417</v>
      </c>
      <c r="C11217" t="s">
        <v>48933</v>
      </c>
      <c r="D11217" t="s">
        <v>27245</v>
      </c>
      <c r="E11217" t="str">
        <f t="shared" si="175"/>
        <v>001390</v>
      </c>
      <c r="F11217" t="s">
        <v>27246</v>
      </c>
      <c r="G11217" t="s">
        <v>27247</v>
      </c>
      <c r="H11217" t="s">
        <v>27248</v>
      </c>
      <c r="I11217" t="s">
        <v>48934</v>
      </c>
      <c r="J11217" t="s">
        <v>22446</v>
      </c>
      <c r="L11217" t="s">
        <v>27250</v>
      </c>
      <c r="M11217" t="s">
        <v>27251</v>
      </c>
      <c r="N11217" t="s">
        <v>27252</v>
      </c>
      <c r="Q11217" s="1">
        <v>44538</v>
      </c>
      <c r="R11217" t="s">
        <v>27253</v>
      </c>
      <c r="S11217" t="s">
        <v>27254</v>
      </c>
      <c r="T11217" t="s">
        <v>27255</v>
      </c>
    </row>
    <row r="11218" spans="1:20" x14ac:dyDescent="0.3">
      <c r="A11218" t="str">
        <f>"0611838986100"</f>
        <v>0611838986100</v>
      </c>
      <c r="B11218" t="str">
        <f>"LK3014"</f>
        <v>LK3014</v>
      </c>
      <c r="C11218" t="s">
        <v>48935</v>
      </c>
      <c r="D11218" t="s">
        <v>27245</v>
      </c>
      <c r="E11218" t="str">
        <f t="shared" si="175"/>
        <v>001390</v>
      </c>
      <c r="F11218" t="s">
        <v>27246</v>
      </c>
      <c r="G11218" t="s">
        <v>27247</v>
      </c>
      <c r="H11218" t="s">
        <v>27248</v>
      </c>
      <c r="I11218" t="s">
        <v>48936</v>
      </c>
      <c r="J11218" t="s">
        <v>22448</v>
      </c>
      <c r="L11218" t="s">
        <v>27250</v>
      </c>
      <c r="M11218" t="s">
        <v>27251</v>
      </c>
      <c r="N11218" t="s">
        <v>27252</v>
      </c>
      <c r="Q11218" s="1">
        <v>44538</v>
      </c>
      <c r="R11218" t="s">
        <v>27253</v>
      </c>
      <c r="S11218" t="s">
        <v>27254</v>
      </c>
      <c r="T11218" t="s">
        <v>27255</v>
      </c>
    </row>
    <row r="11219" spans="1:20" x14ac:dyDescent="0.3">
      <c r="A11219" t="str">
        <f>"0611857099100"</f>
        <v>0611857099100</v>
      </c>
      <c r="B11219" t="str">
        <f>"LK3663"</f>
        <v>LK3663</v>
      </c>
      <c r="C11219" t="s">
        <v>48937</v>
      </c>
      <c r="D11219" t="s">
        <v>27245</v>
      </c>
      <c r="E11219" t="str">
        <f t="shared" si="175"/>
        <v>001390</v>
      </c>
      <c r="F11219" t="s">
        <v>27246</v>
      </c>
      <c r="G11219" t="s">
        <v>27247</v>
      </c>
      <c r="H11219" t="s">
        <v>27248</v>
      </c>
      <c r="I11219" t="s">
        <v>48938</v>
      </c>
      <c r="J11219" t="s">
        <v>22450</v>
      </c>
      <c r="L11219" t="s">
        <v>27250</v>
      </c>
      <c r="M11219" t="s">
        <v>27251</v>
      </c>
      <c r="N11219" t="s">
        <v>27252</v>
      </c>
      <c r="Q11219" s="1">
        <v>44812</v>
      </c>
      <c r="R11219" t="s">
        <v>27253</v>
      </c>
      <c r="S11219" t="s">
        <v>27254</v>
      </c>
      <c r="T11219" t="s">
        <v>27255</v>
      </c>
    </row>
    <row r="11220" spans="1:20" x14ac:dyDescent="0.3">
      <c r="A11220" t="str">
        <f>"0611838988100"</f>
        <v>0611838988100</v>
      </c>
      <c r="B11220" t="str">
        <f>"LB8370"</f>
        <v>LB8370</v>
      </c>
      <c r="C11220" t="s">
        <v>48939</v>
      </c>
      <c r="D11220" t="s">
        <v>28138</v>
      </c>
      <c r="E11220" t="str">
        <f t="shared" si="175"/>
        <v>001390</v>
      </c>
      <c r="F11220" t="s">
        <v>27246</v>
      </c>
      <c r="G11220" t="s">
        <v>27247</v>
      </c>
      <c r="H11220" t="s">
        <v>27248</v>
      </c>
      <c r="I11220" t="s">
        <v>48940</v>
      </c>
      <c r="J11220" t="s">
        <v>22452</v>
      </c>
      <c r="L11220" t="s">
        <v>27250</v>
      </c>
      <c r="M11220" t="s">
        <v>27251</v>
      </c>
      <c r="N11220" t="s">
        <v>27252</v>
      </c>
      <c r="P11220" t="s">
        <v>27925</v>
      </c>
      <c r="Q11220" s="1">
        <v>44538</v>
      </c>
      <c r="R11220" t="s">
        <v>27253</v>
      </c>
      <c r="S11220" t="s">
        <v>27254</v>
      </c>
      <c r="T11220" t="s">
        <v>27255</v>
      </c>
    </row>
    <row r="11221" spans="1:20" x14ac:dyDescent="0.3">
      <c r="A11221" t="str">
        <f>"0611838989100"</f>
        <v>0611838989100</v>
      </c>
      <c r="B11221" t="str">
        <f>"LH7400"</f>
        <v>LH7400</v>
      </c>
      <c r="C11221" t="s">
        <v>48941</v>
      </c>
      <c r="D11221" t="s">
        <v>27245</v>
      </c>
      <c r="E11221" t="str">
        <f t="shared" si="175"/>
        <v>001390</v>
      </c>
      <c r="F11221" t="s">
        <v>27246</v>
      </c>
      <c r="G11221" t="s">
        <v>27247</v>
      </c>
      <c r="H11221" t="s">
        <v>27248</v>
      </c>
      <c r="I11221" t="s">
        <v>48942</v>
      </c>
      <c r="J11221" t="s">
        <v>22454</v>
      </c>
      <c r="L11221" t="s">
        <v>27250</v>
      </c>
      <c r="M11221" t="s">
        <v>27251</v>
      </c>
      <c r="N11221" t="s">
        <v>27252</v>
      </c>
      <c r="Q11221" s="1">
        <v>44538</v>
      </c>
      <c r="R11221" t="s">
        <v>27253</v>
      </c>
      <c r="S11221" t="s">
        <v>27254</v>
      </c>
      <c r="T11221" t="s">
        <v>27255</v>
      </c>
    </row>
    <row r="11222" spans="1:20" x14ac:dyDescent="0.3">
      <c r="A11222" t="str">
        <f>"0611838990100"</f>
        <v>0611838990100</v>
      </c>
      <c r="B11222" t="str">
        <f>"LQ6085"</f>
        <v>LQ6085</v>
      </c>
      <c r="C11222" t="s">
        <v>48943</v>
      </c>
      <c r="D11222" t="s">
        <v>27245</v>
      </c>
      <c r="E11222" t="str">
        <f t="shared" si="175"/>
        <v>001390</v>
      </c>
      <c r="F11222" t="s">
        <v>27246</v>
      </c>
      <c r="G11222" t="s">
        <v>27247</v>
      </c>
      <c r="H11222" t="s">
        <v>27248</v>
      </c>
      <c r="I11222" t="s">
        <v>48944</v>
      </c>
      <c r="J11222" t="s">
        <v>22456</v>
      </c>
      <c r="L11222" t="s">
        <v>27250</v>
      </c>
      <c r="M11222" t="s">
        <v>27251</v>
      </c>
      <c r="N11222" t="s">
        <v>27252</v>
      </c>
      <c r="Q11222" s="1">
        <v>44538</v>
      </c>
      <c r="R11222" t="s">
        <v>27253</v>
      </c>
      <c r="S11222" t="s">
        <v>27254</v>
      </c>
      <c r="T11222" t="s">
        <v>27255</v>
      </c>
    </row>
    <row r="11223" spans="1:20" x14ac:dyDescent="0.3">
      <c r="A11223" t="str">
        <f>"0611838992100"</f>
        <v>0611838992100</v>
      </c>
      <c r="B11223" t="str">
        <f>"LQ5475"</f>
        <v>LQ5475</v>
      </c>
      <c r="C11223" t="s">
        <v>48945</v>
      </c>
      <c r="D11223" t="s">
        <v>27245</v>
      </c>
      <c r="E11223" t="str">
        <f t="shared" si="175"/>
        <v>001390</v>
      </c>
      <c r="F11223" t="s">
        <v>27246</v>
      </c>
      <c r="G11223" t="s">
        <v>27247</v>
      </c>
      <c r="H11223" t="s">
        <v>27248</v>
      </c>
      <c r="I11223" t="s">
        <v>48946</v>
      </c>
      <c r="J11223" t="s">
        <v>22458</v>
      </c>
      <c r="L11223" t="s">
        <v>27250</v>
      </c>
      <c r="M11223" t="s">
        <v>27251</v>
      </c>
      <c r="N11223" t="s">
        <v>27252</v>
      </c>
      <c r="Q11223" s="1">
        <v>44538</v>
      </c>
      <c r="R11223" t="s">
        <v>27253</v>
      </c>
      <c r="S11223" t="s">
        <v>27254</v>
      </c>
      <c r="T11223" t="s">
        <v>27255</v>
      </c>
    </row>
    <row r="11224" spans="1:20" x14ac:dyDescent="0.3">
      <c r="A11224" t="str">
        <f>"0611838993100"</f>
        <v>0611838993100</v>
      </c>
      <c r="B11224" t="str">
        <f>"LQ6219"</f>
        <v>LQ6219</v>
      </c>
      <c r="C11224" t="s">
        <v>48947</v>
      </c>
      <c r="D11224" t="s">
        <v>27245</v>
      </c>
      <c r="E11224" t="str">
        <f t="shared" si="175"/>
        <v>001390</v>
      </c>
      <c r="F11224" t="s">
        <v>27246</v>
      </c>
      <c r="G11224" t="s">
        <v>27247</v>
      </c>
      <c r="H11224" t="s">
        <v>27248</v>
      </c>
      <c r="I11224" t="s">
        <v>48948</v>
      </c>
      <c r="J11224" t="s">
        <v>22460</v>
      </c>
      <c r="L11224" t="s">
        <v>27250</v>
      </c>
      <c r="M11224" t="s">
        <v>27251</v>
      </c>
      <c r="N11224" t="s">
        <v>27252</v>
      </c>
      <c r="Q11224" s="1">
        <v>44538</v>
      </c>
      <c r="R11224" t="s">
        <v>27253</v>
      </c>
      <c r="S11224" t="s">
        <v>27254</v>
      </c>
      <c r="T11224" t="s">
        <v>27255</v>
      </c>
    </row>
    <row r="11225" spans="1:20" x14ac:dyDescent="0.3">
      <c r="A11225" t="str">
        <f>"0611857100100"</f>
        <v>0611857100100</v>
      </c>
      <c r="B11225" t="str">
        <f>"LQ6283"</f>
        <v>LQ6283</v>
      </c>
      <c r="C11225" t="s">
        <v>48949</v>
      </c>
      <c r="D11225" t="s">
        <v>27245</v>
      </c>
      <c r="E11225" t="str">
        <f t="shared" si="175"/>
        <v>001390</v>
      </c>
      <c r="F11225" t="s">
        <v>27246</v>
      </c>
      <c r="G11225" t="s">
        <v>27247</v>
      </c>
      <c r="H11225" t="s">
        <v>27248</v>
      </c>
      <c r="I11225" t="s">
        <v>48950</v>
      </c>
      <c r="J11225" t="s">
        <v>22462</v>
      </c>
      <c r="L11225" t="s">
        <v>27250</v>
      </c>
      <c r="M11225" t="s">
        <v>27251</v>
      </c>
      <c r="N11225" t="s">
        <v>27252</v>
      </c>
      <c r="Q11225" s="1">
        <v>44812</v>
      </c>
      <c r="R11225" t="s">
        <v>27253</v>
      </c>
      <c r="S11225" t="s">
        <v>27254</v>
      </c>
      <c r="T11225" t="s">
        <v>27255</v>
      </c>
    </row>
    <row r="11226" spans="1:20" x14ac:dyDescent="0.3">
      <c r="A11226" t="str">
        <f>"0611838994100"</f>
        <v>0611838994100</v>
      </c>
      <c r="B11226" t="str">
        <f>"LQ5980"</f>
        <v>LQ5980</v>
      </c>
      <c r="C11226" t="s">
        <v>48951</v>
      </c>
      <c r="D11226" t="s">
        <v>27245</v>
      </c>
      <c r="E11226" t="str">
        <f t="shared" si="175"/>
        <v>001390</v>
      </c>
      <c r="F11226" t="s">
        <v>27246</v>
      </c>
      <c r="G11226" t="s">
        <v>27247</v>
      </c>
      <c r="H11226" t="s">
        <v>27248</v>
      </c>
      <c r="I11226" t="s">
        <v>48952</v>
      </c>
      <c r="J11226" t="s">
        <v>22464</v>
      </c>
      <c r="L11226" t="s">
        <v>27250</v>
      </c>
      <c r="M11226" t="s">
        <v>27251</v>
      </c>
      <c r="N11226" t="s">
        <v>27252</v>
      </c>
      <c r="Q11226" s="1">
        <v>44538</v>
      </c>
      <c r="R11226" t="s">
        <v>27253</v>
      </c>
      <c r="S11226" t="s">
        <v>27254</v>
      </c>
      <c r="T11226" t="s">
        <v>27255</v>
      </c>
    </row>
    <row r="11227" spans="1:20" x14ac:dyDescent="0.3">
      <c r="A11227" t="str">
        <f>"0611838995100"</f>
        <v>0611838995100</v>
      </c>
      <c r="B11227" t="str">
        <f>"LQ6247"</f>
        <v>LQ6247</v>
      </c>
      <c r="C11227" t="s">
        <v>48953</v>
      </c>
      <c r="D11227" t="s">
        <v>27245</v>
      </c>
      <c r="E11227" t="str">
        <f t="shared" si="175"/>
        <v>001390</v>
      </c>
      <c r="F11227" t="s">
        <v>27246</v>
      </c>
      <c r="G11227" t="s">
        <v>27247</v>
      </c>
      <c r="H11227" t="s">
        <v>27248</v>
      </c>
      <c r="I11227" t="s">
        <v>48954</v>
      </c>
      <c r="J11227" t="s">
        <v>22466</v>
      </c>
      <c r="L11227" t="s">
        <v>27250</v>
      </c>
      <c r="M11227" t="s">
        <v>27251</v>
      </c>
      <c r="N11227" t="s">
        <v>27252</v>
      </c>
      <c r="Q11227" s="1">
        <v>44538</v>
      </c>
      <c r="R11227" t="s">
        <v>27253</v>
      </c>
      <c r="S11227" t="s">
        <v>27254</v>
      </c>
      <c r="T11227" t="s">
        <v>27255</v>
      </c>
    </row>
    <row r="11228" spans="1:20" x14ac:dyDescent="0.3">
      <c r="A11228" t="str">
        <f>"0611838996100"</f>
        <v>0611838996100</v>
      </c>
      <c r="B11228" t="str">
        <f>"LQ0471"</f>
        <v>LQ0471</v>
      </c>
      <c r="C11228" t="s">
        <v>48955</v>
      </c>
      <c r="D11228" t="s">
        <v>27245</v>
      </c>
      <c r="E11228" t="str">
        <f t="shared" si="175"/>
        <v>001390</v>
      </c>
      <c r="F11228" t="s">
        <v>27246</v>
      </c>
      <c r="G11228" t="s">
        <v>27247</v>
      </c>
      <c r="H11228" t="s">
        <v>27248</v>
      </c>
      <c r="I11228" t="s">
        <v>48956</v>
      </c>
      <c r="J11228" t="s">
        <v>22468</v>
      </c>
      <c r="L11228" t="s">
        <v>27250</v>
      </c>
      <c r="M11228" t="s">
        <v>27251</v>
      </c>
      <c r="N11228" t="s">
        <v>27252</v>
      </c>
      <c r="Q11228" s="1">
        <v>44538</v>
      </c>
      <c r="R11228" t="s">
        <v>27253</v>
      </c>
      <c r="S11228" t="s">
        <v>27254</v>
      </c>
      <c r="T11228" t="s">
        <v>27255</v>
      </c>
    </row>
    <row r="11229" spans="1:20" x14ac:dyDescent="0.3">
      <c r="A11229" t="str">
        <f>"0611838997100"</f>
        <v>0611838997100</v>
      </c>
      <c r="B11229" t="str">
        <f>"LQ5901"</f>
        <v>LQ5901</v>
      </c>
      <c r="C11229" t="s">
        <v>48957</v>
      </c>
      <c r="D11229" t="s">
        <v>27245</v>
      </c>
      <c r="E11229" t="str">
        <f t="shared" si="175"/>
        <v>001390</v>
      </c>
      <c r="F11229" t="s">
        <v>27246</v>
      </c>
      <c r="G11229" t="s">
        <v>27247</v>
      </c>
      <c r="H11229" t="s">
        <v>27248</v>
      </c>
      <c r="I11229" t="s">
        <v>48958</v>
      </c>
      <c r="J11229" t="s">
        <v>22470</v>
      </c>
      <c r="L11229" t="s">
        <v>27250</v>
      </c>
      <c r="M11229" t="s">
        <v>27251</v>
      </c>
      <c r="N11229" t="s">
        <v>27252</v>
      </c>
      <c r="Q11229" s="1">
        <v>44538</v>
      </c>
      <c r="R11229" t="s">
        <v>27253</v>
      </c>
      <c r="S11229" t="s">
        <v>27254</v>
      </c>
      <c r="T11229" t="s">
        <v>27255</v>
      </c>
    </row>
    <row r="11230" spans="1:20" x14ac:dyDescent="0.3">
      <c r="A11230" t="str">
        <f>"0611838998100"</f>
        <v>0611838998100</v>
      </c>
      <c r="B11230" t="str">
        <f>"LQ6220"</f>
        <v>LQ6220</v>
      </c>
      <c r="C11230" t="s">
        <v>48959</v>
      </c>
      <c r="D11230" t="s">
        <v>27245</v>
      </c>
      <c r="E11230" t="str">
        <f t="shared" si="175"/>
        <v>001390</v>
      </c>
      <c r="F11230" t="s">
        <v>27246</v>
      </c>
      <c r="G11230" t="s">
        <v>27247</v>
      </c>
      <c r="H11230" t="s">
        <v>27248</v>
      </c>
      <c r="I11230" t="s">
        <v>48960</v>
      </c>
      <c r="J11230" t="s">
        <v>22472</v>
      </c>
      <c r="L11230" t="s">
        <v>27250</v>
      </c>
      <c r="M11230" t="s">
        <v>27251</v>
      </c>
      <c r="N11230" t="s">
        <v>27252</v>
      </c>
      <c r="Q11230" s="1">
        <v>44538</v>
      </c>
      <c r="R11230" t="s">
        <v>27253</v>
      </c>
      <c r="S11230" t="s">
        <v>27254</v>
      </c>
      <c r="T11230" t="s">
        <v>27255</v>
      </c>
    </row>
    <row r="11231" spans="1:20" x14ac:dyDescent="0.3">
      <c r="A11231" t="str">
        <f>"0611838999025"</f>
        <v>0611838999025</v>
      </c>
      <c r="B11231" t="str">
        <f>"MQ5118"</f>
        <v>MQ5118</v>
      </c>
      <c r="C11231" t="s">
        <v>48961</v>
      </c>
      <c r="D11231" t="s">
        <v>27267</v>
      </c>
      <c r="E11231" t="str">
        <f t="shared" si="175"/>
        <v>001390</v>
      </c>
      <c r="F11231" t="s">
        <v>27246</v>
      </c>
      <c r="G11231" t="s">
        <v>27247</v>
      </c>
      <c r="H11231" t="s">
        <v>27248</v>
      </c>
      <c r="I11231" t="s">
        <v>48962</v>
      </c>
      <c r="J11231" t="s">
        <v>22474</v>
      </c>
      <c r="L11231" t="s">
        <v>27250</v>
      </c>
      <c r="M11231" t="s">
        <v>27251</v>
      </c>
      <c r="N11231" t="s">
        <v>27252</v>
      </c>
      <c r="Q11231" s="1">
        <v>44538</v>
      </c>
      <c r="R11231" t="s">
        <v>27253</v>
      </c>
      <c r="S11231" t="s">
        <v>27254</v>
      </c>
      <c r="T11231" t="s">
        <v>27269</v>
      </c>
    </row>
    <row r="11232" spans="1:20" x14ac:dyDescent="0.3">
      <c r="A11232" t="str">
        <f>"0611839000025"</f>
        <v>0611839000025</v>
      </c>
      <c r="B11232" t="str">
        <f>"MQ5039"</f>
        <v>MQ5039</v>
      </c>
      <c r="C11232" t="s">
        <v>48963</v>
      </c>
      <c r="D11232" t="s">
        <v>27267</v>
      </c>
      <c r="E11232" t="str">
        <f t="shared" si="175"/>
        <v>001390</v>
      </c>
      <c r="F11232" t="s">
        <v>27246</v>
      </c>
      <c r="G11232" t="s">
        <v>27247</v>
      </c>
      <c r="H11232" t="s">
        <v>27248</v>
      </c>
      <c r="I11232" t="s">
        <v>48964</v>
      </c>
      <c r="J11232" t="s">
        <v>22476</v>
      </c>
      <c r="L11232" t="s">
        <v>27250</v>
      </c>
      <c r="M11232" t="s">
        <v>27251</v>
      </c>
      <c r="N11232" t="s">
        <v>27252</v>
      </c>
      <c r="Q11232" s="1">
        <v>44538</v>
      </c>
      <c r="R11232" t="s">
        <v>27253</v>
      </c>
      <c r="S11232" t="s">
        <v>27254</v>
      </c>
      <c r="T11232" t="s">
        <v>27269</v>
      </c>
    </row>
    <row r="11233" spans="1:20" x14ac:dyDescent="0.3">
      <c r="A11233" t="str">
        <f>"0611839001100"</f>
        <v>0611839001100</v>
      </c>
      <c r="B11233" t="str">
        <f>"LB8226"</f>
        <v>LB8226</v>
      </c>
      <c r="C11233" t="s">
        <v>48965</v>
      </c>
      <c r="D11233" t="s">
        <v>27245</v>
      </c>
      <c r="E11233" t="str">
        <f t="shared" si="175"/>
        <v>001390</v>
      </c>
      <c r="F11233" t="s">
        <v>27246</v>
      </c>
      <c r="G11233" t="s">
        <v>27247</v>
      </c>
      <c r="H11233" t="s">
        <v>27248</v>
      </c>
      <c r="I11233" t="s">
        <v>48966</v>
      </c>
      <c r="J11233" t="s">
        <v>22478</v>
      </c>
      <c r="L11233" t="s">
        <v>27250</v>
      </c>
      <c r="M11233" t="s">
        <v>27251</v>
      </c>
      <c r="N11233" t="s">
        <v>27252</v>
      </c>
      <c r="Q11233" s="1">
        <v>44538</v>
      </c>
      <c r="R11233" t="s">
        <v>27253</v>
      </c>
      <c r="S11233" t="s">
        <v>27254</v>
      </c>
      <c r="T11233" t="s">
        <v>27255</v>
      </c>
    </row>
    <row r="11234" spans="1:20" x14ac:dyDescent="0.3">
      <c r="A11234" t="str">
        <f>"0611839002100"</f>
        <v>0611839002100</v>
      </c>
      <c r="B11234" t="str">
        <f>"LB8256"</f>
        <v>LB8256</v>
      </c>
      <c r="C11234" t="s">
        <v>48967</v>
      </c>
      <c r="D11234" t="s">
        <v>27245</v>
      </c>
      <c r="E11234" t="str">
        <f t="shared" si="175"/>
        <v>001390</v>
      </c>
      <c r="F11234" t="s">
        <v>27246</v>
      </c>
      <c r="G11234" t="s">
        <v>27247</v>
      </c>
      <c r="H11234" t="s">
        <v>27248</v>
      </c>
      <c r="I11234" t="s">
        <v>48968</v>
      </c>
      <c r="J11234" t="s">
        <v>22480</v>
      </c>
      <c r="L11234" t="s">
        <v>27250</v>
      </c>
      <c r="M11234" t="s">
        <v>27251</v>
      </c>
      <c r="N11234" t="s">
        <v>27252</v>
      </c>
      <c r="Q11234" s="1">
        <v>44538</v>
      </c>
      <c r="R11234" t="s">
        <v>27253</v>
      </c>
      <c r="S11234" t="s">
        <v>27254</v>
      </c>
      <c r="T11234" t="s">
        <v>27255</v>
      </c>
    </row>
    <row r="11235" spans="1:20" x14ac:dyDescent="0.3">
      <c r="A11235" t="str">
        <f>"0611839003100"</f>
        <v>0611839003100</v>
      </c>
      <c r="B11235" t="str">
        <f>"LB8200"</f>
        <v>LB8200</v>
      </c>
      <c r="C11235" t="s">
        <v>48969</v>
      </c>
      <c r="D11235" t="s">
        <v>27245</v>
      </c>
      <c r="E11235" t="str">
        <f t="shared" si="175"/>
        <v>001390</v>
      </c>
      <c r="F11235" t="s">
        <v>27246</v>
      </c>
      <c r="G11235" t="s">
        <v>27247</v>
      </c>
      <c r="H11235" t="s">
        <v>27248</v>
      </c>
      <c r="I11235" t="s">
        <v>48970</v>
      </c>
      <c r="J11235" t="s">
        <v>22482</v>
      </c>
      <c r="L11235" t="s">
        <v>27250</v>
      </c>
      <c r="M11235" t="s">
        <v>27251</v>
      </c>
      <c r="N11235" t="s">
        <v>27252</v>
      </c>
      <c r="Q11235" s="1">
        <v>44538</v>
      </c>
      <c r="R11235" t="s">
        <v>27253</v>
      </c>
      <c r="S11235" t="s">
        <v>27254</v>
      </c>
      <c r="T11235" t="s">
        <v>27255</v>
      </c>
    </row>
    <row r="11236" spans="1:20" x14ac:dyDescent="0.3">
      <c r="A11236" t="str">
        <f>"0611863960050"</f>
        <v>0611863960050</v>
      </c>
      <c r="B11236" t="str">
        <f>"CR4443"</f>
        <v>CR4443</v>
      </c>
      <c r="C11236" t="s">
        <v>48971</v>
      </c>
      <c r="D11236" t="s">
        <v>28376</v>
      </c>
      <c r="E11236" t="str">
        <f t="shared" si="175"/>
        <v>001390</v>
      </c>
      <c r="F11236" t="s">
        <v>27246</v>
      </c>
      <c r="G11236" t="s">
        <v>27247</v>
      </c>
      <c r="H11236" t="s">
        <v>27248</v>
      </c>
      <c r="I11236" t="s">
        <v>48972</v>
      </c>
      <c r="J11236" t="s">
        <v>22484</v>
      </c>
      <c r="L11236" t="s">
        <v>27250</v>
      </c>
      <c r="M11236" t="s">
        <v>27251</v>
      </c>
      <c r="N11236" t="s">
        <v>27252</v>
      </c>
      <c r="P11236" t="s">
        <v>27341</v>
      </c>
      <c r="Q11236" s="1">
        <v>44846</v>
      </c>
      <c r="R11236" t="s">
        <v>27253</v>
      </c>
      <c r="S11236" t="s">
        <v>27254</v>
      </c>
      <c r="T11236" t="s">
        <v>28378</v>
      </c>
    </row>
    <row r="11237" spans="1:20" x14ac:dyDescent="0.3">
      <c r="A11237" t="str">
        <f>"0611863961100"</f>
        <v>0611863961100</v>
      </c>
      <c r="B11237" t="str">
        <f>"CN5353"</f>
        <v>CN5353</v>
      </c>
      <c r="C11237" t="s">
        <v>48973</v>
      </c>
      <c r="D11237" t="s">
        <v>27552</v>
      </c>
      <c r="E11237" t="str">
        <f t="shared" si="175"/>
        <v>001390</v>
      </c>
      <c r="F11237" t="s">
        <v>27246</v>
      </c>
      <c r="G11237" t="s">
        <v>27247</v>
      </c>
      <c r="H11237" t="s">
        <v>27248</v>
      </c>
      <c r="I11237" t="s">
        <v>48974</v>
      </c>
      <c r="J11237" t="s">
        <v>22486</v>
      </c>
      <c r="L11237" t="s">
        <v>27250</v>
      </c>
      <c r="M11237" t="s">
        <v>27251</v>
      </c>
      <c r="N11237" t="s">
        <v>27252</v>
      </c>
      <c r="P11237" t="s">
        <v>27341</v>
      </c>
      <c r="Q11237" s="1">
        <v>44846</v>
      </c>
      <c r="R11237" t="s">
        <v>27253</v>
      </c>
      <c r="S11237" t="s">
        <v>27254</v>
      </c>
      <c r="T11237" t="s">
        <v>27255</v>
      </c>
    </row>
    <row r="11238" spans="1:20" x14ac:dyDescent="0.3">
      <c r="A11238" t="str">
        <f>"0611863962100"</f>
        <v>0611863962100</v>
      </c>
      <c r="B11238" t="str">
        <f>"CN5354"</f>
        <v>CN5354</v>
      </c>
      <c r="C11238" t="s">
        <v>48975</v>
      </c>
      <c r="D11238" t="s">
        <v>27339</v>
      </c>
      <c r="E11238" t="str">
        <f t="shared" si="175"/>
        <v>001390</v>
      </c>
      <c r="F11238" t="s">
        <v>27246</v>
      </c>
      <c r="G11238" t="s">
        <v>27247</v>
      </c>
      <c r="H11238" t="s">
        <v>27248</v>
      </c>
      <c r="I11238" t="s">
        <v>48976</v>
      </c>
      <c r="J11238" t="s">
        <v>22488</v>
      </c>
      <c r="L11238" t="s">
        <v>27250</v>
      </c>
      <c r="M11238" t="s">
        <v>27251</v>
      </c>
      <c r="N11238" t="s">
        <v>27252</v>
      </c>
      <c r="P11238" t="s">
        <v>27341</v>
      </c>
      <c r="Q11238" s="1">
        <v>44846</v>
      </c>
      <c r="R11238" t="s">
        <v>27253</v>
      </c>
      <c r="S11238" t="s">
        <v>27254</v>
      </c>
      <c r="T11238" t="s">
        <v>27255</v>
      </c>
    </row>
    <row r="11239" spans="1:20" x14ac:dyDescent="0.3">
      <c r="A11239" t="str">
        <f>"0611863963050"</f>
        <v>0611863963050</v>
      </c>
      <c r="B11239" t="str">
        <f>"CR3834"</f>
        <v>CR3834</v>
      </c>
      <c r="C11239" t="s">
        <v>48977</v>
      </c>
      <c r="D11239" t="s">
        <v>27271</v>
      </c>
      <c r="E11239" t="str">
        <f t="shared" si="175"/>
        <v>001390</v>
      </c>
      <c r="F11239" t="s">
        <v>27246</v>
      </c>
      <c r="G11239" t="s">
        <v>27247</v>
      </c>
      <c r="H11239" t="s">
        <v>27248</v>
      </c>
      <c r="I11239" t="s">
        <v>48978</v>
      </c>
      <c r="J11239" t="s">
        <v>22490</v>
      </c>
      <c r="L11239" t="s">
        <v>27250</v>
      </c>
      <c r="M11239" t="s">
        <v>27251</v>
      </c>
      <c r="N11239" t="s">
        <v>27252</v>
      </c>
      <c r="P11239" t="s">
        <v>27341</v>
      </c>
      <c r="Q11239" s="1">
        <v>44846</v>
      </c>
      <c r="R11239" t="s">
        <v>27253</v>
      </c>
      <c r="S11239" t="s">
        <v>27254</v>
      </c>
      <c r="T11239" t="s">
        <v>27265</v>
      </c>
    </row>
    <row r="11240" spans="1:20" x14ac:dyDescent="0.3">
      <c r="A11240" t="str">
        <f>"0611863964100"</f>
        <v>0611863964100</v>
      </c>
      <c r="B11240" t="str">
        <f>"CN5355"</f>
        <v>CN5355</v>
      </c>
      <c r="C11240" t="s">
        <v>48979</v>
      </c>
      <c r="D11240" t="s">
        <v>27339</v>
      </c>
      <c r="E11240" t="str">
        <f t="shared" si="175"/>
        <v>001390</v>
      </c>
      <c r="F11240" t="s">
        <v>27246</v>
      </c>
      <c r="G11240" t="s">
        <v>27247</v>
      </c>
      <c r="H11240" t="s">
        <v>27248</v>
      </c>
      <c r="I11240" t="s">
        <v>48980</v>
      </c>
      <c r="J11240" t="s">
        <v>22492</v>
      </c>
      <c r="L11240" t="s">
        <v>27250</v>
      </c>
      <c r="M11240" t="s">
        <v>27251</v>
      </c>
      <c r="N11240" t="s">
        <v>27252</v>
      </c>
      <c r="P11240" t="s">
        <v>27341</v>
      </c>
      <c r="Q11240" s="1">
        <v>44846</v>
      </c>
      <c r="R11240" t="s">
        <v>27253</v>
      </c>
      <c r="S11240" t="s">
        <v>27254</v>
      </c>
      <c r="T11240" t="s">
        <v>27255</v>
      </c>
    </row>
    <row r="11241" spans="1:20" x14ac:dyDescent="0.3">
      <c r="A11241" t="str">
        <f>"0611863965100"</f>
        <v>0611863965100</v>
      </c>
      <c r="B11241" t="str">
        <f>"CN5356"</f>
        <v>CN5356</v>
      </c>
      <c r="C11241" t="s">
        <v>48981</v>
      </c>
      <c r="D11241" t="s">
        <v>27339</v>
      </c>
      <c r="E11241" t="str">
        <f t="shared" si="175"/>
        <v>001390</v>
      </c>
      <c r="F11241" t="s">
        <v>27246</v>
      </c>
      <c r="G11241" t="s">
        <v>27247</v>
      </c>
      <c r="H11241" t="s">
        <v>27248</v>
      </c>
      <c r="I11241" t="s">
        <v>48982</v>
      </c>
      <c r="J11241" t="s">
        <v>22494</v>
      </c>
      <c r="L11241" t="s">
        <v>27250</v>
      </c>
      <c r="M11241" t="s">
        <v>27251</v>
      </c>
      <c r="N11241" t="s">
        <v>27252</v>
      </c>
      <c r="P11241" t="s">
        <v>27341</v>
      </c>
      <c r="Q11241" s="1">
        <v>44846</v>
      </c>
      <c r="R11241" t="s">
        <v>27253</v>
      </c>
      <c r="S11241" t="s">
        <v>27254</v>
      </c>
      <c r="T11241" t="s">
        <v>27255</v>
      </c>
    </row>
    <row r="11242" spans="1:20" x14ac:dyDescent="0.3">
      <c r="A11242" t="str">
        <f>"0611863966050"</f>
        <v>0611863966050</v>
      </c>
      <c r="B11242" t="str">
        <f>"CR3837"</f>
        <v>CR3837</v>
      </c>
      <c r="C11242" t="s">
        <v>48983</v>
      </c>
      <c r="D11242" t="s">
        <v>27271</v>
      </c>
      <c r="E11242" t="str">
        <f t="shared" si="175"/>
        <v>001390</v>
      </c>
      <c r="F11242" t="s">
        <v>27246</v>
      </c>
      <c r="G11242" t="s">
        <v>27247</v>
      </c>
      <c r="H11242" t="s">
        <v>27248</v>
      </c>
      <c r="I11242" t="s">
        <v>48984</v>
      </c>
      <c r="J11242" t="s">
        <v>22496</v>
      </c>
      <c r="L11242" t="s">
        <v>27250</v>
      </c>
      <c r="M11242" t="s">
        <v>27251</v>
      </c>
      <c r="N11242" t="s">
        <v>27252</v>
      </c>
      <c r="P11242" t="s">
        <v>27341</v>
      </c>
      <c r="Q11242" s="1">
        <v>44846</v>
      </c>
      <c r="R11242" t="s">
        <v>27253</v>
      </c>
      <c r="S11242" t="s">
        <v>27254</v>
      </c>
      <c r="T11242" t="s">
        <v>27265</v>
      </c>
    </row>
    <row r="11243" spans="1:20" x14ac:dyDescent="0.3">
      <c r="A11243" t="str">
        <f>"0611863967100"</f>
        <v>0611863967100</v>
      </c>
      <c r="B11243" t="str">
        <f>"CN5357"</f>
        <v>CN5357</v>
      </c>
      <c r="C11243" t="s">
        <v>48985</v>
      </c>
      <c r="D11243" t="s">
        <v>27339</v>
      </c>
      <c r="E11243" t="str">
        <f t="shared" si="175"/>
        <v>001390</v>
      </c>
      <c r="F11243" t="s">
        <v>27246</v>
      </c>
      <c r="G11243" t="s">
        <v>27247</v>
      </c>
      <c r="H11243" t="s">
        <v>27248</v>
      </c>
      <c r="I11243" t="s">
        <v>48986</v>
      </c>
      <c r="J11243" t="s">
        <v>22498</v>
      </c>
      <c r="L11243" t="s">
        <v>27250</v>
      </c>
      <c r="M11243" t="s">
        <v>27251</v>
      </c>
      <c r="N11243" t="s">
        <v>27252</v>
      </c>
      <c r="P11243" t="s">
        <v>27341</v>
      </c>
      <c r="Q11243" s="1">
        <v>44846</v>
      </c>
      <c r="R11243" t="s">
        <v>27253</v>
      </c>
      <c r="S11243" t="s">
        <v>27254</v>
      </c>
      <c r="T11243" t="s">
        <v>27255</v>
      </c>
    </row>
    <row r="11244" spans="1:20" x14ac:dyDescent="0.3">
      <c r="A11244" t="str">
        <f>"0611839006025"</f>
        <v>0611839006025</v>
      </c>
      <c r="B11244" t="str">
        <f>"MC4320"</f>
        <v>MC4320</v>
      </c>
      <c r="C11244" t="s">
        <v>48987</v>
      </c>
      <c r="D11244" t="s">
        <v>27267</v>
      </c>
      <c r="E11244" t="str">
        <f t="shared" si="175"/>
        <v>001390</v>
      </c>
      <c r="F11244" t="s">
        <v>27246</v>
      </c>
      <c r="G11244" t="s">
        <v>27247</v>
      </c>
      <c r="H11244" t="s">
        <v>27248</v>
      </c>
      <c r="I11244" t="s">
        <v>48988</v>
      </c>
      <c r="J11244" t="s">
        <v>22500</v>
      </c>
      <c r="L11244" t="s">
        <v>27250</v>
      </c>
      <c r="M11244" t="s">
        <v>27251</v>
      </c>
      <c r="N11244" t="s">
        <v>27252</v>
      </c>
      <c r="Q11244" s="1">
        <v>44538</v>
      </c>
      <c r="R11244" t="s">
        <v>27253</v>
      </c>
      <c r="S11244" t="s">
        <v>27254</v>
      </c>
      <c r="T11244" t="s">
        <v>27269</v>
      </c>
    </row>
    <row r="11245" spans="1:20" x14ac:dyDescent="0.3">
      <c r="A11245" t="str">
        <f>"0611839007100"</f>
        <v>0611839007100</v>
      </c>
      <c r="B11245" t="str">
        <f>"LS0116"</f>
        <v>LS0116</v>
      </c>
      <c r="C11245" t="s">
        <v>48989</v>
      </c>
      <c r="D11245" t="s">
        <v>27245</v>
      </c>
      <c r="E11245" t="str">
        <f t="shared" si="175"/>
        <v>001390</v>
      </c>
      <c r="F11245" t="s">
        <v>27246</v>
      </c>
      <c r="G11245" t="s">
        <v>27247</v>
      </c>
      <c r="H11245" t="s">
        <v>27248</v>
      </c>
      <c r="I11245" t="s">
        <v>48990</v>
      </c>
      <c r="J11245" t="s">
        <v>22502</v>
      </c>
      <c r="L11245" t="s">
        <v>27250</v>
      </c>
      <c r="M11245" t="s">
        <v>27251</v>
      </c>
      <c r="N11245" t="s">
        <v>27252</v>
      </c>
      <c r="Q11245" s="1">
        <v>44538</v>
      </c>
      <c r="R11245" t="s">
        <v>27253</v>
      </c>
      <c r="S11245" t="s">
        <v>27254</v>
      </c>
      <c r="T11245" t="s">
        <v>27255</v>
      </c>
    </row>
    <row r="11246" spans="1:20" x14ac:dyDescent="0.3">
      <c r="A11246" t="str">
        <f>"0611839008100"</f>
        <v>0611839008100</v>
      </c>
      <c r="B11246" t="str">
        <f>"LQ6035"</f>
        <v>LQ6035</v>
      </c>
      <c r="C11246" t="s">
        <v>48991</v>
      </c>
      <c r="D11246" t="s">
        <v>27245</v>
      </c>
      <c r="E11246" t="str">
        <f t="shared" si="175"/>
        <v>001390</v>
      </c>
      <c r="F11246" t="s">
        <v>27246</v>
      </c>
      <c r="G11246" t="s">
        <v>27247</v>
      </c>
      <c r="H11246" t="s">
        <v>27248</v>
      </c>
      <c r="I11246" t="s">
        <v>48992</v>
      </c>
      <c r="J11246" t="s">
        <v>22504</v>
      </c>
      <c r="L11246" t="s">
        <v>27250</v>
      </c>
      <c r="M11246" t="s">
        <v>27251</v>
      </c>
      <c r="N11246" t="s">
        <v>27252</v>
      </c>
      <c r="Q11246" s="1">
        <v>44538</v>
      </c>
      <c r="R11246" t="s">
        <v>27253</v>
      </c>
      <c r="S11246" t="s">
        <v>27254</v>
      </c>
      <c r="T11246" t="s">
        <v>27255</v>
      </c>
    </row>
    <row r="11247" spans="1:20" x14ac:dyDescent="0.3">
      <c r="A11247" t="str">
        <f>"0611839009025"</f>
        <v>0611839009025</v>
      </c>
      <c r="B11247" t="str">
        <f>"MQ0362"</f>
        <v>MQ0362</v>
      </c>
      <c r="C11247" t="s">
        <v>48991</v>
      </c>
      <c r="D11247" t="s">
        <v>27267</v>
      </c>
      <c r="E11247" t="str">
        <f t="shared" si="175"/>
        <v>001390</v>
      </c>
      <c r="F11247" t="s">
        <v>27246</v>
      </c>
      <c r="G11247" t="s">
        <v>27247</v>
      </c>
      <c r="H11247" t="s">
        <v>27248</v>
      </c>
      <c r="I11247" t="s">
        <v>48993</v>
      </c>
      <c r="J11247" t="s">
        <v>22506</v>
      </c>
      <c r="L11247" t="s">
        <v>27250</v>
      </c>
      <c r="M11247" t="s">
        <v>27251</v>
      </c>
      <c r="N11247" t="s">
        <v>27252</v>
      </c>
      <c r="Q11247" s="1">
        <v>44538</v>
      </c>
      <c r="R11247" t="s">
        <v>27253</v>
      </c>
      <c r="S11247" t="s">
        <v>27254</v>
      </c>
      <c r="T11247" t="s">
        <v>27269</v>
      </c>
    </row>
    <row r="11248" spans="1:20" x14ac:dyDescent="0.3">
      <c r="A11248" t="str">
        <f>"0611839010100"</f>
        <v>0611839010100</v>
      </c>
      <c r="B11248" t="str">
        <f>"LQ3776"</f>
        <v>LQ3776</v>
      </c>
      <c r="C11248" t="s">
        <v>48994</v>
      </c>
      <c r="D11248" t="s">
        <v>27245</v>
      </c>
      <c r="E11248" t="str">
        <f t="shared" si="175"/>
        <v>001390</v>
      </c>
      <c r="F11248" t="s">
        <v>27246</v>
      </c>
      <c r="G11248" t="s">
        <v>27247</v>
      </c>
      <c r="H11248" t="s">
        <v>27248</v>
      </c>
      <c r="I11248" t="s">
        <v>48995</v>
      </c>
      <c r="J11248" t="s">
        <v>22508</v>
      </c>
      <c r="L11248" t="s">
        <v>27250</v>
      </c>
      <c r="M11248" t="s">
        <v>27251</v>
      </c>
      <c r="N11248" t="s">
        <v>27252</v>
      </c>
      <c r="Q11248" s="1">
        <v>44538</v>
      </c>
      <c r="R11248" t="s">
        <v>27253</v>
      </c>
      <c r="S11248" t="s">
        <v>27254</v>
      </c>
      <c r="T11248" t="s">
        <v>27255</v>
      </c>
    </row>
    <row r="11249" spans="1:20" x14ac:dyDescent="0.3">
      <c r="A11249" t="str">
        <f>"0611839011100"</f>
        <v>0611839011100</v>
      </c>
      <c r="B11249" t="str">
        <f>"LQ3484"</f>
        <v>LQ3484</v>
      </c>
      <c r="C11249" t="s">
        <v>48996</v>
      </c>
      <c r="D11249" t="s">
        <v>27245</v>
      </c>
      <c r="E11249" t="str">
        <f t="shared" si="175"/>
        <v>001390</v>
      </c>
      <c r="F11249" t="s">
        <v>27246</v>
      </c>
      <c r="G11249" t="s">
        <v>27247</v>
      </c>
      <c r="H11249" t="s">
        <v>27248</v>
      </c>
      <c r="I11249" t="s">
        <v>48997</v>
      </c>
      <c r="J11249" t="s">
        <v>22510</v>
      </c>
      <c r="L11249" t="s">
        <v>27250</v>
      </c>
      <c r="M11249" t="s">
        <v>27251</v>
      </c>
      <c r="N11249" t="s">
        <v>27252</v>
      </c>
      <c r="Q11249" s="1">
        <v>44538</v>
      </c>
      <c r="R11249" t="s">
        <v>27253</v>
      </c>
      <c r="S11249" t="s">
        <v>27254</v>
      </c>
      <c r="T11249" t="s">
        <v>27255</v>
      </c>
    </row>
    <row r="11250" spans="1:20" x14ac:dyDescent="0.3">
      <c r="A11250" t="str">
        <f>"0611839012100"</f>
        <v>0611839012100</v>
      </c>
      <c r="B11250" t="str">
        <f>"LQ3553"</f>
        <v>LQ3553</v>
      </c>
      <c r="C11250" t="s">
        <v>48998</v>
      </c>
      <c r="D11250" t="s">
        <v>27245</v>
      </c>
      <c r="E11250" t="str">
        <f t="shared" si="175"/>
        <v>001390</v>
      </c>
      <c r="F11250" t="s">
        <v>27246</v>
      </c>
      <c r="G11250" t="s">
        <v>27247</v>
      </c>
      <c r="H11250" t="s">
        <v>27248</v>
      </c>
      <c r="I11250" t="s">
        <v>48999</v>
      </c>
      <c r="J11250" t="s">
        <v>22512</v>
      </c>
      <c r="L11250" t="s">
        <v>27250</v>
      </c>
      <c r="M11250" t="s">
        <v>27251</v>
      </c>
      <c r="N11250" t="s">
        <v>27252</v>
      </c>
      <c r="Q11250" s="1">
        <v>44538</v>
      </c>
      <c r="R11250" t="s">
        <v>27253</v>
      </c>
      <c r="S11250" t="s">
        <v>27254</v>
      </c>
      <c r="T11250" t="s">
        <v>27255</v>
      </c>
    </row>
    <row r="11251" spans="1:20" x14ac:dyDescent="0.3">
      <c r="A11251" t="str">
        <f>"0611839013100"</f>
        <v>0611839013100</v>
      </c>
      <c r="B11251" t="str">
        <f>"LQ3554"</f>
        <v>LQ3554</v>
      </c>
      <c r="C11251" t="s">
        <v>49000</v>
      </c>
      <c r="D11251" t="s">
        <v>27245</v>
      </c>
      <c r="E11251" t="str">
        <f t="shared" si="175"/>
        <v>001390</v>
      </c>
      <c r="F11251" t="s">
        <v>27246</v>
      </c>
      <c r="G11251" t="s">
        <v>27247</v>
      </c>
      <c r="H11251" t="s">
        <v>27248</v>
      </c>
      <c r="I11251" t="s">
        <v>49001</v>
      </c>
      <c r="J11251" t="s">
        <v>22514</v>
      </c>
      <c r="L11251" t="s">
        <v>27250</v>
      </c>
      <c r="M11251" t="s">
        <v>27251</v>
      </c>
      <c r="N11251" t="s">
        <v>27252</v>
      </c>
      <c r="Q11251" s="1">
        <v>44538</v>
      </c>
      <c r="R11251" t="s">
        <v>27253</v>
      </c>
      <c r="S11251" t="s">
        <v>27254</v>
      </c>
      <c r="T11251" t="s">
        <v>27255</v>
      </c>
    </row>
    <row r="11252" spans="1:20" x14ac:dyDescent="0.3">
      <c r="A11252" t="str">
        <f>"0611839014025"</f>
        <v>0611839014025</v>
      </c>
      <c r="B11252" t="str">
        <f>"MQ5145"</f>
        <v>MQ5145</v>
      </c>
      <c r="C11252" t="s">
        <v>49002</v>
      </c>
      <c r="D11252" t="s">
        <v>27267</v>
      </c>
      <c r="E11252" t="str">
        <f t="shared" si="175"/>
        <v>001390</v>
      </c>
      <c r="F11252" t="s">
        <v>27246</v>
      </c>
      <c r="G11252" t="s">
        <v>27247</v>
      </c>
      <c r="H11252" t="s">
        <v>27248</v>
      </c>
      <c r="I11252" t="s">
        <v>49003</v>
      </c>
      <c r="J11252" t="s">
        <v>22516</v>
      </c>
      <c r="L11252" t="s">
        <v>27250</v>
      </c>
      <c r="M11252" t="s">
        <v>27251</v>
      </c>
      <c r="N11252" t="s">
        <v>27252</v>
      </c>
      <c r="Q11252" s="1">
        <v>44538</v>
      </c>
      <c r="R11252" t="s">
        <v>27253</v>
      </c>
      <c r="S11252" t="s">
        <v>27254</v>
      </c>
      <c r="T11252" t="s">
        <v>27269</v>
      </c>
    </row>
    <row r="11253" spans="1:20" x14ac:dyDescent="0.3">
      <c r="A11253" t="str">
        <f>"0611839015025"</f>
        <v>0611839015025</v>
      </c>
      <c r="B11253" t="str">
        <f>"MQ5146"</f>
        <v>MQ5146</v>
      </c>
      <c r="C11253" t="s">
        <v>49004</v>
      </c>
      <c r="D11253" t="s">
        <v>27267</v>
      </c>
      <c r="E11253" t="str">
        <f t="shared" si="175"/>
        <v>001390</v>
      </c>
      <c r="F11253" t="s">
        <v>27246</v>
      </c>
      <c r="G11253" t="s">
        <v>27247</v>
      </c>
      <c r="H11253" t="s">
        <v>27248</v>
      </c>
      <c r="I11253" t="s">
        <v>49005</v>
      </c>
      <c r="J11253" t="s">
        <v>22518</v>
      </c>
      <c r="L11253" t="s">
        <v>27250</v>
      </c>
      <c r="M11253" t="s">
        <v>27251</v>
      </c>
      <c r="N11253" t="s">
        <v>27252</v>
      </c>
      <c r="Q11253" s="1">
        <v>44538</v>
      </c>
      <c r="R11253" t="s">
        <v>27253</v>
      </c>
      <c r="S11253" t="s">
        <v>27254</v>
      </c>
      <c r="T11253" t="s">
        <v>27269</v>
      </c>
    </row>
    <row r="11254" spans="1:20" x14ac:dyDescent="0.3">
      <c r="A11254" t="str">
        <f>"0611839017025"</f>
        <v>0611839017025</v>
      </c>
      <c r="B11254" t="str">
        <f>"MQ3015"</f>
        <v>MQ3015</v>
      </c>
      <c r="C11254" t="s">
        <v>49006</v>
      </c>
      <c r="D11254" t="s">
        <v>27267</v>
      </c>
      <c r="E11254" t="str">
        <f t="shared" si="175"/>
        <v>001390</v>
      </c>
      <c r="F11254" t="s">
        <v>27246</v>
      </c>
      <c r="G11254" t="s">
        <v>27247</v>
      </c>
      <c r="H11254" t="s">
        <v>27248</v>
      </c>
      <c r="I11254" t="s">
        <v>49007</v>
      </c>
      <c r="J11254" t="s">
        <v>22520</v>
      </c>
      <c r="L11254" t="s">
        <v>27250</v>
      </c>
      <c r="M11254" t="s">
        <v>27251</v>
      </c>
      <c r="N11254" t="s">
        <v>27252</v>
      </c>
      <c r="Q11254" s="1">
        <v>44538</v>
      </c>
      <c r="R11254" t="s">
        <v>27253</v>
      </c>
      <c r="S11254" t="s">
        <v>27254</v>
      </c>
      <c r="T11254" t="s">
        <v>27269</v>
      </c>
    </row>
    <row r="11255" spans="1:20" x14ac:dyDescent="0.3">
      <c r="A11255" t="str">
        <f>"0611839020100"</f>
        <v>0611839020100</v>
      </c>
      <c r="B11255" t="str">
        <f>"LK6137"</f>
        <v>LK6137</v>
      </c>
      <c r="C11255" t="s">
        <v>49008</v>
      </c>
      <c r="D11255" t="s">
        <v>28138</v>
      </c>
      <c r="E11255" t="str">
        <f t="shared" si="175"/>
        <v>001390</v>
      </c>
      <c r="F11255" t="s">
        <v>27246</v>
      </c>
      <c r="G11255" t="s">
        <v>27247</v>
      </c>
      <c r="H11255" t="s">
        <v>27248</v>
      </c>
      <c r="I11255" t="s">
        <v>49009</v>
      </c>
      <c r="J11255" t="s">
        <v>22522</v>
      </c>
      <c r="L11255" t="s">
        <v>27250</v>
      </c>
      <c r="M11255" t="s">
        <v>27251</v>
      </c>
      <c r="N11255" t="s">
        <v>27252</v>
      </c>
      <c r="P11255" t="s">
        <v>27925</v>
      </c>
      <c r="Q11255" s="1">
        <v>44538</v>
      </c>
      <c r="R11255" t="s">
        <v>27253</v>
      </c>
      <c r="S11255" t="s">
        <v>27254</v>
      </c>
      <c r="T11255" t="s">
        <v>27255</v>
      </c>
    </row>
    <row r="11256" spans="1:20" x14ac:dyDescent="0.3">
      <c r="A11256" t="str">
        <f>"0611884450025"</f>
        <v>0611884450025</v>
      </c>
      <c r="B11256" t="str">
        <f>"MQ0816"</f>
        <v>MQ0816</v>
      </c>
      <c r="C11256" t="s">
        <v>49010</v>
      </c>
      <c r="D11256" t="s">
        <v>27267</v>
      </c>
      <c r="E11256" t="str">
        <f t="shared" si="175"/>
        <v>001390</v>
      </c>
      <c r="F11256" t="s">
        <v>27246</v>
      </c>
      <c r="G11256" t="s">
        <v>27247</v>
      </c>
      <c r="H11256" t="s">
        <v>27248</v>
      </c>
      <c r="I11256" t="s">
        <v>49011</v>
      </c>
      <c r="J11256" t="s">
        <v>22524</v>
      </c>
      <c r="L11256" t="s">
        <v>27430</v>
      </c>
      <c r="M11256" t="s">
        <v>27251</v>
      </c>
      <c r="N11256" t="s">
        <v>27252</v>
      </c>
      <c r="Q11256" s="1">
        <v>45250</v>
      </c>
      <c r="R11256" t="s">
        <v>27253</v>
      </c>
      <c r="S11256" t="s">
        <v>27254</v>
      </c>
      <c r="T11256" t="s">
        <v>27269</v>
      </c>
    </row>
    <row r="11257" spans="1:20" x14ac:dyDescent="0.3">
      <c r="A11257" t="str">
        <f>"0611839021100"</f>
        <v>0611839021100</v>
      </c>
      <c r="B11257" t="str">
        <f>"LB8165"</f>
        <v>LB8165</v>
      </c>
      <c r="C11257" t="s">
        <v>49012</v>
      </c>
      <c r="D11257" t="s">
        <v>28138</v>
      </c>
      <c r="E11257" t="str">
        <f t="shared" si="175"/>
        <v>001390</v>
      </c>
      <c r="F11257" t="s">
        <v>27246</v>
      </c>
      <c r="G11257" t="s">
        <v>27247</v>
      </c>
      <c r="H11257" t="s">
        <v>27248</v>
      </c>
      <c r="I11257" t="s">
        <v>49013</v>
      </c>
      <c r="J11257" t="s">
        <v>22526</v>
      </c>
      <c r="L11257" t="s">
        <v>27250</v>
      </c>
      <c r="M11257" t="s">
        <v>27251</v>
      </c>
      <c r="N11257" t="s">
        <v>27252</v>
      </c>
      <c r="P11257" t="s">
        <v>27925</v>
      </c>
      <c r="Q11257" s="1">
        <v>44538</v>
      </c>
      <c r="R11257" t="s">
        <v>27253</v>
      </c>
      <c r="S11257" t="s">
        <v>27254</v>
      </c>
      <c r="T11257" t="s">
        <v>27255</v>
      </c>
    </row>
    <row r="11258" spans="1:20" x14ac:dyDescent="0.3">
      <c r="A11258" t="str">
        <f>"0611839022100"</f>
        <v>0611839022100</v>
      </c>
      <c r="B11258" t="str">
        <f>"LK2405"</f>
        <v>LK2405</v>
      </c>
      <c r="C11258" t="s">
        <v>49014</v>
      </c>
      <c r="D11258" t="s">
        <v>28138</v>
      </c>
      <c r="E11258" t="str">
        <f t="shared" si="175"/>
        <v>001390</v>
      </c>
      <c r="F11258" t="s">
        <v>27246</v>
      </c>
      <c r="G11258" t="s">
        <v>27247</v>
      </c>
      <c r="H11258" t="s">
        <v>27248</v>
      </c>
      <c r="I11258" t="s">
        <v>49015</v>
      </c>
      <c r="J11258" t="s">
        <v>22528</v>
      </c>
      <c r="L11258" t="s">
        <v>27250</v>
      </c>
      <c r="M11258" t="s">
        <v>27251</v>
      </c>
      <c r="N11258" t="s">
        <v>27252</v>
      </c>
      <c r="P11258" t="s">
        <v>27925</v>
      </c>
      <c r="Q11258" s="1">
        <v>44538</v>
      </c>
      <c r="R11258" t="s">
        <v>27253</v>
      </c>
      <c r="S11258" t="s">
        <v>27254</v>
      </c>
      <c r="T11258" t="s">
        <v>27255</v>
      </c>
    </row>
    <row r="11259" spans="1:20" x14ac:dyDescent="0.3">
      <c r="A11259" t="str">
        <f>"0611839024100"</f>
        <v>0611839024100</v>
      </c>
      <c r="B11259" t="str">
        <f>"LB8167"</f>
        <v>LB8167</v>
      </c>
      <c r="C11259" t="s">
        <v>49016</v>
      </c>
      <c r="D11259" t="s">
        <v>28138</v>
      </c>
      <c r="E11259" t="str">
        <f t="shared" si="175"/>
        <v>001390</v>
      </c>
      <c r="F11259" t="s">
        <v>27246</v>
      </c>
      <c r="G11259" t="s">
        <v>27247</v>
      </c>
      <c r="H11259" t="s">
        <v>27248</v>
      </c>
      <c r="I11259" t="s">
        <v>49017</v>
      </c>
      <c r="J11259" t="s">
        <v>22530</v>
      </c>
      <c r="L11259" t="s">
        <v>27250</v>
      </c>
      <c r="M11259" t="s">
        <v>27251</v>
      </c>
      <c r="N11259" t="s">
        <v>27252</v>
      </c>
      <c r="P11259" t="s">
        <v>27925</v>
      </c>
      <c r="Q11259" s="1">
        <v>44538</v>
      </c>
      <c r="R11259" t="s">
        <v>27253</v>
      </c>
      <c r="S11259" t="s">
        <v>27254</v>
      </c>
      <c r="T11259" t="s">
        <v>27255</v>
      </c>
    </row>
    <row r="11260" spans="1:20" x14ac:dyDescent="0.3">
      <c r="A11260" t="str">
        <f>"0611839025100"</f>
        <v>0611839025100</v>
      </c>
      <c r="B11260" t="str">
        <f>"LB8156"</f>
        <v>LB8156</v>
      </c>
      <c r="C11260" t="s">
        <v>49018</v>
      </c>
      <c r="D11260" t="s">
        <v>28138</v>
      </c>
      <c r="E11260" t="str">
        <f t="shared" si="175"/>
        <v>001390</v>
      </c>
      <c r="F11260" t="s">
        <v>27246</v>
      </c>
      <c r="G11260" t="s">
        <v>27247</v>
      </c>
      <c r="H11260" t="s">
        <v>27248</v>
      </c>
      <c r="I11260" t="s">
        <v>49019</v>
      </c>
      <c r="J11260" t="s">
        <v>22532</v>
      </c>
      <c r="L11260" t="s">
        <v>27250</v>
      </c>
      <c r="M11260" t="s">
        <v>27251</v>
      </c>
      <c r="N11260" t="s">
        <v>27252</v>
      </c>
      <c r="P11260" t="s">
        <v>27925</v>
      </c>
      <c r="Q11260" s="1">
        <v>44538</v>
      </c>
      <c r="R11260" t="s">
        <v>27253</v>
      </c>
      <c r="S11260" t="s">
        <v>27254</v>
      </c>
      <c r="T11260" t="s">
        <v>27255</v>
      </c>
    </row>
    <row r="11261" spans="1:20" x14ac:dyDescent="0.3">
      <c r="A11261" t="str">
        <f>"0611839026100"</f>
        <v>0611839026100</v>
      </c>
      <c r="B11261" t="str">
        <f>"LB8168"</f>
        <v>LB8168</v>
      </c>
      <c r="C11261" t="s">
        <v>49020</v>
      </c>
      <c r="D11261" t="s">
        <v>28138</v>
      </c>
      <c r="E11261" t="str">
        <f t="shared" si="175"/>
        <v>001390</v>
      </c>
      <c r="F11261" t="s">
        <v>27246</v>
      </c>
      <c r="G11261" t="s">
        <v>27247</v>
      </c>
      <c r="H11261" t="s">
        <v>27248</v>
      </c>
      <c r="I11261" t="s">
        <v>49021</v>
      </c>
      <c r="J11261" t="s">
        <v>22534</v>
      </c>
      <c r="L11261" t="s">
        <v>27250</v>
      </c>
      <c r="M11261" t="s">
        <v>27251</v>
      </c>
      <c r="N11261" t="s">
        <v>27252</v>
      </c>
      <c r="P11261" t="s">
        <v>27925</v>
      </c>
      <c r="Q11261" s="1">
        <v>44538</v>
      </c>
      <c r="R11261" t="s">
        <v>27253</v>
      </c>
      <c r="S11261" t="s">
        <v>27254</v>
      </c>
      <c r="T11261" t="s">
        <v>27255</v>
      </c>
    </row>
    <row r="11262" spans="1:20" x14ac:dyDescent="0.3">
      <c r="A11262" t="str">
        <f>"0611839027100"</f>
        <v>0611839027100</v>
      </c>
      <c r="B11262" t="str">
        <f>"LB8169"</f>
        <v>LB8169</v>
      </c>
      <c r="C11262" t="s">
        <v>49022</v>
      </c>
      <c r="D11262" t="s">
        <v>28138</v>
      </c>
      <c r="E11262" t="str">
        <f t="shared" si="175"/>
        <v>001390</v>
      </c>
      <c r="F11262" t="s">
        <v>27246</v>
      </c>
      <c r="G11262" t="s">
        <v>27247</v>
      </c>
      <c r="H11262" t="s">
        <v>27248</v>
      </c>
      <c r="I11262" t="s">
        <v>49023</v>
      </c>
      <c r="J11262" t="s">
        <v>22536</v>
      </c>
      <c r="L11262" t="s">
        <v>27250</v>
      </c>
      <c r="M11262" t="s">
        <v>27251</v>
      </c>
      <c r="N11262" t="s">
        <v>27252</v>
      </c>
      <c r="P11262" t="s">
        <v>27925</v>
      </c>
      <c r="Q11262" s="1">
        <v>44538</v>
      </c>
      <c r="R11262" t="s">
        <v>27253</v>
      </c>
      <c r="S11262" t="s">
        <v>27254</v>
      </c>
      <c r="T11262" t="s">
        <v>27255</v>
      </c>
    </row>
    <row r="11263" spans="1:20" x14ac:dyDescent="0.3">
      <c r="A11263" t="str">
        <f>"0611839028100"</f>
        <v>0611839028100</v>
      </c>
      <c r="B11263" t="str">
        <f>"LB8173"</f>
        <v>LB8173</v>
      </c>
      <c r="C11263" t="s">
        <v>49024</v>
      </c>
      <c r="D11263" t="s">
        <v>28138</v>
      </c>
      <c r="E11263" t="str">
        <f t="shared" si="175"/>
        <v>001390</v>
      </c>
      <c r="F11263" t="s">
        <v>27246</v>
      </c>
      <c r="G11263" t="s">
        <v>27247</v>
      </c>
      <c r="H11263" t="s">
        <v>27248</v>
      </c>
      <c r="I11263" t="s">
        <v>49025</v>
      </c>
      <c r="J11263" t="s">
        <v>22538</v>
      </c>
      <c r="L11263" t="s">
        <v>27250</v>
      </c>
      <c r="M11263" t="s">
        <v>27251</v>
      </c>
      <c r="N11263" t="s">
        <v>27252</v>
      </c>
      <c r="P11263" t="s">
        <v>27925</v>
      </c>
      <c r="Q11263" s="1">
        <v>44538</v>
      </c>
      <c r="R11263" t="s">
        <v>27253</v>
      </c>
      <c r="S11263" t="s">
        <v>27254</v>
      </c>
      <c r="T11263" t="s">
        <v>27255</v>
      </c>
    </row>
    <row r="11264" spans="1:20" x14ac:dyDescent="0.3">
      <c r="A11264" t="str">
        <f>"0611839029025"</f>
        <v>0611839029025</v>
      </c>
      <c r="B11264" t="str">
        <f>"MC1352"</f>
        <v>MC1352</v>
      </c>
      <c r="C11264" t="s">
        <v>49026</v>
      </c>
      <c r="D11264" t="s">
        <v>27267</v>
      </c>
      <c r="E11264" t="str">
        <f t="shared" si="175"/>
        <v>001390</v>
      </c>
      <c r="F11264" t="s">
        <v>27246</v>
      </c>
      <c r="G11264" t="s">
        <v>27247</v>
      </c>
      <c r="H11264" t="s">
        <v>27248</v>
      </c>
      <c r="I11264" t="s">
        <v>49027</v>
      </c>
      <c r="J11264" t="s">
        <v>22540</v>
      </c>
      <c r="L11264" t="s">
        <v>27250</v>
      </c>
      <c r="M11264" t="s">
        <v>27251</v>
      </c>
      <c r="N11264" t="s">
        <v>27252</v>
      </c>
      <c r="Q11264" s="1">
        <v>44538</v>
      </c>
      <c r="R11264" t="s">
        <v>27253</v>
      </c>
      <c r="S11264" t="s">
        <v>27254</v>
      </c>
      <c r="T11264" t="s">
        <v>27269</v>
      </c>
    </row>
    <row r="11265" spans="1:20" x14ac:dyDescent="0.3">
      <c r="A11265" t="str">
        <f>"0611863968050"</f>
        <v>0611863968050</v>
      </c>
      <c r="B11265" t="str">
        <f>"CR4447"</f>
        <v>CR4447</v>
      </c>
      <c r="C11265" t="s">
        <v>49026</v>
      </c>
      <c r="D11265" t="s">
        <v>27263</v>
      </c>
      <c r="E11265" t="str">
        <f t="shared" si="175"/>
        <v>001390</v>
      </c>
      <c r="F11265" t="s">
        <v>27246</v>
      </c>
      <c r="G11265" t="s">
        <v>27247</v>
      </c>
      <c r="H11265" t="s">
        <v>27248</v>
      </c>
      <c r="I11265" t="s">
        <v>49028</v>
      </c>
      <c r="J11265" t="s">
        <v>22542</v>
      </c>
      <c r="L11265" t="s">
        <v>27250</v>
      </c>
      <c r="M11265" t="s">
        <v>27251</v>
      </c>
      <c r="N11265" t="s">
        <v>27252</v>
      </c>
      <c r="Q11265" s="1">
        <v>44846</v>
      </c>
      <c r="R11265" t="s">
        <v>27253</v>
      </c>
      <c r="S11265" t="s">
        <v>27254</v>
      </c>
      <c r="T11265" t="s">
        <v>27265</v>
      </c>
    </row>
    <row r="11266" spans="1:20" x14ac:dyDescent="0.3">
      <c r="A11266" t="str">
        <f>"0611884451100"</f>
        <v>0611884451100</v>
      </c>
      <c r="B11266" t="str">
        <f>"LC9630"</f>
        <v>LC9630</v>
      </c>
      <c r="C11266" t="s">
        <v>49029</v>
      </c>
      <c r="D11266" t="s">
        <v>27245</v>
      </c>
      <c r="E11266" t="str">
        <f t="shared" ref="E11266:E11329" si="176">"001390"</f>
        <v>001390</v>
      </c>
      <c r="F11266" t="s">
        <v>27246</v>
      </c>
      <c r="G11266" t="s">
        <v>27247</v>
      </c>
      <c r="H11266" t="s">
        <v>27248</v>
      </c>
      <c r="I11266" t="s">
        <v>49030</v>
      </c>
      <c r="J11266" t="s">
        <v>22544</v>
      </c>
      <c r="L11266" t="s">
        <v>27430</v>
      </c>
      <c r="M11266" t="s">
        <v>27251</v>
      </c>
      <c r="N11266" t="s">
        <v>27252</v>
      </c>
      <c r="Q11266" s="1">
        <v>45250</v>
      </c>
      <c r="R11266" t="s">
        <v>27253</v>
      </c>
      <c r="S11266" t="s">
        <v>27254</v>
      </c>
      <c r="T11266" t="s">
        <v>27255</v>
      </c>
    </row>
    <row r="11267" spans="1:20" x14ac:dyDescent="0.3">
      <c r="A11267" t="str">
        <f>"0611839030025"</f>
        <v>0611839030025</v>
      </c>
      <c r="B11267" t="str">
        <f>"MC4327"</f>
        <v>MC4327</v>
      </c>
      <c r="C11267" t="s">
        <v>49031</v>
      </c>
      <c r="D11267" t="s">
        <v>27267</v>
      </c>
      <c r="E11267" t="str">
        <f t="shared" si="176"/>
        <v>001390</v>
      </c>
      <c r="F11267" t="s">
        <v>27246</v>
      </c>
      <c r="G11267" t="s">
        <v>27247</v>
      </c>
      <c r="H11267" t="s">
        <v>27248</v>
      </c>
      <c r="I11267" t="s">
        <v>49032</v>
      </c>
      <c r="J11267" t="s">
        <v>22546</v>
      </c>
      <c r="L11267" t="s">
        <v>27250</v>
      </c>
      <c r="M11267" t="s">
        <v>27251</v>
      </c>
      <c r="N11267" t="s">
        <v>27252</v>
      </c>
      <c r="Q11267" s="1">
        <v>44538</v>
      </c>
      <c r="R11267" t="s">
        <v>27253</v>
      </c>
      <c r="S11267" t="s">
        <v>27254</v>
      </c>
      <c r="T11267" t="s">
        <v>27269</v>
      </c>
    </row>
    <row r="11268" spans="1:20" x14ac:dyDescent="0.3">
      <c r="A11268" t="str">
        <f>"0611863969100"</f>
        <v>0611863969100</v>
      </c>
      <c r="B11268" t="str">
        <f>"CN5366"</f>
        <v>CN5366</v>
      </c>
      <c r="C11268" t="s">
        <v>49033</v>
      </c>
      <c r="D11268" t="s">
        <v>27339</v>
      </c>
      <c r="E11268" t="str">
        <f t="shared" si="176"/>
        <v>001390</v>
      </c>
      <c r="F11268" t="s">
        <v>27246</v>
      </c>
      <c r="G11268" t="s">
        <v>27247</v>
      </c>
      <c r="H11268" t="s">
        <v>27248</v>
      </c>
      <c r="I11268" t="s">
        <v>49034</v>
      </c>
      <c r="J11268" t="s">
        <v>22548</v>
      </c>
      <c r="L11268" t="s">
        <v>27250</v>
      </c>
      <c r="M11268" t="s">
        <v>27251</v>
      </c>
      <c r="N11268" t="s">
        <v>27252</v>
      </c>
      <c r="P11268" t="s">
        <v>27341</v>
      </c>
      <c r="Q11268" s="1">
        <v>44846</v>
      </c>
      <c r="R11268" t="s">
        <v>27253</v>
      </c>
      <c r="S11268" t="s">
        <v>27254</v>
      </c>
      <c r="T11268" t="s">
        <v>27255</v>
      </c>
    </row>
    <row r="11269" spans="1:20" x14ac:dyDescent="0.3">
      <c r="A11269" t="str">
        <f>"0611863970100"</f>
        <v>0611863970100</v>
      </c>
      <c r="B11269" t="str">
        <f>"CN5367"</f>
        <v>CN5367</v>
      </c>
      <c r="C11269" t="s">
        <v>49035</v>
      </c>
      <c r="D11269" t="s">
        <v>27339</v>
      </c>
      <c r="E11269" t="str">
        <f t="shared" si="176"/>
        <v>001390</v>
      </c>
      <c r="F11269" t="s">
        <v>27246</v>
      </c>
      <c r="G11269" t="s">
        <v>27247</v>
      </c>
      <c r="H11269" t="s">
        <v>27248</v>
      </c>
      <c r="I11269" t="s">
        <v>49036</v>
      </c>
      <c r="J11269" t="s">
        <v>22550</v>
      </c>
      <c r="L11269" t="s">
        <v>27250</v>
      </c>
      <c r="M11269" t="s">
        <v>27251</v>
      </c>
      <c r="N11269" t="s">
        <v>27252</v>
      </c>
      <c r="P11269" t="s">
        <v>27341</v>
      </c>
      <c r="Q11269" s="1">
        <v>44846</v>
      </c>
      <c r="R11269" t="s">
        <v>27253</v>
      </c>
      <c r="S11269" t="s">
        <v>27254</v>
      </c>
      <c r="T11269" t="s">
        <v>27255</v>
      </c>
    </row>
    <row r="11270" spans="1:20" x14ac:dyDescent="0.3">
      <c r="A11270" t="str">
        <f>"0611839031100"</f>
        <v>0611839031100</v>
      </c>
      <c r="B11270" t="str">
        <f>"LB8390"</f>
        <v>LB8390</v>
      </c>
      <c r="C11270" t="s">
        <v>49037</v>
      </c>
      <c r="D11270" t="s">
        <v>27245</v>
      </c>
      <c r="E11270" t="str">
        <f t="shared" si="176"/>
        <v>001390</v>
      </c>
      <c r="F11270" t="s">
        <v>27246</v>
      </c>
      <c r="G11270" t="s">
        <v>27247</v>
      </c>
      <c r="H11270" t="s">
        <v>27248</v>
      </c>
      <c r="I11270" t="s">
        <v>49038</v>
      </c>
      <c r="J11270" t="s">
        <v>22552</v>
      </c>
      <c r="L11270" t="s">
        <v>27250</v>
      </c>
      <c r="M11270" t="s">
        <v>27251</v>
      </c>
      <c r="N11270" t="s">
        <v>27252</v>
      </c>
      <c r="Q11270" s="1">
        <v>44538</v>
      </c>
      <c r="R11270" t="s">
        <v>27253</v>
      </c>
      <c r="S11270" t="s">
        <v>27254</v>
      </c>
      <c r="T11270" t="s">
        <v>27255</v>
      </c>
    </row>
    <row r="11271" spans="1:20" x14ac:dyDescent="0.3">
      <c r="A11271" t="str">
        <f>"0611839032100"</f>
        <v>0611839032100</v>
      </c>
      <c r="B11271" t="str">
        <f>"LB8395"</f>
        <v>LB8395</v>
      </c>
      <c r="C11271" t="s">
        <v>49039</v>
      </c>
      <c r="D11271" t="s">
        <v>27245</v>
      </c>
      <c r="E11271" t="str">
        <f t="shared" si="176"/>
        <v>001390</v>
      </c>
      <c r="F11271" t="s">
        <v>27246</v>
      </c>
      <c r="G11271" t="s">
        <v>27247</v>
      </c>
      <c r="H11271" t="s">
        <v>27248</v>
      </c>
      <c r="I11271" t="s">
        <v>49040</v>
      </c>
      <c r="J11271" t="s">
        <v>22554</v>
      </c>
      <c r="L11271" t="s">
        <v>27250</v>
      </c>
      <c r="M11271" t="s">
        <v>27251</v>
      </c>
      <c r="N11271" t="s">
        <v>27252</v>
      </c>
      <c r="Q11271" s="1">
        <v>44538</v>
      </c>
      <c r="R11271" t="s">
        <v>27253</v>
      </c>
      <c r="S11271" t="s">
        <v>27254</v>
      </c>
      <c r="T11271" t="s">
        <v>27255</v>
      </c>
    </row>
    <row r="11272" spans="1:20" x14ac:dyDescent="0.3">
      <c r="A11272" t="str">
        <f>"0611839033100"</f>
        <v>0611839033100</v>
      </c>
      <c r="B11272" t="str">
        <f>"LK6010"</f>
        <v>LK6010</v>
      </c>
      <c r="C11272" t="s">
        <v>49041</v>
      </c>
      <c r="D11272" t="s">
        <v>27245</v>
      </c>
      <c r="E11272" t="str">
        <f t="shared" si="176"/>
        <v>001390</v>
      </c>
      <c r="F11272" t="s">
        <v>27246</v>
      </c>
      <c r="G11272" t="s">
        <v>27247</v>
      </c>
      <c r="H11272" t="s">
        <v>27248</v>
      </c>
      <c r="I11272" t="s">
        <v>49042</v>
      </c>
      <c r="J11272" t="s">
        <v>22556</v>
      </c>
      <c r="L11272" t="s">
        <v>27250</v>
      </c>
      <c r="M11272" t="s">
        <v>27251</v>
      </c>
      <c r="N11272" t="s">
        <v>27252</v>
      </c>
      <c r="Q11272" s="1">
        <v>44538</v>
      </c>
      <c r="R11272" t="s">
        <v>27253</v>
      </c>
      <c r="S11272" t="s">
        <v>27254</v>
      </c>
      <c r="T11272" t="s">
        <v>27255</v>
      </c>
    </row>
    <row r="11273" spans="1:20" x14ac:dyDescent="0.3">
      <c r="A11273" t="str">
        <f>"0611839034100"</f>
        <v>0611839034100</v>
      </c>
      <c r="B11273" t="str">
        <f>"LK5925"</f>
        <v>LK5925</v>
      </c>
      <c r="C11273" t="s">
        <v>49043</v>
      </c>
      <c r="D11273" t="s">
        <v>27245</v>
      </c>
      <c r="E11273" t="str">
        <f t="shared" si="176"/>
        <v>001390</v>
      </c>
      <c r="F11273" t="s">
        <v>27246</v>
      </c>
      <c r="G11273" t="s">
        <v>27247</v>
      </c>
      <c r="H11273" t="s">
        <v>27248</v>
      </c>
      <c r="I11273" t="s">
        <v>49044</v>
      </c>
      <c r="J11273" t="s">
        <v>22558</v>
      </c>
      <c r="L11273" t="s">
        <v>27250</v>
      </c>
      <c r="M11273" t="s">
        <v>27251</v>
      </c>
      <c r="N11273" t="s">
        <v>27252</v>
      </c>
      <c r="Q11273" s="1">
        <v>44538</v>
      </c>
      <c r="R11273" t="s">
        <v>27253</v>
      </c>
      <c r="S11273" t="s">
        <v>27254</v>
      </c>
      <c r="T11273" t="s">
        <v>27255</v>
      </c>
    </row>
    <row r="11274" spans="1:20" x14ac:dyDescent="0.3">
      <c r="A11274" t="str">
        <f>"0611839035100"</f>
        <v>0611839035100</v>
      </c>
      <c r="B11274" t="str">
        <f>"LK4942"</f>
        <v>LK4942</v>
      </c>
      <c r="C11274" t="s">
        <v>49045</v>
      </c>
      <c r="D11274" t="s">
        <v>27245</v>
      </c>
      <c r="E11274" t="str">
        <f t="shared" si="176"/>
        <v>001390</v>
      </c>
      <c r="F11274" t="s">
        <v>27246</v>
      </c>
      <c r="G11274" t="s">
        <v>27247</v>
      </c>
      <c r="H11274" t="s">
        <v>27248</v>
      </c>
      <c r="I11274" t="s">
        <v>49046</v>
      </c>
      <c r="J11274" t="s">
        <v>22560</v>
      </c>
      <c r="L11274" t="s">
        <v>27250</v>
      </c>
      <c r="M11274" t="s">
        <v>27251</v>
      </c>
      <c r="N11274" t="s">
        <v>27252</v>
      </c>
      <c r="Q11274" s="1">
        <v>44538</v>
      </c>
      <c r="R11274" t="s">
        <v>27253</v>
      </c>
      <c r="S11274" t="s">
        <v>27254</v>
      </c>
      <c r="T11274" t="s">
        <v>27255</v>
      </c>
    </row>
    <row r="11275" spans="1:20" x14ac:dyDescent="0.3">
      <c r="A11275" t="str">
        <f>"0611839036100"</f>
        <v>0611839036100</v>
      </c>
      <c r="B11275" t="str">
        <f>"LK4757"</f>
        <v>LK4757</v>
      </c>
      <c r="C11275" t="s">
        <v>49047</v>
      </c>
      <c r="D11275" t="s">
        <v>27245</v>
      </c>
      <c r="E11275" t="str">
        <f t="shared" si="176"/>
        <v>001390</v>
      </c>
      <c r="F11275" t="s">
        <v>27246</v>
      </c>
      <c r="G11275" t="s">
        <v>27247</v>
      </c>
      <c r="H11275" t="s">
        <v>27248</v>
      </c>
      <c r="I11275" t="s">
        <v>49048</v>
      </c>
      <c r="J11275" t="s">
        <v>22562</v>
      </c>
      <c r="L11275" t="s">
        <v>27250</v>
      </c>
      <c r="M11275" t="s">
        <v>27251</v>
      </c>
      <c r="N11275" t="s">
        <v>27252</v>
      </c>
      <c r="Q11275" s="1">
        <v>44538</v>
      </c>
      <c r="R11275" t="s">
        <v>27253</v>
      </c>
      <c r="S11275" t="s">
        <v>27254</v>
      </c>
      <c r="T11275" t="s">
        <v>27255</v>
      </c>
    </row>
    <row r="11276" spans="1:20" x14ac:dyDescent="0.3">
      <c r="A11276" t="str">
        <f>"0611839037100"</f>
        <v>0611839037100</v>
      </c>
      <c r="B11276" t="str">
        <f>"LK5671"</f>
        <v>LK5671</v>
      </c>
      <c r="C11276" t="s">
        <v>49049</v>
      </c>
      <c r="D11276" t="s">
        <v>27245</v>
      </c>
      <c r="E11276" t="str">
        <f t="shared" si="176"/>
        <v>001390</v>
      </c>
      <c r="F11276" t="s">
        <v>27246</v>
      </c>
      <c r="G11276" t="s">
        <v>27247</v>
      </c>
      <c r="H11276" t="s">
        <v>27248</v>
      </c>
      <c r="I11276" t="s">
        <v>49050</v>
      </c>
      <c r="J11276" t="s">
        <v>22564</v>
      </c>
      <c r="L11276" t="s">
        <v>27250</v>
      </c>
      <c r="M11276" t="s">
        <v>27251</v>
      </c>
      <c r="N11276" t="s">
        <v>27252</v>
      </c>
      <c r="Q11276" s="1">
        <v>44538</v>
      </c>
      <c r="R11276" t="s">
        <v>27253</v>
      </c>
      <c r="S11276" t="s">
        <v>27254</v>
      </c>
      <c r="T11276" t="s">
        <v>27255</v>
      </c>
    </row>
    <row r="11277" spans="1:20" x14ac:dyDescent="0.3">
      <c r="A11277" t="str">
        <f>"0611839038025"</f>
        <v>0611839038025</v>
      </c>
      <c r="B11277" t="str">
        <f>"MQ0531"</f>
        <v>MQ0531</v>
      </c>
      <c r="C11277" t="s">
        <v>49051</v>
      </c>
      <c r="D11277" t="s">
        <v>27267</v>
      </c>
      <c r="E11277" t="str">
        <f t="shared" si="176"/>
        <v>001390</v>
      </c>
      <c r="F11277" t="s">
        <v>27246</v>
      </c>
      <c r="G11277" t="s">
        <v>27247</v>
      </c>
      <c r="H11277" t="s">
        <v>27248</v>
      </c>
      <c r="I11277" t="s">
        <v>49052</v>
      </c>
      <c r="J11277" t="s">
        <v>22568</v>
      </c>
      <c r="L11277" t="s">
        <v>27250</v>
      </c>
      <c r="M11277" t="s">
        <v>27251</v>
      </c>
      <c r="N11277" t="s">
        <v>27252</v>
      </c>
      <c r="Q11277" s="1">
        <v>44538</v>
      </c>
      <c r="R11277" t="s">
        <v>27253</v>
      </c>
      <c r="S11277" t="s">
        <v>27254</v>
      </c>
      <c r="T11277" t="s">
        <v>27269</v>
      </c>
    </row>
    <row r="11278" spans="1:20" x14ac:dyDescent="0.3">
      <c r="A11278" t="str">
        <f>"0611839039025"</f>
        <v>0611839039025</v>
      </c>
      <c r="B11278" t="str">
        <f>"MQ0427"</f>
        <v>MQ0427</v>
      </c>
      <c r="C11278" t="s">
        <v>49053</v>
      </c>
      <c r="D11278" t="s">
        <v>27267</v>
      </c>
      <c r="E11278" t="str">
        <f t="shared" si="176"/>
        <v>001390</v>
      </c>
      <c r="F11278" t="s">
        <v>27246</v>
      </c>
      <c r="G11278" t="s">
        <v>27247</v>
      </c>
      <c r="H11278" t="s">
        <v>27248</v>
      </c>
      <c r="I11278" t="s">
        <v>49054</v>
      </c>
      <c r="J11278" t="s">
        <v>22566</v>
      </c>
      <c r="L11278" t="s">
        <v>27250</v>
      </c>
      <c r="M11278" t="s">
        <v>27251</v>
      </c>
      <c r="N11278" t="s">
        <v>27252</v>
      </c>
      <c r="Q11278" s="1">
        <v>44538</v>
      </c>
      <c r="R11278" t="s">
        <v>27253</v>
      </c>
      <c r="S11278" t="s">
        <v>27254</v>
      </c>
      <c r="T11278" t="s">
        <v>27269</v>
      </c>
    </row>
    <row r="11279" spans="1:20" x14ac:dyDescent="0.3">
      <c r="A11279" t="str">
        <f>"0611839040025"</f>
        <v>0611839040025</v>
      </c>
      <c r="B11279" t="str">
        <f>"MQ0532"</f>
        <v>MQ0532</v>
      </c>
      <c r="C11279" t="s">
        <v>49055</v>
      </c>
      <c r="D11279" t="s">
        <v>27267</v>
      </c>
      <c r="E11279" t="str">
        <f t="shared" si="176"/>
        <v>001390</v>
      </c>
      <c r="F11279" t="s">
        <v>27246</v>
      </c>
      <c r="G11279" t="s">
        <v>27247</v>
      </c>
      <c r="H11279" t="s">
        <v>27248</v>
      </c>
      <c r="I11279" t="s">
        <v>49056</v>
      </c>
      <c r="J11279" t="s">
        <v>22570</v>
      </c>
      <c r="L11279" t="s">
        <v>27250</v>
      </c>
      <c r="M11279" t="s">
        <v>27251</v>
      </c>
      <c r="N11279" t="s">
        <v>27252</v>
      </c>
      <c r="Q11279" s="1">
        <v>44538</v>
      </c>
      <c r="R11279" t="s">
        <v>27253</v>
      </c>
      <c r="S11279" t="s">
        <v>27254</v>
      </c>
      <c r="T11279" t="s">
        <v>27269</v>
      </c>
    </row>
    <row r="11280" spans="1:20" x14ac:dyDescent="0.3">
      <c r="A11280" t="str">
        <f>"0611839041025"</f>
        <v>0611839041025</v>
      </c>
      <c r="B11280" t="str">
        <f>"MQ0604"</f>
        <v>MQ0604</v>
      </c>
      <c r="C11280" t="s">
        <v>49057</v>
      </c>
      <c r="D11280" t="s">
        <v>27267</v>
      </c>
      <c r="E11280" t="str">
        <f t="shared" si="176"/>
        <v>001390</v>
      </c>
      <c r="F11280" t="s">
        <v>27246</v>
      </c>
      <c r="G11280" t="s">
        <v>27247</v>
      </c>
      <c r="H11280" t="s">
        <v>27248</v>
      </c>
      <c r="I11280" t="s">
        <v>49058</v>
      </c>
      <c r="J11280" t="s">
        <v>22572</v>
      </c>
      <c r="L11280" t="s">
        <v>27250</v>
      </c>
      <c r="M11280" t="s">
        <v>27251</v>
      </c>
      <c r="N11280" t="s">
        <v>27252</v>
      </c>
      <c r="Q11280" s="1">
        <v>44538</v>
      </c>
      <c r="R11280" t="s">
        <v>27253</v>
      </c>
      <c r="S11280" t="s">
        <v>27254</v>
      </c>
      <c r="T11280" t="s">
        <v>27269</v>
      </c>
    </row>
    <row r="11281" spans="1:20" x14ac:dyDescent="0.3">
      <c r="A11281" t="str">
        <f>"0611839042025"</f>
        <v>0611839042025</v>
      </c>
      <c r="B11281" t="str">
        <f>"MQ0533"</f>
        <v>MQ0533</v>
      </c>
      <c r="C11281" t="s">
        <v>49059</v>
      </c>
      <c r="D11281" t="s">
        <v>27267</v>
      </c>
      <c r="E11281" t="str">
        <f t="shared" si="176"/>
        <v>001390</v>
      </c>
      <c r="F11281" t="s">
        <v>27246</v>
      </c>
      <c r="G11281" t="s">
        <v>27247</v>
      </c>
      <c r="H11281" t="s">
        <v>27248</v>
      </c>
      <c r="I11281" t="s">
        <v>49060</v>
      </c>
      <c r="J11281" t="s">
        <v>22574</v>
      </c>
      <c r="L11281" t="s">
        <v>27250</v>
      </c>
      <c r="M11281" t="s">
        <v>27251</v>
      </c>
      <c r="N11281" t="s">
        <v>27252</v>
      </c>
      <c r="Q11281" s="1">
        <v>44538</v>
      </c>
      <c r="R11281" t="s">
        <v>27253</v>
      </c>
      <c r="S11281" t="s">
        <v>27254</v>
      </c>
      <c r="T11281" t="s">
        <v>27269</v>
      </c>
    </row>
    <row r="11282" spans="1:20" x14ac:dyDescent="0.3">
      <c r="A11282" t="str">
        <f>"0611839043100"</f>
        <v>0611839043100</v>
      </c>
      <c r="B11282" t="str">
        <f>"LK5351"</f>
        <v>LK5351</v>
      </c>
      <c r="C11282" t="s">
        <v>49061</v>
      </c>
      <c r="D11282" t="s">
        <v>27245</v>
      </c>
      <c r="E11282" t="str">
        <f t="shared" si="176"/>
        <v>001390</v>
      </c>
      <c r="F11282" t="s">
        <v>27246</v>
      </c>
      <c r="G11282" t="s">
        <v>27247</v>
      </c>
      <c r="H11282" t="s">
        <v>27248</v>
      </c>
      <c r="I11282" t="s">
        <v>49062</v>
      </c>
      <c r="J11282" t="s">
        <v>22576</v>
      </c>
      <c r="L11282" t="s">
        <v>27250</v>
      </c>
      <c r="M11282" t="s">
        <v>27251</v>
      </c>
      <c r="N11282" t="s">
        <v>27252</v>
      </c>
      <c r="Q11282" s="1">
        <v>44538</v>
      </c>
      <c r="R11282" t="s">
        <v>27253</v>
      </c>
      <c r="S11282" t="s">
        <v>27254</v>
      </c>
      <c r="T11282" t="s">
        <v>27255</v>
      </c>
    </row>
    <row r="11283" spans="1:20" x14ac:dyDescent="0.3">
      <c r="A11283" t="str">
        <f>"0611839044100"</f>
        <v>0611839044100</v>
      </c>
      <c r="B11283" t="str">
        <f>"LB8412"</f>
        <v>LB8412</v>
      </c>
      <c r="C11283" t="s">
        <v>49063</v>
      </c>
      <c r="D11283" t="s">
        <v>27245</v>
      </c>
      <c r="E11283" t="str">
        <f t="shared" si="176"/>
        <v>001390</v>
      </c>
      <c r="F11283" t="s">
        <v>27246</v>
      </c>
      <c r="G11283" t="s">
        <v>27247</v>
      </c>
      <c r="H11283" t="s">
        <v>27248</v>
      </c>
      <c r="I11283" t="s">
        <v>49064</v>
      </c>
      <c r="J11283" t="s">
        <v>22578</v>
      </c>
      <c r="L11283" t="s">
        <v>27250</v>
      </c>
      <c r="M11283" t="s">
        <v>27251</v>
      </c>
      <c r="N11283" t="s">
        <v>27252</v>
      </c>
      <c r="Q11283" s="1">
        <v>44538</v>
      </c>
      <c r="R11283" t="s">
        <v>27253</v>
      </c>
      <c r="S11283" t="s">
        <v>27254</v>
      </c>
      <c r="T11283" t="s">
        <v>27255</v>
      </c>
    </row>
    <row r="11284" spans="1:20" x14ac:dyDescent="0.3">
      <c r="A11284" t="str">
        <f>"0611839045025"</f>
        <v>0611839045025</v>
      </c>
      <c r="B11284" t="str">
        <f>"MC4315"</f>
        <v>MC4315</v>
      </c>
      <c r="C11284" t="s">
        <v>49065</v>
      </c>
      <c r="D11284" t="s">
        <v>27267</v>
      </c>
      <c r="E11284" t="str">
        <f t="shared" si="176"/>
        <v>001390</v>
      </c>
      <c r="F11284" t="s">
        <v>27246</v>
      </c>
      <c r="G11284" t="s">
        <v>27247</v>
      </c>
      <c r="H11284" t="s">
        <v>27248</v>
      </c>
      <c r="I11284" t="s">
        <v>49066</v>
      </c>
      <c r="J11284" t="s">
        <v>22580</v>
      </c>
      <c r="L11284" t="s">
        <v>27250</v>
      </c>
      <c r="M11284" t="s">
        <v>27251</v>
      </c>
      <c r="N11284" t="s">
        <v>27252</v>
      </c>
      <c r="Q11284" s="1">
        <v>44538</v>
      </c>
      <c r="R11284" t="s">
        <v>27253</v>
      </c>
      <c r="S11284" t="s">
        <v>27254</v>
      </c>
      <c r="T11284" t="s">
        <v>27269</v>
      </c>
    </row>
    <row r="11285" spans="1:20" x14ac:dyDescent="0.3">
      <c r="A11285" t="str">
        <f>"0611839046100"</f>
        <v>0611839046100</v>
      </c>
      <c r="B11285" t="str">
        <f>"LC9158"</f>
        <v>LC9158</v>
      </c>
      <c r="C11285" t="s">
        <v>49067</v>
      </c>
      <c r="D11285" t="s">
        <v>27245</v>
      </c>
      <c r="E11285" t="str">
        <f t="shared" si="176"/>
        <v>001390</v>
      </c>
      <c r="F11285" t="s">
        <v>27246</v>
      </c>
      <c r="G11285" t="s">
        <v>27247</v>
      </c>
      <c r="H11285" t="s">
        <v>27248</v>
      </c>
      <c r="I11285" t="s">
        <v>49068</v>
      </c>
      <c r="J11285" t="s">
        <v>22582</v>
      </c>
      <c r="L11285" t="s">
        <v>27250</v>
      </c>
      <c r="M11285" t="s">
        <v>27251</v>
      </c>
      <c r="N11285" t="s">
        <v>27252</v>
      </c>
      <c r="Q11285" s="1">
        <v>44538</v>
      </c>
      <c r="R11285" t="s">
        <v>27253</v>
      </c>
      <c r="S11285" t="s">
        <v>27254</v>
      </c>
      <c r="T11285" t="s">
        <v>27255</v>
      </c>
    </row>
    <row r="11286" spans="1:20" x14ac:dyDescent="0.3">
      <c r="A11286" t="str">
        <f>"0611839047025"</f>
        <v>0611839047025</v>
      </c>
      <c r="B11286" t="str">
        <f>"MC0815"</f>
        <v>MC0815</v>
      </c>
      <c r="C11286" t="s">
        <v>49067</v>
      </c>
      <c r="D11286" t="s">
        <v>27267</v>
      </c>
      <c r="E11286" t="str">
        <f t="shared" si="176"/>
        <v>001390</v>
      </c>
      <c r="F11286" t="s">
        <v>27246</v>
      </c>
      <c r="G11286" t="s">
        <v>27247</v>
      </c>
      <c r="H11286" t="s">
        <v>27248</v>
      </c>
      <c r="I11286" t="s">
        <v>49069</v>
      </c>
      <c r="J11286" t="s">
        <v>22584</v>
      </c>
      <c r="L11286" t="s">
        <v>27250</v>
      </c>
      <c r="M11286" t="s">
        <v>27251</v>
      </c>
      <c r="N11286" t="s">
        <v>27252</v>
      </c>
      <c r="Q11286" s="1">
        <v>44538</v>
      </c>
      <c r="R11286" t="s">
        <v>27253</v>
      </c>
      <c r="S11286" t="s">
        <v>27254</v>
      </c>
      <c r="T11286" t="s">
        <v>27269</v>
      </c>
    </row>
    <row r="11287" spans="1:20" x14ac:dyDescent="0.3">
      <c r="A11287" t="str">
        <f>"0611863971100"</f>
        <v>0611863971100</v>
      </c>
      <c r="B11287" t="str">
        <f>"CN5370"</f>
        <v>CN5370</v>
      </c>
      <c r="C11287" t="s">
        <v>49070</v>
      </c>
      <c r="D11287" t="s">
        <v>27335</v>
      </c>
      <c r="E11287" t="str">
        <f t="shared" si="176"/>
        <v>001390</v>
      </c>
      <c r="F11287" t="s">
        <v>27246</v>
      </c>
      <c r="G11287" t="s">
        <v>27247</v>
      </c>
      <c r="H11287" t="s">
        <v>27248</v>
      </c>
      <c r="I11287" t="s">
        <v>49071</v>
      </c>
      <c r="J11287" t="s">
        <v>22586</v>
      </c>
      <c r="L11287" t="s">
        <v>27250</v>
      </c>
      <c r="M11287" t="s">
        <v>27251</v>
      </c>
      <c r="N11287" t="s">
        <v>27252</v>
      </c>
      <c r="Q11287" s="1">
        <v>44846</v>
      </c>
      <c r="R11287" t="s">
        <v>27253</v>
      </c>
      <c r="S11287" t="s">
        <v>27254</v>
      </c>
      <c r="T11287" t="s">
        <v>27255</v>
      </c>
    </row>
    <row r="11288" spans="1:20" x14ac:dyDescent="0.3">
      <c r="A11288" t="str">
        <f>"0611863972050"</f>
        <v>0611863972050</v>
      </c>
      <c r="B11288" t="str">
        <f>"CR4449"</f>
        <v>CR4449</v>
      </c>
      <c r="C11288" t="s">
        <v>49072</v>
      </c>
      <c r="D11288" t="s">
        <v>27286</v>
      </c>
      <c r="E11288" t="str">
        <f t="shared" si="176"/>
        <v>001390</v>
      </c>
      <c r="F11288" t="s">
        <v>27246</v>
      </c>
      <c r="G11288" t="s">
        <v>27247</v>
      </c>
      <c r="H11288" t="s">
        <v>27248</v>
      </c>
      <c r="I11288" t="s">
        <v>49073</v>
      </c>
      <c r="J11288" t="s">
        <v>22588</v>
      </c>
      <c r="L11288" t="s">
        <v>27250</v>
      </c>
      <c r="M11288" t="s">
        <v>27251</v>
      </c>
      <c r="N11288" t="s">
        <v>27252</v>
      </c>
      <c r="O11288">
        <v>50</v>
      </c>
      <c r="Q11288" s="1">
        <v>44846</v>
      </c>
      <c r="R11288" t="s">
        <v>27253</v>
      </c>
      <c r="S11288" t="s">
        <v>27254</v>
      </c>
      <c r="T11288" t="s">
        <v>27265</v>
      </c>
    </row>
    <row r="11289" spans="1:20" x14ac:dyDescent="0.3">
      <c r="A11289" t="str">
        <f>"0611839048025"</f>
        <v>0611839048025</v>
      </c>
      <c r="B11289" t="str">
        <f>"MQ0359"</f>
        <v>MQ0359</v>
      </c>
      <c r="C11289" t="s">
        <v>49074</v>
      </c>
      <c r="D11289" t="s">
        <v>27267</v>
      </c>
      <c r="E11289" t="str">
        <f t="shared" si="176"/>
        <v>001390</v>
      </c>
      <c r="F11289" t="s">
        <v>27246</v>
      </c>
      <c r="G11289" t="s">
        <v>27247</v>
      </c>
      <c r="H11289" t="s">
        <v>27248</v>
      </c>
      <c r="I11289" t="s">
        <v>49075</v>
      </c>
      <c r="J11289" t="s">
        <v>22590</v>
      </c>
      <c r="L11289" t="s">
        <v>27250</v>
      </c>
      <c r="M11289" t="s">
        <v>27251</v>
      </c>
      <c r="N11289" t="s">
        <v>27252</v>
      </c>
      <c r="Q11289" s="1">
        <v>44538</v>
      </c>
      <c r="R11289" t="s">
        <v>27253</v>
      </c>
      <c r="S11289" t="s">
        <v>27254</v>
      </c>
      <c r="T11289" t="s">
        <v>27269</v>
      </c>
    </row>
    <row r="11290" spans="1:20" x14ac:dyDescent="0.3">
      <c r="A11290" t="str">
        <f>"0611863973050"</f>
        <v>0611863973050</v>
      </c>
      <c r="B11290" t="str">
        <f>"CE0527"</f>
        <v>CE0527</v>
      </c>
      <c r="C11290" t="s">
        <v>49076</v>
      </c>
      <c r="D11290" t="s">
        <v>27923</v>
      </c>
      <c r="E11290" t="str">
        <f t="shared" si="176"/>
        <v>001390</v>
      </c>
      <c r="F11290" t="s">
        <v>27246</v>
      </c>
      <c r="G11290" t="s">
        <v>27247</v>
      </c>
      <c r="H11290" t="s">
        <v>27248</v>
      </c>
      <c r="I11290" t="s">
        <v>49077</v>
      </c>
      <c r="J11290" t="s">
        <v>22592</v>
      </c>
      <c r="L11290" t="s">
        <v>27250</v>
      </c>
      <c r="M11290" t="s">
        <v>27251</v>
      </c>
      <c r="N11290" t="s">
        <v>27252</v>
      </c>
      <c r="P11290" t="s">
        <v>27925</v>
      </c>
      <c r="Q11290" s="1">
        <v>44846</v>
      </c>
      <c r="R11290" t="s">
        <v>27253</v>
      </c>
      <c r="S11290" t="s">
        <v>27254</v>
      </c>
      <c r="T11290" t="s">
        <v>27265</v>
      </c>
    </row>
    <row r="11291" spans="1:20" x14ac:dyDescent="0.3">
      <c r="A11291" t="str">
        <f>"0611863974050"</f>
        <v>0611863974050</v>
      </c>
      <c r="B11291" t="str">
        <f>"CR3917"</f>
        <v>CR3917</v>
      </c>
      <c r="C11291" t="s">
        <v>49078</v>
      </c>
      <c r="D11291" t="s">
        <v>27263</v>
      </c>
      <c r="E11291" t="str">
        <f t="shared" si="176"/>
        <v>001390</v>
      </c>
      <c r="F11291" t="s">
        <v>27246</v>
      </c>
      <c r="G11291" t="s">
        <v>27247</v>
      </c>
      <c r="H11291" t="s">
        <v>27248</v>
      </c>
      <c r="I11291" t="s">
        <v>49079</v>
      </c>
      <c r="J11291" t="s">
        <v>22594</v>
      </c>
      <c r="L11291" t="s">
        <v>27250</v>
      </c>
      <c r="M11291" t="s">
        <v>27251</v>
      </c>
      <c r="N11291" t="s">
        <v>27252</v>
      </c>
      <c r="Q11291" s="1">
        <v>44846</v>
      </c>
      <c r="R11291" t="s">
        <v>27253</v>
      </c>
      <c r="S11291" t="s">
        <v>27254</v>
      </c>
      <c r="T11291" t="s">
        <v>27265</v>
      </c>
    </row>
    <row r="11292" spans="1:20" x14ac:dyDescent="0.3">
      <c r="A11292" t="str">
        <f>"0611863975050"</f>
        <v>0611863975050</v>
      </c>
      <c r="B11292" t="str">
        <f>"CR3915"</f>
        <v>CR3915</v>
      </c>
      <c r="C11292" t="s">
        <v>49080</v>
      </c>
      <c r="D11292" t="s">
        <v>27263</v>
      </c>
      <c r="E11292" t="str">
        <f t="shared" si="176"/>
        <v>001390</v>
      </c>
      <c r="F11292" t="s">
        <v>27246</v>
      </c>
      <c r="G11292" t="s">
        <v>27247</v>
      </c>
      <c r="H11292" t="s">
        <v>27248</v>
      </c>
      <c r="I11292" t="s">
        <v>49081</v>
      </c>
      <c r="J11292" t="s">
        <v>22596</v>
      </c>
      <c r="L11292" t="s">
        <v>27250</v>
      </c>
      <c r="M11292" t="s">
        <v>27251</v>
      </c>
      <c r="N11292" t="s">
        <v>27252</v>
      </c>
      <c r="Q11292" s="1">
        <v>44846</v>
      </c>
      <c r="R11292" t="s">
        <v>27253</v>
      </c>
      <c r="S11292" t="s">
        <v>27254</v>
      </c>
      <c r="T11292" t="s">
        <v>27265</v>
      </c>
    </row>
    <row r="11293" spans="1:20" x14ac:dyDescent="0.3">
      <c r="A11293" t="str">
        <f>"0611863976050"</f>
        <v>0611863976050</v>
      </c>
      <c r="B11293" t="str">
        <f>"CR3916"</f>
        <v>CR3916</v>
      </c>
      <c r="C11293" t="s">
        <v>49082</v>
      </c>
      <c r="D11293" t="s">
        <v>27263</v>
      </c>
      <c r="E11293" t="str">
        <f t="shared" si="176"/>
        <v>001390</v>
      </c>
      <c r="F11293" t="s">
        <v>27246</v>
      </c>
      <c r="G11293" t="s">
        <v>27247</v>
      </c>
      <c r="H11293" t="s">
        <v>27248</v>
      </c>
      <c r="I11293" t="s">
        <v>49083</v>
      </c>
      <c r="J11293" t="s">
        <v>22598</v>
      </c>
      <c r="L11293" t="s">
        <v>27250</v>
      </c>
      <c r="M11293" t="s">
        <v>27251</v>
      </c>
      <c r="N11293" t="s">
        <v>27252</v>
      </c>
      <c r="Q11293" s="1">
        <v>44846</v>
      </c>
      <c r="R11293" t="s">
        <v>27253</v>
      </c>
      <c r="S11293" t="s">
        <v>27254</v>
      </c>
      <c r="T11293" t="s">
        <v>27265</v>
      </c>
    </row>
    <row r="11294" spans="1:20" x14ac:dyDescent="0.3">
      <c r="A11294" t="str">
        <f>"0611839049100"</f>
        <v>0611839049100</v>
      </c>
      <c r="B11294" t="str">
        <f>"LB8228"</f>
        <v>LB8228</v>
      </c>
      <c r="C11294" t="s">
        <v>49084</v>
      </c>
      <c r="D11294" t="s">
        <v>28138</v>
      </c>
      <c r="E11294" t="str">
        <f t="shared" si="176"/>
        <v>001390</v>
      </c>
      <c r="F11294" t="s">
        <v>27246</v>
      </c>
      <c r="G11294" t="s">
        <v>27247</v>
      </c>
      <c r="H11294" t="s">
        <v>27248</v>
      </c>
      <c r="I11294" t="s">
        <v>49085</v>
      </c>
      <c r="J11294" t="s">
        <v>22600</v>
      </c>
      <c r="L11294" t="s">
        <v>27250</v>
      </c>
      <c r="M11294" t="s">
        <v>27251</v>
      </c>
      <c r="N11294" t="s">
        <v>27252</v>
      </c>
      <c r="O11294">
        <v>300</v>
      </c>
      <c r="P11294" t="s">
        <v>27925</v>
      </c>
      <c r="Q11294" s="1">
        <v>44538</v>
      </c>
      <c r="R11294" t="s">
        <v>27253</v>
      </c>
      <c r="S11294" t="s">
        <v>27254</v>
      </c>
      <c r="T11294" t="s">
        <v>27255</v>
      </c>
    </row>
    <row r="11295" spans="1:20" x14ac:dyDescent="0.3">
      <c r="A11295" t="str">
        <f>"0611839050100"</f>
        <v>0611839050100</v>
      </c>
      <c r="B11295" t="str">
        <f>"LB8229"</f>
        <v>LB8229</v>
      </c>
      <c r="C11295" t="s">
        <v>49086</v>
      </c>
      <c r="D11295" t="s">
        <v>28138</v>
      </c>
      <c r="E11295" t="str">
        <f t="shared" si="176"/>
        <v>001390</v>
      </c>
      <c r="F11295" t="s">
        <v>27246</v>
      </c>
      <c r="G11295" t="s">
        <v>27247</v>
      </c>
      <c r="H11295" t="s">
        <v>27248</v>
      </c>
      <c r="I11295" t="s">
        <v>49087</v>
      </c>
      <c r="J11295" t="s">
        <v>22602</v>
      </c>
      <c r="L11295" t="s">
        <v>27250</v>
      </c>
      <c r="M11295" t="s">
        <v>27251</v>
      </c>
      <c r="N11295" t="s">
        <v>27252</v>
      </c>
      <c r="P11295" t="s">
        <v>27925</v>
      </c>
      <c r="Q11295" s="1">
        <v>44538</v>
      </c>
      <c r="R11295" t="s">
        <v>27253</v>
      </c>
      <c r="S11295" t="s">
        <v>27254</v>
      </c>
      <c r="T11295" t="s">
        <v>27255</v>
      </c>
    </row>
    <row r="11296" spans="1:20" x14ac:dyDescent="0.3">
      <c r="A11296" t="str">
        <f>"0611839051100"</f>
        <v>0611839051100</v>
      </c>
      <c r="B11296" t="str">
        <f>"LB8227"</f>
        <v>LB8227</v>
      </c>
      <c r="C11296" t="s">
        <v>49088</v>
      </c>
      <c r="D11296" t="s">
        <v>27245</v>
      </c>
      <c r="E11296" t="str">
        <f t="shared" si="176"/>
        <v>001390</v>
      </c>
      <c r="F11296" t="s">
        <v>27246</v>
      </c>
      <c r="G11296" t="s">
        <v>27247</v>
      </c>
      <c r="H11296" t="s">
        <v>27248</v>
      </c>
      <c r="I11296" t="s">
        <v>49089</v>
      </c>
      <c r="J11296" t="s">
        <v>22604</v>
      </c>
      <c r="L11296" t="s">
        <v>27250</v>
      </c>
      <c r="M11296" t="s">
        <v>27251</v>
      </c>
      <c r="N11296" t="s">
        <v>27252</v>
      </c>
      <c r="Q11296" s="1">
        <v>44538</v>
      </c>
      <c r="R11296" t="s">
        <v>27253</v>
      </c>
      <c r="S11296" t="s">
        <v>27254</v>
      </c>
      <c r="T11296" t="s">
        <v>27255</v>
      </c>
    </row>
    <row r="11297" spans="1:20" x14ac:dyDescent="0.3">
      <c r="A11297" t="str">
        <f>"0611839052100"</f>
        <v>0611839052100</v>
      </c>
      <c r="B11297" t="str">
        <f>"LB8233"</f>
        <v>LB8233</v>
      </c>
      <c r="C11297" t="s">
        <v>49090</v>
      </c>
      <c r="D11297" t="s">
        <v>27245</v>
      </c>
      <c r="E11297" t="str">
        <f t="shared" si="176"/>
        <v>001390</v>
      </c>
      <c r="F11297" t="s">
        <v>27246</v>
      </c>
      <c r="G11297" t="s">
        <v>27247</v>
      </c>
      <c r="H11297" t="s">
        <v>27248</v>
      </c>
      <c r="I11297" t="s">
        <v>49091</v>
      </c>
      <c r="J11297" t="s">
        <v>22606</v>
      </c>
      <c r="L11297" t="s">
        <v>27250</v>
      </c>
      <c r="M11297" t="s">
        <v>27251</v>
      </c>
      <c r="N11297" t="s">
        <v>27252</v>
      </c>
      <c r="Q11297" s="1">
        <v>44538</v>
      </c>
      <c r="R11297" t="s">
        <v>27253</v>
      </c>
      <c r="S11297" t="s">
        <v>27254</v>
      </c>
      <c r="T11297" t="s">
        <v>27255</v>
      </c>
    </row>
    <row r="11298" spans="1:20" x14ac:dyDescent="0.3">
      <c r="A11298" t="str">
        <f>"0611839053100"</f>
        <v>0611839053100</v>
      </c>
      <c r="B11298" t="str">
        <f>"LB8264"</f>
        <v>LB8264</v>
      </c>
      <c r="C11298" t="s">
        <v>49092</v>
      </c>
      <c r="D11298" t="s">
        <v>27245</v>
      </c>
      <c r="E11298" t="str">
        <f t="shared" si="176"/>
        <v>001390</v>
      </c>
      <c r="F11298" t="s">
        <v>27246</v>
      </c>
      <c r="G11298" t="s">
        <v>27247</v>
      </c>
      <c r="H11298" t="s">
        <v>27248</v>
      </c>
      <c r="I11298" t="s">
        <v>49093</v>
      </c>
      <c r="J11298" t="s">
        <v>22608</v>
      </c>
      <c r="L11298" t="s">
        <v>27250</v>
      </c>
      <c r="M11298" t="s">
        <v>27251</v>
      </c>
      <c r="N11298" t="s">
        <v>27252</v>
      </c>
      <c r="Q11298" s="1">
        <v>44538</v>
      </c>
      <c r="R11298" t="s">
        <v>27253</v>
      </c>
      <c r="S11298" t="s">
        <v>27254</v>
      </c>
      <c r="T11298" t="s">
        <v>27255</v>
      </c>
    </row>
    <row r="11299" spans="1:20" x14ac:dyDescent="0.3">
      <c r="A11299" t="str">
        <f>"0611839054100"</f>
        <v>0611839054100</v>
      </c>
      <c r="B11299" t="str">
        <f>"LB8260"</f>
        <v>LB8260</v>
      </c>
      <c r="C11299" t="s">
        <v>49094</v>
      </c>
      <c r="D11299" t="s">
        <v>27245</v>
      </c>
      <c r="E11299" t="str">
        <f t="shared" si="176"/>
        <v>001390</v>
      </c>
      <c r="F11299" t="s">
        <v>27246</v>
      </c>
      <c r="G11299" t="s">
        <v>27247</v>
      </c>
      <c r="H11299" t="s">
        <v>27248</v>
      </c>
      <c r="I11299" t="s">
        <v>49095</v>
      </c>
      <c r="J11299" t="s">
        <v>22610</v>
      </c>
      <c r="L11299" t="s">
        <v>27250</v>
      </c>
      <c r="M11299" t="s">
        <v>27251</v>
      </c>
      <c r="N11299" t="s">
        <v>27252</v>
      </c>
      <c r="Q11299" s="1">
        <v>44538</v>
      </c>
      <c r="R11299" t="s">
        <v>27253</v>
      </c>
      <c r="S11299" t="s">
        <v>27254</v>
      </c>
      <c r="T11299" t="s">
        <v>27255</v>
      </c>
    </row>
    <row r="11300" spans="1:20" x14ac:dyDescent="0.3">
      <c r="A11300" t="str">
        <f>"0611839055100"</f>
        <v>0611839055100</v>
      </c>
      <c r="B11300" t="str">
        <f>"LB8369"</f>
        <v>LB8369</v>
      </c>
      <c r="C11300" t="s">
        <v>49096</v>
      </c>
      <c r="D11300" t="s">
        <v>27245</v>
      </c>
      <c r="E11300" t="str">
        <f t="shared" si="176"/>
        <v>001390</v>
      </c>
      <c r="F11300" t="s">
        <v>27246</v>
      </c>
      <c r="G11300" t="s">
        <v>27247</v>
      </c>
      <c r="H11300" t="s">
        <v>27248</v>
      </c>
      <c r="I11300" t="s">
        <v>49097</v>
      </c>
      <c r="J11300" t="s">
        <v>22612</v>
      </c>
      <c r="L11300" t="s">
        <v>27250</v>
      </c>
      <c r="M11300" t="s">
        <v>27251</v>
      </c>
      <c r="N11300" t="s">
        <v>27252</v>
      </c>
      <c r="Q11300" s="1">
        <v>44538</v>
      </c>
      <c r="R11300" t="s">
        <v>27253</v>
      </c>
      <c r="S11300" t="s">
        <v>27254</v>
      </c>
      <c r="T11300" t="s">
        <v>27255</v>
      </c>
    </row>
    <row r="11301" spans="1:20" x14ac:dyDescent="0.3">
      <c r="A11301" t="str">
        <f>"0611839056100"</f>
        <v>0611839056100</v>
      </c>
      <c r="B11301" t="str">
        <f>"LB8261"</f>
        <v>LB8261</v>
      </c>
      <c r="C11301" t="s">
        <v>49098</v>
      </c>
      <c r="D11301" t="s">
        <v>27245</v>
      </c>
      <c r="E11301" t="str">
        <f t="shared" si="176"/>
        <v>001390</v>
      </c>
      <c r="F11301" t="s">
        <v>27246</v>
      </c>
      <c r="G11301" t="s">
        <v>27247</v>
      </c>
      <c r="H11301" t="s">
        <v>27248</v>
      </c>
      <c r="I11301" t="s">
        <v>49099</v>
      </c>
      <c r="J11301" t="s">
        <v>22614</v>
      </c>
      <c r="L11301" t="s">
        <v>27250</v>
      </c>
      <c r="M11301" t="s">
        <v>27251</v>
      </c>
      <c r="N11301" t="s">
        <v>27252</v>
      </c>
      <c r="Q11301" s="1">
        <v>44538</v>
      </c>
      <c r="R11301" t="s">
        <v>27253</v>
      </c>
      <c r="S11301" t="s">
        <v>27254</v>
      </c>
      <c r="T11301" t="s">
        <v>27255</v>
      </c>
    </row>
    <row r="11302" spans="1:20" x14ac:dyDescent="0.3">
      <c r="A11302" t="str">
        <f>"0611839057100"</f>
        <v>0611839057100</v>
      </c>
      <c r="B11302" t="str">
        <f>"LK5926"</f>
        <v>LK5926</v>
      </c>
      <c r="C11302" t="s">
        <v>49100</v>
      </c>
      <c r="D11302" t="s">
        <v>27245</v>
      </c>
      <c r="E11302" t="str">
        <f t="shared" si="176"/>
        <v>001390</v>
      </c>
      <c r="F11302" t="s">
        <v>27246</v>
      </c>
      <c r="G11302" t="s">
        <v>27247</v>
      </c>
      <c r="H11302" t="s">
        <v>27248</v>
      </c>
      <c r="I11302" t="s">
        <v>49101</v>
      </c>
      <c r="J11302" t="s">
        <v>22616</v>
      </c>
      <c r="L11302" t="s">
        <v>27250</v>
      </c>
      <c r="M11302" t="s">
        <v>27251</v>
      </c>
      <c r="N11302" t="s">
        <v>27252</v>
      </c>
      <c r="Q11302" s="1">
        <v>44538</v>
      </c>
      <c r="R11302" t="s">
        <v>27253</v>
      </c>
      <c r="S11302" t="s">
        <v>27254</v>
      </c>
      <c r="T11302" t="s">
        <v>27255</v>
      </c>
    </row>
    <row r="11303" spans="1:20" x14ac:dyDescent="0.3">
      <c r="A11303" t="str">
        <f>"0611839058100"</f>
        <v>0611839058100</v>
      </c>
      <c r="B11303" t="str">
        <f>"LB8269"</f>
        <v>LB8269</v>
      </c>
      <c r="C11303" t="s">
        <v>49102</v>
      </c>
      <c r="D11303" t="s">
        <v>27245</v>
      </c>
      <c r="E11303" t="str">
        <f t="shared" si="176"/>
        <v>001390</v>
      </c>
      <c r="F11303" t="s">
        <v>27246</v>
      </c>
      <c r="G11303" t="s">
        <v>27247</v>
      </c>
      <c r="H11303" t="s">
        <v>27248</v>
      </c>
      <c r="I11303" t="s">
        <v>49103</v>
      </c>
      <c r="J11303" t="s">
        <v>22618</v>
      </c>
      <c r="L11303" t="s">
        <v>27250</v>
      </c>
      <c r="M11303" t="s">
        <v>27251</v>
      </c>
      <c r="N11303" t="s">
        <v>27252</v>
      </c>
      <c r="Q11303" s="1">
        <v>44538</v>
      </c>
      <c r="R11303" t="s">
        <v>27253</v>
      </c>
      <c r="S11303" t="s">
        <v>27254</v>
      </c>
      <c r="T11303" t="s">
        <v>27255</v>
      </c>
    </row>
    <row r="11304" spans="1:20" x14ac:dyDescent="0.3">
      <c r="A11304" t="str">
        <f>"0611839059100"</f>
        <v>0611839059100</v>
      </c>
      <c r="B11304" t="str">
        <f>"LB8263"</f>
        <v>LB8263</v>
      </c>
      <c r="C11304" t="s">
        <v>49104</v>
      </c>
      <c r="D11304" t="s">
        <v>27245</v>
      </c>
      <c r="E11304" t="str">
        <f t="shared" si="176"/>
        <v>001390</v>
      </c>
      <c r="F11304" t="s">
        <v>27246</v>
      </c>
      <c r="G11304" t="s">
        <v>27247</v>
      </c>
      <c r="H11304" t="s">
        <v>27248</v>
      </c>
      <c r="I11304" t="s">
        <v>49105</v>
      </c>
      <c r="J11304" t="s">
        <v>22620</v>
      </c>
      <c r="L11304" t="s">
        <v>27250</v>
      </c>
      <c r="M11304" t="s">
        <v>27251</v>
      </c>
      <c r="N11304" t="s">
        <v>27252</v>
      </c>
      <c r="Q11304" s="1">
        <v>44538</v>
      </c>
      <c r="R11304" t="s">
        <v>27253</v>
      </c>
      <c r="S11304" t="s">
        <v>27254</v>
      </c>
      <c r="T11304" t="s">
        <v>27255</v>
      </c>
    </row>
    <row r="11305" spans="1:20" x14ac:dyDescent="0.3">
      <c r="A11305" t="str">
        <f>"0611839060025"</f>
        <v>0611839060025</v>
      </c>
      <c r="B11305" t="str">
        <f>"MQ0360"</f>
        <v>MQ0360</v>
      </c>
      <c r="C11305" t="s">
        <v>49106</v>
      </c>
      <c r="D11305" t="s">
        <v>27267</v>
      </c>
      <c r="E11305" t="str">
        <f t="shared" si="176"/>
        <v>001390</v>
      </c>
      <c r="F11305" t="s">
        <v>27246</v>
      </c>
      <c r="G11305" t="s">
        <v>27247</v>
      </c>
      <c r="H11305" t="s">
        <v>27248</v>
      </c>
      <c r="I11305" t="s">
        <v>49107</v>
      </c>
      <c r="J11305" t="s">
        <v>22622</v>
      </c>
      <c r="L11305" t="s">
        <v>27250</v>
      </c>
      <c r="M11305" t="s">
        <v>27251</v>
      </c>
      <c r="N11305" t="s">
        <v>27252</v>
      </c>
      <c r="Q11305" s="1">
        <v>44538</v>
      </c>
      <c r="R11305" t="s">
        <v>27253</v>
      </c>
      <c r="S11305" t="s">
        <v>27254</v>
      </c>
      <c r="T11305" t="s">
        <v>27269</v>
      </c>
    </row>
    <row r="11306" spans="1:20" x14ac:dyDescent="0.3">
      <c r="A11306" t="str">
        <f>"0611863977050"</f>
        <v>0611863977050</v>
      </c>
      <c r="B11306" t="str">
        <f>"CR3015"</f>
        <v>CR3015</v>
      </c>
      <c r="C11306" t="s">
        <v>49106</v>
      </c>
      <c r="D11306" t="s">
        <v>27263</v>
      </c>
      <c r="E11306" t="str">
        <f t="shared" si="176"/>
        <v>001390</v>
      </c>
      <c r="F11306" t="s">
        <v>27246</v>
      </c>
      <c r="G11306" t="s">
        <v>27247</v>
      </c>
      <c r="H11306" t="s">
        <v>27248</v>
      </c>
      <c r="I11306" t="s">
        <v>49108</v>
      </c>
      <c r="J11306" t="s">
        <v>22624</v>
      </c>
      <c r="L11306" t="s">
        <v>27250</v>
      </c>
      <c r="M11306" t="s">
        <v>27251</v>
      </c>
      <c r="N11306" t="s">
        <v>27252</v>
      </c>
      <c r="Q11306" s="1">
        <v>44846</v>
      </c>
      <c r="R11306" t="s">
        <v>27253</v>
      </c>
      <c r="S11306" t="s">
        <v>27254</v>
      </c>
      <c r="T11306" t="s">
        <v>27265</v>
      </c>
    </row>
    <row r="11307" spans="1:20" x14ac:dyDescent="0.3">
      <c r="A11307" t="str">
        <f>"0611884452100"</f>
        <v>0611884452100</v>
      </c>
      <c r="B11307" t="str">
        <f>"LQ3941"</f>
        <v>LQ3941</v>
      </c>
      <c r="C11307" t="s">
        <v>49109</v>
      </c>
      <c r="D11307" t="s">
        <v>27245</v>
      </c>
      <c r="E11307" t="str">
        <f t="shared" si="176"/>
        <v>001390</v>
      </c>
      <c r="F11307" t="s">
        <v>27246</v>
      </c>
      <c r="G11307" t="s">
        <v>27247</v>
      </c>
      <c r="H11307" t="s">
        <v>27248</v>
      </c>
      <c r="I11307" t="s">
        <v>49110</v>
      </c>
      <c r="J11307" t="s">
        <v>22626</v>
      </c>
      <c r="L11307" t="s">
        <v>27430</v>
      </c>
      <c r="M11307" t="s">
        <v>27251</v>
      </c>
      <c r="N11307" t="s">
        <v>27252</v>
      </c>
      <c r="Q11307" s="1">
        <v>45250</v>
      </c>
      <c r="R11307" t="s">
        <v>27253</v>
      </c>
      <c r="S11307" t="s">
        <v>27254</v>
      </c>
      <c r="T11307" t="s">
        <v>27255</v>
      </c>
    </row>
    <row r="11308" spans="1:20" x14ac:dyDescent="0.3">
      <c r="A11308" t="str">
        <f>"0611839063100"</f>
        <v>0611839063100</v>
      </c>
      <c r="B11308" t="str">
        <f>"LF0041"</f>
        <v>LF0041</v>
      </c>
      <c r="C11308" t="s">
        <v>49111</v>
      </c>
      <c r="D11308" t="s">
        <v>27245</v>
      </c>
      <c r="E11308" t="str">
        <f t="shared" si="176"/>
        <v>001390</v>
      </c>
      <c r="F11308" t="s">
        <v>27246</v>
      </c>
      <c r="G11308" t="s">
        <v>27247</v>
      </c>
      <c r="H11308" t="s">
        <v>27248</v>
      </c>
      <c r="I11308" t="s">
        <v>49112</v>
      </c>
      <c r="J11308" t="s">
        <v>22628</v>
      </c>
      <c r="L11308" t="s">
        <v>27250</v>
      </c>
      <c r="M11308" t="s">
        <v>27251</v>
      </c>
      <c r="N11308" t="s">
        <v>27252</v>
      </c>
      <c r="Q11308" s="1">
        <v>44538</v>
      </c>
      <c r="R11308" t="s">
        <v>27253</v>
      </c>
      <c r="S11308" t="s">
        <v>27254</v>
      </c>
      <c r="T11308" t="s">
        <v>27255</v>
      </c>
    </row>
    <row r="11309" spans="1:20" x14ac:dyDescent="0.3">
      <c r="A11309" t="str">
        <f>"0611839064100"</f>
        <v>0611839064100</v>
      </c>
      <c r="B11309" t="str">
        <f>"LF0042"</f>
        <v>LF0042</v>
      </c>
      <c r="C11309" t="s">
        <v>49113</v>
      </c>
      <c r="D11309" t="s">
        <v>27245</v>
      </c>
      <c r="E11309" t="str">
        <f t="shared" si="176"/>
        <v>001390</v>
      </c>
      <c r="F11309" t="s">
        <v>27246</v>
      </c>
      <c r="G11309" t="s">
        <v>27247</v>
      </c>
      <c r="H11309" t="s">
        <v>27248</v>
      </c>
      <c r="I11309" t="s">
        <v>49114</v>
      </c>
      <c r="J11309" t="s">
        <v>22630</v>
      </c>
      <c r="L11309" t="s">
        <v>27250</v>
      </c>
      <c r="M11309" t="s">
        <v>27251</v>
      </c>
      <c r="N11309" t="s">
        <v>27252</v>
      </c>
      <c r="Q11309" s="1">
        <v>44538</v>
      </c>
      <c r="R11309" t="s">
        <v>27253</v>
      </c>
      <c r="S11309" t="s">
        <v>27254</v>
      </c>
      <c r="T11309" t="s">
        <v>27255</v>
      </c>
    </row>
    <row r="11310" spans="1:20" x14ac:dyDescent="0.3">
      <c r="A11310" t="str">
        <f>"0611839065100"</f>
        <v>0611839065100</v>
      </c>
      <c r="B11310" t="str">
        <f>"LF7011"</f>
        <v>LF7011</v>
      </c>
      <c r="C11310" t="s">
        <v>49115</v>
      </c>
      <c r="D11310" t="s">
        <v>27245</v>
      </c>
      <c r="E11310" t="str">
        <f t="shared" si="176"/>
        <v>001390</v>
      </c>
      <c r="F11310" t="s">
        <v>27246</v>
      </c>
      <c r="G11310" t="s">
        <v>27247</v>
      </c>
      <c r="H11310" t="s">
        <v>27248</v>
      </c>
      <c r="I11310" t="s">
        <v>49116</v>
      </c>
      <c r="J11310" t="s">
        <v>22632</v>
      </c>
      <c r="L11310" t="s">
        <v>27250</v>
      </c>
      <c r="M11310" t="s">
        <v>27251</v>
      </c>
      <c r="N11310" t="s">
        <v>27252</v>
      </c>
      <c r="Q11310" s="1">
        <v>44538</v>
      </c>
      <c r="R11310" t="s">
        <v>27253</v>
      </c>
      <c r="S11310" t="s">
        <v>27254</v>
      </c>
      <c r="T11310" t="s">
        <v>27255</v>
      </c>
    </row>
    <row r="11311" spans="1:20" x14ac:dyDescent="0.3">
      <c r="A11311" t="str">
        <f>"0611839066100"</f>
        <v>0611839066100</v>
      </c>
      <c r="B11311" t="str">
        <f>"LF0040"</f>
        <v>LF0040</v>
      </c>
      <c r="C11311" t="s">
        <v>49117</v>
      </c>
      <c r="D11311" t="s">
        <v>27245</v>
      </c>
      <c r="E11311" t="str">
        <f t="shared" si="176"/>
        <v>001390</v>
      </c>
      <c r="F11311" t="s">
        <v>27246</v>
      </c>
      <c r="G11311" t="s">
        <v>27247</v>
      </c>
      <c r="H11311" t="s">
        <v>27248</v>
      </c>
      <c r="I11311" t="s">
        <v>49118</v>
      </c>
      <c r="J11311" t="s">
        <v>22634</v>
      </c>
      <c r="L11311" t="s">
        <v>27250</v>
      </c>
      <c r="M11311" t="s">
        <v>27251</v>
      </c>
      <c r="N11311" t="s">
        <v>27252</v>
      </c>
      <c r="Q11311" s="1">
        <v>44538</v>
      </c>
      <c r="R11311" t="s">
        <v>27253</v>
      </c>
      <c r="S11311" t="s">
        <v>27254</v>
      </c>
      <c r="T11311" t="s">
        <v>27255</v>
      </c>
    </row>
    <row r="11312" spans="1:20" x14ac:dyDescent="0.3">
      <c r="A11312" t="str">
        <f>"0611839067025"</f>
        <v>0611839067025</v>
      </c>
      <c r="B11312" t="str">
        <f>"MC0668"</f>
        <v>MC0668</v>
      </c>
      <c r="C11312" t="s">
        <v>49119</v>
      </c>
      <c r="D11312" t="s">
        <v>27267</v>
      </c>
      <c r="E11312" t="str">
        <f t="shared" si="176"/>
        <v>001390</v>
      </c>
      <c r="F11312" t="s">
        <v>27246</v>
      </c>
      <c r="G11312" t="s">
        <v>27247</v>
      </c>
      <c r="H11312" t="s">
        <v>27248</v>
      </c>
      <c r="I11312" t="s">
        <v>49120</v>
      </c>
      <c r="J11312" t="s">
        <v>22636</v>
      </c>
      <c r="L11312" t="s">
        <v>27250</v>
      </c>
      <c r="M11312" t="s">
        <v>27251</v>
      </c>
      <c r="N11312" t="s">
        <v>27252</v>
      </c>
      <c r="Q11312" s="1">
        <v>44538</v>
      </c>
      <c r="R11312" t="s">
        <v>27253</v>
      </c>
      <c r="S11312" t="s">
        <v>27254</v>
      </c>
      <c r="T11312" t="s">
        <v>27269</v>
      </c>
    </row>
    <row r="11313" spans="1:20" x14ac:dyDescent="0.3">
      <c r="A11313" t="str">
        <f>"0611839068100"</f>
        <v>0611839068100</v>
      </c>
      <c r="B11313" t="str">
        <f>"LC9180"</f>
        <v>LC9180</v>
      </c>
      <c r="C11313" t="s">
        <v>49121</v>
      </c>
      <c r="D11313" t="s">
        <v>27245</v>
      </c>
      <c r="E11313" t="str">
        <f t="shared" si="176"/>
        <v>001390</v>
      </c>
      <c r="F11313" t="s">
        <v>27246</v>
      </c>
      <c r="G11313" t="s">
        <v>27247</v>
      </c>
      <c r="H11313" t="s">
        <v>27248</v>
      </c>
      <c r="I11313" t="s">
        <v>49122</v>
      </c>
      <c r="J11313" t="s">
        <v>22638</v>
      </c>
      <c r="L11313" t="s">
        <v>27250</v>
      </c>
      <c r="M11313" t="s">
        <v>27251</v>
      </c>
      <c r="N11313" t="s">
        <v>27252</v>
      </c>
      <c r="Q11313" s="1">
        <v>44538</v>
      </c>
      <c r="R11313" t="s">
        <v>27253</v>
      </c>
      <c r="S11313" t="s">
        <v>27254</v>
      </c>
      <c r="T11313" t="s">
        <v>27255</v>
      </c>
    </row>
    <row r="11314" spans="1:20" x14ac:dyDescent="0.3">
      <c r="A11314" t="str">
        <f>"0611839069100"</f>
        <v>0611839069100</v>
      </c>
      <c r="B11314" t="str">
        <f>"LC9182"</f>
        <v>LC9182</v>
      </c>
      <c r="C11314" t="s">
        <v>49123</v>
      </c>
      <c r="D11314" t="s">
        <v>27245</v>
      </c>
      <c r="E11314" t="str">
        <f t="shared" si="176"/>
        <v>001390</v>
      </c>
      <c r="F11314" t="s">
        <v>27246</v>
      </c>
      <c r="G11314" t="s">
        <v>27247</v>
      </c>
      <c r="H11314" t="s">
        <v>27248</v>
      </c>
      <c r="I11314" t="s">
        <v>49124</v>
      </c>
      <c r="J11314" t="s">
        <v>22640</v>
      </c>
      <c r="L11314" t="s">
        <v>27250</v>
      </c>
      <c r="M11314" t="s">
        <v>27251</v>
      </c>
      <c r="N11314" t="s">
        <v>27252</v>
      </c>
      <c r="Q11314" s="1">
        <v>44538</v>
      </c>
      <c r="R11314" t="s">
        <v>27253</v>
      </c>
      <c r="S11314" t="s">
        <v>27254</v>
      </c>
      <c r="T11314" t="s">
        <v>27255</v>
      </c>
    </row>
    <row r="11315" spans="1:20" x14ac:dyDescent="0.3">
      <c r="A11315" t="str">
        <f>"0611863978100"</f>
        <v>0611863978100</v>
      </c>
      <c r="B11315" t="str">
        <f>"CN5372"</f>
        <v>CN5372</v>
      </c>
      <c r="C11315" t="s">
        <v>49125</v>
      </c>
      <c r="D11315" t="s">
        <v>27335</v>
      </c>
      <c r="E11315" t="str">
        <f t="shared" si="176"/>
        <v>001390</v>
      </c>
      <c r="F11315" t="s">
        <v>27246</v>
      </c>
      <c r="G11315" t="s">
        <v>27247</v>
      </c>
      <c r="H11315" t="s">
        <v>27248</v>
      </c>
      <c r="I11315" t="s">
        <v>49126</v>
      </c>
      <c r="J11315" t="s">
        <v>22642</v>
      </c>
      <c r="L11315" t="s">
        <v>27250</v>
      </c>
      <c r="M11315" t="s">
        <v>27251</v>
      </c>
      <c r="N11315" t="s">
        <v>27252</v>
      </c>
      <c r="Q11315" s="1">
        <v>44846</v>
      </c>
      <c r="R11315" t="s">
        <v>27253</v>
      </c>
      <c r="S11315" t="s">
        <v>27254</v>
      </c>
      <c r="T11315" t="s">
        <v>27255</v>
      </c>
    </row>
    <row r="11316" spans="1:20" x14ac:dyDescent="0.3">
      <c r="A11316" t="str">
        <f>"0611884453025"</f>
        <v>0611884453025</v>
      </c>
      <c r="B11316" t="str">
        <f>"MC0669"</f>
        <v>MC0669</v>
      </c>
      <c r="C11316" t="s">
        <v>49127</v>
      </c>
      <c r="D11316" t="s">
        <v>27267</v>
      </c>
      <c r="E11316" t="str">
        <f t="shared" si="176"/>
        <v>001390</v>
      </c>
      <c r="F11316" t="s">
        <v>27246</v>
      </c>
      <c r="G11316" t="s">
        <v>27247</v>
      </c>
      <c r="H11316" t="s">
        <v>27248</v>
      </c>
      <c r="I11316" t="s">
        <v>49128</v>
      </c>
      <c r="J11316" t="s">
        <v>22644</v>
      </c>
      <c r="L11316" t="s">
        <v>27430</v>
      </c>
      <c r="M11316" t="s">
        <v>27251</v>
      </c>
      <c r="N11316" t="s">
        <v>27252</v>
      </c>
      <c r="Q11316" s="1">
        <v>45250</v>
      </c>
      <c r="R11316" t="s">
        <v>27253</v>
      </c>
      <c r="S11316" t="s">
        <v>27254</v>
      </c>
      <c r="T11316" t="s">
        <v>27269</v>
      </c>
    </row>
    <row r="11317" spans="1:20" x14ac:dyDescent="0.3">
      <c r="A11317" t="str">
        <f>"0611839070100"</f>
        <v>0611839070100</v>
      </c>
      <c r="B11317" t="str">
        <f>"LK0374"</f>
        <v>LK0374</v>
      </c>
      <c r="C11317" t="s">
        <v>49129</v>
      </c>
      <c r="D11317" t="s">
        <v>27245</v>
      </c>
      <c r="E11317" t="str">
        <f t="shared" si="176"/>
        <v>001390</v>
      </c>
      <c r="F11317" t="s">
        <v>27246</v>
      </c>
      <c r="G11317" t="s">
        <v>27247</v>
      </c>
      <c r="H11317" t="s">
        <v>27248</v>
      </c>
      <c r="I11317" t="s">
        <v>49130</v>
      </c>
      <c r="J11317" t="s">
        <v>22646</v>
      </c>
      <c r="L11317" t="s">
        <v>27250</v>
      </c>
      <c r="M11317" t="s">
        <v>27251</v>
      </c>
      <c r="N11317" t="s">
        <v>27252</v>
      </c>
      <c r="Q11317" s="1">
        <v>44538</v>
      </c>
      <c r="R11317" t="s">
        <v>27253</v>
      </c>
      <c r="S11317" t="s">
        <v>27254</v>
      </c>
      <c r="T11317" t="s">
        <v>27255</v>
      </c>
    </row>
    <row r="11318" spans="1:20" x14ac:dyDescent="0.3">
      <c r="A11318" t="str">
        <f>"0611839072100"</f>
        <v>0611839072100</v>
      </c>
      <c r="B11318" t="str">
        <f>"LB8480"</f>
        <v>LB8480</v>
      </c>
      <c r="C11318" t="s">
        <v>49131</v>
      </c>
      <c r="D11318" t="s">
        <v>27245</v>
      </c>
      <c r="E11318" t="str">
        <f t="shared" si="176"/>
        <v>001390</v>
      </c>
      <c r="F11318" t="s">
        <v>27246</v>
      </c>
      <c r="G11318" t="s">
        <v>27247</v>
      </c>
      <c r="H11318" t="s">
        <v>27248</v>
      </c>
      <c r="I11318" t="s">
        <v>49132</v>
      </c>
      <c r="J11318" t="s">
        <v>22648</v>
      </c>
      <c r="L11318" t="s">
        <v>27250</v>
      </c>
      <c r="M11318" t="s">
        <v>27251</v>
      </c>
      <c r="N11318" t="s">
        <v>27252</v>
      </c>
      <c r="Q11318" s="1">
        <v>44538</v>
      </c>
      <c r="R11318" t="s">
        <v>27253</v>
      </c>
      <c r="S11318" t="s">
        <v>27254</v>
      </c>
      <c r="T11318" t="s">
        <v>27255</v>
      </c>
    </row>
    <row r="11319" spans="1:20" x14ac:dyDescent="0.3">
      <c r="A11319" t="str">
        <f>"0611839073100"</f>
        <v>0611839073100</v>
      </c>
      <c r="B11319" t="str">
        <f>"LK4458"</f>
        <v>LK4458</v>
      </c>
      <c r="C11319" t="s">
        <v>49133</v>
      </c>
      <c r="D11319" t="s">
        <v>27245</v>
      </c>
      <c r="E11319" t="str">
        <f t="shared" si="176"/>
        <v>001390</v>
      </c>
      <c r="F11319" t="s">
        <v>27246</v>
      </c>
      <c r="G11319" t="s">
        <v>27247</v>
      </c>
      <c r="H11319" t="s">
        <v>27248</v>
      </c>
      <c r="I11319" t="s">
        <v>49134</v>
      </c>
      <c r="J11319" t="s">
        <v>22650</v>
      </c>
      <c r="L11319" t="s">
        <v>27250</v>
      </c>
      <c r="M11319" t="s">
        <v>27251</v>
      </c>
      <c r="N11319" t="s">
        <v>27252</v>
      </c>
      <c r="Q11319" s="1">
        <v>44538</v>
      </c>
      <c r="R11319" t="s">
        <v>27253</v>
      </c>
      <c r="S11319" t="s">
        <v>27254</v>
      </c>
      <c r="T11319" t="s">
        <v>27255</v>
      </c>
    </row>
    <row r="11320" spans="1:20" x14ac:dyDescent="0.3">
      <c r="A11320" t="str">
        <f>"0611839074100"</f>
        <v>0611839074100</v>
      </c>
      <c r="B11320" t="str">
        <f>"LQ3486"</f>
        <v>LQ3486</v>
      </c>
      <c r="C11320" t="s">
        <v>49135</v>
      </c>
      <c r="D11320" t="s">
        <v>27245</v>
      </c>
      <c r="E11320" t="str">
        <f t="shared" si="176"/>
        <v>001390</v>
      </c>
      <c r="F11320" t="s">
        <v>27246</v>
      </c>
      <c r="G11320" t="s">
        <v>27247</v>
      </c>
      <c r="H11320" t="s">
        <v>27248</v>
      </c>
      <c r="I11320" t="s">
        <v>49136</v>
      </c>
      <c r="J11320" t="s">
        <v>22652</v>
      </c>
      <c r="L11320" t="s">
        <v>27250</v>
      </c>
      <c r="M11320" t="s">
        <v>27251</v>
      </c>
      <c r="N11320" t="s">
        <v>27252</v>
      </c>
      <c r="Q11320" s="1">
        <v>44538</v>
      </c>
      <c r="R11320" t="s">
        <v>27253</v>
      </c>
      <c r="S11320" t="s">
        <v>27254</v>
      </c>
      <c r="T11320" t="s">
        <v>27255</v>
      </c>
    </row>
    <row r="11321" spans="1:20" x14ac:dyDescent="0.3">
      <c r="A11321" t="str">
        <f>"0611839075100"</f>
        <v>0611839075100</v>
      </c>
      <c r="B11321" t="str">
        <f>"LK6640"</f>
        <v>LK6640</v>
      </c>
      <c r="C11321" t="s">
        <v>49137</v>
      </c>
      <c r="D11321" t="s">
        <v>27245</v>
      </c>
      <c r="E11321" t="str">
        <f t="shared" si="176"/>
        <v>001390</v>
      </c>
      <c r="F11321" t="s">
        <v>27246</v>
      </c>
      <c r="G11321" t="s">
        <v>27247</v>
      </c>
      <c r="H11321" t="s">
        <v>27248</v>
      </c>
      <c r="I11321" t="s">
        <v>49138</v>
      </c>
      <c r="J11321" t="s">
        <v>22654</v>
      </c>
      <c r="L11321" t="s">
        <v>27250</v>
      </c>
      <c r="M11321" t="s">
        <v>27251</v>
      </c>
      <c r="N11321" t="s">
        <v>27252</v>
      </c>
      <c r="Q11321" s="1">
        <v>44538</v>
      </c>
      <c r="R11321" t="s">
        <v>27253</v>
      </c>
      <c r="S11321" t="s">
        <v>27254</v>
      </c>
      <c r="T11321" t="s">
        <v>27255</v>
      </c>
    </row>
    <row r="11322" spans="1:20" x14ac:dyDescent="0.3">
      <c r="A11322" t="str">
        <f>"0611839076100"</f>
        <v>0611839076100</v>
      </c>
      <c r="B11322" t="str">
        <f>"LQ5769"</f>
        <v>LQ5769</v>
      </c>
      <c r="C11322" t="s">
        <v>49139</v>
      </c>
      <c r="D11322" t="s">
        <v>27245</v>
      </c>
      <c r="E11322" t="str">
        <f t="shared" si="176"/>
        <v>001390</v>
      </c>
      <c r="F11322" t="s">
        <v>27246</v>
      </c>
      <c r="G11322" t="s">
        <v>27247</v>
      </c>
      <c r="H11322" t="s">
        <v>27248</v>
      </c>
      <c r="I11322" t="s">
        <v>49140</v>
      </c>
      <c r="J11322" t="s">
        <v>22656</v>
      </c>
      <c r="L11322" t="s">
        <v>27250</v>
      </c>
      <c r="M11322" t="s">
        <v>27251</v>
      </c>
      <c r="N11322" t="s">
        <v>27252</v>
      </c>
      <c r="Q11322" s="1">
        <v>44538</v>
      </c>
      <c r="R11322" t="s">
        <v>27253</v>
      </c>
      <c r="S11322" t="s">
        <v>27254</v>
      </c>
      <c r="T11322" t="s">
        <v>27255</v>
      </c>
    </row>
    <row r="11323" spans="1:20" x14ac:dyDescent="0.3">
      <c r="A11323" t="str">
        <f>"0611863979050"</f>
        <v>0611863979050</v>
      </c>
      <c r="B11323" t="str">
        <f>"CR2534"</f>
        <v>CR2534</v>
      </c>
      <c r="C11323" t="s">
        <v>49141</v>
      </c>
      <c r="D11323" t="s">
        <v>27271</v>
      </c>
      <c r="E11323" t="str">
        <f t="shared" si="176"/>
        <v>001390</v>
      </c>
      <c r="F11323" t="s">
        <v>27246</v>
      </c>
      <c r="G11323" t="s">
        <v>27247</v>
      </c>
      <c r="H11323" t="s">
        <v>27248</v>
      </c>
      <c r="I11323" t="s">
        <v>49142</v>
      </c>
      <c r="J11323" t="s">
        <v>22658</v>
      </c>
      <c r="L11323" t="s">
        <v>27250</v>
      </c>
      <c r="M11323" t="s">
        <v>27251</v>
      </c>
      <c r="N11323" t="s">
        <v>27252</v>
      </c>
      <c r="P11323" t="s">
        <v>27341</v>
      </c>
      <c r="Q11323" s="1">
        <v>44846</v>
      </c>
      <c r="R11323" t="s">
        <v>27253</v>
      </c>
      <c r="S11323" t="s">
        <v>27254</v>
      </c>
      <c r="T11323" t="s">
        <v>27265</v>
      </c>
    </row>
    <row r="11324" spans="1:20" x14ac:dyDescent="0.3">
      <c r="A11324" t="str">
        <f>"0611863980050"</f>
        <v>0611863980050</v>
      </c>
      <c r="B11324" t="str">
        <f>"CR3048"</f>
        <v>CR3048</v>
      </c>
      <c r="C11324" t="s">
        <v>49143</v>
      </c>
      <c r="D11324" t="s">
        <v>27271</v>
      </c>
      <c r="E11324" t="str">
        <f t="shared" si="176"/>
        <v>001390</v>
      </c>
      <c r="F11324" t="s">
        <v>27246</v>
      </c>
      <c r="G11324" t="s">
        <v>27247</v>
      </c>
      <c r="H11324" t="s">
        <v>27248</v>
      </c>
      <c r="I11324" t="s">
        <v>49144</v>
      </c>
      <c r="J11324" t="s">
        <v>22660</v>
      </c>
      <c r="L11324" t="s">
        <v>27250</v>
      </c>
      <c r="M11324" t="s">
        <v>27251</v>
      </c>
      <c r="N11324" t="s">
        <v>27252</v>
      </c>
      <c r="P11324" t="s">
        <v>27341</v>
      </c>
      <c r="Q11324" s="1">
        <v>44846</v>
      </c>
      <c r="R11324" t="s">
        <v>27253</v>
      </c>
      <c r="S11324" t="s">
        <v>27254</v>
      </c>
      <c r="T11324" t="s">
        <v>27265</v>
      </c>
    </row>
    <row r="11325" spans="1:20" x14ac:dyDescent="0.3">
      <c r="A11325" t="str">
        <f>"0611863981050"</f>
        <v>0611863981050</v>
      </c>
      <c r="B11325" t="str">
        <f>"CR2535"</f>
        <v>CR2535</v>
      </c>
      <c r="C11325" t="s">
        <v>49145</v>
      </c>
      <c r="D11325" t="s">
        <v>27271</v>
      </c>
      <c r="E11325" t="str">
        <f t="shared" si="176"/>
        <v>001390</v>
      </c>
      <c r="F11325" t="s">
        <v>27246</v>
      </c>
      <c r="G11325" t="s">
        <v>27247</v>
      </c>
      <c r="H11325" t="s">
        <v>27248</v>
      </c>
      <c r="I11325" t="s">
        <v>49146</v>
      </c>
      <c r="J11325" t="s">
        <v>22662</v>
      </c>
      <c r="L11325" t="s">
        <v>27250</v>
      </c>
      <c r="M11325" t="s">
        <v>27251</v>
      </c>
      <c r="N11325" t="s">
        <v>27252</v>
      </c>
      <c r="P11325" t="s">
        <v>27341</v>
      </c>
      <c r="Q11325" s="1">
        <v>44846</v>
      </c>
      <c r="R11325" t="s">
        <v>27253</v>
      </c>
      <c r="S11325" t="s">
        <v>27254</v>
      </c>
      <c r="T11325" t="s">
        <v>27265</v>
      </c>
    </row>
    <row r="11326" spans="1:20" x14ac:dyDescent="0.3">
      <c r="A11326" t="str">
        <f>"0611839077100"</f>
        <v>0611839077100</v>
      </c>
      <c r="B11326" t="str">
        <f>"LQ0942"</f>
        <v>LQ0942</v>
      </c>
      <c r="C11326" t="s">
        <v>49147</v>
      </c>
      <c r="D11326" t="s">
        <v>27245</v>
      </c>
      <c r="E11326" t="str">
        <f t="shared" si="176"/>
        <v>001390</v>
      </c>
      <c r="F11326" t="s">
        <v>27246</v>
      </c>
      <c r="G11326" t="s">
        <v>27247</v>
      </c>
      <c r="H11326" t="s">
        <v>27248</v>
      </c>
      <c r="I11326" t="s">
        <v>49148</v>
      </c>
      <c r="J11326" t="s">
        <v>22664</v>
      </c>
      <c r="L11326" t="s">
        <v>27250</v>
      </c>
      <c r="M11326" t="s">
        <v>27251</v>
      </c>
      <c r="N11326" t="s">
        <v>27252</v>
      </c>
      <c r="Q11326" s="1">
        <v>44538</v>
      </c>
      <c r="R11326" t="s">
        <v>27253</v>
      </c>
      <c r="S11326" t="s">
        <v>27254</v>
      </c>
      <c r="T11326" t="s">
        <v>27255</v>
      </c>
    </row>
    <row r="11327" spans="1:20" x14ac:dyDescent="0.3">
      <c r="A11327" t="str">
        <f>"0611839078100"</f>
        <v>0611839078100</v>
      </c>
      <c r="B11327" t="str">
        <f>"LQ5874"</f>
        <v>LQ5874</v>
      </c>
      <c r="C11327" t="s">
        <v>49149</v>
      </c>
      <c r="D11327" t="s">
        <v>27245</v>
      </c>
      <c r="E11327" t="str">
        <f t="shared" si="176"/>
        <v>001390</v>
      </c>
      <c r="F11327" t="s">
        <v>27246</v>
      </c>
      <c r="G11327" t="s">
        <v>27247</v>
      </c>
      <c r="H11327" t="s">
        <v>27248</v>
      </c>
      <c r="I11327" t="s">
        <v>49150</v>
      </c>
      <c r="J11327" t="s">
        <v>22666</v>
      </c>
      <c r="L11327" t="s">
        <v>27250</v>
      </c>
      <c r="M11327" t="s">
        <v>27251</v>
      </c>
      <c r="N11327" t="s">
        <v>27252</v>
      </c>
      <c r="Q11327" s="1">
        <v>44538</v>
      </c>
      <c r="R11327" t="s">
        <v>27253</v>
      </c>
      <c r="S11327" t="s">
        <v>27254</v>
      </c>
      <c r="T11327" t="s">
        <v>27255</v>
      </c>
    </row>
    <row r="11328" spans="1:20" x14ac:dyDescent="0.3">
      <c r="A11328" t="str">
        <f>"0611839079100"</f>
        <v>0611839079100</v>
      </c>
      <c r="B11328" t="str">
        <f>"LQ0473"</f>
        <v>LQ0473</v>
      </c>
      <c r="C11328" t="s">
        <v>49151</v>
      </c>
      <c r="D11328" t="s">
        <v>27245</v>
      </c>
      <c r="E11328" t="str">
        <f t="shared" si="176"/>
        <v>001390</v>
      </c>
      <c r="F11328" t="s">
        <v>27246</v>
      </c>
      <c r="G11328" t="s">
        <v>27247</v>
      </c>
      <c r="H11328" t="s">
        <v>27248</v>
      </c>
      <c r="I11328" t="s">
        <v>49152</v>
      </c>
      <c r="J11328" t="s">
        <v>22668</v>
      </c>
      <c r="L11328" t="s">
        <v>27250</v>
      </c>
      <c r="M11328" t="s">
        <v>27251</v>
      </c>
      <c r="N11328" t="s">
        <v>27252</v>
      </c>
      <c r="Q11328" s="1">
        <v>44538</v>
      </c>
      <c r="R11328" t="s">
        <v>27253</v>
      </c>
      <c r="S11328" t="s">
        <v>27254</v>
      </c>
      <c r="T11328" t="s">
        <v>27255</v>
      </c>
    </row>
    <row r="11329" spans="1:20" x14ac:dyDescent="0.3">
      <c r="A11329" t="str">
        <f>"0611839080100"</f>
        <v>0611839080100</v>
      </c>
      <c r="B11329" t="str">
        <f>"LK5927"</f>
        <v>LK5927</v>
      </c>
      <c r="C11329" t="s">
        <v>49153</v>
      </c>
      <c r="D11329" t="s">
        <v>27245</v>
      </c>
      <c r="E11329" t="str">
        <f t="shared" si="176"/>
        <v>001390</v>
      </c>
      <c r="F11329" t="s">
        <v>27246</v>
      </c>
      <c r="G11329" t="s">
        <v>27247</v>
      </c>
      <c r="H11329" t="s">
        <v>27248</v>
      </c>
      <c r="I11329" t="s">
        <v>49154</v>
      </c>
      <c r="J11329" t="s">
        <v>22670</v>
      </c>
      <c r="L11329" t="s">
        <v>27250</v>
      </c>
      <c r="M11329" t="s">
        <v>27251</v>
      </c>
      <c r="N11329" t="s">
        <v>27252</v>
      </c>
      <c r="Q11329" s="1">
        <v>44538</v>
      </c>
      <c r="R11329" t="s">
        <v>27253</v>
      </c>
      <c r="S11329" t="s">
        <v>27254</v>
      </c>
      <c r="T11329" t="s">
        <v>27255</v>
      </c>
    </row>
    <row r="11330" spans="1:20" x14ac:dyDescent="0.3">
      <c r="A11330" t="str">
        <f>"0611839081025"</f>
        <v>0611839081025</v>
      </c>
      <c r="B11330" t="str">
        <f>"MC0671"</f>
        <v>MC0671</v>
      </c>
      <c r="C11330" t="s">
        <v>49155</v>
      </c>
      <c r="D11330" t="s">
        <v>27267</v>
      </c>
      <c r="E11330" t="str">
        <f t="shared" ref="E11330:E11393" si="177">"001390"</f>
        <v>001390</v>
      </c>
      <c r="F11330" t="s">
        <v>27246</v>
      </c>
      <c r="G11330" t="s">
        <v>27247</v>
      </c>
      <c r="H11330" t="s">
        <v>27248</v>
      </c>
      <c r="I11330" t="s">
        <v>49156</v>
      </c>
      <c r="J11330" t="s">
        <v>22672</v>
      </c>
      <c r="L11330" t="s">
        <v>27250</v>
      </c>
      <c r="M11330" t="s">
        <v>27251</v>
      </c>
      <c r="N11330" t="s">
        <v>27252</v>
      </c>
      <c r="Q11330" s="1">
        <v>44538</v>
      </c>
      <c r="R11330" t="s">
        <v>27253</v>
      </c>
      <c r="S11330" t="s">
        <v>27254</v>
      </c>
      <c r="T11330" t="s">
        <v>27269</v>
      </c>
    </row>
    <row r="11331" spans="1:20" x14ac:dyDescent="0.3">
      <c r="A11331" t="str">
        <f>"0611839082100"</f>
        <v>0611839082100</v>
      </c>
      <c r="B11331" t="str">
        <f>"LH7450"</f>
        <v>LH7450</v>
      </c>
      <c r="C11331" t="s">
        <v>49157</v>
      </c>
      <c r="D11331" t="s">
        <v>27245</v>
      </c>
      <c r="E11331" t="str">
        <f t="shared" si="177"/>
        <v>001390</v>
      </c>
      <c r="F11331" t="s">
        <v>27246</v>
      </c>
      <c r="G11331" t="s">
        <v>27247</v>
      </c>
      <c r="H11331" t="s">
        <v>27248</v>
      </c>
      <c r="I11331" t="s">
        <v>49158</v>
      </c>
      <c r="J11331" t="s">
        <v>22674</v>
      </c>
      <c r="L11331" t="s">
        <v>27250</v>
      </c>
      <c r="M11331" t="s">
        <v>27251</v>
      </c>
      <c r="N11331" t="s">
        <v>27252</v>
      </c>
      <c r="Q11331" s="1">
        <v>44538</v>
      </c>
      <c r="R11331" t="s">
        <v>27253</v>
      </c>
      <c r="S11331" t="s">
        <v>27254</v>
      </c>
      <c r="T11331" t="s">
        <v>27255</v>
      </c>
    </row>
    <row r="11332" spans="1:20" x14ac:dyDescent="0.3">
      <c r="A11332" t="str">
        <f>"0611884454025"</f>
        <v>0611884454025</v>
      </c>
      <c r="B11332" t="str">
        <f>"MC4504"</f>
        <v>MC4504</v>
      </c>
      <c r="C11332" t="s">
        <v>49159</v>
      </c>
      <c r="D11332" t="s">
        <v>27267</v>
      </c>
      <c r="E11332" t="str">
        <f t="shared" si="177"/>
        <v>001390</v>
      </c>
      <c r="F11332" t="s">
        <v>27246</v>
      </c>
      <c r="G11332" t="s">
        <v>27247</v>
      </c>
      <c r="H11332" t="s">
        <v>27248</v>
      </c>
      <c r="I11332" t="s">
        <v>49160</v>
      </c>
      <c r="J11332" t="s">
        <v>22678</v>
      </c>
      <c r="L11332" t="s">
        <v>27430</v>
      </c>
      <c r="M11332" t="s">
        <v>27251</v>
      </c>
      <c r="N11332" t="s">
        <v>27252</v>
      </c>
      <c r="Q11332" s="1">
        <v>45250</v>
      </c>
      <c r="R11332" t="s">
        <v>27253</v>
      </c>
      <c r="S11332" t="s">
        <v>27254</v>
      </c>
      <c r="T11332" t="s">
        <v>27269</v>
      </c>
    </row>
    <row r="11333" spans="1:20" x14ac:dyDescent="0.3">
      <c r="A11333" t="str">
        <f>"0611884455025"</f>
        <v>0611884455025</v>
      </c>
      <c r="B11333" t="str">
        <f>"MC0816"</f>
        <v>MC0816</v>
      </c>
      <c r="C11333" t="s">
        <v>49161</v>
      </c>
      <c r="D11333" t="s">
        <v>27267</v>
      </c>
      <c r="E11333" t="str">
        <f t="shared" si="177"/>
        <v>001390</v>
      </c>
      <c r="F11333" t="s">
        <v>27246</v>
      </c>
      <c r="G11333" t="s">
        <v>27247</v>
      </c>
      <c r="H11333" t="s">
        <v>27248</v>
      </c>
      <c r="I11333" t="s">
        <v>49162</v>
      </c>
      <c r="J11333" t="s">
        <v>22680</v>
      </c>
      <c r="L11333" t="s">
        <v>27430</v>
      </c>
      <c r="M11333" t="s">
        <v>27251</v>
      </c>
      <c r="N11333" t="s">
        <v>27252</v>
      </c>
      <c r="Q11333" s="1">
        <v>45250</v>
      </c>
      <c r="R11333" t="s">
        <v>27253</v>
      </c>
      <c r="S11333" t="s">
        <v>27254</v>
      </c>
      <c r="T11333" t="s">
        <v>27269</v>
      </c>
    </row>
    <row r="11334" spans="1:20" x14ac:dyDescent="0.3">
      <c r="A11334" t="str">
        <f>"0611884456025"</f>
        <v>0611884456025</v>
      </c>
      <c r="B11334" t="str">
        <f>"MQ0847"</f>
        <v>MQ0847</v>
      </c>
      <c r="C11334" t="s">
        <v>49163</v>
      </c>
      <c r="D11334" t="s">
        <v>27267</v>
      </c>
      <c r="E11334" t="str">
        <f t="shared" si="177"/>
        <v>001390</v>
      </c>
      <c r="F11334" t="s">
        <v>27246</v>
      </c>
      <c r="G11334" t="s">
        <v>27247</v>
      </c>
      <c r="H11334" t="s">
        <v>27248</v>
      </c>
      <c r="I11334" t="s">
        <v>49164</v>
      </c>
      <c r="J11334" t="s">
        <v>22688</v>
      </c>
      <c r="L11334" t="s">
        <v>27430</v>
      </c>
      <c r="M11334" t="s">
        <v>27251</v>
      </c>
      <c r="N11334" t="s">
        <v>27252</v>
      </c>
      <c r="Q11334" s="1">
        <v>45250</v>
      </c>
      <c r="R11334" t="s">
        <v>27253</v>
      </c>
      <c r="S11334" t="s">
        <v>27254</v>
      </c>
      <c r="T11334" t="s">
        <v>27269</v>
      </c>
    </row>
    <row r="11335" spans="1:20" x14ac:dyDescent="0.3">
      <c r="A11335" t="str">
        <f>"0611839088025"</f>
        <v>0611839088025</v>
      </c>
      <c r="B11335" t="str">
        <f>"MQ0735"</f>
        <v>MQ0735</v>
      </c>
      <c r="C11335" t="s">
        <v>49165</v>
      </c>
      <c r="D11335" t="s">
        <v>28057</v>
      </c>
      <c r="E11335" t="str">
        <f t="shared" si="177"/>
        <v>001390</v>
      </c>
      <c r="F11335" t="s">
        <v>27246</v>
      </c>
      <c r="G11335" t="s">
        <v>27247</v>
      </c>
      <c r="H11335" t="s">
        <v>27248</v>
      </c>
      <c r="I11335" t="s">
        <v>49166</v>
      </c>
      <c r="J11335" t="s">
        <v>22682</v>
      </c>
      <c r="L11335" t="s">
        <v>27250</v>
      </c>
      <c r="M11335" t="s">
        <v>27251</v>
      </c>
      <c r="N11335" t="s">
        <v>27252</v>
      </c>
      <c r="P11335" t="s">
        <v>27925</v>
      </c>
      <c r="Q11335" s="1">
        <v>44538</v>
      </c>
      <c r="R11335" t="s">
        <v>27253</v>
      </c>
      <c r="S11335" t="s">
        <v>27254</v>
      </c>
      <c r="T11335" t="s">
        <v>27269</v>
      </c>
    </row>
    <row r="11336" spans="1:20" x14ac:dyDescent="0.3">
      <c r="A11336" t="str">
        <f>"0611839089025"</f>
        <v>0611839089025</v>
      </c>
      <c r="B11336" t="str">
        <f>"MQ6074"</f>
        <v>MQ6074</v>
      </c>
      <c r="C11336" t="s">
        <v>49167</v>
      </c>
      <c r="D11336" t="s">
        <v>28057</v>
      </c>
      <c r="E11336" t="str">
        <f t="shared" si="177"/>
        <v>001390</v>
      </c>
      <c r="F11336" t="s">
        <v>27246</v>
      </c>
      <c r="G11336" t="s">
        <v>27247</v>
      </c>
      <c r="H11336" t="s">
        <v>27248</v>
      </c>
      <c r="I11336" t="s">
        <v>49168</v>
      </c>
      <c r="J11336" t="s">
        <v>22684</v>
      </c>
      <c r="L11336" t="s">
        <v>27250</v>
      </c>
      <c r="M11336" t="s">
        <v>27251</v>
      </c>
      <c r="N11336" t="s">
        <v>27252</v>
      </c>
      <c r="P11336" t="s">
        <v>27925</v>
      </c>
      <c r="Q11336" s="1">
        <v>44538</v>
      </c>
      <c r="R11336" t="s">
        <v>27253</v>
      </c>
      <c r="S11336" t="s">
        <v>27254</v>
      </c>
      <c r="T11336" t="s">
        <v>27269</v>
      </c>
    </row>
    <row r="11337" spans="1:20" x14ac:dyDescent="0.3">
      <c r="A11337" t="str">
        <f>"0611863982050"</f>
        <v>0611863982050</v>
      </c>
      <c r="B11337" t="str">
        <f>"CE1693"</f>
        <v>CE1693</v>
      </c>
      <c r="C11337" t="s">
        <v>49167</v>
      </c>
      <c r="D11337" t="s">
        <v>27923</v>
      </c>
      <c r="E11337" t="str">
        <f t="shared" si="177"/>
        <v>001390</v>
      </c>
      <c r="F11337" t="s">
        <v>27246</v>
      </c>
      <c r="G11337" t="s">
        <v>27247</v>
      </c>
      <c r="H11337" t="s">
        <v>27248</v>
      </c>
      <c r="I11337" t="s">
        <v>49169</v>
      </c>
      <c r="J11337" t="s">
        <v>22686</v>
      </c>
      <c r="L11337" t="s">
        <v>27250</v>
      </c>
      <c r="M11337" t="s">
        <v>27251</v>
      </c>
      <c r="N11337" t="s">
        <v>27252</v>
      </c>
      <c r="P11337" t="s">
        <v>27925</v>
      </c>
      <c r="Q11337" s="1">
        <v>44846</v>
      </c>
      <c r="R11337" t="s">
        <v>27253</v>
      </c>
      <c r="S11337" t="s">
        <v>27254</v>
      </c>
      <c r="T11337" t="s">
        <v>27265</v>
      </c>
    </row>
    <row r="11338" spans="1:20" x14ac:dyDescent="0.3">
      <c r="A11338" t="str">
        <f>"0611839090025"</f>
        <v>0611839090025</v>
      </c>
      <c r="B11338" t="str">
        <f>"MQ6075"</f>
        <v>MQ6075</v>
      </c>
      <c r="C11338" t="s">
        <v>49170</v>
      </c>
      <c r="D11338" t="s">
        <v>28057</v>
      </c>
      <c r="E11338" t="str">
        <f t="shared" si="177"/>
        <v>001390</v>
      </c>
      <c r="F11338" t="s">
        <v>27246</v>
      </c>
      <c r="G11338" t="s">
        <v>27247</v>
      </c>
      <c r="H11338" t="s">
        <v>27248</v>
      </c>
      <c r="I11338" t="s">
        <v>49171</v>
      </c>
      <c r="J11338" t="s">
        <v>22690</v>
      </c>
      <c r="L11338" t="s">
        <v>27250</v>
      </c>
      <c r="M11338" t="s">
        <v>27251</v>
      </c>
      <c r="N11338" t="s">
        <v>27252</v>
      </c>
      <c r="P11338" t="s">
        <v>27925</v>
      </c>
      <c r="Q11338" s="1">
        <v>44538</v>
      </c>
      <c r="R11338" t="s">
        <v>27253</v>
      </c>
      <c r="S11338" t="s">
        <v>27254</v>
      </c>
      <c r="T11338" t="s">
        <v>27269</v>
      </c>
    </row>
    <row r="11339" spans="1:20" x14ac:dyDescent="0.3">
      <c r="A11339" t="str">
        <f>"0611839091025"</f>
        <v>0611839091025</v>
      </c>
      <c r="B11339" t="str">
        <f>"MQ6076"</f>
        <v>MQ6076</v>
      </c>
      <c r="C11339" t="s">
        <v>49172</v>
      </c>
      <c r="D11339" t="s">
        <v>28057</v>
      </c>
      <c r="E11339" t="str">
        <f t="shared" si="177"/>
        <v>001390</v>
      </c>
      <c r="F11339" t="s">
        <v>27246</v>
      </c>
      <c r="G11339" t="s">
        <v>27247</v>
      </c>
      <c r="H11339" t="s">
        <v>27248</v>
      </c>
      <c r="I11339" t="s">
        <v>49173</v>
      </c>
      <c r="J11339" t="s">
        <v>22692</v>
      </c>
      <c r="L11339" t="s">
        <v>27250</v>
      </c>
      <c r="M11339" t="s">
        <v>27251</v>
      </c>
      <c r="N11339" t="s">
        <v>27252</v>
      </c>
      <c r="P11339" t="s">
        <v>27925</v>
      </c>
      <c r="Q11339" s="1">
        <v>44538</v>
      </c>
      <c r="R11339" t="s">
        <v>27253</v>
      </c>
      <c r="S11339" t="s">
        <v>27254</v>
      </c>
      <c r="T11339" t="s">
        <v>27269</v>
      </c>
    </row>
    <row r="11340" spans="1:20" x14ac:dyDescent="0.3">
      <c r="A11340" t="str">
        <f>"0611839093025"</f>
        <v>0611839093025</v>
      </c>
      <c r="B11340" t="str">
        <f>"MQ3036"</f>
        <v>MQ3036</v>
      </c>
      <c r="C11340" t="s">
        <v>49174</v>
      </c>
      <c r="D11340" t="s">
        <v>28057</v>
      </c>
      <c r="E11340" t="str">
        <f t="shared" si="177"/>
        <v>001390</v>
      </c>
      <c r="F11340" t="s">
        <v>27246</v>
      </c>
      <c r="G11340" t="s">
        <v>27247</v>
      </c>
      <c r="H11340" t="s">
        <v>27248</v>
      </c>
      <c r="I11340" t="s">
        <v>49175</v>
      </c>
      <c r="J11340" t="s">
        <v>22694</v>
      </c>
      <c r="L11340" t="s">
        <v>27250</v>
      </c>
      <c r="M11340" t="s">
        <v>27251</v>
      </c>
      <c r="N11340" t="s">
        <v>27252</v>
      </c>
      <c r="P11340" t="s">
        <v>27925</v>
      </c>
      <c r="Q11340" s="1">
        <v>44538</v>
      </c>
      <c r="R11340" t="s">
        <v>27253</v>
      </c>
      <c r="S11340" t="s">
        <v>27254</v>
      </c>
      <c r="T11340" t="s">
        <v>27269</v>
      </c>
    </row>
    <row r="11341" spans="1:20" x14ac:dyDescent="0.3">
      <c r="A11341" t="str">
        <f>"0611863983050"</f>
        <v>0611863983050</v>
      </c>
      <c r="B11341" t="str">
        <f>"CE1694"</f>
        <v>CE1694</v>
      </c>
      <c r="C11341" t="s">
        <v>49174</v>
      </c>
      <c r="D11341" t="s">
        <v>27923</v>
      </c>
      <c r="E11341" t="str">
        <f t="shared" si="177"/>
        <v>001390</v>
      </c>
      <c r="F11341" t="s">
        <v>27246</v>
      </c>
      <c r="G11341" t="s">
        <v>27247</v>
      </c>
      <c r="H11341" t="s">
        <v>27248</v>
      </c>
      <c r="I11341" t="s">
        <v>49176</v>
      </c>
      <c r="J11341" t="s">
        <v>22696</v>
      </c>
      <c r="L11341" t="s">
        <v>27250</v>
      </c>
      <c r="M11341" t="s">
        <v>27251</v>
      </c>
      <c r="N11341" t="s">
        <v>27252</v>
      </c>
      <c r="P11341" t="s">
        <v>27925</v>
      </c>
      <c r="Q11341" s="1">
        <v>44846</v>
      </c>
      <c r="R11341" t="s">
        <v>27253</v>
      </c>
      <c r="S11341" t="s">
        <v>27254</v>
      </c>
      <c r="T11341" t="s">
        <v>27265</v>
      </c>
    </row>
    <row r="11342" spans="1:20" x14ac:dyDescent="0.3">
      <c r="A11342" t="str">
        <f>"0611839095025"</f>
        <v>0611839095025</v>
      </c>
      <c r="B11342" t="str">
        <f>"MQ6077"</f>
        <v>MQ6077</v>
      </c>
      <c r="C11342" t="s">
        <v>49177</v>
      </c>
      <c r="D11342" t="s">
        <v>28057</v>
      </c>
      <c r="E11342" t="str">
        <f t="shared" si="177"/>
        <v>001390</v>
      </c>
      <c r="F11342" t="s">
        <v>27246</v>
      </c>
      <c r="G11342" t="s">
        <v>27247</v>
      </c>
      <c r="H11342" t="s">
        <v>27248</v>
      </c>
      <c r="I11342" t="s">
        <v>49178</v>
      </c>
      <c r="J11342" t="s">
        <v>22698</v>
      </c>
      <c r="L11342" t="s">
        <v>27250</v>
      </c>
      <c r="M11342" t="s">
        <v>27251</v>
      </c>
      <c r="N11342" t="s">
        <v>27252</v>
      </c>
      <c r="P11342" t="s">
        <v>27925</v>
      </c>
      <c r="Q11342" s="1">
        <v>44538</v>
      </c>
      <c r="R11342" t="s">
        <v>27253</v>
      </c>
      <c r="S11342" t="s">
        <v>27254</v>
      </c>
      <c r="T11342" t="s">
        <v>27269</v>
      </c>
    </row>
    <row r="11343" spans="1:20" x14ac:dyDescent="0.3">
      <c r="A11343" t="str">
        <f>"0611863984050"</f>
        <v>0611863984050</v>
      </c>
      <c r="B11343" t="str">
        <f>"CE1695"</f>
        <v>CE1695</v>
      </c>
      <c r="C11343" t="s">
        <v>49179</v>
      </c>
      <c r="D11343" t="s">
        <v>27923</v>
      </c>
      <c r="E11343" t="str">
        <f t="shared" si="177"/>
        <v>001390</v>
      </c>
      <c r="F11343" t="s">
        <v>27246</v>
      </c>
      <c r="G11343" t="s">
        <v>27247</v>
      </c>
      <c r="H11343" t="s">
        <v>27248</v>
      </c>
      <c r="I11343" t="s">
        <v>49180</v>
      </c>
      <c r="J11343" t="s">
        <v>22700</v>
      </c>
      <c r="L11343" t="s">
        <v>27250</v>
      </c>
      <c r="M11343" t="s">
        <v>27251</v>
      </c>
      <c r="N11343" t="s">
        <v>27252</v>
      </c>
      <c r="P11343" t="s">
        <v>27925</v>
      </c>
      <c r="Q11343" s="1">
        <v>44846</v>
      </c>
      <c r="R11343" t="s">
        <v>27253</v>
      </c>
      <c r="S11343" t="s">
        <v>27254</v>
      </c>
      <c r="T11343" t="s">
        <v>27265</v>
      </c>
    </row>
    <row r="11344" spans="1:20" x14ac:dyDescent="0.3">
      <c r="A11344" t="str">
        <f>"0611857101025"</f>
        <v>0611857101025</v>
      </c>
      <c r="B11344" t="str">
        <f>"MC4446"</f>
        <v>MC4446</v>
      </c>
      <c r="C11344" t="s">
        <v>49181</v>
      </c>
      <c r="D11344" t="s">
        <v>28057</v>
      </c>
      <c r="E11344" t="str">
        <f t="shared" si="177"/>
        <v>001390</v>
      </c>
      <c r="F11344" t="s">
        <v>27246</v>
      </c>
      <c r="G11344" t="s">
        <v>27247</v>
      </c>
      <c r="H11344" t="s">
        <v>27248</v>
      </c>
      <c r="I11344" t="s">
        <v>49182</v>
      </c>
      <c r="J11344" t="s">
        <v>22702</v>
      </c>
      <c r="L11344" t="s">
        <v>27250</v>
      </c>
      <c r="M11344" t="s">
        <v>27251</v>
      </c>
      <c r="N11344" t="s">
        <v>27252</v>
      </c>
      <c r="P11344" t="s">
        <v>27925</v>
      </c>
      <c r="Q11344" s="1">
        <v>44812</v>
      </c>
      <c r="R11344" t="s">
        <v>27253</v>
      </c>
      <c r="S11344" t="s">
        <v>27254</v>
      </c>
      <c r="T11344" t="s">
        <v>27269</v>
      </c>
    </row>
    <row r="11345" spans="1:20" x14ac:dyDescent="0.3">
      <c r="A11345" t="str">
        <f>"0611839100025"</f>
        <v>0611839100025</v>
      </c>
      <c r="B11345" t="str">
        <f>"MQ0605"</f>
        <v>MQ0605</v>
      </c>
      <c r="C11345" t="s">
        <v>49183</v>
      </c>
      <c r="D11345" t="s">
        <v>28057</v>
      </c>
      <c r="E11345" t="str">
        <f t="shared" si="177"/>
        <v>001390</v>
      </c>
      <c r="F11345" t="s">
        <v>27246</v>
      </c>
      <c r="G11345" t="s">
        <v>27247</v>
      </c>
      <c r="H11345" t="s">
        <v>27248</v>
      </c>
      <c r="I11345" t="s">
        <v>49184</v>
      </c>
      <c r="J11345" t="s">
        <v>22704</v>
      </c>
      <c r="L11345" t="s">
        <v>27250</v>
      </c>
      <c r="M11345" t="s">
        <v>27251</v>
      </c>
      <c r="N11345" t="s">
        <v>27252</v>
      </c>
      <c r="P11345" t="s">
        <v>27925</v>
      </c>
      <c r="Q11345" s="1">
        <v>44538</v>
      </c>
      <c r="R11345" t="s">
        <v>27253</v>
      </c>
      <c r="S11345" t="s">
        <v>27254</v>
      </c>
      <c r="T11345" t="s">
        <v>27269</v>
      </c>
    </row>
    <row r="11346" spans="1:20" x14ac:dyDescent="0.3">
      <c r="A11346" t="str">
        <f>"0611839101025"</f>
        <v>0611839101025</v>
      </c>
      <c r="B11346" t="str">
        <f>"MQ0606"</f>
        <v>MQ0606</v>
      </c>
      <c r="C11346" t="s">
        <v>49185</v>
      </c>
      <c r="D11346" t="s">
        <v>28057</v>
      </c>
      <c r="E11346" t="str">
        <f t="shared" si="177"/>
        <v>001390</v>
      </c>
      <c r="F11346" t="s">
        <v>27246</v>
      </c>
      <c r="G11346" t="s">
        <v>27247</v>
      </c>
      <c r="H11346" t="s">
        <v>27248</v>
      </c>
      <c r="I11346" t="s">
        <v>49186</v>
      </c>
      <c r="J11346" t="s">
        <v>22706</v>
      </c>
      <c r="L11346" t="s">
        <v>27250</v>
      </c>
      <c r="M11346" t="s">
        <v>27251</v>
      </c>
      <c r="N11346" t="s">
        <v>27252</v>
      </c>
      <c r="P11346" t="s">
        <v>27925</v>
      </c>
      <c r="Q11346" s="1">
        <v>44538</v>
      </c>
      <c r="R11346" t="s">
        <v>27253</v>
      </c>
      <c r="S11346" t="s">
        <v>27254</v>
      </c>
      <c r="T11346" t="s">
        <v>27269</v>
      </c>
    </row>
    <row r="11347" spans="1:20" x14ac:dyDescent="0.3">
      <c r="A11347" t="str">
        <f>"0611839102025"</f>
        <v>0611839102025</v>
      </c>
      <c r="B11347" t="str">
        <f>"MC2184"</f>
        <v>MC2184</v>
      </c>
      <c r="C11347" t="s">
        <v>49187</v>
      </c>
      <c r="D11347" t="s">
        <v>27267</v>
      </c>
      <c r="E11347" t="str">
        <f t="shared" si="177"/>
        <v>001390</v>
      </c>
      <c r="F11347" t="s">
        <v>27246</v>
      </c>
      <c r="G11347" t="s">
        <v>27247</v>
      </c>
      <c r="H11347" t="s">
        <v>27248</v>
      </c>
      <c r="I11347" t="s">
        <v>49188</v>
      </c>
      <c r="J11347" t="s">
        <v>22708</v>
      </c>
      <c r="L11347" t="s">
        <v>27250</v>
      </c>
      <c r="M11347" t="s">
        <v>27251</v>
      </c>
      <c r="N11347" t="s">
        <v>27252</v>
      </c>
      <c r="Q11347" s="1">
        <v>44538</v>
      </c>
      <c r="R11347" t="s">
        <v>27253</v>
      </c>
      <c r="S11347" t="s">
        <v>27254</v>
      </c>
      <c r="T11347" t="s">
        <v>27269</v>
      </c>
    </row>
    <row r="11348" spans="1:20" x14ac:dyDescent="0.3">
      <c r="A11348" t="str">
        <f>"0611839103025"</f>
        <v>0611839103025</v>
      </c>
      <c r="B11348" t="str">
        <f>"MC0672"</f>
        <v>MC0672</v>
      </c>
      <c r="C11348" t="s">
        <v>49189</v>
      </c>
      <c r="D11348" t="s">
        <v>27267</v>
      </c>
      <c r="E11348" t="str">
        <f t="shared" si="177"/>
        <v>001390</v>
      </c>
      <c r="F11348" t="s">
        <v>27246</v>
      </c>
      <c r="G11348" t="s">
        <v>27247</v>
      </c>
      <c r="H11348" t="s">
        <v>27248</v>
      </c>
      <c r="I11348" t="s">
        <v>49190</v>
      </c>
      <c r="J11348" t="s">
        <v>22710</v>
      </c>
      <c r="L11348" t="s">
        <v>27250</v>
      </c>
      <c r="M11348" t="s">
        <v>27251</v>
      </c>
      <c r="N11348" t="s">
        <v>27252</v>
      </c>
      <c r="Q11348" s="1">
        <v>44538</v>
      </c>
      <c r="R11348" t="s">
        <v>27253</v>
      </c>
      <c r="S11348" t="s">
        <v>27254</v>
      </c>
      <c r="T11348" t="s">
        <v>27269</v>
      </c>
    </row>
    <row r="11349" spans="1:20" x14ac:dyDescent="0.3">
      <c r="A11349" t="str">
        <f>"0611839104025"</f>
        <v>0611839104025</v>
      </c>
      <c r="B11349" t="str">
        <f>"MC3927"</f>
        <v>MC3927</v>
      </c>
      <c r="C11349" t="s">
        <v>49191</v>
      </c>
      <c r="D11349" t="s">
        <v>27267</v>
      </c>
      <c r="E11349" t="str">
        <f t="shared" si="177"/>
        <v>001390</v>
      </c>
      <c r="F11349" t="s">
        <v>27246</v>
      </c>
      <c r="G11349" t="s">
        <v>27247</v>
      </c>
      <c r="H11349" t="s">
        <v>27248</v>
      </c>
      <c r="I11349" t="s">
        <v>49192</v>
      </c>
      <c r="J11349" t="s">
        <v>22712</v>
      </c>
      <c r="L11349" t="s">
        <v>27250</v>
      </c>
      <c r="M11349" t="s">
        <v>27251</v>
      </c>
      <c r="N11349" t="s">
        <v>27252</v>
      </c>
      <c r="Q11349" s="1">
        <v>44538</v>
      </c>
      <c r="R11349" t="s">
        <v>27253</v>
      </c>
      <c r="S11349" t="s">
        <v>27254</v>
      </c>
      <c r="T11349" t="s">
        <v>27269</v>
      </c>
    </row>
    <row r="11350" spans="1:20" x14ac:dyDescent="0.3">
      <c r="A11350" t="str">
        <f>"0611839105100"</f>
        <v>0611839105100</v>
      </c>
      <c r="B11350" t="str">
        <f>"LH7480"</f>
        <v>LH7480</v>
      </c>
      <c r="C11350" t="s">
        <v>49193</v>
      </c>
      <c r="D11350" t="s">
        <v>27245</v>
      </c>
      <c r="E11350" t="str">
        <f t="shared" si="177"/>
        <v>001390</v>
      </c>
      <c r="F11350" t="s">
        <v>27246</v>
      </c>
      <c r="G11350" t="s">
        <v>27247</v>
      </c>
      <c r="H11350" t="s">
        <v>27248</v>
      </c>
      <c r="I11350" t="s">
        <v>49194</v>
      </c>
      <c r="J11350" t="s">
        <v>22714</v>
      </c>
      <c r="L11350" t="s">
        <v>27250</v>
      </c>
      <c r="M11350" t="s">
        <v>27251</v>
      </c>
      <c r="N11350" t="s">
        <v>27252</v>
      </c>
      <c r="Q11350" s="1">
        <v>44538</v>
      </c>
      <c r="R11350" t="s">
        <v>27253</v>
      </c>
      <c r="S11350" t="s">
        <v>27254</v>
      </c>
      <c r="T11350" t="s">
        <v>27255</v>
      </c>
    </row>
    <row r="11351" spans="1:20" x14ac:dyDescent="0.3">
      <c r="A11351" t="str">
        <f>"0611863985100"</f>
        <v>0611863985100</v>
      </c>
      <c r="B11351" t="str">
        <f>"CN5373"</f>
        <v>CN5373</v>
      </c>
      <c r="C11351" t="s">
        <v>49195</v>
      </c>
      <c r="D11351" t="s">
        <v>27339</v>
      </c>
      <c r="E11351" t="str">
        <f t="shared" si="177"/>
        <v>001390</v>
      </c>
      <c r="F11351" t="s">
        <v>27246</v>
      </c>
      <c r="G11351" t="s">
        <v>27247</v>
      </c>
      <c r="H11351" t="s">
        <v>27248</v>
      </c>
      <c r="I11351" t="s">
        <v>49196</v>
      </c>
      <c r="J11351" t="s">
        <v>22716</v>
      </c>
      <c r="L11351" t="s">
        <v>27250</v>
      </c>
      <c r="M11351" t="s">
        <v>27251</v>
      </c>
      <c r="N11351" t="s">
        <v>27252</v>
      </c>
      <c r="P11351" t="s">
        <v>27341</v>
      </c>
      <c r="Q11351" s="1">
        <v>44846</v>
      </c>
      <c r="R11351" t="s">
        <v>27253</v>
      </c>
      <c r="S11351" t="s">
        <v>27254</v>
      </c>
      <c r="T11351" t="s">
        <v>27255</v>
      </c>
    </row>
    <row r="11352" spans="1:20" x14ac:dyDescent="0.3">
      <c r="A11352" t="str">
        <f>"0611863986050"</f>
        <v>0611863986050</v>
      </c>
      <c r="B11352" t="str">
        <f>"CR4456"</f>
        <v>CR4456</v>
      </c>
      <c r="C11352" t="s">
        <v>49197</v>
      </c>
      <c r="D11352" t="s">
        <v>28376</v>
      </c>
      <c r="E11352" t="str">
        <f t="shared" si="177"/>
        <v>001390</v>
      </c>
      <c r="F11352" t="s">
        <v>27246</v>
      </c>
      <c r="G11352" t="s">
        <v>27247</v>
      </c>
      <c r="H11352" t="s">
        <v>27248</v>
      </c>
      <c r="I11352" t="s">
        <v>49198</v>
      </c>
      <c r="J11352" t="s">
        <v>22718</v>
      </c>
      <c r="L11352" t="s">
        <v>27250</v>
      </c>
      <c r="M11352" t="s">
        <v>27251</v>
      </c>
      <c r="N11352" t="s">
        <v>27252</v>
      </c>
      <c r="P11352" t="s">
        <v>27341</v>
      </c>
      <c r="Q11352" s="1">
        <v>44846</v>
      </c>
      <c r="R11352" t="s">
        <v>27253</v>
      </c>
      <c r="S11352" t="s">
        <v>27254</v>
      </c>
      <c r="T11352" t="s">
        <v>28378</v>
      </c>
    </row>
    <row r="11353" spans="1:20" x14ac:dyDescent="0.3">
      <c r="A11353" t="str">
        <f>"0611863987100"</f>
        <v>0611863987100</v>
      </c>
      <c r="B11353" t="str">
        <f>"CN5374"</f>
        <v>CN5374</v>
      </c>
      <c r="C11353" t="s">
        <v>49199</v>
      </c>
      <c r="D11353" t="s">
        <v>27339</v>
      </c>
      <c r="E11353" t="str">
        <f t="shared" si="177"/>
        <v>001390</v>
      </c>
      <c r="F11353" t="s">
        <v>27246</v>
      </c>
      <c r="G11353" t="s">
        <v>27247</v>
      </c>
      <c r="H11353" t="s">
        <v>27248</v>
      </c>
      <c r="I11353" t="s">
        <v>49200</v>
      </c>
      <c r="J11353" t="s">
        <v>22720</v>
      </c>
      <c r="L11353" t="s">
        <v>27250</v>
      </c>
      <c r="M11353" t="s">
        <v>27251</v>
      </c>
      <c r="N11353" t="s">
        <v>27252</v>
      </c>
      <c r="P11353" t="s">
        <v>27341</v>
      </c>
      <c r="Q11353" s="1">
        <v>44846</v>
      </c>
      <c r="R11353" t="s">
        <v>27253</v>
      </c>
      <c r="S11353" t="s">
        <v>27254</v>
      </c>
      <c r="T11353" t="s">
        <v>27255</v>
      </c>
    </row>
    <row r="11354" spans="1:20" x14ac:dyDescent="0.3">
      <c r="A11354" t="str">
        <f>"0611863988050"</f>
        <v>0611863988050</v>
      </c>
      <c r="B11354" t="str">
        <f>"CR4457"</f>
        <v>CR4457</v>
      </c>
      <c r="C11354" t="s">
        <v>49201</v>
      </c>
      <c r="D11354" t="s">
        <v>28376</v>
      </c>
      <c r="E11354" t="str">
        <f t="shared" si="177"/>
        <v>001390</v>
      </c>
      <c r="F11354" t="s">
        <v>27246</v>
      </c>
      <c r="G11354" t="s">
        <v>27247</v>
      </c>
      <c r="H11354" t="s">
        <v>27248</v>
      </c>
      <c r="I11354" t="s">
        <v>49202</v>
      </c>
      <c r="J11354" t="s">
        <v>22722</v>
      </c>
      <c r="L11354" t="s">
        <v>27250</v>
      </c>
      <c r="M11354" t="s">
        <v>27251</v>
      </c>
      <c r="N11354" t="s">
        <v>27252</v>
      </c>
      <c r="P11354" t="s">
        <v>27341</v>
      </c>
      <c r="Q11354" s="1">
        <v>44846</v>
      </c>
      <c r="R11354" t="s">
        <v>27253</v>
      </c>
      <c r="S11354" t="s">
        <v>27254</v>
      </c>
      <c r="T11354" t="s">
        <v>28378</v>
      </c>
    </row>
    <row r="11355" spans="1:20" x14ac:dyDescent="0.3">
      <c r="A11355" t="str">
        <f>"0611863989050"</f>
        <v>0611863989050</v>
      </c>
      <c r="B11355" t="str">
        <f>"CE1037"</f>
        <v>CE1037</v>
      </c>
      <c r="C11355" t="s">
        <v>49203</v>
      </c>
      <c r="D11355" t="s">
        <v>27923</v>
      </c>
      <c r="E11355" t="str">
        <f t="shared" si="177"/>
        <v>001390</v>
      </c>
      <c r="F11355" t="s">
        <v>27246</v>
      </c>
      <c r="G11355" t="s">
        <v>27247</v>
      </c>
      <c r="H11355" t="s">
        <v>27248</v>
      </c>
      <c r="I11355" t="s">
        <v>49204</v>
      </c>
      <c r="J11355" t="s">
        <v>22724</v>
      </c>
      <c r="L11355" t="s">
        <v>27250</v>
      </c>
      <c r="M11355" t="s">
        <v>27251</v>
      </c>
      <c r="N11355" t="s">
        <v>27252</v>
      </c>
      <c r="P11355" t="s">
        <v>27925</v>
      </c>
      <c r="Q11355" s="1">
        <v>44846</v>
      </c>
      <c r="R11355" t="s">
        <v>27253</v>
      </c>
      <c r="S11355" t="s">
        <v>27254</v>
      </c>
      <c r="T11355" t="s">
        <v>27265</v>
      </c>
    </row>
    <row r="11356" spans="1:20" x14ac:dyDescent="0.3">
      <c r="A11356" t="str">
        <f>"0611839106025"</f>
        <v>0611839106025</v>
      </c>
      <c r="B11356" t="str">
        <f>"MQ3085"</f>
        <v>MQ3085</v>
      </c>
      <c r="C11356" t="s">
        <v>49205</v>
      </c>
      <c r="D11356" t="s">
        <v>28057</v>
      </c>
      <c r="E11356" t="str">
        <f t="shared" si="177"/>
        <v>001390</v>
      </c>
      <c r="F11356" t="s">
        <v>27246</v>
      </c>
      <c r="G11356" t="s">
        <v>27247</v>
      </c>
      <c r="H11356" t="s">
        <v>27248</v>
      </c>
      <c r="I11356" t="s">
        <v>49206</v>
      </c>
      <c r="J11356" t="s">
        <v>22726</v>
      </c>
      <c r="L11356" t="s">
        <v>27250</v>
      </c>
      <c r="M11356" t="s">
        <v>27251</v>
      </c>
      <c r="N11356" t="s">
        <v>27252</v>
      </c>
      <c r="P11356" t="s">
        <v>27925</v>
      </c>
      <c r="Q11356" s="1">
        <v>44538</v>
      </c>
      <c r="R11356" t="s">
        <v>27253</v>
      </c>
      <c r="S11356" t="s">
        <v>27254</v>
      </c>
      <c r="T11356" t="s">
        <v>27269</v>
      </c>
    </row>
    <row r="11357" spans="1:20" x14ac:dyDescent="0.3">
      <c r="A11357" t="str">
        <f>"0611839107025"</f>
        <v>0611839107025</v>
      </c>
      <c r="B11357" t="str">
        <f>"MQ6078"</f>
        <v>MQ6078</v>
      </c>
      <c r="C11357" t="s">
        <v>49207</v>
      </c>
      <c r="D11357" t="s">
        <v>28057</v>
      </c>
      <c r="E11357" t="str">
        <f t="shared" si="177"/>
        <v>001390</v>
      </c>
      <c r="F11357" t="s">
        <v>27246</v>
      </c>
      <c r="G11357" t="s">
        <v>27247</v>
      </c>
      <c r="H11357" t="s">
        <v>27248</v>
      </c>
      <c r="I11357" t="s">
        <v>49208</v>
      </c>
      <c r="J11357" t="s">
        <v>22728</v>
      </c>
      <c r="L11357" t="s">
        <v>27250</v>
      </c>
      <c r="M11357" t="s">
        <v>27251</v>
      </c>
      <c r="N11357" t="s">
        <v>27252</v>
      </c>
      <c r="P11357" t="s">
        <v>27925</v>
      </c>
      <c r="Q11357" s="1">
        <v>44538</v>
      </c>
      <c r="R11357" t="s">
        <v>27253</v>
      </c>
      <c r="S11357" t="s">
        <v>27254</v>
      </c>
      <c r="T11357" t="s">
        <v>27269</v>
      </c>
    </row>
    <row r="11358" spans="1:20" x14ac:dyDescent="0.3">
      <c r="A11358" t="str">
        <f>"0611863990050"</f>
        <v>0611863990050</v>
      </c>
      <c r="B11358" t="str">
        <f>"CE1721"</f>
        <v>CE1721</v>
      </c>
      <c r="C11358" t="s">
        <v>49207</v>
      </c>
      <c r="D11358" t="s">
        <v>27923</v>
      </c>
      <c r="E11358" t="str">
        <f t="shared" si="177"/>
        <v>001390</v>
      </c>
      <c r="F11358" t="s">
        <v>27246</v>
      </c>
      <c r="G11358" t="s">
        <v>27247</v>
      </c>
      <c r="H11358" t="s">
        <v>27248</v>
      </c>
      <c r="I11358" t="s">
        <v>49209</v>
      </c>
      <c r="J11358" t="s">
        <v>22730</v>
      </c>
      <c r="L11358" t="s">
        <v>27250</v>
      </c>
      <c r="M11358" t="s">
        <v>27251</v>
      </c>
      <c r="N11358" t="s">
        <v>27252</v>
      </c>
      <c r="P11358" t="s">
        <v>27925</v>
      </c>
      <c r="Q11358" s="1">
        <v>44846</v>
      </c>
      <c r="R11358" t="s">
        <v>27253</v>
      </c>
      <c r="S11358" t="s">
        <v>27254</v>
      </c>
      <c r="T11358" t="s">
        <v>27265</v>
      </c>
    </row>
    <row r="11359" spans="1:20" x14ac:dyDescent="0.3">
      <c r="A11359" t="str">
        <f>"0611839108025"</f>
        <v>0611839108025</v>
      </c>
      <c r="B11359" t="str">
        <f>"MQ6079"</f>
        <v>MQ6079</v>
      </c>
      <c r="C11359" t="s">
        <v>49210</v>
      </c>
      <c r="D11359" t="s">
        <v>28057</v>
      </c>
      <c r="E11359" t="str">
        <f t="shared" si="177"/>
        <v>001390</v>
      </c>
      <c r="F11359" t="s">
        <v>27246</v>
      </c>
      <c r="G11359" t="s">
        <v>27247</v>
      </c>
      <c r="H11359" t="s">
        <v>27248</v>
      </c>
      <c r="I11359" t="s">
        <v>49211</v>
      </c>
      <c r="J11359" t="s">
        <v>22732</v>
      </c>
      <c r="L11359" t="s">
        <v>27250</v>
      </c>
      <c r="M11359" t="s">
        <v>27251</v>
      </c>
      <c r="N11359" t="s">
        <v>27252</v>
      </c>
      <c r="P11359" t="s">
        <v>27925</v>
      </c>
      <c r="Q11359" s="1">
        <v>44538</v>
      </c>
      <c r="R11359" t="s">
        <v>27253</v>
      </c>
      <c r="S11359" t="s">
        <v>27254</v>
      </c>
      <c r="T11359" t="s">
        <v>27269</v>
      </c>
    </row>
    <row r="11360" spans="1:20" x14ac:dyDescent="0.3">
      <c r="A11360" t="str">
        <f>"0611839109025"</f>
        <v>0611839109025</v>
      </c>
      <c r="B11360" t="str">
        <f>"MQ0534"</f>
        <v>MQ0534</v>
      </c>
      <c r="C11360" t="s">
        <v>49212</v>
      </c>
      <c r="D11360" t="s">
        <v>28057</v>
      </c>
      <c r="E11360" t="str">
        <f t="shared" si="177"/>
        <v>001390</v>
      </c>
      <c r="F11360" t="s">
        <v>27246</v>
      </c>
      <c r="G11360" t="s">
        <v>27247</v>
      </c>
      <c r="H11360" t="s">
        <v>27248</v>
      </c>
      <c r="I11360" t="s">
        <v>49213</v>
      </c>
      <c r="J11360" t="s">
        <v>22734</v>
      </c>
      <c r="L11360" t="s">
        <v>27250</v>
      </c>
      <c r="M11360" t="s">
        <v>27251</v>
      </c>
      <c r="N11360" t="s">
        <v>27252</v>
      </c>
      <c r="P11360" t="s">
        <v>27925</v>
      </c>
      <c r="Q11360" s="1">
        <v>44538</v>
      </c>
      <c r="R11360" t="s">
        <v>27253</v>
      </c>
      <c r="S11360" t="s">
        <v>27254</v>
      </c>
      <c r="T11360" t="s">
        <v>27269</v>
      </c>
    </row>
    <row r="11361" spans="1:20" x14ac:dyDescent="0.3">
      <c r="A11361" t="str">
        <f>"0611863991050"</f>
        <v>0611863991050</v>
      </c>
      <c r="B11361" t="str">
        <f>"CE1722"</f>
        <v>CE1722</v>
      </c>
      <c r="C11361" t="s">
        <v>49214</v>
      </c>
      <c r="D11361" t="s">
        <v>27923</v>
      </c>
      <c r="E11361" t="str">
        <f t="shared" si="177"/>
        <v>001390</v>
      </c>
      <c r="F11361" t="s">
        <v>27246</v>
      </c>
      <c r="G11361" t="s">
        <v>27247</v>
      </c>
      <c r="H11361" t="s">
        <v>27248</v>
      </c>
      <c r="I11361" t="s">
        <v>49215</v>
      </c>
      <c r="J11361" t="s">
        <v>22736</v>
      </c>
      <c r="L11361" t="s">
        <v>27250</v>
      </c>
      <c r="M11361" t="s">
        <v>27251</v>
      </c>
      <c r="N11361" t="s">
        <v>27252</v>
      </c>
      <c r="P11361" t="s">
        <v>27925</v>
      </c>
      <c r="Q11361" s="1">
        <v>44846</v>
      </c>
      <c r="R11361" t="s">
        <v>27253</v>
      </c>
      <c r="S11361" t="s">
        <v>27254</v>
      </c>
      <c r="T11361" t="s">
        <v>27265</v>
      </c>
    </row>
    <row r="11362" spans="1:20" x14ac:dyDescent="0.3">
      <c r="A11362" t="str">
        <f>"0611839110025"</f>
        <v>0611839110025</v>
      </c>
      <c r="B11362" t="str">
        <f>"MQ3086"</f>
        <v>MQ3086</v>
      </c>
      <c r="C11362" t="s">
        <v>49216</v>
      </c>
      <c r="D11362" t="s">
        <v>28057</v>
      </c>
      <c r="E11362" t="str">
        <f t="shared" si="177"/>
        <v>001390</v>
      </c>
      <c r="F11362" t="s">
        <v>27246</v>
      </c>
      <c r="G11362" t="s">
        <v>27247</v>
      </c>
      <c r="H11362" t="s">
        <v>27248</v>
      </c>
      <c r="I11362" t="s">
        <v>49217</v>
      </c>
      <c r="J11362" t="s">
        <v>22738</v>
      </c>
      <c r="L11362" t="s">
        <v>27250</v>
      </c>
      <c r="M11362" t="s">
        <v>27251</v>
      </c>
      <c r="N11362" t="s">
        <v>27252</v>
      </c>
      <c r="P11362" t="s">
        <v>27925</v>
      </c>
      <c r="Q11362" s="1">
        <v>44538</v>
      </c>
      <c r="R11362" t="s">
        <v>27253</v>
      </c>
      <c r="S11362" t="s">
        <v>27254</v>
      </c>
      <c r="T11362" t="s">
        <v>27269</v>
      </c>
    </row>
    <row r="11363" spans="1:20" x14ac:dyDescent="0.3">
      <c r="A11363" t="str">
        <f>"0611839111025"</f>
        <v>0611839111025</v>
      </c>
      <c r="B11363" t="str">
        <f>"MQ3087"</f>
        <v>MQ3087</v>
      </c>
      <c r="C11363" t="s">
        <v>49218</v>
      </c>
      <c r="D11363" t="s">
        <v>28057</v>
      </c>
      <c r="E11363" t="str">
        <f t="shared" si="177"/>
        <v>001390</v>
      </c>
      <c r="F11363" t="s">
        <v>27246</v>
      </c>
      <c r="G11363" t="s">
        <v>27247</v>
      </c>
      <c r="H11363" t="s">
        <v>27248</v>
      </c>
      <c r="I11363" t="s">
        <v>49219</v>
      </c>
      <c r="J11363" t="s">
        <v>22740</v>
      </c>
      <c r="L11363" t="s">
        <v>27250</v>
      </c>
      <c r="M11363" t="s">
        <v>27251</v>
      </c>
      <c r="N11363" t="s">
        <v>27252</v>
      </c>
      <c r="P11363" t="s">
        <v>27925</v>
      </c>
      <c r="Q11363" s="1">
        <v>44538</v>
      </c>
      <c r="R11363" t="s">
        <v>27253</v>
      </c>
      <c r="S11363" t="s">
        <v>27254</v>
      </c>
      <c r="T11363" t="s">
        <v>27269</v>
      </c>
    </row>
    <row r="11364" spans="1:20" x14ac:dyDescent="0.3">
      <c r="A11364" t="str">
        <f>"0611839112025"</f>
        <v>0611839112025</v>
      </c>
      <c r="B11364" t="str">
        <f>"MC3432"</f>
        <v>MC3432</v>
      </c>
      <c r="C11364" t="s">
        <v>49220</v>
      </c>
      <c r="D11364" t="s">
        <v>27267</v>
      </c>
      <c r="E11364" t="str">
        <f t="shared" si="177"/>
        <v>001390</v>
      </c>
      <c r="F11364" t="s">
        <v>27246</v>
      </c>
      <c r="G11364" t="s">
        <v>27247</v>
      </c>
      <c r="H11364" t="s">
        <v>27248</v>
      </c>
      <c r="I11364" t="s">
        <v>49221</v>
      </c>
      <c r="J11364" t="s">
        <v>22742</v>
      </c>
      <c r="L11364" t="s">
        <v>27250</v>
      </c>
      <c r="M11364" t="s">
        <v>27251</v>
      </c>
      <c r="N11364" t="s">
        <v>27252</v>
      </c>
      <c r="Q11364" s="1">
        <v>44538</v>
      </c>
      <c r="R11364" t="s">
        <v>27253</v>
      </c>
      <c r="S11364" t="s">
        <v>27254</v>
      </c>
      <c r="T11364" t="s">
        <v>27269</v>
      </c>
    </row>
    <row r="11365" spans="1:20" x14ac:dyDescent="0.3">
      <c r="A11365" t="str">
        <f>"0611839113025"</f>
        <v>0611839113025</v>
      </c>
      <c r="B11365" t="str">
        <f>"MC0673"</f>
        <v>MC0673</v>
      </c>
      <c r="C11365" t="s">
        <v>49222</v>
      </c>
      <c r="D11365" t="s">
        <v>27267</v>
      </c>
      <c r="E11365" t="str">
        <f t="shared" si="177"/>
        <v>001390</v>
      </c>
      <c r="F11365" t="s">
        <v>27246</v>
      </c>
      <c r="G11365" t="s">
        <v>27247</v>
      </c>
      <c r="H11365" t="s">
        <v>27248</v>
      </c>
      <c r="I11365" t="s">
        <v>49223</v>
      </c>
      <c r="J11365" t="s">
        <v>22746</v>
      </c>
      <c r="L11365" t="s">
        <v>27250</v>
      </c>
      <c r="M11365" t="s">
        <v>27251</v>
      </c>
      <c r="N11365" t="s">
        <v>27252</v>
      </c>
      <c r="Q11365" s="1">
        <v>44538</v>
      </c>
      <c r="R11365" t="s">
        <v>27253</v>
      </c>
      <c r="S11365" t="s">
        <v>27254</v>
      </c>
      <c r="T11365" t="s">
        <v>27269</v>
      </c>
    </row>
    <row r="11366" spans="1:20" x14ac:dyDescent="0.3">
      <c r="A11366" t="str">
        <f>"0611863992100"</f>
        <v>0611863992100</v>
      </c>
      <c r="B11366" t="str">
        <f>"CN5377"</f>
        <v>CN5377</v>
      </c>
      <c r="C11366" t="s">
        <v>49222</v>
      </c>
      <c r="D11366" t="s">
        <v>27335</v>
      </c>
      <c r="E11366" t="str">
        <f t="shared" si="177"/>
        <v>001390</v>
      </c>
      <c r="F11366" t="s">
        <v>27246</v>
      </c>
      <c r="G11366" t="s">
        <v>27247</v>
      </c>
      <c r="H11366" t="s">
        <v>27248</v>
      </c>
      <c r="I11366" t="s">
        <v>49224</v>
      </c>
      <c r="J11366" t="s">
        <v>22744</v>
      </c>
      <c r="L11366" t="s">
        <v>27250</v>
      </c>
      <c r="M11366" t="s">
        <v>27251</v>
      </c>
      <c r="N11366" t="s">
        <v>27252</v>
      </c>
      <c r="Q11366" s="1">
        <v>44846</v>
      </c>
      <c r="R11366" t="s">
        <v>27253</v>
      </c>
      <c r="S11366" t="s">
        <v>27254</v>
      </c>
      <c r="T11366" t="s">
        <v>27255</v>
      </c>
    </row>
    <row r="11367" spans="1:20" x14ac:dyDescent="0.3">
      <c r="A11367" t="str">
        <f>"0611839114025"</f>
        <v>0611839114025</v>
      </c>
      <c r="B11367" t="str">
        <f>"MC3461"</f>
        <v>MC3461</v>
      </c>
      <c r="C11367" t="s">
        <v>49225</v>
      </c>
      <c r="D11367" t="s">
        <v>27267</v>
      </c>
      <c r="E11367" t="str">
        <f t="shared" si="177"/>
        <v>001390</v>
      </c>
      <c r="F11367" t="s">
        <v>27246</v>
      </c>
      <c r="G11367" t="s">
        <v>27247</v>
      </c>
      <c r="H11367" t="s">
        <v>27248</v>
      </c>
      <c r="I11367" t="s">
        <v>49226</v>
      </c>
      <c r="J11367" t="s">
        <v>22748</v>
      </c>
      <c r="L11367" t="s">
        <v>27250</v>
      </c>
      <c r="M11367" t="s">
        <v>27251</v>
      </c>
      <c r="N11367" t="s">
        <v>27252</v>
      </c>
      <c r="Q11367" s="1">
        <v>44538</v>
      </c>
      <c r="R11367" t="s">
        <v>27253</v>
      </c>
      <c r="S11367" t="s">
        <v>27254</v>
      </c>
      <c r="T11367" t="s">
        <v>27269</v>
      </c>
    </row>
    <row r="11368" spans="1:20" x14ac:dyDescent="0.3">
      <c r="A11368" t="str">
        <f>"0611839115100"</f>
        <v>0611839115100</v>
      </c>
      <c r="B11368" t="str">
        <f>"LH8929"</f>
        <v>LH8929</v>
      </c>
      <c r="C11368" t="s">
        <v>49227</v>
      </c>
      <c r="D11368" t="s">
        <v>27245</v>
      </c>
      <c r="E11368" t="str">
        <f t="shared" si="177"/>
        <v>001390</v>
      </c>
      <c r="F11368" t="s">
        <v>27246</v>
      </c>
      <c r="G11368" t="s">
        <v>27247</v>
      </c>
      <c r="H11368" t="s">
        <v>27248</v>
      </c>
      <c r="I11368" t="s">
        <v>49228</v>
      </c>
      <c r="J11368" t="s">
        <v>22750</v>
      </c>
      <c r="L11368" t="s">
        <v>27250</v>
      </c>
      <c r="M11368" t="s">
        <v>27251</v>
      </c>
      <c r="N11368" t="s">
        <v>27252</v>
      </c>
      <c r="Q11368" s="1">
        <v>44538</v>
      </c>
      <c r="R11368" t="s">
        <v>27253</v>
      </c>
      <c r="S11368" t="s">
        <v>27254</v>
      </c>
      <c r="T11368" t="s">
        <v>27255</v>
      </c>
    </row>
    <row r="11369" spans="1:20" x14ac:dyDescent="0.3">
      <c r="A11369" t="str">
        <f>"0611839116025"</f>
        <v>0611839116025</v>
      </c>
      <c r="B11369" t="str">
        <f>"MC3433"</f>
        <v>MC3433</v>
      </c>
      <c r="C11369" t="s">
        <v>49229</v>
      </c>
      <c r="D11369" t="s">
        <v>27267</v>
      </c>
      <c r="E11369" t="str">
        <f t="shared" si="177"/>
        <v>001390</v>
      </c>
      <c r="F11369" t="s">
        <v>27246</v>
      </c>
      <c r="G11369" t="s">
        <v>27247</v>
      </c>
      <c r="H11369" t="s">
        <v>27248</v>
      </c>
      <c r="I11369" t="s">
        <v>49230</v>
      </c>
      <c r="J11369" t="s">
        <v>22752</v>
      </c>
      <c r="L11369" t="s">
        <v>27250</v>
      </c>
      <c r="M11369" t="s">
        <v>27251</v>
      </c>
      <c r="N11369" t="s">
        <v>27252</v>
      </c>
      <c r="Q11369" s="1">
        <v>44538</v>
      </c>
      <c r="R11369" t="s">
        <v>27253</v>
      </c>
      <c r="S11369" t="s">
        <v>27254</v>
      </c>
      <c r="T11369" t="s">
        <v>27269</v>
      </c>
    </row>
    <row r="11370" spans="1:20" x14ac:dyDescent="0.3">
      <c r="A11370" t="str">
        <f>"0611839117025"</f>
        <v>0611839117025</v>
      </c>
      <c r="B11370" t="str">
        <f>"MQ3200"</f>
        <v>MQ3200</v>
      </c>
      <c r="C11370" t="s">
        <v>49231</v>
      </c>
      <c r="D11370" t="s">
        <v>27267</v>
      </c>
      <c r="E11370" t="str">
        <f t="shared" si="177"/>
        <v>001390</v>
      </c>
      <c r="F11370" t="s">
        <v>27246</v>
      </c>
      <c r="G11370" t="s">
        <v>27247</v>
      </c>
      <c r="H11370" t="s">
        <v>27248</v>
      </c>
      <c r="I11370" t="s">
        <v>49232</v>
      </c>
      <c r="J11370" t="s">
        <v>22756</v>
      </c>
      <c r="L11370" t="s">
        <v>27250</v>
      </c>
      <c r="M11370" t="s">
        <v>27251</v>
      </c>
      <c r="N11370" t="s">
        <v>27252</v>
      </c>
      <c r="Q11370" s="1">
        <v>44538</v>
      </c>
      <c r="R11370" t="s">
        <v>27253</v>
      </c>
      <c r="S11370" t="s">
        <v>27254</v>
      </c>
      <c r="T11370" t="s">
        <v>27269</v>
      </c>
    </row>
    <row r="11371" spans="1:20" x14ac:dyDescent="0.3">
      <c r="A11371" t="str">
        <f>"0611863993100"</f>
        <v>0611863993100</v>
      </c>
      <c r="B11371" t="str">
        <f>"CN5375"</f>
        <v>CN5375</v>
      </c>
      <c r="C11371" t="s">
        <v>49231</v>
      </c>
      <c r="D11371" t="s">
        <v>27335</v>
      </c>
      <c r="E11371" t="str">
        <f t="shared" si="177"/>
        <v>001390</v>
      </c>
      <c r="F11371" t="s">
        <v>27246</v>
      </c>
      <c r="G11371" t="s">
        <v>27247</v>
      </c>
      <c r="H11371" t="s">
        <v>27248</v>
      </c>
      <c r="I11371" t="s">
        <v>49233</v>
      </c>
      <c r="J11371" t="s">
        <v>22754</v>
      </c>
      <c r="L11371" t="s">
        <v>27250</v>
      </c>
      <c r="M11371" t="s">
        <v>27251</v>
      </c>
      <c r="N11371" t="s">
        <v>27252</v>
      </c>
      <c r="Q11371" s="1">
        <v>44846</v>
      </c>
      <c r="R11371" t="s">
        <v>27253</v>
      </c>
      <c r="S11371" t="s">
        <v>27254</v>
      </c>
      <c r="T11371" t="s">
        <v>27255</v>
      </c>
    </row>
    <row r="11372" spans="1:20" x14ac:dyDescent="0.3">
      <c r="A11372" t="str">
        <f>"0611839118025"</f>
        <v>0611839118025</v>
      </c>
      <c r="B11372" t="str">
        <f>"MQ0364"</f>
        <v>MQ0364</v>
      </c>
      <c r="C11372" t="s">
        <v>49234</v>
      </c>
      <c r="D11372" t="s">
        <v>27267</v>
      </c>
      <c r="E11372" t="str">
        <f t="shared" si="177"/>
        <v>001390</v>
      </c>
      <c r="F11372" t="s">
        <v>27246</v>
      </c>
      <c r="G11372" t="s">
        <v>27247</v>
      </c>
      <c r="H11372" t="s">
        <v>27248</v>
      </c>
      <c r="I11372" t="s">
        <v>49235</v>
      </c>
      <c r="J11372" t="s">
        <v>22758</v>
      </c>
      <c r="L11372" t="s">
        <v>27250</v>
      </c>
      <c r="M11372" t="s">
        <v>27251</v>
      </c>
      <c r="N11372" t="s">
        <v>27252</v>
      </c>
      <c r="Q11372" s="1">
        <v>44538</v>
      </c>
      <c r="R11372" t="s">
        <v>27253</v>
      </c>
      <c r="S11372" t="s">
        <v>27254</v>
      </c>
      <c r="T11372" t="s">
        <v>27269</v>
      </c>
    </row>
    <row r="11373" spans="1:20" x14ac:dyDescent="0.3">
      <c r="A11373" t="str">
        <f>"0611863994100"</f>
        <v>0611863994100</v>
      </c>
      <c r="B11373" t="str">
        <f>"CN5376"</f>
        <v>CN5376</v>
      </c>
      <c r="C11373" t="s">
        <v>49236</v>
      </c>
      <c r="D11373" t="s">
        <v>27335</v>
      </c>
      <c r="E11373" t="str">
        <f t="shared" si="177"/>
        <v>001390</v>
      </c>
      <c r="F11373" t="s">
        <v>27246</v>
      </c>
      <c r="G11373" t="s">
        <v>27247</v>
      </c>
      <c r="H11373" t="s">
        <v>27248</v>
      </c>
      <c r="I11373" t="s">
        <v>49237</v>
      </c>
      <c r="J11373" t="s">
        <v>22760</v>
      </c>
      <c r="L11373" t="s">
        <v>27250</v>
      </c>
      <c r="M11373" t="s">
        <v>27251</v>
      </c>
      <c r="N11373" t="s">
        <v>27252</v>
      </c>
      <c r="Q11373" s="1">
        <v>44846</v>
      </c>
      <c r="R11373" t="s">
        <v>27253</v>
      </c>
      <c r="S11373" t="s">
        <v>27254</v>
      </c>
      <c r="T11373" t="s">
        <v>27255</v>
      </c>
    </row>
    <row r="11374" spans="1:20" x14ac:dyDescent="0.3">
      <c r="A11374" t="str">
        <f>"0611863995050"</f>
        <v>0611863995050</v>
      </c>
      <c r="B11374" t="str">
        <f>"CR4458"</f>
        <v>CR4458</v>
      </c>
      <c r="C11374" t="s">
        <v>49238</v>
      </c>
      <c r="D11374" t="s">
        <v>27286</v>
      </c>
      <c r="E11374" t="str">
        <f t="shared" si="177"/>
        <v>001390</v>
      </c>
      <c r="F11374" t="s">
        <v>27246</v>
      </c>
      <c r="G11374" t="s">
        <v>27247</v>
      </c>
      <c r="H11374" t="s">
        <v>27248</v>
      </c>
      <c r="I11374" t="s">
        <v>49239</v>
      </c>
      <c r="J11374" t="s">
        <v>22764</v>
      </c>
      <c r="L11374" t="s">
        <v>27250</v>
      </c>
      <c r="M11374" t="s">
        <v>27251</v>
      </c>
      <c r="N11374" t="s">
        <v>27252</v>
      </c>
      <c r="Q11374" s="1">
        <v>44846</v>
      </c>
      <c r="R11374" t="s">
        <v>27253</v>
      </c>
      <c r="S11374" t="s">
        <v>27254</v>
      </c>
      <c r="T11374" t="s">
        <v>27265</v>
      </c>
    </row>
    <row r="11375" spans="1:20" x14ac:dyDescent="0.3">
      <c r="A11375" t="str">
        <f>"0611839119025"</f>
        <v>0611839119025</v>
      </c>
      <c r="B11375" t="str">
        <f>"MQ3201"</f>
        <v>MQ3201</v>
      </c>
      <c r="C11375" t="s">
        <v>49240</v>
      </c>
      <c r="D11375" t="s">
        <v>27267</v>
      </c>
      <c r="E11375" t="str">
        <f t="shared" si="177"/>
        <v>001390</v>
      </c>
      <c r="F11375" t="s">
        <v>27246</v>
      </c>
      <c r="G11375" t="s">
        <v>27247</v>
      </c>
      <c r="H11375" t="s">
        <v>27248</v>
      </c>
      <c r="I11375" t="s">
        <v>49241</v>
      </c>
      <c r="J11375" t="s">
        <v>22762</v>
      </c>
      <c r="L11375" t="s">
        <v>27250</v>
      </c>
      <c r="M11375" t="s">
        <v>27251</v>
      </c>
      <c r="N11375" t="s">
        <v>27252</v>
      </c>
      <c r="Q11375" s="1">
        <v>44538</v>
      </c>
      <c r="R11375" t="s">
        <v>27253</v>
      </c>
      <c r="S11375" t="s">
        <v>27254</v>
      </c>
      <c r="T11375" t="s">
        <v>27269</v>
      </c>
    </row>
    <row r="11376" spans="1:20" x14ac:dyDescent="0.3">
      <c r="A11376" t="str">
        <f>"0611839120025"</f>
        <v>0611839120025</v>
      </c>
      <c r="B11376" t="str">
        <f>"MQ0607"</f>
        <v>MQ0607</v>
      </c>
      <c r="C11376" t="s">
        <v>49242</v>
      </c>
      <c r="D11376" t="s">
        <v>27267</v>
      </c>
      <c r="E11376" t="str">
        <f t="shared" si="177"/>
        <v>001390</v>
      </c>
      <c r="F11376" t="s">
        <v>27246</v>
      </c>
      <c r="G11376" t="s">
        <v>27247</v>
      </c>
      <c r="H11376" t="s">
        <v>27248</v>
      </c>
      <c r="I11376" t="s">
        <v>49243</v>
      </c>
      <c r="J11376" t="s">
        <v>22768</v>
      </c>
      <c r="L11376" t="s">
        <v>27250</v>
      </c>
      <c r="M11376" t="s">
        <v>27251</v>
      </c>
      <c r="N11376" t="s">
        <v>27252</v>
      </c>
      <c r="Q11376" s="1">
        <v>44538</v>
      </c>
      <c r="R11376" t="s">
        <v>27253</v>
      </c>
      <c r="S11376" t="s">
        <v>27254</v>
      </c>
      <c r="T11376" t="s">
        <v>27269</v>
      </c>
    </row>
    <row r="11377" spans="1:20" x14ac:dyDescent="0.3">
      <c r="A11377" t="str">
        <f>"0611839121025"</f>
        <v>0611839121025</v>
      </c>
      <c r="B11377" t="str">
        <f>"MQ0608"</f>
        <v>MQ0608</v>
      </c>
      <c r="C11377" t="s">
        <v>49244</v>
      </c>
      <c r="D11377" t="s">
        <v>27267</v>
      </c>
      <c r="E11377" t="str">
        <f t="shared" si="177"/>
        <v>001390</v>
      </c>
      <c r="F11377" t="s">
        <v>27246</v>
      </c>
      <c r="G11377" t="s">
        <v>27247</v>
      </c>
      <c r="H11377" t="s">
        <v>27248</v>
      </c>
      <c r="I11377" t="s">
        <v>49245</v>
      </c>
      <c r="J11377" t="s">
        <v>22770</v>
      </c>
      <c r="L11377" t="s">
        <v>27250</v>
      </c>
      <c r="M11377" t="s">
        <v>27251</v>
      </c>
      <c r="N11377" t="s">
        <v>27252</v>
      </c>
      <c r="Q11377" s="1">
        <v>44538</v>
      </c>
      <c r="R11377" t="s">
        <v>27253</v>
      </c>
      <c r="S11377" t="s">
        <v>27254</v>
      </c>
      <c r="T11377" t="s">
        <v>27269</v>
      </c>
    </row>
    <row r="11378" spans="1:20" x14ac:dyDescent="0.3">
      <c r="A11378" t="str">
        <f>"0611839122025"</f>
        <v>0611839122025</v>
      </c>
      <c r="B11378" t="str">
        <f>"MQ6080"</f>
        <v>MQ6080</v>
      </c>
      <c r="C11378" t="s">
        <v>49246</v>
      </c>
      <c r="D11378" t="s">
        <v>27267</v>
      </c>
      <c r="E11378" t="str">
        <f t="shared" si="177"/>
        <v>001390</v>
      </c>
      <c r="F11378" t="s">
        <v>27246</v>
      </c>
      <c r="G11378" t="s">
        <v>27247</v>
      </c>
      <c r="H11378" t="s">
        <v>27248</v>
      </c>
      <c r="I11378" t="s">
        <v>49247</v>
      </c>
      <c r="J11378" t="s">
        <v>22772</v>
      </c>
      <c r="L11378" t="s">
        <v>27250</v>
      </c>
      <c r="M11378" t="s">
        <v>27251</v>
      </c>
      <c r="N11378" t="s">
        <v>27252</v>
      </c>
      <c r="Q11378" s="1">
        <v>44538</v>
      </c>
      <c r="R11378" t="s">
        <v>27253</v>
      </c>
      <c r="S11378" t="s">
        <v>27254</v>
      </c>
      <c r="T11378" t="s">
        <v>27269</v>
      </c>
    </row>
    <row r="11379" spans="1:20" x14ac:dyDescent="0.3">
      <c r="A11379" t="str">
        <f>"0611839123025"</f>
        <v>0611839123025</v>
      </c>
      <c r="B11379" t="str">
        <f>"MQ0609"</f>
        <v>MQ0609</v>
      </c>
      <c r="C11379" t="s">
        <v>49248</v>
      </c>
      <c r="D11379" t="s">
        <v>27267</v>
      </c>
      <c r="E11379" t="str">
        <f t="shared" si="177"/>
        <v>001390</v>
      </c>
      <c r="F11379" t="s">
        <v>27246</v>
      </c>
      <c r="G11379" t="s">
        <v>27247</v>
      </c>
      <c r="H11379" t="s">
        <v>27248</v>
      </c>
      <c r="I11379" t="s">
        <v>49249</v>
      </c>
      <c r="J11379" t="s">
        <v>22774</v>
      </c>
      <c r="L11379" t="s">
        <v>27250</v>
      </c>
      <c r="M11379" t="s">
        <v>27251</v>
      </c>
      <c r="N11379" t="s">
        <v>27252</v>
      </c>
      <c r="Q11379" s="1">
        <v>44538</v>
      </c>
      <c r="R11379" t="s">
        <v>27253</v>
      </c>
      <c r="S11379" t="s">
        <v>27254</v>
      </c>
      <c r="T11379" t="s">
        <v>27269</v>
      </c>
    </row>
    <row r="11380" spans="1:20" x14ac:dyDescent="0.3">
      <c r="A11380" t="str">
        <f>"0611839124025"</f>
        <v>0611839124025</v>
      </c>
      <c r="B11380" t="str">
        <f>"MQ0736"</f>
        <v>MQ0736</v>
      </c>
      <c r="C11380" t="s">
        <v>49250</v>
      </c>
      <c r="D11380" t="s">
        <v>27267</v>
      </c>
      <c r="E11380" t="str">
        <f t="shared" si="177"/>
        <v>001390</v>
      </c>
      <c r="F11380" t="s">
        <v>27246</v>
      </c>
      <c r="G11380" t="s">
        <v>27247</v>
      </c>
      <c r="H11380" t="s">
        <v>27248</v>
      </c>
      <c r="I11380" t="s">
        <v>49251</v>
      </c>
      <c r="J11380" t="s">
        <v>22776</v>
      </c>
      <c r="L11380" t="s">
        <v>27250</v>
      </c>
      <c r="M11380" t="s">
        <v>27251</v>
      </c>
      <c r="N11380" t="s">
        <v>27252</v>
      </c>
      <c r="Q11380" s="1">
        <v>44538</v>
      </c>
      <c r="R11380" t="s">
        <v>27253</v>
      </c>
      <c r="S11380" t="s">
        <v>27254</v>
      </c>
      <c r="T11380" t="s">
        <v>27269</v>
      </c>
    </row>
    <row r="11381" spans="1:20" x14ac:dyDescent="0.3">
      <c r="A11381" t="str">
        <f>"0611839125025"</f>
        <v>0611839125025</v>
      </c>
      <c r="B11381" t="str">
        <f>"MC3803"</f>
        <v>MC3803</v>
      </c>
      <c r="C11381" t="s">
        <v>49252</v>
      </c>
      <c r="D11381" t="s">
        <v>27267</v>
      </c>
      <c r="E11381" t="str">
        <f t="shared" si="177"/>
        <v>001390</v>
      </c>
      <c r="F11381" t="s">
        <v>27246</v>
      </c>
      <c r="G11381" t="s">
        <v>27247</v>
      </c>
      <c r="H11381" t="s">
        <v>27248</v>
      </c>
      <c r="I11381" t="s">
        <v>49253</v>
      </c>
      <c r="J11381" t="s">
        <v>22778</v>
      </c>
      <c r="L11381" t="s">
        <v>27250</v>
      </c>
      <c r="M11381" t="s">
        <v>27251</v>
      </c>
      <c r="N11381" t="s">
        <v>27252</v>
      </c>
      <c r="Q11381" s="1">
        <v>44538</v>
      </c>
      <c r="R11381" t="s">
        <v>27253</v>
      </c>
      <c r="S11381" t="s">
        <v>27254</v>
      </c>
      <c r="T11381" t="s">
        <v>27269</v>
      </c>
    </row>
    <row r="11382" spans="1:20" x14ac:dyDescent="0.3">
      <c r="A11382" t="str">
        <f>"0611863996100"</f>
        <v>0611863996100</v>
      </c>
      <c r="B11382" t="str">
        <f>"CN5378"</f>
        <v>CN5378</v>
      </c>
      <c r="C11382" t="s">
        <v>49254</v>
      </c>
      <c r="D11382" t="s">
        <v>27335</v>
      </c>
      <c r="E11382" t="str">
        <f t="shared" si="177"/>
        <v>001390</v>
      </c>
      <c r="F11382" t="s">
        <v>27246</v>
      </c>
      <c r="G11382" t="s">
        <v>27247</v>
      </c>
      <c r="H11382" t="s">
        <v>27248</v>
      </c>
      <c r="I11382" t="s">
        <v>49255</v>
      </c>
      <c r="J11382" t="s">
        <v>22780</v>
      </c>
      <c r="L11382" t="s">
        <v>27250</v>
      </c>
      <c r="M11382" t="s">
        <v>27251</v>
      </c>
      <c r="N11382" t="s">
        <v>27252</v>
      </c>
      <c r="Q11382" s="1">
        <v>44846</v>
      </c>
      <c r="R11382" t="s">
        <v>27253</v>
      </c>
      <c r="S11382" t="s">
        <v>27254</v>
      </c>
      <c r="T11382" t="s">
        <v>27255</v>
      </c>
    </row>
    <row r="11383" spans="1:20" x14ac:dyDescent="0.3">
      <c r="A11383" t="str">
        <f>"0611839126025"</f>
        <v>0611839126025</v>
      </c>
      <c r="B11383" t="str">
        <f>"MC0676"</f>
        <v>MC0676</v>
      </c>
      <c r="C11383" t="s">
        <v>49256</v>
      </c>
      <c r="D11383" t="s">
        <v>27267</v>
      </c>
      <c r="E11383" t="str">
        <f t="shared" si="177"/>
        <v>001390</v>
      </c>
      <c r="F11383" t="s">
        <v>27246</v>
      </c>
      <c r="G11383" t="s">
        <v>27247</v>
      </c>
      <c r="H11383" t="s">
        <v>27248</v>
      </c>
      <c r="I11383" t="s">
        <v>49257</v>
      </c>
      <c r="J11383" t="s">
        <v>22782</v>
      </c>
      <c r="L11383" t="s">
        <v>27250</v>
      </c>
      <c r="M11383" t="s">
        <v>27251</v>
      </c>
      <c r="N11383" t="s">
        <v>27252</v>
      </c>
      <c r="Q11383" s="1">
        <v>44538</v>
      </c>
      <c r="R11383" t="s">
        <v>27253</v>
      </c>
      <c r="S11383" t="s">
        <v>27254</v>
      </c>
      <c r="T11383" t="s">
        <v>27269</v>
      </c>
    </row>
    <row r="11384" spans="1:20" x14ac:dyDescent="0.3">
      <c r="A11384" t="str">
        <f>"0611839127025"</f>
        <v>0611839127025</v>
      </c>
      <c r="B11384" t="str">
        <f>"MC3403"</f>
        <v>MC3403</v>
      </c>
      <c r="C11384" t="s">
        <v>49258</v>
      </c>
      <c r="D11384" t="s">
        <v>27267</v>
      </c>
      <c r="E11384" t="str">
        <f t="shared" si="177"/>
        <v>001390</v>
      </c>
      <c r="F11384" t="s">
        <v>27246</v>
      </c>
      <c r="G11384" t="s">
        <v>27247</v>
      </c>
      <c r="H11384" t="s">
        <v>27248</v>
      </c>
      <c r="I11384" t="s">
        <v>49259</v>
      </c>
      <c r="J11384" t="s">
        <v>22784</v>
      </c>
      <c r="L11384" t="s">
        <v>27250</v>
      </c>
      <c r="M11384" t="s">
        <v>27251</v>
      </c>
      <c r="N11384" t="s">
        <v>27252</v>
      </c>
      <c r="Q11384" s="1">
        <v>44538</v>
      </c>
      <c r="R11384" t="s">
        <v>27253</v>
      </c>
      <c r="S11384" t="s">
        <v>27254</v>
      </c>
      <c r="T11384" t="s">
        <v>27269</v>
      </c>
    </row>
    <row r="11385" spans="1:20" x14ac:dyDescent="0.3">
      <c r="A11385" t="str">
        <f>"0611839128025"</f>
        <v>0611839128025</v>
      </c>
      <c r="B11385" t="str">
        <f>"MC3435"</f>
        <v>MC3435</v>
      </c>
      <c r="C11385" t="s">
        <v>49260</v>
      </c>
      <c r="D11385" t="s">
        <v>27267</v>
      </c>
      <c r="E11385" t="str">
        <f t="shared" si="177"/>
        <v>001390</v>
      </c>
      <c r="F11385" t="s">
        <v>27246</v>
      </c>
      <c r="G11385" t="s">
        <v>27247</v>
      </c>
      <c r="H11385" t="s">
        <v>27248</v>
      </c>
      <c r="I11385" t="s">
        <v>49261</v>
      </c>
      <c r="J11385" t="s">
        <v>22786</v>
      </c>
      <c r="L11385" t="s">
        <v>27250</v>
      </c>
      <c r="M11385" t="s">
        <v>27251</v>
      </c>
      <c r="N11385" t="s">
        <v>27252</v>
      </c>
      <c r="Q11385" s="1">
        <v>44538</v>
      </c>
      <c r="R11385" t="s">
        <v>27253</v>
      </c>
      <c r="S11385" t="s">
        <v>27254</v>
      </c>
      <c r="T11385" t="s">
        <v>27269</v>
      </c>
    </row>
    <row r="11386" spans="1:20" x14ac:dyDescent="0.3">
      <c r="A11386" t="str">
        <f>"0611839129100"</f>
        <v>0611839129100</v>
      </c>
      <c r="B11386" t="str">
        <f>"LK0375"</f>
        <v>LK0375</v>
      </c>
      <c r="C11386" t="s">
        <v>49262</v>
      </c>
      <c r="D11386" t="s">
        <v>27245</v>
      </c>
      <c r="E11386" t="str">
        <f t="shared" si="177"/>
        <v>001390</v>
      </c>
      <c r="F11386" t="s">
        <v>27246</v>
      </c>
      <c r="G11386" t="s">
        <v>27247</v>
      </c>
      <c r="H11386" t="s">
        <v>27248</v>
      </c>
      <c r="I11386" t="s">
        <v>49263</v>
      </c>
      <c r="J11386" t="s">
        <v>22766</v>
      </c>
      <c r="L11386" t="s">
        <v>27250</v>
      </c>
      <c r="M11386" t="s">
        <v>27251</v>
      </c>
      <c r="N11386" t="s">
        <v>27252</v>
      </c>
      <c r="Q11386" s="1">
        <v>44538</v>
      </c>
      <c r="R11386" t="s">
        <v>27253</v>
      </c>
      <c r="S11386" t="s">
        <v>27254</v>
      </c>
      <c r="T11386" t="s">
        <v>27255</v>
      </c>
    </row>
    <row r="11387" spans="1:20" x14ac:dyDescent="0.3">
      <c r="A11387" t="str">
        <f>"0611839131025"</f>
        <v>0611839131025</v>
      </c>
      <c r="B11387" t="str">
        <f>"MQ0367"</f>
        <v>MQ0367</v>
      </c>
      <c r="C11387" t="s">
        <v>49264</v>
      </c>
      <c r="D11387" t="s">
        <v>27267</v>
      </c>
      <c r="E11387" t="str">
        <f t="shared" si="177"/>
        <v>001390</v>
      </c>
      <c r="F11387" t="s">
        <v>27246</v>
      </c>
      <c r="G11387" t="s">
        <v>27247</v>
      </c>
      <c r="H11387" t="s">
        <v>27248</v>
      </c>
      <c r="I11387" t="s">
        <v>49265</v>
      </c>
      <c r="J11387" t="s">
        <v>22788</v>
      </c>
      <c r="L11387" t="s">
        <v>27250</v>
      </c>
      <c r="M11387" t="s">
        <v>27251</v>
      </c>
      <c r="N11387" t="s">
        <v>27252</v>
      </c>
      <c r="Q11387" s="1">
        <v>44538</v>
      </c>
      <c r="R11387" t="s">
        <v>27253</v>
      </c>
      <c r="S11387" t="s">
        <v>27254</v>
      </c>
      <c r="T11387" t="s">
        <v>27269</v>
      </c>
    </row>
    <row r="11388" spans="1:20" x14ac:dyDescent="0.3">
      <c r="A11388" t="str">
        <f>"0611839132100"</f>
        <v>0611839132100</v>
      </c>
      <c r="B11388" t="str">
        <f>"LQ0474"</f>
        <v>LQ0474</v>
      </c>
      <c r="C11388" t="s">
        <v>49266</v>
      </c>
      <c r="D11388" t="s">
        <v>27245</v>
      </c>
      <c r="E11388" t="str">
        <f t="shared" si="177"/>
        <v>001390</v>
      </c>
      <c r="F11388" t="s">
        <v>27246</v>
      </c>
      <c r="G11388" t="s">
        <v>27247</v>
      </c>
      <c r="H11388" t="s">
        <v>27248</v>
      </c>
      <c r="I11388" t="s">
        <v>49267</v>
      </c>
      <c r="J11388" t="s">
        <v>22790</v>
      </c>
      <c r="L11388" t="s">
        <v>27250</v>
      </c>
      <c r="M11388" t="s">
        <v>27251</v>
      </c>
      <c r="N11388" t="s">
        <v>27252</v>
      </c>
      <c r="Q11388" s="1">
        <v>44538</v>
      </c>
      <c r="R11388" t="s">
        <v>27253</v>
      </c>
      <c r="S11388" t="s">
        <v>27254</v>
      </c>
      <c r="T11388" t="s">
        <v>27255</v>
      </c>
    </row>
    <row r="11389" spans="1:20" x14ac:dyDescent="0.3">
      <c r="A11389" t="str">
        <f>"0611884457100"</f>
        <v>0611884457100</v>
      </c>
      <c r="B11389" t="str">
        <f>"LQ6302"</f>
        <v>LQ6302</v>
      </c>
      <c r="C11389" t="s">
        <v>49268</v>
      </c>
      <c r="D11389" t="s">
        <v>27245</v>
      </c>
      <c r="E11389" t="str">
        <f t="shared" si="177"/>
        <v>001390</v>
      </c>
      <c r="F11389" t="s">
        <v>27246</v>
      </c>
      <c r="G11389" t="s">
        <v>27247</v>
      </c>
      <c r="H11389" t="s">
        <v>27248</v>
      </c>
      <c r="I11389" t="s">
        <v>49269</v>
      </c>
      <c r="J11389" t="s">
        <v>22792</v>
      </c>
      <c r="L11389" t="s">
        <v>27430</v>
      </c>
      <c r="M11389" t="s">
        <v>27251</v>
      </c>
      <c r="N11389" t="s">
        <v>27252</v>
      </c>
      <c r="Q11389" s="1">
        <v>45250</v>
      </c>
      <c r="R11389" t="s">
        <v>27253</v>
      </c>
      <c r="S11389" t="s">
        <v>27254</v>
      </c>
      <c r="T11389" t="s">
        <v>27255</v>
      </c>
    </row>
    <row r="11390" spans="1:20" x14ac:dyDescent="0.3">
      <c r="A11390" t="str">
        <f>"0611884458100"</f>
        <v>0611884458100</v>
      </c>
      <c r="B11390" t="str">
        <f>"LQ6303"</f>
        <v>LQ6303</v>
      </c>
      <c r="C11390" t="s">
        <v>49270</v>
      </c>
      <c r="D11390" t="s">
        <v>27245</v>
      </c>
      <c r="E11390" t="str">
        <f t="shared" si="177"/>
        <v>001390</v>
      </c>
      <c r="F11390" t="s">
        <v>27246</v>
      </c>
      <c r="G11390" t="s">
        <v>27247</v>
      </c>
      <c r="H11390" t="s">
        <v>27248</v>
      </c>
      <c r="I11390" t="s">
        <v>49271</v>
      </c>
      <c r="J11390" t="s">
        <v>22794</v>
      </c>
      <c r="L11390" t="s">
        <v>27430</v>
      </c>
      <c r="M11390" t="s">
        <v>27251</v>
      </c>
      <c r="N11390" t="s">
        <v>27252</v>
      </c>
      <c r="Q11390" s="1">
        <v>45250</v>
      </c>
      <c r="R11390" t="s">
        <v>27253</v>
      </c>
      <c r="S11390" t="s">
        <v>27254</v>
      </c>
      <c r="T11390" t="s">
        <v>27255</v>
      </c>
    </row>
    <row r="11391" spans="1:20" x14ac:dyDescent="0.3">
      <c r="A11391" t="str">
        <f>"0611839135100"</f>
        <v>0611839135100</v>
      </c>
      <c r="B11391" t="str">
        <f>"LQ5814"</f>
        <v>LQ5814</v>
      </c>
      <c r="C11391" t="s">
        <v>49272</v>
      </c>
      <c r="D11391" t="s">
        <v>27245</v>
      </c>
      <c r="E11391" t="str">
        <f t="shared" si="177"/>
        <v>001390</v>
      </c>
      <c r="F11391" t="s">
        <v>27246</v>
      </c>
      <c r="G11391" t="s">
        <v>27247</v>
      </c>
      <c r="H11391" t="s">
        <v>27248</v>
      </c>
      <c r="I11391" t="s">
        <v>49273</v>
      </c>
      <c r="J11391" t="s">
        <v>22796</v>
      </c>
      <c r="L11391" t="s">
        <v>27250</v>
      </c>
      <c r="M11391" t="s">
        <v>27251</v>
      </c>
      <c r="N11391" t="s">
        <v>27252</v>
      </c>
      <c r="Q11391" s="1">
        <v>44538</v>
      </c>
      <c r="R11391" t="s">
        <v>27253</v>
      </c>
      <c r="S11391" t="s">
        <v>27254</v>
      </c>
      <c r="T11391" t="s">
        <v>27255</v>
      </c>
    </row>
    <row r="11392" spans="1:20" x14ac:dyDescent="0.3">
      <c r="A11392" t="str">
        <f>"0611863997050"</f>
        <v>0611863997050</v>
      </c>
      <c r="B11392" t="str">
        <f>"CE0531"</f>
        <v>CE0531</v>
      </c>
      <c r="C11392" t="s">
        <v>49274</v>
      </c>
      <c r="D11392" t="s">
        <v>28556</v>
      </c>
      <c r="E11392" t="str">
        <f t="shared" si="177"/>
        <v>001390</v>
      </c>
      <c r="F11392" t="s">
        <v>27246</v>
      </c>
      <c r="G11392" t="s">
        <v>27247</v>
      </c>
      <c r="H11392" t="s">
        <v>27248</v>
      </c>
      <c r="I11392" t="s">
        <v>49275</v>
      </c>
      <c r="J11392" t="s">
        <v>22798</v>
      </c>
      <c r="L11392" t="s">
        <v>27250</v>
      </c>
      <c r="M11392" t="s">
        <v>27251</v>
      </c>
      <c r="N11392" t="s">
        <v>27252</v>
      </c>
      <c r="P11392" t="s">
        <v>27925</v>
      </c>
      <c r="Q11392" s="1">
        <v>44846</v>
      </c>
      <c r="R11392" t="s">
        <v>27253</v>
      </c>
      <c r="S11392" t="s">
        <v>27254</v>
      </c>
      <c r="T11392" t="s">
        <v>28378</v>
      </c>
    </row>
    <row r="11393" spans="1:20" x14ac:dyDescent="0.3">
      <c r="A11393" t="str">
        <f>"0611863998050"</f>
        <v>0611863998050</v>
      </c>
      <c r="B11393" t="str">
        <f>"CE1588"</f>
        <v>CE1588</v>
      </c>
      <c r="C11393" t="s">
        <v>49276</v>
      </c>
      <c r="D11393" t="s">
        <v>27923</v>
      </c>
      <c r="E11393" t="str">
        <f t="shared" si="177"/>
        <v>001390</v>
      </c>
      <c r="F11393" t="s">
        <v>27246</v>
      </c>
      <c r="G11393" t="s">
        <v>27247</v>
      </c>
      <c r="H11393" t="s">
        <v>27248</v>
      </c>
      <c r="I11393" t="s">
        <v>49277</v>
      </c>
      <c r="J11393" t="s">
        <v>22800</v>
      </c>
      <c r="L11393" t="s">
        <v>27250</v>
      </c>
      <c r="M11393" t="s">
        <v>27251</v>
      </c>
      <c r="N11393" t="s">
        <v>27252</v>
      </c>
      <c r="P11393" t="s">
        <v>27925</v>
      </c>
      <c r="Q11393" s="1">
        <v>44846</v>
      </c>
      <c r="R11393" t="s">
        <v>27253</v>
      </c>
      <c r="S11393" t="s">
        <v>27254</v>
      </c>
      <c r="T11393" t="s">
        <v>27265</v>
      </c>
    </row>
    <row r="11394" spans="1:20" x14ac:dyDescent="0.3">
      <c r="A11394" t="str">
        <f>"0611863999050"</f>
        <v>0611863999050</v>
      </c>
      <c r="B11394" t="str">
        <f>"CE0529"</f>
        <v>CE0529</v>
      </c>
      <c r="C11394" t="s">
        <v>49278</v>
      </c>
      <c r="D11394" t="s">
        <v>27923</v>
      </c>
      <c r="E11394" t="str">
        <f t="shared" ref="E11394:E11457" si="178">"001390"</f>
        <v>001390</v>
      </c>
      <c r="F11394" t="s">
        <v>27246</v>
      </c>
      <c r="G11394" t="s">
        <v>27247</v>
      </c>
      <c r="H11394" t="s">
        <v>27248</v>
      </c>
      <c r="I11394" t="s">
        <v>49279</v>
      </c>
      <c r="J11394" t="s">
        <v>22802</v>
      </c>
      <c r="L11394" t="s">
        <v>27250</v>
      </c>
      <c r="M11394" t="s">
        <v>27251</v>
      </c>
      <c r="N11394" t="s">
        <v>27252</v>
      </c>
      <c r="P11394" t="s">
        <v>27925</v>
      </c>
      <c r="Q11394" s="1">
        <v>44846</v>
      </c>
      <c r="R11394" t="s">
        <v>27253</v>
      </c>
      <c r="S11394" t="s">
        <v>27254</v>
      </c>
      <c r="T11394" t="s">
        <v>27265</v>
      </c>
    </row>
    <row r="11395" spans="1:20" x14ac:dyDescent="0.3">
      <c r="A11395" t="str">
        <f>"0611864000050"</f>
        <v>0611864000050</v>
      </c>
      <c r="B11395" t="str">
        <f>"CE1619"</f>
        <v>CE1619</v>
      </c>
      <c r="C11395" t="s">
        <v>49280</v>
      </c>
      <c r="D11395" t="s">
        <v>27923</v>
      </c>
      <c r="E11395" t="str">
        <f t="shared" si="178"/>
        <v>001390</v>
      </c>
      <c r="F11395" t="s">
        <v>27246</v>
      </c>
      <c r="G11395" t="s">
        <v>27247</v>
      </c>
      <c r="H11395" t="s">
        <v>27248</v>
      </c>
      <c r="I11395" t="s">
        <v>49281</v>
      </c>
      <c r="J11395" t="s">
        <v>22804</v>
      </c>
      <c r="L11395" t="s">
        <v>27250</v>
      </c>
      <c r="M11395" t="s">
        <v>27251</v>
      </c>
      <c r="N11395" t="s">
        <v>27252</v>
      </c>
      <c r="P11395" t="s">
        <v>27925</v>
      </c>
      <c r="Q11395" s="1">
        <v>44846</v>
      </c>
      <c r="R11395" t="s">
        <v>27253</v>
      </c>
      <c r="S11395" t="s">
        <v>27254</v>
      </c>
      <c r="T11395" t="s">
        <v>27265</v>
      </c>
    </row>
    <row r="11396" spans="1:20" x14ac:dyDescent="0.3">
      <c r="A11396" t="str">
        <f>"0611864001050"</f>
        <v>0611864001050</v>
      </c>
      <c r="B11396" t="str">
        <f>"CE0530"</f>
        <v>CE0530</v>
      </c>
      <c r="C11396" t="s">
        <v>49282</v>
      </c>
      <c r="D11396" t="s">
        <v>27923</v>
      </c>
      <c r="E11396" t="str">
        <f t="shared" si="178"/>
        <v>001390</v>
      </c>
      <c r="F11396" t="s">
        <v>27246</v>
      </c>
      <c r="G11396" t="s">
        <v>27247</v>
      </c>
      <c r="H11396" t="s">
        <v>27248</v>
      </c>
      <c r="I11396" t="s">
        <v>49283</v>
      </c>
      <c r="J11396" t="s">
        <v>22806</v>
      </c>
      <c r="L11396" t="s">
        <v>27250</v>
      </c>
      <c r="M11396" t="s">
        <v>27251</v>
      </c>
      <c r="N11396" t="s">
        <v>27252</v>
      </c>
      <c r="P11396" t="s">
        <v>27925</v>
      </c>
      <c r="Q11396" s="1">
        <v>44846</v>
      </c>
      <c r="R11396" t="s">
        <v>27253</v>
      </c>
      <c r="S11396" t="s">
        <v>27254</v>
      </c>
      <c r="T11396" t="s">
        <v>27265</v>
      </c>
    </row>
    <row r="11397" spans="1:20" x14ac:dyDescent="0.3">
      <c r="A11397" t="str">
        <f>"0611864002050"</f>
        <v>0611864002050</v>
      </c>
      <c r="B11397" t="str">
        <f>"CE1495"</f>
        <v>CE1495</v>
      </c>
      <c r="C11397" t="s">
        <v>49284</v>
      </c>
      <c r="D11397" t="s">
        <v>27923</v>
      </c>
      <c r="E11397" t="str">
        <f t="shared" si="178"/>
        <v>001390</v>
      </c>
      <c r="F11397" t="s">
        <v>27246</v>
      </c>
      <c r="G11397" t="s">
        <v>27247</v>
      </c>
      <c r="H11397" t="s">
        <v>27248</v>
      </c>
      <c r="I11397" t="s">
        <v>49285</v>
      </c>
      <c r="J11397" t="s">
        <v>22808</v>
      </c>
      <c r="L11397" t="s">
        <v>27250</v>
      </c>
      <c r="M11397" t="s">
        <v>27251</v>
      </c>
      <c r="N11397" t="s">
        <v>27252</v>
      </c>
      <c r="P11397" t="s">
        <v>27925</v>
      </c>
      <c r="Q11397" s="1">
        <v>44846</v>
      </c>
      <c r="R11397" t="s">
        <v>27253</v>
      </c>
      <c r="S11397" t="s">
        <v>27254</v>
      </c>
      <c r="T11397" t="s">
        <v>27265</v>
      </c>
    </row>
    <row r="11398" spans="1:20" x14ac:dyDescent="0.3">
      <c r="A11398" t="str">
        <f>"0611864003050"</f>
        <v>0611864003050</v>
      </c>
      <c r="B11398" t="str">
        <f>"CR2536"</f>
        <v>CR2536</v>
      </c>
      <c r="C11398" t="s">
        <v>49286</v>
      </c>
      <c r="D11398" t="s">
        <v>27263</v>
      </c>
      <c r="E11398" t="str">
        <f t="shared" si="178"/>
        <v>001390</v>
      </c>
      <c r="F11398" t="s">
        <v>27246</v>
      </c>
      <c r="G11398" t="s">
        <v>27247</v>
      </c>
      <c r="H11398" t="s">
        <v>27248</v>
      </c>
      <c r="I11398" t="s">
        <v>49287</v>
      </c>
      <c r="J11398" t="s">
        <v>22810</v>
      </c>
      <c r="L11398" t="s">
        <v>27250</v>
      </c>
      <c r="M11398" t="s">
        <v>27251</v>
      </c>
      <c r="N11398" t="s">
        <v>27252</v>
      </c>
      <c r="Q11398" s="1">
        <v>44846</v>
      </c>
      <c r="R11398" t="s">
        <v>27253</v>
      </c>
      <c r="S11398" t="s">
        <v>27254</v>
      </c>
      <c r="T11398" t="s">
        <v>27265</v>
      </c>
    </row>
    <row r="11399" spans="1:20" x14ac:dyDescent="0.3">
      <c r="A11399" t="str">
        <f>"0611839136100"</f>
        <v>0611839136100</v>
      </c>
      <c r="B11399" t="str">
        <f>"LQ0174"</f>
        <v>LQ0174</v>
      </c>
      <c r="C11399" t="s">
        <v>49288</v>
      </c>
      <c r="D11399" t="s">
        <v>27245</v>
      </c>
      <c r="E11399" t="str">
        <f t="shared" si="178"/>
        <v>001390</v>
      </c>
      <c r="F11399" t="s">
        <v>27246</v>
      </c>
      <c r="G11399" t="s">
        <v>27247</v>
      </c>
      <c r="H11399" t="s">
        <v>27248</v>
      </c>
      <c r="I11399" t="s">
        <v>49289</v>
      </c>
      <c r="J11399" t="s">
        <v>22812</v>
      </c>
      <c r="L11399" t="s">
        <v>27250</v>
      </c>
      <c r="M11399" t="s">
        <v>27251</v>
      </c>
      <c r="N11399" t="s">
        <v>27252</v>
      </c>
      <c r="Q11399" s="1">
        <v>44538</v>
      </c>
      <c r="R11399" t="s">
        <v>27253</v>
      </c>
      <c r="S11399" t="s">
        <v>27254</v>
      </c>
      <c r="T11399" t="s">
        <v>27255</v>
      </c>
    </row>
    <row r="11400" spans="1:20" x14ac:dyDescent="0.3">
      <c r="A11400" t="str">
        <f>"0611864004050"</f>
        <v>0611864004050</v>
      </c>
      <c r="B11400" t="str">
        <f>"CR2538"</f>
        <v>CR2538</v>
      </c>
      <c r="C11400" t="s">
        <v>49290</v>
      </c>
      <c r="D11400" t="s">
        <v>27263</v>
      </c>
      <c r="E11400" t="str">
        <f t="shared" si="178"/>
        <v>001390</v>
      </c>
      <c r="F11400" t="s">
        <v>27246</v>
      </c>
      <c r="G11400" t="s">
        <v>27247</v>
      </c>
      <c r="H11400" t="s">
        <v>27248</v>
      </c>
      <c r="I11400" t="s">
        <v>49291</v>
      </c>
      <c r="J11400" t="s">
        <v>22814</v>
      </c>
      <c r="L11400" t="s">
        <v>27250</v>
      </c>
      <c r="M11400" t="s">
        <v>27251</v>
      </c>
      <c r="N11400" t="s">
        <v>27252</v>
      </c>
      <c r="Q11400" s="1">
        <v>44846</v>
      </c>
      <c r="R11400" t="s">
        <v>27253</v>
      </c>
      <c r="S11400" t="s">
        <v>27254</v>
      </c>
      <c r="T11400" t="s">
        <v>27265</v>
      </c>
    </row>
    <row r="11401" spans="1:20" x14ac:dyDescent="0.3">
      <c r="A11401" t="str">
        <f>"0611839140100"</f>
        <v>0611839140100</v>
      </c>
      <c r="B11401" t="str">
        <f>"LQ6120"</f>
        <v>LQ6120</v>
      </c>
      <c r="C11401" t="s">
        <v>49292</v>
      </c>
      <c r="D11401" t="s">
        <v>27245</v>
      </c>
      <c r="E11401" t="str">
        <f t="shared" si="178"/>
        <v>001390</v>
      </c>
      <c r="F11401" t="s">
        <v>27246</v>
      </c>
      <c r="G11401" t="s">
        <v>27247</v>
      </c>
      <c r="H11401" t="s">
        <v>27248</v>
      </c>
      <c r="I11401" t="s">
        <v>49293</v>
      </c>
      <c r="J11401" t="s">
        <v>22820</v>
      </c>
      <c r="L11401" t="s">
        <v>27250</v>
      </c>
      <c r="M11401" t="s">
        <v>27251</v>
      </c>
      <c r="N11401" t="s">
        <v>27252</v>
      </c>
      <c r="Q11401" s="1">
        <v>44538</v>
      </c>
      <c r="R11401" t="s">
        <v>27253</v>
      </c>
      <c r="S11401" t="s">
        <v>27254</v>
      </c>
      <c r="T11401" t="s">
        <v>27255</v>
      </c>
    </row>
    <row r="11402" spans="1:20" x14ac:dyDescent="0.3">
      <c r="A11402" t="str">
        <f>"0611839142100"</f>
        <v>0611839142100</v>
      </c>
      <c r="B11402" t="str">
        <f>"LQ6078"</f>
        <v>LQ6078</v>
      </c>
      <c r="C11402" t="s">
        <v>49294</v>
      </c>
      <c r="D11402" t="s">
        <v>27245</v>
      </c>
      <c r="E11402" t="str">
        <f t="shared" si="178"/>
        <v>001390</v>
      </c>
      <c r="F11402" t="s">
        <v>27246</v>
      </c>
      <c r="G11402" t="s">
        <v>27247</v>
      </c>
      <c r="H11402" t="s">
        <v>27248</v>
      </c>
      <c r="I11402" t="s">
        <v>49295</v>
      </c>
      <c r="J11402" t="s">
        <v>22822</v>
      </c>
      <c r="L11402" t="s">
        <v>27250</v>
      </c>
      <c r="M11402" t="s">
        <v>27251</v>
      </c>
      <c r="N11402" t="s">
        <v>27252</v>
      </c>
      <c r="Q11402" s="1">
        <v>44538</v>
      </c>
      <c r="R11402" t="s">
        <v>27253</v>
      </c>
      <c r="S11402" t="s">
        <v>27254</v>
      </c>
      <c r="T11402" t="s">
        <v>27255</v>
      </c>
    </row>
    <row r="11403" spans="1:20" x14ac:dyDescent="0.3">
      <c r="A11403" t="str">
        <f>"0611839143100"</f>
        <v>0611839143100</v>
      </c>
      <c r="B11403" t="str">
        <f>"LQ0906"</f>
        <v>LQ0906</v>
      </c>
      <c r="C11403" t="s">
        <v>49296</v>
      </c>
      <c r="D11403" t="s">
        <v>27245</v>
      </c>
      <c r="E11403" t="str">
        <f t="shared" si="178"/>
        <v>001390</v>
      </c>
      <c r="F11403" t="s">
        <v>27246</v>
      </c>
      <c r="G11403" t="s">
        <v>27247</v>
      </c>
      <c r="H11403" t="s">
        <v>27248</v>
      </c>
      <c r="I11403" t="s">
        <v>49297</v>
      </c>
      <c r="J11403" t="s">
        <v>22824</v>
      </c>
      <c r="L11403" t="s">
        <v>27250</v>
      </c>
      <c r="M11403" t="s">
        <v>27251</v>
      </c>
      <c r="N11403" t="s">
        <v>27252</v>
      </c>
      <c r="Q11403" s="1">
        <v>44538</v>
      </c>
      <c r="R11403" t="s">
        <v>27253</v>
      </c>
      <c r="S11403" t="s">
        <v>27254</v>
      </c>
      <c r="T11403" t="s">
        <v>27255</v>
      </c>
    </row>
    <row r="11404" spans="1:20" x14ac:dyDescent="0.3">
      <c r="A11404" t="str">
        <f>"0611839144100"</f>
        <v>0611839144100</v>
      </c>
      <c r="B11404" t="str">
        <f>"MB7021"</f>
        <v>MB7021</v>
      </c>
      <c r="C11404" t="s">
        <v>49298</v>
      </c>
      <c r="D11404" t="s">
        <v>27274</v>
      </c>
      <c r="E11404" t="str">
        <f t="shared" si="178"/>
        <v>001390</v>
      </c>
      <c r="F11404" t="s">
        <v>27246</v>
      </c>
      <c r="G11404" t="s">
        <v>27247</v>
      </c>
      <c r="H11404" t="s">
        <v>27248</v>
      </c>
      <c r="I11404" t="s">
        <v>49299</v>
      </c>
      <c r="J11404" t="s">
        <v>22816</v>
      </c>
      <c r="L11404" t="s">
        <v>27250</v>
      </c>
      <c r="M11404" t="s">
        <v>27251</v>
      </c>
      <c r="N11404" t="s">
        <v>27252</v>
      </c>
      <c r="Q11404" s="1">
        <v>44538</v>
      </c>
      <c r="R11404" t="s">
        <v>27253</v>
      </c>
      <c r="S11404" t="s">
        <v>27254</v>
      </c>
      <c r="T11404" t="s">
        <v>27276</v>
      </c>
    </row>
    <row r="11405" spans="1:20" x14ac:dyDescent="0.3">
      <c r="A11405" t="str">
        <f>"0611839145100"</f>
        <v>0611839145100</v>
      </c>
      <c r="B11405" t="str">
        <f>"LG6650"</f>
        <v>LG6650</v>
      </c>
      <c r="C11405" t="s">
        <v>49298</v>
      </c>
      <c r="D11405" t="s">
        <v>27245</v>
      </c>
      <c r="E11405" t="str">
        <f t="shared" si="178"/>
        <v>001390</v>
      </c>
      <c r="F11405" t="s">
        <v>27246</v>
      </c>
      <c r="G11405" t="s">
        <v>27247</v>
      </c>
      <c r="H11405" t="s">
        <v>27248</v>
      </c>
      <c r="I11405" t="s">
        <v>49300</v>
      </c>
      <c r="J11405" t="s">
        <v>22818</v>
      </c>
      <c r="L11405" t="s">
        <v>27250</v>
      </c>
      <c r="M11405" t="s">
        <v>27251</v>
      </c>
      <c r="N11405" t="s">
        <v>27252</v>
      </c>
      <c r="Q11405" s="1">
        <v>44538</v>
      </c>
      <c r="R11405" t="s">
        <v>27253</v>
      </c>
      <c r="S11405" t="s">
        <v>27254</v>
      </c>
      <c r="T11405" t="s">
        <v>27255</v>
      </c>
    </row>
    <row r="11406" spans="1:20" x14ac:dyDescent="0.3">
      <c r="A11406" t="str">
        <f>"0611864005050"</f>
        <v>0611864005050</v>
      </c>
      <c r="B11406" t="str">
        <f>"CR3154"</f>
        <v>CR3154</v>
      </c>
      <c r="C11406" t="s">
        <v>49301</v>
      </c>
      <c r="D11406" t="s">
        <v>27271</v>
      </c>
      <c r="E11406" t="str">
        <f t="shared" si="178"/>
        <v>001390</v>
      </c>
      <c r="F11406" t="s">
        <v>27246</v>
      </c>
      <c r="G11406" t="s">
        <v>27247</v>
      </c>
      <c r="H11406" t="s">
        <v>27248</v>
      </c>
      <c r="I11406" t="s">
        <v>49302</v>
      </c>
      <c r="J11406" t="s">
        <v>22826</v>
      </c>
      <c r="L11406" t="s">
        <v>27250</v>
      </c>
      <c r="M11406" t="s">
        <v>27251</v>
      </c>
      <c r="N11406" t="s">
        <v>27252</v>
      </c>
      <c r="P11406" t="s">
        <v>27341</v>
      </c>
      <c r="Q11406" s="1">
        <v>44846</v>
      </c>
      <c r="R11406" t="s">
        <v>27253</v>
      </c>
      <c r="S11406" t="s">
        <v>27254</v>
      </c>
      <c r="T11406" t="s">
        <v>27265</v>
      </c>
    </row>
    <row r="11407" spans="1:20" x14ac:dyDescent="0.3">
      <c r="A11407" t="str">
        <f>"0611884459050"</f>
        <v>0611884459050</v>
      </c>
      <c r="B11407" t="str">
        <f>"CR5384"</f>
        <v>CR5384</v>
      </c>
      <c r="C11407" t="s">
        <v>49303</v>
      </c>
      <c r="D11407" t="s">
        <v>27271</v>
      </c>
      <c r="E11407" t="str">
        <f t="shared" si="178"/>
        <v>001390</v>
      </c>
      <c r="F11407" t="s">
        <v>27246</v>
      </c>
      <c r="G11407" t="s">
        <v>27247</v>
      </c>
      <c r="H11407" t="s">
        <v>27248</v>
      </c>
      <c r="I11407" t="s">
        <v>49304</v>
      </c>
      <c r="J11407" t="s">
        <v>22828</v>
      </c>
      <c r="L11407" t="s">
        <v>27430</v>
      </c>
      <c r="M11407" t="s">
        <v>27251</v>
      </c>
      <c r="N11407" t="s">
        <v>27252</v>
      </c>
      <c r="P11407" t="s">
        <v>27341</v>
      </c>
      <c r="Q11407" s="1">
        <v>45250</v>
      </c>
      <c r="R11407" t="s">
        <v>27253</v>
      </c>
      <c r="S11407" t="s">
        <v>27254</v>
      </c>
      <c r="T11407" t="s">
        <v>27265</v>
      </c>
    </row>
    <row r="11408" spans="1:20" x14ac:dyDescent="0.3">
      <c r="A11408" t="str">
        <f>"0611884460050"</f>
        <v>0611884460050</v>
      </c>
      <c r="B11408" t="str">
        <f>"CR5385"</f>
        <v>CR5385</v>
      </c>
      <c r="C11408" t="s">
        <v>49305</v>
      </c>
      <c r="D11408" t="s">
        <v>27271</v>
      </c>
      <c r="E11408" t="str">
        <f t="shared" si="178"/>
        <v>001390</v>
      </c>
      <c r="F11408" t="s">
        <v>27246</v>
      </c>
      <c r="G11408" t="s">
        <v>27247</v>
      </c>
      <c r="H11408" t="s">
        <v>27248</v>
      </c>
      <c r="I11408" t="s">
        <v>49306</v>
      </c>
      <c r="J11408" t="s">
        <v>22830</v>
      </c>
      <c r="L11408" t="s">
        <v>27430</v>
      </c>
      <c r="M11408" t="s">
        <v>27251</v>
      </c>
      <c r="N11408" t="s">
        <v>27252</v>
      </c>
      <c r="P11408" t="s">
        <v>27341</v>
      </c>
      <c r="Q11408" s="1">
        <v>45250</v>
      </c>
      <c r="R11408" t="s">
        <v>27253</v>
      </c>
      <c r="S11408" t="s">
        <v>27254</v>
      </c>
      <c r="T11408" t="s">
        <v>27265</v>
      </c>
    </row>
    <row r="11409" spans="1:20" x14ac:dyDescent="0.3">
      <c r="A11409" t="str">
        <f>"0611864006050"</f>
        <v>0611864006050</v>
      </c>
      <c r="B11409" t="str">
        <f>"CR3155"</f>
        <v>CR3155</v>
      </c>
      <c r="C11409" t="s">
        <v>49307</v>
      </c>
      <c r="D11409" t="s">
        <v>27271</v>
      </c>
      <c r="E11409" t="str">
        <f t="shared" si="178"/>
        <v>001390</v>
      </c>
      <c r="F11409" t="s">
        <v>27246</v>
      </c>
      <c r="G11409" t="s">
        <v>27247</v>
      </c>
      <c r="H11409" t="s">
        <v>27248</v>
      </c>
      <c r="I11409" t="s">
        <v>49308</v>
      </c>
      <c r="J11409" t="s">
        <v>22832</v>
      </c>
      <c r="L11409" t="s">
        <v>27250</v>
      </c>
      <c r="M11409" t="s">
        <v>27251</v>
      </c>
      <c r="N11409" t="s">
        <v>27252</v>
      </c>
      <c r="P11409" t="s">
        <v>27341</v>
      </c>
      <c r="Q11409" s="1">
        <v>44846</v>
      </c>
      <c r="R11409" t="s">
        <v>27253</v>
      </c>
      <c r="S11409" t="s">
        <v>27254</v>
      </c>
      <c r="T11409" t="s">
        <v>27265</v>
      </c>
    </row>
    <row r="11410" spans="1:20" x14ac:dyDescent="0.3">
      <c r="A11410" t="str">
        <f>"0611864007050"</f>
        <v>0611864007050</v>
      </c>
      <c r="B11410" t="str">
        <f>"CR3742"</f>
        <v>CR3742</v>
      </c>
      <c r="C11410" t="s">
        <v>49309</v>
      </c>
      <c r="D11410" t="s">
        <v>27271</v>
      </c>
      <c r="E11410" t="str">
        <f t="shared" si="178"/>
        <v>001390</v>
      </c>
      <c r="F11410" t="s">
        <v>27246</v>
      </c>
      <c r="G11410" t="s">
        <v>27247</v>
      </c>
      <c r="H11410" t="s">
        <v>27248</v>
      </c>
      <c r="I11410" t="s">
        <v>49310</v>
      </c>
      <c r="J11410" t="s">
        <v>22834</v>
      </c>
      <c r="L11410" t="s">
        <v>27250</v>
      </c>
      <c r="M11410" t="s">
        <v>27251</v>
      </c>
      <c r="N11410" t="s">
        <v>27252</v>
      </c>
      <c r="P11410" t="s">
        <v>27341</v>
      </c>
      <c r="Q11410" s="1">
        <v>44846</v>
      </c>
      <c r="R11410" t="s">
        <v>27253</v>
      </c>
      <c r="S11410" t="s">
        <v>27254</v>
      </c>
      <c r="T11410" t="s">
        <v>27265</v>
      </c>
    </row>
    <row r="11411" spans="1:20" x14ac:dyDescent="0.3">
      <c r="A11411" t="str">
        <f>"0611884461050"</f>
        <v>0611884461050</v>
      </c>
      <c r="B11411" t="str">
        <f>"CR5399"</f>
        <v>CR5399</v>
      </c>
      <c r="C11411" t="s">
        <v>49311</v>
      </c>
      <c r="D11411" t="s">
        <v>27271</v>
      </c>
      <c r="E11411" t="str">
        <f t="shared" si="178"/>
        <v>001390</v>
      </c>
      <c r="F11411" t="s">
        <v>27246</v>
      </c>
      <c r="G11411" t="s">
        <v>27247</v>
      </c>
      <c r="H11411" t="s">
        <v>27248</v>
      </c>
      <c r="I11411" t="s">
        <v>49312</v>
      </c>
      <c r="J11411" t="s">
        <v>22836</v>
      </c>
      <c r="L11411" t="s">
        <v>27430</v>
      </c>
      <c r="M11411" t="s">
        <v>27251</v>
      </c>
      <c r="N11411" t="s">
        <v>27252</v>
      </c>
      <c r="P11411" t="s">
        <v>27341</v>
      </c>
      <c r="Q11411" s="1">
        <v>45250</v>
      </c>
      <c r="R11411" t="s">
        <v>27253</v>
      </c>
      <c r="S11411" t="s">
        <v>27254</v>
      </c>
      <c r="T11411" t="s">
        <v>27265</v>
      </c>
    </row>
    <row r="11412" spans="1:20" x14ac:dyDescent="0.3">
      <c r="A11412" t="str">
        <f>"0611864008050"</f>
        <v>0611864008050</v>
      </c>
      <c r="B11412" t="str">
        <f>"CR4869"</f>
        <v>CR4869</v>
      </c>
      <c r="C11412" t="s">
        <v>49313</v>
      </c>
      <c r="D11412" t="s">
        <v>27271</v>
      </c>
      <c r="E11412" t="str">
        <f t="shared" si="178"/>
        <v>001390</v>
      </c>
      <c r="F11412" t="s">
        <v>27246</v>
      </c>
      <c r="G11412" t="s">
        <v>27247</v>
      </c>
      <c r="H11412" t="s">
        <v>27248</v>
      </c>
      <c r="I11412" t="s">
        <v>49314</v>
      </c>
      <c r="J11412" t="s">
        <v>22838</v>
      </c>
      <c r="L11412" t="s">
        <v>27250</v>
      </c>
      <c r="M11412" t="s">
        <v>27251</v>
      </c>
      <c r="N11412" t="s">
        <v>27252</v>
      </c>
      <c r="P11412" t="s">
        <v>27341</v>
      </c>
      <c r="Q11412" s="1">
        <v>44846</v>
      </c>
      <c r="R11412" t="s">
        <v>27253</v>
      </c>
      <c r="S11412" t="s">
        <v>27254</v>
      </c>
      <c r="T11412" t="s">
        <v>27265</v>
      </c>
    </row>
    <row r="11413" spans="1:20" x14ac:dyDescent="0.3">
      <c r="A11413" t="str">
        <f>"0611864009050"</f>
        <v>0611864009050</v>
      </c>
      <c r="B11413" t="str">
        <f>"CR3156"</f>
        <v>CR3156</v>
      </c>
      <c r="C11413" t="s">
        <v>49315</v>
      </c>
      <c r="D11413" t="s">
        <v>27271</v>
      </c>
      <c r="E11413" t="str">
        <f t="shared" si="178"/>
        <v>001390</v>
      </c>
      <c r="F11413" t="s">
        <v>27246</v>
      </c>
      <c r="G11413" t="s">
        <v>27247</v>
      </c>
      <c r="H11413" t="s">
        <v>27248</v>
      </c>
      <c r="I11413" t="s">
        <v>49316</v>
      </c>
      <c r="J11413" t="s">
        <v>22840</v>
      </c>
      <c r="L11413" t="s">
        <v>27250</v>
      </c>
      <c r="M11413" t="s">
        <v>27251</v>
      </c>
      <c r="N11413" t="s">
        <v>27252</v>
      </c>
      <c r="P11413" t="s">
        <v>27341</v>
      </c>
      <c r="Q11413" s="1">
        <v>44846</v>
      </c>
      <c r="R11413" t="s">
        <v>27253</v>
      </c>
      <c r="S11413" t="s">
        <v>27254</v>
      </c>
      <c r="T11413" t="s">
        <v>27265</v>
      </c>
    </row>
    <row r="11414" spans="1:20" x14ac:dyDescent="0.3">
      <c r="A11414" t="str">
        <f>"0611884462050"</f>
        <v>0611884462050</v>
      </c>
      <c r="B11414" t="str">
        <f>"CR5373"</f>
        <v>CR5373</v>
      </c>
      <c r="C11414" t="s">
        <v>49317</v>
      </c>
      <c r="D11414" t="s">
        <v>27271</v>
      </c>
      <c r="E11414" t="str">
        <f t="shared" si="178"/>
        <v>001390</v>
      </c>
      <c r="F11414" t="s">
        <v>27246</v>
      </c>
      <c r="G11414" t="s">
        <v>27247</v>
      </c>
      <c r="H11414" t="s">
        <v>27248</v>
      </c>
      <c r="I11414" t="s">
        <v>49318</v>
      </c>
      <c r="J11414" t="s">
        <v>22842</v>
      </c>
      <c r="L11414" t="s">
        <v>27430</v>
      </c>
      <c r="M11414" t="s">
        <v>27251</v>
      </c>
      <c r="N11414" t="s">
        <v>27252</v>
      </c>
      <c r="P11414" t="s">
        <v>27341</v>
      </c>
      <c r="Q11414" s="1">
        <v>45250</v>
      </c>
      <c r="R11414" t="s">
        <v>27253</v>
      </c>
      <c r="S11414" t="s">
        <v>27254</v>
      </c>
      <c r="T11414" t="s">
        <v>27265</v>
      </c>
    </row>
    <row r="11415" spans="1:20" x14ac:dyDescent="0.3">
      <c r="A11415" t="str">
        <f>"0611839146100"</f>
        <v>0611839146100</v>
      </c>
      <c r="B11415" t="str">
        <f>"LQ0824"</f>
        <v>LQ0824</v>
      </c>
      <c r="C11415" t="s">
        <v>49319</v>
      </c>
      <c r="D11415" t="s">
        <v>27552</v>
      </c>
      <c r="E11415" t="str">
        <f t="shared" si="178"/>
        <v>001390</v>
      </c>
      <c r="F11415" t="s">
        <v>27246</v>
      </c>
      <c r="G11415" t="s">
        <v>27247</v>
      </c>
      <c r="H11415" t="s">
        <v>27248</v>
      </c>
      <c r="I11415" t="s">
        <v>49320</v>
      </c>
      <c r="J11415" t="s">
        <v>22844</v>
      </c>
      <c r="L11415" t="s">
        <v>27250</v>
      </c>
      <c r="M11415" t="s">
        <v>27251</v>
      </c>
      <c r="N11415" t="s">
        <v>27252</v>
      </c>
      <c r="P11415" t="s">
        <v>27341</v>
      </c>
      <c r="Q11415" s="1">
        <v>44538</v>
      </c>
      <c r="R11415" t="s">
        <v>27253</v>
      </c>
      <c r="S11415" t="s">
        <v>27254</v>
      </c>
      <c r="T11415" t="s">
        <v>27255</v>
      </c>
    </row>
    <row r="11416" spans="1:20" x14ac:dyDescent="0.3">
      <c r="A11416" t="str">
        <f>"0611864010050"</f>
        <v>0611864010050</v>
      </c>
      <c r="B11416" t="str">
        <f>"CR3570"</f>
        <v>CR3570</v>
      </c>
      <c r="C11416" t="s">
        <v>49319</v>
      </c>
      <c r="D11416" t="s">
        <v>27271</v>
      </c>
      <c r="E11416" t="str">
        <f t="shared" si="178"/>
        <v>001390</v>
      </c>
      <c r="F11416" t="s">
        <v>27246</v>
      </c>
      <c r="G11416" t="s">
        <v>27247</v>
      </c>
      <c r="H11416" t="s">
        <v>27248</v>
      </c>
      <c r="I11416" t="s">
        <v>49321</v>
      </c>
      <c r="J11416" t="s">
        <v>22846</v>
      </c>
      <c r="L11416" t="s">
        <v>27250</v>
      </c>
      <c r="M11416" t="s">
        <v>27251</v>
      </c>
      <c r="N11416" t="s">
        <v>27252</v>
      </c>
      <c r="P11416" t="s">
        <v>27341</v>
      </c>
      <c r="Q11416" s="1">
        <v>44846</v>
      </c>
      <c r="R11416" t="s">
        <v>27253</v>
      </c>
      <c r="S11416" t="s">
        <v>27254</v>
      </c>
      <c r="T11416" t="s">
        <v>27265</v>
      </c>
    </row>
    <row r="11417" spans="1:20" x14ac:dyDescent="0.3">
      <c r="A11417" t="str">
        <f>"0611839147100"</f>
        <v>0611839147100</v>
      </c>
      <c r="B11417" t="str">
        <f>"LQ0826"</f>
        <v>LQ0826</v>
      </c>
      <c r="C11417" t="s">
        <v>49322</v>
      </c>
      <c r="D11417" t="s">
        <v>27552</v>
      </c>
      <c r="E11417" t="str">
        <f t="shared" si="178"/>
        <v>001390</v>
      </c>
      <c r="F11417" t="s">
        <v>27246</v>
      </c>
      <c r="G11417" t="s">
        <v>27247</v>
      </c>
      <c r="H11417" t="s">
        <v>27248</v>
      </c>
      <c r="I11417" t="s">
        <v>49323</v>
      </c>
      <c r="J11417" t="s">
        <v>22848</v>
      </c>
      <c r="L11417" t="s">
        <v>27250</v>
      </c>
      <c r="M11417" t="s">
        <v>27251</v>
      </c>
      <c r="N11417" t="s">
        <v>27252</v>
      </c>
      <c r="P11417" t="s">
        <v>27341</v>
      </c>
      <c r="Q11417" s="1">
        <v>44538</v>
      </c>
      <c r="R11417" t="s">
        <v>27253</v>
      </c>
      <c r="S11417" t="s">
        <v>27254</v>
      </c>
      <c r="T11417" t="s">
        <v>27255</v>
      </c>
    </row>
    <row r="11418" spans="1:20" x14ac:dyDescent="0.3">
      <c r="A11418" t="str">
        <f>"0611864011050"</f>
        <v>0611864011050</v>
      </c>
      <c r="B11418" t="str">
        <f>"CR3571"</f>
        <v>CR3571</v>
      </c>
      <c r="C11418" t="s">
        <v>49322</v>
      </c>
      <c r="D11418" t="s">
        <v>27271</v>
      </c>
      <c r="E11418" t="str">
        <f t="shared" si="178"/>
        <v>001390</v>
      </c>
      <c r="F11418" t="s">
        <v>27246</v>
      </c>
      <c r="G11418" t="s">
        <v>27247</v>
      </c>
      <c r="H11418" t="s">
        <v>27248</v>
      </c>
      <c r="I11418" t="s">
        <v>49324</v>
      </c>
      <c r="J11418" t="s">
        <v>22850</v>
      </c>
      <c r="L11418" t="s">
        <v>27250</v>
      </c>
      <c r="M11418" t="s">
        <v>27251</v>
      </c>
      <c r="N11418" t="s">
        <v>27252</v>
      </c>
      <c r="P11418" t="s">
        <v>27341</v>
      </c>
      <c r="Q11418" s="1">
        <v>44846</v>
      </c>
      <c r="R11418" t="s">
        <v>27253</v>
      </c>
      <c r="S11418" t="s">
        <v>27254</v>
      </c>
      <c r="T11418" t="s">
        <v>27265</v>
      </c>
    </row>
    <row r="11419" spans="1:20" x14ac:dyDescent="0.3">
      <c r="A11419" t="str">
        <f>"0611839148100"</f>
        <v>0611839148100</v>
      </c>
      <c r="B11419" t="str">
        <f>"LQ3423"</f>
        <v>LQ3423</v>
      </c>
      <c r="C11419" t="s">
        <v>49325</v>
      </c>
      <c r="D11419" t="s">
        <v>27552</v>
      </c>
      <c r="E11419" t="str">
        <f t="shared" si="178"/>
        <v>001390</v>
      </c>
      <c r="F11419" t="s">
        <v>27246</v>
      </c>
      <c r="G11419" t="s">
        <v>27247</v>
      </c>
      <c r="H11419" t="s">
        <v>27248</v>
      </c>
      <c r="I11419" t="s">
        <v>49326</v>
      </c>
      <c r="J11419" t="s">
        <v>22852</v>
      </c>
      <c r="L11419" t="s">
        <v>27250</v>
      </c>
      <c r="M11419" t="s">
        <v>27251</v>
      </c>
      <c r="N11419" t="s">
        <v>27252</v>
      </c>
      <c r="P11419" t="s">
        <v>27341</v>
      </c>
      <c r="Q11419" s="1">
        <v>44538</v>
      </c>
      <c r="R11419" t="s">
        <v>27253</v>
      </c>
      <c r="S11419" t="s">
        <v>27254</v>
      </c>
      <c r="T11419" t="s">
        <v>27255</v>
      </c>
    </row>
    <row r="11420" spans="1:20" x14ac:dyDescent="0.3">
      <c r="A11420" t="str">
        <f>"0611864012050"</f>
        <v>0611864012050</v>
      </c>
      <c r="B11420" t="str">
        <f>"CR3572"</f>
        <v>CR3572</v>
      </c>
      <c r="C11420" t="s">
        <v>49325</v>
      </c>
      <c r="D11420" t="s">
        <v>27271</v>
      </c>
      <c r="E11420" t="str">
        <f t="shared" si="178"/>
        <v>001390</v>
      </c>
      <c r="F11420" t="s">
        <v>27246</v>
      </c>
      <c r="G11420" t="s">
        <v>27247</v>
      </c>
      <c r="H11420" t="s">
        <v>27248</v>
      </c>
      <c r="I11420" t="s">
        <v>49327</v>
      </c>
      <c r="J11420" t="s">
        <v>22854</v>
      </c>
      <c r="L11420" t="s">
        <v>27250</v>
      </c>
      <c r="M11420" t="s">
        <v>27251</v>
      </c>
      <c r="N11420" t="s">
        <v>27252</v>
      </c>
      <c r="P11420" t="s">
        <v>27341</v>
      </c>
      <c r="Q11420" s="1">
        <v>44846</v>
      </c>
      <c r="R11420" t="s">
        <v>27253</v>
      </c>
      <c r="S11420" t="s">
        <v>27254</v>
      </c>
      <c r="T11420" t="s">
        <v>27265</v>
      </c>
    </row>
    <row r="11421" spans="1:20" x14ac:dyDescent="0.3">
      <c r="A11421" t="str">
        <f>"0611839149100"</f>
        <v>0611839149100</v>
      </c>
      <c r="B11421" t="str">
        <f>"LQ3424"</f>
        <v>LQ3424</v>
      </c>
      <c r="C11421" t="s">
        <v>49328</v>
      </c>
      <c r="D11421" t="s">
        <v>27552</v>
      </c>
      <c r="E11421" t="str">
        <f t="shared" si="178"/>
        <v>001390</v>
      </c>
      <c r="F11421" t="s">
        <v>27246</v>
      </c>
      <c r="G11421" t="s">
        <v>27247</v>
      </c>
      <c r="H11421" t="s">
        <v>27248</v>
      </c>
      <c r="I11421" t="s">
        <v>49329</v>
      </c>
      <c r="J11421" t="s">
        <v>22856</v>
      </c>
      <c r="L11421" t="s">
        <v>27250</v>
      </c>
      <c r="M11421" t="s">
        <v>27251</v>
      </c>
      <c r="N11421" t="s">
        <v>27252</v>
      </c>
      <c r="P11421" t="s">
        <v>27341</v>
      </c>
      <c r="Q11421" s="1">
        <v>44538</v>
      </c>
      <c r="R11421" t="s">
        <v>27253</v>
      </c>
      <c r="S11421" t="s">
        <v>27254</v>
      </c>
      <c r="T11421" t="s">
        <v>27255</v>
      </c>
    </row>
    <row r="11422" spans="1:20" x14ac:dyDescent="0.3">
      <c r="A11422" t="str">
        <f>"0611839150100"</f>
        <v>0611839150100</v>
      </c>
      <c r="B11422" t="str">
        <f>"LQ0827"</f>
        <v>LQ0827</v>
      </c>
      <c r="C11422" t="s">
        <v>49330</v>
      </c>
      <c r="D11422" t="s">
        <v>27552</v>
      </c>
      <c r="E11422" t="str">
        <f t="shared" si="178"/>
        <v>001390</v>
      </c>
      <c r="F11422" t="s">
        <v>27246</v>
      </c>
      <c r="G11422" t="s">
        <v>27247</v>
      </c>
      <c r="H11422" t="s">
        <v>27248</v>
      </c>
      <c r="I11422" t="s">
        <v>49331</v>
      </c>
      <c r="J11422" t="s">
        <v>22858</v>
      </c>
      <c r="L11422" t="s">
        <v>27250</v>
      </c>
      <c r="M11422" t="s">
        <v>27251</v>
      </c>
      <c r="N11422" t="s">
        <v>27252</v>
      </c>
      <c r="P11422" t="s">
        <v>27341</v>
      </c>
      <c r="Q11422" s="1">
        <v>44538</v>
      </c>
      <c r="R11422" t="s">
        <v>27253</v>
      </c>
      <c r="S11422" t="s">
        <v>27254</v>
      </c>
      <c r="T11422" t="s">
        <v>27255</v>
      </c>
    </row>
    <row r="11423" spans="1:20" x14ac:dyDescent="0.3">
      <c r="A11423" t="str">
        <f>"0611864013050"</f>
        <v>0611864013050</v>
      </c>
      <c r="B11423" t="str">
        <f>"CR3573"</f>
        <v>CR3573</v>
      </c>
      <c r="C11423" t="s">
        <v>49330</v>
      </c>
      <c r="D11423" t="s">
        <v>27271</v>
      </c>
      <c r="E11423" t="str">
        <f t="shared" si="178"/>
        <v>001390</v>
      </c>
      <c r="F11423" t="s">
        <v>27246</v>
      </c>
      <c r="G11423" t="s">
        <v>27247</v>
      </c>
      <c r="H11423" t="s">
        <v>27248</v>
      </c>
      <c r="I11423" t="s">
        <v>49332</v>
      </c>
      <c r="J11423" t="s">
        <v>22860</v>
      </c>
      <c r="L11423" t="s">
        <v>27250</v>
      </c>
      <c r="M11423" t="s">
        <v>27251</v>
      </c>
      <c r="N11423" t="s">
        <v>27252</v>
      </c>
      <c r="P11423" t="s">
        <v>27341</v>
      </c>
      <c r="Q11423" s="1">
        <v>44846</v>
      </c>
      <c r="R11423" t="s">
        <v>27253</v>
      </c>
      <c r="S11423" t="s">
        <v>27254</v>
      </c>
      <c r="T11423" t="s">
        <v>27265</v>
      </c>
    </row>
    <row r="11424" spans="1:20" x14ac:dyDescent="0.3">
      <c r="A11424" t="str">
        <f>"0611839151100"</f>
        <v>0611839151100</v>
      </c>
      <c r="B11424" t="str">
        <f>"LQ0897"</f>
        <v>LQ0897</v>
      </c>
      <c r="C11424" t="s">
        <v>49333</v>
      </c>
      <c r="D11424" t="s">
        <v>27552</v>
      </c>
      <c r="E11424" t="str">
        <f t="shared" si="178"/>
        <v>001390</v>
      </c>
      <c r="F11424" t="s">
        <v>27246</v>
      </c>
      <c r="G11424" t="s">
        <v>27247</v>
      </c>
      <c r="H11424" t="s">
        <v>27248</v>
      </c>
      <c r="I11424" t="s">
        <v>49334</v>
      </c>
      <c r="J11424" t="s">
        <v>22862</v>
      </c>
      <c r="L11424" t="s">
        <v>27250</v>
      </c>
      <c r="M11424" t="s">
        <v>27251</v>
      </c>
      <c r="N11424" t="s">
        <v>27252</v>
      </c>
      <c r="P11424" t="s">
        <v>27341</v>
      </c>
      <c r="Q11424" s="1">
        <v>44538</v>
      </c>
      <c r="R11424" t="s">
        <v>27253</v>
      </c>
      <c r="S11424" t="s">
        <v>27254</v>
      </c>
      <c r="T11424" t="s">
        <v>27255</v>
      </c>
    </row>
    <row r="11425" spans="1:20" x14ac:dyDescent="0.3">
      <c r="A11425" t="str">
        <f>"0611864014050"</f>
        <v>0611864014050</v>
      </c>
      <c r="B11425" t="str">
        <f>"CR2541"</f>
        <v>CR2541</v>
      </c>
      <c r="C11425" t="s">
        <v>49333</v>
      </c>
      <c r="D11425" t="s">
        <v>27271</v>
      </c>
      <c r="E11425" t="str">
        <f t="shared" si="178"/>
        <v>001390</v>
      </c>
      <c r="F11425" t="s">
        <v>27246</v>
      </c>
      <c r="G11425" t="s">
        <v>27247</v>
      </c>
      <c r="H11425" t="s">
        <v>27248</v>
      </c>
      <c r="I11425" t="s">
        <v>49335</v>
      </c>
      <c r="J11425" t="s">
        <v>22864</v>
      </c>
      <c r="L11425" t="s">
        <v>27250</v>
      </c>
      <c r="M11425" t="s">
        <v>27251</v>
      </c>
      <c r="N11425" t="s">
        <v>27252</v>
      </c>
      <c r="P11425" t="s">
        <v>27341</v>
      </c>
      <c r="Q11425" s="1">
        <v>44846</v>
      </c>
      <c r="R11425" t="s">
        <v>27253</v>
      </c>
      <c r="S11425" t="s">
        <v>27254</v>
      </c>
      <c r="T11425" t="s">
        <v>27265</v>
      </c>
    </row>
    <row r="11426" spans="1:20" x14ac:dyDescent="0.3">
      <c r="A11426" t="str">
        <f>"0611864015050"</f>
        <v>0611864015050</v>
      </c>
      <c r="B11426" t="str">
        <f>"CR5237"</f>
        <v>CR5237</v>
      </c>
      <c r="C11426" t="s">
        <v>49336</v>
      </c>
      <c r="D11426" t="s">
        <v>27271</v>
      </c>
      <c r="E11426" t="str">
        <f t="shared" si="178"/>
        <v>001390</v>
      </c>
      <c r="F11426" t="s">
        <v>27246</v>
      </c>
      <c r="G11426" t="s">
        <v>27247</v>
      </c>
      <c r="H11426" t="s">
        <v>27248</v>
      </c>
      <c r="I11426" t="s">
        <v>49337</v>
      </c>
      <c r="J11426" t="s">
        <v>22866</v>
      </c>
      <c r="L11426" t="s">
        <v>27250</v>
      </c>
      <c r="M11426" t="s">
        <v>27251</v>
      </c>
      <c r="N11426" t="s">
        <v>27252</v>
      </c>
      <c r="P11426" t="s">
        <v>27341</v>
      </c>
      <c r="Q11426" s="1">
        <v>44846</v>
      </c>
      <c r="R11426" t="s">
        <v>27253</v>
      </c>
      <c r="S11426" t="s">
        <v>27254</v>
      </c>
      <c r="T11426" t="s">
        <v>27265</v>
      </c>
    </row>
    <row r="11427" spans="1:20" x14ac:dyDescent="0.3">
      <c r="A11427" t="str">
        <f>"0611864016050"</f>
        <v>0611864016050</v>
      </c>
      <c r="B11427" t="str">
        <f>"CR3406"</f>
        <v>CR3406</v>
      </c>
      <c r="C11427" t="s">
        <v>49338</v>
      </c>
      <c r="D11427" t="s">
        <v>27271</v>
      </c>
      <c r="E11427" t="str">
        <f t="shared" si="178"/>
        <v>001390</v>
      </c>
      <c r="F11427" t="s">
        <v>27246</v>
      </c>
      <c r="G11427" t="s">
        <v>27247</v>
      </c>
      <c r="H11427" t="s">
        <v>27248</v>
      </c>
      <c r="I11427" t="s">
        <v>49339</v>
      </c>
      <c r="J11427" t="s">
        <v>22868</v>
      </c>
      <c r="L11427" t="s">
        <v>27250</v>
      </c>
      <c r="M11427" t="s">
        <v>27251</v>
      </c>
      <c r="N11427" t="s">
        <v>27252</v>
      </c>
      <c r="P11427" t="s">
        <v>27341</v>
      </c>
      <c r="Q11427" s="1">
        <v>44846</v>
      </c>
      <c r="R11427" t="s">
        <v>27253</v>
      </c>
      <c r="S11427" t="s">
        <v>27254</v>
      </c>
      <c r="T11427" t="s">
        <v>27265</v>
      </c>
    </row>
    <row r="11428" spans="1:20" x14ac:dyDescent="0.3">
      <c r="A11428" t="str">
        <f>"0611864017050"</f>
        <v>0611864017050</v>
      </c>
      <c r="B11428" t="str">
        <f>"CR3272"</f>
        <v>CR3272</v>
      </c>
      <c r="C11428" t="s">
        <v>49340</v>
      </c>
      <c r="D11428" t="s">
        <v>27271</v>
      </c>
      <c r="E11428" t="str">
        <f t="shared" si="178"/>
        <v>001390</v>
      </c>
      <c r="F11428" t="s">
        <v>27246</v>
      </c>
      <c r="G11428" t="s">
        <v>27247</v>
      </c>
      <c r="H11428" t="s">
        <v>27248</v>
      </c>
      <c r="I11428" t="s">
        <v>49341</v>
      </c>
      <c r="J11428" t="s">
        <v>22870</v>
      </c>
      <c r="L11428" t="s">
        <v>27250</v>
      </c>
      <c r="M11428" t="s">
        <v>27251</v>
      </c>
      <c r="N11428" t="s">
        <v>27252</v>
      </c>
      <c r="P11428" t="s">
        <v>27341</v>
      </c>
      <c r="Q11428" s="1">
        <v>44846</v>
      </c>
      <c r="R11428" t="s">
        <v>27253</v>
      </c>
      <c r="S11428" t="s">
        <v>27254</v>
      </c>
      <c r="T11428" t="s">
        <v>27265</v>
      </c>
    </row>
    <row r="11429" spans="1:20" x14ac:dyDescent="0.3">
      <c r="A11429" t="str">
        <f>"0611839152100"</f>
        <v>0611839152100</v>
      </c>
      <c r="B11429" t="str">
        <f>"LQ3425"</f>
        <v>LQ3425</v>
      </c>
      <c r="C11429" t="s">
        <v>49342</v>
      </c>
      <c r="D11429" t="s">
        <v>27552</v>
      </c>
      <c r="E11429" t="str">
        <f t="shared" si="178"/>
        <v>001390</v>
      </c>
      <c r="F11429" t="s">
        <v>27246</v>
      </c>
      <c r="G11429" t="s">
        <v>27247</v>
      </c>
      <c r="H11429" t="s">
        <v>27248</v>
      </c>
      <c r="I11429" t="s">
        <v>49343</v>
      </c>
      <c r="J11429" t="s">
        <v>22872</v>
      </c>
      <c r="L11429" t="s">
        <v>27250</v>
      </c>
      <c r="M11429" t="s">
        <v>27251</v>
      </c>
      <c r="N11429" t="s">
        <v>27252</v>
      </c>
      <c r="P11429" t="s">
        <v>27341</v>
      </c>
      <c r="Q11429" s="1">
        <v>44538</v>
      </c>
      <c r="R11429" t="s">
        <v>27253</v>
      </c>
      <c r="S11429" t="s">
        <v>27254</v>
      </c>
      <c r="T11429" t="s">
        <v>27255</v>
      </c>
    </row>
    <row r="11430" spans="1:20" x14ac:dyDescent="0.3">
      <c r="A11430" t="str">
        <f>"0611839153100"</f>
        <v>0611839153100</v>
      </c>
      <c r="B11430" t="str">
        <f>"LK6771"</f>
        <v>LK6771</v>
      </c>
      <c r="C11430" t="s">
        <v>49344</v>
      </c>
      <c r="D11430" t="s">
        <v>27245</v>
      </c>
      <c r="E11430" t="str">
        <f t="shared" si="178"/>
        <v>001390</v>
      </c>
      <c r="F11430" t="s">
        <v>27246</v>
      </c>
      <c r="G11430" t="s">
        <v>27247</v>
      </c>
      <c r="H11430" t="s">
        <v>27248</v>
      </c>
      <c r="I11430" t="s">
        <v>49345</v>
      </c>
      <c r="J11430" t="s">
        <v>22874</v>
      </c>
      <c r="L11430" t="s">
        <v>27250</v>
      </c>
      <c r="M11430" t="s">
        <v>27251</v>
      </c>
      <c r="N11430" t="s">
        <v>27252</v>
      </c>
      <c r="Q11430" s="1">
        <v>44538</v>
      </c>
      <c r="R11430" t="s">
        <v>27253</v>
      </c>
      <c r="S11430" t="s">
        <v>27254</v>
      </c>
      <c r="T11430" t="s">
        <v>27255</v>
      </c>
    </row>
    <row r="11431" spans="1:20" x14ac:dyDescent="0.3">
      <c r="A11431" t="str">
        <f>"0611864018050"</f>
        <v>0611864018050</v>
      </c>
      <c r="B11431" t="str">
        <f>"CR2542"</f>
        <v>CR2542</v>
      </c>
      <c r="C11431" t="s">
        <v>49346</v>
      </c>
      <c r="D11431" t="s">
        <v>27263</v>
      </c>
      <c r="E11431" t="str">
        <f t="shared" si="178"/>
        <v>001390</v>
      </c>
      <c r="F11431" t="s">
        <v>27246</v>
      </c>
      <c r="G11431" t="s">
        <v>27247</v>
      </c>
      <c r="H11431" t="s">
        <v>27248</v>
      </c>
      <c r="I11431" t="s">
        <v>49347</v>
      </c>
      <c r="J11431" t="s">
        <v>22878</v>
      </c>
      <c r="L11431" t="s">
        <v>27250</v>
      </c>
      <c r="M11431" t="s">
        <v>27251</v>
      </c>
      <c r="N11431" t="s">
        <v>27252</v>
      </c>
      <c r="Q11431" s="1">
        <v>44846</v>
      </c>
      <c r="R11431" t="s">
        <v>27253</v>
      </c>
      <c r="S11431" t="s">
        <v>27254</v>
      </c>
      <c r="T11431" t="s">
        <v>27265</v>
      </c>
    </row>
    <row r="11432" spans="1:20" x14ac:dyDescent="0.3">
      <c r="A11432" t="str">
        <f>"0611864019050"</f>
        <v>0611864019050</v>
      </c>
      <c r="B11432" t="str">
        <f>"CE0798"</f>
        <v>CE0798</v>
      </c>
      <c r="C11432" t="s">
        <v>49348</v>
      </c>
      <c r="D11432" t="s">
        <v>27263</v>
      </c>
      <c r="E11432" t="str">
        <f t="shared" si="178"/>
        <v>001390</v>
      </c>
      <c r="F11432" t="s">
        <v>27246</v>
      </c>
      <c r="G11432" t="s">
        <v>27247</v>
      </c>
      <c r="H11432" t="s">
        <v>27248</v>
      </c>
      <c r="I11432" t="s">
        <v>49349</v>
      </c>
      <c r="J11432" t="s">
        <v>22882</v>
      </c>
      <c r="L11432" t="s">
        <v>27250</v>
      </c>
      <c r="M11432" t="s">
        <v>27251</v>
      </c>
      <c r="N11432" t="s">
        <v>27252</v>
      </c>
      <c r="Q11432" s="1">
        <v>44846</v>
      </c>
      <c r="R11432" t="s">
        <v>27253</v>
      </c>
      <c r="S11432" t="s">
        <v>27254</v>
      </c>
      <c r="T11432" t="s">
        <v>27265</v>
      </c>
    </row>
    <row r="11433" spans="1:20" x14ac:dyDescent="0.3">
      <c r="A11433" t="str">
        <f>"0611864020050"</f>
        <v>0611864020050</v>
      </c>
      <c r="B11433" t="str">
        <f>"CE0799"</f>
        <v>CE0799</v>
      </c>
      <c r="C11433" t="s">
        <v>49350</v>
      </c>
      <c r="D11433" t="s">
        <v>27263</v>
      </c>
      <c r="E11433" t="str">
        <f t="shared" si="178"/>
        <v>001390</v>
      </c>
      <c r="F11433" t="s">
        <v>27246</v>
      </c>
      <c r="G11433" t="s">
        <v>27247</v>
      </c>
      <c r="H11433" t="s">
        <v>27248</v>
      </c>
      <c r="I11433" t="s">
        <v>49351</v>
      </c>
      <c r="J11433" t="s">
        <v>22886</v>
      </c>
      <c r="L11433" t="s">
        <v>27250</v>
      </c>
      <c r="M11433" t="s">
        <v>27251</v>
      </c>
      <c r="N11433" t="s">
        <v>27252</v>
      </c>
      <c r="Q11433" s="1">
        <v>44846</v>
      </c>
      <c r="R11433" t="s">
        <v>27253</v>
      </c>
      <c r="S11433" t="s">
        <v>27254</v>
      </c>
      <c r="T11433" t="s">
        <v>27265</v>
      </c>
    </row>
    <row r="11434" spans="1:20" x14ac:dyDescent="0.3">
      <c r="A11434" t="str">
        <f>"0611864021050"</f>
        <v>0611864021050</v>
      </c>
      <c r="B11434" t="str">
        <f>"CR5238"</f>
        <v>CR5238</v>
      </c>
      <c r="C11434" t="s">
        <v>49352</v>
      </c>
      <c r="D11434" t="s">
        <v>27263</v>
      </c>
      <c r="E11434" t="str">
        <f t="shared" si="178"/>
        <v>001390</v>
      </c>
      <c r="F11434" t="s">
        <v>27246</v>
      </c>
      <c r="G11434" t="s">
        <v>27247</v>
      </c>
      <c r="H11434" t="s">
        <v>27248</v>
      </c>
      <c r="I11434" t="s">
        <v>49353</v>
      </c>
      <c r="J11434" t="s">
        <v>22890</v>
      </c>
      <c r="L11434" t="s">
        <v>27250</v>
      </c>
      <c r="M11434" t="s">
        <v>27251</v>
      </c>
      <c r="N11434" t="s">
        <v>27252</v>
      </c>
      <c r="Q11434" s="1">
        <v>44846</v>
      </c>
      <c r="R11434" t="s">
        <v>27253</v>
      </c>
      <c r="S11434" t="s">
        <v>27254</v>
      </c>
      <c r="T11434" t="s">
        <v>27265</v>
      </c>
    </row>
    <row r="11435" spans="1:20" x14ac:dyDescent="0.3">
      <c r="A11435" t="str">
        <f>"0611839154100"</f>
        <v>0611839154100</v>
      </c>
      <c r="B11435" t="str">
        <f>"LQ0303"</f>
        <v>LQ0303</v>
      </c>
      <c r="C11435" t="s">
        <v>49354</v>
      </c>
      <c r="D11435" t="s">
        <v>27245</v>
      </c>
      <c r="E11435" t="str">
        <f t="shared" si="178"/>
        <v>001390</v>
      </c>
      <c r="F11435" t="s">
        <v>27246</v>
      </c>
      <c r="G11435" t="s">
        <v>27247</v>
      </c>
      <c r="H11435" t="s">
        <v>27248</v>
      </c>
      <c r="I11435" t="s">
        <v>49355</v>
      </c>
      <c r="J11435" t="s">
        <v>22892</v>
      </c>
      <c r="L11435" t="s">
        <v>27250</v>
      </c>
      <c r="M11435" t="s">
        <v>27251</v>
      </c>
      <c r="N11435" t="s">
        <v>27252</v>
      </c>
      <c r="Q11435" s="1">
        <v>44538</v>
      </c>
      <c r="R11435" t="s">
        <v>27253</v>
      </c>
      <c r="S11435" t="s">
        <v>27254</v>
      </c>
      <c r="T11435" t="s">
        <v>27255</v>
      </c>
    </row>
    <row r="11436" spans="1:20" x14ac:dyDescent="0.3">
      <c r="A11436" t="str">
        <f>"0611864022050"</f>
        <v>0611864022050</v>
      </c>
      <c r="B11436" t="str">
        <f>"CR3049"</f>
        <v>CR3049</v>
      </c>
      <c r="C11436" t="s">
        <v>49354</v>
      </c>
      <c r="D11436" t="s">
        <v>27263</v>
      </c>
      <c r="E11436" t="str">
        <f t="shared" si="178"/>
        <v>001390</v>
      </c>
      <c r="F11436" t="s">
        <v>27246</v>
      </c>
      <c r="G11436" t="s">
        <v>27247</v>
      </c>
      <c r="H11436" t="s">
        <v>27248</v>
      </c>
      <c r="I11436" t="s">
        <v>49356</v>
      </c>
      <c r="J11436" t="s">
        <v>22894</v>
      </c>
      <c r="L11436" t="s">
        <v>27250</v>
      </c>
      <c r="M11436" t="s">
        <v>27251</v>
      </c>
      <c r="N11436" t="s">
        <v>27252</v>
      </c>
      <c r="Q11436" s="1">
        <v>44846</v>
      </c>
      <c r="R11436" t="s">
        <v>27253</v>
      </c>
      <c r="S11436" t="s">
        <v>27254</v>
      </c>
      <c r="T11436" t="s">
        <v>27265</v>
      </c>
    </row>
    <row r="11437" spans="1:20" x14ac:dyDescent="0.3">
      <c r="A11437" t="str">
        <f>"0611839155100"</f>
        <v>0611839155100</v>
      </c>
      <c r="B11437" t="str">
        <f>"LQ3197"</f>
        <v>LQ3197</v>
      </c>
      <c r="C11437" t="s">
        <v>49357</v>
      </c>
      <c r="D11437" t="s">
        <v>27245</v>
      </c>
      <c r="E11437" t="str">
        <f t="shared" si="178"/>
        <v>001390</v>
      </c>
      <c r="F11437" t="s">
        <v>27246</v>
      </c>
      <c r="G11437" t="s">
        <v>27247</v>
      </c>
      <c r="H11437" t="s">
        <v>27248</v>
      </c>
      <c r="I11437" t="s">
        <v>49358</v>
      </c>
      <c r="J11437" t="s">
        <v>22876</v>
      </c>
      <c r="L11437" t="s">
        <v>27250</v>
      </c>
      <c r="M11437" t="s">
        <v>27251</v>
      </c>
      <c r="N11437" t="s">
        <v>27252</v>
      </c>
      <c r="Q11437" s="1">
        <v>44538</v>
      </c>
      <c r="R11437" t="s">
        <v>27253</v>
      </c>
      <c r="S11437" t="s">
        <v>27254</v>
      </c>
      <c r="T11437" t="s">
        <v>27255</v>
      </c>
    </row>
    <row r="11438" spans="1:20" x14ac:dyDescent="0.3">
      <c r="A11438" t="str">
        <f>"0611839156100"</f>
        <v>0611839156100</v>
      </c>
      <c r="B11438" t="str">
        <f>"LQ3198"</f>
        <v>LQ3198</v>
      </c>
      <c r="C11438" t="s">
        <v>49359</v>
      </c>
      <c r="D11438" t="s">
        <v>27245</v>
      </c>
      <c r="E11438" t="str">
        <f t="shared" si="178"/>
        <v>001390</v>
      </c>
      <c r="F11438" t="s">
        <v>27246</v>
      </c>
      <c r="G11438" t="s">
        <v>27247</v>
      </c>
      <c r="H11438" t="s">
        <v>27248</v>
      </c>
      <c r="I11438" t="s">
        <v>49360</v>
      </c>
      <c r="J11438" t="s">
        <v>22880</v>
      </c>
      <c r="L11438" t="s">
        <v>27250</v>
      </c>
      <c r="M11438" t="s">
        <v>27251</v>
      </c>
      <c r="N11438" t="s">
        <v>27252</v>
      </c>
      <c r="Q11438" s="1">
        <v>44538</v>
      </c>
      <c r="R11438" t="s">
        <v>27253</v>
      </c>
      <c r="S11438" t="s">
        <v>27254</v>
      </c>
      <c r="T11438" t="s">
        <v>27255</v>
      </c>
    </row>
    <row r="11439" spans="1:20" x14ac:dyDescent="0.3">
      <c r="A11439" t="str">
        <f>"0611839157100"</f>
        <v>0611839157100</v>
      </c>
      <c r="B11439" t="str">
        <f>"LQ3199"</f>
        <v>LQ3199</v>
      </c>
      <c r="C11439" t="s">
        <v>49361</v>
      </c>
      <c r="D11439" t="s">
        <v>27245</v>
      </c>
      <c r="E11439" t="str">
        <f t="shared" si="178"/>
        <v>001390</v>
      </c>
      <c r="F11439" t="s">
        <v>27246</v>
      </c>
      <c r="G11439" t="s">
        <v>27247</v>
      </c>
      <c r="H11439" t="s">
        <v>27248</v>
      </c>
      <c r="I11439" t="s">
        <v>49362</v>
      </c>
      <c r="J11439" t="s">
        <v>22884</v>
      </c>
      <c r="L11439" t="s">
        <v>27250</v>
      </c>
      <c r="M11439" t="s">
        <v>27251</v>
      </c>
      <c r="N11439" t="s">
        <v>27252</v>
      </c>
      <c r="Q11439" s="1">
        <v>44538</v>
      </c>
      <c r="R11439" t="s">
        <v>27253</v>
      </c>
      <c r="S11439" t="s">
        <v>27254</v>
      </c>
      <c r="T11439" t="s">
        <v>27255</v>
      </c>
    </row>
    <row r="11440" spans="1:20" x14ac:dyDescent="0.3">
      <c r="A11440" t="str">
        <f>"0611857102100"</f>
        <v>0611857102100</v>
      </c>
      <c r="B11440" t="str">
        <f>"LQ3899"</f>
        <v>LQ3899</v>
      </c>
      <c r="C11440" t="s">
        <v>49363</v>
      </c>
      <c r="D11440" t="s">
        <v>27245</v>
      </c>
      <c r="E11440" t="str">
        <f t="shared" si="178"/>
        <v>001390</v>
      </c>
      <c r="F11440" t="s">
        <v>27246</v>
      </c>
      <c r="G11440" t="s">
        <v>27247</v>
      </c>
      <c r="H11440" t="s">
        <v>27248</v>
      </c>
      <c r="I11440" t="s">
        <v>49364</v>
      </c>
      <c r="J11440" t="s">
        <v>22888</v>
      </c>
      <c r="L11440" t="s">
        <v>27250</v>
      </c>
      <c r="M11440" t="s">
        <v>27251</v>
      </c>
      <c r="N11440" t="s">
        <v>27252</v>
      </c>
      <c r="Q11440" s="1">
        <v>44812</v>
      </c>
      <c r="R11440" t="s">
        <v>27253</v>
      </c>
      <c r="S11440" t="s">
        <v>27254</v>
      </c>
      <c r="T11440" t="s">
        <v>27255</v>
      </c>
    </row>
    <row r="11441" spans="1:20" x14ac:dyDescent="0.3">
      <c r="A11441" t="str">
        <f>"0611839158100"</f>
        <v>0611839158100</v>
      </c>
      <c r="B11441" t="str">
        <f>"LQ6119"</f>
        <v>LQ6119</v>
      </c>
      <c r="C11441" t="s">
        <v>49365</v>
      </c>
      <c r="D11441" t="s">
        <v>27245</v>
      </c>
      <c r="E11441" t="str">
        <f t="shared" si="178"/>
        <v>001390</v>
      </c>
      <c r="F11441" t="s">
        <v>27246</v>
      </c>
      <c r="G11441" t="s">
        <v>27247</v>
      </c>
      <c r="H11441" t="s">
        <v>27248</v>
      </c>
      <c r="I11441" t="s">
        <v>49366</v>
      </c>
      <c r="J11441" t="s">
        <v>22896</v>
      </c>
      <c r="L11441" t="s">
        <v>27250</v>
      </c>
      <c r="M11441" t="s">
        <v>27251</v>
      </c>
      <c r="N11441" t="s">
        <v>27252</v>
      </c>
      <c r="Q11441" s="1">
        <v>44538</v>
      </c>
      <c r="R11441" t="s">
        <v>27253</v>
      </c>
      <c r="S11441" t="s">
        <v>27254</v>
      </c>
      <c r="T11441" t="s">
        <v>27255</v>
      </c>
    </row>
    <row r="11442" spans="1:20" x14ac:dyDescent="0.3">
      <c r="A11442" t="str">
        <f>"0611857103100"</f>
        <v>0611857103100</v>
      </c>
      <c r="B11442" t="str">
        <f>"LQ6254"</f>
        <v>LQ6254</v>
      </c>
      <c r="C11442" t="s">
        <v>49367</v>
      </c>
      <c r="D11442" t="s">
        <v>27245</v>
      </c>
      <c r="E11442" t="str">
        <f t="shared" si="178"/>
        <v>001390</v>
      </c>
      <c r="F11442" t="s">
        <v>27246</v>
      </c>
      <c r="G11442" t="s">
        <v>27247</v>
      </c>
      <c r="H11442" t="s">
        <v>27248</v>
      </c>
      <c r="I11442" t="s">
        <v>49368</v>
      </c>
      <c r="J11442" t="s">
        <v>22898</v>
      </c>
      <c r="L11442" t="s">
        <v>27250</v>
      </c>
      <c r="M11442" t="s">
        <v>27251</v>
      </c>
      <c r="N11442" t="s">
        <v>27252</v>
      </c>
      <c r="Q11442" s="1">
        <v>44812</v>
      </c>
      <c r="R11442" t="s">
        <v>27253</v>
      </c>
      <c r="S11442" t="s">
        <v>27254</v>
      </c>
      <c r="T11442" t="s">
        <v>27255</v>
      </c>
    </row>
    <row r="11443" spans="1:20" x14ac:dyDescent="0.3">
      <c r="A11443" t="str">
        <f>"0611839159100"</f>
        <v>0611839159100</v>
      </c>
      <c r="B11443" t="str">
        <f>"LQ6121"</f>
        <v>LQ6121</v>
      </c>
      <c r="C11443" t="s">
        <v>49369</v>
      </c>
      <c r="D11443" t="s">
        <v>27245</v>
      </c>
      <c r="E11443" t="str">
        <f t="shared" si="178"/>
        <v>001390</v>
      </c>
      <c r="F11443" t="s">
        <v>27246</v>
      </c>
      <c r="G11443" t="s">
        <v>27247</v>
      </c>
      <c r="H11443" t="s">
        <v>27248</v>
      </c>
      <c r="I11443" t="s">
        <v>49370</v>
      </c>
      <c r="J11443" t="s">
        <v>22900</v>
      </c>
      <c r="L11443" t="s">
        <v>27250</v>
      </c>
      <c r="M11443" t="s">
        <v>27251</v>
      </c>
      <c r="N11443" t="s">
        <v>27252</v>
      </c>
      <c r="Q11443" s="1">
        <v>44538</v>
      </c>
      <c r="R11443" t="s">
        <v>27253</v>
      </c>
      <c r="S11443" t="s">
        <v>27254</v>
      </c>
      <c r="T11443" t="s">
        <v>27255</v>
      </c>
    </row>
    <row r="11444" spans="1:20" x14ac:dyDescent="0.3">
      <c r="A11444" t="str">
        <f>"0611839161100"</f>
        <v>0611839161100</v>
      </c>
      <c r="B11444" t="str">
        <f>"LQ5253"</f>
        <v>LQ5253</v>
      </c>
      <c r="C11444" t="s">
        <v>49371</v>
      </c>
      <c r="D11444" t="s">
        <v>27245</v>
      </c>
      <c r="E11444" t="str">
        <f t="shared" si="178"/>
        <v>001390</v>
      </c>
      <c r="F11444" t="s">
        <v>27246</v>
      </c>
      <c r="G11444" t="s">
        <v>27247</v>
      </c>
      <c r="H11444" t="s">
        <v>27248</v>
      </c>
      <c r="I11444" t="s">
        <v>49372</v>
      </c>
      <c r="J11444" t="s">
        <v>22902</v>
      </c>
      <c r="L11444" t="s">
        <v>27250</v>
      </c>
      <c r="M11444" t="s">
        <v>27251</v>
      </c>
      <c r="N11444" t="s">
        <v>27252</v>
      </c>
      <c r="Q11444" s="1">
        <v>44538</v>
      </c>
      <c r="R11444" t="s">
        <v>27253</v>
      </c>
      <c r="S11444" t="s">
        <v>27254</v>
      </c>
      <c r="T11444" t="s">
        <v>27255</v>
      </c>
    </row>
    <row r="11445" spans="1:20" x14ac:dyDescent="0.3">
      <c r="A11445" t="str">
        <f>"0611839162100"</f>
        <v>0611839162100</v>
      </c>
      <c r="B11445" t="str">
        <f>"LF1003"</f>
        <v>LF1003</v>
      </c>
      <c r="C11445" t="s">
        <v>49373</v>
      </c>
      <c r="D11445" t="s">
        <v>27245</v>
      </c>
      <c r="E11445" t="str">
        <f t="shared" si="178"/>
        <v>001390</v>
      </c>
      <c r="F11445" t="s">
        <v>27246</v>
      </c>
      <c r="G11445" t="s">
        <v>27247</v>
      </c>
      <c r="H11445" t="s">
        <v>27248</v>
      </c>
      <c r="I11445" t="s">
        <v>49374</v>
      </c>
      <c r="J11445" t="s">
        <v>22904</v>
      </c>
      <c r="L11445" t="s">
        <v>27250</v>
      </c>
      <c r="M11445" t="s">
        <v>27251</v>
      </c>
      <c r="N11445" t="s">
        <v>27252</v>
      </c>
      <c r="Q11445" s="1">
        <v>44538</v>
      </c>
      <c r="R11445" t="s">
        <v>27253</v>
      </c>
      <c r="S11445" t="s">
        <v>27254</v>
      </c>
      <c r="T11445" t="s">
        <v>27255</v>
      </c>
    </row>
    <row r="11446" spans="1:20" x14ac:dyDescent="0.3">
      <c r="A11446" t="str">
        <f>"0611839163100"</f>
        <v>0611839163100</v>
      </c>
      <c r="B11446" t="str">
        <f>"LF1000"</f>
        <v>LF1000</v>
      </c>
      <c r="C11446" t="s">
        <v>49375</v>
      </c>
      <c r="D11446" t="s">
        <v>27245</v>
      </c>
      <c r="E11446" t="str">
        <f t="shared" si="178"/>
        <v>001390</v>
      </c>
      <c r="F11446" t="s">
        <v>27246</v>
      </c>
      <c r="G11446" t="s">
        <v>27247</v>
      </c>
      <c r="H11446" t="s">
        <v>27248</v>
      </c>
      <c r="I11446" t="s">
        <v>49376</v>
      </c>
      <c r="J11446" t="s">
        <v>22906</v>
      </c>
      <c r="L11446" t="s">
        <v>27250</v>
      </c>
      <c r="M11446" t="s">
        <v>27251</v>
      </c>
      <c r="N11446" t="s">
        <v>27252</v>
      </c>
      <c r="Q11446" s="1">
        <v>44538</v>
      </c>
      <c r="R11446" t="s">
        <v>27253</v>
      </c>
      <c r="S11446" t="s">
        <v>27254</v>
      </c>
      <c r="T11446" t="s">
        <v>27255</v>
      </c>
    </row>
    <row r="11447" spans="1:20" x14ac:dyDescent="0.3">
      <c r="A11447" t="str">
        <f>"0611839164100"</f>
        <v>0611839164100</v>
      </c>
      <c r="B11447" t="str">
        <f>"LF1001"</f>
        <v>LF1001</v>
      </c>
      <c r="C11447" t="s">
        <v>49377</v>
      </c>
      <c r="D11447" t="s">
        <v>27245</v>
      </c>
      <c r="E11447" t="str">
        <f t="shared" si="178"/>
        <v>001390</v>
      </c>
      <c r="F11447" t="s">
        <v>27246</v>
      </c>
      <c r="G11447" t="s">
        <v>27247</v>
      </c>
      <c r="H11447" t="s">
        <v>27248</v>
      </c>
      <c r="I11447" t="s">
        <v>49378</v>
      </c>
      <c r="J11447" t="s">
        <v>22908</v>
      </c>
      <c r="L11447" t="s">
        <v>27250</v>
      </c>
      <c r="M11447" t="s">
        <v>27251</v>
      </c>
      <c r="N11447" t="s">
        <v>27252</v>
      </c>
      <c r="Q11447" s="1">
        <v>44538</v>
      </c>
      <c r="R11447" t="s">
        <v>27253</v>
      </c>
      <c r="S11447" t="s">
        <v>27254</v>
      </c>
      <c r="T11447" t="s">
        <v>27255</v>
      </c>
    </row>
    <row r="11448" spans="1:20" x14ac:dyDescent="0.3">
      <c r="A11448" t="str">
        <f>"0611839165100"</f>
        <v>0611839165100</v>
      </c>
      <c r="B11448" t="str">
        <f>"LK5138"</f>
        <v>LK5138</v>
      </c>
      <c r="C11448" t="s">
        <v>49379</v>
      </c>
      <c r="D11448" t="s">
        <v>27245</v>
      </c>
      <c r="E11448" t="str">
        <f t="shared" si="178"/>
        <v>001390</v>
      </c>
      <c r="F11448" t="s">
        <v>27246</v>
      </c>
      <c r="G11448" t="s">
        <v>27247</v>
      </c>
      <c r="H11448" t="s">
        <v>27248</v>
      </c>
      <c r="I11448" t="s">
        <v>49380</v>
      </c>
      <c r="J11448" t="s">
        <v>22910</v>
      </c>
      <c r="L11448" t="s">
        <v>27250</v>
      </c>
      <c r="M11448" t="s">
        <v>27251</v>
      </c>
      <c r="N11448" t="s">
        <v>27252</v>
      </c>
      <c r="Q11448" s="1">
        <v>44538</v>
      </c>
      <c r="R11448" t="s">
        <v>27253</v>
      </c>
      <c r="S11448" t="s">
        <v>27254</v>
      </c>
      <c r="T11448" t="s">
        <v>27255</v>
      </c>
    </row>
    <row r="11449" spans="1:20" x14ac:dyDescent="0.3">
      <c r="A11449" t="str">
        <f>"0611839166025"</f>
        <v>0611839166025</v>
      </c>
      <c r="B11449" t="str">
        <f>"MC3189"</f>
        <v>MC3189</v>
      </c>
      <c r="C11449" t="s">
        <v>49381</v>
      </c>
      <c r="D11449" t="s">
        <v>27267</v>
      </c>
      <c r="E11449" t="str">
        <f t="shared" si="178"/>
        <v>001390</v>
      </c>
      <c r="F11449" t="s">
        <v>27246</v>
      </c>
      <c r="G11449" t="s">
        <v>27247</v>
      </c>
      <c r="H11449" t="s">
        <v>27248</v>
      </c>
      <c r="I11449" t="s">
        <v>49382</v>
      </c>
      <c r="J11449" t="s">
        <v>22914</v>
      </c>
      <c r="L11449" t="s">
        <v>27250</v>
      </c>
      <c r="M11449" t="s">
        <v>27251</v>
      </c>
      <c r="N11449" t="s">
        <v>27252</v>
      </c>
      <c r="O11449">
        <v>25</v>
      </c>
      <c r="Q11449" s="1">
        <v>44538</v>
      </c>
      <c r="R11449" t="s">
        <v>27253</v>
      </c>
      <c r="S11449" t="s">
        <v>27254</v>
      </c>
      <c r="T11449" t="s">
        <v>27269</v>
      </c>
    </row>
    <row r="11450" spans="1:20" x14ac:dyDescent="0.3">
      <c r="A11450" t="str">
        <f>"0611839167100"</f>
        <v>0611839167100</v>
      </c>
      <c r="B11450" t="str">
        <f>"LB8499"</f>
        <v>LB8499</v>
      </c>
      <c r="C11450" t="s">
        <v>49383</v>
      </c>
      <c r="D11450" t="s">
        <v>27245</v>
      </c>
      <c r="E11450" t="str">
        <f t="shared" si="178"/>
        <v>001390</v>
      </c>
      <c r="F11450" t="s">
        <v>27246</v>
      </c>
      <c r="G11450" t="s">
        <v>27247</v>
      </c>
      <c r="H11450" t="s">
        <v>27248</v>
      </c>
      <c r="I11450" t="s">
        <v>49384</v>
      </c>
      <c r="J11450" t="s">
        <v>22912</v>
      </c>
      <c r="L11450" t="s">
        <v>27250</v>
      </c>
      <c r="M11450" t="s">
        <v>27251</v>
      </c>
      <c r="N11450" t="s">
        <v>27252</v>
      </c>
      <c r="Q11450" s="1">
        <v>44538</v>
      </c>
      <c r="R11450" t="s">
        <v>27253</v>
      </c>
      <c r="S11450" t="s">
        <v>27254</v>
      </c>
      <c r="T11450" t="s">
        <v>27255</v>
      </c>
    </row>
    <row r="11451" spans="1:20" x14ac:dyDescent="0.3">
      <c r="A11451" t="str">
        <f>"0611839168025"</f>
        <v>0611839168025</v>
      </c>
      <c r="B11451" t="str">
        <f>"MC1186"</f>
        <v>MC1186</v>
      </c>
      <c r="C11451" t="s">
        <v>49385</v>
      </c>
      <c r="D11451" t="s">
        <v>27267</v>
      </c>
      <c r="E11451" t="str">
        <f t="shared" si="178"/>
        <v>001390</v>
      </c>
      <c r="F11451" t="s">
        <v>27246</v>
      </c>
      <c r="G11451" t="s">
        <v>27247</v>
      </c>
      <c r="H11451" t="s">
        <v>27248</v>
      </c>
      <c r="I11451" t="s">
        <v>49386</v>
      </c>
      <c r="J11451" t="s">
        <v>22916</v>
      </c>
      <c r="L11451" t="s">
        <v>27250</v>
      </c>
      <c r="M11451" t="s">
        <v>27251</v>
      </c>
      <c r="N11451" t="s">
        <v>27252</v>
      </c>
      <c r="Q11451" s="1">
        <v>44538</v>
      </c>
      <c r="R11451" t="s">
        <v>27253</v>
      </c>
      <c r="S11451" t="s">
        <v>27254</v>
      </c>
      <c r="T11451" t="s">
        <v>27269</v>
      </c>
    </row>
    <row r="11452" spans="1:20" x14ac:dyDescent="0.3">
      <c r="A11452" t="str">
        <f>"0611864023050"</f>
        <v>0611864023050</v>
      </c>
      <c r="B11452" t="str">
        <f>"CR4665"</f>
        <v>CR4665</v>
      </c>
      <c r="C11452" t="s">
        <v>49387</v>
      </c>
      <c r="D11452" t="s">
        <v>27263</v>
      </c>
      <c r="E11452" t="str">
        <f t="shared" si="178"/>
        <v>001390</v>
      </c>
      <c r="F11452" t="s">
        <v>27246</v>
      </c>
      <c r="G11452" t="s">
        <v>27247</v>
      </c>
      <c r="H11452" t="s">
        <v>27248</v>
      </c>
      <c r="I11452" t="s">
        <v>49388</v>
      </c>
      <c r="J11452" t="s">
        <v>22918</v>
      </c>
      <c r="L11452" t="s">
        <v>27250</v>
      </c>
      <c r="M11452" t="s">
        <v>27251</v>
      </c>
      <c r="N11452" t="s">
        <v>27252</v>
      </c>
      <c r="Q11452" s="1">
        <v>44846</v>
      </c>
      <c r="R11452" t="s">
        <v>27253</v>
      </c>
      <c r="S11452" t="s">
        <v>27254</v>
      </c>
      <c r="T11452" t="s">
        <v>27265</v>
      </c>
    </row>
    <row r="11453" spans="1:20" x14ac:dyDescent="0.3">
      <c r="A11453" t="str">
        <f>"0611864024050"</f>
        <v>0611864024050</v>
      </c>
      <c r="B11453" t="str">
        <f>"CR4743"</f>
        <v>CR4743</v>
      </c>
      <c r="C11453" t="s">
        <v>49389</v>
      </c>
      <c r="D11453" t="s">
        <v>27263</v>
      </c>
      <c r="E11453" t="str">
        <f t="shared" si="178"/>
        <v>001390</v>
      </c>
      <c r="F11453" t="s">
        <v>27246</v>
      </c>
      <c r="G11453" t="s">
        <v>27247</v>
      </c>
      <c r="H11453" t="s">
        <v>27248</v>
      </c>
      <c r="I11453" t="s">
        <v>49390</v>
      </c>
      <c r="J11453" t="s">
        <v>22920</v>
      </c>
      <c r="L11453" t="s">
        <v>27250</v>
      </c>
      <c r="M11453" t="s">
        <v>27251</v>
      </c>
      <c r="N11453" t="s">
        <v>27252</v>
      </c>
      <c r="Q11453" s="1">
        <v>44846</v>
      </c>
      <c r="R11453" t="s">
        <v>27253</v>
      </c>
      <c r="S11453" t="s">
        <v>27254</v>
      </c>
      <c r="T11453" t="s">
        <v>27265</v>
      </c>
    </row>
    <row r="11454" spans="1:20" x14ac:dyDescent="0.3">
      <c r="A11454" t="str">
        <f>"0611839169025"</f>
        <v>0611839169025</v>
      </c>
      <c r="B11454" t="str">
        <f>"MC2872"</f>
        <v>MC2872</v>
      </c>
      <c r="C11454" t="s">
        <v>49391</v>
      </c>
      <c r="D11454" t="s">
        <v>27267</v>
      </c>
      <c r="E11454" t="str">
        <f t="shared" si="178"/>
        <v>001390</v>
      </c>
      <c r="F11454" t="s">
        <v>27246</v>
      </c>
      <c r="G11454" t="s">
        <v>27247</v>
      </c>
      <c r="H11454" t="s">
        <v>27248</v>
      </c>
      <c r="I11454" t="s">
        <v>49392</v>
      </c>
      <c r="J11454" t="s">
        <v>22922</v>
      </c>
      <c r="L11454" t="s">
        <v>27250</v>
      </c>
      <c r="M11454" t="s">
        <v>27251</v>
      </c>
      <c r="N11454" t="s">
        <v>27252</v>
      </c>
      <c r="Q11454" s="1">
        <v>44538</v>
      </c>
      <c r="R11454" t="s">
        <v>27253</v>
      </c>
      <c r="S11454" t="s">
        <v>27254</v>
      </c>
      <c r="T11454" t="s">
        <v>27269</v>
      </c>
    </row>
    <row r="11455" spans="1:20" x14ac:dyDescent="0.3">
      <c r="A11455" t="str">
        <f>"0611864025100"</f>
        <v>0611864025100</v>
      </c>
      <c r="B11455" t="str">
        <f>"CN2242"</f>
        <v>CN2242</v>
      </c>
      <c r="C11455" t="s">
        <v>49393</v>
      </c>
      <c r="D11455" t="s">
        <v>27335</v>
      </c>
      <c r="E11455" t="str">
        <f t="shared" si="178"/>
        <v>001390</v>
      </c>
      <c r="F11455" t="s">
        <v>27246</v>
      </c>
      <c r="G11455" t="s">
        <v>27247</v>
      </c>
      <c r="H11455" t="s">
        <v>27248</v>
      </c>
      <c r="I11455" t="s">
        <v>49394</v>
      </c>
      <c r="J11455" t="s">
        <v>22924</v>
      </c>
      <c r="L11455" t="s">
        <v>27250</v>
      </c>
      <c r="M11455" t="s">
        <v>27251</v>
      </c>
      <c r="N11455" t="s">
        <v>27252</v>
      </c>
      <c r="Q11455" s="1">
        <v>44846</v>
      </c>
      <c r="R11455" t="s">
        <v>27253</v>
      </c>
      <c r="S11455" t="s">
        <v>27254</v>
      </c>
      <c r="T11455" t="s">
        <v>27255</v>
      </c>
    </row>
    <row r="11456" spans="1:20" x14ac:dyDescent="0.3">
      <c r="A11456" t="str">
        <f>"0611839170025"</f>
        <v>0611839170025</v>
      </c>
      <c r="B11456" t="str">
        <f>"MC1371"</f>
        <v>MC1371</v>
      </c>
      <c r="C11456" t="s">
        <v>49395</v>
      </c>
      <c r="D11456" t="s">
        <v>27267</v>
      </c>
      <c r="E11456" t="str">
        <f t="shared" si="178"/>
        <v>001390</v>
      </c>
      <c r="F11456" t="s">
        <v>27246</v>
      </c>
      <c r="G11456" t="s">
        <v>27247</v>
      </c>
      <c r="H11456" t="s">
        <v>27248</v>
      </c>
      <c r="I11456" t="s">
        <v>49396</v>
      </c>
      <c r="J11456" t="s">
        <v>22926</v>
      </c>
      <c r="L11456" t="s">
        <v>27250</v>
      </c>
      <c r="M11456" t="s">
        <v>27251</v>
      </c>
      <c r="N11456" t="s">
        <v>27252</v>
      </c>
      <c r="Q11456" s="1">
        <v>44538</v>
      </c>
      <c r="R11456" t="s">
        <v>27253</v>
      </c>
      <c r="S11456" t="s">
        <v>27254</v>
      </c>
      <c r="T11456" t="s">
        <v>27269</v>
      </c>
    </row>
    <row r="11457" spans="1:20" x14ac:dyDescent="0.3">
      <c r="A11457" t="str">
        <f>"0611864026100"</f>
        <v>0611864026100</v>
      </c>
      <c r="B11457" t="str">
        <f>"CN2243"</f>
        <v>CN2243</v>
      </c>
      <c r="C11457" t="s">
        <v>49397</v>
      </c>
      <c r="D11457" t="s">
        <v>27335</v>
      </c>
      <c r="E11457" t="str">
        <f t="shared" si="178"/>
        <v>001390</v>
      </c>
      <c r="F11457" t="s">
        <v>27246</v>
      </c>
      <c r="G11457" t="s">
        <v>27247</v>
      </c>
      <c r="H11457" t="s">
        <v>27248</v>
      </c>
      <c r="I11457" t="s">
        <v>49398</v>
      </c>
      <c r="J11457" t="s">
        <v>22928</v>
      </c>
      <c r="L11457" t="s">
        <v>27250</v>
      </c>
      <c r="M11457" t="s">
        <v>27251</v>
      </c>
      <c r="N11457" t="s">
        <v>27252</v>
      </c>
      <c r="Q11457" s="1">
        <v>44846</v>
      </c>
      <c r="R11457" t="s">
        <v>27253</v>
      </c>
      <c r="S11457" t="s">
        <v>27254</v>
      </c>
      <c r="T11457" t="s">
        <v>27255</v>
      </c>
    </row>
    <row r="11458" spans="1:20" x14ac:dyDescent="0.3">
      <c r="A11458" t="str">
        <f>"0611884463025"</f>
        <v>0611884463025</v>
      </c>
      <c r="B11458" t="str">
        <f>"MQ0848"</f>
        <v>MQ0848</v>
      </c>
      <c r="C11458" t="s">
        <v>49399</v>
      </c>
      <c r="D11458" t="s">
        <v>27267</v>
      </c>
      <c r="E11458" t="str">
        <f t="shared" ref="E11458:E11521" si="179">"001390"</f>
        <v>001390</v>
      </c>
      <c r="F11458" t="s">
        <v>27246</v>
      </c>
      <c r="G11458" t="s">
        <v>27247</v>
      </c>
      <c r="H11458" t="s">
        <v>27248</v>
      </c>
      <c r="I11458" t="s">
        <v>49400</v>
      </c>
      <c r="J11458" t="s">
        <v>22930</v>
      </c>
      <c r="L11458" t="s">
        <v>27430</v>
      </c>
      <c r="M11458" t="s">
        <v>27251</v>
      </c>
      <c r="N11458" t="s">
        <v>27252</v>
      </c>
      <c r="Q11458" s="1">
        <v>45250</v>
      </c>
      <c r="R11458" t="s">
        <v>27253</v>
      </c>
      <c r="S11458" t="s">
        <v>27254</v>
      </c>
      <c r="T11458" t="s">
        <v>27269</v>
      </c>
    </row>
    <row r="11459" spans="1:20" x14ac:dyDescent="0.3">
      <c r="A11459" t="str">
        <f>"0611839172100"</f>
        <v>0611839172100</v>
      </c>
      <c r="B11459" t="str">
        <f>"LH8932"</f>
        <v>LH8932</v>
      </c>
      <c r="C11459" t="s">
        <v>49401</v>
      </c>
      <c r="D11459" t="s">
        <v>27245</v>
      </c>
      <c r="E11459" t="str">
        <f t="shared" si="179"/>
        <v>001390</v>
      </c>
      <c r="F11459" t="s">
        <v>27246</v>
      </c>
      <c r="G11459" t="s">
        <v>27247</v>
      </c>
      <c r="H11459" t="s">
        <v>27248</v>
      </c>
      <c r="I11459" t="s">
        <v>49402</v>
      </c>
      <c r="J11459" t="s">
        <v>22932</v>
      </c>
      <c r="L11459" t="s">
        <v>27250</v>
      </c>
      <c r="M11459" t="s">
        <v>27251</v>
      </c>
      <c r="N11459" t="s">
        <v>27252</v>
      </c>
      <c r="Q11459" s="1">
        <v>44538</v>
      </c>
      <c r="R11459" t="s">
        <v>27253</v>
      </c>
      <c r="S11459" t="s">
        <v>27254</v>
      </c>
      <c r="T11459" t="s">
        <v>27255</v>
      </c>
    </row>
    <row r="11460" spans="1:20" x14ac:dyDescent="0.3">
      <c r="A11460" t="str">
        <f>"0611839173025"</f>
        <v>0611839173025</v>
      </c>
      <c r="B11460" t="str">
        <f>"MC3928"</f>
        <v>MC3928</v>
      </c>
      <c r="C11460" t="s">
        <v>49401</v>
      </c>
      <c r="D11460" t="s">
        <v>27267</v>
      </c>
      <c r="E11460" t="str">
        <f t="shared" si="179"/>
        <v>001390</v>
      </c>
      <c r="F11460" t="s">
        <v>27246</v>
      </c>
      <c r="G11460" t="s">
        <v>27247</v>
      </c>
      <c r="H11460" t="s">
        <v>27248</v>
      </c>
      <c r="I11460" t="s">
        <v>49403</v>
      </c>
      <c r="J11460" t="s">
        <v>22934</v>
      </c>
      <c r="L11460" t="s">
        <v>27250</v>
      </c>
      <c r="M11460" t="s">
        <v>27251</v>
      </c>
      <c r="N11460" t="s">
        <v>27252</v>
      </c>
      <c r="Q11460" s="1">
        <v>44538</v>
      </c>
      <c r="R11460" t="s">
        <v>27253</v>
      </c>
      <c r="S11460" t="s">
        <v>27254</v>
      </c>
      <c r="T11460" t="s">
        <v>27269</v>
      </c>
    </row>
    <row r="11461" spans="1:20" x14ac:dyDescent="0.3">
      <c r="A11461" t="str">
        <f>"0611864027100"</f>
        <v>0611864027100</v>
      </c>
      <c r="B11461" t="str">
        <f>"CN5389"</f>
        <v>CN5389</v>
      </c>
      <c r="C11461" t="s">
        <v>49404</v>
      </c>
      <c r="D11461" t="s">
        <v>27245</v>
      </c>
      <c r="E11461" t="str">
        <f t="shared" si="179"/>
        <v>001390</v>
      </c>
      <c r="F11461" t="s">
        <v>27246</v>
      </c>
      <c r="G11461" t="s">
        <v>27247</v>
      </c>
      <c r="H11461" t="s">
        <v>27248</v>
      </c>
      <c r="I11461" t="s">
        <v>49405</v>
      </c>
      <c r="J11461" t="s">
        <v>22936</v>
      </c>
      <c r="L11461" t="s">
        <v>27250</v>
      </c>
      <c r="M11461" t="s">
        <v>27251</v>
      </c>
      <c r="N11461" t="s">
        <v>27252</v>
      </c>
      <c r="Q11461" s="1">
        <v>44846</v>
      </c>
      <c r="R11461" t="s">
        <v>27253</v>
      </c>
      <c r="S11461" t="s">
        <v>27254</v>
      </c>
      <c r="T11461" t="s">
        <v>27255</v>
      </c>
    </row>
    <row r="11462" spans="1:20" x14ac:dyDescent="0.3">
      <c r="A11462" t="str">
        <f>"0611864028050"</f>
        <v>0611864028050</v>
      </c>
      <c r="B11462" t="str">
        <f>"CR4471"</f>
        <v>CR4471</v>
      </c>
      <c r="C11462" t="s">
        <v>49404</v>
      </c>
      <c r="D11462" t="s">
        <v>27286</v>
      </c>
      <c r="E11462" t="str">
        <f t="shared" si="179"/>
        <v>001390</v>
      </c>
      <c r="F11462" t="s">
        <v>27246</v>
      </c>
      <c r="G11462" t="s">
        <v>27247</v>
      </c>
      <c r="H11462" t="s">
        <v>27248</v>
      </c>
      <c r="I11462" t="s">
        <v>49406</v>
      </c>
      <c r="J11462" t="s">
        <v>22938</v>
      </c>
      <c r="L11462" t="s">
        <v>27250</v>
      </c>
      <c r="M11462" t="s">
        <v>27251</v>
      </c>
      <c r="N11462" t="s">
        <v>27252</v>
      </c>
      <c r="Q11462" s="1">
        <v>44846</v>
      </c>
      <c r="R11462" t="s">
        <v>27253</v>
      </c>
      <c r="S11462" t="s">
        <v>27254</v>
      </c>
      <c r="T11462" t="s">
        <v>27265</v>
      </c>
    </row>
    <row r="11463" spans="1:20" x14ac:dyDescent="0.3">
      <c r="A11463" t="str">
        <f>"0611839174025"</f>
        <v>0611839174025</v>
      </c>
      <c r="B11463" t="str">
        <f>"MQ0618"</f>
        <v>MQ0618</v>
      </c>
      <c r="C11463" t="s">
        <v>49407</v>
      </c>
      <c r="D11463" t="s">
        <v>27267</v>
      </c>
      <c r="E11463" t="str">
        <f t="shared" si="179"/>
        <v>001390</v>
      </c>
      <c r="F11463" t="s">
        <v>27246</v>
      </c>
      <c r="G11463" t="s">
        <v>27247</v>
      </c>
      <c r="H11463" t="s">
        <v>27248</v>
      </c>
      <c r="I11463" t="s">
        <v>49408</v>
      </c>
      <c r="J11463" t="s">
        <v>22940</v>
      </c>
      <c r="L11463" t="s">
        <v>27250</v>
      </c>
      <c r="M11463" t="s">
        <v>27251</v>
      </c>
      <c r="N11463" t="s">
        <v>27252</v>
      </c>
      <c r="Q11463" s="1">
        <v>44538</v>
      </c>
      <c r="R11463" t="s">
        <v>27253</v>
      </c>
      <c r="S11463" t="s">
        <v>27254</v>
      </c>
      <c r="T11463" t="s">
        <v>27269</v>
      </c>
    </row>
    <row r="11464" spans="1:20" x14ac:dyDescent="0.3">
      <c r="A11464" t="str">
        <f>"0611839175025"</f>
        <v>0611839175025</v>
      </c>
      <c r="B11464" t="str">
        <f>"MC4073"</f>
        <v>MC4073</v>
      </c>
      <c r="C11464" t="s">
        <v>49409</v>
      </c>
      <c r="D11464" t="s">
        <v>27267</v>
      </c>
      <c r="E11464" t="str">
        <f t="shared" si="179"/>
        <v>001390</v>
      </c>
      <c r="F11464" t="s">
        <v>27246</v>
      </c>
      <c r="G11464" t="s">
        <v>27247</v>
      </c>
      <c r="H11464" t="s">
        <v>27248</v>
      </c>
      <c r="I11464" t="s">
        <v>49410</v>
      </c>
      <c r="J11464" t="s">
        <v>22942</v>
      </c>
      <c r="L11464" t="s">
        <v>27250</v>
      </c>
      <c r="M11464" t="s">
        <v>27251</v>
      </c>
      <c r="N11464" t="s">
        <v>27252</v>
      </c>
      <c r="Q11464" s="1">
        <v>44538</v>
      </c>
      <c r="R11464" t="s">
        <v>27253</v>
      </c>
      <c r="S11464" t="s">
        <v>27254</v>
      </c>
      <c r="T11464" t="s">
        <v>27269</v>
      </c>
    </row>
    <row r="11465" spans="1:20" x14ac:dyDescent="0.3">
      <c r="A11465" t="str">
        <f>"0611864029100"</f>
        <v>0611864029100</v>
      </c>
      <c r="B11465" t="str">
        <f>"CN2245"</f>
        <v>CN2245</v>
      </c>
      <c r="C11465" t="s">
        <v>49411</v>
      </c>
      <c r="D11465" t="s">
        <v>27335</v>
      </c>
      <c r="E11465" t="str">
        <f t="shared" si="179"/>
        <v>001390</v>
      </c>
      <c r="F11465" t="s">
        <v>27246</v>
      </c>
      <c r="G11465" t="s">
        <v>27247</v>
      </c>
      <c r="H11465" t="s">
        <v>27248</v>
      </c>
      <c r="I11465" t="s">
        <v>49412</v>
      </c>
      <c r="J11465" t="s">
        <v>22944</v>
      </c>
      <c r="L11465" t="s">
        <v>27250</v>
      </c>
      <c r="M11465" t="s">
        <v>27251</v>
      </c>
      <c r="N11465" t="s">
        <v>27252</v>
      </c>
      <c r="Q11465" s="1">
        <v>44846</v>
      </c>
      <c r="R11465" t="s">
        <v>27253</v>
      </c>
      <c r="S11465" t="s">
        <v>27254</v>
      </c>
      <c r="T11465" t="s">
        <v>27255</v>
      </c>
    </row>
    <row r="11466" spans="1:20" x14ac:dyDescent="0.3">
      <c r="A11466" t="str">
        <f>"0611839176025"</f>
        <v>0611839176025</v>
      </c>
      <c r="B11466" t="str">
        <f>"MC2780"</f>
        <v>MC2780</v>
      </c>
      <c r="C11466" t="s">
        <v>49413</v>
      </c>
      <c r="D11466" t="s">
        <v>27267</v>
      </c>
      <c r="E11466" t="str">
        <f t="shared" si="179"/>
        <v>001390</v>
      </c>
      <c r="F11466" t="s">
        <v>27246</v>
      </c>
      <c r="G11466" t="s">
        <v>27247</v>
      </c>
      <c r="H11466" t="s">
        <v>27248</v>
      </c>
      <c r="I11466" t="s">
        <v>49414</v>
      </c>
      <c r="J11466" t="s">
        <v>22948</v>
      </c>
      <c r="L11466" t="s">
        <v>27250</v>
      </c>
      <c r="M11466" t="s">
        <v>27251</v>
      </c>
      <c r="N11466" t="s">
        <v>27252</v>
      </c>
      <c r="Q11466" s="1">
        <v>44538</v>
      </c>
      <c r="R11466" t="s">
        <v>27253</v>
      </c>
      <c r="S11466" t="s">
        <v>27254</v>
      </c>
      <c r="T11466" t="s">
        <v>27269</v>
      </c>
    </row>
    <row r="11467" spans="1:20" x14ac:dyDescent="0.3">
      <c r="A11467" t="str">
        <f>"0611864030100"</f>
        <v>0611864030100</v>
      </c>
      <c r="B11467" t="str">
        <f>"CN5394"</f>
        <v>CN5394</v>
      </c>
      <c r="C11467" t="s">
        <v>49413</v>
      </c>
      <c r="D11467" t="s">
        <v>27335</v>
      </c>
      <c r="E11467" t="str">
        <f t="shared" si="179"/>
        <v>001390</v>
      </c>
      <c r="F11467" t="s">
        <v>27246</v>
      </c>
      <c r="G11467" t="s">
        <v>27247</v>
      </c>
      <c r="H11467" t="s">
        <v>27248</v>
      </c>
      <c r="I11467" t="s">
        <v>49415</v>
      </c>
      <c r="J11467" t="s">
        <v>22946</v>
      </c>
      <c r="L11467" t="s">
        <v>27250</v>
      </c>
      <c r="M11467" t="s">
        <v>27251</v>
      </c>
      <c r="N11467" t="s">
        <v>27252</v>
      </c>
      <c r="Q11467" s="1">
        <v>44846</v>
      </c>
      <c r="R11467" t="s">
        <v>27253</v>
      </c>
      <c r="S11467" t="s">
        <v>27254</v>
      </c>
      <c r="T11467" t="s">
        <v>27255</v>
      </c>
    </row>
    <row r="11468" spans="1:20" x14ac:dyDescent="0.3">
      <c r="A11468" t="str">
        <f>"0611839178025"</f>
        <v>0611839178025</v>
      </c>
      <c r="B11468" t="str">
        <f>"MC0682"</f>
        <v>MC0682</v>
      </c>
      <c r="C11468" t="s">
        <v>49416</v>
      </c>
      <c r="D11468" t="s">
        <v>27267</v>
      </c>
      <c r="E11468" t="str">
        <f t="shared" si="179"/>
        <v>001390</v>
      </c>
      <c r="F11468" t="s">
        <v>27246</v>
      </c>
      <c r="G11468" t="s">
        <v>27247</v>
      </c>
      <c r="H11468" t="s">
        <v>27248</v>
      </c>
      <c r="I11468" t="s">
        <v>49417</v>
      </c>
      <c r="J11468" t="s">
        <v>22952</v>
      </c>
      <c r="L11468" t="s">
        <v>27250</v>
      </c>
      <c r="M11468" t="s">
        <v>27251</v>
      </c>
      <c r="N11468" t="s">
        <v>27252</v>
      </c>
      <c r="Q11468" s="1">
        <v>44538</v>
      </c>
      <c r="R11468" t="s">
        <v>27253</v>
      </c>
      <c r="S11468" t="s">
        <v>27254</v>
      </c>
      <c r="T11468" t="s">
        <v>27269</v>
      </c>
    </row>
    <row r="11469" spans="1:20" x14ac:dyDescent="0.3">
      <c r="A11469" t="str">
        <f>"0611864031100"</f>
        <v>0611864031100</v>
      </c>
      <c r="B11469" t="str">
        <f>"CN5395"</f>
        <v>CN5395</v>
      </c>
      <c r="C11469" t="s">
        <v>49416</v>
      </c>
      <c r="D11469" t="s">
        <v>27335</v>
      </c>
      <c r="E11469" t="str">
        <f t="shared" si="179"/>
        <v>001390</v>
      </c>
      <c r="F11469" t="s">
        <v>27246</v>
      </c>
      <c r="G11469" t="s">
        <v>27247</v>
      </c>
      <c r="H11469" t="s">
        <v>27248</v>
      </c>
      <c r="I11469" t="s">
        <v>49418</v>
      </c>
      <c r="J11469" t="s">
        <v>22950</v>
      </c>
      <c r="L11469" t="s">
        <v>27250</v>
      </c>
      <c r="M11469" t="s">
        <v>27251</v>
      </c>
      <c r="N11469" t="s">
        <v>27252</v>
      </c>
      <c r="Q11469" s="1">
        <v>44846</v>
      </c>
      <c r="R11469" t="s">
        <v>27253</v>
      </c>
      <c r="S11469" t="s">
        <v>27254</v>
      </c>
      <c r="T11469" t="s">
        <v>27255</v>
      </c>
    </row>
    <row r="11470" spans="1:20" x14ac:dyDescent="0.3">
      <c r="A11470" t="str">
        <f>"0611864032050"</f>
        <v>0611864032050</v>
      </c>
      <c r="B11470" t="str">
        <f>"CR4477"</f>
        <v>CR4477</v>
      </c>
      <c r="C11470" t="s">
        <v>49419</v>
      </c>
      <c r="D11470" t="s">
        <v>27286</v>
      </c>
      <c r="E11470" t="str">
        <f t="shared" si="179"/>
        <v>001390</v>
      </c>
      <c r="F11470" t="s">
        <v>27246</v>
      </c>
      <c r="G11470" t="s">
        <v>27247</v>
      </c>
      <c r="H11470" t="s">
        <v>27248</v>
      </c>
      <c r="I11470" t="s">
        <v>49420</v>
      </c>
      <c r="J11470" t="s">
        <v>22954</v>
      </c>
      <c r="L11470" t="s">
        <v>27250</v>
      </c>
      <c r="M11470" t="s">
        <v>27251</v>
      </c>
      <c r="N11470" t="s">
        <v>27252</v>
      </c>
      <c r="Q11470" s="1">
        <v>44846</v>
      </c>
      <c r="R11470" t="s">
        <v>27253</v>
      </c>
      <c r="S11470" t="s">
        <v>27254</v>
      </c>
      <c r="T11470" t="s">
        <v>27265</v>
      </c>
    </row>
    <row r="11471" spans="1:20" x14ac:dyDescent="0.3">
      <c r="A11471" t="str">
        <f>"0611864033100"</f>
        <v>0611864033100</v>
      </c>
      <c r="B11471" t="str">
        <f>"CN2391"</f>
        <v>CN2391</v>
      </c>
      <c r="C11471" t="s">
        <v>49421</v>
      </c>
      <c r="D11471" t="s">
        <v>27335</v>
      </c>
      <c r="E11471" t="str">
        <f t="shared" si="179"/>
        <v>001390</v>
      </c>
      <c r="F11471" t="s">
        <v>27246</v>
      </c>
      <c r="G11471" t="s">
        <v>27247</v>
      </c>
      <c r="H11471" t="s">
        <v>27248</v>
      </c>
      <c r="I11471" t="s">
        <v>49422</v>
      </c>
      <c r="J11471" t="s">
        <v>22956</v>
      </c>
      <c r="L11471" t="s">
        <v>27250</v>
      </c>
      <c r="M11471" t="s">
        <v>27251</v>
      </c>
      <c r="N11471" t="s">
        <v>27252</v>
      </c>
      <c r="Q11471" s="1">
        <v>44846</v>
      </c>
      <c r="R11471" t="s">
        <v>27253</v>
      </c>
      <c r="S11471" t="s">
        <v>27254</v>
      </c>
      <c r="T11471" t="s">
        <v>27255</v>
      </c>
    </row>
    <row r="11472" spans="1:20" x14ac:dyDescent="0.3">
      <c r="A11472" t="str">
        <f>"0611839179025"</f>
        <v>0611839179025</v>
      </c>
      <c r="B11472" t="str">
        <f>"MC3068"</f>
        <v>MC3068</v>
      </c>
      <c r="C11472" t="s">
        <v>49423</v>
      </c>
      <c r="D11472" t="s">
        <v>27267</v>
      </c>
      <c r="E11472" t="str">
        <f t="shared" si="179"/>
        <v>001390</v>
      </c>
      <c r="F11472" t="s">
        <v>27246</v>
      </c>
      <c r="G11472" t="s">
        <v>27247</v>
      </c>
      <c r="H11472" t="s">
        <v>27248</v>
      </c>
      <c r="I11472" t="s">
        <v>49424</v>
      </c>
      <c r="J11472" t="s">
        <v>22958</v>
      </c>
      <c r="L11472" t="s">
        <v>27430</v>
      </c>
      <c r="M11472" t="s">
        <v>27251</v>
      </c>
      <c r="N11472" t="s">
        <v>27252</v>
      </c>
      <c r="Q11472" s="1">
        <v>44538</v>
      </c>
      <c r="R11472" t="s">
        <v>27253</v>
      </c>
      <c r="S11472" t="s">
        <v>27254</v>
      </c>
      <c r="T11472" t="s">
        <v>27269</v>
      </c>
    </row>
    <row r="11473" spans="1:20" x14ac:dyDescent="0.3">
      <c r="A11473" t="str">
        <f>"0611839182025"</f>
        <v>0611839182025</v>
      </c>
      <c r="B11473" t="str">
        <f>"MC2781"</f>
        <v>MC2781</v>
      </c>
      <c r="C11473" t="s">
        <v>49425</v>
      </c>
      <c r="D11473" t="s">
        <v>27267</v>
      </c>
      <c r="E11473" t="str">
        <f t="shared" si="179"/>
        <v>001390</v>
      </c>
      <c r="F11473" t="s">
        <v>27246</v>
      </c>
      <c r="G11473" t="s">
        <v>27247</v>
      </c>
      <c r="H11473" t="s">
        <v>27248</v>
      </c>
      <c r="I11473" t="s">
        <v>49426</v>
      </c>
      <c r="J11473" t="s">
        <v>22962</v>
      </c>
      <c r="L11473" t="s">
        <v>27250</v>
      </c>
      <c r="M11473" t="s">
        <v>27251</v>
      </c>
      <c r="N11473" t="s">
        <v>27252</v>
      </c>
      <c r="Q11473" s="1">
        <v>44538</v>
      </c>
      <c r="R11473" t="s">
        <v>27253</v>
      </c>
      <c r="S11473" t="s">
        <v>27254</v>
      </c>
      <c r="T11473" t="s">
        <v>27269</v>
      </c>
    </row>
    <row r="11474" spans="1:20" x14ac:dyDescent="0.3">
      <c r="A11474" t="str">
        <f>"0611864034050"</f>
        <v>0611864034050</v>
      </c>
      <c r="B11474" t="str">
        <f>"CR4472"</f>
        <v>CR4472</v>
      </c>
      <c r="C11474" t="s">
        <v>49425</v>
      </c>
      <c r="D11474" t="s">
        <v>27263</v>
      </c>
      <c r="E11474" t="str">
        <f t="shared" si="179"/>
        <v>001390</v>
      </c>
      <c r="F11474" t="s">
        <v>27246</v>
      </c>
      <c r="G11474" t="s">
        <v>27247</v>
      </c>
      <c r="H11474" t="s">
        <v>27248</v>
      </c>
      <c r="I11474" t="s">
        <v>49427</v>
      </c>
      <c r="J11474" t="s">
        <v>22964</v>
      </c>
      <c r="L11474" t="s">
        <v>27250</v>
      </c>
      <c r="M11474" t="s">
        <v>27251</v>
      </c>
      <c r="N11474" t="s">
        <v>27252</v>
      </c>
      <c r="Q11474" s="1">
        <v>44846</v>
      </c>
      <c r="R11474" t="s">
        <v>27253</v>
      </c>
      <c r="S11474" t="s">
        <v>27254</v>
      </c>
      <c r="T11474" t="s">
        <v>27265</v>
      </c>
    </row>
    <row r="11475" spans="1:20" x14ac:dyDescent="0.3">
      <c r="A11475" t="str">
        <f>"0611864035100"</f>
        <v>0611864035100</v>
      </c>
      <c r="B11475" t="str">
        <f>"CN5390"</f>
        <v>CN5390</v>
      </c>
      <c r="C11475" t="s">
        <v>49425</v>
      </c>
      <c r="D11475" t="s">
        <v>27335</v>
      </c>
      <c r="E11475" t="str">
        <f t="shared" si="179"/>
        <v>001390</v>
      </c>
      <c r="F11475" t="s">
        <v>27246</v>
      </c>
      <c r="G11475" t="s">
        <v>27247</v>
      </c>
      <c r="H11475" t="s">
        <v>27248</v>
      </c>
      <c r="I11475" t="s">
        <v>49428</v>
      </c>
      <c r="J11475" t="s">
        <v>22960</v>
      </c>
      <c r="L11475" t="s">
        <v>27250</v>
      </c>
      <c r="M11475" t="s">
        <v>27251</v>
      </c>
      <c r="N11475" t="s">
        <v>27252</v>
      </c>
      <c r="Q11475" s="1">
        <v>44846</v>
      </c>
      <c r="R11475" t="s">
        <v>27253</v>
      </c>
      <c r="S11475" t="s">
        <v>27254</v>
      </c>
      <c r="T11475" t="s">
        <v>27255</v>
      </c>
    </row>
    <row r="11476" spans="1:20" x14ac:dyDescent="0.3">
      <c r="A11476" t="str">
        <f>"0611839183025"</f>
        <v>0611839183025</v>
      </c>
      <c r="B11476" t="str">
        <f>"MC0683"</f>
        <v>MC0683</v>
      </c>
      <c r="C11476" t="s">
        <v>49429</v>
      </c>
      <c r="D11476" t="s">
        <v>27267</v>
      </c>
      <c r="E11476" t="str">
        <f t="shared" si="179"/>
        <v>001390</v>
      </c>
      <c r="F11476" t="s">
        <v>27246</v>
      </c>
      <c r="G11476" t="s">
        <v>27247</v>
      </c>
      <c r="H11476" t="s">
        <v>27248</v>
      </c>
      <c r="I11476" t="s">
        <v>49430</v>
      </c>
      <c r="J11476" t="s">
        <v>22966</v>
      </c>
      <c r="L11476" t="s">
        <v>27250</v>
      </c>
      <c r="M11476" t="s">
        <v>27251</v>
      </c>
      <c r="N11476" t="s">
        <v>27252</v>
      </c>
      <c r="Q11476" s="1">
        <v>44538</v>
      </c>
      <c r="R11476" t="s">
        <v>27253</v>
      </c>
      <c r="S11476" t="s">
        <v>27254</v>
      </c>
      <c r="T11476" t="s">
        <v>27269</v>
      </c>
    </row>
    <row r="11477" spans="1:20" x14ac:dyDescent="0.3">
      <c r="A11477" t="str">
        <f>"0611839184100"</f>
        <v>0611839184100</v>
      </c>
      <c r="B11477" t="str">
        <f>"LF0019"</f>
        <v>LF0019</v>
      </c>
      <c r="C11477" t="s">
        <v>49431</v>
      </c>
      <c r="D11477" t="s">
        <v>27245</v>
      </c>
      <c r="E11477" t="str">
        <f t="shared" si="179"/>
        <v>001390</v>
      </c>
      <c r="F11477" t="s">
        <v>27246</v>
      </c>
      <c r="G11477" t="s">
        <v>27247</v>
      </c>
      <c r="H11477" t="s">
        <v>27248</v>
      </c>
      <c r="I11477" t="s">
        <v>49432</v>
      </c>
      <c r="J11477" t="s">
        <v>22968</v>
      </c>
      <c r="L11477" t="s">
        <v>27250</v>
      </c>
      <c r="M11477" t="s">
        <v>27251</v>
      </c>
      <c r="N11477" t="s">
        <v>27252</v>
      </c>
      <c r="Q11477" s="1">
        <v>44538</v>
      </c>
      <c r="R11477" t="s">
        <v>27253</v>
      </c>
      <c r="S11477" t="s">
        <v>27254</v>
      </c>
      <c r="T11477" t="s">
        <v>27255</v>
      </c>
    </row>
    <row r="11478" spans="1:20" x14ac:dyDescent="0.3">
      <c r="A11478" t="str">
        <f>"0611839185025"</f>
        <v>0611839185025</v>
      </c>
      <c r="B11478" t="str">
        <f>"MQ6081"</f>
        <v>MQ6081</v>
      </c>
      <c r="C11478" t="s">
        <v>49433</v>
      </c>
      <c r="D11478" t="s">
        <v>27267</v>
      </c>
      <c r="E11478" t="str">
        <f t="shared" si="179"/>
        <v>001390</v>
      </c>
      <c r="F11478" t="s">
        <v>27246</v>
      </c>
      <c r="G11478" t="s">
        <v>27247</v>
      </c>
      <c r="H11478" t="s">
        <v>27248</v>
      </c>
      <c r="I11478" t="s">
        <v>49434</v>
      </c>
      <c r="J11478" t="s">
        <v>22970</v>
      </c>
      <c r="L11478" t="s">
        <v>27250</v>
      </c>
      <c r="M11478" t="s">
        <v>27251</v>
      </c>
      <c r="N11478" t="s">
        <v>27252</v>
      </c>
      <c r="Q11478" s="1">
        <v>44538</v>
      </c>
      <c r="R11478" t="s">
        <v>27253</v>
      </c>
      <c r="S11478" t="s">
        <v>27254</v>
      </c>
      <c r="T11478" t="s">
        <v>27269</v>
      </c>
    </row>
    <row r="11479" spans="1:20" x14ac:dyDescent="0.3">
      <c r="A11479" t="str">
        <f>"0611839186025"</f>
        <v>0611839186025</v>
      </c>
      <c r="B11479" t="str">
        <f>"MC1367"</f>
        <v>MC1367</v>
      </c>
      <c r="C11479" t="s">
        <v>49435</v>
      </c>
      <c r="D11479" t="s">
        <v>27267</v>
      </c>
      <c r="E11479" t="str">
        <f t="shared" si="179"/>
        <v>001390</v>
      </c>
      <c r="F11479" t="s">
        <v>27246</v>
      </c>
      <c r="G11479" t="s">
        <v>27247</v>
      </c>
      <c r="H11479" t="s">
        <v>27248</v>
      </c>
      <c r="I11479" t="s">
        <v>49436</v>
      </c>
      <c r="J11479" t="s">
        <v>22972</v>
      </c>
      <c r="L11479" t="s">
        <v>27250</v>
      </c>
      <c r="M11479" t="s">
        <v>27251</v>
      </c>
      <c r="N11479" t="s">
        <v>27252</v>
      </c>
      <c r="Q11479" s="1">
        <v>44538</v>
      </c>
      <c r="R11479" t="s">
        <v>27253</v>
      </c>
      <c r="S11479" t="s">
        <v>27254</v>
      </c>
      <c r="T11479" t="s">
        <v>27269</v>
      </c>
    </row>
    <row r="11480" spans="1:20" x14ac:dyDescent="0.3">
      <c r="A11480" t="str">
        <f>"0611864036100"</f>
        <v>0611864036100</v>
      </c>
      <c r="B11480" t="str">
        <f>"CN2244"</f>
        <v>CN2244</v>
      </c>
      <c r="C11480" t="s">
        <v>49437</v>
      </c>
      <c r="D11480" t="s">
        <v>27335</v>
      </c>
      <c r="E11480" t="str">
        <f t="shared" si="179"/>
        <v>001390</v>
      </c>
      <c r="F11480" t="s">
        <v>27246</v>
      </c>
      <c r="G11480" t="s">
        <v>27247</v>
      </c>
      <c r="H11480" t="s">
        <v>27248</v>
      </c>
      <c r="I11480" t="s">
        <v>49438</v>
      </c>
      <c r="J11480" t="s">
        <v>22974</v>
      </c>
      <c r="L11480" t="s">
        <v>27250</v>
      </c>
      <c r="M11480" t="s">
        <v>27251</v>
      </c>
      <c r="N11480" t="s">
        <v>27252</v>
      </c>
      <c r="Q11480" s="1">
        <v>44846</v>
      </c>
      <c r="R11480" t="s">
        <v>27253</v>
      </c>
      <c r="S11480" t="s">
        <v>27254</v>
      </c>
      <c r="T11480" t="s">
        <v>27255</v>
      </c>
    </row>
    <row r="11481" spans="1:20" x14ac:dyDescent="0.3">
      <c r="A11481" t="str">
        <f>"0611839187025"</f>
        <v>0611839187025</v>
      </c>
      <c r="B11481" t="str">
        <f>"MC1373"</f>
        <v>MC1373</v>
      </c>
      <c r="C11481" t="s">
        <v>49439</v>
      </c>
      <c r="D11481" t="s">
        <v>27267</v>
      </c>
      <c r="E11481" t="str">
        <f t="shared" si="179"/>
        <v>001390</v>
      </c>
      <c r="F11481" t="s">
        <v>27246</v>
      </c>
      <c r="G11481" t="s">
        <v>27247</v>
      </c>
      <c r="H11481" t="s">
        <v>27248</v>
      </c>
      <c r="I11481" t="s">
        <v>49440</v>
      </c>
      <c r="J11481" t="s">
        <v>22976</v>
      </c>
      <c r="L11481" t="s">
        <v>27250</v>
      </c>
      <c r="M11481" t="s">
        <v>27251</v>
      </c>
      <c r="N11481" t="s">
        <v>27252</v>
      </c>
      <c r="Q11481" s="1">
        <v>44538</v>
      </c>
      <c r="R11481" t="s">
        <v>27253</v>
      </c>
      <c r="S11481" t="s">
        <v>27254</v>
      </c>
      <c r="T11481" t="s">
        <v>27269</v>
      </c>
    </row>
    <row r="11482" spans="1:20" x14ac:dyDescent="0.3">
      <c r="A11482" t="str">
        <f>"0611864037100"</f>
        <v>0611864037100</v>
      </c>
      <c r="B11482" t="str">
        <f>"CN5387"</f>
        <v>CN5387</v>
      </c>
      <c r="C11482" t="s">
        <v>49441</v>
      </c>
      <c r="D11482" t="s">
        <v>27335</v>
      </c>
      <c r="E11482" t="str">
        <f t="shared" si="179"/>
        <v>001390</v>
      </c>
      <c r="F11482" t="s">
        <v>27246</v>
      </c>
      <c r="G11482" t="s">
        <v>27247</v>
      </c>
      <c r="H11482" t="s">
        <v>27248</v>
      </c>
      <c r="I11482" t="s">
        <v>49442</v>
      </c>
      <c r="J11482" t="s">
        <v>22978</v>
      </c>
      <c r="L11482" t="s">
        <v>27250</v>
      </c>
      <c r="M11482" t="s">
        <v>27251</v>
      </c>
      <c r="N11482" t="s">
        <v>27252</v>
      </c>
      <c r="Q11482" s="1">
        <v>44846</v>
      </c>
      <c r="R11482" t="s">
        <v>27253</v>
      </c>
      <c r="S11482" t="s">
        <v>27254</v>
      </c>
      <c r="T11482" t="s">
        <v>27255</v>
      </c>
    </row>
    <row r="11483" spans="1:20" x14ac:dyDescent="0.3">
      <c r="A11483" t="str">
        <f>"0611864038050"</f>
        <v>0611864038050</v>
      </c>
      <c r="B11483" t="str">
        <f>"CR4469"</f>
        <v>CR4469</v>
      </c>
      <c r="C11483" t="s">
        <v>49443</v>
      </c>
      <c r="D11483" t="s">
        <v>27286</v>
      </c>
      <c r="E11483" t="str">
        <f t="shared" si="179"/>
        <v>001390</v>
      </c>
      <c r="F11483" t="s">
        <v>27246</v>
      </c>
      <c r="G11483" t="s">
        <v>27247</v>
      </c>
      <c r="H11483" t="s">
        <v>27248</v>
      </c>
      <c r="I11483" t="s">
        <v>49444</v>
      </c>
      <c r="J11483" t="s">
        <v>22982</v>
      </c>
      <c r="L11483" t="s">
        <v>27250</v>
      </c>
      <c r="M11483" t="s">
        <v>27251</v>
      </c>
      <c r="N11483" t="s">
        <v>27252</v>
      </c>
      <c r="Q11483" s="1">
        <v>44846</v>
      </c>
      <c r="R11483" t="s">
        <v>27253</v>
      </c>
      <c r="S11483" t="s">
        <v>27254</v>
      </c>
      <c r="T11483" t="s">
        <v>27265</v>
      </c>
    </row>
    <row r="11484" spans="1:20" x14ac:dyDescent="0.3">
      <c r="A11484" t="str">
        <f>"0611839188025"</f>
        <v>0611839188025</v>
      </c>
      <c r="B11484" t="str">
        <f>"MC3578"</f>
        <v>MC3578</v>
      </c>
      <c r="C11484" t="s">
        <v>49445</v>
      </c>
      <c r="D11484" t="s">
        <v>27267</v>
      </c>
      <c r="E11484" t="str">
        <f t="shared" si="179"/>
        <v>001390</v>
      </c>
      <c r="F11484" t="s">
        <v>27246</v>
      </c>
      <c r="G11484" t="s">
        <v>27247</v>
      </c>
      <c r="H11484" t="s">
        <v>27248</v>
      </c>
      <c r="I11484" t="s">
        <v>49446</v>
      </c>
      <c r="J11484" t="s">
        <v>22980</v>
      </c>
      <c r="L11484" t="s">
        <v>27250</v>
      </c>
      <c r="M11484" t="s">
        <v>27251</v>
      </c>
      <c r="N11484" t="s">
        <v>27252</v>
      </c>
      <c r="Q11484" s="1">
        <v>44538</v>
      </c>
      <c r="R11484" t="s">
        <v>27253</v>
      </c>
      <c r="S11484" t="s">
        <v>27254</v>
      </c>
      <c r="T11484" t="s">
        <v>27269</v>
      </c>
    </row>
    <row r="11485" spans="1:20" x14ac:dyDescent="0.3">
      <c r="A11485" t="str">
        <f>"0611839189025"</f>
        <v>0611839189025</v>
      </c>
      <c r="B11485" t="str">
        <f>"MQ3210"</f>
        <v>MQ3210</v>
      </c>
      <c r="C11485" t="s">
        <v>49447</v>
      </c>
      <c r="D11485" t="s">
        <v>27267</v>
      </c>
      <c r="E11485" t="str">
        <f t="shared" si="179"/>
        <v>001390</v>
      </c>
      <c r="F11485" t="s">
        <v>27246</v>
      </c>
      <c r="G11485" t="s">
        <v>27247</v>
      </c>
      <c r="H11485" t="s">
        <v>27248</v>
      </c>
      <c r="I11485" t="s">
        <v>49448</v>
      </c>
      <c r="J11485" t="s">
        <v>22984</v>
      </c>
      <c r="L11485" t="s">
        <v>27250</v>
      </c>
      <c r="M11485" t="s">
        <v>27251</v>
      </c>
      <c r="N11485" t="s">
        <v>27252</v>
      </c>
      <c r="Q11485" s="1">
        <v>44538</v>
      </c>
      <c r="R11485" t="s">
        <v>27253</v>
      </c>
      <c r="S11485" t="s">
        <v>27254</v>
      </c>
      <c r="T11485" t="s">
        <v>27269</v>
      </c>
    </row>
    <row r="11486" spans="1:20" x14ac:dyDescent="0.3">
      <c r="A11486" t="str">
        <f>"0611839190025"</f>
        <v>0611839190025</v>
      </c>
      <c r="B11486" t="str">
        <f>"MQ6082"</f>
        <v>MQ6082</v>
      </c>
      <c r="C11486" t="s">
        <v>49449</v>
      </c>
      <c r="D11486" t="s">
        <v>27267</v>
      </c>
      <c r="E11486" t="str">
        <f t="shared" si="179"/>
        <v>001390</v>
      </c>
      <c r="F11486" t="s">
        <v>27246</v>
      </c>
      <c r="G11486" t="s">
        <v>27247</v>
      </c>
      <c r="H11486" t="s">
        <v>27248</v>
      </c>
      <c r="I11486" t="s">
        <v>49450</v>
      </c>
      <c r="J11486" t="s">
        <v>22986</v>
      </c>
      <c r="L11486" t="s">
        <v>27250</v>
      </c>
      <c r="M11486" t="s">
        <v>27251</v>
      </c>
      <c r="N11486" t="s">
        <v>27252</v>
      </c>
      <c r="Q11486" s="1">
        <v>44538</v>
      </c>
      <c r="R11486" t="s">
        <v>27253</v>
      </c>
      <c r="S11486" t="s">
        <v>27254</v>
      </c>
      <c r="T11486" t="s">
        <v>27269</v>
      </c>
    </row>
    <row r="11487" spans="1:20" x14ac:dyDescent="0.3">
      <c r="A11487" t="str">
        <f>"0611839191025"</f>
        <v>0611839191025</v>
      </c>
      <c r="B11487" t="str">
        <f>"MC3877"</f>
        <v>MC3877</v>
      </c>
      <c r="C11487" t="s">
        <v>49451</v>
      </c>
      <c r="D11487" t="s">
        <v>27267</v>
      </c>
      <c r="E11487" t="str">
        <f t="shared" si="179"/>
        <v>001390</v>
      </c>
      <c r="F11487" t="s">
        <v>27246</v>
      </c>
      <c r="G11487" t="s">
        <v>27247</v>
      </c>
      <c r="H11487" t="s">
        <v>27248</v>
      </c>
      <c r="I11487" t="s">
        <v>49452</v>
      </c>
      <c r="J11487" t="s">
        <v>22988</v>
      </c>
      <c r="L11487" t="s">
        <v>27250</v>
      </c>
      <c r="M11487" t="s">
        <v>27251</v>
      </c>
      <c r="N11487" t="s">
        <v>27252</v>
      </c>
      <c r="Q11487" s="1">
        <v>44538</v>
      </c>
      <c r="R11487" t="s">
        <v>27253</v>
      </c>
      <c r="S11487" t="s">
        <v>27254</v>
      </c>
      <c r="T11487" t="s">
        <v>27269</v>
      </c>
    </row>
    <row r="11488" spans="1:20" x14ac:dyDescent="0.3">
      <c r="A11488" t="str">
        <f>"0611839192025"</f>
        <v>0611839192025</v>
      </c>
      <c r="B11488" t="str">
        <f>"MQ0737"</f>
        <v>MQ0737</v>
      </c>
      <c r="C11488" t="s">
        <v>49453</v>
      </c>
      <c r="D11488" t="s">
        <v>27267</v>
      </c>
      <c r="E11488" t="str">
        <f t="shared" si="179"/>
        <v>001390</v>
      </c>
      <c r="F11488" t="s">
        <v>27246</v>
      </c>
      <c r="G11488" t="s">
        <v>27247</v>
      </c>
      <c r="H11488" t="s">
        <v>27248</v>
      </c>
      <c r="I11488" t="s">
        <v>49454</v>
      </c>
      <c r="J11488" t="s">
        <v>22990</v>
      </c>
      <c r="L11488" t="s">
        <v>27250</v>
      </c>
      <c r="M11488" t="s">
        <v>27251</v>
      </c>
      <c r="N11488" t="s">
        <v>27252</v>
      </c>
      <c r="Q11488" s="1">
        <v>44538</v>
      </c>
      <c r="R11488" t="s">
        <v>27253</v>
      </c>
      <c r="S11488" t="s">
        <v>27254</v>
      </c>
      <c r="T11488" t="s">
        <v>27269</v>
      </c>
    </row>
    <row r="11489" spans="1:20" x14ac:dyDescent="0.3">
      <c r="A11489" t="str">
        <f>"0611839193100"</f>
        <v>0611839193100</v>
      </c>
      <c r="B11489" t="str">
        <f>"LF0020"</f>
        <v>LF0020</v>
      </c>
      <c r="C11489" t="s">
        <v>49455</v>
      </c>
      <c r="D11489" t="s">
        <v>27245</v>
      </c>
      <c r="E11489" t="str">
        <f t="shared" si="179"/>
        <v>001390</v>
      </c>
      <c r="F11489" t="s">
        <v>27246</v>
      </c>
      <c r="G11489" t="s">
        <v>27247</v>
      </c>
      <c r="H11489" t="s">
        <v>27248</v>
      </c>
      <c r="I11489" t="s">
        <v>49456</v>
      </c>
      <c r="J11489" t="s">
        <v>22992</v>
      </c>
      <c r="L11489" t="s">
        <v>27250</v>
      </c>
      <c r="M11489" t="s">
        <v>27251</v>
      </c>
      <c r="N11489" t="s">
        <v>27252</v>
      </c>
      <c r="Q11489" s="1">
        <v>44538</v>
      </c>
      <c r="R11489" t="s">
        <v>27253</v>
      </c>
      <c r="S11489" t="s">
        <v>27254</v>
      </c>
      <c r="T11489" t="s">
        <v>27255</v>
      </c>
    </row>
    <row r="11490" spans="1:20" x14ac:dyDescent="0.3">
      <c r="A11490" t="str">
        <f>"0611839194025"</f>
        <v>0611839194025</v>
      </c>
      <c r="B11490" t="str">
        <f>"MC3899"</f>
        <v>MC3899</v>
      </c>
      <c r="C11490" t="s">
        <v>49457</v>
      </c>
      <c r="D11490" t="s">
        <v>27267</v>
      </c>
      <c r="E11490" t="str">
        <f t="shared" si="179"/>
        <v>001390</v>
      </c>
      <c r="F11490" t="s">
        <v>27246</v>
      </c>
      <c r="G11490" t="s">
        <v>27247</v>
      </c>
      <c r="H11490" t="s">
        <v>27248</v>
      </c>
      <c r="I11490" t="s">
        <v>49458</v>
      </c>
      <c r="J11490" t="s">
        <v>22994</v>
      </c>
      <c r="L11490" t="s">
        <v>27250</v>
      </c>
      <c r="M11490" t="s">
        <v>27251</v>
      </c>
      <c r="N11490" t="s">
        <v>27252</v>
      </c>
      <c r="Q11490" s="1">
        <v>44538</v>
      </c>
      <c r="R11490" t="s">
        <v>27253</v>
      </c>
      <c r="S11490" t="s">
        <v>27254</v>
      </c>
      <c r="T11490" t="s">
        <v>27269</v>
      </c>
    </row>
    <row r="11491" spans="1:20" x14ac:dyDescent="0.3">
      <c r="A11491" t="str">
        <f>"0611839195100"</f>
        <v>0611839195100</v>
      </c>
      <c r="B11491" t="str">
        <f>"LH8933"</f>
        <v>LH8933</v>
      </c>
      <c r="C11491" t="s">
        <v>49459</v>
      </c>
      <c r="D11491" t="s">
        <v>27245</v>
      </c>
      <c r="E11491" t="str">
        <f t="shared" si="179"/>
        <v>001390</v>
      </c>
      <c r="F11491" t="s">
        <v>27246</v>
      </c>
      <c r="G11491" t="s">
        <v>27247</v>
      </c>
      <c r="H11491" t="s">
        <v>27248</v>
      </c>
      <c r="I11491" t="s">
        <v>49460</v>
      </c>
      <c r="J11491" t="s">
        <v>22996</v>
      </c>
      <c r="L11491" t="s">
        <v>27250</v>
      </c>
      <c r="M11491" t="s">
        <v>27251</v>
      </c>
      <c r="N11491" t="s">
        <v>27252</v>
      </c>
      <c r="Q11491" s="1">
        <v>44538</v>
      </c>
      <c r="R11491" t="s">
        <v>27253</v>
      </c>
      <c r="S11491" t="s">
        <v>27254</v>
      </c>
      <c r="T11491" t="s">
        <v>27255</v>
      </c>
    </row>
    <row r="11492" spans="1:20" x14ac:dyDescent="0.3">
      <c r="A11492" t="str">
        <f>"0611839196025"</f>
        <v>0611839196025</v>
      </c>
      <c r="B11492" t="str">
        <f>"MC2081"</f>
        <v>MC2081</v>
      </c>
      <c r="C11492" t="s">
        <v>49459</v>
      </c>
      <c r="D11492" t="s">
        <v>27267</v>
      </c>
      <c r="E11492" t="str">
        <f t="shared" si="179"/>
        <v>001390</v>
      </c>
      <c r="F11492" t="s">
        <v>27246</v>
      </c>
      <c r="G11492" t="s">
        <v>27247</v>
      </c>
      <c r="H11492" t="s">
        <v>27248</v>
      </c>
      <c r="I11492" t="s">
        <v>49461</v>
      </c>
      <c r="J11492" t="s">
        <v>22998</v>
      </c>
      <c r="L11492" t="s">
        <v>27250</v>
      </c>
      <c r="M11492" t="s">
        <v>27251</v>
      </c>
      <c r="N11492" t="s">
        <v>27252</v>
      </c>
      <c r="Q11492" s="1">
        <v>44538</v>
      </c>
      <c r="R11492" t="s">
        <v>27253</v>
      </c>
      <c r="S11492" t="s">
        <v>27254</v>
      </c>
      <c r="T11492" t="s">
        <v>27269</v>
      </c>
    </row>
    <row r="11493" spans="1:20" x14ac:dyDescent="0.3">
      <c r="A11493" t="str">
        <f>"0611864039100"</f>
        <v>0611864039100</v>
      </c>
      <c r="B11493" t="str">
        <f>"CN5396"</f>
        <v>CN5396</v>
      </c>
      <c r="C11493" t="s">
        <v>49462</v>
      </c>
      <c r="D11493" t="s">
        <v>27245</v>
      </c>
      <c r="E11493" t="str">
        <f t="shared" si="179"/>
        <v>001390</v>
      </c>
      <c r="F11493" t="s">
        <v>27246</v>
      </c>
      <c r="G11493" t="s">
        <v>27247</v>
      </c>
      <c r="H11493" t="s">
        <v>27248</v>
      </c>
      <c r="I11493" t="s">
        <v>49463</v>
      </c>
      <c r="J11493" t="s">
        <v>23000</v>
      </c>
      <c r="L11493" t="s">
        <v>27250</v>
      </c>
      <c r="M11493" t="s">
        <v>27251</v>
      </c>
      <c r="N11493" t="s">
        <v>27252</v>
      </c>
      <c r="Q11493" s="1">
        <v>44846</v>
      </c>
      <c r="R11493" t="s">
        <v>27253</v>
      </c>
      <c r="S11493" t="s">
        <v>27254</v>
      </c>
      <c r="T11493" t="s">
        <v>27255</v>
      </c>
    </row>
    <row r="11494" spans="1:20" x14ac:dyDescent="0.3">
      <c r="A11494" t="str">
        <f>"0611864040050"</f>
        <v>0611864040050</v>
      </c>
      <c r="B11494" t="str">
        <f>"CR4480"</f>
        <v>CR4480</v>
      </c>
      <c r="C11494" t="s">
        <v>49462</v>
      </c>
      <c r="D11494" t="s">
        <v>27286</v>
      </c>
      <c r="E11494" t="str">
        <f t="shared" si="179"/>
        <v>001390</v>
      </c>
      <c r="F11494" t="s">
        <v>27246</v>
      </c>
      <c r="G11494" t="s">
        <v>27247</v>
      </c>
      <c r="H11494" t="s">
        <v>27248</v>
      </c>
      <c r="I11494" t="s">
        <v>49464</v>
      </c>
      <c r="J11494" t="s">
        <v>23002</v>
      </c>
      <c r="L11494" t="s">
        <v>27250</v>
      </c>
      <c r="M11494" t="s">
        <v>27251</v>
      </c>
      <c r="N11494" t="s">
        <v>27252</v>
      </c>
      <c r="Q11494" s="1">
        <v>44846</v>
      </c>
      <c r="R11494" t="s">
        <v>27253</v>
      </c>
      <c r="S11494" t="s">
        <v>27254</v>
      </c>
      <c r="T11494" t="s">
        <v>27265</v>
      </c>
    </row>
    <row r="11495" spans="1:20" x14ac:dyDescent="0.3">
      <c r="A11495" t="str">
        <f>"0611839197025"</f>
        <v>0611839197025</v>
      </c>
      <c r="B11495" t="str">
        <f>"MQ6083"</f>
        <v>MQ6083</v>
      </c>
      <c r="C11495" t="s">
        <v>49465</v>
      </c>
      <c r="D11495" t="s">
        <v>27267</v>
      </c>
      <c r="E11495" t="str">
        <f t="shared" si="179"/>
        <v>001390</v>
      </c>
      <c r="F11495" t="s">
        <v>27246</v>
      </c>
      <c r="G11495" t="s">
        <v>27247</v>
      </c>
      <c r="H11495" t="s">
        <v>27248</v>
      </c>
      <c r="I11495" t="s">
        <v>49466</v>
      </c>
      <c r="J11495" t="s">
        <v>23004</v>
      </c>
      <c r="L11495" t="s">
        <v>27250</v>
      </c>
      <c r="M11495" t="s">
        <v>27251</v>
      </c>
      <c r="N11495" t="s">
        <v>27252</v>
      </c>
      <c r="Q11495" s="1">
        <v>44538</v>
      </c>
      <c r="R11495" t="s">
        <v>27253</v>
      </c>
      <c r="S11495" t="s">
        <v>27254</v>
      </c>
      <c r="T11495" t="s">
        <v>27269</v>
      </c>
    </row>
    <row r="11496" spans="1:20" x14ac:dyDescent="0.3">
      <c r="A11496" t="str">
        <f>"0611839198025"</f>
        <v>0611839198025</v>
      </c>
      <c r="B11496" t="str">
        <f>"MQ0368"</f>
        <v>MQ0368</v>
      </c>
      <c r="C11496" t="s">
        <v>49467</v>
      </c>
      <c r="D11496" t="s">
        <v>27267</v>
      </c>
      <c r="E11496" t="str">
        <f t="shared" si="179"/>
        <v>001390</v>
      </c>
      <c r="F11496" t="s">
        <v>27246</v>
      </c>
      <c r="G11496" t="s">
        <v>27247</v>
      </c>
      <c r="H11496" t="s">
        <v>27248</v>
      </c>
      <c r="I11496" t="s">
        <v>49468</v>
      </c>
      <c r="J11496" t="s">
        <v>23006</v>
      </c>
      <c r="L11496" t="s">
        <v>27250</v>
      </c>
      <c r="M11496" t="s">
        <v>27251</v>
      </c>
      <c r="N11496" t="s">
        <v>27252</v>
      </c>
      <c r="Q11496" s="1">
        <v>44538</v>
      </c>
      <c r="R11496" t="s">
        <v>27253</v>
      </c>
      <c r="S11496" t="s">
        <v>27254</v>
      </c>
      <c r="T11496" t="s">
        <v>27269</v>
      </c>
    </row>
    <row r="11497" spans="1:20" x14ac:dyDescent="0.3">
      <c r="A11497" t="str">
        <f>"0611839199025"</f>
        <v>0611839199025</v>
      </c>
      <c r="B11497" t="str">
        <f>"MQ6084"</f>
        <v>MQ6084</v>
      </c>
      <c r="C11497" t="s">
        <v>49469</v>
      </c>
      <c r="D11497" t="s">
        <v>27267</v>
      </c>
      <c r="E11497" t="str">
        <f t="shared" si="179"/>
        <v>001390</v>
      </c>
      <c r="F11497" t="s">
        <v>27246</v>
      </c>
      <c r="G11497" t="s">
        <v>27247</v>
      </c>
      <c r="H11497" t="s">
        <v>27248</v>
      </c>
      <c r="I11497" t="s">
        <v>49470</v>
      </c>
      <c r="J11497" t="s">
        <v>23008</v>
      </c>
      <c r="L11497" t="s">
        <v>27250</v>
      </c>
      <c r="M11497" t="s">
        <v>27251</v>
      </c>
      <c r="N11497" t="s">
        <v>27252</v>
      </c>
      <c r="Q11497" s="1">
        <v>44538</v>
      </c>
      <c r="R11497" t="s">
        <v>27253</v>
      </c>
      <c r="S11497" t="s">
        <v>27254</v>
      </c>
      <c r="T11497" t="s">
        <v>27269</v>
      </c>
    </row>
    <row r="11498" spans="1:20" x14ac:dyDescent="0.3">
      <c r="A11498" t="str">
        <f>"0611839200025"</f>
        <v>0611839200025</v>
      </c>
      <c r="B11498" t="str">
        <f>"MQ6085"</f>
        <v>MQ6085</v>
      </c>
      <c r="C11498" t="s">
        <v>49471</v>
      </c>
      <c r="D11498" t="s">
        <v>27267</v>
      </c>
      <c r="E11498" t="str">
        <f t="shared" si="179"/>
        <v>001390</v>
      </c>
      <c r="F11498" t="s">
        <v>27246</v>
      </c>
      <c r="G11498" t="s">
        <v>27247</v>
      </c>
      <c r="H11498" t="s">
        <v>27248</v>
      </c>
      <c r="I11498" t="s">
        <v>49472</v>
      </c>
      <c r="J11498" t="s">
        <v>23010</v>
      </c>
      <c r="L11498" t="s">
        <v>27250</v>
      </c>
      <c r="M11498" t="s">
        <v>27251</v>
      </c>
      <c r="N11498" t="s">
        <v>27252</v>
      </c>
      <c r="Q11498" s="1">
        <v>44538</v>
      </c>
      <c r="R11498" t="s">
        <v>27253</v>
      </c>
      <c r="S11498" t="s">
        <v>27254</v>
      </c>
      <c r="T11498" t="s">
        <v>27269</v>
      </c>
    </row>
    <row r="11499" spans="1:20" x14ac:dyDescent="0.3">
      <c r="A11499" t="str">
        <f>"0611864041100"</f>
        <v>0611864041100</v>
      </c>
      <c r="B11499" t="str">
        <f>"CN5392"</f>
        <v>CN5392</v>
      </c>
      <c r="C11499" t="s">
        <v>49473</v>
      </c>
      <c r="D11499" t="s">
        <v>27335</v>
      </c>
      <c r="E11499" t="str">
        <f t="shared" si="179"/>
        <v>001390</v>
      </c>
      <c r="F11499" t="s">
        <v>27246</v>
      </c>
      <c r="G11499" t="s">
        <v>27247</v>
      </c>
      <c r="H11499" t="s">
        <v>27248</v>
      </c>
      <c r="I11499" t="s">
        <v>49474</v>
      </c>
      <c r="J11499" t="s">
        <v>23012</v>
      </c>
      <c r="L11499" t="s">
        <v>27250</v>
      </c>
      <c r="M11499" t="s">
        <v>27251</v>
      </c>
      <c r="N11499" t="s">
        <v>27252</v>
      </c>
      <c r="Q11499" s="1">
        <v>44846</v>
      </c>
      <c r="R11499" t="s">
        <v>27253</v>
      </c>
      <c r="S11499" t="s">
        <v>27254</v>
      </c>
      <c r="T11499" t="s">
        <v>27255</v>
      </c>
    </row>
    <row r="11500" spans="1:20" x14ac:dyDescent="0.3">
      <c r="A11500" t="str">
        <f>"0611839201100"</f>
        <v>0611839201100</v>
      </c>
      <c r="B11500" t="str">
        <f>"LH7556"</f>
        <v>LH7556</v>
      </c>
      <c r="C11500" t="s">
        <v>49475</v>
      </c>
      <c r="D11500" t="s">
        <v>27245</v>
      </c>
      <c r="E11500" t="str">
        <f t="shared" si="179"/>
        <v>001390</v>
      </c>
      <c r="F11500" t="s">
        <v>27246</v>
      </c>
      <c r="G11500" t="s">
        <v>27247</v>
      </c>
      <c r="H11500" t="s">
        <v>27248</v>
      </c>
      <c r="I11500" t="s">
        <v>49476</v>
      </c>
      <c r="J11500" t="s">
        <v>23014</v>
      </c>
      <c r="L11500" t="s">
        <v>27250</v>
      </c>
      <c r="M11500" t="s">
        <v>27251</v>
      </c>
      <c r="N11500" t="s">
        <v>27252</v>
      </c>
      <c r="Q11500" s="1">
        <v>44538</v>
      </c>
      <c r="R11500" t="s">
        <v>27253</v>
      </c>
      <c r="S11500" t="s">
        <v>27254</v>
      </c>
      <c r="T11500" t="s">
        <v>27255</v>
      </c>
    </row>
    <row r="11501" spans="1:20" x14ac:dyDescent="0.3">
      <c r="A11501" t="str">
        <f>"0611839202025"</f>
        <v>0611839202025</v>
      </c>
      <c r="B11501" t="str">
        <f>"MC0684"</f>
        <v>MC0684</v>
      </c>
      <c r="C11501" t="s">
        <v>49475</v>
      </c>
      <c r="D11501" t="s">
        <v>27267</v>
      </c>
      <c r="E11501" t="str">
        <f t="shared" si="179"/>
        <v>001390</v>
      </c>
      <c r="F11501" t="s">
        <v>27246</v>
      </c>
      <c r="G11501" t="s">
        <v>27247</v>
      </c>
      <c r="H11501" t="s">
        <v>27248</v>
      </c>
      <c r="I11501" t="s">
        <v>49477</v>
      </c>
      <c r="J11501" t="s">
        <v>23016</v>
      </c>
      <c r="L11501" t="s">
        <v>27250</v>
      </c>
      <c r="M11501" t="s">
        <v>27251</v>
      </c>
      <c r="N11501" t="s">
        <v>27252</v>
      </c>
      <c r="Q11501" s="1">
        <v>44538</v>
      </c>
      <c r="R11501" t="s">
        <v>27253</v>
      </c>
      <c r="S11501" t="s">
        <v>27254</v>
      </c>
      <c r="T11501" t="s">
        <v>27269</v>
      </c>
    </row>
    <row r="11502" spans="1:20" x14ac:dyDescent="0.3">
      <c r="A11502" t="str">
        <f>"0611839203025"</f>
        <v>0611839203025</v>
      </c>
      <c r="B11502" t="str">
        <f>"MC1374"</f>
        <v>MC1374</v>
      </c>
      <c r="C11502" t="s">
        <v>49478</v>
      </c>
      <c r="D11502" t="s">
        <v>27267</v>
      </c>
      <c r="E11502" t="str">
        <f t="shared" si="179"/>
        <v>001390</v>
      </c>
      <c r="F11502" t="s">
        <v>27246</v>
      </c>
      <c r="G11502" t="s">
        <v>27247</v>
      </c>
      <c r="H11502" t="s">
        <v>27248</v>
      </c>
      <c r="I11502" t="s">
        <v>49479</v>
      </c>
      <c r="J11502" t="s">
        <v>23018</v>
      </c>
      <c r="L11502" t="s">
        <v>27250</v>
      </c>
      <c r="M11502" t="s">
        <v>27251</v>
      </c>
      <c r="N11502" t="s">
        <v>27252</v>
      </c>
      <c r="Q11502" s="1">
        <v>44538</v>
      </c>
      <c r="R11502" t="s">
        <v>27253</v>
      </c>
      <c r="S11502" t="s">
        <v>27254</v>
      </c>
      <c r="T11502" t="s">
        <v>27269</v>
      </c>
    </row>
    <row r="11503" spans="1:20" x14ac:dyDescent="0.3">
      <c r="A11503" t="str">
        <f>"0611864042100"</f>
        <v>0611864042100</v>
      </c>
      <c r="B11503" t="str">
        <f>"CN5386"</f>
        <v>CN5386</v>
      </c>
      <c r="C11503" t="s">
        <v>49480</v>
      </c>
      <c r="D11503" t="s">
        <v>27335</v>
      </c>
      <c r="E11503" t="str">
        <f t="shared" si="179"/>
        <v>001390</v>
      </c>
      <c r="F11503" t="s">
        <v>27246</v>
      </c>
      <c r="G11503" t="s">
        <v>27247</v>
      </c>
      <c r="H11503" t="s">
        <v>27248</v>
      </c>
      <c r="I11503" t="s">
        <v>49481</v>
      </c>
      <c r="J11503" t="s">
        <v>23020</v>
      </c>
      <c r="L11503" t="s">
        <v>27250</v>
      </c>
      <c r="M11503" t="s">
        <v>27251</v>
      </c>
      <c r="N11503" t="s">
        <v>27252</v>
      </c>
      <c r="Q11503" s="1">
        <v>44846</v>
      </c>
      <c r="R11503" t="s">
        <v>27253</v>
      </c>
      <c r="S11503" t="s">
        <v>27254</v>
      </c>
      <c r="T11503" t="s">
        <v>27255</v>
      </c>
    </row>
    <row r="11504" spans="1:20" x14ac:dyDescent="0.3">
      <c r="A11504" t="str">
        <f>"0611839204025"</f>
        <v>0611839204025</v>
      </c>
      <c r="B11504" t="str">
        <f>"MC3999"</f>
        <v>MC3999</v>
      </c>
      <c r="C11504" t="s">
        <v>49482</v>
      </c>
      <c r="D11504" t="s">
        <v>27267</v>
      </c>
      <c r="E11504" t="str">
        <f t="shared" si="179"/>
        <v>001390</v>
      </c>
      <c r="F11504" t="s">
        <v>27246</v>
      </c>
      <c r="G11504" t="s">
        <v>27247</v>
      </c>
      <c r="H11504" t="s">
        <v>27248</v>
      </c>
      <c r="I11504" t="s">
        <v>49483</v>
      </c>
      <c r="J11504" t="s">
        <v>23022</v>
      </c>
      <c r="L11504" t="s">
        <v>27250</v>
      </c>
      <c r="M11504" t="s">
        <v>27251</v>
      </c>
      <c r="N11504" t="s">
        <v>27252</v>
      </c>
      <c r="Q11504" s="1">
        <v>44538</v>
      </c>
      <c r="R11504" t="s">
        <v>27253</v>
      </c>
      <c r="S11504" t="s">
        <v>27254</v>
      </c>
      <c r="T11504" t="s">
        <v>27269</v>
      </c>
    </row>
    <row r="11505" spans="1:20" x14ac:dyDescent="0.3">
      <c r="A11505" t="str">
        <f>"0611839245100"</f>
        <v>0611839245100</v>
      </c>
      <c r="B11505" t="str">
        <f>"LH7524"</f>
        <v>LH7524</v>
      </c>
      <c r="C11505" t="s">
        <v>49484</v>
      </c>
      <c r="D11505" t="s">
        <v>27245</v>
      </c>
      <c r="E11505" t="str">
        <f t="shared" si="179"/>
        <v>001390</v>
      </c>
      <c r="F11505" t="s">
        <v>27246</v>
      </c>
      <c r="G11505" t="s">
        <v>27247</v>
      </c>
      <c r="H11505" t="s">
        <v>27248</v>
      </c>
      <c r="I11505" t="s">
        <v>49485</v>
      </c>
      <c r="J11505" t="s">
        <v>23024</v>
      </c>
      <c r="L11505" t="s">
        <v>27250</v>
      </c>
      <c r="M11505" t="s">
        <v>27251</v>
      </c>
      <c r="N11505" t="s">
        <v>27252</v>
      </c>
      <c r="Q11505" s="1">
        <v>44538</v>
      </c>
      <c r="R11505" t="s">
        <v>27253</v>
      </c>
      <c r="S11505" t="s">
        <v>27254</v>
      </c>
      <c r="T11505" t="s">
        <v>27255</v>
      </c>
    </row>
    <row r="11506" spans="1:20" x14ac:dyDescent="0.3">
      <c r="A11506" t="str">
        <f>"0611839205025"</f>
        <v>0611839205025</v>
      </c>
      <c r="B11506" t="str">
        <f>"MC4235"</f>
        <v>MC4235</v>
      </c>
      <c r="C11506" t="s">
        <v>49486</v>
      </c>
      <c r="D11506" t="s">
        <v>27267</v>
      </c>
      <c r="E11506" t="str">
        <f t="shared" si="179"/>
        <v>001390</v>
      </c>
      <c r="F11506" t="s">
        <v>27246</v>
      </c>
      <c r="G11506" t="s">
        <v>27247</v>
      </c>
      <c r="H11506" t="s">
        <v>27248</v>
      </c>
      <c r="I11506" t="s">
        <v>49487</v>
      </c>
      <c r="J11506" t="s">
        <v>23032</v>
      </c>
      <c r="L11506" t="s">
        <v>27250</v>
      </c>
      <c r="M11506" t="s">
        <v>27251</v>
      </c>
      <c r="N11506" t="s">
        <v>27252</v>
      </c>
      <c r="Q11506" s="1">
        <v>44538</v>
      </c>
      <c r="R11506" t="s">
        <v>27253</v>
      </c>
      <c r="S11506" t="s">
        <v>27254</v>
      </c>
      <c r="T11506" t="s">
        <v>27269</v>
      </c>
    </row>
    <row r="11507" spans="1:20" x14ac:dyDescent="0.3">
      <c r="A11507" t="str">
        <f>"0611857104025"</f>
        <v>0611857104025</v>
      </c>
      <c r="B11507" t="str">
        <f>"MQ0805"</f>
        <v>MQ0805</v>
      </c>
      <c r="C11507" t="s">
        <v>49488</v>
      </c>
      <c r="D11507" t="s">
        <v>27267</v>
      </c>
      <c r="E11507" t="str">
        <f t="shared" si="179"/>
        <v>001390</v>
      </c>
      <c r="F11507" t="s">
        <v>27246</v>
      </c>
      <c r="G11507" t="s">
        <v>27247</v>
      </c>
      <c r="H11507" t="s">
        <v>27248</v>
      </c>
      <c r="I11507" t="s">
        <v>49489</v>
      </c>
      <c r="J11507" t="s">
        <v>23026</v>
      </c>
      <c r="L11507" t="s">
        <v>27250</v>
      </c>
      <c r="M11507" t="s">
        <v>27251</v>
      </c>
      <c r="N11507" t="s">
        <v>27252</v>
      </c>
      <c r="Q11507" s="1">
        <v>44812</v>
      </c>
      <c r="R11507" t="s">
        <v>27253</v>
      </c>
      <c r="S11507" t="s">
        <v>27254</v>
      </c>
      <c r="T11507" t="s">
        <v>27269</v>
      </c>
    </row>
    <row r="11508" spans="1:20" x14ac:dyDescent="0.3">
      <c r="A11508" t="str">
        <f>"0611839206025"</f>
        <v>0611839206025</v>
      </c>
      <c r="B11508" t="str">
        <f>"MQ0738"</f>
        <v>MQ0738</v>
      </c>
      <c r="C11508" t="s">
        <v>49490</v>
      </c>
      <c r="D11508" t="s">
        <v>27267</v>
      </c>
      <c r="E11508" t="str">
        <f t="shared" si="179"/>
        <v>001390</v>
      </c>
      <c r="F11508" t="s">
        <v>27246</v>
      </c>
      <c r="G11508" t="s">
        <v>27247</v>
      </c>
      <c r="H11508" t="s">
        <v>27248</v>
      </c>
      <c r="I11508" t="s">
        <v>49491</v>
      </c>
      <c r="J11508" t="s">
        <v>23030</v>
      </c>
      <c r="L11508" t="s">
        <v>27250</v>
      </c>
      <c r="M11508" t="s">
        <v>27251</v>
      </c>
      <c r="N11508" t="s">
        <v>27252</v>
      </c>
      <c r="Q11508" s="1">
        <v>44538</v>
      </c>
      <c r="R11508" t="s">
        <v>27253</v>
      </c>
      <c r="S11508" t="s">
        <v>27254</v>
      </c>
      <c r="T11508" t="s">
        <v>27269</v>
      </c>
    </row>
    <row r="11509" spans="1:20" x14ac:dyDescent="0.3">
      <c r="A11509" t="str">
        <f>"0611839207025"</f>
        <v>0611839207025</v>
      </c>
      <c r="B11509" t="str">
        <f>"MQ0369"</f>
        <v>MQ0369</v>
      </c>
      <c r="C11509" t="s">
        <v>49492</v>
      </c>
      <c r="D11509" t="s">
        <v>27267</v>
      </c>
      <c r="E11509" t="str">
        <f t="shared" si="179"/>
        <v>001390</v>
      </c>
      <c r="F11509" t="s">
        <v>27246</v>
      </c>
      <c r="G11509" t="s">
        <v>27247</v>
      </c>
      <c r="H11509" t="s">
        <v>27248</v>
      </c>
      <c r="I11509" t="s">
        <v>49493</v>
      </c>
      <c r="J11509" t="s">
        <v>23028</v>
      </c>
      <c r="L11509" t="s">
        <v>27250</v>
      </c>
      <c r="M11509" t="s">
        <v>27251</v>
      </c>
      <c r="N11509" t="s">
        <v>27252</v>
      </c>
      <c r="Q11509" s="1">
        <v>44538</v>
      </c>
      <c r="R11509" t="s">
        <v>27253</v>
      </c>
      <c r="S11509" t="s">
        <v>27254</v>
      </c>
      <c r="T11509" t="s">
        <v>27269</v>
      </c>
    </row>
    <row r="11510" spans="1:20" x14ac:dyDescent="0.3">
      <c r="A11510" t="str">
        <f>"0611884464100"</f>
        <v>0611884464100</v>
      </c>
      <c r="B11510" t="str">
        <f>"LF9115"</f>
        <v>LF9115</v>
      </c>
      <c r="C11510" t="s">
        <v>49494</v>
      </c>
      <c r="D11510" t="s">
        <v>27245</v>
      </c>
      <c r="E11510" t="str">
        <f t="shared" si="179"/>
        <v>001390</v>
      </c>
      <c r="F11510" t="s">
        <v>27246</v>
      </c>
      <c r="G11510" t="s">
        <v>27247</v>
      </c>
      <c r="H11510" t="s">
        <v>27248</v>
      </c>
      <c r="I11510" t="s">
        <v>49495</v>
      </c>
      <c r="J11510" t="s">
        <v>23034</v>
      </c>
      <c r="L11510" t="s">
        <v>27430</v>
      </c>
      <c r="M11510" t="s">
        <v>27251</v>
      </c>
      <c r="N11510" t="s">
        <v>27252</v>
      </c>
      <c r="Q11510" s="1">
        <v>45250</v>
      </c>
      <c r="R11510" t="s">
        <v>27253</v>
      </c>
      <c r="S11510" t="s">
        <v>27254</v>
      </c>
      <c r="T11510" t="s">
        <v>27255</v>
      </c>
    </row>
    <row r="11511" spans="1:20" x14ac:dyDescent="0.3">
      <c r="A11511" t="str">
        <f>"0611864043100"</f>
        <v>0611864043100</v>
      </c>
      <c r="B11511" t="str">
        <f>"CN2322"</f>
        <v>CN2322</v>
      </c>
      <c r="C11511" t="s">
        <v>49496</v>
      </c>
      <c r="D11511" t="s">
        <v>27245</v>
      </c>
      <c r="E11511" t="str">
        <f t="shared" si="179"/>
        <v>001390</v>
      </c>
      <c r="F11511" t="s">
        <v>27246</v>
      </c>
      <c r="G11511" t="s">
        <v>27247</v>
      </c>
      <c r="H11511" t="s">
        <v>27248</v>
      </c>
      <c r="I11511" t="s">
        <v>49497</v>
      </c>
      <c r="J11511" t="s">
        <v>23036</v>
      </c>
      <c r="L11511" t="s">
        <v>27250</v>
      </c>
      <c r="M11511" t="s">
        <v>27251</v>
      </c>
      <c r="N11511" t="s">
        <v>27252</v>
      </c>
      <c r="Q11511" s="1">
        <v>44846</v>
      </c>
      <c r="R11511" t="s">
        <v>27253</v>
      </c>
      <c r="S11511" t="s">
        <v>27254</v>
      </c>
      <c r="T11511" t="s">
        <v>27255</v>
      </c>
    </row>
    <row r="11512" spans="1:20" x14ac:dyDescent="0.3">
      <c r="A11512" t="str">
        <f>"0611839209025"</f>
        <v>0611839209025</v>
      </c>
      <c r="B11512" t="str">
        <f>"MC1369"</f>
        <v>MC1369</v>
      </c>
      <c r="C11512" t="s">
        <v>49498</v>
      </c>
      <c r="D11512" t="s">
        <v>27267</v>
      </c>
      <c r="E11512" t="str">
        <f t="shared" si="179"/>
        <v>001390</v>
      </c>
      <c r="F11512" t="s">
        <v>27246</v>
      </c>
      <c r="G11512" t="s">
        <v>27247</v>
      </c>
      <c r="H11512" t="s">
        <v>27248</v>
      </c>
      <c r="I11512" t="s">
        <v>49499</v>
      </c>
      <c r="J11512" t="s">
        <v>23038</v>
      </c>
      <c r="L11512" t="s">
        <v>27250</v>
      </c>
      <c r="M11512" t="s">
        <v>27251</v>
      </c>
      <c r="N11512" t="s">
        <v>27252</v>
      </c>
      <c r="Q11512" s="1">
        <v>44538</v>
      </c>
      <c r="R11512" t="s">
        <v>27253</v>
      </c>
      <c r="S11512" t="s">
        <v>27254</v>
      </c>
      <c r="T11512" t="s">
        <v>27269</v>
      </c>
    </row>
    <row r="11513" spans="1:20" x14ac:dyDescent="0.3">
      <c r="A11513" t="str">
        <f>"0611839210025"</f>
        <v>0611839210025</v>
      </c>
      <c r="B11513" t="str">
        <f>"MC0680"</f>
        <v>MC0680</v>
      </c>
      <c r="C11513" t="s">
        <v>49500</v>
      </c>
      <c r="D11513" t="s">
        <v>27267</v>
      </c>
      <c r="E11513" t="str">
        <f t="shared" si="179"/>
        <v>001390</v>
      </c>
      <c r="F11513" t="s">
        <v>27246</v>
      </c>
      <c r="G11513" t="s">
        <v>27247</v>
      </c>
      <c r="H11513" t="s">
        <v>27248</v>
      </c>
      <c r="I11513" t="s">
        <v>49501</v>
      </c>
      <c r="J11513" t="s">
        <v>23040</v>
      </c>
      <c r="L11513" t="s">
        <v>27250</v>
      </c>
      <c r="M11513" t="s">
        <v>27251</v>
      </c>
      <c r="N11513" t="s">
        <v>27252</v>
      </c>
      <c r="Q11513" s="1">
        <v>44538</v>
      </c>
      <c r="R11513" t="s">
        <v>27253</v>
      </c>
      <c r="S11513" t="s">
        <v>27254</v>
      </c>
      <c r="T11513" t="s">
        <v>27269</v>
      </c>
    </row>
    <row r="11514" spans="1:20" x14ac:dyDescent="0.3">
      <c r="A11514" t="str">
        <f>"0611839211100"</f>
        <v>0611839211100</v>
      </c>
      <c r="B11514" t="str">
        <f>"LH8934"</f>
        <v>LH8934</v>
      </c>
      <c r="C11514" t="s">
        <v>49502</v>
      </c>
      <c r="D11514" t="s">
        <v>27245</v>
      </c>
      <c r="E11514" t="str">
        <f t="shared" si="179"/>
        <v>001390</v>
      </c>
      <c r="F11514" t="s">
        <v>27246</v>
      </c>
      <c r="G11514" t="s">
        <v>27247</v>
      </c>
      <c r="H11514" t="s">
        <v>27248</v>
      </c>
      <c r="I11514" t="s">
        <v>49503</v>
      </c>
      <c r="J11514" t="s">
        <v>23042</v>
      </c>
      <c r="L11514" t="s">
        <v>27250</v>
      </c>
      <c r="M11514" t="s">
        <v>27251</v>
      </c>
      <c r="N11514" t="s">
        <v>27252</v>
      </c>
      <c r="Q11514" s="1">
        <v>44538</v>
      </c>
      <c r="R11514" t="s">
        <v>27253</v>
      </c>
      <c r="S11514" t="s">
        <v>27254</v>
      </c>
      <c r="T11514" t="s">
        <v>27255</v>
      </c>
    </row>
    <row r="11515" spans="1:20" x14ac:dyDescent="0.3">
      <c r="A11515" t="str">
        <f>"0611839212025"</f>
        <v>0611839212025</v>
      </c>
      <c r="B11515" t="str">
        <f>"MC3375"</f>
        <v>MC3375</v>
      </c>
      <c r="C11515" t="s">
        <v>49502</v>
      </c>
      <c r="D11515" t="s">
        <v>27267</v>
      </c>
      <c r="E11515" t="str">
        <f t="shared" si="179"/>
        <v>001390</v>
      </c>
      <c r="F11515" t="s">
        <v>27246</v>
      </c>
      <c r="G11515" t="s">
        <v>27247</v>
      </c>
      <c r="H11515" t="s">
        <v>27248</v>
      </c>
      <c r="I11515" t="s">
        <v>49504</v>
      </c>
      <c r="J11515" t="s">
        <v>23044</v>
      </c>
      <c r="L11515" t="s">
        <v>27250</v>
      </c>
      <c r="M11515" t="s">
        <v>27251</v>
      </c>
      <c r="N11515" t="s">
        <v>27252</v>
      </c>
      <c r="Q11515" s="1">
        <v>44538</v>
      </c>
      <c r="R11515" t="s">
        <v>27253</v>
      </c>
      <c r="S11515" t="s">
        <v>27254</v>
      </c>
      <c r="T11515" t="s">
        <v>27269</v>
      </c>
    </row>
    <row r="11516" spans="1:20" x14ac:dyDescent="0.3">
      <c r="A11516" t="str">
        <f>"0611839214025"</f>
        <v>0611839214025</v>
      </c>
      <c r="B11516" t="str">
        <f>"MC4242"</f>
        <v>MC4242</v>
      </c>
      <c r="C11516" t="s">
        <v>49505</v>
      </c>
      <c r="D11516" t="s">
        <v>27267</v>
      </c>
      <c r="E11516" t="str">
        <f t="shared" si="179"/>
        <v>001390</v>
      </c>
      <c r="F11516" t="s">
        <v>27246</v>
      </c>
      <c r="G11516" t="s">
        <v>27247</v>
      </c>
      <c r="H11516" t="s">
        <v>27248</v>
      </c>
      <c r="I11516" t="s">
        <v>49506</v>
      </c>
      <c r="J11516" t="s">
        <v>23046</v>
      </c>
      <c r="L11516" t="s">
        <v>27250</v>
      </c>
      <c r="M11516" t="s">
        <v>27251</v>
      </c>
      <c r="N11516" t="s">
        <v>27252</v>
      </c>
      <c r="Q11516" s="1">
        <v>44538</v>
      </c>
      <c r="R11516" t="s">
        <v>27253</v>
      </c>
      <c r="S11516" t="s">
        <v>27254</v>
      </c>
      <c r="T11516" t="s">
        <v>27269</v>
      </c>
    </row>
    <row r="11517" spans="1:20" x14ac:dyDescent="0.3">
      <c r="A11517" t="str">
        <f>"0611839215025"</f>
        <v>0611839215025</v>
      </c>
      <c r="B11517" t="str">
        <f>"MC3808"</f>
        <v>MC3808</v>
      </c>
      <c r="C11517" t="s">
        <v>49507</v>
      </c>
      <c r="D11517" t="s">
        <v>27267</v>
      </c>
      <c r="E11517" t="str">
        <f t="shared" si="179"/>
        <v>001390</v>
      </c>
      <c r="F11517" t="s">
        <v>27246</v>
      </c>
      <c r="G11517" t="s">
        <v>27247</v>
      </c>
      <c r="H11517" t="s">
        <v>27248</v>
      </c>
      <c r="I11517" t="s">
        <v>49508</v>
      </c>
      <c r="J11517" t="s">
        <v>23048</v>
      </c>
      <c r="L11517" t="s">
        <v>27250</v>
      </c>
      <c r="M11517" t="s">
        <v>27251</v>
      </c>
      <c r="N11517" t="s">
        <v>27252</v>
      </c>
      <c r="Q11517" s="1">
        <v>44538</v>
      </c>
      <c r="R11517" t="s">
        <v>27253</v>
      </c>
      <c r="S11517" t="s">
        <v>27254</v>
      </c>
      <c r="T11517" t="s">
        <v>27269</v>
      </c>
    </row>
    <row r="11518" spans="1:20" x14ac:dyDescent="0.3">
      <c r="A11518" t="str">
        <f>"0611839216025"</f>
        <v>0611839216025</v>
      </c>
      <c r="B11518" t="str">
        <f>"MC3436"</f>
        <v>MC3436</v>
      </c>
      <c r="C11518" t="s">
        <v>49509</v>
      </c>
      <c r="D11518" t="s">
        <v>27267</v>
      </c>
      <c r="E11518" t="str">
        <f t="shared" si="179"/>
        <v>001390</v>
      </c>
      <c r="F11518" t="s">
        <v>27246</v>
      </c>
      <c r="G11518" t="s">
        <v>27247</v>
      </c>
      <c r="H11518" t="s">
        <v>27248</v>
      </c>
      <c r="I11518" t="s">
        <v>49510</v>
      </c>
      <c r="J11518" t="s">
        <v>23050</v>
      </c>
      <c r="L11518" t="s">
        <v>27250</v>
      </c>
      <c r="M11518" t="s">
        <v>27251</v>
      </c>
      <c r="N11518" t="s">
        <v>27252</v>
      </c>
      <c r="Q11518" s="1">
        <v>44538</v>
      </c>
      <c r="R11518" t="s">
        <v>27253</v>
      </c>
      <c r="S11518" t="s">
        <v>27254</v>
      </c>
      <c r="T11518" t="s">
        <v>27269</v>
      </c>
    </row>
    <row r="11519" spans="1:20" x14ac:dyDescent="0.3">
      <c r="A11519" t="str">
        <f>"0611839217025"</f>
        <v>0611839217025</v>
      </c>
      <c r="B11519" t="str">
        <f>"MC3806"</f>
        <v>MC3806</v>
      </c>
      <c r="C11519" t="s">
        <v>49511</v>
      </c>
      <c r="D11519" t="s">
        <v>27267</v>
      </c>
      <c r="E11519" t="str">
        <f t="shared" si="179"/>
        <v>001390</v>
      </c>
      <c r="F11519" t="s">
        <v>27246</v>
      </c>
      <c r="G11519" t="s">
        <v>27247</v>
      </c>
      <c r="H11519" t="s">
        <v>27248</v>
      </c>
      <c r="I11519" t="s">
        <v>49512</v>
      </c>
      <c r="J11519" t="s">
        <v>23052</v>
      </c>
      <c r="L11519" t="s">
        <v>27250</v>
      </c>
      <c r="M11519" t="s">
        <v>27251</v>
      </c>
      <c r="N11519" t="s">
        <v>27252</v>
      </c>
      <c r="Q11519" s="1">
        <v>44538</v>
      </c>
      <c r="R11519" t="s">
        <v>27253</v>
      </c>
      <c r="S11519" t="s">
        <v>27254</v>
      </c>
      <c r="T11519" t="s">
        <v>27269</v>
      </c>
    </row>
    <row r="11520" spans="1:20" x14ac:dyDescent="0.3">
      <c r="A11520" t="str">
        <f>"0611864044100"</f>
        <v>0611864044100</v>
      </c>
      <c r="B11520" t="str">
        <f>"CN2246"</f>
        <v>CN2246</v>
      </c>
      <c r="C11520" t="s">
        <v>49513</v>
      </c>
      <c r="D11520" t="s">
        <v>27335</v>
      </c>
      <c r="E11520" t="str">
        <f t="shared" si="179"/>
        <v>001390</v>
      </c>
      <c r="F11520" t="s">
        <v>27246</v>
      </c>
      <c r="G11520" t="s">
        <v>27247</v>
      </c>
      <c r="H11520" t="s">
        <v>27248</v>
      </c>
      <c r="I11520" t="s">
        <v>49514</v>
      </c>
      <c r="J11520" t="s">
        <v>23054</v>
      </c>
      <c r="L11520" t="s">
        <v>27250</v>
      </c>
      <c r="M11520" t="s">
        <v>27251</v>
      </c>
      <c r="N11520" t="s">
        <v>27252</v>
      </c>
      <c r="Q11520" s="1">
        <v>44846</v>
      </c>
      <c r="R11520" t="s">
        <v>27253</v>
      </c>
      <c r="S11520" t="s">
        <v>27254</v>
      </c>
      <c r="T11520" t="s">
        <v>27255</v>
      </c>
    </row>
    <row r="11521" spans="1:20" x14ac:dyDescent="0.3">
      <c r="A11521" t="str">
        <f>"0611839218025"</f>
        <v>0611839218025</v>
      </c>
      <c r="B11521" t="str">
        <f>"MQ9018"</f>
        <v>MQ9018</v>
      </c>
      <c r="C11521" t="s">
        <v>49515</v>
      </c>
      <c r="D11521" t="s">
        <v>27267</v>
      </c>
      <c r="E11521" t="str">
        <f t="shared" si="179"/>
        <v>001390</v>
      </c>
      <c r="F11521" t="s">
        <v>27246</v>
      </c>
      <c r="G11521" t="s">
        <v>27247</v>
      </c>
      <c r="H11521" t="s">
        <v>27248</v>
      </c>
      <c r="I11521" t="s">
        <v>49516</v>
      </c>
      <c r="J11521" t="s">
        <v>23056</v>
      </c>
      <c r="L11521" t="s">
        <v>27250</v>
      </c>
      <c r="M11521" t="s">
        <v>27251</v>
      </c>
      <c r="N11521" t="s">
        <v>27252</v>
      </c>
      <c r="Q11521" s="1">
        <v>44538</v>
      </c>
      <c r="R11521" t="s">
        <v>27253</v>
      </c>
      <c r="S11521" t="s">
        <v>27254</v>
      </c>
      <c r="T11521" t="s">
        <v>27269</v>
      </c>
    </row>
    <row r="11522" spans="1:20" x14ac:dyDescent="0.3">
      <c r="A11522" t="str">
        <f>"0611839219025"</f>
        <v>0611839219025</v>
      </c>
      <c r="B11522" t="str">
        <f>"MQ0739"</f>
        <v>MQ0739</v>
      </c>
      <c r="C11522" t="s">
        <v>49517</v>
      </c>
      <c r="D11522" t="s">
        <v>27267</v>
      </c>
      <c r="E11522" t="str">
        <f t="shared" ref="E11522:E11585" si="180">"001390"</f>
        <v>001390</v>
      </c>
      <c r="F11522" t="s">
        <v>27246</v>
      </c>
      <c r="G11522" t="s">
        <v>27247</v>
      </c>
      <c r="H11522" t="s">
        <v>27248</v>
      </c>
      <c r="I11522" t="s">
        <v>49518</v>
      </c>
      <c r="J11522" t="s">
        <v>23058</v>
      </c>
      <c r="L11522" t="s">
        <v>27250</v>
      </c>
      <c r="M11522" t="s">
        <v>27251</v>
      </c>
      <c r="N11522" t="s">
        <v>27252</v>
      </c>
      <c r="Q11522" s="1">
        <v>44538</v>
      </c>
      <c r="R11522" t="s">
        <v>27253</v>
      </c>
      <c r="S11522" t="s">
        <v>27254</v>
      </c>
      <c r="T11522" t="s">
        <v>27269</v>
      </c>
    </row>
    <row r="11523" spans="1:20" x14ac:dyDescent="0.3">
      <c r="A11523" t="str">
        <f>"0611839220025"</f>
        <v>0611839220025</v>
      </c>
      <c r="B11523" t="str">
        <f>"MC2572"</f>
        <v>MC2572</v>
      </c>
      <c r="C11523" t="s">
        <v>49519</v>
      </c>
      <c r="D11523" t="s">
        <v>27267</v>
      </c>
      <c r="E11523" t="str">
        <f t="shared" si="180"/>
        <v>001390</v>
      </c>
      <c r="F11523" t="s">
        <v>27246</v>
      </c>
      <c r="G11523" t="s">
        <v>27247</v>
      </c>
      <c r="H11523" t="s">
        <v>27248</v>
      </c>
      <c r="I11523" t="s">
        <v>49520</v>
      </c>
      <c r="J11523" t="s">
        <v>23060</v>
      </c>
      <c r="L11523" t="s">
        <v>27250</v>
      </c>
      <c r="M11523" t="s">
        <v>27251</v>
      </c>
      <c r="N11523" t="s">
        <v>27252</v>
      </c>
      <c r="Q11523" s="1">
        <v>44538</v>
      </c>
      <c r="R11523" t="s">
        <v>27253</v>
      </c>
      <c r="S11523" t="s">
        <v>27254</v>
      </c>
      <c r="T11523" t="s">
        <v>27269</v>
      </c>
    </row>
    <row r="11524" spans="1:20" x14ac:dyDescent="0.3">
      <c r="A11524" t="str">
        <f>"0611839221025"</f>
        <v>0611839221025</v>
      </c>
      <c r="B11524" t="str">
        <f>"MC3376"</f>
        <v>MC3376</v>
      </c>
      <c r="C11524" t="s">
        <v>49521</v>
      </c>
      <c r="D11524" t="s">
        <v>27267</v>
      </c>
      <c r="E11524" t="str">
        <f t="shared" si="180"/>
        <v>001390</v>
      </c>
      <c r="F11524" t="s">
        <v>27246</v>
      </c>
      <c r="G11524" t="s">
        <v>27247</v>
      </c>
      <c r="H11524" t="s">
        <v>27248</v>
      </c>
      <c r="I11524" t="s">
        <v>49522</v>
      </c>
      <c r="J11524" t="s">
        <v>23062</v>
      </c>
      <c r="L11524" t="s">
        <v>27250</v>
      </c>
      <c r="M11524" t="s">
        <v>27251</v>
      </c>
      <c r="N11524" t="s">
        <v>27252</v>
      </c>
      <c r="Q11524" s="1">
        <v>44538</v>
      </c>
      <c r="R11524" t="s">
        <v>27253</v>
      </c>
      <c r="S11524" t="s">
        <v>27254</v>
      </c>
      <c r="T11524" t="s">
        <v>27269</v>
      </c>
    </row>
    <row r="11525" spans="1:20" x14ac:dyDescent="0.3">
      <c r="A11525" t="str">
        <f>"0611839222025"</f>
        <v>0611839222025</v>
      </c>
      <c r="B11525" t="str">
        <f>"MC0915"</f>
        <v>MC0915</v>
      </c>
      <c r="C11525" t="s">
        <v>49523</v>
      </c>
      <c r="D11525" t="s">
        <v>27267</v>
      </c>
      <c r="E11525" t="str">
        <f t="shared" si="180"/>
        <v>001390</v>
      </c>
      <c r="F11525" t="s">
        <v>27246</v>
      </c>
      <c r="G11525" t="s">
        <v>27247</v>
      </c>
      <c r="H11525" t="s">
        <v>27248</v>
      </c>
      <c r="I11525" t="s">
        <v>49524</v>
      </c>
      <c r="J11525" t="s">
        <v>23064</v>
      </c>
      <c r="L11525" t="s">
        <v>27250</v>
      </c>
      <c r="M11525" t="s">
        <v>27251</v>
      </c>
      <c r="N11525" t="s">
        <v>27252</v>
      </c>
      <c r="Q11525" s="1">
        <v>44538</v>
      </c>
      <c r="R11525" t="s">
        <v>27253</v>
      </c>
      <c r="S11525" t="s">
        <v>27254</v>
      </c>
      <c r="T11525" t="s">
        <v>27269</v>
      </c>
    </row>
    <row r="11526" spans="1:20" x14ac:dyDescent="0.3">
      <c r="A11526" t="str">
        <f>"0611864045050"</f>
        <v>0611864045050</v>
      </c>
      <c r="B11526" t="str">
        <f>"CR4478"</f>
        <v>CR4478</v>
      </c>
      <c r="C11526" t="s">
        <v>49523</v>
      </c>
      <c r="D11526" t="s">
        <v>27263</v>
      </c>
      <c r="E11526" t="str">
        <f t="shared" si="180"/>
        <v>001390</v>
      </c>
      <c r="F11526" t="s">
        <v>27246</v>
      </c>
      <c r="G11526" t="s">
        <v>27247</v>
      </c>
      <c r="H11526" t="s">
        <v>27248</v>
      </c>
      <c r="I11526" t="s">
        <v>49525</v>
      </c>
      <c r="J11526" t="s">
        <v>23066</v>
      </c>
      <c r="L11526" t="s">
        <v>27250</v>
      </c>
      <c r="M11526" t="s">
        <v>27251</v>
      </c>
      <c r="N11526" t="s">
        <v>27252</v>
      </c>
      <c r="Q11526" s="1">
        <v>44846</v>
      </c>
      <c r="R11526" t="s">
        <v>27253</v>
      </c>
      <c r="S11526" t="s">
        <v>27254</v>
      </c>
      <c r="T11526" t="s">
        <v>27265</v>
      </c>
    </row>
    <row r="11527" spans="1:20" x14ac:dyDescent="0.3">
      <c r="A11527" t="str">
        <f>"0611864046050"</f>
        <v>0611864046050</v>
      </c>
      <c r="B11527" t="str">
        <f>"CR4473"</f>
        <v>CR4473</v>
      </c>
      <c r="C11527" t="s">
        <v>49526</v>
      </c>
      <c r="D11527" t="s">
        <v>27263</v>
      </c>
      <c r="E11527" t="str">
        <f t="shared" si="180"/>
        <v>001390</v>
      </c>
      <c r="F11527" t="s">
        <v>27246</v>
      </c>
      <c r="G11527" t="s">
        <v>27247</v>
      </c>
      <c r="H11527" t="s">
        <v>27248</v>
      </c>
      <c r="I11527" t="s">
        <v>49527</v>
      </c>
      <c r="J11527" t="s">
        <v>23068</v>
      </c>
      <c r="L11527" t="s">
        <v>27250</v>
      </c>
      <c r="M11527" t="s">
        <v>27251</v>
      </c>
      <c r="N11527" t="s">
        <v>27252</v>
      </c>
      <c r="Q11527" s="1">
        <v>44846</v>
      </c>
      <c r="R11527" t="s">
        <v>27253</v>
      </c>
      <c r="S11527" t="s">
        <v>27254</v>
      </c>
      <c r="T11527" t="s">
        <v>27265</v>
      </c>
    </row>
    <row r="11528" spans="1:20" x14ac:dyDescent="0.3">
      <c r="A11528" t="str">
        <f>"0611839223025"</f>
        <v>0611839223025</v>
      </c>
      <c r="B11528" t="str">
        <f>"MC4237"</f>
        <v>MC4237</v>
      </c>
      <c r="C11528" t="s">
        <v>49528</v>
      </c>
      <c r="D11528" t="s">
        <v>27267</v>
      </c>
      <c r="E11528" t="str">
        <f t="shared" si="180"/>
        <v>001390</v>
      </c>
      <c r="F11528" t="s">
        <v>27246</v>
      </c>
      <c r="G11528" t="s">
        <v>27247</v>
      </c>
      <c r="H11528" t="s">
        <v>27248</v>
      </c>
      <c r="I11528" t="s">
        <v>49529</v>
      </c>
      <c r="J11528" t="s">
        <v>23070</v>
      </c>
      <c r="L11528" t="s">
        <v>27250</v>
      </c>
      <c r="M11528" t="s">
        <v>27251</v>
      </c>
      <c r="N11528" t="s">
        <v>27252</v>
      </c>
      <c r="Q11528" s="1">
        <v>44538</v>
      </c>
      <c r="R11528" t="s">
        <v>27253</v>
      </c>
      <c r="S11528" t="s">
        <v>27254</v>
      </c>
      <c r="T11528" t="s">
        <v>27269</v>
      </c>
    </row>
    <row r="11529" spans="1:20" x14ac:dyDescent="0.3">
      <c r="A11529" t="str">
        <f>"0611864047100"</f>
        <v>0611864047100</v>
      </c>
      <c r="B11529" t="str">
        <f>"CN2272"</f>
        <v>CN2272</v>
      </c>
      <c r="C11529" t="s">
        <v>49530</v>
      </c>
      <c r="D11529" t="s">
        <v>27335</v>
      </c>
      <c r="E11529" t="str">
        <f t="shared" si="180"/>
        <v>001390</v>
      </c>
      <c r="F11529" t="s">
        <v>27246</v>
      </c>
      <c r="G11529" t="s">
        <v>27247</v>
      </c>
      <c r="H11529" t="s">
        <v>27248</v>
      </c>
      <c r="I11529" t="s">
        <v>49531</v>
      </c>
      <c r="J11529" t="s">
        <v>23072</v>
      </c>
      <c r="L11529" t="s">
        <v>27250</v>
      </c>
      <c r="M11529" t="s">
        <v>27251</v>
      </c>
      <c r="N11529" t="s">
        <v>27252</v>
      </c>
      <c r="Q11529" s="1">
        <v>44846</v>
      </c>
      <c r="R11529" t="s">
        <v>27253</v>
      </c>
      <c r="S11529" t="s">
        <v>27254</v>
      </c>
      <c r="T11529" t="s">
        <v>27255</v>
      </c>
    </row>
    <row r="11530" spans="1:20" x14ac:dyDescent="0.3">
      <c r="A11530" t="str">
        <f>"0611839224025"</f>
        <v>0611839224025</v>
      </c>
      <c r="B11530" t="str">
        <f>"MQ0370"</f>
        <v>MQ0370</v>
      </c>
      <c r="C11530" t="s">
        <v>49532</v>
      </c>
      <c r="D11530" t="s">
        <v>27267</v>
      </c>
      <c r="E11530" t="str">
        <f t="shared" si="180"/>
        <v>001390</v>
      </c>
      <c r="F11530" t="s">
        <v>27246</v>
      </c>
      <c r="G11530" t="s">
        <v>27247</v>
      </c>
      <c r="H11530" t="s">
        <v>27248</v>
      </c>
      <c r="I11530" t="s">
        <v>49533</v>
      </c>
      <c r="J11530" t="s">
        <v>23074</v>
      </c>
      <c r="L11530" t="s">
        <v>27250</v>
      </c>
      <c r="M11530" t="s">
        <v>27251</v>
      </c>
      <c r="N11530" t="s">
        <v>27252</v>
      </c>
      <c r="Q11530" s="1">
        <v>44538</v>
      </c>
      <c r="R11530" t="s">
        <v>27253</v>
      </c>
      <c r="S11530" t="s">
        <v>27254</v>
      </c>
      <c r="T11530" t="s">
        <v>27269</v>
      </c>
    </row>
    <row r="11531" spans="1:20" x14ac:dyDescent="0.3">
      <c r="A11531" t="str">
        <f>"0611839225025"</f>
        <v>0611839225025</v>
      </c>
      <c r="B11531" t="str">
        <f>"MC1666"</f>
        <v>MC1666</v>
      </c>
      <c r="C11531" t="s">
        <v>49534</v>
      </c>
      <c r="D11531" t="s">
        <v>27267</v>
      </c>
      <c r="E11531" t="str">
        <f t="shared" si="180"/>
        <v>001390</v>
      </c>
      <c r="F11531" t="s">
        <v>27246</v>
      </c>
      <c r="G11531" t="s">
        <v>27247</v>
      </c>
      <c r="H11531" t="s">
        <v>27248</v>
      </c>
      <c r="I11531" t="s">
        <v>49535</v>
      </c>
      <c r="J11531" t="s">
        <v>23076</v>
      </c>
      <c r="L11531" t="s">
        <v>27250</v>
      </c>
      <c r="M11531" t="s">
        <v>27251</v>
      </c>
      <c r="N11531" t="s">
        <v>27252</v>
      </c>
      <c r="Q11531" s="1">
        <v>44538</v>
      </c>
      <c r="R11531" t="s">
        <v>27253</v>
      </c>
      <c r="S11531" t="s">
        <v>27254</v>
      </c>
      <c r="T11531" t="s">
        <v>27269</v>
      </c>
    </row>
    <row r="11532" spans="1:20" x14ac:dyDescent="0.3">
      <c r="A11532" t="str">
        <f>"0611857105025"</f>
        <v>0611857105025</v>
      </c>
      <c r="B11532" t="str">
        <f>"MQ0806"</f>
        <v>MQ0806</v>
      </c>
      <c r="C11532" t="s">
        <v>49536</v>
      </c>
      <c r="D11532" t="s">
        <v>27267</v>
      </c>
      <c r="E11532" t="str">
        <f t="shared" si="180"/>
        <v>001390</v>
      </c>
      <c r="F11532" t="s">
        <v>27246</v>
      </c>
      <c r="G11532" t="s">
        <v>27247</v>
      </c>
      <c r="H11532" t="s">
        <v>27248</v>
      </c>
      <c r="I11532" t="s">
        <v>49537</v>
      </c>
      <c r="J11532" t="s">
        <v>23078</v>
      </c>
      <c r="L11532" t="s">
        <v>27250</v>
      </c>
      <c r="M11532" t="s">
        <v>27251</v>
      </c>
      <c r="N11532" t="s">
        <v>27252</v>
      </c>
      <c r="Q11532" s="1">
        <v>44812</v>
      </c>
      <c r="R11532" t="s">
        <v>27253</v>
      </c>
      <c r="S11532" t="s">
        <v>27254</v>
      </c>
      <c r="T11532" t="s">
        <v>27269</v>
      </c>
    </row>
    <row r="11533" spans="1:20" x14ac:dyDescent="0.3">
      <c r="A11533" t="str">
        <f>"0611839226025"</f>
        <v>0611839226025</v>
      </c>
      <c r="B11533" t="str">
        <f>"MQ0740"</f>
        <v>MQ0740</v>
      </c>
      <c r="C11533" t="s">
        <v>49538</v>
      </c>
      <c r="D11533" t="s">
        <v>27267</v>
      </c>
      <c r="E11533" t="str">
        <f t="shared" si="180"/>
        <v>001390</v>
      </c>
      <c r="F11533" t="s">
        <v>27246</v>
      </c>
      <c r="G11533" t="s">
        <v>27247</v>
      </c>
      <c r="H11533" t="s">
        <v>27248</v>
      </c>
      <c r="I11533" t="s">
        <v>49539</v>
      </c>
      <c r="J11533" t="s">
        <v>23080</v>
      </c>
      <c r="L11533" t="s">
        <v>27250</v>
      </c>
      <c r="M11533" t="s">
        <v>27251</v>
      </c>
      <c r="N11533" t="s">
        <v>27252</v>
      </c>
      <c r="Q11533" s="1">
        <v>44538</v>
      </c>
      <c r="R11533" t="s">
        <v>27253</v>
      </c>
      <c r="S11533" t="s">
        <v>27254</v>
      </c>
      <c r="T11533" t="s">
        <v>27269</v>
      </c>
    </row>
    <row r="11534" spans="1:20" x14ac:dyDescent="0.3">
      <c r="A11534" t="str">
        <f>"0611864048100"</f>
        <v>0611864048100</v>
      </c>
      <c r="B11534" t="str">
        <f>"CN2247"</f>
        <v>CN2247</v>
      </c>
      <c r="C11534" t="s">
        <v>49540</v>
      </c>
      <c r="D11534" t="s">
        <v>27335</v>
      </c>
      <c r="E11534" t="str">
        <f t="shared" si="180"/>
        <v>001390</v>
      </c>
      <c r="F11534" t="s">
        <v>27246</v>
      </c>
      <c r="G11534" t="s">
        <v>27247</v>
      </c>
      <c r="H11534" t="s">
        <v>27248</v>
      </c>
      <c r="I11534" t="s">
        <v>49541</v>
      </c>
      <c r="J11534" t="s">
        <v>23082</v>
      </c>
      <c r="L11534" t="s">
        <v>27250</v>
      </c>
      <c r="M11534" t="s">
        <v>27251</v>
      </c>
      <c r="N11534" t="s">
        <v>27252</v>
      </c>
      <c r="Q11534" s="1">
        <v>44846</v>
      </c>
      <c r="R11534" t="s">
        <v>27253</v>
      </c>
      <c r="S11534" t="s">
        <v>27254</v>
      </c>
      <c r="T11534" t="s">
        <v>27255</v>
      </c>
    </row>
    <row r="11535" spans="1:20" x14ac:dyDescent="0.3">
      <c r="A11535" t="str">
        <f>"0611839227025"</f>
        <v>0611839227025</v>
      </c>
      <c r="B11535" t="str">
        <f>"MC1378"</f>
        <v>MC1378</v>
      </c>
      <c r="C11535" t="s">
        <v>49542</v>
      </c>
      <c r="D11535" t="s">
        <v>27267</v>
      </c>
      <c r="E11535" t="str">
        <f t="shared" si="180"/>
        <v>001390</v>
      </c>
      <c r="F11535" t="s">
        <v>27246</v>
      </c>
      <c r="G11535" t="s">
        <v>27247</v>
      </c>
      <c r="H11535" t="s">
        <v>27248</v>
      </c>
      <c r="I11535" t="s">
        <v>49543</v>
      </c>
      <c r="J11535" t="s">
        <v>23084</v>
      </c>
      <c r="L11535" t="s">
        <v>27250</v>
      </c>
      <c r="M11535" t="s">
        <v>27251</v>
      </c>
      <c r="N11535" t="s">
        <v>27252</v>
      </c>
      <c r="Q11535" s="1">
        <v>44538</v>
      </c>
      <c r="R11535" t="s">
        <v>27253</v>
      </c>
      <c r="S11535" t="s">
        <v>27254</v>
      </c>
      <c r="T11535" t="s">
        <v>27269</v>
      </c>
    </row>
    <row r="11536" spans="1:20" x14ac:dyDescent="0.3">
      <c r="A11536" t="str">
        <f>"0611839228025"</f>
        <v>0611839228025</v>
      </c>
      <c r="B11536" t="str">
        <f>"MC3202"</f>
        <v>MC3202</v>
      </c>
      <c r="C11536" t="s">
        <v>49544</v>
      </c>
      <c r="D11536" t="s">
        <v>27267</v>
      </c>
      <c r="E11536" t="str">
        <f t="shared" si="180"/>
        <v>001390</v>
      </c>
      <c r="F11536" t="s">
        <v>27246</v>
      </c>
      <c r="G11536" t="s">
        <v>27247</v>
      </c>
      <c r="H11536" t="s">
        <v>27248</v>
      </c>
      <c r="I11536" t="s">
        <v>49545</v>
      </c>
      <c r="J11536" t="s">
        <v>23086</v>
      </c>
      <c r="L11536" t="s">
        <v>27250</v>
      </c>
      <c r="M11536" t="s">
        <v>27251</v>
      </c>
      <c r="N11536" t="s">
        <v>27252</v>
      </c>
      <c r="Q11536" s="1">
        <v>44538</v>
      </c>
      <c r="R11536" t="s">
        <v>27253</v>
      </c>
      <c r="S11536" t="s">
        <v>27254</v>
      </c>
      <c r="T11536" t="s">
        <v>27269</v>
      </c>
    </row>
    <row r="11537" spans="1:20" x14ac:dyDescent="0.3">
      <c r="A11537" t="str">
        <f>"0611839229025"</f>
        <v>0611839229025</v>
      </c>
      <c r="B11537" t="str">
        <f>"MC3318"</f>
        <v>MC3318</v>
      </c>
      <c r="C11537" t="s">
        <v>49546</v>
      </c>
      <c r="D11537" t="s">
        <v>27267</v>
      </c>
      <c r="E11537" t="str">
        <f t="shared" si="180"/>
        <v>001390</v>
      </c>
      <c r="F11537" t="s">
        <v>27246</v>
      </c>
      <c r="G11537" t="s">
        <v>27247</v>
      </c>
      <c r="H11537" t="s">
        <v>27248</v>
      </c>
      <c r="I11537" t="s">
        <v>49547</v>
      </c>
      <c r="J11537" t="s">
        <v>23088</v>
      </c>
      <c r="L11537" t="s">
        <v>27250</v>
      </c>
      <c r="M11537" t="s">
        <v>27251</v>
      </c>
      <c r="N11537" t="s">
        <v>27252</v>
      </c>
      <c r="Q11537" s="1">
        <v>44538</v>
      </c>
      <c r="R11537" t="s">
        <v>27253</v>
      </c>
      <c r="S11537" t="s">
        <v>27254</v>
      </c>
      <c r="T11537" t="s">
        <v>27269</v>
      </c>
    </row>
    <row r="11538" spans="1:20" x14ac:dyDescent="0.3">
      <c r="A11538" t="str">
        <f>"0611839230025"</f>
        <v>0611839230025</v>
      </c>
      <c r="B11538" t="str">
        <f>"MC4238"</f>
        <v>MC4238</v>
      </c>
      <c r="C11538" t="s">
        <v>49548</v>
      </c>
      <c r="D11538" t="s">
        <v>27267</v>
      </c>
      <c r="E11538" t="str">
        <f t="shared" si="180"/>
        <v>001390</v>
      </c>
      <c r="F11538" t="s">
        <v>27246</v>
      </c>
      <c r="G11538" t="s">
        <v>27247</v>
      </c>
      <c r="H11538" t="s">
        <v>27248</v>
      </c>
      <c r="I11538" t="s">
        <v>49549</v>
      </c>
      <c r="J11538" t="s">
        <v>23090</v>
      </c>
      <c r="L11538" t="s">
        <v>27250</v>
      </c>
      <c r="M11538" t="s">
        <v>27251</v>
      </c>
      <c r="N11538" t="s">
        <v>27252</v>
      </c>
      <c r="Q11538" s="1">
        <v>44538</v>
      </c>
      <c r="R11538" t="s">
        <v>27253</v>
      </c>
      <c r="S11538" t="s">
        <v>27254</v>
      </c>
      <c r="T11538" t="s">
        <v>27269</v>
      </c>
    </row>
    <row r="11539" spans="1:20" x14ac:dyDescent="0.3">
      <c r="A11539" t="str">
        <f>"0611839231025"</f>
        <v>0611839231025</v>
      </c>
      <c r="B11539" t="str">
        <f>"MQ0371"</f>
        <v>MQ0371</v>
      </c>
      <c r="C11539" t="s">
        <v>49550</v>
      </c>
      <c r="D11539" t="s">
        <v>27267</v>
      </c>
      <c r="E11539" t="str">
        <f t="shared" si="180"/>
        <v>001390</v>
      </c>
      <c r="F11539" t="s">
        <v>27246</v>
      </c>
      <c r="G11539" t="s">
        <v>27247</v>
      </c>
      <c r="H11539" t="s">
        <v>27248</v>
      </c>
      <c r="I11539" t="s">
        <v>49551</v>
      </c>
      <c r="J11539" t="s">
        <v>23092</v>
      </c>
      <c r="L11539" t="s">
        <v>27250</v>
      </c>
      <c r="M11539" t="s">
        <v>27251</v>
      </c>
      <c r="N11539" t="s">
        <v>27252</v>
      </c>
      <c r="Q11539" s="1">
        <v>44538</v>
      </c>
      <c r="R11539" t="s">
        <v>27253</v>
      </c>
      <c r="S11539" t="s">
        <v>27254</v>
      </c>
      <c r="T11539" t="s">
        <v>27269</v>
      </c>
    </row>
    <row r="11540" spans="1:20" x14ac:dyDescent="0.3">
      <c r="A11540" t="str">
        <f>"0611839232025"</f>
        <v>0611839232025</v>
      </c>
      <c r="B11540" t="str">
        <f>"MQ0373"</f>
        <v>MQ0373</v>
      </c>
      <c r="C11540" t="s">
        <v>49552</v>
      </c>
      <c r="D11540" t="s">
        <v>27267</v>
      </c>
      <c r="E11540" t="str">
        <f t="shared" si="180"/>
        <v>001390</v>
      </c>
      <c r="F11540" t="s">
        <v>27246</v>
      </c>
      <c r="G11540" t="s">
        <v>27247</v>
      </c>
      <c r="H11540" t="s">
        <v>27248</v>
      </c>
      <c r="I11540" t="s">
        <v>49553</v>
      </c>
      <c r="J11540" t="s">
        <v>23096</v>
      </c>
      <c r="L11540" t="s">
        <v>27250</v>
      </c>
      <c r="M11540" t="s">
        <v>27251</v>
      </c>
      <c r="N11540" t="s">
        <v>27252</v>
      </c>
      <c r="Q11540" s="1">
        <v>44538</v>
      </c>
      <c r="R11540" t="s">
        <v>27253</v>
      </c>
      <c r="S11540" t="s">
        <v>27254</v>
      </c>
      <c r="T11540" t="s">
        <v>27269</v>
      </c>
    </row>
    <row r="11541" spans="1:20" x14ac:dyDescent="0.3">
      <c r="A11541" t="str">
        <f>"0611839233025"</f>
        <v>0611839233025</v>
      </c>
      <c r="B11541" t="str">
        <f>"MQ0631"</f>
        <v>MQ0631</v>
      </c>
      <c r="C11541" t="s">
        <v>49554</v>
      </c>
      <c r="D11541" t="s">
        <v>27267</v>
      </c>
      <c r="E11541" t="str">
        <f t="shared" si="180"/>
        <v>001390</v>
      </c>
      <c r="F11541" t="s">
        <v>27246</v>
      </c>
      <c r="G11541" t="s">
        <v>27247</v>
      </c>
      <c r="H11541" t="s">
        <v>27248</v>
      </c>
      <c r="I11541" t="s">
        <v>49555</v>
      </c>
      <c r="J11541" t="s">
        <v>23094</v>
      </c>
      <c r="L11541" t="s">
        <v>27250</v>
      </c>
      <c r="M11541" t="s">
        <v>27251</v>
      </c>
      <c r="N11541" t="s">
        <v>27252</v>
      </c>
      <c r="Q11541" s="1">
        <v>44538</v>
      </c>
      <c r="R11541" t="s">
        <v>27253</v>
      </c>
      <c r="S11541" t="s">
        <v>27254</v>
      </c>
      <c r="T11541" t="s">
        <v>27269</v>
      </c>
    </row>
    <row r="11542" spans="1:20" x14ac:dyDescent="0.3">
      <c r="A11542" t="str">
        <f>"0611839234025"</f>
        <v>0611839234025</v>
      </c>
      <c r="B11542" t="str">
        <f>"MQ0372"</f>
        <v>MQ0372</v>
      </c>
      <c r="C11542" t="s">
        <v>49556</v>
      </c>
      <c r="D11542" t="s">
        <v>27267</v>
      </c>
      <c r="E11542" t="str">
        <f t="shared" si="180"/>
        <v>001390</v>
      </c>
      <c r="F11542" t="s">
        <v>27246</v>
      </c>
      <c r="G11542" t="s">
        <v>27247</v>
      </c>
      <c r="H11542" t="s">
        <v>27248</v>
      </c>
      <c r="I11542" t="s">
        <v>49557</v>
      </c>
      <c r="J11542" t="s">
        <v>23098</v>
      </c>
      <c r="L11542" t="s">
        <v>27250</v>
      </c>
      <c r="M11542" t="s">
        <v>27251</v>
      </c>
      <c r="N11542" t="s">
        <v>27252</v>
      </c>
      <c r="Q11542" s="1">
        <v>44538</v>
      </c>
      <c r="R11542" t="s">
        <v>27253</v>
      </c>
      <c r="S11542" t="s">
        <v>27254</v>
      </c>
      <c r="T11542" t="s">
        <v>27269</v>
      </c>
    </row>
    <row r="11543" spans="1:20" x14ac:dyDescent="0.3">
      <c r="A11543" t="str">
        <f>"0611839235025"</f>
        <v>0611839235025</v>
      </c>
      <c r="B11543" t="str">
        <f>"MQ0741"</f>
        <v>MQ0741</v>
      </c>
      <c r="C11543" t="s">
        <v>49558</v>
      </c>
      <c r="D11543" t="s">
        <v>27267</v>
      </c>
      <c r="E11543" t="str">
        <f t="shared" si="180"/>
        <v>001390</v>
      </c>
      <c r="F11543" t="s">
        <v>27246</v>
      </c>
      <c r="G11543" t="s">
        <v>27247</v>
      </c>
      <c r="H11543" t="s">
        <v>27248</v>
      </c>
      <c r="I11543" t="s">
        <v>49559</v>
      </c>
      <c r="J11543" t="s">
        <v>23100</v>
      </c>
      <c r="L11543" t="s">
        <v>27250</v>
      </c>
      <c r="M11543" t="s">
        <v>27251</v>
      </c>
      <c r="N11543" t="s">
        <v>27252</v>
      </c>
      <c r="Q11543" s="1">
        <v>44538</v>
      </c>
      <c r="R11543" t="s">
        <v>27253</v>
      </c>
      <c r="S11543" t="s">
        <v>27254</v>
      </c>
      <c r="T11543" t="s">
        <v>27269</v>
      </c>
    </row>
    <row r="11544" spans="1:20" x14ac:dyDescent="0.3">
      <c r="A11544" t="str">
        <f>"0611839236025"</f>
        <v>0611839236025</v>
      </c>
      <c r="B11544" t="str">
        <f>"MQ0374"</f>
        <v>MQ0374</v>
      </c>
      <c r="C11544" t="s">
        <v>49560</v>
      </c>
      <c r="D11544" t="s">
        <v>27267</v>
      </c>
      <c r="E11544" t="str">
        <f t="shared" si="180"/>
        <v>001390</v>
      </c>
      <c r="F11544" t="s">
        <v>27246</v>
      </c>
      <c r="G11544" t="s">
        <v>27247</v>
      </c>
      <c r="H11544" t="s">
        <v>27248</v>
      </c>
      <c r="I11544" t="s">
        <v>49561</v>
      </c>
      <c r="J11544" t="s">
        <v>23102</v>
      </c>
      <c r="L11544" t="s">
        <v>27250</v>
      </c>
      <c r="M11544" t="s">
        <v>27251</v>
      </c>
      <c r="N11544" t="s">
        <v>27252</v>
      </c>
      <c r="Q11544" s="1">
        <v>44538</v>
      </c>
      <c r="R11544" t="s">
        <v>27253</v>
      </c>
      <c r="S11544" t="s">
        <v>27254</v>
      </c>
      <c r="T11544" t="s">
        <v>27269</v>
      </c>
    </row>
    <row r="11545" spans="1:20" x14ac:dyDescent="0.3">
      <c r="A11545" t="str">
        <f>"0611839237100"</f>
        <v>0611839237100</v>
      </c>
      <c r="B11545" t="str">
        <f>"LF0014"</f>
        <v>LF0014</v>
      </c>
      <c r="C11545" t="s">
        <v>49562</v>
      </c>
      <c r="D11545" t="s">
        <v>27245</v>
      </c>
      <c r="E11545" t="str">
        <f t="shared" si="180"/>
        <v>001390</v>
      </c>
      <c r="F11545" t="s">
        <v>27246</v>
      </c>
      <c r="G11545" t="s">
        <v>27247</v>
      </c>
      <c r="H11545" t="s">
        <v>27248</v>
      </c>
      <c r="I11545" t="s">
        <v>49563</v>
      </c>
      <c r="J11545" t="s">
        <v>23104</v>
      </c>
      <c r="L11545" t="s">
        <v>27250</v>
      </c>
      <c r="M11545" t="s">
        <v>27251</v>
      </c>
      <c r="N11545" t="s">
        <v>27252</v>
      </c>
      <c r="Q11545" s="1">
        <v>44538</v>
      </c>
      <c r="R11545" t="s">
        <v>27253</v>
      </c>
      <c r="S11545" t="s">
        <v>27254</v>
      </c>
      <c r="T11545" t="s">
        <v>27255</v>
      </c>
    </row>
    <row r="11546" spans="1:20" x14ac:dyDescent="0.3">
      <c r="A11546" t="str">
        <f>"0611839238025"</f>
        <v>0611839238025</v>
      </c>
      <c r="B11546" t="str">
        <f>"MC4239"</f>
        <v>MC4239</v>
      </c>
      <c r="C11546" t="s">
        <v>49564</v>
      </c>
      <c r="D11546" t="s">
        <v>27267</v>
      </c>
      <c r="E11546" t="str">
        <f t="shared" si="180"/>
        <v>001390</v>
      </c>
      <c r="F11546" t="s">
        <v>27246</v>
      </c>
      <c r="G11546" t="s">
        <v>27247</v>
      </c>
      <c r="H11546" t="s">
        <v>27248</v>
      </c>
      <c r="I11546" t="s">
        <v>49565</v>
      </c>
      <c r="J11546" t="s">
        <v>23108</v>
      </c>
      <c r="L11546" t="s">
        <v>27250</v>
      </c>
      <c r="M11546" t="s">
        <v>27251</v>
      </c>
      <c r="N11546" t="s">
        <v>27252</v>
      </c>
      <c r="Q11546" s="1">
        <v>44538</v>
      </c>
      <c r="R11546" t="s">
        <v>27253</v>
      </c>
      <c r="S11546" t="s">
        <v>27254</v>
      </c>
      <c r="T11546" t="s">
        <v>27269</v>
      </c>
    </row>
    <row r="11547" spans="1:20" x14ac:dyDescent="0.3">
      <c r="A11547" t="str">
        <f>"0611839239025"</f>
        <v>0611839239025</v>
      </c>
      <c r="B11547" t="str">
        <f>"MQ0556"</f>
        <v>MQ0556</v>
      </c>
      <c r="C11547" t="s">
        <v>49566</v>
      </c>
      <c r="D11547" t="s">
        <v>27267</v>
      </c>
      <c r="E11547" t="str">
        <f t="shared" si="180"/>
        <v>001390</v>
      </c>
      <c r="F11547" t="s">
        <v>27246</v>
      </c>
      <c r="G11547" t="s">
        <v>27247</v>
      </c>
      <c r="H11547" t="s">
        <v>27248</v>
      </c>
      <c r="I11547" t="s">
        <v>49567</v>
      </c>
      <c r="J11547" t="s">
        <v>23106</v>
      </c>
      <c r="L11547" t="s">
        <v>27250</v>
      </c>
      <c r="M11547" t="s">
        <v>27251</v>
      </c>
      <c r="N11547" t="s">
        <v>27252</v>
      </c>
      <c r="Q11547" s="1">
        <v>44538</v>
      </c>
      <c r="R11547" t="s">
        <v>27253</v>
      </c>
      <c r="S11547" t="s">
        <v>27254</v>
      </c>
      <c r="T11547" t="s">
        <v>27269</v>
      </c>
    </row>
    <row r="11548" spans="1:20" x14ac:dyDescent="0.3">
      <c r="A11548" t="str">
        <f>"0611839241025"</f>
        <v>0611839241025</v>
      </c>
      <c r="B11548" t="str">
        <f>"MC1370"</f>
        <v>MC1370</v>
      </c>
      <c r="C11548" t="s">
        <v>49568</v>
      </c>
      <c r="D11548" t="s">
        <v>27267</v>
      </c>
      <c r="E11548" t="str">
        <f t="shared" si="180"/>
        <v>001390</v>
      </c>
      <c r="F11548" t="s">
        <v>27246</v>
      </c>
      <c r="G11548" t="s">
        <v>27247</v>
      </c>
      <c r="H11548" t="s">
        <v>27248</v>
      </c>
      <c r="I11548" t="s">
        <v>49569</v>
      </c>
      <c r="J11548" t="s">
        <v>23110</v>
      </c>
      <c r="L11548" t="s">
        <v>27250</v>
      </c>
      <c r="M11548" t="s">
        <v>27251</v>
      </c>
      <c r="N11548" t="s">
        <v>27252</v>
      </c>
      <c r="Q11548" s="1">
        <v>44538</v>
      </c>
      <c r="R11548" t="s">
        <v>27253</v>
      </c>
      <c r="S11548" t="s">
        <v>27254</v>
      </c>
      <c r="T11548" t="s">
        <v>27269</v>
      </c>
    </row>
    <row r="11549" spans="1:20" x14ac:dyDescent="0.3">
      <c r="A11549" t="str">
        <f>"0611839242100"</f>
        <v>0611839242100</v>
      </c>
      <c r="B11549" t="str">
        <f>"LH7647"</f>
        <v>LH7647</v>
      </c>
      <c r="C11549" t="s">
        <v>49570</v>
      </c>
      <c r="D11549" t="s">
        <v>27245</v>
      </c>
      <c r="E11549" t="str">
        <f t="shared" si="180"/>
        <v>001390</v>
      </c>
      <c r="F11549" t="s">
        <v>27246</v>
      </c>
      <c r="G11549" t="s">
        <v>27247</v>
      </c>
      <c r="H11549" t="s">
        <v>27248</v>
      </c>
      <c r="I11549" t="s">
        <v>49571</v>
      </c>
      <c r="J11549" t="s">
        <v>23112</v>
      </c>
      <c r="L11549" t="s">
        <v>27250</v>
      </c>
      <c r="M11549" t="s">
        <v>27251</v>
      </c>
      <c r="N11549" t="s">
        <v>27252</v>
      </c>
      <c r="Q11549" s="1">
        <v>44538</v>
      </c>
      <c r="R11549" t="s">
        <v>27253</v>
      </c>
      <c r="S11549" t="s">
        <v>27254</v>
      </c>
      <c r="T11549" t="s">
        <v>27255</v>
      </c>
    </row>
    <row r="11550" spans="1:20" x14ac:dyDescent="0.3">
      <c r="A11550" t="str">
        <f>"0611857106025"</f>
        <v>0611857106025</v>
      </c>
      <c r="B11550" t="str">
        <f>"MQ0807"</f>
        <v>MQ0807</v>
      </c>
      <c r="C11550" t="s">
        <v>49572</v>
      </c>
      <c r="D11550" t="s">
        <v>27267</v>
      </c>
      <c r="E11550" t="str">
        <f t="shared" si="180"/>
        <v>001390</v>
      </c>
      <c r="F11550" t="s">
        <v>27246</v>
      </c>
      <c r="G11550" t="s">
        <v>27247</v>
      </c>
      <c r="H11550" t="s">
        <v>27248</v>
      </c>
      <c r="I11550" t="s">
        <v>49573</v>
      </c>
      <c r="J11550" t="s">
        <v>23114</v>
      </c>
      <c r="L11550" t="s">
        <v>27250</v>
      </c>
      <c r="M11550" t="s">
        <v>27251</v>
      </c>
      <c r="N11550" t="s">
        <v>27252</v>
      </c>
      <c r="Q11550" s="1">
        <v>44812</v>
      </c>
      <c r="R11550" t="s">
        <v>27253</v>
      </c>
      <c r="S11550" t="s">
        <v>27254</v>
      </c>
      <c r="T11550" t="s">
        <v>27269</v>
      </c>
    </row>
    <row r="11551" spans="1:20" x14ac:dyDescent="0.3">
      <c r="A11551" t="str">
        <f>"0611839243025"</f>
        <v>0611839243025</v>
      </c>
      <c r="B11551" t="str">
        <f>"MQ0742"</f>
        <v>MQ0742</v>
      </c>
      <c r="C11551" t="s">
        <v>49574</v>
      </c>
      <c r="D11551" t="s">
        <v>27267</v>
      </c>
      <c r="E11551" t="str">
        <f t="shared" si="180"/>
        <v>001390</v>
      </c>
      <c r="F11551" t="s">
        <v>27246</v>
      </c>
      <c r="G11551" t="s">
        <v>27247</v>
      </c>
      <c r="H11551" t="s">
        <v>27248</v>
      </c>
      <c r="I11551" t="s">
        <v>49575</v>
      </c>
      <c r="J11551" t="s">
        <v>23116</v>
      </c>
      <c r="L11551" t="s">
        <v>27250</v>
      </c>
      <c r="M11551" t="s">
        <v>27251</v>
      </c>
      <c r="N11551" t="s">
        <v>27252</v>
      </c>
      <c r="Q11551" s="1">
        <v>44538</v>
      </c>
      <c r="R11551" t="s">
        <v>27253</v>
      </c>
      <c r="S11551" t="s">
        <v>27254</v>
      </c>
      <c r="T11551" t="s">
        <v>27269</v>
      </c>
    </row>
    <row r="11552" spans="1:20" x14ac:dyDescent="0.3">
      <c r="A11552" t="str">
        <f>"0611839244100"</f>
        <v>0611839244100</v>
      </c>
      <c r="B11552" t="str">
        <f>"LH0010"</f>
        <v>LH0010</v>
      </c>
      <c r="C11552" t="s">
        <v>49576</v>
      </c>
      <c r="D11552" t="s">
        <v>27245</v>
      </c>
      <c r="E11552" t="str">
        <f t="shared" si="180"/>
        <v>001390</v>
      </c>
      <c r="F11552" t="s">
        <v>27246</v>
      </c>
      <c r="G11552" t="s">
        <v>27247</v>
      </c>
      <c r="H11552" t="s">
        <v>27248</v>
      </c>
      <c r="I11552" t="s">
        <v>49577</v>
      </c>
      <c r="J11552" t="s">
        <v>23118</v>
      </c>
      <c r="L11552" t="s">
        <v>27250</v>
      </c>
      <c r="M11552" t="s">
        <v>27251</v>
      </c>
      <c r="N11552" t="s">
        <v>27252</v>
      </c>
      <c r="Q11552" s="1">
        <v>44538</v>
      </c>
      <c r="R11552" t="s">
        <v>27253</v>
      </c>
      <c r="S11552" t="s">
        <v>27254</v>
      </c>
      <c r="T11552" t="s">
        <v>27255</v>
      </c>
    </row>
    <row r="11553" spans="1:20" x14ac:dyDescent="0.3">
      <c r="A11553" t="str">
        <f>"0611839246025"</f>
        <v>0611839246025</v>
      </c>
      <c r="B11553" t="str">
        <f>"MC1483"</f>
        <v>MC1483</v>
      </c>
      <c r="C11553" t="s">
        <v>49578</v>
      </c>
      <c r="D11553" t="s">
        <v>27267</v>
      </c>
      <c r="E11553" t="str">
        <f t="shared" si="180"/>
        <v>001390</v>
      </c>
      <c r="F11553" t="s">
        <v>27246</v>
      </c>
      <c r="G11553" t="s">
        <v>27247</v>
      </c>
      <c r="H11553" t="s">
        <v>27248</v>
      </c>
      <c r="I11553" t="s">
        <v>49579</v>
      </c>
      <c r="J11553" t="s">
        <v>23120</v>
      </c>
      <c r="L11553" t="s">
        <v>27250</v>
      </c>
      <c r="M11553" t="s">
        <v>27251</v>
      </c>
      <c r="N11553" t="s">
        <v>27252</v>
      </c>
      <c r="Q11553" s="1">
        <v>44538</v>
      </c>
      <c r="R11553" t="s">
        <v>27253</v>
      </c>
      <c r="S11553" t="s">
        <v>27254</v>
      </c>
      <c r="T11553" t="s">
        <v>27269</v>
      </c>
    </row>
    <row r="11554" spans="1:20" x14ac:dyDescent="0.3">
      <c r="A11554" t="str">
        <f>"0611864049100"</f>
        <v>0611864049100</v>
      </c>
      <c r="B11554" t="str">
        <f>"CN5391"</f>
        <v>CN5391</v>
      </c>
      <c r="C11554" t="s">
        <v>49580</v>
      </c>
      <c r="D11554" t="s">
        <v>27335</v>
      </c>
      <c r="E11554" t="str">
        <f t="shared" si="180"/>
        <v>001390</v>
      </c>
      <c r="F11554" t="s">
        <v>27246</v>
      </c>
      <c r="G11554" t="s">
        <v>27247</v>
      </c>
      <c r="H11554" t="s">
        <v>27248</v>
      </c>
      <c r="I11554" t="s">
        <v>49581</v>
      </c>
      <c r="J11554" t="s">
        <v>23122</v>
      </c>
      <c r="L11554" t="s">
        <v>27250</v>
      </c>
      <c r="M11554" t="s">
        <v>27251</v>
      </c>
      <c r="N11554" t="s">
        <v>27252</v>
      </c>
      <c r="Q11554" s="1">
        <v>44846</v>
      </c>
      <c r="R11554" t="s">
        <v>27253</v>
      </c>
      <c r="S11554" t="s">
        <v>27254</v>
      </c>
      <c r="T11554" t="s">
        <v>27255</v>
      </c>
    </row>
    <row r="11555" spans="1:20" x14ac:dyDescent="0.3">
      <c r="A11555" t="str">
        <f>"0611864050050"</f>
        <v>0611864050050</v>
      </c>
      <c r="B11555" t="str">
        <f>"CR4474"</f>
        <v>CR4474</v>
      </c>
      <c r="C11555" t="s">
        <v>49582</v>
      </c>
      <c r="D11555" t="s">
        <v>27263</v>
      </c>
      <c r="E11555" t="str">
        <f t="shared" si="180"/>
        <v>001390</v>
      </c>
      <c r="F11555" t="s">
        <v>27246</v>
      </c>
      <c r="G11555" t="s">
        <v>27247</v>
      </c>
      <c r="H11555" t="s">
        <v>27248</v>
      </c>
      <c r="I11555" t="s">
        <v>49583</v>
      </c>
      <c r="J11555" t="s">
        <v>23124</v>
      </c>
      <c r="L11555" t="s">
        <v>27250</v>
      </c>
      <c r="M11555" t="s">
        <v>27251</v>
      </c>
      <c r="N11555" t="s">
        <v>27252</v>
      </c>
      <c r="Q11555" s="1">
        <v>44846</v>
      </c>
      <c r="R11555" t="s">
        <v>27253</v>
      </c>
      <c r="S11555" t="s">
        <v>27254</v>
      </c>
      <c r="T11555" t="s">
        <v>27265</v>
      </c>
    </row>
    <row r="11556" spans="1:20" x14ac:dyDescent="0.3">
      <c r="A11556" t="str">
        <f>"0611839247025"</f>
        <v>0611839247025</v>
      </c>
      <c r="B11556" t="str">
        <f>"MC2782"</f>
        <v>MC2782</v>
      </c>
      <c r="C11556" t="s">
        <v>49584</v>
      </c>
      <c r="D11556" t="s">
        <v>27267</v>
      </c>
      <c r="E11556" t="str">
        <f t="shared" si="180"/>
        <v>001390</v>
      </c>
      <c r="F11556" t="s">
        <v>27246</v>
      </c>
      <c r="G11556" t="s">
        <v>27247</v>
      </c>
      <c r="H11556" t="s">
        <v>27248</v>
      </c>
      <c r="I11556" t="s">
        <v>49585</v>
      </c>
      <c r="J11556" t="s">
        <v>23126</v>
      </c>
      <c r="L11556" t="s">
        <v>27250</v>
      </c>
      <c r="M11556" t="s">
        <v>27251</v>
      </c>
      <c r="N11556" t="s">
        <v>27252</v>
      </c>
      <c r="Q11556" s="1">
        <v>44538</v>
      </c>
      <c r="R11556" t="s">
        <v>27253</v>
      </c>
      <c r="S11556" t="s">
        <v>27254</v>
      </c>
      <c r="T11556" t="s">
        <v>27269</v>
      </c>
    </row>
    <row r="11557" spans="1:20" x14ac:dyDescent="0.3">
      <c r="A11557" t="str">
        <f>"0611884465100"</f>
        <v>0611884465100</v>
      </c>
      <c r="B11557" t="str">
        <f>"LQ3942"</f>
        <v>LQ3942</v>
      </c>
      <c r="C11557" t="s">
        <v>49586</v>
      </c>
      <c r="D11557" t="s">
        <v>27245</v>
      </c>
      <c r="E11557" t="str">
        <f t="shared" si="180"/>
        <v>001390</v>
      </c>
      <c r="F11557" t="s">
        <v>27246</v>
      </c>
      <c r="G11557" t="s">
        <v>27247</v>
      </c>
      <c r="H11557" t="s">
        <v>27248</v>
      </c>
      <c r="I11557" t="s">
        <v>49587</v>
      </c>
      <c r="J11557" t="s">
        <v>23128</v>
      </c>
      <c r="L11557" t="s">
        <v>27430</v>
      </c>
      <c r="M11557" t="s">
        <v>27251</v>
      </c>
      <c r="N11557" t="s">
        <v>27252</v>
      </c>
      <c r="Q11557" s="1">
        <v>45250</v>
      </c>
      <c r="R11557" t="s">
        <v>27253</v>
      </c>
      <c r="S11557" t="s">
        <v>27254</v>
      </c>
      <c r="T11557" t="s">
        <v>27255</v>
      </c>
    </row>
    <row r="11558" spans="1:20" x14ac:dyDescent="0.3">
      <c r="A11558" t="str">
        <f>"0611884466100"</f>
        <v>0611884466100</v>
      </c>
      <c r="B11558" t="str">
        <f>"LQ3943"</f>
        <v>LQ3943</v>
      </c>
      <c r="C11558" t="s">
        <v>49588</v>
      </c>
      <c r="D11558" t="s">
        <v>27245</v>
      </c>
      <c r="E11558" t="str">
        <f t="shared" si="180"/>
        <v>001390</v>
      </c>
      <c r="F11558" t="s">
        <v>27246</v>
      </c>
      <c r="G11558" t="s">
        <v>27247</v>
      </c>
      <c r="H11558" t="s">
        <v>27248</v>
      </c>
      <c r="I11558" t="s">
        <v>49589</v>
      </c>
      <c r="J11558" t="s">
        <v>23130</v>
      </c>
      <c r="L11558" t="s">
        <v>27430</v>
      </c>
      <c r="M11558" t="s">
        <v>27251</v>
      </c>
      <c r="N11558" t="s">
        <v>27252</v>
      </c>
      <c r="Q11558" s="1">
        <v>45250</v>
      </c>
      <c r="R11558" t="s">
        <v>27253</v>
      </c>
      <c r="S11558" t="s">
        <v>27254</v>
      </c>
      <c r="T11558" t="s">
        <v>27255</v>
      </c>
    </row>
    <row r="11559" spans="1:20" x14ac:dyDescent="0.3">
      <c r="A11559" t="str">
        <f>"0611839249025"</f>
        <v>0611839249025</v>
      </c>
      <c r="B11559" t="str">
        <f>"MC3203"</f>
        <v>MC3203</v>
      </c>
      <c r="C11559" t="s">
        <v>49590</v>
      </c>
      <c r="D11559" t="s">
        <v>27267</v>
      </c>
      <c r="E11559" t="str">
        <f t="shared" si="180"/>
        <v>001390</v>
      </c>
      <c r="F11559" t="s">
        <v>27246</v>
      </c>
      <c r="G11559" t="s">
        <v>27247</v>
      </c>
      <c r="H11559" t="s">
        <v>27248</v>
      </c>
      <c r="I11559" t="s">
        <v>49591</v>
      </c>
      <c r="J11559" t="s">
        <v>23132</v>
      </c>
      <c r="L11559" t="s">
        <v>27250</v>
      </c>
      <c r="M11559" t="s">
        <v>27251</v>
      </c>
      <c r="N11559" t="s">
        <v>27252</v>
      </c>
      <c r="Q11559" s="1">
        <v>44538</v>
      </c>
      <c r="R11559" t="s">
        <v>27253</v>
      </c>
      <c r="S11559" t="s">
        <v>27254</v>
      </c>
      <c r="T11559" t="s">
        <v>27269</v>
      </c>
    </row>
    <row r="11560" spans="1:20" x14ac:dyDescent="0.3">
      <c r="A11560" t="str">
        <f>"0611839265025"</f>
        <v>0611839265025</v>
      </c>
      <c r="B11560" t="str">
        <f>"MC4243"</f>
        <v>MC4243</v>
      </c>
      <c r="C11560" t="s">
        <v>49592</v>
      </c>
      <c r="D11560" t="s">
        <v>27267</v>
      </c>
      <c r="E11560" t="str">
        <f t="shared" si="180"/>
        <v>001390</v>
      </c>
      <c r="F11560" t="s">
        <v>27246</v>
      </c>
      <c r="G11560" t="s">
        <v>27247</v>
      </c>
      <c r="H11560" t="s">
        <v>27248</v>
      </c>
      <c r="I11560" t="s">
        <v>49593</v>
      </c>
      <c r="J11560" t="s">
        <v>23146</v>
      </c>
      <c r="L11560" t="s">
        <v>27250</v>
      </c>
      <c r="M11560" t="s">
        <v>27251</v>
      </c>
      <c r="N11560" t="s">
        <v>27252</v>
      </c>
      <c r="Q11560" s="1">
        <v>44538</v>
      </c>
      <c r="R11560" t="s">
        <v>27253</v>
      </c>
      <c r="S11560" t="s">
        <v>27254</v>
      </c>
      <c r="T11560" t="s">
        <v>27269</v>
      </c>
    </row>
    <row r="11561" spans="1:20" x14ac:dyDescent="0.3">
      <c r="A11561" t="str">
        <f>"0611864051100"</f>
        <v>0611864051100</v>
      </c>
      <c r="B11561" t="str">
        <f>"CN5379"</f>
        <v>CN5379</v>
      </c>
      <c r="C11561" t="s">
        <v>49594</v>
      </c>
      <c r="D11561" t="s">
        <v>27335</v>
      </c>
      <c r="E11561" t="str">
        <f t="shared" si="180"/>
        <v>001390</v>
      </c>
      <c r="F11561" t="s">
        <v>27246</v>
      </c>
      <c r="G11561" t="s">
        <v>27247</v>
      </c>
      <c r="H11561" t="s">
        <v>27248</v>
      </c>
      <c r="I11561" t="s">
        <v>49595</v>
      </c>
      <c r="J11561" t="s">
        <v>23148</v>
      </c>
      <c r="L11561" t="s">
        <v>27250</v>
      </c>
      <c r="M11561" t="s">
        <v>27251</v>
      </c>
      <c r="N11561" t="s">
        <v>27252</v>
      </c>
      <c r="Q11561" s="1">
        <v>44846</v>
      </c>
      <c r="R11561" t="s">
        <v>27253</v>
      </c>
      <c r="S11561" t="s">
        <v>27254</v>
      </c>
      <c r="T11561" t="s">
        <v>27255</v>
      </c>
    </row>
    <row r="11562" spans="1:20" x14ac:dyDescent="0.3">
      <c r="A11562" t="str">
        <f>"0611864052100"</f>
        <v>0611864052100</v>
      </c>
      <c r="B11562" t="str">
        <f>"CN5380"</f>
        <v>CN5380</v>
      </c>
      <c r="C11562" t="s">
        <v>49596</v>
      </c>
      <c r="D11562" t="s">
        <v>27335</v>
      </c>
      <c r="E11562" t="str">
        <f t="shared" si="180"/>
        <v>001390</v>
      </c>
      <c r="F11562" t="s">
        <v>27246</v>
      </c>
      <c r="G11562" t="s">
        <v>27247</v>
      </c>
      <c r="H11562" t="s">
        <v>27248</v>
      </c>
      <c r="I11562" t="s">
        <v>49597</v>
      </c>
      <c r="J11562" t="s">
        <v>23150</v>
      </c>
      <c r="L11562" t="s">
        <v>27250</v>
      </c>
      <c r="M11562" t="s">
        <v>27251</v>
      </c>
      <c r="N11562" t="s">
        <v>27252</v>
      </c>
      <c r="Q11562" s="1">
        <v>44846</v>
      </c>
      <c r="R11562" t="s">
        <v>27253</v>
      </c>
      <c r="S11562" t="s">
        <v>27254</v>
      </c>
      <c r="T11562" t="s">
        <v>27255</v>
      </c>
    </row>
    <row r="11563" spans="1:20" x14ac:dyDescent="0.3">
      <c r="A11563" t="str">
        <f>"0611839250025"</f>
        <v>0611839250025</v>
      </c>
      <c r="B11563" t="str">
        <f>"MQ3041"</f>
        <v>MQ3041</v>
      </c>
      <c r="C11563" t="s">
        <v>49598</v>
      </c>
      <c r="D11563" t="s">
        <v>27267</v>
      </c>
      <c r="E11563" t="str">
        <f t="shared" si="180"/>
        <v>001390</v>
      </c>
      <c r="F11563" t="s">
        <v>27246</v>
      </c>
      <c r="G11563" t="s">
        <v>27247</v>
      </c>
      <c r="H11563" t="s">
        <v>27248</v>
      </c>
      <c r="I11563" t="s">
        <v>49599</v>
      </c>
      <c r="J11563" t="s">
        <v>23152</v>
      </c>
      <c r="L11563" t="s">
        <v>27250</v>
      </c>
      <c r="M11563" t="s">
        <v>27251</v>
      </c>
      <c r="N11563" t="s">
        <v>27252</v>
      </c>
      <c r="Q11563" s="1">
        <v>44538</v>
      </c>
      <c r="R11563" t="s">
        <v>27253</v>
      </c>
      <c r="S11563" t="s">
        <v>27254</v>
      </c>
      <c r="T11563" t="s">
        <v>27269</v>
      </c>
    </row>
    <row r="11564" spans="1:20" x14ac:dyDescent="0.3">
      <c r="A11564" t="str">
        <f>"0611839251025"</f>
        <v>0611839251025</v>
      </c>
      <c r="B11564" t="str">
        <f>"MQ3094"</f>
        <v>MQ3094</v>
      </c>
      <c r="C11564" t="s">
        <v>49600</v>
      </c>
      <c r="D11564" t="s">
        <v>27267</v>
      </c>
      <c r="E11564" t="str">
        <f t="shared" si="180"/>
        <v>001390</v>
      </c>
      <c r="F11564" t="s">
        <v>27246</v>
      </c>
      <c r="G11564" t="s">
        <v>27247</v>
      </c>
      <c r="H11564" t="s">
        <v>27248</v>
      </c>
      <c r="I11564" t="s">
        <v>49601</v>
      </c>
      <c r="J11564" t="s">
        <v>23156</v>
      </c>
      <c r="L11564" t="s">
        <v>27250</v>
      </c>
      <c r="M11564" t="s">
        <v>27251</v>
      </c>
      <c r="N11564" t="s">
        <v>27252</v>
      </c>
      <c r="Q11564" s="1">
        <v>44538</v>
      </c>
      <c r="R11564" t="s">
        <v>27253</v>
      </c>
      <c r="S11564" t="s">
        <v>27254</v>
      </c>
      <c r="T11564" t="s">
        <v>27269</v>
      </c>
    </row>
    <row r="11565" spans="1:20" x14ac:dyDescent="0.3">
      <c r="A11565" t="str">
        <f>"0611864053100"</f>
        <v>0611864053100</v>
      </c>
      <c r="B11565" t="str">
        <f>"CN5381"</f>
        <v>CN5381</v>
      </c>
      <c r="C11565" t="s">
        <v>49600</v>
      </c>
      <c r="D11565" t="s">
        <v>27335</v>
      </c>
      <c r="E11565" t="str">
        <f t="shared" si="180"/>
        <v>001390</v>
      </c>
      <c r="F11565" t="s">
        <v>27246</v>
      </c>
      <c r="G11565" t="s">
        <v>27247</v>
      </c>
      <c r="H11565" t="s">
        <v>27248</v>
      </c>
      <c r="I11565" t="s">
        <v>49602</v>
      </c>
      <c r="J11565" t="s">
        <v>23154</v>
      </c>
      <c r="L11565" t="s">
        <v>27250</v>
      </c>
      <c r="M11565" t="s">
        <v>27251</v>
      </c>
      <c r="N11565" t="s">
        <v>27252</v>
      </c>
      <c r="Q11565" s="1">
        <v>44846</v>
      </c>
      <c r="R11565" t="s">
        <v>27253</v>
      </c>
      <c r="S11565" t="s">
        <v>27254</v>
      </c>
      <c r="T11565" t="s">
        <v>27255</v>
      </c>
    </row>
    <row r="11566" spans="1:20" x14ac:dyDescent="0.3">
      <c r="A11566" t="str">
        <f>"0611857107025"</f>
        <v>0611857107025</v>
      </c>
      <c r="B11566" t="str">
        <f>"MC4447"</f>
        <v>MC4447</v>
      </c>
      <c r="C11566" t="s">
        <v>49603</v>
      </c>
      <c r="D11566" t="s">
        <v>27267</v>
      </c>
      <c r="E11566" t="str">
        <f t="shared" si="180"/>
        <v>001390</v>
      </c>
      <c r="F11566" t="s">
        <v>27246</v>
      </c>
      <c r="G11566" t="s">
        <v>27247</v>
      </c>
      <c r="H11566" t="s">
        <v>27248</v>
      </c>
      <c r="I11566" t="s">
        <v>49604</v>
      </c>
      <c r="J11566" t="s">
        <v>23158</v>
      </c>
      <c r="L11566" t="s">
        <v>27250</v>
      </c>
      <c r="M11566" t="s">
        <v>27251</v>
      </c>
      <c r="N11566" t="s">
        <v>27252</v>
      </c>
      <c r="Q11566" s="1">
        <v>44812</v>
      </c>
      <c r="R11566" t="s">
        <v>27253</v>
      </c>
      <c r="S11566" t="s">
        <v>27254</v>
      </c>
      <c r="T11566" t="s">
        <v>27269</v>
      </c>
    </row>
    <row r="11567" spans="1:20" x14ac:dyDescent="0.3">
      <c r="A11567" t="str">
        <f>"0611839252025"</f>
        <v>0611839252025</v>
      </c>
      <c r="B11567" t="str">
        <f>"MQ3042"</f>
        <v>MQ3042</v>
      </c>
      <c r="C11567" t="s">
        <v>49605</v>
      </c>
      <c r="D11567" t="s">
        <v>27267</v>
      </c>
      <c r="E11567" t="str">
        <f t="shared" si="180"/>
        <v>001390</v>
      </c>
      <c r="F11567" t="s">
        <v>27246</v>
      </c>
      <c r="G11567" t="s">
        <v>27247</v>
      </c>
      <c r="H11567" t="s">
        <v>27248</v>
      </c>
      <c r="I11567" t="s">
        <v>49606</v>
      </c>
      <c r="J11567" t="s">
        <v>23162</v>
      </c>
      <c r="L11567" t="s">
        <v>27250</v>
      </c>
      <c r="M11567" t="s">
        <v>27251</v>
      </c>
      <c r="N11567" t="s">
        <v>27252</v>
      </c>
      <c r="Q11567" s="1">
        <v>44538</v>
      </c>
      <c r="R11567" t="s">
        <v>27253</v>
      </c>
      <c r="S11567" t="s">
        <v>27254</v>
      </c>
      <c r="T11567" t="s">
        <v>27269</v>
      </c>
    </row>
    <row r="11568" spans="1:20" x14ac:dyDescent="0.3">
      <c r="A11568" t="str">
        <f>"0611864054100"</f>
        <v>0611864054100</v>
      </c>
      <c r="B11568" t="str">
        <f>"CN5382"</f>
        <v>CN5382</v>
      </c>
      <c r="C11568" t="s">
        <v>49605</v>
      </c>
      <c r="D11568" t="s">
        <v>27335</v>
      </c>
      <c r="E11568" t="str">
        <f t="shared" si="180"/>
        <v>001390</v>
      </c>
      <c r="F11568" t="s">
        <v>27246</v>
      </c>
      <c r="G11568" t="s">
        <v>27247</v>
      </c>
      <c r="H11568" t="s">
        <v>27248</v>
      </c>
      <c r="I11568" t="s">
        <v>49607</v>
      </c>
      <c r="J11568" t="s">
        <v>23160</v>
      </c>
      <c r="L11568" t="s">
        <v>27250</v>
      </c>
      <c r="M11568" t="s">
        <v>27251</v>
      </c>
      <c r="N11568" t="s">
        <v>27252</v>
      </c>
      <c r="Q11568" s="1">
        <v>44846</v>
      </c>
      <c r="R11568" t="s">
        <v>27253</v>
      </c>
      <c r="S11568" t="s">
        <v>27254</v>
      </c>
      <c r="T11568" t="s">
        <v>27255</v>
      </c>
    </row>
    <row r="11569" spans="1:20" x14ac:dyDescent="0.3">
      <c r="A11569" t="str">
        <f>"0611839253025"</f>
        <v>0611839253025</v>
      </c>
      <c r="B11569" t="str">
        <f>"MC4244"</f>
        <v>MC4244</v>
      </c>
      <c r="C11569" t="s">
        <v>49608</v>
      </c>
      <c r="D11569" t="s">
        <v>27267</v>
      </c>
      <c r="E11569" t="str">
        <f t="shared" si="180"/>
        <v>001390</v>
      </c>
      <c r="F11569" t="s">
        <v>27246</v>
      </c>
      <c r="G11569" t="s">
        <v>27247</v>
      </c>
      <c r="H11569" t="s">
        <v>27248</v>
      </c>
      <c r="I11569" t="s">
        <v>49609</v>
      </c>
      <c r="J11569" t="s">
        <v>23164</v>
      </c>
      <c r="L11569" t="s">
        <v>27250</v>
      </c>
      <c r="M11569" t="s">
        <v>27251</v>
      </c>
      <c r="N11569" t="s">
        <v>27252</v>
      </c>
      <c r="Q11569" s="1">
        <v>44538</v>
      </c>
      <c r="R11569" t="s">
        <v>27253</v>
      </c>
      <c r="S11569" t="s">
        <v>27254</v>
      </c>
      <c r="T11569" t="s">
        <v>27269</v>
      </c>
    </row>
    <row r="11570" spans="1:20" x14ac:dyDescent="0.3">
      <c r="A11570" t="str">
        <f>"0611864055100"</f>
        <v>0611864055100</v>
      </c>
      <c r="B11570" t="str">
        <f>"CN5383"</f>
        <v>CN5383</v>
      </c>
      <c r="C11570" t="s">
        <v>49610</v>
      </c>
      <c r="D11570" t="s">
        <v>27245</v>
      </c>
      <c r="E11570" t="str">
        <f t="shared" si="180"/>
        <v>001390</v>
      </c>
      <c r="F11570" t="s">
        <v>27246</v>
      </c>
      <c r="G11570" t="s">
        <v>27247</v>
      </c>
      <c r="H11570" t="s">
        <v>27248</v>
      </c>
      <c r="I11570" t="s">
        <v>49611</v>
      </c>
      <c r="J11570" t="s">
        <v>23166</v>
      </c>
      <c r="L11570" t="s">
        <v>27250</v>
      </c>
      <c r="M11570" t="s">
        <v>27251</v>
      </c>
      <c r="N11570" t="s">
        <v>27252</v>
      </c>
      <c r="Q11570" s="1">
        <v>44846</v>
      </c>
      <c r="R11570" t="s">
        <v>27253</v>
      </c>
      <c r="S11570" t="s">
        <v>27254</v>
      </c>
      <c r="T11570" t="s">
        <v>27255</v>
      </c>
    </row>
    <row r="11571" spans="1:20" x14ac:dyDescent="0.3">
      <c r="A11571" t="str">
        <f>"0611864056050"</f>
        <v>0611864056050</v>
      </c>
      <c r="B11571" t="str">
        <f>"CR4461"</f>
        <v>CR4461</v>
      </c>
      <c r="C11571" t="s">
        <v>49610</v>
      </c>
      <c r="D11571" t="s">
        <v>27286</v>
      </c>
      <c r="E11571" t="str">
        <f t="shared" si="180"/>
        <v>001390</v>
      </c>
      <c r="F11571" t="s">
        <v>27246</v>
      </c>
      <c r="G11571" t="s">
        <v>27247</v>
      </c>
      <c r="H11571" t="s">
        <v>27248</v>
      </c>
      <c r="I11571" t="s">
        <v>49612</v>
      </c>
      <c r="J11571" t="s">
        <v>23168</v>
      </c>
      <c r="L11571" t="s">
        <v>27250</v>
      </c>
      <c r="M11571" t="s">
        <v>27251</v>
      </c>
      <c r="N11571" t="s">
        <v>27252</v>
      </c>
      <c r="Q11571" s="1">
        <v>44846</v>
      </c>
      <c r="R11571" t="s">
        <v>27253</v>
      </c>
      <c r="S11571" t="s">
        <v>27254</v>
      </c>
      <c r="T11571" t="s">
        <v>27265</v>
      </c>
    </row>
    <row r="11572" spans="1:20" x14ac:dyDescent="0.3">
      <c r="A11572" t="str">
        <f>"0611839254025"</f>
        <v>0611839254025</v>
      </c>
      <c r="B11572" t="str">
        <f>"MQ0456"</f>
        <v>MQ0456</v>
      </c>
      <c r="C11572" t="s">
        <v>49613</v>
      </c>
      <c r="D11572" t="s">
        <v>27267</v>
      </c>
      <c r="E11572" t="str">
        <f t="shared" si="180"/>
        <v>001390</v>
      </c>
      <c r="F11572" t="s">
        <v>27246</v>
      </c>
      <c r="G11572" t="s">
        <v>27247</v>
      </c>
      <c r="H11572" t="s">
        <v>27248</v>
      </c>
      <c r="I11572" t="s">
        <v>49614</v>
      </c>
      <c r="J11572" t="s">
        <v>23170</v>
      </c>
      <c r="L11572" t="s">
        <v>27250</v>
      </c>
      <c r="M11572" t="s">
        <v>27251</v>
      </c>
      <c r="N11572" t="s">
        <v>27252</v>
      </c>
      <c r="Q11572" s="1">
        <v>44538</v>
      </c>
      <c r="R11572" t="s">
        <v>27253</v>
      </c>
      <c r="S11572" t="s">
        <v>27254</v>
      </c>
      <c r="T11572" t="s">
        <v>27269</v>
      </c>
    </row>
    <row r="11573" spans="1:20" x14ac:dyDescent="0.3">
      <c r="A11573" t="str">
        <f>"0611864057100"</f>
        <v>0611864057100</v>
      </c>
      <c r="B11573" t="str">
        <f>"CN5384"</f>
        <v>CN5384</v>
      </c>
      <c r="C11573" t="s">
        <v>49615</v>
      </c>
      <c r="D11573" t="s">
        <v>27245</v>
      </c>
      <c r="E11573" t="str">
        <f t="shared" si="180"/>
        <v>001390</v>
      </c>
      <c r="F11573" t="s">
        <v>27246</v>
      </c>
      <c r="G11573" t="s">
        <v>27247</v>
      </c>
      <c r="H11573" t="s">
        <v>27248</v>
      </c>
      <c r="I11573" t="s">
        <v>49616</v>
      </c>
      <c r="J11573" t="s">
        <v>23172</v>
      </c>
      <c r="L11573" t="s">
        <v>27250</v>
      </c>
      <c r="M11573" t="s">
        <v>27251</v>
      </c>
      <c r="N11573" t="s">
        <v>27252</v>
      </c>
      <c r="Q11573" s="1">
        <v>44846</v>
      </c>
      <c r="R11573" t="s">
        <v>27253</v>
      </c>
      <c r="S11573" t="s">
        <v>27254</v>
      </c>
      <c r="T11573" t="s">
        <v>27255</v>
      </c>
    </row>
    <row r="11574" spans="1:20" x14ac:dyDescent="0.3">
      <c r="A11574" t="str">
        <f>"0611864058050"</f>
        <v>0611864058050</v>
      </c>
      <c r="B11574" t="str">
        <f>"CR4462"</f>
        <v>CR4462</v>
      </c>
      <c r="C11574" t="s">
        <v>49615</v>
      </c>
      <c r="D11574" t="s">
        <v>27286</v>
      </c>
      <c r="E11574" t="str">
        <f t="shared" si="180"/>
        <v>001390</v>
      </c>
      <c r="F11574" t="s">
        <v>27246</v>
      </c>
      <c r="G11574" t="s">
        <v>27247</v>
      </c>
      <c r="H11574" t="s">
        <v>27248</v>
      </c>
      <c r="I11574" t="s">
        <v>49617</v>
      </c>
      <c r="J11574" t="s">
        <v>23174</v>
      </c>
      <c r="L11574" t="s">
        <v>27250</v>
      </c>
      <c r="M11574" t="s">
        <v>27251</v>
      </c>
      <c r="N11574" t="s">
        <v>27252</v>
      </c>
      <c r="Q11574" s="1">
        <v>44846</v>
      </c>
      <c r="R11574" t="s">
        <v>27253</v>
      </c>
      <c r="S11574" t="s">
        <v>27254</v>
      </c>
      <c r="T11574" t="s">
        <v>27265</v>
      </c>
    </row>
    <row r="11575" spans="1:20" x14ac:dyDescent="0.3">
      <c r="A11575" t="str">
        <f>"0611839255025"</f>
        <v>0611839255025</v>
      </c>
      <c r="B11575" t="str">
        <f>"MQ3095"</f>
        <v>MQ3095</v>
      </c>
      <c r="C11575" t="s">
        <v>49618</v>
      </c>
      <c r="D11575" t="s">
        <v>27267</v>
      </c>
      <c r="E11575" t="str">
        <f t="shared" si="180"/>
        <v>001390</v>
      </c>
      <c r="F11575" t="s">
        <v>27246</v>
      </c>
      <c r="G11575" t="s">
        <v>27247</v>
      </c>
      <c r="H11575" t="s">
        <v>27248</v>
      </c>
      <c r="I11575" t="s">
        <v>49619</v>
      </c>
      <c r="J11575" t="s">
        <v>23178</v>
      </c>
      <c r="L11575" t="s">
        <v>27250</v>
      </c>
      <c r="M11575" t="s">
        <v>27251</v>
      </c>
      <c r="N11575" t="s">
        <v>27252</v>
      </c>
      <c r="Q11575" s="1">
        <v>44538</v>
      </c>
      <c r="R11575" t="s">
        <v>27253</v>
      </c>
      <c r="S11575" t="s">
        <v>27254</v>
      </c>
      <c r="T11575" t="s">
        <v>27269</v>
      </c>
    </row>
    <row r="11576" spans="1:20" x14ac:dyDescent="0.3">
      <c r="A11576" t="str">
        <f>"0611864059100"</f>
        <v>0611864059100</v>
      </c>
      <c r="B11576" t="str">
        <f>"CN5385"</f>
        <v>CN5385</v>
      </c>
      <c r="C11576" t="s">
        <v>49618</v>
      </c>
      <c r="D11576" t="s">
        <v>27335</v>
      </c>
      <c r="E11576" t="str">
        <f t="shared" si="180"/>
        <v>001390</v>
      </c>
      <c r="F11576" t="s">
        <v>27246</v>
      </c>
      <c r="G11576" t="s">
        <v>27247</v>
      </c>
      <c r="H11576" t="s">
        <v>27248</v>
      </c>
      <c r="I11576" t="s">
        <v>49620</v>
      </c>
      <c r="J11576" t="s">
        <v>23176</v>
      </c>
      <c r="L11576" t="s">
        <v>27250</v>
      </c>
      <c r="M11576" t="s">
        <v>27251</v>
      </c>
      <c r="N11576" t="s">
        <v>27252</v>
      </c>
      <c r="Q11576" s="1">
        <v>44846</v>
      </c>
      <c r="R11576" t="s">
        <v>27253</v>
      </c>
      <c r="S11576" t="s">
        <v>27254</v>
      </c>
      <c r="T11576" t="s">
        <v>27255</v>
      </c>
    </row>
    <row r="11577" spans="1:20" x14ac:dyDescent="0.3">
      <c r="A11577" t="str">
        <f>"0611839256025"</f>
        <v>0611839256025</v>
      </c>
      <c r="B11577" t="str">
        <f>"MQ0536"</f>
        <v>MQ0536</v>
      </c>
      <c r="C11577" t="s">
        <v>49621</v>
      </c>
      <c r="D11577" t="s">
        <v>27267</v>
      </c>
      <c r="E11577" t="str">
        <f t="shared" si="180"/>
        <v>001390</v>
      </c>
      <c r="F11577" t="s">
        <v>27246</v>
      </c>
      <c r="G11577" t="s">
        <v>27247</v>
      </c>
      <c r="H11577" t="s">
        <v>27248</v>
      </c>
      <c r="I11577" t="s">
        <v>49622</v>
      </c>
      <c r="J11577" t="s">
        <v>23182</v>
      </c>
      <c r="L11577" t="s">
        <v>27250</v>
      </c>
      <c r="M11577" t="s">
        <v>27251</v>
      </c>
      <c r="N11577" t="s">
        <v>27252</v>
      </c>
      <c r="Q11577" s="1">
        <v>44538</v>
      </c>
      <c r="R11577" t="s">
        <v>27253</v>
      </c>
      <c r="S11577" t="s">
        <v>27254</v>
      </c>
      <c r="T11577" t="s">
        <v>27269</v>
      </c>
    </row>
    <row r="11578" spans="1:20" x14ac:dyDescent="0.3">
      <c r="A11578" t="str">
        <f>"0611864060100"</f>
        <v>0611864060100</v>
      </c>
      <c r="B11578" t="str">
        <f>"CN2389"</f>
        <v>CN2389</v>
      </c>
      <c r="C11578" t="s">
        <v>49621</v>
      </c>
      <c r="D11578" t="s">
        <v>27335</v>
      </c>
      <c r="E11578" t="str">
        <f t="shared" si="180"/>
        <v>001390</v>
      </c>
      <c r="F11578" t="s">
        <v>27246</v>
      </c>
      <c r="G11578" t="s">
        <v>27247</v>
      </c>
      <c r="H11578" t="s">
        <v>27248</v>
      </c>
      <c r="I11578" t="s">
        <v>49623</v>
      </c>
      <c r="J11578" t="s">
        <v>23180</v>
      </c>
      <c r="L11578" t="s">
        <v>27250</v>
      </c>
      <c r="M11578" t="s">
        <v>27251</v>
      </c>
      <c r="N11578" t="s">
        <v>27252</v>
      </c>
      <c r="Q11578" s="1">
        <v>44846</v>
      </c>
      <c r="R11578" t="s">
        <v>27253</v>
      </c>
      <c r="S11578" t="s">
        <v>27254</v>
      </c>
      <c r="T11578" t="s">
        <v>27255</v>
      </c>
    </row>
    <row r="11579" spans="1:20" x14ac:dyDescent="0.3">
      <c r="A11579" t="str">
        <f>"0611839257025"</f>
        <v>0611839257025</v>
      </c>
      <c r="B11579" t="str">
        <f>"MQ0535"</f>
        <v>MQ0535</v>
      </c>
      <c r="C11579" t="s">
        <v>49624</v>
      </c>
      <c r="D11579" t="s">
        <v>27267</v>
      </c>
      <c r="E11579" t="str">
        <f t="shared" si="180"/>
        <v>001390</v>
      </c>
      <c r="F11579" t="s">
        <v>27246</v>
      </c>
      <c r="G11579" t="s">
        <v>27247</v>
      </c>
      <c r="H11579" t="s">
        <v>27248</v>
      </c>
      <c r="I11579" t="s">
        <v>49625</v>
      </c>
      <c r="J11579" t="s">
        <v>23186</v>
      </c>
      <c r="L11579" t="s">
        <v>27250</v>
      </c>
      <c r="M11579" t="s">
        <v>27251</v>
      </c>
      <c r="N11579" t="s">
        <v>27252</v>
      </c>
      <c r="Q11579" s="1">
        <v>44538</v>
      </c>
      <c r="R11579" t="s">
        <v>27253</v>
      </c>
      <c r="S11579" t="s">
        <v>27254</v>
      </c>
      <c r="T11579" t="s">
        <v>27269</v>
      </c>
    </row>
    <row r="11580" spans="1:20" x14ac:dyDescent="0.3">
      <c r="A11580" t="str">
        <f>"0611864061100"</f>
        <v>0611864061100</v>
      </c>
      <c r="B11580" t="str">
        <f>"CN2390"</f>
        <v>CN2390</v>
      </c>
      <c r="C11580" t="s">
        <v>49624</v>
      </c>
      <c r="D11580" t="s">
        <v>27335</v>
      </c>
      <c r="E11580" t="str">
        <f t="shared" si="180"/>
        <v>001390</v>
      </c>
      <c r="F11580" t="s">
        <v>27246</v>
      </c>
      <c r="G11580" t="s">
        <v>27247</v>
      </c>
      <c r="H11580" t="s">
        <v>27248</v>
      </c>
      <c r="I11580" t="s">
        <v>49626</v>
      </c>
      <c r="J11580" t="s">
        <v>23184</v>
      </c>
      <c r="L11580" t="s">
        <v>27250</v>
      </c>
      <c r="M11580" t="s">
        <v>27251</v>
      </c>
      <c r="N11580" t="s">
        <v>27252</v>
      </c>
      <c r="Q11580" s="1">
        <v>44846</v>
      </c>
      <c r="R11580" t="s">
        <v>27253</v>
      </c>
      <c r="S11580" t="s">
        <v>27254</v>
      </c>
      <c r="T11580" t="s">
        <v>27255</v>
      </c>
    </row>
    <row r="11581" spans="1:20" x14ac:dyDescent="0.3">
      <c r="A11581" t="str">
        <f>"0611839259025"</f>
        <v>0611839259025</v>
      </c>
      <c r="B11581" t="str">
        <f>"MC2574"</f>
        <v>MC2574</v>
      </c>
      <c r="C11581" t="s">
        <v>49627</v>
      </c>
      <c r="D11581" t="s">
        <v>27267</v>
      </c>
      <c r="E11581" t="str">
        <f t="shared" si="180"/>
        <v>001390</v>
      </c>
      <c r="F11581" t="s">
        <v>27246</v>
      </c>
      <c r="G11581" t="s">
        <v>27247</v>
      </c>
      <c r="H11581" t="s">
        <v>27248</v>
      </c>
      <c r="I11581" t="s">
        <v>49628</v>
      </c>
      <c r="J11581" t="s">
        <v>23134</v>
      </c>
      <c r="L11581" t="s">
        <v>27250</v>
      </c>
      <c r="M11581" t="s">
        <v>27251</v>
      </c>
      <c r="N11581" t="s">
        <v>27252</v>
      </c>
      <c r="Q11581" s="1">
        <v>44538</v>
      </c>
      <c r="R11581" t="s">
        <v>27253</v>
      </c>
      <c r="S11581" t="s">
        <v>27254</v>
      </c>
      <c r="T11581" t="s">
        <v>27269</v>
      </c>
    </row>
    <row r="11582" spans="1:20" x14ac:dyDescent="0.3">
      <c r="A11582" t="str">
        <f>"0611864062050"</f>
        <v>0611864062050</v>
      </c>
      <c r="B11582" t="str">
        <f>"CE1253"</f>
        <v>CE1253</v>
      </c>
      <c r="C11582" t="s">
        <v>49629</v>
      </c>
      <c r="D11582" t="s">
        <v>27923</v>
      </c>
      <c r="E11582" t="str">
        <f t="shared" si="180"/>
        <v>001390</v>
      </c>
      <c r="F11582" t="s">
        <v>27246</v>
      </c>
      <c r="G11582" t="s">
        <v>27247</v>
      </c>
      <c r="H11582" t="s">
        <v>27248</v>
      </c>
      <c r="I11582" t="s">
        <v>49630</v>
      </c>
      <c r="J11582" t="s">
        <v>23136</v>
      </c>
      <c r="L11582" t="s">
        <v>27250</v>
      </c>
      <c r="M11582" t="s">
        <v>27251</v>
      </c>
      <c r="N11582" t="s">
        <v>27252</v>
      </c>
      <c r="P11582" t="s">
        <v>27925</v>
      </c>
      <c r="Q11582" s="1">
        <v>44846</v>
      </c>
      <c r="R11582" t="s">
        <v>27253</v>
      </c>
      <c r="S11582" t="s">
        <v>27254</v>
      </c>
      <c r="T11582" t="s">
        <v>27265</v>
      </c>
    </row>
    <row r="11583" spans="1:20" x14ac:dyDescent="0.3">
      <c r="A11583" t="str">
        <f>"0611839260025"</f>
        <v>0611839260025</v>
      </c>
      <c r="B11583" t="str">
        <f>"MQ0632"</f>
        <v>MQ0632</v>
      </c>
      <c r="C11583" t="s">
        <v>49631</v>
      </c>
      <c r="D11583" t="s">
        <v>28057</v>
      </c>
      <c r="E11583" t="str">
        <f t="shared" si="180"/>
        <v>001390</v>
      </c>
      <c r="F11583" t="s">
        <v>27246</v>
      </c>
      <c r="G11583" t="s">
        <v>27247</v>
      </c>
      <c r="H11583" t="s">
        <v>27248</v>
      </c>
      <c r="I11583" t="s">
        <v>49632</v>
      </c>
      <c r="J11583" t="s">
        <v>23138</v>
      </c>
      <c r="L11583" t="s">
        <v>27250</v>
      </c>
      <c r="M11583" t="s">
        <v>27251</v>
      </c>
      <c r="N11583" t="s">
        <v>27252</v>
      </c>
      <c r="P11583" t="s">
        <v>27925</v>
      </c>
      <c r="Q11583" s="1">
        <v>44538</v>
      </c>
      <c r="R11583" t="s">
        <v>27253</v>
      </c>
      <c r="S11583" t="s">
        <v>27254</v>
      </c>
      <c r="T11583" t="s">
        <v>27269</v>
      </c>
    </row>
    <row r="11584" spans="1:20" x14ac:dyDescent="0.3">
      <c r="A11584" t="str">
        <f>"0611839261025"</f>
        <v>0611839261025</v>
      </c>
      <c r="B11584" t="str">
        <f>"MQ0633"</f>
        <v>MQ0633</v>
      </c>
      <c r="C11584" t="s">
        <v>49633</v>
      </c>
      <c r="D11584" t="s">
        <v>28057</v>
      </c>
      <c r="E11584" t="str">
        <f t="shared" si="180"/>
        <v>001390</v>
      </c>
      <c r="F11584" t="s">
        <v>27246</v>
      </c>
      <c r="G11584" t="s">
        <v>27247</v>
      </c>
      <c r="H11584" t="s">
        <v>27248</v>
      </c>
      <c r="I11584" t="s">
        <v>49634</v>
      </c>
      <c r="J11584" t="s">
        <v>23140</v>
      </c>
      <c r="L11584" t="s">
        <v>27250</v>
      </c>
      <c r="M11584" t="s">
        <v>27251</v>
      </c>
      <c r="N11584" t="s">
        <v>27252</v>
      </c>
      <c r="P11584" t="s">
        <v>27925</v>
      </c>
      <c r="Q11584" s="1">
        <v>44538</v>
      </c>
      <c r="R11584" t="s">
        <v>27253</v>
      </c>
      <c r="S11584" t="s">
        <v>27254</v>
      </c>
      <c r="T11584" t="s">
        <v>27269</v>
      </c>
    </row>
    <row r="11585" spans="1:20" x14ac:dyDescent="0.3">
      <c r="A11585" t="str">
        <f>"0611839263025"</f>
        <v>0611839263025</v>
      </c>
      <c r="B11585" t="str">
        <f>"MQ0743"</f>
        <v>MQ0743</v>
      </c>
      <c r="C11585" t="s">
        <v>49635</v>
      </c>
      <c r="D11585" t="s">
        <v>27267</v>
      </c>
      <c r="E11585" t="str">
        <f t="shared" si="180"/>
        <v>001390</v>
      </c>
      <c r="F11585" t="s">
        <v>27246</v>
      </c>
      <c r="G11585" t="s">
        <v>27247</v>
      </c>
      <c r="H11585" t="s">
        <v>27248</v>
      </c>
      <c r="I11585" t="s">
        <v>49636</v>
      </c>
      <c r="J11585" t="s">
        <v>23142</v>
      </c>
      <c r="L11585" t="s">
        <v>27250</v>
      </c>
      <c r="M11585" t="s">
        <v>27251</v>
      </c>
      <c r="N11585" t="s">
        <v>27252</v>
      </c>
      <c r="Q11585" s="1">
        <v>44538</v>
      </c>
      <c r="R11585" t="s">
        <v>27253</v>
      </c>
      <c r="S11585" t="s">
        <v>27254</v>
      </c>
      <c r="T11585" t="s">
        <v>27269</v>
      </c>
    </row>
    <row r="11586" spans="1:20" x14ac:dyDescent="0.3">
      <c r="A11586" t="str">
        <f>"0611839264025"</f>
        <v>0611839264025</v>
      </c>
      <c r="B11586" t="str">
        <f>"MC2085"</f>
        <v>MC2085</v>
      </c>
      <c r="C11586" t="s">
        <v>49637</v>
      </c>
      <c r="D11586" t="s">
        <v>27267</v>
      </c>
      <c r="E11586" t="str">
        <f t="shared" ref="E11586:E11649" si="181">"001390"</f>
        <v>001390</v>
      </c>
      <c r="F11586" t="s">
        <v>27246</v>
      </c>
      <c r="G11586" t="s">
        <v>27247</v>
      </c>
      <c r="H11586" t="s">
        <v>27248</v>
      </c>
      <c r="I11586" t="s">
        <v>49638</v>
      </c>
      <c r="J11586" t="s">
        <v>23144</v>
      </c>
      <c r="L11586" t="s">
        <v>27250</v>
      </c>
      <c r="M11586" t="s">
        <v>27251</v>
      </c>
      <c r="N11586" t="s">
        <v>27252</v>
      </c>
      <c r="Q11586" s="1">
        <v>44538</v>
      </c>
      <c r="R11586" t="s">
        <v>27253</v>
      </c>
      <c r="S11586" t="s">
        <v>27254</v>
      </c>
      <c r="T11586" t="s">
        <v>27269</v>
      </c>
    </row>
    <row r="11587" spans="1:20" x14ac:dyDescent="0.3">
      <c r="A11587" t="str">
        <f>"0611839267025"</f>
        <v>0611839267025</v>
      </c>
      <c r="B11587" t="str">
        <f>"MC3807"</f>
        <v>MC3807</v>
      </c>
      <c r="C11587" t="s">
        <v>49639</v>
      </c>
      <c r="D11587" t="s">
        <v>27267</v>
      </c>
      <c r="E11587" t="str">
        <f t="shared" si="181"/>
        <v>001390</v>
      </c>
      <c r="F11587" t="s">
        <v>27246</v>
      </c>
      <c r="G11587" t="s">
        <v>27247</v>
      </c>
      <c r="H11587" t="s">
        <v>27248</v>
      </c>
      <c r="I11587" t="s">
        <v>49640</v>
      </c>
      <c r="J11587" t="s">
        <v>23188</v>
      </c>
      <c r="L11587" t="s">
        <v>27250</v>
      </c>
      <c r="M11587" t="s">
        <v>27251</v>
      </c>
      <c r="N11587" t="s">
        <v>27252</v>
      </c>
      <c r="Q11587" s="1">
        <v>44538</v>
      </c>
      <c r="R11587" t="s">
        <v>27253</v>
      </c>
      <c r="S11587" t="s">
        <v>27254</v>
      </c>
      <c r="T11587" t="s">
        <v>27269</v>
      </c>
    </row>
    <row r="11588" spans="1:20" x14ac:dyDescent="0.3">
      <c r="A11588" t="str">
        <f>"0611839268025"</f>
        <v>0611839268025</v>
      </c>
      <c r="B11588" t="str">
        <f>"MQ6086"</f>
        <v>MQ6086</v>
      </c>
      <c r="C11588" t="s">
        <v>49641</v>
      </c>
      <c r="D11588" t="s">
        <v>27267</v>
      </c>
      <c r="E11588" t="str">
        <f t="shared" si="181"/>
        <v>001390</v>
      </c>
      <c r="F11588" t="s">
        <v>27246</v>
      </c>
      <c r="G11588" t="s">
        <v>27247</v>
      </c>
      <c r="H11588" t="s">
        <v>27248</v>
      </c>
      <c r="I11588" t="s">
        <v>49642</v>
      </c>
      <c r="J11588" t="s">
        <v>23190</v>
      </c>
      <c r="L11588" t="s">
        <v>27250</v>
      </c>
      <c r="M11588" t="s">
        <v>27251</v>
      </c>
      <c r="N11588" t="s">
        <v>27252</v>
      </c>
      <c r="Q11588" s="1">
        <v>44538</v>
      </c>
      <c r="R11588" t="s">
        <v>27253</v>
      </c>
      <c r="S11588" t="s">
        <v>27254</v>
      </c>
      <c r="T11588" t="s">
        <v>27269</v>
      </c>
    </row>
    <row r="11589" spans="1:20" x14ac:dyDescent="0.3">
      <c r="A11589" t="str">
        <f>"0611839269025"</f>
        <v>0611839269025</v>
      </c>
      <c r="B11589" t="str">
        <f>"MQ6087"</f>
        <v>MQ6087</v>
      </c>
      <c r="C11589" t="s">
        <v>49643</v>
      </c>
      <c r="D11589" t="s">
        <v>27267</v>
      </c>
      <c r="E11589" t="str">
        <f t="shared" si="181"/>
        <v>001390</v>
      </c>
      <c r="F11589" t="s">
        <v>27246</v>
      </c>
      <c r="G11589" t="s">
        <v>27247</v>
      </c>
      <c r="H11589" t="s">
        <v>27248</v>
      </c>
      <c r="I11589" t="s">
        <v>49644</v>
      </c>
      <c r="J11589" t="s">
        <v>23192</v>
      </c>
      <c r="L11589" t="s">
        <v>27250</v>
      </c>
      <c r="M11589" t="s">
        <v>27251</v>
      </c>
      <c r="N11589" t="s">
        <v>27252</v>
      </c>
      <c r="Q11589" s="1">
        <v>44538</v>
      </c>
      <c r="R11589" t="s">
        <v>27253</v>
      </c>
      <c r="S11589" t="s">
        <v>27254</v>
      </c>
      <c r="T11589" t="s">
        <v>27269</v>
      </c>
    </row>
    <row r="11590" spans="1:20" x14ac:dyDescent="0.3">
      <c r="A11590" t="str">
        <f>"0611839271025"</f>
        <v>0611839271025</v>
      </c>
      <c r="B11590" t="str">
        <f>"MC0685"</f>
        <v>MC0685</v>
      </c>
      <c r="C11590" t="s">
        <v>49645</v>
      </c>
      <c r="D11590" t="s">
        <v>27267</v>
      </c>
      <c r="E11590" t="str">
        <f t="shared" si="181"/>
        <v>001390</v>
      </c>
      <c r="F11590" t="s">
        <v>27246</v>
      </c>
      <c r="G11590" t="s">
        <v>27247</v>
      </c>
      <c r="H11590" t="s">
        <v>27248</v>
      </c>
      <c r="I11590" t="s">
        <v>49646</v>
      </c>
      <c r="J11590" t="s">
        <v>23196</v>
      </c>
      <c r="L11590" t="s">
        <v>27250</v>
      </c>
      <c r="M11590" t="s">
        <v>27251</v>
      </c>
      <c r="N11590" t="s">
        <v>27252</v>
      </c>
      <c r="Q11590" s="1">
        <v>44538</v>
      </c>
      <c r="R11590" t="s">
        <v>27253</v>
      </c>
      <c r="S11590" t="s">
        <v>27254</v>
      </c>
      <c r="T11590" t="s">
        <v>27269</v>
      </c>
    </row>
    <row r="11591" spans="1:20" x14ac:dyDescent="0.3">
      <c r="A11591" t="str">
        <f>"0611864064100"</f>
        <v>0611864064100</v>
      </c>
      <c r="B11591" t="str">
        <f>"CN5393"</f>
        <v>CN5393</v>
      </c>
      <c r="C11591" t="s">
        <v>49645</v>
      </c>
      <c r="D11591" t="s">
        <v>27335</v>
      </c>
      <c r="E11591" t="str">
        <f t="shared" si="181"/>
        <v>001390</v>
      </c>
      <c r="F11591" t="s">
        <v>27246</v>
      </c>
      <c r="G11591" t="s">
        <v>27247</v>
      </c>
      <c r="H11591" t="s">
        <v>27248</v>
      </c>
      <c r="I11591" t="s">
        <v>49647</v>
      </c>
      <c r="J11591" t="s">
        <v>23194</v>
      </c>
      <c r="L11591" t="s">
        <v>27250</v>
      </c>
      <c r="M11591" t="s">
        <v>27251</v>
      </c>
      <c r="N11591" t="s">
        <v>27252</v>
      </c>
      <c r="Q11591" s="1">
        <v>44846</v>
      </c>
      <c r="R11591" t="s">
        <v>27253</v>
      </c>
      <c r="S11591" t="s">
        <v>27254</v>
      </c>
      <c r="T11591" t="s">
        <v>27255</v>
      </c>
    </row>
    <row r="11592" spans="1:20" x14ac:dyDescent="0.3">
      <c r="A11592" t="str">
        <f>"0611864065050"</f>
        <v>0611864065050</v>
      </c>
      <c r="B11592" t="str">
        <f>"CR4476"</f>
        <v>CR4476</v>
      </c>
      <c r="C11592" t="s">
        <v>49648</v>
      </c>
      <c r="D11592" t="s">
        <v>27263</v>
      </c>
      <c r="E11592" t="str">
        <f t="shared" si="181"/>
        <v>001390</v>
      </c>
      <c r="F11592" t="s">
        <v>27246</v>
      </c>
      <c r="G11592" t="s">
        <v>27247</v>
      </c>
      <c r="H11592" t="s">
        <v>27248</v>
      </c>
      <c r="I11592" t="s">
        <v>49649</v>
      </c>
      <c r="J11592" t="s">
        <v>23198</v>
      </c>
      <c r="L11592" t="s">
        <v>27250</v>
      </c>
      <c r="M11592" t="s">
        <v>27251</v>
      </c>
      <c r="N11592" t="s">
        <v>27252</v>
      </c>
      <c r="Q11592" s="1">
        <v>44846</v>
      </c>
      <c r="R11592" t="s">
        <v>27253</v>
      </c>
      <c r="S11592" t="s">
        <v>27254</v>
      </c>
      <c r="T11592" t="s">
        <v>27265</v>
      </c>
    </row>
    <row r="11593" spans="1:20" x14ac:dyDescent="0.3">
      <c r="A11593" t="str">
        <f>"0611839272025"</f>
        <v>0611839272025</v>
      </c>
      <c r="B11593" t="str">
        <f>"MC3250"</f>
        <v>MC3250</v>
      </c>
      <c r="C11593" t="s">
        <v>49650</v>
      </c>
      <c r="D11593" t="s">
        <v>27267</v>
      </c>
      <c r="E11593" t="str">
        <f t="shared" si="181"/>
        <v>001390</v>
      </c>
      <c r="F11593" t="s">
        <v>27246</v>
      </c>
      <c r="G11593" t="s">
        <v>27247</v>
      </c>
      <c r="H11593" t="s">
        <v>27248</v>
      </c>
      <c r="I11593" t="s">
        <v>49651</v>
      </c>
      <c r="J11593" t="s">
        <v>23200</v>
      </c>
      <c r="L11593" t="s">
        <v>27250</v>
      </c>
      <c r="M11593" t="s">
        <v>27251</v>
      </c>
      <c r="N11593" t="s">
        <v>27252</v>
      </c>
      <c r="Q11593" s="1">
        <v>44538</v>
      </c>
      <c r="R11593" t="s">
        <v>27253</v>
      </c>
      <c r="S11593" t="s">
        <v>27254</v>
      </c>
      <c r="T11593" t="s">
        <v>27269</v>
      </c>
    </row>
    <row r="11594" spans="1:20" x14ac:dyDescent="0.3">
      <c r="A11594" t="str">
        <f>"0611839273100"</f>
        <v>0611839273100</v>
      </c>
      <c r="B11594" t="str">
        <f>"LH7526"</f>
        <v>LH7526</v>
      </c>
      <c r="C11594" t="s">
        <v>49652</v>
      </c>
      <c r="D11594" t="s">
        <v>27245</v>
      </c>
      <c r="E11594" t="str">
        <f t="shared" si="181"/>
        <v>001390</v>
      </c>
      <c r="F11594" t="s">
        <v>27246</v>
      </c>
      <c r="G11594" t="s">
        <v>27247</v>
      </c>
      <c r="H11594" t="s">
        <v>27248</v>
      </c>
      <c r="I11594" t="s">
        <v>49653</v>
      </c>
      <c r="J11594" t="s">
        <v>23202</v>
      </c>
      <c r="L11594" t="s">
        <v>27250</v>
      </c>
      <c r="M11594" t="s">
        <v>27251</v>
      </c>
      <c r="N11594" t="s">
        <v>27252</v>
      </c>
      <c r="Q11594" s="1">
        <v>44538</v>
      </c>
      <c r="R11594" t="s">
        <v>27253</v>
      </c>
      <c r="S11594" t="s">
        <v>27254</v>
      </c>
      <c r="T11594" t="s">
        <v>27255</v>
      </c>
    </row>
    <row r="11595" spans="1:20" x14ac:dyDescent="0.3">
      <c r="A11595" t="str">
        <f>"0611839274025"</f>
        <v>0611839274025</v>
      </c>
      <c r="B11595" t="str">
        <f>"MC0681"</f>
        <v>MC0681</v>
      </c>
      <c r="C11595" t="s">
        <v>49652</v>
      </c>
      <c r="D11595" t="s">
        <v>27267</v>
      </c>
      <c r="E11595" t="str">
        <f t="shared" si="181"/>
        <v>001390</v>
      </c>
      <c r="F11595" t="s">
        <v>27246</v>
      </c>
      <c r="G11595" t="s">
        <v>27247</v>
      </c>
      <c r="H11595" t="s">
        <v>27248</v>
      </c>
      <c r="I11595" t="s">
        <v>49654</v>
      </c>
      <c r="J11595" t="s">
        <v>23204</v>
      </c>
      <c r="L11595" t="s">
        <v>27250</v>
      </c>
      <c r="M11595" t="s">
        <v>27251</v>
      </c>
      <c r="N11595" t="s">
        <v>27252</v>
      </c>
      <c r="Q11595" s="1">
        <v>44538</v>
      </c>
      <c r="R11595" t="s">
        <v>27253</v>
      </c>
      <c r="S11595" t="s">
        <v>27254</v>
      </c>
      <c r="T11595" t="s">
        <v>27269</v>
      </c>
    </row>
    <row r="11596" spans="1:20" x14ac:dyDescent="0.3">
      <c r="A11596" t="str">
        <f>"0611864066100"</f>
        <v>0611864066100</v>
      </c>
      <c r="B11596" t="str">
        <f>"CN5388"</f>
        <v>CN5388</v>
      </c>
      <c r="C11596" t="s">
        <v>49655</v>
      </c>
      <c r="D11596" t="s">
        <v>27335</v>
      </c>
      <c r="E11596" t="str">
        <f t="shared" si="181"/>
        <v>001390</v>
      </c>
      <c r="F11596" t="s">
        <v>27246</v>
      </c>
      <c r="G11596" t="s">
        <v>27247</v>
      </c>
      <c r="H11596" t="s">
        <v>27248</v>
      </c>
      <c r="I11596" t="s">
        <v>49656</v>
      </c>
      <c r="J11596" t="s">
        <v>23206</v>
      </c>
      <c r="L11596" t="s">
        <v>27250</v>
      </c>
      <c r="M11596" t="s">
        <v>27251</v>
      </c>
      <c r="N11596" t="s">
        <v>27252</v>
      </c>
      <c r="Q11596" s="1">
        <v>44846</v>
      </c>
      <c r="R11596" t="s">
        <v>27253</v>
      </c>
      <c r="S11596" t="s">
        <v>27254</v>
      </c>
      <c r="T11596" t="s">
        <v>27255</v>
      </c>
    </row>
    <row r="11597" spans="1:20" x14ac:dyDescent="0.3">
      <c r="A11597" t="str">
        <f>"0611864067050"</f>
        <v>0611864067050</v>
      </c>
      <c r="B11597" t="str">
        <f>"CR4470"</f>
        <v>CR4470</v>
      </c>
      <c r="C11597" t="s">
        <v>49657</v>
      </c>
      <c r="D11597" t="s">
        <v>27286</v>
      </c>
      <c r="E11597" t="str">
        <f t="shared" si="181"/>
        <v>001390</v>
      </c>
      <c r="F11597" t="s">
        <v>27246</v>
      </c>
      <c r="G11597" t="s">
        <v>27247</v>
      </c>
      <c r="H11597" t="s">
        <v>27248</v>
      </c>
      <c r="I11597" t="s">
        <v>49658</v>
      </c>
      <c r="J11597" t="s">
        <v>23208</v>
      </c>
      <c r="L11597" t="s">
        <v>27250</v>
      </c>
      <c r="M11597" t="s">
        <v>27251</v>
      </c>
      <c r="N11597" t="s">
        <v>27252</v>
      </c>
      <c r="Q11597" s="1">
        <v>44846</v>
      </c>
      <c r="R11597" t="s">
        <v>27253</v>
      </c>
      <c r="S11597" t="s">
        <v>27254</v>
      </c>
      <c r="T11597" t="s">
        <v>27265</v>
      </c>
    </row>
    <row r="11598" spans="1:20" x14ac:dyDescent="0.3">
      <c r="A11598" t="str">
        <f>"0611839275025"</f>
        <v>0611839275025</v>
      </c>
      <c r="B11598" t="str">
        <f>"MC0679"</f>
        <v>MC0679</v>
      </c>
      <c r="C11598" t="s">
        <v>49659</v>
      </c>
      <c r="D11598" t="s">
        <v>27267</v>
      </c>
      <c r="E11598" t="str">
        <f t="shared" si="181"/>
        <v>001390</v>
      </c>
      <c r="F11598" t="s">
        <v>27246</v>
      </c>
      <c r="G11598" t="s">
        <v>27247</v>
      </c>
      <c r="H11598" t="s">
        <v>27248</v>
      </c>
      <c r="I11598" t="s">
        <v>49660</v>
      </c>
      <c r="J11598" t="s">
        <v>23210</v>
      </c>
      <c r="L11598" t="s">
        <v>27250</v>
      </c>
      <c r="M11598" t="s">
        <v>27251</v>
      </c>
      <c r="N11598" t="s">
        <v>27252</v>
      </c>
      <c r="Q11598" s="1">
        <v>44538</v>
      </c>
      <c r="R11598" t="s">
        <v>27253</v>
      </c>
      <c r="S11598" t="s">
        <v>27254</v>
      </c>
      <c r="T11598" t="s">
        <v>27269</v>
      </c>
    </row>
    <row r="11599" spans="1:20" x14ac:dyDescent="0.3">
      <c r="A11599" t="str">
        <f>"0611839276025"</f>
        <v>0611839276025</v>
      </c>
      <c r="B11599" t="str">
        <f>"MC2086"</f>
        <v>MC2086</v>
      </c>
      <c r="C11599" t="s">
        <v>49661</v>
      </c>
      <c r="D11599" t="s">
        <v>27267</v>
      </c>
      <c r="E11599" t="str">
        <f t="shared" si="181"/>
        <v>001390</v>
      </c>
      <c r="F11599" t="s">
        <v>27246</v>
      </c>
      <c r="G11599" t="s">
        <v>27247</v>
      </c>
      <c r="H11599" t="s">
        <v>27248</v>
      </c>
      <c r="I11599" t="s">
        <v>49662</v>
      </c>
      <c r="J11599" t="s">
        <v>23212</v>
      </c>
      <c r="L11599" t="s">
        <v>27250</v>
      </c>
      <c r="M11599" t="s">
        <v>27251</v>
      </c>
      <c r="N11599" t="s">
        <v>27252</v>
      </c>
      <c r="Q11599" s="1">
        <v>44538</v>
      </c>
      <c r="R11599" t="s">
        <v>27253</v>
      </c>
      <c r="S11599" t="s">
        <v>27254</v>
      </c>
      <c r="T11599" t="s">
        <v>27269</v>
      </c>
    </row>
    <row r="11600" spans="1:20" x14ac:dyDescent="0.3">
      <c r="A11600" t="str">
        <f>"0611839277100"</f>
        <v>0611839277100</v>
      </c>
      <c r="B11600" t="str">
        <f>"LH7528"</f>
        <v>LH7528</v>
      </c>
      <c r="C11600" t="s">
        <v>49663</v>
      </c>
      <c r="D11600" t="s">
        <v>27245</v>
      </c>
      <c r="E11600" t="str">
        <f t="shared" si="181"/>
        <v>001390</v>
      </c>
      <c r="F11600" t="s">
        <v>27246</v>
      </c>
      <c r="G11600" t="s">
        <v>27247</v>
      </c>
      <c r="H11600" t="s">
        <v>27248</v>
      </c>
      <c r="I11600" t="s">
        <v>49664</v>
      </c>
      <c r="J11600" t="s">
        <v>23214</v>
      </c>
      <c r="L11600" t="s">
        <v>27250</v>
      </c>
      <c r="M11600" t="s">
        <v>27251</v>
      </c>
      <c r="N11600" t="s">
        <v>27252</v>
      </c>
      <c r="Q11600" s="1">
        <v>44538</v>
      </c>
      <c r="R11600" t="s">
        <v>27253</v>
      </c>
      <c r="S11600" t="s">
        <v>27254</v>
      </c>
      <c r="T11600" t="s">
        <v>27255</v>
      </c>
    </row>
    <row r="11601" spans="1:20" x14ac:dyDescent="0.3">
      <c r="A11601" t="str">
        <f>"0611839278025"</f>
        <v>0611839278025</v>
      </c>
      <c r="B11601" t="str">
        <f>"MQ0375"</f>
        <v>MQ0375</v>
      </c>
      <c r="C11601" t="s">
        <v>49663</v>
      </c>
      <c r="D11601" t="s">
        <v>27267</v>
      </c>
      <c r="E11601" t="str">
        <f t="shared" si="181"/>
        <v>001390</v>
      </c>
      <c r="F11601" t="s">
        <v>27246</v>
      </c>
      <c r="G11601" t="s">
        <v>27247</v>
      </c>
      <c r="H11601" t="s">
        <v>27248</v>
      </c>
      <c r="I11601" t="s">
        <v>49665</v>
      </c>
      <c r="J11601" t="s">
        <v>23216</v>
      </c>
      <c r="L11601" t="s">
        <v>27250</v>
      </c>
      <c r="M11601" t="s">
        <v>27251</v>
      </c>
      <c r="N11601" t="s">
        <v>27252</v>
      </c>
      <c r="Q11601" s="1">
        <v>44538</v>
      </c>
      <c r="R11601" t="s">
        <v>27253</v>
      </c>
      <c r="S11601" t="s">
        <v>27254</v>
      </c>
      <c r="T11601" t="s">
        <v>27269</v>
      </c>
    </row>
    <row r="11602" spans="1:20" x14ac:dyDescent="0.3">
      <c r="A11602" t="str">
        <f>"0611857108025"</f>
        <v>0611857108025</v>
      </c>
      <c r="B11602" t="str">
        <f>"MQ0808"</f>
        <v>MQ0808</v>
      </c>
      <c r="C11602" t="s">
        <v>49666</v>
      </c>
      <c r="D11602" t="s">
        <v>27267</v>
      </c>
      <c r="E11602" t="str">
        <f t="shared" si="181"/>
        <v>001390</v>
      </c>
      <c r="F11602" t="s">
        <v>27246</v>
      </c>
      <c r="G11602" t="s">
        <v>27247</v>
      </c>
      <c r="H11602" t="s">
        <v>27248</v>
      </c>
      <c r="I11602" t="s">
        <v>49667</v>
      </c>
      <c r="J11602" t="s">
        <v>23218</v>
      </c>
      <c r="L11602" t="s">
        <v>27250</v>
      </c>
      <c r="M11602" t="s">
        <v>27251</v>
      </c>
      <c r="N11602" t="s">
        <v>27252</v>
      </c>
      <c r="Q11602" s="1">
        <v>44812</v>
      </c>
      <c r="R11602" t="s">
        <v>27253</v>
      </c>
      <c r="S11602" t="s">
        <v>27254</v>
      </c>
      <c r="T11602" t="s">
        <v>27269</v>
      </c>
    </row>
    <row r="11603" spans="1:20" x14ac:dyDescent="0.3">
      <c r="A11603" t="str">
        <f>"0611839279100"</f>
        <v>0611839279100</v>
      </c>
      <c r="B11603" t="str">
        <f>"LQ3365"</f>
        <v>LQ3365</v>
      </c>
      <c r="C11603" t="s">
        <v>49668</v>
      </c>
      <c r="D11603" t="s">
        <v>27245</v>
      </c>
      <c r="E11603" t="str">
        <f t="shared" si="181"/>
        <v>001390</v>
      </c>
      <c r="F11603" t="s">
        <v>27246</v>
      </c>
      <c r="G11603" t="s">
        <v>27247</v>
      </c>
      <c r="H11603" t="s">
        <v>27248</v>
      </c>
      <c r="I11603" t="s">
        <v>49669</v>
      </c>
      <c r="J11603" t="s">
        <v>23220</v>
      </c>
      <c r="L11603" t="s">
        <v>27250</v>
      </c>
      <c r="M11603" t="s">
        <v>27251</v>
      </c>
      <c r="N11603" t="s">
        <v>27252</v>
      </c>
      <c r="Q11603" s="1">
        <v>44538</v>
      </c>
      <c r="R11603" t="s">
        <v>27253</v>
      </c>
      <c r="S11603" t="s">
        <v>27254</v>
      </c>
      <c r="T11603" t="s">
        <v>27255</v>
      </c>
    </row>
    <row r="11604" spans="1:20" x14ac:dyDescent="0.3">
      <c r="A11604" t="str">
        <f>"0611857109025"</f>
        <v>0611857109025</v>
      </c>
      <c r="B11604" t="str">
        <f>"MQ0809"</f>
        <v>MQ0809</v>
      </c>
      <c r="C11604" t="s">
        <v>49670</v>
      </c>
      <c r="D11604" t="s">
        <v>27267</v>
      </c>
      <c r="E11604" t="str">
        <f t="shared" si="181"/>
        <v>001390</v>
      </c>
      <c r="F11604" t="s">
        <v>27246</v>
      </c>
      <c r="G11604" t="s">
        <v>27247</v>
      </c>
      <c r="H11604" t="s">
        <v>27248</v>
      </c>
      <c r="I11604" t="s">
        <v>49671</v>
      </c>
      <c r="J11604" t="s">
        <v>23222</v>
      </c>
      <c r="L11604" t="s">
        <v>27250</v>
      </c>
      <c r="M11604" t="s">
        <v>27251</v>
      </c>
      <c r="N11604" t="s">
        <v>27252</v>
      </c>
      <c r="Q11604" s="1">
        <v>44812</v>
      </c>
      <c r="R11604" t="s">
        <v>27253</v>
      </c>
      <c r="S11604" t="s">
        <v>27254</v>
      </c>
      <c r="T11604" t="s">
        <v>27269</v>
      </c>
    </row>
    <row r="11605" spans="1:20" x14ac:dyDescent="0.3">
      <c r="A11605" t="str">
        <f>"0611864068100"</f>
        <v>0611864068100</v>
      </c>
      <c r="B11605" t="str">
        <f>"CN2248"</f>
        <v>CN2248</v>
      </c>
      <c r="C11605" t="s">
        <v>49672</v>
      </c>
      <c r="D11605" t="s">
        <v>27335</v>
      </c>
      <c r="E11605" t="str">
        <f t="shared" si="181"/>
        <v>001390</v>
      </c>
      <c r="F11605" t="s">
        <v>27246</v>
      </c>
      <c r="G11605" t="s">
        <v>27247</v>
      </c>
      <c r="H11605" t="s">
        <v>27248</v>
      </c>
      <c r="I11605" t="s">
        <v>49673</v>
      </c>
      <c r="J11605" t="s">
        <v>23224</v>
      </c>
      <c r="L11605" t="s">
        <v>27250</v>
      </c>
      <c r="M11605" t="s">
        <v>27251</v>
      </c>
      <c r="N11605" t="s">
        <v>27252</v>
      </c>
      <c r="Q11605" s="1">
        <v>44846</v>
      </c>
      <c r="R11605" t="s">
        <v>27253</v>
      </c>
      <c r="S11605" t="s">
        <v>27254</v>
      </c>
      <c r="T11605" t="s">
        <v>27255</v>
      </c>
    </row>
    <row r="11606" spans="1:20" x14ac:dyDescent="0.3">
      <c r="A11606" t="str">
        <f>"0611839280025"</f>
        <v>0611839280025</v>
      </c>
      <c r="B11606" t="str">
        <f>"MC4029"</f>
        <v>MC4029</v>
      </c>
      <c r="C11606" t="s">
        <v>49674</v>
      </c>
      <c r="D11606" t="s">
        <v>27267</v>
      </c>
      <c r="E11606" t="str">
        <f t="shared" si="181"/>
        <v>001390</v>
      </c>
      <c r="F11606" t="s">
        <v>27246</v>
      </c>
      <c r="G11606" t="s">
        <v>27247</v>
      </c>
      <c r="H11606" t="s">
        <v>27248</v>
      </c>
      <c r="I11606" t="s">
        <v>49675</v>
      </c>
      <c r="J11606" t="s">
        <v>23226</v>
      </c>
      <c r="L11606" t="s">
        <v>27250</v>
      </c>
      <c r="M11606" t="s">
        <v>27251</v>
      </c>
      <c r="N11606" t="s">
        <v>27252</v>
      </c>
      <c r="Q11606" s="1">
        <v>44538</v>
      </c>
      <c r="R11606" t="s">
        <v>27253</v>
      </c>
      <c r="S11606" t="s">
        <v>27254</v>
      </c>
      <c r="T11606" t="s">
        <v>27269</v>
      </c>
    </row>
    <row r="11607" spans="1:20" x14ac:dyDescent="0.3">
      <c r="A11607" t="str">
        <f>"0611864069100"</f>
        <v>0611864069100</v>
      </c>
      <c r="B11607" t="str">
        <f>"CN2249"</f>
        <v>CN2249</v>
      </c>
      <c r="C11607" t="s">
        <v>49676</v>
      </c>
      <c r="D11607" t="s">
        <v>27335</v>
      </c>
      <c r="E11607" t="str">
        <f t="shared" si="181"/>
        <v>001390</v>
      </c>
      <c r="F11607" t="s">
        <v>27246</v>
      </c>
      <c r="G11607" t="s">
        <v>27247</v>
      </c>
      <c r="H11607" t="s">
        <v>27248</v>
      </c>
      <c r="I11607" t="s">
        <v>49677</v>
      </c>
      <c r="J11607" t="s">
        <v>23228</v>
      </c>
      <c r="L11607" t="s">
        <v>27250</v>
      </c>
      <c r="M11607" t="s">
        <v>27251</v>
      </c>
      <c r="N11607" t="s">
        <v>27252</v>
      </c>
      <c r="Q11607" s="1">
        <v>44846</v>
      </c>
      <c r="R11607" t="s">
        <v>27253</v>
      </c>
      <c r="S11607" t="s">
        <v>27254</v>
      </c>
      <c r="T11607" t="s">
        <v>27255</v>
      </c>
    </row>
    <row r="11608" spans="1:20" x14ac:dyDescent="0.3">
      <c r="A11608" t="str">
        <f>"0611839281025"</f>
        <v>0611839281025</v>
      </c>
      <c r="B11608" t="str">
        <f>"MC4247"</f>
        <v>MC4247</v>
      </c>
      <c r="C11608" t="s">
        <v>49678</v>
      </c>
      <c r="D11608" t="s">
        <v>27267</v>
      </c>
      <c r="E11608" t="str">
        <f t="shared" si="181"/>
        <v>001390</v>
      </c>
      <c r="F11608" t="s">
        <v>27246</v>
      </c>
      <c r="G11608" t="s">
        <v>27247</v>
      </c>
      <c r="H11608" t="s">
        <v>27248</v>
      </c>
      <c r="I11608" t="s">
        <v>49679</v>
      </c>
      <c r="J11608" t="s">
        <v>23230</v>
      </c>
      <c r="L11608" t="s">
        <v>27250</v>
      </c>
      <c r="M11608" t="s">
        <v>27251</v>
      </c>
      <c r="N11608" t="s">
        <v>27252</v>
      </c>
      <c r="Q11608" s="1">
        <v>44538</v>
      </c>
      <c r="R11608" t="s">
        <v>27253</v>
      </c>
      <c r="S11608" t="s">
        <v>27254</v>
      </c>
      <c r="T11608" t="s">
        <v>27269</v>
      </c>
    </row>
    <row r="11609" spans="1:20" x14ac:dyDescent="0.3">
      <c r="A11609" t="str">
        <f>"0611864070100"</f>
        <v>0611864070100</v>
      </c>
      <c r="B11609" t="str">
        <f>"CN2250"</f>
        <v>CN2250</v>
      </c>
      <c r="C11609" t="s">
        <v>49680</v>
      </c>
      <c r="D11609" t="s">
        <v>27335</v>
      </c>
      <c r="E11609" t="str">
        <f t="shared" si="181"/>
        <v>001390</v>
      </c>
      <c r="F11609" t="s">
        <v>27246</v>
      </c>
      <c r="G11609" t="s">
        <v>27247</v>
      </c>
      <c r="H11609" t="s">
        <v>27248</v>
      </c>
      <c r="I11609" t="s">
        <v>49681</v>
      </c>
      <c r="J11609" t="s">
        <v>23232</v>
      </c>
      <c r="L11609" t="s">
        <v>27250</v>
      </c>
      <c r="M11609" t="s">
        <v>27251</v>
      </c>
      <c r="N11609" t="s">
        <v>27252</v>
      </c>
      <c r="Q11609" s="1">
        <v>44846</v>
      </c>
      <c r="R11609" t="s">
        <v>27253</v>
      </c>
      <c r="S11609" t="s">
        <v>27254</v>
      </c>
      <c r="T11609" t="s">
        <v>27255</v>
      </c>
    </row>
    <row r="11610" spans="1:20" x14ac:dyDescent="0.3">
      <c r="A11610" t="str">
        <f>"0611839282025"</f>
        <v>0611839282025</v>
      </c>
      <c r="B11610" t="str">
        <f>"MC0687"</f>
        <v>MC0687</v>
      </c>
      <c r="C11610" t="s">
        <v>49682</v>
      </c>
      <c r="D11610" t="s">
        <v>27267</v>
      </c>
      <c r="E11610" t="str">
        <f t="shared" si="181"/>
        <v>001390</v>
      </c>
      <c r="F11610" t="s">
        <v>27246</v>
      </c>
      <c r="G11610" t="s">
        <v>27247</v>
      </c>
      <c r="H11610" t="s">
        <v>27248</v>
      </c>
      <c r="I11610" t="s">
        <v>49683</v>
      </c>
      <c r="J11610" t="s">
        <v>23234</v>
      </c>
      <c r="L11610" t="s">
        <v>27250</v>
      </c>
      <c r="M11610" t="s">
        <v>27251</v>
      </c>
      <c r="N11610" t="s">
        <v>27252</v>
      </c>
      <c r="Q11610" s="1">
        <v>44538</v>
      </c>
      <c r="R11610" t="s">
        <v>27253</v>
      </c>
      <c r="S11610" t="s">
        <v>27254</v>
      </c>
      <c r="T11610" t="s">
        <v>27269</v>
      </c>
    </row>
    <row r="11611" spans="1:20" x14ac:dyDescent="0.3">
      <c r="A11611" t="str">
        <f>"0611839284025"</f>
        <v>0611839284025</v>
      </c>
      <c r="B11611" t="str">
        <f>"MC4088"</f>
        <v>MC4088</v>
      </c>
      <c r="C11611" t="s">
        <v>49684</v>
      </c>
      <c r="D11611" t="s">
        <v>27267</v>
      </c>
      <c r="E11611" t="str">
        <f t="shared" si="181"/>
        <v>001390</v>
      </c>
      <c r="F11611" t="s">
        <v>27246</v>
      </c>
      <c r="G11611" t="s">
        <v>27247</v>
      </c>
      <c r="H11611" t="s">
        <v>27248</v>
      </c>
      <c r="I11611" t="s">
        <v>49685</v>
      </c>
      <c r="J11611" t="s">
        <v>23238</v>
      </c>
      <c r="L11611" t="s">
        <v>27250</v>
      </c>
      <c r="M11611" t="s">
        <v>27251</v>
      </c>
      <c r="N11611" t="s">
        <v>27252</v>
      </c>
      <c r="Q11611" s="1">
        <v>44538</v>
      </c>
      <c r="R11611" t="s">
        <v>27253</v>
      </c>
      <c r="S11611" t="s">
        <v>27254</v>
      </c>
      <c r="T11611" t="s">
        <v>27269</v>
      </c>
    </row>
    <row r="11612" spans="1:20" x14ac:dyDescent="0.3">
      <c r="A11612" t="str">
        <f>"0611864071100"</f>
        <v>0611864071100</v>
      </c>
      <c r="B11612" t="str">
        <f>"CN2251"</f>
        <v>CN2251</v>
      </c>
      <c r="C11612" t="s">
        <v>49684</v>
      </c>
      <c r="D11612" t="s">
        <v>27335</v>
      </c>
      <c r="E11612" t="str">
        <f t="shared" si="181"/>
        <v>001390</v>
      </c>
      <c r="F11612" t="s">
        <v>27246</v>
      </c>
      <c r="G11612" t="s">
        <v>27247</v>
      </c>
      <c r="H11612" t="s">
        <v>27248</v>
      </c>
      <c r="I11612" t="s">
        <v>49686</v>
      </c>
      <c r="J11612" t="s">
        <v>23236</v>
      </c>
      <c r="L11612" t="s">
        <v>27250</v>
      </c>
      <c r="M11612" t="s">
        <v>27251</v>
      </c>
      <c r="N11612" t="s">
        <v>27252</v>
      </c>
      <c r="Q11612" s="1">
        <v>44846</v>
      </c>
      <c r="R11612" t="s">
        <v>27253</v>
      </c>
      <c r="S11612" t="s">
        <v>27254</v>
      </c>
      <c r="T11612" t="s">
        <v>27255</v>
      </c>
    </row>
    <row r="11613" spans="1:20" x14ac:dyDescent="0.3">
      <c r="A11613" t="str">
        <f>"0611864072100"</f>
        <v>0611864072100</v>
      </c>
      <c r="B11613" t="str">
        <f>"CN2252"</f>
        <v>CN2252</v>
      </c>
      <c r="C11613" t="s">
        <v>49687</v>
      </c>
      <c r="D11613" t="s">
        <v>27335</v>
      </c>
      <c r="E11613" t="str">
        <f t="shared" si="181"/>
        <v>001390</v>
      </c>
      <c r="F11613" t="s">
        <v>27246</v>
      </c>
      <c r="G11613" t="s">
        <v>27247</v>
      </c>
      <c r="H11613" t="s">
        <v>27248</v>
      </c>
      <c r="I11613" t="s">
        <v>49688</v>
      </c>
      <c r="J11613" t="s">
        <v>23240</v>
      </c>
      <c r="L11613" t="s">
        <v>27250</v>
      </c>
      <c r="M11613" t="s">
        <v>27251</v>
      </c>
      <c r="N11613" t="s">
        <v>27252</v>
      </c>
      <c r="Q11613" s="1">
        <v>44846</v>
      </c>
      <c r="R11613" t="s">
        <v>27253</v>
      </c>
      <c r="S11613" t="s">
        <v>27254</v>
      </c>
      <c r="T11613" t="s">
        <v>27255</v>
      </c>
    </row>
    <row r="11614" spans="1:20" x14ac:dyDescent="0.3">
      <c r="A11614" t="str">
        <f>"0611839288100"</f>
        <v>0611839288100</v>
      </c>
      <c r="B11614" t="str">
        <f>"LH8853"</f>
        <v>LH8853</v>
      </c>
      <c r="C11614" t="s">
        <v>49689</v>
      </c>
      <c r="D11614" t="s">
        <v>27245</v>
      </c>
      <c r="E11614" t="str">
        <f t="shared" si="181"/>
        <v>001390</v>
      </c>
      <c r="F11614" t="s">
        <v>27246</v>
      </c>
      <c r="G11614" t="s">
        <v>27247</v>
      </c>
      <c r="H11614" t="s">
        <v>27248</v>
      </c>
      <c r="I11614" t="s">
        <v>49690</v>
      </c>
      <c r="J11614" t="s">
        <v>23242</v>
      </c>
      <c r="L11614" t="s">
        <v>27250</v>
      </c>
      <c r="M11614" t="s">
        <v>27251</v>
      </c>
      <c r="N11614" t="s">
        <v>27252</v>
      </c>
      <c r="Q11614" s="1">
        <v>44538</v>
      </c>
      <c r="R11614" t="s">
        <v>27253</v>
      </c>
      <c r="S11614" t="s">
        <v>27254</v>
      </c>
      <c r="T11614" t="s">
        <v>27255</v>
      </c>
    </row>
    <row r="11615" spans="1:20" x14ac:dyDescent="0.3">
      <c r="A11615" t="str">
        <f>"0611839289025"</f>
        <v>0611839289025</v>
      </c>
      <c r="B11615" t="str">
        <f>"MC4251"</f>
        <v>MC4251</v>
      </c>
      <c r="C11615" t="s">
        <v>49691</v>
      </c>
      <c r="D11615" t="s">
        <v>27267</v>
      </c>
      <c r="E11615" t="str">
        <f t="shared" si="181"/>
        <v>001390</v>
      </c>
      <c r="F11615" t="s">
        <v>27246</v>
      </c>
      <c r="G11615" t="s">
        <v>27247</v>
      </c>
      <c r="H11615" t="s">
        <v>27248</v>
      </c>
      <c r="I11615" t="s">
        <v>49692</v>
      </c>
      <c r="J11615" t="s">
        <v>23244</v>
      </c>
      <c r="L11615" t="s">
        <v>27250</v>
      </c>
      <c r="M11615" t="s">
        <v>27251</v>
      </c>
      <c r="N11615" t="s">
        <v>27252</v>
      </c>
      <c r="Q11615" s="1">
        <v>44538</v>
      </c>
      <c r="R11615" t="s">
        <v>27253</v>
      </c>
      <c r="S11615" t="s">
        <v>27254</v>
      </c>
      <c r="T11615" t="s">
        <v>27269</v>
      </c>
    </row>
    <row r="11616" spans="1:20" x14ac:dyDescent="0.3">
      <c r="A11616" t="str">
        <f>"0611839290100"</f>
        <v>0611839290100</v>
      </c>
      <c r="B11616" t="str">
        <f>"LH7737"</f>
        <v>LH7737</v>
      </c>
      <c r="C11616" t="s">
        <v>49693</v>
      </c>
      <c r="D11616" t="s">
        <v>27245</v>
      </c>
      <c r="E11616" t="str">
        <f t="shared" si="181"/>
        <v>001390</v>
      </c>
      <c r="F11616" t="s">
        <v>27246</v>
      </c>
      <c r="G11616" t="s">
        <v>27247</v>
      </c>
      <c r="H11616" t="s">
        <v>27248</v>
      </c>
      <c r="I11616" t="s">
        <v>49694</v>
      </c>
      <c r="J11616" t="s">
        <v>23246</v>
      </c>
      <c r="L11616" t="s">
        <v>27250</v>
      </c>
      <c r="M11616" t="s">
        <v>27251</v>
      </c>
      <c r="N11616" t="s">
        <v>27252</v>
      </c>
      <c r="Q11616" s="1">
        <v>44538</v>
      </c>
      <c r="R11616" t="s">
        <v>27253</v>
      </c>
      <c r="S11616" t="s">
        <v>27254</v>
      </c>
      <c r="T11616" t="s">
        <v>27255</v>
      </c>
    </row>
    <row r="11617" spans="1:20" x14ac:dyDescent="0.3">
      <c r="A11617" t="str">
        <f>"0611839291025"</f>
        <v>0611839291025</v>
      </c>
      <c r="B11617" t="str">
        <f>"MC0686"</f>
        <v>MC0686</v>
      </c>
      <c r="C11617" t="s">
        <v>49693</v>
      </c>
      <c r="D11617" t="s">
        <v>27267</v>
      </c>
      <c r="E11617" t="str">
        <f t="shared" si="181"/>
        <v>001390</v>
      </c>
      <c r="F11617" t="s">
        <v>27246</v>
      </c>
      <c r="G11617" t="s">
        <v>27247</v>
      </c>
      <c r="H11617" t="s">
        <v>27248</v>
      </c>
      <c r="I11617" t="s">
        <v>49695</v>
      </c>
      <c r="J11617" t="s">
        <v>23248</v>
      </c>
      <c r="L11617" t="s">
        <v>27250</v>
      </c>
      <c r="M11617" t="s">
        <v>27251</v>
      </c>
      <c r="N11617" t="s">
        <v>27252</v>
      </c>
      <c r="Q11617" s="1">
        <v>44538</v>
      </c>
      <c r="R11617" t="s">
        <v>27253</v>
      </c>
      <c r="S11617" t="s">
        <v>27254</v>
      </c>
      <c r="T11617" t="s">
        <v>27269</v>
      </c>
    </row>
    <row r="11618" spans="1:20" x14ac:dyDescent="0.3">
      <c r="A11618" t="str">
        <f>"0611839292025"</f>
        <v>0611839292025</v>
      </c>
      <c r="B11618" t="str">
        <f>"MC4389"</f>
        <v>MC4389</v>
      </c>
      <c r="C11618" t="s">
        <v>49696</v>
      </c>
      <c r="D11618" t="s">
        <v>27267</v>
      </c>
      <c r="E11618" t="str">
        <f t="shared" si="181"/>
        <v>001390</v>
      </c>
      <c r="F11618" t="s">
        <v>27246</v>
      </c>
      <c r="G11618" t="s">
        <v>27247</v>
      </c>
      <c r="H11618" t="s">
        <v>27248</v>
      </c>
      <c r="I11618" t="s">
        <v>49697</v>
      </c>
      <c r="J11618" t="s">
        <v>23252</v>
      </c>
      <c r="L11618" t="s">
        <v>27250</v>
      </c>
      <c r="M11618" t="s">
        <v>27251</v>
      </c>
      <c r="N11618" t="s">
        <v>27252</v>
      </c>
      <c r="Q11618" s="1">
        <v>44538</v>
      </c>
      <c r="R11618" t="s">
        <v>27253</v>
      </c>
      <c r="S11618" t="s">
        <v>27254</v>
      </c>
      <c r="T11618" t="s">
        <v>27269</v>
      </c>
    </row>
    <row r="11619" spans="1:20" x14ac:dyDescent="0.3">
      <c r="A11619" t="str">
        <f>"0611839293025"</f>
        <v>0611839293025</v>
      </c>
      <c r="B11619" t="str">
        <f>"MC4033"</f>
        <v>MC4033</v>
      </c>
      <c r="C11619" t="s">
        <v>49698</v>
      </c>
      <c r="D11619" t="s">
        <v>27267</v>
      </c>
      <c r="E11619" t="str">
        <f t="shared" si="181"/>
        <v>001390</v>
      </c>
      <c r="F11619" t="s">
        <v>27246</v>
      </c>
      <c r="G11619" t="s">
        <v>27247</v>
      </c>
      <c r="H11619" t="s">
        <v>27248</v>
      </c>
      <c r="I11619" t="s">
        <v>49699</v>
      </c>
      <c r="J11619" t="s">
        <v>23254</v>
      </c>
      <c r="L11619" t="s">
        <v>27250</v>
      </c>
      <c r="M11619" t="s">
        <v>27251</v>
      </c>
      <c r="N11619" t="s">
        <v>27252</v>
      </c>
      <c r="Q11619" s="1">
        <v>44538</v>
      </c>
      <c r="R11619" t="s">
        <v>27253</v>
      </c>
      <c r="S11619" t="s">
        <v>27254</v>
      </c>
      <c r="T11619" t="s">
        <v>27269</v>
      </c>
    </row>
    <row r="11620" spans="1:20" x14ac:dyDescent="0.3">
      <c r="A11620" t="str">
        <f>"0611839294025"</f>
        <v>0611839294025</v>
      </c>
      <c r="B11620" t="str">
        <f>"MC4034"</f>
        <v>MC4034</v>
      </c>
      <c r="C11620" t="s">
        <v>49700</v>
      </c>
      <c r="D11620" t="s">
        <v>27267</v>
      </c>
      <c r="E11620" t="str">
        <f t="shared" si="181"/>
        <v>001390</v>
      </c>
      <c r="F11620" t="s">
        <v>27246</v>
      </c>
      <c r="G11620" t="s">
        <v>27247</v>
      </c>
      <c r="H11620" t="s">
        <v>27248</v>
      </c>
      <c r="I11620" t="s">
        <v>49701</v>
      </c>
      <c r="J11620" t="s">
        <v>23256</v>
      </c>
      <c r="L11620" t="s">
        <v>27250</v>
      </c>
      <c r="M11620" t="s">
        <v>27251</v>
      </c>
      <c r="N11620" t="s">
        <v>27252</v>
      </c>
      <c r="Q11620" s="1">
        <v>44538</v>
      </c>
      <c r="R11620" t="s">
        <v>27253</v>
      </c>
      <c r="S11620" t="s">
        <v>27254</v>
      </c>
      <c r="T11620" t="s">
        <v>27269</v>
      </c>
    </row>
    <row r="11621" spans="1:20" x14ac:dyDescent="0.3">
      <c r="A11621" t="str">
        <f>"0611839295025"</f>
        <v>0611839295025</v>
      </c>
      <c r="B11621" t="str">
        <f>"MC4252"</f>
        <v>MC4252</v>
      </c>
      <c r="C11621" t="s">
        <v>49702</v>
      </c>
      <c r="D11621" t="s">
        <v>27267</v>
      </c>
      <c r="E11621" t="str">
        <f t="shared" si="181"/>
        <v>001390</v>
      </c>
      <c r="F11621" t="s">
        <v>27246</v>
      </c>
      <c r="G11621" t="s">
        <v>27247</v>
      </c>
      <c r="H11621" t="s">
        <v>27248</v>
      </c>
      <c r="I11621" t="s">
        <v>49703</v>
      </c>
      <c r="J11621" t="s">
        <v>23260</v>
      </c>
      <c r="L11621" t="s">
        <v>27250</v>
      </c>
      <c r="M11621" t="s">
        <v>27251</v>
      </c>
      <c r="N11621" t="s">
        <v>27252</v>
      </c>
      <c r="Q11621" s="1">
        <v>44538</v>
      </c>
      <c r="R11621" t="s">
        <v>27253</v>
      </c>
      <c r="S11621" t="s">
        <v>27254</v>
      </c>
      <c r="T11621" t="s">
        <v>27269</v>
      </c>
    </row>
    <row r="11622" spans="1:20" x14ac:dyDescent="0.3">
      <c r="A11622" t="str">
        <f>"0611864073100"</f>
        <v>0611864073100</v>
      </c>
      <c r="B11622" t="str">
        <f>"CN2260"</f>
        <v>CN2260</v>
      </c>
      <c r="C11622" t="s">
        <v>49702</v>
      </c>
      <c r="D11622" t="s">
        <v>27335</v>
      </c>
      <c r="E11622" t="str">
        <f t="shared" si="181"/>
        <v>001390</v>
      </c>
      <c r="F11622" t="s">
        <v>27246</v>
      </c>
      <c r="G11622" t="s">
        <v>27247</v>
      </c>
      <c r="H11622" t="s">
        <v>27248</v>
      </c>
      <c r="I11622" t="s">
        <v>49704</v>
      </c>
      <c r="J11622" t="s">
        <v>23258</v>
      </c>
      <c r="L11622" t="s">
        <v>27250</v>
      </c>
      <c r="M11622" t="s">
        <v>27251</v>
      </c>
      <c r="N11622" t="s">
        <v>27252</v>
      </c>
      <c r="Q11622" s="1">
        <v>44846</v>
      </c>
      <c r="R11622" t="s">
        <v>27253</v>
      </c>
      <c r="S11622" t="s">
        <v>27254</v>
      </c>
      <c r="T11622" t="s">
        <v>27255</v>
      </c>
    </row>
    <row r="11623" spans="1:20" x14ac:dyDescent="0.3">
      <c r="A11623" t="str">
        <f>"0611864074100"</f>
        <v>0611864074100</v>
      </c>
      <c r="B11623" t="str">
        <f>"CN2253"</f>
        <v>CN2253</v>
      </c>
      <c r="C11623" t="s">
        <v>49705</v>
      </c>
      <c r="D11623" t="s">
        <v>27335</v>
      </c>
      <c r="E11623" t="str">
        <f t="shared" si="181"/>
        <v>001390</v>
      </c>
      <c r="F11623" t="s">
        <v>27246</v>
      </c>
      <c r="G11623" t="s">
        <v>27247</v>
      </c>
      <c r="H11623" t="s">
        <v>27248</v>
      </c>
      <c r="I11623" t="s">
        <v>49706</v>
      </c>
      <c r="J11623" t="s">
        <v>23262</v>
      </c>
      <c r="L11623" t="s">
        <v>27250</v>
      </c>
      <c r="M11623" t="s">
        <v>27251</v>
      </c>
      <c r="N11623" t="s">
        <v>27252</v>
      </c>
      <c r="Q11623" s="1">
        <v>44846</v>
      </c>
      <c r="R11623" t="s">
        <v>27253</v>
      </c>
      <c r="S11623" t="s">
        <v>27254</v>
      </c>
      <c r="T11623" t="s">
        <v>27255</v>
      </c>
    </row>
    <row r="11624" spans="1:20" x14ac:dyDescent="0.3">
      <c r="A11624" t="str">
        <f>"0611864075100"</f>
        <v>0611864075100</v>
      </c>
      <c r="B11624" t="str">
        <f>"CN2254"</f>
        <v>CN2254</v>
      </c>
      <c r="C11624" t="s">
        <v>49707</v>
      </c>
      <c r="D11624" t="s">
        <v>27335</v>
      </c>
      <c r="E11624" t="str">
        <f t="shared" si="181"/>
        <v>001390</v>
      </c>
      <c r="F11624" t="s">
        <v>27246</v>
      </c>
      <c r="G11624" t="s">
        <v>27247</v>
      </c>
      <c r="H11624" t="s">
        <v>27248</v>
      </c>
      <c r="I11624" t="s">
        <v>49708</v>
      </c>
      <c r="J11624" t="s">
        <v>23264</v>
      </c>
      <c r="L11624" t="s">
        <v>27250</v>
      </c>
      <c r="M11624" t="s">
        <v>27251</v>
      </c>
      <c r="N11624" t="s">
        <v>27252</v>
      </c>
      <c r="Q11624" s="1">
        <v>44846</v>
      </c>
      <c r="R11624" t="s">
        <v>27253</v>
      </c>
      <c r="S11624" t="s">
        <v>27254</v>
      </c>
      <c r="T11624" t="s">
        <v>27255</v>
      </c>
    </row>
    <row r="11625" spans="1:20" x14ac:dyDescent="0.3">
      <c r="A11625" t="str">
        <f>"0611839296100"</f>
        <v>0611839296100</v>
      </c>
      <c r="B11625" t="str">
        <f>"LH7796"</f>
        <v>LH7796</v>
      </c>
      <c r="C11625" t="s">
        <v>49709</v>
      </c>
      <c r="D11625" t="s">
        <v>27245</v>
      </c>
      <c r="E11625" t="str">
        <f t="shared" si="181"/>
        <v>001390</v>
      </c>
      <c r="F11625" t="s">
        <v>27246</v>
      </c>
      <c r="G11625" t="s">
        <v>27247</v>
      </c>
      <c r="H11625" t="s">
        <v>27248</v>
      </c>
      <c r="I11625" t="s">
        <v>49710</v>
      </c>
      <c r="J11625" t="s">
        <v>23266</v>
      </c>
      <c r="L11625" t="s">
        <v>27250</v>
      </c>
      <c r="M11625" t="s">
        <v>27251</v>
      </c>
      <c r="N11625" t="s">
        <v>27252</v>
      </c>
      <c r="Q11625" s="1">
        <v>44538</v>
      </c>
      <c r="R11625" t="s">
        <v>27253</v>
      </c>
      <c r="S11625" t="s">
        <v>27254</v>
      </c>
      <c r="T11625" t="s">
        <v>27255</v>
      </c>
    </row>
    <row r="11626" spans="1:20" x14ac:dyDescent="0.3">
      <c r="A11626" t="str">
        <f>"0611839297025"</f>
        <v>0611839297025</v>
      </c>
      <c r="B11626" t="str">
        <f>"MC2213"</f>
        <v>MC2213</v>
      </c>
      <c r="C11626" t="s">
        <v>49709</v>
      </c>
      <c r="D11626" t="s">
        <v>27267</v>
      </c>
      <c r="E11626" t="str">
        <f t="shared" si="181"/>
        <v>001390</v>
      </c>
      <c r="F11626" t="s">
        <v>27246</v>
      </c>
      <c r="G11626" t="s">
        <v>27247</v>
      </c>
      <c r="H11626" t="s">
        <v>27248</v>
      </c>
      <c r="I11626" t="s">
        <v>49711</v>
      </c>
      <c r="J11626" t="s">
        <v>23268</v>
      </c>
      <c r="L11626" t="s">
        <v>27250</v>
      </c>
      <c r="M11626" t="s">
        <v>27251</v>
      </c>
      <c r="N11626" t="s">
        <v>27252</v>
      </c>
      <c r="Q11626" s="1">
        <v>44538</v>
      </c>
      <c r="R11626" t="s">
        <v>27253</v>
      </c>
      <c r="S11626" t="s">
        <v>27254</v>
      </c>
      <c r="T11626" t="s">
        <v>27269</v>
      </c>
    </row>
    <row r="11627" spans="1:20" x14ac:dyDescent="0.3">
      <c r="A11627" t="str">
        <f>"0611864076100"</f>
        <v>0611864076100</v>
      </c>
      <c r="B11627" t="str">
        <f>"CN2255"</f>
        <v>CN2255</v>
      </c>
      <c r="C11627" t="s">
        <v>49712</v>
      </c>
      <c r="D11627" t="s">
        <v>27335</v>
      </c>
      <c r="E11627" t="str">
        <f t="shared" si="181"/>
        <v>001390</v>
      </c>
      <c r="F11627" t="s">
        <v>27246</v>
      </c>
      <c r="G11627" t="s">
        <v>27247</v>
      </c>
      <c r="H11627" t="s">
        <v>27248</v>
      </c>
      <c r="I11627" t="s">
        <v>49713</v>
      </c>
      <c r="J11627" t="s">
        <v>23270</v>
      </c>
      <c r="L11627" t="s">
        <v>27250</v>
      </c>
      <c r="M11627" t="s">
        <v>27251</v>
      </c>
      <c r="N11627" t="s">
        <v>27252</v>
      </c>
      <c r="Q11627" s="1">
        <v>44846</v>
      </c>
      <c r="R11627" t="s">
        <v>27253</v>
      </c>
      <c r="S11627" t="s">
        <v>27254</v>
      </c>
      <c r="T11627" t="s">
        <v>27255</v>
      </c>
    </row>
    <row r="11628" spans="1:20" x14ac:dyDescent="0.3">
      <c r="A11628" t="str">
        <f>"0611864077100"</f>
        <v>0611864077100</v>
      </c>
      <c r="B11628" t="str">
        <f>"CN2256"</f>
        <v>CN2256</v>
      </c>
      <c r="C11628" t="s">
        <v>49714</v>
      </c>
      <c r="D11628" t="s">
        <v>27335</v>
      </c>
      <c r="E11628" t="str">
        <f t="shared" si="181"/>
        <v>001390</v>
      </c>
      <c r="F11628" t="s">
        <v>27246</v>
      </c>
      <c r="G11628" t="s">
        <v>27247</v>
      </c>
      <c r="H11628" t="s">
        <v>27248</v>
      </c>
      <c r="I11628" t="s">
        <v>49715</v>
      </c>
      <c r="J11628" t="s">
        <v>23272</v>
      </c>
      <c r="L11628" t="s">
        <v>27250</v>
      </c>
      <c r="M11628" t="s">
        <v>27251</v>
      </c>
      <c r="N11628" t="s">
        <v>27252</v>
      </c>
      <c r="Q11628" s="1">
        <v>44846</v>
      </c>
      <c r="R11628" t="s">
        <v>27253</v>
      </c>
      <c r="S11628" t="s">
        <v>27254</v>
      </c>
      <c r="T11628" t="s">
        <v>27255</v>
      </c>
    </row>
    <row r="11629" spans="1:20" x14ac:dyDescent="0.3">
      <c r="A11629" t="str">
        <f>"0611839300100"</f>
        <v>0611839300100</v>
      </c>
      <c r="B11629" t="str">
        <f>"LH8854"</f>
        <v>LH8854</v>
      </c>
      <c r="C11629" t="s">
        <v>49716</v>
      </c>
      <c r="D11629" t="s">
        <v>27245</v>
      </c>
      <c r="E11629" t="str">
        <f t="shared" si="181"/>
        <v>001390</v>
      </c>
      <c r="F11629" t="s">
        <v>27246</v>
      </c>
      <c r="G11629" t="s">
        <v>27247</v>
      </c>
      <c r="H11629" t="s">
        <v>27248</v>
      </c>
      <c r="I11629" t="s">
        <v>49717</v>
      </c>
      <c r="J11629" t="s">
        <v>23274</v>
      </c>
      <c r="L11629" t="s">
        <v>27250</v>
      </c>
      <c r="M11629" t="s">
        <v>27251</v>
      </c>
      <c r="N11629" t="s">
        <v>27252</v>
      </c>
      <c r="Q11629" s="1">
        <v>44538</v>
      </c>
      <c r="R11629" t="s">
        <v>27253</v>
      </c>
      <c r="S11629" t="s">
        <v>27254</v>
      </c>
      <c r="T11629" t="s">
        <v>27255</v>
      </c>
    </row>
    <row r="11630" spans="1:20" x14ac:dyDescent="0.3">
      <c r="A11630" t="str">
        <f>"0611839301025"</f>
        <v>0611839301025</v>
      </c>
      <c r="B11630" t="str">
        <f>"MC1381"</f>
        <v>MC1381</v>
      </c>
      <c r="C11630" t="s">
        <v>49718</v>
      </c>
      <c r="D11630" t="s">
        <v>27267</v>
      </c>
      <c r="E11630" t="str">
        <f t="shared" si="181"/>
        <v>001390</v>
      </c>
      <c r="F11630" t="s">
        <v>27246</v>
      </c>
      <c r="G11630" t="s">
        <v>27247</v>
      </c>
      <c r="H11630" t="s">
        <v>27248</v>
      </c>
      <c r="I11630" t="s">
        <v>49719</v>
      </c>
      <c r="J11630" t="s">
        <v>23278</v>
      </c>
      <c r="L11630" t="s">
        <v>27250</v>
      </c>
      <c r="M11630" t="s">
        <v>27251</v>
      </c>
      <c r="N11630" t="s">
        <v>27252</v>
      </c>
      <c r="Q11630" s="1">
        <v>44538</v>
      </c>
      <c r="R11630" t="s">
        <v>27253</v>
      </c>
      <c r="S11630" t="s">
        <v>27254</v>
      </c>
      <c r="T11630" t="s">
        <v>27269</v>
      </c>
    </row>
    <row r="11631" spans="1:20" x14ac:dyDescent="0.3">
      <c r="A11631" t="str">
        <f>"0611864078100"</f>
        <v>0611864078100</v>
      </c>
      <c r="B11631" t="str">
        <f>"CN2261"</f>
        <v>CN2261</v>
      </c>
      <c r="C11631" t="s">
        <v>49718</v>
      </c>
      <c r="D11631" t="s">
        <v>27335</v>
      </c>
      <c r="E11631" t="str">
        <f t="shared" si="181"/>
        <v>001390</v>
      </c>
      <c r="F11631" t="s">
        <v>27246</v>
      </c>
      <c r="G11631" t="s">
        <v>27247</v>
      </c>
      <c r="H11631" t="s">
        <v>27248</v>
      </c>
      <c r="I11631" t="s">
        <v>49720</v>
      </c>
      <c r="J11631" t="s">
        <v>23276</v>
      </c>
      <c r="L11631" t="s">
        <v>27250</v>
      </c>
      <c r="M11631" t="s">
        <v>27251</v>
      </c>
      <c r="N11631" t="s">
        <v>27252</v>
      </c>
      <c r="Q11631" s="1">
        <v>44846</v>
      </c>
      <c r="R11631" t="s">
        <v>27253</v>
      </c>
      <c r="S11631" t="s">
        <v>27254</v>
      </c>
      <c r="T11631" t="s">
        <v>27255</v>
      </c>
    </row>
    <row r="11632" spans="1:20" x14ac:dyDescent="0.3">
      <c r="A11632" t="str">
        <f>"0611839303025"</f>
        <v>0611839303025</v>
      </c>
      <c r="B11632" t="str">
        <f>"MC3404"</f>
        <v>MC3404</v>
      </c>
      <c r="C11632" t="s">
        <v>49721</v>
      </c>
      <c r="D11632" t="s">
        <v>27267</v>
      </c>
      <c r="E11632" t="str">
        <f t="shared" si="181"/>
        <v>001390</v>
      </c>
      <c r="F11632" t="s">
        <v>27246</v>
      </c>
      <c r="G11632" t="s">
        <v>27247</v>
      </c>
      <c r="H11632" t="s">
        <v>27248</v>
      </c>
      <c r="I11632" t="s">
        <v>49722</v>
      </c>
      <c r="J11632" t="s">
        <v>23280</v>
      </c>
      <c r="L11632" t="s">
        <v>27250</v>
      </c>
      <c r="M11632" t="s">
        <v>27251</v>
      </c>
      <c r="N11632" t="s">
        <v>27252</v>
      </c>
      <c r="Q11632" s="1">
        <v>44538</v>
      </c>
      <c r="R11632" t="s">
        <v>27253</v>
      </c>
      <c r="S11632" t="s">
        <v>27254</v>
      </c>
      <c r="T11632" t="s">
        <v>27269</v>
      </c>
    </row>
    <row r="11633" spans="1:20" x14ac:dyDescent="0.3">
      <c r="A11633" t="str">
        <f>"0611839304025"</f>
        <v>0611839304025</v>
      </c>
      <c r="B11633" t="str">
        <f>"MC4037"</f>
        <v>MC4037</v>
      </c>
      <c r="C11633" t="s">
        <v>49723</v>
      </c>
      <c r="D11633" t="s">
        <v>27267</v>
      </c>
      <c r="E11633" t="str">
        <f t="shared" si="181"/>
        <v>001390</v>
      </c>
      <c r="F11633" t="s">
        <v>27246</v>
      </c>
      <c r="G11633" t="s">
        <v>27247</v>
      </c>
      <c r="H11633" t="s">
        <v>27248</v>
      </c>
      <c r="I11633" t="s">
        <v>49724</v>
      </c>
      <c r="J11633" t="s">
        <v>23284</v>
      </c>
      <c r="L11633" t="s">
        <v>27250</v>
      </c>
      <c r="M11633" t="s">
        <v>27251</v>
      </c>
      <c r="N11633" t="s">
        <v>27252</v>
      </c>
      <c r="Q11633" s="1">
        <v>44538</v>
      </c>
      <c r="R11633" t="s">
        <v>27253</v>
      </c>
      <c r="S11633" t="s">
        <v>27254</v>
      </c>
      <c r="T11633" t="s">
        <v>27269</v>
      </c>
    </row>
    <row r="11634" spans="1:20" x14ac:dyDescent="0.3">
      <c r="A11634" t="str">
        <f>"0611864079100"</f>
        <v>0611864079100</v>
      </c>
      <c r="B11634" t="str">
        <f>"CN2262"</f>
        <v>CN2262</v>
      </c>
      <c r="C11634" t="s">
        <v>49723</v>
      </c>
      <c r="D11634" t="s">
        <v>27245</v>
      </c>
      <c r="E11634" t="str">
        <f t="shared" si="181"/>
        <v>001390</v>
      </c>
      <c r="F11634" t="s">
        <v>27246</v>
      </c>
      <c r="G11634" t="s">
        <v>27247</v>
      </c>
      <c r="H11634" t="s">
        <v>27248</v>
      </c>
      <c r="I11634" t="s">
        <v>49725</v>
      </c>
      <c r="J11634" t="s">
        <v>23282</v>
      </c>
      <c r="L11634" t="s">
        <v>27250</v>
      </c>
      <c r="M11634" t="s">
        <v>27251</v>
      </c>
      <c r="N11634" t="s">
        <v>27252</v>
      </c>
      <c r="Q11634" s="1">
        <v>44846</v>
      </c>
      <c r="R11634" t="s">
        <v>27253</v>
      </c>
      <c r="S11634" t="s">
        <v>27254</v>
      </c>
      <c r="T11634" t="s">
        <v>27255</v>
      </c>
    </row>
    <row r="11635" spans="1:20" x14ac:dyDescent="0.3">
      <c r="A11635" t="str">
        <f>"0611839306025"</f>
        <v>0611839306025</v>
      </c>
      <c r="B11635" t="str">
        <f>"MC4038"</f>
        <v>MC4038</v>
      </c>
      <c r="C11635" t="s">
        <v>49726</v>
      </c>
      <c r="D11635" t="s">
        <v>27267</v>
      </c>
      <c r="E11635" t="str">
        <f t="shared" si="181"/>
        <v>001390</v>
      </c>
      <c r="F11635" t="s">
        <v>27246</v>
      </c>
      <c r="G11635" t="s">
        <v>27247</v>
      </c>
      <c r="H11635" t="s">
        <v>27248</v>
      </c>
      <c r="I11635" t="s">
        <v>49727</v>
      </c>
      <c r="J11635" t="s">
        <v>23286</v>
      </c>
      <c r="L11635" t="s">
        <v>27250</v>
      </c>
      <c r="M11635" t="s">
        <v>27251</v>
      </c>
      <c r="N11635" t="s">
        <v>27252</v>
      </c>
      <c r="Q11635" s="1">
        <v>44538</v>
      </c>
      <c r="R11635" t="s">
        <v>27253</v>
      </c>
      <c r="S11635" t="s">
        <v>27254</v>
      </c>
      <c r="T11635" t="s">
        <v>27269</v>
      </c>
    </row>
    <row r="11636" spans="1:20" x14ac:dyDescent="0.3">
      <c r="A11636" t="str">
        <f>"0611839307025"</f>
        <v>0611839307025</v>
      </c>
      <c r="B11636" t="str">
        <f>"MC0919"</f>
        <v>MC0919</v>
      </c>
      <c r="C11636" t="s">
        <v>49728</v>
      </c>
      <c r="D11636" t="s">
        <v>27267</v>
      </c>
      <c r="E11636" t="str">
        <f t="shared" si="181"/>
        <v>001390</v>
      </c>
      <c r="F11636" t="s">
        <v>27246</v>
      </c>
      <c r="G11636" t="s">
        <v>27247</v>
      </c>
      <c r="H11636" t="s">
        <v>27248</v>
      </c>
      <c r="I11636" t="s">
        <v>49729</v>
      </c>
      <c r="J11636" t="s">
        <v>23288</v>
      </c>
      <c r="L11636" t="s">
        <v>27250</v>
      </c>
      <c r="M11636" t="s">
        <v>27251</v>
      </c>
      <c r="N11636" t="s">
        <v>27252</v>
      </c>
      <c r="Q11636" s="1">
        <v>44538</v>
      </c>
      <c r="R11636" t="s">
        <v>27253</v>
      </c>
      <c r="S11636" t="s">
        <v>27254</v>
      </c>
      <c r="T11636" t="s">
        <v>27269</v>
      </c>
    </row>
    <row r="11637" spans="1:20" x14ac:dyDescent="0.3">
      <c r="A11637" t="str">
        <f>"0611839308025"</f>
        <v>0611839308025</v>
      </c>
      <c r="B11637" t="str">
        <f>"MC4254"</f>
        <v>MC4254</v>
      </c>
      <c r="C11637" t="s">
        <v>49730</v>
      </c>
      <c r="D11637" t="s">
        <v>27267</v>
      </c>
      <c r="E11637" t="str">
        <f t="shared" si="181"/>
        <v>001390</v>
      </c>
      <c r="F11637" t="s">
        <v>27246</v>
      </c>
      <c r="G11637" t="s">
        <v>27247</v>
      </c>
      <c r="H11637" t="s">
        <v>27248</v>
      </c>
      <c r="I11637" t="s">
        <v>49731</v>
      </c>
      <c r="J11637" t="s">
        <v>23290</v>
      </c>
      <c r="L11637" t="s">
        <v>27250</v>
      </c>
      <c r="M11637" t="s">
        <v>27251</v>
      </c>
      <c r="N11637" t="s">
        <v>27252</v>
      </c>
      <c r="Q11637" s="1">
        <v>44538</v>
      </c>
      <c r="R11637" t="s">
        <v>27253</v>
      </c>
      <c r="S11637" t="s">
        <v>27254</v>
      </c>
      <c r="T11637" t="s">
        <v>27269</v>
      </c>
    </row>
    <row r="11638" spans="1:20" x14ac:dyDescent="0.3">
      <c r="A11638" t="str">
        <f>"0611839309025"</f>
        <v>0611839309025</v>
      </c>
      <c r="B11638" t="str">
        <f>"MC3405"</f>
        <v>MC3405</v>
      </c>
      <c r="C11638" t="s">
        <v>49732</v>
      </c>
      <c r="D11638" t="s">
        <v>27267</v>
      </c>
      <c r="E11638" t="str">
        <f t="shared" si="181"/>
        <v>001390</v>
      </c>
      <c r="F11638" t="s">
        <v>27246</v>
      </c>
      <c r="G11638" t="s">
        <v>27247</v>
      </c>
      <c r="H11638" t="s">
        <v>27248</v>
      </c>
      <c r="I11638" t="s">
        <v>49733</v>
      </c>
      <c r="J11638" t="s">
        <v>23294</v>
      </c>
      <c r="L11638" t="s">
        <v>27250</v>
      </c>
      <c r="M11638" t="s">
        <v>27251</v>
      </c>
      <c r="N11638" t="s">
        <v>27252</v>
      </c>
      <c r="Q11638" s="1">
        <v>44538</v>
      </c>
      <c r="R11638" t="s">
        <v>27253</v>
      </c>
      <c r="S11638" t="s">
        <v>27254</v>
      </c>
      <c r="T11638" t="s">
        <v>27269</v>
      </c>
    </row>
    <row r="11639" spans="1:20" x14ac:dyDescent="0.3">
      <c r="A11639" t="str">
        <f>"0611864080100"</f>
        <v>0611864080100</v>
      </c>
      <c r="B11639" t="str">
        <f>"CN2263"</f>
        <v>CN2263</v>
      </c>
      <c r="C11639" t="s">
        <v>49732</v>
      </c>
      <c r="D11639" t="s">
        <v>27335</v>
      </c>
      <c r="E11639" t="str">
        <f t="shared" si="181"/>
        <v>001390</v>
      </c>
      <c r="F11639" t="s">
        <v>27246</v>
      </c>
      <c r="G11639" t="s">
        <v>27247</v>
      </c>
      <c r="H11639" t="s">
        <v>27248</v>
      </c>
      <c r="I11639" t="s">
        <v>49734</v>
      </c>
      <c r="J11639" t="s">
        <v>23292</v>
      </c>
      <c r="L11639" t="s">
        <v>27250</v>
      </c>
      <c r="M11639" t="s">
        <v>27251</v>
      </c>
      <c r="N11639" t="s">
        <v>27252</v>
      </c>
      <c r="Q11639" s="1">
        <v>44846</v>
      </c>
      <c r="R11639" t="s">
        <v>27253</v>
      </c>
      <c r="S11639" t="s">
        <v>27254</v>
      </c>
      <c r="T11639" t="s">
        <v>27255</v>
      </c>
    </row>
    <row r="11640" spans="1:20" x14ac:dyDescent="0.3">
      <c r="A11640" t="str">
        <f>"0611864081100"</f>
        <v>0611864081100</v>
      </c>
      <c r="B11640" t="str">
        <f>"CN2257"</f>
        <v>CN2257</v>
      </c>
      <c r="C11640" t="s">
        <v>49735</v>
      </c>
      <c r="D11640" t="s">
        <v>27335</v>
      </c>
      <c r="E11640" t="str">
        <f t="shared" si="181"/>
        <v>001390</v>
      </c>
      <c r="F11640" t="s">
        <v>27246</v>
      </c>
      <c r="G11640" t="s">
        <v>27247</v>
      </c>
      <c r="H11640" t="s">
        <v>27248</v>
      </c>
      <c r="I11640" t="s">
        <v>49736</v>
      </c>
      <c r="J11640" t="s">
        <v>23296</v>
      </c>
      <c r="L11640" t="s">
        <v>27250</v>
      </c>
      <c r="M11640" t="s">
        <v>27251</v>
      </c>
      <c r="N11640" t="s">
        <v>27252</v>
      </c>
      <c r="Q11640" s="1">
        <v>44846</v>
      </c>
      <c r="R11640" t="s">
        <v>27253</v>
      </c>
      <c r="S11640" t="s">
        <v>27254</v>
      </c>
      <c r="T11640" t="s">
        <v>27255</v>
      </c>
    </row>
    <row r="11641" spans="1:20" x14ac:dyDescent="0.3">
      <c r="A11641" t="str">
        <f>"0611864082100"</f>
        <v>0611864082100</v>
      </c>
      <c r="B11641" t="str">
        <f>"CN2258"</f>
        <v>CN2258</v>
      </c>
      <c r="C11641" t="s">
        <v>49737</v>
      </c>
      <c r="D11641" t="s">
        <v>27335</v>
      </c>
      <c r="E11641" t="str">
        <f t="shared" si="181"/>
        <v>001390</v>
      </c>
      <c r="F11641" t="s">
        <v>27246</v>
      </c>
      <c r="G11641" t="s">
        <v>27247</v>
      </c>
      <c r="H11641" t="s">
        <v>27248</v>
      </c>
      <c r="I11641" t="s">
        <v>49738</v>
      </c>
      <c r="J11641" t="s">
        <v>23298</v>
      </c>
      <c r="L11641" t="s">
        <v>27250</v>
      </c>
      <c r="M11641" t="s">
        <v>27251</v>
      </c>
      <c r="N11641" t="s">
        <v>27252</v>
      </c>
      <c r="Q11641" s="1">
        <v>44846</v>
      </c>
      <c r="R11641" t="s">
        <v>27253</v>
      </c>
      <c r="S11641" t="s">
        <v>27254</v>
      </c>
      <c r="T11641" t="s">
        <v>27255</v>
      </c>
    </row>
    <row r="11642" spans="1:20" x14ac:dyDescent="0.3">
      <c r="A11642" t="str">
        <f>"0611864083100"</f>
        <v>0611864083100</v>
      </c>
      <c r="B11642" t="str">
        <f>"CN2259"</f>
        <v>CN2259</v>
      </c>
      <c r="C11642" t="s">
        <v>49739</v>
      </c>
      <c r="D11642" t="s">
        <v>27335</v>
      </c>
      <c r="E11642" t="str">
        <f t="shared" si="181"/>
        <v>001390</v>
      </c>
      <c r="F11642" t="s">
        <v>27246</v>
      </c>
      <c r="G11642" t="s">
        <v>27247</v>
      </c>
      <c r="H11642" t="s">
        <v>27248</v>
      </c>
      <c r="I11642" t="s">
        <v>49740</v>
      </c>
      <c r="J11642" t="s">
        <v>23300</v>
      </c>
      <c r="L11642" t="s">
        <v>27250</v>
      </c>
      <c r="M11642" t="s">
        <v>27251</v>
      </c>
      <c r="N11642" t="s">
        <v>27252</v>
      </c>
      <c r="Q11642" s="1">
        <v>44846</v>
      </c>
      <c r="R11642" t="s">
        <v>27253</v>
      </c>
      <c r="S11642" t="s">
        <v>27254</v>
      </c>
      <c r="T11642" t="s">
        <v>27255</v>
      </c>
    </row>
    <row r="11643" spans="1:20" x14ac:dyDescent="0.3">
      <c r="A11643" t="str">
        <f>"0611884467025"</f>
        <v>0611884467025</v>
      </c>
      <c r="B11643" t="str">
        <f>"MQ7266"</f>
        <v>MQ7266</v>
      </c>
      <c r="C11643" t="s">
        <v>49741</v>
      </c>
      <c r="D11643" t="s">
        <v>27267</v>
      </c>
      <c r="E11643" t="str">
        <f t="shared" si="181"/>
        <v>001390</v>
      </c>
      <c r="F11643" t="s">
        <v>27246</v>
      </c>
      <c r="G11643" t="s">
        <v>27247</v>
      </c>
      <c r="H11643" t="s">
        <v>27248</v>
      </c>
      <c r="I11643" t="s">
        <v>49742</v>
      </c>
      <c r="J11643" t="s">
        <v>23302</v>
      </c>
      <c r="L11643" t="s">
        <v>27430</v>
      </c>
      <c r="M11643" t="s">
        <v>27251</v>
      </c>
      <c r="N11643" t="s">
        <v>27252</v>
      </c>
      <c r="Q11643" s="1">
        <v>45250</v>
      </c>
      <c r="R11643" t="s">
        <v>27253</v>
      </c>
      <c r="S11643" t="s">
        <v>27254</v>
      </c>
      <c r="T11643" t="s">
        <v>27269</v>
      </c>
    </row>
    <row r="11644" spans="1:20" x14ac:dyDescent="0.3">
      <c r="A11644" t="str">
        <f>"0611839310100"</f>
        <v>0611839310100</v>
      </c>
      <c r="B11644" t="str">
        <f>"LK5527"</f>
        <v>LK5527</v>
      </c>
      <c r="C11644" t="s">
        <v>49743</v>
      </c>
      <c r="D11644" t="s">
        <v>27245</v>
      </c>
      <c r="E11644" t="str">
        <f t="shared" si="181"/>
        <v>001390</v>
      </c>
      <c r="F11644" t="s">
        <v>27246</v>
      </c>
      <c r="G11644" t="s">
        <v>27247</v>
      </c>
      <c r="H11644" t="s">
        <v>27248</v>
      </c>
      <c r="I11644" t="s">
        <v>49744</v>
      </c>
      <c r="J11644" t="s">
        <v>23304</v>
      </c>
      <c r="L11644" t="s">
        <v>27250</v>
      </c>
      <c r="M11644" t="s">
        <v>27251</v>
      </c>
      <c r="N11644" t="s">
        <v>27252</v>
      </c>
      <c r="Q11644" s="1">
        <v>44538</v>
      </c>
      <c r="R11644" t="s">
        <v>27253</v>
      </c>
      <c r="S11644" t="s">
        <v>27254</v>
      </c>
      <c r="T11644" t="s">
        <v>27255</v>
      </c>
    </row>
    <row r="11645" spans="1:20" x14ac:dyDescent="0.3">
      <c r="A11645" t="str">
        <f>"0611839311100"</f>
        <v>0611839311100</v>
      </c>
      <c r="B11645" t="str">
        <f>"LG8032"</f>
        <v>LG8032</v>
      </c>
      <c r="C11645" t="s">
        <v>49745</v>
      </c>
      <c r="D11645" t="s">
        <v>27245</v>
      </c>
      <c r="E11645" t="str">
        <f t="shared" si="181"/>
        <v>001390</v>
      </c>
      <c r="F11645" t="s">
        <v>27246</v>
      </c>
      <c r="G11645" t="s">
        <v>27247</v>
      </c>
      <c r="H11645" t="s">
        <v>27248</v>
      </c>
      <c r="I11645" t="s">
        <v>49746</v>
      </c>
      <c r="J11645" t="s">
        <v>23306</v>
      </c>
      <c r="L11645" t="s">
        <v>27250</v>
      </c>
      <c r="M11645" t="s">
        <v>27251</v>
      </c>
      <c r="N11645" t="s">
        <v>27252</v>
      </c>
      <c r="Q11645" s="1">
        <v>44538</v>
      </c>
      <c r="R11645" t="s">
        <v>27253</v>
      </c>
      <c r="S11645" t="s">
        <v>27254</v>
      </c>
      <c r="T11645" t="s">
        <v>27255</v>
      </c>
    </row>
    <row r="11646" spans="1:20" x14ac:dyDescent="0.3">
      <c r="A11646" t="str">
        <f>"0611839312100"</f>
        <v>0611839312100</v>
      </c>
      <c r="B11646" t="str">
        <f>"LG1300"</f>
        <v>LG1300</v>
      </c>
      <c r="C11646" t="s">
        <v>49747</v>
      </c>
      <c r="D11646" t="s">
        <v>27245</v>
      </c>
      <c r="E11646" t="str">
        <f t="shared" si="181"/>
        <v>001390</v>
      </c>
      <c r="F11646" t="s">
        <v>27246</v>
      </c>
      <c r="G11646" t="s">
        <v>27247</v>
      </c>
      <c r="H11646" t="s">
        <v>27248</v>
      </c>
      <c r="I11646" t="s">
        <v>49748</v>
      </c>
      <c r="J11646" t="s">
        <v>23308</v>
      </c>
      <c r="L11646" t="s">
        <v>27250</v>
      </c>
      <c r="M11646" t="s">
        <v>27251</v>
      </c>
      <c r="N11646" t="s">
        <v>27252</v>
      </c>
      <c r="Q11646" s="1">
        <v>44538</v>
      </c>
      <c r="R11646" t="s">
        <v>27253</v>
      </c>
      <c r="S11646" t="s">
        <v>27254</v>
      </c>
      <c r="T11646" t="s">
        <v>27255</v>
      </c>
    </row>
    <row r="11647" spans="1:20" x14ac:dyDescent="0.3">
      <c r="A11647" t="str">
        <f>"0611864084100"</f>
        <v>0611864084100</v>
      </c>
      <c r="B11647" t="str">
        <f>"CN2264"</f>
        <v>CN2264</v>
      </c>
      <c r="C11647" t="s">
        <v>49749</v>
      </c>
      <c r="D11647" t="s">
        <v>27335</v>
      </c>
      <c r="E11647" t="str">
        <f t="shared" si="181"/>
        <v>001390</v>
      </c>
      <c r="F11647" t="s">
        <v>27246</v>
      </c>
      <c r="G11647" t="s">
        <v>27247</v>
      </c>
      <c r="H11647" t="s">
        <v>27248</v>
      </c>
      <c r="I11647" t="s">
        <v>49750</v>
      </c>
      <c r="J11647" t="s">
        <v>23310</v>
      </c>
      <c r="L11647" t="s">
        <v>27250</v>
      </c>
      <c r="M11647" t="s">
        <v>27251</v>
      </c>
      <c r="N11647" t="s">
        <v>27252</v>
      </c>
      <c r="Q11647" s="1">
        <v>44846</v>
      </c>
      <c r="R11647" t="s">
        <v>27253</v>
      </c>
      <c r="S11647" t="s">
        <v>27254</v>
      </c>
      <c r="T11647" t="s">
        <v>27255</v>
      </c>
    </row>
    <row r="11648" spans="1:20" x14ac:dyDescent="0.3">
      <c r="A11648" t="str">
        <f>"0611839314100"</f>
        <v>0611839314100</v>
      </c>
      <c r="B11648" t="str">
        <f>"LB2623"</f>
        <v>LB2623</v>
      </c>
      <c r="C11648" t="s">
        <v>49751</v>
      </c>
      <c r="D11648" t="s">
        <v>27245</v>
      </c>
      <c r="E11648" t="str">
        <f t="shared" si="181"/>
        <v>001390</v>
      </c>
      <c r="F11648" t="s">
        <v>27246</v>
      </c>
      <c r="G11648" t="s">
        <v>27247</v>
      </c>
      <c r="H11648" t="s">
        <v>27248</v>
      </c>
      <c r="I11648" t="s">
        <v>49752</v>
      </c>
      <c r="J11648" t="s">
        <v>23312</v>
      </c>
      <c r="L11648" t="s">
        <v>27250</v>
      </c>
      <c r="M11648" t="s">
        <v>27251</v>
      </c>
      <c r="N11648" t="s">
        <v>27252</v>
      </c>
      <c r="Q11648" s="1">
        <v>44538</v>
      </c>
      <c r="R11648" t="s">
        <v>27253</v>
      </c>
      <c r="S11648" t="s">
        <v>27254</v>
      </c>
      <c r="T11648" t="s">
        <v>27255</v>
      </c>
    </row>
    <row r="11649" spans="1:20" x14ac:dyDescent="0.3">
      <c r="A11649" t="str">
        <f>"0611839320100"</f>
        <v>0611839320100</v>
      </c>
      <c r="B11649" t="str">
        <f>"LB2621"</f>
        <v>LB2621</v>
      </c>
      <c r="C11649" t="s">
        <v>49753</v>
      </c>
      <c r="D11649" t="s">
        <v>27245</v>
      </c>
      <c r="E11649" t="str">
        <f t="shared" si="181"/>
        <v>001390</v>
      </c>
      <c r="F11649" t="s">
        <v>27246</v>
      </c>
      <c r="G11649" t="s">
        <v>27247</v>
      </c>
      <c r="H11649" t="s">
        <v>27248</v>
      </c>
      <c r="I11649" t="s">
        <v>49754</v>
      </c>
      <c r="J11649" t="s">
        <v>23316</v>
      </c>
      <c r="L11649" t="s">
        <v>27250</v>
      </c>
      <c r="M11649" t="s">
        <v>27251</v>
      </c>
      <c r="N11649" t="s">
        <v>27252</v>
      </c>
      <c r="Q11649" s="1">
        <v>44538</v>
      </c>
      <c r="R11649" t="s">
        <v>27253</v>
      </c>
      <c r="S11649" t="s">
        <v>27254</v>
      </c>
      <c r="T11649" t="s">
        <v>27255</v>
      </c>
    </row>
    <row r="11650" spans="1:20" x14ac:dyDescent="0.3">
      <c r="A11650" t="str">
        <f>"0611839327100"</f>
        <v>0611839327100</v>
      </c>
      <c r="B11650" t="str">
        <f>"LQ3809"</f>
        <v>LQ3809</v>
      </c>
      <c r="C11650" t="s">
        <v>49755</v>
      </c>
      <c r="D11650" t="s">
        <v>27245</v>
      </c>
      <c r="E11650" t="str">
        <f t="shared" ref="E11650:E11713" si="182">"001390"</f>
        <v>001390</v>
      </c>
      <c r="F11650" t="s">
        <v>27246</v>
      </c>
      <c r="G11650" t="s">
        <v>27247</v>
      </c>
      <c r="H11650" t="s">
        <v>27248</v>
      </c>
      <c r="I11650" t="s">
        <v>49756</v>
      </c>
      <c r="J11650" t="s">
        <v>23318</v>
      </c>
      <c r="L11650" t="s">
        <v>27250</v>
      </c>
      <c r="M11650" t="s">
        <v>27251</v>
      </c>
      <c r="N11650" t="s">
        <v>27252</v>
      </c>
      <c r="Q11650" s="1">
        <v>44538</v>
      </c>
      <c r="R11650" t="s">
        <v>27253</v>
      </c>
      <c r="S11650" t="s">
        <v>27254</v>
      </c>
      <c r="T11650" t="s">
        <v>27255</v>
      </c>
    </row>
    <row r="11651" spans="1:20" x14ac:dyDescent="0.3">
      <c r="A11651" t="str">
        <f>"0611839328100"</f>
        <v>0611839328100</v>
      </c>
      <c r="B11651" t="str">
        <f>"LB2631"</f>
        <v>LB2631</v>
      </c>
      <c r="C11651" t="s">
        <v>49757</v>
      </c>
      <c r="D11651" t="s">
        <v>27245</v>
      </c>
      <c r="E11651" t="str">
        <f t="shared" si="182"/>
        <v>001390</v>
      </c>
      <c r="F11651" t="s">
        <v>27246</v>
      </c>
      <c r="G11651" t="s">
        <v>27247</v>
      </c>
      <c r="H11651" t="s">
        <v>27248</v>
      </c>
      <c r="I11651" t="s">
        <v>49758</v>
      </c>
      <c r="J11651" t="s">
        <v>23320</v>
      </c>
      <c r="L11651" t="s">
        <v>27250</v>
      </c>
      <c r="M11651" t="s">
        <v>27251</v>
      </c>
      <c r="N11651" t="s">
        <v>27252</v>
      </c>
      <c r="Q11651" s="1">
        <v>44538</v>
      </c>
      <c r="R11651" t="s">
        <v>27253</v>
      </c>
      <c r="S11651" t="s">
        <v>27254</v>
      </c>
      <c r="T11651" t="s">
        <v>27255</v>
      </c>
    </row>
    <row r="11652" spans="1:20" x14ac:dyDescent="0.3">
      <c r="A11652" t="str">
        <f>"0611839329100"</f>
        <v>0611839329100</v>
      </c>
      <c r="B11652" t="str">
        <f>"LK5457"</f>
        <v>LK5457</v>
      </c>
      <c r="C11652" t="s">
        <v>49759</v>
      </c>
      <c r="D11652" t="s">
        <v>27245</v>
      </c>
      <c r="E11652" t="str">
        <f t="shared" si="182"/>
        <v>001390</v>
      </c>
      <c r="F11652" t="s">
        <v>27246</v>
      </c>
      <c r="G11652" t="s">
        <v>27247</v>
      </c>
      <c r="H11652" t="s">
        <v>27248</v>
      </c>
      <c r="I11652" t="s">
        <v>49760</v>
      </c>
      <c r="J11652" t="s">
        <v>23322</v>
      </c>
      <c r="L11652" t="s">
        <v>27250</v>
      </c>
      <c r="M11652" t="s">
        <v>27251</v>
      </c>
      <c r="N11652" t="s">
        <v>27252</v>
      </c>
      <c r="Q11652" s="1">
        <v>44538</v>
      </c>
      <c r="R11652" t="s">
        <v>27253</v>
      </c>
      <c r="S11652" t="s">
        <v>27254</v>
      </c>
      <c r="T11652" t="s">
        <v>27255</v>
      </c>
    </row>
    <row r="11653" spans="1:20" x14ac:dyDescent="0.3">
      <c r="A11653" t="str">
        <f>"0611839330100"</f>
        <v>0611839330100</v>
      </c>
      <c r="B11653" t="str">
        <f>"LB2627"</f>
        <v>LB2627</v>
      </c>
      <c r="C11653" t="s">
        <v>49761</v>
      </c>
      <c r="D11653" t="s">
        <v>27245</v>
      </c>
      <c r="E11653" t="str">
        <f t="shared" si="182"/>
        <v>001390</v>
      </c>
      <c r="F11653" t="s">
        <v>27246</v>
      </c>
      <c r="G11653" t="s">
        <v>27247</v>
      </c>
      <c r="H11653" t="s">
        <v>27248</v>
      </c>
      <c r="I11653" t="s">
        <v>49762</v>
      </c>
      <c r="J11653" t="s">
        <v>23324</v>
      </c>
      <c r="L11653" t="s">
        <v>27250</v>
      </c>
      <c r="M11653" t="s">
        <v>27251</v>
      </c>
      <c r="N11653" t="s">
        <v>27252</v>
      </c>
      <c r="Q11653" s="1">
        <v>44538</v>
      </c>
      <c r="R11653" t="s">
        <v>27253</v>
      </c>
      <c r="S11653" t="s">
        <v>27254</v>
      </c>
      <c r="T11653" t="s">
        <v>27255</v>
      </c>
    </row>
    <row r="11654" spans="1:20" x14ac:dyDescent="0.3">
      <c r="A11654" t="str">
        <f>"0611839316100"</f>
        <v>0611839316100</v>
      </c>
      <c r="B11654" t="str">
        <f>"LB2633"</f>
        <v>LB2633</v>
      </c>
      <c r="C11654" t="s">
        <v>49763</v>
      </c>
      <c r="D11654" t="s">
        <v>27245</v>
      </c>
      <c r="E11654" t="str">
        <f t="shared" si="182"/>
        <v>001390</v>
      </c>
      <c r="F11654" t="s">
        <v>27246</v>
      </c>
      <c r="G11654" t="s">
        <v>27247</v>
      </c>
      <c r="H11654" t="s">
        <v>27248</v>
      </c>
      <c r="I11654" t="s">
        <v>49764</v>
      </c>
      <c r="J11654" t="s">
        <v>23326</v>
      </c>
      <c r="L11654" t="s">
        <v>27250</v>
      </c>
      <c r="M11654" t="s">
        <v>27251</v>
      </c>
      <c r="N11654" t="s">
        <v>27252</v>
      </c>
      <c r="Q11654" s="1">
        <v>44538</v>
      </c>
      <c r="R11654" t="s">
        <v>27253</v>
      </c>
      <c r="S11654" t="s">
        <v>27254</v>
      </c>
      <c r="T11654" t="s">
        <v>27255</v>
      </c>
    </row>
    <row r="11655" spans="1:20" x14ac:dyDescent="0.3">
      <c r="A11655" t="str">
        <f>"0611839334100"</f>
        <v>0611839334100</v>
      </c>
      <c r="B11655" t="str">
        <f>"LQ3810"</f>
        <v>LQ3810</v>
      </c>
      <c r="C11655" t="s">
        <v>49765</v>
      </c>
      <c r="D11655" t="s">
        <v>27245</v>
      </c>
      <c r="E11655" t="str">
        <f t="shared" si="182"/>
        <v>001390</v>
      </c>
      <c r="F11655" t="s">
        <v>27246</v>
      </c>
      <c r="G11655" t="s">
        <v>27247</v>
      </c>
      <c r="H11655" t="s">
        <v>27248</v>
      </c>
      <c r="I11655" t="s">
        <v>49766</v>
      </c>
      <c r="J11655" t="s">
        <v>23328</v>
      </c>
      <c r="L11655" t="s">
        <v>27250</v>
      </c>
      <c r="M11655" t="s">
        <v>27251</v>
      </c>
      <c r="N11655" t="s">
        <v>27252</v>
      </c>
      <c r="Q11655" s="1">
        <v>44538</v>
      </c>
      <c r="R11655" t="s">
        <v>27253</v>
      </c>
      <c r="S11655" t="s">
        <v>27254</v>
      </c>
      <c r="T11655" t="s">
        <v>27255</v>
      </c>
    </row>
    <row r="11656" spans="1:20" x14ac:dyDescent="0.3">
      <c r="A11656" t="str">
        <f>"0611839315100"</f>
        <v>0611839315100</v>
      </c>
      <c r="B11656" t="str">
        <f>"LS0019"</f>
        <v>LS0019</v>
      </c>
      <c r="C11656" t="s">
        <v>49767</v>
      </c>
      <c r="D11656" t="s">
        <v>27245</v>
      </c>
      <c r="E11656" t="str">
        <f t="shared" si="182"/>
        <v>001390</v>
      </c>
      <c r="F11656" t="s">
        <v>27246</v>
      </c>
      <c r="G11656" t="s">
        <v>27247</v>
      </c>
      <c r="H11656" t="s">
        <v>27248</v>
      </c>
      <c r="I11656" t="s">
        <v>49768</v>
      </c>
      <c r="J11656" t="s">
        <v>23314</v>
      </c>
      <c r="L11656" t="s">
        <v>27250</v>
      </c>
      <c r="M11656" t="s">
        <v>27251</v>
      </c>
      <c r="N11656" t="s">
        <v>27252</v>
      </c>
      <c r="Q11656" s="1">
        <v>44538</v>
      </c>
      <c r="R11656" t="s">
        <v>27253</v>
      </c>
      <c r="S11656" t="s">
        <v>27254</v>
      </c>
      <c r="T11656" t="s">
        <v>27255</v>
      </c>
    </row>
    <row r="11657" spans="1:20" x14ac:dyDescent="0.3">
      <c r="A11657" t="str">
        <f>"0611839317100"</f>
        <v>0611839317100</v>
      </c>
      <c r="B11657" t="str">
        <f>"LB8504"</f>
        <v>LB8504</v>
      </c>
      <c r="C11657" t="s">
        <v>49769</v>
      </c>
      <c r="D11657" t="s">
        <v>27245</v>
      </c>
      <c r="E11657" t="str">
        <f t="shared" si="182"/>
        <v>001390</v>
      </c>
      <c r="F11657" t="s">
        <v>27246</v>
      </c>
      <c r="G11657" t="s">
        <v>27247</v>
      </c>
      <c r="H11657" t="s">
        <v>27248</v>
      </c>
      <c r="I11657" t="s">
        <v>49770</v>
      </c>
      <c r="J11657" t="s">
        <v>23330</v>
      </c>
      <c r="L11657" t="s">
        <v>27250</v>
      </c>
      <c r="M11657" t="s">
        <v>27251</v>
      </c>
      <c r="N11657" t="s">
        <v>27252</v>
      </c>
      <c r="Q11657" s="1">
        <v>44538</v>
      </c>
      <c r="R11657" t="s">
        <v>27253</v>
      </c>
      <c r="S11657" t="s">
        <v>27254</v>
      </c>
      <c r="T11657" t="s">
        <v>27255</v>
      </c>
    </row>
    <row r="11658" spans="1:20" x14ac:dyDescent="0.3">
      <c r="A11658" t="str">
        <f>"0611884468100"</f>
        <v>0611884468100</v>
      </c>
      <c r="B11658" t="str">
        <f>"CN2415"</f>
        <v>CN2415</v>
      </c>
      <c r="C11658" t="s">
        <v>49771</v>
      </c>
      <c r="D11658" t="s">
        <v>27335</v>
      </c>
      <c r="E11658" t="str">
        <f t="shared" si="182"/>
        <v>001390</v>
      </c>
      <c r="F11658" t="s">
        <v>27246</v>
      </c>
      <c r="G11658" t="s">
        <v>27247</v>
      </c>
      <c r="H11658" t="s">
        <v>27248</v>
      </c>
      <c r="I11658" t="s">
        <v>49772</v>
      </c>
      <c r="J11658" t="s">
        <v>23332</v>
      </c>
      <c r="L11658" t="s">
        <v>27430</v>
      </c>
      <c r="M11658" t="s">
        <v>27251</v>
      </c>
      <c r="N11658" t="s">
        <v>27252</v>
      </c>
      <c r="Q11658" s="1">
        <v>45250</v>
      </c>
      <c r="R11658" t="s">
        <v>27253</v>
      </c>
      <c r="S11658" t="s">
        <v>27254</v>
      </c>
      <c r="T11658" t="s">
        <v>27255</v>
      </c>
    </row>
    <row r="11659" spans="1:20" x14ac:dyDescent="0.3">
      <c r="A11659" t="str">
        <f>"0611839319100"</f>
        <v>0611839319100</v>
      </c>
      <c r="B11659" t="str">
        <f>"LB1867"</f>
        <v>LB1867</v>
      </c>
      <c r="C11659" t="s">
        <v>49773</v>
      </c>
      <c r="D11659" t="s">
        <v>27245</v>
      </c>
      <c r="E11659" t="str">
        <f t="shared" si="182"/>
        <v>001390</v>
      </c>
      <c r="F11659" t="s">
        <v>27246</v>
      </c>
      <c r="G11659" t="s">
        <v>27247</v>
      </c>
      <c r="H11659" t="s">
        <v>27248</v>
      </c>
      <c r="I11659" t="s">
        <v>49774</v>
      </c>
      <c r="J11659" t="s">
        <v>23334</v>
      </c>
      <c r="L11659" t="s">
        <v>27250</v>
      </c>
      <c r="M11659" t="s">
        <v>27251</v>
      </c>
      <c r="N11659" t="s">
        <v>27252</v>
      </c>
      <c r="Q11659" s="1">
        <v>44538</v>
      </c>
      <c r="R11659" t="s">
        <v>27253</v>
      </c>
      <c r="S11659" t="s">
        <v>27254</v>
      </c>
      <c r="T11659" t="s">
        <v>27255</v>
      </c>
    </row>
    <row r="11660" spans="1:20" x14ac:dyDescent="0.3">
      <c r="A11660" t="str">
        <f>"0611839321100"</f>
        <v>0611839321100</v>
      </c>
      <c r="B11660" t="str">
        <f>"LF7120"</f>
        <v>LF7120</v>
      </c>
      <c r="C11660" t="s">
        <v>49775</v>
      </c>
      <c r="D11660" t="s">
        <v>27245</v>
      </c>
      <c r="E11660" t="str">
        <f t="shared" si="182"/>
        <v>001390</v>
      </c>
      <c r="F11660" t="s">
        <v>27246</v>
      </c>
      <c r="G11660" t="s">
        <v>27247</v>
      </c>
      <c r="H11660" t="s">
        <v>27248</v>
      </c>
      <c r="I11660" t="s">
        <v>49776</v>
      </c>
      <c r="J11660" t="s">
        <v>23336</v>
      </c>
      <c r="L11660" t="s">
        <v>27250</v>
      </c>
      <c r="M11660" t="s">
        <v>27251</v>
      </c>
      <c r="N11660" t="s">
        <v>27252</v>
      </c>
      <c r="Q11660" s="1">
        <v>44538</v>
      </c>
      <c r="R11660" t="s">
        <v>27253</v>
      </c>
      <c r="S11660" t="s">
        <v>27254</v>
      </c>
      <c r="T11660" t="s">
        <v>27255</v>
      </c>
    </row>
    <row r="11661" spans="1:20" x14ac:dyDescent="0.3">
      <c r="A11661" t="str">
        <f>"0611864085100"</f>
        <v>0611864085100</v>
      </c>
      <c r="B11661" t="str">
        <f>"CN2266"</f>
        <v>CN2266</v>
      </c>
      <c r="C11661" t="s">
        <v>49777</v>
      </c>
      <c r="D11661" t="s">
        <v>27245</v>
      </c>
      <c r="E11661" t="str">
        <f t="shared" si="182"/>
        <v>001390</v>
      </c>
      <c r="F11661" t="s">
        <v>27246</v>
      </c>
      <c r="G11661" t="s">
        <v>27247</v>
      </c>
      <c r="H11661" t="s">
        <v>27248</v>
      </c>
      <c r="I11661" t="s">
        <v>49778</v>
      </c>
      <c r="J11661" t="s">
        <v>23338</v>
      </c>
      <c r="L11661" t="s">
        <v>27250</v>
      </c>
      <c r="M11661" t="s">
        <v>27251</v>
      </c>
      <c r="N11661" t="s">
        <v>27252</v>
      </c>
      <c r="Q11661" s="1">
        <v>44846</v>
      </c>
      <c r="R11661" t="s">
        <v>27253</v>
      </c>
      <c r="S11661" t="s">
        <v>27254</v>
      </c>
      <c r="T11661" t="s">
        <v>27255</v>
      </c>
    </row>
    <row r="11662" spans="1:20" x14ac:dyDescent="0.3">
      <c r="A11662" t="str">
        <f>"0611864086050"</f>
        <v>0611864086050</v>
      </c>
      <c r="B11662" t="str">
        <f>"CR5239"</f>
        <v>CR5239</v>
      </c>
      <c r="C11662" t="s">
        <v>49779</v>
      </c>
      <c r="D11662" t="s">
        <v>27271</v>
      </c>
      <c r="E11662" t="str">
        <f t="shared" si="182"/>
        <v>001390</v>
      </c>
      <c r="F11662" t="s">
        <v>27246</v>
      </c>
      <c r="G11662" t="s">
        <v>27247</v>
      </c>
      <c r="H11662" t="s">
        <v>27248</v>
      </c>
      <c r="I11662" t="s">
        <v>49780</v>
      </c>
      <c r="J11662" t="s">
        <v>23340</v>
      </c>
      <c r="L11662" t="s">
        <v>27250</v>
      </c>
      <c r="M11662" t="s">
        <v>27251</v>
      </c>
      <c r="N11662" t="s">
        <v>27252</v>
      </c>
      <c r="P11662" t="s">
        <v>27341</v>
      </c>
      <c r="Q11662" s="1">
        <v>44846</v>
      </c>
      <c r="R11662" t="s">
        <v>27253</v>
      </c>
      <c r="S11662" t="s">
        <v>27254</v>
      </c>
      <c r="T11662" t="s">
        <v>27265</v>
      </c>
    </row>
    <row r="11663" spans="1:20" x14ac:dyDescent="0.3">
      <c r="A11663" t="str">
        <f>"0611864087050"</f>
        <v>0611864087050</v>
      </c>
      <c r="B11663" t="str">
        <f>"CR5240"</f>
        <v>CR5240</v>
      </c>
      <c r="C11663" t="s">
        <v>49781</v>
      </c>
      <c r="D11663" t="s">
        <v>27271</v>
      </c>
      <c r="E11663" t="str">
        <f t="shared" si="182"/>
        <v>001390</v>
      </c>
      <c r="F11663" t="s">
        <v>27246</v>
      </c>
      <c r="G11663" t="s">
        <v>27247</v>
      </c>
      <c r="H11663" t="s">
        <v>27248</v>
      </c>
      <c r="I11663" t="s">
        <v>49782</v>
      </c>
      <c r="J11663" t="s">
        <v>23342</v>
      </c>
      <c r="L11663" t="s">
        <v>27250</v>
      </c>
      <c r="M11663" t="s">
        <v>27251</v>
      </c>
      <c r="N11663" t="s">
        <v>27252</v>
      </c>
      <c r="P11663" t="s">
        <v>27341</v>
      </c>
      <c r="Q11663" s="1">
        <v>44846</v>
      </c>
      <c r="R11663" t="s">
        <v>27253</v>
      </c>
      <c r="S11663" t="s">
        <v>27254</v>
      </c>
      <c r="T11663" t="s">
        <v>27265</v>
      </c>
    </row>
    <row r="11664" spans="1:20" x14ac:dyDescent="0.3">
      <c r="A11664" t="str">
        <f>"0611864088050"</f>
        <v>0611864088050</v>
      </c>
      <c r="B11664" t="str">
        <f>"CR5074"</f>
        <v>CR5074</v>
      </c>
      <c r="C11664" t="s">
        <v>49783</v>
      </c>
      <c r="D11664" t="s">
        <v>27271</v>
      </c>
      <c r="E11664" t="str">
        <f t="shared" si="182"/>
        <v>001390</v>
      </c>
      <c r="F11664" t="s">
        <v>27246</v>
      </c>
      <c r="G11664" t="s">
        <v>27247</v>
      </c>
      <c r="H11664" t="s">
        <v>27248</v>
      </c>
      <c r="I11664" t="s">
        <v>49784</v>
      </c>
      <c r="J11664" t="s">
        <v>23344</v>
      </c>
      <c r="L11664" t="s">
        <v>27250</v>
      </c>
      <c r="M11664" t="s">
        <v>27251</v>
      </c>
      <c r="N11664" t="s">
        <v>27252</v>
      </c>
      <c r="P11664" t="s">
        <v>27341</v>
      </c>
      <c r="Q11664" s="1">
        <v>44846</v>
      </c>
      <c r="R11664" t="s">
        <v>27253</v>
      </c>
      <c r="S11664" t="s">
        <v>27254</v>
      </c>
      <c r="T11664" t="s">
        <v>27265</v>
      </c>
    </row>
    <row r="11665" spans="1:20" x14ac:dyDescent="0.3">
      <c r="A11665" t="str">
        <f>"0611864089050"</f>
        <v>0611864089050</v>
      </c>
      <c r="B11665" t="str">
        <f>"CR5243"</f>
        <v>CR5243</v>
      </c>
      <c r="C11665" t="s">
        <v>49785</v>
      </c>
      <c r="D11665" t="s">
        <v>27271</v>
      </c>
      <c r="E11665" t="str">
        <f t="shared" si="182"/>
        <v>001390</v>
      </c>
      <c r="F11665" t="s">
        <v>27246</v>
      </c>
      <c r="G11665" t="s">
        <v>27247</v>
      </c>
      <c r="H11665" t="s">
        <v>27248</v>
      </c>
      <c r="I11665" t="s">
        <v>49786</v>
      </c>
      <c r="J11665" t="s">
        <v>23346</v>
      </c>
      <c r="L11665" t="s">
        <v>27250</v>
      </c>
      <c r="M11665" t="s">
        <v>27251</v>
      </c>
      <c r="N11665" t="s">
        <v>27252</v>
      </c>
      <c r="P11665" t="s">
        <v>27341</v>
      </c>
      <c r="Q11665" s="1">
        <v>44846</v>
      </c>
      <c r="R11665" t="s">
        <v>27253</v>
      </c>
      <c r="S11665" t="s">
        <v>27254</v>
      </c>
      <c r="T11665" t="s">
        <v>27265</v>
      </c>
    </row>
    <row r="11666" spans="1:20" x14ac:dyDescent="0.3">
      <c r="A11666" t="str">
        <f>"0611864090050"</f>
        <v>0611864090050</v>
      </c>
      <c r="B11666" t="str">
        <f>"CR5077"</f>
        <v>CR5077</v>
      </c>
      <c r="C11666" t="s">
        <v>49787</v>
      </c>
      <c r="D11666" t="s">
        <v>27271</v>
      </c>
      <c r="E11666" t="str">
        <f t="shared" si="182"/>
        <v>001390</v>
      </c>
      <c r="F11666" t="s">
        <v>27246</v>
      </c>
      <c r="G11666" t="s">
        <v>27247</v>
      </c>
      <c r="H11666" t="s">
        <v>27248</v>
      </c>
      <c r="I11666" t="s">
        <v>49788</v>
      </c>
      <c r="J11666" t="s">
        <v>23350</v>
      </c>
      <c r="L11666" t="s">
        <v>27250</v>
      </c>
      <c r="M11666" t="s">
        <v>27251</v>
      </c>
      <c r="N11666" t="s">
        <v>27252</v>
      </c>
      <c r="P11666" t="s">
        <v>27341</v>
      </c>
      <c r="Q11666" s="1">
        <v>44846</v>
      </c>
      <c r="R11666" t="s">
        <v>27253</v>
      </c>
      <c r="S11666" t="s">
        <v>27254</v>
      </c>
      <c r="T11666" t="s">
        <v>27265</v>
      </c>
    </row>
    <row r="11667" spans="1:20" x14ac:dyDescent="0.3">
      <c r="A11667" t="str">
        <f>"0611864091050"</f>
        <v>0611864091050</v>
      </c>
      <c r="B11667" t="str">
        <f>"CR5076"</f>
        <v>CR5076</v>
      </c>
      <c r="C11667" t="s">
        <v>49789</v>
      </c>
      <c r="D11667" t="s">
        <v>27271</v>
      </c>
      <c r="E11667" t="str">
        <f t="shared" si="182"/>
        <v>001390</v>
      </c>
      <c r="F11667" t="s">
        <v>27246</v>
      </c>
      <c r="G11667" t="s">
        <v>27247</v>
      </c>
      <c r="H11667" t="s">
        <v>27248</v>
      </c>
      <c r="I11667" t="s">
        <v>49790</v>
      </c>
      <c r="J11667" t="s">
        <v>23348</v>
      </c>
      <c r="L11667" t="s">
        <v>27250</v>
      </c>
      <c r="M11667" t="s">
        <v>27251</v>
      </c>
      <c r="N11667" t="s">
        <v>27252</v>
      </c>
      <c r="P11667" t="s">
        <v>27341</v>
      </c>
      <c r="Q11667" s="1">
        <v>44846</v>
      </c>
      <c r="R11667" t="s">
        <v>27253</v>
      </c>
      <c r="S11667" t="s">
        <v>27254</v>
      </c>
      <c r="T11667" t="s">
        <v>27265</v>
      </c>
    </row>
    <row r="11668" spans="1:20" x14ac:dyDescent="0.3">
      <c r="A11668" t="str">
        <f>"0611864092050"</f>
        <v>0611864092050</v>
      </c>
      <c r="B11668" t="str">
        <f>"CR5075"</f>
        <v>CR5075</v>
      </c>
      <c r="C11668" t="s">
        <v>49791</v>
      </c>
      <c r="D11668" t="s">
        <v>27271</v>
      </c>
      <c r="E11668" t="str">
        <f t="shared" si="182"/>
        <v>001390</v>
      </c>
      <c r="F11668" t="s">
        <v>27246</v>
      </c>
      <c r="G11668" t="s">
        <v>27247</v>
      </c>
      <c r="H11668" t="s">
        <v>27248</v>
      </c>
      <c r="I11668" t="s">
        <v>49792</v>
      </c>
      <c r="J11668" t="s">
        <v>23352</v>
      </c>
      <c r="L11668" t="s">
        <v>27250</v>
      </c>
      <c r="M11668" t="s">
        <v>27251</v>
      </c>
      <c r="N11668" t="s">
        <v>27252</v>
      </c>
      <c r="P11668" t="s">
        <v>27341</v>
      </c>
      <c r="Q11668" s="1">
        <v>44846</v>
      </c>
      <c r="R11668" t="s">
        <v>27253</v>
      </c>
      <c r="S11668" t="s">
        <v>27254</v>
      </c>
      <c r="T11668" t="s">
        <v>27265</v>
      </c>
    </row>
    <row r="11669" spans="1:20" x14ac:dyDescent="0.3">
      <c r="A11669" t="str">
        <f>"0611864093050"</f>
        <v>0611864093050</v>
      </c>
      <c r="B11669" t="str">
        <f>"CR5078"</f>
        <v>CR5078</v>
      </c>
      <c r="C11669" t="s">
        <v>49793</v>
      </c>
      <c r="D11669" t="s">
        <v>27271</v>
      </c>
      <c r="E11669" t="str">
        <f t="shared" si="182"/>
        <v>001390</v>
      </c>
      <c r="F11669" t="s">
        <v>27246</v>
      </c>
      <c r="G11669" t="s">
        <v>27247</v>
      </c>
      <c r="H11669" t="s">
        <v>27248</v>
      </c>
      <c r="I11669" t="s">
        <v>49794</v>
      </c>
      <c r="J11669" t="s">
        <v>23354</v>
      </c>
      <c r="L11669" t="s">
        <v>27250</v>
      </c>
      <c r="M11669" t="s">
        <v>27251</v>
      </c>
      <c r="N11669" t="s">
        <v>27252</v>
      </c>
      <c r="P11669" t="s">
        <v>27341</v>
      </c>
      <c r="Q11669" s="1">
        <v>44846</v>
      </c>
      <c r="R11669" t="s">
        <v>27253</v>
      </c>
      <c r="S11669" t="s">
        <v>27254</v>
      </c>
      <c r="T11669" t="s">
        <v>27265</v>
      </c>
    </row>
    <row r="11670" spans="1:20" x14ac:dyDescent="0.3">
      <c r="A11670" t="str">
        <f>"0611864094050"</f>
        <v>0611864094050</v>
      </c>
      <c r="B11670" t="str">
        <f>"CR5241"</f>
        <v>CR5241</v>
      </c>
      <c r="C11670" t="s">
        <v>49795</v>
      </c>
      <c r="D11670" t="s">
        <v>27271</v>
      </c>
      <c r="E11670" t="str">
        <f t="shared" si="182"/>
        <v>001390</v>
      </c>
      <c r="F11670" t="s">
        <v>27246</v>
      </c>
      <c r="G11670" t="s">
        <v>27247</v>
      </c>
      <c r="H11670" t="s">
        <v>27248</v>
      </c>
      <c r="I11670" t="s">
        <v>49796</v>
      </c>
      <c r="J11670" t="s">
        <v>23356</v>
      </c>
      <c r="L11670" t="s">
        <v>27250</v>
      </c>
      <c r="M11670" t="s">
        <v>27251</v>
      </c>
      <c r="N11670" t="s">
        <v>27252</v>
      </c>
      <c r="P11670" t="s">
        <v>27341</v>
      </c>
      <c r="Q11670" s="1">
        <v>44846</v>
      </c>
      <c r="R11670" t="s">
        <v>27253</v>
      </c>
      <c r="S11670" t="s">
        <v>27254</v>
      </c>
      <c r="T11670" t="s">
        <v>27265</v>
      </c>
    </row>
    <row r="11671" spans="1:20" x14ac:dyDescent="0.3">
      <c r="A11671" t="str">
        <f>"0611864095050"</f>
        <v>0611864095050</v>
      </c>
      <c r="B11671" t="str">
        <f>"CR5242"</f>
        <v>CR5242</v>
      </c>
      <c r="C11671" t="s">
        <v>49797</v>
      </c>
      <c r="D11671" t="s">
        <v>27271</v>
      </c>
      <c r="E11671" t="str">
        <f t="shared" si="182"/>
        <v>001390</v>
      </c>
      <c r="F11671" t="s">
        <v>27246</v>
      </c>
      <c r="G11671" t="s">
        <v>27247</v>
      </c>
      <c r="H11671" t="s">
        <v>27248</v>
      </c>
      <c r="I11671" t="s">
        <v>49798</v>
      </c>
      <c r="J11671" t="s">
        <v>23358</v>
      </c>
      <c r="L11671" t="s">
        <v>27250</v>
      </c>
      <c r="M11671" t="s">
        <v>27251</v>
      </c>
      <c r="N11671" t="s">
        <v>27252</v>
      </c>
      <c r="P11671" t="s">
        <v>27341</v>
      </c>
      <c r="Q11671" s="1">
        <v>44846</v>
      </c>
      <c r="R11671" t="s">
        <v>27253</v>
      </c>
      <c r="S11671" t="s">
        <v>27254</v>
      </c>
      <c r="T11671" t="s">
        <v>27265</v>
      </c>
    </row>
    <row r="11672" spans="1:20" x14ac:dyDescent="0.3">
      <c r="A11672" t="str">
        <f>"0611864096050"</f>
        <v>0611864096050</v>
      </c>
      <c r="B11672" t="str">
        <f>"CR5244"</f>
        <v>CR5244</v>
      </c>
      <c r="C11672" t="s">
        <v>49799</v>
      </c>
      <c r="D11672" t="s">
        <v>27271</v>
      </c>
      <c r="E11672" t="str">
        <f t="shared" si="182"/>
        <v>001390</v>
      </c>
      <c r="F11672" t="s">
        <v>27246</v>
      </c>
      <c r="G11672" t="s">
        <v>27247</v>
      </c>
      <c r="H11672" t="s">
        <v>27248</v>
      </c>
      <c r="I11672" t="s">
        <v>49800</v>
      </c>
      <c r="J11672" t="s">
        <v>23360</v>
      </c>
      <c r="L11672" t="s">
        <v>27250</v>
      </c>
      <c r="M11672" t="s">
        <v>27251</v>
      </c>
      <c r="N11672" t="s">
        <v>27252</v>
      </c>
      <c r="P11672" t="s">
        <v>27341</v>
      </c>
      <c r="Q11672" s="1">
        <v>44846</v>
      </c>
      <c r="R11672" t="s">
        <v>27253</v>
      </c>
      <c r="S11672" t="s">
        <v>27254</v>
      </c>
      <c r="T11672" t="s">
        <v>27265</v>
      </c>
    </row>
    <row r="11673" spans="1:20" x14ac:dyDescent="0.3">
      <c r="A11673" t="str">
        <f>"0611839322100"</f>
        <v>0611839322100</v>
      </c>
      <c r="B11673" t="str">
        <f>"LF3138"</f>
        <v>LF3138</v>
      </c>
      <c r="C11673" t="s">
        <v>49801</v>
      </c>
      <c r="D11673" t="s">
        <v>27245</v>
      </c>
      <c r="E11673" t="str">
        <f t="shared" si="182"/>
        <v>001390</v>
      </c>
      <c r="F11673" t="s">
        <v>27246</v>
      </c>
      <c r="G11673" t="s">
        <v>27247</v>
      </c>
      <c r="H11673" t="s">
        <v>27248</v>
      </c>
      <c r="I11673" t="s">
        <v>49802</v>
      </c>
      <c r="J11673" t="s">
        <v>23362</v>
      </c>
      <c r="L11673" t="s">
        <v>27250</v>
      </c>
      <c r="M11673" t="s">
        <v>27251</v>
      </c>
      <c r="N11673" t="s">
        <v>27252</v>
      </c>
      <c r="Q11673" s="1">
        <v>44538</v>
      </c>
      <c r="R11673" t="s">
        <v>27253</v>
      </c>
      <c r="S11673" t="s">
        <v>27254</v>
      </c>
      <c r="T11673" t="s">
        <v>27255</v>
      </c>
    </row>
    <row r="11674" spans="1:20" x14ac:dyDescent="0.3">
      <c r="A11674" t="str">
        <f>"0611864097100"</f>
        <v>0611864097100</v>
      </c>
      <c r="B11674" t="str">
        <f>"CN2265"</f>
        <v>CN2265</v>
      </c>
      <c r="C11674" t="s">
        <v>49803</v>
      </c>
      <c r="D11674" t="s">
        <v>27335</v>
      </c>
      <c r="E11674" t="str">
        <f t="shared" si="182"/>
        <v>001390</v>
      </c>
      <c r="F11674" t="s">
        <v>27246</v>
      </c>
      <c r="G11674" t="s">
        <v>27247</v>
      </c>
      <c r="H11674" t="s">
        <v>27248</v>
      </c>
      <c r="I11674" t="s">
        <v>49804</v>
      </c>
      <c r="J11674" t="s">
        <v>23364</v>
      </c>
      <c r="L11674" t="s">
        <v>27250</v>
      </c>
      <c r="M11674" t="s">
        <v>27251</v>
      </c>
      <c r="N11674" t="s">
        <v>27252</v>
      </c>
      <c r="Q11674" s="1">
        <v>44846</v>
      </c>
      <c r="R11674" t="s">
        <v>27253</v>
      </c>
      <c r="S11674" t="s">
        <v>27254</v>
      </c>
      <c r="T11674" t="s">
        <v>27255</v>
      </c>
    </row>
    <row r="11675" spans="1:20" x14ac:dyDescent="0.3">
      <c r="A11675" t="str">
        <f>"0611839323100"</f>
        <v>0611839323100</v>
      </c>
      <c r="B11675" t="str">
        <f>"LK6155"</f>
        <v>LK6155</v>
      </c>
      <c r="C11675" t="s">
        <v>49805</v>
      </c>
      <c r="D11675" t="s">
        <v>27245</v>
      </c>
      <c r="E11675" t="str">
        <f t="shared" si="182"/>
        <v>001390</v>
      </c>
      <c r="F11675" t="s">
        <v>27246</v>
      </c>
      <c r="G11675" t="s">
        <v>27247</v>
      </c>
      <c r="H11675" t="s">
        <v>27248</v>
      </c>
      <c r="I11675" t="s">
        <v>49806</v>
      </c>
      <c r="J11675" t="s">
        <v>23366</v>
      </c>
      <c r="L11675" t="s">
        <v>27250</v>
      </c>
      <c r="M11675" t="s">
        <v>27251</v>
      </c>
      <c r="N11675" t="s">
        <v>27252</v>
      </c>
      <c r="Q11675" s="1">
        <v>44538</v>
      </c>
      <c r="R11675" t="s">
        <v>27253</v>
      </c>
      <c r="S11675" t="s">
        <v>27254</v>
      </c>
      <c r="T11675" t="s">
        <v>27255</v>
      </c>
    </row>
    <row r="11676" spans="1:20" x14ac:dyDescent="0.3">
      <c r="A11676" t="str">
        <f>"0611839313100"</f>
        <v>0611839313100</v>
      </c>
      <c r="B11676" t="str">
        <f>"LK0105"</f>
        <v>LK0105</v>
      </c>
      <c r="C11676" t="s">
        <v>49807</v>
      </c>
      <c r="D11676" t="s">
        <v>27245</v>
      </c>
      <c r="E11676" t="str">
        <f t="shared" si="182"/>
        <v>001390</v>
      </c>
      <c r="F11676" t="s">
        <v>27246</v>
      </c>
      <c r="G11676" t="s">
        <v>27247</v>
      </c>
      <c r="H11676" t="s">
        <v>27248</v>
      </c>
      <c r="I11676" t="s">
        <v>49808</v>
      </c>
      <c r="J11676" t="s">
        <v>23368</v>
      </c>
      <c r="L11676" t="s">
        <v>27250</v>
      </c>
      <c r="M11676" t="s">
        <v>27251</v>
      </c>
      <c r="N11676" t="s">
        <v>27252</v>
      </c>
      <c r="Q11676" s="1">
        <v>44538</v>
      </c>
      <c r="R11676" t="s">
        <v>27253</v>
      </c>
      <c r="S11676" t="s">
        <v>27254</v>
      </c>
      <c r="T11676" t="s">
        <v>27255</v>
      </c>
    </row>
    <row r="11677" spans="1:20" x14ac:dyDescent="0.3">
      <c r="A11677" t="str">
        <f>"0611884469100"</f>
        <v>0611884469100</v>
      </c>
      <c r="B11677" t="str">
        <f>"LF8535"</f>
        <v>LF8535</v>
      </c>
      <c r="C11677" t="s">
        <v>49809</v>
      </c>
      <c r="D11677" t="s">
        <v>27245</v>
      </c>
      <c r="E11677" t="str">
        <f t="shared" si="182"/>
        <v>001390</v>
      </c>
      <c r="F11677" t="s">
        <v>27246</v>
      </c>
      <c r="G11677" t="s">
        <v>27247</v>
      </c>
      <c r="H11677" t="s">
        <v>27248</v>
      </c>
      <c r="I11677" t="s">
        <v>49810</v>
      </c>
      <c r="J11677" t="s">
        <v>23370</v>
      </c>
      <c r="L11677" t="s">
        <v>27430</v>
      </c>
      <c r="M11677" t="s">
        <v>27251</v>
      </c>
      <c r="N11677" t="s">
        <v>27252</v>
      </c>
      <c r="Q11677" s="1">
        <v>45250</v>
      </c>
      <c r="R11677" t="s">
        <v>27253</v>
      </c>
      <c r="S11677" t="s">
        <v>27254</v>
      </c>
      <c r="T11677" t="s">
        <v>27255</v>
      </c>
    </row>
    <row r="11678" spans="1:20" x14ac:dyDescent="0.3">
      <c r="A11678" t="str">
        <f>"0611864098100"</f>
        <v>0611864098100</v>
      </c>
      <c r="B11678" t="str">
        <f>"CN2267"</f>
        <v>CN2267</v>
      </c>
      <c r="C11678" t="s">
        <v>49811</v>
      </c>
      <c r="D11678" t="s">
        <v>27335</v>
      </c>
      <c r="E11678" t="str">
        <f t="shared" si="182"/>
        <v>001390</v>
      </c>
      <c r="F11678" t="s">
        <v>27246</v>
      </c>
      <c r="G11678" t="s">
        <v>27247</v>
      </c>
      <c r="H11678" t="s">
        <v>27248</v>
      </c>
      <c r="I11678" t="s">
        <v>49812</v>
      </c>
      <c r="J11678" t="s">
        <v>23372</v>
      </c>
      <c r="L11678" t="s">
        <v>27250</v>
      </c>
      <c r="M11678" t="s">
        <v>27251</v>
      </c>
      <c r="N11678" t="s">
        <v>27252</v>
      </c>
      <c r="Q11678" s="1">
        <v>44846</v>
      </c>
      <c r="R11678" t="s">
        <v>27253</v>
      </c>
      <c r="S11678" t="s">
        <v>27254</v>
      </c>
      <c r="T11678" t="s">
        <v>27255</v>
      </c>
    </row>
    <row r="11679" spans="1:20" x14ac:dyDescent="0.3">
      <c r="A11679" t="str">
        <f>"0611839324100"</f>
        <v>0611839324100</v>
      </c>
      <c r="B11679" t="str">
        <f>"LF0016"</f>
        <v>LF0016</v>
      </c>
      <c r="C11679" t="s">
        <v>49813</v>
      </c>
      <c r="D11679" t="s">
        <v>27245</v>
      </c>
      <c r="E11679" t="str">
        <f t="shared" si="182"/>
        <v>001390</v>
      </c>
      <c r="F11679" t="s">
        <v>27246</v>
      </c>
      <c r="G11679" t="s">
        <v>27247</v>
      </c>
      <c r="H11679" t="s">
        <v>27248</v>
      </c>
      <c r="I11679" t="s">
        <v>49814</v>
      </c>
      <c r="J11679" t="s">
        <v>23374</v>
      </c>
      <c r="L11679" t="s">
        <v>27250</v>
      </c>
      <c r="M11679" t="s">
        <v>27251</v>
      </c>
      <c r="N11679" t="s">
        <v>27252</v>
      </c>
      <c r="Q11679" s="1">
        <v>44538</v>
      </c>
      <c r="R11679" t="s">
        <v>27253</v>
      </c>
      <c r="S11679" t="s">
        <v>27254</v>
      </c>
      <c r="T11679" t="s">
        <v>27255</v>
      </c>
    </row>
    <row r="11680" spans="1:20" x14ac:dyDescent="0.3">
      <c r="A11680" t="str">
        <f>"0611839325100"</f>
        <v>0611839325100</v>
      </c>
      <c r="B11680" t="str">
        <f>"LF0015"</f>
        <v>LF0015</v>
      </c>
      <c r="C11680" t="s">
        <v>49815</v>
      </c>
      <c r="D11680" t="s">
        <v>27245</v>
      </c>
      <c r="E11680" t="str">
        <f t="shared" si="182"/>
        <v>001390</v>
      </c>
      <c r="F11680" t="s">
        <v>27246</v>
      </c>
      <c r="G11680" t="s">
        <v>27247</v>
      </c>
      <c r="H11680" t="s">
        <v>27248</v>
      </c>
      <c r="I11680" t="s">
        <v>49816</v>
      </c>
      <c r="J11680" t="s">
        <v>23376</v>
      </c>
      <c r="L11680" t="s">
        <v>27250</v>
      </c>
      <c r="M11680" t="s">
        <v>27251</v>
      </c>
      <c r="N11680" t="s">
        <v>27252</v>
      </c>
      <c r="Q11680" s="1">
        <v>44538</v>
      </c>
      <c r="R11680" t="s">
        <v>27253</v>
      </c>
      <c r="S11680" t="s">
        <v>27254</v>
      </c>
      <c r="T11680" t="s">
        <v>27255</v>
      </c>
    </row>
    <row r="11681" spans="1:20" x14ac:dyDescent="0.3">
      <c r="A11681" t="str">
        <f>"0611839326100"</f>
        <v>0611839326100</v>
      </c>
      <c r="B11681" t="str">
        <f>"LK5528"</f>
        <v>LK5528</v>
      </c>
      <c r="C11681" t="s">
        <v>49817</v>
      </c>
      <c r="D11681" t="s">
        <v>27245</v>
      </c>
      <c r="E11681" t="str">
        <f t="shared" si="182"/>
        <v>001390</v>
      </c>
      <c r="F11681" t="s">
        <v>27246</v>
      </c>
      <c r="G11681" t="s">
        <v>27247</v>
      </c>
      <c r="H11681" t="s">
        <v>27248</v>
      </c>
      <c r="I11681" t="s">
        <v>49818</v>
      </c>
      <c r="J11681" t="s">
        <v>23378</v>
      </c>
      <c r="L11681" t="s">
        <v>27250</v>
      </c>
      <c r="M11681" t="s">
        <v>27251</v>
      </c>
      <c r="N11681" t="s">
        <v>27252</v>
      </c>
      <c r="Q11681" s="1">
        <v>44538</v>
      </c>
      <c r="R11681" t="s">
        <v>27253</v>
      </c>
      <c r="S11681" t="s">
        <v>27254</v>
      </c>
      <c r="T11681" t="s">
        <v>27255</v>
      </c>
    </row>
    <row r="11682" spans="1:20" x14ac:dyDescent="0.3">
      <c r="A11682" t="str">
        <f>"0611864099100"</f>
        <v>0611864099100</v>
      </c>
      <c r="B11682" t="str">
        <f>"CN2268"</f>
        <v>CN2268</v>
      </c>
      <c r="C11682" t="s">
        <v>49819</v>
      </c>
      <c r="D11682" t="s">
        <v>27335</v>
      </c>
      <c r="E11682" t="str">
        <f t="shared" si="182"/>
        <v>001390</v>
      </c>
      <c r="F11682" t="s">
        <v>27246</v>
      </c>
      <c r="G11682" t="s">
        <v>27247</v>
      </c>
      <c r="H11682" t="s">
        <v>27248</v>
      </c>
      <c r="I11682" t="s">
        <v>49820</v>
      </c>
      <c r="J11682" t="s">
        <v>23380</v>
      </c>
      <c r="L11682" t="s">
        <v>27250</v>
      </c>
      <c r="M11682" t="s">
        <v>27251</v>
      </c>
      <c r="N11682" t="s">
        <v>27252</v>
      </c>
      <c r="Q11682" s="1">
        <v>44846</v>
      </c>
      <c r="R11682" t="s">
        <v>27253</v>
      </c>
      <c r="S11682" t="s">
        <v>27254</v>
      </c>
      <c r="T11682" t="s">
        <v>27255</v>
      </c>
    </row>
    <row r="11683" spans="1:20" x14ac:dyDescent="0.3">
      <c r="A11683" t="str">
        <f>"0611839331100"</f>
        <v>0611839331100</v>
      </c>
      <c r="B11683" t="str">
        <f>"LF0046"</f>
        <v>LF0046</v>
      </c>
      <c r="C11683" t="s">
        <v>49821</v>
      </c>
      <c r="D11683" t="s">
        <v>27245</v>
      </c>
      <c r="E11683" t="str">
        <f t="shared" si="182"/>
        <v>001390</v>
      </c>
      <c r="F11683" t="s">
        <v>27246</v>
      </c>
      <c r="G11683" t="s">
        <v>27247</v>
      </c>
      <c r="H11683" t="s">
        <v>27248</v>
      </c>
      <c r="I11683" t="s">
        <v>49822</v>
      </c>
      <c r="J11683" t="s">
        <v>23382</v>
      </c>
      <c r="L11683" t="s">
        <v>27250</v>
      </c>
      <c r="M11683" t="s">
        <v>27251</v>
      </c>
      <c r="N11683" t="s">
        <v>27252</v>
      </c>
      <c r="Q11683" s="1">
        <v>44538</v>
      </c>
      <c r="R11683" t="s">
        <v>27253</v>
      </c>
      <c r="S11683" t="s">
        <v>27254</v>
      </c>
      <c r="T11683" t="s">
        <v>27255</v>
      </c>
    </row>
    <row r="11684" spans="1:20" x14ac:dyDescent="0.3">
      <c r="A11684" t="str">
        <f>"0611839332100"</f>
        <v>0611839332100</v>
      </c>
      <c r="B11684" t="str">
        <f>"LF0047"</f>
        <v>LF0047</v>
      </c>
      <c r="C11684" t="s">
        <v>49823</v>
      </c>
      <c r="D11684" t="s">
        <v>27245</v>
      </c>
      <c r="E11684" t="str">
        <f t="shared" si="182"/>
        <v>001390</v>
      </c>
      <c r="F11684" t="s">
        <v>27246</v>
      </c>
      <c r="G11684" t="s">
        <v>27247</v>
      </c>
      <c r="H11684" t="s">
        <v>27248</v>
      </c>
      <c r="I11684" t="s">
        <v>49824</v>
      </c>
      <c r="J11684" t="s">
        <v>23384</v>
      </c>
      <c r="L11684" t="s">
        <v>27250</v>
      </c>
      <c r="M11684" t="s">
        <v>27251</v>
      </c>
      <c r="N11684" t="s">
        <v>27252</v>
      </c>
      <c r="Q11684" s="1">
        <v>44538</v>
      </c>
      <c r="R11684" t="s">
        <v>27253</v>
      </c>
      <c r="S11684" t="s">
        <v>27254</v>
      </c>
      <c r="T11684" t="s">
        <v>27255</v>
      </c>
    </row>
    <row r="11685" spans="1:20" x14ac:dyDescent="0.3">
      <c r="A11685" t="str">
        <f>"0611839333100"</f>
        <v>0611839333100</v>
      </c>
      <c r="B11685" t="str">
        <f>"LF0048"</f>
        <v>LF0048</v>
      </c>
      <c r="C11685" t="s">
        <v>49825</v>
      </c>
      <c r="D11685" t="s">
        <v>27245</v>
      </c>
      <c r="E11685" t="str">
        <f t="shared" si="182"/>
        <v>001390</v>
      </c>
      <c r="F11685" t="s">
        <v>27246</v>
      </c>
      <c r="G11685" t="s">
        <v>27247</v>
      </c>
      <c r="H11685" t="s">
        <v>27248</v>
      </c>
      <c r="I11685" t="s">
        <v>49826</v>
      </c>
      <c r="J11685" t="s">
        <v>23386</v>
      </c>
      <c r="L11685" t="s">
        <v>27250</v>
      </c>
      <c r="M11685" t="s">
        <v>27251</v>
      </c>
      <c r="N11685" t="s">
        <v>27252</v>
      </c>
      <c r="Q11685" s="1">
        <v>44538</v>
      </c>
      <c r="R11685" t="s">
        <v>27253</v>
      </c>
      <c r="S11685" t="s">
        <v>27254</v>
      </c>
      <c r="T11685" t="s">
        <v>27255</v>
      </c>
    </row>
    <row r="11686" spans="1:20" x14ac:dyDescent="0.3">
      <c r="A11686" t="str">
        <f>"0611839335100"</f>
        <v>0611839335100</v>
      </c>
      <c r="B11686" t="str">
        <f>"LK5914"</f>
        <v>LK5914</v>
      </c>
      <c r="C11686" t="s">
        <v>49827</v>
      </c>
      <c r="D11686" t="s">
        <v>27245</v>
      </c>
      <c r="E11686" t="str">
        <f t="shared" si="182"/>
        <v>001390</v>
      </c>
      <c r="F11686" t="s">
        <v>27246</v>
      </c>
      <c r="G11686" t="s">
        <v>27247</v>
      </c>
      <c r="H11686" t="s">
        <v>27248</v>
      </c>
      <c r="I11686" t="s">
        <v>49828</v>
      </c>
      <c r="J11686" t="s">
        <v>23388</v>
      </c>
      <c r="L11686" t="s">
        <v>27250</v>
      </c>
      <c r="M11686" t="s">
        <v>27251</v>
      </c>
      <c r="N11686" t="s">
        <v>27252</v>
      </c>
      <c r="Q11686" s="1">
        <v>44538</v>
      </c>
      <c r="R11686" t="s">
        <v>27253</v>
      </c>
      <c r="S11686" t="s">
        <v>27254</v>
      </c>
      <c r="T11686" t="s">
        <v>27255</v>
      </c>
    </row>
    <row r="11687" spans="1:20" x14ac:dyDescent="0.3">
      <c r="A11687" t="str">
        <f>"0611839336100"</f>
        <v>0611839336100</v>
      </c>
      <c r="B11687" t="str">
        <f>"LK2610"</f>
        <v>LK2610</v>
      </c>
      <c r="C11687" t="s">
        <v>49829</v>
      </c>
      <c r="D11687" t="s">
        <v>27245</v>
      </c>
      <c r="E11687" t="str">
        <f t="shared" si="182"/>
        <v>001390</v>
      </c>
      <c r="F11687" t="s">
        <v>27246</v>
      </c>
      <c r="G11687" t="s">
        <v>27247</v>
      </c>
      <c r="H11687" t="s">
        <v>27248</v>
      </c>
      <c r="I11687" t="s">
        <v>49830</v>
      </c>
      <c r="J11687" t="s">
        <v>23390</v>
      </c>
      <c r="L11687" t="s">
        <v>27250</v>
      </c>
      <c r="M11687" t="s">
        <v>27251</v>
      </c>
      <c r="N11687" t="s">
        <v>27252</v>
      </c>
      <c r="Q11687" s="1">
        <v>44538</v>
      </c>
      <c r="R11687" t="s">
        <v>27253</v>
      </c>
      <c r="S11687" t="s">
        <v>27254</v>
      </c>
      <c r="T11687" t="s">
        <v>27255</v>
      </c>
    </row>
    <row r="11688" spans="1:20" x14ac:dyDescent="0.3">
      <c r="A11688" t="str">
        <f>"0611864100050"</f>
        <v>0611864100050</v>
      </c>
      <c r="B11688" t="str">
        <f>"CR2543"</f>
        <v>CR2543</v>
      </c>
      <c r="C11688" t="s">
        <v>49831</v>
      </c>
      <c r="D11688" t="s">
        <v>27263</v>
      </c>
      <c r="E11688" t="str">
        <f t="shared" si="182"/>
        <v>001390</v>
      </c>
      <c r="F11688" t="s">
        <v>27246</v>
      </c>
      <c r="G11688" t="s">
        <v>27247</v>
      </c>
      <c r="H11688" t="s">
        <v>27248</v>
      </c>
      <c r="I11688" t="s">
        <v>49832</v>
      </c>
      <c r="J11688" t="s">
        <v>23392</v>
      </c>
      <c r="L11688" t="s">
        <v>27250</v>
      </c>
      <c r="M11688" t="s">
        <v>27251</v>
      </c>
      <c r="N11688" t="s">
        <v>27252</v>
      </c>
      <c r="Q11688" s="1">
        <v>44846</v>
      </c>
      <c r="R11688" t="s">
        <v>27253</v>
      </c>
      <c r="S11688" t="s">
        <v>27254</v>
      </c>
      <c r="T11688" t="s">
        <v>27265</v>
      </c>
    </row>
    <row r="11689" spans="1:20" x14ac:dyDescent="0.3">
      <c r="A11689" t="str">
        <f>"0611830636100"</f>
        <v>0611830636100</v>
      </c>
      <c r="B11689" t="str">
        <f>"LC0008"</f>
        <v>LC0008</v>
      </c>
      <c r="C11689" t="s">
        <v>49833</v>
      </c>
      <c r="D11689" t="s">
        <v>27245</v>
      </c>
      <c r="E11689" t="str">
        <f t="shared" si="182"/>
        <v>001390</v>
      </c>
      <c r="F11689" t="s">
        <v>27246</v>
      </c>
      <c r="G11689" t="s">
        <v>27247</v>
      </c>
      <c r="H11689" t="s">
        <v>27248</v>
      </c>
      <c r="I11689" t="s">
        <v>49834</v>
      </c>
      <c r="J11689" t="s">
        <v>23398</v>
      </c>
      <c r="L11689" t="s">
        <v>27250</v>
      </c>
      <c r="M11689" t="s">
        <v>27251</v>
      </c>
      <c r="N11689" t="s">
        <v>27252</v>
      </c>
      <c r="Q11689" s="1">
        <v>44538</v>
      </c>
      <c r="R11689" t="s">
        <v>27253</v>
      </c>
      <c r="S11689" t="s">
        <v>27254</v>
      </c>
      <c r="T11689" t="s">
        <v>27255</v>
      </c>
    </row>
    <row r="11690" spans="1:20" x14ac:dyDescent="0.3">
      <c r="A11690" t="str">
        <f>"0611830655100"</f>
        <v>0611830655100</v>
      </c>
      <c r="B11690" t="str">
        <f>"LC9618"</f>
        <v>LC9618</v>
      </c>
      <c r="C11690" t="s">
        <v>49835</v>
      </c>
      <c r="D11690" t="s">
        <v>27245</v>
      </c>
      <c r="E11690" t="str">
        <f t="shared" si="182"/>
        <v>001390</v>
      </c>
      <c r="F11690" t="s">
        <v>27246</v>
      </c>
      <c r="G11690" t="s">
        <v>27247</v>
      </c>
      <c r="H11690" t="s">
        <v>27248</v>
      </c>
      <c r="I11690" t="s">
        <v>49836</v>
      </c>
      <c r="J11690" t="s">
        <v>23400</v>
      </c>
      <c r="L11690" t="s">
        <v>27250</v>
      </c>
      <c r="M11690" t="s">
        <v>27251</v>
      </c>
      <c r="N11690" t="s">
        <v>27252</v>
      </c>
      <c r="Q11690" s="1">
        <v>44538</v>
      </c>
      <c r="R11690" t="s">
        <v>27253</v>
      </c>
      <c r="S11690" t="s">
        <v>27254</v>
      </c>
      <c r="T11690" t="s">
        <v>27255</v>
      </c>
    </row>
    <row r="11691" spans="1:20" x14ac:dyDescent="0.3">
      <c r="A11691" t="str">
        <f>"0611839339025"</f>
        <v>0611839339025</v>
      </c>
      <c r="B11691" t="str">
        <f>"MQ6088"</f>
        <v>MQ6088</v>
      </c>
      <c r="C11691" t="s">
        <v>49837</v>
      </c>
      <c r="D11691" t="s">
        <v>27267</v>
      </c>
      <c r="E11691" t="str">
        <f t="shared" si="182"/>
        <v>001390</v>
      </c>
      <c r="F11691" t="s">
        <v>27246</v>
      </c>
      <c r="G11691" t="s">
        <v>27247</v>
      </c>
      <c r="H11691" t="s">
        <v>27248</v>
      </c>
      <c r="I11691" t="s">
        <v>49838</v>
      </c>
      <c r="J11691" t="s">
        <v>23402</v>
      </c>
      <c r="L11691" t="s">
        <v>27250</v>
      </c>
      <c r="M11691" t="s">
        <v>27251</v>
      </c>
      <c r="N11691" t="s">
        <v>27252</v>
      </c>
      <c r="Q11691" s="1">
        <v>44538</v>
      </c>
      <c r="R11691" t="s">
        <v>27253</v>
      </c>
      <c r="S11691" t="s">
        <v>27254</v>
      </c>
      <c r="T11691" t="s">
        <v>27269</v>
      </c>
    </row>
    <row r="11692" spans="1:20" x14ac:dyDescent="0.3">
      <c r="A11692" t="str">
        <f>"0611839340025"</f>
        <v>0611839340025</v>
      </c>
      <c r="B11692" t="str">
        <f>"MQ6089"</f>
        <v>MQ6089</v>
      </c>
      <c r="C11692" t="s">
        <v>49839</v>
      </c>
      <c r="D11692" t="s">
        <v>27267</v>
      </c>
      <c r="E11692" t="str">
        <f t="shared" si="182"/>
        <v>001390</v>
      </c>
      <c r="F11692" t="s">
        <v>27246</v>
      </c>
      <c r="G11692" t="s">
        <v>27247</v>
      </c>
      <c r="H11692" t="s">
        <v>27248</v>
      </c>
      <c r="I11692" t="s">
        <v>49840</v>
      </c>
      <c r="J11692" t="s">
        <v>23404</v>
      </c>
      <c r="L11692" t="s">
        <v>27250</v>
      </c>
      <c r="M11692" t="s">
        <v>27251</v>
      </c>
      <c r="N11692" t="s">
        <v>27252</v>
      </c>
      <c r="Q11692" s="1">
        <v>44538</v>
      </c>
      <c r="R11692" t="s">
        <v>27253</v>
      </c>
      <c r="S11692" t="s">
        <v>27254</v>
      </c>
      <c r="T11692" t="s">
        <v>27269</v>
      </c>
    </row>
    <row r="11693" spans="1:20" x14ac:dyDescent="0.3">
      <c r="A11693" t="str">
        <f>"0611839341025"</f>
        <v>0611839341025</v>
      </c>
      <c r="B11693" t="str">
        <f>"MQ6090"</f>
        <v>MQ6090</v>
      </c>
      <c r="C11693" t="s">
        <v>49841</v>
      </c>
      <c r="D11693" t="s">
        <v>27267</v>
      </c>
      <c r="E11693" t="str">
        <f t="shared" si="182"/>
        <v>001390</v>
      </c>
      <c r="F11693" t="s">
        <v>27246</v>
      </c>
      <c r="G11693" t="s">
        <v>27247</v>
      </c>
      <c r="H11693" t="s">
        <v>27248</v>
      </c>
      <c r="I11693" t="s">
        <v>49842</v>
      </c>
      <c r="J11693" t="s">
        <v>23406</v>
      </c>
      <c r="L11693" t="s">
        <v>27250</v>
      </c>
      <c r="M11693" t="s">
        <v>27251</v>
      </c>
      <c r="N11693" t="s">
        <v>27252</v>
      </c>
      <c r="Q11693" s="1">
        <v>44538</v>
      </c>
      <c r="R11693" t="s">
        <v>27253</v>
      </c>
      <c r="S11693" t="s">
        <v>27254</v>
      </c>
      <c r="T11693" t="s">
        <v>27269</v>
      </c>
    </row>
    <row r="11694" spans="1:20" x14ac:dyDescent="0.3">
      <c r="A11694" t="str">
        <f>"0611839342025"</f>
        <v>0611839342025</v>
      </c>
      <c r="B11694" t="str">
        <f>"MC2784"</f>
        <v>MC2784</v>
      </c>
      <c r="C11694" t="s">
        <v>49843</v>
      </c>
      <c r="D11694" t="s">
        <v>27267</v>
      </c>
      <c r="E11694" t="str">
        <f t="shared" si="182"/>
        <v>001390</v>
      </c>
      <c r="F11694" t="s">
        <v>27246</v>
      </c>
      <c r="G11694" t="s">
        <v>27247</v>
      </c>
      <c r="H11694" t="s">
        <v>27248</v>
      </c>
      <c r="I11694" t="s">
        <v>49844</v>
      </c>
      <c r="J11694" t="s">
        <v>23408</v>
      </c>
      <c r="L11694" t="s">
        <v>27250</v>
      </c>
      <c r="M11694" t="s">
        <v>27251</v>
      </c>
      <c r="N11694" t="s">
        <v>27252</v>
      </c>
      <c r="Q11694" s="1">
        <v>44538</v>
      </c>
      <c r="R11694" t="s">
        <v>27253</v>
      </c>
      <c r="S11694" t="s">
        <v>27254</v>
      </c>
      <c r="T11694" t="s">
        <v>27269</v>
      </c>
    </row>
    <row r="11695" spans="1:20" x14ac:dyDescent="0.3">
      <c r="A11695" t="str">
        <f>"0611839344025"</f>
        <v>0611839344025</v>
      </c>
      <c r="B11695" t="str">
        <f>"MC3810"</f>
        <v>MC3810</v>
      </c>
      <c r="C11695" t="s">
        <v>49845</v>
      </c>
      <c r="D11695" t="s">
        <v>27267</v>
      </c>
      <c r="E11695" t="str">
        <f t="shared" si="182"/>
        <v>001390</v>
      </c>
      <c r="F11695" t="s">
        <v>27246</v>
      </c>
      <c r="G11695" t="s">
        <v>27247</v>
      </c>
      <c r="H11695" t="s">
        <v>27248</v>
      </c>
      <c r="I11695" t="s">
        <v>49846</v>
      </c>
      <c r="J11695" t="s">
        <v>23410</v>
      </c>
      <c r="L11695" t="s">
        <v>27250</v>
      </c>
      <c r="M11695" t="s">
        <v>27251</v>
      </c>
      <c r="N11695" t="s">
        <v>27252</v>
      </c>
      <c r="Q11695" s="1">
        <v>44538</v>
      </c>
      <c r="R11695" t="s">
        <v>27253</v>
      </c>
      <c r="S11695" t="s">
        <v>27254</v>
      </c>
      <c r="T11695" t="s">
        <v>27269</v>
      </c>
    </row>
    <row r="11696" spans="1:20" x14ac:dyDescent="0.3">
      <c r="A11696" t="str">
        <f>"0611839345025"</f>
        <v>0611839345025</v>
      </c>
      <c r="B11696" t="str">
        <f>"MC4018"</f>
        <v>MC4018</v>
      </c>
      <c r="C11696" t="s">
        <v>49847</v>
      </c>
      <c r="D11696" t="s">
        <v>27267</v>
      </c>
      <c r="E11696" t="str">
        <f t="shared" si="182"/>
        <v>001390</v>
      </c>
      <c r="F11696" t="s">
        <v>27246</v>
      </c>
      <c r="G11696" t="s">
        <v>27247</v>
      </c>
      <c r="H11696" t="s">
        <v>27248</v>
      </c>
      <c r="I11696" t="s">
        <v>49848</v>
      </c>
      <c r="J11696" t="s">
        <v>23412</v>
      </c>
      <c r="L11696" t="s">
        <v>27250</v>
      </c>
      <c r="M11696" t="s">
        <v>27251</v>
      </c>
      <c r="N11696" t="s">
        <v>27252</v>
      </c>
      <c r="Q11696" s="1">
        <v>44538</v>
      </c>
      <c r="R11696" t="s">
        <v>27253</v>
      </c>
      <c r="S11696" t="s">
        <v>27254</v>
      </c>
      <c r="T11696" t="s">
        <v>27269</v>
      </c>
    </row>
    <row r="11697" spans="1:20" x14ac:dyDescent="0.3">
      <c r="A11697" t="str">
        <f>"0611857110025"</f>
        <v>0611857110025</v>
      </c>
      <c r="B11697" t="str">
        <f>"MQ0810"</f>
        <v>MQ0810</v>
      </c>
      <c r="C11697" t="s">
        <v>49849</v>
      </c>
      <c r="D11697" t="s">
        <v>27267</v>
      </c>
      <c r="E11697" t="str">
        <f t="shared" si="182"/>
        <v>001390</v>
      </c>
      <c r="F11697" t="s">
        <v>27246</v>
      </c>
      <c r="G11697" t="s">
        <v>27247</v>
      </c>
      <c r="H11697" t="s">
        <v>27248</v>
      </c>
      <c r="I11697" t="s">
        <v>49850</v>
      </c>
      <c r="J11697" t="s">
        <v>23414</v>
      </c>
      <c r="L11697" t="s">
        <v>27250</v>
      </c>
      <c r="M11697" t="s">
        <v>27251</v>
      </c>
      <c r="N11697" t="s">
        <v>27252</v>
      </c>
      <c r="Q11697" s="1">
        <v>44812</v>
      </c>
      <c r="R11697" t="s">
        <v>27253</v>
      </c>
      <c r="S11697" t="s">
        <v>27254</v>
      </c>
      <c r="T11697" t="s">
        <v>27269</v>
      </c>
    </row>
    <row r="11698" spans="1:20" x14ac:dyDescent="0.3">
      <c r="A11698" t="str">
        <f>"0611835961025"</f>
        <v>0611835961025</v>
      </c>
      <c r="B11698" t="str">
        <f>"MC3438"</f>
        <v>MC3438</v>
      </c>
      <c r="C11698" t="s">
        <v>49851</v>
      </c>
      <c r="D11698" t="s">
        <v>27267</v>
      </c>
      <c r="E11698" t="str">
        <f t="shared" si="182"/>
        <v>001390</v>
      </c>
      <c r="F11698" t="s">
        <v>27246</v>
      </c>
      <c r="G11698" t="s">
        <v>27247</v>
      </c>
      <c r="H11698" t="s">
        <v>27248</v>
      </c>
      <c r="I11698" t="s">
        <v>49852</v>
      </c>
      <c r="J11698" t="s">
        <v>14307</v>
      </c>
      <c r="L11698" t="s">
        <v>27250</v>
      </c>
      <c r="M11698" t="s">
        <v>27251</v>
      </c>
      <c r="N11698" t="s">
        <v>27252</v>
      </c>
      <c r="Q11698" s="1">
        <v>44538</v>
      </c>
      <c r="R11698" t="s">
        <v>27253</v>
      </c>
      <c r="S11698" t="s">
        <v>27254</v>
      </c>
      <c r="T11698" t="s">
        <v>27269</v>
      </c>
    </row>
    <row r="11699" spans="1:20" x14ac:dyDescent="0.3">
      <c r="A11699" t="str">
        <f>"0611831209025"</f>
        <v>0611831209025</v>
      </c>
      <c r="B11699" t="str">
        <f>"MC4113"</f>
        <v>MC4113</v>
      </c>
      <c r="C11699" t="s">
        <v>49853</v>
      </c>
      <c r="D11699" t="s">
        <v>27267</v>
      </c>
      <c r="E11699" t="str">
        <f t="shared" si="182"/>
        <v>001390</v>
      </c>
      <c r="F11699" t="s">
        <v>27246</v>
      </c>
      <c r="G11699" t="s">
        <v>27247</v>
      </c>
      <c r="H11699" t="s">
        <v>27248</v>
      </c>
      <c r="I11699" t="s">
        <v>49854</v>
      </c>
      <c r="J11699" t="s">
        <v>14311</v>
      </c>
      <c r="L11699" t="s">
        <v>27250</v>
      </c>
      <c r="M11699" t="s">
        <v>27251</v>
      </c>
      <c r="N11699" t="s">
        <v>27252</v>
      </c>
      <c r="Q11699" s="1">
        <v>44538</v>
      </c>
      <c r="R11699" t="s">
        <v>27253</v>
      </c>
      <c r="S11699" t="s">
        <v>27254</v>
      </c>
      <c r="T11699" t="s">
        <v>27269</v>
      </c>
    </row>
    <row r="11700" spans="1:20" x14ac:dyDescent="0.3">
      <c r="A11700" t="str">
        <f>"0611835960025"</f>
        <v>0611835960025</v>
      </c>
      <c r="B11700" t="str">
        <f>"MC3440"</f>
        <v>MC3440</v>
      </c>
      <c r="C11700" t="s">
        <v>49855</v>
      </c>
      <c r="D11700" t="s">
        <v>27267</v>
      </c>
      <c r="E11700" t="str">
        <f t="shared" si="182"/>
        <v>001390</v>
      </c>
      <c r="F11700" t="s">
        <v>27246</v>
      </c>
      <c r="G11700" t="s">
        <v>27247</v>
      </c>
      <c r="H11700" t="s">
        <v>27248</v>
      </c>
      <c r="I11700" t="s">
        <v>49856</v>
      </c>
      <c r="J11700" t="s">
        <v>14313</v>
      </c>
      <c r="L11700" t="s">
        <v>27250</v>
      </c>
      <c r="M11700" t="s">
        <v>27251</v>
      </c>
      <c r="N11700" t="s">
        <v>27252</v>
      </c>
      <c r="Q11700" s="1">
        <v>44538</v>
      </c>
      <c r="R11700" t="s">
        <v>27253</v>
      </c>
      <c r="S11700" t="s">
        <v>27254</v>
      </c>
      <c r="T11700" t="s">
        <v>27269</v>
      </c>
    </row>
    <row r="11701" spans="1:20" x14ac:dyDescent="0.3">
      <c r="A11701" t="str">
        <f>"0611835954025"</f>
        <v>0611835954025</v>
      </c>
      <c r="B11701" t="str">
        <f>"MC4360"</f>
        <v>MC4360</v>
      </c>
      <c r="C11701" t="s">
        <v>49857</v>
      </c>
      <c r="D11701" t="s">
        <v>27267</v>
      </c>
      <c r="E11701" t="str">
        <f t="shared" si="182"/>
        <v>001390</v>
      </c>
      <c r="F11701" t="s">
        <v>27246</v>
      </c>
      <c r="G11701" t="s">
        <v>27247</v>
      </c>
      <c r="H11701" t="s">
        <v>27248</v>
      </c>
      <c r="I11701" t="s">
        <v>49858</v>
      </c>
      <c r="J11701" t="s">
        <v>14315</v>
      </c>
      <c r="L11701" t="s">
        <v>27250</v>
      </c>
      <c r="M11701" t="s">
        <v>27251</v>
      </c>
      <c r="N11701" t="s">
        <v>27252</v>
      </c>
      <c r="Q11701" s="1">
        <v>44538</v>
      </c>
      <c r="R11701" t="s">
        <v>27253</v>
      </c>
      <c r="S11701" t="s">
        <v>27254</v>
      </c>
      <c r="T11701" t="s">
        <v>27269</v>
      </c>
    </row>
    <row r="11702" spans="1:20" x14ac:dyDescent="0.3">
      <c r="A11702" t="str">
        <f>"0611835955025"</f>
        <v>0611835955025</v>
      </c>
      <c r="B11702" t="str">
        <f>"MC4361"</f>
        <v>MC4361</v>
      </c>
      <c r="C11702" t="s">
        <v>49859</v>
      </c>
      <c r="D11702" t="s">
        <v>27267</v>
      </c>
      <c r="E11702" t="str">
        <f t="shared" si="182"/>
        <v>001390</v>
      </c>
      <c r="F11702" t="s">
        <v>27246</v>
      </c>
      <c r="G11702" t="s">
        <v>27247</v>
      </c>
      <c r="H11702" t="s">
        <v>27248</v>
      </c>
      <c r="I11702" t="s">
        <v>49860</v>
      </c>
      <c r="J11702" t="s">
        <v>14317</v>
      </c>
      <c r="L11702" t="s">
        <v>27250</v>
      </c>
      <c r="M11702" t="s">
        <v>27251</v>
      </c>
      <c r="N11702" t="s">
        <v>27252</v>
      </c>
      <c r="Q11702" s="1">
        <v>44538</v>
      </c>
      <c r="R11702" t="s">
        <v>27253</v>
      </c>
      <c r="S11702" t="s">
        <v>27254</v>
      </c>
      <c r="T11702" t="s">
        <v>27269</v>
      </c>
    </row>
    <row r="11703" spans="1:20" x14ac:dyDescent="0.3">
      <c r="A11703" t="str">
        <f>"0611835957025"</f>
        <v>0611835957025</v>
      </c>
      <c r="B11703" t="str">
        <f>"MC3915"</f>
        <v>MC3915</v>
      </c>
      <c r="C11703" t="s">
        <v>49861</v>
      </c>
      <c r="D11703" t="s">
        <v>27267</v>
      </c>
      <c r="E11703" t="str">
        <f t="shared" si="182"/>
        <v>001390</v>
      </c>
      <c r="F11703" t="s">
        <v>27246</v>
      </c>
      <c r="G11703" t="s">
        <v>27247</v>
      </c>
      <c r="H11703" t="s">
        <v>27248</v>
      </c>
      <c r="I11703" t="s">
        <v>49862</v>
      </c>
      <c r="J11703" t="s">
        <v>14321</v>
      </c>
      <c r="L11703" t="s">
        <v>27250</v>
      </c>
      <c r="M11703" t="s">
        <v>27251</v>
      </c>
      <c r="N11703" t="s">
        <v>27252</v>
      </c>
      <c r="Q11703" s="1">
        <v>44538</v>
      </c>
      <c r="R11703" t="s">
        <v>27253</v>
      </c>
      <c r="S11703" t="s">
        <v>27254</v>
      </c>
      <c r="T11703" t="s">
        <v>27269</v>
      </c>
    </row>
    <row r="11704" spans="1:20" x14ac:dyDescent="0.3">
      <c r="A11704" t="str">
        <f>"0611839347100"</f>
        <v>0611839347100</v>
      </c>
      <c r="B11704" t="str">
        <f>"LG6860"</f>
        <v>LG6860</v>
      </c>
      <c r="C11704" t="s">
        <v>49863</v>
      </c>
      <c r="D11704" t="s">
        <v>27245</v>
      </c>
      <c r="E11704" t="str">
        <f t="shared" si="182"/>
        <v>001390</v>
      </c>
      <c r="F11704" t="s">
        <v>27246</v>
      </c>
      <c r="G11704" t="s">
        <v>27247</v>
      </c>
      <c r="H11704" t="s">
        <v>27248</v>
      </c>
      <c r="I11704" t="s">
        <v>49864</v>
      </c>
      <c r="J11704" t="s">
        <v>23416</v>
      </c>
      <c r="L11704" t="s">
        <v>27250</v>
      </c>
      <c r="M11704" t="s">
        <v>27251</v>
      </c>
      <c r="N11704" t="s">
        <v>27252</v>
      </c>
      <c r="Q11704" s="1">
        <v>44538</v>
      </c>
      <c r="R11704" t="s">
        <v>27253</v>
      </c>
      <c r="S11704" t="s">
        <v>27254</v>
      </c>
      <c r="T11704" t="s">
        <v>27255</v>
      </c>
    </row>
    <row r="11705" spans="1:20" x14ac:dyDescent="0.3">
      <c r="A11705" t="str">
        <f>"0611839348025"</f>
        <v>0611839348025</v>
      </c>
      <c r="B11705" t="str">
        <f>"MC2090"</f>
        <v>MC2090</v>
      </c>
      <c r="C11705" t="s">
        <v>49865</v>
      </c>
      <c r="D11705" t="s">
        <v>27267</v>
      </c>
      <c r="E11705" t="str">
        <f t="shared" si="182"/>
        <v>001390</v>
      </c>
      <c r="F11705" t="s">
        <v>27246</v>
      </c>
      <c r="G11705" t="s">
        <v>27247</v>
      </c>
      <c r="H11705" t="s">
        <v>27248</v>
      </c>
      <c r="I11705" t="s">
        <v>49866</v>
      </c>
      <c r="J11705" t="s">
        <v>23418</v>
      </c>
      <c r="L11705" t="s">
        <v>27250</v>
      </c>
      <c r="M11705" t="s">
        <v>27251</v>
      </c>
      <c r="N11705" t="s">
        <v>27252</v>
      </c>
      <c r="Q11705" s="1">
        <v>44538</v>
      </c>
      <c r="R11705" t="s">
        <v>27253</v>
      </c>
      <c r="S11705" t="s">
        <v>27254</v>
      </c>
      <c r="T11705" t="s">
        <v>27269</v>
      </c>
    </row>
    <row r="11706" spans="1:20" x14ac:dyDescent="0.3">
      <c r="A11706" t="str">
        <f>"0611839350025"</f>
        <v>0611839350025</v>
      </c>
      <c r="B11706" t="str">
        <f>"MC4014"</f>
        <v>MC4014</v>
      </c>
      <c r="C11706" t="s">
        <v>49867</v>
      </c>
      <c r="D11706" t="s">
        <v>27267</v>
      </c>
      <c r="E11706" t="str">
        <f t="shared" si="182"/>
        <v>001390</v>
      </c>
      <c r="F11706" t="s">
        <v>27246</v>
      </c>
      <c r="G11706" t="s">
        <v>27247</v>
      </c>
      <c r="H11706" t="s">
        <v>27248</v>
      </c>
      <c r="I11706" t="s">
        <v>49868</v>
      </c>
      <c r="J11706" t="s">
        <v>23420</v>
      </c>
      <c r="L11706" t="s">
        <v>27250</v>
      </c>
      <c r="M11706" t="s">
        <v>27251</v>
      </c>
      <c r="N11706" t="s">
        <v>27252</v>
      </c>
      <c r="Q11706" s="1">
        <v>44538</v>
      </c>
      <c r="R11706" t="s">
        <v>27253</v>
      </c>
      <c r="S11706" t="s">
        <v>27254</v>
      </c>
      <c r="T11706" t="s">
        <v>27269</v>
      </c>
    </row>
    <row r="11707" spans="1:20" x14ac:dyDescent="0.3">
      <c r="A11707" t="str">
        <f>"0611839351025"</f>
        <v>0611839351025</v>
      </c>
      <c r="B11707" t="str">
        <f>"MC4390"</f>
        <v>MC4390</v>
      </c>
      <c r="C11707" t="s">
        <v>49869</v>
      </c>
      <c r="D11707" t="s">
        <v>27267</v>
      </c>
      <c r="E11707" t="str">
        <f t="shared" si="182"/>
        <v>001390</v>
      </c>
      <c r="F11707" t="s">
        <v>27246</v>
      </c>
      <c r="G11707" t="s">
        <v>27247</v>
      </c>
      <c r="H11707" t="s">
        <v>27248</v>
      </c>
      <c r="I11707" t="s">
        <v>49870</v>
      </c>
      <c r="J11707" t="s">
        <v>23422</v>
      </c>
      <c r="L11707" t="s">
        <v>27250</v>
      </c>
      <c r="M11707" t="s">
        <v>27251</v>
      </c>
      <c r="N11707" t="s">
        <v>27252</v>
      </c>
      <c r="Q11707" s="1">
        <v>44538</v>
      </c>
      <c r="R11707" t="s">
        <v>27253</v>
      </c>
      <c r="S11707" t="s">
        <v>27254</v>
      </c>
      <c r="T11707" t="s">
        <v>27269</v>
      </c>
    </row>
    <row r="11708" spans="1:20" x14ac:dyDescent="0.3">
      <c r="A11708" t="str">
        <f>"0611830783100"</f>
        <v>0611830783100</v>
      </c>
      <c r="B11708" t="str">
        <f>"LK6139"</f>
        <v>LK6139</v>
      </c>
      <c r="C11708" t="s">
        <v>49871</v>
      </c>
      <c r="D11708" t="s">
        <v>27245</v>
      </c>
      <c r="E11708" t="str">
        <f t="shared" si="182"/>
        <v>001390</v>
      </c>
      <c r="F11708" t="s">
        <v>27246</v>
      </c>
      <c r="G11708" t="s">
        <v>27247</v>
      </c>
      <c r="H11708" t="s">
        <v>27248</v>
      </c>
      <c r="I11708" t="s">
        <v>49872</v>
      </c>
      <c r="J11708" t="s">
        <v>23424</v>
      </c>
      <c r="L11708" t="s">
        <v>27250</v>
      </c>
      <c r="M11708" t="s">
        <v>27251</v>
      </c>
      <c r="N11708" t="s">
        <v>27252</v>
      </c>
      <c r="Q11708" s="1">
        <v>44538</v>
      </c>
      <c r="R11708" t="s">
        <v>27253</v>
      </c>
      <c r="S11708" t="s">
        <v>27254</v>
      </c>
      <c r="T11708" t="s">
        <v>27255</v>
      </c>
    </row>
    <row r="11709" spans="1:20" x14ac:dyDescent="0.3">
      <c r="A11709" t="str">
        <f>"0611830794100"</f>
        <v>0611830794100</v>
      </c>
      <c r="B11709" t="str">
        <f>"LK5140"</f>
        <v>LK5140</v>
      </c>
      <c r="C11709" t="s">
        <v>49873</v>
      </c>
      <c r="D11709" t="s">
        <v>27245</v>
      </c>
      <c r="E11709" t="str">
        <f t="shared" si="182"/>
        <v>001390</v>
      </c>
      <c r="F11709" t="s">
        <v>27246</v>
      </c>
      <c r="G11709" t="s">
        <v>27247</v>
      </c>
      <c r="H11709" t="s">
        <v>27248</v>
      </c>
      <c r="I11709" t="s">
        <v>49874</v>
      </c>
      <c r="J11709" t="s">
        <v>23428</v>
      </c>
      <c r="L11709" t="s">
        <v>27250</v>
      </c>
      <c r="M11709" t="s">
        <v>27251</v>
      </c>
      <c r="N11709" t="s">
        <v>27252</v>
      </c>
      <c r="Q11709" s="1">
        <v>44538</v>
      </c>
      <c r="R11709" t="s">
        <v>27253</v>
      </c>
      <c r="S11709" t="s">
        <v>27254</v>
      </c>
      <c r="T11709" t="s">
        <v>27255</v>
      </c>
    </row>
    <row r="11710" spans="1:20" x14ac:dyDescent="0.3">
      <c r="A11710" t="str">
        <f>"0611830795100"</f>
        <v>0611830795100</v>
      </c>
      <c r="B11710" t="str">
        <f>"LK6280"</f>
        <v>LK6280</v>
      </c>
      <c r="C11710" t="s">
        <v>49875</v>
      </c>
      <c r="D11710" t="s">
        <v>27245</v>
      </c>
      <c r="E11710" t="str">
        <f t="shared" si="182"/>
        <v>001390</v>
      </c>
      <c r="F11710" t="s">
        <v>27246</v>
      </c>
      <c r="G11710" t="s">
        <v>27247</v>
      </c>
      <c r="H11710" t="s">
        <v>27248</v>
      </c>
      <c r="I11710" t="s">
        <v>49876</v>
      </c>
      <c r="J11710" t="s">
        <v>23430</v>
      </c>
      <c r="L11710" t="s">
        <v>27250</v>
      </c>
      <c r="M11710" t="s">
        <v>27251</v>
      </c>
      <c r="N11710" t="s">
        <v>27252</v>
      </c>
      <c r="Q11710" s="1">
        <v>44538</v>
      </c>
      <c r="R11710" t="s">
        <v>27253</v>
      </c>
      <c r="S11710" t="s">
        <v>27254</v>
      </c>
      <c r="T11710" t="s">
        <v>27255</v>
      </c>
    </row>
    <row r="11711" spans="1:20" x14ac:dyDescent="0.3">
      <c r="A11711" t="str">
        <f>"0611830796100"</f>
        <v>0611830796100</v>
      </c>
      <c r="B11711" t="str">
        <f>"LK6281"</f>
        <v>LK6281</v>
      </c>
      <c r="C11711" t="s">
        <v>49877</v>
      </c>
      <c r="D11711" t="s">
        <v>27245</v>
      </c>
      <c r="E11711" t="str">
        <f t="shared" si="182"/>
        <v>001390</v>
      </c>
      <c r="F11711" t="s">
        <v>27246</v>
      </c>
      <c r="G11711" t="s">
        <v>27247</v>
      </c>
      <c r="H11711" t="s">
        <v>27248</v>
      </c>
      <c r="I11711" t="s">
        <v>49878</v>
      </c>
      <c r="J11711" t="s">
        <v>23432</v>
      </c>
      <c r="L11711" t="s">
        <v>27250</v>
      </c>
      <c r="M11711" t="s">
        <v>27251</v>
      </c>
      <c r="N11711" t="s">
        <v>27252</v>
      </c>
      <c r="Q11711" s="1">
        <v>44538</v>
      </c>
      <c r="R11711" t="s">
        <v>27253</v>
      </c>
      <c r="S11711" t="s">
        <v>27254</v>
      </c>
      <c r="T11711" t="s">
        <v>27255</v>
      </c>
    </row>
    <row r="11712" spans="1:20" x14ac:dyDescent="0.3">
      <c r="A11712" t="str">
        <f>"0611830797100"</f>
        <v>0611830797100</v>
      </c>
      <c r="B11712" t="str">
        <f>"LK6282"</f>
        <v>LK6282</v>
      </c>
      <c r="C11712" t="s">
        <v>49879</v>
      </c>
      <c r="D11712" t="s">
        <v>27245</v>
      </c>
      <c r="E11712" t="str">
        <f t="shared" si="182"/>
        <v>001390</v>
      </c>
      <c r="F11712" t="s">
        <v>27246</v>
      </c>
      <c r="G11712" t="s">
        <v>27247</v>
      </c>
      <c r="H11712" t="s">
        <v>27248</v>
      </c>
      <c r="I11712" t="s">
        <v>49880</v>
      </c>
      <c r="J11712" t="s">
        <v>23434</v>
      </c>
      <c r="L11712" t="s">
        <v>27250</v>
      </c>
      <c r="M11712" t="s">
        <v>27251</v>
      </c>
      <c r="N11712" t="s">
        <v>27252</v>
      </c>
      <c r="Q11712" s="1">
        <v>44538</v>
      </c>
      <c r="R11712" t="s">
        <v>27253</v>
      </c>
      <c r="S11712" t="s">
        <v>27254</v>
      </c>
      <c r="T11712" t="s">
        <v>27255</v>
      </c>
    </row>
    <row r="11713" spans="1:20" x14ac:dyDescent="0.3">
      <c r="A11713" t="str">
        <f>"0611830798100"</f>
        <v>0611830798100</v>
      </c>
      <c r="B11713" t="str">
        <f>"LK6283"</f>
        <v>LK6283</v>
      </c>
      <c r="C11713" t="s">
        <v>49881</v>
      </c>
      <c r="D11713" t="s">
        <v>27245</v>
      </c>
      <c r="E11713" t="str">
        <f t="shared" si="182"/>
        <v>001390</v>
      </c>
      <c r="F11713" t="s">
        <v>27246</v>
      </c>
      <c r="G11713" t="s">
        <v>27247</v>
      </c>
      <c r="H11713" t="s">
        <v>27248</v>
      </c>
      <c r="I11713" t="s">
        <v>49882</v>
      </c>
      <c r="J11713" t="s">
        <v>23436</v>
      </c>
      <c r="L11713" t="s">
        <v>27250</v>
      </c>
      <c r="M11713" t="s">
        <v>27251</v>
      </c>
      <c r="N11713" t="s">
        <v>27252</v>
      </c>
      <c r="Q11713" s="1">
        <v>44538</v>
      </c>
      <c r="R11713" t="s">
        <v>27253</v>
      </c>
      <c r="S11713" t="s">
        <v>27254</v>
      </c>
      <c r="T11713" t="s">
        <v>27255</v>
      </c>
    </row>
    <row r="11714" spans="1:20" x14ac:dyDescent="0.3">
      <c r="A11714" t="str">
        <f>"0611830799100"</f>
        <v>0611830799100</v>
      </c>
      <c r="B11714" t="str">
        <f>"LK6284"</f>
        <v>LK6284</v>
      </c>
      <c r="C11714" t="s">
        <v>49883</v>
      </c>
      <c r="D11714" t="s">
        <v>27245</v>
      </c>
      <c r="E11714" t="str">
        <f t="shared" ref="E11714:E11777" si="183">"001390"</f>
        <v>001390</v>
      </c>
      <c r="F11714" t="s">
        <v>27246</v>
      </c>
      <c r="G11714" t="s">
        <v>27247</v>
      </c>
      <c r="H11714" t="s">
        <v>27248</v>
      </c>
      <c r="I11714" t="s">
        <v>49884</v>
      </c>
      <c r="J11714" t="s">
        <v>23438</v>
      </c>
      <c r="L11714" t="s">
        <v>27250</v>
      </c>
      <c r="M11714" t="s">
        <v>27251</v>
      </c>
      <c r="N11714" t="s">
        <v>27252</v>
      </c>
      <c r="Q11714" s="1">
        <v>44538</v>
      </c>
      <c r="R11714" t="s">
        <v>27253</v>
      </c>
      <c r="S11714" t="s">
        <v>27254</v>
      </c>
      <c r="T11714" t="s">
        <v>27255</v>
      </c>
    </row>
    <row r="11715" spans="1:20" x14ac:dyDescent="0.3">
      <c r="A11715" t="str">
        <f>"0611830800100"</f>
        <v>0611830800100</v>
      </c>
      <c r="B11715" t="str">
        <f>"LK6285"</f>
        <v>LK6285</v>
      </c>
      <c r="C11715" t="s">
        <v>49885</v>
      </c>
      <c r="D11715" t="s">
        <v>27245</v>
      </c>
      <c r="E11715" t="str">
        <f t="shared" si="183"/>
        <v>001390</v>
      </c>
      <c r="F11715" t="s">
        <v>27246</v>
      </c>
      <c r="G11715" t="s">
        <v>27247</v>
      </c>
      <c r="H11715" t="s">
        <v>27248</v>
      </c>
      <c r="I11715" t="s">
        <v>49886</v>
      </c>
      <c r="J11715" t="s">
        <v>23440</v>
      </c>
      <c r="L11715" t="s">
        <v>27250</v>
      </c>
      <c r="M11715" t="s">
        <v>27251</v>
      </c>
      <c r="N11715" t="s">
        <v>27252</v>
      </c>
      <c r="Q11715" s="1">
        <v>44538</v>
      </c>
      <c r="R11715" t="s">
        <v>27253</v>
      </c>
      <c r="S11715" t="s">
        <v>27254</v>
      </c>
      <c r="T11715" t="s">
        <v>27255</v>
      </c>
    </row>
    <row r="11716" spans="1:20" x14ac:dyDescent="0.3">
      <c r="A11716" t="str">
        <f>"0611884470100"</f>
        <v>0611884470100</v>
      </c>
      <c r="B11716" t="str">
        <f>"LK7155"</f>
        <v>LK7155</v>
      </c>
      <c r="C11716" t="s">
        <v>49887</v>
      </c>
      <c r="D11716" t="s">
        <v>27245</v>
      </c>
      <c r="E11716" t="str">
        <f t="shared" si="183"/>
        <v>001390</v>
      </c>
      <c r="F11716" t="s">
        <v>27246</v>
      </c>
      <c r="G11716" t="s">
        <v>27247</v>
      </c>
      <c r="H11716" t="s">
        <v>27248</v>
      </c>
      <c r="I11716" t="s">
        <v>49888</v>
      </c>
      <c r="J11716" t="s">
        <v>23442</v>
      </c>
      <c r="L11716" t="s">
        <v>27430</v>
      </c>
      <c r="M11716" t="s">
        <v>27251</v>
      </c>
      <c r="N11716" t="s">
        <v>27252</v>
      </c>
      <c r="Q11716" s="1">
        <v>45250</v>
      </c>
      <c r="R11716" t="s">
        <v>27253</v>
      </c>
      <c r="S11716" t="s">
        <v>27254</v>
      </c>
      <c r="T11716" t="s">
        <v>27255</v>
      </c>
    </row>
    <row r="11717" spans="1:20" x14ac:dyDescent="0.3">
      <c r="A11717" t="str">
        <f>"0611830803100"</f>
        <v>0611830803100</v>
      </c>
      <c r="B11717" t="str">
        <f>"LK5354"</f>
        <v>LK5354</v>
      </c>
      <c r="C11717" t="s">
        <v>49889</v>
      </c>
      <c r="D11717" t="s">
        <v>27245</v>
      </c>
      <c r="E11717" t="str">
        <f t="shared" si="183"/>
        <v>001390</v>
      </c>
      <c r="F11717" t="s">
        <v>27246</v>
      </c>
      <c r="G11717" t="s">
        <v>27247</v>
      </c>
      <c r="H11717" t="s">
        <v>27248</v>
      </c>
      <c r="I11717" t="s">
        <v>49890</v>
      </c>
      <c r="J11717" t="s">
        <v>23444</v>
      </c>
      <c r="L11717" t="s">
        <v>27250</v>
      </c>
      <c r="M11717" t="s">
        <v>27251</v>
      </c>
      <c r="N11717" t="s">
        <v>27252</v>
      </c>
      <c r="Q11717" s="1">
        <v>44538</v>
      </c>
      <c r="R11717" t="s">
        <v>27253</v>
      </c>
      <c r="S11717" t="s">
        <v>27254</v>
      </c>
      <c r="T11717" t="s">
        <v>27255</v>
      </c>
    </row>
    <row r="11718" spans="1:20" x14ac:dyDescent="0.3">
      <c r="A11718" t="str">
        <f>"0611830804100"</f>
        <v>0611830804100</v>
      </c>
      <c r="B11718" t="str">
        <f>"LB8617"</f>
        <v>LB8617</v>
      </c>
      <c r="C11718" t="s">
        <v>49891</v>
      </c>
      <c r="D11718" t="s">
        <v>27245</v>
      </c>
      <c r="E11718" t="str">
        <f t="shared" si="183"/>
        <v>001390</v>
      </c>
      <c r="F11718" t="s">
        <v>27246</v>
      </c>
      <c r="G11718" t="s">
        <v>27247</v>
      </c>
      <c r="H11718" t="s">
        <v>27248</v>
      </c>
      <c r="I11718" t="s">
        <v>49892</v>
      </c>
      <c r="J11718" t="s">
        <v>23446</v>
      </c>
      <c r="L11718" t="s">
        <v>27250</v>
      </c>
      <c r="M11718" t="s">
        <v>27251</v>
      </c>
      <c r="N11718" t="s">
        <v>27252</v>
      </c>
      <c r="Q11718" s="1">
        <v>44538</v>
      </c>
      <c r="R11718" t="s">
        <v>27253</v>
      </c>
      <c r="S11718" t="s">
        <v>27254</v>
      </c>
      <c r="T11718" t="s">
        <v>27255</v>
      </c>
    </row>
    <row r="11719" spans="1:20" x14ac:dyDescent="0.3">
      <c r="A11719" t="str">
        <f>"0611830805100"</f>
        <v>0611830805100</v>
      </c>
      <c r="B11719" t="str">
        <f>"LK5359"</f>
        <v>LK5359</v>
      </c>
      <c r="C11719" t="s">
        <v>49893</v>
      </c>
      <c r="D11719" t="s">
        <v>27245</v>
      </c>
      <c r="E11719" t="str">
        <f t="shared" si="183"/>
        <v>001390</v>
      </c>
      <c r="F11719" t="s">
        <v>27246</v>
      </c>
      <c r="G11719" t="s">
        <v>27247</v>
      </c>
      <c r="H11719" t="s">
        <v>27248</v>
      </c>
      <c r="I11719" t="s">
        <v>49894</v>
      </c>
      <c r="J11719" t="s">
        <v>23452</v>
      </c>
      <c r="L11719" t="s">
        <v>27250</v>
      </c>
      <c r="M11719" t="s">
        <v>27251</v>
      </c>
      <c r="N11719" t="s">
        <v>27252</v>
      </c>
      <c r="Q11719" s="1">
        <v>44538</v>
      </c>
      <c r="R11719" t="s">
        <v>27253</v>
      </c>
      <c r="S11719" t="s">
        <v>27254</v>
      </c>
      <c r="T11719" t="s">
        <v>27255</v>
      </c>
    </row>
    <row r="11720" spans="1:20" x14ac:dyDescent="0.3">
      <c r="A11720" t="str">
        <f>"0611830806100"</f>
        <v>0611830806100</v>
      </c>
      <c r="B11720" t="str">
        <f>"LK5360"</f>
        <v>LK5360</v>
      </c>
      <c r="C11720" t="s">
        <v>49895</v>
      </c>
      <c r="D11720" t="s">
        <v>27245</v>
      </c>
      <c r="E11720" t="str">
        <f t="shared" si="183"/>
        <v>001390</v>
      </c>
      <c r="F11720" t="s">
        <v>27246</v>
      </c>
      <c r="G11720" t="s">
        <v>27247</v>
      </c>
      <c r="H11720" t="s">
        <v>27248</v>
      </c>
      <c r="I11720" t="s">
        <v>49896</v>
      </c>
      <c r="J11720" t="s">
        <v>23454</v>
      </c>
      <c r="L11720" t="s">
        <v>27250</v>
      </c>
      <c r="M11720" t="s">
        <v>27251</v>
      </c>
      <c r="N11720" t="s">
        <v>27252</v>
      </c>
      <c r="Q11720" s="1">
        <v>44538</v>
      </c>
      <c r="R11720" t="s">
        <v>27253</v>
      </c>
      <c r="S11720" t="s">
        <v>27254</v>
      </c>
      <c r="T11720" t="s">
        <v>27255</v>
      </c>
    </row>
    <row r="11721" spans="1:20" x14ac:dyDescent="0.3">
      <c r="A11721" t="str">
        <f>"0611830807100"</f>
        <v>0611830807100</v>
      </c>
      <c r="B11721" t="str">
        <f>"LK5361"</f>
        <v>LK5361</v>
      </c>
      <c r="C11721" t="s">
        <v>49897</v>
      </c>
      <c r="D11721" t="s">
        <v>27245</v>
      </c>
      <c r="E11721" t="str">
        <f t="shared" si="183"/>
        <v>001390</v>
      </c>
      <c r="F11721" t="s">
        <v>27246</v>
      </c>
      <c r="G11721" t="s">
        <v>27247</v>
      </c>
      <c r="H11721" t="s">
        <v>27248</v>
      </c>
      <c r="I11721" t="s">
        <v>49898</v>
      </c>
      <c r="J11721" t="s">
        <v>23456</v>
      </c>
      <c r="L11721" t="s">
        <v>27250</v>
      </c>
      <c r="M11721" t="s">
        <v>27251</v>
      </c>
      <c r="N11721" t="s">
        <v>27252</v>
      </c>
      <c r="Q11721" s="1">
        <v>44538</v>
      </c>
      <c r="R11721" t="s">
        <v>27253</v>
      </c>
      <c r="S11721" t="s">
        <v>27254</v>
      </c>
      <c r="T11721" t="s">
        <v>27255</v>
      </c>
    </row>
    <row r="11722" spans="1:20" x14ac:dyDescent="0.3">
      <c r="A11722" t="str">
        <f>"0611830808100"</f>
        <v>0611830808100</v>
      </c>
      <c r="B11722" t="str">
        <f>"LK5362"</f>
        <v>LK5362</v>
      </c>
      <c r="C11722" t="s">
        <v>49899</v>
      </c>
      <c r="D11722" t="s">
        <v>27245</v>
      </c>
      <c r="E11722" t="str">
        <f t="shared" si="183"/>
        <v>001390</v>
      </c>
      <c r="F11722" t="s">
        <v>27246</v>
      </c>
      <c r="G11722" t="s">
        <v>27247</v>
      </c>
      <c r="H11722" t="s">
        <v>27248</v>
      </c>
      <c r="I11722" t="s">
        <v>49900</v>
      </c>
      <c r="J11722" t="s">
        <v>23458</v>
      </c>
      <c r="L11722" t="s">
        <v>27250</v>
      </c>
      <c r="M11722" t="s">
        <v>27251</v>
      </c>
      <c r="N11722" t="s">
        <v>27252</v>
      </c>
      <c r="Q11722" s="1">
        <v>44538</v>
      </c>
      <c r="R11722" t="s">
        <v>27253</v>
      </c>
      <c r="S11722" t="s">
        <v>27254</v>
      </c>
      <c r="T11722" t="s">
        <v>27255</v>
      </c>
    </row>
    <row r="11723" spans="1:20" x14ac:dyDescent="0.3">
      <c r="A11723" t="str">
        <f>"0611830809100"</f>
        <v>0611830809100</v>
      </c>
      <c r="B11723" t="str">
        <f>"LK5356"</f>
        <v>LK5356</v>
      </c>
      <c r="C11723" t="s">
        <v>49901</v>
      </c>
      <c r="D11723" t="s">
        <v>27245</v>
      </c>
      <c r="E11723" t="str">
        <f t="shared" si="183"/>
        <v>001390</v>
      </c>
      <c r="F11723" t="s">
        <v>27246</v>
      </c>
      <c r="G11723" t="s">
        <v>27247</v>
      </c>
      <c r="H11723" t="s">
        <v>27248</v>
      </c>
      <c r="I11723" t="s">
        <v>49902</v>
      </c>
      <c r="J11723" t="s">
        <v>23448</v>
      </c>
      <c r="L11723" t="s">
        <v>27250</v>
      </c>
      <c r="M11723" t="s">
        <v>27251</v>
      </c>
      <c r="N11723" t="s">
        <v>27252</v>
      </c>
      <c r="Q11723" s="1">
        <v>44538</v>
      </c>
      <c r="R11723" t="s">
        <v>27253</v>
      </c>
      <c r="S11723" t="s">
        <v>27254</v>
      </c>
      <c r="T11723" t="s">
        <v>27255</v>
      </c>
    </row>
    <row r="11724" spans="1:20" x14ac:dyDescent="0.3">
      <c r="A11724" t="str">
        <f>"0611830810100"</f>
        <v>0611830810100</v>
      </c>
      <c r="B11724" t="str">
        <f>"LK5358"</f>
        <v>LK5358</v>
      </c>
      <c r="C11724" t="s">
        <v>49903</v>
      </c>
      <c r="D11724" t="s">
        <v>27245</v>
      </c>
      <c r="E11724" t="str">
        <f t="shared" si="183"/>
        <v>001390</v>
      </c>
      <c r="F11724" t="s">
        <v>27246</v>
      </c>
      <c r="G11724" t="s">
        <v>27247</v>
      </c>
      <c r="H11724" t="s">
        <v>27248</v>
      </c>
      <c r="I11724" t="s">
        <v>49904</v>
      </c>
      <c r="J11724" t="s">
        <v>23450</v>
      </c>
      <c r="L11724" t="s">
        <v>27250</v>
      </c>
      <c r="M11724" t="s">
        <v>27251</v>
      </c>
      <c r="N11724" t="s">
        <v>27252</v>
      </c>
      <c r="Q11724" s="1">
        <v>44538</v>
      </c>
      <c r="R11724" t="s">
        <v>27253</v>
      </c>
      <c r="S11724" t="s">
        <v>27254</v>
      </c>
      <c r="T11724" t="s">
        <v>27255</v>
      </c>
    </row>
    <row r="11725" spans="1:20" x14ac:dyDescent="0.3">
      <c r="A11725" t="str">
        <f>"0611830811100"</f>
        <v>0611830811100</v>
      </c>
      <c r="B11725" t="str">
        <f>"LB8618"</f>
        <v>LB8618</v>
      </c>
      <c r="C11725" t="s">
        <v>49905</v>
      </c>
      <c r="D11725" t="s">
        <v>27245</v>
      </c>
      <c r="E11725" t="str">
        <f t="shared" si="183"/>
        <v>001390</v>
      </c>
      <c r="F11725" t="s">
        <v>27246</v>
      </c>
      <c r="G11725" t="s">
        <v>27247</v>
      </c>
      <c r="H11725" t="s">
        <v>27248</v>
      </c>
      <c r="I11725" t="s">
        <v>49906</v>
      </c>
      <c r="J11725" t="s">
        <v>23460</v>
      </c>
      <c r="L11725" t="s">
        <v>27250</v>
      </c>
      <c r="M11725" t="s">
        <v>27251</v>
      </c>
      <c r="N11725" t="s">
        <v>27252</v>
      </c>
      <c r="Q11725" s="1">
        <v>44538</v>
      </c>
      <c r="R11725" t="s">
        <v>27253</v>
      </c>
      <c r="S11725" t="s">
        <v>27254</v>
      </c>
      <c r="T11725" t="s">
        <v>27255</v>
      </c>
    </row>
    <row r="11726" spans="1:20" x14ac:dyDescent="0.3">
      <c r="A11726" t="str">
        <f>"0611830812100"</f>
        <v>0611830812100</v>
      </c>
      <c r="B11726" t="str">
        <f>"LB8584"</f>
        <v>LB8584</v>
      </c>
      <c r="C11726" t="s">
        <v>49907</v>
      </c>
      <c r="D11726" t="s">
        <v>27245</v>
      </c>
      <c r="E11726" t="str">
        <f t="shared" si="183"/>
        <v>001390</v>
      </c>
      <c r="F11726" t="s">
        <v>27246</v>
      </c>
      <c r="G11726" t="s">
        <v>27247</v>
      </c>
      <c r="H11726" t="s">
        <v>27248</v>
      </c>
      <c r="I11726" t="s">
        <v>49908</v>
      </c>
      <c r="J11726" t="s">
        <v>23462</v>
      </c>
      <c r="L11726" t="s">
        <v>27250</v>
      </c>
      <c r="M11726" t="s">
        <v>27251</v>
      </c>
      <c r="N11726" t="s">
        <v>27252</v>
      </c>
      <c r="Q11726" s="1">
        <v>44538</v>
      </c>
      <c r="R11726" t="s">
        <v>27253</v>
      </c>
      <c r="S11726" t="s">
        <v>27254</v>
      </c>
      <c r="T11726" t="s">
        <v>27255</v>
      </c>
    </row>
    <row r="11727" spans="1:20" x14ac:dyDescent="0.3">
      <c r="A11727" t="str">
        <f>"0611830813100"</f>
        <v>0611830813100</v>
      </c>
      <c r="B11727" t="str">
        <f>"LB8591"</f>
        <v>LB8591</v>
      </c>
      <c r="C11727" t="s">
        <v>49909</v>
      </c>
      <c r="D11727" t="s">
        <v>27245</v>
      </c>
      <c r="E11727" t="str">
        <f t="shared" si="183"/>
        <v>001390</v>
      </c>
      <c r="F11727" t="s">
        <v>27246</v>
      </c>
      <c r="G11727" t="s">
        <v>27247</v>
      </c>
      <c r="H11727" t="s">
        <v>27248</v>
      </c>
      <c r="I11727" t="s">
        <v>49910</v>
      </c>
      <c r="J11727" t="s">
        <v>23464</v>
      </c>
      <c r="L11727" t="s">
        <v>27250</v>
      </c>
      <c r="M11727" t="s">
        <v>27251</v>
      </c>
      <c r="N11727" t="s">
        <v>27252</v>
      </c>
      <c r="Q11727" s="1">
        <v>44538</v>
      </c>
      <c r="R11727" t="s">
        <v>27253</v>
      </c>
      <c r="S11727" t="s">
        <v>27254</v>
      </c>
      <c r="T11727" t="s">
        <v>27255</v>
      </c>
    </row>
    <row r="11728" spans="1:20" x14ac:dyDescent="0.3">
      <c r="A11728" t="str">
        <f>"0611830814100"</f>
        <v>0611830814100</v>
      </c>
      <c r="B11728" t="str">
        <f>"LB8592"</f>
        <v>LB8592</v>
      </c>
      <c r="C11728" t="s">
        <v>49911</v>
      </c>
      <c r="D11728" t="s">
        <v>27245</v>
      </c>
      <c r="E11728" t="str">
        <f t="shared" si="183"/>
        <v>001390</v>
      </c>
      <c r="F11728" t="s">
        <v>27246</v>
      </c>
      <c r="G11728" t="s">
        <v>27247</v>
      </c>
      <c r="H11728" t="s">
        <v>27248</v>
      </c>
      <c r="I11728" t="s">
        <v>49912</v>
      </c>
      <c r="J11728" t="s">
        <v>23466</v>
      </c>
      <c r="L11728" t="s">
        <v>27250</v>
      </c>
      <c r="M11728" t="s">
        <v>27251</v>
      </c>
      <c r="N11728" t="s">
        <v>27252</v>
      </c>
      <c r="Q11728" s="1">
        <v>44538</v>
      </c>
      <c r="R11728" t="s">
        <v>27253</v>
      </c>
      <c r="S11728" t="s">
        <v>27254</v>
      </c>
      <c r="T11728" t="s">
        <v>27255</v>
      </c>
    </row>
    <row r="11729" spans="1:20" x14ac:dyDescent="0.3">
      <c r="A11729" t="str">
        <f>"0611830816100"</f>
        <v>0611830816100</v>
      </c>
      <c r="B11729" t="str">
        <f>"LB8600"</f>
        <v>LB8600</v>
      </c>
      <c r="C11729" t="s">
        <v>49913</v>
      </c>
      <c r="D11729" t="s">
        <v>27245</v>
      </c>
      <c r="E11729" t="str">
        <f t="shared" si="183"/>
        <v>001390</v>
      </c>
      <c r="F11729" t="s">
        <v>27246</v>
      </c>
      <c r="G11729" t="s">
        <v>27247</v>
      </c>
      <c r="H11729" t="s">
        <v>27248</v>
      </c>
      <c r="I11729" t="s">
        <v>49914</v>
      </c>
      <c r="J11729" t="s">
        <v>23468</v>
      </c>
      <c r="L11729" t="s">
        <v>27250</v>
      </c>
      <c r="M11729" t="s">
        <v>27251</v>
      </c>
      <c r="N11729" t="s">
        <v>27252</v>
      </c>
      <c r="Q11729" s="1">
        <v>44538</v>
      </c>
      <c r="R11729" t="s">
        <v>27253</v>
      </c>
      <c r="S11729" t="s">
        <v>27254</v>
      </c>
      <c r="T11729" t="s">
        <v>27255</v>
      </c>
    </row>
    <row r="11730" spans="1:20" x14ac:dyDescent="0.3">
      <c r="A11730" t="str">
        <f>"0611830817100"</f>
        <v>0611830817100</v>
      </c>
      <c r="B11730" t="str">
        <f>"LB8593"</f>
        <v>LB8593</v>
      </c>
      <c r="C11730" t="s">
        <v>49915</v>
      </c>
      <c r="D11730" t="s">
        <v>27245</v>
      </c>
      <c r="E11730" t="str">
        <f t="shared" si="183"/>
        <v>001390</v>
      </c>
      <c r="F11730" t="s">
        <v>27246</v>
      </c>
      <c r="G11730" t="s">
        <v>27247</v>
      </c>
      <c r="H11730" t="s">
        <v>27248</v>
      </c>
      <c r="I11730" t="s">
        <v>49916</v>
      </c>
      <c r="J11730" t="s">
        <v>23470</v>
      </c>
      <c r="L11730" t="s">
        <v>27250</v>
      </c>
      <c r="M11730" t="s">
        <v>27251</v>
      </c>
      <c r="N11730" t="s">
        <v>27252</v>
      </c>
      <c r="Q11730" s="1">
        <v>44538</v>
      </c>
      <c r="R11730" t="s">
        <v>27253</v>
      </c>
      <c r="S11730" t="s">
        <v>27254</v>
      </c>
      <c r="T11730" t="s">
        <v>27255</v>
      </c>
    </row>
    <row r="11731" spans="1:20" x14ac:dyDescent="0.3">
      <c r="A11731" t="str">
        <f>"0611830818100"</f>
        <v>0611830818100</v>
      </c>
      <c r="B11731" t="str">
        <f>"LB8595"</f>
        <v>LB8595</v>
      </c>
      <c r="C11731" t="s">
        <v>49917</v>
      </c>
      <c r="D11731" t="s">
        <v>27245</v>
      </c>
      <c r="E11731" t="str">
        <f t="shared" si="183"/>
        <v>001390</v>
      </c>
      <c r="F11731" t="s">
        <v>27246</v>
      </c>
      <c r="G11731" t="s">
        <v>27247</v>
      </c>
      <c r="H11731" t="s">
        <v>27248</v>
      </c>
      <c r="I11731" t="s">
        <v>49918</v>
      </c>
      <c r="J11731" t="s">
        <v>23472</v>
      </c>
      <c r="L11731" t="s">
        <v>27250</v>
      </c>
      <c r="M11731" t="s">
        <v>27251</v>
      </c>
      <c r="N11731" t="s">
        <v>27252</v>
      </c>
      <c r="Q11731" s="1">
        <v>44538</v>
      </c>
      <c r="R11731" t="s">
        <v>27253</v>
      </c>
      <c r="S11731" t="s">
        <v>27254</v>
      </c>
      <c r="T11731" t="s">
        <v>27255</v>
      </c>
    </row>
    <row r="11732" spans="1:20" x14ac:dyDescent="0.3">
      <c r="A11732" t="str">
        <f>"0611830819100"</f>
        <v>0611830819100</v>
      </c>
      <c r="B11732" t="str">
        <f>"LB8599"</f>
        <v>LB8599</v>
      </c>
      <c r="C11732" t="s">
        <v>49919</v>
      </c>
      <c r="D11732" t="s">
        <v>27245</v>
      </c>
      <c r="E11732" t="str">
        <f t="shared" si="183"/>
        <v>001390</v>
      </c>
      <c r="F11732" t="s">
        <v>27246</v>
      </c>
      <c r="G11732" t="s">
        <v>27247</v>
      </c>
      <c r="H11732" t="s">
        <v>27248</v>
      </c>
      <c r="I11732" t="s">
        <v>49920</v>
      </c>
      <c r="J11732" t="s">
        <v>23476</v>
      </c>
      <c r="L11732" t="s">
        <v>27250</v>
      </c>
      <c r="M11732" t="s">
        <v>27251</v>
      </c>
      <c r="N11732" t="s">
        <v>27252</v>
      </c>
      <c r="Q11732" s="1">
        <v>44538</v>
      </c>
      <c r="R11732" t="s">
        <v>27253</v>
      </c>
      <c r="S11732" t="s">
        <v>27254</v>
      </c>
      <c r="T11732" t="s">
        <v>27255</v>
      </c>
    </row>
    <row r="11733" spans="1:20" x14ac:dyDescent="0.3">
      <c r="A11733" t="str">
        <f>"0611830820100"</f>
        <v>0611830820100</v>
      </c>
      <c r="B11733" t="str">
        <f>"LB8594"</f>
        <v>LB8594</v>
      </c>
      <c r="C11733" t="s">
        <v>49921</v>
      </c>
      <c r="D11733" t="s">
        <v>27245</v>
      </c>
      <c r="E11733" t="str">
        <f t="shared" si="183"/>
        <v>001390</v>
      </c>
      <c r="F11733" t="s">
        <v>27246</v>
      </c>
      <c r="G11733" t="s">
        <v>27247</v>
      </c>
      <c r="H11733" t="s">
        <v>27248</v>
      </c>
      <c r="I11733" t="s">
        <v>49922</v>
      </c>
      <c r="J11733" t="s">
        <v>23478</v>
      </c>
      <c r="L11733" t="s">
        <v>27250</v>
      </c>
      <c r="M11733" t="s">
        <v>27251</v>
      </c>
      <c r="N11733" t="s">
        <v>27252</v>
      </c>
      <c r="Q11733" s="1">
        <v>44538</v>
      </c>
      <c r="R11733" t="s">
        <v>27253</v>
      </c>
      <c r="S11733" t="s">
        <v>27254</v>
      </c>
      <c r="T11733" t="s">
        <v>27255</v>
      </c>
    </row>
    <row r="11734" spans="1:20" x14ac:dyDescent="0.3">
      <c r="A11734" t="str">
        <f>"0611830821100"</f>
        <v>0611830821100</v>
      </c>
      <c r="B11734" t="str">
        <f>"LB8597"</f>
        <v>LB8597</v>
      </c>
      <c r="C11734" t="s">
        <v>49923</v>
      </c>
      <c r="D11734" t="s">
        <v>27245</v>
      </c>
      <c r="E11734" t="str">
        <f t="shared" si="183"/>
        <v>001390</v>
      </c>
      <c r="F11734" t="s">
        <v>27246</v>
      </c>
      <c r="G11734" t="s">
        <v>27247</v>
      </c>
      <c r="H11734" t="s">
        <v>27248</v>
      </c>
      <c r="I11734" t="s">
        <v>49924</v>
      </c>
      <c r="J11734" t="s">
        <v>23480</v>
      </c>
      <c r="L11734" t="s">
        <v>27250</v>
      </c>
      <c r="M11734" t="s">
        <v>27251</v>
      </c>
      <c r="N11734" t="s">
        <v>27252</v>
      </c>
      <c r="Q11734" s="1">
        <v>44538</v>
      </c>
      <c r="R11734" t="s">
        <v>27253</v>
      </c>
      <c r="S11734" t="s">
        <v>27254</v>
      </c>
      <c r="T11734" t="s">
        <v>27255</v>
      </c>
    </row>
    <row r="11735" spans="1:20" x14ac:dyDescent="0.3">
      <c r="A11735" t="str">
        <f>"0611830822100"</f>
        <v>0611830822100</v>
      </c>
      <c r="B11735" t="str">
        <f>"LB8598"</f>
        <v>LB8598</v>
      </c>
      <c r="C11735" t="s">
        <v>49925</v>
      </c>
      <c r="D11735" t="s">
        <v>27245</v>
      </c>
      <c r="E11735" t="str">
        <f t="shared" si="183"/>
        <v>001390</v>
      </c>
      <c r="F11735" t="s">
        <v>27246</v>
      </c>
      <c r="G11735" t="s">
        <v>27247</v>
      </c>
      <c r="H11735" t="s">
        <v>27248</v>
      </c>
      <c r="I11735" t="s">
        <v>49926</v>
      </c>
      <c r="J11735" t="s">
        <v>23482</v>
      </c>
      <c r="L11735" t="s">
        <v>27250</v>
      </c>
      <c r="M11735" t="s">
        <v>27251</v>
      </c>
      <c r="N11735" t="s">
        <v>27252</v>
      </c>
      <c r="Q11735" s="1">
        <v>44538</v>
      </c>
      <c r="R11735" t="s">
        <v>27253</v>
      </c>
      <c r="S11735" t="s">
        <v>27254</v>
      </c>
      <c r="T11735" t="s">
        <v>27255</v>
      </c>
    </row>
    <row r="11736" spans="1:20" x14ac:dyDescent="0.3">
      <c r="A11736" t="str">
        <f>"0611830823100"</f>
        <v>0611830823100</v>
      </c>
      <c r="B11736" t="str">
        <f>"LB8619"</f>
        <v>LB8619</v>
      </c>
      <c r="C11736" t="s">
        <v>49927</v>
      </c>
      <c r="D11736" t="s">
        <v>27245</v>
      </c>
      <c r="E11736" t="str">
        <f t="shared" si="183"/>
        <v>001390</v>
      </c>
      <c r="F11736" t="s">
        <v>27246</v>
      </c>
      <c r="G11736" t="s">
        <v>27247</v>
      </c>
      <c r="H11736" t="s">
        <v>27248</v>
      </c>
      <c r="I11736" t="s">
        <v>49928</v>
      </c>
      <c r="J11736" t="s">
        <v>23474</v>
      </c>
      <c r="L11736" t="s">
        <v>27250</v>
      </c>
      <c r="M11736" t="s">
        <v>27251</v>
      </c>
      <c r="N11736" t="s">
        <v>27252</v>
      </c>
      <c r="Q11736" s="1">
        <v>44538</v>
      </c>
      <c r="R11736" t="s">
        <v>27253</v>
      </c>
      <c r="S11736" t="s">
        <v>27254</v>
      </c>
      <c r="T11736" t="s">
        <v>27255</v>
      </c>
    </row>
    <row r="11737" spans="1:20" x14ac:dyDescent="0.3">
      <c r="A11737" t="str">
        <f>"0611830802100"</f>
        <v>0611830802100</v>
      </c>
      <c r="B11737" t="str">
        <f>"LS0117"</f>
        <v>LS0117</v>
      </c>
      <c r="C11737" t="s">
        <v>49929</v>
      </c>
      <c r="D11737" t="s">
        <v>27245</v>
      </c>
      <c r="E11737" t="str">
        <f t="shared" si="183"/>
        <v>001390</v>
      </c>
      <c r="F11737" t="s">
        <v>27246</v>
      </c>
      <c r="G11737" t="s">
        <v>27247</v>
      </c>
      <c r="H11737" t="s">
        <v>27248</v>
      </c>
      <c r="I11737" t="s">
        <v>49930</v>
      </c>
      <c r="J11737" t="s">
        <v>23484</v>
      </c>
      <c r="L11737" t="s">
        <v>27250</v>
      </c>
      <c r="M11737" t="s">
        <v>27251</v>
      </c>
      <c r="N11737" t="s">
        <v>27252</v>
      </c>
      <c r="Q11737" s="1">
        <v>44538</v>
      </c>
      <c r="R11737" t="s">
        <v>27253</v>
      </c>
      <c r="S11737" t="s">
        <v>27254</v>
      </c>
      <c r="T11737" t="s">
        <v>27255</v>
      </c>
    </row>
    <row r="11738" spans="1:20" x14ac:dyDescent="0.3">
      <c r="A11738" t="str">
        <f>"0611830824100"</f>
        <v>0611830824100</v>
      </c>
      <c r="B11738" t="str">
        <f>"LK0523"</f>
        <v>LK0523</v>
      </c>
      <c r="C11738" t="s">
        <v>49931</v>
      </c>
      <c r="D11738" t="s">
        <v>28138</v>
      </c>
      <c r="E11738" t="str">
        <f t="shared" si="183"/>
        <v>001390</v>
      </c>
      <c r="F11738" t="s">
        <v>27246</v>
      </c>
      <c r="G11738" t="s">
        <v>27247</v>
      </c>
      <c r="H11738" t="s">
        <v>27248</v>
      </c>
      <c r="I11738" t="s">
        <v>49932</v>
      </c>
      <c r="J11738" t="s">
        <v>23486</v>
      </c>
      <c r="L11738" t="s">
        <v>27250</v>
      </c>
      <c r="M11738" t="s">
        <v>27251</v>
      </c>
      <c r="N11738" t="s">
        <v>27252</v>
      </c>
      <c r="P11738" t="s">
        <v>27925</v>
      </c>
      <c r="Q11738" s="1">
        <v>44538</v>
      </c>
      <c r="R11738" t="s">
        <v>27253</v>
      </c>
      <c r="S11738" t="s">
        <v>27254</v>
      </c>
      <c r="T11738" t="s">
        <v>27255</v>
      </c>
    </row>
    <row r="11739" spans="1:20" x14ac:dyDescent="0.3">
      <c r="A11739" t="str">
        <f>"0611830825100"</f>
        <v>0611830825100</v>
      </c>
      <c r="B11739" t="str">
        <f>"LK0525"</f>
        <v>LK0525</v>
      </c>
      <c r="C11739" t="s">
        <v>49933</v>
      </c>
      <c r="D11739" t="s">
        <v>28138</v>
      </c>
      <c r="E11739" t="str">
        <f t="shared" si="183"/>
        <v>001390</v>
      </c>
      <c r="F11739" t="s">
        <v>27246</v>
      </c>
      <c r="G11739" t="s">
        <v>27247</v>
      </c>
      <c r="H11739" t="s">
        <v>27248</v>
      </c>
      <c r="I11739" t="s">
        <v>49934</v>
      </c>
      <c r="J11739" t="s">
        <v>23488</v>
      </c>
      <c r="L11739" t="s">
        <v>27250</v>
      </c>
      <c r="M11739" t="s">
        <v>27251</v>
      </c>
      <c r="N11739" t="s">
        <v>27252</v>
      </c>
      <c r="P11739" t="s">
        <v>27925</v>
      </c>
      <c r="Q11739" s="1">
        <v>44538</v>
      </c>
      <c r="R11739" t="s">
        <v>27253</v>
      </c>
      <c r="S11739" t="s">
        <v>27254</v>
      </c>
      <c r="T11739" t="s">
        <v>27255</v>
      </c>
    </row>
    <row r="11740" spans="1:20" x14ac:dyDescent="0.3">
      <c r="A11740" t="str">
        <f>"0611830826100"</f>
        <v>0611830826100</v>
      </c>
      <c r="B11740" t="str">
        <f>"LK0526"</f>
        <v>LK0526</v>
      </c>
      <c r="C11740" t="s">
        <v>49935</v>
      </c>
      <c r="D11740" t="s">
        <v>28138</v>
      </c>
      <c r="E11740" t="str">
        <f t="shared" si="183"/>
        <v>001390</v>
      </c>
      <c r="F11740" t="s">
        <v>27246</v>
      </c>
      <c r="G11740" t="s">
        <v>27247</v>
      </c>
      <c r="H11740" t="s">
        <v>27248</v>
      </c>
      <c r="I11740" t="s">
        <v>49936</v>
      </c>
      <c r="J11740" t="s">
        <v>23490</v>
      </c>
      <c r="L11740" t="s">
        <v>27250</v>
      </c>
      <c r="M11740" t="s">
        <v>27251</v>
      </c>
      <c r="N11740" t="s">
        <v>27252</v>
      </c>
      <c r="P11740" t="s">
        <v>27925</v>
      </c>
      <c r="Q11740" s="1">
        <v>44538</v>
      </c>
      <c r="R11740" t="s">
        <v>27253</v>
      </c>
      <c r="S11740" t="s">
        <v>27254</v>
      </c>
      <c r="T11740" t="s">
        <v>27255</v>
      </c>
    </row>
    <row r="11741" spans="1:20" x14ac:dyDescent="0.3">
      <c r="A11741" t="str">
        <f>"0611830827100"</f>
        <v>0611830827100</v>
      </c>
      <c r="B11741" t="str">
        <f>"LK1394"</f>
        <v>LK1394</v>
      </c>
      <c r="C11741" t="s">
        <v>49937</v>
      </c>
      <c r="D11741" t="s">
        <v>28138</v>
      </c>
      <c r="E11741" t="str">
        <f t="shared" si="183"/>
        <v>001390</v>
      </c>
      <c r="F11741" t="s">
        <v>27246</v>
      </c>
      <c r="G11741" t="s">
        <v>27247</v>
      </c>
      <c r="H11741" t="s">
        <v>27248</v>
      </c>
      <c r="I11741" t="s">
        <v>49938</v>
      </c>
      <c r="J11741" t="s">
        <v>23492</v>
      </c>
      <c r="L11741" t="s">
        <v>27250</v>
      </c>
      <c r="M11741" t="s">
        <v>27251</v>
      </c>
      <c r="N11741" t="s">
        <v>27252</v>
      </c>
      <c r="P11741" t="s">
        <v>27925</v>
      </c>
      <c r="Q11741" s="1">
        <v>44538</v>
      </c>
      <c r="R11741" t="s">
        <v>27253</v>
      </c>
      <c r="S11741" t="s">
        <v>27254</v>
      </c>
      <c r="T11741" t="s">
        <v>27255</v>
      </c>
    </row>
    <row r="11742" spans="1:20" x14ac:dyDescent="0.3">
      <c r="A11742" t="str">
        <f>"0611830828100"</f>
        <v>0611830828100</v>
      </c>
      <c r="B11742" t="str">
        <f>"LK0528"</f>
        <v>LK0528</v>
      </c>
      <c r="C11742" t="s">
        <v>49939</v>
      </c>
      <c r="D11742" t="s">
        <v>28138</v>
      </c>
      <c r="E11742" t="str">
        <f t="shared" si="183"/>
        <v>001390</v>
      </c>
      <c r="F11742" t="s">
        <v>27246</v>
      </c>
      <c r="G11742" t="s">
        <v>27247</v>
      </c>
      <c r="H11742" t="s">
        <v>27248</v>
      </c>
      <c r="I11742" t="s">
        <v>49940</v>
      </c>
      <c r="J11742" t="s">
        <v>23494</v>
      </c>
      <c r="L11742" t="s">
        <v>27250</v>
      </c>
      <c r="M11742" t="s">
        <v>27251</v>
      </c>
      <c r="N11742" t="s">
        <v>27252</v>
      </c>
      <c r="P11742" t="s">
        <v>27925</v>
      </c>
      <c r="Q11742" s="1">
        <v>44538</v>
      </c>
      <c r="R11742" t="s">
        <v>27253</v>
      </c>
      <c r="S11742" t="s">
        <v>27254</v>
      </c>
      <c r="T11742" t="s">
        <v>27255</v>
      </c>
    </row>
    <row r="11743" spans="1:20" x14ac:dyDescent="0.3">
      <c r="A11743" t="str">
        <f>"0611830830100"</f>
        <v>0611830830100</v>
      </c>
      <c r="B11743" t="str">
        <f>"LK0386"</f>
        <v>LK0386</v>
      </c>
      <c r="C11743" t="s">
        <v>49941</v>
      </c>
      <c r="D11743" t="s">
        <v>28138</v>
      </c>
      <c r="E11743" t="str">
        <f t="shared" si="183"/>
        <v>001390</v>
      </c>
      <c r="F11743" t="s">
        <v>27246</v>
      </c>
      <c r="G11743" t="s">
        <v>27247</v>
      </c>
      <c r="H11743" t="s">
        <v>27248</v>
      </c>
      <c r="I11743" t="s">
        <v>49942</v>
      </c>
      <c r="J11743" t="s">
        <v>23496</v>
      </c>
      <c r="L11743" t="s">
        <v>27250</v>
      </c>
      <c r="M11743" t="s">
        <v>27251</v>
      </c>
      <c r="N11743" t="s">
        <v>27252</v>
      </c>
      <c r="P11743" t="s">
        <v>27925</v>
      </c>
      <c r="Q11743" s="1">
        <v>44538</v>
      </c>
      <c r="R11743" t="s">
        <v>27253</v>
      </c>
      <c r="S11743" t="s">
        <v>27254</v>
      </c>
      <c r="T11743" t="s">
        <v>27255</v>
      </c>
    </row>
    <row r="11744" spans="1:20" x14ac:dyDescent="0.3">
      <c r="A11744" t="str">
        <f>"0611830831100"</f>
        <v>0611830831100</v>
      </c>
      <c r="B11744" t="str">
        <f>"LK0387"</f>
        <v>LK0387</v>
      </c>
      <c r="C11744" t="s">
        <v>49943</v>
      </c>
      <c r="D11744" t="s">
        <v>28138</v>
      </c>
      <c r="E11744" t="str">
        <f t="shared" si="183"/>
        <v>001390</v>
      </c>
      <c r="F11744" t="s">
        <v>27246</v>
      </c>
      <c r="G11744" t="s">
        <v>27247</v>
      </c>
      <c r="H11744" t="s">
        <v>27248</v>
      </c>
      <c r="I11744" t="s">
        <v>49944</v>
      </c>
      <c r="J11744" t="s">
        <v>23498</v>
      </c>
      <c r="L11744" t="s">
        <v>27250</v>
      </c>
      <c r="M11744" t="s">
        <v>27251</v>
      </c>
      <c r="N11744" t="s">
        <v>27252</v>
      </c>
      <c r="P11744" t="s">
        <v>27925</v>
      </c>
      <c r="Q11744" s="1">
        <v>44538</v>
      </c>
      <c r="R11744" t="s">
        <v>27253</v>
      </c>
      <c r="S11744" t="s">
        <v>27254</v>
      </c>
      <c r="T11744" t="s">
        <v>27255</v>
      </c>
    </row>
    <row r="11745" spans="1:20" x14ac:dyDescent="0.3">
      <c r="A11745" t="str">
        <f>"0611830832100"</f>
        <v>0611830832100</v>
      </c>
      <c r="B11745" t="str">
        <f>"LK5363"</f>
        <v>LK5363</v>
      </c>
      <c r="C11745" t="s">
        <v>49945</v>
      </c>
      <c r="D11745" t="s">
        <v>27245</v>
      </c>
      <c r="E11745" t="str">
        <f t="shared" si="183"/>
        <v>001390</v>
      </c>
      <c r="F11745" t="s">
        <v>27246</v>
      </c>
      <c r="G11745" t="s">
        <v>27247</v>
      </c>
      <c r="H11745" t="s">
        <v>27248</v>
      </c>
      <c r="I11745" t="s">
        <v>49946</v>
      </c>
      <c r="J11745" t="s">
        <v>23502</v>
      </c>
      <c r="L11745" t="s">
        <v>27250</v>
      </c>
      <c r="M11745" t="s">
        <v>27251</v>
      </c>
      <c r="N11745" t="s">
        <v>27252</v>
      </c>
      <c r="Q11745" s="1">
        <v>44538</v>
      </c>
      <c r="R11745" t="s">
        <v>27253</v>
      </c>
      <c r="S11745" t="s">
        <v>27254</v>
      </c>
      <c r="T11745" t="s">
        <v>27255</v>
      </c>
    </row>
    <row r="11746" spans="1:20" x14ac:dyDescent="0.3">
      <c r="A11746" t="str">
        <f>"0611830833100"</f>
        <v>0611830833100</v>
      </c>
      <c r="B11746" t="str">
        <f>"LB8691"</f>
        <v>LB8691</v>
      </c>
      <c r="C11746" t="s">
        <v>49947</v>
      </c>
      <c r="D11746" t="s">
        <v>28138</v>
      </c>
      <c r="E11746" t="str">
        <f t="shared" si="183"/>
        <v>001390</v>
      </c>
      <c r="F11746" t="s">
        <v>27246</v>
      </c>
      <c r="G11746" t="s">
        <v>27247</v>
      </c>
      <c r="H11746" t="s">
        <v>27248</v>
      </c>
      <c r="I11746" t="s">
        <v>49948</v>
      </c>
      <c r="J11746" t="s">
        <v>23500</v>
      </c>
      <c r="L11746" t="s">
        <v>27250</v>
      </c>
      <c r="M11746" t="s">
        <v>27251</v>
      </c>
      <c r="N11746" t="s">
        <v>27252</v>
      </c>
      <c r="P11746" t="s">
        <v>27925</v>
      </c>
      <c r="Q11746" s="1">
        <v>44538</v>
      </c>
      <c r="R11746" t="s">
        <v>27253</v>
      </c>
      <c r="S11746" t="s">
        <v>27254</v>
      </c>
      <c r="T11746" t="s">
        <v>27255</v>
      </c>
    </row>
    <row r="11747" spans="1:20" x14ac:dyDescent="0.3">
      <c r="A11747" t="str">
        <f>"0611830835100"</f>
        <v>0611830835100</v>
      </c>
      <c r="B11747" t="str">
        <f>"LB8522"</f>
        <v>LB8522</v>
      </c>
      <c r="C11747" t="s">
        <v>49949</v>
      </c>
      <c r="D11747" t="s">
        <v>28138</v>
      </c>
      <c r="E11747" t="str">
        <f t="shared" si="183"/>
        <v>001390</v>
      </c>
      <c r="F11747" t="s">
        <v>27246</v>
      </c>
      <c r="G11747" t="s">
        <v>27247</v>
      </c>
      <c r="H11747" t="s">
        <v>27248</v>
      </c>
      <c r="I11747" t="s">
        <v>49950</v>
      </c>
      <c r="J11747" t="s">
        <v>23504</v>
      </c>
      <c r="L11747" t="s">
        <v>27250</v>
      </c>
      <c r="M11747" t="s">
        <v>27251</v>
      </c>
      <c r="N11747" t="s">
        <v>27252</v>
      </c>
      <c r="P11747" t="s">
        <v>27925</v>
      </c>
      <c r="Q11747" s="1">
        <v>44538</v>
      </c>
      <c r="R11747" t="s">
        <v>27253</v>
      </c>
      <c r="S11747" t="s">
        <v>27254</v>
      </c>
      <c r="T11747" t="s">
        <v>27255</v>
      </c>
    </row>
    <row r="11748" spans="1:20" x14ac:dyDescent="0.3">
      <c r="A11748" t="str">
        <f>"0611830837100"</f>
        <v>0611830837100</v>
      </c>
      <c r="B11748" t="str">
        <f>"LB8572"</f>
        <v>LB8572</v>
      </c>
      <c r="C11748" t="s">
        <v>49951</v>
      </c>
      <c r="D11748" t="s">
        <v>28138</v>
      </c>
      <c r="E11748" t="str">
        <f t="shared" si="183"/>
        <v>001390</v>
      </c>
      <c r="F11748" t="s">
        <v>27246</v>
      </c>
      <c r="G11748" t="s">
        <v>27247</v>
      </c>
      <c r="H11748" t="s">
        <v>27248</v>
      </c>
      <c r="I11748" t="s">
        <v>49952</v>
      </c>
      <c r="J11748" t="s">
        <v>23506</v>
      </c>
      <c r="L11748" t="s">
        <v>27250</v>
      </c>
      <c r="M11748" t="s">
        <v>27251</v>
      </c>
      <c r="N11748" t="s">
        <v>27252</v>
      </c>
      <c r="P11748" t="s">
        <v>27925</v>
      </c>
      <c r="Q11748" s="1">
        <v>44538</v>
      </c>
      <c r="R11748" t="s">
        <v>27253</v>
      </c>
      <c r="S11748" t="s">
        <v>27254</v>
      </c>
      <c r="T11748" t="s">
        <v>27255</v>
      </c>
    </row>
    <row r="11749" spans="1:20" x14ac:dyDescent="0.3">
      <c r="A11749" t="str">
        <f>"0611830838100"</f>
        <v>0611830838100</v>
      </c>
      <c r="B11749" t="str">
        <f>"LB8574"</f>
        <v>LB8574</v>
      </c>
      <c r="C11749" t="s">
        <v>49953</v>
      </c>
      <c r="D11749" t="s">
        <v>28138</v>
      </c>
      <c r="E11749" t="str">
        <f t="shared" si="183"/>
        <v>001390</v>
      </c>
      <c r="F11749" t="s">
        <v>27246</v>
      </c>
      <c r="G11749" t="s">
        <v>27247</v>
      </c>
      <c r="H11749" t="s">
        <v>27248</v>
      </c>
      <c r="I11749" t="s">
        <v>49954</v>
      </c>
      <c r="J11749" t="s">
        <v>23508</v>
      </c>
      <c r="L11749" t="s">
        <v>27250</v>
      </c>
      <c r="M11749" t="s">
        <v>27251</v>
      </c>
      <c r="N11749" t="s">
        <v>27252</v>
      </c>
      <c r="P11749" t="s">
        <v>27925</v>
      </c>
      <c r="Q11749" s="1">
        <v>44538</v>
      </c>
      <c r="R11749" t="s">
        <v>27253</v>
      </c>
      <c r="S11749" t="s">
        <v>27254</v>
      </c>
      <c r="T11749" t="s">
        <v>27255</v>
      </c>
    </row>
    <row r="11750" spans="1:20" x14ac:dyDescent="0.3">
      <c r="A11750" t="str">
        <f>"0611830840100"</f>
        <v>0611830840100</v>
      </c>
      <c r="B11750" t="str">
        <f>"LB8576"</f>
        <v>LB8576</v>
      </c>
      <c r="C11750" t="s">
        <v>49955</v>
      </c>
      <c r="D11750" t="s">
        <v>28138</v>
      </c>
      <c r="E11750" t="str">
        <f t="shared" si="183"/>
        <v>001390</v>
      </c>
      <c r="F11750" t="s">
        <v>27246</v>
      </c>
      <c r="G11750" t="s">
        <v>27247</v>
      </c>
      <c r="H11750" t="s">
        <v>27248</v>
      </c>
      <c r="I11750" t="s">
        <v>49956</v>
      </c>
      <c r="J11750" t="s">
        <v>23510</v>
      </c>
      <c r="L11750" t="s">
        <v>27250</v>
      </c>
      <c r="M11750" t="s">
        <v>27251</v>
      </c>
      <c r="N11750" t="s">
        <v>27252</v>
      </c>
      <c r="P11750" t="s">
        <v>27925</v>
      </c>
      <c r="Q11750" s="1">
        <v>44538</v>
      </c>
      <c r="R11750" t="s">
        <v>27253</v>
      </c>
      <c r="S11750" t="s">
        <v>27254</v>
      </c>
      <c r="T11750" t="s">
        <v>27255</v>
      </c>
    </row>
    <row r="11751" spans="1:20" x14ac:dyDescent="0.3">
      <c r="A11751" t="str">
        <f>"0611830841100"</f>
        <v>0611830841100</v>
      </c>
      <c r="B11751" t="str">
        <f>"LB8585"</f>
        <v>LB8585</v>
      </c>
      <c r="C11751" t="s">
        <v>49957</v>
      </c>
      <c r="D11751" t="s">
        <v>28138</v>
      </c>
      <c r="E11751" t="str">
        <f t="shared" si="183"/>
        <v>001390</v>
      </c>
      <c r="F11751" t="s">
        <v>27246</v>
      </c>
      <c r="G11751" t="s">
        <v>27247</v>
      </c>
      <c r="H11751" t="s">
        <v>27248</v>
      </c>
      <c r="I11751" t="s">
        <v>49958</v>
      </c>
      <c r="J11751" t="s">
        <v>23512</v>
      </c>
      <c r="L11751" t="s">
        <v>27250</v>
      </c>
      <c r="M11751" t="s">
        <v>27251</v>
      </c>
      <c r="N11751" t="s">
        <v>27252</v>
      </c>
      <c r="P11751" t="s">
        <v>27925</v>
      </c>
      <c r="Q11751" s="1">
        <v>44538</v>
      </c>
      <c r="R11751" t="s">
        <v>27253</v>
      </c>
      <c r="S11751" t="s">
        <v>27254</v>
      </c>
      <c r="T11751" t="s">
        <v>27255</v>
      </c>
    </row>
    <row r="11752" spans="1:20" x14ac:dyDescent="0.3">
      <c r="A11752" t="str">
        <f>"0611830842100"</f>
        <v>0611830842100</v>
      </c>
      <c r="B11752" t="str">
        <f>"LB8523"</f>
        <v>LB8523</v>
      </c>
      <c r="C11752" t="s">
        <v>49959</v>
      </c>
      <c r="D11752" t="s">
        <v>28138</v>
      </c>
      <c r="E11752" t="str">
        <f t="shared" si="183"/>
        <v>001390</v>
      </c>
      <c r="F11752" t="s">
        <v>27246</v>
      </c>
      <c r="G11752" t="s">
        <v>27247</v>
      </c>
      <c r="H11752" t="s">
        <v>27248</v>
      </c>
      <c r="I11752" t="s">
        <v>49960</v>
      </c>
      <c r="J11752" t="s">
        <v>23514</v>
      </c>
      <c r="L11752" t="s">
        <v>27250</v>
      </c>
      <c r="M11752" t="s">
        <v>27251</v>
      </c>
      <c r="N11752" t="s">
        <v>27252</v>
      </c>
      <c r="P11752" t="s">
        <v>27925</v>
      </c>
      <c r="Q11752" s="1">
        <v>44538</v>
      </c>
      <c r="R11752" t="s">
        <v>27253</v>
      </c>
      <c r="S11752" t="s">
        <v>27254</v>
      </c>
      <c r="T11752" t="s">
        <v>27255</v>
      </c>
    </row>
    <row r="11753" spans="1:20" x14ac:dyDescent="0.3">
      <c r="A11753" t="str">
        <f>"0611830843100"</f>
        <v>0611830843100</v>
      </c>
      <c r="B11753" t="str">
        <f>"LB8586"</f>
        <v>LB8586</v>
      </c>
      <c r="C11753" t="s">
        <v>49961</v>
      </c>
      <c r="D11753" t="s">
        <v>28138</v>
      </c>
      <c r="E11753" t="str">
        <f t="shared" si="183"/>
        <v>001390</v>
      </c>
      <c r="F11753" t="s">
        <v>27246</v>
      </c>
      <c r="G11753" t="s">
        <v>27247</v>
      </c>
      <c r="H11753" t="s">
        <v>27248</v>
      </c>
      <c r="I11753" t="s">
        <v>49962</v>
      </c>
      <c r="J11753" t="s">
        <v>23516</v>
      </c>
      <c r="L11753" t="s">
        <v>27250</v>
      </c>
      <c r="M11753" t="s">
        <v>27251</v>
      </c>
      <c r="N11753" t="s">
        <v>27252</v>
      </c>
      <c r="P11753" t="s">
        <v>27925</v>
      </c>
      <c r="Q11753" s="1">
        <v>44538</v>
      </c>
      <c r="R11753" t="s">
        <v>27253</v>
      </c>
      <c r="S11753" t="s">
        <v>27254</v>
      </c>
      <c r="T11753" t="s">
        <v>27255</v>
      </c>
    </row>
    <row r="11754" spans="1:20" x14ac:dyDescent="0.3">
      <c r="A11754" t="str">
        <f>"0611830846100"</f>
        <v>0611830846100</v>
      </c>
      <c r="B11754" t="str">
        <f>"LK1395"</f>
        <v>LK1395</v>
      </c>
      <c r="C11754" t="s">
        <v>49963</v>
      </c>
      <c r="D11754" t="s">
        <v>28138</v>
      </c>
      <c r="E11754" t="str">
        <f t="shared" si="183"/>
        <v>001390</v>
      </c>
      <c r="F11754" t="s">
        <v>27246</v>
      </c>
      <c r="G11754" t="s">
        <v>27247</v>
      </c>
      <c r="H11754" t="s">
        <v>27248</v>
      </c>
      <c r="I11754" t="s">
        <v>49964</v>
      </c>
      <c r="J11754" t="s">
        <v>23518</v>
      </c>
      <c r="L11754" t="s">
        <v>27250</v>
      </c>
      <c r="M11754" t="s">
        <v>27251</v>
      </c>
      <c r="N11754" t="s">
        <v>27252</v>
      </c>
      <c r="P11754" t="s">
        <v>27925</v>
      </c>
      <c r="Q11754" s="1">
        <v>44538</v>
      </c>
      <c r="R11754" t="s">
        <v>27253</v>
      </c>
      <c r="S11754" t="s">
        <v>27254</v>
      </c>
      <c r="T11754" t="s">
        <v>27255</v>
      </c>
    </row>
    <row r="11755" spans="1:20" x14ac:dyDescent="0.3">
      <c r="A11755" t="str">
        <f>"0611830847100"</f>
        <v>0611830847100</v>
      </c>
      <c r="B11755" t="str">
        <f>"LB8525"</f>
        <v>LB8525</v>
      </c>
      <c r="C11755" t="s">
        <v>49965</v>
      </c>
      <c r="D11755" t="s">
        <v>28138</v>
      </c>
      <c r="E11755" t="str">
        <f t="shared" si="183"/>
        <v>001390</v>
      </c>
      <c r="F11755" t="s">
        <v>27246</v>
      </c>
      <c r="G11755" t="s">
        <v>27247</v>
      </c>
      <c r="H11755" t="s">
        <v>27248</v>
      </c>
      <c r="I11755" t="s">
        <v>49966</v>
      </c>
      <c r="J11755" t="s">
        <v>23520</v>
      </c>
      <c r="L11755" t="s">
        <v>27250</v>
      </c>
      <c r="M11755" t="s">
        <v>27251</v>
      </c>
      <c r="N11755" t="s">
        <v>27252</v>
      </c>
      <c r="P11755" t="s">
        <v>27925</v>
      </c>
      <c r="Q11755" s="1">
        <v>44538</v>
      </c>
      <c r="R11755" t="s">
        <v>27253</v>
      </c>
      <c r="S11755" t="s">
        <v>27254</v>
      </c>
      <c r="T11755" t="s">
        <v>27255</v>
      </c>
    </row>
    <row r="11756" spans="1:20" x14ac:dyDescent="0.3">
      <c r="A11756" t="str">
        <f>"0611830848100"</f>
        <v>0611830848100</v>
      </c>
      <c r="B11756" t="str">
        <f>"LB8601"</f>
        <v>LB8601</v>
      </c>
      <c r="C11756" t="s">
        <v>49967</v>
      </c>
      <c r="D11756" t="s">
        <v>28138</v>
      </c>
      <c r="E11756" t="str">
        <f t="shared" si="183"/>
        <v>001390</v>
      </c>
      <c r="F11756" t="s">
        <v>27246</v>
      </c>
      <c r="G11756" t="s">
        <v>27247</v>
      </c>
      <c r="H11756" t="s">
        <v>27248</v>
      </c>
      <c r="I11756" t="s">
        <v>49968</v>
      </c>
      <c r="J11756" t="s">
        <v>23522</v>
      </c>
      <c r="L11756" t="s">
        <v>27250</v>
      </c>
      <c r="M11756" t="s">
        <v>27251</v>
      </c>
      <c r="N11756" t="s">
        <v>27252</v>
      </c>
      <c r="P11756" t="s">
        <v>27925</v>
      </c>
      <c r="Q11756" s="1">
        <v>44538</v>
      </c>
      <c r="R11756" t="s">
        <v>27253</v>
      </c>
      <c r="S11756" t="s">
        <v>27254</v>
      </c>
      <c r="T11756" t="s">
        <v>27255</v>
      </c>
    </row>
    <row r="11757" spans="1:20" x14ac:dyDescent="0.3">
      <c r="A11757" t="str">
        <f>"0611830849100"</f>
        <v>0611830849100</v>
      </c>
      <c r="B11757" t="str">
        <f>"LB8602"</f>
        <v>LB8602</v>
      </c>
      <c r="C11757" t="s">
        <v>49969</v>
      </c>
      <c r="D11757" t="s">
        <v>28138</v>
      </c>
      <c r="E11757" t="str">
        <f t="shared" si="183"/>
        <v>001390</v>
      </c>
      <c r="F11757" t="s">
        <v>27246</v>
      </c>
      <c r="G11757" t="s">
        <v>27247</v>
      </c>
      <c r="H11757" t="s">
        <v>27248</v>
      </c>
      <c r="I11757" t="s">
        <v>49970</v>
      </c>
      <c r="J11757" t="s">
        <v>23524</v>
      </c>
      <c r="L11757" t="s">
        <v>27250</v>
      </c>
      <c r="M11757" t="s">
        <v>27251</v>
      </c>
      <c r="N11757" t="s">
        <v>27252</v>
      </c>
      <c r="P11757" t="s">
        <v>27925</v>
      </c>
      <c r="Q11757" s="1">
        <v>44538</v>
      </c>
      <c r="R11757" t="s">
        <v>27253</v>
      </c>
      <c r="S11757" t="s">
        <v>27254</v>
      </c>
      <c r="T11757" t="s">
        <v>27255</v>
      </c>
    </row>
    <row r="11758" spans="1:20" x14ac:dyDescent="0.3">
      <c r="A11758" t="str">
        <f>"0611830850100"</f>
        <v>0611830850100</v>
      </c>
      <c r="B11758" t="str">
        <f>"LB8747"</f>
        <v>LB8747</v>
      </c>
      <c r="C11758" t="s">
        <v>49971</v>
      </c>
      <c r="D11758" t="s">
        <v>27245</v>
      </c>
      <c r="E11758" t="str">
        <f t="shared" si="183"/>
        <v>001390</v>
      </c>
      <c r="F11758" t="s">
        <v>27246</v>
      </c>
      <c r="G11758" t="s">
        <v>27247</v>
      </c>
      <c r="H11758" t="s">
        <v>27248</v>
      </c>
      <c r="I11758" t="s">
        <v>49972</v>
      </c>
      <c r="J11758" t="s">
        <v>23528</v>
      </c>
      <c r="L11758" t="s">
        <v>27250</v>
      </c>
      <c r="M11758" t="s">
        <v>27251</v>
      </c>
      <c r="N11758" t="s">
        <v>27252</v>
      </c>
      <c r="Q11758" s="1">
        <v>44538</v>
      </c>
      <c r="R11758" t="s">
        <v>27253</v>
      </c>
      <c r="S11758" t="s">
        <v>27254</v>
      </c>
      <c r="T11758" t="s">
        <v>27255</v>
      </c>
    </row>
    <row r="11759" spans="1:20" x14ac:dyDescent="0.3">
      <c r="A11759" t="str">
        <f>"0611830851100"</f>
        <v>0611830851100</v>
      </c>
      <c r="B11759" t="str">
        <f>"LB8643"</f>
        <v>LB8643</v>
      </c>
      <c r="C11759" t="s">
        <v>49973</v>
      </c>
      <c r="D11759" t="s">
        <v>27245</v>
      </c>
      <c r="E11759" t="str">
        <f t="shared" si="183"/>
        <v>001390</v>
      </c>
      <c r="F11759" t="s">
        <v>27246</v>
      </c>
      <c r="G11759" t="s">
        <v>27247</v>
      </c>
      <c r="H11759" t="s">
        <v>27248</v>
      </c>
      <c r="I11759" t="s">
        <v>49974</v>
      </c>
      <c r="J11759" t="s">
        <v>23530</v>
      </c>
      <c r="L11759" t="s">
        <v>27250</v>
      </c>
      <c r="M11759" t="s">
        <v>27251</v>
      </c>
      <c r="N11759" t="s">
        <v>27252</v>
      </c>
      <c r="Q11759" s="1">
        <v>44538</v>
      </c>
      <c r="R11759" t="s">
        <v>27253</v>
      </c>
      <c r="S11759" t="s">
        <v>27254</v>
      </c>
      <c r="T11759" t="s">
        <v>27255</v>
      </c>
    </row>
    <row r="11760" spans="1:20" x14ac:dyDescent="0.3">
      <c r="A11760" t="str">
        <f>"0611830852100"</f>
        <v>0611830852100</v>
      </c>
      <c r="B11760" t="str">
        <f>"LB8748"</f>
        <v>LB8748</v>
      </c>
      <c r="C11760" t="s">
        <v>49975</v>
      </c>
      <c r="D11760" t="s">
        <v>27245</v>
      </c>
      <c r="E11760" t="str">
        <f t="shared" si="183"/>
        <v>001390</v>
      </c>
      <c r="F11760" t="s">
        <v>27246</v>
      </c>
      <c r="G11760" t="s">
        <v>27247</v>
      </c>
      <c r="H11760" t="s">
        <v>27248</v>
      </c>
      <c r="I11760" t="s">
        <v>49976</v>
      </c>
      <c r="J11760" t="s">
        <v>23532</v>
      </c>
      <c r="L11760" t="s">
        <v>27250</v>
      </c>
      <c r="M11760" t="s">
        <v>27251</v>
      </c>
      <c r="N11760" t="s">
        <v>27252</v>
      </c>
      <c r="Q11760" s="1">
        <v>44538</v>
      </c>
      <c r="R11760" t="s">
        <v>27253</v>
      </c>
      <c r="S11760" t="s">
        <v>27254</v>
      </c>
      <c r="T11760" t="s">
        <v>27255</v>
      </c>
    </row>
    <row r="11761" spans="1:20" x14ac:dyDescent="0.3">
      <c r="A11761" t="str">
        <f>"0611830853100"</f>
        <v>0611830853100</v>
      </c>
      <c r="B11761" t="str">
        <f>"LB8644"</f>
        <v>LB8644</v>
      </c>
      <c r="C11761" t="s">
        <v>49977</v>
      </c>
      <c r="D11761" t="s">
        <v>27245</v>
      </c>
      <c r="E11761" t="str">
        <f t="shared" si="183"/>
        <v>001390</v>
      </c>
      <c r="F11761" t="s">
        <v>27246</v>
      </c>
      <c r="G11761" t="s">
        <v>27247</v>
      </c>
      <c r="H11761" t="s">
        <v>27248</v>
      </c>
      <c r="I11761" t="s">
        <v>49978</v>
      </c>
      <c r="J11761" t="s">
        <v>23534</v>
      </c>
      <c r="L11761" t="s">
        <v>27250</v>
      </c>
      <c r="M11761" t="s">
        <v>27251</v>
      </c>
      <c r="N11761" t="s">
        <v>27252</v>
      </c>
      <c r="Q11761" s="1">
        <v>44538</v>
      </c>
      <c r="R11761" t="s">
        <v>27253</v>
      </c>
      <c r="S11761" t="s">
        <v>27254</v>
      </c>
      <c r="T11761" t="s">
        <v>27255</v>
      </c>
    </row>
    <row r="11762" spans="1:20" x14ac:dyDescent="0.3">
      <c r="A11762" t="str">
        <f>"0611830854100"</f>
        <v>0611830854100</v>
      </c>
      <c r="B11762" t="str">
        <f>"LB8750"</f>
        <v>LB8750</v>
      </c>
      <c r="C11762" t="s">
        <v>49979</v>
      </c>
      <c r="D11762" t="s">
        <v>27245</v>
      </c>
      <c r="E11762" t="str">
        <f t="shared" si="183"/>
        <v>001390</v>
      </c>
      <c r="F11762" t="s">
        <v>27246</v>
      </c>
      <c r="G11762" t="s">
        <v>27247</v>
      </c>
      <c r="H11762" t="s">
        <v>27248</v>
      </c>
      <c r="I11762" t="s">
        <v>49980</v>
      </c>
      <c r="J11762" t="s">
        <v>23536</v>
      </c>
      <c r="L11762" t="s">
        <v>27250</v>
      </c>
      <c r="M11762" t="s">
        <v>27251</v>
      </c>
      <c r="N11762" t="s">
        <v>27252</v>
      </c>
      <c r="Q11762" s="1">
        <v>44538</v>
      </c>
      <c r="R11762" t="s">
        <v>27253</v>
      </c>
      <c r="S11762" t="s">
        <v>27254</v>
      </c>
      <c r="T11762" t="s">
        <v>27255</v>
      </c>
    </row>
    <row r="11763" spans="1:20" x14ac:dyDescent="0.3">
      <c r="A11763" t="str">
        <f>"0611830855100"</f>
        <v>0611830855100</v>
      </c>
      <c r="B11763" t="str">
        <f>"LK0036"</f>
        <v>LK0036</v>
      </c>
      <c r="C11763" t="s">
        <v>49981</v>
      </c>
      <c r="D11763" t="s">
        <v>27245</v>
      </c>
      <c r="E11763" t="str">
        <f t="shared" si="183"/>
        <v>001390</v>
      </c>
      <c r="F11763" t="s">
        <v>27246</v>
      </c>
      <c r="G11763" t="s">
        <v>27247</v>
      </c>
      <c r="H11763" t="s">
        <v>27248</v>
      </c>
      <c r="I11763" t="s">
        <v>49982</v>
      </c>
      <c r="J11763" t="s">
        <v>23538</v>
      </c>
      <c r="L11763" t="s">
        <v>27250</v>
      </c>
      <c r="M11763" t="s">
        <v>27251</v>
      </c>
      <c r="N11763" t="s">
        <v>27252</v>
      </c>
      <c r="Q11763" s="1">
        <v>44538</v>
      </c>
      <c r="R11763" t="s">
        <v>27253</v>
      </c>
      <c r="S11763" t="s">
        <v>27254</v>
      </c>
      <c r="T11763" t="s">
        <v>27255</v>
      </c>
    </row>
    <row r="11764" spans="1:20" x14ac:dyDescent="0.3">
      <c r="A11764" t="str">
        <f>"0611830856100"</f>
        <v>0611830856100</v>
      </c>
      <c r="B11764" t="str">
        <f>"LB8755"</f>
        <v>LB8755</v>
      </c>
      <c r="C11764" t="s">
        <v>49983</v>
      </c>
      <c r="D11764" t="s">
        <v>27245</v>
      </c>
      <c r="E11764" t="str">
        <f t="shared" si="183"/>
        <v>001390</v>
      </c>
      <c r="F11764" t="s">
        <v>27246</v>
      </c>
      <c r="G11764" t="s">
        <v>27247</v>
      </c>
      <c r="H11764" t="s">
        <v>27248</v>
      </c>
      <c r="I11764" t="s">
        <v>49984</v>
      </c>
      <c r="J11764" t="s">
        <v>23540</v>
      </c>
      <c r="L11764" t="s">
        <v>27250</v>
      </c>
      <c r="M11764" t="s">
        <v>27251</v>
      </c>
      <c r="N11764" t="s">
        <v>27252</v>
      </c>
      <c r="Q11764" s="1">
        <v>44538</v>
      </c>
      <c r="R11764" t="s">
        <v>27253</v>
      </c>
      <c r="S11764" t="s">
        <v>27254</v>
      </c>
      <c r="T11764" t="s">
        <v>27255</v>
      </c>
    </row>
    <row r="11765" spans="1:20" x14ac:dyDescent="0.3">
      <c r="A11765" t="str">
        <f>"0611830857100"</f>
        <v>0611830857100</v>
      </c>
      <c r="B11765" t="str">
        <f>"LB8757"</f>
        <v>LB8757</v>
      </c>
      <c r="C11765" t="s">
        <v>49985</v>
      </c>
      <c r="D11765" t="s">
        <v>27245</v>
      </c>
      <c r="E11765" t="str">
        <f t="shared" si="183"/>
        <v>001390</v>
      </c>
      <c r="F11765" t="s">
        <v>27246</v>
      </c>
      <c r="G11765" t="s">
        <v>27247</v>
      </c>
      <c r="H11765" t="s">
        <v>27248</v>
      </c>
      <c r="I11765" t="s">
        <v>49986</v>
      </c>
      <c r="J11765" t="s">
        <v>23542</v>
      </c>
      <c r="L11765" t="s">
        <v>27250</v>
      </c>
      <c r="M11765" t="s">
        <v>27251</v>
      </c>
      <c r="N11765" t="s">
        <v>27252</v>
      </c>
      <c r="O11765">
        <v>100</v>
      </c>
      <c r="Q11765" s="1">
        <v>44538</v>
      </c>
      <c r="R11765" t="s">
        <v>27253</v>
      </c>
      <c r="S11765" t="s">
        <v>27254</v>
      </c>
      <c r="T11765" t="s">
        <v>27255</v>
      </c>
    </row>
    <row r="11766" spans="1:20" x14ac:dyDescent="0.3">
      <c r="A11766" t="str">
        <f>"0611830858100"</f>
        <v>0611830858100</v>
      </c>
      <c r="B11766" t="str">
        <f>"LB8758"</f>
        <v>LB8758</v>
      </c>
      <c r="C11766" t="s">
        <v>49987</v>
      </c>
      <c r="D11766" t="s">
        <v>27245</v>
      </c>
      <c r="E11766" t="str">
        <f t="shared" si="183"/>
        <v>001390</v>
      </c>
      <c r="F11766" t="s">
        <v>27246</v>
      </c>
      <c r="G11766" t="s">
        <v>27247</v>
      </c>
      <c r="H11766" t="s">
        <v>27248</v>
      </c>
      <c r="I11766" t="s">
        <v>49988</v>
      </c>
      <c r="J11766" t="s">
        <v>23544</v>
      </c>
      <c r="L11766" t="s">
        <v>27250</v>
      </c>
      <c r="M11766" t="s">
        <v>27251</v>
      </c>
      <c r="N11766" t="s">
        <v>27252</v>
      </c>
      <c r="Q11766" s="1">
        <v>44538</v>
      </c>
      <c r="R11766" t="s">
        <v>27253</v>
      </c>
      <c r="S11766" t="s">
        <v>27254</v>
      </c>
      <c r="T11766" t="s">
        <v>27255</v>
      </c>
    </row>
    <row r="11767" spans="1:20" x14ac:dyDescent="0.3">
      <c r="A11767" t="str">
        <f>"0611830859100"</f>
        <v>0611830859100</v>
      </c>
      <c r="B11767" t="str">
        <f>"LB8760"</f>
        <v>LB8760</v>
      </c>
      <c r="C11767" t="s">
        <v>49989</v>
      </c>
      <c r="D11767" t="s">
        <v>27245</v>
      </c>
      <c r="E11767" t="str">
        <f t="shared" si="183"/>
        <v>001390</v>
      </c>
      <c r="F11767" t="s">
        <v>27246</v>
      </c>
      <c r="G11767" t="s">
        <v>27247</v>
      </c>
      <c r="H11767" t="s">
        <v>27248</v>
      </c>
      <c r="I11767" t="s">
        <v>49990</v>
      </c>
      <c r="J11767" t="s">
        <v>23546</v>
      </c>
      <c r="L11767" t="s">
        <v>27250</v>
      </c>
      <c r="M11767" t="s">
        <v>27251</v>
      </c>
      <c r="N11767" t="s">
        <v>27252</v>
      </c>
      <c r="Q11767" s="1">
        <v>44538</v>
      </c>
      <c r="R11767" t="s">
        <v>27253</v>
      </c>
      <c r="S11767" t="s">
        <v>27254</v>
      </c>
      <c r="T11767" t="s">
        <v>27255</v>
      </c>
    </row>
    <row r="11768" spans="1:20" x14ac:dyDescent="0.3">
      <c r="A11768" t="str">
        <f>"0611830860100"</f>
        <v>0611830860100</v>
      </c>
      <c r="B11768" t="str">
        <f>"LB8762"</f>
        <v>LB8762</v>
      </c>
      <c r="C11768" t="s">
        <v>49991</v>
      </c>
      <c r="D11768" t="s">
        <v>27245</v>
      </c>
      <c r="E11768" t="str">
        <f t="shared" si="183"/>
        <v>001390</v>
      </c>
      <c r="F11768" t="s">
        <v>27246</v>
      </c>
      <c r="G11768" t="s">
        <v>27247</v>
      </c>
      <c r="H11768" t="s">
        <v>27248</v>
      </c>
      <c r="I11768" t="s">
        <v>49992</v>
      </c>
      <c r="J11768" t="s">
        <v>23548</v>
      </c>
      <c r="L11768" t="s">
        <v>27250</v>
      </c>
      <c r="M11768" t="s">
        <v>27251</v>
      </c>
      <c r="N11768" t="s">
        <v>27252</v>
      </c>
      <c r="Q11768" s="1">
        <v>44538</v>
      </c>
      <c r="R11768" t="s">
        <v>27253</v>
      </c>
      <c r="S11768" t="s">
        <v>27254</v>
      </c>
      <c r="T11768" t="s">
        <v>27255</v>
      </c>
    </row>
    <row r="11769" spans="1:20" x14ac:dyDescent="0.3">
      <c r="A11769" t="str">
        <f>"0611830861100"</f>
        <v>0611830861100</v>
      </c>
      <c r="B11769" t="str">
        <f>"LK6294"</f>
        <v>LK6294</v>
      </c>
      <c r="C11769" t="s">
        <v>49993</v>
      </c>
      <c r="D11769" t="s">
        <v>27245</v>
      </c>
      <c r="E11769" t="str">
        <f t="shared" si="183"/>
        <v>001390</v>
      </c>
      <c r="F11769" t="s">
        <v>27246</v>
      </c>
      <c r="G11769" t="s">
        <v>27247</v>
      </c>
      <c r="H11769" t="s">
        <v>27248</v>
      </c>
      <c r="I11769" t="s">
        <v>49994</v>
      </c>
      <c r="J11769" t="s">
        <v>23552</v>
      </c>
      <c r="L11769" t="s">
        <v>27250</v>
      </c>
      <c r="M11769" t="s">
        <v>27251</v>
      </c>
      <c r="N11769" t="s">
        <v>27252</v>
      </c>
      <c r="Q11769" s="1">
        <v>44538</v>
      </c>
      <c r="R11769" t="s">
        <v>27253</v>
      </c>
      <c r="S11769" t="s">
        <v>27254</v>
      </c>
      <c r="T11769" t="s">
        <v>27255</v>
      </c>
    </row>
    <row r="11770" spans="1:20" x14ac:dyDescent="0.3">
      <c r="A11770" t="str">
        <f>"0611830862100"</f>
        <v>0611830862100</v>
      </c>
      <c r="B11770" t="str">
        <f>"LK4429"</f>
        <v>LK4429</v>
      </c>
      <c r="C11770" t="s">
        <v>49995</v>
      </c>
      <c r="D11770" t="s">
        <v>27245</v>
      </c>
      <c r="E11770" t="str">
        <f t="shared" si="183"/>
        <v>001390</v>
      </c>
      <c r="F11770" t="s">
        <v>27246</v>
      </c>
      <c r="G11770" t="s">
        <v>27247</v>
      </c>
      <c r="H11770" t="s">
        <v>27248</v>
      </c>
      <c r="I11770" t="s">
        <v>49996</v>
      </c>
      <c r="J11770" t="s">
        <v>23554</v>
      </c>
      <c r="L11770" t="s">
        <v>27250</v>
      </c>
      <c r="M11770" t="s">
        <v>27251</v>
      </c>
      <c r="N11770" t="s">
        <v>27252</v>
      </c>
      <c r="Q11770" s="1">
        <v>44538</v>
      </c>
      <c r="R11770" t="s">
        <v>27253</v>
      </c>
      <c r="S11770" t="s">
        <v>27254</v>
      </c>
      <c r="T11770" t="s">
        <v>27255</v>
      </c>
    </row>
    <row r="11771" spans="1:20" x14ac:dyDescent="0.3">
      <c r="A11771" t="str">
        <f>"0611830863100"</f>
        <v>0611830863100</v>
      </c>
      <c r="B11771" t="str">
        <f>"LK4044"</f>
        <v>LK4044</v>
      </c>
      <c r="C11771" t="s">
        <v>49997</v>
      </c>
      <c r="D11771" t="s">
        <v>27245</v>
      </c>
      <c r="E11771" t="str">
        <f t="shared" si="183"/>
        <v>001390</v>
      </c>
      <c r="F11771" t="s">
        <v>27246</v>
      </c>
      <c r="G11771" t="s">
        <v>27247</v>
      </c>
      <c r="H11771" t="s">
        <v>27248</v>
      </c>
      <c r="I11771" t="s">
        <v>49998</v>
      </c>
      <c r="J11771" t="s">
        <v>23556</v>
      </c>
      <c r="L11771" t="s">
        <v>27250</v>
      </c>
      <c r="M11771" t="s">
        <v>27251</v>
      </c>
      <c r="N11771" t="s">
        <v>27252</v>
      </c>
      <c r="Q11771" s="1">
        <v>44538</v>
      </c>
      <c r="R11771" t="s">
        <v>27253</v>
      </c>
      <c r="S11771" t="s">
        <v>27254</v>
      </c>
      <c r="T11771" t="s">
        <v>27255</v>
      </c>
    </row>
    <row r="11772" spans="1:20" x14ac:dyDescent="0.3">
      <c r="A11772" t="str">
        <f>"0611830864100"</f>
        <v>0611830864100</v>
      </c>
      <c r="B11772" t="str">
        <f>"LK1999"</f>
        <v>LK1999</v>
      </c>
      <c r="C11772" t="s">
        <v>49999</v>
      </c>
      <c r="D11772" t="s">
        <v>27245</v>
      </c>
      <c r="E11772" t="str">
        <f t="shared" si="183"/>
        <v>001390</v>
      </c>
      <c r="F11772" t="s">
        <v>27246</v>
      </c>
      <c r="G11772" t="s">
        <v>27247</v>
      </c>
      <c r="H11772" t="s">
        <v>27248</v>
      </c>
      <c r="I11772" t="s">
        <v>50000</v>
      </c>
      <c r="J11772" t="s">
        <v>23558</v>
      </c>
      <c r="L11772" t="s">
        <v>27250</v>
      </c>
      <c r="M11772" t="s">
        <v>27251</v>
      </c>
      <c r="N11772" t="s">
        <v>27252</v>
      </c>
      <c r="Q11772" s="1">
        <v>44538</v>
      </c>
      <c r="R11772" t="s">
        <v>27253</v>
      </c>
      <c r="S11772" t="s">
        <v>27254</v>
      </c>
      <c r="T11772" t="s">
        <v>27255</v>
      </c>
    </row>
    <row r="11773" spans="1:20" x14ac:dyDescent="0.3">
      <c r="A11773" t="str">
        <f>"0611830865100"</f>
        <v>0611830865100</v>
      </c>
      <c r="B11773" t="str">
        <f>"LK6343"</f>
        <v>LK6343</v>
      </c>
      <c r="C11773" t="s">
        <v>50001</v>
      </c>
      <c r="D11773" t="s">
        <v>27245</v>
      </c>
      <c r="E11773" t="str">
        <f t="shared" si="183"/>
        <v>001390</v>
      </c>
      <c r="F11773" t="s">
        <v>27246</v>
      </c>
      <c r="G11773" t="s">
        <v>27247</v>
      </c>
      <c r="H11773" t="s">
        <v>27248</v>
      </c>
      <c r="I11773" t="s">
        <v>50002</v>
      </c>
      <c r="J11773" t="s">
        <v>23562</v>
      </c>
      <c r="L11773" t="s">
        <v>27250</v>
      </c>
      <c r="M11773" t="s">
        <v>27251</v>
      </c>
      <c r="N11773" t="s">
        <v>27252</v>
      </c>
      <c r="Q11773" s="1">
        <v>44538</v>
      </c>
      <c r="R11773" t="s">
        <v>27253</v>
      </c>
      <c r="S11773" t="s">
        <v>27254</v>
      </c>
      <c r="T11773" t="s">
        <v>27255</v>
      </c>
    </row>
    <row r="11774" spans="1:20" x14ac:dyDescent="0.3">
      <c r="A11774" t="str">
        <f>"0611830866100"</f>
        <v>0611830866100</v>
      </c>
      <c r="B11774" t="str">
        <f>"LK6013"</f>
        <v>LK6013</v>
      </c>
      <c r="C11774" t="s">
        <v>50003</v>
      </c>
      <c r="D11774" t="s">
        <v>27245</v>
      </c>
      <c r="E11774" t="str">
        <f t="shared" si="183"/>
        <v>001390</v>
      </c>
      <c r="F11774" t="s">
        <v>27246</v>
      </c>
      <c r="G11774" t="s">
        <v>27247</v>
      </c>
      <c r="H11774" t="s">
        <v>27248</v>
      </c>
      <c r="I11774" t="s">
        <v>50004</v>
      </c>
      <c r="J11774" t="s">
        <v>23560</v>
      </c>
      <c r="L11774" t="s">
        <v>27250</v>
      </c>
      <c r="M11774" t="s">
        <v>27251</v>
      </c>
      <c r="N11774" t="s">
        <v>27252</v>
      </c>
      <c r="Q11774" s="1">
        <v>44538</v>
      </c>
      <c r="R11774" t="s">
        <v>27253</v>
      </c>
      <c r="S11774" t="s">
        <v>27254</v>
      </c>
      <c r="T11774" t="s">
        <v>27255</v>
      </c>
    </row>
    <row r="11775" spans="1:20" x14ac:dyDescent="0.3">
      <c r="A11775" t="str">
        <f>"0611830867100"</f>
        <v>0611830867100</v>
      </c>
      <c r="B11775" t="str">
        <f>"LK4045"</f>
        <v>LK4045</v>
      </c>
      <c r="C11775" t="s">
        <v>50005</v>
      </c>
      <c r="D11775" t="s">
        <v>27245</v>
      </c>
      <c r="E11775" t="str">
        <f t="shared" si="183"/>
        <v>001390</v>
      </c>
      <c r="F11775" t="s">
        <v>27246</v>
      </c>
      <c r="G11775" t="s">
        <v>27247</v>
      </c>
      <c r="H11775" t="s">
        <v>27248</v>
      </c>
      <c r="I11775" t="s">
        <v>50006</v>
      </c>
      <c r="J11775" t="s">
        <v>23564</v>
      </c>
      <c r="L11775" t="s">
        <v>27250</v>
      </c>
      <c r="M11775" t="s">
        <v>27251</v>
      </c>
      <c r="N11775" t="s">
        <v>27252</v>
      </c>
      <c r="Q11775" s="1">
        <v>44538</v>
      </c>
      <c r="R11775" t="s">
        <v>27253</v>
      </c>
      <c r="S11775" t="s">
        <v>27254</v>
      </c>
      <c r="T11775" t="s">
        <v>27255</v>
      </c>
    </row>
    <row r="11776" spans="1:20" x14ac:dyDescent="0.3">
      <c r="A11776" t="str">
        <f>"0611830868100"</f>
        <v>0611830868100</v>
      </c>
      <c r="B11776" t="str">
        <f>"LK6344"</f>
        <v>LK6344</v>
      </c>
      <c r="C11776" t="s">
        <v>50007</v>
      </c>
      <c r="D11776" t="s">
        <v>27245</v>
      </c>
      <c r="E11776" t="str">
        <f t="shared" si="183"/>
        <v>001390</v>
      </c>
      <c r="F11776" t="s">
        <v>27246</v>
      </c>
      <c r="G11776" t="s">
        <v>27247</v>
      </c>
      <c r="H11776" t="s">
        <v>27248</v>
      </c>
      <c r="I11776" t="s">
        <v>50008</v>
      </c>
      <c r="J11776" t="s">
        <v>23566</v>
      </c>
      <c r="L11776" t="s">
        <v>27250</v>
      </c>
      <c r="M11776" t="s">
        <v>27251</v>
      </c>
      <c r="N11776" t="s">
        <v>27252</v>
      </c>
      <c r="Q11776" s="1">
        <v>44538</v>
      </c>
      <c r="R11776" t="s">
        <v>27253</v>
      </c>
      <c r="S11776" t="s">
        <v>27254</v>
      </c>
      <c r="T11776" t="s">
        <v>27255</v>
      </c>
    </row>
    <row r="11777" spans="1:20" x14ac:dyDescent="0.3">
      <c r="A11777" t="str">
        <f>"0611830869100"</f>
        <v>0611830869100</v>
      </c>
      <c r="B11777" t="str">
        <f>"LK2000"</f>
        <v>LK2000</v>
      </c>
      <c r="C11777" t="s">
        <v>50009</v>
      </c>
      <c r="D11777" t="s">
        <v>27245</v>
      </c>
      <c r="E11777" t="str">
        <f t="shared" si="183"/>
        <v>001390</v>
      </c>
      <c r="F11777" t="s">
        <v>27246</v>
      </c>
      <c r="G11777" t="s">
        <v>27247</v>
      </c>
      <c r="H11777" t="s">
        <v>27248</v>
      </c>
      <c r="I11777" t="s">
        <v>50010</v>
      </c>
      <c r="J11777" t="s">
        <v>23568</v>
      </c>
      <c r="L11777" t="s">
        <v>27250</v>
      </c>
      <c r="M11777" t="s">
        <v>27251</v>
      </c>
      <c r="N11777" t="s">
        <v>27252</v>
      </c>
      <c r="Q11777" s="1">
        <v>44538</v>
      </c>
      <c r="R11777" t="s">
        <v>27253</v>
      </c>
      <c r="S11777" t="s">
        <v>27254</v>
      </c>
      <c r="T11777" t="s">
        <v>27255</v>
      </c>
    </row>
    <row r="11778" spans="1:20" x14ac:dyDescent="0.3">
      <c r="A11778" t="str">
        <f>"0611830870100"</f>
        <v>0611830870100</v>
      </c>
      <c r="B11778" t="str">
        <f>"LK2001"</f>
        <v>LK2001</v>
      </c>
      <c r="C11778" t="s">
        <v>50011</v>
      </c>
      <c r="D11778" t="s">
        <v>27245</v>
      </c>
      <c r="E11778" t="str">
        <f t="shared" ref="E11778:E11841" si="184">"001390"</f>
        <v>001390</v>
      </c>
      <c r="F11778" t="s">
        <v>27246</v>
      </c>
      <c r="G11778" t="s">
        <v>27247</v>
      </c>
      <c r="H11778" t="s">
        <v>27248</v>
      </c>
      <c r="I11778" t="s">
        <v>50012</v>
      </c>
      <c r="J11778" t="s">
        <v>23570</v>
      </c>
      <c r="L11778" t="s">
        <v>27250</v>
      </c>
      <c r="M11778" t="s">
        <v>27251</v>
      </c>
      <c r="N11778" t="s">
        <v>27252</v>
      </c>
      <c r="Q11778" s="1">
        <v>44538</v>
      </c>
      <c r="R11778" t="s">
        <v>27253</v>
      </c>
      <c r="S11778" t="s">
        <v>27254</v>
      </c>
      <c r="T11778" t="s">
        <v>27255</v>
      </c>
    </row>
    <row r="11779" spans="1:20" x14ac:dyDescent="0.3">
      <c r="A11779" t="str">
        <f>"0611830871100"</f>
        <v>0611830871100</v>
      </c>
      <c r="B11779" t="str">
        <f>"LK2002"</f>
        <v>LK2002</v>
      </c>
      <c r="C11779" t="s">
        <v>50013</v>
      </c>
      <c r="D11779" t="s">
        <v>27245</v>
      </c>
      <c r="E11779" t="str">
        <f t="shared" si="184"/>
        <v>001390</v>
      </c>
      <c r="F11779" t="s">
        <v>27246</v>
      </c>
      <c r="G11779" t="s">
        <v>27247</v>
      </c>
      <c r="H11779" t="s">
        <v>27248</v>
      </c>
      <c r="I11779" t="s">
        <v>50014</v>
      </c>
      <c r="J11779" t="s">
        <v>23572</v>
      </c>
      <c r="L11779" t="s">
        <v>27250</v>
      </c>
      <c r="M11779" t="s">
        <v>27251</v>
      </c>
      <c r="N11779" t="s">
        <v>27252</v>
      </c>
      <c r="Q11779" s="1">
        <v>44538</v>
      </c>
      <c r="R11779" t="s">
        <v>27253</v>
      </c>
      <c r="S11779" t="s">
        <v>27254</v>
      </c>
      <c r="T11779" t="s">
        <v>27255</v>
      </c>
    </row>
    <row r="11780" spans="1:20" x14ac:dyDescent="0.3">
      <c r="A11780" t="str">
        <f>"0611830872100"</f>
        <v>0611830872100</v>
      </c>
      <c r="B11780" t="str">
        <f>"LK6144"</f>
        <v>LK6144</v>
      </c>
      <c r="C11780" t="s">
        <v>50015</v>
      </c>
      <c r="D11780" t="s">
        <v>27245</v>
      </c>
      <c r="E11780" t="str">
        <f t="shared" si="184"/>
        <v>001390</v>
      </c>
      <c r="F11780" t="s">
        <v>27246</v>
      </c>
      <c r="G11780" t="s">
        <v>27247</v>
      </c>
      <c r="H11780" t="s">
        <v>27248</v>
      </c>
      <c r="I11780" t="s">
        <v>50016</v>
      </c>
      <c r="J11780" t="s">
        <v>23574</v>
      </c>
      <c r="L11780" t="s">
        <v>27250</v>
      </c>
      <c r="M11780" t="s">
        <v>27251</v>
      </c>
      <c r="N11780" t="s">
        <v>27252</v>
      </c>
      <c r="Q11780" s="1">
        <v>44538</v>
      </c>
      <c r="R11780" t="s">
        <v>27253</v>
      </c>
      <c r="S11780" t="s">
        <v>27254</v>
      </c>
      <c r="T11780" t="s">
        <v>27255</v>
      </c>
    </row>
    <row r="11781" spans="1:20" x14ac:dyDescent="0.3">
      <c r="A11781" t="str">
        <f>"0611830874100"</f>
        <v>0611830874100</v>
      </c>
      <c r="B11781" t="str">
        <f>"LK2003"</f>
        <v>LK2003</v>
      </c>
      <c r="C11781" t="s">
        <v>50017</v>
      </c>
      <c r="D11781" t="s">
        <v>27245</v>
      </c>
      <c r="E11781" t="str">
        <f t="shared" si="184"/>
        <v>001390</v>
      </c>
      <c r="F11781" t="s">
        <v>27246</v>
      </c>
      <c r="G11781" t="s">
        <v>27247</v>
      </c>
      <c r="H11781" t="s">
        <v>27248</v>
      </c>
      <c r="I11781" t="s">
        <v>50018</v>
      </c>
      <c r="J11781" t="s">
        <v>23576</v>
      </c>
      <c r="L11781" t="s">
        <v>27250</v>
      </c>
      <c r="M11781" t="s">
        <v>27251</v>
      </c>
      <c r="N11781" t="s">
        <v>27252</v>
      </c>
      <c r="Q11781" s="1">
        <v>44538</v>
      </c>
      <c r="R11781" t="s">
        <v>27253</v>
      </c>
      <c r="S11781" t="s">
        <v>27254</v>
      </c>
      <c r="T11781" t="s">
        <v>27255</v>
      </c>
    </row>
    <row r="11782" spans="1:20" x14ac:dyDescent="0.3">
      <c r="A11782" t="str">
        <f>"0611830875100"</f>
        <v>0611830875100</v>
      </c>
      <c r="B11782" t="str">
        <f>"LK2004"</f>
        <v>LK2004</v>
      </c>
      <c r="C11782" t="s">
        <v>50019</v>
      </c>
      <c r="D11782" t="s">
        <v>27245</v>
      </c>
      <c r="E11782" t="str">
        <f t="shared" si="184"/>
        <v>001390</v>
      </c>
      <c r="F11782" t="s">
        <v>27246</v>
      </c>
      <c r="G11782" t="s">
        <v>27247</v>
      </c>
      <c r="H11782" t="s">
        <v>27248</v>
      </c>
      <c r="I11782" t="s">
        <v>50020</v>
      </c>
      <c r="J11782" t="s">
        <v>23578</v>
      </c>
      <c r="L11782" t="s">
        <v>27250</v>
      </c>
      <c r="M11782" t="s">
        <v>27251</v>
      </c>
      <c r="N11782" t="s">
        <v>27252</v>
      </c>
      <c r="Q11782" s="1">
        <v>44538</v>
      </c>
      <c r="R11782" t="s">
        <v>27253</v>
      </c>
      <c r="S11782" t="s">
        <v>27254</v>
      </c>
      <c r="T11782" t="s">
        <v>27255</v>
      </c>
    </row>
    <row r="11783" spans="1:20" x14ac:dyDescent="0.3">
      <c r="A11783" t="str">
        <f>"0611830876100"</f>
        <v>0611830876100</v>
      </c>
      <c r="B11783" t="str">
        <f>"LK2005"</f>
        <v>LK2005</v>
      </c>
      <c r="C11783" t="s">
        <v>50021</v>
      </c>
      <c r="D11783" t="s">
        <v>27245</v>
      </c>
      <c r="E11783" t="str">
        <f t="shared" si="184"/>
        <v>001390</v>
      </c>
      <c r="F11783" t="s">
        <v>27246</v>
      </c>
      <c r="G11783" t="s">
        <v>27247</v>
      </c>
      <c r="H11783" t="s">
        <v>27248</v>
      </c>
      <c r="I11783" t="s">
        <v>50022</v>
      </c>
      <c r="J11783" t="s">
        <v>23580</v>
      </c>
      <c r="L11783" t="s">
        <v>27250</v>
      </c>
      <c r="M11783" t="s">
        <v>27251</v>
      </c>
      <c r="N11783" t="s">
        <v>27252</v>
      </c>
      <c r="Q11783" s="1">
        <v>44538</v>
      </c>
      <c r="R11783" t="s">
        <v>27253</v>
      </c>
      <c r="S11783" t="s">
        <v>27254</v>
      </c>
      <c r="T11783" t="s">
        <v>27255</v>
      </c>
    </row>
    <row r="11784" spans="1:20" x14ac:dyDescent="0.3">
      <c r="A11784" t="str">
        <f>"0611830877100"</f>
        <v>0611830877100</v>
      </c>
      <c r="B11784" t="str">
        <f>"LK2711"</f>
        <v>LK2711</v>
      </c>
      <c r="C11784" t="s">
        <v>50023</v>
      </c>
      <c r="D11784" t="s">
        <v>27245</v>
      </c>
      <c r="E11784" t="str">
        <f t="shared" si="184"/>
        <v>001390</v>
      </c>
      <c r="F11784" t="s">
        <v>27246</v>
      </c>
      <c r="G11784" t="s">
        <v>27247</v>
      </c>
      <c r="H11784" t="s">
        <v>27248</v>
      </c>
      <c r="I11784" t="s">
        <v>50024</v>
      </c>
      <c r="J11784" t="s">
        <v>23582</v>
      </c>
      <c r="L11784" t="s">
        <v>27250</v>
      </c>
      <c r="M11784" t="s">
        <v>27251</v>
      </c>
      <c r="N11784" t="s">
        <v>27252</v>
      </c>
      <c r="Q11784" s="1">
        <v>44538</v>
      </c>
      <c r="R11784" t="s">
        <v>27253</v>
      </c>
      <c r="S11784" t="s">
        <v>27254</v>
      </c>
      <c r="T11784" t="s">
        <v>27255</v>
      </c>
    </row>
    <row r="11785" spans="1:20" x14ac:dyDescent="0.3">
      <c r="A11785" t="str">
        <f>"0611830878100"</f>
        <v>0611830878100</v>
      </c>
      <c r="B11785" t="str">
        <f>"LK4527"</f>
        <v>LK4527</v>
      </c>
      <c r="C11785" t="s">
        <v>50025</v>
      </c>
      <c r="D11785" t="s">
        <v>27245</v>
      </c>
      <c r="E11785" t="str">
        <f t="shared" si="184"/>
        <v>001390</v>
      </c>
      <c r="F11785" t="s">
        <v>27246</v>
      </c>
      <c r="G11785" t="s">
        <v>27247</v>
      </c>
      <c r="H11785" t="s">
        <v>27248</v>
      </c>
      <c r="I11785" t="s">
        <v>50026</v>
      </c>
      <c r="J11785" t="s">
        <v>23584</v>
      </c>
      <c r="L11785" t="s">
        <v>27250</v>
      </c>
      <c r="M11785" t="s">
        <v>27251</v>
      </c>
      <c r="N11785" t="s">
        <v>27252</v>
      </c>
      <c r="Q11785" s="1">
        <v>44538</v>
      </c>
      <c r="R11785" t="s">
        <v>27253</v>
      </c>
      <c r="S11785" t="s">
        <v>27254</v>
      </c>
      <c r="T11785" t="s">
        <v>27255</v>
      </c>
    </row>
    <row r="11786" spans="1:20" x14ac:dyDescent="0.3">
      <c r="A11786" t="str">
        <f>"0611830879100"</f>
        <v>0611830879100</v>
      </c>
      <c r="B11786" t="str">
        <f>"LK6146"</f>
        <v>LK6146</v>
      </c>
      <c r="C11786" t="s">
        <v>50027</v>
      </c>
      <c r="D11786" t="s">
        <v>27245</v>
      </c>
      <c r="E11786" t="str">
        <f t="shared" si="184"/>
        <v>001390</v>
      </c>
      <c r="F11786" t="s">
        <v>27246</v>
      </c>
      <c r="G11786" t="s">
        <v>27247</v>
      </c>
      <c r="H11786" t="s">
        <v>27248</v>
      </c>
      <c r="I11786" t="s">
        <v>50028</v>
      </c>
      <c r="J11786" t="s">
        <v>23586</v>
      </c>
      <c r="L11786" t="s">
        <v>27250</v>
      </c>
      <c r="M11786" t="s">
        <v>27251</v>
      </c>
      <c r="N11786" t="s">
        <v>27252</v>
      </c>
      <c r="Q11786" s="1">
        <v>44538</v>
      </c>
      <c r="R11786" t="s">
        <v>27253</v>
      </c>
      <c r="S11786" t="s">
        <v>27254</v>
      </c>
      <c r="T11786" t="s">
        <v>27255</v>
      </c>
    </row>
    <row r="11787" spans="1:20" x14ac:dyDescent="0.3">
      <c r="A11787" t="str">
        <f>"0611830881100"</f>
        <v>0611830881100</v>
      </c>
      <c r="B11787" t="str">
        <f>"LK2006"</f>
        <v>LK2006</v>
      </c>
      <c r="C11787" t="s">
        <v>50029</v>
      </c>
      <c r="D11787" t="s">
        <v>27245</v>
      </c>
      <c r="E11787" t="str">
        <f t="shared" si="184"/>
        <v>001390</v>
      </c>
      <c r="F11787" t="s">
        <v>27246</v>
      </c>
      <c r="G11787" t="s">
        <v>27247</v>
      </c>
      <c r="H11787" t="s">
        <v>27248</v>
      </c>
      <c r="I11787" t="s">
        <v>50030</v>
      </c>
      <c r="J11787" t="s">
        <v>23588</v>
      </c>
      <c r="L11787" t="s">
        <v>27250</v>
      </c>
      <c r="M11787" t="s">
        <v>27251</v>
      </c>
      <c r="N11787" t="s">
        <v>27252</v>
      </c>
      <c r="Q11787" s="1">
        <v>44538</v>
      </c>
      <c r="R11787" t="s">
        <v>27253</v>
      </c>
      <c r="S11787" t="s">
        <v>27254</v>
      </c>
      <c r="T11787" t="s">
        <v>27255</v>
      </c>
    </row>
    <row r="11788" spans="1:20" x14ac:dyDescent="0.3">
      <c r="A11788" t="str">
        <f>"0611830882100"</f>
        <v>0611830882100</v>
      </c>
      <c r="B11788" t="str">
        <f>"LK4430"</f>
        <v>LK4430</v>
      </c>
      <c r="C11788" t="s">
        <v>50031</v>
      </c>
      <c r="D11788" t="s">
        <v>27245</v>
      </c>
      <c r="E11788" t="str">
        <f t="shared" si="184"/>
        <v>001390</v>
      </c>
      <c r="F11788" t="s">
        <v>27246</v>
      </c>
      <c r="G11788" t="s">
        <v>27247</v>
      </c>
      <c r="H11788" t="s">
        <v>27248</v>
      </c>
      <c r="I11788" t="s">
        <v>50032</v>
      </c>
      <c r="J11788" t="s">
        <v>23590</v>
      </c>
      <c r="L11788" t="s">
        <v>27250</v>
      </c>
      <c r="M11788" t="s">
        <v>27251</v>
      </c>
      <c r="N11788" t="s">
        <v>27252</v>
      </c>
      <c r="Q11788" s="1">
        <v>44538</v>
      </c>
      <c r="R11788" t="s">
        <v>27253</v>
      </c>
      <c r="S11788" t="s">
        <v>27254</v>
      </c>
      <c r="T11788" t="s">
        <v>27255</v>
      </c>
    </row>
    <row r="11789" spans="1:20" x14ac:dyDescent="0.3">
      <c r="A11789" t="str">
        <f>"0611830883100"</f>
        <v>0611830883100</v>
      </c>
      <c r="B11789" t="str">
        <f>"LK5610"</f>
        <v>LK5610</v>
      </c>
      <c r="C11789" t="s">
        <v>50033</v>
      </c>
      <c r="D11789" t="s">
        <v>27245</v>
      </c>
      <c r="E11789" t="str">
        <f t="shared" si="184"/>
        <v>001390</v>
      </c>
      <c r="F11789" t="s">
        <v>27246</v>
      </c>
      <c r="G11789" t="s">
        <v>27247</v>
      </c>
      <c r="H11789" t="s">
        <v>27248</v>
      </c>
      <c r="I11789" t="s">
        <v>50034</v>
      </c>
      <c r="J11789" t="s">
        <v>23592</v>
      </c>
      <c r="L11789" t="s">
        <v>27250</v>
      </c>
      <c r="M11789" t="s">
        <v>27251</v>
      </c>
      <c r="N11789" t="s">
        <v>27252</v>
      </c>
      <c r="Q11789" s="1">
        <v>44538</v>
      </c>
      <c r="R11789" t="s">
        <v>27253</v>
      </c>
      <c r="S11789" t="s">
        <v>27254</v>
      </c>
      <c r="T11789" t="s">
        <v>27255</v>
      </c>
    </row>
    <row r="11790" spans="1:20" x14ac:dyDescent="0.3">
      <c r="A11790" t="str">
        <f>"0611830884100"</f>
        <v>0611830884100</v>
      </c>
      <c r="B11790" t="str">
        <f>"LK2007"</f>
        <v>LK2007</v>
      </c>
      <c r="C11790" t="s">
        <v>50035</v>
      </c>
      <c r="D11790" t="s">
        <v>27245</v>
      </c>
      <c r="E11790" t="str">
        <f t="shared" si="184"/>
        <v>001390</v>
      </c>
      <c r="F11790" t="s">
        <v>27246</v>
      </c>
      <c r="G11790" t="s">
        <v>27247</v>
      </c>
      <c r="H11790" t="s">
        <v>27248</v>
      </c>
      <c r="I11790" t="s">
        <v>50036</v>
      </c>
      <c r="J11790" t="s">
        <v>23594</v>
      </c>
      <c r="L11790" t="s">
        <v>27250</v>
      </c>
      <c r="M11790" t="s">
        <v>27251</v>
      </c>
      <c r="N11790" t="s">
        <v>27252</v>
      </c>
      <c r="Q11790" s="1">
        <v>44538</v>
      </c>
      <c r="R11790" t="s">
        <v>27253</v>
      </c>
      <c r="S11790" t="s">
        <v>27254</v>
      </c>
      <c r="T11790" t="s">
        <v>27255</v>
      </c>
    </row>
    <row r="11791" spans="1:20" x14ac:dyDescent="0.3">
      <c r="A11791" t="str">
        <f>"0611830885100"</f>
        <v>0611830885100</v>
      </c>
      <c r="B11791" t="str">
        <f>"LK2008"</f>
        <v>LK2008</v>
      </c>
      <c r="C11791" t="s">
        <v>50037</v>
      </c>
      <c r="D11791" t="s">
        <v>27245</v>
      </c>
      <c r="E11791" t="str">
        <f t="shared" si="184"/>
        <v>001390</v>
      </c>
      <c r="F11791" t="s">
        <v>27246</v>
      </c>
      <c r="G11791" t="s">
        <v>27247</v>
      </c>
      <c r="H11791" t="s">
        <v>27248</v>
      </c>
      <c r="I11791" t="s">
        <v>50038</v>
      </c>
      <c r="J11791" t="s">
        <v>23596</v>
      </c>
      <c r="L11791" t="s">
        <v>27250</v>
      </c>
      <c r="M11791" t="s">
        <v>27251</v>
      </c>
      <c r="N11791" t="s">
        <v>27252</v>
      </c>
      <c r="Q11791" s="1">
        <v>44538</v>
      </c>
      <c r="R11791" t="s">
        <v>27253</v>
      </c>
      <c r="S11791" t="s">
        <v>27254</v>
      </c>
      <c r="T11791" t="s">
        <v>27255</v>
      </c>
    </row>
    <row r="11792" spans="1:20" x14ac:dyDescent="0.3">
      <c r="A11792" t="str">
        <f>"0611830886100"</f>
        <v>0611830886100</v>
      </c>
      <c r="B11792" t="str">
        <f>"LK6148"</f>
        <v>LK6148</v>
      </c>
      <c r="C11792" t="s">
        <v>50039</v>
      </c>
      <c r="D11792" t="s">
        <v>28138</v>
      </c>
      <c r="E11792" t="str">
        <f t="shared" si="184"/>
        <v>001390</v>
      </c>
      <c r="F11792" t="s">
        <v>27246</v>
      </c>
      <c r="G11792" t="s">
        <v>27247</v>
      </c>
      <c r="H11792" t="s">
        <v>27248</v>
      </c>
      <c r="I11792" t="s">
        <v>50040</v>
      </c>
      <c r="J11792" t="s">
        <v>23598</v>
      </c>
      <c r="L11792" t="s">
        <v>27250</v>
      </c>
      <c r="M11792" t="s">
        <v>27251</v>
      </c>
      <c r="N11792" t="s">
        <v>27252</v>
      </c>
      <c r="P11792" t="s">
        <v>27925</v>
      </c>
      <c r="Q11792" s="1">
        <v>44538</v>
      </c>
      <c r="R11792" t="s">
        <v>27253</v>
      </c>
      <c r="S11792" t="s">
        <v>27254</v>
      </c>
      <c r="T11792" t="s">
        <v>27255</v>
      </c>
    </row>
    <row r="11793" spans="1:20" x14ac:dyDescent="0.3">
      <c r="A11793" t="str">
        <f>"0611830887100"</f>
        <v>0611830887100</v>
      </c>
      <c r="B11793" t="str">
        <f>"LK6149"</f>
        <v>LK6149</v>
      </c>
      <c r="C11793" t="s">
        <v>50041</v>
      </c>
      <c r="D11793" t="s">
        <v>28138</v>
      </c>
      <c r="E11793" t="str">
        <f t="shared" si="184"/>
        <v>001390</v>
      </c>
      <c r="F11793" t="s">
        <v>27246</v>
      </c>
      <c r="G11793" t="s">
        <v>27247</v>
      </c>
      <c r="H11793" t="s">
        <v>27248</v>
      </c>
      <c r="I11793" t="s">
        <v>50042</v>
      </c>
      <c r="J11793" t="s">
        <v>23600</v>
      </c>
      <c r="L11793" t="s">
        <v>27250</v>
      </c>
      <c r="M11793" t="s">
        <v>27251</v>
      </c>
      <c r="N11793" t="s">
        <v>27252</v>
      </c>
      <c r="P11793" t="s">
        <v>27925</v>
      </c>
      <c r="Q11793" s="1">
        <v>44538</v>
      </c>
      <c r="R11793" t="s">
        <v>27253</v>
      </c>
      <c r="S11793" t="s">
        <v>27254</v>
      </c>
      <c r="T11793" t="s">
        <v>27255</v>
      </c>
    </row>
    <row r="11794" spans="1:20" x14ac:dyDescent="0.3">
      <c r="A11794" t="str">
        <f>"0611830888100"</f>
        <v>0611830888100</v>
      </c>
      <c r="B11794" t="str">
        <f>"LK6150"</f>
        <v>LK6150</v>
      </c>
      <c r="C11794" t="s">
        <v>50043</v>
      </c>
      <c r="D11794" t="s">
        <v>28138</v>
      </c>
      <c r="E11794" t="str">
        <f t="shared" si="184"/>
        <v>001390</v>
      </c>
      <c r="F11794" t="s">
        <v>27246</v>
      </c>
      <c r="G11794" t="s">
        <v>27247</v>
      </c>
      <c r="H11794" t="s">
        <v>27248</v>
      </c>
      <c r="I11794" t="s">
        <v>50044</v>
      </c>
      <c r="J11794" t="s">
        <v>23602</v>
      </c>
      <c r="L11794" t="s">
        <v>27250</v>
      </c>
      <c r="M11794" t="s">
        <v>27251</v>
      </c>
      <c r="N11794" t="s">
        <v>27252</v>
      </c>
      <c r="P11794" t="s">
        <v>27925</v>
      </c>
      <c r="Q11794" s="1">
        <v>44538</v>
      </c>
      <c r="R11794" t="s">
        <v>27253</v>
      </c>
      <c r="S11794" t="s">
        <v>27254</v>
      </c>
      <c r="T11794" t="s">
        <v>27255</v>
      </c>
    </row>
    <row r="11795" spans="1:20" x14ac:dyDescent="0.3">
      <c r="A11795" t="str">
        <f>"0611830889100"</f>
        <v>0611830889100</v>
      </c>
      <c r="B11795" t="str">
        <f>"LK6151"</f>
        <v>LK6151</v>
      </c>
      <c r="C11795" t="s">
        <v>50045</v>
      </c>
      <c r="D11795" t="s">
        <v>28138</v>
      </c>
      <c r="E11795" t="str">
        <f t="shared" si="184"/>
        <v>001390</v>
      </c>
      <c r="F11795" t="s">
        <v>27246</v>
      </c>
      <c r="G11795" t="s">
        <v>27247</v>
      </c>
      <c r="H11795" t="s">
        <v>27248</v>
      </c>
      <c r="I11795" t="s">
        <v>50046</v>
      </c>
      <c r="J11795" t="s">
        <v>23604</v>
      </c>
      <c r="L11795" t="s">
        <v>27250</v>
      </c>
      <c r="M11795" t="s">
        <v>27251</v>
      </c>
      <c r="N11795" t="s">
        <v>27252</v>
      </c>
      <c r="P11795" t="s">
        <v>27925</v>
      </c>
      <c r="Q11795" s="1">
        <v>44538</v>
      </c>
      <c r="R11795" t="s">
        <v>27253</v>
      </c>
      <c r="S11795" t="s">
        <v>27254</v>
      </c>
      <c r="T11795" t="s">
        <v>27255</v>
      </c>
    </row>
    <row r="11796" spans="1:20" x14ac:dyDescent="0.3">
      <c r="A11796" t="str">
        <f>"0611830890100"</f>
        <v>0611830890100</v>
      </c>
      <c r="B11796" t="str">
        <f>"LK6152"</f>
        <v>LK6152</v>
      </c>
      <c r="C11796" t="s">
        <v>50047</v>
      </c>
      <c r="D11796" t="s">
        <v>28138</v>
      </c>
      <c r="E11796" t="str">
        <f t="shared" si="184"/>
        <v>001390</v>
      </c>
      <c r="F11796" t="s">
        <v>27246</v>
      </c>
      <c r="G11796" t="s">
        <v>27247</v>
      </c>
      <c r="H11796" t="s">
        <v>27248</v>
      </c>
      <c r="I11796" t="s">
        <v>50048</v>
      </c>
      <c r="J11796" t="s">
        <v>23606</v>
      </c>
      <c r="L11796" t="s">
        <v>27250</v>
      </c>
      <c r="M11796" t="s">
        <v>27251</v>
      </c>
      <c r="N11796" t="s">
        <v>27252</v>
      </c>
      <c r="P11796" t="s">
        <v>27925</v>
      </c>
      <c r="Q11796" s="1">
        <v>44538</v>
      </c>
      <c r="R11796" t="s">
        <v>27253</v>
      </c>
      <c r="S11796" t="s">
        <v>27254</v>
      </c>
      <c r="T11796" t="s">
        <v>27255</v>
      </c>
    </row>
    <row r="11797" spans="1:20" x14ac:dyDescent="0.3">
      <c r="A11797" t="str">
        <f>"0611830891100"</f>
        <v>0611830891100</v>
      </c>
      <c r="B11797" t="str">
        <f>"LK6153"</f>
        <v>LK6153</v>
      </c>
      <c r="C11797" t="s">
        <v>50049</v>
      </c>
      <c r="D11797" t="s">
        <v>28138</v>
      </c>
      <c r="E11797" t="str">
        <f t="shared" si="184"/>
        <v>001390</v>
      </c>
      <c r="F11797" t="s">
        <v>27246</v>
      </c>
      <c r="G11797" t="s">
        <v>27247</v>
      </c>
      <c r="H11797" t="s">
        <v>27248</v>
      </c>
      <c r="I11797" t="s">
        <v>50050</v>
      </c>
      <c r="J11797" t="s">
        <v>23608</v>
      </c>
      <c r="L11797" t="s">
        <v>27250</v>
      </c>
      <c r="M11797" t="s">
        <v>27251</v>
      </c>
      <c r="N11797" t="s">
        <v>27252</v>
      </c>
      <c r="P11797" t="s">
        <v>27925</v>
      </c>
      <c r="Q11797" s="1">
        <v>44538</v>
      </c>
      <c r="R11797" t="s">
        <v>27253</v>
      </c>
      <c r="S11797" t="s">
        <v>27254</v>
      </c>
      <c r="T11797" t="s">
        <v>27255</v>
      </c>
    </row>
    <row r="11798" spans="1:20" x14ac:dyDescent="0.3">
      <c r="A11798" t="str">
        <f>"0611830892100"</f>
        <v>0611830892100</v>
      </c>
      <c r="B11798" t="str">
        <f>"LK6449"</f>
        <v>LK6449</v>
      </c>
      <c r="C11798" t="s">
        <v>50051</v>
      </c>
      <c r="D11798" t="s">
        <v>28138</v>
      </c>
      <c r="E11798" t="str">
        <f t="shared" si="184"/>
        <v>001390</v>
      </c>
      <c r="F11798" t="s">
        <v>27246</v>
      </c>
      <c r="G11798" t="s">
        <v>27247</v>
      </c>
      <c r="H11798" t="s">
        <v>27248</v>
      </c>
      <c r="I11798" t="s">
        <v>50052</v>
      </c>
      <c r="J11798" t="s">
        <v>23610</v>
      </c>
      <c r="L11798" t="s">
        <v>27250</v>
      </c>
      <c r="M11798" t="s">
        <v>27251</v>
      </c>
      <c r="N11798" t="s">
        <v>27252</v>
      </c>
      <c r="P11798" t="s">
        <v>27925</v>
      </c>
      <c r="Q11798" s="1">
        <v>44538</v>
      </c>
      <c r="R11798" t="s">
        <v>27253</v>
      </c>
      <c r="S11798" t="s">
        <v>27254</v>
      </c>
      <c r="T11798" t="s">
        <v>27255</v>
      </c>
    </row>
    <row r="11799" spans="1:20" x14ac:dyDescent="0.3">
      <c r="A11799" t="str">
        <f>"0611830893100"</f>
        <v>0611830893100</v>
      </c>
      <c r="B11799" t="str">
        <f>"LK6450"</f>
        <v>LK6450</v>
      </c>
      <c r="C11799" t="s">
        <v>50053</v>
      </c>
      <c r="D11799" t="s">
        <v>28138</v>
      </c>
      <c r="E11799" t="str">
        <f t="shared" si="184"/>
        <v>001390</v>
      </c>
      <c r="F11799" t="s">
        <v>27246</v>
      </c>
      <c r="G11799" t="s">
        <v>27247</v>
      </c>
      <c r="H11799" t="s">
        <v>27248</v>
      </c>
      <c r="I11799" t="s">
        <v>50054</v>
      </c>
      <c r="J11799" t="s">
        <v>23612</v>
      </c>
      <c r="L11799" t="s">
        <v>27250</v>
      </c>
      <c r="M11799" t="s">
        <v>27251</v>
      </c>
      <c r="N11799" t="s">
        <v>27252</v>
      </c>
      <c r="P11799" t="s">
        <v>27925</v>
      </c>
      <c r="Q11799" s="1">
        <v>44538</v>
      </c>
      <c r="R11799" t="s">
        <v>27253</v>
      </c>
      <c r="S11799" t="s">
        <v>27254</v>
      </c>
      <c r="T11799" t="s">
        <v>27255</v>
      </c>
    </row>
    <row r="11800" spans="1:20" x14ac:dyDescent="0.3">
      <c r="A11800" t="str">
        <f>"0611830894100"</f>
        <v>0611830894100</v>
      </c>
      <c r="B11800" t="str">
        <f>"LK6451"</f>
        <v>LK6451</v>
      </c>
      <c r="C11800" t="s">
        <v>50055</v>
      </c>
      <c r="D11800" t="s">
        <v>28138</v>
      </c>
      <c r="E11800" t="str">
        <f t="shared" si="184"/>
        <v>001390</v>
      </c>
      <c r="F11800" t="s">
        <v>27246</v>
      </c>
      <c r="G11800" t="s">
        <v>27247</v>
      </c>
      <c r="H11800" t="s">
        <v>27248</v>
      </c>
      <c r="I11800" t="s">
        <v>50056</v>
      </c>
      <c r="J11800" t="s">
        <v>23614</v>
      </c>
      <c r="L11800" t="s">
        <v>27250</v>
      </c>
      <c r="M11800" t="s">
        <v>27251</v>
      </c>
      <c r="N11800" t="s">
        <v>27252</v>
      </c>
      <c r="P11800" t="s">
        <v>27925</v>
      </c>
      <c r="Q11800" s="1">
        <v>44538</v>
      </c>
      <c r="R11800" t="s">
        <v>27253</v>
      </c>
      <c r="S11800" t="s">
        <v>27254</v>
      </c>
      <c r="T11800" t="s">
        <v>27255</v>
      </c>
    </row>
    <row r="11801" spans="1:20" x14ac:dyDescent="0.3">
      <c r="A11801" t="str">
        <f>"0611830895100"</f>
        <v>0611830895100</v>
      </c>
      <c r="B11801" t="str">
        <f>"LK6452"</f>
        <v>LK6452</v>
      </c>
      <c r="C11801" t="s">
        <v>50057</v>
      </c>
      <c r="D11801" t="s">
        <v>28138</v>
      </c>
      <c r="E11801" t="str">
        <f t="shared" si="184"/>
        <v>001390</v>
      </c>
      <c r="F11801" t="s">
        <v>27246</v>
      </c>
      <c r="G11801" t="s">
        <v>27247</v>
      </c>
      <c r="H11801" t="s">
        <v>27248</v>
      </c>
      <c r="I11801" t="s">
        <v>50058</v>
      </c>
      <c r="J11801" t="s">
        <v>23616</v>
      </c>
      <c r="L11801" t="s">
        <v>27250</v>
      </c>
      <c r="M11801" t="s">
        <v>27251</v>
      </c>
      <c r="N11801" t="s">
        <v>27252</v>
      </c>
      <c r="P11801" t="s">
        <v>27925</v>
      </c>
      <c r="Q11801" s="1">
        <v>44538</v>
      </c>
      <c r="R11801" t="s">
        <v>27253</v>
      </c>
      <c r="S11801" t="s">
        <v>27254</v>
      </c>
      <c r="T11801" t="s">
        <v>27255</v>
      </c>
    </row>
    <row r="11802" spans="1:20" x14ac:dyDescent="0.3">
      <c r="A11802" t="str">
        <f>"0611830896100"</f>
        <v>0611830896100</v>
      </c>
      <c r="B11802" t="str">
        <f>"LK6453"</f>
        <v>LK6453</v>
      </c>
      <c r="C11802" t="s">
        <v>50059</v>
      </c>
      <c r="D11802" t="s">
        <v>28138</v>
      </c>
      <c r="E11802" t="str">
        <f t="shared" si="184"/>
        <v>001390</v>
      </c>
      <c r="F11802" t="s">
        <v>27246</v>
      </c>
      <c r="G11802" t="s">
        <v>27247</v>
      </c>
      <c r="H11802" t="s">
        <v>27248</v>
      </c>
      <c r="I11802" t="s">
        <v>50060</v>
      </c>
      <c r="J11802" t="s">
        <v>23618</v>
      </c>
      <c r="L11802" t="s">
        <v>27250</v>
      </c>
      <c r="M11802" t="s">
        <v>27251</v>
      </c>
      <c r="N11802" t="s">
        <v>27252</v>
      </c>
      <c r="P11802" t="s">
        <v>27925</v>
      </c>
      <c r="Q11802" s="1">
        <v>44538</v>
      </c>
      <c r="R11802" t="s">
        <v>27253</v>
      </c>
      <c r="S11802" t="s">
        <v>27254</v>
      </c>
      <c r="T11802" t="s">
        <v>27255</v>
      </c>
    </row>
    <row r="11803" spans="1:20" x14ac:dyDescent="0.3">
      <c r="A11803" t="str">
        <f>"0611830897100"</f>
        <v>0611830897100</v>
      </c>
      <c r="B11803" t="str">
        <f>"LK6454"</f>
        <v>LK6454</v>
      </c>
      <c r="C11803" t="s">
        <v>50061</v>
      </c>
      <c r="D11803" t="s">
        <v>28138</v>
      </c>
      <c r="E11803" t="str">
        <f t="shared" si="184"/>
        <v>001390</v>
      </c>
      <c r="F11803" t="s">
        <v>27246</v>
      </c>
      <c r="G11803" t="s">
        <v>27247</v>
      </c>
      <c r="H11803" t="s">
        <v>27248</v>
      </c>
      <c r="I11803" t="s">
        <v>50062</v>
      </c>
      <c r="J11803" t="s">
        <v>23620</v>
      </c>
      <c r="L11803" t="s">
        <v>27250</v>
      </c>
      <c r="M11803" t="s">
        <v>27251</v>
      </c>
      <c r="N11803" t="s">
        <v>27252</v>
      </c>
      <c r="P11803" t="s">
        <v>27925</v>
      </c>
      <c r="Q11803" s="1">
        <v>44538</v>
      </c>
      <c r="R11803" t="s">
        <v>27253</v>
      </c>
      <c r="S11803" t="s">
        <v>27254</v>
      </c>
      <c r="T11803" t="s">
        <v>27255</v>
      </c>
    </row>
    <row r="11804" spans="1:20" x14ac:dyDescent="0.3">
      <c r="A11804" t="str">
        <f>"0611830898100"</f>
        <v>0611830898100</v>
      </c>
      <c r="B11804" t="str">
        <f>"LK6455"</f>
        <v>LK6455</v>
      </c>
      <c r="C11804" t="s">
        <v>50063</v>
      </c>
      <c r="D11804" t="s">
        <v>28138</v>
      </c>
      <c r="E11804" t="str">
        <f t="shared" si="184"/>
        <v>001390</v>
      </c>
      <c r="F11804" t="s">
        <v>27246</v>
      </c>
      <c r="G11804" t="s">
        <v>27247</v>
      </c>
      <c r="H11804" t="s">
        <v>27248</v>
      </c>
      <c r="I11804" t="s">
        <v>50064</v>
      </c>
      <c r="J11804" t="s">
        <v>23622</v>
      </c>
      <c r="L11804" t="s">
        <v>27250</v>
      </c>
      <c r="M11804" t="s">
        <v>27251</v>
      </c>
      <c r="N11804" t="s">
        <v>27252</v>
      </c>
      <c r="P11804" t="s">
        <v>27925</v>
      </c>
      <c r="Q11804" s="1">
        <v>44538</v>
      </c>
      <c r="R11804" t="s">
        <v>27253</v>
      </c>
      <c r="S11804" t="s">
        <v>27254</v>
      </c>
      <c r="T11804" t="s">
        <v>27255</v>
      </c>
    </row>
    <row r="11805" spans="1:20" x14ac:dyDescent="0.3">
      <c r="A11805" t="str">
        <f>"0611830899100"</f>
        <v>0611830899100</v>
      </c>
      <c r="B11805" t="str">
        <f>"LK6456"</f>
        <v>LK6456</v>
      </c>
      <c r="C11805" t="s">
        <v>50065</v>
      </c>
      <c r="D11805" t="s">
        <v>28138</v>
      </c>
      <c r="E11805" t="str">
        <f t="shared" si="184"/>
        <v>001390</v>
      </c>
      <c r="F11805" t="s">
        <v>27246</v>
      </c>
      <c r="G11805" t="s">
        <v>27247</v>
      </c>
      <c r="H11805" t="s">
        <v>27248</v>
      </c>
      <c r="I11805" t="s">
        <v>50066</v>
      </c>
      <c r="J11805" t="s">
        <v>23624</v>
      </c>
      <c r="L11805" t="s">
        <v>27250</v>
      </c>
      <c r="M11805" t="s">
        <v>27251</v>
      </c>
      <c r="N11805" t="s">
        <v>27252</v>
      </c>
      <c r="P11805" t="s">
        <v>27925</v>
      </c>
      <c r="Q11805" s="1">
        <v>44538</v>
      </c>
      <c r="R11805" t="s">
        <v>27253</v>
      </c>
      <c r="S11805" t="s">
        <v>27254</v>
      </c>
      <c r="T11805" t="s">
        <v>27255</v>
      </c>
    </row>
    <row r="11806" spans="1:20" x14ac:dyDescent="0.3">
      <c r="A11806" t="str">
        <f>"0611830900100"</f>
        <v>0611830900100</v>
      </c>
      <c r="B11806" t="str">
        <f>"LK6457"</f>
        <v>LK6457</v>
      </c>
      <c r="C11806" t="s">
        <v>50067</v>
      </c>
      <c r="D11806" t="s">
        <v>28138</v>
      </c>
      <c r="E11806" t="str">
        <f t="shared" si="184"/>
        <v>001390</v>
      </c>
      <c r="F11806" t="s">
        <v>27246</v>
      </c>
      <c r="G11806" t="s">
        <v>27247</v>
      </c>
      <c r="H11806" t="s">
        <v>27248</v>
      </c>
      <c r="I11806" t="s">
        <v>50068</v>
      </c>
      <c r="J11806" t="s">
        <v>23626</v>
      </c>
      <c r="L11806" t="s">
        <v>27250</v>
      </c>
      <c r="M11806" t="s">
        <v>27251</v>
      </c>
      <c r="N11806" t="s">
        <v>27252</v>
      </c>
      <c r="P11806" t="s">
        <v>27925</v>
      </c>
      <c r="Q11806" s="1">
        <v>44538</v>
      </c>
      <c r="R11806" t="s">
        <v>27253</v>
      </c>
      <c r="S11806" t="s">
        <v>27254</v>
      </c>
      <c r="T11806" t="s">
        <v>27255</v>
      </c>
    </row>
    <row r="11807" spans="1:20" x14ac:dyDescent="0.3">
      <c r="A11807" t="str">
        <f>"0611830901100"</f>
        <v>0611830901100</v>
      </c>
      <c r="B11807" t="str">
        <f>"LK6458"</f>
        <v>LK6458</v>
      </c>
      <c r="C11807" t="s">
        <v>50069</v>
      </c>
      <c r="D11807" t="s">
        <v>28138</v>
      </c>
      <c r="E11807" t="str">
        <f t="shared" si="184"/>
        <v>001390</v>
      </c>
      <c r="F11807" t="s">
        <v>27246</v>
      </c>
      <c r="G11807" t="s">
        <v>27247</v>
      </c>
      <c r="H11807" t="s">
        <v>27248</v>
      </c>
      <c r="I11807" t="s">
        <v>50070</v>
      </c>
      <c r="J11807" t="s">
        <v>23628</v>
      </c>
      <c r="L11807" t="s">
        <v>27250</v>
      </c>
      <c r="M11807" t="s">
        <v>27251</v>
      </c>
      <c r="N11807" t="s">
        <v>27252</v>
      </c>
      <c r="P11807" t="s">
        <v>27925</v>
      </c>
      <c r="Q11807" s="1">
        <v>44538</v>
      </c>
      <c r="R11807" t="s">
        <v>27253</v>
      </c>
      <c r="S11807" t="s">
        <v>27254</v>
      </c>
      <c r="T11807" t="s">
        <v>27255</v>
      </c>
    </row>
    <row r="11808" spans="1:20" x14ac:dyDescent="0.3">
      <c r="A11808" t="str">
        <f>"0611830902100"</f>
        <v>0611830902100</v>
      </c>
      <c r="B11808" t="str">
        <f>"LK0976"</f>
        <v>LK0976</v>
      </c>
      <c r="C11808" t="s">
        <v>50071</v>
      </c>
      <c r="D11808" t="s">
        <v>27245</v>
      </c>
      <c r="E11808" t="str">
        <f t="shared" si="184"/>
        <v>001390</v>
      </c>
      <c r="F11808" t="s">
        <v>27246</v>
      </c>
      <c r="G11808" t="s">
        <v>27247</v>
      </c>
      <c r="H11808" t="s">
        <v>27248</v>
      </c>
      <c r="I11808" t="s">
        <v>50072</v>
      </c>
      <c r="J11808" t="s">
        <v>23630</v>
      </c>
      <c r="L11808" t="s">
        <v>27250</v>
      </c>
      <c r="M11808" t="s">
        <v>27251</v>
      </c>
      <c r="N11808" t="s">
        <v>27252</v>
      </c>
      <c r="Q11808" s="1">
        <v>44538</v>
      </c>
      <c r="R11808" t="s">
        <v>27253</v>
      </c>
      <c r="S11808" t="s">
        <v>27254</v>
      </c>
      <c r="T11808" t="s">
        <v>27255</v>
      </c>
    </row>
    <row r="11809" spans="1:20" x14ac:dyDescent="0.3">
      <c r="A11809" t="str">
        <f>"0611830903100"</f>
        <v>0611830903100</v>
      </c>
      <c r="B11809" t="str">
        <f>"LK0392"</f>
        <v>LK0392</v>
      </c>
      <c r="C11809" t="s">
        <v>50073</v>
      </c>
      <c r="D11809" t="s">
        <v>27245</v>
      </c>
      <c r="E11809" t="str">
        <f t="shared" si="184"/>
        <v>001390</v>
      </c>
      <c r="F11809" t="s">
        <v>27246</v>
      </c>
      <c r="G11809" t="s">
        <v>27247</v>
      </c>
      <c r="H11809" t="s">
        <v>27248</v>
      </c>
      <c r="I11809" t="s">
        <v>50074</v>
      </c>
      <c r="J11809" t="s">
        <v>23632</v>
      </c>
      <c r="L11809" t="s">
        <v>27250</v>
      </c>
      <c r="M11809" t="s">
        <v>27251</v>
      </c>
      <c r="N11809" t="s">
        <v>27252</v>
      </c>
      <c r="Q11809" s="1">
        <v>44538</v>
      </c>
      <c r="R11809" t="s">
        <v>27253</v>
      </c>
      <c r="S11809" t="s">
        <v>27254</v>
      </c>
      <c r="T11809" t="s">
        <v>27255</v>
      </c>
    </row>
    <row r="11810" spans="1:20" x14ac:dyDescent="0.3">
      <c r="A11810" t="str">
        <f>"0611830904100"</f>
        <v>0611830904100</v>
      </c>
      <c r="B11810" t="str">
        <f>"LK0393"</f>
        <v>LK0393</v>
      </c>
      <c r="C11810" t="s">
        <v>50075</v>
      </c>
      <c r="D11810" t="s">
        <v>27245</v>
      </c>
      <c r="E11810" t="str">
        <f t="shared" si="184"/>
        <v>001390</v>
      </c>
      <c r="F11810" t="s">
        <v>27246</v>
      </c>
      <c r="G11810" t="s">
        <v>27247</v>
      </c>
      <c r="H11810" t="s">
        <v>27248</v>
      </c>
      <c r="I11810" t="s">
        <v>50076</v>
      </c>
      <c r="J11810" t="s">
        <v>23634</v>
      </c>
      <c r="L11810" t="s">
        <v>27250</v>
      </c>
      <c r="M11810" t="s">
        <v>27251</v>
      </c>
      <c r="N11810" t="s">
        <v>27252</v>
      </c>
      <c r="Q11810" s="1">
        <v>44538</v>
      </c>
      <c r="R11810" t="s">
        <v>27253</v>
      </c>
      <c r="S11810" t="s">
        <v>27254</v>
      </c>
      <c r="T11810" t="s">
        <v>27255</v>
      </c>
    </row>
    <row r="11811" spans="1:20" x14ac:dyDescent="0.3">
      <c r="A11811" t="str">
        <f>"0611830906100"</f>
        <v>0611830906100</v>
      </c>
      <c r="B11811" t="str">
        <f>"LK0395"</f>
        <v>LK0395</v>
      </c>
      <c r="C11811" t="s">
        <v>50077</v>
      </c>
      <c r="D11811" t="s">
        <v>27245</v>
      </c>
      <c r="E11811" t="str">
        <f t="shared" si="184"/>
        <v>001390</v>
      </c>
      <c r="F11811" t="s">
        <v>27246</v>
      </c>
      <c r="G11811" t="s">
        <v>27247</v>
      </c>
      <c r="H11811" t="s">
        <v>27248</v>
      </c>
      <c r="I11811" t="s">
        <v>50078</v>
      </c>
      <c r="J11811" t="s">
        <v>23636</v>
      </c>
      <c r="L11811" t="s">
        <v>27250</v>
      </c>
      <c r="M11811" t="s">
        <v>27251</v>
      </c>
      <c r="N11811" t="s">
        <v>27252</v>
      </c>
      <c r="Q11811" s="1">
        <v>44538</v>
      </c>
      <c r="R11811" t="s">
        <v>27253</v>
      </c>
      <c r="S11811" t="s">
        <v>27254</v>
      </c>
      <c r="T11811" t="s">
        <v>27255</v>
      </c>
    </row>
    <row r="11812" spans="1:20" x14ac:dyDescent="0.3">
      <c r="A11812" t="str">
        <f>"0611830907100"</f>
        <v>0611830907100</v>
      </c>
      <c r="B11812" t="str">
        <f>"LK0977"</f>
        <v>LK0977</v>
      </c>
      <c r="C11812" t="s">
        <v>50079</v>
      </c>
      <c r="D11812" t="s">
        <v>27245</v>
      </c>
      <c r="E11812" t="str">
        <f t="shared" si="184"/>
        <v>001390</v>
      </c>
      <c r="F11812" t="s">
        <v>27246</v>
      </c>
      <c r="G11812" t="s">
        <v>27247</v>
      </c>
      <c r="H11812" t="s">
        <v>27248</v>
      </c>
      <c r="I11812" t="s">
        <v>50080</v>
      </c>
      <c r="J11812" t="s">
        <v>23638</v>
      </c>
      <c r="L11812" t="s">
        <v>27250</v>
      </c>
      <c r="M11812" t="s">
        <v>27251</v>
      </c>
      <c r="N11812" t="s">
        <v>27252</v>
      </c>
      <c r="Q11812" s="1">
        <v>44538</v>
      </c>
      <c r="R11812" t="s">
        <v>27253</v>
      </c>
      <c r="S11812" t="s">
        <v>27254</v>
      </c>
      <c r="T11812" t="s">
        <v>27255</v>
      </c>
    </row>
    <row r="11813" spans="1:20" x14ac:dyDescent="0.3">
      <c r="A11813" t="str">
        <f>"0611830909100"</f>
        <v>0611830909100</v>
      </c>
      <c r="B11813" t="str">
        <f>"LK0979"</f>
        <v>LK0979</v>
      </c>
      <c r="C11813" t="s">
        <v>50081</v>
      </c>
      <c r="D11813" t="s">
        <v>27245</v>
      </c>
      <c r="E11813" t="str">
        <f t="shared" si="184"/>
        <v>001390</v>
      </c>
      <c r="F11813" t="s">
        <v>27246</v>
      </c>
      <c r="G11813" t="s">
        <v>27247</v>
      </c>
      <c r="H11813" t="s">
        <v>27248</v>
      </c>
      <c r="I11813" t="s">
        <v>50082</v>
      </c>
      <c r="J11813" t="s">
        <v>23640</v>
      </c>
      <c r="L11813" t="s">
        <v>27250</v>
      </c>
      <c r="M11813" t="s">
        <v>27251</v>
      </c>
      <c r="N11813" t="s">
        <v>27252</v>
      </c>
      <c r="Q11813" s="1">
        <v>44538</v>
      </c>
      <c r="R11813" t="s">
        <v>27253</v>
      </c>
      <c r="S11813" t="s">
        <v>27254</v>
      </c>
      <c r="T11813" t="s">
        <v>27255</v>
      </c>
    </row>
    <row r="11814" spans="1:20" x14ac:dyDescent="0.3">
      <c r="A11814" t="str">
        <f>"0611830910100"</f>
        <v>0611830910100</v>
      </c>
      <c r="B11814" t="str">
        <f>"LK0396"</f>
        <v>LK0396</v>
      </c>
      <c r="C11814" t="s">
        <v>50083</v>
      </c>
      <c r="D11814" t="s">
        <v>27245</v>
      </c>
      <c r="E11814" t="str">
        <f t="shared" si="184"/>
        <v>001390</v>
      </c>
      <c r="F11814" t="s">
        <v>27246</v>
      </c>
      <c r="G11814" t="s">
        <v>27247</v>
      </c>
      <c r="H11814" t="s">
        <v>27248</v>
      </c>
      <c r="I11814" t="s">
        <v>50084</v>
      </c>
      <c r="J11814" t="s">
        <v>23642</v>
      </c>
      <c r="L11814" t="s">
        <v>27250</v>
      </c>
      <c r="M11814" t="s">
        <v>27251</v>
      </c>
      <c r="N11814" t="s">
        <v>27252</v>
      </c>
      <c r="Q11814" s="1">
        <v>44538</v>
      </c>
      <c r="R11814" t="s">
        <v>27253</v>
      </c>
      <c r="S11814" t="s">
        <v>27254</v>
      </c>
      <c r="T11814" t="s">
        <v>27255</v>
      </c>
    </row>
    <row r="11815" spans="1:20" x14ac:dyDescent="0.3">
      <c r="A11815" t="str">
        <f>"0611830911100"</f>
        <v>0611830911100</v>
      </c>
      <c r="B11815" t="str">
        <f>"LB8784"</f>
        <v>LB8784</v>
      </c>
      <c r="C11815" t="s">
        <v>50085</v>
      </c>
      <c r="D11815" t="s">
        <v>27245</v>
      </c>
      <c r="E11815" t="str">
        <f t="shared" si="184"/>
        <v>001390</v>
      </c>
      <c r="F11815" t="s">
        <v>27246</v>
      </c>
      <c r="G11815" t="s">
        <v>27247</v>
      </c>
      <c r="H11815" t="s">
        <v>27248</v>
      </c>
      <c r="I11815" t="s">
        <v>50086</v>
      </c>
      <c r="J11815" t="s">
        <v>23644</v>
      </c>
      <c r="L11815" t="s">
        <v>27250</v>
      </c>
      <c r="M11815" t="s">
        <v>27251</v>
      </c>
      <c r="N11815" t="s">
        <v>27252</v>
      </c>
      <c r="Q11815" s="1">
        <v>44538</v>
      </c>
      <c r="R11815" t="s">
        <v>27253</v>
      </c>
      <c r="S11815" t="s">
        <v>27254</v>
      </c>
      <c r="T11815" t="s">
        <v>27255</v>
      </c>
    </row>
    <row r="11816" spans="1:20" x14ac:dyDescent="0.3">
      <c r="A11816" t="str">
        <f>"0611830912100"</f>
        <v>0611830912100</v>
      </c>
      <c r="B11816" t="str">
        <f>"LB8786"</f>
        <v>LB8786</v>
      </c>
      <c r="C11816" t="s">
        <v>50087</v>
      </c>
      <c r="D11816" t="s">
        <v>27245</v>
      </c>
      <c r="E11816" t="str">
        <f t="shared" si="184"/>
        <v>001390</v>
      </c>
      <c r="F11816" t="s">
        <v>27246</v>
      </c>
      <c r="G11816" t="s">
        <v>27247</v>
      </c>
      <c r="H11816" t="s">
        <v>27248</v>
      </c>
      <c r="I11816" t="s">
        <v>50088</v>
      </c>
      <c r="J11816" t="s">
        <v>23646</v>
      </c>
      <c r="L11816" t="s">
        <v>27250</v>
      </c>
      <c r="M11816" t="s">
        <v>27251</v>
      </c>
      <c r="N11816" t="s">
        <v>27252</v>
      </c>
      <c r="Q11816" s="1">
        <v>44538</v>
      </c>
      <c r="R11816" t="s">
        <v>27253</v>
      </c>
      <c r="S11816" t="s">
        <v>27254</v>
      </c>
      <c r="T11816" t="s">
        <v>27255</v>
      </c>
    </row>
    <row r="11817" spans="1:20" x14ac:dyDescent="0.3">
      <c r="A11817" t="str">
        <f>"0611830913100"</f>
        <v>0611830913100</v>
      </c>
      <c r="B11817" t="str">
        <f>"LB8781"</f>
        <v>LB8781</v>
      </c>
      <c r="C11817" t="s">
        <v>50089</v>
      </c>
      <c r="D11817" t="s">
        <v>27245</v>
      </c>
      <c r="E11817" t="str">
        <f t="shared" si="184"/>
        <v>001390</v>
      </c>
      <c r="F11817" t="s">
        <v>27246</v>
      </c>
      <c r="G11817" t="s">
        <v>27247</v>
      </c>
      <c r="H11817" t="s">
        <v>27248</v>
      </c>
      <c r="I11817" t="s">
        <v>50090</v>
      </c>
      <c r="J11817" t="s">
        <v>23648</v>
      </c>
      <c r="L11817" t="s">
        <v>27250</v>
      </c>
      <c r="M11817" t="s">
        <v>27251</v>
      </c>
      <c r="N11817" t="s">
        <v>27252</v>
      </c>
      <c r="Q11817" s="1">
        <v>44538</v>
      </c>
      <c r="R11817" t="s">
        <v>27253</v>
      </c>
      <c r="S11817" t="s">
        <v>27254</v>
      </c>
      <c r="T11817" t="s">
        <v>27255</v>
      </c>
    </row>
    <row r="11818" spans="1:20" x14ac:dyDescent="0.3">
      <c r="A11818" t="str">
        <f>"0611830914100"</f>
        <v>0611830914100</v>
      </c>
      <c r="B11818" t="str">
        <f>"LB8783"</f>
        <v>LB8783</v>
      </c>
      <c r="C11818" t="s">
        <v>50091</v>
      </c>
      <c r="D11818" t="s">
        <v>27245</v>
      </c>
      <c r="E11818" t="str">
        <f t="shared" si="184"/>
        <v>001390</v>
      </c>
      <c r="F11818" t="s">
        <v>27246</v>
      </c>
      <c r="G11818" t="s">
        <v>27247</v>
      </c>
      <c r="H11818" t="s">
        <v>27248</v>
      </c>
      <c r="I11818" t="s">
        <v>50092</v>
      </c>
      <c r="J11818" t="s">
        <v>23650</v>
      </c>
      <c r="L11818" t="s">
        <v>27250</v>
      </c>
      <c r="M11818" t="s">
        <v>27251</v>
      </c>
      <c r="N11818" t="s">
        <v>27252</v>
      </c>
      <c r="O11818">
        <v>100</v>
      </c>
      <c r="Q11818" s="1">
        <v>44538</v>
      </c>
      <c r="R11818" t="s">
        <v>27253</v>
      </c>
      <c r="S11818" t="s">
        <v>27254</v>
      </c>
      <c r="T11818" t="s">
        <v>27255</v>
      </c>
    </row>
    <row r="11819" spans="1:20" x14ac:dyDescent="0.3">
      <c r="A11819" t="str">
        <f>"0611830915100"</f>
        <v>0611830915100</v>
      </c>
      <c r="B11819" t="str">
        <f>"LB8556"</f>
        <v>LB8556</v>
      </c>
      <c r="C11819" t="s">
        <v>50093</v>
      </c>
      <c r="D11819" t="s">
        <v>27245</v>
      </c>
      <c r="E11819" t="str">
        <f t="shared" si="184"/>
        <v>001390</v>
      </c>
      <c r="F11819" t="s">
        <v>27246</v>
      </c>
      <c r="G11819" t="s">
        <v>27247</v>
      </c>
      <c r="H11819" t="s">
        <v>27248</v>
      </c>
      <c r="I11819" t="s">
        <v>50094</v>
      </c>
      <c r="J11819" t="s">
        <v>23652</v>
      </c>
      <c r="L11819" t="s">
        <v>27250</v>
      </c>
      <c r="M11819" t="s">
        <v>27251</v>
      </c>
      <c r="N11819" t="s">
        <v>27252</v>
      </c>
      <c r="Q11819" s="1">
        <v>44538</v>
      </c>
      <c r="R11819" t="s">
        <v>27253</v>
      </c>
      <c r="S11819" t="s">
        <v>27254</v>
      </c>
      <c r="T11819" t="s">
        <v>27255</v>
      </c>
    </row>
    <row r="11820" spans="1:20" x14ac:dyDescent="0.3">
      <c r="A11820" t="str">
        <f>"0611830916100"</f>
        <v>0611830916100</v>
      </c>
      <c r="B11820" t="str">
        <f>"LB8791"</f>
        <v>LB8791</v>
      </c>
      <c r="C11820" t="s">
        <v>50095</v>
      </c>
      <c r="D11820" t="s">
        <v>27245</v>
      </c>
      <c r="E11820" t="str">
        <f t="shared" si="184"/>
        <v>001390</v>
      </c>
      <c r="F11820" t="s">
        <v>27246</v>
      </c>
      <c r="G11820" t="s">
        <v>27247</v>
      </c>
      <c r="H11820" t="s">
        <v>27248</v>
      </c>
      <c r="I11820" t="s">
        <v>50096</v>
      </c>
      <c r="J11820" t="s">
        <v>23654</v>
      </c>
      <c r="L11820" t="s">
        <v>27250</v>
      </c>
      <c r="M11820" t="s">
        <v>27251</v>
      </c>
      <c r="N11820" t="s">
        <v>27252</v>
      </c>
      <c r="Q11820" s="1">
        <v>44538</v>
      </c>
      <c r="R11820" t="s">
        <v>27253</v>
      </c>
      <c r="S11820" t="s">
        <v>27254</v>
      </c>
      <c r="T11820" t="s">
        <v>27255</v>
      </c>
    </row>
    <row r="11821" spans="1:20" x14ac:dyDescent="0.3">
      <c r="A11821" t="str">
        <f>"0611830917100"</f>
        <v>0611830917100</v>
      </c>
      <c r="B11821" t="str">
        <f>"LB8785"</f>
        <v>LB8785</v>
      </c>
      <c r="C11821" t="s">
        <v>50097</v>
      </c>
      <c r="D11821" t="s">
        <v>27245</v>
      </c>
      <c r="E11821" t="str">
        <f t="shared" si="184"/>
        <v>001390</v>
      </c>
      <c r="F11821" t="s">
        <v>27246</v>
      </c>
      <c r="G11821" t="s">
        <v>27247</v>
      </c>
      <c r="H11821" t="s">
        <v>27248</v>
      </c>
      <c r="I11821" t="s">
        <v>50098</v>
      </c>
      <c r="J11821" t="s">
        <v>23656</v>
      </c>
      <c r="L11821" t="s">
        <v>27250</v>
      </c>
      <c r="M11821" t="s">
        <v>27251</v>
      </c>
      <c r="N11821" t="s">
        <v>27252</v>
      </c>
      <c r="Q11821" s="1">
        <v>44538</v>
      </c>
      <c r="R11821" t="s">
        <v>27253</v>
      </c>
      <c r="S11821" t="s">
        <v>27254</v>
      </c>
      <c r="T11821" t="s">
        <v>27255</v>
      </c>
    </row>
    <row r="11822" spans="1:20" x14ac:dyDescent="0.3">
      <c r="A11822" t="str">
        <f>"0611830918100"</f>
        <v>0611830918100</v>
      </c>
      <c r="B11822" t="str">
        <f>"LB8787"</f>
        <v>LB8787</v>
      </c>
      <c r="C11822" t="s">
        <v>50099</v>
      </c>
      <c r="D11822" t="s">
        <v>27245</v>
      </c>
      <c r="E11822" t="str">
        <f t="shared" si="184"/>
        <v>001390</v>
      </c>
      <c r="F11822" t="s">
        <v>27246</v>
      </c>
      <c r="G11822" t="s">
        <v>27247</v>
      </c>
      <c r="H11822" t="s">
        <v>27248</v>
      </c>
      <c r="I11822" t="s">
        <v>50100</v>
      </c>
      <c r="J11822" t="s">
        <v>23658</v>
      </c>
      <c r="L11822" t="s">
        <v>27250</v>
      </c>
      <c r="M11822" t="s">
        <v>27251</v>
      </c>
      <c r="N11822" t="s">
        <v>27252</v>
      </c>
      <c r="Q11822" s="1">
        <v>44538</v>
      </c>
      <c r="R11822" t="s">
        <v>27253</v>
      </c>
      <c r="S11822" t="s">
        <v>27254</v>
      </c>
      <c r="T11822" t="s">
        <v>27255</v>
      </c>
    </row>
    <row r="11823" spans="1:20" x14ac:dyDescent="0.3">
      <c r="A11823" t="str">
        <f>"0611830919100"</f>
        <v>0611830919100</v>
      </c>
      <c r="B11823" t="str">
        <f>"LB8789"</f>
        <v>LB8789</v>
      </c>
      <c r="C11823" t="s">
        <v>50101</v>
      </c>
      <c r="D11823" t="s">
        <v>27245</v>
      </c>
      <c r="E11823" t="str">
        <f t="shared" si="184"/>
        <v>001390</v>
      </c>
      <c r="F11823" t="s">
        <v>27246</v>
      </c>
      <c r="G11823" t="s">
        <v>27247</v>
      </c>
      <c r="H11823" t="s">
        <v>27248</v>
      </c>
      <c r="I11823" t="s">
        <v>50102</v>
      </c>
      <c r="J11823" t="s">
        <v>23660</v>
      </c>
      <c r="L11823" t="s">
        <v>27250</v>
      </c>
      <c r="M11823" t="s">
        <v>27251</v>
      </c>
      <c r="N11823" t="s">
        <v>27252</v>
      </c>
      <c r="Q11823" s="1">
        <v>44538</v>
      </c>
      <c r="R11823" t="s">
        <v>27253</v>
      </c>
      <c r="S11823" t="s">
        <v>27254</v>
      </c>
      <c r="T11823" t="s">
        <v>27255</v>
      </c>
    </row>
    <row r="11824" spans="1:20" x14ac:dyDescent="0.3">
      <c r="A11824" t="str">
        <f>"0611830920100"</f>
        <v>0611830920100</v>
      </c>
      <c r="B11824" t="str">
        <f>"LK3026"</f>
        <v>LK3026</v>
      </c>
      <c r="C11824" t="s">
        <v>50103</v>
      </c>
      <c r="D11824" t="s">
        <v>27245</v>
      </c>
      <c r="E11824" t="str">
        <f t="shared" si="184"/>
        <v>001390</v>
      </c>
      <c r="F11824" t="s">
        <v>27246</v>
      </c>
      <c r="G11824" t="s">
        <v>27247</v>
      </c>
      <c r="H11824" t="s">
        <v>27248</v>
      </c>
      <c r="I11824" t="s">
        <v>50104</v>
      </c>
      <c r="J11824" t="s">
        <v>23662</v>
      </c>
      <c r="L11824" t="s">
        <v>27250</v>
      </c>
      <c r="M11824" t="s">
        <v>27251</v>
      </c>
      <c r="N11824" t="s">
        <v>27252</v>
      </c>
      <c r="Q11824" s="1">
        <v>44538</v>
      </c>
      <c r="R11824" t="s">
        <v>27253</v>
      </c>
      <c r="S11824" t="s">
        <v>27254</v>
      </c>
      <c r="T11824" t="s">
        <v>27255</v>
      </c>
    </row>
    <row r="11825" spans="1:20" x14ac:dyDescent="0.3">
      <c r="A11825" t="str">
        <f>"0611830921100"</f>
        <v>0611830921100</v>
      </c>
      <c r="B11825" t="str">
        <f>"LK3027"</f>
        <v>LK3027</v>
      </c>
      <c r="C11825" t="s">
        <v>50105</v>
      </c>
      <c r="D11825" t="s">
        <v>27245</v>
      </c>
      <c r="E11825" t="str">
        <f t="shared" si="184"/>
        <v>001390</v>
      </c>
      <c r="F11825" t="s">
        <v>27246</v>
      </c>
      <c r="G11825" t="s">
        <v>27247</v>
      </c>
      <c r="H11825" t="s">
        <v>27248</v>
      </c>
      <c r="I11825" t="s">
        <v>50106</v>
      </c>
      <c r="J11825" t="s">
        <v>23664</v>
      </c>
      <c r="L11825" t="s">
        <v>27250</v>
      </c>
      <c r="M11825" t="s">
        <v>27251</v>
      </c>
      <c r="N11825" t="s">
        <v>27252</v>
      </c>
      <c r="Q11825" s="1">
        <v>44538</v>
      </c>
      <c r="R11825" t="s">
        <v>27253</v>
      </c>
      <c r="S11825" t="s">
        <v>27254</v>
      </c>
      <c r="T11825" t="s">
        <v>27255</v>
      </c>
    </row>
    <row r="11826" spans="1:20" x14ac:dyDescent="0.3">
      <c r="A11826" t="str">
        <f>"0611830922100"</f>
        <v>0611830922100</v>
      </c>
      <c r="B11826" t="str">
        <f>"LK3028"</f>
        <v>LK3028</v>
      </c>
      <c r="C11826" t="s">
        <v>50107</v>
      </c>
      <c r="D11826" t="s">
        <v>27245</v>
      </c>
      <c r="E11826" t="str">
        <f t="shared" si="184"/>
        <v>001390</v>
      </c>
      <c r="F11826" t="s">
        <v>27246</v>
      </c>
      <c r="G11826" t="s">
        <v>27247</v>
      </c>
      <c r="H11826" t="s">
        <v>27248</v>
      </c>
      <c r="I11826" t="s">
        <v>50108</v>
      </c>
      <c r="J11826" t="s">
        <v>23666</v>
      </c>
      <c r="L11826" t="s">
        <v>27250</v>
      </c>
      <c r="M11826" t="s">
        <v>27251</v>
      </c>
      <c r="N11826" t="s">
        <v>27252</v>
      </c>
      <c r="Q11826" s="1">
        <v>44538</v>
      </c>
      <c r="R11826" t="s">
        <v>27253</v>
      </c>
      <c r="S11826" t="s">
        <v>27254</v>
      </c>
      <c r="T11826" t="s">
        <v>27255</v>
      </c>
    </row>
    <row r="11827" spans="1:20" x14ac:dyDescent="0.3">
      <c r="A11827" t="str">
        <f>"0611830923100"</f>
        <v>0611830923100</v>
      </c>
      <c r="B11827" t="str">
        <f>"LK6295"</f>
        <v>LK6295</v>
      </c>
      <c r="C11827" t="s">
        <v>50109</v>
      </c>
      <c r="D11827" t="s">
        <v>27245</v>
      </c>
      <c r="E11827" t="str">
        <f t="shared" si="184"/>
        <v>001390</v>
      </c>
      <c r="F11827" t="s">
        <v>27246</v>
      </c>
      <c r="G11827" t="s">
        <v>27247</v>
      </c>
      <c r="H11827" t="s">
        <v>27248</v>
      </c>
      <c r="I11827" t="s">
        <v>50110</v>
      </c>
      <c r="J11827" t="s">
        <v>23668</v>
      </c>
      <c r="L11827" t="s">
        <v>27250</v>
      </c>
      <c r="M11827" t="s">
        <v>27251</v>
      </c>
      <c r="N11827" t="s">
        <v>27252</v>
      </c>
      <c r="Q11827" s="1">
        <v>44538</v>
      </c>
      <c r="R11827" t="s">
        <v>27253</v>
      </c>
      <c r="S11827" t="s">
        <v>27254</v>
      </c>
      <c r="T11827" t="s">
        <v>27255</v>
      </c>
    </row>
    <row r="11828" spans="1:20" x14ac:dyDescent="0.3">
      <c r="A11828" t="str">
        <f>"0611830924100"</f>
        <v>0611830924100</v>
      </c>
      <c r="B11828" t="str">
        <f>"LK6667"</f>
        <v>LK6667</v>
      </c>
      <c r="C11828" t="s">
        <v>50111</v>
      </c>
      <c r="D11828" t="s">
        <v>27245</v>
      </c>
      <c r="E11828" t="str">
        <f t="shared" si="184"/>
        <v>001390</v>
      </c>
      <c r="F11828" t="s">
        <v>27246</v>
      </c>
      <c r="G11828" t="s">
        <v>27247</v>
      </c>
      <c r="H11828" t="s">
        <v>27248</v>
      </c>
      <c r="I11828" t="s">
        <v>50112</v>
      </c>
      <c r="J11828" t="s">
        <v>23670</v>
      </c>
      <c r="L11828" t="s">
        <v>27250</v>
      </c>
      <c r="M11828" t="s">
        <v>27251</v>
      </c>
      <c r="N11828" t="s">
        <v>27252</v>
      </c>
      <c r="Q11828" s="1">
        <v>44538</v>
      </c>
      <c r="R11828" t="s">
        <v>27253</v>
      </c>
      <c r="S11828" t="s">
        <v>27254</v>
      </c>
      <c r="T11828" t="s">
        <v>27255</v>
      </c>
    </row>
    <row r="11829" spans="1:20" x14ac:dyDescent="0.3">
      <c r="A11829" t="str">
        <f>"0611830925100"</f>
        <v>0611830925100</v>
      </c>
      <c r="B11829" t="str">
        <f>"LK3029"</f>
        <v>LK3029</v>
      </c>
      <c r="C11829" t="s">
        <v>50113</v>
      </c>
      <c r="D11829" t="s">
        <v>27245</v>
      </c>
      <c r="E11829" t="str">
        <f t="shared" si="184"/>
        <v>001390</v>
      </c>
      <c r="F11829" t="s">
        <v>27246</v>
      </c>
      <c r="G11829" t="s">
        <v>27247</v>
      </c>
      <c r="H11829" t="s">
        <v>27248</v>
      </c>
      <c r="I11829" t="s">
        <v>50114</v>
      </c>
      <c r="J11829" t="s">
        <v>23672</v>
      </c>
      <c r="L11829" t="s">
        <v>27250</v>
      </c>
      <c r="M11829" t="s">
        <v>27251</v>
      </c>
      <c r="N11829" t="s">
        <v>27252</v>
      </c>
      <c r="Q11829" s="1">
        <v>44538</v>
      </c>
      <c r="R11829" t="s">
        <v>27253</v>
      </c>
      <c r="S11829" t="s">
        <v>27254</v>
      </c>
      <c r="T11829" t="s">
        <v>27255</v>
      </c>
    </row>
    <row r="11830" spans="1:20" x14ac:dyDescent="0.3">
      <c r="A11830" t="str">
        <f>"0611830926100"</f>
        <v>0611830926100</v>
      </c>
      <c r="B11830" t="str">
        <f>"LK3030"</f>
        <v>LK3030</v>
      </c>
      <c r="C11830" t="s">
        <v>50115</v>
      </c>
      <c r="D11830" t="s">
        <v>27245</v>
      </c>
      <c r="E11830" t="str">
        <f t="shared" si="184"/>
        <v>001390</v>
      </c>
      <c r="F11830" t="s">
        <v>27246</v>
      </c>
      <c r="G11830" t="s">
        <v>27247</v>
      </c>
      <c r="H11830" t="s">
        <v>27248</v>
      </c>
      <c r="I11830" t="s">
        <v>50116</v>
      </c>
      <c r="J11830" t="s">
        <v>23674</v>
      </c>
      <c r="L11830" t="s">
        <v>27250</v>
      </c>
      <c r="M11830" t="s">
        <v>27251</v>
      </c>
      <c r="N11830" t="s">
        <v>27252</v>
      </c>
      <c r="Q11830" s="1">
        <v>44538</v>
      </c>
      <c r="R11830" t="s">
        <v>27253</v>
      </c>
      <c r="S11830" t="s">
        <v>27254</v>
      </c>
      <c r="T11830" t="s">
        <v>27255</v>
      </c>
    </row>
    <row r="11831" spans="1:20" x14ac:dyDescent="0.3">
      <c r="A11831" t="str">
        <f>"0611830927100"</f>
        <v>0611830927100</v>
      </c>
      <c r="B11831" t="str">
        <f>"LK3031"</f>
        <v>LK3031</v>
      </c>
      <c r="C11831" t="s">
        <v>50117</v>
      </c>
      <c r="D11831" t="s">
        <v>27245</v>
      </c>
      <c r="E11831" t="str">
        <f t="shared" si="184"/>
        <v>001390</v>
      </c>
      <c r="F11831" t="s">
        <v>27246</v>
      </c>
      <c r="G11831" t="s">
        <v>27247</v>
      </c>
      <c r="H11831" t="s">
        <v>27248</v>
      </c>
      <c r="I11831" t="s">
        <v>50118</v>
      </c>
      <c r="J11831" t="s">
        <v>23676</v>
      </c>
      <c r="L11831" t="s">
        <v>27250</v>
      </c>
      <c r="M11831" t="s">
        <v>27251</v>
      </c>
      <c r="N11831" t="s">
        <v>27252</v>
      </c>
      <c r="Q11831" s="1">
        <v>44538</v>
      </c>
      <c r="R11831" t="s">
        <v>27253</v>
      </c>
      <c r="S11831" t="s">
        <v>27254</v>
      </c>
      <c r="T11831" t="s">
        <v>27255</v>
      </c>
    </row>
    <row r="11832" spans="1:20" x14ac:dyDescent="0.3">
      <c r="A11832" t="str">
        <f>"0611830928100"</f>
        <v>0611830928100</v>
      </c>
      <c r="B11832" t="str">
        <f>"LK6878"</f>
        <v>LK6878</v>
      </c>
      <c r="C11832" t="s">
        <v>50119</v>
      </c>
      <c r="D11832" t="s">
        <v>27245</v>
      </c>
      <c r="E11832" t="str">
        <f t="shared" si="184"/>
        <v>001390</v>
      </c>
      <c r="F11832" t="s">
        <v>27246</v>
      </c>
      <c r="G11832" t="s">
        <v>27247</v>
      </c>
      <c r="H11832" t="s">
        <v>27248</v>
      </c>
      <c r="I11832" t="s">
        <v>50120</v>
      </c>
      <c r="J11832" t="s">
        <v>23678</v>
      </c>
      <c r="L11832" t="s">
        <v>27250</v>
      </c>
      <c r="M11832" t="s">
        <v>27251</v>
      </c>
      <c r="N11832" t="s">
        <v>27252</v>
      </c>
      <c r="Q11832" s="1">
        <v>44538</v>
      </c>
      <c r="R11832" t="s">
        <v>27253</v>
      </c>
      <c r="S11832" t="s">
        <v>27254</v>
      </c>
      <c r="T11832" t="s">
        <v>27255</v>
      </c>
    </row>
    <row r="11833" spans="1:20" x14ac:dyDescent="0.3">
      <c r="A11833" t="str">
        <f>"0611830929100"</f>
        <v>0611830929100</v>
      </c>
      <c r="B11833" t="str">
        <f>"LK6879"</f>
        <v>LK6879</v>
      </c>
      <c r="C11833" t="s">
        <v>50121</v>
      </c>
      <c r="D11833" t="s">
        <v>27245</v>
      </c>
      <c r="E11833" t="str">
        <f t="shared" si="184"/>
        <v>001390</v>
      </c>
      <c r="F11833" t="s">
        <v>27246</v>
      </c>
      <c r="G11833" t="s">
        <v>27247</v>
      </c>
      <c r="H11833" t="s">
        <v>27248</v>
      </c>
      <c r="I11833" t="s">
        <v>50122</v>
      </c>
      <c r="J11833" t="s">
        <v>23680</v>
      </c>
      <c r="L11833" t="s">
        <v>27250</v>
      </c>
      <c r="M11833" t="s">
        <v>27251</v>
      </c>
      <c r="N11833" t="s">
        <v>27252</v>
      </c>
      <c r="Q11833" s="1">
        <v>44538</v>
      </c>
      <c r="R11833" t="s">
        <v>27253</v>
      </c>
      <c r="S11833" t="s">
        <v>27254</v>
      </c>
      <c r="T11833" t="s">
        <v>27255</v>
      </c>
    </row>
    <row r="11834" spans="1:20" x14ac:dyDescent="0.3">
      <c r="A11834" t="str">
        <f>"0611830930100"</f>
        <v>0611830930100</v>
      </c>
      <c r="B11834" t="str">
        <f>"LK6880"</f>
        <v>LK6880</v>
      </c>
      <c r="C11834" t="s">
        <v>50123</v>
      </c>
      <c r="D11834" t="s">
        <v>27245</v>
      </c>
      <c r="E11834" t="str">
        <f t="shared" si="184"/>
        <v>001390</v>
      </c>
      <c r="F11834" t="s">
        <v>27246</v>
      </c>
      <c r="G11834" t="s">
        <v>27247</v>
      </c>
      <c r="H11834" t="s">
        <v>27248</v>
      </c>
      <c r="I11834" t="s">
        <v>50124</v>
      </c>
      <c r="J11834" t="s">
        <v>23682</v>
      </c>
      <c r="L11834" t="s">
        <v>27250</v>
      </c>
      <c r="M11834" t="s">
        <v>27251</v>
      </c>
      <c r="N11834" t="s">
        <v>27252</v>
      </c>
      <c r="Q11834" s="1">
        <v>44538</v>
      </c>
      <c r="R11834" t="s">
        <v>27253</v>
      </c>
      <c r="S11834" t="s">
        <v>27254</v>
      </c>
      <c r="T11834" t="s">
        <v>27255</v>
      </c>
    </row>
    <row r="11835" spans="1:20" x14ac:dyDescent="0.3">
      <c r="A11835" t="str">
        <f>"0611830931100"</f>
        <v>0611830931100</v>
      </c>
      <c r="B11835" t="str">
        <f>"LK6881"</f>
        <v>LK6881</v>
      </c>
      <c r="C11835" t="s">
        <v>50125</v>
      </c>
      <c r="D11835" t="s">
        <v>27245</v>
      </c>
      <c r="E11835" t="str">
        <f t="shared" si="184"/>
        <v>001390</v>
      </c>
      <c r="F11835" t="s">
        <v>27246</v>
      </c>
      <c r="G11835" t="s">
        <v>27247</v>
      </c>
      <c r="H11835" t="s">
        <v>27248</v>
      </c>
      <c r="I11835" t="s">
        <v>50126</v>
      </c>
      <c r="J11835" t="s">
        <v>23684</v>
      </c>
      <c r="L11835" t="s">
        <v>27250</v>
      </c>
      <c r="M11835" t="s">
        <v>27251</v>
      </c>
      <c r="N11835" t="s">
        <v>27252</v>
      </c>
      <c r="Q11835" s="1">
        <v>44538</v>
      </c>
      <c r="R11835" t="s">
        <v>27253</v>
      </c>
      <c r="S11835" t="s">
        <v>27254</v>
      </c>
      <c r="T11835" t="s">
        <v>27255</v>
      </c>
    </row>
    <row r="11836" spans="1:20" x14ac:dyDescent="0.3">
      <c r="A11836" t="str">
        <f>"0611830932100"</f>
        <v>0611830932100</v>
      </c>
      <c r="B11836" t="str">
        <f>"LK6882"</f>
        <v>LK6882</v>
      </c>
      <c r="C11836" t="s">
        <v>50127</v>
      </c>
      <c r="D11836" t="s">
        <v>27245</v>
      </c>
      <c r="E11836" t="str">
        <f t="shared" si="184"/>
        <v>001390</v>
      </c>
      <c r="F11836" t="s">
        <v>27246</v>
      </c>
      <c r="G11836" t="s">
        <v>27247</v>
      </c>
      <c r="H11836" t="s">
        <v>27248</v>
      </c>
      <c r="I11836" t="s">
        <v>50128</v>
      </c>
      <c r="J11836" t="s">
        <v>23686</v>
      </c>
      <c r="L11836" t="s">
        <v>27250</v>
      </c>
      <c r="M11836" t="s">
        <v>27251</v>
      </c>
      <c r="N11836" t="s">
        <v>27252</v>
      </c>
      <c r="Q11836" s="1">
        <v>44538</v>
      </c>
      <c r="R11836" t="s">
        <v>27253</v>
      </c>
      <c r="S11836" t="s">
        <v>27254</v>
      </c>
      <c r="T11836" t="s">
        <v>27255</v>
      </c>
    </row>
    <row r="11837" spans="1:20" x14ac:dyDescent="0.3">
      <c r="A11837" t="str">
        <f>"0611884471100"</f>
        <v>0611884471100</v>
      </c>
      <c r="B11837" t="str">
        <f>"LK7178"</f>
        <v>LK7178</v>
      </c>
      <c r="C11837" t="s">
        <v>50129</v>
      </c>
      <c r="D11837" t="s">
        <v>27245</v>
      </c>
      <c r="E11837" t="str">
        <f t="shared" si="184"/>
        <v>001390</v>
      </c>
      <c r="F11837" t="s">
        <v>27246</v>
      </c>
      <c r="G11837" t="s">
        <v>27247</v>
      </c>
      <c r="H11837" t="s">
        <v>27248</v>
      </c>
      <c r="I11837" t="s">
        <v>50130</v>
      </c>
      <c r="J11837" t="s">
        <v>23688</v>
      </c>
      <c r="L11837" t="s">
        <v>27430</v>
      </c>
      <c r="M11837" t="s">
        <v>27251</v>
      </c>
      <c r="N11837" t="s">
        <v>27252</v>
      </c>
      <c r="Q11837" s="1">
        <v>45250</v>
      </c>
      <c r="R11837" t="s">
        <v>27253</v>
      </c>
      <c r="S11837" t="s">
        <v>27254</v>
      </c>
      <c r="T11837" t="s">
        <v>27255</v>
      </c>
    </row>
    <row r="11838" spans="1:20" x14ac:dyDescent="0.3">
      <c r="A11838" t="str">
        <f>"0611830934100"</f>
        <v>0611830934100</v>
      </c>
      <c r="B11838" t="str">
        <f>"LB8805"</f>
        <v>LB8805</v>
      </c>
      <c r="C11838" t="s">
        <v>50131</v>
      </c>
      <c r="D11838" t="s">
        <v>27245</v>
      </c>
      <c r="E11838" t="str">
        <f t="shared" si="184"/>
        <v>001390</v>
      </c>
      <c r="F11838" t="s">
        <v>27246</v>
      </c>
      <c r="G11838" t="s">
        <v>27247</v>
      </c>
      <c r="H11838" t="s">
        <v>27248</v>
      </c>
      <c r="I11838" t="s">
        <v>50132</v>
      </c>
      <c r="J11838" t="s">
        <v>23690</v>
      </c>
      <c r="L11838" t="s">
        <v>27250</v>
      </c>
      <c r="M11838" t="s">
        <v>27251</v>
      </c>
      <c r="N11838" t="s">
        <v>27252</v>
      </c>
      <c r="Q11838" s="1">
        <v>44538</v>
      </c>
      <c r="R11838" t="s">
        <v>27253</v>
      </c>
      <c r="S11838" t="s">
        <v>27254</v>
      </c>
      <c r="T11838" t="s">
        <v>27255</v>
      </c>
    </row>
    <row r="11839" spans="1:20" x14ac:dyDescent="0.3">
      <c r="A11839" t="str">
        <f>"0611830935100"</f>
        <v>0611830935100</v>
      </c>
      <c r="B11839" t="str">
        <f>"LK6524"</f>
        <v>LK6524</v>
      </c>
      <c r="C11839" t="s">
        <v>50133</v>
      </c>
      <c r="D11839" t="s">
        <v>27245</v>
      </c>
      <c r="E11839" t="str">
        <f t="shared" si="184"/>
        <v>001390</v>
      </c>
      <c r="F11839" t="s">
        <v>27246</v>
      </c>
      <c r="G11839" t="s">
        <v>27247</v>
      </c>
      <c r="H11839" t="s">
        <v>27248</v>
      </c>
      <c r="I11839" t="s">
        <v>50134</v>
      </c>
      <c r="J11839" t="s">
        <v>23692</v>
      </c>
      <c r="L11839" t="s">
        <v>27250</v>
      </c>
      <c r="M11839" t="s">
        <v>27251</v>
      </c>
      <c r="N11839" t="s">
        <v>27252</v>
      </c>
      <c r="Q11839" s="1">
        <v>44538</v>
      </c>
      <c r="R11839" t="s">
        <v>27253</v>
      </c>
      <c r="S11839" t="s">
        <v>27254</v>
      </c>
      <c r="T11839" t="s">
        <v>27255</v>
      </c>
    </row>
    <row r="11840" spans="1:20" x14ac:dyDescent="0.3">
      <c r="A11840" t="str">
        <f>"0611830941100"</f>
        <v>0611830941100</v>
      </c>
      <c r="B11840" t="str">
        <f>"LK4369"</f>
        <v>LK4369</v>
      </c>
      <c r="C11840" t="s">
        <v>50135</v>
      </c>
      <c r="D11840" t="s">
        <v>27245</v>
      </c>
      <c r="E11840" t="str">
        <f t="shared" si="184"/>
        <v>001390</v>
      </c>
      <c r="F11840" t="s">
        <v>27246</v>
      </c>
      <c r="G11840" t="s">
        <v>27247</v>
      </c>
      <c r="H11840" t="s">
        <v>27248</v>
      </c>
      <c r="I11840" t="s">
        <v>50136</v>
      </c>
      <c r="J11840" t="s">
        <v>23694</v>
      </c>
      <c r="L11840" t="s">
        <v>27250</v>
      </c>
      <c r="M11840" t="s">
        <v>27251</v>
      </c>
      <c r="N11840" t="s">
        <v>27252</v>
      </c>
      <c r="Q11840" s="1">
        <v>44538</v>
      </c>
      <c r="R11840" t="s">
        <v>27253</v>
      </c>
      <c r="S11840" t="s">
        <v>27254</v>
      </c>
      <c r="T11840" t="s">
        <v>27255</v>
      </c>
    </row>
    <row r="11841" spans="1:20" x14ac:dyDescent="0.3">
      <c r="A11841" t="str">
        <f>"0611830942100"</f>
        <v>0611830942100</v>
      </c>
      <c r="B11841" t="str">
        <f>"LK6296"</f>
        <v>LK6296</v>
      </c>
      <c r="C11841" t="s">
        <v>50137</v>
      </c>
      <c r="D11841" t="s">
        <v>27245</v>
      </c>
      <c r="E11841" t="str">
        <f t="shared" si="184"/>
        <v>001390</v>
      </c>
      <c r="F11841" t="s">
        <v>27246</v>
      </c>
      <c r="G11841" t="s">
        <v>27247</v>
      </c>
      <c r="H11841" t="s">
        <v>27248</v>
      </c>
      <c r="I11841" t="s">
        <v>50138</v>
      </c>
      <c r="J11841" t="s">
        <v>23696</v>
      </c>
      <c r="L11841" t="s">
        <v>27250</v>
      </c>
      <c r="M11841" t="s">
        <v>27251</v>
      </c>
      <c r="N11841" t="s">
        <v>27252</v>
      </c>
      <c r="Q11841" s="1">
        <v>44538</v>
      </c>
      <c r="R11841" t="s">
        <v>27253</v>
      </c>
      <c r="S11841" t="s">
        <v>27254</v>
      </c>
      <c r="T11841" t="s">
        <v>27255</v>
      </c>
    </row>
    <row r="11842" spans="1:20" x14ac:dyDescent="0.3">
      <c r="A11842" t="str">
        <f>"0611839380100"</f>
        <v>0611839380100</v>
      </c>
      <c r="B11842" t="str">
        <f>"LK1881"</f>
        <v>LK1881</v>
      </c>
      <c r="C11842" t="s">
        <v>50139</v>
      </c>
      <c r="D11842" t="s">
        <v>27245</v>
      </c>
      <c r="E11842" t="str">
        <f t="shared" ref="E11842:E11905" si="185">"001390"</f>
        <v>001390</v>
      </c>
      <c r="F11842" t="s">
        <v>27246</v>
      </c>
      <c r="G11842" t="s">
        <v>27247</v>
      </c>
      <c r="H11842" t="s">
        <v>27248</v>
      </c>
      <c r="I11842" t="s">
        <v>50140</v>
      </c>
      <c r="J11842" t="s">
        <v>23698</v>
      </c>
      <c r="L11842" t="s">
        <v>27250</v>
      </c>
      <c r="M11842" t="s">
        <v>27251</v>
      </c>
      <c r="N11842" t="s">
        <v>27252</v>
      </c>
      <c r="Q11842" s="1">
        <v>44538</v>
      </c>
      <c r="R11842" t="s">
        <v>27253</v>
      </c>
      <c r="S11842" t="s">
        <v>27254</v>
      </c>
      <c r="T11842" t="s">
        <v>27255</v>
      </c>
    </row>
    <row r="11843" spans="1:20" x14ac:dyDescent="0.3">
      <c r="A11843" t="str">
        <f>"0611839384025"</f>
        <v>0611839384025</v>
      </c>
      <c r="B11843" t="str">
        <f>"MC4257"</f>
        <v>MC4257</v>
      </c>
      <c r="C11843" t="s">
        <v>50141</v>
      </c>
      <c r="D11843" t="s">
        <v>27267</v>
      </c>
      <c r="E11843" t="str">
        <f t="shared" si="185"/>
        <v>001390</v>
      </c>
      <c r="F11843" t="s">
        <v>27246</v>
      </c>
      <c r="G11843" t="s">
        <v>27247</v>
      </c>
      <c r="H11843" t="s">
        <v>27248</v>
      </c>
      <c r="I11843" t="s">
        <v>50142</v>
      </c>
      <c r="J11843" t="s">
        <v>23700</v>
      </c>
      <c r="L11843" t="s">
        <v>27250</v>
      </c>
      <c r="M11843" t="s">
        <v>27251</v>
      </c>
      <c r="N11843" t="s">
        <v>27252</v>
      </c>
      <c r="Q11843" s="1">
        <v>44538</v>
      </c>
      <c r="R11843" t="s">
        <v>27253</v>
      </c>
      <c r="S11843" t="s">
        <v>27254</v>
      </c>
      <c r="T11843" t="s">
        <v>27269</v>
      </c>
    </row>
    <row r="11844" spans="1:20" x14ac:dyDescent="0.3">
      <c r="A11844" t="str">
        <f>"0611884472025"</f>
        <v>0611884472025</v>
      </c>
      <c r="B11844" t="str">
        <f>"MQ0849"</f>
        <v>MQ0849</v>
      </c>
      <c r="C11844" t="s">
        <v>50143</v>
      </c>
      <c r="D11844" t="s">
        <v>27267</v>
      </c>
      <c r="E11844" t="str">
        <f t="shared" si="185"/>
        <v>001390</v>
      </c>
      <c r="F11844" t="s">
        <v>27246</v>
      </c>
      <c r="G11844" t="s">
        <v>27247</v>
      </c>
      <c r="H11844" t="s">
        <v>27248</v>
      </c>
      <c r="I11844" t="s">
        <v>50144</v>
      </c>
      <c r="J11844" t="s">
        <v>23702</v>
      </c>
      <c r="L11844" t="s">
        <v>27430</v>
      </c>
      <c r="M11844" t="s">
        <v>27251</v>
      </c>
      <c r="N11844" t="s">
        <v>27252</v>
      </c>
      <c r="Q11844" s="1">
        <v>45250</v>
      </c>
      <c r="R11844" t="s">
        <v>27253</v>
      </c>
      <c r="S11844" t="s">
        <v>27254</v>
      </c>
      <c r="T11844" t="s">
        <v>27269</v>
      </c>
    </row>
    <row r="11845" spans="1:20" x14ac:dyDescent="0.3">
      <c r="A11845" t="str">
        <f>"0611864101100"</f>
        <v>0611864101100</v>
      </c>
      <c r="B11845" t="str">
        <f>"CN5397"</f>
        <v>CN5397</v>
      </c>
      <c r="C11845" t="s">
        <v>50145</v>
      </c>
      <c r="D11845" t="s">
        <v>27552</v>
      </c>
      <c r="E11845" t="str">
        <f t="shared" si="185"/>
        <v>001390</v>
      </c>
      <c r="F11845" t="s">
        <v>27246</v>
      </c>
      <c r="G11845" t="s">
        <v>27247</v>
      </c>
      <c r="H11845" t="s">
        <v>27248</v>
      </c>
      <c r="I11845" t="s">
        <v>50146</v>
      </c>
      <c r="J11845" t="s">
        <v>23704</v>
      </c>
      <c r="L11845" t="s">
        <v>27250</v>
      </c>
      <c r="M11845" t="s">
        <v>27251</v>
      </c>
      <c r="N11845" t="s">
        <v>27252</v>
      </c>
      <c r="P11845" t="s">
        <v>27341</v>
      </c>
      <c r="Q11845" s="1">
        <v>44846</v>
      </c>
      <c r="R11845" t="s">
        <v>27253</v>
      </c>
      <c r="S11845" t="s">
        <v>27254</v>
      </c>
      <c r="T11845" t="s">
        <v>27255</v>
      </c>
    </row>
    <row r="11846" spans="1:20" x14ac:dyDescent="0.3">
      <c r="A11846" t="str">
        <f>"0611864102050"</f>
        <v>0611864102050</v>
      </c>
      <c r="B11846" t="str">
        <f>"CR3841"</f>
        <v>CR3841</v>
      </c>
      <c r="C11846" t="s">
        <v>50145</v>
      </c>
      <c r="D11846" t="s">
        <v>28376</v>
      </c>
      <c r="E11846" t="str">
        <f t="shared" si="185"/>
        <v>001390</v>
      </c>
      <c r="F11846" t="s">
        <v>27246</v>
      </c>
      <c r="G11846" t="s">
        <v>27247</v>
      </c>
      <c r="H11846" t="s">
        <v>27248</v>
      </c>
      <c r="I11846" t="s">
        <v>50147</v>
      </c>
      <c r="J11846" t="s">
        <v>23706</v>
      </c>
      <c r="L11846" t="s">
        <v>27250</v>
      </c>
      <c r="M11846" t="s">
        <v>27251</v>
      </c>
      <c r="N11846" t="s">
        <v>27252</v>
      </c>
      <c r="P11846" t="s">
        <v>27341</v>
      </c>
      <c r="Q11846" s="1">
        <v>44846</v>
      </c>
      <c r="R11846" t="s">
        <v>27253</v>
      </c>
      <c r="S11846" t="s">
        <v>27254</v>
      </c>
      <c r="T11846" t="s">
        <v>28378</v>
      </c>
    </row>
    <row r="11847" spans="1:20" x14ac:dyDescent="0.3">
      <c r="A11847" t="str">
        <f>"0611839385100"</f>
        <v>0611839385100</v>
      </c>
      <c r="B11847" t="str">
        <f>"LG6931"</f>
        <v>LG6931</v>
      </c>
      <c r="C11847" t="s">
        <v>50148</v>
      </c>
      <c r="D11847" t="s">
        <v>27245</v>
      </c>
      <c r="E11847" t="str">
        <f t="shared" si="185"/>
        <v>001390</v>
      </c>
      <c r="F11847" t="s">
        <v>27246</v>
      </c>
      <c r="G11847" t="s">
        <v>27247</v>
      </c>
      <c r="H11847" t="s">
        <v>27248</v>
      </c>
      <c r="I11847" t="s">
        <v>50149</v>
      </c>
      <c r="J11847" t="s">
        <v>23708</v>
      </c>
      <c r="L11847" t="s">
        <v>27250</v>
      </c>
      <c r="M11847" t="s">
        <v>27251</v>
      </c>
      <c r="N11847" t="s">
        <v>27252</v>
      </c>
      <c r="Q11847" s="1">
        <v>44538</v>
      </c>
      <c r="R11847" t="s">
        <v>27253</v>
      </c>
      <c r="S11847" t="s">
        <v>27254</v>
      </c>
      <c r="T11847" t="s">
        <v>27255</v>
      </c>
    </row>
    <row r="11848" spans="1:20" x14ac:dyDescent="0.3">
      <c r="A11848" t="str">
        <f>"0611839386025"</f>
        <v>0611839386025</v>
      </c>
      <c r="B11848" t="str">
        <f>"MC2339"</f>
        <v>MC2339</v>
      </c>
      <c r="C11848" t="s">
        <v>50148</v>
      </c>
      <c r="D11848" t="s">
        <v>27267</v>
      </c>
      <c r="E11848" t="str">
        <f t="shared" si="185"/>
        <v>001390</v>
      </c>
      <c r="F11848" t="s">
        <v>27246</v>
      </c>
      <c r="G11848" t="s">
        <v>27247</v>
      </c>
      <c r="H11848" t="s">
        <v>27248</v>
      </c>
      <c r="I11848" t="s">
        <v>50150</v>
      </c>
      <c r="J11848" t="s">
        <v>23710</v>
      </c>
      <c r="L11848" t="s">
        <v>27250</v>
      </c>
      <c r="M11848" t="s">
        <v>27251</v>
      </c>
      <c r="N11848" t="s">
        <v>27252</v>
      </c>
      <c r="Q11848" s="1">
        <v>44538</v>
      </c>
      <c r="R11848" t="s">
        <v>27253</v>
      </c>
      <c r="S11848" t="s">
        <v>27254</v>
      </c>
      <c r="T11848" t="s">
        <v>27269</v>
      </c>
    </row>
    <row r="11849" spans="1:20" x14ac:dyDescent="0.3">
      <c r="A11849" t="str">
        <f>"0611839387100"</f>
        <v>0611839387100</v>
      </c>
      <c r="B11849" t="str">
        <f>"LK0599"</f>
        <v>LK0599</v>
      </c>
      <c r="C11849" t="s">
        <v>50151</v>
      </c>
      <c r="D11849" t="s">
        <v>27245</v>
      </c>
      <c r="E11849" t="str">
        <f t="shared" si="185"/>
        <v>001390</v>
      </c>
      <c r="F11849" t="s">
        <v>27246</v>
      </c>
      <c r="G11849" t="s">
        <v>27247</v>
      </c>
      <c r="H11849" t="s">
        <v>27248</v>
      </c>
      <c r="I11849" t="s">
        <v>50152</v>
      </c>
      <c r="J11849" t="s">
        <v>23712</v>
      </c>
      <c r="L11849" t="s">
        <v>27250</v>
      </c>
      <c r="M11849" t="s">
        <v>27251</v>
      </c>
      <c r="N11849" t="s">
        <v>27252</v>
      </c>
      <c r="Q11849" s="1">
        <v>44538</v>
      </c>
      <c r="R11849" t="s">
        <v>27253</v>
      </c>
      <c r="S11849" t="s">
        <v>27254</v>
      </c>
      <c r="T11849" t="s">
        <v>27255</v>
      </c>
    </row>
    <row r="11850" spans="1:20" x14ac:dyDescent="0.3">
      <c r="A11850" t="str">
        <f>"0611857111100"</f>
        <v>0611857111100</v>
      </c>
      <c r="B11850" t="str">
        <f>"LL5045"</f>
        <v>LL5045</v>
      </c>
      <c r="C11850" t="s">
        <v>50153</v>
      </c>
      <c r="D11850" t="s">
        <v>27245</v>
      </c>
      <c r="E11850" t="str">
        <f t="shared" si="185"/>
        <v>001390</v>
      </c>
      <c r="F11850" t="s">
        <v>27246</v>
      </c>
      <c r="G11850" t="s">
        <v>27247</v>
      </c>
      <c r="H11850" t="s">
        <v>27248</v>
      </c>
      <c r="I11850" t="s">
        <v>50154</v>
      </c>
      <c r="J11850" t="s">
        <v>23714</v>
      </c>
      <c r="L11850" t="s">
        <v>27250</v>
      </c>
      <c r="M11850" t="s">
        <v>27251</v>
      </c>
      <c r="N11850" t="s">
        <v>27252</v>
      </c>
      <c r="Q11850" s="1">
        <v>44812</v>
      </c>
      <c r="R11850" t="s">
        <v>27253</v>
      </c>
      <c r="S11850" t="s">
        <v>27254</v>
      </c>
      <c r="T11850" t="s">
        <v>27255</v>
      </c>
    </row>
    <row r="11851" spans="1:20" x14ac:dyDescent="0.3">
      <c r="A11851" t="str">
        <f>"0611839388100"</f>
        <v>0611839388100</v>
      </c>
      <c r="B11851" t="str">
        <f>"LL0066"</f>
        <v>LL0066</v>
      </c>
      <c r="C11851" t="s">
        <v>50155</v>
      </c>
      <c r="D11851" t="s">
        <v>27245</v>
      </c>
      <c r="E11851" t="str">
        <f t="shared" si="185"/>
        <v>001390</v>
      </c>
      <c r="F11851" t="s">
        <v>27246</v>
      </c>
      <c r="G11851" t="s">
        <v>27247</v>
      </c>
      <c r="H11851" t="s">
        <v>27248</v>
      </c>
      <c r="I11851" t="s">
        <v>50156</v>
      </c>
      <c r="J11851" t="s">
        <v>23716</v>
      </c>
      <c r="L11851" t="s">
        <v>27250</v>
      </c>
      <c r="M11851" t="s">
        <v>27251</v>
      </c>
      <c r="N11851" t="s">
        <v>27252</v>
      </c>
      <c r="Q11851" s="1">
        <v>44538</v>
      </c>
      <c r="R11851" t="s">
        <v>27253</v>
      </c>
      <c r="S11851" t="s">
        <v>27254</v>
      </c>
      <c r="T11851" t="s">
        <v>27255</v>
      </c>
    </row>
    <row r="11852" spans="1:20" x14ac:dyDescent="0.3">
      <c r="A11852" t="str">
        <f>"0611839389100"</f>
        <v>0611839389100</v>
      </c>
      <c r="B11852" t="str">
        <f>"LL0033"</f>
        <v>LL0033</v>
      </c>
      <c r="C11852" t="s">
        <v>50157</v>
      </c>
      <c r="D11852" t="s">
        <v>27245</v>
      </c>
      <c r="E11852" t="str">
        <f t="shared" si="185"/>
        <v>001390</v>
      </c>
      <c r="F11852" t="s">
        <v>27246</v>
      </c>
      <c r="G11852" t="s">
        <v>27247</v>
      </c>
      <c r="H11852" t="s">
        <v>27248</v>
      </c>
      <c r="I11852" t="s">
        <v>50158</v>
      </c>
      <c r="J11852" t="s">
        <v>23718</v>
      </c>
      <c r="L11852" t="s">
        <v>27250</v>
      </c>
      <c r="M11852" t="s">
        <v>27251</v>
      </c>
      <c r="N11852" t="s">
        <v>27252</v>
      </c>
      <c r="Q11852" s="1">
        <v>44538</v>
      </c>
      <c r="R11852" t="s">
        <v>27253</v>
      </c>
      <c r="S11852" t="s">
        <v>27254</v>
      </c>
      <c r="T11852" t="s">
        <v>27255</v>
      </c>
    </row>
    <row r="11853" spans="1:20" x14ac:dyDescent="0.3">
      <c r="A11853" t="str">
        <f>"0611839390100"</f>
        <v>0611839390100</v>
      </c>
      <c r="B11853" t="str">
        <f>"LL0134"</f>
        <v>LL0134</v>
      </c>
      <c r="C11853" t="s">
        <v>50159</v>
      </c>
      <c r="D11853" t="s">
        <v>27245</v>
      </c>
      <c r="E11853" t="str">
        <f t="shared" si="185"/>
        <v>001390</v>
      </c>
      <c r="F11853" t="s">
        <v>27246</v>
      </c>
      <c r="G11853" t="s">
        <v>27247</v>
      </c>
      <c r="H11853" t="s">
        <v>27248</v>
      </c>
      <c r="I11853" t="s">
        <v>50160</v>
      </c>
      <c r="J11853" t="s">
        <v>23720</v>
      </c>
      <c r="L11853" t="s">
        <v>27250</v>
      </c>
      <c r="M11853" t="s">
        <v>27251</v>
      </c>
      <c r="N11853" t="s">
        <v>27252</v>
      </c>
      <c r="Q11853" s="1">
        <v>44538</v>
      </c>
      <c r="R11853" t="s">
        <v>27253</v>
      </c>
      <c r="S11853" t="s">
        <v>27254</v>
      </c>
      <c r="T11853" t="s">
        <v>27255</v>
      </c>
    </row>
    <row r="11854" spans="1:20" x14ac:dyDescent="0.3">
      <c r="A11854" t="str">
        <f>"0611839391100"</f>
        <v>0611839391100</v>
      </c>
      <c r="B11854" t="str">
        <f>"LL0007"</f>
        <v>LL0007</v>
      </c>
      <c r="C11854" t="s">
        <v>50161</v>
      </c>
      <c r="D11854" t="s">
        <v>27245</v>
      </c>
      <c r="E11854" t="str">
        <f t="shared" si="185"/>
        <v>001390</v>
      </c>
      <c r="F11854" t="s">
        <v>27246</v>
      </c>
      <c r="G11854" t="s">
        <v>27247</v>
      </c>
      <c r="H11854" t="s">
        <v>27248</v>
      </c>
      <c r="I11854" t="s">
        <v>50162</v>
      </c>
      <c r="J11854" t="s">
        <v>23722</v>
      </c>
      <c r="L11854" t="s">
        <v>27250</v>
      </c>
      <c r="M11854" t="s">
        <v>27251</v>
      </c>
      <c r="N11854" t="s">
        <v>27252</v>
      </c>
      <c r="Q11854" s="1">
        <v>44538</v>
      </c>
      <c r="R11854" t="s">
        <v>27253</v>
      </c>
      <c r="S11854" t="s">
        <v>27254</v>
      </c>
      <c r="T11854" t="s">
        <v>27255</v>
      </c>
    </row>
    <row r="11855" spans="1:20" x14ac:dyDescent="0.3">
      <c r="A11855" t="str">
        <f>"0611839392100"</f>
        <v>0611839392100</v>
      </c>
      <c r="B11855" t="str">
        <f>"LL3700"</f>
        <v>LL3700</v>
      </c>
      <c r="C11855" t="s">
        <v>50163</v>
      </c>
      <c r="D11855" t="s">
        <v>27245</v>
      </c>
      <c r="E11855" t="str">
        <f t="shared" si="185"/>
        <v>001390</v>
      </c>
      <c r="F11855" t="s">
        <v>27246</v>
      </c>
      <c r="G11855" t="s">
        <v>27247</v>
      </c>
      <c r="H11855" t="s">
        <v>27248</v>
      </c>
      <c r="I11855" t="s">
        <v>50164</v>
      </c>
      <c r="J11855" t="s">
        <v>23724</v>
      </c>
      <c r="L11855" t="s">
        <v>27250</v>
      </c>
      <c r="M11855" t="s">
        <v>27251</v>
      </c>
      <c r="N11855" t="s">
        <v>27252</v>
      </c>
      <c r="Q11855" s="1">
        <v>44538</v>
      </c>
      <c r="R11855" t="s">
        <v>27253</v>
      </c>
      <c r="S11855" t="s">
        <v>27254</v>
      </c>
      <c r="T11855" t="s">
        <v>27255</v>
      </c>
    </row>
    <row r="11856" spans="1:20" x14ac:dyDescent="0.3">
      <c r="A11856" t="str">
        <f>"0611839393100"</f>
        <v>0611839393100</v>
      </c>
      <c r="B11856" t="str">
        <f>"LL0067"</f>
        <v>LL0067</v>
      </c>
      <c r="C11856" t="s">
        <v>50165</v>
      </c>
      <c r="D11856" t="s">
        <v>27245</v>
      </c>
      <c r="E11856" t="str">
        <f t="shared" si="185"/>
        <v>001390</v>
      </c>
      <c r="F11856" t="s">
        <v>27246</v>
      </c>
      <c r="G11856" t="s">
        <v>27247</v>
      </c>
      <c r="H11856" t="s">
        <v>27248</v>
      </c>
      <c r="I11856" t="s">
        <v>50166</v>
      </c>
      <c r="J11856" t="s">
        <v>23726</v>
      </c>
      <c r="L11856" t="s">
        <v>27250</v>
      </c>
      <c r="M11856" t="s">
        <v>27251</v>
      </c>
      <c r="N11856" t="s">
        <v>27252</v>
      </c>
      <c r="Q11856" s="1">
        <v>44538</v>
      </c>
      <c r="R11856" t="s">
        <v>27253</v>
      </c>
      <c r="S11856" t="s">
        <v>27254</v>
      </c>
      <c r="T11856" t="s">
        <v>27255</v>
      </c>
    </row>
    <row r="11857" spans="1:20" x14ac:dyDescent="0.3">
      <c r="A11857" t="str">
        <f>"0611839394025"</f>
        <v>0611839394025</v>
      </c>
      <c r="B11857" t="str">
        <f>"MC3890"</f>
        <v>MC3890</v>
      </c>
      <c r="C11857" t="s">
        <v>50167</v>
      </c>
      <c r="D11857" t="s">
        <v>27267</v>
      </c>
      <c r="E11857" t="str">
        <f t="shared" si="185"/>
        <v>001390</v>
      </c>
      <c r="F11857" t="s">
        <v>27246</v>
      </c>
      <c r="G11857" t="s">
        <v>27247</v>
      </c>
      <c r="H11857" t="s">
        <v>27248</v>
      </c>
      <c r="I11857" t="s">
        <v>50168</v>
      </c>
      <c r="J11857" t="s">
        <v>23728</v>
      </c>
      <c r="L11857" t="s">
        <v>27250</v>
      </c>
      <c r="M11857" t="s">
        <v>27251</v>
      </c>
      <c r="N11857" t="s">
        <v>27252</v>
      </c>
      <c r="Q11857" s="1">
        <v>44538</v>
      </c>
      <c r="R11857" t="s">
        <v>27253</v>
      </c>
      <c r="S11857" t="s">
        <v>27254</v>
      </c>
      <c r="T11857" t="s">
        <v>27269</v>
      </c>
    </row>
    <row r="11858" spans="1:20" x14ac:dyDescent="0.3">
      <c r="A11858" t="str">
        <f>"0611831822100"</f>
        <v>0611831822100</v>
      </c>
      <c r="B11858" t="str">
        <f>"LL0445"</f>
        <v>LL0445</v>
      </c>
      <c r="C11858" t="s">
        <v>50169</v>
      </c>
      <c r="D11858" t="s">
        <v>27245</v>
      </c>
      <c r="E11858" t="str">
        <f t="shared" si="185"/>
        <v>001390</v>
      </c>
      <c r="F11858" t="s">
        <v>27246</v>
      </c>
      <c r="G11858" t="s">
        <v>27247</v>
      </c>
      <c r="H11858" t="s">
        <v>27248</v>
      </c>
      <c r="I11858" t="s">
        <v>50170</v>
      </c>
      <c r="J11858" t="s">
        <v>3029</v>
      </c>
      <c r="L11858" t="s">
        <v>27250</v>
      </c>
      <c r="M11858" t="s">
        <v>27251</v>
      </c>
      <c r="N11858" t="s">
        <v>27252</v>
      </c>
      <c r="Q11858" s="1">
        <v>44538</v>
      </c>
      <c r="R11858" t="s">
        <v>27253</v>
      </c>
      <c r="S11858" t="s">
        <v>27254</v>
      </c>
      <c r="T11858" t="s">
        <v>27255</v>
      </c>
    </row>
    <row r="11859" spans="1:20" x14ac:dyDescent="0.3">
      <c r="A11859" t="str">
        <f>"0611831823200"</f>
        <v>0611831823200</v>
      </c>
      <c r="B11859" t="str">
        <f>"KY0445"</f>
        <v>KY0445</v>
      </c>
      <c r="C11859" t="s">
        <v>50169</v>
      </c>
      <c r="D11859" t="s">
        <v>27682</v>
      </c>
      <c r="E11859" t="str">
        <f t="shared" si="185"/>
        <v>001390</v>
      </c>
      <c r="F11859" t="s">
        <v>27246</v>
      </c>
      <c r="G11859" t="s">
        <v>27247</v>
      </c>
      <c r="H11859" t="s">
        <v>27248</v>
      </c>
      <c r="I11859" t="s">
        <v>50171</v>
      </c>
      <c r="J11859" t="s">
        <v>3031</v>
      </c>
      <c r="L11859" t="s">
        <v>27250</v>
      </c>
      <c r="M11859" t="s">
        <v>27251</v>
      </c>
      <c r="N11859" t="s">
        <v>27252</v>
      </c>
      <c r="Q11859" s="1">
        <v>44538</v>
      </c>
      <c r="R11859" t="s">
        <v>27253</v>
      </c>
      <c r="S11859" t="s">
        <v>27254</v>
      </c>
      <c r="T11859" t="s">
        <v>27684</v>
      </c>
    </row>
    <row r="11860" spans="1:20" x14ac:dyDescent="0.3">
      <c r="A11860" t="str">
        <f>"0611833564100"</f>
        <v>0611833564100</v>
      </c>
      <c r="B11860" t="str">
        <f>"LL3775"</f>
        <v>LL3775</v>
      </c>
      <c r="C11860" t="s">
        <v>50172</v>
      </c>
      <c r="D11860" t="s">
        <v>27245</v>
      </c>
      <c r="E11860" t="str">
        <f t="shared" si="185"/>
        <v>001390</v>
      </c>
      <c r="F11860" t="s">
        <v>27246</v>
      </c>
      <c r="G11860" t="s">
        <v>27247</v>
      </c>
      <c r="H11860" t="s">
        <v>27248</v>
      </c>
      <c r="I11860" t="s">
        <v>50173</v>
      </c>
      <c r="J11860" t="s">
        <v>23730</v>
      </c>
      <c r="L11860" t="s">
        <v>27250</v>
      </c>
      <c r="M11860" t="s">
        <v>27251</v>
      </c>
      <c r="N11860" t="s">
        <v>27252</v>
      </c>
      <c r="Q11860" s="1">
        <v>44538</v>
      </c>
      <c r="R11860" t="s">
        <v>27253</v>
      </c>
      <c r="S11860" t="s">
        <v>27254</v>
      </c>
      <c r="T11860" t="s">
        <v>27255</v>
      </c>
    </row>
    <row r="11861" spans="1:20" x14ac:dyDescent="0.3">
      <c r="A11861" t="str">
        <f>"0611833565200"</f>
        <v>0611833565200</v>
      </c>
      <c r="B11861" t="str">
        <f>"KY3775"</f>
        <v>KY3775</v>
      </c>
      <c r="C11861" t="s">
        <v>50172</v>
      </c>
      <c r="D11861" t="s">
        <v>27682</v>
      </c>
      <c r="E11861" t="str">
        <f t="shared" si="185"/>
        <v>001390</v>
      </c>
      <c r="F11861" t="s">
        <v>27246</v>
      </c>
      <c r="G11861" t="s">
        <v>27247</v>
      </c>
      <c r="H11861" t="s">
        <v>27248</v>
      </c>
      <c r="I11861" t="s">
        <v>50174</v>
      </c>
      <c r="J11861" t="s">
        <v>23732</v>
      </c>
      <c r="L11861" t="s">
        <v>27250</v>
      </c>
      <c r="M11861" t="s">
        <v>27251</v>
      </c>
      <c r="N11861" t="s">
        <v>27252</v>
      </c>
      <c r="Q11861" s="1">
        <v>44538</v>
      </c>
      <c r="R11861" t="s">
        <v>27253</v>
      </c>
      <c r="S11861" t="s">
        <v>27254</v>
      </c>
      <c r="T11861" t="s">
        <v>27684</v>
      </c>
    </row>
    <row r="11862" spans="1:20" x14ac:dyDescent="0.3">
      <c r="A11862" t="str">
        <f>"0611839395100"</f>
        <v>0611839395100</v>
      </c>
      <c r="B11862" t="str">
        <f>"LL3750"</f>
        <v>LL3750</v>
      </c>
      <c r="C11862" t="s">
        <v>50175</v>
      </c>
      <c r="D11862" t="s">
        <v>27245</v>
      </c>
      <c r="E11862" t="str">
        <f t="shared" si="185"/>
        <v>001390</v>
      </c>
      <c r="F11862" t="s">
        <v>27246</v>
      </c>
      <c r="G11862" t="s">
        <v>27247</v>
      </c>
      <c r="H11862" t="s">
        <v>27248</v>
      </c>
      <c r="I11862" t="s">
        <v>50176</v>
      </c>
      <c r="J11862" t="s">
        <v>23734</v>
      </c>
      <c r="L11862" t="s">
        <v>27250</v>
      </c>
      <c r="M11862" t="s">
        <v>27251</v>
      </c>
      <c r="N11862" t="s">
        <v>27252</v>
      </c>
      <c r="Q11862" s="1">
        <v>44538</v>
      </c>
      <c r="R11862" t="s">
        <v>27253</v>
      </c>
      <c r="S11862" t="s">
        <v>27254</v>
      </c>
      <c r="T11862" t="s">
        <v>27255</v>
      </c>
    </row>
    <row r="11863" spans="1:20" x14ac:dyDescent="0.3">
      <c r="A11863" t="str">
        <f>"0611839396100"</f>
        <v>0611839396100</v>
      </c>
      <c r="B11863" t="str">
        <f>"LL3751"</f>
        <v>LL3751</v>
      </c>
      <c r="C11863" t="s">
        <v>50177</v>
      </c>
      <c r="D11863" t="s">
        <v>27245</v>
      </c>
      <c r="E11863" t="str">
        <f t="shared" si="185"/>
        <v>001390</v>
      </c>
      <c r="F11863" t="s">
        <v>27246</v>
      </c>
      <c r="G11863" t="s">
        <v>27247</v>
      </c>
      <c r="H11863" t="s">
        <v>27248</v>
      </c>
      <c r="I11863" t="s">
        <v>50178</v>
      </c>
      <c r="J11863" t="s">
        <v>23736</v>
      </c>
      <c r="L11863" t="s">
        <v>27250</v>
      </c>
      <c r="M11863" t="s">
        <v>27251</v>
      </c>
      <c r="N11863" t="s">
        <v>27252</v>
      </c>
      <c r="Q11863" s="1">
        <v>44538</v>
      </c>
      <c r="R11863" t="s">
        <v>27253</v>
      </c>
      <c r="S11863" t="s">
        <v>27254</v>
      </c>
      <c r="T11863" t="s">
        <v>27255</v>
      </c>
    </row>
    <row r="11864" spans="1:20" x14ac:dyDescent="0.3">
      <c r="A11864" t="str">
        <f>"0611833567100"</f>
        <v>0611833567100</v>
      </c>
      <c r="B11864" t="str">
        <f>"LL1706"</f>
        <v>LL1706</v>
      </c>
      <c r="C11864" t="s">
        <v>50179</v>
      </c>
      <c r="D11864" t="s">
        <v>27245</v>
      </c>
      <c r="E11864" t="str">
        <f t="shared" si="185"/>
        <v>001390</v>
      </c>
      <c r="F11864" t="s">
        <v>27246</v>
      </c>
      <c r="G11864" t="s">
        <v>27247</v>
      </c>
      <c r="H11864" t="s">
        <v>27248</v>
      </c>
      <c r="I11864" t="s">
        <v>50180</v>
      </c>
      <c r="J11864" t="s">
        <v>23738</v>
      </c>
      <c r="L11864" t="s">
        <v>27250</v>
      </c>
      <c r="M11864" t="s">
        <v>27251</v>
      </c>
      <c r="N11864" t="s">
        <v>27252</v>
      </c>
      <c r="Q11864" s="1">
        <v>44538</v>
      </c>
      <c r="R11864" t="s">
        <v>27253</v>
      </c>
      <c r="S11864" t="s">
        <v>27254</v>
      </c>
      <c r="T11864" t="s">
        <v>27255</v>
      </c>
    </row>
    <row r="11865" spans="1:20" x14ac:dyDescent="0.3">
      <c r="A11865" t="str">
        <f>"0611839397100"</f>
        <v>0611839397100</v>
      </c>
      <c r="B11865" t="str">
        <f>"LL3824"</f>
        <v>LL3824</v>
      </c>
      <c r="C11865" t="s">
        <v>50181</v>
      </c>
      <c r="D11865" t="s">
        <v>27245</v>
      </c>
      <c r="E11865" t="str">
        <f t="shared" si="185"/>
        <v>001390</v>
      </c>
      <c r="F11865" t="s">
        <v>27246</v>
      </c>
      <c r="G11865" t="s">
        <v>27247</v>
      </c>
      <c r="H11865" t="s">
        <v>27248</v>
      </c>
      <c r="I11865" t="s">
        <v>50182</v>
      </c>
      <c r="J11865" t="s">
        <v>23740</v>
      </c>
      <c r="L11865" t="s">
        <v>27250</v>
      </c>
      <c r="M11865" t="s">
        <v>27251</v>
      </c>
      <c r="N11865" t="s">
        <v>27252</v>
      </c>
      <c r="Q11865" s="1">
        <v>44538</v>
      </c>
      <c r="R11865" t="s">
        <v>27253</v>
      </c>
      <c r="S11865" t="s">
        <v>27254</v>
      </c>
      <c r="T11865" t="s">
        <v>27255</v>
      </c>
    </row>
    <row r="11866" spans="1:20" x14ac:dyDescent="0.3">
      <c r="A11866" t="str">
        <f>"0611833570100"</f>
        <v>0611833570100</v>
      </c>
      <c r="B11866" t="str">
        <f>"LL3779"</f>
        <v>LL3779</v>
      </c>
      <c r="C11866" t="s">
        <v>50183</v>
      </c>
      <c r="D11866" t="s">
        <v>27245</v>
      </c>
      <c r="E11866" t="str">
        <f t="shared" si="185"/>
        <v>001390</v>
      </c>
      <c r="F11866" t="s">
        <v>27246</v>
      </c>
      <c r="G11866" t="s">
        <v>27247</v>
      </c>
      <c r="H11866" t="s">
        <v>27248</v>
      </c>
      <c r="I11866" t="s">
        <v>50184</v>
      </c>
      <c r="J11866" t="s">
        <v>23742</v>
      </c>
      <c r="L11866" t="s">
        <v>27250</v>
      </c>
      <c r="M11866" t="s">
        <v>27251</v>
      </c>
      <c r="N11866" t="s">
        <v>27252</v>
      </c>
      <c r="Q11866" s="1">
        <v>44538</v>
      </c>
      <c r="R11866" t="s">
        <v>27253</v>
      </c>
      <c r="S11866" t="s">
        <v>27254</v>
      </c>
      <c r="T11866" t="s">
        <v>27255</v>
      </c>
    </row>
    <row r="11867" spans="1:20" x14ac:dyDescent="0.3">
      <c r="A11867" t="str">
        <f>"0611839398100"</f>
        <v>0611839398100</v>
      </c>
      <c r="B11867" t="str">
        <f>"LL3820"</f>
        <v>LL3820</v>
      </c>
      <c r="C11867" t="s">
        <v>50185</v>
      </c>
      <c r="D11867" t="s">
        <v>27245</v>
      </c>
      <c r="E11867" t="str">
        <f t="shared" si="185"/>
        <v>001390</v>
      </c>
      <c r="F11867" t="s">
        <v>27246</v>
      </c>
      <c r="G11867" t="s">
        <v>27247</v>
      </c>
      <c r="H11867" t="s">
        <v>27248</v>
      </c>
      <c r="I11867" t="s">
        <v>50186</v>
      </c>
      <c r="J11867" t="s">
        <v>23744</v>
      </c>
      <c r="L11867" t="s">
        <v>27250</v>
      </c>
      <c r="M11867" t="s">
        <v>27251</v>
      </c>
      <c r="N11867" t="s">
        <v>27252</v>
      </c>
      <c r="Q11867" s="1">
        <v>44538</v>
      </c>
      <c r="R11867" t="s">
        <v>27253</v>
      </c>
      <c r="S11867" t="s">
        <v>27254</v>
      </c>
      <c r="T11867" t="s">
        <v>27255</v>
      </c>
    </row>
    <row r="11868" spans="1:20" x14ac:dyDescent="0.3">
      <c r="A11868" t="str">
        <f>"0611839399100"</f>
        <v>0611839399100</v>
      </c>
      <c r="B11868" t="str">
        <f>"LL4076"</f>
        <v>LL4076</v>
      </c>
      <c r="C11868" t="s">
        <v>50187</v>
      </c>
      <c r="D11868" t="s">
        <v>27245</v>
      </c>
      <c r="E11868" t="str">
        <f t="shared" si="185"/>
        <v>001390</v>
      </c>
      <c r="F11868" t="s">
        <v>27246</v>
      </c>
      <c r="G11868" t="s">
        <v>27247</v>
      </c>
      <c r="H11868" t="s">
        <v>27248</v>
      </c>
      <c r="I11868" t="s">
        <v>50188</v>
      </c>
      <c r="J11868" t="s">
        <v>23746</v>
      </c>
      <c r="L11868" t="s">
        <v>27250</v>
      </c>
      <c r="M11868" t="s">
        <v>27251</v>
      </c>
      <c r="N11868" t="s">
        <v>27252</v>
      </c>
      <c r="Q11868" s="1">
        <v>44538</v>
      </c>
      <c r="R11868" t="s">
        <v>27253</v>
      </c>
      <c r="S11868" t="s">
        <v>27254</v>
      </c>
      <c r="T11868" t="s">
        <v>27255</v>
      </c>
    </row>
    <row r="11869" spans="1:20" x14ac:dyDescent="0.3">
      <c r="A11869" t="str">
        <f>"0611839400100"</f>
        <v>0611839400100</v>
      </c>
      <c r="B11869" t="str">
        <f>"LL8154"</f>
        <v>LL8154</v>
      </c>
      <c r="C11869" t="s">
        <v>50189</v>
      </c>
      <c r="D11869" t="s">
        <v>27245</v>
      </c>
      <c r="E11869" t="str">
        <f t="shared" si="185"/>
        <v>001390</v>
      </c>
      <c r="F11869" t="s">
        <v>27246</v>
      </c>
      <c r="G11869" t="s">
        <v>27247</v>
      </c>
      <c r="H11869" t="s">
        <v>27248</v>
      </c>
      <c r="I11869" t="s">
        <v>50190</v>
      </c>
      <c r="J11869" t="s">
        <v>23748</v>
      </c>
      <c r="L11869" t="s">
        <v>27250</v>
      </c>
      <c r="M11869" t="s">
        <v>27251</v>
      </c>
      <c r="N11869" t="s">
        <v>27252</v>
      </c>
      <c r="Q11869" s="1">
        <v>44538</v>
      </c>
      <c r="R11869" t="s">
        <v>27253</v>
      </c>
      <c r="S11869" t="s">
        <v>27254</v>
      </c>
      <c r="T11869" t="s">
        <v>27255</v>
      </c>
    </row>
    <row r="11870" spans="1:20" x14ac:dyDescent="0.3">
      <c r="A11870" t="str">
        <f>"0611839401100"</f>
        <v>0611839401100</v>
      </c>
      <c r="B11870" t="str">
        <f>"LL4843"</f>
        <v>LL4843</v>
      </c>
      <c r="C11870" t="s">
        <v>50191</v>
      </c>
      <c r="D11870" t="s">
        <v>27245</v>
      </c>
      <c r="E11870" t="str">
        <f t="shared" si="185"/>
        <v>001390</v>
      </c>
      <c r="F11870" t="s">
        <v>27246</v>
      </c>
      <c r="G11870" t="s">
        <v>27247</v>
      </c>
      <c r="H11870" t="s">
        <v>27248</v>
      </c>
      <c r="I11870" t="s">
        <v>50192</v>
      </c>
      <c r="J11870" t="s">
        <v>23750</v>
      </c>
      <c r="L11870" t="s">
        <v>27250</v>
      </c>
      <c r="M11870" t="s">
        <v>27251</v>
      </c>
      <c r="N11870" t="s">
        <v>27252</v>
      </c>
      <c r="Q11870" s="1">
        <v>44538</v>
      </c>
      <c r="R11870" t="s">
        <v>27253</v>
      </c>
      <c r="S11870" t="s">
        <v>27254</v>
      </c>
      <c r="T11870" t="s">
        <v>27255</v>
      </c>
    </row>
    <row r="11871" spans="1:20" x14ac:dyDescent="0.3">
      <c r="A11871" t="str">
        <f>"0611839402100"</f>
        <v>0611839402100</v>
      </c>
      <c r="B11871" t="str">
        <f>"LC9602"</f>
        <v>LC9602</v>
      </c>
      <c r="C11871" t="s">
        <v>50193</v>
      </c>
      <c r="D11871" t="s">
        <v>27245</v>
      </c>
      <c r="E11871" t="str">
        <f t="shared" si="185"/>
        <v>001390</v>
      </c>
      <c r="F11871" t="s">
        <v>27246</v>
      </c>
      <c r="G11871" t="s">
        <v>27247</v>
      </c>
      <c r="H11871" t="s">
        <v>27248</v>
      </c>
      <c r="I11871" t="s">
        <v>50194</v>
      </c>
      <c r="J11871" t="s">
        <v>23752</v>
      </c>
      <c r="L11871" t="s">
        <v>27250</v>
      </c>
      <c r="M11871" t="s">
        <v>27251</v>
      </c>
      <c r="N11871" t="s">
        <v>27252</v>
      </c>
      <c r="Q11871" s="1">
        <v>44538</v>
      </c>
      <c r="R11871" t="s">
        <v>27253</v>
      </c>
      <c r="S11871" t="s">
        <v>27254</v>
      </c>
      <c r="T11871" t="s">
        <v>27255</v>
      </c>
    </row>
    <row r="11872" spans="1:20" x14ac:dyDescent="0.3">
      <c r="A11872" t="str">
        <f>"0611839403100"</f>
        <v>0611839403100</v>
      </c>
      <c r="B11872" t="str">
        <f>"LL0035"</f>
        <v>LL0035</v>
      </c>
      <c r="C11872" t="s">
        <v>50195</v>
      </c>
      <c r="D11872" t="s">
        <v>27245</v>
      </c>
      <c r="E11872" t="str">
        <f t="shared" si="185"/>
        <v>001390</v>
      </c>
      <c r="F11872" t="s">
        <v>27246</v>
      </c>
      <c r="G11872" t="s">
        <v>27247</v>
      </c>
      <c r="H11872" t="s">
        <v>27248</v>
      </c>
      <c r="I11872" t="s">
        <v>50196</v>
      </c>
      <c r="J11872" t="s">
        <v>23754</v>
      </c>
      <c r="L11872" t="s">
        <v>27250</v>
      </c>
      <c r="M11872" t="s">
        <v>27251</v>
      </c>
      <c r="N11872" t="s">
        <v>27252</v>
      </c>
      <c r="Q11872" s="1">
        <v>44538</v>
      </c>
      <c r="R11872" t="s">
        <v>27253</v>
      </c>
      <c r="S11872" t="s">
        <v>27254</v>
      </c>
      <c r="T11872" t="s">
        <v>27255</v>
      </c>
    </row>
    <row r="11873" spans="1:20" x14ac:dyDescent="0.3">
      <c r="A11873" t="str">
        <f>"0611839404100"</f>
        <v>0611839404100</v>
      </c>
      <c r="B11873" t="str">
        <f>"LL3780"</f>
        <v>LL3780</v>
      </c>
      <c r="C11873" t="s">
        <v>50197</v>
      </c>
      <c r="D11873" t="s">
        <v>27245</v>
      </c>
      <c r="E11873" t="str">
        <f t="shared" si="185"/>
        <v>001390</v>
      </c>
      <c r="F11873" t="s">
        <v>27246</v>
      </c>
      <c r="G11873" t="s">
        <v>27247</v>
      </c>
      <c r="H11873" t="s">
        <v>27248</v>
      </c>
      <c r="I11873" t="s">
        <v>50198</v>
      </c>
      <c r="J11873" t="s">
        <v>23756</v>
      </c>
      <c r="L11873" t="s">
        <v>27250</v>
      </c>
      <c r="M11873" t="s">
        <v>27251</v>
      </c>
      <c r="N11873" t="s">
        <v>27252</v>
      </c>
      <c r="Q11873" s="1">
        <v>44538</v>
      </c>
      <c r="R11873" t="s">
        <v>27253</v>
      </c>
      <c r="S11873" t="s">
        <v>27254</v>
      </c>
      <c r="T11873" t="s">
        <v>27255</v>
      </c>
    </row>
    <row r="11874" spans="1:20" x14ac:dyDescent="0.3">
      <c r="A11874" t="str">
        <f>"0611839405100"</f>
        <v>0611839405100</v>
      </c>
      <c r="B11874" t="str">
        <f>"LL3783"</f>
        <v>LL3783</v>
      </c>
      <c r="C11874" t="s">
        <v>50199</v>
      </c>
      <c r="D11874" t="s">
        <v>27245</v>
      </c>
      <c r="E11874" t="str">
        <f t="shared" si="185"/>
        <v>001390</v>
      </c>
      <c r="F11874" t="s">
        <v>27246</v>
      </c>
      <c r="G11874" t="s">
        <v>27247</v>
      </c>
      <c r="H11874" t="s">
        <v>27248</v>
      </c>
      <c r="I11874" t="s">
        <v>50200</v>
      </c>
      <c r="J11874" t="s">
        <v>23758</v>
      </c>
      <c r="L11874" t="s">
        <v>27250</v>
      </c>
      <c r="M11874" t="s">
        <v>27251</v>
      </c>
      <c r="N11874" t="s">
        <v>27252</v>
      </c>
      <c r="O11874">
        <v>300</v>
      </c>
      <c r="Q11874" s="1">
        <v>44538</v>
      </c>
      <c r="R11874" t="s">
        <v>27253</v>
      </c>
      <c r="S11874" t="s">
        <v>27254</v>
      </c>
      <c r="T11874" t="s">
        <v>27255</v>
      </c>
    </row>
    <row r="11875" spans="1:20" x14ac:dyDescent="0.3">
      <c r="A11875" t="str">
        <f>"0611839406100"</f>
        <v>0611839406100</v>
      </c>
      <c r="B11875" t="str">
        <f>"LL8155"</f>
        <v>LL8155</v>
      </c>
      <c r="C11875" t="s">
        <v>50201</v>
      </c>
      <c r="D11875" t="s">
        <v>27245</v>
      </c>
      <c r="E11875" t="str">
        <f t="shared" si="185"/>
        <v>001390</v>
      </c>
      <c r="F11875" t="s">
        <v>27246</v>
      </c>
      <c r="G11875" t="s">
        <v>27247</v>
      </c>
      <c r="H11875" t="s">
        <v>27248</v>
      </c>
      <c r="I11875" t="s">
        <v>50202</v>
      </c>
      <c r="J11875" t="s">
        <v>23760</v>
      </c>
      <c r="L11875" t="s">
        <v>27250</v>
      </c>
      <c r="M11875" t="s">
        <v>27251</v>
      </c>
      <c r="N11875" t="s">
        <v>27252</v>
      </c>
      <c r="Q11875" s="1">
        <v>44538</v>
      </c>
      <c r="R11875" t="s">
        <v>27253</v>
      </c>
      <c r="S11875" t="s">
        <v>27254</v>
      </c>
      <c r="T11875" t="s">
        <v>27255</v>
      </c>
    </row>
    <row r="11876" spans="1:20" x14ac:dyDescent="0.3">
      <c r="A11876" t="str">
        <f>"0611839407100"</f>
        <v>0611839407100</v>
      </c>
      <c r="B11876" t="str">
        <f>"LL3829"</f>
        <v>LL3829</v>
      </c>
      <c r="C11876" t="s">
        <v>50203</v>
      </c>
      <c r="D11876" t="s">
        <v>27245</v>
      </c>
      <c r="E11876" t="str">
        <f t="shared" si="185"/>
        <v>001390</v>
      </c>
      <c r="F11876" t="s">
        <v>27246</v>
      </c>
      <c r="G11876" t="s">
        <v>27247</v>
      </c>
      <c r="H11876" t="s">
        <v>27248</v>
      </c>
      <c r="I11876" t="s">
        <v>50204</v>
      </c>
      <c r="J11876" t="s">
        <v>23762</v>
      </c>
      <c r="L11876" t="s">
        <v>27250</v>
      </c>
      <c r="M11876" t="s">
        <v>27251</v>
      </c>
      <c r="N11876" t="s">
        <v>27252</v>
      </c>
      <c r="Q11876" s="1">
        <v>44538</v>
      </c>
      <c r="R11876" t="s">
        <v>27253</v>
      </c>
      <c r="S11876" t="s">
        <v>27254</v>
      </c>
      <c r="T11876" t="s">
        <v>27255</v>
      </c>
    </row>
    <row r="11877" spans="1:20" x14ac:dyDescent="0.3">
      <c r="A11877" t="str">
        <f>"0611833575100"</f>
        <v>0611833575100</v>
      </c>
      <c r="B11877" t="str">
        <f>"LL3830"</f>
        <v>LL3830</v>
      </c>
      <c r="C11877" t="s">
        <v>50205</v>
      </c>
      <c r="D11877" t="s">
        <v>27245</v>
      </c>
      <c r="E11877" t="str">
        <f t="shared" si="185"/>
        <v>001390</v>
      </c>
      <c r="F11877" t="s">
        <v>27246</v>
      </c>
      <c r="G11877" t="s">
        <v>27247</v>
      </c>
      <c r="H11877" t="s">
        <v>27248</v>
      </c>
      <c r="I11877" t="s">
        <v>50206</v>
      </c>
      <c r="J11877" t="s">
        <v>23764</v>
      </c>
      <c r="L11877" t="s">
        <v>27250</v>
      </c>
      <c r="M11877" t="s">
        <v>27251</v>
      </c>
      <c r="N11877" t="s">
        <v>27252</v>
      </c>
      <c r="Q11877" s="1">
        <v>44538</v>
      </c>
      <c r="R11877" t="s">
        <v>27253</v>
      </c>
      <c r="S11877" t="s">
        <v>27254</v>
      </c>
      <c r="T11877" t="s">
        <v>27255</v>
      </c>
    </row>
    <row r="11878" spans="1:20" x14ac:dyDescent="0.3">
      <c r="A11878" t="str">
        <f>"0611839409100"</f>
        <v>0611839409100</v>
      </c>
      <c r="B11878" t="str">
        <f>"LL3784"</f>
        <v>LL3784</v>
      </c>
      <c r="C11878" t="s">
        <v>50207</v>
      </c>
      <c r="D11878" t="s">
        <v>27245</v>
      </c>
      <c r="E11878" t="str">
        <f t="shared" si="185"/>
        <v>001390</v>
      </c>
      <c r="F11878" t="s">
        <v>27246</v>
      </c>
      <c r="G11878" t="s">
        <v>27247</v>
      </c>
      <c r="H11878" t="s">
        <v>27248</v>
      </c>
      <c r="I11878" t="s">
        <v>50208</v>
      </c>
      <c r="J11878" t="s">
        <v>23766</v>
      </c>
      <c r="L11878" t="s">
        <v>27250</v>
      </c>
      <c r="M11878" t="s">
        <v>27251</v>
      </c>
      <c r="N11878" t="s">
        <v>27252</v>
      </c>
      <c r="Q11878" s="1">
        <v>44538</v>
      </c>
      <c r="R11878" t="s">
        <v>27253</v>
      </c>
      <c r="S11878" t="s">
        <v>27254</v>
      </c>
      <c r="T11878" t="s">
        <v>27255</v>
      </c>
    </row>
    <row r="11879" spans="1:20" x14ac:dyDescent="0.3">
      <c r="A11879" t="str">
        <f>"0611833577200"</f>
        <v>0611833577200</v>
      </c>
      <c r="B11879" t="str">
        <f>"KY3785"</f>
        <v>KY3785</v>
      </c>
      <c r="C11879" t="s">
        <v>50209</v>
      </c>
      <c r="D11879" t="s">
        <v>27682</v>
      </c>
      <c r="E11879" t="str">
        <f t="shared" si="185"/>
        <v>001390</v>
      </c>
      <c r="F11879" t="s">
        <v>27246</v>
      </c>
      <c r="G11879" t="s">
        <v>27247</v>
      </c>
      <c r="H11879" t="s">
        <v>27248</v>
      </c>
      <c r="I11879" t="s">
        <v>50210</v>
      </c>
      <c r="J11879" t="s">
        <v>23768</v>
      </c>
      <c r="L11879" t="s">
        <v>27250</v>
      </c>
      <c r="M11879" t="s">
        <v>27251</v>
      </c>
      <c r="N11879" t="s">
        <v>27252</v>
      </c>
      <c r="Q11879" s="1">
        <v>44538</v>
      </c>
      <c r="R11879" t="s">
        <v>27253</v>
      </c>
      <c r="S11879" t="s">
        <v>27254</v>
      </c>
      <c r="T11879" t="s">
        <v>27684</v>
      </c>
    </row>
    <row r="11880" spans="1:20" x14ac:dyDescent="0.3">
      <c r="A11880" t="str">
        <f>"0611839410100"</f>
        <v>0611839410100</v>
      </c>
      <c r="B11880" t="str">
        <f>"LL0068"</f>
        <v>LL0068</v>
      </c>
      <c r="C11880" t="s">
        <v>50211</v>
      </c>
      <c r="D11880" t="s">
        <v>27245</v>
      </c>
      <c r="E11880" t="str">
        <f t="shared" si="185"/>
        <v>001390</v>
      </c>
      <c r="F11880" t="s">
        <v>27246</v>
      </c>
      <c r="G11880" t="s">
        <v>27247</v>
      </c>
      <c r="H11880" t="s">
        <v>27248</v>
      </c>
      <c r="I11880" t="s">
        <v>50212</v>
      </c>
      <c r="J11880" t="s">
        <v>23770</v>
      </c>
      <c r="L11880" t="s">
        <v>27250</v>
      </c>
      <c r="M11880" t="s">
        <v>27251</v>
      </c>
      <c r="N11880" t="s">
        <v>27252</v>
      </c>
      <c r="Q11880" s="1">
        <v>44538</v>
      </c>
      <c r="R11880" t="s">
        <v>27253</v>
      </c>
      <c r="S11880" t="s">
        <v>27254</v>
      </c>
      <c r="T11880" t="s">
        <v>27255</v>
      </c>
    </row>
    <row r="11881" spans="1:20" x14ac:dyDescent="0.3">
      <c r="A11881" t="str">
        <f>"0611833578100"</f>
        <v>0611833578100</v>
      </c>
      <c r="B11881" t="str">
        <f>"LL3827"</f>
        <v>LL3827</v>
      </c>
      <c r="C11881" t="s">
        <v>50213</v>
      </c>
      <c r="D11881" t="s">
        <v>27245</v>
      </c>
      <c r="E11881" t="str">
        <f t="shared" si="185"/>
        <v>001390</v>
      </c>
      <c r="F11881" t="s">
        <v>27246</v>
      </c>
      <c r="G11881" t="s">
        <v>27247</v>
      </c>
      <c r="H11881" t="s">
        <v>27248</v>
      </c>
      <c r="I11881" t="s">
        <v>50214</v>
      </c>
      <c r="J11881" t="s">
        <v>23772</v>
      </c>
      <c r="L11881" t="s">
        <v>27250</v>
      </c>
      <c r="M11881" t="s">
        <v>27251</v>
      </c>
      <c r="N11881" t="s">
        <v>27252</v>
      </c>
      <c r="Q11881" s="1">
        <v>44538</v>
      </c>
      <c r="R11881" t="s">
        <v>27253</v>
      </c>
      <c r="S11881" t="s">
        <v>27254</v>
      </c>
      <c r="T11881" t="s">
        <v>27255</v>
      </c>
    </row>
    <row r="11882" spans="1:20" x14ac:dyDescent="0.3">
      <c r="A11882" t="str">
        <f>"0611839411100"</f>
        <v>0611839411100</v>
      </c>
      <c r="B11882" t="str">
        <f>"LL4875"</f>
        <v>LL4875</v>
      </c>
      <c r="C11882" t="s">
        <v>50215</v>
      </c>
      <c r="D11882" t="s">
        <v>27245</v>
      </c>
      <c r="E11882" t="str">
        <f t="shared" si="185"/>
        <v>001390</v>
      </c>
      <c r="F11882" t="s">
        <v>27246</v>
      </c>
      <c r="G11882" t="s">
        <v>27247</v>
      </c>
      <c r="H11882" t="s">
        <v>27248</v>
      </c>
      <c r="I11882" t="s">
        <v>50216</v>
      </c>
      <c r="J11882" t="s">
        <v>23774</v>
      </c>
      <c r="L11882" t="s">
        <v>27250</v>
      </c>
      <c r="M11882" t="s">
        <v>27251</v>
      </c>
      <c r="N11882" t="s">
        <v>27252</v>
      </c>
      <c r="Q11882" s="1">
        <v>44538</v>
      </c>
      <c r="R11882" t="s">
        <v>27253</v>
      </c>
      <c r="S11882" t="s">
        <v>27254</v>
      </c>
      <c r="T11882" t="s">
        <v>27255</v>
      </c>
    </row>
    <row r="11883" spans="1:20" x14ac:dyDescent="0.3">
      <c r="A11883" t="str">
        <f>"0611833579100"</f>
        <v>0611833579100</v>
      </c>
      <c r="B11883" t="str">
        <f>"LL3790"</f>
        <v>LL3790</v>
      </c>
      <c r="C11883" t="s">
        <v>50217</v>
      </c>
      <c r="D11883" t="s">
        <v>27245</v>
      </c>
      <c r="E11883" t="str">
        <f t="shared" si="185"/>
        <v>001390</v>
      </c>
      <c r="F11883" t="s">
        <v>27246</v>
      </c>
      <c r="G11883" t="s">
        <v>27247</v>
      </c>
      <c r="H11883" t="s">
        <v>27248</v>
      </c>
      <c r="I11883" t="s">
        <v>50218</v>
      </c>
      <c r="J11883" t="s">
        <v>23776</v>
      </c>
      <c r="L11883" t="s">
        <v>27250</v>
      </c>
      <c r="M11883" t="s">
        <v>27251</v>
      </c>
      <c r="N11883" t="s">
        <v>27252</v>
      </c>
      <c r="Q11883" s="1">
        <v>44538</v>
      </c>
      <c r="R11883" t="s">
        <v>27253</v>
      </c>
      <c r="S11883" t="s">
        <v>27254</v>
      </c>
      <c r="T11883" t="s">
        <v>27255</v>
      </c>
    </row>
    <row r="11884" spans="1:20" x14ac:dyDescent="0.3">
      <c r="A11884" t="str">
        <f>"0611839412100"</f>
        <v>0611839412100</v>
      </c>
      <c r="B11884" t="str">
        <f>"LL3789"</f>
        <v>LL3789</v>
      </c>
      <c r="C11884" t="s">
        <v>50219</v>
      </c>
      <c r="D11884" t="s">
        <v>27245</v>
      </c>
      <c r="E11884" t="str">
        <f t="shared" si="185"/>
        <v>001390</v>
      </c>
      <c r="F11884" t="s">
        <v>27246</v>
      </c>
      <c r="G11884" t="s">
        <v>27247</v>
      </c>
      <c r="H11884" t="s">
        <v>27248</v>
      </c>
      <c r="I11884" t="s">
        <v>50220</v>
      </c>
      <c r="J11884" t="s">
        <v>23778</v>
      </c>
      <c r="L11884" t="s">
        <v>27250</v>
      </c>
      <c r="M11884" t="s">
        <v>27251</v>
      </c>
      <c r="N11884" t="s">
        <v>27252</v>
      </c>
      <c r="Q11884" s="1">
        <v>44538</v>
      </c>
      <c r="R11884" t="s">
        <v>27253</v>
      </c>
      <c r="S11884" t="s">
        <v>27254</v>
      </c>
      <c r="T11884" t="s">
        <v>27255</v>
      </c>
    </row>
    <row r="11885" spans="1:20" x14ac:dyDescent="0.3">
      <c r="A11885" t="str">
        <f>"0611839413100"</f>
        <v>0611839413100</v>
      </c>
      <c r="B11885" t="str">
        <f>"LL3792"</f>
        <v>LL3792</v>
      </c>
      <c r="C11885" t="s">
        <v>50221</v>
      </c>
      <c r="D11885" t="s">
        <v>27245</v>
      </c>
      <c r="E11885" t="str">
        <f t="shared" si="185"/>
        <v>001390</v>
      </c>
      <c r="F11885" t="s">
        <v>27246</v>
      </c>
      <c r="G11885" t="s">
        <v>27247</v>
      </c>
      <c r="H11885" t="s">
        <v>27248</v>
      </c>
      <c r="I11885" t="s">
        <v>50222</v>
      </c>
      <c r="J11885" t="s">
        <v>23780</v>
      </c>
      <c r="L11885" t="s">
        <v>27250</v>
      </c>
      <c r="M11885" t="s">
        <v>27251</v>
      </c>
      <c r="N11885" t="s">
        <v>27252</v>
      </c>
      <c r="Q11885" s="1">
        <v>44538</v>
      </c>
      <c r="R11885" t="s">
        <v>27253</v>
      </c>
      <c r="S11885" t="s">
        <v>27254</v>
      </c>
      <c r="T11885" t="s">
        <v>27255</v>
      </c>
    </row>
    <row r="11886" spans="1:20" x14ac:dyDescent="0.3">
      <c r="A11886" t="str">
        <f>"0611839414100"</f>
        <v>0611839414100</v>
      </c>
      <c r="B11886" t="str">
        <f>"LL3834"</f>
        <v>LL3834</v>
      </c>
      <c r="C11886" t="s">
        <v>50223</v>
      </c>
      <c r="D11886" t="s">
        <v>27245</v>
      </c>
      <c r="E11886" t="str">
        <f t="shared" si="185"/>
        <v>001390</v>
      </c>
      <c r="F11886" t="s">
        <v>27246</v>
      </c>
      <c r="G11886" t="s">
        <v>27247</v>
      </c>
      <c r="H11886" t="s">
        <v>27248</v>
      </c>
      <c r="I11886" t="s">
        <v>50224</v>
      </c>
      <c r="J11886" t="s">
        <v>23782</v>
      </c>
      <c r="L11886" t="s">
        <v>27250</v>
      </c>
      <c r="M11886" t="s">
        <v>27251</v>
      </c>
      <c r="N11886" t="s">
        <v>27252</v>
      </c>
      <c r="Q11886" s="1">
        <v>44538</v>
      </c>
      <c r="R11886" t="s">
        <v>27253</v>
      </c>
      <c r="S11886" t="s">
        <v>27254</v>
      </c>
      <c r="T11886" t="s">
        <v>27255</v>
      </c>
    </row>
    <row r="11887" spans="1:20" x14ac:dyDescent="0.3">
      <c r="A11887" t="str">
        <f>"0611839415100"</f>
        <v>0611839415100</v>
      </c>
      <c r="B11887" t="str">
        <f>"LL3835"</f>
        <v>LL3835</v>
      </c>
      <c r="C11887" t="s">
        <v>50225</v>
      </c>
      <c r="D11887" t="s">
        <v>27245</v>
      </c>
      <c r="E11887" t="str">
        <f t="shared" si="185"/>
        <v>001390</v>
      </c>
      <c r="F11887" t="s">
        <v>27246</v>
      </c>
      <c r="G11887" t="s">
        <v>27247</v>
      </c>
      <c r="H11887" t="s">
        <v>27248</v>
      </c>
      <c r="I11887" t="s">
        <v>50226</v>
      </c>
      <c r="J11887" t="s">
        <v>23784</v>
      </c>
      <c r="L11887" t="s">
        <v>27250</v>
      </c>
      <c r="M11887" t="s">
        <v>27251</v>
      </c>
      <c r="N11887" t="s">
        <v>27252</v>
      </c>
      <c r="Q11887" s="1">
        <v>44538</v>
      </c>
      <c r="R11887" t="s">
        <v>27253</v>
      </c>
      <c r="S11887" t="s">
        <v>27254</v>
      </c>
      <c r="T11887" t="s">
        <v>27255</v>
      </c>
    </row>
    <row r="11888" spans="1:20" x14ac:dyDescent="0.3">
      <c r="A11888" t="str">
        <f>"0611839416100"</f>
        <v>0611839416100</v>
      </c>
      <c r="B11888" t="str">
        <f>"LL3799"</f>
        <v>LL3799</v>
      </c>
      <c r="C11888" t="s">
        <v>50227</v>
      </c>
      <c r="D11888" t="s">
        <v>27245</v>
      </c>
      <c r="E11888" t="str">
        <f t="shared" si="185"/>
        <v>001390</v>
      </c>
      <c r="F11888" t="s">
        <v>27246</v>
      </c>
      <c r="G11888" t="s">
        <v>27247</v>
      </c>
      <c r="H11888" t="s">
        <v>27248</v>
      </c>
      <c r="I11888" t="s">
        <v>50228</v>
      </c>
      <c r="J11888" t="s">
        <v>23786</v>
      </c>
      <c r="L11888" t="s">
        <v>27250</v>
      </c>
      <c r="M11888" t="s">
        <v>27251</v>
      </c>
      <c r="N11888" t="s">
        <v>27252</v>
      </c>
      <c r="Q11888" s="1">
        <v>44538</v>
      </c>
      <c r="R11888" t="s">
        <v>27253</v>
      </c>
      <c r="S11888" t="s">
        <v>27254</v>
      </c>
      <c r="T11888" t="s">
        <v>27255</v>
      </c>
    </row>
    <row r="11889" spans="1:20" x14ac:dyDescent="0.3">
      <c r="A11889" t="str">
        <f>"0611839417100"</f>
        <v>0611839417100</v>
      </c>
      <c r="B11889" t="str">
        <f>"LL3818"</f>
        <v>LL3818</v>
      </c>
      <c r="C11889" t="s">
        <v>50229</v>
      </c>
      <c r="D11889" t="s">
        <v>27245</v>
      </c>
      <c r="E11889" t="str">
        <f t="shared" si="185"/>
        <v>001390</v>
      </c>
      <c r="F11889" t="s">
        <v>27246</v>
      </c>
      <c r="G11889" t="s">
        <v>27247</v>
      </c>
      <c r="H11889" t="s">
        <v>27248</v>
      </c>
      <c r="I11889" t="s">
        <v>50230</v>
      </c>
      <c r="J11889" t="s">
        <v>23788</v>
      </c>
      <c r="L11889" t="s">
        <v>27250</v>
      </c>
      <c r="M11889" t="s">
        <v>27251</v>
      </c>
      <c r="N11889" t="s">
        <v>27252</v>
      </c>
      <c r="Q11889" s="1">
        <v>44538</v>
      </c>
      <c r="R11889" t="s">
        <v>27253</v>
      </c>
      <c r="S11889" t="s">
        <v>27254</v>
      </c>
      <c r="T11889" t="s">
        <v>27255</v>
      </c>
    </row>
    <row r="11890" spans="1:20" x14ac:dyDescent="0.3">
      <c r="A11890" t="str">
        <f>"0611839418100"</f>
        <v>0611839418100</v>
      </c>
      <c r="B11890" t="str">
        <f>"LL8055"</f>
        <v>LL8055</v>
      </c>
      <c r="C11890" t="s">
        <v>50231</v>
      </c>
      <c r="D11890" t="s">
        <v>27245</v>
      </c>
      <c r="E11890" t="str">
        <f t="shared" si="185"/>
        <v>001390</v>
      </c>
      <c r="F11890" t="s">
        <v>27246</v>
      </c>
      <c r="G11890" t="s">
        <v>27247</v>
      </c>
      <c r="H11890" t="s">
        <v>27248</v>
      </c>
      <c r="I11890" t="s">
        <v>50232</v>
      </c>
      <c r="J11890" t="s">
        <v>23790</v>
      </c>
      <c r="L11890" t="s">
        <v>27250</v>
      </c>
      <c r="M11890" t="s">
        <v>27251</v>
      </c>
      <c r="N11890" t="s">
        <v>27252</v>
      </c>
      <c r="Q11890" s="1">
        <v>44538</v>
      </c>
      <c r="R11890" t="s">
        <v>27253</v>
      </c>
      <c r="S11890" t="s">
        <v>27254</v>
      </c>
      <c r="T11890" t="s">
        <v>27255</v>
      </c>
    </row>
    <row r="11891" spans="1:20" x14ac:dyDescent="0.3">
      <c r="A11891" t="str">
        <f>"0611839419100"</f>
        <v>0611839419100</v>
      </c>
      <c r="B11891" t="str">
        <f>"LL3760"</f>
        <v>LL3760</v>
      </c>
      <c r="C11891" t="s">
        <v>50233</v>
      </c>
      <c r="D11891" t="s">
        <v>27245</v>
      </c>
      <c r="E11891" t="str">
        <f t="shared" si="185"/>
        <v>001390</v>
      </c>
      <c r="F11891" t="s">
        <v>27246</v>
      </c>
      <c r="G11891" t="s">
        <v>27247</v>
      </c>
      <c r="H11891" t="s">
        <v>27248</v>
      </c>
      <c r="I11891" t="s">
        <v>50234</v>
      </c>
      <c r="J11891" t="s">
        <v>23792</v>
      </c>
      <c r="L11891" t="s">
        <v>27250</v>
      </c>
      <c r="M11891" t="s">
        <v>27251</v>
      </c>
      <c r="N11891" t="s">
        <v>27252</v>
      </c>
      <c r="Q11891" s="1">
        <v>44538</v>
      </c>
      <c r="R11891" t="s">
        <v>27253</v>
      </c>
      <c r="S11891" t="s">
        <v>27254</v>
      </c>
      <c r="T11891" t="s">
        <v>27255</v>
      </c>
    </row>
    <row r="11892" spans="1:20" x14ac:dyDescent="0.3">
      <c r="A11892" t="str">
        <f>"0611839420100"</f>
        <v>0611839420100</v>
      </c>
      <c r="B11892" t="str">
        <f>"LL8087"</f>
        <v>LL8087</v>
      </c>
      <c r="C11892" t="s">
        <v>50235</v>
      </c>
      <c r="D11892" t="s">
        <v>27245</v>
      </c>
      <c r="E11892" t="str">
        <f t="shared" si="185"/>
        <v>001390</v>
      </c>
      <c r="F11892" t="s">
        <v>27246</v>
      </c>
      <c r="G11892" t="s">
        <v>27247</v>
      </c>
      <c r="H11892" t="s">
        <v>27248</v>
      </c>
      <c r="I11892" t="s">
        <v>50236</v>
      </c>
      <c r="J11892" t="s">
        <v>23794</v>
      </c>
      <c r="L11892" t="s">
        <v>27250</v>
      </c>
      <c r="M11892" t="s">
        <v>27251</v>
      </c>
      <c r="N11892" t="s">
        <v>27252</v>
      </c>
      <c r="Q11892" s="1">
        <v>44538</v>
      </c>
      <c r="R11892" t="s">
        <v>27253</v>
      </c>
      <c r="S11892" t="s">
        <v>27254</v>
      </c>
      <c r="T11892" t="s">
        <v>27255</v>
      </c>
    </row>
    <row r="11893" spans="1:20" x14ac:dyDescent="0.3">
      <c r="A11893" t="str">
        <f>"0611833598100"</f>
        <v>0611833598100</v>
      </c>
      <c r="B11893" t="str">
        <f>"LL3807"</f>
        <v>LL3807</v>
      </c>
      <c r="C11893" t="s">
        <v>50237</v>
      </c>
      <c r="D11893" t="s">
        <v>27245</v>
      </c>
      <c r="E11893" t="str">
        <f t="shared" si="185"/>
        <v>001390</v>
      </c>
      <c r="F11893" t="s">
        <v>27246</v>
      </c>
      <c r="G11893" t="s">
        <v>27247</v>
      </c>
      <c r="H11893" t="s">
        <v>27248</v>
      </c>
      <c r="I11893" t="s">
        <v>50238</v>
      </c>
      <c r="J11893" t="s">
        <v>23798</v>
      </c>
      <c r="L11893" t="s">
        <v>27250</v>
      </c>
      <c r="M11893" t="s">
        <v>27251</v>
      </c>
      <c r="N11893" t="s">
        <v>27252</v>
      </c>
      <c r="Q11893" s="1">
        <v>44538</v>
      </c>
      <c r="R11893" t="s">
        <v>27253</v>
      </c>
      <c r="S11893" t="s">
        <v>27254</v>
      </c>
      <c r="T11893" t="s">
        <v>27255</v>
      </c>
    </row>
    <row r="11894" spans="1:20" x14ac:dyDescent="0.3">
      <c r="A11894" t="str">
        <f>"0611833582100"</f>
        <v>0611833582100</v>
      </c>
      <c r="B11894" t="str">
        <f>"LL3822"</f>
        <v>LL3822</v>
      </c>
      <c r="C11894" t="s">
        <v>50239</v>
      </c>
      <c r="D11894" t="s">
        <v>27245</v>
      </c>
      <c r="E11894" t="str">
        <f t="shared" si="185"/>
        <v>001390</v>
      </c>
      <c r="F11894" t="s">
        <v>27246</v>
      </c>
      <c r="G11894" t="s">
        <v>27247</v>
      </c>
      <c r="H11894" t="s">
        <v>27248</v>
      </c>
      <c r="I11894" t="s">
        <v>50240</v>
      </c>
      <c r="J11894" t="s">
        <v>23800</v>
      </c>
      <c r="L11894" t="s">
        <v>27250</v>
      </c>
      <c r="M11894" t="s">
        <v>27251</v>
      </c>
      <c r="N11894" t="s">
        <v>27252</v>
      </c>
      <c r="Q11894" s="1">
        <v>44538</v>
      </c>
      <c r="R11894" t="s">
        <v>27253</v>
      </c>
      <c r="S11894" t="s">
        <v>27254</v>
      </c>
      <c r="T11894" t="s">
        <v>27255</v>
      </c>
    </row>
    <row r="11895" spans="1:20" x14ac:dyDescent="0.3">
      <c r="A11895" t="str">
        <f>"0611839421100"</f>
        <v>0611839421100</v>
      </c>
      <c r="B11895" t="str">
        <f>"LL3776"</f>
        <v>LL3776</v>
      </c>
      <c r="C11895" t="s">
        <v>50241</v>
      </c>
      <c r="D11895" t="s">
        <v>27245</v>
      </c>
      <c r="E11895" t="str">
        <f t="shared" si="185"/>
        <v>001390</v>
      </c>
      <c r="F11895" t="s">
        <v>27246</v>
      </c>
      <c r="G11895" t="s">
        <v>27247</v>
      </c>
      <c r="H11895" t="s">
        <v>27248</v>
      </c>
      <c r="I11895" t="s">
        <v>50242</v>
      </c>
      <c r="J11895" t="s">
        <v>23802</v>
      </c>
      <c r="L11895" t="s">
        <v>27250</v>
      </c>
      <c r="M11895" t="s">
        <v>27251</v>
      </c>
      <c r="N11895" t="s">
        <v>27252</v>
      </c>
      <c r="Q11895" s="1">
        <v>44538</v>
      </c>
      <c r="R11895" t="s">
        <v>27253</v>
      </c>
      <c r="S11895" t="s">
        <v>27254</v>
      </c>
      <c r="T11895" t="s">
        <v>27255</v>
      </c>
    </row>
    <row r="11896" spans="1:20" x14ac:dyDescent="0.3">
      <c r="A11896" t="str">
        <f>"0611839422100"</f>
        <v>0611839422100</v>
      </c>
      <c r="B11896" t="str">
        <f>"LL3796"</f>
        <v>LL3796</v>
      </c>
      <c r="C11896" t="s">
        <v>50243</v>
      </c>
      <c r="D11896" t="s">
        <v>27245</v>
      </c>
      <c r="E11896" t="str">
        <f t="shared" si="185"/>
        <v>001390</v>
      </c>
      <c r="F11896" t="s">
        <v>27246</v>
      </c>
      <c r="G11896" t="s">
        <v>27247</v>
      </c>
      <c r="H11896" t="s">
        <v>27248</v>
      </c>
      <c r="I11896" t="s">
        <v>50244</v>
      </c>
      <c r="J11896" t="s">
        <v>23804</v>
      </c>
      <c r="L11896" t="s">
        <v>27250</v>
      </c>
      <c r="M11896" t="s">
        <v>27251</v>
      </c>
      <c r="N11896" t="s">
        <v>27252</v>
      </c>
      <c r="Q11896" s="1">
        <v>44538</v>
      </c>
      <c r="R11896" t="s">
        <v>27253</v>
      </c>
      <c r="S11896" t="s">
        <v>27254</v>
      </c>
      <c r="T11896" t="s">
        <v>27255</v>
      </c>
    </row>
    <row r="11897" spans="1:20" x14ac:dyDescent="0.3">
      <c r="A11897" t="str">
        <f>"0611839424100"</f>
        <v>0611839424100</v>
      </c>
      <c r="B11897" t="str">
        <f>"LL8236"</f>
        <v>LL8236</v>
      </c>
      <c r="C11897" t="s">
        <v>50245</v>
      </c>
      <c r="D11897" t="s">
        <v>28138</v>
      </c>
      <c r="E11897" t="str">
        <f t="shared" si="185"/>
        <v>001390</v>
      </c>
      <c r="F11897" t="s">
        <v>27246</v>
      </c>
      <c r="G11897" t="s">
        <v>27247</v>
      </c>
      <c r="H11897" t="s">
        <v>27248</v>
      </c>
      <c r="I11897" t="s">
        <v>50246</v>
      </c>
      <c r="J11897" t="s">
        <v>23806</v>
      </c>
      <c r="L11897" t="s">
        <v>27250</v>
      </c>
      <c r="M11897" t="s">
        <v>27251</v>
      </c>
      <c r="N11897" t="s">
        <v>27252</v>
      </c>
      <c r="P11897" t="s">
        <v>27925</v>
      </c>
      <c r="Q11897" s="1">
        <v>44538</v>
      </c>
      <c r="R11897" t="s">
        <v>27253</v>
      </c>
      <c r="S11897" t="s">
        <v>27254</v>
      </c>
      <c r="T11897" t="s">
        <v>27255</v>
      </c>
    </row>
    <row r="11898" spans="1:20" x14ac:dyDescent="0.3">
      <c r="A11898" t="str">
        <f>"0611839425100"</f>
        <v>0611839425100</v>
      </c>
      <c r="B11898" t="str">
        <f>"LL0189"</f>
        <v>LL0189</v>
      </c>
      <c r="C11898" t="s">
        <v>50247</v>
      </c>
      <c r="D11898" t="s">
        <v>27245</v>
      </c>
      <c r="E11898" t="str">
        <f t="shared" si="185"/>
        <v>001390</v>
      </c>
      <c r="F11898" t="s">
        <v>27246</v>
      </c>
      <c r="G11898" t="s">
        <v>27247</v>
      </c>
      <c r="H11898" t="s">
        <v>27248</v>
      </c>
      <c r="I11898" t="s">
        <v>50248</v>
      </c>
      <c r="J11898" t="s">
        <v>23808</v>
      </c>
      <c r="L11898" t="s">
        <v>27250</v>
      </c>
      <c r="M11898" t="s">
        <v>27251</v>
      </c>
      <c r="N11898" t="s">
        <v>27252</v>
      </c>
      <c r="Q11898" s="1">
        <v>44538</v>
      </c>
      <c r="R11898" t="s">
        <v>27253</v>
      </c>
      <c r="S11898" t="s">
        <v>27254</v>
      </c>
      <c r="T11898" t="s">
        <v>27255</v>
      </c>
    </row>
    <row r="11899" spans="1:20" x14ac:dyDescent="0.3">
      <c r="A11899" t="str">
        <f>"0611839426100"</f>
        <v>0611839426100</v>
      </c>
      <c r="B11899" t="str">
        <f>"LL8237"</f>
        <v>LL8237</v>
      </c>
      <c r="C11899" t="s">
        <v>50249</v>
      </c>
      <c r="D11899" t="s">
        <v>28138</v>
      </c>
      <c r="E11899" t="str">
        <f t="shared" si="185"/>
        <v>001390</v>
      </c>
      <c r="F11899" t="s">
        <v>27246</v>
      </c>
      <c r="G11899" t="s">
        <v>27247</v>
      </c>
      <c r="H11899" t="s">
        <v>27248</v>
      </c>
      <c r="I11899" t="s">
        <v>50250</v>
      </c>
      <c r="J11899" t="s">
        <v>23810</v>
      </c>
      <c r="L11899" t="s">
        <v>27250</v>
      </c>
      <c r="M11899" t="s">
        <v>27251</v>
      </c>
      <c r="N11899" t="s">
        <v>27252</v>
      </c>
      <c r="P11899" t="s">
        <v>27925</v>
      </c>
      <c r="Q11899" s="1">
        <v>44538</v>
      </c>
      <c r="R11899" t="s">
        <v>27253</v>
      </c>
      <c r="S11899" t="s">
        <v>27254</v>
      </c>
      <c r="T11899" t="s">
        <v>27255</v>
      </c>
    </row>
    <row r="11900" spans="1:20" x14ac:dyDescent="0.3">
      <c r="A11900" t="str">
        <f>"0611839427100"</f>
        <v>0611839427100</v>
      </c>
      <c r="B11900" t="str">
        <f>"LL4854"</f>
        <v>LL4854</v>
      </c>
      <c r="C11900" t="s">
        <v>50251</v>
      </c>
      <c r="D11900" t="s">
        <v>27245</v>
      </c>
      <c r="E11900" t="str">
        <f t="shared" si="185"/>
        <v>001390</v>
      </c>
      <c r="F11900" t="s">
        <v>27246</v>
      </c>
      <c r="G11900" t="s">
        <v>27247</v>
      </c>
      <c r="H11900" t="s">
        <v>27248</v>
      </c>
      <c r="I11900" t="s">
        <v>50252</v>
      </c>
      <c r="J11900" t="s">
        <v>23812</v>
      </c>
      <c r="L11900" t="s">
        <v>27250</v>
      </c>
      <c r="M11900" t="s">
        <v>27251</v>
      </c>
      <c r="N11900" t="s">
        <v>27252</v>
      </c>
      <c r="Q11900" s="1">
        <v>44538</v>
      </c>
      <c r="R11900" t="s">
        <v>27253</v>
      </c>
      <c r="S11900" t="s">
        <v>27254</v>
      </c>
      <c r="T11900" t="s">
        <v>27255</v>
      </c>
    </row>
    <row r="11901" spans="1:20" x14ac:dyDescent="0.3">
      <c r="A11901" t="str">
        <f>"0611839428100"</f>
        <v>0611839428100</v>
      </c>
      <c r="B11901" t="str">
        <f>"LL0069"</f>
        <v>LL0069</v>
      </c>
      <c r="C11901" t="s">
        <v>50253</v>
      </c>
      <c r="D11901" t="s">
        <v>27245</v>
      </c>
      <c r="E11901" t="str">
        <f t="shared" si="185"/>
        <v>001390</v>
      </c>
      <c r="F11901" t="s">
        <v>27246</v>
      </c>
      <c r="G11901" t="s">
        <v>27247</v>
      </c>
      <c r="H11901" t="s">
        <v>27248</v>
      </c>
      <c r="I11901" t="s">
        <v>50254</v>
      </c>
      <c r="J11901" t="s">
        <v>23814</v>
      </c>
      <c r="L11901" t="s">
        <v>27250</v>
      </c>
      <c r="M11901" t="s">
        <v>27251</v>
      </c>
      <c r="N11901" t="s">
        <v>27252</v>
      </c>
      <c r="Q11901" s="1">
        <v>44538</v>
      </c>
      <c r="R11901" t="s">
        <v>27253</v>
      </c>
      <c r="S11901" t="s">
        <v>27254</v>
      </c>
      <c r="T11901" t="s">
        <v>27255</v>
      </c>
    </row>
    <row r="11902" spans="1:20" x14ac:dyDescent="0.3">
      <c r="A11902" t="str">
        <f>"0611839429100"</f>
        <v>0611839429100</v>
      </c>
      <c r="B11902" t="str">
        <f>"LL8028"</f>
        <v>LL8028</v>
      </c>
      <c r="C11902" t="s">
        <v>50255</v>
      </c>
      <c r="D11902" t="s">
        <v>27245</v>
      </c>
      <c r="E11902" t="str">
        <f t="shared" si="185"/>
        <v>001390</v>
      </c>
      <c r="F11902" t="s">
        <v>27246</v>
      </c>
      <c r="G11902" t="s">
        <v>27247</v>
      </c>
      <c r="H11902" t="s">
        <v>27248</v>
      </c>
      <c r="I11902" t="s">
        <v>50256</v>
      </c>
      <c r="J11902" t="s">
        <v>23816</v>
      </c>
      <c r="L11902" t="s">
        <v>27250</v>
      </c>
      <c r="M11902" t="s">
        <v>27251</v>
      </c>
      <c r="N11902" t="s">
        <v>27252</v>
      </c>
      <c r="Q11902" s="1">
        <v>44538</v>
      </c>
      <c r="R11902" t="s">
        <v>27253</v>
      </c>
      <c r="S11902" t="s">
        <v>27254</v>
      </c>
      <c r="T11902" t="s">
        <v>27255</v>
      </c>
    </row>
    <row r="11903" spans="1:20" x14ac:dyDescent="0.3">
      <c r="A11903" t="str">
        <f>"0611839430100"</f>
        <v>0611839430100</v>
      </c>
      <c r="B11903" t="str">
        <f>"LL8332"</f>
        <v>LL8332</v>
      </c>
      <c r="C11903" t="s">
        <v>50257</v>
      </c>
      <c r="D11903" t="s">
        <v>27245</v>
      </c>
      <c r="E11903" t="str">
        <f t="shared" si="185"/>
        <v>001390</v>
      </c>
      <c r="F11903" t="s">
        <v>27246</v>
      </c>
      <c r="G11903" t="s">
        <v>27247</v>
      </c>
      <c r="H11903" t="s">
        <v>27248</v>
      </c>
      <c r="I11903" t="s">
        <v>50258</v>
      </c>
      <c r="J11903" t="s">
        <v>23818</v>
      </c>
      <c r="L11903" t="s">
        <v>27250</v>
      </c>
      <c r="M11903" t="s">
        <v>27251</v>
      </c>
      <c r="N11903" t="s">
        <v>27252</v>
      </c>
      <c r="Q11903" s="1">
        <v>44538</v>
      </c>
      <c r="R11903" t="s">
        <v>27253</v>
      </c>
      <c r="S11903" t="s">
        <v>27254</v>
      </c>
      <c r="T11903" t="s">
        <v>27255</v>
      </c>
    </row>
    <row r="11904" spans="1:20" x14ac:dyDescent="0.3">
      <c r="A11904" t="str">
        <f>"0611839431100"</f>
        <v>0611839431100</v>
      </c>
      <c r="B11904" t="str">
        <f>"LL8128"</f>
        <v>LL8128</v>
      </c>
      <c r="C11904" t="s">
        <v>50259</v>
      </c>
      <c r="D11904" t="s">
        <v>27245</v>
      </c>
      <c r="E11904" t="str">
        <f t="shared" si="185"/>
        <v>001390</v>
      </c>
      <c r="F11904" t="s">
        <v>27246</v>
      </c>
      <c r="G11904" t="s">
        <v>27247</v>
      </c>
      <c r="H11904" t="s">
        <v>27248</v>
      </c>
      <c r="I11904" t="s">
        <v>50260</v>
      </c>
      <c r="J11904" t="s">
        <v>23820</v>
      </c>
      <c r="L11904" t="s">
        <v>27250</v>
      </c>
      <c r="M11904" t="s">
        <v>27251</v>
      </c>
      <c r="N11904" t="s">
        <v>27252</v>
      </c>
      <c r="Q11904" s="1">
        <v>44538</v>
      </c>
      <c r="R11904" t="s">
        <v>27253</v>
      </c>
      <c r="S11904" t="s">
        <v>27254</v>
      </c>
      <c r="T11904" t="s">
        <v>27255</v>
      </c>
    </row>
    <row r="11905" spans="1:20" x14ac:dyDescent="0.3">
      <c r="A11905" t="str">
        <f>"0611833585100"</f>
        <v>0611833585100</v>
      </c>
      <c r="B11905" t="str">
        <f>"LL3797"</f>
        <v>LL3797</v>
      </c>
      <c r="C11905" t="s">
        <v>50261</v>
      </c>
      <c r="D11905" t="s">
        <v>27245</v>
      </c>
      <c r="E11905" t="str">
        <f t="shared" si="185"/>
        <v>001390</v>
      </c>
      <c r="F11905" t="s">
        <v>27246</v>
      </c>
      <c r="G11905" t="s">
        <v>27247</v>
      </c>
      <c r="H11905" t="s">
        <v>27248</v>
      </c>
      <c r="I11905" t="s">
        <v>50262</v>
      </c>
      <c r="J11905" t="s">
        <v>23822</v>
      </c>
      <c r="L11905" t="s">
        <v>27250</v>
      </c>
      <c r="M11905" t="s">
        <v>27251</v>
      </c>
      <c r="N11905" t="s">
        <v>27252</v>
      </c>
      <c r="Q11905" s="1">
        <v>44538</v>
      </c>
      <c r="R11905" t="s">
        <v>27253</v>
      </c>
      <c r="S11905" t="s">
        <v>27254</v>
      </c>
      <c r="T11905" t="s">
        <v>27255</v>
      </c>
    </row>
    <row r="11906" spans="1:20" x14ac:dyDescent="0.3">
      <c r="A11906" t="str">
        <f>"0611839432100"</f>
        <v>0611839432100</v>
      </c>
      <c r="B11906" t="str">
        <f>"LL0008"</f>
        <v>LL0008</v>
      </c>
      <c r="C11906" t="s">
        <v>50263</v>
      </c>
      <c r="D11906" t="s">
        <v>27245</v>
      </c>
      <c r="E11906" t="str">
        <f t="shared" ref="E11906:E11969" si="186">"001390"</f>
        <v>001390</v>
      </c>
      <c r="F11906" t="s">
        <v>27246</v>
      </c>
      <c r="G11906" t="s">
        <v>27247</v>
      </c>
      <c r="H11906" t="s">
        <v>27248</v>
      </c>
      <c r="I11906" t="s">
        <v>50264</v>
      </c>
      <c r="J11906" t="s">
        <v>23824</v>
      </c>
      <c r="L11906" t="s">
        <v>27250</v>
      </c>
      <c r="M11906" t="s">
        <v>27251</v>
      </c>
      <c r="N11906" t="s">
        <v>27252</v>
      </c>
      <c r="Q11906" s="1">
        <v>44538</v>
      </c>
      <c r="R11906" t="s">
        <v>27253</v>
      </c>
      <c r="S11906" t="s">
        <v>27254</v>
      </c>
      <c r="T11906" t="s">
        <v>27255</v>
      </c>
    </row>
    <row r="11907" spans="1:20" x14ac:dyDescent="0.3">
      <c r="A11907" t="str">
        <f>"0611839433100"</f>
        <v>0611839433100</v>
      </c>
      <c r="B11907" t="str">
        <f>"LL0169"</f>
        <v>LL0169</v>
      </c>
      <c r="C11907" t="s">
        <v>50265</v>
      </c>
      <c r="D11907" t="s">
        <v>27245</v>
      </c>
      <c r="E11907" t="str">
        <f t="shared" si="186"/>
        <v>001390</v>
      </c>
      <c r="F11907" t="s">
        <v>27246</v>
      </c>
      <c r="G11907" t="s">
        <v>27247</v>
      </c>
      <c r="H11907" t="s">
        <v>27248</v>
      </c>
      <c r="I11907" t="s">
        <v>50266</v>
      </c>
      <c r="J11907" t="s">
        <v>23826</v>
      </c>
      <c r="L11907" t="s">
        <v>27250</v>
      </c>
      <c r="M11907" t="s">
        <v>27251</v>
      </c>
      <c r="N11907" t="s">
        <v>27252</v>
      </c>
      <c r="Q11907" s="1">
        <v>44538</v>
      </c>
      <c r="R11907" t="s">
        <v>27253</v>
      </c>
      <c r="S11907" t="s">
        <v>27254</v>
      </c>
      <c r="T11907" t="s">
        <v>27255</v>
      </c>
    </row>
    <row r="11908" spans="1:20" x14ac:dyDescent="0.3">
      <c r="A11908" t="str">
        <f>"0611839434100"</f>
        <v>0611839434100</v>
      </c>
      <c r="B11908" t="str">
        <f>"LL3803"</f>
        <v>LL3803</v>
      </c>
      <c r="C11908" t="s">
        <v>50267</v>
      </c>
      <c r="D11908" t="s">
        <v>27245</v>
      </c>
      <c r="E11908" t="str">
        <f t="shared" si="186"/>
        <v>001390</v>
      </c>
      <c r="F11908" t="s">
        <v>27246</v>
      </c>
      <c r="G11908" t="s">
        <v>27247</v>
      </c>
      <c r="H11908" t="s">
        <v>27248</v>
      </c>
      <c r="I11908" t="s">
        <v>50268</v>
      </c>
      <c r="J11908" t="s">
        <v>23828</v>
      </c>
      <c r="L11908" t="s">
        <v>27250</v>
      </c>
      <c r="M11908" t="s">
        <v>27251</v>
      </c>
      <c r="N11908" t="s">
        <v>27252</v>
      </c>
      <c r="Q11908" s="1">
        <v>44538</v>
      </c>
      <c r="R11908" t="s">
        <v>27253</v>
      </c>
      <c r="S11908" t="s">
        <v>27254</v>
      </c>
      <c r="T11908" t="s">
        <v>27255</v>
      </c>
    </row>
    <row r="11909" spans="1:20" x14ac:dyDescent="0.3">
      <c r="A11909" t="str">
        <f>"0611839435100"</f>
        <v>0611839435100</v>
      </c>
      <c r="B11909" t="str">
        <f>"LL3808"</f>
        <v>LL3808</v>
      </c>
      <c r="C11909" t="s">
        <v>50269</v>
      </c>
      <c r="D11909" t="s">
        <v>27245</v>
      </c>
      <c r="E11909" t="str">
        <f t="shared" si="186"/>
        <v>001390</v>
      </c>
      <c r="F11909" t="s">
        <v>27246</v>
      </c>
      <c r="G11909" t="s">
        <v>27247</v>
      </c>
      <c r="H11909" t="s">
        <v>27248</v>
      </c>
      <c r="I11909" t="s">
        <v>50270</v>
      </c>
      <c r="J11909" t="s">
        <v>23830</v>
      </c>
      <c r="L11909" t="s">
        <v>27250</v>
      </c>
      <c r="M11909" t="s">
        <v>27251</v>
      </c>
      <c r="N11909" t="s">
        <v>27252</v>
      </c>
      <c r="Q11909" s="1">
        <v>44538</v>
      </c>
      <c r="R11909" t="s">
        <v>27253</v>
      </c>
      <c r="S11909" t="s">
        <v>27254</v>
      </c>
      <c r="T11909" t="s">
        <v>27255</v>
      </c>
    </row>
    <row r="11910" spans="1:20" x14ac:dyDescent="0.3">
      <c r="A11910" t="str">
        <f>"0611839436100"</f>
        <v>0611839436100</v>
      </c>
      <c r="B11910" t="str">
        <f>"LL8240"</f>
        <v>LL8240</v>
      </c>
      <c r="C11910" t="s">
        <v>50271</v>
      </c>
      <c r="D11910" t="s">
        <v>27245</v>
      </c>
      <c r="E11910" t="str">
        <f t="shared" si="186"/>
        <v>001390</v>
      </c>
      <c r="F11910" t="s">
        <v>27246</v>
      </c>
      <c r="G11910" t="s">
        <v>27247</v>
      </c>
      <c r="H11910" t="s">
        <v>27248</v>
      </c>
      <c r="I11910" t="s">
        <v>50272</v>
      </c>
      <c r="J11910" t="s">
        <v>23832</v>
      </c>
      <c r="L11910" t="s">
        <v>27250</v>
      </c>
      <c r="M11910" t="s">
        <v>27251</v>
      </c>
      <c r="N11910" t="s">
        <v>27252</v>
      </c>
      <c r="Q11910" s="1">
        <v>44538</v>
      </c>
      <c r="R11910" t="s">
        <v>27253</v>
      </c>
      <c r="S11910" t="s">
        <v>27254</v>
      </c>
      <c r="T11910" t="s">
        <v>27255</v>
      </c>
    </row>
    <row r="11911" spans="1:20" x14ac:dyDescent="0.3">
      <c r="A11911" t="str">
        <f>"0611839437100"</f>
        <v>0611839437100</v>
      </c>
      <c r="B11911" t="str">
        <f>"LL8057"</f>
        <v>LL8057</v>
      </c>
      <c r="C11911" t="s">
        <v>50273</v>
      </c>
      <c r="D11911" t="s">
        <v>27245</v>
      </c>
      <c r="E11911" t="str">
        <f t="shared" si="186"/>
        <v>001390</v>
      </c>
      <c r="F11911" t="s">
        <v>27246</v>
      </c>
      <c r="G11911" t="s">
        <v>27247</v>
      </c>
      <c r="H11911" t="s">
        <v>27248</v>
      </c>
      <c r="I11911" t="s">
        <v>50274</v>
      </c>
      <c r="J11911" t="s">
        <v>23834</v>
      </c>
      <c r="L11911" t="s">
        <v>27250</v>
      </c>
      <c r="M11911" t="s">
        <v>27251</v>
      </c>
      <c r="N11911" t="s">
        <v>27252</v>
      </c>
      <c r="Q11911" s="1">
        <v>44538</v>
      </c>
      <c r="R11911" t="s">
        <v>27253</v>
      </c>
      <c r="S11911" t="s">
        <v>27254</v>
      </c>
      <c r="T11911" t="s">
        <v>27255</v>
      </c>
    </row>
    <row r="11912" spans="1:20" x14ac:dyDescent="0.3">
      <c r="A11912" t="str">
        <f>"0611839438100"</f>
        <v>0611839438100</v>
      </c>
      <c r="B11912" t="str">
        <f>"LL3788"</f>
        <v>LL3788</v>
      </c>
      <c r="C11912" t="s">
        <v>50275</v>
      </c>
      <c r="D11912" t="s">
        <v>27245</v>
      </c>
      <c r="E11912" t="str">
        <f t="shared" si="186"/>
        <v>001390</v>
      </c>
      <c r="F11912" t="s">
        <v>27246</v>
      </c>
      <c r="G11912" t="s">
        <v>27247</v>
      </c>
      <c r="H11912" t="s">
        <v>27248</v>
      </c>
      <c r="I11912" t="s">
        <v>50276</v>
      </c>
      <c r="J11912" t="s">
        <v>23836</v>
      </c>
      <c r="L11912" t="s">
        <v>27250</v>
      </c>
      <c r="M11912" t="s">
        <v>27251</v>
      </c>
      <c r="N11912" t="s">
        <v>27252</v>
      </c>
      <c r="Q11912" s="1">
        <v>44538</v>
      </c>
      <c r="R11912" t="s">
        <v>27253</v>
      </c>
      <c r="S11912" t="s">
        <v>27254</v>
      </c>
      <c r="T11912" t="s">
        <v>27255</v>
      </c>
    </row>
    <row r="11913" spans="1:20" x14ac:dyDescent="0.3">
      <c r="A11913" t="str">
        <f>"0611833595100"</f>
        <v>0611833595100</v>
      </c>
      <c r="B11913" t="str">
        <f>"LL3806"</f>
        <v>LL3806</v>
      </c>
      <c r="C11913" t="s">
        <v>50277</v>
      </c>
      <c r="D11913" t="s">
        <v>27245</v>
      </c>
      <c r="E11913" t="str">
        <f t="shared" si="186"/>
        <v>001390</v>
      </c>
      <c r="F11913" t="s">
        <v>27246</v>
      </c>
      <c r="G11913" t="s">
        <v>27247</v>
      </c>
      <c r="H11913" t="s">
        <v>27248</v>
      </c>
      <c r="I11913" t="s">
        <v>50278</v>
      </c>
      <c r="J11913" t="s">
        <v>23838</v>
      </c>
      <c r="L11913" t="s">
        <v>27250</v>
      </c>
      <c r="M11913" t="s">
        <v>27251</v>
      </c>
      <c r="N11913" t="s">
        <v>27252</v>
      </c>
      <c r="Q11913" s="1">
        <v>44538</v>
      </c>
      <c r="R11913" t="s">
        <v>27253</v>
      </c>
      <c r="S11913" t="s">
        <v>27254</v>
      </c>
      <c r="T11913" t="s">
        <v>27255</v>
      </c>
    </row>
    <row r="11914" spans="1:20" x14ac:dyDescent="0.3">
      <c r="A11914" t="str">
        <f>"0611839439100"</f>
        <v>0611839439100</v>
      </c>
      <c r="B11914" t="str">
        <f>"LL3798"</f>
        <v>LL3798</v>
      </c>
      <c r="C11914" t="s">
        <v>50279</v>
      </c>
      <c r="D11914" t="s">
        <v>27245</v>
      </c>
      <c r="E11914" t="str">
        <f t="shared" si="186"/>
        <v>001390</v>
      </c>
      <c r="F11914" t="s">
        <v>27246</v>
      </c>
      <c r="G11914" t="s">
        <v>27247</v>
      </c>
      <c r="H11914" t="s">
        <v>27248</v>
      </c>
      <c r="I11914" t="s">
        <v>50280</v>
      </c>
      <c r="J11914" t="s">
        <v>23840</v>
      </c>
      <c r="L11914" t="s">
        <v>27250</v>
      </c>
      <c r="M11914" t="s">
        <v>27251</v>
      </c>
      <c r="N11914" t="s">
        <v>27252</v>
      </c>
      <c r="Q11914" s="1">
        <v>44538</v>
      </c>
      <c r="R11914" t="s">
        <v>27253</v>
      </c>
      <c r="S11914" t="s">
        <v>27254</v>
      </c>
      <c r="T11914" t="s">
        <v>27255</v>
      </c>
    </row>
    <row r="11915" spans="1:20" x14ac:dyDescent="0.3">
      <c r="A11915" t="str">
        <f>"0611839440100"</f>
        <v>0611839440100</v>
      </c>
      <c r="B11915" t="str">
        <f>"LL8238"</f>
        <v>LL8238</v>
      </c>
      <c r="C11915" t="s">
        <v>50281</v>
      </c>
      <c r="D11915" t="s">
        <v>28138</v>
      </c>
      <c r="E11915" t="str">
        <f t="shared" si="186"/>
        <v>001390</v>
      </c>
      <c r="F11915" t="s">
        <v>27246</v>
      </c>
      <c r="G11915" t="s">
        <v>27247</v>
      </c>
      <c r="H11915" t="s">
        <v>27248</v>
      </c>
      <c r="I11915" t="s">
        <v>50282</v>
      </c>
      <c r="J11915" t="s">
        <v>23842</v>
      </c>
      <c r="L11915" t="s">
        <v>27250</v>
      </c>
      <c r="M11915" t="s">
        <v>27251</v>
      </c>
      <c r="N11915" t="s">
        <v>27252</v>
      </c>
      <c r="P11915" t="s">
        <v>27925</v>
      </c>
      <c r="Q11915" s="1">
        <v>44538</v>
      </c>
      <c r="R11915" t="s">
        <v>27253</v>
      </c>
      <c r="S11915" t="s">
        <v>27254</v>
      </c>
      <c r="T11915" t="s">
        <v>27255</v>
      </c>
    </row>
    <row r="11916" spans="1:20" x14ac:dyDescent="0.3">
      <c r="A11916" t="str">
        <f>"0611839441100"</f>
        <v>0611839441100</v>
      </c>
      <c r="B11916" t="str">
        <f>"LL8340"</f>
        <v>LL8340</v>
      </c>
      <c r="C11916" t="s">
        <v>50283</v>
      </c>
      <c r="D11916" t="s">
        <v>27245</v>
      </c>
      <c r="E11916" t="str">
        <f t="shared" si="186"/>
        <v>001390</v>
      </c>
      <c r="F11916" t="s">
        <v>27246</v>
      </c>
      <c r="G11916" t="s">
        <v>27247</v>
      </c>
      <c r="H11916" t="s">
        <v>27248</v>
      </c>
      <c r="I11916" t="s">
        <v>50284</v>
      </c>
      <c r="J11916" t="s">
        <v>23844</v>
      </c>
      <c r="L11916" t="s">
        <v>27250</v>
      </c>
      <c r="M11916" t="s">
        <v>27251</v>
      </c>
      <c r="N11916" t="s">
        <v>27252</v>
      </c>
      <c r="Q11916" s="1">
        <v>44538</v>
      </c>
      <c r="R11916" t="s">
        <v>27253</v>
      </c>
      <c r="S11916" t="s">
        <v>27254</v>
      </c>
      <c r="T11916" t="s">
        <v>27255</v>
      </c>
    </row>
    <row r="11917" spans="1:20" x14ac:dyDescent="0.3">
      <c r="A11917" t="str">
        <f>"0611839442100"</f>
        <v>0611839442100</v>
      </c>
      <c r="B11917" t="str">
        <f>"LL3773"</f>
        <v>LL3773</v>
      </c>
      <c r="C11917" t="s">
        <v>50285</v>
      </c>
      <c r="D11917" t="s">
        <v>27245</v>
      </c>
      <c r="E11917" t="str">
        <f t="shared" si="186"/>
        <v>001390</v>
      </c>
      <c r="F11917" t="s">
        <v>27246</v>
      </c>
      <c r="G11917" t="s">
        <v>27247</v>
      </c>
      <c r="H11917" t="s">
        <v>27248</v>
      </c>
      <c r="I11917" t="s">
        <v>50286</v>
      </c>
      <c r="J11917" t="s">
        <v>23846</v>
      </c>
      <c r="L11917" t="s">
        <v>27250</v>
      </c>
      <c r="M11917" t="s">
        <v>27251</v>
      </c>
      <c r="N11917" t="s">
        <v>27252</v>
      </c>
      <c r="Q11917" s="1">
        <v>44538</v>
      </c>
      <c r="R11917" t="s">
        <v>27253</v>
      </c>
      <c r="S11917" t="s">
        <v>27254</v>
      </c>
      <c r="T11917" t="s">
        <v>27255</v>
      </c>
    </row>
    <row r="11918" spans="1:20" x14ac:dyDescent="0.3">
      <c r="A11918" t="str">
        <f>"0611839443100"</f>
        <v>0611839443100</v>
      </c>
      <c r="B11918" t="str">
        <f>"LL3809"</f>
        <v>LL3809</v>
      </c>
      <c r="C11918" t="s">
        <v>50287</v>
      </c>
      <c r="D11918" t="s">
        <v>28138</v>
      </c>
      <c r="E11918" t="str">
        <f t="shared" si="186"/>
        <v>001390</v>
      </c>
      <c r="F11918" t="s">
        <v>27246</v>
      </c>
      <c r="G11918" t="s">
        <v>27247</v>
      </c>
      <c r="H11918" t="s">
        <v>27248</v>
      </c>
      <c r="I11918" t="s">
        <v>50288</v>
      </c>
      <c r="J11918" t="s">
        <v>23848</v>
      </c>
      <c r="L11918" t="s">
        <v>27250</v>
      </c>
      <c r="M11918" t="s">
        <v>27251</v>
      </c>
      <c r="N11918" t="s">
        <v>27252</v>
      </c>
      <c r="P11918" t="s">
        <v>27925</v>
      </c>
      <c r="Q11918" s="1">
        <v>44538</v>
      </c>
      <c r="R11918" t="s">
        <v>27253</v>
      </c>
      <c r="S11918" t="s">
        <v>27254</v>
      </c>
      <c r="T11918" t="s">
        <v>27255</v>
      </c>
    </row>
    <row r="11919" spans="1:20" x14ac:dyDescent="0.3">
      <c r="A11919" t="str">
        <f>"0611839444100"</f>
        <v>0611839444100</v>
      </c>
      <c r="B11919" t="str">
        <f>"LL3778"</f>
        <v>LL3778</v>
      </c>
      <c r="C11919" t="s">
        <v>50289</v>
      </c>
      <c r="D11919" t="s">
        <v>27245</v>
      </c>
      <c r="E11919" t="str">
        <f t="shared" si="186"/>
        <v>001390</v>
      </c>
      <c r="F11919" t="s">
        <v>27246</v>
      </c>
      <c r="G11919" t="s">
        <v>27247</v>
      </c>
      <c r="H11919" t="s">
        <v>27248</v>
      </c>
      <c r="I11919" t="s">
        <v>50290</v>
      </c>
      <c r="J11919" t="s">
        <v>23850</v>
      </c>
      <c r="L11919" t="s">
        <v>27250</v>
      </c>
      <c r="M11919" t="s">
        <v>27251</v>
      </c>
      <c r="N11919" t="s">
        <v>27252</v>
      </c>
      <c r="Q11919" s="1">
        <v>44538</v>
      </c>
      <c r="R11919" t="s">
        <v>27253</v>
      </c>
      <c r="S11919" t="s">
        <v>27254</v>
      </c>
      <c r="T11919" t="s">
        <v>27255</v>
      </c>
    </row>
    <row r="11920" spans="1:20" x14ac:dyDescent="0.3">
      <c r="A11920" t="str">
        <f>"0611833599100"</f>
        <v>0611833599100</v>
      </c>
      <c r="B11920" t="str">
        <f>"LL3757"</f>
        <v>LL3757</v>
      </c>
      <c r="C11920" t="s">
        <v>50291</v>
      </c>
      <c r="D11920" t="s">
        <v>27245</v>
      </c>
      <c r="E11920" t="str">
        <f t="shared" si="186"/>
        <v>001390</v>
      </c>
      <c r="F11920" t="s">
        <v>27246</v>
      </c>
      <c r="G11920" t="s">
        <v>27247</v>
      </c>
      <c r="H11920" t="s">
        <v>27248</v>
      </c>
      <c r="I11920" t="s">
        <v>50292</v>
      </c>
      <c r="J11920" t="s">
        <v>23852</v>
      </c>
      <c r="L11920" t="s">
        <v>27250</v>
      </c>
      <c r="M11920" t="s">
        <v>27251</v>
      </c>
      <c r="N11920" t="s">
        <v>27252</v>
      </c>
      <c r="Q11920" s="1">
        <v>44538</v>
      </c>
      <c r="R11920" t="s">
        <v>27253</v>
      </c>
      <c r="S11920" t="s">
        <v>27254</v>
      </c>
      <c r="T11920" t="s">
        <v>27255</v>
      </c>
    </row>
    <row r="11921" spans="1:20" x14ac:dyDescent="0.3">
      <c r="A11921" t="str">
        <f>"0611839445100"</f>
        <v>0611839445100</v>
      </c>
      <c r="B11921" t="str">
        <f>"LL3759"</f>
        <v>LL3759</v>
      </c>
      <c r="C11921" t="s">
        <v>50293</v>
      </c>
      <c r="D11921" t="s">
        <v>27245</v>
      </c>
      <c r="E11921" t="str">
        <f t="shared" si="186"/>
        <v>001390</v>
      </c>
      <c r="F11921" t="s">
        <v>27246</v>
      </c>
      <c r="G11921" t="s">
        <v>27247</v>
      </c>
      <c r="H11921" t="s">
        <v>27248</v>
      </c>
      <c r="I11921" t="s">
        <v>50294</v>
      </c>
      <c r="J11921" t="s">
        <v>23854</v>
      </c>
      <c r="L11921" t="s">
        <v>27250</v>
      </c>
      <c r="M11921" t="s">
        <v>27251</v>
      </c>
      <c r="N11921" t="s">
        <v>27252</v>
      </c>
      <c r="Q11921" s="1">
        <v>44538</v>
      </c>
      <c r="R11921" t="s">
        <v>27253</v>
      </c>
      <c r="S11921" t="s">
        <v>27254</v>
      </c>
      <c r="T11921" t="s">
        <v>27255</v>
      </c>
    </row>
    <row r="11922" spans="1:20" x14ac:dyDescent="0.3">
      <c r="A11922" t="str">
        <f>"0611839446100"</f>
        <v>0611839446100</v>
      </c>
      <c r="B11922" t="str">
        <f>"LL3804"</f>
        <v>LL3804</v>
      </c>
      <c r="C11922" t="s">
        <v>50295</v>
      </c>
      <c r="D11922" t="s">
        <v>27245</v>
      </c>
      <c r="E11922" t="str">
        <f t="shared" si="186"/>
        <v>001390</v>
      </c>
      <c r="F11922" t="s">
        <v>27246</v>
      </c>
      <c r="G11922" t="s">
        <v>27247</v>
      </c>
      <c r="H11922" t="s">
        <v>27248</v>
      </c>
      <c r="I11922" t="s">
        <v>50296</v>
      </c>
      <c r="J11922" t="s">
        <v>23858</v>
      </c>
      <c r="L11922" t="s">
        <v>27250</v>
      </c>
      <c r="M11922" t="s">
        <v>27251</v>
      </c>
      <c r="N11922" t="s">
        <v>27252</v>
      </c>
      <c r="Q11922" s="1">
        <v>44538</v>
      </c>
      <c r="R11922" t="s">
        <v>27253</v>
      </c>
      <c r="S11922" t="s">
        <v>27254</v>
      </c>
      <c r="T11922" t="s">
        <v>27255</v>
      </c>
    </row>
    <row r="11923" spans="1:20" x14ac:dyDescent="0.3">
      <c r="A11923" t="str">
        <f>"0611839447100"</f>
        <v>0611839447100</v>
      </c>
      <c r="B11923" t="str">
        <f>"LL3811"</f>
        <v>LL3811</v>
      </c>
      <c r="C11923" t="s">
        <v>50297</v>
      </c>
      <c r="D11923" t="s">
        <v>27245</v>
      </c>
      <c r="E11923" t="str">
        <f t="shared" si="186"/>
        <v>001390</v>
      </c>
      <c r="F11923" t="s">
        <v>27246</v>
      </c>
      <c r="G11923" t="s">
        <v>27247</v>
      </c>
      <c r="H11923" t="s">
        <v>27248</v>
      </c>
      <c r="I11923" t="s">
        <v>50298</v>
      </c>
      <c r="J11923" t="s">
        <v>23860</v>
      </c>
      <c r="L11923" t="s">
        <v>27250</v>
      </c>
      <c r="M11923" t="s">
        <v>27251</v>
      </c>
      <c r="N11923" t="s">
        <v>27252</v>
      </c>
      <c r="Q11923" s="1">
        <v>44538</v>
      </c>
      <c r="R11923" t="s">
        <v>27253</v>
      </c>
      <c r="S11923" t="s">
        <v>27254</v>
      </c>
      <c r="T11923" t="s">
        <v>27255</v>
      </c>
    </row>
    <row r="11924" spans="1:20" x14ac:dyDescent="0.3">
      <c r="A11924" t="str">
        <f>"0611839448100"</f>
        <v>0611839448100</v>
      </c>
      <c r="B11924" t="str">
        <f>"LL8241"</f>
        <v>LL8241</v>
      </c>
      <c r="C11924" t="s">
        <v>50299</v>
      </c>
      <c r="D11924" t="s">
        <v>27245</v>
      </c>
      <c r="E11924" t="str">
        <f t="shared" si="186"/>
        <v>001390</v>
      </c>
      <c r="F11924" t="s">
        <v>27246</v>
      </c>
      <c r="G11924" t="s">
        <v>27247</v>
      </c>
      <c r="H11924" t="s">
        <v>27248</v>
      </c>
      <c r="I11924" t="s">
        <v>50300</v>
      </c>
      <c r="J11924" t="s">
        <v>23862</v>
      </c>
      <c r="L11924" t="s">
        <v>27250</v>
      </c>
      <c r="M11924" t="s">
        <v>27251</v>
      </c>
      <c r="N11924" t="s">
        <v>27252</v>
      </c>
      <c r="Q11924" s="1">
        <v>44538</v>
      </c>
      <c r="R11924" t="s">
        <v>27253</v>
      </c>
      <c r="S11924" t="s">
        <v>27254</v>
      </c>
      <c r="T11924" t="s">
        <v>27255</v>
      </c>
    </row>
    <row r="11925" spans="1:20" x14ac:dyDescent="0.3">
      <c r="A11925" t="str">
        <f>"0611839449100"</f>
        <v>0611839449100</v>
      </c>
      <c r="B11925" t="str">
        <f>"LL4077"</f>
        <v>LL4077</v>
      </c>
      <c r="C11925" t="s">
        <v>50301</v>
      </c>
      <c r="D11925" t="s">
        <v>27245</v>
      </c>
      <c r="E11925" t="str">
        <f t="shared" si="186"/>
        <v>001390</v>
      </c>
      <c r="F11925" t="s">
        <v>27246</v>
      </c>
      <c r="G11925" t="s">
        <v>27247</v>
      </c>
      <c r="H11925" t="s">
        <v>27248</v>
      </c>
      <c r="I11925" t="s">
        <v>50302</v>
      </c>
      <c r="J11925" t="s">
        <v>23864</v>
      </c>
      <c r="L11925" t="s">
        <v>27250</v>
      </c>
      <c r="M11925" t="s">
        <v>27251</v>
      </c>
      <c r="N11925" t="s">
        <v>27252</v>
      </c>
      <c r="Q11925" s="1">
        <v>44538</v>
      </c>
      <c r="R11925" t="s">
        <v>27253</v>
      </c>
      <c r="S11925" t="s">
        <v>27254</v>
      </c>
      <c r="T11925" t="s">
        <v>27255</v>
      </c>
    </row>
    <row r="11926" spans="1:20" x14ac:dyDescent="0.3">
      <c r="A11926" t="str">
        <f>"0611833601100"</f>
        <v>0611833601100</v>
      </c>
      <c r="B11926" t="str">
        <f>"LL3816"</f>
        <v>LL3816</v>
      </c>
      <c r="C11926" t="s">
        <v>50303</v>
      </c>
      <c r="D11926" t="s">
        <v>27245</v>
      </c>
      <c r="E11926" t="str">
        <f t="shared" si="186"/>
        <v>001390</v>
      </c>
      <c r="F11926" t="s">
        <v>27246</v>
      </c>
      <c r="G11926" t="s">
        <v>27247</v>
      </c>
      <c r="H11926" t="s">
        <v>27248</v>
      </c>
      <c r="I11926" t="s">
        <v>50304</v>
      </c>
      <c r="J11926" t="s">
        <v>23866</v>
      </c>
      <c r="L11926" t="s">
        <v>27250</v>
      </c>
      <c r="M11926" t="s">
        <v>27251</v>
      </c>
      <c r="N11926" t="s">
        <v>27252</v>
      </c>
      <c r="Q11926" s="1">
        <v>44538</v>
      </c>
      <c r="R11926" t="s">
        <v>27253</v>
      </c>
      <c r="S11926" t="s">
        <v>27254</v>
      </c>
      <c r="T11926" t="s">
        <v>27255</v>
      </c>
    </row>
    <row r="11927" spans="1:20" x14ac:dyDescent="0.3">
      <c r="A11927" t="str">
        <f>"0611833605200"</f>
        <v>0611833605200</v>
      </c>
      <c r="B11927" t="str">
        <f>"KY3781"</f>
        <v>KY3781</v>
      </c>
      <c r="C11927" t="s">
        <v>50305</v>
      </c>
      <c r="D11927" t="s">
        <v>27682</v>
      </c>
      <c r="E11927" t="str">
        <f t="shared" si="186"/>
        <v>001390</v>
      </c>
      <c r="F11927" t="s">
        <v>27246</v>
      </c>
      <c r="G11927" t="s">
        <v>27247</v>
      </c>
      <c r="H11927" t="s">
        <v>27248</v>
      </c>
      <c r="I11927" t="s">
        <v>50306</v>
      </c>
      <c r="J11927" t="s">
        <v>23868</v>
      </c>
      <c r="L11927" t="s">
        <v>27250</v>
      </c>
      <c r="M11927" t="s">
        <v>27251</v>
      </c>
      <c r="N11927" t="s">
        <v>27252</v>
      </c>
      <c r="Q11927" s="1">
        <v>44538</v>
      </c>
      <c r="R11927" t="s">
        <v>27253</v>
      </c>
      <c r="S11927" t="s">
        <v>27254</v>
      </c>
      <c r="T11927" t="s">
        <v>27684</v>
      </c>
    </row>
    <row r="11928" spans="1:20" x14ac:dyDescent="0.3">
      <c r="A11928" t="str">
        <f>"0611833606100"</f>
        <v>0611833606100</v>
      </c>
      <c r="B11928" t="str">
        <f>"LL3785"</f>
        <v>LL3785</v>
      </c>
      <c r="C11928" t="s">
        <v>50307</v>
      </c>
      <c r="D11928" t="s">
        <v>27245</v>
      </c>
      <c r="E11928" t="str">
        <f t="shared" si="186"/>
        <v>001390</v>
      </c>
      <c r="F11928" t="s">
        <v>27246</v>
      </c>
      <c r="G11928" t="s">
        <v>27247</v>
      </c>
      <c r="H11928" t="s">
        <v>27248</v>
      </c>
      <c r="I11928" t="s">
        <v>50308</v>
      </c>
      <c r="J11928" t="s">
        <v>23870</v>
      </c>
      <c r="L11928" t="s">
        <v>27250</v>
      </c>
      <c r="M11928" t="s">
        <v>27251</v>
      </c>
      <c r="N11928" t="s">
        <v>27252</v>
      </c>
      <c r="Q11928" s="1">
        <v>44538</v>
      </c>
      <c r="R11928" t="s">
        <v>27253</v>
      </c>
      <c r="S11928" t="s">
        <v>27254</v>
      </c>
      <c r="T11928" t="s">
        <v>27255</v>
      </c>
    </row>
    <row r="11929" spans="1:20" x14ac:dyDescent="0.3">
      <c r="A11929" t="str">
        <f>"0611833607100"</f>
        <v>0611833607100</v>
      </c>
      <c r="B11929" t="str">
        <f>"LL3815"</f>
        <v>LL3815</v>
      </c>
      <c r="C11929" t="s">
        <v>50309</v>
      </c>
      <c r="D11929" t="s">
        <v>27245</v>
      </c>
      <c r="E11929" t="str">
        <f t="shared" si="186"/>
        <v>001390</v>
      </c>
      <c r="F11929" t="s">
        <v>27246</v>
      </c>
      <c r="G11929" t="s">
        <v>27247</v>
      </c>
      <c r="H11929" t="s">
        <v>27248</v>
      </c>
      <c r="I11929" t="s">
        <v>50310</v>
      </c>
      <c r="J11929" t="s">
        <v>23872</v>
      </c>
      <c r="L11929" t="s">
        <v>27250</v>
      </c>
      <c r="M11929" t="s">
        <v>27251</v>
      </c>
      <c r="N11929" t="s">
        <v>27252</v>
      </c>
      <c r="Q11929" s="1">
        <v>44538</v>
      </c>
      <c r="R11929" t="s">
        <v>27253</v>
      </c>
      <c r="S11929" t="s">
        <v>27254</v>
      </c>
      <c r="T11929" t="s">
        <v>27255</v>
      </c>
    </row>
    <row r="11930" spans="1:20" x14ac:dyDescent="0.3">
      <c r="A11930" t="str">
        <f>"0611833608200"</f>
        <v>0611833608200</v>
      </c>
      <c r="B11930" t="str">
        <f>"KY3815"</f>
        <v>KY3815</v>
      </c>
      <c r="C11930" t="s">
        <v>50309</v>
      </c>
      <c r="D11930" t="s">
        <v>27682</v>
      </c>
      <c r="E11930" t="str">
        <f t="shared" si="186"/>
        <v>001390</v>
      </c>
      <c r="F11930" t="s">
        <v>27246</v>
      </c>
      <c r="G11930" t="s">
        <v>27247</v>
      </c>
      <c r="H11930" t="s">
        <v>27248</v>
      </c>
      <c r="I11930" t="s">
        <v>50311</v>
      </c>
      <c r="J11930" t="s">
        <v>23874</v>
      </c>
      <c r="L11930" t="s">
        <v>27250</v>
      </c>
      <c r="M11930" t="s">
        <v>27251</v>
      </c>
      <c r="N11930" t="s">
        <v>27252</v>
      </c>
      <c r="Q11930" s="1">
        <v>44538</v>
      </c>
      <c r="R11930" t="s">
        <v>27253</v>
      </c>
      <c r="S11930" t="s">
        <v>27254</v>
      </c>
      <c r="T11930" t="s">
        <v>27684</v>
      </c>
    </row>
    <row r="11931" spans="1:20" x14ac:dyDescent="0.3">
      <c r="A11931" t="str">
        <f>"0611833609100"</f>
        <v>0611833609100</v>
      </c>
      <c r="B11931" t="str">
        <f>"LL3817"</f>
        <v>LL3817</v>
      </c>
      <c r="C11931" t="s">
        <v>50312</v>
      </c>
      <c r="D11931" t="s">
        <v>27245</v>
      </c>
      <c r="E11931" t="str">
        <f t="shared" si="186"/>
        <v>001390</v>
      </c>
      <c r="F11931" t="s">
        <v>27246</v>
      </c>
      <c r="G11931" t="s">
        <v>27247</v>
      </c>
      <c r="H11931" t="s">
        <v>27248</v>
      </c>
      <c r="I11931" t="s">
        <v>50313</v>
      </c>
      <c r="J11931" t="s">
        <v>23876</v>
      </c>
      <c r="L11931" t="s">
        <v>27250</v>
      </c>
      <c r="M11931" t="s">
        <v>27251</v>
      </c>
      <c r="N11931" t="s">
        <v>27252</v>
      </c>
      <c r="Q11931" s="1">
        <v>44538</v>
      </c>
      <c r="R11931" t="s">
        <v>27253</v>
      </c>
      <c r="S11931" t="s">
        <v>27254</v>
      </c>
      <c r="T11931" t="s">
        <v>27255</v>
      </c>
    </row>
    <row r="11932" spans="1:20" x14ac:dyDescent="0.3">
      <c r="A11932" t="str">
        <f>"0611833610200"</f>
        <v>0611833610200</v>
      </c>
      <c r="B11932" t="str">
        <f>"KY3817"</f>
        <v>KY3817</v>
      </c>
      <c r="C11932" t="s">
        <v>50312</v>
      </c>
      <c r="D11932" t="s">
        <v>27682</v>
      </c>
      <c r="E11932" t="str">
        <f t="shared" si="186"/>
        <v>001390</v>
      </c>
      <c r="F11932" t="s">
        <v>27246</v>
      </c>
      <c r="G11932" t="s">
        <v>27247</v>
      </c>
      <c r="H11932" t="s">
        <v>27248</v>
      </c>
      <c r="I11932" t="s">
        <v>50314</v>
      </c>
      <c r="J11932" t="s">
        <v>23878</v>
      </c>
      <c r="L11932" t="s">
        <v>27250</v>
      </c>
      <c r="M11932" t="s">
        <v>27251</v>
      </c>
      <c r="N11932" t="s">
        <v>27252</v>
      </c>
      <c r="Q11932" s="1">
        <v>44538</v>
      </c>
      <c r="R11932" t="s">
        <v>27253</v>
      </c>
      <c r="S11932" t="s">
        <v>27254</v>
      </c>
      <c r="T11932" t="s">
        <v>27684</v>
      </c>
    </row>
    <row r="11933" spans="1:20" x14ac:dyDescent="0.3">
      <c r="A11933" t="str">
        <f>"0611833611100"</f>
        <v>0611833611100</v>
      </c>
      <c r="B11933" t="str">
        <f>"LL3800"</f>
        <v>LL3800</v>
      </c>
      <c r="C11933" t="s">
        <v>50315</v>
      </c>
      <c r="D11933" t="s">
        <v>27245</v>
      </c>
      <c r="E11933" t="str">
        <f t="shared" si="186"/>
        <v>001390</v>
      </c>
      <c r="F11933" t="s">
        <v>27246</v>
      </c>
      <c r="G11933" t="s">
        <v>27247</v>
      </c>
      <c r="H11933" t="s">
        <v>27248</v>
      </c>
      <c r="I11933" t="s">
        <v>50316</v>
      </c>
      <c r="J11933" t="s">
        <v>23880</v>
      </c>
      <c r="L11933" t="s">
        <v>27250</v>
      </c>
      <c r="M11933" t="s">
        <v>27251</v>
      </c>
      <c r="N11933" t="s">
        <v>27252</v>
      </c>
      <c r="Q11933" s="1">
        <v>44538</v>
      </c>
      <c r="R11933" t="s">
        <v>27253</v>
      </c>
      <c r="S11933" t="s">
        <v>27254</v>
      </c>
      <c r="T11933" t="s">
        <v>27255</v>
      </c>
    </row>
    <row r="11934" spans="1:20" x14ac:dyDescent="0.3">
      <c r="A11934" t="str">
        <f>"0611833612100"</f>
        <v>0611833612100</v>
      </c>
      <c r="B11934" t="str">
        <f>"LL0135"</f>
        <v>LL0135</v>
      </c>
      <c r="C11934" t="s">
        <v>50317</v>
      </c>
      <c r="D11934" t="s">
        <v>27245</v>
      </c>
      <c r="E11934" t="str">
        <f t="shared" si="186"/>
        <v>001390</v>
      </c>
      <c r="F11934" t="s">
        <v>27246</v>
      </c>
      <c r="G11934" t="s">
        <v>27247</v>
      </c>
      <c r="H11934" t="s">
        <v>27248</v>
      </c>
      <c r="I11934" t="s">
        <v>50318</v>
      </c>
      <c r="J11934" t="s">
        <v>23882</v>
      </c>
      <c r="L11934" t="s">
        <v>27250</v>
      </c>
      <c r="M11934" t="s">
        <v>27251</v>
      </c>
      <c r="N11934" t="s">
        <v>27252</v>
      </c>
      <c r="Q11934" s="1">
        <v>44538</v>
      </c>
      <c r="R11934" t="s">
        <v>27253</v>
      </c>
      <c r="S11934" t="s">
        <v>27254</v>
      </c>
      <c r="T11934" t="s">
        <v>27255</v>
      </c>
    </row>
    <row r="11935" spans="1:20" x14ac:dyDescent="0.3">
      <c r="A11935" t="str">
        <f>"0611833613100"</f>
        <v>0611833613100</v>
      </c>
      <c r="B11935" t="str">
        <f>"LL3813"</f>
        <v>LL3813</v>
      </c>
      <c r="C11935" t="s">
        <v>50319</v>
      </c>
      <c r="D11935" t="s">
        <v>27245</v>
      </c>
      <c r="E11935" t="str">
        <f t="shared" si="186"/>
        <v>001390</v>
      </c>
      <c r="F11935" t="s">
        <v>27246</v>
      </c>
      <c r="G11935" t="s">
        <v>27247</v>
      </c>
      <c r="H11935" t="s">
        <v>27248</v>
      </c>
      <c r="I11935" t="s">
        <v>50320</v>
      </c>
      <c r="J11935" t="s">
        <v>23884</v>
      </c>
      <c r="L11935" t="s">
        <v>27250</v>
      </c>
      <c r="M11935" t="s">
        <v>27251</v>
      </c>
      <c r="N11935" t="s">
        <v>27252</v>
      </c>
      <c r="Q11935" s="1">
        <v>44538</v>
      </c>
      <c r="R11935" t="s">
        <v>27253</v>
      </c>
      <c r="S11935" t="s">
        <v>27254</v>
      </c>
      <c r="T11935" t="s">
        <v>27255</v>
      </c>
    </row>
    <row r="11936" spans="1:20" x14ac:dyDescent="0.3">
      <c r="A11936" t="str">
        <f>"0611833614100"</f>
        <v>0611833614100</v>
      </c>
      <c r="B11936" t="str">
        <f>"LL3828"</f>
        <v>LL3828</v>
      </c>
      <c r="C11936" t="s">
        <v>50321</v>
      </c>
      <c r="D11936" t="s">
        <v>27245</v>
      </c>
      <c r="E11936" t="str">
        <f t="shared" si="186"/>
        <v>001390</v>
      </c>
      <c r="F11936" t="s">
        <v>27246</v>
      </c>
      <c r="G11936" t="s">
        <v>27247</v>
      </c>
      <c r="H11936" t="s">
        <v>27248</v>
      </c>
      <c r="I11936" t="s">
        <v>50322</v>
      </c>
      <c r="J11936" t="s">
        <v>23886</v>
      </c>
      <c r="L11936" t="s">
        <v>27250</v>
      </c>
      <c r="M11936" t="s">
        <v>27251</v>
      </c>
      <c r="N11936" t="s">
        <v>27252</v>
      </c>
      <c r="Q11936" s="1">
        <v>44538</v>
      </c>
      <c r="R11936" t="s">
        <v>27253</v>
      </c>
      <c r="S11936" t="s">
        <v>27254</v>
      </c>
      <c r="T11936" t="s">
        <v>27255</v>
      </c>
    </row>
    <row r="11937" spans="1:20" x14ac:dyDescent="0.3">
      <c r="A11937" t="str">
        <f>"0611839450100"</f>
        <v>0611839450100</v>
      </c>
      <c r="B11937" t="str">
        <f>"LH7905"</f>
        <v>LH7905</v>
      </c>
      <c r="C11937" t="s">
        <v>50323</v>
      </c>
      <c r="D11937" t="s">
        <v>27245</v>
      </c>
      <c r="E11937" t="str">
        <f t="shared" si="186"/>
        <v>001390</v>
      </c>
      <c r="F11937" t="s">
        <v>27246</v>
      </c>
      <c r="G11937" t="s">
        <v>27247</v>
      </c>
      <c r="H11937" t="s">
        <v>27248</v>
      </c>
      <c r="I11937" t="s">
        <v>50324</v>
      </c>
      <c r="J11937" t="s">
        <v>23888</v>
      </c>
      <c r="L11937" t="s">
        <v>27250</v>
      </c>
      <c r="M11937" t="s">
        <v>27251</v>
      </c>
      <c r="N11937" t="s">
        <v>27252</v>
      </c>
      <c r="Q11937" s="1">
        <v>44538</v>
      </c>
      <c r="R11937" t="s">
        <v>27253</v>
      </c>
      <c r="S11937" t="s">
        <v>27254</v>
      </c>
      <c r="T11937" t="s">
        <v>27255</v>
      </c>
    </row>
    <row r="11938" spans="1:20" x14ac:dyDescent="0.3">
      <c r="A11938" t="str">
        <f>"0611839451025"</f>
        <v>0611839451025</v>
      </c>
      <c r="B11938" t="str">
        <f>"MC0694"</f>
        <v>MC0694</v>
      </c>
      <c r="C11938" t="s">
        <v>50323</v>
      </c>
      <c r="D11938" t="s">
        <v>27267</v>
      </c>
      <c r="E11938" t="str">
        <f t="shared" si="186"/>
        <v>001390</v>
      </c>
      <c r="F11938" t="s">
        <v>27246</v>
      </c>
      <c r="G11938" t="s">
        <v>27247</v>
      </c>
      <c r="H11938" t="s">
        <v>27248</v>
      </c>
      <c r="I11938" t="s">
        <v>50325</v>
      </c>
      <c r="J11938" t="s">
        <v>23890</v>
      </c>
      <c r="L11938" t="s">
        <v>27250</v>
      </c>
      <c r="M11938" t="s">
        <v>27251</v>
      </c>
      <c r="N11938" t="s">
        <v>27252</v>
      </c>
      <c r="Q11938" s="1">
        <v>44538</v>
      </c>
      <c r="R11938" t="s">
        <v>27253</v>
      </c>
      <c r="S11938" t="s">
        <v>27254</v>
      </c>
      <c r="T11938" t="s">
        <v>27269</v>
      </c>
    </row>
    <row r="11939" spans="1:20" x14ac:dyDescent="0.3">
      <c r="A11939" t="str">
        <f>"0611839452025"</f>
        <v>0611839452025</v>
      </c>
      <c r="B11939" t="str">
        <f>"MC3075"</f>
        <v>MC3075</v>
      </c>
      <c r="C11939" t="s">
        <v>50326</v>
      </c>
      <c r="D11939" t="s">
        <v>27267</v>
      </c>
      <c r="E11939" t="str">
        <f t="shared" si="186"/>
        <v>001390</v>
      </c>
      <c r="F11939" t="s">
        <v>27246</v>
      </c>
      <c r="G11939" t="s">
        <v>27247</v>
      </c>
      <c r="H11939" t="s">
        <v>27248</v>
      </c>
      <c r="I11939" t="s">
        <v>50327</v>
      </c>
      <c r="J11939" t="s">
        <v>23892</v>
      </c>
      <c r="L11939" t="s">
        <v>27250</v>
      </c>
      <c r="M11939" t="s">
        <v>27251</v>
      </c>
      <c r="N11939" t="s">
        <v>27252</v>
      </c>
      <c r="Q11939" s="1">
        <v>44538</v>
      </c>
      <c r="R11939" t="s">
        <v>27253</v>
      </c>
      <c r="S11939" t="s">
        <v>27254</v>
      </c>
      <c r="T11939" t="s">
        <v>27269</v>
      </c>
    </row>
    <row r="11940" spans="1:20" x14ac:dyDescent="0.3">
      <c r="A11940" t="str">
        <f>"0611839453025"</f>
        <v>0611839453025</v>
      </c>
      <c r="B11940" t="str">
        <f>"MC0695"</f>
        <v>MC0695</v>
      </c>
      <c r="C11940" t="s">
        <v>50328</v>
      </c>
      <c r="D11940" t="s">
        <v>27267</v>
      </c>
      <c r="E11940" t="str">
        <f t="shared" si="186"/>
        <v>001390</v>
      </c>
      <c r="F11940" t="s">
        <v>27246</v>
      </c>
      <c r="G11940" t="s">
        <v>27247</v>
      </c>
      <c r="H11940" t="s">
        <v>27248</v>
      </c>
      <c r="I11940" t="s">
        <v>50329</v>
      </c>
      <c r="J11940" t="s">
        <v>23894</v>
      </c>
      <c r="L11940" t="s">
        <v>27250</v>
      </c>
      <c r="M11940" t="s">
        <v>27251</v>
      </c>
      <c r="N11940" t="s">
        <v>27252</v>
      </c>
      <c r="Q11940" s="1">
        <v>44538</v>
      </c>
      <c r="R11940" t="s">
        <v>27253</v>
      </c>
      <c r="S11940" t="s">
        <v>27254</v>
      </c>
      <c r="T11940" t="s">
        <v>27269</v>
      </c>
    </row>
    <row r="11941" spans="1:20" x14ac:dyDescent="0.3">
      <c r="A11941" t="str">
        <f>"0611839454025"</f>
        <v>0611839454025</v>
      </c>
      <c r="B11941" t="str">
        <f>"MC2584"</f>
        <v>MC2584</v>
      </c>
      <c r="C11941" t="s">
        <v>50330</v>
      </c>
      <c r="D11941" t="s">
        <v>27267</v>
      </c>
      <c r="E11941" t="str">
        <f t="shared" si="186"/>
        <v>001390</v>
      </c>
      <c r="F11941" t="s">
        <v>27246</v>
      </c>
      <c r="G11941" t="s">
        <v>27247</v>
      </c>
      <c r="H11941" t="s">
        <v>27248</v>
      </c>
      <c r="I11941" t="s">
        <v>50331</v>
      </c>
      <c r="J11941" t="s">
        <v>23896</v>
      </c>
      <c r="L11941" t="s">
        <v>27250</v>
      </c>
      <c r="M11941" t="s">
        <v>27251</v>
      </c>
      <c r="N11941" t="s">
        <v>27252</v>
      </c>
      <c r="Q11941" s="1">
        <v>44538</v>
      </c>
      <c r="R11941" t="s">
        <v>27253</v>
      </c>
      <c r="S11941" t="s">
        <v>27254</v>
      </c>
      <c r="T11941" t="s">
        <v>27269</v>
      </c>
    </row>
    <row r="11942" spans="1:20" x14ac:dyDescent="0.3">
      <c r="A11942" t="str">
        <f>"0611864103100"</f>
        <v>0611864103100</v>
      </c>
      <c r="B11942" t="str">
        <f>"CN5399"</f>
        <v>CN5399</v>
      </c>
      <c r="C11942" t="s">
        <v>50332</v>
      </c>
      <c r="D11942" t="s">
        <v>27245</v>
      </c>
      <c r="E11942" t="str">
        <f t="shared" si="186"/>
        <v>001390</v>
      </c>
      <c r="F11942" t="s">
        <v>27246</v>
      </c>
      <c r="G11942" t="s">
        <v>27247</v>
      </c>
      <c r="H11942" t="s">
        <v>27248</v>
      </c>
      <c r="I11942" t="s">
        <v>50333</v>
      </c>
      <c r="J11942" t="s">
        <v>23898</v>
      </c>
      <c r="L11942" t="s">
        <v>27250</v>
      </c>
      <c r="M11942" t="s">
        <v>27251</v>
      </c>
      <c r="N11942" t="s">
        <v>27252</v>
      </c>
      <c r="Q11942" s="1">
        <v>44846</v>
      </c>
      <c r="R11942" t="s">
        <v>27253</v>
      </c>
      <c r="S11942" t="s">
        <v>27254</v>
      </c>
      <c r="T11942" t="s">
        <v>27255</v>
      </c>
    </row>
    <row r="11943" spans="1:20" x14ac:dyDescent="0.3">
      <c r="A11943" t="str">
        <f>"0611864104050"</f>
        <v>0611864104050</v>
      </c>
      <c r="B11943" t="str">
        <f>"CR4482"</f>
        <v>CR4482</v>
      </c>
      <c r="C11943" t="s">
        <v>50332</v>
      </c>
      <c r="D11943" t="s">
        <v>27286</v>
      </c>
      <c r="E11943" t="str">
        <f t="shared" si="186"/>
        <v>001390</v>
      </c>
      <c r="F11943" t="s">
        <v>27246</v>
      </c>
      <c r="G11943" t="s">
        <v>27247</v>
      </c>
      <c r="H11943" t="s">
        <v>27248</v>
      </c>
      <c r="I11943" t="s">
        <v>50334</v>
      </c>
      <c r="J11943" t="s">
        <v>23900</v>
      </c>
      <c r="L11943" t="s">
        <v>27250</v>
      </c>
      <c r="M11943" t="s">
        <v>27251</v>
      </c>
      <c r="N11943" t="s">
        <v>27252</v>
      </c>
      <c r="Q11943" s="1">
        <v>44846</v>
      </c>
      <c r="R11943" t="s">
        <v>27253</v>
      </c>
      <c r="S11943" t="s">
        <v>27254</v>
      </c>
      <c r="T11943" t="s">
        <v>27265</v>
      </c>
    </row>
    <row r="11944" spans="1:20" x14ac:dyDescent="0.3">
      <c r="A11944" t="str">
        <f>"0611839455100"</f>
        <v>0611839455100</v>
      </c>
      <c r="B11944" t="str">
        <f>"LC9320"</f>
        <v>LC9320</v>
      </c>
      <c r="C11944" t="s">
        <v>50335</v>
      </c>
      <c r="D11944" t="s">
        <v>27245</v>
      </c>
      <c r="E11944" t="str">
        <f t="shared" si="186"/>
        <v>001390</v>
      </c>
      <c r="F11944" t="s">
        <v>27246</v>
      </c>
      <c r="G11944" t="s">
        <v>27247</v>
      </c>
      <c r="H11944" t="s">
        <v>27248</v>
      </c>
      <c r="I11944" t="s">
        <v>50336</v>
      </c>
      <c r="J11944" t="s">
        <v>23902</v>
      </c>
      <c r="L11944" t="s">
        <v>27250</v>
      </c>
      <c r="M11944" t="s">
        <v>27251</v>
      </c>
      <c r="N11944" t="s">
        <v>27252</v>
      </c>
      <c r="Q11944" s="1">
        <v>44538</v>
      </c>
      <c r="R11944" t="s">
        <v>27253</v>
      </c>
      <c r="S11944" t="s">
        <v>27254</v>
      </c>
      <c r="T11944" t="s">
        <v>27255</v>
      </c>
    </row>
    <row r="11945" spans="1:20" x14ac:dyDescent="0.3">
      <c r="A11945" t="str">
        <f>"0611884473025"</f>
        <v>0611884473025</v>
      </c>
      <c r="B11945" t="str">
        <f>"MQ0850"</f>
        <v>MQ0850</v>
      </c>
      <c r="C11945" t="s">
        <v>50337</v>
      </c>
      <c r="D11945" t="s">
        <v>27267</v>
      </c>
      <c r="E11945" t="str">
        <f t="shared" si="186"/>
        <v>001390</v>
      </c>
      <c r="F11945" t="s">
        <v>27246</v>
      </c>
      <c r="G11945" t="s">
        <v>27247</v>
      </c>
      <c r="H11945" t="s">
        <v>27248</v>
      </c>
      <c r="I11945" t="s">
        <v>50338</v>
      </c>
      <c r="J11945" t="s">
        <v>23904</v>
      </c>
      <c r="L11945" t="s">
        <v>27430</v>
      </c>
      <c r="M11945" t="s">
        <v>27251</v>
      </c>
      <c r="N11945" t="s">
        <v>27252</v>
      </c>
      <c r="Q11945" s="1">
        <v>45250</v>
      </c>
      <c r="R11945" t="s">
        <v>27253</v>
      </c>
      <c r="S11945" t="s">
        <v>27254</v>
      </c>
      <c r="T11945" t="s">
        <v>27269</v>
      </c>
    </row>
    <row r="11946" spans="1:20" x14ac:dyDescent="0.3">
      <c r="A11946" t="str">
        <f>"0611839458025"</f>
        <v>0611839458025</v>
      </c>
      <c r="B11946" t="str">
        <f>"MC0693"</f>
        <v>MC0693</v>
      </c>
      <c r="C11946" t="s">
        <v>50339</v>
      </c>
      <c r="D11946" t="s">
        <v>27267</v>
      </c>
      <c r="E11946" t="str">
        <f t="shared" si="186"/>
        <v>001390</v>
      </c>
      <c r="F11946" t="s">
        <v>27246</v>
      </c>
      <c r="G11946" t="s">
        <v>27247</v>
      </c>
      <c r="H11946" t="s">
        <v>27248</v>
      </c>
      <c r="I11946" t="s">
        <v>50340</v>
      </c>
      <c r="J11946" t="s">
        <v>23908</v>
      </c>
      <c r="L11946" t="s">
        <v>27250</v>
      </c>
      <c r="M11946" t="s">
        <v>27251</v>
      </c>
      <c r="N11946" t="s">
        <v>27252</v>
      </c>
      <c r="Q11946" s="1">
        <v>44538</v>
      </c>
      <c r="R11946" t="s">
        <v>27253</v>
      </c>
      <c r="S11946" t="s">
        <v>27254</v>
      </c>
      <c r="T11946" t="s">
        <v>27269</v>
      </c>
    </row>
    <row r="11947" spans="1:20" x14ac:dyDescent="0.3">
      <c r="A11947" t="str">
        <f>"0611864105100"</f>
        <v>0611864105100</v>
      </c>
      <c r="B11947" t="str">
        <f>"CN5398"</f>
        <v>CN5398</v>
      </c>
      <c r="C11947" t="s">
        <v>50339</v>
      </c>
      <c r="D11947" t="s">
        <v>27335</v>
      </c>
      <c r="E11947" t="str">
        <f t="shared" si="186"/>
        <v>001390</v>
      </c>
      <c r="F11947" t="s">
        <v>27246</v>
      </c>
      <c r="G11947" t="s">
        <v>27247</v>
      </c>
      <c r="H11947" t="s">
        <v>27248</v>
      </c>
      <c r="I11947" t="s">
        <v>50341</v>
      </c>
      <c r="J11947" t="s">
        <v>23906</v>
      </c>
      <c r="L11947" t="s">
        <v>27250</v>
      </c>
      <c r="M11947" t="s">
        <v>27251</v>
      </c>
      <c r="N11947" t="s">
        <v>27252</v>
      </c>
      <c r="Q11947" s="1">
        <v>44846</v>
      </c>
      <c r="R11947" t="s">
        <v>27253</v>
      </c>
      <c r="S11947" t="s">
        <v>27254</v>
      </c>
      <c r="T11947" t="s">
        <v>27255</v>
      </c>
    </row>
    <row r="11948" spans="1:20" x14ac:dyDescent="0.3">
      <c r="A11948" t="str">
        <f>"0611839460025"</f>
        <v>0611839460025</v>
      </c>
      <c r="B11948" t="str">
        <f>"MC2230"</f>
        <v>MC2230</v>
      </c>
      <c r="C11948" t="s">
        <v>50342</v>
      </c>
      <c r="D11948" t="s">
        <v>27267</v>
      </c>
      <c r="E11948" t="str">
        <f t="shared" si="186"/>
        <v>001390</v>
      </c>
      <c r="F11948" t="s">
        <v>27246</v>
      </c>
      <c r="G11948" t="s">
        <v>27247</v>
      </c>
      <c r="H11948" t="s">
        <v>27248</v>
      </c>
      <c r="I11948" t="s">
        <v>50343</v>
      </c>
      <c r="J11948" t="s">
        <v>23912</v>
      </c>
      <c r="L11948" t="s">
        <v>27250</v>
      </c>
      <c r="M11948" t="s">
        <v>27251</v>
      </c>
      <c r="N11948" t="s">
        <v>27252</v>
      </c>
      <c r="Q11948" s="1">
        <v>44538</v>
      </c>
      <c r="R11948" t="s">
        <v>27253</v>
      </c>
      <c r="S11948" t="s">
        <v>27254</v>
      </c>
      <c r="T11948" t="s">
        <v>27269</v>
      </c>
    </row>
    <row r="11949" spans="1:20" x14ac:dyDescent="0.3">
      <c r="A11949" t="str">
        <f>"0611862559100"</f>
        <v>0611862559100</v>
      </c>
      <c r="B11949" t="str">
        <f>"CN5400"</f>
        <v>CN5400</v>
      </c>
      <c r="C11949" t="s">
        <v>50342</v>
      </c>
      <c r="D11949" t="s">
        <v>27335</v>
      </c>
      <c r="E11949" t="str">
        <f t="shared" si="186"/>
        <v>001390</v>
      </c>
      <c r="F11949" t="s">
        <v>27246</v>
      </c>
      <c r="G11949" t="s">
        <v>27247</v>
      </c>
      <c r="H11949" t="s">
        <v>27248</v>
      </c>
      <c r="I11949" t="s">
        <v>50344</v>
      </c>
      <c r="J11949" t="s">
        <v>23910</v>
      </c>
      <c r="L11949" t="s">
        <v>27250</v>
      </c>
      <c r="M11949" t="s">
        <v>27251</v>
      </c>
      <c r="N11949" t="s">
        <v>27252</v>
      </c>
      <c r="Q11949" s="1">
        <v>44846</v>
      </c>
      <c r="R11949" t="s">
        <v>27253</v>
      </c>
      <c r="S11949" t="s">
        <v>27254</v>
      </c>
      <c r="T11949" t="s">
        <v>27255</v>
      </c>
    </row>
    <row r="11950" spans="1:20" x14ac:dyDescent="0.3">
      <c r="A11950" t="str">
        <f>"0611884474025"</f>
        <v>0611884474025</v>
      </c>
      <c r="B11950" t="str">
        <f>"MC4506"</f>
        <v>MC4506</v>
      </c>
      <c r="C11950" t="s">
        <v>50345</v>
      </c>
      <c r="D11950" t="s">
        <v>27267</v>
      </c>
      <c r="E11950" t="str">
        <f t="shared" si="186"/>
        <v>001390</v>
      </c>
      <c r="F11950" t="s">
        <v>27246</v>
      </c>
      <c r="G11950" t="s">
        <v>27247</v>
      </c>
      <c r="H11950" t="s">
        <v>27248</v>
      </c>
      <c r="I11950" t="s">
        <v>50346</v>
      </c>
      <c r="J11950" t="s">
        <v>23914</v>
      </c>
      <c r="L11950" t="s">
        <v>27430</v>
      </c>
      <c r="M11950" t="s">
        <v>27251</v>
      </c>
      <c r="N11950" t="s">
        <v>27252</v>
      </c>
      <c r="Q11950" s="1">
        <v>45250</v>
      </c>
      <c r="R11950" t="s">
        <v>27253</v>
      </c>
      <c r="S11950" t="s">
        <v>27254</v>
      </c>
      <c r="T11950" t="s">
        <v>27269</v>
      </c>
    </row>
    <row r="11951" spans="1:20" x14ac:dyDescent="0.3">
      <c r="A11951" t="str">
        <f>"0611515687100"</f>
        <v>0611515687100</v>
      </c>
      <c r="B11951" t="str">
        <f>""</f>
        <v/>
      </c>
      <c r="C11951" t="s">
        <v>50347</v>
      </c>
      <c r="D11951" t="s">
        <v>37888</v>
      </c>
      <c r="E11951" t="str">
        <f t="shared" si="186"/>
        <v>001390</v>
      </c>
      <c r="F11951" t="s">
        <v>27246</v>
      </c>
      <c r="G11951" t="s">
        <v>27247</v>
      </c>
      <c r="H11951" t="s">
        <v>27248</v>
      </c>
      <c r="I11951" t="s">
        <v>50348</v>
      </c>
      <c r="J11951" t="s">
        <v>23916</v>
      </c>
      <c r="L11951" t="s">
        <v>27250</v>
      </c>
      <c r="M11951" t="s">
        <v>27251</v>
      </c>
      <c r="N11951" t="s">
        <v>27252</v>
      </c>
      <c r="Q11951" s="1">
        <v>41656</v>
      </c>
      <c r="R11951" t="s">
        <v>27253</v>
      </c>
      <c r="S11951" t="s">
        <v>27254</v>
      </c>
      <c r="T11951" t="s">
        <v>50349</v>
      </c>
    </row>
    <row r="11952" spans="1:20" x14ac:dyDescent="0.3">
      <c r="A11952" t="str">
        <f>"0611834822025"</f>
        <v>0611834822025</v>
      </c>
      <c r="B11952" t="str">
        <f>"MC2978"</f>
        <v>MC2978</v>
      </c>
      <c r="C11952" t="s">
        <v>50350</v>
      </c>
      <c r="D11952" t="s">
        <v>27267</v>
      </c>
      <c r="E11952" t="str">
        <f t="shared" si="186"/>
        <v>001390</v>
      </c>
      <c r="F11952" t="s">
        <v>27246</v>
      </c>
      <c r="G11952" t="s">
        <v>27247</v>
      </c>
      <c r="H11952" t="s">
        <v>27248</v>
      </c>
      <c r="I11952" t="s">
        <v>50351</v>
      </c>
      <c r="J11952" t="s">
        <v>23918</v>
      </c>
      <c r="L11952" t="s">
        <v>27250</v>
      </c>
      <c r="M11952" t="s">
        <v>27251</v>
      </c>
      <c r="N11952" t="s">
        <v>27252</v>
      </c>
      <c r="Q11952" s="1">
        <v>44538</v>
      </c>
      <c r="R11952" t="s">
        <v>27253</v>
      </c>
      <c r="S11952" t="s">
        <v>27254</v>
      </c>
      <c r="T11952" t="s">
        <v>27269</v>
      </c>
    </row>
    <row r="11953" spans="1:20" x14ac:dyDescent="0.3">
      <c r="A11953" t="str">
        <f>"0611834823100"</f>
        <v>0611834823100</v>
      </c>
      <c r="B11953" t="str">
        <f>"LK1498"</f>
        <v>LK1498</v>
      </c>
      <c r="C11953" t="s">
        <v>50352</v>
      </c>
      <c r="D11953" t="s">
        <v>27245</v>
      </c>
      <c r="E11953" t="str">
        <f t="shared" si="186"/>
        <v>001390</v>
      </c>
      <c r="F11953" t="s">
        <v>27246</v>
      </c>
      <c r="G11953" t="s">
        <v>27247</v>
      </c>
      <c r="H11953" t="s">
        <v>27248</v>
      </c>
      <c r="I11953" t="s">
        <v>50353</v>
      </c>
      <c r="J11953" t="s">
        <v>23920</v>
      </c>
      <c r="L11953" t="s">
        <v>27250</v>
      </c>
      <c r="M11953" t="s">
        <v>27251</v>
      </c>
      <c r="N11953" t="s">
        <v>27252</v>
      </c>
      <c r="O11953">
        <v>100</v>
      </c>
      <c r="Q11953" s="1">
        <v>44538</v>
      </c>
      <c r="R11953" t="s">
        <v>27253</v>
      </c>
      <c r="S11953" t="s">
        <v>27254</v>
      </c>
      <c r="T11953" t="s">
        <v>27255</v>
      </c>
    </row>
    <row r="11954" spans="1:20" x14ac:dyDescent="0.3">
      <c r="A11954" t="str">
        <f>"0611839461025"</f>
        <v>0611839461025</v>
      </c>
      <c r="B11954" t="str">
        <f>"MC1938"</f>
        <v>MC1938</v>
      </c>
      <c r="C11954" t="s">
        <v>50352</v>
      </c>
      <c r="D11954" t="s">
        <v>27267</v>
      </c>
      <c r="E11954" t="str">
        <f t="shared" si="186"/>
        <v>001390</v>
      </c>
      <c r="F11954" t="s">
        <v>27246</v>
      </c>
      <c r="G11954" t="s">
        <v>27247</v>
      </c>
      <c r="H11954" t="s">
        <v>27248</v>
      </c>
      <c r="I11954" t="s">
        <v>50354</v>
      </c>
      <c r="J11954" t="s">
        <v>23922</v>
      </c>
      <c r="L11954" t="s">
        <v>27250</v>
      </c>
      <c r="M11954" t="s">
        <v>27251</v>
      </c>
      <c r="N11954" t="s">
        <v>27252</v>
      </c>
      <c r="Q11954" s="1">
        <v>44538</v>
      </c>
      <c r="R11954" t="s">
        <v>27253</v>
      </c>
      <c r="S11954" t="s">
        <v>27254</v>
      </c>
      <c r="T11954" t="s">
        <v>27269</v>
      </c>
    </row>
    <row r="11955" spans="1:20" x14ac:dyDescent="0.3">
      <c r="A11955" t="str">
        <f>"0611839462100"</f>
        <v>0611839462100</v>
      </c>
      <c r="B11955" t="str">
        <f>"LH6007"</f>
        <v>LH6007</v>
      </c>
      <c r="C11955" t="s">
        <v>50355</v>
      </c>
      <c r="D11955" t="s">
        <v>27245</v>
      </c>
      <c r="E11955" t="str">
        <f t="shared" si="186"/>
        <v>001390</v>
      </c>
      <c r="F11955" t="s">
        <v>27246</v>
      </c>
      <c r="G11955" t="s">
        <v>27247</v>
      </c>
      <c r="H11955" t="s">
        <v>27248</v>
      </c>
      <c r="I11955" t="s">
        <v>50356</v>
      </c>
      <c r="J11955" t="s">
        <v>23924</v>
      </c>
      <c r="L11955" t="s">
        <v>27250</v>
      </c>
      <c r="M11955" t="s">
        <v>27251</v>
      </c>
      <c r="N11955" t="s">
        <v>27252</v>
      </c>
      <c r="Q11955" s="1">
        <v>44538</v>
      </c>
      <c r="R11955" t="s">
        <v>27253</v>
      </c>
      <c r="S11955" t="s">
        <v>27254</v>
      </c>
      <c r="T11955" t="s">
        <v>27255</v>
      </c>
    </row>
    <row r="11956" spans="1:20" x14ac:dyDescent="0.3">
      <c r="A11956" t="str">
        <f>"0611836733100"</f>
        <v>0611836733100</v>
      </c>
      <c r="B11956" t="str">
        <f>"LK0409"</f>
        <v>LK0409</v>
      </c>
      <c r="C11956" t="s">
        <v>50357</v>
      </c>
      <c r="D11956" t="s">
        <v>27245</v>
      </c>
      <c r="E11956" t="str">
        <f t="shared" si="186"/>
        <v>001390</v>
      </c>
      <c r="F11956" t="s">
        <v>27246</v>
      </c>
      <c r="G11956" t="s">
        <v>27247</v>
      </c>
      <c r="H11956" t="s">
        <v>27248</v>
      </c>
      <c r="I11956" t="s">
        <v>50358</v>
      </c>
      <c r="J11956" t="s">
        <v>23926</v>
      </c>
      <c r="L11956" t="s">
        <v>27250</v>
      </c>
      <c r="M11956" t="s">
        <v>27251</v>
      </c>
      <c r="N11956" t="s">
        <v>27252</v>
      </c>
      <c r="Q11956" s="1">
        <v>44538</v>
      </c>
      <c r="R11956" t="s">
        <v>27253</v>
      </c>
      <c r="S11956" t="s">
        <v>27254</v>
      </c>
      <c r="T11956" t="s">
        <v>27255</v>
      </c>
    </row>
    <row r="11957" spans="1:20" x14ac:dyDescent="0.3">
      <c r="A11957" t="str">
        <f>"0611836714100"</f>
        <v>0611836714100</v>
      </c>
      <c r="B11957" t="str">
        <f>"LB8965"</f>
        <v>LB8965</v>
      </c>
      <c r="C11957" t="s">
        <v>50359</v>
      </c>
      <c r="D11957" t="s">
        <v>27245</v>
      </c>
      <c r="E11957" t="str">
        <f t="shared" si="186"/>
        <v>001390</v>
      </c>
      <c r="F11957" t="s">
        <v>27246</v>
      </c>
      <c r="G11957" t="s">
        <v>27247</v>
      </c>
      <c r="H11957" t="s">
        <v>27248</v>
      </c>
      <c r="I11957" t="s">
        <v>50360</v>
      </c>
      <c r="J11957" t="s">
        <v>23928</v>
      </c>
      <c r="L11957" t="s">
        <v>27250</v>
      </c>
      <c r="M11957" t="s">
        <v>27251</v>
      </c>
      <c r="N11957" t="s">
        <v>27252</v>
      </c>
      <c r="Q11957" s="1">
        <v>44538</v>
      </c>
      <c r="R11957" t="s">
        <v>27253</v>
      </c>
      <c r="S11957" t="s">
        <v>27254</v>
      </c>
      <c r="T11957" t="s">
        <v>27255</v>
      </c>
    </row>
    <row r="11958" spans="1:20" x14ac:dyDescent="0.3">
      <c r="A11958" t="str">
        <f>"0611836715100"</f>
        <v>0611836715100</v>
      </c>
      <c r="B11958" t="str">
        <f>"LK5934"</f>
        <v>LK5934</v>
      </c>
      <c r="C11958" t="s">
        <v>50361</v>
      </c>
      <c r="D11958" t="s">
        <v>27245</v>
      </c>
      <c r="E11958" t="str">
        <f t="shared" si="186"/>
        <v>001390</v>
      </c>
      <c r="F11958" t="s">
        <v>27246</v>
      </c>
      <c r="G11958" t="s">
        <v>27247</v>
      </c>
      <c r="H11958" t="s">
        <v>27248</v>
      </c>
      <c r="I11958" t="s">
        <v>50362</v>
      </c>
      <c r="J11958" t="s">
        <v>23930</v>
      </c>
      <c r="L11958" t="s">
        <v>27250</v>
      </c>
      <c r="M11958" t="s">
        <v>27251</v>
      </c>
      <c r="N11958" t="s">
        <v>27252</v>
      </c>
      <c r="Q11958" s="1">
        <v>44538</v>
      </c>
      <c r="R11958" t="s">
        <v>27253</v>
      </c>
      <c r="S11958" t="s">
        <v>27254</v>
      </c>
      <c r="T11958" t="s">
        <v>27255</v>
      </c>
    </row>
    <row r="11959" spans="1:20" x14ac:dyDescent="0.3">
      <c r="A11959" t="str">
        <f>"0611836716100"</f>
        <v>0611836716100</v>
      </c>
      <c r="B11959" t="str">
        <f>"LK0398"</f>
        <v>LK0398</v>
      </c>
      <c r="C11959" t="s">
        <v>50363</v>
      </c>
      <c r="D11959" t="s">
        <v>27245</v>
      </c>
      <c r="E11959" t="str">
        <f t="shared" si="186"/>
        <v>001390</v>
      </c>
      <c r="F11959" t="s">
        <v>27246</v>
      </c>
      <c r="G11959" t="s">
        <v>27247</v>
      </c>
      <c r="H11959" t="s">
        <v>27248</v>
      </c>
      <c r="I11959" t="s">
        <v>50364</v>
      </c>
      <c r="J11959" t="s">
        <v>23932</v>
      </c>
      <c r="L11959" t="s">
        <v>27250</v>
      </c>
      <c r="M11959" t="s">
        <v>27251</v>
      </c>
      <c r="N11959" t="s">
        <v>27252</v>
      </c>
      <c r="Q11959" s="1">
        <v>44538</v>
      </c>
      <c r="R11959" t="s">
        <v>27253</v>
      </c>
      <c r="S11959" t="s">
        <v>27254</v>
      </c>
      <c r="T11959" t="s">
        <v>27255</v>
      </c>
    </row>
    <row r="11960" spans="1:20" x14ac:dyDescent="0.3">
      <c r="A11960" t="str">
        <f>"0611836717100"</f>
        <v>0611836717100</v>
      </c>
      <c r="B11960" t="str">
        <f>"LB8987"</f>
        <v>LB8987</v>
      </c>
      <c r="C11960" t="s">
        <v>50365</v>
      </c>
      <c r="D11960" t="s">
        <v>27245</v>
      </c>
      <c r="E11960" t="str">
        <f t="shared" si="186"/>
        <v>001390</v>
      </c>
      <c r="F11960" t="s">
        <v>27246</v>
      </c>
      <c r="G11960" t="s">
        <v>27247</v>
      </c>
      <c r="H11960" t="s">
        <v>27248</v>
      </c>
      <c r="I11960" t="s">
        <v>50366</v>
      </c>
      <c r="J11960" t="s">
        <v>23934</v>
      </c>
      <c r="L11960" t="s">
        <v>27250</v>
      </c>
      <c r="M11960" t="s">
        <v>27251</v>
      </c>
      <c r="N11960" t="s">
        <v>27252</v>
      </c>
      <c r="Q11960" s="1">
        <v>44538</v>
      </c>
      <c r="R11960" t="s">
        <v>27253</v>
      </c>
      <c r="S11960" t="s">
        <v>27254</v>
      </c>
      <c r="T11960" t="s">
        <v>27255</v>
      </c>
    </row>
    <row r="11961" spans="1:20" x14ac:dyDescent="0.3">
      <c r="A11961" t="str">
        <f>"0611836718100"</f>
        <v>0611836718100</v>
      </c>
      <c r="B11961" t="str">
        <f>"LB8976"</f>
        <v>LB8976</v>
      </c>
      <c r="C11961" t="s">
        <v>50367</v>
      </c>
      <c r="D11961" t="s">
        <v>27245</v>
      </c>
      <c r="E11961" t="str">
        <f t="shared" si="186"/>
        <v>001390</v>
      </c>
      <c r="F11961" t="s">
        <v>27246</v>
      </c>
      <c r="G11961" t="s">
        <v>27247</v>
      </c>
      <c r="H11961" t="s">
        <v>27248</v>
      </c>
      <c r="I11961" t="s">
        <v>50368</v>
      </c>
      <c r="J11961" t="s">
        <v>23936</v>
      </c>
      <c r="L11961" t="s">
        <v>27250</v>
      </c>
      <c r="M11961" t="s">
        <v>27251</v>
      </c>
      <c r="N11961" t="s">
        <v>27252</v>
      </c>
      <c r="Q11961" s="1">
        <v>44538</v>
      </c>
      <c r="R11961" t="s">
        <v>27253</v>
      </c>
      <c r="S11961" t="s">
        <v>27254</v>
      </c>
      <c r="T11961" t="s">
        <v>27255</v>
      </c>
    </row>
    <row r="11962" spans="1:20" x14ac:dyDescent="0.3">
      <c r="A11962" t="str">
        <f>"0611836719100"</f>
        <v>0611836719100</v>
      </c>
      <c r="B11962" t="str">
        <f>"LB8964"</f>
        <v>LB8964</v>
      </c>
      <c r="C11962" t="s">
        <v>50369</v>
      </c>
      <c r="D11962" t="s">
        <v>27245</v>
      </c>
      <c r="E11962" t="str">
        <f t="shared" si="186"/>
        <v>001390</v>
      </c>
      <c r="F11962" t="s">
        <v>27246</v>
      </c>
      <c r="G11962" t="s">
        <v>27247</v>
      </c>
      <c r="H11962" t="s">
        <v>27248</v>
      </c>
      <c r="I11962" t="s">
        <v>50370</v>
      </c>
      <c r="J11962" t="s">
        <v>23938</v>
      </c>
      <c r="L11962" t="s">
        <v>27250</v>
      </c>
      <c r="M11962" t="s">
        <v>27251</v>
      </c>
      <c r="N11962" t="s">
        <v>27252</v>
      </c>
      <c r="Q11962" s="1">
        <v>44538</v>
      </c>
      <c r="R11962" t="s">
        <v>27253</v>
      </c>
      <c r="S11962" t="s">
        <v>27254</v>
      </c>
      <c r="T11962" t="s">
        <v>27255</v>
      </c>
    </row>
    <row r="11963" spans="1:20" x14ac:dyDescent="0.3">
      <c r="A11963" t="str">
        <f>"0611836720100"</f>
        <v>0611836720100</v>
      </c>
      <c r="B11963" t="str">
        <f>"LK0399"</f>
        <v>LK0399</v>
      </c>
      <c r="C11963" t="s">
        <v>50371</v>
      </c>
      <c r="D11963" t="s">
        <v>27245</v>
      </c>
      <c r="E11963" t="str">
        <f t="shared" si="186"/>
        <v>001390</v>
      </c>
      <c r="F11963" t="s">
        <v>27246</v>
      </c>
      <c r="G11963" t="s">
        <v>27247</v>
      </c>
      <c r="H11963" t="s">
        <v>27248</v>
      </c>
      <c r="I11963" t="s">
        <v>50372</v>
      </c>
      <c r="J11963" t="s">
        <v>23940</v>
      </c>
      <c r="L11963" t="s">
        <v>27250</v>
      </c>
      <c r="M11963" t="s">
        <v>27251</v>
      </c>
      <c r="N11963" t="s">
        <v>27252</v>
      </c>
      <c r="Q11963" s="1">
        <v>44538</v>
      </c>
      <c r="R11963" t="s">
        <v>27253</v>
      </c>
      <c r="S11963" t="s">
        <v>27254</v>
      </c>
      <c r="T11963" t="s">
        <v>27255</v>
      </c>
    </row>
    <row r="11964" spans="1:20" x14ac:dyDescent="0.3">
      <c r="A11964" t="str">
        <f>"0611836721100"</f>
        <v>0611836721100</v>
      </c>
      <c r="B11964" t="str">
        <f>"LK0400"</f>
        <v>LK0400</v>
      </c>
      <c r="C11964" t="s">
        <v>50373</v>
      </c>
      <c r="D11964" t="s">
        <v>27245</v>
      </c>
      <c r="E11964" t="str">
        <f t="shared" si="186"/>
        <v>001390</v>
      </c>
      <c r="F11964" t="s">
        <v>27246</v>
      </c>
      <c r="G11964" t="s">
        <v>27247</v>
      </c>
      <c r="H11964" t="s">
        <v>27248</v>
      </c>
      <c r="I11964" t="s">
        <v>50374</v>
      </c>
      <c r="J11964" t="s">
        <v>23942</v>
      </c>
      <c r="L11964" t="s">
        <v>27250</v>
      </c>
      <c r="M11964" t="s">
        <v>27251</v>
      </c>
      <c r="N11964" t="s">
        <v>27252</v>
      </c>
      <c r="Q11964" s="1">
        <v>44538</v>
      </c>
      <c r="R11964" t="s">
        <v>27253</v>
      </c>
      <c r="S11964" t="s">
        <v>27254</v>
      </c>
      <c r="T11964" t="s">
        <v>27255</v>
      </c>
    </row>
    <row r="11965" spans="1:20" x14ac:dyDescent="0.3">
      <c r="A11965" t="str">
        <f>"0611836722100"</f>
        <v>0611836722100</v>
      </c>
      <c r="B11965" t="str">
        <f>"LK3508"</f>
        <v>LK3508</v>
      </c>
      <c r="C11965" t="s">
        <v>50375</v>
      </c>
      <c r="D11965" t="s">
        <v>27245</v>
      </c>
      <c r="E11965" t="str">
        <f t="shared" si="186"/>
        <v>001390</v>
      </c>
      <c r="F11965" t="s">
        <v>27246</v>
      </c>
      <c r="G11965" t="s">
        <v>27247</v>
      </c>
      <c r="H11965" t="s">
        <v>27248</v>
      </c>
      <c r="I11965" t="s">
        <v>50376</v>
      </c>
      <c r="J11965" t="s">
        <v>23944</v>
      </c>
      <c r="L11965" t="s">
        <v>27250</v>
      </c>
      <c r="M11965" t="s">
        <v>27251</v>
      </c>
      <c r="N11965" t="s">
        <v>27252</v>
      </c>
      <c r="Q11965" s="1">
        <v>44538</v>
      </c>
      <c r="R11965" t="s">
        <v>27253</v>
      </c>
      <c r="S11965" t="s">
        <v>27254</v>
      </c>
      <c r="T11965" t="s">
        <v>27255</v>
      </c>
    </row>
    <row r="11966" spans="1:20" x14ac:dyDescent="0.3">
      <c r="A11966" t="str">
        <f>"0611836723100"</f>
        <v>0611836723100</v>
      </c>
      <c r="B11966" t="str">
        <f>"LK2707"</f>
        <v>LK2707</v>
      </c>
      <c r="C11966" t="s">
        <v>50377</v>
      </c>
      <c r="D11966" t="s">
        <v>27245</v>
      </c>
      <c r="E11966" t="str">
        <f t="shared" si="186"/>
        <v>001390</v>
      </c>
      <c r="F11966" t="s">
        <v>27246</v>
      </c>
      <c r="G11966" t="s">
        <v>27247</v>
      </c>
      <c r="H11966" t="s">
        <v>27248</v>
      </c>
      <c r="I11966" t="s">
        <v>50378</v>
      </c>
      <c r="J11966" t="s">
        <v>23946</v>
      </c>
      <c r="L11966" t="s">
        <v>27250</v>
      </c>
      <c r="M11966" t="s">
        <v>27251</v>
      </c>
      <c r="N11966" t="s">
        <v>27252</v>
      </c>
      <c r="Q11966" s="1">
        <v>44538</v>
      </c>
      <c r="R11966" t="s">
        <v>27253</v>
      </c>
      <c r="S11966" t="s">
        <v>27254</v>
      </c>
      <c r="T11966" t="s">
        <v>27255</v>
      </c>
    </row>
    <row r="11967" spans="1:20" x14ac:dyDescent="0.3">
      <c r="A11967" t="str">
        <f>"0611836724100"</f>
        <v>0611836724100</v>
      </c>
      <c r="B11967" t="str">
        <f>"LK3509"</f>
        <v>LK3509</v>
      </c>
      <c r="C11967" t="s">
        <v>50379</v>
      </c>
      <c r="D11967" t="s">
        <v>27245</v>
      </c>
      <c r="E11967" t="str">
        <f t="shared" si="186"/>
        <v>001390</v>
      </c>
      <c r="F11967" t="s">
        <v>27246</v>
      </c>
      <c r="G11967" t="s">
        <v>27247</v>
      </c>
      <c r="H11967" t="s">
        <v>27248</v>
      </c>
      <c r="I11967" t="s">
        <v>50380</v>
      </c>
      <c r="J11967" t="s">
        <v>23948</v>
      </c>
      <c r="L11967" t="s">
        <v>27250</v>
      </c>
      <c r="M11967" t="s">
        <v>27251</v>
      </c>
      <c r="N11967" t="s">
        <v>27252</v>
      </c>
      <c r="Q11967" s="1">
        <v>44538</v>
      </c>
      <c r="R11967" t="s">
        <v>27253</v>
      </c>
      <c r="S11967" t="s">
        <v>27254</v>
      </c>
      <c r="T11967" t="s">
        <v>27255</v>
      </c>
    </row>
    <row r="11968" spans="1:20" x14ac:dyDescent="0.3">
      <c r="A11968" t="str">
        <f>"0611836725100"</f>
        <v>0611836725100</v>
      </c>
      <c r="B11968" t="str">
        <f>"LK3510"</f>
        <v>LK3510</v>
      </c>
      <c r="C11968" t="s">
        <v>50381</v>
      </c>
      <c r="D11968" t="s">
        <v>27245</v>
      </c>
      <c r="E11968" t="str">
        <f t="shared" si="186"/>
        <v>001390</v>
      </c>
      <c r="F11968" t="s">
        <v>27246</v>
      </c>
      <c r="G11968" t="s">
        <v>27247</v>
      </c>
      <c r="H11968" t="s">
        <v>27248</v>
      </c>
      <c r="I11968" t="s">
        <v>50382</v>
      </c>
      <c r="J11968" t="s">
        <v>23950</v>
      </c>
      <c r="L11968" t="s">
        <v>27250</v>
      </c>
      <c r="M11968" t="s">
        <v>27251</v>
      </c>
      <c r="N11968" t="s">
        <v>27252</v>
      </c>
      <c r="Q11968" s="1">
        <v>44538</v>
      </c>
      <c r="R11968" t="s">
        <v>27253</v>
      </c>
      <c r="S11968" t="s">
        <v>27254</v>
      </c>
      <c r="T11968" t="s">
        <v>27255</v>
      </c>
    </row>
    <row r="11969" spans="1:20" x14ac:dyDescent="0.3">
      <c r="A11969" t="str">
        <f>"0611836726100"</f>
        <v>0611836726100</v>
      </c>
      <c r="B11969" t="str">
        <f>"LK3512"</f>
        <v>LK3512</v>
      </c>
      <c r="C11969" t="s">
        <v>50383</v>
      </c>
      <c r="D11969" t="s">
        <v>27245</v>
      </c>
      <c r="E11969" t="str">
        <f t="shared" si="186"/>
        <v>001390</v>
      </c>
      <c r="F11969" t="s">
        <v>27246</v>
      </c>
      <c r="G11969" t="s">
        <v>27247</v>
      </c>
      <c r="H11969" t="s">
        <v>27248</v>
      </c>
      <c r="I11969" t="s">
        <v>50384</v>
      </c>
      <c r="J11969" t="s">
        <v>23952</v>
      </c>
      <c r="L11969" t="s">
        <v>27250</v>
      </c>
      <c r="M11969" t="s">
        <v>27251</v>
      </c>
      <c r="N11969" t="s">
        <v>27252</v>
      </c>
      <c r="Q11969" s="1">
        <v>44538</v>
      </c>
      <c r="R11969" t="s">
        <v>27253</v>
      </c>
      <c r="S11969" t="s">
        <v>27254</v>
      </c>
      <c r="T11969" t="s">
        <v>27255</v>
      </c>
    </row>
    <row r="11970" spans="1:20" x14ac:dyDescent="0.3">
      <c r="A11970" t="str">
        <f>"0611836728100"</f>
        <v>0611836728100</v>
      </c>
      <c r="B11970" t="str">
        <f>"LB8972"</f>
        <v>LB8972</v>
      </c>
      <c r="C11970" t="s">
        <v>50385</v>
      </c>
      <c r="D11970" t="s">
        <v>27245</v>
      </c>
      <c r="E11970" t="str">
        <f t="shared" ref="E11970:E12033" si="187">"001390"</f>
        <v>001390</v>
      </c>
      <c r="F11970" t="s">
        <v>27246</v>
      </c>
      <c r="G11970" t="s">
        <v>27247</v>
      </c>
      <c r="H11970" t="s">
        <v>27248</v>
      </c>
      <c r="I11970" t="s">
        <v>50386</v>
      </c>
      <c r="J11970" t="s">
        <v>23954</v>
      </c>
      <c r="L11970" t="s">
        <v>27250</v>
      </c>
      <c r="M11970" t="s">
        <v>27251</v>
      </c>
      <c r="N11970" t="s">
        <v>27252</v>
      </c>
      <c r="Q11970" s="1">
        <v>44538</v>
      </c>
      <c r="R11970" t="s">
        <v>27253</v>
      </c>
      <c r="S11970" t="s">
        <v>27254</v>
      </c>
      <c r="T11970" t="s">
        <v>27255</v>
      </c>
    </row>
    <row r="11971" spans="1:20" x14ac:dyDescent="0.3">
      <c r="A11971" t="str">
        <f>"0611836730100"</f>
        <v>0611836730100</v>
      </c>
      <c r="B11971" t="str">
        <f>"LB8975"</f>
        <v>LB8975</v>
      </c>
      <c r="C11971" t="s">
        <v>50387</v>
      </c>
      <c r="D11971" t="s">
        <v>27245</v>
      </c>
      <c r="E11971" t="str">
        <f t="shared" si="187"/>
        <v>001390</v>
      </c>
      <c r="F11971" t="s">
        <v>27246</v>
      </c>
      <c r="G11971" t="s">
        <v>27247</v>
      </c>
      <c r="H11971" t="s">
        <v>27248</v>
      </c>
      <c r="I11971" t="s">
        <v>50388</v>
      </c>
      <c r="J11971" t="s">
        <v>23956</v>
      </c>
      <c r="L11971" t="s">
        <v>27250</v>
      </c>
      <c r="M11971" t="s">
        <v>27251</v>
      </c>
      <c r="N11971" t="s">
        <v>27252</v>
      </c>
      <c r="Q11971" s="1">
        <v>44538</v>
      </c>
      <c r="R11971" t="s">
        <v>27253</v>
      </c>
      <c r="S11971" t="s">
        <v>27254</v>
      </c>
      <c r="T11971" t="s">
        <v>27255</v>
      </c>
    </row>
    <row r="11972" spans="1:20" x14ac:dyDescent="0.3">
      <c r="A11972" t="str">
        <f>"0611836731100"</f>
        <v>0611836731100</v>
      </c>
      <c r="B11972" t="str">
        <f>"LB8977"</f>
        <v>LB8977</v>
      </c>
      <c r="C11972" t="s">
        <v>50389</v>
      </c>
      <c r="D11972" t="s">
        <v>27245</v>
      </c>
      <c r="E11972" t="str">
        <f t="shared" si="187"/>
        <v>001390</v>
      </c>
      <c r="F11972" t="s">
        <v>27246</v>
      </c>
      <c r="G11972" t="s">
        <v>27247</v>
      </c>
      <c r="H11972" t="s">
        <v>27248</v>
      </c>
      <c r="I11972" t="s">
        <v>50390</v>
      </c>
      <c r="J11972" t="s">
        <v>23958</v>
      </c>
      <c r="L11972" t="s">
        <v>27250</v>
      </c>
      <c r="M11972" t="s">
        <v>27251</v>
      </c>
      <c r="N11972" t="s">
        <v>27252</v>
      </c>
      <c r="Q11972" s="1">
        <v>44538</v>
      </c>
      <c r="R11972" t="s">
        <v>27253</v>
      </c>
      <c r="S11972" t="s">
        <v>27254</v>
      </c>
      <c r="T11972" t="s">
        <v>27255</v>
      </c>
    </row>
    <row r="11973" spans="1:20" x14ac:dyDescent="0.3">
      <c r="A11973" t="str">
        <f>"0611836732100"</f>
        <v>0611836732100</v>
      </c>
      <c r="B11973" t="str">
        <f>"LK6322"</f>
        <v>LK6322</v>
      </c>
      <c r="C11973" t="s">
        <v>50391</v>
      </c>
      <c r="D11973" t="s">
        <v>27245</v>
      </c>
      <c r="E11973" t="str">
        <f t="shared" si="187"/>
        <v>001390</v>
      </c>
      <c r="F11973" t="s">
        <v>27246</v>
      </c>
      <c r="G11973" t="s">
        <v>27247</v>
      </c>
      <c r="H11973" t="s">
        <v>27248</v>
      </c>
      <c r="I11973" t="s">
        <v>50392</v>
      </c>
      <c r="J11973" t="s">
        <v>23960</v>
      </c>
      <c r="L11973" t="s">
        <v>27250</v>
      </c>
      <c r="M11973" t="s">
        <v>27251</v>
      </c>
      <c r="N11973" t="s">
        <v>27252</v>
      </c>
      <c r="Q11973" s="1">
        <v>44538</v>
      </c>
      <c r="R11973" t="s">
        <v>27253</v>
      </c>
      <c r="S11973" t="s">
        <v>27254</v>
      </c>
      <c r="T11973" t="s">
        <v>27255</v>
      </c>
    </row>
    <row r="11974" spans="1:20" x14ac:dyDescent="0.3">
      <c r="A11974" t="str">
        <f>"0611836734100"</f>
        <v>0611836734100</v>
      </c>
      <c r="B11974" t="str">
        <f>"LK0533"</f>
        <v>LK0533</v>
      </c>
      <c r="C11974" t="s">
        <v>50393</v>
      </c>
      <c r="D11974" t="s">
        <v>27245</v>
      </c>
      <c r="E11974" t="str">
        <f t="shared" si="187"/>
        <v>001390</v>
      </c>
      <c r="F11974" t="s">
        <v>27246</v>
      </c>
      <c r="G11974" t="s">
        <v>27247</v>
      </c>
      <c r="H11974" t="s">
        <v>27248</v>
      </c>
      <c r="I11974" t="s">
        <v>50394</v>
      </c>
      <c r="J11974" t="s">
        <v>23962</v>
      </c>
      <c r="L11974" t="s">
        <v>27250</v>
      </c>
      <c r="M11974" t="s">
        <v>27251</v>
      </c>
      <c r="N11974" t="s">
        <v>27252</v>
      </c>
      <c r="Q11974" s="1">
        <v>44538</v>
      </c>
      <c r="R11974" t="s">
        <v>27253</v>
      </c>
      <c r="S11974" t="s">
        <v>27254</v>
      </c>
      <c r="T11974" t="s">
        <v>27255</v>
      </c>
    </row>
    <row r="11975" spans="1:20" x14ac:dyDescent="0.3">
      <c r="A11975" t="str">
        <f>"0611836735100"</f>
        <v>0611836735100</v>
      </c>
      <c r="B11975" t="str">
        <f>"LB8944"</f>
        <v>LB8944</v>
      </c>
      <c r="C11975" t="s">
        <v>50395</v>
      </c>
      <c r="D11975" t="s">
        <v>27245</v>
      </c>
      <c r="E11975" t="str">
        <f t="shared" si="187"/>
        <v>001390</v>
      </c>
      <c r="F11975" t="s">
        <v>27246</v>
      </c>
      <c r="G11975" t="s">
        <v>27247</v>
      </c>
      <c r="H11975" t="s">
        <v>27248</v>
      </c>
      <c r="I11975" t="s">
        <v>50396</v>
      </c>
      <c r="J11975" t="s">
        <v>23964</v>
      </c>
      <c r="L11975" t="s">
        <v>27250</v>
      </c>
      <c r="M11975" t="s">
        <v>27251</v>
      </c>
      <c r="N11975" t="s">
        <v>27252</v>
      </c>
      <c r="Q11975" s="1">
        <v>44538</v>
      </c>
      <c r="R11975" t="s">
        <v>27253</v>
      </c>
      <c r="S11975" t="s">
        <v>27254</v>
      </c>
      <c r="T11975" t="s">
        <v>27255</v>
      </c>
    </row>
    <row r="11976" spans="1:20" x14ac:dyDescent="0.3">
      <c r="A11976" t="str">
        <f>"0611836736100"</f>
        <v>0611836736100</v>
      </c>
      <c r="B11976" t="str">
        <f>"LB8962"</f>
        <v>LB8962</v>
      </c>
      <c r="C11976" t="s">
        <v>50397</v>
      </c>
      <c r="D11976" t="s">
        <v>27245</v>
      </c>
      <c r="E11976" t="str">
        <f t="shared" si="187"/>
        <v>001390</v>
      </c>
      <c r="F11976" t="s">
        <v>27246</v>
      </c>
      <c r="G11976" t="s">
        <v>27247</v>
      </c>
      <c r="H11976" t="s">
        <v>27248</v>
      </c>
      <c r="I11976" t="s">
        <v>50398</v>
      </c>
      <c r="J11976" t="s">
        <v>23966</v>
      </c>
      <c r="L11976" t="s">
        <v>27250</v>
      </c>
      <c r="M11976" t="s">
        <v>27251</v>
      </c>
      <c r="N11976" t="s">
        <v>27252</v>
      </c>
      <c r="Q11976" s="1">
        <v>44538</v>
      </c>
      <c r="R11976" t="s">
        <v>27253</v>
      </c>
      <c r="S11976" t="s">
        <v>27254</v>
      </c>
      <c r="T11976" t="s">
        <v>27255</v>
      </c>
    </row>
    <row r="11977" spans="1:20" x14ac:dyDescent="0.3">
      <c r="A11977" t="str">
        <f>"0611836737100"</f>
        <v>0611836737100</v>
      </c>
      <c r="B11977" t="str">
        <f>"LB8979"</f>
        <v>LB8979</v>
      </c>
      <c r="C11977" t="s">
        <v>50399</v>
      </c>
      <c r="D11977" t="s">
        <v>27245</v>
      </c>
      <c r="E11977" t="str">
        <f t="shared" si="187"/>
        <v>001390</v>
      </c>
      <c r="F11977" t="s">
        <v>27246</v>
      </c>
      <c r="G11977" t="s">
        <v>27247</v>
      </c>
      <c r="H11977" t="s">
        <v>27248</v>
      </c>
      <c r="I11977" t="s">
        <v>50400</v>
      </c>
      <c r="J11977" t="s">
        <v>23968</v>
      </c>
      <c r="L11977" t="s">
        <v>27250</v>
      </c>
      <c r="M11977" t="s">
        <v>27251</v>
      </c>
      <c r="N11977" t="s">
        <v>27252</v>
      </c>
      <c r="Q11977" s="1">
        <v>44538</v>
      </c>
      <c r="R11977" t="s">
        <v>27253</v>
      </c>
      <c r="S11977" t="s">
        <v>27254</v>
      </c>
      <c r="T11977" t="s">
        <v>27255</v>
      </c>
    </row>
    <row r="11978" spans="1:20" x14ac:dyDescent="0.3">
      <c r="A11978" t="str">
        <f>"0611836738100"</f>
        <v>0611836738100</v>
      </c>
      <c r="B11978" t="str">
        <f>"LB8980"</f>
        <v>LB8980</v>
      </c>
      <c r="C11978" t="s">
        <v>50401</v>
      </c>
      <c r="D11978" t="s">
        <v>27245</v>
      </c>
      <c r="E11978" t="str">
        <f t="shared" si="187"/>
        <v>001390</v>
      </c>
      <c r="F11978" t="s">
        <v>27246</v>
      </c>
      <c r="G11978" t="s">
        <v>27247</v>
      </c>
      <c r="H11978" t="s">
        <v>27248</v>
      </c>
      <c r="I11978" t="s">
        <v>50402</v>
      </c>
      <c r="J11978" t="s">
        <v>23970</v>
      </c>
      <c r="L11978" t="s">
        <v>27250</v>
      </c>
      <c r="M11978" t="s">
        <v>27251</v>
      </c>
      <c r="N11978" t="s">
        <v>27252</v>
      </c>
      <c r="Q11978" s="1">
        <v>44538</v>
      </c>
      <c r="R11978" t="s">
        <v>27253</v>
      </c>
      <c r="S11978" t="s">
        <v>27254</v>
      </c>
      <c r="T11978" t="s">
        <v>27255</v>
      </c>
    </row>
    <row r="11979" spans="1:20" x14ac:dyDescent="0.3">
      <c r="A11979" t="str">
        <f>"0611836739100"</f>
        <v>0611836739100</v>
      </c>
      <c r="B11979" t="str">
        <f>"LB8981"</f>
        <v>LB8981</v>
      </c>
      <c r="C11979" t="s">
        <v>50403</v>
      </c>
      <c r="D11979" t="s">
        <v>27245</v>
      </c>
      <c r="E11979" t="str">
        <f t="shared" si="187"/>
        <v>001390</v>
      </c>
      <c r="F11979" t="s">
        <v>27246</v>
      </c>
      <c r="G11979" t="s">
        <v>27247</v>
      </c>
      <c r="H11979" t="s">
        <v>27248</v>
      </c>
      <c r="I11979" t="s">
        <v>50404</v>
      </c>
      <c r="J11979" t="s">
        <v>23972</v>
      </c>
      <c r="L11979" t="s">
        <v>27250</v>
      </c>
      <c r="M11979" t="s">
        <v>27251</v>
      </c>
      <c r="N11979" t="s">
        <v>27252</v>
      </c>
      <c r="O11979">
        <v>100</v>
      </c>
      <c r="Q11979" s="1">
        <v>44538</v>
      </c>
      <c r="R11979" t="s">
        <v>27253</v>
      </c>
      <c r="S11979" t="s">
        <v>27254</v>
      </c>
      <c r="T11979" t="s">
        <v>27255</v>
      </c>
    </row>
    <row r="11980" spans="1:20" x14ac:dyDescent="0.3">
      <c r="A11980" t="str">
        <f>"0611836740100"</f>
        <v>0611836740100</v>
      </c>
      <c r="B11980" t="str">
        <f>"LB8946"</f>
        <v>LB8946</v>
      </c>
      <c r="C11980" t="s">
        <v>50405</v>
      </c>
      <c r="D11980" t="s">
        <v>27245</v>
      </c>
      <c r="E11980" t="str">
        <f t="shared" si="187"/>
        <v>001390</v>
      </c>
      <c r="F11980" t="s">
        <v>27246</v>
      </c>
      <c r="G11980" t="s">
        <v>27247</v>
      </c>
      <c r="H11980" t="s">
        <v>27248</v>
      </c>
      <c r="I11980" t="s">
        <v>50406</v>
      </c>
      <c r="J11980" t="s">
        <v>23974</v>
      </c>
      <c r="L11980" t="s">
        <v>27250</v>
      </c>
      <c r="M11980" t="s">
        <v>27251</v>
      </c>
      <c r="N11980" t="s">
        <v>27252</v>
      </c>
      <c r="Q11980" s="1">
        <v>44538</v>
      </c>
      <c r="R11980" t="s">
        <v>27253</v>
      </c>
      <c r="S11980" t="s">
        <v>27254</v>
      </c>
      <c r="T11980" t="s">
        <v>27255</v>
      </c>
    </row>
    <row r="11981" spans="1:20" x14ac:dyDescent="0.3">
      <c r="A11981" t="str">
        <f>"0611836741100"</f>
        <v>0611836741100</v>
      </c>
      <c r="B11981" t="str">
        <f>"LB8983"</f>
        <v>LB8983</v>
      </c>
      <c r="C11981" t="s">
        <v>50407</v>
      </c>
      <c r="D11981" t="s">
        <v>27245</v>
      </c>
      <c r="E11981" t="str">
        <f t="shared" si="187"/>
        <v>001390</v>
      </c>
      <c r="F11981" t="s">
        <v>27246</v>
      </c>
      <c r="G11981" t="s">
        <v>27247</v>
      </c>
      <c r="H11981" t="s">
        <v>27248</v>
      </c>
      <c r="I11981" t="s">
        <v>50408</v>
      </c>
      <c r="J11981" t="s">
        <v>23976</v>
      </c>
      <c r="L11981" t="s">
        <v>27250</v>
      </c>
      <c r="M11981" t="s">
        <v>27251</v>
      </c>
      <c r="N11981" t="s">
        <v>27252</v>
      </c>
      <c r="Q11981" s="1">
        <v>44538</v>
      </c>
      <c r="R11981" t="s">
        <v>27253</v>
      </c>
      <c r="S11981" t="s">
        <v>27254</v>
      </c>
      <c r="T11981" t="s">
        <v>27255</v>
      </c>
    </row>
    <row r="11982" spans="1:20" x14ac:dyDescent="0.3">
      <c r="A11982" t="str">
        <f>"0611836742100"</f>
        <v>0611836742100</v>
      </c>
      <c r="B11982" t="str">
        <f>"LB8984"</f>
        <v>LB8984</v>
      </c>
      <c r="C11982" t="s">
        <v>50409</v>
      </c>
      <c r="D11982" t="s">
        <v>27245</v>
      </c>
      <c r="E11982" t="str">
        <f t="shared" si="187"/>
        <v>001390</v>
      </c>
      <c r="F11982" t="s">
        <v>27246</v>
      </c>
      <c r="G11982" t="s">
        <v>27247</v>
      </c>
      <c r="H11982" t="s">
        <v>27248</v>
      </c>
      <c r="I11982" t="s">
        <v>50410</v>
      </c>
      <c r="J11982" t="s">
        <v>23978</v>
      </c>
      <c r="L11982" t="s">
        <v>27250</v>
      </c>
      <c r="M11982" t="s">
        <v>27251</v>
      </c>
      <c r="N11982" t="s">
        <v>27252</v>
      </c>
      <c r="Q11982" s="1">
        <v>44538</v>
      </c>
      <c r="R11982" t="s">
        <v>27253</v>
      </c>
      <c r="S11982" t="s">
        <v>27254</v>
      </c>
      <c r="T11982" t="s">
        <v>27255</v>
      </c>
    </row>
    <row r="11983" spans="1:20" x14ac:dyDescent="0.3">
      <c r="A11983" t="str">
        <f>"0611836743100"</f>
        <v>0611836743100</v>
      </c>
      <c r="B11983" t="str">
        <f>"LB8947"</f>
        <v>LB8947</v>
      </c>
      <c r="C11983" t="s">
        <v>50411</v>
      </c>
      <c r="D11983" t="s">
        <v>27245</v>
      </c>
      <c r="E11983" t="str">
        <f t="shared" si="187"/>
        <v>001390</v>
      </c>
      <c r="F11983" t="s">
        <v>27246</v>
      </c>
      <c r="G11983" t="s">
        <v>27247</v>
      </c>
      <c r="H11983" t="s">
        <v>27248</v>
      </c>
      <c r="I11983" t="s">
        <v>50412</v>
      </c>
      <c r="J11983" t="s">
        <v>23980</v>
      </c>
      <c r="L11983" t="s">
        <v>27250</v>
      </c>
      <c r="M11983" t="s">
        <v>27251</v>
      </c>
      <c r="N11983" t="s">
        <v>27252</v>
      </c>
      <c r="Q11983" s="1">
        <v>44538</v>
      </c>
      <c r="R11983" t="s">
        <v>27253</v>
      </c>
      <c r="S11983" t="s">
        <v>27254</v>
      </c>
      <c r="T11983" t="s">
        <v>27255</v>
      </c>
    </row>
    <row r="11984" spans="1:20" x14ac:dyDescent="0.3">
      <c r="A11984" t="str">
        <f>"0611839464025"</f>
        <v>0611839464025</v>
      </c>
      <c r="B11984" t="str">
        <f>"MC0699"</f>
        <v>MC0699</v>
      </c>
      <c r="C11984" t="s">
        <v>50413</v>
      </c>
      <c r="D11984" t="s">
        <v>27267</v>
      </c>
      <c r="E11984" t="str">
        <f t="shared" si="187"/>
        <v>001390</v>
      </c>
      <c r="F11984" t="s">
        <v>27246</v>
      </c>
      <c r="G11984" t="s">
        <v>27247</v>
      </c>
      <c r="H11984" t="s">
        <v>27248</v>
      </c>
      <c r="I11984" t="s">
        <v>50414</v>
      </c>
      <c r="J11984" t="s">
        <v>23982</v>
      </c>
      <c r="L11984" t="s">
        <v>27250</v>
      </c>
      <c r="M11984" t="s">
        <v>27251</v>
      </c>
      <c r="N11984" t="s">
        <v>27252</v>
      </c>
      <c r="Q11984" s="1">
        <v>44538</v>
      </c>
      <c r="R11984" t="s">
        <v>27253</v>
      </c>
      <c r="S11984" t="s">
        <v>27254</v>
      </c>
      <c r="T11984" t="s">
        <v>27269</v>
      </c>
    </row>
    <row r="11985" spans="1:20" x14ac:dyDescent="0.3">
      <c r="A11985" t="str">
        <f>"0611839465025"</f>
        <v>0611839465025</v>
      </c>
      <c r="B11985" t="str">
        <f>"MC3141"</f>
        <v>MC3141</v>
      </c>
      <c r="C11985" t="s">
        <v>50415</v>
      </c>
      <c r="D11985" t="s">
        <v>27267</v>
      </c>
      <c r="E11985" t="str">
        <f t="shared" si="187"/>
        <v>001390</v>
      </c>
      <c r="F11985" t="s">
        <v>27246</v>
      </c>
      <c r="G11985" t="s">
        <v>27247</v>
      </c>
      <c r="H11985" t="s">
        <v>27248</v>
      </c>
      <c r="I11985" t="s">
        <v>50416</v>
      </c>
      <c r="J11985" t="s">
        <v>23984</v>
      </c>
      <c r="L11985" t="s">
        <v>27250</v>
      </c>
      <c r="M11985" t="s">
        <v>27251</v>
      </c>
      <c r="N11985" t="s">
        <v>27252</v>
      </c>
      <c r="Q11985" s="1">
        <v>44538</v>
      </c>
      <c r="R11985" t="s">
        <v>27253</v>
      </c>
      <c r="S11985" t="s">
        <v>27254</v>
      </c>
      <c r="T11985" t="s">
        <v>27269</v>
      </c>
    </row>
    <row r="11986" spans="1:20" x14ac:dyDescent="0.3">
      <c r="A11986" t="str">
        <f>"0611839466100"</f>
        <v>0611839466100</v>
      </c>
      <c r="B11986" t="str">
        <f>"LG2592"</f>
        <v>LG2592</v>
      </c>
      <c r="C11986" t="s">
        <v>50417</v>
      </c>
      <c r="D11986" t="s">
        <v>27245</v>
      </c>
      <c r="E11986" t="str">
        <f t="shared" si="187"/>
        <v>001390</v>
      </c>
      <c r="F11986" t="s">
        <v>27246</v>
      </c>
      <c r="G11986" t="s">
        <v>27247</v>
      </c>
      <c r="H11986" t="s">
        <v>27248</v>
      </c>
      <c r="I11986" t="s">
        <v>50418</v>
      </c>
      <c r="J11986" t="s">
        <v>23986</v>
      </c>
      <c r="L11986" t="s">
        <v>27250</v>
      </c>
      <c r="M11986" t="s">
        <v>27251</v>
      </c>
      <c r="N11986" t="s">
        <v>27252</v>
      </c>
      <c r="Q11986" s="1">
        <v>44538</v>
      </c>
      <c r="R11986" t="s">
        <v>27253</v>
      </c>
      <c r="S11986" t="s">
        <v>27254</v>
      </c>
      <c r="T11986" t="s">
        <v>27255</v>
      </c>
    </row>
    <row r="11987" spans="1:20" x14ac:dyDescent="0.3">
      <c r="A11987" t="str">
        <f>"0611839467100"</f>
        <v>0611839467100</v>
      </c>
      <c r="B11987" t="str">
        <f>"LL4855"</f>
        <v>LL4855</v>
      </c>
      <c r="C11987" t="s">
        <v>50419</v>
      </c>
      <c r="D11987" t="s">
        <v>27245</v>
      </c>
      <c r="E11987" t="str">
        <f t="shared" si="187"/>
        <v>001390</v>
      </c>
      <c r="F11987" t="s">
        <v>27246</v>
      </c>
      <c r="G11987" t="s">
        <v>27247</v>
      </c>
      <c r="H11987" t="s">
        <v>27248</v>
      </c>
      <c r="I11987" t="s">
        <v>50420</v>
      </c>
      <c r="J11987" t="s">
        <v>23988</v>
      </c>
      <c r="L11987" t="s">
        <v>27250</v>
      </c>
      <c r="M11987" t="s">
        <v>27251</v>
      </c>
      <c r="N11987" t="s">
        <v>27252</v>
      </c>
      <c r="Q11987" s="1">
        <v>44538</v>
      </c>
      <c r="R11987" t="s">
        <v>27253</v>
      </c>
      <c r="S11987" t="s">
        <v>27254</v>
      </c>
      <c r="T11987" t="s">
        <v>27255</v>
      </c>
    </row>
    <row r="11988" spans="1:20" x14ac:dyDescent="0.3">
      <c r="A11988" t="str">
        <f>"0611839470100"</f>
        <v>0611839470100</v>
      </c>
      <c r="B11988" t="str">
        <f>"LK5938"</f>
        <v>LK5938</v>
      </c>
      <c r="C11988" t="s">
        <v>50421</v>
      </c>
      <c r="D11988" t="s">
        <v>27245</v>
      </c>
      <c r="E11988" t="str">
        <f t="shared" si="187"/>
        <v>001390</v>
      </c>
      <c r="F11988" t="s">
        <v>27246</v>
      </c>
      <c r="G11988" t="s">
        <v>27247</v>
      </c>
      <c r="H11988" t="s">
        <v>27248</v>
      </c>
      <c r="I11988" t="s">
        <v>50422</v>
      </c>
      <c r="J11988" t="s">
        <v>23990</v>
      </c>
      <c r="L11988" t="s">
        <v>27250</v>
      </c>
      <c r="M11988" t="s">
        <v>27251</v>
      </c>
      <c r="N11988" t="s">
        <v>27252</v>
      </c>
      <c r="Q11988" s="1">
        <v>44538</v>
      </c>
      <c r="R11988" t="s">
        <v>27253</v>
      </c>
      <c r="S11988" t="s">
        <v>27254</v>
      </c>
      <c r="T11988" t="s">
        <v>27255</v>
      </c>
    </row>
    <row r="11989" spans="1:20" x14ac:dyDescent="0.3">
      <c r="A11989" t="str">
        <f>"0611839471100"</f>
        <v>0611839471100</v>
      </c>
      <c r="B11989" t="str">
        <f>"LK6215"</f>
        <v>LK6215</v>
      </c>
      <c r="C11989" t="s">
        <v>50423</v>
      </c>
      <c r="D11989" t="s">
        <v>27245</v>
      </c>
      <c r="E11989" t="str">
        <f t="shared" si="187"/>
        <v>001390</v>
      </c>
      <c r="F11989" t="s">
        <v>27246</v>
      </c>
      <c r="G11989" t="s">
        <v>27247</v>
      </c>
      <c r="H11989" t="s">
        <v>27248</v>
      </c>
      <c r="I11989" t="s">
        <v>50424</v>
      </c>
      <c r="J11989" t="s">
        <v>23992</v>
      </c>
      <c r="L11989" t="s">
        <v>27250</v>
      </c>
      <c r="M11989" t="s">
        <v>27251</v>
      </c>
      <c r="N11989" t="s">
        <v>27252</v>
      </c>
      <c r="Q11989" s="1">
        <v>44538</v>
      </c>
      <c r="R11989" t="s">
        <v>27253</v>
      </c>
      <c r="S11989" t="s">
        <v>27254</v>
      </c>
      <c r="T11989" t="s">
        <v>27255</v>
      </c>
    </row>
    <row r="11990" spans="1:20" x14ac:dyDescent="0.3">
      <c r="A11990" t="str">
        <f>"0611839474100"</f>
        <v>0611839474100</v>
      </c>
      <c r="B11990" t="str">
        <f>"LK2582"</f>
        <v>LK2582</v>
      </c>
      <c r="C11990" t="s">
        <v>50425</v>
      </c>
      <c r="D11990" t="s">
        <v>27245</v>
      </c>
      <c r="E11990" t="str">
        <f t="shared" si="187"/>
        <v>001390</v>
      </c>
      <c r="F11990" t="s">
        <v>27246</v>
      </c>
      <c r="G11990" t="s">
        <v>27247</v>
      </c>
      <c r="H11990" t="s">
        <v>27248</v>
      </c>
      <c r="I11990" t="s">
        <v>50426</v>
      </c>
      <c r="J11990" t="s">
        <v>23994</v>
      </c>
      <c r="L11990" t="s">
        <v>27250</v>
      </c>
      <c r="M11990" t="s">
        <v>27251</v>
      </c>
      <c r="N11990" t="s">
        <v>27252</v>
      </c>
      <c r="Q11990" s="1">
        <v>44538</v>
      </c>
      <c r="R11990" t="s">
        <v>27253</v>
      </c>
      <c r="S11990" t="s">
        <v>27254</v>
      </c>
      <c r="T11990" t="s">
        <v>27255</v>
      </c>
    </row>
    <row r="11991" spans="1:20" x14ac:dyDescent="0.3">
      <c r="A11991" t="str">
        <f>"0611839476100"</f>
        <v>0611839476100</v>
      </c>
      <c r="B11991" t="str">
        <f>"LG7276"</f>
        <v>LG7276</v>
      </c>
      <c r="C11991" t="s">
        <v>50427</v>
      </c>
      <c r="D11991" t="s">
        <v>27245</v>
      </c>
      <c r="E11991" t="str">
        <f t="shared" si="187"/>
        <v>001390</v>
      </c>
      <c r="F11991" t="s">
        <v>27246</v>
      </c>
      <c r="G11991" t="s">
        <v>27247</v>
      </c>
      <c r="H11991" t="s">
        <v>27248</v>
      </c>
      <c r="I11991" t="s">
        <v>50428</v>
      </c>
      <c r="J11991" t="s">
        <v>23996</v>
      </c>
      <c r="L11991" t="s">
        <v>27250</v>
      </c>
      <c r="M11991" t="s">
        <v>27251</v>
      </c>
      <c r="N11991" t="s">
        <v>27252</v>
      </c>
      <c r="Q11991" s="1">
        <v>44538</v>
      </c>
      <c r="R11991" t="s">
        <v>27253</v>
      </c>
      <c r="S11991" t="s">
        <v>27254</v>
      </c>
      <c r="T11991" t="s">
        <v>27255</v>
      </c>
    </row>
    <row r="11992" spans="1:20" x14ac:dyDescent="0.3">
      <c r="A11992" t="str">
        <f>"0611839477100"</f>
        <v>0611839477100</v>
      </c>
      <c r="B11992" t="str">
        <f>"LK0411"</f>
        <v>LK0411</v>
      </c>
      <c r="C11992" t="s">
        <v>50429</v>
      </c>
      <c r="D11992" t="s">
        <v>27245</v>
      </c>
      <c r="E11992" t="str">
        <f t="shared" si="187"/>
        <v>001390</v>
      </c>
      <c r="F11992" t="s">
        <v>27246</v>
      </c>
      <c r="G11992" t="s">
        <v>27247</v>
      </c>
      <c r="H11992" t="s">
        <v>27248</v>
      </c>
      <c r="I11992" t="s">
        <v>50430</v>
      </c>
      <c r="J11992" t="s">
        <v>23998</v>
      </c>
      <c r="L11992" t="s">
        <v>27250</v>
      </c>
      <c r="M11992" t="s">
        <v>27251</v>
      </c>
      <c r="N11992" t="s">
        <v>27252</v>
      </c>
      <c r="Q11992" s="1">
        <v>44538</v>
      </c>
      <c r="R11992" t="s">
        <v>27253</v>
      </c>
      <c r="S11992" t="s">
        <v>27254</v>
      </c>
      <c r="T11992" t="s">
        <v>27255</v>
      </c>
    </row>
    <row r="11993" spans="1:20" x14ac:dyDescent="0.3">
      <c r="A11993" t="str">
        <f>"0611839478100"</f>
        <v>0611839478100</v>
      </c>
      <c r="B11993" t="str">
        <f>"LH8050"</f>
        <v>LH8050</v>
      </c>
      <c r="C11993" t="s">
        <v>50431</v>
      </c>
      <c r="D11993" t="s">
        <v>27245</v>
      </c>
      <c r="E11993" t="str">
        <f t="shared" si="187"/>
        <v>001390</v>
      </c>
      <c r="F11993" t="s">
        <v>27246</v>
      </c>
      <c r="G11993" t="s">
        <v>27247</v>
      </c>
      <c r="H11993" t="s">
        <v>27248</v>
      </c>
      <c r="I11993" t="s">
        <v>50432</v>
      </c>
      <c r="J11993" t="s">
        <v>24000</v>
      </c>
      <c r="L11993" t="s">
        <v>27250</v>
      </c>
      <c r="M11993" t="s">
        <v>27251</v>
      </c>
      <c r="N11993" t="s">
        <v>27252</v>
      </c>
      <c r="Q11993" s="1">
        <v>44538</v>
      </c>
      <c r="R11993" t="s">
        <v>27253</v>
      </c>
      <c r="S11993" t="s">
        <v>27254</v>
      </c>
      <c r="T11993" t="s">
        <v>27255</v>
      </c>
    </row>
    <row r="11994" spans="1:20" x14ac:dyDescent="0.3">
      <c r="A11994" t="str">
        <f>"0611864106050"</f>
        <v>0611864106050</v>
      </c>
      <c r="B11994" t="str">
        <f>"CR3575"</f>
        <v>CR3575</v>
      </c>
      <c r="C11994" t="s">
        <v>50431</v>
      </c>
      <c r="D11994" t="s">
        <v>27263</v>
      </c>
      <c r="E11994" t="str">
        <f t="shared" si="187"/>
        <v>001390</v>
      </c>
      <c r="F11994" t="s">
        <v>27246</v>
      </c>
      <c r="G11994" t="s">
        <v>27247</v>
      </c>
      <c r="H11994" t="s">
        <v>27248</v>
      </c>
      <c r="I11994" t="s">
        <v>50433</v>
      </c>
      <c r="J11994" t="s">
        <v>24002</v>
      </c>
      <c r="L11994" t="s">
        <v>27250</v>
      </c>
      <c r="M11994" t="s">
        <v>27251</v>
      </c>
      <c r="N11994" t="s">
        <v>27252</v>
      </c>
      <c r="Q11994" s="1">
        <v>44846</v>
      </c>
      <c r="R11994" t="s">
        <v>27253</v>
      </c>
      <c r="S11994" t="s">
        <v>27254</v>
      </c>
      <c r="T11994" t="s">
        <v>27265</v>
      </c>
    </row>
    <row r="11995" spans="1:20" x14ac:dyDescent="0.3">
      <c r="A11995" t="str">
        <f>"0611839479100"</f>
        <v>0611839479100</v>
      </c>
      <c r="B11995" t="str">
        <f>"LK6298"</f>
        <v>LK6298</v>
      </c>
      <c r="C11995" t="s">
        <v>50434</v>
      </c>
      <c r="D11995" t="s">
        <v>27245</v>
      </c>
      <c r="E11995" t="str">
        <f t="shared" si="187"/>
        <v>001390</v>
      </c>
      <c r="F11995" t="s">
        <v>27246</v>
      </c>
      <c r="G11995" t="s">
        <v>27247</v>
      </c>
      <c r="H11995" t="s">
        <v>27248</v>
      </c>
      <c r="I11995" t="s">
        <v>50435</v>
      </c>
      <c r="J11995" t="s">
        <v>24004</v>
      </c>
      <c r="L11995" t="s">
        <v>27250</v>
      </c>
      <c r="M11995" t="s">
        <v>27251</v>
      </c>
      <c r="N11995" t="s">
        <v>27252</v>
      </c>
      <c r="Q11995" s="1">
        <v>44538</v>
      </c>
      <c r="R11995" t="s">
        <v>27253</v>
      </c>
      <c r="S11995" t="s">
        <v>27254</v>
      </c>
      <c r="T11995" t="s">
        <v>27255</v>
      </c>
    </row>
    <row r="11996" spans="1:20" x14ac:dyDescent="0.3">
      <c r="A11996" t="str">
        <f>"0611839480025"</f>
        <v>0611839480025</v>
      </c>
      <c r="B11996" t="str">
        <f>"MC3865"</f>
        <v>MC3865</v>
      </c>
      <c r="C11996" t="s">
        <v>50434</v>
      </c>
      <c r="D11996" t="s">
        <v>27267</v>
      </c>
      <c r="E11996" t="str">
        <f t="shared" si="187"/>
        <v>001390</v>
      </c>
      <c r="F11996" t="s">
        <v>27246</v>
      </c>
      <c r="G11996" t="s">
        <v>27247</v>
      </c>
      <c r="H11996" t="s">
        <v>27248</v>
      </c>
      <c r="I11996" t="s">
        <v>50436</v>
      </c>
      <c r="J11996" t="s">
        <v>24007</v>
      </c>
      <c r="L11996" t="s">
        <v>27250</v>
      </c>
      <c r="M11996" t="s">
        <v>27251</v>
      </c>
      <c r="N11996" t="s">
        <v>27252</v>
      </c>
      <c r="Q11996" s="1">
        <v>44538</v>
      </c>
      <c r="R11996" t="s">
        <v>27253</v>
      </c>
      <c r="S11996" t="s">
        <v>27254</v>
      </c>
      <c r="T11996" t="s">
        <v>27269</v>
      </c>
    </row>
    <row r="11997" spans="1:20" x14ac:dyDescent="0.3">
      <c r="A11997" t="str">
        <f>"0611857112100"</f>
        <v>0611857112100</v>
      </c>
      <c r="B11997" t="str">
        <f>"LF9100"</f>
        <v>LF9100</v>
      </c>
      <c r="C11997" t="s">
        <v>50437</v>
      </c>
      <c r="D11997" t="s">
        <v>27245</v>
      </c>
      <c r="E11997" t="str">
        <f t="shared" si="187"/>
        <v>001390</v>
      </c>
      <c r="F11997" t="s">
        <v>27246</v>
      </c>
      <c r="G11997" t="s">
        <v>27247</v>
      </c>
      <c r="H11997" t="s">
        <v>27248</v>
      </c>
      <c r="I11997" t="s">
        <v>50438</v>
      </c>
      <c r="J11997" t="s">
        <v>24004</v>
      </c>
      <c r="L11997" t="s">
        <v>27250</v>
      </c>
      <c r="M11997" t="s">
        <v>27251</v>
      </c>
      <c r="N11997" t="s">
        <v>27252</v>
      </c>
      <c r="Q11997" s="1">
        <v>44812</v>
      </c>
      <c r="R11997" t="s">
        <v>27253</v>
      </c>
      <c r="S11997" t="s">
        <v>27254</v>
      </c>
      <c r="T11997" t="s">
        <v>27255</v>
      </c>
    </row>
    <row r="11998" spans="1:20" x14ac:dyDescent="0.3">
      <c r="A11998" t="str">
        <f>"0611839086100"</f>
        <v>0611839086100</v>
      </c>
      <c r="B11998" t="str">
        <f>"LC9050"</f>
        <v>LC9050</v>
      </c>
      <c r="C11998" t="s">
        <v>50439</v>
      </c>
      <c r="D11998" t="s">
        <v>27245</v>
      </c>
      <c r="E11998" t="str">
        <f t="shared" si="187"/>
        <v>001390</v>
      </c>
      <c r="F11998" t="s">
        <v>27246</v>
      </c>
      <c r="G11998" t="s">
        <v>27247</v>
      </c>
      <c r="H11998" t="s">
        <v>27248</v>
      </c>
      <c r="I11998" t="s">
        <v>50440</v>
      </c>
      <c r="J11998" t="s">
        <v>24009</v>
      </c>
      <c r="L11998" t="s">
        <v>27250</v>
      </c>
      <c r="M11998" t="s">
        <v>27251</v>
      </c>
      <c r="N11998" t="s">
        <v>27252</v>
      </c>
      <c r="Q11998" s="1">
        <v>44538</v>
      </c>
      <c r="R11998" t="s">
        <v>27253</v>
      </c>
      <c r="S11998" t="s">
        <v>27254</v>
      </c>
      <c r="T11998" t="s">
        <v>27255</v>
      </c>
    </row>
    <row r="11999" spans="1:20" x14ac:dyDescent="0.3">
      <c r="A11999" t="str">
        <f>"0611857113100"</f>
        <v>0611857113100</v>
      </c>
      <c r="B11999" t="str">
        <f>"LL5053"</f>
        <v>LL5053</v>
      </c>
      <c r="C11999" t="s">
        <v>50441</v>
      </c>
      <c r="D11999" t="s">
        <v>27245</v>
      </c>
      <c r="E11999" t="str">
        <f t="shared" si="187"/>
        <v>001390</v>
      </c>
      <c r="F11999" t="s">
        <v>27246</v>
      </c>
      <c r="G11999" t="s">
        <v>27247</v>
      </c>
      <c r="H11999" t="s">
        <v>27248</v>
      </c>
      <c r="I11999" t="s">
        <v>50442</v>
      </c>
      <c r="J11999" t="s">
        <v>11213</v>
      </c>
      <c r="L11999" t="s">
        <v>27250</v>
      </c>
      <c r="M11999" t="s">
        <v>27251</v>
      </c>
      <c r="N11999" t="s">
        <v>27252</v>
      </c>
      <c r="Q11999" s="1">
        <v>44812</v>
      </c>
      <c r="R11999" t="s">
        <v>27253</v>
      </c>
      <c r="S11999" t="s">
        <v>27254</v>
      </c>
      <c r="T11999" t="s">
        <v>27255</v>
      </c>
    </row>
    <row r="12000" spans="1:20" x14ac:dyDescent="0.3">
      <c r="A12000" t="str">
        <f>"0611857114100"</f>
        <v>0611857114100</v>
      </c>
      <c r="B12000" t="str">
        <f>"LQ6255"</f>
        <v>LQ6255</v>
      </c>
      <c r="C12000" t="s">
        <v>50443</v>
      </c>
      <c r="D12000" t="s">
        <v>27245</v>
      </c>
      <c r="E12000" t="str">
        <f t="shared" si="187"/>
        <v>001390</v>
      </c>
      <c r="F12000" t="s">
        <v>27246</v>
      </c>
      <c r="G12000" t="s">
        <v>27247</v>
      </c>
      <c r="H12000" t="s">
        <v>27248</v>
      </c>
      <c r="I12000" t="s">
        <v>50444</v>
      </c>
      <c r="J12000" t="s">
        <v>11215</v>
      </c>
      <c r="L12000" t="s">
        <v>27250</v>
      </c>
      <c r="M12000" t="s">
        <v>27251</v>
      </c>
      <c r="N12000" t="s">
        <v>27252</v>
      </c>
      <c r="Q12000" s="1">
        <v>44812</v>
      </c>
      <c r="R12000" t="s">
        <v>27253</v>
      </c>
      <c r="S12000" t="s">
        <v>27254</v>
      </c>
      <c r="T12000" t="s">
        <v>27255</v>
      </c>
    </row>
    <row r="12001" spans="1:20" x14ac:dyDescent="0.3">
      <c r="A12001" t="str">
        <f>"0611835461025"</f>
        <v>0611835461025</v>
      </c>
      <c r="B12001" t="str">
        <f>"MC3661"</f>
        <v>MC3661</v>
      </c>
      <c r="C12001" t="s">
        <v>50445</v>
      </c>
      <c r="D12001" t="s">
        <v>27267</v>
      </c>
      <c r="E12001" t="str">
        <f t="shared" si="187"/>
        <v>001390</v>
      </c>
      <c r="F12001" t="s">
        <v>27246</v>
      </c>
      <c r="G12001" t="s">
        <v>27247</v>
      </c>
      <c r="H12001" t="s">
        <v>27248</v>
      </c>
      <c r="I12001" t="s">
        <v>50446</v>
      </c>
      <c r="J12001" t="s">
        <v>24021</v>
      </c>
      <c r="L12001" t="s">
        <v>27250</v>
      </c>
      <c r="M12001" t="s">
        <v>27251</v>
      </c>
      <c r="N12001" t="s">
        <v>27252</v>
      </c>
      <c r="Q12001" s="1">
        <v>44538</v>
      </c>
      <c r="R12001" t="s">
        <v>27253</v>
      </c>
      <c r="S12001" t="s">
        <v>27254</v>
      </c>
      <c r="T12001" t="s">
        <v>27269</v>
      </c>
    </row>
    <row r="12002" spans="1:20" x14ac:dyDescent="0.3">
      <c r="A12002" t="str">
        <f>"0611835462025"</f>
        <v>0611835462025</v>
      </c>
      <c r="B12002" t="str">
        <f>"MC4339"</f>
        <v>MC4339</v>
      </c>
      <c r="C12002" t="s">
        <v>50447</v>
      </c>
      <c r="D12002" t="s">
        <v>27267</v>
      </c>
      <c r="E12002" t="str">
        <f t="shared" si="187"/>
        <v>001390</v>
      </c>
      <c r="F12002" t="s">
        <v>27246</v>
      </c>
      <c r="G12002" t="s">
        <v>27247</v>
      </c>
      <c r="H12002" t="s">
        <v>27248</v>
      </c>
      <c r="I12002" t="s">
        <v>50448</v>
      </c>
      <c r="J12002" t="s">
        <v>24041</v>
      </c>
      <c r="L12002" t="s">
        <v>27250</v>
      </c>
      <c r="M12002" t="s">
        <v>27251</v>
      </c>
      <c r="N12002" t="s">
        <v>27252</v>
      </c>
      <c r="Q12002" s="1">
        <v>44538</v>
      </c>
      <c r="R12002" t="s">
        <v>27253</v>
      </c>
      <c r="S12002" t="s">
        <v>27254</v>
      </c>
      <c r="T12002" t="s">
        <v>27269</v>
      </c>
    </row>
    <row r="12003" spans="1:20" x14ac:dyDescent="0.3">
      <c r="A12003" t="str">
        <f>"0611835463025"</f>
        <v>0611835463025</v>
      </c>
      <c r="B12003" t="str">
        <f>"MC3909"</f>
        <v>MC3909</v>
      </c>
      <c r="C12003" t="s">
        <v>50449</v>
      </c>
      <c r="D12003" t="s">
        <v>27267</v>
      </c>
      <c r="E12003" t="str">
        <f t="shared" si="187"/>
        <v>001390</v>
      </c>
      <c r="F12003" t="s">
        <v>27246</v>
      </c>
      <c r="G12003" t="s">
        <v>27247</v>
      </c>
      <c r="H12003" t="s">
        <v>27248</v>
      </c>
      <c r="I12003" t="s">
        <v>50450</v>
      </c>
      <c r="J12003" t="s">
        <v>24057</v>
      </c>
      <c r="L12003" t="s">
        <v>27250</v>
      </c>
      <c r="M12003" t="s">
        <v>27251</v>
      </c>
      <c r="N12003" t="s">
        <v>27252</v>
      </c>
      <c r="Q12003" s="1">
        <v>44538</v>
      </c>
      <c r="R12003" t="s">
        <v>27253</v>
      </c>
      <c r="S12003" t="s">
        <v>27254</v>
      </c>
      <c r="T12003" t="s">
        <v>27269</v>
      </c>
    </row>
    <row r="12004" spans="1:20" x14ac:dyDescent="0.3">
      <c r="A12004" t="str">
        <f>"0611835699025"</f>
        <v>0611835699025</v>
      </c>
      <c r="B12004" t="str">
        <f>"MC3620"</f>
        <v>MC3620</v>
      </c>
      <c r="C12004" t="s">
        <v>50451</v>
      </c>
      <c r="D12004" t="s">
        <v>27267</v>
      </c>
      <c r="E12004" t="str">
        <f t="shared" si="187"/>
        <v>001390</v>
      </c>
      <c r="F12004" t="s">
        <v>27246</v>
      </c>
      <c r="G12004" t="s">
        <v>27247</v>
      </c>
      <c r="H12004" t="s">
        <v>27248</v>
      </c>
      <c r="I12004" t="s">
        <v>50452</v>
      </c>
      <c r="J12004" t="s">
        <v>24011</v>
      </c>
      <c r="L12004" t="s">
        <v>27250</v>
      </c>
      <c r="M12004" t="s">
        <v>27251</v>
      </c>
      <c r="N12004" t="s">
        <v>27252</v>
      </c>
      <c r="Q12004" s="1">
        <v>44538</v>
      </c>
      <c r="R12004" t="s">
        <v>27253</v>
      </c>
      <c r="S12004" t="s">
        <v>27254</v>
      </c>
      <c r="T12004" t="s">
        <v>27269</v>
      </c>
    </row>
    <row r="12005" spans="1:20" x14ac:dyDescent="0.3">
      <c r="A12005" t="str">
        <f>"0611857115025"</f>
        <v>0611857115025</v>
      </c>
      <c r="B12005" t="str">
        <f>"MC4427"</f>
        <v>MC4427</v>
      </c>
      <c r="C12005" t="s">
        <v>50453</v>
      </c>
      <c r="D12005" t="s">
        <v>27267</v>
      </c>
      <c r="E12005" t="str">
        <f t="shared" si="187"/>
        <v>001390</v>
      </c>
      <c r="F12005" t="s">
        <v>27246</v>
      </c>
      <c r="G12005" t="s">
        <v>27247</v>
      </c>
      <c r="H12005" t="s">
        <v>27248</v>
      </c>
      <c r="I12005" t="s">
        <v>50454</v>
      </c>
      <c r="J12005" t="s">
        <v>24013</v>
      </c>
      <c r="L12005" t="s">
        <v>27250</v>
      </c>
      <c r="M12005" t="s">
        <v>27251</v>
      </c>
      <c r="N12005" t="s">
        <v>27252</v>
      </c>
      <c r="Q12005" s="1">
        <v>44812</v>
      </c>
      <c r="R12005" t="s">
        <v>27253</v>
      </c>
      <c r="S12005" t="s">
        <v>27254</v>
      </c>
      <c r="T12005" t="s">
        <v>27269</v>
      </c>
    </row>
    <row r="12006" spans="1:20" x14ac:dyDescent="0.3">
      <c r="A12006" t="str">
        <f>"0611835700025"</f>
        <v>0611835700025</v>
      </c>
      <c r="B12006" t="str">
        <f>"MC4002"</f>
        <v>MC4002</v>
      </c>
      <c r="C12006" t="s">
        <v>50455</v>
      </c>
      <c r="D12006" t="s">
        <v>27267</v>
      </c>
      <c r="E12006" t="str">
        <f t="shared" si="187"/>
        <v>001390</v>
      </c>
      <c r="F12006" t="s">
        <v>27246</v>
      </c>
      <c r="G12006" t="s">
        <v>27247</v>
      </c>
      <c r="H12006" t="s">
        <v>27248</v>
      </c>
      <c r="I12006" t="s">
        <v>50456</v>
      </c>
      <c r="J12006" t="s">
        <v>24015</v>
      </c>
      <c r="L12006" t="s">
        <v>27250</v>
      </c>
      <c r="M12006" t="s">
        <v>27251</v>
      </c>
      <c r="N12006" t="s">
        <v>27252</v>
      </c>
      <c r="Q12006" s="1">
        <v>44538</v>
      </c>
      <c r="R12006" t="s">
        <v>27253</v>
      </c>
      <c r="S12006" t="s">
        <v>27254</v>
      </c>
      <c r="T12006" t="s">
        <v>27269</v>
      </c>
    </row>
    <row r="12007" spans="1:20" x14ac:dyDescent="0.3">
      <c r="A12007" t="str">
        <f>"0611835709025"</f>
        <v>0611835709025</v>
      </c>
      <c r="B12007" t="str">
        <f>"MC4394"</f>
        <v>MC4394</v>
      </c>
      <c r="C12007" t="s">
        <v>50457</v>
      </c>
      <c r="D12007" t="s">
        <v>27267</v>
      </c>
      <c r="E12007" t="str">
        <f t="shared" si="187"/>
        <v>001390</v>
      </c>
      <c r="F12007" t="s">
        <v>27246</v>
      </c>
      <c r="G12007" t="s">
        <v>27247</v>
      </c>
      <c r="H12007" t="s">
        <v>27248</v>
      </c>
      <c r="I12007" t="s">
        <v>50458</v>
      </c>
      <c r="J12007" t="s">
        <v>24017</v>
      </c>
      <c r="L12007" t="s">
        <v>27250</v>
      </c>
      <c r="M12007" t="s">
        <v>27251</v>
      </c>
      <c r="N12007" t="s">
        <v>27252</v>
      </c>
      <c r="Q12007" s="1">
        <v>44538</v>
      </c>
      <c r="R12007" t="s">
        <v>27253</v>
      </c>
      <c r="S12007" t="s">
        <v>27254</v>
      </c>
      <c r="T12007" t="s">
        <v>27269</v>
      </c>
    </row>
    <row r="12008" spans="1:20" x14ac:dyDescent="0.3">
      <c r="A12008" t="str">
        <f>"0611835710025"</f>
        <v>0611835710025</v>
      </c>
      <c r="B12008" t="str">
        <f>"MC3622"</f>
        <v>MC3622</v>
      </c>
      <c r="C12008" t="s">
        <v>50459</v>
      </c>
      <c r="D12008" t="s">
        <v>27267</v>
      </c>
      <c r="E12008" t="str">
        <f t="shared" si="187"/>
        <v>001390</v>
      </c>
      <c r="F12008" t="s">
        <v>27246</v>
      </c>
      <c r="G12008" t="s">
        <v>27247</v>
      </c>
      <c r="H12008" t="s">
        <v>27248</v>
      </c>
      <c r="I12008" t="s">
        <v>50460</v>
      </c>
      <c r="J12008" t="s">
        <v>24019</v>
      </c>
      <c r="L12008" t="s">
        <v>27250</v>
      </c>
      <c r="M12008" t="s">
        <v>27251</v>
      </c>
      <c r="N12008" t="s">
        <v>27252</v>
      </c>
      <c r="Q12008" s="1">
        <v>44538</v>
      </c>
      <c r="R12008" t="s">
        <v>27253</v>
      </c>
      <c r="S12008" t="s">
        <v>27254</v>
      </c>
      <c r="T12008" t="s">
        <v>27269</v>
      </c>
    </row>
    <row r="12009" spans="1:20" x14ac:dyDescent="0.3">
      <c r="A12009" t="str">
        <f>"0611835701025"</f>
        <v>0611835701025</v>
      </c>
      <c r="B12009" t="str">
        <f>"MC4080"</f>
        <v>MC4080</v>
      </c>
      <c r="C12009" t="s">
        <v>50461</v>
      </c>
      <c r="D12009" t="s">
        <v>27267</v>
      </c>
      <c r="E12009" t="str">
        <f t="shared" si="187"/>
        <v>001390</v>
      </c>
      <c r="F12009" t="s">
        <v>27246</v>
      </c>
      <c r="G12009" t="s">
        <v>27247</v>
      </c>
      <c r="H12009" t="s">
        <v>27248</v>
      </c>
      <c r="I12009" t="s">
        <v>50462</v>
      </c>
      <c r="J12009" t="s">
        <v>24023</v>
      </c>
      <c r="L12009" t="s">
        <v>27250</v>
      </c>
      <c r="M12009" t="s">
        <v>27251</v>
      </c>
      <c r="N12009" t="s">
        <v>27252</v>
      </c>
      <c r="Q12009" s="1">
        <v>44538</v>
      </c>
      <c r="R12009" t="s">
        <v>27253</v>
      </c>
      <c r="S12009" t="s">
        <v>27254</v>
      </c>
      <c r="T12009" t="s">
        <v>27269</v>
      </c>
    </row>
    <row r="12010" spans="1:20" x14ac:dyDescent="0.3">
      <c r="A12010" t="str">
        <f>"0611835702025"</f>
        <v>0611835702025</v>
      </c>
      <c r="B12010" t="str">
        <f>"MC3654"</f>
        <v>MC3654</v>
      </c>
      <c r="C12010" t="s">
        <v>50463</v>
      </c>
      <c r="D12010" t="s">
        <v>27267</v>
      </c>
      <c r="E12010" t="str">
        <f t="shared" si="187"/>
        <v>001390</v>
      </c>
      <c r="F12010" t="s">
        <v>27246</v>
      </c>
      <c r="G12010" t="s">
        <v>27247</v>
      </c>
      <c r="H12010" t="s">
        <v>27248</v>
      </c>
      <c r="I12010" t="s">
        <v>50464</v>
      </c>
      <c r="J12010" t="s">
        <v>24025</v>
      </c>
      <c r="L12010" t="s">
        <v>27250</v>
      </c>
      <c r="M12010" t="s">
        <v>27251</v>
      </c>
      <c r="N12010" t="s">
        <v>27252</v>
      </c>
      <c r="Q12010" s="1">
        <v>44538</v>
      </c>
      <c r="R12010" t="s">
        <v>27253</v>
      </c>
      <c r="S12010" t="s">
        <v>27254</v>
      </c>
      <c r="T12010" t="s">
        <v>27269</v>
      </c>
    </row>
    <row r="12011" spans="1:20" x14ac:dyDescent="0.3">
      <c r="A12011" t="str">
        <f>"0611835703025"</f>
        <v>0611835703025</v>
      </c>
      <c r="B12011" t="str">
        <f>"MC4356"</f>
        <v>MC4356</v>
      </c>
      <c r="C12011" t="s">
        <v>50465</v>
      </c>
      <c r="D12011" t="s">
        <v>27267</v>
      </c>
      <c r="E12011" t="str">
        <f t="shared" si="187"/>
        <v>001390</v>
      </c>
      <c r="F12011" t="s">
        <v>27246</v>
      </c>
      <c r="G12011" t="s">
        <v>27247</v>
      </c>
      <c r="H12011" t="s">
        <v>27248</v>
      </c>
      <c r="I12011" t="s">
        <v>50466</v>
      </c>
      <c r="J12011" t="s">
        <v>24027</v>
      </c>
      <c r="L12011" t="s">
        <v>27250</v>
      </c>
      <c r="M12011" t="s">
        <v>27251</v>
      </c>
      <c r="N12011" t="s">
        <v>27252</v>
      </c>
      <c r="Q12011" s="1">
        <v>44538</v>
      </c>
      <c r="R12011" t="s">
        <v>27253</v>
      </c>
      <c r="S12011" t="s">
        <v>27254</v>
      </c>
      <c r="T12011" t="s">
        <v>27269</v>
      </c>
    </row>
    <row r="12012" spans="1:20" x14ac:dyDescent="0.3">
      <c r="A12012" t="str">
        <f>"0611857116025"</f>
        <v>0611857116025</v>
      </c>
      <c r="B12012" t="str">
        <f>"MC4429"</f>
        <v>MC4429</v>
      </c>
      <c r="C12012" t="s">
        <v>50467</v>
      </c>
      <c r="D12012" t="s">
        <v>27267</v>
      </c>
      <c r="E12012" t="str">
        <f t="shared" si="187"/>
        <v>001390</v>
      </c>
      <c r="F12012" t="s">
        <v>27246</v>
      </c>
      <c r="G12012" t="s">
        <v>27247</v>
      </c>
      <c r="H12012" t="s">
        <v>27248</v>
      </c>
      <c r="I12012" t="s">
        <v>50468</v>
      </c>
      <c r="J12012" t="s">
        <v>24029</v>
      </c>
      <c r="L12012" t="s">
        <v>27250</v>
      </c>
      <c r="M12012" t="s">
        <v>27251</v>
      </c>
      <c r="N12012" t="s">
        <v>27252</v>
      </c>
      <c r="Q12012" s="1">
        <v>44812</v>
      </c>
      <c r="R12012" t="s">
        <v>27253</v>
      </c>
      <c r="S12012" t="s">
        <v>27254</v>
      </c>
      <c r="T12012" t="s">
        <v>27269</v>
      </c>
    </row>
    <row r="12013" spans="1:20" x14ac:dyDescent="0.3">
      <c r="A12013" t="str">
        <f>"0611835711025"</f>
        <v>0611835711025</v>
      </c>
      <c r="B12013" t="str">
        <f>"MC3614"</f>
        <v>MC3614</v>
      </c>
      <c r="C12013" t="s">
        <v>50469</v>
      </c>
      <c r="D12013" t="s">
        <v>27267</v>
      </c>
      <c r="E12013" t="str">
        <f t="shared" si="187"/>
        <v>001390</v>
      </c>
      <c r="F12013" t="s">
        <v>27246</v>
      </c>
      <c r="G12013" t="s">
        <v>27247</v>
      </c>
      <c r="H12013" t="s">
        <v>27248</v>
      </c>
      <c r="I12013" t="s">
        <v>50470</v>
      </c>
      <c r="J12013" t="s">
        <v>24031</v>
      </c>
      <c r="L12013" t="s">
        <v>27250</v>
      </c>
      <c r="M12013" t="s">
        <v>27251</v>
      </c>
      <c r="N12013" t="s">
        <v>27252</v>
      </c>
      <c r="Q12013" s="1">
        <v>44538</v>
      </c>
      <c r="R12013" t="s">
        <v>27253</v>
      </c>
      <c r="S12013" t="s">
        <v>27254</v>
      </c>
      <c r="T12013" t="s">
        <v>27269</v>
      </c>
    </row>
    <row r="12014" spans="1:20" x14ac:dyDescent="0.3">
      <c r="A12014" t="str">
        <f>"0611835712025"</f>
        <v>0611835712025</v>
      </c>
      <c r="B12014" t="str">
        <f>"MC3615"</f>
        <v>MC3615</v>
      </c>
      <c r="C12014" t="s">
        <v>50471</v>
      </c>
      <c r="D12014" t="s">
        <v>27267</v>
      </c>
      <c r="E12014" t="str">
        <f t="shared" si="187"/>
        <v>001390</v>
      </c>
      <c r="F12014" t="s">
        <v>27246</v>
      </c>
      <c r="G12014" t="s">
        <v>27247</v>
      </c>
      <c r="H12014" t="s">
        <v>27248</v>
      </c>
      <c r="I12014" t="s">
        <v>50472</v>
      </c>
      <c r="J12014" t="s">
        <v>24033</v>
      </c>
      <c r="L12014" t="s">
        <v>27250</v>
      </c>
      <c r="M12014" t="s">
        <v>27251</v>
      </c>
      <c r="N12014" t="s">
        <v>27252</v>
      </c>
      <c r="Q12014" s="1">
        <v>44538</v>
      </c>
      <c r="R12014" t="s">
        <v>27253</v>
      </c>
      <c r="S12014" t="s">
        <v>27254</v>
      </c>
      <c r="T12014" t="s">
        <v>27269</v>
      </c>
    </row>
    <row r="12015" spans="1:20" x14ac:dyDescent="0.3">
      <c r="A12015" t="str">
        <f>"0611835704025"</f>
        <v>0611835704025</v>
      </c>
      <c r="B12015" t="str">
        <f>"MC4003"</f>
        <v>MC4003</v>
      </c>
      <c r="C12015" t="s">
        <v>50473</v>
      </c>
      <c r="D12015" t="s">
        <v>27267</v>
      </c>
      <c r="E12015" t="str">
        <f t="shared" si="187"/>
        <v>001390</v>
      </c>
      <c r="F12015" t="s">
        <v>27246</v>
      </c>
      <c r="G12015" t="s">
        <v>27247</v>
      </c>
      <c r="H12015" t="s">
        <v>27248</v>
      </c>
      <c r="I12015" t="s">
        <v>50474</v>
      </c>
      <c r="J12015" t="s">
        <v>24035</v>
      </c>
      <c r="L12015" t="s">
        <v>27250</v>
      </c>
      <c r="M12015" t="s">
        <v>27251</v>
      </c>
      <c r="N12015" t="s">
        <v>27252</v>
      </c>
      <c r="Q12015" s="1">
        <v>44538</v>
      </c>
      <c r="R12015" t="s">
        <v>27253</v>
      </c>
      <c r="S12015" t="s">
        <v>27254</v>
      </c>
      <c r="T12015" t="s">
        <v>27269</v>
      </c>
    </row>
    <row r="12016" spans="1:20" x14ac:dyDescent="0.3">
      <c r="A12016" t="str">
        <f>"0611835742025"</f>
        <v>0611835742025</v>
      </c>
      <c r="B12016" t="str">
        <f>"MC3617"</f>
        <v>MC3617</v>
      </c>
      <c r="C12016" t="s">
        <v>50475</v>
      </c>
      <c r="D12016" t="s">
        <v>27267</v>
      </c>
      <c r="E12016" t="str">
        <f t="shared" si="187"/>
        <v>001390</v>
      </c>
      <c r="F12016" t="s">
        <v>27246</v>
      </c>
      <c r="G12016" t="s">
        <v>27247</v>
      </c>
      <c r="H12016" t="s">
        <v>27248</v>
      </c>
      <c r="I12016" t="s">
        <v>50476</v>
      </c>
      <c r="J12016" t="s">
        <v>24037</v>
      </c>
      <c r="L12016" t="s">
        <v>27250</v>
      </c>
      <c r="M12016" t="s">
        <v>27251</v>
      </c>
      <c r="N12016" t="s">
        <v>27252</v>
      </c>
      <c r="Q12016" s="1">
        <v>44538</v>
      </c>
      <c r="R12016" t="s">
        <v>27253</v>
      </c>
      <c r="S12016" t="s">
        <v>27254</v>
      </c>
      <c r="T12016" t="s">
        <v>27269</v>
      </c>
    </row>
    <row r="12017" spans="1:20" x14ac:dyDescent="0.3">
      <c r="A12017" t="str">
        <f>"0611835705025"</f>
        <v>0611835705025</v>
      </c>
      <c r="B12017" t="str">
        <f>"MC4081"</f>
        <v>MC4081</v>
      </c>
      <c r="C12017" t="s">
        <v>50477</v>
      </c>
      <c r="D12017" t="s">
        <v>27267</v>
      </c>
      <c r="E12017" t="str">
        <f t="shared" si="187"/>
        <v>001390</v>
      </c>
      <c r="F12017" t="s">
        <v>27246</v>
      </c>
      <c r="G12017" t="s">
        <v>27247</v>
      </c>
      <c r="H12017" t="s">
        <v>27248</v>
      </c>
      <c r="I12017" t="s">
        <v>50478</v>
      </c>
      <c r="J12017" t="s">
        <v>24039</v>
      </c>
      <c r="L12017" t="s">
        <v>27250</v>
      </c>
      <c r="M12017" t="s">
        <v>27251</v>
      </c>
      <c r="N12017" t="s">
        <v>27252</v>
      </c>
      <c r="Q12017" s="1">
        <v>44538</v>
      </c>
      <c r="R12017" t="s">
        <v>27253</v>
      </c>
      <c r="S12017" t="s">
        <v>27254</v>
      </c>
      <c r="T12017" t="s">
        <v>27269</v>
      </c>
    </row>
    <row r="12018" spans="1:20" x14ac:dyDescent="0.3">
      <c r="A12018" t="str">
        <f>"0611835743025"</f>
        <v>0611835743025</v>
      </c>
      <c r="B12018" t="str">
        <f>"MC3908"</f>
        <v>MC3908</v>
      </c>
      <c r="C12018" t="s">
        <v>50479</v>
      </c>
      <c r="D12018" t="s">
        <v>27267</v>
      </c>
      <c r="E12018" t="str">
        <f t="shared" si="187"/>
        <v>001390</v>
      </c>
      <c r="F12018" t="s">
        <v>27246</v>
      </c>
      <c r="G12018" t="s">
        <v>27247</v>
      </c>
      <c r="H12018" t="s">
        <v>27248</v>
      </c>
      <c r="I12018" t="s">
        <v>50480</v>
      </c>
      <c r="J12018" t="s">
        <v>24043</v>
      </c>
      <c r="L12018" t="s">
        <v>27250</v>
      </c>
      <c r="M12018" t="s">
        <v>27251</v>
      </c>
      <c r="N12018" t="s">
        <v>27252</v>
      </c>
      <c r="Q12018" s="1">
        <v>44538</v>
      </c>
      <c r="R12018" t="s">
        <v>27253</v>
      </c>
      <c r="S12018" t="s">
        <v>27254</v>
      </c>
      <c r="T12018" t="s">
        <v>27269</v>
      </c>
    </row>
    <row r="12019" spans="1:20" x14ac:dyDescent="0.3">
      <c r="A12019" t="str">
        <f>"0611835706025"</f>
        <v>0611835706025</v>
      </c>
      <c r="B12019" t="str">
        <f>"MC4270"</f>
        <v>MC4270</v>
      </c>
      <c r="C12019" t="s">
        <v>50481</v>
      </c>
      <c r="D12019" t="s">
        <v>27267</v>
      </c>
      <c r="E12019" t="str">
        <f t="shared" si="187"/>
        <v>001390</v>
      </c>
      <c r="F12019" t="s">
        <v>27246</v>
      </c>
      <c r="G12019" t="s">
        <v>27247</v>
      </c>
      <c r="H12019" t="s">
        <v>27248</v>
      </c>
      <c r="I12019" t="s">
        <v>50482</v>
      </c>
      <c r="J12019" t="s">
        <v>24045</v>
      </c>
      <c r="L12019" t="s">
        <v>27250</v>
      </c>
      <c r="M12019" t="s">
        <v>27251</v>
      </c>
      <c r="N12019" t="s">
        <v>27252</v>
      </c>
      <c r="Q12019" s="1">
        <v>44538</v>
      </c>
      <c r="R12019" t="s">
        <v>27253</v>
      </c>
      <c r="S12019" t="s">
        <v>27254</v>
      </c>
      <c r="T12019" t="s">
        <v>27269</v>
      </c>
    </row>
    <row r="12020" spans="1:20" x14ac:dyDescent="0.3">
      <c r="A12020" t="str">
        <f>"0611835744025"</f>
        <v>0611835744025</v>
      </c>
      <c r="B12020" t="str">
        <f>"MC2077"</f>
        <v>MC2077</v>
      </c>
      <c r="C12020" t="s">
        <v>50483</v>
      </c>
      <c r="D12020" t="s">
        <v>27267</v>
      </c>
      <c r="E12020" t="str">
        <f t="shared" si="187"/>
        <v>001390</v>
      </c>
      <c r="F12020" t="s">
        <v>27246</v>
      </c>
      <c r="G12020" t="s">
        <v>27247</v>
      </c>
      <c r="H12020" t="s">
        <v>27248</v>
      </c>
      <c r="I12020" t="s">
        <v>50484</v>
      </c>
      <c r="J12020" t="s">
        <v>24047</v>
      </c>
      <c r="L12020" t="s">
        <v>27250</v>
      </c>
      <c r="M12020" t="s">
        <v>27251</v>
      </c>
      <c r="N12020" t="s">
        <v>27252</v>
      </c>
      <c r="Q12020" s="1">
        <v>44538</v>
      </c>
      <c r="R12020" t="s">
        <v>27253</v>
      </c>
      <c r="S12020" t="s">
        <v>27254</v>
      </c>
      <c r="T12020" t="s">
        <v>27269</v>
      </c>
    </row>
    <row r="12021" spans="1:20" x14ac:dyDescent="0.3">
      <c r="A12021" t="str">
        <f>"0611857117025"</f>
        <v>0611857117025</v>
      </c>
      <c r="B12021" t="str">
        <f>"MC4428"</f>
        <v>MC4428</v>
      </c>
      <c r="C12021" t="s">
        <v>50485</v>
      </c>
      <c r="D12021" t="s">
        <v>27267</v>
      </c>
      <c r="E12021" t="str">
        <f t="shared" si="187"/>
        <v>001390</v>
      </c>
      <c r="F12021" t="s">
        <v>27246</v>
      </c>
      <c r="G12021" t="s">
        <v>27247</v>
      </c>
      <c r="H12021" t="s">
        <v>27248</v>
      </c>
      <c r="I12021" t="s">
        <v>50486</v>
      </c>
      <c r="J12021" t="s">
        <v>24049</v>
      </c>
      <c r="L12021" t="s">
        <v>27250</v>
      </c>
      <c r="M12021" t="s">
        <v>27251</v>
      </c>
      <c r="N12021" t="s">
        <v>27252</v>
      </c>
      <c r="Q12021" s="1">
        <v>44812</v>
      </c>
      <c r="R12021" t="s">
        <v>27253</v>
      </c>
      <c r="S12021" t="s">
        <v>27254</v>
      </c>
      <c r="T12021" t="s">
        <v>27269</v>
      </c>
    </row>
    <row r="12022" spans="1:20" x14ac:dyDescent="0.3">
      <c r="A12022" t="str">
        <f>"0611835745025"</f>
        <v>0611835745025</v>
      </c>
      <c r="B12022" t="str">
        <f>"MC3655"</f>
        <v>MC3655</v>
      </c>
      <c r="C12022" t="s">
        <v>50487</v>
      </c>
      <c r="D12022" t="s">
        <v>27267</v>
      </c>
      <c r="E12022" t="str">
        <f t="shared" si="187"/>
        <v>001390</v>
      </c>
      <c r="F12022" t="s">
        <v>27246</v>
      </c>
      <c r="G12022" t="s">
        <v>27247</v>
      </c>
      <c r="H12022" t="s">
        <v>27248</v>
      </c>
      <c r="I12022" t="s">
        <v>50488</v>
      </c>
      <c r="J12022" t="s">
        <v>24051</v>
      </c>
      <c r="L12022" t="s">
        <v>27250</v>
      </c>
      <c r="M12022" t="s">
        <v>27251</v>
      </c>
      <c r="N12022" t="s">
        <v>27252</v>
      </c>
      <c r="Q12022" s="1">
        <v>44538</v>
      </c>
      <c r="R12022" t="s">
        <v>27253</v>
      </c>
      <c r="S12022" t="s">
        <v>27254</v>
      </c>
      <c r="T12022" t="s">
        <v>27269</v>
      </c>
    </row>
    <row r="12023" spans="1:20" x14ac:dyDescent="0.3">
      <c r="A12023" t="str">
        <f>"0611884475025"</f>
        <v>0611884475025</v>
      </c>
      <c r="B12023" t="str">
        <f>"MC4517"</f>
        <v>MC4517</v>
      </c>
      <c r="C12023" t="s">
        <v>50489</v>
      </c>
      <c r="D12023" t="s">
        <v>27267</v>
      </c>
      <c r="E12023" t="str">
        <f t="shared" si="187"/>
        <v>001390</v>
      </c>
      <c r="F12023" t="s">
        <v>27246</v>
      </c>
      <c r="G12023" t="s">
        <v>27247</v>
      </c>
      <c r="H12023" t="s">
        <v>27248</v>
      </c>
      <c r="I12023" t="s">
        <v>50490</v>
      </c>
      <c r="J12023" t="s">
        <v>24053</v>
      </c>
      <c r="L12023" t="s">
        <v>27430</v>
      </c>
      <c r="M12023" t="s">
        <v>27251</v>
      </c>
      <c r="N12023" t="s">
        <v>27252</v>
      </c>
      <c r="Q12023" s="1">
        <v>45250</v>
      </c>
      <c r="R12023" t="s">
        <v>27253</v>
      </c>
      <c r="S12023" t="s">
        <v>27254</v>
      </c>
      <c r="T12023" t="s">
        <v>27269</v>
      </c>
    </row>
    <row r="12024" spans="1:20" x14ac:dyDescent="0.3">
      <c r="A12024" t="str">
        <f>"0611835707025"</f>
        <v>0611835707025</v>
      </c>
      <c r="B12024" t="str">
        <f>"MC4357"</f>
        <v>MC4357</v>
      </c>
      <c r="C12024" t="s">
        <v>50491</v>
      </c>
      <c r="D12024" t="s">
        <v>27267</v>
      </c>
      <c r="E12024" t="str">
        <f t="shared" si="187"/>
        <v>001390</v>
      </c>
      <c r="F12024" t="s">
        <v>27246</v>
      </c>
      <c r="G12024" t="s">
        <v>27247</v>
      </c>
      <c r="H12024" t="s">
        <v>27248</v>
      </c>
      <c r="I12024" t="s">
        <v>50492</v>
      </c>
      <c r="J12024" t="s">
        <v>24055</v>
      </c>
      <c r="L12024" t="s">
        <v>27250</v>
      </c>
      <c r="M12024" t="s">
        <v>27251</v>
      </c>
      <c r="N12024" t="s">
        <v>27252</v>
      </c>
      <c r="Q12024" s="1">
        <v>44538</v>
      </c>
      <c r="R12024" t="s">
        <v>27253</v>
      </c>
      <c r="S12024" t="s">
        <v>27254</v>
      </c>
      <c r="T12024" t="s">
        <v>27269</v>
      </c>
    </row>
    <row r="12025" spans="1:20" x14ac:dyDescent="0.3">
      <c r="A12025" t="str">
        <f>"0611835708025"</f>
        <v>0611835708025</v>
      </c>
      <c r="B12025" t="str">
        <f>"MC4082"</f>
        <v>MC4082</v>
      </c>
      <c r="C12025" t="s">
        <v>50493</v>
      </c>
      <c r="D12025" t="s">
        <v>27267</v>
      </c>
      <c r="E12025" t="str">
        <f t="shared" si="187"/>
        <v>001390</v>
      </c>
      <c r="F12025" t="s">
        <v>27246</v>
      </c>
      <c r="G12025" t="s">
        <v>27247</v>
      </c>
      <c r="H12025" t="s">
        <v>27248</v>
      </c>
      <c r="I12025" t="s">
        <v>50494</v>
      </c>
      <c r="J12025" t="s">
        <v>24059</v>
      </c>
      <c r="L12025" t="s">
        <v>27250</v>
      </c>
      <c r="M12025" t="s">
        <v>27251</v>
      </c>
      <c r="N12025" t="s">
        <v>27252</v>
      </c>
      <c r="Q12025" s="1">
        <v>44538</v>
      </c>
      <c r="R12025" t="s">
        <v>27253</v>
      </c>
      <c r="S12025" t="s">
        <v>27254</v>
      </c>
      <c r="T12025" t="s">
        <v>27269</v>
      </c>
    </row>
    <row r="12026" spans="1:20" x14ac:dyDescent="0.3">
      <c r="A12026" t="str">
        <f>"0611835746025"</f>
        <v>0611835746025</v>
      </c>
      <c r="B12026" t="str">
        <f>"MC3624"</f>
        <v>MC3624</v>
      </c>
      <c r="C12026" t="s">
        <v>50495</v>
      </c>
      <c r="D12026" t="s">
        <v>27267</v>
      </c>
      <c r="E12026" t="str">
        <f t="shared" si="187"/>
        <v>001390</v>
      </c>
      <c r="F12026" t="s">
        <v>27246</v>
      </c>
      <c r="G12026" t="s">
        <v>27247</v>
      </c>
      <c r="H12026" t="s">
        <v>27248</v>
      </c>
      <c r="I12026" t="s">
        <v>50496</v>
      </c>
      <c r="J12026" t="s">
        <v>24061</v>
      </c>
      <c r="L12026" t="s">
        <v>27250</v>
      </c>
      <c r="M12026" t="s">
        <v>27251</v>
      </c>
      <c r="N12026" t="s">
        <v>27252</v>
      </c>
      <c r="Q12026" s="1">
        <v>44538</v>
      </c>
      <c r="R12026" t="s">
        <v>27253</v>
      </c>
      <c r="S12026" t="s">
        <v>27254</v>
      </c>
      <c r="T12026" t="s">
        <v>27269</v>
      </c>
    </row>
    <row r="12027" spans="1:20" x14ac:dyDescent="0.3">
      <c r="A12027" t="str">
        <f>"0611835536025"</f>
        <v>0611835536025</v>
      </c>
      <c r="B12027" t="str">
        <f>"MC4271"</f>
        <v>MC4271</v>
      </c>
      <c r="C12027" t="s">
        <v>50497</v>
      </c>
      <c r="D12027" t="s">
        <v>27267</v>
      </c>
      <c r="E12027" t="str">
        <f t="shared" si="187"/>
        <v>001390</v>
      </c>
      <c r="F12027" t="s">
        <v>27246</v>
      </c>
      <c r="G12027" t="s">
        <v>27247</v>
      </c>
      <c r="H12027" t="s">
        <v>27248</v>
      </c>
      <c r="I12027" t="s">
        <v>50498</v>
      </c>
      <c r="J12027" t="s">
        <v>24063</v>
      </c>
      <c r="L12027" t="s">
        <v>27250</v>
      </c>
      <c r="M12027" t="s">
        <v>27251</v>
      </c>
      <c r="N12027" t="s">
        <v>27252</v>
      </c>
      <c r="Q12027" s="1">
        <v>44538</v>
      </c>
      <c r="R12027" t="s">
        <v>27253</v>
      </c>
      <c r="S12027" t="s">
        <v>27254</v>
      </c>
      <c r="T12027" t="s">
        <v>27269</v>
      </c>
    </row>
    <row r="12028" spans="1:20" x14ac:dyDescent="0.3">
      <c r="A12028" t="str">
        <f>"0611835713025"</f>
        <v>0611835713025</v>
      </c>
      <c r="B12028" t="str">
        <f>"MC3910"</f>
        <v>MC3910</v>
      </c>
      <c r="C12028" t="s">
        <v>50499</v>
      </c>
      <c r="D12028" t="s">
        <v>27267</v>
      </c>
      <c r="E12028" t="str">
        <f t="shared" si="187"/>
        <v>001390</v>
      </c>
      <c r="F12028" t="s">
        <v>27246</v>
      </c>
      <c r="G12028" t="s">
        <v>27247</v>
      </c>
      <c r="H12028" t="s">
        <v>27248</v>
      </c>
      <c r="I12028" t="s">
        <v>50500</v>
      </c>
      <c r="J12028" t="s">
        <v>24065</v>
      </c>
      <c r="L12028" t="s">
        <v>27250</v>
      </c>
      <c r="M12028" t="s">
        <v>27251</v>
      </c>
      <c r="N12028" t="s">
        <v>27252</v>
      </c>
      <c r="Q12028" s="1">
        <v>44538</v>
      </c>
      <c r="R12028" t="s">
        <v>27253</v>
      </c>
      <c r="S12028" t="s">
        <v>27254</v>
      </c>
      <c r="T12028" t="s">
        <v>27269</v>
      </c>
    </row>
    <row r="12029" spans="1:20" x14ac:dyDescent="0.3">
      <c r="A12029" t="str">
        <f>"0611835747025"</f>
        <v>0611835747025</v>
      </c>
      <c r="B12029" t="str">
        <f>"MC3612"</f>
        <v>MC3612</v>
      </c>
      <c r="C12029" t="s">
        <v>50501</v>
      </c>
      <c r="D12029" t="s">
        <v>27267</v>
      </c>
      <c r="E12029" t="str">
        <f t="shared" si="187"/>
        <v>001390</v>
      </c>
      <c r="F12029" t="s">
        <v>27246</v>
      </c>
      <c r="G12029" t="s">
        <v>27247</v>
      </c>
      <c r="H12029" t="s">
        <v>27248</v>
      </c>
      <c r="I12029" t="s">
        <v>50502</v>
      </c>
      <c r="J12029" t="s">
        <v>24067</v>
      </c>
      <c r="L12029" t="s">
        <v>27250</v>
      </c>
      <c r="M12029" t="s">
        <v>27251</v>
      </c>
      <c r="N12029" t="s">
        <v>27252</v>
      </c>
      <c r="Q12029" s="1">
        <v>44538</v>
      </c>
      <c r="R12029" t="s">
        <v>27253</v>
      </c>
      <c r="S12029" t="s">
        <v>27254</v>
      </c>
      <c r="T12029" t="s">
        <v>27269</v>
      </c>
    </row>
    <row r="12030" spans="1:20" x14ac:dyDescent="0.3">
      <c r="A12030" t="str">
        <f>"0611835752025"</f>
        <v>0611835752025</v>
      </c>
      <c r="B12030" t="str">
        <f>"MC3613"</f>
        <v>MC3613</v>
      </c>
      <c r="C12030" t="s">
        <v>50503</v>
      </c>
      <c r="D12030" t="s">
        <v>27267</v>
      </c>
      <c r="E12030" t="str">
        <f t="shared" si="187"/>
        <v>001390</v>
      </c>
      <c r="F12030" t="s">
        <v>27246</v>
      </c>
      <c r="G12030" t="s">
        <v>27247</v>
      </c>
      <c r="H12030" t="s">
        <v>27248</v>
      </c>
      <c r="I12030" t="s">
        <v>50504</v>
      </c>
      <c r="J12030" t="s">
        <v>24069</v>
      </c>
      <c r="L12030" t="s">
        <v>27250</v>
      </c>
      <c r="M12030" t="s">
        <v>27251</v>
      </c>
      <c r="N12030" t="s">
        <v>27252</v>
      </c>
      <c r="Q12030" s="1">
        <v>44538</v>
      </c>
      <c r="R12030" t="s">
        <v>27253</v>
      </c>
      <c r="S12030" t="s">
        <v>27254</v>
      </c>
      <c r="T12030" t="s">
        <v>27269</v>
      </c>
    </row>
    <row r="12031" spans="1:20" x14ac:dyDescent="0.3">
      <c r="A12031" t="str">
        <f>"0611835794025"</f>
        <v>0611835794025</v>
      </c>
      <c r="B12031" t="str">
        <f>"MC4358"</f>
        <v>MC4358</v>
      </c>
      <c r="C12031" t="s">
        <v>50505</v>
      </c>
      <c r="D12031" t="s">
        <v>27267</v>
      </c>
      <c r="E12031" t="str">
        <f t="shared" si="187"/>
        <v>001390</v>
      </c>
      <c r="F12031" t="s">
        <v>27246</v>
      </c>
      <c r="G12031" t="s">
        <v>27247</v>
      </c>
      <c r="H12031" t="s">
        <v>27248</v>
      </c>
      <c r="I12031" t="s">
        <v>50506</v>
      </c>
      <c r="J12031" t="s">
        <v>24071</v>
      </c>
      <c r="L12031" t="s">
        <v>27250</v>
      </c>
      <c r="M12031" t="s">
        <v>27251</v>
      </c>
      <c r="N12031" t="s">
        <v>27252</v>
      </c>
      <c r="Q12031" s="1">
        <v>44538</v>
      </c>
      <c r="R12031" t="s">
        <v>27253</v>
      </c>
      <c r="S12031" t="s">
        <v>27254</v>
      </c>
      <c r="T12031" t="s">
        <v>27269</v>
      </c>
    </row>
    <row r="12032" spans="1:20" x14ac:dyDescent="0.3">
      <c r="A12032" t="str">
        <f>"0611835753025"</f>
        <v>0611835753025</v>
      </c>
      <c r="B12032" t="str">
        <f>"MC3618"</f>
        <v>MC3618</v>
      </c>
      <c r="C12032" t="s">
        <v>50507</v>
      </c>
      <c r="D12032" t="s">
        <v>27267</v>
      </c>
      <c r="E12032" t="str">
        <f t="shared" si="187"/>
        <v>001390</v>
      </c>
      <c r="F12032" t="s">
        <v>27246</v>
      </c>
      <c r="G12032" t="s">
        <v>27247</v>
      </c>
      <c r="H12032" t="s">
        <v>27248</v>
      </c>
      <c r="I12032" t="s">
        <v>50508</v>
      </c>
      <c r="J12032" t="s">
        <v>24073</v>
      </c>
      <c r="L12032" t="s">
        <v>27250</v>
      </c>
      <c r="M12032" t="s">
        <v>27251</v>
      </c>
      <c r="N12032" t="s">
        <v>27252</v>
      </c>
      <c r="Q12032" s="1">
        <v>44538</v>
      </c>
      <c r="R12032" t="s">
        <v>27253</v>
      </c>
      <c r="S12032" t="s">
        <v>27254</v>
      </c>
      <c r="T12032" t="s">
        <v>27269</v>
      </c>
    </row>
    <row r="12033" spans="1:20" x14ac:dyDescent="0.3">
      <c r="A12033" t="str">
        <f>"0611835748025"</f>
        <v>0611835748025</v>
      </c>
      <c r="B12033" t="str">
        <f>"MC4273"</f>
        <v>MC4273</v>
      </c>
      <c r="C12033" t="s">
        <v>50509</v>
      </c>
      <c r="D12033" t="s">
        <v>27267</v>
      </c>
      <c r="E12033" t="str">
        <f t="shared" si="187"/>
        <v>001390</v>
      </c>
      <c r="F12033" t="s">
        <v>27246</v>
      </c>
      <c r="G12033" t="s">
        <v>27247</v>
      </c>
      <c r="H12033" t="s">
        <v>27248</v>
      </c>
      <c r="I12033" t="s">
        <v>50510</v>
      </c>
      <c r="J12033" t="s">
        <v>24075</v>
      </c>
      <c r="L12033" t="s">
        <v>27250</v>
      </c>
      <c r="M12033" t="s">
        <v>27251</v>
      </c>
      <c r="N12033" t="s">
        <v>27252</v>
      </c>
      <c r="Q12033" s="1">
        <v>44538</v>
      </c>
      <c r="R12033" t="s">
        <v>27253</v>
      </c>
      <c r="S12033" t="s">
        <v>27254</v>
      </c>
      <c r="T12033" t="s">
        <v>27269</v>
      </c>
    </row>
    <row r="12034" spans="1:20" x14ac:dyDescent="0.3">
      <c r="A12034" t="str">
        <f>"0611857118025"</f>
        <v>0611857118025</v>
      </c>
      <c r="B12034" t="str">
        <f>"MC4430"</f>
        <v>MC4430</v>
      </c>
      <c r="C12034" t="s">
        <v>50511</v>
      </c>
      <c r="D12034" t="s">
        <v>27267</v>
      </c>
      <c r="E12034" t="str">
        <f t="shared" ref="E12034:E12097" si="188">"001390"</f>
        <v>001390</v>
      </c>
      <c r="F12034" t="s">
        <v>27246</v>
      </c>
      <c r="G12034" t="s">
        <v>27247</v>
      </c>
      <c r="H12034" t="s">
        <v>27248</v>
      </c>
      <c r="I12034" t="s">
        <v>50512</v>
      </c>
      <c r="J12034" t="s">
        <v>24077</v>
      </c>
      <c r="L12034" t="s">
        <v>27250</v>
      </c>
      <c r="M12034" t="s">
        <v>27251</v>
      </c>
      <c r="N12034" t="s">
        <v>27252</v>
      </c>
      <c r="Q12034" s="1">
        <v>44812</v>
      </c>
      <c r="R12034" t="s">
        <v>27253</v>
      </c>
      <c r="S12034" t="s">
        <v>27254</v>
      </c>
      <c r="T12034" t="s">
        <v>27269</v>
      </c>
    </row>
    <row r="12035" spans="1:20" x14ac:dyDescent="0.3">
      <c r="A12035" t="str">
        <f>"0611835749025"</f>
        <v>0611835749025</v>
      </c>
      <c r="B12035" t="str">
        <f>"MC4083"</f>
        <v>MC4083</v>
      </c>
      <c r="C12035" t="s">
        <v>50513</v>
      </c>
      <c r="D12035" t="s">
        <v>27267</v>
      </c>
      <c r="E12035" t="str">
        <f t="shared" si="188"/>
        <v>001390</v>
      </c>
      <c r="F12035" t="s">
        <v>27246</v>
      </c>
      <c r="G12035" t="s">
        <v>27247</v>
      </c>
      <c r="H12035" t="s">
        <v>27248</v>
      </c>
      <c r="I12035" t="s">
        <v>50514</v>
      </c>
      <c r="J12035" t="s">
        <v>24079</v>
      </c>
      <c r="L12035" t="s">
        <v>27250</v>
      </c>
      <c r="M12035" t="s">
        <v>27251</v>
      </c>
      <c r="N12035" t="s">
        <v>27252</v>
      </c>
      <c r="Q12035" s="1">
        <v>44538</v>
      </c>
      <c r="R12035" t="s">
        <v>27253</v>
      </c>
      <c r="S12035" t="s">
        <v>27254</v>
      </c>
      <c r="T12035" t="s">
        <v>27269</v>
      </c>
    </row>
    <row r="12036" spans="1:20" x14ac:dyDescent="0.3">
      <c r="A12036" t="str">
        <f>"0611857119025"</f>
        <v>0611857119025</v>
      </c>
      <c r="B12036" t="str">
        <f>"MC4431"</f>
        <v>MC4431</v>
      </c>
      <c r="C12036" t="s">
        <v>50515</v>
      </c>
      <c r="D12036" t="s">
        <v>27267</v>
      </c>
      <c r="E12036" t="str">
        <f t="shared" si="188"/>
        <v>001390</v>
      </c>
      <c r="F12036" t="s">
        <v>27246</v>
      </c>
      <c r="G12036" t="s">
        <v>27247</v>
      </c>
      <c r="H12036" t="s">
        <v>27248</v>
      </c>
      <c r="I12036" t="s">
        <v>50516</v>
      </c>
      <c r="J12036" t="s">
        <v>24081</v>
      </c>
      <c r="L12036" t="s">
        <v>27250</v>
      </c>
      <c r="M12036" t="s">
        <v>27251</v>
      </c>
      <c r="N12036" t="s">
        <v>27252</v>
      </c>
      <c r="Q12036" s="1">
        <v>44812</v>
      </c>
      <c r="R12036" t="s">
        <v>27253</v>
      </c>
      <c r="S12036" t="s">
        <v>27254</v>
      </c>
      <c r="T12036" t="s">
        <v>27269</v>
      </c>
    </row>
    <row r="12037" spans="1:20" x14ac:dyDescent="0.3">
      <c r="A12037" t="str">
        <f>"0611835754025"</f>
        <v>0611835754025</v>
      </c>
      <c r="B12037" t="str">
        <f>"MC4274"</f>
        <v>MC4274</v>
      </c>
      <c r="C12037" t="s">
        <v>50517</v>
      </c>
      <c r="D12037" t="s">
        <v>27267</v>
      </c>
      <c r="E12037" t="str">
        <f t="shared" si="188"/>
        <v>001390</v>
      </c>
      <c r="F12037" t="s">
        <v>27246</v>
      </c>
      <c r="G12037" t="s">
        <v>27247</v>
      </c>
      <c r="H12037" t="s">
        <v>27248</v>
      </c>
      <c r="I12037" t="s">
        <v>50518</v>
      </c>
      <c r="J12037" t="s">
        <v>24083</v>
      </c>
      <c r="L12037" t="s">
        <v>27250</v>
      </c>
      <c r="M12037" t="s">
        <v>27251</v>
      </c>
      <c r="N12037" t="s">
        <v>27252</v>
      </c>
      <c r="Q12037" s="1">
        <v>44538</v>
      </c>
      <c r="R12037" t="s">
        <v>27253</v>
      </c>
      <c r="S12037" t="s">
        <v>27254</v>
      </c>
      <c r="T12037" t="s">
        <v>27269</v>
      </c>
    </row>
    <row r="12038" spans="1:20" x14ac:dyDescent="0.3">
      <c r="A12038" t="str">
        <f>"0611835750025"</f>
        <v>0611835750025</v>
      </c>
      <c r="B12038" t="str">
        <f>"MC4275"</f>
        <v>MC4275</v>
      </c>
      <c r="C12038" t="s">
        <v>50519</v>
      </c>
      <c r="D12038" t="s">
        <v>27267</v>
      </c>
      <c r="E12038" t="str">
        <f t="shared" si="188"/>
        <v>001390</v>
      </c>
      <c r="F12038" t="s">
        <v>27246</v>
      </c>
      <c r="G12038" t="s">
        <v>27247</v>
      </c>
      <c r="H12038" t="s">
        <v>27248</v>
      </c>
      <c r="I12038" t="s">
        <v>50520</v>
      </c>
      <c r="J12038" t="s">
        <v>24085</v>
      </c>
      <c r="L12038" t="s">
        <v>27250</v>
      </c>
      <c r="M12038" t="s">
        <v>27251</v>
      </c>
      <c r="N12038" t="s">
        <v>27252</v>
      </c>
      <c r="Q12038" s="1">
        <v>44538</v>
      </c>
      <c r="R12038" t="s">
        <v>27253</v>
      </c>
      <c r="S12038" t="s">
        <v>27254</v>
      </c>
      <c r="T12038" t="s">
        <v>27269</v>
      </c>
    </row>
    <row r="12039" spans="1:20" x14ac:dyDescent="0.3">
      <c r="A12039" t="str">
        <f>"0611835714025"</f>
        <v>0611835714025</v>
      </c>
      <c r="B12039" t="str">
        <f>"MC3913"</f>
        <v>MC3913</v>
      </c>
      <c r="C12039" t="s">
        <v>50521</v>
      </c>
      <c r="D12039" t="s">
        <v>27267</v>
      </c>
      <c r="E12039" t="str">
        <f t="shared" si="188"/>
        <v>001390</v>
      </c>
      <c r="F12039" t="s">
        <v>27246</v>
      </c>
      <c r="G12039" t="s">
        <v>27247</v>
      </c>
      <c r="H12039" t="s">
        <v>27248</v>
      </c>
      <c r="I12039" t="s">
        <v>50522</v>
      </c>
      <c r="J12039" t="s">
        <v>24087</v>
      </c>
      <c r="L12039" t="s">
        <v>27250</v>
      </c>
      <c r="M12039" t="s">
        <v>27251</v>
      </c>
      <c r="N12039" t="s">
        <v>27252</v>
      </c>
      <c r="Q12039" s="1">
        <v>44538</v>
      </c>
      <c r="R12039" t="s">
        <v>27253</v>
      </c>
      <c r="S12039" t="s">
        <v>27254</v>
      </c>
      <c r="T12039" t="s">
        <v>27269</v>
      </c>
    </row>
    <row r="12040" spans="1:20" x14ac:dyDescent="0.3">
      <c r="A12040" t="str">
        <f>"0611835795025"</f>
        <v>0611835795025</v>
      </c>
      <c r="B12040" t="str">
        <f>"MC4395"</f>
        <v>MC4395</v>
      </c>
      <c r="C12040" t="s">
        <v>50523</v>
      </c>
      <c r="D12040" t="s">
        <v>27267</v>
      </c>
      <c r="E12040" t="str">
        <f t="shared" si="188"/>
        <v>001390</v>
      </c>
      <c r="F12040" t="s">
        <v>27246</v>
      </c>
      <c r="G12040" t="s">
        <v>27247</v>
      </c>
      <c r="H12040" t="s">
        <v>27248</v>
      </c>
      <c r="I12040" t="s">
        <v>50524</v>
      </c>
      <c r="J12040" t="s">
        <v>24089</v>
      </c>
      <c r="L12040" t="s">
        <v>27250</v>
      </c>
      <c r="M12040" t="s">
        <v>27251</v>
      </c>
      <c r="N12040" t="s">
        <v>27252</v>
      </c>
      <c r="Q12040" s="1">
        <v>44538</v>
      </c>
      <c r="R12040" t="s">
        <v>27253</v>
      </c>
      <c r="S12040" t="s">
        <v>27254</v>
      </c>
      <c r="T12040" t="s">
        <v>27269</v>
      </c>
    </row>
    <row r="12041" spans="1:20" x14ac:dyDescent="0.3">
      <c r="A12041" t="str">
        <f>"0611835715025"</f>
        <v>0611835715025</v>
      </c>
      <c r="B12041" t="str">
        <f>"MC4006"</f>
        <v>MC4006</v>
      </c>
      <c r="C12041" t="s">
        <v>50525</v>
      </c>
      <c r="D12041" t="s">
        <v>27267</v>
      </c>
      <c r="E12041" t="str">
        <f t="shared" si="188"/>
        <v>001390</v>
      </c>
      <c r="F12041" t="s">
        <v>27246</v>
      </c>
      <c r="G12041" t="s">
        <v>27247</v>
      </c>
      <c r="H12041" t="s">
        <v>27248</v>
      </c>
      <c r="I12041" t="s">
        <v>50526</v>
      </c>
      <c r="J12041" t="s">
        <v>24091</v>
      </c>
      <c r="L12041" t="s">
        <v>27250</v>
      </c>
      <c r="M12041" t="s">
        <v>27251</v>
      </c>
      <c r="N12041" t="s">
        <v>27252</v>
      </c>
      <c r="Q12041" s="1">
        <v>44538</v>
      </c>
      <c r="R12041" t="s">
        <v>27253</v>
      </c>
      <c r="S12041" t="s">
        <v>27254</v>
      </c>
      <c r="T12041" t="s">
        <v>27269</v>
      </c>
    </row>
    <row r="12042" spans="1:20" x14ac:dyDescent="0.3">
      <c r="A12042" t="str">
        <f>"0611835796025"</f>
        <v>0611835796025</v>
      </c>
      <c r="B12042" t="str">
        <f>"MC3623"</f>
        <v>MC3623</v>
      </c>
      <c r="C12042" t="s">
        <v>50527</v>
      </c>
      <c r="D12042" t="s">
        <v>27267</v>
      </c>
      <c r="E12042" t="str">
        <f t="shared" si="188"/>
        <v>001390</v>
      </c>
      <c r="F12042" t="s">
        <v>27246</v>
      </c>
      <c r="G12042" t="s">
        <v>27247</v>
      </c>
      <c r="H12042" t="s">
        <v>27248</v>
      </c>
      <c r="I12042" t="s">
        <v>50528</v>
      </c>
      <c r="J12042" t="s">
        <v>24093</v>
      </c>
      <c r="L12042" t="s">
        <v>27250</v>
      </c>
      <c r="M12042" t="s">
        <v>27251</v>
      </c>
      <c r="N12042" t="s">
        <v>27252</v>
      </c>
      <c r="Q12042" s="1">
        <v>44538</v>
      </c>
      <c r="R12042" t="s">
        <v>27253</v>
      </c>
      <c r="S12042" t="s">
        <v>27254</v>
      </c>
      <c r="T12042" t="s">
        <v>27269</v>
      </c>
    </row>
    <row r="12043" spans="1:20" x14ac:dyDescent="0.3">
      <c r="A12043" t="str">
        <f>"0611835751025"</f>
        <v>0611835751025</v>
      </c>
      <c r="B12043" t="str">
        <f>"MC3626"</f>
        <v>MC3626</v>
      </c>
      <c r="C12043" t="s">
        <v>50529</v>
      </c>
      <c r="D12043" t="s">
        <v>27267</v>
      </c>
      <c r="E12043" t="str">
        <f t="shared" si="188"/>
        <v>001390</v>
      </c>
      <c r="F12043" t="s">
        <v>27246</v>
      </c>
      <c r="G12043" t="s">
        <v>27247</v>
      </c>
      <c r="H12043" t="s">
        <v>27248</v>
      </c>
      <c r="I12043" t="s">
        <v>50530</v>
      </c>
      <c r="J12043" t="s">
        <v>24095</v>
      </c>
      <c r="L12043" t="s">
        <v>27250</v>
      </c>
      <c r="M12043" t="s">
        <v>27251</v>
      </c>
      <c r="N12043" t="s">
        <v>27252</v>
      </c>
      <c r="Q12043" s="1">
        <v>44538</v>
      </c>
      <c r="R12043" t="s">
        <v>27253</v>
      </c>
      <c r="S12043" t="s">
        <v>27254</v>
      </c>
      <c r="T12043" t="s">
        <v>27269</v>
      </c>
    </row>
    <row r="12044" spans="1:20" x14ac:dyDescent="0.3">
      <c r="A12044" t="str">
        <f>"0611835755025"</f>
        <v>0611835755025</v>
      </c>
      <c r="B12044" t="str">
        <f>"MC3625"</f>
        <v>MC3625</v>
      </c>
      <c r="C12044" t="s">
        <v>50531</v>
      </c>
      <c r="D12044" t="s">
        <v>27267</v>
      </c>
      <c r="E12044" t="str">
        <f t="shared" si="188"/>
        <v>001390</v>
      </c>
      <c r="F12044" t="s">
        <v>27246</v>
      </c>
      <c r="G12044" t="s">
        <v>27247</v>
      </c>
      <c r="H12044" t="s">
        <v>27248</v>
      </c>
      <c r="I12044" t="s">
        <v>50532</v>
      </c>
      <c r="J12044" t="s">
        <v>24097</v>
      </c>
      <c r="L12044" t="s">
        <v>27250</v>
      </c>
      <c r="M12044" t="s">
        <v>27251</v>
      </c>
      <c r="N12044" t="s">
        <v>27252</v>
      </c>
      <c r="Q12044" s="1">
        <v>44538</v>
      </c>
      <c r="R12044" t="s">
        <v>27253</v>
      </c>
      <c r="S12044" t="s">
        <v>27254</v>
      </c>
      <c r="T12044" t="s">
        <v>27269</v>
      </c>
    </row>
    <row r="12045" spans="1:20" x14ac:dyDescent="0.3">
      <c r="A12045" t="str">
        <f>"*49-1390"</f>
        <v>*49-1390</v>
      </c>
      <c r="B12045" t="str">
        <f>""</f>
        <v/>
      </c>
      <c r="C12045" t="s">
        <v>50533</v>
      </c>
      <c r="E12045" t="str">
        <f t="shared" si="188"/>
        <v>001390</v>
      </c>
      <c r="F12045" t="s">
        <v>27246</v>
      </c>
      <c r="G12045" t="s">
        <v>27247</v>
      </c>
      <c r="H12045" t="s">
        <v>27247</v>
      </c>
      <c r="I12045" t="s">
        <v>50534</v>
      </c>
      <c r="J12045" t="s">
        <v>50533</v>
      </c>
      <c r="Q12045" s="1">
        <v>40961</v>
      </c>
      <c r="R12045" t="s">
        <v>27253</v>
      </c>
    </row>
    <row r="12046" spans="1:20" x14ac:dyDescent="0.3">
      <c r="A12046" t="str">
        <f>"*061MISC"</f>
        <v>*061MISC</v>
      </c>
      <c r="B12046" t="str">
        <f>""</f>
        <v/>
      </c>
      <c r="C12046" t="s">
        <v>50535</v>
      </c>
      <c r="E12046" t="str">
        <f t="shared" si="188"/>
        <v>001390</v>
      </c>
      <c r="F12046" t="s">
        <v>27246</v>
      </c>
      <c r="G12046" t="s">
        <v>27247</v>
      </c>
      <c r="O12046">
        <v>366</v>
      </c>
      <c r="Q12046" s="1">
        <v>41579</v>
      </c>
      <c r="R12046" t="s">
        <v>27253</v>
      </c>
    </row>
    <row r="12047" spans="1:20" x14ac:dyDescent="0.3">
      <c r="A12047" t="str">
        <f>"0611831751100"</f>
        <v>0611831751100</v>
      </c>
      <c r="B12047" t="str">
        <f>"LL1321"</f>
        <v>LL1321</v>
      </c>
      <c r="C12047" t="s">
        <v>50536</v>
      </c>
      <c r="D12047" t="s">
        <v>27245</v>
      </c>
      <c r="E12047" t="str">
        <f t="shared" si="188"/>
        <v>001390</v>
      </c>
      <c r="F12047" t="s">
        <v>27246</v>
      </c>
      <c r="G12047" t="s">
        <v>27247</v>
      </c>
      <c r="H12047" t="s">
        <v>27248</v>
      </c>
      <c r="I12047" t="s">
        <v>50537</v>
      </c>
      <c r="J12047" t="s">
        <v>24099</v>
      </c>
      <c r="L12047" t="s">
        <v>27250</v>
      </c>
      <c r="M12047" t="s">
        <v>27251</v>
      </c>
      <c r="N12047" t="s">
        <v>27252</v>
      </c>
      <c r="Q12047" s="1">
        <v>44538</v>
      </c>
      <c r="R12047" t="s">
        <v>27253</v>
      </c>
      <c r="S12047" t="s">
        <v>27254</v>
      </c>
      <c r="T12047" t="s">
        <v>27255</v>
      </c>
    </row>
    <row r="12048" spans="1:20" x14ac:dyDescent="0.3">
      <c r="A12048" t="str">
        <f>"0611831753100"</f>
        <v>0611831753100</v>
      </c>
      <c r="B12048" t="str">
        <f>"LL5011"</f>
        <v>LL5011</v>
      </c>
      <c r="C12048" t="s">
        <v>50538</v>
      </c>
      <c r="D12048" t="s">
        <v>27245</v>
      </c>
      <c r="E12048" t="str">
        <f t="shared" si="188"/>
        <v>001390</v>
      </c>
      <c r="F12048" t="s">
        <v>27246</v>
      </c>
      <c r="G12048" t="s">
        <v>27247</v>
      </c>
      <c r="H12048" t="s">
        <v>27248</v>
      </c>
      <c r="I12048" t="s">
        <v>50539</v>
      </c>
      <c r="J12048" t="s">
        <v>24103</v>
      </c>
      <c r="L12048" t="s">
        <v>27250</v>
      </c>
      <c r="M12048" t="s">
        <v>27251</v>
      </c>
      <c r="N12048" t="s">
        <v>27252</v>
      </c>
      <c r="Q12048" s="1">
        <v>44538</v>
      </c>
      <c r="R12048" t="s">
        <v>27253</v>
      </c>
      <c r="S12048" t="s">
        <v>27254</v>
      </c>
      <c r="T12048" t="s">
        <v>27255</v>
      </c>
    </row>
    <row r="12049" spans="1:20" x14ac:dyDescent="0.3">
      <c r="A12049" t="str">
        <f>"0611831760100"</f>
        <v>0611831760100</v>
      </c>
      <c r="B12049" t="str">
        <f>"LL8020"</f>
        <v>LL8020</v>
      </c>
      <c r="C12049" t="s">
        <v>50540</v>
      </c>
      <c r="D12049" t="s">
        <v>27245</v>
      </c>
      <c r="E12049" t="str">
        <f t="shared" si="188"/>
        <v>001390</v>
      </c>
      <c r="F12049" t="s">
        <v>27246</v>
      </c>
      <c r="G12049" t="s">
        <v>27247</v>
      </c>
      <c r="H12049" t="s">
        <v>27248</v>
      </c>
      <c r="I12049" t="s">
        <v>50541</v>
      </c>
      <c r="J12049" t="s">
        <v>24105</v>
      </c>
      <c r="L12049" t="s">
        <v>27250</v>
      </c>
      <c r="M12049" t="s">
        <v>27251</v>
      </c>
      <c r="N12049" t="s">
        <v>27252</v>
      </c>
      <c r="Q12049" s="1">
        <v>44538</v>
      </c>
      <c r="R12049" t="s">
        <v>27253</v>
      </c>
      <c r="S12049" t="s">
        <v>27254</v>
      </c>
      <c r="T12049" t="s">
        <v>27255</v>
      </c>
    </row>
    <row r="12050" spans="1:20" x14ac:dyDescent="0.3">
      <c r="A12050" t="str">
        <f>"0611831755100"</f>
        <v>0611831755100</v>
      </c>
      <c r="B12050" t="str">
        <f>"LL1320"</f>
        <v>LL1320</v>
      </c>
      <c r="C12050" t="s">
        <v>50542</v>
      </c>
      <c r="D12050" t="s">
        <v>27245</v>
      </c>
      <c r="E12050" t="str">
        <f t="shared" si="188"/>
        <v>001390</v>
      </c>
      <c r="F12050" t="s">
        <v>27246</v>
      </c>
      <c r="G12050" t="s">
        <v>27247</v>
      </c>
      <c r="H12050" t="s">
        <v>27248</v>
      </c>
      <c r="I12050" t="s">
        <v>50543</v>
      </c>
      <c r="J12050" t="s">
        <v>24107</v>
      </c>
      <c r="L12050" t="s">
        <v>27250</v>
      </c>
      <c r="M12050" t="s">
        <v>27251</v>
      </c>
      <c r="N12050" t="s">
        <v>27252</v>
      </c>
      <c r="Q12050" s="1">
        <v>44538</v>
      </c>
      <c r="R12050" t="s">
        <v>27253</v>
      </c>
      <c r="S12050" t="s">
        <v>27254</v>
      </c>
      <c r="T12050" t="s">
        <v>27255</v>
      </c>
    </row>
    <row r="12051" spans="1:20" x14ac:dyDescent="0.3">
      <c r="A12051" t="str">
        <f>"0611831756100"</f>
        <v>0611831756100</v>
      </c>
      <c r="B12051" t="str">
        <f>"LL8077"</f>
        <v>LL8077</v>
      </c>
      <c r="C12051" t="s">
        <v>50544</v>
      </c>
      <c r="D12051" t="s">
        <v>27245</v>
      </c>
      <c r="E12051" t="str">
        <f t="shared" si="188"/>
        <v>001390</v>
      </c>
      <c r="F12051" t="s">
        <v>27246</v>
      </c>
      <c r="G12051" t="s">
        <v>27247</v>
      </c>
      <c r="H12051" t="s">
        <v>27248</v>
      </c>
      <c r="I12051" t="s">
        <v>50545</v>
      </c>
      <c r="J12051" t="s">
        <v>24109</v>
      </c>
      <c r="L12051" t="s">
        <v>27250</v>
      </c>
      <c r="M12051" t="s">
        <v>27251</v>
      </c>
      <c r="N12051" t="s">
        <v>27252</v>
      </c>
      <c r="Q12051" s="1">
        <v>44538</v>
      </c>
      <c r="R12051" t="s">
        <v>27253</v>
      </c>
      <c r="S12051" t="s">
        <v>27254</v>
      </c>
      <c r="T12051" t="s">
        <v>27255</v>
      </c>
    </row>
    <row r="12052" spans="1:20" x14ac:dyDescent="0.3">
      <c r="A12052" t="str">
        <f>"0611831757100"</f>
        <v>0611831757100</v>
      </c>
      <c r="B12052" t="str">
        <f>"LL1330"</f>
        <v>LL1330</v>
      </c>
      <c r="C12052" t="s">
        <v>50546</v>
      </c>
      <c r="D12052" t="s">
        <v>27245</v>
      </c>
      <c r="E12052" t="str">
        <f t="shared" si="188"/>
        <v>001390</v>
      </c>
      <c r="F12052" t="s">
        <v>27246</v>
      </c>
      <c r="G12052" t="s">
        <v>27247</v>
      </c>
      <c r="H12052" t="s">
        <v>27248</v>
      </c>
      <c r="I12052" t="s">
        <v>50547</v>
      </c>
      <c r="J12052" t="s">
        <v>24111</v>
      </c>
      <c r="L12052" t="s">
        <v>27250</v>
      </c>
      <c r="M12052" t="s">
        <v>27251</v>
      </c>
      <c r="N12052" t="s">
        <v>27252</v>
      </c>
      <c r="Q12052" s="1">
        <v>44538</v>
      </c>
      <c r="R12052" t="s">
        <v>27253</v>
      </c>
      <c r="S12052" t="s">
        <v>27254</v>
      </c>
      <c r="T12052" t="s">
        <v>27255</v>
      </c>
    </row>
    <row r="12053" spans="1:20" x14ac:dyDescent="0.3">
      <c r="A12053" t="str">
        <f>"0611831758100"</f>
        <v>0611831758100</v>
      </c>
      <c r="B12053" t="str">
        <f>"LL1322"</f>
        <v>LL1322</v>
      </c>
      <c r="C12053" t="s">
        <v>50548</v>
      </c>
      <c r="D12053" t="s">
        <v>27245</v>
      </c>
      <c r="E12053" t="str">
        <f t="shared" si="188"/>
        <v>001390</v>
      </c>
      <c r="F12053" t="s">
        <v>27246</v>
      </c>
      <c r="G12053" t="s">
        <v>27247</v>
      </c>
      <c r="H12053" t="s">
        <v>27248</v>
      </c>
      <c r="I12053" t="s">
        <v>50549</v>
      </c>
      <c r="J12053" t="s">
        <v>24113</v>
      </c>
      <c r="L12053" t="s">
        <v>27250</v>
      </c>
      <c r="M12053" t="s">
        <v>27251</v>
      </c>
      <c r="N12053" t="s">
        <v>27252</v>
      </c>
      <c r="Q12053" s="1">
        <v>44538</v>
      </c>
      <c r="R12053" t="s">
        <v>27253</v>
      </c>
      <c r="S12053" t="s">
        <v>27254</v>
      </c>
      <c r="T12053" t="s">
        <v>27255</v>
      </c>
    </row>
    <row r="12054" spans="1:20" x14ac:dyDescent="0.3">
      <c r="A12054" t="str">
        <f>"0611831759100"</f>
        <v>0611831759100</v>
      </c>
      <c r="B12054" t="str">
        <f>"LL1323"</f>
        <v>LL1323</v>
      </c>
      <c r="C12054" t="s">
        <v>50550</v>
      </c>
      <c r="D12054" t="s">
        <v>27245</v>
      </c>
      <c r="E12054" t="str">
        <f t="shared" si="188"/>
        <v>001390</v>
      </c>
      <c r="F12054" t="s">
        <v>27246</v>
      </c>
      <c r="G12054" t="s">
        <v>27247</v>
      </c>
      <c r="H12054" t="s">
        <v>27248</v>
      </c>
      <c r="I12054" t="s">
        <v>50551</v>
      </c>
      <c r="J12054" t="s">
        <v>24115</v>
      </c>
      <c r="L12054" t="s">
        <v>27250</v>
      </c>
      <c r="M12054" t="s">
        <v>27251</v>
      </c>
      <c r="N12054" t="s">
        <v>27252</v>
      </c>
      <c r="Q12054" s="1">
        <v>44538</v>
      </c>
      <c r="R12054" t="s">
        <v>27253</v>
      </c>
      <c r="S12054" t="s">
        <v>27254</v>
      </c>
      <c r="T12054" t="s">
        <v>27255</v>
      </c>
    </row>
    <row r="12055" spans="1:20" x14ac:dyDescent="0.3">
      <c r="A12055" t="str">
        <f>"0611839510100"</f>
        <v>0611839510100</v>
      </c>
      <c r="B12055" t="str">
        <f>"LF7694"</f>
        <v>LF7694</v>
      </c>
      <c r="C12055" t="s">
        <v>50552</v>
      </c>
      <c r="D12055" t="s">
        <v>27245</v>
      </c>
      <c r="E12055" t="str">
        <f t="shared" si="188"/>
        <v>001390</v>
      </c>
      <c r="F12055" t="s">
        <v>27246</v>
      </c>
      <c r="G12055" t="s">
        <v>27247</v>
      </c>
      <c r="H12055" t="s">
        <v>27248</v>
      </c>
      <c r="I12055" t="s">
        <v>50553</v>
      </c>
      <c r="J12055" t="s">
        <v>24117</v>
      </c>
      <c r="L12055" t="s">
        <v>27250</v>
      </c>
      <c r="M12055" t="s">
        <v>27251</v>
      </c>
      <c r="N12055" t="s">
        <v>27252</v>
      </c>
      <c r="Q12055" s="1">
        <v>44538</v>
      </c>
      <c r="R12055" t="s">
        <v>27253</v>
      </c>
      <c r="S12055" t="s">
        <v>27254</v>
      </c>
      <c r="T12055" t="s">
        <v>27255</v>
      </c>
    </row>
    <row r="12056" spans="1:20" x14ac:dyDescent="0.3">
      <c r="A12056" t="str">
        <f>"0611857122200"</f>
        <v>0611857122200</v>
      </c>
      <c r="B12056" t="str">
        <f>"KN0141"</f>
        <v>KN0141</v>
      </c>
      <c r="C12056" t="s">
        <v>50554</v>
      </c>
      <c r="D12056" t="s">
        <v>27682</v>
      </c>
      <c r="E12056" t="str">
        <f t="shared" si="188"/>
        <v>001390</v>
      </c>
      <c r="F12056" t="s">
        <v>27246</v>
      </c>
      <c r="G12056" t="s">
        <v>27247</v>
      </c>
      <c r="H12056" t="s">
        <v>27248</v>
      </c>
      <c r="I12056" t="s">
        <v>50555</v>
      </c>
      <c r="J12056" t="s">
        <v>24119</v>
      </c>
      <c r="L12056" t="s">
        <v>27250</v>
      </c>
      <c r="M12056" t="s">
        <v>27251</v>
      </c>
      <c r="N12056" t="s">
        <v>27252</v>
      </c>
      <c r="Q12056" s="1">
        <v>44812</v>
      </c>
      <c r="R12056" t="s">
        <v>27253</v>
      </c>
      <c r="S12056" t="s">
        <v>27254</v>
      </c>
      <c r="T12056" t="s">
        <v>27684</v>
      </c>
    </row>
    <row r="12057" spans="1:20" x14ac:dyDescent="0.3">
      <c r="A12057" t="str">
        <f>"0611515685100"</f>
        <v>0611515685100</v>
      </c>
      <c r="B12057" t="str">
        <f>""</f>
        <v/>
      </c>
      <c r="C12057" t="s">
        <v>50556</v>
      </c>
      <c r="D12057" t="s">
        <v>27245</v>
      </c>
      <c r="E12057" t="str">
        <f t="shared" si="188"/>
        <v>001390</v>
      </c>
      <c r="F12057" t="s">
        <v>27246</v>
      </c>
      <c r="G12057" t="s">
        <v>27247</v>
      </c>
      <c r="H12057" t="s">
        <v>27248</v>
      </c>
      <c r="I12057" t="s">
        <v>50557</v>
      </c>
      <c r="J12057" t="s">
        <v>24121</v>
      </c>
      <c r="L12057" t="s">
        <v>27250</v>
      </c>
      <c r="M12057" t="s">
        <v>27251</v>
      </c>
      <c r="N12057" t="s">
        <v>27252</v>
      </c>
      <c r="O12057">
        <v>208100</v>
      </c>
      <c r="Q12057" s="1">
        <v>41656</v>
      </c>
      <c r="R12057" t="s">
        <v>27253</v>
      </c>
      <c r="S12057" t="s">
        <v>27254</v>
      </c>
      <c r="T12057" t="s">
        <v>27255</v>
      </c>
    </row>
    <row r="12058" spans="1:20" x14ac:dyDescent="0.3">
      <c r="A12058" t="str">
        <f>"0611515688050"</f>
        <v>0611515688050</v>
      </c>
      <c r="B12058" t="str">
        <f>""</f>
        <v/>
      </c>
      <c r="C12058" t="s">
        <v>50558</v>
      </c>
      <c r="D12058" t="s">
        <v>50559</v>
      </c>
      <c r="E12058" t="str">
        <f t="shared" si="188"/>
        <v>001390</v>
      </c>
      <c r="F12058" t="s">
        <v>27246</v>
      </c>
      <c r="G12058" t="s">
        <v>27247</v>
      </c>
      <c r="H12058" t="s">
        <v>27248</v>
      </c>
      <c r="I12058" t="s">
        <v>50560</v>
      </c>
      <c r="J12058" t="s">
        <v>24123</v>
      </c>
      <c r="L12058" t="s">
        <v>27250</v>
      </c>
      <c r="M12058" t="s">
        <v>27251</v>
      </c>
      <c r="N12058" t="s">
        <v>27252</v>
      </c>
      <c r="O12058">
        <v>1050</v>
      </c>
      <c r="Q12058" s="1">
        <v>41656</v>
      </c>
      <c r="R12058" t="s">
        <v>27253</v>
      </c>
      <c r="S12058" t="s">
        <v>27254</v>
      </c>
      <c r="T12058" t="s">
        <v>27269</v>
      </c>
    </row>
    <row r="12059" spans="1:20" x14ac:dyDescent="0.3">
      <c r="A12059" t="str">
        <f>"0611867844050"</f>
        <v>0611867844050</v>
      </c>
      <c r="B12059" t="str">
        <f>""</f>
        <v/>
      </c>
      <c r="C12059" t="s">
        <v>50561</v>
      </c>
      <c r="D12059" t="s">
        <v>27286</v>
      </c>
      <c r="E12059" t="str">
        <f t="shared" si="188"/>
        <v>001390</v>
      </c>
      <c r="F12059" t="s">
        <v>27246</v>
      </c>
      <c r="G12059" t="s">
        <v>27247</v>
      </c>
      <c r="H12059" t="s">
        <v>27248</v>
      </c>
      <c r="I12059" t="s">
        <v>50562</v>
      </c>
      <c r="J12059" t="s">
        <v>23396</v>
      </c>
      <c r="L12059" t="s">
        <v>27250</v>
      </c>
      <c r="M12059" t="s">
        <v>27251</v>
      </c>
      <c r="N12059" t="s">
        <v>27252</v>
      </c>
      <c r="O12059">
        <v>31100</v>
      </c>
      <c r="Q12059" s="1">
        <v>44932</v>
      </c>
      <c r="R12059" t="s">
        <v>27253</v>
      </c>
      <c r="S12059" t="s">
        <v>27254</v>
      </c>
      <c r="T12059" t="s">
        <v>27265</v>
      </c>
    </row>
    <row r="12060" spans="1:20" x14ac:dyDescent="0.3">
      <c r="A12060" t="str">
        <f>"0611882928100"</f>
        <v>0611882928100</v>
      </c>
      <c r="B12060" t="str">
        <f>""</f>
        <v/>
      </c>
      <c r="C12060" t="s">
        <v>50561</v>
      </c>
      <c r="D12060" t="s">
        <v>27245</v>
      </c>
      <c r="E12060" t="str">
        <f t="shared" si="188"/>
        <v>001390</v>
      </c>
      <c r="F12060" t="s">
        <v>27246</v>
      </c>
      <c r="G12060" t="s">
        <v>27247</v>
      </c>
      <c r="H12060" t="s">
        <v>27248</v>
      </c>
      <c r="I12060" t="s">
        <v>50563</v>
      </c>
      <c r="J12060" t="s">
        <v>23394</v>
      </c>
      <c r="L12060" t="s">
        <v>27430</v>
      </c>
      <c r="M12060" t="s">
        <v>27251</v>
      </c>
      <c r="N12060" t="s">
        <v>27252</v>
      </c>
      <c r="Q12060" s="1">
        <v>45155</v>
      </c>
      <c r="R12060" t="s">
        <v>27253</v>
      </c>
      <c r="S12060" t="s">
        <v>27254</v>
      </c>
      <c r="T12060" t="s">
        <v>27255</v>
      </c>
    </row>
    <row r="12061" spans="1:20" x14ac:dyDescent="0.3">
      <c r="A12061" t="str">
        <f>"0611820124250"</f>
        <v>0611820124250</v>
      </c>
      <c r="B12061" t="str">
        <f>"KN0192"</f>
        <v>KN0192</v>
      </c>
      <c r="C12061" t="s">
        <v>50564</v>
      </c>
      <c r="D12061" t="s">
        <v>50565</v>
      </c>
      <c r="E12061" t="str">
        <f t="shared" si="188"/>
        <v>001390</v>
      </c>
      <c r="F12061" t="s">
        <v>27246</v>
      </c>
      <c r="G12061" t="s">
        <v>27247</v>
      </c>
      <c r="H12061" t="s">
        <v>27248</v>
      </c>
      <c r="I12061" t="s">
        <v>50566</v>
      </c>
      <c r="J12061" t="s">
        <v>24125</v>
      </c>
      <c r="L12061" t="s">
        <v>27250</v>
      </c>
      <c r="M12061" t="s">
        <v>27251</v>
      </c>
      <c r="N12061" t="s">
        <v>27252</v>
      </c>
      <c r="Q12061" s="1">
        <v>44438</v>
      </c>
      <c r="R12061" t="s">
        <v>27253</v>
      </c>
      <c r="S12061" t="s">
        <v>27254</v>
      </c>
      <c r="T12061" t="s">
        <v>27684</v>
      </c>
    </row>
    <row r="12062" spans="1:20" x14ac:dyDescent="0.3">
      <c r="A12062" t="str">
        <f>"0611645907200"</f>
        <v>0611645907200</v>
      </c>
      <c r="B12062" t="str">
        <f>"ZC9224"</f>
        <v>ZC9224</v>
      </c>
      <c r="C12062" t="s">
        <v>50567</v>
      </c>
      <c r="D12062" t="s">
        <v>50568</v>
      </c>
      <c r="E12062" t="str">
        <f t="shared" si="188"/>
        <v>001390</v>
      </c>
      <c r="F12062" t="s">
        <v>27246</v>
      </c>
      <c r="G12062" t="s">
        <v>27247</v>
      </c>
      <c r="H12062" t="s">
        <v>27248</v>
      </c>
      <c r="I12062" t="s">
        <v>50569</v>
      </c>
      <c r="J12062" t="s">
        <v>24131</v>
      </c>
      <c r="L12062" t="s">
        <v>27250</v>
      </c>
      <c r="M12062" t="s">
        <v>27251</v>
      </c>
      <c r="N12062" t="s">
        <v>27252</v>
      </c>
      <c r="Q12062" s="1">
        <v>42331</v>
      </c>
      <c r="R12062" t="s">
        <v>27253</v>
      </c>
      <c r="S12062" t="s">
        <v>27254</v>
      </c>
      <c r="T12062" t="s">
        <v>27684</v>
      </c>
    </row>
    <row r="12063" spans="1:20" x14ac:dyDescent="0.3">
      <c r="A12063" t="str">
        <f>"0611645906200"</f>
        <v>0611645906200</v>
      </c>
      <c r="B12063" t="str">
        <f>"KO-KY"</f>
        <v>KO-KY</v>
      </c>
      <c r="C12063" t="s">
        <v>50570</v>
      </c>
      <c r="D12063" t="s">
        <v>50571</v>
      </c>
      <c r="E12063" t="str">
        <f t="shared" si="188"/>
        <v>001390</v>
      </c>
      <c r="F12063" t="s">
        <v>27246</v>
      </c>
      <c r="G12063" t="s">
        <v>27247</v>
      </c>
      <c r="H12063" t="s">
        <v>27248</v>
      </c>
      <c r="I12063" t="s">
        <v>50572</v>
      </c>
      <c r="J12063" t="s">
        <v>24139</v>
      </c>
      <c r="L12063" t="s">
        <v>27250</v>
      </c>
      <c r="M12063" t="s">
        <v>27251</v>
      </c>
      <c r="N12063" t="s">
        <v>27252</v>
      </c>
      <c r="O12063">
        <v>200</v>
      </c>
      <c r="Q12063" s="1">
        <v>42331</v>
      </c>
      <c r="R12063" t="s">
        <v>27253</v>
      </c>
      <c r="S12063" t="s">
        <v>27254</v>
      </c>
      <c r="T12063" t="s">
        <v>27684</v>
      </c>
    </row>
    <row r="12064" spans="1:20" x14ac:dyDescent="0.3">
      <c r="A12064" t="str">
        <f>"0611645909200"</f>
        <v>0611645909200</v>
      </c>
      <c r="B12064" t="str">
        <f>"KN0131"</f>
        <v>KN0131</v>
      </c>
      <c r="C12064" t="s">
        <v>50573</v>
      </c>
      <c r="D12064" t="s">
        <v>50568</v>
      </c>
      <c r="E12064" t="str">
        <f t="shared" si="188"/>
        <v>001390</v>
      </c>
      <c r="F12064" t="s">
        <v>27246</v>
      </c>
      <c r="G12064" t="s">
        <v>27247</v>
      </c>
      <c r="H12064" t="s">
        <v>27248</v>
      </c>
      <c r="I12064" t="s">
        <v>50574</v>
      </c>
      <c r="J12064" t="s">
        <v>24127</v>
      </c>
      <c r="L12064" t="s">
        <v>27250</v>
      </c>
      <c r="M12064" t="s">
        <v>27251</v>
      </c>
      <c r="N12064" t="s">
        <v>27252</v>
      </c>
      <c r="Q12064" s="1">
        <v>42331</v>
      </c>
      <c r="R12064" t="s">
        <v>27253</v>
      </c>
      <c r="S12064" t="s">
        <v>27254</v>
      </c>
      <c r="T12064" t="s">
        <v>27684</v>
      </c>
    </row>
    <row r="12065" spans="1:20" x14ac:dyDescent="0.3">
      <c r="A12065" t="str">
        <f>"06118201251000"</f>
        <v>06118201251000</v>
      </c>
      <c r="B12065" t="str">
        <f>"KN0141"</f>
        <v>KN0141</v>
      </c>
      <c r="C12065" t="s">
        <v>50575</v>
      </c>
      <c r="D12065" t="s">
        <v>50568</v>
      </c>
      <c r="E12065" t="str">
        <f t="shared" si="188"/>
        <v>001390</v>
      </c>
      <c r="F12065" t="s">
        <v>27246</v>
      </c>
      <c r="G12065" t="s">
        <v>27247</v>
      </c>
      <c r="H12065" t="s">
        <v>27248</v>
      </c>
      <c r="I12065" t="s">
        <v>50576</v>
      </c>
      <c r="J12065" t="s">
        <v>24129</v>
      </c>
      <c r="L12065" t="s">
        <v>27250</v>
      </c>
      <c r="M12065" t="s">
        <v>27251</v>
      </c>
      <c r="N12065" t="s">
        <v>27252</v>
      </c>
      <c r="Q12065" s="1">
        <v>44438</v>
      </c>
      <c r="R12065" t="s">
        <v>27253</v>
      </c>
      <c r="S12065" t="s">
        <v>27254</v>
      </c>
      <c r="T12065" t="s">
        <v>27684</v>
      </c>
    </row>
    <row r="12066" spans="1:20" x14ac:dyDescent="0.3">
      <c r="A12066" t="str">
        <f>"0611645911200"</f>
        <v>0611645911200</v>
      </c>
      <c r="B12066" t="str">
        <f>"KN0151"</f>
        <v>KN0151</v>
      </c>
      <c r="C12066" t="s">
        <v>50577</v>
      </c>
      <c r="D12066" t="s">
        <v>50568</v>
      </c>
      <c r="E12066" t="str">
        <f t="shared" si="188"/>
        <v>001390</v>
      </c>
      <c r="F12066" t="s">
        <v>27246</v>
      </c>
      <c r="G12066" t="s">
        <v>27247</v>
      </c>
      <c r="H12066" t="s">
        <v>27248</v>
      </c>
      <c r="I12066" t="s">
        <v>50578</v>
      </c>
      <c r="J12066" t="s">
        <v>24133</v>
      </c>
      <c r="L12066" t="s">
        <v>27250</v>
      </c>
      <c r="M12066" t="s">
        <v>27251</v>
      </c>
      <c r="N12066" t="s">
        <v>27252</v>
      </c>
      <c r="Q12066" s="1">
        <v>42331</v>
      </c>
      <c r="R12066" t="s">
        <v>27253</v>
      </c>
      <c r="S12066" t="s">
        <v>27254</v>
      </c>
      <c r="T12066" t="s">
        <v>27684</v>
      </c>
    </row>
    <row r="12067" spans="1:20" x14ac:dyDescent="0.3">
      <c r="A12067" t="str">
        <f>"0611645912200"</f>
        <v>0611645912200</v>
      </c>
      <c r="B12067" t="str">
        <f>"KN0161"</f>
        <v>KN0161</v>
      </c>
      <c r="C12067" t="s">
        <v>50579</v>
      </c>
      <c r="D12067" t="s">
        <v>50568</v>
      </c>
      <c r="E12067" t="str">
        <f t="shared" si="188"/>
        <v>001390</v>
      </c>
      <c r="F12067" t="s">
        <v>27246</v>
      </c>
      <c r="G12067" t="s">
        <v>27247</v>
      </c>
      <c r="H12067" t="s">
        <v>27248</v>
      </c>
      <c r="I12067" t="s">
        <v>50580</v>
      </c>
      <c r="J12067" t="s">
        <v>24135</v>
      </c>
      <c r="L12067" t="s">
        <v>27250</v>
      </c>
      <c r="M12067" t="s">
        <v>27251</v>
      </c>
      <c r="N12067" t="s">
        <v>27252</v>
      </c>
      <c r="Q12067" s="1">
        <v>42331</v>
      </c>
      <c r="R12067" t="s">
        <v>27253</v>
      </c>
      <c r="S12067" t="s">
        <v>27254</v>
      </c>
      <c r="T12067" t="s">
        <v>27684</v>
      </c>
    </row>
    <row r="12068" spans="1:20" x14ac:dyDescent="0.3">
      <c r="A12068" t="str">
        <f>"0611645913200"</f>
        <v>0611645913200</v>
      </c>
      <c r="B12068" t="str">
        <f>"KN0181"</f>
        <v>KN0181</v>
      </c>
      <c r="C12068" t="s">
        <v>50581</v>
      </c>
      <c r="D12068" t="s">
        <v>50568</v>
      </c>
      <c r="E12068" t="str">
        <f t="shared" si="188"/>
        <v>001390</v>
      </c>
      <c r="F12068" t="s">
        <v>27246</v>
      </c>
      <c r="G12068" t="s">
        <v>27247</v>
      </c>
      <c r="H12068" t="s">
        <v>27248</v>
      </c>
      <c r="I12068" t="s">
        <v>50582</v>
      </c>
      <c r="J12068" t="s">
        <v>24137</v>
      </c>
      <c r="L12068" t="s">
        <v>27250</v>
      </c>
      <c r="M12068" t="s">
        <v>27251</v>
      </c>
      <c r="N12068" t="s">
        <v>27252</v>
      </c>
      <c r="Q12068" s="1">
        <v>42331</v>
      </c>
      <c r="R12068" t="s">
        <v>27253</v>
      </c>
      <c r="S12068" t="s">
        <v>27254</v>
      </c>
      <c r="T12068" t="s">
        <v>27684</v>
      </c>
    </row>
    <row r="12069" spans="1:20" x14ac:dyDescent="0.3">
      <c r="A12069" t="str">
        <f>"0611857135200"</f>
        <v>0611857135200</v>
      </c>
      <c r="B12069" t="str">
        <f>"KO5613"</f>
        <v>KO5613</v>
      </c>
      <c r="C12069" t="s">
        <v>50583</v>
      </c>
      <c r="D12069" t="s">
        <v>27682</v>
      </c>
      <c r="E12069" t="str">
        <f t="shared" si="188"/>
        <v>001390</v>
      </c>
      <c r="F12069" t="s">
        <v>27246</v>
      </c>
      <c r="G12069" t="s">
        <v>27247</v>
      </c>
      <c r="H12069" t="s">
        <v>27248</v>
      </c>
      <c r="I12069" t="s">
        <v>50584</v>
      </c>
      <c r="J12069" t="s">
        <v>24141</v>
      </c>
      <c r="L12069" t="s">
        <v>27250</v>
      </c>
      <c r="M12069" t="s">
        <v>27251</v>
      </c>
      <c r="N12069" t="s">
        <v>27252</v>
      </c>
      <c r="Q12069" s="1">
        <v>44812</v>
      </c>
      <c r="R12069" t="s">
        <v>27253</v>
      </c>
      <c r="S12069" t="s">
        <v>27254</v>
      </c>
      <c r="T12069" t="s">
        <v>27684</v>
      </c>
    </row>
    <row r="12070" spans="1:20" x14ac:dyDescent="0.3">
      <c r="A12070" t="str">
        <f>"0611857136200"</f>
        <v>0611857136200</v>
      </c>
      <c r="B12070" t="str">
        <f>"KO5589"</f>
        <v>KO5589</v>
      </c>
      <c r="C12070" t="s">
        <v>50585</v>
      </c>
      <c r="D12070" t="s">
        <v>27682</v>
      </c>
      <c r="E12070" t="str">
        <f t="shared" si="188"/>
        <v>001390</v>
      </c>
      <c r="F12070" t="s">
        <v>27246</v>
      </c>
      <c r="G12070" t="s">
        <v>27247</v>
      </c>
      <c r="H12070" t="s">
        <v>27248</v>
      </c>
      <c r="I12070" t="s">
        <v>50586</v>
      </c>
      <c r="J12070" t="s">
        <v>24143</v>
      </c>
      <c r="L12070" t="s">
        <v>27250</v>
      </c>
      <c r="M12070" t="s">
        <v>27251</v>
      </c>
      <c r="N12070" t="s">
        <v>27252</v>
      </c>
      <c r="Q12070" s="1">
        <v>44812</v>
      </c>
      <c r="R12070" t="s">
        <v>27253</v>
      </c>
      <c r="S12070" t="s">
        <v>27254</v>
      </c>
      <c r="T12070" t="s">
        <v>27684</v>
      </c>
    </row>
    <row r="12071" spans="1:20" x14ac:dyDescent="0.3">
      <c r="A12071" t="str">
        <f>"0611857137200"</f>
        <v>0611857137200</v>
      </c>
      <c r="B12071" t="str">
        <f>"KO5591"</f>
        <v>KO5591</v>
      </c>
      <c r="C12071" t="s">
        <v>50587</v>
      </c>
      <c r="D12071" t="s">
        <v>27682</v>
      </c>
      <c r="E12071" t="str">
        <f t="shared" si="188"/>
        <v>001390</v>
      </c>
      <c r="F12071" t="s">
        <v>27246</v>
      </c>
      <c r="G12071" t="s">
        <v>27247</v>
      </c>
      <c r="H12071" t="s">
        <v>27248</v>
      </c>
      <c r="I12071" t="s">
        <v>50588</v>
      </c>
      <c r="J12071" t="s">
        <v>24145</v>
      </c>
      <c r="L12071" t="s">
        <v>27250</v>
      </c>
      <c r="M12071" t="s">
        <v>27251</v>
      </c>
      <c r="N12071" t="s">
        <v>27252</v>
      </c>
      <c r="Q12071" s="1">
        <v>44812</v>
      </c>
      <c r="R12071" t="s">
        <v>27253</v>
      </c>
      <c r="S12071" t="s">
        <v>27254</v>
      </c>
      <c r="T12071" t="s">
        <v>27684</v>
      </c>
    </row>
    <row r="12072" spans="1:20" x14ac:dyDescent="0.3">
      <c r="A12072" t="str">
        <f>"0611857138200"</f>
        <v>0611857138200</v>
      </c>
      <c r="B12072" t="str">
        <f>"KO5616"</f>
        <v>KO5616</v>
      </c>
      <c r="C12072" t="s">
        <v>50589</v>
      </c>
      <c r="D12072" t="s">
        <v>27682</v>
      </c>
      <c r="E12072" t="str">
        <f t="shared" si="188"/>
        <v>001390</v>
      </c>
      <c r="F12072" t="s">
        <v>27246</v>
      </c>
      <c r="G12072" t="s">
        <v>27247</v>
      </c>
      <c r="H12072" t="s">
        <v>27248</v>
      </c>
      <c r="I12072" t="s">
        <v>50590</v>
      </c>
      <c r="J12072" t="s">
        <v>24147</v>
      </c>
      <c r="L12072" t="s">
        <v>27250</v>
      </c>
      <c r="M12072" t="s">
        <v>27251</v>
      </c>
      <c r="N12072" t="s">
        <v>27252</v>
      </c>
      <c r="Q12072" s="1">
        <v>44812</v>
      </c>
      <c r="R12072" t="s">
        <v>27253</v>
      </c>
      <c r="S12072" t="s">
        <v>27254</v>
      </c>
      <c r="T12072" t="s">
        <v>27684</v>
      </c>
    </row>
    <row r="12073" spans="1:20" x14ac:dyDescent="0.3">
      <c r="A12073" t="str">
        <f>"0611857139200"</f>
        <v>0611857139200</v>
      </c>
      <c r="B12073" t="str">
        <f>"KO5617"</f>
        <v>KO5617</v>
      </c>
      <c r="C12073" t="s">
        <v>50591</v>
      </c>
      <c r="D12073" t="s">
        <v>27682</v>
      </c>
      <c r="E12073" t="str">
        <f t="shared" si="188"/>
        <v>001390</v>
      </c>
      <c r="F12073" t="s">
        <v>27246</v>
      </c>
      <c r="G12073" t="s">
        <v>27247</v>
      </c>
      <c r="H12073" t="s">
        <v>27248</v>
      </c>
      <c r="I12073" t="s">
        <v>50592</v>
      </c>
      <c r="J12073" t="s">
        <v>24149</v>
      </c>
      <c r="L12073" t="s">
        <v>27250</v>
      </c>
      <c r="M12073" t="s">
        <v>27251</v>
      </c>
      <c r="N12073" t="s">
        <v>27252</v>
      </c>
      <c r="Q12073" s="1">
        <v>44812</v>
      </c>
      <c r="R12073" t="s">
        <v>27253</v>
      </c>
      <c r="S12073" t="s">
        <v>27254</v>
      </c>
      <c r="T12073" t="s">
        <v>27684</v>
      </c>
    </row>
    <row r="12074" spans="1:20" x14ac:dyDescent="0.3">
      <c r="A12074" t="str">
        <f>"0611857140200"</f>
        <v>0611857140200</v>
      </c>
      <c r="B12074" t="str">
        <f>"KO5619"</f>
        <v>KO5619</v>
      </c>
      <c r="C12074" t="s">
        <v>50593</v>
      </c>
      <c r="D12074" t="s">
        <v>27682</v>
      </c>
      <c r="E12074" t="str">
        <f t="shared" si="188"/>
        <v>001390</v>
      </c>
      <c r="F12074" t="s">
        <v>27246</v>
      </c>
      <c r="G12074" t="s">
        <v>27247</v>
      </c>
      <c r="H12074" t="s">
        <v>27248</v>
      </c>
      <c r="I12074" t="s">
        <v>50594</v>
      </c>
      <c r="J12074" t="s">
        <v>24151</v>
      </c>
      <c r="L12074" t="s">
        <v>27250</v>
      </c>
      <c r="M12074" t="s">
        <v>27251</v>
      </c>
      <c r="N12074" t="s">
        <v>27252</v>
      </c>
      <c r="Q12074" s="1">
        <v>44812</v>
      </c>
      <c r="R12074" t="s">
        <v>27253</v>
      </c>
      <c r="S12074" t="s">
        <v>27254</v>
      </c>
      <c r="T12074" t="s">
        <v>27684</v>
      </c>
    </row>
    <row r="12075" spans="1:20" x14ac:dyDescent="0.3">
      <c r="A12075" t="str">
        <f>"0611857141200"</f>
        <v>0611857141200</v>
      </c>
      <c r="B12075" t="str">
        <f>"KO5614"</f>
        <v>KO5614</v>
      </c>
      <c r="C12075" t="s">
        <v>50595</v>
      </c>
      <c r="D12075" t="s">
        <v>27682</v>
      </c>
      <c r="E12075" t="str">
        <f t="shared" si="188"/>
        <v>001390</v>
      </c>
      <c r="F12075" t="s">
        <v>27246</v>
      </c>
      <c r="G12075" t="s">
        <v>27247</v>
      </c>
      <c r="H12075" t="s">
        <v>27248</v>
      </c>
      <c r="I12075" t="s">
        <v>50596</v>
      </c>
      <c r="J12075" t="s">
        <v>24153</v>
      </c>
      <c r="L12075" t="s">
        <v>27250</v>
      </c>
      <c r="M12075" t="s">
        <v>27251</v>
      </c>
      <c r="N12075" t="s">
        <v>27252</v>
      </c>
      <c r="Q12075" s="1">
        <v>44812</v>
      </c>
      <c r="R12075" t="s">
        <v>27253</v>
      </c>
      <c r="S12075" t="s">
        <v>27254</v>
      </c>
      <c r="T12075" t="s">
        <v>27684</v>
      </c>
    </row>
    <row r="12076" spans="1:20" x14ac:dyDescent="0.3">
      <c r="A12076" t="str">
        <f>"0611857142200"</f>
        <v>0611857142200</v>
      </c>
      <c r="B12076" t="str">
        <f>"KO5620"</f>
        <v>KO5620</v>
      </c>
      <c r="C12076" t="s">
        <v>50597</v>
      </c>
      <c r="D12076" t="s">
        <v>27682</v>
      </c>
      <c r="E12076" t="str">
        <f t="shared" si="188"/>
        <v>001390</v>
      </c>
      <c r="F12076" t="s">
        <v>27246</v>
      </c>
      <c r="G12076" t="s">
        <v>27247</v>
      </c>
      <c r="H12076" t="s">
        <v>27248</v>
      </c>
      <c r="I12076" t="s">
        <v>50598</v>
      </c>
      <c r="J12076" t="s">
        <v>24155</v>
      </c>
      <c r="L12076" t="s">
        <v>27250</v>
      </c>
      <c r="M12076" t="s">
        <v>27251</v>
      </c>
      <c r="N12076" t="s">
        <v>27252</v>
      </c>
      <c r="Q12076" s="1">
        <v>44812</v>
      </c>
      <c r="R12076" t="s">
        <v>27253</v>
      </c>
      <c r="S12076" t="s">
        <v>27254</v>
      </c>
      <c r="T12076" t="s">
        <v>27684</v>
      </c>
    </row>
    <row r="12077" spans="1:20" x14ac:dyDescent="0.3">
      <c r="A12077" t="str">
        <f>"0611857143200"</f>
        <v>0611857143200</v>
      </c>
      <c r="B12077" t="str">
        <f>"KO5621"</f>
        <v>KO5621</v>
      </c>
      <c r="C12077" t="s">
        <v>50599</v>
      </c>
      <c r="D12077" t="s">
        <v>27682</v>
      </c>
      <c r="E12077" t="str">
        <f t="shared" si="188"/>
        <v>001390</v>
      </c>
      <c r="F12077" t="s">
        <v>27246</v>
      </c>
      <c r="G12077" t="s">
        <v>27247</v>
      </c>
      <c r="H12077" t="s">
        <v>27248</v>
      </c>
      <c r="I12077" t="s">
        <v>50600</v>
      </c>
      <c r="J12077" t="s">
        <v>24157</v>
      </c>
      <c r="L12077" t="s">
        <v>27250</v>
      </c>
      <c r="M12077" t="s">
        <v>27251</v>
      </c>
      <c r="N12077" t="s">
        <v>27252</v>
      </c>
      <c r="Q12077" s="1">
        <v>44812</v>
      </c>
      <c r="R12077" t="s">
        <v>27253</v>
      </c>
      <c r="S12077" t="s">
        <v>27254</v>
      </c>
      <c r="T12077" t="s">
        <v>27684</v>
      </c>
    </row>
    <row r="12078" spans="1:20" x14ac:dyDescent="0.3">
      <c r="A12078" t="str">
        <f>"0611857144200"</f>
        <v>0611857144200</v>
      </c>
      <c r="B12078" t="str">
        <f>"KO5622"</f>
        <v>KO5622</v>
      </c>
      <c r="C12078" t="s">
        <v>50601</v>
      </c>
      <c r="D12078" t="s">
        <v>27682</v>
      </c>
      <c r="E12078" t="str">
        <f t="shared" si="188"/>
        <v>001390</v>
      </c>
      <c r="F12078" t="s">
        <v>27246</v>
      </c>
      <c r="G12078" t="s">
        <v>27247</v>
      </c>
      <c r="H12078" t="s">
        <v>27248</v>
      </c>
      <c r="I12078" t="s">
        <v>50602</v>
      </c>
      <c r="J12078" t="s">
        <v>24159</v>
      </c>
      <c r="L12078" t="s">
        <v>27250</v>
      </c>
      <c r="M12078" t="s">
        <v>27251</v>
      </c>
      <c r="N12078" t="s">
        <v>27252</v>
      </c>
      <c r="Q12078" s="1">
        <v>44812</v>
      </c>
      <c r="R12078" t="s">
        <v>27253</v>
      </c>
      <c r="S12078" t="s">
        <v>27254</v>
      </c>
      <c r="T12078" t="s">
        <v>27684</v>
      </c>
    </row>
    <row r="12079" spans="1:20" x14ac:dyDescent="0.3">
      <c r="A12079" t="str">
        <f>"0611857145200"</f>
        <v>0611857145200</v>
      </c>
      <c r="B12079" t="str">
        <f>"KO5623"</f>
        <v>KO5623</v>
      </c>
      <c r="C12079" t="s">
        <v>50603</v>
      </c>
      <c r="D12079" t="s">
        <v>27682</v>
      </c>
      <c r="E12079" t="str">
        <f t="shared" si="188"/>
        <v>001390</v>
      </c>
      <c r="F12079" t="s">
        <v>27246</v>
      </c>
      <c r="G12079" t="s">
        <v>27247</v>
      </c>
      <c r="H12079" t="s">
        <v>27248</v>
      </c>
      <c r="I12079" t="s">
        <v>50604</v>
      </c>
      <c r="J12079" t="s">
        <v>24161</v>
      </c>
      <c r="L12079" t="s">
        <v>27250</v>
      </c>
      <c r="M12079" t="s">
        <v>27251</v>
      </c>
      <c r="N12079" t="s">
        <v>27252</v>
      </c>
      <c r="Q12079" s="1">
        <v>44812</v>
      </c>
      <c r="R12079" t="s">
        <v>27253</v>
      </c>
      <c r="S12079" t="s">
        <v>27254</v>
      </c>
      <c r="T12079" t="s">
        <v>27684</v>
      </c>
    </row>
    <row r="12080" spans="1:20" x14ac:dyDescent="0.3">
      <c r="A12080" t="str">
        <f>"0611857146200"</f>
        <v>0611857146200</v>
      </c>
      <c r="B12080" t="str">
        <f>"KO5625"</f>
        <v>KO5625</v>
      </c>
      <c r="C12080" t="s">
        <v>50605</v>
      </c>
      <c r="D12080" t="s">
        <v>27682</v>
      </c>
      <c r="E12080" t="str">
        <f t="shared" si="188"/>
        <v>001390</v>
      </c>
      <c r="F12080" t="s">
        <v>27246</v>
      </c>
      <c r="G12080" t="s">
        <v>27247</v>
      </c>
      <c r="H12080" t="s">
        <v>27248</v>
      </c>
      <c r="I12080" t="s">
        <v>50606</v>
      </c>
      <c r="J12080" t="s">
        <v>24163</v>
      </c>
      <c r="L12080" t="s">
        <v>27250</v>
      </c>
      <c r="M12080" t="s">
        <v>27251</v>
      </c>
      <c r="N12080" t="s">
        <v>27252</v>
      </c>
      <c r="Q12080" s="1">
        <v>44812</v>
      </c>
      <c r="R12080" t="s">
        <v>27253</v>
      </c>
      <c r="S12080" t="s">
        <v>27254</v>
      </c>
      <c r="T12080" t="s">
        <v>27684</v>
      </c>
    </row>
    <row r="12081" spans="1:20" x14ac:dyDescent="0.3">
      <c r="A12081" t="str">
        <f>"0611857147200"</f>
        <v>0611857147200</v>
      </c>
      <c r="B12081" t="str">
        <f>"KO5626"</f>
        <v>KO5626</v>
      </c>
      <c r="C12081" t="s">
        <v>50607</v>
      </c>
      <c r="D12081" t="s">
        <v>27682</v>
      </c>
      <c r="E12081" t="str">
        <f t="shared" si="188"/>
        <v>001390</v>
      </c>
      <c r="F12081" t="s">
        <v>27246</v>
      </c>
      <c r="G12081" t="s">
        <v>27247</v>
      </c>
      <c r="H12081" t="s">
        <v>27248</v>
      </c>
      <c r="I12081" t="s">
        <v>50608</v>
      </c>
      <c r="J12081" t="s">
        <v>24165</v>
      </c>
      <c r="L12081" t="s">
        <v>27250</v>
      </c>
      <c r="M12081" t="s">
        <v>27251</v>
      </c>
      <c r="N12081" t="s">
        <v>27252</v>
      </c>
      <c r="Q12081" s="1">
        <v>44812</v>
      </c>
      <c r="R12081" t="s">
        <v>27253</v>
      </c>
      <c r="S12081" t="s">
        <v>27254</v>
      </c>
      <c r="T12081" t="s">
        <v>27684</v>
      </c>
    </row>
    <row r="12082" spans="1:20" x14ac:dyDescent="0.3">
      <c r="A12082" t="str">
        <f>"0611857148200"</f>
        <v>0611857148200</v>
      </c>
      <c r="B12082" t="str">
        <f>"KO5627"</f>
        <v>KO5627</v>
      </c>
      <c r="C12082" t="s">
        <v>50609</v>
      </c>
      <c r="D12082" t="s">
        <v>27682</v>
      </c>
      <c r="E12082" t="str">
        <f t="shared" si="188"/>
        <v>001390</v>
      </c>
      <c r="F12082" t="s">
        <v>27246</v>
      </c>
      <c r="G12082" t="s">
        <v>27247</v>
      </c>
      <c r="H12082" t="s">
        <v>27248</v>
      </c>
      <c r="I12082" t="s">
        <v>50610</v>
      </c>
      <c r="J12082" t="s">
        <v>24167</v>
      </c>
      <c r="L12082" t="s">
        <v>27250</v>
      </c>
      <c r="M12082" t="s">
        <v>27251</v>
      </c>
      <c r="N12082" t="s">
        <v>27252</v>
      </c>
      <c r="Q12082" s="1">
        <v>44812</v>
      </c>
      <c r="R12082" t="s">
        <v>27253</v>
      </c>
      <c r="S12082" t="s">
        <v>27254</v>
      </c>
      <c r="T12082" t="s">
        <v>27684</v>
      </c>
    </row>
    <row r="12083" spans="1:20" x14ac:dyDescent="0.3">
      <c r="A12083" t="str">
        <f>"0611857149200"</f>
        <v>0611857149200</v>
      </c>
      <c r="B12083" t="str">
        <f>"KO5628"</f>
        <v>KO5628</v>
      </c>
      <c r="C12083" t="s">
        <v>50611</v>
      </c>
      <c r="D12083" t="s">
        <v>27682</v>
      </c>
      <c r="E12083" t="str">
        <f t="shared" si="188"/>
        <v>001390</v>
      </c>
      <c r="F12083" t="s">
        <v>27246</v>
      </c>
      <c r="G12083" t="s">
        <v>27247</v>
      </c>
      <c r="H12083" t="s">
        <v>27248</v>
      </c>
      <c r="I12083" t="s">
        <v>50612</v>
      </c>
      <c r="J12083" t="s">
        <v>24169</v>
      </c>
      <c r="L12083" t="s">
        <v>27250</v>
      </c>
      <c r="M12083" t="s">
        <v>27251</v>
      </c>
      <c r="N12083" t="s">
        <v>27252</v>
      </c>
      <c r="Q12083" s="1">
        <v>44812</v>
      </c>
      <c r="R12083" t="s">
        <v>27253</v>
      </c>
      <c r="S12083" t="s">
        <v>27254</v>
      </c>
      <c r="T12083" t="s">
        <v>27684</v>
      </c>
    </row>
    <row r="12084" spans="1:20" x14ac:dyDescent="0.3">
      <c r="A12084" t="str">
        <f>"0611857150200"</f>
        <v>0611857150200</v>
      </c>
      <c r="B12084" t="str">
        <f>"KO5629"</f>
        <v>KO5629</v>
      </c>
      <c r="C12084" t="s">
        <v>50613</v>
      </c>
      <c r="D12084" t="s">
        <v>27682</v>
      </c>
      <c r="E12084" t="str">
        <f t="shared" si="188"/>
        <v>001390</v>
      </c>
      <c r="F12084" t="s">
        <v>27246</v>
      </c>
      <c r="G12084" t="s">
        <v>27247</v>
      </c>
      <c r="H12084" t="s">
        <v>27248</v>
      </c>
      <c r="I12084" t="s">
        <v>50614</v>
      </c>
      <c r="J12084" t="s">
        <v>24171</v>
      </c>
      <c r="L12084" t="s">
        <v>27250</v>
      </c>
      <c r="M12084" t="s">
        <v>27251</v>
      </c>
      <c r="N12084" t="s">
        <v>27252</v>
      </c>
      <c r="Q12084" s="1">
        <v>44812</v>
      </c>
      <c r="R12084" t="s">
        <v>27253</v>
      </c>
      <c r="S12084" t="s">
        <v>27254</v>
      </c>
      <c r="T12084" t="s">
        <v>27684</v>
      </c>
    </row>
    <row r="12085" spans="1:20" x14ac:dyDescent="0.3">
      <c r="A12085" t="str">
        <f>"0611839736100"</f>
        <v>0611839736100</v>
      </c>
      <c r="B12085" t="str">
        <f>"LK3516"</f>
        <v>LK3516</v>
      </c>
      <c r="C12085" t="s">
        <v>50615</v>
      </c>
      <c r="D12085" t="s">
        <v>27245</v>
      </c>
      <c r="E12085" t="str">
        <f t="shared" si="188"/>
        <v>001390</v>
      </c>
      <c r="F12085" t="s">
        <v>27246</v>
      </c>
      <c r="G12085" t="s">
        <v>27247</v>
      </c>
      <c r="H12085" t="s">
        <v>27248</v>
      </c>
      <c r="I12085" t="s">
        <v>50616</v>
      </c>
      <c r="J12085" t="s">
        <v>24173</v>
      </c>
      <c r="L12085" t="s">
        <v>27250</v>
      </c>
      <c r="M12085" t="s">
        <v>27251</v>
      </c>
      <c r="N12085" t="s">
        <v>27252</v>
      </c>
      <c r="Q12085" s="1">
        <v>44538</v>
      </c>
      <c r="R12085" t="s">
        <v>27253</v>
      </c>
      <c r="S12085" t="s">
        <v>27254</v>
      </c>
      <c r="T12085" t="s">
        <v>27255</v>
      </c>
    </row>
    <row r="12086" spans="1:20" x14ac:dyDescent="0.3">
      <c r="A12086" t="str">
        <f>"0611839738025"</f>
        <v>0611839738025</v>
      </c>
      <c r="B12086" t="str">
        <f>"MC3813"</f>
        <v>MC3813</v>
      </c>
      <c r="C12086" t="s">
        <v>50617</v>
      </c>
      <c r="D12086" t="s">
        <v>27267</v>
      </c>
      <c r="E12086" t="str">
        <f t="shared" si="188"/>
        <v>001390</v>
      </c>
      <c r="F12086" t="s">
        <v>27246</v>
      </c>
      <c r="G12086" t="s">
        <v>27247</v>
      </c>
      <c r="H12086" t="s">
        <v>27248</v>
      </c>
      <c r="I12086" t="s">
        <v>50618</v>
      </c>
      <c r="J12086" t="s">
        <v>24175</v>
      </c>
      <c r="L12086" t="s">
        <v>27250</v>
      </c>
      <c r="M12086" t="s">
        <v>27251</v>
      </c>
      <c r="N12086" t="s">
        <v>27252</v>
      </c>
      <c r="Q12086" s="1">
        <v>44538</v>
      </c>
      <c r="R12086" t="s">
        <v>27253</v>
      </c>
      <c r="S12086" t="s">
        <v>27254</v>
      </c>
      <c r="T12086" t="s">
        <v>27269</v>
      </c>
    </row>
    <row r="12087" spans="1:20" x14ac:dyDescent="0.3">
      <c r="A12087" t="str">
        <f>"0611839739025"</f>
        <v>0611839739025</v>
      </c>
      <c r="B12087" t="str">
        <f>"MC1391"</f>
        <v>MC1391</v>
      </c>
      <c r="C12087" t="s">
        <v>50619</v>
      </c>
      <c r="D12087" t="s">
        <v>27267</v>
      </c>
      <c r="E12087" t="str">
        <f t="shared" si="188"/>
        <v>001390</v>
      </c>
      <c r="F12087" t="s">
        <v>27246</v>
      </c>
      <c r="G12087" t="s">
        <v>27247</v>
      </c>
      <c r="H12087" t="s">
        <v>27248</v>
      </c>
      <c r="I12087" t="s">
        <v>50620</v>
      </c>
      <c r="J12087" t="s">
        <v>24177</v>
      </c>
      <c r="L12087" t="s">
        <v>27250</v>
      </c>
      <c r="M12087" t="s">
        <v>27251</v>
      </c>
      <c r="N12087" t="s">
        <v>27252</v>
      </c>
      <c r="Q12087" s="1">
        <v>44538</v>
      </c>
      <c r="R12087" t="s">
        <v>27253</v>
      </c>
      <c r="S12087" t="s">
        <v>27254</v>
      </c>
      <c r="T12087" t="s">
        <v>27269</v>
      </c>
    </row>
    <row r="12088" spans="1:20" x14ac:dyDescent="0.3">
      <c r="A12088" t="str">
        <f>"0611839740100"</f>
        <v>0611839740100</v>
      </c>
      <c r="B12088" t="str">
        <f>"LH7085"</f>
        <v>LH7085</v>
      </c>
      <c r="C12088" t="s">
        <v>50621</v>
      </c>
      <c r="D12088" t="s">
        <v>27245</v>
      </c>
      <c r="E12088" t="str">
        <f t="shared" si="188"/>
        <v>001390</v>
      </c>
      <c r="F12088" t="s">
        <v>27246</v>
      </c>
      <c r="G12088" t="s">
        <v>27247</v>
      </c>
      <c r="H12088" t="s">
        <v>27248</v>
      </c>
      <c r="I12088" t="s">
        <v>50622</v>
      </c>
      <c r="J12088" t="s">
        <v>24179</v>
      </c>
      <c r="L12088" t="s">
        <v>27250</v>
      </c>
      <c r="M12088" t="s">
        <v>27251</v>
      </c>
      <c r="N12088" t="s">
        <v>27252</v>
      </c>
      <c r="Q12088" s="1">
        <v>44538</v>
      </c>
      <c r="R12088" t="s">
        <v>27253</v>
      </c>
      <c r="S12088" t="s">
        <v>27254</v>
      </c>
      <c r="T12088" t="s">
        <v>27255</v>
      </c>
    </row>
    <row r="12089" spans="1:20" x14ac:dyDescent="0.3">
      <c r="A12089" t="str">
        <f>"0611839741025"</f>
        <v>0611839741025</v>
      </c>
      <c r="B12089" t="str">
        <f>"MC0707"</f>
        <v>MC0707</v>
      </c>
      <c r="C12089" t="s">
        <v>50621</v>
      </c>
      <c r="D12089" t="s">
        <v>27267</v>
      </c>
      <c r="E12089" t="str">
        <f t="shared" si="188"/>
        <v>001390</v>
      </c>
      <c r="F12089" t="s">
        <v>27246</v>
      </c>
      <c r="G12089" t="s">
        <v>27247</v>
      </c>
      <c r="H12089" t="s">
        <v>27248</v>
      </c>
      <c r="I12089" t="s">
        <v>50623</v>
      </c>
      <c r="J12089" t="s">
        <v>24181</v>
      </c>
      <c r="L12089" t="s">
        <v>27250</v>
      </c>
      <c r="M12089" t="s">
        <v>27251</v>
      </c>
      <c r="N12089" t="s">
        <v>27252</v>
      </c>
      <c r="Q12089" s="1">
        <v>44538</v>
      </c>
      <c r="R12089" t="s">
        <v>27253</v>
      </c>
      <c r="S12089" t="s">
        <v>27254</v>
      </c>
      <c r="T12089" t="s">
        <v>27269</v>
      </c>
    </row>
    <row r="12090" spans="1:20" x14ac:dyDescent="0.3">
      <c r="A12090" t="str">
        <f>"0611839742025"</f>
        <v>0611839742025</v>
      </c>
      <c r="B12090" t="str">
        <f>"MC0708"</f>
        <v>MC0708</v>
      </c>
      <c r="C12090" t="s">
        <v>50624</v>
      </c>
      <c r="D12090" t="s">
        <v>27267</v>
      </c>
      <c r="E12090" t="str">
        <f t="shared" si="188"/>
        <v>001390</v>
      </c>
      <c r="F12090" t="s">
        <v>27246</v>
      </c>
      <c r="G12090" t="s">
        <v>27247</v>
      </c>
      <c r="H12090" t="s">
        <v>27248</v>
      </c>
      <c r="I12090" t="s">
        <v>50625</v>
      </c>
      <c r="J12090" t="s">
        <v>24183</v>
      </c>
      <c r="L12090" t="s">
        <v>27250</v>
      </c>
      <c r="M12090" t="s">
        <v>27251</v>
      </c>
      <c r="N12090" t="s">
        <v>27252</v>
      </c>
      <c r="Q12090" s="1">
        <v>44538</v>
      </c>
      <c r="R12090" t="s">
        <v>27253</v>
      </c>
      <c r="S12090" t="s">
        <v>27254</v>
      </c>
      <c r="T12090" t="s">
        <v>27269</v>
      </c>
    </row>
    <row r="12091" spans="1:20" x14ac:dyDescent="0.3">
      <c r="A12091" t="str">
        <f>"0611831078100"</f>
        <v>0611831078100</v>
      </c>
      <c r="B12091" t="str">
        <f>"LC9452"</f>
        <v>LC9452</v>
      </c>
      <c r="C12091" t="s">
        <v>50626</v>
      </c>
      <c r="D12091" t="s">
        <v>27245</v>
      </c>
      <c r="E12091" t="str">
        <f t="shared" si="188"/>
        <v>001390</v>
      </c>
      <c r="F12091" t="s">
        <v>27246</v>
      </c>
      <c r="G12091" t="s">
        <v>27247</v>
      </c>
      <c r="H12091" t="s">
        <v>27248</v>
      </c>
      <c r="I12091" t="s">
        <v>50627</v>
      </c>
      <c r="J12091" t="s">
        <v>24185</v>
      </c>
      <c r="L12091" t="s">
        <v>27250</v>
      </c>
      <c r="M12091" t="s">
        <v>27251</v>
      </c>
      <c r="N12091" t="s">
        <v>27252</v>
      </c>
      <c r="Q12091" s="1">
        <v>44538</v>
      </c>
      <c r="R12091" t="s">
        <v>27253</v>
      </c>
      <c r="S12091" t="s">
        <v>27254</v>
      </c>
      <c r="T12091" t="s">
        <v>27255</v>
      </c>
    </row>
    <row r="12092" spans="1:20" x14ac:dyDescent="0.3">
      <c r="A12092" t="str">
        <f>"0611831079025"</f>
        <v>0611831079025</v>
      </c>
      <c r="B12092" t="str">
        <f>"MC0963"</f>
        <v>MC0963</v>
      </c>
      <c r="C12092" t="s">
        <v>50626</v>
      </c>
      <c r="D12092" t="s">
        <v>27267</v>
      </c>
      <c r="E12092" t="str">
        <f t="shared" si="188"/>
        <v>001390</v>
      </c>
      <c r="F12092" t="s">
        <v>27246</v>
      </c>
      <c r="G12092" t="s">
        <v>27247</v>
      </c>
      <c r="H12092" t="s">
        <v>27248</v>
      </c>
      <c r="I12092" t="s">
        <v>50628</v>
      </c>
      <c r="J12092" t="s">
        <v>24187</v>
      </c>
      <c r="L12092" t="s">
        <v>27250</v>
      </c>
      <c r="M12092" t="s">
        <v>27251</v>
      </c>
      <c r="N12092" t="s">
        <v>27252</v>
      </c>
      <c r="Q12092" s="1">
        <v>44538</v>
      </c>
      <c r="R12092" t="s">
        <v>27253</v>
      </c>
      <c r="S12092" t="s">
        <v>27254</v>
      </c>
      <c r="T12092" t="s">
        <v>27269</v>
      </c>
    </row>
    <row r="12093" spans="1:20" x14ac:dyDescent="0.3">
      <c r="A12093" t="str">
        <f>"0611831091100"</f>
        <v>0611831091100</v>
      </c>
      <c r="B12093" t="str">
        <f>"LC9450"</f>
        <v>LC9450</v>
      </c>
      <c r="C12093" t="s">
        <v>50629</v>
      </c>
      <c r="D12093" t="s">
        <v>27245</v>
      </c>
      <c r="E12093" t="str">
        <f t="shared" si="188"/>
        <v>001390</v>
      </c>
      <c r="F12093" t="s">
        <v>27246</v>
      </c>
      <c r="G12093" t="s">
        <v>27247</v>
      </c>
      <c r="H12093" t="s">
        <v>27248</v>
      </c>
      <c r="I12093" t="s">
        <v>50630</v>
      </c>
      <c r="J12093" t="s">
        <v>24189</v>
      </c>
      <c r="L12093" t="s">
        <v>27250</v>
      </c>
      <c r="M12093" t="s">
        <v>27251</v>
      </c>
      <c r="N12093" t="s">
        <v>27252</v>
      </c>
      <c r="Q12093" s="1">
        <v>44538</v>
      </c>
      <c r="R12093" t="s">
        <v>27253</v>
      </c>
      <c r="S12093" t="s">
        <v>27254</v>
      </c>
      <c r="T12093" t="s">
        <v>27255</v>
      </c>
    </row>
    <row r="12094" spans="1:20" x14ac:dyDescent="0.3">
      <c r="A12094" t="str">
        <f>"0611839722100"</f>
        <v>0611839722100</v>
      </c>
      <c r="B12094" t="str">
        <f>"LC9453"</f>
        <v>LC9453</v>
      </c>
      <c r="C12094" t="s">
        <v>50631</v>
      </c>
      <c r="D12094" t="s">
        <v>27245</v>
      </c>
      <c r="E12094" t="str">
        <f t="shared" si="188"/>
        <v>001390</v>
      </c>
      <c r="F12094" t="s">
        <v>27246</v>
      </c>
      <c r="G12094" t="s">
        <v>27247</v>
      </c>
      <c r="H12094" t="s">
        <v>27248</v>
      </c>
      <c r="I12094" t="s">
        <v>50632</v>
      </c>
      <c r="J12094" t="s">
        <v>24191</v>
      </c>
      <c r="L12094" t="s">
        <v>27250</v>
      </c>
      <c r="M12094" t="s">
        <v>27251</v>
      </c>
      <c r="N12094" t="s">
        <v>27252</v>
      </c>
      <c r="Q12094" s="1">
        <v>44538</v>
      </c>
      <c r="R12094" t="s">
        <v>27253</v>
      </c>
      <c r="S12094" t="s">
        <v>27254</v>
      </c>
      <c r="T12094" t="s">
        <v>27255</v>
      </c>
    </row>
    <row r="12095" spans="1:20" x14ac:dyDescent="0.3">
      <c r="A12095" t="str">
        <f>"0611831083100"</f>
        <v>0611831083100</v>
      </c>
      <c r="B12095" t="str">
        <f>"LC9451"</f>
        <v>LC9451</v>
      </c>
      <c r="C12095" t="s">
        <v>50633</v>
      </c>
      <c r="D12095" t="s">
        <v>27245</v>
      </c>
      <c r="E12095" t="str">
        <f t="shared" si="188"/>
        <v>001390</v>
      </c>
      <c r="F12095" t="s">
        <v>27246</v>
      </c>
      <c r="G12095" t="s">
        <v>27247</v>
      </c>
      <c r="H12095" t="s">
        <v>27248</v>
      </c>
      <c r="I12095" t="s">
        <v>50634</v>
      </c>
      <c r="J12095" t="s">
        <v>24193</v>
      </c>
      <c r="L12095" t="s">
        <v>27250</v>
      </c>
      <c r="M12095" t="s">
        <v>27251</v>
      </c>
      <c r="N12095" t="s">
        <v>27252</v>
      </c>
      <c r="Q12095" s="1">
        <v>44538</v>
      </c>
      <c r="R12095" t="s">
        <v>27253</v>
      </c>
      <c r="S12095" t="s">
        <v>27254</v>
      </c>
      <c r="T12095" t="s">
        <v>27255</v>
      </c>
    </row>
    <row r="12096" spans="1:20" x14ac:dyDescent="0.3">
      <c r="A12096" t="str">
        <f>"0611839744025"</f>
        <v>0611839744025</v>
      </c>
      <c r="B12096" t="str">
        <f>"MC2854"</f>
        <v>MC2854</v>
      </c>
      <c r="C12096" t="s">
        <v>50635</v>
      </c>
      <c r="D12096" t="s">
        <v>27267</v>
      </c>
      <c r="E12096" t="str">
        <f t="shared" si="188"/>
        <v>001390</v>
      </c>
      <c r="F12096" t="s">
        <v>27246</v>
      </c>
      <c r="G12096" t="s">
        <v>27247</v>
      </c>
      <c r="H12096" t="s">
        <v>27248</v>
      </c>
      <c r="I12096" t="s">
        <v>50636</v>
      </c>
      <c r="J12096" t="s">
        <v>24195</v>
      </c>
      <c r="L12096" t="s">
        <v>27250</v>
      </c>
      <c r="M12096" t="s">
        <v>27251</v>
      </c>
      <c r="N12096" t="s">
        <v>27252</v>
      </c>
      <c r="Q12096" s="1">
        <v>44538</v>
      </c>
      <c r="R12096" t="s">
        <v>27253</v>
      </c>
      <c r="S12096" t="s">
        <v>27254</v>
      </c>
      <c r="T12096" t="s">
        <v>27269</v>
      </c>
    </row>
    <row r="12097" spans="1:20" x14ac:dyDescent="0.3">
      <c r="A12097" t="str">
        <f>"0611839745025"</f>
        <v>0611839745025</v>
      </c>
      <c r="B12097" t="str">
        <f>"MC0711"</f>
        <v>MC0711</v>
      </c>
      <c r="C12097" t="s">
        <v>50637</v>
      </c>
      <c r="D12097" t="s">
        <v>27267</v>
      </c>
      <c r="E12097" t="str">
        <f t="shared" si="188"/>
        <v>001390</v>
      </c>
      <c r="F12097" t="s">
        <v>27246</v>
      </c>
      <c r="G12097" t="s">
        <v>27247</v>
      </c>
      <c r="H12097" t="s">
        <v>27248</v>
      </c>
      <c r="I12097" t="s">
        <v>50638</v>
      </c>
      <c r="J12097" t="s">
        <v>24197</v>
      </c>
      <c r="L12097" t="s">
        <v>27250</v>
      </c>
      <c r="M12097" t="s">
        <v>27251</v>
      </c>
      <c r="N12097" t="s">
        <v>27252</v>
      </c>
      <c r="Q12097" s="1">
        <v>44538</v>
      </c>
      <c r="R12097" t="s">
        <v>27253</v>
      </c>
      <c r="S12097" t="s">
        <v>27254</v>
      </c>
      <c r="T12097" t="s">
        <v>27269</v>
      </c>
    </row>
    <row r="12098" spans="1:20" x14ac:dyDescent="0.3">
      <c r="A12098" t="str">
        <f>"0611839746100"</f>
        <v>0611839746100</v>
      </c>
      <c r="B12098" t="str">
        <f>"LC6702"</f>
        <v>LC6702</v>
      </c>
      <c r="C12098" t="s">
        <v>50639</v>
      </c>
      <c r="D12098" t="s">
        <v>27245</v>
      </c>
      <c r="E12098" t="str">
        <f t="shared" ref="E12098:E12161" si="189">"001390"</f>
        <v>001390</v>
      </c>
      <c r="F12098" t="s">
        <v>27246</v>
      </c>
      <c r="G12098" t="s">
        <v>27247</v>
      </c>
      <c r="H12098" t="s">
        <v>27248</v>
      </c>
      <c r="I12098" t="s">
        <v>50640</v>
      </c>
      <c r="J12098" t="s">
        <v>24199</v>
      </c>
      <c r="L12098" t="s">
        <v>27250</v>
      </c>
      <c r="M12098" t="s">
        <v>27251</v>
      </c>
      <c r="N12098" t="s">
        <v>27252</v>
      </c>
      <c r="Q12098" s="1">
        <v>44538</v>
      </c>
      <c r="R12098" t="s">
        <v>27253</v>
      </c>
      <c r="S12098" t="s">
        <v>27254</v>
      </c>
      <c r="T12098" t="s">
        <v>27255</v>
      </c>
    </row>
    <row r="12099" spans="1:20" x14ac:dyDescent="0.3">
      <c r="A12099" t="str">
        <f>"0611839749100"</f>
        <v>0611839749100</v>
      </c>
      <c r="B12099" t="str">
        <f>"LD0021"</f>
        <v>LD0021</v>
      </c>
      <c r="C12099" t="s">
        <v>50641</v>
      </c>
      <c r="D12099" t="s">
        <v>27245</v>
      </c>
      <c r="E12099" t="str">
        <f t="shared" si="189"/>
        <v>001390</v>
      </c>
      <c r="F12099" t="s">
        <v>27246</v>
      </c>
      <c r="G12099" t="s">
        <v>27247</v>
      </c>
      <c r="H12099" t="s">
        <v>27248</v>
      </c>
      <c r="I12099" t="s">
        <v>50642</v>
      </c>
      <c r="J12099" t="s">
        <v>24201</v>
      </c>
      <c r="L12099" t="s">
        <v>27250</v>
      </c>
      <c r="M12099" t="s">
        <v>27251</v>
      </c>
      <c r="N12099" t="s">
        <v>27252</v>
      </c>
      <c r="Q12099" s="1">
        <v>44538</v>
      </c>
      <c r="R12099" t="s">
        <v>27253</v>
      </c>
      <c r="S12099" t="s">
        <v>27254</v>
      </c>
      <c r="T12099" t="s">
        <v>27255</v>
      </c>
    </row>
    <row r="12100" spans="1:20" x14ac:dyDescent="0.3">
      <c r="A12100" t="str">
        <f>"0611839750100"</f>
        <v>0611839750100</v>
      </c>
      <c r="B12100" t="str">
        <f>"LK0417"</f>
        <v>LK0417</v>
      </c>
      <c r="C12100" t="s">
        <v>50643</v>
      </c>
      <c r="D12100" t="s">
        <v>27245</v>
      </c>
      <c r="E12100" t="str">
        <f t="shared" si="189"/>
        <v>001390</v>
      </c>
      <c r="F12100" t="s">
        <v>27246</v>
      </c>
      <c r="G12100" t="s">
        <v>27247</v>
      </c>
      <c r="H12100" t="s">
        <v>27248</v>
      </c>
      <c r="I12100" t="s">
        <v>50644</v>
      </c>
      <c r="J12100" t="s">
        <v>24203</v>
      </c>
      <c r="L12100" t="s">
        <v>27250</v>
      </c>
      <c r="M12100" t="s">
        <v>27251</v>
      </c>
      <c r="N12100" t="s">
        <v>27252</v>
      </c>
      <c r="Q12100" s="1">
        <v>44538</v>
      </c>
      <c r="R12100" t="s">
        <v>27253</v>
      </c>
      <c r="S12100" t="s">
        <v>27254</v>
      </c>
      <c r="T12100" t="s">
        <v>27255</v>
      </c>
    </row>
    <row r="12101" spans="1:20" x14ac:dyDescent="0.3">
      <c r="A12101" t="str">
        <f>"0611839751100"</f>
        <v>0611839751100</v>
      </c>
      <c r="B12101" t="str">
        <f>"LK4787"</f>
        <v>LK4787</v>
      </c>
      <c r="C12101" t="s">
        <v>50645</v>
      </c>
      <c r="D12101" t="s">
        <v>27245</v>
      </c>
      <c r="E12101" t="str">
        <f t="shared" si="189"/>
        <v>001390</v>
      </c>
      <c r="F12101" t="s">
        <v>27246</v>
      </c>
      <c r="G12101" t="s">
        <v>27247</v>
      </c>
      <c r="H12101" t="s">
        <v>27248</v>
      </c>
      <c r="I12101" t="s">
        <v>50646</v>
      </c>
      <c r="J12101" t="s">
        <v>24205</v>
      </c>
      <c r="L12101" t="s">
        <v>27250</v>
      </c>
      <c r="M12101" t="s">
        <v>27251</v>
      </c>
      <c r="N12101" t="s">
        <v>27252</v>
      </c>
      <c r="Q12101" s="1">
        <v>44538</v>
      </c>
      <c r="R12101" t="s">
        <v>27253</v>
      </c>
      <c r="S12101" t="s">
        <v>27254</v>
      </c>
      <c r="T12101" t="s">
        <v>27255</v>
      </c>
    </row>
    <row r="12102" spans="1:20" x14ac:dyDescent="0.3">
      <c r="A12102" t="str">
        <f>"0611839752100"</f>
        <v>0611839752100</v>
      </c>
      <c r="B12102" t="str">
        <f>"LK5437"</f>
        <v>LK5437</v>
      </c>
      <c r="C12102" t="s">
        <v>50647</v>
      </c>
      <c r="D12102" t="s">
        <v>27245</v>
      </c>
      <c r="E12102" t="str">
        <f t="shared" si="189"/>
        <v>001390</v>
      </c>
      <c r="F12102" t="s">
        <v>27246</v>
      </c>
      <c r="G12102" t="s">
        <v>27247</v>
      </c>
      <c r="H12102" t="s">
        <v>27248</v>
      </c>
      <c r="I12102" t="s">
        <v>50648</v>
      </c>
      <c r="J12102" t="s">
        <v>24207</v>
      </c>
      <c r="L12102" t="s">
        <v>27250</v>
      </c>
      <c r="M12102" t="s">
        <v>27251</v>
      </c>
      <c r="N12102" t="s">
        <v>27252</v>
      </c>
      <c r="Q12102" s="1">
        <v>44538</v>
      </c>
      <c r="R12102" t="s">
        <v>27253</v>
      </c>
      <c r="S12102" t="s">
        <v>27254</v>
      </c>
      <c r="T12102" t="s">
        <v>27255</v>
      </c>
    </row>
    <row r="12103" spans="1:20" x14ac:dyDescent="0.3">
      <c r="A12103" t="str">
        <f>"0611839753100"</f>
        <v>0611839753100</v>
      </c>
      <c r="B12103" t="str">
        <f>"LK6038"</f>
        <v>LK6038</v>
      </c>
      <c r="C12103" t="s">
        <v>50649</v>
      </c>
      <c r="D12103" t="s">
        <v>27245</v>
      </c>
      <c r="E12103" t="str">
        <f t="shared" si="189"/>
        <v>001390</v>
      </c>
      <c r="F12103" t="s">
        <v>27246</v>
      </c>
      <c r="G12103" t="s">
        <v>27247</v>
      </c>
      <c r="H12103" t="s">
        <v>27248</v>
      </c>
      <c r="I12103" t="s">
        <v>50650</v>
      </c>
      <c r="J12103" t="s">
        <v>24209</v>
      </c>
      <c r="L12103" t="s">
        <v>27250</v>
      </c>
      <c r="M12103" t="s">
        <v>27251</v>
      </c>
      <c r="N12103" t="s">
        <v>27252</v>
      </c>
      <c r="Q12103" s="1">
        <v>44538</v>
      </c>
      <c r="R12103" t="s">
        <v>27253</v>
      </c>
      <c r="S12103" t="s">
        <v>27254</v>
      </c>
      <c r="T12103" t="s">
        <v>27255</v>
      </c>
    </row>
    <row r="12104" spans="1:20" x14ac:dyDescent="0.3">
      <c r="A12104" t="str">
        <f>"0611839754100"</f>
        <v>0611839754100</v>
      </c>
      <c r="B12104" t="str">
        <f>"LQ9031"</f>
        <v>LQ9031</v>
      </c>
      <c r="C12104" t="s">
        <v>50651</v>
      </c>
      <c r="D12104" t="s">
        <v>27245</v>
      </c>
      <c r="E12104" t="str">
        <f t="shared" si="189"/>
        <v>001390</v>
      </c>
      <c r="F12104" t="s">
        <v>27246</v>
      </c>
      <c r="G12104" t="s">
        <v>27247</v>
      </c>
      <c r="H12104" t="s">
        <v>27248</v>
      </c>
      <c r="I12104" t="s">
        <v>50652</v>
      </c>
      <c r="J12104" t="s">
        <v>24211</v>
      </c>
      <c r="L12104" t="s">
        <v>27250</v>
      </c>
      <c r="M12104" t="s">
        <v>27251</v>
      </c>
      <c r="N12104" t="s">
        <v>27252</v>
      </c>
      <c r="Q12104" s="1">
        <v>44538</v>
      </c>
      <c r="R12104" t="s">
        <v>27253</v>
      </c>
      <c r="S12104" t="s">
        <v>27254</v>
      </c>
      <c r="T12104" t="s">
        <v>27255</v>
      </c>
    </row>
    <row r="12105" spans="1:20" x14ac:dyDescent="0.3">
      <c r="A12105" t="str">
        <f>"0611839755100"</f>
        <v>0611839755100</v>
      </c>
      <c r="B12105" t="str">
        <f>"LQ9032"</f>
        <v>LQ9032</v>
      </c>
      <c r="C12105" t="s">
        <v>50653</v>
      </c>
      <c r="D12105" t="s">
        <v>27245</v>
      </c>
      <c r="E12105" t="str">
        <f t="shared" si="189"/>
        <v>001390</v>
      </c>
      <c r="F12105" t="s">
        <v>27246</v>
      </c>
      <c r="G12105" t="s">
        <v>27247</v>
      </c>
      <c r="H12105" t="s">
        <v>27248</v>
      </c>
      <c r="I12105" t="s">
        <v>50654</v>
      </c>
      <c r="J12105" t="s">
        <v>24213</v>
      </c>
      <c r="L12105" t="s">
        <v>27250</v>
      </c>
      <c r="M12105" t="s">
        <v>27251</v>
      </c>
      <c r="N12105" t="s">
        <v>27252</v>
      </c>
      <c r="Q12105" s="1">
        <v>44538</v>
      </c>
      <c r="R12105" t="s">
        <v>27253</v>
      </c>
      <c r="S12105" t="s">
        <v>27254</v>
      </c>
      <c r="T12105" t="s">
        <v>27255</v>
      </c>
    </row>
    <row r="12106" spans="1:20" x14ac:dyDescent="0.3">
      <c r="A12106" t="str">
        <f>"0611839756100"</f>
        <v>0611839756100</v>
      </c>
      <c r="B12106" t="str">
        <f>"LK6039"</f>
        <v>LK6039</v>
      </c>
      <c r="C12106" t="s">
        <v>50655</v>
      </c>
      <c r="D12106" t="s">
        <v>27245</v>
      </c>
      <c r="E12106" t="str">
        <f t="shared" si="189"/>
        <v>001390</v>
      </c>
      <c r="F12106" t="s">
        <v>27246</v>
      </c>
      <c r="G12106" t="s">
        <v>27247</v>
      </c>
      <c r="H12106" t="s">
        <v>27248</v>
      </c>
      <c r="I12106" t="s">
        <v>50656</v>
      </c>
      <c r="J12106" t="s">
        <v>24215</v>
      </c>
      <c r="L12106" t="s">
        <v>27250</v>
      </c>
      <c r="M12106" t="s">
        <v>27251</v>
      </c>
      <c r="N12106" t="s">
        <v>27252</v>
      </c>
      <c r="Q12106" s="1">
        <v>44538</v>
      </c>
      <c r="R12106" t="s">
        <v>27253</v>
      </c>
      <c r="S12106" t="s">
        <v>27254</v>
      </c>
      <c r="T12106" t="s">
        <v>27255</v>
      </c>
    </row>
    <row r="12107" spans="1:20" x14ac:dyDescent="0.3">
      <c r="A12107" t="str">
        <f>"0611839757100"</f>
        <v>0611839757100</v>
      </c>
      <c r="B12107" t="str">
        <f>"LQ9033"</f>
        <v>LQ9033</v>
      </c>
      <c r="C12107" t="s">
        <v>50657</v>
      </c>
      <c r="D12107" t="s">
        <v>27245</v>
      </c>
      <c r="E12107" t="str">
        <f t="shared" si="189"/>
        <v>001390</v>
      </c>
      <c r="F12107" t="s">
        <v>27246</v>
      </c>
      <c r="G12107" t="s">
        <v>27247</v>
      </c>
      <c r="H12107" t="s">
        <v>27248</v>
      </c>
      <c r="I12107" t="s">
        <v>50658</v>
      </c>
      <c r="J12107" t="s">
        <v>24217</v>
      </c>
      <c r="L12107" t="s">
        <v>27250</v>
      </c>
      <c r="M12107" t="s">
        <v>27251</v>
      </c>
      <c r="N12107" t="s">
        <v>27252</v>
      </c>
      <c r="Q12107" s="1">
        <v>44538</v>
      </c>
      <c r="R12107" t="s">
        <v>27253</v>
      </c>
      <c r="S12107" t="s">
        <v>27254</v>
      </c>
      <c r="T12107" t="s">
        <v>27255</v>
      </c>
    </row>
    <row r="12108" spans="1:20" x14ac:dyDescent="0.3">
      <c r="A12108" t="str">
        <f>"0611839758100"</f>
        <v>0611839758100</v>
      </c>
      <c r="B12108" t="str">
        <f>"MB8000"</f>
        <v>MB8000</v>
      </c>
      <c r="C12108" t="s">
        <v>50659</v>
      </c>
      <c r="D12108" t="s">
        <v>27274</v>
      </c>
      <c r="E12108" t="str">
        <f t="shared" si="189"/>
        <v>001390</v>
      </c>
      <c r="F12108" t="s">
        <v>27246</v>
      </c>
      <c r="G12108" t="s">
        <v>27247</v>
      </c>
      <c r="H12108" t="s">
        <v>27248</v>
      </c>
      <c r="I12108" t="s">
        <v>50660</v>
      </c>
      <c r="J12108" t="s">
        <v>24219</v>
      </c>
      <c r="L12108" t="s">
        <v>27250</v>
      </c>
      <c r="M12108" t="s">
        <v>27251</v>
      </c>
      <c r="N12108" t="s">
        <v>27252</v>
      </c>
      <c r="Q12108" s="1">
        <v>44538</v>
      </c>
      <c r="R12108" t="s">
        <v>27253</v>
      </c>
      <c r="S12108" t="s">
        <v>27254</v>
      </c>
      <c r="T12108" t="s">
        <v>27276</v>
      </c>
    </row>
    <row r="12109" spans="1:20" x14ac:dyDescent="0.3">
      <c r="A12109" t="str">
        <f>"0611839759100"</f>
        <v>0611839759100</v>
      </c>
      <c r="B12109" t="str">
        <f>"LB9100"</f>
        <v>LB9100</v>
      </c>
      <c r="C12109" t="s">
        <v>50659</v>
      </c>
      <c r="D12109" t="s">
        <v>27245</v>
      </c>
      <c r="E12109" t="str">
        <f t="shared" si="189"/>
        <v>001390</v>
      </c>
      <c r="F12109" t="s">
        <v>27246</v>
      </c>
      <c r="G12109" t="s">
        <v>27247</v>
      </c>
      <c r="H12109" t="s">
        <v>27248</v>
      </c>
      <c r="I12109" t="s">
        <v>50661</v>
      </c>
      <c r="J12109" t="s">
        <v>24221</v>
      </c>
      <c r="L12109" t="s">
        <v>27250</v>
      </c>
      <c r="M12109" t="s">
        <v>27251</v>
      </c>
      <c r="N12109" t="s">
        <v>27252</v>
      </c>
      <c r="Q12109" s="1">
        <v>44538</v>
      </c>
      <c r="R12109" t="s">
        <v>27253</v>
      </c>
      <c r="S12109" t="s">
        <v>27254</v>
      </c>
      <c r="T12109" t="s">
        <v>27255</v>
      </c>
    </row>
    <row r="12110" spans="1:20" x14ac:dyDescent="0.3">
      <c r="A12110" t="str">
        <f>"0611839760100"</f>
        <v>0611839760100</v>
      </c>
      <c r="B12110" t="str">
        <f>"LK1199"</f>
        <v>LK1199</v>
      </c>
      <c r="C12110" t="s">
        <v>50662</v>
      </c>
      <c r="D12110" t="s">
        <v>27245</v>
      </c>
      <c r="E12110" t="str">
        <f t="shared" si="189"/>
        <v>001390</v>
      </c>
      <c r="F12110" t="s">
        <v>27246</v>
      </c>
      <c r="G12110" t="s">
        <v>27247</v>
      </c>
      <c r="H12110" t="s">
        <v>27248</v>
      </c>
      <c r="I12110" t="s">
        <v>50663</v>
      </c>
      <c r="J12110" t="s">
        <v>24223</v>
      </c>
      <c r="L12110" t="s">
        <v>27250</v>
      </c>
      <c r="M12110" t="s">
        <v>27251</v>
      </c>
      <c r="N12110" t="s">
        <v>27252</v>
      </c>
      <c r="Q12110" s="1">
        <v>44538</v>
      </c>
      <c r="R12110" t="s">
        <v>27253</v>
      </c>
      <c r="S12110" t="s">
        <v>27254</v>
      </c>
      <c r="T12110" t="s">
        <v>27255</v>
      </c>
    </row>
    <row r="12111" spans="1:20" x14ac:dyDescent="0.3">
      <c r="A12111" t="str">
        <f>"0611839761100"</f>
        <v>0611839761100</v>
      </c>
      <c r="B12111" t="str">
        <f>"LD0022"</f>
        <v>LD0022</v>
      </c>
      <c r="C12111" t="s">
        <v>50664</v>
      </c>
      <c r="D12111" t="s">
        <v>27245</v>
      </c>
      <c r="E12111" t="str">
        <f t="shared" si="189"/>
        <v>001390</v>
      </c>
      <c r="F12111" t="s">
        <v>27246</v>
      </c>
      <c r="G12111" t="s">
        <v>27247</v>
      </c>
      <c r="H12111" t="s">
        <v>27248</v>
      </c>
      <c r="I12111" t="s">
        <v>50665</v>
      </c>
      <c r="J12111" t="s">
        <v>24225</v>
      </c>
      <c r="L12111" t="s">
        <v>27250</v>
      </c>
      <c r="M12111" t="s">
        <v>27251</v>
      </c>
      <c r="N12111" t="s">
        <v>27252</v>
      </c>
      <c r="Q12111" s="1">
        <v>44538</v>
      </c>
      <c r="R12111" t="s">
        <v>27253</v>
      </c>
      <c r="S12111" t="s">
        <v>27254</v>
      </c>
      <c r="T12111" t="s">
        <v>27255</v>
      </c>
    </row>
    <row r="12112" spans="1:20" x14ac:dyDescent="0.3">
      <c r="A12112" t="str">
        <f>"0611839762100"</f>
        <v>0611839762100</v>
      </c>
      <c r="B12112" t="str">
        <f>"LK6510"</f>
        <v>LK6510</v>
      </c>
      <c r="C12112" t="s">
        <v>50666</v>
      </c>
      <c r="D12112" t="s">
        <v>27245</v>
      </c>
      <c r="E12112" t="str">
        <f t="shared" si="189"/>
        <v>001390</v>
      </c>
      <c r="F12112" t="s">
        <v>27246</v>
      </c>
      <c r="G12112" t="s">
        <v>27247</v>
      </c>
      <c r="H12112" t="s">
        <v>27248</v>
      </c>
      <c r="I12112" t="s">
        <v>50667</v>
      </c>
      <c r="J12112" t="s">
        <v>24227</v>
      </c>
      <c r="L12112" t="s">
        <v>27250</v>
      </c>
      <c r="M12112" t="s">
        <v>27251</v>
      </c>
      <c r="N12112" t="s">
        <v>27252</v>
      </c>
      <c r="Q12112" s="1">
        <v>44538</v>
      </c>
      <c r="R12112" t="s">
        <v>27253</v>
      </c>
      <c r="S12112" t="s">
        <v>27254</v>
      </c>
      <c r="T12112" t="s">
        <v>27255</v>
      </c>
    </row>
    <row r="12113" spans="1:20" x14ac:dyDescent="0.3">
      <c r="A12113" t="str">
        <f>"0611839763025"</f>
        <v>0611839763025</v>
      </c>
      <c r="B12113" t="str">
        <f>"MC3105"</f>
        <v>MC3105</v>
      </c>
      <c r="C12113" t="s">
        <v>50668</v>
      </c>
      <c r="D12113" t="s">
        <v>27267</v>
      </c>
      <c r="E12113" t="str">
        <f t="shared" si="189"/>
        <v>001390</v>
      </c>
      <c r="F12113" t="s">
        <v>27246</v>
      </c>
      <c r="G12113" t="s">
        <v>27247</v>
      </c>
      <c r="H12113" t="s">
        <v>27248</v>
      </c>
      <c r="I12113" t="s">
        <v>50669</v>
      </c>
      <c r="J12113" t="s">
        <v>24229</v>
      </c>
      <c r="L12113" t="s">
        <v>27250</v>
      </c>
      <c r="M12113" t="s">
        <v>27251</v>
      </c>
      <c r="N12113" t="s">
        <v>27252</v>
      </c>
      <c r="Q12113" s="1">
        <v>44538</v>
      </c>
      <c r="R12113" t="s">
        <v>27253</v>
      </c>
      <c r="S12113" t="s">
        <v>27254</v>
      </c>
      <c r="T12113" t="s">
        <v>27269</v>
      </c>
    </row>
    <row r="12114" spans="1:20" x14ac:dyDescent="0.3">
      <c r="A12114" t="str">
        <f>"0611839764100"</f>
        <v>0611839764100</v>
      </c>
      <c r="B12114" t="str">
        <f>"LD0023"</f>
        <v>LD0023</v>
      </c>
      <c r="C12114" t="s">
        <v>50670</v>
      </c>
      <c r="D12114" t="s">
        <v>27245</v>
      </c>
      <c r="E12114" t="str">
        <f t="shared" si="189"/>
        <v>001390</v>
      </c>
      <c r="F12114" t="s">
        <v>27246</v>
      </c>
      <c r="G12114" t="s">
        <v>27247</v>
      </c>
      <c r="H12114" t="s">
        <v>27248</v>
      </c>
      <c r="I12114" t="s">
        <v>50671</v>
      </c>
      <c r="J12114" t="s">
        <v>24231</v>
      </c>
      <c r="L12114" t="s">
        <v>27250</v>
      </c>
      <c r="M12114" t="s">
        <v>27251</v>
      </c>
      <c r="N12114" t="s">
        <v>27252</v>
      </c>
      <c r="Q12114" s="1">
        <v>44538</v>
      </c>
      <c r="R12114" t="s">
        <v>27253</v>
      </c>
      <c r="S12114" t="s">
        <v>27254</v>
      </c>
      <c r="T12114" t="s">
        <v>27255</v>
      </c>
    </row>
    <row r="12115" spans="1:20" x14ac:dyDescent="0.3">
      <c r="A12115" t="str">
        <f>"0611839765100"</f>
        <v>0611839765100</v>
      </c>
      <c r="B12115" t="str">
        <f>"LB9101"</f>
        <v>LB9101</v>
      </c>
      <c r="C12115" t="s">
        <v>50672</v>
      </c>
      <c r="D12115" t="s">
        <v>27245</v>
      </c>
      <c r="E12115" t="str">
        <f t="shared" si="189"/>
        <v>001390</v>
      </c>
      <c r="F12115" t="s">
        <v>27246</v>
      </c>
      <c r="G12115" t="s">
        <v>27247</v>
      </c>
      <c r="H12115" t="s">
        <v>27248</v>
      </c>
      <c r="I12115" t="s">
        <v>50673</v>
      </c>
      <c r="J12115" t="s">
        <v>24233</v>
      </c>
      <c r="L12115" t="s">
        <v>27250</v>
      </c>
      <c r="M12115" t="s">
        <v>27251</v>
      </c>
      <c r="N12115" t="s">
        <v>27252</v>
      </c>
      <c r="Q12115" s="1">
        <v>44538</v>
      </c>
      <c r="R12115" t="s">
        <v>27253</v>
      </c>
      <c r="S12115" t="s">
        <v>27254</v>
      </c>
      <c r="T12115" t="s">
        <v>27255</v>
      </c>
    </row>
    <row r="12116" spans="1:20" x14ac:dyDescent="0.3">
      <c r="A12116" t="str">
        <f>"0611839767100"</f>
        <v>0611839767100</v>
      </c>
      <c r="B12116" t="str">
        <f>"LK6773"</f>
        <v>LK6773</v>
      </c>
      <c r="C12116" t="s">
        <v>50674</v>
      </c>
      <c r="D12116" t="s">
        <v>27245</v>
      </c>
      <c r="E12116" t="str">
        <f t="shared" si="189"/>
        <v>001390</v>
      </c>
      <c r="F12116" t="s">
        <v>27246</v>
      </c>
      <c r="G12116" t="s">
        <v>27247</v>
      </c>
      <c r="H12116" t="s">
        <v>27248</v>
      </c>
      <c r="I12116" t="s">
        <v>50675</v>
      </c>
      <c r="J12116" t="s">
        <v>24235</v>
      </c>
      <c r="L12116" t="s">
        <v>27250</v>
      </c>
      <c r="M12116" t="s">
        <v>27251</v>
      </c>
      <c r="N12116" t="s">
        <v>27252</v>
      </c>
      <c r="Q12116" s="1">
        <v>44538</v>
      </c>
      <c r="R12116" t="s">
        <v>27253</v>
      </c>
      <c r="S12116" t="s">
        <v>27254</v>
      </c>
      <c r="T12116" t="s">
        <v>27255</v>
      </c>
    </row>
    <row r="12117" spans="1:20" x14ac:dyDescent="0.3">
      <c r="A12117" t="str">
        <f>"0611839768100"</f>
        <v>0611839768100</v>
      </c>
      <c r="B12117" t="str">
        <f>"LK6040"</f>
        <v>LK6040</v>
      </c>
      <c r="C12117" t="s">
        <v>50676</v>
      </c>
      <c r="D12117" t="s">
        <v>27245</v>
      </c>
      <c r="E12117" t="str">
        <f t="shared" si="189"/>
        <v>001390</v>
      </c>
      <c r="F12117" t="s">
        <v>27246</v>
      </c>
      <c r="G12117" t="s">
        <v>27247</v>
      </c>
      <c r="H12117" t="s">
        <v>27248</v>
      </c>
      <c r="I12117" t="s">
        <v>50677</v>
      </c>
      <c r="J12117" t="s">
        <v>24237</v>
      </c>
      <c r="L12117" t="s">
        <v>27250</v>
      </c>
      <c r="M12117" t="s">
        <v>27251</v>
      </c>
      <c r="N12117" t="s">
        <v>27252</v>
      </c>
      <c r="Q12117" s="1">
        <v>44538</v>
      </c>
      <c r="R12117" t="s">
        <v>27253</v>
      </c>
      <c r="S12117" t="s">
        <v>27254</v>
      </c>
      <c r="T12117" t="s">
        <v>27255</v>
      </c>
    </row>
    <row r="12118" spans="1:20" x14ac:dyDescent="0.3">
      <c r="A12118" t="str">
        <f>"0611884476100"</f>
        <v>0611884476100</v>
      </c>
      <c r="B12118" t="str">
        <f>"LQ3908"</f>
        <v>LQ3908</v>
      </c>
      <c r="C12118" t="s">
        <v>50678</v>
      </c>
      <c r="D12118" t="s">
        <v>27245</v>
      </c>
      <c r="E12118" t="str">
        <f t="shared" si="189"/>
        <v>001390</v>
      </c>
      <c r="F12118" t="s">
        <v>27246</v>
      </c>
      <c r="G12118" t="s">
        <v>27247</v>
      </c>
      <c r="H12118" t="s">
        <v>27248</v>
      </c>
      <c r="I12118" t="s">
        <v>50679</v>
      </c>
      <c r="J12118" t="s">
        <v>24239</v>
      </c>
      <c r="L12118" t="s">
        <v>27430</v>
      </c>
      <c r="M12118" t="s">
        <v>27251</v>
      </c>
      <c r="N12118" t="s">
        <v>27252</v>
      </c>
      <c r="Q12118" s="1">
        <v>45250</v>
      </c>
      <c r="R12118" t="s">
        <v>27253</v>
      </c>
      <c r="S12118" t="s">
        <v>27254</v>
      </c>
      <c r="T12118" t="s">
        <v>27255</v>
      </c>
    </row>
    <row r="12119" spans="1:20" x14ac:dyDescent="0.3">
      <c r="A12119" t="str">
        <f>"0611839769100"</f>
        <v>0611839769100</v>
      </c>
      <c r="B12119" t="str">
        <f>"LK4273"</f>
        <v>LK4273</v>
      </c>
      <c r="C12119" t="s">
        <v>50680</v>
      </c>
      <c r="D12119" t="s">
        <v>27245</v>
      </c>
      <c r="E12119" t="str">
        <f t="shared" si="189"/>
        <v>001390</v>
      </c>
      <c r="F12119" t="s">
        <v>27246</v>
      </c>
      <c r="G12119" t="s">
        <v>27247</v>
      </c>
      <c r="H12119" t="s">
        <v>27248</v>
      </c>
      <c r="I12119" t="s">
        <v>50681</v>
      </c>
      <c r="J12119" t="s">
        <v>24241</v>
      </c>
      <c r="L12119" t="s">
        <v>27250</v>
      </c>
      <c r="M12119" t="s">
        <v>27251</v>
      </c>
      <c r="N12119" t="s">
        <v>27252</v>
      </c>
      <c r="Q12119" s="1">
        <v>44538</v>
      </c>
      <c r="R12119" t="s">
        <v>27253</v>
      </c>
      <c r="S12119" t="s">
        <v>27254</v>
      </c>
      <c r="T12119" t="s">
        <v>27255</v>
      </c>
    </row>
    <row r="12120" spans="1:20" x14ac:dyDescent="0.3">
      <c r="A12120" t="str">
        <f>"0611839770100"</f>
        <v>0611839770100</v>
      </c>
      <c r="B12120" t="str">
        <f>"LK3795"</f>
        <v>LK3795</v>
      </c>
      <c r="C12120" t="s">
        <v>50682</v>
      </c>
      <c r="D12120" t="s">
        <v>27245</v>
      </c>
      <c r="E12120" t="str">
        <f t="shared" si="189"/>
        <v>001390</v>
      </c>
      <c r="F12120" t="s">
        <v>27246</v>
      </c>
      <c r="G12120" t="s">
        <v>27247</v>
      </c>
      <c r="H12120" t="s">
        <v>27248</v>
      </c>
      <c r="I12120" t="s">
        <v>50683</v>
      </c>
      <c r="J12120" t="s">
        <v>24243</v>
      </c>
      <c r="L12120" t="s">
        <v>27250</v>
      </c>
      <c r="M12120" t="s">
        <v>27251</v>
      </c>
      <c r="N12120" t="s">
        <v>27252</v>
      </c>
      <c r="Q12120" s="1">
        <v>44538</v>
      </c>
      <c r="R12120" t="s">
        <v>27253</v>
      </c>
      <c r="S12120" t="s">
        <v>27254</v>
      </c>
      <c r="T12120" t="s">
        <v>27255</v>
      </c>
    </row>
    <row r="12121" spans="1:20" x14ac:dyDescent="0.3">
      <c r="A12121" t="str">
        <f>"0611839771100"</f>
        <v>0611839771100</v>
      </c>
      <c r="B12121" t="str">
        <f>"LB9102"</f>
        <v>LB9102</v>
      </c>
      <c r="C12121" t="s">
        <v>50684</v>
      </c>
      <c r="D12121" t="s">
        <v>27245</v>
      </c>
      <c r="E12121" t="str">
        <f t="shared" si="189"/>
        <v>001390</v>
      </c>
      <c r="F12121" t="s">
        <v>27246</v>
      </c>
      <c r="G12121" t="s">
        <v>27247</v>
      </c>
      <c r="H12121" t="s">
        <v>27248</v>
      </c>
      <c r="I12121" t="s">
        <v>50685</v>
      </c>
      <c r="J12121" t="s">
        <v>24245</v>
      </c>
      <c r="L12121" t="s">
        <v>27250</v>
      </c>
      <c r="M12121" t="s">
        <v>27251</v>
      </c>
      <c r="N12121" t="s">
        <v>27252</v>
      </c>
      <c r="Q12121" s="1">
        <v>44538</v>
      </c>
      <c r="R12121" t="s">
        <v>27253</v>
      </c>
      <c r="S12121" t="s">
        <v>27254</v>
      </c>
      <c r="T12121" t="s">
        <v>27255</v>
      </c>
    </row>
    <row r="12122" spans="1:20" x14ac:dyDescent="0.3">
      <c r="A12122" t="str">
        <f>"0611839772100"</f>
        <v>0611839772100</v>
      </c>
      <c r="B12122" t="str">
        <f>"LK0992"</f>
        <v>LK0992</v>
      </c>
      <c r="C12122" t="s">
        <v>50686</v>
      </c>
      <c r="D12122" t="s">
        <v>27245</v>
      </c>
      <c r="E12122" t="str">
        <f t="shared" si="189"/>
        <v>001390</v>
      </c>
      <c r="F12122" t="s">
        <v>27246</v>
      </c>
      <c r="G12122" t="s">
        <v>27247</v>
      </c>
      <c r="H12122" t="s">
        <v>27248</v>
      </c>
      <c r="I12122" t="s">
        <v>50687</v>
      </c>
      <c r="J12122" t="s">
        <v>24247</v>
      </c>
      <c r="L12122" t="s">
        <v>27250</v>
      </c>
      <c r="M12122" t="s">
        <v>27251</v>
      </c>
      <c r="N12122" t="s">
        <v>27252</v>
      </c>
      <c r="Q12122" s="1">
        <v>44538</v>
      </c>
      <c r="R12122" t="s">
        <v>27253</v>
      </c>
      <c r="S12122" t="s">
        <v>27254</v>
      </c>
      <c r="T12122" t="s">
        <v>27255</v>
      </c>
    </row>
    <row r="12123" spans="1:20" x14ac:dyDescent="0.3">
      <c r="A12123" t="str">
        <f>"0611839773100"</f>
        <v>0611839773100</v>
      </c>
      <c r="B12123" t="str">
        <f>"LK0993"</f>
        <v>LK0993</v>
      </c>
      <c r="C12123" t="s">
        <v>50688</v>
      </c>
      <c r="D12123" t="s">
        <v>27245</v>
      </c>
      <c r="E12123" t="str">
        <f t="shared" si="189"/>
        <v>001390</v>
      </c>
      <c r="F12123" t="s">
        <v>27246</v>
      </c>
      <c r="G12123" t="s">
        <v>27247</v>
      </c>
      <c r="H12123" t="s">
        <v>27248</v>
      </c>
      <c r="I12123" t="s">
        <v>50689</v>
      </c>
      <c r="J12123" t="s">
        <v>24249</v>
      </c>
      <c r="L12123" t="s">
        <v>27250</v>
      </c>
      <c r="M12123" t="s">
        <v>27251</v>
      </c>
      <c r="N12123" t="s">
        <v>27252</v>
      </c>
      <c r="Q12123" s="1">
        <v>44538</v>
      </c>
      <c r="R12123" t="s">
        <v>27253</v>
      </c>
      <c r="S12123" t="s">
        <v>27254</v>
      </c>
      <c r="T12123" t="s">
        <v>27255</v>
      </c>
    </row>
    <row r="12124" spans="1:20" x14ac:dyDescent="0.3">
      <c r="A12124" t="str">
        <f>"0611839775100"</f>
        <v>0611839775100</v>
      </c>
      <c r="B12124" t="str">
        <f>"LQ3683"</f>
        <v>LQ3683</v>
      </c>
      <c r="C12124" t="s">
        <v>50690</v>
      </c>
      <c r="D12124" t="s">
        <v>27245</v>
      </c>
      <c r="E12124" t="str">
        <f t="shared" si="189"/>
        <v>001390</v>
      </c>
      <c r="F12124" t="s">
        <v>27246</v>
      </c>
      <c r="G12124" t="s">
        <v>27247</v>
      </c>
      <c r="H12124" t="s">
        <v>27248</v>
      </c>
      <c r="I12124" t="s">
        <v>50691</v>
      </c>
      <c r="J12124" t="s">
        <v>24251</v>
      </c>
      <c r="L12124" t="s">
        <v>27250</v>
      </c>
      <c r="M12124" t="s">
        <v>27251</v>
      </c>
      <c r="N12124" t="s">
        <v>27252</v>
      </c>
      <c r="Q12124" s="1">
        <v>44538</v>
      </c>
      <c r="R12124" t="s">
        <v>27253</v>
      </c>
      <c r="S12124" t="s">
        <v>27254</v>
      </c>
      <c r="T12124" t="s">
        <v>27255</v>
      </c>
    </row>
    <row r="12125" spans="1:20" x14ac:dyDescent="0.3">
      <c r="A12125" t="str">
        <f>"0611884477100"</f>
        <v>0611884477100</v>
      </c>
      <c r="B12125" t="str">
        <f>"LQ3909"</f>
        <v>LQ3909</v>
      </c>
      <c r="C12125" t="s">
        <v>50692</v>
      </c>
      <c r="D12125" t="s">
        <v>27245</v>
      </c>
      <c r="E12125" t="str">
        <f t="shared" si="189"/>
        <v>001390</v>
      </c>
      <c r="F12125" t="s">
        <v>27246</v>
      </c>
      <c r="G12125" t="s">
        <v>27247</v>
      </c>
      <c r="H12125" t="s">
        <v>27248</v>
      </c>
      <c r="I12125" t="s">
        <v>50693</v>
      </c>
      <c r="J12125" t="s">
        <v>24253</v>
      </c>
      <c r="L12125" t="s">
        <v>27430</v>
      </c>
      <c r="M12125" t="s">
        <v>27251</v>
      </c>
      <c r="N12125" t="s">
        <v>27252</v>
      </c>
      <c r="Q12125" s="1">
        <v>45250</v>
      </c>
      <c r="R12125" t="s">
        <v>27253</v>
      </c>
      <c r="S12125" t="s">
        <v>27254</v>
      </c>
      <c r="T12125" t="s">
        <v>27255</v>
      </c>
    </row>
    <row r="12126" spans="1:20" x14ac:dyDescent="0.3">
      <c r="A12126" t="str">
        <f>"0611839776100"</f>
        <v>0611839776100</v>
      </c>
      <c r="B12126" t="str">
        <f>"LQ3744"</f>
        <v>LQ3744</v>
      </c>
      <c r="C12126" t="s">
        <v>50694</v>
      </c>
      <c r="D12126" t="s">
        <v>27245</v>
      </c>
      <c r="E12126" t="str">
        <f t="shared" si="189"/>
        <v>001390</v>
      </c>
      <c r="F12126" t="s">
        <v>27246</v>
      </c>
      <c r="G12126" t="s">
        <v>27247</v>
      </c>
      <c r="H12126" t="s">
        <v>27248</v>
      </c>
      <c r="I12126" t="s">
        <v>50695</v>
      </c>
      <c r="J12126" t="s">
        <v>24255</v>
      </c>
      <c r="L12126" t="s">
        <v>27250</v>
      </c>
      <c r="M12126" t="s">
        <v>27251</v>
      </c>
      <c r="N12126" t="s">
        <v>27252</v>
      </c>
      <c r="Q12126" s="1">
        <v>44538</v>
      </c>
      <c r="R12126" t="s">
        <v>27253</v>
      </c>
      <c r="S12126" t="s">
        <v>27254</v>
      </c>
      <c r="T12126" t="s">
        <v>27255</v>
      </c>
    </row>
    <row r="12127" spans="1:20" x14ac:dyDescent="0.3">
      <c r="A12127" t="str">
        <f>"0611839777100"</f>
        <v>0611839777100</v>
      </c>
      <c r="B12127" t="str">
        <f>"LQ3684"</f>
        <v>LQ3684</v>
      </c>
      <c r="C12127" t="s">
        <v>50696</v>
      </c>
      <c r="D12127" t="s">
        <v>27245</v>
      </c>
      <c r="E12127" t="str">
        <f t="shared" si="189"/>
        <v>001390</v>
      </c>
      <c r="F12127" t="s">
        <v>27246</v>
      </c>
      <c r="G12127" t="s">
        <v>27247</v>
      </c>
      <c r="H12127" t="s">
        <v>27248</v>
      </c>
      <c r="I12127" t="s">
        <v>50697</v>
      </c>
      <c r="J12127" t="s">
        <v>24257</v>
      </c>
      <c r="L12127" t="s">
        <v>27250</v>
      </c>
      <c r="M12127" t="s">
        <v>27251</v>
      </c>
      <c r="N12127" t="s">
        <v>27252</v>
      </c>
      <c r="Q12127" s="1">
        <v>44538</v>
      </c>
      <c r="R12127" t="s">
        <v>27253</v>
      </c>
      <c r="S12127" t="s">
        <v>27254</v>
      </c>
      <c r="T12127" t="s">
        <v>27255</v>
      </c>
    </row>
    <row r="12128" spans="1:20" x14ac:dyDescent="0.3">
      <c r="A12128" t="str">
        <f>"0611839778100"</f>
        <v>0611839778100</v>
      </c>
      <c r="B12128" t="str">
        <f>"LQ3685"</f>
        <v>LQ3685</v>
      </c>
      <c r="C12128" t="s">
        <v>50698</v>
      </c>
      <c r="D12128" t="s">
        <v>27245</v>
      </c>
      <c r="E12128" t="str">
        <f t="shared" si="189"/>
        <v>001390</v>
      </c>
      <c r="F12128" t="s">
        <v>27246</v>
      </c>
      <c r="G12128" t="s">
        <v>27247</v>
      </c>
      <c r="H12128" t="s">
        <v>27248</v>
      </c>
      <c r="I12128" t="s">
        <v>50699</v>
      </c>
      <c r="J12128" t="s">
        <v>24259</v>
      </c>
      <c r="L12128" t="s">
        <v>27250</v>
      </c>
      <c r="M12128" t="s">
        <v>27251</v>
      </c>
      <c r="N12128" t="s">
        <v>27252</v>
      </c>
      <c r="Q12128" s="1">
        <v>44538</v>
      </c>
      <c r="R12128" t="s">
        <v>27253</v>
      </c>
      <c r="S12128" t="s">
        <v>27254</v>
      </c>
      <c r="T12128" t="s">
        <v>27255</v>
      </c>
    </row>
    <row r="12129" spans="1:20" x14ac:dyDescent="0.3">
      <c r="A12129" t="str">
        <f>"0611839779100"</f>
        <v>0611839779100</v>
      </c>
      <c r="B12129" t="str">
        <f>"LQ3686"</f>
        <v>LQ3686</v>
      </c>
      <c r="C12129" t="s">
        <v>50700</v>
      </c>
      <c r="D12129" t="s">
        <v>27245</v>
      </c>
      <c r="E12129" t="str">
        <f t="shared" si="189"/>
        <v>001390</v>
      </c>
      <c r="F12129" t="s">
        <v>27246</v>
      </c>
      <c r="G12129" t="s">
        <v>27247</v>
      </c>
      <c r="H12129" t="s">
        <v>27248</v>
      </c>
      <c r="I12129" t="s">
        <v>50701</v>
      </c>
      <c r="J12129" t="s">
        <v>24261</v>
      </c>
      <c r="L12129" t="s">
        <v>27250</v>
      </c>
      <c r="M12129" t="s">
        <v>27251</v>
      </c>
      <c r="N12129" t="s">
        <v>27252</v>
      </c>
      <c r="Q12129" s="1">
        <v>44538</v>
      </c>
      <c r="R12129" t="s">
        <v>27253</v>
      </c>
      <c r="S12129" t="s">
        <v>27254</v>
      </c>
      <c r="T12129" t="s">
        <v>27255</v>
      </c>
    </row>
    <row r="12130" spans="1:20" x14ac:dyDescent="0.3">
      <c r="A12130" t="str">
        <f>"0611839780100"</f>
        <v>0611839780100</v>
      </c>
      <c r="B12130" t="str">
        <f>"LQ3687"</f>
        <v>LQ3687</v>
      </c>
      <c r="C12130" t="s">
        <v>50702</v>
      </c>
      <c r="D12130" t="s">
        <v>27245</v>
      </c>
      <c r="E12130" t="str">
        <f t="shared" si="189"/>
        <v>001390</v>
      </c>
      <c r="F12130" t="s">
        <v>27246</v>
      </c>
      <c r="G12130" t="s">
        <v>27247</v>
      </c>
      <c r="H12130" t="s">
        <v>27248</v>
      </c>
      <c r="I12130" t="s">
        <v>50703</v>
      </c>
      <c r="J12130" t="s">
        <v>24263</v>
      </c>
      <c r="L12130" t="s">
        <v>27250</v>
      </c>
      <c r="M12130" t="s">
        <v>27251</v>
      </c>
      <c r="N12130" t="s">
        <v>27252</v>
      </c>
      <c r="Q12130" s="1">
        <v>44538</v>
      </c>
      <c r="R12130" t="s">
        <v>27253</v>
      </c>
      <c r="S12130" t="s">
        <v>27254</v>
      </c>
      <c r="T12130" t="s">
        <v>27255</v>
      </c>
    </row>
    <row r="12131" spans="1:20" x14ac:dyDescent="0.3">
      <c r="A12131" t="str">
        <f>"0611839781100"</f>
        <v>0611839781100</v>
      </c>
      <c r="B12131" t="str">
        <f>"LQ3688"</f>
        <v>LQ3688</v>
      </c>
      <c r="C12131" t="s">
        <v>50704</v>
      </c>
      <c r="D12131" t="s">
        <v>27245</v>
      </c>
      <c r="E12131" t="str">
        <f t="shared" si="189"/>
        <v>001390</v>
      </c>
      <c r="F12131" t="s">
        <v>27246</v>
      </c>
      <c r="G12131" t="s">
        <v>27247</v>
      </c>
      <c r="H12131" t="s">
        <v>27248</v>
      </c>
      <c r="I12131" t="s">
        <v>50705</v>
      </c>
      <c r="J12131" t="s">
        <v>24265</v>
      </c>
      <c r="L12131" t="s">
        <v>27250</v>
      </c>
      <c r="M12131" t="s">
        <v>27251</v>
      </c>
      <c r="N12131" t="s">
        <v>27252</v>
      </c>
      <c r="Q12131" s="1">
        <v>44538</v>
      </c>
      <c r="R12131" t="s">
        <v>27253</v>
      </c>
      <c r="S12131" t="s">
        <v>27254</v>
      </c>
      <c r="T12131" t="s">
        <v>27255</v>
      </c>
    </row>
    <row r="12132" spans="1:20" x14ac:dyDescent="0.3">
      <c r="A12132" t="str">
        <f>"0611839782100"</f>
        <v>0611839782100</v>
      </c>
      <c r="B12132" t="str">
        <f>"LD0024"</f>
        <v>LD0024</v>
      </c>
      <c r="C12132" t="s">
        <v>50706</v>
      </c>
      <c r="D12132" t="s">
        <v>27245</v>
      </c>
      <c r="E12132" t="str">
        <f t="shared" si="189"/>
        <v>001390</v>
      </c>
      <c r="F12132" t="s">
        <v>27246</v>
      </c>
      <c r="G12132" t="s">
        <v>27247</v>
      </c>
      <c r="H12132" t="s">
        <v>27248</v>
      </c>
      <c r="I12132" t="s">
        <v>50707</v>
      </c>
      <c r="J12132" t="s">
        <v>24267</v>
      </c>
      <c r="L12132" t="s">
        <v>27250</v>
      </c>
      <c r="M12132" t="s">
        <v>27251</v>
      </c>
      <c r="N12132" t="s">
        <v>27252</v>
      </c>
      <c r="Q12132" s="1">
        <v>44538</v>
      </c>
      <c r="R12132" t="s">
        <v>27253</v>
      </c>
      <c r="S12132" t="s">
        <v>27254</v>
      </c>
      <c r="T12132" t="s">
        <v>27255</v>
      </c>
    </row>
    <row r="12133" spans="1:20" x14ac:dyDescent="0.3">
      <c r="A12133" t="str">
        <f>"0611835152025"</f>
        <v>0611835152025</v>
      </c>
      <c r="B12133" t="str">
        <f>"MC1397"</f>
        <v>MC1397</v>
      </c>
      <c r="C12133" t="s">
        <v>50708</v>
      </c>
      <c r="D12133" t="s">
        <v>27267</v>
      </c>
      <c r="E12133" t="str">
        <f t="shared" si="189"/>
        <v>001390</v>
      </c>
      <c r="F12133" t="s">
        <v>27246</v>
      </c>
      <c r="G12133" t="s">
        <v>27247</v>
      </c>
      <c r="H12133" t="s">
        <v>27248</v>
      </c>
      <c r="I12133" t="s">
        <v>50709</v>
      </c>
      <c r="J12133" t="s">
        <v>24271</v>
      </c>
      <c r="L12133" t="s">
        <v>27250</v>
      </c>
      <c r="M12133" t="s">
        <v>27251</v>
      </c>
      <c r="N12133" t="s">
        <v>27252</v>
      </c>
      <c r="Q12133" s="1">
        <v>44538</v>
      </c>
      <c r="R12133" t="s">
        <v>27253</v>
      </c>
      <c r="S12133" t="s">
        <v>27254</v>
      </c>
      <c r="T12133" t="s">
        <v>27269</v>
      </c>
    </row>
    <row r="12134" spans="1:20" x14ac:dyDescent="0.3">
      <c r="A12134" t="str">
        <f>"0611835153100"</f>
        <v>0611835153100</v>
      </c>
      <c r="B12134" t="str">
        <f>"LC9504"</f>
        <v>LC9504</v>
      </c>
      <c r="C12134" t="s">
        <v>50710</v>
      </c>
      <c r="D12134" t="s">
        <v>27245</v>
      </c>
      <c r="E12134" t="str">
        <f t="shared" si="189"/>
        <v>001390</v>
      </c>
      <c r="F12134" t="s">
        <v>27246</v>
      </c>
      <c r="G12134" t="s">
        <v>27247</v>
      </c>
      <c r="H12134" t="s">
        <v>27248</v>
      </c>
      <c r="I12134" t="s">
        <v>50711</v>
      </c>
      <c r="J12134" t="s">
        <v>24277</v>
      </c>
      <c r="L12134" t="s">
        <v>27250</v>
      </c>
      <c r="M12134" t="s">
        <v>27251</v>
      </c>
      <c r="N12134" t="s">
        <v>27252</v>
      </c>
      <c r="Q12134" s="1">
        <v>44538</v>
      </c>
      <c r="R12134" t="s">
        <v>27253</v>
      </c>
      <c r="S12134" t="s">
        <v>27254</v>
      </c>
      <c r="T12134" t="s">
        <v>27255</v>
      </c>
    </row>
    <row r="12135" spans="1:20" x14ac:dyDescent="0.3">
      <c r="A12135" t="str">
        <f>"0611835154100"</f>
        <v>0611835154100</v>
      </c>
      <c r="B12135" t="str">
        <f>"LC3408"</f>
        <v>LC3408</v>
      </c>
      <c r="C12135" t="s">
        <v>50712</v>
      </c>
      <c r="D12135" t="s">
        <v>27245</v>
      </c>
      <c r="E12135" t="str">
        <f t="shared" si="189"/>
        <v>001390</v>
      </c>
      <c r="F12135" t="s">
        <v>27246</v>
      </c>
      <c r="G12135" t="s">
        <v>27247</v>
      </c>
      <c r="H12135" t="s">
        <v>27248</v>
      </c>
      <c r="I12135" t="s">
        <v>50713</v>
      </c>
      <c r="J12135" t="s">
        <v>24281</v>
      </c>
      <c r="L12135" t="s">
        <v>27250</v>
      </c>
      <c r="M12135" t="s">
        <v>27251</v>
      </c>
      <c r="N12135" t="s">
        <v>27252</v>
      </c>
      <c r="Q12135" s="1">
        <v>44538</v>
      </c>
      <c r="R12135" t="s">
        <v>27253</v>
      </c>
      <c r="S12135" t="s">
        <v>27254</v>
      </c>
      <c r="T12135" t="s">
        <v>27255</v>
      </c>
    </row>
    <row r="12136" spans="1:20" x14ac:dyDescent="0.3">
      <c r="A12136" t="str">
        <f>"0611835155025"</f>
        <v>0611835155025</v>
      </c>
      <c r="B12136" t="str">
        <f>"MC0717"</f>
        <v>MC0717</v>
      </c>
      <c r="C12136" t="s">
        <v>50714</v>
      </c>
      <c r="D12136" t="s">
        <v>27267</v>
      </c>
      <c r="E12136" t="str">
        <f t="shared" si="189"/>
        <v>001390</v>
      </c>
      <c r="F12136" t="s">
        <v>27246</v>
      </c>
      <c r="G12136" t="s">
        <v>27247</v>
      </c>
      <c r="H12136" t="s">
        <v>27248</v>
      </c>
      <c r="I12136" t="s">
        <v>50715</v>
      </c>
      <c r="J12136" t="s">
        <v>24283</v>
      </c>
      <c r="L12136" t="s">
        <v>27250</v>
      </c>
      <c r="M12136" t="s">
        <v>27251</v>
      </c>
      <c r="N12136" t="s">
        <v>27252</v>
      </c>
      <c r="Q12136" s="1">
        <v>44538</v>
      </c>
      <c r="R12136" t="s">
        <v>27253</v>
      </c>
      <c r="S12136" t="s">
        <v>27254</v>
      </c>
      <c r="T12136" t="s">
        <v>27269</v>
      </c>
    </row>
    <row r="12137" spans="1:20" x14ac:dyDescent="0.3">
      <c r="A12137" t="str">
        <f>"0611835156025"</f>
        <v>0611835156025</v>
      </c>
      <c r="B12137" t="str">
        <f>"MC2295"</f>
        <v>MC2295</v>
      </c>
      <c r="C12137" t="s">
        <v>50716</v>
      </c>
      <c r="D12137" t="s">
        <v>27267</v>
      </c>
      <c r="E12137" t="str">
        <f t="shared" si="189"/>
        <v>001390</v>
      </c>
      <c r="F12137" t="s">
        <v>27246</v>
      </c>
      <c r="G12137" t="s">
        <v>27247</v>
      </c>
      <c r="H12137" t="s">
        <v>27248</v>
      </c>
      <c r="I12137" t="s">
        <v>50717</v>
      </c>
      <c r="J12137" t="s">
        <v>24285</v>
      </c>
      <c r="L12137" t="s">
        <v>27250</v>
      </c>
      <c r="M12137" t="s">
        <v>27251</v>
      </c>
      <c r="N12137" t="s">
        <v>27252</v>
      </c>
      <c r="Q12137" s="1">
        <v>44538</v>
      </c>
      <c r="R12137" t="s">
        <v>27253</v>
      </c>
      <c r="S12137" t="s">
        <v>27254</v>
      </c>
      <c r="T12137" t="s">
        <v>27269</v>
      </c>
    </row>
    <row r="12138" spans="1:20" x14ac:dyDescent="0.3">
      <c r="A12138" t="str">
        <f>"0611835158100"</f>
        <v>0611835158100</v>
      </c>
      <c r="B12138" t="str">
        <f>"LC9505"</f>
        <v>LC9505</v>
      </c>
      <c r="C12138" t="s">
        <v>50718</v>
      </c>
      <c r="D12138" t="s">
        <v>27245</v>
      </c>
      <c r="E12138" t="str">
        <f t="shared" si="189"/>
        <v>001390</v>
      </c>
      <c r="F12138" t="s">
        <v>27246</v>
      </c>
      <c r="G12138" t="s">
        <v>27247</v>
      </c>
      <c r="H12138" t="s">
        <v>27248</v>
      </c>
      <c r="I12138" t="s">
        <v>50719</v>
      </c>
      <c r="J12138" t="s">
        <v>24287</v>
      </c>
      <c r="L12138" t="s">
        <v>27250</v>
      </c>
      <c r="M12138" t="s">
        <v>27251</v>
      </c>
      <c r="N12138" t="s">
        <v>27252</v>
      </c>
      <c r="Q12138" s="1">
        <v>44538</v>
      </c>
      <c r="R12138" t="s">
        <v>27253</v>
      </c>
      <c r="S12138" t="s">
        <v>27254</v>
      </c>
      <c r="T12138" t="s">
        <v>27255</v>
      </c>
    </row>
    <row r="12139" spans="1:20" x14ac:dyDescent="0.3">
      <c r="A12139" t="str">
        <f>"0611835159100"</f>
        <v>0611835159100</v>
      </c>
      <c r="B12139" t="str">
        <f>"LC9514"</f>
        <v>LC9514</v>
      </c>
      <c r="C12139" t="s">
        <v>50720</v>
      </c>
      <c r="D12139" t="s">
        <v>27245</v>
      </c>
      <c r="E12139" t="str">
        <f t="shared" si="189"/>
        <v>001390</v>
      </c>
      <c r="F12139" t="s">
        <v>27246</v>
      </c>
      <c r="G12139" t="s">
        <v>27247</v>
      </c>
      <c r="H12139" t="s">
        <v>27248</v>
      </c>
      <c r="I12139" t="s">
        <v>50721</v>
      </c>
      <c r="J12139" t="s">
        <v>24289</v>
      </c>
      <c r="L12139" t="s">
        <v>27250</v>
      </c>
      <c r="M12139" t="s">
        <v>27251</v>
      </c>
      <c r="N12139" t="s">
        <v>27252</v>
      </c>
      <c r="Q12139" s="1">
        <v>44538</v>
      </c>
      <c r="R12139" t="s">
        <v>27253</v>
      </c>
      <c r="S12139" t="s">
        <v>27254</v>
      </c>
      <c r="T12139" t="s">
        <v>27255</v>
      </c>
    </row>
    <row r="12140" spans="1:20" x14ac:dyDescent="0.3">
      <c r="A12140" t="str">
        <f>"0611835160025"</f>
        <v>0611835160025</v>
      </c>
      <c r="B12140" t="str">
        <f>"MC1755"</f>
        <v>MC1755</v>
      </c>
      <c r="C12140" t="s">
        <v>50720</v>
      </c>
      <c r="D12140" t="s">
        <v>27267</v>
      </c>
      <c r="E12140" t="str">
        <f t="shared" si="189"/>
        <v>001390</v>
      </c>
      <c r="F12140" t="s">
        <v>27246</v>
      </c>
      <c r="G12140" t="s">
        <v>27247</v>
      </c>
      <c r="H12140" t="s">
        <v>27248</v>
      </c>
      <c r="I12140" t="s">
        <v>50722</v>
      </c>
      <c r="J12140" t="s">
        <v>24291</v>
      </c>
      <c r="L12140" t="s">
        <v>27250</v>
      </c>
      <c r="M12140" t="s">
        <v>27251</v>
      </c>
      <c r="N12140" t="s">
        <v>27252</v>
      </c>
      <c r="Q12140" s="1">
        <v>44538</v>
      </c>
      <c r="R12140" t="s">
        <v>27253</v>
      </c>
      <c r="S12140" t="s">
        <v>27254</v>
      </c>
      <c r="T12140" t="s">
        <v>27269</v>
      </c>
    </row>
    <row r="12141" spans="1:20" x14ac:dyDescent="0.3">
      <c r="A12141" t="str">
        <f>"0611862560050"</f>
        <v>0611862560050</v>
      </c>
      <c r="B12141" t="str">
        <f>"CR4487"</f>
        <v>CR4487</v>
      </c>
      <c r="C12141" t="s">
        <v>50720</v>
      </c>
      <c r="D12141" t="s">
        <v>27263</v>
      </c>
      <c r="E12141" t="str">
        <f t="shared" si="189"/>
        <v>001390</v>
      </c>
      <c r="F12141" t="s">
        <v>27246</v>
      </c>
      <c r="G12141" t="s">
        <v>27247</v>
      </c>
      <c r="H12141" t="s">
        <v>27248</v>
      </c>
      <c r="I12141" t="s">
        <v>50723</v>
      </c>
      <c r="J12141" t="s">
        <v>24293</v>
      </c>
      <c r="L12141" t="s">
        <v>27250</v>
      </c>
      <c r="M12141" t="s">
        <v>27251</v>
      </c>
      <c r="N12141" t="s">
        <v>27252</v>
      </c>
      <c r="Q12141" s="1">
        <v>44846</v>
      </c>
      <c r="R12141" t="s">
        <v>27253</v>
      </c>
      <c r="S12141" t="s">
        <v>27254</v>
      </c>
      <c r="T12141" t="s">
        <v>27265</v>
      </c>
    </row>
    <row r="12142" spans="1:20" x14ac:dyDescent="0.3">
      <c r="A12142" t="str">
        <f>"0611835161100"</f>
        <v>0611835161100</v>
      </c>
      <c r="B12142" t="str">
        <f>"LC9529"</f>
        <v>LC9529</v>
      </c>
      <c r="C12142" t="s">
        <v>50724</v>
      </c>
      <c r="D12142" t="s">
        <v>27245</v>
      </c>
      <c r="E12142" t="str">
        <f t="shared" si="189"/>
        <v>001390</v>
      </c>
      <c r="F12142" t="s">
        <v>27246</v>
      </c>
      <c r="G12142" t="s">
        <v>27247</v>
      </c>
      <c r="H12142" t="s">
        <v>27248</v>
      </c>
      <c r="I12142" t="s">
        <v>50725</v>
      </c>
      <c r="J12142" t="s">
        <v>24295</v>
      </c>
      <c r="L12142" t="s">
        <v>27250</v>
      </c>
      <c r="M12142" t="s">
        <v>27251</v>
      </c>
      <c r="N12142" t="s">
        <v>27252</v>
      </c>
      <c r="Q12142" s="1">
        <v>44538</v>
      </c>
      <c r="R12142" t="s">
        <v>27253</v>
      </c>
      <c r="S12142" t="s">
        <v>27254</v>
      </c>
      <c r="T12142" t="s">
        <v>27255</v>
      </c>
    </row>
    <row r="12143" spans="1:20" x14ac:dyDescent="0.3">
      <c r="A12143" t="str">
        <f>"0611835162025"</f>
        <v>0611835162025</v>
      </c>
      <c r="B12143" t="str">
        <f>"MC4122"</f>
        <v>MC4122</v>
      </c>
      <c r="C12143" t="s">
        <v>50724</v>
      </c>
      <c r="D12143" t="s">
        <v>27267</v>
      </c>
      <c r="E12143" t="str">
        <f t="shared" si="189"/>
        <v>001390</v>
      </c>
      <c r="F12143" t="s">
        <v>27246</v>
      </c>
      <c r="G12143" t="s">
        <v>27247</v>
      </c>
      <c r="H12143" t="s">
        <v>27248</v>
      </c>
      <c r="I12143" t="s">
        <v>50726</v>
      </c>
      <c r="J12143" t="s">
        <v>24297</v>
      </c>
      <c r="L12143" t="s">
        <v>27250</v>
      </c>
      <c r="M12143" t="s">
        <v>27251</v>
      </c>
      <c r="N12143" t="s">
        <v>27252</v>
      </c>
      <c r="Q12143" s="1">
        <v>44538</v>
      </c>
      <c r="R12143" t="s">
        <v>27253</v>
      </c>
      <c r="S12143" t="s">
        <v>27254</v>
      </c>
      <c r="T12143" t="s">
        <v>27269</v>
      </c>
    </row>
    <row r="12144" spans="1:20" x14ac:dyDescent="0.3">
      <c r="A12144" t="str">
        <f>"0611862561100"</f>
        <v>0611862561100</v>
      </c>
      <c r="B12144" t="str">
        <f>"CN5404"</f>
        <v>CN5404</v>
      </c>
      <c r="C12144" t="s">
        <v>50727</v>
      </c>
      <c r="D12144" t="s">
        <v>27335</v>
      </c>
      <c r="E12144" t="str">
        <f t="shared" si="189"/>
        <v>001390</v>
      </c>
      <c r="F12144" t="s">
        <v>27246</v>
      </c>
      <c r="G12144" t="s">
        <v>27247</v>
      </c>
      <c r="H12144" t="s">
        <v>27248</v>
      </c>
      <c r="I12144" t="s">
        <v>50728</v>
      </c>
      <c r="J12144" t="s">
        <v>24299</v>
      </c>
      <c r="L12144" t="s">
        <v>27250</v>
      </c>
      <c r="M12144" t="s">
        <v>27251</v>
      </c>
      <c r="N12144" t="s">
        <v>27252</v>
      </c>
      <c r="Q12144" s="1">
        <v>44846</v>
      </c>
      <c r="R12144" t="s">
        <v>27253</v>
      </c>
      <c r="S12144" t="s">
        <v>27254</v>
      </c>
      <c r="T12144" t="s">
        <v>27255</v>
      </c>
    </row>
    <row r="12145" spans="1:20" x14ac:dyDescent="0.3">
      <c r="A12145" t="str">
        <f>"0611862562050"</f>
        <v>0611862562050</v>
      </c>
      <c r="B12145" t="str">
        <f>"CR4488"</f>
        <v>CR4488</v>
      </c>
      <c r="C12145" t="s">
        <v>50729</v>
      </c>
      <c r="D12145" t="s">
        <v>27286</v>
      </c>
      <c r="E12145" t="str">
        <f t="shared" si="189"/>
        <v>001390</v>
      </c>
      <c r="F12145" t="s">
        <v>27246</v>
      </c>
      <c r="G12145" t="s">
        <v>27247</v>
      </c>
      <c r="H12145" t="s">
        <v>27248</v>
      </c>
      <c r="I12145" t="s">
        <v>50730</v>
      </c>
      <c r="J12145" t="s">
        <v>24301</v>
      </c>
      <c r="L12145" t="s">
        <v>27250</v>
      </c>
      <c r="M12145" t="s">
        <v>27251</v>
      </c>
      <c r="N12145" t="s">
        <v>27252</v>
      </c>
      <c r="Q12145" s="1">
        <v>44846</v>
      </c>
      <c r="R12145" t="s">
        <v>27253</v>
      </c>
      <c r="S12145" t="s">
        <v>27254</v>
      </c>
      <c r="T12145" t="s">
        <v>27265</v>
      </c>
    </row>
    <row r="12146" spans="1:20" x14ac:dyDescent="0.3">
      <c r="A12146" t="str">
        <f>"0611835163100"</f>
        <v>0611835163100</v>
      </c>
      <c r="B12146" t="str">
        <f>"LC9517"</f>
        <v>LC9517</v>
      </c>
      <c r="C12146" t="s">
        <v>50731</v>
      </c>
      <c r="D12146" t="s">
        <v>27245</v>
      </c>
      <c r="E12146" t="str">
        <f t="shared" si="189"/>
        <v>001390</v>
      </c>
      <c r="F12146" t="s">
        <v>27246</v>
      </c>
      <c r="G12146" t="s">
        <v>27247</v>
      </c>
      <c r="H12146" t="s">
        <v>27248</v>
      </c>
      <c r="I12146" t="s">
        <v>50732</v>
      </c>
      <c r="J12146" t="s">
        <v>24303</v>
      </c>
      <c r="L12146" t="s">
        <v>27250</v>
      </c>
      <c r="M12146" t="s">
        <v>27251</v>
      </c>
      <c r="N12146" t="s">
        <v>27252</v>
      </c>
      <c r="Q12146" s="1">
        <v>44538</v>
      </c>
      <c r="R12146" t="s">
        <v>27253</v>
      </c>
      <c r="S12146" t="s">
        <v>27254</v>
      </c>
      <c r="T12146" t="s">
        <v>27255</v>
      </c>
    </row>
    <row r="12147" spans="1:20" x14ac:dyDescent="0.3">
      <c r="A12147" t="str">
        <f>"0611835164025"</f>
        <v>0611835164025</v>
      </c>
      <c r="B12147" t="str">
        <f>"MC1499"</f>
        <v>MC1499</v>
      </c>
      <c r="C12147" t="s">
        <v>50731</v>
      </c>
      <c r="D12147" t="s">
        <v>27267</v>
      </c>
      <c r="E12147" t="str">
        <f t="shared" si="189"/>
        <v>001390</v>
      </c>
      <c r="F12147" t="s">
        <v>27246</v>
      </c>
      <c r="G12147" t="s">
        <v>27247</v>
      </c>
      <c r="H12147" t="s">
        <v>27248</v>
      </c>
      <c r="I12147" t="s">
        <v>50733</v>
      </c>
      <c r="J12147" t="s">
        <v>24307</v>
      </c>
      <c r="L12147" t="s">
        <v>27250</v>
      </c>
      <c r="M12147" t="s">
        <v>27251</v>
      </c>
      <c r="N12147" t="s">
        <v>27252</v>
      </c>
      <c r="Q12147" s="1">
        <v>44538</v>
      </c>
      <c r="R12147" t="s">
        <v>27253</v>
      </c>
      <c r="S12147" t="s">
        <v>27254</v>
      </c>
      <c r="T12147" t="s">
        <v>27269</v>
      </c>
    </row>
    <row r="12148" spans="1:20" x14ac:dyDescent="0.3">
      <c r="A12148" t="str">
        <f>"0611835165100"</f>
        <v>0611835165100</v>
      </c>
      <c r="B12148" t="str">
        <f>"LC3404"</f>
        <v>LC3404</v>
      </c>
      <c r="C12148" t="s">
        <v>50734</v>
      </c>
      <c r="D12148" t="s">
        <v>27245</v>
      </c>
      <c r="E12148" t="str">
        <f t="shared" si="189"/>
        <v>001390</v>
      </c>
      <c r="F12148" t="s">
        <v>27246</v>
      </c>
      <c r="G12148" t="s">
        <v>27247</v>
      </c>
      <c r="H12148" t="s">
        <v>27248</v>
      </c>
      <c r="I12148" t="s">
        <v>50735</v>
      </c>
      <c r="J12148" t="s">
        <v>24309</v>
      </c>
      <c r="L12148" t="s">
        <v>27250</v>
      </c>
      <c r="M12148" t="s">
        <v>27251</v>
      </c>
      <c r="N12148" t="s">
        <v>27252</v>
      </c>
      <c r="Q12148" s="1">
        <v>44538</v>
      </c>
      <c r="R12148" t="s">
        <v>27253</v>
      </c>
      <c r="S12148" t="s">
        <v>27254</v>
      </c>
      <c r="T12148" t="s">
        <v>27255</v>
      </c>
    </row>
    <row r="12149" spans="1:20" x14ac:dyDescent="0.3">
      <c r="A12149" t="str">
        <f>"0611835166100"</f>
        <v>0611835166100</v>
      </c>
      <c r="B12149" t="str">
        <f>"LC9518"</f>
        <v>LC9518</v>
      </c>
      <c r="C12149" t="s">
        <v>50736</v>
      </c>
      <c r="D12149" t="s">
        <v>27245</v>
      </c>
      <c r="E12149" t="str">
        <f t="shared" si="189"/>
        <v>001390</v>
      </c>
      <c r="F12149" t="s">
        <v>27246</v>
      </c>
      <c r="G12149" t="s">
        <v>27247</v>
      </c>
      <c r="H12149" t="s">
        <v>27248</v>
      </c>
      <c r="I12149" t="s">
        <v>50737</v>
      </c>
      <c r="J12149" t="s">
        <v>24315</v>
      </c>
      <c r="L12149" t="s">
        <v>27250</v>
      </c>
      <c r="M12149" t="s">
        <v>27251</v>
      </c>
      <c r="N12149" t="s">
        <v>27252</v>
      </c>
      <c r="Q12149" s="1">
        <v>44538</v>
      </c>
      <c r="R12149" t="s">
        <v>27253</v>
      </c>
      <c r="S12149" t="s">
        <v>27254</v>
      </c>
      <c r="T12149" t="s">
        <v>27255</v>
      </c>
    </row>
    <row r="12150" spans="1:20" x14ac:dyDescent="0.3">
      <c r="A12150" t="str">
        <f>"0611835167100"</f>
        <v>0611835167100</v>
      </c>
      <c r="B12150" t="str">
        <f>"LC9503"</f>
        <v>LC9503</v>
      </c>
      <c r="C12150" t="s">
        <v>50738</v>
      </c>
      <c r="D12150" t="s">
        <v>27245</v>
      </c>
      <c r="E12150" t="str">
        <f t="shared" si="189"/>
        <v>001390</v>
      </c>
      <c r="F12150" t="s">
        <v>27246</v>
      </c>
      <c r="G12150" t="s">
        <v>27247</v>
      </c>
      <c r="H12150" t="s">
        <v>27248</v>
      </c>
      <c r="I12150" t="s">
        <v>50739</v>
      </c>
      <c r="J12150" t="s">
        <v>24317</v>
      </c>
      <c r="L12150" t="s">
        <v>27250</v>
      </c>
      <c r="M12150" t="s">
        <v>27251</v>
      </c>
      <c r="N12150" t="s">
        <v>27252</v>
      </c>
      <c r="Q12150" s="1">
        <v>44538</v>
      </c>
      <c r="R12150" t="s">
        <v>27253</v>
      </c>
      <c r="S12150" t="s">
        <v>27254</v>
      </c>
      <c r="T12150" t="s">
        <v>27255</v>
      </c>
    </row>
    <row r="12151" spans="1:20" x14ac:dyDescent="0.3">
      <c r="A12151" t="str">
        <f>"0611835168025"</f>
        <v>0611835168025</v>
      </c>
      <c r="B12151" t="str">
        <f>"MC2135"</f>
        <v>MC2135</v>
      </c>
      <c r="C12151" t="s">
        <v>50738</v>
      </c>
      <c r="D12151" t="s">
        <v>27267</v>
      </c>
      <c r="E12151" t="str">
        <f t="shared" si="189"/>
        <v>001390</v>
      </c>
      <c r="F12151" t="s">
        <v>27246</v>
      </c>
      <c r="G12151" t="s">
        <v>27247</v>
      </c>
      <c r="H12151" t="s">
        <v>27248</v>
      </c>
      <c r="I12151" t="s">
        <v>50740</v>
      </c>
      <c r="J12151" t="s">
        <v>24319</v>
      </c>
      <c r="L12151" t="s">
        <v>27250</v>
      </c>
      <c r="M12151" t="s">
        <v>27251</v>
      </c>
      <c r="N12151" t="s">
        <v>27252</v>
      </c>
      <c r="Q12151" s="1">
        <v>44538</v>
      </c>
      <c r="R12151" t="s">
        <v>27253</v>
      </c>
      <c r="S12151" t="s">
        <v>27254</v>
      </c>
      <c r="T12151" t="s">
        <v>27269</v>
      </c>
    </row>
    <row r="12152" spans="1:20" x14ac:dyDescent="0.3">
      <c r="A12152" t="str">
        <f>"0611835195100"</f>
        <v>0611835195100</v>
      </c>
      <c r="B12152" t="str">
        <f>"LC9620"</f>
        <v>LC9620</v>
      </c>
      <c r="C12152" t="s">
        <v>50741</v>
      </c>
      <c r="D12152" t="s">
        <v>27245</v>
      </c>
      <c r="E12152" t="str">
        <f t="shared" si="189"/>
        <v>001390</v>
      </c>
      <c r="F12152" t="s">
        <v>27246</v>
      </c>
      <c r="G12152" t="s">
        <v>27247</v>
      </c>
      <c r="H12152" t="s">
        <v>27248</v>
      </c>
      <c r="I12152" t="s">
        <v>50742</v>
      </c>
      <c r="J12152" t="s">
        <v>24321</v>
      </c>
      <c r="L12152" t="s">
        <v>27250</v>
      </c>
      <c r="M12152" t="s">
        <v>27251</v>
      </c>
      <c r="N12152" t="s">
        <v>27252</v>
      </c>
      <c r="Q12152" s="1">
        <v>44538</v>
      </c>
      <c r="R12152" t="s">
        <v>27253</v>
      </c>
      <c r="S12152" t="s">
        <v>27254</v>
      </c>
      <c r="T12152" t="s">
        <v>27255</v>
      </c>
    </row>
    <row r="12153" spans="1:20" x14ac:dyDescent="0.3">
      <c r="A12153" t="str">
        <f>"0611835196200"</f>
        <v>0611835196200</v>
      </c>
      <c r="B12153" t="str">
        <f>"KP9500"</f>
        <v>KP9500</v>
      </c>
      <c r="C12153" t="s">
        <v>50741</v>
      </c>
      <c r="D12153" t="s">
        <v>27682</v>
      </c>
      <c r="E12153" t="str">
        <f t="shared" si="189"/>
        <v>001390</v>
      </c>
      <c r="F12153" t="s">
        <v>27246</v>
      </c>
      <c r="G12153" t="s">
        <v>27247</v>
      </c>
      <c r="H12153" t="s">
        <v>27248</v>
      </c>
      <c r="I12153" t="s">
        <v>50743</v>
      </c>
      <c r="J12153" t="s">
        <v>24323</v>
      </c>
      <c r="L12153" t="s">
        <v>27250</v>
      </c>
      <c r="M12153" t="s">
        <v>27251</v>
      </c>
      <c r="N12153" t="s">
        <v>27252</v>
      </c>
      <c r="Q12153" s="1">
        <v>44538</v>
      </c>
      <c r="R12153" t="s">
        <v>27253</v>
      </c>
      <c r="S12153" t="s">
        <v>27254</v>
      </c>
      <c r="T12153" t="s">
        <v>27684</v>
      </c>
    </row>
    <row r="12154" spans="1:20" x14ac:dyDescent="0.3">
      <c r="A12154" t="str">
        <f>"0611835197025"</f>
        <v>0611835197025</v>
      </c>
      <c r="B12154" t="str">
        <f>"MC3975"</f>
        <v>MC3975</v>
      </c>
      <c r="C12154" t="s">
        <v>50741</v>
      </c>
      <c r="D12154" t="s">
        <v>27267</v>
      </c>
      <c r="E12154" t="str">
        <f t="shared" si="189"/>
        <v>001390</v>
      </c>
      <c r="F12154" t="s">
        <v>27246</v>
      </c>
      <c r="G12154" t="s">
        <v>27247</v>
      </c>
      <c r="H12154" t="s">
        <v>27248</v>
      </c>
      <c r="I12154" t="s">
        <v>50744</v>
      </c>
      <c r="J12154" t="s">
        <v>24325</v>
      </c>
      <c r="L12154" t="s">
        <v>27250</v>
      </c>
      <c r="M12154" t="s">
        <v>27251</v>
      </c>
      <c r="N12154" t="s">
        <v>27252</v>
      </c>
      <c r="Q12154" s="1">
        <v>44538</v>
      </c>
      <c r="R12154" t="s">
        <v>27253</v>
      </c>
      <c r="S12154" t="s">
        <v>27254</v>
      </c>
      <c r="T12154" t="s">
        <v>27269</v>
      </c>
    </row>
    <row r="12155" spans="1:20" x14ac:dyDescent="0.3">
      <c r="A12155" t="str">
        <f>"0611835169100"</f>
        <v>0611835169100</v>
      </c>
      <c r="B12155" t="str">
        <f>"LC9506"</f>
        <v>LC9506</v>
      </c>
      <c r="C12155" t="s">
        <v>50745</v>
      </c>
      <c r="D12155" t="s">
        <v>27245</v>
      </c>
      <c r="E12155" t="str">
        <f t="shared" si="189"/>
        <v>001390</v>
      </c>
      <c r="F12155" t="s">
        <v>27246</v>
      </c>
      <c r="G12155" t="s">
        <v>27247</v>
      </c>
      <c r="H12155" t="s">
        <v>27248</v>
      </c>
      <c r="I12155" t="s">
        <v>50746</v>
      </c>
      <c r="J12155" t="s">
        <v>24327</v>
      </c>
      <c r="L12155" t="s">
        <v>27250</v>
      </c>
      <c r="M12155" t="s">
        <v>27251</v>
      </c>
      <c r="N12155" t="s">
        <v>27252</v>
      </c>
      <c r="Q12155" s="1">
        <v>44538</v>
      </c>
      <c r="R12155" t="s">
        <v>27253</v>
      </c>
      <c r="S12155" t="s">
        <v>27254</v>
      </c>
      <c r="T12155" t="s">
        <v>27255</v>
      </c>
    </row>
    <row r="12156" spans="1:20" x14ac:dyDescent="0.3">
      <c r="A12156" t="str">
        <f>"0611835171025"</f>
        <v>0611835171025</v>
      </c>
      <c r="B12156" t="str">
        <f>"MC2133"</f>
        <v>MC2133</v>
      </c>
      <c r="C12156" t="s">
        <v>50747</v>
      </c>
      <c r="D12156" t="s">
        <v>27267</v>
      </c>
      <c r="E12156" t="str">
        <f t="shared" si="189"/>
        <v>001390</v>
      </c>
      <c r="F12156" t="s">
        <v>27246</v>
      </c>
      <c r="G12156" t="s">
        <v>27247</v>
      </c>
      <c r="H12156" t="s">
        <v>27248</v>
      </c>
      <c r="I12156" t="s">
        <v>50748</v>
      </c>
      <c r="J12156" t="s">
        <v>24331</v>
      </c>
      <c r="L12156" t="s">
        <v>27250</v>
      </c>
      <c r="M12156" t="s">
        <v>27251</v>
      </c>
      <c r="N12156" t="s">
        <v>27252</v>
      </c>
      <c r="Q12156" s="1">
        <v>44538</v>
      </c>
      <c r="R12156" t="s">
        <v>27253</v>
      </c>
      <c r="S12156" t="s">
        <v>27254</v>
      </c>
      <c r="T12156" t="s">
        <v>27269</v>
      </c>
    </row>
    <row r="12157" spans="1:20" x14ac:dyDescent="0.3">
      <c r="A12157" t="str">
        <f>"0611862563100"</f>
        <v>0611862563100</v>
      </c>
      <c r="B12157" t="str">
        <f>"CN5401"</f>
        <v>CN5401</v>
      </c>
      <c r="C12157" t="s">
        <v>50747</v>
      </c>
      <c r="D12157" t="s">
        <v>27335</v>
      </c>
      <c r="E12157" t="str">
        <f t="shared" si="189"/>
        <v>001390</v>
      </c>
      <c r="F12157" t="s">
        <v>27246</v>
      </c>
      <c r="G12157" t="s">
        <v>27247</v>
      </c>
      <c r="H12157" t="s">
        <v>27248</v>
      </c>
      <c r="I12157" t="s">
        <v>50749</v>
      </c>
      <c r="J12157" t="s">
        <v>24329</v>
      </c>
      <c r="L12157" t="s">
        <v>27250</v>
      </c>
      <c r="M12157" t="s">
        <v>27251</v>
      </c>
      <c r="N12157" t="s">
        <v>27252</v>
      </c>
      <c r="Q12157" s="1">
        <v>44846</v>
      </c>
      <c r="R12157" t="s">
        <v>27253</v>
      </c>
      <c r="S12157" t="s">
        <v>27254</v>
      </c>
      <c r="T12157" t="s">
        <v>27255</v>
      </c>
    </row>
    <row r="12158" spans="1:20" x14ac:dyDescent="0.3">
      <c r="A12158" t="str">
        <f>"0611862564100"</f>
        <v>0611862564100</v>
      </c>
      <c r="B12158" t="str">
        <f>"CN5402"</f>
        <v>CN5402</v>
      </c>
      <c r="C12158" t="s">
        <v>50750</v>
      </c>
      <c r="D12158" t="s">
        <v>27335</v>
      </c>
      <c r="E12158" t="str">
        <f t="shared" si="189"/>
        <v>001390</v>
      </c>
      <c r="F12158" t="s">
        <v>27246</v>
      </c>
      <c r="G12158" t="s">
        <v>27247</v>
      </c>
      <c r="H12158" t="s">
        <v>27248</v>
      </c>
      <c r="I12158" t="s">
        <v>50751</v>
      </c>
      <c r="J12158" t="s">
        <v>24337</v>
      </c>
      <c r="L12158" t="s">
        <v>27250</v>
      </c>
      <c r="M12158" t="s">
        <v>27251</v>
      </c>
      <c r="N12158" t="s">
        <v>27252</v>
      </c>
      <c r="Q12158" s="1">
        <v>44846</v>
      </c>
      <c r="R12158" t="s">
        <v>27253</v>
      </c>
      <c r="S12158" t="s">
        <v>27254</v>
      </c>
      <c r="T12158" t="s">
        <v>27255</v>
      </c>
    </row>
    <row r="12159" spans="1:20" x14ac:dyDescent="0.3">
      <c r="A12159" t="str">
        <f>"0611835172100"</f>
        <v>0611835172100</v>
      </c>
      <c r="B12159" t="str">
        <f>"LC9520"</f>
        <v>LC9520</v>
      </c>
      <c r="C12159" t="s">
        <v>50752</v>
      </c>
      <c r="D12159" t="s">
        <v>27245</v>
      </c>
      <c r="E12159" t="str">
        <f t="shared" si="189"/>
        <v>001390</v>
      </c>
      <c r="F12159" t="s">
        <v>27246</v>
      </c>
      <c r="G12159" t="s">
        <v>27247</v>
      </c>
      <c r="H12159" t="s">
        <v>27248</v>
      </c>
      <c r="I12159" t="s">
        <v>50753</v>
      </c>
      <c r="J12159" t="s">
        <v>24341</v>
      </c>
      <c r="L12159" t="s">
        <v>27250</v>
      </c>
      <c r="M12159" t="s">
        <v>27251</v>
      </c>
      <c r="N12159" t="s">
        <v>27252</v>
      </c>
      <c r="Q12159" s="1">
        <v>44538</v>
      </c>
      <c r="R12159" t="s">
        <v>27253</v>
      </c>
      <c r="S12159" t="s">
        <v>27254</v>
      </c>
      <c r="T12159" t="s">
        <v>27255</v>
      </c>
    </row>
    <row r="12160" spans="1:20" x14ac:dyDescent="0.3">
      <c r="A12160" t="str">
        <f>"0611835174025"</f>
        <v>0611835174025</v>
      </c>
      <c r="B12160" t="str">
        <f>"MC0820"</f>
        <v>MC0820</v>
      </c>
      <c r="C12160" t="s">
        <v>50754</v>
      </c>
      <c r="D12160" t="s">
        <v>27267</v>
      </c>
      <c r="E12160" t="str">
        <f t="shared" si="189"/>
        <v>001390</v>
      </c>
      <c r="F12160" t="s">
        <v>27246</v>
      </c>
      <c r="G12160" t="s">
        <v>27247</v>
      </c>
      <c r="H12160" t="s">
        <v>27248</v>
      </c>
      <c r="I12160" t="s">
        <v>50755</v>
      </c>
      <c r="J12160" t="s">
        <v>24347</v>
      </c>
      <c r="L12160" t="s">
        <v>27250</v>
      </c>
      <c r="M12160" t="s">
        <v>27251</v>
      </c>
      <c r="N12160" t="s">
        <v>27252</v>
      </c>
      <c r="Q12160" s="1">
        <v>44538</v>
      </c>
      <c r="R12160" t="s">
        <v>27253</v>
      </c>
      <c r="S12160" t="s">
        <v>27254</v>
      </c>
      <c r="T12160" t="s">
        <v>27269</v>
      </c>
    </row>
    <row r="12161" spans="1:20" x14ac:dyDescent="0.3">
      <c r="A12161" t="str">
        <f>"0611862565100"</f>
        <v>0611862565100</v>
      </c>
      <c r="B12161" t="str">
        <f>"CN5403"</f>
        <v>CN5403</v>
      </c>
      <c r="C12161" t="s">
        <v>50754</v>
      </c>
      <c r="D12161" t="s">
        <v>27335</v>
      </c>
      <c r="E12161" t="str">
        <f t="shared" si="189"/>
        <v>001390</v>
      </c>
      <c r="F12161" t="s">
        <v>27246</v>
      </c>
      <c r="G12161" t="s">
        <v>27247</v>
      </c>
      <c r="H12161" t="s">
        <v>27248</v>
      </c>
      <c r="I12161" t="s">
        <v>50756</v>
      </c>
      <c r="J12161" t="s">
        <v>24345</v>
      </c>
      <c r="L12161" t="s">
        <v>27250</v>
      </c>
      <c r="M12161" t="s">
        <v>27251</v>
      </c>
      <c r="N12161" t="s">
        <v>27252</v>
      </c>
      <c r="Q12161" s="1">
        <v>44846</v>
      </c>
      <c r="R12161" t="s">
        <v>27253</v>
      </c>
      <c r="S12161" t="s">
        <v>27254</v>
      </c>
      <c r="T12161" t="s">
        <v>27255</v>
      </c>
    </row>
    <row r="12162" spans="1:20" x14ac:dyDescent="0.3">
      <c r="A12162" t="str">
        <f>"0611835175100"</f>
        <v>0611835175100</v>
      </c>
      <c r="B12162" t="str">
        <f>"LC9508"</f>
        <v>LC9508</v>
      </c>
      <c r="C12162" t="s">
        <v>50757</v>
      </c>
      <c r="D12162" t="s">
        <v>27245</v>
      </c>
      <c r="E12162" t="str">
        <f t="shared" ref="E12162:E12225" si="190">"001390"</f>
        <v>001390</v>
      </c>
      <c r="F12162" t="s">
        <v>27246</v>
      </c>
      <c r="G12162" t="s">
        <v>27247</v>
      </c>
      <c r="H12162" t="s">
        <v>27248</v>
      </c>
      <c r="I12162" t="s">
        <v>50758</v>
      </c>
      <c r="J12162" t="s">
        <v>24349</v>
      </c>
      <c r="L12162" t="s">
        <v>27250</v>
      </c>
      <c r="M12162" t="s">
        <v>27251</v>
      </c>
      <c r="N12162" t="s">
        <v>27252</v>
      </c>
      <c r="Q12162" s="1">
        <v>44538</v>
      </c>
      <c r="R12162" t="s">
        <v>27253</v>
      </c>
      <c r="S12162" t="s">
        <v>27254</v>
      </c>
      <c r="T12162" t="s">
        <v>27255</v>
      </c>
    </row>
    <row r="12163" spans="1:20" x14ac:dyDescent="0.3">
      <c r="A12163" t="str">
        <f>"0611856979025"</f>
        <v>0611856979025</v>
      </c>
      <c r="B12163" t="str">
        <f>"MC4123"</f>
        <v>MC4123</v>
      </c>
      <c r="C12163" t="s">
        <v>50757</v>
      </c>
      <c r="D12163" t="s">
        <v>27267</v>
      </c>
      <c r="E12163" t="str">
        <f t="shared" si="190"/>
        <v>001390</v>
      </c>
      <c r="F12163" t="s">
        <v>27246</v>
      </c>
      <c r="G12163" t="s">
        <v>27247</v>
      </c>
      <c r="H12163" t="s">
        <v>27248</v>
      </c>
      <c r="I12163" t="s">
        <v>50759</v>
      </c>
      <c r="J12163" t="s">
        <v>24351</v>
      </c>
      <c r="L12163" t="s">
        <v>27250</v>
      </c>
      <c r="M12163" t="s">
        <v>27251</v>
      </c>
      <c r="N12163" t="s">
        <v>27252</v>
      </c>
      <c r="Q12163" s="1">
        <v>44812</v>
      </c>
      <c r="R12163" t="s">
        <v>27253</v>
      </c>
      <c r="S12163" t="s">
        <v>27254</v>
      </c>
      <c r="T12163" t="s">
        <v>27269</v>
      </c>
    </row>
    <row r="12164" spans="1:20" x14ac:dyDescent="0.3">
      <c r="A12164" t="str">
        <f>"0611835177100"</f>
        <v>0611835177100</v>
      </c>
      <c r="B12164" t="str">
        <f>"LC9481"</f>
        <v>LC9481</v>
      </c>
      <c r="C12164" t="s">
        <v>50760</v>
      </c>
      <c r="D12164" t="s">
        <v>27245</v>
      </c>
      <c r="E12164" t="str">
        <f t="shared" si="190"/>
        <v>001390</v>
      </c>
      <c r="F12164" t="s">
        <v>27246</v>
      </c>
      <c r="G12164" t="s">
        <v>27247</v>
      </c>
      <c r="H12164" t="s">
        <v>27248</v>
      </c>
      <c r="I12164" t="s">
        <v>50761</v>
      </c>
      <c r="J12164" t="s">
        <v>24353</v>
      </c>
      <c r="L12164" t="s">
        <v>27250</v>
      </c>
      <c r="M12164" t="s">
        <v>27251</v>
      </c>
      <c r="N12164" t="s">
        <v>27252</v>
      </c>
      <c r="Q12164" s="1">
        <v>44538</v>
      </c>
      <c r="R12164" t="s">
        <v>27253</v>
      </c>
      <c r="S12164" t="s">
        <v>27254</v>
      </c>
      <c r="T12164" t="s">
        <v>27255</v>
      </c>
    </row>
    <row r="12165" spans="1:20" x14ac:dyDescent="0.3">
      <c r="A12165" t="str">
        <f>"0611835178100"</f>
        <v>0611835178100</v>
      </c>
      <c r="B12165" t="str">
        <f>"LC3389"</f>
        <v>LC3389</v>
      </c>
      <c r="C12165" t="s">
        <v>50762</v>
      </c>
      <c r="D12165" t="s">
        <v>27245</v>
      </c>
      <c r="E12165" t="str">
        <f t="shared" si="190"/>
        <v>001390</v>
      </c>
      <c r="F12165" t="s">
        <v>27246</v>
      </c>
      <c r="G12165" t="s">
        <v>27247</v>
      </c>
      <c r="H12165" t="s">
        <v>27248</v>
      </c>
      <c r="I12165" t="s">
        <v>50763</v>
      </c>
      <c r="J12165" t="s">
        <v>24355</v>
      </c>
      <c r="L12165" t="s">
        <v>27250</v>
      </c>
      <c r="M12165" t="s">
        <v>27251</v>
      </c>
      <c r="N12165" t="s">
        <v>27252</v>
      </c>
      <c r="Q12165" s="1">
        <v>44538</v>
      </c>
      <c r="R12165" t="s">
        <v>27253</v>
      </c>
      <c r="S12165" t="s">
        <v>27254</v>
      </c>
      <c r="T12165" t="s">
        <v>27255</v>
      </c>
    </row>
    <row r="12166" spans="1:20" x14ac:dyDescent="0.3">
      <c r="A12166" t="str">
        <f>"0611835179025"</f>
        <v>0611835179025</v>
      </c>
      <c r="B12166" t="str">
        <f>"MC2588"</f>
        <v>MC2588</v>
      </c>
      <c r="C12166" t="s">
        <v>50762</v>
      </c>
      <c r="D12166" t="s">
        <v>27267</v>
      </c>
      <c r="E12166" t="str">
        <f t="shared" si="190"/>
        <v>001390</v>
      </c>
      <c r="F12166" t="s">
        <v>27246</v>
      </c>
      <c r="G12166" t="s">
        <v>27247</v>
      </c>
      <c r="H12166" t="s">
        <v>27248</v>
      </c>
      <c r="I12166" t="s">
        <v>50764</v>
      </c>
      <c r="J12166" t="s">
        <v>24357</v>
      </c>
      <c r="L12166" t="s">
        <v>27250</v>
      </c>
      <c r="M12166" t="s">
        <v>27251</v>
      </c>
      <c r="N12166" t="s">
        <v>27252</v>
      </c>
      <c r="Q12166" s="1">
        <v>44538</v>
      </c>
      <c r="R12166" t="s">
        <v>27253</v>
      </c>
      <c r="S12166" t="s">
        <v>27254</v>
      </c>
      <c r="T12166" t="s">
        <v>27269</v>
      </c>
    </row>
    <row r="12167" spans="1:20" x14ac:dyDescent="0.3">
      <c r="A12167" t="str">
        <f>"0611835180100"</f>
        <v>0611835180100</v>
      </c>
      <c r="B12167" t="str">
        <f>"LH8855"</f>
        <v>LH8855</v>
      </c>
      <c r="C12167" t="s">
        <v>50765</v>
      </c>
      <c r="D12167" t="s">
        <v>27245</v>
      </c>
      <c r="E12167" t="str">
        <f t="shared" si="190"/>
        <v>001390</v>
      </c>
      <c r="F12167" t="s">
        <v>27246</v>
      </c>
      <c r="G12167" t="s">
        <v>27247</v>
      </c>
      <c r="H12167" t="s">
        <v>27248</v>
      </c>
      <c r="I12167" t="s">
        <v>50766</v>
      </c>
      <c r="J12167" t="s">
        <v>24359</v>
      </c>
      <c r="L12167" t="s">
        <v>27250</v>
      </c>
      <c r="M12167" t="s">
        <v>27251</v>
      </c>
      <c r="N12167" t="s">
        <v>27252</v>
      </c>
      <c r="Q12167" s="1">
        <v>44538</v>
      </c>
      <c r="R12167" t="s">
        <v>27253</v>
      </c>
      <c r="S12167" t="s">
        <v>27254</v>
      </c>
      <c r="T12167" t="s">
        <v>27255</v>
      </c>
    </row>
    <row r="12168" spans="1:20" x14ac:dyDescent="0.3">
      <c r="A12168" t="str">
        <f>"0611835181100"</f>
        <v>0611835181100</v>
      </c>
      <c r="B12168" t="str">
        <f>"LC9509"</f>
        <v>LC9509</v>
      </c>
      <c r="C12168" t="s">
        <v>50767</v>
      </c>
      <c r="D12168" t="s">
        <v>27245</v>
      </c>
      <c r="E12168" t="str">
        <f t="shared" si="190"/>
        <v>001390</v>
      </c>
      <c r="F12168" t="s">
        <v>27246</v>
      </c>
      <c r="G12168" t="s">
        <v>27247</v>
      </c>
      <c r="H12168" t="s">
        <v>27248</v>
      </c>
      <c r="I12168" t="s">
        <v>50768</v>
      </c>
      <c r="J12168" t="s">
        <v>24361</v>
      </c>
      <c r="L12168" t="s">
        <v>27250</v>
      </c>
      <c r="M12168" t="s">
        <v>27251</v>
      </c>
      <c r="N12168" t="s">
        <v>27252</v>
      </c>
      <c r="Q12168" s="1">
        <v>44538</v>
      </c>
      <c r="R12168" t="s">
        <v>27253</v>
      </c>
      <c r="S12168" t="s">
        <v>27254</v>
      </c>
      <c r="T12168" t="s">
        <v>27255</v>
      </c>
    </row>
    <row r="12169" spans="1:20" x14ac:dyDescent="0.3">
      <c r="A12169" t="str">
        <f>"0611835182025"</f>
        <v>0611835182025</v>
      </c>
      <c r="B12169" t="str">
        <f>"MC1398"</f>
        <v>MC1398</v>
      </c>
      <c r="C12169" t="s">
        <v>50767</v>
      </c>
      <c r="D12169" t="s">
        <v>27267</v>
      </c>
      <c r="E12169" t="str">
        <f t="shared" si="190"/>
        <v>001390</v>
      </c>
      <c r="F12169" t="s">
        <v>27246</v>
      </c>
      <c r="G12169" t="s">
        <v>27247</v>
      </c>
      <c r="H12169" t="s">
        <v>27248</v>
      </c>
      <c r="I12169" t="s">
        <v>50769</v>
      </c>
      <c r="J12169" t="s">
        <v>24363</v>
      </c>
      <c r="L12169" t="s">
        <v>27250</v>
      </c>
      <c r="M12169" t="s">
        <v>27251</v>
      </c>
      <c r="N12169" t="s">
        <v>27252</v>
      </c>
      <c r="Q12169" s="1">
        <v>44538</v>
      </c>
      <c r="R12169" t="s">
        <v>27253</v>
      </c>
      <c r="S12169" t="s">
        <v>27254</v>
      </c>
      <c r="T12169" t="s">
        <v>27269</v>
      </c>
    </row>
    <row r="12170" spans="1:20" x14ac:dyDescent="0.3">
      <c r="A12170" t="str">
        <f>"0611835183025"</f>
        <v>0611835183025</v>
      </c>
      <c r="B12170" t="str">
        <f>"MC2232"</f>
        <v>MC2232</v>
      </c>
      <c r="C12170" t="s">
        <v>50770</v>
      </c>
      <c r="D12170" t="s">
        <v>27267</v>
      </c>
      <c r="E12170" t="str">
        <f t="shared" si="190"/>
        <v>001390</v>
      </c>
      <c r="F12170" t="s">
        <v>27246</v>
      </c>
      <c r="G12170" t="s">
        <v>27247</v>
      </c>
      <c r="H12170" t="s">
        <v>27248</v>
      </c>
      <c r="I12170" t="s">
        <v>50771</v>
      </c>
      <c r="J12170" t="s">
        <v>24365</v>
      </c>
      <c r="L12170" t="s">
        <v>27250</v>
      </c>
      <c r="M12170" t="s">
        <v>27251</v>
      </c>
      <c r="N12170" t="s">
        <v>27252</v>
      </c>
      <c r="Q12170" s="1">
        <v>44538</v>
      </c>
      <c r="R12170" t="s">
        <v>27253</v>
      </c>
      <c r="S12170" t="s">
        <v>27254</v>
      </c>
      <c r="T12170" t="s">
        <v>27269</v>
      </c>
    </row>
    <row r="12171" spans="1:20" x14ac:dyDescent="0.3">
      <c r="A12171" t="str">
        <f>"0611835185025"</f>
        <v>0611835185025</v>
      </c>
      <c r="B12171" t="str">
        <f>"MC2099"</f>
        <v>MC2099</v>
      </c>
      <c r="C12171" t="s">
        <v>50772</v>
      </c>
      <c r="D12171" t="s">
        <v>27267</v>
      </c>
      <c r="E12171" t="str">
        <f t="shared" si="190"/>
        <v>001390</v>
      </c>
      <c r="F12171" t="s">
        <v>27246</v>
      </c>
      <c r="G12171" t="s">
        <v>27247</v>
      </c>
      <c r="H12171" t="s">
        <v>27248</v>
      </c>
      <c r="I12171" t="s">
        <v>50773</v>
      </c>
      <c r="J12171" t="s">
        <v>24369</v>
      </c>
      <c r="L12171" t="s">
        <v>27250</v>
      </c>
      <c r="M12171" t="s">
        <v>27251</v>
      </c>
      <c r="N12171" t="s">
        <v>27252</v>
      </c>
      <c r="Q12171" s="1">
        <v>44538</v>
      </c>
      <c r="R12171" t="s">
        <v>27253</v>
      </c>
      <c r="S12171" t="s">
        <v>27254</v>
      </c>
      <c r="T12171" t="s">
        <v>27269</v>
      </c>
    </row>
    <row r="12172" spans="1:20" x14ac:dyDescent="0.3">
      <c r="A12172" t="str">
        <f>"0611862566100"</f>
        <v>0611862566100</v>
      </c>
      <c r="B12172" t="str">
        <f>"CN5407"</f>
        <v>CN5407</v>
      </c>
      <c r="C12172" t="s">
        <v>50772</v>
      </c>
      <c r="D12172" t="s">
        <v>27335</v>
      </c>
      <c r="E12172" t="str">
        <f t="shared" si="190"/>
        <v>001390</v>
      </c>
      <c r="F12172" t="s">
        <v>27246</v>
      </c>
      <c r="G12172" t="s">
        <v>27247</v>
      </c>
      <c r="H12172" t="s">
        <v>27248</v>
      </c>
      <c r="I12172" t="s">
        <v>50774</v>
      </c>
      <c r="J12172" t="s">
        <v>24367</v>
      </c>
      <c r="L12172" t="s">
        <v>27250</v>
      </c>
      <c r="M12172" t="s">
        <v>27251</v>
      </c>
      <c r="N12172" t="s">
        <v>27252</v>
      </c>
      <c r="Q12172" s="1">
        <v>44846</v>
      </c>
      <c r="R12172" t="s">
        <v>27253</v>
      </c>
      <c r="S12172" t="s">
        <v>27254</v>
      </c>
      <c r="T12172" t="s">
        <v>27255</v>
      </c>
    </row>
    <row r="12173" spans="1:20" x14ac:dyDescent="0.3">
      <c r="A12173" t="str">
        <f>"0611856980025"</f>
        <v>0611856980025</v>
      </c>
      <c r="B12173" t="str">
        <f>"MC4000"</f>
        <v>MC4000</v>
      </c>
      <c r="C12173" t="s">
        <v>50775</v>
      </c>
      <c r="D12173" t="s">
        <v>27267</v>
      </c>
      <c r="E12173" t="str">
        <f t="shared" si="190"/>
        <v>001390</v>
      </c>
      <c r="F12173" t="s">
        <v>27246</v>
      </c>
      <c r="G12173" t="s">
        <v>27247</v>
      </c>
      <c r="H12173" t="s">
        <v>27248</v>
      </c>
      <c r="I12173" t="s">
        <v>50776</v>
      </c>
      <c r="J12173" t="s">
        <v>24371</v>
      </c>
      <c r="L12173" t="s">
        <v>27250</v>
      </c>
      <c r="M12173" t="s">
        <v>27251</v>
      </c>
      <c r="N12173" t="s">
        <v>27252</v>
      </c>
      <c r="Q12173" s="1">
        <v>44812</v>
      </c>
      <c r="R12173" t="s">
        <v>27253</v>
      </c>
      <c r="S12173" t="s">
        <v>27254</v>
      </c>
      <c r="T12173" t="s">
        <v>27269</v>
      </c>
    </row>
    <row r="12174" spans="1:20" x14ac:dyDescent="0.3">
      <c r="A12174" t="str">
        <f>"0611862568100"</f>
        <v>0611862568100</v>
      </c>
      <c r="B12174" t="str">
        <f>"CN5405"</f>
        <v>CN5405</v>
      </c>
      <c r="C12174" t="s">
        <v>50777</v>
      </c>
      <c r="D12174" t="s">
        <v>27335</v>
      </c>
      <c r="E12174" t="str">
        <f t="shared" si="190"/>
        <v>001390</v>
      </c>
      <c r="F12174" t="s">
        <v>27246</v>
      </c>
      <c r="G12174" t="s">
        <v>27247</v>
      </c>
      <c r="H12174" t="s">
        <v>27248</v>
      </c>
      <c r="I12174" t="s">
        <v>50778</v>
      </c>
      <c r="J12174" t="s">
        <v>24373</v>
      </c>
      <c r="L12174" t="s">
        <v>27250</v>
      </c>
      <c r="M12174" t="s">
        <v>27251</v>
      </c>
      <c r="N12174" t="s">
        <v>27252</v>
      </c>
      <c r="Q12174" s="1">
        <v>44846</v>
      </c>
      <c r="R12174" t="s">
        <v>27253</v>
      </c>
      <c r="S12174" t="s">
        <v>27254</v>
      </c>
      <c r="T12174" t="s">
        <v>27255</v>
      </c>
    </row>
    <row r="12175" spans="1:20" x14ac:dyDescent="0.3">
      <c r="A12175" t="str">
        <f>"0611862569050"</f>
        <v>0611862569050</v>
      </c>
      <c r="B12175" t="str">
        <f>"CR4489"</f>
        <v>CR4489</v>
      </c>
      <c r="C12175" t="s">
        <v>50779</v>
      </c>
      <c r="D12175" t="s">
        <v>27263</v>
      </c>
      <c r="E12175" t="str">
        <f t="shared" si="190"/>
        <v>001390</v>
      </c>
      <c r="F12175" t="s">
        <v>27246</v>
      </c>
      <c r="G12175" t="s">
        <v>27247</v>
      </c>
      <c r="H12175" t="s">
        <v>27248</v>
      </c>
      <c r="I12175" t="s">
        <v>50780</v>
      </c>
      <c r="J12175" t="s">
        <v>24375</v>
      </c>
      <c r="L12175" t="s">
        <v>27250</v>
      </c>
      <c r="M12175" t="s">
        <v>27251</v>
      </c>
      <c r="N12175" t="s">
        <v>27252</v>
      </c>
      <c r="Q12175" s="1">
        <v>44846</v>
      </c>
      <c r="R12175" t="s">
        <v>27253</v>
      </c>
      <c r="S12175" t="s">
        <v>27254</v>
      </c>
      <c r="T12175" t="s">
        <v>27265</v>
      </c>
    </row>
    <row r="12176" spans="1:20" x14ac:dyDescent="0.3">
      <c r="A12176" t="str">
        <f>"0611835188100"</f>
        <v>0611835188100</v>
      </c>
      <c r="B12176" t="str">
        <f>"LC9511"</f>
        <v>LC9511</v>
      </c>
      <c r="C12176" t="s">
        <v>50781</v>
      </c>
      <c r="D12176" t="s">
        <v>27245</v>
      </c>
      <c r="E12176" t="str">
        <f t="shared" si="190"/>
        <v>001390</v>
      </c>
      <c r="F12176" t="s">
        <v>27246</v>
      </c>
      <c r="G12176" t="s">
        <v>27247</v>
      </c>
      <c r="H12176" t="s">
        <v>27248</v>
      </c>
      <c r="I12176" t="s">
        <v>50782</v>
      </c>
      <c r="J12176" t="s">
        <v>24379</v>
      </c>
      <c r="L12176" t="s">
        <v>27250</v>
      </c>
      <c r="M12176" t="s">
        <v>27251</v>
      </c>
      <c r="N12176" t="s">
        <v>27252</v>
      </c>
      <c r="Q12176" s="1">
        <v>44538</v>
      </c>
      <c r="R12176" t="s">
        <v>27253</v>
      </c>
      <c r="S12176" t="s">
        <v>27254</v>
      </c>
      <c r="T12176" t="s">
        <v>27255</v>
      </c>
    </row>
    <row r="12177" spans="1:20" x14ac:dyDescent="0.3">
      <c r="A12177" t="str">
        <f>"0611835189100"</f>
        <v>0611835189100</v>
      </c>
      <c r="B12177" t="str">
        <f>"LC9626"</f>
        <v>LC9626</v>
      </c>
      <c r="C12177" t="s">
        <v>50783</v>
      </c>
      <c r="D12177" t="s">
        <v>27245</v>
      </c>
      <c r="E12177" t="str">
        <f t="shared" si="190"/>
        <v>001390</v>
      </c>
      <c r="F12177" t="s">
        <v>27246</v>
      </c>
      <c r="G12177" t="s">
        <v>27247</v>
      </c>
      <c r="H12177" t="s">
        <v>27248</v>
      </c>
      <c r="I12177" t="s">
        <v>50784</v>
      </c>
      <c r="J12177" t="s">
        <v>24381</v>
      </c>
      <c r="L12177" t="s">
        <v>27250</v>
      </c>
      <c r="M12177" t="s">
        <v>27251</v>
      </c>
      <c r="N12177" t="s">
        <v>27252</v>
      </c>
      <c r="Q12177" s="1">
        <v>44538</v>
      </c>
      <c r="R12177" t="s">
        <v>27253</v>
      </c>
      <c r="S12177" t="s">
        <v>27254</v>
      </c>
      <c r="T12177" t="s">
        <v>27255</v>
      </c>
    </row>
    <row r="12178" spans="1:20" x14ac:dyDescent="0.3">
      <c r="A12178" t="str">
        <f>"0611835190025"</f>
        <v>0611835190025</v>
      </c>
      <c r="B12178" t="str">
        <f>"MC1500"</f>
        <v>MC1500</v>
      </c>
      <c r="C12178" t="s">
        <v>50783</v>
      </c>
      <c r="D12178" t="s">
        <v>27267</v>
      </c>
      <c r="E12178" t="str">
        <f t="shared" si="190"/>
        <v>001390</v>
      </c>
      <c r="F12178" t="s">
        <v>27246</v>
      </c>
      <c r="G12178" t="s">
        <v>27247</v>
      </c>
      <c r="H12178" t="s">
        <v>27248</v>
      </c>
      <c r="I12178" t="s">
        <v>50785</v>
      </c>
      <c r="J12178" t="s">
        <v>24383</v>
      </c>
      <c r="L12178" t="s">
        <v>27250</v>
      </c>
      <c r="M12178" t="s">
        <v>27251</v>
      </c>
      <c r="N12178" t="s">
        <v>27252</v>
      </c>
      <c r="Q12178" s="1">
        <v>44538</v>
      </c>
      <c r="R12178" t="s">
        <v>27253</v>
      </c>
      <c r="S12178" t="s">
        <v>27254</v>
      </c>
      <c r="T12178" t="s">
        <v>27269</v>
      </c>
    </row>
    <row r="12179" spans="1:20" x14ac:dyDescent="0.3">
      <c r="A12179" t="str">
        <f>"0611862570100"</f>
        <v>0611862570100</v>
      </c>
      <c r="B12179" t="str">
        <f>"CN2392"</f>
        <v>CN2392</v>
      </c>
      <c r="C12179" t="s">
        <v>50786</v>
      </c>
      <c r="D12179" t="s">
        <v>27335</v>
      </c>
      <c r="E12179" t="str">
        <f t="shared" si="190"/>
        <v>001390</v>
      </c>
      <c r="F12179" t="s">
        <v>27246</v>
      </c>
      <c r="G12179" t="s">
        <v>27247</v>
      </c>
      <c r="H12179" t="s">
        <v>27248</v>
      </c>
      <c r="I12179" t="s">
        <v>50787</v>
      </c>
      <c r="J12179" t="s">
        <v>24385</v>
      </c>
      <c r="L12179" t="s">
        <v>27250</v>
      </c>
      <c r="M12179" t="s">
        <v>27251</v>
      </c>
      <c r="N12179" t="s">
        <v>27252</v>
      </c>
      <c r="Q12179" s="1">
        <v>44846</v>
      </c>
      <c r="R12179" t="s">
        <v>27253</v>
      </c>
      <c r="S12179" t="s">
        <v>27254</v>
      </c>
      <c r="T12179" t="s">
        <v>27255</v>
      </c>
    </row>
    <row r="12180" spans="1:20" x14ac:dyDescent="0.3">
      <c r="A12180" t="str">
        <f>"0611835191025"</f>
        <v>0611835191025</v>
      </c>
      <c r="B12180" t="str">
        <f>"MC2233"</f>
        <v>MC2233</v>
      </c>
      <c r="C12180" t="s">
        <v>50788</v>
      </c>
      <c r="D12180" t="s">
        <v>27267</v>
      </c>
      <c r="E12180" t="str">
        <f t="shared" si="190"/>
        <v>001390</v>
      </c>
      <c r="F12180" t="s">
        <v>27246</v>
      </c>
      <c r="G12180" t="s">
        <v>27247</v>
      </c>
      <c r="H12180" t="s">
        <v>27248</v>
      </c>
      <c r="I12180" t="s">
        <v>50789</v>
      </c>
      <c r="J12180" t="s">
        <v>24387</v>
      </c>
      <c r="L12180" t="s">
        <v>27250</v>
      </c>
      <c r="M12180" t="s">
        <v>27251</v>
      </c>
      <c r="N12180" t="s">
        <v>27252</v>
      </c>
      <c r="Q12180" s="1">
        <v>44538</v>
      </c>
      <c r="R12180" t="s">
        <v>27253</v>
      </c>
      <c r="S12180" t="s">
        <v>27254</v>
      </c>
      <c r="T12180" t="s">
        <v>27269</v>
      </c>
    </row>
    <row r="12181" spans="1:20" x14ac:dyDescent="0.3">
      <c r="A12181" t="str">
        <f>"0611835192100"</f>
        <v>0611835192100</v>
      </c>
      <c r="B12181" t="str">
        <f>"LC9483"</f>
        <v>LC9483</v>
      </c>
      <c r="C12181" t="s">
        <v>50790</v>
      </c>
      <c r="D12181" t="s">
        <v>27245</v>
      </c>
      <c r="E12181" t="str">
        <f t="shared" si="190"/>
        <v>001390</v>
      </c>
      <c r="F12181" t="s">
        <v>27246</v>
      </c>
      <c r="G12181" t="s">
        <v>27247</v>
      </c>
      <c r="H12181" t="s">
        <v>27248</v>
      </c>
      <c r="I12181" t="s">
        <v>50791</v>
      </c>
      <c r="J12181" t="s">
        <v>24389</v>
      </c>
      <c r="L12181" t="s">
        <v>27250</v>
      </c>
      <c r="M12181" t="s">
        <v>27251</v>
      </c>
      <c r="N12181" t="s">
        <v>27252</v>
      </c>
      <c r="Q12181" s="1">
        <v>44538</v>
      </c>
      <c r="R12181" t="s">
        <v>27253</v>
      </c>
      <c r="S12181" t="s">
        <v>27254</v>
      </c>
      <c r="T12181" t="s">
        <v>27255</v>
      </c>
    </row>
    <row r="12182" spans="1:20" x14ac:dyDescent="0.3">
      <c r="A12182" t="str">
        <f>"0611835193100"</f>
        <v>0611835193100</v>
      </c>
      <c r="B12182" t="str">
        <f>"LC3405"</f>
        <v>LC3405</v>
      </c>
      <c r="C12182" t="s">
        <v>50792</v>
      </c>
      <c r="D12182" t="s">
        <v>27245</v>
      </c>
      <c r="E12182" t="str">
        <f t="shared" si="190"/>
        <v>001390</v>
      </c>
      <c r="F12182" t="s">
        <v>27246</v>
      </c>
      <c r="G12182" t="s">
        <v>27247</v>
      </c>
      <c r="H12182" t="s">
        <v>27248</v>
      </c>
      <c r="I12182" t="s">
        <v>50793</v>
      </c>
      <c r="J12182" t="s">
        <v>24391</v>
      </c>
      <c r="L12182" t="s">
        <v>27250</v>
      </c>
      <c r="M12182" t="s">
        <v>27251</v>
      </c>
      <c r="N12182" t="s">
        <v>27252</v>
      </c>
      <c r="Q12182" s="1">
        <v>44538</v>
      </c>
      <c r="R12182" t="s">
        <v>27253</v>
      </c>
      <c r="S12182" t="s">
        <v>27254</v>
      </c>
      <c r="T12182" t="s">
        <v>27255</v>
      </c>
    </row>
    <row r="12183" spans="1:20" x14ac:dyDescent="0.3">
      <c r="A12183" t="str">
        <f>"0611835194025"</f>
        <v>0611835194025</v>
      </c>
      <c r="B12183" t="str">
        <f>"MC4344"</f>
        <v>MC4344</v>
      </c>
      <c r="C12183" t="s">
        <v>50794</v>
      </c>
      <c r="D12183" t="s">
        <v>27267</v>
      </c>
      <c r="E12183" t="str">
        <f t="shared" si="190"/>
        <v>001390</v>
      </c>
      <c r="F12183" t="s">
        <v>27246</v>
      </c>
      <c r="G12183" t="s">
        <v>27247</v>
      </c>
      <c r="H12183" t="s">
        <v>27248</v>
      </c>
      <c r="I12183" t="s">
        <v>50795</v>
      </c>
      <c r="J12183" t="s">
        <v>24393</v>
      </c>
      <c r="L12183" t="s">
        <v>27250</v>
      </c>
      <c r="M12183" t="s">
        <v>27251</v>
      </c>
      <c r="N12183" t="s">
        <v>27252</v>
      </c>
      <c r="Q12183" s="1">
        <v>44538</v>
      </c>
      <c r="R12183" t="s">
        <v>27253</v>
      </c>
      <c r="S12183" t="s">
        <v>27254</v>
      </c>
      <c r="T12183" t="s">
        <v>27269</v>
      </c>
    </row>
    <row r="12184" spans="1:20" x14ac:dyDescent="0.3">
      <c r="A12184" t="str">
        <f>"0611835198100"</f>
        <v>0611835198100</v>
      </c>
      <c r="B12184" t="str">
        <f>"LC9500"</f>
        <v>LC9500</v>
      </c>
      <c r="C12184" t="s">
        <v>50796</v>
      </c>
      <c r="D12184" t="s">
        <v>27245</v>
      </c>
      <c r="E12184" t="str">
        <f t="shared" si="190"/>
        <v>001390</v>
      </c>
      <c r="F12184" t="s">
        <v>27246</v>
      </c>
      <c r="G12184" t="s">
        <v>27247</v>
      </c>
      <c r="H12184" t="s">
        <v>27248</v>
      </c>
      <c r="I12184" t="s">
        <v>50797</v>
      </c>
      <c r="J12184" t="s">
        <v>24395</v>
      </c>
      <c r="L12184" t="s">
        <v>27250</v>
      </c>
      <c r="M12184" t="s">
        <v>27251</v>
      </c>
      <c r="N12184" t="s">
        <v>27252</v>
      </c>
      <c r="Q12184" s="1">
        <v>44538</v>
      </c>
      <c r="R12184" t="s">
        <v>27253</v>
      </c>
      <c r="S12184" t="s">
        <v>27254</v>
      </c>
      <c r="T12184" t="s">
        <v>27255</v>
      </c>
    </row>
    <row r="12185" spans="1:20" x14ac:dyDescent="0.3">
      <c r="A12185" t="str">
        <f>"0611835199025"</f>
        <v>0611835199025</v>
      </c>
      <c r="B12185" t="str">
        <f>"MC0822"</f>
        <v>MC0822</v>
      </c>
      <c r="C12185" t="s">
        <v>50796</v>
      </c>
      <c r="D12185" t="s">
        <v>27267</v>
      </c>
      <c r="E12185" t="str">
        <f t="shared" si="190"/>
        <v>001390</v>
      </c>
      <c r="F12185" t="s">
        <v>27246</v>
      </c>
      <c r="G12185" t="s">
        <v>27247</v>
      </c>
      <c r="H12185" t="s">
        <v>27248</v>
      </c>
      <c r="I12185" t="s">
        <v>50798</v>
      </c>
      <c r="J12185" t="s">
        <v>24397</v>
      </c>
      <c r="L12185" t="s">
        <v>27250</v>
      </c>
      <c r="M12185" t="s">
        <v>27251</v>
      </c>
      <c r="N12185" t="s">
        <v>27252</v>
      </c>
      <c r="Q12185" s="1">
        <v>44538</v>
      </c>
      <c r="R12185" t="s">
        <v>27253</v>
      </c>
      <c r="S12185" t="s">
        <v>27254</v>
      </c>
      <c r="T12185" t="s">
        <v>27269</v>
      </c>
    </row>
    <row r="12186" spans="1:20" x14ac:dyDescent="0.3">
      <c r="A12186" t="str">
        <f>"0611835200100"</f>
        <v>0611835200100</v>
      </c>
      <c r="B12186" t="str">
        <f>"LC9512"</f>
        <v>LC9512</v>
      </c>
      <c r="C12186" t="s">
        <v>50799</v>
      </c>
      <c r="D12186" t="s">
        <v>27245</v>
      </c>
      <c r="E12186" t="str">
        <f t="shared" si="190"/>
        <v>001390</v>
      </c>
      <c r="F12186" t="s">
        <v>27246</v>
      </c>
      <c r="G12186" t="s">
        <v>27247</v>
      </c>
      <c r="H12186" t="s">
        <v>27248</v>
      </c>
      <c r="I12186" t="s">
        <v>50800</v>
      </c>
      <c r="J12186" t="s">
        <v>24399</v>
      </c>
      <c r="L12186" t="s">
        <v>27250</v>
      </c>
      <c r="M12186" t="s">
        <v>27251</v>
      </c>
      <c r="N12186" t="s">
        <v>27252</v>
      </c>
      <c r="Q12186" s="1">
        <v>44538</v>
      </c>
      <c r="R12186" t="s">
        <v>27253</v>
      </c>
      <c r="S12186" t="s">
        <v>27254</v>
      </c>
      <c r="T12186" t="s">
        <v>27255</v>
      </c>
    </row>
    <row r="12187" spans="1:20" x14ac:dyDescent="0.3">
      <c r="A12187" t="str">
        <f>"0611835201100"</f>
        <v>0611835201100</v>
      </c>
      <c r="B12187" t="str">
        <f>"LC9513"</f>
        <v>LC9513</v>
      </c>
      <c r="C12187" t="s">
        <v>50801</v>
      </c>
      <c r="D12187" t="s">
        <v>27245</v>
      </c>
      <c r="E12187" t="str">
        <f t="shared" si="190"/>
        <v>001390</v>
      </c>
      <c r="F12187" t="s">
        <v>27246</v>
      </c>
      <c r="G12187" t="s">
        <v>27247</v>
      </c>
      <c r="H12187" t="s">
        <v>27248</v>
      </c>
      <c r="I12187" t="s">
        <v>50802</v>
      </c>
      <c r="J12187" t="s">
        <v>24401</v>
      </c>
      <c r="L12187" t="s">
        <v>27250</v>
      </c>
      <c r="M12187" t="s">
        <v>27251</v>
      </c>
      <c r="N12187" t="s">
        <v>27252</v>
      </c>
      <c r="Q12187" s="1">
        <v>44538</v>
      </c>
      <c r="R12187" t="s">
        <v>27253</v>
      </c>
      <c r="S12187" t="s">
        <v>27254</v>
      </c>
      <c r="T12187" t="s">
        <v>27255</v>
      </c>
    </row>
    <row r="12188" spans="1:20" x14ac:dyDescent="0.3">
      <c r="A12188" t="str">
        <f>"0611835186025"</f>
        <v>0611835186025</v>
      </c>
      <c r="B12188" t="str">
        <f>"MC2296"</f>
        <v>MC2296</v>
      </c>
      <c r="C12188" t="s">
        <v>50803</v>
      </c>
      <c r="D12188" t="s">
        <v>27267</v>
      </c>
      <c r="E12188" t="str">
        <f t="shared" si="190"/>
        <v>001390</v>
      </c>
      <c r="F12188" t="s">
        <v>27246</v>
      </c>
      <c r="G12188" t="s">
        <v>27247</v>
      </c>
      <c r="H12188" t="s">
        <v>27248</v>
      </c>
      <c r="I12188" t="s">
        <v>50804</v>
      </c>
      <c r="J12188" t="s">
        <v>24269</v>
      </c>
      <c r="L12188" t="s">
        <v>27250</v>
      </c>
      <c r="M12188" t="s">
        <v>27251</v>
      </c>
      <c r="N12188" t="s">
        <v>27252</v>
      </c>
      <c r="Q12188" s="1">
        <v>44538</v>
      </c>
      <c r="R12188" t="s">
        <v>27253</v>
      </c>
      <c r="S12188" t="s">
        <v>27254</v>
      </c>
      <c r="T12188" t="s">
        <v>27269</v>
      </c>
    </row>
    <row r="12189" spans="1:20" x14ac:dyDescent="0.3">
      <c r="A12189" t="str">
        <f>"0611862567100"</f>
        <v>0611862567100</v>
      </c>
      <c r="B12189" t="str">
        <f>"CN5406"</f>
        <v>CN5406</v>
      </c>
      <c r="C12189" t="s">
        <v>50803</v>
      </c>
      <c r="D12189" t="s">
        <v>27335</v>
      </c>
      <c r="E12189" t="str">
        <f t="shared" si="190"/>
        <v>001390</v>
      </c>
      <c r="F12189" t="s">
        <v>27246</v>
      </c>
      <c r="G12189" t="s">
        <v>27247</v>
      </c>
      <c r="H12189" t="s">
        <v>27248</v>
      </c>
      <c r="I12189" t="s">
        <v>50805</v>
      </c>
      <c r="J12189" t="s">
        <v>24403</v>
      </c>
      <c r="L12189" t="s">
        <v>27250</v>
      </c>
      <c r="M12189" t="s">
        <v>27251</v>
      </c>
      <c r="N12189" t="s">
        <v>27252</v>
      </c>
      <c r="Q12189" s="1">
        <v>44846</v>
      </c>
      <c r="R12189" t="s">
        <v>27253</v>
      </c>
      <c r="S12189" t="s">
        <v>27254</v>
      </c>
      <c r="T12189" t="s">
        <v>27255</v>
      </c>
    </row>
    <row r="12190" spans="1:20" x14ac:dyDescent="0.3">
      <c r="A12190" t="str">
        <f>"0611884478025"</f>
        <v>0611884478025</v>
      </c>
      <c r="B12190" t="str">
        <f>"MC2934"</f>
        <v>MC2934</v>
      </c>
      <c r="C12190" t="s">
        <v>50806</v>
      </c>
      <c r="D12190" t="s">
        <v>27267</v>
      </c>
      <c r="E12190" t="str">
        <f t="shared" si="190"/>
        <v>001390</v>
      </c>
      <c r="F12190" t="s">
        <v>27246</v>
      </c>
      <c r="G12190" t="s">
        <v>27247</v>
      </c>
      <c r="H12190" t="s">
        <v>27248</v>
      </c>
      <c r="I12190" t="s">
        <v>50807</v>
      </c>
      <c r="J12190" t="s">
        <v>24273</v>
      </c>
      <c r="L12190" t="s">
        <v>27430</v>
      </c>
      <c r="M12190" t="s">
        <v>27251</v>
      </c>
      <c r="N12190" t="s">
        <v>27252</v>
      </c>
      <c r="Q12190" s="1">
        <v>45250</v>
      </c>
      <c r="R12190" t="s">
        <v>27253</v>
      </c>
      <c r="S12190" t="s">
        <v>27254</v>
      </c>
      <c r="T12190" t="s">
        <v>27269</v>
      </c>
    </row>
    <row r="12191" spans="1:20" x14ac:dyDescent="0.3">
      <c r="A12191" t="str">
        <f>"0611884479025"</f>
        <v>0611884479025</v>
      </c>
      <c r="B12191" t="str">
        <f>"MC4508"</f>
        <v>MC4508</v>
      </c>
      <c r="C12191" t="s">
        <v>50808</v>
      </c>
      <c r="D12191" t="s">
        <v>27267</v>
      </c>
      <c r="E12191" t="str">
        <f t="shared" si="190"/>
        <v>001390</v>
      </c>
      <c r="F12191" t="s">
        <v>27246</v>
      </c>
      <c r="G12191" t="s">
        <v>27247</v>
      </c>
      <c r="H12191" t="s">
        <v>27248</v>
      </c>
      <c r="I12191" t="s">
        <v>50809</v>
      </c>
      <c r="J12191" t="s">
        <v>24275</v>
      </c>
      <c r="L12191" t="s">
        <v>27430</v>
      </c>
      <c r="M12191" t="s">
        <v>27251</v>
      </c>
      <c r="N12191" t="s">
        <v>27252</v>
      </c>
      <c r="Q12191" s="1">
        <v>45250</v>
      </c>
      <c r="R12191" t="s">
        <v>27253</v>
      </c>
      <c r="S12191" t="s">
        <v>27254</v>
      </c>
      <c r="T12191" t="s">
        <v>27269</v>
      </c>
    </row>
    <row r="12192" spans="1:20" x14ac:dyDescent="0.3">
      <c r="A12192" t="str">
        <f>"0611884480025"</f>
        <v>0611884480025</v>
      </c>
      <c r="B12192" t="str">
        <f>"MC2935"</f>
        <v>MC2935</v>
      </c>
      <c r="C12192" t="s">
        <v>50810</v>
      </c>
      <c r="D12192" t="s">
        <v>27267</v>
      </c>
      <c r="E12192" t="str">
        <f t="shared" si="190"/>
        <v>001390</v>
      </c>
      <c r="F12192" t="s">
        <v>27246</v>
      </c>
      <c r="G12192" t="s">
        <v>27247</v>
      </c>
      <c r="H12192" t="s">
        <v>27248</v>
      </c>
      <c r="I12192" t="s">
        <v>50811</v>
      </c>
      <c r="J12192" t="s">
        <v>24279</v>
      </c>
      <c r="L12192" t="s">
        <v>27430</v>
      </c>
      <c r="M12192" t="s">
        <v>27251</v>
      </c>
      <c r="N12192" t="s">
        <v>27252</v>
      </c>
      <c r="Q12192" s="1">
        <v>45250</v>
      </c>
      <c r="R12192" t="s">
        <v>27253</v>
      </c>
      <c r="S12192" t="s">
        <v>27254</v>
      </c>
      <c r="T12192" t="s">
        <v>27269</v>
      </c>
    </row>
    <row r="12193" spans="1:20" x14ac:dyDescent="0.3">
      <c r="A12193" t="str">
        <f>"0611884481025"</f>
        <v>0611884481025</v>
      </c>
      <c r="B12193" t="str">
        <f>"MC3258"</f>
        <v>MC3258</v>
      </c>
      <c r="C12193" t="s">
        <v>50812</v>
      </c>
      <c r="D12193" t="s">
        <v>27267</v>
      </c>
      <c r="E12193" t="str">
        <f t="shared" si="190"/>
        <v>001390</v>
      </c>
      <c r="F12193" t="s">
        <v>27246</v>
      </c>
      <c r="G12193" t="s">
        <v>27247</v>
      </c>
      <c r="H12193" t="s">
        <v>27248</v>
      </c>
      <c r="I12193" t="s">
        <v>50813</v>
      </c>
      <c r="J12193" t="s">
        <v>24311</v>
      </c>
      <c r="L12193" t="s">
        <v>27430</v>
      </c>
      <c r="M12193" t="s">
        <v>27251</v>
      </c>
      <c r="N12193" t="s">
        <v>27252</v>
      </c>
      <c r="Q12193" s="1">
        <v>45250</v>
      </c>
      <c r="R12193" t="s">
        <v>27253</v>
      </c>
      <c r="S12193" t="s">
        <v>27254</v>
      </c>
      <c r="T12193" t="s">
        <v>27269</v>
      </c>
    </row>
    <row r="12194" spans="1:20" x14ac:dyDescent="0.3">
      <c r="A12194" t="str">
        <f>"0611884482025"</f>
        <v>0611884482025</v>
      </c>
      <c r="B12194" t="str">
        <f>"MC3259"</f>
        <v>MC3259</v>
      </c>
      <c r="C12194" t="s">
        <v>50814</v>
      </c>
      <c r="D12194" t="s">
        <v>27267</v>
      </c>
      <c r="E12194" t="str">
        <f t="shared" si="190"/>
        <v>001390</v>
      </c>
      <c r="F12194" t="s">
        <v>27246</v>
      </c>
      <c r="G12194" t="s">
        <v>27247</v>
      </c>
      <c r="H12194" t="s">
        <v>27248</v>
      </c>
      <c r="I12194" t="s">
        <v>50815</v>
      </c>
      <c r="J12194" t="s">
        <v>24313</v>
      </c>
      <c r="L12194" t="s">
        <v>27430</v>
      </c>
      <c r="M12194" t="s">
        <v>27251</v>
      </c>
      <c r="N12194" t="s">
        <v>27252</v>
      </c>
      <c r="Q12194" s="1">
        <v>45250</v>
      </c>
      <c r="R12194" t="s">
        <v>27253</v>
      </c>
      <c r="S12194" t="s">
        <v>27254</v>
      </c>
      <c r="T12194" t="s">
        <v>27269</v>
      </c>
    </row>
    <row r="12195" spans="1:20" x14ac:dyDescent="0.3">
      <c r="A12195" t="str">
        <f>"0611884483025"</f>
        <v>0611884483025</v>
      </c>
      <c r="B12195" t="str">
        <f>"MC4509"</f>
        <v>MC4509</v>
      </c>
      <c r="C12195" t="s">
        <v>50816</v>
      </c>
      <c r="D12195" t="s">
        <v>27267</v>
      </c>
      <c r="E12195" t="str">
        <f t="shared" si="190"/>
        <v>001390</v>
      </c>
      <c r="F12195" t="s">
        <v>27246</v>
      </c>
      <c r="G12195" t="s">
        <v>27247</v>
      </c>
      <c r="H12195" t="s">
        <v>27248</v>
      </c>
      <c r="I12195" t="s">
        <v>50817</v>
      </c>
      <c r="J12195" t="s">
        <v>24333</v>
      </c>
      <c r="L12195" t="s">
        <v>27430</v>
      </c>
      <c r="M12195" t="s">
        <v>27251</v>
      </c>
      <c r="N12195" t="s">
        <v>27252</v>
      </c>
      <c r="Q12195" s="1">
        <v>45250</v>
      </c>
      <c r="R12195" t="s">
        <v>27253</v>
      </c>
      <c r="S12195" t="s">
        <v>27254</v>
      </c>
      <c r="T12195" t="s">
        <v>27269</v>
      </c>
    </row>
    <row r="12196" spans="1:20" x14ac:dyDescent="0.3">
      <c r="A12196" t="str">
        <f>"0611884484100"</f>
        <v>0611884484100</v>
      </c>
      <c r="B12196" t="str">
        <f>"LC9631"</f>
        <v>LC9631</v>
      </c>
      <c r="C12196" t="s">
        <v>50818</v>
      </c>
      <c r="D12196" t="s">
        <v>27245</v>
      </c>
      <c r="E12196" t="str">
        <f t="shared" si="190"/>
        <v>001390</v>
      </c>
      <c r="F12196" t="s">
        <v>27246</v>
      </c>
      <c r="G12196" t="s">
        <v>27247</v>
      </c>
      <c r="H12196" t="s">
        <v>27248</v>
      </c>
      <c r="I12196" t="s">
        <v>50819</v>
      </c>
      <c r="J12196" t="s">
        <v>24335</v>
      </c>
      <c r="L12196" t="s">
        <v>27430</v>
      </c>
      <c r="M12196" t="s">
        <v>27251</v>
      </c>
      <c r="N12196" t="s">
        <v>27252</v>
      </c>
      <c r="Q12196" s="1">
        <v>45250</v>
      </c>
      <c r="R12196" t="s">
        <v>27253</v>
      </c>
      <c r="S12196" t="s">
        <v>27254</v>
      </c>
      <c r="T12196" t="s">
        <v>27255</v>
      </c>
    </row>
    <row r="12197" spans="1:20" x14ac:dyDescent="0.3">
      <c r="A12197" t="str">
        <f>"0611884485025"</f>
        <v>0611884485025</v>
      </c>
      <c r="B12197" t="str">
        <f>"MC2136"</f>
        <v>MC2136</v>
      </c>
      <c r="C12197" t="s">
        <v>50820</v>
      </c>
      <c r="D12197" t="s">
        <v>27267</v>
      </c>
      <c r="E12197" t="str">
        <f t="shared" si="190"/>
        <v>001390</v>
      </c>
      <c r="F12197" t="s">
        <v>27246</v>
      </c>
      <c r="G12197" t="s">
        <v>27247</v>
      </c>
      <c r="H12197" t="s">
        <v>27248</v>
      </c>
      <c r="I12197" t="s">
        <v>50821</v>
      </c>
      <c r="J12197" t="s">
        <v>24339</v>
      </c>
      <c r="L12197" t="s">
        <v>27430</v>
      </c>
      <c r="M12197" t="s">
        <v>27251</v>
      </c>
      <c r="N12197" t="s">
        <v>27252</v>
      </c>
      <c r="Q12197" s="1">
        <v>45250</v>
      </c>
      <c r="R12197" t="s">
        <v>27253</v>
      </c>
      <c r="S12197" t="s">
        <v>27254</v>
      </c>
      <c r="T12197" t="s">
        <v>27269</v>
      </c>
    </row>
    <row r="12198" spans="1:20" x14ac:dyDescent="0.3">
      <c r="A12198" t="str">
        <f>"0611884486100"</f>
        <v>0611884486100</v>
      </c>
      <c r="B12198" t="str">
        <f>"LC9507"</f>
        <v>LC9507</v>
      </c>
      <c r="C12198" t="s">
        <v>50822</v>
      </c>
      <c r="D12198" t="s">
        <v>27245</v>
      </c>
      <c r="E12198" t="str">
        <f t="shared" si="190"/>
        <v>001390</v>
      </c>
      <c r="F12198" t="s">
        <v>27246</v>
      </c>
      <c r="G12198" t="s">
        <v>27247</v>
      </c>
      <c r="H12198" t="s">
        <v>27248</v>
      </c>
      <c r="I12198" t="s">
        <v>50823</v>
      </c>
      <c r="J12198" t="s">
        <v>24343</v>
      </c>
      <c r="L12198" t="s">
        <v>27430</v>
      </c>
      <c r="M12198" t="s">
        <v>27251</v>
      </c>
      <c r="N12198" t="s">
        <v>27252</v>
      </c>
      <c r="Q12198" s="1">
        <v>45250</v>
      </c>
      <c r="R12198" t="s">
        <v>27253</v>
      </c>
      <c r="S12198" t="s">
        <v>27254</v>
      </c>
      <c r="T12198" t="s">
        <v>27255</v>
      </c>
    </row>
    <row r="12199" spans="1:20" x14ac:dyDescent="0.3">
      <c r="A12199" t="str">
        <f>"0611884487025"</f>
        <v>0611884487025</v>
      </c>
      <c r="B12199" t="str">
        <f>"MC4510"</f>
        <v>MC4510</v>
      </c>
      <c r="C12199" t="s">
        <v>50824</v>
      </c>
      <c r="D12199" t="s">
        <v>27267</v>
      </c>
      <c r="E12199" t="str">
        <f t="shared" si="190"/>
        <v>001390</v>
      </c>
      <c r="F12199" t="s">
        <v>27246</v>
      </c>
      <c r="G12199" t="s">
        <v>27247</v>
      </c>
      <c r="H12199" t="s">
        <v>27248</v>
      </c>
      <c r="I12199" t="s">
        <v>50825</v>
      </c>
      <c r="J12199" t="s">
        <v>24377</v>
      </c>
      <c r="L12199" t="s">
        <v>27430</v>
      </c>
      <c r="M12199" t="s">
        <v>27251</v>
      </c>
      <c r="N12199" t="s">
        <v>27252</v>
      </c>
      <c r="Q12199" s="1">
        <v>45250</v>
      </c>
      <c r="R12199" t="s">
        <v>27253</v>
      </c>
      <c r="S12199" t="s">
        <v>27254</v>
      </c>
      <c r="T12199" t="s">
        <v>27269</v>
      </c>
    </row>
    <row r="12200" spans="1:20" x14ac:dyDescent="0.3">
      <c r="A12200" t="str">
        <f>"0611839783025"</f>
        <v>0611839783025</v>
      </c>
      <c r="B12200" t="str">
        <f>"MC0719"</f>
        <v>MC0719</v>
      </c>
      <c r="C12200" t="s">
        <v>50826</v>
      </c>
      <c r="D12200" t="s">
        <v>27267</v>
      </c>
      <c r="E12200" t="str">
        <f t="shared" si="190"/>
        <v>001390</v>
      </c>
      <c r="F12200" t="s">
        <v>27246</v>
      </c>
      <c r="G12200" t="s">
        <v>27247</v>
      </c>
      <c r="H12200" t="s">
        <v>27248</v>
      </c>
      <c r="I12200" t="s">
        <v>50827</v>
      </c>
      <c r="J12200" t="s">
        <v>24405</v>
      </c>
      <c r="L12200" t="s">
        <v>27250</v>
      </c>
      <c r="M12200" t="s">
        <v>27251</v>
      </c>
      <c r="N12200" t="s">
        <v>27252</v>
      </c>
      <c r="Q12200" s="1">
        <v>44538</v>
      </c>
      <c r="R12200" t="s">
        <v>27253</v>
      </c>
      <c r="S12200" t="s">
        <v>27254</v>
      </c>
      <c r="T12200" t="s">
        <v>27269</v>
      </c>
    </row>
    <row r="12201" spans="1:20" x14ac:dyDescent="0.3">
      <c r="A12201" t="str">
        <f>"0611839786100"</f>
        <v>0611839786100</v>
      </c>
      <c r="B12201" t="str">
        <f>"LG7490"</f>
        <v>LG7490</v>
      </c>
      <c r="C12201" t="s">
        <v>50828</v>
      </c>
      <c r="D12201" t="s">
        <v>27245</v>
      </c>
      <c r="E12201" t="str">
        <f t="shared" si="190"/>
        <v>001390</v>
      </c>
      <c r="F12201" t="s">
        <v>27246</v>
      </c>
      <c r="G12201" t="s">
        <v>27247</v>
      </c>
      <c r="H12201" t="s">
        <v>27248</v>
      </c>
      <c r="I12201" t="s">
        <v>50829</v>
      </c>
      <c r="J12201" t="s">
        <v>24407</v>
      </c>
      <c r="L12201" t="s">
        <v>27250</v>
      </c>
      <c r="M12201" t="s">
        <v>27251</v>
      </c>
      <c r="N12201" t="s">
        <v>27252</v>
      </c>
      <c r="Q12201" s="1">
        <v>44538</v>
      </c>
      <c r="R12201" t="s">
        <v>27253</v>
      </c>
      <c r="S12201" t="s">
        <v>27254</v>
      </c>
      <c r="T12201" t="s">
        <v>27255</v>
      </c>
    </row>
    <row r="12202" spans="1:20" x14ac:dyDescent="0.3">
      <c r="A12202" t="str">
        <f>"0611839787100"</f>
        <v>0611839787100</v>
      </c>
      <c r="B12202" t="str">
        <f>"LB9110"</f>
        <v>LB9110</v>
      </c>
      <c r="C12202" t="s">
        <v>50830</v>
      </c>
      <c r="D12202" t="s">
        <v>27245</v>
      </c>
      <c r="E12202" t="str">
        <f t="shared" si="190"/>
        <v>001390</v>
      </c>
      <c r="F12202" t="s">
        <v>27246</v>
      </c>
      <c r="G12202" t="s">
        <v>27247</v>
      </c>
      <c r="H12202" t="s">
        <v>27248</v>
      </c>
      <c r="I12202" t="s">
        <v>50831</v>
      </c>
      <c r="J12202" t="s">
        <v>24409</v>
      </c>
      <c r="L12202" t="s">
        <v>27250</v>
      </c>
      <c r="M12202" t="s">
        <v>27251</v>
      </c>
      <c r="N12202" t="s">
        <v>27252</v>
      </c>
      <c r="Q12202" s="1">
        <v>44538</v>
      </c>
      <c r="R12202" t="s">
        <v>27253</v>
      </c>
      <c r="S12202" t="s">
        <v>27254</v>
      </c>
      <c r="T12202" t="s">
        <v>27255</v>
      </c>
    </row>
    <row r="12203" spans="1:20" x14ac:dyDescent="0.3">
      <c r="A12203" t="str">
        <f>"0611839788100"</f>
        <v>0611839788100</v>
      </c>
      <c r="B12203" t="str">
        <f>"LB9111"</f>
        <v>LB9111</v>
      </c>
      <c r="C12203" t="s">
        <v>50832</v>
      </c>
      <c r="D12203" t="s">
        <v>27245</v>
      </c>
      <c r="E12203" t="str">
        <f t="shared" si="190"/>
        <v>001390</v>
      </c>
      <c r="F12203" t="s">
        <v>27246</v>
      </c>
      <c r="G12203" t="s">
        <v>27247</v>
      </c>
      <c r="H12203" t="s">
        <v>27248</v>
      </c>
      <c r="I12203" t="s">
        <v>50833</v>
      </c>
      <c r="J12203" t="s">
        <v>24411</v>
      </c>
      <c r="L12203" t="s">
        <v>27250</v>
      </c>
      <c r="M12203" t="s">
        <v>27251</v>
      </c>
      <c r="N12203" t="s">
        <v>27252</v>
      </c>
      <c r="Q12203" s="1">
        <v>44538</v>
      </c>
      <c r="R12203" t="s">
        <v>27253</v>
      </c>
      <c r="S12203" t="s">
        <v>27254</v>
      </c>
      <c r="T12203" t="s">
        <v>27255</v>
      </c>
    </row>
    <row r="12204" spans="1:20" x14ac:dyDescent="0.3">
      <c r="A12204" t="str">
        <f>"0611836346100"</f>
        <v>0611836346100</v>
      </c>
      <c r="B12204" t="str">
        <f>"LL4816"</f>
        <v>LL4816</v>
      </c>
      <c r="C12204" t="s">
        <v>50834</v>
      </c>
      <c r="D12204" t="s">
        <v>27245</v>
      </c>
      <c r="E12204" t="str">
        <f t="shared" si="190"/>
        <v>001390</v>
      </c>
      <c r="F12204" t="s">
        <v>27246</v>
      </c>
      <c r="G12204" t="s">
        <v>27247</v>
      </c>
      <c r="H12204" t="s">
        <v>27248</v>
      </c>
      <c r="I12204" t="s">
        <v>50835</v>
      </c>
      <c r="J12204" t="s">
        <v>24413</v>
      </c>
      <c r="L12204" t="s">
        <v>27250</v>
      </c>
      <c r="M12204" t="s">
        <v>27251</v>
      </c>
      <c r="N12204" t="s">
        <v>27252</v>
      </c>
      <c r="Q12204" s="1">
        <v>44538</v>
      </c>
      <c r="R12204" t="s">
        <v>27253</v>
      </c>
      <c r="S12204" t="s">
        <v>27254</v>
      </c>
      <c r="T12204" t="s">
        <v>27255</v>
      </c>
    </row>
    <row r="12205" spans="1:20" x14ac:dyDescent="0.3">
      <c r="A12205" t="str">
        <f>"0611836347100"</f>
        <v>0611836347100</v>
      </c>
      <c r="B12205" t="str">
        <f>"LL3880"</f>
        <v>LL3880</v>
      </c>
      <c r="C12205" t="s">
        <v>50836</v>
      </c>
      <c r="D12205" t="s">
        <v>27245</v>
      </c>
      <c r="E12205" t="str">
        <f t="shared" si="190"/>
        <v>001390</v>
      </c>
      <c r="F12205" t="s">
        <v>27246</v>
      </c>
      <c r="G12205" t="s">
        <v>27247</v>
      </c>
      <c r="H12205" t="s">
        <v>27248</v>
      </c>
      <c r="I12205" t="s">
        <v>50837</v>
      </c>
      <c r="J12205" t="s">
        <v>24415</v>
      </c>
      <c r="L12205" t="s">
        <v>27250</v>
      </c>
      <c r="M12205" t="s">
        <v>27251</v>
      </c>
      <c r="N12205" t="s">
        <v>27252</v>
      </c>
      <c r="Q12205" s="1">
        <v>44538</v>
      </c>
      <c r="R12205" t="s">
        <v>27253</v>
      </c>
      <c r="S12205" t="s">
        <v>27254</v>
      </c>
      <c r="T12205" t="s">
        <v>27255</v>
      </c>
    </row>
    <row r="12206" spans="1:20" x14ac:dyDescent="0.3">
      <c r="A12206" t="str">
        <f>"0611836348100"</f>
        <v>0611836348100</v>
      </c>
      <c r="B12206" t="str">
        <f>"LL3883"</f>
        <v>LL3883</v>
      </c>
      <c r="C12206" t="s">
        <v>50838</v>
      </c>
      <c r="D12206" t="s">
        <v>27245</v>
      </c>
      <c r="E12206" t="str">
        <f t="shared" si="190"/>
        <v>001390</v>
      </c>
      <c r="F12206" t="s">
        <v>27246</v>
      </c>
      <c r="G12206" t="s">
        <v>27247</v>
      </c>
      <c r="H12206" t="s">
        <v>27248</v>
      </c>
      <c r="I12206" t="s">
        <v>50839</v>
      </c>
      <c r="J12206" t="s">
        <v>24417</v>
      </c>
      <c r="L12206" t="s">
        <v>27250</v>
      </c>
      <c r="M12206" t="s">
        <v>27251</v>
      </c>
      <c r="N12206" t="s">
        <v>27252</v>
      </c>
      <c r="Q12206" s="1">
        <v>44538</v>
      </c>
      <c r="R12206" t="s">
        <v>27253</v>
      </c>
      <c r="S12206" t="s">
        <v>27254</v>
      </c>
      <c r="T12206" t="s">
        <v>27255</v>
      </c>
    </row>
    <row r="12207" spans="1:20" x14ac:dyDescent="0.3">
      <c r="A12207" t="str">
        <f>"0611836349100"</f>
        <v>0611836349100</v>
      </c>
      <c r="B12207" t="str">
        <f>"LL4022"</f>
        <v>LL4022</v>
      </c>
      <c r="C12207" t="s">
        <v>50840</v>
      </c>
      <c r="D12207" t="s">
        <v>27245</v>
      </c>
      <c r="E12207" t="str">
        <f t="shared" si="190"/>
        <v>001390</v>
      </c>
      <c r="F12207" t="s">
        <v>27246</v>
      </c>
      <c r="G12207" t="s">
        <v>27247</v>
      </c>
      <c r="H12207" t="s">
        <v>27248</v>
      </c>
      <c r="I12207" t="s">
        <v>50841</v>
      </c>
      <c r="J12207" t="s">
        <v>24419</v>
      </c>
      <c r="L12207" t="s">
        <v>27250</v>
      </c>
      <c r="M12207" t="s">
        <v>27251</v>
      </c>
      <c r="N12207" t="s">
        <v>27252</v>
      </c>
      <c r="O12207">
        <v>100</v>
      </c>
      <c r="Q12207" s="1">
        <v>44538</v>
      </c>
      <c r="R12207" t="s">
        <v>27253</v>
      </c>
      <c r="S12207" t="s">
        <v>27254</v>
      </c>
      <c r="T12207" t="s">
        <v>27255</v>
      </c>
    </row>
    <row r="12208" spans="1:20" x14ac:dyDescent="0.3">
      <c r="A12208" t="str">
        <f>"0611836351100"</f>
        <v>0611836351100</v>
      </c>
      <c r="B12208" t="str">
        <f>"LL3886"</f>
        <v>LL3886</v>
      </c>
      <c r="C12208" t="s">
        <v>50842</v>
      </c>
      <c r="D12208" t="s">
        <v>27245</v>
      </c>
      <c r="E12208" t="str">
        <f t="shared" si="190"/>
        <v>001390</v>
      </c>
      <c r="F12208" t="s">
        <v>27246</v>
      </c>
      <c r="G12208" t="s">
        <v>27247</v>
      </c>
      <c r="H12208" t="s">
        <v>27248</v>
      </c>
      <c r="I12208" t="s">
        <v>50843</v>
      </c>
      <c r="J12208" t="s">
        <v>24421</v>
      </c>
      <c r="L12208" t="s">
        <v>27250</v>
      </c>
      <c r="M12208" t="s">
        <v>27251</v>
      </c>
      <c r="N12208" t="s">
        <v>27252</v>
      </c>
      <c r="Q12208" s="1">
        <v>44538</v>
      </c>
      <c r="R12208" t="s">
        <v>27253</v>
      </c>
      <c r="S12208" t="s">
        <v>27254</v>
      </c>
      <c r="T12208" t="s">
        <v>27255</v>
      </c>
    </row>
    <row r="12209" spans="1:20" x14ac:dyDescent="0.3">
      <c r="A12209" t="str">
        <f>"0611836352100"</f>
        <v>0611836352100</v>
      </c>
      <c r="B12209" t="str">
        <f>"LL0048"</f>
        <v>LL0048</v>
      </c>
      <c r="C12209" t="s">
        <v>50844</v>
      </c>
      <c r="D12209" t="s">
        <v>27245</v>
      </c>
      <c r="E12209" t="str">
        <f t="shared" si="190"/>
        <v>001390</v>
      </c>
      <c r="F12209" t="s">
        <v>27246</v>
      </c>
      <c r="G12209" t="s">
        <v>27247</v>
      </c>
      <c r="H12209" t="s">
        <v>27248</v>
      </c>
      <c r="I12209" t="s">
        <v>50845</v>
      </c>
      <c r="J12209" t="s">
        <v>24423</v>
      </c>
      <c r="L12209" t="s">
        <v>27250</v>
      </c>
      <c r="M12209" t="s">
        <v>27251</v>
      </c>
      <c r="N12209" t="s">
        <v>27252</v>
      </c>
      <c r="Q12209" s="1">
        <v>44538</v>
      </c>
      <c r="R12209" t="s">
        <v>27253</v>
      </c>
      <c r="S12209" t="s">
        <v>27254</v>
      </c>
      <c r="T12209" t="s">
        <v>27255</v>
      </c>
    </row>
    <row r="12210" spans="1:20" x14ac:dyDescent="0.3">
      <c r="A12210" t="str">
        <f>"0611836353100"</f>
        <v>0611836353100</v>
      </c>
      <c r="B12210" t="str">
        <f>"LL3888"</f>
        <v>LL3888</v>
      </c>
      <c r="C12210" t="s">
        <v>50846</v>
      </c>
      <c r="D12210" t="s">
        <v>27245</v>
      </c>
      <c r="E12210" t="str">
        <f t="shared" si="190"/>
        <v>001390</v>
      </c>
      <c r="F12210" t="s">
        <v>27246</v>
      </c>
      <c r="G12210" t="s">
        <v>27247</v>
      </c>
      <c r="H12210" t="s">
        <v>27248</v>
      </c>
      <c r="I12210" t="s">
        <v>50847</v>
      </c>
      <c r="J12210" t="s">
        <v>24425</v>
      </c>
      <c r="L12210" t="s">
        <v>27250</v>
      </c>
      <c r="M12210" t="s">
        <v>27251</v>
      </c>
      <c r="N12210" t="s">
        <v>27252</v>
      </c>
      <c r="Q12210" s="1">
        <v>44538</v>
      </c>
      <c r="R12210" t="s">
        <v>27253</v>
      </c>
      <c r="S12210" t="s">
        <v>27254</v>
      </c>
      <c r="T12210" t="s">
        <v>27255</v>
      </c>
    </row>
    <row r="12211" spans="1:20" x14ac:dyDescent="0.3">
      <c r="A12211" t="str">
        <f>"0611836354100"</f>
        <v>0611836354100</v>
      </c>
      <c r="B12211" t="str">
        <f>"LL0070"</f>
        <v>LL0070</v>
      </c>
      <c r="C12211" t="s">
        <v>50848</v>
      </c>
      <c r="D12211" t="s">
        <v>27245</v>
      </c>
      <c r="E12211" t="str">
        <f t="shared" si="190"/>
        <v>001390</v>
      </c>
      <c r="F12211" t="s">
        <v>27246</v>
      </c>
      <c r="G12211" t="s">
        <v>27247</v>
      </c>
      <c r="H12211" t="s">
        <v>27248</v>
      </c>
      <c r="I12211" t="s">
        <v>50849</v>
      </c>
      <c r="J12211" t="s">
        <v>24427</v>
      </c>
      <c r="L12211" t="s">
        <v>27250</v>
      </c>
      <c r="M12211" t="s">
        <v>27251</v>
      </c>
      <c r="N12211" t="s">
        <v>27252</v>
      </c>
      <c r="Q12211" s="1">
        <v>44538</v>
      </c>
      <c r="R12211" t="s">
        <v>27253</v>
      </c>
      <c r="S12211" t="s">
        <v>27254</v>
      </c>
      <c r="T12211" t="s">
        <v>27255</v>
      </c>
    </row>
    <row r="12212" spans="1:20" x14ac:dyDescent="0.3">
      <c r="A12212" t="str">
        <f>"0611836355100"</f>
        <v>0611836355100</v>
      </c>
      <c r="B12212" t="str">
        <f>"LL3935"</f>
        <v>LL3935</v>
      </c>
      <c r="C12212" t="s">
        <v>50850</v>
      </c>
      <c r="D12212" t="s">
        <v>27245</v>
      </c>
      <c r="E12212" t="str">
        <f t="shared" si="190"/>
        <v>001390</v>
      </c>
      <c r="F12212" t="s">
        <v>27246</v>
      </c>
      <c r="G12212" t="s">
        <v>27247</v>
      </c>
      <c r="H12212" t="s">
        <v>27248</v>
      </c>
      <c r="I12212" t="s">
        <v>50851</v>
      </c>
      <c r="J12212" t="s">
        <v>24429</v>
      </c>
      <c r="L12212" t="s">
        <v>27250</v>
      </c>
      <c r="M12212" t="s">
        <v>27251</v>
      </c>
      <c r="N12212" t="s">
        <v>27252</v>
      </c>
      <c r="Q12212" s="1">
        <v>44538</v>
      </c>
      <c r="R12212" t="s">
        <v>27253</v>
      </c>
      <c r="S12212" t="s">
        <v>27254</v>
      </c>
      <c r="T12212" t="s">
        <v>27255</v>
      </c>
    </row>
    <row r="12213" spans="1:20" x14ac:dyDescent="0.3">
      <c r="A12213" t="str">
        <f>"0611836357100"</f>
        <v>0611836357100</v>
      </c>
      <c r="B12213" t="str">
        <f>"LL3942"</f>
        <v>LL3942</v>
      </c>
      <c r="C12213" t="s">
        <v>50852</v>
      </c>
      <c r="D12213" t="s">
        <v>27245</v>
      </c>
      <c r="E12213" t="str">
        <f t="shared" si="190"/>
        <v>001390</v>
      </c>
      <c r="F12213" t="s">
        <v>27246</v>
      </c>
      <c r="G12213" t="s">
        <v>27247</v>
      </c>
      <c r="H12213" t="s">
        <v>27248</v>
      </c>
      <c r="I12213" t="s">
        <v>50853</v>
      </c>
      <c r="J12213" t="s">
        <v>24431</v>
      </c>
      <c r="L12213" t="s">
        <v>27250</v>
      </c>
      <c r="M12213" t="s">
        <v>27251</v>
      </c>
      <c r="N12213" t="s">
        <v>27252</v>
      </c>
      <c r="Q12213" s="1">
        <v>44538</v>
      </c>
      <c r="R12213" t="s">
        <v>27253</v>
      </c>
      <c r="S12213" t="s">
        <v>27254</v>
      </c>
      <c r="T12213" t="s">
        <v>27255</v>
      </c>
    </row>
    <row r="12214" spans="1:20" x14ac:dyDescent="0.3">
      <c r="A12214" t="str">
        <f>"0611836358200"</f>
        <v>0611836358200</v>
      </c>
      <c r="B12214" t="str">
        <f>"KY3942"</f>
        <v>KY3942</v>
      </c>
      <c r="C12214" t="s">
        <v>50852</v>
      </c>
      <c r="D12214" t="s">
        <v>27682</v>
      </c>
      <c r="E12214" t="str">
        <f t="shared" si="190"/>
        <v>001390</v>
      </c>
      <c r="F12214" t="s">
        <v>27246</v>
      </c>
      <c r="G12214" t="s">
        <v>27247</v>
      </c>
      <c r="H12214" t="s">
        <v>27248</v>
      </c>
      <c r="I12214" t="s">
        <v>50854</v>
      </c>
      <c r="J12214" t="s">
        <v>24433</v>
      </c>
      <c r="L12214" t="s">
        <v>27250</v>
      </c>
      <c r="M12214" t="s">
        <v>27251</v>
      </c>
      <c r="N12214" t="s">
        <v>27252</v>
      </c>
      <c r="Q12214" s="1">
        <v>44538</v>
      </c>
      <c r="R12214" t="s">
        <v>27253</v>
      </c>
      <c r="S12214" t="s">
        <v>27254</v>
      </c>
      <c r="T12214" t="s">
        <v>27684</v>
      </c>
    </row>
    <row r="12215" spans="1:20" x14ac:dyDescent="0.3">
      <c r="A12215" t="str">
        <f>"0611836359100"</f>
        <v>0611836359100</v>
      </c>
      <c r="B12215" t="str">
        <f>"LL3946"</f>
        <v>LL3946</v>
      </c>
      <c r="C12215" t="s">
        <v>50855</v>
      </c>
      <c r="D12215" t="s">
        <v>27245</v>
      </c>
      <c r="E12215" t="str">
        <f t="shared" si="190"/>
        <v>001390</v>
      </c>
      <c r="F12215" t="s">
        <v>27246</v>
      </c>
      <c r="G12215" t="s">
        <v>27247</v>
      </c>
      <c r="H12215" t="s">
        <v>27248</v>
      </c>
      <c r="I12215" t="s">
        <v>50856</v>
      </c>
      <c r="J12215" t="s">
        <v>24435</v>
      </c>
      <c r="L12215" t="s">
        <v>27250</v>
      </c>
      <c r="M12215" t="s">
        <v>27251</v>
      </c>
      <c r="N12215" t="s">
        <v>27252</v>
      </c>
      <c r="Q12215" s="1">
        <v>44538</v>
      </c>
      <c r="R12215" t="s">
        <v>27253</v>
      </c>
      <c r="S12215" t="s">
        <v>27254</v>
      </c>
      <c r="T12215" t="s">
        <v>27255</v>
      </c>
    </row>
    <row r="12216" spans="1:20" x14ac:dyDescent="0.3">
      <c r="A12216" t="str">
        <f>"0611836360200"</f>
        <v>0611836360200</v>
      </c>
      <c r="B12216" t="str">
        <f>"KY3946"</f>
        <v>KY3946</v>
      </c>
      <c r="C12216" t="s">
        <v>50855</v>
      </c>
      <c r="D12216" t="s">
        <v>27682</v>
      </c>
      <c r="E12216" t="str">
        <f t="shared" si="190"/>
        <v>001390</v>
      </c>
      <c r="F12216" t="s">
        <v>27246</v>
      </c>
      <c r="G12216" t="s">
        <v>27247</v>
      </c>
      <c r="H12216" t="s">
        <v>27248</v>
      </c>
      <c r="I12216" t="s">
        <v>50857</v>
      </c>
      <c r="J12216" t="s">
        <v>24437</v>
      </c>
      <c r="L12216" t="s">
        <v>27250</v>
      </c>
      <c r="M12216" t="s">
        <v>27251</v>
      </c>
      <c r="N12216" t="s">
        <v>27252</v>
      </c>
      <c r="Q12216" s="1">
        <v>44538</v>
      </c>
      <c r="R12216" t="s">
        <v>27253</v>
      </c>
      <c r="S12216" t="s">
        <v>27254</v>
      </c>
      <c r="T12216" t="s">
        <v>27684</v>
      </c>
    </row>
    <row r="12217" spans="1:20" x14ac:dyDescent="0.3">
      <c r="A12217" t="str">
        <f>"0611836361100"</f>
        <v>0611836361100</v>
      </c>
      <c r="B12217" t="str">
        <f>"LL4013"</f>
        <v>LL4013</v>
      </c>
      <c r="C12217" t="s">
        <v>50858</v>
      </c>
      <c r="D12217" t="s">
        <v>27245</v>
      </c>
      <c r="E12217" t="str">
        <f t="shared" si="190"/>
        <v>001390</v>
      </c>
      <c r="F12217" t="s">
        <v>27246</v>
      </c>
      <c r="G12217" t="s">
        <v>27247</v>
      </c>
      <c r="H12217" t="s">
        <v>27248</v>
      </c>
      <c r="I12217" t="s">
        <v>50859</v>
      </c>
      <c r="J12217" t="s">
        <v>24439</v>
      </c>
      <c r="L12217" t="s">
        <v>27250</v>
      </c>
      <c r="M12217" t="s">
        <v>27251</v>
      </c>
      <c r="N12217" t="s">
        <v>27252</v>
      </c>
      <c r="Q12217" s="1">
        <v>44538</v>
      </c>
      <c r="R12217" t="s">
        <v>27253</v>
      </c>
      <c r="S12217" t="s">
        <v>27254</v>
      </c>
      <c r="T12217" t="s">
        <v>27255</v>
      </c>
    </row>
    <row r="12218" spans="1:20" x14ac:dyDescent="0.3">
      <c r="A12218" t="str">
        <f>"0611836362100"</f>
        <v>0611836362100</v>
      </c>
      <c r="B12218" t="str">
        <f>"LL4023"</f>
        <v>LL4023</v>
      </c>
      <c r="C12218" t="s">
        <v>50860</v>
      </c>
      <c r="D12218" t="s">
        <v>27245</v>
      </c>
      <c r="E12218" t="str">
        <f t="shared" si="190"/>
        <v>001390</v>
      </c>
      <c r="F12218" t="s">
        <v>27246</v>
      </c>
      <c r="G12218" t="s">
        <v>27247</v>
      </c>
      <c r="H12218" t="s">
        <v>27248</v>
      </c>
      <c r="I12218" t="s">
        <v>50861</v>
      </c>
      <c r="J12218" t="s">
        <v>24441</v>
      </c>
      <c r="L12218" t="s">
        <v>27250</v>
      </c>
      <c r="M12218" t="s">
        <v>27251</v>
      </c>
      <c r="N12218" t="s">
        <v>27252</v>
      </c>
      <c r="Q12218" s="1">
        <v>44538</v>
      </c>
      <c r="R12218" t="s">
        <v>27253</v>
      </c>
      <c r="S12218" t="s">
        <v>27254</v>
      </c>
      <c r="T12218" t="s">
        <v>27255</v>
      </c>
    </row>
    <row r="12219" spans="1:20" x14ac:dyDescent="0.3">
      <c r="A12219" t="str">
        <f>"0611836363100"</f>
        <v>0611836363100</v>
      </c>
      <c r="B12219" t="str">
        <f>"LL0190"</f>
        <v>LL0190</v>
      </c>
      <c r="C12219" t="s">
        <v>50862</v>
      </c>
      <c r="D12219" t="s">
        <v>27245</v>
      </c>
      <c r="E12219" t="str">
        <f t="shared" si="190"/>
        <v>001390</v>
      </c>
      <c r="F12219" t="s">
        <v>27246</v>
      </c>
      <c r="G12219" t="s">
        <v>27247</v>
      </c>
      <c r="H12219" t="s">
        <v>27248</v>
      </c>
      <c r="I12219" t="s">
        <v>50863</v>
      </c>
      <c r="J12219" t="s">
        <v>24443</v>
      </c>
      <c r="L12219" t="s">
        <v>27250</v>
      </c>
      <c r="M12219" t="s">
        <v>27251</v>
      </c>
      <c r="N12219" t="s">
        <v>27252</v>
      </c>
      <c r="Q12219" s="1">
        <v>44538</v>
      </c>
      <c r="R12219" t="s">
        <v>27253</v>
      </c>
      <c r="S12219" t="s">
        <v>27254</v>
      </c>
      <c r="T12219" t="s">
        <v>27255</v>
      </c>
    </row>
    <row r="12220" spans="1:20" x14ac:dyDescent="0.3">
      <c r="A12220" t="str">
        <f>"0611836364100"</f>
        <v>0611836364100</v>
      </c>
      <c r="B12220" t="str">
        <f>"LL3966"</f>
        <v>LL3966</v>
      </c>
      <c r="C12220" t="s">
        <v>50864</v>
      </c>
      <c r="D12220" t="s">
        <v>27245</v>
      </c>
      <c r="E12220" t="str">
        <f t="shared" si="190"/>
        <v>001390</v>
      </c>
      <c r="F12220" t="s">
        <v>27246</v>
      </c>
      <c r="G12220" t="s">
        <v>27247</v>
      </c>
      <c r="H12220" t="s">
        <v>27248</v>
      </c>
      <c r="I12220" t="s">
        <v>50865</v>
      </c>
      <c r="J12220" t="s">
        <v>24445</v>
      </c>
      <c r="L12220" t="s">
        <v>27250</v>
      </c>
      <c r="M12220" t="s">
        <v>27251</v>
      </c>
      <c r="N12220" t="s">
        <v>27252</v>
      </c>
      <c r="Q12220" s="1">
        <v>44538</v>
      </c>
      <c r="R12220" t="s">
        <v>27253</v>
      </c>
      <c r="S12220" t="s">
        <v>27254</v>
      </c>
      <c r="T12220" t="s">
        <v>27255</v>
      </c>
    </row>
    <row r="12221" spans="1:20" x14ac:dyDescent="0.3">
      <c r="A12221" t="str">
        <f>"0611836366100"</f>
        <v>0611836366100</v>
      </c>
      <c r="B12221" t="str">
        <f>"LL3957"</f>
        <v>LL3957</v>
      </c>
      <c r="C12221" t="s">
        <v>50866</v>
      </c>
      <c r="D12221" t="s">
        <v>27245</v>
      </c>
      <c r="E12221" t="str">
        <f t="shared" si="190"/>
        <v>001390</v>
      </c>
      <c r="F12221" t="s">
        <v>27246</v>
      </c>
      <c r="G12221" t="s">
        <v>27247</v>
      </c>
      <c r="H12221" t="s">
        <v>27248</v>
      </c>
      <c r="I12221" t="s">
        <v>50867</v>
      </c>
      <c r="J12221" t="s">
        <v>24447</v>
      </c>
      <c r="L12221" t="s">
        <v>27250</v>
      </c>
      <c r="M12221" t="s">
        <v>27251</v>
      </c>
      <c r="N12221" t="s">
        <v>27252</v>
      </c>
      <c r="Q12221" s="1">
        <v>44538</v>
      </c>
      <c r="R12221" t="s">
        <v>27253</v>
      </c>
      <c r="S12221" t="s">
        <v>27254</v>
      </c>
      <c r="T12221" t="s">
        <v>27255</v>
      </c>
    </row>
    <row r="12222" spans="1:20" x14ac:dyDescent="0.3">
      <c r="A12222" t="str">
        <f>"0611836367200"</f>
        <v>0611836367200</v>
      </c>
      <c r="B12222" t="str">
        <f>"KY3957"</f>
        <v>KY3957</v>
      </c>
      <c r="C12222" t="s">
        <v>50866</v>
      </c>
      <c r="D12222" t="s">
        <v>27682</v>
      </c>
      <c r="E12222" t="str">
        <f t="shared" si="190"/>
        <v>001390</v>
      </c>
      <c r="F12222" t="s">
        <v>27246</v>
      </c>
      <c r="G12222" t="s">
        <v>27247</v>
      </c>
      <c r="H12222" t="s">
        <v>27248</v>
      </c>
      <c r="I12222" t="s">
        <v>50868</v>
      </c>
      <c r="J12222" t="s">
        <v>24449</v>
      </c>
      <c r="L12222" t="s">
        <v>27250</v>
      </c>
      <c r="M12222" t="s">
        <v>27251</v>
      </c>
      <c r="N12222" t="s">
        <v>27252</v>
      </c>
      <c r="Q12222" s="1">
        <v>44538</v>
      </c>
      <c r="R12222" t="s">
        <v>27253</v>
      </c>
      <c r="S12222" t="s">
        <v>27254</v>
      </c>
      <c r="T12222" t="s">
        <v>27684</v>
      </c>
    </row>
    <row r="12223" spans="1:20" x14ac:dyDescent="0.3">
      <c r="A12223" t="str">
        <f>"0611857151100"</f>
        <v>0611857151100</v>
      </c>
      <c r="B12223" t="str">
        <f>"LL5046"</f>
        <v>LL5046</v>
      </c>
      <c r="C12223" t="s">
        <v>50869</v>
      </c>
      <c r="D12223" t="s">
        <v>27245</v>
      </c>
      <c r="E12223" t="str">
        <f t="shared" si="190"/>
        <v>001390</v>
      </c>
      <c r="F12223" t="s">
        <v>27246</v>
      </c>
      <c r="G12223" t="s">
        <v>27247</v>
      </c>
      <c r="H12223" t="s">
        <v>27248</v>
      </c>
      <c r="I12223" t="s">
        <v>50870</v>
      </c>
      <c r="J12223" t="s">
        <v>24451</v>
      </c>
      <c r="L12223" t="s">
        <v>27250</v>
      </c>
      <c r="M12223" t="s">
        <v>27251</v>
      </c>
      <c r="N12223" t="s">
        <v>27252</v>
      </c>
      <c r="Q12223" s="1">
        <v>44812</v>
      </c>
      <c r="R12223" t="s">
        <v>27253</v>
      </c>
      <c r="S12223" t="s">
        <v>27254</v>
      </c>
      <c r="T12223" t="s">
        <v>27255</v>
      </c>
    </row>
    <row r="12224" spans="1:20" x14ac:dyDescent="0.3">
      <c r="A12224" t="str">
        <f>"0611836368100"</f>
        <v>0611836368100</v>
      </c>
      <c r="B12224" t="str">
        <f>"LL3956"</f>
        <v>LL3956</v>
      </c>
      <c r="C12224" t="s">
        <v>50871</v>
      </c>
      <c r="D12224" t="s">
        <v>28138</v>
      </c>
      <c r="E12224" t="str">
        <f t="shared" si="190"/>
        <v>001390</v>
      </c>
      <c r="F12224" t="s">
        <v>27246</v>
      </c>
      <c r="G12224" t="s">
        <v>27247</v>
      </c>
      <c r="H12224" t="s">
        <v>27248</v>
      </c>
      <c r="I12224" t="s">
        <v>50872</v>
      </c>
      <c r="J12224" t="s">
        <v>24453</v>
      </c>
      <c r="L12224" t="s">
        <v>27250</v>
      </c>
      <c r="M12224" t="s">
        <v>27251</v>
      </c>
      <c r="N12224" t="s">
        <v>27252</v>
      </c>
      <c r="P12224" t="s">
        <v>27925</v>
      </c>
      <c r="Q12224" s="1">
        <v>44538</v>
      </c>
      <c r="R12224" t="s">
        <v>27253</v>
      </c>
      <c r="S12224" t="s">
        <v>27254</v>
      </c>
      <c r="T12224" t="s">
        <v>27255</v>
      </c>
    </row>
    <row r="12225" spans="1:20" x14ac:dyDescent="0.3">
      <c r="A12225" t="str">
        <f>"0611836369100"</f>
        <v>0611836369100</v>
      </c>
      <c r="B12225" t="str">
        <f>"LL3958"</f>
        <v>LL3958</v>
      </c>
      <c r="C12225" t="s">
        <v>50873</v>
      </c>
      <c r="D12225" t="s">
        <v>27245</v>
      </c>
      <c r="E12225" t="str">
        <f t="shared" si="190"/>
        <v>001390</v>
      </c>
      <c r="F12225" t="s">
        <v>27246</v>
      </c>
      <c r="G12225" t="s">
        <v>27247</v>
      </c>
      <c r="H12225" t="s">
        <v>27248</v>
      </c>
      <c r="I12225" t="s">
        <v>50874</v>
      </c>
      <c r="J12225" t="s">
        <v>24455</v>
      </c>
      <c r="L12225" t="s">
        <v>27250</v>
      </c>
      <c r="M12225" t="s">
        <v>27251</v>
      </c>
      <c r="N12225" t="s">
        <v>27252</v>
      </c>
      <c r="Q12225" s="1">
        <v>44538</v>
      </c>
      <c r="R12225" t="s">
        <v>27253</v>
      </c>
      <c r="S12225" t="s">
        <v>27254</v>
      </c>
      <c r="T12225" t="s">
        <v>27255</v>
      </c>
    </row>
    <row r="12226" spans="1:20" x14ac:dyDescent="0.3">
      <c r="A12226" t="str">
        <f>"0611836370100"</f>
        <v>0611836370100</v>
      </c>
      <c r="B12226" t="str">
        <f>"LL3963"</f>
        <v>LL3963</v>
      </c>
      <c r="C12226" t="s">
        <v>50875</v>
      </c>
      <c r="D12226" t="s">
        <v>27245</v>
      </c>
      <c r="E12226" t="str">
        <f t="shared" ref="E12226:E12289" si="191">"001390"</f>
        <v>001390</v>
      </c>
      <c r="F12226" t="s">
        <v>27246</v>
      </c>
      <c r="G12226" t="s">
        <v>27247</v>
      </c>
      <c r="H12226" t="s">
        <v>27248</v>
      </c>
      <c r="I12226" t="s">
        <v>50876</v>
      </c>
      <c r="J12226" t="s">
        <v>24457</v>
      </c>
      <c r="L12226" t="s">
        <v>27250</v>
      </c>
      <c r="M12226" t="s">
        <v>27251</v>
      </c>
      <c r="N12226" t="s">
        <v>27252</v>
      </c>
      <c r="Q12226" s="1">
        <v>44538</v>
      </c>
      <c r="R12226" t="s">
        <v>27253</v>
      </c>
      <c r="S12226" t="s">
        <v>27254</v>
      </c>
      <c r="T12226" t="s">
        <v>27255</v>
      </c>
    </row>
    <row r="12227" spans="1:20" x14ac:dyDescent="0.3">
      <c r="A12227" t="str">
        <f>"0611857152100"</f>
        <v>0611857152100</v>
      </c>
      <c r="B12227" t="str">
        <f>"LL5047"</f>
        <v>LL5047</v>
      </c>
      <c r="C12227" t="s">
        <v>50877</v>
      </c>
      <c r="D12227" t="s">
        <v>27245</v>
      </c>
      <c r="E12227" t="str">
        <f t="shared" si="191"/>
        <v>001390</v>
      </c>
      <c r="F12227" t="s">
        <v>27246</v>
      </c>
      <c r="G12227" t="s">
        <v>27247</v>
      </c>
      <c r="H12227" t="s">
        <v>27248</v>
      </c>
      <c r="I12227" t="s">
        <v>50878</v>
      </c>
      <c r="J12227" t="s">
        <v>24459</v>
      </c>
      <c r="L12227" t="s">
        <v>27250</v>
      </c>
      <c r="M12227" t="s">
        <v>27251</v>
      </c>
      <c r="N12227" t="s">
        <v>27252</v>
      </c>
      <c r="Q12227" s="1">
        <v>44812</v>
      </c>
      <c r="R12227" t="s">
        <v>27253</v>
      </c>
      <c r="S12227" t="s">
        <v>27254</v>
      </c>
      <c r="T12227" t="s">
        <v>27255</v>
      </c>
    </row>
    <row r="12228" spans="1:20" x14ac:dyDescent="0.3">
      <c r="A12228" t="str">
        <f>"0611836372100"</f>
        <v>0611836372100</v>
      </c>
      <c r="B12228" t="str">
        <f>"LL3959"</f>
        <v>LL3959</v>
      </c>
      <c r="C12228" t="s">
        <v>50879</v>
      </c>
      <c r="D12228" t="s">
        <v>27245</v>
      </c>
      <c r="E12228" t="str">
        <f t="shared" si="191"/>
        <v>001390</v>
      </c>
      <c r="F12228" t="s">
        <v>27246</v>
      </c>
      <c r="G12228" t="s">
        <v>27247</v>
      </c>
      <c r="H12228" t="s">
        <v>27248</v>
      </c>
      <c r="I12228" t="s">
        <v>50880</v>
      </c>
      <c r="J12228" t="s">
        <v>24461</v>
      </c>
      <c r="L12228" t="s">
        <v>27250</v>
      </c>
      <c r="M12228" t="s">
        <v>27251</v>
      </c>
      <c r="N12228" t="s">
        <v>27252</v>
      </c>
      <c r="Q12228" s="1">
        <v>44538</v>
      </c>
      <c r="R12228" t="s">
        <v>27253</v>
      </c>
      <c r="S12228" t="s">
        <v>27254</v>
      </c>
      <c r="T12228" t="s">
        <v>27255</v>
      </c>
    </row>
    <row r="12229" spans="1:20" x14ac:dyDescent="0.3">
      <c r="A12229" t="str">
        <f>"0611839789100"</f>
        <v>0611839789100</v>
      </c>
      <c r="B12229" t="str">
        <f>"LL8129"</f>
        <v>LL8129</v>
      </c>
      <c r="C12229" t="s">
        <v>50881</v>
      </c>
      <c r="D12229" t="s">
        <v>27245</v>
      </c>
      <c r="E12229" t="str">
        <f t="shared" si="191"/>
        <v>001390</v>
      </c>
      <c r="F12229" t="s">
        <v>27246</v>
      </c>
      <c r="G12229" t="s">
        <v>27247</v>
      </c>
      <c r="H12229" t="s">
        <v>27248</v>
      </c>
      <c r="I12229" t="s">
        <v>50882</v>
      </c>
      <c r="J12229" t="s">
        <v>24463</v>
      </c>
      <c r="L12229" t="s">
        <v>27250</v>
      </c>
      <c r="M12229" t="s">
        <v>27251</v>
      </c>
      <c r="N12229" t="s">
        <v>27252</v>
      </c>
      <c r="Q12229" s="1">
        <v>44538</v>
      </c>
      <c r="R12229" t="s">
        <v>27253</v>
      </c>
      <c r="S12229" t="s">
        <v>27254</v>
      </c>
      <c r="T12229" t="s">
        <v>27255</v>
      </c>
    </row>
    <row r="12230" spans="1:20" x14ac:dyDescent="0.3">
      <c r="A12230" t="str">
        <f>"0611836373100"</f>
        <v>0611836373100</v>
      </c>
      <c r="B12230" t="str">
        <f>"LL5022"</f>
        <v>LL5022</v>
      </c>
      <c r="C12230" t="s">
        <v>50883</v>
      </c>
      <c r="D12230" t="s">
        <v>27245</v>
      </c>
      <c r="E12230" t="str">
        <f t="shared" si="191"/>
        <v>001390</v>
      </c>
      <c r="F12230" t="s">
        <v>27246</v>
      </c>
      <c r="G12230" t="s">
        <v>27247</v>
      </c>
      <c r="H12230" t="s">
        <v>27248</v>
      </c>
      <c r="I12230" t="s">
        <v>50884</v>
      </c>
      <c r="J12230" t="s">
        <v>24465</v>
      </c>
      <c r="L12230" t="s">
        <v>27250</v>
      </c>
      <c r="M12230" t="s">
        <v>27251</v>
      </c>
      <c r="N12230" t="s">
        <v>27252</v>
      </c>
      <c r="Q12230" s="1">
        <v>44538</v>
      </c>
      <c r="R12230" t="s">
        <v>27253</v>
      </c>
      <c r="S12230" t="s">
        <v>27254</v>
      </c>
      <c r="T12230" t="s">
        <v>27255</v>
      </c>
    </row>
    <row r="12231" spans="1:20" x14ac:dyDescent="0.3">
      <c r="A12231" t="str">
        <f>"0611836374100"</f>
        <v>0611836374100</v>
      </c>
      <c r="B12231" t="str">
        <f>"LL5023"</f>
        <v>LL5023</v>
      </c>
      <c r="C12231" t="s">
        <v>50885</v>
      </c>
      <c r="D12231" t="s">
        <v>27245</v>
      </c>
      <c r="E12231" t="str">
        <f t="shared" si="191"/>
        <v>001390</v>
      </c>
      <c r="F12231" t="s">
        <v>27246</v>
      </c>
      <c r="G12231" t="s">
        <v>27247</v>
      </c>
      <c r="H12231" t="s">
        <v>27248</v>
      </c>
      <c r="I12231" t="s">
        <v>50886</v>
      </c>
      <c r="J12231" t="s">
        <v>24467</v>
      </c>
      <c r="L12231" t="s">
        <v>27250</v>
      </c>
      <c r="M12231" t="s">
        <v>27251</v>
      </c>
      <c r="N12231" t="s">
        <v>27252</v>
      </c>
      <c r="Q12231" s="1">
        <v>44538</v>
      </c>
      <c r="R12231" t="s">
        <v>27253</v>
      </c>
      <c r="S12231" t="s">
        <v>27254</v>
      </c>
      <c r="T12231" t="s">
        <v>27255</v>
      </c>
    </row>
    <row r="12232" spans="1:20" x14ac:dyDescent="0.3">
      <c r="A12232" t="str">
        <f>"0611836376100"</f>
        <v>0611836376100</v>
      </c>
      <c r="B12232" t="str">
        <f>"LL4065"</f>
        <v>LL4065</v>
      </c>
      <c r="C12232" t="s">
        <v>50887</v>
      </c>
      <c r="D12232" t="s">
        <v>27245</v>
      </c>
      <c r="E12232" t="str">
        <f t="shared" si="191"/>
        <v>001390</v>
      </c>
      <c r="F12232" t="s">
        <v>27246</v>
      </c>
      <c r="G12232" t="s">
        <v>27247</v>
      </c>
      <c r="H12232" t="s">
        <v>27248</v>
      </c>
      <c r="I12232" t="s">
        <v>50888</v>
      </c>
      <c r="J12232" t="s">
        <v>24469</v>
      </c>
      <c r="L12232" t="s">
        <v>27250</v>
      </c>
      <c r="M12232" t="s">
        <v>27251</v>
      </c>
      <c r="N12232" t="s">
        <v>27252</v>
      </c>
      <c r="Q12232" s="1">
        <v>44538</v>
      </c>
      <c r="R12232" t="s">
        <v>27253</v>
      </c>
      <c r="S12232" t="s">
        <v>27254</v>
      </c>
      <c r="T12232" t="s">
        <v>27255</v>
      </c>
    </row>
    <row r="12233" spans="1:20" x14ac:dyDescent="0.3">
      <c r="A12233" t="str">
        <f>"0611836377100"</f>
        <v>0611836377100</v>
      </c>
      <c r="B12233" t="str">
        <f>"LL8091"</f>
        <v>LL8091</v>
      </c>
      <c r="C12233" t="s">
        <v>50889</v>
      </c>
      <c r="D12233" t="s">
        <v>27245</v>
      </c>
      <c r="E12233" t="str">
        <f t="shared" si="191"/>
        <v>001390</v>
      </c>
      <c r="F12233" t="s">
        <v>27246</v>
      </c>
      <c r="G12233" t="s">
        <v>27247</v>
      </c>
      <c r="H12233" t="s">
        <v>27248</v>
      </c>
      <c r="I12233" t="s">
        <v>50890</v>
      </c>
      <c r="J12233" t="s">
        <v>24471</v>
      </c>
      <c r="L12233" t="s">
        <v>27250</v>
      </c>
      <c r="M12233" t="s">
        <v>27251</v>
      </c>
      <c r="N12233" t="s">
        <v>27252</v>
      </c>
      <c r="Q12233" s="1">
        <v>44538</v>
      </c>
      <c r="R12233" t="s">
        <v>27253</v>
      </c>
      <c r="S12233" t="s">
        <v>27254</v>
      </c>
      <c r="T12233" t="s">
        <v>27255</v>
      </c>
    </row>
    <row r="12234" spans="1:20" x14ac:dyDescent="0.3">
      <c r="A12234" t="str">
        <f>"0611836378100"</f>
        <v>0611836378100</v>
      </c>
      <c r="B12234" t="str">
        <f>"LL8063"</f>
        <v>LL8063</v>
      </c>
      <c r="C12234" t="s">
        <v>50891</v>
      </c>
      <c r="D12234" t="s">
        <v>27245</v>
      </c>
      <c r="E12234" t="str">
        <f t="shared" si="191"/>
        <v>001390</v>
      </c>
      <c r="F12234" t="s">
        <v>27246</v>
      </c>
      <c r="G12234" t="s">
        <v>27247</v>
      </c>
      <c r="H12234" t="s">
        <v>27248</v>
      </c>
      <c r="I12234" t="s">
        <v>50892</v>
      </c>
      <c r="J12234" t="s">
        <v>24473</v>
      </c>
      <c r="L12234" t="s">
        <v>27250</v>
      </c>
      <c r="M12234" t="s">
        <v>27251</v>
      </c>
      <c r="N12234" t="s">
        <v>27252</v>
      </c>
      <c r="Q12234" s="1">
        <v>44538</v>
      </c>
      <c r="R12234" t="s">
        <v>27253</v>
      </c>
      <c r="S12234" t="s">
        <v>27254</v>
      </c>
      <c r="T12234" t="s">
        <v>27255</v>
      </c>
    </row>
    <row r="12235" spans="1:20" x14ac:dyDescent="0.3">
      <c r="A12235" t="str">
        <f>"0611836379100"</f>
        <v>0611836379100</v>
      </c>
      <c r="B12235" t="str">
        <f>"LL4054"</f>
        <v>LL4054</v>
      </c>
      <c r="C12235" t="s">
        <v>50893</v>
      </c>
      <c r="D12235" t="s">
        <v>27245</v>
      </c>
      <c r="E12235" t="str">
        <f t="shared" si="191"/>
        <v>001390</v>
      </c>
      <c r="F12235" t="s">
        <v>27246</v>
      </c>
      <c r="G12235" t="s">
        <v>27247</v>
      </c>
      <c r="H12235" t="s">
        <v>27248</v>
      </c>
      <c r="I12235" t="s">
        <v>50894</v>
      </c>
      <c r="J12235" t="s">
        <v>24475</v>
      </c>
      <c r="L12235" t="s">
        <v>27250</v>
      </c>
      <c r="M12235" t="s">
        <v>27251</v>
      </c>
      <c r="N12235" t="s">
        <v>27252</v>
      </c>
      <c r="Q12235" s="1">
        <v>44538</v>
      </c>
      <c r="R12235" t="s">
        <v>27253</v>
      </c>
      <c r="S12235" t="s">
        <v>27254</v>
      </c>
      <c r="T12235" t="s">
        <v>27255</v>
      </c>
    </row>
    <row r="12236" spans="1:20" x14ac:dyDescent="0.3">
      <c r="A12236" t="str">
        <f>"0611836380100"</f>
        <v>0611836380100</v>
      </c>
      <c r="B12236" t="str">
        <f>"LL5024"</f>
        <v>LL5024</v>
      </c>
      <c r="C12236" t="s">
        <v>50895</v>
      </c>
      <c r="D12236" t="s">
        <v>27245</v>
      </c>
      <c r="E12236" t="str">
        <f t="shared" si="191"/>
        <v>001390</v>
      </c>
      <c r="F12236" t="s">
        <v>27246</v>
      </c>
      <c r="G12236" t="s">
        <v>27247</v>
      </c>
      <c r="H12236" t="s">
        <v>27248</v>
      </c>
      <c r="I12236" t="s">
        <v>50896</v>
      </c>
      <c r="J12236" t="s">
        <v>24477</v>
      </c>
      <c r="L12236" t="s">
        <v>27250</v>
      </c>
      <c r="M12236" t="s">
        <v>27251</v>
      </c>
      <c r="N12236" t="s">
        <v>27252</v>
      </c>
      <c r="Q12236" s="1">
        <v>44538</v>
      </c>
      <c r="R12236" t="s">
        <v>27253</v>
      </c>
      <c r="S12236" t="s">
        <v>27254</v>
      </c>
      <c r="T12236" t="s">
        <v>27255</v>
      </c>
    </row>
    <row r="12237" spans="1:20" x14ac:dyDescent="0.3">
      <c r="A12237" t="str">
        <f>"0611857153100"</f>
        <v>0611857153100</v>
      </c>
      <c r="B12237" t="str">
        <f>"LL5059"</f>
        <v>LL5059</v>
      </c>
      <c r="C12237" t="s">
        <v>50897</v>
      </c>
      <c r="D12237" t="s">
        <v>27245</v>
      </c>
      <c r="E12237" t="str">
        <f t="shared" si="191"/>
        <v>001390</v>
      </c>
      <c r="F12237" t="s">
        <v>27246</v>
      </c>
      <c r="G12237" t="s">
        <v>27247</v>
      </c>
      <c r="H12237" t="s">
        <v>27248</v>
      </c>
      <c r="I12237" t="s">
        <v>50898</v>
      </c>
      <c r="J12237" t="s">
        <v>24479</v>
      </c>
      <c r="L12237" t="s">
        <v>27250</v>
      </c>
      <c r="M12237" t="s">
        <v>27251</v>
      </c>
      <c r="N12237" t="s">
        <v>27252</v>
      </c>
      <c r="Q12237" s="1">
        <v>44812</v>
      </c>
      <c r="R12237" t="s">
        <v>27253</v>
      </c>
      <c r="S12237" t="s">
        <v>27254</v>
      </c>
      <c r="T12237" t="s">
        <v>27255</v>
      </c>
    </row>
    <row r="12238" spans="1:20" x14ac:dyDescent="0.3">
      <c r="A12238" t="str">
        <f>"0611836381100"</f>
        <v>0611836381100</v>
      </c>
      <c r="B12238" t="str">
        <f>"LL8059"</f>
        <v>LL8059</v>
      </c>
      <c r="C12238" t="s">
        <v>50899</v>
      </c>
      <c r="D12238" t="s">
        <v>28138</v>
      </c>
      <c r="E12238" t="str">
        <f t="shared" si="191"/>
        <v>001390</v>
      </c>
      <c r="F12238" t="s">
        <v>27246</v>
      </c>
      <c r="G12238" t="s">
        <v>27247</v>
      </c>
      <c r="H12238" t="s">
        <v>27248</v>
      </c>
      <c r="I12238" t="s">
        <v>50900</v>
      </c>
      <c r="J12238" t="s">
        <v>24481</v>
      </c>
      <c r="L12238" t="s">
        <v>27250</v>
      </c>
      <c r="M12238" t="s">
        <v>27251</v>
      </c>
      <c r="N12238" t="s">
        <v>27252</v>
      </c>
      <c r="P12238" t="s">
        <v>27925</v>
      </c>
      <c r="Q12238" s="1">
        <v>44538</v>
      </c>
      <c r="R12238" t="s">
        <v>27253</v>
      </c>
      <c r="S12238" t="s">
        <v>27254</v>
      </c>
      <c r="T12238" t="s">
        <v>27255</v>
      </c>
    </row>
    <row r="12239" spans="1:20" x14ac:dyDescent="0.3">
      <c r="A12239" t="str">
        <f>"0611836382100"</f>
        <v>0611836382100</v>
      </c>
      <c r="B12239" t="str">
        <f>"LL3964"</f>
        <v>LL3964</v>
      </c>
      <c r="C12239" t="s">
        <v>50901</v>
      </c>
      <c r="D12239" t="s">
        <v>27245</v>
      </c>
      <c r="E12239" t="str">
        <f t="shared" si="191"/>
        <v>001390</v>
      </c>
      <c r="F12239" t="s">
        <v>27246</v>
      </c>
      <c r="G12239" t="s">
        <v>27247</v>
      </c>
      <c r="H12239" t="s">
        <v>27248</v>
      </c>
      <c r="I12239" t="s">
        <v>50902</v>
      </c>
      <c r="J12239" t="s">
        <v>24483</v>
      </c>
      <c r="L12239" t="s">
        <v>27250</v>
      </c>
      <c r="M12239" t="s">
        <v>27251</v>
      </c>
      <c r="N12239" t="s">
        <v>27252</v>
      </c>
      <c r="Q12239" s="1">
        <v>44538</v>
      </c>
      <c r="R12239" t="s">
        <v>27253</v>
      </c>
      <c r="S12239" t="s">
        <v>27254</v>
      </c>
      <c r="T12239" t="s">
        <v>27255</v>
      </c>
    </row>
    <row r="12240" spans="1:20" x14ac:dyDescent="0.3">
      <c r="A12240" t="str">
        <f>"0611836383100"</f>
        <v>0611836383100</v>
      </c>
      <c r="B12240" t="str">
        <f>"LL4066"</f>
        <v>LL4066</v>
      </c>
      <c r="C12240" t="s">
        <v>50903</v>
      </c>
      <c r="D12240" t="s">
        <v>27245</v>
      </c>
      <c r="E12240" t="str">
        <f t="shared" si="191"/>
        <v>001390</v>
      </c>
      <c r="F12240" t="s">
        <v>27246</v>
      </c>
      <c r="G12240" t="s">
        <v>27247</v>
      </c>
      <c r="H12240" t="s">
        <v>27248</v>
      </c>
      <c r="I12240" t="s">
        <v>50904</v>
      </c>
      <c r="J12240" t="s">
        <v>24485</v>
      </c>
      <c r="L12240" t="s">
        <v>27250</v>
      </c>
      <c r="M12240" t="s">
        <v>27251</v>
      </c>
      <c r="N12240" t="s">
        <v>27252</v>
      </c>
      <c r="Q12240" s="1">
        <v>44538</v>
      </c>
      <c r="R12240" t="s">
        <v>27253</v>
      </c>
      <c r="S12240" t="s">
        <v>27254</v>
      </c>
      <c r="T12240" t="s">
        <v>27255</v>
      </c>
    </row>
    <row r="12241" spans="1:20" x14ac:dyDescent="0.3">
      <c r="A12241" t="str">
        <f>"0611836384100"</f>
        <v>0611836384100</v>
      </c>
      <c r="B12241" t="str">
        <f>"LL3975"</f>
        <v>LL3975</v>
      </c>
      <c r="C12241" t="s">
        <v>50905</v>
      </c>
      <c r="D12241" t="s">
        <v>27245</v>
      </c>
      <c r="E12241" t="str">
        <f t="shared" si="191"/>
        <v>001390</v>
      </c>
      <c r="F12241" t="s">
        <v>27246</v>
      </c>
      <c r="G12241" t="s">
        <v>27247</v>
      </c>
      <c r="H12241" t="s">
        <v>27248</v>
      </c>
      <c r="I12241" t="s">
        <v>50906</v>
      </c>
      <c r="J12241" t="s">
        <v>24487</v>
      </c>
      <c r="L12241" t="s">
        <v>27250</v>
      </c>
      <c r="M12241" t="s">
        <v>27251</v>
      </c>
      <c r="N12241" t="s">
        <v>27252</v>
      </c>
      <c r="Q12241" s="1">
        <v>44538</v>
      </c>
      <c r="R12241" t="s">
        <v>27253</v>
      </c>
      <c r="S12241" t="s">
        <v>27254</v>
      </c>
      <c r="T12241" t="s">
        <v>27255</v>
      </c>
    </row>
    <row r="12242" spans="1:20" x14ac:dyDescent="0.3">
      <c r="A12242" t="str">
        <f>"0611839790100"</f>
        <v>0611839790100</v>
      </c>
      <c r="B12242" t="str">
        <f>"LL3900"</f>
        <v>LL3900</v>
      </c>
      <c r="C12242" t="s">
        <v>50907</v>
      </c>
      <c r="D12242" t="s">
        <v>27245</v>
      </c>
      <c r="E12242" t="str">
        <f t="shared" si="191"/>
        <v>001390</v>
      </c>
      <c r="F12242" t="s">
        <v>27246</v>
      </c>
      <c r="G12242" t="s">
        <v>27247</v>
      </c>
      <c r="H12242" t="s">
        <v>27248</v>
      </c>
      <c r="I12242" t="s">
        <v>50908</v>
      </c>
      <c r="J12242" t="s">
        <v>24489</v>
      </c>
      <c r="L12242" t="s">
        <v>27250</v>
      </c>
      <c r="M12242" t="s">
        <v>27251</v>
      </c>
      <c r="N12242" t="s">
        <v>27252</v>
      </c>
      <c r="Q12242" s="1">
        <v>44538</v>
      </c>
      <c r="R12242" t="s">
        <v>27253</v>
      </c>
      <c r="S12242" t="s">
        <v>27254</v>
      </c>
      <c r="T12242" t="s">
        <v>27255</v>
      </c>
    </row>
    <row r="12243" spans="1:20" x14ac:dyDescent="0.3">
      <c r="A12243" t="str">
        <f>"0611836385100"</f>
        <v>0611836385100</v>
      </c>
      <c r="B12243" t="str">
        <f>"LL0071"</f>
        <v>LL0071</v>
      </c>
      <c r="C12243" t="s">
        <v>50909</v>
      </c>
      <c r="D12243" t="s">
        <v>27245</v>
      </c>
      <c r="E12243" t="str">
        <f t="shared" si="191"/>
        <v>001390</v>
      </c>
      <c r="F12243" t="s">
        <v>27246</v>
      </c>
      <c r="G12243" t="s">
        <v>27247</v>
      </c>
      <c r="H12243" t="s">
        <v>27248</v>
      </c>
      <c r="I12243" t="s">
        <v>50910</v>
      </c>
      <c r="J12243" t="s">
        <v>24491</v>
      </c>
      <c r="L12243" t="s">
        <v>27250</v>
      </c>
      <c r="M12243" t="s">
        <v>27251</v>
      </c>
      <c r="N12243" t="s">
        <v>27252</v>
      </c>
      <c r="Q12243" s="1">
        <v>44538</v>
      </c>
      <c r="R12243" t="s">
        <v>27253</v>
      </c>
      <c r="S12243" t="s">
        <v>27254</v>
      </c>
      <c r="T12243" t="s">
        <v>27255</v>
      </c>
    </row>
    <row r="12244" spans="1:20" x14ac:dyDescent="0.3">
      <c r="A12244" t="str">
        <f>"0611836386100"</f>
        <v>0611836386100</v>
      </c>
      <c r="B12244" t="str">
        <f>"LL8246"</f>
        <v>LL8246</v>
      </c>
      <c r="C12244" t="s">
        <v>50911</v>
      </c>
      <c r="D12244" t="s">
        <v>27245</v>
      </c>
      <c r="E12244" t="str">
        <f t="shared" si="191"/>
        <v>001390</v>
      </c>
      <c r="F12244" t="s">
        <v>27246</v>
      </c>
      <c r="G12244" t="s">
        <v>27247</v>
      </c>
      <c r="H12244" t="s">
        <v>27248</v>
      </c>
      <c r="I12244" t="s">
        <v>50912</v>
      </c>
      <c r="J12244" t="s">
        <v>24493</v>
      </c>
      <c r="L12244" t="s">
        <v>27250</v>
      </c>
      <c r="M12244" t="s">
        <v>27251</v>
      </c>
      <c r="N12244" t="s">
        <v>27252</v>
      </c>
      <c r="Q12244" s="1">
        <v>44538</v>
      </c>
      <c r="R12244" t="s">
        <v>27253</v>
      </c>
      <c r="S12244" t="s">
        <v>27254</v>
      </c>
      <c r="T12244" t="s">
        <v>27255</v>
      </c>
    </row>
    <row r="12245" spans="1:20" x14ac:dyDescent="0.3">
      <c r="A12245" t="str">
        <f>"0611836387100"</f>
        <v>0611836387100</v>
      </c>
      <c r="B12245" t="str">
        <f>"LL0010"</f>
        <v>LL0010</v>
      </c>
      <c r="C12245" t="s">
        <v>50913</v>
      </c>
      <c r="D12245" t="s">
        <v>27245</v>
      </c>
      <c r="E12245" t="str">
        <f t="shared" si="191"/>
        <v>001390</v>
      </c>
      <c r="F12245" t="s">
        <v>27246</v>
      </c>
      <c r="G12245" t="s">
        <v>27247</v>
      </c>
      <c r="H12245" t="s">
        <v>27248</v>
      </c>
      <c r="I12245" t="s">
        <v>50914</v>
      </c>
      <c r="J12245" t="s">
        <v>24495</v>
      </c>
      <c r="L12245" t="s">
        <v>27250</v>
      </c>
      <c r="M12245" t="s">
        <v>27251</v>
      </c>
      <c r="N12245" t="s">
        <v>27252</v>
      </c>
      <c r="Q12245" s="1">
        <v>44538</v>
      </c>
      <c r="R12245" t="s">
        <v>27253</v>
      </c>
      <c r="S12245" t="s">
        <v>27254</v>
      </c>
      <c r="T12245" t="s">
        <v>27255</v>
      </c>
    </row>
    <row r="12246" spans="1:20" x14ac:dyDescent="0.3">
      <c r="A12246" t="str">
        <f>"0611836388100"</f>
        <v>0611836388100</v>
      </c>
      <c r="B12246" t="str">
        <f>"LL4033"</f>
        <v>LL4033</v>
      </c>
      <c r="C12246" t="s">
        <v>50915</v>
      </c>
      <c r="D12246" t="s">
        <v>27245</v>
      </c>
      <c r="E12246" t="str">
        <f t="shared" si="191"/>
        <v>001390</v>
      </c>
      <c r="F12246" t="s">
        <v>27246</v>
      </c>
      <c r="G12246" t="s">
        <v>27247</v>
      </c>
      <c r="H12246" t="s">
        <v>27248</v>
      </c>
      <c r="I12246" t="s">
        <v>50916</v>
      </c>
      <c r="J12246" t="s">
        <v>24497</v>
      </c>
      <c r="L12246" t="s">
        <v>27250</v>
      </c>
      <c r="M12246" t="s">
        <v>27251</v>
      </c>
      <c r="N12246" t="s">
        <v>27252</v>
      </c>
      <c r="Q12246" s="1">
        <v>44538</v>
      </c>
      <c r="R12246" t="s">
        <v>27253</v>
      </c>
      <c r="S12246" t="s">
        <v>27254</v>
      </c>
      <c r="T12246" t="s">
        <v>27255</v>
      </c>
    </row>
    <row r="12247" spans="1:20" x14ac:dyDescent="0.3">
      <c r="A12247" t="str">
        <f>"0611839791100"</f>
        <v>0611839791100</v>
      </c>
      <c r="B12247" t="str">
        <f>"LL8323"</f>
        <v>LL8323</v>
      </c>
      <c r="C12247" t="s">
        <v>50917</v>
      </c>
      <c r="D12247" t="s">
        <v>27245</v>
      </c>
      <c r="E12247" t="str">
        <f t="shared" si="191"/>
        <v>001390</v>
      </c>
      <c r="F12247" t="s">
        <v>27246</v>
      </c>
      <c r="G12247" t="s">
        <v>27247</v>
      </c>
      <c r="H12247" t="s">
        <v>27248</v>
      </c>
      <c r="I12247" t="s">
        <v>50918</v>
      </c>
      <c r="J12247" t="s">
        <v>24499</v>
      </c>
      <c r="L12247" t="s">
        <v>27250</v>
      </c>
      <c r="M12247" t="s">
        <v>27251</v>
      </c>
      <c r="N12247" t="s">
        <v>27252</v>
      </c>
      <c r="Q12247" s="1">
        <v>44538</v>
      </c>
      <c r="R12247" t="s">
        <v>27253</v>
      </c>
      <c r="S12247" t="s">
        <v>27254</v>
      </c>
      <c r="T12247" t="s">
        <v>27255</v>
      </c>
    </row>
    <row r="12248" spans="1:20" x14ac:dyDescent="0.3">
      <c r="A12248" t="str">
        <f>"0611836390100"</f>
        <v>0611836390100</v>
      </c>
      <c r="B12248" t="str">
        <f>"LL0191"</f>
        <v>LL0191</v>
      </c>
      <c r="C12248" t="s">
        <v>50919</v>
      </c>
      <c r="D12248" t="s">
        <v>27245</v>
      </c>
      <c r="E12248" t="str">
        <f t="shared" si="191"/>
        <v>001390</v>
      </c>
      <c r="F12248" t="s">
        <v>27246</v>
      </c>
      <c r="G12248" t="s">
        <v>27247</v>
      </c>
      <c r="H12248" t="s">
        <v>27248</v>
      </c>
      <c r="I12248" t="s">
        <v>50920</v>
      </c>
      <c r="J12248" t="s">
        <v>24501</v>
      </c>
      <c r="L12248" t="s">
        <v>27250</v>
      </c>
      <c r="M12248" t="s">
        <v>27251</v>
      </c>
      <c r="N12248" t="s">
        <v>27252</v>
      </c>
      <c r="Q12248" s="1">
        <v>44538</v>
      </c>
      <c r="R12248" t="s">
        <v>27253</v>
      </c>
      <c r="S12248" t="s">
        <v>27254</v>
      </c>
      <c r="T12248" t="s">
        <v>27255</v>
      </c>
    </row>
    <row r="12249" spans="1:20" x14ac:dyDescent="0.3">
      <c r="A12249" t="str">
        <f>"0611836391100"</f>
        <v>0611836391100</v>
      </c>
      <c r="B12249" t="str">
        <f>"LL5025"</f>
        <v>LL5025</v>
      </c>
      <c r="C12249" t="s">
        <v>50921</v>
      </c>
      <c r="D12249" t="s">
        <v>27245</v>
      </c>
      <c r="E12249" t="str">
        <f t="shared" si="191"/>
        <v>001390</v>
      </c>
      <c r="F12249" t="s">
        <v>27246</v>
      </c>
      <c r="G12249" t="s">
        <v>27247</v>
      </c>
      <c r="H12249" t="s">
        <v>27248</v>
      </c>
      <c r="I12249" t="s">
        <v>50922</v>
      </c>
      <c r="J12249" t="s">
        <v>24503</v>
      </c>
      <c r="L12249" t="s">
        <v>27250</v>
      </c>
      <c r="M12249" t="s">
        <v>27251</v>
      </c>
      <c r="N12249" t="s">
        <v>27252</v>
      </c>
      <c r="Q12249" s="1">
        <v>44538</v>
      </c>
      <c r="R12249" t="s">
        <v>27253</v>
      </c>
      <c r="S12249" t="s">
        <v>27254</v>
      </c>
      <c r="T12249" t="s">
        <v>27255</v>
      </c>
    </row>
    <row r="12250" spans="1:20" x14ac:dyDescent="0.3">
      <c r="A12250" t="str">
        <f>"0611836392100"</f>
        <v>0611836392100</v>
      </c>
      <c r="B12250" t="str">
        <f>"LL3983"</f>
        <v>LL3983</v>
      </c>
      <c r="C12250" t="s">
        <v>50923</v>
      </c>
      <c r="D12250" t="s">
        <v>27245</v>
      </c>
      <c r="E12250" t="str">
        <f t="shared" si="191"/>
        <v>001390</v>
      </c>
      <c r="F12250" t="s">
        <v>27246</v>
      </c>
      <c r="G12250" t="s">
        <v>27247</v>
      </c>
      <c r="H12250" t="s">
        <v>27248</v>
      </c>
      <c r="I12250" t="s">
        <v>50924</v>
      </c>
      <c r="J12250" t="s">
        <v>24505</v>
      </c>
      <c r="L12250" t="s">
        <v>27250</v>
      </c>
      <c r="M12250" t="s">
        <v>27251</v>
      </c>
      <c r="N12250" t="s">
        <v>27252</v>
      </c>
      <c r="Q12250" s="1">
        <v>44538</v>
      </c>
      <c r="R12250" t="s">
        <v>27253</v>
      </c>
      <c r="S12250" t="s">
        <v>27254</v>
      </c>
      <c r="T12250" t="s">
        <v>27255</v>
      </c>
    </row>
    <row r="12251" spans="1:20" x14ac:dyDescent="0.3">
      <c r="A12251" t="str">
        <f>"0611836393200"</f>
        <v>0611836393200</v>
      </c>
      <c r="B12251" t="str">
        <f>"KY3983"</f>
        <v>KY3983</v>
      </c>
      <c r="C12251" t="s">
        <v>50923</v>
      </c>
      <c r="D12251" t="s">
        <v>27682</v>
      </c>
      <c r="E12251" t="str">
        <f t="shared" si="191"/>
        <v>001390</v>
      </c>
      <c r="F12251" t="s">
        <v>27246</v>
      </c>
      <c r="G12251" t="s">
        <v>27247</v>
      </c>
      <c r="H12251" t="s">
        <v>27248</v>
      </c>
      <c r="I12251" t="s">
        <v>50925</v>
      </c>
      <c r="J12251" t="s">
        <v>24507</v>
      </c>
      <c r="L12251" t="s">
        <v>27250</v>
      </c>
      <c r="M12251" t="s">
        <v>27251</v>
      </c>
      <c r="N12251" t="s">
        <v>27252</v>
      </c>
      <c r="Q12251" s="1">
        <v>44538</v>
      </c>
      <c r="R12251" t="s">
        <v>27253</v>
      </c>
      <c r="S12251" t="s">
        <v>27254</v>
      </c>
      <c r="T12251" t="s">
        <v>27684</v>
      </c>
    </row>
    <row r="12252" spans="1:20" x14ac:dyDescent="0.3">
      <c r="A12252" t="str">
        <f>"0611836394100"</f>
        <v>0611836394100</v>
      </c>
      <c r="B12252" t="str">
        <f>"LL3985"</f>
        <v>LL3985</v>
      </c>
      <c r="C12252" t="s">
        <v>50926</v>
      </c>
      <c r="D12252" t="s">
        <v>27245</v>
      </c>
      <c r="E12252" t="str">
        <f t="shared" si="191"/>
        <v>001390</v>
      </c>
      <c r="F12252" t="s">
        <v>27246</v>
      </c>
      <c r="G12252" t="s">
        <v>27247</v>
      </c>
      <c r="H12252" t="s">
        <v>27248</v>
      </c>
      <c r="I12252" t="s">
        <v>50927</v>
      </c>
      <c r="J12252" t="s">
        <v>24509</v>
      </c>
      <c r="L12252" t="s">
        <v>27250</v>
      </c>
      <c r="M12252" t="s">
        <v>27251</v>
      </c>
      <c r="N12252" t="s">
        <v>27252</v>
      </c>
      <c r="Q12252" s="1">
        <v>44538</v>
      </c>
      <c r="R12252" t="s">
        <v>27253</v>
      </c>
      <c r="S12252" t="s">
        <v>27254</v>
      </c>
      <c r="T12252" t="s">
        <v>27255</v>
      </c>
    </row>
    <row r="12253" spans="1:20" x14ac:dyDescent="0.3">
      <c r="A12253" t="str">
        <f>"0611836395100"</f>
        <v>0611836395100</v>
      </c>
      <c r="B12253" t="str">
        <f>"LL3989"</f>
        <v>LL3989</v>
      </c>
      <c r="C12253" t="s">
        <v>50928</v>
      </c>
      <c r="D12253" t="s">
        <v>27245</v>
      </c>
      <c r="E12253" t="str">
        <f t="shared" si="191"/>
        <v>001390</v>
      </c>
      <c r="F12253" t="s">
        <v>27246</v>
      </c>
      <c r="G12253" t="s">
        <v>27247</v>
      </c>
      <c r="H12253" t="s">
        <v>27248</v>
      </c>
      <c r="I12253" t="s">
        <v>50929</v>
      </c>
      <c r="J12253" t="s">
        <v>24511</v>
      </c>
      <c r="L12253" t="s">
        <v>27250</v>
      </c>
      <c r="M12253" t="s">
        <v>27251</v>
      </c>
      <c r="N12253" t="s">
        <v>27252</v>
      </c>
      <c r="Q12253" s="1">
        <v>44538</v>
      </c>
      <c r="R12253" t="s">
        <v>27253</v>
      </c>
      <c r="S12253" t="s">
        <v>27254</v>
      </c>
      <c r="T12253" t="s">
        <v>27255</v>
      </c>
    </row>
    <row r="12254" spans="1:20" x14ac:dyDescent="0.3">
      <c r="A12254" t="str">
        <f>"0611836396200"</f>
        <v>0611836396200</v>
      </c>
      <c r="B12254" t="str">
        <f>"KY3999"</f>
        <v>KY3999</v>
      </c>
      <c r="C12254" t="s">
        <v>50930</v>
      </c>
      <c r="D12254" t="s">
        <v>27682</v>
      </c>
      <c r="E12254" t="str">
        <f t="shared" si="191"/>
        <v>001390</v>
      </c>
      <c r="F12254" t="s">
        <v>27246</v>
      </c>
      <c r="G12254" t="s">
        <v>27247</v>
      </c>
      <c r="H12254" t="s">
        <v>27248</v>
      </c>
      <c r="I12254" t="s">
        <v>50931</v>
      </c>
      <c r="J12254" t="s">
        <v>24513</v>
      </c>
      <c r="L12254" t="s">
        <v>27250</v>
      </c>
      <c r="M12254" t="s">
        <v>27251</v>
      </c>
      <c r="N12254" t="s">
        <v>27252</v>
      </c>
      <c r="Q12254" s="1">
        <v>44538</v>
      </c>
      <c r="R12254" t="s">
        <v>27253</v>
      </c>
      <c r="S12254" t="s">
        <v>27254</v>
      </c>
      <c r="T12254" t="s">
        <v>27684</v>
      </c>
    </row>
    <row r="12255" spans="1:20" x14ac:dyDescent="0.3">
      <c r="A12255" t="str">
        <f>"0611836397100"</f>
        <v>0611836397100</v>
      </c>
      <c r="B12255" t="str">
        <f>"LL4061"</f>
        <v>LL4061</v>
      </c>
      <c r="C12255" t="s">
        <v>50932</v>
      </c>
      <c r="D12255" t="s">
        <v>27245</v>
      </c>
      <c r="E12255" t="str">
        <f t="shared" si="191"/>
        <v>001390</v>
      </c>
      <c r="F12255" t="s">
        <v>27246</v>
      </c>
      <c r="G12255" t="s">
        <v>27247</v>
      </c>
      <c r="H12255" t="s">
        <v>27248</v>
      </c>
      <c r="I12255" t="s">
        <v>50933</v>
      </c>
      <c r="J12255" t="s">
        <v>24515</v>
      </c>
      <c r="L12255" t="s">
        <v>27250</v>
      </c>
      <c r="M12255" t="s">
        <v>27251</v>
      </c>
      <c r="N12255" t="s">
        <v>27252</v>
      </c>
      <c r="Q12255" s="1">
        <v>44538</v>
      </c>
      <c r="R12255" t="s">
        <v>27253</v>
      </c>
      <c r="S12255" t="s">
        <v>27254</v>
      </c>
      <c r="T12255" t="s">
        <v>27255</v>
      </c>
    </row>
    <row r="12256" spans="1:20" x14ac:dyDescent="0.3">
      <c r="A12256" t="str">
        <f>"0611836398100"</f>
        <v>0611836398100</v>
      </c>
      <c r="B12256" t="str">
        <f>"LL3939"</f>
        <v>LL3939</v>
      </c>
      <c r="C12256" t="s">
        <v>50934</v>
      </c>
      <c r="D12256" t="s">
        <v>27245</v>
      </c>
      <c r="E12256" t="str">
        <f t="shared" si="191"/>
        <v>001390</v>
      </c>
      <c r="F12256" t="s">
        <v>27246</v>
      </c>
      <c r="G12256" t="s">
        <v>27247</v>
      </c>
      <c r="H12256" t="s">
        <v>27248</v>
      </c>
      <c r="I12256" t="s">
        <v>50935</v>
      </c>
      <c r="J12256" t="s">
        <v>24517</v>
      </c>
      <c r="L12256" t="s">
        <v>27250</v>
      </c>
      <c r="M12256" t="s">
        <v>27251</v>
      </c>
      <c r="N12256" t="s">
        <v>27252</v>
      </c>
      <c r="Q12256" s="1">
        <v>44538</v>
      </c>
      <c r="R12256" t="s">
        <v>27253</v>
      </c>
      <c r="S12256" t="s">
        <v>27254</v>
      </c>
      <c r="T12256" t="s">
        <v>27255</v>
      </c>
    </row>
    <row r="12257" spans="1:20" x14ac:dyDescent="0.3">
      <c r="A12257" t="str">
        <f>"0611836399100"</f>
        <v>0611836399100</v>
      </c>
      <c r="B12257" t="str">
        <f>"LL4034"</f>
        <v>LL4034</v>
      </c>
      <c r="C12257" t="s">
        <v>50936</v>
      </c>
      <c r="D12257" t="s">
        <v>27245</v>
      </c>
      <c r="E12257" t="str">
        <f t="shared" si="191"/>
        <v>001390</v>
      </c>
      <c r="F12257" t="s">
        <v>27246</v>
      </c>
      <c r="G12257" t="s">
        <v>27247</v>
      </c>
      <c r="H12257" t="s">
        <v>27248</v>
      </c>
      <c r="I12257" t="s">
        <v>50937</v>
      </c>
      <c r="J12257" t="s">
        <v>24519</v>
      </c>
      <c r="L12257" t="s">
        <v>27250</v>
      </c>
      <c r="M12257" t="s">
        <v>27251</v>
      </c>
      <c r="N12257" t="s">
        <v>27252</v>
      </c>
      <c r="Q12257" s="1">
        <v>44538</v>
      </c>
      <c r="R12257" t="s">
        <v>27253</v>
      </c>
      <c r="S12257" t="s">
        <v>27254</v>
      </c>
      <c r="T12257" t="s">
        <v>27255</v>
      </c>
    </row>
    <row r="12258" spans="1:20" x14ac:dyDescent="0.3">
      <c r="A12258" t="str">
        <f>"0611836400100"</f>
        <v>0611836400100</v>
      </c>
      <c r="B12258" t="str">
        <f>"LL4861"</f>
        <v>LL4861</v>
      </c>
      <c r="C12258" t="s">
        <v>50938</v>
      </c>
      <c r="D12258" t="s">
        <v>27245</v>
      </c>
      <c r="E12258" t="str">
        <f t="shared" si="191"/>
        <v>001390</v>
      </c>
      <c r="F12258" t="s">
        <v>27246</v>
      </c>
      <c r="G12258" t="s">
        <v>27247</v>
      </c>
      <c r="H12258" t="s">
        <v>27248</v>
      </c>
      <c r="I12258" t="s">
        <v>50939</v>
      </c>
      <c r="J12258" t="s">
        <v>24521</v>
      </c>
      <c r="L12258" t="s">
        <v>27250</v>
      </c>
      <c r="M12258" t="s">
        <v>27251</v>
      </c>
      <c r="N12258" t="s">
        <v>27252</v>
      </c>
      <c r="Q12258" s="1">
        <v>44538</v>
      </c>
      <c r="R12258" t="s">
        <v>27253</v>
      </c>
      <c r="S12258" t="s">
        <v>27254</v>
      </c>
      <c r="T12258" t="s">
        <v>27255</v>
      </c>
    </row>
    <row r="12259" spans="1:20" x14ac:dyDescent="0.3">
      <c r="A12259" t="str">
        <f>"0611836401100"</f>
        <v>0611836401100</v>
      </c>
      <c r="B12259" t="str">
        <f>"LL3913"</f>
        <v>LL3913</v>
      </c>
      <c r="C12259" t="s">
        <v>50940</v>
      </c>
      <c r="D12259" t="s">
        <v>27245</v>
      </c>
      <c r="E12259" t="str">
        <f t="shared" si="191"/>
        <v>001390</v>
      </c>
      <c r="F12259" t="s">
        <v>27246</v>
      </c>
      <c r="G12259" t="s">
        <v>27247</v>
      </c>
      <c r="H12259" t="s">
        <v>27248</v>
      </c>
      <c r="I12259" t="s">
        <v>50941</v>
      </c>
      <c r="J12259" t="s">
        <v>24523</v>
      </c>
      <c r="L12259" t="s">
        <v>27250</v>
      </c>
      <c r="M12259" t="s">
        <v>27251</v>
      </c>
      <c r="N12259" t="s">
        <v>27252</v>
      </c>
      <c r="Q12259" s="1">
        <v>44538</v>
      </c>
      <c r="R12259" t="s">
        <v>27253</v>
      </c>
      <c r="S12259" t="s">
        <v>27254</v>
      </c>
      <c r="T12259" t="s">
        <v>27255</v>
      </c>
    </row>
    <row r="12260" spans="1:20" x14ac:dyDescent="0.3">
      <c r="A12260" t="str">
        <f>"0611836402100"</f>
        <v>0611836402100</v>
      </c>
      <c r="B12260" t="str">
        <f>"LL4029"</f>
        <v>LL4029</v>
      </c>
      <c r="C12260" t="s">
        <v>50942</v>
      </c>
      <c r="D12260" t="s">
        <v>27245</v>
      </c>
      <c r="E12260" t="str">
        <f t="shared" si="191"/>
        <v>001390</v>
      </c>
      <c r="F12260" t="s">
        <v>27246</v>
      </c>
      <c r="G12260" t="s">
        <v>27247</v>
      </c>
      <c r="H12260" t="s">
        <v>27248</v>
      </c>
      <c r="I12260" t="s">
        <v>50943</v>
      </c>
      <c r="J12260" t="s">
        <v>24525</v>
      </c>
      <c r="L12260" t="s">
        <v>27250</v>
      </c>
      <c r="M12260" t="s">
        <v>27251</v>
      </c>
      <c r="N12260" t="s">
        <v>27252</v>
      </c>
      <c r="Q12260" s="1">
        <v>44538</v>
      </c>
      <c r="R12260" t="s">
        <v>27253</v>
      </c>
      <c r="S12260" t="s">
        <v>27254</v>
      </c>
      <c r="T12260" t="s">
        <v>27255</v>
      </c>
    </row>
    <row r="12261" spans="1:20" x14ac:dyDescent="0.3">
      <c r="A12261" t="str">
        <f>"0611836403100"</f>
        <v>0611836403100</v>
      </c>
      <c r="B12261" t="str">
        <f>"LL8299"</f>
        <v>LL8299</v>
      </c>
      <c r="C12261" t="s">
        <v>50944</v>
      </c>
      <c r="D12261" t="s">
        <v>27245</v>
      </c>
      <c r="E12261" t="str">
        <f t="shared" si="191"/>
        <v>001390</v>
      </c>
      <c r="F12261" t="s">
        <v>27246</v>
      </c>
      <c r="G12261" t="s">
        <v>27247</v>
      </c>
      <c r="H12261" t="s">
        <v>27248</v>
      </c>
      <c r="I12261" t="s">
        <v>50945</v>
      </c>
      <c r="J12261" t="s">
        <v>24527</v>
      </c>
      <c r="L12261" t="s">
        <v>27250</v>
      </c>
      <c r="M12261" t="s">
        <v>27251</v>
      </c>
      <c r="N12261" t="s">
        <v>27252</v>
      </c>
      <c r="Q12261" s="1">
        <v>44538</v>
      </c>
      <c r="R12261" t="s">
        <v>27253</v>
      </c>
      <c r="S12261" t="s">
        <v>27254</v>
      </c>
      <c r="T12261" t="s">
        <v>27255</v>
      </c>
    </row>
    <row r="12262" spans="1:20" x14ac:dyDescent="0.3">
      <c r="A12262" t="str">
        <f>"0611836404100"</f>
        <v>0611836404100</v>
      </c>
      <c r="B12262" t="str">
        <f>"LL8247"</f>
        <v>LL8247</v>
      </c>
      <c r="C12262" t="s">
        <v>50946</v>
      </c>
      <c r="D12262" t="s">
        <v>28138</v>
      </c>
      <c r="E12262" t="str">
        <f t="shared" si="191"/>
        <v>001390</v>
      </c>
      <c r="F12262" t="s">
        <v>27246</v>
      </c>
      <c r="G12262" t="s">
        <v>27247</v>
      </c>
      <c r="H12262" t="s">
        <v>27248</v>
      </c>
      <c r="I12262" t="s">
        <v>50947</v>
      </c>
      <c r="J12262" t="s">
        <v>24529</v>
      </c>
      <c r="L12262" t="s">
        <v>27250</v>
      </c>
      <c r="M12262" t="s">
        <v>27251</v>
      </c>
      <c r="N12262" t="s">
        <v>27252</v>
      </c>
      <c r="P12262" t="s">
        <v>27925</v>
      </c>
      <c r="Q12262" s="1">
        <v>44538</v>
      </c>
      <c r="R12262" t="s">
        <v>27253</v>
      </c>
      <c r="S12262" t="s">
        <v>27254</v>
      </c>
      <c r="T12262" t="s">
        <v>27255</v>
      </c>
    </row>
    <row r="12263" spans="1:20" x14ac:dyDescent="0.3">
      <c r="A12263" t="str">
        <f>"0611836405100"</f>
        <v>0611836405100</v>
      </c>
      <c r="B12263" t="str">
        <f>"LL3926"</f>
        <v>LL3926</v>
      </c>
      <c r="C12263" t="s">
        <v>50948</v>
      </c>
      <c r="D12263" t="s">
        <v>28138</v>
      </c>
      <c r="E12263" t="str">
        <f t="shared" si="191"/>
        <v>001390</v>
      </c>
      <c r="F12263" t="s">
        <v>27246</v>
      </c>
      <c r="G12263" t="s">
        <v>27247</v>
      </c>
      <c r="H12263" t="s">
        <v>27248</v>
      </c>
      <c r="I12263" t="s">
        <v>50949</v>
      </c>
      <c r="J12263" t="s">
        <v>24531</v>
      </c>
      <c r="L12263" t="s">
        <v>27250</v>
      </c>
      <c r="M12263" t="s">
        <v>27251</v>
      </c>
      <c r="N12263" t="s">
        <v>27252</v>
      </c>
      <c r="P12263" t="s">
        <v>27925</v>
      </c>
      <c r="Q12263" s="1">
        <v>44538</v>
      </c>
      <c r="R12263" t="s">
        <v>27253</v>
      </c>
      <c r="S12263" t="s">
        <v>27254</v>
      </c>
      <c r="T12263" t="s">
        <v>27255</v>
      </c>
    </row>
    <row r="12264" spans="1:20" x14ac:dyDescent="0.3">
      <c r="A12264" t="str">
        <f>"0611836406100"</f>
        <v>0611836406100</v>
      </c>
      <c r="B12264" t="str">
        <f>"LL3927"</f>
        <v>LL3927</v>
      </c>
      <c r="C12264" t="s">
        <v>50950</v>
      </c>
      <c r="D12264" t="s">
        <v>27245</v>
      </c>
      <c r="E12264" t="str">
        <f t="shared" si="191"/>
        <v>001390</v>
      </c>
      <c r="F12264" t="s">
        <v>27246</v>
      </c>
      <c r="G12264" t="s">
        <v>27247</v>
      </c>
      <c r="H12264" t="s">
        <v>27248</v>
      </c>
      <c r="I12264" t="s">
        <v>50951</v>
      </c>
      <c r="J12264" t="s">
        <v>24533</v>
      </c>
      <c r="L12264" t="s">
        <v>27250</v>
      </c>
      <c r="M12264" t="s">
        <v>27251</v>
      </c>
      <c r="N12264" t="s">
        <v>27252</v>
      </c>
      <c r="Q12264" s="1">
        <v>44538</v>
      </c>
      <c r="R12264" t="s">
        <v>27253</v>
      </c>
      <c r="S12264" t="s">
        <v>27254</v>
      </c>
      <c r="T12264" t="s">
        <v>27255</v>
      </c>
    </row>
    <row r="12265" spans="1:20" x14ac:dyDescent="0.3">
      <c r="A12265" t="str">
        <f>"0611836407100"</f>
        <v>0611836407100</v>
      </c>
      <c r="B12265" t="str">
        <f>"LL0072"</f>
        <v>LL0072</v>
      </c>
      <c r="C12265" t="s">
        <v>50952</v>
      </c>
      <c r="D12265" t="s">
        <v>27245</v>
      </c>
      <c r="E12265" t="str">
        <f t="shared" si="191"/>
        <v>001390</v>
      </c>
      <c r="F12265" t="s">
        <v>27246</v>
      </c>
      <c r="G12265" t="s">
        <v>27247</v>
      </c>
      <c r="H12265" t="s">
        <v>27248</v>
      </c>
      <c r="I12265" t="s">
        <v>50953</v>
      </c>
      <c r="J12265" t="s">
        <v>24535</v>
      </c>
      <c r="L12265" t="s">
        <v>27250</v>
      </c>
      <c r="M12265" t="s">
        <v>27251</v>
      </c>
      <c r="N12265" t="s">
        <v>27252</v>
      </c>
      <c r="Q12265" s="1">
        <v>44538</v>
      </c>
      <c r="R12265" t="s">
        <v>27253</v>
      </c>
      <c r="S12265" t="s">
        <v>27254</v>
      </c>
      <c r="T12265" t="s">
        <v>27255</v>
      </c>
    </row>
    <row r="12266" spans="1:20" x14ac:dyDescent="0.3">
      <c r="A12266" t="str">
        <f>"0611836408100"</f>
        <v>0611836408100</v>
      </c>
      <c r="B12266" t="str">
        <f>"LL4032"</f>
        <v>LL4032</v>
      </c>
      <c r="C12266" t="s">
        <v>50954</v>
      </c>
      <c r="D12266" t="s">
        <v>27245</v>
      </c>
      <c r="E12266" t="str">
        <f t="shared" si="191"/>
        <v>001390</v>
      </c>
      <c r="F12266" t="s">
        <v>27246</v>
      </c>
      <c r="G12266" t="s">
        <v>27247</v>
      </c>
      <c r="H12266" t="s">
        <v>27248</v>
      </c>
      <c r="I12266" t="s">
        <v>50955</v>
      </c>
      <c r="J12266" t="s">
        <v>24537</v>
      </c>
      <c r="L12266" t="s">
        <v>27250</v>
      </c>
      <c r="M12266" t="s">
        <v>27251</v>
      </c>
      <c r="N12266" t="s">
        <v>27252</v>
      </c>
      <c r="Q12266" s="1">
        <v>44538</v>
      </c>
      <c r="R12266" t="s">
        <v>27253</v>
      </c>
      <c r="S12266" t="s">
        <v>27254</v>
      </c>
      <c r="T12266" t="s">
        <v>27255</v>
      </c>
    </row>
    <row r="12267" spans="1:20" x14ac:dyDescent="0.3">
      <c r="A12267" t="str">
        <f>"0611836409200"</f>
        <v>0611836409200</v>
      </c>
      <c r="B12267" t="str">
        <f>"KY4032"</f>
        <v>KY4032</v>
      </c>
      <c r="C12267" t="s">
        <v>50954</v>
      </c>
      <c r="D12267" t="s">
        <v>27682</v>
      </c>
      <c r="E12267" t="str">
        <f t="shared" si="191"/>
        <v>001390</v>
      </c>
      <c r="F12267" t="s">
        <v>27246</v>
      </c>
      <c r="G12267" t="s">
        <v>27247</v>
      </c>
      <c r="H12267" t="s">
        <v>27248</v>
      </c>
      <c r="I12267" t="s">
        <v>50956</v>
      </c>
      <c r="J12267" t="s">
        <v>24539</v>
      </c>
      <c r="L12267" t="s">
        <v>27250</v>
      </c>
      <c r="M12267" t="s">
        <v>27251</v>
      </c>
      <c r="N12267" t="s">
        <v>27252</v>
      </c>
      <c r="Q12267" s="1">
        <v>44538</v>
      </c>
      <c r="R12267" t="s">
        <v>27253</v>
      </c>
      <c r="S12267" t="s">
        <v>27254</v>
      </c>
      <c r="T12267" t="s">
        <v>27684</v>
      </c>
    </row>
    <row r="12268" spans="1:20" x14ac:dyDescent="0.3">
      <c r="A12268" t="str">
        <f>"0611857154100"</f>
        <v>0611857154100</v>
      </c>
      <c r="B12268" t="str">
        <f>"LL5048"</f>
        <v>LL5048</v>
      </c>
      <c r="C12268" t="s">
        <v>50957</v>
      </c>
      <c r="D12268" t="s">
        <v>27245</v>
      </c>
      <c r="E12268" t="str">
        <f t="shared" si="191"/>
        <v>001390</v>
      </c>
      <c r="F12268" t="s">
        <v>27246</v>
      </c>
      <c r="G12268" t="s">
        <v>27247</v>
      </c>
      <c r="H12268" t="s">
        <v>27248</v>
      </c>
      <c r="I12268" t="s">
        <v>50958</v>
      </c>
      <c r="J12268" t="s">
        <v>24541</v>
      </c>
      <c r="L12268" t="s">
        <v>27250</v>
      </c>
      <c r="M12268" t="s">
        <v>27251</v>
      </c>
      <c r="N12268" t="s">
        <v>27252</v>
      </c>
      <c r="Q12268" s="1">
        <v>44812</v>
      </c>
      <c r="R12268" t="s">
        <v>27253</v>
      </c>
      <c r="S12268" t="s">
        <v>27254</v>
      </c>
      <c r="T12268" t="s">
        <v>27255</v>
      </c>
    </row>
    <row r="12269" spans="1:20" x14ac:dyDescent="0.3">
      <c r="A12269" t="str">
        <f>"0611836410100"</f>
        <v>0611836410100</v>
      </c>
      <c r="B12269" t="str">
        <f>"LL0096"</f>
        <v>LL0096</v>
      </c>
      <c r="C12269" t="s">
        <v>50959</v>
      </c>
      <c r="D12269" t="s">
        <v>27245</v>
      </c>
      <c r="E12269" t="str">
        <f t="shared" si="191"/>
        <v>001390</v>
      </c>
      <c r="F12269" t="s">
        <v>27246</v>
      </c>
      <c r="G12269" t="s">
        <v>27247</v>
      </c>
      <c r="H12269" t="s">
        <v>27248</v>
      </c>
      <c r="I12269" t="s">
        <v>50960</v>
      </c>
      <c r="J12269" t="s">
        <v>24543</v>
      </c>
      <c r="L12269" t="s">
        <v>27250</v>
      </c>
      <c r="M12269" t="s">
        <v>27251</v>
      </c>
      <c r="N12269" t="s">
        <v>27252</v>
      </c>
      <c r="Q12269" s="1">
        <v>44538</v>
      </c>
      <c r="R12269" t="s">
        <v>27253</v>
      </c>
      <c r="S12269" t="s">
        <v>27254</v>
      </c>
      <c r="T12269" t="s">
        <v>27255</v>
      </c>
    </row>
    <row r="12270" spans="1:20" x14ac:dyDescent="0.3">
      <c r="A12270" t="str">
        <f>"0611836411100"</f>
        <v>0611836411100</v>
      </c>
      <c r="B12270" t="str">
        <f>"LL4035"</f>
        <v>LL4035</v>
      </c>
      <c r="C12270" t="s">
        <v>50961</v>
      </c>
      <c r="D12270" t="s">
        <v>27245</v>
      </c>
      <c r="E12270" t="str">
        <f t="shared" si="191"/>
        <v>001390</v>
      </c>
      <c r="F12270" t="s">
        <v>27246</v>
      </c>
      <c r="G12270" t="s">
        <v>27247</v>
      </c>
      <c r="H12270" t="s">
        <v>27248</v>
      </c>
      <c r="I12270" t="s">
        <v>50962</v>
      </c>
      <c r="J12270" t="s">
        <v>24545</v>
      </c>
      <c r="L12270" t="s">
        <v>27250</v>
      </c>
      <c r="M12270" t="s">
        <v>27251</v>
      </c>
      <c r="N12270" t="s">
        <v>27252</v>
      </c>
      <c r="Q12270" s="1">
        <v>44538</v>
      </c>
      <c r="R12270" t="s">
        <v>27253</v>
      </c>
      <c r="S12270" t="s">
        <v>27254</v>
      </c>
      <c r="T12270" t="s">
        <v>27255</v>
      </c>
    </row>
    <row r="12271" spans="1:20" x14ac:dyDescent="0.3">
      <c r="A12271" t="str">
        <f>"0611836412100"</f>
        <v>0611836412100</v>
      </c>
      <c r="B12271" t="str">
        <f>"LL0192"</f>
        <v>LL0192</v>
      </c>
      <c r="C12271" t="s">
        <v>50963</v>
      </c>
      <c r="D12271" t="s">
        <v>27245</v>
      </c>
      <c r="E12271" t="str">
        <f t="shared" si="191"/>
        <v>001390</v>
      </c>
      <c r="F12271" t="s">
        <v>27246</v>
      </c>
      <c r="G12271" t="s">
        <v>27247</v>
      </c>
      <c r="H12271" t="s">
        <v>27248</v>
      </c>
      <c r="I12271" t="s">
        <v>50964</v>
      </c>
      <c r="J12271" t="s">
        <v>24547</v>
      </c>
      <c r="L12271" t="s">
        <v>27250</v>
      </c>
      <c r="M12271" t="s">
        <v>27251</v>
      </c>
      <c r="N12271" t="s">
        <v>27252</v>
      </c>
      <c r="Q12271" s="1">
        <v>44538</v>
      </c>
      <c r="R12271" t="s">
        <v>27253</v>
      </c>
      <c r="S12271" t="s">
        <v>27254</v>
      </c>
      <c r="T12271" t="s">
        <v>27255</v>
      </c>
    </row>
    <row r="12272" spans="1:20" x14ac:dyDescent="0.3">
      <c r="A12272" t="str">
        <f>"0611836413100"</f>
        <v>0611836413100</v>
      </c>
      <c r="B12272" t="str">
        <f>"LL0051"</f>
        <v>LL0051</v>
      </c>
      <c r="C12272" t="s">
        <v>50965</v>
      </c>
      <c r="D12272" t="s">
        <v>27245</v>
      </c>
      <c r="E12272" t="str">
        <f t="shared" si="191"/>
        <v>001390</v>
      </c>
      <c r="F12272" t="s">
        <v>27246</v>
      </c>
      <c r="G12272" t="s">
        <v>27247</v>
      </c>
      <c r="H12272" t="s">
        <v>27248</v>
      </c>
      <c r="I12272" t="s">
        <v>50966</v>
      </c>
      <c r="J12272" t="s">
        <v>24549</v>
      </c>
      <c r="L12272" t="s">
        <v>27250</v>
      </c>
      <c r="M12272" t="s">
        <v>27251</v>
      </c>
      <c r="N12272" t="s">
        <v>27252</v>
      </c>
      <c r="Q12272" s="1">
        <v>44538</v>
      </c>
      <c r="R12272" t="s">
        <v>27253</v>
      </c>
      <c r="S12272" t="s">
        <v>27254</v>
      </c>
      <c r="T12272" t="s">
        <v>27255</v>
      </c>
    </row>
    <row r="12273" spans="1:20" x14ac:dyDescent="0.3">
      <c r="A12273" t="str">
        <f>"0611836414100"</f>
        <v>0611836414100</v>
      </c>
      <c r="B12273" t="str">
        <f>"LL8300"</f>
        <v>LL8300</v>
      </c>
      <c r="C12273" t="s">
        <v>50967</v>
      </c>
      <c r="D12273" t="s">
        <v>27245</v>
      </c>
      <c r="E12273" t="str">
        <f t="shared" si="191"/>
        <v>001390</v>
      </c>
      <c r="F12273" t="s">
        <v>27246</v>
      </c>
      <c r="G12273" t="s">
        <v>27247</v>
      </c>
      <c r="H12273" t="s">
        <v>27248</v>
      </c>
      <c r="I12273" t="s">
        <v>50968</v>
      </c>
      <c r="J12273" t="s">
        <v>24551</v>
      </c>
      <c r="L12273" t="s">
        <v>27250</v>
      </c>
      <c r="M12273" t="s">
        <v>27251</v>
      </c>
      <c r="N12273" t="s">
        <v>27252</v>
      </c>
      <c r="Q12273" s="1">
        <v>44538</v>
      </c>
      <c r="R12273" t="s">
        <v>27253</v>
      </c>
      <c r="S12273" t="s">
        <v>27254</v>
      </c>
      <c r="T12273" t="s">
        <v>27255</v>
      </c>
    </row>
    <row r="12274" spans="1:20" x14ac:dyDescent="0.3">
      <c r="A12274" t="str">
        <f>"0611836415100"</f>
        <v>0611836415100</v>
      </c>
      <c r="B12274" t="str">
        <f>"LL8121"</f>
        <v>LL8121</v>
      </c>
      <c r="C12274" t="s">
        <v>50969</v>
      </c>
      <c r="D12274" t="s">
        <v>27245</v>
      </c>
      <c r="E12274" t="str">
        <f t="shared" si="191"/>
        <v>001390</v>
      </c>
      <c r="F12274" t="s">
        <v>27246</v>
      </c>
      <c r="G12274" t="s">
        <v>27247</v>
      </c>
      <c r="H12274" t="s">
        <v>27248</v>
      </c>
      <c r="I12274" t="s">
        <v>50970</v>
      </c>
      <c r="J12274" t="s">
        <v>24553</v>
      </c>
      <c r="L12274" t="s">
        <v>27250</v>
      </c>
      <c r="M12274" t="s">
        <v>27251</v>
      </c>
      <c r="N12274" t="s">
        <v>27252</v>
      </c>
      <c r="Q12274" s="1">
        <v>44538</v>
      </c>
      <c r="R12274" t="s">
        <v>27253</v>
      </c>
      <c r="S12274" t="s">
        <v>27254</v>
      </c>
      <c r="T12274" t="s">
        <v>27255</v>
      </c>
    </row>
    <row r="12275" spans="1:20" x14ac:dyDescent="0.3">
      <c r="A12275" t="str">
        <f>"0611836416100"</f>
        <v>0611836416100</v>
      </c>
      <c r="B12275" t="str">
        <f>"LL8248"</f>
        <v>LL8248</v>
      </c>
      <c r="C12275" t="s">
        <v>50971</v>
      </c>
      <c r="D12275" t="s">
        <v>27245</v>
      </c>
      <c r="E12275" t="str">
        <f t="shared" si="191"/>
        <v>001390</v>
      </c>
      <c r="F12275" t="s">
        <v>27246</v>
      </c>
      <c r="G12275" t="s">
        <v>27247</v>
      </c>
      <c r="H12275" t="s">
        <v>27248</v>
      </c>
      <c r="I12275" t="s">
        <v>50972</v>
      </c>
      <c r="J12275" t="s">
        <v>24555</v>
      </c>
      <c r="L12275" t="s">
        <v>27250</v>
      </c>
      <c r="M12275" t="s">
        <v>27251</v>
      </c>
      <c r="N12275" t="s">
        <v>27252</v>
      </c>
      <c r="Q12275" s="1">
        <v>44538</v>
      </c>
      <c r="R12275" t="s">
        <v>27253</v>
      </c>
      <c r="S12275" t="s">
        <v>27254</v>
      </c>
      <c r="T12275" t="s">
        <v>27255</v>
      </c>
    </row>
    <row r="12276" spans="1:20" x14ac:dyDescent="0.3">
      <c r="A12276" t="str">
        <f>"0611836417100"</f>
        <v>0611836417100</v>
      </c>
      <c r="B12276" t="str">
        <f>"LL4878"</f>
        <v>LL4878</v>
      </c>
      <c r="C12276" t="s">
        <v>50973</v>
      </c>
      <c r="D12276" t="s">
        <v>27245</v>
      </c>
      <c r="E12276" t="str">
        <f t="shared" si="191"/>
        <v>001390</v>
      </c>
      <c r="F12276" t="s">
        <v>27246</v>
      </c>
      <c r="G12276" t="s">
        <v>27247</v>
      </c>
      <c r="H12276" t="s">
        <v>27248</v>
      </c>
      <c r="I12276" t="s">
        <v>50974</v>
      </c>
      <c r="J12276" t="s">
        <v>24557</v>
      </c>
      <c r="L12276" t="s">
        <v>27250</v>
      </c>
      <c r="M12276" t="s">
        <v>27251</v>
      </c>
      <c r="N12276" t="s">
        <v>27252</v>
      </c>
      <c r="Q12276" s="1">
        <v>44538</v>
      </c>
      <c r="R12276" t="s">
        <v>27253</v>
      </c>
      <c r="S12276" t="s">
        <v>27254</v>
      </c>
      <c r="T12276" t="s">
        <v>27255</v>
      </c>
    </row>
    <row r="12277" spans="1:20" x14ac:dyDescent="0.3">
      <c r="A12277" t="str">
        <f>"0611836418100"</f>
        <v>0611836418100</v>
      </c>
      <c r="B12277" t="str">
        <f>"LL8333"</f>
        <v>LL8333</v>
      </c>
      <c r="C12277" t="s">
        <v>50975</v>
      </c>
      <c r="D12277" t="s">
        <v>27245</v>
      </c>
      <c r="E12277" t="str">
        <f t="shared" si="191"/>
        <v>001390</v>
      </c>
      <c r="F12277" t="s">
        <v>27246</v>
      </c>
      <c r="G12277" t="s">
        <v>27247</v>
      </c>
      <c r="H12277" t="s">
        <v>27248</v>
      </c>
      <c r="I12277" t="s">
        <v>50976</v>
      </c>
      <c r="J12277" t="s">
        <v>24559</v>
      </c>
      <c r="L12277" t="s">
        <v>27250</v>
      </c>
      <c r="M12277" t="s">
        <v>27251</v>
      </c>
      <c r="N12277" t="s">
        <v>27252</v>
      </c>
      <c r="Q12277" s="1">
        <v>44538</v>
      </c>
      <c r="R12277" t="s">
        <v>27253</v>
      </c>
      <c r="S12277" t="s">
        <v>27254</v>
      </c>
      <c r="T12277" t="s">
        <v>27255</v>
      </c>
    </row>
    <row r="12278" spans="1:20" x14ac:dyDescent="0.3">
      <c r="A12278" t="str">
        <f>"0611839792100"</f>
        <v>0611839792100</v>
      </c>
      <c r="B12278" t="str">
        <f>"LL8249"</f>
        <v>LL8249</v>
      </c>
      <c r="C12278" t="s">
        <v>50977</v>
      </c>
      <c r="D12278" t="s">
        <v>27245</v>
      </c>
      <c r="E12278" t="str">
        <f t="shared" si="191"/>
        <v>001390</v>
      </c>
      <c r="F12278" t="s">
        <v>27246</v>
      </c>
      <c r="G12278" t="s">
        <v>27247</v>
      </c>
      <c r="H12278" t="s">
        <v>27248</v>
      </c>
      <c r="I12278" t="s">
        <v>50978</v>
      </c>
      <c r="J12278" t="s">
        <v>24561</v>
      </c>
      <c r="L12278" t="s">
        <v>27250</v>
      </c>
      <c r="M12278" t="s">
        <v>27251</v>
      </c>
      <c r="N12278" t="s">
        <v>27252</v>
      </c>
      <c r="Q12278" s="1">
        <v>44538</v>
      </c>
      <c r="R12278" t="s">
        <v>27253</v>
      </c>
      <c r="S12278" t="s">
        <v>27254</v>
      </c>
      <c r="T12278" t="s">
        <v>27255</v>
      </c>
    </row>
    <row r="12279" spans="1:20" x14ac:dyDescent="0.3">
      <c r="A12279" t="str">
        <f>"0611836419100"</f>
        <v>0611836419100</v>
      </c>
      <c r="B12279" t="str">
        <f>"LL4002"</f>
        <v>LL4002</v>
      </c>
      <c r="C12279" t="s">
        <v>50979</v>
      </c>
      <c r="D12279" t="s">
        <v>27245</v>
      </c>
      <c r="E12279" t="str">
        <f t="shared" si="191"/>
        <v>001390</v>
      </c>
      <c r="F12279" t="s">
        <v>27246</v>
      </c>
      <c r="G12279" t="s">
        <v>27247</v>
      </c>
      <c r="H12279" t="s">
        <v>27248</v>
      </c>
      <c r="I12279" t="s">
        <v>50980</v>
      </c>
      <c r="J12279" t="s">
        <v>24563</v>
      </c>
      <c r="L12279" t="s">
        <v>27250</v>
      </c>
      <c r="M12279" t="s">
        <v>27251</v>
      </c>
      <c r="N12279" t="s">
        <v>27252</v>
      </c>
      <c r="Q12279" s="1">
        <v>44538</v>
      </c>
      <c r="R12279" t="s">
        <v>27253</v>
      </c>
      <c r="S12279" t="s">
        <v>27254</v>
      </c>
      <c r="T12279" t="s">
        <v>27255</v>
      </c>
    </row>
    <row r="12280" spans="1:20" x14ac:dyDescent="0.3">
      <c r="A12280" t="str">
        <f>"0611836420100"</f>
        <v>0611836420100</v>
      </c>
      <c r="B12280" t="str">
        <f>"LL8324"</f>
        <v>LL8324</v>
      </c>
      <c r="C12280" t="s">
        <v>50981</v>
      </c>
      <c r="D12280" t="s">
        <v>27245</v>
      </c>
      <c r="E12280" t="str">
        <f t="shared" si="191"/>
        <v>001390</v>
      </c>
      <c r="F12280" t="s">
        <v>27246</v>
      </c>
      <c r="G12280" t="s">
        <v>27247</v>
      </c>
      <c r="H12280" t="s">
        <v>27248</v>
      </c>
      <c r="I12280" t="s">
        <v>50982</v>
      </c>
      <c r="J12280" t="s">
        <v>24565</v>
      </c>
      <c r="L12280" t="s">
        <v>27250</v>
      </c>
      <c r="M12280" t="s">
        <v>27251</v>
      </c>
      <c r="N12280" t="s">
        <v>27252</v>
      </c>
      <c r="Q12280" s="1">
        <v>44538</v>
      </c>
      <c r="R12280" t="s">
        <v>27253</v>
      </c>
      <c r="S12280" t="s">
        <v>27254</v>
      </c>
      <c r="T12280" t="s">
        <v>27255</v>
      </c>
    </row>
    <row r="12281" spans="1:20" x14ac:dyDescent="0.3">
      <c r="A12281" t="str">
        <f>"0611836421100"</f>
        <v>0611836421100</v>
      </c>
      <c r="B12281" t="str">
        <f>"LL4036"</f>
        <v>LL4036</v>
      </c>
      <c r="C12281" t="s">
        <v>50983</v>
      </c>
      <c r="D12281" t="s">
        <v>27245</v>
      </c>
      <c r="E12281" t="str">
        <f t="shared" si="191"/>
        <v>001390</v>
      </c>
      <c r="F12281" t="s">
        <v>27246</v>
      </c>
      <c r="G12281" t="s">
        <v>27247</v>
      </c>
      <c r="H12281" t="s">
        <v>27248</v>
      </c>
      <c r="I12281" t="s">
        <v>50984</v>
      </c>
      <c r="J12281" t="s">
        <v>24567</v>
      </c>
      <c r="L12281" t="s">
        <v>27250</v>
      </c>
      <c r="M12281" t="s">
        <v>27251</v>
      </c>
      <c r="N12281" t="s">
        <v>27252</v>
      </c>
      <c r="Q12281" s="1">
        <v>44538</v>
      </c>
      <c r="R12281" t="s">
        <v>27253</v>
      </c>
      <c r="S12281" t="s">
        <v>27254</v>
      </c>
      <c r="T12281" t="s">
        <v>27255</v>
      </c>
    </row>
    <row r="12282" spans="1:20" x14ac:dyDescent="0.3">
      <c r="A12282" t="str">
        <f>"0611836422100"</f>
        <v>0611836422100</v>
      </c>
      <c r="B12282" t="str">
        <f>"LL8250"</f>
        <v>LL8250</v>
      </c>
      <c r="C12282" t="s">
        <v>50985</v>
      </c>
      <c r="D12282" t="s">
        <v>27245</v>
      </c>
      <c r="E12282" t="str">
        <f t="shared" si="191"/>
        <v>001390</v>
      </c>
      <c r="F12282" t="s">
        <v>27246</v>
      </c>
      <c r="G12282" t="s">
        <v>27247</v>
      </c>
      <c r="H12282" t="s">
        <v>27248</v>
      </c>
      <c r="I12282" t="s">
        <v>50986</v>
      </c>
      <c r="J12282" t="s">
        <v>24569</v>
      </c>
      <c r="L12282" t="s">
        <v>27250</v>
      </c>
      <c r="M12282" t="s">
        <v>27251</v>
      </c>
      <c r="N12282" t="s">
        <v>27252</v>
      </c>
      <c r="Q12282" s="1">
        <v>44538</v>
      </c>
      <c r="R12282" t="s">
        <v>27253</v>
      </c>
      <c r="S12282" t="s">
        <v>27254</v>
      </c>
      <c r="T12282" t="s">
        <v>27255</v>
      </c>
    </row>
    <row r="12283" spans="1:20" x14ac:dyDescent="0.3">
      <c r="A12283" t="str">
        <f>"0611836423100"</f>
        <v>0611836423100</v>
      </c>
      <c r="B12283" t="str">
        <f>"LL4535"</f>
        <v>LL4535</v>
      </c>
      <c r="C12283" t="s">
        <v>50987</v>
      </c>
      <c r="D12283" t="s">
        <v>27245</v>
      </c>
      <c r="E12283" t="str">
        <f t="shared" si="191"/>
        <v>001390</v>
      </c>
      <c r="F12283" t="s">
        <v>27246</v>
      </c>
      <c r="G12283" t="s">
        <v>27247</v>
      </c>
      <c r="H12283" t="s">
        <v>27248</v>
      </c>
      <c r="I12283" t="s">
        <v>50988</v>
      </c>
      <c r="J12283" t="s">
        <v>24571</v>
      </c>
      <c r="L12283" t="s">
        <v>27250</v>
      </c>
      <c r="M12283" t="s">
        <v>27251</v>
      </c>
      <c r="N12283" t="s">
        <v>27252</v>
      </c>
      <c r="Q12283" s="1">
        <v>44538</v>
      </c>
      <c r="R12283" t="s">
        <v>27253</v>
      </c>
      <c r="S12283" t="s">
        <v>27254</v>
      </c>
      <c r="T12283" t="s">
        <v>27255</v>
      </c>
    </row>
    <row r="12284" spans="1:20" x14ac:dyDescent="0.3">
      <c r="A12284" t="str">
        <f>"0611836424100"</f>
        <v>0611836424100</v>
      </c>
      <c r="B12284" t="str">
        <f>"LL4536"</f>
        <v>LL4536</v>
      </c>
      <c r="C12284" t="s">
        <v>50989</v>
      </c>
      <c r="D12284" t="s">
        <v>27245</v>
      </c>
      <c r="E12284" t="str">
        <f t="shared" si="191"/>
        <v>001390</v>
      </c>
      <c r="F12284" t="s">
        <v>27246</v>
      </c>
      <c r="G12284" t="s">
        <v>27247</v>
      </c>
      <c r="H12284" t="s">
        <v>27248</v>
      </c>
      <c r="I12284" t="s">
        <v>50990</v>
      </c>
      <c r="J12284" t="s">
        <v>24573</v>
      </c>
      <c r="L12284" t="s">
        <v>27250</v>
      </c>
      <c r="M12284" t="s">
        <v>27251</v>
      </c>
      <c r="N12284" t="s">
        <v>27252</v>
      </c>
      <c r="Q12284" s="1">
        <v>44538</v>
      </c>
      <c r="R12284" t="s">
        <v>27253</v>
      </c>
      <c r="S12284" t="s">
        <v>27254</v>
      </c>
      <c r="T12284" t="s">
        <v>27255</v>
      </c>
    </row>
    <row r="12285" spans="1:20" x14ac:dyDescent="0.3">
      <c r="A12285" t="str">
        <f>"0611836425200"</f>
        <v>0611836425200</v>
      </c>
      <c r="B12285" t="str">
        <f>"KY4536"</f>
        <v>KY4536</v>
      </c>
      <c r="C12285" t="s">
        <v>50989</v>
      </c>
      <c r="D12285" t="s">
        <v>27682</v>
      </c>
      <c r="E12285" t="str">
        <f t="shared" si="191"/>
        <v>001390</v>
      </c>
      <c r="F12285" t="s">
        <v>27246</v>
      </c>
      <c r="G12285" t="s">
        <v>27247</v>
      </c>
      <c r="H12285" t="s">
        <v>27248</v>
      </c>
      <c r="I12285" t="s">
        <v>50991</v>
      </c>
      <c r="J12285" t="s">
        <v>24575</v>
      </c>
      <c r="L12285" t="s">
        <v>27250</v>
      </c>
      <c r="M12285" t="s">
        <v>27251</v>
      </c>
      <c r="N12285" t="s">
        <v>27252</v>
      </c>
      <c r="Q12285" s="1">
        <v>44538</v>
      </c>
      <c r="R12285" t="s">
        <v>27253</v>
      </c>
      <c r="S12285" t="s">
        <v>27254</v>
      </c>
      <c r="T12285" t="s">
        <v>27684</v>
      </c>
    </row>
    <row r="12286" spans="1:20" x14ac:dyDescent="0.3">
      <c r="A12286" t="str">
        <f>"0611836426100"</f>
        <v>0611836426100</v>
      </c>
      <c r="B12286" t="str">
        <f>"LL4537"</f>
        <v>LL4537</v>
      </c>
      <c r="C12286" t="s">
        <v>50992</v>
      </c>
      <c r="D12286" t="s">
        <v>27245</v>
      </c>
      <c r="E12286" t="str">
        <f t="shared" si="191"/>
        <v>001390</v>
      </c>
      <c r="F12286" t="s">
        <v>27246</v>
      </c>
      <c r="G12286" t="s">
        <v>27247</v>
      </c>
      <c r="H12286" t="s">
        <v>27248</v>
      </c>
      <c r="I12286" t="s">
        <v>50993</v>
      </c>
      <c r="J12286" t="s">
        <v>24577</v>
      </c>
      <c r="L12286" t="s">
        <v>27250</v>
      </c>
      <c r="M12286" t="s">
        <v>27251</v>
      </c>
      <c r="N12286" t="s">
        <v>27252</v>
      </c>
      <c r="Q12286" s="1">
        <v>44538</v>
      </c>
      <c r="R12286" t="s">
        <v>27253</v>
      </c>
      <c r="S12286" t="s">
        <v>27254</v>
      </c>
      <c r="T12286" t="s">
        <v>27255</v>
      </c>
    </row>
    <row r="12287" spans="1:20" x14ac:dyDescent="0.3">
      <c r="A12287" t="str">
        <f>"0611836427100"</f>
        <v>0611836427100</v>
      </c>
      <c r="B12287" t="str">
        <f>"LL3928"</f>
        <v>LL3928</v>
      </c>
      <c r="C12287" t="s">
        <v>50994</v>
      </c>
      <c r="D12287" t="s">
        <v>27245</v>
      </c>
      <c r="E12287" t="str">
        <f t="shared" si="191"/>
        <v>001390</v>
      </c>
      <c r="F12287" t="s">
        <v>27246</v>
      </c>
      <c r="G12287" t="s">
        <v>27247</v>
      </c>
      <c r="H12287" t="s">
        <v>27248</v>
      </c>
      <c r="I12287" t="s">
        <v>50995</v>
      </c>
      <c r="J12287" t="s">
        <v>24579</v>
      </c>
      <c r="L12287" t="s">
        <v>27250</v>
      </c>
      <c r="M12287" t="s">
        <v>27251</v>
      </c>
      <c r="N12287" t="s">
        <v>27252</v>
      </c>
      <c r="Q12287" s="1">
        <v>44538</v>
      </c>
      <c r="R12287" t="s">
        <v>27253</v>
      </c>
      <c r="S12287" t="s">
        <v>27254</v>
      </c>
      <c r="T12287" t="s">
        <v>27255</v>
      </c>
    </row>
    <row r="12288" spans="1:20" x14ac:dyDescent="0.3">
      <c r="A12288" t="str">
        <f>"0611836428100"</f>
        <v>0611836428100</v>
      </c>
      <c r="B12288" t="str">
        <f>"LL4028"</f>
        <v>LL4028</v>
      </c>
      <c r="C12288" t="s">
        <v>50996</v>
      </c>
      <c r="D12288" t="s">
        <v>27245</v>
      </c>
      <c r="E12288" t="str">
        <f t="shared" si="191"/>
        <v>001390</v>
      </c>
      <c r="F12288" t="s">
        <v>27246</v>
      </c>
      <c r="G12288" t="s">
        <v>27247</v>
      </c>
      <c r="H12288" t="s">
        <v>27248</v>
      </c>
      <c r="I12288" t="s">
        <v>50997</v>
      </c>
      <c r="J12288" t="s">
        <v>24581</v>
      </c>
      <c r="L12288" t="s">
        <v>27250</v>
      </c>
      <c r="M12288" t="s">
        <v>27251</v>
      </c>
      <c r="N12288" t="s">
        <v>27252</v>
      </c>
      <c r="Q12288" s="1">
        <v>44538</v>
      </c>
      <c r="R12288" t="s">
        <v>27253</v>
      </c>
      <c r="S12288" t="s">
        <v>27254</v>
      </c>
      <c r="T12288" t="s">
        <v>27255</v>
      </c>
    </row>
    <row r="12289" spans="1:20" x14ac:dyDescent="0.3">
      <c r="A12289" t="str">
        <f>"0611836429100"</f>
        <v>0611836429100</v>
      </c>
      <c r="B12289" t="str">
        <f>"LL0073"</f>
        <v>LL0073</v>
      </c>
      <c r="C12289" t="s">
        <v>50998</v>
      </c>
      <c r="D12289" t="s">
        <v>27245</v>
      </c>
      <c r="E12289" t="str">
        <f t="shared" si="191"/>
        <v>001390</v>
      </c>
      <c r="F12289" t="s">
        <v>27246</v>
      </c>
      <c r="G12289" t="s">
        <v>27247</v>
      </c>
      <c r="H12289" t="s">
        <v>27248</v>
      </c>
      <c r="I12289" t="s">
        <v>50999</v>
      </c>
      <c r="J12289" t="s">
        <v>24583</v>
      </c>
      <c r="L12289" t="s">
        <v>27250</v>
      </c>
      <c r="M12289" t="s">
        <v>27251</v>
      </c>
      <c r="N12289" t="s">
        <v>27252</v>
      </c>
      <c r="Q12289" s="1">
        <v>44538</v>
      </c>
      <c r="R12289" t="s">
        <v>27253</v>
      </c>
      <c r="S12289" t="s">
        <v>27254</v>
      </c>
      <c r="T12289" t="s">
        <v>27255</v>
      </c>
    </row>
    <row r="12290" spans="1:20" x14ac:dyDescent="0.3">
      <c r="A12290" t="str">
        <f>"0611836430100"</f>
        <v>0611836430100</v>
      </c>
      <c r="B12290" t="str">
        <f>"LL8251"</f>
        <v>LL8251</v>
      </c>
      <c r="C12290" t="s">
        <v>51000</v>
      </c>
      <c r="D12290" t="s">
        <v>27245</v>
      </c>
      <c r="E12290" t="str">
        <f t="shared" ref="E12290:E12353" si="192">"001390"</f>
        <v>001390</v>
      </c>
      <c r="F12290" t="s">
        <v>27246</v>
      </c>
      <c r="G12290" t="s">
        <v>27247</v>
      </c>
      <c r="H12290" t="s">
        <v>27248</v>
      </c>
      <c r="I12290" t="s">
        <v>51001</v>
      </c>
      <c r="J12290" t="s">
        <v>24585</v>
      </c>
      <c r="L12290" t="s">
        <v>27250</v>
      </c>
      <c r="M12290" t="s">
        <v>27251</v>
      </c>
      <c r="N12290" t="s">
        <v>27252</v>
      </c>
      <c r="Q12290" s="1">
        <v>44538</v>
      </c>
      <c r="R12290" t="s">
        <v>27253</v>
      </c>
      <c r="S12290" t="s">
        <v>27254</v>
      </c>
      <c r="T12290" t="s">
        <v>27255</v>
      </c>
    </row>
    <row r="12291" spans="1:20" x14ac:dyDescent="0.3">
      <c r="A12291" t="str">
        <f>"0611836431100"</f>
        <v>0611836431100</v>
      </c>
      <c r="B12291" t="str">
        <f>"LL4025"</f>
        <v>LL4025</v>
      </c>
      <c r="C12291" t="s">
        <v>51002</v>
      </c>
      <c r="D12291" t="s">
        <v>27245</v>
      </c>
      <c r="E12291" t="str">
        <f t="shared" si="192"/>
        <v>001390</v>
      </c>
      <c r="F12291" t="s">
        <v>27246</v>
      </c>
      <c r="G12291" t="s">
        <v>27247</v>
      </c>
      <c r="H12291" t="s">
        <v>27248</v>
      </c>
      <c r="I12291" t="s">
        <v>51003</v>
      </c>
      <c r="J12291" t="s">
        <v>24587</v>
      </c>
      <c r="L12291" t="s">
        <v>27250</v>
      </c>
      <c r="M12291" t="s">
        <v>27251</v>
      </c>
      <c r="N12291" t="s">
        <v>27252</v>
      </c>
      <c r="Q12291" s="1">
        <v>44538</v>
      </c>
      <c r="R12291" t="s">
        <v>27253</v>
      </c>
      <c r="S12291" t="s">
        <v>27254</v>
      </c>
      <c r="T12291" t="s">
        <v>27255</v>
      </c>
    </row>
    <row r="12292" spans="1:20" x14ac:dyDescent="0.3">
      <c r="A12292" t="str">
        <f>"0611839793100"</f>
        <v>0611839793100</v>
      </c>
      <c r="B12292" t="str">
        <f>"LL0193"</f>
        <v>LL0193</v>
      </c>
      <c r="C12292" t="s">
        <v>51004</v>
      </c>
      <c r="D12292" t="s">
        <v>27245</v>
      </c>
      <c r="E12292" t="str">
        <f t="shared" si="192"/>
        <v>001390</v>
      </c>
      <c r="F12292" t="s">
        <v>27246</v>
      </c>
      <c r="G12292" t="s">
        <v>27247</v>
      </c>
      <c r="H12292" t="s">
        <v>27248</v>
      </c>
      <c r="I12292" t="s">
        <v>51005</v>
      </c>
      <c r="J12292" t="s">
        <v>24589</v>
      </c>
      <c r="L12292" t="s">
        <v>27250</v>
      </c>
      <c r="M12292" t="s">
        <v>27251</v>
      </c>
      <c r="N12292" t="s">
        <v>27252</v>
      </c>
      <c r="Q12292" s="1">
        <v>44538</v>
      </c>
      <c r="R12292" t="s">
        <v>27253</v>
      </c>
      <c r="S12292" t="s">
        <v>27254</v>
      </c>
      <c r="T12292" t="s">
        <v>27255</v>
      </c>
    </row>
    <row r="12293" spans="1:20" x14ac:dyDescent="0.3">
      <c r="A12293" t="str">
        <f>"0611836432100"</f>
        <v>0611836432100</v>
      </c>
      <c r="B12293" t="str">
        <f>"LL0194"</f>
        <v>LL0194</v>
      </c>
      <c r="C12293" t="s">
        <v>51006</v>
      </c>
      <c r="D12293" t="s">
        <v>27245</v>
      </c>
      <c r="E12293" t="str">
        <f t="shared" si="192"/>
        <v>001390</v>
      </c>
      <c r="F12293" t="s">
        <v>27246</v>
      </c>
      <c r="G12293" t="s">
        <v>27247</v>
      </c>
      <c r="H12293" t="s">
        <v>27248</v>
      </c>
      <c r="I12293" t="s">
        <v>51007</v>
      </c>
      <c r="J12293" t="s">
        <v>24591</v>
      </c>
      <c r="L12293" t="s">
        <v>27250</v>
      </c>
      <c r="M12293" t="s">
        <v>27251</v>
      </c>
      <c r="N12293" t="s">
        <v>27252</v>
      </c>
      <c r="Q12293" s="1">
        <v>44538</v>
      </c>
      <c r="R12293" t="s">
        <v>27253</v>
      </c>
      <c r="S12293" t="s">
        <v>27254</v>
      </c>
      <c r="T12293" t="s">
        <v>27255</v>
      </c>
    </row>
    <row r="12294" spans="1:20" x14ac:dyDescent="0.3">
      <c r="A12294" t="str">
        <f>"0611836433100"</f>
        <v>0611836433100</v>
      </c>
      <c r="B12294" t="str">
        <f>"LL4038"</f>
        <v>LL4038</v>
      </c>
      <c r="C12294" t="s">
        <v>51008</v>
      </c>
      <c r="D12294" t="s">
        <v>27245</v>
      </c>
      <c r="E12294" t="str">
        <f t="shared" si="192"/>
        <v>001390</v>
      </c>
      <c r="F12294" t="s">
        <v>27246</v>
      </c>
      <c r="G12294" t="s">
        <v>27247</v>
      </c>
      <c r="H12294" t="s">
        <v>27248</v>
      </c>
      <c r="I12294" t="s">
        <v>51009</v>
      </c>
      <c r="J12294" t="s">
        <v>24593</v>
      </c>
      <c r="L12294" t="s">
        <v>27250</v>
      </c>
      <c r="M12294" t="s">
        <v>27251</v>
      </c>
      <c r="N12294" t="s">
        <v>27252</v>
      </c>
      <c r="Q12294" s="1">
        <v>44538</v>
      </c>
      <c r="R12294" t="s">
        <v>27253</v>
      </c>
      <c r="S12294" t="s">
        <v>27254</v>
      </c>
      <c r="T12294" t="s">
        <v>27255</v>
      </c>
    </row>
    <row r="12295" spans="1:20" x14ac:dyDescent="0.3">
      <c r="A12295" t="str">
        <f>"0611836434100"</f>
        <v>0611836434100</v>
      </c>
      <c r="B12295" t="str">
        <f>"LL0195"</f>
        <v>LL0195</v>
      </c>
      <c r="C12295" t="s">
        <v>51010</v>
      </c>
      <c r="D12295" t="s">
        <v>27245</v>
      </c>
      <c r="E12295" t="str">
        <f t="shared" si="192"/>
        <v>001390</v>
      </c>
      <c r="F12295" t="s">
        <v>27246</v>
      </c>
      <c r="G12295" t="s">
        <v>27247</v>
      </c>
      <c r="H12295" t="s">
        <v>27248</v>
      </c>
      <c r="I12295" t="s">
        <v>51011</v>
      </c>
      <c r="J12295" t="s">
        <v>24595</v>
      </c>
      <c r="L12295" t="s">
        <v>27250</v>
      </c>
      <c r="M12295" t="s">
        <v>27251</v>
      </c>
      <c r="N12295" t="s">
        <v>27252</v>
      </c>
      <c r="Q12295" s="1">
        <v>44538</v>
      </c>
      <c r="R12295" t="s">
        <v>27253</v>
      </c>
      <c r="S12295" t="s">
        <v>27254</v>
      </c>
      <c r="T12295" t="s">
        <v>27255</v>
      </c>
    </row>
    <row r="12296" spans="1:20" x14ac:dyDescent="0.3">
      <c r="A12296" t="str">
        <f>"0611836435100"</f>
        <v>0611836435100</v>
      </c>
      <c r="B12296" t="str">
        <f>"LL0011"</f>
        <v>LL0011</v>
      </c>
      <c r="C12296" t="s">
        <v>51012</v>
      </c>
      <c r="D12296" t="s">
        <v>27245</v>
      </c>
      <c r="E12296" t="str">
        <f t="shared" si="192"/>
        <v>001390</v>
      </c>
      <c r="F12296" t="s">
        <v>27246</v>
      </c>
      <c r="G12296" t="s">
        <v>27247</v>
      </c>
      <c r="H12296" t="s">
        <v>27248</v>
      </c>
      <c r="I12296" t="s">
        <v>51013</v>
      </c>
      <c r="J12296" t="s">
        <v>24597</v>
      </c>
      <c r="L12296" t="s">
        <v>27250</v>
      </c>
      <c r="M12296" t="s">
        <v>27251</v>
      </c>
      <c r="N12296" t="s">
        <v>27252</v>
      </c>
      <c r="Q12296" s="1">
        <v>44538</v>
      </c>
      <c r="R12296" t="s">
        <v>27253</v>
      </c>
      <c r="S12296" t="s">
        <v>27254</v>
      </c>
      <c r="T12296" t="s">
        <v>27255</v>
      </c>
    </row>
    <row r="12297" spans="1:20" x14ac:dyDescent="0.3">
      <c r="A12297" t="str">
        <f>"0611836436100"</f>
        <v>0611836436100</v>
      </c>
      <c r="B12297" t="str">
        <f>"LL3890"</f>
        <v>LL3890</v>
      </c>
      <c r="C12297" t="s">
        <v>51014</v>
      </c>
      <c r="D12297" t="s">
        <v>27245</v>
      </c>
      <c r="E12297" t="str">
        <f t="shared" si="192"/>
        <v>001390</v>
      </c>
      <c r="F12297" t="s">
        <v>27246</v>
      </c>
      <c r="G12297" t="s">
        <v>27247</v>
      </c>
      <c r="H12297" t="s">
        <v>27248</v>
      </c>
      <c r="I12297" t="s">
        <v>51015</v>
      </c>
      <c r="J12297" t="s">
        <v>24599</v>
      </c>
      <c r="L12297" t="s">
        <v>27250</v>
      </c>
      <c r="M12297" t="s">
        <v>27251</v>
      </c>
      <c r="N12297" t="s">
        <v>27252</v>
      </c>
      <c r="Q12297" s="1">
        <v>44538</v>
      </c>
      <c r="R12297" t="s">
        <v>27253</v>
      </c>
      <c r="S12297" t="s">
        <v>27254</v>
      </c>
      <c r="T12297" t="s">
        <v>27255</v>
      </c>
    </row>
    <row r="12298" spans="1:20" x14ac:dyDescent="0.3">
      <c r="A12298" t="str">
        <f>"0611836437100"</f>
        <v>0611836437100</v>
      </c>
      <c r="B12298" t="str">
        <f>"LL3967"</f>
        <v>LL3967</v>
      </c>
      <c r="C12298" t="s">
        <v>51016</v>
      </c>
      <c r="D12298" t="s">
        <v>27245</v>
      </c>
      <c r="E12298" t="str">
        <f t="shared" si="192"/>
        <v>001390</v>
      </c>
      <c r="F12298" t="s">
        <v>27246</v>
      </c>
      <c r="G12298" t="s">
        <v>27247</v>
      </c>
      <c r="H12298" t="s">
        <v>27248</v>
      </c>
      <c r="I12298" t="s">
        <v>51017</v>
      </c>
      <c r="J12298" t="s">
        <v>24601</v>
      </c>
      <c r="L12298" t="s">
        <v>27250</v>
      </c>
      <c r="M12298" t="s">
        <v>27251</v>
      </c>
      <c r="N12298" t="s">
        <v>27252</v>
      </c>
      <c r="Q12298" s="1">
        <v>44538</v>
      </c>
      <c r="R12298" t="s">
        <v>27253</v>
      </c>
      <c r="S12298" t="s">
        <v>27254</v>
      </c>
      <c r="T12298" t="s">
        <v>27255</v>
      </c>
    </row>
    <row r="12299" spans="1:20" x14ac:dyDescent="0.3">
      <c r="A12299" t="str">
        <f>"0611836438100"</f>
        <v>0611836438100</v>
      </c>
      <c r="B12299" t="str">
        <f>"LL4056"</f>
        <v>LL4056</v>
      </c>
      <c r="C12299" t="s">
        <v>51018</v>
      </c>
      <c r="D12299" t="s">
        <v>27245</v>
      </c>
      <c r="E12299" t="str">
        <f t="shared" si="192"/>
        <v>001390</v>
      </c>
      <c r="F12299" t="s">
        <v>27246</v>
      </c>
      <c r="G12299" t="s">
        <v>27247</v>
      </c>
      <c r="H12299" t="s">
        <v>27248</v>
      </c>
      <c r="I12299" t="s">
        <v>51019</v>
      </c>
      <c r="J12299" t="s">
        <v>24603</v>
      </c>
      <c r="L12299" t="s">
        <v>27250</v>
      </c>
      <c r="M12299" t="s">
        <v>27251</v>
      </c>
      <c r="N12299" t="s">
        <v>27252</v>
      </c>
      <c r="Q12299" s="1">
        <v>44538</v>
      </c>
      <c r="R12299" t="s">
        <v>27253</v>
      </c>
      <c r="S12299" t="s">
        <v>27254</v>
      </c>
      <c r="T12299" t="s">
        <v>27255</v>
      </c>
    </row>
    <row r="12300" spans="1:20" x14ac:dyDescent="0.3">
      <c r="A12300" t="str">
        <f>"0611836439100"</f>
        <v>0611836439100</v>
      </c>
      <c r="B12300" t="str">
        <f>"LL8252"</f>
        <v>LL8252</v>
      </c>
      <c r="C12300" t="s">
        <v>51020</v>
      </c>
      <c r="D12300" t="s">
        <v>27245</v>
      </c>
      <c r="E12300" t="str">
        <f t="shared" si="192"/>
        <v>001390</v>
      </c>
      <c r="F12300" t="s">
        <v>27246</v>
      </c>
      <c r="G12300" t="s">
        <v>27247</v>
      </c>
      <c r="H12300" t="s">
        <v>27248</v>
      </c>
      <c r="I12300" t="s">
        <v>51021</v>
      </c>
      <c r="J12300" t="s">
        <v>24605</v>
      </c>
      <c r="L12300" t="s">
        <v>27250</v>
      </c>
      <c r="M12300" t="s">
        <v>27251</v>
      </c>
      <c r="N12300" t="s">
        <v>27252</v>
      </c>
      <c r="Q12300" s="1">
        <v>44538</v>
      </c>
      <c r="R12300" t="s">
        <v>27253</v>
      </c>
      <c r="S12300" t="s">
        <v>27254</v>
      </c>
      <c r="T12300" t="s">
        <v>27255</v>
      </c>
    </row>
    <row r="12301" spans="1:20" x14ac:dyDescent="0.3">
      <c r="A12301" t="str">
        <f>"0611836440100"</f>
        <v>0611836440100</v>
      </c>
      <c r="B12301" t="str">
        <f>"LL4063"</f>
        <v>LL4063</v>
      </c>
      <c r="C12301" t="s">
        <v>51022</v>
      </c>
      <c r="D12301" t="s">
        <v>27245</v>
      </c>
      <c r="E12301" t="str">
        <f t="shared" si="192"/>
        <v>001390</v>
      </c>
      <c r="F12301" t="s">
        <v>27246</v>
      </c>
      <c r="G12301" t="s">
        <v>27247</v>
      </c>
      <c r="H12301" t="s">
        <v>27248</v>
      </c>
      <c r="I12301" t="s">
        <v>51023</v>
      </c>
      <c r="J12301" t="s">
        <v>24607</v>
      </c>
      <c r="L12301" t="s">
        <v>27250</v>
      </c>
      <c r="M12301" t="s">
        <v>27251</v>
      </c>
      <c r="N12301" t="s">
        <v>27252</v>
      </c>
      <c r="O12301">
        <v>200</v>
      </c>
      <c r="Q12301" s="1">
        <v>44538</v>
      </c>
      <c r="R12301" t="s">
        <v>27253</v>
      </c>
      <c r="S12301" t="s">
        <v>27254</v>
      </c>
      <c r="T12301" t="s">
        <v>27255</v>
      </c>
    </row>
    <row r="12302" spans="1:20" x14ac:dyDescent="0.3">
      <c r="A12302" t="str">
        <f>"0611836441200"</f>
        <v>0611836441200</v>
      </c>
      <c r="B12302" t="str">
        <f>"KY4063"</f>
        <v>KY4063</v>
      </c>
      <c r="C12302" t="s">
        <v>51022</v>
      </c>
      <c r="D12302" t="s">
        <v>27682</v>
      </c>
      <c r="E12302" t="str">
        <f t="shared" si="192"/>
        <v>001390</v>
      </c>
      <c r="F12302" t="s">
        <v>27246</v>
      </c>
      <c r="G12302" t="s">
        <v>27247</v>
      </c>
      <c r="H12302" t="s">
        <v>27248</v>
      </c>
      <c r="I12302" t="s">
        <v>51024</v>
      </c>
      <c r="J12302" t="s">
        <v>24609</v>
      </c>
      <c r="L12302" t="s">
        <v>27250</v>
      </c>
      <c r="M12302" t="s">
        <v>27251</v>
      </c>
      <c r="N12302" t="s">
        <v>27252</v>
      </c>
      <c r="Q12302" s="1">
        <v>44538</v>
      </c>
      <c r="R12302" t="s">
        <v>27253</v>
      </c>
      <c r="S12302" t="s">
        <v>27254</v>
      </c>
      <c r="T12302" t="s">
        <v>27684</v>
      </c>
    </row>
    <row r="12303" spans="1:20" x14ac:dyDescent="0.3">
      <c r="A12303" t="str">
        <f>"0611836442100"</f>
        <v>0611836442100</v>
      </c>
      <c r="B12303" t="str">
        <f>"LL3937"</f>
        <v>LL3937</v>
      </c>
      <c r="C12303" t="s">
        <v>51025</v>
      </c>
      <c r="D12303" t="s">
        <v>27245</v>
      </c>
      <c r="E12303" t="str">
        <f t="shared" si="192"/>
        <v>001390</v>
      </c>
      <c r="F12303" t="s">
        <v>27246</v>
      </c>
      <c r="G12303" t="s">
        <v>27247</v>
      </c>
      <c r="H12303" t="s">
        <v>27248</v>
      </c>
      <c r="I12303" t="s">
        <v>51026</v>
      </c>
      <c r="J12303" t="s">
        <v>24613</v>
      </c>
      <c r="L12303" t="s">
        <v>27250</v>
      </c>
      <c r="M12303" t="s">
        <v>27251</v>
      </c>
      <c r="N12303" t="s">
        <v>27252</v>
      </c>
      <c r="Q12303" s="1">
        <v>44538</v>
      </c>
      <c r="R12303" t="s">
        <v>27253</v>
      </c>
      <c r="S12303" t="s">
        <v>27254</v>
      </c>
      <c r="T12303" t="s">
        <v>27255</v>
      </c>
    </row>
    <row r="12304" spans="1:20" x14ac:dyDescent="0.3">
      <c r="A12304" t="str">
        <f>"0611836443100"</f>
        <v>0611836443100</v>
      </c>
      <c r="B12304" t="str">
        <f>"LL0074"</f>
        <v>LL0074</v>
      </c>
      <c r="C12304" t="s">
        <v>51027</v>
      </c>
      <c r="D12304" t="s">
        <v>27245</v>
      </c>
      <c r="E12304" t="str">
        <f t="shared" si="192"/>
        <v>001390</v>
      </c>
      <c r="F12304" t="s">
        <v>27246</v>
      </c>
      <c r="G12304" t="s">
        <v>27247</v>
      </c>
      <c r="H12304" t="s">
        <v>27248</v>
      </c>
      <c r="I12304" t="s">
        <v>51028</v>
      </c>
      <c r="J12304" t="s">
        <v>24615</v>
      </c>
      <c r="L12304" t="s">
        <v>27250</v>
      </c>
      <c r="M12304" t="s">
        <v>27251</v>
      </c>
      <c r="N12304" t="s">
        <v>27252</v>
      </c>
      <c r="Q12304" s="1">
        <v>44538</v>
      </c>
      <c r="R12304" t="s">
        <v>27253</v>
      </c>
      <c r="S12304" t="s">
        <v>27254</v>
      </c>
      <c r="T12304" t="s">
        <v>27255</v>
      </c>
    </row>
    <row r="12305" spans="1:20" x14ac:dyDescent="0.3">
      <c r="A12305" t="str">
        <f>"0611836444100"</f>
        <v>0611836444100</v>
      </c>
      <c r="B12305" t="str">
        <f>"LL0012"</f>
        <v>LL0012</v>
      </c>
      <c r="C12305" t="s">
        <v>51029</v>
      </c>
      <c r="D12305" t="s">
        <v>27245</v>
      </c>
      <c r="E12305" t="str">
        <f t="shared" si="192"/>
        <v>001390</v>
      </c>
      <c r="F12305" t="s">
        <v>27246</v>
      </c>
      <c r="G12305" t="s">
        <v>27247</v>
      </c>
      <c r="H12305" t="s">
        <v>27248</v>
      </c>
      <c r="I12305" t="s">
        <v>51030</v>
      </c>
      <c r="J12305" t="s">
        <v>24617</v>
      </c>
      <c r="L12305" t="s">
        <v>27250</v>
      </c>
      <c r="M12305" t="s">
        <v>27251</v>
      </c>
      <c r="N12305" t="s">
        <v>27252</v>
      </c>
      <c r="Q12305" s="1">
        <v>44538</v>
      </c>
      <c r="R12305" t="s">
        <v>27253</v>
      </c>
      <c r="S12305" t="s">
        <v>27254</v>
      </c>
      <c r="T12305" t="s">
        <v>27255</v>
      </c>
    </row>
    <row r="12306" spans="1:20" x14ac:dyDescent="0.3">
      <c r="A12306" t="str">
        <f>"0611836445100"</f>
        <v>0611836445100</v>
      </c>
      <c r="B12306" t="str">
        <f>"LL4095"</f>
        <v>LL4095</v>
      </c>
      <c r="C12306" t="s">
        <v>51031</v>
      </c>
      <c r="D12306" t="s">
        <v>27245</v>
      </c>
      <c r="E12306" t="str">
        <f t="shared" si="192"/>
        <v>001390</v>
      </c>
      <c r="F12306" t="s">
        <v>27246</v>
      </c>
      <c r="G12306" t="s">
        <v>27247</v>
      </c>
      <c r="H12306" t="s">
        <v>27248</v>
      </c>
      <c r="I12306" t="s">
        <v>51032</v>
      </c>
      <c r="J12306" t="s">
        <v>24619</v>
      </c>
      <c r="L12306" t="s">
        <v>27250</v>
      </c>
      <c r="M12306" t="s">
        <v>27251</v>
      </c>
      <c r="N12306" t="s">
        <v>27252</v>
      </c>
      <c r="Q12306" s="1">
        <v>44538</v>
      </c>
      <c r="R12306" t="s">
        <v>27253</v>
      </c>
      <c r="S12306" t="s">
        <v>27254</v>
      </c>
      <c r="T12306" t="s">
        <v>27255</v>
      </c>
    </row>
    <row r="12307" spans="1:20" x14ac:dyDescent="0.3">
      <c r="A12307" t="str">
        <f>"0611836446100"</f>
        <v>0611836446100</v>
      </c>
      <c r="B12307" t="str">
        <f>"LL8122"</f>
        <v>LL8122</v>
      </c>
      <c r="C12307" t="s">
        <v>51033</v>
      </c>
      <c r="D12307" t="s">
        <v>27245</v>
      </c>
      <c r="E12307" t="str">
        <f t="shared" si="192"/>
        <v>001390</v>
      </c>
      <c r="F12307" t="s">
        <v>27246</v>
      </c>
      <c r="G12307" t="s">
        <v>27247</v>
      </c>
      <c r="H12307" t="s">
        <v>27248</v>
      </c>
      <c r="I12307" t="s">
        <v>51034</v>
      </c>
      <c r="J12307" t="s">
        <v>24621</v>
      </c>
      <c r="L12307" t="s">
        <v>27250</v>
      </c>
      <c r="M12307" t="s">
        <v>27251</v>
      </c>
      <c r="N12307" t="s">
        <v>27252</v>
      </c>
      <c r="Q12307" s="1">
        <v>44538</v>
      </c>
      <c r="R12307" t="s">
        <v>27253</v>
      </c>
      <c r="S12307" t="s">
        <v>27254</v>
      </c>
      <c r="T12307" t="s">
        <v>27255</v>
      </c>
    </row>
    <row r="12308" spans="1:20" x14ac:dyDescent="0.3">
      <c r="A12308" t="str">
        <f>"0611836447100"</f>
        <v>0611836447100</v>
      </c>
      <c r="B12308" t="str">
        <f>"LL0052"</f>
        <v>LL0052</v>
      </c>
      <c r="C12308" t="s">
        <v>51035</v>
      </c>
      <c r="D12308" t="s">
        <v>27245</v>
      </c>
      <c r="E12308" t="str">
        <f t="shared" si="192"/>
        <v>001390</v>
      </c>
      <c r="F12308" t="s">
        <v>27246</v>
      </c>
      <c r="G12308" t="s">
        <v>27247</v>
      </c>
      <c r="H12308" t="s">
        <v>27248</v>
      </c>
      <c r="I12308" t="s">
        <v>51036</v>
      </c>
      <c r="J12308" t="s">
        <v>24623</v>
      </c>
      <c r="L12308" t="s">
        <v>27250</v>
      </c>
      <c r="M12308" t="s">
        <v>27251</v>
      </c>
      <c r="N12308" t="s">
        <v>27252</v>
      </c>
      <c r="Q12308" s="1">
        <v>44538</v>
      </c>
      <c r="R12308" t="s">
        <v>27253</v>
      </c>
      <c r="S12308" t="s">
        <v>27254</v>
      </c>
      <c r="T12308" t="s">
        <v>27255</v>
      </c>
    </row>
    <row r="12309" spans="1:20" x14ac:dyDescent="0.3">
      <c r="A12309" t="str">
        <f>"0611836448100"</f>
        <v>0611836448100</v>
      </c>
      <c r="B12309" t="str">
        <f>"LL4098"</f>
        <v>LL4098</v>
      </c>
      <c r="C12309" t="s">
        <v>51037</v>
      </c>
      <c r="D12309" t="s">
        <v>27245</v>
      </c>
      <c r="E12309" t="str">
        <f t="shared" si="192"/>
        <v>001390</v>
      </c>
      <c r="F12309" t="s">
        <v>27246</v>
      </c>
      <c r="G12309" t="s">
        <v>27247</v>
      </c>
      <c r="H12309" t="s">
        <v>27248</v>
      </c>
      <c r="I12309" t="s">
        <v>51038</v>
      </c>
      <c r="J12309" t="s">
        <v>24625</v>
      </c>
      <c r="L12309" t="s">
        <v>27250</v>
      </c>
      <c r="M12309" t="s">
        <v>27251</v>
      </c>
      <c r="N12309" t="s">
        <v>27252</v>
      </c>
      <c r="Q12309" s="1">
        <v>44538</v>
      </c>
      <c r="R12309" t="s">
        <v>27253</v>
      </c>
      <c r="S12309" t="s">
        <v>27254</v>
      </c>
      <c r="T12309" t="s">
        <v>27255</v>
      </c>
    </row>
    <row r="12310" spans="1:20" x14ac:dyDescent="0.3">
      <c r="A12310" t="str">
        <f>"0611836449100"</f>
        <v>0611836449100</v>
      </c>
      <c r="B12310" t="str">
        <f>"LL8093"</f>
        <v>LL8093</v>
      </c>
      <c r="C12310" t="s">
        <v>51039</v>
      </c>
      <c r="D12310" t="s">
        <v>27245</v>
      </c>
      <c r="E12310" t="str">
        <f t="shared" si="192"/>
        <v>001390</v>
      </c>
      <c r="F12310" t="s">
        <v>27246</v>
      </c>
      <c r="G12310" t="s">
        <v>27247</v>
      </c>
      <c r="H12310" t="s">
        <v>27248</v>
      </c>
      <c r="I12310" t="s">
        <v>51040</v>
      </c>
      <c r="J12310" t="s">
        <v>24627</v>
      </c>
      <c r="L12310" t="s">
        <v>27250</v>
      </c>
      <c r="M12310" t="s">
        <v>27251</v>
      </c>
      <c r="N12310" t="s">
        <v>27252</v>
      </c>
      <c r="Q12310" s="1">
        <v>44538</v>
      </c>
      <c r="R12310" t="s">
        <v>27253</v>
      </c>
      <c r="S12310" t="s">
        <v>27254</v>
      </c>
      <c r="T12310" t="s">
        <v>27255</v>
      </c>
    </row>
    <row r="12311" spans="1:20" x14ac:dyDescent="0.3">
      <c r="A12311" t="str">
        <f>"0611836450100"</f>
        <v>0611836450100</v>
      </c>
      <c r="B12311" t="str">
        <f>"LL0075"</f>
        <v>LL0075</v>
      </c>
      <c r="C12311" t="s">
        <v>51041</v>
      </c>
      <c r="D12311" t="s">
        <v>27245</v>
      </c>
      <c r="E12311" t="str">
        <f t="shared" si="192"/>
        <v>001390</v>
      </c>
      <c r="F12311" t="s">
        <v>27246</v>
      </c>
      <c r="G12311" t="s">
        <v>27247</v>
      </c>
      <c r="H12311" t="s">
        <v>27248</v>
      </c>
      <c r="I12311" t="s">
        <v>51042</v>
      </c>
      <c r="J12311" t="s">
        <v>24629</v>
      </c>
      <c r="L12311" t="s">
        <v>27250</v>
      </c>
      <c r="M12311" t="s">
        <v>27251</v>
      </c>
      <c r="N12311" t="s">
        <v>27252</v>
      </c>
      <c r="Q12311" s="1">
        <v>44538</v>
      </c>
      <c r="R12311" t="s">
        <v>27253</v>
      </c>
      <c r="S12311" t="s">
        <v>27254</v>
      </c>
      <c r="T12311" t="s">
        <v>27255</v>
      </c>
    </row>
    <row r="12312" spans="1:20" x14ac:dyDescent="0.3">
      <c r="A12312" t="str">
        <f>"0611839794100"</f>
        <v>0611839794100</v>
      </c>
      <c r="B12312" t="str">
        <f>"LL8130"</f>
        <v>LL8130</v>
      </c>
      <c r="C12312" t="s">
        <v>51043</v>
      </c>
      <c r="D12312" t="s">
        <v>27245</v>
      </c>
      <c r="E12312" t="str">
        <f t="shared" si="192"/>
        <v>001390</v>
      </c>
      <c r="F12312" t="s">
        <v>27246</v>
      </c>
      <c r="G12312" t="s">
        <v>27247</v>
      </c>
      <c r="H12312" t="s">
        <v>27248</v>
      </c>
      <c r="I12312" t="s">
        <v>51044</v>
      </c>
      <c r="J12312" t="s">
        <v>24631</v>
      </c>
      <c r="L12312" t="s">
        <v>27250</v>
      </c>
      <c r="M12312" t="s">
        <v>27251</v>
      </c>
      <c r="N12312" t="s">
        <v>27252</v>
      </c>
      <c r="Q12312" s="1">
        <v>44538</v>
      </c>
      <c r="R12312" t="s">
        <v>27253</v>
      </c>
      <c r="S12312" t="s">
        <v>27254</v>
      </c>
      <c r="T12312" t="s">
        <v>27255</v>
      </c>
    </row>
    <row r="12313" spans="1:20" x14ac:dyDescent="0.3">
      <c r="A12313" t="str">
        <f>"0611836451100"</f>
        <v>0611836451100</v>
      </c>
      <c r="B12313" t="str">
        <f>"LL3881"</f>
        <v>LL3881</v>
      </c>
      <c r="C12313" t="s">
        <v>51045</v>
      </c>
      <c r="D12313" t="s">
        <v>27245</v>
      </c>
      <c r="E12313" t="str">
        <f t="shared" si="192"/>
        <v>001390</v>
      </c>
      <c r="F12313" t="s">
        <v>27246</v>
      </c>
      <c r="G12313" t="s">
        <v>27247</v>
      </c>
      <c r="H12313" t="s">
        <v>27248</v>
      </c>
      <c r="I12313" t="s">
        <v>51046</v>
      </c>
      <c r="J12313" t="s">
        <v>24633</v>
      </c>
      <c r="L12313" t="s">
        <v>27250</v>
      </c>
      <c r="M12313" t="s">
        <v>27251</v>
      </c>
      <c r="N12313" t="s">
        <v>27252</v>
      </c>
      <c r="Q12313" s="1">
        <v>44538</v>
      </c>
      <c r="R12313" t="s">
        <v>27253</v>
      </c>
      <c r="S12313" t="s">
        <v>27254</v>
      </c>
      <c r="T12313" t="s">
        <v>27255</v>
      </c>
    </row>
    <row r="12314" spans="1:20" x14ac:dyDescent="0.3">
      <c r="A12314" t="str">
        <f>"0611836452100"</f>
        <v>0611836452100</v>
      </c>
      <c r="B12314" t="str">
        <f>"LL4130"</f>
        <v>LL4130</v>
      </c>
      <c r="C12314" t="s">
        <v>51047</v>
      </c>
      <c r="D12314" t="s">
        <v>27245</v>
      </c>
      <c r="E12314" t="str">
        <f t="shared" si="192"/>
        <v>001390</v>
      </c>
      <c r="F12314" t="s">
        <v>27246</v>
      </c>
      <c r="G12314" t="s">
        <v>27247</v>
      </c>
      <c r="H12314" t="s">
        <v>27248</v>
      </c>
      <c r="I12314" t="s">
        <v>51048</v>
      </c>
      <c r="J12314" t="s">
        <v>24635</v>
      </c>
      <c r="L12314" t="s">
        <v>27250</v>
      </c>
      <c r="M12314" t="s">
        <v>27251</v>
      </c>
      <c r="N12314" t="s">
        <v>27252</v>
      </c>
      <c r="Q12314" s="1">
        <v>44538</v>
      </c>
      <c r="R12314" t="s">
        <v>27253</v>
      </c>
      <c r="S12314" t="s">
        <v>27254</v>
      </c>
      <c r="T12314" t="s">
        <v>27255</v>
      </c>
    </row>
    <row r="12315" spans="1:20" x14ac:dyDescent="0.3">
      <c r="A12315" t="str">
        <f>"0611836453100"</f>
        <v>0611836453100</v>
      </c>
      <c r="B12315" t="str">
        <f>"LL4003"</f>
        <v>LL4003</v>
      </c>
      <c r="C12315" t="s">
        <v>51049</v>
      </c>
      <c r="D12315" t="s">
        <v>27245</v>
      </c>
      <c r="E12315" t="str">
        <f t="shared" si="192"/>
        <v>001390</v>
      </c>
      <c r="F12315" t="s">
        <v>27246</v>
      </c>
      <c r="G12315" t="s">
        <v>27247</v>
      </c>
      <c r="H12315" t="s">
        <v>27248</v>
      </c>
      <c r="I12315" t="s">
        <v>51050</v>
      </c>
      <c r="J12315" t="s">
        <v>24637</v>
      </c>
      <c r="L12315" t="s">
        <v>27250</v>
      </c>
      <c r="M12315" t="s">
        <v>27251</v>
      </c>
      <c r="N12315" t="s">
        <v>27252</v>
      </c>
      <c r="Q12315" s="1">
        <v>44538</v>
      </c>
      <c r="R12315" t="s">
        <v>27253</v>
      </c>
      <c r="S12315" t="s">
        <v>27254</v>
      </c>
      <c r="T12315" t="s">
        <v>27255</v>
      </c>
    </row>
    <row r="12316" spans="1:20" x14ac:dyDescent="0.3">
      <c r="A12316" t="str">
        <f>"0611836454100"</f>
        <v>0611836454100</v>
      </c>
      <c r="B12316" t="str">
        <f>"LL8131"</f>
        <v>LL8131</v>
      </c>
      <c r="C12316" t="s">
        <v>51051</v>
      </c>
      <c r="D12316" t="s">
        <v>27245</v>
      </c>
      <c r="E12316" t="str">
        <f t="shared" si="192"/>
        <v>001390</v>
      </c>
      <c r="F12316" t="s">
        <v>27246</v>
      </c>
      <c r="G12316" t="s">
        <v>27247</v>
      </c>
      <c r="H12316" t="s">
        <v>27248</v>
      </c>
      <c r="I12316" t="s">
        <v>51052</v>
      </c>
      <c r="J12316" t="s">
        <v>24639</v>
      </c>
      <c r="L12316" t="s">
        <v>27250</v>
      </c>
      <c r="M12316" t="s">
        <v>27251</v>
      </c>
      <c r="N12316" t="s">
        <v>27252</v>
      </c>
      <c r="Q12316" s="1">
        <v>44538</v>
      </c>
      <c r="R12316" t="s">
        <v>27253</v>
      </c>
      <c r="S12316" t="s">
        <v>27254</v>
      </c>
      <c r="T12316" t="s">
        <v>27255</v>
      </c>
    </row>
    <row r="12317" spans="1:20" x14ac:dyDescent="0.3">
      <c r="A12317" t="str">
        <f>"0611836455100"</f>
        <v>0611836455100</v>
      </c>
      <c r="B12317" t="str">
        <f>"LL4138"</f>
        <v>LL4138</v>
      </c>
      <c r="C12317" t="s">
        <v>51053</v>
      </c>
      <c r="D12317" t="s">
        <v>27245</v>
      </c>
      <c r="E12317" t="str">
        <f t="shared" si="192"/>
        <v>001390</v>
      </c>
      <c r="F12317" t="s">
        <v>27246</v>
      </c>
      <c r="G12317" t="s">
        <v>27247</v>
      </c>
      <c r="H12317" t="s">
        <v>27248</v>
      </c>
      <c r="I12317" t="s">
        <v>51054</v>
      </c>
      <c r="J12317" t="s">
        <v>24641</v>
      </c>
      <c r="L12317" t="s">
        <v>27250</v>
      </c>
      <c r="M12317" t="s">
        <v>27251</v>
      </c>
      <c r="N12317" t="s">
        <v>27252</v>
      </c>
      <c r="Q12317" s="1">
        <v>44538</v>
      </c>
      <c r="R12317" t="s">
        <v>27253</v>
      </c>
      <c r="S12317" t="s">
        <v>27254</v>
      </c>
      <c r="T12317" t="s">
        <v>27255</v>
      </c>
    </row>
    <row r="12318" spans="1:20" x14ac:dyDescent="0.3">
      <c r="A12318" t="str">
        <f>"0611836456100"</f>
        <v>0611836456100</v>
      </c>
      <c r="B12318" t="str">
        <f>"LL0083"</f>
        <v>LL0083</v>
      </c>
      <c r="C12318" t="s">
        <v>51055</v>
      </c>
      <c r="D12318" t="s">
        <v>27245</v>
      </c>
      <c r="E12318" t="str">
        <f t="shared" si="192"/>
        <v>001390</v>
      </c>
      <c r="F12318" t="s">
        <v>27246</v>
      </c>
      <c r="G12318" t="s">
        <v>27247</v>
      </c>
      <c r="H12318" t="s">
        <v>27248</v>
      </c>
      <c r="I12318" t="s">
        <v>51056</v>
      </c>
      <c r="J12318" t="s">
        <v>24643</v>
      </c>
      <c r="L12318" t="s">
        <v>27250</v>
      </c>
      <c r="M12318" t="s">
        <v>27251</v>
      </c>
      <c r="N12318" t="s">
        <v>27252</v>
      </c>
      <c r="Q12318" s="1">
        <v>44538</v>
      </c>
      <c r="R12318" t="s">
        <v>27253</v>
      </c>
      <c r="S12318" t="s">
        <v>27254</v>
      </c>
      <c r="T12318" t="s">
        <v>27255</v>
      </c>
    </row>
    <row r="12319" spans="1:20" x14ac:dyDescent="0.3">
      <c r="A12319" t="str">
        <f>"0611836457100"</f>
        <v>0611836457100</v>
      </c>
      <c r="B12319" t="str">
        <f>"LL4141"</f>
        <v>LL4141</v>
      </c>
      <c r="C12319" t="s">
        <v>51057</v>
      </c>
      <c r="D12319" t="s">
        <v>27245</v>
      </c>
      <c r="E12319" t="str">
        <f t="shared" si="192"/>
        <v>001390</v>
      </c>
      <c r="F12319" t="s">
        <v>27246</v>
      </c>
      <c r="G12319" t="s">
        <v>27247</v>
      </c>
      <c r="H12319" t="s">
        <v>27248</v>
      </c>
      <c r="I12319" t="s">
        <v>51058</v>
      </c>
      <c r="J12319" t="s">
        <v>24645</v>
      </c>
      <c r="L12319" t="s">
        <v>27250</v>
      </c>
      <c r="M12319" t="s">
        <v>27251</v>
      </c>
      <c r="N12319" t="s">
        <v>27252</v>
      </c>
      <c r="Q12319" s="1">
        <v>44538</v>
      </c>
      <c r="R12319" t="s">
        <v>27253</v>
      </c>
      <c r="S12319" t="s">
        <v>27254</v>
      </c>
      <c r="T12319" t="s">
        <v>27255</v>
      </c>
    </row>
    <row r="12320" spans="1:20" x14ac:dyDescent="0.3">
      <c r="A12320" t="str">
        <f>"0611836458100"</f>
        <v>0611836458100</v>
      </c>
      <c r="B12320" t="str">
        <f>"LL5026"</f>
        <v>LL5026</v>
      </c>
      <c r="C12320" t="s">
        <v>51059</v>
      </c>
      <c r="D12320" t="s">
        <v>27245</v>
      </c>
      <c r="E12320" t="str">
        <f t="shared" si="192"/>
        <v>001390</v>
      </c>
      <c r="F12320" t="s">
        <v>27246</v>
      </c>
      <c r="G12320" t="s">
        <v>27247</v>
      </c>
      <c r="H12320" t="s">
        <v>27248</v>
      </c>
      <c r="I12320" t="s">
        <v>51060</v>
      </c>
      <c r="J12320" t="s">
        <v>24647</v>
      </c>
      <c r="L12320" t="s">
        <v>27250</v>
      </c>
      <c r="M12320" t="s">
        <v>27251</v>
      </c>
      <c r="N12320" t="s">
        <v>27252</v>
      </c>
      <c r="Q12320" s="1">
        <v>44538</v>
      </c>
      <c r="R12320" t="s">
        <v>27253</v>
      </c>
      <c r="S12320" t="s">
        <v>27254</v>
      </c>
      <c r="T12320" t="s">
        <v>27255</v>
      </c>
    </row>
    <row r="12321" spans="1:20" x14ac:dyDescent="0.3">
      <c r="A12321" t="str">
        <f>"0611839795100"</f>
        <v>0611839795100</v>
      </c>
      <c r="B12321" t="str">
        <f>"LL5027"</f>
        <v>LL5027</v>
      </c>
      <c r="C12321" t="s">
        <v>51061</v>
      </c>
      <c r="D12321" t="s">
        <v>27245</v>
      </c>
      <c r="E12321" t="str">
        <f t="shared" si="192"/>
        <v>001390</v>
      </c>
      <c r="F12321" t="s">
        <v>27246</v>
      </c>
      <c r="G12321" t="s">
        <v>27247</v>
      </c>
      <c r="H12321" t="s">
        <v>27248</v>
      </c>
      <c r="I12321" t="s">
        <v>51062</v>
      </c>
      <c r="J12321" t="s">
        <v>24649</v>
      </c>
      <c r="L12321" t="s">
        <v>27250</v>
      </c>
      <c r="M12321" t="s">
        <v>27251</v>
      </c>
      <c r="N12321" t="s">
        <v>27252</v>
      </c>
      <c r="Q12321" s="1">
        <v>44538</v>
      </c>
      <c r="R12321" t="s">
        <v>27253</v>
      </c>
      <c r="S12321" t="s">
        <v>27254</v>
      </c>
      <c r="T12321" t="s">
        <v>27255</v>
      </c>
    </row>
    <row r="12322" spans="1:20" x14ac:dyDescent="0.3">
      <c r="A12322" t="str">
        <f>"0611836459100"</f>
        <v>0611836459100</v>
      </c>
      <c r="B12322" t="str">
        <f>"LL4145"</f>
        <v>LL4145</v>
      </c>
      <c r="C12322" t="s">
        <v>51063</v>
      </c>
      <c r="D12322" t="s">
        <v>27245</v>
      </c>
      <c r="E12322" t="str">
        <f t="shared" si="192"/>
        <v>001390</v>
      </c>
      <c r="F12322" t="s">
        <v>27246</v>
      </c>
      <c r="G12322" t="s">
        <v>27247</v>
      </c>
      <c r="H12322" t="s">
        <v>27248</v>
      </c>
      <c r="I12322" t="s">
        <v>51064</v>
      </c>
      <c r="J12322" t="s">
        <v>24651</v>
      </c>
      <c r="L12322" t="s">
        <v>27250</v>
      </c>
      <c r="M12322" t="s">
        <v>27251</v>
      </c>
      <c r="N12322" t="s">
        <v>27252</v>
      </c>
      <c r="Q12322" s="1">
        <v>44538</v>
      </c>
      <c r="R12322" t="s">
        <v>27253</v>
      </c>
      <c r="S12322" t="s">
        <v>27254</v>
      </c>
      <c r="T12322" t="s">
        <v>27255</v>
      </c>
    </row>
    <row r="12323" spans="1:20" x14ac:dyDescent="0.3">
      <c r="A12323" t="str">
        <f>"0611836460100"</f>
        <v>0611836460100</v>
      </c>
      <c r="B12323" t="str">
        <f>"LL4004"</f>
        <v>LL4004</v>
      </c>
      <c r="C12323" t="s">
        <v>51065</v>
      </c>
      <c r="D12323" t="s">
        <v>27245</v>
      </c>
      <c r="E12323" t="str">
        <f t="shared" si="192"/>
        <v>001390</v>
      </c>
      <c r="F12323" t="s">
        <v>27246</v>
      </c>
      <c r="G12323" t="s">
        <v>27247</v>
      </c>
      <c r="H12323" t="s">
        <v>27248</v>
      </c>
      <c r="I12323" t="s">
        <v>51066</v>
      </c>
      <c r="J12323" t="s">
        <v>24653</v>
      </c>
      <c r="L12323" t="s">
        <v>27250</v>
      </c>
      <c r="M12323" t="s">
        <v>27251</v>
      </c>
      <c r="N12323" t="s">
        <v>27252</v>
      </c>
      <c r="Q12323" s="1">
        <v>44538</v>
      </c>
      <c r="R12323" t="s">
        <v>27253</v>
      </c>
      <c r="S12323" t="s">
        <v>27254</v>
      </c>
      <c r="T12323" t="s">
        <v>27255</v>
      </c>
    </row>
    <row r="12324" spans="1:20" x14ac:dyDescent="0.3">
      <c r="A12324" t="str">
        <f>"0611836462100"</f>
        <v>0611836462100</v>
      </c>
      <c r="B12324" t="str">
        <f>"LL4149"</f>
        <v>LL4149</v>
      </c>
      <c r="C12324" t="s">
        <v>51067</v>
      </c>
      <c r="D12324" t="s">
        <v>27245</v>
      </c>
      <c r="E12324" t="str">
        <f t="shared" si="192"/>
        <v>001390</v>
      </c>
      <c r="F12324" t="s">
        <v>27246</v>
      </c>
      <c r="G12324" t="s">
        <v>27247</v>
      </c>
      <c r="H12324" t="s">
        <v>27248</v>
      </c>
      <c r="I12324" t="s">
        <v>51068</v>
      </c>
      <c r="J12324" t="s">
        <v>24655</v>
      </c>
      <c r="L12324" t="s">
        <v>27250</v>
      </c>
      <c r="M12324" t="s">
        <v>27251</v>
      </c>
      <c r="N12324" t="s">
        <v>27252</v>
      </c>
      <c r="Q12324" s="1">
        <v>44538</v>
      </c>
      <c r="R12324" t="s">
        <v>27253</v>
      </c>
      <c r="S12324" t="s">
        <v>27254</v>
      </c>
      <c r="T12324" t="s">
        <v>27255</v>
      </c>
    </row>
    <row r="12325" spans="1:20" x14ac:dyDescent="0.3">
      <c r="A12325" t="str">
        <f>"0611836463100"</f>
        <v>0611836463100</v>
      </c>
      <c r="B12325" t="str">
        <f>"LL3882"</f>
        <v>LL3882</v>
      </c>
      <c r="C12325" t="s">
        <v>51069</v>
      </c>
      <c r="D12325" t="s">
        <v>27245</v>
      </c>
      <c r="E12325" t="str">
        <f t="shared" si="192"/>
        <v>001390</v>
      </c>
      <c r="F12325" t="s">
        <v>27246</v>
      </c>
      <c r="G12325" t="s">
        <v>27247</v>
      </c>
      <c r="H12325" t="s">
        <v>27248</v>
      </c>
      <c r="I12325" t="s">
        <v>51070</v>
      </c>
      <c r="J12325" t="s">
        <v>24657</v>
      </c>
      <c r="L12325" t="s">
        <v>27250</v>
      </c>
      <c r="M12325" t="s">
        <v>27251</v>
      </c>
      <c r="N12325" t="s">
        <v>27252</v>
      </c>
      <c r="O12325">
        <v>300</v>
      </c>
      <c r="Q12325" s="1">
        <v>44538</v>
      </c>
      <c r="R12325" t="s">
        <v>27253</v>
      </c>
      <c r="S12325" t="s">
        <v>27254</v>
      </c>
      <c r="T12325" t="s">
        <v>27255</v>
      </c>
    </row>
    <row r="12326" spans="1:20" x14ac:dyDescent="0.3">
      <c r="A12326" t="str">
        <f>"0611836464100"</f>
        <v>0611836464100</v>
      </c>
      <c r="B12326" t="str">
        <f>"LL3978"</f>
        <v>LL3978</v>
      </c>
      <c r="C12326" t="s">
        <v>51071</v>
      </c>
      <c r="D12326" t="s">
        <v>27245</v>
      </c>
      <c r="E12326" t="str">
        <f t="shared" si="192"/>
        <v>001390</v>
      </c>
      <c r="F12326" t="s">
        <v>27246</v>
      </c>
      <c r="G12326" t="s">
        <v>27247</v>
      </c>
      <c r="H12326" t="s">
        <v>27248</v>
      </c>
      <c r="I12326" t="s">
        <v>51072</v>
      </c>
      <c r="J12326" t="s">
        <v>24659</v>
      </c>
      <c r="L12326" t="s">
        <v>27250</v>
      </c>
      <c r="M12326" t="s">
        <v>27251</v>
      </c>
      <c r="N12326" t="s">
        <v>27252</v>
      </c>
      <c r="Q12326" s="1">
        <v>44538</v>
      </c>
      <c r="R12326" t="s">
        <v>27253</v>
      </c>
      <c r="S12326" t="s">
        <v>27254</v>
      </c>
      <c r="T12326" t="s">
        <v>27255</v>
      </c>
    </row>
    <row r="12327" spans="1:20" x14ac:dyDescent="0.3">
      <c r="A12327" t="str">
        <f>"0611836465100"</f>
        <v>0611836465100</v>
      </c>
      <c r="B12327" t="str">
        <f>"LL3977"</f>
        <v>LL3977</v>
      </c>
      <c r="C12327" t="s">
        <v>51073</v>
      </c>
      <c r="D12327" t="s">
        <v>27245</v>
      </c>
      <c r="E12327" t="str">
        <f t="shared" si="192"/>
        <v>001390</v>
      </c>
      <c r="F12327" t="s">
        <v>27246</v>
      </c>
      <c r="G12327" t="s">
        <v>27247</v>
      </c>
      <c r="H12327" t="s">
        <v>27248</v>
      </c>
      <c r="I12327" t="s">
        <v>51074</v>
      </c>
      <c r="J12327" t="s">
        <v>24661</v>
      </c>
      <c r="L12327" t="s">
        <v>27250</v>
      </c>
      <c r="M12327" t="s">
        <v>27251</v>
      </c>
      <c r="N12327" t="s">
        <v>27252</v>
      </c>
      <c r="Q12327" s="1">
        <v>44538</v>
      </c>
      <c r="R12327" t="s">
        <v>27253</v>
      </c>
      <c r="S12327" t="s">
        <v>27254</v>
      </c>
      <c r="T12327" t="s">
        <v>27255</v>
      </c>
    </row>
    <row r="12328" spans="1:20" x14ac:dyDescent="0.3">
      <c r="A12328" t="str">
        <f>"0611836466100"</f>
        <v>0611836466100</v>
      </c>
      <c r="B12328" t="str">
        <f>"LL4817"</f>
        <v>LL4817</v>
      </c>
      <c r="C12328" t="s">
        <v>51075</v>
      </c>
      <c r="D12328" t="s">
        <v>27245</v>
      </c>
      <c r="E12328" t="str">
        <f t="shared" si="192"/>
        <v>001390</v>
      </c>
      <c r="F12328" t="s">
        <v>27246</v>
      </c>
      <c r="G12328" t="s">
        <v>27247</v>
      </c>
      <c r="H12328" t="s">
        <v>27248</v>
      </c>
      <c r="I12328" t="s">
        <v>51076</v>
      </c>
      <c r="J12328" t="s">
        <v>24663</v>
      </c>
      <c r="L12328" t="s">
        <v>27250</v>
      </c>
      <c r="M12328" t="s">
        <v>27251</v>
      </c>
      <c r="N12328" t="s">
        <v>27252</v>
      </c>
      <c r="Q12328" s="1">
        <v>44538</v>
      </c>
      <c r="R12328" t="s">
        <v>27253</v>
      </c>
      <c r="S12328" t="s">
        <v>27254</v>
      </c>
      <c r="T12328" t="s">
        <v>27255</v>
      </c>
    </row>
    <row r="12329" spans="1:20" x14ac:dyDescent="0.3">
      <c r="A12329" t="str">
        <f>"0611836468100"</f>
        <v>0611836468100</v>
      </c>
      <c r="B12329" t="str">
        <f>"LL3940"</f>
        <v>LL3940</v>
      </c>
      <c r="C12329" t="s">
        <v>51077</v>
      </c>
      <c r="D12329" t="s">
        <v>27245</v>
      </c>
      <c r="E12329" t="str">
        <f t="shared" si="192"/>
        <v>001390</v>
      </c>
      <c r="F12329" t="s">
        <v>27246</v>
      </c>
      <c r="G12329" t="s">
        <v>27247</v>
      </c>
      <c r="H12329" t="s">
        <v>27248</v>
      </c>
      <c r="I12329" t="s">
        <v>51078</v>
      </c>
      <c r="J12329" t="s">
        <v>24665</v>
      </c>
      <c r="L12329" t="s">
        <v>27250</v>
      </c>
      <c r="M12329" t="s">
        <v>27251</v>
      </c>
      <c r="N12329" t="s">
        <v>27252</v>
      </c>
      <c r="Q12329" s="1">
        <v>44538</v>
      </c>
      <c r="R12329" t="s">
        <v>27253</v>
      </c>
      <c r="S12329" t="s">
        <v>27254</v>
      </c>
      <c r="T12329" t="s">
        <v>27255</v>
      </c>
    </row>
    <row r="12330" spans="1:20" x14ac:dyDescent="0.3">
      <c r="A12330" t="str">
        <f>"0611836469100"</f>
        <v>0611836469100</v>
      </c>
      <c r="B12330" t="str">
        <f>"LL3944"</f>
        <v>LL3944</v>
      </c>
      <c r="C12330" t="s">
        <v>51079</v>
      </c>
      <c r="D12330" t="s">
        <v>27245</v>
      </c>
      <c r="E12330" t="str">
        <f t="shared" si="192"/>
        <v>001390</v>
      </c>
      <c r="F12330" t="s">
        <v>27246</v>
      </c>
      <c r="G12330" t="s">
        <v>27247</v>
      </c>
      <c r="H12330" t="s">
        <v>27248</v>
      </c>
      <c r="I12330" t="s">
        <v>51080</v>
      </c>
      <c r="J12330" t="s">
        <v>24667</v>
      </c>
      <c r="L12330" t="s">
        <v>27250</v>
      </c>
      <c r="M12330" t="s">
        <v>27251</v>
      </c>
      <c r="N12330" t="s">
        <v>27252</v>
      </c>
      <c r="Q12330" s="1">
        <v>44538</v>
      </c>
      <c r="R12330" t="s">
        <v>27253</v>
      </c>
      <c r="S12330" t="s">
        <v>27254</v>
      </c>
      <c r="T12330" t="s">
        <v>27255</v>
      </c>
    </row>
    <row r="12331" spans="1:20" x14ac:dyDescent="0.3">
      <c r="A12331" t="str">
        <f>"0611836470025"</f>
        <v>0611836470025</v>
      </c>
      <c r="B12331" t="str">
        <f>"MC2321"</f>
        <v>MC2321</v>
      </c>
      <c r="C12331" t="s">
        <v>51079</v>
      </c>
      <c r="D12331" t="s">
        <v>27267</v>
      </c>
      <c r="E12331" t="str">
        <f t="shared" si="192"/>
        <v>001390</v>
      </c>
      <c r="F12331" t="s">
        <v>27246</v>
      </c>
      <c r="G12331" t="s">
        <v>27247</v>
      </c>
      <c r="H12331" t="s">
        <v>27248</v>
      </c>
      <c r="I12331" t="s">
        <v>51081</v>
      </c>
      <c r="J12331" t="s">
        <v>24669</v>
      </c>
      <c r="L12331" t="s">
        <v>27250</v>
      </c>
      <c r="M12331" t="s">
        <v>27251</v>
      </c>
      <c r="N12331" t="s">
        <v>27252</v>
      </c>
      <c r="Q12331" s="1">
        <v>44538</v>
      </c>
      <c r="R12331" t="s">
        <v>27253</v>
      </c>
      <c r="S12331" t="s">
        <v>27254</v>
      </c>
      <c r="T12331" t="s">
        <v>27269</v>
      </c>
    </row>
    <row r="12332" spans="1:20" x14ac:dyDescent="0.3">
      <c r="A12332" t="str">
        <f>"0611836471100"</f>
        <v>0611836471100</v>
      </c>
      <c r="B12332" t="str">
        <f>"LL4049"</f>
        <v>LL4049</v>
      </c>
      <c r="C12332" t="s">
        <v>51082</v>
      </c>
      <c r="D12332" t="s">
        <v>27245</v>
      </c>
      <c r="E12332" t="str">
        <f t="shared" si="192"/>
        <v>001390</v>
      </c>
      <c r="F12332" t="s">
        <v>27246</v>
      </c>
      <c r="G12332" t="s">
        <v>27247</v>
      </c>
      <c r="H12332" t="s">
        <v>27248</v>
      </c>
      <c r="I12332" t="s">
        <v>51083</v>
      </c>
      <c r="J12332" t="s">
        <v>24671</v>
      </c>
      <c r="L12332" t="s">
        <v>27250</v>
      </c>
      <c r="M12332" t="s">
        <v>27251</v>
      </c>
      <c r="N12332" t="s">
        <v>27252</v>
      </c>
      <c r="Q12332" s="1">
        <v>44538</v>
      </c>
      <c r="R12332" t="s">
        <v>27253</v>
      </c>
      <c r="S12332" t="s">
        <v>27254</v>
      </c>
      <c r="T12332" t="s">
        <v>27255</v>
      </c>
    </row>
    <row r="12333" spans="1:20" x14ac:dyDescent="0.3">
      <c r="A12333" t="str">
        <f>"0611836472100"</f>
        <v>0611836472100</v>
      </c>
      <c r="B12333" t="str">
        <f>"LL3984"</f>
        <v>LL3984</v>
      </c>
      <c r="C12333" t="s">
        <v>51084</v>
      </c>
      <c r="D12333" t="s">
        <v>27245</v>
      </c>
      <c r="E12333" t="str">
        <f t="shared" si="192"/>
        <v>001390</v>
      </c>
      <c r="F12333" t="s">
        <v>27246</v>
      </c>
      <c r="G12333" t="s">
        <v>27247</v>
      </c>
      <c r="H12333" t="s">
        <v>27248</v>
      </c>
      <c r="I12333" t="s">
        <v>51085</v>
      </c>
      <c r="J12333" t="s">
        <v>24673</v>
      </c>
      <c r="L12333" t="s">
        <v>27250</v>
      </c>
      <c r="M12333" t="s">
        <v>27251</v>
      </c>
      <c r="N12333" t="s">
        <v>27252</v>
      </c>
      <c r="Q12333" s="1">
        <v>44538</v>
      </c>
      <c r="R12333" t="s">
        <v>27253</v>
      </c>
      <c r="S12333" t="s">
        <v>27254</v>
      </c>
      <c r="T12333" t="s">
        <v>27255</v>
      </c>
    </row>
    <row r="12334" spans="1:20" x14ac:dyDescent="0.3">
      <c r="A12334" t="str">
        <f>"0611836473100"</f>
        <v>0611836473100</v>
      </c>
      <c r="B12334" t="str">
        <f>"LL8064"</f>
        <v>LL8064</v>
      </c>
      <c r="C12334" t="s">
        <v>51086</v>
      </c>
      <c r="D12334" t="s">
        <v>27245</v>
      </c>
      <c r="E12334" t="str">
        <f t="shared" si="192"/>
        <v>001390</v>
      </c>
      <c r="F12334" t="s">
        <v>27246</v>
      </c>
      <c r="G12334" t="s">
        <v>27247</v>
      </c>
      <c r="H12334" t="s">
        <v>27248</v>
      </c>
      <c r="I12334" t="s">
        <v>51087</v>
      </c>
      <c r="J12334" t="s">
        <v>24675</v>
      </c>
      <c r="L12334" t="s">
        <v>27250</v>
      </c>
      <c r="M12334" t="s">
        <v>27251</v>
      </c>
      <c r="N12334" t="s">
        <v>27252</v>
      </c>
      <c r="Q12334" s="1">
        <v>44538</v>
      </c>
      <c r="R12334" t="s">
        <v>27253</v>
      </c>
      <c r="S12334" t="s">
        <v>27254</v>
      </c>
      <c r="T12334" t="s">
        <v>27255</v>
      </c>
    </row>
    <row r="12335" spans="1:20" x14ac:dyDescent="0.3">
      <c r="A12335" t="str">
        <f>"0611836474100"</f>
        <v>0611836474100</v>
      </c>
      <c r="B12335" t="str">
        <f>"LL3920"</f>
        <v>LL3920</v>
      </c>
      <c r="C12335" t="s">
        <v>51088</v>
      </c>
      <c r="D12335" t="s">
        <v>27245</v>
      </c>
      <c r="E12335" t="str">
        <f t="shared" si="192"/>
        <v>001390</v>
      </c>
      <c r="F12335" t="s">
        <v>27246</v>
      </c>
      <c r="G12335" t="s">
        <v>27247</v>
      </c>
      <c r="H12335" t="s">
        <v>27248</v>
      </c>
      <c r="I12335" t="s">
        <v>51089</v>
      </c>
      <c r="J12335" t="s">
        <v>24677</v>
      </c>
      <c r="L12335" t="s">
        <v>27250</v>
      </c>
      <c r="M12335" t="s">
        <v>27251</v>
      </c>
      <c r="N12335" t="s">
        <v>27252</v>
      </c>
      <c r="Q12335" s="1">
        <v>44538</v>
      </c>
      <c r="R12335" t="s">
        <v>27253</v>
      </c>
      <c r="S12335" t="s">
        <v>27254</v>
      </c>
      <c r="T12335" t="s">
        <v>27255</v>
      </c>
    </row>
    <row r="12336" spans="1:20" x14ac:dyDescent="0.3">
      <c r="A12336" t="str">
        <f>"0611836475100"</f>
        <v>0611836475100</v>
      </c>
      <c r="B12336" t="str">
        <f>"LL3986"</f>
        <v>LL3986</v>
      </c>
      <c r="C12336" t="s">
        <v>51090</v>
      </c>
      <c r="D12336" t="s">
        <v>27245</v>
      </c>
      <c r="E12336" t="str">
        <f t="shared" si="192"/>
        <v>001390</v>
      </c>
      <c r="F12336" t="s">
        <v>27246</v>
      </c>
      <c r="G12336" t="s">
        <v>27247</v>
      </c>
      <c r="H12336" t="s">
        <v>27248</v>
      </c>
      <c r="I12336" t="s">
        <v>51091</v>
      </c>
      <c r="J12336" t="s">
        <v>24679</v>
      </c>
      <c r="L12336" t="s">
        <v>27250</v>
      </c>
      <c r="M12336" t="s">
        <v>27251</v>
      </c>
      <c r="N12336" t="s">
        <v>27252</v>
      </c>
      <c r="Q12336" s="1">
        <v>44538</v>
      </c>
      <c r="R12336" t="s">
        <v>27253</v>
      </c>
      <c r="S12336" t="s">
        <v>27254</v>
      </c>
      <c r="T12336" t="s">
        <v>27255</v>
      </c>
    </row>
    <row r="12337" spans="1:20" x14ac:dyDescent="0.3">
      <c r="A12337" t="str">
        <f>"0611836476100"</f>
        <v>0611836476100</v>
      </c>
      <c r="B12337" t="str">
        <f>"LL8253"</f>
        <v>LL8253</v>
      </c>
      <c r="C12337" t="s">
        <v>51092</v>
      </c>
      <c r="D12337" t="s">
        <v>27245</v>
      </c>
      <c r="E12337" t="str">
        <f t="shared" si="192"/>
        <v>001390</v>
      </c>
      <c r="F12337" t="s">
        <v>27246</v>
      </c>
      <c r="G12337" t="s">
        <v>27247</v>
      </c>
      <c r="H12337" t="s">
        <v>27248</v>
      </c>
      <c r="I12337" t="s">
        <v>51093</v>
      </c>
      <c r="J12337" t="s">
        <v>24681</v>
      </c>
      <c r="L12337" t="s">
        <v>27250</v>
      </c>
      <c r="M12337" t="s">
        <v>27251</v>
      </c>
      <c r="N12337" t="s">
        <v>27252</v>
      </c>
      <c r="Q12337" s="1">
        <v>44538</v>
      </c>
      <c r="R12337" t="s">
        <v>27253</v>
      </c>
      <c r="S12337" t="s">
        <v>27254</v>
      </c>
      <c r="T12337" t="s">
        <v>27255</v>
      </c>
    </row>
    <row r="12338" spans="1:20" x14ac:dyDescent="0.3">
      <c r="A12338" t="str">
        <f>"0611836477100"</f>
        <v>0611836477100</v>
      </c>
      <c r="B12338" t="str">
        <f>"LL5028"</f>
        <v>LL5028</v>
      </c>
      <c r="C12338" t="s">
        <v>51094</v>
      </c>
      <c r="D12338" t="s">
        <v>27245</v>
      </c>
      <c r="E12338" t="str">
        <f t="shared" si="192"/>
        <v>001390</v>
      </c>
      <c r="F12338" t="s">
        <v>27246</v>
      </c>
      <c r="G12338" t="s">
        <v>27247</v>
      </c>
      <c r="H12338" t="s">
        <v>27248</v>
      </c>
      <c r="I12338" t="s">
        <v>51095</v>
      </c>
      <c r="J12338" t="s">
        <v>24683</v>
      </c>
      <c r="L12338" t="s">
        <v>27250</v>
      </c>
      <c r="M12338" t="s">
        <v>27251</v>
      </c>
      <c r="N12338" t="s">
        <v>27252</v>
      </c>
      <c r="Q12338" s="1">
        <v>44538</v>
      </c>
      <c r="R12338" t="s">
        <v>27253</v>
      </c>
      <c r="S12338" t="s">
        <v>27254</v>
      </c>
      <c r="T12338" t="s">
        <v>27255</v>
      </c>
    </row>
    <row r="12339" spans="1:20" x14ac:dyDescent="0.3">
      <c r="A12339" t="str">
        <f>"0611836479100"</f>
        <v>0611836479100</v>
      </c>
      <c r="B12339" t="str">
        <f>"LL8254"</f>
        <v>LL8254</v>
      </c>
      <c r="C12339" t="s">
        <v>51096</v>
      </c>
      <c r="D12339" t="s">
        <v>27245</v>
      </c>
      <c r="E12339" t="str">
        <f t="shared" si="192"/>
        <v>001390</v>
      </c>
      <c r="F12339" t="s">
        <v>27246</v>
      </c>
      <c r="G12339" t="s">
        <v>27247</v>
      </c>
      <c r="H12339" t="s">
        <v>27248</v>
      </c>
      <c r="I12339" t="s">
        <v>51097</v>
      </c>
      <c r="J12339" t="s">
        <v>24685</v>
      </c>
      <c r="L12339" t="s">
        <v>27250</v>
      </c>
      <c r="M12339" t="s">
        <v>27251</v>
      </c>
      <c r="N12339" t="s">
        <v>27252</v>
      </c>
      <c r="Q12339" s="1">
        <v>44538</v>
      </c>
      <c r="R12339" t="s">
        <v>27253</v>
      </c>
      <c r="S12339" t="s">
        <v>27254</v>
      </c>
      <c r="T12339" t="s">
        <v>27255</v>
      </c>
    </row>
    <row r="12340" spans="1:20" x14ac:dyDescent="0.3">
      <c r="A12340" t="str">
        <f>"0611836480100"</f>
        <v>0611836480100</v>
      </c>
      <c r="B12340" t="str">
        <f>"LL4062"</f>
        <v>LL4062</v>
      </c>
      <c r="C12340" t="s">
        <v>51098</v>
      </c>
      <c r="D12340" t="s">
        <v>27245</v>
      </c>
      <c r="E12340" t="str">
        <f t="shared" si="192"/>
        <v>001390</v>
      </c>
      <c r="F12340" t="s">
        <v>27246</v>
      </c>
      <c r="G12340" t="s">
        <v>27247</v>
      </c>
      <c r="H12340" t="s">
        <v>27248</v>
      </c>
      <c r="I12340" t="s">
        <v>51099</v>
      </c>
      <c r="J12340" t="s">
        <v>24687</v>
      </c>
      <c r="L12340" t="s">
        <v>27250</v>
      </c>
      <c r="M12340" t="s">
        <v>27251</v>
      </c>
      <c r="N12340" t="s">
        <v>27252</v>
      </c>
      <c r="Q12340" s="1">
        <v>44538</v>
      </c>
      <c r="R12340" t="s">
        <v>27253</v>
      </c>
      <c r="S12340" t="s">
        <v>27254</v>
      </c>
      <c r="T12340" t="s">
        <v>27255</v>
      </c>
    </row>
    <row r="12341" spans="1:20" x14ac:dyDescent="0.3">
      <c r="A12341" t="str">
        <f>"0611836481100"</f>
        <v>0611836481100</v>
      </c>
      <c r="B12341" t="str">
        <f>"LL4190"</f>
        <v>LL4190</v>
      </c>
      <c r="C12341" t="s">
        <v>51100</v>
      </c>
      <c r="D12341" t="s">
        <v>27245</v>
      </c>
      <c r="E12341" t="str">
        <f t="shared" si="192"/>
        <v>001390</v>
      </c>
      <c r="F12341" t="s">
        <v>27246</v>
      </c>
      <c r="G12341" t="s">
        <v>27247</v>
      </c>
      <c r="H12341" t="s">
        <v>27248</v>
      </c>
      <c r="I12341" t="s">
        <v>51101</v>
      </c>
      <c r="J12341" t="s">
        <v>24689</v>
      </c>
      <c r="L12341" t="s">
        <v>27250</v>
      </c>
      <c r="M12341" t="s">
        <v>27251</v>
      </c>
      <c r="N12341" t="s">
        <v>27252</v>
      </c>
      <c r="Q12341" s="1">
        <v>44538</v>
      </c>
      <c r="R12341" t="s">
        <v>27253</v>
      </c>
      <c r="S12341" t="s">
        <v>27254</v>
      </c>
      <c r="T12341" t="s">
        <v>27255</v>
      </c>
    </row>
    <row r="12342" spans="1:20" x14ac:dyDescent="0.3">
      <c r="A12342" t="str">
        <f>"0611836482100"</f>
        <v>0611836482100</v>
      </c>
      <c r="B12342" t="str">
        <f>"LL3948"</f>
        <v>LL3948</v>
      </c>
      <c r="C12342" t="s">
        <v>51102</v>
      </c>
      <c r="D12342" t="s">
        <v>27245</v>
      </c>
      <c r="E12342" t="str">
        <f t="shared" si="192"/>
        <v>001390</v>
      </c>
      <c r="F12342" t="s">
        <v>27246</v>
      </c>
      <c r="G12342" t="s">
        <v>27247</v>
      </c>
      <c r="H12342" t="s">
        <v>27248</v>
      </c>
      <c r="I12342" t="s">
        <v>51103</v>
      </c>
      <c r="J12342" t="s">
        <v>24691</v>
      </c>
      <c r="L12342" t="s">
        <v>27250</v>
      </c>
      <c r="M12342" t="s">
        <v>27251</v>
      </c>
      <c r="N12342" t="s">
        <v>27252</v>
      </c>
      <c r="Q12342" s="1">
        <v>44538</v>
      </c>
      <c r="R12342" t="s">
        <v>27253</v>
      </c>
      <c r="S12342" t="s">
        <v>27254</v>
      </c>
      <c r="T12342" t="s">
        <v>27255</v>
      </c>
    </row>
    <row r="12343" spans="1:20" x14ac:dyDescent="0.3">
      <c r="A12343" t="str">
        <f>"0611836483100"</f>
        <v>0611836483100</v>
      </c>
      <c r="B12343" t="str">
        <f>"LL5029"</f>
        <v>LL5029</v>
      </c>
      <c r="C12343" t="s">
        <v>51104</v>
      </c>
      <c r="D12343" t="s">
        <v>27245</v>
      </c>
      <c r="E12343" t="str">
        <f t="shared" si="192"/>
        <v>001390</v>
      </c>
      <c r="F12343" t="s">
        <v>27246</v>
      </c>
      <c r="G12343" t="s">
        <v>27247</v>
      </c>
      <c r="H12343" t="s">
        <v>27248</v>
      </c>
      <c r="I12343" t="s">
        <v>51105</v>
      </c>
      <c r="J12343" t="s">
        <v>24693</v>
      </c>
      <c r="L12343" t="s">
        <v>27250</v>
      </c>
      <c r="M12343" t="s">
        <v>27251</v>
      </c>
      <c r="N12343" t="s">
        <v>27252</v>
      </c>
      <c r="Q12343" s="1">
        <v>44538</v>
      </c>
      <c r="R12343" t="s">
        <v>27253</v>
      </c>
      <c r="S12343" t="s">
        <v>27254</v>
      </c>
      <c r="T12343" t="s">
        <v>27255</v>
      </c>
    </row>
    <row r="12344" spans="1:20" x14ac:dyDescent="0.3">
      <c r="A12344" t="str">
        <f>"0611836484100"</f>
        <v>0611836484100</v>
      </c>
      <c r="B12344" t="str">
        <f>"LL4039"</f>
        <v>LL4039</v>
      </c>
      <c r="C12344" t="s">
        <v>51106</v>
      </c>
      <c r="D12344" t="s">
        <v>27245</v>
      </c>
      <c r="E12344" t="str">
        <f t="shared" si="192"/>
        <v>001390</v>
      </c>
      <c r="F12344" t="s">
        <v>27246</v>
      </c>
      <c r="G12344" t="s">
        <v>27247</v>
      </c>
      <c r="H12344" t="s">
        <v>27248</v>
      </c>
      <c r="I12344" t="s">
        <v>51107</v>
      </c>
      <c r="J12344" t="s">
        <v>24695</v>
      </c>
      <c r="L12344" t="s">
        <v>27250</v>
      </c>
      <c r="M12344" t="s">
        <v>27251</v>
      </c>
      <c r="N12344" t="s">
        <v>27252</v>
      </c>
      <c r="Q12344" s="1">
        <v>44538</v>
      </c>
      <c r="R12344" t="s">
        <v>27253</v>
      </c>
      <c r="S12344" t="s">
        <v>27254</v>
      </c>
      <c r="T12344" t="s">
        <v>27255</v>
      </c>
    </row>
    <row r="12345" spans="1:20" x14ac:dyDescent="0.3">
      <c r="A12345" t="str">
        <f>"0611836485100"</f>
        <v>0611836485100</v>
      </c>
      <c r="B12345" t="str">
        <f>"LL3987"</f>
        <v>LL3987</v>
      </c>
      <c r="C12345" t="s">
        <v>51108</v>
      </c>
      <c r="D12345" t="s">
        <v>27245</v>
      </c>
      <c r="E12345" t="str">
        <f t="shared" si="192"/>
        <v>001390</v>
      </c>
      <c r="F12345" t="s">
        <v>27246</v>
      </c>
      <c r="G12345" t="s">
        <v>27247</v>
      </c>
      <c r="H12345" t="s">
        <v>27248</v>
      </c>
      <c r="I12345" t="s">
        <v>51109</v>
      </c>
      <c r="J12345" t="s">
        <v>24697</v>
      </c>
      <c r="L12345" t="s">
        <v>27250</v>
      </c>
      <c r="M12345" t="s">
        <v>27251</v>
      </c>
      <c r="N12345" t="s">
        <v>27252</v>
      </c>
      <c r="Q12345" s="1">
        <v>44538</v>
      </c>
      <c r="R12345" t="s">
        <v>27253</v>
      </c>
      <c r="S12345" t="s">
        <v>27254</v>
      </c>
      <c r="T12345" t="s">
        <v>27255</v>
      </c>
    </row>
    <row r="12346" spans="1:20" x14ac:dyDescent="0.3">
      <c r="A12346" t="str">
        <f>"0611836486100"</f>
        <v>0611836486100</v>
      </c>
      <c r="B12346" t="str">
        <f>"LL8118"</f>
        <v>LL8118</v>
      </c>
      <c r="C12346" t="s">
        <v>51110</v>
      </c>
      <c r="D12346" t="s">
        <v>27245</v>
      </c>
      <c r="E12346" t="str">
        <f t="shared" si="192"/>
        <v>001390</v>
      </c>
      <c r="F12346" t="s">
        <v>27246</v>
      </c>
      <c r="G12346" t="s">
        <v>27247</v>
      </c>
      <c r="H12346" t="s">
        <v>27248</v>
      </c>
      <c r="I12346" t="s">
        <v>51111</v>
      </c>
      <c r="J12346" t="s">
        <v>24699</v>
      </c>
      <c r="L12346" t="s">
        <v>27250</v>
      </c>
      <c r="M12346" t="s">
        <v>27251</v>
      </c>
      <c r="N12346" t="s">
        <v>27252</v>
      </c>
      <c r="Q12346" s="1">
        <v>44538</v>
      </c>
      <c r="R12346" t="s">
        <v>27253</v>
      </c>
      <c r="S12346" t="s">
        <v>27254</v>
      </c>
      <c r="T12346" t="s">
        <v>27255</v>
      </c>
    </row>
    <row r="12347" spans="1:20" x14ac:dyDescent="0.3">
      <c r="A12347" t="str">
        <f>"0611836487100"</f>
        <v>0611836487100</v>
      </c>
      <c r="B12347" t="str">
        <f>"LL4195"</f>
        <v>LL4195</v>
      </c>
      <c r="C12347" t="s">
        <v>51112</v>
      </c>
      <c r="D12347" t="s">
        <v>27245</v>
      </c>
      <c r="E12347" t="str">
        <f t="shared" si="192"/>
        <v>001390</v>
      </c>
      <c r="F12347" t="s">
        <v>27246</v>
      </c>
      <c r="G12347" t="s">
        <v>27247</v>
      </c>
      <c r="H12347" t="s">
        <v>27248</v>
      </c>
      <c r="I12347" t="s">
        <v>51113</v>
      </c>
      <c r="J12347" t="s">
        <v>24701</v>
      </c>
      <c r="L12347" t="s">
        <v>27250</v>
      </c>
      <c r="M12347" t="s">
        <v>27251</v>
      </c>
      <c r="N12347" t="s">
        <v>27252</v>
      </c>
      <c r="Q12347" s="1">
        <v>44538</v>
      </c>
      <c r="R12347" t="s">
        <v>27253</v>
      </c>
      <c r="S12347" t="s">
        <v>27254</v>
      </c>
      <c r="T12347" t="s">
        <v>27255</v>
      </c>
    </row>
    <row r="12348" spans="1:20" x14ac:dyDescent="0.3">
      <c r="A12348" t="str">
        <f>"0611836488100"</f>
        <v>0611836488100</v>
      </c>
      <c r="B12348" t="str">
        <f>"LL3892"</f>
        <v>LL3892</v>
      </c>
      <c r="C12348" t="s">
        <v>51114</v>
      </c>
      <c r="D12348" t="s">
        <v>27245</v>
      </c>
      <c r="E12348" t="str">
        <f t="shared" si="192"/>
        <v>001390</v>
      </c>
      <c r="F12348" t="s">
        <v>27246</v>
      </c>
      <c r="G12348" t="s">
        <v>27247</v>
      </c>
      <c r="H12348" t="s">
        <v>27248</v>
      </c>
      <c r="I12348" t="s">
        <v>51115</v>
      </c>
      <c r="J12348" t="s">
        <v>24703</v>
      </c>
      <c r="L12348" t="s">
        <v>27250</v>
      </c>
      <c r="M12348" t="s">
        <v>27251</v>
      </c>
      <c r="N12348" t="s">
        <v>27252</v>
      </c>
      <c r="Q12348" s="1">
        <v>44538</v>
      </c>
      <c r="R12348" t="s">
        <v>27253</v>
      </c>
      <c r="S12348" t="s">
        <v>27254</v>
      </c>
      <c r="T12348" t="s">
        <v>27255</v>
      </c>
    </row>
    <row r="12349" spans="1:20" x14ac:dyDescent="0.3">
      <c r="A12349" t="str">
        <f>"0611836489100"</f>
        <v>0611836489100</v>
      </c>
      <c r="B12349" t="str">
        <f>"LL4186"</f>
        <v>LL4186</v>
      </c>
      <c r="C12349" t="s">
        <v>51116</v>
      </c>
      <c r="D12349" t="s">
        <v>27245</v>
      </c>
      <c r="E12349" t="str">
        <f t="shared" si="192"/>
        <v>001390</v>
      </c>
      <c r="F12349" t="s">
        <v>27246</v>
      </c>
      <c r="G12349" t="s">
        <v>27247</v>
      </c>
      <c r="H12349" t="s">
        <v>27248</v>
      </c>
      <c r="I12349" t="s">
        <v>51117</v>
      </c>
      <c r="J12349" t="s">
        <v>24705</v>
      </c>
      <c r="L12349" t="s">
        <v>27250</v>
      </c>
      <c r="M12349" t="s">
        <v>27251</v>
      </c>
      <c r="N12349" t="s">
        <v>27252</v>
      </c>
      <c r="Q12349" s="1">
        <v>44538</v>
      </c>
      <c r="R12349" t="s">
        <v>27253</v>
      </c>
      <c r="S12349" t="s">
        <v>27254</v>
      </c>
      <c r="T12349" t="s">
        <v>27255</v>
      </c>
    </row>
    <row r="12350" spans="1:20" x14ac:dyDescent="0.3">
      <c r="A12350" t="str">
        <f>"0611836490100"</f>
        <v>0611836490100</v>
      </c>
      <c r="B12350" t="str">
        <f>"LL0076"</f>
        <v>LL0076</v>
      </c>
      <c r="C12350" t="s">
        <v>51118</v>
      </c>
      <c r="D12350" t="s">
        <v>27245</v>
      </c>
      <c r="E12350" t="str">
        <f t="shared" si="192"/>
        <v>001390</v>
      </c>
      <c r="F12350" t="s">
        <v>27246</v>
      </c>
      <c r="G12350" t="s">
        <v>27247</v>
      </c>
      <c r="H12350" t="s">
        <v>27248</v>
      </c>
      <c r="I12350" t="s">
        <v>51119</v>
      </c>
      <c r="J12350" t="s">
        <v>24707</v>
      </c>
      <c r="L12350" t="s">
        <v>27250</v>
      </c>
      <c r="M12350" t="s">
        <v>27251</v>
      </c>
      <c r="N12350" t="s">
        <v>27252</v>
      </c>
      <c r="Q12350" s="1">
        <v>44538</v>
      </c>
      <c r="R12350" t="s">
        <v>27253</v>
      </c>
      <c r="S12350" t="s">
        <v>27254</v>
      </c>
      <c r="T12350" t="s">
        <v>27255</v>
      </c>
    </row>
    <row r="12351" spans="1:20" x14ac:dyDescent="0.3">
      <c r="A12351" t="str">
        <f>"0611836491100"</f>
        <v>0611836491100</v>
      </c>
      <c r="B12351" t="str">
        <f>"LL0077"</f>
        <v>LL0077</v>
      </c>
      <c r="C12351" t="s">
        <v>51120</v>
      </c>
      <c r="D12351" t="s">
        <v>27245</v>
      </c>
      <c r="E12351" t="str">
        <f t="shared" si="192"/>
        <v>001390</v>
      </c>
      <c r="F12351" t="s">
        <v>27246</v>
      </c>
      <c r="G12351" t="s">
        <v>27247</v>
      </c>
      <c r="H12351" t="s">
        <v>27248</v>
      </c>
      <c r="I12351" t="s">
        <v>51121</v>
      </c>
      <c r="J12351" t="s">
        <v>24709</v>
      </c>
      <c r="L12351" t="s">
        <v>27250</v>
      </c>
      <c r="M12351" t="s">
        <v>27251</v>
      </c>
      <c r="N12351" t="s">
        <v>27252</v>
      </c>
      <c r="Q12351" s="1">
        <v>44538</v>
      </c>
      <c r="R12351" t="s">
        <v>27253</v>
      </c>
      <c r="S12351" t="s">
        <v>27254</v>
      </c>
      <c r="T12351" t="s">
        <v>27255</v>
      </c>
    </row>
    <row r="12352" spans="1:20" x14ac:dyDescent="0.3">
      <c r="A12352" t="str">
        <f>"0611836492100"</f>
        <v>0611836492100</v>
      </c>
      <c r="B12352" t="str">
        <f>"LL0078"</f>
        <v>LL0078</v>
      </c>
      <c r="C12352" t="s">
        <v>51122</v>
      </c>
      <c r="D12352" t="s">
        <v>27245</v>
      </c>
      <c r="E12352" t="str">
        <f t="shared" si="192"/>
        <v>001390</v>
      </c>
      <c r="F12352" t="s">
        <v>27246</v>
      </c>
      <c r="G12352" t="s">
        <v>27247</v>
      </c>
      <c r="H12352" t="s">
        <v>27248</v>
      </c>
      <c r="I12352" t="s">
        <v>51123</v>
      </c>
      <c r="J12352" t="s">
        <v>24711</v>
      </c>
      <c r="L12352" t="s">
        <v>27250</v>
      </c>
      <c r="M12352" t="s">
        <v>27251</v>
      </c>
      <c r="N12352" t="s">
        <v>27252</v>
      </c>
      <c r="Q12352" s="1">
        <v>44538</v>
      </c>
      <c r="R12352" t="s">
        <v>27253</v>
      </c>
      <c r="S12352" t="s">
        <v>27254</v>
      </c>
      <c r="T12352" t="s">
        <v>27255</v>
      </c>
    </row>
    <row r="12353" spans="1:20" x14ac:dyDescent="0.3">
      <c r="A12353" t="str">
        <f>"0611836493100"</f>
        <v>0611836493100</v>
      </c>
      <c r="B12353" t="str">
        <f>"LL8095"</f>
        <v>LL8095</v>
      </c>
      <c r="C12353" t="s">
        <v>51124</v>
      </c>
      <c r="D12353" t="s">
        <v>27245</v>
      </c>
      <c r="E12353" t="str">
        <f t="shared" si="192"/>
        <v>001390</v>
      </c>
      <c r="F12353" t="s">
        <v>27246</v>
      </c>
      <c r="G12353" t="s">
        <v>27247</v>
      </c>
      <c r="H12353" t="s">
        <v>27248</v>
      </c>
      <c r="I12353" t="s">
        <v>51125</v>
      </c>
      <c r="J12353" t="s">
        <v>24713</v>
      </c>
      <c r="L12353" t="s">
        <v>27250</v>
      </c>
      <c r="M12353" t="s">
        <v>27251</v>
      </c>
      <c r="N12353" t="s">
        <v>27252</v>
      </c>
      <c r="Q12353" s="1">
        <v>44538</v>
      </c>
      <c r="R12353" t="s">
        <v>27253</v>
      </c>
      <c r="S12353" t="s">
        <v>27254</v>
      </c>
      <c r="T12353" t="s">
        <v>27255</v>
      </c>
    </row>
    <row r="12354" spans="1:20" x14ac:dyDescent="0.3">
      <c r="A12354" t="str">
        <f>"0611836494100"</f>
        <v>0611836494100</v>
      </c>
      <c r="B12354" t="str">
        <f>"LL1707"</f>
        <v>LL1707</v>
      </c>
      <c r="C12354" t="s">
        <v>51126</v>
      </c>
      <c r="D12354" t="s">
        <v>27245</v>
      </c>
      <c r="E12354" t="str">
        <f t="shared" ref="E12354:E12417" si="193">"001390"</f>
        <v>001390</v>
      </c>
      <c r="F12354" t="s">
        <v>27246</v>
      </c>
      <c r="G12354" t="s">
        <v>27247</v>
      </c>
      <c r="H12354" t="s">
        <v>27248</v>
      </c>
      <c r="I12354" t="s">
        <v>51127</v>
      </c>
      <c r="J12354" t="s">
        <v>24715</v>
      </c>
      <c r="L12354" t="s">
        <v>27250</v>
      </c>
      <c r="M12354" t="s">
        <v>27251</v>
      </c>
      <c r="N12354" t="s">
        <v>27252</v>
      </c>
      <c r="Q12354" s="1">
        <v>44538</v>
      </c>
      <c r="R12354" t="s">
        <v>27253</v>
      </c>
      <c r="S12354" t="s">
        <v>27254</v>
      </c>
      <c r="T12354" t="s">
        <v>27255</v>
      </c>
    </row>
    <row r="12355" spans="1:20" x14ac:dyDescent="0.3">
      <c r="A12355" t="str">
        <f>"0611836495100"</f>
        <v>0611836495100</v>
      </c>
      <c r="B12355" t="str">
        <f>"LL8075"</f>
        <v>LL8075</v>
      </c>
      <c r="C12355" t="s">
        <v>51128</v>
      </c>
      <c r="D12355" t="s">
        <v>27245</v>
      </c>
      <c r="E12355" t="str">
        <f t="shared" si="193"/>
        <v>001390</v>
      </c>
      <c r="F12355" t="s">
        <v>27246</v>
      </c>
      <c r="G12355" t="s">
        <v>27247</v>
      </c>
      <c r="H12355" t="s">
        <v>27248</v>
      </c>
      <c r="I12355" t="s">
        <v>51129</v>
      </c>
      <c r="J12355" t="s">
        <v>24717</v>
      </c>
      <c r="L12355" t="s">
        <v>27250</v>
      </c>
      <c r="M12355" t="s">
        <v>27251</v>
      </c>
      <c r="N12355" t="s">
        <v>27252</v>
      </c>
      <c r="Q12355" s="1">
        <v>44538</v>
      </c>
      <c r="R12355" t="s">
        <v>27253</v>
      </c>
      <c r="S12355" t="s">
        <v>27254</v>
      </c>
      <c r="T12355" t="s">
        <v>27255</v>
      </c>
    </row>
    <row r="12356" spans="1:20" x14ac:dyDescent="0.3">
      <c r="A12356" t="str">
        <f>"0611839796100"</f>
        <v>0611839796100</v>
      </c>
      <c r="B12356" t="str">
        <f>"LL8031"</f>
        <v>LL8031</v>
      </c>
      <c r="C12356" t="s">
        <v>51130</v>
      </c>
      <c r="D12356" t="s">
        <v>27245</v>
      </c>
      <c r="E12356" t="str">
        <f t="shared" si="193"/>
        <v>001390</v>
      </c>
      <c r="F12356" t="s">
        <v>27246</v>
      </c>
      <c r="G12356" t="s">
        <v>27247</v>
      </c>
      <c r="H12356" t="s">
        <v>27248</v>
      </c>
      <c r="I12356" t="s">
        <v>51131</v>
      </c>
      <c r="J12356" t="s">
        <v>24719</v>
      </c>
      <c r="L12356" t="s">
        <v>27250</v>
      </c>
      <c r="M12356" t="s">
        <v>27251</v>
      </c>
      <c r="N12356" t="s">
        <v>27252</v>
      </c>
      <c r="Q12356" s="1">
        <v>44538</v>
      </c>
      <c r="R12356" t="s">
        <v>27253</v>
      </c>
      <c r="S12356" t="s">
        <v>27254</v>
      </c>
      <c r="T12356" t="s">
        <v>27255</v>
      </c>
    </row>
    <row r="12357" spans="1:20" x14ac:dyDescent="0.3">
      <c r="A12357" t="str">
        <f>"0611836496100"</f>
        <v>0611836496100</v>
      </c>
      <c r="B12357" t="str">
        <f>"LL0079"</f>
        <v>LL0079</v>
      </c>
      <c r="C12357" t="s">
        <v>51132</v>
      </c>
      <c r="D12357" t="s">
        <v>27245</v>
      </c>
      <c r="E12357" t="str">
        <f t="shared" si="193"/>
        <v>001390</v>
      </c>
      <c r="F12357" t="s">
        <v>27246</v>
      </c>
      <c r="G12357" t="s">
        <v>27247</v>
      </c>
      <c r="H12357" t="s">
        <v>27248</v>
      </c>
      <c r="I12357" t="s">
        <v>51133</v>
      </c>
      <c r="J12357" t="s">
        <v>24721</v>
      </c>
      <c r="L12357" t="s">
        <v>27250</v>
      </c>
      <c r="M12357" t="s">
        <v>27251</v>
      </c>
      <c r="N12357" t="s">
        <v>27252</v>
      </c>
      <c r="Q12357" s="1">
        <v>44538</v>
      </c>
      <c r="R12357" t="s">
        <v>27253</v>
      </c>
      <c r="S12357" t="s">
        <v>27254</v>
      </c>
      <c r="T12357" t="s">
        <v>27255</v>
      </c>
    </row>
    <row r="12358" spans="1:20" x14ac:dyDescent="0.3">
      <c r="A12358" t="str">
        <f>"0611836497100"</f>
        <v>0611836497100</v>
      </c>
      <c r="B12358" t="str">
        <f>"LL3895"</f>
        <v>LL3895</v>
      </c>
      <c r="C12358" t="s">
        <v>51134</v>
      </c>
      <c r="D12358" t="s">
        <v>27245</v>
      </c>
      <c r="E12358" t="str">
        <f t="shared" si="193"/>
        <v>001390</v>
      </c>
      <c r="F12358" t="s">
        <v>27246</v>
      </c>
      <c r="G12358" t="s">
        <v>27247</v>
      </c>
      <c r="H12358" t="s">
        <v>27248</v>
      </c>
      <c r="I12358" t="s">
        <v>51135</v>
      </c>
      <c r="J12358" t="s">
        <v>24723</v>
      </c>
      <c r="L12358" t="s">
        <v>27250</v>
      </c>
      <c r="M12358" t="s">
        <v>27251</v>
      </c>
      <c r="N12358" t="s">
        <v>27252</v>
      </c>
      <c r="Q12358" s="1">
        <v>44538</v>
      </c>
      <c r="R12358" t="s">
        <v>27253</v>
      </c>
      <c r="S12358" t="s">
        <v>27254</v>
      </c>
      <c r="T12358" t="s">
        <v>27255</v>
      </c>
    </row>
    <row r="12359" spans="1:20" x14ac:dyDescent="0.3">
      <c r="A12359" t="str">
        <f>"0611836498100"</f>
        <v>0611836498100</v>
      </c>
      <c r="B12359" t="str">
        <f>"LL4240"</f>
        <v>LL4240</v>
      </c>
      <c r="C12359" t="s">
        <v>51136</v>
      </c>
      <c r="D12359" t="s">
        <v>27245</v>
      </c>
      <c r="E12359" t="str">
        <f t="shared" si="193"/>
        <v>001390</v>
      </c>
      <c r="F12359" t="s">
        <v>27246</v>
      </c>
      <c r="G12359" t="s">
        <v>27247</v>
      </c>
      <c r="H12359" t="s">
        <v>27248</v>
      </c>
      <c r="I12359" t="s">
        <v>51137</v>
      </c>
      <c r="J12359" t="s">
        <v>24725</v>
      </c>
      <c r="L12359" t="s">
        <v>27250</v>
      </c>
      <c r="M12359" t="s">
        <v>27251</v>
      </c>
      <c r="N12359" t="s">
        <v>27252</v>
      </c>
      <c r="Q12359" s="1">
        <v>44538</v>
      </c>
      <c r="R12359" t="s">
        <v>27253</v>
      </c>
      <c r="S12359" t="s">
        <v>27254</v>
      </c>
      <c r="T12359" t="s">
        <v>27255</v>
      </c>
    </row>
    <row r="12360" spans="1:20" x14ac:dyDescent="0.3">
      <c r="A12360" t="str">
        <f>"0611836499200"</f>
        <v>0611836499200</v>
      </c>
      <c r="B12360" t="str">
        <f>"KY4240"</f>
        <v>KY4240</v>
      </c>
      <c r="C12360" t="s">
        <v>51136</v>
      </c>
      <c r="D12360" t="s">
        <v>27682</v>
      </c>
      <c r="E12360" t="str">
        <f t="shared" si="193"/>
        <v>001390</v>
      </c>
      <c r="F12360" t="s">
        <v>27246</v>
      </c>
      <c r="G12360" t="s">
        <v>27247</v>
      </c>
      <c r="H12360" t="s">
        <v>27248</v>
      </c>
      <c r="I12360" t="s">
        <v>51138</v>
      </c>
      <c r="J12360" t="s">
        <v>24727</v>
      </c>
      <c r="L12360" t="s">
        <v>27250</v>
      </c>
      <c r="M12360" t="s">
        <v>27251</v>
      </c>
      <c r="N12360" t="s">
        <v>27252</v>
      </c>
      <c r="Q12360" s="1">
        <v>44538</v>
      </c>
      <c r="R12360" t="s">
        <v>27253</v>
      </c>
      <c r="S12360" t="s">
        <v>27254</v>
      </c>
      <c r="T12360" t="s">
        <v>27684</v>
      </c>
    </row>
    <row r="12361" spans="1:20" x14ac:dyDescent="0.3">
      <c r="A12361" t="str">
        <f>"0611836500100"</f>
        <v>0611836500100</v>
      </c>
      <c r="B12361" t="str">
        <f>"LL3929"</f>
        <v>LL3929</v>
      </c>
      <c r="C12361" t="s">
        <v>51139</v>
      </c>
      <c r="D12361" t="s">
        <v>27245</v>
      </c>
      <c r="E12361" t="str">
        <f t="shared" si="193"/>
        <v>001390</v>
      </c>
      <c r="F12361" t="s">
        <v>27246</v>
      </c>
      <c r="G12361" t="s">
        <v>27247</v>
      </c>
      <c r="H12361" t="s">
        <v>27248</v>
      </c>
      <c r="I12361" t="s">
        <v>51140</v>
      </c>
      <c r="J12361" t="s">
        <v>24729</v>
      </c>
      <c r="L12361" t="s">
        <v>27250</v>
      </c>
      <c r="M12361" t="s">
        <v>27251</v>
      </c>
      <c r="N12361" t="s">
        <v>27252</v>
      </c>
      <c r="Q12361" s="1">
        <v>44538</v>
      </c>
      <c r="R12361" t="s">
        <v>27253</v>
      </c>
      <c r="S12361" t="s">
        <v>27254</v>
      </c>
      <c r="T12361" t="s">
        <v>27255</v>
      </c>
    </row>
    <row r="12362" spans="1:20" x14ac:dyDescent="0.3">
      <c r="A12362" t="str">
        <f>"0611836501100"</f>
        <v>0611836501100</v>
      </c>
      <c r="B12362" t="str">
        <f>"LL4010"</f>
        <v>LL4010</v>
      </c>
      <c r="C12362" t="s">
        <v>51141</v>
      </c>
      <c r="D12362" t="s">
        <v>27245</v>
      </c>
      <c r="E12362" t="str">
        <f t="shared" si="193"/>
        <v>001390</v>
      </c>
      <c r="F12362" t="s">
        <v>27246</v>
      </c>
      <c r="G12362" t="s">
        <v>27247</v>
      </c>
      <c r="H12362" t="s">
        <v>27248</v>
      </c>
      <c r="I12362" t="s">
        <v>51142</v>
      </c>
      <c r="J12362" t="s">
        <v>24731</v>
      </c>
      <c r="L12362" t="s">
        <v>27250</v>
      </c>
      <c r="M12362" t="s">
        <v>27251</v>
      </c>
      <c r="N12362" t="s">
        <v>27252</v>
      </c>
      <c r="Q12362" s="1">
        <v>44538</v>
      </c>
      <c r="R12362" t="s">
        <v>27253</v>
      </c>
      <c r="S12362" t="s">
        <v>27254</v>
      </c>
      <c r="T12362" t="s">
        <v>27255</v>
      </c>
    </row>
    <row r="12363" spans="1:20" x14ac:dyDescent="0.3">
      <c r="A12363" t="str">
        <f>"0611836502100"</f>
        <v>0611836502100</v>
      </c>
      <c r="B12363" t="str">
        <f>"LL4250"</f>
        <v>LL4250</v>
      </c>
      <c r="C12363" t="s">
        <v>51143</v>
      </c>
      <c r="D12363" t="s">
        <v>27245</v>
      </c>
      <c r="E12363" t="str">
        <f t="shared" si="193"/>
        <v>001390</v>
      </c>
      <c r="F12363" t="s">
        <v>27246</v>
      </c>
      <c r="G12363" t="s">
        <v>27247</v>
      </c>
      <c r="H12363" t="s">
        <v>27248</v>
      </c>
      <c r="I12363" t="s">
        <v>51144</v>
      </c>
      <c r="J12363" t="s">
        <v>24733</v>
      </c>
      <c r="L12363" t="s">
        <v>27250</v>
      </c>
      <c r="M12363" t="s">
        <v>27251</v>
      </c>
      <c r="N12363" t="s">
        <v>27252</v>
      </c>
      <c r="Q12363" s="1">
        <v>44538</v>
      </c>
      <c r="R12363" t="s">
        <v>27253</v>
      </c>
      <c r="S12363" t="s">
        <v>27254</v>
      </c>
      <c r="T12363" t="s">
        <v>27255</v>
      </c>
    </row>
    <row r="12364" spans="1:20" x14ac:dyDescent="0.3">
      <c r="A12364" t="str">
        <f>"0611839797100"</f>
        <v>0611839797100</v>
      </c>
      <c r="B12364" t="str">
        <f>"LL3921"</f>
        <v>LL3921</v>
      </c>
      <c r="C12364" t="s">
        <v>51145</v>
      </c>
      <c r="D12364" t="s">
        <v>27245</v>
      </c>
      <c r="E12364" t="str">
        <f t="shared" si="193"/>
        <v>001390</v>
      </c>
      <c r="F12364" t="s">
        <v>27246</v>
      </c>
      <c r="G12364" t="s">
        <v>27247</v>
      </c>
      <c r="H12364" t="s">
        <v>27248</v>
      </c>
      <c r="I12364" t="s">
        <v>51146</v>
      </c>
      <c r="J12364" t="s">
        <v>24735</v>
      </c>
      <c r="L12364" t="s">
        <v>27250</v>
      </c>
      <c r="M12364" t="s">
        <v>27251</v>
      </c>
      <c r="N12364" t="s">
        <v>27252</v>
      </c>
      <c r="Q12364" s="1">
        <v>44538</v>
      </c>
      <c r="R12364" t="s">
        <v>27253</v>
      </c>
      <c r="S12364" t="s">
        <v>27254</v>
      </c>
      <c r="T12364" t="s">
        <v>27255</v>
      </c>
    </row>
    <row r="12365" spans="1:20" x14ac:dyDescent="0.3">
      <c r="A12365" t="str">
        <f>"0611836503100"</f>
        <v>0611836503100</v>
      </c>
      <c r="B12365" t="str">
        <f>"LL4270"</f>
        <v>LL4270</v>
      </c>
      <c r="C12365" t="s">
        <v>51147</v>
      </c>
      <c r="D12365" t="s">
        <v>27245</v>
      </c>
      <c r="E12365" t="str">
        <f t="shared" si="193"/>
        <v>001390</v>
      </c>
      <c r="F12365" t="s">
        <v>27246</v>
      </c>
      <c r="G12365" t="s">
        <v>27247</v>
      </c>
      <c r="H12365" t="s">
        <v>27248</v>
      </c>
      <c r="I12365" t="s">
        <v>51148</v>
      </c>
      <c r="J12365" t="s">
        <v>24737</v>
      </c>
      <c r="L12365" t="s">
        <v>27250</v>
      </c>
      <c r="M12365" t="s">
        <v>27251</v>
      </c>
      <c r="N12365" t="s">
        <v>27252</v>
      </c>
      <c r="Q12365" s="1">
        <v>44538</v>
      </c>
      <c r="R12365" t="s">
        <v>27253</v>
      </c>
      <c r="S12365" t="s">
        <v>27254</v>
      </c>
      <c r="T12365" t="s">
        <v>27255</v>
      </c>
    </row>
    <row r="12366" spans="1:20" x14ac:dyDescent="0.3">
      <c r="A12366" t="str">
        <f>"0611836504100"</f>
        <v>0611836504100</v>
      </c>
      <c r="B12366" t="str">
        <f>"LL4037"</f>
        <v>LL4037</v>
      </c>
      <c r="C12366" t="s">
        <v>51149</v>
      </c>
      <c r="D12366" t="s">
        <v>27245</v>
      </c>
      <c r="E12366" t="str">
        <f t="shared" si="193"/>
        <v>001390</v>
      </c>
      <c r="F12366" t="s">
        <v>27246</v>
      </c>
      <c r="G12366" t="s">
        <v>27247</v>
      </c>
      <c r="H12366" t="s">
        <v>27248</v>
      </c>
      <c r="I12366" t="s">
        <v>51150</v>
      </c>
      <c r="J12366" t="s">
        <v>24739</v>
      </c>
      <c r="L12366" t="s">
        <v>27250</v>
      </c>
      <c r="M12366" t="s">
        <v>27251</v>
      </c>
      <c r="N12366" t="s">
        <v>27252</v>
      </c>
      <c r="Q12366" s="1">
        <v>44538</v>
      </c>
      <c r="R12366" t="s">
        <v>27253</v>
      </c>
      <c r="S12366" t="s">
        <v>27254</v>
      </c>
      <c r="T12366" t="s">
        <v>27255</v>
      </c>
    </row>
    <row r="12367" spans="1:20" x14ac:dyDescent="0.3">
      <c r="A12367" t="str">
        <f>"0611836505100"</f>
        <v>0611836505100</v>
      </c>
      <c r="B12367" t="str">
        <f>"LL4290"</f>
        <v>LL4290</v>
      </c>
      <c r="C12367" t="s">
        <v>51151</v>
      </c>
      <c r="D12367" t="s">
        <v>27245</v>
      </c>
      <c r="E12367" t="str">
        <f t="shared" si="193"/>
        <v>001390</v>
      </c>
      <c r="F12367" t="s">
        <v>27246</v>
      </c>
      <c r="G12367" t="s">
        <v>27247</v>
      </c>
      <c r="H12367" t="s">
        <v>27248</v>
      </c>
      <c r="I12367" t="s">
        <v>51152</v>
      </c>
      <c r="J12367" t="s">
        <v>24741</v>
      </c>
      <c r="L12367" t="s">
        <v>27250</v>
      </c>
      <c r="M12367" t="s">
        <v>27251</v>
      </c>
      <c r="N12367" t="s">
        <v>27252</v>
      </c>
      <c r="Q12367" s="1">
        <v>44538</v>
      </c>
      <c r="R12367" t="s">
        <v>27253</v>
      </c>
      <c r="S12367" t="s">
        <v>27254</v>
      </c>
      <c r="T12367" t="s">
        <v>27255</v>
      </c>
    </row>
    <row r="12368" spans="1:20" x14ac:dyDescent="0.3">
      <c r="A12368" t="str">
        <f>"0611857155100"</f>
        <v>0611857155100</v>
      </c>
      <c r="B12368" t="str">
        <f>"LL5049"</f>
        <v>LL5049</v>
      </c>
      <c r="C12368" t="s">
        <v>51153</v>
      </c>
      <c r="D12368" t="s">
        <v>27245</v>
      </c>
      <c r="E12368" t="str">
        <f t="shared" si="193"/>
        <v>001390</v>
      </c>
      <c r="F12368" t="s">
        <v>27246</v>
      </c>
      <c r="G12368" t="s">
        <v>27247</v>
      </c>
      <c r="H12368" t="s">
        <v>27248</v>
      </c>
      <c r="I12368" t="s">
        <v>51154</v>
      </c>
      <c r="J12368" t="s">
        <v>24743</v>
      </c>
      <c r="L12368" t="s">
        <v>27250</v>
      </c>
      <c r="M12368" t="s">
        <v>27251</v>
      </c>
      <c r="N12368" t="s">
        <v>27252</v>
      </c>
      <c r="Q12368" s="1">
        <v>44812</v>
      </c>
      <c r="R12368" t="s">
        <v>27253</v>
      </c>
      <c r="S12368" t="s">
        <v>27254</v>
      </c>
      <c r="T12368" t="s">
        <v>27255</v>
      </c>
    </row>
    <row r="12369" spans="1:20" x14ac:dyDescent="0.3">
      <c r="A12369" t="str">
        <f>"0611836506100"</f>
        <v>0611836506100</v>
      </c>
      <c r="B12369" t="str">
        <f>"LL0098"</f>
        <v>LL0098</v>
      </c>
      <c r="C12369" t="s">
        <v>51155</v>
      </c>
      <c r="D12369" t="s">
        <v>27245</v>
      </c>
      <c r="E12369" t="str">
        <f t="shared" si="193"/>
        <v>001390</v>
      </c>
      <c r="F12369" t="s">
        <v>27246</v>
      </c>
      <c r="G12369" t="s">
        <v>27247</v>
      </c>
      <c r="H12369" t="s">
        <v>27248</v>
      </c>
      <c r="I12369" t="s">
        <v>51156</v>
      </c>
      <c r="J12369" t="s">
        <v>24745</v>
      </c>
      <c r="L12369" t="s">
        <v>27250</v>
      </c>
      <c r="M12369" t="s">
        <v>27251</v>
      </c>
      <c r="N12369" t="s">
        <v>27252</v>
      </c>
      <c r="Q12369" s="1">
        <v>44538</v>
      </c>
      <c r="R12369" t="s">
        <v>27253</v>
      </c>
      <c r="S12369" t="s">
        <v>27254</v>
      </c>
      <c r="T12369" t="s">
        <v>27255</v>
      </c>
    </row>
    <row r="12370" spans="1:20" x14ac:dyDescent="0.3">
      <c r="A12370" t="str">
        <f>"0611836507100"</f>
        <v>0611836507100</v>
      </c>
      <c r="B12370" t="str">
        <f>"LL0013"</f>
        <v>LL0013</v>
      </c>
      <c r="C12370" t="s">
        <v>51157</v>
      </c>
      <c r="D12370" t="s">
        <v>27245</v>
      </c>
      <c r="E12370" t="str">
        <f t="shared" si="193"/>
        <v>001390</v>
      </c>
      <c r="F12370" t="s">
        <v>27246</v>
      </c>
      <c r="G12370" t="s">
        <v>27247</v>
      </c>
      <c r="H12370" t="s">
        <v>27248</v>
      </c>
      <c r="I12370" t="s">
        <v>51158</v>
      </c>
      <c r="J12370" t="s">
        <v>24747</v>
      </c>
      <c r="L12370" t="s">
        <v>27250</v>
      </c>
      <c r="M12370" t="s">
        <v>27251</v>
      </c>
      <c r="N12370" t="s">
        <v>27252</v>
      </c>
      <c r="Q12370" s="1">
        <v>44538</v>
      </c>
      <c r="R12370" t="s">
        <v>27253</v>
      </c>
      <c r="S12370" t="s">
        <v>27254</v>
      </c>
      <c r="T12370" t="s">
        <v>27255</v>
      </c>
    </row>
    <row r="12371" spans="1:20" x14ac:dyDescent="0.3">
      <c r="A12371" t="str">
        <f>"0611839798100"</f>
        <v>0611839798100</v>
      </c>
      <c r="B12371" t="str">
        <f>"LL4553"</f>
        <v>LL4553</v>
      </c>
      <c r="C12371" t="s">
        <v>51159</v>
      </c>
      <c r="D12371" t="s">
        <v>27245</v>
      </c>
      <c r="E12371" t="str">
        <f t="shared" si="193"/>
        <v>001390</v>
      </c>
      <c r="F12371" t="s">
        <v>27246</v>
      </c>
      <c r="G12371" t="s">
        <v>27247</v>
      </c>
      <c r="H12371" t="s">
        <v>27248</v>
      </c>
      <c r="I12371" t="s">
        <v>51160</v>
      </c>
      <c r="J12371" t="s">
        <v>24749</v>
      </c>
      <c r="L12371" t="s">
        <v>27250</v>
      </c>
      <c r="M12371" t="s">
        <v>27251</v>
      </c>
      <c r="N12371" t="s">
        <v>27252</v>
      </c>
      <c r="Q12371" s="1">
        <v>44538</v>
      </c>
      <c r="R12371" t="s">
        <v>27253</v>
      </c>
      <c r="S12371" t="s">
        <v>27254</v>
      </c>
      <c r="T12371" t="s">
        <v>27255</v>
      </c>
    </row>
    <row r="12372" spans="1:20" x14ac:dyDescent="0.3">
      <c r="A12372" t="str">
        <f>"0611836508100"</f>
        <v>0611836508100</v>
      </c>
      <c r="B12372" t="str">
        <f>"LL0014"</f>
        <v>LL0014</v>
      </c>
      <c r="C12372" t="s">
        <v>51161</v>
      </c>
      <c r="D12372" t="s">
        <v>27245</v>
      </c>
      <c r="E12372" t="str">
        <f t="shared" si="193"/>
        <v>001390</v>
      </c>
      <c r="F12372" t="s">
        <v>27246</v>
      </c>
      <c r="G12372" t="s">
        <v>27247</v>
      </c>
      <c r="H12372" t="s">
        <v>27248</v>
      </c>
      <c r="I12372" t="s">
        <v>51162</v>
      </c>
      <c r="J12372" t="s">
        <v>24751</v>
      </c>
      <c r="L12372" t="s">
        <v>27250</v>
      </c>
      <c r="M12372" t="s">
        <v>27251</v>
      </c>
      <c r="N12372" t="s">
        <v>27252</v>
      </c>
      <c r="Q12372" s="1">
        <v>44538</v>
      </c>
      <c r="R12372" t="s">
        <v>27253</v>
      </c>
      <c r="S12372" t="s">
        <v>27254</v>
      </c>
      <c r="T12372" t="s">
        <v>27255</v>
      </c>
    </row>
    <row r="12373" spans="1:20" x14ac:dyDescent="0.3">
      <c r="A12373" t="str">
        <f>"0611836509100"</f>
        <v>0611836509100</v>
      </c>
      <c r="B12373" t="str">
        <f>"LL8255"</f>
        <v>LL8255</v>
      </c>
      <c r="C12373" t="s">
        <v>51163</v>
      </c>
      <c r="D12373" t="s">
        <v>27245</v>
      </c>
      <c r="E12373" t="str">
        <f t="shared" si="193"/>
        <v>001390</v>
      </c>
      <c r="F12373" t="s">
        <v>27246</v>
      </c>
      <c r="G12373" t="s">
        <v>27247</v>
      </c>
      <c r="H12373" t="s">
        <v>27248</v>
      </c>
      <c r="I12373" t="s">
        <v>51164</v>
      </c>
      <c r="J12373" t="s">
        <v>24755</v>
      </c>
      <c r="L12373" t="s">
        <v>27250</v>
      </c>
      <c r="M12373" t="s">
        <v>27251</v>
      </c>
      <c r="N12373" t="s">
        <v>27252</v>
      </c>
      <c r="Q12373" s="1">
        <v>44538</v>
      </c>
      <c r="R12373" t="s">
        <v>27253</v>
      </c>
      <c r="S12373" t="s">
        <v>27254</v>
      </c>
      <c r="T12373" t="s">
        <v>27255</v>
      </c>
    </row>
    <row r="12374" spans="1:20" x14ac:dyDescent="0.3">
      <c r="A12374" t="str">
        <f>"0611836510100"</f>
        <v>0611836510100</v>
      </c>
      <c r="B12374" t="str">
        <f>"LL0016"</f>
        <v>LL0016</v>
      </c>
      <c r="C12374" t="s">
        <v>51165</v>
      </c>
      <c r="D12374" t="s">
        <v>27245</v>
      </c>
      <c r="E12374" t="str">
        <f t="shared" si="193"/>
        <v>001390</v>
      </c>
      <c r="F12374" t="s">
        <v>27246</v>
      </c>
      <c r="G12374" t="s">
        <v>27247</v>
      </c>
      <c r="H12374" t="s">
        <v>27248</v>
      </c>
      <c r="I12374" t="s">
        <v>51166</v>
      </c>
      <c r="J12374" t="s">
        <v>24757</v>
      </c>
      <c r="L12374" t="s">
        <v>27250</v>
      </c>
      <c r="M12374" t="s">
        <v>27251</v>
      </c>
      <c r="N12374" t="s">
        <v>27252</v>
      </c>
      <c r="Q12374" s="1">
        <v>44538</v>
      </c>
      <c r="R12374" t="s">
        <v>27253</v>
      </c>
      <c r="S12374" t="s">
        <v>27254</v>
      </c>
      <c r="T12374" t="s">
        <v>27255</v>
      </c>
    </row>
    <row r="12375" spans="1:20" x14ac:dyDescent="0.3">
      <c r="A12375" t="str">
        <f>"0611836512100"</f>
        <v>0611836512100</v>
      </c>
      <c r="B12375" t="str">
        <f>"LL4870"</f>
        <v>LL4870</v>
      </c>
      <c r="C12375" t="s">
        <v>51167</v>
      </c>
      <c r="D12375" t="s">
        <v>27245</v>
      </c>
      <c r="E12375" t="str">
        <f t="shared" si="193"/>
        <v>001390</v>
      </c>
      <c r="F12375" t="s">
        <v>27246</v>
      </c>
      <c r="G12375" t="s">
        <v>27247</v>
      </c>
      <c r="H12375" t="s">
        <v>27248</v>
      </c>
      <c r="I12375" t="s">
        <v>51168</v>
      </c>
      <c r="J12375" t="s">
        <v>24759</v>
      </c>
      <c r="L12375" t="s">
        <v>27250</v>
      </c>
      <c r="M12375" t="s">
        <v>27251</v>
      </c>
      <c r="N12375" t="s">
        <v>27252</v>
      </c>
      <c r="Q12375" s="1">
        <v>44538</v>
      </c>
      <c r="R12375" t="s">
        <v>27253</v>
      </c>
      <c r="S12375" t="s">
        <v>27254</v>
      </c>
      <c r="T12375" t="s">
        <v>27255</v>
      </c>
    </row>
    <row r="12376" spans="1:20" x14ac:dyDescent="0.3">
      <c r="A12376" t="str">
        <f>"0611836513100"</f>
        <v>0611836513100</v>
      </c>
      <c r="B12376" t="str">
        <f>"LL0196"</f>
        <v>LL0196</v>
      </c>
      <c r="C12376" t="s">
        <v>51169</v>
      </c>
      <c r="D12376" t="s">
        <v>27245</v>
      </c>
      <c r="E12376" t="str">
        <f t="shared" si="193"/>
        <v>001390</v>
      </c>
      <c r="F12376" t="s">
        <v>27246</v>
      </c>
      <c r="G12376" t="s">
        <v>27247</v>
      </c>
      <c r="H12376" t="s">
        <v>27248</v>
      </c>
      <c r="I12376" t="s">
        <v>51170</v>
      </c>
      <c r="J12376" t="s">
        <v>24761</v>
      </c>
      <c r="L12376" t="s">
        <v>27250</v>
      </c>
      <c r="M12376" t="s">
        <v>27251</v>
      </c>
      <c r="N12376" t="s">
        <v>27252</v>
      </c>
      <c r="Q12376" s="1">
        <v>44538</v>
      </c>
      <c r="R12376" t="s">
        <v>27253</v>
      </c>
      <c r="S12376" t="s">
        <v>27254</v>
      </c>
      <c r="T12376" t="s">
        <v>27255</v>
      </c>
    </row>
    <row r="12377" spans="1:20" x14ac:dyDescent="0.3">
      <c r="A12377" t="str">
        <f>"0611836514100"</f>
        <v>0611836514100</v>
      </c>
      <c r="B12377" t="str">
        <f>"LL3969"</f>
        <v>LL3969</v>
      </c>
      <c r="C12377" t="s">
        <v>51171</v>
      </c>
      <c r="D12377" t="s">
        <v>27245</v>
      </c>
      <c r="E12377" t="str">
        <f t="shared" si="193"/>
        <v>001390</v>
      </c>
      <c r="F12377" t="s">
        <v>27246</v>
      </c>
      <c r="G12377" t="s">
        <v>27247</v>
      </c>
      <c r="H12377" t="s">
        <v>27248</v>
      </c>
      <c r="I12377" t="s">
        <v>51172</v>
      </c>
      <c r="J12377" t="s">
        <v>24763</v>
      </c>
      <c r="L12377" t="s">
        <v>27250</v>
      </c>
      <c r="M12377" t="s">
        <v>27251</v>
      </c>
      <c r="N12377" t="s">
        <v>27252</v>
      </c>
      <c r="Q12377" s="1">
        <v>44538</v>
      </c>
      <c r="R12377" t="s">
        <v>27253</v>
      </c>
      <c r="S12377" t="s">
        <v>27254</v>
      </c>
      <c r="T12377" t="s">
        <v>27255</v>
      </c>
    </row>
    <row r="12378" spans="1:20" x14ac:dyDescent="0.3">
      <c r="A12378" t="str">
        <f>"0611836515100"</f>
        <v>0611836515100</v>
      </c>
      <c r="B12378" t="str">
        <f>"LL0015"</f>
        <v>LL0015</v>
      </c>
      <c r="C12378" t="s">
        <v>51173</v>
      </c>
      <c r="D12378" t="s">
        <v>27245</v>
      </c>
      <c r="E12378" t="str">
        <f t="shared" si="193"/>
        <v>001390</v>
      </c>
      <c r="F12378" t="s">
        <v>27246</v>
      </c>
      <c r="G12378" t="s">
        <v>27247</v>
      </c>
      <c r="H12378" t="s">
        <v>27248</v>
      </c>
      <c r="I12378" t="s">
        <v>51174</v>
      </c>
      <c r="J12378" t="s">
        <v>24753</v>
      </c>
      <c r="L12378" t="s">
        <v>27250</v>
      </c>
      <c r="M12378" t="s">
        <v>27251</v>
      </c>
      <c r="N12378" t="s">
        <v>27252</v>
      </c>
      <c r="Q12378" s="1">
        <v>44538</v>
      </c>
      <c r="R12378" t="s">
        <v>27253</v>
      </c>
      <c r="S12378" t="s">
        <v>27254</v>
      </c>
      <c r="T12378" t="s">
        <v>27255</v>
      </c>
    </row>
    <row r="12379" spans="1:20" x14ac:dyDescent="0.3">
      <c r="A12379" t="str">
        <f>"0611836517100"</f>
        <v>0611836517100</v>
      </c>
      <c r="B12379" t="str">
        <f>"LL4325"</f>
        <v>LL4325</v>
      </c>
      <c r="C12379" t="s">
        <v>51175</v>
      </c>
      <c r="D12379" t="s">
        <v>27245</v>
      </c>
      <c r="E12379" t="str">
        <f t="shared" si="193"/>
        <v>001390</v>
      </c>
      <c r="F12379" t="s">
        <v>27246</v>
      </c>
      <c r="G12379" t="s">
        <v>27247</v>
      </c>
      <c r="H12379" t="s">
        <v>27248</v>
      </c>
      <c r="I12379" t="s">
        <v>51176</v>
      </c>
      <c r="J12379" t="s">
        <v>24765</v>
      </c>
      <c r="L12379" t="s">
        <v>27250</v>
      </c>
      <c r="M12379" t="s">
        <v>27251</v>
      </c>
      <c r="N12379" t="s">
        <v>27252</v>
      </c>
      <c r="Q12379" s="1">
        <v>44538</v>
      </c>
      <c r="R12379" t="s">
        <v>27253</v>
      </c>
      <c r="S12379" t="s">
        <v>27254</v>
      </c>
      <c r="T12379" t="s">
        <v>27255</v>
      </c>
    </row>
    <row r="12380" spans="1:20" x14ac:dyDescent="0.3">
      <c r="A12380" t="str">
        <f>"0611836518100"</f>
        <v>0611836518100</v>
      </c>
      <c r="B12380" t="str">
        <f>"LL4330"</f>
        <v>LL4330</v>
      </c>
      <c r="C12380" t="s">
        <v>51177</v>
      </c>
      <c r="D12380" t="s">
        <v>27245</v>
      </c>
      <c r="E12380" t="str">
        <f t="shared" si="193"/>
        <v>001390</v>
      </c>
      <c r="F12380" t="s">
        <v>27246</v>
      </c>
      <c r="G12380" t="s">
        <v>27247</v>
      </c>
      <c r="H12380" t="s">
        <v>27248</v>
      </c>
      <c r="I12380" t="s">
        <v>51178</v>
      </c>
      <c r="J12380" t="s">
        <v>24767</v>
      </c>
      <c r="L12380" t="s">
        <v>27250</v>
      </c>
      <c r="M12380" t="s">
        <v>27251</v>
      </c>
      <c r="N12380" t="s">
        <v>27252</v>
      </c>
      <c r="O12380">
        <v>100</v>
      </c>
      <c r="Q12380" s="1">
        <v>44538</v>
      </c>
      <c r="R12380" t="s">
        <v>27253</v>
      </c>
      <c r="S12380" t="s">
        <v>27254</v>
      </c>
      <c r="T12380" t="s">
        <v>27255</v>
      </c>
    </row>
    <row r="12381" spans="1:20" x14ac:dyDescent="0.3">
      <c r="A12381" t="str">
        <f>"0611836520100"</f>
        <v>0611836520100</v>
      </c>
      <c r="B12381" t="str">
        <f>"LL4333"</f>
        <v>LL4333</v>
      </c>
      <c r="C12381" t="s">
        <v>51179</v>
      </c>
      <c r="D12381" t="s">
        <v>27245</v>
      </c>
      <c r="E12381" t="str">
        <f t="shared" si="193"/>
        <v>001390</v>
      </c>
      <c r="F12381" t="s">
        <v>27246</v>
      </c>
      <c r="G12381" t="s">
        <v>27247</v>
      </c>
      <c r="H12381" t="s">
        <v>27248</v>
      </c>
      <c r="I12381" t="s">
        <v>51180</v>
      </c>
      <c r="J12381" t="s">
        <v>24769</v>
      </c>
      <c r="L12381" t="s">
        <v>27250</v>
      </c>
      <c r="M12381" t="s">
        <v>27251</v>
      </c>
      <c r="N12381" t="s">
        <v>27252</v>
      </c>
      <c r="Q12381" s="1">
        <v>44538</v>
      </c>
      <c r="R12381" t="s">
        <v>27253</v>
      </c>
      <c r="S12381" t="s">
        <v>27254</v>
      </c>
      <c r="T12381" t="s">
        <v>27255</v>
      </c>
    </row>
    <row r="12382" spans="1:20" x14ac:dyDescent="0.3">
      <c r="A12382" t="str">
        <f>"0611836521100"</f>
        <v>0611836521100</v>
      </c>
      <c r="B12382" t="str">
        <f>"LL0080"</f>
        <v>LL0080</v>
      </c>
      <c r="C12382" t="s">
        <v>51181</v>
      </c>
      <c r="D12382" t="s">
        <v>27245</v>
      </c>
      <c r="E12382" t="str">
        <f t="shared" si="193"/>
        <v>001390</v>
      </c>
      <c r="F12382" t="s">
        <v>27246</v>
      </c>
      <c r="G12382" t="s">
        <v>27247</v>
      </c>
      <c r="H12382" t="s">
        <v>27248</v>
      </c>
      <c r="I12382" t="s">
        <v>51182</v>
      </c>
      <c r="J12382" t="s">
        <v>24771</v>
      </c>
      <c r="L12382" t="s">
        <v>27250</v>
      </c>
      <c r="M12382" t="s">
        <v>27251</v>
      </c>
      <c r="N12382" t="s">
        <v>27252</v>
      </c>
      <c r="Q12382" s="1">
        <v>44538</v>
      </c>
      <c r="R12382" t="s">
        <v>27253</v>
      </c>
      <c r="S12382" t="s">
        <v>27254</v>
      </c>
      <c r="T12382" t="s">
        <v>27255</v>
      </c>
    </row>
    <row r="12383" spans="1:20" x14ac:dyDescent="0.3">
      <c r="A12383" t="str">
        <f>"0611839799100"</f>
        <v>0611839799100</v>
      </c>
      <c r="B12383" t="str">
        <f>"LL8256"</f>
        <v>LL8256</v>
      </c>
      <c r="C12383" t="s">
        <v>51183</v>
      </c>
      <c r="D12383" t="s">
        <v>27245</v>
      </c>
      <c r="E12383" t="str">
        <f t="shared" si="193"/>
        <v>001390</v>
      </c>
      <c r="F12383" t="s">
        <v>27246</v>
      </c>
      <c r="G12383" t="s">
        <v>27247</v>
      </c>
      <c r="H12383" t="s">
        <v>27248</v>
      </c>
      <c r="I12383" t="s">
        <v>51184</v>
      </c>
      <c r="J12383" t="s">
        <v>24773</v>
      </c>
      <c r="L12383" t="s">
        <v>27250</v>
      </c>
      <c r="M12383" t="s">
        <v>27251</v>
      </c>
      <c r="N12383" t="s">
        <v>27252</v>
      </c>
      <c r="Q12383" s="1">
        <v>44538</v>
      </c>
      <c r="R12383" t="s">
        <v>27253</v>
      </c>
      <c r="S12383" t="s">
        <v>27254</v>
      </c>
      <c r="T12383" t="s">
        <v>27255</v>
      </c>
    </row>
    <row r="12384" spans="1:20" x14ac:dyDescent="0.3">
      <c r="A12384" t="str">
        <f>"0611836522100"</f>
        <v>0611836522100</v>
      </c>
      <c r="B12384" t="str">
        <f>"LL0197"</f>
        <v>LL0197</v>
      </c>
      <c r="C12384" t="s">
        <v>51185</v>
      </c>
      <c r="D12384" t="s">
        <v>27245</v>
      </c>
      <c r="E12384" t="str">
        <f t="shared" si="193"/>
        <v>001390</v>
      </c>
      <c r="F12384" t="s">
        <v>27246</v>
      </c>
      <c r="G12384" t="s">
        <v>27247</v>
      </c>
      <c r="H12384" t="s">
        <v>27248</v>
      </c>
      <c r="I12384" t="s">
        <v>51186</v>
      </c>
      <c r="J12384" t="s">
        <v>24775</v>
      </c>
      <c r="L12384" t="s">
        <v>27250</v>
      </c>
      <c r="M12384" t="s">
        <v>27251</v>
      </c>
      <c r="N12384" t="s">
        <v>27252</v>
      </c>
      <c r="Q12384" s="1">
        <v>44538</v>
      </c>
      <c r="R12384" t="s">
        <v>27253</v>
      </c>
      <c r="S12384" t="s">
        <v>27254</v>
      </c>
      <c r="T12384" t="s">
        <v>27255</v>
      </c>
    </row>
    <row r="12385" spans="1:20" x14ac:dyDescent="0.3">
      <c r="A12385" t="str">
        <f>"0611836523100"</f>
        <v>0611836523100</v>
      </c>
      <c r="B12385" t="str">
        <f>"LL4862"</f>
        <v>LL4862</v>
      </c>
      <c r="C12385" t="s">
        <v>51187</v>
      </c>
      <c r="D12385" t="s">
        <v>27245</v>
      </c>
      <c r="E12385" t="str">
        <f t="shared" si="193"/>
        <v>001390</v>
      </c>
      <c r="F12385" t="s">
        <v>27246</v>
      </c>
      <c r="G12385" t="s">
        <v>27247</v>
      </c>
      <c r="H12385" t="s">
        <v>27248</v>
      </c>
      <c r="I12385" t="s">
        <v>51188</v>
      </c>
      <c r="J12385" t="s">
        <v>24777</v>
      </c>
      <c r="L12385" t="s">
        <v>27250</v>
      </c>
      <c r="M12385" t="s">
        <v>27251</v>
      </c>
      <c r="N12385" t="s">
        <v>27252</v>
      </c>
      <c r="Q12385" s="1">
        <v>44538</v>
      </c>
      <c r="R12385" t="s">
        <v>27253</v>
      </c>
      <c r="S12385" t="s">
        <v>27254</v>
      </c>
      <c r="T12385" t="s">
        <v>27255</v>
      </c>
    </row>
    <row r="12386" spans="1:20" x14ac:dyDescent="0.3">
      <c r="A12386" t="str">
        <f>"0611839800100"</f>
        <v>0611839800100</v>
      </c>
      <c r="B12386" t="str">
        <f>"LL4335"</f>
        <v>LL4335</v>
      </c>
      <c r="C12386" t="s">
        <v>51189</v>
      </c>
      <c r="D12386" t="s">
        <v>27245</v>
      </c>
      <c r="E12386" t="str">
        <f t="shared" si="193"/>
        <v>001390</v>
      </c>
      <c r="F12386" t="s">
        <v>27246</v>
      </c>
      <c r="G12386" t="s">
        <v>27247</v>
      </c>
      <c r="H12386" t="s">
        <v>27248</v>
      </c>
      <c r="I12386" t="s">
        <v>51190</v>
      </c>
      <c r="J12386" t="s">
        <v>24779</v>
      </c>
      <c r="L12386" t="s">
        <v>27250</v>
      </c>
      <c r="M12386" t="s">
        <v>27251</v>
      </c>
      <c r="N12386" t="s">
        <v>27252</v>
      </c>
      <c r="Q12386" s="1">
        <v>44538</v>
      </c>
      <c r="R12386" t="s">
        <v>27253</v>
      </c>
      <c r="S12386" t="s">
        <v>27254</v>
      </c>
      <c r="T12386" t="s">
        <v>27255</v>
      </c>
    </row>
    <row r="12387" spans="1:20" x14ac:dyDescent="0.3">
      <c r="A12387" t="str">
        <f>"0611836524100"</f>
        <v>0611836524100</v>
      </c>
      <c r="B12387" t="str">
        <f>"LL8341"</f>
        <v>LL8341</v>
      </c>
      <c r="C12387" t="s">
        <v>51191</v>
      </c>
      <c r="D12387" t="s">
        <v>27245</v>
      </c>
      <c r="E12387" t="str">
        <f t="shared" si="193"/>
        <v>001390</v>
      </c>
      <c r="F12387" t="s">
        <v>27246</v>
      </c>
      <c r="G12387" t="s">
        <v>27247</v>
      </c>
      <c r="H12387" t="s">
        <v>27248</v>
      </c>
      <c r="I12387" t="s">
        <v>51192</v>
      </c>
      <c r="J12387" t="s">
        <v>24781</v>
      </c>
      <c r="L12387" t="s">
        <v>27250</v>
      </c>
      <c r="M12387" t="s">
        <v>27251</v>
      </c>
      <c r="N12387" t="s">
        <v>27252</v>
      </c>
      <c r="Q12387" s="1">
        <v>44538</v>
      </c>
      <c r="R12387" t="s">
        <v>27253</v>
      </c>
      <c r="S12387" t="s">
        <v>27254</v>
      </c>
      <c r="T12387" t="s">
        <v>27255</v>
      </c>
    </row>
    <row r="12388" spans="1:20" x14ac:dyDescent="0.3">
      <c r="A12388" t="str">
        <f>"0611836525100"</f>
        <v>0611836525100</v>
      </c>
      <c r="B12388" t="str">
        <f>"LL4005"</f>
        <v>LL4005</v>
      </c>
      <c r="C12388" t="s">
        <v>51193</v>
      </c>
      <c r="D12388" t="s">
        <v>27245</v>
      </c>
      <c r="E12388" t="str">
        <f t="shared" si="193"/>
        <v>001390</v>
      </c>
      <c r="F12388" t="s">
        <v>27246</v>
      </c>
      <c r="G12388" t="s">
        <v>27247</v>
      </c>
      <c r="H12388" t="s">
        <v>27248</v>
      </c>
      <c r="I12388" t="s">
        <v>51194</v>
      </c>
      <c r="J12388" t="s">
        <v>24783</v>
      </c>
      <c r="L12388" t="s">
        <v>27250</v>
      </c>
      <c r="M12388" t="s">
        <v>27251</v>
      </c>
      <c r="N12388" t="s">
        <v>27252</v>
      </c>
      <c r="Q12388" s="1">
        <v>44538</v>
      </c>
      <c r="R12388" t="s">
        <v>27253</v>
      </c>
      <c r="S12388" t="s">
        <v>27254</v>
      </c>
      <c r="T12388" t="s">
        <v>27255</v>
      </c>
    </row>
    <row r="12389" spans="1:20" x14ac:dyDescent="0.3">
      <c r="A12389" t="str">
        <f>"0611839801100"</f>
        <v>0611839801100</v>
      </c>
      <c r="B12389" t="str">
        <f>"LL8257"</f>
        <v>LL8257</v>
      </c>
      <c r="C12389" t="s">
        <v>51195</v>
      </c>
      <c r="D12389" t="s">
        <v>27245</v>
      </c>
      <c r="E12389" t="str">
        <f t="shared" si="193"/>
        <v>001390</v>
      </c>
      <c r="F12389" t="s">
        <v>27246</v>
      </c>
      <c r="G12389" t="s">
        <v>27247</v>
      </c>
      <c r="H12389" t="s">
        <v>27248</v>
      </c>
      <c r="I12389" t="s">
        <v>51196</v>
      </c>
      <c r="J12389" t="s">
        <v>24785</v>
      </c>
      <c r="L12389" t="s">
        <v>27250</v>
      </c>
      <c r="M12389" t="s">
        <v>27251</v>
      </c>
      <c r="N12389" t="s">
        <v>27252</v>
      </c>
      <c r="Q12389" s="1">
        <v>44538</v>
      </c>
      <c r="R12389" t="s">
        <v>27253</v>
      </c>
      <c r="S12389" t="s">
        <v>27254</v>
      </c>
      <c r="T12389" t="s">
        <v>27255</v>
      </c>
    </row>
    <row r="12390" spans="1:20" x14ac:dyDescent="0.3">
      <c r="A12390" t="str">
        <f>"0611836527100"</f>
        <v>0611836527100</v>
      </c>
      <c r="B12390" t="str">
        <f>"LL4346"</f>
        <v>LL4346</v>
      </c>
      <c r="C12390" t="s">
        <v>51197</v>
      </c>
      <c r="D12390" t="s">
        <v>27245</v>
      </c>
      <c r="E12390" t="str">
        <f t="shared" si="193"/>
        <v>001390</v>
      </c>
      <c r="F12390" t="s">
        <v>27246</v>
      </c>
      <c r="G12390" t="s">
        <v>27247</v>
      </c>
      <c r="H12390" t="s">
        <v>27248</v>
      </c>
      <c r="I12390" t="s">
        <v>51198</v>
      </c>
      <c r="J12390" t="s">
        <v>24787</v>
      </c>
      <c r="L12390" t="s">
        <v>27250</v>
      </c>
      <c r="M12390" t="s">
        <v>27251</v>
      </c>
      <c r="N12390" t="s">
        <v>27252</v>
      </c>
      <c r="Q12390" s="1">
        <v>44538</v>
      </c>
      <c r="R12390" t="s">
        <v>27253</v>
      </c>
      <c r="S12390" t="s">
        <v>27254</v>
      </c>
      <c r="T12390" t="s">
        <v>27255</v>
      </c>
    </row>
    <row r="12391" spans="1:20" x14ac:dyDescent="0.3">
      <c r="A12391" t="str">
        <f>"0611836528100"</f>
        <v>0611836528100</v>
      </c>
      <c r="B12391" t="str">
        <f>"LL3934"</f>
        <v>LL3934</v>
      </c>
      <c r="C12391" t="s">
        <v>51199</v>
      </c>
      <c r="D12391" t="s">
        <v>27245</v>
      </c>
      <c r="E12391" t="str">
        <f t="shared" si="193"/>
        <v>001390</v>
      </c>
      <c r="F12391" t="s">
        <v>27246</v>
      </c>
      <c r="G12391" t="s">
        <v>27247</v>
      </c>
      <c r="H12391" t="s">
        <v>27248</v>
      </c>
      <c r="I12391" t="s">
        <v>51200</v>
      </c>
      <c r="J12391" t="s">
        <v>24789</v>
      </c>
      <c r="L12391" t="s">
        <v>27250</v>
      </c>
      <c r="M12391" t="s">
        <v>27251</v>
      </c>
      <c r="N12391" t="s">
        <v>27252</v>
      </c>
      <c r="Q12391" s="1">
        <v>44538</v>
      </c>
      <c r="R12391" t="s">
        <v>27253</v>
      </c>
      <c r="S12391" t="s">
        <v>27254</v>
      </c>
      <c r="T12391" t="s">
        <v>27255</v>
      </c>
    </row>
    <row r="12392" spans="1:20" x14ac:dyDescent="0.3">
      <c r="A12392" t="str">
        <f>"0611836529100"</f>
        <v>0611836529100</v>
      </c>
      <c r="B12392" t="str">
        <f>"LL4041"</f>
        <v>LL4041</v>
      </c>
      <c r="C12392" t="s">
        <v>51201</v>
      </c>
      <c r="D12392" t="s">
        <v>27245</v>
      </c>
      <c r="E12392" t="str">
        <f t="shared" si="193"/>
        <v>001390</v>
      </c>
      <c r="F12392" t="s">
        <v>27246</v>
      </c>
      <c r="G12392" t="s">
        <v>27247</v>
      </c>
      <c r="H12392" t="s">
        <v>27248</v>
      </c>
      <c r="I12392" t="s">
        <v>51202</v>
      </c>
      <c r="J12392" t="s">
        <v>24791</v>
      </c>
      <c r="L12392" t="s">
        <v>27250</v>
      </c>
      <c r="M12392" t="s">
        <v>27251</v>
      </c>
      <c r="N12392" t="s">
        <v>27252</v>
      </c>
      <c r="Q12392" s="1">
        <v>44538</v>
      </c>
      <c r="R12392" t="s">
        <v>27253</v>
      </c>
      <c r="S12392" t="s">
        <v>27254</v>
      </c>
      <c r="T12392" t="s">
        <v>27255</v>
      </c>
    </row>
    <row r="12393" spans="1:20" x14ac:dyDescent="0.3">
      <c r="A12393" t="str">
        <f>"0611836530100"</f>
        <v>0611836530100</v>
      </c>
      <c r="B12393" t="str">
        <f>"LL3930"</f>
        <v>LL3930</v>
      </c>
      <c r="C12393" t="s">
        <v>51203</v>
      </c>
      <c r="D12393" t="s">
        <v>27245</v>
      </c>
      <c r="E12393" t="str">
        <f t="shared" si="193"/>
        <v>001390</v>
      </c>
      <c r="F12393" t="s">
        <v>27246</v>
      </c>
      <c r="G12393" t="s">
        <v>27247</v>
      </c>
      <c r="H12393" t="s">
        <v>27248</v>
      </c>
      <c r="I12393" t="s">
        <v>51204</v>
      </c>
      <c r="J12393" t="s">
        <v>24793</v>
      </c>
      <c r="L12393" t="s">
        <v>27250</v>
      </c>
      <c r="M12393" t="s">
        <v>27251</v>
      </c>
      <c r="N12393" t="s">
        <v>27252</v>
      </c>
      <c r="Q12393" s="1">
        <v>44538</v>
      </c>
      <c r="R12393" t="s">
        <v>27253</v>
      </c>
      <c r="S12393" t="s">
        <v>27254</v>
      </c>
      <c r="T12393" t="s">
        <v>27255</v>
      </c>
    </row>
    <row r="12394" spans="1:20" x14ac:dyDescent="0.3">
      <c r="A12394" t="str">
        <f>"0611836531200"</f>
        <v>0611836531200</v>
      </c>
      <c r="B12394" t="str">
        <f>"KY4046"</f>
        <v>KY4046</v>
      </c>
      <c r="C12394" t="s">
        <v>51203</v>
      </c>
      <c r="D12394" t="s">
        <v>27682</v>
      </c>
      <c r="E12394" t="str">
        <f t="shared" si="193"/>
        <v>001390</v>
      </c>
      <c r="F12394" t="s">
        <v>27246</v>
      </c>
      <c r="G12394" t="s">
        <v>27247</v>
      </c>
      <c r="H12394" t="s">
        <v>27248</v>
      </c>
      <c r="I12394" t="s">
        <v>51205</v>
      </c>
      <c r="J12394" t="s">
        <v>24795</v>
      </c>
      <c r="L12394" t="s">
        <v>27250</v>
      </c>
      <c r="M12394" t="s">
        <v>27251</v>
      </c>
      <c r="N12394" t="s">
        <v>27252</v>
      </c>
      <c r="Q12394" s="1">
        <v>44538</v>
      </c>
      <c r="R12394" t="s">
        <v>27253</v>
      </c>
      <c r="S12394" t="s">
        <v>27254</v>
      </c>
      <c r="T12394" t="s">
        <v>27684</v>
      </c>
    </row>
    <row r="12395" spans="1:20" x14ac:dyDescent="0.3">
      <c r="A12395" t="str">
        <f>"0611836532100"</f>
        <v>0611836532100</v>
      </c>
      <c r="B12395" t="str">
        <f>"LL8097"</f>
        <v>LL8097</v>
      </c>
      <c r="C12395" t="s">
        <v>51206</v>
      </c>
      <c r="D12395" t="s">
        <v>27245</v>
      </c>
      <c r="E12395" t="str">
        <f t="shared" si="193"/>
        <v>001390</v>
      </c>
      <c r="F12395" t="s">
        <v>27246</v>
      </c>
      <c r="G12395" t="s">
        <v>27247</v>
      </c>
      <c r="H12395" t="s">
        <v>27248</v>
      </c>
      <c r="I12395" t="s">
        <v>51207</v>
      </c>
      <c r="J12395" t="s">
        <v>24797</v>
      </c>
      <c r="L12395" t="s">
        <v>27250</v>
      </c>
      <c r="M12395" t="s">
        <v>27251</v>
      </c>
      <c r="N12395" t="s">
        <v>27252</v>
      </c>
      <c r="Q12395" s="1">
        <v>44538</v>
      </c>
      <c r="R12395" t="s">
        <v>27253</v>
      </c>
      <c r="S12395" t="s">
        <v>27254</v>
      </c>
      <c r="T12395" t="s">
        <v>27255</v>
      </c>
    </row>
    <row r="12396" spans="1:20" x14ac:dyDescent="0.3">
      <c r="A12396" t="str">
        <f>"0611836533100"</f>
        <v>0611836533100</v>
      </c>
      <c r="B12396" t="str">
        <f>"LL8098"</f>
        <v>LL8098</v>
      </c>
      <c r="C12396" t="s">
        <v>51208</v>
      </c>
      <c r="D12396" t="s">
        <v>27245</v>
      </c>
      <c r="E12396" t="str">
        <f t="shared" si="193"/>
        <v>001390</v>
      </c>
      <c r="F12396" t="s">
        <v>27246</v>
      </c>
      <c r="G12396" t="s">
        <v>27247</v>
      </c>
      <c r="H12396" t="s">
        <v>27248</v>
      </c>
      <c r="I12396" t="s">
        <v>51209</v>
      </c>
      <c r="J12396" t="s">
        <v>24799</v>
      </c>
      <c r="L12396" t="s">
        <v>27250</v>
      </c>
      <c r="M12396" t="s">
        <v>27251</v>
      </c>
      <c r="N12396" t="s">
        <v>27252</v>
      </c>
      <c r="Q12396" s="1">
        <v>44538</v>
      </c>
      <c r="R12396" t="s">
        <v>27253</v>
      </c>
      <c r="S12396" t="s">
        <v>27254</v>
      </c>
      <c r="T12396" t="s">
        <v>27255</v>
      </c>
    </row>
    <row r="12397" spans="1:20" x14ac:dyDescent="0.3">
      <c r="A12397" t="str">
        <f>"0611836534100"</f>
        <v>0611836534100</v>
      </c>
      <c r="B12397" t="str">
        <f>"LL4354"</f>
        <v>LL4354</v>
      </c>
      <c r="C12397" t="s">
        <v>51210</v>
      </c>
      <c r="D12397" t="s">
        <v>27245</v>
      </c>
      <c r="E12397" t="str">
        <f t="shared" si="193"/>
        <v>001390</v>
      </c>
      <c r="F12397" t="s">
        <v>27246</v>
      </c>
      <c r="G12397" t="s">
        <v>27247</v>
      </c>
      <c r="H12397" t="s">
        <v>27248</v>
      </c>
      <c r="I12397" t="s">
        <v>51211</v>
      </c>
      <c r="J12397" t="s">
        <v>24801</v>
      </c>
      <c r="L12397" t="s">
        <v>27250</v>
      </c>
      <c r="M12397" t="s">
        <v>27251</v>
      </c>
      <c r="N12397" t="s">
        <v>27252</v>
      </c>
      <c r="Q12397" s="1">
        <v>44538</v>
      </c>
      <c r="R12397" t="s">
        <v>27253</v>
      </c>
      <c r="S12397" t="s">
        <v>27254</v>
      </c>
      <c r="T12397" t="s">
        <v>27255</v>
      </c>
    </row>
    <row r="12398" spans="1:20" x14ac:dyDescent="0.3">
      <c r="A12398" t="str">
        <f>"0611836535100"</f>
        <v>0611836535100</v>
      </c>
      <c r="B12398" t="str">
        <f>"LL8099"</f>
        <v>LL8099</v>
      </c>
      <c r="C12398" t="s">
        <v>51212</v>
      </c>
      <c r="D12398" t="s">
        <v>27245</v>
      </c>
      <c r="E12398" t="str">
        <f t="shared" si="193"/>
        <v>001390</v>
      </c>
      <c r="F12398" t="s">
        <v>27246</v>
      </c>
      <c r="G12398" t="s">
        <v>27247</v>
      </c>
      <c r="H12398" t="s">
        <v>27248</v>
      </c>
      <c r="I12398" t="s">
        <v>51213</v>
      </c>
      <c r="J12398" t="s">
        <v>24803</v>
      </c>
      <c r="L12398" t="s">
        <v>27250</v>
      </c>
      <c r="M12398" t="s">
        <v>27251</v>
      </c>
      <c r="N12398" t="s">
        <v>27252</v>
      </c>
      <c r="Q12398" s="1">
        <v>44538</v>
      </c>
      <c r="R12398" t="s">
        <v>27253</v>
      </c>
      <c r="S12398" t="s">
        <v>27254</v>
      </c>
      <c r="T12398" t="s">
        <v>27255</v>
      </c>
    </row>
    <row r="12399" spans="1:20" x14ac:dyDescent="0.3">
      <c r="A12399" t="str">
        <f>"0611836536100"</f>
        <v>0611836536100</v>
      </c>
      <c r="B12399" t="str">
        <f>"LL8132"</f>
        <v>LL8132</v>
      </c>
      <c r="C12399" t="s">
        <v>51214</v>
      </c>
      <c r="D12399" t="s">
        <v>27245</v>
      </c>
      <c r="E12399" t="str">
        <f t="shared" si="193"/>
        <v>001390</v>
      </c>
      <c r="F12399" t="s">
        <v>27246</v>
      </c>
      <c r="G12399" t="s">
        <v>27247</v>
      </c>
      <c r="H12399" t="s">
        <v>27248</v>
      </c>
      <c r="I12399" t="s">
        <v>51215</v>
      </c>
      <c r="J12399" t="s">
        <v>24805</v>
      </c>
      <c r="L12399" t="s">
        <v>27250</v>
      </c>
      <c r="M12399" t="s">
        <v>27251</v>
      </c>
      <c r="N12399" t="s">
        <v>27252</v>
      </c>
      <c r="Q12399" s="1">
        <v>44538</v>
      </c>
      <c r="R12399" t="s">
        <v>27253</v>
      </c>
      <c r="S12399" t="s">
        <v>27254</v>
      </c>
      <c r="T12399" t="s">
        <v>27255</v>
      </c>
    </row>
    <row r="12400" spans="1:20" x14ac:dyDescent="0.3">
      <c r="A12400" t="str">
        <f>"0611836537100"</f>
        <v>0611836537100</v>
      </c>
      <c r="B12400" t="str">
        <f>"LL8100"</f>
        <v>LL8100</v>
      </c>
      <c r="C12400" t="s">
        <v>51216</v>
      </c>
      <c r="D12400" t="s">
        <v>27245</v>
      </c>
      <c r="E12400" t="str">
        <f t="shared" si="193"/>
        <v>001390</v>
      </c>
      <c r="F12400" t="s">
        <v>27246</v>
      </c>
      <c r="G12400" t="s">
        <v>27247</v>
      </c>
      <c r="H12400" t="s">
        <v>27248</v>
      </c>
      <c r="I12400" t="s">
        <v>51217</v>
      </c>
      <c r="J12400" t="s">
        <v>24807</v>
      </c>
      <c r="L12400" t="s">
        <v>27250</v>
      </c>
      <c r="M12400" t="s">
        <v>27251</v>
      </c>
      <c r="N12400" t="s">
        <v>27252</v>
      </c>
      <c r="Q12400" s="1">
        <v>44538</v>
      </c>
      <c r="R12400" t="s">
        <v>27253</v>
      </c>
      <c r="S12400" t="s">
        <v>27254</v>
      </c>
      <c r="T12400" t="s">
        <v>27255</v>
      </c>
    </row>
    <row r="12401" spans="1:20" x14ac:dyDescent="0.3">
      <c r="A12401" t="str">
        <f>"0611836538100"</f>
        <v>0611836538100</v>
      </c>
      <c r="B12401" t="str">
        <f>"LL4352"</f>
        <v>LL4352</v>
      </c>
      <c r="C12401" t="s">
        <v>51218</v>
      </c>
      <c r="D12401" t="s">
        <v>27245</v>
      </c>
      <c r="E12401" t="str">
        <f t="shared" si="193"/>
        <v>001390</v>
      </c>
      <c r="F12401" t="s">
        <v>27246</v>
      </c>
      <c r="G12401" t="s">
        <v>27247</v>
      </c>
      <c r="H12401" t="s">
        <v>27248</v>
      </c>
      <c r="I12401" t="s">
        <v>51219</v>
      </c>
      <c r="J12401" t="s">
        <v>24809</v>
      </c>
      <c r="L12401" t="s">
        <v>27250</v>
      </c>
      <c r="M12401" t="s">
        <v>27251</v>
      </c>
      <c r="N12401" t="s">
        <v>27252</v>
      </c>
      <c r="Q12401" s="1">
        <v>44538</v>
      </c>
      <c r="R12401" t="s">
        <v>27253</v>
      </c>
      <c r="S12401" t="s">
        <v>27254</v>
      </c>
      <c r="T12401" t="s">
        <v>27255</v>
      </c>
    </row>
    <row r="12402" spans="1:20" x14ac:dyDescent="0.3">
      <c r="A12402" t="str">
        <f>"0611836539100"</f>
        <v>0611836539100</v>
      </c>
      <c r="B12402" t="str">
        <f>"LL0081"</f>
        <v>LL0081</v>
      </c>
      <c r="C12402" t="s">
        <v>51220</v>
      </c>
      <c r="D12402" t="s">
        <v>27245</v>
      </c>
      <c r="E12402" t="str">
        <f t="shared" si="193"/>
        <v>001390</v>
      </c>
      <c r="F12402" t="s">
        <v>27246</v>
      </c>
      <c r="G12402" t="s">
        <v>27247</v>
      </c>
      <c r="H12402" t="s">
        <v>27248</v>
      </c>
      <c r="I12402" t="s">
        <v>51221</v>
      </c>
      <c r="J12402" t="s">
        <v>24811</v>
      </c>
      <c r="L12402" t="s">
        <v>27250</v>
      </c>
      <c r="M12402" t="s">
        <v>27251</v>
      </c>
      <c r="N12402" t="s">
        <v>27252</v>
      </c>
      <c r="Q12402" s="1">
        <v>44538</v>
      </c>
      <c r="R12402" t="s">
        <v>27253</v>
      </c>
      <c r="S12402" t="s">
        <v>27254</v>
      </c>
      <c r="T12402" t="s">
        <v>27255</v>
      </c>
    </row>
    <row r="12403" spans="1:20" x14ac:dyDescent="0.3">
      <c r="A12403" t="str">
        <f>"0611836540100"</f>
        <v>0611836540100</v>
      </c>
      <c r="B12403" t="str">
        <f>"LL4355"</f>
        <v>LL4355</v>
      </c>
      <c r="C12403" t="s">
        <v>51222</v>
      </c>
      <c r="D12403" t="s">
        <v>27245</v>
      </c>
      <c r="E12403" t="str">
        <f t="shared" si="193"/>
        <v>001390</v>
      </c>
      <c r="F12403" t="s">
        <v>27246</v>
      </c>
      <c r="G12403" t="s">
        <v>27247</v>
      </c>
      <c r="H12403" t="s">
        <v>27248</v>
      </c>
      <c r="I12403" t="s">
        <v>51223</v>
      </c>
      <c r="J12403" t="s">
        <v>24813</v>
      </c>
      <c r="L12403" t="s">
        <v>27250</v>
      </c>
      <c r="M12403" t="s">
        <v>27251</v>
      </c>
      <c r="N12403" t="s">
        <v>27252</v>
      </c>
      <c r="Q12403" s="1">
        <v>44538</v>
      </c>
      <c r="R12403" t="s">
        <v>27253</v>
      </c>
      <c r="S12403" t="s">
        <v>27254</v>
      </c>
      <c r="T12403" t="s">
        <v>27255</v>
      </c>
    </row>
    <row r="12404" spans="1:20" x14ac:dyDescent="0.3">
      <c r="A12404" t="str">
        <f>"0611836541100"</f>
        <v>0611836541100</v>
      </c>
      <c r="B12404" t="str">
        <f>"LL3902"</f>
        <v>LL3902</v>
      </c>
      <c r="C12404" t="s">
        <v>51224</v>
      </c>
      <c r="D12404" t="s">
        <v>27245</v>
      </c>
      <c r="E12404" t="str">
        <f t="shared" si="193"/>
        <v>001390</v>
      </c>
      <c r="F12404" t="s">
        <v>27246</v>
      </c>
      <c r="G12404" t="s">
        <v>27247</v>
      </c>
      <c r="H12404" t="s">
        <v>27248</v>
      </c>
      <c r="I12404" t="s">
        <v>51225</v>
      </c>
      <c r="J12404" t="s">
        <v>24815</v>
      </c>
      <c r="L12404" t="s">
        <v>27250</v>
      </c>
      <c r="M12404" t="s">
        <v>27251</v>
      </c>
      <c r="N12404" t="s">
        <v>27252</v>
      </c>
      <c r="Q12404" s="1">
        <v>44538</v>
      </c>
      <c r="R12404" t="s">
        <v>27253</v>
      </c>
      <c r="S12404" t="s">
        <v>27254</v>
      </c>
      <c r="T12404" t="s">
        <v>27255</v>
      </c>
    </row>
    <row r="12405" spans="1:20" x14ac:dyDescent="0.3">
      <c r="A12405" t="str">
        <f>"0611836542100"</f>
        <v>0611836542100</v>
      </c>
      <c r="B12405" t="str">
        <f>"LL0082"</f>
        <v>LL0082</v>
      </c>
      <c r="C12405" t="s">
        <v>51226</v>
      </c>
      <c r="D12405" t="s">
        <v>27245</v>
      </c>
      <c r="E12405" t="str">
        <f t="shared" si="193"/>
        <v>001390</v>
      </c>
      <c r="F12405" t="s">
        <v>27246</v>
      </c>
      <c r="G12405" t="s">
        <v>27247</v>
      </c>
      <c r="H12405" t="s">
        <v>27248</v>
      </c>
      <c r="I12405" t="s">
        <v>51227</v>
      </c>
      <c r="J12405" t="s">
        <v>24817</v>
      </c>
      <c r="L12405" t="s">
        <v>27250</v>
      </c>
      <c r="M12405" t="s">
        <v>27251</v>
      </c>
      <c r="N12405" t="s">
        <v>27252</v>
      </c>
      <c r="Q12405" s="1">
        <v>44538</v>
      </c>
      <c r="R12405" t="s">
        <v>27253</v>
      </c>
      <c r="S12405" t="s">
        <v>27254</v>
      </c>
      <c r="T12405" t="s">
        <v>27255</v>
      </c>
    </row>
    <row r="12406" spans="1:20" x14ac:dyDescent="0.3">
      <c r="A12406" t="str">
        <f>"0611836544100"</f>
        <v>0611836544100</v>
      </c>
      <c r="B12406" t="str">
        <f>"LL4043"</f>
        <v>LL4043</v>
      </c>
      <c r="C12406" t="s">
        <v>51228</v>
      </c>
      <c r="D12406" t="s">
        <v>27245</v>
      </c>
      <c r="E12406" t="str">
        <f t="shared" si="193"/>
        <v>001390</v>
      </c>
      <c r="F12406" t="s">
        <v>27246</v>
      </c>
      <c r="G12406" t="s">
        <v>27247</v>
      </c>
      <c r="H12406" t="s">
        <v>27248</v>
      </c>
      <c r="I12406" t="s">
        <v>51229</v>
      </c>
      <c r="J12406" t="s">
        <v>24819</v>
      </c>
      <c r="L12406" t="s">
        <v>27250</v>
      </c>
      <c r="M12406" t="s">
        <v>27251</v>
      </c>
      <c r="N12406" t="s">
        <v>27252</v>
      </c>
      <c r="Q12406" s="1">
        <v>44538</v>
      </c>
      <c r="R12406" t="s">
        <v>27253</v>
      </c>
      <c r="S12406" t="s">
        <v>27254</v>
      </c>
      <c r="T12406" t="s">
        <v>27255</v>
      </c>
    </row>
    <row r="12407" spans="1:20" x14ac:dyDescent="0.3">
      <c r="A12407" t="str">
        <f>"0611836545100"</f>
        <v>0611836545100</v>
      </c>
      <c r="B12407" t="str">
        <f>"LL8101"</f>
        <v>LL8101</v>
      </c>
      <c r="C12407" t="s">
        <v>51230</v>
      </c>
      <c r="D12407" t="s">
        <v>27245</v>
      </c>
      <c r="E12407" t="str">
        <f t="shared" si="193"/>
        <v>001390</v>
      </c>
      <c r="F12407" t="s">
        <v>27246</v>
      </c>
      <c r="G12407" t="s">
        <v>27247</v>
      </c>
      <c r="H12407" t="s">
        <v>27248</v>
      </c>
      <c r="I12407" t="s">
        <v>51231</v>
      </c>
      <c r="J12407" t="s">
        <v>24821</v>
      </c>
      <c r="L12407" t="s">
        <v>27250</v>
      </c>
      <c r="M12407" t="s">
        <v>27251</v>
      </c>
      <c r="N12407" t="s">
        <v>27252</v>
      </c>
      <c r="Q12407" s="1">
        <v>44538</v>
      </c>
      <c r="R12407" t="s">
        <v>27253</v>
      </c>
      <c r="S12407" t="s">
        <v>27254</v>
      </c>
      <c r="T12407" t="s">
        <v>27255</v>
      </c>
    </row>
    <row r="12408" spans="1:20" x14ac:dyDescent="0.3">
      <c r="A12408" t="str">
        <f>"0611836546100"</f>
        <v>0611836546100</v>
      </c>
      <c r="B12408" t="str">
        <f>"LL8133"</f>
        <v>LL8133</v>
      </c>
      <c r="C12408" t="s">
        <v>51232</v>
      </c>
      <c r="D12408" t="s">
        <v>27245</v>
      </c>
      <c r="E12408" t="str">
        <f t="shared" si="193"/>
        <v>001390</v>
      </c>
      <c r="F12408" t="s">
        <v>27246</v>
      </c>
      <c r="G12408" t="s">
        <v>27247</v>
      </c>
      <c r="H12408" t="s">
        <v>27248</v>
      </c>
      <c r="I12408" t="s">
        <v>51233</v>
      </c>
      <c r="J12408" t="s">
        <v>24823</v>
      </c>
      <c r="L12408" t="s">
        <v>27250</v>
      </c>
      <c r="M12408" t="s">
        <v>27251</v>
      </c>
      <c r="N12408" t="s">
        <v>27252</v>
      </c>
      <c r="Q12408" s="1">
        <v>44538</v>
      </c>
      <c r="R12408" t="s">
        <v>27253</v>
      </c>
      <c r="S12408" t="s">
        <v>27254</v>
      </c>
      <c r="T12408" t="s">
        <v>27255</v>
      </c>
    </row>
    <row r="12409" spans="1:20" x14ac:dyDescent="0.3">
      <c r="A12409" t="str">
        <f>"0611836547100"</f>
        <v>0611836547100</v>
      </c>
      <c r="B12409" t="str">
        <f>"LL3922"</f>
        <v>LL3922</v>
      </c>
      <c r="C12409" t="s">
        <v>51234</v>
      </c>
      <c r="D12409" t="s">
        <v>27245</v>
      </c>
      <c r="E12409" t="str">
        <f t="shared" si="193"/>
        <v>001390</v>
      </c>
      <c r="F12409" t="s">
        <v>27246</v>
      </c>
      <c r="G12409" t="s">
        <v>27247</v>
      </c>
      <c r="H12409" t="s">
        <v>27248</v>
      </c>
      <c r="I12409" t="s">
        <v>51235</v>
      </c>
      <c r="J12409" t="s">
        <v>24825</v>
      </c>
      <c r="L12409" t="s">
        <v>27250</v>
      </c>
      <c r="M12409" t="s">
        <v>27251</v>
      </c>
      <c r="N12409" t="s">
        <v>27252</v>
      </c>
      <c r="Q12409" s="1">
        <v>44538</v>
      </c>
      <c r="R12409" t="s">
        <v>27253</v>
      </c>
      <c r="S12409" t="s">
        <v>27254</v>
      </c>
      <c r="T12409" t="s">
        <v>27255</v>
      </c>
    </row>
    <row r="12410" spans="1:20" x14ac:dyDescent="0.3">
      <c r="A12410" t="str">
        <f>"0611836548100"</f>
        <v>0611836548100</v>
      </c>
      <c r="B12410" t="str">
        <f>"LL4406"</f>
        <v>LL4406</v>
      </c>
      <c r="C12410" t="s">
        <v>51236</v>
      </c>
      <c r="D12410" t="s">
        <v>27245</v>
      </c>
      <c r="E12410" t="str">
        <f t="shared" si="193"/>
        <v>001390</v>
      </c>
      <c r="F12410" t="s">
        <v>27246</v>
      </c>
      <c r="G12410" t="s">
        <v>27247</v>
      </c>
      <c r="H12410" t="s">
        <v>27248</v>
      </c>
      <c r="I12410" t="s">
        <v>51237</v>
      </c>
      <c r="J12410" t="s">
        <v>24827</v>
      </c>
      <c r="L12410" t="s">
        <v>27250</v>
      </c>
      <c r="M12410" t="s">
        <v>27251</v>
      </c>
      <c r="N12410" t="s">
        <v>27252</v>
      </c>
      <c r="Q12410" s="1">
        <v>44538</v>
      </c>
      <c r="R12410" t="s">
        <v>27253</v>
      </c>
      <c r="S12410" t="s">
        <v>27254</v>
      </c>
      <c r="T12410" t="s">
        <v>27255</v>
      </c>
    </row>
    <row r="12411" spans="1:20" x14ac:dyDescent="0.3">
      <c r="A12411" t="str">
        <f>"0611836549100"</f>
        <v>0611836549100</v>
      </c>
      <c r="B12411" t="str">
        <f>"LL0084"</f>
        <v>LL0084</v>
      </c>
      <c r="C12411" t="s">
        <v>51238</v>
      </c>
      <c r="D12411" t="s">
        <v>27245</v>
      </c>
      <c r="E12411" t="str">
        <f t="shared" si="193"/>
        <v>001390</v>
      </c>
      <c r="F12411" t="s">
        <v>27246</v>
      </c>
      <c r="G12411" t="s">
        <v>27247</v>
      </c>
      <c r="H12411" t="s">
        <v>27248</v>
      </c>
      <c r="I12411" t="s">
        <v>51239</v>
      </c>
      <c r="J12411" t="s">
        <v>24829</v>
      </c>
      <c r="L12411" t="s">
        <v>27250</v>
      </c>
      <c r="M12411" t="s">
        <v>27251</v>
      </c>
      <c r="N12411" t="s">
        <v>27252</v>
      </c>
      <c r="Q12411" s="1">
        <v>44538</v>
      </c>
      <c r="R12411" t="s">
        <v>27253</v>
      </c>
      <c r="S12411" t="s">
        <v>27254</v>
      </c>
      <c r="T12411" t="s">
        <v>27255</v>
      </c>
    </row>
    <row r="12412" spans="1:20" x14ac:dyDescent="0.3">
      <c r="A12412" t="str">
        <f>"0611836550100"</f>
        <v>0611836550100</v>
      </c>
      <c r="B12412" t="str">
        <f>"LL0144"</f>
        <v>LL0144</v>
      </c>
      <c r="C12412" t="s">
        <v>51240</v>
      </c>
      <c r="D12412" t="s">
        <v>27245</v>
      </c>
      <c r="E12412" t="str">
        <f t="shared" si="193"/>
        <v>001390</v>
      </c>
      <c r="F12412" t="s">
        <v>27246</v>
      </c>
      <c r="G12412" t="s">
        <v>27247</v>
      </c>
      <c r="H12412" t="s">
        <v>27248</v>
      </c>
      <c r="I12412" t="s">
        <v>51241</v>
      </c>
      <c r="J12412" t="s">
        <v>24831</v>
      </c>
      <c r="L12412" t="s">
        <v>27250</v>
      </c>
      <c r="M12412" t="s">
        <v>27251</v>
      </c>
      <c r="N12412" t="s">
        <v>27252</v>
      </c>
      <c r="Q12412" s="1">
        <v>44538</v>
      </c>
      <c r="R12412" t="s">
        <v>27253</v>
      </c>
      <c r="S12412" t="s">
        <v>27254</v>
      </c>
      <c r="T12412" t="s">
        <v>27255</v>
      </c>
    </row>
    <row r="12413" spans="1:20" x14ac:dyDescent="0.3">
      <c r="A12413" t="str">
        <f>"0611836552100"</f>
        <v>0611836552100</v>
      </c>
      <c r="B12413" t="str">
        <f>"LL4426"</f>
        <v>LL4426</v>
      </c>
      <c r="C12413" t="s">
        <v>51242</v>
      </c>
      <c r="D12413" t="s">
        <v>27245</v>
      </c>
      <c r="E12413" t="str">
        <f t="shared" si="193"/>
        <v>001390</v>
      </c>
      <c r="F12413" t="s">
        <v>27246</v>
      </c>
      <c r="G12413" t="s">
        <v>27247</v>
      </c>
      <c r="H12413" t="s">
        <v>27248</v>
      </c>
      <c r="I12413" t="s">
        <v>51243</v>
      </c>
      <c r="J12413" t="s">
        <v>24833</v>
      </c>
      <c r="L12413" t="s">
        <v>27250</v>
      </c>
      <c r="M12413" t="s">
        <v>27251</v>
      </c>
      <c r="N12413" t="s">
        <v>27252</v>
      </c>
      <c r="Q12413" s="1">
        <v>44538</v>
      </c>
      <c r="R12413" t="s">
        <v>27253</v>
      </c>
      <c r="S12413" t="s">
        <v>27254</v>
      </c>
      <c r="T12413" t="s">
        <v>27255</v>
      </c>
    </row>
    <row r="12414" spans="1:20" x14ac:dyDescent="0.3">
      <c r="A12414" t="str">
        <f>"0611836553100"</f>
        <v>0611836553100</v>
      </c>
      <c r="B12414" t="str">
        <f>"LL4436"</f>
        <v>LL4436</v>
      </c>
      <c r="C12414" t="s">
        <v>51244</v>
      </c>
      <c r="D12414" t="s">
        <v>27245</v>
      </c>
      <c r="E12414" t="str">
        <f t="shared" si="193"/>
        <v>001390</v>
      </c>
      <c r="F12414" t="s">
        <v>27246</v>
      </c>
      <c r="G12414" t="s">
        <v>27247</v>
      </c>
      <c r="H12414" t="s">
        <v>27248</v>
      </c>
      <c r="I12414" t="s">
        <v>51245</v>
      </c>
      <c r="J12414" t="s">
        <v>24835</v>
      </c>
      <c r="L12414" t="s">
        <v>27250</v>
      </c>
      <c r="M12414" t="s">
        <v>27251</v>
      </c>
      <c r="N12414" t="s">
        <v>27252</v>
      </c>
      <c r="Q12414" s="1">
        <v>44538</v>
      </c>
      <c r="R12414" t="s">
        <v>27253</v>
      </c>
      <c r="S12414" t="s">
        <v>27254</v>
      </c>
      <c r="T12414" t="s">
        <v>27255</v>
      </c>
    </row>
    <row r="12415" spans="1:20" x14ac:dyDescent="0.3">
      <c r="A12415" t="str">
        <f>"0611836554200"</f>
        <v>0611836554200</v>
      </c>
      <c r="B12415" t="str">
        <f>"KY4436"</f>
        <v>KY4436</v>
      </c>
      <c r="C12415" t="s">
        <v>51244</v>
      </c>
      <c r="D12415" t="s">
        <v>27682</v>
      </c>
      <c r="E12415" t="str">
        <f t="shared" si="193"/>
        <v>001390</v>
      </c>
      <c r="F12415" t="s">
        <v>27246</v>
      </c>
      <c r="G12415" t="s">
        <v>27247</v>
      </c>
      <c r="H12415" t="s">
        <v>27248</v>
      </c>
      <c r="I12415" t="s">
        <v>51246</v>
      </c>
      <c r="J12415" t="s">
        <v>24837</v>
      </c>
      <c r="L12415" t="s">
        <v>27250</v>
      </c>
      <c r="M12415" t="s">
        <v>27251</v>
      </c>
      <c r="N12415" t="s">
        <v>27252</v>
      </c>
      <c r="Q12415" s="1">
        <v>44538</v>
      </c>
      <c r="R12415" t="s">
        <v>27253</v>
      </c>
      <c r="S12415" t="s">
        <v>27254</v>
      </c>
      <c r="T12415" t="s">
        <v>27684</v>
      </c>
    </row>
    <row r="12416" spans="1:20" x14ac:dyDescent="0.3">
      <c r="A12416" t="str">
        <f>"0611836555025"</f>
        <v>0611836555025</v>
      </c>
      <c r="B12416" t="str">
        <f>"MC2322"</f>
        <v>MC2322</v>
      </c>
      <c r="C12416" t="s">
        <v>51244</v>
      </c>
      <c r="D12416" t="s">
        <v>27267</v>
      </c>
      <c r="E12416" t="str">
        <f t="shared" si="193"/>
        <v>001390</v>
      </c>
      <c r="F12416" t="s">
        <v>27246</v>
      </c>
      <c r="G12416" t="s">
        <v>27247</v>
      </c>
      <c r="H12416" t="s">
        <v>27248</v>
      </c>
      <c r="I12416" t="s">
        <v>51247</v>
      </c>
      <c r="J12416" t="s">
        <v>24839</v>
      </c>
      <c r="L12416" t="s">
        <v>27250</v>
      </c>
      <c r="M12416" t="s">
        <v>27251</v>
      </c>
      <c r="N12416" t="s">
        <v>27252</v>
      </c>
      <c r="Q12416" s="1">
        <v>44538</v>
      </c>
      <c r="R12416" t="s">
        <v>27253</v>
      </c>
      <c r="S12416" t="s">
        <v>27254</v>
      </c>
      <c r="T12416" t="s">
        <v>27269</v>
      </c>
    </row>
    <row r="12417" spans="1:20" x14ac:dyDescent="0.3">
      <c r="A12417" t="str">
        <f>"0611836556100"</f>
        <v>0611836556100</v>
      </c>
      <c r="B12417" t="str">
        <f>"LL8334"</f>
        <v>LL8334</v>
      </c>
      <c r="C12417" t="s">
        <v>51248</v>
      </c>
      <c r="D12417" t="s">
        <v>27245</v>
      </c>
      <c r="E12417" t="str">
        <f t="shared" si="193"/>
        <v>001390</v>
      </c>
      <c r="F12417" t="s">
        <v>27246</v>
      </c>
      <c r="G12417" t="s">
        <v>27247</v>
      </c>
      <c r="H12417" t="s">
        <v>27248</v>
      </c>
      <c r="I12417" t="s">
        <v>51249</v>
      </c>
      <c r="J12417" t="s">
        <v>24841</v>
      </c>
      <c r="L12417" t="s">
        <v>27250</v>
      </c>
      <c r="M12417" t="s">
        <v>27251</v>
      </c>
      <c r="N12417" t="s">
        <v>27252</v>
      </c>
      <c r="Q12417" s="1">
        <v>44538</v>
      </c>
      <c r="R12417" t="s">
        <v>27253</v>
      </c>
      <c r="S12417" t="s">
        <v>27254</v>
      </c>
      <c r="T12417" t="s">
        <v>27255</v>
      </c>
    </row>
    <row r="12418" spans="1:20" x14ac:dyDescent="0.3">
      <c r="A12418" t="str">
        <f>"0611836558100"</f>
        <v>0611836558100</v>
      </c>
      <c r="B12418" t="str">
        <f>"LL4435"</f>
        <v>LL4435</v>
      </c>
      <c r="C12418" t="s">
        <v>51250</v>
      </c>
      <c r="D12418" t="s">
        <v>27245</v>
      </c>
      <c r="E12418" t="str">
        <f t="shared" ref="E12418:E12481" si="194">"001390"</f>
        <v>001390</v>
      </c>
      <c r="F12418" t="s">
        <v>27246</v>
      </c>
      <c r="G12418" t="s">
        <v>27247</v>
      </c>
      <c r="H12418" t="s">
        <v>27248</v>
      </c>
      <c r="I12418" t="s">
        <v>51251</v>
      </c>
      <c r="J12418" t="s">
        <v>24843</v>
      </c>
      <c r="L12418" t="s">
        <v>27250</v>
      </c>
      <c r="M12418" t="s">
        <v>27251</v>
      </c>
      <c r="N12418" t="s">
        <v>27252</v>
      </c>
      <c r="Q12418" s="1">
        <v>44538</v>
      </c>
      <c r="R12418" t="s">
        <v>27253</v>
      </c>
      <c r="S12418" t="s">
        <v>27254</v>
      </c>
      <c r="T12418" t="s">
        <v>27255</v>
      </c>
    </row>
    <row r="12419" spans="1:20" x14ac:dyDescent="0.3">
      <c r="A12419" t="str">
        <f>"0611836559100"</f>
        <v>0611836559100</v>
      </c>
      <c r="B12419" t="str">
        <f>"LL8032"</f>
        <v>LL8032</v>
      </c>
      <c r="C12419" t="s">
        <v>51252</v>
      </c>
      <c r="D12419" t="s">
        <v>27245</v>
      </c>
      <c r="E12419" t="str">
        <f t="shared" si="194"/>
        <v>001390</v>
      </c>
      <c r="F12419" t="s">
        <v>27246</v>
      </c>
      <c r="G12419" t="s">
        <v>27247</v>
      </c>
      <c r="H12419" t="s">
        <v>27248</v>
      </c>
      <c r="I12419" t="s">
        <v>51253</v>
      </c>
      <c r="J12419" t="s">
        <v>24845</v>
      </c>
      <c r="L12419" t="s">
        <v>27250</v>
      </c>
      <c r="M12419" t="s">
        <v>27251</v>
      </c>
      <c r="N12419" t="s">
        <v>27252</v>
      </c>
      <c r="Q12419" s="1">
        <v>44538</v>
      </c>
      <c r="R12419" t="s">
        <v>27253</v>
      </c>
      <c r="S12419" t="s">
        <v>27254</v>
      </c>
      <c r="T12419" t="s">
        <v>27255</v>
      </c>
    </row>
    <row r="12420" spans="1:20" x14ac:dyDescent="0.3">
      <c r="A12420" t="str">
        <f>"0611836560100"</f>
        <v>0611836560100</v>
      </c>
      <c r="B12420" t="str">
        <f>"LL0085"</f>
        <v>LL0085</v>
      </c>
      <c r="C12420" t="s">
        <v>51254</v>
      </c>
      <c r="D12420" t="s">
        <v>27245</v>
      </c>
      <c r="E12420" t="str">
        <f t="shared" si="194"/>
        <v>001390</v>
      </c>
      <c r="F12420" t="s">
        <v>27246</v>
      </c>
      <c r="G12420" t="s">
        <v>27247</v>
      </c>
      <c r="H12420" t="s">
        <v>27248</v>
      </c>
      <c r="I12420" t="s">
        <v>51255</v>
      </c>
      <c r="J12420" t="s">
        <v>24847</v>
      </c>
      <c r="L12420" t="s">
        <v>27250</v>
      </c>
      <c r="M12420" t="s">
        <v>27251</v>
      </c>
      <c r="N12420" t="s">
        <v>27252</v>
      </c>
      <c r="Q12420" s="1">
        <v>44538</v>
      </c>
      <c r="R12420" t="s">
        <v>27253</v>
      </c>
      <c r="S12420" t="s">
        <v>27254</v>
      </c>
      <c r="T12420" t="s">
        <v>27255</v>
      </c>
    </row>
    <row r="12421" spans="1:20" x14ac:dyDescent="0.3">
      <c r="A12421" t="str">
        <f>"0611836561100"</f>
        <v>0611836561100</v>
      </c>
      <c r="B12421" t="str">
        <f>"LL4545"</f>
        <v>LL4545</v>
      </c>
      <c r="C12421" t="s">
        <v>51256</v>
      </c>
      <c r="D12421" t="s">
        <v>27245</v>
      </c>
      <c r="E12421" t="str">
        <f t="shared" si="194"/>
        <v>001390</v>
      </c>
      <c r="F12421" t="s">
        <v>27246</v>
      </c>
      <c r="G12421" t="s">
        <v>27247</v>
      </c>
      <c r="H12421" t="s">
        <v>27248</v>
      </c>
      <c r="I12421" t="s">
        <v>51257</v>
      </c>
      <c r="J12421" t="s">
        <v>24849</v>
      </c>
      <c r="L12421" t="s">
        <v>27250</v>
      </c>
      <c r="M12421" t="s">
        <v>27251</v>
      </c>
      <c r="N12421" t="s">
        <v>27252</v>
      </c>
      <c r="Q12421" s="1">
        <v>44538</v>
      </c>
      <c r="R12421" t="s">
        <v>27253</v>
      </c>
      <c r="S12421" t="s">
        <v>27254</v>
      </c>
      <c r="T12421" t="s">
        <v>27255</v>
      </c>
    </row>
    <row r="12422" spans="1:20" x14ac:dyDescent="0.3">
      <c r="A12422" t="str">
        <f>"0611836562100"</f>
        <v>0611836562100</v>
      </c>
      <c r="B12422" t="str">
        <f>"LL4810"</f>
        <v>LL4810</v>
      </c>
      <c r="C12422" t="s">
        <v>51258</v>
      </c>
      <c r="D12422" t="s">
        <v>27245</v>
      </c>
      <c r="E12422" t="str">
        <f t="shared" si="194"/>
        <v>001390</v>
      </c>
      <c r="F12422" t="s">
        <v>27246</v>
      </c>
      <c r="G12422" t="s">
        <v>27247</v>
      </c>
      <c r="H12422" t="s">
        <v>27248</v>
      </c>
      <c r="I12422" t="s">
        <v>51259</v>
      </c>
      <c r="J12422" t="s">
        <v>24851</v>
      </c>
      <c r="L12422" t="s">
        <v>27250</v>
      </c>
      <c r="M12422" t="s">
        <v>27251</v>
      </c>
      <c r="N12422" t="s">
        <v>27252</v>
      </c>
      <c r="Q12422" s="1">
        <v>44538</v>
      </c>
      <c r="R12422" t="s">
        <v>27253</v>
      </c>
      <c r="S12422" t="s">
        <v>27254</v>
      </c>
      <c r="T12422" t="s">
        <v>27255</v>
      </c>
    </row>
    <row r="12423" spans="1:20" x14ac:dyDescent="0.3">
      <c r="A12423" t="str">
        <f>"0611836563100"</f>
        <v>0611836563100</v>
      </c>
      <c r="B12423" t="str">
        <f>"LL4863"</f>
        <v>LL4863</v>
      </c>
      <c r="C12423" t="s">
        <v>51260</v>
      </c>
      <c r="D12423" t="s">
        <v>27245</v>
      </c>
      <c r="E12423" t="str">
        <f t="shared" si="194"/>
        <v>001390</v>
      </c>
      <c r="F12423" t="s">
        <v>27246</v>
      </c>
      <c r="G12423" t="s">
        <v>27247</v>
      </c>
      <c r="H12423" t="s">
        <v>27248</v>
      </c>
      <c r="I12423" t="s">
        <v>51261</v>
      </c>
      <c r="J12423" t="s">
        <v>24853</v>
      </c>
      <c r="L12423" t="s">
        <v>27250</v>
      </c>
      <c r="M12423" t="s">
        <v>27251</v>
      </c>
      <c r="N12423" t="s">
        <v>27252</v>
      </c>
      <c r="Q12423" s="1">
        <v>44538</v>
      </c>
      <c r="R12423" t="s">
        <v>27253</v>
      </c>
      <c r="S12423" t="s">
        <v>27254</v>
      </c>
      <c r="T12423" t="s">
        <v>27255</v>
      </c>
    </row>
    <row r="12424" spans="1:20" x14ac:dyDescent="0.3">
      <c r="A12424" t="str">
        <f>"0611839803100"</f>
        <v>0611839803100</v>
      </c>
      <c r="B12424" t="str">
        <f>"LL8134"</f>
        <v>LL8134</v>
      </c>
      <c r="C12424" t="s">
        <v>51262</v>
      </c>
      <c r="D12424" t="s">
        <v>27245</v>
      </c>
      <c r="E12424" t="str">
        <f t="shared" si="194"/>
        <v>001390</v>
      </c>
      <c r="F12424" t="s">
        <v>27246</v>
      </c>
      <c r="G12424" t="s">
        <v>27247</v>
      </c>
      <c r="H12424" t="s">
        <v>27248</v>
      </c>
      <c r="I12424" t="s">
        <v>51263</v>
      </c>
      <c r="J12424" t="s">
        <v>24855</v>
      </c>
      <c r="L12424" t="s">
        <v>27250</v>
      </c>
      <c r="M12424" t="s">
        <v>27251</v>
      </c>
      <c r="N12424" t="s">
        <v>27252</v>
      </c>
      <c r="Q12424" s="1">
        <v>44538</v>
      </c>
      <c r="R12424" t="s">
        <v>27253</v>
      </c>
      <c r="S12424" t="s">
        <v>27254</v>
      </c>
      <c r="T12424" t="s">
        <v>27255</v>
      </c>
    </row>
    <row r="12425" spans="1:20" x14ac:dyDescent="0.3">
      <c r="A12425" t="str">
        <f>"0611836564100"</f>
        <v>0611836564100</v>
      </c>
      <c r="B12425" t="str">
        <f>"LL4067"</f>
        <v>LL4067</v>
      </c>
      <c r="C12425" t="s">
        <v>51264</v>
      </c>
      <c r="D12425" t="s">
        <v>27245</v>
      </c>
      <c r="E12425" t="str">
        <f t="shared" si="194"/>
        <v>001390</v>
      </c>
      <c r="F12425" t="s">
        <v>27246</v>
      </c>
      <c r="G12425" t="s">
        <v>27247</v>
      </c>
      <c r="H12425" t="s">
        <v>27248</v>
      </c>
      <c r="I12425" t="s">
        <v>51265</v>
      </c>
      <c r="J12425" t="s">
        <v>24857</v>
      </c>
      <c r="L12425" t="s">
        <v>27250</v>
      </c>
      <c r="M12425" t="s">
        <v>27251</v>
      </c>
      <c r="N12425" t="s">
        <v>27252</v>
      </c>
      <c r="Q12425" s="1">
        <v>44538</v>
      </c>
      <c r="R12425" t="s">
        <v>27253</v>
      </c>
      <c r="S12425" t="s">
        <v>27254</v>
      </c>
      <c r="T12425" t="s">
        <v>27255</v>
      </c>
    </row>
    <row r="12426" spans="1:20" x14ac:dyDescent="0.3">
      <c r="A12426" t="str">
        <f>"0611836565100"</f>
        <v>0611836565100</v>
      </c>
      <c r="B12426" t="str">
        <f>"LL4439"</f>
        <v>LL4439</v>
      </c>
      <c r="C12426" t="s">
        <v>51266</v>
      </c>
      <c r="D12426" t="s">
        <v>27245</v>
      </c>
      <c r="E12426" t="str">
        <f t="shared" si="194"/>
        <v>001390</v>
      </c>
      <c r="F12426" t="s">
        <v>27246</v>
      </c>
      <c r="G12426" t="s">
        <v>27247</v>
      </c>
      <c r="H12426" t="s">
        <v>27248</v>
      </c>
      <c r="I12426" t="s">
        <v>51267</v>
      </c>
      <c r="J12426" t="s">
        <v>24859</v>
      </c>
      <c r="L12426" t="s">
        <v>27250</v>
      </c>
      <c r="M12426" t="s">
        <v>27251</v>
      </c>
      <c r="N12426" t="s">
        <v>27252</v>
      </c>
      <c r="Q12426" s="1">
        <v>44538</v>
      </c>
      <c r="R12426" t="s">
        <v>27253</v>
      </c>
      <c r="S12426" t="s">
        <v>27254</v>
      </c>
      <c r="T12426" t="s">
        <v>27255</v>
      </c>
    </row>
    <row r="12427" spans="1:20" x14ac:dyDescent="0.3">
      <c r="A12427" t="str">
        <f>"0611836566100"</f>
        <v>0611836566100</v>
      </c>
      <c r="B12427" t="str">
        <f>"LL5030"</f>
        <v>LL5030</v>
      </c>
      <c r="C12427" t="s">
        <v>51268</v>
      </c>
      <c r="D12427" t="s">
        <v>27245</v>
      </c>
      <c r="E12427" t="str">
        <f t="shared" si="194"/>
        <v>001390</v>
      </c>
      <c r="F12427" t="s">
        <v>27246</v>
      </c>
      <c r="G12427" t="s">
        <v>27247</v>
      </c>
      <c r="H12427" t="s">
        <v>27248</v>
      </c>
      <c r="I12427" t="s">
        <v>51269</v>
      </c>
      <c r="J12427" t="s">
        <v>24861</v>
      </c>
      <c r="L12427" t="s">
        <v>27250</v>
      </c>
      <c r="M12427" t="s">
        <v>27251</v>
      </c>
      <c r="N12427" t="s">
        <v>27252</v>
      </c>
      <c r="Q12427" s="1">
        <v>44538</v>
      </c>
      <c r="R12427" t="s">
        <v>27253</v>
      </c>
      <c r="S12427" t="s">
        <v>27254</v>
      </c>
      <c r="T12427" t="s">
        <v>27255</v>
      </c>
    </row>
    <row r="12428" spans="1:20" x14ac:dyDescent="0.3">
      <c r="A12428" t="str">
        <f>"0611836567100"</f>
        <v>0611836567100</v>
      </c>
      <c r="B12428" t="str">
        <f>"LL4027"</f>
        <v>LL4027</v>
      </c>
      <c r="C12428" t="s">
        <v>51270</v>
      </c>
      <c r="D12428" t="s">
        <v>27245</v>
      </c>
      <c r="E12428" t="str">
        <f t="shared" si="194"/>
        <v>001390</v>
      </c>
      <c r="F12428" t="s">
        <v>27246</v>
      </c>
      <c r="G12428" t="s">
        <v>27247</v>
      </c>
      <c r="H12428" t="s">
        <v>27248</v>
      </c>
      <c r="I12428" t="s">
        <v>51271</v>
      </c>
      <c r="J12428" t="s">
        <v>24863</v>
      </c>
      <c r="L12428" t="s">
        <v>27250</v>
      </c>
      <c r="M12428" t="s">
        <v>27251</v>
      </c>
      <c r="N12428" t="s">
        <v>27252</v>
      </c>
      <c r="Q12428" s="1">
        <v>44538</v>
      </c>
      <c r="R12428" t="s">
        <v>27253</v>
      </c>
      <c r="S12428" t="s">
        <v>27254</v>
      </c>
      <c r="T12428" t="s">
        <v>27255</v>
      </c>
    </row>
    <row r="12429" spans="1:20" x14ac:dyDescent="0.3">
      <c r="A12429" t="str">
        <f>"0611857156100"</f>
        <v>0611857156100</v>
      </c>
      <c r="B12429" t="str">
        <f>"LL5054"</f>
        <v>LL5054</v>
      </c>
      <c r="C12429" t="s">
        <v>51272</v>
      </c>
      <c r="D12429" t="s">
        <v>27245</v>
      </c>
      <c r="E12429" t="str">
        <f t="shared" si="194"/>
        <v>001390</v>
      </c>
      <c r="F12429" t="s">
        <v>27246</v>
      </c>
      <c r="G12429" t="s">
        <v>27247</v>
      </c>
      <c r="H12429" t="s">
        <v>27248</v>
      </c>
      <c r="I12429" t="s">
        <v>51273</v>
      </c>
      <c r="J12429" t="s">
        <v>24865</v>
      </c>
      <c r="L12429" t="s">
        <v>27250</v>
      </c>
      <c r="M12429" t="s">
        <v>27251</v>
      </c>
      <c r="N12429" t="s">
        <v>27252</v>
      </c>
      <c r="Q12429" s="1">
        <v>44812</v>
      </c>
      <c r="R12429" t="s">
        <v>27253</v>
      </c>
      <c r="S12429" t="s">
        <v>27254</v>
      </c>
      <c r="T12429" t="s">
        <v>27255</v>
      </c>
    </row>
    <row r="12430" spans="1:20" x14ac:dyDescent="0.3">
      <c r="A12430" t="str">
        <f>"0611836568100"</f>
        <v>0611836568100</v>
      </c>
      <c r="B12430" t="str">
        <f>"LL4442"</f>
        <v>LL4442</v>
      </c>
      <c r="C12430" t="s">
        <v>51274</v>
      </c>
      <c r="D12430" t="s">
        <v>27245</v>
      </c>
      <c r="E12430" t="str">
        <f t="shared" si="194"/>
        <v>001390</v>
      </c>
      <c r="F12430" t="s">
        <v>27246</v>
      </c>
      <c r="G12430" t="s">
        <v>27247</v>
      </c>
      <c r="H12430" t="s">
        <v>27248</v>
      </c>
      <c r="I12430" t="s">
        <v>51275</v>
      </c>
      <c r="J12430" t="s">
        <v>24867</v>
      </c>
      <c r="L12430" t="s">
        <v>27250</v>
      </c>
      <c r="M12430" t="s">
        <v>27251</v>
      </c>
      <c r="N12430" t="s">
        <v>27252</v>
      </c>
      <c r="Q12430" s="1">
        <v>44538</v>
      </c>
      <c r="R12430" t="s">
        <v>27253</v>
      </c>
      <c r="S12430" t="s">
        <v>27254</v>
      </c>
      <c r="T12430" t="s">
        <v>27255</v>
      </c>
    </row>
    <row r="12431" spans="1:20" x14ac:dyDescent="0.3">
      <c r="A12431" t="str">
        <f>"0611836569100"</f>
        <v>0611836569100</v>
      </c>
      <c r="B12431" t="str">
        <f>"LL4441"</f>
        <v>LL4441</v>
      </c>
      <c r="C12431" t="s">
        <v>51276</v>
      </c>
      <c r="D12431" t="s">
        <v>27245</v>
      </c>
      <c r="E12431" t="str">
        <f t="shared" si="194"/>
        <v>001390</v>
      </c>
      <c r="F12431" t="s">
        <v>27246</v>
      </c>
      <c r="G12431" t="s">
        <v>27247</v>
      </c>
      <c r="H12431" t="s">
        <v>27248</v>
      </c>
      <c r="I12431" t="s">
        <v>51277</v>
      </c>
      <c r="J12431" t="s">
        <v>24869</v>
      </c>
      <c r="L12431" t="s">
        <v>27250</v>
      </c>
      <c r="M12431" t="s">
        <v>27251</v>
      </c>
      <c r="N12431" t="s">
        <v>27252</v>
      </c>
      <c r="Q12431" s="1">
        <v>44538</v>
      </c>
      <c r="R12431" t="s">
        <v>27253</v>
      </c>
      <c r="S12431" t="s">
        <v>27254</v>
      </c>
      <c r="T12431" t="s">
        <v>27255</v>
      </c>
    </row>
    <row r="12432" spans="1:20" x14ac:dyDescent="0.3">
      <c r="A12432" t="str">
        <f>"0611836570100"</f>
        <v>0611836570100</v>
      </c>
      <c r="B12432" t="str">
        <f>"LL4026"</f>
        <v>LL4026</v>
      </c>
      <c r="C12432" t="s">
        <v>51278</v>
      </c>
      <c r="D12432" t="s">
        <v>27245</v>
      </c>
      <c r="E12432" t="str">
        <f t="shared" si="194"/>
        <v>001390</v>
      </c>
      <c r="F12432" t="s">
        <v>27246</v>
      </c>
      <c r="G12432" t="s">
        <v>27247</v>
      </c>
      <c r="H12432" t="s">
        <v>27248</v>
      </c>
      <c r="I12432" t="s">
        <v>51279</v>
      </c>
      <c r="J12432" t="s">
        <v>24871</v>
      </c>
      <c r="L12432" t="s">
        <v>27250</v>
      </c>
      <c r="M12432" t="s">
        <v>27251</v>
      </c>
      <c r="N12432" t="s">
        <v>27252</v>
      </c>
      <c r="Q12432" s="1">
        <v>44538</v>
      </c>
      <c r="R12432" t="s">
        <v>27253</v>
      </c>
      <c r="S12432" t="s">
        <v>27254</v>
      </c>
      <c r="T12432" t="s">
        <v>27255</v>
      </c>
    </row>
    <row r="12433" spans="1:20" x14ac:dyDescent="0.3">
      <c r="A12433" t="str">
        <f>"0611836571100"</f>
        <v>0611836571100</v>
      </c>
      <c r="B12433" t="str">
        <f>"LL4549"</f>
        <v>LL4549</v>
      </c>
      <c r="C12433" t="s">
        <v>51280</v>
      </c>
      <c r="D12433" t="s">
        <v>27245</v>
      </c>
      <c r="E12433" t="str">
        <f t="shared" si="194"/>
        <v>001390</v>
      </c>
      <c r="F12433" t="s">
        <v>27246</v>
      </c>
      <c r="G12433" t="s">
        <v>27247</v>
      </c>
      <c r="H12433" t="s">
        <v>27248</v>
      </c>
      <c r="I12433" t="s">
        <v>51281</v>
      </c>
      <c r="J12433" t="s">
        <v>24873</v>
      </c>
      <c r="L12433" t="s">
        <v>27250</v>
      </c>
      <c r="M12433" t="s">
        <v>27251</v>
      </c>
      <c r="N12433" t="s">
        <v>27252</v>
      </c>
      <c r="Q12433" s="1">
        <v>44538</v>
      </c>
      <c r="R12433" t="s">
        <v>27253</v>
      </c>
      <c r="S12433" t="s">
        <v>27254</v>
      </c>
      <c r="T12433" t="s">
        <v>27255</v>
      </c>
    </row>
    <row r="12434" spans="1:20" x14ac:dyDescent="0.3">
      <c r="A12434" t="str">
        <f>"0611836572100"</f>
        <v>0611836572100</v>
      </c>
      <c r="B12434" t="str">
        <f>"LL4815"</f>
        <v>LL4815</v>
      </c>
      <c r="C12434" t="s">
        <v>51282</v>
      </c>
      <c r="D12434" t="s">
        <v>27245</v>
      </c>
      <c r="E12434" t="str">
        <f t="shared" si="194"/>
        <v>001390</v>
      </c>
      <c r="F12434" t="s">
        <v>27246</v>
      </c>
      <c r="G12434" t="s">
        <v>27247</v>
      </c>
      <c r="H12434" t="s">
        <v>27248</v>
      </c>
      <c r="I12434" t="s">
        <v>51283</v>
      </c>
      <c r="J12434" t="s">
        <v>24875</v>
      </c>
      <c r="L12434" t="s">
        <v>27250</v>
      </c>
      <c r="M12434" t="s">
        <v>27251</v>
      </c>
      <c r="N12434" t="s">
        <v>27252</v>
      </c>
      <c r="Q12434" s="1">
        <v>44538</v>
      </c>
      <c r="R12434" t="s">
        <v>27253</v>
      </c>
      <c r="S12434" t="s">
        <v>27254</v>
      </c>
      <c r="T12434" t="s">
        <v>27255</v>
      </c>
    </row>
    <row r="12435" spans="1:20" x14ac:dyDescent="0.3">
      <c r="A12435" t="str">
        <f>"0611836573100"</f>
        <v>0611836573100</v>
      </c>
      <c r="B12435" t="str">
        <f>"LL3994"</f>
        <v>LL3994</v>
      </c>
      <c r="C12435" t="s">
        <v>51284</v>
      </c>
      <c r="D12435" t="s">
        <v>27245</v>
      </c>
      <c r="E12435" t="str">
        <f t="shared" si="194"/>
        <v>001390</v>
      </c>
      <c r="F12435" t="s">
        <v>27246</v>
      </c>
      <c r="G12435" t="s">
        <v>27247</v>
      </c>
      <c r="H12435" t="s">
        <v>27248</v>
      </c>
      <c r="I12435" t="s">
        <v>51285</v>
      </c>
      <c r="J12435" t="s">
        <v>24877</v>
      </c>
      <c r="L12435" t="s">
        <v>27250</v>
      </c>
      <c r="M12435" t="s">
        <v>27251</v>
      </c>
      <c r="N12435" t="s">
        <v>27252</v>
      </c>
      <c r="Q12435" s="1">
        <v>44538</v>
      </c>
      <c r="R12435" t="s">
        <v>27253</v>
      </c>
      <c r="S12435" t="s">
        <v>27254</v>
      </c>
      <c r="T12435" t="s">
        <v>27255</v>
      </c>
    </row>
    <row r="12436" spans="1:20" x14ac:dyDescent="0.3">
      <c r="A12436" t="str">
        <f>"0611836574100"</f>
        <v>0611836574100</v>
      </c>
      <c r="B12436" t="str">
        <f>"LL4452"</f>
        <v>LL4452</v>
      </c>
      <c r="C12436" t="s">
        <v>51286</v>
      </c>
      <c r="D12436" t="s">
        <v>27245</v>
      </c>
      <c r="E12436" t="str">
        <f t="shared" si="194"/>
        <v>001390</v>
      </c>
      <c r="F12436" t="s">
        <v>27246</v>
      </c>
      <c r="G12436" t="s">
        <v>27247</v>
      </c>
      <c r="H12436" t="s">
        <v>27248</v>
      </c>
      <c r="I12436" t="s">
        <v>51287</v>
      </c>
      <c r="J12436" t="s">
        <v>24879</v>
      </c>
      <c r="L12436" t="s">
        <v>27250</v>
      </c>
      <c r="M12436" t="s">
        <v>27251</v>
      </c>
      <c r="N12436" t="s">
        <v>27252</v>
      </c>
      <c r="Q12436" s="1">
        <v>44538</v>
      </c>
      <c r="R12436" t="s">
        <v>27253</v>
      </c>
      <c r="S12436" t="s">
        <v>27254</v>
      </c>
      <c r="T12436" t="s">
        <v>27255</v>
      </c>
    </row>
    <row r="12437" spans="1:20" x14ac:dyDescent="0.3">
      <c r="A12437" t="str">
        <f>"0611836575100"</f>
        <v>0611836575100</v>
      </c>
      <c r="B12437" t="str">
        <f>"LL8301"</f>
        <v>LL8301</v>
      </c>
      <c r="C12437" t="s">
        <v>51288</v>
      </c>
      <c r="D12437" t="s">
        <v>27245</v>
      </c>
      <c r="E12437" t="str">
        <f t="shared" si="194"/>
        <v>001390</v>
      </c>
      <c r="F12437" t="s">
        <v>27246</v>
      </c>
      <c r="G12437" t="s">
        <v>27247</v>
      </c>
      <c r="H12437" t="s">
        <v>27248</v>
      </c>
      <c r="I12437" t="s">
        <v>51289</v>
      </c>
      <c r="J12437" t="s">
        <v>24881</v>
      </c>
      <c r="L12437" t="s">
        <v>27250</v>
      </c>
      <c r="M12437" t="s">
        <v>27251</v>
      </c>
      <c r="N12437" t="s">
        <v>27252</v>
      </c>
      <c r="Q12437" s="1">
        <v>44538</v>
      </c>
      <c r="R12437" t="s">
        <v>27253</v>
      </c>
      <c r="S12437" t="s">
        <v>27254</v>
      </c>
      <c r="T12437" t="s">
        <v>27255</v>
      </c>
    </row>
    <row r="12438" spans="1:20" x14ac:dyDescent="0.3">
      <c r="A12438" t="str">
        <f>"0611836576100"</f>
        <v>0611836576100</v>
      </c>
      <c r="B12438" t="str">
        <f>"LL5031"</f>
        <v>LL5031</v>
      </c>
      <c r="C12438" t="s">
        <v>51290</v>
      </c>
      <c r="D12438" t="s">
        <v>27245</v>
      </c>
      <c r="E12438" t="str">
        <f t="shared" si="194"/>
        <v>001390</v>
      </c>
      <c r="F12438" t="s">
        <v>27246</v>
      </c>
      <c r="G12438" t="s">
        <v>27247</v>
      </c>
      <c r="H12438" t="s">
        <v>27248</v>
      </c>
      <c r="I12438" t="s">
        <v>51291</v>
      </c>
      <c r="J12438" t="s">
        <v>24883</v>
      </c>
      <c r="L12438" t="s">
        <v>27250</v>
      </c>
      <c r="M12438" t="s">
        <v>27251</v>
      </c>
      <c r="N12438" t="s">
        <v>27252</v>
      </c>
      <c r="Q12438" s="1">
        <v>44538</v>
      </c>
      <c r="R12438" t="s">
        <v>27253</v>
      </c>
      <c r="S12438" t="s">
        <v>27254</v>
      </c>
      <c r="T12438" t="s">
        <v>27255</v>
      </c>
    </row>
    <row r="12439" spans="1:20" x14ac:dyDescent="0.3">
      <c r="A12439" t="str">
        <f>"0611836577100"</f>
        <v>0611836577100</v>
      </c>
      <c r="B12439" t="str">
        <f>"LL1708"</f>
        <v>LL1708</v>
      </c>
      <c r="C12439" t="s">
        <v>51292</v>
      </c>
      <c r="D12439" t="s">
        <v>27245</v>
      </c>
      <c r="E12439" t="str">
        <f t="shared" si="194"/>
        <v>001390</v>
      </c>
      <c r="F12439" t="s">
        <v>27246</v>
      </c>
      <c r="G12439" t="s">
        <v>27247</v>
      </c>
      <c r="H12439" t="s">
        <v>27248</v>
      </c>
      <c r="I12439" t="s">
        <v>51293</v>
      </c>
      <c r="J12439" t="s">
        <v>24885</v>
      </c>
      <c r="L12439" t="s">
        <v>27250</v>
      </c>
      <c r="M12439" t="s">
        <v>27251</v>
      </c>
      <c r="N12439" t="s">
        <v>27252</v>
      </c>
      <c r="Q12439" s="1">
        <v>44538</v>
      </c>
      <c r="R12439" t="s">
        <v>27253</v>
      </c>
      <c r="S12439" t="s">
        <v>27254</v>
      </c>
      <c r="T12439" t="s">
        <v>27255</v>
      </c>
    </row>
    <row r="12440" spans="1:20" x14ac:dyDescent="0.3">
      <c r="A12440" t="str">
        <f>"0611836578100"</f>
        <v>0611836578100</v>
      </c>
      <c r="B12440" t="str">
        <f>"LL3951"</f>
        <v>LL3951</v>
      </c>
      <c r="C12440" t="s">
        <v>51294</v>
      </c>
      <c r="D12440" t="s">
        <v>27245</v>
      </c>
      <c r="E12440" t="str">
        <f t="shared" si="194"/>
        <v>001390</v>
      </c>
      <c r="F12440" t="s">
        <v>27246</v>
      </c>
      <c r="G12440" t="s">
        <v>27247</v>
      </c>
      <c r="H12440" t="s">
        <v>27248</v>
      </c>
      <c r="I12440" t="s">
        <v>51295</v>
      </c>
      <c r="J12440" t="s">
        <v>24887</v>
      </c>
      <c r="L12440" t="s">
        <v>27250</v>
      </c>
      <c r="M12440" t="s">
        <v>27251</v>
      </c>
      <c r="N12440" t="s">
        <v>27252</v>
      </c>
      <c r="Q12440" s="1">
        <v>44538</v>
      </c>
      <c r="R12440" t="s">
        <v>27253</v>
      </c>
      <c r="S12440" t="s">
        <v>27254</v>
      </c>
      <c r="T12440" t="s">
        <v>27255</v>
      </c>
    </row>
    <row r="12441" spans="1:20" x14ac:dyDescent="0.3">
      <c r="A12441" t="str">
        <f>"0611857157100"</f>
        <v>0611857157100</v>
      </c>
      <c r="B12441" t="str">
        <f>"LL5055"</f>
        <v>LL5055</v>
      </c>
      <c r="C12441" t="s">
        <v>51296</v>
      </c>
      <c r="D12441" t="s">
        <v>27245</v>
      </c>
      <c r="E12441" t="str">
        <f t="shared" si="194"/>
        <v>001390</v>
      </c>
      <c r="F12441" t="s">
        <v>27246</v>
      </c>
      <c r="G12441" t="s">
        <v>27247</v>
      </c>
      <c r="H12441" t="s">
        <v>27248</v>
      </c>
      <c r="I12441" t="s">
        <v>51297</v>
      </c>
      <c r="J12441" t="s">
        <v>24889</v>
      </c>
      <c r="L12441" t="s">
        <v>27250</v>
      </c>
      <c r="M12441" t="s">
        <v>27251</v>
      </c>
      <c r="N12441" t="s">
        <v>27252</v>
      </c>
      <c r="Q12441" s="1">
        <v>44812</v>
      </c>
      <c r="R12441" t="s">
        <v>27253</v>
      </c>
      <c r="S12441" t="s">
        <v>27254</v>
      </c>
      <c r="T12441" t="s">
        <v>27255</v>
      </c>
    </row>
    <row r="12442" spans="1:20" x14ac:dyDescent="0.3">
      <c r="A12442" t="str">
        <f>"0611836580100"</f>
        <v>0611836580100</v>
      </c>
      <c r="B12442" t="str">
        <f>"LL4527"</f>
        <v>LL4527</v>
      </c>
      <c r="C12442" t="s">
        <v>51298</v>
      </c>
      <c r="D12442" t="s">
        <v>27245</v>
      </c>
      <c r="E12442" t="str">
        <f t="shared" si="194"/>
        <v>001390</v>
      </c>
      <c r="F12442" t="s">
        <v>27246</v>
      </c>
      <c r="G12442" t="s">
        <v>27247</v>
      </c>
      <c r="H12442" t="s">
        <v>27248</v>
      </c>
      <c r="I12442" t="s">
        <v>51299</v>
      </c>
      <c r="J12442" t="s">
        <v>24891</v>
      </c>
      <c r="L12442" t="s">
        <v>27250</v>
      </c>
      <c r="M12442" t="s">
        <v>27251</v>
      </c>
      <c r="N12442" t="s">
        <v>27252</v>
      </c>
      <c r="Q12442" s="1">
        <v>44538</v>
      </c>
      <c r="R12442" t="s">
        <v>27253</v>
      </c>
      <c r="S12442" t="s">
        <v>27254</v>
      </c>
      <c r="T12442" t="s">
        <v>27255</v>
      </c>
    </row>
    <row r="12443" spans="1:20" x14ac:dyDescent="0.3">
      <c r="A12443" t="str">
        <f>"0611836581100"</f>
        <v>0611836581100</v>
      </c>
      <c r="B12443" t="str">
        <f>"LL8148"</f>
        <v>LL8148</v>
      </c>
      <c r="C12443" t="s">
        <v>51300</v>
      </c>
      <c r="D12443" t="s">
        <v>27245</v>
      </c>
      <c r="E12443" t="str">
        <f t="shared" si="194"/>
        <v>001390</v>
      </c>
      <c r="F12443" t="s">
        <v>27246</v>
      </c>
      <c r="G12443" t="s">
        <v>27247</v>
      </c>
      <c r="H12443" t="s">
        <v>27248</v>
      </c>
      <c r="I12443" t="s">
        <v>51301</v>
      </c>
      <c r="J12443" t="s">
        <v>24893</v>
      </c>
      <c r="L12443" t="s">
        <v>27250</v>
      </c>
      <c r="M12443" t="s">
        <v>27251</v>
      </c>
      <c r="N12443" t="s">
        <v>27252</v>
      </c>
      <c r="Q12443" s="1">
        <v>44538</v>
      </c>
      <c r="R12443" t="s">
        <v>27253</v>
      </c>
      <c r="S12443" t="s">
        <v>27254</v>
      </c>
      <c r="T12443" t="s">
        <v>27255</v>
      </c>
    </row>
    <row r="12444" spans="1:20" x14ac:dyDescent="0.3">
      <c r="A12444" t="str">
        <f>"0611839804100"</f>
        <v>0611839804100</v>
      </c>
      <c r="B12444" t="str">
        <f>"LL0198"</f>
        <v>LL0198</v>
      </c>
      <c r="C12444" t="s">
        <v>51302</v>
      </c>
      <c r="D12444" t="s">
        <v>27245</v>
      </c>
      <c r="E12444" t="str">
        <f t="shared" si="194"/>
        <v>001390</v>
      </c>
      <c r="F12444" t="s">
        <v>27246</v>
      </c>
      <c r="G12444" t="s">
        <v>27247</v>
      </c>
      <c r="H12444" t="s">
        <v>27248</v>
      </c>
      <c r="I12444" t="s">
        <v>51303</v>
      </c>
      <c r="J12444" t="s">
        <v>24905</v>
      </c>
      <c r="L12444" t="s">
        <v>27250</v>
      </c>
      <c r="M12444" t="s">
        <v>27251</v>
      </c>
      <c r="N12444" t="s">
        <v>27252</v>
      </c>
      <c r="Q12444" s="1">
        <v>44538</v>
      </c>
      <c r="R12444" t="s">
        <v>27253</v>
      </c>
      <c r="S12444" t="s">
        <v>27254</v>
      </c>
      <c r="T12444" t="s">
        <v>27255</v>
      </c>
    </row>
    <row r="12445" spans="1:20" x14ac:dyDescent="0.3">
      <c r="A12445" t="str">
        <f>"0611836582100"</f>
        <v>0611836582100</v>
      </c>
      <c r="B12445" t="str">
        <f>"LL8102"</f>
        <v>LL8102</v>
      </c>
      <c r="C12445" t="s">
        <v>51304</v>
      </c>
      <c r="D12445" t="s">
        <v>27245</v>
      </c>
      <c r="E12445" t="str">
        <f t="shared" si="194"/>
        <v>001390</v>
      </c>
      <c r="F12445" t="s">
        <v>27246</v>
      </c>
      <c r="G12445" t="s">
        <v>27247</v>
      </c>
      <c r="H12445" t="s">
        <v>27248</v>
      </c>
      <c r="I12445" t="s">
        <v>51305</v>
      </c>
      <c r="J12445" t="s">
        <v>24897</v>
      </c>
      <c r="L12445" t="s">
        <v>27250</v>
      </c>
      <c r="M12445" t="s">
        <v>27251</v>
      </c>
      <c r="N12445" t="s">
        <v>27252</v>
      </c>
      <c r="Q12445" s="1">
        <v>44538</v>
      </c>
      <c r="R12445" t="s">
        <v>27253</v>
      </c>
      <c r="S12445" t="s">
        <v>27254</v>
      </c>
      <c r="T12445" t="s">
        <v>27255</v>
      </c>
    </row>
    <row r="12446" spans="1:20" x14ac:dyDescent="0.3">
      <c r="A12446" t="str">
        <f>"0611836583100"</f>
        <v>0611836583100</v>
      </c>
      <c r="B12446" t="str">
        <f>"LL8103"</f>
        <v>LL8103</v>
      </c>
      <c r="C12446" t="s">
        <v>51306</v>
      </c>
      <c r="D12446" t="s">
        <v>28138</v>
      </c>
      <c r="E12446" t="str">
        <f t="shared" si="194"/>
        <v>001390</v>
      </c>
      <c r="F12446" t="s">
        <v>27246</v>
      </c>
      <c r="G12446" t="s">
        <v>27247</v>
      </c>
      <c r="H12446" t="s">
        <v>27248</v>
      </c>
      <c r="I12446" t="s">
        <v>51307</v>
      </c>
      <c r="J12446" t="s">
        <v>24899</v>
      </c>
      <c r="L12446" t="s">
        <v>27250</v>
      </c>
      <c r="M12446" t="s">
        <v>27251</v>
      </c>
      <c r="N12446" t="s">
        <v>27252</v>
      </c>
      <c r="P12446" t="s">
        <v>27925</v>
      </c>
      <c r="Q12446" s="1">
        <v>44538</v>
      </c>
      <c r="R12446" t="s">
        <v>27253</v>
      </c>
      <c r="S12446" t="s">
        <v>27254</v>
      </c>
      <c r="T12446" t="s">
        <v>27255</v>
      </c>
    </row>
    <row r="12447" spans="1:20" x14ac:dyDescent="0.3">
      <c r="A12447" t="str">
        <f>"0611836584100"</f>
        <v>0611836584100</v>
      </c>
      <c r="B12447" t="str">
        <f>"LL0036"</f>
        <v>LL0036</v>
      </c>
      <c r="C12447" t="s">
        <v>51308</v>
      </c>
      <c r="D12447" t="s">
        <v>27245</v>
      </c>
      <c r="E12447" t="str">
        <f t="shared" si="194"/>
        <v>001390</v>
      </c>
      <c r="F12447" t="s">
        <v>27246</v>
      </c>
      <c r="G12447" t="s">
        <v>27247</v>
      </c>
      <c r="H12447" t="s">
        <v>27248</v>
      </c>
      <c r="I12447" t="s">
        <v>51309</v>
      </c>
      <c r="J12447" t="s">
        <v>24901</v>
      </c>
      <c r="L12447" t="s">
        <v>27250</v>
      </c>
      <c r="M12447" t="s">
        <v>27251</v>
      </c>
      <c r="N12447" t="s">
        <v>27252</v>
      </c>
      <c r="Q12447" s="1">
        <v>44538</v>
      </c>
      <c r="R12447" t="s">
        <v>27253</v>
      </c>
      <c r="S12447" t="s">
        <v>27254</v>
      </c>
      <c r="T12447" t="s">
        <v>27255</v>
      </c>
    </row>
    <row r="12448" spans="1:20" x14ac:dyDescent="0.3">
      <c r="A12448" t="str">
        <f>"0611836585100"</f>
        <v>0611836585100</v>
      </c>
      <c r="B12448" t="str">
        <f>"LL0053"</f>
        <v>LL0053</v>
      </c>
      <c r="C12448" t="s">
        <v>51310</v>
      </c>
      <c r="D12448" t="s">
        <v>27245</v>
      </c>
      <c r="E12448" t="str">
        <f t="shared" si="194"/>
        <v>001390</v>
      </c>
      <c r="F12448" t="s">
        <v>27246</v>
      </c>
      <c r="G12448" t="s">
        <v>27247</v>
      </c>
      <c r="H12448" t="s">
        <v>27248</v>
      </c>
      <c r="I12448" t="s">
        <v>51311</v>
      </c>
      <c r="J12448" t="s">
        <v>24903</v>
      </c>
      <c r="L12448" t="s">
        <v>27250</v>
      </c>
      <c r="M12448" t="s">
        <v>27251</v>
      </c>
      <c r="N12448" t="s">
        <v>27252</v>
      </c>
      <c r="Q12448" s="1">
        <v>44538</v>
      </c>
      <c r="R12448" t="s">
        <v>27253</v>
      </c>
      <c r="S12448" t="s">
        <v>27254</v>
      </c>
      <c r="T12448" t="s">
        <v>27255</v>
      </c>
    </row>
    <row r="12449" spans="1:20" x14ac:dyDescent="0.3">
      <c r="A12449" t="str">
        <f>"0611836586100"</f>
        <v>0611836586100</v>
      </c>
      <c r="B12449" t="str">
        <f>"LL4534"</f>
        <v>LL4534</v>
      </c>
      <c r="C12449" t="s">
        <v>51312</v>
      </c>
      <c r="D12449" t="s">
        <v>27245</v>
      </c>
      <c r="E12449" t="str">
        <f t="shared" si="194"/>
        <v>001390</v>
      </c>
      <c r="F12449" t="s">
        <v>27246</v>
      </c>
      <c r="G12449" t="s">
        <v>27247</v>
      </c>
      <c r="H12449" t="s">
        <v>27248</v>
      </c>
      <c r="I12449" t="s">
        <v>51313</v>
      </c>
      <c r="J12449" t="s">
        <v>24895</v>
      </c>
      <c r="L12449" t="s">
        <v>27250</v>
      </c>
      <c r="M12449" t="s">
        <v>27251</v>
      </c>
      <c r="N12449" t="s">
        <v>27252</v>
      </c>
      <c r="Q12449" s="1">
        <v>44538</v>
      </c>
      <c r="R12449" t="s">
        <v>27253</v>
      </c>
      <c r="S12449" t="s">
        <v>27254</v>
      </c>
      <c r="T12449" t="s">
        <v>27255</v>
      </c>
    </row>
    <row r="12450" spans="1:20" x14ac:dyDescent="0.3">
      <c r="A12450" t="str">
        <f>"0611836587100"</f>
        <v>0611836587100</v>
      </c>
      <c r="B12450" t="str">
        <f>"LL3945"</f>
        <v>LL3945</v>
      </c>
      <c r="C12450" t="s">
        <v>51314</v>
      </c>
      <c r="D12450" t="s">
        <v>27245</v>
      </c>
      <c r="E12450" t="str">
        <f t="shared" si="194"/>
        <v>001390</v>
      </c>
      <c r="F12450" t="s">
        <v>27246</v>
      </c>
      <c r="G12450" t="s">
        <v>27247</v>
      </c>
      <c r="H12450" t="s">
        <v>27248</v>
      </c>
      <c r="I12450" t="s">
        <v>51315</v>
      </c>
      <c r="J12450" t="s">
        <v>24907</v>
      </c>
      <c r="L12450" t="s">
        <v>27250</v>
      </c>
      <c r="M12450" t="s">
        <v>27251</v>
      </c>
      <c r="N12450" t="s">
        <v>27252</v>
      </c>
      <c r="Q12450" s="1">
        <v>44538</v>
      </c>
      <c r="R12450" t="s">
        <v>27253</v>
      </c>
      <c r="S12450" t="s">
        <v>27254</v>
      </c>
      <c r="T12450" t="s">
        <v>27255</v>
      </c>
    </row>
    <row r="12451" spans="1:20" x14ac:dyDescent="0.3">
      <c r="A12451" t="str">
        <f>"0611836588100"</f>
        <v>0611836588100</v>
      </c>
      <c r="B12451" t="str">
        <f>"LL8260"</f>
        <v>LL8260</v>
      </c>
      <c r="C12451" t="s">
        <v>51316</v>
      </c>
      <c r="D12451" t="s">
        <v>27245</v>
      </c>
      <c r="E12451" t="str">
        <f t="shared" si="194"/>
        <v>001390</v>
      </c>
      <c r="F12451" t="s">
        <v>27246</v>
      </c>
      <c r="G12451" t="s">
        <v>27247</v>
      </c>
      <c r="H12451" t="s">
        <v>27248</v>
      </c>
      <c r="I12451" t="s">
        <v>51317</v>
      </c>
      <c r="J12451" t="s">
        <v>24909</v>
      </c>
      <c r="L12451" t="s">
        <v>27250</v>
      </c>
      <c r="M12451" t="s">
        <v>27251</v>
      </c>
      <c r="N12451" t="s">
        <v>27252</v>
      </c>
      <c r="Q12451" s="1">
        <v>44538</v>
      </c>
      <c r="R12451" t="s">
        <v>27253</v>
      </c>
      <c r="S12451" t="s">
        <v>27254</v>
      </c>
      <c r="T12451" t="s">
        <v>27255</v>
      </c>
    </row>
    <row r="12452" spans="1:20" x14ac:dyDescent="0.3">
      <c r="A12452" t="str">
        <f>"0611836589100"</f>
        <v>0611836589100</v>
      </c>
      <c r="B12452" t="str">
        <f>"LL4557"</f>
        <v>LL4557</v>
      </c>
      <c r="C12452" t="s">
        <v>51318</v>
      </c>
      <c r="D12452" t="s">
        <v>27245</v>
      </c>
      <c r="E12452" t="str">
        <f t="shared" si="194"/>
        <v>001390</v>
      </c>
      <c r="F12452" t="s">
        <v>27246</v>
      </c>
      <c r="G12452" t="s">
        <v>27247</v>
      </c>
      <c r="H12452" t="s">
        <v>27248</v>
      </c>
      <c r="I12452" t="s">
        <v>51319</v>
      </c>
      <c r="J12452" t="s">
        <v>24911</v>
      </c>
      <c r="L12452" t="s">
        <v>27250</v>
      </c>
      <c r="M12452" t="s">
        <v>27251</v>
      </c>
      <c r="N12452" t="s">
        <v>27252</v>
      </c>
      <c r="O12452">
        <v>300</v>
      </c>
      <c r="Q12452" s="1">
        <v>44538</v>
      </c>
      <c r="R12452" t="s">
        <v>27253</v>
      </c>
      <c r="S12452" t="s">
        <v>27254</v>
      </c>
      <c r="T12452" t="s">
        <v>27255</v>
      </c>
    </row>
    <row r="12453" spans="1:20" x14ac:dyDescent="0.3">
      <c r="A12453" t="str">
        <f>"0611836590200"</f>
        <v>0611836590200</v>
      </c>
      <c r="B12453" t="str">
        <f>"KY4557"</f>
        <v>KY4557</v>
      </c>
      <c r="C12453" t="s">
        <v>51318</v>
      </c>
      <c r="D12453" t="s">
        <v>27682</v>
      </c>
      <c r="E12453" t="str">
        <f t="shared" si="194"/>
        <v>001390</v>
      </c>
      <c r="F12453" t="s">
        <v>27246</v>
      </c>
      <c r="G12453" t="s">
        <v>27247</v>
      </c>
      <c r="H12453" t="s">
        <v>27248</v>
      </c>
      <c r="I12453" t="s">
        <v>51320</v>
      </c>
      <c r="J12453" t="s">
        <v>24913</v>
      </c>
      <c r="L12453" t="s">
        <v>27250</v>
      </c>
      <c r="M12453" t="s">
        <v>27251</v>
      </c>
      <c r="N12453" t="s">
        <v>27252</v>
      </c>
      <c r="Q12453" s="1">
        <v>44538</v>
      </c>
      <c r="R12453" t="s">
        <v>27253</v>
      </c>
      <c r="S12453" t="s">
        <v>27254</v>
      </c>
      <c r="T12453" t="s">
        <v>27684</v>
      </c>
    </row>
    <row r="12454" spans="1:20" x14ac:dyDescent="0.3">
      <c r="A12454" t="str">
        <f>"0611836591100"</f>
        <v>0611836591100</v>
      </c>
      <c r="B12454" t="str">
        <f>"LL4559"</f>
        <v>LL4559</v>
      </c>
      <c r="C12454" t="s">
        <v>51321</v>
      </c>
      <c r="D12454" t="s">
        <v>27245</v>
      </c>
      <c r="E12454" t="str">
        <f t="shared" si="194"/>
        <v>001390</v>
      </c>
      <c r="F12454" t="s">
        <v>27246</v>
      </c>
      <c r="G12454" t="s">
        <v>27247</v>
      </c>
      <c r="H12454" t="s">
        <v>27248</v>
      </c>
      <c r="I12454" t="s">
        <v>51322</v>
      </c>
      <c r="J12454" t="s">
        <v>24915</v>
      </c>
      <c r="L12454" t="s">
        <v>27250</v>
      </c>
      <c r="M12454" t="s">
        <v>27251</v>
      </c>
      <c r="N12454" t="s">
        <v>27252</v>
      </c>
      <c r="Q12454" s="1">
        <v>44538</v>
      </c>
      <c r="R12454" t="s">
        <v>27253</v>
      </c>
      <c r="S12454" t="s">
        <v>27254</v>
      </c>
      <c r="T12454" t="s">
        <v>27255</v>
      </c>
    </row>
    <row r="12455" spans="1:20" x14ac:dyDescent="0.3">
      <c r="A12455" t="str">
        <f>"0611836592100"</f>
        <v>0611836592100</v>
      </c>
      <c r="B12455" t="str">
        <f>"LL4562"</f>
        <v>LL4562</v>
      </c>
      <c r="C12455" t="s">
        <v>51323</v>
      </c>
      <c r="D12455" t="s">
        <v>27245</v>
      </c>
      <c r="E12455" t="str">
        <f t="shared" si="194"/>
        <v>001390</v>
      </c>
      <c r="F12455" t="s">
        <v>27246</v>
      </c>
      <c r="G12455" t="s">
        <v>27247</v>
      </c>
      <c r="H12455" t="s">
        <v>27248</v>
      </c>
      <c r="I12455" t="s">
        <v>51324</v>
      </c>
      <c r="J12455" t="s">
        <v>24917</v>
      </c>
      <c r="L12455" t="s">
        <v>27250</v>
      </c>
      <c r="M12455" t="s">
        <v>27251</v>
      </c>
      <c r="N12455" t="s">
        <v>27252</v>
      </c>
      <c r="Q12455" s="1">
        <v>44538</v>
      </c>
      <c r="R12455" t="s">
        <v>27253</v>
      </c>
      <c r="S12455" t="s">
        <v>27254</v>
      </c>
      <c r="T12455" t="s">
        <v>27255</v>
      </c>
    </row>
    <row r="12456" spans="1:20" x14ac:dyDescent="0.3">
      <c r="A12456" t="str">
        <f>"0611836593100"</f>
        <v>0611836593100</v>
      </c>
      <c r="B12456" t="str">
        <f>"LL0017"</f>
        <v>LL0017</v>
      </c>
      <c r="C12456" t="s">
        <v>51325</v>
      </c>
      <c r="D12456" t="s">
        <v>27245</v>
      </c>
      <c r="E12456" t="str">
        <f t="shared" si="194"/>
        <v>001390</v>
      </c>
      <c r="F12456" t="s">
        <v>27246</v>
      </c>
      <c r="G12456" t="s">
        <v>27247</v>
      </c>
      <c r="H12456" t="s">
        <v>27248</v>
      </c>
      <c r="I12456" t="s">
        <v>51326</v>
      </c>
      <c r="J12456" t="s">
        <v>24919</v>
      </c>
      <c r="L12456" t="s">
        <v>27250</v>
      </c>
      <c r="M12456" t="s">
        <v>27251</v>
      </c>
      <c r="N12456" t="s">
        <v>27252</v>
      </c>
      <c r="Q12456" s="1">
        <v>44538</v>
      </c>
      <c r="R12456" t="s">
        <v>27253</v>
      </c>
      <c r="S12456" t="s">
        <v>27254</v>
      </c>
      <c r="T12456" t="s">
        <v>27255</v>
      </c>
    </row>
    <row r="12457" spans="1:20" x14ac:dyDescent="0.3">
      <c r="A12457" t="str">
        <f>"0611836594100"</f>
        <v>0611836594100</v>
      </c>
      <c r="B12457" t="str">
        <f>"LL4570"</f>
        <v>LL4570</v>
      </c>
      <c r="C12457" t="s">
        <v>51327</v>
      </c>
      <c r="D12457" t="s">
        <v>27245</v>
      </c>
      <c r="E12457" t="str">
        <f t="shared" si="194"/>
        <v>001390</v>
      </c>
      <c r="F12457" t="s">
        <v>27246</v>
      </c>
      <c r="G12457" t="s">
        <v>27247</v>
      </c>
      <c r="H12457" t="s">
        <v>27248</v>
      </c>
      <c r="I12457" t="s">
        <v>51328</v>
      </c>
      <c r="J12457" t="s">
        <v>24921</v>
      </c>
      <c r="L12457" t="s">
        <v>27250</v>
      </c>
      <c r="M12457" t="s">
        <v>27251</v>
      </c>
      <c r="N12457" t="s">
        <v>27252</v>
      </c>
      <c r="Q12457" s="1">
        <v>44538</v>
      </c>
      <c r="R12457" t="s">
        <v>27253</v>
      </c>
      <c r="S12457" t="s">
        <v>27254</v>
      </c>
      <c r="T12457" t="s">
        <v>27255</v>
      </c>
    </row>
    <row r="12458" spans="1:20" x14ac:dyDescent="0.3">
      <c r="A12458" t="str">
        <f>"0611836595200"</f>
        <v>0611836595200</v>
      </c>
      <c r="B12458" t="str">
        <f>"KY4570"</f>
        <v>KY4570</v>
      </c>
      <c r="C12458" t="s">
        <v>51327</v>
      </c>
      <c r="D12458" t="s">
        <v>27682</v>
      </c>
      <c r="E12458" t="str">
        <f t="shared" si="194"/>
        <v>001390</v>
      </c>
      <c r="F12458" t="s">
        <v>27246</v>
      </c>
      <c r="G12458" t="s">
        <v>27247</v>
      </c>
      <c r="H12458" t="s">
        <v>27248</v>
      </c>
      <c r="I12458" t="s">
        <v>51329</v>
      </c>
      <c r="J12458" t="s">
        <v>24923</v>
      </c>
      <c r="L12458" t="s">
        <v>27250</v>
      </c>
      <c r="M12458" t="s">
        <v>27251</v>
      </c>
      <c r="N12458" t="s">
        <v>27252</v>
      </c>
      <c r="Q12458" s="1">
        <v>44538</v>
      </c>
      <c r="R12458" t="s">
        <v>27253</v>
      </c>
      <c r="S12458" t="s">
        <v>27254</v>
      </c>
      <c r="T12458" t="s">
        <v>27684</v>
      </c>
    </row>
    <row r="12459" spans="1:20" x14ac:dyDescent="0.3">
      <c r="A12459" t="str">
        <f>"0611836596100"</f>
        <v>0611836596100</v>
      </c>
      <c r="B12459" t="str">
        <f>"LL0199"</f>
        <v>LL0199</v>
      </c>
      <c r="C12459" t="s">
        <v>51330</v>
      </c>
      <c r="D12459" t="s">
        <v>27245</v>
      </c>
      <c r="E12459" t="str">
        <f t="shared" si="194"/>
        <v>001390</v>
      </c>
      <c r="F12459" t="s">
        <v>27246</v>
      </c>
      <c r="G12459" t="s">
        <v>27247</v>
      </c>
      <c r="H12459" t="s">
        <v>27248</v>
      </c>
      <c r="I12459" t="s">
        <v>51331</v>
      </c>
      <c r="J12459" t="s">
        <v>24925</v>
      </c>
      <c r="L12459" t="s">
        <v>27250</v>
      </c>
      <c r="M12459" t="s">
        <v>27251</v>
      </c>
      <c r="N12459" t="s">
        <v>27252</v>
      </c>
      <c r="Q12459" s="1">
        <v>44538</v>
      </c>
      <c r="R12459" t="s">
        <v>27253</v>
      </c>
      <c r="S12459" t="s">
        <v>27254</v>
      </c>
      <c r="T12459" t="s">
        <v>27255</v>
      </c>
    </row>
    <row r="12460" spans="1:20" x14ac:dyDescent="0.3">
      <c r="A12460" t="str">
        <f>"0611836597100"</f>
        <v>0611836597100</v>
      </c>
      <c r="B12460" t="str">
        <f>"LL4573"</f>
        <v>LL4573</v>
      </c>
      <c r="C12460" t="s">
        <v>51332</v>
      </c>
      <c r="D12460" t="s">
        <v>27245</v>
      </c>
      <c r="E12460" t="str">
        <f t="shared" si="194"/>
        <v>001390</v>
      </c>
      <c r="F12460" t="s">
        <v>27246</v>
      </c>
      <c r="G12460" t="s">
        <v>27247</v>
      </c>
      <c r="H12460" t="s">
        <v>27248</v>
      </c>
      <c r="I12460" t="s">
        <v>51333</v>
      </c>
      <c r="J12460" t="s">
        <v>24927</v>
      </c>
      <c r="L12460" t="s">
        <v>27250</v>
      </c>
      <c r="M12460" t="s">
        <v>27251</v>
      </c>
      <c r="N12460" t="s">
        <v>27252</v>
      </c>
      <c r="Q12460" s="1">
        <v>44538</v>
      </c>
      <c r="R12460" t="s">
        <v>27253</v>
      </c>
      <c r="S12460" t="s">
        <v>27254</v>
      </c>
      <c r="T12460" t="s">
        <v>27255</v>
      </c>
    </row>
    <row r="12461" spans="1:20" x14ac:dyDescent="0.3">
      <c r="A12461" t="str">
        <f>"0611836598100"</f>
        <v>0611836598100</v>
      </c>
      <c r="B12461" t="str">
        <f>"LL4622"</f>
        <v>LL4622</v>
      </c>
      <c r="C12461" t="s">
        <v>51334</v>
      </c>
      <c r="D12461" t="s">
        <v>27245</v>
      </c>
      <c r="E12461" t="str">
        <f t="shared" si="194"/>
        <v>001390</v>
      </c>
      <c r="F12461" t="s">
        <v>27246</v>
      </c>
      <c r="G12461" t="s">
        <v>27247</v>
      </c>
      <c r="H12461" t="s">
        <v>27248</v>
      </c>
      <c r="I12461" t="s">
        <v>51335</v>
      </c>
      <c r="J12461" t="s">
        <v>24929</v>
      </c>
      <c r="L12461" t="s">
        <v>27250</v>
      </c>
      <c r="M12461" t="s">
        <v>27251</v>
      </c>
      <c r="N12461" t="s">
        <v>27252</v>
      </c>
      <c r="Q12461" s="1">
        <v>44538</v>
      </c>
      <c r="R12461" t="s">
        <v>27253</v>
      </c>
      <c r="S12461" t="s">
        <v>27254</v>
      </c>
      <c r="T12461" t="s">
        <v>27255</v>
      </c>
    </row>
    <row r="12462" spans="1:20" x14ac:dyDescent="0.3">
      <c r="A12462" t="str">
        <f>"0611839805100"</f>
        <v>0611839805100</v>
      </c>
      <c r="B12462" t="str">
        <f>"LL3996"</f>
        <v>LL3996</v>
      </c>
      <c r="C12462" t="s">
        <v>51336</v>
      </c>
      <c r="D12462" t="s">
        <v>27245</v>
      </c>
      <c r="E12462" t="str">
        <f t="shared" si="194"/>
        <v>001390</v>
      </c>
      <c r="F12462" t="s">
        <v>27246</v>
      </c>
      <c r="G12462" t="s">
        <v>27247</v>
      </c>
      <c r="H12462" t="s">
        <v>27248</v>
      </c>
      <c r="I12462" t="s">
        <v>51337</v>
      </c>
      <c r="J12462" t="s">
        <v>24931</v>
      </c>
      <c r="L12462" t="s">
        <v>27250</v>
      </c>
      <c r="M12462" t="s">
        <v>27251</v>
      </c>
      <c r="N12462" t="s">
        <v>27252</v>
      </c>
      <c r="Q12462" s="1">
        <v>44538</v>
      </c>
      <c r="R12462" t="s">
        <v>27253</v>
      </c>
      <c r="S12462" t="s">
        <v>27254</v>
      </c>
      <c r="T12462" t="s">
        <v>27255</v>
      </c>
    </row>
    <row r="12463" spans="1:20" x14ac:dyDescent="0.3">
      <c r="A12463" t="str">
        <f>"0611836599100"</f>
        <v>0611836599100</v>
      </c>
      <c r="B12463" t="str">
        <f>"LL8033"</f>
        <v>LL8033</v>
      </c>
      <c r="C12463" t="s">
        <v>51338</v>
      </c>
      <c r="D12463" t="s">
        <v>27245</v>
      </c>
      <c r="E12463" t="str">
        <f t="shared" si="194"/>
        <v>001390</v>
      </c>
      <c r="F12463" t="s">
        <v>27246</v>
      </c>
      <c r="G12463" t="s">
        <v>27247</v>
      </c>
      <c r="H12463" t="s">
        <v>27248</v>
      </c>
      <c r="I12463" t="s">
        <v>51339</v>
      </c>
      <c r="J12463" t="s">
        <v>24933</v>
      </c>
      <c r="L12463" t="s">
        <v>27250</v>
      </c>
      <c r="M12463" t="s">
        <v>27251</v>
      </c>
      <c r="N12463" t="s">
        <v>27252</v>
      </c>
      <c r="Q12463" s="1">
        <v>44538</v>
      </c>
      <c r="R12463" t="s">
        <v>27253</v>
      </c>
      <c r="S12463" t="s">
        <v>27254</v>
      </c>
      <c r="T12463" t="s">
        <v>27255</v>
      </c>
    </row>
    <row r="12464" spans="1:20" x14ac:dyDescent="0.3">
      <c r="A12464" t="str">
        <f>"0611836600100"</f>
        <v>0611836600100</v>
      </c>
      <c r="B12464" t="str">
        <f>"LL8106"</f>
        <v>LL8106</v>
      </c>
      <c r="C12464" t="s">
        <v>51340</v>
      </c>
      <c r="D12464" t="s">
        <v>27245</v>
      </c>
      <c r="E12464" t="str">
        <f t="shared" si="194"/>
        <v>001390</v>
      </c>
      <c r="F12464" t="s">
        <v>27246</v>
      </c>
      <c r="G12464" t="s">
        <v>27247</v>
      </c>
      <c r="H12464" t="s">
        <v>27248</v>
      </c>
      <c r="I12464" t="s">
        <v>51341</v>
      </c>
      <c r="J12464" t="s">
        <v>24935</v>
      </c>
      <c r="L12464" t="s">
        <v>27250</v>
      </c>
      <c r="M12464" t="s">
        <v>27251</v>
      </c>
      <c r="N12464" t="s">
        <v>27252</v>
      </c>
      <c r="Q12464" s="1">
        <v>44538</v>
      </c>
      <c r="R12464" t="s">
        <v>27253</v>
      </c>
      <c r="S12464" t="s">
        <v>27254</v>
      </c>
      <c r="T12464" t="s">
        <v>27255</v>
      </c>
    </row>
    <row r="12465" spans="1:20" x14ac:dyDescent="0.3">
      <c r="A12465" t="str">
        <f>"0611836601100"</f>
        <v>0611836601100</v>
      </c>
      <c r="B12465" t="str">
        <f>"LL3997"</f>
        <v>LL3997</v>
      </c>
      <c r="C12465" t="s">
        <v>51342</v>
      </c>
      <c r="D12465" t="s">
        <v>27245</v>
      </c>
      <c r="E12465" t="str">
        <f t="shared" si="194"/>
        <v>001390</v>
      </c>
      <c r="F12465" t="s">
        <v>27246</v>
      </c>
      <c r="G12465" t="s">
        <v>27247</v>
      </c>
      <c r="H12465" t="s">
        <v>27248</v>
      </c>
      <c r="I12465" t="s">
        <v>51343</v>
      </c>
      <c r="J12465" t="s">
        <v>24937</v>
      </c>
      <c r="L12465" t="s">
        <v>27250</v>
      </c>
      <c r="M12465" t="s">
        <v>27251</v>
      </c>
      <c r="N12465" t="s">
        <v>27252</v>
      </c>
      <c r="Q12465" s="1">
        <v>44538</v>
      </c>
      <c r="R12465" t="s">
        <v>27253</v>
      </c>
      <c r="S12465" t="s">
        <v>27254</v>
      </c>
      <c r="T12465" t="s">
        <v>27255</v>
      </c>
    </row>
    <row r="12466" spans="1:20" x14ac:dyDescent="0.3">
      <c r="A12466" t="str">
        <f>"0611836602100"</f>
        <v>0611836602100</v>
      </c>
      <c r="B12466" t="str">
        <f>"LL4630"</f>
        <v>LL4630</v>
      </c>
      <c r="C12466" t="s">
        <v>51344</v>
      </c>
      <c r="D12466" t="s">
        <v>27245</v>
      </c>
      <c r="E12466" t="str">
        <f t="shared" si="194"/>
        <v>001390</v>
      </c>
      <c r="F12466" t="s">
        <v>27246</v>
      </c>
      <c r="G12466" t="s">
        <v>27247</v>
      </c>
      <c r="H12466" t="s">
        <v>27248</v>
      </c>
      <c r="I12466" t="s">
        <v>51345</v>
      </c>
      <c r="J12466" t="s">
        <v>24939</v>
      </c>
      <c r="L12466" t="s">
        <v>27250</v>
      </c>
      <c r="M12466" t="s">
        <v>27251</v>
      </c>
      <c r="N12466" t="s">
        <v>27252</v>
      </c>
      <c r="Q12466" s="1">
        <v>44538</v>
      </c>
      <c r="R12466" t="s">
        <v>27253</v>
      </c>
      <c r="S12466" t="s">
        <v>27254</v>
      </c>
      <c r="T12466" t="s">
        <v>27255</v>
      </c>
    </row>
    <row r="12467" spans="1:20" x14ac:dyDescent="0.3">
      <c r="A12467" t="str">
        <f>"0611839806100"</f>
        <v>0611839806100</v>
      </c>
      <c r="B12467" t="str">
        <f>"LL0171"</f>
        <v>LL0171</v>
      </c>
      <c r="C12467" t="s">
        <v>51346</v>
      </c>
      <c r="D12467" t="s">
        <v>27245</v>
      </c>
      <c r="E12467" t="str">
        <f t="shared" si="194"/>
        <v>001390</v>
      </c>
      <c r="F12467" t="s">
        <v>27246</v>
      </c>
      <c r="G12467" t="s">
        <v>27247</v>
      </c>
      <c r="H12467" t="s">
        <v>27248</v>
      </c>
      <c r="I12467" t="s">
        <v>51347</v>
      </c>
      <c r="J12467" t="s">
        <v>24941</v>
      </c>
      <c r="L12467" t="s">
        <v>27250</v>
      </c>
      <c r="M12467" t="s">
        <v>27251</v>
      </c>
      <c r="N12467" t="s">
        <v>27252</v>
      </c>
      <c r="Q12467" s="1">
        <v>44538</v>
      </c>
      <c r="R12467" t="s">
        <v>27253</v>
      </c>
      <c r="S12467" t="s">
        <v>27254</v>
      </c>
      <c r="T12467" t="s">
        <v>27255</v>
      </c>
    </row>
    <row r="12468" spans="1:20" x14ac:dyDescent="0.3">
      <c r="A12468" t="str">
        <f>"0611836603100"</f>
        <v>0611836603100</v>
      </c>
      <c r="B12468" t="str">
        <f>"LL4819"</f>
        <v>LL4819</v>
      </c>
      <c r="C12468" t="s">
        <v>51348</v>
      </c>
      <c r="D12468" t="s">
        <v>27245</v>
      </c>
      <c r="E12468" t="str">
        <f t="shared" si="194"/>
        <v>001390</v>
      </c>
      <c r="F12468" t="s">
        <v>27246</v>
      </c>
      <c r="G12468" t="s">
        <v>27247</v>
      </c>
      <c r="H12468" t="s">
        <v>27248</v>
      </c>
      <c r="I12468" t="s">
        <v>51349</v>
      </c>
      <c r="J12468" t="s">
        <v>24943</v>
      </c>
      <c r="L12468" t="s">
        <v>27250</v>
      </c>
      <c r="M12468" t="s">
        <v>27251</v>
      </c>
      <c r="N12468" t="s">
        <v>27252</v>
      </c>
      <c r="Q12468" s="1">
        <v>44538</v>
      </c>
      <c r="R12468" t="s">
        <v>27253</v>
      </c>
      <c r="S12468" t="s">
        <v>27254</v>
      </c>
      <c r="T12468" t="s">
        <v>27255</v>
      </c>
    </row>
    <row r="12469" spans="1:20" x14ac:dyDescent="0.3">
      <c r="A12469" t="str">
        <f>"0611836604100"</f>
        <v>0611836604100</v>
      </c>
      <c r="B12469" t="str">
        <f>"LL0054"</f>
        <v>LL0054</v>
      </c>
      <c r="C12469" t="s">
        <v>51350</v>
      </c>
      <c r="D12469" t="s">
        <v>27245</v>
      </c>
      <c r="E12469" t="str">
        <f t="shared" si="194"/>
        <v>001390</v>
      </c>
      <c r="F12469" t="s">
        <v>27246</v>
      </c>
      <c r="G12469" t="s">
        <v>27247</v>
      </c>
      <c r="H12469" t="s">
        <v>27248</v>
      </c>
      <c r="I12469" t="s">
        <v>51351</v>
      </c>
      <c r="J12469" t="s">
        <v>24945</v>
      </c>
      <c r="L12469" t="s">
        <v>27250</v>
      </c>
      <c r="M12469" t="s">
        <v>27251</v>
      </c>
      <c r="N12469" t="s">
        <v>27252</v>
      </c>
      <c r="Q12469" s="1">
        <v>44538</v>
      </c>
      <c r="R12469" t="s">
        <v>27253</v>
      </c>
      <c r="S12469" t="s">
        <v>27254</v>
      </c>
      <c r="T12469" t="s">
        <v>27255</v>
      </c>
    </row>
    <row r="12470" spans="1:20" x14ac:dyDescent="0.3">
      <c r="A12470" t="str">
        <f>"0611836605100"</f>
        <v>0611836605100</v>
      </c>
      <c r="B12470" t="str">
        <f>"LL8326"</f>
        <v>LL8326</v>
      </c>
      <c r="C12470" t="s">
        <v>51352</v>
      </c>
      <c r="D12470" t="s">
        <v>27245</v>
      </c>
      <c r="E12470" t="str">
        <f t="shared" si="194"/>
        <v>001390</v>
      </c>
      <c r="F12470" t="s">
        <v>27246</v>
      </c>
      <c r="G12470" t="s">
        <v>27247</v>
      </c>
      <c r="H12470" t="s">
        <v>27248</v>
      </c>
      <c r="I12470" t="s">
        <v>51353</v>
      </c>
      <c r="J12470" t="s">
        <v>24947</v>
      </c>
      <c r="L12470" t="s">
        <v>27250</v>
      </c>
      <c r="M12470" t="s">
        <v>27251</v>
      </c>
      <c r="N12470" t="s">
        <v>27252</v>
      </c>
      <c r="Q12470" s="1">
        <v>44538</v>
      </c>
      <c r="R12470" t="s">
        <v>27253</v>
      </c>
      <c r="S12470" t="s">
        <v>27254</v>
      </c>
      <c r="T12470" t="s">
        <v>27255</v>
      </c>
    </row>
    <row r="12471" spans="1:20" x14ac:dyDescent="0.3">
      <c r="A12471" t="str">
        <f>"0611836606100"</f>
        <v>0611836606100</v>
      </c>
      <c r="B12471" t="str">
        <f>"LL4831"</f>
        <v>LL4831</v>
      </c>
      <c r="C12471" t="s">
        <v>51354</v>
      </c>
      <c r="D12471" t="s">
        <v>27245</v>
      </c>
      <c r="E12471" t="str">
        <f t="shared" si="194"/>
        <v>001390</v>
      </c>
      <c r="F12471" t="s">
        <v>27246</v>
      </c>
      <c r="G12471" t="s">
        <v>27247</v>
      </c>
      <c r="H12471" t="s">
        <v>27248</v>
      </c>
      <c r="I12471" t="s">
        <v>51355</v>
      </c>
      <c r="J12471" t="s">
        <v>24949</v>
      </c>
      <c r="L12471" t="s">
        <v>27250</v>
      </c>
      <c r="M12471" t="s">
        <v>27251</v>
      </c>
      <c r="N12471" t="s">
        <v>27252</v>
      </c>
      <c r="Q12471" s="1">
        <v>44538</v>
      </c>
      <c r="R12471" t="s">
        <v>27253</v>
      </c>
      <c r="S12471" t="s">
        <v>27254</v>
      </c>
      <c r="T12471" t="s">
        <v>27255</v>
      </c>
    </row>
    <row r="12472" spans="1:20" x14ac:dyDescent="0.3">
      <c r="A12472" t="str">
        <f>"0611836607100"</f>
        <v>0611836607100</v>
      </c>
      <c r="B12472" t="str">
        <f>"LL8262"</f>
        <v>LL8262</v>
      </c>
      <c r="C12472" t="s">
        <v>51356</v>
      </c>
      <c r="D12472" t="s">
        <v>27245</v>
      </c>
      <c r="E12472" t="str">
        <f t="shared" si="194"/>
        <v>001390</v>
      </c>
      <c r="F12472" t="s">
        <v>27246</v>
      </c>
      <c r="G12472" t="s">
        <v>27247</v>
      </c>
      <c r="H12472" t="s">
        <v>27248</v>
      </c>
      <c r="I12472" t="s">
        <v>51357</v>
      </c>
      <c r="J12472" t="s">
        <v>24951</v>
      </c>
      <c r="L12472" t="s">
        <v>27250</v>
      </c>
      <c r="M12472" t="s">
        <v>27251</v>
      </c>
      <c r="N12472" t="s">
        <v>27252</v>
      </c>
      <c r="Q12472" s="1">
        <v>44538</v>
      </c>
      <c r="R12472" t="s">
        <v>27253</v>
      </c>
      <c r="S12472" t="s">
        <v>27254</v>
      </c>
      <c r="T12472" t="s">
        <v>27255</v>
      </c>
    </row>
    <row r="12473" spans="1:20" x14ac:dyDescent="0.3">
      <c r="A12473" t="str">
        <f>"0611839807100"</f>
        <v>0611839807100</v>
      </c>
      <c r="B12473" t="str">
        <f>"LL4078"</f>
        <v>LL4078</v>
      </c>
      <c r="C12473" t="s">
        <v>51358</v>
      </c>
      <c r="D12473" t="s">
        <v>27245</v>
      </c>
      <c r="E12473" t="str">
        <f t="shared" si="194"/>
        <v>001390</v>
      </c>
      <c r="F12473" t="s">
        <v>27246</v>
      </c>
      <c r="G12473" t="s">
        <v>27247</v>
      </c>
      <c r="H12473" t="s">
        <v>27248</v>
      </c>
      <c r="I12473" t="s">
        <v>51359</v>
      </c>
      <c r="J12473" t="s">
        <v>24953</v>
      </c>
      <c r="L12473" t="s">
        <v>27250</v>
      </c>
      <c r="M12473" t="s">
        <v>27251</v>
      </c>
      <c r="N12473" t="s">
        <v>27252</v>
      </c>
      <c r="Q12473" s="1">
        <v>44538</v>
      </c>
      <c r="R12473" t="s">
        <v>27253</v>
      </c>
      <c r="S12473" t="s">
        <v>27254</v>
      </c>
      <c r="T12473" t="s">
        <v>27255</v>
      </c>
    </row>
    <row r="12474" spans="1:20" x14ac:dyDescent="0.3">
      <c r="A12474" t="str">
        <f>"0611836609100"</f>
        <v>0611836609100</v>
      </c>
      <c r="B12474" t="str">
        <f>"LL0047"</f>
        <v>LL0047</v>
      </c>
      <c r="C12474" t="s">
        <v>51360</v>
      </c>
      <c r="D12474" t="s">
        <v>27245</v>
      </c>
      <c r="E12474" t="str">
        <f t="shared" si="194"/>
        <v>001390</v>
      </c>
      <c r="F12474" t="s">
        <v>27246</v>
      </c>
      <c r="G12474" t="s">
        <v>27247</v>
      </c>
      <c r="H12474" t="s">
        <v>27248</v>
      </c>
      <c r="I12474" t="s">
        <v>51361</v>
      </c>
      <c r="J12474" t="s">
        <v>24955</v>
      </c>
      <c r="L12474" t="s">
        <v>27250</v>
      </c>
      <c r="M12474" t="s">
        <v>27251</v>
      </c>
      <c r="N12474" t="s">
        <v>27252</v>
      </c>
      <c r="Q12474" s="1">
        <v>44538</v>
      </c>
      <c r="R12474" t="s">
        <v>27253</v>
      </c>
      <c r="S12474" t="s">
        <v>27254</v>
      </c>
      <c r="T12474" t="s">
        <v>27255</v>
      </c>
    </row>
    <row r="12475" spans="1:20" x14ac:dyDescent="0.3">
      <c r="A12475" t="str">
        <f>"0611836610100"</f>
        <v>0611836610100</v>
      </c>
      <c r="B12475" t="str">
        <f>"LL8263"</f>
        <v>LL8263</v>
      </c>
      <c r="C12475" t="s">
        <v>51362</v>
      </c>
      <c r="D12475" t="s">
        <v>27245</v>
      </c>
      <c r="E12475" t="str">
        <f t="shared" si="194"/>
        <v>001390</v>
      </c>
      <c r="F12475" t="s">
        <v>27246</v>
      </c>
      <c r="G12475" t="s">
        <v>27247</v>
      </c>
      <c r="H12475" t="s">
        <v>27248</v>
      </c>
      <c r="I12475" t="s">
        <v>51363</v>
      </c>
      <c r="J12475" t="s">
        <v>24957</v>
      </c>
      <c r="L12475" t="s">
        <v>27250</v>
      </c>
      <c r="M12475" t="s">
        <v>27251</v>
      </c>
      <c r="N12475" t="s">
        <v>27252</v>
      </c>
      <c r="Q12475" s="1">
        <v>44538</v>
      </c>
      <c r="R12475" t="s">
        <v>27253</v>
      </c>
      <c r="S12475" t="s">
        <v>27254</v>
      </c>
      <c r="T12475" t="s">
        <v>27255</v>
      </c>
    </row>
    <row r="12476" spans="1:20" x14ac:dyDescent="0.3">
      <c r="A12476" t="str">
        <f>"0611857158100"</f>
        <v>0611857158100</v>
      </c>
      <c r="B12476" t="str">
        <f>"LL5060"</f>
        <v>LL5060</v>
      </c>
      <c r="C12476" t="s">
        <v>51364</v>
      </c>
      <c r="D12476" t="s">
        <v>27245</v>
      </c>
      <c r="E12476" t="str">
        <f t="shared" si="194"/>
        <v>001390</v>
      </c>
      <c r="F12476" t="s">
        <v>27246</v>
      </c>
      <c r="G12476" t="s">
        <v>27247</v>
      </c>
      <c r="H12476" t="s">
        <v>27248</v>
      </c>
      <c r="I12476" t="s">
        <v>51365</v>
      </c>
      <c r="J12476" t="s">
        <v>24959</v>
      </c>
      <c r="L12476" t="s">
        <v>27250</v>
      </c>
      <c r="M12476" t="s">
        <v>27251</v>
      </c>
      <c r="N12476" t="s">
        <v>27252</v>
      </c>
      <c r="Q12476" s="1">
        <v>44812</v>
      </c>
      <c r="R12476" t="s">
        <v>27253</v>
      </c>
      <c r="S12476" t="s">
        <v>27254</v>
      </c>
      <c r="T12476" t="s">
        <v>27255</v>
      </c>
    </row>
    <row r="12477" spans="1:20" x14ac:dyDescent="0.3">
      <c r="A12477" t="str">
        <f>"0611836611100"</f>
        <v>0611836611100</v>
      </c>
      <c r="B12477" t="str">
        <f>"LL3911"</f>
        <v>LL3911</v>
      </c>
      <c r="C12477" t="s">
        <v>51366</v>
      </c>
      <c r="D12477" t="s">
        <v>27245</v>
      </c>
      <c r="E12477" t="str">
        <f t="shared" si="194"/>
        <v>001390</v>
      </c>
      <c r="F12477" t="s">
        <v>27246</v>
      </c>
      <c r="G12477" t="s">
        <v>27247</v>
      </c>
      <c r="H12477" t="s">
        <v>27248</v>
      </c>
      <c r="I12477" t="s">
        <v>51367</v>
      </c>
      <c r="J12477" t="s">
        <v>24961</v>
      </c>
      <c r="L12477" t="s">
        <v>27250</v>
      </c>
      <c r="M12477" t="s">
        <v>27251</v>
      </c>
      <c r="N12477" t="s">
        <v>27252</v>
      </c>
      <c r="Q12477" s="1">
        <v>44538</v>
      </c>
      <c r="R12477" t="s">
        <v>27253</v>
      </c>
      <c r="S12477" t="s">
        <v>27254</v>
      </c>
      <c r="T12477" t="s">
        <v>27255</v>
      </c>
    </row>
    <row r="12478" spans="1:20" x14ac:dyDescent="0.3">
      <c r="A12478" t="str">
        <f>"0611836613100"</f>
        <v>0611836613100</v>
      </c>
      <c r="B12478" t="str">
        <f>"LL3954"</f>
        <v>LL3954</v>
      </c>
      <c r="C12478" t="s">
        <v>51368</v>
      </c>
      <c r="D12478" t="s">
        <v>27245</v>
      </c>
      <c r="E12478" t="str">
        <f t="shared" si="194"/>
        <v>001390</v>
      </c>
      <c r="F12478" t="s">
        <v>27246</v>
      </c>
      <c r="G12478" t="s">
        <v>27247</v>
      </c>
      <c r="H12478" t="s">
        <v>27248</v>
      </c>
      <c r="I12478" t="s">
        <v>51369</v>
      </c>
      <c r="J12478" t="s">
        <v>24963</v>
      </c>
      <c r="L12478" t="s">
        <v>27250</v>
      </c>
      <c r="M12478" t="s">
        <v>27251</v>
      </c>
      <c r="N12478" t="s">
        <v>27252</v>
      </c>
      <c r="Q12478" s="1">
        <v>44538</v>
      </c>
      <c r="R12478" t="s">
        <v>27253</v>
      </c>
      <c r="S12478" t="s">
        <v>27254</v>
      </c>
      <c r="T12478" t="s">
        <v>27255</v>
      </c>
    </row>
    <row r="12479" spans="1:20" x14ac:dyDescent="0.3">
      <c r="A12479" t="str">
        <f>"0611836614100"</f>
        <v>0611836614100</v>
      </c>
      <c r="B12479" t="str">
        <f>"LL3910"</f>
        <v>LL3910</v>
      </c>
      <c r="C12479" t="s">
        <v>51370</v>
      </c>
      <c r="D12479" t="s">
        <v>27245</v>
      </c>
      <c r="E12479" t="str">
        <f t="shared" si="194"/>
        <v>001390</v>
      </c>
      <c r="F12479" t="s">
        <v>27246</v>
      </c>
      <c r="G12479" t="s">
        <v>27247</v>
      </c>
      <c r="H12479" t="s">
        <v>27248</v>
      </c>
      <c r="I12479" t="s">
        <v>51371</v>
      </c>
      <c r="J12479" t="s">
        <v>24965</v>
      </c>
      <c r="L12479" t="s">
        <v>27250</v>
      </c>
      <c r="M12479" t="s">
        <v>27251</v>
      </c>
      <c r="N12479" t="s">
        <v>27252</v>
      </c>
      <c r="Q12479" s="1">
        <v>44538</v>
      </c>
      <c r="R12479" t="s">
        <v>27253</v>
      </c>
      <c r="S12479" t="s">
        <v>27254</v>
      </c>
      <c r="T12479" t="s">
        <v>27255</v>
      </c>
    </row>
    <row r="12480" spans="1:20" x14ac:dyDescent="0.3">
      <c r="A12480" t="str">
        <f>"0611836616100"</f>
        <v>0611836616100</v>
      </c>
      <c r="B12480" t="str">
        <f>"LL8264"</f>
        <v>LL8264</v>
      </c>
      <c r="C12480" t="s">
        <v>51372</v>
      </c>
      <c r="D12480" t="s">
        <v>27245</v>
      </c>
      <c r="E12480" t="str">
        <f t="shared" si="194"/>
        <v>001390</v>
      </c>
      <c r="F12480" t="s">
        <v>27246</v>
      </c>
      <c r="G12480" t="s">
        <v>27247</v>
      </c>
      <c r="H12480" t="s">
        <v>27248</v>
      </c>
      <c r="I12480" t="s">
        <v>51373</v>
      </c>
      <c r="J12480" t="s">
        <v>24967</v>
      </c>
      <c r="L12480" t="s">
        <v>27250</v>
      </c>
      <c r="M12480" t="s">
        <v>27251</v>
      </c>
      <c r="N12480" t="s">
        <v>27252</v>
      </c>
      <c r="Q12480" s="1">
        <v>44538</v>
      </c>
      <c r="R12480" t="s">
        <v>27253</v>
      </c>
      <c r="S12480" t="s">
        <v>27254</v>
      </c>
      <c r="T12480" t="s">
        <v>27255</v>
      </c>
    </row>
    <row r="12481" spans="1:20" x14ac:dyDescent="0.3">
      <c r="A12481" t="str">
        <f>"0611836617100"</f>
        <v>0611836617100</v>
      </c>
      <c r="B12481" t="str">
        <f>"LL4046"</f>
        <v>LL4046</v>
      </c>
      <c r="C12481" t="s">
        <v>51374</v>
      </c>
      <c r="D12481" t="s">
        <v>27245</v>
      </c>
      <c r="E12481" t="str">
        <f t="shared" si="194"/>
        <v>001390</v>
      </c>
      <c r="F12481" t="s">
        <v>27246</v>
      </c>
      <c r="G12481" t="s">
        <v>27247</v>
      </c>
      <c r="H12481" t="s">
        <v>27248</v>
      </c>
      <c r="I12481" t="s">
        <v>51375</v>
      </c>
      <c r="J12481" t="s">
        <v>24969</v>
      </c>
      <c r="L12481" t="s">
        <v>27250</v>
      </c>
      <c r="M12481" t="s">
        <v>27251</v>
      </c>
      <c r="N12481" t="s">
        <v>27252</v>
      </c>
      <c r="Q12481" s="1">
        <v>44538</v>
      </c>
      <c r="R12481" t="s">
        <v>27253</v>
      </c>
      <c r="S12481" t="s">
        <v>27254</v>
      </c>
      <c r="T12481" t="s">
        <v>27255</v>
      </c>
    </row>
    <row r="12482" spans="1:20" x14ac:dyDescent="0.3">
      <c r="A12482" t="str">
        <f>"0611836618100"</f>
        <v>0611836618100</v>
      </c>
      <c r="B12482" t="str">
        <f>"LL4656"</f>
        <v>LL4656</v>
      </c>
      <c r="C12482" t="s">
        <v>51376</v>
      </c>
      <c r="D12482" t="s">
        <v>27245</v>
      </c>
      <c r="E12482" t="str">
        <f t="shared" ref="E12482:E12545" si="195">"001390"</f>
        <v>001390</v>
      </c>
      <c r="F12482" t="s">
        <v>27246</v>
      </c>
      <c r="G12482" t="s">
        <v>27247</v>
      </c>
      <c r="H12482" t="s">
        <v>27248</v>
      </c>
      <c r="I12482" t="s">
        <v>51377</v>
      </c>
      <c r="J12482" t="s">
        <v>24971</v>
      </c>
      <c r="L12482" t="s">
        <v>27250</v>
      </c>
      <c r="M12482" t="s">
        <v>27251</v>
      </c>
      <c r="N12482" t="s">
        <v>27252</v>
      </c>
      <c r="Q12482" s="1">
        <v>44538</v>
      </c>
      <c r="R12482" t="s">
        <v>27253</v>
      </c>
      <c r="S12482" t="s">
        <v>27254</v>
      </c>
      <c r="T12482" t="s">
        <v>27255</v>
      </c>
    </row>
    <row r="12483" spans="1:20" x14ac:dyDescent="0.3">
      <c r="A12483" t="str">
        <f>"0611839808100"</f>
        <v>0611839808100</v>
      </c>
      <c r="B12483" t="str">
        <f>"LL8327"</f>
        <v>LL8327</v>
      </c>
      <c r="C12483" t="s">
        <v>51378</v>
      </c>
      <c r="D12483" t="s">
        <v>27245</v>
      </c>
      <c r="E12483" t="str">
        <f t="shared" si="195"/>
        <v>001390</v>
      </c>
      <c r="F12483" t="s">
        <v>27246</v>
      </c>
      <c r="G12483" t="s">
        <v>27247</v>
      </c>
      <c r="H12483" t="s">
        <v>27248</v>
      </c>
      <c r="I12483" t="s">
        <v>51379</v>
      </c>
      <c r="J12483" t="s">
        <v>24973</v>
      </c>
      <c r="L12483" t="s">
        <v>27250</v>
      </c>
      <c r="M12483" t="s">
        <v>27251</v>
      </c>
      <c r="N12483" t="s">
        <v>27252</v>
      </c>
      <c r="Q12483" s="1">
        <v>44538</v>
      </c>
      <c r="R12483" t="s">
        <v>27253</v>
      </c>
      <c r="S12483" t="s">
        <v>27254</v>
      </c>
      <c r="T12483" t="s">
        <v>27255</v>
      </c>
    </row>
    <row r="12484" spans="1:20" x14ac:dyDescent="0.3">
      <c r="A12484" t="str">
        <f>"0611857159100"</f>
        <v>0611857159100</v>
      </c>
      <c r="B12484" t="str">
        <f>"LL5056"</f>
        <v>LL5056</v>
      </c>
      <c r="C12484" t="s">
        <v>51380</v>
      </c>
      <c r="D12484" t="s">
        <v>27245</v>
      </c>
      <c r="E12484" t="str">
        <f t="shared" si="195"/>
        <v>001390</v>
      </c>
      <c r="F12484" t="s">
        <v>27246</v>
      </c>
      <c r="G12484" t="s">
        <v>27247</v>
      </c>
      <c r="H12484" t="s">
        <v>27248</v>
      </c>
      <c r="I12484" t="s">
        <v>51381</v>
      </c>
      <c r="J12484" t="s">
        <v>24975</v>
      </c>
      <c r="L12484" t="s">
        <v>27250</v>
      </c>
      <c r="M12484" t="s">
        <v>27251</v>
      </c>
      <c r="N12484" t="s">
        <v>27252</v>
      </c>
      <c r="Q12484" s="1">
        <v>44812</v>
      </c>
      <c r="R12484" t="s">
        <v>27253</v>
      </c>
      <c r="S12484" t="s">
        <v>27254</v>
      </c>
      <c r="T12484" t="s">
        <v>27255</v>
      </c>
    </row>
    <row r="12485" spans="1:20" x14ac:dyDescent="0.3">
      <c r="A12485" t="str">
        <f>"0611836619100"</f>
        <v>0611836619100</v>
      </c>
      <c r="B12485" t="str">
        <f>"LL3955"</f>
        <v>LL3955</v>
      </c>
      <c r="C12485" t="s">
        <v>51382</v>
      </c>
      <c r="D12485" t="s">
        <v>27245</v>
      </c>
      <c r="E12485" t="str">
        <f t="shared" si="195"/>
        <v>001390</v>
      </c>
      <c r="F12485" t="s">
        <v>27246</v>
      </c>
      <c r="G12485" t="s">
        <v>27247</v>
      </c>
      <c r="H12485" t="s">
        <v>27248</v>
      </c>
      <c r="I12485" t="s">
        <v>51383</v>
      </c>
      <c r="J12485" t="s">
        <v>24977</v>
      </c>
      <c r="L12485" t="s">
        <v>27250</v>
      </c>
      <c r="M12485" t="s">
        <v>27251</v>
      </c>
      <c r="N12485" t="s">
        <v>27252</v>
      </c>
      <c r="Q12485" s="1">
        <v>44538</v>
      </c>
      <c r="R12485" t="s">
        <v>27253</v>
      </c>
      <c r="S12485" t="s">
        <v>27254</v>
      </c>
      <c r="T12485" t="s">
        <v>27255</v>
      </c>
    </row>
    <row r="12486" spans="1:20" x14ac:dyDescent="0.3">
      <c r="A12486" t="str">
        <f>"0611836620100"</f>
        <v>0611836620100</v>
      </c>
      <c r="B12486" t="str">
        <f>"LL3932"</f>
        <v>LL3932</v>
      </c>
      <c r="C12486" t="s">
        <v>51384</v>
      </c>
      <c r="D12486" t="s">
        <v>27245</v>
      </c>
      <c r="E12486" t="str">
        <f t="shared" si="195"/>
        <v>001390</v>
      </c>
      <c r="F12486" t="s">
        <v>27246</v>
      </c>
      <c r="G12486" t="s">
        <v>27247</v>
      </c>
      <c r="H12486" t="s">
        <v>27248</v>
      </c>
      <c r="I12486" t="s">
        <v>51385</v>
      </c>
      <c r="J12486" t="s">
        <v>24979</v>
      </c>
      <c r="L12486" t="s">
        <v>27250</v>
      </c>
      <c r="M12486" t="s">
        <v>27251</v>
      </c>
      <c r="N12486" t="s">
        <v>27252</v>
      </c>
      <c r="Q12486" s="1">
        <v>44538</v>
      </c>
      <c r="R12486" t="s">
        <v>27253</v>
      </c>
      <c r="S12486" t="s">
        <v>27254</v>
      </c>
      <c r="T12486" t="s">
        <v>27255</v>
      </c>
    </row>
    <row r="12487" spans="1:20" x14ac:dyDescent="0.3">
      <c r="A12487" t="str">
        <f>"0611836621100"</f>
        <v>0611836621100</v>
      </c>
      <c r="B12487" t="str">
        <f>"LL4658"</f>
        <v>LL4658</v>
      </c>
      <c r="C12487" t="s">
        <v>51386</v>
      </c>
      <c r="D12487" t="s">
        <v>27245</v>
      </c>
      <c r="E12487" t="str">
        <f t="shared" si="195"/>
        <v>001390</v>
      </c>
      <c r="F12487" t="s">
        <v>27246</v>
      </c>
      <c r="G12487" t="s">
        <v>27247</v>
      </c>
      <c r="H12487" t="s">
        <v>27248</v>
      </c>
      <c r="I12487" t="s">
        <v>51387</v>
      </c>
      <c r="J12487" t="s">
        <v>24981</v>
      </c>
      <c r="L12487" t="s">
        <v>27250</v>
      </c>
      <c r="M12487" t="s">
        <v>27251</v>
      </c>
      <c r="N12487" t="s">
        <v>27252</v>
      </c>
      <c r="Q12487" s="1">
        <v>44538</v>
      </c>
      <c r="R12487" t="s">
        <v>27253</v>
      </c>
      <c r="S12487" t="s">
        <v>27254</v>
      </c>
      <c r="T12487" t="s">
        <v>27255</v>
      </c>
    </row>
    <row r="12488" spans="1:20" x14ac:dyDescent="0.3">
      <c r="A12488" t="str">
        <f>"0611836622100"</f>
        <v>0611836622100</v>
      </c>
      <c r="B12488" t="str">
        <f>"LL4660"</f>
        <v>LL4660</v>
      </c>
      <c r="C12488" t="s">
        <v>51388</v>
      </c>
      <c r="D12488" t="s">
        <v>27245</v>
      </c>
      <c r="E12488" t="str">
        <f t="shared" si="195"/>
        <v>001390</v>
      </c>
      <c r="F12488" t="s">
        <v>27246</v>
      </c>
      <c r="G12488" t="s">
        <v>27247</v>
      </c>
      <c r="H12488" t="s">
        <v>27248</v>
      </c>
      <c r="I12488" t="s">
        <v>51389</v>
      </c>
      <c r="J12488" t="s">
        <v>24983</v>
      </c>
      <c r="L12488" t="s">
        <v>27250</v>
      </c>
      <c r="M12488" t="s">
        <v>27251</v>
      </c>
      <c r="N12488" t="s">
        <v>27252</v>
      </c>
      <c r="Q12488" s="1">
        <v>44538</v>
      </c>
      <c r="R12488" t="s">
        <v>27253</v>
      </c>
      <c r="S12488" t="s">
        <v>27254</v>
      </c>
      <c r="T12488" t="s">
        <v>27255</v>
      </c>
    </row>
    <row r="12489" spans="1:20" x14ac:dyDescent="0.3">
      <c r="A12489" t="str">
        <f>"0611836623100"</f>
        <v>0611836623100</v>
      </c>
      <c r="B12489" t="str">
        <f>"LL8107"</f>
        <v>LL8107</v>
      </c>
      <c r="C12489" t="s">
        <v>51390</v>
      </c>
      <c r="D12489" t="s">
        <v>27245</v>
      </c>
      <c r="E12489" t="str">
        <f t="shared" si="195"/>
        <v>001390</v>
      </c>
      <c r="F12489" t="s">
        <v>27246</v>
      </c>
      <c r="G12489" t="s">
        <v>27247</v>
      </c>
      <c r="H12489" t="s">
        <v>27248</v>
      </c>
      <c r="I12489" t="s">
        <v>51391</v>
      </c>
      <c r="J12489" t="s">
        <v>24985</v>
      </c>
      <c r="L12489" t="s">
        <v>27250</v>
      </c>
      <c r="M12489" t="s">
        <v>27251</v>
      </c>
      <c r="N12489" t="s">
        <v>27252</v>
      </c>
      <c r="Q12489" s="1">
        <v>44538</v>
      </c>
      <c r="R12489" t="s">
        <v>27253</v>
      </c>
      <c r="S12489" t="s">
        <v>27254</v>
      </c>
      <c r="T12489" t="s">
        <v>27255</v>
      </c>
    </row>
    <row r="12490" spans="1:20" x14ac:dyDescent="0.3">
      <c r="A12490" t="str">
        <f>"0611836624100"</f>
        <v>0611836624100</v>
      </c>
      <c r="B12490" t="str">
        <f>"LL4663"</f>
        <v>LL4663</v>
      </c>
      <c r="C12490" t="s">
        <v>51392</v>
      </c>
      <c r="D12490" t="s">
        <v>27245</v>
      </c>
      <c r="E12490" t="str">
        <f t="shared" si="195"/>
        <v>001390</v>
      </c>
      <c r="F12490" t="s">
        <v>27246</v>
      </c>
      <c r="G12490" t="s">
        <v>27247</v>
      </c>
      <c r="H12490" t="s">
        <v>27248</v>
      </c>
      <c r="I12490" t="s">
        <v>51393</v>
      </c>
      <c r="J12490" t="s">
        <v>24987</v>
      </c>
      <c r="L12490" t="s">
        <v>27250</v>
      </c>
      <c r="M12490" t="s">
        <v>27251</v>
      </c>
      <c r="N12490" t="s">
        <v>27252</v>
      </c>
      <c r="Q12490" s="1">
        <v>44538</v>
      </c>
      <c r="R12490" t="s">
        <v>27253</v>
      </c>
      <c r="S12490" t="s">
        <v>27254</v>
      </c>
      <c r="T12490" t="s">
        <v>27255</v>
      </c>
    </row>
    <row r="12491" spans="1:20" x14ac:dyDescent="0.3">
      <c r="A12491" t="str">
        <f>"0611836625100"</f>
        <v>0611836625100</v>
      </c>
      <c r="B12491" t="str">
        <f>"LL4006"</f>
        <v>LL4006</v>
      </c>
      <c r="C12491" t="s">
        <v>51394</v>
      </c>
      <c r="D12491" t="s">
        <v>27245</v>
      </c>
      <c r="E12491" t="str">
        <f t="shared" si="195"/>
        <v>001390</v>
      </c>
      <c r="F12491" t="s">
        <v>27246</v>
      </c>
      <c r="G12491" t="s">
        <v>27247</v>
      </c>
      <c r="H12491" t="s">
        <v>27248</v>
      </c>
      <c r="I12491" t="s">
        <v>51395</v>
      </c>
      <c r="J12491" t="s">
        <v>24989</v>
      </c>
      <c r="L12491" t="s">
        <v>27250</v>
      </c>
      <c r="M12491" t="s">
        <v>27251</v>
      </c>
      <c r="N12491" t="s">
        <v>27252</v>
      </c>
      <c r="Q12491" s="1">
        <v>44538</v>
      </c>
      <c r="R12491" t="s">
        <v>27253</v>
      </c>
      <c r="S12491" t="s">
        <v>27254</v>
      </c>
      <c r="T12491" t="s">
        <v>27255</v>
      </c>
    </row>
    <row r="12492" spans="1:20" x14ac:dyDescent="0.3">
      <c r="A12492" t="str">
        <f>"0611836626100"</f>
        <v>0611836626100</v>
      </c>
      <c r="B12492" t="str">
        <f>"LL4667"</f>
        <v>LL4667</v>
      </c>
      <c r="C12492" t="s">
        <v>51396</v>
      </c>
      <c r="D12492" t="s">
        <v>27245</v>
      </c>
      <c r="E12492" t="str">
        <f t="shared" si="195"/>
        <v>001390</v>
      </c>
      <c r="F12492" t="s">
        <v>27246</v>
      </c>
      <c r="G12492" t="s">
        <v>27247</v>
      </c>
      <c r="H12492" t="s">
        <v>27248</v>
      </c>
      <c r="I12492" t="s">
        <v>51397</v>
      </c>
      <c r="J12492" t="s">
        <v>24991</v>
      </c>
      <c r="L12492" t="s">
        <v>27250</v>
      </c>
      <c r="M12492" t="s">
        <v>27251</v>
      </c>
      <c r="N12492" t="s">
        <v>27252</v>
      </c>
      <c r="Q12492" s="1">
        <v>44538</v>
      </c>
      <c r="R12492" t="s">
        <v>27253</v>
      </c>
      <c r="S12492" t="s">
        <v>27254</v>
      </c>
      <c r="T12492" t="s">
        <v>27255</v>
      </c>
    </row>
    <row r="12493" spans="1:20" x14ac:dyDescent="0.3">
      <c r="A12493" t="str">
        <f>"0611836627200"</f>
        <v>0611836627200</v>
      </c>
      <c r="B12493" t="str">
        <f>"KY4667"</f>
        <v>KY4667</v>
      </c>
      <c r="C12493" t="s">
        <v>51396</v>
      </c>
      <c r="D12493" t="s">
        <v>27682</v>
      </c>
      <c r="E12493" t="str">
        <f t="shared" si="195"/>
        <v>001390</v>
      </c>
      <c r="F12493" t="s">
        <v>27246</v>
      </c>
      <c r="G12493" t="s">
        <v>27247</v>
      </c>
      <c r="H12493" t="s">
        <v>27248</v>
      </c>
      <c r="I12493" t="s">
        <v>51398</v>
      </c>
      <c r="J12493" t="s">
        <v>24993</v>
      </c>
      <c r="L12493" t="s">
        <v>27250</v>
      </c>
      <c r="M12493" t="s">
        <v>27251</v>
      </c>
      <c r="N12493" t="s">
        <v>27252</v>
      </c>
      <c r="Q12493" s="1">
        <v>44538</v>
      </c>
      <c r="R12493" t="s">
        <v>27253</v>
      </c>
      <c r="S12493" t="s">
        <v>27254</v>
      </c>
      <c r="T12493" t="s">
        <v>27684</v>
      </c>
    </row>
    <row r="12494" spans="1:20" x14ac:dyDescent="0.3">
      <c r="A12494" t="str">
        <f>"0611836628100"</f>
        <v>0611836628100</v>
      </c>
      <c r="B12494" t="str">
        <f>"LL4669"</f>
        <v>LL4669</v>
      </c>
      <c r="C12494" t="s">
        <v>51399</v>
      </c>
      <c r="D12494" t="s">
        <v>27245</v>
      </c>
      <c r="E12494" t="str">
        <f t="shared" si="195"/>
        <v>001390</v>
      </c>
      <c r="F12494" t="s">
        <v>27246</v>
      </c>
      <c r="G12494" t="s">
        <v>27247</v>
      </c>
      <c r="H12494" t="s">
        <v>27248</v>
      </c>
      <c r="I12494" t="s">
        <v>51400</v>
      </c>
      <c r="J12494" t="s">
        <v>24995</v>
      </c>
      <c r="L12494" t="s">
        <v>27250</v>
      </c>
      <c r="M12494" t="s">
        <v>27251</v>
      </c>
      <c r="N12494" t="s">
        <v>27252</v>
      </c>
      <c r="Q12494" s="1">
        <v>44538</v>
      </c>
      <c r="R12494" t="s">
        <v>27253</v>
      </c>
      <c r="S12494" t="s">
        <v>27254</v>
      </c>
      <c r="T12494" t="s">
        <v>27255</v>
      </c>
    </row>
    <row r="12495" spans="1:20" x14ac:dyDescent="0.3">
      <c r="A12495" t="str">
        <f>"0611836629100"</f>
        <v>0611836629100</v>
      </c>
      <c r="B12495" t="str">
        <f>"LL4670"</f>
        <v>LL4670</v>
      </c>
      <c r="C12495" t="s">
        <v>51401</v>
      </c>
      <c r="D12495" t="s">
        <v>28138</v>
      </c>
      <c r="E12495" t="str">
        <f t="shared" si="195"/>
        <v>001390</v>
      </c>
      <c r="F12495" t="s">
        <v>27246</v>
      </c>
      <c r="G12495" t="s">
        <v>27247</v>
      </c>
      <c r="H12495" t="s">
        <v>27248</v>
      </c>
      <c r="I12495" t="s">
        <v>51402</v>
      </c>
      <c r="J12495" t="s">
        <v>24997</v>
      </c>
      <c r="L12495" t="s">
        <v>27250</v>
      </c>
      <c r="M12495" t="s">
        <v>27251</v>
      </c>
      <c r="N12495" t="s">
        <v>27252</v>
      </c>
      <c r="P12495" t="s">
        <v>27925</v>
      </c>
      <c r="Q12495" s="1">
        <v>44538</v>
      </c>
      <c r="R12495" t="s">
        <v>27253</v>
      </c>
      <c r="S12495" t="s">
        <v>27254</v>
      </c>
      <c r="T12495" t="s">
        <v>27255</v>
      </c>
    </row>
    <row r="12496" spans="1:20" x14ac:dyDescent="0.3">
      <c r="A12496" t="str">
        <f>"0611836630100"</f>
        <v>0611836630100</v>
      </c>
      <c r="B12496" t="str">
        <f>"LL8135"</f>
        <v>LL8135</v>
      </c>
      <c r="C12496" t="s">
        <v>51403</v>
      </c>
      <c r="D12496" t="s">
        <v>27245</v>
      </c>
      <c r="E12496" t="str">
        <f t="shared" si="195"/>
        <v>001390</v>
      </c>
      <c r="F12496" t="s">
        <v>27246</v>
      </c>
      <c r="G12496" t="s">
        <v>27247</v>
      </c>
      <c r="H12496" t="s">
        <v>27248</v>
      </c>
      <c r="I12496" t="s">
        <v>51404</v>
      </c>
      <c r="J12496" t="s">
        <v>24999</v>
      </c>
      <c r="L12496" t="s">
        <v>27250</v>
      </c>
      <c r="M12496" t="s">
        <v>27251</v>
      </c>
      <c r="N12496" t="s">
        <v>27252</v>
      </c>
      <c r="Q12496" s="1">
        <v>44538</v>
      </c>
      <c r="R12496" t="s">
        <v>27253</v>
      </c>
      <c r="S12496" t="s">
        <v>27254</v>
      </c>
      <c r="T12496" t="s">
        <v>27255</v>
      </c>
    </row>
    <row r="12497" spans="1:20" x14ac:dyDescent="0.3">
      <c r="A12497" t="str">
        <f>"0611836631100"</f>
        <v>0611836631100</v>
      </c>
      <c r="B12497" t="str">
        <f>"LL4679"</f>
        <v>LL4679</v>
      </c>
      <c r="C12497" t="s">
        <v>51405</v>
      </c>
      <c r="D12497" t="s">
        <v>27245</v>
      </c>
      <c r="E12497" t="str">
        <f t="shared" si="195"/>
        <v>001390</v>
      </c>
      <c r="F12497" t="s">
        <v>27246</v>
      </c>
      <c r="G12497" t="s">
        <v>27247</v>
      </c>
      <c r="H12497" t="s">
        <v>27248</v>
      </c>
      <c r="I12497" t="s">
        <v>51406</v>
      </c>
      <c r="J12497" t="s">
        <v>25001</v>
      </c>
      <c r="L12497" t="s">
        <v>27250</v>
      </c>
      <c r="M12497" t="s">
        <v>27251</v>
      </c>
      <c r="N12497" t="s">
        <v>27252</v>
      </c>
      <c r="Q12497" s="1">
        <v>44538</v>
      </c>
      <c r="R12497" t="s">
        <v>27253</v>
      </c>
      <c r="S12497" t="s">
        <v>27254</v>
      </c>
      <c r="T12497" t="s">
        <v>27255</v>
      </c>
    </row>
    <row r="12498" spans="1:20" x14ac:dyDescent="0.3">
      <c r="A12498" t="str">
        <f>"0611836632200"</f>
        <v>0611836632200</v>
      </c>
      <c r="B12498" t="str">
        <f>"KY4679"</f>
        <v>KY4679</v>
      </c>
      <c r="C12498" t="s">
        <v>51405</v>
      </c>
      <c r="D12498" t="s">
        <v>27682</v>
      </c>
      <c r="E12498" t="str">
        <f t="shared" si="195"/>
        <v>001390</v>
      </c>
      <c r="F12498" t="s">
        <v>27246</v>
      </c>
      <c r="G12498" t="s">
        <v>27247</v>
      </c>
      <c r="H12498" t="s">
        <v>27248</v>
      </c>
      <c r="I12498" t="s">
        <v>51407</v>
      </c>
      <c r="J12498" t="s">
        <v>25003</v>
      </c>
      <c r="L12498" t="s">
        <v>27250</v>
      </c>
      <c r="M12498" t="s">
        <v>27251</v>
      </c>
      <c r="N12498" t="s">
        <v>27252</v>
      </c>
      <c r="Q12498" s="1">
        <v>44538</v>
      </c>
      <c r="R12498" t="s">
        <v>27253</v>
      </c>
      <c r="S12498" t="s">
        <v>27254</v>
      </c>
      <c r="T12498" t="s">
        <v>27684</v>
      </c>
    </row>
    <row r="12499" spans="1:20" x14ac:dyDescent="0.3">
      <c r="A12499" t="str">
        <f>"0611836633100"</f>
        <v>0611836633100</v>
      </c>
      <c r="B12499" t="str">
        <f>"LL4011"</f>
        <v>LL4011</v>
      </c>
      <c r="C12499" t="s">
        <v>51408</v>
      </c>
      <c r="D12499" t="s">
        <v>27245</v>
      </c>
      <c r="E12499" t="str">
        <f t="shared" si="195"/>
        <v>001390</v>
      </c>
      <c r="F12499" t="s">
        <v>27246</v>
      </c>
      <c r="G12499" t="s">
        <v>27247</v>
      </c>
      <c r="H12499" t="s">
        <v>27248</v>
      </c>
      <c r="I12499" t="s">
        <v>51409</v>
      </c>
      <c r="J12499" t="s">
        <v>25005</v>
      </c>
      <c r="L12499" t="s">
        <v>27250</v>
      </c>
      <c r="M12499" t="s">
        <v>27251</v>
      </c>
      <c r="N12499" t="s">
        <v>27252</v>
      </c>
      <c r="Q12499" s="1">
        <v>44538</v>
      </c>
      <c r="R12499" t="s">
        <v>27253</v>
      </c>
      <c r="S12499" t="s">
        <v>27254</v>
      </c>
      <c r="T12499" t="s">
        <v>27255</v>
      </c>
    </row>
    <row r="12500" spans="1:20" x14ac:dyDescent="0.3">
      <c r="A12500" t="str">
        <f>"0611836634100"</f>
        <v>0611836634100</v>
      </c>
      <c r="B12500" t="str">
        <f>"LL4047"</f>
        <v>LL4047</v>
      </c>
      <c r="C12500" t="s">
        <v>51410</v>
      </c>
      <c r="D12500" t="s">
        <v>27245</v>
      </c>
      <c r="E12500" t="str">
        <f t="shared" si="195"/>
        <v>001390</v>
      </c>
      <c r="F12500" t="s">
        <v>27246</v>
      </c>
      <c r="G12500" t="s">
        <v>27247</v>
      </c>
      <c r="H12500" t="s">
        <v>27248</v>
      </c>
      <c r="I12500" t="s">
        <v>51411</v>
      </c>
      <c r="J12500" t="s">
        <v>25007</v>
      </c>
      <c r="L12500" t="s">
        <v>27250</v>
      </c>
      <c r="M12500" t="s">
        <v>27251</v>
      </c>
      <c r="N12500" t="s">
        <v>27252</v>
      </c>
      <c r="Q12500" s="1">
        <v>44538</v>
      </c>
      <c r="R12500" t="s">
        <v>27253</v>
      </c>
      <c r="S12500" t="s">
        <v>27254</v>
      </c>
      <c r="T12500" t="s">
        <v>27255</v>
      </c>
    </row>
    <row r="12501" spans="1:20" x14ac:dyDescent="0.3">
      <c r="A12501" t="str">
        <f>"0611836635100"</f>
        <v>0611836635100</v>
      </c>
      <c r="B12501" t="str">
        <f>"LC9604"</f>
        <v>LC9604</v>
      </c>
      <c r="C12501" t="s">
        <v>51412</v>
      </c>
      <c r="D12501" t="s">
        <v>27245</v>
      </c>
      <c r="E12501" t="str">
        <f t="shared" si="195"/>
        <v>001390</v>
      </c>
      <c r="F12501" t="s">
        <v>27246</v>
      </c>
      <c r="G12501" t="s">
        <v>27247</v>
      </c>
      <c r="H12501" t="s">
        <v>27248</v>
      </c>
      <c r="I12501" t="s">
        <v>51413</v>
      </c>
      <c r="J12501" t="s">
        <v>25009</v>
      </c>
      <c r="L12501" t="s">
        <v>27250</v>
      </c>
      <c r="M12501" t="s">
        <v>27251</v>
      </c>
      <c r="N12501" t="s">
        <v>27252</v>
      </c>
      <c r="Q12501" s="1">
        <v>44538</v>
      </c>
      <c r="R12501" t="s">
        <v>27253</v>
      </c>
      <c r="S12501" t="s">
        <v>27254</v>
      </c>
      <c r="T12501" t="s">
        <v>27255</v>
      </c>
    </row>
    <row r="12502" spans="1:20" x14ac:dyDescent="0.3">
      <c r="A12502" t="str">
        <f>"0611836636100"</f>
        <v>0611836636100</v>
      </c>
      <c r="B12502" t="str">
        <f>"LL4048"</f>
        <v>LL4048</v>
      </c>
      <c r="C12502" t="s">
        <v>51414</v>
      </c>
      <c r="D12502" t="s">
        <v>27245</v>
      </c>
      <c r="E12502" t="str">
        <f t="shared" si="195"/>
        <v>001390</v>
      </c>
      <c r="F12502" t="s">
        <v>27246</v>
      </c>
      <c r="G12502" t="s">
        <v>27247</v>
      </c>
      <c r="H12502" t="s">
        <v>27248</v>
      </c>
      <c r="I12502" t="s">
        <v>51415</v>
      </c>
      <c r="J12502" t="s">
        <v>25011</v>
      </c>
      <c r="L12502" t="s">
        <v>27250</v>
      </c>
      <c r="M12502" t="s">
        <v>27251</v>
      </c>
      <c r="N12502" t="s">
        <v>27252</v>
      </c>
      <c r="Q12502" s="1">
        <v>44538</v>
      </c>
      <c r="R12502" t="s">
        <v>27253</v>
      </c>
      <c r="S12502" t="s">
        <v>27254</v>
      </c>
      <c r="T12502" t="s">
        <v>27255</v>
      </c>
    </row>
    <row r="12503" spans="1:20" x14ac:dyDescent="0.3">
      <c r="A12503" t="str">
        <f>"0611836637100"</f>
        <v>0611836637100</v>
      </c>
      <c r="B12503" t="str">
        <f>"LL4678"</f>
        <v>LL4678</v>
      </c>
      <c r="C12503" t="s">
        <v>51416</v>
      </c>
      <c r="D12503" t="s">
        <v>27245</v>
      </c>
      <c r="E12503" t="str">
        <f t="shared" si="195"/>
        <v>001390</v>
      </c>
      <c r="F12503" t="s">
        <v>27246</v>
      </c>
      <c r="G12503" t="s">
        <v>27247</v>
      </c>
      <c r="H12503" t="s">
        <v>27248</v>
      </c>
      <c r="I12503" t="s">
        <v>51417</v>
      </c>
      <c r="J12503" t="s">
        <v>25013</v>
      </c>
      <c r="L12503" t="s">
        <v>27250</v>
      </c>
      <c r="M12503" t="s">
        <v>27251</v>
      </c>
      <c r="N12503" t="s">
        <v>27252</v>
      </c>
      <c r="Q12503" s="1">
        <v>44538</v>
      </c>
      <c r="R12503" t="s">
        <v>27253</v>
      </c>
      <c r="S12503" t="s">
        <v>27254</v>
      </c>
      <c r="T12503" t="s">
        <v>27255</v>
      </c>
    </row>
    <row r="12504" spans="1:20" x14ac:dyDescent="0.3">
      <c r="A12504" t="str">
        <f>"0611836638100"</f>
        <v>0611836638100</v>
      </c>
      <c r="B12504" t="str">
        <f>"LL4847"</f>
        <v>LL4847</v>
      </c>
      <c r="C12504" t="s">
        <v>51418</v>
      </c>
      <c r="D12504" t="s">
        <v>27245</v>
      </c>
      <c r="E12504" t="str">
        <f t="shared" si="195"/>
        <v>001390</v>
      </c>
      <c r="F12504" t="s">
        <v>27246</v>
      </c>
      <c r="G12504" t="s">
        <v>27247</v>
      </c>
      <c r="H12504" t="s">
        <v>27248</v>
      </c>
      <c r="I12504" t="s">
        <v>51419</v>
      </c>
      <c r="J12504" t="s">
        <v>25015</v>
      </c>
      <c r="L12504" t="s">
        <v>27250</v>
      </c>
      <c r="M12504" t="s">
        <v>27251</v>
      </c>
      <c r="N12504" t="s">
        <v>27252</v>
      </c>
      <c r="Q12504" s="1">
        <v>44538</v>
      </c>
      <c r="R12504" t="s">
        <v>27253</v>
      </c>
      <c r="S12504" t="s">
        <v>27254</v>
      </c>
      <c r="T12504" t="s">
        <v>27255</v>
      </c>
    </row>
    <row r="12505" spans="1:20" x14ac:dyDescent="0.3">
      <c r="A12505" t="str">
        <f>"0611836639100"</f>
        <v>0611836639100</v>
      </c>
      <c r="B12505" t="str">
        <f>"LL4848"</f>
        <v>LL4848</v>
      </c>
      <c r="C12505" t="s">
        <v>51420</v>
      </c>
      <c r="D12505" t="s">
        <v>27245</v>
      </c>
      <c r="E12505" t="str">
        <f t="shared" si="195"/>
        <v>001390</v>
      </c>
      <c r="F12505" t="s">
        <v>27246</v>
      </c>
      <c r="G12505" t="s">
        <v>27247</v>
      </c>
      <c r="H12505" t="s">
        <v>27248</v>
      </c>
      <c r="I12505" t="s">
        <v>51421</v>
      </c>
      <c r="J12505" t="s">
        <v>25017</v>
      </c>
      <c r="L12505" t="s">
        <v>27250</v>
      </c>
      <c r="M12505" t="s">
        <v>27251</v>
      </c>
      <c r="N12505" t="s">
        <v>27252</v>
      </c>
      <c r="Q12505" s="1">
        <v>44538</v>
      </c>
      <c r="R12505" t="s">
        <v>27253</v>
      </c>
      <c r="S12505" t="s">
        <v>27254</v>
      </c>
      <c r="T12505" t="s">
        <v>27255</v>
      </c>
    </row>
    <row r="12506" spans="1:20" x14ac:dyDescent="0.3">
      <c r="A12506" t="str">
        <f>"0611836640100"</f>
        <v>0611836640100</v>
      </c>
      <c r="B12506" t="str">
        <f>"LL4849"</f>
        <v>LL4849</v>
      </c>
      <c r="C12506" t="s">
        <v>51422</v>
      </c>
      <c r="D12506" t="s">
        <v>27245</v>
      </c>
      <c r="E12506" t="str">
        <f t="shared" si="195"/>
        <v>001390</v>
      </c>
      <c r="F12506" t="s">
        <v>27246</v>
      </c>
      <c r="G12506" t="s">
        <v>27247</v>
      </c>
      <c r="H12506" t="s">
        <v>27248</v>
      </c>
      <c r="I12506" t="s">
        <v>51423</v>
      </c>
      <c r="J12506" t="s">
        <v>25019</v>
      </c>
      <c r="L12506" t="s">
        <v>27250</v>
      </c>
      <c r="M12506" t="s">
        <v>27251</v>
      </c>
      <c r="N12506" t="s">
        <v>27252</v>
      </c>
      <c r="Q12506" s="1">
        <v>44538</v>
      </c>
      <c r="R12506" t="s">
        <v>27253</v>
      </c>
      <c r="S12506" t="s">
        <v>27254</v>
      </c>
      <c r="T12506" t="s">
        <v>27255</v>
      </c>
    </row>
    <row r="12507" spans="1:20" x14ac:dyDescent="0.3">
      <c r="A12507" t="str">
        <f>"0611836641100"</f>
        <v>0611836641100</v>
      </c>
      <c r="B12507" t="str">
        <f>"LL4000"</f>
        <v>LL4000</v>
      </c>
      <c r="C12507" t="s">
        <v>51424</v>
      </c>
      <c r="D12507" t="s">
        <v>27245</v>
      </c>
      <c r="E12507" t="str">
        <f t="shared" si="195"/>
        <v>001390</v>
      </c>
      <c r="F12507" t="s">
        <v>27246</v>
      </c>
      <c r="G12507" t="s">
        <v>27247</v>
      </c>
      <c r="H12507" t="s">
        <v>27248</v>
      </c>
      <c r="I12507" t="s">
        <v>51425</v>
      </c>
      <c r="J12507" t="s">
        <v>25021</v>
      </c>
      <c r="L12507" t="s">
        <v>27250</v>
      </c>
      <c r="M12507" t="s">
        <v>27251</v>
      </c>
      <c r="N12507" t="s">
        <v>27252</v>
      </c>
      <c r="Q12507" s="1">
        <v>44538</v>
      </c>
      <c r="R12507" t="s">
        <v>27253</v>
      </c>
      <c r="S12507" t="s">
        <v>27254</v>
      </c>
      <c r="T12507" t="s">
        <v>27255</v>
      </c>
    </row>
    <row r="12508" spans="1:20" x14ac:dyDescent="0.3">
      <c r="A12508" t="str">
        <f>"0611836642100"</f>
        <v>0611836642100</v>
      </c>
      <c r="B12508" t="str">
        <f>"LL0086"</f>
        <v>LL0086</v>
      </c>
      <c r="C12508" t="s">
        <v>51426</v>
      </c>
      <c r="D12508" t="s">
        <v>27245</v>
      </c>
      <c r="E12508" t="str">
        <f t="shared" si="195"/>
        <v>001390</v>
      </c>
      <c r="F12508" t="s">
        <v>27246</v>
      </c>
      <c r="G12508" t="s">
        <v>27247</v>
      </c>
      <c r="H12508" t="s">
        <v>27248</v>
      </c>
      <c r="I12508" t="s">
        <v>51427</v>
      </c>
      <c r="J12508" t="s">
        <v>25023</v>
      </c>
      <c r="L12508" t="s">
        <v>27250</v>
      </c>
      <c r="M12508" t="s">
        <v>27251</v>
      </c>
      <c r="N12508" t="s">
        <v>27252</v>
      </c>
      <c r="Q12508" s="1">
        <v>44538</v>
      </c>
      <c r="R12508" t="s">
        <v>27253</v>
      </c>
      <c r="S12508" t="s">
        <v>27254</v>
      </c>
      <c r="T12508" t="s">
        <v>27255</v>
      </c>
    </row>
    <row r="12509" spans="1:20" x14ac:dyDescent="0.3">
      <c r="A12509" t="str">
        <f>"0611836643100"</f>
        <v>0611836643100</v>
      </c>
      <c r="B12509" t="str">
        <f>"LL0087"</f>
        <v>LL0087</v>
      </c>
      <c r="C12509" t="s">
        <v>51428</v>
      </c>
      <c r="D12509" t="s">
        <v>27245</v>
      </c>
      <c r="E12509" t="str">
        <f t="shared" si="195"/>
        <v>001390</v>
      </c>
      <c r="F12509" t="s">
        <v>27246</v>
      </c>
      <c r="G12509" t="s">
        <v>27247</v>
      </c>
      <c r="H12509" t="s">
        <v>27248</v>
      </c>
      <c r="I12509" t="s">
        <v>51429</v>
      </c>
      <c r="J12509" t="s">
        <v>25025</v>
      </c>
      <c r="L12509" t="s">
        <v>27250</v>
      </c>
      <c r="M12509" t="s">
        <v>27251</v>
      </c>
      <c r="N12509" t="s">
        <v>27252</v>
      </c>
      <c r="Q12509" s="1">
        <v>44538</v>
      </c>
      <c r="R12509" t="s">
        <v>27253</v>
      </c>
      <c r="S12509" t="s">
        <v>27254</v>
      </c>
      <c r="T12509" t="s">
        <v>27255</v>
      </c>
    </row>
    <row r="12510" spans="1:20" x14ac:dyDescent="0.3">
      <c r="A12510" t="str">
        <f>"0611836644100"</f>
        <v>0611836644100</v>
      </c>
      <c r="B12510" t="str">
        <f>"LL0037"</f>
        <v>LL0037</v>
      </c>
      <c r="C12510" t="s">
        <v>51430</v>
      </c>
      <c r="D12510" t="s">
        <v>27245</v>
      </c>
      <c r="E12510" t="str">
        <f t="shared" si="195"/>
        <v>001390</v>
      </c>
      <c r="F12510" t="s">
        <v>27246</v>
      </c>
      <c r="G12510" t="s">
        <v>27247</v>
      </c>
      <c r="H12510" t="s">
        <v>27248</v>
      </c>
      <c r="I12510" t="s">
        <v>51431</v>
      </c>
      <c r="J12510" t="s">
        <v>25027</v>
      </c>
      <c r="L12510" t="s">
        <v>27250</v>
      </c>
      <c r="M12510" t="s">
        <v>27251</v>
      </c>
      <c r="N12510" t="s">
        <v>27252</v>
      </c>
      <c r="Q12510" s="1">
        <v>44538</v>
      </c>
      <c r="R12510" t="s">
        <v>27253</v>
      </c>
      <c r="S12510" t="s">
        <v>27254</v>
      </c>
      <c r="T12510" t="s">
        <v>27255</v>
      </c>
    </row>
    <row r="12511" spans="1:20" x14ac:dyDescent="0.3">
      <c r="A12511" t="str">
        <f>"0611836645100"</f>
        <v>0611836645100</v>
      </c>
      <c r="B12511" t="str">
        <f>"LL3912"</f>
        <v>LL3912</v>
      </c>
      <c r="C12511" t="s">
        <v>51432</v>
      </c>
      <c r="D12511" t="s">
        <v>27245</v>
      </c>
      <c r="E12511" t="str">
        <f t="shared" si="195"/>
        <v>001390</v>
      </c>
      <c r="F12511" t="s">
        <v>27246</v>
      </c>
      <c r="G12511" t="s">
        <v>27247</v>
      </c>
      <c r="H12511" t="s">
        <v>27248</v>
      </c>
      <c r="I12511" t="s">
        <v>51433</v>
      </c>
      <c r="J12511" t="s">
        <v>25029</v>
      </c>
      <c r="L12511" t="s">
        <v>27250</v>
      </c>
      <c r="M12511" t="s">
        <v>27251</v>
      </c>
      <c r="N12511" t="s">
        <v>27252</v>
      </c>
      <c r="Q12511" s="1">
        <v>44538</v>
      </c>
      <c r="R12511" t="s">
        <v>27253</v>
      </c>
      <c r="S12511" t="s">
        <v>27254</v>
      </c>
      <c r="T12511" t="s">
        <v>27255</v>
      </c>
    </row>
    <row r="12512" spans="1:20" x14ac:dyDescent="0.3">
      <c r="A12512" t="str">
        <f>"0611836646100"</f>
        <v>0611836646100</v>
      </c>
      <c r="B12512" t="str">
        <f>"LL0088"</f>
        <v>LL0088</v>
      </c>
      <c r="C12512" t="s">
        <v>51434</v>
      </c>
      <c r="D12512" t="s">
        <v>27245</v>
      </c>
      <c r="E12512" t="str">
        <f t="shared" si="195"/>
        <v>001390</v>
      </c>
      <c r="F12512" t="s">
        <v>27246</v>
      </c>
      <c r="G12512" t="s">
        <v>27247</v>
      </c>
      <c r="H12512" t="s">
        <v>27248</v>
      </c>
      <c r="I12512" t="s">
        <v>51435</v>
      </c>
      <c r="J12512" t="s">
        <v>25031</v>
      </c>
      <c r="L12512" t="s">
        <v>27250</v>
      </c>
      <c r="M12512" t="s">
        <v>27251</v>
      </c>
      <c r="N12512" t="s">
        <v>27252</v>
      </c>
      <c r="Q12512" s="1">
        <v>44538</v>
      </c>
      <c r="R12512" t="s">
        <v>27253</v>
      </c>
      <c r="S12512" t="s">
        <v>27254</v>
      </c>
      <c r="T12512" t="s">
        <v>27255</v>
      </c>
    </row>
    <row r="12513" spans="1:20" x14ac:dyDescent="0.3">
      <c r="A12513" t="str">
        <f>"0611836647100"</f>
        <v>0611836647100</v>
      </c>
      <c r="B12513" t="str">
        <f>"LL4871"</f>
        <v>LL4871</v>
      </c>
      <c r="C12513" t="s">
        <v>51436</v>
      </c>
      <c r="D12513" t="s">
        <v>27245</v>
      </c>
      <c r="E12513" t="str">
        <f t="shared" si="195"/>
        <v>001390</v>
      </c>
      <c r="F12513" t="s">
        <v>27246</v>
      </c>
      <c r="G12513" t="s">
        <v>27247</v>
      </c>
      <c r="H12513" t="s">
        <v>27248</v>
      </c>
      <c r="I12513" t="s">
        <v>51437</v>
      </c>
      <c r="J12513" t="s">
        <v>25033</v>
      </c>
      <c r="L12513" t="s">
        <v>27250</v>
      </c>
      <c r="M12513" t="s">
        <v>27251</v>
      </c>
      <c r="N12513" t="s">
        <v>27252</v>
      </c>
      <c r="Q12513" s="1">
        <v>44538</v>
      </c>
      <c r="R12513" t="s">
        <v>27253</v>
      </c>
      <c r="S12513" t="s">
        <v>27254</v>
      </c>
      <c r="T12513" t="s">
        <v>27255</v>
      </c>
    </row>
    <row r="12514" spans="1:20" x14ac:dyDescent="0.3">
      <c r="A12514" t="str">
        <f>"0611836648100"</f>
        <v>0611836648100</v>
      </c>
      <c r="B12514" t="str">
        <f>"LL0018"</f>
        <v>LL0018</v>
      </c>
      <c r="C12514" t="s">
        <v>51438</v>
      </c>
      <c r="D12514" t="s">
        <v>27245</v>
      </c>
      <c r="E12514" t="str">
        <f t="shared" si="195"/>
        <v>001390</v>
      </c>
      <c r="F12514" t="s">
        <v>27246</v>
      </c>
      <c r="G12514" t="s">
        <v>27247</v>
      </c>
      <c r="H12514" t="s">
        <v>27248</v>
      </c>
      <c r="I12514" t="s">
        <v>51439</v>
      </c>
      <c r="J12514" t="s">
        <v>25035</v>
      </c>
      <c r="L12514" t="s">
        <v>27250</v>
      </c>
      <c r="M12514" t="s">
        <v>27251</v>
      </c>
      <c r="N12514" t="s">
        <v>27252</v>
      </c>
      <c r="Q12514" s="1">
        <v>44538</v>
      </c>
      <c r="R12514" t="s">
        <v>27253</v>
      </c>
      <c r="S12514" t="s">
        <v>27254</v>
      </c>
      <c r="T12514" t="s">
        <v>27255</v>
      </c>
    </row>
    <row r="12515" spans="1:20" x14ac:dyDescent="0.3">
      <c r="A12515" t="str">
        <f>"0611836649100"</f>
        <v>0611836649100</v>
      </c>
      <c r="B12515" t="str">
        <f>"LL8266"</f>
        <v>LL8266</v>
      </c>
      <c r="C12515" t="s">
        <v>51440</v>
      </c>
      <c r="D12515" t="s">
        <v>27245</v>
      </c>
      <c r="E12515" t="str">
        <f t="shared" si="195"/>
        <v>001390</v>
      </c>
      <c r="F12515" t="s">
        <v>27246</v>
      </c>
      <c r="G12515" t="s">
        <v>27247</v>
      </c>
      <c r="H12515" t="s">
        <v>27248</v>
      </c>
      <c r="I12515" t="s">
        <v>51441</v>
      </c>
      <c r="J12515" t="s">
        <v>25037</v>
      </c>
      <c r="L12515" t="s">
        <v>27250</v>
      </c>
      <c r="M12515" t="s">
        <v>27251</v>
      </c>
      <c r="N12515" t="s">
        <v>27252</v>
      </c>
      <c r="Q12515" s="1">
        <v>44538</v>
      </c>
      <c r="R12515" t="s">
        <v>27253</v>
      </c>
      <c r="S12515" t="s">
        <v>27254</v>
      </c>
      <c r="T12515" t="s">
        <v>27255</v>
      </c>
    </row>
    <row r="12516" spans="1:20" x14ac:dyDescent="0.3">
      <c r="A12516" t="str">
        <f>"0611836650100"</f>
        <v>0611836650100</v>
      </c>
      <c r="B12516" t="str">
        <f>"LL4715"</f>
        <v>LL4715</v>
      </c>
      <c r="C12516" t="s">
        <v>51442</v>
      </c>
      <c r="D12516" t="s">
        <v>27245</v>
      </c>
      <c r="E12516" t="str">
        <f t="shared" si="195"/>
        <v>001390</v>
      </c>
      <c r="F12516" t="s">
        <v>27246</v>
      </c>
      <c r="G12516" t="s">
        <v>27247</v>
      </c>
      <c r="H12516" t="s">
        <v>27248</v>
      </c>
      <c r="I12516" t="s">
        <v>51443</v>
      </c>
      <c r="J12516" t="s">
        <v>25039</v>
      </c>
      <c r="L12516" t="s">
        <v>27250</v>
      </c>
      <c r="M12516" t="s">
        <v>27251</v>
      </c>
      <c r="N12516" t="s">
        <v>27252</v>
      </c>
      <c r="Q12516" s="1">
        <v>44538</v>
      </c>
      <c r="R12516" t="s">
        <v>27253</v>
      </c>
      <c r="S12516" t="s">
        <v>27254</v>
      </c>
      <c r="T12516" t="s">
        <v>27255</v>
      </c>
    </row>
    <row r="12517" spans="1:20" x14ac:dyDescent="0.3">
      <c r="A12517" t="str">
        <f>"0611836651100"</f>
        <v>0611836651100</v>
      </c>
      <c r="B12517" t="str">
        <f>"MB1248"</f>
        <v>MB1248</v>
      </c>
      <c r="C12517" t="s">
        <v>51444</v>
      </c>
      <c r="D12517" t="s">
        <v>27274</v>
      </c>
      <c r="E12517" t="str">
        <f t="shared" si="195"/>
        <v>001390</v>
      </c>
      <c r="F12517" t="s">
        <v>27246</v>
      </c>
      <c r="G12517" t="s">
        <v>27247</v>
      </c>
      <c r="H12517" t="s">
        <v>27248</v>
      </c>
      <c r="I12517" t="s">
        <v>51445</v>
      </c>
      <c r="J12517" t="s">
        <v>25041</v>
      </c>
      <c r="L12517" t="s">
        <v>27250</v>
      </c>
      <c r="M12517" t="s">
        <v>27251</v>
      </c>
      <c r="N12517" t="s">
        <v>27252</v>
      </c>
      <c r="Q12517" s="1">
        <v>44538</v>
      </c>
      <c r="R12517" t="s">
        <v>27253</v>
      </c>
      <c r="S12517" t="s">
        <v>27254</v>
      </c>
      <c r="T12517" t="s">
        <v>27276</v>
      </c>
    </row>
    <row r="12518" spans="1:20" x14ac:dyDescent="0.3">
      <c r="A12518" t="str">
        <f>"0611836652100"</f>
        <v>0611836652100</v>
      </c>
      <c r="B12518" t="str">
        <f>"LL4720"</f>
        <v>LL4720</v>
      </c>
      <c r="C12518" t="s">
        <v>51444</v>
      </c>
      <c r="D12518" t="s">
        <v>27245</v>
      </c>
      <c r="E12518" t="str">
        <f t="shared" si="195"/>
        <v>001390</v>
      </c>
      <c r="F12518" t="s">
        <v>27246</v>
      </c>
      <c r="G12518" t="s">
        <v>27247</v>
      </c>
      <c r="H12518" t="s">
        <v>27248</v>
      </c>
      <c r="I12518" t="s">
        <v>51446</v>
      </c>
      <c r="J12518" t="s">
        <v>25043</v>
      </c>
      <c r="L12518" t="s">
        <v>27250</v>
      </c>
      <c r="M12518" t="s">
        <v>27251</v>
      </c>
      <c r="N12518" t="s">
        <v>27252</v>
      </c>
      <c r="Q12518" s="1">
        <v>44538</v>
      </c>
      <c r="R12518" t="s">
        <v>27253</v>
      </c>
      <c r="S12518" t="s">
        <v>27254</v>
      </c>
      <c r="T12518" t="s">
        <v>27255</v>
      </c>
    </row>
    <row r="12519" spans="1:20" x14ac:dyDescent="0.3">
      <c r="A12519" t="str">
        <f>"0611836654100"</f>
        <v>0611836654100</v>
      </c>
      <c r="B12519" t="str">
        <f>"LL8035"</f>
        <v>LL8035</v>
      </c>
      <c r="C12519" t="s">
        <v>51447</v>
      </c>
      <c r="D12519" t="s">
        <v>27245</v>
      </c>
      <c r="E12519" t="str">
        <f t="shared" si="195"/>
        <v>001390</v>
      </c>
      <c r="F12519" t="s">
        <v>27246</v>
      </c>
      <c r="G12519" t="s">
        <v>27247</v>
      </c>
      <c r="H12519" t="s">
        <v>27248</v>
      </c>
      <c r="I12519" t="s">
        <v>51448</v>
      </c>
      <c r="J12519" t="s">
        <v>25045</v>
      </c>
      <c r="L12519" t="s">
        <v>27250</v>
      </c>
      <c r="M12519" t="s">
        <v>27251</v>
      </c>
      <c r="N12519" t="s">
        <v>27252</v>
      </c>
      <c r="Q12519" s="1">
        <v>44538</v>
      </c>
      <c r="R12519" t="s">
        <v>27253</v>
      </c>
      <c r="S12519" t="s">
        <v>27254</v>
      </c>
      <c r="T12519" t="s">
        <v>27255</v>
      </c>
    </row>
    <row r="12520" spans="1:20" x14ac:dyDescent="0.3">
      <c r="A12520" t="str">
        <f>"0611836655100"</f>
        <v>0611836655100</v>
      </c>
      <c r="B12520" t="str">
        <f>"LL8065"</f>
        <v>LL8065</v>
      </c>
      <c r="C12520" t="s">
        <v>51449</v>
      </c>
      <c r="D12520" t="s">
        <v>27245</v>
      </c>
      <c r="E12520" t="str">
        <f t="shared" si="195"/>
        <v>001390</v>
      </c>
      <c r="F12520" t="s">
        <v>27246</v>
      </c>
      <c r="G12520" t="s">
        <v>27247</v>
      </c>
      <c r="H12520" t="s">
        <v>27248</v>
      </c>
      <c r="I12520" t="s">
        <v>51450</v>
      </c>
      <c r="J12520" t="s">
        <v>25047</v>
      </c>
      <c r="L12520" t="s">
        <v>27250</v>
      </c>
      <c r="M12520" t="s">
        <v>27251</v>
      </c>
      <c r="N12520" t="s">
        <v>27252</v>
      </c>
      <c r="Q12520" s="1">
        <v>44538</v>
      </c>
      <c r="R12520" t="s">
        <v>27253</v>
      </c>
      <c r="S12520" t="s">
        <v>27254</v>
      </c>
      <c r="T12520" t="s">
        <v>27255</v>
      </c>
    </row>
    <row r="12521" spans="1:20" x14ac:dyDescent="0.3">
      <c r="A12521" t="str">
        <f>"0611836656100"</f>
        <v>0611836656100</v>
      </c>
      <c r="B12521" t="str">
        <f>"LL4850"</f>
        <v>LL4850</v>
      </c>
      <c r="C12521" t="s">
        <v>51451</v>
      </c>
      <c r="D12521" t="s">
        <v>28138</v>
      </c>
      <c r="E12521" t="str">
        <f t="shared" si="195"/>
        <v>001390</v>
      </c>
      <c r="F12521" t="s">
        <v>27246</v>
      </c>
      <c r="G12521" t="s">
        <v>27247</v>
      </c>
      <c r="H12521" t="s">
        <v>27248</v>
      </c>
      <c r="I12521" t="s">
        <v>51452</v>
      </c>
      <c r="J12521" t="s">
        <v>25049</v>
      </c>
      <c r="L12521" t="s">
        <v>27250</v>
      </c>
      <c r="M12521" t="s">
        <v>27251</v>
      </c>
      <c r="N12521" t="s">
        <v>27252</v>
      </c>
      <c r="P12521" t="s">
        <v>27925</v>
      </c>
      <c r="Q12521" s="1">
        <v>44538</v>
      </c>
      <c r="R12521" t="s">
        <v>27253</v>
      </c>
      <c r="S12521" t="s">
        <v>27254</v>
      </c>
      <c r="T12521" t="s">
        <v>27255</v>
      </c>
    </row>
    <row r="12522" spans="1:20" x14ac:dyDescent="0.3">
      <c r="A12522" t="str">
        <f>"0611836657100"</f>
        <v>0611836657100</v>
      </c>
      <c r="B12522" t="str">
        <f>"LL4730"</f>
        <v>LL4730</v>
      </c>
      <c r="C12522" t="s">
        <v>51453</v>
      </c>
      <c r="D12522" t="s">
        <v>27245</v>
      </c>
      <c r="E12522" t="str">
        <f t="shared" si="195"/>
        <v>001390</v>
      </c>
      <c r="F12522" t="s">
        <v>27246</v>
      </c>
      <c r="G12522" t="s">
        <v>27247</v>
      </c>
      <c r="H12522" t="s">
        <v>27248</v>
      </c>
      <c r="I12522" t="s">
        <v>51454</v>
      </c>
      <c r="J12522" t="s">
        <v>25051</v>
      </c>
      <c r="L12522" t="s">
        <v>27250</v>
      </c>
      <c r="M12522" t="s">
        <v>27251</v>
      </c>
      <c r="N12522" t="s">
        <v>27252</v>
      </c>
      <c r="Q12522" s="1">
        <v>44538</v>
      </c>
      <c r="R12522" t="s">
        <v>27253</v>
      </c>
      <c r="S12522" t="s">
        <v>27254</v>
      </c>
      <c r="T12522" t="s">
        <v>27255</v>
      </c>
    </row>
    <row r="12523" spans="1:20" x14ac:dyDescent="0.3">
      <c r="A12523" t="str">
        <f>"0611836658100"</f>
        <v>0611836658100</v>
      </c>
      <c r="B12523" t="str">
        <f>"LL4866"</f>
        <v>LL4866</v>
      </c>
      <c r="C12523" t="s">
        <v>51455</v>
      </c>
      <c r="D12523" t="s">
        <v>27245</v>
      </c>
      <c r="E12523" t="str">
        <f t="shared" si="195"/>
        <v>001390</v>
      </c>
      <c r="F12523" t="s">
        <v>27246</v>
      </c>
      <c r="G12523" t="s">
        <v>27247</v>
      </c>
      <c r="H12523" t="s">
        <v>27248</v>
      </c>
      <c r="I12523" t="s">
        <v>51456</v>
      </c>
      <c r="J12523" t="s">
        <v>25053</v>
      </c>
      <c r="L12523" t="s">
        <v>27250</v>
      </c>
      <c r="M12523" t="s">
        <v>27251</v>
      </c>
      <c r="N12523" t="s">
        <v>27252</v>
      </c>
      <c r="Q12523" s="1">
        <v>44538</v>
      </c>
      <c r="R12523" t="s">
        <v>27253</v>
      </c>
      <c r="S12523" t="s">
        <v>27254</v>
      </c>
      <c r="T12523" t="s">
        <v>27255</v>
      </c>
    </row>
    <row r="12524" spans="1:20" x14ac:dyDescent="0.3">
      <c r="A12524" t="str">
        <f>"0611836659100"</f>
        <v>0611836659100</v>
      </c>
      <c r="B12524" t="str">
        <f>"LL4052"</f>
        <v>LL4052</v>
      </c>
      <c r="C12524" t="s">
        <v>51457</v>
      </c>
      <c r="D12524" t="s">
        <v>28138</v>
      </c>
      <c r="E12524" t="str">
        <f t="shared" si="195"/>
        <v>001390</v>
      </c>
      <c r="F12524" t="s">
        <v>27246</v>
      </c>
      <c r="G12524" t="s">
        <v>27247</v>
      </c>
      <c r="H12524" t="s">
        <v>27248</v>
      </c>
      <c r="I12524" t="s">
        <v>51458</v>
      </c>
      <c r="J12524" t="s">
        <v>25055</v>
      </c>
      <c r="L12524" t="s">
        <v>27250</v>
      </c>
      <c r="M12524" t="s">
        <v>27251</v>
      </c>
      <c r="N12524" t="s">
        <v>27252</v>
      </c>
      <c r="P12524" t="s">
        <v>27925</v>
      </c>
      <c r="Q12524" s="1">
        <v>44538</v>
      </c>
      <c r="R12524" t="s">
        <v>27253</v>
      </c>
      <c r="S12524" t="s">
        <v>27254</v>
      </c>
      <c r="T12524" t="s">
        <v>27255</v>
      </c>
    </row>
    <row r="12525" spans="1:20" x14ac:dyDescent="0.3">
      <c r="A12525" t="str">
        <f>"0611836660100"</f>
        <v>0611836660100</v>
      </c>
      <c r="B12525" t="str">
        <f>"LL4053"</f>
        <v>LL4053</v>
      </c>
      <c r="C12525" t="s">
        <v>51459</v>
      </c>
      <c r="D12525" t="s">
        <v>28138</v>
      </c>
      <c r="E12525" t="str">
        <f t="shared" si="195"/>
        <v>001390</v>
      </c>
      <c r="F12525" t="s">
        <v>27246</v>
      </c>
      <c r="G12525" t="s">
        <v>27247</v>
      </c>
      <c r="H12525" t="s">
        <v>27248</v>
      </c>
      <c r="I12525" t="s">
        <v>51460</v>
      </c>
      <c r="J12525" t="s">
        <v>25057</v>
      </c>
      <c r="L12525" t="s">
        <v>27250</v>
      </c>
      <c r="M12525" t="s">
        <v>27251</v>
      </c>
      <c r="N12525" t="s">
        <v>27252</v>
      </c>
      <c r="P12525" t="s">
        <v>27925</v>
      </c>
      <c r="Q12525" s="1">
        <v>44538</v>
      </c>
      <c r="R12525" t="s">
        <v>27253</v>
      </c>
      <c r="S12525" t="s">
        <v>27254</v>
      </c>
      <c r="T12525" t="s">
        <v>27255</v>
      </c>
    </row>
    <row r="12526" spans="1:20" x14ac:dyDescent="0.3">
      <c r="A12526" t="str">
        <f>"0611836661100"</f>
        <v>0611836661100</v>
      </c>
      <c r="B12526" t="str">
        <f>"LL5032"</f>
        <v>LL5032</v>
      </c>
      <c r="C12526" t="s">
        <v>51461</v>
      </c>
      <c r="D12526" t="s">
        <v>27245</v>
      </c>
      <c r="E12526" t="str">
        <f t="shared" si="195"/>
        <v>001390</v>
      </c>
      <c r="F12526" t="s">
        <v>27246</v>
      </c>
      <c r="G12526" t="s">
        <v>27247</v>
      </c>
      <c r="H12526" t="s">
        <v>27248</v>
      </c>
      <c r="I12526" t="s">
        <v>51462</v>
      </c>
      <c r="J12526" t="s">
        <v>25059</v>
      </c>
      <c r="L12526" t="s">
        <v>27250</v>
      </c>
      <c r="M12526" t="s">
        <v>27251</v>
      </c>
      <c r="N12526" t="s">
        <v>27252</v>
      </c>
      <c r="Q12526" s="1">
        <v>44538</v>
      </c>
      <c r="R12526" t="s">
        <v>27253</v>
      </c>
      <c r="S12526" t="s">
        <v>27254</v>
      </c>
      <c r="T12526" t="s">
        <v>27255</v>
      </c>
    </row>
    <row r="12527" spans="1:20" x14ac:dyDescent="0.3">
      <c r="A12527" t="str">
        <f>"0611836662100"</f>
        <v>0611836662100</v>
      </c>
      <c r="B12527" t="str">
        <f>"LL5033"</f>
        <v>LL5033</v>
      </c>
      <c r="C12527" t="s">
        <v>51463</v>
      </c>
      <c r="D12527" t="s">
        <v>27245</v>
      </c>
      <c r="E12527" t="str">
        <f t="shared" si="195"/>
        <v>001390</v>
      </c>
      <c r="F12527" t="s">
        <v>27246</v>
      </c>
      <c r="G12527" t="s">
        <v>27247</v>
      </c>
      <c r="H12527" t="s">
        <v>27248</v>
      </c>
      <c r="I12527" t="s">
        <v>51464</v>
      </c>
      <c r="J12527" t="s">
        <v>25061</v>
      </c>
      <c r="L12527" t="s">
        <v>27250</v>
      </c>
      <c r="M12527" t="s">
        <v>27251</v>
      </c>
      <c r="N12527" t="s">
        <v>27252</v>
      </c>
      <c r="Q12527" s="1">
        <v>44538</v>
      </c>
      <c r="R12527" t="s">
        <v>27253</v>
      </c>
      <c r="S12527" t="s">
        <v>27254</v>
      </c>
      <c r="T12527" t="s">
        <v>27255</v>
      </c>
    </row>
    <row r="12528" spans="1:20" x14ac:dyDescent="0.3">
      <c r="A12528" t="str">
        <f>"0611836663100"</f>
        <v>0611836663100</v>
      </c>
      <c r="B12528" t="str">
        <f>"LL5034"</f>
        <v>LL5034</v>
      </c>
      <c r="C12528" t="s">
        <v>51465</v>
      </c>
      <c r="D12528" t="s">
        <v>27245</v>
      </c>
      <c r="E12528" t="str">
        <f t="shared" si="195"/>
        <v>001390</v>
      </c>
      <c r="F12528" t="s">
        <v>27246</v>
      </c>
      <c r="G12528" t="s">
        <v>27247</v>
      </c>
      <c r="H12528" t="s">
        <v>27248</v>
      </c>
      <c r="I12528" t="s">
        <v>51466</v>
      </c>
      <c r="J12528" t="s">
        <v>25063</v>
      </c>
      <c r="L12528" t="s">
        <v>27250</v>
      </c>
      <c r="M12528" t="s">
        <v>27251</v>
      </c>
      <c r="N12528" t="s">
        <v>27252</v>
      </c>
      <c r="Q12528" s="1">
        <v>44538</v>
      </c>
      <c r="R12528" t="s">
        <v>27253</v>
      </c>
      <c r="S12528" t="s">
        <v>27254</v>
      </c>
      <c r="T12528" t="s">
        <v>27255</v>
      </c>
    </row>
    <row r="12529" spans="1:20" x14ac:dyDescent="0.3">
      <c r="A12529" t="str">
        <f>"0611836664100"</f>
        <v>0611836664100</v>
      </c>
      <c r="B12529" t="str">
        <f>"LL8267"</f>
        <v>LL8267</v>
      </c>
      <c r="C12529" t="s">
        <v>51467</v>
      </c>
      <c r="D12529" t="s">
        <v>27245</v>
      </c>
      <c r="E12529" t="str">
        <f t="shared" si="195"/>
        <v>001390</v>
      </c>
      <c r="F12529" t="s">
        <v>27246</v>
      </c>
      <c r="G12529" t="s">
        <v>27247</v>
      </c>
      <c r="H12529" t="s">
        <v>27248</v>
      </c>
      <c r="I12529" t="s">
        <v>51468</v>
      </c>
      <c r="J12529" t="s">
        <v>25065</v>
      </c>
      <c r="L12529" t="s">
        <v>27250</v>
      </c>
      <c r="M12529" t="s">
        <v>27251</v>
      </c>
      <c r="N12529" t="s">
        <v>27252</v>
      </c>
      <c r="Q12529" s="1">
        <v>44538</v>
      </c>
      <c r="R12529" t="s">
        <v>27253</v>
      </c>
      <c r="S12529" t="s">
        <v>27254</v>
      </c>
      <c r="T12529" t="s">
        <v>27255</v>
      </c>
    </row>
    <row r="12530" spans="1:20" x14ac:dyDescent="0.3">
      <c r="A12530" t="str">
        <f>"0611836665100"</f>
        <v>0611836665100</v>
      </c>
      <c r="B12530" t="str">
        <f>"LL0089"</f>
        <v>LL0089</v>
      </c>
      <c r="C12530" t="s">
        <v>51469</v>
      </c>
      <c r="D12530" t="s">
        <v>27245</v>
      </c>
      <c r="E12530" t="str">
        <f t="shared" si="195"/>
        <v>001390</v>
      </c>
      <c r="F12530" t="s">
        <v>27246</v>
      </c>
      <c r="G12530" t="s">
        <v>27247</v>
      </c>
      <c r="H12530" t="s">
        <v>27248</v>
      </c>
      <c r="I12530" t="s">
        <v>51470</v>
      </c>
      <c r="J12530" t="s">
        <v>25067</v>
      </c>
      <c r="L12530" t="s">
        <v>27250</v>
      </c>
      <c r="M12530" t="s">
        <v>27251</v>
      </c>
      <c r="N12530" t="s">
        <v>27252</v>
      </c>
      <c r="Q12530" s="1">
        <v>44538</v>
      </c>
      <c r="R12530" t="s">
        <v>27253</v>
      </c>
      <c r="S12530" t="s">
        <v>27254</v>
      </c>
      <c r="T12530" t="s">
        <v>27255</v>
      </c>
    </row>
    <row r="12531" spans="1:20" x14ac:dyDescent="0.3">
      <c r="A12531" t="str">
        <f>"0611836666100"</f>
        <v>0611836666100</v>
      </c>
      <c r="B12531" t="str">
        <f>"LL4802"</f>
        <v>LL4802</v>
      </c>
      <c r="C12531" t="s">
        <v>51471</v>
      </c>
      <c r="D12531" t="s">
        <v>27245</v>
      </c>
      <c r="E12531" t="str">
        <f t="shared" si="195"/>
        <v>001390</v>
      </c>
      <c r="F12531" t="s">
        <v>27246</v>
      </c>
      <c r="G12531" t="s">
        <v>27247</v>
      </c>
      <c r="H12531" t="s">
        <v>27248</v>
      </c>
      <c r="I12531" t="s">
        <v>51472</v>
      </c>
      <c r="J12531" t="s">
        <v>25069</v>
      </c>
      <c r="L12531" t="s">
        <v>27250</v>
      </c>
      <c r="M12531" t="s">
        <v>27251</v>
      </c>
      <c r="N12531" t="s">
        <v>27252</v>
      </c>
      <c r="Q12531" s="1">
        <v>44538</v>
      </c>
      <c r="R12531" t="s">
        <v>27253</v>
      </c>
      <c r="S12531" t="s">
        <v>27254</v>
      </c>
      <c r="T12531" t="s">
        <v>27255</v>
      </c>
    </row>
    <row r="12532" spans="1:20" x14ac:dyDescent="0.3">
      <c r="A12532" t="str">
        <f>"0611836667100"</f>
        <v>0611836667100</v>
      </c>
      <c r="B12532" t="str">
        <f>"LL0101"</f>
        <v>LL0101</v>
      </c>
      <c r="C12532" t="s">
        <v>51473</v>
      </c>
      <c r="D12532" t="s">
        <v>27245</v>
      </c>
      <c r="E12532" t="str">
        <f t="shared" si="195"/>
        <v>001390</v>
      </c>
      <c r="F12532" t="s">
        <v>27246</v>
      </c>
      <c r="G12532" t="s">
        <v>27247</v>
      </c>
      <c r="H12532" t="s">
        <v>27248</v>
      </c>
      <c r="I12532" t="s">
        <v>51474</v>
      </c>
      <c r="J12532" t="s">
        <v>25071</v>
      </c>
      <c r="L12532" t="s">
        <v>27250</v>
      </c>
      <c r="M12532" t="s">
        <v>27251</v>
      </c>
      <c r="N12532" t="s">
        <v>27252</v>
      </c>
      <c r="Q12532" s="1">
        <v>44538</v>
      </c>
      <c r="R12532" t="s">
        <v>27253</v>
      </c>
      <c r="S12532" t="s">
        <v>27254</v>
      </c>
      <c r="T12532" t="s">
        <v>27255</v>
      </c>
    </row>
    <row r="12533" spans="1:20" x14ac:dyDescent="0.3">
      <c r="A12533" t="str">
        <f>"0611836668100"</f>
        <v>0611836668100</v>
      </c>
      <c r="B12533" t="str">
        <f>"LL0038"</f>
        <v>LL0038</v>
      </c>
      <c r="C12533" t="s">
        <v>51475</v>
      </c>
      <c r="D12533" t="s">
        <v>27245</v>
      </c>
      <c r="E12533" t="str">
        <f t="shared" si="195"/>
        <v>001390</v>
      </c>
      <c r="F12533" t="s">
        <v>27246</v>
      </c>
      <c r="G12533" t="s">
        <v>27247</v>
      </c>
      <c r="H12533" t="s">
        <v>27248</v>
      </c>
      <c r="I12533" t="s">
        <v>51476</v>
      </c>
      <c r="J12533" t="s">
        <v>25073</v>
      </c>
      <c r="L12533" t="s">
        <v>27250</v>
      </c>
      <c r="M12533" t="s">
        <v>27251</v>
      </c>
      <c r="N12533" t="s">
        <v>27252</v>
      </c>
      <c r="Q12533" s="1">
        <v>44538</v>
      </c>
      <c r="R12533" t="s">
        <v>27253</v>
      </c>
      <c r="S12533" t="s">
        <v>27254</v>
      </c>
      <c r="T12533" t="s">
        <v>27255</v>
      </c>
    </row>
    <row r="12534" spans="1:20" x14ac:dyDescent="0.3">
      <c r="A12534" t="str">
        <f>"0611836669100"</f>
        <v>0611836669100</v>
      </c>
      <c r="B12534" t="str">
        <f>"LL8268"</f>
        <v>LL8268</v>
      </c>
      <c r="C12534" t="s">
        <v>51477</v>
      </c>
      <c r="D12534" t="s">
        <v>27245</v>
      </c>
      <c r="E12534" t="str">
        <f t="shared" si="195"/>
        <v>001390</v>
      </c>
      <c r="F12534" t="s">
        <v>27246</v>
      </c>
      <c r="G12534" t="s">
        <v>27247</v>
      </c>
      <c r="H12534" t="s">
        <v>27248</v>
      </c>
      <c r="I12534" t="s">
        <v>51478</v>
      </c>
      <c r="J12534" t="s">
        <v>25075</v>
      </c>
      <c r="L12534" t="s">
        <v>27250</v>
      </c>
      <c r="M12534" t="s">
        <v>27251</v>
      </c>
      <c r="N12534" t="s">
        <v>27252</v>
      </c>
      <c r="Q12534" s="1">
        <v>44538</v>
      </c>
      <c r="R12534" t="s">
        <v>27253</v>
      </c>
      <c r="S12534" t="s">
        <v>27254</v>
      </c>
      <c r="T12534" t="s">
        <v>27255</v>
      </c>
    </row>
    <row r="12535" spans="1:20" x14ac:dyDescent="0.3">
      <c r="A12535" t="str">
        <f>"0611836670100"</f>
        <v>0611836670100</v>
      </c>
      <c r="B12535" t="str">
        <f>"LL5035"</f>
        <v>LL5035</v>
      </c>
      <c r="C12535" t="s">
        <v>51479</v>
      </c>
      <c r="D12535" t="s">
        <v>27245</v>
      </c>
      <c r="E12535" t="str">
        <f t="shared" si="195"/>
        <v>001390</v>
      </c>
      <c r="F12535" t="s">
        <v>27246</v>
      </c>
      <c r="G12535" t="s">
        <v>27247</v>
      </c>
      <c r="H12535" t="s">
        <v>27248</v>
      </c>
      <c r="I12535" t="s">
        <v>51480</v>
      </c>
      <c r="J12535" t="s">
        <v>25077</v>
      </c>
      <c r="L12535" t="s">
        <v>27250</v>
      </c>
      <c r="M12535" t="s">
        <v>27251</v>
      </c>
      <c r="N12535" t="s">
        <v>27252</v>
      </c>
      <c r="Q12535" s="1">
        <v>44538</v>
      </c>
      <c r="R12535" t="s">
        <v>27253</v>
      </c>
      <c r="S12535" t="s">
        <v>27254</v>
      </c>
      <c r="T12535" t="s">
        <v>27255</v>
      </c>
    </row>
    <row r="12536" spans="1:20" x14ac:dyDescent="0.3">
      <c r="A12536" t="str">
        <f>"0611836671100"</f>
        <v>0611836671100</v>
      </c>
      <c r="B12536" t="str">
        <f>"LL3899"</f>
        <v>LL3899</v>
      </c>
      <c r="C12536" t="s">
        <v>51481</v>
      </c>
      <c r="D12536" t="s">
        <v>27245</v>
      </c>
      <c r="E12536" t="str">
        <f t="shared" si="195"/>
        <v>001390</v>
      </c>
      <c r="F12536" t="s">
        <v>27246</v>
      </c>
      <c r="G12536" t="s">
        <v>27247</v>
      </c>
      <c r="H12536" t="s">
        <v>27248</v>
      </c>
      <c r="I12536" t="s">
        <v>51482</v>
      </c>
      <c r="J12536" t="s">
        <v>25079</v>
      </c>
      <c r="L12536" t="s">
        <v>27250</v>
      </c>
      <c r="M12536" t="s">
        <v>27251</v>
      </c>
      <c r="N12536" t="s">
        <v>27252</v>
      </c>
      <c r="Q12536" s="1">
        <v>44538</v>
      </c>
      <c r="R12536" t="s">
        <v>27253</v>
      </c>
      <c r="S12536" t="s">
        <v>27254</v>
      </c>
      <c r="T12536" t="s">
        <v>27255</v>
      </c>
    </row>
    <row r="12537" spans="1:20" x14ac:dyDescent="0.3">
      <c r="A12537" t="str">
        <f>"0611836672100"</f>
        <v>0611836672100</v>
      </c>
      <c r="B12537" t="str">
        <f>"LL0039"</f>
        <v>LL0039</v>
      </c>
      <c r="C12537" t="s">
        <v>51483</v>
      </c>
      <c r="D12537" t="s">
        <v>27245</v>
      </c>
      <c r="E12537" t="str">
        <f t="shared" si="195"/>
        <v>001390</v>
      </c>
      <c r="F12537" t="s">
        <v>27246</v>
      </c>
      <c r="G12537" t="s">
        <v>27247</v>
      </c>
      <c r="H12537" t="s">
        <v>27248</v>
      </c>
      <c r="I12537" t="s">
        <v>51484</v>
      </c>
      <c r="J12537" t="s">
        <v>25081</v>
      </c>
      <c r="L12537" t="s">
        <v>27250</v>
      </c>
      <c r="M12537" t="s">
        <v>27251</v>
      </c>
      <c r="N12537" t="s">
        <v>27252</v>
      </c>
      <c r="Q12537" s="1">
        <v>44538</v>
      </c>
      <c r="R12537" t="s">
        <v>27253</v>
      </c>
      <c r="S12537" t="s">
        <v>27254</v>
      </c>
      <c r="T12537" t="s">
        <v>27255</v>
      </c>
    </row>
    <row r="12538" spans="1:20" x14ac:dyDescent="0.3">
      <c r="A12538" t="str">
        <f>"0611857160100"</f>
        <v>0611857160100</v>
      </c>
      <c r="B12538" t="str">
        <f>"LL5050"</f>
        <v>LL5050</v>
      </c>
      <c r="C12538" t="s">
        <v>51485</v>
      </c>
      <c r="D12538" t="s">
        <v>27245</v>
      </c>
      <c r="E12538" t="str">
        <f t="shared" si="195"/>
        <v>001390</v>
      </c>
      <c r="F12538" t="s">
        <v>27246</v>
      </c>
      <c r="G12538" t="s">
        <v>27247</v>
      </c>
      <c r="H12538" t="s">
        <v>27248</v>
      </c>
      <c r="I12538" t="s">
        <v>51486</v>
      </c>
      <c r="J12538" t="s">
        <v>25083</v>
      </c>
      <c r="L12538" t="s">
        <v>27250</v>
      </c>
      <c r="M12538" t="s">
        <v>27251</v>
      </c>
      <c r="N12538" t="s">
        <v>27252</v>
      </c>
      <c r="Q12538" s="1">
        <v>44812</v>
      </c>
      <c r="R12538" t="s">
        <v>27253</v>
      </c>
      <c r="S12538" t="s">
        <v>27254</v>
      </c>
      <c r="T12538" t="s">
        <v>27255</v>
      </c>
    </row>
    <row r="12539" spans="1:20" x14ac:dyDescent="0.3">
      <c r="A12539" t="str">
        <f>"0611836673100"</f>
        <v>0611836673100</v>
      </c>
      <c r="B12539" t="str">
        <f>"LL3974"</f>
        <v>LL3974</v>
      </c>
      <c r="C12539" t="s">
        <v>51487</v>
      </c>
      <c r="D12539" t="s">
        <v>27245</v>
      </c>
      <c r="E12539" t="str">
        <f t="shared" si="195"/>
        <v>001390</v>
      </c>
      <c r="F12539" t="s">
        <v>27246</v>
      </c>
      <c r="G12539" t="s">
        <v>27247</v>
      </c>
      <c r="H12539" t="s">
        <v>27248</v>
      </c>
      <c r="I12539" t="s">
        <v>51488</v>
      </c>
      <c r="J12539" t="s">
        <v>25085</v>
      </c>
      <c r="L12539" t="s">
        <v>27250</v>
      </c>
      <c r="M12539" t="s">
        <v>27251</v>
      </c>
      <c r="N12539" t="s">
        <v>27252</v>
      </c>
      <c r="Q12539" s="1">
        <v>44538</v>
      </c>
      <c r="R12539" t="s">
        <v>27253</v>
      </c>
      <c r="S12539" t="s">
        <v>27254</v>
      </c>
      <c r="T12539" t="s">
        <v>27255</v>
      </c>
    </row>
    <row r="12540" spans="1:20" x14ac:dyDescent="0.3">
      <c r="A12540" t="str">
        <f>"0611836674100"</f>
        <v>0611836674100</v>
      </c>
      <c r="B12540" t="str">
        <f>"LL4778"</f>
        <v>LL4778</v>
      </c>
      <c r="C12540" t="s">
        <v>51489</v>
      </c>
      <c r="D12540" t="s">
        <v>27245</v>
      </c>
      <c r="E12540" t="str">
        <f t="shared" si="195"/>
        <v>001390</v>
      </c>
      <c r="F12540" t="s">
        <v>27246</v>
      </c>
      <c r="G12540" t="s">
        <v>27247</v>
      </c>
      <c r="H12540" t="s">
        <v>27248</v>
      </c>
      <c r="I12540" t="s">
        <v>51490</v>
      </c>
      <c r="J12540" t="s">
        <v>25087</v>
      </c>
      <c r="L12540" t="s">
        <v>27250</v>
      </c>
      <c r="M12540" t="s">
        <v>27251</v>
      </c>
      <c r="N12540" t="s">
        <v>27252</v>
      </c>
      <c r="Q12540" s="1">
        <v>44538</v>
      </c>
      <c r="R12540" t="s">
        <v>27253</v>
      </c>
      <c r="S12540" t="s">
        <v>27254</v>
      </c>
      <c r="T12540" t="s">
        <v>27255</v>
      </c>
    </row>
    <row r="12541" spans="1:20" x14ac:dyDescent="0.3">
      <c r="A12541" t="str">
        <f>"0611836675100"</f>
        <v>0611836675100</v>
      </c>
      <c r="B12541" t="str">
        <f>"LL8066"</f>
        <v>LL8066</v>
      </c>
      <c r="C12541" t="s">
        <v>51491</v>
      </c>
      <c r="D12541" t="s">
        <v>27245</v>
      </c>
      <c r="E12541" t="str">
        <f t="shared" si="195"/>
        <v>001390</v>
      </c>
      <c r="F12541" t="s">
        <v>27246</v>
      </c>
      <c r="G12541" t="s">
        <v>27247</v>
      </c>
      <c r="H12541" t="s">
        <v>27248</v>
      </c>
      <c r="I12541" t="s">
        <v>51492</v>
      </c>
      <c r="J12541" t="s">
        <v>25089</v>
      </c>
      <c r="L12541" t="s">
        <v>27250</v>
      </c>
      <c r="M12541" t="s">
        <v>27251</v>
      </c>
      <c r="N12541" t="s">
        <v>27252</v>
      </c>
      <c r="Q12541" s="1">
        <v>44538</v>
      </c>
      <c r="R12541" t="s">
        <v>27253</v>
      </c>
      <c r="S12541" t="s">
        <v>27254</v>
      </c>
      <c r="T12541" t="s">
        <v>27255</v>
      </c>
    </row>
    <row r="12542" spans="1:20" x14ac:dyDescent="0.3">
      <c r="A12542" t="str">
        <f>"0611836676100"</f>
        <v>0611836676100</v>
      </c>
      <c r="B12542" t="str">
        <f>"LL4012"</f>
        <v>LL4012</v>
      </c>
      <c r="C12542" t="s">
        <v>51493</v>
      </c>
      <c r="D12542" t="s">
        <v>27245</v>
      </c>
      <c r="E12542" t="str">
        <f t="shared" si="195"/>
        <v>001390</v>
      </c>
      <c r="F12542" t="s">
        <v>27246</v>
      </c>
      <c r="G12542" t="s">
        <v>27247</v>
      </c>
      <c r="H12542" t="s">
        <v>27248</v>
      </c>
      <c r="I12542" t="s">
        <v>51494</v>
      </c>
      <c r="J12542" t="s">
        <v>25091</v>
      </c>
      <c r="L12542" t="s">
        <v>27250</v>
      </c>
      <c r="M12542" t="s">
        <v>27251</v>
      </c>
      <c r="N12542" t="s">
        <v>27252</v>
      </c>
      <c r="Q12542" s="1">
        <v>44538</v>
      </c>
      <c r="R12542" t="s">
        <v>27253</v>
      </c>
      <c r="S12542" t="s">
        <v>27254</v>
      </c>
      <c r="T12542" t="s">
        <v>27255</v>
      </c>
    </row>
    <row r="12543" spans="1:20" x14ac:dyDescent="0.3">
      <c r="A12543" t="str">
        <f>"0611836677100"</f>
        <v>0611836677100</v>
      </c>
      <c r="B12543" t="str">
        <f>"LL4779"</f>
        <v>LL4779</v>
      </c>
      <c r="C12543" t="s">
        <v>51495</v>
      </c>
      <c r="D12543" t="s">
        <v>27245</v>
      </c>
      <c r="E12543" t="str">
        <f t="shared" si="195"/>
        <v>001390</v>
      </c>
      <c r="F12543" t="s">
        <v>27246</v>
      </c>
      <c r="G12543" t="s">
        <v>27247</v>
      </c>
      <c r="H12543" t="s">
        <v>27248</v>
      </c>
      <c r="I12543" t="s">
        <v>51496</v>
      </c>
      <c r="J12543" t="s">
        <v>25093</v>
      </c>
      <c r="L12543" t="s">
        <v>27250</v>
      </c>
      <c r="M12543" t="s">
        <v>27251</v>
      </c>
      <c r="N12543" t="s">
        <v>27252</v>
      </c>
      <c r="Q12543" s="1">
        <v>44538</v>
      </c>
      <c r="R12543" t="s">
        <v>27253</v>
      </c>
      <c r="S12543" t="s">
        <v>27254</v>
      </c>
      <c r="T12543" t="s">
        <v>27255</v>
      </c>
    </row>
    <row r="12544" spans="1:20" x14ac:dyDescent="0.3">
      <c r="A12544" t="str">
        <f>"0611836678100"</f>
        <v>0611836678100</v>
      </c>
      <c r="B12544" t="str">
        <f>"LL8108"</f>
        <v>LL8108</v>
      </c>
      <c r="C12544" t="s">
        <v>51497</v>
      </c>
      <c r="D12544" t="s">
        <v>27245</v>
      </c>
      <c r="E12544" t="str">
        <f t="shared" si="195"/>
        <v>001390</v>
      </c>
      <c r="F12544" t="s">
        <v>27246</v>
      </c>
      <c r="G12544" t="s">
        <v>27247</v>
      </c>
      <c r="H12544" t="s">
        <v>27248</v>
      </c>
      <c r="I12544" t="s">
        <v>51498</v>
      </c>
      <c r="J12544" t="s">
        <v>25097</v>
      </c>
      <c r="L12544" t="s">
        <v>27250</v>
      </c>
      <c r="M12544" t="s">
        <v>27251</v>
      </c>
      <c r="N12544" t="s">
        <v>27252</v>
      </c>
      <c r="Q12544" s="1">
        <v>44538</v>
      </c>
      <c r="R12544" t="s">
        <v>27253</v>
      </c>
      <c r="S12544" t="s">
        <v>27254</v>
      </c>
      <c r="T12544" t="s">
        <v>27255</v>
      </c>
    </row>
    <row r="12545" spans="1:20" x14ac:dyDescent="0.3">
      <c r="A12545" t="str">
        <f>"0611836679100"</f>
        <v>0611836679100</v>
      </c>
      <c r="B12545" t="str">
        <f>"LL3925"</f>
        <v>LL3925</v>
      </c>
      <c r="C12545" t="s">
        <v>51499</v>
      </c>
      <c r="D12545" t="s">
        <v>27245</v>
      </c>
      <c r="E12545" t="str">
        <f t="shared" si="195"/>
        <v>001390</v>
      </c>
      <c r="F12545" t="s">
        <v>27246</v>
      </c>
      <c r="G12545" t="s">
        <v>27247</v>
      </c>
      <c r="H12545" t="s">
        <v>27248</v>
      </c>
      <c r="I12545" t="s">
        <v>51500</v>
      </c>
      <c r="J12545" t="s">
        <v>25095</v>
      </c>
      <c r="L12545" t="s">
        <v>27250</v>
      </c>
      <c r="M12545" t="s">
        <v>27251</v>
      </c>
      <c r="N12545" t="s">
        <v>27252</v>
      </c>
      <c r="Q12545" s="1">
        <v>44538</v>
      </c>
      <c r="R12545" t="s">
        <v>27253</v>
      </c>
      <c r="S12545" t="s">
        <v>27254</v>
      </c>
      <c r="T12545" t="s">
        <v>27255</v>
      </c>
    </row>
    <row r="12546" spans="1:20" x14ac:dyDescent="0.3">
      <c r="A12546" t="str">
        <f>"0611836680100"</f>
        <v>0611836680100</v>
      </c>
      <c r="B12546" t="str">
        <f>"LL4376"</f>
        <v>LL4376</v>
      </c>
      <c r="C12546" t="s">
        <v>51501</v>
      </c>
      <c r="D12546" t="s">
        <v>27245</v>
      </c>
      <c r="E12546" t="str">
        <f t="shared" ref="E12546:E12609" si="196">"001390"</f>
        <v>001390</v>
      </c>
      <c r="F12546" t="s">
        <v>27246</v>
      </c>
      <c r="G12546" t="s">
        <v>27247</v>
      </c>
      <c r="H12546" t="s">
        <v>27248</v>
      </c>
      <c r="I12546" t="s">
        <v>51502</v>
      </c>
      <c r="J12546" t="s">
        <v>25099</v>
      </c>
      <c r="L12546" t="s">
        <v>27250</v>
      </c>
      <c r="M12546" t="s">
        <v>27251</v>
      </c>
      <c r="N12546" t="s">
        <v>27252</v>
      </c>
      <c r="Q12546" s="1">
        <v>44538</v>
      </c>
      <c r="R12546" t="s">
        <v>27253</v>
      </c>
      <c r="S12546" t="s">
        <v>27254</v>
      </c>
      <c r="T12546" t="s">
        <v>27255</v>
      </c>
    </row>
    <row r="12547" spans="1:20" x14ac:dyDescent="0.3">
      <c r="A12547" t="str">
        <f>"0611839811100"</f>
        <v>0611839811100</v>
      </c>
      <c r="B12547" t="str">
        <f>"LB9123"</f>
        <v>LB9123</v>
      </c>
      <c r="C12547" t="s">
        <v>51503</v>
      </c>
      <c r="D12547" t="s">
        <v>28138</v>
      </c>
      <c r="E12547" t="str">
        <f t="shared" si="196"/>
        <v>001390</v>
      </c>
      <c r="F12547" t="s">
        <v>27246</v>
      </c>
      <c r="G12547" t="s">
        <v>27247</v>
      </c>
      <c r="H12547" t="s">
        <v>27248</v>
      </c>
      <c r="I12547" t="s">
        <v>51504</v>
      </c>
      <c r="J12547" t="s">
        <v>25103</v>
      </c>
      <c r="L12547" t="s">
        <v>27250</v>
      </c>
      <c r="M12547" t="s">
        <v>27251</v>
      </c>
      <c r="N12547" t="s">
        <v>27252</v>
      </c>
      <c r="P12547" t="s">
        <v>27925</v>
      </c>
      <c r="Q12547" s="1">
        <v>44538</v>
      </c>
      <c r="R12547" t="s">
        <v>27253</v>
      </c>
      <c r="S12547" t="s">
        <v>27254</v>
      </c>
      <c r="T12547" t="s">
        <v>27255</v>
      </c>
    </row>
    <row r="12548" spans="1:20" x14ac:dyDescent="0.3">
      <c r="A12548" t="str">
        <f>"0611839812100"</f>
        <v>0611839812100</v>
      </c>
      <c r="B12548" t="str">
        <f>"LK0418"</f>
        <v>LK0418</v>
      </c>
      <c r="C12548" t="s">
        <v>51505</v>
      </c>
      <c r="D12548" t="s">
        <v>28138</v>
      </c>
      <c r="E12548" t="str">
        <f t="shared" si="196"/>
        <v>001390</v>
      </c>
      <c r="F12548" t="s">
        <v>27246</v>
      </c>
      <c r="G12548" t="s">
        <v>27247</v>
      </c>
      <c r="H12548" t="s">
        <v>27248</v>
      </c>
      <c r="I12548" t="s">
        <v>51506</v>
      </c>
      <c r="J12548" t="s">
        <v>25105</v>
      </c>
      <c r="L12548" t="s">
        <v>27250</v>
      </c>
      <c r="M12548" t="s">
        <v>27251</v>
      </c>
      <c r="N12548" t="s">
        <v>27252</v>
      </c>
      <c r="P12548" t="s">
        <v>27925</v>
      </c>
      <c r="Q12548" s="1">
        <v>44538</v>
      </c>
      <c r="R12548" t="s">
        <v>27253</v>
      </c>
      <c r="S12548" t="s">
        <v>27254</v>
      </c>
      <c r="T12548" t="s">
        <v>27255</v>
      </c>
    </row>
    <row r="12549" spans="1:20" x14ac:dyDescent="0.3">
      <c r="A12549" t="str">
        <f>"0611839813100"</f>
        <v>0611839813100</v>
      </c>
      <c r="B12549" t="str">
        <f>"LB9124"</f>
        <v>LB9124</v>
      </c>
      <c r="C12549" t="s">
        <v>51507</v>
      </c>
      <c r="D12549" t="s">
        <v>28138</v>
      </c>
      <c r="E12549" t="str">
        <f t="shared" si="196"/>
        <v>001390</v>
      </c>
      <c r="F12549" t="s">
        <v>27246</v>
      </c>
      <c r="G12549" t="s">
        <v>27247</v>
      </c>
      <c r="H12549" t="s">
        <v>27248</v>
      </c>
      <c r="I12549" t="s">
        <v>51508</v>
      </c>
      <c r="J12549" t="s">
        <v>25107</v>
      </c>
      <c r="L12549" t="s">
        <v>27250</v>
      </c>
      <c r="M12549" t="s">
        <v>27251</v>
      </c>
      <c r="N12549" t="s">
        <v>27252</v>
      </c>
      <c r="P12549" t="s">
        <v>27925</v>
      </c>
      <c r="Q12549" s="1">
        <v>44538</v>
      </c>
      <c r="R12549" t="s">
        <v>27253</v>
      </c>
      <c r="S12549" t="s">
        <v>27254</v>
      </c>
      <c r="T12549" t="s">
        <v>27255</v>
      </c>
    </row>
    <row r="12550" spans="1:20" x14ac:dyDescent="0.3">
      <c r="A12550" t="str">
        <f>"0611839814100"</f>
        <v>0611839814100</v>
      </c>
      <c r="B12550" t="str">
        <f>"LB9126"</f>
        <v>LB9126</v>
      </c>
      <c r="C12550" t="s">
        <v>51509</v>
      </c>
      <c r="D12550" t="s">
        <v>28138</v>
      </c>
      <c r="E12550" t="str">
        <f t="shared" si="196"/>
        <v>001390</v>
      </c>
      <c r="F12550" t="s">
        <v>27246</v>
      </c>
      <c r="G12550" t="s">
        <v>27247</v>
      </c>
      <c r="H12550" t="s">
        <v>27248</v>
      </c>
      <c r="I12550" t="s">
        <v>51510</v>
      </c>
      <c r="J12550" t="s">
        <v>25109</v>
      </c>
      <c r="L12550" t="s">
        <v>27250</v>
      </c>
      <c r="M12550" t="s">
        <v>27251</v>
      </c>
      <c r="N12550" t="s">
        <v>27252</v>
      </c>
      <c r="P12550" t="s">
        <v>27925</v>
      </c>
      <c r="Q12550" s="1">
        <v>44538</v>
      </c>
      <c r="R12550" t="s">
        <v>27253</v>
      </c>
      <c r="S12550" t="s">
        <v>27254</v>
      </c>
      <c r="T12550" t="s">
        <v>27255</v>
      </c>
    </row>
    <row r="12551" spans="1:20" x14ac:dyDescent="0.3">
      <c r="A12551" t="str">
        <f>"0611839815100"</f>
        <v>0611839815100</v>
      </c>
      <c r="B12551" t="str">
        <f>"LB9127"</f>
        <v>LB9127</v>
      </c>
      <c r="C12551" t="s">
        <v>51511</v>
      </c>
      <c r="D12551" t="s">
        <v>28138</v>
      </c>
      <c r="E12551" t="str">
        <f t="shared" si="196"/>
        <v>001390</v>
      </c>
      <c r="F12551" t="s">
        <v>27246</v>
      </c>
      <c r="G12551" t="s">
        <v>27247</v>
      </c>
      <c r="H12551" t="s">
        <v>27248</v>
      </c>
      <c r="I12551" t="s">
        <v>51512</v>
      </c>
      <c r="J12551" t="s">
        <v>25111</v>
      </c>
      <c r="L12551" t="s">
        <v>27250</v>
      </c>
      <c r="M12551" t="s">
        <v>27251</v>
      </c>
      <c r="N12551" t="s">
        <v>27252</v>
      </c>
      <c r="P12551" t="s">
        <v>27925</v>
      </c>
      <c r="Q12551" s="1">
        <v>44538</v>
      </c>
      <c r="R12551" t="s">
        <v>27253</v>
      </c>
      <c r="S12551" t="s">
        <v>27254</v>
      </c>
      <c r="T12551" t="s">
        <v>27255</v>
      </c>
    </row>
    <row r="12552" spans="1:20" x14ac:dyDescent="0.3">
      <c r="A12552" t="str">
        <f>"0611839818100"</f>
        <v>0611839818100</v>
      </c>
      <c r="B12552" t="str">
        <f>"LK0569"</f>
        <v>LK0569</v>
      </c>
      <c r="C12552" t="s">
        <v>51513</v>
      </c>
      <c r="D12552" t="s">
        <v>27245</v>
      </c>
      <c r="E12552" t="str">
        <f t="shared" si="196"/>
        <v>001390</v>
      </c>
      <c r="F12552" t="s">
        <v>27246</v>
      </c>
      <c r="G12552" t="s">
        <v>27247</v>
      </c>
      <c r="H12552" t="s">
        <v>27248</v>
      </c>
      <c r="I12552" t="s">
        <v>51514</v>
      </c>
      <c r="J12552" t="s">
        <v>25113</v>
      </c>
      <c r="L12552" t="s">
        <v>27250</v>
      </c>
      <c r="M12552" t="s">
        <v>27251</v>
      </c>
      <c r="N12552" t="s">
        <v>27252</v>
      </c>
      <c r="Q12552" s="1">
        <v>44538</v>
      </c>
      <c r="R12552" t="s">
        <v>27253</v>
      </c>
      <c r="S12552" t="s">
        <v>27254</v>
      </c>
      <c r="T12552" t="s">
        <v>27255</v>
      </c>
    </row>
    <row r="12553" spans="1:20" x14ac:dyDescent="0.3">
      <c r="A12553" t="str">
        <f>"0611839819100"</f>
        <v>0611839819100</v>
      </c>
      <c r="B12553" t="str">
        <f>"LK7035"</f>
        <v>LK7035</v>
      </c>
      <c r="C12553" t="s">
        <v>51515</v>
      </c>
      <c r="D12553" t="s">
        <v>28138</v>
      </c>
      <c r="E12553" t="str">
        <f t="shared" si="196"/>
        <v>001390</v>
      </c>
      <c r="F12553" t="s">
        <v>27246</v>
      </c>
      <c r="G12553" t="s">
        <v>27247</v>
      </c>
      <c r="H12553" t="s">
        <v>27248</v>
      </c>
      <c r="I12553" t="s">
        <v>51516</v>
      </c>
      <c r="J12553" t="s">
        <v>25115</v>
      </c>
      <c r="L12553" t="s">
        <v>27250</v>
      </c>
      <c r="M12553" t="s">
        <v>27251</v>
      </c>
      <c r="N12553" t="s">
        <v>27252</v>
      </c>
      <c r="P12553" t="s">
        <v>27925</v>
      </c>
      <c r="Q12553" s="1">
        <v>44538</v>
      </c>
      <c r="R12553" t="s">
        <v>27253</v>
      </c>
      <c r="S12553" t="s">
        <v>27254</v>
      </c>
      <c r="T12553" t="s">
        <v>27255</v>
      </c>
    </row>
    <row r="12554" spans="1:20" x14ac:dyDescent="0.3">
      <c r="A12554" t="str">
        <f>"0611857161100"</f>
        <v>0611857161100</v>
      </c>
      <c r="B12554" t="str">
        <f>"LK7104"</f>
        <v>LK7104</v>
      </c>
      <c r="C12554" t="s">
        <v>51517</v>
      </c>
      <c r="D12554" t="s">
        <v>28138</v>
      </c>
      <c r="E12554" t="str">
        <f t="shared" si="196"/>
        <v>001390</v>
      </c>
      <c r="F12554" t="s">
        <v>27246</v>
      </c>
      <c r="G12554" t="s">
        <v>27247</v>
      </c>
      <c r="H12554" t="s">
        <v>27248</v>
      </c>
      <c r="I12554" t="s">
        <v>51518</v>
      </c>
      <c r="J12554" t="s">
        <v>25117</v>
      </c>
      <c r="L12554" t="s">
        <v>27250</v>
      </c>
      <c r="M12554" t="s">
        <v>27251</v>
      </c>
      <c r="N12554" t="s">
        <v>27252</v>
      </c>
      <c r="P12554" t="s">
        <v>27925</v>
      </c>
      <c r="Q12554" s="1">
        <v>44812</v>
      </c>
      <c r="R12554" t="s">
        <v>27253</v>
      </c>
      <c r="S12554" t="s">
        <v>27254</v>
      </c>
      <c r="T12554" t="s">
        <v>27255</v>
      </c>
    </row>
    <row r="12555" spans="1:20" x14ac:dyDescent="0.3">
      <c r="A12555" t="str">
        <f>"0611839820100"</f>
        <v>0611839820100</v>
      </c>
      <c r="B12555" t="str">
        <f>"LK7036"</f>
        <v>LK7036</v>
      </c>
      <c r="C12555" t="s">
        <v>51519</v>
      </c>
      <c r="D12555" t="s">
        <v>28138</v>
      </c>
      <c r="E12555" t="str">
        <f t="shared" si="196"/>
        <v>001390</v>
      </c>
      <c r="F12555" t="s">
        <v>27246</v>
      </c>
      <c r="G12555" t="s">
        <v>27247</v>
      </c>
      <c r="H12555" t="s">
        <v>27248</v>
      </c>
      <c r="I12555" t="s">
        <v>51520</v>
      </c>
      <c r="J12555" t="s">
        <v>25119</v>
      </c>
      <c r="L12555" t="s">
        <v>27250</v>
      </c>
      <c r="M12555" t="s">
        <v>27251</v>
      </c>
      <c r="N12555" t="s">
        <v>27252</v>
      </c>
      <c r="P12555" t="s">
        <v>27925</v>
      </c>
      <c r="Q12555" s="1">
        <v>44538</v>
      </c>
      <c r="R12555" t="s">
        <v>27253</v>
      </c>
      <c r="S12555" t="s">
        <v>27254</v>
      </c>
      <c r="T12555" t="s">
        <v>27255</v>
      </c>
    </row>
    <row r="12556" spans="1:20" x14ac:dyDescent="0.3">
      <c r="A12556" t="str">
        <f>"0611839821100"</f>
        <v>0611839821100</v>
      </c>
      <c r="B12556" t="str">
        <f>"LK7037"</f>
        <v>LK7037</v>
      </c>
      <c r="C12556" t="s">
        <v>51521</v>
      </c>
      <c r="D12556" t="s">
        <v>28138</v>
      </c>
      <c r="E12556" t="str">
        <f t="shared" si="196"/>
        <v>001390</v>
      </c>
      <c r="F12556" t="s">
        <v>27246</v>
      </c>
      <c r="G12556" t="s">
        <v>27247</v>
      </c>
      <c r="H12556" t="s">
        <v>27248</v>
      </c>
      <c r="I12556" t="s">
        <v>51522</v>
      </c>
      <c r="J12556" t="s">
        <v>25121</v>
      </c>
      <c r="L12556" t="s">
        <v>27250</v>
      </c>
      <c r="M12556" t="s">
        <v>27251</v>
      </c>
      <c r="N12556" t="s">
        <v>27252</v>
      </c>
      <c r="P12556" t="s">
        <v>27925</v>
      </c>
      <c r="Q12556" s="1">
        <v>44538</v>
      </c>
      <c r="R12556" t="s">
        <v>27253</v>
      </c>
      <c r="S12556" t="s">
        <v>27254</v>
      </c>
      <c r="T12556" t="s">
        <v>27255</v>
      </c>
    </row>
    <row r="12557" spans="1:20" x14ac:dyDescent="0.3">
      <c r="A12557" t="str">
        <f>"0611839822100"</f>
        <v>0611839822100</v>
      </c>
      <c r="B12557" t="str">
        <f>"LK7038"</f>
        <v>LK7038</v>
      </c>
      <c r="C12557" t="s">
        <v>51523</v>
      </c>
      <c r="D12557" t="s">
        <v>28138</v>
      </c>
      <c r="E12557" t="str">
        <f t="shared" si="196"/>
        <v>001390</v>
      </c>
      <c r="F12557" t="s">
        <v>27246</v>
      </c>
      <c r="G12557" t="s">
        <v>27247</v>
      </c>
      <c r="H12557" t="s">
        <v>27248</v>
      </c>
      <c r="I12557" t="s">
        <v>51524</v>
      </c>
      <c r="J12557" t="s">
        <v>25123</v>
      </c>
      <c r="L12557" t="s">
        <v>27250</v>
      </c>
      <c r="M12557" t="s">
        <v>27251</v>
      </c>
      <c r="N12557" t="s">
        <v>27252</v>
      </c>
      <c r="P12557" t="s">
        <v>27925</v>
      </c>
      <c r="Q12557" s="1">
        <v>44538</v>
      </c>
      <c r="R12557" t="s">
        <v>27253</v>
      </c>
      <c r="S12557" t="s">
        <v>27254</v>
      </c>
      <c r="T12557" t="s">
        <v>27255</v>
      </c>
    </row>
    <row r="12558" spans="1:20" x14ac:dyDescent="0.3">
      <c r="A12558" t="str">
        <f>"0611839823100"</f>
        <v>0611839823100</v>
      </c>
      <c r="B12558" t="str">
        <f>"LK7039"</f>
        <v>LK7039</v>
      </c>
      <c r="C12558" t="s">
        <v>51525</v>
      </c>
      <c r="D12558" t="s">
        <v>28138</v>
      </c>
      <c r="E12558" t="str">
        <f t="shared" si="196"/>
        <v>001390</v>
      </c>
      <c r="F12558" t="s">
        <v>27246</v>
      </c>
      <c r="G12558" t="s">
        <v>27247</v>
      </c>
      <c r="H12558" t="s">
        <v>27248</v>
      </c>
      <c r="I12558" t="s">
        <v>51526</v>
      </c>
      <c r="J12558" t="s">
        <v>25125</v>
      </c>
      <c r="L12558" t="s">
        <v>27250</v>
      </c>
      <c r="M12558" t="s">
        <v>27251</v>
      </c>
      <c r="N12558" t="s">
        <v>27252</v>
      </c>
      <c r="P12558" t="s">
        <v>27925</v>
      </c>
      <c r="Q12558" s="1">
        <v>44538</v>
      </c>
      <c r="R12558" t="s">
        <v>27253</v>
      </c>
      <c r="S12558" t="s">
        <v>27254</v>
      </c>
      <c r="T12558" t="s">
        <v>27255</v>
      </c>
    </row>
    <row r="12559" spans="1:20" x14ac:dyDescent="0.3">
      <c r="A12559" t="str">
        <f>"0611839824100"</f>
        <v>0611839824100</v>
      </c>
      <c r="B12559" t="str">
        <f>"LK7040"</f>
        <v>LK7040</v>
      </c>
      <c r="C12559" t="s">
        <v>51527</v>
      </c>
      <c r="D12559" t="s">
        <v>28138</v>
      </c>
      <c r="E12559" t="str">
        <f t="shared" si="196"/>
        <v>001390</v>
      </c>
      <c r="F12559" t="s">
        <v>27246</v>
      </c>
      <c r="G12559" t="s">
        <v>27247</v>
      </c>
      <c r="H12559" t="s">
        <v>27248</v>
      </c>
      <c r="I12559" t="s">
        <v>51528</v>
      </c>
      <c r="J12559" t="s">
        <v>25127</v>
      </c>
      <c r="L12559" t="s">
        <v>27250</v>
      </c>
      <c r="M12559" t="s">
        <v>27251</v>
      </c>
      <c r="N12559" t="s">
        <v>27252</v>
      </c>
      <c r="P12559" t="s">
        <v>27925</v>
      </c>
      <c r="Q12559" s="1">
        <v>44538</v>
      </c>
      <c r="R12559" t="s">
        <v>27253</v>
      </c>
      <c r="S12559" t="s">
        <v>27254</v>
      </c>
      <c r="T12559" t="s">
        <v>27255</v>
      </c>
    </row>
    <row r="12560" spans="1:20" x14ac:dyDescent="0.3">
      <c r="A12560" t="str">
        <f>"0611884488100"</f>
        <v>0611884488100</v>
      </c>
      <c r="B12560" t="str">
        <f>"LK7180"</f>
        <v>LK7180</v>
      </c>
      <c r="C12560" t="s">
        <v>51529</v>
      </c>
      <c r="D12560" t="s">
        <v>27245</v>
      </c>
      <c r="E12560" t="str">
        <f t="shared" si="196"/>
        <v>001390</v>
      </c>
      <c r="F12560" t="s">
        <v>27246</v>
      </c>
      <c r="G12560" t="s">
        <v>27247</v>
      </c>
      <c r="H12560" t="s">
        <v>27248</v>
      </c>
      <c r="I12560" t="s">
        <v>51530</v>
      </c>
      <c r="J12560" t="s">
        <v>25129</v>
      </c>
      <c r="L12560" t="s">
        <v>27430</v>
      </c>
      <c r="M12560" t="s">
        <v>27251</v>
      </c>
      <c r="N12560" t="s">
        <v>27252</v>
      </c>
      <c r="Q12560" s="1">
        <v>45250</v>
      </c>
      <c r="R12560" t="s">
        <v>27253</v>
      </c>
      <c r="S12560" t="s">
        <v>27254</v>
      </c>
      <c r="T12560" t="s">
        <v>27255</v>
      </c>
    </row>
    <row r="12561" spans="1:20" x14ac:dyDescent="0.3">
      <c r="A12561" t="str">
        <f>"0611839825100"</f>
        <v>0611839825100</v>
      </c>
      <c r="B12561" t="str">
        <f>"LK7041"</f>
        <v>LK7041</v>
      </c>
      <c r="C12561" t="s">
        <v>51531</v>
      </c>
      <c r="D12561" t="s">
        <v>28138</v>
      </c>
      <c r="E12561" t="str">
        <f t="shared" si="196"/>
        <v>001390</v>
      </c>
      <c r="F12561" t="s">
        <v>27246</v>
      </c>
      <c r="G12561" t="s">
        <v>27247</v>
      </c>
      <c r="H12561" t="s">
        <v>27248</v>
      </c>
      <c r="I12561" t="s">
        <v>51532</v>
      </c>
      <c r="J12561" t="s">
        <v>25131</v>
      </c>
      <c r="L12561" t="s">
        <v>27250</v>
      </c>
      <c r="M12561" t="s">
        <v>27251</v>
      </c>
      <c r="N12561" t="s">
        <v>27252</v>
      </c>
      <c r="P12561" t="s">
        <v>27925</v>
      </c>
      <c r="Q12561" s="1">
        <v>44538</v>
      </c>
      <c r="R12561" t="s">
        <v>27253</v>
      </c>
      <c r="S12561" t="s">
        <v>27254</v>
      </c>
      <c r="T12561" t="s">
        <v>27255</v>
      </c>
    </row>
    <row r="12562" spans="1:20" x14ac:dyDescent="0.3">
      <c r="A12562" t="str">
        <f>"0611839826100"</f>
        <v>0611839826100</v>
      </c>
      <c r="B12562" t="str">
        <f>"LK5146"</f>
        <v>LK5146</v>
      </c>
      <c r="C12562" t="s">
        <v>51533</v>
      </c>
      <c r="D12562" t="s">
        <v>27245</v>
      </c>
      <c r="E12562" t="str">
        <f t="shared" si="196"/>
        <v>001390</v>
      </c>
      <c r="F12562" t="s">
        <v>27246</v>
      </c>
      <c r="G12562" t="s">
        <v>27247</v>
      </c>
      <c r="H12562" t="s">
        <v>27248</v>
      </c>
      <c r="I12562" t="s">
        <v>51534</v>
      </c>
      <c r="J12562" t="s">
        <v>25133</v>
      </c>
      <c r="L12562" t="s">
        <v>27250</v>
      </c>
      <c r="M12562" t="s">
        <v>27251</v>
      </c>
      <c r="N12562" t="s">
        <v>27252</v>
      </c>
      <c r="Q12562" s="1">
        <v>44538</v>
      </c>
      <c r="R12562" t="s">
        <v>27253</v>
      </c>
      <c r="S12562" t="s">
        <v>27254</v>
      </c>
      <c r="T12562" t="s">
        <v>27255</v>
      </c>
    </row>
    <row r="12563" spans="1:20" x14ac:dyDescent="0.3">
      <c r="A12563" t="str">
        <f>"0611839827100"</f>
        <v>0611839827100</v>
      </c>
      <c r="B12563" t="str">
        <f>"LK4899"</f>
        <v>LK4899</v>
      </c>
      <c r="C12563" t="s">
        <v>51535</v>
      </c>
      <c r="D12563" t="s">
        <v>27245</v>
      </c>
      <c r="E12563" t="str">
        <f t="shared" si="196"/>
        <v>001390</v>
      </c>
      <c r="F12563" t="s">
        <v>27246</v>
      </c>
      <c r="G12563" t="s">
        <v>27247</v>
      </c>
      <c r="H12563" t="s">
        <v>27248</v>
      </c>
      <c r="I12563" t="s">
        <v>51536</v>
      </c>
      <c r="J12563" t="s">
        <v>25135</v>
      </c>
      <c r="L12563" t="s">
        <v>27250</v>
      </c>
      <c r="M12563" t="s">
        <v>27251</v>
      </c>
      <c r="N12563" t="s">
        <v>27252</v>
      </c>
      <c r="Q12563" s="1">
        <v>44538</v>
      </c>
      <c r="R12563" t="s">
        <v>27253</v>
      </c>
      <c r="S12563" t="s">
        <v>27254</v>
      </c>
      <c r="T12563" t="s">
        <v>27255</v>
      </c>
    </row>
    <row r="12564" spans="1:20" x14ac:dyDescent="0.3">
      <c r="A12564" t="str">
        <f>"0611839828100"</f>
        <v>0611839828100</v>
      </c>
      <c r="B12564" t="str">
        <f>"LK4900"</f>
        <v>LK4900</v>
      </c>
      <c r="C12564" t="s">
        <v>51537</v>
      </c>
      <c r="D12564" t="s">
        <v>27245</v>
      </c>
      <c r="E12564" t="str">
        <f t="shared" si="196"/>
        <v>001390</v>
      </c>
      <c r="F12564" t="s">
        <v>27246</v>
      </c>
      <c r="G12564" t="s">
        <v>27247</v>
      </c>
      <c r="H12564" t="s">
        <v>27248</v>
      </c>
      <c r="I12564" t="s">
        <v>51538</v>
      </c>
      <c r="J12564" t="s">
        <v>25137</v>
      </c>
      <c r="L12564" t="s">
        <v>27250</v>
      </c>
      <c r="M12564" t="s">
        <v>27251</v>
      </c>
      <c r="N12564" t="s">
        <v>27252</v>
      </c>
      <c r="Q12564" s="1">
        <v>44538</v>
      </c>
      <c r="R12564" t="s">
        <v>27253</v>
      </c>
      <c r="S12564" t="s">
        <v>27254</v>
      </c>
      <c r="T12564" t="s">
        <v>27255</v>
      </c>
    </row>
    <row r="12565" spans="1:20" x14ac:dyDescent="0.3">
      <c r="A12565" t="str">
        <f>"0611839829100"</f>
        <v>0611839829100</v>
      </c>
      <c r="B12565" t="str">
        <f>"LK4901"</f>
        <v>LK4901</v>
      </c>
      <c r="C12565" t="s">
        <v>51539</v>
      </c>
      <c r="D12565" t="s">
        <v>27245</v>
      </c>
      <c r="E12565" t="str">
        <f t="shared" si="196"/>
        <v>001390</v>
      </c>
      <c r="F12565" t="s">
        <v>27246</v>
      </c>
      <c r="G12565" t="s">
        <v>27247</v>
      </c>
      <c r="H12565" t="s">
        <v>27248</v>
      </c>
      <c r="I12565" t="s">
        <v>51540</v>
      </c>
      <c r="J12565" t="s">
        <v>25139</v>
      </c>
      <c r="L12565" t="s">
        <v>27250</v>
      </c>
      <c r="M12565" t="s">
        <v>27251</v>
      </c>
      <c r="N12565" t="s">
        <v>27252</v>
      </c>
      <c r="Q12565" s="1">
        <v>44538</v>
      </c>
      <c r="R12565" t="s">
        <v>27253</v>
      </c>
      <c r="S12565" t="s">
        <v>27254</v>
      </c>
      <c r="T12565" t="s">
        <v>27255</v>
      </c>
    </row>
    <row r="12566" spans="1:20" x14ac:dyDescent="0.3">
      <c r="A12566" t="str">
        <f>"0611839830100"</f>
        <v>0611839830100</v>
      </c>
      <c r="B12566" t="str">
        <f>"LK4902"</f>
        <v>LK4902</v>
      </c>
      <c r="C12566" t="s">
        <v>51541</v>
      </c>
      <c r="D12566" t="s">
        <v>27245</v>
      </c>
      <c r="E12566" t="str">
        <f t="shared" si="196"/>
        <v>001390</v>
      </c>
      <c r="F12566" t="s">
        <v>27246</v>
      </c>
      <c r="G12566" t="s">
        <v>27247</v>
      </c>
      <c r="H12566" t="s">
        <v>27248</v>
      </c>
      <c r="I12566" t="s">
        <v>51542</v>
      </c>
      <c r="J12566" t="s">
        <v>25141</v>
      </c>
      <c r="L12566" t="s">
        <v>27250</v>
      </c>
      <c r="M12566" t="s">
        <v>27251</v>
      </c>
      <c r="N12566" t="s">
        <v>27252</v>
      </c>
      <c r="Q12566" s="1">
        <v>44538</v>
      </c>
      <c r="R12566" t="s">
        <v>27253</v>
      </c>
      <c r="S12566" t="s">
        <v>27254</v>
      </c>
      <c r="T12566" t="s">
        <v>27255</v>
      </c>
    </row>
    <row r="12567" spans="1:20" x14ac:dyDescent="0.3">
      <c r="A12567" t="str">
        <f>"0611839831100"</f>
        <v>0611839831100</v>
      </c>
      <c r="B12567" t="str">
        <f>"LK4903"</f>
        <v>LK4903</v>
      </c>
      <c r="C12567" t="s">
        <v>51543</v>
      </c>
      <c r="D12567" t="s">
        <v>27245</v>
      </c>
      <c r="E12567" t="str">
        <f t="shared" si="196"/>
        <v>001390</v>
      </c>
      <c r="F12567" t="s">
        <v>27246</v>
      </c>
      <c r="G12567" t="s">
        <v>27247</v>
      </c>
      <c r="H12567" t="s">
        <v>27248</v>
      </c>
      <c r="I12567" t="s">
        <v>51544</v>
      </c>
      <c r="J12567" t="s">
        <v>25143</v>
      </c>
      <c r="L12567" t="s">
        <v>27250</v>
      </c>
      <c r="M12567" t="s">
        <v>27251</v>
      </c>
      <c r="N12567" t="s">
        <v>27252</v>
      </c>
      <c r="O12567">
        <v>200</v>
      </c>
      <c r="Q12567" s="1">
        <v>44538</v>
      </c>
      <c r="R12567" t="s">
        <v>27253</v>
      </c>
      <c r="S12567" t="s">
        <v>27254</v>
      </c>
      <c r="T12567" t="s">
        <v>27255</v>
      </c>
    </row>
    <row r="12568" spans="1:20" x14ac:dyDescent="0.3">
      <c r="A12568" t="str">
        <f>"0611839832100"</f>
        <v>0611839832100</v>
      </c>
      <c r="B12568" t="str">
        <f>"LK4904"</f>
        <v>LK4904</v>
      </c>
      <c r="C12568" t="s">
        <v>51545</v>
      </c>
      <c r="D12568" t="s">
        <v>27245</v>
      </c>
      <c r="E12568" t="str">
        <f t="shared" si="196"/>
        <v>001390</v>
      </c>
      <c r="F12568" t="s">
        <v>27246</v>
      </c>
      <c r="G12568" t="s">
        <v>27247</v>
      </c>
      <c r="H12568" t="s">
        <v>27248</v>
      </c>
      <c r="I12568" t="s">
        <v>51546</v>
      </c>
      <c r="J12568" t="s">
        <v>25145</v>
      </c>
      <c r="L12568" t="s">
        <v>27250</v>
      </c>
      <c r="M12568" t="s">
        <v>27251</v>
      </c>
      <c r="N12568" t="s">
        <v>27252</v>
      </c>
      <c r="Q12568" s="1">
        <v>44538</v>
      </c>
      <c r="R12568" t="s">
        <v>27253</v>
      </c>
      <c r="S12568" t="s">
        <v>27254</v>
      </c>
      <c r="T12568" t="s">
        <v>27255</v>
      </c>
    </row>
    <row r="12569" spans="1:20" x14ac:dyDescent="0.3">
      <c r="A12569" t="str">
        <f>"0611839833100"</f>
        <v>0611839833100</v>
      </c>
      <c r="B12569" t="str">
        <f>"LK4905"</f>
        <v>LK4905</v>
      </c>
      <c r="C12569" t="s">
        <v>51547</v>
      </c>
      <c r="D12569" t="s">
        <v>27245</v>
      </c>
      <c r="E12569" t="str">
        <f t="shared" si="196"/>
        <v>001390</v>
      </c>
      <c r="F12569" t="s">
        <v>27246</v>
      </c>
      <c r="G12569" t="s">
        <v>27247</v>
      </c>
      <c r="H12569" t="s">
        <v>27248</v>
      </c>
      <c r="I12569" t="s">
        <v>51548</v>
      </c>
      <c r="J12569" t="s">
        <v>25147</v>
      </c>
      <c r="L12569" t="s">
        <v>27250</v>
      </c>
      <c r="M12569" t="s">
        <v>27251</v>
      </c>
      <c r="N12569" t="s">
        <v>27252</v>
      </c>
      <c r="Q12569" s="1">
        <v>44538</v>
      </c>
      <c r="R12569" t="s">
        <v>27253</v>
      </c>
      <c r="S12569" t="s">
        <v>27254</v>
      </c>
      <c r="T12569" t="s">
        <v>27255</v>
      </c>
    </row>
    <row r="12570" spans="1:20" x14ac:dyDescent="0.3">
      <c r="A12570" t="str">
        <f>"0611839837100"</f>
        <v>0611839837100</v>
      </c>
      <c r="B12570" t="str">
        <f>"LQ5107"</f>
        <v>LQ5107</v>
      </c>
      <c r="C12570" t="s">
        <v>51549</v>
      </c>
      <c r="D12570" t="s">
        <v>27245</v>
      </c>
      <c r="E12570" t="str">
        <f t="shared" si="196"/>
        <v>001390</v>
      </c>
      <c r="F12570" t="s">
        <v>27246</v>
      </c>
      <c r="G12570" t="s">
        <v>27247</v>
      </c>
      <c r="H12570" t="s">
        <v>27248</v>
      </c>
      <c r="I12570" t="s">
        <v>51550</v>
      </c>
      <c r="J12570" t="s">
        <v>25149</v>
      </c>
      <c r="L12570" t="s">
        <v>27250</v>
      </c>
      <c r="M12570" t="s">
        <v>27251</v>
      </c>
      <c r="N12570" t="s">
        <v>27252</v>
      </c>
      <c r="Q12570" s="1">
        <v>44538</v>
      </c>
      <c r="R12570" t="s">
        <v>27253</v>
      </c>
      <c r="S12570" t="s">
        <v>27254</v>
      </c>
      <c r="T12570" t="s">
        <v>27255</v>
      </c>
    </row>
    <row r="12571" spans="1:20" x14ac:dyDescent="0.3">
      <c r="A12571" t="str">
        <f>"0611839838100"</f>
        <v>0611839838100</v>
      </c>
      <c r="B12571" t="str">
        <f>"LQ5749"</f>
        <v>LQ5749</v>
      </c>
      <c r="C12571" t="s">
        <v>51551</v>
      </c>
      <c r="D12571" t="s">
        <v>27245</v>
      </c>
      <c r="E12571" t="str">
        <f t="shared" si="196"/>
        <v>001390</v>
      </c>
      <c r="F12571" t="s">
        <v>27246</v>
      </c>
      <c r="G12571" t="s">
        <v>27247</v>
      </c>
      <c r="H12571" t="s">
        <v>27248</v>
      </c>
      <c r="I12571" t="s">
        <v>51552</v>
      </c>
      <c r="J12571" t="s">
        <v>25151</v>
      </c>
      <c r="L12571" t="s">
        <v>27250</v>
      </c>
      <c r="M12571" t="s">
        <v>27251</v>
      </c>
      <c r="N12571" t="s">
        <v>27252</v>
      </c>
      <c r="Q12571" s="1">
        <v>44538</v>
      </c>
      <c r="R12571" t="s">
        <v>27253</v>
      </c>
      <c r="S12571" t="s">
        <v>27254</v>
      </c>
      <c r="T12571" t="s">
        <v>27255</v>
      </c>
    </row>
    <row r="12572" spans="1:20" x14ac:dyDescent="0.3">
      <c r="A12572" t="str">
        <f>"0611839839100"</f>
        <v>0611839839100</v>
      </c>
      <c r="B12572" t="str">
        <f>"LQ5423"</f>
        <v>LQ5423</v>
      </c>
      <c r="C12572" t="s">
        <v>51553</v>
      </c>
      <c r="D12572" t="s">
        <v>27245</v>
      </c>
      <c r="E12572" t="str">
        <f t="shared" si="196"/>
        <v>001390</v>
      </c>
      <c r="F12572" t="s">
        <v>27246</v>
      </c>
      <c r="G12572" t="s">
        <v>27247</v>
      </c>
      <c r="H12572" t="s">
        <v>27248</v>
      </c>
      <c r="I12572" t="s">
        <v>51554</v>
      </c>
      <c r="J12572" t="s">
        <v>25153</v>
      </c>
      <c r="L12572" t="s">
        <v>27250</v>
      </c>
      <c r="M12572" t="s">
        <v>27251</v>
      </c>
      <c r="N12572" t="s">
        <v>27252</v>
      </c>
      <c r="Q12572" s="1">
        <v>44538</v>
      </c>
      <c r="R12572" t="s">
        <v>27253</v>
      </c>
      <c r="S12572" t="s">
        <v>27254</v>
      </c>
      <c r="T12572" t="s">
        <v>27255</v>
      </c>
    </row>
    <row r="12573" spans="1:20" x14ac:dyDescent="0.3">
      <c r="A12573" t="str">
        <f>"0611839841100"</f>
        <v>0611839841100</v>
      </c>
      <c r="B12573" t="str">
        <f>"LQ5109"</f>
        <v>LQ5109</v>
      </c>
      <c r="C12573" t="s">
        <v>51555</v>
      </c>
      <c r="D12573" t="s">
        <v>27245</v>
      </c>
      <c r="E12573" t="str">
        <f t="shared" si="196"/>
        <v>001390</v>
      </c>
      <c r="F12573" t="s">
        <v>27246</v>
      </c>
      <c r="G12573" t="s">
        <v>27247</v>
      </c>
      <c r="H12573" t="s">
        <v>27248</v>
      </c>
      <c r="I12573" t="s">
        <v>51556</v>
      </c>
      <c r="J12573" t="s">
        <v>25155</v>
      </c>
      <c r="L12573" t="s">
        <v>27250</v>
      </c>
      <c r="M12573" t="s">
        <v>27251</v>
      </c>
      <c r="N12573" t="s">
        <v>27252</v>
      </c>
      <c r="Q12573" s="1">
        <v>44538</v>
      </c>
      <c r="R12573" t="s">
        <v>27253</v>
      </c>
      <c r="S12573" t="s">
        <v>27254</v>
      </c>
      <c r="T12573" t="s">
        <v>27255</v>
      </c>
    </row>
    <row r="12574" spans="1:20" x14ac:dyDescent="0.3">
      <c r="A12574" t="str">
        <f>"0611839842100"</f>
        <v>0611839842100</v>
      </c>
      <c r="B12574" t="str">
        <f>"LQ5277"</f>
        <v>LQ5277</v>
      </c>
      <c r="C12574" t="s">
        <v>51557</v>
      </c>
      <c r="D12574" t="s">
        <v>27245</v>
      </c>
      <c r="E12574" t="str">
        <f t="shared" si="196"/>
        <v>001390</v>
      </c>
      <c r="F12574" t="s">
        <v>27246</v>
      </c>
      <c r="G12574" t="s">
        <v>27247</v>
      </c>
      <c r="H12574" t="s">
        <v>27248</v>
      </c>
      <c r="I12574" t="s">
        <v>51558</v>
      </c>
      <c r="J12574" t="s">
        <v>25157</v>
      </c>
      <c r="L12574" t="s">
        <v>27250</v>
      </c>
      <c r="M12574" t="s">
        <v>27251</v>
      </c>
      <c r="N12574" t="s">
        <v>27252</v>
      </c>
      <c r="Q12574" s="1">
        <v>44538</v>
      </c>
      <c r="R12574" t="s">
        <v>27253</v>
      </c>
      <c r="S12574" t="s">
        <v>27254</v>
      </c>
      <c r="T12574" t="s">
        <v>27255</v>
      </c>
    </row>
    <row r="12575" spans="1:20" x14ac:dyDescent="0.3">
      <c r="A12575" t="str">
        <f>"0611839843100"</f>
        <v>0611839843100</v>
      </c>
      <c r="B12575" t="str">
        <f>"LQ5164"</f>
        <v>LQ5164</v>
      </c>
      <c r="C12575" t="s">
        <v>51559</v>
      </c>
      <c r="D12575" t="s">
        <v>27245</v>
      </c>
      <c r="E12575" t="str">
        <f t="shared" si="196"/>
        <v>001390</v>
      </c>
      <c r="F12575" t="s">
        <v>27246</v>
      </c>
      <c r="G12575" t="s">
        <v>27247</v>
      </c>
      <c r="H12575" t="s">
        <v>27248</v>
      </c>
      <c r="I12575" t="s">
        <v>51560</v>
      </c>
      <c r="J12575" t="s">
        <v>25159</v>
      </c>
      <c r="L12575" t="s">
        <v>27250</v>
      </c>
      <c r="M12575" t="s">
        <v>27251</v>
      </c>
      <c r="N12575" t="s">
        <v>27252</v>
      </c>
      <c r="Q12575" s="1">
        <v>44538</v>
      </c>
      <c r="R12575" t="s">
        <v>27253</v>
      </c>
      <c r="S12575" t="s">
        <v>27254</v>
      </c>
      <c r="T12575" t="s">
        <v>27255</v>
      </c>
    </row>
    <row r="12576" spans="1:20" x14ac:dyDescent="0.3">
      <c r="A12576" t="str">
        <f>"0611839844100"</f>
        <v>0611839844100</v>
      </c>
      <c r="B12576" t="str">
        <f>"LQ5425"</f>
        <v>LQ5425</v>
      </c>
      <c r="C12576" t="s">
        <v>51561</v>
      </c>
      <c r="D12576" t="s">
        <v>27245</v>
      </c>
      <c r="E12576" t="str">
        <f t="shared" si="196"/>
        <v>001390</v>
      </c>
      <c r="F12576" t="s">
        <v>27246</v>
      </c>
      <c r="G12576" t="s">
        <v>27247</v>
      </c>
      <c r="H12576" t="s">
        <v>27248</v>
      </c>
      <c r="I12576" t="s">
        <v>51562</v>
      </c>
      <c r="J12576" t="s">
        <v>25161</v>
      </c>
      <c r="L12576" t="s">
        <v>27250</v>
      </c>
      <c r="M12576" t="s">
        <v>27251</v>
      </c>
      <c r="N12576" t="s">
        <v>27252</v>
      </c>
      <c r="Q12576" s="1">
        <v>44538</v>
      </c>
      <c r="R12576" t="s">
        <v>27253</v>
      </c>
      <c r="S12576" t="s">
        <v>27254</v>
      </c>
      <c r="T12576" t="s">
        <v>27255</v>
      </c>
    </row>
    <row r="12577" spans="1:20" x14ac:dyDescent="0.3">
      <c r="A12577" t="str">
        <f>"0611857162100"</f>
        <v>0611857162100</v>
      </c>
      <c r="B12577" t="str">
        <f>"LK7063"</f>
        <v>LK7063</v>
      </c>
      <c r="C12577" t="s">
        <v>51563</v>
      </c>
      <c r="D12577" t="s">
        <v>27245</v>
      </c>
      <c r="E12577" t="str">
        <f t="shared" si="196"/>
        <v>001390</v>
      </c>
      <c r="F12577" t="s">
        <v>27246</v>
      </c>
      <c r="G12577" t="s">
        <v>27247</v>
      </c>
      <c r="H12577" t="s">
        <v>27248</v>
      </c>
      <c r="I12577" t="s">
        <v>51564</v>
      </c>
      <c r="J12577" t="s">
        <v>25163</v>
      </c>
      <c r="L12577" t="s">
        <v>27250</v>
      </c>
      <c r="M12577" t="s">
        <v>27251</v>
      </c>
      <c r="N12577" t="s">
        <v>27252</v>
      </c>
      <c r="Q12577" s="1">
        <v>44812</v>
      </c>
      <c r="R12577" t="s">
        <v>27253</v>
      </c>
      <c r="S12577" t="s">
        <v>27254</v>
      </c>
      <c r="T12577" t="s">
        <v>27255</v>
      </c>
    </row>
    <row r="12578" spans="1:20" x14ac:dyDescent="0.3">
      <c r="A12578" t="str">
        <f>"0611839845100"</f>
        <v>0611839845100</v>
      </c>
      <c r="B12578" t="str">
        <f>"LS0120"</f>
        <v>LS0120</v>
      </c>
      <c r="C12578" t="s">
        <v>51565</v>
      </c>
      <c r="D12578" t="s">
        <v>27245</v>
      </c>
      <c r="E12578" t="str">
        <f t="shared" si="196"/>
        <v>001390</v>
      </c>
      <c r="F12578" t="s">
        <v>27246</v>
      </c>
      <c r="G12578" t="s">
        <v>27247</v>
      </c>
      <c r="H12578" t="s">
        <v>27248</v>
      </c>
      <c r="I12578" t="s">
        <v>51566</v>
      </c>
      <c r="J12578" t="s">
        <v>25165</v>
      </c>
      <c r="L12578" t="s">
        <v>27250</v>
      </c>
      <c r="M12578" t="s">
        <v>27251</v>
      </c>
      <c r="N12578" t="s">
        <v>27252</v>
      </c>
      <c r="Q12578" s="1">
        <v>44538</v>
      </c>
      <c r="R12578" t="s">
        <v>27253</v>
      </c>
      <c r="S12578" t="s">
        <v>27254</v>
      </c>
      <c r="T12578" t="s">
        <v>27255</v>
      </c>
    </row>
    <row r="12579" spans="1:20" x14ac:dyDescent="0.3">
      <c r="A12579" t="str">
        <f>"0611839846100"</f>
        <v>0611839846100</v>
      </c>
      <c r="B12579" t="str">
        <f>"MB8500"</f>
        <v>MB8500</v>
      </c>
      <c r="C12579" t="s">
        <v>51567</v>
      </c>
      <c r="D12579" t="s">
        <v>27274</v>
      </c>
      <c r="E12579" t="str">
        <f t="shared" si="196"/>
        <v>001390</v>
      </c>
      <c r="F12579" t="s">
        <v>27246</v>
      </c>
      <c r="G12579" t="s">
        <v>27247</v>
      </c>
      <c r="H12579" t="s">
        <v>27248</v>
      </c>
      <c r="I12579" t="s">
        <v>51568</v>
      </c>
      <c r="J12579" t="s">
        <v>25167</v>
      </c>
      <c r="L12579" t="s">
        <v>27250</v>
      </c>
      <c r="M12579" t="s">
        <v>27251</v>
      </c>
      <c r="N12579" t="s">
        <v>27252</v>
      </c>
      <c r="Q12579" s="1">
        <v>44538</v>
      </c>
      <c r="R12579" t="s">
        <v>27253</v>
      </c>
      <c r="S12579" t="s">
        <v>27254</v>
      </c>
      <c r="T12579" t="s">
        <v>27276</v>
      </c>
    </row>
    <row r="12580" spans="1:20" x14ac:dyDescent="0.3">
      <c r="A12580" t="str">
        <f>"0611857163100"</f>
        <v>0611857163100</v>
      </c>
      <c r="B12580" t="str">
        <f>"LK7061"</f>
        <v>LK7061</v>
      </c>
      <c r="C12580" t="s">
        <v>51569</v>
      </c>
      <c r="D12580" t="s">
        <v>27245</v>
      </c>
      <c r="E12580" t="str">
        <f t="shared" si="196"/>
        <v>001390</v>
      </c>
      <c r="F12580" t="s">
        <v>27246</v>
      </c>
      <c r="G12580" t="s">
        <v>27247</v>
      </c>
      <c r="H12580" t="s">
        <v>27248</v>
      </c>
      <c r="I12580" t="s">
        <v>51570</v>
      </c>
      <c r="J12580" t="s">
        <v>25169</v>
      </c>
      <c r="L12580" t="s">
        <v>27250</v>
      </c>
      <c r="M12580" t="s">
        <v>27251</v>
      </c>
      <c r="N12580" t="s">
        <v>27252</v>
      </c>
      <c r="Q12580" s="1">
        <v>44812</v>
      </c>
      <c r="R12580" t="s">
        <v>27253</v>
      </c>
      <c r="S12580" t="s">
        <v>27254</v>
      </c>
      <c r="T12580" t="s">
        <v>27255</v>
      </c>
    </row>
    <row r="12581" spans="1:20" x14ac:dyDescent="0.3">
      <c r="A12581" t="str">
        <f>"0611839847025"</f>
        <v>0611839847025</v>
      </c>
      <c r="B12581" t="str">
        <f>"MQ6091"</f>
        <v>MQ6091</v>
      </c>
      <c r="C12581" t="s">
        <v>51571</v>
      </c>
      <c r="D12581" t="s">
        <v>27267</v>
      </c>
      <c r="E12581" t="str">
        <f t="shared" si="196"/>
        <v>001390</v>
      </c>
      <c r="F12581" t="s">
        <v>27246</v>
      </c>
      <c r="G12581" t="s">
        <v>27247</v>
      </c>
      <c r="H12581" t="s">
        <v>27248</v>
      </c>
      <c r="I12581" t="s">
        <v>51572</v>
      </c>
      <c r="J12581" t="s">
        <v>25171</v>
      </c>
      <c r="L12581" t="s">
        <v>27250</v>
      </c>
      <c r="M12581" t="s">
        <v>27251</v>
      </c>
      <c r="N12581" t="s">
        <v>27252</v>
      </c>
      <c r="Q12581" s="1">
        <v>44538</v>
      </c>
      <c r="R12581" t="s">
        <v>27253</v>
      </c>
      <c r="S12581" t="s">
        <v>27254</v>
      </c>
      <c r="T12581" t="s">
        <v>27269</v>
      </c>
    </row>
    <row r="12582" spans="1:20" x14ac:dyDescent="0.3">
      <c r="A12582" t="str">
        <f>"0611839848025"</f>
        <v>0611839848025</v>
      </c>
      <c r="B12582" t="str">
        <f>"MQ6092"</f>
        <v>MQ6092</v>
      </c>
      <c r="C12582" t="s">
        <v>51573</v>
      </c>
      <c r="D12582" t="s">
        <v>27267</v>
      </c>
      <c r="E12582" t="str">
        <f t="shared" si="196"/>
        <v>001390</v>
      </c>
      <c r="F12582" t="s">
        <v>27246</v>
      </c>
      <c r="G12582" t="s">
        <v>27247</v>
      </c>
      <c r="H12582" t="s">
        <v>27248</v>
      </c>
      <c r="I12582" t="s">
        <v>51574</v>
      </c>
      <c r="J12582" t="s">
        <v>25173</v>
      </c>
      <c r="L12582" t="s">
        <v>27250</v>
      </c>
      <c r="M12582" t="s">
        <v>27251</v>
      </c>
      <c r="N12582" t="s">
        <v>27252</v>
      </c>
      <c r="Q12582" s="1">
        <v>44538</v>
      </c>
      <c r="R12582" t="s">
        <v>27253</v>
      </c>
      <c r="S12582" t="s">
        <v>27254</v>
      </c>
      <c r="T12582" t="s">
        <v>27269</v>
      </c>
    </row>
    <row r="12583" spans="1:20" x14ac:dyDescent="0.3">
      <c r="A12583" t="str">
        <f>"0611839849025"</f>
        <v>0611839849025</v>
      </c>
      <c r="B12583" t="str">
        <f>"MQ6093"</f>
        <v>MQ6093</v>
      </c>
      <c r="C12583" t="s">
        <v>51575</v>
      </c>
      <c r="D12583" t="s">
        <v>27267</v>
      </c>
      <c r="E12583" t="str">
        <f t="shared" si="196"/>
        <v>001390</v>
      </c>
      <c r="F12583" t="s">
        <v>27246</v>
      </c>
      <c r="G12583" t="s">
        <v>27247</v>
      </c>
      <c r="H12583" t="s">
        <v>27248</v>
      </c>
      <c r="I12583" t="s">
        <v>51576</v>
      </c>
      <c r="J12583" t="s">
        <v>25175</v>
      </c>
      <c r="L12583" t="s">
        <v>27250</v>
      </c>
      <c r="M12583" t="s">
        <v>27251</v>
      </c>
      <c r="N12583" t="s">
        <v>27252</v>
      </c>
      <c r="Q12583" s="1">
        <v>44538</v>
      </c>
      <c r="R12583" t="s">
        <v>27253</v>
      </c>
      <c r="S12583" t="s">
        <v>27254</v>
      </c>
      <c r="T12583" t="s">
        <v>27269</v>
      </c>
    </row>
    <row r="12584" spans="1:20" x14ac:dyDescent="0.3">
      <c r="A12584" t="str">
        <f>"0611839850025"</f>
        <v>0611839850025</v>
      </c>
      <c r="B12584" t="str">
        <f>"MQ6094"</f>
        <v>MQ6094</v>
      </c>
      <c r="C12584" t="s">
        <v>51577</v>
      </c>
      <c r="D12584" t="s">
        <v>27267</v>
      </c>
      <c r="E12584" t="str">
        <f t="shared" si="196"/>
        <v>001390</v>
      </c>
      <c r="F12584" t="s">
        <v>27246</v>
      </c>
      <c r="G12584" t="s">
        <v>27247</v>
      </c>
      <c r="H12584" t="s">
        <v>27248</v>
      </c>
      <c r="I12584" t="s">
        <v>51578</v>
      </c>
      <c r="J12584" t="s">
        <v>25177</v>
      </c>
      <c r="L12584" t="s">
        <v>27250</v>
      </c>
      <c r="M12584" t="s">
        <v>27251</v>
      </c>
      <c r="N12584" t="s">
        <v>27252</v>
      </c>
      <c r="Q12584" s="1">
        <v>44538</v>
      </c>
      <c r="R12584" t="s">
        <v>27253</v>
      </c>
      <c r="S12584" t="s">
        <v>27254</v>
      </c>
      <c r="T12584" t="s">
        <v>27269</v>
      </c>
    </row>
    <row r="12585" spans="1:20" x14ac:dyDescent="0.3">
      <c r="A12585" t="str">
        <f>"0611839851025"</f>
        <v>0611839851025</v>
      </c>
      <c r="B12585" t="str">
        <f>"MC0923"</f>
        <v>MC0923</v>
      </c>
      <c r="C12585" t="s">
        <v>51579</v>
      </c>
      <c r="D12585" t="s">
        <v>27267</v>
      </c>
      <c r="E12585" t="str">
        <f t="shared" si="196"/>
        <v>001390</v>
      </c>
      <c r="F12585" t="s">
        <v>27246</v>
      </c>
      <c r="G12585" t="s">
        <v>27247</v>
      </c>
      <c r="H12585" t="s">
        <v>27248</v>
      </c>
      <c r="I12585" t="s">
        <v>51580</v>
      </c>
      <c r="J12585" t="s">
        <v>25179</v>
      </c>
      <c r="L12585" t="s">
        <v>27250</v>
      </c>
      <c r="M12585" t="s">
        <v>27251</v>
      </c>
      <c r="N12585" t="s">
        <v>27252</v>
      </c>
      <c r="Q12585" s="1">
        <v>44538</v>
      </c>
      <c r="R12585" t="s">
        <v>27253</v>
      </c>
      <c r="S12585" t="s">
        <v>27254</v>
      </c>
      <c r="T12585" t="s">
        <v>27269</v>
      </c>
    </row>
    <row r="12586" spans="1:20" x14ac:dyDescent="0.3">
      <c r="A12586" t="str">
        <f>"0611839852100"</f>
        <v>0611839852100</v>
      </c>
      <c r="B12586" t="str">
        <f>"LF6533"</f>
        <v>LF6533</v>
      </c>
      <c r="C12586" t="s">
        <v>51581</v>
      </c>
      <c r="D12586" t="s">
        <v>27245</v>
      </c>
      <c r="E12586" t="str">
        <f t="shared" si="196"/>
        <v>001390</v>
      </c>
      <c r="F12586" t="s">
        <v>27246</v>
      </c>
      <c r="G12586" t="s">
        <v>27247</v>
      </c>
      <c r="H12586" t="s">
        <v>27248</v>
      </c>
      <c r="I12586" t="s">
        <v>51582</v>
      </c>
      <c r="J12586" t="s">
        <v>25181</v>
      </c>
      <c r="L12586" t="s">
        <v>27250</v>
      </c>
      <c r="M12586" t="s">
        <v>27251</v>
      </c>
      <c r="N12586" t="s">
        <v>27252</v>
      </c>
      <c r="Q12586" s="1">
        <v>44538</v>
      </c>
      <c r="R12586" t="s">
        <v>27253</v>
      </c>
      <c r="S12586" t="s">
        <v>27254</v>
      </c>
      <c r="T12586" t="s">
        <v>27255</v>
      </c>
    </row>
    <row r="12587" spans="1:20" x14ac:dyDescent="0.3">
      <c r="A12587" t="str">
        <f>"0611864109050"</f>
        <v>0611864109050</v>
      </c>
      <c r="B12587" t="str">
        <f>"CR4633"</f>
        <v>CR4633</v>
      </c>
      <c r="C12587" t="s">
        <v>51583</v>
      </c>
      <c r="D12587" t="s">
        <v>27263</v>
      </c>
      <c r="E12587" t="str">
        <f t="shared" si="196"/>
        <v>001390</v>
      </c>
      <c r="F12587" t="s">
        <v>27246</v>
      </c>
      <c r="G12587" t="s">
        <v>27247</v>
      </c>
      <c r="H12587" t="s">
        <v>27248</v>
      </c>
      <c r="I12587" t="s">
        <v>51584</v>
      </c>
      <c r="J12587" t="s">
        <v>25183</v>
      </c>
      <c r="L12587" t="s">
        <v>27250</v>
      </c>
      <c r="M12587" t="s">
        <v>27251</v>
      </c>
      <c r="N12587" t="s">
        <v>27252</v>
      </c>
      <c r="Q12587" s="1">
        <v>44846</v>
      </c>
      <c r="R12587" t="s">
        <v>27253</v>
      </c>
      <c r="S12587" t="s">
        <v>27254</v>
      </c>
      <c r="T12587" t="s">
        <v>27265</v>
      </c>
    </row>
    <row r="12588" spans="1:20" x14ac:dyDescent="0.3">
      <c r="A12588" t="str">
        <f>"0611839853100"</f>
        <v>0611839853100</v>
      </c>
      <c r="B12588" t="str">
        <f>"LK4897"</f>
        <v>LK4897</v>
      </c>
      <c r="C12588" t="s">
        <v>51585</v>
      </c>
      <c r="D12588" t="s">
        <v>27245</v>
      </c>
      <c r="E12588" t="str">
        <f t="shared" si="196"/>
        <v>001390</v>
      </c>
      <c r="F12588" t="s">
        <v>27246</v>
      </c>
      <c r="G12588" t="s">
        <v>27247</v>
      </c>
      <c r="H12588" t="s">
        <v>27248</v>
      </c>
      <c r="I12588" t="s">
        <v>51586</v>
      </c>
      <c r="J12588" t="s">
        <v>25185</v>
      </c>
      <c r="L12588" t="s">
        <v>27250</v>
      </c>
      <c r="M12588" t="s">
        <v>27251</v>
      </c>
      <c r="N12588" t="s">
        <v>27252</v>
      </c>
      <c r="Q12588" s="1">
        <v>44538</v>
      </c>
      <c r="R12588" t="s">
        <v>27253</v>
      </c>
      <c r="S12588" t="s">
        <v>27254</v>
      </c>
      <c r="T12588" t="s">
        <v>27255</v>
      </c>
    </row>
    <row r="12589" spans="1:20" x14ac:dyDescent="0.3">
      <c r="A12589" t="str">
        <f>"0611857164100"</f>
        <v>0611857164100</v>
      </c>
      <c r="B12589" t="str">
        <f>"LF2951"</f>
        <v>LF2951</v>
      </c>
      <c r="C12589" t="s">
        <v>51587</v>
      </c>
      <c r="D12589" t="s">
        <v>27245</v>
      </c>
      <c r="E12589" t="str">
        <f t="shared" si="196"/>
        <v>001390</v>
      </c>
      <c r="F12589" t="s">
        <v>27246</v>
      </c>
      <c r="G12589" t="s">
        <v>27247</v>
      </c>
      <c r="H12589" t="s">
        <v>27248</v>
      </c>
      <c r="I12589" t="s">
        <v>51588</v>
      </c>
      <c r="J12589" t="s">
        <v>25187</v>
      </c>
      <c r="L12589" t="s">
        <v>27250</v>
      </c>
      <c r="M12589" t="s">
        <v>27251</v>
      </c>
      <c r="N12589" t="s">
        <v>27252</v>
      </c>
      <c r="Q12589" s="1">
        <v>44812</v>
      </c>
      <c r="R12589" t="s">
        <v>27253</v>
      </c>
      <c r="S12589" t="s">
        <v>27254</v>
      </c>
      <c r="T12589" t="s">
        <v>27255</v>
      </c>
    </row>
    <row r="12590" spans="1:20" x14ac:dyDescent="0.3">
      <c r="A12590" t="str">
        <f>"0611839854100"</f>
        <v>0611839854100</v>
      </c>
      <c r="B12590" t="str">
        <f>"MB8415"</f>
        <v>MB8415</v>
      </c>
      <c r="C12590" t="s">
        <v>51589</v>
      </c>
      <c r="D12590" t="s">
        <v>27274</v>
      </c>
      <c r="E12590" t="str">
        <f t="shared" si="196"/>
        <v>001390</v>
      </c>
      <c r="F12590" t="s">
        <v>27246</v>
      </c>
      <c r="G12590" t="s">
        <v>27247</v>
      </c>
      <c r="H12590" t="s">
        <v>27248</v>
      </c>
      <c r="I12590" t="s">
        <v>51590</v>
      </c>
      <c r="J12590" t="s">
        <v>25191</v>
      </c>
      <c r="L12590" t="s">
        <v>27250</v>
      </c>
      <c r="M12590" t="s">
        <v>27251</v>
      </c>
      <c r="N12590" t="s">
        <v>27252</v>
      </c>
      <c r="Q12590" s="1">
        <v>44538</v>
      </c>
      <c r="R12590" t="s">
        <v>27253</v>
      </c>
      <c r="S12590" t="s">
        <v>27254</v>
      </c>
      <c r="T12590" t="s">
        <v>27276</v>
      </c>
    </row>
    <row r="12591" spans="1:20" x14ac:dyDescent="0.3">
      <c r="A12591" t="str">
        <f>"0611839855100"</f>
        <v>0611839855100</v>
      </c>
      <c r="B12591" t="str">
        <f>"LF8415"</f>
        <v>LF8415</v>
      </c>
      <c r="C12591" t="s">
        <v>51589</v>
      </c>
      <c r="D12591" t="s">
        <v>27245</v>
      </c>
      <c r="E12591" t="str">
        <f t="shared" si="196"/>
        <v>001390</v>
      </c>
      <c r="F12591" t="s">
        <v>27246</v>
      </c>
      <c r="G12591" t="s">
        <v>27247</v>
      </c>
      <c r="H12591" t="s">
        <v>27248</v>
      </c>
      <c r="I12591" t="s">
        <v>51591</v>
      </c>
      <c r="J12591" t="s">
        <v>25193</v>
      </c>
      <c r="L12591" t="s">
        <v>27250</v>
      </c>
      <c r="M12591" t="s">
        <v>27251</v>
      </c>
      <c r="N12591" t="s">
        <v>27252</v>
      </c>
      <c r="Q12591" s="1">
        <v>44538</v>
      </c>
      <c r="R12591" t="s">
        <v>27253</v>
      </c>
      <c r="S12591" t="s">
        <v>27254</v>
      </c>
      <c r="T12591" t="s">
        <v>27255</v>
      </c>
    </row>
    <row r="12592" spans="1:20" x14ac:dyDescent="0.3">
      <c r="A12592" t="str">
        <f>"0611839856100"</f>
        <v>0611839856100</v>
      </c>
      <c r="B12592" t="str">
        <f>"LB8850"</f>
        <v>LB8850</v>
      </c>
      <c r="C12592" t="s">
        <v>51592</v>
      </c>
      <c r="D12592" t="s">
        <v>27245</v>
      </c>
      <c r="E12592" t="str">
        <f t="shared" si="196"/>
        <v>001390</v>
      </c>
      <c r="F12592" t="s">
        <v>27246</v>
      </c>
      <c r="G12592" t="s">
        <v>27247</v>
      </c>
      <c r="H12592" t="s">
        <v>27248</v>
      </c>
      <c r="I12592" t="s">
        <v>51593</v>
      </c>
      <c r="J12592" t="s">
        <v>25189</v>
      </c>
      <c r="L12592" t="s">
        <v>27250</v>
      </c>
      <c r="M12592" t="s">
        <v>27251</v>
      </c>
      <c r="N12592" t="s">
        <v>27252</v>
      </c>
      <c r="Q12592" s="1">
        <v>44538</v>
      </c>
      <c r="R12592" t="s">
        <v>27253</v>
      </c>
      <c r="S12592" t="s">
        <v>27254</v>
      </c>
      <c r="T12592" t="s">
        <v>27255</v>
      </c>
    </row>
    <row r="12593" spans="1:20" x14ac:dyDescent="0.3">
      <c r="A12593" t="str">
        <f>"0611839857100"</f>
        <v>0611839857100</v>
      </c>
      <c r="B12593" t="str">
        <f>"LH8415"</f>
        <v>LH8415</v>
      </c>
      <c r="C12593" t="s">
        <v>51594</v>
      </c>
      <c r="D12593" t="s">
        <v>27245</v>
      </c>
      <c r="E12593" t="str">
        <f t="shared" si="196"/>
        <v>001390</v>
      </c>
      <c r="F12593" t="s">
        <v>27246</v>
      </c>
      <c r="G12593" t="s">
        <v>27247</v>
      </c>
      <c r="H12593" t="s">
        <v>27248</v>
      </c>
      <c r="I12593" t="s">
        <v>51595</v>
      </c>
      <c r="J12593" t="s">
        <v>25195</v>
      </c>
      <c r="L12593" t="s">
        <v>27250</v>
      </c>
      <c r="M12593" t="s">
        <v>27251</v>
      </c>
      <c r="N12593" t="s">
        <v>27252</v>
      </c>
      <c r="Q12593" s="1">
        <v>44538</v>
      </c>
      <c r="R12593" t="s">
        <v>27253</v>
      </c>
      <c r="S12593" t="s">
        <v>27254</v>
      </c>
      <c r="T12593" t="s">
        <v>27255</v>
      </c>
    </row>
    <row r="12594" spans="1:20" x14ac:dyDescent="0.3">
      <c r="A12594" t="str">
        <f>"0611839858025"</f>
        <v>0611839858025</v>
      </c>
      <c r="B12594" t="str">
        <f>"MC2108"</f>
        <v>MC2108</v>
      </c>
      <c r="C12594" t="s">
        <v>51596</v>
      </c>
      <c r="D12594" t="s">
        <v>27267</v>
      </c>
      <c r="E12594" t="str">
        <f t="shared" si="196"/>
        <v>001390</v>
      </c>
      <c r="F12594" t="s">
        <v>27246</v>
      </c>
      <c r="G12594" t="s">
        <v>27247</v>
      </c>
      <c r="H12594" t="s">
        <v>27248</v>
      </c>
      <c r="I12594" t="s">
        <v>51597</v>
      </c>
      <c r="J12594" t="s">
        <v>25197</v>
      </c>
      <c r="L12594" t="s">
        <v>27250</v>
      </c>
      <c r="M12594" t="s">
        <v>27251</v>
      </c>
      <c r="N12594" t="s">
        <v>27252</v>
      </c>
      <c r="Q12594" s="1">
        <v>44538</v>
      </c>
      <c r="R12594" t="s">
        <v>27253</v>
      </c>
      <c r="S12594" t="s">
        <v>27254</v>
      </c>
      <c r="T12594" t="s">
        <v>27269</v>
      </c>
    </row>
    <row r="12595" spans="1:20" x14ac:dyDescent="0.3">
      <c r="A12595" t="str">
        <f>"0611864112050"</f>
        <v>0611864112050</v>
      </c>
      <c r="B12595" t="str">
        <f>"CR5252"</f>
        <v>CR5252</v>
      </c>
      <c r="C12595" t="s">
        <v>51598</v>
      </c>
      <c r="D12595" t="s">
        <v>27263</v>
      </c>
      <c r="E12595" t="str">
        <f t="shared" si="196"/>
        <v>001390</v>
      </c>
      <c r="F12595" t="s">
        <v>27246</v>
      </c>
      <c r="G12595" t="s">
        <v>27247</v>
      </c>
      <c r="H12595" t="s">
        <v>27248</v>
      </c>
      <c r="I12595" t="s">
        <v>51599</v>
      </c>
      <c r="J12595" t="s">
        <v>25199</v>
      </c>
      <c r="L12595" t="s">
        <v>27250</v>
      </c>
      <c r="M12595" t="s">
        <v>27251</v>
      </c>
      <c r="N12595" t="s">
        <v>27252</v>
      </c>
      <c r="Q12595" s="1">
        <v>44846</v>
      </c>
      <c r="R12595" t="s">
        <v>27253</v>
      </c>
      <c r="S12595" t="s">
        <v>27254</v>
      </c>
      <c r="T12595" t="s">
        <v>27265</v>
      </c>
    </row>
    <row r="12596" spans="1:20" x14ac:dyDescent="0.3">
      <c r="A12596" t="str">
        <f>"0611839859100"</f>
        <v>0611839859100</v>
      </c>
      <c r="B12596" t="str">
        <f>"LF8031"</f>
        <v>LF8031</v>
      </c>
      <c r="C12596" t="s">
        <v>51600</v>
      </c>
      <c r="D12596" t="s">
        <v>27245</v>
      </c>
      <c r="E12596" t="str">
        <f t="shared" si="196"/>
        <v>001390</v>
      </c>
      <c r="F12596" t="s">
        <v>27246</v>
      </c>
      <c r="G12596" t="s">
        <v>27247</v>
      </c>
      <c r="H12596" t="s">
        <v>27248</v>
      </c>
      <c r="I12596" t="s">
        <v>51601</v>
      </c>
      <c r="J12596" t="s">
        <v>25201</v>
      </c>
      <c r="L12596" t="s">
        <v>27250</v>
      </c>
      <c r="M12596" t="s">
        <v>27251</v>
      </c>
      <c r="N12596" t="s">
        <v>27252</v>
      </c>
      <c r="Q12596" s="1">
        <v>44538</v>
      </c>
      <c r="R12596" t="s">
        <v>27253</v>
      </c>
      <c r="S12596" t="s">
        <v>27254</v>
      </c>
      <c r="T12596" t="s">
        <v>27255</v>
      </c>
    </row>
    <row r="12597" spans="1:20" x14ac:dyDescent="0.3">
      <c r="A12597" t="str">
        <f>"0611884489100"</f>
        <v>0611884489100</v>
      </c>
      <c r="B12597" t="str">
        <f>"LF8536"</f>
        <v>LF8536</v>
      </c>
      <c r="C12597" t="s">
        <v>51602</v>
      </c>
      <c r="D12597" t="s">
        <v>27245</v>
      </c>
      <c r="E12597" t="str">
        <f t="shared" si="196"/>
        <v>001390</v>
      </c>
      <c r="F12597" t="s">
        <v>27246</v>
      </c>
      <c r="G12597" t="s">
        <v>27247</v>
      </c>
      <c r="H12597" t="s">
        <v>27248</v>
      </c>
      <c r="I12597" t="s">
        <v>51603</v>
      </c>
      <c r="J12597" t="s">
        <v>25203</v>
      </c>
      <c r="L12597" t="s">
        <v>27430</v>
      </c>
      <c r="M12597" t="s">
        <v>27251</v>
      </c>
      <c r="N12597" t="s">
        <v>27252</v>
      </c>
      <c r="Q12597" s="1">
        <v>45250</v>
      </c>
      <c r="R12597" t="s">
        <v>27253</v>
      </c>
      <c r="S12597" t="s">
        <v>27254</v>
      </c>
      <c r="T12597" t="s">
        <v>27255</v>
      </c>
    </row>
    <row r="12598" spans="1:20" x14ac:dyDescent="0.3">
      <c r="A12598" t="str">
        <f>"0611884490100"</f>
        <v>0611884490100</v>
      </c>
      <c r="B12598" t="str">
        <f>"LF0049"</f>
        <v>LF0049</v>
      </c>
      <c r="C12598" t="s">
        <v>51604</v>
      </c>
      <c r="D12598" t="s">
        <v>27245</v>
      </c>
      <c r="E12598" t="str">
        <f t="shared" si="196"/>
        <v>001390</v>
      </c>
      <c r="F12598" t="s">
        <v>27246</v>
      </c>
      <c r="G12598" t="s">
        <v>27247</v>
      </c>
      <c r="H12598" t="s">
        <v>27248</v>
      </c>
      <c r="I12598" t="s">
        <v>51605</v>
      </c>
      <c r="J12598" t="s">
        <v>25205</v>
      </c>
      <c r="L12598" t="s">
        <v>27430</v>
      </c>
      <c r="M12598" t="s">
        <v>27251</v>
      </c>
      <c r="N12598" t="s">
        <v>27252</v>
      </c>
      <c r="Q12598" s="1">
        <v>45250</v>
      </c>
      <c r="R12598" t="s">
        <v>27253</v>
      </c>
      <c r="S12598" t="s">
        <v>27254</v>
      </c>
      <c r="T12598" t="s">
        <v>27255</v>
      </c>
    </row>
    <row r="12599" spans="1:20" x14ac:dyDescent="0.3">
      <c r="A12599" t="str">
        <f>"0611663279050"</f>
        <v>0611663279050</v>
      </c>
      <c r="B12599" t="str">
        <f>""</f>
        <v/>
      </c>
      <c r="C12599" t="s">
        <v>51606</v>
      </c>
      <c r="D12599" t="s">
        <v>51607</v>
      </c>
      <c r="E12599" t="str">
        <f t="shared" si="196"/>
        <v>001390</v>
      </c>
      <c r="F12599" t="s">
        <v>27246</v>
      </c>
      <c r="G12599" t="s">
        <v>27247</v>
      </c>
      <c r="H12599" t="s">
        <v>27248</v>
      </c>
      <c r="I12599" t="s">
        <v>51608</v>
      </c>
      <c r="J12599" t="s">
        <v>25207</v>
      </c>
      <c r="L12599" t="s">
        <v>27250</v>
      </c>
      <c r="M12599" t="s">
        <v>27251</v>
      </c>
      <c r="N12599" t="s">
        <v>27252</v>
      </c>
      <c r="Q12599" s="1">
        <v>42572</v>
      </c>
      <c r="R12599" t="s">
        <v>27253</v>
      </c>
      <c r="S12599" t="s">
        <v>27254</v>
      </c>
      <c r="T12599" t="s">
        <v>51609</v>
      </c>
    </row>
    <row r="12600" spans="1:20" x14ac:dyDescent="0.3">
      <c r="A12600" t="str">
        <f>"0611839862025"</f>
        <v>0611839862025</v>
      </c>
      <c r="B12600" t="str">
        <f>"MC3815"</f>
        <v>MC3815</v>
      </c>
      <c r="C12600" t="s">
        <v>51610</v>
      </c>
      <c r="D12600" t="s">
        <v>27267</v>
      </c>
      <c r="E12600" t="str">
        <f t="shared" si="196"/>
        <v>001390</v>
      </c>
      <c r="F12600" t="s">
        <v>27246</v>
      </c>
      <c r="G12600" t="s">
        <v>27247</v>
      </c>
      <c r="H12600" t="s">
        <v>27248</v>
      </c>
      <c r="I12600" t="s">
        <v>51611</v>
      </c>
      <c r="J12600" t="s">
        <v>25209</v>
      </c>
      <c r="L12600" t="s">
        <v>27250</v>
      </c>
      <c r="M12600" t="s">
        <v>27251</v>
      </c>
      <c r="N12600" t="s">
        <v>27252</v>
      </c>
      <c r="Q12600" s="1">
        <v>44538</v>
      </c>
      <c r="R12600" t="s">
        <v>27253</v>
      </c>
      <c r="S12600" t="s">
        <v>27254</v>
      </c>
      <c r="T12600" t="s">
        <v>27269</v>
      </c>
    </row>
    <row r="12601" spans="1:20" x14ac:dyDescent="0.3">
      <c r="A12601" t="str">
        <f>"0611839864100"</f>
        <v>0611839864100</v>
      </c>
      <c r="B12601" t="str">
        <f>"LC0006"</f>
        <v>LC0006</v>
      </c>
      <c r="C12601" t="s">
        <v>51612</v>
      </c>
      <c r="D12601" t="s">
        <v>27245</v>
      </c>
      <c r="E12601" t="str">
        <f t="shared" si="196"/>
        <v>001390</v>
      </c>
      <c r="F12601" t="s">
        <v>27246</v>
      </c>
      <c r="G12601" t="s">
        <v>27247</v>
      </c>
      <c r="H12601" t="s">
        <v>27248</v>
      </c>
      <c r="I12601" t="s">
        <v>51613</v>
      </c>
      <c r="J12601" t="s">
        <v>11359</v>
      </c>
      <c r="L12601" t="s">
        <v>27250</v>
      </c>
      <c r="M12601" t="s">
        <v>27251</v>
      </c>
      <c r="N12601" t="s">
        <v>27252</v>
      </c>
      <c r="Q12601" s="1">
        <v>44538</v>
      </c>
      <c r="R12601" t="s">
        <v>27253</v>
      </c>
      <c r="S12601" t="s">
        <v>27254</v>
      </c>
      <c r="T12601" t="s">
        <v>27255</v>
      </c>
    </row>
    <row r="12602" spans="1:20" x14ac:dyDescent="0.3">
      <c r="A12602" t="str">
        <f>"0611839865100"</f>
        <v>0611839865100</v>
      </c>
      <c r="B12602" t="str">
        <f>"LH8416"</f>
        <v>LH8416</v>
      </c>
      <c r="C12602" t="s">
        <v>51614</v>
      </c>
      <c r="D12602" t="s">
        <v>27245</v>
      </c>
      <c r="E12602" t="str">
        <f t="shared" si="196"/>
        <v>001390</v>
      </c>
      <c r="F12602" t="s">
        <v>27246</v>
      </c>
      <c r="G12602" t="s">
        <v>27247</v>
      </c>
      <c r="H12602" t="s">
        <v>27248</v>
      </c>
      <c r="I12602" t="s">
        <v>51615</v>
      </c>
      <c r="J12602" t="s">
        <v>25211</v>
      </c>
      <c r="L12602" t="s">
        <v>27250</v>
      </c>
      <c r="M12602" t="s">
        <v>27251</v>
      </c>
      <c r="N12602" t="s">
        <v>27252</v>
      </c>
      <c r="Q12602" s="1">
        <v>44538</v>
      </c>
      <c r="R12602" t="s">
        <v>27253</v>
      </c>
      <c r="S12602" t="s">
        <v>27254</v>
      </c>
      <c r="T12602" t="s">
        <v>27255</v>
      </c>
    </row>
    <row r="12603" spans="1:20" x14ac:dyDescent="0.3">
      <c r="A12603" t="str">
        <f>"0611839866025"</f>
        <v>0611839866025</v>
      </c>
      <c r="B12603" t="str">
        <f>"MC0725"</f>
        <v>MC0725</v>
      </c>
      <c r="C12603" t="s">
        <v>51616</v>
      </c>
      <c r="D12603" t="s">
        <v>27267</v>
      </c>
      <c r="E12603" t="str">
        <f t="shared" si="196"/>
        <v>001390</v>
      </c>
      <c r="F12603" t="s">
        <v>27246</v>
      </c>
      <c r="G12603" t="s">
        <v>27247</v>
      </c>
      <c r="H12603" t="s">
        <v>27248</v>
      </c>
      <c r="I12603" t="s">
        <v>51617</v>
      </c>
      <c r="J12603" t="s">
        <v>25213</v>
      </c>
      <c r="L12603" t="s">
        <v>27250</v>
      </c>
      <c r="M12603" t="s">
        <v>27251</v>
      </c>
      <c r="N12603" t="s">
        <v>27252</v>
      </c>
      <c r="Q12603" s="1">
        <v>44538</v>
      </c>
      <c r="R12603" t="s">
        <v>27253</v>
      </c>
      <c r="S12603" t="s">
        <v>27254</v>
      </c>
      <c r="T12603" t="s">
        <v>27269</v>
      </c>
    </row>
    <row r="12604" spans="1:20" x14ac:dyDescent="0.3">
      <c r="A12604" t="str">
        <f>"0611839882100"</f>
        <v>0611839882100</v>
      </c>
      <c r="B12604" t="str">
        <f>"MB8035"</f>
        <v>MB8035</v>
      </c>
      <c r="C12604" t="s">
        <v>51618</v>
      </c>
      <c r="D12604" t="s">
        <v>27274</v>
      </c>
      <c r="E12604" t="str">
        <f t="shared" si="196"/>
        <v>001390</v>
      </c>
      <c r="F12604" t="s">
        <v>27246</v>
      </c>
      <c r="G12604" t="s">
        <v>27247</v>
      </c>
      <c r="H12604" t="s">
        <v>27248</v>
      </c>
      <c r="I12604" t="s">
        <v>51619</v>
      </c>
      <c r="J12604" t="s">
        <v>25215</v>
      </c>
      <c r="L12604" t="s">
        <v>27250</v>
      </c>
      <c r="M12604" t="s">
        <v>27251</v>
      </c>
      <c r="N12604" t="s">
        <v>27252</v>
      </c>
      <c r="Q12604" s="1">
        <v>44538</v>
      </c>
      <c r="R12604" t="s">
        <v>27253</v>
      </c>
      <c r="S12604" t="s">
        <v>27254</v>
      </c>
      <c r="T12604" t="s">
        <v>27276</v>
      </c>
    </row>
    <row r="12605" spans="1:20" x14ac:dyDescent="0.3">
      <c r="A12605" t="str">
        <f>"0611839883100"</f>
        <v>0611839883100</v>
      </c>
      <c r="B12605" t="str">
        <f>"LF8035"</f>
        <v>LF8035</v>
      </c>
      <c r="C12605" t="s">
        <v>51618</v>
      </c>
      <c r="D12605" t="s">
        <v>27245</v>
      </c>
      <c r="E12605" t="str">
        <f t="shared" si="196"/>
        <v>001390</v>
      </c>
      <c r="F12605" t="s">
        <v>27246</v>
      </c>
      <c r="G12605" t="s">
        <v>27247</v>
      </c>
      <c r="H12605" t="s">
        <v>27248</v>
      </c>
      <c r="I12605" t="s">
        <v>51620</v>
      </c>
      <c r="J12605" t="s">
        <v>25217</v>
      </c>
      <c r="L12605" t="s">
        <v>27250</v>
      </c>
      <c r="M12605" t="s">
        <v>27251</v>
      </c>
      <c r="N12605" t="s">
        <v>27252</v>
      </c>
      <c r="Q12605" s="1">
        <v>44538</v>
      </c>
      <c r="R12605" t="s">
        <v>27253</v>
      </c>
      <c r="S12605" t="s">
        <v>27254</v>
      </c>
      <c r="T12605" t="s">
        <v>27255</v>
      </c>
    </row>
    <row r="12606" spans="1:20" x14ac:dyDescent="0.3">
      <c r="A12606" t="str">
        <f>"0611839884100"</f>
        <v>0611839884100</v>
      </c>
      <c r="B12606" t="str">
        <f>"LG8013"</f>
        <v>LG8013</v>
      </c>
      <c r="C12606" t="s">
        <v>51621</v>
      </c>
      <c r="D12606" t="s">
        <v>27245</v>
      </c>
      <c r="E12606" t="str">
        <f t="shared" si="196"/>
        <v>001390</v>
      </c>
      <c r="F12606" t="s">
        <v>27246</v>
      </c>
      <c r="G12606" t="s">
        <v>27247</v>
      </c>
      <c r="H12606" t="s">
        <v>27248</v>
      </c>
      <c r="I12606" t="s">
        <v>51622</v>
      </c>
      <c r="J12606" t="s">
        <v>25219</v>
      </c>
      <c r="L12606" t="s">
        <v>27250</v>
      </c>
      <c r="M12606" t="s">
        <v>27251</v>
      </c>
      <c r="N12606" t="s">
        <v>27252</v>
      </c>
      <c r="Q12606" s="1">
        <v>44538</v>
      </c>
      <c r="R12606" t="s">
        <v>27253</v>
      </c>
      <c r="S12606" t="s">
        <v>27254</v>
      </c>
      <c r="T12606" t="s">
        <v>27255</v>
      </c>
    </row>
    <row r="12607" spans="1:20" x14ac:dyDescent="0.3">
      <c r="A12607" t="str">
        <f>"0611839885100"</f>
        <v>0611839885100</v>
      </c>
      <c r="B12607" t="str">
        <f>"LG8010"</f>
        <v>LG8010</v>
      </c>
      <c r="C12607" t="s">
        <v>51623</v>
      </c>
      <c r="D12607" t="s">
        <v>27245</v>
      </c>
      <c r="E12607" t="str">
        <f t="shared" si="196"/>
        <v>001390</v>
      </c>
      <c r="F12607" t="s">
        <v>27246</v>
      </c>
      <c r="G12607" t="s">
        <v>27247</v>
      </c>
      <c r="H12607" t="s">
        <v>27248</v>
      </c>
      <c r="I12607" t="s">
        <v>51624</v>
      </c>
      <c r="J12607" t="s">
        <v>25223</v>
      </c>
      <c r="L12607" t="s">
        <v>27250</v>
      </c>
      <c r="M12607" t="s">
        <v>27251</v>
      </c>
      <c r="N12607" t="s">
        <v>27252</v>
      </c>
      <c r="Q12607" s="1">
        <v>44538</v>
      </c>
      <c r="R12607" t="s">
        <v>27253</v>
      </c>
      <c r="S12607" t="s">
        <v>27254</v>
      </c>
      <c r="T12607" t="s">
        <v>27255</v>
      </c>
    </row>
    <row r="12608" spans="1:20" x14ac:dyDescent="0.3">
      <c r="A12608" t="str">
        <f>"0611839886100"</f>
        <v>0611839886100</v>
      </c>
      <c r="B12608" t="str">
        <f>"LG8005"</f>
        <v>LG8005</v>
      </c>
      <c r="C12608" t="s">
        <v>51625</v>
      </c>
      <c r="D12608" t="s">
        <v>27245</v>
      </c>
      <c r="E12608" t="str">
        <f t="shared" si="196"/>
        <v>001390</v>
      </c>
      <c r="F12608" t="s">
        <v>27246</v>
      </c>
      <c r="G12608" t="s">
        <v>27247</v>
      </c>
      <c r="H12608" t="s">
        <v>27248</v>
      </c>
      <c r="I12608" t="s">
        <v>51626</v>
      </c>
      <c r="J12608" t="s">
        <v>25225</v>
      </c>
      <c r="L12608" t="s">
        <v>27250</v>
      </c>
      <c r="M12608" t="s">
        <v>27251</v>
      </c>
      <c r="N12608" t="s">
        <v>27252</v>
      </c>
      <c r="Q12608" s="1">
        <v>44538</v>
      </c>
      <c r="R12608" t="s">
        <v>27253</v>
      </c>
      <c r="S12608" t="s">
        <v>27254</v>
      </c>
      <c r="T12608" t="s">
        <v>27255</v>
      </c>
    </row>
    <row r="12609" spans="1:20" x14ac:dyDescent="0.3">
      <c r="A12609" t="str">
        <f>"0611839887100"</f>
        <v>0611839887100</v>
      </c>
      <c r="B12609" t="str">
        <f>"LG8003"</f>
        <v>LG8003</v>
      </c>
      <c r="C12609" t="s">
        <v>51627</v>
      </c>
      <c r="D12609" t="s">
        <v>27245</v>
      </c>
      <c r="E12609" t="str">
        <f t="shared" si="196"/>
        <v>001390</v>
      </c>
      <c r="F12609" t="s">
        <v>27246</v>
      </c>
      <c r="G12609" t="s">
        <v>27247</v>
      </c>
      <c r="H12609" t="s">
        <v>27248</v>
      </c>
      <c r="I12609" t="s">
        <v>51628</v>
      </c>
      <c r="J12609" t="s">
        <v>25227</v>
      </c>
      <c r="L12609" t="s">
        <v>27250</v>
      </c>
      <c r="M12609" t="s">
        <v>27251</v>
      </c>
      <c r="N12609" t="s">
        <v>27252</v>
      </c>
      <c r="Q12609" s="1">
        <v>44538</v>
      </c>
      <c r="R12609" t="s">
        <v>27253</v>
      </c>
      <c r="S12609" t="s">
        <v>27254</v>
      </c>
      <c r="T12609" t="s">
        <v>27255</v>
      </c>
    </row>
    <row r="12610" spans="1:20" x14ac:dyDescent="0.3">
      <c r="A12610" t="str">
        <f>"0611839888100"</f>
        <v>0611839888100</v>
      </c>
      <c r="B12610" t="str">
        <f>"LG8011"</f>
        <v>LG8011</v>
      </c>
      <c r="C12610" t="s">
        <v>51629</v>
      </c>
      <c r="D12610" t="s">
        <v>27245</v>
      </c>
      <c r="E12610" t="str">
        <f t="shared" ref="E12610:E12673" si="197">"001390"</f>
        <v>001390</v>
      </c>
      <c r="F12610" t="s">
        <v>27246</v>
      </c>
      <c r="G12610" t="s">
        <v>27247</v>
      </c>
      <c r="H12610" t="s">
        <v>27248</v>
      </c>
      <c r="I12610" t="s">
        <v>51630</v>
      </c>
      <c r="J12610" t="s">
        <v>25229</v>
      </c>
      <c r="L12610" t="s">
        <v>27250</v>
      </c>
      <c r="M12610" t="s">
        <v>27251</v>
      </c>
      <c r="N12610" t="s">
        <v>27252</v>
      </c>
      <c r="Q12610" s="1">
        <v>44538</v>
      </c>
      <c r="R12610" t="s">
        <v>27253</v>
      </c>
      <c r="S12610" t="s">
        <v>27254</v>
      </c>
      <c r="T12610" t="s">
        <v>27255</v>
      </c>
    </row>
    <row r="12611" spans="1:20" x14ac:dyDescent="0.3">
      <c r="A12611" t="str">
        <f>"0611839889100"</f>
        <v>0611839889100</v>
      </c>
      <c r="B12611" t="str">
        <f>"LG8001"</f>
        <v>LG8001</v>
      </c>
      <c r="C12611" t="s">
        <v>51631</v>
      </c>
      <c r="D12611" t="s">
        <v>27245</v>
      </c>
      <c r="E12611" t="str">
        <f t="shared" si="197"/>
        <v>001390</v>
      </c>
      <c r="F12611" t="s">
        <v>27246</v>
      </c>
      <c r="G12611" t="s">
        <v>27247</v>
      </c>
      <c r="H12611" t="s">
        <v>27248</v>
      </c>
      <c r="I12611" t="s">
        <v>51632</v>
      </c>
      <c r="J12611" t="s">
        <v>25231</v>
      </c>
      <c r="L12611" t="s">
        <v>27250</v>
      </c>
      <c r="M12611" t="s">
        <v>27251</v>
      </c>
      <c r="N12611" t="s">
        <v>27252</v>
      </c>
      <c r="Q12611" s="1">
        <v>44538</v>
      </c>
      <c r="R12611" t="s">
        <v>27253</v>
      </c>
      <c r="S12611" t="s">
        <v>27254</v>
      </c>
      <c r="T12611" t="s">
        <v>27255</v>
      </c>
    </row>
    <row r="12612" spans="1:20" x14ac:dyDescent="0.3">
      <c r="A12612" t="str">
        <f>"0611839890100"</f>
        <v>0611839890100</v>
      </c>
      <c r="B12612" t="str">
        <f>"LG8006"</f>
        <v>LG8006</v>
      </c>
      <c r="C12612" t="s">
        <v>51633</v>
      </c>
      <c r="D12612" t="s">
        <v>27245</v>
      </c>
      <c r="E12612" t="str">
        <f t="shared" si="197"/>
        <v>001390</v>
      </c>
      <c r="F12612" t="s">
        <v>27246</v>
      </c>
      <c r="G12612" t="s">
        <v>27247</v>
      </c>
      <c r="H12612" t="s">
        <v>27248</v>
      </c>
      <c r="I12612" t="s">
        <v>51634</v>
      </c>
      <c r="J12612" t="s">
        <v>25233</v>
      </c>
      <c r="L12612" t="s">
        <v>27250</v>
      </c>
      <c r="M12612" t="s">
        <v>27251</v>
      </c>
      <c r="N12612" t="s">
        <v>27252</v>
      </c>
      <c r="Q12612" s="1">
        <v>44538</v>
      </c>
      <c r="R12612" t="s">
        <v>27253</v>
      </c>
      <c r="S12612" t="s">
        <v>27254</v>
      </c>
      <c r="T12612" t="s">
        <v>27255</v>
      </c>
    </row>
    <row r="12613" spans="1:20" x14ac:dyDescent="0.3">
      <c r="A12613" t="str">
        <f>"0611839891100"</f>
        <v>0611839891100</v>
      </c>
      <c r="B12613" t="str">
        <f>"LG8004"</f>
        <v>LG8004</v>
      </c>
      <c r="C12613" t="s">
        <v>51635</v>
      </c>
      <c r="D12613" t="s">
        <v>27245</v>
      </c>
      <c r="E12613" t="str">
        <f t="shared" si="197"/>
        <v>001390</v>
      </c>
      <c r="F12613" t="s">
        <v>27246</v>
      </c>
      <c r="G12613" t="s">
        <v>27247</v>
      </c>
      <c r="H12613" t="s">
        <v>27248</v>
      </c>
      <c r="I12613" t="s">
        <v>51636</v>
      </c>
      <c r="J12613" t="s">
        <v>25235</v>
      </c>
      <c r="L12613" t="s">
        <v>27250</v>
      </c>
      <c r="M12613" t="s">
        <v>27251</v>
      </c>
      <c r="N12613" t="s">
        <v>27252</v>
      </c>
      <c r="Q12613" s="1">
        <v>44538</v>
      </c>
      <c r="R12613" t="s">
        <v>27253</v>
      </c>
      <c r="S12613" t="s">
        <v>27254</v>
      </c>
      <c r="T12613" t="s">
        <v>27255</v>
      </c>
    </row>
    <row r="12614" spans="1:20" x14ac:dyDescent="0.3">
      <c r="A12614" t="str">
        <f>"0611839892100"</f>
        <v>0611839892100</v>
      </c>
      <c r="B12614" t="str">
        <f>"LG8000"</f>
        <v>LG8000</v>
      </c>
      <c r="C12614" t="s">
        <v>51637</v>
      </c>
      <c r="D12614" t="s">
        <v>27245</v>
      </c>
      <c r="E12614" t="str">
        <f t="shared" si="197"/>
        <v>001390</v>
      </c>
      <c r="F12614" t="s">
        <v>27246</v>
      </c>
      <c r="G12614" t="s">
        <v>27247</v>
      </c>
      <c r="H12614" t="s">
        <v>27248</v>
      </c>
      <c r="I12614" t="s">
        <v>51638</v>
      </c>
      <c r="J12614" t="s">
        <v>25221</v>
      </c>
      <c r="L12614" t="s">
        <v>27250</v>
      </c>
      <c r="M12614" t="s">
        <v>27251</v>
      </c>
      <c r="N12614" t="s">
        <v>27252</v>
      </c>
      <c r="Q12614" s="1">
        <v>44538</v>
      </c>
      <c r="R12614" t="s">
        <v>27253</v>
      </c>
      <c r="S12614" t="s">
        <v>27254</v>
      </c>
      <c r="T12614" t="s">
        <v>27255</v>
      </c>
    </row>
    <row r="12615" spans="1:20" x14ac:dyDescent="0.3">
      <c r="A12615" t="str">
        <f>"0611839893100"</f>
        <v>0611839893100</v>
      </c>
      <c r="B12615" t="str">
        <f>"LG8012"</f>
        <v>LG8012</v>
      </c>
      <c r="C12615" t="s">
        <v>51639</v>
      </c>
      <c r="D12615" t="s">
        <v>27245</v>
      </c>
      <c r="E12615" t="str">
        <f t="shared" si="197"/>
        <v>001390</v>
      </c>
      <c r="F12615" t="s">
        <v>27246</v>
      </c>
      <c r="G12615" t="s">
        <v>27247</v>
      </c>
      <c r="H12615" t="s">
        <v>27248</v>
      </c>
      <c r="I12615" t="s">
        <v>51640</v>
      </c>
      <c r="J12615" t="s">
        <v>25237</v>
      </c>
      <c r="L12615" t="s">
        <v>27250</v>
      </c>
      <c r="M12615" t="s">
        <v>27251</v>
      </c>
      <c r="N12615" t="s">
        <v>27252</v>
      </c>
      <c r="Q12615" s="1">
        <v>44538</v>
      </c>
      <c r="R12615" t="s">
        <v>27253</v>
      </c>
      <c r="S12615" t="s">
        <v>27254</v>
      </c>
      <c r="T12615" t="s">
        <v>27255</v>
      </c>
    </row>
    <row r="12616" spans="1:20" x14ac:dyDescent="0.3">
      <c r="A12616" t="str">
        <f>"0611839894100"</f>
        <v>0611839894100</v>
      </c>
      <c r="B12616" t="str">
        <f>"LG8002"</f>
        <v>LG8002</v>
      </c>
      <c r="C12616" t="s">
        <v>51641</v>
      </c>
      <c r="D12616" t="s">
        <v>27245</v>
      </c>
      <c r="E12616" t="str">
        <f t="shared" si="197"/>
        <v>001390</v>
      </c>
      <c r="F12616" t="s">
        <v>27246</v>
      </c>
      <c r="G12616" t="s">
        <v>27247</v>
      </c>
      <c r="H12616" t="s">
        <v>27248</v>
      </c>
      <c r="I12616" t="s">
        <v>51642</v>
      </c>
      <c r="J12616" t="s">
        <v>25239</v>
      </c>
      <c r="L12616" t="s">
        <v>27250</v>
      </c>
      <c r="M12616" t="s">
        <v>27251</v>
      </c>
      <c r="N12616" t="s">
        <v>27252</v>
      </c>
      <c r="Q12616" s="1">
        <v>44538</v>
      </c>
      <c r="R12616" t="s">
        <v>27253</v>
      </c>
      <c r="S12616" t="s">
        <v>27254</v>
      </c>
      <c r="T12616" t="s">
        <v>27255</v>
      </c>
    </row>
    <row r="12617" spans="1:20" x14ac:dyDescent="0.3">
      <c r="A12617" t="str">
        <f>"0611839895100"</f>
        <v>0611839895100</v>
      </c>
      <c r="B12617" t="str">
        <f>"LG8009"</f>
        <v>LG8009</v>
      </c>
      <c r="C12617" t="s">
        <v>51643</v>
      </c>
      <c r="D12617" t="s">
        <v>27245</v>
      </c>
      <c r="E12617" t="str">
        <f t="shared" si="197"/>
        <v>001390</v>
      </c>
      <c r="F12617" t="s">
        <v>27246</v>
      </c>
      <c r="G12617" t="s">
        <v>27247</v>
      </c>
      <c r="H12617" t="s">
        <v>27248</v>
      </c>
      <c r="I12617" t="s">
        <v>51644</v>
      </c>
      <c r="J12617" t="s">
        <v>25241</v>
      </c>
      <c r="L12617" t="s">
        <v>27250</v>
      </c>
      <c r="M12617" t="s">
        <v>27251</v>
      </c>
      <c r="N12617" t="s">
        <v>27252</v>
      </c>
      <c r="Q12617" s="1">
        <v>44538</v>
      </c>
      <c r="R12617" t="s">
        <v>27253</v>
      </c>
      <c r="S12617" t="s">
        <v>27254</v>
      </c>
      <c r="T12617" t="s">
        <v>27255</v>
      </c>
    </row>
    <row r="12618" spans="1:20" x14ac:dyDescent="0.3">
      <c r="A12618" t="str">
        <f>"0611839896100"</f>
        <v>0611839896100</v>
      </c>
      <c r="B12618" t="str">
        <f>"LK6346"</f>
        <v>LK6346</v>
      </c>
      <c r="C12618" t="s">
        <v>51645</v>
      </c>
      <c r="D12618" t="s">
        <v>27245</v>
      </c>
      <c r="E12618" t="str">
        <f t="shared" si="197"/>
        <v>001390</v>
      </c>
      <c r="F12618" t="s">
        <v>27246</v>
      </c>
      <c r="G12618" t="s">
        <v>27247</v>
      </c>
      <c r="H12618" t="s">
        <v>27248</v>
      </c>
      <c r="I12618" t="s">
        <v>51646</v>
      </c>
      <c r="J12618" t="s">
        <v>25243</v>
      </c>
      <c r="L12618" t="s">
        <v>27250</v>
      </c>
      <c r="M12618" t="s">
        <v>27251</v>
      </c>
      <c r="N12618" t="s">
        <v>27252</v>
      </c>
      <c r="Q12618" s="1">
        <v>44538</v>
      </c>
      <c r="R12618" t="s">
        <v>27253</v>
      </c>
      <c r="S12618" t="s">
        <v>27254</v>
      </c>
      <c r="T12618" t="s">
        <v>27255</v>
      </c>
    </row>
    <row r="12619" spans="1:20" x14ac:dyDescent="0.3">
      <c r="A12619" t="str">
        <f>"0611839898100"</f>
        <v>0611839898100</v>
      </c>
      <c r="B12619" t="str">
        <f>"LC9530"</f>
        <v>LC9530</v>
      </c>
      <c r="C12619" t="s">
        <v>51647</v>
      </c>
      <c r="D12619" t="s">
        <v>27245</v>
      </c>
      <c r="E12619" t="str">
        <f t="shared" si="197"/>
        <v>001390</v>
      </c>
      <c r="F12619" t="s">
        <v>27246</v>
      </c>
      <c r="G12619" t="s">
        <v>27247</v>
      </c>
      <c r="H12619" t="s">
        <v>27248</v>
      </c>
      <c r="I12619" t="s">
        <v>51648</v>
      </c>
      <c r="J12619" t="s">
        <v>11367</v>
      </c>
      <c r="L12619" t="s">
        <v>27250</v>
      </c>
      <c r="M12619" t="s">
        <v>27251</v>
      </c>
      <c r="N12619" t="s">
        <v>27252</v>
      </c>
      <c r="Q12619" s="1">
        <v>44538</v>
      </c>
      <c r="R12619" t="s">
        <v>27253</v>
      </c>
      <c r="S12619" t="s">
        <v>27254</v>
      </c>
      <c r="T12619" t="s">
        <v>27255</v>
      </c>
    </row>
    <row r="12620" spans="1:20" x14ac:dyDescent="0.3">
      <c r="A12620" t="str">
        <f>"0611884491025"</f>
        <v>0611884491025</v>
      </c>
      <c r="B12620" t="str">
        <f>"MC4511"</f>
        <v>MC4511</v>
      </c>
      <c r="C12620" t="s">
        <v>51647</v>
      </c>
      <c r="D12620" t="s">
        <v>27267</v>
      </c>
      <c r="E12620" t="str">
        <f t="shared" si="197"/>
        <v>001390</v>
      </c>
      <c r="F12620" t="s">
        <v>27246</v>
      </c>
      <c r="G12620" t="s">
        <v>27247</v>
      </c>
      <c r="H12620" t="s">
        <v>27248</v>
      </c>
      <c r="I12620" t="s">
        <v>51649</v>
      </c>
      <c r="J12620" t="s">
        <v>25245</v>
      </c>
      <c r="L12620" t="s">
        <v>27430</v>
      </c>
      <c r="M12620" t="s">
        <v>27251</v>
      </c>
      <c r="N12620" t="s">
        <v>27252</v>
      </c>
      <c r="Q12620" s="1">
        <v>45250</v>
      </c>
      <c r="R12620" t="s">
        <v>27253</v>
      </c>
      <c r="S12620" t="s">
        <v>27254</v>
      </c>
      <c r="T12620" t="s">
        <v>27269</v>
      </c>
    </row>
    <row r="12621" spans="1:20" x14ac:dyDescent="0.3">
      <c r="A12621" t="str">
        <f>"0611839899100"</f>
        <v>0611839899100</v>
      </c>
      <c r="B12621" t="str">
        <f>"LH8856"</f>
        <v>LH8856</v>
      </c>
      <c r="C12621" t="s">
        <v>51650</v>
      </c>
      <c r="D12621" t="s">
        <v>27245</v>
      </c>
      <c r="E12621" t="str">
        <f t="shared" si="197"/>
        <v>001390</v>
      </c>
      <c r="F12621" t="s">
        <v>27246</v>
      </c>
      <c r="G12621" t="s">
        <v>27247</v>
      </c>
      <c r="H12621" t="s">
        <v>27248</v>
      </c>
      <c r="I12621" t="s">
        <v>51651</v>
      </c>
      <c r="J12621" t="s">
        <v>25247</v>
      </c>
      <c r="L12621" t="s">
        <v>27250</v>
      </c>
      <c r="M12621" t="s">
        <v>27251</v>
      </c>
      <c r="N12621" t="s">
        <v>27252</v>
      </c>
      <c r="O12621">
        <v>100</v>
      </c>
      <c r="Q12621" s="1">
        <v>44538</v>
      </c>
      <c r="R12621" t="s">
        <v>27253</v>
      </c>
      <c r="S12621" t="s">
        <v>27254</v>
      </c>
      <c r="T12621" t="s">
        <v>27255</v>
      </c>
    </row>
    <row r="12622" spans="1:20" x14ac:dyDescent="0.3">
      <c r="A12622" t="str">
        <f>"0611839900025"</f>
        <v>0611839900025</v>
      </c>
      <c r="B12622" t="str">
        <f>"MC0926"</f>
        <v>MC0926</v>
      </c>
      <c r="C12622" t="s">
        <v>51652</v>
      </c>
      <c r="D12622" t="s">
        <v>27267</v>
      </c>
      <c r="E12622" t="str">
        <f t="shared" si="197"/>
        <v>001390</v>
      </c>
      <c r="F12622" t="s">
        <v>27246</v>
      </c>
      <c r="G12622" t="s">
        <v>27247</v>
      </c>
      <c r="H12622" t="s">
        <v>27248</v>
      </c>
      <c r="I12622" t="s">
        <v>51653</v>
      </c>
      <c r="J12622" t="s">
        <v>25249</v>
      </c>
      <c r="L12622" t="s">
        <v>27250</v>
      </c>
      <c r="M12622" t="s">
        <v>27251</v>
      </c>
      <c r="N12622" t="s">
        <v>27252</v>
      </c>
      <c r="Q12622" s="1">
        <v>44538</v>
      </c>
      <c r="R12622" t="s">
        <v>27253</v>
      </c>
      <c r="S12622" t="s">
        <v>27254</v>
      </c>
      <c r="T12622" t="s">
        <v>27269</v>
      </c>
    </row>
    <row r="12623" spans="1:20" x14ac:dyDescent="0.3">
      <c r="A12623" t="str">
        <f>"0611839901100"</f>
        <v>0611839901100</v>
      </c>
      <c r="B12623" t="str">
        <f>"LB9225"</f>
        <v>LB9225</v>
      </c>
      <c r="C12623" t="s">
        <v>51654</v>
      </c>
      <c r="D12623" t="s">
        <v>27245</v>
      </c>
      <c r="E12623" t="str">
        <f t="shared" si="197"/>
        <v>001390</v>
      </c>
      <c r="F12623" t="s">
        <v>27246</v>
      </c>
      <c r="G12623" t="s">
        <v>27247</v>
      </c>
      <c r="H12623" t="s">
        <v>27248</v>
      </c>
      <c r="I12623" t="s">
        <v>51655</v>
      </c>
      <c r="J12623" t="s">
        <v>25251</v>
      </c>
      <c r="L12623" t="s">
        <v>27250</v>
      </c>
      <c r="M12623" t="s">
        <v>27251</v>
      </c>
      <c r="N12623" t="s">
        <v>27252</v>
      </c>
      <c r="Q12623" s="1">
        <v>44538</v>
      </c>
      <c r="R12623" t="s">
        <v>27253</v>
      </c>
      <c r="S12623" t="s">
        <v>27254</v>
      </c>
      <c r="T12623" t="s">
        <v>27255</v>
      </c>
    </row>
    <row r="12624" spans="1:20" x14ac:dyDescent="0.3">
      <c r="A12624" t="str">
        <f>"0611839902025"</f>
        <v>0611839902025</v>
      </c>
      <c r="B12624" t="str">
        <f>"MC1485"</f>
        <v>MC1485</v>
      </c>
      <c r="C12624" t="s">
        <v>51654</v>
      </c>
      <c r="D12624" t="s">
        <v>27267</v>
      </c>
      <c r="E12624" t="str">
        <f t="shared" si="197"/>
        <v>001390</v>
      </c>
      <c r="F12624" t="s">
        <v>27246</v>
      </c>
      <c r="G12624" t="s">
        <v>27247</v>
      </c>
      <c r="H12624" t="s">
        <v>27248</v>
      </c>
      <c r="I12624" t="s">
        <v>51656</v>
      </c>
      <c r="J12624" t="s">
        <v>25253</v>
      </c>
      <c r="L12624" t="s">
        <v>27250</v>
      </c>
      <c r="M12624" t="s">
        <v>27251</v>
      </c>
      <c r="N12624" t="s">
        <v>27252</v>
      </c>
      <c r="Q12624" s="1">
        <v>44538</v>
      </c>
      <c r="R12624" t="s">
        <v>27253</v>
      </c>
      <c r="S12624" t="s">
        <v>27254</v>
      </c>
      <c r="T12624" t="s">
        <v>27269</v>
      </c>
    </row>
    <row r="12625" spans="1:20" x14ac:dyDescent="0.3">
      <c r="A12625" t="str">
        <f>"0611839903100"</f>
        <v>0611839903100</v>
      </c>
      <c r="B12625" t="str">
        <f>"LH0202"</f>
        <v>LH0202</v>
      </c>
      <c r="C12625" t="s">
        <v>51657</v>
      </c>
      <c r="D12625" t="s">
        <v>27245</v>
      </c>
      <c r="E12625" t="str">
        <f t="shared" si="197"/>
        <v>001390</v>
      </c>
      <c r="F12625" t="s">
        <v>27246</v>
      </c>
      <c r="G12625" t="s">
        <v>27247</v>
      </c>
      <c r="H12625" t="s">
        <v>27248</v>
      </c>
      <c r="I12625" t="s">
        <v>51658</v>
      </c>
      <c r="J12625" t="s">
        <v>25255</v>
      </c>
      <c r="L12625" t="s">
        <v>27250</v>
      </c>
      <c r="M12625" t="s">
        <v>27251</v>
      </c>
      <c r="N12625" t="s">
        <v>27252</v>
      </c>
      <c r="Q12625" s="1">
        <v>44538</v>
      </c>
      <c r="R12625" t="s">
        <v>27253</v>
      </c>
      <c r="S12625" t="s">
        <v>27254</v>
      </c>
      <c r="T12625" t="s">
        <v>27255</v>
      </c>
    </row>
    <row r="12626" spans="1:20" x14ac:dyDescent="0.3">
      <c r="A12626" t="str">
        <f>"0611839904100"</f>
        <v>0611839904100</v>
      </c>
      <c r="B12626" t="str">
        <f>"LK6300"</f>
        <v>LK6300</v>
      </c>
      <c r="C12626" t="s">
        <v>51659</v>
      </c>
      <c r="D12626" t="s">
        <v>27245</v>
      </c>
      <c r="E12626" t="str">
        <f t="shared" si="197"/>
        <v>001390</v>
      </c>
      <c r="F12626" t="s">
        <v>27246</v>
      </c>
      <c r="G12626" t="s">
        <v>27247</v>
      </c>
      <c r="H12626" t="s">
        <v>27248</v>
      </c>
      <c r="I12626" t="s">
        <v>51660</v>
      </c>
      <c r="J12626" t="s">
        <v>25257</v>
      </c>
      <c r="L12626" t="s">
        <v>27250</v>
      </c>
      <c r="M12626" t="s">
        <v>27251</v>
      </c>
      <c r="N12626" t="s">
        <v>27252</v>
      </c>
      <c r="Q12626" s="1">
        <v>44538</v>
      </c>
      <c r="R12626" t="s">
        <v>27253</v>
      </c>
      <c r="S12626" t="s">
        <v>27254</v>
      </c>
      <c r="T12626" t="s">
        <v>27255</v>
      </c>
    </row>
    <row r="12627" spans="1:20" x14ac:dyDescent="0.3">
      <c r="A12627" t="str">
        <f>"0611839905100"</f>
        <v>0611839905100</v>
      </c>
      <c r="B12627" t="str">
        <f>"LK6668"</f>
        <v>LK6668</v>
      </c>
      <c r="C12627" t="s">
        <v>51661</v>
      </c>
      <c r="D12627" t="s">
        <v>27245</v>
      </c>
      <c r="E12627" t="str">
        <f t="shared" si="197"/>
        <v>001390</v>
      </c>
      <c r="F12627" t="s">
        <v>27246</v>
      </c>
      <c r="G12627" t="s">
        <v>27247</v>
      </c>
      <c r="H12627" t="s">
        <v>27248</v>
      </c>
      <c r="I12627" t="s">
        <v>51662</v>
      </c>
      <c r="J12627" t="s">
        <v>25259</v>
      </c>
      <c r="L12627" t="s">
        <v>27250</v>
      </c>
      <c r="M12627" t="s">
        <v>27251</v>
      </c>
      <c r="N12627" t="s">
        <v>27252</v>
      </c>
      <c r="Q12627" s="1">
        <v>44538</v>
      </c>
      <c r="R12627" t="s">
        <v>27253</v>
      </c>
      <c r="S12627" t="s">
        <v>27254</v>
      </c>
      <c r="T12627" t="s">
        <v>27255</v>
      </c>
    </row>
    <row r="12628" spans="1:20" x14ac:dyDescent="0.3">
      <c r="A12628" t="str">
        <f>"0611839906100"</f>
        <v>0611839906100</v>
      </c>
      <c r="B12628" t="str">
        <f>"LK6303"</f>
        <v>LK6303</v>
      </c>
      <c r="C12628" t="s">
        <v>51663</v>
      </c>
      <c r="D12628" t="s">
        <v>27245</v>
      </c>
      <c r="E12628" t="str">
        <f t="shared" si="197"/>
        <v>001390</v>
      </c>
      <c r="F12628" t="s">
        <v>27246</v>
      </c>
      <c r="G12628" t="s">
        <v>27247</v>
      </c>
      <c r="H12628" t="s">
        <v>27248</v>
      </c>
      <c r="I12628" t="s">
        <v>51664</v>
      </c>
      <c r="J12628" t="s">
        <v>25261</v>
      </c>
      <c r="L12628" t="s">
        <v>27250</v>
      </c>
      <c r="M12628" t="s">
        <v>27251</v>
      </c>
      <c r="N12628" t="s">
        <v>27252</v>
      </c>
      <c r="Q12628" s="1">
        <v>44538</v>
      </c>
      <c r="R12628" t="s">
        <v>27253</v>
      </c>
      <c r="S12628" t="s">
        <v>27254</v>
      </c>
      <c r="T12628" t="s">
        <v>27255</v>
      </c>
    </row>
    <row r="12629" spans="1:20" x14ac:dyDescent="0.3">
      <c r="A12629" t="str">
        <f>"0611839907100"</f>
        <v>0611839907100</v>
      </c>
      <c r="B12629" t="str">
        <f>"LK5380"</f>
        <v>LK5380</v>
      </c>
      <c r="C12629" t="s">
        <v>51665</v>
      </c>
      <c r="D12629" t="s">
        <v>27245</v>
      </c>
      <c r="E12629" t="str">
        <f t="shared" si="197"/>
        <v>001390</v>
      </c>
      <c r="F12629" t="s">
        <v>27246</v>
      </c>
      <c r="G12629" t="s">
        <v>27247</v>
      </c>
      <c r="H12629" t="s">
        <v>27248</v>
      </c>
      <c r="I12629" t="s">
        <v>51666</v>
      </c>
      <c r="J12629" t="s">
        <v>25265</v>
      </c>
      <c r="L12629" t="s">
        <v>27250</v>
      </c>
      <c r="M12629" t="s">
        <v>27251</v>
      </c>
      <c r="N12629" t="s">
        <v>27252</v>
      </c>
      <c r="Q12629" s="1">
        <v>44538</v>
      </c>
      <c r="R12629" t="s">
        <v>27253</v>
      </c>
      <c r="S12629" t="s">
        <v>27254</v>
      </c>
      <c r="T12629" t="s">
        <v>27255</v>
      </c>
    </row>
    <row r="12630" spans="1:20" x14ac:dyDescent="0.3">
      <c r="A12630" t="str">
        <f>"0611839908100"</f>
        <v>0611839908100</v>
      </c>
      <c r="B12630" t="str">
        <f>"LK5379"</f>
        <v>LK5379</v>
      </c>
      <c r="C12630" t="s">
        <v>51667</v>
      </c>
      <c r="D12630" t="s">
        <v>27245</v>
      </c>
      <c r="E12630" t="str">
        <f t="shared" si="197"/>
        <v>001390</v>
      </c>
      <c r="F12630" t="s">
        <v>27246</v>
      </c>
      <c r="G12630" t="s">
        <v>27247</v>
      </c>
      <c r="H12630" t="s">
        <v>27248</v>
      </c>
      <c r="I12630" t="s">
        <v>51668</v>
      </c>
      <c r="J12630" t="s">
        <v>25267</v>
      </c>
      <c r="L12630" t="s">
        <v>27250</v>
      </c>
      <c r="M12630" t="s">
        <v>27251</v>
      </c>
      <c r="N12630" t="s">
        <v>27252</v>
      </c>
      <c r="Q12630" s="1">
        <v>44538</v>
      </c>
      <c r="R12630" t="s">
        <v>27253</v>
      </c>
      <c r="S12630" t="s">
        <v>27254</v>
      </c>
      <c r="T12630" t="s">
        <v>27255</v>
      </c>
    </row>
    <row r="12631" spans="1:20" x14ac:dyDescent="0.3">
      <c r="A12631" t="str">
        <f>"0611839910100"</f>
        <v>0611839910100</v>
      </c>
      <c r="B12631" t="str">
        <f>"LK5378"</f>
        <v>LK5378</v>
      </c>
      <c r="C12631" t="s">
        <v>51669</v>
      </c>
      <c r="D12631" t="s">
        <v>27245</v>
      </c>
      <c r="E12631" t="str">
        <f t="shared" si="197"/>
        <v>001390</v>
      </c>
      <c r="F12631" t="s">
        <v>27246</v>
      </c>
      <c r="G12631" t="s">
        <v>27247</v>
      </c>
      <c r="H12631" t="s">
        <v>27248</v>
      </c>
      <c r="I12631" t="s">
        <v>51670</v>
      </c>
      <c r="J12631" t="s">
        <v>25263</v>
      </c>
      <c r="L12631" t="s">
        <v>27250</v>
      </c>
      <c r="M12631" t="s">
        <v>27251</v>
      </c>
      <c r="N12631" t="s">
        <v>27252</v>
      </c>
      <c r="Q12631" s="1">
        <v>44538</v>
      </c>
      <c r="R12631" t="s">
        <v>27253</v>
      </c>
      <c r="S12631" t="s">
        <v>27254</v>
      </c>
      <c r="T12631" t="s">
        <v>27255</v>
      </c>
    </row>
    <row r="12632" spans="1:20" x14ac:dyDescent="0.3">
      <c r="A12632" t="str">
        <f>"0611864114050"</f>
        <v>0611864114050</v>
      </c>
      <c r="B12632" t="str">
        <f>"CR3157"</f>
        <v>CR3157</v>
      </c>
      <c r="C12632" t="s">
        <v>51671</v>
      </c>
      <c r="D12632" t="s">
        <v>27271</v>
      </c>
      <c r="E12632" t="str">
        <f t="shared" si="197"/>
        <v>001390</v>
      </c>
      <c r="F12632" t="s">
        <v>27246</v>
      </c>
      <c r="G12632" t="s">
        <v>27247</v>
      </c>
      <c r="H12632" t="s">
        <v>27248</v>
      </c>
      <c r="I12632" t="s">
        <v>51672</v>
      </c>
      <c r="J12632" t="s">
        <v>25269</v>
      </c>
      <c r="L12632" t="s">
        <v>27250</v>
      </c>
      <c r="M12632" t="s">
        <v>27251</v>
      </c>
      <c r="N12632" t="s">
        <v>27252</v>
      </c>
      <c r="P12632" t="s">
        <v>27341</v>
      </c>
      <c r="Q12632" s="1">
        <v>44846</v>
      </c>
      <c r="R12632" t="s">
        <v>27253</v>
      </c>
      <c r="S12632" t="s">
        <v>27254</v>
      </c>
      <c r="T12632" t="s">
        <v>27265</v>
      </c>
    </row>
    <row r="12633" spans="1:20" x14ac:dyDescent="0.3">
      <c r="A12633" t="str">
        <f>"0611864115050"</f>
        <v>0611864115050</v>
      </c>
      <c r="B12633" t="str">
        <f>"CR2919"</f>
        <v>CR2919</v>
      </c>
      <c r="C12633" t="s">
        <v>51673</v>
      </c>
      <c r="D12633" t="s">
        <v>27271</v>
      </c>
      <c r="E12633" t="str">
        <f t="shared" si="197"/>
        <v>001390</v>
      </c>
      <c r="F12633" t="s">
        <v>27246</v>
      </c>
      <c r="G12633" t="s">
        <v>27247</v>
      </c>
      <c r="H12633" t="s">
        <v>27248</v>
      </c>
      <c r="I12633" t="s">
        <v>51674</v>
      </c>
      <c r="J12633" t="s">
        <v>25271</v>
      </c>
      <c r="L12633" t="s">
        <v>27250</v>
      </c>
      <c r="M12633" t="s">
        <v>27251</v>
      </c>
      <c r="N12633" t="s">
        <v>27252</v>
      </c>
      <c r="P12633" t="s">
        <v>27341</v>
      </c>
      <c r="Q12633" s="1">
        <v>44846</v>
      </c>
      <c r="R12633" t="s">
        <v>27253</v>
      </c>
      <c r="S12633" t="s">
        <v>27254</v>
      </c>
      <c r="T12633" t="s">
        <v>27265</v>
      </c>
    </row>
    <row r="12634" spans="1:20" x14ac:dyDescent="0.3">
      <c r="A12634" t="str">
        <f>"0611864116050"</f>
        <v>0611864116050</v>
      </c>
      <c r="B12634" t="str">
        <f>"CR3158"</f>
        <v>CR3158</v>
      </c>
      <c r="C12634" t="s">
        <v>51675</v>
      </c>
      <c r="D12634" t="s">
        <v>27271</v>
      </c>
      <c r="E12634" t="str">
        <f t="shared" si="197"/>
        <v>001390</v>
      </c>
      <c r="F12634" t="s">
        <v>27246</v>
      </c>
      <c r="G12634" t="s">
        <v>27247</v>
      </c>
      <c r="H12634" t="s">
        <v>27248</v>
      </c>
      <c r="I12634" t="s">
        <v>51676</v>
      </c>
      <c r="J12634" t="s">
        <v>25273</v>
      </c>
      <c r="L12634" t="s">
        <v>27250</v>
      </c>
      <c r="M12634" t="s">
        <v>27251</v>
      </c>
      <c r="N12634" t="s">
        <v>27252</v>
      </c>
      <c r="P12634" t="s">
        <v>27341</v>
      </c>
      <c r="Q12634" s="1">
        <v>44846</v>
      </c>
      <c r="R12634" t="s">
        <v>27253</v>
      </c>
      <c r="S12634" t="s">
        <v>27254</v>
      </c>
      <c r="T12634" t="s">
        <v>27265</v>
      </c>
    </row>
    <row r="12635" spans="1:20" x14ac:dyDescent="0.3">
      <c r="A12635" t="str">
        <f>"0611864117050"</f>
        <v>0611864117050</v>
      </c>
      <c r="B12635" t="str">
        <f>"CR3159"</f>
        <v>CR3159</v>
      </c>
      <c r="C12635" t="s">
        <v>51677</v>
      </c>
      <c r="D12635" t="s">
        <v>27271</v>
      </c>
      <c r="E12635" t="str">
        <f t="shared" si="197"/>
        <v>001390</v>
      </c>
      <c r="F12635" t="s">
        <v>27246</v>
      </c>
      <c r="G12635" t="s">
        <v>27247</v>
      </c>
      <c r="H12635" t="s">
        <v>27248</v>
      </c>
      <c r="I12635" t="s">
        <v>51678</v>
      </c>
      <c r="J12635" t="s">
        <v>25275</v>
      </c>
      <c r="L12635" t="s">
        <v>27250</v>
      </c>
      <c r="M12635" t="s">
        <v>27251</v>
      </c>
      <c r="N12635" t="s">
        <v>27252</v>
      </c>
      <c r="P12635" t="s">
        <v>27341</v>
      </c>
      <c r="Q12635" s="1">
        <v>44846</v>
      </c>
      <c r="R12635" t="s">
        <v>27253</v>
      </c>
      <c r="S12635" t="s">
        <v>27254</v>
      </c>
      <c r="T12635" t="s">
        <v>27265</v>
      </c>
    </row>
    <row r="12636" spans="1:20" x14ac:dyDescent="0.3">
      <c r="A12636" t="str">
        <f>"0611864118050"</f>
        <v>0611864118050</v>
      </c>
      <c r="B12636" t="str">
        <f>"CR3918"</f>
        <v>CR3918</v>
      </c>
      <c r="C12636" t="s">
        <v>51679</v>
      </c>
      <c r="D12636" t="s">
        <v>27271</v>
      </c>
      <c r="E12636" t="str">
        <f t="shared" si="197"/>
        <v>001390</v>
      </c>
      <c r="F12636" t="s">
        <v>27246</v>
      </c>
      <c r="G12636" t="s">
        <v>27247</v>
      </c>
      <c r="H12636" t="s">
        <v>27248</v>
      </c>
      <c r="I12636" t="s">
        <v>51680</v>
      </c>
      <c r="J12636" t="s">
        <v>25279</v>
      </c>
      <c r="L12636" t="s">
        <v>27250</v>
      </c>
      <c r="M12636" t="s">
        <v>27251</v>
      </c>
      <c r="N12636" t="s">
        <v>27252</v>
      </c>
      <c r="P12636" t="s">
        <v>27341</v>
      </c>
      <c r="Q12636" s="1">
        <v>44846</v>
      </c>
      <c r="R12636" t="s">
        <v>27253</v>
      </c>
      <c r="S12636" t="s">
        <v>27254</v>
      </c>
      <c r="T12636" t="s">
        <v>27265</v>
      </c>
    </row>
    <row r="12637" spans="1:20" x14ac:dyDescent="0.3">
      <c r="A12637" t="str">
        <f>"0611864119050"</f>
        <v>0611864119050</v>
      </c>
      <c r="B12637" t="str">
        <f>"CR2760"</f>
        <v>CR2760</v>
      </c>
      <c r="C12637" t="s">
        <v>51681</v>
      </c>
      <c r="D12637" t="s">
        <v>27271</v>
      </c>
      <c r="E12637" t="str">
        <f t="shared" si="197"/>
        <v>001390</v>
      </c>
      <c r="F12637" t="s">
        <v>27246</v>
      </c>
      <c r="G12637" t="s">
        <v>27247</v>
      </c>
      <c r="H12637" t="s">
        <v>27248</v>
      </c>
      <c r="I12637" t="s">
        <v>51682</v>
      </c>
      <c r="J12637" t="s">
        <v>25277</v>
      </c>
      <c r="L12637" t="s">
        <v>27250</v>
      </c>
      <c r="M12637" t="s">
        <v>27251</v>
      </c>
      <c r="N12637" t="s">
        <v>27252</v>
      </c>
      <c r="P12637" t="s">
        <v>27341</v>
      </c>
      <c r="Q12637" s="1">
        <v>44846</v>
      </c>
      <c r="R12637" t="s">
        <v>27253</v>
      </c>
      <c r="S12637" t="s">
        <v>27254</v>
      </c>
      <c r="T12637" t="s">
        <v>27265</v>
      </c>
    </row>
    <row r="12638" spans="1:20" x14ac:dyDescent="0.3">
      <c r="A12638" t="str">
        <f>"0611864120050"</f>
        <v>0611864120050</v>
      </c>
      <c r="B12638" t="str">
        <f>"CR3160"</f>
        <v>CR3160</v>
      </c>
      <c r="C12638" t="s">
        <v>51683</v>
      </c>
      <c r="D12638" t="s">
        <v>27271</v>
      </c>
      <c r="E12638" t="str">
        <f t="shared" si="197"/>
        <v>001390</v>
      </c>
      <c r="F12638" t="s">
        <v>27246</v>
      </c>
      <c r="G12638" t="s">
        <v>27247</v>
      </c>
      <c r="H12638" t="s">
        <v>27248</v>
      </c>
      <c r="I12638" t="s">
        <v>51684</v>
      </c>
      <c r="J12638" t="s">
        <v>25281</v>
      </c>
      <c r="L12638" t="s">
        <v>27250</v>
      </c>
      <c r="M12638" t="s">
        <v>27251</v>
      </c>
      <c r="N12638" t="s">
        <v>27252</v>
      </c>
      <c r="P12638" t="s">
        <v>27341</v>
      </c>
      <c r="Q12638" s="1">
        <v>44846</v>
      </c>
      <c r="R12638" t="s">
        <v>27253</v>
      </c>
      <c r="S12638" t="s">
        <v>27254</v>
      </c>
      <c r="T12638" t="s">
        <v>27265</v>
      </c>
    </row>
    <row r="12639" spans="1:20" x14ac:dyDescent="0.3">
      <c r="A12639" t="str">
        <f>"0611864121050"</f>
        <v>0611864121050</v>
      </c>
      <c r="B12639" t="str">
        <f>"CR3021"</f>
        <v>CR3021</v>
      </c>
      <c r="C12639" t="s">
        <v>51685</v>
      </c>
      <c r="D12639" t="s">
        <v>27271</v>
      </c>
      <c r="E12639" t="str">
        <f t="shared" si="197"/>
        <v>001390</v>
      </c>
      <c r="F12639" t="s">
        <v>27246</v>
      </c>
      <c r="G12639" t="s">
        <v>27247</v>
      </c>
      <c r="H12639" t="s">
        <v>27248</v>
      </c>
      <c r="I12639" t="s">
        <v>51686</v>
      </c>
      <c r="J12639" t="s">
        <v>25283</v>
      </c>
      <c r="L12639" t="s">
        <v>27250</v>
      </c>
      <c r="M12639" t="s">
        <v>27251</v>
      </c>
      <c r="N12639" t="s">
        <v>27252</v>
      </c>
      <c r="P12639" t="s">
        <v>27341</v>
      </c>
      <c r="Q12639" s="1">
        <v>44846</v>
      </c>
      <c r="R12639" t="s">
        <v>27253</v>
      </c>
      <c r="S12639" t="s">
        <v>27254</v>
      </c>
      <c r="T12639" t="s">
        <v>27265</v>
      </c>
    </row>
    <row r="12640" spans="1:20" x14ac:dyDescent="0.3">
      <c r="A12640" t="str">
        <f>"0611864122050"</f>
        <v>0611864122050</v>
      </c>
      <c r="B12640" t="str">
        <f>"CR5019"</f>
        <v>CR5019</v>
      </c>
      <c r="C12640" t="s">
        <v>51687</v>
      </c>
      <c r="D12640" t="s">
        <v>27271</v>
      </c>
      <c r="E12640" t="str">
        <f t="shared" si="197"/>
        <v>001390</v>
      </c>
      <c r="F12640" t="s">
        <v>27246</v>
      </c>
      <c r="G12640" t="s">
        <v>27247</v>
      </c>
      <c r="H12640" t="s">
        <v>27248</v>
      </c>
      <c r="I12640" t="s">
        <v>51688</v>
      </c>
      <c r="J12640" t="s">
        <v>25285</v>
      </c>
      <c r="L12640" t="s">
        <v>27250</v>
      </c>
      <c r="M12640" t="s">
        <v>27251</v>
      </c>
      <c r="N12640" t="s">
        <v>27252</v>
      </c>
      <c r="P12640" t="s">
        <v>27341</v>
      </c>
      <c r="Q12640" s="1">
        <v>44846</v>
      </c>
      <c r="R12640" t="s">
        <v>27253</v>
      </c>
      <c r="S12640" t="s">
        <v>27254</v>
      </c>
      <c r="T12640" t="s">
        <v>27265</v>
      </c>
    </row>
    <row r="12641" spans="1:20" x14ac:dyDescent="0.3">
      <c r="A12641" t="str">
        <f>"0611864123050"</f>
        <v>0611864123050</v>
      </c>
      <c r="B12641" t="str">
        <f>"CR2758"</f>
        <v>CR2758</v>
      </c>
      <c r="C12641" t="s">
        <v>51689</v>
      </c>
      <c r="D12641" t="s">
        <v>27271</v>
      </c>
      <c r="E12641" t="str">
        <f t="shared" si="197"/>
        <v>001390</v>
      </c>
      <c r="F12641" t="s">
        <v>27246</v>
      </c>
      <c r="G12641" t="s">
        <v>27247</v>
      </c>
      <c r="H12641" t="s">
        <v>27248</v>
      </c>
      <c r="I12641" t="s">
        <v>51690</v>
      </c>
      <c r="J12641" t="s">
        <v>25287</v>
      </c>
      <c r="L12641" t="s">
        <v>27250</v>
      </c>
      <c r="M12641" t="s">
        <v>27251</v>
      </c>
      <c r="N12641" t="s">
        <v>27252</v>
      </c>
      <c r="P12641" t="s">
        <v>27341</v>
      </c>
      <c r="Q12641" s="1">
        <v>44846</v>
      </c>
      <c r="R12641" t="s">
        <v>27253</v>
      </c>
      <c r="S12641" t="s">
        <v>27254</v>
      </c>
      <c r="T12641" t="s">
        <v>27265</v>
      </c>
    </row>
    <row r="12642" spans="1:20" x14ac:dyDescent="0.3">
      <c r="A12642" t="str">
        <f>"0611864124050"</f>
        <v>0611864124050</v>
      </c>
      <c r="B12642" t="str">
        <f>"CR3743"</f>
        <v>CR3743</v>
      </c>
      <c r="C12642" t="s">
        <v>51691</v>
      </c>
      <c r="D12642" t="s">
        <v>27271</v>
      </c>
      <c r="E12642" t="str">
        <f t="shared" si="197"/>
        <v>001390</v>
      </c>
      <c r="F12642" t="s">
        <v>27246</v>
      </c>
      <c r="G12642" t="s">
        <v>27247</v>
      </c>
      <c r="H12642" t="s">
        <v>27248</v>
      </c>
      <c r="I12642" t="s">
        <v>51692</v>
      </c>
      <c r="J12642" t="s">
        <v>25289</v>
      </c>
      <c r="L12642" t="s">
        <v>27250</v>
      </c>
      <c r="M12642" t="s">
        <v>27251</v>
      </c>
      <c r="N12642" t="s">
        <v>27252</v>
      </c>
      <c r="P12642" t="s">
        <v>27341</v>
      </c>
      <c r="Q12642" s="1">
        <v>44846</v>
      </c>
      <c r="R12642" t="s">
        <v>27253</v>
      </c>
      <c r="S12642" t="s">
        <v>27254</v>
      </c>
      <c r="T12642" t="s">
        <v>27265</v>
      </c>
    </row>
    <row r="12643" spans="1:20" x14ac:dyDescent="0.3">
      <c r="A12643" t="str">
        <f>"0611864125050"</f>
        <v>0611864125050</v>
      </c>
      <c r="B12643" t="str">
        <f>"CR3161"</f>
        <v>CR3161</v>
      </c>
      <c r="C12643" t="s">
        <v>51693</v>
      </c>
      <c r="D12643" t="s">
        <v>27271</v>
      </c>
      <c r="E12643" t="str">
        <f t="shared" si="197"/>
        <v>001390</v>
      </c>
      <c r="F12643" t="s">
        <v>27246</v>
      </c>
      <c r="G12643" t="s">
        <v>27247</v>
      </c>
      <c r="H12643" t="s">
        <v>27248</v>
      </c>
      <c r="I12643" t="s">
        <v>51694</v>
      </c>
      <c r="J12643" t="s">
        <v>25291</v>
      </c>
      <c r="L12643" t="s">
        <v>27250</v>
      </c>
      <c r="M12643" t="s">
        <v>27251</v>
      </c>
      <c r="N12643" t="s">
        <v>27252</v>
      </c>
      <c r="P12643" t="s">
        <v>27341</v>
      </c>
      <c r="Q12643" s="1">
        <v>44846</v>
      </c>
      <c r="R12643" t="s">
        <v>27253</v>
      </c>
      <c r="S12643" t="s">
        <v>27254</v>
      </c>
      <c r="T12643" t="s">
        <v>27265</v>
      </c>
    </row>
    <row r="12644" spans="1:20" x14ac:dyDescent="0.3">
      <c r="A12644" t="str">
        <f>"0611864126050"</f>
        <v>0611864126050</v>
      </c>
      <c r="B12644" t="str">
        <f>"CR3162"</f>
        <v>CR3162</v>
      </c>
      <c r="C12644" t="s">
        <v>51695</v>
      </c>
      <c r="D12644" t="s">
        <v>27271</v>
      </c>
      <c r="E12644" t="str">
        <f t="shared" si="197"/>
        <v>001390</v>
      </c>
      <c r="F12644" t="s">
        <v>27246</v>
      </c>
      <c r="G12644" t="s">
        <v>27247</v>
      </c>
      <c r="H12644" t="s">
        <v>27248</v>
      </c>
      <c r="I12644" t="s">
        <v>51696</v>
      </c>
      <c r="J12644" t="s">
        <v>25293</v>
      </c>
      <c r="L12644" t="s">
        <v>27250</v>
      </c>
      <c r="M12644" t="s">
        <v>27251</v>
      </c>
      <c r="N12644" t="s">
        <v>27252</v>
      </c>
      <c r="P12644" t="s">
        <v>27341</v>
      </c>
      <c r="Q12644" s="1">
        <v>44846</v>
      </c>
      <c r="R12644" t="s">
        <v>27253</v>
      </c>
      <c r="S12644" t="s">
        <v>27254</v>
      </c>
      <c r="T12644" t="s">
        <v>27265</v>
      </c>
    </row>
    <row r="12645" spans="1:20" x14ac:dyDescent="0.3">
      <c r="A12645" t="str">
        <f>"0611864127050"</f>
        <v>0611864127050</v>
      </c>
      <c r="B12645" t="str">
        <f>"CR3022"</f>
        <v>CR3022</v>
      </c>
      <c r="C12645" t="s">
        <v>51697</v>
      </c>
      <c r="D12645" t="s">
        <v>27271</v>
      </c>
      <c r="E12645" t="str">
        <f t="shared" si="197"/>
        <v>001390</v>
      </c>
      <c r="F12645" t="s">
        <v>27246</v>
      </c>
      <c r="G12645" t="s">
        <v>27247</v>
      </c>
      <c r="H12645" t="s">
        <v>27248</v>
      </c>
      <c r="I12645" t="s">
        <v>51698</v>
      </c>
      <c r="J12645" t="s">
        <v>25295</v>
      </c>
      <c r="L12645" t="s">
        <v>27250</v>
      </c>
      <c r="M12645" t="s">
        <v>27251</v>
      </c>
      <c r="N12645" t="s">
        <v>27252</v>
      </c>
      <c r="P12645" t="s">
        <v>27341</v>
      </c>
      <c r="Q12645" s="1">
        <v>44846</v>
      </c>
      <c r="R12645" t="s">
        <v>27253</v>
      </c>
      <c r="S12645" t="s">
        <v>27254</v>
      </c>
      <c r="T12645" t="s">
        <v>27265</v>
      </c>
    </row>
    <row r="12646" spans="1:20" x14ac:dyDescent="0.3">
      <c r="A12646" t="str">
        <f>"0611864128050"</f>
        <v>0611864128050</v>
      </c>
      <c r="B12646" t="str">
        <f>"CR2759"</f>
        <v>CR2759</v>
      </c>
      <c r="C12646" t="s">
        <v>51699</v>
      </c>
      <c r="D12646" t="s">
        <v>27271</v>
      </c>
      <c r="E12646" t="str">
        <f t="shared" si="197"/>
        <v>001390</v>
      </c>
      <c r="F12646" t="s">
        <v>27246</v>
      </c>
      <c r="G12646" t="s">
        <v>27247</v>
      </c>
      <c r="H12646" t="s">
        <v>27248</v>
      </c>
      <c r="I12646" t="s">
        <v>51700</v>
      </c>
      <c r="J12646" t="s">
        <v>25297</v>
      </c>
      <c r="L12646" t="s">
        <v>27250</v>
      </c>
      <c r="M12646" t="s">
        <v>27251</v>
      </c>
      <c r="N12646" t="s">
        <v>27252</v>
      </c>
      <c r="P12646" t="s">
        <v>27341</v>
      </c>
      <c r="Q12646" s="1">
        <v>44846</v>
      </c>
      <c r="R12646" t="s">
        <v>27253</v>
      </c>
      <c r="S12646" t="s">
        <v>27254</v>
      </c>
      <c r="T12646" t="s">
        <v>27265</v>
      </c>
    </row>
    <row r="12647" spans="1:20" x14ac:dyDescent="0.3">
      <c r="A12647" t="str">
        <f>"0611864129050"</f>
        <v>0611864129050</v>
      </c>
      <c r="B12647" t="str">
        <f>"CR3164"</f>
        <v>CR3164</v>
      </c>
      <c r="C12647" t="s">
        <v>51701</v>
      </c>
      <c r="D12647" t="s">
        <v>27271</v>
      </c>
      <c r="E12647" t="str">
        <f t="shared" si="197"/>
        <v>001390</v>
      </c>
      <c r="F12647" t="s">
        <v>27246</v>
      </c>
      <c r="G12647" t="s">
        <v>27247</v>
      </c>
      <c r="H12647" t="s">
        <v>27248</v>
      </c>
      <c r="I12647" t="s">
        <v>51702</v>
      </c>
      <c r="J12647" t="s">
        <v>25299</v>
      </c>
      <c r="L12647" t="s">
        <v>27250</v>
      </c>
      <c r="M12647" t="s">
        <v>27251</v>
      </c>
      <c r="N12647" t="s">
        <v>27252</v>
      </c>
      <c r="P12647" t="s">
        <v>27341</v>
      </c>
      <c r="Q12647" s="1">
        <v>44846</v>
      </c>
      <c r="R12647" t="s">
        <v>27253</v>
      </c>
      <c r="S12647" t="s">
        <v>27254</v>
      </c>
      <c r="T12647" t="s">
        <v>27265</v>
      </c>
    </row>
    <row r="12648" spans="1:20" x14ac:dyDescent="0.3">
      <c r="A12648" t="str">
        <f>"0611864130050"</f>
        <v>0611864130050</v>
      </c>
      <c r="B12648" t="str">
        <f>"CR2571"</f>
        <v>CR2571</v>
      </c>
      <c r="C12648" t="s">
        <v>51703</v>
      </c>
      <c r="D12648" t="s">
        <v>27271</v>
      </c>
      <c r="E12648" t="str">
        <f t="shared" si="197"/>
        <v>001390</v>
      </c>
      <c r="F12648" t="s">
        <v>27246</v>
      </c>
      <c r="G12648" t="s">
        <v>27247</v>
      </c>
      <c r="H12648" t="s">
        <v>27248</v>
      </c>
      <c r="I12648" t="s">
        <v>51704</v>
      </c>
      <c r="J12648" t="s">
        <v>25301</v>
      </c>
      <c r="L12648" t="s">
        <v>27250</v>
      </c>
      <c r="M12648" t="s">
        <v>27251</v>
      </c>
      <c r="N12648" t="s">
        <v>27252</v>
      </c>
      <c r="P12648" t="s">
        <v>27341</v>
      </c>
      <c r="Q12648" s="1">
        <v>44846</v>
      </c>
      <c r="R12648" t="s">
        <v>27253</v>
      </c>
      <c r="S12648" t="s">
        <v>27254</v>
      </c>
      <c r="T12648" t="s">
        <v>27265</v>
      </c>
    </row>
    <row r="12649" spans="1:20" x14ac:dyDescent="0.3">
      <c r="A12649" t="str">
        <f>"0611864131050"</f>
        <v>0611864131050</v>
      </c>
      <c r="B12649" t="str">
        <f>"CR2572"</f>
        <v>CR2572</v>
      </c>
      <c r="C12649" t="s">
        <v>51705</v>
      </c>
      <c r="D12649" t="s">
        <v>27271</v>
      </c>
      <c r="E12649" t="str">
        <f t="shared" si="197"/>
        <v>001390</v>
      </c>
      <c r="F12649" t="s">
        <v>27246</v>
      </c>
      <c r="G12649" t="s">
        <v>27247</v>
      </c>
      <c r="H12649" t="s">
        <v>27248</v>
      </c>
      <c r="I12649" t="s">
        <v>51706</v>
      </c>
      <c r="J12649" t="s">
        <v>25303</v>
      </c>
      <c r="L12649" t="s">
        <v>27250</v>
      </c>
      <c r="M12649" t="s">
        <v>27251</v>
      </c>
      <c r="N12649" t="s">
        <v>27252</v>
      </c>
      <c r="P12649" t="s">
        <v>27341</v>
      </c>
      <c r="Q12649" s="1">
        <v>44846</v>
      </c>
      <c r="R12649" t="s">
        <v>27253</v>
      </c>
      <c r="S12649" t="s">
        <v>27254</v>
      </c>
      <c r="T12649" t="s">
        <v>27265</v>
      </c>
    </row>
    <row r="12650" spans="1:20" x14ac:dyDescent="0.3">
      <c r="A12650" t="str">
        <f>"0611864132050"</f>
        <v>0611864132050</v>
      </c>
      <c r="B12650" t="str">
        <f>"CR2573"</f>
        <v>CR2573</v>
      </c>
      <c r="C12650" t="s">
        <v>51707</v>
      </c>
      <c r="D12650" t="s">
        <v>27271</v>
      </c>
      <c r="E12650" t="str">
        <f t="shared" si="197"/>
        <v>001390</v>
      </c>
      <c r="F12650" t="s">
        <v>27246</v>
      </c>
      <c r="G12650" t="s">
        <v>27247</v>
      </c>
      <c r="H12650" t="s">
        <v>27248</v>
      </c>
      <c r="I12650" t="s">
        <v>51708</v>
      </c>
      <c r="J12650" t="s">
        <v>25305</v>
      </c>
      <c r="L12650" t="s">
        <v>27250</v>
      </c>
      <c r="M12650" t="s">
        <v>27251</v>
      </c>
      <c r="N12650" t="s">
        <v>27252</v>
      </c>
      <c r="P12650" t="s">
        <v>27341</v>
      </c>
      <c r="Q12650" s="1">
        <v>44846</v>
      </c>
      <c r="R12650" t="s">
        <v>27253</v>
      </c>
      <c r="S12650" t="s">
        <v>27254</v>
      </c>
      <c r="T12650" t="s">
        <v>27265</v>
      </c>
    </row>
    <row r="12651" spans="1:20" x14ac:dyDescent="0.3">
      <c r="A12651" t="str">
        <f>"0611864133050"</f>
        <v>0611864133050</v>
      </c>
      <c r="B12651" t="str">
        <f>"CR2574"</f>
        <v>CR2574</v>
      </c>
      <c r="C12651" t="s">
        <v>51709</v>
      </c>
      <c r="D12651" t="s">
        <v>27271</v>
      </c>
      <c r="E12651" t="str">
        <f t="shared" si="197"/>
        <v>001390</v>
      </c>
      <c r="F12651" t="s">
        <v>27246</v>
      </c>
      <c r="G12651" t="s">
        <v>27247</v>
      </c>
      <c r="H12651" t="s">
        <v>27248</v>
      </c>
      <c r="I12651" t="s">
        <v>51710</v>
      </c>
      <c r="J12651" t="s">
        <v>25307</v>
      </c>
      <c r="L12651" t="s">
        <v>27250</v>
      </c>
      <c r="M12651" t="s">
        <v>27251</v>
      </c>
      <c r="N12651" t="s">
        <v>27252</v>
      </c>
      <c r="P12651" t="s">
        <v>27341</v>
      </c>
      <c r="Q12651" s="1">
        <v>44846</v>
      </c>
      <c r="R12651" t="s">
        <v>27253</v>
      </c>
      <c r="S12651" t="s">
        <v>27254</v>
      </c>
      <c r="T12651" t="s">
        <v>27265</v>
      </c>
    </row>
    <row r="12652" spans="1:20" x14ac:dyDescent="0.3">
      <c r="A12652" t="str">
        <f>"0611864134050"</f>
        <v>0611864134050</v>
      </c>
      <c r="B12652" t="str">
        <f>"CR2761"</f>
        <v>CR2761</v>
      </c>
      <c r="C12652" t="s">
        <v>51711</v>
      </c>
      <c r="D12652" t="s">
        <v>27271</v>
      </c>
      <c r="E12652" t="str">
        <f t="shared" si="197"/>
        <v>001390</v>
      </c>
      <c r="F12652" t="s">
        <v>27246</v>
      </c>
      <c r="G12652" t="s">
        <v>27247</v>
      </c>
      <c r="H12652" t="s">
        <v>27248</v>
      </c>
      <c r="I12652" t="s">
        <v>51712</v>
      </c>
      <c r="J12652" t="s">
        <v>25309</v>
      </c>
      <c r="L12652" t="s">
        <v>27250</v>
      </c>
      <c r="M12652" t="s">
        <v>27251</v>
      </c>
      <c r="N12652" t="s">
        <v>27252</v>
      </c>
      <c r="P12652" t="s">
        <v>27341</v>
      </c>
      <c r="Q12652" s="1">
        <v>44846</v>
      </c>
      <c r="R12652" t="s">
        <v>27253</v>
      </c>
      <c r="S12652" t="s">
        <v>27254</v>
      </c>
      <c r="T12652" t="s">
        <v>27265</v>
      </c>
    </row>
    <row r="12653" spans="1:20" x14ac:dyDescent="0.3">
      <c r="A12653" t="str">
        <f>"0611864135050"</f>
        <v>0611864135050</v>
      </c>
      <c r="B12653" t="str">
        <f>"CR2921"</f>
        <v>CR2921</v>
      </c>
      <c r="C12653" t="s">
        <v>51713</v>
      </c>
      <c r="D12653" t="s">
        <v>27271</v>
      </c>
      <c r="E12653" t="str">
        <f t="shared" si="197"/>
        <v>001390</v>
      </c>
      <c r="F12653" t="s">
        <v>27246</v>
      </c>
      <c r="G12653" t="s">
        <v>27247</v>
      </c>
      <c r="H12653" t="s">
        <v>27248</v>
      </c>
      <c r="I12653" t="s">
        <v>51714</v>
      </c>
      <c r="J12653" t="s">
        <v>25311</v>
      </c>
      <c r="L12653" t="s">
        <v>27250</v>
      </c>
      <c r="M12653" t="s">
        <v>27251</v>
      </c>
      <c r="N12653" t="s">
        <v>27252</v>
      </c>
      <c r="P12653" t="s">
        <v>27341</v>
      </c>
      <c r="Q12653" s="1">
        <v>44846</v>
      </c>
      <c r="R12653" t="s">
        <v>27253</v>
      </c>
      <c r="S12653" t="s">
        <v>27254</v>
      </c>
      <c r="T12653" t="s">
        <v>27265</v>
      </c>
    </row>
    <row r="12654" spans="1:20" x14ac:dyDescent="0.3">
      <c r="A12654" t="str">
        <f>"0611864136050"</f>
        <v>0611864136050</v>
      </c>
      <c r="B12654" t="str">
        <f>"CR2762"</f>
        <v>CR2762</v>
      </c>
      <c r="C12654" t="s">
        <v>51715</v>
      </c>
      <c r="D12654" t="s">
        <v>27271</v>
      </c>
      <c r="E12654" t="str">
        <f t="shared" si="197"/>
        <v>001390</v>
      </c>
      <c r="F12654" t="s">
        <v>27246</v>
      </c>
      <c r="G12654" t="s">
        <v>27247</v>
      </c>
      <c r="H12654" t="s">
        <v>27248</v>
      </c>
      <c r="I12654" t="s">
        <v>51716</v>
      </c>
      <c r="J12654" t="s">
        <v>25313</v>
      </c>
      <c r="L12654" t="s">
        <v>27250</v>
      </c>
      <c r="M12654" t="s">
        <v>27251</v>
      </c>
      <c r="N12654" t="s">
        <v>27252</v>
      </c>
      <c r="P12654" t="s">
        <v>27341</v>
      </c>
      <c r="Q12654" s="1">
        <v>44846</v>
      </c>
      <c r="R12654" t="s">
        <v>27253</v>
      </c>
      <c r="S12654" t="s">
        <v>27254</v>
      </c>
      <c r="T12654" t="s">
        <v>27265</v>
      </c>
    </row>
    <row r="12655" spans="1:20" x14ac:dyDescent="0.3">
      <c r="A12655" t="str">
        <f>"0611864137050"</f>
        <v>0611864137050</v>
      </c>
      <c r="B12655" t="str">
        <f>"CR2575"</f>
        <v>CR2575</v>
      </c>
      <c r="C12655" t="s">
        <v>51717</v>
      </c>
      <c r="D12655" t="s">
        <v>27271</v>
      </c>
      <c r="E12655" t="str">
        <f t="shared" si="197"/>
        <v>001390</v>
      </c>
      <c r="F12655" t="s">
        <v>27246</v>
      </c>
      <c r="G12655" t="s">
        <v>27247</v>
      </c>
      <c r="H12655" t="s">
        <v>27248</v>
      </c>
      <c r="I12655" t="s">
        <v>51718</v>
      </c>
      <c r="J12655" t="s">
        <v>25315</v>
      </c>
      <c r="L12655" t="s">
        <v>27250</v>
      </c>
      <c r="M12655" t="s">
        <v>27251</v>
      </c>
      <c r="N12655" t="s">
        <v>27252</v>
      </c>
      <c r="P12655" t="s">
        <v>27341</v>
      </c>
      <c r="Q12655" s="1">
        <v>44846</v>
      </c>
      <c r="R12655" t="s">
        <v>27253</v>
      </c>
      <c r="S12655" t="s">
        <v>27254</v>
      </c>
      <c r="T12655" t="s">
        <v>27265</v>
      </c>
    </row>
    <row r="12656" spans="1:20" x14ac:dyDescent="0.3">
      <c r="A12656" t="str">
        <f>"0611864138050"</f>
        <v>0611864138050</v>
      </c>
      <c r="B12656" t="str">
        <f>"CR2763"</f>
        <v>CR2763</v>
      </c>
      <c r="C12656" t="s">
        <v>51719</v>
      </c>
      <c r="D12656" t="s">
        <v>27271</v>
      </c>
      <c r="E12656" t="str">
        <f t="shared" si="197"/>
        <v>001390</v>
      </c>
      <c r="F12656" t="s">
        <v>27246</v>
      </c>
      <c r="G12656" t="s">
        <v>27247</v>
      </c>
      <c r="H12656" t="s">
        <v>27248</v>
      </c>
      <c r="I12656" t="s">
        <v>51720</v>
      </c>
      <c r="J12656" t="s">
        <v>25317</v>
      </c>
      <c r="L12656" t="s">
        <v>27250</v>
      </c>
      <c r="M12656" t="s">
        <v>27251</v>
      </c>
      <c r="N12656" t="s">
        <v>27252</v>
      </c>
      <c r="P12656" t="s">
        <v>27341</v>
      </c>
      <c r="Q12656" s="1">
        <v>44846</v>
      </c>
      <c r="R12656" t="s">
        <v>27253</v>
      </c>
      <c r="S12656" t="s">
        <v>27254</v>
      </c>
      <c r="T12656" t="s">
        <v>27265</v>
      </c>
    </row>
    <row r="12657" spans="1:20" x14ac:dyDescent="0.3">
      <c r="A12657" t="str">
        <f>"0611864139050"</f>
        <v>0611864139050</v>
      </c>
      <c r="B12657" t="str">
        <f>"CR3165"</f>
        <v>CR3165</v>
      </c>
      <c r="C12657" t="s">
        <v>51721</v>
      </c>
      <c r="D12657" t="s">
        <v>27271</v>
      </c>
      <c r="E12657" t="str">
        <f t="shared" si="197"/>
        <v>001390</v>
      </c>
      <c r="F12657" t="s">
        <v>27246</v>
      </c>
      <c r="G12657" t="s">
        <v>27247</v>
      </c>
      <c r="H12657" t="s">
        <v>27248</v>
      </c>
      <c r="I12657" t="s">
        <v>51722</v>
      </c>
      <c r="J12657" t="s">
        <v>25319</v>
      </c>
      <c r="L12657" t="s">
        <v>27250</v>
      </c>
      <c r="M12657" t="s">
        <v>27251</v>
      </c>
      <c r="N12657" t="s">
        <v>27252</v>
      </c>
      <c r="P12657" t="s">
        <v>27341</v>
      </c>
      <c r="Q12657" s="1">
        <v>44846</v>
      </c>
      <c r="R12657" t="s">
        <v>27253</v>
      </c>
      <c r="S12657" t="s">
        <v>27254</v>
      </c>
      <c r="T12657" t="s">
        <v>27265</v>
      </c>
    </row>
    <row r="12658" spans="1:20" x14ac:dyDescent="0.3">
      <c r="A12658" t="str">
        <f>"0611864140050"</f>
        <v>0611864140050</v>
      </c>
      <c r="B12658" t="str">
        <f>"CR2923"</f>
        <v>CR2923</v>
      </c>
      <c r="C12658" t="s">
        <v>51723</v>
      </c>
      <c r="D12658" t="s">
        <v>27271</v>
      </c>
      <c r="E12658" t="str">
        <f t="shared" si="197"/>
        <v>001390</v>
      </c>
      <c r="F12658" t="s">
        <v>27246</v>
      </c>
      <c r="G12658" t="s">
        <v>27247</v>
      </c>
      <c r="H12658" t="s">
        <v>27248</v>
      </c>
      <c r="I12658" t="s">
        <v>51724</v>
      </c>
      <c r="J12658" t="s">
        <v>25321</v>
      </c>
      <c r="L12658" t="s">
        <v>27250</v>
      </c>
      <c r="M12658" t="s">
        <v>27251</v>
      </c>
      <c r="N12658" t="s">
        <v>27252</v>
      </c>
      <c r="P12658" t="s">
        <v>27341</v>
      </c>
      <c r="Q12658" s="1">
        <v>44846</v>
      </c>
      <c r="R12658" t="s">
        <v>27253</v>
      </c>
      <c r="S12658" t="s">
        <v>27254</v>
      </c>
      <c r="T12658" t="s">
        <v>27265</v>
      </c>
    </row>
    <row r="12659" spans="1:20" x14ac:dyDescent="0.3">
      <c r="A12659" t="str">
        <f>"0611864141050"</f>
        <v>0611864141050</v>
      </c>
      <c r="B12659" t="str">
        <f>"CR2764"</f>
        <v>CR2764</v>
      </c>
      <c r="C12659" t="s">
        <v>51725</v>
      </c>
      <c r="D12659" t="s">
        <v>27271</v>
      </c>
      <c r="E12659" t="str">
        <f t="shared" si="197"/>
        <v>001390</v>
      </c>
      <c r="F12659" t="s">
        <v>27246</v>
      </c>
      <c r="G12659" t="s">
        <v>27247</v>
      </c>
      <c r="H12659" t="s">
        <v>27248</v>
      </c>
      <c r="I12659" t="s">
        <v>51726</v>
      </c>
      <c r="J12659" t="s">
        <v>25323</v>
      </c>
      <c r="L12659" t="s">
        <v>27250</v>
      </c>
      <c r="M12659" t="s">
        <v>27251</v>
      </c>
      <c r="N12659" t="s">
        <v>27252</v>
      </c>
      <c r="P12659" t="s">
        <v>27341</v>
      </c>
      <c r="Q12659" s="1">
        <v>44846</v>
      </c>
      <c r="R12659" t="s">
        <v>27253</v>
      </c>
      <c r="S12659" t="s">
        <v>27254</v>
      </c>
      <c r="T12659" t="s">
        <v>27265</v>
      </c>
    </row>
    <row r="12660" spans="1:20" x14ac:dyDescent="0.3">
      <c r="A12660" t="str">
        <f>"0611864142050"</f>
        <v>0611864142050</v>
      </c>
      <c r="B12660" t="str">
        <f>"CR3744"</f>
        <v>CR3744</v>
      </c>
      <c r="C12660" t="s">
        <v>51727</v>
      </c>
      <c r="D12660" t="s">
        <v>27271</v>
      </c>
      <c r="E12660" t="str">
        <f t="shared" si="197"/>
        <v>001390</v>
      </c>
      <c r="F12660" t="s">
        <v>27246</v>
      </c>
      <c r="G12660" t="s">
        <v>27247</v>
      </c>
      <c r="H12660" t="s">
        <v>27248</v>
      </c>
      <c r="I12660" t="s">
        <v>51728</v>
      </c>
      <c r="J12660" t="s">
        <v>25325</v>
      </c>
      <c r="L12660" t="s">
        <v>27250</v>
      </c>
      <c r="M12660" t="s">
        <v>27251</v>
      </c>
      <c r="N12660" t="s">
        <v>27252</v>
      </c>
      <c r="P12660" t="s">
        <v>27341</v>
      </c>
      <c r="Q12660" s="1">
        <v>44846</v>
      </c>
      <c r="R12660" t="s">
        <v>27253</v>
      </c>
      <c r="S12660" t="s">
        <v>27254</v>
      </c>
      <c r="T12660" t="s">
        <v>27265</v>
      </c>
    </row>
    <row r="12661" spans="1:20" x14ac:dyDescent="0.3">
      <c r="A12661" t="str">
        <f>"0611864143050"</f>
        <v>0611864143050</v>
      </c>
      <c r="B12661" t="str">
        <f>"CR4058"</f>
        <v>CR4058</v>
      </c>
      <c r="C12661" t="s">
        <v>51729</v>
      </c>
      <c r="D12661" t="s">
        <v>27271</v>
      </c>
      <c r="E12661" t="str">
        <f t="shared" si="197"/>
        <v>001390</v>
      </c>
      <c r="F12661" t="s">
        <v>27246</v>
      </c>
      <c r="G12661" t="s">
        <v>27247</v>
      </c>
      <c r="H12661" t="s">
        <v>27248</v>
      </c>
      <c r="I12661" t="s">
        <v>51730</v>
      </c>
      <c r="J12661" t="s">
        <v>25329</v>
      </c>
      <c r="L12661" t="s">
        <v>27250</v>
      </c>
      <c r="M12661" t="s">
        <v>27251</v>
      </c>
      <c r="N12661" t="s">
        <v>27252</v>
      </c>
      <c r="P12661" t="s">
        <v>27341</v>
      </c>
      <c r="Q12661" s="1">
        <v>44846</v>
      </c>
      <c r="R12661" t="s">
        <v>27253</v>
      </c>
      <c r="S12661" t="s">
        <v>27254</v>
      </c>
      <c r="T12661" t="s">
        <v>27265</v>
      </c>
    </row>
    <row r="12662" spans="1:20" x14ac:dyDescent="0.3">
      <c r="A12662" t="str">
        <f>"0611864144050"</f>
        <v>0611864144050</v>
      </c>
      <c r="B12662" t="str">
        <f>"CR4059"</f>
        <v>CR4059</v>
      </c>
      <c r="C12662" t="s">
        <v>51731</v>
      </c>
      <c r="D12662" t="s">
        <v>27271</v>
      </c>
      <c r="E12662" t="str">
        <f t="shared" si="197"/>
        <v>001390</v>
      </c>
      <c r="F12662" t="s">
        <v>27246</v>
      </c>
      <c r="G12662" t="s">
        <v>27247</v>
      </c>
      <c r="H12662" t="s">
        <v>27248</v>
      </c>
      <c r="I12662" t="s">
        <v>51732</v>
      </c>
      <c r="J12662" t="s">
        <v>25331</v>
      </c>
      <c r="L12662" t="s">
        <v>27250</v>
      </c>
      <c r="M12662" t="s">
        <v>27251</v>
      </c>
      <c r="N12662" t="s">
        <v>27252</v>
      </c>
      <c r="P12662" t="s">
        <v>27341</v>
      </c>
      <c r="Q12662" s="1">
        <v>44846</v>
      </c>
      <c r="R12662" t="s">
        <v>27253</v>
      </c>
      <c r="S12662" t="s">
        <v>27254</v>
      </c>
      <c r="T12662" t="s">
        <v>27265</v>
      </c>
    </row>
    <row r="12663" spans="1:20" x14ac:dyDescent="0.3">
      <c r="A12663" t="str">
        <f>"0611864145050"</f>
        <v>0611864145050</v>
      </c>
      <c r="B12663" t="str">
        <f>"CR4057"</f>
        <v>CR4057</v>
      </c>
      <c r="C12663" t="s">
        <v>51733</v>
      </c>
      <c r="D12663" t="s">
        <v>27271</v>
      </c>
      <c r="E12663" t="str">
        <f t="shared" si="197"/>
        <v>001390</v>
      </c>
      <c r="F12663" t="s">
        <v>27246</v>
      </c>
      <c r="G12663" t="s">
        <v>27247</v>
      </c>
      <c r="H12663" t="s">
        <v>27248</v>
      </c>
      <c r="I12663" t="s">
        <v>51734</v>
      </c>
      <c r="J12663" t="s">
        <v>25327</v>
      </c>
      <c r="L12663" t="s">
        <v>27250</v>
      </c>
      <c r="M12663" t="s">
        <v>27251</v>
      </c>
      <c r="N12663" t="s">
        <v>27252</v>
      </c>
      <c r="P12663" t="s">
        <v>27341</v>
      </c>
      <c r="Q12663" s="1">
        <v>44846</v>
      </c>
      <c r="R12663" t="s">
        <v>27253</v>
      </c>
      <c r="S12663" t="s">
        <v>27254</v>
      </c>
      <c r="T12663" t="s">
        <v>27265</v>
      </c>
    </row>
    <row r="12664" spans="1:20" x14ac:dyDescent="0.3">
      <c r="A12664" t="str">
        <f>"0611864146050"</f>
        <v>0611864146050</v>
      </c>
      <c r="B12664" t="str">
        <f>"CR5247"</f>
        <v>CR5247</v>
      </c>
      <c r="C12664" t="s">
        <v>51735</v>
      </c>
      <c r="D12664" t="s">
        <v>27271</v>
      </c>
      <c r="E12664" t="str">
        <f t="shared" si="197"/>
        <v>001390</v>
      </c>
      <c r="F12664" t="s">
        <v>27246</v>
      </c>
      <c r="G12664" t="s">
        <v>27247</v>
      </c>
      <c r="H12664" t="s">
        <v>27248</v>
      </c>
      <c r="I12664" t="s">
        <v>51736</v>
      </c>
      <c r="J12664" t="s">
        <v>25333</v>
      </c>
      <c r="L12664" t="s">
        <v>27250</v>
      </c>
      <c r="M12664" t="s">
        <v>27251</v>
      </c>
      <c r="N12664" t="s">
        <v>27252</v>
      </c>
      <c r="P12664" t="s">
        <v>27341</v>
      </c>
      <c r="Q12664" s="1">
        <v>44846</v>
      </c>
      <c r="R12664" t="s">
        <v>27253</v>
      </c>
      <c r="S12664" t="s">
        <v>27254</v>
      </c>
      <c r="T12664" t="s">
        <v>27265</v>
      </c>
    </row>
    <row r="12665" spans="1:20" x14ac:dyDescent="0.3">
      <c r="A12665" t="str">
        <f>"0611864147050"</f>
        <v>0611864147050</v>
      </c>
      <c r="B12665" t="str">
        <f>"CR5248"</f>
        <v>CR5248</v>
      </c>
      <c r="C12665" t="s">
        <v>51737</v>
      </c>
      <c r="D12665" t="s">
        <v>27271</v>
      </c>
      <c r="E12665" t="str">
        <f t="shared" si="197"/>
        <v>001390</v>
      </c>
      <c r="F12665" t="s">
        <v>27246</v>
      </c>
      <c r="G12665" t="s">
        <v>27247</v>
      </c>
      <c r="H12665" t="s">
        <v>27248</v>
      </c>
      <c r="I12665" t="s">
        <v>51738</v>
      </c>
      <c r="J12665" t="s">
        <v>25335</v>
      </c>
      <c r="L12665" t="s">
        <v>27250</v>
      </c>
      <c r="M12665" t="s">
        <v>27251</v>
      </c>
      <c r="N12665" t="s">
        <v>27252</v>
      </c>
      <c r="P12665" t="s">
        <v>27341</v>
      </c>
      <c r="Q12665" s="1">
        <v>44846</v>
      </c>
      <c r="R12665" t="s">
        <v>27253</v>
      </c>
      <c r="S12665" t="s">
        <v>27254</v>
      </c>
      <c r="T12665" t="s">
        <v>27265</v>
      </c>
    </row>
    <row r="12666" spans="1:20" x14ac:dyDescent="0.3">
      <c r="A12666" t="str">
        <f>"0611864148050"</f>
        <v>0611864148050</v>
      </c>
      <c r="B12666" t="str">
        <f>"CR3745"</f>
        <v>CR3745</v>
      </c>
      <c r="C12666" t="s">
        <v>51739</v>
      </c>
      <c r="D12666" t="s">
        <v>27271</v>
      </c>
      <c r="E12666" t="str">
        <f t="shared" si="197"/>
        <v>001390</v>
      </c>
      <c r="F12666" t="s">
        <v>27246</v>
      </c>
      <c r="G12666" t="s">
        <v>27247</v>
      </c>
      <c r="H12666" t="s">
        <v>27248</v>
      </c>
      <c r="I12666" t="s">
        <v>51740</v>
      </c>
      <c r="J12666" t="s">
        <v>25337</v>
      </c>
      <c r="L12666" t="s">
        <v>27250</v>
      </c>
      <c r="M12666" t="s">
        <v>27251</v>
      </c>
      <c r="N12666" t="s">
        <v>27252</v>
      </c>
      <c r="P12666" t="s">
        <v>27341</v>
      </c>
      <c r="Q12666" s="1">
        <v>44846</v>
      </c>
      <c r="R12666" t="s">
        <v>27253</v>
      </c>
      <c r="S12666" t="s">
        <v>27254</v>
      </c>
      <c r="T12666" t="s">
        <v>27265</v>
      </c>
    </row>
    <row r="12667" spans="1:20" x14ac:dyDescent="0.3">
      <c r="A12667" t="str">
        <f>"0611864149050"</f>
        <v>0611864149050</v>
      </c>
      <c r="B12667" t="str">
        <f>"CR3746"</f>
        <v>CR3746</v>
      </c>
      <c r="C12667" t="s">
        <v>51741</v>
      </c>
      <c r="D12667" t="s">
        <v>27271</v>
      </c>
      <c r="E12667" t="str">
        <f t="shared" si="197"/>
        <v>001390</v>
      </c>
      <c r="F12667" t="s">
        <v>27246</v>
      </c>
      <c r="G12667" t="s">
        <v>27247</v>
      </c>
      <c r="H12667" t="s">
        <v>27248</v>
      </c>
      <c r="I12667" t="s">
        <v>51742</v>
      </c>
      <c r="J12667" t="s">
        <v>25339</v>
      </c>
      <c r="L12667" t="s">
        <v>27250</v>
      </c>
      <c r="M12667" t="s">
        <v>27251</v>
      </c>
      <c r="N12667" t="s">
        <v>27252</v>
      </c>
      <c r="P12667" t="s">
        <v>27341</v>
      </c>
      <c r="Q12667" s="1">
        <v>44846</v>
      </c>
      <c r="R12667" t="s">
        <v>27253</v>
      </c>
      <c r="S12667" t="s">
        <v>27254</v>
      </c>
      <c r="T12667" t="s">
        <v>27265</v>
      </c>
    </row>
    <row r="12668" spans="1:20" x14ac:dyDescent="0.3">
      <c r="A12668" t="str">
        <f>"0611864150050"</f>
        <v>0611864150050</v>
      </c>
      <c r="B12668" t="str">
        <f>"CR3747"</f>
        <v>CR3747</v>
      </c>
      <c r="C12668" t="s">
        <v>51743</v>
      </c>
      <c r="D12668" t="s">
        <v>27271</v>
      </c>
      <c r="E12668" t="str">
        <f t="shared" si="197"/>
        <v>001390</v>
      </c>
      <c r="F12668" t="s">
        <v>27246</v>
      </c>
      <c r="G12668" t="s">
        <v>27247</v>
      </c>
      <c r="H12668" t="s">
        <v>27248</v>
      </c>
      <c r="I12668" t="s">
        <v>51744</v>
      </c>
      <c r="J12668" t="s">
        <v>25341</v>
      </c>
      <c r="L12668" t="s">
        <v>27250</v>
      </c>
      <c r="M12668" t="s">
        <v>27251</v>
      </c>
      <c r="N12668" t="s">
        <v>27252</v>
      </c>
      <c r="P12668" t="s">
        <v>27341</v>
      </c>
      <c r="Q12668" s="1">
        <v>44846</v>
      </c>
      <c r="R12668" t="s">
        <v>27253</v>
      </c>
      <c r="S12668" t="s">
        <v>27254</v>
      </c>
      <c r="T12668" t="s">
        <v>27265</v>
      </c>
    </row>
    <row r="12669" spans="1:20" x14ac:dyDescent="0.3">
      <c r="A12669" t="str">
        <f>"0611864151050"</f>
        <v>0611864151050</v>
      </c>
      <c r="B12669" t="str">
        <f>"CR3748"</f>
        <v>CR3748</v>
      </c>
      <c r="C12669" t="s">
        <v>51745</v>
      </c>
      <c r="D12669" t="s">
        <v>27271</v>
      </c>
      <c r="E12669" t="str">
        <f t="shared" si="197"/>
        <v>001390</v>
      </c>
      <c r="F12669" t="s">
        <v>27246</v>
      </c>
      <c r="G12669" t="s">
        <v>27247</v>
      </c>
      <c r="H12669" t="s">
        <v>27248</v>
      </c>
      <c r="I12669" t="s">
        <v>51746</v>
      </c>
      <c r="J12669" t="s">
        <v>25343</v>
      </c>
      <c r="L12669" t="s">
        <v>27250</v>
      </c>
      <c r="M12669" t="s">
        <v>27251</v>
      </c>
      <c r="N12669" t="s">
        <v>27252</v>
      </c>
      <c r="P12669" t="s">
        <v>27341</v>
      </c>
      <c r="Q12669" s="1">
        <v>44846</v>
      </c>
      <c r="R12669" t="s">
        <v>27253</v>
      </c>
      <c r="S12669" t="s">
        <v>27254</v>
      </c>
      <c r="T12669" t="s">
        <v>27265</v>
      </c>
    </row>
    <row r="12670" spans="1:20" x14ac:dyDescent="0.3">
      <c r="A12670" t="str">
        <f>"0611864152050"</f>
        <v>0611864152050</v>
      </c>
      <c r="B12670" t="str">
        <f>"CR4877"</f>
        <v>CR4877</v>
      </c>
      <c r="C12670" t="s">
        <v>51747</v>
      </c>
      <c r="D12670" t="s">
        <v>27271</v>
      </c>
      <c r="E12670" t="str">
        <f t="shared" si="197"/>
        <v>001390</v>
      </c>
      <c r="F12670" t="s">
        <v>27246</v>
      </c>
      <c r="G12670" t="s">
        <v>27247</v>
      </c>
      <c r="H12670" t="s">
        <v>27248</v>
      </c>
      <c r="I12670" t="s">
        <v>51748</v>
      </c>
      <c r="J12670" t="s">
        <v>25345</v>
      </c>
      <c r="L12670" t="s">
        <v>27250</v>
      </c>
      <c r="M12670" t="s">
        <v>27251</v>
      </c>
      <c r="N12670" t="s">
        <v>27252</v>
      </c>
      <c r="P12670" t="s">
        <v>27341</v>
      </c>
      <c r="Q12670" s="1">
        <v>44846</v>
      </c>
      <c r="R12670" t="s">
        <v>27253</v>
      </c>
      <c r="S12670" t="s">
        <v>27254</v>
      </c>
      <c r="T12670" t="s">
        <v>27265</v>
      </c>
    </row>
    <row r="12671" spans="1:20" x14ac:dyDescent="0.3">
      <c r="A12671" t="str">
        <f>"0611864153050"</f>
        <v>0611864153050</v>
      </c>
      <c r="B12671" t="str">
        <f>"CR3749"</f>
        <v>CR3749</v>
      </c>
      <c r="C12671" t="s">
        <v>51749</v>
      </c>
      <c r="D12671" t="s">
        <v>27271</v>
      </c>
      <c r="E12671" t="str">
        <f t="shared" si="197"/>
        <v>001390</v>
      </c>
      <c r="F12671" t="s">
        <v>27246</v>
      </c>
      <c r="G12671" t="s">
        <v>27247</v>
      </c>
      <c r="H12671" t="s">
        <v>27248</v>
      </c>
      <c r="I12671" t="s">
        <v>51750</v>
      </c>
      <c r="J12671" t="s">
        <v>25347</v>
      </c>
      <c r="L12671" t="s">
        <v>27250</v>
      </c>
      <c r="M12671" t="s">
        <v>27251</v>
      </c>
      <c r="N12671" t="s">
        <v>27252</v>
      </c>
      <c r="P12671" t="s">
        <v>27341</v>
      </c>
      <c r="Q12671" s="1">
        <v>44846</v>
      </c>
      <c r="R12671" t="s">
        <v>27253</v>
      </c>
      <c r="S12671" t="s">
        <v>27254</v>
      </c>
      <c r="T12671" t="s">
        <v>27265</v>
      </c>
    </row>
    <row r="12672" spans="1:20" x14ac:dyDescent="0.3">
      <c r="A12672" t="str">
        <f>"0611864154050"</f>
        <v>0611864154050</v>
      </c>
      <c r="B12672" t="str">
        <f>"CR2577"</f>
        <v>CR2577</v>
      </c>
      <c r="C12672" t="s">
        <v>51751</v>
      </c>
      <c r="D12672" t="s">
        <v>27271</v>
      </c>
      <c r="E12672" t="str">
        <f t="shared" si="197"/>
        <v>001390</v>
      </c>
      <c r="F12672" t="s">
        <v>27246</v>
      </c>
      <c r="G12672" t="s">
        <v>27247</v>
      </c>
      <c r="H12672" t="s">
        <v>27248</v>
      </c>
      <c r="I12672" t="s">
        <v>51752</v>
      </c>
      <c r="J12672" t="s">
        <v>25349</v>
      </c>
      <c r="L12672" t="s">
        <v>27250</v>
      </c>
      <c r="M12672" t="s">
        <v>27251</v>
      </c>
      <c r="N12672" t="s">
        <v>27252</v>
      </c>
      <c r="P12672" t="s">
        <v>27341</v>
      </c>
      <c r="Q12672" s="1">
        <v>44846</v>
      </c>
      <c r="R12672" t="s">
        <v>27253</v>
      </c>
      <c r="S12672" t="s">
        <v>27254</v>
      </c>
      <c r="T12672" t="s">
        <v>27265</v>
      </c>
    </row>
    <row r="12673" spans="1:20" x14ac:dyDescent="0.3">
      <c r="A12673" t="str">
        <f>"0611864155050"</f>
        <v>0611864155050</v>
      </c>
      <c r="B12673" t="str">
        <f>"CR2576"</f>
        <v>CR2576</v>
      </c>
      <c r="C12673" t="s">
        <v>51753</v>
      </c>
      <c r="D12673" t="s">
        <v>27271</v>
      </c>
      <c r="E12673" t="str">
        <f t="shared" si="197"/>
        <v>001390</v>
      </c>
      <c r="F12673" t="s">
        <v>27246</v>
      </c>
      <c r="G12673" t="s">
        <v>27247</v>
      </c>
      <c r="H12673" t="s">
        <v>27248</v>
      </c>
      <c r="I12673" t="s">
        <v>51754</v>
      </c>
      <c r="J12673" t="s">
        <v>25351</v>
      </c>
      <c r="L12673" t="s">
        <v>27250</v>
      </c>
      <c r="M12673" t="s">
        <v>27251</v>
      </c>
      <c r="N12673" t="s">
        <v>27252</v>
      </c>
      <c r="P12673" t="s">
        <v>27341</v>
      </c>
      <c r="Q12673" s="1">
        <v>44846</v>
      </c>
      <c r="R12673" t="s">
        <v>27253</v>
      </c>
      <c r="S12673" t="s">
        <v>27254</v>
      </c>
      <c r="T12673" t="s">
        <v>27265</v>
      </c>
    </row>
    <row r="12674" spans="1:20" x14ac:dyDescent="0.3">
      <c r="A12674" t="str">
        <f>"0611864156050"</f>
        <v>0611864156050</v>
      </c>
      <c r="B12674" t="str">
        <f>"CR4060"</f>
        <v>CR4060</v>
      </c>
      <c r="C12674" t="s">
        <v>51755</v>
      </c>
      <c r="D12674" t="s">
        <v>27263</v>
      </c>
      <c r="E12674" t="str">
        <f t="shared" ref="E12674:E12737" si="198">"001390"</f>
        <v>001390</v>
      </c>
      <c r="F12674" t="s">
        <v>27246</v>
      </c>
      <c r="G12674" t="s">
        <v>27247</v>
      </c>
      <c r="H12674" t="s">
        <v>27248</v>
      </c>
      <c r="I12674" t="s">
        <v>51756</v>
      </c>
      <c r="J12674" t="s">
        <v>25353</v>
      </c>
      <c r="L12674" t="s">
        <v>27250</v>
      </c>
      <c r="M12674" t="s">
        <v>27251</v>
      </c>
      <c r="N12674" t="s">
        <v>27252</v>
      </c>
      <c r="Q12674" s="1">
        <v>44846</v>
      </c>
      <c r="R12674" t="s">
        <v>27253</v>
      </c>
      <c r="S12674" t="s">
        <v>27254</v>
      </c>
      <c r="T12674" t="s">
        <v>27265</v>
      </c>
    </row>
    <row r="12675" spans="1:20" x14ac:dyDescent="0.3">
      <c r="A12675" t="str">
        <f>"0611864157050"</f>
        <v>0611864157050</v>
      </c>
      <c r="B12675" t="str">
        <f>"CR5020"</f>
        <v>CR5020</v>
      </c>
      <c r="C12675" t="s">
        <v>51757</v>
      </c>
      <c r="D12675" t="s">
        <v>27263</v>
      </c>
      <c r="E12675" t="str">
        <f t="shared" si="198"/>
        <v>001390</v>
      </c>
      <c r="F12675" t="s">
        <v>27246</v>
      </c>
      <c r="G12675" t="s">
        <v>27247</v>
      </c>
      <c r="H12675" t="s">
        <v>27248</v>
      </c>
      <c r="I12675" t="s">
        <v>51758</v>
      </c>
      <c r="J12675" t="s">
        <v>25355</v>
      </c>
      <c r="L12675" t="s">
        <v>27250</v>
      </c>
      <c r="M12675" t="s">
        <v>27251</v>
      </c>
      <c r="N12675" t="s">
        <v>27252</v>
      </c>
      <c r="Q12675" s="1">
        <v>44846</v>
      </c>
      <c r="R12675" t="s">
        <v>27253</v>
      </c>
      <c r="S12675" t="s">
        <v>27254</v>
      </c>
      <c r="T12675" t="s">
        <v>27265</v>
      </c>
    </row>
    <row r="12676" spans="1:20" x14ac:dyDescent="0.3">
      <c r="A12676" t="str">
        <f>"0611839913100"</f>
        <v>0611839913100</v>
      </c>
      <c r="B12676" t="str">
        <f>"LQ0728"</f>
        <v>LQ0728</v>
      </c>
      <c r="C12676" t="s">
        <v>51759</v>
      </c>
      <c r="D12676" t="s">
        <v>27245</v>
      </c>
      <c r="E12676" t="str">
        <f t="shared" si="198"/>
        <v>001390</v>
      </c>
      <c r="F12676" t="s">
        <v>27246</v>
      </c>
      <c r="G12676" t="s">
        <v>27247</v>
      </c>
      <c r="H12676" t="s">
        <v>27248</v>
      </c>
      <c r="I12676" t="s">
        <v>51760</v>
      </c>
      <c r="J12676" t="s">
        <v>25357</v>
      </c>
      <c r="L12676" t="s">
        <v>27250</v>
      </c>
      <c r="M12676" t="s">
        <v>27251</v>
      </c>
      <c r="N12676" t="s">
        <v>27252</v>
      </c>
      <c r="Q12676" s="1">
        <v>44538</v>
      </c>
      <c r="R12676" t="s">
        <v>27253</v>
      </c>
      <c r="S12676" t="s">
        <v>27254</v>
      </c>
      <c r="T12676" t="s">
        <v>27255</v>
      </c>
    </row>
    <row r="12677" spans="1:20" x14ac:dyDescent="0.3">
      <c r="A12677" t="str">
        <f>"0611864158050"</f>
        <v>0611864158050</v>
      </c>
      <c r="B12677" t="str">
        <f>"CR3576"</f>
        <v>CR3576</v>
      </c>
      <c r="C12677" t="s">
        <v>51759</v>
      </c>
      <c r="D12677" t="s">
        <v>27263</v>
      </c>
      <c r="E12677" t="str">
        <f t="shared" si="198"/>
        <v>001390</v>
      </c>
      <c r="F12677" t="s">
        <v>27246</v>
      </c>
      <c r="G12677" t="s">
        <v>27247</v>
      </c>
      <c r="H12677" t="s">
        <v>27248</v>
      </c>
      <c r="I12677" t="s">
        <v>51761</v>
      </c>
      <c r="J12677" t="s">
        <v>25359</v>
      </c>
      <c r="L12677" t="s">
        <v>27250</v>
      </c>
      <c r="M12677" t="s">
        <v>27251</v>
      </c>
      <c r="N12677" t="s">
        <v>27252</v>
      </c>
      <c r="Q12677" s="1">
        <v>44846</v>
      </c>
      <c r="R12677" t="s">
        <v>27253</v>
      </c>
      <c r="S12677" t="s">
        <v>27254</v>
      </c>
      <c r="T12677" t="s">
        <v>27265</v>
      </c>
    </row>
    <row r="12678" spans="1:20" x14ac:dyDescent="0.3">
      <c r="A12678" t="str">
        <f>"0611864159050"</f>
        <v>0611864159050</v>
      </c>
      <c r="B12678" t="str">
        <f>"CR4061"</f>
        <v>CR4061</v>
      </c>
      <c r="C12678" t="s">
        <v>51762</v>
      </c>
      <c r="D12678" t="s">
        <v>27263</v>
      </c>
      <c r="E12678" t="str">
        <f t="shared" si="198"/>
        <v>001390</v>
      </c>
      <c r="F12678" t="s">
        <v>27246</v>
      </c>
      <c r="G12678" t="s">
        <v>27247</v>
      </c>
      <c r="H12678" t="s">
        <v>27248</v>
      </c>
      <c r="I12678" t="s">
        <v>51763</v>
      </c>
      <c r="J12678" t="s">
        <v>25361</v>
      </c>
      <c r="L12678" t="s">
        <v>27250</v>
      </c>
      <c r="M12678" t="s">
        <v>27251</v>
      </c>
      <c r="N12678" t="s">
        <v>27252</v>
      </c>
      <c r="Q12678" s="1">
        <v>44846</v>
      </c>
      <c r="R12678" t="s">
        <v>27253</v>
      </c>
      <c r="S12678" t="s">
        <v>27254</v>
      </c>
      <c r="T12678" t="s">
        <v>27265</v>
      </c>
    </row>
    <row r="12679" spans="1:20" x14ac:dyDescent="0.3">
      <c r="A12679" t="str">
        <f>"0611864160050"</f>
        <v>0611864160050</v>
      </c>
      <c r="B12679" t="str">
        <f>"CR4062"</f>
        <v>CR4062</v>
      </c>
      <c r="C12679" t="s">
        <v>51764</v>
      </c>
      <c r="D12679" t="s">
        <v>27263</v>
      </c>
      <c r="E12679" t="str">
        <f t="shared" si="198"/>
        <v>001390</v>
      </c>
      <c r="F12679" t="s">
        <v>27246</v>
      </c>
      <c r="G12679" t="s">
        <v>27247</v>
      </c>
      <c r="H12679" t="s">
        <v>27248</v>
      </c>
      <c r="I12679" t="s">
        <v>51765</v>
      </c>
      <c r="J12679" t="s">
        <v>25363</v>
      </c>
      <c r="L12679" t="s">
        <v>27250</v>
      </c>
      <c r="M12679" t="s">
        <v>27251</v>
      </c>
      <c r="N12679" t="s">
        <v>27252</v>
      </c>
      <c r="Q12679" s="1">
        <v>44846</v>
      </c>
      <c r="R12679" t="s">
        <v>27253</v>
      </c>
      <c r="S12679" t="s">
        <v>27254</v>
      </c>
      <c r="T12679" t="s">
        <v>27265</v>
      </c>
    </row>
    <row r="12680" spans="1:20" x14ac:dyDescent="0.3">
      <c r="A12680" t="str">
        <f>"0611864161050"</f>
        <v>0611864161050</v>
      </c>
      <c r="B12680" t="str">
        <f>"CR4870"</f>
        <v>CR4870</v>
      </c>
      <c r="C12680" t="s">
        <v>51766</v>
      </c>
      <c r="D12680" t="s">
        <v>27263</v>
      </c>
      <c r="E12680" t="str">
        <f t="shared" si="198"/>
        <v>001390</v>
      </c>
      <c r="F12680" t="s">
        <v>27246</v>
      </c>
      <c r="G12680" t="s">
        <v>27247</v>
      </c>
      <c r="H12680" t="s">
        <v>27248</v>
      </c>
      <c r="I12680" t="s">
        <v>51767</v>
      </c>
      <c r="J12680" t="s">
        <v>25365</v>
      </c>
      <c r="L12680" t="s">
        <v>27250</v>
      </c>
      <c r="M12680" t="s">
        <v>27251</v>
      </c>
      <c r="N12680" t="s">
        <v>27252</v>
      </c>
      <c r="Q12680" s="1">
        <v>44846</v>
      </c>
      <c r="R12680" t="s">
        <v>27253</v>
      </c>
      <c r="S12680" t="s">
        <v>27254</v>
      </c>
      <c r="T12680" t="s">
        <v>27265</v>
      </c>
    </row>
    <row r="12681" spans="1:20" x14ac:dyDescent="0.3">
      <c r="A12681" t="str">
        <f>"0611864162050"</f>
        <v>0611864162050</v>
      </c>
      <c r="B12681" t="str">
        <f>"CR3389"</f>
        <v>CR3389</v>
      </c>
      <c r="C12681" t="s">
        <v>51768</v>
      </c>
      <c r="D12681" t="s">
        <v>27263</v>
      </c>
      <c r="E12681" t="str">
        <f t="shared" si="198"/>
        <v>001390</v>
      </c>
      <c r="F12681" t="s">
        <v>27246</v>
      </c>
      <c r="G12681" t="s">
        <v>27247</v>
      </c>
      <c r="H12681" t="s">
        <v>27248</v>
      </c>
      <c r="I12681" t="s">
        <v>51769</v>
      </c>
      <c r="J12681" t="s">
        <v>25367</v>
      </c>
      <c r="L12681" t="s">
        <v>27250</v>
      </c>
      <c r="M12681" t="s">
        <v>27251</v>
      </c>
      <c r="N12681" t="s">
        <v>27252</v>
      </c>
      <c r="Q12681" s="1">
        <v>44846</v>
      </c>
      <c r="R12681" t="s">
        <v>27253</v>
      </c>
      <c r="S12681" t="s">
        <v>27254</v>
      </c>
      <c r="T12681" t="s">
        <v>27265</v>
      </c>
    </row>
    <row r="12682" spans="1:20" x14ac:dyDescent="0.3">
      <c r="A12682" t="str">
        <f>"0611864163050"</f>
        <v>0611864163050</v>
      </c>
      <c r="B12682" t="str">
        <f>"CR3273"</f>
        <v>CR3273</v>
      </c>
      <c r="C12682" t="s">
        <v>51770</v>
      </c>
      <c r="D12682" t="s">
        <v>27263</v>
      </c>
      <c r="E12682" t="str">
        <f t="shared" si="198"/>
        <v>001390</v>
      </c>
      <c r="F12682" t="s">
        <v>27246</v>
      </c>
      <c r="G12682" t="s">
        <v>27247</v>
      </c>
      <c r="H12682" t="s">
        <v>27248</v>
      </c>
      <c r="I12682" t="s">
        <v>51771</v>
      </c>
      <c r="J12682" t="s">
        <v>25369</v>
      </c>
      <c r="L12682" t="s">
        <v>27250</v>
      </c>
      <c r="M12682" t="s">
        <v>27251</v>
      </c>
      <c r="N12682" t="s">
        <v>27252</v>
      </c>
      <c r="Q12682" s="1">
        <v>44846</v>
      </c>
      <c r="R12682" t="s">
        <v>27253</v>
      </c>
      <c r="S12682" t="s">
        <v>27254</v>
      </c>
      <c r="T12682" t="s">
        <v>27265</v>
      </c>
    </row>
    <row r="12683" spans="1:20" x14ac:dyDescent="0.3">
      <c r="A12683" t="str">
        <f>"0611839914100"</f>
        <v>0611839914100</v>
      </c>
      <c r="B12683" t="str">
        <f>"LQ0829"</f>
        <v>LQ0829</v>
      </c>
      <c r="C12683" t="s">
        <v>51772</v>
      </c>
      <c r="D12683" t="s">
        <v>27245</v>
      </c>
      <c r="E12683" t="str">
        <f t="shared" si="198"/>
        <v>001390</v>
      </c>
      <c r="F12683" t="s">
        <v>27246</v>
      </c>
      <c r="G12683" t="s">
        <v>27247</v>
      </c>
      <c r="H12683" t="s">
        <v>27248</v>
      </c>
      <c r="I12683" t="s">
        <v>51773</v>
      </c>
      <c r="J12683" t="s">
        <v>25371</v>
      </c>
      <c r="L12683" t="s">
        <v>27250</v>
      </c>
      <c r="M12683" t="s">
        <v>27251</v>
      </c>
      <c r="N12683" t="s">
        <v>27252</v>
      </c>
      <c r="Q12683" s="1">
        <v>44538</v>
      </c>
      <c r="R12683" t="s">
        <v>27253</v>
      </c>
      <c r="S12683" t="s">
        <v>27254</v>
      </c>
      <c r="T12683" t="s">
        <v>27255</v>
      </c>
    </row>
    <row r="12684" spans="1:20" x14ac:dyDescent="0.3">
      <c r="A12684" t="str">
        <f>"0611864164050"</f>
        <v>0611864164050</v>
      </c>
      <c r="B12684" t="str">
        <f>"CR3392"</f>
        <v>CR3392</v>
      </c>
      <c r="C12684" t="s">
        <v>51774</v>
      </c>
      <c r="D12684" t="s">
        <v>27263</v>
      </c>
      <c r="E12684" t="str">
        <f t="shared" si="198"/>
        <v>001390</v>
      </c>
      <c r="F12684" t="s">
        <v>27246</v>
      </c>
      <c r="G12684" t="s">
        <v>27247</v>
      </c>
      <c r="H12684" t="s">
        <v>27248</v>
      </c>
      <c r="I12684" t="s">
        <v>51775</v>
      </c>
      <c r="J12684" t="s">
        <v>25373</v>
      </c>
      <c r="L12684" t="s">
        <v>27250</v>
      </c>
      <c r="M12684" t="s">
        <v>27251</v>
      </c>
      <c r="N12684" t="s">
        <v>27252</v>
      </c>
      <c r="Q12684" s="1">
        <v>44846</v>
      </c>
      <c r="R12684" t="s">
        <v>27253</v>
      </c>
      <c r="S12684" t="s">
        <v>27254</v>
      </c>
      <c r="T12684" t="s">
        <v>27265</v>
      </c>
    </row>
    <row r="12685" spans="1:20" x14ac:dyDescent="0.3">
      <c r="A12685" t="str">
        <f>"0611864165050"</f>
        <v>0611864165050</v>
      </c>
      <c r="B12685" t="str">
        <f>"CR3407"</f>
        <v>CR3407</v>
      </c>
      <c r="C12685" t="s">
        <v>51776</v>
      </c>
      <c r="D12685" t="s">
        <v>27263</v>
      </c>
      <c r="E12685" t="str">
        <f t="shared" si="198"/>
        <v>001390</v>
      </c>
      <c r="F12685" t="s">
        <v>27246</v>
      </c>
      <c r="G12685" t="s">
        <v>27247</v>
      </c>
      <c r="H12685" t="s">
        <v>27248</v>
      </c>
      <c r="I12685" t="s">
        <v>51777</v>
      </c>
      <c r="J12685" t="s">
        <v>25375</v>
      </c>
      <c r="L12685" t="s">
        <v>27250</v>
      </c>
      <c r="M12685" t="s">
        <v>27251</v>
      </c>
      <c r="N12685" t="s">
        <v>27252</v>
      </c>
      <c r="Q12685" s="1">
        <v>44846</v>
      </c>
      <c r="R12685" t="s">
        <v>27253</v>
      </c>
      <c r="S12685" t="s">
        <v>27254</v>
      </c>
      <c r="T12685" t="s">
        <v>27265</v>
      </c>
    </row>
    <row r="12686" spans="1:20" x14ac:dyDescent="0.3">
      <c r="A12686" t="str">
        <f>"0611864166050"</f>
        <v>0611864166050</v>
      </c>
      <c r="B12686" t="str">
        <f>"CR3275"</f>
        <v>CR3275</v>
      </c>
      <c r="C12686" t="s">
        <v>51778</v>
      </c>
      <c r="D12686" t="s">
        <v>27263</v>
      </c>
      <c r="E12686" t="str">
        <f t="shared" si="198"/>
        <v>001390</v>
      </c>
      <c r="F12686" t="s">
        <v>27246</v>
      </c>
      <c r="G12686" t="s">
        <v>27247</v>
      </c>
      <c r="H12686" t="s">
        <v>27248</v>
      </c>
      <c r="I12686" t="s">
        <v>51779</v>
      </c>
      <c r="J12686" t="s">
        <v>25377</v>
      </c>
      <c r="L12686" t="s">
        <v>27250</v>
      </c>
      <c r="M12686" t="s">
        <v>27251</v>
      </c>
      <c r="N12686" t="s">
        <v>27252</v>
      </c>
      <c r="Q12686" s="1">
        <v>44846</v>
      </c>
      <c r="R12686" t="s">
        <v>27253</v>
      </c>
      <c r="S12686" t="s">
        <v>27254</v>
      </c>
      <c r="T12686" t="s">
        <v>27265</v>
      </c>
    </row>
    <row r="12687" spans="1:20" x14ac:dyDescent="0.3">
      <c r="A12687" t="str">
        <f>"0611864167050"</f>
        <v>0611864167050</v>
      </c>
      <c r="B12687" t="str">
        <f>"CR3276"</f>
        <v>CR3276</v>
      </c>
      <c r="C12687" t="s">
        <v>51780</v>
      </c>
      <c r="D12687" t="s">
        <v>27263</v>
      </c>
      <c r="E12687" t="str">
        <f t="shared" si="198"/>
        <v>001390</v>
      </c>
      <c r="F12687" t="s">
        <v>27246</v>
      </c>
      <c r="G12687" t="s">
        <v>27247</v>
      </c>
      <c r="H12687" t="s">
        <v>27248</v>
      </c>
      <c r="I12687" t="s">
        <v>51781</v>
      </c>
      <c r="J12687" t="s">
        <v>25379</v>
      </c>
      <c r="L12687" t="s">
        <v>27250</v>
      </c>
      <c r="M12687" t="s">
        <v>27251</v>
      </c>
      <c r="N12687" t="s">
        <v>27252</v>
      </c>
      <c r="Q12687" s="1">
        <v>44846</v>
      </c>
      <c r="R12687" t="s">
        <v>27253</v>
      </c>
      <c r="S12687" t="s">
        <v>27254</v>
      </c>
      <c r="T12687" t="s">
        <v>27265</v>
      </c>
    </row>
    <row r="12688" spans="1:20" x14ac:dyDescent="0.3">
      <c r="A12688" t="str">
        <f>"0611864168050"</f>
        <v>0611864168050</v>
      </c>
      <c r="B12688" t="str">
        <f>"CR3577"</f>
        <v>CR3577</v>
      </c>
      <c r="C12688" t="s">
        <v>51782</v>
      </c>
      <c r="D12688" t="s">
        <v>27263</v>
      </c>
      <c r="E12688" t="str">
        <f t="shared" si="198"/>
        <v>001390</v>
      </c>
      <c r="F12688" t="s">
        <v>27246</v>
      </c>
      <c r="G12688" t="s">
        <v>27247</v>
      </c>
      <c r="H12688" t="s">
        <v>27248</v>
      </c>
      <c r="I12688" t="s">
        <v>51783</v>
      </c>
      <c r="J12688" t="s">
        <v>25381</v>
      </c>
      <c r="L12688" t="s">
        <v>27250</v>
      </c>
      <c r="M12688" t="s">
        <v>27251</v>
      </c>
      <c r="N12688" t="s">
        <v>27252</v>
      </c>
      <c r="Q12688" s="1">
        <v>44846</v>
      </c>
      <c r="R12688" t="s">
        <v>27253</v>
      </c>
      <c r="S12688" t="s">
        <v>27254</v>
      </c>
      <c r="T12688" t="s">
        <v>27265</v>
      </c>
    </row>
    <row r="12689" spans="1:20" x14ac:dyDescent="0.3">
      <c r="A12689" t="str">
        <f>"0611864169050"</f>
        <v>0611864169050</v>
      </c>
      <c r="B12689" t="str">
        <f>"CR3393"</f>
        <v>CR3393</v>
      </c>
      <c r="C12689" t="s">
        <v>51784</v>
      </c>
      <c r="D12689" t="s">
        <v>27263</v>
      </c>
      <c r="E12689" t="str">
        <f t="shared" si="198"/>
        <v>001390</v>
      </c>
      <c r="F12689" t="s">
        <v>27246</v>
      </c>
      <c r="G12689" t="s">
        <v>27247</v>
      </c>
      <c r="H12689" t="s">
        <v>27248</v>
      </c>
      <c r="I12689" t="s">
        <v>51785</v>
      </c>
      <c r="J12689" t="s">
        <v>25383</v>
      </c>
      <c r="L12689" t="s">
        <v>27250</v>
      </c>
      <c r="M12689" t="s">
        <v>27251</v>
      </c>
      <c r="N12689" t="s">
        <v>27252</v>
      </c>
      <c r="Q12689" s="1">
        <v>44846</v>
      </c>
      <c r="R12689" t="s">
        <v>27253</v>
      </c>
      <c r="S12689" t="s">
        <v>27254</v>
      </c>
      <c r="T12689" t="s">
        <v>27265</v>
      </c>
    </row>
    <row r="12690" spans="1:20" x14ac:dyDescent="0.3">
      <c r="A12690" t="str">
        <f>"0611839916100"</f>
        <v>0611839916100</v>
      </c>
      <c r="B12690" t="str">
        <f>"LS0121"</f>
        <v>LS0121</v>
      </c>
      <c r="C12690" t="s">
        <v>51786</v>
      </c>
      <c r="D12690" t="s">
        <v>27245</v>
      </c>
      <c r="E12690" t="str">
        <f t="shared" si="198"/>
        <v>001390</v>
      </c>
      <c r="F12690" t="s">
        <v>27246</v>
      </c>
      <c r="G12690" t="s">
        <v>27247</v>
      </c>
      <c r="H12690" t="s">
        <v>27248</v>
      </c>
      <c r="I12690" t="s">
        <v>51787</v>
      </c>
      <c r="J12690" t="s">
        <v>25389</v>
      </c>
      <c r="L12690" t="s">
        <v>27250</v>
      </c>
      <c r="M12690" t="s">
        <v>27251</v>
      </c>
      <c r="N12690" t="s">
        <v>27252</v>
      </c>
      <c r="Q12690" s="1">
        <v>44538</v>
      </c>
      <c r="R12690" t="s">
        <v>27253</v>
      </c>
      <c r="S12690" t="s">
        <v>27254</v>
      </c>
      <c r="T12690" t="s">
        <v>27255</v>
      </c>
    </row>
    <row r="12691" spans="1:20" x14ac:dyDescent="0.3">
      <c r="A12691" t="str">
        <f>"0611839917025"</f>
        <v>0611839917025</v>
      </c>
      <c r="B12691" t="str">
        <f>"MQ0744"</f>
        <v>MQ0744</v>
      </c>
      <c r="C12691" t="s">
        <v>51788</v>
      </c>
      <c r="D12691" t="s">
        <v>27267</v>
      </c>
      <c r="E12691" t="str">
        <f t="shared" si="198"/>
        <v>001390</v>
      </c>
      <c r="F12691" t="s">
        <v>27246</v>
      </c>
      <c r="G12691" t="s">
        <v>27247</v>
      </c>
      <c r="H12691" t="s">
        <v>27248</v>
      </c>
      <c r="I12691" t="s">
        <v>51789</v>
      </c>
      <c r="J12691" t="s">
        <v>25391</v>
      </c>
      <c r="L12691" t="s">
        <v>27250</v>
      </c>
      <c r="M12691" t="s">
        <v>27251</v>
      </c>
      <c r="N12691" t="s">
        <v>27252</v>
      </c>
      <c r="Q12691" s="1">
        <v>44538</v>
      </c>
      <c r="R12691" t="s">
        <v>27253</v>
      </c>
      <c r="S12691" t="s">
        <v>27254</v>
      </c>
      <c r="T12691" t="s">
        <v>27269</v>
      </c>
    </row>
    <row r="12692" spans="1:20" x14ac:dyDescent="0.3">
      <c r="A12692" t="str">
        <f>"0611839918025"</f>
        <v>0611839918025</v>
      </c>
      <c r="B12692" t="str">
        <f>"MC0728"</f>
        <v>MC0728</v>
      </c>
      <c r="C12692" t="s">
        <v>51790</v>
      </c>
      <c r="D12692" t="s">
        <v>27267</v>
      </c>
      <c r="E12692" t="str">
        <f t="shared" si="198"/>
        <v>001390</v>
      </c>
      <c r="F12692" t="s">
        <v>27246</v>
      </c>
      <c r="G12692" t="s">
        <v>27247</v>
      </c>
      <c r="H12692" t="s">
        <v>27248</v>
      </c>
      <c r="I12692" t="s">
        <v>51791</v>
      </c>
      <c r="J12692" t="s">
        <v>25395</v>
      </c>
      <c r="L12692" t="s">
        <v>27250</v>
      </c>
      <c r="M12692" t="s">
        <v>27251</v>
      </c>
      <c r="N12692" t="s">
        <v>27252</v>
      </c>
      <c r="Q12692" s="1">
        <v>44538</v>
      </c>
      <c r="R12692" t="s">
        <v>27253</v>
      </c>
      <c r="S12692" t="s">
        <v>27254</v>
      </c>
      <c r="T12692" t="s">
        <v>27269</v>
      </c>
    </row>
    <row r="12693" spans="1:20" x14ac:dyDescent="0.3">
      <c r="A12693" t="str">
        <f>"0611864170050"</f>
        <v>0611864170050</v>
      </c>
      <c r="B12693" t="str">
        <f>"CR4493"</f>
        <v>CR4493</v>
      </c>
      <c r="C12693" t="s">
        <v>51790</v>
      </c>
      <c r="D12693" t="s">
        <v>27263</v>
      </c>
      <c r="E12693" t="str">
        <f t="shared" si="198"/>
        <v>001390</v>
      </c>
      <c r="F12693" t="s">
        <v>27246</v>
      </c>
      <c r="G12693" t="s">
        <v>27247</v>
      </c>
      <c r="H12693" t="s">
        <v>27248</v>
      </c>
      <c r="I12693" t="s">
        <v>51792</v>
      </c>
      <c r="J12693" t="s">
        <v>25397</v>
      </c>
      <c r="L12693" t="s">
        <v>27250</v>
      </c>
      <c r="M12693" t="s">
        <v>27251</v>
      </c>
      <c r="N12693" t="s">
        <v>27252</v>
      </c>
      <c r="Q12693" s="1">
        <v>44846</v>
      </c>
      <c r="R12693" t="s">
        <v>27253</v>
      </c>
      <c r="S12693" t="s">
        <v>27254</v>
      </c>
      <c r="T12693" t="s">
        <v>27265</v>
      </c>
    </row>
    <row r="12694" spans="1:20" x14ac:dyDescent="0.3">
      <c r="A12694" t="str">
        <f>"0611864172100"</f>
        <v>0611864172100</v>
      </c>
      <c r="B12694" t="str">
        <f>"CN5409"</f>
        <v>CN5409</v>
      </c>
      <c r="C12694" t="s">
        <v>51790</v>
      </c>
      <c r="D12694" t="s">
        <v>27335</v>
      </c>
      <c r="E12694" t="str">
        <f t="shared" si="198"/>
        <v>001390</v>
      </c>
      <c r="F12694" t="s">
        <v>27246</v>
      </c>
      <c r="G12694" t="s">
        <v>27247</v>
      </c>
      <c r="H12694" t="s">
        <v>27248</v>
      </c>
      <c r="I12694" t="s">
        <v>51793</v>
      </c>
      <c r="J12694" t="s">
        <v>25393</v>
      </c>
      <c r="L12694" t="s">
        <v>27250</v>
      </c>
      <c r="M12694" t="s">
        <v>27251</v>
      </c>
      <c r="N12694" t="s">
        <v>27252</v>
      </c>
      <c r="Q12694" s="1">
        <v>44846</v>
      </c>
      <c r="R12694" t="s">
        <v>27253</v>
      </c>
      <c r="S12694" t="s">
        <v>27254</v>
      </c>
      <c r="T12694" t="s">
        <v>27255</v>
      </c>
    </row>
    <row r="12695" spans="1:20" x14ac:dyDescent="0.3">
      <c r="A12695" t="str">
        <f>"0611839920100"</f>
        <v>0611839920100</v>
      </c>
      <c r="B12695" t="str">
        <f>"LK1509"</f>
        <v>LK1509</v>
      </c>
      <c r="C12695" t="s">
        <v>51794</v>
      </c>
      <c r="D12695" t="s">
        <v>27245</v>
      </c>
      <c r="E12695" t="str">
        <f t="shared" si="198"/>
        <v>001390</v>
      </c>
      <c r="F12695" t="s">
        <v>27246</v>
      </c>
      <c r="G12695" t="s">
        <v>27247</v>
      </c>
      <c r="H12695" t="s">
        <v>27248</v>
      </c>
      <c r="I12695" t="s">
        <v>51795</v>
      </c>
      <c r="J12695" t="s">
        <v>25399</v>
      </c>
      <c r="L12695" t="s">
        <v>27250</v>
      </c>
      <c r="M12695" t="s">
        <v>27251</v>
      </c>
      <c r="N12695" t="s">
        <v>27252</v>
      </c>
      <c r="Q12695" s="1">
        <v>44538</v>
      </c>
      <c r="R12695" t="s">
        <v>27253</v>
      </c>
      <c r="S12695" t="s">
        <v>27254</v>
      </c>
      <c r="T12695" t="s">
        <v>27255</v>
      </c>
    </row>
    <row r="12696" spans="1:20" x14ac:dyDescent="0.3">
      <c r="A12696" t="str">
        <f>"0611839921100"</f>
        <v>0611839921100</v>
      </c>
      <c r="B12696" t="str">
        <f>"LQ0908"</f>
        <v>LQ0908</v>
      </c>
      <c r="C12696" t="s">
        <v>51796</v>
      </c>
      <c r="D12696" t="s">
        <v>27245</v>
      </c>
      <c r="E12696" t="str">
        <f t="shared" si="198"/>
        <v>001390</v>
      </c>
      <c r="F12696" t="s">
        <v>27246</v>
      </c>
      <c r="G12696" t="s">
        <v>27247</v>
      </c>
      <c r="H12696" t="s">
        <v>27248</v>
      </c>
      <c r="I12696" t="s">
        <v>51797</v>
      </c>
      <c r="J12696" t="s">
        <v>25401</v>
      </c>
      <c r="L12696" t="s">
        <v>27250</v>
      </c>
      <c r="M12696" t="s">
        <v>27251</v>
      </c>
      <c r="N12696" t="s">
        <v>27252</v>
      </c>
      <c r="Q12696" s="1">
        <v>44538</v>
      </c>
      <c r="R12696" t="s">
        <v>27253</v>
      </c>
      <c r="S12696" t="s">
        <v>27254</v>
      </c>
      <c r="T12696" t="s">
        <v>27255</v>
      </c>
    </row>
    <row r="12697" spans="1:20" x14ac:dyDescent="0.3">
      <c r="A12697" t="str">
        <f>"0611839922100"</f>
        <v>0611839922100</v>
      </c>
      <c r="B12697" t="str">
        <f>"LQ3781"</f>
        <v>LQ3781</v>
      </c>
      <c r="C12697" t="s">
        <v>51798</v>
      </c>
      <c r="D12697" t="s">
        <v>27245</v>
      </c>
      <c r="E12697" t="str">
        <f t="shared" si="198"/>
        <v>001390</v>
      </c>
      <c r="F12697" t="s">
        <v>27246</v>
      </c>
      <c r="G12697" t="s">
        <v>27247</v>
      </c>
      <c r="H12697" t="s">
        <v>27248</v>
      </c>
      <c r="I12697" t="s">
        <v>51799</v>
      </c>
      <c r="J12697" t="s">
        <v>25403</v>
      </c>
      <c r="L12697" t="s">
        <v>27250</v>
      </c>
      <c r="M12697" t="s">
        <v>27251</v>
      </c>
      <c r="N12697" t="s">
        <v>27252</v>
      </c>
      <c r="Q12697" s="1">
        <v>44538</v>
      </c>
      <c r="R12697" t="s">
        <v>27253</v>
      </c>
      <c r="S12697" t="s">
        <v>27254</v>
      </c>
      <c r="T12697" t="s">
        <v>27255</v>
      </c>
    </row>
    <row r="12698" spans="1:20" x14ac:dyDescent="0.3">
      <c r="A12698" t="str">
        <f>"0611864173050"</f>
        <v>0611864173050</v>
      </c>
      <c r="B12698" t="str">
        <f>"CE0567"</f>
        <v>CE0567</v>
      </c>
      <c r="C12698" t="s">
        <v>51800</v>
      </c>
      <c r="D12698" t="s">
        <v>27263</v>
      </c>
      <c r="E12698" t="str">
        <f t="shared" si="198"/>
        <v>001390</v>
      </c>
      <c r="F12698" t="s">
        <v>27246</v>
      </c>
      <c r="G12698" t="s">
        <v>27247</v>
      </c>
      <c r="H12698" t="s">
        <v>27248</v>
      </c>
      <c r="I12698" t="s">
        <v>51801</v>
      </c>
      <c r="J12698" t="s">
        <v>25405</v>
      </c>
      <c r="L12698" t="s">
        <v>27250</v>
      </c>
      <c r="M12698" t="s">
        <v>27251</v>
      </c>
      <c r="N12698" t="s">
        <v>27252</v>
      </c>
      <c r="Q12698" s="1">
        <v>44846</v>
      </c>
      <c r="R12698" t="s">
        <v>27253</v>
      </c>
      <c r="S12698" t="s">
        <v>27254</v>
      </c>
      <c r="T12698" t="s">
        <v>27265</v>
      </c>
    </row>
    <row r="12699" spans="1:20" x14ac:dyDescent="0.3">
      <c r="A12699" t="str">
        <f>"0611839929100"</f>
        <v>0611839929100</v>
      </c>
      <c r="B12699" t="str">
        <f>"LB9176"</f>
        <v>LB9176</v>
      </c>
      <c r="C12699" t="s">
        <v>51802</v>
      </c>
      <c r="D12699" t="s">
        <v>27245</v>
      </c>
      <c r="E12699" t="str">
        <f t="shared" si="198"/>
        <v>001390</v>
      </c>
      <c r="F12699" t="s">
        <v>27246</v>
      </c>
      <c r="G12699" t="s">
        <v>27247</v>
      </c>
      <c r="H12699" t="s">
        <v>27248</v>
      </c>
      <c r="I12699" t="s">
        <v>51803</v>
      </c>
      <c r="J12699" t="s">
        <v>25407</v>
      </c>
      <c r="L12699" t="s">
        <v>27250</v>
      </c>
      <c r="M12699" t="s">
        <v>27251</v>
      </c>
      <c r="N12699" t="s">
        <v>27252</v>
      </c>
      <c r="Q12699" s="1">
        <v>44538</v>
      </c>
      <c r="R12699" t="s">
        <v>27253</v>
      </c>
      <c r="S12699" t="s">
        <v>27254</v>
      </c>
      <c r="T12699" t="s">
        <v>27255</v>
      </c>
    </row>
    <row r="12700" spans="1:20" x14ac:dyDescent="0.3">
      <c r="A12700" t="str">
        <f>"0611864174050"</f>
        <v>0611864174050</v>
      </c>
      <c r="B12700" t="str">
        <f>"CE0532"</f>
        <v>CE0532</v>
      </c>
      <c r="C12700" t="s">
        <v>51804</v>
      </c>
      <c r="D12700" t="s">
        <v>27923</v>
      </c>
      <c r="E12700" t="str">
        <f t="shared" si="198"/>
        <v>001390</v>
      </c>
      <c r="F12700" t="s">
        <v>27246</v>
      </c>
      <c r="G12700" t="s">
        <v>27247</v>
      </c>
      <c r="H12700" t="s">
        <v>27248</v>
      </c>
      <c r="I12700" t="s">
        <v>51805</v>
      </c>
      <c r="J12700" t="s">
        <v>25409</v>
      </c>
      <c r="L12700" t="s">
        <v>27250</v>
      </c>
      <c r="M12700" t="s">
        <v>27251</v>
      </c>
      <c r="N12700" t="s">
        <v>27252</v>
      </c>
      <c r="P12700" t="s">
        <v>27925</v>
      </c>
      <c r="Q12700" s="1">
        <v>44846</v>
      </c>
      <c r="R12700" t="s">
        <v>27253</v>
      </c>
      <c r="S12700" t="s">
        <v>27254</v>
      </c>
      <c r="T12700" t="s">
        <v>27265</v>
      </c>
    </row>
    <row r="12701" spans="1:20" x14ac:dyDescent="0.3">
      <c r="A12701" t="str">
        <f>"0611864175050"</f>
        <v>0611864175050</v>
      </c>
      <c r="B12701" t="str">
        <f>"CE0533"</f>
        <v>CE0533</v>
      </c>
      <c r="C12701" t="s">
        <v>51806</v>
      </c>
      <c r="D12701" t="s">
        <v>27923</v>
      </c>
      <c r="E12701" t="str">
        <f t="shared" si="198"/>
        <v>001390</v>
      </c>
      <c r="F12701" t="s">
        <v>27246</v>
      </c>
      <c r="G12701" t="s">
        <v>27247</v>
      </c>
      <c r="H12701" t="s">
        <v>27248</v>
      </c>
      <c r="I12701" t="s">
        <v>51807</v>
      </c>
      <c r="J12701" t="s">
        <v>25411</v>
      </c>
      <c r="L12701" t="s">
        <v>27250</v>
      </c>
      <c r="M12701" t="s">
        <v>27251</v>
      </c>
      <c r="N12701" t="s">
        <v>27252</v>
      </c>
      <c r="P12701" t="s">
        <v>27925</v>
      </c>
      <c r="Q12701" s="1">
        <v>44846</v>
      </c>
      <c r="R12701" t="s">
        <v>27253</v>
      </c>
      <c r="S12701" t="s">
        <v>27254</v>
      </c>
      <c r="T12701" t="s">
        <v>27265</v>
      </c>
    </row>
    <row r="12702" spans="1:20" x14ac:dyDescent="0.3">
      <c r="A12702" t="str">
        <f>"0611864176050"</f>
        <v>0611864176050</v>
      </c>
      <c r="B12702" t="str">
        <f>"CE0902"</f>
        <v>CE0902</v>
      </c>
      <c r="C12702" t="s">
        <v>51808</v>
      </c>
      <c r="D12702" t="s">
        <v>27923</v>
      </c>
      <c r="E12702" t="str">
        <f t="shared" si="198"/>
        <v>001390</v>
      </c>
      <c r="F12702" t="s">
        <v>27246</v>
      </c>
      <c r="G12702" t="s">
        <v>27247</v>
      </c>
      <c r="H12702" t="s">
        <v>27248</v>
      </c>
      <c r="I12702" t="s">
        <v>51809</v>
      </c>
      <c r="J12702" t="s">
        <v>25413</v>
      </c>
      <c r="L12702" t="s">
        <v>27250</v>
      </c>
      <c r="M12702" t="s">
        <v>27251</v>
      </c>
      <c r="N12702" t="s">
        <v>27252</v>
      </c>
      <c r="P12702" t="s">
        <v>27925</v>
      </c>
      <c r="Q12702" s="1">
        <v>44846</v>
      </c>
      <c r="R12702" t="s">
        <v>27253</v>
      </c>
      <c r="S12702" t="s">
        <v>27254</v>
      </c>
      <c r="T12702" t="s">
        <v>27265</v>
      </c>
    </row>
    <row r="12703" spans="1:20" x14ac:dyDescent="0.3">
      <c r="A12703" t="str">
        <f>"0611864177050"</f>
        <v>0611864177050</v>
      </c>
      <c r="B12703" t="str">
        <f>"CE0535"</f>
        <v>CE0535</v>
      </c>
      <c r="C12703" t="s">
        <v>51810</v>
      </c>
      <c r="D12703" t="s">
        <v>27923</v>
      </c>
      <c r="E12703" t="str">
        <f t="shared" si="198"/>
        <v>001390</v>
      </c>
      <c r="F12703" t="s">
        <v>27246</v>
      </c>
      <c r="G12703" t="s">
        <v>27247</v>
      </c>
      <c r="H12703" t="s">
        <v>27248</v>
      </c>
      <c r="I12703" t="s">
        <v>51811</v>
      </c>
      <c r="J12703" t="s">
        <v>25415</v>
      </c>
      <c r="L12703" t="s">
        <v>27250</v>
      </c>
      <c r="M12703" t="s">
        <v>27251</v>
      </c>
      <c r="N12703" t="s">
        <v>27252</v>
      </c>
      <c r="P12703" t="s">
        <v>27925</v>
      </c>
      <c r="Q12703" s="1">
        <v>44846</v>
      </c>
      <c r="R12703" t="s">
        <v>27253</v>
      </c>
      <c r="S12703" t="s">
        <v>27254</v>
      </c>
      <c r="T12703" t="s">
        <v>27265</v>
      </c>
    </row>
    <row r="12704" spans="1:20" x14ac:dyDescent="0.3">
      <c r="A12704" t="str">
        <f>"0611864178050"</f>
        <v>0611864178050</v>
      </c>
      <c r="B12704" t="str">
        <f>"CE0537"</f>
        <v>CE0537</v>
      </c>
      <c r="C12704" t="s">
        <v>51812</v>
      </c>
      <c r="D12704" t="s">
        <v>27923</v>
      </c>
      <c r="E12704" t="str">
        <f t="shared" si="198"/>
        <v>001390</v>
      </c>
      <c r="F12704" t="s">
        <v>27246</v>
      </c>
      <c r="G12704" t="s">
        <v>27247</v>
      </c>
      <c r="H12704" t="s">
        <v>27248</v>
      </c>
      <c r="I12704" t="s">
        <v>51813</v>
      </c>
      <c r="J12704" t="s">
        <v>25417</v>
      </c>
      <c r="L12704" t="s">
        <v>27250</v>
      </c>
      <c r="M12704" t="s">
        <v>27251</v>
      </c>
      <c r="N12704" t="s">
        <v>27252</v>
      </c>
      <c r="P12704" t="s">
        <v>27925</v>
      </c>
      <c r="Q12704" s="1">
        <v>44846</v>
      </c>
      <c r="R12704" t="s">
        <v>27253</v>
      </c>
      <c r="S12704" t="s">
        <v>27254</v>
      </c>
      <c r="T12704" t="s">
        <v>27265</v>
      </c>
    </row>
    <row r="12705" spans="1:20" x14ac:dyDescent="0.3">
      <c r="A12705" t="str">
        <f>"0611864179050"</f>
        <v>0611864179050</v>
      </c>
      <c r="B12705" t="str">
        <f>"CE1496"</f>
        <v>CE1496</v>
      </c>
      <c r="C12705" t="s">
        <v>51814</v>
      </c>
      <c r="D12705" t="s">
        <v>27923</v>
      </c>
      <c r="E12705" t="str">
        <f t="shared" si="198"/>
        <v>001390</v>
      </c>
      <c r="F12705" t="s">
        <v>27246</v>
      </c>
      <c r="G12705" t="s">
        <v>27247</v>
      </c>
      <c r="H12705" t="s">
        <v>27248</v>
      </c>
      <c r="I12705" t="s">
        <v>51815</v>
      </c>
      <c r="J12705" t="s">
        <v>25419</v>
      </c>
      <c r="L12705" t="s">
        <v>27250</v>
      </c>
      <c r="M12705" t="s">
        <v>27251</v>
      </c>
      <c r="N12705" t="s">
        <v>27252</v>
      </c>
      <c r="P12705" t="s">
        <v>27925</v>
      </c>
      <c r="Q12705" s="1">
        <v>44846</v>
      </c>
      <c r="R12705" t="s">
        <v>27253</v>
      </c>
      <c r="S12705" t="s">
        <v>27254</v>
      </c>
      <c r="T12705" t="s">
        <v>27265</v>
      </c>
    </row>
    <row r="12706" spans="1:20" x14ac:dyDescent="0.3">
      <c r="A12706" t="str">
        <f>"0611864180050"</f>
        <v>0611864180050</v>
      </c>
      <c r="B12706" t="str">
        <f>"CE0544"</f>
        <v>CE0544</v>
      </c>
      <c r="C12706" t="s">
        <v>51816</v>
      </c>
      <c r="D12706" t="s">
        <v>27923</v>
      </c>
      <c r="E12706" t="str">
        <f t="shared" si="198"/>
        <v>001390</v>
      </c>
      <c r="F12706" t="s">
        <v>27246</v>
      </c>
      <c r="G12706" t="s">
        <v>27247</v>
      </c>
      <c r="H12706" t="s">
        <v>27248</v>
      </c>
      <c r="I12706" t="s">
        <v>51817</v>
      </c>
      <c r="J12706" t="s">
        <v>25421</v>
      </c>
      <c r="L12706" t="s">
        <v>27250</v>
      </c>
      <c r="M12706" t="s">
        <v>27251</v>
      </c>
      <c r="N12706" t="s">
        <v>27252</v>
      </c>
      <c r="P12706" t="s">
        <v>27925</v>
      </c>
      <c r="Q12706" s="1">
        <v>44846</v>
      </c>
      <c r="R12706" t="s">
        <v>27253</v>
      </c>
      <c r="S12706" t="s">
        <v>27254</v>
      </c>
      <c r="T12706" t="s">
        <v>27265</v>
      </c>
    </row>
    <row r="12707" spans="1:20" x14ac:dyDescent="0.3">
      <c r="A12707" t="str">
        <f>"0611864181050"</f>
        <v>0611864181050</v>
      </c>
      <c r="B12707" t="str">
        <f>"CE1139"</f>
        <v>CE1139</v>
      </c>
      <c r="C12707" t="s">
        <v>51818</v>
      </c>
      <c r="D12707" t="s">
        <v>27923</v>
      </c>
      <c r="E12707" t="str">
        <f t="shared" si="198"/>
        <v>001390</v>
      </c>
      <c r="F12707" t="s">
        <v>27246</v>
      </c>
      <c r="G12707" t="s">
        <v>27247</v>
      </c>
      <c r="H12707" t="s">
        <v>27248</v>
      </c>
      <c r="I12707" t="s">
        <v>51819</v>
      </c>
      <c r="J12707" t="s">
        <v>25423</v>
      </c>
      <c r="L12707" t="s">
        <v>27250</v>
      </c>
      <c r="M12707" t="s">
        <v>27251</v>
      </c>
      <c r="N12707" t="s">
        <v>27252</v>
      </c>
      <c r="P12707" t="s">
        <v>27925</v>
      </c>
      <c r="Q12707" s="1">
        <v>44846</v>
      </c>
      <c r="R12707" t="s">
        <v>27253</v>
      </c>
      <c r="S12707" t="s">
        <v>27254</v>
      </c>
      <c r="T12707" t="s">
        <v>27265</v>
      </c>
    </row>
    <row r="12708" spans="1:20" x14ac:dyDescent="0.3">
      <c r="A12708" t="str">
        <f>"0611864182050"</f>
        <v>0611864182050</v>
      </c>
      <c r="B12708" t="str">
        <f>"CE1140"</f>
        <v>CE1140</v>
      </c>
      <c r="C12708" t="s">
        <v>51820</v>
      </c>
      <c r="D12708" t="s">
        <v>27923</v>
      </c>
      <c r="E12708" t="str">
        <f t="shared" si="198"/>
        <v>001390</v>
      </c>
      <c r="F12708" t="s">
        <v>27246</v>
      </c>
      <c r="G12708" t="s">
        <v>27247</v>
      </c>
      <c r="H12708" t="s">
        <v>27248</v>
      </c>
      <c r="I12708" t="s">
        <v>51821</v>
      </c>
      <c r="J12708" t="s">
        <v>25425</v>
      </c>
      <c r="L12708" t="s">
        <v>27250</v>
      </c>
      <c r="M12708" t="s">
        <v>27251</v>
      </c>
      <c r="N12708" t="s">
        <v>27252</v>
      </c>
      <c r="P12708" t="s">
        <v>27925</v>
      </c>
      <c r="Q12708" s="1">
        <v>44846</v>
      </c>
      <c r="R12708" t="s">
        <v>27253</v>
      </c>
      <c r="S12708" t="s">
        <v>27254</v>
      </c>
      <c r="T12708" t="s">
        <v>27265</v>
      </c>
    </row>
    <row r="12709" spans="1:20" x14ac:dyDescent="0.3">
      <c r="A12709" t="str">
        <f>"0611864183050"</f>
        <v>0611864183050</v>
      </c>
      <c r="B12709" t="str">
        <f>"CE1141"</f>
        <v>CE1141</v>
      </c>
      <c r="C12709" t="s">
        <v>51822</v>
      </c>
      <c r="D12709" t="s">
        <v>27923</v>
      </c>
      <c r="E12709" t="str">
        <f t="shared" si="198"/>
        <v>001390</v>
      </c>
      <c r="F12709" t="s">
        <v>27246</v>
      </c>
      <c r="G12709" t="s">
        <v>27247</v>
      </c>
      <c r="H12709" t="s">
        <v>27248</v>
      </c>
      <c r="I12709" t="s">
        <v>51823</v>
      </c>
      <c r="J12709" t="s">
        <v>25427</v>
      </c>
      <c r="L12709" t="s">
        <v>27250</v>
      </c>
      <c r="M12709" t="s">
        <v>27251</v>
      </c>
      <c r="N12709" t="s">
        <v>27252</v>
      </c>
      <c r="P12709" t="s">
        <v>27925</v>
      </c>
      <c r="Q12709" s="1">
        <v>44846</v>
      </c>
      <c r="R12709" t="s">
        <v>27253</v>
      </c>
      <c r="S12709" t="s">
        <v>27254</v>
      </c>
      <c r="T12709" t="s">
        <v>27265</v>
      </c>
    </row>
    <row r="12710" spans="1:20" x14ac:dyDescent="0.3">
      <c r="A12710" t="str">
        <f>"0611864184050"</f>
        <v>0611864184050</v>
      </c>
      <c r="B12710" t="str">
        <f>"CE1142"</f>
        <v>CE1142</v>
      </c>
      <c r="C12710" t="s">
        <v>51824</v>
      </c>
      <c r="D12710" t="s">
        <v>27923</v>
      </c>
      <c r="E12710" t="str">
        <f t="shared" si="198"/>
        <v>001390</v>
      </c>
      <c r="F12710" t="s">
        <v>27246</v>
      </c>
      <c r="G12710" t="s">
        <v>27247</v>
      </c>
      <c r="H12710" t="s">
        <v>27248</v>
      </c>
      <c r="I12710" t="s">
        <v>51825</v>
      </c>
      <c r="J12710" t="s">
        <v>25429</v>
      </c>
      <c r="L12710" t="s">
        <v>27250</v>
      </c>
      <c r="M12710" t="s">
        <v>27251</v>
      </c>
      <c r="N12710" t="s">
        <v>27252</v>
      </c>
      <c r="P12710" t="s">
        <v>27925</v>
      </c>
      <c r="Q12710" s="1">
        <v>44846</v>
      </c>
      <c r="R12710" t="s">
        <v>27253</v>
      </c>
      <c r="S12710" t="s">
        <v>27254</v>
      </c>
      <c r="T12710" t="s">
        <v>27265</v>
      </c>
    </row>
    <row r="12711" spans="1:20" x14ac:dyDescent="0.3">
      <c r="A12711" t="str">
        <f>"0611864185050"</f>
        <v>0611864185050</v>
      </c>
      <c r="B12711" t="str">
        <f>"CE1692"</f>
        <v>CE1692</v>
      </c>
      <c r="C12711" t="s">
        <v>51826</v>
      </c>
      <c r="D12711" t="s">
        <v>28556</v>
      </c>
      <c r="E12711" t="str">
        <f t="shared" si="198"/>
        <v>001390</v>
      </c>
      <c r="F12711" t="s">
        <v>27246</v>
      </c>
      <c r="G12711" t="s">
        <v>27247</v>
      </c>
      <c r="H12711" t="s">
        <v>27248</v>
      </c>
      <c r="I12711" t="s">
        <v>51827</v>
      </c>
      <c r="J12711" t="s">
        <v>25431</v>
      </c>
      <c r="L12711" t="s">
        <v>27250</v>
      </c>
      <c r="M12711" t="s">
        <v>27251</v>
      </c>
      <c r="N12711" t="s">
        <v>27252</v>
      </c>
      <c r="P12711" t="s">
        <v>27925</v>
      </c>
      <c r="Q12711" s="1">
        <v>44846</v>
      </c>
      <c r="R12711" t="s">
        <v>27253</v>
      </c>
      <c r="S12711" t="s">
        <v>27254</v>
      </c>
      <c r="T12711" t="s">
        <v>28378</v>
      </c>
    </row>
    <row r="12712" spans="1:20" x14ac:dyDescent="0.3">
      <c r="A12712" t="str">
        <f>"0611864186050"</f>
        <v>0611864186050</v>
      </c>
      <c r="B12712" t="str">
        <f>"CE1620"</f>
        <v>CE1620</v>
      </c>
      <c r="C12712" t="s">
        <v>51828</v>
      </c>
      <c r="D12712" t="s">
        <v>27923</v>
      </c>
      <c r="E12712" t="str">
        <f t="shared" si="198"/>
        <v>001390</v>
      </c>
      <c r="F12712" t="s">
        <v>27246</v>
      </c>
      <c r="G12712" t="s">
        <v>27247</v>
      </c>
      <c r="H12712" t="s">
        <v>27248</v>
      </c>
      <c r="I12712" t="s">
        <v>51829</v>
      </c>
      <c r="J12712" t="s">
        <v>25433</v>
      </c>
      <c r="L12712" t="s">
        <v>27250</v>
      </c>
      <c r="M12712" t="s">
        <v>27251</v>
      </c>
      <c r="N12712" t="s">
        <v>27252</v>
      </c>
      <c r="P12712" t="s">
        <v>27925</v>
      </c>
      <c r="Q12712" s="1">
        <v>44846</v>
      </c>
      <c r="R12712" t="s">
        <v>27253</v>
      </c>
      <c r="S12712" t="s">
        <v>27254</v>
      </c>
      <c r="T12712" t="s">
        <v>27265</v>
      </c>
    </row>
    <row r="12713" spans="1:20" x14ac:dyDescent="0.3">
      <c r="A12713" t="str">
        <f>"0611864187050"</f>
        <v>0611864187050</v>
      </c>
      <c r="B12713" t="str">
        <f>"CE1132"</f>
        <v>CE1132</v>
      </c>
      <c r="C12713" t="s">
        <v>51830</v>
      </c>
      <c r="D12713" t="s">
        <v>27923</v>
      </c>
      <c r="E12713" t="str">
        <f t="shared" si="198"/>
        <v>001390</v>
      </c>
      <c r="F12713" t="s">
        <v>27246</v>
      </c>
      <c r="G12713" t="s">
        <v>27247</v>
      </c>
      <c r="H12713" t="s">
        <v>27248</v>
      </c>
      <c r="I12713" t="s">
        <v>51831</v>
      </c>
      <c r="J12713" t="s">
        <v>25435</v>
      </c>
      <c r="L12713" t="s">
        <v>27250</v>
      </c>
      <c r="M12713" t="s">
        <v>27251</v>
      </c>
      <c r="N12713" t="s">
        <v>27252</v>
      </c>
      <c r="P12713" t="s">
        <v>27925</v>
      </c>
      <c r="Q12713" s="1">
        <v>44846</v>
      </c>
      <c r="R12713" t="s">
        <v>27253</v>
      </c>
      <c r="S12713" t="s">
        <v>27254</v>
      </c>
      <c r="T12713" t="s">
        <v>27265</v>
      </c>
    </row>
    <row r="12714" spans="1:20" x14ac:dyDescent="0.3">
      <c r="A12714" t="str">
        <f>"0611864188050"</f>
        <v>0611864188050</v>
      </c>
      <c r="B12714" t="str">
        <f>"CE1202"</f>
        <v>CE1202</v>
      </c>
      <c r="C12714" t="s">
        <v>51832</v>
      </c>
      <c r="D12714" t="s">
        <v>27923</v>
      </c>
      <c r="E12714" t="str">
        <f t="shared" si="198"/>
        <v>001390</v>
      </c>
      <c r="F12714" t="s">
        <v>27246</v>
      </c>
      <c r="G12714" t="s">
        <v>27247</v>
      </c>
      <c r="H12714" t="s">
        <v>27248</v>
      </c>
      <c r="I12714" t="s">
        <v>51833</v>
      </c>
      <c r="J12714" t="s">
        <v>25437</v>
      </c>
      <c r="L12714" t="s">
        <v>27250</v>
      </c>
      <c r="M12714" t="s">
        <v>27251</v>
      </c>
      <c r="N12714" t="s">
        <v>27252</v>
      </c>
      <c r="P12714" t="s">
        <v>27925</v>
      </c>
      <c r="Q12714" s="1">
        <v>44846</v>
      </c>
      <c r="R12714" t="s">
        <v>27253</v>
      </c>
      <c r="S12714" t="s">
        <v>27254</v>
      </c>
      <c r="T12714" t="s">
        <v>27265</v>
      </c>
    </row>
    <row r="12715" spans="1:20" x14ac:dyDescent="0.3">
      <c r="A12715" t="str">
        <f>"0611864189050"</f>
        <v>0611864189050</v>
      </c>
      <c r="B12715" t="str">
        <f>"CE0540"</f>
        <v>CE0540</v>
      </c>
      <c r="C12715" t="s">
        <v>51834</v>
      </c>
      <c r="D12715" t="s">
        <v>27923</v>
      </c>
      <c r="E12715" t="str">
        <f t="shared" si="198"/>
        <v>001390</v>
      </c>
      <c r="F12715" t="s">
        <v>27246</v>
      </c>
      <c r="G12715" t="s">
        <v>27247</v>
      </c>
      <c r="H12715" t="s">
        <v>27248</v>
      </c>
      <c r="I12715" t="s">
        <v>51835</v>
      </c>
      <c r="J12715" t="s">
        <v>25439</v>
      </c>
      <c r="L12715" t="s">
        <v>27250</v>
      </c>
      <c r="M12715" t="s">
        <v>27251</v>
      </c>
      <c r="N12715" t="s">
        <v>27252</v>
      </c>
      <c r="P12715" t="s">
        <v>27925</v>
      </c>
      <c r="Q12715" s="1">
        <v>44846</v>
      </c>
      <c r="R12715" t="s">
        <v>27253</v>
      </c>
      <c r="S12715" t="s">
        <v>27254</v>
      </c>
      <c r="T12715" t="s">
        <v>27265</v>
      </c>
    </row>
    <row r="12716" spans="1:20" x14ac:dyDescent="0.3">
      <c r="A12716" t="str">
        <f>"0611864190050"</f>
        <v>0611864190050</v>
      </c>
      <c r="B12716" t="str">
        <f>"CE0541"</f>
        <v>CE0541</v>
      </c>
      <c r="C12716" t="s">
        <v>51836</v>
      </c>
      <c r="D12716" t="s">
        <v>27923</v>
      </c>
      <c r="E12716" t="str">
        <f t="shared" si="198"/>
        <v>001390</v>
      </c>
      <c r="F12716" t="s">
        <v>27246</v>
      </c>
      <c r="G12716" t="s">
        <v>27247</v>
      </c>
      <c r="H12716" t="s">
        <v>27248</v>
      </c>
      <c r="I12716" t="s">
        <v>51837</v>
      </c>
      <c r="J12716" t="s">
        <v>25441</v>
      </c>
      <c r="L12716" t="s">
        <v>27250</v>
      </c>
      <c r="M12716" t="s">
        <v>27251</v>
      </c>
      <c r="N12716" t="s">
        <v>27252</v>
      </c>
      <c r="P12716" t="s">
        <v>27925</v>
      </c>
      <c r="Q12716" s="1">
        <v>44846</v>
      </c>
      <c r="R12716" t="s">
        <v>27253</v>
      </c>
      <c r="S12716" t="s">
        <v>27254</v>
      </c>
      <c r="T12716" t="s">
        <v>27265</v>
      </c>
    </row>
    <row r="12717" spans="1:20" x14ac:dyDescent="0.3">
      <c r="A12717" t="str">
        <f>"0611864191050"</f>
        <v>0611864191050</v>
      </c>
      <c r="B12717" t="str">
        <f>"CE0539"</f>
        <v>CE0539</v>
      </c>
      <c r="C12717" t="s">
        <v>51838</v>
      </c>
      <c r="D12717" t="s">
        <v>27923</v>
      </c>
      <c r="E12717" t="str">
        <f t="shared" si="198"/>
        <v>001390</v>
      </c>
      <c r="F12717" t="s">
        <v>27246</v>
      </c>
      <c r="G12717" t="s">
        <v>27247</v>
      </c>
      <c r="H12717" t="s">
        <v>27248</v>
      </c>
      <c r="I12717" t="s">
        <v>51839</v>
      </c>
      <c r="J12717" t="s">
        <v>25443</v>
      </c>
      <c r="L12717" t="s">
        <v>27250</v>
      </c>
      <c r="M12717" t="s">
        <v>27251</v>
      </c>
      <c r="N12717" t="s">
        <v>27252</v>
      </c>
      <c r="P12717" t="s">
        <v>27925</v>
      </c>
      <c r="Q12717" s="1">
        <v>44846</v>
      </c>
      <c r="R12717" t="s">
        <v>27253</v>
      </c>
      <c r="S12717" t="s">
        <v>27254</v>
      </c>
      <c r="T12717" t="s">
        <v>27265</v>
      </c>
    </row>
    <row r="12718" spans="1:20" x14ac:dyDescent="0.3">
      <c r="A12718" t="str">
        <f>"0611864192050"</f>
        <v>0611864192050</v>
      </c>
      <c r="B12718" t="str">
        <f>"CE1621"</f>
        <v>CE1621</v>
      </c>
      <c r="C12718" t="s">
        <v>51840</v>
      </c>
      <c r="D12718" t="s">
        <v>27923</v>
      </c>
      <c r="E12718" t="str">
        <f t="shared" si="198"/>
        <v>001390</v>
      </c>
      <c r="F12718" t="s">
        <v>27246</v>
      </c>
      <c r="G12718" t="s">
        <v>27247</v>
      </c>
      <c r="H12718" t="s">
        <v>27248</v>
      </c>
      <c r="I12718" t="s">
        <v>51841</v>
      </c>
      <c r="J12718" t="s">
        <v>25445</v>
      </c>
      <c r="L12718" t="s">
        <v>27250</v>
      </c>
      <c r="M12718" t="s">
        <v>27251</v>
      </c>
      <c r="N12718" t="s">
        <v>27252</v>
      </c>
      <c r="P12718" t="s">
        <v>27925</v>
      </c>
      <c r="Q12718" s="1">
        <v>44846</v>
      </c>
      <c r="R12718" t="s">
        <v>27253</v>
      </c>
      <c r="S12718" t="s">
        <v>27254</v>
      </c>
      <c r="T12718" t="s">
        <v>27265</v>
      </c>
    </row>
    <row r="12719" spans="1:20" x14ac:dyDescent="0.3">
      <c r="A12719" t="str">
        <f>"0611864193050"</f>
        <v>0611864193050</v>
      </c>
      <c r="B12719" t="str">
        <f>"CE0543"</f>
        <v>CE0543</v>
      </c>
      <c r="C12719" t="s">
        <v>51842</v>
      </c>
      <c r="D12719" t="s">
        <v>27923</v>
      </c>
      <c r="E12719" t="str">
        <f t="shared" si="198"/>
        <v>001390</v>
      </c>
      <c r="F12719" t="s">
        <v>27246</v>
      </c>
      <c r="G12719" t="s">
        <v>27247</v>
      </c>
      <c r="H12719" t="s">
        <v>27248</v>
      </c>
      <c r="I12719" t="s">
        <v>51843</v>
      </c>
      <c r="J12719" t="s">
        <v>25447</v>
      </c>
      <c r="L12719" t="s">
        <v>27250</v>
      </c>
      <c r="M12719" t="s">
        <v>27251</v>
      </c>
      <c r="N12719" t="s">
        <v>27252</v>
      </c>
      <c r="P12719" t="s">
        <v>27925</v>
      </c>
      <c r="Q12719" s="1">
        <v>44846</v>
      </c>
      <c r="R12719" t="s">
        <v>27253</v>
      </c>
      <c r="S12719" t="s">
        <v>27254</v>
      </c>
      <c r="T12719" t="s">
        <v>27265</v>
      </c>
    </row>
    <row r="12720" spans="1:20" x14ac:dyDescent="0.3">
      <c r="A12720" t="str">
        <f>"0611864194050"</f>
        <v>0611864194050</v>
      </c>
      <c r="B12720" t="str">
        <f>"CE1640"</f>
        <v>CE1640</v>
      </c>
      <c r="C12720" t="s">
        <v>51844</v>
      </c>
      <c r="D12720" t="s">
        <v>27923</v>
      </c>
      <c r="E12720" t="str">
        <f t="shared" si="198"/>
        <v>001390</v>
      </c>
      <c r="F12720" t="s">
        <v>27246</v>
      </c>
      <c r="G12720" t="s">
        <v>27247</v>
      </c>
      <c r="H12720" t="s">
        <v>27248</v>
      </c>
      <c r="I12720" t="s">
        <v>51845</v>
      </c>
      <c r="J12720" t="s">
        <v>25449</v>
      </c>
      <c r="L12720" t="s">
        <v>27250</v>
      </c>
      <c r="M12720" t="s">
        <v>27251</v>
      </c>
      <c r="N12720" t="s">
        <v>27252</v>
      </c>
      <c r="P12720" t="s">
        <v>27925</v>
      </c>
      <c r="Q12720" s="1">
        <v>44846</v>
      </c>
      <c r="R12720" t="s">
        <v>27253</v>
      </c>
      <c r="S12720" t="s">
        <v>27254</v>
      </c>
      <c r="T12720" t="s">
        <v>27265</v>
      </c>
    </row>
    <row r="12721" spans="1:20" x14ac:dyDescent="0.3">
      <c r="A12721" t="str">
        <f>"0611864195050"</f>
        <v>0611864195050</v>
      </c>
      <c r="B12721" t="str">
        <f>"CE0545"</f>
        <v>CE0545</v>
      </c>
      <c r="C12721" t="s">
        <v>51846</v>
      </c>
      <c r="D12721" t="s">
        <v>27923</v>
      </c>
      <c r="E12721" t="str">
        <f t="shared" si="198"/>
        <v>001390</v>
      </c>
      <c r="F12721" t="s">
        <v>27246</v>
      </c>
      <c r="G12721" t="s">
        <v>27247</v>
      </c>
      <c r="H12721" t="s">
        <v>27248</v>
      </c>
      <c r="I12721" t="s">
        <v>51847</v>
      </c>
      <c r="J12721" t="s">
        <v>25451</v>
      </c>
      <c r="L12721" t="s">
        <v>27250</v>
      </c>
      <c r="M12721" t="s">
        <v>27251</v>
      </c>
      <c r="N12721" t="s">
        <v>27252</v>
      </c>
      <c r="P12721" t="s">
        <v>27925</v>
      </c>
      <c r="Q12721" s="1">
        <v>44846</v>
      </c>
      <c r="R12721" t="s">
        <v>27253</v>
      </c>
      <c r="S12721" t="s">
        <v>27254</v>
      </c>
      <c r="T12721" t="s">
        <v>27265</v>
      </c>
    </row>
    <row r="12722" spans="1:20" x14ac:dyDescent="0.3">
      <c r="A12722" t="str">
        <f>"0611864196050"</f>
        <v>0611864196050</v>
      </c>
      <c r="B12722" t="str">
        <f>"CE1133"</f>
        <v>CE1133</v>
      </c>
      <c r="C12722" t="s">
        <v>51848</v>
      </c>
      <c r="D12722" t="s">
        <v>27923</v>
      </c>
      <c r="E12722" t="str">
        <f t="shared" si="198"/>
        <v>001390</v>
      </c>
      <c r="F12722" t="s">
        <v>27246</v>
      </c>
      <c r="G12722" t="s">
        <v>27247</v>
      </c>
      <c r="H12722" t="s">
        <v>27248</v>
      </c>
      <c r="I12722" t="s">
        <v>51849</v>
      </c>
      <c r="J12722" t="s">
        <v>25453</v>
      </c>
      <c r="L12722" t="s">
        <v>27250</v>
      </c>
      <c r="M12722" t="s">
        <v>27251</v>
      </c>
      <c r="N12722" t="s">
        <v>27252</v>
      </c>
      <c r="P12722" t="s">
        <v>27925</v>
      </c>
      <c r="Q12722" s="1">
        <v>44846</v>
      </c>
      <c r="R12722" t="s">
        <v>27253</v>
      </c>
      <c r="S12722" t="s">
        <v>27254</v>
      </c>
      <c r="T12722" t="s">
        <v>27265</v>
      </c>
    </row>
    <row r="12723" spans="1:20" x14ac:dyDescent="0.3">
      <c r="A12723" t="str">
        <f>"0611864197050"</f>
        <v>0611864197050</v>
      </c>
      <c r="B12723" t="str">
        <f>"CE0546"</f>
        <v>CE0546</v>
      </c>
      <c r="C12723" t="s">
        <v>51850</v>
      </c>
      <c r="D12723" t="s">
        <v>27923</v>
      </c>
      <c r="E12723" t="str">
        <f t="shared" si="198"/>
        <v>001390</v>
      </c>
      <c r="F12723" t="s">
        <v>27246</v>
      </c>
      <c r="G12723" t="s">
        <v>27247</v>
      </c>
      <c r="H12723" t="s">
        <v>27248</v>
      </c>
      <c r="I12723" t="s">
        <v>51851</v>
      </c>
      <c r="J12723" t="s">
        <v>25455</v>
      </c>
      <c r="L12723" t="s">
        <v>27250</v>
      </c>
      <c r="M12723" t="s">
        <v>27251</v>
      </c>
      <c r="N12723" t="s">
        <v>27252</v>
      </c>
      <c r="P12723" t="s">
        <v>27925</v>
      </c>
      <c r="Q12723" s="1">
        <v>44846</v>
      </c>
      <c r="R12723" t="s">
        <v>27253</v>
      </c>
      <c r="S12723" t="s">
        <v>27254</v>
      </c>
      <c r="T12723" t="s">
        <v>27265</v>
      </c>
    </row>
    <row r="12724" spans="1:20" x14ac:dyDescent="0.3">
      <c r="A12724" t="str">
        <f>"0611864198050"</f>
        <v>0611864198050</v>
      </c>
      <c r="B12724" t="str">
        <f>"CE1134"</f>
        <v>CE1134</v>
      </c>
      <c r="C12724" t="s">
        <v>51852</v>
      </c>
      <c r="D12724" t="s">
        <v>27923</v>
      </c>
      <c r="E12724" t="str">
        <f t="shared" si="198"/>
        <v>001390</v>
      </c>
      <c r="F12724" t="s">
        <v>27246</v>
      </c>
      <c r="G12724" t="s">
        <v>27247</v>
      </c>
      <c r="H12724" t="s">
        <v>27248</v>
      </c>
      <c r="I12724" t="s">
        <v>51853</v>
      </c>
      <c r="J12724" t="s">
        <v>25457</v>
      </c>
      <c r="L12724" t="s">
        <v>27250</v>
      </c>
      <c r="M12724" t="s">
        <v>27251</v>
      </c>
      <c r="N12724" t="s">
        <v>27252</v>
      </c>
      <c r="P12724" t="s">
        <v>27925</v>
      </c>
      <c r="Q12724" s="1">
        <v>44846</v>
      </c>
      <c r="R12724" t="s">
        <v>27253</v>
      </c>
      <c r="S12724" t="s">
        <v>27254</v>
      </c>
      <c r="T12724" t="s">
        <v>27265</v>
      </c>
    </row>
    <row r="12725" spans="1:20" x14ac:dyDescent="0.3">
      <c r="A12725" t="str">
        <f>"0611864199050"</f>
        <v>0611864199050</v>
      </c>
      <c r="B12725" t="str">
        <f>"CE0903"</f>
        <v>CE0903</v>
      </c>
      <c r="C12725" t="s">
        <v>51854</v>
      </c>
      <c r="D12725" t="s">
        <v>27923</v>
      </c>
      <c r="E12725" t="str">
        <f t="shared" si="198"/>
        <v>001390</v>
      </c>
      <c r="F12725" t="s">
        <v>27246</v>
      </c>
      <c r="G12725" t="s">
        <v>27247</v>
      </c>
      <c r="H12725" t="s">
        <v>27248</v>
      </c>
      <c r="I12725" t="s">
        <v>51855</v>
      </c>
      <c r="J12725" t="s">
        <v>25459</v>
      </c>
      <c r="L12725" t="s">
        <v>27250</v>
      </c>
      <c r="M12725" t="s">
        <v>27251</v>
      </c>
      <c r="N12725" t="s">
        <v>27252</v>
      </c>
      <c r="P12725" t="s">
        <v>27925</v>
      </c>
      <c r="Q12725" s="1">
        <v>44846</v>
      </c>
      <c r="R12725" t="s">
        <v>27253</v>
      </c>
      <c r="S12725" t="s">
        <v>27254</v>
      </c>
      <c r="T12725" t="s">
        <v>27265</v>
      </c>
    </row>
    <row r="12726" spans="1:20" x14ac:dyDescent="0.3">
      <c r="A12726" t="str">
        <f>"0611864200050"</f>
        <v>0611864200050</v>
      </c>
      <c r="B12726" t="str">
        <f>"CE1497"</f>
        <v>CE1497</v>
      </c>
      <c r="C12726" t="s">
        <v>51856</v>
      </c>
      <c r="D12726" t="s">
        <v>27923</v>
      </c>
      <c r="E12726" t="str">
        <f t="shared" si="198"/>
        <v>001390</v>
      </c>
      <c r="F12726" t="s">
        <v>27246</v>
      </c>
      <c r="G12726" t="s">
        <v>27247</v>
      </c>
      <c r="H12726" t="s">
        <v>27248</v>
      </c>
      <c r="I12726" t="s">
        <v>51857</v>
      </c>
      <c r="J12726" t="s">
        <v>25461</v>
      </c>
      <c r="L12726" t="s">
        <v>27250</v>
      </c>
      <c r="M12726" t="s">
        <v>27251</v>
      </c>
      <c r="N12726" t="s">
        <v>27252</v>
      </c>
      <c r="P12726" t="s">
        <v>27925</v>
      </c>
      <c r="Q12726" s="1">
        <v>44846</v>
      </c>
      <c r="R12726" t="s">
        <v>27253</v>
      </c>
      <c r="S12726" t="s">
        <v>27254</v>
      </c>
      <c r="T12726" t="s">
        <v>27265</v>
      </c>
    </row>
    <row r="12727" spans="1:20" x14ac:dyDescent="0.3">
      <c r="A12727" t="str">
        <f>"0611864201050"</f>
        <v>0611864201050</v>
      </c>
      <c r="B12727" t="str">
        <f>"CE0547"</f>
        <v>CE0547</v>
      </c>
      <c r="C12727" t="s">
        <v>51858</v>
      </c>
      <c r="D12727" t="s">
        <v>27923</v>
      </c>
      <c r="E12727" t="str">
        <f t="shared" si="198"/>
        <v>001390</v>
      </c>
      <c r="F12727" t="s">
        <v>27246</v>
      </c>
      <c r="G12727" t="s">
        <v>27247</v>
      </c>
      <c r="H12727" t="s">
        <v>27248</v>
      </c>
      <c r="I12727" t="s">
        <v>51859</v>
      </c>
      <c r="J12727" t="s">
        <v>25463</v>
      </c>
      <c r="L12727" t="s">
        <v>27250</v>
      </c>
      <c r="M12727" t="s">
        <v>27251</v>
      </c>
      <c r="N12727" t="s">
        <v>27252</v>
      </c>
      <c r="P12727" t="s">
        <v>27925</v>
      </c>
      <c r="Q12727" s="1">
        <v>44846</v>
      </c>
      <c r="R12727" t="s">
        <v>27253</v>
      </c>
      <c r="S12727" t="s">
        <v>27254</v>
      </c>
      <c r="T12727" t="s">
        <v>27265</v>
      </c>
    </row>
    <row r="12728" spans="1:20" x14ac:dyDescent="0.3">
      <c r="A12728" t="str">
        <f>"0611864202050"</f>
        <v>0611864202050</v>
      </c>
      <c r="B12728" t="str">
        <f>"CE0548"</f>
        <v>CE0548</v>
      </c>
      <c r="C12728" t="s">
        <v>51860</v>
      </c>
      <c r="D12728" t="s">
        <v>27923</v>
      </c>
      <c r="E12728" t="str">
        <f t="shared" si="198"/>
        <v>001390</v>
      </c>
      <c r="F12728" t="s">
        <v>27246</v>
      </c>
      <c r="G12728" t="s">
        <v>27247</v>
      </c>
      <c r="H12728" t="s">
        <v>27248</v>
      </c>
      <c r="I12728" t="s">
        <v>51861</v>
      </c>
      <c r="J12728" t="s">
        <v>25465</v>
      </c>
      <c r="L12728" t="s">
        <v>27250</v>
      </c>
      <c r="M12728" t="s">
        <v>27251</v>
      </c>
      <c r="N12728" t="s">
        <v>27252</v>
      </c>
      <c r="P12728" t="s">
        <v>27925</v>
      </c>
      <c r="Q12728" s="1">
        <v>44846</v>
      </c>
      <c r="R12728" t="s">
        <v>27253</v>
      </c>
      <c r="S12728" t="s">
        <v>27254</v>
      </c>
      <c r="T12728" t="s">
        <v>27265</v>
      </c>
    </row>
    <row r="12729" spans="1:20" x14ac:dyDescent="0.3">
      <c r="A12729" t="str">
        <f>"0611864203050"</f>
        <v>0611864203050</v>
      </c>
      <c r="B12729" t="str">
        <f>"CE0942"</f>
        <v>CE0942</v>
      </c>
      <c r="C12729" t="s">
        <v>51862</v>
      </c>
      <c r="D12729" t="s">
        <v>27923</v>
      </c>
      <c r="E12729" t="str">
        <f t="shared" si="198"/>
        <v>001390</v>
      </c>
      <c r="F12729" t="s">
        <v>27246</v>
      </c>
      <c r="G12729" t="s">
        <v>27247</v>
      </c>
      <c r="H12729" t="s">
        <v>27248</v>
      </c>
      <c r="I12729" t="s">
        <v>51863</v>
      </c>
      <c r="J12729" t="s">
        <v>25467</v>
      </c>
      <c r="L12729" t="s">
        <v>27250</v>
      </c>
      <c r="M12729" t="s">
        <v>27251</v>
      </c>
      <c r="N12729" t="s">
        <v>27252</v>
      </c>
      <c r="P12729" t="s">
        <v>27925</v>
      </c>
      <c r="Q12729" s="1">
        <v>44846</v>
      </c>
      <c r="R12729" t="s">
        <v>27253</v>
      </c>
      <c r="S12729" t="s">
        <v>27254</v>
      </c>
      <c r="T12729" t="s">
        <v>27265</v>
      </c>
    </row>
    <row r="12730" spans="1:20" x14ac:dyDescent="0.3">
      <c r="A12730" t="str">
        <f>"0611864204050"</f>
        <v>0611864204050</v>
      </c>
      <c r="B12730" t="str">
        <f>"CE0550"</f>
        <v>CE0550</v>
      </c>
      <c r="C12730" t="s">
        <v>51864</v>
      </c>
      <c r="D12730" t="s">
        <v>27923</v>
      </c>
      <c r="E12730" t="str">
        <f t="shared" si="198"/>
        <v>001390</v>
      </c>
      <c r="F12730" t="s">
        <v>27246</v>
      </c>
      <c r="G12730" t="s">
        <v>27247</v>
      </c>
      <c r="H12730" t="s">
        <v>27248</v>
      </c>
      <c r="I12730" t="s">
        <v>51865</v>
      </c>
      <c r="J12730" t="s">
        <v>25469</v>
      </c>
      <c r="L12730" t="s">
        <v>27250</v>
      </c>
      <c r="M12730" t="s">
        <v>27251</v>
      </c>
      <c r="N12730" t="s">
        <v>27252</v>
      </c>
      <c r="P12730" t="s">
        <v>27925</v>
      </c>
      <c r="Q12730" s="1">
        <v>44846</v>
      </c>
      <c r="R12730" t="s">
        <v>27253</v>
      </c>
      <c r="S12730" t="s">
        <v>27254</v>
      </c>
      <c r="T12730" t="s">
        <v>27265</v>
      </c>
    </row>
    <row r="12731" spans="1:20" x14ac:dyDescent="0.3">
      <c r="A12731" t="str">
        <f>"0611864205050"</f>
        <v>0611864205050</v>
      </c>
      <c r="B12731" t="str">
        <f>"CE1245"</f>
        <v>CE1245</v>
      </c>
      <c r="C12731" t="s">
        <v>51866</v>
      </c>
      <c r="D12731" t="s">
        <v>27923</v>
      </c>
      <c r="E12731" t="str">
        <f t="shared" si="198"/>
        <v>001390</v>
      </c>
      <c r="F12731" t="s">
        <v>27246</v>
      </c>
      <c r="G12731" t="s">
        <v>27247</v>
      </c>
      <c r="H12731" t="s">
        <v>27248</v>
      </c>
      <c r="I12731" t="s">
        <v>51867</v>
      </c>
      <c r="J12731" t="s">
        <v>25471</v>
      </c>
      <c r="L12731" t="s">
        <v>27250</v>
      </c>
      <c r="M12731" t="s">
        <v>27251</v>
      </c>
      <c r="N12731" t="s">
        <v>27252</v>
      </c>
      <c r="P12731" t="s">
        <v>27925</v>
      </c>
      <c r="Q12731" s="1">
        <v>44846</v>
      </c>
      <c r="R12731" t="s">
        <v>27253</v>
      </c>
      <c r="S12731" t="s">
        <v>27254</v>
      </c>
      <c r="T12731" t="s">
        <v>27265</v>
      </c>
    </row>
    <row r="12732" spans="1:20" x14ac:dyDescent="0.3">
      <c r="A12732" t="str">
        <f>"0611864206050"</f>
        <v>0611864206050</v>
      </c>
      <c r="B12732" t="str">
        <f>"CE0542"</f>
        <v>CE0542</v>
      </c>
      <c r="C12732" t="s">
        <v>51868</v>
      </c>
      <c r="D12732" t="s">
        <v>27923</v>
      </c>
      <c r="E12732" t="str">
        <f t="shared" si="198"/>
        <v>001390</v>
      </c>
      <c r="F12732" t="s">
        <v>27246</v>
      </c>
      <c r="G12732" t="s">
        <v>27247</v>
      </c>
      <c r="H12732" t="s">
        <v>27248</v>
      </c>
      <c r="I12732" t="s">
        <v>51869</v>
      </c>
      <c r="J12732" t="s">
        <v>25473</v>
      </c>
      <c r="L12732" t="s">
        <v>27250</v>
      </c>
      <c r="M12732" t="s">
        <v>27251</v>
      </c>
      <c r="N12732" t="s">
        <v>27252</v>
      </c>
      <c r="P12732" t="s">
        <v>27925</v>
      </c>
      <c r="Q12732" s="1">
        <v>44846</v>
      </c>
      <c r="R12732" t="s">
        <v>27253</v>
      </c>
      <c r="S12732" t="s">
        <v>27254</v>
      </c>
      <c r="T12732" t="s">
        <v>27265</v>
      </c>
    </row>
    <row r="12733" spans="1:20" x14ac:dyDescent="0.3">
      <c r="A12733" t="str">
        <f>"0611864207050"</f>
        <v>0611864207050</v>
      </c>
      <c r="B12733" t="str">
        <f>"CE1246"</f>
        <v>CE1246</v>
      </c>
      <c r="C12733" t="s">
        <v>51870</v>
      </c>
      <c r="D12733" t="s">
        <v>27923</v>
      </c>
      <c r="E12733" t="str">
        <f t="shared" si="198"/>
        <v>001390</v>
      </c>
      <c r="F12733" t="s">
        <v>27246</v>
      </c>
      <c r="G12733" t="s">
        <v>27247</v>
      </c>
      <c r="H12733" t="s">
        <v>27248</v>
      </c>
      <c r="I12733" t="s">
        <v>51871</v>
      </c>
      <c r="J12733" t="s">
        <v>25475</v>
      </c>
      <c r="L12733" t="s">
        <v>27250</v>
      </c>
      <c r="M12733" t="s">
        <v>27251</v>
      </c>
      <c r="N12733" t="s">
        <v>27252</v>
      </c>
      <c r="P12733" t="s">
        <v>27925</v>
      </c>
      <c r="Q12733" s="1">
        <v>44846</v>
      </c>
      <c r="R12733" t="s">
        <v>27253</v>
      </c>
      <c r="S12733" t="s">
        <v>27254</v>
      </c>
      <c r="T12733" t="s">
        <v>27265</v>
      </c>
    </row>
    <row r="12734" spans="1:20" x14ac:dyDescent="0.3">
      <c r="A12734" t="str">
        <f>"0611864208050"</f>
        <v>0611864208050</v>
      </c>
      <c r="B12734" t="str">
        <f>"CE1244"</f>
        <v>CE1244</v>
      </c>
      <c r="C12734" t="s">
        <v>51872</v>
      </c>
      <c r="D12734" t="s">
        <v>27923</v>
      </c>
      <c r="E12734" t="str">
        <f t="shared" si="198"/>
        <v>001390</v>
      </c>
      <c r="F12734" t="s">
        <v>27246</v>
      </c>
      <c r="G12734" t="s">
        <v>27247</v>
      </c>
      <c r="H12734" t="s">
        <v>27248</v>
      </c>
      <c r="I12734" t="s">
        <v>51873</v>
      </c>
      <c r="J12734" t="s">
        <v>25477</v>
      </c>
      <c r="L12734" t="s">
        <v>27250</v>
      </c>
      <c r="M12734" t="s">
        <v>27251</v>
      </c>
      <c r="N12734" t="s">
        <v>27252</v>
      </c>
      <c r="P12734" t="s">
        <v>27925</v>
      </c>
      <c r="Q12734" s="1">
        <v>44846</v>
      </c>
      <c r="R12734" t="s">
        <v>27253</v>
      </c>
      <c r="S12734" t="s">
        <v>27254</v>
      </c>
      <c r="T12734" t="s">
        <v>27265</v>
      </c>
    </row>
    <row r="12735" spans="1:20" x14ac:dyDescent="0.3">
      <c r="A12735" t="str">
        <f>"0611864209050"</f>
        <v>0611864209050</v>
      </c>
      <c r="B12735" t="str">
        <f>"CE1203"</f>
        <v>CE1203</v>
      </c>
      <c r="C12735" t="s">
        <v>51874</v>
      </c>
      <c r="D12735" t="s">
        <v>27923</v>
      </c>
      <c r="E12735" t="str">
        <f t="shared" si="198"/>
        <v>001390</v>
      </c>
      <c r="F12735" t="s">
        <v>27246</v>
      </c>
      <c r="G12735" t="s">
        <v>27247</v>
      </c>
      <c r="H12735" t="s">
        <v>27248</v>
      </c>
      <c r="I12735" t="s">
        <v>51875</v>
      </c>
      <c r="J12735" t="s">
        <v>25479</v>
      </c>
      <c r="L12735" t="s">
        <v>27250</v>
      </c>
      <c r="M12735" t="s">
        <v>27251</v>
      </c>
      <c r="N12735" t="s">
        <v>27252</v>
      </c>
      <c r="P12735" t="s">
        <v>27925</v>
      </c>
      <c r="Q12735" s="1">
        <v>44846</v>
      </c>
      <c r="R12735" t="s">
        <v>27253</v>
      </c>
      <c r="S12735" t="s">
        <v>27254</v>
      </c>
      <c r="T12735" t="s">
        <v>27265</v>
      </c>
    </row>
    <row r="12736" spans="1:20" x14ac:dyDescent="0.3">
      <c r="A12736" t="str">
        <f>"0611864210050"</f>
        <v>0611864210050</v>
      </c>
      <c r="B12736" t="str">
        <f>"CE0832"</f>
        <v>CE0832</v>
      </c>
      <c r="C12736" t="s">
        <v>51876</v>
      </c>
      <c r="D12736" t="s">
        <v>27923</v>
      </c>
      <c r="E12736" t="str">
        <f t="shared" si="198"/>
        <v>001390</v>
      </c>
      <c r="F12736" t="s">
        <v>27246</v>
      </c>
      <c r="G12736" t="s">
        <v>27247</v>
      </c>
      <c r="H12736" t="s">
        <v>27248</v>
      </c>
      <c r="I12736" t="s">
        <v>51877</v>
      </c>
      <c r="J12736" t="s">
        <v>25481</v>
      </c>
      <c r="L12736" t="s">
        <v>27250</v>
      </c>
      <c r="M12736" t="s">
        <v>27251</v>
      </c>
      <c r="N12736" t="s">
        <v>27252</v>
      </c>
      <c r="P12736" t="s">
        <v>27925</v>
      </c>
      <c r="Q12736" s="1">
        <v>44846</v>
      </c>
      <c r="R12736" t="s">
        <v>27253</v>
      </c>
      <c r="S12736" t="s">
        <v>27254</v>
      </c>
      <c r="T12736" t="s">
        <v>27265</v>
      </c>
    </row>
    <row r="12737" spans="1:20" x14ac:dyDescent="0.3">
      <c r="A12737" t="str">
        <f>"0611864211050"</f>
        <v>0611864211050</v>
      </c>
      <c r="B12737" t="str">
        <f>"CE0943"</f>
        <v>CE0943</v>
      </c>
      <c r="C12737" t="s">
        <v>51878</v>
      </c>
      <c r="D12737" t="s">
        <v>27923</v>
      </c>
      <c r="E12737" t="str">
        <f t="shared" si="198"/>
        <v>001390</v>
      </c>
      <c r="F12737" t="s">
        <v>27246</v>
      </c>
      <c r="G12737" t="s">
        <v>27247</v>
      </c>
      <c r="H12737" t="s">
        <v>27248</v>
      </c>
      <c r="I12737" t="s">
        <v>51879</v>
      </c>
      <c r="J12737" t="s">
        <v>25483</v>
      </c>
      <c r="L12737" t="s">
        <v>27250</v>
      </c>
      <c r="M12737" t="s">
        <v>27251</v>
      </c>
      <c r="N12737" t="s">
        <v>27252</v>
      </c>
      <c r="P12737" t="s">
        <v>27925</v>
      </c>
      <c r="Q12737" s="1">
        <v>44846</v>
      </c>
      <c r="R12737" t="s">
        <v>27253</v>
      </c>
      <c r="S12737" t="s">
        <v>27254</v>
      </c>
      <c r="T12737" t="s">
        <v>27265</v>
      </c>
    </row>
    <row r="12738" spans="1:20" x14ac:dyDescent="0.3">
      <c r="A12738" t="str">
        <f>"0611864212050"</f>
        <v>0611864212050</v>
      </c>
      <c r="B12738" t="str">
        <f>"CE1622"</f>
        <v>CE1622</v>
      </c>
      <c r="C12738" t="s">
        <v>51880</v>
      </c>
      <c r="D12738" t="s">
        <v>27923</v>
      </c>
      <c r="E12738" t="str">
        <f t="shared" ref="E12738:E12801" si="199">"001390"</f>
        <v>001390</v>
      </c>
      <c r="F12738" t="s">
        <v>27246</v>
      </c>
      <c r="G12738" t="s">
        <v>27247</v>
      </c>
      <c r="H12738" t="s">
        <v>27248</v>
      </c>
      <c r="I12738" t="s">
        <v>51881</v>
      </c>
      <c r="J12738" t="s">
        <v>25485</v>
      </c>
      <c r="L12738" t="s">
        <v>27250</v>
      </c>
      <c r="M12738" t="s">
        <v>27251</v>
      </c>
      <c r="N12738" t="s">
        <v>27252</v>
      </c>
      <c r="P12738" t="s">
        <v>27925</v>
      </c>
      <c r="Q12738" s="1">
        <v>44846</v>
      </c>
      <c r="R12738" t="s">
        <v>27253</v>
      </c>
      <c r="S12738" t="s">
        <v>27254</v>
      </c>
      <c r="T12738" t="s">
        <v>27265</v>
      </c>
    </row>
    <row r="12739" spans="1:20" x14ac:dyDescent="0.3">
      <c r="A12739" t="str">
        <f>"0611864213050"</f>
        <v>0611864213050</v>
      </c>
      <c r="B12739" t="str">
        <f>"CE0552"</f>
        <v>CE0552</v>
      </c>
      <c r="C12739" t="s">
        <v>51882</v>
      </c>
      <c r="D12739" t="s">
        <v>27923</v>
      </c>
      <c r="E12739" t="str">
        <f t="shared" si="199"/>
        <v>001390</v>
      </c>
      <c r="F12739" t="s">
        <v>27246</v>
      </c>
      <c r="G12739" t="s">
        <v>27247</v>
      </c>
      <c r="H12739" t="s">
        <v>27248</v>
      </c>
      <c r="I12739" t="s">
        <v>51883</v>
      </c>
      <c r="J12739" t="s">
        <v>25487</v>
      </c>
      <c r="L12739" t="s">
        <v>27250</v>
      </c>
      <c r="M12739" t="s">
        <v>27251</v>
      </c>
      <c r="N12739" t="s">
        <v>27252</v>
      </c>
      <c r="P12739" t="s">
        <v>27925</v>
      </c>
      <c r="Q12739" s="1">
        <v>44846</v>
      </c>
      <c r="R12739" t="s">
        <v>27253</v>
      </c>
      <c r="S12739" t="s">
        <v>27254</v>
      </c>
      <c r="T12739" t="s">
        <v>27265</v>
      </c>
    </row>
    <row r="12740" spans="1:20" x14ac:dyDescent="0.3">
      <c r="A12740" t="str">
        <f>"0611864214050"</f>
        <v>0611864214050</v>
      </c>
      <c r="B12740" t="str">
        <f>"CE0553"</f>
        <v>CE0553</v>
      </c>
      <c r="C12740" t="s">
        <v>51884</v>
      </c>
      <c r="D12740" t="s">
        <v>27923</v>
      </c>
      <c r="E12740" t="str">
        <f t="shared" si="199"/>
        <v>001390</v>
      </c>
      <c r="F12740" t="s">
        <v>27246</v>
      </c>
      <c r="G12740" t="s">
        <v>27247</v>
      </c>
      <c r="H12740" t="s">
        <v>27248</v>
      </c>
      <c r="I12740" t="s">
        <v>51885</v>
      </c>
      <c r="J12740" t="s">
        <v>25489</v>
      </c>
      <c r="L12740" t="s">
        <v>27250</v>
      </c>
      <c r="M12740" t="s">
        <v>27251</v>
      </c>
      <c r="N12740" t="s">
        <v>27252</v>
      </c>
      <c r="P12740" t="s">
        <v>27925</v>
      </c>
      <c r="Q12740" s="1">
        <v>44846</v>
      </c>
      <c r="R12740" t="s">
        <v>27253</v>
      </c>
      <c r="S12740" t="s">
        <v>27254</v>
      </c>
      <c r="T12740" t="s">
        <v>27265</v>
      </c>
    </row>
    <row r="12741" spans="1:20" x14ac:dyDescent="0.3">
      <c r="A12741" t="str">
        <f>"0611864215050"</f>
        <v>0611864215050</v>
      </c>
      <c r="B12741" t="str">
        <f>"CE0554"</f>
        <v>CE0554</v>
      </c>
      <c r="C12741" t="s">
        <v>51886</v>
      </c>
      <c r="D12741" t="s">
        <v>27923</v>
      </c>
      <c r="E12741" t="str">
        <f t="shared" si="199"/>
        <v>001390</v>
      </c>
      <c r="F12741" t="s">
        <v>27246</v>
      </c>
      <c r="G12741" t="s">
        <v>27247</v>
      </c>
      <c r="H12741" t="s">
        <v>27248</v>
      </c>
      <c r="I12741" t="s">
        <v>51887</v>
      </c>
      <c r="J12741" t="s">
        <v>25491</v>
      </c>
      <c r="L12741" t="s">
        <v>27250</v>
      </c>
      <c r="M12741" t="s">
        <v>27251</v>
      </c>
      <c r="N12741" t="s">
        <v>27252</v>
      </c>
      <c r="P12741" t="s">
        <v>27925</v>
      </c>
      <c r="Q12741" s="1">
        <v>44846</v>
      </c>
      <c r="R12741" t="s">
        <v>27253</v>
      </c>
      <c r="S12741" t="s">
        <v>27254</v>
      </c>
      <c r="T12741" t="s">
        <v>27265</v>
      </c>
    </row>
    <row r="12742" spans="1:20" x14ac:dyDescent="0.3">
      <c r="A12742" t="str">
        <f>"0611864216050"</f>
        <v>0611864216050</v>
      </c>
      <c r="B12742" t="str">
        <f>"CE1290"</f>
        <v>CE1290</v>
      </c>
      <c r="C12742" t="s">
        <v>51888</v>
      </c>
      <c r="D12742" t="s">
        <v>27923</v>
      </c>
      <c r="E12742" t="str">
        <f t="shared" si="199"/>
        <v>001390</v>
      </c>
      <c r="F12742" t="s">
        <v>27246</v>
      </c>
      <c r="G12742" t="s">
        <v>27247</v>
      </c>
      <c r="H12742" t="s">
        <v>27248</v>
      </c>
      <c r="I12742" t="s">
        <v>51889</v>
      </c>
      <c r="J12742" t="s">
        <v>25493</v>
      </c>
      <c r="L12742" t="s">
        <v>27250</v>
      </c>
      <c r="M12742" t="s">
        <v>27251</v>
      </c>
      <c r="N12742" t="s">
        <v>27252</v>
      </c>
      <c r="P12742" t="s">
        <v>27925</v>
      </c>
      <c r="Q12742" s="1">
        <v>44846</v>
      </c>
      <c r="R12742" t="s">
        <v>27253</v>
      </c>
      <c r="S12742" t="s">
        <v>27254</v>
      </c>
      <c r="T12742" t="s">
        <v>27265</v>
      </c>
    </row>
    <row r="12743" spans="1:20" x14ac:dyDescent="0.3">
      <c r="A12743" t="str">
        <f>"0611864217050"</f>
        <v>0611864217050</v>
      </c>
      <c r="B12743" t="str">
        <f>"CE0555"</f>
        <v>CE0555</v>
      </c>
      <c r="C12743" t="s">
        <v>51890</v>
      </c>
      <c r="D12743" t="s">
        <v>27923</v>
      </c>
      <c r="E12743" t="str">
        <f t="shared" si="199"/>
        <v>001390</v>
      </c>
      <c r="F12743" t="s">
        <v>27246</v>
      </c>
      <c r="G12743" t="s">
        <v>27247</v>
      </c>
      <c r="H12743" t="s">
        <v>27248</v>
      </c>
      <c r="I12743" t="s">
        <v>51891</v>
      </c>
      <c r="J12743" t="s">
        <v>25495</v>
      </c>
      <c r="L12743" t="s">
        <v>27250</v>
      </c>
      <c r="M12743" t="s">
        <v>27251</v>
      </c>
      <c r="N12743" t="s">
        <v>27252</v>
      </c>
      <c r="P12743" t="s">
        <v>27925</v>
      </c>
      <c r="Q12743" s="1">
        <v>44846</v>
      </c>
      <c r="R12743" t="s">
        <v>27253</v>
      </c>
      <c r="S12743" t="s">
        <v>27254</v>
      </c>
      <c r="T12743" t="s">
        <v>27265</v>
      </c>
    </row>
    <row r="12744" spans="1:20" x14ac:dyDescent="0.3">
      <c r="A12744" t="str">
        <f>"0611864218050"</f>
        <v>0611864218050</v>
      </c>
      <c r="B12744" t="str">
        <f>"CE1136"</f>
        <v>CE1136</v>
      </c>
      <c r="C12744" t="s">
        <v>51892</v>
      </c>
      <c r="D12744" t="s">
        <v>27923</v>
      </c>
      <c r="E12744" t="str">
        <f t="shared" si="199"/>
        <v>001390</v>
      </c>
      <c r="F12744" t="s">
        <v>27246</v>
      </c>
      <c r="G12744" t="s">
        <v>27247</v>
      </c>
      <c r="H12744" t="s">
        <v>27248</v>
      </c>
      <c r="I12744" t="s">
        <v>51893</v>
      </c>
      <c r="J12744" t="s">
        <v>25497</v>
      </c>
      <c r="L12744" t="s">
        <v>27250</v>
      </c>
      <c r="M12744" t="s">
        <v>27251</v>
      </c>
      <c r="N12744" t="s">
        <v>27252</v>
      </c>
      <c r="P12744" t="s">
        <v>27925</v>
      </c>
      <c r="Q12744" s="1">
        <v>44846</v>
      </c>
      <c r="R12744" t="s">
        <v>27253</v>
      </c>
      <c r="S12744" t="s">
        <v>27254</v>
      </c>
      <c r="T12744" t="s">
        <v>27265</v>
      </c>
    </row>
    <row r="12745" spans="1:20" x14ac:dyDescent="0.3">
      <c r="A12745" t="str">
        <f>"0611864219050"</f>
        <v>0611864219050</v>
      </c>
      <c r="B12745" t="str">
        <f>"CE1498"</f>
        <v>CE1498</v>
      </c>
      <c r="C12745" t="s">
        <v>51894</v>
      </c>
      <c r="D12745" t="s">
        <v>27923</v>
      </c>
      <c r="E12745" t="str">
        <f t="shared" si="199"/>
        <v>001390</v>
      </c>
      <c r="F12745" t="s">
        <v>27246</v>
      </c>
      <c r="G12745" t="s">
        <v>27247</v>
      </c>
      <c r="H12745" t="s">
        <v>27248</v>
      </c>
      <c r="I12745" t="s">
        <v>51895</v>
      </c>
      <c r="J12745" t="s">
        <v>25499</v>
      </c>
      <c r="L12745" t="s">
        <v>27250</v>
      </c>
      <c r="M12745" t="s">
        <v>27251</v>
      </c>
      <c r="N12745" t="s">
        <v>27252</v>
      </c>
      <c r="P12745" t="s">
        <v>27925</v>
      </c>
      <c r="Q12745" s="1">
        <v>44846</v>
      </c>
      <c r="R12745" t="s">
        <v>27253</v>
      </c>
      <c r="S12745" t="s">
        <v>27254</v>
      </c>
      <c r="T12745" t="s">
        <v>27265</v>
      </c>
    </row>
    <row r="12746" spans="1:20" x14ac:dyDescent="0.3">
      <c r="A12746" t="str">
        <f>"0611864220050"</f>
        <v>0611864220050</v>
      </c>
      <c r="B12746" t="str">
        <f>"CE1499"</f>
        <v>CE1499</v>
      </c>
      <c r="C12746" t="s">
        <v>51896</v>
      </c>
      <c r="D12746" t="s">
        <v>27923</v>
      </c>
      <c r="E12746" t="str">
        <f t="shared" si="199"/>
        <v>001390</v>
      </c>
      <c r="F12746" t="s">
        <v>27246</v>
      </c>
      <c r="G12746" t="s">
        <v>27247</v>
      </c>
      <c r="H12746" t="s">
        <v>27248</v>
      </c>
      <c r="I12746" t="s">
        <v>51897</v>
      </c>
      <c r="J12746" t="s">
        <v>25501</v>
      </c>
      <c r="L12746" t="s">
        <v>27250</v>
      </c>
      <c r="M12746" t="s">
        <v>27251</v>
      </c>
      <c r="N12746" t="s">
        <v>27252</v>
      </c>
      <c r="P12746" t="s">
        <v>27925</v>
      </c>
      <c r="Q12746" s="1">
        <v>44846</v>
      </c>
      <c r="R12746" t="s">
        <v>27253</v>
      </c>
      <c r="S12746" t="s">
        <v>27254</v>
      </c>
      <c r="T12746" t="s">
        <v>27265</v>
      </c>
    </row>
    <row r="12747" spans="1:20" x14ac:dyDescent="0.3">
      <c r="A12747" t="str">
        <f>"0611864221050"</f>
        <v>0611864221050</v>
      </c>
      <c r="B12747" t="str">
        <f>"CE0835"</f>
        <v>CE0835</v>
      </c>
      <c r="C12747" t="s">
        <v>51898</v>
      </c>
      <c r="D12747" t="s">
        <v>27923</v>
      </c>
      <c r="E12747" t="str">
        <f t="shared" si="199"/>
        <v>001390</v>
      </c>
      <c r="F12747" t="s">
        <v>27246</v>
      </c>
      <c r="G12747" t="s">
        <v>27247</v>
      </c>
      <c r="H12747" t="s">
        <v>27248</v>
      </c>
      <c r="I12747" t="s">
        <v>51899</v>
      </c>
      <c r="J12747" t="s">
        <v>25503</v>
      </c>
      <c r="L12747" t="s">
        <v>27250</v>
      </c>
      <c r="M12747" t="s">
        <v>27251</v>
      </c>
      <c r="N12747" t="s">
        <v>27252</v>
      </c>
      <c r="P12747" t="s">
        <v>27925</v>
      </c>
      <c r="Q12747" s="1">
        <v>44846</v>
      </c>
      <c r="R12747" t="s">
        <v>27253</v>
      </c>
      <c r="S12747" t="s">
        <v>27254</v>
      </c>
      <c r="T12747" t="s">
        <v>27265</v>
      </c>
    </row>
    <row r="12748" spans="1:20" x14ac:dyDescent="0.3">
      <c r="A12748" t="str">
        <f>"0611864222050"</f>
        <v>0611864222050</v>
      </c>
      <c r="B12748" t="str">
        <f>"CE0559"</f>
        <v>CE0559</v>
      </c>
      <c r="C12748" t="s">
        <v>51900</v>
      </c>
      <c r="D12748" t="s">
        <v>27923</v>
      </c>
      <c r="E12748" t="str">
        <f t="shared" si="199"/>
        <v>001390</v>
      </c>
      <c r="F12748" t="s">
        <v>27246</v>
      </c>
      <c r="G12748" t="s">
        <v>27247</v>
      </c>
      <c r="H12748" t="s">
        <v>27248</v>
      </c>
      <c r="I12748" t="s">
        <v>51901</v>
      </c>
      <c r="J12748" t="s">
        <v>25507</v>
      </c>
      <c r="L12748" t="s">
        <v>27250</v>
      </c>
      <c r="M12748" t="s">
        <v>27251</v>
      </c>
      <c r="N12748" t="s">
        <v>27252</v>
      </c>
      <c r="P12748" t="s">
        <v>27925</v>
      </c>
      <c r="Q12748" s="1">
        <v>44846</v>
      </c>
      <c r="R12748" t="s">
        <v>27253</v>
      </c>
      <c r="S12748" t="s">
        <v>27254</v>
      </c>
      <c r="T12748" t="s">
        <v>27265</v>
      </c>
    </row>
    <row r="12749" spans="1:20" x14ac:dyDescent="0.3">
      <c r="A12749" t="str">
        <f>"0611864223050"</f>
        <v>0611864223050</v>
      </c>
      <c r="B12749" t="str">
        <f>"CE1364"</f>
        <v>CE1364</v>
      </c>
      <c r="C12749" t="s">
        <v>51902</v>
      </c>
      <c r="D12749" t="s">
        <v>27923</v>
      </c>
      <c r="E12749" t="str">
        <f t="shared" si="199"/>
        <v>001390</v>
      </c>
      <c r="F12749" t="s">
        <v>27246</v>
      </c>
      <c r="G12749" t="s">
        <v>27247</v>
      </c>
      <c r="H12749" t="s">
        <v>27248</v>
      </c>
      <c r="I12749" t="s">
        <v>51903</v>
      </c>
      <c r="J12749" t="s">
        <v>25509</v>
      </c>
      <c r="L12749" t="s">
        <v>27250</v>
      </c>
      <c r="M12749" t="s">
        <v>27251</v>
      </c>
      <c r="N12749" t="s">
        <v>27252</v>
      </c>
      <c r="P12749" t="s">
        <v>27925</v>
      </c>
      <c r="Q12749" s="1">
        <v>44846</v>
      </c>
      <c r="R12749" t="s">
        <v>27253</v>
      </c>
      <c r="S12749" t="s">
        <v>27254</v>
      </c>
      <c r="T12749" t="s">
        <v>27265</v>
      </c>
    </row>
    <row r="12750" spans="1:20" x14ac:dyDescent="0.3">
      <c r="A12750" t="str">
        <f>"0611864224050"</f>
        <v>0611864224050</v>
      </c>
      <c r="B12750" t="str">
        <f>"CE1363"</f>
        <v>CE1363</v>
      </c>
      <c r="C12750" t="s">
        <v>51904</v>
      </c>
      <c r="D12750" t="s">
        <v>27923</v>
      </c>
      <c r="E12750" t="str">
        <f t="shared" si="199"/>
        <v>001390</v>
      </c>
      <c r="F12750" t="s">
        <v>27246</v>
      </c>
      <c r="G12750" t="s">
        <v>27247</v>
      </c>
      <c r="H12750" t="s">
        <v>27248</v>
      </c>
      <c r="I12750" t="s">
        <v>51905</v>
      </c>
      <c r="J12750" t="s">
        <v>25505</v>
      </c>
      <c r="L12750" t="s">
        <v>27250</v>
      </c>
      <c r="M12750" t="s">
        <v>27251</v>
      </c>
      <c r="N12750" t="s">
        <v>27252</v>
      </c>
      <c r="P12750" t="s">
        <v>27925</v>
      </c>
      <c r="Q12750" s="1">
        <v>44846</v>
      </c>
      <c r="R12750" t="s">
        <v>27253</v>
      </c>
      <c r="S12750" t="s">
        <v>27254</v>
      </c>
      <c r="T12750" t="s">
        <v>27265</v>
      </c>
    </row>
    <row r="12751" spans="1:20" x14ac:dyDescent="0.3">
      <c r="A12751" t="str">
        <f>"0611864225050"</f>
        <v>0611864225050</v>
      </c>
      <c r="B12751" t="str">
        <f>"CE0836"</f>
        <v>CE0836</v>
      </c>
      <c r="C12751" t="s">
        <v>51906</v>
      </c>
      <c r="D12751" t="s">
        <v>27923</v>
      </c>
      <c r="E12751" t="str">
        <f t="shared" si="199"/>
        <v>001390</v>
      </c>
      <c r="F12751" t="s">
        <v>27246</v>
      </c>
      <c r="G12751" t="s">
        <v>27247</v>
      </c>
      <c r="H12751" t="s">
        <v>27248</v>
      </c>
      <c r="I12751" t="s">
        <v>51907</v>
      </c>
      <c r="J12751" t="s">
        <v>25511</v>
      </c>
      <c r="L12751" t="s">
        <v>27250</v>
      </c>
      <c r="M12751" t="s">
        <v>27251</v>
      </c>
      <c r="N12751" t="s">
        <v>27252</v>
      </c>
      <c r="P12751" t="s">
        <v>27925</v>
      </c>
      <c r="Q12751" s="1">
        <v>44846</v>
      </c>
      <c r="R12751" t="s">
        <v>27253</v>
      </c>
      <c r="S12751" t="s">
        <v>27254</v>
      </c>
      <c r="T12751" t="s">
        <v>27265</v>
      </c>
    </row>
    <row r="12752" spans="1:20" x14ac:dyDescent="0.3">
      <c r="A12752" t="str">
        <f>"0611864226050"</f>
        <v>0611864226050</v>
      </c>
      <c r="B12752" t="str">
        <f>"CE0837"</f>
        <v>CE0837</v>
      </c>
      <c r="C12752" t="s">
        <v>51908</v>
      </c>
      <c r="D12752" t="s">
        <v>27923</v>
      </c>
      <c r="E12752" t="str">
        <f t="shared" si="199"/>
        <v>001390</v>
      </c>
      <c r="F12752" t="s">
        <v>27246</v>
      </c>
      <c r="G12752" t="s">
        <v>27247</v>
      </c>
      <c r="H12752" t="s">
        <v>27248</v>
      </c>
      <c r="I12752" t="s">
        <v>51909</v>
      </c>
      <c r="J12752" t="s">
        <v>25513</v>
      </c>
      <c r="L12752" t="s">
        <v>27250</v>
      </c>
      <c r="M12752" t="s">
        <v>27251</v>
      </c>
      <c r="N12752" t="s">
        <v>27252</v>
      </c>
      <c r="P12752" t="s">
        <v>27925</v>
      </c>
      <c r="Q12752" s="1">
        <v>44846</v>
      </c>
      <c r="R12752" t="s">
        <v>27253</v>
      </c>
      <c r="S12752" t="s">
        <v>27254</v>
      </c>
      <c r="T12752" t="s">
        <v>27265</v>
      </c>
    </row>
    <row r="12753" spans="1:20" x14ac:dyDescent="0.3">
      <c r="A12753" t="str">
        <f>"0611864227050"</f>
        <v>0611864227050</v>
      </c>
      <c r="B12753" t="str">
        <f>"CE0560"</f>
        <v>CE0560</v>
      </c>
      <c r="C12753" t="s">
        <v>51910</v>
      </c>
      <c r="D12753" t="s">
        <v>27923</v>
      </c>
      <c r="E12753" t="str">
        <f t="shared" si="199"/>
        <v>001390</v>
      </c>
      <c r="F12753" t="s">
        <v>27246</v>
      </c>
      <c r="G12753" t="s">
        <v>27247</v>
      </c>
      <c r="H12753" t="s">
        <v>27248</v>
      </c>
      <c r="I12753" t="s">
        <v>51911</v>
      </c>
      <c r="J12753" t="s">
        <v>25515</v>
      </c>
      <c r="L12753" t="s">
        <v>27250</v>
      </c>
      <c r="M12753" t="s">
        <v>27251</v>
      </c>
      <c r="N12753" t="s">
        <v>27252</v>
      </c>
      <c r="P12753" t="s">
        <v>27925</v>
      </c>
      <c r="Q12753" s="1">
        <v>44846</v>
      </c>
      <c r="R12753" t="s">
        <v>27253</v>
      </c>
      <c r="S12753" t="s">
        <v>27254</v>
      </c>
      <c r="T12753" t="s">
        <v>27265</v>
      </c>
    </row>
    <row r="12754" spans="1:20" x14ac:dyDescent="0.3">
      <c r="A12754" t="str">
        <f>"0611864228050"</f>
        <v>0611864228050</v>
      </c>
      <c r="B12754" t="str">
        <f>"CE1247"</f>
        <v>CE1247</v>
      </c>
      <c r="C12754" t="s">
        <v>51912</v>
      </c>
      <c r="D12754" t="s">
        <v>27923</v>
      </c>
      <c r="E12754" t="str">
        <f t="shared" si="199"/>
        <v>001390</v>
      </c>
      <c r="F12754" t="s">
        <v>27246</v>
      </c>
      <c r="G12754" t="s">
        <v>27247</v>
      </c>
      <c r="H12754" t="s">
        <v>27248</v>
      </c>
      <c r="I12754" t="s">
        <v>51913</v>
      </c>
      <c r="J12754" t="s">
        <v>25517</v>
      </c>
      <c r="L12754" t="s">
        <v>27250</v>
      </c>
      <c r="M12754" t="s">
        <v>27251</v>
      </c>
      <c r="N12754" t="s">
        <v>27252</v>
      </c>
      <c r="P12754" t="s">
        <v>27925</v>
      </c>
      <c r="Q12754" s="1">
        <v>44846</v>
      </c>
      <c r="R12754" t="s">
        <v>27253</v>
      </c>
      <c r="S12754" t="s">
        <v>27254</v>
      </c>
      <c r="T12754" t="s">
        <v>27265</v>
      </c>
    </row>
    <row r="12755" spans="1:20" x14ac:dyDescent="0.3">
      <c r="A12755" t="str">
        <f>"0611864229050"</f>
        <v>0611864229050</v>
      </c>
      <c r="B12755" t="str">
        <f>"CE1623"</f>
        <v>CE1623</v>
      </c>
      <c r="C12755" t="s">
        <v>51914</v>
      </c>
      <c r="D12755" t="s">
        <v>27923</v>
      </c>
      <c r="E12755" t="str">
        <f t="shared" si="199"/>
        <v>001390</v>
      </c>
      <c r="F12755" t="s">
        <v>27246</v>
      </c>
      <c r="G12755" t="s">
        <v>27247</v>
      </c>
      <c r="H12755" t="s">
        <v>27248</v>
      </c>
      <c r="I12755" t="s">
        <v>51915</v>
      </c>
      <c r="J12755" t="s">
        <v>25519</v>
      </c>
      <c r="L12755" t="s">
        <v>27250</v>
      </c>
      <c r="M12755" t="s">
        <v>27251</v>
      </c>
      <c r="N12755" t="s">
        <v>27252</v>
      </c>
      <c r="P12755" t="s">
        <v>27925</v>
      </c>
      <c r="Q12755" s="1">
        <v>44846</v>
      </c>
      <c r="R12755" t="s">
        <v>27253</v>
      </c>
      <c r="S12755" t="s">
        <v>27254</v>
      </c>
      <c r="T12755" t="s">
        <v>27265</v>
      </c>
    </row>
    <row r="12756" spans="1:20" x14ac:dyDescent="0.3">
      <c r="A12756" t="str">
        <f>"0611864230050"</f>
        <v>0611864230050</v>
      </c>
      <c r="B12756" t="str">
        <f>"CE1204"</f>
        <v>CE1204</v>
      </c>
      <c r="C12756" t="s">
        <v>51916</v>
      </c>
      <c r="D12756" t="s">
        <v>27923</v>
      </c>
      <c r="E12756" t="str">
        <f t="shared" si="199"/>
        <v>001390</v>
      </c>
      <c r="F12756" t="s">
        <v>27246</v>
      </c>
      <c r="G12756" t="s">
        <v>27247</v>
      </c>
      <c r="H12756" t="s">
        <v>27248</v>
      </c>
      <c r="I12756" t="s">
        <v>51917</v>
      </c>
      <c r="J12756" t="s">
        <v>25521</v>
      </c>
      <c r="L12756" t="s">
        <v>27250</v>
      </c>
      <c r="M12756" t="s">
        <v>27251</v>
      </c>
      <c r="N12756" t="s">
        <v>27252</v>
      </c>
      <c r="P12756" t="s">
        <v>27925</v>
      </c>
      <c r="Q12756" s="1">
        <v>44846</v>
      </c>
      <c r="R12756" t="s">
        <v>27253</v>
      </c>
      <c r="S12756" t="s">
        <v>27254</v>
      </c>
      <c r="T12756" t="s">
        <v>27265</v>
      </c>
    </row>
    <row r="12757" spans="1:20" x14ac:dyDescent="0.3">
      <c r="A12757" t="str">
        <f>"0611864231050"</f>
        <v>0611864231050</v>
      </c>
      <c r="B12757" t="str">
        <f>"CE1137"</f>
        <v>CE1137</v>
      </c>
      <c r="C12757" t="s">
        <v>51918</v>
      </c>
      <c r="D12757" t="s">
        <v>27923</v>
      </c>
      <c r="E12757" t="str">
        <f t="shared" si="199"/>
        <v>001390</v>
      </c>
      <c r="F12757" t="s">
        <v>27246</v>
      </c>
      <c r="G12757" t="s">
        <v>27247</v>
      </c>
      <c r="H12757" t="s">
        <v>27248</v>
      </c>
      <c r="I12757" t="s">
        <v>51919</v>
      </c>
      <c r="J12757" t="s">
        <v>25523</v>
      </c>
      <c r="L12757" t="s">
        <v>27250</v>
      </c>
      <c r="M12757" t="s">
        <v>27251</v>
      </c>
      <c r="N12757" t="s">
        <v>27252</v>
      </c>
      <c r="P12757" t="s">
        <v>27925</v>
      </c>
      <c r="Q12757" s="1">
        <v>44846</v>
      </c>
      <c r="R12757" t="s">
        <v>27253</v>
      </c>
      <c r="S12757" t="s">
        <v>27254</v>
      </c>
      <c r="T12757" t="s">
        <v>27265</v>
      </c>
    </row>
    <row r="12758" spans="1:20" x14ac:dyDescent="0.3">
      <c r="A12758" t="str">
        <f>"0611864232050"</f>
        <v>0611864232050</v>
      </c>
      <c r="B12758" t="str">
        <f>"CE1138"</f>
        <v>CE1138</v>
      </c>
      <c r="C12758" t="s">
        <v>51920</v>
      </c>
      <c r="D12758" t="s">
        <v>28556</v>
      </c>
      <c r="E12758" t="str">
        <f t="shared" si="199"/>
        <v>001390</v>
      </c>
      <c r="F12758" t="s">
        <v>27246</v>
      </c>
      <c r="G12758" t="s">
        <v>27247</v>
      </c>
      <c r="H12758" t="s">
        <v>27248</v>
      </c>
      <c r="I12758" t="s">
        <v>51921</v>
      </c>
      <c r="J12758" t="s">
        <v>25525</v>
      </c>
      <c r="L12758" t="s">
        <v>27250</v>
      </c>
      <c r="M12758" t="s">
        <v>27251</v>
      </c>
      <c r="N12758" t="s">
        <v>27252</v>
      </c>
      <c r="P12758" t="s">
        <v>27925</v>
      </c>
      <c r="Q12758" s="1">
        <v>44846</v>
      </c>
      <c r="R12758" t="s">
        <v>27253</v>
      </c>
      <c r="S12758" t="s">
        <v>27254</v>
      </c>
      <c r="T12758" t="s">
        <v>28378</v>
      </c>
    </row>
    <row r="12759" spans="1:20" x14ac:dyDescent="0.3">
      <c r="A12759" t="str">
        <f>"0611864233050"</f>
        <v>0611864233050</v>
      </c>
      <c r="B12759" t="str">
        <f>"CE1248"</f>
        <v>CE1248</v>
      </c>
      <c r="C12759" t="s">
        <v>51922</v>
      </c>
      <c r="D12759" t="s">
        <v>27923</v>
      </c>
      <c r="E12759" t="str">
        <f t="shared" si="199"/>
        <v>001390</v>
      </c>
      <c r="F12759" t="s">
        <v>27246</v>
      </c>
      <c r="G12759" t="s">
        <v>27247</v>
      </c>
      <c r="H12759" t="s">
        <v>27248</v>
      </c>
      <c r="I12759" t="s">
        <v>51923</v>
      </c>
      <c r="J12759" t="s">
        <v>25527</v>
      </c>
      <c r="L12759" t="s">
        <v>27250</v>
      </c>
      <c r="M12759" t="s">
        <v>27251</v>
      </c>
      <c r="N12759" t="s">
        <v>27252</v>
      </c>
      <c r="P12759" t="s">
        <v>27925</v>
      </c>
      <c r="Q12759" s="1">
        <v>44846</v>
      </c>
      <c r="R12759" t="s">
        <v>27253</v>
      </c>
      <c r="S12759" t="s">
        <v>27254</v>
      </c>
      <c r="T12759" t="s">
        <v>27265</v>
      </c>
    </row>
    <row r="12760" spans="1:20" x14ac:dyDescent="0.3">
      <c r="A12760" t="str">
        <f>"0611864234050"</f>
        <v>0611864234050</v>
      </c>
      <c r="B12760" t="str">
        <f>"CE1205"</f>
        <v>CE1205</v>
      </c>
      <c r="C12760" t="s">
        <v>51924</v>
      </c>
      <c r="D12760" t="s">
        <v>27923</v>
      </c>
      <c r="E12760" t="str">
        <f t="shared" si="199"/>
        <v>001390</v>
      </c>
      <c r="F12760" t="s">
        <v>27246</v>
      </c>
      <c r="G12760" t="s">
        <v>27247</v>
      </c>
      <c r="H12760" t="s">
        <v>27248</v>
      </c>
      <c r="I12760" t="s">
        <v>51925</v>
      </c>
      <c r="J12760" t="s">
        <v>25529</v>
      </c>
      <c r="L12760" t="s">
        <v>27250</v>
      </c>
      <c r="M12760" t="s">
        <v>27251</v>
      </c>
      <c r="N12760" t="s">
        <v>27252</v>
      </c>
      <c r="P12760" t="s">
        <v>27925</v>
      </c>
      <c r="Q12760" s="1">
        <v>44846</v>
      </c>
      <c r="R12760" t="s">
        <v>27253</v>
      </c>
      <c r="S12760" t="s">
        <v>27254</v>
      </c>
      <c r="T12760" t="s">
        <v>27265</v>
      </c>
    </row>
    <row r="12761" spans="1:20" x14ac:dyDescent="0.3">
      <c r="A12761" t="str">
        <f>"0611864235050"</f>
        <v>0611864235050</v>
      </c>
      <c r="B12761" t="str">
        <f>"CE0838"</f>
        <v>CE0838</v>
      </c>
      <c r="C12761" t="s">
        <v>51926</v>
      </c>
      <c r="D12761" t="s">
        <v>27923</v>
      </c>
      <c r="E12761" t="str">
        <f t="shared" si="199"/>
        <v>001390</v>
      </c>
      <c r="F12761" t="s">
        <v>27246</v>
      </c>
      <c r="G12761" t="s">
        <v>27247</v>
      </c>
      <c r="H12761" t="s">
        <v>27248</v>
      </c>
      <c r="I12761" t="s">
        <v>51927</v>
      </c>
      <c r="J12761" t="s">
        <v>25531</v>
      </c>
      <c r="L12761" t="s">
        <v>27250</v>
      </c>
      <c r="M12761" t="s">
        <v>27251</v>
      </c>
      <c r="N12761" t="s">
        <v>27252</v>
      </c>
      <c r="P12761" t="s">
        <v>27925</v>
      </c>
      <c r="Q12761" s="1">
        <v>44846</v>
      </c>
      <c r="R12761" t="s">
        <v>27253</v>
      </c>
      <c r="S12761" t="s">
        <v>27254</v>
      </c>
      <c r="T12761" t="s">
        <v>27265</v>
      </c>
    </row>
    <row r="12762" spans="1:20" x14ac:dyDescent="0.3">
      <c r="A12762" t="str">
        <f>"0611864236050"</f>
        <v>0611864236050</v>
      </c>
      <c r="B12762" t="str">
        <f>"CE0562"</f>
        <v>CE0562</v>
      </c>
      <c r="C12762" t="s">
        <v>51928</v>
      </c>
      <c r="D12762" t="s">
        <v>27923</v>
      </c>
      <c r="E12762" t="str">
        <f t="shared" si="199"/>
        <v>001390</v>
      </c>
      <c r="F12762" t="s">
        <v>27246</v>
      </c>
      <c r="G12762" t="s">
        <v>27247</v>
      </c>
      <c r="H12762" t="s">
        <v>27248</v>
      </c>
      <c r="I12762" t="s">
        <v>51929</v>
      </c>
      <c r="J12762" t="s">
        <v>25533</v>
      </c>
      <c r="L12762" t="s">
        <v>27250</v>
      </c>
      <c r="M12762" t="s">
        <v>27251</v>
      </c>
      <c r="N12762" t="s">
        <v>27252</v>
      </c>
      <c r="P12762" t="s">
        <v>27925</v>
      </c>
      <c r="Q12762" s="1">
        <v>44846</v>
      </c>
      <c r="R12762" t="s">
        <v>27253</v>
      </c>
      <c r="S12762" t="s">
        <v>27254</v>
      </c>
      <c r="T12762" t="s">
        <v>27265</v>
      </c>
    </row>
    <row r="12763" spans="1:20" x14ac:dyDescent="0.3">
      <c r="A12763" t="str">
        <f>"0611864237050"</f>
        <v>0611864237050</v>
      </c>
      <c r="B12763" t="str">
        <f>"CE0831"</f>
        <v>CE0831</v>
      </c>
      <c r="C12763" t="s">
        <v>51930</v>
      </c>
      <c r="D12763" t="s">
        <v>27923</v>
      </c>
      <c r="E12763" t="str">
        <f t="shared" si="199"/>
        <v>001390</v>
      </c>
      <c r="F12763" t="s">
        <v>27246</v>
      </c>
      <c r="G12763" t="s">
        <v>27247</v>
      </c>
      <c r="H12763" t="s">
        <v>27248</v>
      </c>
      <c r="I12763" t="s">
        <v>51931</v>
      </c>
      <c r="J12763" t="s">
        <v>25535</v>
      </c>
      <c r="L12763" t="s">
        <v>27250</v>
      </c>
      <c r="M12763" t="s">
        <v>27251</v>
      </c>
      <c r="N12763" t="s">
        <v>27252</v>
      </c>
      <c r="P12763" t="s">
        <v>27925</v>
      </c>
      <c r="Q12763" s="1">
        <v>44846</v>
      </c>
      <c r="R12763" t="s">
        <v>27253</v>
      </c>
      <c r="S12763" t="s">
        <v>27254</v>
      </c>
      <c r="T12763" t="s">
        <v>27265</v>
      </c>
    </row>
    <row r="12764" spans="1:20" x14ac:dyDescent="0.3">
      <c r="A12764" t="str">
        <f>"0611830672100"</f>
        <v>0611830672100</v>
      </c>
      <c r="B12764" t="str">
        <f>"LC9540"</f>
        <v>LC9540</v>
      </c>
      <c r="C12764" t="s">
        <v>51932</v>
      </c>
      <c r="D12764" t="s">
        <v>27245</v>
      </c>
      <c r="E12764" t="str">
        <f t="shared" si="199"/>
        <v>001390</v>
      </c>
      <c r="F12764" t="s">
        <v>27246</v>
      </c>
      <c r="G12764" t="s">
        <v>27247</v>
      </c>
      <c r="H12764" t="s">
        <v>27248</v>
      </c>
      <c r="I12764" t="s">
        <v>51933</v>
      </c>
      <c r="J12764" t="s">
        <v>25537</v>
      </c>
      <c r="L12764" t="s">
        <v>27250</v>
      </c>
      <c r="M12764" t="s">
        <v>27251</v>
      </c>
      <c r="N12764" t="s">
        <v>27252</v>
      </c>
      <c r="O12764">
        <v>100</v>
      </c>
      <c r="Q12764" s="1">
        <v>44538</v>
      </c>
      <c r="R12764" t="s">
        <v>27253</v>
      </c>
      <c r="S12764" t="s">
        <v>27254</v>
      </c>
      <c r="T12764" t="s">
        <v>27255</v>
      </c>
    </row>
    <row r="12765" spans="1:20" x14ac:dyDescent="0.3">
      <c r="A12765" t="str">
        <f>"0611830673025"</f>
        <v>0611830673025</v>
      </c>
      <c r="B12765" t="str">
        <f>"MC0967"</f>
        <v>MC0967</v>
      </c>
      <c r="C12765" t="s">
        <v>51932</v>
      </c>
      <c r="D12765" t="s">
        <v>27267</v>
      </c>
      <c r="E12765" t="str">
        <f t="shared" si="199"/>
        <v>001390</v>
      </c>
      <c r="F12765" t="s">
        <v>27246</v>
      </c>
      <c r="G12765" t="s">
        <v>27247</v>
      </c>
      <c r="H12765" t="s">
        <v>27248</v>
      </c>
      <c r="I12765" t="s">
        <v>51934</v>
      </c>
      <c r="J12765" t="s">
        <v>25539</v>
      </c>
      <c r="L12765" t="s">
        <v>27250</v>
      </c>
      <c r="M12765" t="s">
        <v>27251</v>
      </c>
      <c r="N12765" t="s">
        <v>27252</v>
      </c>
      <c r="Q12765" s="1">
        <v>44538</v>
      </c>
      <c r="R12765" t="s">
        <v>27253</v>
      </c>
      <c r="S12765" t="s">
        <v>27254</v>
      </c>
      <c r="T12765" t="s">
        <v>27269</v>
      </c>
    </row>
    <row r="12766" spans="1:20" x14ac:dyDescent="0.3">
      <c r="A12766" t="str">
        <f>"0611864238050"</f>
        <v>0611864238050</v>
      </c>
      <c r="B12766" t="str">
        <f>"CR3023"</f>
        <v>CR3023</v>
      </c>
      <c r="C12766" t="s">
        <v>51935</v>
      </c>
      <c r="D12766" t="s">
        <v>27263</v>
      </c>
      <c r="E12766" t="str">
        <f t="shared" si="199"/>
        <v>001390</v>
      </c>
      <c r="F12766" t="s">
        <v>27246</v>
      </c>
      <c r="G12766" t="s">
        <v>27247</v>
      </c>
      <c r="H12766" t="s">
        <v>27248</v>
      </c>
      <c r="I12766" t="s">
        <v>51936</v>
      </c>
      <c r="J12766" t="s">
        <v>25541</v>
      </c>
      <c r="L12766" t="s">
        <v>27250</v>
      </c>
      <c r="M12766" t="s">
        <v>27251</v>
      </c>
      <c r="N12766" t="s">
        <v>27252</v>
      </c>
      <c r="Q12766" s="1">
        <v>44846</v>
      </c>
      <c r="R12766" t="s">
        <v>27253</v>
      </c>
      <c r="S12766" t="s">
        <v>27254</v>
      </c>
      <c r="T12766" t="s">
        <v>27265</v>
      </c>
    </row>
    <row r="12767" spans="1:20" x14ac:dyDescent="0.3">
      <c r="A12767" t="str">
        <f>"0611864239050"</f>
        <v>0611864239050</v>
      </c>
      <c r="B12767" t="str">
        <f>"CR3395"</f>
        <v>CR3395</v>
      </c>
      <c r="C12767" t="s">
        <v>51937</v>
      </c>
      <c r="D12767" t="s">
        <v>27263</v>
      </c>
      <c r="E12767" t="str">
        <f t="shared" si="199"/>
        <v>001390</v>
      </c>
      <c r="F12767" t="s">
        <v>27246</v>
      </c>
      <c r="G12767" t="s">
        <v>27247</v>
      </c>
      <c r="H12767" t="s">
        <v>27248</v>
      </c>
      <c r="I12767" t="s">
        <v>51938</v>
      </c>
      <c r="J12767" t="s">
        <v>25543</v>
      </c>
      <c r="L12767" t="s">
        <v>27250</v>
      </c>
      <c r="M12767" t="s">
        <v>27251</v>
      </c>
      <c r="N12767" t="s">
        <v>27252</v>
      </c>
      <c r="Q12767" s="1">
        <v>44846</v>
      </c>
      <c r="R12767" t="s">
        <v>27253</v>
      </c>
      <c r="S12767" t="s">
        <v>27254</v>
      </c>
      <c r="T12767" t="s">
        <v>27265</v>
      </c>
    </row>
    <row r="12768" spans="1:20" x14ac:dyDescent="0.3">
      <c r="A12768" t="str">
        <f>"0611864240050"</f>
        <v>0611864240050</v>
      </c>
      <c r="B12768" t="str">
        <f>"CR3296"</f>
        <v>CR3296</v>
      </c>
      <c r="C12768" t="s">
        <v>51939</v>
      </c>
      <c r="D12768" t="s">
        <v>27263</v>
      </c>
      <c r="E12768" t="str">
        <f t="shared" si="199"/>
        <v>001390</v>
      </c>
      <c r="F12768" t="s">
        <v>27246</v>
      </c>
      <c r="G12768" t="s">
        <v>27247</v>
      </c>
      <c r="H12768" t="s">
        <v>27248</v>
      </c>
      <c r="I12768" t="s">
        <v>51940</v>
      </c>
      <c r="J12768" t="s">
        <v>25545</v>
      </c>
      <c r="L12768" t="s">
        <v>27250</v>
      </c>
      <c r="M12768" t="s">
        <v>27251</v>
      </c>
      <c r="N12768" t="s">
        <v>27252</v>
      </c>
      <c r="Q12768" s="1">
        <v>44846</v>
      </c>
      <c r="R12768" t="s">
        <v>27253</v>
      </c>
      <c r="S12768" t="s">
        <v>27254</v>
      </c>
      <c r="T12768" t="s">
        <v>27265</v>
      </c>
    </row>
    <row r="12769" spans="1:20" x14ac:dyDescent="0.3">
      <c r="A12769" t="str">
        <f>"0611864241050"</f>
        <v>0611864241050</v>
      </c>
      <c r="B12769" t="str">
        <f>"CR3582"</f>
        <v>CR3582</v>
      </c>
      <c r="C12769" t="s">
        <v>51941</v>
      </c>
      <c r="D12769" t="s">
        <v>27263</v>
      </c>
      <c r="E12769" t="str">
        <f t="shared" si="199"/>
        <v>001390</v>
      </c>
      <c r="F12769" t="s">
        <v>27246</v>
      </c>
      <c r="G12769" t="s">
        <v>27247</v>
      </c>
      <c r="H12769" t="s">
        <v>27248</v>
      </c>
      <c r="I12769" t="s">
        <v>51942</v>
      </c>
      <c r="J12769" t="s">
        <v>25547</v>
      </c>
      <c r="L12769" t="s">
        <v>27250</v>
      </c>
      <c r="M12769" t="s">
        <v>27251</v>
      </c>
      <c r="N12769" t="s">
        <v>27252</v>
      </c>
      <c r="Q12769" s="1">
        <v>44846</v>
      </c>
      <c r="R12769" t="s">
        <v>27253</v>
      </c>
      <c r="S12769" t="s">
        <v>27254</v>
      </c>
      <c r="T12769" t="s">
        <v>27265</v>
      </c>
    </row>
    <row r="12770" spans="1:20" x14ac:dyDescent="0.3">
      <c r="A12770" t="str">
        <f>"0611864242050"</f>
        <v>0611864242050</v>
      </c>
      <c r="B12770" t="str">
        <f>"CE0563"</f>
        <v>CE0563</v>
      </c>
      <c r="C12770" t="s">
        <v>51943</v>
      </c>
      <c r="D12770" t="s">
        <v>27923</v>
      </c>
      <c r="E12770" t="str">
        <f t="shared" si="199"/>
        <v>001390</v>
      </c>
      <c r="F12770" t="s">
        <v>27246</v>
      </c>
      <c r="G12770" t="s">
        <v>27247</v>
      </c>
      <c r="H12770" t="s">
        <v>27248</v>
      </c>
      <c r="I12770" t="s">
        <v>51944</v>
      </c>
      <c r="J12770" t="s">
        <v>25549</v>
      </c>
      <c r="L12770" t="s">
        <v>27250</v>
      </c>
      <c r="M12770" t="s">
        <v>27251</v>
      </c>
      <c r="N12770" t="s">
        <v>27252</v>
      </c>
      <c r="P12770" t="s">
        <v>27925</v>
      </c>
      <c r="Q12770" s="1">
        <v>44846</v>
      </c>
      <c r="R12770" t="s">
        <v>27253</v>
      </c>
      <c r="S12770" t="s">
        <v>27254</v>
      </c>
      <c r="T12770" t="s">
        <v>27265</v>
      </c>
    </row>
    <row r="12771" spans="1:20" x14ac:dyDescent="0.3">
      <c r="A12771" t="str">
        <f>"0611864243050"</f>
        <v>0611864243050</v>
      </c>
      <c r="B12771" t="str">
        <f>"CE0564"</f>
        <v>CE0564</v>
      </c>
      <c r="C12771" t="s">
        <v>51945</v>
      </c>
      <c r="D12771" t="s">
        <v>27923</v>
      </c>
      <c r="E12771" t="str">
        <f t="shared" si="199"/>
        <v>001390</v>
      </c>
      <c r="F12771" t="s">
        <v>27246</v>
      </c>
      <c r="G12771" t="s">
        <v>27247</v>
      </c>
      <c r="H12771" t="s">
        <v>27248</v>
      </c>
      <c r="I12771" t="s">
        <v>51946</v>
      </c>
      <c r="J12771" t="s">
        <v>25551</v>
      </c>
      <c r="L12771" t="s">
        <v>27250</v>
      </c>
      <c r="M12771" t="s">
        <v>27251</v>
      </c>
      <c r="N12771" t="s">
        <v>27252</v>
      </c>
      <c r="P12771" t="s">
        <v>27925</v>
      </c>
      <c r="Q12771" s="1">
        <v>44846</v>
      </c>
      <c r="R12771" t="s">
        <v>27253</v>
      </c>
      <c r="S12771" t="s">
        <v>27254</v>
      </c>
      <c r="T12771" t="s">
        <v>27265</v>
      </c>
    </row>
    <row r="12772" spans="1:20" x14ac:dyDescent="0.3">
      <c r="A12772" t="str">
        <f>"0611864244050"</f>
        <v>0611864244050</v>
      </c>
      <c r="B12772" t="str">
        <f>"CE0565"</f>
        <v>CE0565</v>
      </c>
      <c r="C12772" t="s">
        <v>51947</v>
      </c>
      <c r="D12772" t="s">
        <v>27923</v>
      </c>
      <c r="E12772" t="str">
        <f t="shared" si="199"/>
        <v>001390</v>
      </c>
      <c r="F12772" t="s">
        <v>27246</v>
      </c>
      <c r="G12772" t="s">
        <v>27247</v>
      </c>
      <c r="H12772" t="s">
        <v>27248</v>
      </c>
      <c r="I12772" t="s">
        <v>51948</v>
      </c>
      <c r="J12772" t="s">
        <v>25553</v>
      </c>
      <c r="L12772" t="s">
        <v>27250</v>
      </c>
      <c r="M12772" t="s">
        <v>27251</v>
      </c>
      <c r="N12772" t="s">
        <v>27252</v>
      </c>
      <c r="P12772" t="s">
        <v>27925</v>
      </c>
      <c r="Q12772" s="1">
        <v>44846</v>
      </c>
      <c r="R12772" t="s">
        <v>27253</v>
      </c>
      <c r="S12772" t="s">
        <v>27254</v>
      </c>
      <c r="T12772" t="s">
        <v>27265</v>
      </c>
    </row>
    <row r="12773" spans="1:20" x14ac:dyDescent="0.3">
      <c r="A12773" t="str">
        <f>"0611864245050"</f>
        <v>0611864245050</v>
      </c>
      <c r="B12773" t="str">
        <f>"CE0569"</f>
        <v>CE0569</v>
      </c>
      <c r="C12773" t="s">
        <v>51949</v>
      </c>
      <c r="D12773" t="s">
        <v>27923</v>
      </c>
      <c r="E12773" t="str">
        <f t="shared" si="199"/>
        <v>001390</v>
      </c>
      <c r="F12773" t="s">
        <v>27246</v>
      </c>
      <c r="G12773" t="s">
        <v>27247</v>
      </c>
      <c r="H12773" t="s">
        <v>27248</v>
      </c>
      <c r="I12773" t="s">
        <v>51950</v>
      </c>
      <c r="J12773" t="s">
        <v>25555</v>
      </c>
      <c r="L12773" t="s">
        <v>27250</v>
      </c>
      <c r="M12773" t="s">
        <v>27251</v>
      </c>
      <c r="N12773" t="s">
        <v>27252</v>
      </c>
      <c r="P12773" t="s">
        <v>27925</v>
      </c>
      <c r="Q12773" s="1">
        <v>44846</v>
      </c>
      <c r="R12773" t="s">
        <v>27253</v>
      </c>
      <c r="S12773" t="s">
        <v>27254</v>
      </c>
      <c r="T12773" t="s">
        <v>27265</v>
      </c>
    </row>
    <row r="12774" spans="1:20" x14ac:dyDescent="0.3">
      <c r="A12774" t="str">
        <f>"0611864246050"</f>
        <v>0611864246050</v>
      </c>
      <c r="B12774" t="str">
        <f>"CE0573"</f>
        <v>CE0573</v>
      </c>
      <c r="C12774" t="s">
        <v>51951</v>
      </c>
      <c r="D12774" t="s">
        <v>27923</v>
      </c>
      <c r="E12774" t="str">
        <f t="shared" si="199"/>
        <v>001390</v>
      </c>
      <c r="F12774" t="s">
        <v>27246</v>
      </c>
      <c r="G12774" t="s">
        <v>27247</v>
      </c>
      <c r="H12774" t="s">
        <v>27248</v>
      </c>
      <c r="I12774" t="s">
        <v>51952</v>
      </c>
      <c r="J12774" t="s">
        <v>25557</v>
      </c>
      <c r="L12774" t="s">
        <v>27250</v>
      </c>
      <c r="M12774" t="s">
        <v>27251</v>
      </c>
      <c r="N12774" t="s">
        <v>27252</v>
      </c>
      <c r="P12774" t="s">
        <v>27925</v>
      </c>
      <c r="Q12774" s="1">
        <v>44846</v>
      </c>
      <c r="R12774" t="s">
        <v>27253</v>
      </c>
      <c r="S12774" t="s">
        <v>27254</v>
      </c>
      <c r="T12774" t="s">
        <v>27265</v>
      </c>
    </row>
    <row r="12775" spans="1:20" x14ac:dyDescent="0.3">
      <c r="A12775" t="str">
        <f>"0611864247100"</f>
        <v>0611864247100</v>
      </c>
      <c r="B12775" t="str">
        <f>"LB9252"</f>
        <v>LB9252</v>
      </c>
      <c r="C12775" t="s">
        <v>51953</v>
      </c>
      <c r="D12775" t="s">
        <v>27245</v>
      </c>
      <c r="E12775" t="str">
        <f t="shared" si="199"/>
        <v>001390</v>
      </c>
      <c r="F12775" t="s">
        <v>27246</v>
      </c>
      <c r="G12775" t="s">
        <v>27247</v>
      </c>
      <c r="H12775" t="s">
        <v>27248</v>
      </c>
      <c r="I12775" t="s">
        <v>51954</v>
      </c>
      <c r="J12775" t="s">
        <v>25559</v>
      </c>
      <c r="L12775" t="s">
        <v>27250</v>
      </c>
      <c r="M12775" t="s">
        <v>27251</v>
      </c>
      <c r="N12775" t="s">
        <v>27252</v>
      </c>
      <c r="Q12775" s="1">
        <v>44846</v>
      </c>
      <c r="R12775" t="s">
        <v>27253</v>
      </c>
      <c r="S12775" t="s">
        <v>27254</v>
      </c>
      <c r="T12775" t="s">
        <v>27255</v>
      </c>
    </row>
    <row r="12776" spans="1:20" x14ac:dyDescent="0.3">
      <c r="A12776" t="str">
        <f>"0611839930100"</f>
        <v>0611839930100</v>
      </c>
      <c r="B12776" t="str">
        <f>"LK1778"</f>
        <v>LK1778</v>
      </c>
      <c r="C12776" t="s">
        <v>51955</v>
      </c>
      <c r="D12776" t="s">
        <v>28138</v>
      </c>
      <c r="E12776" t="str">
        <f t="shared" si="199"/>
        <v>001390</v>
      </c>
      <c r="F12776" t="s">
        <v>27246</v>
      </c>
      <c r="G12776" t="s">
        <v>27247</v>
      </c>
      <c r="H12776" t="s">
        <v>27248</v>
      </c>
      <c r="I12776" t="s">
        <v>51956</v>
      </c>
      <c r="J12776" t="s">
        <v>25561</v>
      </c>
      <c r="L12776" t="s">
        <v>27250</v>
      </c>
      <c r="M12776" t="s">
        <v>27251</v>
      </c>
      <c r="N12776" t="s">
        <v>27252</v>
      </c>
      <c r="P12776" t="s">
        <v>27925</v>
      </c>
      <c r="Q12776" s="1">
        <v>44538</v>
      </c>
      <c r="R12776" t="s">
        <v>27253</v>
      </c>
      <c r="S12776" t="s">
        <v>27254</v>
      </c>
      <c r="T12776" t="s">
        <v>27255</v>
      </c>
    </row>
    <row r="12777" spans="1:20" x14ac:dyDescent="0.3">
      <c r="A12777" t="str">
        <f>"0611839931100"</f>
        <v>0611839931100</v>
      </c>
      <c r="B12777" t="str">
        <f>"LK3048"</f>
        <v>LK3048</v>
      </c>
      <c r="C12777" t="s">
        <v>51957</v>
      </c>
      <c r="D12777" t="s">
        <v>28138</v>
      </c>
      <c r="E12777" t="str">
        <f t="shared" si="199"/>
        <v>001390</v>
      </c>
      <c r="F12777" t="s">
        <v>27246</v>
      </c>
      <c r="G12777" t="s">
        <v>27247</v>
      </c>
      <c r="H12777" t="s">
        <v>27248</v>
      </c>
      <c r="I12777" t="s">
        <v>51958</v>
      </c>
      <c r="J12777" t="s">
        <v>25563</v>
      </c>
      <c r="L12777" t="s">
        <v>27250</v>
      </c>
      <c r="M12777" t="s">
        <v>27251</v>
      </c>
      <c r="N12777" t="s">
        <v>27252</v>
      </c>
      <c r="P12777" t="s">
        <v>27925</v>
      </c>
      <c r="Q12777" s="1">
        <v>44538</v>
      </c>
      <c r="R12777" t="s">
        <v>27253</v>
      </c>
      <c r="S12777" t="s">
        <v>27254</v>
      </c>
      <c r="T12777" t="s">
        <v>27255</v>
      </c>
    </row>
    <row r="12778" spans="1:20" x14ac:dyDescent="0.3">
      <c r="A12778" t="str">
        <f>"0611839932100"</f>
        <v>0611839932100</v>
      </c>
      <c r="B12778" t="str">
        <f>"LB9253"</f>
        <v>LB9253</v>
      </c>
      <c r="C12778" t="s">
        <v>51959</v>
      </c>
      <c r="D12778" t="s">
        <v>28138</v>
      </c>
      <c r="E12778" t="str">
        <f t="shared" si="199"/>
        <v>001390</v>
      </c>
      <c r="F12778" t="s">
        <v>27246</v>
      </c>
      <c r="G12778" t="s">
        <v>27247</v>
      </c>
      <c r="H12778" t="s">
        <v>27248</v>
      </c>
      <c r="I12778" t="s">
        <v>51960</v>
      </c>
      <c r="J12778" t="s">
        <v>25565</v>
      </c>
      <c r="L12778" t="s">
        <v>27250</v>
      </c>
      <c r="M12778" t="s">
        <v>27251</v>
      </c>
      <c r="N12778" t="s">
        <v>27252</v>
      </c>
      <c r="P12778" t="s">
        <v>27925</v>
      </c>
      <c r="Q12778" s="1">
        <v>44538</v>
      </c>
      <c r="R12778" t="s">
        <v>27253</v>
      </c>
      <c r="S12778" t="s">
        <v>27254</v>
      </c>
      <c r="T12778" t="s">
        <v>27255</v>
      </c>
    </row>
    <row r="12779" spans="1:20" x14ac:dyDescent="0.3">
      <c r="A12779" t="str">
        <f>"0611839933100"</f>
        <v>0611839933100</v>
      </c>
      <c r="B12779" t="str">
        <f>"LB9254"</f>
        <v>LB9254</v>
      </c>
      <c r="C12779" t="s">
        <v>51961</v>
      </c>
      <c r="D12779" t="s">
        <v>28138</v>
      </c>
      <c r="E12779" t="str">
        <f t="shared" si="199"/>
        <v>001390</v>
      </c>
      <c r="F12779" t="s">
        <v>27246</v>
      </c>
      <c r="G12779" t="s">
        <v>27247</v>
      </c>
      <c r="H12779" t="s">
        <v>27248</v>
      </c>
      <c r="I12779" t="s">
        <v>51962</v>
      </c>
      <c r="J12779" t="s">
        <v>25567</v>
      </c>
      <c r="L12779" t="s">
        <v>27250</v>
      </c>
      <c r="M12779" t="s">
        <v>27251</v>
      </c>
      <c r="N12779" t="s">
        <v>27252</v>
      </c>
      <c r="P12779" t="s">
        <v>27925</v>
      </c>
      <c r="Q12779" s="1">
        <v>44538</v>
      </c>
      <c r="R12779" t="s">
        <v>27253</v>
      </c>
      <c r="S12779" t="s">
        <v>27254</v>
      </c>
      <c r="T12779" t="s">
        <v>27255</v>
      </c>
    </row>
    <row r="12780" spans="1:20" x14ac:dyDescent="0.3">
      <c r="A12780" t="str">
        <f>"0611839934100"</f>
        <v>0611839934100</v>
      </c>
      <c r="B12780" t="str">
        <f>"LB9210"</f>
        <v>LB9210</v>
      </c>
      <c r="C12780" t="s">
        <v>51963</v>
      </c>
      <c r="D12780" t="s">
        <v>28138</v>
      </c>
      <c r="E12780" t="str">
        <f t="shared" si="199"/>
        <v>001390</v>
      </c>
      <c r="F12780" t="s">
        <v>27246</v>
      </c>
      <c r="G12780" t="s">
        <v>27247</v>
      </c>
      <c r="H12780" t="s">
        <v>27248</v>
      </c>
      <c r="I12780" t="s">
        <v>51964</v>
      </c>
      <c r="J12780" t="s">
        <v>25569</v>
      </c>
      <c r="L12780" t="s">
        <v>27250</v>
      </c>
      <c r="M12780" t="s">
        <v>27251</v>
      </c>
      <c r="N12780" t="s">
        <v>27252</v>
      </c>
      <c r="P12780" t="s">
        <v>27925</v>
      </c>
      <c r="Q12780" s="1">
        <v>44538</v>
      </c>
      <c r="R12780" t="s">
        <v>27253</v>
      </c>
      <c r="S12780" t="s">
        <v>27254</v>
      </c>
      <c r="T12780" t="s">
        <v>27255</v>
      </c>
    </row>
    <row r="12781" spans="1:20" x14ac:dyDescent="0.3">
      <c r="A12781" t="str">
        <f>"0611839935100"</f>
        <v>0611839935100</v>
      </c>
      <c r="B12781" t="str">
        <f>"LK6461"</f>
        <v>LK6461</v>
      </c>
      <c r="C12781" t="s">
        <v>51965</v>
      </c>
      <c r="D12781" t="s">
        <v>28138</v>
      </c>
      <c r="E12781" t="str">
        <f t="shared" si="199"/>
        <v>001390</v>
      </c>
      <c r="F12781" t="s">
        <v>27246</v>
      </c>
      <c r="G12781" t="s">
        <v>27247</v>
      </c>
      <c r="H12781" t="s">
        <v>27248</v>
      </c>
      <c r="I12781" t="s">
        <v>51966</v>
      </c>
      <c r="J12781" t="s">
        <v>25571</v>
      </c>
      <c r="L12781" t="s">
        <v>27250</v>
      </c>
      <c r="M12781" t="s">
        <v>27251</v>
      </c>
      <c r="N12781" t="s">
        <v>27252</v>
      </c>
      <c r="P12781" t="s">
        <v>27925</v>
      </c>
      <c r="Q12781" s="1">
        <v>44538</v>
      </c>
      <c r="R12781" t="s">
        <v>27253</v>
      </c>
      <c r="S12781" t="s">
        <v>27254</v>
      </c>
      <c r="T12781" t="s">
        <v>27255</v>
      </c>
    </row>
    <row r="12782" spans="1:20" x14ac:dyDescent="0.3">
      <c r="A12782" t="str">
        <f>"0611839936100"</f>
        <v>0611839936100</v>
      </c>
      <c r="B12782" t="str">
        <f>"LK6299"</f>
        <v>LK6299</v>
      </c>
      <c r="C12782" t="s">
        <v>51967</v>
      </c>
      <c r="D12782" t="s">
        <v>28138</v>
      </c>
      <c r="E12782" t="str">
        <f t="shared" si="199"/>
        <v>001390</v>
      </c>
      <c r="F12782" t="s">
        <v>27246</v>
      </c>
      <c r="G12782" t="s">
        <v>27247</v>
      </c>
      <c r="H12782" t="s">
        <v>27248</v>
      </c>
      <c r="I12782" t="s">
        <v>51968</v>
      </c>
      <c r="J12782" t="s">
        <v>25573</v>
      </c>
      <c r="L12782" t="s">
        <v>27250</v>
      </c>
      <c r="M12782" t="s">
        <v>27251</v>
      </c>
      <c r="N12782" t="s">
        <v>27252</v>
      </c>
      <c r="P12782" t="s">
        <v>27925</v>
      </c>
      <c r="Q12782" s="1">
        <v>44538</v>
      </c>
      <c r="R12782" t="s">
        <v>27253</v>
      </c>
      <c r="S12782" t="s">
        <v>27254</v>
      </c>
      <c r="T12782" t="s">
        <v>27255</v>
      </c>
    </row>
    <row r="12783" spans="1:20" x14ac:dyDescent="0.3">
      <c r="A12783" t="str">
        <f>"0611839937100"</f>
        <v>0611839937100</v>
      </c>
      <c r="B12783" t="str">
        <f>"LK6301"</f>
        <v>LK6301</v>
      </c>
      <c r="C12783" t="s">
        <v>51969</v>
      </c>
      <c r="D12783" t="s">
        <v>28138</v>
      </c>
      <c r="E12783" t="str">
        <f t="shared" si="199"/>
        <v>001390</v>
      </c>
      <c r="F12783" t="s">
        <v>27246</v>
      </c>
      <c r="G12783" t="s">
        <v>27247</v>
      </c>
      <c r="H12783" t="s">
        <v>27248</v>
      </c>
      <c r="I12783" t="s">
        <v>51970</v>
      </c>
      <c r="J12783" t="s">
        <v>25575</v>
      </c>
      <c r="L12783" t="s">
        <v>27250</v>
      </c>
      <c r="M12783" t="s">
        <v>27251</v>
      </c>
      <c r="N12783" t="s">
        <v>27252</v>
      </c>
      <c r="P12783" t="s">
        <v>27925</v>
      </c>
      <c r="Q12783" s="1">
        <v>44538</v>
      </c>
      <c r="R12783" t="s">
        <v>27253</v>
      </c>
      <c r="S12783" t="s">
        <v>27254</v>
      </c>
      <c r="T12783" t="s">
        <v>27255</v>
      </c>
    </row>
    <row r="12784" spans="1:20" x14ac:dyDescent="0.3">
      <c r="A12784" t="str">
        <f>"0611839938100"</f>
        <v>0611839938100</v>
      </c>
      <c r="B12784" t="str">
        <f>"LK6302"</f>
        <v>LK6302</v>
      </c>
      <c r="C12784" t="s">
        <v>51971</v>
      </c>
      <c r="D12784" t="s">
        <v>28138</v>
      </c>
      <c r="E12784" t="str">
        <f t="shared" si="199"/>
        <v>001390</v>
      </c>
      <c r="F12784" t="s">
        <v>27246</v>
      </c>
      <c r="G12784" t="s">
        <v>27247</v>
      </c>
      <c r="H12784" t="s">
        <v>27248</v>
      </c>
      <c r="I12784" t="s">
        <v>51972</v>
      </c>
      <c r="J12784" t="s">
        <v>25577</v>
      </c>
      <c r="L12784" t="s">
        <v>27250</v>
      </c>
      <c r="M12784" t="s">
        <v>27251</v>
      </c>
      <c r="N12784" t="s">
        <v>27252</v>
      </c>
      <c r="P12784" t="s">
        <v>27925</v>
      </c>
      <c r="Q12784" s="1">
        <v>44538</v>
      </c>
      <c r="R12784" t="s">
        <v>27253</v>
      </c>
      <c r="S12784" t="s">
        <v>27254</v>
      </c>
      <c r="T12784" t="s">
        <v>27255</v>
      </c>
    </row>
    <row r="12785" spans="1:20" x14ac:dyDescent="0.3">
      <c r="A12785" t="str">
        <f>"0611839939100"</f>
        <v>0611839939100</v>
      </c>
      <c r="B12785" t="str">
        <f>"LK6462"</f>
        <v>LK6462</v>
      </c>
      <c r="C12785" t="s">
        <v>51973</v>
      </c>
      <c r="D12785" t="s">
        <v>28138</v>
      </c>
      <c r="E12785" t="str">
        <f t="shared" si="199"/>
        <v>001390</v>
      </c>
      <c r="F12785" t="s">
        <v>27246</v>
      </c>
      <c r="G12785" t="s">
        <v>27247</v>
      </c>
      <c r="H12785" t="s">
        <v>27248</v>
      </c>
      <c r="I12785" t="s">
        <v>51974</v>
      </c>
      <c r="J12785" t="s">
        <v>25579</v>
      </c>
      <c r="L12785" t="s">
        <v>27250</v>
      </c>
      <c r="M12785" t="s">
        <v>27251</v>
      </c>
      <c r="N12785" t="s">
        <v>27252</v>
      </c>
      <c r="P12785" t="s">
        <v>27925</v>
      </c>
      <c r="Q12785" s="1">
        <v>44538</v>
      </c>
      <c r="R12785" t="s">
        <v>27253</v>
      </c>
      <c r="S12785" t="s">
        <v>27254</v>
      </c>
      <c r="T12785" t="s">
        <v>27255</v>
      </c>
    </row>
    <row r="12786" spans="1:20" x14ac:dyDescent="0.3">
      <c r="A12786" t="str">
        <f>"0611839940100"</f>
        <v>0611839940100</v>
      </c>
      <c r="B12786" t="str">
        <f>"LK0425"</f>
        <v>LK0425</v>
      </c>
      <c r="C12786" t="s">
        <v>51975</v>
      </c>
      <c r="D12786" t="s">
        <v>28138</v>
      </c>
      <c r="E12786" t="str">
        <f t="shared" si="199"/>
        <v>001390</v>
      </c>
      <c r="F12786" t="s">
        <v>27246</v>
      </c>
      <c r="G12786" t="s">
        <v>27247</v>
      </c>
      <c r="H12786" t="s">
        <v>27248</v>
      </c>
      <c r="I12786" t="s">
        <v>51976</v>
      </c>
      <c r="J12786" t="s">
        <v>25581</v>
      </c>
      <c r="L12786" t="s">
        <v>27250</v>
      </c>
      <c r="M12786" t="s">
        <v>27251</v>
      </c>
      <c r="N12786" t="s">
        <v>27252</v>
      </c>
      <c r="P12786" t="s">
        <v>27925</v>
      </c>
      <c r="Q12786" s="1">
        <v>44538</v>
      </c>
      <c r="R12786" t="s">
        <v>27253</v>
      </c>
      <c r="S12786" t="s">
        <v>27254</v>
      </c>
      <c r="T12786" t="s">
        <v>27255</v>
      </c>
    </row>
    <row r="12787" spans="1:20" x14ac:dyDescent="0.3">
      <c r="A12787" t="str">
        <f>"0611839941100"</f>
        <v>0611839941100</v>
      </c>
      <c r="B12787" t="str">
        <f>"LK1779"</f>
        <v>LK1779</v>
      </c>
      <c r="C12787" t="s">
        <v>51977</v>
      </c>
      <c r="D12787" t="s">
        <v>28138</v>
      </c>
      <c r="E12787" t="str">
        <f t="shared" si="199"/>
        <v>001390</v>
      </c>
      <c r="F12787" t="s">
        <v>27246</v>
      </c>
      <c r="G12787" t="s">
        <v>27247</v>
      </c>
      <c r="H12787" t="s">
        <v>27248</v>
      </c>
      <c r="I12787" t="s">
        <v>51978</v>
      </c>
      <c r="J12787" t="s">
        <v>25583</v>
      </c>
      <c r="L12787" t="s">
        <v>27250</v>
      </c>
      <c r="M12787" t="s">
        <v>27251</v>
      </c>
      <c r="N12787" t="s">
        <v>27252</v>
      </c>
      <c r="P12787" t="s">
        <v>27925</v>
      </c>
      <c r="Q12787" s="1">
        <v>44538</v>
      </c>
      <c r="R12787" t="s">
        <v>27253</v>
      </c>
      <c r="S12787" t="s">
        <v>27254</v>
      </c>
      <c r="T12787" t="s">
        <v>27255</v>
      </c>
    </row>
    <row r="12788" spans="1:20" x14ac:dyDescent="0.3">
      <c r="A12788" t="str">
        <f>"0611839943100"</f>
        <v>0611839943100</v>
      </c>
      <c r="B12788" t="str">
        <f>"LK1410"</f>
        <v>LK1410</v>
      </c>
      <c r="C12788" t="s">
        <v>51979</v>
      </c>
      <c r="D12788" t="s">
        <v>28138</v>
      </c>
      <c r="E12788" t="str">
        <f t="shared" si="199"/>
        <v>001390</v>
      </c>
      <c r="F12788" t="s">
        <v>27246</v>
      </c>
      <c r="G12788" t="s">
        <v>27247</v>
      </c>
      <c r="H12788" t="s">
        <v>27248</v>
      </c>
      <c r="I12788" t="s">
        <v>51980</v>
      </c>
      <c r="J12788" t="s">
        <v>25585</v>
      </c>
      <c r="L12788" t="s">
        <v>27250</v>
      </c>
      <c r="M12788" t="s">
        <v>27251</v>
      </c>
      <c r="N12788" t="s">
        <v>27252</v>
      </c>
      <c r="P12788" t="s">
        <v>27925</v>
      </c>
      <c r="Q12788" s="1">
        <v>44538</v>
      </c>
      <c r="R12788" t="s">
        <v>27253</v>
      </c>
      <c r="S12788" t="s">
        <v>27254</v>
      </c>
      <c r="T12788" t="s">
        <v>27255</v>
      </c>
    </row>
    <row r="12789" spans="1:20" x14ac:dyDescent="0.3">
      <c r="A12789" t="str">
        <f>"0611839944100"</f>
        <v>0611839944100</v>
      </c>
      <c r="B12789" t="str">
        <f>"LB9183"</f>
        <v>LB9183</v>
      </c>
      <c r="C12789" t="s">
        <v>51981</v>
      </c>
      <c r="D12789" t="s">
        <v>28138</v>
      </c>
      <c r="E12789" t="str">
        <f t="shared" si="199"/>
        <v>001390</v>
      </c>
      <c r="F12789" t="s">
        <v>27246</v>
      </c>
      <c r="G12789" t="s">
        <v>27247</v>
      </c>
      <c r="H12789" t="s">
        <v>27248</v>
      </c>
      <c r="I12789" t="s">
        <v>51982</v>
      </c>
      <c r="J12789" t="s">
        <v>25587</v>
      </c>
      <c r="L12789" t="s">
        <v>27250</v>
      </c>
      <c r="M12789" t="s">
        <v>27251</v>
      </c>
      <c r="N12789" t="s">
        <v>27252</v>
      </c>
      <c r="P12789" t="s">
        <v>27925</v>
      </c>
      <c r="Q12789" s="1">
        <v>44538</v>
      </c>
      <c r="R12789" t="s">
        <v>27253</v>
      </c>
      <c r="S12789" t="s">
        <v>27254</v>
      </c>
      <c r="T12789" t="s">
        <v>27255</v>
      </c>
    </row>
    <row r="12790" spans="1:20" x14ac:dyDescent="0.3">
      <c r="A12790" t="str">
        <f>"0611839945100"</f>
        <v>0611839945100</v>
      </c>
      <c r="B12790" t="str">
        <f>"LB9212"</f>
        <v>LB9212</v>
      </c>
      <c r="C12790" t="s">
        <v>51983</v>
      </c>
      <c r="D12790" t="s">
        <v>28138</v>
      </c>
      <c r="E12790" t="str">
        <f t="shared" si="199"/>
        <v>001390</v>
      </c>
      <c r="F12790" t="s">
        <v>27246</v>
      </c>
      <c r="G12790" t="s">
        <v>27247</v>
      </c>
      <c r="H12790" t="s">
        <v>27248</v>
      </c>
      <c r="I12790" t="s">
        <v>51984</v>
      </c>
      <c r="J12790" t="s">
        <v>25589</v>
      </c>
      <c r="L12790" t="s">
        <v>27250</v>
      </c>
      <c r="M12790" t="s">
        <v>27251</v>
      </c>
      <c r="N12790" t="s">
        <v>27252</v>
      </c>
      <c r="P12790" t="s">
        <v>27925</v>
      </c>
      <c r="Q12790" s="1">
        <v>44538</v>
      </c>
      <c r="R12790" t="s">
        <v>27253</v>
      </c>
      <c r="S12790" t="s">
        <v>27254</v>
      </c>
      <c r="T12790" t="s">
        <v>27255</v>
      </c>
    </row>
    <row r="12791" spans="1:20" x14ac:dyDescent="0.3">
      <c r="A12791" t="str">
        <f>"0611839946100"</f>
        <v>0611839946100</v>
      </c>
      <c r="B12791" t="str">
        <f>"LK4231"</f>
        <v>LK4231</v>
      </c>
      <c r="C12791" t="s">
        <v>51985</v>
      </c>
      <c r="D12791" t="s">
        <v>28138</v>
      </c>
      <c r="E12791" t="str">
        <f t="shared" si="199"/>
        <v>001390</v>
      </c>
      <c r="F12791" t="s">
        <v>27246</v>
      </c>
      <c r="G12791" t="s">
        <v>27247</v>
      </c>
      <c r="H12791" t="s">
        <v>27248</v>
      </c>
      <c r="I12791" t="s">
        <v>51986</v>
      </c>
      <c r="J12791" t="s">
        <v>25591</v>
      </c>
      <c r="L12791" t="s">
        <v>27250</v>
      </c>
      <c r="M12791" t="s">
        <v>27251</v>
      </c>
      <c r="N12791" t="s">
        <v>27252</v>
      </c>
      <c r="P12791" t="s">
        <v>27925</v>
      </c>
      <c r="Q12791" s="1">
        <v>44538</v>
      </c>
      <c r="R12791" t="s">
        <v>27253</v>
      </c>
      <c r="S12791" t="s">
        <v>27254</v>
      </c>
      <c r="T12791" t="s">
        <v>27255</v>
      </c>
    </row>
    <row r="12792" spans="1:20" x14ac:dyDescent="0.3">
      <c r="A12792" t="str">
        <f>"0611839947100"</f>
        <v>0611839947100</v>
      </c>
      <c r="B12792" t="str">
        <f>"LB9213"</f>
        <v>LB9213</v>
      </c>
      <c r="C12792" t="s">
        <v>51987</v>
      </c>
      <c r="D12792" t="s">
        <v>28138</v>
      </c>
      <c r="E12792" t="str">
        <f t="shared" si="199"/>
        <v>001390</v>
      </c>
      <c r="F12792" t="s">
        <v>27246</v>
      </c>
      <c r="G12792" t="s">
        <v>27247</v>
      </c>
      <c r="H12792" t="s">
        <v>27248</v>
      </c>
      <c r="I12792" t="s">
        <v>51988</v>
      </c>
      <c r="J12792" t="s">
        <v>25593</v>
      </c>
      <c r="L12792" t="s">
        <v>27250</v>
      </c>
      <c r="M12792" t="s">
        <v>27251</v>
      </c>
      <c r="N12792" t="s">
        <v>27252</v>
      </c>
      <c r="P12792" t="s">
        <v>27925</v>
      </c>
      <c r="Q12792" s="1">
        <v>44538</v>
      </c>
      <c r="R12792" t="s">
        <v>27253</v>
      </c>
      <c r="S12792" t="s">
        <v>27254</v>
      </c>
      <c r="T12792" t="s">
        <v>27255</v>
      </c>
    </row>
    <row r="12793" spans="1:20" x14ac:dyDescent="0.3">
      <c r="A12793" t="str">
        <f>"0611839948100"</f>
        <v>0611839948100</v>
      </c>
      <c r="B12793" t="str">
        <f>"LB9214"</f>
        <v>LB9214</v>
      </c>
      <c r="C12793" t="s">
        <v>51989</v>
      </c>
      <c r="D12793" t="s">
        <v>28138</v>
      </c>
      <c r="E12793" t="str">
        <f t="shared" si="199"/>
        <v>001390</v>
      </c>
      <c r="F12793" t="s">
        <v>27246</v>
      </c>
      <c r="G12793" t="s">
        <v>27247</v>
      </c>
      <c r="H12793" t="s">
        <v>27248</v>
      </c>
      <c r="I12793" t="s">
        <v>51990</v>
      </c>
      <c r="J12793" t="s">
        <v>25595</v>
      </c>
      <c r="L12793" t="s">
        <v>27250</v>
      </c>
      <c r="M12793" t="s">
        <v>27251</v>
      </c>
      <c r="N12793" t="s">
        <v>27252</v>
      </c>
      <c r="P12793" t="s">
        <v>27925</v>
      </c>
      <c r="Q12793" s="1">
        <v>44538</v>
      </c>
      <c r="R12793" t="s">
        <v>27253</v>
      </c>
      <c r="S12793" t="s">
        <v>27254</v>
      </c>
      <c r="T12793" t="s">
        <v>27255</v>
      </c>
    </row>
    <row r="12794" spans="1:20" x14ac:dyDescent="0.3">
      <c r="A12794" t="str">
        <f>"0611839949100"</f>
        <v>0611839949100</v>
      </c>
      <c r="B12794" t="str">
        <f>"LK1411"</f>
        <v>LK1411</v>
      </c>
      <c r="C12794" t="s">
        <v>51991</v>
      </c>
      <c r="D12794" t="s">
        <v>28138</v>
      </c>
      <c r="E12794" t="str">
        <f t="shared" si="199"/>
        <v>001390</v>
      </c>
      <c r="F12794" t="s">
        <v>27246</v>
      </c>
      <c r="G12794" t="s">
        <v>27247</v>
      </c>
      <c r="H12794" t="s">
        <v>27248</v>
      </c>
      <c r="I12794" t="s">
        <v>51992</v>
      </c>
      <c r="J12794" t="s">
        <v>25597</v>
      </c>
      <c r="L12794" t="s">
        <v>27250</v>
      </c>
      <c r="M12794" t="s">
        <v>27251</v>
      </c>
      <c r="N12794" t="s">
        <v>27252</v>
      </c>
      <c r="P12794" t="s">
        <v>27925</v>
      </c>
      <c r="Q12794" s="1">
        <v>44538</v>
      </c>
      <c r="R12794" t="s">
        <v>27253</v>
      </c>
      <c r="S12794" t="s">
        <v>27254</v>
      </c>
      <c r="T12794" t="s">
        <v>27255</v>
      </c>
    </row>
    <row r="12795" spans="1:20" x14ac:dyDescent="0.3">
      <c r="A12795" t="str">
        <f>"0611839950100"</f>
        <v>0611839950100</v>
      </c>
      <c r="B12795" t="str">
        <f>"LB9216"</f>
        <v>LB9216</v>
      </c>
      <c r="C12795" t="s">
        <v>51993</v>
      </c>
      <c r="D12795" t="s">
        <v>28138</v>
      </c>
      <c r="E12795" t="str">
        <f t="shared" si="199"/>
        <v>001390</v>
      </c>
      <c r="F12795" t="s">
        <v>27246</v>
      </c>
      <c r="G12795" t="s">
        <v>27247</v>
      </c>
      <c r="H12795" t="s">
        <v>27248</v>
      </c>
      <c r="I12795" t="s">
        <v>51994</v>
      </c>
      <c r="J12795" t="s">
        <v>25599</v>
      </c>
      <c r="L12795" t="s">
        <v>27250</v>
      </c>
      <c r="M12795" t="s">
        <v>27251</v>
      </c>
      <c r="N12795" t="s">
        <v>27252</v>
      </c>
      <c r="P12795" t="s">
        <v>27925</v>
      </c>
      <c r="Q12795" s="1">
        <v>44538</v>
      </c>
      <c r="R12795" t="s">
        <v>27253</v>
      </c>
      <c r="S12795" t="s">
        <v>27254</v>
      </c>
      <c r="T12795" t="s">
        <v>27255</v>
      </c>
    </row>
    <row r="12796" spans="1:20" x14ac:dyDescent="0.3">
      <c r="A12796" t="str">
        <f>"0611884492100"</f>
        <v>0611884492100</v>
      </c>
      <c r="B12796" t="str">
        <f>"LK7181"</f>
        <v>LK7181</v>
      </c>
      <c r="C12796" t="s">
        <v>51995</v>
      </c>
      <c r="D12796" t="s">
        <v>28138</v>
      </c>
      <c r="E12796" t="str">
        <f t="shared" si="199"/>
        <v>001390</v>
      </c>
      <c r="F12796" t="s">
        <v>27246</v>
      </c>
      <c r="G12796" t="s">
        <v>27247</v>
      </c>
      <c r="H12796" t="s">
        <v>27248</v>
      </c>
      <c r="I12796" t="s">
        <v>51996</v>
      </c>
      <c r="J12796" t="s">
        <v>25603</v>
      </c>
      <c r="L12796" t="s">
        <v>27430</v>
      </c>
      <c r="M12796" t="s">
        <v>27251</v>
      </c>
      <c r="N12796" t="s">
        <v>27252</v>
      </c>
      <c r="P12796" t="s">
        <v>27925</v>
      </c>
      <c r="Q12796" s="1">
        <v>45250</v>
      </c>
      <c r="R12796" t="s">
        <v>27253</v>
      </c>
      <c r="S12796" t="s">
        <v>27254</v>
      </c>
      <c r="T12796" t="s">
        <v>27255</v>
      </c>
    </row>
    <row r="12797" spans="1:20" x14ac:dyDescent="0.3">
      <c r="A12797" t="str">
        <f>"0611839952100"</f>
        <v>0611839952100</v>
      </c>
      <c r="B12797" t="str">
        <f>"LB9218"</f>
        <v>LB9218</v>
      </c>
      <c r="C12797" t="s">
        <v>51997</v>
      </c>
      <c r="D12797" t="s">
        <v>28138</v>
      </c>
      <c r="E12797" t="str">
        <f t="shared" si="199"/>
        <v>001390</v>
      </c>
      <c r="F12797" t="s">
        <v>27246</v>
      </c>
      <c r="G12797" t="s">
        <v>27247</v>
      </c>
      <c r="H12797" t="s">
        <v>27248</v>
      </c>
      <c r="I12797" t="s">
        <v>51998</v>
      </c>
      <c r="J12797" t="s">
        <v>25601</v>
      </c>
      <c r="L12797" t="s">
        <v>27250</v>
      </c>
      <c r="M12797" t="s">
        <v>27251</v>
      </c>
      <c r="N12797" t="s">
        <v>27252</v>
      </c>
      <c r="P12797" t="s">
        <v>27925</v>
      </c>
      <c r="Q12797" s="1">
        <v>44538</v>
      </c>
      <c r="R12797" t="s">
        <v>27253</v>
      </c>
      <c r="S12797" t="s">
        <v>27254</v>
      </c>
      <c r="T12797" t="s">
        <v>27255</v>
      </c>
    </row>
    <row r="12798" spans="1:20" x14ac:dyDescent="0.3">
      <c r="A12798" t="str">
        <f>"0611839953100"</f>
        <v>0611839953100</v>
      </c>
      <c r="B12798" t="str">
        <f>"LB9219"</f>
        <v>LB9219</v>
      </c>
      <c r="C12798" t="s">
        <v>51999</v>
      </c>
      <c r="D12798" t="s">
        <v>28138</v>
      </c>
      <c r="E12798" t="str">
        <f t="shared" si="199"/>
        <v>001390</v>
      </c>
      <c r="F12798" t="s">
        <v>27246</v>
      </c>
      <c r="G12798" t="s">
        <v>27247</v>
      </c>
      <c r="H12798" t="s">
        <v>27248</v>
      </c>
      <c r="I12798" t="s">
        <v>52000</v>
      </c>
      <c r="J12798" t="s">
        <v>25605</v>
      </c>
      <c r="L12798" t="s">
        <v>27250</v>
      </c>
      <c r="M12798" t="s">
        <v>27251</v>
      </c>
      <c r="N12798" t="s">
        <v>27252</v>
      </c>
      <c r="P12798" t="s">
        <v>27925</v>
      </c>
      <c r="Q12798" s="1">
        <v>44538</v>
      </c>
      <c r="R12798" t="s">
        <v>27253</v>
      </c>
      <c r="S12798" t="s">
        <v>27254</v>
      </c>
      <c r="T12798" t="s">
        <v>27255</v>
      </c>
    </row>
    <row r="12799" spans="1:20" x14ac:dyDescent="0.3">
      <c r="A12799" t="str">
        <f>"0611839954100"</f>
        <v>0611839954100</v>
      </c>
      <c r="B12799" t="str">
        <f>"LB9255"</f>
        <v>LB9255</v>
      </c>
      <c r="C12799" t="s">
        <v>52001</v>
      </c>
      <c r="D12799" t="s">
        <v>28138</v>
      </c>
      <c r="E12799" t="str">
        <f t="shared" si="199"/>
        <v>001390</v>
      </c>
      <c r="F12799" t="s">
        <v>27246</v>
      </c>
      <c r="G12799" t="s">
        <v>27247</v>
      </c>
      <c r="H12799" t="s">
        <v>27248</v>
      </c>
      <c r="I12799" t="s">
        <v>52002</v>
      </c>
      <c r="J12799" t="s">
        <v>25607</v>
      </c>
      <c r="L12799" t="s">
        <v>27250</v>
      </c>
      <c r="M12799" t="s">
        <v>27251</v>
      </c>
      <c r="N12799" t="s">
        <v>27252</v>
      </c>
      <c r="P12799" t="s">
        <v>27925</v>
      </c>
      <c r="Q12799" s="1">
        <v>44538</v>
      </c>
      <c r="R12799" t="s">
        <v>27253</v>
      </c>
      <c r="S12799" t="s">
        <v>27254</v>
      </c>
      <c r="T12799" t="s">
        <v>27255</v>
      </c>
    </row>
    <row r="12800" spans="1:20" x14ac:dyDescent="0.3">
      <c r="A12800" t="str">
        <f>"0611839955100"</f>
        <v>0611839955100</v>
      </c>
      <c r="B12800" t="str">
        <f>"LB9221"</f>
        <v>LB9221</v>
      </c>
      <c r="C12800" t="s">
        <v>52003</v>
      </c>
      <c r="D12800" t="s">
        <v>28138</v>
      </c>
      <c r="E12800" t="str">
        <f t="shared" si="199"/>
        <v>001390</v>
      </c>
      <c r="F12800" t="s">
        <v>27246</v>
      </c>
      <c r="G12800" t="s">
        <v>27247</v>
      </c>
      <c r="H12800" t="s">
        <v>27248</v>
      </c>
      <c r="I12800" t="s">
        <v>52004</v>
      </c>
      <c r="J12800" t="s">
        <v>25609</v>
      </c>
      <c r="L12800" t="s">
        <v>27250</v>
      </c>
      <c r="M12800" t="s">
        <v>27251</v>
      </c>
      <c r="N12800" t="s">
        <v>27252</v>
      </c>
      <c r="P12800" t="s">
        <v>27925</v>
      </c>
      <c r="Q12800" s="1">
        <v>44538</v>
      </c>
      <c r="R12800" t="s">
        <v>27253</v>
      </c>
      <c r="S12800" t="s">
        <v>27254</v>
      </c>
      <c r="T12800" t="s">
        <v>27255</v>
      </c>
    </row>
    <row r="12801" spans="1:20" x14ac:dyDescent="0.3">
      <c r="A12801" t="str">
        <f>"0611839956100"</f>
        <v>0611839956100</v>
      </c>
      <c r="B12801" t="str">
        <f>"LK0539"</f>
        <v>LK0539</v>
      </c>
      <c r="C12801" t="s">
        <v>52005</v>
      </c>
      <c r="D12801" t="s">
        <v>28138</v>
      </c>
      <c r="E12801" t="str">
        <f t="shared" si="199"/>
        <v>001390</v>
      </c>
      <c r="F12801" t="s">
        <v>27246</v>
      </c>
      <c r="G12801" t="s">
        <v>27247</v>
      </c>
      <c r="H12801" t="s">
        <v>27248</v>
      </c>
      <c r="I12801" t="s">
        <v>52006</v>
      </c>
      <c r="J12801" t="s">
        <v>25611</v>
      </c>
      <c r="L12801" t="s">
        <v>27250</v>
      </c>
      <c r="M12801" t="s">
        <v>27251</v>
      </c>
      <c r="N12801" t="s">
        <v>27252</v>
      </c>
      <c r="P12801" t="s">
        <v>27925</v>
      </c>
      <c r="Q12801" s="1">
        <v>44538</v>
      </c>
      <c r="R12801" t="s">
        <v>27253</v>
      </c>
      <c r="S12801" t="s">
        <v>27254</v>
      </c>
      <c r="T12801" t="s">
        <v>27255</v>
      </c>
    </row>
    <row r="12802" spans="1:20" x14ac:dyDescent="0.3">
      <c r="A12802" t="str">
        <f>"0611839957100"</f>
        <v>0611839957100</v>
      </c>
      <c r="B12802" t="str">
        <f>"LK6304"</f>
        <v>LK6304</v>
      </c>
      <c r="C12802" t="s">
        <v>52007</v>
      </c>
      <c r="D12802" t="s">
        <v>28138</v>
      </c>
      <c r="E12802" t="str">
        <f t="shared" ref="E12802:E12865" si="200">"001390"</f>
        <v>001390</v>
      </c>
      <c r="F12802" t="s">
        <v>27246</v>
      </c>
      <c r="G12802" t="s">
        <v>27247</v>
      </c>
      <c r="H12802" t="s">
        <v>27248</v>
      </c>
      <c r="I12802" t="s">
        <v>52008</v>
      </c>
      <c r="J12802" t="s">
        <v>25613</v>
      </c>
      <c r="L12802" t="s">
        <v>27250</v>
      </c>
      <c r="M12802" t="s">
        <v>27251</v>
      </c>
      <c r="N12802" t="s">
        <v>27252</v>
      </c>
      <c r="P12802" t="s">
        <v>27925</v>
      </c>
      <c r="Q12802" s="1">
        <v>44538</v>
      </c>
      <c r="R12802" t="s">
        <v>27253</v>
      </c>
      <c r="S12802" t="s">
        <v>27254</v>
      </c>
      <c r="T12802" t="s">
        <v>27255</v>
      </c>
    </row>
    <row r="12803" spans="1:20" x14ac:dyDescent="0.3">
      <c r="A12803" t="str">
        <f>"0611839958100"</f>
        <v>0611839958100</v>
      </c>
      <c r="B12803" t="str">
        <f>"LK6305"</f>
        <v>LK6305</v>
      </c>
      <c r="C12803" t="s">
        <v>52009</v>
      </c>
      <c r="D12803" t="s">
        <v>28138</v>
      </c>
      <c r="E12803" t="str">
        <f t="shared" si="200"/>
        <v>001390</v>
      </c>
      <c r="F12803" t="s">
        <v>27246</v>
      </c>
      <c r="G12803" t="s">
        <v>27247</v>
      </c>
      <c r="H12803" t="s">
        <v>27248</v>
      </c>
      <c r="I12803" t="s">
        <v>52010</v>
      </c>
      <c r="J12803" t="s">
        <v>25615</v>
      </c>
      <c r="L12803" t="s">
        <v>27250</v>
      </c>
      <c r="M12803" t="s">
        <v>27251</v>
      </c>
      <c r="N12803" t="s">
        <v>27252</v>
      </c>
      <c r="P12803" t="s">
        <v>27925</v>
      </c>
      <c r="Q12803" s="1">
        <v>44538</v>
      </c>
      <c r="R12803" t="s">
        <v>27253</v>
      </c>
      <c r="S12803" t="s">
        <v>27254</v>
      </c>
      <c r="T12803" t="s">
        <v>27255</v>
      </c>
    </row>
    <row r="12804" spans="1:20" x14ac:dyDescent="0.3">
      <c r="A12804" t="str">
        <f>"0611839959100"</f>
        <v>0611839959100</v>
      </c>
      <c r="B12804" t="str">
        <f>"LB9222"</f>
        <v>LB9222</v>
      </c>
      <c r="C12804" t="s">
        <v>52011</v>
      </c>
      <c r="D12804" t="s">
        <v>28138</v>
      </c>
      <c r="E12804" t="str">
        <f t="shared" si="200"/>
        <v>001390</v>
      </c>
      <c r="F12804" t="s">
        <v>27246</v>
      </c>
      <c r="G12804" t="s">
        <v>27247</v>
      </c>
      <c r="H12804" t="s">
        <v>27248</v>
      </c>
      <c r="I12804" t="s">
        <v>52012</v>
      </c>
      <c r="J12804" t="s">
        <v>25617</v>
      </c>
      <c r="L12804" t="s">
        <v>27250</v>
      </c>
      <c r="M12804" t="s">
        <v>27251</v>
      </c>
      <c r="N12804" t="s">
        <v>27252</v>
      </c>
      <c r="P12804" t="s">
        <v>27925</v>
      </c>
      <c r="Q12804" s="1">
        <v>44538</v>
      </c>
      <c r="R12804" t="s">
        <v>27253</v>
      </c>
      <c r="S12804" t="s">
        <v>27254</v>
      </c>
      <c r="T12804" t="s">
        <v>27255</v>
      </c>
    </row>
    <row r="12805" spans="1:20" x14ac:dyDescent="0.3">
      <c r="A12805" t="str">
        <f>"0611839960100"</f>
        <v>0611839960100</v>
      </c>
      <c r="B12805" t="str">
        <f>"LB9171"</f>
        <v>LB9171</v>
      </c>
      <c r="C12805" t="s">
        <v>52013</v>
      </c>
      <c r="D12805" t="s">
        <v>27245</v>
      </c>
      <c r="E12805" t="str">
        <f t="shared" si="200"/>
        <v>001390</v>
      </c>
      <c r="F12805" t="s">
        <v>27246</v>
      </c>
      <c r="G12805" t="s">
        <v>27247</v>
      </c>
      <c r="H12805" t="s">
        <v>27248</v>
      </c>
      <c r="I12805" t="s">
        <v>52014</v>
      </c>
      <c r="J12805" t="s">
        <v>25619</v>
      </c>
      <c r="L12805" t="s">
        <v>27250</v>
      </c>
      <c r="M12805" t="s">
        <v>27251</v>
      </c>
      <c r="N12805" t="s">
        <v>27252</v>
      </c>
      <c r="Q12805" s="1">
        <v>44538</v>
      </c>
      <c r="R12805" t="s">
        <v>27253</v>
      </c>
      <c r="S12805" t="s">
        <v>27254</v>
      </c>
      <c r="T12805" t="s">
        <v>27255</v>
      </c>
    </row>
    <row r="12806" spans="1:20" x14ac:dyDescent="0.3">
      <c r="A12806" t="str">
        <f>"0611839961100"</f>
        <v>0611839961100</v>
      </c>
      <c r="B12806" t="str">
        <f>"LB9223"</f>
        <v>LB9223</v>
      </c>
      <c r="C12806" t="s">
        <v>52015</v>
      </c>
      <c r="D12806" t="s">
        <v>27245</v>
      </c>
      <c r="E12806" t="str">
        <f t="shared" si="200"/>
        <v>001390</v>
      </c>
      <c r="F12806" t="s">
        <v>27246</v>
      </c>
      <c r="G12806" t="s">
        <v>27247</v>
      </c>
      <c r="H12806" t="s">
        <v>27248</v>
      </c>
      <c r="I12806" t="s">
        <v>52016</v>
      </c>
      <c r="J12806" t="s">
        <v>25621</v>
      </c>
      <c r="L12806" t="s">
        <v>27250</v>
      </c>
      <c r="M12806" t="s">
        <v>27251</v>
      </c>
      <c r="N12806" t="s">
        <v>27252</v>
      </c>
      <c r="Q12806" s="1">
        <v>44538</v>
      </c>
      <c r="R12806" t="s">
        <v>27253</v>
      </c>
      <c r="S12806" t="s">
        <v>27254</v>
      </c>
      <c r="T12806" t="s">
        <v>27255</v>
      </c>
    </row>
    <row r="12807" spans="1:20" x14ac:dyDescent="0.3">
      <c r="A12807" t="str">
        <f>"0611857165100"</f>
        <v>0611857165100</v>
      </c>
      <c r="B12807" t="str">
        <f>"LK7105"</f>
        <v>LK7105</v>
      </c>
      <c r="C12807" t="s">
        <v>52017</v>
      </c>
      <c r="D12807" t="s">
        <v>27245</v>
      </c>
      <c r="E12807" t="str">
        <f t="shared" si="200"/>
        <v>001390</v>
      </c>
      <c r="F12807" t="s">
        <v>27246</v>
      </c>
      <c r="G12807" t="s">
        <v>27247</v>
      </c>
      <c r="H12807" t="s">
        <v>27248</v>
      </c>
      <c r="I12807" t="s">
        <v>52018</v>
      </c>
      <c r="J12807" t="s">
        <v>25623</v>
      </c>
      <c r="L12807" t="s">
        <v>27250</v>
      </c>
      <c r="M12807" t="s">
        <v>27251</v>
      </c>
      <c r="N12807" t="s">
        <v>27252</v>
      </c>
      <c r="Q12807" s="1">
        <v>44812</v>
      </c>
      <c r="R12807" t="s">
        <v>27253</v>
      </c>
      <c r="S12807" t="s">
        <v>27254</v>
      </c>
      <c r="T12807" t="s">
        <v>27255</v>
      </c>
    </row>
    <row r="12808" spans="1:20" x14ac:dyDescent="0.3">
      <c r="A12808" t="str">
        <f>"0611839962100"</f>
        <v>0611839962100</v>
      </c>
      <c r="B12808" t="str">
        <f>"LB9227"</f>
        <v>LB9227</v>
      </c>
      <c r="C12808" t="s">
        <v>52019</v>
      </c>
      <c r="D12808" t="s">
        <v>27245</v>
      </c>
      <c r="E12808" t="str">
        <f t="shared" si="200"/>
        <v>001390</v>
      </c>
      <c r="F12808" t="s">
        <v>27246</v>
      </c>
      <c r="G12808" t="s">
        <v>27247</v>
      </c>
      <c r="H12808" t="s">
        <v>27248</v>
      </c>
      <c r="I12808" t="s">
        <v>52020</v>
      </c>
      <c r="J12808" t="s">
        <v>25625</v>
      </c>
      <c r="L12808" t="s">
        <v>27250</v>
      </c>
      <c r="M12808" t="s">
        <v>27251</v>
      </c>
      <c r="N12808" t="s">
        <v>27252</v>
      </c>
      <c r="Q12808" s="1">
        <v>44538</v>
      </c>
      <c r="R12808" t="s">
        <v>27253</v>
      </c>
      <c r="S12808" t="s">
        <v>27254</v>
      </c>
      <c r="T12808" t="s">
        <v>27255</v>
      </c>
    </row>
    <row r="12809" spans="1:20" x14ac:dyDescent="0.3">
      <c r="A12809" t="str">
        <f>"0611839963100"</f>
        <v>0611839963100</v>
      </c>
      <c r="B12809" t="str">
        <f>"LB9184"</f>
        <v>LB9184</v>
      </c>
      <c r="C12809" t="s">
        <v>52021</v>
      </c>
      <c r="D12809" t="s">
        <v>27245</v>
      </c>
      <c r="E12809" t="str">
        <f t="shared" si="200"/>
        <v>001390</v>
      </c>
      <c r="F12809" t="s">
        <v>27246</v>
      </c>
      <c r="G12809" t="s">
        <v>27247</v>
      </c>
      <c r="H12809" t="s">
        <v>27248</v>
      </c>
      <c r="I12809" t="s">
        <v>52022</v>
      </c>
      <c r="J12809" t="s">
        <v>25627</v>
      </c>
      <c r="L12809" t="s">
        <v>27250</v>
      </c>
      <c r="M12809" t="s">
        <v>27251</v>
      </c>
      <c r="N12809" t="s">
        <v>27252</v>
      </c>
      <c r="Q12809" s="1">
        <v>44538</v>
      </c>
      <c r="R12809" t="s">
        <v>27253</v>
      </c>
      <c r="S12809" t="s">
        <v>27254</v>
      </c>
      <c r="T12809" t="s">
        <v>27255</v>
      </c>
    </row>
    <row r="12810" spans="1:20" x14ac:dyDescent="0.3">
      <c r="A12810" t="str">
        <f>"0611839964100"</f>
        <v>0611839964100</v>
      </c>
      <c r="B12810" t="str">
        <f>"LK6560"</f>
        <v>LK6560</v>
      </c>
      <c r="C12810" t="s">
        <v>52023</v>
      </c>
      <c r="D12810" t="s">
        <v>27245</v>
      </c>
      <c r="E12810" t="str">
        <f t="shared" si="200"/>
        <v>001390</v>
      </c>
      <c r="F12810" t="s">
        <v>27246</v>
      </c>
      <c r="G12810" t="s">
        <v>27247</v>
      </c>
      <c r="H12810" t="s">
        <v>27248</v>
      </c>
      <c r="I12810" t="s">
        <v>52024</v>
      </c>
      <c r="J12810" t="s">
        <v>25631</v>
      </c>
      <c r="L12810" t="s">
        <v>27250</v>
      </c>
      <c r="M12810" t="s">
        <v>27251</v>
      </c>
      <c r="N12810" t="s">
        <v>27252</v>
      </c>
      <c r="Q12810" s="1">
        <v>44538</v>
      </c>
      <c r="R12810" t="s">
        <v>27253</v>
      </c>
      <c r="S12810" t="s">
        <v>27254</v>
      </c>
      <c r="T12810" t="s">
        <v>27255</v>
      </c>
    </row>
    <row r="12811" spans="1:20" x14ac:dyDescent="0.3">
      <c r="A12811" t="str">
        <f>"0611839965100"</f>
        <v>0611839965100</v>
      </c>
      <c r="B12811" t="str">
        <f>"LK3518"</f>
        <v>LK3518</v>
      </c>
      <c r="C12811" t="s">
        <v>52025</v>
      </c>
      <c r="D12811" t="s">
        <v>27245</v>
      </c>
      <c r="E12811" t="str">
        <f t="shared" si="200"/>
        <v>001390</v>
      </c>
      <c r="F12811" t="s">
        <v>27246</v>
      </c>
      <c r="G12811" t="s">
        <v>27247</v>
      </c>
      <c r="H12811" t="s">
        <v>27248</v>
      </c>
      <c r="I12811" t="s">
        <v>52026</v>
      </c>
      <c r="J12811" t="s">
        <v>25635</v>
      </c>
      <c r="L12811" t="s">
        <v>27250</v>
      </c>
      <c r="M12811" t="s">
        <v>27251</v>
      </c>
      <c r="N12811" t="s">
        <v>27252</v>
      </c>
      <c r="Q12811" s="1">
        <v>44538</v>
      </c>
      <c r="R12811" t="s">
        <v>27253</v>
      </c>
      <c r="S12811" t="s">
        <v>27254</v>
      </c>
      <c r="T12811" t="s">
        <v>27255</v>
      </c>
    </row>
    <row r="12812" spans="1:20" x14ac:dyDescent="0.3">
      <c r="A12812" t="str">
        <f>"0611839966100"</f>
        <v>0611839966100</v>
      </c>
      <c r="B12812" t="str">
        <f>"LK3517"</f>
        <v>LK3517</v>
      </c>
      <c r="C12812" t="s">
        <v>52027</v>
      </c>
      <c r="D12812" t="s">
        <v>27245</v>
      </c>
      <c r="E12812" t="str">
        <f t="shared" si="200"/>
        <v>001390</v>
      </c>
      <c r="F12812" t="s">
        <v>27246</v>
      </c>
      <c r="G12812" t="s">
        <v>27247</v>
      </c>
      <c r="H12812" t="s">
        <v>27248</v>
      </c>
      <c r="I12812" t="s">
        <v>52028</v>
      </c>
      <c r="J12812" t="s">
        <v>25633</v>
      </c>
      <c r="L12812" t="s">
        <v>27250</v>
      </c>
      <c r="M12812" t="s">
        <v>27251</v>
      </c>
      <c r="N12812" t="s">
        <v>27252</v>
      </c>
      <c r="Q12812" s="1">
        <v>44538</v>
      </c>
      <c r="R12812" t="s">
        <v>27253</v>
      </c>
      <c r="S12812" t="s">
        <v>27254</v>
      </c>
      <c r="T12812" t="s">
        <v>27255</v>
      </c>
    </row>
    <row r="12813" spans="1:20" x14ac:dyDescent="0.3">
      <c r="A12813" t="str">
        <f>"0611839967100"</f>
        <v>0611839967100</v>
      </c>
      <c r="B12813" t="str">
        <f>"LK3520"</f>
        <v>LK3520</v>
      </c>
      <c r="C12813" t="s">
        <v>52029</v>
      </c>
      <c r="D12813" t="s">
        <v>27245</v>
      </c>
      <c r="E12813" t="str">
        <f t="shared" si="200"/>
        <v>001390</v>
      </c>
      <c r="F12813" t="s">
        <v>27246</v>
      </c>
      <c r="G12813" t="s">
        <v>27247</v>
      </c>
      <c r="H12813" t="s">
        <v>27248</v>
      </c>
      <c r="I12813" t="s">
        <v>52030</v>
      </c>
      <c r="J12813" t="s">
        <v>25629</v>
      </c>
      <c r="L12813" t="s">
        <v>27250</v>
      </c>
      <c r="M12813" t="s">
        <v>27251</v>
      </c>
      <c r="N12813" t="s">
        <v>27252</v>
      </c>
      <c r="Q12813" s="1">
        <v>44538</v>
      </c>
      <c r="R12813" t="s">
        <v>27253</v>
      </c>
      <c r="S12813" t="s">
        <v>27254</v>
      </c>
      <c r="T12813" t="s">
        <v>27255</v>
      </c>
    </row>
    <row r="12814" spans="1:20" x14ac:dyDescent="0.3">
      <c r="A12814" t="str">
        <f>"0611839968100"</f>
        <v>0611839968100</v>
      </c>
      <c r="B12814" t="str">
        <f>"LK3521"</f>
        <v>LK3521</v>
      </c>
      <c r="C12814" t="s">
        <v>52031</v>
      </c>
      <c r="D12814" t="s">
        <v>27245</v>
      </c>
      <c r="E12814" t="str">
        <f t="shared" si="200"/>
        <v>001390</v>
      </c>
      <c r="F12814" t="s">
        <v>27246</v>
      </c>
      <c r="G12814" t="s">
        <v>27247</v>
      </c>
      <c r="H12814" t="s">
        <v>27248</v>
      </c>
      <c r="I12814" t="s">
        <v>52032</v>
      </c>
      <c r="J12814" t="s">
        <v>25637</v>
      </c>
      <c r="L12814" t="s">
        <v>27250</v>
      </c>
      <c r="M12814" t="s">
        <v>27251</v>
      </c>
      <c r="N12814" t="s">
        <v>27252</v>
      </c>
      <c r="Q12814" s="1">
        <v>44538</v>
      </c>
      <c r="R12814" t="s">
        <v>27253</v>
      </c>
      <c r="S12814" t="s">
        <v>27254</v>
      </c>
      <c r="T12814" t="s">
        <v>27255</v>
      </c>
    </row>
    <row r="12815" spans="1:20" x14ac:dyDescent="0.3">
      <c r="A12815" t="str">
        <f>"0611839970100"</f>
        <v>0611839970100</v>
      </c>
      <c r="B12815" t="str">
        <f>"LK5147"</f>
        <v>LK5147</v>
      </c>
      <c r="C12815" t="s">
        <v>52033</v>
      </c>
      <c r="D12815" t="s">
        <v>27245</v>
      </c>
      <c r="E12815" t="str">
        <f t="shared" si="200"/>
        <v>001390</v>
      </c>
      <c r="F12815" t="s">
        <v>27246</v>
      </c>
      <c r="G12815" t="s">
        <v>27247</v>
      </c>
      <c r="H12815" t="s">
        <v>27248</v>
      </c>
      <c r="I12815" t="s">
        <v>52034</v>
      </c>
      <c r="J12815" t="s">
        <v>25639</v>
      </c>
      <c r="L12815" t="s">
        <v>27250</v>
      </c>
      <c r="M12815" t="s">
        <v>27251</v>
      </c>
      <c r="N12815" t="s">
        <v>27252</v>
      </c>
      <c r="Q12815" s="1">
        <v>44538</v>
      </c>
      <c r="R12815" t="s">
        <v>27253</v>
      </c>
      <c r="S12815" t="s">
        <v>27254</v>
      </c>
      <c r="T12815" t="s">
        <v>27255</v>
      </c>
    </row>
    <row r="12816" spans="1:20" x14ac:dyDescent="0.3">
      <c r="A12816" t="str">
        <f>"0611839971100"</f>
        <v>0611839971100</v>
      </c>
      <c r="B12816" t="str">
        <f>"LK3522"</f>
        <v>LK3522</v>
      </c>
      <c r="C12816" t="s">
        <v>52035</v>
      </c>
      <c r="D12816" t="s">
        <v>27245</v>
      </c>
      <c r="E12816" t="str">
        <f t="shared" si="200"/>
        <v>001390</v>
      </c>
      <c r="F12816" t="s">
        <v>27246</v>
      </c>
      <c r="G12816" t="s">
        <v>27247</v>
      </c>
      <c r="H12816" t="s">
        <v>27248</v>
      </c>
      <c r="I12816" t="s">
        <v>52036</v>
      </c>
      <c r="J12816" t="s">
        <v>25641</v>
      </c>
      <c r="L12816" t="s">
        <v>27250</v>
      </c>
      <c r="M12816" t="s">
        <v>27251</v>
      </c>
      <c r="N12816" t="s">
        <v>27252</v>
      </c>
      <c r="Q12816" s="1">
        <v>44538</v>
      </c>
      <c r="R12816" t="s">
        <v>27253</v>
      </c>
      <c r="S12816" t="s">
        <v>27254</v>
      </c>
      <c r="T12816" t="s">
        <v>27255</v>
      </c>
    </row>
    <row r="12817" spans="1:20" x14ac:dyDescent="0.3">
      <c r="A12817" t="str">
        <f>"0611839972100"</f>
        <v>0611839972100</v>
      </c>
      <c r="B12817" t="str">
        <f>"LK3523"</f>
        <v>LK3523</v>
      </c>
      <c r="C12817" t="s">
        <v>52037</v>
      </c>
      <c r="D12817" t="s">
        <v>27245</v>
      </c>
      <c r="E12817" t="str">
        <f t="shared" si="200"/>
        <v>001390</v>
      </c>
      <c r="F12817" t="s">
        <v>27246</v>
      </c>
      <c r="G12817" t="s">
        <v>27247</v>
      </c>
      <c r="H12817" t="s">
        <v>27248</v>
      </c>
      <c r="I12817" t="s">
        <v>52038</v>
      </c>
      <c r="J12817" t="s">
        <v>25643</v>
      </c>
      <c r="L12817" t="s">
        <v>27250</v>
      </c>
      <c r="M12817" t="s">
        <v>27251</v>
      </c>
      <c r="N12817" t="s">
        <v>27252</v>
      </c>
      <c r="Q12817" s="1">
        <v>44538</v>
      </c>
      <c r="R12817" t="s">
        <v>27253</v>
      </c>
      <c r="S12817" t="s">
        <v>27254</v>
      </c>
      <c r="T12817" t="s">
        <v>27255</v>
      </c>
    </row>
    <row r="12818" spans="1:20" x14ac:dyDescent="0.3">
      <c r="A12818" t="str">
        <f>"0611839974100"</f>
        <v>0611839974100</v>
      </c>
      <c r="B12818" t="str">
        <f>"LK3524"</f>
        <v>LK3524</v>
      </c>
      <c r="C12818" t="s">
        <v>52039</v>
      </c>
      <c r="D12818" t="s">
        <v>27245</v>
      </c>
      <c r="E12818" t="str">
        <f t="shared" si="200"/>
        <v>001390</v>
      </c>
      <c r="F12818" t="s">
        <v>27246</v>
      </c>
      <c r="G12818" t="s">
        <v>27247</v>
      </c>
      <c r="H12818" t="s">
        <v>27248</v>
      </c>
      <c r="I12818" t="s">
        <v>52040</v>
      </c>
      <c r="J12818" t="s">
        <v>25645</v>
      </c>
      <c r="L12818" t="s">
        <v>27250</v>
      </c>
      <c r="M12818" t="s">
        <v>27251</v>
      </c>
      <c r="N12818" t="s">
        <v>27252</v>
      </c>
      <c r="Q12818" s="1">
        <v>44538</v>
      </c>
      <c r="R12818" t="s">
        <v>27253</v>
      </c>
      <c r="S12818" t="s">
        <v>27254</v>
      </c>
      <c r="T12818" t="s">
        <v>27255</v>
      </c>
    </row>
    <row r="12819" spans="1:20" x14ac:dyDescent="0.3">
      <c r="A12819" t="str">
        <f>"0611839975100"</f>
        <v>0611839975100</v>
      </c>
      <c r="B12819" t="str">
        <f>"LK3526"</f>
        <v>LK3526</v>
      </c>
      <c r="C12819" t="s">
        <v>52041</v>
      </c>
      <c r="D12819" t="s">
        <v>27245</v>
      </c>
      <c r="E12819" t="str">
        <f t="shared" si="200"/>
        <v>001390</v>
      </c>
      <c r="F12819" t="s">
        <v>27246</v>
      </c>
      <c r="G12819" t="s">
        <v>27247</v>
      </c>
      <c r="H12819" t="s">
        <v>27248</v>
      </c>
      <c r="I12819" t="s">
        <v>52042</v>
      </c>
      <c r="J12819" t="s">
        <v>25647</v>
      </c>
      <c r="L12819" t="s">
        <v>27250</v>
      </c>
      <c r="M12819" t="s">
        <v>27251</v>
      </c>
      <c r="N12819" t="s">
        <v>27252</v>
      </c>
      <c r="Q12819" s="1">
        <v>44538</v>
      </c>
      <c r="R12819" t="s">
        <v>27253</v>
      </c>
      <c r="S12819" t="s">
        <v>27254</v>
      </c>
      <c r="T12819" t="s">
        <v>27255</v>
      </c>
    </row>
    <row r="12820" spans="1:20" x14ac:dyDescent="0.3">
      <c r="A12820" t="str">
        <f>"0611839976100"</f>
        <v>0611839976100</v>
      </c>
      <c r="B12820" t="str">
        <f>"LK5940"</f>
        <v>LK5940</v>
      </c>
      <c r="C12820" t="s">
        <v>52043</v>
      </c>
      <c r="D12820" t="s">
        <v>27245</v>
      </c>
      <c r="E12820" t="str">
        <f t="shared" si="200"/>
        <v>001390</v>
      </c>
      <c r="F12820" t="s">
        <v>27246</v>
      </c>
      <c r="G12820" t="s">
        <v>27247</v>
      </c>
      <c r="H12820" t="s">
        <v>27248</v>
      </c>
      <c r="I12820" t="s">
        <v>52044</v>
      </c>
      <c r="J12820" t="s">
        <v>25649</v>
      </c>
      <c r="L12820" t="s">
        <v>27250</v>
      </c>
      <c r="M12820" t="s">
        <v>27251</v>
      </c>
      <c r="N12820" t="s">
        <v>27252</v>
      </c>
      <c r="Q12820" s="1">
        <v>44538</v>
      </c>
      <c r="R12820" t="s">
        <v>27253</v>
      </c>
      <c r="S12820" t="s">
        <v>27254</v>
      </c>
      <c r="T12820" t="s">
        <v>27255</v>
      </c>
    </row>
    <row r="12821" spans="1:20" x14ac:dyDescent="0.3">
      <c r="A12821" t="str">
        <f>"0611839977100"</f>
        <v>0611839977100</v>
      </c>
      <c r="B12821" t="str">
        <f>"LB9224"</f>
        <v>LB9224</v>
      </c>
      <c r="C12821" t="s">
        <v>52045</v>
      </c>
      <c r="D12821" t="s">
        <v>27245</v>
      </c>
      <c r="E12821" t="str">
        <f t="shared" si="200"/>
        <v>001390</v>
      </c>
      <c r="F12821" t="s">
        <v>27246</v>
      </c>
      <c r="G12821" t="s">
        <v>27247</v>
      </c>
      <c r="H12821" t="s">
        <v>27248</v>
      </c>
      <c r="I12821" t="s">
        <v>52046</v>
      </c>
      <c r="J12821" t="s">
        <v>25651</v>
      </c>
      <c r="L12821" t="s">
        <v>27250</v>
      </c>
      <c r="M12821" t="s">
        <v>27251</v>
      </c>
      <c r="N12821" t="s">
        <v>27252</v>
      </c>
      <c r="Q12821" s="1">
        <v>44538</v>
      </c>
      <c r="R12821" t="s">
        <v>27253</v>
      </c>
      <c r="S12821" t="s">
        <v>27254</v>
      </c>
      <c r="T12821" t="s">
        <v>27255</v>
      </c>
    </row>
    <row r="12822" spans="1:20" x14ac:dyDescent="0.3">
      <c r="A12822" t="str">
        <f>"0611839978100"</f>
        <v>0611839978100</v>
      </c>
      <c r="B12822" t="str">
        <f>"LK3527"</f>
        <v>LK3527</v>
      </c>
      <c r="C12822" t="s">
        <v>52047</v>
      </c>
      <c r="D12822" t="s">
        <v>27245</v>
      </c>
      <c r="E12822" t="str">
        <f t="shared" si="200"/>
        <v>001390</v>
      </c>
      <c r="F12822" t="s">
        <v>27246</v>
      </c>
      <c r="G12822" t="s">
        <v>27247</v>
      </c>
      <c r="H12822" t="s">
        <v>27248</v>
      </c>
      <c r="I12822" t="s">
        <v>52048</v>
      </c>
      <c r="J12822" t="s">
        <v>25653</v>
      </c>
      <c r="L12822" t="s">
        <v>27250</v>
      </c>
      <c r="M12822" t="s">
        <v>27251</v>
      </c>
      <c r="N12822" t="s">
        <v>27252</v>
      </c>
      <c r="Q12822" s="1">
        <v>44538</v>
      </c>
      <c r="R12822" t="s">
        <v>27253</v>
      </c>
      <c r="S12822" t="s">
        <v>27254</v>
      </c>
      <c r="T12822" t="s">
        <v>27255</v>
      </c>
    </row>
    <row r="12823" spans="1:20" x14ac:dyDescent="0.3">
      <c r="A12823" t="str">
        <f>"0611839979100"</f>
        <v>0611839979100</v>
      </c>
      <c r="B12823" t="str">
        <f>"LB9172"</f>
        <v>LB9172</v>
      </c>
      <c r="C12823" t="s">
        <v>52049</v>
      </c>
      <c r="D12823" t="s">
        <v>27245</v>
      </c>
      <c r="E12823" t="str">
        <f t="shared" si="200"/>
        <v>001390</v>
      </c>
      <c r="F12823" t="s">
        <v>27246</v>
      </c>
      <c r="G12823" t="s">
        <v>27247</v>
      </c>
      <c r="H12823" t="s">
        <v>27248</v>
      </c>
      <c r="I12823" t="s">
        <v>52050</v>
      </c>
      <c r="J12823" t="s">
        <v>25655</v>
      </c>
      <c r="L12823" t="s">
        <v>27250</v>
      </c>
      <c r="M12823" t="s">
        <v>27251</v>
      </c>
      <c r="N12823" t="s">
        <v>27252</v>
      </c>
      <c r="Q12823" s="1">
        <v>44538</v>
      </c>
      <c r="R12823" t="s">
        <v>27253</v>
      </c>
      <c r="S12823" t="s">
        <v>27254</v>
      </c>
      <c r="T12823" t="s">
        <v>27255</v>
      </c>
    </row>
    <row r="12824" spans="1:20" x14ac:dyDescent="0.3">
      <c r="A12824" t="str">
        <f>"0611864248050"</f>
        <v>0611864248050</v>
      </c>
      <c r="B12824" t="str">
        <f>"CR3409"</f>
        <v>CR3409</v>
      </c>
      <c r="C12824" t="s">
        <v>52051</v>
      </c>
      <c r="D12824" t="s">
        <v>27263</v>
      </c>
      <c r="E12824" t="str">
        <f t="shared" si="200"/>
        <v>001390</v>
      </c>
      <c r="F12824" t="s">
        <v>27246</v>
      </c>
      <c r="G12824" t="s">
        <v>27247</v>
      </c>
      <c r="H12824" t="s">
        <v>27248</v>
      </c>
      <c r="I12824" t="s">
        <v>52052</v>
      </c>
      <c r="J12824" t="s">
        <v>25657</v>
      </c>
      <c r="L12824" t="s">
        <v>27250</v>
      </c>
      <c r="M12824" t="s">
        <v>27251</v>
      </c>
      <c r="N12824" t="s">
        <v>27252</v>
      </c>
      <c r="Q12824" s="1">
        <v>44846</v>
      </c>
      <c r="R12824" t="s">
        <v>27253</v>
      </c>
      <c r="S12824" t="s">
        <v>27254</v>
      </c>
      <c r="T12824" t="s">
        <v>27265</v>
      </c>
    </row>
    <row r="12825" spans="1:20" x14ac:dyDescent="0.3">
      <c r="A12825" t="str">
        <f>"0611839980100"</f>
        <v>0611839980100</v>
      </c>
      <c r="B12825" t="str">
        <f>"LH8942"</f>
        <v>LH8942</v>
      </c>
      <c r="C12825" t="s">
        <v>52053</v>
      </c>
      <c r="D12825" t="s">
        <v>27245</v>
      </c>
      <c r="E12825" t="str">
        <f t="shared" si="200"/>
        <v>001390</v>
      </c>
      <c r="F12825" t="s">
        <v>27246</v>
      </c>
      <c r="G12825" t="s">
        <v>27247</v>
      </c>
      <c r="H12825" t="s">
        <v>27248</v>
      </c>
      <c r="I12825" t="s">
        <v>52054</v>
      </c>
      <c r="J12825" t="s">
        <v>25659</v>
      </c>
      <c r="L12825" t="s">
        <v>27250</v>
      </c>
      <c r="M12825" t="s">
        <v>27251</v>
      </c>
      <c r="N12825" t="s">
        <v>27252</v>
      </c>
      <c r="Q12825" s="1">
        <v>44538</v>
      </c>
      <c r="R12825" t="s">
        <v>27253</v>
      </c>
      <c r="S12825" t="s">
        <v>27254</v>
      </c>
      <c r="T12825" t="s">
        <v>27255</v>
      </c>
    </row>
    <row r="12826" spans="1:20" x14ac:dyDescent="0.3">
      <c r="A12826" t="str">
        <f>"0611839981100"</f>
        <v>0611839981100</v>
      </c>
      <c r="B12826" t="str">
        <f>"LB9256"</f>
        <v>LB9256</v>
      </c>
      <c r="C12826" t="s">
        <v>52055</v>
      </c>
      <c r="D12826" t="s">
        <v>27245</v>
      </c>
      <c r="E12826" t="str">
        <f t="shared" si="200"/>
        <v>001390</v>
      </c>
      <c r="F12826" t="s">
        <v>27246</v>
      </c>
      <c r="G12826" t="s">
        <v>27247</v>
      </c>
      <c r="H12826" t="s">
        <v>27248</v>
      </c>
      <c r="I12826" t="s">
        <v>52056</v>
      </c>
      <c r="J12826" t="s">
        <v>25661</v>
      </c>
      <c r="L12826" t="s">
        <v>27250</v>
      </c>
      <c r="M12826" t="s">
        <v>27251</v>
      </c>
      <c r="N12826" t="s">
        <v>27252</v>
      </c>
      <c r="Q12826" s="1">
        <v>44538</v>
      </c>
      <c r="R12826" t="s">
        <v>27253</v>
      </c>
      <c r="S12826" t="s">
        <v>27254</v>
      </c>
      <c r="T12826" t="s">
        <v>27255</v>
      </c>
    </row>
    <row r="12827" spans="1:20" x14ac:dyDescent="0.3">
      <c r="A12827" t="str">
        <f>"0611839982100"</f>
        <v>0611839982100</v>
      </c>
      <c r="B12827" t="str">
        <f>"LQ0773"</f>
        <v>LQ0773</v>
      </c>
      <c r="C12827" t="s">
        <v>52057</v>
      </c>
      <c r="D12827" t="s">
        <v>27245</v>
      </c>
      <c r="E12827" t="str">
        <f t="shared" si="200"/>
        <v>001390</v>
      </c>
      <c r="F12827" t="s">
        <v>27246</v>
      </c>
      <c r="G12827" t="s">
        <v>27247</v>
      </c>
      <c r="H12827" t="s">
        <v>27248</v>
      </c>
      <c r="I12827" t="s">
        <v>52058</v>
      </c>
      <c r="J12827" t="s">
        <v>25663</v>
      </c>
      <c r="L12827" t="s">
        <v>27250</v>
      </c>
      <c r="M12827" t="s">
        <v>27251</v>
      </c>
      <c r="N12827" t="s">
        <v>27252</v>
      </c>
      <c r="Q12827" s="1">
        <v>44538</v>
      </c>
      <c r="R12827" t="s">
        <v>27253</v>
      </c>
      <c r="S12827" t="s">
        <v>27254</v>
      </c>
      <c r="T12827" t="s">
        <v>27255</v>
      </c>
    </row>
    <row r="12828" spans="1:20" x14ac:dyDescent="0.3">
      <c r="A12828" t="str">
        <f>"0611839983100"</f>
        <v>0611839983100</v>
      </c>
      <c r="B12828" t="str">
        <f>"LK1413"</f>
        <v>LK1413</v>
      </c>
      <c r="C12828" t="s">
        <v>52059</v>
      </c>
      <c r="D12828" t="s">
        <v>27245</v>
      </c>
      <c r="E12828" t="str">
        <f t="shared" si="200"/>
        <v>001390</v>
      </c>
      <c r="F12828" t="s">
        <v>27246</v>
      </c>
      <c r="G12828" t="s">
        <v>27247</v>
      </c>
      <c r="H12828" t="s">
        <v>27248</v>
      </c>
      <c r="I12828" t="s">
        <v>52060</v>
      </c>
      <c r="J12828" t="s">
        <v>25665</v>
      </c>
      <c r="L12828" t="s">
        <v>27250</v>
      </c>
      <c r="M12828" t="s">
        <v>27251</v>
      </c>
      <c r="N12828" t="s">
        <v>27252</v>
      </c>
      <c r="Q12828" s="1">
        <v>44538</v>
      </c>
      <c r="R12828" t="s">
        <v>27253</v>
      </c>
      <c r="S12828" t="s">
        <v>27254</v>
      </c>
      <c r="T12828" t="s">
        <v>27255</v>
      </c>
    </row>
    <row r="12829" spans="1:20" x14ac:dyDescent="0.3">
      <c r="A12829" t="str">
        <f>"0611839984100"</f>
        <v>0611839984100</v>
      </c>
      <c r="B12829" t="str">
        <f>"LB9226"</f>
        <v>LB9226</v>
      </c>
      <c r="C12829" t="s">
        <v>52061</v>
      </c>
      <c r="D12829" t="s">
        <v>27245</v>
      </c>
      <c r="E12829" t="str">
        <f t="shared" si="200"/>
        <v>001390</v>
      </c>
      <c r="F12829" t="s">
        <v>27246</v>
      </c>
      <c r="G12829" t="s">
        <v>27247</v>
      </c>
      <c r="H12829" t="s">
        <v>27248</v>
      </c>
      <c r="I12829" t="s">
        <v>52062</v>
      </c>
      <c r="J12829" t="s">
        <v>25667</v>
      </c>
      <c r="L12829" t="s">
        <v>27250</v>
      </c>
      <c r="M12829" t="s">
        <v>27251</v>
      </c>
      <c r="N12829" t="s">
        <v>27252</v>
      </c>
      <c r="Q12829" s="1">
        <v>44538</v>
      </c>
      <c r="R12829" t="s">
        <v>27253</v>
      </c>
      <c r="S12829" t="s">
        <v>27254</v>
      </c>
      <c r="T12829" t="s">
        <v>27255</v>
      </c>
    </row>
    <row r="12830" spans="1:20" x14ac:dyDescent="0.3">
      <c r="A12830" t="str">
        <f>"0611839985100"</f>
        <v>0611839985100</v>
      </c>
      <c r="B12830" t="str">
        <f>"LB9262"</f>
        <v>LB9262</v>
      </c>
      <c r="C12830" t="s">
        <v>52063</v>
      </c>
      <c r="D12830" t="s">
        <v>27245</v>
      </c>
      <c r="E12830" t="str">
        <f t="shared" si="200"/>
        <v>001390</v>
      </c>
      <c r="F12830" t="s">
        <v>27246</v>
      </c>
      <c r="G12830" t="s">
        <v>27247</v>
      </c>
      <c r="H12830" t="s">
        <v>27248</v>
      </c>
      <c r="I12830" t="s">
        <v>52064</v>
      </c>
      <c r="J12830" t="s">
        <v>25669</v>
      </c>
      <c r="L12830" t="s">
        <v>27250</v>
      </c>
      <c r="M12830" t="s">
        <v>27251</v>
      </c>
      <c r="N12830" t="s">
        <v>27252</v>
      </c>
      <c r="Q12830" s="1">
        <v>44538</v>
      </c>
      <c r="R12830" t="s">
        <v>27253</v>
      </c>
      <c r="S12830" t="s">
        <v>27254</v>
      </c>
      <c r="T12830" t="s">
        <v>27255</v>
      </c>
    </row>
    <row r="12831" spans="1:20" x14ac:dyDescent="0.3">
      <c r="A12831" t="str">
        <f>"0611839986100"</f>
        <v>0611839986100</v>
      </c>
      <c r="B12831" t="str">
        <f>"LB9263"</f>
        <v>LB9263</v>
      </c>
      <c r="C12831" t="s">
        <v>52065</v>
      </c>
      <c r="D12831" t="s">
        <v>27245</v>
      </c>
      <c r="E12831" t="str">
        <f t="shared" si="200"/>
        <v>001390</v>
      </c>
      <c r="F12831" t="s">
        <v>27246</v>
      </c>
      <c r="G12831" t="s">
        <v>27247</v>
      </c>
      <c r="H12831" t="s">
        <v>27248</v>
      </c>
      <c r="I12831" t="s">
        <v>52066</v>
      </c>
      <c r="J12831" t="s">
        <v>25671</v>
      </c>
      <c r="L12831" t="s">
        <v>27250</v>
      </c>
      <c r="M12831" t="s">
        <v>27251</v>
      </c>
      <c r="N12831" t="s">
        <v>27252</v>
      </c>
      <c r="Q12831" s="1">
        <v>44538</v>
      </c>
      <c r="R12831" t="s">
        <v>27253</v>
      </c>
      <c r="S12831" t="s">
        <v>27254</v>
      </c>
      <c r="T12831" t="s">
        <v>27255</v>
      </c>
    </row>
    <row r="12832" spans="1:20" x14ac:dyDescent="0.3">
      <c r="A12832" t="str">
        <f>"0611839988100"</f>
        <v>0611839988100</v>
      </c>
      <c r="B12832" t="str">
        <f>"LK4372"</f>
        <v>LK4372</v>
      </c>
      <c r="C12832" t="s">
        <v>52067</v>
      </c>
      <c r="D12832" t="s">
        <v>28138</v>
      </c>
      <c r="E12832" t="str">
        <f t="shared" si="200"/>
        <v>001390</v>
      </c>
      <c r="F12832" t="s">
        <v>27246</v>
      </c>
      <c r="G12832" t="s">
        <v>27247</v>
      </c>
      <c r="H12832" t="s">
        <v>27248</v>
      </c>
      <c r="I12832" t="s">
        <v>52068</v>
      </c>
      <c r="J12832" t="s">
        <v>25673</v>
      </c>
      <c r="L12832" t="s">
        <v>27250</v>
      </c>
      <c r="M12832" t="s">
        <v>27251</v>
      </c>
      <c r="N12832" t="s">
        <v>27252</v>
      </c>
      <c r="P12832" t="s">
        <v>27925</v>
      </c>
      <c r="Q12832" s="1">
        <v>44538</v>
      </c>
      <c r="R12832" t="s">
        <v>27253</v>
      </c>
      <c r="S12832" t="s">
        <v>27254</v>
      </c>
      <c r="T12832" t="s">
        <v>27255</v>
      </c>
    </row>
    <row r="12833" spans="1:20" x14ac:dyDescent="0.3">
      <c r="A12833" t="str">
        <f>"0611839989100"</f>
        <v>0611839989100</v>
      </c>
      <c r="B12833" t="str">
        <f>"LK4056"</f>
        <v>LK4056</v>
      </c>
      <c r="C12833" t="s">
        <v>52069</v>
      </c>
      <c r="D12833" t="s">
        <v>28138</v>
      </c>
      <c r="E12833" t="str">
        <f t="shared" si="200"/>
        <v>001390</v>
      </c>
      <c r="F12833" t="s">
        <v>27246</v>
      </c>
      <c r="G12833" t="s">
        <v>27247</v>
      </c>
      <c r="H12833" t="s">
        <v>27248</v>
      </c>
      <c r="I12833" t="s">
        <v>52070</v>
      </c>
      <c r="J12833" t="s">
        <v>25675</v>
      </c>
      <c r="L12833" t="s">
        <v>27250</v>
      </c>
      <c r="M12833" t="s">
        <v>27251</v>
      </c>
      <c r="N12833" t="s">
        <v>27252</v>
      </c>
      <c r="P12833" t="s">
        <v>27925</v>
      </c>
      <c r="Q12833" s="1">
        <v>44538</v>
      </c>
      <c r="R12833" t="s">
        <v>27253</v>
      </c>
      <c r="S12833" t="s">
        <v>27254</v>
      </c>
      <c r="T12833" t="s">
        <v>27255</v>
      </c>
    </row>
    <row r="12834" spans="1:20" x14ac:dyDescent="0.3">
      <c r="A12834" t="str">
        <f>"0611839990100"</f>
        <v>0611839990100</v>
      </c>
      <c r="B12834" t="str">
        <f>"LK3235"</f>
        <v>LK3235</v>
      </c>
      <c r="C12834" t="s">
        <v>52071</v>
      </c>
      <c r="D12834" t="s">
        <v>28138</v>
      </c>
      <c r="E12834" t="str">
        <f t="shared" si="200"/>
        <v>001390</v>
      </c>
      <c r="F12834" t="s">
        <v>27246</v>
      </c>
      <c r="G12834" t="s">
        <v>27247</v>
      </c>
      <c r="H12834" t="s">
        <v>27248</v>
      </c>
      <c r="I12834" t="s">
        <v>52072</v>
      </c>
      <c r="J12834" t="s">
        <v>25677</v>
      </c>
      <c r="L12834" t="s">
        <v>27250</v>
      </c>
      <c r="M12834" t="s">
        <v>27251</v>
      </c>
      <c r="N12834" t="s">
        <v>27252</v>
      </c>
      <c r="P12834" t="s">
        <v>27925</v>
      </c>
      <c r="Q12834" s="1">
        <v>44538</v>
      </c>
      <c r="R12834" t="s">
        <v>27253</v>
      </c>
      <c r="S12834" t="s">
        <v>27254</v>
      </c>
      <c r="T12834" t="s">
        <v>27255</v>
      </c>
    </row>
    <row r="12835" spans="1:20" x14ac:dyDescent="0.3">
      <c r="A12835" t="str">
        <f>"0611839991100"</f>
        <v>0611839991100</v>
      </c>
      <c r="B12835" t="str">
        <f>"LK3236"</f>
        <v>LK3236</v>
      </c>
      <c r="C12835" t="s">
        <v>52073</v>
      </c>
      <c r="D12835" t="s">
        <v>28138</v>
      </c>
      <c r="E12835" t="str">
        <f t="shared" si="200"/>
        <v>001390</v>
      </c>
      <c r="F12835" t="s">
        <v>27246</v>
      </c>
      <c r="G12835" t="s">
        <v>27247</v>
      </c>
      <c r="H12835" t="s">
        <v>27248</v>
      </c>
      <c r="I12835" t="s">
        <v>52074</v>
      </c>
      <c r="J12835" t="s">
        <v>25679</v>
      </c>
      <c r="L12835" t="s">
        <v>27250</v>
      </c>
      <c r="M12835" t="s">
        <v>27251</v>
      </c>
      <c r="N12835" t="s">
        <v>27252</v>
      </c>
      <c r="P12835" t="s">
        <v>27925</v>
      </c>
      <c r="Q12835" s="1">
        <v>44538</v>
      </c>
      <c r="R12835" t="s">
        <v>27253</v>
      </c>
      <c r="S12835" t="s">
        <v>27254</v>
      </c>
      <c r="T12835" t="s">
        <v>27255</v>
      </c>
    </row>
    <row r="12836" spans="1:20" x14ac:dyDescent="0.3">
      <c r="A12836" t="str">
        <f>"0611839992100"</f>
        <v>0611839992100</v>
      </c>
      <c r="B12836" t="str">
        <f>"LK4057"</f>
        <v>LK4057</v>
      </c>
      <c r="C12836" t="s">
        <v>52075</v>
      </c>
      <c r="D12836" t="s">
        <v>28138</v>
      </c>
      <c r="E12836" t="str">
        <f t="shared" si="200"/>
        <v>001390</v>
      </c>
      <c r="F12836" t="s">
        <v>27246</v>
      </c>
      <c r="G12836" t="s">
        <v>27247</v>
      </c>
      <c r="H12836" t="s">
        <v>27248</v>
      </c>
      <c r="I12836" t="s">
        <v>52076</v>
      </c>
      <c r="J12836" t="s">
        <v>25681</v>
      </c>
      <c r="L12836" t="s">
        <v>27250</v>
      </c>
      <c r="M12836" t="s">
        <v>27251</v>
      </c>
      <c r="N12836" t="s">
        <v>27252</v>
      </c>
      <c r="P12836" t="s">
        <v>27925</v>
      </c>
      <c r="Q12836" s="1">
        <v>44538</v>
      </c>
      <c r="R12836" t="s">
        <v>27253</v>
      </c>
      <c r="S12836" t="s">
        <v>27254</v>
      </c>
      <c r="T12836" t="s">
        <v>27255</v>
      </c>
    </row>
    <row r="12837" spans="1:20" x14ac:dyDescent="0.3">
      <c r="A12837" t="str">
        <f>"0611839993100"</f>
        <v>0611839993100</v>
      </c>
      <c r="B12837" t="str">
        <f>"LK4059"</f>
        <v>LK4059</v>
      </c>
      <c r="C12837" t="s">
        <v>52077</v>
      </c>
      <c r="D12837" t="s">
        <v>28138</v>
      </c>
      <c r="E12837" t="str">
        <f t="shared" si="200"/>
        <v>001390</v>
      </c>
      <c r="F12837" t="s">
        <v>27246</v>
      </c>
      <c r="G12837" t="s">
        <v>27247</v>
      </c>
      <c r="H12837" t="s">
        <v>27248</v>
      </c>
      <c r="I12837" t="s">
        <v>52078</v>
      </c>
      <c r="J12837" t="s">
        <v>25683</v>
      </c>
      <c r="L12837" t="s">
        <v>27250</v>
      </c>
      <c r="M12837" t="s">
        <v>27251</v>
      </c>
      <c r="N12837" t="s">
        <v>27252</v>
      </c>
      <c r="P12837" t="s">
        <v>27925</v>
      </c>
      <c r="Q12837" s="1">
        <v>44538</v>
      </c>
      <c r="R12837" t="s">
        <v>27253</v>
      </c>
      <c r="S12837" t="s">
        <v>27254</v>
      </c>
      <c r="T12837" t="s">
        <v>27255</v>
      </c>
    </row>
    <row r="12838" spans="1:20" x14ac:dyDescent="0.3">
      <c r="A12838" t="str">
        <f>"0611839994100"</f>
        <v>0611839994100</v>
      </c>
      <c r="B12838" t="str">
        <f>"LK3237"</f>
        <v>LK3237</v>
      </c>
      <c r="C12838" t="s">
        <v>52079</v>
      </c>
      <c r="D12838" t="s">
        <v>28138</v>
      </c>
      <c r="E12838" t="str">
        <f t="shared" si="200"/>
        <v>001390</v>
      </c>
      <c r="F12838" t="s">
        <v>27246</v>
      </c>
      <c r="G12838" t="s">
        <v>27247</v>
      </c>
      <c r="H12838" t="s">
        <v>27248</v>
      </c>
      <c r="I12838" t="s">
        <v>52080</v>
      </c>
      <c r="J12838" t="s">
        <v>25685</v>
      </c>
      <c r="L12838" t="s">
        <v>27250</v>
      </c>
      <c r="M12838" t="s">
        <v>27251</v>
      </c>
      <c r="N12838" t="s">
        <v>27252</v>
      </c>
      <c r="P12838" t="s">
        <v>27925</v>
      </c>
      <c r="Q12838" s="1">
        <v>44538</v>
      </c>
      <c r="R12838" t="s">
        <v>27253</v>
      </c>
      <c r="S12838" t="s">
        <v>27254</v>
      </c>
      <c r="T12838" t="s">
        <v>27255</v>
      </c>
    </row>
    <row r="12839" spans="1:20" x14ac:dyDescent="0.3">
      <c r="A12839" t="str">
        <f>"0611839996100"</f>
        <v>0611839996100</v>
      </c>
      <c r="B12839" t="str">
        <f>"LK3239"</f>
        <v>LK3239</v>
      </c>
      <c r="C12839" t="s">
        <v>52081</v>
      </c>
      <c r="D12839" t="s">
        <v>28138</v>
      </c>
      <c r="E12839" t="str">
        <f t="shared" si="200"/>
        <v>001390</v>
      </c>
      <c r="F12839" t="s">
        <v>27246</v>
      </c>
      <c r="G12839" t="s">
        <v>27247</v>
      </c>
      <c r="H12839" t="s">
        <v>27248</v>
      </c>
      <c r="I12839" t="s">
        <v>52082</v>
      </c>
      <c r="J12839" t="s">
        <v>25687</v>
      </c>
      <c r="L12839" t="s">
        <v>27250</v>
      </c>
      <c r="M12839" t="s">
        <v>27251</v>
      </c>
      <c r="N12839" t="s">
        <v>27252</v>
      </c>
      <c r="P12839" t="s">
        <v>27925</v>
      </c>
      <c r="Q12839" s="1">
        <v>44538</v>
      </c>
      <c r="R12839" t="s">
        <v>27253</v>
      </c>
      <c r="S12839" t="s">
        <v>27254</v>
      </c>
      <c r="T12839" t="s">
        <v>27255</v>
      </c>
    </row>
    <row r="12840" spans="1:20" x14ac:dyDescent="0.3">
      <c r="A12840" t="str">
        <f>"0611839997100"</f>
        <v>0611839997100</v>
      </c>
      <c r="B12840" t="str">
        <f>"LK4060"</f>
        <v>LK4060</v>
      </c>
      <c r="C12840" t="s">
        <v>52083</v>
      </c>
      <c r="D12840" t="s">
        <v>28138</v>
      </c>
      <c r="E12840" t="str">
        <f t="shared" si="200"/>
        <v>001390</v>
      </c>
      <c r="F12840" t="s">
        <v>27246</v>
      </c>
      <c r="G12840" t="s">
        <v>27247</v>
      </c>
      <c r="H12840" t="s">
        <v>27248</v>
      </c>
      <c r="I12840" t="s">
        <v>52084</v>
      </c>
      <c r="J12840" t="s">
        <v>25689</v>
      </c>
      <c r="L12840" t="s">
        <v>27250</v>
      </c>
      <c r="M12840" t="s">
        <v>27251</v>
      </c>
      <c r="N12840" t="s">
        <v>27252</v>
      </c>
      <c r="P12840" t="s">
        <v>27925</v>
      </c>
      <c r="Q12840" s="1">
        <v>44538</v>
      </c>
      <c r="R12840" t="s">
        <v>27253</v>
      </c>
      <c r="S12840" t="s">
        <v>27254</v>
      </c>
      <c r="T12840" t="s">
        <v>27255</v>
      </c>
    </row>
    <row r="12841" spans="1:20" x14ac:dyDescent="0.3">
      <c r="A12841" t="str">
        <f>"0611839998100"</f>
        <v>0611839998100</v>
      </c>
      <c r="B12841" t="str">
        <f>"LK6156"</f>
        <v>LK6156</v>
      </c>
      <c r="C12841" t="s">
        <v>52085</v>
      </c>
      <c r="D12841" t="s">
        <v>28138</v>
      </c>
      <c r="E12841" t="str">
        <f t="shared" si="200"/>
        <v>001390</v>
      </c>
      <c r="F12841" t="s">
        <v>27246</v>
      </c>
      <c r="G12841" t="s">
        <v>27247</v>
      </c>
      <c r="H12841" t="s">
        <v>27248</v>
      </c>
      <c r="I12841" t="s">
        <v>52086</v>
      </c>
      <c r="J12841" t="s">
        <v>25691</v>
      </c>
      <c r="L12841" t="s">
        <v>27250</v>
      </c>
      <c r="M12841" t="s">
        <v>27251</v>
      </c>
      <c r="N12841" t="s">
        <v>27252</v>
      </c>
      <c r="P12841" t="s">
        <v>27925</v>
      </c>
      <c r="Q12841" s="1">
        <v>44538</v>
      </c>
      <c r="R12841" t="s">
        <v>27253</v>
      </c>
      <c r="S12841" t="s">
        <v>27254</v>
      </c>
      <c r="T12841" t="s">
        <v>27255</v>
      </c>
    </row>
    <row r="12842" spans="1:20" x14ac:dyDescent="0.3">
      <c r="A12842" t="str">
        <f>"0611839999100"</f>
        <v>0611839999100</v>
      </c>
      <c r="B12842" t="str">
        <f>"LK6951"</f>
        <v>LK6951</v>
      </c>
      <c r="C12842" t="s">
        <v>52087</v>
      </c>
      <c r="D12842" t="s">
        <v>28138</v>
      </c>
      <c r="E12842" t="str">
        <f t="shared" si="200"/>
        <v>001390</v>
      </c>
      <c r="F12842" t="s">
        <v>27246</v>
      </c>
      <c r="G12842" t="s">
        <v>27247</v>
      </c>
      <c r="H12842" t="s">
        <v>27248</v>
      </c>
      <c r="I12842" t="s">
        <v>52088</v>
      </c>
      <c r="J12842" t="s">
        <v>25693</v>
      </c>
      <c r="L12842" t="s">
        <v>27250</v>
      </c>
      <c r="M12842" t="s">
        <v>27251</v>
      </c>
      <c r="N12842" t="s">
        <v>27252</v>
      </c>
      <c r="P12842" t="s">
        <v>27925</v>
      </c>
      <c r="Q12842" s="1">
        <v>44538</v>
      </c>
      <c r="R12842" t="s">
        <v>27253</v>
      </c>
      <c r="S12842" t="s">
        <v>27254</v>
      </c>
      <c r="T12842" t="s">
        <v>27255</v>
      </c>
    </row>
    <row r="12843" spans="1:20" x14ac:dyDescent="0.3">
      <c r="A12843" t="str">
        <f>"0611840000100"</f>
        <v>0611840000100</v>
      </c>
      <c r="B12843" t="str">
        <f>"LK3241"</f>
        <v>LK3241</v>
      </c>
      <c r="C12843" t="s">
        <v>52089</v>
      </c>
      <c r="D12843" t="s">
        <v>28138</v>
      </c>
      <c r="E12843" t="str">
        <f t="shared" si="200"/>
        <v>001390</v>
      </c>
      <c r="F12843" t="s">
        <v>27246</v>
      </c>
      <c r="G12843" t="s">
        <v>27247</v>
      </c>
      <c r="H12843" t="s">
        <v>27248</v>
      </c>
      <c r="I12843" t="s">
        <v>52090</v>
      </c>
      <c r="J12843" t="s">
        <v>25695</v>
      </c>
      <c r="L12843" t="s">
        <v>27250</v>
      </c>
      <c r="M12843" t="s">
        <v>27251</v>
      </c>
      <c r="N12843" t="s">
        <v>27252</v>
      </c>
      <c r="P12843" t="s">
        <v>27925</v>
      </c>
      <c r="Q12843" s="1">
        <v>44538</v>
      </c>
      <c r="R12843" t="s">
        <v>27253</v>
      </c>
      <c r="S12843" t="s">
        <v>27254</v>
      </c>
      <c r="T12843" t="s">
        <v>27255</v>
      </c>
    </row>
    <row r="12844" spans="1:20" x14ac:dyDescent="0.3">
      <c r="A12844" t="str">
        <f>"0611840001100"</f>
        <v>0611840001100</v>
      </c>
      <c r="B12844" t="str">
        <f>"LQ6046"</f>
        <v>LQ6046</v>
      </c>
      <c r="C12844" t="s">
        <v>52091</v>
      </c>
      <c r="D12844" t="s">
        <v>27245</v>
      </c>
      <c r="E12844" t="str">
        <f t="shared" si="200"/>
        <v>001390</v>
      </c>
      <c r="F12844" t="s">
        <v>27246</v>
      </c>
      <c r="G12844" t="s">
        <v>27247</v>
      </c>
      <c r="H12844" t="s">
        <v>27248</v>
      </c>
      <c r="I12844" t="s">
        <v>52092</v>
      </c>
      <c r="J12844" t="s">
        <v>25697</v>
      </c>
      <c r="L12844" t="s">
        <v>27250</v>
      </c>
      <c r="M12844" t="s">
        <v>27251</v>
      </c>
      <c r="N12844" t="s">
        <v>27252</v>
      </c>
      <c r="Q12844" s="1">
        <v>44538</v>
      </c>
      <c r="R12844" t="s">
        <v>27253</v>
      </c>
      <c r="S12844" t="s">
        <v>27254</v>
      </c>
      <c r="T12844" t="s">
        <v>27255</v>
      </c>
    </row>
    <row r="12845" spans="1:20" x14ac:dyDescent="0.3">
      <c r="A12845" t="str">
        <f>"0611840002100"</f>
        <v>0611840002100</v>
      </c>
      <c r="B12845" t="str">
        <f>"LQ6034"</f>
        <v>LQ6034</v>
      </c>
      <c r="C12845" t="s">
        <v>52093</v>
      </c>
      <c r="D12845" t="s">
        <v>27245</v>
      </c>
      <c r="E12845" t="str">
        <f t="shared" si="200"/>
        <v>001390</v>
      </c>
      <c r="F12845" t="s">
        <v>27246</v>
      </c>
      <c r="G12845" t="s">
        <v>27247</v>
      </c>
      <c r="H12845" t="s">
        <v>27248</v>
      </c>
      <c r="I12845" t="s">
        <v>52094</v>
      </c>
      <c r="J12845" t="s">
        <v>25699</v>
      </c>
      <c r="L12845" t="s">
        <v>27250</v>
      </c>
      <c r="M12845" t="s">
        <v>27251</v>
      </c>
      <c r="N12845" t="s">
        <v>27252</v>
      </c>
      <c r="Q12845" s="1">
        <v>44538</v>
      </c>
      <c r="R12845" t="s">
        <v>27253</v>
      </c>
      <c r="S12845" t="s">
        <v>27254</v>
      </c>
      <c r="T12845" t="s">
        <v>27255</v>
      </c>
    </row>
    <row r="12846" spans="1:20" x14ac:dyDescent="0.3">
      <c r="A12846" t="str">
        <f>"0611857166100"</f>
        <v>0611857166100</v>
      </c>
      <c r="B12846" t="str">
        <f>"LK7064"</f>
        <v>LK7064</v>
      </c>
      <c r="C12846" t="s">
        <v>52095</v>
      </c>
      <c r="D12846" t="s">
        <v>27245</v>
      </c>
      <c r="E12846" t="str">
        <f t="shared" si="200"/>
        <v>001390</v>
      </c>
      <c r="F12846" t="s">
        <v>27246</v>
      </c>
      <c r="G12846" t="s">
        <v>27247</v>
      </c>
      <c r="H12846" t="s">
        <v>27248</v>
      </c>
      <c r="I12846" t="s">
        <v>52096</v>
      </c>
      <c r="J12846" t="s">
        <v>25701</v>
      </c>
      <c r="L12846" t="s">
        <v>27250</v>
      </c>
      <c r="M12846" t="s">
        <v>27251</v>
      </c>
      <c r="N12846" t="s">
        <v>27252</v>
      </c>
      <c r="Q12846" s="1">
        <v>44812</v>
      </c>
      <c r="R12846" t="s">
        <v>27253</v>
      </c>
      <c r="S12846" t="s">
        <v>27254</v>
      </c>
      <c r="T12846" t="s">
        <v>27255</v>
      </c>
    </row>
    <row r="12847" spans="1:20" x14ac:dyDescent="0.3">
      <c r="A12847" t="str">
        <f>"0611840003100"</f>
        <v>0611840003100</v>
      </c>
      <c r="B12847" t="str">
        <f>"LQ0967"</f>
        <v>LQ0967</v>
      </c>
      <c r="C12847" t="s">
        <v>52097</v>
      </c>
      <c r="D12847" t="s">
        <v>27245</v>
      </c>
      <c r="E12847" t="str">
        <f t="shared" si="200"/>
        <v>001390</v>
      </c>
      <c r="F12847" t="s">
        <v>27246</v>
      </c>
      <c r="G12847" t="s">
        <v>27247</v>
      </c>
      <c r="H12847" t="s">
        <v>27248</v>
      </c>
      <c r="I12847" t="s">
        <v>52098</v>
      </c>
      <c r="J12847" t="s">
        <v>25703</v>
      </c>
      <c r="L12847" t="s">
        <v>27250</v>
      </c>
      <c r="M12847" t="s">
        <v>27251</v>
      </c>
      <c r="N12847" t="s">
        <v>27252</v>
      </c>
      <c r="Q12847" s="1">
        <v>44538</v>
      </c>
      <c r="R12847" t="s">
        <v>27253</v>
      </c>
      <c r="S12847" t="s">
        <v>27254</v>
      </c>
      <c r="T12847" t="s">
        <v>27255</v>
      </c>
    </row>
    <row r="12848" spans="1:20" x14ac:dyDescent="0.3">
      <c r="A12848" t="str">
        <f>"0611840011100"</f>
        <v>0611840011100</v>
      </c>
      <c r="B12848" t="str">
        <f>"LQ0968"</f>
        <v>LQ0968</v>
      </c>
      <c r="C12848" t="s">
        <v>52099</v>
      </c>
      <c r="D12848" t="s">
        <v>27245</v>
      </c>
      <c r="E12848" t="str">
        <f t="shared" si="200"/>
        <v>001390</v>
      </c>
      <c r="F12848" t="s">
        <v>27246</v>
      </c>
      <c r="G12848" t="s">
        <v>27247</v>
      </c>
      <c r="H12848" t="s">
        <v>27248</v>
      </c>
      <c r="I12848" t="s">
        <v>52100</v>
      </c>
      <c r="J12848" t="s">
        <v>25705</v>
      </c>
      <c r="L12848" t="s">
        <v>27250</v>
      </c>
      <c r="M12848" t="s">
        <v>27251</v>
      </c>
      <c r="N12848" t="s">
        <v>27252</v>
      </c>
      <c r="Q12848" s="1">
        <v>44538</v>
      </c>
      <c r="R12848" t="s">
        <v>27253</v>
      </c>
      <c r="S12848" t="s">
        <v>27254</v>
      </c>
      <c r="T12848" t="s">
        <v>27255</v>
      </c>
    </row>
    <row r="12849" spans="1:20" x14ac:dyDescent="0.3">
      <c r="A12849" t="str">
        <f>"0611840014100"</f>
        <v>0611840014100</v>
      </c>
      <c r="B12849" t="str">
        <f>"LQ0969"</f>
        <v>LQ0969</v>
      </c>
      <c r="C12849" t="s">
        <v>52101</v>
      </c>
      <c r="D12849" t="s">
        <v>27245</v>
      </c>
      <c r="E12849" t="str">
        <f t="shared" si="200"/>
        <v>001390</v>
      </c>
      <c r="F12849" t="s">
        <v>27246</v>
      </c>
      <c r="G12849" t="s">
        <v>27247</v>
      </c>
      <c r="H12849" t="s">
        <v>27248</v>
      </c>
      <c r="I12849" t="s">
        <v>52102</v>
      </c>
      <c r="J12849" t="s">
        <v>25707</v>
      </c>
      <c r="L12849" t="s">
        <v>27250</v>
      </c>
      <c r="M12849" t="s">
        <v>27251</v>
      </c>
      <c r="N12849" t="s">
        <v>27252</v>
      </c>
      <c r="Q12849" s="1">
        <v>44538</v>
      </c>
      <c r="R12849" t="s">
        <v>27253</v>
      </c>
      <c r="S12849" t="s">
        <v>27254</v>
      </c>
      <c r="T12849" t="s">
        <v>27255</v>
      </c>
    </row>
    <row r="12850" spans="1:20" x14ac:dyDescent="0.3">
      <c r="A12850" t="str">
        <f>"0611840016100"</f>
        <v>0611840016100</v>
      </c>
      <c r="B12850" t="str">
        <f>"LQ3811"</f>
        <v>LQ3811</v>
      </c>
      <c r="C12850" t="s">
        <v>52103</v>
      </c>
      <c r="D12850" t="s">
        <v>27245</v>
      </c>
      <c r="E12850" t="str">
        <f t="shared" si="200"/>
        <v>001390</v>
      </c>
      <c r="F12850" t="s">
        <v>27246</v>
      </c>
      <c r="G12850" t="s">
        <v>27247</v>
      </c>
      <c r="H12850" t="s">
        <v>27248</v>
      </c>
      <c r="I12850" t="s">
        <v>52104</v>
      </c>
      <c r="J12850" t="s">
        <v>25709</v>
      </c>
      <c r="L12850" t="s">
        <v>27250</v>
      </c>
      <c r="M12850" t="s">
        <v>27251</v>
      </c>
      <c r="N12850" t="s">
        <v>27252</v>
      </c>
      <c r="Q12850" s="1">
        <v>44538</v>
      </c>
      <c r="R12850" t="s">
        <v>27253</v>
      </c>
      <c r="S12850" t="s">
        <v>27254</v>
      </c>
      <c r="T12850" t="s">
        <v>27255</v>
      </c>
    </row>
    <row r="12851" spans="1:20" x14ac:dyDescent="0.3">
      <c r="A12851" t="str">
        <f>"0611840019100"</f>
        <v>0611840019100</v>
      </c>
      <c r="B12851" t="str">
        <f>"MB9150"</f>
        <v>MB9150</v>
      </c>
      <c r="C12851" t="s">
        <v>52105</v>
      </c>
      <c r="D12851" t="s">
        <v>27274</v>
      </c>
      <c r="E12851" t="str">
        <f t="shared" si="200"/>
        <v>001390</v>
      </c>
      <c r="F12851" t="s">
        <v>27246</v>
      </c>
      <c r="G12851" t="s">
        <v>27247</v>
      </c>
      <c r="H12851" t="s">
        <v>27248</v>
      </c>
      <c r="I12851" t="s">
        <v>52106</v>
      </c>
      <c r="J12851" t="s">
        <v>25385</v>
      </c>
      <c r="L12851" t="s">
        <v>27250</v>
      </c>
      <c r="M12851" t="s">
        <v>27251</v>
      </c>
      <c r="N12851" t="s">
        <v>27252</v>
      </c>
      <c r="Q12851" s="1">
        <v>44538</v>
      </c>
      <c r="R12851" t="s">
        <v>27253</v>
      </c>
      <c r="S12851" t="s">
        <v>27254</v>
      </c>
      <c r="T12851" t="s">
        <v>27276</v>
      </c>
    </row>
    <row r="12852" spans="1:20" x14ac:dyDescent="0.3">
      <c r="A12852" t="str">
        <f>"0611840020025"</f>
        <v>0611840020025</v>
      </c>
      <c r="B12852" t="str">
        <f>"MC3819"</f>
        <v>MC3819</v>
      </c>
      <c r="C12852" t="s">
        <v>52105</v>
      </c>
      <c r="D12852" t="s">
        <v>27267</v>
      </c>
      <c r="E12852" t="str">
        <f t="shared" si="200"/>
        <v>001390</v>
      </c>
      <c r="F12852" t="s">
        <v>27246</v>
      </c>
      <c r="G12852" t="s">
        <v>27247</v>
      </c>
      <c r="H12852" t="s">
        <v>27248</v>
      </c>
      <c r="I12852" t="s">
        <v>52107</v>
      </c>
      <c r="J12852" t="s">
        <v>25387</v>
      </c>
      <c r="L12852" t="s">
        <v>27250</v>
      </c>
      <c r="M12852" t="s">
        <v>27251</v>
      </c>
      <c r="N12852" t="s">
        <v>27252</v>
      </c>
      <c r="Q12852" s="1">
        <v>44538</v>
      </c>
      <c r="R12852" t="s">
        <v>27253</v>
      </c>
      <c r="S12852" t="s">
        <v>27254</v>
      </c>
      <c r="T12852" t="s">
        <v>27269</v>
      </c>
    </row>
    <row r="12853" spans="1:20" x14ac:dyDescent="0.3">
      <c r="A12853" t="str">
        <f>"0611884493100"</f>
        <v>0611884493100</v>
      </c>
      <c r="B12853" t="str">
        <f>"LQ3932"</f>
        <v>LQ3932</v>
      </c>
      <c r="C12853" t="s">
        <v>52108</v>
      </c>
      <c r="D12853" t="s">
        <v>27245</v>
      </c>
      <c r="E12853" t="str">
        <f t="shared" si="200"/>
        <v>001390</v>
      </c>
      <c r="F12853" t="s">
        <v>27246</v>
      </c>
      <c r="G12853" t="s">
        <v>27247</v>
      </c>
      <c r="H12853" t="s">
        <v>27248</v>
      </c>
      <c r="I12853" t="s">
        <v>52109</v>
      </c>
      <c r="J12853" t="s">
        <v>25711</v>
      </c>
      <c r="L12853" t="s">
        <v>27430</v>
      </c>
      <c r="M12853" t="s">
        <v>27251</v>
      </c>
      <c r="N12853" t="s">
        <v>27252</v>
      </c>
      <c r="Q12853" s="1">
        <v>45250</v>
      </c>
      <c r="R12853" t="s">
        <v>27253</v>
      </c>
      <c r="S12853" t="s">
        <v>27254</v>
      </c>
      <c r="T12853" t="s">
        <v>27255</v>
      </c>
    </row>
    <row r="12854" spans="1:20" x14ac:dyDescent="0.3">
      <c r="A12854" t="str">
        <f>"0611864249050"</f>
        <v>0611864249050</v>
      </c>
      <c r="B12854" t="str">
        <f>"CR4063"</f>
        <v>CR4063</v>
      </c>
      <c r="C12854" t="s">
        <v>52110</v>
      </c>
      <c r="D12854" t="s">
        <v>27263</v>
      </c>
      <c r="E12854" t="str">
        <f t="shared" si="200"/>
        <v>001390</v>
      </c>
      <c r="F12854" t="s">
        <v>27246</v>
      </c>
      <c r="G12854" t="s">
        <v>27247</v>
      </c>
      <c r="H12854" t="s">
        <v>27248</v>
      </c>
      <c r="I12854" t="s">
        <v>52111</v>
      </c>
      <c r="J12854" t="s">
        <v>25713</v>
      </c>
      <c r="L12854" t="s">
        <v>27250</v>
      </c>
      <c r="M12854" t="s">
        <v>27251</v>
      </c>
      <c r="N12854" t="s">
        <v>27252</v>
      </c>
      <c r="Q12854" s="1">
        <v>44846</v>
      </c>
      <c r="R12854" t="s">
        <v>27253</v>
      </c>
      <c r="S12854" t="s">
        <v>27254</v>
      </c>
      <c r="T12854" t="s">
        <v>27265</v>
      </c>
    </row>
    <row r="12855" spans="1:20" x14ac:dyDescent="0.3">
      <c r="A12855" t="str">
        <f>"0611864250050"</f>
        <v>0611864250050</v>
      </c>
      <c r="B12855" t="str">
        <f>"CR4064"</f>
        <v>CR4064</v>
      </c>
      <c r="C12855" t="s">
        <v>52112</v>
      </c>
      <c r="D12855" t="s">
        <v>27263</v>
      </c>
      <c r="E12855" t="str">
        <f t="shared" si="200"/>
        <v>001390</v>
      </c>
      <c r="F12855" t="s">
        <v>27246</v>
      </c>
      <c r="G12855" t="s">
        <v>27247</v>
      </c>
      <c r="H12855" t="s">
        <v>27248</v>
      </c>
      <c r="I12855" t="s">
        <v>52113</v>
      </c>
      <c r="J12855" t="s">
        <v>25715</v>
      </c>
      <c r="L12855" t="s">
        <v>27250</v>
      </c>
      <c r="M12855" t="s">
        <v>27251</v>
      </c>
      <c r="N12855" t="s">
        <v>27252</v>
      </c>
      <c r="Q12855" s="1">
        <v>44846</v>
      </c>
      <c r="R12855" t="s">
        <v>27253</v>
      </c>
      <c r="S12855" t="s">
        <v>27254</v>
      </c>
      <c r="T12855" t="s">
        <v>27265</v>
      </c>
    </row>
    <row r="12856" spans="1:20" x14ac:dyDescent="0.3">
      <c r="A12856" t="str">
        <f>"0611864251050"</f>
        <v>0611864251050</v>
      </c>
      <c r="B12856" t="str">
        <f>"CR3578"</f>
        <v>CR3578</v>
      </c>
      <c r="C12856" t="s">
        <v>52114</v>
      </c>
      <c r="D12856" t="s">
        <v>27263</v>
      </c>
      <c r="E12856" t="str">
        <f t="shared" si="200"/>
        <v>001390</v>
      </c>
      <c r="F12856" t="s">
        <v>27246</v>
      </c>
      <c r="G12856" t="s">
        <v>27247</v>
      </c>
      <c r="H12856" t="s">
        <v>27248</v>
      </c>
      <c r="I12856" t="s">
        <v>52115</v>
      </c>
      <c r="J12856" t="s">
        <v>25717</v>
      </c>
      <c r="L12856" t="s">
        <v>27250</v>
      </c>
      <c r="M12856" t="s">
        <v>27251</v>
      </c>
      <c r="N12856" t="s">
        <v>27252</v>
      </c>
      <c r="Q12856" s="1">
        <v>44846</v>
      </c>
      <c r="R12856" t="s">
        <v>27253</v>
      </c>
      <c r="S12856" t="s">
        <v>27254</v>
      </c>
      <c r="T12856" t="s">
        <v>27265</v>
      </c>
    </row>
    <row r="12857" spans="1:20" x14ac:dyDescent="0.3">
      <c r="A12857" t="str">
        <f>"0611840021100"</f>
        <v>0611840021100</v>
      </c>
      <c r="B12857" t="str">
        <f>"LQ0774"</f>
        <v>LQ0774</v>
      </c>
      <c r="C12857" t="s">
        <v>52116</v>
      </c>
      <c r="D12857" t="s">
        <v>27245</v>
      </c>
      <c r="E12857" t="str">
        <f t="shared" si="200"/>
        <v>001390</v>
      </c>
      <c r="F12857" t="s">
        <v>27246</v>
      </c>
      <c r="G12857" t="s">
        <v>27247</v>
      </c>
      <c r="H12857" t="s">
        <v>27248</v>
      </c>
      <c r="I12857" t="s">
        <v>52117</v>
      </c>
      <c r="J12857" t="s">
        <v>25719</v>
      </c>
      <c r="L12857" t="s">
        <v>27250</v>
      </c>
      <c r="M12857" t="s">
        <v>27251</v>
      </c>
      <c r="N12857" t="s">
        <v>27252</v>
      </c>
      <c r="Q12857" s="1">
        <v>44538</v>
      </c>
      <c r="R12857" t="s">
        <v>27253</v>
      </c>
      <c r="S12857" t="s">
        <v>27254</v>
      </c>
      <c r="T12857" t="s">
        <v>27255</v>
      </c>
    </row>
    <row r="12858" spans="1:20" x14ac:dyDescent="0.3">
      <c r="A12858" t="str">
        <f>"0611840022100"</f>
        <v>0611840022100</v>
      </c>
      <c r="B12858" t="str">
        <f>"LB9265"</f>
        <v>LB9265</v>
      </c>
      <c r="C12858" t="s">
        <v>52118</v>
      </c>
      <c r="D12858" t="s">
        <v>27245</v>
      </c>
      <c r="E12858" t="str">
        <f t="shared" si="200"/>
        <v>001390</v>
      </c>
      <c r="F12858" t="s">
        <v>27246</v>
      </c>
      <c r="G12858" t="s">
        <v>27247</v>
      </c>
      <c r="H12858" t="s">
        <v>27248</v>
      </c>
      <c r="I12858" t="s">
        <v>52119</v>
      </c>
      <c r="J12858" t="s">
        <v>25721</v>
      </c>
      <c r="L12858" t="s">
        <v>27250</v>
      </c>
      <c r="M12858" t="s">
        <v>27251</v>
      </c>
      <c r="N12858" t="s">
        <v>27252</v>
      </c>
      <c r="Q12858" s="1">
        <v>44538</v>
      </c>
      <c r="R12858" t="s">
        <v>27253</v>
      </c>
      <c r="S12858" t="s">
        <v>27254</v>
      </c>
      <c r="T12858" t="s">
        <v>27255</v>
      </c>
    </row>
    <row r="12859" spans="1:20" x14ac:dyDescent="0.3">
      <c r="A12859" t="str">
        <f>"0611864252050"</f>
        <v>0611864252050</v>
      </c>
      <c r="B12859" t="str">
        <f>"CR3025"</f>
        <v>CR3025</v>
      </c>
      <c r="C12859" t="s">
        <v>52120</v>
      </c>
      <c r="D12859" t="s">
        <v>27271</v>
      </c>
      <c r="E12859" t="str">
        <f t="shared" si="200"/>
        <v>001390</v>
      </c>
      <c r="F12859" t="s">
        <v>27246</v>
      </c>
      <c r="G12859" t="s">
        <v>27247</v>
      </c>
      <c r="H12859" t="s">
        <v>27248</v>
      </c>
      <c r="I12859" t="s">
        <v>52121</v>
      </c>
      <c r="J12859" t="s">
        <v>25723</v>
      </c>
      <c r="L12859" t="s">
        <v>27250</v>
      </c>
      <c r="M12859" t="s">
        <v>27251</v>
      </c>
      <c r="N12859" t="s">
        <v>27252</v>
      </c>
      <c r="P12859" t="s">
        <v>27341</v>
      </c>
      <c r="Q12859" s="1">
        <v>44846</v>
      </c>
      <c r="R12859" t="s">
        <v>27253</v>
      </c>
      <c r="S12859" t="s">
        <v>27254</v>
      </c>
      <c r="T12859" t="s">
        <v>27265</v>
      </c>
    </row>
    <row r="12860" spans="1:20" x14ac:dyDescent="0.3">
      <c r="A12860" t="str">
        <f>"0611864253050"</f>
        <v>0611864253050</v>
      </c>
      <c r="B12860" t="str">
        <f>"CR2580"</f>
        <v>CR2580</v>
      </c>
      <c r="C12860" t="s">
        <v>52122</v>
      </c>
      <c r="D12860" t="s">
        <v>27271</v>
      </c>
      <c r="E12860" t="str">
        <f t="shared" si="200"/>
        <v>001390</v>
      </c>
      <c r="F12860" t="s">
        <v>27246</v>
      </c>
      <c r="G12860" t="s">
        <v>27247</v>
      </c>
      <c r="H12860" t="s">
        <v>27248</v>
      </c>
      <c r="I12860" t="s">
        <v>52123</v>
      </c>
      <c r="J12860" t="s">
        <v>25725</v>
      </c>
      <c r="L12860" t="s">
        <v>27250</v>
      </c>
      <c r="M12860" t="s">
        <v>27251</v>
      </c>
      <c r="N12860" t="s">
        <v>27252</v>
      </c>
      <c r="P12860" t="s">
        <v>27341</v>
      </c>
      <c r="Q12860" s="1">
        <v>44846</v>
      </c>
      <c r="R12860" t="s">
        <v>27253</v>
      </c>
      <c r="S12860" t="s">
        <v>27254</v>
      </c>
      <c r="T12860" t="s">
        <v>27265</v>
      </c>
    </row>
    <row r="12861" spans="1:20" x14ac:dyDescent="0.3">
      <c r="A12861" t="str">
        <f>"0611864254050"</f>
        <v>0611864254050</v>
      </c>
      <c r="B12861" t="str">
        <f>"CR2581"</f>
        <v>CR2581</v>
      </c>
      <c r="C12861" t="s">
        <v>52124</v>
      </c>
      <c r="D12861" t="s">
        <v>27271</v>
      </c>
      <c r="E12861" t="str">
        <f t="shared" si="200"/>
        <v>001390</v>
      </c>
      <c r="F12861" t="s">
        <v>27246</v>
      </c>
      <c r="G12861" t="s">
        <v>27247</v>
      </c>
      <c r="H12861" t="s">
        <v>27248</v>
      </c>
      <c r="I12861" t="s">
        <v>52125</v>
      </c>
      <c r="J12861" t="s">
        <v>25727</v>
      </c>
      <c r="L12861" t="s">
        <v>27250</v>
      </c>
      <c r="M12861" t="s">
        <v>27251</v>
      </c>
      <c r="N12861" t="s">
        <v>27252</v>
      </c>
      <c r="P12861" t="s">
        <v>27341</v>
      </c>
      <c r="Q12861" s="1">
        <v>44846</v>
      </c>
      <c r="R12861" t="s">
        <v>27253</v>
      </c>
      <c r="S12861" t="s">
        <v>27254</v>
      </c>
      <c r="T12861" t="s">
        <v>27265</v>
      </c>
    </row>
    <row r="12862" spans="1:20" x14ac:dyDescent="0.3">
      <c r="A12862" t="str">
        <f>"0611864255050"</f>
        <v>0611864255050</v>
      </c>
      <c r="B12862" t="str">
        <f>"CR2582"</f>
        <v>CR2582</v>
      </c>
      <c r="C12862" t="s">
        <v>52126</v>
      </c>
      <c r="D12862" t="s">
        <v>27271</v>
      </c>
      <c r="E12862" t="str">
        <f t="shared" si="200"/>
        <v>001390</v>
      </c>
      <c r="F12862" t="s">
        <v>27246</v>
      </c>
      <c r="G12862" t="s">
        <v>27247</v>
      </c>
      <c r="H12862" t="s">
        <v>27248</v>
      </c>
      <c r="I12862" t="s">
        <v>52127</v>
      </c>
      <c r="J12862" t="s">
        <v>25729</v>
      </c>
      <c r="L12862" t="s">
        <v>27250</v>
      </c>
      <c r="M12862" t="s">
        <v>27251</v>
      </c>
      <c r="N12862" t="s">
        <v>27252</v>
      </c>
      <c r="P12862" t="s">
        <v>27341</v>
      </c>
      <c r="Q12862" s="1">
        <v>44846</v>
      </c>
      <c r="R12862" t="s">
        <v>27253</v>
      </c>
      <c r="S12862" t="s">
        <v>27254</v>
      </c>
      <c r="T12862" t="s">
        <v>27265</v>
      </c>
    </row>
    <row r="12863" spans="1:20" x14ac:dyDescent="0.3">
      <c r="A12863" t="str">
        <f>"0611864256050"</f>
        <v>0611864256050</v>
      </c>
      <c r="B12863" t="str">
        <f>"CR2583"</f>
        <v>CR2583</v>
      </c>
      <c r="C12863" t="s">
        <v>52128</v>
      </c>
      <c r="D12863" t="s">
        <v>27271</v>
      </c>
      <c r="E12863" t="str">
        <f t="shared" si="200"/>
        <v>001390</v>
      </c>
      <c r="F12863" t="s">
        <v>27246</v>
      </c>
      <c r="G12863" t="s">
        <v>27247</v>
      </c>
      <c r="H12863" t="s">
        <v>27248</v>
      </c>
      <c r="I12863" t="s">
        <v>52129</v>
      </c>
      <c r="J12863" t="s">
        <v>25731</v>
      </c>
      <c r="L12863" t="s">
        <v>27250</v>
      </c>
      <c r="M12863" t="s">
        <v>27251</v>
      </c>
      <c r="N12863" t="s">
        <v>27252</v>
      </c>
      <c r="P12863" t="s">
        <v>27341</v>
      </c>
      <c r="Q12863" s="1">
        <v>44846</v>
      </c>
      <c r="R12863" t="s">
        <v>27253</v>
      </c>
      <c r="S12863" t="s">
        <v>27254</v>
      </c>
      <c r="T12863" t="s">
        <v>27265</v>
      </c>
    </row>
    <row r="12864" spans="1:20" x14ac:dyDescent="0.3">
      <c r="A12864" t="str">
        <f>"0611884494050"</f>
        <v>0611884494050</v>
      </c>
      <c r="B12864" t="str">
        <f>"CR5408"</f>
        <v>CR5408</v>
      </c>
      <c r="C12864" t="s">
        <v>52130</v>
      </c>
      <c r="D12864" t="s">
        <v>27271</v>
      </c>
      <c r="E12864" t="str">
        <f t="shared" si="200"/>
        <v>001390</v>
      </c>
      <c r="F12864" t="s">
        <v>27246</v>
      </c>
      <c r="G12864" t="s">
        <v>27247</v>
      </c>
      <c r="H12864" t="s">
        <v>27248</v>
      </c>
      <c r="I12864" t="s">
        <v>52131</v>
      </c>
      <c r="J12864" t="s">
        <v>25733</v>
      </c>
      <c r="L12864" t="s">
        <v>27430</v>
      </c>
      <c r="M12864" t="s">
        <v>27251</v>
      </c>
      <c r="N12864" t="s">
        <v>27252</v>
      </c>
      <c r="P12864" t="s">
        <v>27341</v>
      </c>
      <c r="Q12864" s="1">
        <v>45250</v>
      </c>
      <c r="R12864" t="s">
        <v>27253</v>
      </c>
      <c r="S12864" t="s">
        <v>27254</v>
      </c>
      <c r="T12864" t="s">
        <v>27265</v>
      </c>
    </row>
    <row r="12865" spans="1:20" x14ac:dyDescent="0.3">
      <c r="A12865" t="str">
        <f>"0611864257050"</f>
        <v>0611864257050</v>
      </c>
      <c r="B12865" t="str">
        <f>"CR2765"</f>
        <v>CR2765</v>
      </c>
      <c r="C12865" t="s">
        <v>52132</v>
      </c>
      <c r="D12865" t="s">
        <v>27271</v>
      </c>
      <c r="E12865" t="str">
        <f t="shared" si="200"/>
        <v>001390</v>
      </c>
      <c r="F12865" t="s">
        <v>27246</v>
      </c>
      <c r="G12865" t="s">
        <v>27247</v>
      </c>
      <c r="H12865" t="s">
        <v>27248</v>
      </c>
      <c r="I12865" t="s">
        <v>52133</v>
      </c>
      <c r="J12865" t="s">
        <v>25735</v>
      </c>
      <c r="L12865" t="s">
        <v>27250</v>
      </c>
      <c r="M12865" t="s">
        <v>27251</v>
      </c>
      <c r="N12865" t="s">
        <v>27252</v>
      </c>
      <c r="P12865" t="s">
        <v>27341</v>
      </c>
      <c r="Q12865" s="1">
        <v>44846</v>
      </c>
      <c r="R12865" t="s">
        <v>27253</v>
      </c>
      <c r="S12865" t="s">
        <v>27254</v>
      </c>
      <c r="T12865" t="s">
        <v>27265</v>
      </c>
    </row>
    <row r="12866" spans="1:20" x14ac:dyDescent="0.3">
      <c r="A12866" t="str">
        <f>"0611864258050"</f>
        <v>0611864258050</v>
      </c>
      <c r="B12866" t="str">
        <f>"CR2766"</f>
        <v>CR2766</v>
      </c>
      <c r="C12866" t="s">
        <v>52134</v>
      </c>
      <c r="D12866" t="s">
        <v>27271</v>
      </c>
      <c r="E12866" t="str">
        <f t="shared" ref="E12866:E12929" si="201">"001390"</f>
        <v>001390</v>
      </c>
      <c r="F12866" t="s">
        <v>27246</v>
      </c>
      <c r="G12866" t="s">
        <v>27247</v>
      </c>
      <c r="H12866" t="s">
        <v>27248</v>
      </c>
      <c r="I12866" t="s">
        <v>52135</v>
      </c>
      <c r="J12866" t="s">
        <v>25737</v>
      </c>
      <c r="L12866" t="s">
        <v>27250</v>
      </c>
      <c r="M12866" t="s">
        <v>27251</v>
      </c>
      <c r="N12866" t="s">
        <v>27252</v>
      </c>
      <c r="P12866" t="s">
        <v>27341</v>
      </c>
      <c r="Q12866" s="1">
        <v>44846</v>
      </c>
      <c r="R12866" t="s">
        <v>27253</v>
      </c>
      <c r="S12866" t="s">
        <v>27254</v>
      </c>
      <c r="T12866" t="s">
        <v>27265</v>
      </c>
    </row>
    <row r="12867" spans="1:20" x14ac:dyDescent="0.3">
      <c r="A12867" t="str">
        <f>"0611864259050"</f>
        <v>0611864259050</v>
      </c>
      <c r="B12867" t="str">
        <f>"CR2769"</f>
        <v>CR2769</v>
      </c>
      <c r="C12867" t="s">
        <v>52136</v>
      </c>
      <c r="D12867" t="s">
        <v>27271</v>
      </c>
      <c r="E12867" t="str">
        <f t="shared" si="201"/>
        <v>001390</v>
      </c>
      <c r="F12867" t="s">
        <v>27246</v>
      </c>
      <c r="G12867" t="s">
        <v>27247</v>
      </c>
      <c r="H12867" t="s">
        <v>27248</v>
      </c>
      <c r="I12867" t="s">
        <v>52137</v>
      </c>
      <c r="J12867" t="s">
        <v>25739</v>
      </c>
      <c r="L12867" t="s">
        <v>27250</v>
      </c>
      <c r="M12867" t="s">
        <v>27251</v>
      </c>
      <c r="N12867" t="s">
        <v>27252</v>
      </c>
      <c r="P12867" t="s">
        <v>27341</v>
      </c>
      <c r="Q12867" s="1">
        <v>44846</v>
      </c>
      <c r="R12867" t="s">
        <v>27253</v>
      </c>
      <c r="S12867" t="s">
        <v>27254</v>
      </c>
      <c r="T12867" t="s">
        <v>27265</v>
      </c>
    </row>
    <row r="12868" spans="1:20" x14ac:dyDescent="0.3">
      <c r="A12868" t="str">
        <f>"0611864260050"</f>
        <v>0611864260050</v>
      </c>
      <c r="B12868" t="str">
        <f>"CR2584"</f>
        <v>CR2584</v>
      </c>
      <c r="C12868" t="s">
        <v>52138</v>
      </c>
      <c r="D12868" t="s">
        <v>27271</v>
      </c>
      <c r="E12868" t="str">
        <f t="shared" si="201"/>
        <v>001390</v>
      </c>
      <c r="F12868" t="s">
        <v>27246</v>
      </c>
      <c r="G12868" t="s">
        <v>27247</v>
      </c>
      <c r="H12868" t="s">
        <v>27248</v>
      </c>
      <c r="I12868" t="s">
        <v>52139</v>
      </c>
      <c r="J12868" t="s">
        <v>25741</v>
      </c>
      <c r="L12868" t="s">
        <v>27250</v>
      </c>
      <c r="M12868" t="s">
        <v>27251</v>
      </c>
      <c r="N12868" t="s">
        <v>27252</v>
      </c>
      <c r="P12868" t="s">
        <v>27341</v>
      </c>
      <c r="Q12868" s="1">
        <v>44846</v>
      </c>
      <c r="R12868" t="s">
        <v>27253</v>
      </c>
      <c r="S12868" t="s">
        <v>27254</v>
      </c>
      <c r="T12868" t="s">
        <v>27265</v>
      </c>
    </row>
    <row r="12869" spans="1:20" x14ac:dyDescent="0.3">
      <c r="A12869" t="str">
        <f>"0611840023100"</f>
        <v>0611840023100</v>
      </c>
      <c r="B12869" t="str">
        <f>"LK3049"</f>
        <v>LK3049</v>
      </c>
      <c r="C12869" t="s">
        <v>52140</v>
      </c>
      <c r="D12869" t="s">
        <v>27245</v>
      </c>
      <c r="E12869" t="str">
        <f t="shared" si="201"/>
        <v>001390</v>
      </c>
      <c r="F12869" t="s">
        <v>27246</v>
      </c>
      <c r="G12869" t="s">
        <v>27247</v>
      </c>
      <c r="H12869" t="s">
        <v>27248</v>
      </c>
      <c r="I12869" t="s">
        <v>52141</v>
      </c>
      <c r="J12869" t="s">
        <v>25743</v>
      </c>
      <c r="L12869" t="s">
        <v>27250</v>
      </c>
      <c r="M12869" t="s">
        <v>27251</v>
      </c>
      <c r="N12869" t="s">
        <v>27252</v>
      </c>
      <c r="Q12869" s="1">
        <v>44538</v>
      </c>
      <c r="R12869" t="s">
        <v>27253</v>
      </c>
      <c r="S12869" t="s">
        <v>27254</v>
      </c>
      <c r="T12869" t="s">
        <v>27255</v>
      </c>
    </row>
    <row r="12870" spans="1:20" x14ac:dyDescent="0.3">
      <c r="A12870" t="str">
        <f>"0611864261100"</f>
        <v>0611864261100</v>
      </c>
      <c r="B12870" t="str">
        <f>"CN2393"</f>
        <v>CN2393</v>
      </c>
      <c r="C12870" t="s">
        <v>52142</v>
      </c>
      <c r="D12870" t="s">
        <v>27335</v>
      </c>
      <c r="E12870" t="str">
        <f t="shared" si="201"/>
        <v>001390</v>
      </c>
      <c r="F12870" t="s">
        <v>27246</v>
      </c>
      <c r="G12870" t="s">
        <v>27247</v>
      </c>
      <c r="H12870" t="s">
        <v>27248</v>
      </c>
      <c r="I12870" t="s">
        <v>52143</v>
      </c>
      <c r="J12870" t="s">
        <v>25745</v>
      </c>
      <c r="L12870" t="s">
        <v>27250</v>
      </c>
      <c r="M12870" t="s">
        <v>27251</v>
      </c>
      <c r="N12870" t="s">
        <v>27252</v>
      </c>
      <c r="Q12870" s="1">
        <v>44846</v>
      </c>
      <c r="R12870" t="s">
        <v>27253</v>
      </c>
      <c r="S12870" t="s">
        <v>27254</v>
      </c>
      <c r="T12870" t="s">
        <v>27255</v>
      </c>
    </row>
    <row r="12871" spans="1:20" x14ac:dyDescent="0.3">
      <c r="A12871" t="str">
        <f>"0611840024100"</f>
        <v>0611840024100</v>
      </c>
      <c r="B12871" t="str">
        <f>"LH8604"</f>
        <v>LH8604</v>
      </c>
      <c r="C12871" t="s">
        <v>52144</v>
      </c>
      <c r="D12871" t="s">
        <v>27245</v>
      </c>
      <c r="E12871" t="str">
        <f t="shared" si="201"/>
        <v>001390</v>
      </c>
      <c r="F12871" t="s">
        <v>27246</v>
      </c>
      <c r="G12871" t="s">
        <v>27247</v>
      </c>
      <c r="H12871" t="s">
        <v>27248</v>
      </c>
      <c r="I12871" t="s">
        <v>52145</v>
      </c>
      <c r="J12871" t="s">
        <v>25747</v>
      </c>
      <c r="L12871" t="s">
        <v>27250</v>
      </c>
      <c r="M12871" t="s">
        <v>27251</v>
      </c>
      <c r="N12871" t="s">
        <v>27252</v>
      </c>
      <c r="Q12871" s="1">
        <v>44538</v>
      </c>
      <c r="R12871" t="s">
        <v>27253</v>
      </c>
      <c r="S12871" t="s">
        <v>27254</v>
      </c>
      <c r="T12871" t="s">
        <v>27255</v>
      </c>
    </row>
    <row r="12872" spans="1:20" x14ac:dyDescent="0.3">
      <c r="A12872" t="str">
        <f>"0611840026100"</f>
        <v>0611840026100</v>
      </c>
      <c r="B12872" t="str">
        <f>"LH8930"</f>
        <v>LH8930</v>
      </c>
      <c r="C12872" t="s">
        <v>52146</v>
      </c>
      <c r="D12872" t="s">
        <v>27245</v>
      </c>
      <c r="E12872" t="str">
        <f t="shared" si="201"/>
        <v>001390</v>
      </c>
      <c r="F12872" t="s">
        <v>27246</v>
      </c>
      <c r="G12872" t="s">
        <v>27247</v>
      </c>
      <c r="H12872" t="s">
        <v>27248</v>
      </c>
      <c r="I12872" t="s">
        <v>52147</v>
      </c>
      <c r="J12872" t="s">
        <v>25749</v>
      </c>
      <c r="L12872" t="s">
        <v>27250</v>
      </c>
      <c r="M12872" t="s">
        <v>27251</v>
      </c>
      <c r="N12872" t="s">
        <v>27252</v>
      </c>
      <c r="Q12872" s="1">
        <v>44538</v>
      </c>
      <c r="R12872" t="s">
        <v>27253</v>
      </c>
      <c r="S12872" t="s">
        <v>27254</v>
      </c>
      <c r="T12872" t="s">
        <v>27255</v>
      </c>
    </row>
    <row r="12873" spans="1:20" x14ac:dyDescent="0.3">
      <c r="A12873" t="str">
        <f>"0611840027025"</f>
        <v>0611840027025</v>
      </c>
      <c r="B12873" t="str">
        <f>"MC0928"</f>
        <v>MC0928</v>
      </c>
      <c r="C12873" t="s">
        <v>52148</v>
      </c>
      <c r="D12873" t="s">
        <v>27267</v>
      </c>
      <c r="E12873" t="str">
        <f t="shared" si="201"/>
        <v>001390</v>
      </c>
      <c r="F12873" t="s">
        <v>27246</v>
      </c>
      <c r="G12873" t="s">
        <v>27247</v>
      </c>
      <c r="H12873" t="s">
        <v>27248</v>
      </c>
      <c r="I12873" t="s">
        <v>52149</v>
      </c>
      <c r="J12873" t="s">
        <v>25751</v>
      </c>
      <c r="L12873" t="s">
        <v>27250</v>
      </c>
      <c r="M12873" t="s">
        <v>27251</v>
      </c>
      <c r="N12873" t="s">
        <v>27252</v>
      </c>
      <c r="Q12873" s="1">
        <v>44538</v>
      </c>
      <c r="R12873" t="s">
        <v>27253</v>
      </c>
      <c r="S12873" t="s">
        <v>27254</v>
      </c>
      <c r="T12873" t="s">
        <v>27269</v>
      </c>
    </row>
    <row r="12874" spans="1:20" x14ac:dyDescent="0.3">
      <c r="A12874" t="str">
        <f>"0611864262100"</f>
        <v>0611864262100</v>
      </c>
      <c r="B12874" t="str">
        <f>"CN2394"</f>
        <v>CN2394</v>
      </c>
      <c r="C12874" t="s">
        <v>52150</v>
      </c>
      <c r="D12874" t="s">
        <v>27335</v>
      </c>
      <c r="E12874" t="str">
        <f t="shared" si="201"/>
        <v>001390</v>
      </c>
      <c r="F12874" t="s">
        <v>27246</v>
      </c>
      <c r="G12874" t="s">
        <v>27247</v>
      </c>
      <c r="H12874" t="s">
        <v>27248</v>
      </c>
      <c r="I12874" t="s">
        <v>52151</v>
      </c>
      <c r="J12874" t="s">
        <v>25753</v>
      </c>
      <c r="L12874" t="s">
        <v>27250</v>
      </c>
      <c r="M12874" t="s">
        <v>27251</v>
      </c>
      <c r="N12874" t="s">
        <v>27252</v>
      </c>
      <c r="Q12874" s="1">
        <v>44846</v>
      </c>
      <c r="R12874" t="s">
        <v>27253</v>
      </c>
      <c r="S12874" t="s">
        <v>27254</v>
      </c>
      <c r="T12874" t="s">
        <v>27255</v>
      </c>
    </row>
    <row r="12875" spans="1:20" x14ac:dyDescent="0.3">
      <c r="A12875" t="str">
        <f>"0611840029100"</f>
        <v>0611840029100</v>
      </c>
      <c r="B12875" t="str">
        <f>"LH8857"</f>
        <v>LH8857</v>
      </c>
      <c r="C12875" t="s">
        <v>52152</v>
      </c>
      <c r="D12875" t="s">
        <v>27245</v>
      </c>
      <c r="E12875" t="str">
        <f t="shared" si="201"/>
        <v>001390</v>
      </c>
      <c r="F12875" t="s">
        <v>27246</v>
      </c>
      <c r="G12875" t="s">
        <v>27247</v>
      </c>
      <c r="H12875" t="s">
        <v>27248</v>
      </c>
      <c r="I12875" t="s">
        <v>52153</v>
      </c>
      <c r="J12875" t="s">
        <v>25755</v>
      </c>
      <c r="L12875" t="s">
        <v>27250</v>
      </c>
      <c r="M12875" t="s">
        <v>27251</v>
      </c>
      <c r="N12875" t="s">
        <v>27252</v>
      </c>
      <c r="Q12875" s="1">
        <v>44538</v>
      </c>
      <c r="R12875" t="s">
        <v>27253</v>
      </c>
      <c r="S12875" t="s">
        <v>27254</v>
      </c>
      <c r="T12875" t="s">
        <v>27255</v>
      </c>
    </row>
    <row r="12876" spans="1:20" x14ac:dyDescent="0.3">
      <c r="A12876" t="str">
        <f>"0611840030025"</f>
        <v>0611840030025</v>
      </c>
      <c r="B12876" t="str">
        <f>"MQ0381"</f>
        <v>MQ0381</v>
      </c>
      <c r="C12876" t="s">
        <v>52154</v>
      </c>
      <c r="D12876" t="s">
        <v>27267</v>
      </c>
      <c r="E12876" t="str">
        <f t="shared" si="201"/>
        <v>001390</v>
      </c>
      <c r="F12876" t="s">
        <v>27246</v>
      </c>
      <c r="G12876" t="s">
        <v>27247</v>
      </c>
      <c r="H12876" t="s">
        <v>27248</v>
      </c>
      <c r="I12876" t="s">
        <v>52155</v>
      </c>
      <c r="J12876" t="s">
        <v>25757</v>
      </c>
      <c r="L12876" t="s">
        <v>27250</v>
      </c>
      <c r="M12876" t="s">
        <v>27251</v>
      </c>
      <c r="N12876" t="s">
        <v>27252</v>
      </c>
      <c r="Q12876" s="1">
        <v>44538</v>
      </c>
      <c r="R12876" t="s">
        <v>27253</v>
      </c>
      <c r="S12876" t="s">
        <v>27254</v>
      </c>
      <c r="T12876" t="s">
        <v>27269</v>
      </c>
    </row>
    <row r="12877" spans="1:20" x14ac:dyDescent="0.3">
      <c r="A12877" t="str">
        <f>"0611857167025"</f>
        <v>0611857167025</v>
      </c>
      <c r="B12877" t="str">
        <f>"MC4418"</f>
        <v>MC4418</v>
      </c>
      <c r="C12877" t="s">
        <v>52156</v>
      </c>
      <c r="D12877" t="s">
        <v>27267</v>
      </c>
      <c r="E12877" t="str">
        <f t="shared" si="201"/>
        <v>001390</v>
      </c>
      <c r="F12877" t="s">
        <v>27246</v>
      </c>
      <c r="G12877" t="s">
        <v>27247</v>
      </c>
      <c r="H12877" t="s">
        <v>27248</v>
      </c>
      <c r="I12877" t="s">
        <v>52157</v>
      </c>
      <c r="J12877" t="s">
        <v>25759</v>
      </c>
      <c r="L12877" t="s">
        <v>27250</v>
      </c>
      <c r="M12877" t="s">
        <v>27251</v>
      </c>
      <c r="N12877" t="s">
        <v>27252</v>
      </c>
      <c r="Q12877" s="1">
        <v>44812</v>
      </c>
      <c r="R12877" t="s">
        <v>27253</v>
      </c>
      <c r="S12877" t="s">
        <v>27254</v>
      </c>
      <c r="T12877" t="s">
        <v>27269</v>
      </c>
    </row>
    <row r="12878" spans="1:20" x14ac:dyDescent="0.3">
      <c r="A12878" t="str">
        <f>"0611864263100"</f>
        <v>0611864263100</v>
      </c>
      <c r="B12878" t="str">
        <f>"CN5410"</f>
        <v>CN5410</v>
      </c>
      <c r="C12878" t="s">
        <v>52158</v>
      </c>
      <c r="D12878" t="s">
        <v>27245</v>
      </c>
      <c r="E12878" t="str">
        <f t="shared" si="201"/>
        <v>001390</v>
      </c>
      <c r="F12878" t="s">
        <v>27246</v>
      </c>
      <c r="G12878" t="s">
        <v>27247</v>
      </c>
      <c r="H12878" t="s">
        <v>27248</v>
      </c>
      <c r="I12878" t="s">
        <v>52159</v>
      </c>
      <c r="J12878" t="s">
        <v>25761</v>
      </c>
      <c r="L12878" t="s">
        <v>27250</v>
      </c>
      <c r="M12878" t="s">
        <v>27251</v>
      </c>
      <c r="N12878" t="s">
        <v>27252</v>
      </c>
      <c r="Q12878" s="1">
        <v>44846</v>
      </c>
      <c r="R12878" t="s">
        <v>27253</v>
      </c>
      <c r="S12878" t="s">
        <v>27254</v>
      </c>
      <c r="T12878" t="s">
        <v>27255</v>
      </c>
    </row>
    <row r="12879" spans="1:20" x14ac:dyDescent="0.3">
      <c r="A12879" t="str">
        <f>"0611864264050"</f>
        <v>0611864264050</v>
      </c>
      <c r="B12879" t="str">
        <f>"CR4497"</f>
        <v>CR4497</v>
      </c>
      <c r="C12879" t="s">
        <v>52158</v>
      </c>
      <c r="D12879" t="s">
        <v>27286</v>
      </c>
      <c r="E12879" t="str">
        <f t="shared" si="201"/>
        <v>001390</v>
      </c>
      <c r="F12879" t="s">
        <v>27246</v>
      </c>
      <c r="G12879" t="s">
        <v>27247</v>
      </c>
      <c r="H12879" t="s">
        <v>27248</v>
      </c>
      <c r="I12879" t="s">
        <v>52160</v>
      </c>
      <c r="J12879" t="s">
        <v>25763</v>
      </c>
      <c r="L12879" t="s">
        <v>27250</v>
      </c>
      <c r="M12879" t="s">
        <v>27251</v>
      </c>
      <c r="N12879" t="s">
        <v>27252</v>
      </c>
      <c r="Q12879" s="1">
        <v>44846</v>
      </c>
      <c r="R12879" t="s">
        <v>27253</v>
      </c>
      <c r="S12879" t="s">
        <v>27254</v>
      </c>
      <c r="T12879" t="s">
        <v>27265</v>
      </c>
    </row>
    <row r="12880" spans="1:20" x14ac:dyDescent="0.3">
      <c r="A12880" t="str">
        <f>"0611864265100"</f>
        <v>0611864265100</v>
      </c>
      <c r="B12880" t="str">
        <f>"CN5411"</f>
        <v>CN5411</v>
      </c>
      <c r="C12880" t="s">
        <v>52161</v>
      </c>
      <c r="D12880" t="s">
        <v>27245</v>
      </c>
      <c r="E12880" t="str">
        <f t="shared" si="201"/>
        <v>001390</v>
      </c>
      <c r="F12880" t="s">
        <v>27246</v>
      </c>
      <c r="G12880" t="s">
        <v>27247</v>
      </c>
      <c r="H12880" t="s">
        <v>27248</v>
      </c>
      <c r="I12880" t="s">
        <v>52162</v>
      </c>
      <c r="J12880" t="s">
        <v>25765</v>
      </c>
      <c r="L12880" t="s">
        <v>27250</v>
      </c>
      <c r="M12880" t="s">
        <v>27251</v>
      </c>
      <c r="N12880" t="s">
        <v>27252</v>
      </c>
      <c r="Q12880" s="1">
        <v>44846</v>
      </c>
      <c r="R12880" t="s">
        <v>27253</v>
      </c>
      <c r="S12880" t="s">
        <v>27254</v>
      </c>
      <c r="T12880" t="s">
        <v>27255</v>
      </c>
    </row>
    <row r="12881" spans="1:20" x14ac:dyDescent="0.3">
      <c r="A12881" t="str">
        <f>"0611864266050"</f>
        <v>0611864266050</v>
      </c>
      <c r="B12881" t="str">
        <f>"CR4498"</f>
        <v>CR4498</v>
      </c>
      <c r="C12881" t="s">
        <v>52161</v>
      </c>
      <c r="D12881" t="s">
        <v>27286</v>
      </c>
      <c r="E12881" t="str">
        <f t="shared" si="201"/>
        <v>001390</v>
      </c>
      <c r="F12881" t="s">
        <v>27246</v>
      </c>
      <c r="G12881" t="s">
        <v>27247</v>
      </c>
      <c r="H12881" t="s">
        <v>27248</v>
      </c>
      <c r="I12881" t="s">
        <v>52163</v>
      </c>
      <c r="J12881" t="s">
        <v>25767</v>
      </c>
      <c r="L12881" t="s">
        <v>27250</v>
      </c>
      <c r="M12881" t="s">
        <v>27251</v>
      </c>
      <c r="N12881" t="s">
        <v>27252</v>
      </c>
      <c r="Q12881" s="1">
        <v>44846</v>
      </c>
      <c r="R12881" t="s">
        <v>27253</v>
      </c>
      <c r="S12881" t="s">
        <v>27254</v>
      </c>
      <c r="T12881" t="s">
        <v>27265</v>
      </c>
    </row>
    <row r="12882" spans="1:20" x14ac:dyDescent="0.3">
      <c r="A12882" t="str">
        <f>"0611864267100"</f>
        <v>0611864267100</v>
      </c>
      <c r="B12882" t="str">
        <f>"CN5412"</f>
        <v>CN5412</v>
      </c>
      <c r="C12882" t="s">
        <v>52164</v>
      </c>
      <c r="D12882" t="s">
        <v>27245</v>
      </c>
      <c r="E12882" t="str">
        <f t="shared" si="201"/>
        <v>001390</v>
      </c>
      <c r="F12882" t="s">
        <v>27246</v>
      </c>
      <c r="G12882" t="s">
        <v>27247</v>
      </c>
      <c r="H12882" t="s">
        <v>27248</v>
      </c>
      <c r="I12882" t="s">
        <v>52165</v>
      </c>
      <c r="J12882" t="s">
        <v>25769</v>
      </c>
      <c r="L12882" t="s">
        <v>27250</v>
      </c>
      <c r="M12882" t="s">
        <v>27251</v>
      </c>
      <c r="N12882" t="s">
        <v>27252</v>
      </c>
      <c r="Q12882" s="1">
        <v>44846</v>
      </c>
      <c r="R12882" t="s">
        <v>27253</v>
      </c>
      <c r="S12882" t="s">
        <v>27254</v>
      </c>
      <c r="T12882" t="s">
        <v>27255</v>
      </c>
    </row>
    <row r="12883" spans="1:20" x14ac:dyDescent="0.3">
      <c r="A12883" t="str">
        <f>"0611864268050"</f>
        <v>0611864268050</v>
      </c>
      <c r="B12883" t="str">
        <f>"CR4495"</f>
        <v>CR4495</v>
      </c>
      <c r="C12883" t="s">
        <v>52164</v>
      </c>
      <c r="D12883" t="s">
        <v>27286</v>
      </c>
      <c r="E12883" t="str">
        <f t="shared" si="201"/>
        <v>001390</v>
      </c>
      <c r="F12883" t="s">
        <v>27246</v>
      </c>
      <c r="G12883" t="s">
        <v>27247</v>
      </c>
      <c r="H12883" t="s">
        <v>27248</v>
      </c>
      <c r="I12883" t="s">
        <v>52166</v>
      </c>
      <c r="J12883" t="s">
        <v>25771</v>
      </c>
      <c r="L12883" t="s">
        <v>27250</v>
      </c>
      <c r="M12883" t="s">
        <v>27251</v>
      </c>
      <c r="N12883" t="s">
        <v>27252</v>
      </c>
      <c r="Q12883" s="1">
        <v>44846</v>
      </c>
      <c r="R12883" t="s">
        <v>27253</v>
      </c>
      <c r="S12883" t="s">
        <v>27254</v>
      </c>
      <c r="T12883" t="s">
        <v>27265</v>
      </c>
    </row>
    <row r="12884" spans="1:20" x14ac:dyDescent="0.3">
      <c r="A12884" t="str">
        <f>"0611840031025"</f>
        <v>0611840031025</v>
      </c>
      <c r="B12884" t="str">
        <f>"MQ0382"</f>
        <v>MQ0382</v>
      </c>
      <c r="C12884" t="s">
        <v>52167</v>
      </c>
      <c r="D12884" t="s">
        <v>27267</v>
      </c>
      <c r="E12884" t="str">
        <f t="shared" si="201"/>
        <v>001390</v>
      </c>
      <c r="F12884" t="s">
        <v>27246</v>
      </c>
      <c r="G12884" t="s">
        <v>27247</v>
      </c>
      <c r="H12884" t="s">
        <v>27248</v>
      </c>
      <c r="I12884" t="s">
        <v>52168</v>
      </c>
      <c r="J12884" t="s">
        <v>25773</v>
      </c>
      <c r="L12884" t="s">
        <v>27250</v>
      </c>
      <c r="M12884" t="s">
        <v>27251</v>
      </c>
      <c r="N12884" t="s">
        <v>27252</v>
      </c>
      <c r="Q12884" s="1">
        <v>44538</v>
      </c>
      <c r="R12884" t="s">
        <v>27253</v>
      </c>
      <c r="S12884" t="s">
        <v>27254</v>
      </c>
      <c r="T12884" t="s">
        <v>27269</v>
      </c>
    </row>
    <row r="12885" spans="1:20" x14ac:dyDescent="0.3">
      <c r="A12885" t="str">
        <f>"0611864269100"</f>
        <v>0611864269100</v>
      </c>
      <c r="B12885" t="str">
        <f>"CN5413"</f>
        <v>CN5413</v>
      </c>
      <c r="C12885" t="s">
        <v>52169</v>
      </c>
      <c r="D12885" t="s">
        <v>27245</v>
      </c>
      <c r="E12885" t="str">
        <f t="shared" si="201"/>
        <v>001390</v>
      </c>
      <c r="F12885" t="s">
        <v>27246</v>
      </c>
      <c r="G12885" t="s">
        <v>27247</v>
      </c>
      <c r="H12885" t="s">
        <v>27248</v>
      </c>
      <c r="I12885" t="s">
        <v>52170</v>
      </c>
      <c r="J12885" t="s">
        <v>25775</v>
      </c>
      <c r="L12885" t="s">
        <v>27250</v>
      </c>
      <c r="M12885" t="s">
        <v>27251</v>
      </c>
      <c r="N12885" t="s">
        <v>27252</v>
      </c>
      <c r="Q12885" s="1">
        <v>44846</v>
      </c>
      <c r="R12885" t="s">
        <v>27253</v>
      </c>
      <c r="S12885" t="s">
        <v>27254</v>
      </c>
      <c r="T12885" t="s">
        <v>27255</v>
      </c>
    </row>
    <row r="12886" spans="1:20" x14ac:dyDescent="0.3">
      <c r="A12886" t="str">
        <f>"0611864270050"</f>
        <v>0611864270050</v>
      </c>
      <c r="B12886" t="str">
        <f>"CR4499"</f>
        <v>CR4499</v>
      </c>
      <c r="C12886" t="s">
        <v>52169</v>
      </c>
      <c r="D12886" t="s">
        <v>27286</v>
      </c>
      <c r="E12886" t="str">
        <f t="shared" si="201"/>
        <v>001390</v>
      </c>
      <c r="F12886" t="s">
        <v>27246</v>
      </c>
      <c r="G12886" t="s">
        <v>27247</v>
      </c>
      <c r="H12886" t="s">
        <v>27248</v>
      </c>
      <c r="I12886" t="s">
        <v>52171</v>
      </c>
      <c r="J12886" t="s">
        <v>25777</v>
      </c>
      <c r="L12886" t="s">
        <v>27250</v>
      </c>
      <c r="M12886" t="s">
        <v>27251</v>
      </c>
      <c r="N12886" t="s">
        <v>27252</v>
      </c>
      <c r="Q12886" s="1">
        <v>44846</v>
      </c>
      <c r="R12886" t="s">
        <v>27253</v>
      </c>
      <c r="S12886" t="s">
        <v>27254</v>
      </c>
      <c r="T12886" t="s">
        <v>27265</v>
      </c>
    </row>
    <row r="12887" spans="1:20" x14ac:dyDescent="0.3">
      <c r="A12887" t="str">
        <f>"0611857168025"</f>
        <v>0611857168025</v>
      </c>
      <c r="B12887" t="str">
        <f>"MC4419"</f>
        <v>MC4419</v>
      </c>
      <c r="C12887" t="s">
        <v>52172</v>
      </c>
      <c r="D12887" t="s">
        <v>27267</v>
      </c>
      <c r="E12887" t="str">
        <f t="shared" si="201"/>
        <v>001390</v>
      </c>
      <c r="F12887" t="s">
        <v>27246</v>
      </c>
      <c r="G12887" t="s">
        <v>27247</v>
      </c>
      <c r="H12887" t="s">
        <v>27248</v>
      </c>
      <c r="I12887" t="s">
        <v>52173</v>
      </c>
      <c r="J12887" t="s">
        <v>25779</v>
      </c>
      <c r="L12887" t="s">
        <v>27250</v>
      </c>
      <c r="M12887" t="s">
        <v>27251</v>
      </c>
      <c r="N12887" t="s">
        <v>27252</v>
      </c>
      <c r="Q12887" s="1">
        <v>44812</v>
      </c>
      <c r="R12887" t="s">
        <v>27253</v>
      </c>
      <c r="S12887" t="s">
        <v>27254</v>
      </c>
      <c r="T12887" t="s">
        <v>27269</v>
      </c>
    </row>
    <row r="12888" spans="1:20" x14ac:dyDescent="0.3">
      <c r="A12888" t="str">
        <f>"0611864271100"</f>
        <v>0611864271100</v>
      </c>
      <c r="B12888" t="str">
        <f>"CN5414"</f>
        <v>CN5414</v>
      </c>
      <c r="C12888" t="s">
        <v>52174</v>
      </c>
      <c r="D12888" t="s">
        <v>27245</v>
      </c>
      <c r="E12888" t="str">
        <f t="shared" si="201"/>
        <v>001390</v>
      </c>
      <c r="F12888" t="s">
        <v>27246</v>
      </c>
      <c r="G12888" t="s">
        <v>27247</v>
      </c>
      <c r="H12888" t="s">
        <v>27248</v>
      </c>
      <c r="I12888" t="s">
        <v>52175</v>
      </c>
      <c r="J12888" t="s">
        <v>25781</v>
      </c>
      <c r="L12888" t="s">
        <v>27250</v>
      </c>
      <c r="M12888" t="s">
        <v>27251</v>
      </c>
      <c r="N12888" t="s">
        <v>27252</v>
      </c>
      <c r="Q12888" s="1">
        <v>44846</v>
      </c>
      <c r="R12888" t="s">
        <v>27253</v>
      </c>
      <c r="S12888" t="s">
        <v>27254</v>
      </c>
      <c r="T12888" t="s">
        <v>27255</v>
      </c>
    </row>
    <row r="12889" spans="1:20" x14ac:dyDescent="0.3">
      <c r="A12889" t="str">
        <f>"0611864272050"</f>
        <v>0611864272050</v>
      </c>
      <c r="B12889" t="str">
        <f>"CR4496"</f>
        <v>CR4496</v>
      </c>
      <c r="C12889" t="s">
        <v>52174</v>
      </c>
      <c r="D12889" t="s">
        <v>27286</v>
      </c>
      <c r="E12889" t="str">
        <f t="shared" si="201"/>
        <v>001390</v>
      </c>
      <c r="F12889" t="s">
        <v>27246</v>
      </c>
      <c r="G12889" t="s">
        <v>27247</v>
      </c>
      <c r="H12889" t="s">
        <v>27248</v>
      </c>
      <c r="I12889" t="s">
        <v>52176</v>
      </c>
      <c r="J12889" t="s">
        <v>25783</v>
      </c>
      <c r="L12889" t="s">
        <v>27250</v>
      </c>
      <c r="M12889" t="s">
        <v>27251</v>
      </c>
      <c r="N12889" t="s">
        <v>27252</v>
      </c>
      <c r="Q12889" s="1">
        <v>44846</v>
      </c>
      <c r="R12889" t="s">
        <v>27253</v>
      </c>
      <c r="S12889" t="s">
        <v>27254</v>
      </c>
      <c r="T12889" t="s">
        <v>27265</v>
      </c>
    </row>
    <row r="12890" spans="1:20" x14ac:dyDescent="0.3">
      <c r="A12890" t="str">
        <f>"0611840032025"</f>
        <v>0611840032025</v>
      </c>
      <c r="B12890" t="str">
        <f>"MQ0383"</f>
        <v>MQ0383</v>
      </c>
      <c r="C12890" t="s">
        <v>52177</v>
      </c>
      <c r="D12890" t="s">
        <v>27267</v>
      </c>
      <c r="E12890" t="str">
        <f t="shared" si="201"/>
        <v>001390</v>
      </c>
      <c r="F12890" t="s">
        <v>27246</v>
      </c>
      <c r="G12890" t="s">
        <v>27247</v>
      </c>
      <c r="H12890" t="s">
        <v>27248</v>
      </c>
      <c r="I12890" t="s">
        <v>52178</v>
      </c>
      <c r="J12890" t="s">
        <v>25785</v>
      </c>
      <c r="L12890" t="s">
        <v>27250</v>
      </c>
      <c r="M12890" t="s">
        <v>27251</v>
      </c>
      <c r="N12890" t="s">
        <v>27252</v>
      </c>
      <c r="Q12890" s="1">
        <v>44538</v>
      </c>
      <c r="R12890" t="s">
        <v>27253</v>
      </c>
      <c r="S12890" t="s">
        <v>27254</v>
      </c>
      <c r="T12890" t="s">
        <v>27269</v>
      </c>
    </row>
    <row r="12891" spans="1:20" x14ac:dyDescent="0.3">
      <c r="A12891" t="str">
        <f>"0611864273100"</f>
        <v>0611864273100</v>
      </c>
      <c r="B12891" t="str">
        <f>"CN5415"</f>
        <v>CN5415</v>
      </c>
      <c r="C12891" t="s">
        <v>52179</v>
      </c>
      <c r="D12891" t="s">
        <v>27245</v>
      </c>
      <c r="E12891" t="str">
        <f t="shared" si="201"/>
        <v>001390</v>
      </c>
      <c r="F12891" t="s">
        <v>27246</v>
      </c>
      <c r="G12891" t="s">
        <v>27247</v>
      </c>
      <c r="H12891" t="s">
        <v>27248</v>
      </c>
      <c r="I12891" t="s">
        <v>52180</v>
      </c>
      <c r="J12891" t="s">
        <v>25787</v>
      </c>
      <c r="L12891" t="s">
        <v>27250</v>
      </c>
      <c r="M12891" t="s">
        <v>27251</v>
      </c>
      <c r="N12891" t="s">
        <v>27252</v>
      </c>
      <c r="Q12891" s="1">
        <v>44846</v>
      </c>
      <c r="R12891" t="s">
        <v>27253</v>
      </c>
      <c r="S12891" t="s">
        <v>27254</v>
      </c>
      <c r="T12891" t="s">
        <v>27255</v>
      </c>
    </row>
    <row r="12892" spans="1:20" x14ac:dyDescent="0.3">
      <c r="A12892" t="str">
        <f>"0611864274050"</f>
        <v>0611864274050</v>
      </c>
      <c r="B12892" t="str">
        <f>"CR4500"</f>
        <v>CR4500</v>
      </c>
      <c r="C12892" t="s">
        <v>52179</v>
      </c>
      <c r="D12892" t="s">
        <v>27286</v>
      </c>
      <c r="E12892" t="str">
        <f t="shared" si="201"/>
        <v>001390</v>
      </c>
      <c r="F12892" t="s">
        <v>27246</v>
      </c>
      <c r="G12892" t="s">
        <v>27247</v>
      </c>
      <c r="H12892" t="s">
        <v>27248</v>
      </c>
      <c r="I12892" t="s">
        <v>52181</v>
      </c>
      <c r="J12892" t="s">
        <v>25789</v>
      </c>
      <c r="L12892" t="s">
        <v>27250</v>
      </c>
      <c r="M12892" t="s">
        <v>27251</v>
      </c>
      <c r="N12892" t="s">
        <v>27252</v>
      </c>
      <c r="Q12892" s="1">
        <v>44846</v>
      </c>
      <c r="R12892" t="s">
        <v>27253</v>
      </c>
      <c r="S12892" t="s">
        <v>27254</v>
      </c>
      <c r="T12892" t="s">
        <v>27265</v>
      </c>
    </row>
    <row r="12893" spans="1:20" x14ac:dyDescent="0.3">
      <c r="A12893" t="str">
        <f>"0611840033025"</f>
        <v>0611840033025</v>
      </c>
      <c r="B12893" t="str">
        <f>"MQ0384"</f>
        <v>MQ0384</v>
      </c>
      <c r="C12893" t="s">
        <v>52182</v>
      </c>
      <c r="D12893" t="s">
        <v>27267</v>
      </c>
      <c r="E12893" t="str">
        <f t="shared" si="201"/>
        <v>001390</v>
      </c>
      <c r="F12893" t="s">
        <v>27246</v>
      </c>
      <c r="G12893" t="s">
        <v>27247</v>
      </c>
      <c r="H12893" t="s">
        <v>27248</v>
      </c>
      <c r="I12893" t="s">
        <v>52183</v>
      </c>
      <c r="J12893" t="s">
        <v>25791</v>
      </c>
      <c r="L12893" t="s">
        <v>27250</v>
      </c>
      <c r="M12893" t="s">
        <v>27251</v>
      </c>
      <c r="N12893" t="s">
        <v>27252</v>
      </c>
      <c r="Q12893" s="1">
        <v>44538</v>
      </c>
      <c r="R12893" t="s">
        <v>27253</v>
      </c>
      <c r="S12893" t="s">
        <v>27254</v>
      </c>
      <c r="T12893" t="s">
        <v>27269</v>
      </c>
    </row>
    <row r="12894" spans="1:20" x14ac:dyDescent="0.3">
      <c r="A12894" t="str">
        <f>"0611864275100"</f>
        <v>0611864275100</v>
      </c>
      <c r="B12894" t="str">
        <f>"CN5416"</f>
        <v>CN5416</v>
      </c>
      <c r="C12894" t="s">
        <v>52184</v>
      </c>
      <c r="D12894" t="s">
        <v>27245</v>
      </c>
      <c r="E12894" t="str">
        <f t="shared" si="201"/>
        <v>001390</v>
      </c>
      <c r="F12894" t="s">
        <v>27246</v>
      </c>
      <c r="G12894" t="s">
        <v>27247</v>
      </c>
      <c r="H12894" t="s">
        <v>27248</v>
      </c>
      <c r="I12894" t="s">
        <v>52185</v>
      </c>
      <c r="J12894" t="s">
        <v>25793</v>
      </c>
      <c r="L12894" t="s">
        <v>27250</v>
      </c>
      <c r="M12894" t="s">
        <v>27251</v>
      </c>
      <c r="N12894" t="s">
        <v>27252</v>
      </c>
      <c r="Q12894" s="1">
        <v>44846</v>
      </c>
      <c r="R12894" t="s">
        <v>27253</v>
      </c>
      <c r="S12894" t="s">
        <v>27254</v>
      </c>
      <c r="T12894" t="s">
        <v>27255</v>
      </c>
    </row>
    <row r="12895" spans="1:20" x14ac:dyDescent="0.3">
      <c r="A12895" t="str">
        <f>"0611864276050"</f>
        <v>0611864276050</v>
      </c>
      <c r="B12895" t="str">
        <f>"CR4501"</f>
        <v>CR4501</v>
      </c>
      <c r="C12895" t="s">
        <v>52184</v>
      </c>
      <c r="D12895" t="s">
        <v>27286</v>
      </c>
      <c r="E12895" t="str">
        <f t="shared" si="201"/>
        <v>001390</v>
      </c>
      <c r="F12895" t="s">
        <v>27246</v>
      </c>
      <c r="G12895" t="s">
        <v>27247</v>
      </c>
      <c r="H12895" t="s">
        <v>27248</v>
      </c>
      <c r="I12895" t="s">
        <v>52186</v>
      </c>
      <c r="J12895" t="s">
        <v>25795</v>
      </c>
      <c r="L12895" t="s">
        <v>27250</v>
      </c>
      <c r="M12895" t="s">
        <v>27251</v>
      </c>
      <c r="N12895" t="s">
        <v>27252</v>
      </c>
      <c r="Q12895" s="1">
        <v>44846</v>
      </c>
      <c r="R12895" t="s">
        <v>27253</v>
      </c>
      <c r="S12895" t="s">
        <v>27254</v>
      </c>
      <c r="T12895" t="s">
        <v>27265</v>
      </c>
    </row>
    <row r="12896" spans="1:20" x14ac:dyDescent="0.3">
      <c r="A12896" t="str">
        <f>"0611857169025"</f>
        <v>0611857169025</v>
      </c>
      <c r="B12896" t="str">
        <f>"MC4420"</f>
        <v>MC4420</v>
      </c>
      <c r="C12896" t="s">
        <v>52187</v>
      </c>
      <c r="D12896" t="s">
        <v>27267</v>
      </c>
      <c r="E12896" t="str">
        <f t="shared" si="201"/>
        <v>001390</v>
      </c>
      <c r="F12896" t="s">
        <v>27246</v>
      </c>
      <c r="G12896" t="s">
        <v>27247</v>
      </c>
      <c r="H12896" t="s">
        <v>27248</v>
      </c>
      <c r="I12896" t="s">
        <v>52188</v>
      </c>
      <c r="J12896" t="s">
        <v>25797</v>
      </c>
      <c r="L12896" t="s">
        <v>27250</v>
      </c>
      <c r="M12896" t="s">
        <v>27251</v>
      </c>
      <c r="N12896" t="s">
        <v>27252</v>
      </c>
      <c r="Q12896" s="1">
        <v>44812</v>
      </c>
      <c r="R12896" t="s">
        <v>27253</v>
      </c>
      <c r="S12896" t="s">
        <v>27254</v>
      </c>
      <c r="T12896" t="s">
        <v>27269</v>
      </c>
    </row>
    <row r="12897" spans="1:20" x14ac:dyDescent="0.3">
      <c r="A12897" t="str">
        <f>"0611864277100"</f>
        <v>0611864277100</v>
      </c>
      <c r="B12897" t="str">
        <f>"CN5417"</f>
        <v>CN5417</v>
      </c>
      <c r="C12897" t="s">
        <v>52189</v>
      </c>
      <c r="D12897" t="s">
        <v>27245</v>
      </c>
      <c r="E12897" t="str">
        <f t="shared" si="201"/>
        <v>001390</v>
      </c>
      <c r="F12897" t="s">
        <v>27246</v>
      </c>
      <c r="G12897" t="s">
        <v>27247</v>
      </c>
      <c r="H12897" t="s">
        <v>27248</v>
      </c>
      <c r="I12897" t="s">
        <v>52190</v>
      </c>
      <c r="J12897" t="s">
        <v>25799</v>
      </c>
      <c r="L12897" t="s">
        <v>27250</v>
      </c>
      <c r="M12897" t="s">
        <v>27251</v>
      </c>
      <c r="N12897" t="s">
        <v>27252</v>
      </c>
      <c r="Q12897" s="1">
        <v>44846</v>
      </c>
      <c r="R12897" t="s">
        <v>27253</v>
      </c>
      <c r="S12897" t="s">
        <v>27254</v>
      </c>
      <c r="T12897" t="s">
        <v>27255</v>
      </c>
    </row>
    <row r="12898" spans="1:20" x14ac:dyDescent="0.3">
      <c r="A12898" t="str">
        <f>"0611864278050"</f>
        <v>0611864278050</v>
      </c>
      <c r="B12898" t="str">
        <f>"CR4502"</f>
        <v>CR4502</v>
      </c>
      <c r="C12898" t="s">
        <v>52189</v>
      </c>
      <c r="D12898" t="s">
        <v>27286</v>
      </c>
      <c r="E12898" t="str">
        <f t="shared" si="201"/>
        <v>001390</v>
      </c>
      <c r="F12898" t="s">
        <v>27246</v>
      </c>
      <c r="G12898" t="s">
        <v>27247</v>
      </c>
      <c r="H12898" t="s">
        <v>27248</v>
      </c>
      <c r="I12898" t="s">
        <v>52191</v>
      </c>
      <c r="J12898" t="s">
        <v>25801</v>
      </c>
      <c r="L12898" t="s">
        <v>27250</v>
      </c>
      <c r="M12898" t="s">
        <v>27251</v>
      </c>
      <c r="N12898" t="s">
        <v>27252</v>
      </c>
      <c r="Q12898" s="1">
        <v>44846</v>
      </c>
      <c r="R12898" t="s">
        <v>27253</v>
      </c>
      <c r="S12898" t="s">
        <v>27254</v>
      </c>
      <c r="T12898" t="s">
        <v>27265</v>
      </c>
    </row>
    <row r="12899" spans="1:20" x14ac:dyDescent="0.3">
      <c r="A12899" t="str">
        <f>"0611840034025"</f>
        <v>0611840034025</v>
      </c>
      <c r="B12899" t="str">
        <f>"MQ0457"</f>
        <v>MQ0457</v>
      </c>
      <c r="C12899" t="s">
        <v>52192</v>
      </c>
      <c r="D12899" t="s">
        <v>27267</v>
      </c>
      <c r="E12899" t="str">
        <f t="shared" si="201"/>
        <v>001390</v>
      </c>
      <c r="F12899" t="s">
        <v>27246</v>
      </c>
      <c r="G12899" t="s">
        <v>27247</v>
      </c>
      <c r="H12899" t="s">
        <v>27248</v>
      </c>
      <c r="I12899" t="s">
        <v>52193</v>
      </c>
      <c r="J12899" t="s">
        <v>25803</v>
      </c>
      <c r="L12899" t="s">
        <v>27250</v>
      </c>
      <c r="M12899" t="s">
        <v>27251</v>
      </c>
      <c r="N12899" t="s">
        <v>27252</v>
      </c>
      <c r="Q12899" s="1">
        <v>44538</v>
      </c>
      <c r="R12899" t="s">
        <v>27253</v>
      </c>
      <c r="S12899" t="s">
        <v>27254</v>
      </c>
      <c r="T12899" t="s">
        <v>27269</v>
      </c>
    </row>
    <row r="12900" spans="1:20" x14ac:dyDescent="0.3">
      <c r="A12900" t="str">
        <f>"0611840035100"</f>
        <v>0611840035100</v>
      </c>
      <c r="B12900" t="str">
        <f>"LH8877"</f>
        <v>LH8877</v>
      </c>
      <c r="C12900" t="s">
        <v>52194</v>
      </c>
      <c r="D12900" t="s">
        <v>27245</v>
      </c>
      <c r="E12900" t="str">
        <f t="shared" si="201"/>
        <v>001390</v>
      </c>
      <c r="F12900" t="s">
        <v>27246</v>
      </c>
      <c r="G12900" t="s">
        <v>27247</v>
      </c>
      <c r="H12900" t="s">
        <v>27248</v>
      </c>
      <c r="I12900" t="s">
        <v>52195</v>
      </c>
      <c r="J12900" t="s">
        <v>25807</v>
      </c>
      <c r="L12900" t="s">
        <v>27250</v>
      </c>
      <c r="M12900" t="s">
        <v>27251</v>
      </c>
      <c r="N12900" t="s">
        <v>27252</v>
      </c>
      <c r="Q12900" s="1">
        <v>44538</v>
      </c>
      <c r="R12900" t="s">
        <v>27253</v>
      </c>
      <c r="S12900" t="s">
        <v>27254</v>
      </c>
      <c r="T12900" t="s">
        <v>27255</v>
      </c>
    </row>
    <row r="12901" spans="1:20" x14ac:dyDescent="0.3">
      <c r="A12901" t="str">
        <f>"0611840036025"</f>
        <v>0611840036025</v>
      </c>
      <c r="B12901" t="str">
        <f>"MC1487"</f>
        <v>MC1487</v>
      </c>
      <c r="C12901" t="s">
        <v>52194</v>
      </c>
      <c r="D12901" t="s">
        <v>27267</v>
      </c>
      <c r="E12901" t="str">
        <f t="shared" si="201"/>
        <v>001390</v>
      </c>
      <c r="F12901" t="s">
        <v>27246</v>
      </c>
      <c r="G12901" t="s">
        <v>27247</v>
      </c>
      <c r="H12901" t="s">
        <v>27248</v>
      </c>
      <c r="I12901" t="s">
        <v>52196</v>
      </c>
      <c r="J12901" t="s">
        <v>25809</v>
      </c>
      <c r="L12901" t="s">
        <v>27250</v>
      </c>
      <c r="M12901" t="s">
        <v>27251</v>
      </c>
      <c r="N12901" t="s">
        <v>27252</v>
      </c>
      <c r="Q12901" s="1">
        <v>44538</v>
      </c>
      <c r="R12901" t="s">
        <v>27253</v>
      </c>
      <c r="S12901" t="s">
        <v>27254</v>
      </c>
      <c r="T12901" t="s">
        <v>27269</v>
      </c>
    </row>
    <row r="12902" spans="1:20" x14ac:dyDescent="0.3">
      <c r="A12902" t="str">
        <f>"0611864279050"</f>
        <v>0611864279050</v>
      </c>
      <c r="B12902" t="str">
        <f>"CR4503"</f>
        <v>CR4503</v>
      </c>
      <c r="C12902" t="s">
        <v>52194</v>
      </c>
      <c r="D12902" t="s">
        <v>27263</v>
      </c>
      <c r="E12902" t="str">
        <f t="shared" si="201"/>
        <v>001390</v>
      </c>
      <c r="F12902" t="s">
        <v>27246</v>
      </c>
      <c r="G12902" t="s">
        <v>27247</v>
      </c>
      <c r="H12902" t="s">
        <v>27248</v>
      </c>
      <c r="I12902" t="s">
        <v>52197</v>
      </c>
      <c r="J12902" t="s">
        <v>25811</v>
      </c>
      <c r="L12902" t="s">
        <v>27250</v>
      </c>
      <c r="M12902" t="s">
        <v>27251</v>
      </c>
      <c r="N12902" t="s">
        <v>27252</v>
      </c>
      <c r="Q12902" s="1">
        <v>44846</v>
      </c>
      <c r="R12902" t="s">
        <v>27253</v>
      </c>
      <c r="S12902" t="s">
        <v>27254</v>
      </c>
      <c r="T12902" t="s">
        <v>27265</v>
      </c>
    </row>
    <row r="12903" spans="1:20" x14ac:dyDescent="0.3">
      <c r="A12903" t="str">
        <f>"0611864280100"</f>
        <v>0611864280100</v>
      </c>
      <c r="B12903" t="str">
        <f>"CN5418"</f>
        <v>CN5418</v>
      </c>
      <c r="C12903" t="s">
        <v>52198</v>
      </c>
      <c r="D12903" t="s">
        <v>27335</v>
      </c>
      <c r="E12903" t="str">
        <f t="shared" si="201"/>
        <v>001390</v>
      </c>
      <c r="F12903" t="s">
        <v>27246</v>
      </c>
      <c r="G12903" t="s">
        <v>27247</v>
      </c>
      <c r="H12903" t="s">
        <v>27248</v>
      </c>
      <c r="I12903" t="s">
        <v>52199</v>
      </c>
      <c r="J12903" t="s">
        <v>25813</v>
      </c>
      <c r="L12903" t="s">
        <v>27250</v>
      </c>
      <c r="M12903" t="s">
        <v>27251</v>
      </c>
      <c r="N12903" t="s">
        <v>27252</v>
      </c>
      <c r="Q12903" s="1">
        <v>44846</v>
      </c>
      <c r="R12903" t="s">
        <v>27253</v>
      </c>
      <c r="S12903" t="s">
        <v>27254</v>
      </c>
      <c r="T12903" t="s">
        <v>27255</v>
      </c>
    </row>
    <row r="12904" spans="1:20" x14ac:dyDescent="0.3">
      <c r="A12904" t="str">
        <f>"0611864281050"</f>
        <v>0611864281050</v>
      </c>
      <c r="B12904" t="str">
        <f>"CR4508"</f>
        <v>CR4508</v>
      </c>
      <c r="C12904" t="s">
        <v>52200</v>
      </c>
      <c r="D12904" t="s">
        <v>27286</v>
      </c>
      <c r="E12904" t="str">
        <f t="shared" si="201"/>
        <v>001390</v>
      </c>
      <c r="F12904" t="s">
        <v>27246</v>
      </c>
      <c r="G12904" t="s">
        <v>27247</v>
      </c>
      <c r="H12904" t="s">
        <v>27248</v>
      </c>
      <c r="I12904" t="s">
        <v>52201</v>
      </c>
      <c r="J12904" t="s">
        <v>25815</v>
      </c>
      <c r="L12904" t="s">
        <v>27250</v>
      </c>
      <c r="M12904" t="s">
        <v>27251</v>
      </c>
      <c r="N12904" t="s">
        <v>27252</v>
      </c>
      <c r="Q12904" s="1">
        <v>44846</v>
      </c>
      <c r="R12904" t="s">
        <v>27253</v>
      </c>
      <c r="S12904" t="s">
        <v>27254</v>
      </c>
      <c r="T12904" t="s">
        <v>27265</v>
      </c>
    </row>
    <row r="12905" spans="1:20" x14ac:dyDescent="0.3">
      <c r="A12905" t="str">
        <f>"0611840037025"</f>
        <v>0611840037025</v>
      </c>
      <c r="B12905" t="str">
        <f>"MC0732"</f>
        <v>MC0732</v>
      </c>
      <c r="C12905" t="s">
        <v>52202</v>
      </c>
      <c r="D12905" t="s">
        <v>27267</v>
      </c>
      <c r="E12905" t="str">
        <f t="shared" si="201"/>
        <v>001390</v>
      </c>
      <c r="F12905" t="s">
        <v>27246</v>
      </c>
      <c r="G12905" t="s">
        <v>27247</v>
      </c>
      <c r="H12905" t="s">
        <v>27248</v>
      </c>
      <c r="I12905" t="s">
        <v>52203</v>
      </c>
      <c r="J12905" t="s">
        <v>25817</v>
      </c>
      <c r="L12905" t="s">
        <v>27250</v>
      </c>
      <c r="M12905" t="s">
        <v>27251</v>
      </c>
      <c r="N12905" t="s">
        <v>27252</v>
      </c>
      <c r="Q12905" s="1">
        <v>44538</v>
      </c>
      <c r="R12905" t="s">
        <v>27253</v>
      </c>
      <c r="S12905" t="s">
        <v>27254</v>
      </c>
      <c r="T12905" t="s">
        <v>27269</v>
      </c>
    </row>
    <row r="12906" spans="1:20" x14ac:dyDescent="0.3">
      <c r="A12906" t="str">
        <f>"0611840039025"</f>
        <v>0611840039025</v>
      </c>
      <c r="B12906" t="str">
        <f>"MQ3202"</f>
        <v>MQ3202</v>
      </c>
      <c r="C12906" t="s">
        <v>52204</v>
      </c>
      <c r="D12906" t="s">
        <v>27267</v>
      </c>
      <c r="E12906" t="str">
        <f t="shared" si="201"/>
        <v>001390</v>
      </c>
      <c r="F12906" t="s">
        <v>27246</v>
      </c>
      <c r="G12906" t="s">
        <v>27247</v>
      </c>
      <c r="H12906" t="s">
        <v>27248</v>
      </c>
      <c r="I12906" t="s">
        <v>52205</v>
      </c>
      <c r="J12906" t="s">
        <v>25819</v>
      </c>
      <c r="L12906" t="s">
        <v>27250</v>
      </c>
      <c r="M12906" t="s">
        <v>27251</v>
      </c>
      <c r="N12906" t="s">
        <v>27252</v>
      </c>
      <c r="Q12906" s="1">
        <v>44538</v>
      </c>
      <c r="R12906" t="s">
        <v>27253</v>
      </c>
      <c r="S12906" t="s">
        <v>27254</v>
      </c>
      <c r="T12906" t="s">
        <v>27269</v>
      </c>
    </row>
    <row r="12907" spans="1:20" x14ac:dyDescent="0.3">
      <c r="A12907" t="str">
        <f>"0611840040025"</f>
        <v>0611840040025</v>
      </c>
      <c r="B12907" t="str">
        <f>"MQ3038"</f>
        <v>MQ3038</v>
      </c>
      <c r="C12907" t="s">
        <v>52206</v>
      </c>
      <c r="D12907" t="s">
        <v>27267</v>
      </c>
      <c r="E12907" t="str">
        <f t="shared" si="201"/>
        <v>001390</v>
      </c>
      <c r="F12907" t="s">
        <v>27246</v>
      </c>
      <c r="G12907" t="s">
        <v>27247</v>
      </c>
      <c r="H12907" t="s">
        <v>27248</v>
      </c>
      <c r="I12907" t="s">
        <v>52207</v>
      </c>
      <c r="J12907" t="s">
        <v>25821</v>
      </c>
      <c r="L12907" t="s">
        <v>27250</v>
      </c>
      <c r="M12907" t="s">
        <v>27251</v>
      </c>
      <c r="N12907" t="s">
        <v>27252</v>
      </c>
      <c r="Q12907" s="1">
        <v>44538</v>
      </c>
      <c r="R12907" t="s">
        <v>27253</v>
      </c>
      <c r="S12907" t="s">
        <v>27254</v>
      </c>
      <c r="T12907" t="s">
        <v>27269</v>
      </c>
    </row>
    <row r="12908" spans="1:20" x14ac:dyDescent="0.3">
      <c r="A12908" t="str">
        <f>"0611864282050"</f>
        <v>0611864282050</v>
      </c>
      <c r="B12908" t="str">
        <f>"CR4505"</f>
        <v>CR4505</v>
      </c>
      <c r="C12908" t="s">
        <v>52206</v>
      </c>
      <c r="D12908" t="s">
        <v>27263</v>
      </c>
      <c r="E12908" t="str">
        <f t="shared" si="201"/>
        <v>001390</v>
      </c>
      <c r="F12908" t="s">
        <v>27246</v>
      </c>
      <c r="G12908" t="s">
        <v>27247</v>
      </c>
      <c r="H12908" t="s">
        <v>27248</v>
      </c>
      <c r="I12908" t="s">
        <v>52208</v>
      </c>
      <c r="J12908" t="s">
        <v>25823</v>
      </c>
      <c r="L12908" t="s">
        <v>27250</v>
      </c>
      <c r="M12908" t="s">
        <v>27251</v>
      </c>
      <c r="N12908" t="s">
        <v>27252</v>
      </c>
      <c r="Q12908" s="1">
        <v>44846</v>
      </c>
      <c r="R12908" t="s">
        <v>27253</v>
      </c>
      <c r="S12908" t="s">
        <v>27254</v>
      </c>
      <c r="T12908" t="s">
        <v>27265</v>
      </c>
    </row>
    <row r="12909" spans="1:20" x14ac:dyDescent="0.3">
      <c r="A12909" t="str">
        <f>"0611840041025"</f>
        <v>0611840041025</v>
      </c>
      <c r="B12909" t="str">
        <f>"MQ0557"</f>
        <v>MQ0557</v>
      </c>
      <c r="C12909" t="s">
        <v>52209</v>
      </c>
      <c r="D12909" t="s">
        <v>27267</v>
      </c>
      <c r="E12909" t="str">
        <f t="shared" si="201"/>
        <v>001390</v>
      </c>
      <c r="F12909" t="s">
        <v>27246</v>
      </c>
      <c r="G12909" t="s">
        <v>27247</v>
      </c>
      <c r="H12909" t="s">
        <v>27248</v>
      </c>
      <c r="I12909" t="s">
        <v>52210</v>
      </c>
      <c r="J12909" t="s">
        <v>25825</v>
      </c>
      <c r="L12909" t="s">
        <v>27250</v>
      </c>
      <c r="M12909" t="s">
        <v>27251</v>
      </c>
      <c r="N12909" t="s">
        <v>27252</v>
      </c>
      <c r="Q12909" s="1">
        <v>44538</v>
      </c>
      <c r="R12909" t="s">
        <v>27253</v>
      </c>
      <c r="S12909" t="s">
        <v>27254</v>
      </c>
      <c r="T12909" t="s">
        <v>27269</v>
      </c>
    </row>
    <row r="12910" spans="1:20" x14ac:dyDescent="0.3">
      <c r="A12910" t="str">
        <f>"0611840042025"</f>
        <v>0611840042025</v>
      </c>
      <c r="B12910" t="str">
        <f>"MQ3040"</f>
        <v>MQ3040</v>
      </c>
      <c r="C12910" t="s">
        <v>52211</v>
      </c>
      <c r="D12910" t="s">
        <v>27267</v>
      </c>
      <c r="E12910" t="str">
        <f t="shared" si="201"/>
        <v>001390</v>
      </c>
      <c r="F12910" t="s">
        <v>27246</v>
      </c>
      <c r="G12910" t="s">
        <v>27247</v>
      </c>
      <c r="H12910" t="s">
        <v>27248</v>
      </c>
      <c r="I12910" t="s">
        <v>52212</v>
      </c>
      <c r="J12910" t="s">
        <v>25827</v>
      </c>
      <c r="L12910" t="s">
        <v>27250</v>
      </c>
      <c r="M12910" t="s">
        <v>27251</v>
      </c>
      <c r="N12910" t="s">
        <v>27252</v>
      </c>
      <c r="Q12910" s="1">
        <v>44538</v>
      </c>
      <c r="R12910" t="s">
        <v>27253</v>
      </c>
      <c r="S12910" t="s">
        <v>27254</v>
      </c>
      <c r="T12910" t="s">
        <v>27269</v>
      </c>
    </row>
    <row r="12911" spans="1:20" x14ac:dyDescent="0.3">
      <c r="A12911" t="str">
        <f>"0611840043025"</f>
        <v>0611840043025</v>
      </c>
      <c r="B12911" t="str">
        <f>"MQ3090"</f>
        <v>MQ3090</v>
      </c>
      <c r="C12911" t="s">
        <v>52213</v>
      </c>
      <c r="D12911" t="s">
        <v>27267</v>
      </c>
      <c r="E12911" t="str">
        <f t="shared" si="201"/>
        <v>001390</v>
      </c>
      <c r="F12911" t="s">
        <v>27246</v>
      </c>
      <c r="G12911" t="s">
        <v>27247</v>
      </c>
      <c r="H12911" t="s">
        <v>27248</v>
      </c>
      <c r="I12911" t="s">
        <v>52214</v>
      </c>
      <c r="J12911" t="s">
        <v>25829</v>
      </c>
      <c r="L12911" t="s">
        <v>27250</v>
      </c>
      <c r="M12911" t="s">
        <v>27251</v>
      </c>
      <c r="N12911" t="s">
        <v>27252</v>
      </c>
      <c r="Q12911" s="1">
        <v>44538</v>
      </c>
      <c r="R12911" t="s">
        <v>27253</v>
      </c>
      <c r="S12911" t="s">
        <v>27254</v>
      </c>
      <c r="T12911" t="s">
        <v>27269</v>
      </c>
    </row>
    <row r="12912" spans="1:20" x14ac:dyDescent="0.3">
      <c r="A12912" t="str">
        <f>"0611840044025"</f>
        <v>0611840044025</v>
      </c>
      <c r="B12912" t="str">
        <f>"MQ3203"</f>
        <v>MQ3203</v>
      </c>
      <c r="C12912" t="s">
        <v>52215</v>
      </c>
      <c r="D12912" t="s">
        <v>27267</v>
      </c>
      <c r="E12912" t="str">
        <f t="shared" si="201"/>
        <v>001390</v>
      </c>
      <c r="F12912" t="s">
        <v>27246</v>
      </c>
      <c r="G12912" t="s">
        <v>27247</v>
      </c>
      <c r="H12912" t="s">
        <v>27248</v>
      </c>
      <c r="I12912" t="s">
        <v>52216</v>
      </c>
      <c r="J12912" t="s">
        <v>25831</v>
      </c>
      <c r="L12912" t="s">
        <v>27250</v>
      </c>
      <c r="M12912" t="s">
        <v>27251</v>
      </c>
      <c r="N12912" t="s">
        <v>27252</v>
      </c>
      <c r="Q12912" s="1">
        <v>44538</v>
      </c>
      <c r="R12912" t="s">
        <v>27253</v>
      </c>
      <c r="S12912" t="s">
        <v>27254</v>
      </c>
      <c r="T12912" t="s">
        <v>27269</v>
      </c>
    </row>
    <row r="12913" spans="1:20" x14ac:dyDescent="0.3">
      <c r="A12913" t="str">
        <f>"0611840045025"</f>
        <v>0611840045025</v>
      </c>
      <c r="B12913" t="str">
        <f>"MQ0745"</f>
        <v>MQ0745</v>
      </c>
      <c r="C12913" t="s">
        <v>52217</v>
      </c>
      <c r="D12913" t="s">
        <v>27267</v>
      </c>
      <c r="E12913" t="str">
        <f t="shared" si="201"/>
        <v>001390</v>
      </c>
      <c r="F12913" t="s">
        <v>27246</v>
      </c>
      <c r="G12913" t="s">
        <v>27247</v>
      </c>
      <c r="H12913" t="s">
        <v>27248</v>
      </c>
      <c r="I12913" t="s">
        <v>52218</v>
      </c>
      <c r="J12913" t="s">
        <v>25833</v>
      </c>
      <c r="L12913" t="s">
        <v>27250</v>
      </c>
      <c r="M12913" t="s">
        <v>27251</v>
      </c>
      <c r="N12913" t="s">
        <v>27252</v>
      </c>
      <c r="Q12913" s="1">
        <v>44538</v>
      </c>
      <c r="R12913" t="s">
        <v>27253</v>
      </c>
      <c r="S12913" t="s">
        <v>27254</v>
      </c>
      <c r="T12913" t="s">
        <v>27269</v>
      </c>
    </row>
    <row r="12914" spans="1:20" x14ac:dyDescent="0.3">
      <c r="A12914" t="str">
        <f>"0611840046025"</f>
        <v>0611840046025</v>
      </c>
      <c r="B12914" t="str">
        <f>"MQ0132"</f>
        <v>MQ0132</v>
      </c>
      <c r="C12914" t="s">
        <v>52219</v>
      </c>
      <c r="D12914" t="s">
        <v>27267</v>
      </c>
      <c r="E12914" t="str">
        <f t="shared" si="201"/>
        <v>001390</v>
      </c>
      <c r="F12914" t="s">
        <v>27246</v>
      </c>
      <c r="G12914" t="s">
        <v>27247</v>
      </c>
      <c r="H12914" t="s">
        <v>27248</v>
      </c>
      <c r="I12914" t="s">
        <v>52220</v>
      </c>
      <c r="J12914" t="s">
        <v>25835</v>
      </c>
      <c r="L12914" t="s">
        <v>27250</v>
      </c>
      <c r="M12914" t="s">
        <v>27251</v>
      </c>
      <c r="N12914" t="s">
        <v>27252</v>
      </c>
      <c r="Q12914" s="1">
        <v>44538</v>
      </c>
      <c r="R12914" t="s">
        <v>27253</v>
      </c>
      <c r="S12914" t="s">
        <v>27254</v>
      </c>
      <c r="T12914" t="s">
        <v>27269</v>
      </c>
    </row>
    <row r="12915" spans="1:20" x14ac:dyDescent="0.3">
      <c r="A12915" t="str">
        <f>"0611864283100"</f>
        <v>0611864283100</v>
      </c>
      <c r="B12915" t="str">
        <f>"CN5419"</f>
        <v>CN5419</v>
      </c>
      <c r="C12915" t="s">
        <v>52221</v>
      </c>
      <c r="D12915" t="s">
        <v>27245</v>
      </c>
      <c r="E12915" t="str">
        <f t="shared" si="201"/>
        <v>001390</v>
      </c>
      <c r="F12915" t="s">
        <v>27246</v>
      </c>
      <c r="G12915" t="s">
        <v>27247</v>
      </c>
      <c r="H12915" t="s">
        <v>27248</v>
      </c>
      <c r="I12915" t="s">
        <v>52222</v>
      </c>
      <c r="J12915" t="s">
        <v>25837</v>
      </c>
      <c r="L12915" t="s">
        <v>27250</v>
      </c>
      <c r="M12915" t="s">
        <v>27251</v>
      </c>
      <c r="N12915" t="s">
        <v>27252</v>
      </c>
      <c r="Q12915" s="1">
        <v>44846</v>
      </c>
      <c r="R12915" t="s">
        <v>27253</v>
      </c>
      <c r="S12915" t="s">
        <v>27254</v>
      </c>
      <c r="T12915" t="s">
        <v>27255</v>
      </c>
    </row>
    <row r="12916" spans="1:20" x14ac:dyDescent="0.3">
      <c r="A12916" t="str">
        <f>"0611864284050"</f>
        <v>0611864284050</v>
      </c>
      <c r="B12916" t="str">
        <f>"CR4507"</f>
        <v>CR4507</v>
      </c>
      <c r="C12916" t="s">
        <v>52221</v>
      </c>
      <c r="D12916" t="s">
        <v>27286</v>
      </c>
      <c r="E12916" t="str">
        <f t="shared" si="201"/>
        <v>001390</v>
      </c>
      <c r="F12916" t="s">
        <v>27246</v>
      </c>
      <c r="G12916" t="s">
        <v>27247</v>
      </c>
      <c r="H12916" t="s">
        <v>27248</v>
      </c>
      <c r="I12916" t="s">
        <v>52223</v>
      </c>
      <c r="J12916" t="s">
        <v>25839</v>
      </c>
      <c r="L12916" t="s">
        <v>27250</v>
      </c>
      <c r="M12916" t="s">
        <v>27251</v>
      </c>
      <c r="N12916" t="s">
        <v>27252</v>
      </c>
      <c r="Q12916" s="1">
        <v>44846</v>
      </c>
      <c r="R12916" t="s">
        <v>27253</v>
      </c>
      <c r="S12916" t="s">
        <v>27254</v>
      </c>
      <c r="T12916" t="s">
        <v>27265</v>
      </c>
    </row>
    <row r="12917" spans="1:20" x14ac:dyDescent="0.3">
      <c r="A12917" t="str">
        <f>"0611840047100"</f>
        <v>0611840047100</v>
      </c>
      <c r="B12917" t="str">
        <f>"LH8636"</f>
        <v>LH8636</v>
      </c>
      <c r="C12917" t="s">
        <v>52224</v>
      </c>
      <c r="D12917" t="s">
        <v>27245</v>
      </c>
      <c r="E12917" t="str">
        <f t="shared" si="201"/>
        <v>001390</v>
      </c>
      <c r="F12917" t="s">
        <v>27246</v>
      </c>
      <c r="G12917" t="s">
        <v>27247</v>
      </c>
      <c r="H12917" t="s">
        <v>27248</v>
      </c>
      <c r="I12917" t="s">
        <v>52225</v>
      </c>
      <c r="J12917" t="s">
        <v>25841</v>
      </c>
      <c r="L12917" t="s">
        <v>27250</v>
      </c>
      <c r="M12917" t="s">
        <v>27251</v>
      </c>
      <c r="N12917" t="s">
        <v>27252</v>
      </c>
      <c r="Q12917" s="1">
        <v>44538</v>
      </c>
      <c r="R12917" t="s">
        <v>27253</v>
      </c>
      <c r="S12917" t="s">
        <v>27254</v>
      </c>
      <c r="T12917" t="s">
        <v>27255</v>
      </c>
    </row>
    <row r="12918" spans="1:20" x14ac:dyDescent="0.3">
      <c r="A12918" t="str">
        <f>"0611840048025"</f>
        <v>0611840048025</v>
      </c>
      <c r="B12918" t="str">
        <f>"MC0736"</f>
        <v>MC0736</v>
      </c>
      <c r="C12918" t="s">
        <v>52224</v>
      </c>
      <c r="D12918" t="s">
        <v>27267</v>
      </c>
      <c r="E12918" t="str">
        <f t="shared" si="201"/>
        <v>001390</v>
      </c>
      <c r="F12918" t="s">
        <v>27246</v>
      </c>
      <c r="G12918" t="s">
        <v>27247</v>
      </c>
      <c r="H12918" t="s">
        <v>27248</v>
      </c>
      <c r="I12918" t="s">
        <v>52226</v>
      </c>
      <c r="J12918" t="s">
        <v>25843</v>
      </c>
      <c r="L12918" t="s">
        <v>27250</v>
      </c>
      <c r="M12918" t="s">
        <v>27251</v>
      </c>
      <c r="N12918" t="s">
        <v>27252</v>
      </c>
      <c r="Q12918" s="1">
        <v>44538</v>
      </c>
      <c r="R12918" t="s">
        <v>27253</v>
      </c>
      <c r="S12918" t="s">
        <v>27254</v>
      </c>
      <c r="T12918" t="s">
        <v>27269</v>
      </c>
    </row>
    <row r="12919" spans="1:20" x14ac:dyDescent="0.3">
      <c r="A12919" t="str">
        <f>"0611840049025"</f>
        <v>0611840049025</v>
      </c>
      <c r="B12919" t="str">
        <f>"MC1408"</f>
        <v>MC1408</v>
      </c>
      <c r="C12919" t="s">
        <v>52227</v>
      </c>
      <c r="D12919" t="s">
        <v>27267</v>
      </c>
      <c r="E12919" t="str">
        <f t="shared" si="201"/>
        <v>001390</v>
      </c>
      <c r="F12919" t="s">
        <v>27246</v>
      </c>
      <c r="G12919" t="s">
        <v>27247</v>
      </c>
      <c r="H12919" t="s">
        <v>27248</v>
      </c>
      <c r="I12919" t="s">
        <v>52228</v>
      </c>
      <c r="J12919" t="s">
        <v>25845</v>
      </c>
      <c r="L12919" t="s">
        <v>27250</v>
      </c>
      <c r="M12919" t="s">
        <v>27251</v>
      </c>
      <c r="N12919" t="s">
        <v>27252</v>
      </c>
      <c r="Q12919" s="1">
        <v>44538</v>
      </c>
      <c r="R12919" t="s">
        <v>27253</v>
      </c>
      <c r="S12919" t="s">
        <v>27254</v>
      </c>
      <c r="T12919" t="s">
        <v>27269</v>
      </c>
    </row>
    <row r="12920" spans="1:20" x14ac:dyDescent="0.3">
      <c r="A12920" t="str">
        <f>"0611840050025"</f>
        <v>0611840050025</v>
      </c>
      <c r="B12920" t="str">
        <f>"MQ5119"</f>
        <v>MQ5119</v>
      </c>
      <c r="C12920" t="s">
        <v>52229</v>
      </c>
      <c r="D12920" t="s">
        <v>27267</v>
      </c>
      <c r="E12920" t="str">
        <f t="shared" si="201"/>
        <v>001390</v>
      </c>
      <c r="F12920" t="s">
        <v>27246</v>
      </c>
      <c r="G12920" t="s">
        <v>27247</v>
      </c>
      <c r="H12920" t="s">
        <v>27248</v>
      </c>
      <c r="I12920" t="s">
        <v>52230</v>
      </c>
      <c r="J12920" t="s">
        <v>25847</v>
      </c>
      <c r="L12920" t="s">
        <v>27250</v>
      </c>
      <c r="M12920" t="s">
        <v>27251</v>
      </c>
      <c r="N12920" t="s">
        <v>27252</v>
      </c>
      <c r="Q12920" s="1">
        <v>44538</v>
      </c>
      <c r="R12920" t="s">
        <v>27253</v>
      </c>
      <c r="S12920" t="s">
        <v>27254</v>
      </c>
      <c r="T12920" t="s">
        <v>27269</v>
      </c>
    </row>
    <row r="12921" spans="1:20" x14ac:dyDescent="0.3">
      <c r="A12921" t="str">
        <f>"0611840051025"</f>
        <v>0611840051025</v>
      </c>
      <c r="B12921" t="str">
        <f>"MQ5154"</f>
        <v>MQ5154</v>
      </c>
      <c r="C12921" t="s">
        <v>52231</v>
      </c>
      <c r="D12921" t="s">
        <v>27267</v>
      </c>
      <c r="E12921" t="str">
        <f t="shared" si="201"/>
        <v>001390</v>
      </c>
      <c r="F12921" t="s">
        <v>27246</v>
      </c>
      <c r="G12921" t="s">
        <v>27247</v>
      </c>
      <c r="H12921" t="s">
        <v>27248</v>
      </c>
      <c r="I12921" t="s">
        <v>52232</v>
      </c>
      <c r="J12921" t="s">
        <v>25849</v>
      </c>
      <c r="L12921" t="s">
        <v>27250</v>
      </c>
      <c r="M12921" t="s">
        <v>27251</v>
      </c>
      <c r="N12921" t="s">
        <v>27252</v>
      </c>
      <c r="Q12921" s="1">
        <v>44538</v>
      </c>
      <c r="R12921" t="s">
        <v>27253</v>
      </c>
      <c r="S12921" t="s">
        <v>27254</v>
      </c>
      <c r="T12921" t="s">
        <v>27269</v>
      </c>
    </row>
    <row r="12922" spans="1:20" x14ac:dyDescent="0.3">
      <c r="A12922" t="str">
        <f>"0611840052025"</f>
        <v>0611840052025</v>
      </c>
      <c r="B12922" t="str">
        <f>"MC0737"</f>
        <v>MC0737</v>
      </c>
      <c r="C12922" t="s">
        <v>52233</v>
      </c>
      <c r="D12922" t="s">
        <v>27267</v>
      </c>
      <c r="E12922" t="str">
        <f t="shared" si="201"/>
        <v>001390</v>
      </c>
      <c r="F12922" t="s">
        <v>27246</v>
      </c>
      <c r="G12922" t="s">
        <v>27247</v>
      </c>
      <c r="H12922" t="s">
        <v>27248</v>
      </c>
      <c r="I12922" t="s">
        <v>52234</v>
      </c>
      <c r="J12922" t="s">
        <v>25851</v>
      </c>
      <c r="L12922" t="s">
        <v>27250</v>
      </c>
      <c r="M12922" t="s">
        <v>27251</v>
      </c>
      <c r="N12922" t="s">
        <v>27252</v>
      </c>
      <c r="Q12922" s="1">
        <v>44538</v>
      </c>
      <c r="R12922" t="s">
        <v>27253</v>
      </c>
      <c r="S12922" t="s">
        <v>27254</v>
      </c>
      <c r="T12922" t="s">
        <v>27269</v>
      </c>
    </row>
    <row r="12923" spans="1:20" x14ac:dyDescent="0.3">
      <c r="A12923" t="str">
        <f>"0611840053025"</f>
        <v>0611840053025</v>
      </c>
      <c r="B12923" t="str">
        <f>"MQ3007"</f>
        <v>MQ3007</v>
      </c>
      <c r="C12923" t="s">
        <v>52235</v>
      </c>
      <c r="D12923" t="s">
        <v>27267</v>
      </c>
      <c r="E12923" t="str">
        <f t="shared" si="201"/>
        <v>001390</v>
      </c>
      <c r="F12923" t="s">
        <v>27246</v>
      </c>
      <c r="G12923" t="s">
        <v>27247</v>
      </c>
      <c r="H12923" t="s">
        <v>27248</v>
      </c>
      <c r="I12923" t="s">
        <v>52236</v>
      </c>
      <c r="J12923" t="s">
        <v>25855</v>
      </c>
      <c r="L12923" t="s">
        <v>27250</v>
      </c>
      <c r="M12923" t="s">
        <v>27251</v>
      </c>
      <c r="N12923" t="s">
        <v>27252</v>
      </c>
      <c r="Q12923" s="1">
        <v>44538</v>
      </c>
      <c r="R12923" t="s">
        <v>27253</v>
      </c>
      <c r="S12923" t="s">
        <v>27254</v>
      </c>
      <c r="T12923" t="s">
        <v>27269</v>
      </c>
    </row>
    <row r="12924" spans="1:20" x14ac:dyDescent="0.3">
      <c r="A12924" t="str">
        <f>"0611864285100"</f>
        <v>0611864285100</v>
      </c>
      <c r="B12924" t="str">
        <f>"CN5420"</f>
        <v>CN5420</v>
      </c>
      <c r="C12924" t="s">
        <v>52235</v>
      </c>
      <c r="D12924" t="s">
        <v>27335</v>
      </c>
      <c r="E12924" t="str">
        <f t="shared" si="201"/>
        <v>001390</v>
      </c>
      <c r="F12924" t="s">
        <v>27246</v>
      </c>
      <c r="G12924" t="s">
        <v>27247</v>
      </c>
      <c r="H12924" t="s">
        <v>27248</v>
      </c>
      <c r="I12924" t="s">
        <v>52237</v>
      </c>
      <c r="J12924" t="s">
        <v>25853</v>
      </c>
      <c r="L12924" t="s">
        <v>27250</v>
      </c>
      <c r="M12924" t="s">
        <v>27251</v>
      </c>
      <c r="N12924" t="s">
        <v>27252</v>
      </c>
      <c r="Q12924" s="1">
        <v>44846</v>
      </c>
      <c r="R12924" t="s">
        <v>27253</v>
      </c>
      <c r="S12924" t="s">
        <v>27254</v>
      </c>
      <c r="T12924" t="s">
        <v>27255</v>
      </c>
    </row>
    <row r="12925" spans="1:20" x14ac:dyDescent="0.3">
      <c r="A12925" t="str">
        <f>"0611857170025"</f>
        <v>0611857170025</v>
      </c>
      <c r="B12925" t="str">
        <f>"MQ0811"</f>
        <v>MQ0811</v>
      </c>
      <c r="C12925" t="s">
        <v>52238</v>
      </c>
      <c r="D12925" t="s">
        <v>27267</v>
      </c>
      <c r="E12925" t="str">
        <f t="shared" si="201"/>
        <v>001390</v>
      </c>
      <c r="F12925" t="s">
        <v>27246</v>
      </c>
      <c r="G12925" t="s">
        <v>27247</v>
      </c>
      <c r="H12925" t="s">
        <v>27248</v>
      </c>
      <c r="I12925" t="s">
        <v>52239</v>
      </c>
      <c r="J12925" t="s">
        <v>25857</v>
      </c>
      <c r="L12925" t="s">
        <v>27250</v>
      </c>
      <c r="M12925" t="s">
        <v>27251</v>
      </c>
      <c r="N12925" t="s">
        <v>27252</v>
      </c>
      <c r="Q12925" s="1">
        <v>44812</v>
      </c>
      <c r="R12925" t="s">
        <v>27253</v>
      </c>
      <c r="S12925" t="s">
        <v>27254</v>
      </c>
      <c r="T12925" t="s">
        <v>27269</v>
      </c>
    </row>
    <row r="12926" spans="1:20" x14ac:dyDescent="0.3">
      <c r="A12926" t="str">
        <f>"0611857171025"</f>
        <v>0611857171025</v>
      </c>
      <c r="B12926" t="str">
        <f>"MQ0812"</f>
        <v>MQ0812</v>
      </c>
      <c r="C12926" t="s">
        <v>52240</v>
      </c>
      <c r="D12926" t="s">
        <v>27267</v>
      </c>
      <c r="E12926" t="str">
        <f t="shared" si="201"/>
        <v>001390</v>
      </c>
      <c r="F12926" t="s">
        <v>27246</v>
      </c>
      <c r="G12926" t="s">
        <v>27247</v>
      </c>
      <c r="H12926" t="s">
        <v>27248</v>
      </c>
      <c r="I12926" t="s">
        <v>52241</v>
      </c>
      <c r="J12926" t="s">
        <v>25859</v>
      </c>
      <c r="L12926" t="s">
        <v>27250</v>
      </c>
      <c r="M12926" t="s">
        <v>27251</v>
      </c>
      <c r="N12926" t="s">
        <v>27252</v>
      </c>
      <c r="Q12926" s="1">
        <v>44812</v>
      </c>
      <c r="R12926" t="s">
        <v>27253</v>
      </c>
      <c r="S12926" t="s">
        <v>27254</v>
      </c>
      <c r="T12926" t="s">
        <v>27269</v>
      </c>
    </row>
    <row r="12927" spans="1:20" x14ac:dyDescent="0.3">
      <c r="A12927" t="str">
        <f>"0611864286100"</f>
        <v>0611864286100</v>
      </c>
      <c r="B12927" t="str">
        <f>"CN5421"</f>
        <v>CN5421</v>
      </c>
      <c r="C12927" t="s">
        <v>52242</v>
      </c>
      <c r="D12927" t="s">
        <v>27335</v>
      </c>
      <c r="E12927" t="str">
        <f t="shared" si="201"/>
        <v>001390</v>
      </c>
      <c r="F12927" t="s">
        <v>27246</v>
      </c>
      <c r="G12927" t="s">
        <v>27247</v>
      </c>
      <c r="H12927" t="s">
        <v>27248</v>
      </c>
      <c r="I12927" t="s">
        <v>52243</v>
      </c>
      <c r="J12927" t="s">
        <v>25861</v>
      </c>
      <c r="L12927" t="s">
        <v>27250</v>
      </c>
      <c r="M12927" t="s">
        <v>27251</v>
      </c>
      <c r="N12927" t="s">
        <v>27252</v>
      </c>
      <c r="Q12927" s="1">
        <v>44846</v>
      </c>
      <c r="R12927" t="s">
        <v>27253</v>
      </c>
      <c r="S12927" t="s">
        <v>27254</v>
      </c>
      <c r="T12927" t="s">
        <v>27255</v>
      </c>
    </row>
    <row r="12928" spans="1:20" x14ac:dyDescent="0.3">
      <c r="A12928" t="str">
        <f>"0611840054025"</f>
        <v>0611840054025</v>
      </c>
      <c r="B12928" t="str">
        <f>"MC0739"</f>
        <v>MC0739</v>
      </c>
      <c r="C12928" t="s">
        <v>52244</v>
      </c>
      <c r="D12928" t="s">
        <v>27267</v>
      </c>
      <c r="E12928" t="str">
        <f t="shared" si="201"/>
        <v>001390</v>
      </c>
      <c r="F12928" t="s">
        <v>27246</v>
      </c>
      <c r="G12928" t="s">
        <v>27247</v>
      </c>
      <c r="H12928" t="s">
        <v>27248</v>
      </c>
      <c r="I12928" t="s">
        <v>52245</v>
      </c>
      <c r="J12928" t="s">
        <v>25863</v>
      </c>
      <c r="L12928" t="s">
        <v>27250</v>
      </c>
      <c r="M12928" t="s">
        <v>27251</v>
      </c>
      <c r="N12928" t="s">
        <v>27252</v>
      </c>
      <c r="Q12928" s="1">
        <v>44538</v>
      </c>
      <c r="R12928" t="s">
        <v>27253</v>
      </c>
      <c r="S12928" t="s">
        <v>27254</v>
      </c>
      <c r="T12928" t="s">
        <v>27269</v>
      </c>
    </row>
    <row r="12929" spans="1:20" x14ac:dyDescent="0.3">
      <c r="A12929" t="str">
        <f>"0611864287050"</f>
        <v>0611864287050</v>
      </c>
      <c r="B12929" t="str">
        <f>"CR4494"</f>
        <v>CR4494</v>
      </c>
      <c r="C12929" t="s">
        <v>52244</v>
      </c>
      <c r="D12929" t="s">
        <v>27263</v>
      </c>
      <c r="E12929" t="str">
        <f t="shared" si="201"/>
        <v>001390</v>
      </c>
      <c r="F12929" t="s">
        <v>27246</v>
      </c>
      <c r="G12929" t="s">
        <v>27247</v>
      </c>
      <c r="H12929" t="s">
        <v>27248</v>
      </c>
      <c r="I12929" t="s">
        <v>52246</v>
      </c>
      <c r="J12929" t="s">
        <v>25865</v>
      </c>
      <c r="L12929" t="s">
        <v>27250</v>
      </c>
      <c r="M12929" t="s">
        <v>27251</v>
      </c>
      <c r="N12929" t="s">
        <v>27252</v>
      </c>
      <c r="Q12929" s="1">
        <v>44846</v>
      </c>
      <c r="R12929" t="s">
        <v>27253</v>
      </c>
      <c r="S12929" t="s">
        <v>27254</v>
      </c>
      <c r="T12929" t="s">
        <v>27265</v>
      </c>
    </row>
    <row r="12930" spans="1:20" x14ac:dyDescent="0.3">
      <c r="A12930" t="str">
        <f>"0611864288050"</f>
        <v>0611864288050</v>
      </c>
      <c r="B12930" t="str">
        <f>"CR4504"</f>
        <v>CR4504</v>
      </c>
      <c r="C12930" t="s">
        <v>52247</v>
      </c>
      <c r="D12930" t="s">
        <v>27263</v>
      </c>
      <c r="E12930" t="str">
        <f t="shared" ref="E12930:E12993" si="202">"001390"</f>
        <v>001390</v>
      </c>
      <c r="F12930" t="s">
        <v>27246</v>
      </c>
      <c r="G12930" t="s">
        <v>27247</v>
      </c>
      <c r="H12930" t="s">
        <v>27248</v>
      </c>
      <c r="I12930" t="s">
        <v>52248</v>
      </c>
      <c r="J12930" t="s">
        <v>25867</v>
      </c>
      <c r="L12930" t="s">
        <v>27250</v>
      </c>
      <c r="M12930" t="s">
        <v>27251</v>
      </c>
      <c r="N12930" t="s">
        <v>27252</v>
      </c>
      <c r="Q12930" s="1">
        <v>44846</v>
      </c>
      <c r="R12930" t="s">
        <v>27253</v>
      </c>
      <c r="S12930" t="s">
        <v>27254</v>
      </c>
      <c r="T12930" t="s">
        <v>27265</v>
      </c>
    </row>
    <row r="12931" spans="1:20" x14ac:dyDescent="0.3">
      <c r="A12931" t="str">
        <f>"0611840058025"</f>
        <v>0611840058025</v>
      </c>
      <c r="B12931" t="str">
        <f>"MQ0385"</f>
        <v>MQ0385</v>
      </c>
      <c r="C12931" t="s">
        <v>52249</v>
      </c>
      <c r="D12931" t="s">
        <v>27267</v>
      </c>
      <c r="E12931" t="str">
        <f t="shared" si="202"/>
        <v>001390</v>
      </c>
      <c r="F12931" t="s">
        <v>27246</v>
      </c>
      <c r="G12931" t="s">
        <v>27247</v>
      </c>
      <c r="H12931" t="s">
        <v>27248</v>
      </c>
      <c r="I12931" t="s">
        <v>52250</v>
      </c>
      <c r="J12931" t="s">
        <v>25869</v>
      </c>
      <c r="L12931" t="s">
        <v>27250</v>
      </c>
      <c r="M12931" t="s">
        <v>27251</v>
      </c>
      <c r="N12931" t="s">
        <v>27252</v>
      </c>
      <c r="Q12931" s="1">
        <v>44538</v>
      </c>
      <c r="R12931" t="s">
        <v>27253</v>
      </c>
      <c r="S12931" t="s">
        <v>27254</v>
      </c>
      <c r="T12931" t="s">
        <v>27269</v>
      </c>
    </row>
    <row r="12932" spans="1:20" x14ac:dyDescent="0.3">
      <c r="A12932" t="str">
        <f>"0611840059025"</f>
        <v>0611840059025</v>
      </c>
      <c r="B12932" t="str">
        <f>"MQ0537"</f>
        <v>MQ0537</v>
      </c>
      <c r="C12932" t="s">
        <v>52251</v>
      </c>
      <c r="D12932" t="s">
        <v>27267</v>
      </c>
      <c r="E12932" t="str">
        <f t="shared" si="202"/>
        <v>001390</v>
      </c>
      <c r="F12932" t="s">
        <v>27246</v>
      </c>
      <c r="G12932" t="s">
        <v>27247</v>
      </c>
      <c r="H12932" t="s">
        <v>27248</v>
      </c>
      <c r="I12932" t="s">
        <v>52252</v>
      </c>
      <c r="J12932" t="s">
        <v>25871</v>
      </c>
      <c r="L12932" t="s">
        <v>27250</v>
      </c>
      <c r="M12932" t="s">
        <v>27251</v>
      </c>
      <c r="N12932" t="s">
        <v>27252</v>
      </c>
      <c r="Q12932" s="1">
        <v>44538</v>
      </c>
      <c r="R12932" t="s">
        <v>27253</v>
      </c>
      <c r="S12932" t="s">
        <v>27254</v>
      </c>
      <c r="T12932" t="s">
        <v>27269</v>
      </c>
    </row>
    <row r="12933" spans="1:20" x14ac:dyDescent="0.3">
      <c r="A12933" t="str">
        <f>"0611840060025"</f>
        <v>0611840060025</v>
      </c>
      <c r="B12933" t="str">
        <f>"MQ0538"</f>
        <v>MQ0538</v>
      </c>
      <c r="C12933" t="s">
        <v>52253</v>
      </c>
      <c r="D12933" t="s">
        <v>27267</v>
      </c>
      <c r="E12933" t="str">
        <f t="shared" si="202"/>
        <v>001390</v>
      </c>
      <c r="F12933" t="s">
        <v>27246</v>
      </c>
      <c r="G12933" t="s">
        <v>27247</v>
      </c>
      <c r="H12933" t="s">
        <v>27248</v>
      </c>
      <c r="I12933" t="s">
        <v>52254</v>
      </c>
      <c r="J12933" t="s">
        <v>25873</v>
      </c>
      <c r="L12933" t="s">
        <v>27250</v>
      </c>
      <c r="M12933" t="s">
        <v>27251</v>
      </c>
      <c r="N12933" t="s">
        <v>27252</v>
      </c>
      <c r="Q12933" s="1">
        <v>44538</v>
      </c>
      <c r="R12933" t="s">
        <v>27253</v>
      </c>
      <c r="S12933" t="s">
        <v>27254</v>
      </c>
      <c r="T12933" t="s">
        <v>27269</v>
      </c>
    </row>
    <row r="12934" spans="1:20" x14ac:dyDescent="0.3">
      <c r="A12934" t="str">
        <f>"0611840061025"</f>
        <v>0611840061025</v>
      </c>
      <c r="B12934" t="str">
        <f>"MQ0539"</f>
        <v>MQ0539</v>
      </c>
      <c r="C12934" t="s">
        <v>52255</v>
      </c>
      <c r="D12934" t="s">
        <v>27267</v>
      </c>
      <c r="E12934" t="str">
        <f t="shared" si="202"/>
        <v>001390</v>
      </c>
      <c r="F12934" t="s">
        <v>27246</v>
      </c>
      <c r="G12934" t="s">
        <v>27247</v>
      </c>
      <c r="H12934" t="s">
        <v>27248</v>
      </c>
      <c r="I12934" t="s">
        <v>52256</v>
      </c>
      <c r="J12934" t="s">
        <v>25875</v>
      </c>
      <c r="L12934" t="s">
        <v>27250</v>
      </c>
      <c r="M12934" t="s">
        <v>27251</v>
      </c>
      <c r="N12934" t="s">
        <v>27252</v>
      </c>
      <c r="Q12934" s="1">
        <v>44538</v>
      </c>
      <c r="R12934" t="s">
        <v>27253</v>
      </c>
      <c r="S12934" t="s">
        <v>27254</v>
      </c>
      <c r="T12934" t="s">
        <v>27269</v>
      </c>
    </row>
    <row r="12935" spans="1:20" x14ac:dyDescent="0.3">
      <c r="A12935" t="str">
        <f>"0611840062025"</f>
        <v>0611840062025</v>
      </c>
      <c r="B12935" t="str">
        <f>"MQ6095"</f>
        <v>MQ6095</v>
      </c>
      <c r="C12935" t="s">
        <v>52257</v>
      </c>
      <c r="D12935" t="s">
        <v>27267</v>
      </c>
      <c r="E12935" t="str">
        <f t="shared" si="202"/>
        <v>001390</v>
      </c>
      <c r="F12935" t="s">
        <v>27246</v>
      </c>
      <c r="G12935" t="s">
        <v>27247</v>
      </c>
      <c r="H12935" t="s">
        <v>27248</v>
      </c>
      <c r="I12935" t="s">
        <v>52258</v>
      </c>
      <c r="J12935" t="s">
        <v>25877</v>
      </c>
      <c r="L12935" t="s">
        <v>27250</v>
      </c>
      <c r="M12935" t="s">
        <v>27251</v>
      </c>
      <c r="N12935" t="s">
        <v>27252</v>
      </c>
      <c r="Q12935" s="1">
        <v>44538</v>
      </c>
      <c r="R12935" t="s">
        <v>27253</v>
      </c>
      <c r="S12935" t="s">
        <v>27254</v>
      </c>
      <c r="T12935" t="s">
        <v>27269</v>
      </c>
    </row>
    <row r="12936" spans="1:20" x14ac:dyDescent="0.3">
      <c r="A12936" t="str">
        <f>"0611840063025"</f>
        <v>0611840063025</v>
      </c>
      <c r="B12936" t="str">
        <f>"MQ0540"</f>
        <v>MQ0540</v>
      </c>
      <c r="C12936" t="s">
        <v>52259</v>
      </c>
      <c r="D12936" t="s">
        <v>27267</v>
      </c>
      <c r="E12936" t="str">
        <f t="shared" si="202"/>
        <v>001390</v>
      </c>
      <c r="F12936" t="s">
        <v>27246</v>
      </c>
      <c r="G12936" t="s">
        <v>27247</v>
      </c>
      <c r="H12936" t="s">
        <v>27248</v>
      </c>
      <c r="I12936" t="s">
        <v>52260</v>
      </c>
      <c r="J12936" t="s">
        <v>25879</v>
      </c>
      <c r="L12936" t="s">
        <v>27250</v>
      </c>
      <c r="M12936" t="s">
        <v>27251</v>
      </c>
      <c r="N12936" t="s">
        <v>27252</v>
      </c>
      <c r="Q12936" s="1">
        <v>44538</v>
      </c>
      <c r="R12936" t="s">
        <v>27253</v>
      </c>
      <c r="S12936" t="s">
        <v>27254</v>
      </c>
      <c r="T12936" t="s">
        <v>27269</v>
      </c>
    </row>
    <row r="12937" spans="1:20" x14ac:dyDescent="0.3">
      <c r="A12937" t="str">
        <f>"0611840064025"</f>
        <v>0611840064025</v>
      </c>
      <c r="B12937" t="str">
        <f>"MQ0541"</f>
        <v>MQ0541</v>
      </c>
      <c r="C12937" t="s">
        <v>52261</v>
      </c>
      <c r="D12937" t="s">
        <v>27267</v>
      </c>
      <c r="E12937" t="str">
        <f t="shared" si="202"/>
        <v>001390</v>
      </c>
      <c r="F12937" t="s">
        <v>27246</v>
      </c>
      <c r="G12937" t="s">
        <v>27247</v>
      </c>
      <c r="H12937" t="s">
        <v>27248</v>
      </c>
      <c r="I12937" t="s">
        <v>52262</v>
      </c>
      <c r="J12937" t="s">
        <v>25881</v>
      </c>
      <c r="L12937" t="s">
        <v>27250</v>
      </c>
      <c r="M12937" t="s">
        <v>27251</v>
      </c>
      <c r="N12937" t="s">
        <v>27252</v>
      </c>
      <c r="Q12937" s="1">
        <v>44538</v>
      </c>
      <c r="R12937" t="s">
        <v>27253</v>
      </c>
      <c r="S12937" t="s">
        <v>27254</v>
      </c>
      <c r="T12937" t="s">
        <v>27269</v>
      </c>
    </row>
    <row r="12938" spans="1:20" x14ac:dyDescent="0.3">
      <c r="A12938" t="str">
        <f>"0611840065025"</f>
        <v>0611840065025</v>
      </c>
      <c r="B12938" t="str">
        <f>"MQ0542"</f>
        <v>MQ0542</v>
      </c>
      <c r="C12938" t="s">
        <v>52263</v>
      </c>
      <c r="D12938" t="s">
        <v>27267</v>
      </c>
      <c r="E12938" t="str">
        <f t="shared" si="202"/>
        <v>001390</v>
      </c>
      <c r="F12938" t="s">
        <v>27246</v>
      </c>
      <c r="G12938" t="s">
        <v>27247</v>
      </c>
      <c r="H12938" t="s">
        <v>27248</v>
      </c>
      <c r="I12938" t="s">
        <v>52264</v>
      </c>
      <c r="J12938" t="s">
        <v>25883</v>
      </c>
      <c r="L12938" t="s">
        <v>27250</v>
      </c>
      <c r="M12938" t="s">
        <v>27251</v>
      </c>
      <c r="N12938" t="s">
        <v>27252</v>
      </c>
      <c r="Q12938" s="1">
        <v>44538</v>
      </c>
      <c r="R12938" t="s">
        <v>27253</v>
      </c>
      <c r="S12938" t="s">
        <v>27254</v>
      </c>
      <c r="T12938" t="s">
        <v>27269</v>
      </c>
    </row>
    <row r="12939" spans="1:20" x14ac:dyDescent="0.3">
      <c r="A12939" t="str">
        <f>"0611840066025"</f>
        <v>0611840066025</v>
      </c>
      <c r="B12939" t="str">
        <f>"MC1594"</f>
        <v>MC1594</v>
      </c>
      <c r="C12939" t="s">
        <v>52265</v>
      </c>
      <c r="D12939" t="s">
        <v>27267</v>
      </c>
      <c r="E12939" t="str">
        <f t="shared" si="202"/>
        <v>001390</v>
      </c>
      <c r="F12939" t="s">
        <v>27246</v>
      </c>
      <c r="G12939" t="s">
        <v>27247</v>
      </c>
      <c r="H12939" t="s">
        <v>27248</v>
      </c>
      <c r="I12939" t="s">
        <v>52266</v>
      </c>
      <c r="J12939" t="s">
        <v>25805</v>
      </c>
      <c r="L12939" t="s">
        <v>27250</v>
      </c>
      <c r="M12939" t="s">
        <v>27251</v>
      </c>
      <c r="N12939" t="s">
        <v>27252</v>
      </c>
      <c r="Q12939" s="1">
        <v>44538</v>
      </c>
      <c r="R12939" t="s">
        <v>27253</v>
      </c>
      <c r="S12939" t="s">
        <v>27254</v>
      </c>
      <c r="T12939" t="s">
        <v>27269</v>
      </c>
    </row>
    <row r="12940" spans="1:20" x14ac:dyDescent="0.3">
      <c r="A12940" t="str">
        <f>"0611840067025"</f>
        <v>0611840067025</v>
      </c>
      <c r="B12940" t="str">
        <f>"MC3900"</f>
        <v>MC3900</v>
      </c>
      <c r="C12940" t="s">
        <v>52267</v>
      </c>
      <c r="D12940" t="s">
        <v>27267</v>
      </c>
      <c r="E12940" t="str">
        <f t="shared" si="202"/>
        <v>001390</v>
      </c>
      <c r="F12940" t="s">
        <v>27246</v>
      </c>
      <c r="G12940" t="s">
        <v>27247</v>
      </c>
      <c r="H12940" t="s">
        <v>27248</v>
      </c>
      <c r="I12940" t="s">
        <v>52268</v>
      </c>
      <c r="J12940" t="s">
        <v>25885</v>
      </c>
      <c r="L12940" t="s">
        <v>27250</v>
      </c>
      <c r="M12940" t="s">
        <v>27251</v>
      </c>
      <c r="N12940" t="s">
        <v>27252</v>
      </c>
      <c r="Q12940" s="1">
        <v>44538</v>
      </c>
      <c r="R12940" t="s">
        <v>27253</v>
      </c>
      <c r="S12940" t="s">
        <v>27254</v>
      </c>
      <c r="T12940" t="s">
        <v>27269</v>
      </c>
    </row>
    <row r="12941" spans="1:20" x14ac:dyDescent="0.3">
      <c r="A12941" t="str">
        <f>"0611840068025"</f>
        <v>0611840068025</v>
      </c>
      <c r="B12941" t="str">
        <f>"MQ0386"</f>
        <v>MQ0386</v>
      </c>
      <c r="C12941" t="s">
        <v>52269</v>
      </c>
      <c r="D12941" t="s">
        <v>27267</v>
      </c>
      <c r="E12941" t="str">
        <f t="shared" si="202"/>
        <v>001390</v>
      </c>
      <c r="F12941" t="s">
        <v>27246</v>
      </c>
      <c r="G12941" t="s">
        <v>27247</v>
      </c>
      <c r="H12941" t="s">
        <v>27248</v>
      </c>
      <c r="I12941" t="s">
        <v>52270</v>
      </c>
      <c r="J12941" t="s">
        <v>25887</v>
      </c>
      <c r="L12941" t="s">
        <v>27250</v>
      </c>
      <c r="M12941" t="s">
        <v>27251</v>
      </c>
      <c r="N12941" t="s">
        <v>27252</v>
      </c>
      <c r="Q12941" s="1">
        <v>44538</v>
      </c>
      <c r="R12941" t="s">
        <v>27253</v>
      </c>
      <c r="S12941" t="s">
        <v>27254</v>
      </c>
      <c r="T12941" t="s">
        <v>27269</v>
      </c>
    </row>
    <row r="12942" spans="1:20" x14ac:dyDescent="0.3">
      <c r="A12942" t="str">
        <f>"0611840069025"</f>
        <v>0611840069025</v>
      </c>
      <c r="B12942" t="str">
        <f>"MC2855"</f>
        <v>MC2855</v>
      </c>
      <c r="C12942" t="s">
        <v>52271</v>
      </c>
      <c r="D12942" t="s">
        <v>27267</v>
      </c>
      <c r="E12942" t="str">
        <f t="shared" si="202"/>
        <v>001390</v>
      </c>
      <c r="F12942" t="s">
        <v>27246</v>
      </c>
      <c r="G12942" t="s">
        <v>27247</v>
      </c>
      <c r="H12942" t="s">
        <v>27248</v>
      </c>
      <c r="I12942" t="s">
        <v>52272</v>
      </c>
      <c r="J12942" t="s">
        <v>26093</v>
      </c>
      <c r="L12942" t="s">
        <v>27250</v>
      </c>
      <c r="M12942" t="s">
        <v>27251</v>
      </c>
      <c r="N12942" t="s">
        <v>27252</v>
      </c>
      <c r="Q12942" s="1">
        <v>44538</v>
      </c>
      <c r="R12942" t="s">
        <v>27253</v>
      </c>
      <c r="S12942" t="s">
        <v>27254</v>
      </c>
      <c r="T12942" t="s">
        <v>27269</v>
      </c>
    </row>
    <row r="12943" spans="1:20" x14ac:dyDescent="0.3">
      <c r="A12943" t="str">
        <f>"0611864289100"</f>
        <v>0611864289100</v>
      </c>
      <c r="B12943" t="str">
        <f>"CN2395"</f>
        <v>CN2395</v>
      </c>
      <c r="C12943" t="s">
        <v>52271</v>
      </c>
      <c r="D12943" t="s">
        <v>27335</v>
      </c>
      <c r="E12943" t="str">
        <f t="shared" si="202"/>
        <v>001390</v>
      </c>
      <c r="F12943" t="s">
        <v>27246</v>
      </c>
      <c r="G12943" t="s">
        <v>27247</v>
      </c>
      <c r="H12943" t="s">
        <v>27248</v>
      </c>
      <c r="I12943" t="s">
        <v>52273</v>
      </c>
      <c r="J12943" t="s">
        <v>26091</v>
      </c>
      <c r="L12943" t="s">
        <v>27250</v>
      </c>
      <c r="M12943" t="s">
        <v>27251</v>
      </c>
      <c r="N12943" t="s">
        <v>27252</v>
      </c>
      <c r="Q12943" s="1">
        <v>44846</v>
      </c>
      <c r="R12943" t="s">
        <v>27253</v>
      </c>
      <c r="S12943" t="s">
        <v>27254</v>
      </c>
      <c r="T12943" t="s">
        <v>27255</v>
      </c>
    </row>
    <row r="12944" spans="1:20" x14ac:dyDescent="0.3">
      <c r="A12944" t="str">
        <f>"0611840071025"</f>
        <v>0611840071025</v>
      </c>
      <c r="B12944" t="str">
        <f>"MC1409"</f>
        <v>MC1409</v>
      </c>
      <c r="C12944" t="s">
        <v>52274</v>
      </c>
      <c r="D12944" t="s">
        <v>27267</v>
      </c>
      <c r="E12944" t="str">
        <f t="shared" si="202"/>
        <v>001390</v>
      </c>
      <c r="F12944" t="s">
        <v>27246</v>
      </c>
      <c r="G12944" t="s">
        <v>27247</v>
      </c>
      <c r="H12944" t="s">
        <v>27248</v>
      </c>
      <c r="I12944" t="s">
        <v>52275</v>
      </c>
      <c r="J12944" t="s">
        <v>26097</v>
      </c>
      <c r="L12944" t="s">
        <v>27250</v>
      </c>
      <c r="M12944" t="s">
        <v>27251</v>
      </c>
      <c r="N12944" t="s">
        <v>27252</v>
      </c>
      <c r="Q12944" s="1">
        <v>44538</v>
      </c>
      <c r="R12944" t="s">
        <v>27253</v>
      </c>
      <c r="S12944" t="s">
        <v>27254</v>
      </c>
      <c r="T12944" t="s">
        <v>27269</v>
      </c>
    </row>
    <row r="12945" spans="1:20" x14ac:dyDescent="0.3">
      <c r="A12945" t="str">
        <f>"0611864290100"</f>
        <v>0611864290100</v>
      </c>
      <c r="B12945" t="str">
        <f>"CN5422"</f>
        <v>CN5422</v>
      </c>
      <c r="C12945" t="s">
        <v>52274</v>
      </c>
      <c r="D12945" t="s">
        <v>27335</v>
      </c>
      <c r="E12945" t="str">
        <f t="shared" si="202"/>
        <v>001390</v>
      </c>
      <c r="F12945" t="s">
        <v>27246</v>
      </c>
      <c r="G12945" t="s">
        <v>27247</v>
      </c>
      <c r="H12945" t="s">
        <v>27248</v>
      </c>
      <c r="I12945" t="s">
        <v>52276</v>
      </c>
      <c r="J12945" t="s">
        <v>26095</v>
      </c>
      <c r="L12945" t="s">
        <v>27250</v>
      </c>
      <c r="M12945" t="s">
        <v>27251</v>
      </c>
      <c r="N12945" t="s">
        <v>27252</v>
      </c>
      <c r="Q12945" s="1">
        <v>44846</v>
      </c>
      <c r="R12945" t="s">
        <v>27253</v>
      </c>
      <c r="S12945" t="s">
        <v>27254</v>
      </c>
      <c r="T12945" t="s">
        <v>27255</v>
      </c>
    </row>
    <row r="12946" spans="1:20" x14ac:dyDescent="0.3">
      <c r="A12946" t="str">
        <f>"0611864291050"</f>
        <v>0611864291050</v>
      </c>
      <c r="B12946" t="str">
        <f>"CR4510"</f>
        <v>CR4510</v>
      </c>
      <c r="C12946" t="s">
        <v>52277</v>
      </c>
      <c r="D12946" t="s">
        <v>27286</v>
      </c>
      <c r="E12946" t="str">
        <f t="shared" si="202"/>
        <v>001390</v>
      </c>
      <c r="F12946" t="s">
        <v>27246</v>
      </c>
      <c r="G12946" t="s">
        <v>27247</v>
      </c>
      <c r="H12946" t="s">
        <v>27248</v>
      </c>
      <c r="I12946" t="s">
        <v>52278</v>
      </c>
      <c r="J12946" t="s">
        <v>26099</v>
      </c>
      <c r="L12946" t="s">
        <v>27250</v>
      </c>
      <c r="M12946" t="s">
        <v>27251</v>
      </c>
      <c r="N12946" t="s">
        <v>27252</v>
      </c>
      <c r="Q12946" s="1">
        <v>44846</v>
      </c>
      <c r="R12946" t="s">
        <v>27253</v>
      </c>
      <c r="S12946" t="s">
        <v>27254</v>
      </c>
      <c r="T12946" t="s">
        <v>27265</v>
      </c>
    </row>
    <row r="12947" spans="1:20" x14ac:dyDescent="0.3">
      <c r="A12947" t="str">
        <f>"0611832591100"</f>
        <v>0611832591100</v>
      </c>
      <c r="B12947" t="str">
        <f>"LK6463"</f>
        <v>LK6463</v>
      </c>
      <c r="C12947" t="s">
        <v>52279</v>
      </c>
      <c r="D12947" t="s">
        <v>28138</v>
      </c>
      <c r="E12947" t="str">
        <f t="shared" si="202"/>
        <v>001390</v>
      </c>
      <c r="F12947" t="s">
        <v>27246</v>
      </c>
      <c r="G12947" t="s">
        <v>27247</v>
      </c>
      <c r="H12947" t="s">
        <v>27248</v>
      </c>
      <c r="I12947" t="s">
        <v>52280</v>
      </c>
      <c r="J12947" t="s">
        <v>25889</v>
      </c>
      <c r="L12947" t="s">
        <v>27250</v>
      </c>
      <c r="M12947" t="s">
        <v>27251</v>
      </c>
      <c r="N12947" t="s">
        <v>27252</v>
      </c>
      <c r="P12947" t="s">
        <v>27925</v>
      </c>
      <c r="Q12947" s="1">
        <v>44538</v>
      </c>
      <c r="R12947" t="s">
        <v>27253</v>
      </c>
      <c r="S12947" t="s">
        <v>27254</v>
      </c>
      <c r="T12947" t="s">
        <v>27255</v>
      </c>
    </row>
    <row r="12948" spans="1:20" x14ac:dyDescent="0.3">
      <c r="A12948" t="str">
        <f>"0611857172100"</f>
        <v>0611857172100</v>
      </c>
      <c r="B12948" t="str">
        <f>"LK7106"</f>
        <v>LK7106</v>
      </c>
      <c r="C12948" t="s">
        <v>52281</v>
      </c>
      <c r="D12948" t="s">
        <v>28138</v>
      </c>
      <c r="E12948" t="str">
        <f t="shared" si="202"/>
        <v>001390</v>
      </c>
      <c r="F12948" t="s">
        <v>27246</v>
      </c>
      <c r="G12948" t="s">
        <v>27247</v>
      </c>
      <c r="H12948" t="s">
        <v>27248</v>
      </c>
      <c r="I12948" t="s">
        <v>52282</v>
      </c>
      <c r="J12948" t="s">
        <v>25891</v>
      </c>
      <c r="L12948" t="s">
        <v>27250</v>
      </c>
      <c r="M12948" t="s">
        <v>27251</v>
      </c>
      <c r="N12948" t="s">
        <v>27252</v>
      </c>
      <c r="P12948" t="s">
        <v>27925</v>
      </c>
      <c r="Q12948" s="1">
        <v>44812</v>
      </c>
      <c r="R12948" t="s">
        <v>27253</v>
      </c>
      <c r="S12948" t="s">
        <v>27254</v>
      </c>
      <c r="T12948" t="s">
        <v>27255</v>
      </c>
    </row>
    <row r="12949" spans="1:20" x14ac:dyDescent="0.3">
      <c r="A12949" t="str">
        <f>"0611832592100"</f>
        <v>0611832592100</v>
      </c>
      <c r="B12949" t="str">
        <f>"LK6464"</f>
        <v>LK6464</v>
      </c>
      <c r="C12949" t="s">
        <v>52283</v>
      </c>
      <c r="D12949" t="s">
        <v>28138</v>
      </c>
      <c r="E12949" t="str">
        <f t="shared" si="202"/>
        <v>001390</v>
      </c>
      <c r="F12949" t="s">
        <v>27246</v>
      </c>
      <c r="G12949" t="s">
        <v>27247</v>
      </c>
      <c r="H12949" t="s">
        <v>27248</v>
      </c>
      <c r="I12949" t="s">
        <v>52284</v>
      </c>
      <c r="J12949" t="s">
        <v>25893</v>
      </c>
      <c r="L12949" t="s">
        <v>27250</v>
      </c>
      <c r="M12949" t="s">
        <v>27251</v>
      </c>
      <c r="N12949" t="s">
        <v>27252</v>
      </c>
      <c r="P12949" t="s">
        <v>27925</v>
      </c>
      <c r="Q12949" s="1">
        <v>44538</v>
      </c>
      <c r="R12949" t="s">
        <v>27253</v>
      </c>
      <c r="S12949" t="s">
        <v>27254</v>
      </c>
      <c r="T12949" t="s">
        <v>27255</v>
      </c>
    </row>
    <row r="12950" spans="1:20" x14ac:dyDescent="0.3">
      <c r="A12950" t="str">
        <f>"0611832593100"</f>
        <v>0611832593100</v>
      </c>
      <c r="B12950" t="str">
        <f>"LK6465"</f>
        <v>LK6465</v>
      </c>
      <c r="C12950" t="s">
        <v>52285</v>
      </c>
      <c r="D12950" t="s">
        <v>28138</v>
      </c>
      <c r="E12950" t="str">
        <f t="shared" si="202"/>
        <v>001390</v>
      </c>
      <c r="F12950" t="s">
        <v>27246</v>
      </c>
      <c r="G12950" t="s">
        <v>27247</v>
      </c>
      <c r="H12950" t="s">
        <v>27248</v>
      </c>
      <c r="I12950" t="s">
        <v>52286</v>
      </c>
      <c r="J12950" t="s">
        <v>25895</v>
      </c>
      <c r="L12950" t="s">
        <v>27250</v>
      </c>
      <c r="M12950" t="s">
        <v>27251</v>
      </c>
      <c r="N12950" t="s">
        <v>27252</v>
      </c>
      <c r="P12950" t="s">
        <v>27925</v>
      </c>
      <c r="Q12950" s="1">
        <v>44538</v>
      </c>
      <c r="R12950" t="s">
        <v>27253</v>
      </c>
      <c r="S12950" t="s">
        <v>27254</v>
      </c>
      <c r="T12950" t="s">
        <v>27255</v>
      </c>
    </row>
    <row r="12951" spans="1:20" x14ac:dyDescent="0.3">
      <c r="A12951" t="str">
        <f>"0611832594100"</f>
        <v>0611832594100</v>
      </c>
      <c r="B12951" t="str">
        <f>"LK6466"</f>
        <v>LK6466</v>
      </c>
      <c r="C12951" t="s">
        <v>52287</v>
      </c>
      <c r="D12951" t="s">
        <v>28138</v>
      </c>
      <c r="E12951" t="str">
        <f t="shared" si="202"/>
        <v>001390</v>
      </c>
      <c r="F12951" t="s">
        <v>27246</v>
      </c>
      <c r="G12951" t="s">
        <v>27247</v>
      </c>
      <c r="H12951" t="s">
        <v>27248</v>
      </c>
      <c r="I12951" t="s">
        <v>52288</v>
      </c>
      <c r="J12951" t="s">
        <v>25897</v>
      </c>
      <c r="L12951" t="s">
        <v>27250</v>
      </c>
      <c r="M12951" t="s">
        <v>27251</v>
      </c>
      <c r="N12951" t="s">
        <v>27252</v>
      </c>
      <c r="P12951" t="s">
        <v>27925</v>
      </c>
      <c r="Q12951" s="1">
        <v>44538</v>
      </c>
      <c r="R12951" t="s">
        <v>27253</v>
      </c>
      <c r="S12951" t="s">
        <v>27254</v>
      </c>
      <c r="T12951" t="s">
        <v>27255</v>
      </c>
    </row>
    <row r="12952" spans="1:20" x14ac:dyDescent="0.3">
      <c r="A12952" t="str">
        <f>"0611832590100"</f>
        <v>0611832590100</v>
      </c>
      <c r="B12952" t="str">
        <f>"LK6467"</f>
        <v>LK6467</v>
      </c>
      <c r="C12952" t="s">
        <v>52289</v>
      </c>
      <c r="D12952" t="s">
        <v>28138</v>
      </c>
      <c r="E12952" t="str">
        <f t="shared" si="202"/>
        <v>001390</v>
      </c>
      <c r="F12952" t="s">
        <v>27246</v>
      </c>
      <c r="G12952" t="s">
        <v>27247</v>
      </c>
      <c r="H12952" t="s">
        <v>27248</v>
      </c>
      <c r="I12952" t="s">
        <v>52290</v>
      </c>
      <c r="J12952" t="s">
        <v>25899</v>
      </c>
      <c r="L12952" t="s">
        <v>27250</v>
      </c>
      <c r="M12952" t="s">
        <v>27251</v>
      </c>
      <c r="N12952" t="s">
        <v>27252</v>
      </c>
      <c r="P12952" t="s">
        <v>27925</v>
      </c>
      <c r="Q12952" s="1">
        <v>44538</v>
      </c>
      <c r="R12952" t="s">
        <v>27253</v>
      </c>
      <c r="S12952" t="s">
        <v>27254</v>
      </c>
      <c r="T12952" t="s">
        <v>27255</v>
      </c>
    </row>
    <row r="12953" spans="1:20" x14ac:dyDescent="0.3">
      <c r="A12953" t="str">
        <f>"0611832595100"</f>
        <v>0611832595100</v>
      </c>
      <c r="B12953" t="str">
        <f>"LK6468"</f>
        <v>LK6468</v>
      </c>
      <c r="C12953" t="s">
        <v>52291</v>
      </c>
      <c r="D12953" t="s">
        <v>28138</v>
      </c>
      <c r="E12953" t="str">
        <f t="shared" si="202"/>
        <v>001390</v>
      </c>
      <c r="F12953" t="s">
        <v>27246</v>
      </c>
      <c r="G12953" t="s">
        <v>27247</v>
      </c>
      <c r="H12953" t="s">
        <v>27248</v>
      </c>
      <c r="I12953" t="s">
        <v>52292</v>
      </c>
      <c r="J12953" t="s">
        <v>25901</v>
      </c>
      <c r="L12953" t="s">
        <v>27250</v>
      </c>
      <c r="M12953" t="s">
        <v>27251</v>
      </c>
      <c r="N12953" t="s">
        <v>27252</v>
      </c>
      <c r="P12953" t="s">
        <v>27925</v>
      </c>
      <c r="Q12953" s="1">
        <v>44538</v>
      </c>
      <c r="R12953" t="s">
        <v>27253</v>
      </c>
      <c r="S12953" t="s">
        <v>27254</v>
      </c>
      <c r="T12953" t="s">
        <v>27255</v>
      </c>
    </row>
    <row r="12954" spans="1:20" x14ac:dyDescent="0.3">
      <c r="A12954" t="str">
        <f>"0611832596100"</f>
        <v>0611832596100</v>
      </c>
      <c r="B12954" t="str">
        <f>"LK6469"</f>
        <v>LK6469</v>
      </c>
      <c r="C12954" t="s">
        <v>52293</v>
      </c>
      <c r="D12954" t="s">
        <v>28138</v>
      </c>
      <c r="E12954" t="str">
        <f t="shared" si="202"/>
        <v>001390</v>
      </c>
      <c r="F12954" t="s">
        <v>27246</v>
      </c>
      <c r="G12954" t="s">
        <v>27247</v>
      </c>
      <c r="H12954" t="s">
        <v>27248</v>
      </c>
      <c r="I12954" t="s">
        <v>52294</v>
      </c>
      <c r="J12954" t="s">
        <v>25903</v>
      </c>
      <c r="L12954" t="s">
        <v>27250</v>
      </c>
      <c r="M12954" t="s">
        <v>27251</v>
      </c>
      <c r="N12954" t="s">
        <v>27252</v>
      </c>
      <c r="P12954" t="s">
        <v>27925</v>
      </c>
      <c r="Q12954" s="1">
        <v>44538</v>
      </c>
      <c r="R12954" t="s">
        <v>27253</v>
      </c>
      <c r="S12954" t="s">
        <v>27254</v>
      </c>
      <c r="T12954" t="s">
        <v>27255</v>
      </c>
    </row>
    <row r="12955" spans="1:20" x14ac:dyDescent="0.3">
      <c r="A12955" t="str">
        <f>"0611832597100"</f>
        <v>0611832597100</v>
      </c>
      <c r="B12955" t="str">
        <f>"LK6470"</f>
        <v>LK6470</v>
      </c>
      <c r="C12955" t="s">
        <v>52295</v>
      </c>
      <c r="D12955" t="s">
        <v>28138</v>
      </c>
      <c r="E12955" t="str">
        <f t="shared" si="202"/>
        <v>001390</v>
      </c>
      <c r="F12955" t="s">
        <v>27246</v>
      </c>
      <c r="G12955" t="s">
        <v>27247</v>
      </c>
      <c r="H12955" t="s">
        <v>27248</v>
      </c>
      <c r="I12955" t="s">
        <v>52296</v>
      </c>
      <c r="J12955" t="s">
        <v>25905</v>
      </c>
      <c r="L12955" t="s">
        <v>27250</v>
      </c>
      <c r="M12955" t="s">
        <v>27251</v>
      </c>
      <c r="N12955" t="s">
        <v>27252</v>
      </c>
      <c r="P12955" t="s">
        <v>27925</v>
      </c>
      <c r="Q12955" s="1">
        <v>44538</v>
      </c>
      <c r="R12955" t="s">
        <v>27253</v>
      </c>
      <c r="S12955" t="s">
        <v>27254</v>
      </c>
      <c r="T12955" t="s">
        <v>27255</v>
      </c>
    </row>
    <row r="12956" spans="1:20" x14ac:dyDescent="0.3">
      <c r="A12956" t="str">
        <f>"0611832598100"</f>
        <v>0611832598100</v>
      </c>
      <c r="B12956" t="str">
        <f>"LK6471"</f>
        <v>LK6471</v>
      </c>
      <c r="C12956" t="s">
        <v>52297</v>
      </c>
      <c r="D12956" t="s">
        <v>28138</v>
      </c>
      <c r="E12956" t="str">
        <f t="shared" si="202"/>
        <v>001390</v>
      </c>
      <c r="F12956" t="s">
        <v>27246</v>
      </c>
      <c r="G12956" t="s">
        <v>27247</v>
      </c>
      <c r="H12956" t="s">
        <v>27248</v>
      </c>
      <c r="I12956" t="s">
        <v>52298</v>
      </c>
      <c r="J12956" t="s">
        <v>25907</v>
      </c>
      <c r="L12956" t="s">
        <v>27250</v>
      </c>
      <c r="M12956" t="s">
        <v>27251</v>
      </c>
      <c r="N12956" t="s">
        <v>27252</v>
      </c>
      <c r="P12956" t="s">
        <v>27925</v>
      </c>
      <c r="Q12956" s="1">
        <v>44538</v>
      </c>
      <c r="R12956" t="s">
        <v>27253</v>
      </c>
      <c r="S12956" t="s">
        <v>27254</v>
      </c>
      <c r="T12956" t="s">
        <v>27255</v>
      </c>
    </row>
    <row r="12957" spans="1:20" x14ac:dyDescent="0.3">
      <c r="A12957" t="str">
        <f>"0611832599100"</f>
        <v>0611832599100</v>
      </c>
      <c r="B12957" t="str">
        <f>"LK6472"</f>
        <v>LK6472</v>
      </c>
      <c r="C12957" t="s">
        <v>52299</v>
      </c>
      <c r="D12957" t="s">
        <v>28138</v>
      </c>
      <c r="E12957" t="str">
        <f t="shared" si="202"/>
        <v>001390</v>
      </c>
      <c r="F12957" t="s">
        <v>27246</v>
      </c>
      <c r="G12957" t="s">
        <v>27247</v>
      </c>
      <c r="H12957" t="s">
        <v>27248</v>
      </c>
      <c r="I12957" t="s">
        <v>52300</v>
      </c>
      <c r="J12957" t="s">
        <v>25909</v>
      </c>
      <c r="L12957" t="s">
        <v>27250</v>
      </c>
      <c r="M12957" t="s">
        <v>27251</v>
      </c>
      <c r="N12957" t="s">
        <v>27252</v>
      </c>
      <c r="P12957" t="s">
        <v>27925</v>
      </c>
      <c r="Q12957" s="1">
        <v>44538</v>
      </c>
      <c r="R12957" t="s">
        <v>27253</v>
      </c>
      <c r="S12957" t="s">
        <v>27254</v>
      </c>
      <c r="T12957" t="s">
        <v>27255</v>
      </c>
    </row>
    <row r="12958" spans="1:20" x14ac:dyDescent="0.3">
      <c r="A12958" t="str">
        <f>"0611832600100"</f>
        <v>0611832600100</v>
      </c>
      <c r="B12958" t="str">
        <f>"LK6473"</f>
        <v>LK6473</v>
      </c>
      <c r="C12958" t="s">
        <v>52301</v>
      </c>
      <c r="D12958" t="s">
        <v>28138</v>
      </c>
      <c r="E12958" t="str">
        <f t="shared" si="202"/>
        <v>001390</v>
      </c>
      <c r="F12958" t="s">
        <v>27246</v>
      </c>
      <c r="G12958" t="s">
        <v>27247</v>
      </c>
      <c r="H12958" t="s">
        <v>27248</v>
      </c>
      <c r="I12958" t="s">
        <v>52302</v>
      </c>
      <c r="J12958" t="s">
        <v>25911</v>
      </c>
      <c r="L12958" t="s">
        <v>27250</v>
      </c>
      <c r="M12958" t="s">
        <v>27251</v>
      </c>
      <c r="N12958" t="s">
        <v>27252</v>
      </c>
      <c r="P12958" t="s">
        <v>27925</v>
      </c>
      <c r="Q12958" s="1">
        <v>44538</v>
      </c>
      <c r="R12958" t="s">
        <v>27253</v>
      </c>
      <c r="S12958" t="s">
        <v>27254</v>
      </c>
      <c r="T12958" t="s">
        <v>27255</v>
      </c>
    </row>
    <row r="12959" spans="1:20" x14ac:dyDescent="0.3">
      <c r="A12959" t="str">
        <f>"0611840072100"</f>
        <v>0611840072100</v>
      </c>
      <c r="B12959" t="str">
        <f>"LH8673"</f>
        <v>LH8673</v>
      </c>
      <c r="C12959" t="s">
        <v>52303</v>
      </c>
      <c r="D12959" t="s">
        <v>27245</v>
      </c>
      <c r="E12959" t="str">
        <f t="shared" si="202"/>
        <v>001390</v>
      </c>
      <c r="F12959" t="s">
        <v>27246</v>
      </c>
      <c r="G12959" t="s">
        <v>27247</v>
      </c>
      <c r="H12959" t="s">
        <v>27248</v>
      </c>
      <c r="I12959" t="s">
        <v>52304</v>
      </c>
      <c r="J12959" t="s">
        <v>26101</v>
      </c>
      <c r="L12959" t="s">
        <v>27250</v>
      </c>
      <c r="M12959" t="s">
        <v>27251</v>
      </c>
      <c r="N12959" t="s">
        <v>27252</v>
      </c>
      <c r="Q12959" s="1">
        <v>44538</v>
      </c>
      <c r="R12959" t="s">
        <v>27253</v>
      </c>
      <c r="S12959" t="s">
        <v>27254</v>
      </c>
      <c r="T12959" t="s">
        <v>27255</v>
      </c>
    </row>
    <row r="12960" spans="1:20" x14ac:dyDescent="0.3">
      <c r="A12960" t="str">
        <f>"0611840073025"</f>
        <v>0611840073025</v>
      </c>
      <c r="B12960" t="str">
        <f>"MC3932"</f>
        <v>MC3932</v>
      </c>
      <c r="C12960" t="s">
        <v>52305</v>
      </c>
      <c r="D12960" t="s">
        <v>27267</v>
      </c>
      <c r="E12960" t="str">
        <f t="shared" si="202"/>
        <v>001390</v>
      </c>
      <c r="F12960" t="s">
        <v>27246</v>
      </c>
      <c r="G12960" t="s">
        <v>27247</v>
      </c>
      <c r="H12960" t="s">
        <v>27248</v>
      </c>
      <c r="I12960" t="s">
        <v>52306</v>
      </c>
      <c r="J12960" t="s">
        <v>26105</v>
      </c>
      <c r="L12960" t="s">
        <v>27250</v>
      </c>
      <c r="M12960" t="s">
        <v>27251</v>
      </c>
      <c r="N12960" t="s">
        <v>27252</v>
      </c>
      <c r="Q12960" s="1">
        <v>44538</v>
      </c>
      <c r="R12960" t="s">
        <v>27253</v>
      </c>
      <c r="S12960" t="s">
        <v>27254</v>
      </c>
      <c r="T12960" t="s">
        <v>27269</v>
      </c>
    </row>
    <row r="12961" spans="1:20" x14ac:dyDescent="0.3">
      <c r="A12961" t="str">
        <f>"0611864292100"</f>
        <v>0611864292100</v>
      </c>
      <c r="B12961" t="str">
        <f>"CN5423"</f>
        <v>CN5423</v>
      </c>
      <c r="C12961" t="s">
        <v>52305</v>
      </c>
      <c r="D12961" t="s">
        <v>27335</v>
      </c>
      <c r="E12961" t="str">
        <f t="shared" si="202"/>
        <v>001390</v>
      </c>
      <c r="F12961" t="s">
        <v>27246</v>
      </c>
      <c r="G12961" t="s">
        <v>27247</v>
      </c>
      <c r="H12961" t="s">
        <v>27248</v>
      </c>
      <c r="I12961" t="s">
        <v>52307</v>
      </c>
      <c r="J12961" t="s">
        <v>26103</v>
      </c>
      <c r="L12961" t="s">
        <v>27250</v>
      </c>
      <c r="M12961" t="s">
        <v>27251</v>
      </c>
      <c r="N12961" t="s">
        <v>27252</v>
      </c>
      <c r="Q12961" s="1">
        <v>44846</v>
      </c>
      <c r="R12961" t="s">
        <v>27253</v>
      </c>
      <c r="S12961" t="s">
        <v>27254</v>
      </c>
      <c r="T12961" t="s">
        <v>27255</v>
      </c>
    </row>
    <row r="12962" spans="1:20" x14ac:dyDescent="0.3">
      <c r="A12962" t="str">
        <f>"0611864293050"</f>
        <v>0611864293050</v>
      </c>
      <c r="B12962" t="str">
        <f>"CR4511"</f>
        <v>CR4511</v>
      </c>
      <c r="C12962" t="s">
        <v>52308</v>
      </c>
      <c r="D12962" t="s">
        <v>27286</v>
      </c>
      <c r="E12962" t="str">
        <f t="shared" si="202"/>
        <v>001390</v>
      </c>
      <c r="F12962" t="s">
        <v>27246</v>
      </c>
      <c r="G12962" t="s">
        <v>27247</v>
      </c>
      <c r="H12962" t="s">
        <v>27248</v>
      </c>
      <c r="I12962" t="s">
        <v>52309</v>
      </c>
      <c r="J12962" t="s">
        <v>26107</v>
      </c>
      <c r="L12962" t="s">
        <v>27250</v>
      </c>
      <c r="M12962" t="s">
        <v>27251</v>
      </c>
      <c r="N12962" t="s">
        <v>27252</v>
      </c>
      <c r="Q12962" s="1">
        <v>44846</v>
      </c>
      <c r="R12962" t="s">
        <v>27253</v>
      </c>
      <c r="S12962" t="s">
        <v>27254</v>
      </c>
      <c r="T12962" t="s">
        <v>27265</v>
      </c>
    </row>
    <row r="12963" spans="1:20" x14ac:dyDescent="0.3">
      <c r="A12963" t="str">
        <f>"0611840074025"</f>
        <v>0611840074025</v>
      </c>
      <c r="B12963" t="str">
        <f>"MC0742"</f>
        <v>MC0742</v>
      </c>
      <c r="C12963" t="s">
        <v>52310</v>
      </c>
      <c r="D12963" t="s">
        <v>27267</v>
      </c>
      <c r="E12963" t="str">
        <f t="shared" si="202"/>
        <v>001390</v>
      </c>
      <c r="F12963" t="s">
        <v>27246</v>
      </c>
      <c r="G12963" t="s">
        <v>27247</v>
      </c>
      <c r="H12963" t="s">
        <v>27248</v>
      </c>
      <c r="I12963" t="s">
        <v>52311</v>
      </c>
      <c r="J12963" t="s">
        <v>26109</v>
      </c>
      <c r="L12963" t="s">
        <v>27250</v>
      </c>
      <c r="M12963" t="s">
        <v>27251</v>
      </c>
      <c r="N12963" t="s">
        <v>27252</v>
      </c>
      <c r="Q12963" s="1">
        <v>44538</v>
      </c>
      <c r="R12963" t="s">
        <v>27253</v>
      </c>
      <c r="S12963" t="s">
        <v>27254</v>
      </c>
      <c r="T12963" t="s">
        <v>27269</v>
      </c>
    </row>
    <row r="12964" spans="1:20" x14ac:dyDescent="0.3">
      <c r="A12964" t="str">
        <f>"0611832601100"</f>
        <v>0611832601100</v>
      </c>
      <c r="B12964" t="str">
        <f>"LK4529"</f>
        <v>LK4529</v>
      </c>
      <c r="C12964" t="s">
        <v>52312</v>
      </c>
      <c r="D12964" t="s">
        <v>28138</v>
      </c>
      <c r="E12964" t="str">
        <f t="shared" si="202"/>
        <v>001390</v>
      </c>
      <c r="F12964" t="s">
        <v>27246</v>
      </c>
      <c r="G12964" t="s">
        <v>27247</v>
      </c>
      <c r="H12964" t="s">
        <v>27248</v>
      </c>
      <c r="I12964" t="s">
        <v>52313</v>
      </c>
      <c r="J12964" t="s">
        <v>25913</v>
      </c>
      <c r="L12964" t="s">
        <v>27250</v>
      </c>
      <c r="M12964" t="s">
        <v>27251</v>
      </c>
      <c r="N12964" t="s">
        <v>27252</v>
      </c>
      <c r="P12964" t="s">
        <v>27925</v>
      </c>
      <c r="Q12964" s="1">
        <v>44538</v>
      </c>
      <c r="R12964" t="s">
        <v>27253</v>
      </c>
      <c r="S12964" t="s">
        <v>27254</v>
      </c>
      <c r="T12964" t="s">
        <v>27255</v>
      </c>
    </row>
    <row r="12965" spans="1:20" x14ac:dyDescent="0.3">
      <c r="A12965" t="str">
        <f>"0611832611100"</f>
        <v>0611832611100</v>
      </c>
      <c r="B12965" t="str">
        <f>"LB9288"</f>
        <v>LB9288</v>
      </c>
      <c r="C12965" t="s">
        <v>52314</v>
      </c>
      <c r="D12965" t="s">
        <v>27245</v>
      </c>
      <c r="E12965" t="str">
        <f t="shared" si="202"/>
        <v>001390</v>
      </c>
      <c r="F12965" t="s">
        <v>27246</v>
      </c>
      <c r="G12965" t="s">
        <v>27247</v>
      </c>
      <c r="H12965" t="s">
        <v>27248</v>
      </c>
      <c r="I12965" t="s">
        <v>52315</v>
      </c>
      <c r="J12965" t="s">
        <v>25915</v>
      </c>
      <c r="L12965" t="s">
        <v>27250</v>
      </c>
      <c r="M12965" t="s">
        <v>27251</v>
      </c>
      <c r="N12965" t="s">
        <v>27252</v>
      </c>
      <c r="Q12965" s="1">
        <v>44538</v>
      </c>
      <c r="R12965" t="s">
        <v>27253</v>
      </c>
      <c r="S12965" t="s">
        <v>27254</v>
      </c>
      <c r="T12965" t="s">
        <v>27255</v>
      </c>
    </row>
    <row r="12966" spans="1:20" x14ac:dyDescent="0.3">
      <c r="A12966" t="str">
        <f>"0611832614100"</f>
        <v>0611832614100</v>
      </c>
      <c r="B12966" t="str">
        <f>"LK1417"</f>
        <v>LK1417</v>
      </c>
      <c r="C12966" t="s">
        <v>52316</v>
      </c>
      <c r="D12966" t="s">
        <v>27245</v>
      </c>
      <c r="E12966" t="str">
        <f t="shared" si="202"/>
        <v>001390</v>
      </c>
      <c r="F12966" t="s">
        <v>27246</v>
      </c>
      <c r="G12966" t="s">
        <v>27247</v>
      </c>
      <c r="H12966" t="s">
        <v>27248</v>
      </c>
      <c r="I12966" t="s">
        <v>52317</v>
      </c>
      <c r="J12966" t="s">
        <v>25917</v>
      </c>
      <c r="L12966" t="s">
        <v>27250</v>
      </c>
      <c r="M12966" t="s">
        <v>27251</v>
      </c>
      <c r="N12966" t="s">
        <v>27252</v>
      </c>
      <c r="Q12966" s="1">
        <v>44538</v>
      </c>
      <c r="R12966" t="s">
        <v>27253</v>
      </c>
      <c r="S12966" t="s">
        <v>27254</v>
      </c>
      <c r="T12966" t="s">
        <v>27255</v>
      </c>
    </row>
    <row r="12967" spans="1:20" x14ac:dyDescent="0.3">
      <c r="A12967" t="str">
        <f>"0611832615100"</f>
        <v>0611832615100</v>
      </c>
      <c r="B12967" t="str">
        <f>"LB9290"</f>
        <v>LB9290</v>
      </c>
      <c r="C12967" t="s">
        <v>52318</v>
      </c>
      <c r="D12967" t="s">
        <v>27245</v>
      </c>
      <c r="E12967" t="str">
        <f t="shared" si="202"/>
        <v>001390</v>
      </c>
      <c r="F12967" t="s">
        <v>27246</v>
      </c>
      <c r="G12967" t="s">
        <v>27247</v>
      </c>
      <c r="H12967" t="s">
        <v>27248</v>
      </c>
      <c r="I12967" t="s">
        <v>52319</v>
      </c>
      <c r="J12967" t="s">
        <v>25919</v>
      </c>
      <c r="L12967" t="s">
        <v>27250</v>
      </c>
      <c r="M12967" t="s">
        <v>27251</v>
      </c>
      <c r="N12967" t="s">
        <v>27252</v>
      </c>
      <c r="Q12967" s="1">
        <v>44538</v>
      </c>
      <c r="R12967" t="s">
        <v>27253</v>
      </c>
      <c r="S12967" t="s">
        <v>27254</v>
      </c>
      <c r="T12967" t="s">
        <v>27255</v>
      </c>
    </row>
    <row r="12968" spans="1:20" x14ac:dyDescent="0.3">
      <c r="A12968" t="str">
        <f>"0611832617100"</f>
        <v>0611832617100</v>
      </c>
      <c r="B12968" t="str">
        <f>"LB9294"</f>
        <v>LB9294</v>
      </c>
      <c r="C12968" t="s">
        <v>52320</v>
      </c>
      <c r="D12968" t="s">
        <v>27245</v>
      </c>
      <c r="E12968" t="str">
        <f t="shared" si="202"/>
        <v>001390</v>
      </c>
      <c r="F12968" t="s">
        <v>27246</v>
      </c>
      <c r="G12968" t="s">
        <v>27247</v>
      </c>
      <c r="H12968" t="s">
        <v>27248</v>
      </c>
      <c r="I12968" t="s">
        <v>52321</v>
      </c>
      <c r="J12968" t="s">
        <v>25921</v>
      </c>
      <c r="L12968" t="s">
        <v>27250</v>
      </c>
      <c r="M12968" t="s">
        <v>27251</v>
      </c>
      <c r="N12968" t="s">
        <v>27252</v>
      </c>
      <c r="Q12968" s="1">
        <v>44538</v>
      </c>
      <c r="R12968" t="s">
        <v>27253</v>
      </c>
      <c r="S12968" t="s">
        <v>27254</v>
      </c>
      <c r="T12968" t="s">
        <v>27255</v>
      </c>
    </row>
    <row r="12969" spans="1:20" x14ac:dyDescent="0.3">
      <c r="A12969" t="str">
        <f>"0611832618100"</f>
        <v>0611832618100</v>
      </c>
      <c r="B12969" t="str">
        <f>"LB9291"</f>
        <v>LB9291</v>
      </c>
      <c r="C12969" t="s">
        <v>52322</v>
      </c>
      <c r="D12969" t="s">
        <v>27245</v>
      </c>
      <c r="E12969" t="str">
        <f t="shared" si="202"/>
        <v>001390</v>
      </c>
      <c r="F12969" t="s">
        <v>27246</v>
      </c>
      <c r="G12969" t="s">
        <v>27247</v>
      </c>
      <c r="H12969" t="s">
        <v>27248</v>
      </c>
      <c r="I12969" t="s">
        <v>52323</v>
      </c>
      <c r="J12969" t="s">
        <v>25923</v>
      </c>
      <c r="L12969" t="s">
        <v>27250</v>
      </c>
      <c r="M12969" t="s">
        <v>27251</v>
      </c>
      <c r="N12969" t="s">
        <v>27252</v>
      </c>
      <c r="Q12969" s="1">
        <v>44538</v>
      </c>
      <c r="R12969" t="s">
        <v>27253</v>
      </c>
      <c r="S12969" t="s">
        <v>27254</v>
      </c>
      <c r="T12969" t="s">
        <v>27255</v>
      </c>
    </row>
    <row r="12970" spans="1:20" x14ac:dyDescent="0.3">
      <c r="A12970" t="str">
        <f>"0611832620100"</f>
        <v>0611832620100</v>
      </c>
      <c r="B12970" t="str">
        <f>"LB9322"</f>
        <v>LB9322</v>
      </c>
      <c r="C12970" t="s">
        <v>52324</v>
      </c>
      <c r="D12970" t="s">
        <v>27245</v>
      </c>
      <c r="E12970" t="str">
        <f t="shared" si="202"/>
        <v>001390</v>
      </c>
      <c r="F12970" t="s">
        <v>27246</v>
      </c>
      <c r="G12970" t="s">
        <v>27247</v>
      </c>
      <c r="H12970" t="s">
        <v>27248</v>
      </c>
      <c r="I12970" t="s">
        <v>52325</v>
      </c>
      <c r="J12970" t="s">
        <v>25925</v>
      </c>
      <c r="L12970" t="s">
        <v>27250</v>
      </c>
      <c r="M12970" t="s">
        <v>27251</v>
      </c>
      <c r="N12970" t="s">
        <v>27252</v>
      </c>
      <c r="Q12970" s="1">
        <v>44538</v>
      </c>
      <c r="R12970" t="s">
        <v>27253</v>
      </c>
      <c r="S12970" t="s">
        <v>27254</v>
      </c>
      <c r="T12970" t="s">
        <v>27255</v>
      </c>
    </row>
    <row r="12971" spans="1:20" x14ac:dyDescent="0.3">
      <c r="A12971" t="str">
        <f>"0611832621100"</f>
        <v>0611832621100</v>
      </c>
      <c r="B12971" t="str">
        <f>"LB9345"</f>
        <v>LB9345</v>
      </c>
      <c r="C12971" t="s">
        <v>52326</v>
      </c>
      <c r="D12971" t="s">
        <v>27245</v>
      </c>
      <c r="E12971" t="str">
        <f t="shared" si="202"/>
        <v>001390</v>
      </c>
      <c r="F12971" t="s">
        <v>27246</v>
      </c>
      <c r="G12971" t="s">
        <v>27247</v>
      </c>
      <c r="H12971" t="s">
        <v>27248</v>
      </c>
      <c r="I12971" t="s">
        <v>52327</v>
      </c>
      <c r="J12971" t="s">
        <v>25927</v>
      </c>
      <c r="L12971" t="s">
        <v>27250</v>
      </c>
      <c r="M12971" t="s">
        <v>27251</v>
      </c>
      <c r="N12971" t="s">
        <v>27252</v>
      </c>
      <c r="Q12971" s="1">
        <v>44538</v>
      </c>
      <c r="R12971" t="s">
        <v>27253</v>
      </c>
      <c r="S12971" t="s">
        <v>27254</v>
      </c>
      <c r="T12971" t="s">
        <v>27255</v>
      </c>
    </row>
    <row r="12972" spans="1:20" x14ac:dyDescent="0.3">
      <c r="A12972" t="str">
        <f>"0611832624100"</f>
        <v>0611832624100</v>
      </c>
      <c r="B12972" t="str">
        <f>"LK3242"</f>
        <v>LK3242</v>
      </c>
      <c r="C12972" t="s">
        <v>52328</v>
      </c>
      <c r="D12972" t="s">
        <v>28138</v>
      </c>
      <c r="E12972" t="str">
        <f t="shared" si="202"/>
        <v>001390</v>
      </c>
      <c r="F12972" t="s">
        <v>27246</v>
      </c>
      <c r="G12972" t="s">
        <v>27247</v>
      </c>
      <c r="H12972" t="s">
        <v>27248</v>
      </c>
      <c r="I12972" t="s">
        <v>52329</v>
      </c>
      <c r="J12972" t="s">
        <v>25929</v>
      </c>
      <c r="L12972" t="s">
        <v>27250</v>
      </c>
      <c r="M12972" t="s">
        <v>27251</v>
      </c>
      <c r="N12972" t="s">
        <v>27252</v>
      </c>
      <c r="P12972" t="s">
        <v>27925</v>
      </c>
      <c r="Q12972" s="1">
        <v>44538</v>
      </c>
      <c r="R12972" t="s">
        <v>27253</v>
      </c>
      <c r="S12972" t="s">
        <v>27254</v>
      </c>
      <c r="T12972" t="s">
        <v>27255</v>
      </c>
    </row>
    <row r="12973" spans="1:20" x14ac:dyDescent="0.3">
      <c r="A12973" t="str">
        <f>"0611832625100"</f>
        <v>0611832625100</v>
      </c>
      <c r="B12973" t="str">
        <f>"LK3243"</f>
        <v>LK3243</v>
      </c>
      <c r="C12973" t="s">
        <v>52330</v>
      </c>
      <c r="D12973" t="s">
        <v>28138</v>
      </c>
      <c r="E12973" t="str">
        <f t="shared" si="202"/>
        <v>001390</v>
      </c>
      <c r="F12973" t="s">
        <v>27246</v>
      </c>
      <c r="G12973" t="s">
        <v>27247</v>
      </c>
      <c r="H12973" t="s">
        <v>27248</v>
      </c>
      <c r="I12973" t="s">
        <v>52331</v>
      </c>
      <c r="J12973" t="s">
        <v>25931</v>
      </c>
      <c r="L12973" t="s">
        <v>27250</v>
      </c>
      <c r="M12973" t="s">
        <v>27251</v>
      </c>
      <c r="N12973" t="s">
        <v>27252</v>
      </c>
      <c r="P12973" t="s">
        <v>27925</v>
      </c>
      <c r="Q12973" s="1">
        <v>44538</v>
      </c>
      <c r="R12973" t="s">
        <v>27253</v>
      </c>
      <c r="S12973" t="s">
        <v>27254</v>
      </c>
      <c r="T12973" t="s">
        <v>27255</v>
      </c>
    </row>
    <row r="12974" spans="1:20" x14ac:dyDescent="0.3">
      <c r="A12974" t="str">
        <f>"0611832627100"</f>
        <v>0611832627100</v>
      </c>
      <c r="B12974" t="str">
        <f>"LK5529"</f>
        <v>LK5529</v>
      </c>
      <c r="C12974" t="s">
        <v>52332</v>
      </c>
      <c r="D12974" t="s">
        <v>28138</v>
      </c>
      <c r="E12974" t="str">
        <f t="shared" si="202"/>
        <v>001390</v>
      </c>
      <c r="F12974" t="s">
        <v>27246</v>
      </c>
      <c r="G12974" t="s">
        <v>27247</v>
      </c>
      <c r="H12974" t="s">
        <v>27248</v>
      </c>
      <c r="I12974" t="s">
        <v>52333</v>
      </c>
      <c r="J12974" t="s">
        <v>25933</v>
      </c>
      <c r="L12974" t="s">
        <v>27250</v>
      </c>
      <c r="M12974" t="s">
        <v>27251</v>
      </c>
      <c r="N12974" t="s">
        <v>27252</v>
      </c>
      <c r="P12974" t="s">
        <v>27925</v>
      </c>
      <c r="Q12974" s="1">
        <v>44538</v>
      </c>
      <c r="R12974" t="s">
        <v>27253</v>
      </c>
      <c r="S12974" t="s">
        <v>27254</v>
      </c>
      <c r="T12974" t="s">
        <v>27255</v>
      </c>
    </row>
    <row r="12975" spans="1:20" x14ac:dyDescent="0.3">
      <c r="A12975" t="str">
        <f>"0611832628100"</f>
        <v>0611832628100</v>
      </c>
      <c r="B12975" t="str">
        <f>"LK6883"</f>
        <v>LK6883</v>
      </c>
      <c r="C12975" t="s">
        <v>52334</v>
      </c>
      <c r="D12975" t="s">
        <v>28138</v>
      </c>
      <c r="E12975" t="str">
        <f t="shared" si="202"/>
        <v>001390</v>
      </c>
      <c r="F12975" t="s">
        <v>27246</v>
      </c>
      <c r="G12975" t="s">
        <v>27247</v>
      </c>
      <c r="H12975" t="s">
        <v>27248</v>
      </c>
      <c r="I12975" t="s">
        <v>52335</v>
      </c>
      <c r="J12975" t="s">
        <v>25935</v>
      </c>
      <c r="L12975" t="s">
        <v>27250</v>
      </c>
      <c r="M12975" t="s">
        <v>27251</v>
      </c>
      <c r="N12975" t="s">
        <v>27252</v>
      </c>
      <c r="P12975" t="s">
        <v>27925</v>
      </c>
      <c r="Q12975" s="1">
        <v>44538</v>
      </c>
      <c r="R12975" t="s">
        <v>27253</v>
      </c>
      <c r="S12975" t="s">
        <v>27254</v>
      </c>
      <c r="T12975" t="s">
        <v>27255</v>
      </c>
    </row>
    <row r="12976" spans="1:20" x14ac:dyDescent="0.3">
      <c r="A12976" t="str">
        <f>"0611832629100"</f>
        <v>0611832629100</v>
      </c>
      <c r="B12976" t="str">
        <f>"LK4375"</f>
        <v>LK4375</v>
      </c>
      <c r="C12976" t="s">
        <v>52336</v>
      </c>
      <c r="D12976" t="s">
        <v>28138</v>
      </c>
      <c r="E12976" t="str">
        <f t="shared" si="202"/>
        <v>001390</v>
      </c>
      <c r="F12976" t="s">
        <v>27246</v>
      </c>
      <c r="G12976" t="s">
        <v>27247</v>
      </c>
      <c r="H12976" t="s">
        <v>27248</v>
      </c>
      <c r="I12976" t="s">
        <v>52337</v>
      </c>
      <c r="J12976" t="s">
        <v>25937</v>
      </c>
      <c r="L12976" t="s">
        <v>27250</v>
      </c>
      <c r="M12976" t="s">
        <v>27251</v>
      </c>
      <c r="N12976" t="s">
        <v>27252</v>
      </c>
      <c r="P12976" t="s">
        <v>27925</v>
      </c>
      <c r="Q12976" s="1">
        <v>44538</v>
      </c>
      <c r="R12976" t="s">
        <v>27253</v>
      </c>
      <c r="S12976" t="s">
        <v>27254</v>
      </c>
      <c r="T12976" t="s">
        <v>27255</v>
      </c>
    </row>
    <row r="12977" spans="1:20" x14ac:dyDescent="0.3">
      <c r="A12977" t="str">
        <f>"0611832630100"</f>
        <v>0611832630100</v>
      </c>
      <c r="B12977" t="str">
        <f>"LK6474"</f>
        <v>LK6474</v>
      </c>
      <c r="C12977" t="s">
        <v>52338</v>
      </c>
      <c r="D12977" t="s">
        <v>28138</v>
      </c>
      <c r="E12977" t="str">
        <f t="shared" si="202"/>
        <v>001390</v>
      </c>
      <c r="F12977" t="s">
        <v>27246</v>
      </c>
      <c r="G12977" t="s">
        <v>27247</v>
      </c>
      <c r="H12977" t="s">
        <v>27248</v>
      </c>
      <c r="I12977" t="s">
        <v>52339</v>
      </c>
      <c r="J12977" t="s">
        <v>25939</v>
      </c>
      <c r="L12977" t="s">
        <v>27250</v>
      </c>
      <c r="M12977" t="s">
        <v>27251</v>
      </c>
      <c r="N12977" t="s">
        <v>27252</v>
      </c>
      <c r="P12977" t="s">
        <v>27925</v>
      </c>
      <c r="Q12977" s="1">
        <v>44538</v>
      </c>
      <c r="R12977" t="s">
        <v>27253</v>
      </c>
      <c r="S12977" t="s">
        <v>27254</v>
      </c>
      <c r="T12977" t="s">
        <v>27255</v>
      </c>
    </row>
    <row r="12978" spans="1:20" x14ac:dyDescent="0.3">
      <c r="A12978" t="str">
        <f>"0611832631100"</f>
        <v>0611832631100</v>
      </c>
      <c r="B12978" t="str">
        <f>"LK4376"</f>
        <v>LK4376</v>
      </c>
      <c r="C12978" t="s">
        <v>52340</v>
      </c>
      <c r="D12978" t="s">
        <v>28138</v>
      </c>
      <c r="E12978" t="str">
        <f t="shared" si="202"/>
        <v>001390</v>
      </c>
      <c r="F12978" t="s">
        <v>27246</v>
      </c>
      <c r="G12978" t="s">
        <v>27247</v>
      </c>
      <c r="H12978" t="s">
        <v>27248</v>
      </c>
      <c r="I12978" t="s">
        <v>52341</v>
      </c>
      <c r="J12978" t="s">
        <v>25941</v>
      </c>
      <c r="L12978" t="s">
        <v>27250</v>
      </c>
      <c r="M12978" t="s">
        <v>27251</v>
      </c>
      <c r="N12978" t="s">
        <v>27252</v>
      </c>
      <c r="P12978" t="s">
        <v>27925</v>
      </c>
      <c r="Q12978" s="1">
        <v>44538</v>
      </c>
      <c r="R12978" t="s">
        <v>27253</v>
      </c>
      <c r="S12978" t="s">
        <v>27254</v>
      </c>
      <c r="T12978" t="s">
        <v>27255</v>
      </c>
    </row>
    <row r="12979" spans="1:20" x14ac:dyDescent="0.3">
      <c r="A12979" t="str">
        <f>"0611832632100"</f>
        <v>0611832632100</v>
      </c>
      <c r="B12979" t="str">
        <f>"LK4377"</f>
        <v>LK4377</v>
      </c>
      <c r="C12979" t="s">
        <v>52342</v>
      </c>
      <c r="D12979" t="s">
        <v>28138</v>
      </c>
      <c r="E12979" t="str">
        <f t="shared" si="202"/>
        <v>001390</v>
      </c>
      <c r="F12979" t="s">
        <v>27246</v>
      </c>
      <c r="G12979" t="s">
        <v>27247</v>
      </c>
      <c r="H12979" t="s">
        <v>27248</v>
      </c>
      <c r="I12979" t="s">
        <v>52343</v>
      </c>
      <c r="J12979" t="s">
        <v>25943</v>
      </c>
      <c r="L12979" t="s">
        <v>27250</v>
      </c>
      <c r="M12979" t="s">
        <v>27251</v>
      </c>
      <c r="N12979" t="s">
        <v>27252</v>
      </c>
      <c r="P12979" t="s">
        <v>27925</v>
      </c>
      <c r="Q12979" s="1">
        <v>44538</v>
      </c>
      <c r="R12979" t="s">
        <v>27253</v>
      </c>
      <c r="S12979" t="s">
        <v>27254</v>
      </c>
      <c r="T12979" t="s">
        <v>27255</v>
      </c>
    </row>
    <row r="12980" spans="1:20" x14ac:dyDescent="0.3">
      <c r="A12980" t="str">
        <f>"0611832633100"</f>
        <v>0611832633100</v>
      </c>
      <c r="B12980" t="str">
        <f>"LK4378"</f>
        <v>LK4378</v>
      </c>
      <c r="C12980" t="s">
        <v>52344</v>
      </c>
      <c r="D12980" t="s">
        <v>28138</v>
      </c>
      <c r="E12980" t="str">
        <f t="shared" si="202"/>
        <v>001390</v>
      </c>
      <c r="F12980" t="s">
        <v>27246</v>
      </c>
      <c r="G12980" t="s">
        <v>27247</v>
      </c>
      <c r="H12980" t="s">
        <v>27248</v>
      </c>
      <c r="I12980" t="s">
        <v>52345</v>
      </c>
      <c r="J12980" t="s">
        <v>25945</v>
      </c>
      <c r="L12980" t="s">
        <v>27250</v>
      </c>
      <c r="M12980" t="s">
        <v>27251</v>
      </c>
      <c r="N12980" t="s">
        <v>27252</v>
      </c>
      <c r="P12980" t="s">
        <v>27925</v>
      </c>
      <c r="Q12980" s="1">
        <v>44538</v>
      </c>
      <c r="R12980" t="s">
        <v>27253</v>
      </c>
      <c r="S12980" t="s">
        <v>27254</v>
      </c>
      <c r="T12980" t="s">
        <v>27255</v>
      </c>
    </row>
    <row r="12981" spans="1:20" x14ac:dyDescent="0.3">
      <c r="A12981" t="str">
        <f>"0611832626100"</f>
        <v>0611832626100</v>
      </c>
      <c r="B12981" t="str">
        <f>"LK4379"</f>
        <v>LK4379</v>
      </c>
      <c r="C12981" t="s">
        <v>52346</v>
      </c>
      <c r="D12981" t="s">
        <v>28138</v>
      </c>
      <c r="E12981" t="str">
        <f t="shared" si="202"/>
        <v>001390</v>
      </c>
      <c r="F12981" t="s">
        <v>27246</v>
      </c>
      <c r="G12981" t="s">
        <v>27247</v>
      </c>
      <c r="H12981" t="s">
        <v>27248</v>
      </c>
      <c r="I12981" t="s">
        <v>52347</v>
      </c>
      <c r="J12981" t="s">
        <v>25947</v>
      </c>
      <c r="L12981" t="s">
        <v>27250</v>
      </c>
      <c r="M12981" t="s">
        <v>27251</v>
      </c>
      <c r="N12981" t="s">
        <v>27252</v>
      </c>
      <c r="P12981" t="s">
        <v>27925</v>
      </c>
      <c r="Q12981" s="1">
        <v>44538</v>
      </c>
      <c r="R12981" t="s">
        <v>27253</v>
      </c>
      <c r="S12981" t="s">
        <v>27254</v>
      </c>
      <c r="T12981" t="s">
        <v>27255</v>
      </c>
    </row>
    <row r="12982" spans="1:20" x14ac:dyDescent="0.3">
      <c r="A12982" t="str">
        <f>"0611832634100"</f>
        <v>0611832634100</v>
      </c>
      <c r="B12982" t="str">
        <f>"LK4380"</f>
        <v>LK4380</v>
      </c>
      <c r="C12982" t="s">
        <v>52348</v>
      </c>
      <c r="D12982" t="s">
        <v>28138</v>
      </c>
      <c r="E12982" t="str">
        <f t="shared" si="202"/>
        <v>001390</v>
      </c>
      <c r="F12982" t="s">
        <v>27246</v>
      </c>
      <c r="G12982" t="s">
        <v>27247</v>
      </c>
      <c r="H12982" t="s">
        <v>27248</v>
      </c>
      <c r="I12982" t="s">
        <v>52349</v>
      </c>
      <c r="J12982" t="s">
        <v>25949</v>
      </c>
      <c r="L12982" t="s">
        <v>27250</v>
      </c>
      <c r="M12982" t="s">
        <v>27251</v>
      </c>
      <c r="N12982" t="s">
        <v>27252</v>
      </c>
      <c r="P12982" t="s">
        <v>27925</v>
      </c>
      <c r="Q12982" s="1">
        <v>44538</v>
      </c>
      <c r="R12982" t="s">
        <v>27253</v>
      </c>
      <c r="S12982" t="s">
        <v>27254</v>
      </c>
      <c r="T12982" t="s">
        <v>27255</v>
      </c>
    </row>
    <row r="12983" spans="1:20" x14ac:dyDescent="0.3">
      <c r="A12983" t="str">
        <f>"0611832635100"</f>
        <v>0611832635100</v>
      </c>
      <c r="B12983" t="str">
        <f>"LK4374"</f>
        <v>LK4374</v>
      </c>
      <c r="C12983" t="s">
        <v>52350</v>
      </c>
      <c r="D12983" t="s">
        <v>28138</v>
      </c>
      <c r="E12983" t="str">
        <f t="shared" si="202"/>
        <v>001390</v>
      </c>
      <c r="F12983" t="s">
        <v>27246</v>
      </c>
      <c r="G12983" t="s">
        <v>27247</v>
      </c>
      <c r="H12983" t="s">
        <v>27248</v>
      </c>
      <c r="I12983" t="s">
        <v>52351</v>
      </c>
      <c r="J12983" t="s">
        <v>25951</v>
      </c>
      <c r="L12983" t="s">
        <v>27250</v>
      </c>
      <c r="M12983" t="s">
        <v>27251</v>
      </c>
      <c r="N12983" t="s">
        <v>27252</v>
      </c>
      <c r="P12983" t="s">
        <v>27925</v>
      </c>
      <c r="Q12983" s="1">
        <v>44538</v>
      </c>
      <c r="R12983" t="s">
        <v>27253</v>
      </c>
      <c r="S12983" t="s">
        <v>27254</v>
      </c>
      <c r="T12983" t="s">
        <v>27255</v>
      </c>
    </row>
    <row r="12984" spans="1:20" x14ac:dyDescent="0.3">
      <c r="A12984" t="str">
        <f>"0611832636100"</f>
        <v>0611832636100</v>
      </c>
      <c r="B12984" t="str">
        <f>"LK6475"</f>
        <v>LK6475</v>
      </c>
      <c r="C12984" t="s">
        <v>52352</v>
      </c>
      <c r="D12984" t="s">
        <v>28138</v>
      </c>
      <c r="E12984" t="str">
        <f t="shared" si="202"/>
        <v>001390</v>
      </c>
      <c r="F12984" t="s">
        <v>27246</v>
      </c>
      <c r="G12984" t="s">
        <v>27247</v>
      </c>
      <c r="H12984" t="s">
        <v>27248</v>
      </c>
      <c r="I12984" t="s">
        <v>52353</v>
      </c>
      <c r="J12984" t="s">
        <v>25953</v>
      </c>
      <c r="L12984" t="s">
        <v>27250</v>
      </c>
      <c r="M12984" t="s">
        <v>27251</v>
      </c>
      <c r="N12984" t="s">
        <v>27252</v>
      </c>
      <c r="P12984" t="s">
        <v>27925</v>
      </c>
      <c r="Q12984" s="1">
        <v>44538</v>
      </c>
      <c r="R12984" t="s">
        <v>27253</v>
      </c>
      <c r="S12984" t="s">
        <v>27254</v>
      </c>
      <c r="T12984" t="s">
        <v>27255</v>
      </c>
    </row>
    <row r="12985" spans="1:20" x14ac:dyDescent="0.3">
      <c r="A12985" t="str">
        <f>"0611832637100"</f>
        <v>0611832637100</v>
      </c>
      <c r="B12985" t="str">
        <f>"LK5148"</f>
        <v>LK5148</v>
      </c>
      <c r="C12985" t="s">
        <v>52354</v>
      </c>
      <c r="D12985" t="s">
        <v>28138</v>
      </c>
      <c r="E12985" t="str">
        <f t="shared" si="202"/>
        <v>001390</v>
      </c>
      <c r="F12985" t="s">
        <v>27246</v>
      </c>
      <c r="G12985" t="s">
        <v>27247</v>
      </c>
      <c r="H12985" t="s">
        <v>27248</v>
      </c>
      <c r="I12985" t="s">
        <v>52355</v>
      </c>
      <c r="J12985" t="s">
        <v>25955</v>
      </c>
      <c r="L12985" t="s">
        <v>27250</v>
      </c>
      <c r="M12985" t="s">
        <v>27251</v>
      </c>
      <c r="N12985" t="s">
        <v>27252</v>
      </c>
      <c r="P12985" t="s">
        <v>27925</v>
      </c>
      <c r="Q12985" s="1">
        <v>44538</v>
      </c>
      <c r="R12985" t="s">
        <v>27253</v>
      </c>
      <c r="S12985" t="s">
        <v>27254</v>
      </c>
      <c r="T12985" t="s">
        <v>27255</v>
      </c>
    </row>
    <row r="12986" spans="1:20" x14ac:dyDescent="0.3">
      <c r="A12986" t="str">
        <f>"0611832638100"</f>
        <v>0611832638100</v>
      </c>
      <c r="B12986" t="str">
        <f>"LK6306"</f>
        <v>LK6306</v>
      </c>
      <c r="C12986" t="s">
        <v>52356</v>
      </c>
      <c r="D12986" t="s">
        <v>28138</v>
      </c>
      <c r="E12986" t="str">
        <f t="shared" si="202"/>
        <v>001390</v>
      </c>
      <c r="F12986" t="s">
        <v>27246</v>
      </c>
      <c r="G12986" t="s">
        <v>27247</v>
      </c>
      <c r="H12986" t="s">
        <v>27248</v>
      </c>
      <c r="I12986" t="s">
        <v>52357</v>
      </c>
      <c r="J12986" t="s">
        <v>25957</v>
      </c>
      <c r="L12986" t="s">
        <v>27250</v>
      </c>
      <c r="M12986" t="s">
        <v>27251</v>
      </c>
      <c r="N12986" t="s">
        <v>27252</v>
      </c>
      <c r="P12986" t="s">
        <v>27925</v>
      </c>
      <c r="Q12986" s="1">
        <v>44538</v>
      </c>
      <c r="R12986" t="s">
        <v>27253</v>
      </c>
      <c r="S12986" t="s">
        <v>27254</v>
      </c>
      <c r="T12986" t="s">
        <v>27255</v>
      </c>
    </row>
    <row r="12987" spans="1:20" x14ac:dyDescent="0.3">
      <c r="A12987" t="str">
        <f>"0611832639100"</f>
        <v>0611832639100</v>
      </c>
      <c r="B12987" t="str">
        <f>"LK6476"</f>
        <v>LK6476</v>
      </c>
      <c r="C12987" t="s">
        <v>52358</v>
      </c>
      <c r="D12987" t="s">
        <v>28138</v>
      </c>
      <c r="E12987" t="str">
        <f t="shared" si="202"/>
        <v>001390</v>
      </c>
      <c r="F12987" t="s">
        <v>27246</v>
      </c>
      <c r="G12987" t="s">
        <v>27247</v>
      </c>
      <c r="H12987" t="s">
        <v>27248</v>
      </c>
      <c r="I12987" t="s">
        <v>52359</v>
      </c>
      <c r="J12987" t="s">
        <v>25959</v>
      </c>
      <c r="L12987" t="s">
        <v>27250</v>
      </c>
      <c r="M12987" t="s">
        <v>27251</v>
      </c>
      <c r="N12987" t="s">
        <v>27252</v>
      </c>
      <c r="P12987" t="s">
        <v>27925</v>
      </c>
      <c r="Q12987" s="1">
        <v>44538</v>
      </c>
      <c r="R12987" t="s">
        <v>27253</v>
      </c>
      <c r="S12987" t="s">
        <v>27254</v>
      </c>
      <c r="T12987" t="s">
        <v>27255</v>
      </c>
    </row>
    <row r="12988" spans="1:20" x14ac:dyDescent="0.3">
      <c r="A12988" t="str">
        <f>"0611857173100"</f>
        <v>0611857173100</v>
      </c>
      <c r="B12988" t="str">
        <f>"LK7107"</f>
        <v>LK7107</v>
      </c>
      <c r="C12988" t="s">
        <v>52360</v>
      </c>
      <c r="D12988" t="s">
        <v>28138</v>
      </c>
      <c r="E12988" t="str">
        <f t="shared" si="202"/>
        <v>001390</v>
      </c>
      <c r="F12988" t="s">
        <v>27246</v>
      </c>
      <c r="G12988" t="s">
        <v>27247</v>
      </c>
      <c r="H12988" t="s">
        <v>27248</v>
      </c>
      <c r="I12988" t="s">
        <v>52361</v>
      </c>
      <c r="J12988" t="s">
        <v>25961</v>
      </c>
      <c r="L12988" t="s">
        <v>27250</v>
      </c>
      <c r="M12988" t="s">
        <v>27251</v>
      </c>
      <c r="N12988" t="s">
        <v>27252</v>
      </c>
      <c r="P12988" t="s">
        <v>27925</v>
      </c>
      <c r="Q12988" s="1">
        <v>44812</v>
      </c>
      <c r="R12988" t="s">
        <v>27253</v>
      </c>
      <c r="S12988" t="s">
        <v>27254</v>
      </c>
      <c r="T12988" t="s">
        <v>27255</v>
      </c>
    </row>
    <row r="12989" spans="1:20" x14ac:dyDescent="0.3">
      <c r="A12989" t="str">
        <f>"0611857174100"</f>
        <v>0611857174100</v>
      </c>
      <c r="B12989" t="str">
        <f>"LK7108"</f>
        <v>LK7108</v>
      </c>
      <c r="C12989" t="s">
        <v>52362</v>
      </c>
      <c r="D12989" t="s">
        <v>28138</v>
      </c>
      <c r="E12989" t="str">
        <f t="shared" si="202"/>
        <v>001390</v>
      </c>
      <c r="F12989" t="s">
        <v>27246</v>
      </c>
      <c r="G12989" t="s">
        <v>27247</v>
      </c>
      <c r="H12989" t="s">
        <v>27248</v>
      </c>
      <c r="I12989" t="s">
        <v>52363</v>
      </c>
      <c r="J12989" t="s">
        <v>25963</v>
      </c>
      <c r="L12989" t="s">
        <v>27250</v>
      </c>
      <c r="M12989" t="s">
        <v>27251</v>
      </c>
      <c r="N12989" t="s">
        <v>27252</v>
      </c>
      <c r="P12989" t="s">
        <v>27925</v>
      </c>
      <c r="Q12989" s="1">
        <v>44812</v>
      </c>
      <c r="R12989" t="s">
        <v>27253</v>
      </c>
      <c r="S12989" t="s">
        <v>27254</v>
      </c>
      <c r="T12989" t="s">
        <v>27255</v>
      </c>
    </row>
    <row r="12990" spans="1:20" x14ac:dyDescent="0.3">
      <c r="A12990" t="str">
        <f>"0611832640100"</f>
        <v>0611832640100</v>
      </c>
      <c r="B12990" t="str">
        <f>"LK3244"</f>
        <v>LK3244</v>
      </c>
      <c r="C12990" t="s">
        <v>52364</v>
      </c>
      <c r="D12990" t="s">
        <v>28138</v>
      </c>
      <c r="E12990" t="str">
        <f t="shared" si="202"/>
        <v>001390</v>
      </c>
      <c r="F12990" t="s">
        <v>27246</v>
      </c>
      <c r="G12990" t="s">
        <v>27247</v>
      </c>
      <c r="H12990" t="s">
        <v>27248</v>
      </c>
      <c r="I12990" t="s">
        <v>52365</v>
      </c>
      <c r="J12990" t="s">
        <v>25965</v>
      </c>
      <c r="L12990" t="s">
        <v>27250</v>
      </c>
      <c r="M12990" t="s">
        <v>27251</v>
      </c>
      <c r="N12990" t="s">
        <v>27252</v>
      </c>
      <c r="P12990" t="s">
        <v>27925</v>
      </c>
      <c r="Q12990" s="1">
        <v>44538</v>
      </c>
      <c r="R12990" t="s">
        <v>27253</v>
      </c>
      <c r="S12990" t="s">
        <v>27254</v>
      </c>
      <c r="T12990" t="s">
        <v>27255</v>
      </c>
    </row>
    <row r="12991" spans="1:20" x14ac:dyDescent="0.3">
      <c r="A12991" t="str">
        <f>"0611832641100"</f>
        <v>0611832641100</v>
      </c>
      <c r="B12991" t="str">
        <f>"LK3245"</f>
        <v>LK3245</v>
      </c>
      <c r="C12991" t="s">
        <v>52366</v>
      </c>
      <c r="D12991" t="s">
        <v>28138</v>
      </c>
      <c r="E12991" t="str">
        <f t="shared" si="202"/>
        <v>001390</v>
      </c>
      <c r="F12991" t="s">
        <v>27246</v>
      </c>
      <c r="G12991" t="s">
        <v>27247</v>
      </c>
      <c r="H12991" t="s">
        <v>27248</v>
      </c>
      <c r="I12991" t="s">
        <v>52367</v>
      </c>
      <c r="J12991" t="s">
        <v>25967</v>
      </c>
      <c r="L12991" t="s">
        <v>27250</v>
      </c>
      <c r="M12991" t="s">
        <v>27251</v>
      </c>
      <c r="N12991" t="s">
        <v>27252</v>
      </c>
      <c r="P12991" t="s">
        <v>27925</v>
      </c>
      <c r="Q12991" s="1">
        <v>44538</v>
      </c>
      <c r="R12991" t="s">
        <v>27253</v>
      </c>
      <c r="S12991" t="s">
        <v>27254</v>
      </c>
      <c r="T12991" t="s">
        <v>27255</v>
      </c>
    </row>
    <row r="12992" spans="1:20" x14ac:dyDescent="0.3">
      <c r="A12992" t="str">
        <f>"0611832642100"</f>
        <v>0611832642100</v>
      </c>
      <c r="B12992" t="str">
        <f>"LK3529"</f>
        <v>LK3529</v>
      </c>
      <c r="C12992" t="s">
        <v>52368</v>
      </c>
      <c r="D12992" t="s">
        <v>28138</v>
      </c>
      <c r="E12992" t="str">
        <f t="shared" si="202"/>
        <v>001390</v>
      </c>
      <c r="F12992" t="s">
        <v>27246</v>
      </c>
      <c r="G12992" t="s">
        <v>27247</v>
      </c>
      <c r="H12992" t="s">
        <v>27248</v>
      </c>
      <c r="I12992" t="s">
        <v>52369</v>
      </c>
      <c r="J12992" t="s">
        <v>25969</v>
      </c>
      <c r="L12992" t="s">
        <v>27250</v>
      </c>
      <c r="M12992" t="s">
        <v>27251</v>
      </c>
      <c r="N12992" t="s">
        <v>27252</v>
      </c>
      <c r="P12992" t="s">
        <v>27925</v>
      </c>
      <c r="Q12992" s="1">
        <v>44538</v>
      </c>
      <c r="R12992" t="s">
        <v>27253</v>
      </c>
      <c r="S12992" t="s">
        <v>27254</v>
      </c>
      <c r="T12992" t="s">
        <v>27255</v>
      </c>
    </row>
    <row r="12993" spans="1:20" x14ac:dyDescent="0.3">
      <c r="A12993" t="str">
        <f>"0611832643100"</f>
        <v>0611832643100</v>
      </c>
      <c r="B12993" t="str">
        <f>"LK4065"</f>
        <v>LK4065</v>
      </c>
      <c r="C12993" t="s">
        <v>52370</v>
      </c>
      <c r="D12993" t="s">
        <v>28138</v>
      </c>
      <c r="E12993" t="str">
        <f t="shared" si="202"/>
        <v>001390</v>
      </c>
      <c r="F12993" t="s">
        <v>27246</v>
      </c>
      <c r="G12993" t="s">
        <v>27247</v>
      </c>
      <c r="H12993" t="s">
        <v>27248</v>
      </c>
      <c r="I12993" t="s">
        <v>52371</v>
      </c>
      <c r="J12993" t="s">
        <v>25971</v>
      </c>
      <c r="L12993" t="s">
        <v>27250</v>
      </c>
      <c r="M12993" t="s">
        <v>27251</v>
      </c>
      <c r="N12993" t="s">
        <v>27252</v>
      </c>
      <c r="P12993" t="s">
        <v>27925</v>
      </c>
      <c r="Q12993" s="1">
        <v>44538</v>
      </c>
      <c r="R12993" t="s">
        <v>27253</v>
      </c>
      <c r="S12993" t="s">
        <v>27254</v>
      </c>
      <c r="T12993" t="s">
        <v>27255</v>
      </c>
    </row>
    <row r="12994" spans="1:20" x14ac:dyDescent="0.3">
      <c r="A12994" t="str">
        <f>"0611832644100"</f>
        <v>0611832644100</v>
      </c>
      <c r="B12994" t="str">
        <f>"LK4066"</f>
        <v>LK4066</v>
      </c>
      <c r="C12994" t="s">
        <v>52372</v>
      </c>
      <c r="D12994" t="s">
        <v>28138</v>
      </c>
      <c r="E12994" t="str">
        <f t="shared" ref="E12994:E13057" si="203">"001390"</f>
        <v>001390</v>
      </c>
      <c r="F12994" t="s">
        <v>27246</v>
      </c>
      <c r="G12994" t="s">
        <v>27247</v>
      </c>
      <c r="H12994" t="s">
        <v>27248</v>
      </c>
      <c r="I12994" t="s">
        <v>52373</v>
      </c>
      <c r="J12994" t="s">
        <v>25973</v>
      </c>
      <c r="L12994" t="s">
        <v>27250</v>
      </c>
      <c r="M12994" t="s">
        <v>27251</v>
      </c>
      <c r="N12994" t="s">
        <v>27252</v>
      </c>
      <c r="P12994" t="s">
        <v>27925</v>
      </c>
      <c r="Q12994" s="1">
        <v>44538</v>
      </c>
      <c r="R12994" t="s">
        <v>27253</v>
      </c>
      <c r="S12994" t="s">
        <v>27254</v>
      </c>
      <c r="T12994" t="s">
        <v>27255</v>
      </c>
    </row>
    <row r="12995" spans="1:20" x14ac:dyDescent="0.3">
      <c r="A12995" t="str">
        <f>"0611832645100"</f>
        <v>0611832645100</v>
      </c>
      <c r="B12995" t="str">
        <f>"LK5149"</f>
        <v>LK5149</v>
      </c>
      <c r="C12995" t="s">
        <v>52374</v>
      </c>
      <c r="D12995" t="s">
        <v>28138</v>
      </c>
      <c r="E12995" t="str">
        <f t="shared" si="203"/>
        <v>001390</v>
      </c>
      <c r="F12995" t="s">
        <v>27246</v>
      </c>
      <c r="G12995" t="s">
        <v>27247</v>
      </c>
      <c r="H12995" t="s">
        <v>27248</v>
      </c>
      <c r="I12995" t="s">
        <v>52375</v>
      </c>
      <c r="J12995" t="s">
        <v>25975</v>
      </c>
      <c r="L12995" t="s">
        <v>27250</v>
      </c>
      <c r="M12995" t="s">
        <v>27251</v>
      </c>
      <c r="N12995" t="s">
        <v>27252</v>
      </c>
      <c r="P12995" t="s">
        <v>27925</v>
      </c>
      <c r="Q12995" s="1">
        <v>44538</v>
      </c>
      <c r="R12995" t="s">
        <v>27253</v>
      </c>
      <c r="S12995" t="s">
        <v>27254</v>
      </c>
      <c r="T12995" t="s">
        <v>27255</v>
      </c>
    </row>
    <row r="12996" spans="1:20" x14ac:dyDescent="0.3">
      <c r="A12996" t="str">
        <f>"0611832646100"</f>
        <v>0611832646100</v>
      </c>
      <c r="B12996" t="str">
        <f>"LK3531"</f>
        <v>LK3531</v>
      </c>
      <c r="C12996" t="s">
        <v>52376</v>
      </c>
      <c r="D12996" t="s">
        <v>28138</v>
      </c>
      <c r="E12996" t="str">
        <f t="shared" si="203"/>
        <v>001390</v>
      </c>
      <c r="F12996" t="s">
        <v>27246</v>
      </c>
      <c r="G12996" t="s">
        <v>27247</v>
      </c>
      <c r="H12996" t="s">
        <v>27248</v>
      </c>
      <c r="I12996" t="s">
        <v>52377</v>
      </c>
      <c r="J12996" t="s">
        <v>25977</v>
      </c>
      <c r="L12996" t="s">
        <v>27250</v>
      </c>
      <c r="M12996" t="s">
        <v>27251</v>
      </c>
      <c r="N12996" t="s">
        <v>27252</v>
      </c>
      <c r="P12996" t="s">
        <v>27925</v>
      </c>
      <c r="Q12996" s="1">
        <v>44538</v>
      </c>
      <c r="R12996" t="s">
        <v>27253</v>
      </c>
      <c r="S12996" t="s">
        <v>27254</v>
      </c>
      <c r="T12996" t="s">
        <v>27255</v>
      </c>
    </row>
    <row r="12997" spans="1:20" x14ac:dyDescent="0.3">
      <c r="A12997" t="str">
        <f>"0611832647100"</f>
        <v>0611832647100</v>
      </c>
      <c r="B12997" t="str">
        <f>"LK5150"</f>
        <v>LK5150</v>
      </c>
      <c r="C12997" t="s">
        <v>52378</v>
      </c>
      <c r="D12997" t="s">
        <v>28138</v>
      </c>
      <c r="E12997" t="str">
        <f t="shared" si="203"/>
        <v>001390</v>
      </c>
      <c r="F12997" t="s">
        <v>27246</v>
      </c>
      <c r="G12997" t="s">
        <v>27247</v>
      </c>
      <c r="H12997" t="s">
        <v>27248</v>
      </c>
      <c r="I12997" t="s">
        <v>52379</v>
      </c>
      <c r="J12997" t="s">
        <v>25979</v>
      </c>
      <c r="L12997" t="s">
        <v>27250</v>
      </c>
      <c r="M12997" t="s">
        <v>27251</v>
      </c>
      <c r="N12997" t="s">
        <v>27252</v>
      </c>
      <c r="P12997" t="s">
        <v>27925</v>
      </c>
      <c r="Q12997" s="1">
        <v>44538</v>
      </c>
      <c r="R12997" t="s">
        <v>27253</v>
      </c>
      <c r="S12997" t="s">
        <v>27254</v>
      </c>
      <c r="T12997" t="s">
        <v>27255</v>
      </c>
    </row>
    <row r="12998" spans="1:20" x14ac:dyDescent="0.3">
      <c r="A12998" t="str">
        <f>"0611832648100"</f>
        <v>0611832648100</v>
      </c>
      <c r="B12998" t="str">
        <f>"LK3246"</f>
        <v>LK3246</v>
      </c>
      <c r="C12998" t="s">
        <v>52380</v>
      </c>
      <c r="D12998" t="s">
        <v>28138</v>
      </c>
      <c r="E12998" t="str">
        <f t="shared" si="203"/>
        <v>001390</v>
      </c>
      <c r="F12998" t="s">
        <v>27246</v>
      </c>
      <c r="G12998" t="s">
        <v>27247</v>
      </c>
      <c r="H12998" t="s">
        <v>27248</v>
      </c>
      <c r="I12998" t="s">
        <v>52381</v>
      </c>
      <c r="J12998" t="s">
        <v>25981</v>
      </c>
      <c r="L12998" t="s">
        <v>27250</v>
      </c>
      <c r="M12998" t="s">
        <v>27251</v>
      </c>
      <c r="N12998" t="s">
        <v>27252</v>
      </c>
      <c r="P12998" t="s">
        <v>27925</v>
      </c>
      <c r="Q12998" s="1">
        <v>44538</v>
      </c>
      <c r="R12998" t="s">
        <v>27253</v>
      </c>
      <c r="S12998" t="s">
        <v>27254</v>
      </c>
      <c r="T12998" t="s">
        <v>27255</v>
      </c>
    </row>
    <row r="12999" spans="1:20" x14ac:dyDescent="0.3">
      <c r="A12999" t="str">
        <f>"0611832649100"</f>
        <v>0611832649100</v>
      </c>
      <c r="B12999" t="str">
        <f>"LK3247"</f>
        <v>LK3247</v>
      </c>
      <c r="C12999" t="s">
        <v>52382</v>
      </c>
      <c r="D12999" t="s">
        <v>28138</v>
      </c>
      <c r="E12999" t="str">
        <f t="shared" si="203"/>
        <v>001390</v>
      </c>
      <c r="F12999" t="s">
        <v>27246</v>
      </c>
      <c r="G12999" t="s">
        <v>27247</v>
      </c>
      <c r="H12999" t="s">
        <v>27248</v>
      </c>
      <c r="I12999" t="s">
        <v>52383</v>
      </c>
      <c r="J12999" t="s">
        <v>25983</v>
      </c>
      <c r="L12999" t="s">
        <v>27250</v>
      </c>
      <c r="M12999" t="s">
        <v>27251</v>
      </c>
      <c r="N12999" t="s">
        <v>27252</v>
      </c>
      <c r="P12999" t="s">
        <v>27925</v>
      </c>
      <c r="Q12999" s="1">
        <v>44538</v>
      </c>
      <c r="R12999" t="s">
        <v>27253</v>
      </c>
      <c r="S12999" t="s">
        <v>27254</v>
      </c>
      <c r="T12999" t="s">
        <v>27255</v>
      </c>
    </row>
    <row r="13000" spans="1:20" x14ac:dyDescent="0.3">
      <c r="A13000" t="str">
        <f>"0611832650100"</f>
        <v>0611832650100</v>
      </c>
      <c r="B13000" t="str">
        <f>"LK6884"</f>
        <v>LK6884</v>
      </c>
      <c r="C13000" t="s">
        <v>52384</v>
      </c>
      <c r="D13000" t="s">
        <v>28138</v>
      </c>
      <c r="E13000" t="str">
        <f t="shared" si="203"/>
        <v>001390</v>
      </c>
      <c r="F13000" t="s">
        <v>27246</v>
      </c>
      <c r="G13000" t="s">
        <v>27247</v>
      </c>
      <c r="H13000" t="s">
        <v>27248</v>
      </c>
      <c r="I13000" t="s">
        <v>52385</v>
      </c>
      <c r="J13000" t="s">
        <v>25985</v>
      </c>
      <c r="L13000" t="s">
        <v>27250</v>
      </c>
      <c r="M13000" t="s">
        <v>27251</v>
      </c>
      <c r="N13000" t="s">
        <v>27252</v>
      </c>
      <c r="P13000" t="s">
        <v>27925</v>
      </c>
      <c r="Q13000" s="1">
        <v>44538</v>
      </c>
      <c r="R13000" t="s">
        <v>27253</v>
      </c>
      <c r="S13000" t="s">
        <v>27254</v>
      </c>
      <c r="T13000" t="s">
        <v>27255</v>
      </c>
    </row>
    <row r="13001" spans="1:20" x14ac:dyDescent="0.3">
      <c r="A13001" t="str">
        <f>"0611832651100"</f>
        <v>0611832651100</v>
      </c>
      <c r="B13001" t="str">
        <f>"LK6778"</f>
        <v>LK6778</v>
      </c>
      <c r="C13001" t="s">
        <v>52386</v>
      </c>
      <c r="D13001" t="s">
        <v>28138</v>
      </c>
      <c r="E13001" t="str">
        <f t="shared" si="203"/>
        <v>001390</v>
      </c>
      <c r="F13001" t="s">
        <v>27246</v>
      </c>
      <c r="G13001" t="s">
        <v>27247</v>
      </c>
      <c r="H13001" t="s">
        <v>27248</v>
      </c>
      <c r="I13001" t="s">
        <v>52387</v>
      </c>
      <c r="J13001" t="s">
        <v>25987</v>
      </c>
      <c r="L13001" t="s">
        <v>27250</v>
      </c>
      <c r="M13001" t="s">
        <v>27251</v>
      </c>
      <c r="N13001" t="s">
        <v>27252</v>
      </c>
      <c r="P13001" t="s">
        <v>27925</v>
      </c>
      <c r="Q13001" s="1">
        <v>44538</v>
      </c>
      <c r="R13001" t="s">
        <v>27253</v>
      </c>
      <c r="S13001" t="s">
        <v>27254</v>
      </c>
      <c r="T13001" t="s">
        <v>27255</v>
      </c>
    </row>
    <row r="13002" spans="1:20" x14ac:dyDescent="0.3">
      <c r="A13002" t="str">
        <f>"0611832652100"</f>
        <v>0611832652100</v>
      </c>
      <c r="B13002" t="str">
        <f>"LK6779"</f>
        <v>LK6779</v>
      </c>
      <c r="C13002" t="s">
        <v>52388</v>
      </c>
      <c r="D13002" t="s">
        <v>28138</v>
      </c>
      <c r="E13002" t="str">
        <f t="shared" si="203"/>
        <v>001390</v>
      </c>
      <c r="F13002" t="s">
        <v>27246</v>
      </c>
      <c r="G13002" t="s">
        <v>27247</v>
      </c>
      <c r="H13002" t="s">
        <v>27248</v>
      </c>
      <c r="I13002" t="s">
        <v>52389</v>
      </c>
      <c r="J13002" t="s">
        <v>25989</v>
      </c>
      <c r="L13002" t="s">
        <v>27250</v>
      </c>
      <c r="M13002" t="s">
        <v>27251</v>
      </c>
      <c r="N13002" t="s">
        <v>27252</v>
      </c>
      <c r="P13002" t="s">
        <v>27925</v>
      </c>
      <c r="Q13002" s="1">
        <v>44538</v>
      </c>
      <c r="R13002" t="s">
        <v>27253</v>
      </c>
      <c r="S13002" t="s">
        <v>27254</v>
      </c>
      <c r="T13002" t="s">
        <v>27255</v>
      </c>
    </row>
    <row r="13003" spans="1:20" x14ac:dyDescent="0.3">
      <c r="A13003" t="str">
        <f>"0611832653100"</f>
        <v>0611832653100</v>
      </c>
      <c r="B13003" t="str">
        <f>"LK6780"</f>
        <v>LK6780</v>
      </c>
      <c r="C13003" t="s">
        <v>52390</v>
      </c>
      <c r="D13003" t="s">
        <v>28138</v>
      </c>
      <c r="E13003" t="str">
        <f t="shared" si="203"/>
        <v>001390</v>
      </c>
      <c r="F13003" t="s">
        <v>27246</v>
      </c>
      <c r="G13003" t="s">
        <v>27247</v>
      </c>
      <c r="H13003" t="s">
        <v>27248</v>
      </c>
      <c r="I13003" t="s">
        <v>52391</v>
      </c>
      <c r="J13003" t="s">
        <v>25991</v>
      </c>
      <c r="L13003" t="s">
        <v>27250</v>
      </c>
      <c r="M13003" t="s">
        <v>27251</v>
      </c>
      <c r="N13003" t="s">
        <v>27252</v>
      </c>
      <c r="P13003" t="s">
        <v>27925</v>
      </c>
      <c r="Q13003" s="1">
        <v>44538</v>
      </c>
      <c r="R13003" t="s">
        <v>27253</v>
      </c>
      <c r="S13003" t="s">
        <v>27254</v>
      </c>
      <c r="T13003" t="s">
        <v>27255</v>
      </c>
    </row>
    <row r="13004" spans="1:20" x14ac:dyDescent="0.3">
      <c r="A13004" t="str">
        <f>"0611832654100"</f>
        <v>0611832654100</v>
      </c>
      <c r="B13004" t="str">
        <f>"LK6781"</f>
        <v>LK6781</v>
      </c>
      <c r="C13004" t="s">
        <v>52392</v>
      </c>
      <c r="D13004" t="s">
        <v>28138</v>
      </c>
      <c r="E13004" t="str">
        <f t="shared" si="203"/>
        <v>001390</v>
      </c>
      <c r="F13004" t="s">
        <v>27246</v>
      </c>
      <c r="G13004" t="s">
        <v>27247</v>
      </c>
      <c r="H13004" t="s">
        <v>27248</v>
      </c>
      <c r="I13004" t="s">
        <v>52393</v>
      </c>
      <c r="J13004" t="s">
        <v>25993</v>
      </c>
      <c r="L13004" t="s">
        <v>27250</v>
      </c>
      <c r="M13004" t="s">
        <v>27251</v>
      </c>
      <c r="N13004" t="s">
        <v>27252</v>
      </c>
      <c r="P13004" t="s">
        <v>27925</v>
      </c>
      <c r="Q13004" s="1">
        <v>44538</v>
      </c>
      <c r="R13004" t="s">
        <v>27253</v>
      </c>
      <c r="S13004" t="s">
        <v>27254</v>
      </c>
      <c r="T13004" t="s">
        <v>27255</v>
      </c>
    </row>
    <row r="13005" spans="1:20" x14ac:dyDescent="0.3">
      <c r="A13005" t="str">
        <f>"0611832655100"</f>
        <v>0611832655100</v>
      </c>
      <c r="B13005" t="str">
        <f>"LK6782"</f>
        <v>LK6782</v>
      </c>
      <c r="C13005" t="s">
        <v>52394</v>
      </c>
      <c r="D13005" t="s">
        <v>28138</v>
      </c>
      <c r="E13005" t="str">
        <f t="shared" si="203"/>
        <v>001390</v>
      </c>
      <c r="F13005" t="s">
        <v>27246</v>
      </c>
      <c r="G13005" t="s">
        <v>27247</v>
      </c>
      <c r="H13005" t="s">
        <v>27248</v>
      </c>
      <c r="I13005" t="s">
        <v>52395</v>
      </c>
      <c r="J13005" t="s">
        <v>25995</v>
      </c>
      <c r="L13005" t="s">
        <v>27250</v>
      </c>
      <c r="M13005" t="s">
        <v>27251</v>
      </c>
      <c r="N13005" t="s">
        <v>27252</v>
      </c>
      <c r="P13005" t="s">
        <v>27925</v>
      </c>
      <c r="Q13005" s="1">
        <v>44538</v>
      </c>
      <c r="R13005" t="s">
        <v>27253</v>
      </c>
      <c r="S13005" t="s">
        <v>27254</v>
      </c>
      <c r="T13005" t="s">
        <v>27255</v>
      </c>
    </row>
    <row r="13006" spans="1:20" x14ac:dyDescent="0.3">
      <c r="A13006" t="str">
        <f>"0611832656100"</f>
        <v>0611832656100</v>
      </c>
      <c r="B13006" t="str">
        <f>"LK6783"</f>
        <v>LK6783</v>
      </c>
      <c r="C13006" t="s">
        <v>52396</v>
      </c>
      <c r="D13006" t="s">
        <v>28138</v>
      </c>
      <c r="E13006" t="str">
        <f t="shared" si="203"/>
        <v>001390</v>
      </c>
      <c r="F13006" t="s">
        <v>27246</v>
      </c>
      <c r="G13006" t="s">
        <v>27247</v>
      </c>
      <c r="H13006" t="s">
        <v>27248</v>
      </c>
      <c r="I13006" t="s">
        <v>52397</v>
      </c>
      <c r="J13006" t="s">
        <v>25997</v>
      </c>
      <c r="L13006" t="s">
        <v>27250</v>
      </c>
      <c r="M13006" t="s">
        <v>27251</v>
      </c>
      <c r="N13006" t="s">
        <v>27252</v>
      </c>
      <c r="P13006" t="s">
        <v>27925</v>
      </c>
      <c r="Q13006" s="1">
        <v>44538</v>
      </c>
      <c r="R13006" t="s">
        <v>27253</v>
      </c>
      <c r="S13006" t="s">
        <v>27254</v>
      </c>
      <c r="T13006" t="s">
        <v>27255</v>
      </c>
    </row>
    <row r="13007" spans="1:20" x14ac:dyDescent="0.3">
      <c r="A13007" t="str">
        <f>"0611832657100"</f>
        <v>0611832657100</v>
      </c>
      <c r="B13007" t="str">
        <f>"LK6835"</f>
        <v>LK6835</v>
      </c>
      <c r="C13007" t="s">
        <v>52398</v>
      </c>
      <c r="D13007" t="s">
        <v>28138</v>
      </c>
      <c r="E13007" t="str">
        <f t="shared" si="203"/>
        <v>001390</v>
      </c>
      <c r="F13007" t="s">
        <v>27246</v>
      </c>
      <c r="G13007" t="s">
        <v>27247</v>
      </c>
      <c r="H13007" t="s">
        <v>27248</v>
      </c>
      <c r="I13007" t="s">
        <v>52399</v>
      </c>
      <c r="J13007" t="s">
        <v>25999</v>
      </c>
      <c r="L13007" t="s">
        <v>27250</v>
      </c>
      <c r="M13007" t="s">
        <v>27251</v>
      </c>
      <c r="N13007" t="s">
        <v>27252</v>
      </c>
      <c r="P13007" t="s">
        <v>27925</v>
      </c>
      <c r="Q13007" s="1">
        <v>44538</v>
      </c>
      <c r="R13007" t="s">
        <v>27253</v>
      </c>
      <c r="S13007" t="s">
        <v>27254</v>
      </c>
      <c r="T13007" t="s">
        <v>27255</v>
      </c>
    </row>
    <row r="13008" spans="1:20" x14ac:dyDescent="0.3">
      <c r="A13008" t="str">
        <f>"0611832658100"</f>
        <v>0611832658100</v>
      </c>
      <c r="B13008" t="str">
        <f>"LK6784"</f>
        <v>LK6784</v>
      </c>
      <c r="C13008" t="s">
        <v>52400</v>
      </c>
      <c r="D13008" t="s">
        <v>28138</v>
      </c>
      <c r="E13008" t="str">
        <f t="shared" si="203"/>
        <v>001390</v>
      </c>
      <c r="F13008" t="s">
        <v>27246</v>
      </c>
      <c r="G13008" t="s">
        <v>27247</v>
      </c>
      <c r="H13008" t="s">
        <v>27248</v>
      </c>
      <c r="I13008" t="s">
        <v>52401</v>
      </c>
      <c r="J13008" t="s">
        <v>26001</v>
      </c>
      <c r="L13008" t="s">
        <v>27250</v>
      </c>
      <c r="M13008" t="s">
        <v>27251</v>
      </c>
      <c r="N13008" t="s">
        <v>27252</v>
      </c>
      <c r="P13008" t="s">
        <v>27925</v>
      </c>
      <c r="Q13008" s="1">
        <v>44538</v>
      </c>
      <c r="R13008" t="s">
        <v>27253</v>
      </c>
      <c r="S13008" t="s">
        <v>27254</v>
      </c>
      <c r="T13008" t="s">
        <v>27255</v>
      </c>
    </row>
    <row r="13009" spans="1:20" x14ac:dyDescent="0.3">
      <c r="A13009" t="str">
        <f>"0611832659100"</f>
        <v>0611832659100</v>
      </c>
      <c r="B13009" t="str">
        <f>"LK6785"</f>
        <v>LK6785</v>
      </c>
      <c r="C13009" t="s">
        <v>52402</v>
      </c>
      <c r="D13009" t="s">
        <v>28138</v>
      </c>
      <c r="E13009" t="str">
        <f t="shared" si="203"/>
        <v>001390</v>
      </c>
      <c r="F13009" t="s">
        <v>27246</v>
      </c>
      <c r="G13009" t="s">
        <v>27247</v>
      </c>
      <c r="H13009" t="s">
        <v>27248</v>
      </c>
      <c r="I13009" t="s">
        <v>52403</v>
      </c>
      <c r="J13009" t="s">
        <v>26003</v>
      </c>
      <c r="L13009" t="s">
        <v>27250</v>
      </c>
      <c r="M13009" t="s">
        <v>27251</v>
      </c>
      <c r="N13009" t="s">
        <v>27252</v>
      </c>
      <c r="P13009" t="s">
        <v>27925</v>
      </c>
      <c r="Q13009" s="1">
        <v>44538</v>
      </c>
      <c r="R13009" t="s">
        <v>27253</v>
      </c>
      <c r="S13009" t="s">
        <v>27254</v>
      </c>
      <c r="T13009" t="s">
        <v>27255</v>
      </c>
    </row>
    <row r="13010" spans="1:20" x14ac:dyDescent="0.3">
      <c r="A13010" t="str">
        <f>"0611832660100"</f>
        <v>0611832660100</v>
      </c>
      <c r="B13010" t="str">
        <f>"LK6836"</f>
        <v>LK6836</v>
      </c>
      <c r="C13010" t="s">
        <v>52404</v>
      </c>
      <c r="D13010" t="s">
        <v>28138</v>
      </c>
      <c r="E13010" t="str">
        <f t="shared" si="203"/>
        <v>001390</v>
      </c>
      <c r="F13010" t="s">
        <v>27246</v>
      </c>
      <c r="G13010" t="s">
        <v>27247</v>
      </c>
      <c r="H13010" t="s">
        <v>27248</v>
      </c>
      <c r="I13010" t="s">
        <v>52405</v>
      </c>
      <c r="J13010" t="s">
        <v>26005</v>
      </c>
      <c r="L13010" t="s">
        <v>27250</v>
      </c>
      <c r="M13010" t="s">
        <v>27251</v>
      </c>
      <c r="N13010" t="s">
        <v>27252</v>
      </c>
      <c r="P13010" t="s">
        <v>27925</v>
      </c>
      <c r="Q13010" s="1">
        <v>44538</v>
      </c>
      <c r="R13010" t="s">
        <v>27253</v>
      </c>
      <c r="S13010" t="s">
        <v>27254</v>
      </c>
      <c r="T13010" t="s">
        <v>27255</v>
      </c>
    </row>
    <row r="13011" spans="1:20" x14ac:dyDescent="0.3">
      <c r="A13011" t="str">
        <f>"0611884495100"</f>
        <v>0611884495100</v>
      </c>
      <c r="B13011" t="str">
        <f>"LK7183"</f>
        <v>LK7183</v>
      </c>
      <c r="C13011" t="s">
        <v>52406</v>
      </c>
      <c r="D13011" t="s">
        <v>27245</v>
      </c>
      <c r="E13011" t="str">
        <f t="shared" si="203"/>
        <v>001390</v>
      </c>
      <c r="F13011" t="s">
        <v>27246</v>
      </c>
      <c r="G13011" t="s">
        <v>27247</v>
      </c>
      <c r="H13011" t="s">
        <v>27248</v>
      </c>
      <c r="I13011" t="s">
        <v>52407</v>
      </c>
      <c r="J13011" t="s">
        <v>26007</v>
      </c>
      <c r="L13011" t="s">
        <v>27430</v>
      </c>
      <c r="M13011" t="s">
        <v>27251</v>
      </c>
      <c r="N13011" t="s">
        <v>27252</v>
      </c>
      <c r="Q13011" s="1">
        <v>45250</v>
      </c>
      <c r="R13011" t="s">
        <v>27253</v>
      </c>
      <c r="S13011" t="s">
        <v>27254</v>
      </c>
      <c r="T13011" t="s">
        <v>27255</v>
      </c>
    </row>
    <row r="13012" spans="1:20" x14ac:dyDescent="0.3">
      <c r="A13012" t="str">
        <f>"0611832661100"</f>
        <v>0611832661100</v>
      </c>
      <c r="B13012" t="str">
        <f>"LK6837"</f>
        <v>LK6837</v>
      </c>
      <c r="C13012" t="s">
        <v>52408</v>
      </c>
      <c r="D13012" t="s">
        <v>28138</v>
      </c>
      <c r="E13012" t="str">
        <f t="shared" si="203"/>
        <v>001390</v>
      </c>
      <c r="F13012" t="s">
        <v>27246</v>
      </c>
      <c r="G13012" t="s">
        <v>27247</v>
      </c>
      <c r="H13012" t="s">
        <v>27248</v>
      </c>
      <c r="I13012" t="s">
        <v>52409</v>
      </c>
      <c r="J13012" t="s">
        <v>26009</v>
      </c>
      <c r="L13012" t="s">
        <v>27250</v>
      </c>
      <c r="M13012" t="s">
        <v>27251</v>
      </c>
      <c r="N13012" t="s">
        <v>27252</v>
      </c>
      <c r="P13012" t="s">
        <v>27925</v>
      </c>
      <c r="Q13012" s="1">
        <v>44538</v>
      </c>
      <c r="R13012" t="s">
        <v>27253</v>
      </c>
      <c r="S13012" t="s">
        <v>27254</v>
      </c>
      <c r="T13012" t="s">
        <v>27255</v>
      </c>
    </row>
    <row r="13013" spans="1:20" x14ac:dyDescent="0.3">
      <c r="A13013" t="str">
        <f>"0611840075100"</f>
        <v>0611840075100</v>
      </c>
      <c r="B13013" t="str">
        <f>"LK1799"</f>
        <v>LK1799</v>
      </c>
      <c r="C13013" t="s">
        <v>52410</v>
      </c>
      <c r="D13013" t="s">
        <v>27245</v>
      </c>
      <c r="E13013" t="str">
        <f t="shared" si="203"/>
        <v>001390</v>
      </c>
      <c r="F13013" t="s">
        <v>27246</v>
      </c>
      <c r="G13013" t="s">
        <v>27247</v>
      </c>
      <c r="H13013" t="s">
        <v>27248</v>
      </c>
      <c r="I13013" t="s">
        <v>52411</v>
      </c>
      <c r="J13013" t="s">
        <v>26025</v>
      </c>
      <c r="L13013" t="s">
        <v>27250</v>
      </c>
      <c r="M13013" t="s">
        <v>27251</v>
      </c>
      <c r="N13013" t="s">
        <v>27252</v>
      </c>
      <c r="Q13013" s="1">
        <v>44538</v>
      </c>
      <c r="R13013" t="s">
        <v>27253</v>
      </c>
      <c r="S13013" t="s">
        <v>27254</v>
      </c>
      <c r="T13013" t="s">
        <v>27255</v>
      </c>
    </row>
    <row r="13014" spans="1:20" x14ac:dyDescent="0.3">
      <c r="A13014" t="str">
        <f>"0611832786100"</f>
        <v>0611832786100</v>
      </c>
      <c r="B13014" t="str">
        <f>"MB9165"</f>
        <v>MB9165</v>
      </c>
      <c r="C13014" t="s">
        <v>52412</v>
      </c>
      <c r="D13014" t="s">
        <v>27274</v>
      </c>
      <c r="E13014" t="str">
        <f t="shared" si="203"/>
        <v>001390</v>
      </c>
      <c r="F13014" t="s">
        <v>27246</v>
      </c>
      <c r="G13014" t="s">
        <v>27247</v>
      </c>
      <c r="H13014" t="s">
        <v>27248</v>
      </c>
      <c r="I13014" t="s">
        <v>52413</v>
      </c>
      <c r="J13014" t="s">
        <v>26011</v>
      </c>
      <c r="L13014" t="s">
        <v>27250</v>
      </c>
      <c r="M13014" t="s">
        <v>27251</v>
      </c>
      <c r="N13014" t="s">
        <v>27252</v>
      </c>
      <c r="Q13014" s="1">
        <v>44538</v>
      </c>
      <c r="R13014" t="s">
        <v>27253</v>
      </c>
      <c r="S13014" t="s">
        <v>27254</v>
      </c>
      <c r="T13014" t="s">
        <v>27276</v>
      </c>
    </row>
    <row r="13015" spans="1:20" x14ac:dyDescent="0.3">
      <c r="A13015" t="str">
        <f>"0611832787025"</f>
        <v>0611832787025</v>
      </c>
      <c r="B13015" t="str">
        <f>"MC2314"</f>
        <v>MC2314</v>
      </c>
      <c r="C13015" t="s">
        <v>52412</v>
      </c>
      <c r="D13015" t="s">
        <v>27267</v>
      </c>
      <c r="E13015" t="str">
        <f t="shared" si="203"/>
        <v>001390</v>
      </c>
      <c r="F13015" t="s">
        <v>27246</v>
      </c>
      <c r="G13015" t="s">
        <v>27247</v>
      </c>
      <c r="H13015" t="s">
        <v>27248</v>
      </c>
      <c r="I13015" t="s">
        <v>52414</v>
      </c>
      <c r="J13015" t="s">
        <v>26013</v>
      </c>
      <c r="L13015" t="s">
        <v>27250</v>
      </c>
      <c r="M13015" t="s">
        <v>27251</v>
      </c>
      <c r="N13015" t="s">
        <v>27252</v>
      </c>
      <c r="Q13015" s="1">
        <v>44538</v>
      </c>
      <c r="R13015" t="s">
        <v>27253</v>
      </c>
      <c r="S13015" t="s">
        <v>27254</v>
      </c>
      <c r="T13015" t="s">
        <v>27269</v>
      </c>
    </row>
    <row r="13016" spans="1:20" x14ac:dyDescent="0.3">
      <c r="A13016" t="str">
        <f>"0611832788100"</f>
        <v>0611832788100</v>
      </c>
      <c r="B13016" t="str">
        <f>"LS0122"</f>
        <v>LS0122</v>
      </c>
      <c r="C13016" t="s">
        <v>52415</v>
      </c>
      <c r="D13016" t="s">
        <v>27245</v>
      </c>
      <c r="E13016" t="str">
        <f t="shared" si="203"/>
        <v>001390</v>
      </c>
      <c r="F13016" t="s">
        <v>27246</v>
      </c>
      <c r="G13016" t="s">
        <v>27247</v>
      </c>
      <c r="H13016" t="s">
        <v>27248</v>
      </c>
      <c r="I13016" t="s">
        <v>52416</v>
      </c>
      <c r="J13016" t="s">
        <v>26015</v>
      </c>
      <c r="L13016" t="s">
        <v>27250</v>
      </c>
      <c r="M13016" t="s">
        <v>27251</v>
      </c>
      <c r="N13016" t="s">
        <v>27252</v>
      </c>
      <c r="Q13016" s="1">
        <v>44538</v>
      </c>
      <c r="R13016" t="s">
        <v>27253</v>
      </c>
      <c r="S13016" t="s">
        <v>27254</v>
      </c>
      <c r="T13016" t="s">
        <v>27255</v>
      </c>
    </row>
    <row r="13017" spans="1:20" x14ac:dyDescent="0.3">
      <c r="A13017" t="str">
        <f>"0611864294100"</f>
        <v>0611864294100</v>
      </c>
      <c r="B13017" t="str">
        <f>"CN5424"</f>
        <v>CN5424</v>
      </c>
      <c r="C13017" t="s">
        <v>52417</v>
      </c>
      <c r="D13017" t="s">
        <v>27335</v>
      </c>
      <c r="E13017" t="str">
        <f t="shared" si="203"/>
        <v>001390</v>
      </c>
      <c r="F13017" t="s">
        <v>27246</v>
      </c>
      <c r="G13017" t="s">
        <v>27247</v>
      </c>
      <c r="H13017" t="s">
        <v>27248</v>
      </c>
      <c r="I13017" t="s">
        <v>52418</v>
      </c>
      <c r="J13017" t="s">
        <v>26111</v>
      </c>
      <c r="L13017" t="s">
        <v>27250</v>
      </c>
      <c r="M13017" t="s">
        <v>27251</v>
      </c>
      <c r="N13017" t="s">
        <v>27252</v>
      </c>
      <c r="Q13017" s="1">
        <v>44846</v>
      </c>
      <c r="R13017" t="s">
        <v>27253</v>
      </c>
      <c r="S13017" t="s">
        <v>27254</v>
      </c>
      <c r="T13017" t="s">
        <v>27255</v>
      </c>
    </row>
    <row r="13018" spans="1:20" x14ac:dyDescent="0.3">
      <c r="A13018" t="str">
        <f>"0611840076100"</f>
        <v>0611840076100</v>
      </c>
      <c r="B13018" t="str">
        <f>"LB9339"</f>
        <v>LB9339</v>
      </c>
      <c r="C13018" t="s">
        <v>52419</v>
      </c>
      <c r="D13018" t="s">
        <v>27245</v>
      </c>
      <c r="E13018" t="str">
        <f t="shared" si="203"/>
        <v>001390</v>
      </c>
      <c r="F13018" t="s">
        <v>27246</v>
      </c>
      <c r="G13018" t="s">
        <v>27247</v>
      </c>
      <c r="H13018" t="s">
        <v>27248</v>
      </c>
      <c r="I13018" t="s">
        <v>52420</v>
      </c>
      <c r="J13018" t="s">
        <v>26027</v>
      </c>
      <c r="L13018" t="s">
        <v>27250</v>
      </c>
      <c r="M13018" t="s">
        <v>27251</v>
      </c>
      <c r="N13018" t="s">
        <v>27252</v>
      </c>
      <c r="Q13018" s="1">
        <v>44538</v>
      </c>
      <c r="R13018" t="s">
        <v>27253</v>
      </c>
      <c r="S13018" t="s">
        <v>27254</v>
      </c>
      <c r="T13018" t="s">
        <v>27255</v>
      </c>
    </row>
    <row r="13019" spans="1:20" x14ac:dyDescent="0.3">
      <c r="A13019" t="str">
        <f>"0611832668100"</f>
        <v>0611832668100</v>
      </c>
      <c r="B13019" t="str">
        <f>"LB9324"</f>
        <v>LB9324</v>
      </c>
      <c r="C13019" t="s">
        <v>52421</v>
      </c>
      <c r="D13019" t="s">
        <v>27245</v>
      </c>
      <c r="E13019" t="str">
        <f t="shared" si="203"/>
        <v>001390</v>
      </c>
      <c r="F13019" t="s">
        <v>27246</v>
      </c>
      <c r="G13019" t="s">
        <v>27247</v>
      </c>
      <c r="H13019" t="s">
        <v>27248</v>
      </c>
      <c r="I13019" t="s">
        <v>52422</v>
      </c>
      <c r="J13019" t="s">
        <v>26017</v>
      </c>
      <c r="L13019" t="s">
        <v>27250</v>
      </c>
      <c r="M13019" t="s">
        <v>27251</v>
      </c>
      <c r="N13019" t="s">
        <v>27252</v>
      </c>
      <c r="Q13019" s="1">
        <v>44538</v>
      </c>
      <c r="R13019" t="s">
        <v>27253</v>
      </c>
      <c r="S13019" t="s">
        <v>27254</v>
      </c>
      <c r="T13019" t="s">
        <v>27255</v>
      </c>
    </row>
    <row r="13020" spans="1:20" x14ac:dyDescent="0.3">
      <c r="A13020" t="str">
        <f>"0611840077100"</f>
        <v>0611840077100</v>
      </c>
      <c r="B13020" t="str">
        <f>"LK3215"</f>
        <v>LK3215</v>
      </c>
      <c r="C13020" t="s">
        <v>52423</v>
      </c>
      <c r="D13020" t="s">
        <v>27245</v>
      </c>
      <c r="E13020" t="str">
        <f t="shared" si="203"/>
        <v>001390</v>
      </c>
      <c r="F13020" t="s">
        <v>27246</v>
      </c>
      <c r="G13020" t="s">
        <v>27247</v>
      </c>
      <c r="H13020" t="s">
        <v>27248</v>
      </c>
      <c r="I13020" t="s">
        <v>52424</v>
      </c>
      <c r="J13020" t="s">
        <v>26031</v>
      </c>
      <c r="L13020" t="s">
        <v>27250</v>
      </c>
      <c r="M13020" t="s">
        <v>27251</v>
      </c>
      <c r="N13020" t="s">
        <v>27252</v>
      </c>
      <c r="Q13020" s="1">
        <v>44538</v>
      </c>
      <c r="R13020" t="s">
        <v>27253</v>
      </c>
      <c r="S13020" t="s">
        <v>27254</v>
      </c>
      <c r="T13020" t="s">
        <v>27255</v>
      </c>
    </row>
    <row r="13021" spans="1:20" x14ac:dyDescent="0.3">
      <c r="A13021" t="str">
        <f>"0611864295050"</f>
        <v>0611864295050</v>
      </c>
      <c r="B13021" t="str">
        <f>"CR3704"</f>
        <v>CR3704</v>
      </c>
      <c r="C13021" t="s">
        <v>52423</v>
      </c>
      <c r="D13021" t="s">
        <v>27263</v>
      </c>
      <c r="E13021" t="str">
        <f t="shared" si="203"/>
        <v>001390</v>
      </c>
      <c r="F13021" t="s">
        <v>27246</v>
      </c>
      <c r="G13021" t="s">
        <v>27247</v>
      </c>
      <c r="H13021" t="s">
        <v>27248</v>
      </c>
      <c r="I13021" t="s">
        <v>52425</v>
      </c>
      <c r="J13021" t="s">
        <v>26033</v>
      </c>
      <c r="L13021" t="s">
        <v>27250</v>
      </c>
      <c r="M13021" t="s">
        <v>27251</v>
      </c>
      <c r="N13021" t="s">
        <v>27252</v>
      </c>
      <c r="Q13021" s="1">
        <v>44846</v>
      </c>
      <c r="R13021" t="s">
        <v>27253</v>
      </c>
      <c r="S13021" t="s">
        <v>27254</v>
      </c>
      <c r="T13021" t="s">
        <v>27265</v>
      </c>
    </row>
    <row r="13022" spans="1:20" x14ac:dyDescent="0.3">
      <c r="A13022" t="str">
        <f>"0611840078100"</f>
        <v>0611840078100</v>
      </c>
      <c r="B13022" t="str">
        <f>"LQ0336"</f>
        <v>LQ0336</v>
      </c>
      <c r="C13022" t="s">
        <v>52426</v>
      </c>
      <c r="D13022" t="s">
        <v>27245</v>
      </c>
      <c r="E13022" t="str">
        <f t="shared" si="203"/>
        <v>001390</v>
      </c>
      <c r="F13022" t="s">
        <v>27246</v>
      </c>
      <c r="G13022" t="s">
        <v>27247</v>
      </c>
      <c r="H13022" t="s">
        <v>27248</v>
      </c>
      <c r="I13022" t="s">
        <v>52427</v>
      </c>
      <c r="J13022" t="s">
        <v>26113</v>
      </c>
      <c r="L13022" t="s">
        <v>27250</v>
      </c>
      <c r="M13022" t="s">
        <v>27251</v>
      </c>
      <c r="N13022" t="s">
        <v>27252</v>
      </c>
      <c r="Q13022" s="1">
        <v>44538</v>
      </c>
      <c r="R13022" t="s">
        <v>27253</v>
      </c>
      <c r="S13022" t="s">
        <v>27254</v>
      </c>
      <c r="T13022" t="s">
        <v>27255</v>
      </c>
    </row>
    <row r="13023" spans="1:20" x14ac:dyDescent="0.3">
      <c r="A13023" t="str">
        <f>"0611840079025"</f>
        <v>0611840079025</v>
      </c>
      <c r="B13023" t="str">
        <f>"MQ0387"</f>
        <v>MQ0387</v>
      </c>
      <c r="C13023" t="s">
        <v>52426</v>
      </c>
      <c r="D13023" t="s">
        <v>27267</v>
      </c>
      <c r="E13023" t="str">
        <f t="shared" si="203"/>
        <v>001390</v>
      </c>
      <c r="F13023" t="s">
        <v>27246</v>
      </c>
      <c r="G13023" t="s">
        <v>27247</v>
      </c>
      <c r="H13023" t="s">
        <v>27248</v>
      </c>
      <c r="I13023" t="s">
        <v>52428</v>
      </c>
      <c r="J13023" t="s">
        <v>26115</v>
      </c>
      <c r="L13023" t="s">
        <v>27250</v>
      </c>
      <c r="M13023" t="s">
        <v>27251</v>
      </c>
      <c r="N13023" t="s">
        <v>27252</v>
      </c>
      <c r="Q13023" s="1">
        <v>44538</v>
      </c>
      <c r="R13023" t="s">
        <v>27253</v>
      </c>
      <c r="S13023" t="s">
        <v>27254</v>
      </c>
      <c r="T13023" t="s">
        <v>27269</v>
      </c>
    </row>
    <row r="13024" spans="1:20" x14ac:dyDescent="0.3">
      <c r="A13024" t="str">
        <f>"0611864296100"</f>
        <v>0611864296100</v>
      </c>
      <c r="B13024" t="str">
        <f>"CN5425"</f>
        <v>CN5425</v>
      </c>
      <c r="C13024" t="s">
        <v>52429</v>
      </c>
      <c r="D13024" t="s">
        <v>27335</v>
      </c>
      <c r="E13024" t="str">
        <f t="shared" si="203"/>
        <v>001390</v>
      </c>
      <c r="F13024" t="s">
        <v>27246</v>
      </c>
      <c r="G13024" t="s">
        <v>27247</v>
      </c>
      <c r="H13024" t="s">
        <v>27248</v>
      </c>
      <c r="I13024" t="s">
        <v>52430</v>
      </c>
      <c r="J13024" t="s">
        <v>26117</v>
      </c>
      <c r="L13024" t="s">
        <v>27250</v>
      </c>
      <c r="M13024" t="s">
        <v>27251</v>
      </c>
      <c r="N13024" t="s">
        <v>27252</v>
      </c>
      <c r="Q13024" s="1">
        <v>44846</v>
      </c>
      <c r="R13024" t="s">
        <v>27253</v>
      </c>
      <c r="S13024" t="s">
        <v>27254</v>
      </c>
      <c r="T13024" t="s">
        <v>27255</v>
      </c>
    </row>
    <row r="13025" spans="1:20" x14ac:dyDescent="0.3">
      <c r="A13025" t="str">
        <f>"0611832669100"</f>
        <v>0611832669100</v>
      </c>
      <c r="B13025" t="str">
        <f>"LK4945"</f>
        <v>LK4945</v>
      </c>
      <c r="C13025" t="s">
        <v>52431</v>
      </c>
      <c r="D13025" t="s">
        <v>27245</v>
      </c>
      <c r="E13025" t="str">
        <f t="shared" si="203"/>
        <v>001390</v>
      </c>
      <c r="F13025" t="s">
        <v>27246</v>
      </c>
      <c r="G13025" t="s">
        <v>27247</v>
      </c>
      <c r="H13025" t="s">
        <v>27248</v>
      </c>
      <c r="I13025" t="s">
        <v>52432</v>
      </c>
      <c r="J13025" t="s">
        <v>26019</v>
      </c>
      <c r="L13025" t="s">
        <v>27250</v>
      </c>
      <c r="M13025" t="s">
        <v>27251</v>
      </c>
      <c r="N13025" t="s">
        <v>27252</v>
      </c>
      <c r="Q13025" s="1">
        <v>44538</v>
      </c>
      <c r="R13025" t="s">
        <v>27253</v>
      </c>
      <c r="S13025" t="s">
        <v>27254</v>
      </c>
      <c r="T13025" t="s">
        <v>27255</v>
      </c>
    </row>
    <row r="13026" spans="1:20" x14ac:dyDescent="0.3">
      <c r="A13026" t="str">
        <f>"0611832670100"</f>
        <v>0611832670100</v>
      </c>
      <c r="B13026" t="str">
        <f>"LK4946"</f>
        <v>LK4946</v>
      </c>
      <c r="C13026" t="s">
        <v>52433</v>
      </c>
      <c r="D13026" t="s">
        <v>27245</v>
      </c>
      <c r="E13026" t="str">
        <f t="shared" si="203"/>
        <v>001390</v>
      </c>
      <c r="F13026" t="s">
        <v>27246</v>
      </c>
      <c r="G13026" t="s">
        <v>27247</v>
      </c>
      <c r="H13026" t="s">
        <v>27248</v>
      </c>
      <c r="I13026" t="s">
        <v>52434</v>
      </c>
      <c r="J13026" t="s">
        <v>26021</v>
      </c>
      <c r="L13026" t="s">
        <v>27250</v>
      </c>
      <c r="M13026" t="s">
        <v>27251</v>
      </c>
      <c r="N13026" t="s">
        <v>27252</v>
      </c>
      <c r="Q13026" s="1">
        <v>44538</v>
      </c>
      <c r="R13026" t="s">
        <v>27253</v>
      </c>
      <c r="S13026" t="s">
        <v>27254</v>
      </c>
      <c r="T13026" t="s">
        <v>27255</v>
      </c>
    </row>
    <row r="13027" spans="1:20" x14ac:dyDescent="0.3">
      <c r="A13027" t="str">
        <f>"0611832671100"</f>
        <v>0611832671100</v>
      </c>
      <c r="B13027" t="str">
        <f>"LK5611"</f>
        <v>LK5611</v>
      </c>
      <c r="C13027" t="s">
        <v>52435</v>
      </c>
      <c r="D13027" t="s">
        <v>27245</v>
      </c>
      <c r="E13027" t="str">
        <f t="shared" si="203"/>
        <v>001390</v>
      </c>
      <c r="F13027" t="s">
        <v>27246</v>
      </c>
      <c r="G13027" t="s">
        <v>27247</v>
      </c>
      <c r="H13027" t="s">
        <v>27248</v>
      </c>
      <c r="I13027" t="s">
        <v>52436</v>
      </c>
      <c r="J13027" t="s">
        <v>26023</v>
      </c>
      <c r="L13027" t="s">
        <v>27250</v>
      </c>
      <c r="M13027" t="s">
        <v>27251</v>
      </c>
      <c r="N13027" t="s">
        <v>27252</v>
      </c>
      <c r="Q13027" s="1">
        <v>44538</v>
      </c>
      <c r="R13027" t="s">
        <v>27253</v>
      </c>
      <c r="S13027" t="s">
        <v>27254</v>
      </c>
      <c r="T13027" t="s">
        <v>27255</v>
      </c>
    </row>
    <row r="13028" spans="1:20" x14ac:dyDescent="0.3">
      <c r="A13028" t="str">
        <f>"0611840080100"</f>
        <v>0611840080100</v>
      </c>
      <c r="B13028" t="str">
        <f>"LB9311"</f>
        <v>LB9311</v>
      </c>
      <c r="C13028" t="s">
        <v>52437</v>
      </c>
      <c r="D13028" t="s">
        <v>27245</v>
      </c>
      <c r="E13028" t="str">
        <f t="shared" si="203"/>
        <v>001390</v>
      </c>
      <c r="F13028" t="s">
        <v>27246</v>
      </c>
      <c r="G13028" t="s">
        <v>27247</v>
      </c>
      <c r="H13028" t="s">
        <v>27248</v>
      </c>
      <c r="I13028" t="s">
        <v>52438</v>
      </c>
      <c r="J13028" t="s">
        <v>26035</v>
      </c>
      <c r="L13028" t="s">
        <v>27250</v>
      </c>
      <c r="M13028" t="s">
        <v>27251</v>
      </c>
      <c r="N13028" t="s">
        <v>27252</v>
      </c>
      <c r="Q13028" s="1">
        <v>44538</v>
      </c>
      <c r="R13028" t="s">
        <v>27253</v>
      </c>
      <c r="S13028" t="s">
        <v>27254</v>
      </c>
      <c r="T13028" t="s">
        <v>27255</v>
      </c>
    </row>
    <row r="13029" spans="1:20" x14ac:dyDescent="0.3">
      <c r="A13029" t="str">
        <f>"0611864297050"</f>
        <v>0611864297050</v>
      </c>
      <c r="B13029" t="str">
        <f>"CR2585"</f>
        <v>CR2585</v>
      </c>
      <c r="C13029" t="s">
        <v>52437</v>
      </c>
      <c r="D13029" t="s">
        <v>27263</v>
      </c>
      <c r="E13029" t="str">
        <f t="shared" si="203"/>
        <v>001390</v>
      </c>
      <c r="F13029" t="s">
        <v>27246</v>
      </c>
      <c r="G13029" t="s">
        <v>27247</v>
      </c>
      <c r="H13029" t="s">
        <v>27248</v>
      </c>
      <c r="I13029" t="s">
        <v>52439</v>
      </c>
      <c r="J13029" t="s">
        <v>26037</v>
      </c>
      <c r="L13029" t="s">
        <v>27250</v>
      </c>
      <c r="M13029" t="s">
        <v>27251</v>
      </c>
      <c r="N13029" t="s">
        <v>27252</v>
      </c>
      <c r="Q13029" s="1">
        <v>44846</v>
      </c>
      <c r="R13029" t="s">
        <v>27253</v>
      </c>
      <c r="S13029" t="s">
        <v>27254</v>
      </c>
      <c r="T13029" t="s">
        <v>27265</v>
      </c>
    </row>
    <row r="13030" spans="1:20" x14ac:dyDescent="0.3">
      <c r="A13030" t="str">
        <f>"0611864298050"</f>
        <v>0611864298050</v>
      </c>
      <c r="B13030" t="str">
        <f>"CR3278"</f>
        <v>CR3278</v>
      </c>
      <c r="C13030" t="s">
        <v>52440</v>
      </c>
      <c r="D13030" t="s">
        <v>27263</v>
      </c>
      <c r="E13030" t="str">
        <f t="shared" si="203"/>
        <v>001390</v>
      </c>
      <c r="F13030" t="s">
        <v>27246</v>
      </c>
      <c r="G13030" t="s">
        <v>27247</v>
      </c>
      <c r="H13030" t="s">
        <v>27248</v>
      </c>
      <c r="I13030" t="s">
        <v>52441</v>
      </c>
      <c r="J13030" t="s">
        <v>26029</v>
      </c>
      <c r="L13030" t="s">
        <v>27250</v>
      </c>
      <c r="M13030" t="s">
        <v>27251</v>
      </c>
      <c r="N13030" t="s">
        <v>27252</v>
      </c>
      <c r="Q13030" s="1">
        <v>44846</v>
      </c>
      <c r="R13030" t="s">
        <v>27253</v>
      </c>
      <c r="S13030" t="s">
        <v>27254</v>
      </c>
      <c r="T13030" t="s">
        <v>27265</v>
      </c>
    </row>
    <row r="13031" spans="1:20" x14ac:dyDescent="0.3">
      <c r="A13031" t="str">
        <f>"0611832672100"</f>
        <v>0611832672100</v>
      </c>
      <c r="B13031" t="str">
        <f>"LB9320"</f>
        <v>LB9320</v>
      </c>
      <c r="C13031" t="s">
        <v>52442</v>
      </c>
      <c r="D13031" t="s">
        <v>27245</v>
      </c>
      <c r="E13031" t="str">
        <f t="shared" si="203"/>
        <v>001390</v>
      </c>
      <c r="F13031" t="s">
        <v>27246</v>
      </c>
      <c r="G13031" t="s">
        <v>27247</v>
      </c>
      <c r="H13031" t="s">
        <v>27248</v>
      </c>
      <c r="I13031" t="s">
        <v>52443</v>
      </c>
      <c r="J13031" t="s">
        <v>26049</v>
      </c>
      <c r="L13031" t="s">
        <v>27250</v>
      </c>
      <c r="M13031" t="s">
        <v>27251</v>
      </c>
      <c r="N13031" t="s">
        <v>27252</v>
      </c>
      <c r="Q13031" s="1">
        <v>44538</v>
      </c>
      <c r="R13031" t="s">
        <v>27253</v>
      </c>
      <c r="S13031" t="s">
        <v>27254</v>
      </c>
      <c r="T13031" t="s">
        <v>27255</v>
      </c>
    </row>
    <row r="13032" spans="1:20" x14ac:dyDescent="0.3">
      <c r="A13032" t="str">
        <f>"0611832673100"</f>
        <v>0611832673100</v>
      </c>
      <c r="B13032" t="str">
        <f>"LK6348"</f>
        <v>LK6348</v>
      </c>
      <c r="C13032" t="s">
        <v>52444</v>
      </c>
      <c r="D13032" t="s">
        <v>27245</v>
      </c>
      <c r="E13032" t="str">
        <f t="shared" si="203"/>
        <v>001390</v>
      </c>
      <c r="F13032" t="s">
        <v>27246</v>
      </c>
      <c r="G13032" t="s">
        <v>27247</v>
      </c>
      <c r="H13032" t="s">
        <v>27248</v>
      </c>
      <c r="I13032" t="s">
        <v>52445</v>
      </c>
      <c r="J13032" t="s">
        <v>26061</v>
      </c>
      <c r="L13032" t="s">
        <v>27250</v>
      </c>
      <c r="M13032" t="s">
        <v>27251</v>
      </c>
      <c r="N13032" t="s">
        <v>27252</v>
      </c>
      <c r="Q13032" s="1">
        <v>44538</v>
      </c>
      <c r="R13032" t="s">
        <v>27253</v>
      </c>
      <c r="S13032" t="s">
        <v>27254</v>
      </c>
      <c r="T13032" t="s">
        <v>27255</v>
      </c>
    </row>
    <row r="13033" spans="1:20" x14ac:dyDescent="0.3">
      <c r="A13033" t="str">
        <f>"0611832676100"</f>
        <v>0611832676100</v>
      </c>
      <c r="B13033" t="str">
        <f>"LK4069"</f>
        <v>LK4069</v>
      </c>
      <c r="C13033" t="s">
        <v>52446</v>
      </c>
      <c r="D13033" t="s">
        <v>27245</v>
      </c>
      <c r="E13033" t="str">
        <f t="shared" si="203"/>
        <v>001390</v>
      </c>
      <c r="F13033" t="s">
        <v>27246</v>
      </c>
      <c r="G13033" t="s">
        <v>27247</v>
      </c>
      <c r="H13033" t="s">
        <v>27248</v>
      </c>
      <c r="I13033" t="s">
        <v>52447</v>
      </c>
      <c r="J13033" t="s">
        <v>26063</v>
      </c>
      <c r="L13033" t="s">
        <v>27250</v>
      </c>
      <c r="M13033" t="s">
        <v>27251</v>
      </c>
      <c r="N13033" t="s">
        <v>27252</v>
      </c>
      <c r="Q13033" s="1">
        <v>44538</v>
      </c>
      <c r="R13033" t="s">
        <v>27253</v>
      </c>
      <c r="S13033" t="s">
        <v>27254</v>
      </c>
      <c r="T13033" t="s">
        <v>27255</v>
      </c>
    </row>
    <row r="13034" spans="1:20" x14ac:dyDescent="0.3">
      <c r="A13034" t="str">
        <f>"0611832677100"</f>
        <v>0611832677100</v>
      </c>
      <c r="B13034" t="str">
        <f>"LK1007"</f>
        <v>LK1007</v>
      </c>
      <c r="C13034" t="s">
        <v>52448</v>
      </c>
      <c r="D13034" t="s">
        <v>27245</v>
      </c>
      <c r="E13034" t="str">
        <f t="shared" si="203"/>
        <v>001390</v>
      </c>
      <c r="F13034" t="s">
        <v>27246</v>
      </c>
      <c r="G13034" t="s">
        <v>27247</v>
      </c>
      <c r="H13034" t="s">
        <v>27248</v>
      </c>
      <c r="I13034" t="s">
        <v>52449</v>
      </c>
      <c r="J13034" t="s">
        <v>26051</v>
      </c>
      <c r="L13034" t="s">
        <v>27250</v>
      </c>
      <c r="M13034" t="s">
        <v>27251</v>
      </c>
      <c r="N13034" t="s">
        <v>27252</v>
      </c>
      <c r="Q13034" s="1">
        <v>44538</v>
      </c>
      <c r="R13034" t="s">
        <v>27253</v>
      </c>
      <c r="S13034" t="s">
        <v>27254</v>
      </c>
      <c r="T13034" t="s">
        <v>27255</v>
      </c>
    </row>
    <row r="13035" spans="1:20" x14ac:dyDescent="0.3">
      <c r="A13035" t="str">
        <f>"0611832675100"</f>
        <v>0611832675100</v>
      </c>
      <c r="B13035" t="str">
        <f>"LB9334"</f>
        <v>LB9334</v>
      </c>
      <c r="C13035" t="s">
        <v>52450</v>
      </c>
      <c r="D13035" t="s">
        <v>27245</v>
      </c>
      <c r="E13035" t="str">
        <f t="shared" si="203"/>
        <v>001390</v>
      </c>
      <c r="F13035" t="s">
        <v>27246</v>
      </c>
      <c r="G13035" t="s">
        <v>27247</v>
      </c>
      <c r="H13035" t="s">
        <v>27248</v>
      </c>
      <c r="I13035" t="s">
        <v>52451</v>
      </c>
      <c r="J13035" t="s">
        <v>26053</v>
      </c>
      <c r="L13035" t="s">
        <v>27250</v>
      </c>
      <c r="M13035" t="s">
        <v>27251</v>
      </c>
      <c r="N13035" t="s">
        <v>27252</v>
      </c>
      <c r="Q13035" s="1">
        <v>44538</v>
      </c>
      <c r="R13035" t="s">
        <v>27253</v>
      </c>
      <c r="S13035" t="s">
        <v>27254</v>
      </c>
      <c r="T13035" t="s">
        <v>27255</v>
      </c>
    </row>
    <row r="13036" spans="1:20" x14ac:dyDescent="0.3">
      <c r="A13036" t="str">
        <f>"0611832678100"</f>
        <v>0611832678100</v>
      </c>
      <c r="B13036" t="str">
        <f>"LK4070"</f>
        <v>LK4070</v>
      </c>
      <c r="C13036" t="s">
        <v>52452</v>
      </c>
      <c r="D13036" t="s">
        <v>27245</v>
      </c>
      <c r="E13036" t="str">
        <f t="shared" si="203"/>
        <v>001390</v>
      </c>
      <c r="F13036" t="s">
        <v>27246</v>
      </c>
      <c r="G13036" t="s">
        <v>27247</v>
      </c>
      <c r="H13036" t="s">
        <v>27248</v>
      </c>
      <c r="I13036" t="s">
        <v>52453</v>
      </c>
      <c r="J13036" t="s">
        <v>26065</v>
      </c>
      <c r="L13036" t="s">
        <v>27250</v>
      </c>
      <c r="M13036" t="s">
        <v>27251</v>
      </c>
      <c r="N13036" t="s">
        <v>27252</v>
      </c>
      <c r="Q13036" s="1">
        <v>44538</v>
      </c>
      <c r="R13036" t="s">
        <v>27253</v>
      </c>
      <c r="S13036" t="s">
        <v>27254</v>
      </c>
      <c r="T13036" t="s">
        <v>27255</v>
      </c>
    </row>
    <row r="13037" spans="1:20" x14ac:dyDescent="0.3">
      <c r="A13037" t="str">
        <f>"0611832679100"</f>
        <v>0611832679100</v>
      </c>
      <c r="B13037" t="str">
        <f>"LB9316"</f>
        <v>LB9316</v>
      </c>
      <c r="C13037" t="s">
        <v>52454</v>
      </c>
      <c r="D13037" t="s">
        <v>27245</v>
      </c>
      <c r="E13037" t="str">
        <f t="shared" si="203"/>
        <v>001390</v>
      </c>
      <c r="F13037" t="s">
        <v>27246</v>
      </c>
      <c r="G13037" t="s">
        <v>27247</v>
      </c>
      <c r="H13037" t="s">
        <v>27248</v>
      </c>
      <c r="I13037" t="s">
        <v>52455</v>
      </c>
      <c r="J13037" t="s">
        <v>26055</v>
      </c>
      <c r="L13037" t="s">
        <v>27250</v>
      </c>
      <c r="M13037" t="s">
        <v>27251</v>
      </c>
      <c r="N13037" t="s">
        <v>27252</v>
      </c>
      <c r="Q13037" s="1">
        <v>44538</v>
      </c>
      <c r="R13037" t="s">
        <v>27253</v>
      </c>
      <c r="S13037" t="s">
        <v>27254</v>
      </c>
      <c r="T13037" t="s">
        <v>27255</v>
      </c>
    </row>
    <row r="13038" spans="1:20" x14ac:dyDescent="0.3">
      <c r="A13038" t="str">
        <f>"0611832688100"</f>
        <v>0611832688100</v>
      </c>
      <c r="B13038" t="str">
        <f>"LK4071"</f>
        <v>LK4071</v>
      </c>
      <c r="C13038" t="s">
        <v>52456</v>
      </c>
      <c r="D13038" t="s">
        <v>27245</v>
      </c>
      <c r="E13038" t="str">
        <f t="shared" si="203"/>
        <v>001390</v>
      </c>
      <c r="F13038" t="s">
        <v>27246</v>
      </c>
      <c r="G13038" t="s">
        <v>27247</v>
      </c>
      <c r="H13038" t="s">
        <v>27248</v>
      </c>
      <c r="I13038" t="s">
        <v>52457</v>
      </c>
      <c r="J13038" t="s">
        <v>26067</v>
      </c>
      <c r="L13038" t="s">
        <v>27250</v>
      </c>
      <c r="M13038" t="s">
        <v>27251</v>
      </c>
      <c r="N13038" t="s">
        <v>27252</v>
      </c>
      <c r="Q13038" s="1">
        <v>44538</v>
      </c>
      <c r="R13038" t="s">
        <v>27253</v>
      </c>
      <c r="S13038" t="s">
        <v>27254</v>
      </c>
      <c r="T13038" t="s">
        <v>27255</v>
      </c>
    </row>
    <row r="13039" spans="1:20" x14ac:dyDescent="0.3">
      <c r="A13039" t="str">
        <f>"0611832680100"</f>
        <v>0611832680100</v>
      </c>
      <c r="B13039" t="str">
        <f>"LK4072"</f>
        <v>LK4072</v>
      </c>
      <c r="C13039" t="s">
        <v>52458</v>
      </c>
      <c r="D13039" t="s">
        <v>27245</v>
      </c>
      <c r="E13039" t="str">
        <f t="shared" si="203"/>
        <v>001390</v>
      </c>
      <c r="F13039" t="s">
        <v>27246</v>
      </c>
      <c r="G13039" t="s">
        <v>27247</v>
      </c>
      <c r="H13039" t="s">
        <v>27248</v>
      </c>
      <c r="I13039" t="s">
        <v>52459</v>
      </c>
      <c r="J13039" t="s">
        <v>26069</v>
      </c>
      <c r="L13039" t="s">
        <v>27250</v>
      </c>
      <c r="M13039" t="s">
        <v>27251</v>
      </c>
      <c r="N13039" t="s">
        <v>27252</v>
      </c>
      <c r="Q13039" s="1">
        <v>44538</v>
      </c>
      <c r="R13039" t="s">
        <v>27253</v>
      </c>
      <c r="S13039" t="s">
        <v>27254</v>
      </c>
      <c r="T13039" t="s">
        <v>27255</v>
      </c>
    </row>
    <row r="13040" spans="1:20" x14ac:dyDescent="0.3">
      <c r="A13040" t="str">
        <f>"0611832681100"</f>
        <v>0611832681100</v>
      </c>
      <c r="B13040" t="str">
        <f>"LK4073"</f>
        <v>LK4073</v>
      </c>
      <c r="C13040" t="s">
        <v>52460</v>
      </c>
      <c r="D13040" t="s">
        <v>27245</v>
      </c>
      <c r="E13040" t="str">
        <f t="shared" si="203"/>
        <v>001390</v>
      </c>
      <c r="F13040" t="s">
        <v>27246</v>
      </c>
      <c r="G13040" t="s">
        <v>27247</v>
      </c>
      <c r="H13040" t="s">
        <v>27248</v>
      </c>
      <c r="I13040" t="s">
        <v>52461</v>
      </c>
      <c r="J13040" t="s">
        <v>26071</v>
      </c>
      <c r="L13040" t="s">
        <v>27250</v>
      </c>
      <c r="M13040" t="s">
        <v>27251</v>
      </c>
      <c r="N13040" t="s">
        <v>27252</v>
      </c>
      <c r="Q13040" s="1">
        <v>44538</v>
      </c>
      <c r="R13040" t="s">
        <v>27253</v>
      </c>
      <c r="S13040" t="s">
        <v>27254</v>
      </c>
      <c r="T13040" t="s">
        <v>27255</v>
      </c>
    </row>
    <row r="13041" spans="1:20" x14ac:dyDescent="0.3">
      <c r="A13041" t="str">
        <f>"0611832682100"</f>
        <v>0611832682100</v>
      </c>
      <c r="B13041" t="str">
        <f>"LB9268"</f>
        <v>LB9268</v>
      </c>
      <c r="C13041" t="s">
        <v>52462</v>
      </c>
      <c r="D13041" t="s">
        <v>27245</v>
      </c>
      <c r="E13041" t="str">
        <f t="shared" si="203"/>
        <v>001390</v>
      </c>
      <c r="F13041" t="s">
        <v>27246</v>
      </c>
      <c r="G13041" t="s">
        <v>27247</v>
      </c>
      <c r="H13041" t="s">
        <v>27248</v>
      </c>
      <c r="I13041" t="s">
        <v>52463</v>
      </c>
      <c r="J13041" t="s">
        <v>26057</v>
      </c>
      <c r="L13041" t="s">
        <v>27250</v>
      </c>
      <c r="M13041" t="s">
        <v>27251</v>
      </c>
      <c r="N13041" t="s">
        <v>27252</v>
      </c>
      <c r="Q13041" s="1">
        <v>44538</v>
      </c>
      <c r="R13041" t="s">
        <v>27253</v>
      </c>
      <c r="S13041" t="s">
        <v>27254</v>
      </c>
      <c r="T13041" t="s">
        <v>27255</v>
      </c>
    </row>
    <row r="13042" spans="1:20" x14ac:dyDescent="0.3">
      <c r="A13042" t="str">
        <f>"0611832683100"</f>
        <v>0611832683100</v>
      </c>
      <c r="B13042" t="str">
        <f>"LK4075"</f>
        <v>LK4075</v>
      </c>
      <c r="C13042" t="s">
        <v>52464</v>
      </c>
      <c r="D13042" t="s">
        <v>27245</v>
      </c>
      <c r="E13042" t="str">
        <f t="shared" si="203"/>
        <v>001390</v>
      </c>
      <c r="F13042" t="s">
        <v>27246</v>
      </c>
      <c r="G13042" t="s">
        <v>27247</v>
      </c>
      <c r="H13042" t="s">
        <v>27248</v>
      </c>
      <c r="I13042" t="s">
        <v>52465</v>
      </c>
      <c r="J13042" t="s">
        <v>26073</v>
      </c>
      <c r="L13042" t="s">
        <v>27250</v>
      </c>
      <c r="M13042" t="s">
        <v>27251</v>
      </c>
      <c r="N13042" t="s">
        <v>27252</v>
      </c>
      <c r="Q13042" s="1">
        <v>44538</v>
      </c>
      <c r="R13042" t="s">
        <v>27253</v>
      </c>
      <c r="S13042" t="s">
        <v>27254</v>
      </c>
      <c r="T13042" t="s">
        <v>27255</v>
      </c>
    </row>
    <row r="13043" spans="1:20" x14ac:dyDescent="0.3">
      <c r="A13043" t="str">
        <f>"0611832684100"</f>
        <v>0611832684100</v>
      </c>
      <c r="B13043" t="str">
        <f>"LK4067"</f>
        <v>LK4067</v>
      </c>
      <c r="C13043" t="s">
        <v>52466</v>
      </c>
      <c r="D13043" t="s">
        <v>27245</v>
      </c>
      <c r="E13043" t="str">
        <f t="shared" si="203"/>
        <v>001390</v>
      </c>
      <c r="F13043" t="s">
        <v>27246</v>
      </c>
      <c r="G13043" t="s">
        <v>27247</v>
      </c>
      <c r="H13043" t="s">
        <v>27248</v>
      </c>
      <c r="I13043" t="s">
        <v>52467</v>
      </c>
      <c r="J13043" t="s">
        <v>26075</v>
      </c>
      <c r="L13043" t="s">
        <v>27250</v>
      </c>
      <c r="M13043" t="s">
        <v>27251</v>
      </c>
      <c r="N13043" t="s">
        <v>27252</v>
      </c>
      <c r="Q13043" s="1">
        <v>44538</v>
      </c>
      <c r="R13043" t="s">
        <v>27253</v>
      </c>
      <c r="S13043" t="s">
        <v>27254</v>
      </c>
      <c r="T13043" t="s">
        <v>27255</v>
      </c>
    </row>
    <row r="13044" spans="1:20" x14ac:dyDescent="0.3">
      <c r="A13044" t="str">
        <f>"0611832674100"</f>
        <v>0611832674100</v>
      </c>
      <c r="B13044" t="str">
        <f>"LK4718"</f>
        <v>LK4718</v>
      </c>
      <c r="C13044" t="s">
        <v>52468</v>
      </c>
      <c r="D13044" t="s">
        <v>27245</v>
      </c>
      <c r="E13044" t="str">
        <f t="shared" si="203"/>
        <v>001390</v>
      </c>
      <c r="F13044" t="s">
        <v>27246</v>
      </c>
      <c r="G13044" t="s">
        <v>27247</v>
      </c>
      <c r="H13044" t="s">
        <v>27248</v>
      </c>
      <c r="I13044" t="s">
        <v>52469</v>
      </c>
      <c r="J13044" t="s">
        <v>26077</v>
      </c>
      <c r="L13044" t="s">
        <v>27250</v>
      </c>
      <c r="M13044" t="s">
        <v>27251</v>
      </c>
      <c r="N13044" t="s">
        <v>27252</v>
      </c>
      <c r="Q13044" s="1">
        <v>44538</v>
      </c>
      <c r="R13044" t="s">
        <v>27253</v>
      </c>
      <c r="S13044" t="s">
        <v>27254</v>
      </c>
      <c r="T13044" t="s">
        <v>27255</v>
      </c>
    </row>
    <row r="13045" spans="1:20" x14ac:dyDescent="0.3">
      <c r="A13045" t="str">
        <f>"0611832685100"</f>
        <v>0611832685100</v>
      </c>
      <c r="B13045" t="str">
        <f>"LK1428"</f>
        <v>LK1428</v>
      </c>
      <c r="C13045" t="s">
        <v>52470</v>
      </c>
      <c r="D13045" t="s">
        <v>27245</v>
      </c>
      <c r="E13045" t="str">
        <f t="shared" si="203"/>
        <v>001390</v>
      </c>
      <c r="F13045" t="s">
        <v>27246</v>
      </c>
      <c r="G13045" t="s">
        <v>27247</v>
      </c>
      <c r="H13045" t="s">
        <v>27248</v>
      </c>
      <c r="I13045" t="s">
        <v>52471</v>
      </c>
      <c r="J13045" t="s">
        <v>26059</v>
      </c>
      <c r="L13045" t="s">
        <v>27250</v>
      </c>
      <c r="M13045" t="s">
        <v>27251</v>
      </c>
      <c r="N13045" t="s">
        <v>27252</v>
      </c>
      <c r="Q13045" s="1">
        <v>44538</v>
      </c>
      <c r="R13045" t="s">
        <v>27253</v>
      </c>
      <c r="S13045" t="s">
        <v>27254</v>
      </c>
      <c r="T13045" t="s">
        <v>27255</v>
      </c>
    </row>
    <row r="13046" spans="1:20" x14ac:dyDescent="0.3">
      <c r="A13046" t="str">
        <f>"0611832686100"</f>
        <v>0611832686100</v>
      </c>
      <c r="B13046" t="str">
        <f>"LK4076"</f>
        <v>LK4076</v>
      </c>
      <c r="C13046" t="s">
        <v>52472</v>
      </c>
      <c r="D13046" t="s">
        <v>27245</v>
      </c>
      <c r="E13046" t="str">
        <f t="shared" si="203"/>
        <v>001390</v>
      </c>
      <c r="F13046" t="s">
        <v>27246</v>
      </c>
      <c r="G13046" t="s">
        <v>27247</v>
      </c>
      <c r="H13046" t="s">
        <v>27248</v>
      </c>
      <c r="I13046" t="s">
        <v>52473</v>
      </c>
      <c r="J13046" t="s">
        <v>26079</v>
      </c>
      <c r="L13046" t="s">
        <v>27250</v>
      </c>
      <c r="M13046" t="s">
        <v>27251</v>
      </c>
      <c r="N13046" t="s">
        <v>27252</v>
      </c>
      <c r="Q13046" s="1">
        <v>44538</v>
      </c>
      <c r="R13046" t="s">
        <v>27253</v>
      </c>
      <c r="S13046" t="s">
        <v>27254</v>
      </c>
      <c r="T13046" t="s">
        <v>27255</v>
      </c>
    </row>
    <row r="13047" spans="1:20" x14ac:dyDescent="0.3">
      <c r="A13047" t="str">
        <f>"0611832687100"</f>
        <v>0611832687100</v>
      </c>
      <c r="B13047" t="str">
        <f>"LK4068"</f>
        <v>LK4068</v>
      </c>
      <c r="C13047" t="s">
        <v>52474</v>
      </c>
      <c r="D13047" t="s">
        <v>27245</v>
      </c>
      <c r="E13047" t="str">
        <f t="shared" si="203"/>
        <v>001390</v>
      </c>
      <c r="F13047" t="s">
        <v>27246</v>
      </c>
      <c r="G13047" t="s">
        <v>27247</v>
      </c>
      <c r="H13047" t="s">
        <v>27248</v>
      </c>
      <c r="I13047" t="s">
        <v>52475</v>
      </c>
      <c r="J13047" t="s">
        <v>26081</v>
      </c>
      <c r="L13047" t="s">
        <v>27250</v>
      </c>
      <c r="M13047" t="s">
        <v>27251</v>
      </c>
      <c r="N13047" t="s">
        <v>27252</v>
      </c>
      <c r="Q13047" s="1">
        <v>44538</v>
      </c>
      <c r="R13047" t="s">
        <v>27253</v>
      </c>
      <c r="S13047" t="s">
        <v>27254</v>
      </c>
      <c r="T13047" t="s">
        <v>27255</v>
      </c>
    </row>
    <row r="13048" spans="1:20" x14ac:dyDescent="0.3">
      <c r="A13048" t="str">
        <f>"0611832689100"</f>
        <v>0611832689100</v>
      </c>
      <c r="B13048" t="str">
        <f>"LK6216"</f>
        <v>LK6216</v>
      </c>
      <c r="C13048" t="s">
        <v>52476</v>
      </c>
      <c r="D13048" t="s">
        <v>27245</v>
      </c>
      <c r="E13048" t="str">
        <f t="shared" si="203"/>
        <v>001390</v>
      </c>
      <c r="F13048" t="s">
        <v>27246</v>
      </c>
      <c r="G13048" t="s">
        <v>27247</v>
      </c>
      <c r="H13048" t="s">
        <v>27248</v>
      </c>
      <c r="I13048" t="s">
        <v>52477</v>
      </c>
      <c r="J13048" t="s">
        <v>26083</v>
      </c>
      <c r="L13048" t="s">
        <v>27250</v>
      </c>
      <c r="M13048" t="s">
        <v>27251</v>
      </c>
      <c r="N13048" t="s">
        <v>27252</v>
      </c>
      <c r="Q13048" s="1">
        <v>44538</v>
      </c>
      <c r="R13048" t="s">
        <v>27253</v>
      </c>
      <c r="S13048" t="s">
        <v>27254</v>
      </c>
      <c r="T13048" t="s">
        <v>27255</v>
      </c>
    </row>
    <row r="13049" spans="1:20" x14ac:dyDescent="0.3">
      <c r="A13049" t="str">
        <f>"0611832690100"</f>
        <v>0611832690100</v>
      </c>
      <c r="B13049" t="str">
        <f>"LK6217"</f>
        <v>LK6217</v>
      </c>
      <c r="C13049" t="s">
        <v>52478</v>
      </c>
      <c r="D13049" t="s">
        <v>27245</v>
      </c>
      <c r="E13049" t="str">
        <f t="shared" si="203"/>
        <v>001390</v>
      </c>
      <c r="F13049" t="s">
        <v>27246</v>
      </c>
      <c r="G13049" t="s">
        <v>27247</v>
      </c>
      <c r="H13049" t="s">
        <v>27248</v>
      </c>
      <c r="I13049" t="s">
        <v>52479</v>
      </c>
      <c r="J13049" t="s">
        <v>26085</v>
      </c>
      <c r="L13049" t="s">
        <v>27250</v>
      </c>
      <c r="M13049" t="s">
        <v>27251</v>
      </c>
      <c r="N13049" t="s">
        <v>27252</v>
      </c>
      <c r="Q13049" s="1">
        <v>44538</v>
      </c>
      <c r="R13049" t="s">
        <v>27253</v>
      </c>
      <c r="S13049" t="s">
        <v>27254</v>
      </c>
      <c r="T13049" t="s">
        <v>27255</v>
      </c>
    </row>
    <row r="13050" spans="1:20" x14ac:dyDescent="0.3">
      <c r="A13050" t="str">
        <f>"0611832691100"</f>
        <v>0611832691100</v>
      </c>
      <c r="B13050" t="str">
        <f>"LK6830"</f>
        <v>LK6830</v>
      </c>
      <c r="C13050" t="s">
        <v>52480</v>
      </c>
      <c r="D13050" t="s">
        <v>27245</v>
      </c>
      <c r="E13050" t="str">
        <f t="shared" si="203"/>
        <v>001390</v>
      </c>
      <c r="F13050" t="s">
        <v>27246</v>
      </c>
      <c r="G13050" t="s">
        <v>27247</v>
      </c>
      <c r="H13050" t="s">
        <v>27248</v>
      </c>
      <c r="I13050" t="s">
        <v>52481</v>
      </c>
      <c r="J13050" t="s">
        <v>26087</v>
      </c>
      <c r="L13050" t="s">
        <v>27250</v>
      </c>
      <c r="M13050" t="s">
        <v>27251</v>
      </c>
      <c r="N13050" t="s">
        <v>27252</v>
      </c>
      <c r="Q13050" s="1">
        <v>44538</v>
      </c>
      <c r="R13050" t="s">
        <v>27253</v>
      </c>
      <c r="S13050" t="s">
        <v>27254</v>
      </c>
      <c r="T13050" t="s">
        <v>27255</v>
      </c>
    </row>
    <row r="13051" spans="1:20" x14ac:dyDescent="0.3">
      <c r="A13051" t="str">
        <f>"0611832692100"</f>
        <v>0611832692100</v>
      </c>
      <c r="B13051" t="str">
        <f>"LK6354"</f>
        <v>LK6354</v>
      </c>
      <c r="C13051" t="s">
        <v>52482</v>
      </c>
      <c r="D13051" t="s">
        <v>27245</v>
      </c>
      <c r="E13051" t="str">
        <f t="shared" si="203"/>
        <v>001390</v>
      </c>
      <c r="F13051" t="s">
        <v>27246</v>
      </c>
      <c r="G13051" t="s">
        <v>27247</v>
      </c>
      <c r="H13051" t="s">
        <v>27248</v>
      </c>
      <c r="I13051" t="s">
        <v>52483</v>
      </c>
      <c r="J13051" t="s">
        <v>26089</v>
      </c>
      <c r="L13051" t="s">
        <v>27250</v>
      </c>
      <c r="M13051" t="s">
        <v>27251</v>
      </c>
      <c r="N13051" t="s">
        <v>27252</v>
      </c>
      <c r="Q13051" s="1">
        <v>44538</v>
      </c>
      <c r="R13051" t="s">
        <v>27253</v>
      </c>
      <c r="S13051" t="s">
        <v>27254</v>
      </c>
      <c r="T13051" t="s">
        <v>27255</v>
      </c>
    </row>
    <row r="13052" spans="1:20" x14ac:dyDescent="0.3">
      <c r="A13052" t="str">
        <f>"0611864299050"</f>
        <v>0611864299050</v>
      </c>
      <c r="B13052" t="str">
        <f>"CE1057"</f>
        <v>CE1057</v>
      </c>
      <c r="C13052" t="s">
        <v>52484</v>
      </c>
      <c r="D13052" t="s">
        <v>27263</v>
      </c>
      <c r="E13052" t="str">
        <f t="shared" si="203"/>
        <v>001390</v>
      </c>
      <c r="F13052" t="s">
        <v>27246</v>
      </c>
      <c r="G13052" t="s">
        <v>27247</v>
      </c>
      <c r="H13052" t="s">
        <v>27248</v>
      </c>
      <c r="I13052" t="s">
        <v>52485</v>
      </c>
      <c r="J13052" t="s">
        <v>26119</v>
      </c>
      <c r="L13052" t="s">
        <v>27250</v>
      </c>
      <c r="M13052" t="s">
        <v>27251</v>
      </c>
      <c r="N13052" t="s">
        <v>27252</v>
      </c>
      <c r="Q13052" s="1">
        <v>44846</v>
      </c>
      <c r="R13052" t="s">
        <v>27253</v>
      </c>
      <c r="S13052" t="s">
        <v>27254</v>
      </c>
      <c r="T13052" t="s">
        <v>27265</v>
      </c>
    </row>
    <row r="13053" spans="1:20" x14ac:dyDescent="0.3">
      <c r="A13053" t="str">
        <f>"0611840081100"</f>
        <v>0611840081100</v>
      </c>
      <c r="B13053" t="str">
        <f>"LH8671"</f>
        <v>LH8671</v>
      </c>
      <c r="C13053" t="s">
        <v>52486</v>
      </c>
      <c r="D13053" t="s">
        <v>27245</v>
      </c>
      <c r="E13053" t="str">
        <f t="shared" si="203"/>
        <v>001390</v>
      </c>
      <c r="F13053" t="s">
        <v>27246</v>
      </c>
      <c r="G13053" t="s">
        <v>27247</v>
      </c>
      <c r="H13053" t="s">
        <v>27248</v>
      </c>
      <c r="I13053" t="s">
        <v>52487</v>
      </c>
      <c r="J13053" t="s">
        <v>26121</v>
      </c>
      <c r="L13053" t="s">
        <v>27250</v>
      </c>
      <c r="M13053" t="s">
        <v>27251</v>
      </c>
      <c r="N13053" t="s">
        <v>27252</v>
      </c>
      <c r="Q13053" s="1">
        <v>44538</v>
      </c>
      <c r="R13053" t="s">
        <v>27253</v>
      </c>
      <c r="S13053" t="s">
        <v>27254</v>
      </c>
      <c r="T13053" t="s">
        <v>27255</v>
      </c>
    </row>
    <row r="13054" spans="1:20" x14ac:dyDescent="0.3">
      <c r="A13054" t="str">
        <f>"0611840082025"</f>
        <v>0611840082025</v>
      </c>
      <c r="B13054" t="str">
        <f>"MC1411"</f>
        <v>MC1411</v>
      </c>
      <c r="C13054" t="s">
        <v>52486</v>
      </c>
      <c r="D13054" t="s">
        <v>27267</v>
      </c>
      <c r="E13054" t="str">
        <f t="shared" si="203"/>
        <v>001390</v>
      </c>
      <c r="F13054" t="s">
        <v>27246</v>
      </c>
      <c r="G13054" t="s">
        <v>27247</v>
      </c>
      <c r="H13054" t="s">
        <v>27248</v>
      </c>
      <c r="I13054" t="s">
        <v>52488</v>
      </c>
      <c r="J13054" t="s">
        <v>26123</v>
      </c>
      <c r="L13054" t="s">
        <v>27250</v>
      </c>
      <c r="M13054" t="s">
        <v>27251</v>
      </c>
      <c r="N13054" t="s">
        <v>27252</v>
      </c>
      <c r="Q13054" s="1">
        <v>44538</v>
      </c>
      <c r="R13054" t="s">
        <v>27253</v>
      </c>
      <c r="S13054" t="s">
        <v>27254</v>
      </c>
      <c r="T13054" t="s">
        <v>27269</v>
      </c>
    </row>
    <row r="13055" spans="1:20" x14ac:dyDescent="0.3">
      <c r="A13055" t="str">
        <f>"0611861096050"</f>
        <v>0611861096050</v>
      </c>
      <c r="B13055" t="str">
        <f>"CE0575"</f>
        <v>CE0575</v>
      </c>
      <c r="C13055" t="s">
        <v>52489</v>
      </c>
      <c r="D13055" t="s">
        <v>27923</v>
      </c>
      <c r="E13055" t="str">
        <f t="shared" si="203"/>
        <v>001390</v>
      </c>
      <c r="F13055" t="s">
        <v>27246</v>
      </c>
      <c r="G13055" t="s">
        <v>27247</v>
      </c>
      <c r="H13055" t="s">
        <v>27248</v>
      </c>
      <c r="I13055" t="s">
        <v>52490</v>
      </c>
      <c r="J13055" t="s">
        <v>26131</v>
      </c>
      <c r="L13055" t="s">
        <v>27250</v>
      </c>
      <c r="M13055" t="s">
        <v>27251</v>
      </c>
      <c r="N13055" t="s">
        <v>27252</v>
      </c>
      <c r="P13055" t="s">
        <v>27925</v>
      </c>
      <c r="Q13055" s="1">
        <v>44846</v>
      </c>
      <c r="R13055" t="s">
        <v>27253</v>
      </c>
      <c r="S13055" t="s">
        <v>27254</v>
      </c>
      <c r="T13055" t="s">
        <v>27265</v>
      </c>
    </row>
    <row r="13056" spans="1:20" x14ac:dyDescent="0.3">
      <c r="A13056" t="str">
        <f>"0611832693100"</f>
        <v>0611832693100</v>
      </c>
      <c r="B13056" t="str">
        <f>"LK4077"</f>
        <v>LK4077</v>
      </c>
      <c r="C13056" t="s">
        <v>52491</v>
      </c>
      <c r="D13056" t="s">
        <v>27245</v>
      </c>
      <c r="E13056" t="str">
        <f t="shared" si="203"/>
        <v>001390</v>
      </c>
      <c r="F13056" t="s">
        <v>27246</v>
      </c>
      <c r="G13056" t="s">
        <v>27247</v>
      </c>
      <c r="H13056" t="s">
        <v>27248</v>
      </c>
      <c r="I13056" t="s">
        <v>52492</v>
      </c>
      <c r="J13056" t="s">
        <v>26355</v>
      </c>
      <c r="L13056" t="s">
        <v>27250</v>
      </c>
      <c r="M13056" t="s">
        <v>27251</v>
      </c>
      <c r="N13056" t="s">
        <v>27252</v>
      </c>
      <c r="Q13056" s="1">
        <v>44538</v>
      </c>
      <c r="R13056" t="s">
        <v>27253</v>
      </c>
      <c r="S13056" t="s">
        <v>27254</v>
      </c>
      <c r="T13056" t="s">
        <v>27255</v>
      </c>
    </row>
    <row r="13057" spans="1:20" x14ac:dyDescent="0.3">
      <c r="A13057" t="str">
        <f>"0611832694100"</f>
        <v>0611832694100</v>
      </c>
      <c r="B13057" t="str">
        <f>"LK4078"</f>
        <v>LK4078</v>
      </c>
      <c r="C13057" t="s">
        <v>52493</v>
      </c>
      <c r="D13057" t="s">
        <v>27245</v>
      </c>
      <c r="E13057" t="str">
        <f t="shared" si="203"/>
        <v>001390</v>
      </c>
      <c r="F13057" t="s">
        <v>27246</v>
      </c>
      <c r="G13057" t="s">
        <v>27247</v>
      </c>
      <c r="H13057" t="s">
        <v>27248</v>
      </c>
      <c r="I13057" t="s">
        <v>52494</v>
      </c>
      <c r="J13057" t="s">
        <v>26357</v>
      </c>
      <c r="L13057" t="s">
        <v>27250</v>
      </c>
      <c r="M13057" t="s">
        <v>27251</v>
      </c>
      <c r="N13057" t="s">
        <v>27252</v>
      </c>
      <c r="Q13057" s="1">
        <v>44538</v>
      </c>
      <c r="R13057" t="s">
        <v>27253</v>
      </c>
      <c r="S13057" t="s">
        <v>27254</v>
      </c>
      <c r="T13057" t="s">
        <v>27255</v>
      </c>
    </row>
    <row r="13058" spans="1:20" x14ac:dyDescent="0.3">
      <c r="A13058" t="str">
        <f>"0611832695100"</f>
        <v>0611832695100</v>
      </c>
      <c r="B13058" t="str">
        <f>"LK4540"</f>
        <v>LK4540</v>
      </c>
      <c r="C13058" t="s">
        <v>52495</v>
      </c>
      <c r="D13058" t="s">
        <v>27245</v>
      </c>
      <c r="E13058" t="str">
        <f t="shared" ref="E13058:E13121" si="204">"001390"</f>
        <v>001390</v>
      </c>
      <c r="F13058" t="s">
        <v>27246</v>
      </c>
      <c r="G13058" t="s">
        <v>27247</v>
      </c>
      <c r="H13058" t="s">
        <v>27248</v>
      </c>
      <c r="I13058" t="s">
        <v>52496</v>
      </c>
      <c r="J13058" t="s">
        <v>26359</v>
      </c>
      <c r="L13058" t="s">
        <v>27250</v>
      </c>
      <c r="M13058" t="s">
        <v>27251</v>
      </c>
      <c r="N13058" t="s">
        <v>27252</v>
      </c>
      <c r="Q13058" s="1">
        <v>44538</v>
      </c>
      <c r="R13058" t="s">
        <v>27253</v>
      </c>
      <c r="S13058" t="s">
        <v>27254</v>
      </c>
      <c r="T13058" t="s">
        <v>27255</v>
      </c>
    </row>
    <row r="13059" spans="1:20" x14ac:dyDescent="0.3">
      <c r="A13059" t="str">
        <f>"0611832696100"</f>
        <v>0611832696100</v>
      </c>
      <c r="B13059" t="str">
        <f>"LK4719"</f>
        <v>LK4719</v>
      </c>
      <c r="C13059" t="s">
        <v>52497</v>
      </c>
      <c r="D13059" t="s">
        <v>27245</v>
      </c>
      <c r="E13059" t="str">
        <f t="shared" si="204"/>
        <v>001390</v>
      </c>
      <c r="F13059" t="s">
        <v>27246</v>
      </c>
      <c r="G13059" t="s">
        <v>27247</v>
      </c>
      <c r="H13059" t="s">
        <v>27248</v>
      </c>
      <c r="I13059" t="s">
        <v>52498</v>
      </c>
      <c r="J13059" t="s">
        <v>26363</v>
      </c>
      <c r="L13059" t="s">
        <v>27250</v>
      </c>
      <c r="M13059" t="s">
        <v>27251</v>
      </c>
      <c r="N13059" t="s">
        <v>27252</v>
      </c>
      <c r="Q13059" s="1">
        <v>44538</v>
      </c>
      <c r="R13059" t="s">
        <v>27253</v>
      </c>
      <c r="S13059" t="s">
        <v>27254</v>
      </c>
      <c r="T13059" t="s">
        <v>27255</v>
      </c>
    </row>
    <row r="13060" spans="1:20" x14ac:dyDescent="0.3">
      <c r="A13060" t="str">
        <f>"0611832697100"</f>
        <v>0611832697100</v>
      </c>
      <c r="B13060" t="str">
        <f>"LK4079"</f>
        <v>LK4079</v>
      </c>
      <c r="C13060" t="s">
        <v>52499</v>
      </c>
      <c r="D13060" t="s">
        <v>27245</v>
      </c>
      <c r="E13060" t="str">
        <f t="shared" si="204"/>
        <v>001390</v>
      </c>
      <c r="F13060" t="s">
        <v>27246</v>
      </c>
      <c r="G13060" t="s">
        <v>27247</v>
      </c>
      <c r="H13060" t="s">
        <v>27248</v>
      </c>
      <c r="I13060" t="s">
        <v>52500</v>
      </c>
      <c r="J13060" t="s">
        <v>26361</v>
      </c>
      <c r="L13060" t="s">
        <v>27250</v>
      </c>
      <c r="M13060" t="s">
        <v>27251</v>
      </c>
      <c r="N13060" t="s">
        <v>27252</v>
      </c>
      <c r="Q13060" s="1">
        <v>44538</v>
      </c>
      <c r="R13060" t="s">
        <v>27253</v>
      </c>
      <c r="S13060" t="s">
        <v>27254</v>
      </c>
      <c r="T13060" t="s">
        <v>27255</v>
      </c>
    </row>
    <row r="13061" spans="1:20" x14ac:dyDescent="0.3">
      <c r="A13061" t="str">
        <f>"0611832698100"</f>
        <v>0611832698100</v>
      </c>
      <c r="B13061" t="str">
        <f>"LK1785"</f>
        <v>LK1785</v>
      </c>
      <c r="C13061" t="s">
        <v>52501</v>
      </c>
      <c r="D13061" t="s">
        <v>27245</v>
      </c>
      <c r="E13061" t="str">
        <f t="shared" si="204"/>
        <v>001390</v>
      </c>
      <c r="F13061" t="s">
        <v>27246</v>
      </c>
      <c r="G13061" t="s">
        <v>27247</v>
      </c>
      <c r="H13061" t="s">
        <v>27248</v>
      </c>
      <c r="I13061" t="s">
        <v>52502</v>
      </c>
      <c r="J13061" t="s">
        <v>26133</v>
      </c>
      <c r="L13061" t="s">
        <v>27250</v>
      </c>
      <c r="M13061" t="s">
        <v>27251</v>
      </c>
      <c r="N13061" t="s">
        <v>27252</v>
      </c>
      <c r="Q13061" s="1">
        <v>44538</v>
      </c>
      <c r="R13061" t="s">
        <v>27253</v>
      </c>
      <c r="S13061" t="s">
        <v>27254</v>
      </c>
      <c r="T13061" t="s">
        <v>27255</v>
      </c>
    </row>
    <row r="13062" spans="1:20" x14ac:dyDescent="0.3">
      <c r="A13062" t="str">
        <f>"0611832723100"</f>
        <v>0611832723100</v>
      </c>
      <c r="B13062" t="str">
        <f>"LK4080"</f>
        <v>LK4080</v>
      </c>
      <c r="C13062" t="s">
        <v>52503</v>
      </c>
      <c r="D13062" t="s">
        <v>27245</v>
      </c>
      <c r="E13062" t="str">
        <f t="shared" si="204"/>
        <v>001390</v>
      </c>
      <c r="F13062" t="s">
        <v>27246</v>
      </c>
      <c r="G13062" t="s">
        <v>27247</v>
      </c>
      <c r="H13062" t="s">
        <v>27248</v>
      </c>
      <c r="I13062" t="s">
        <v>52504</v>
      </c>
      <c r="J13062" t="s">
        <v>26141</v>
      </c>
      <c r="L13062" t="s">
        <v>27250</v>
      </c>
      <c r="M13062" t="s">
        <v>27251</v>
      </c>
      <c r="N13062" t="s">
        <v>27252</v>
      </c>
      <c r="Q13062" s="1">
        <v>44538</v>
      </c>
      <c r="R13062" t="s">
        <v>27253</v>
      </c>
      <c r="S13062" t="s">
        <v>27254</v>
      </c>
      <c r="T13062" t="s">
        <v>27255</v>
      </c>
    </row>
    <row r="13063" spans="1:20" x14ac:dyDescent="0.3">
      <c r="A13063" t="str">
        <f>"0611832701100"</f>
        <v>0611832701100</v>
      </c>
      <c r="B13063" t="str">
        <f>"LK4382"</f>
        <v>LK4382</v>
      </c>
      <c r="C13063" t="s">
        <v>52505</v>
      </c>
      <c r="D13063" t="s">
        <v>27245</v>
      </c>
      <c r="E13063" t="str">
        <f t="shared" si="204"/>
        <v>001390</v>
      </c>
      <c r="F13063" t="s">
        <v>27246</v>
      </c>
      <c r="G13063" t="s">
        <v>27247</v>
      </c>
      <c r="H13063" t="s">
        <v>27248</v>
      </c>
      <c r="I13063" t="s">
        <v>52506</v>
      </c>
      <c r="J13063" t="s">
        <v>26143</v>
      </c>
      <c r="L13063" t="s">
        <v>27250</v>
      </c>
      <c r="M13063" t="s">
        <v>27251</v>
      </c>
      <c r="N13063" t="s">
        <v>27252</v>
      </c>
      <c r="Q13063" s="1">
        <v>44538</v>
      </c>
      <c r="R13063" t="s">
        <v>27253</v>
      </c>
      <c r="S13063" t="s">
        <v>27254</v>
      </c>
      <c r="T13063" t="s">
        <v>27255</v>
      </c>
    </row>
    <row r="13064" spans="1:20" x14ac:dyDescent="0.3">
      <c r="A13064" t="str">
        <f>"0611832702100"</f>
        <v>0611832702100</v>
      </c>
      <c r="B13064" t="str">
        <f>"LK4082"</f>
        <v>LK4082</v>
      </c>
      <c r="C13064" t="s">
        <v>52507</v>
      </c>
      <c r="D13064" t="s">
        <v>27245</v>
      </c>
      <c r="E13064" t="str">
        <f t="shared" si="204"/>
        <v>001390</v>
      </c>
      <c r="F13064" t="s">
        <v>27246</v>
      </c>
      <c r="G13064" t="s">
        <v>27247</v>
      </c>
      <c r="H13064" t="s">
        <v>27248</v>
      </c>
      <c r="I13064" t="s">
        <v>52508</v>
      </c>
      <c r="J13064" t="s">
        <v>26145</v>
      </c>
      <c r="L13064" t="s">
        <v>27250</v>
      </c>
      <c r="M13064" t="s">
        <v>27251</v>
      </c>
      <c r="N13064" t="s">
        <v>27252</v>
      </c>
      <c r="Q13064" s="1">
        <v>44538</v>
      </c>
      <c r="R13064" t="s">
        <v>27253</v>
      </c>
      <c r="S13064" t="s">
        <v>27254</v>
      </c>
      <c r="T13064" t="s">
        <v>27255</v>
      </c>
    </row>
    <row r="13065" spans="1:20" x14ac:dyDescent="0.3">
      <c r="A13065" t="str">
        <f>"0611832703100"</f>
        <v>0611832703100</v>
      </c>
      <c r="B13065" t="str">
        <f>"LK4083"</f>
        <v>LK4083</v>
      </c>
      <c r="C13065" t="s">
        <v>52509</v>
      </c>
      <c r="D13065" t="s">
        <v>27245</v>
      </c>
      <c r="E13065" t="str">
        <f t="shared" si="204"/>
        <v>001390</v>
      </c>
      <c r="F13065" t="s">
        <v>27246</v>
      </c>
      <c r="G13065" t="s">
        <v>27247</v>
      </c>
      <c r="H13065" t="s">
        <v>27248</v>
      </c>
      <c r="I13065" t="s">
        <v>52510</v>
      </c>
      <c r="J13065" t="s">
        <v>26147</v>
      </c>
      <c r="L13065" t="s">
        <v>27250</v>
      </c>
      <c r="M13065" t="s">
        <v>27251</v>
      </c>
      <c r="N13065" t="s">
        <v>27252</v>
      </c>
      <c r="Q13065" s="1">
        <v>44538</v>
      </c>
      <c r="R13065" t="s">
        <v>27253</v>
      </c>
      <c r="S13065" t="s">
        <v>27254</v>
      </c>
      <c r="T13065" t="s">
        <v>27255</v>
      </c>
    </row>
    <row r="13066" spans="1:20" x14ac:dyDescent="0.3">
      <c r="A13066" t="str">
        <f>"0611832704100"</f>
        <v>0611832704100</v>
      </c>
      <c r="B13066" t="str">
        <f>"LK4085"</f>
        <v>LK4085</v>
      </c>
      <c r="C13066" t="s">
        <v>52511</v>
      </c>
      <c r="D13066" t="s">
        <v>27245</v>
      </c>
      <c r="E13066" t="str">
        <f t="shared" si="204"/>
        <v>001390</v>
      </c>
      <c r="F13066" t="s">
        <v>27246</v>
      </c>
      <c r="G13066" t="s">
        <v>27247</v>
      </c>
      <c r="H13066" t="s">
        <v>27248</v>
      </c>
      <c r="I13066" t="s">
        <v>52512</v>
      </c>
      <c r="J13066" t="s">
        <v>26149</v>
      </c>
      <c r="L13066" t="s">
        <v>27250</v>
      </c>
      <c r="M13066" t="s">
        <v>27251</v>
      </c>
      <c r="N13066" t="s">
        <v>27252</v>
      </c>
      <c r="Q13066" s="1">
        <v>44538</v>
      </c>
      <c r="R13066" t="s">
        <v>27253</v>
      </c>
      <c r="S13066" t="s">
        <v>27254</v>
      </c>
      <c r="T13066" t="s">
        <v>27255</v>
      </c>
    </row>
    <row r="13067" spans="1:20" x14ac:dyDescent="0.3">
      <c r="A13067" t="str">
        <f>"0611832705100"</f>
        <v>0611832705100</v>
      </c>
      <c r="B13067" t="str">
        <f>"LK4086"</f>
        <v>LK4086</v>
      </c>
      <c r="C13067" t="s">
        <v>52513</v>
      </c>
      <c r="D13067" t="s">
        <v>27245</v>
      </c>
      <c r="E13067" t="str">
        <f t="shared" si="204"/>
        <v>001390</v>
      </c>
      <c r="F13067" t="s">
        <v>27246</v>
      </c>
      <c r="G13067" t="s">
        <v>27247</v>
      </c>
      <c r="H13067" t="s">
        <v>27248</v>
      </c>
      <c r="I13067" t="s">
        <v>52514</v>
      </c>
      <c r="J13067" t="s">
        <v>26151</v>
      </c>
      <c r="L13067" t="s">
        <v>27250</v>
      </c>
      <c r="M13067" t="s">
        <v>27251</v>
      </c>
      <c r="N13067" t="s">
        <v>27252</v>
      </c>
      <c r="Q13067" s="1">
        <v>44538</v>
      </c>
      <c r="R13067" t="s">
        <v>27253</v>
      </c>
      <c r="S13067" t="s">
        <v>27254</v>
      </c>
      <c r="T13067" t="s">
        <v>27255</v>
      </c>
    </row>
    <row r="13068" spans="1:20" x14ac:dyDescent="0.3">
      <c r="A13068" t="str">
        <f>"0611832706100"</f>
        <v>0611832706100</v>
      </c>
      <c r="B13068" t="str">
        <f>"LK4087"</f>
        <v>LK4087</v>
      </c>
      <c r="C13068" t="s">
        <v>52515</v>
      </c>
      <c r="D13068" t="s">
        <v>27245</v>
      </c>
      <c r="E13068" t="str">
        <f t="shared" si="204"/>
        <v>001390</v>
      </c>
      <c r="F13068" t="s">
        <v>27246</v>
      </c>
      <c r="G13068" t="s">
        <v>27247</v>
      </c>
      <c r="H13068" t="s">
        <v>27248</v>
      </c>
      <c r="I13068" t="s">
        <v>52516</v>
      </c>
      <c r="J13068" t="s">
        <v>26153</v>
      </c>
      <c r="L13068" t="s">
        <v>27250</v>
      </c>
      <c r="M13068" t="s">
        <v>27251</v>
      </c>
      <c r="N13068" t="s">
        <v>27252</v>
      </c>
      <c r="Q13068" s="1">
        <v>44538</v>
      </c>
      <c r="R13068" t="s">
        <v>27253</v>
      </c>
      <c r="S13068" t="s">
        <v>27254</v>
      </c>
      <c r="T13068" t="s">
        <v>27255</v>
      </c>
    </row>
    <row r="13069" spans="1:20" x14ac:dyDescent="0.3">
      <c r="A13069" t="str">
        <f>"0611832707100"</f>
        <v>0611832707100</v>
      </c>
      <c r="B13069" t="str">
        <f>"LK4088"</f>
        <v>LK4088</v>
      </c>
      <c r="C13069" t="s">
        <v>52517</v>
      </c>
      <c r="D13069" t="s">
        <v>27245</v>
      </c>
      <c r="E13069" t="str">
        <f t="shared" si="204"/>
        <v>001390</v>
      </c>
      <c r="F13069" t="s">
        <v>27246</v>
      </c>
      <c r="G13069" t="s">
        <v>27247</v>
      </c>
      <c r="H13069" t="s">
        <v>27248</v>
      </c>
      <c r="I13069" t="s">
        <v>52518</v>
      </c>
      <c r="J13069" t="s">
        <v>26155</v>
      </c>
      <c r="L13069" t="s">
        <v>27250</v>
      </c>
      <c r="M13069" t="s">
        <v>27251</v>
      </c>
      <c r="N13069" t="s">
        <v>27252</v>
      </c>
      <c r="Q13069" s="1">
        <v>44538</v>
      </c>
      <c r="R13069" t="s">
        <v>27253</v>
      </c>
      <c r="S13069" t="s">
        <v>27254</v>
      </c>
      <c r="T13069" t="s">
        <v>27255</v>
      </c>
    </row>
    <row r="13070" spans="1:20" x14ac:dyDescent="0.3">
      <c r="A13070" t="str">
        <f>"0611832708100"</f>
        <v>0611832708100</v>
      </c>
      <c r="B13070" t="str">
        <f>"LK4090"</f>
        <v>LK4090</v>
      </c>
      <c r="C13070" t="s">
        <v>52519</v>
      </c>
      <c r="D13070" t="s">
        <v>27245</v>
      </c>
      <c r="E13070" t="str">
        <f t="shared" si="204"/>
        <v>001390</v>
      </c>
      <c r="F13070" t="s">
        <v>27246</v>
      </c>
      <c r="G13070" t="s">
        <v>27247</v>
      </c>
      <c r="H13070" t="s">
        <v>27248</v>
      </c>
      <c r="I13070" t="s">
        <v>52520</v>
      </c>
      <c r="J13070" t="s">
        <v>26159</v>
      </c>
      <c r="L13070" t="s">
        <v>27250</v>
      </c>
      <c r="M13070" t="s">
        <v>27251</v>
      </c>
      <c r="N13070" t="s">
        <v>27252</v>
      </c>
      <c r="Q13070" s="1">
        <v>44538</v>
      </c>
      <c r="R13070" t="s">
        <v>27253</v>
      </c>
      <c r="S13070" t="s">
        <v>27254</v>
      </c>
      <c r="T13070" t="s">
        <v>27255</v>
      </c>
    </row>
    <row r="13071" spans="1:20" x14ac:dyDescent="0.3">
      <c r="A13071" t="str">
        <f>"0611832724100"</f>
        <v>0611832724100</v>
      </c>
      <c r="B13071" t="str">
        <f>"LK4089"</f>
        <v>LK4089</v>
      </c>
      <c r="C13071" t="s">
        <v>52521</v>
      </c>
      <c r="D13071" t="s">
        <v>27245</v>
      </c>
      <c r="E13071" t="str">
        <f t="shared" si="204"/>
        <v>001390</v>
      </c>
      <c r="F13071" t="s">
        <v>27246</v>
      </c>
      <c r="G13071" t="s">
        <v>27247</v>
      </c>
      <c r="H13071" t="s">
        <v>27248</v>
      </c>
      <c r="I13071" t="s">
        <v>52522</v>
      </c>
      <c r="J13071" t="s">
        <v>26157</v>
      </c>
      <c r="L13071" t="s">
        <v>27250</v>
      </c>
      <c r="M13071" t="s">
        <v>27251</v>
      </c>
      <c r="N13071" t="s">
        <v>27252</v>
      </c>
      <c r="Q13071" s="1">
        <v>44538</v>
      </c>
      <c r="R13071" t="s">
        <v>27253</v>
      </c>
      <c r="S13071" t="s">
        <v>27254</v>
      </c>
      <c r="T13071" t="s">
        <v>27255</v>
      </c>
    </row>
    <row r="13072" spans="1:20" x14ac:dyDescent="0.3">
      <c r="A13072" t="str">
        <f>"0611832709100"</f>
        <v>0611832709100</v>
      </c>
      <c r="B13072" t="str">
        <f>"LK4091"</f>
        <v>LK4091</v>
      </c>
      <c r="C13072" t="s">
        <v>52523</v>
      </c>
      <c r="D13072" t="s">
        <v>27245</v>
      </c>
      <c r="E13072" t="str">
        <f t="shared" si="204"/>
        <v>001390</v>
      </c>
      <c r="F13072" t="s">
        <v>27246</v>
      </c>
      <c r="G13072" t="s">
        <v>27247</v>
      </c>
      <c r="H13072" t="s">
        <v>27248</v>
      </c>
      <c r="I13072" t="s">
        <v>52524</v>
      </c>
      <c r="J13072" t="s">
        <v>26161</v>
      </c>
      <c r="L13072" t="s">
        <v>27250</v>
      </c>
      <c r="M13072" t="s">
        <v>27251</v>
      </c>
      <c r="N13072" t="s">
        <v>27252</v>
      </c>
      <c r="Q13072" s="1">
        <v>44538</v>
      </c>
      <c r="R13072" t="s">
        <v>27253</v>
      </c>
      <c r="S13072" t="s">
        <v>27254</v>
      </c>
      <c r="T13072" t="s">
        <v>27255</v>
      </c>
    </row>
    <row r="13073" spans="1:20" x14ac:dyDescent="0.3">
      <c r="A13073" t="str">
        <f>"0611832710100"</f>
        <v>0611832710100</v>
      </c>
      <c r="B13073" t="str">
        <f>"LK4541"</f>
        <v>LK4541</v>
      </c>
      <c r="C13073" t="s">
        <v>52525</v>
      </c>
      <c r="D13073" t="s">
        <v>27245</v>
      </c>
      <c r="E13073" t="str">
        <f t="shared" si="204"/>
        <v>001390</v>
      </c>
      <c r="F13073" t="s">
        <v>27246</v>
      </c>
      <c r="G13073" t="s">
        <v>27247</v>
      </c>
      <c r="H13073" t="s">
        <v>27248</v>
      </c>
      <c r="I13073" t="s">
        <v>52526</v>
      </c>
      <c r="J13073" t="s">
        <v>26163</v>
      </c>
      <c r="L13073" t="s">
        <v>27250</v>
      </c>
      <c r="M13073" t="s">
        <v>27251</v>
      </c>
      <c r="N13073" t="s">
        <v>27252</v>
      </c>
      <c r="Q13073" s="1">
        <v>44538</v>
      </c>
      <c r="R13073" t="s">
        <v>27253</v>
      </c>
      <c r="S13073" t="s">
        <v>27254</v>
      </c>
      <c r="T13073" t="s">
        <v>27255</v>
      </c>
    </row>
    <row r="13074" spans="1:20" x14ac:dyDescent="0.3">
      <c r="A13074" t="str">
        <f>"0611832711100"</f>
        <v>0611832711100</v>
      </c>
      <c r="B13074" t="str">
        <f>"LK4542"</f>
        <v>LK4542</v>
      </c>
      <c r="C13074" t="s">
        <v>52527</v>
      </c>
      <c r="D13074" t="s">
        <v>27245</v>
      </c>
      <c r="E13074" t="str">
        <f t="shared" si="204"/>
        <v>001390</v>
      </c>
      <c r="F13074" t="s">
        <v>27246</v>
      </c>
      <c r="G13074" t="s">
        <v>27247</v>
      </c>
      <c r="H13074" t="s">
        <v>27248</v>
      </c>
      <c r="I13074" t="s">
        <v>52528</v>
      </c>
      <c r="J13074" t="s">
        <v>26165</v>
      </c>
      <c r="L13074" t="s">
        <v>27250</v>
      </c>
      <c r="M13074" t="s">
        <v>27251</v>
      </c>
      <c r="N13074" t="s">
        <v>27252</v>
      </c>
      <c r="Q13074" s="1">
        <v>44538</v>
      </c>
      <c r="R13074" t="s">
        <v>27253</v>
      </c>
      <c r="S13074" t="s">
        <v>27254</v>
      </c>
      <c r="T13074" t="s">
        <v>27255</v>
      </c>
    </row>
    <row r="13075" spans="1:20" x14ac:dyDescent="0.3">
      <c r="A13075" t="str">
        <f>"0611832713100"</f>
        <v>0611832713100</v>
      </c>
      <c r="B13075" t="str">
        <f>"LB9274"</f>
        <v>LB9274</v>
      </c>
      <c r="C13075" t="s">
        <v>52529</v>
      </c>
      <c r="D13075" t="s">
        <v>27245</v>
      </c>
      <c r="E13075" t="str">
        <f t="shared" si="204"/>
        <v>001390</v>
      </c>
      <c r="F13075" t="s">
        <v>27246</v>
      </c>
      <c r="G13075" t="s">
        <v>27247</v>
      </c>
      <c r="H13075" t="s">
        <v>27248</v>
      </c>
      <c r="I13075" t="s">
        <v>52530</v>
      </c>
      <c r="J13075" t="s">
        <v>26135</v>
      </c>
      <c r="L13075" t="s">
        <v>27250</v>
      </c>
      <c r="M13075" t="s">
        <v>27251</v>
      </c>
      <c r="N13075" t="s">
        <v>27252</v>
      </c>
      <c r="Q13075" s="1">
        <v>44538</v>
      </c>
      <c r="R13075" t="s">
        <v>27253</v>
      </c>
      <c r="S13075" t="s">
        <v>27254</v>
      </c>
      <c r="T13075" t="s">
        <v>27255</v>
      </c>
    </row>
    <row r="13076" spans="1:20" x14ac:dyDescent="0.3">
      <c r="A13076" t="str">
        <f>"0611832714100"</f>
        <v>0611832714100</v>
      </c>
      <c r="B13076" t="str">
        <f>"LK4092"</f>
        <v>LK4092</v>
      </c>
      <c r="C13076" t="s">
        <v>52531</v>
      </c>
      <c r="D13076" t="s">
        <v>27245</v>
      </c>
      <c r="E13076" t="str">
        <f t="shared" si="204"/>
        <v>001390</v>
      </c>
      <c r="F13076" t="s">
        <v>27246</v>
      </c>
      <c r="G13076" t="s">
        <v>27247</v>
      </c>
      <c r="H13076" t="s">
        <v>27248</v>
      </c>
      <c r="I13076" t="s">
        <v>52532</v>
      </c>
      <c r="J13076" t="s">
        <v>26167</v>
      </c>
      <c r="L13076" t="s">
        <v>27250</v>
      </c>
      <c r="M13076" t="s">
        <v>27251</v>
      </c>
      <c r="N13076" t="s">
        <v>27252</v>
      </c>
      <c r="Q13076" s="1">
        <v>44538</v>
      </c>
      <c r="R13076" t="s">
        <v>27253</v>
      </c>
      <c r="S13076" t="s">
        <v>27254</v>
      </c>
      <c r="T13076" t="s">
        <v>27255</v>
      </c>
    </row>
    <row r="13077" spans="1:20" x14ac:dyDescent="0.3">
      <c r="A13077" t="str">
        <f>"0611832715100"</f>
        <v>0611832715100</v>
      </c>
      <c r="B13077" t="str">
        <f>"LK4093"</f>
        <v>LK4093</v>
      </c>
      <c r="C13077" t="s">
        <v>52533</v>
      </c>
      <c r="D13077" t="s">
        <v>27245</v>
      </c>
      <c r="E13077" t="str">
        <f t="shared" si="204"/>
        <v>001390</v>
      </c>
      <c r="F13077" t="s">
        <v>27246</v>
      </c>
      <c r="G13077" t="s">
        <v>27247</v>
      </c>
      <c r="H13077" t="s">
        <v>27248</v>
      </c>
      <c r="I13077" t="s">
        <v>52534</v>
      </c>
      <c r="J13077" t="s">
        <v>26169</v>
      </c>
      <c r="L13077" t="s">
        <v>27250</v>
      </c>
      <c r="M13077" t="s">
        <v>27251</v>
      </c>
      <c r="N13077" t="s">
        <v>27252</v>
      </c>
      <c r="Q13077" s="1">
        <v>44538</v>
      </c>
      <c r="R13077" t="s">
        <v>27253</v>
      </c>
      <c r="S13077" t="s">
        <v>27254</v>
      </c>
      <c r="T13077" t="s">
        <v>27255</v>
      </c>
    </row>
    <row r="13078" spans="1:20" x14ac:dyDescent="0.3">
      <c r="A13078" t="str">
        <f>"0611832716100"</f>
        <v>0611832716100</v>
      </c>
      <c r="B13078" t="str">
        <f>"LK2011"</f>
        <v>LK2011</v>
      </c>
      <c r="C13078" t="s">
        <v>52535</v>
      </c>
      <c r="D13078" t="s">
        <v>27245</v>
      </c>
      <c r="E13078" t="str">
        <f t="shared" si="204"/>
        <v>001390</v>
      </c>
      <c r="F13078" t="s">
        <v>27246</v>
      </c>
      <c r="G13078" t="s">
        <v>27247</v>
      </c>
      <c r="H13078" t="s">
        <v>27248</v>
      </c>
      <c r="I13078" t="s">
        <v>52536</v>
      </c>
      <c r="J13078" t="s">
        <v>26137</v>
      </c>
      <c r="L13078" t="s">
        <v>27250</v>
      </c>
      <c r="M13078" t="s">
        <v>27251</v>
      </c>
      <c r="N13078" t="s">
        <v>27252</v>
      </c>
      <c r="Q13078" s="1">
        <v>44538</v>
      </c>
      <c r="R13078" t="s">
        <v>27253</v>
      </c>
      <c r="S13078" t="s">
        <v>27254</v>
      </c>
      <c r="T13078" t="s">
        <v>27255</v>
      </c>
    </row>
    <row r="13079" spans="1:20" x14ac:dyDescent="0.3">
      <c r="A13079" t="str">
        <f>"0611832717100"</f>
        <v>0611832717100</v>
      </c>
      <c r="B13079" t="str">
        <f>"LK4094"</f>
        <v>LK4094</v>
      </c>
      <c r="C13079" t="s">
        <v>52537</v>
      </c>
      <c r="D13079" t="s">
        <v>27245</v>
      </c>
      <c r="E13079" t="str">
        <f t="shared" si="204"/>
        <v>001390</v>
      </c>
      <c r="F13079" t="s">
        <v>27246</v>
      </c>
      <c r="G13079" t="s">
        <v>27247</v>
      </c>
      <c r="H13079" t="s">
        <v>27248</v>
      </c>
      <c r="I13079" t="s">
        <v>52538</v>
      </c>
      <c r="J13079" t="s">
        <v>26171</v>
      </c>
      <c r="L13079" t="s">
        <v>27250</v>
      </c>
      <c r="M13079" t="s">
        <v>27251</v>
      </c>
      <c r="N13079" t="s">
        <v>27252</v>
      </c>
      <c r="Q13079" s="1">
        <v>44538</v>
      </c>
      <c r="R13079" t="s">
        <v>27253</v>
      </c>
      <c r="S13079" t="s">
        <v>27254</v>
      </c>
      <c r="T13079" t="s">
        <v>27255</v>
      </c>
    </row>
    <row r="13080" spans="1:20" x14ac:dyDescent="0.3">
      <c r="A13080" t="str">
        <f>"0611832718100"</f>
        <v>0611832718100</v>
      </c>
      <c r="B13080" t="str">
        <f>"LK4096"</f>
        <v>LK4096</v>
      </c>
      <c r="C13080" t="s">
        <v>52539</v>
      </c>
      <c r="D13080" t="s">
        <v>27245</v>
      </c>
      <c r="E13080" t="str">
        <f t="shared" si="204"/>
        <v>001390</v>
      </c>
      <c r="F13080" t="s">
        <v>27246</v>
      </c>
      <c r="G13080" t="s">
        <v>27247</v>
      </c>
      <c r="H13080" t="s">
        <v>27248</v>
      </c>
      <c r="I13080" t="s">
        <v>52540</v>
      </c>
      <c r="J13080" t="s">
        <v>26173</v>
      </c>
      <c r="L13080" t="s">
        <v>27250</v>
      </c>
      <c r="M13080" t="s">
        <v>27251</v>
      </c>
      <c r="N13080" t="s">
        <v>27252</v>
      </c>
      <c r="Q13080" s="1">
        <v>44538</v>
      </c>
      <c r="R13080" t="s">
        <v>27253</v>
      </c>
      <c r="S13080" t="s">
        <v>27254</v>
      </c>
      <c r="T13080" t="s">
        <v>27255</v>
      </c>
    </row>
    <row r="13081" spans="1:20" x14ac:dyDescent="0.3">
      <c r="A13081" t="str">
        <f>"0611832719100"</f>
        <v>0611832719100</v>
      </c>
      <c r="B13081" t="str">
        <f>"LB9306"</f>
        <v>LB9306</v>
      </c>
      <c r="C13081" t="s">
        <v>52541</v>
      </c>
      <c r="D13081" t="s">
        <v>27245</v>
      </c>
      <c r="E13081" t="str">
        <f t="shared" si="204"/>
        <v>001390</v>
      </c>
      <c r="F13081" t="s">
        <v>27246</v>
      </c>
      <c r="G13081" t="s">
        <v>27247</v>
      </c>
      <c r="H13081" t="s">
        <v>27248</v>
      </c>
      <c r="I13081" t="s">
        <v>52542</v>
      </c>
      <c r="J13081" t="s">
        <v>26139</v>
      </c>
      <c r="L13081" t="s">
        <v>27250</v>
      </c>
      <c r="M13081" t="s">
        <v>27251</v>
      </c>
      <c r="N13081" t="s">
        <v>27252</v>
      </c>
      <c r="Q13081" s="1">
        <v>44538</v>
      </c>
      <c r="R13081" t="s">
        <v>27253</v>
      </c>
      <c r="S13081" t="s">
        <v>27254</v>
      </c>
      <c r="T13081" t="s">
        <v>27255</v>
      </c>
    </row>
    <row r="13082" spans="1:20" x14ac:dyDescent="0.3">
      <c r="A13082" t="str">
        <f>"0611832720100"</f>
        <v>0611832720100</v>
      </c>
      <c r="B13082" t="str">
        <f>"LK4097"</f>
        <v>LK4097</v>
      </c>
      <c r="C13082" t="s">
        <v>52543</v>
      </c>
      <c r="D13082" t="s">
        <v>27245</v>
      </c>
      <c r="E13082" t="str">
        <f t="shared" si="204"/>
        <v>001390</v>
      </c>
      <c r="F13082" t="s">
        <v>27246</v>
      </c>
      <c r="G13082" t="s">
        <v>27247</v>
      </c>
      <c r="H13082" t="s">
        <v>27248</v>
      </c>
      <c r="I13082" t="s">
        <v>52544</v>
      </c>
      <c r="J13082" t="s">
        <v>26175</v>
      </c>
      <c r="L13082" t="s">
        <v>27250</v>
      </c>
      <c r="M13082" t="s">
        <v>27251</v>
      </c>
      <c r="N13082" t="s">
        <v>27252</v>
      </c>
      <c r="Q13082" s="1">
        <v>44538</v>
      </c>
      <c r="R13082" t="s">
        <v>27253</v>
      </c>
      <c r="S13082" t="s">
        <v>27254</v>
      </c>
      <c r="T13082" t="s">
        <v>27255</v>
      </c>
    </row>
    <row r="13083" spans="1:20" x14ac:dyDescent="0.3">
      <c r="A13083" t="str">
        <f>"0611832721100"</f>
        <v>0611832721100</v>
      </c>
      <c r="B13083" t="str">
        <f>"LK3536"</f>
        <v>LK3536</v>
      </c>
      <c r="C13083" t="s">
        <v>52545</v>
      </c>
      <c r="D13083" t="s">
        <v>27245</v>
      </c>
      <c r="E13083" t="str">
        <f t="shared" si="204"/>
        <v>001390</v>
      </c>
      <c r="F13083" t="s">
        <v>27246</v>
      </c>
      <c r="G13083" t="s">
        <v>27247</v>
      </c>
      <c r="H13083" t="s">
        <v>27248</v>
      </c>
      <c r="I13083" t="s">
        <v>52546</v>
      </c>
      <c r="J13083" t="s">
        <v>26177</v>
      </c>
      <c r="L13083" t="s">
        <v>27250</v>
      </c>
      <c r="M13083" t="s">
        <v>27251</v>
      </c>
      <c r="N13083" t="s">
        <v>27252</v>
      </c>
      <c r="Q13083" s="1">
        <v>44538</v>
      </c>
      <c r="R13083" t="s">
        <v>27253</v>
      </c>
      <c r="S13083" t="s">
        <v>27254</v>
      </c>
      <c r="T13083" t="s">
        <v>27255</v>
      </c>
    </row>
    <row r="13084" spans="1:20" x14ac:dyDescent="0.3">
      <c r="A13084" t="str">
        <f>"0611832722100"</f>
        <v>0611832722100</v>
      </c>
      <c r="B13084" t="str">
        <f>"LK4099"</f>
        <v>LK4099</v>
      </c>
      <c r="C13084" t="s">
        <v>52547</v>
      </c>
      <c r="D13084" t="s">
        <v>27245</v>
      </c>
      <c r="E13084" t="str">
        <f t="shared" si="204"/>
        <v>001390</v>
      </c>
      <c r="F13084" t="s">
        <v>27246</v>
      </c>
      <c r="G13084" t="s">
        <v>27247</v>
      </c>
      <c r="H13084" t="s">
        <v>27248</v>
      </c>
      <c r="I13084" t="s">
        <v>52548</v>
      </c>
      <c r="J13084" t="s">
        <v>26179</v>
      </c>
      <c r="L13084" t="s">
        <v>27250</v>
      </c>
      <c r="M13084" t="s">
        <v>27251</v>
      </c>
      <c r="N13084" t="s">
        <v>27252</v>
      </c>
      <c r="Q13084" s="1">
        <v>44538</v>
      </c>
      <c r="R13084" t="s">
        <v>27253</v>
      </c>
      <c r="S13084" t="s">
        <v>27254</v>
      </c>
      <c r="T13084" t="s">
        <v>27255</v>
      </c>
    </row>
    <row r="13085" spans="1:20" x14ac:dyDescent="0.3">
      <c r="A13085" t="str">
        <f>"0611832725100"</f>
        <v>0611832725100</v>
      </c>
      <c r="B13085" t="str">
        <f>"LB9355"</f>
        <v>LB9355</v>
      </c>
      <c r="C13085" t="s">
        <v>52549</v>
      </c>
      <c r="D13085" t="s">
        <v>27245</v>
      </c>
      <c r="E13085" t="str">
        <f t="shared" si="204"/>
        <v>001390</v>
      </c>
      <c r="F13085" t="s">
        <v>27246</v>
      </c>
      <c r="G13085" t="s">
        <v>27247</v>
      </c>
      <c r="H13085" t="s">
        <v>27248</v>
      </c>
      <c r="I13085" t="s">
        <v>52550</v>
      </c>
      <c r="J13085" t="s">
        <v>26181</v>
      </c>
      <c r="L13085" t="s">
        <v>27250</v>
      </c>
      <c r="M13085" t="s">
        <v>27251</v>
      </c>
      <c r="N13085" t="s">
        <v>27252</v>
      </c>
      <c r="Q13085" s="1">
        <v>44538</v>
      </c>
      <c r="R13085" t="s">
        <v>27253</v>
      </c>
      <c r="S13085" t="s">
        <v>27254</v>
      </c>
      <c r="T13085" t="s">
        <v>27255</v>
      </c>
    </row>
    <row r="13086" spans="1:20" x14ac:dyDescent="0.3">
      <c r="A13086" t="str">
        <f>"0611884496100"</f>
        <v>0611884496100</v>
      </c>
      <c r="B13086" t="str">
        <f>"LQ3933"</f>
        <v>LQ3933</v>
      </c>
      <c r="C13086" t="s">
        <v>52551</v>
      </c>
      <c r="D13086" t="s">
        <v>27245</v>
      </c>
      <c r="E13086" t="str">
        <f t="shared" si="204"/>
        <v>001390</v>
      </c>
      <c r="F13086" t="s">
        <v>27246</v>
      </c>
      <c r="G13086" t="s">
        <v>27247</v>
      </c>
      <c r="H13086" t="s">
        <v>27248</v>
      </c>
      <c r="I13086" t="s">
        <v>52552</v>
      </c>
      <c r="J13086" t="s">
        <v>26183</v>
      </c>
      <c r="L13086" t="s">
        <v>27430</v>
      </c>
      <c r="M13086" t="s">
        <v>27251</v>
      </c>
      <c r="N13086" t="s">
        <v>27252</v>
      </c>
      <c r="Q13086" s="1">
        <v>45250</v>
      </c>
      <c r="R13086" t="s">
        <v>27253</v>
      </c>
      <c r="S13086" t="s">
        <v>27254</v>
      </c>
      <c r="T13086" t="s">
        <v>27255</v>
      </c>
    </row>
    <row r="13087" spans="1:20" x14ac:dyDescent="0.3">
      <c r="A13087" t="str">
        <f>"0611840084025"</f>
        <v>0611840084025</v>
      </c>
      <c r="B13087" t="str">
        <f>"MC2192"</f>
        <v>MC2192</v>
      </c>
      <c r="C13087" t="s">
        <v>52553</v>
      </c>
      <c r="D13087" t="s">
        <v>27267</v>
      </c>
      <c r="E13087" t="str">
        <f t="shared" si="204"/>
        <v>001390</v>
      </c>
      <c r="F13087" t="s">
        <v>27246</v>
      </c>
      <c r="G13087" t="s">
        <v>27247</v>
      </c>
      <c r="H13087" t="s">
        <v>27248</v>
      </c>
      <c r="I13087" t="s">
        <v>52554</v>
      </c>
      <c r="J13087" t="s">
        <v>26125</v>
      </c>
      <c r="L13087" t="s">
        <v>27250</v>
      </c>
      <c r="M13087" t="s">
        <v>27251</v>
      </c>
      <c r="N13087" t="s">
        <v>27252</v>
      </c>
      <c r="Q13087" s="1">
        <v>44538</v>
      </c>
      <c r="R13087" t="s">
        <v>27253</v>
      </c>
      <c r="S13087" t="s">
        <v>27254</v>
      </c>
      <c r="T13087" t="s">
        <v>27269</v>
      </c>
    </row>
    <row r="13088" spans="1:20" x14ac:dyDescent="0.3">
      <c r="A13088" t="str">
        <f>"0611864300100"</f>
        <v>0611864300100</v>
      </c>
      <c r="B13088" t="str">
        <f>"CN5426"</f>
        <v>CN5426</v>
      </c>
      <c r="C13088" t="s">
        <v>52555</v>
      </c>
      <c r="D13088" t="s">
        <v>27335</v>
      </c>
      <c r="E13088" t="str">
        <f t="shared" si="204"/>
        <v>001390</v>
      </c>
      <c r="F13088" t="s">
        <v>27246</v>
      </c>
      <c r="G13088" t="s">
        <v>27247</v>
      </c>
      <c r="H13088" t="s">
        <v>27248</v>
      </c>
      <c r="I13088" t="s">
        <v>52556</v>
      </c>
      <c r="J13088" t="s">
        <v>26127</v>
      </c>
      <c r="L13088" t="s">
        <v>27250</v>
      </c>
      <c r="M13088" t="s">
        <v>27251</v>
      </c>
      <c r="N13088" t="s">
        <v>27252</v>
      </c>
      <c r="Q13088" s="1">
        <v>44846</v>
      </c>
      <c r="R13088" t="s">
        <v>27253</v>
      </c>
      <c r="S13088" t="s">
        <v>27254</v>
      </c>
      <c r="T13088" t="s">
        <v>27255</v>
      </c>
    </row>
    <row r="13089" spans="1:20" x14ac:dyDescent="0.3">
      <c r="A13089" t="str">
        <f>"0611864301050"</f>
        <v>0611864301050</v>
      </c>
      <c r="B13089" t="str">
        <f>"CR4514"</f>
        <v>CR4514</v>
      </c>
      <c r="C13089" t="s">
        <v>52557</v>
      </c>
      <c r="D13089" t="s">
        <v>27263</v>
      </c>
      <c r="E13089" t="str">
        <f t="shared" si="204"/>
        <v>001390</v>
      </c>
      <c r="F13089" t="s">
        <v>27246</v>
      </c>
      <c r="G13089" t="s">
        <v>27247</v>
      </c>
      <c r="H13089" t="s">
        <v>27248</v>
      </c>
      <c r="I13089" t="s">
        <v>52558</v>
      </c>
      <c r="J13089" t="s">
        <v>26129</v>
      </c>
      <c r="L13089" t="s">
        <v>27250</v>
      </c>
      <c r="M13089" t="s">
        <v>27251</v>
      </c>
      <c r="N13089" t="s">
        <v>27252</v>
      </c>
      <c r="Q13089" s="1">
        <v>44846</v>
      </c>
      <c r="R13089" t="s">
        <v>27253</v>
      </c>
      <c r="S13089" t="s">
        <v>27254</v>
      </c>
      <c r="T13089" t="s">
        <v>27265</v>
      </c>
    </row>
    <row r="13090" spans="1:20" x14ac:dyDescent="0.3">
      <c r="A13090" t="str">
        <f>"0611884497100"</f>
        <v>0611884497100</v>
      </c>
      <c r="B13090" t="str">
        <f>"LK7184"</f>
        <v>LK7184</v>
      </c>
      <c r="C13090" t="s">
        <v>52559</v>
      </c>
      <c r="D13090" t="s">
        <v>27245</v>
      </c>
      <c r="E13090" t="str">
        <f t="shared" si="204"/>
        <v>001390</v>
      </c>
      <c r="F13090" t="s">
        <v>27246</v>
      </c>
      <c r="G13090" t="s">
        <v>27247</v>
      </c>
      <c r="H13090" t="s">
        <v>27248</v>
      </c>
      <c r="I13090" t="s">
        <v>52560</v>
      </c>
      <c r="J13090" t="s">
        <v>26185</v>
      </c>
      <c r="L13090" t="s">
        <v>27430</v>
      </c>
      <c r="M13090" t="s">
        <v>27251</v>
      </c>
      <c r="N13090" t="s">
        <v>27252</v>
      </c>
      <c r="Q13090" s="1">
        <v>45250</v>
      </c>
      <c r="R13090" t="s">
        <v>27253</v>
      </c>
      <c r="S13090" t="s">
        <v>27254</v>
      </c>
      <c r="T13090" t="s">
        <v>27255</v>
      </c>
    </row>
    <row r="13091" spans="1:20" x14ac:dyDescent="0.3">
      <c r="A13091" t="str">
        <f>"0611884498100"</f>
        <v>0611884498100</v>
      </c>
      <c r="B13091" t="str">
        <f>"LK7185"</f>
        <v>LK7185</v>
      </c>
      <c r="C13091" t="s">
        <v>52561</v>
      </c>
      <c r="D13091" t="s">
        <v>27245</v>
      </c>
      <c r="E13091" t="str">
        <f t="shared" si="204"/>
        <v>001390</v>
      </c>
      <c r="F13091" t="s">
        <v>27246</v>
      </c>
      <c r="G13091" t="s">
        <v>27247</v>
      </c>
      <c r="H13091" t="s">
        <v>27248</v>
      </c>
      <c r="I13091" t="s">
        <v>52562</v>
      </c>
      <c r="J13091" t="s">
        <v>26187</v>
      </c>
      <c r="L13091" t="s">
        <v>27430</v>
      </c>
      <c r="M13091" t="s">
        <v>27251</v>
      </c>
      <c r="N13091" t="s">
        <v>27252</v>
      </c>
      <c r="Q13091" s="1">
        <v>45250</v>
      </c>
      <c r="R13091" t="s">
        <v>27253</v>
      </c>
      <c r="S13091" t="s">
        <v>27254</v>
      </c>
      <c r="T13091" t="s">
        <v>27255</v>
      </c>
    </row>
    <row r="13092" spans="1:20" x14ac:dyDescent="0.3">
      <c r="A13092" t="str">
        <f>"0611884499100"</f>
        <v>0611884499100</v>
      </c>
      <c r="B13092" t="str">
        <f>"LK7186"</f>
        <v>LK7186</v>
      </c>
      <c r="C13092" t="s">
        <v>52563</v>
      </c>
      <c r="D13092" t="s">
        <v>27245</v>
      </c>
      <c r="E13092" t="str">
        <f t="shared" si="204"/>
        <v>001390</v>
      </c>
      <c r="F13092" t="s">
        <v>27246</v>
      </c>
      <c r="G13092" t="s">
        <v>27247</v>
      </c>
      <c r="H13092" t="s">
        <v>27248</v>
      </c>
      <c r="I13092" t="s">
        <v>52564</v>
      </c>
      <c r="J13092" t="s">
        <v>26189</v>
      </c>
      <c r="L13092" t="s">
        <v>27430</v>
      </c>
      <c r="M13092" t="s">
        <v>27251</v>
      </c>
      <c r="N13092" t="s">
        <v>27252</v>
      </c>
      <c r="Q13092" s="1">
        <v>45250</v>
      </c>
      <c r="R13092" t="s">
        <v>27253</v>
      </c>
      <c r="S13092" t="s">
        <v>27254</v>
      </c>
      <c r="T13092" t="s">
        <v>27255</v>
      </c>
    </row>
    <row r="13093" spans="1:20" x14ac:dyDescent="0.3">
      <c r="A13093" t="str">
        <f>"0611884500100"</f>
        <v>0611884500100</v>
      </c>
      <c r="B13093" t="str">
        <f>"LK7187"</f>
        <v>LK7187</v>
      </c>
      <c r="C13093" t="s">
        <v>52565</v>
      </c>
      <c r="D13093" t="s">
        <v>27245</v>
      </c>
      <c r="E13093" t="str">
        <f t="shared" si="204"/>
        <v>001390</v>
      </c>
      <c r="F13093" t="s">
        <v>27246</v>
      </c>
      <c r="G13093" t="s">
        <v>27247</v>
      </c>
      <c r="H13093" t="s">
        <v>27248</v>
      </c>
      <c r="I13093" t="s">
        <v>52566</v>
      </c>
      <c r="J13093" t="s">
        <v>26191</v>
      </c>
      <c r="L13093" t="s">
        <v>27430</v>
      </c>
      <c r="M13093" t="s">
        <v>27251</v>
      </c>
      <c r="N13093" t="s">
        <v>27252</v>
      </c>
      <c r="Q13093" s="1">
        <v>45250</v>
      </c>
      <c r="R13093" t="s">
        <v>27253</v>
      </c>
      <c r="S13093" t="s">
        <v>27254</v>
      </c>
      <c r="T13093" t="s">
        <v>27255</v>
      </c>
    </row>
    <row r="13094" spans="1:20" x14ac:dyDescent="0.3">
      <c r="A13094" t="str">
        <f>"0611884501100"</f>
        <v>0611884501100</v>
      </c>
      <c r="B13094" t="str">
        <f>"LK7188"</f>
        <v>LK7188</v>
      </c>
      <c r="C13094" t="s">
        <v>52567</v>
      </c>
      <c r="D13094" t="s">
        <v>27245</v>
      </c>
      <c r="E13094" t="str">
        <f t="shared" si="204"/>
        <v>001390</v>
      </c>
      <c r="F13094" t="s">
        <v>27246</v>
      </c>
      <c r="G13094" t="s">
        <v>27247</v>
      </c>
      <c r="H13094" t="s">
        <v>27248</v>
      </c>
      <c r="I13094" t="s">
        <v>52568</v>
      </c>
      <c r="J13094" t="s">
        <v>26193</v>
      </c>
      <c r="L13094" t="s">
        <v>27430</v>
      </c>
      <c r="M13094" t="s">
        <v>27251</v>
      </c>
      <c r="N13094" t="s">
        <v>27252</v>
      </c>
      <c r="Q13094" s="1">
        <v>45250</v>
      </c>
      <c r="R13094" t="s">
        <v>27253</v>
      </c>
      <c r="S13094" t="s">
        <v>27254</v>
      </c>
      <c r="T13094" t="s">
        <v>27255</v>
      </c>
    </row>
    <row r="13095" spans="1:20" x14ac:dyDescent="0.3">
      <c r="A13095" t="str">
        <f>"0611884502100"</f>
        <v>0611884502100</v>
      </c>
      <c r="B13095" t="str">
        <f>"LK7189"</f>
        <v>LK7189</v>
      </c>
      <c r="C13095" t="s">
        <v>52569</v>
      </c>
      <c r="D13095" t="s">
        <v>27245</v>
      </c>
      <c r="E13095" t="str">
        <f t="shared" si="204"/>
        <v>001390</v>
      </c>
      <c r="F13095" t="s">
        <v>27246</v>
      </c>
      <c r="G13095" t="s">
        <v>27247</v>
      </c>
      <c r="H13095" t="s">
        <v>27248</v>
      </c>
      <c r="I13095" t="s">
        <v>52570</v>
      </c>
      <c r="J13095" t="s">
        <v>26195</v>
      </c>
      <c r="L13095" t="s">
        <v>27430</v>
      </c>
      <c r="M13095" t="s">
        <v>27251</v>
      </c>
      <c r="N13095" t="s">
        <v>27252</v>
      </c>
      <c r="Q13095" s="1">
        <v>45250</v>
      </c>
      <c r="R13095" t="s">
        <v>27253</v>
      </c>
      <c r="S13095" t="s">
        <v>27254</v>
      </c>
      <c r="T13095" t="s">
        <v>27255</v>
      </c>
    </row>
    <row r="13096" spans="1:20" x14ac:dyDescent="0.3">
      <c r="A13096" t="str">
        <f>"0611884503100"</f>
        <v>0611884503100</v>
      </c>
      <c r="B13096" t="str">
        <f>"LK7190"</f>
        <v>LK7190</v>
      </c>
      <c r="C13096" t="s">
        <v>52571</v>
      </c>
      <c r="D13096" t="s">
        <v>27245</v>
      </c>
      <c r="E13096" t="str">
        <f t="shared" si="204"/>
        <v>001390</v>
      </c>
      <c r="F13096" t="s">
        <v>27246</v>
      </c>
      <c r="G13096" t="s">
        <v>27247</v>
      </c>
      <c r="H13096" t="s">
        <v>27248</v>
      </c>
      <c r="I13096" t="s">
        <v>52572</v>
      </c>
      <c r="J13096" t="s">
        <v>26197</v>
      </c>
      <c r="L13096" t="s">
        <v>27430</v>
      </c>
      <c r="M13096" t="s">
        <v>27251</v>
      </c>
      <c r="N13096" t="s">
        <v>27252</v>
      </c>
      <c r="Q13096" s="1">
        <v>45250</v>
      </c>
      <c r="R13096" t="s">
        <v>27253</v>
      </c>
      <c r="S13096" t="s">
        <v>27254</v>
      </c>
      <c r="T13096" t="s">
        <v>27255</v>
      </c>
    </row>
    <row r="13097" spans="1:20" x14ac:dyDescent="0.3">
      <c r="A13097" t="str">
        <f>"0611884504100"</f>
        <v>0611884504100</v>
      </c>
      <c r="B13097" t="str">
        <f>"LK7191"</f>
        <v>LK7191</v>
      </c>
      <c r="C13097" t="s">
        <v>52573</v>
      </c>
      <c r="D13097" t="s">
        <v>27245</v>
      </c>
      <c r="E13097" t="str">
        <f t="shared" si="204"/>
        <v>001390</v>
      </c>
      <c r="F13097" t="s">
        <v>27246</v>
      </c>
      <c r="G13097" t="s">
        <v>27247</v>
      </c>
      <c r="H13097" t="s">
        <v>27248</v>
      </c>
      <c r="I13097" t="s">
        <v>52574</v>
      </c>
      <c r="J13097" t="s">
        <v>26199</v>
      </c>
      <c r="L13097" t="s">
        <v>27430</v>
      </c>
      <c r="M13097" t="s">
        <v>27251</v>
      </c>
      <c r="N13097" t="s">
        <v>27252</v>
      </c>
      <c r="Q13097" s="1">
        <v>45250</v>
      </c>
      <c r="R13097" t="s">
        <v>27253</v>
      </c>
      <c r="S13097" t="s">
        <v>27254</v>
      </c>
      <c r="T13097" t="s">
        <v>27255</v>
      </c>
    </row>
    <row r="13098" spans="1:20" x14ac:dyDescent="0.3">
      <c r="A13098" t="str">
        <f>"0611884505100"</f>
        <v>0611884505100</v>
      </c>
      <c r="B13098" t="str">
        <f>"LK7192"</f>
        <v>LK7192</v>
      </c>
      <c r="C13098" t="s">
        <v>52575</v>
      </c>
      <c r="D13098" t="s">
        <v>27245</v>
      </c>
      <c r="E13098" t="str">
        <f t="shared" si="204"/>
        <v>001390</v>
      </c>
      <c r="F13098" t="s">
        <v>27246</v>
      </c>
      <c r="G13098" t="s">
        <v>27247</v>
      </c>
      <c r="H13098" t="s">
        <v>27248</v>
      </c>
      <c r="I13098" t="s">
        <v>52576</v>
      </c>
      <c r="J13098" t="s">
        <v>26201</v>
      </c>
      <c r="L13098" t="s">
        <v>27430</v>
      </c>
      <c r="M13098" t="s">
        <v>27251</v>
      </c>
      <c r="N13098" t="s">
        <v>27252</v>
      </c>
      <c r="Q13098" s="1">
        <v>45250</v>
      </c>
      <c r="R13098" t="s">
        <v>27253</v>
      </c>
      <c r="S13098" t="s">
        <v>27254</v>
      </c>
      <c r="T13098" t="s">
        <v>27255</v>
      </c>
    </row>
    <row r="13099" spans="1:20" x14ac:dyDescent="0.3">
      <c r="A13099" t="str">
        <f>"0611884506100"</f>
        <v>0611884506100</v>
      </c>
      <c r="B13099" t="str">
        <f>"LK7193"</f>
        <v>LK7193</v>
      </c>
      <c r="C13099" t="s">
        <v>52577</v>
      </c>
      <c r="D13099" t="s">
        <v>27245</v>
      </c>
      <c r="E13099" t="str">
        <f t="shared" si="204"/>
        <v>001390</v>
      </c>
      <c r="F13099" t="s">
        <v>27246</v>
      </c>
      <c r="G13099" t="s">
        <v>27247</v>
      </c>
      <c r="H13099" t="s">
        <v>27248</v>
      </c>
      <c r="I13099" t="s">
        <v>52578</v>
      </c>
      <c r="J13099" t="s">
        <v>26203</v>
      </c>
      <c r="L13099" t="s">
        <v>27430</v>
      </c>
      <c r="M13099" t="s">
        <v>27251</v>
      </c>
      <c r="N13099" t="s">
        <v>27252</v>
      </c>
      <c r="Q13099" s="1">
        <v>45250</v>
      </c>
      <c r="R13099" t="s">
        <v>27253</v>
      </c>
      <c r="S13099" t="s">
        <v>27254</v>
      </c>
      <c r="T13099" t="s">
        <v>27255</v>
      </c>
    </row>
    <row r="13100" spans="1:20" x14ac:dyDescent="0.3">
      <c r="A13100" t="str">
        <f>"0611832726100"</f>
        <v>0611832726100</v>
      </c>
      <c r="B13100" t="str">
        <f>"LK1010"</f>
        <v>LK1010</v>
      </c>
      <c r="C13100" t="s">
        <v>52579</v>
      </c>
      <c r="D13100" t="s">
        <v>28138</v>
      </c>
      <c r="E13100" t="str">
        <f t="shared" si="204"/>
        <v>001390</v>
      </c>
      <c r="F13100" t="s">
        <v>27246</v>
      </c>
      <c r="G13100" t="s">
        <v>27247</v>
      </c>
      <c r="H13100" t="s">
        <v>27248</v>
      </c>
      <c r="I13100" t="s">
        <v>52580</v>
      </c>
      <c r="J13100" t="s">
        <v>26205</v>
      </c>
      <c r="L13100" t="s">
        <v>27250</v>
      </c>
      <c r="M13100" t="s">
        <v>27251</v>
      </c>
      <c r="N13100" t="s">
        <v>27252</v>
      </c>
      <c r="P13100" t="s">
        <v>27925</v>
      </c>
      <c r="Q13100" s="1">
        <v>44538</v>
      </c>
      <c r="R13100" t="s">
        <v>27253</v>
      </c>
      <c r="S13100" t="s">
        <v>27254</v>
      </c>
      <c r="T13100" t="s">
        <v>27255</v>
      </c>
    </row>
    <row r="13101" spans="1:20" x14ac:dyDescent="0.3">
      <c r="A13101" t="str">
        <f>"0611832727100"</f>
        <v>0611832727100</v>
      </c>
      <c r="B13101" t="str">
        <f>"LK1077"</f>
        <v>LK1077</v>
      </c>
      <c r="C13101" t="s">
        <v>52581</v>
      </c>
      <c r="D13101" t="s">
        <v>28138</v>
      </c>
      <c r="E13101" t="str">
        <f t="shared" si="204"/>
        <v>001390</v>
      </c>
      <c r="F13101" t="s">
        <v>27246</v>
      </c>
      <c r="G13101" t="s">
        <v>27247</v>
      </c>
      <c r="H13101" t="s">
        <v>27248</v>
      </c>
      <c r="I13101" t="s">
        <v>52582</v>
      </c>
      <c r="J13101" t="s">
        <v>26207</v>
      </c>
      <c r="L13101" t="s">
        <v>27250</v>
      </c>
      <c r="M13101" t="s">
        <v>27251</v>
      </c>
      <c r="N13101" t="s">
        <v>27252</v>
      </c>
      <c r="P13101" t="s">
        <v>27925</v>
      </c>
      <c r="Q13101" s="1">
        <v>44538</v>
      </c>
      <c r="R13101" t="s">
        <v>27253</v>
      </c>
      <c r="S13101" t="s">
        <v>27254</v>
      </c>
      <c r="T13101" t="s">
        <v>27255</v>
      </c>
    </row>
    <row r="13102" spans="1:20" x14ac:dyDescent="0.3">
      <c r="A13102" t="str">
        <f>"0611832728100"</f>
        <v>0611832728100</v>
      </c>
      <c r="B13102" t="str">
        <f>"LK1011"</f>
        <v>LK1011</v>
      </c>
      <c r="C13102" t="s">
        <v>52583</v>
      </c>
      <c r="D13102" t="s">
        <v>28138</v>
      </c>
      <c r="E13102" t="str">
        <f t="shared" si="204"/>
        <v>001390</v>
      </c>
      <c r="F13102" t="s">
        <v>27246</v>
      </c>
      <c r="G13102" t="s">
        <v>27247</v>
      </c>
      <c r="H13102" t="s">
        <v>27248</v>
      </c>
      <c r="I13102" t="s">
        <v>52584</v>
      </c>
      <c r="J13102" t="s">
        <v>26209</v>
      </c>
      <c r="L13102" t="s">
        <v>27250</v>
      </c>
      <c r="M13102" t="s">
        <v>27251</v>
      </c>
      <c r="N13102" t="s">
        <v>27252</v>
      </c>
      <c r="P13102" t="s">
        <v>27925</v>
      </c>
      <c r="Q13102" s="1">
        <v>44538</v>
      </c>
      <c r="R13102" t="s">
        <v>27253</v>
      </c>
      <c r="S13102" t="s">
        <v>27254</v>
      </c>
      <c r="T13102" t="s">
        <v>27255</v>
      </c>
    </row>
    <row r="13103" spans="1:20" x14ac:dyDescent="0.3">
      <c r="A13103" t="str">
        <f>"0611832729100"</f>
        <v>0611832729100</v>
      </c>
      <c r="B13103" t="str">
        <f>"LK4104"</f>
        <v>LK4104</v>
      </c>
      <c r="C13103" t="s">
        <v>52585</v>
      </c>
      <c r="D13103" t="s">
        <v>28138</v>
      </c>
      <c r="E13103" t="str">
        <f t="shared" si="204"/>
        <v>001390</v>
      </c>
      <c r="F13103" t="s">
        <v>27246</v>
      </c>
      <c r="G13103" t="s">
        <v>27247</v>
      </c>
      <c r="H13103" t="s">
        <v>27248</v>
      </c>
      <c r="I13103" t="s">
        <v>52586</v>
      </c>
      <c r="J13103" t="s">
        <v>26211</v>
      </c>
      <c r="L13103" t="s">
        <v>27250</v>
      </c>
      <c r="M13103" t="s">
        <v>27251</v>
      </c>
      <c r="N13103" t="s">
        <v>27252</v>
      </c>
      <c r="P13103" t="s">
        <v>27925</v>
      </c>
      <c r="Q13103" s="1">
        <v>44538</v>
      </c>
      <c r="R13103" t="s">
        <v>27253</v>
      </c>
      <c r="S13103" t="s">
        <v>27254</v>
      </c>
      <c r="T13103" t="s">
        <v>27255</v>
      </c>
    </row>
    <row r="13104" spans="1:20" x14ac:dyDescent="0.3">
      <c r="A13104" t="str">
        <f>"0611832730100"</f>
        <v>0611832730100</v>
      </c>
      <c r="B13104" t="str">
        <f>"LK4544"</f>
        <v>LK4544</v>
      </c>
      <c r="C13104" t="s">
        <v>52587</v>
      </c>
      <c r="D13104" t="s">
        <v>28138</v>
      </c>
      <c r="E13104" t="str">
        <f t="shared" si="204"/>
        <v>001390</v>
      </c>
      <c r="F13104" t="s">
        <v>27246</v>
      </c>
      <c r="G13104" t="s">
        <v>27247</v>
      </c>
      <c r="H13104" t="s">
        <v>27248</v>
      </c>
      <c r="I13104" t="s">
        <v>52588</v>
      </c>
      <c r="J13104" t="s">
        <v>26213</v>
      </c>
      <c r="L13104" t="s">
        <v>27250</v>
      </c>
      <c r="M13104" t="s">
        <v>27251</v>
      </c>
      <c r="N13104" t="s">
        <v>27252</v>
      </c>
      <c r="P13104" t="s">
        <v>27925</v>
      </c>
      <c r="Q13104" s="1">
        <v>44538</v>
      </c>
      <c r="R13104" t="s">
        <v>27253</v>
      </c>
      <c r="S13104" t="s">
        <v>27254</v>
      </c>
      <c r="T13104" t="s">
        <v>27255</v>
      </c>
    </row>
    <row r="13105" spans="1:20" x14ac:dyDescent="0.3">
      <c r="A13105" t="str">
        <f>"0611832731100"</f>
        <v>0611832731100</v>
      </c>
      <c r="B13105" t="str">
        <f>"LK5151"</f>
        <v>LK5151</v>
      </c>
      <c r="C13105" t="s">
        <v>52589</v>
      </c>
      <c r="D13105" t="s">
        <v>28138</v>
      </c>
      <c r="E13105" t="str">
        <f t="shared" si="204"/>
        <v>001390</v>
      </c>
      <c r="F13105" t="s">
        <v>27246</v>
      </c>
      <c r="G13105" t="s">
        <v>27247</v>
      </c>
      <c r="H13105" t="s">
        <v>27248</v>
      </c>
      <c r="I13105" t="s">
        <v>52590</v>
      </c>
      <c r="J13105" t="s">
        <v>26215</v>
      </c>
      <c r="L13105" t="s">
        <v>27250</v>
      </c>
      <c r="M13105" t="s">
        <v>27251</v>
      </c>
      <c r="N13105" t="s">
        <v>27252</v>
      </c>
      <c r="P13105" t="s">
        <v>27925</v>
      </c>
      <c r="Q13105" s="1">
        <v>44538</v>
      </c>
      <c r="R13105" t="s">
        <v>27253</v>
      </c>
      <c r="S13105" t="s">
        <v>27254</v>
      </c>
      <c r="T13105" t="s">
        <v>27255</v>
      </c>
    </row>
    <row r="13106" spans="1:20" x14ac:dyDescent="0.3">
      <c r="A13106" t="str">
        <f>"0611832732100"</f>
        <v>0611832732100</v>
      </c>
      <c r="B13106" t="str">
        <f>"LK1012"</f>
        <v>LK1012</v>
      </c>
      <c r="C13106" t="s">
        <v>52591</v>
      </c>
      <c r="D13106" t="s">
        <v>28138</v>
      </c>
      <c r="E13106" t="str">
        <f t="shared" si="204"/>
        <v>001390</v>
      </c>
      <c r="F13106" t="s">
        <v>27246</v>
      </c>
      <c r="G13106" t="s">
        <v>27247</v>
      </c>
      <c r="H13106" t="s">
        <v>27248</v>
      </c>
      <c r="I13106" t="s">
        <v>52592</v>
      </c>
      <c r="J13106" t="s">
        <v>26217</v>
      </c>
      <c r="L13106" t="s">
        <v>27250</v>
      </c>
      <c r="M13106" t="s">
        <v>27251</v>
      </c>
      <c r="N13106" t="s">
        <v>27252</v>
      </c>
      <c r="P13106" t="s">
        <v>27925</v>
      </c>
      <c r="Q13106" s="1">
        <v>44538</v>
      </c>
      <c r="R13106" t="s">
        <v>27253</v>
      </c>
      <c r="S13106" t="s">
        <v>27254</v>
      </c>
      <c r="T13106" t="s">
        <v>27255</v>
      </c>
    </row>
    <row r="13107" spans="1:20" x14ac:dyDescent="0.3">
      <c r="A13107" t="str">
        <f>"0611832733100"</f>
        <v>0611832733100</v>
      </c>
      <c r="B13107" t="str">
        <f>"LK4383"</f>
        <v>LK4383</v>
      </c>
      <c r="C13107" t="s">
        <v>52593</v>
      </c>
      <c r="D13107" t="s">
        <v>28138</v>
      </c>
      <c r="E13107" t="str">
        <f t="shared" si="204"/>
        <v>001390</v>
      </c>
      <c r="F13107" t="s">
        <v>27246</v>
      </c>
      <c r="G13107" t="s">
        <v>27247</v>
      </c>
      <c r="H13107" t="s">
        <v>27248</v>
      </c>
      <c r="I13107" t="s">
        <v>52594</v>
      </c>
      <c r="J13107" t="s">
        <v>26219</v>
      </c>
      <c r="L13107" t="s">
        <v>27250</v>
      </c>
      <c r="M13107" t="s">
        <v>27251</v>
      </c>
      <c r="N13107" t="s">
        <v>27252</v>
      </c>
      <c r="P13107" t="s">
        <v>27925</v>
      </c>
      <c r="Q13107" s="1">
        <v>44538</v>
      </c>
      <c r="R13107" t="s">
        <v>27253</v>
      </c>
      <c r="S13107" t="s">
        <v>27254</v>
      </c>
      <c r="T13107" t="s">
        <v>27255</v>
      </c>
    </row>
    <row r="13108" spans="1:20" x14ac:dyDescent="0.3">
      <c r="A13108" t="str">
        <f>"0611832736100"</f>
        <v>0611832736100</v>
      </c>
      <c r="B13108" t="str">
        <f>"LK3538"</f>
        <v>LK3538</v>
      </c>
      <c r="C13108" t="s">
        <v>52595</v>
      </c>
      <c r="D13108" t="s">
        <v>28138</v>
      </c>
      <c r="E13108" t="str">
        <f t="shared" si="204"/>
        <v>001390</v>
      </c>
      <c r="F13108" t="s">
        <v>27246</v>
      </c>
      <c r="G13108" t="s">
        <v>27247</v>
      </c>
      <c r="H13108" t="s">
        <v>27248</v>
      </c>
      <c r="I13108" t="s">
        <v>52596</v>
      </c>
      <c r="J13108" t="s">
        <v>26221</v>
      </c>
      <c r="L13108" t="s">
        <v>27250</v>
      </c>
      <c r="M13108" t="s">
        <v>27251</v>
      </c>
      <c r="N13108" t="s">
        <v>27252</v>
      </c>
      <c r="P13108" t="s">
        <v>27925</v>
      </c>
      <c r="Q13108" s="1">
        <v>44538</v>
      </c>
      <c r="R13108" t="s">
        <v>27253</v>
      </c>
      <c r="S13108" t="s">
        <v>27254</v>
      </c>
      <c r="T13108" t="s">
        <v>27255</v>
      </c>
    </row>
    <row r="13109" spans="1:20" x14ac:dyDescent="0.3">
      <c r="A13109" t="str">
        <f>"0611832737100"</f>
        <v>0611832737100</v>
      </c>
      <c r="B13109" t="str">
        <f>"LK4545"</f>
        <v>LK4545</v>
      </c>
      <c r="C13109" t="s">
        <v>52597</v>
      </c>
      <c r="D13109" t="s">
        <v>28138</v>
      </c>
      <c r="E13109" t="str">
        <f t="shared" si="204"/>
        <v>001390</v>
      </c>
      <c r="F13109" t="s">
        <v>27246</v>
      </c>
      <c r="G13109" t="s">
        <v>27247</v>
      </c>
      <c r="H13109" t="s">
        <v>27248</v>
      </c>
      <c r="I13109" t="s">
        <v>52598</v>
      </c>
      <c r="J13109" t="s">
        <v>26223</v>
      </c>
      <c r="L13109" t="s">
        <v>27250</v>
      </c>
      <c r="M13109" t="s">
        <v>27251</v>
      </c>
      <c r="N13109" t="s">
        <v>27252</v>
      </c>
      <c r="P13109" t="s">
        <v>27925</v>
      </c>
      <c r="Q13109" s="1">
        <v>44538</v>
      </c>
      <c r="R13109" t="s">
        <v>27253</v>
      </c>
      <c r="S13109" t="s">
        <v>27254</v>
      </c>
      <c r="T13109" t="s">
        <v>27255</v>
      </c>
    </row>
    <row r="13110" spans="1:20" x14ac:dyDescent="0.3">
      <c r="A13110" t="str">
        <f>"0611832738100"</f>
        <v>0611832738100</v>
      </c>
      <c r="B13110" t="str">
        <f>"LK3054"</f>
        <v>LK3054</v>
      </c>
      <c r="C13110" t="s">
        <v>52599</v>
      </c>
      <c r="D13110" t="s">
        <v>28138</v>
      </c>
      <c r="E13110" t="str">
        <f t="shared" si="204"/>
        <v>001390</v>
      </c>
      <c r="F13110" t="s">
        <v>27246</v>
      </c>
      <c r="G13110" t="s">
        <v>27247</v>
      </c>
      <c r="H13110" t="s">
        <v>27248</v>
      </c>
      <c r="I13110" t="s">
        <v>52600</v>
      </c>
      <c r="J13110" t="s">
        <v>26225</v>
      </c>
      <c r="L13110" t="s">
        <v>27250</v>
      </c>
      <c r="M13110" t="s">
        <v>27251</v>
      </c>
      <c r="N13110" t="s">
        <v>27252</v>
      </c>
      <c r="P13110" t="s">
        <v>27925</v>
      </c>
      <c r="Q13110" s="1">
        <v>44538</v>
      </c>
      <c r="R13110" t="s">
        <v>27253</v>
      </c>
      <c r="S13110" t="s">
        <v>27254</v>
      </c>
      <c r="T13110" t="s">
        <v>27255</v>
      </c>
    </row>
    <row r="13111" spans="1:20" x14ac:dyDescent="0.3">
      <c r="A13111" t="str">
        <f>"0611832739100"</f>
        <v>0611832739100</v>
      </c>
      <c r="B13111" t="str">
        <f>"LK5530"</f>
        <v>LK5530</v>
      </c>
      <c r="C13111" t="s">
        <v>52601</v>
      </c>
      <c r="D13111" t="s">
        <v>28138</v>
      </c>
      <c r="E13111" t="str">
        <f t="shared" si="204"/>
        <v>001390</v>
      </c>
      <c r="F13111" t="s">
        <v>27246</v>
      </c>
      <c r="G13111" t="s">
        <v>27247</v>
      </c>
      <c r="H13111" t="s">
        <v>27248</v>
      </c>
      <c r="I13111" t="s">
        <v>52602</v>
      </c>
      <c r="J13111" t="s">
        <v>26227</v>
      </c>
      <c r="L13111" t="s">
        <v>27250</v>
      </c>
      <c r="M13111" t="s">
        <v>27251</v>
      </c>
      <c r="N13111" t="s">
        <v>27252</v>
      </c>
      <c r="P13111" t="s">
        <v>27925</v>
      </c>
      <c r="Q13111" s="1">
        <v>44538</v>
      </c>
      <c r="R13111" t="s">
        <v>27253</v>
      </c>
      <c r="S13111" t="s">
        <v>27254</v>
      </c>
      <c r="T13111" t="s">
        <v>27255</v>
      </c>
    </row>
    <row r="13112" spans="1:20" x14ac:dyDescent="0.3">
      <c r="A13112" t="str">
        <f>"0611832740100"</f>
        <v>0611832740100</v>
      </c>
      <c r="B13112" t="str">
        <f>"LK1015"</f>
        <v>LK1015</v>
      </c>
      <c r="C13112" t="s">
        <v>52603</v>
      </c>
      <c r="D13112" t="s">
        <v>28138</v>
      </c>
      <c r="E13112" t="str">
        <f t="shared" si="204"/>
        <v>001390</v>
      </c>
      <c r="F13112" t="s">
        <v>27246</v>
      </c>
      <c r="G13112" t="s">
        <v>27247</v>
      </c>
      <c r="H13112" t="s">
        <v>27248</v>
      </c>
      <c r="I13112" t="s">
        <v>52604</v>
      </c>
      <c r="J13112" t="s">
        <v>26229</v>
      </c>
      <c r="L13112" t="s">
        <v>27250</v>
      </c>
      <c r="M13112" t="s">
        <v>27251</v>
      </c>
      <c r="N13112" t="s">
        <v>27252</v>
      </c>
      <c r="P13112" t="s">
        <v>27925</v>
      </c>
      <c r="Q13112" s="1">
        <v>44538</v>
      </c>
      <c r="R13112" t="s">
        <v>27253</v>
      </c>
      <c r="S13112" t="s">
        <v>27254</v>
      </c>
      <c r="T13112" t="s">
        <v>27255</v>
      </c>
    </row>
    <row r="13113" spans="1:20" x14ac:dyDescent="0.3">
      <c r="A13113" t="str">
        <f>"0611832741100"</f>
        <v>0611832741100</v>
      </c>
      <c r="B13113" t="str">
        <f>"LK1016"</f>
        <v>LK1016</v>
      </c>
      <c r="C13113" t="s">
        <v>52605</v>
      </c>
      <c r="D13113" t="s">
        <v>28138</v>
      </c>
      <c r="E13113" t="str">
        <f t="shared" si="204"/>
        <v>001390</v>
      </c>
      <c r="F13113" t="s">
        <v>27246</v>
      </c>
      <c r="G13113" t="s">
        <v>27247</v>
      </c>
      <c r="H13113" t="s">
        <v>27248</v>
      </c>
      <c r="I13113" t="s">
        <v>52606</v>
      </c>
      <c r="J13113" t="s">
        <v>26231</v>
      </c>
      <c r="L13113" t="s">
        <v>27250</v>
      </c>
      <c r="M13113" t="s">
        <v>27251</v>
      </c>
      <c r="N13113" t="s">
        <v>27252</v>
      </c>
      <c r="P13113" t="s">
        <v>27925</v>
      </c>
      <c r="Q13113" s="1">
        <v>44538</v>
      </c>
      <c r="R13113" t="s">
        <v>27253</v>
      </c>
      <c r="S13113" t="s">
        <v>27254</v>
      </c>
      <c r="T13113" t="s">
        <v>27255</v>
      </c>
    </row>
    <row r="13114" spans="1:20" x14ac:dyDescent="0.3">
      <c r="A13114" t="str">
        <f>"0611832742100"</f>
        <v>0611832742100</v>
      </c>
      <c r="B13114" t="str">
        <f>"LK6885"</f>
        <v>LK6885</v>
      </c>
      <c r="C13114" t="s">
        <v>52607</v>
      </c>
      <c r="D13114" t="s">
        <v>27245</v>
      </c>
      <c r="E13114" t="str">
        <f t="shared" si="204"/>
        <v>001390</v>
      </c>
      <c r="F13114" t="s">
        <v>27246</v>
      </c>
      <c r="G13114" t="s">
        <v>27247</v>
      </c>
      <c r="H13114" t="s">
        <v>27248</v>
      </c>
      <c r="I13114" t="s">
        <v>52608</v>
      </c>
      <c r="J13114" t="s">
        <v>26233</v>
      </c>
      <c r="L13114" t="s">
        <v>27250</v>
      </c>
      <c r="M13114" t="s">
        <v>27251</v>
      </c>
      <c r="N13114" t="s">
        <v>27252</v>
      </c>
      <c r="Q13114" s="1">
        <v>44538</v>
      </c>
      <c r="R13114" t="s">
        <v>27253</v>
      </c>
      <c r="S13114" t="s">
        <v>27254</v>
      </c>
      <c r="T13114" t="s">
        <v>27255</v>
      </c>
    </row>
    <row r="13115" spans="1:20" x14ac:dyDescent="0.3">
      <c r="A13115" t="str">
        <f>"0611832743100"</f>
        <v>0611832743100</v>
      </c>
      <c r="B13115" t="str">
        <f>"LK6477"</f>
        <v>LK6477</v>
      </c>
      <c r="C13115" t="s">
        <v>52609</v>
      </c>
      <c r="D13115" t="s">
        <v>27245</v>
      </c>
      <c r="E13115" t="str">
        <f t="shared" si="204"/>
        <v>001390</v>
      </c>
      <c r="F13115" t="s">
        <v>27246</v>
      </c>
      <c r="G13115" t="s">
        <v>27247</v>
      </c>
      <c r="H13115" t="s">
        <v>27248</v>
      </c>
      <c r="I13115" t="s">
        <v>52610</v>
      </c>
      <c r="J13115" t="s">
        <v>26235</v>
      </c>
      <c r="L13115" t="s">
        <v>27250</v>
      </c>
      <c r="M13115" t="s">
        <v>27251</v>
      </c>
      <c r="N13115" t="s">
        <v>27252</v>
      </c>
      <c r="Q13115" s="1">
        <v>44538</v>
      </c>
      <c r="R13115" t="s">
        <v>27253</v>
      </c>
      <c r="S13115" t="s">
        <v>27254</v>
      </c>
      <c r="T13115" t="s">
        <v>27255</v>
      </c>
    </row>
    <row r="13116" spans="1:20" x14ac:dyDescent="0.3">
      <c r="A13116" t="str">
        <f>"0611832744100"</f>
        <v>0611832744100</v>
      </c>
      <c r="B13116" t="str">
        <f>"LK6886"</f>
        <v>LK6886</v>
      </c>
      <c r="C13116" t="s">
        <v>52611</v>
      </c>
      <c r="D13116" t="s">
        <v>27245</v>
      </c>
      <c r="E13116" t="str">
        <f t="shared" si="204"/>
        <v>001390</v>
      </c>
      <c r="F13116" t="s">
        <v>27246</v>
      </c>
      <c r="G13116" t="s">
        <v>27247</v>
      </c>
      <c r="H13116" t="s">
        <v>27248</v>
      </c>
      <c r="I13116" t="s">
        <v>52612</v>
      </c>
      <c r="J13116" t="s">
        <v>26237</v>
      </c>
      <c r="L13116" t="s">
        <v>27250</v>
      </c>
      <c r="M13116" t="s">
        <v>27251</v>
      </c>
      <c r="N13116" t="s">
        <v>27252</v>
      </c>
      <c r="Q13116" s="1">
        <v>44538</v>
      </c>
      <c r="R13116" t="s">
        <v>27253</v>
      </c>
      <c r="S13116" t="s">
        <v>27254</v>
      </c>
      <c r="T13116" t="s">
        <v>27255</v>
      </c>
    </row>
    <row r="13117" spans="1:20" x14ac:dyDescent="0.3">
      <c r="A13117" t="str">
        <f>"0611857175100"</f>
        <v>0611857175100</v>
      </c>
      <c r="B13117" t="str">
        <f>"LK7109"</f>
        <v>LK7109</v>
      </c>
      <c r="C13117" t="s">
        <v>52613</v>
      </c>
      <c r="D13117" t="s">
        <v>27245</v>
      </c>
      <c r="E13117" t="str">
        <f t="shared" si="204"/>
        <v>001390</v>
      </c>
      <c r="F13117" t="s">
        <v>27246</v>
      </c>
      <c r="G13117" t="s">
        <v>27247</v>
      </c>
      <c r="H13117" t="s">
        <v>27248</v>
      </c>
      <c r="I13117" t="s">
        <v>52614</v>
      </c>
      <c r="J13117" t="s">
        <v>26239</v>
      </c>
      <c r="L13117" t="s">
        <v>27250</v>
      </c>
      <c r="M13117" t="s">
        <v>27251</v>
      </c>
      <c r="N13117" t="s">
        <v>27252</v>
      </c>
      <c r="Q13117" s="1">
        <v>44812</v>
      </c>
      <c r="R13117" t="s">
        <v>27253</v>
      </c>
      <c r="S13117" t="s">
        <v>27254</v>
      </c>
      <c r="T13117" t="s">
        <v>27255</v>
      </c>
    </row>
    <row r="13118" spans="1:20" x14ac:dyDescent="0.3">
      <c r="A13118" t="str">
        <f>"0611832745100"</f>
        <v>0611832745100</v>
      </c>
      <c r="B13118" t="str">
        <f>"LK6478"</f>
        <v>LK6478</v>
      </c>
      <c r="C13118" t="s">
        <v>52615</v>
      </c>
      <c r="D13118" t="s">
        <v>27245</v>
      </c>
      <c r="E13118" t="str">
        <f t="shared" si="204"/>
        <v>001390</v>
      </c>
      <c r="F13118" t="s">
        <v>27246</v>
      </c>
      <c r="G13118" t="s">
        <v>27247</v>
      </c>
      <c r="H13118" t="s">
        <v>27248</v>
      </c>
      <c r="I13118" t="s">
        <v>52616</v>
      </c>
      <c r="J13118" t="s">
        <v>26241</v>
      </c>
      <c r="L13118" t="s">
        <v>27250</v>
      </c>
      <c r="M13118" t="s">
        <v>27251</v>
      </c>
      <c r="N13118" t="s">
        <v>27252</v>
      </c>
      <c r="Q13118" s="1">
        <v>44538</v>
      </c>
      <c r="R13118" t="s">
        <v>27253</v>
      </c>
      <c r="S13118" t="s">
        <v>27254</v>
      </c>
      <c r="T13118" t="s">
        <v>27255</v>
      </c>
    </row>
    <row r="13119" spans="1:20" x14ac:dyDescent="0.3">
      <c r="A13119" t="str">
        <f>"0611832746100"</f>
        <v>0611832746100</v>
      </c>
      <c r="B13119" t="str">
        <f>"LK6479"</f>
        <v>LK6479</v>
      </c>
      <c r="C13119" t="s">
        <v>52617</v>
      </c>
      <c r="D13119" t="s">
        <v>27245</v>
      </c>
      <c r="E13119" t="str">
        <f t="shared" si="204"/>
        <v>001390</v>
      </c>
      <c r="F13119" t="s">
        <v>27246</v>
      </c>
      <c r="G13119" t="s">
        <v>27247</v>
      </c>
      <c r="H13119" t="s">
        <v>27248</v>
      </c>
      <c r="I13119" t="s">
        <v>52618</v>
      </c>
      <c r="J13119" t="s">
        <v>26243</v>
      </c>
      <c r="L13119" t="s">
        <v>27250</v>
      </c>
      <c r="M13119" t="s">
        <v>27251</v>
      </c>
      <c r="N13119" t="s">
        <v>27252</v>
      </c>
      <c r="Q13119" s="1">
        <v>44538</v>
      </c>
      <c r="R13119" t="s">
        <v>27253</v>
      </c>
      <c r="S13119" t="s">
        <v>27254</v>
      </c>
      <c r="T13119" t="s">
        <v>27255</v>
      </c>
    </row>
    <row r="13120" spans="1:20" x14ac:dyDescent="0.3">
      <c r="A13120" t="str">
        <f>"0611832747100"</f>
        <v>0611832747100</v>
      </c>
      <c r="B13120" t="str">
        <f>"LK6480"</f>
        <v>LK6480</v>
      </c>
      <c r="C13120" t="s">
        <v>52619</v>
      </c>
      <c r="D13120" t="s">
        <v>27245</v>
      </c>
      <c r="E13120" t="str">
        <f t="shared" si="204"/>
        <v>001390</v>
      </c>
      <c r="F13120" t="s">
        <v>27246</v>
      </c>
      <c r="G13120" t="s">
        <v>27247</v>
      </c>
      <c r="H13120" t="s">
        <v>27248</v>
      </c>
      <c r="I13120" t="s">
        <v>52620</v>
      </c>
      <c r="J13120" t="s">
        <v>26245</v>
      </c>
      <c r="L13120" t="s">
        <v>27250</v>
      </c>
      <c r="M13120" t="s">
        <v>27251</v>
      </c>
      <c r="N13120" t="s">
        <v>27252</v>
      </c>
      <c r="Q13120" s="1">
        <v>44538</v>
      </c>
      <c r="R13120" t="s">
        <v>27253</v>
      </c>
      <c r="S13120" t="s">
        <v>27254</v>
      </c>
      <c r="T13120" t="s">
        <v>27255</v>
      </c>
    </row>
    <row r="13121" spans="1:20" x14ac:dyDescent="0.3">
      <c r="A13121" t="str">
        <f>"0611832748100"</f>
        <v>0611832748100</v>
      </c>
      <c r="B13121" t="str">
        <f>"LK4384"</f>
        <v>LK4384</v>
      </c>
      <c r="C13121" t="s">
        <v>52621</v>
      </c>
      <c r="D13121" t="s">
        <v>27245</v>
      </c>
      <c r="E13121" t="str">
        <f t="shared" si="204"/>
        <v>001390</v>
      </c>
      <c r="F13121" t="s">
        <v>27246</v>
      </c>
      <c r="G13121" t="s">
        <v>27247</v>
      </c>
      <c r="H13121" t="s">
        <v>27248</v>
      </c>
      <c r="I13121" t="s">
        <v>52622</v>
      </c>
      <c r="J13121" t="s">
        <v>26247</v>
      </c>
      <c r="L13121" t="s">
        <v>27250</v>
      </c>
      <c r="M13121" t="s">
        <v>27251</v>
      </c>
      <c r="N13121" t="s">
        <v>27252</v>
      </c>
      <c r="Q13121" s="1">
        <v>44538</v>
      </c>
      <c r="R13121" t="s">
        <v>27253</v>
      </c>
      <c r="S13121" t="s">
        <v>27254</v>
      </c>
      <c r="T13121" t="s">
        <v>27255</v>
      </c>
    </row>
    <row r="13122" spans="1:20" x14ac:dyDescent="0.3">
      <c r="A13122" t="str">
        <f>"0611832749100"</f>
        <v>0611832749100</v>
      </c>
      <c r="B13122" t="str">
        <f>"LK1790"</f>
        <v>LK1790</v>
      </c>
      <c r="C13122" t="s">
        <v>52623</v>
      </c>
      <c r="D13122" t="s">
        <v>27245</v>
      </c>
      <c r="E13122" t="str">
        <f t="shared" ref="E13122:E13185" si="205">"001390"</f>
        <v>001390</v>
      </c>
      <c r="F13122" t="s">
        <v>27246</v>
      </c>
      <c r="G13122" t="s">
        <v>27247</v>
      </c>
      <c r="H13122" t="s">
        <v>27248</v>
      </c>
      <c r="I13122" t="s">
        <v>52624</v>
      </c>
      <c r="J13122" t="s">
        <v>26249</v>
      </c>
      <c r="L13122" t="s">
        <v>27250</v>
      </c>
      <c r="M13122" t="s">
        <v>27251</v>
      </c>
      <c r="N13122" t="s">
        <v>27252</v>
      </c>
      <c r="Q13122" s="1">
        <v>44538</v>
      </c>
      <c r="R13122" t="s">
        <v>27253</v>
      </c>
      <c r="S13122" t="s">
        <v>27254</v>
      </c>
      <c r="T13122" t="s">
        <v>27255</v>
      </c>
    </row>
    <row r="13123" spans="1:20" x14ac:dyDescent="0.3">
      <c r="A13123" t="str">
        <f>"0611832750100"</f>
        <v>0611832750100</v>
      </c>
      <c r="B13123" t="str">
        <f>"LK4546"</f>
        <v>LK4546</v>
      </c>
      <c r="C13123" t="s">
        <v>52625</v>
      </c>
      <c r="D13123" t="s">
        <v>27245</v>
      </c>
      <c r="E13123" t="str">
        <f t="shared" si="205"/>
        <v>001390</v>
      </c>
      <c r="F13123" t="s">
        <v>27246</v>
      </c>
      <c r="G13123" t="s">
        <v>27247</v>
      </c>
      <c r="H13123" t="s">
        <v>27248</v>
      </c>
      <c r="I13123" t="s">
        <v>52626</v>
      </c>
      <c r="J13123" t="s">
        <v>26251</v>
      </c>
      <c r="L13123" t="s">
        <v>27250</v>
      </c>
      <c r="M13123" t="s">
        <v>27251</v>
      </c>
      <c r="N13123" t="s">
        <v>27252</v>
      </c>
      <c r="Q13123" s="1">
        <v>44538</v>
      </c>
      <c r="R13123" t="s">
        <v>27253</v>
      </c>
      <c r="S13123" t="s">
        <v>27254</v>
      </c>
      <c r="T13123" t="s">
        <v>27255</v>
      </c>
    </row>
    <row r="13124" spans="1:20" x14ac:dyDescent="0.3">
      <c r="A13124" t="str">
        <f>"0611832751100"</f>
        <v>0611832751100</v>
      </c>
      <c r="B13124" t="str">
        <f>"LK1791"</f>
        <v>LK1791</v>
      </c>
      <c r="C13124" t="s">
        <v>52627</v>
      </c>
      <c r="D13124" t="s">
        <v>27245</v>
      </c>
      <c r="E13124" t="str">
        <f t="shared" si="205"/>
        <v>001390</v>
      </c>
      <c r="F13124" t="s">
        <v>27246</v>
      </c>
      <c r="G13124" t="s">
        <v>27247</v>
      </c>
      <c r="H13124" t="s">
        <v>27248</v>
      </c>
      <c r="I13124" t="s">
        <v>52628</v>
      </c>
      <c r="J13124" t="s">
        <v>26253</v>
      </c>
      <c r="L13124" t="s">
        <v>27250</v>
      </c>
      <c r="M13124" t="s">
        <v>27251</v>
      </c>
      <c r="N13124" t="s">
        <v>27252</v>
      </c>
      <c r="Q13124" s="1">
        <v>44538</v>
      </c>
      <c r="R13124" t="s">
        <v>27253</v>
      </c>
      <c r="S13124" t="s">
        <v>27254</v>
      </c>
      <c r="T13124" t="s">
        <v>27255</v>
      </c>
    </row>
    <row r="13125" spans="1:20" x14ac:dyDescent="0.3">
      <c r="A13125" t="str">
        <f>"0611832752100"</f>
        <v>0611832752100</v>
      </c>
      <c r="B13125" t="str">
        <f>"LK4547"</f>
        <v>LK4547</v>
      </c>
      <c r="C13125" t="s">
        <v>52629</v>
      </c>
      <c r="D13125" t="s">
        <v>27245</v>
      </c>
      <c r="E13125" t="str">
        <f t="shared" si="205"/>
        <v>001390</v>
      </c>
      <c r="F13125" t="s">
        <v>27246</v>
      </c>
      <c r="G13125" t="s">
        <v>27247</v>
      </c>
      <c r="H13125" t="s">
        <v>27248</v>
      </c>
      <c r="I13125" t="s">
        <v>52630</v>
      </c>
      <c r="J13125" t="s">
        <v>26255</v>
      </c>
      <c r="L13125" t="s">
        <v>27250</v>
      </c>
      <c r="M13125" t="s">
        <v>27251</v>
      </c>
      <c r="N13125" t="s">
        <v>27252</v>
      </c>
      <c r="Q13125" s="1">
        <v>44538</v>
      </c>
      <c r="R13125" t="s">
        <v>27253</v>
      </c>
      <c r="S13125" t="s">
        <v>27254</v>
      </c>
      <c r="T13125" t="s">
        <v>27255</v>
      </c>
    </row>
    <row r="13126" spans="1:20" x14ac:dyDescent="0.3">
      <c r="A13126" t="str">
        <f>"0611832753100"</f>
        <v>0611832753100</v>
      </c>
      <c r="B13126" t="str">
        <f>"LK4548"</f>
        <v>LK4548</v>
      </c>
      <c r="C13126" t="s">
        <v>52631</v>
      </c>
      <c r="D13126" t="s">
        <v>27245</v>
      </c>
      <c r="E13126" t="str">
        <f t="shared" si="205"/>
        <v>001390</v>
      </c>
      <c r="F13126" t="s">
        <v>27246</v>
      </c>
      <c r="G13126" t="s">
        <v>27247</v>
      </c>
      <c r="H13126" t="s">
        <v>27248</v>
      </c>
      <c r="I13126" t="s">
        <v>52632</v>
      </c>
      <c r="J13126" t="s">
        <v>26257</v>
      </c>
      <c r="L13126" t="s">
        <v>27250</v>
      </c>
      <c r="M13126" t="s">
        <v>27251</v>
      </c>
      <c r="N13126" t="s">
        <v>27252</v>
      </c>
      <c r="Q13126" s="1">
        <v>44538</v>
      </c>
      <c r="R13126" t="s">
        <v>27253</v>
      </c>
      <c r="S13126" t="s">
        <v>27254</v>
      </c>
      <c r="T13126" t="s">
        <v>27255</v>
      </c>
    </row>
    <row r="13127" spans="1:20" x14ac:dyDescent="0.3">
      <c r="A13127" t="str">
        <f>"0611857176100"</f>
        <v>0611857176100</v>
      </c>
      <c r="B13127" t="str">
        <f>"LK7110"</f>
        <v>LK7110</v>
      </c>
      <c r="C13127" t="s">
        <v>52633</v>
      </c>
      <c r="D13127" t="s">
        <v>27245</v>
      </c>
      <c r="E13127" t="str">
        <f t="shared" si="205"/>
        <v>001390</v>
      </c>
      <c r="F13127" t="s">
        <v>27246</v>
      </c>
      <c r="G13127" t="s">
        <v>27247</v>
      </c>
      <c r="H13127" t="s">
        <v>27248</v>
      </c>
      <c r="I13127" t="s">
        <v>52634</v>
      </c>
      <c r="J13127" t="s">
        <v>26259</v>
      </c>
      <c r="L13127" t="s">
        <v>27250</v>
      </c>
      <c r="M13127" t="s">
        <v>27251</v>
      </c>
      <c r="N13127" t="s">
        <v>27252</v>
      </c>
      <c r="Q13127" s="1">
        <v>44812</v>
      </c>
      <c r="R13127" t="s">
        <v>27253</v>
      </c>
      <c r="S13127" t="s">
        <v>27254</v>
      </c>
      <c r="T13127" t="s">
        <v>27255</v>
      </c>
    </row>
    <row r="13128" spans="1:20" x14ac:dyDescent="0.3">
      <c r="A13128" t="str">
        <f>"0611832754100"</f>
        <v>0611832754100</v>
      </c>
      <c r="B13128" t="str">
        <f>"LK4387"</f>
        <v>LK4387</v>
      </c>
      <c r="C13128" t="s">
        <v>52635</v>
      </c>
      <c r="D13128" t="s">
        <v>27245</v>
      </c>
      <c r="E13128" t="str">
        <f t="shared" si="205"/>
        <v>001390</v>
      </c>
      <c r="F13128" t="s">
        <v>27246</v>
      </c>
      <c r="G13128" t="s">
        <v>27247</v>
      </c>
      <c r="H13128" t="s">
        <v>27248</v>
      </c>
      <c r="I13128" t="s">
        <v>52636</v>
      </c>
      <c r="J13128" t="s">
        <v>26261</v>
      </c>
      <c r="L13128" t="s">
        <v>27250</v>
      </c>
      <c r="M13128" t="s">
        <v>27251</v>
      </c>
      <c r="N13128" t="s">
        <v>27252</v>
      </c>
      <c r="Q13128" s="1">
        <v>44538</v>
      </c>
      <c r="R13128" t="s">
        <v>27253</v>
      </c>
      <c r="S13128" t="s">
        <v>27254</v>
      </c>
      <c r="T13128" t="s">
        <v>27255</v>
      </c>
    </row>
    <row r="13129" spans="1:20" x14ac:dyDescent="0.3">
      <c r="A13129" t="str">
        <f>"0611832755100"</f>
        <v>0611832755100</v>
      </c>
      <c r="B13129" t="str">
        <f>"LK4385"</f>
        <v>LK4385</v>
      </c>
      <c r="C13129" t="s">
        <v>52637</v>
      </c>
      <c r="D13129" t="s">
        <v>27245</v>
      </c>
      <c r="E13129" t="str">
        <f t="shared" si="205"/>
        <v>001390</v>
      </c>
      <c r="F13129" t="s">
        <v>27246</v>
      </c>
      <c r="G13129" t="s">
        <v>27247</v>
      </c>
      <c r="H13129" t="s">
        <v>27248</v>
      </c>
      <c r="I13129" t="s">
        <v>52638</v>
      </c>
      <c r="J13129" t="s">
        <v>26263</v>
      </c>
      <c r="L13129" t="s">
        <v>27250</v>
      </c>
      <c r="M13129" t="s">
        <v>27251</v>
      </c>
      <c r="N13129" t="s">
        <v>27252</v>
      </c>
      <c r="Q13129" s="1">
        <v>44538</v>
      </c>
      <c r="R13129" t="s">
        <v>27253</v>
      </c>
      <c r="S13129" t="s">
        <v>27254</v>
      </c>
      <c r="T13129" t="s">
        <v>27255</v>
      </c>
    </row>
    <row r="13130" spans="1:20" x14ac:dyDescent="0.3">
      <c r="A13130" t="str">
        <f>"0611832756100"</f>
        <v>0611832756100</v>
      </c>
      <c r="B13130" t="str">
        <f>"LK1792"</f>
        <v>LK1792</v>
      </c>
      <c r="C13130" t="s">
        <v>52639</v>
      </c>
      <c r="D13130" t="s">
        <v>27245</v>
      </c>
      <c r="E13130" t="str">
        <f t="shared" si="205"/>
        <v>001390</v>
      </c>
      <c r="F13130" t="s">
        <v>27246</v>
      </c>
      <c r="G13130" t="s">
        <v>27247</v>
      </c>
      <c r="H13130" t="s">
        <v>27248</v>
      </c>
      <c r="I13130" t="s">
        <v>52640</v>
      </c>
      <c r="J13130" t="s">
        <v>26265</v>
      </c>
      <c r="L13130" t="s">
        <v>27250</v>
      </c>
      <c r="M13130" t="s">
        <v>27251</v>
      </c>
      <c r="N13130" t="s">
        <v>27252</v>
      </c>
      <c r="Q13130" s="1">
        <v>44538</v>
      </c>
      <c r="R13130" t="s">
        <v>27253</v>
      </c>
      <c r="S13130" t="s">
        <v>27254</v>
      </c>
      <c r="T13130" t="s">
        <v>27255</v>
      </c>
    </row>
    <row r="13131" spans="1:20" x14ac:dyDescent="0.3">
      <c r="A13131" t="str">
        <f>"0611832757100"</f>
        <v>0611832757100</v>
      </c>
      <c r="B13131" t="str">
        <f>"LK1793"</f>
        <v>LK1793</v>
      </c>
      <c r="C13131" t="s">
        <v>52641</v>
      </c>
      <c r="D13131" t="s">
        <v>27245</v>
      </c>
      <c r="E13131" t="str">
        <f t="shared" si="205"/>
        <v>001390</v>
      </c>
      <c r="F13131" t="s">
        <v>27246</v>
      </c>
      <c r="G13131" t="s">
        <v>27247</v>
      </c>
      <c r="H13131" t="s">
        <v>27248</v>
      </c>
      <c r="I13131" t="s">
        <v>52642</v>
      </c>
      <c r="J13131" t="s">
        <v>26267</v>
      </c>
      <c r="L13131" t="s">
        <v>27250</v>
      </c>
      <c r="M13131" t="s">
        <v>27251</v>
      </c>
      <c r="N13131" t="s">
        <v>27252</v>
      </c>
      <c r="Q13131" s="1">
        <v>44538</v>
      </c>
      <c r="R13131" t="s">
        <v>27253</v>
      </c>
      <c r="S13131" t="s">
        <v>27254</v>
      </c>
      <c r="T13131" t="s">
        <v>27255</v>
      </c>
    </row>
    <row r="13132" spans="1:20" x14ac:dyDescent="0.3">
      <c r="A13132" t="str">
        <f>"0611832758100"</f>
        <v>0611832758100</v>
      </c>
      <c r="B13132" t="str">
        <f>"LK4386"</f>
        <v>LK4386</v>
      </c>
      <c r="C13132" t="s">
        <v>52643</v>
      </c>
      <c r="D13132" t="s">
        <v>27245</v>
      </c>
      <c r="E13132" t="str">
        <f t="shared" si="205"/>
        <v>001390</v>
      </c>
      <c r="F13132" t="s">
        <v>27246</v>
      </c>
      <c r="G13132" t="s">
        <v>27247</v>
      </c>
      <c r="H13132" t="s">
        <v>27248</v>
      </c>
      <c r="I13132" t="s">
        <v>52644</v>
      </c>
      <c r="J13132" t="s">
        <v>26269</v>
      </c>
      <c r="L13132" t="s">
        <v>27250</v>
      </c>
      <c r="M13132" t="s">
        <v>27251</v>
      </c>
      <c r="N13132" t="s">
        <v>27252</v>
      </c>
      <c r="Q13132" s="1">
        <v>44538</v>
      </c>
      <c r="R13132" t="s">
        <v>27253</v>
      </c>
      <c r="S13132" t="s">
        <v>27254</v>
      </c>
      <c r="T13132" t="s">
        <v>27255</v>
      </c>
    </row>
    <row r="13133" spans="1:20" x14ac:dyDescent="0.3">
      <c r="A13133" t="str">
        <f>"0611832759100"</f>
        <v>0611832759100</v>
      </c>
      <c r="B13133" t="str">
        <f>"LK1795"</f>
        <v>LK1795</v>
      </c>
      <c r="C13133" t="s">
        <v>52645</v>
      </c>
      <c r="D13133" t="s">
        <v>27245</v>
      </c>
      <c r="E13133" t="str">
        <f t="shared" si="205"/>
        <v>001390</v>
      </c>
      <c r="F13133" t="s">
        <v>27246</v>
      </c>
      <c r="G13133" t="s">
        <v>27247</v>
      </c>
      <c r="H13133" t="s">
        <v>27248</v>
      </c>
      <c r="I13133" t="s">
        <v>52646</v>
      </c>
      <c r="J13133" t="s">
        <v>26271</v>
      </c>
      <c r="L13133" t="s">
        <v>27250</v>
      </c>
      <c r="M13133" t="s">
        <v>27251</v>
      </c>
      <c r="N13133" t="s">
        <v>27252</v>
      </c>
      <c r="Q13133" s="1">
        <v>44538</v>
      </c>
      <c r="R13133" t="s">
        <v>27253</v>
      </c>
      <c r="S13133" t="s">
        <v>27254</v>
      </c>
      <c r="T13133" t="s">
        <v>27255</v>
      </c>
    </row>
    <row r="13134" spans="1:20" x14ac:dyDescent="0.3">
      <c r="A13134" t="str">
        <f>"0611832760100"</f>
        <v>0611832760100</v>
      </c>
      <c r="B13134" t="str">
        <f>"LK1796"</f>
        <v>LK1796</v>
      </c>
      <c r="C13134" t="s">
        <v>52647</v>
      </c>
      <c r="D13134" t="s">
        <v>27245</v>
      </c>
      <c r="E13134" t="str">
        <f t="shared" si="205"/>
        <v>001390</v>
      </c>
      <c r="F13134" t="s">
        <v>27246</v>
      </c>
      <c r="G13134" t="s">
        <v>27247</v>
      </c>
      <c r="H13134" t="s">
        <v>27248</v>
      </c>
      <c r="I13134" t="s">
        <v>52648</v>
      </c>
      <c r="J13134" t="s">
        <v>26273</v>
      </c>
      <c r="L13134" t="s">
        <v>27250</v>
      </c>
      <c r="M13134" t="s">
        <v>27251</v>
      </c>
      <c r="N13134" t="s">
        <v>27252</v>
      </c>
      <c r="Q13134" s="1">
        <v>44538</v>
      </c>
      <c r="R13134" t="s">
        <v>27253</v>
      </c>
      <c r="S13134" t="s">
        <v>27254</v>
      </c>
      <c r="T13134" t="s">
        <v>27255</v>
      </c>
    </row>
    <row r="13135" spans="1:20" x14ac:dyDescent="0.3">
      <c r="A13135" t="str">
        <f>"0611832761100"</f>
        <v>0611832761100</v>
      </c>
      <c r="B13135" t="str">
        <f>"LK3539"</f>
        <v>LK3539</v>
      </c>
      <c r="C13135" t="s">
        <v>52649</v>
      </c>
      <c r="D13135" t="s">
        <v>27245</v>
      </c>
      <c r="E13135" t="str">
        <f t="shared" si="205"/>
        <v>001390</v>
      </c>
      <c r="F13135" t="s">
        <v>27246</v>
      </c>
      <c r="G13135" t="s">
        <v>27247</v>
      </c>
      <c r="H13135" t="s">
        <v>27248</v>
      </c>
      <c r="I13135" t="s">
        <v>52650</v>
      </c>
      <c r="J13135" t="s">
        <v>26275</v>
      </c>
      <c r="L13135" t="s">
        <v>27250</v>
      </c>
      <c r="M13135" t="s">
        <v>27251</v>
      </c>
      <c r="N13135" t="s">
        <v>27252</v>
      </c>
      <c r="Q13135" s="1">
        <v>44538</v>
      </c>
      <c r="R13135" t="s">
        <v>27253</v>
      </c>
      <c r="S13135" t="s">
        <v>27254</v>
      </c>
      <c r="T13135" t="s">
        <v>27255</v>
      </c>
    </row>
    <row r="13136" spans="1:20" x14ac:dyDescent="0.3">
      <c r="A13136" t="str">
        <f>"0611832762100"</f>
        <v>0611832762100</v>
      </c>
      <c r="B13136" t="str">
        <f>"LK6157"</f>
        <v>LK6157</v>
      </c>
      <c r="C13136" t="s">
        <v>52651</v>
      </c>
      <c r="D13136" t="s">
        <v>27245</v>
      </c>
      <c r="E13136" t="str">
        <f t="shared" si="205"/>
        <v>001390</v>
      </c>
      <c r="F13136" t="s">
        <v>27246</v>
      </c>
      <c r="G13136" t="s">
        <v>27247</v>
      </c>
      <c r="H13136" t="s">
        <v>27248</v>
      </c>
      <c r="I13136" t="s">
        <v>52652</v>
      </c>
      <c r="J13136" t="s">
        <v>26277</v>
      </c>
      <c r="L13136" t="s">
        <v>27250</v>
      </c>
      <c r="M13136" t="s">
        <v>27251</v>
      </c>
      <c r="N13136" t="s">
        <v>27252</v>
      </c>
      <c r="Q13136" s="1">
        <v>44538</v>
      </c>
      <c r="R13136" t="s">
        <v>27253</v>
      </c>
      <c r="S13136" t="s">
        <v>27254</v>
      </c>
      <c r="T13136" t="s">
        <v>27255</v>
      </c>
    </row>
    <row r="13137" spans="1:20" x14ac:dyDescent="0.3">
      <c r="A13137" t="str">
        <f>"0611832763100"</f>
        <v>0611832763100</v>
      </c>
      <c r="B13137" t="str">
        <f>"LK4549"</f>
        <v>LK4549</v>
      </c>
      <c r="C13137" t="s">
        <v>52653</v>
      </c>
      <c r="D13137" t="s">
        <v>27245</v>
      </c>
      <c r="E13137" t="str">
        <f t="shared" si="205"/>
        <v>001390</v>
      </c>
      <c r="F13137" t="s">
        <v>27246</v>
      </c>
      <c r="G13137" t="s">
        <v>27247</v>
      </c>
      <c r="H13137" t="s">
        <v>27248</v>
      </c>
      <c r="I13137" t="s">
        <v>52654</v>
      </c>
      <c r="J13137" t="s">
        <v>26279</v>
      </c>
      <c r="L13137" t="s">
        <v>27250</v>
      </c>
      <c r="M13137" t="s">
        <v>27251</v>
      </c>
      <c r="N13137" t="s">
        <v>27252</v>
      </c>
      <c r="Q13137" s="1">
        <v>44538</v>
      </c>
      <c r="R13137" t="s">
        <v>27253</v>
      </c>
      <c r="S13137" t="s">
        <v>27254</v>
      </c>
      <c r="T13137" t="s">
        <v>27255</v>
      </c>
    </row>
    <row r="13138" spans="1:20" x14ac:dyDescent="0.3">
      <c r="A13138" t="str">
        <f>"0611832764100"</f>
        <v>0611832764100</v>
      </c>
      <c r="B13138" t="str">
        <f>"LK5612"</f>
        <v>LK5612</v>
      </c>
      <c r="C13138" t="s">
        <v>52655</v>
      </c>
      <c r="D13138" t="s">
        <v>27245</v>
      </c>
      <c r="E13138" t="str">
        <f t="shared" si="205"/>
        <v>001390</v>
      </c>
      <c r="F13138" t="s">
        <v>27246</v>
      </c>
      <c r="G13138" t="s">
        <v>27247</v>
      </c>
      <c r="H13138" t="s">
        <v>27248</v>
      </c>
      <c r="I13138" t="s">
        <v>52656</v>
      </c>
      <c r="J13138" t="s">
        <v>26281</v>
      </c>
      <c r="L13138" t="s">
        <v>27250</v>
      </c>
      <c r="M13138" t="s">
        <v>27251</v>
      </c>
      <c r="N13138" t="s">
        <v>27252</v>
      </c>
      <c r="Q13138" s="1">
        <v>44538</v>
      </c>
      <c r="R13138" t="s">
        <v>27253</v>
      </c>
      <c r="S13138" t="s">
        <v>27254</v>
      </c>
      <c r="T13138" t="s">
        <v>27255</v>
      </c>
    </row>
    <row r="13139" spans="1:20" x14ac:dyDescent="0.3">
      <c r="A13139" t="str">
        <f>"0611832765100"</f>
        <v>0611832765100</v>
      </c>
      <c r="B13139" t="str">
        <f>"LK1797"</f>
        <v>LK1797</v>
      </c>
      <c r="C13139" t="s">
        <v>52657</v>
      </c>
      <c r="D13139" t="s">
        <v>27245</v>
      </c>
      <c r="E13139" t="str">
        <f t="shared" si="205"/>
        <v>001390</v>
      </c>
      <c r="F13139" t="s">
        <v>27246</v>
      </c>
      <c r="G13139" t="s">
        <v>27247</v>
      </c>
      <c r="H13139" t="s">
        <v>27248</v>
      </c>
      <c r="I13139" t="s">
        <v>52658</v>
      </c>
      <c r="J13139" t="s">
        <v>26283</v>
      </c>
      <c r="L13139" t="s">
        <v>27250</v>
      </c>
      <c r="M13139" t="s">
        <v>27251</v>
      </c>
      <c r="N13139" t="s">
        <v>27252</v>
      </c>
      <c r="Q13139" s="1">
        <v>44538</v>
      </c>
      <c r="R13139" t="s">
        <v>27253</v>
      </c>
      <c r="S13139" t="s">
        <v>27254</v>
      </c>
      <c r="T13139" t="s">
        <v>27255</v>
      </c>
    </row>
    <row r="13140" spans="1:20" x14ac:dyDescent="0.3">
      <c r="A13140" t="str">
        <f>"0611832766100"</f>
        <v>0611832766100</v>
      </c>
      <c r="B13140" t="str">
        <f>"LK5531"</f>
        <v>LK5531</v>
      </c>
      <c r="C13140" t="s">
        <v>52659</v>
      </c>
      <c r="D13140" t="s">
        <v>27245</v>
      </c>
      <c r="E13140" t="str">
        <f t="shared" si="205"/>
        <v>001390</v>
      </c>
      <c r="F13140" t="s">
        <v>27246</v>
      </c>
      <c r="G13140" t="s">
        <v>27247</v>
      </c>
      <c r="H13140" t="s">
        <v>27248</v>
      </c>
      <c r="I13140" t="s">
        <v>52660</v>
      </c>
      <c r="J13140" t="s">
        <v>26285</v>
      </c>
      <c r="L13140" t="s">
        <v>27250</v>
      </c>
      <c r="M13140" t="s">
        <v>27251</v>
      </c>
      <c r="N13140" t="s">
        <v>27252</v>
      </c>
      <c r="Q13140" s="1">
        <v>44538</v>
      </c>
      <c r="R13140" t="s">
        <v>27253</v>
      </c>
      <c r="S13140" t="s">
        <v>27254</v>
      </c>
      <c r="T13140" t="s">
        <v>27255</v>
      </c>
    </row>
    <row r="13141" spans="1:20" x14ac:dyDescent="0.3">
      <c r="A13141" t="str">
        <f>"0611832767100"</f>
        <v>0611832767100</v>
      </c>
      <c r="B13141" t="str">
        <f>"LK3554"</f>
        <v>LK3554</v>
      </c>
      <c r="C13141" t="s">
        <v>52661</v>
      </c>
      <c r="D13141" t="s">
        <v>27245</v>
      </c>
      <c r="E13141" t="str">
        <f t="shared" si="205"/>
        <v>001390</v>
      </c>
      <c r="F13141" t="s">
        <v>27246</v>
      </c>
      <c r="G13141" t="s">
        <v>27247</v>
      </c>
      <c r="H13141" t="s">
        <v>27248</v>
      </c>
      <c r="I13141" t="s">
        <v>52662</v>
      </c>
      <c r="J13141" t="s">
        <v>26287</v>
      </c>
      <c r="L13141" t="s">
        <v>27250</v>
      </c>
      <c r="M13141" t="s">
        <v>27251</v>
      </c>
      <c r="N13141" t="s">
        <v>27252</v>
      </c>
      <c r="Q13141" s="1">
        <v>44538</v>
      </c>
      <c r="R13141" t="s">
        <v>27253</v>
      </c>
      <c r="S13141" t="s">
        <v>27254</v>
      </c>
      <c r="T13141" t="s">
        <v>27255</v>
      </c>
    </row>
    <row r="13142" spans="1:20" x14ac:dyDescent="0.3">
      <c r="A13142" t="str">
        <f>"0611832768100"</f>
        <v>0611832768100</v>
      </c>
      <c r="B13142" t="str">
        <f>"LK4550"</f>
        <v>LK4550</v>
      </c>
      <c r="C13142" t="s">
        <v>52663</v>
      </c>
      <c r="D13142" t="s">
        <v>27245</v>
      </c>
      <c r="E13142" t="str">
        <f t="shared" si="205"/>
        <v>001390</v>
      </c>
      <c r="F13142" t="s">
        <v>27246</v>
      </c>
      <c r="G13142" t="s">
        <v>27247</v>
      </c>
      <c r="H13142" t="s">
        <v>27248</v>
      </c>
      <c r="I13142" t="s">
        <v>52664</v>
      </c>
      <c r="J13142" t="s">
        <v>26289</v>
      </c>
      <c r="L13142" t="s">
        <v>27250</v>
      </c>
      <c r="M13142" t="s">
        <v>27251</v>
      </c>
      <c r="N13142" t="s">
        <v>27252</v>
      </c>
      <c r="Q13142" s="1">
        <v>44538</v>
      </c>
      <c r="R13142" t="s">
        <v>27253</v>
      </c>
      <c r="S13142" t="s">
        <v>27254</v>
      </c>
      <c r="T13142" t="s">
        <v>27255</v>
      </c>
    </row>
    <row r="13143" spans="1:20" x14ac:dyDescent="0.3">
      <c r="A13143" t="str">
        <f>"0611832769100"</f>
        <v>0611832769100</v>
      </c>
      <c r="B13143" t="str">
        <f>"LK5385"</f>
        <v>LK5385</v>
      </c>
      <c r="C13143" t="s">
        <v>52665</v>
      </c>
      <c r="D13143" t="s">
        <v>27245</v>
      </c>
      <c r="E13143" t="str">
        <f t="shared" si="205"/>
        <v>001390</v>
      </c>
      <c r="F13143" t="s">
        <v>27246</v>
      </c>
      <c r="G13143" t="s">
        <v>27247</v>
      </c>
      <c r="H13143" t="s">
        <v>27248</v>
      </c>
      <c r="I13143" t="s">
        <v>52666</v>
      </c>
      <c r="J13143" t="s">
        <v>26291</v>
      </c>
      <c r="L13143" t="s">
        <v>27250</v>
      </c>
      <c r="M13143" t="s">
        <v>27251</v>
      </c>
      <c r="N13143" t="s">
        <v>27252</v>
      </c>
      <c r="Q13143" s="1">
        <v>44538</v>
      </c>
      <c r="R13143" t="s">
        <v>27253</v>
      </c>
      <c r="S13143" t="s">
        <v>27254</v>
      </c>
      <c r="T13143" t="s">
        <v>27255</v>
      </c>
    </row>
    <row r="13144" spans="1:20" x14ac:dyDescent="0.3">
      <c r="A13144" t="str">
        <f>"0611832770100"</f>
        <v>0611832770100</v>
      </c>
      <c r="B13144" t="str">
        <f>"LK5392"</f>
        <v>LK5392</v>
      </c>
      <c r="C13144" t="s">
        <v>52667</v>
      </c>
      <c r="D13144" t="s">
        <v>27245</v>
      </c>
      <c r="E13144" t="str">
        <f t="shared" si="205"/>
        <v>001390</v>
      </c>
      <c r="F13144" t="s">
        <v>27246</v>
      </c>
      <c r="G13144" t="s">
        <v>27247</v>
      </c>
      <c r="H13144" t="s">
        <v>27248</v>
      </c>
      <c r="I13144" t="s">
        <v>52668</v>
      </c>
      <c r="J13144" t="s">
        <v>26293</v>
      </c>
      <c r="L13144" t="s">
        <v>27250</v>
      </c>
      <c r="M13144" t="s">
        <v>27251</v>
      </c>
      <c r="N13144" t="s">
        <v>27252</v>
      </c>
      <c r="Q13144" s="1">
        <v>44538</v>
      </c>
      <c r="R13144" t="s">
        <v>27253</v>
      </c>
      <c r="S13144" t="s">
        <v>27254</v>
      </c>
      <c r="T13144" t="s">
        <v>27255</v>
      </c>
    </row>
    <row r="13145" spans="1:20" x14ac:dyDescent="0.3">
      <c r="A13145" t="str">
        <f>"0611832771100"</f>
        <v>0611832771100</v>
      </c>
      <c r="B13145" t="str">
        <f>"LK5397"</f>
        <v>LK5397</v>
      </c>
      <c r="C13145" t="s">
        <v>52669</v>
      </c>
      <c r="D13145" t="s">
        <v>27245</v>
      </c>
      <c r="E13145" t="str">
        <f t="shared" si="205"/>
        <v>001390</v>
      </c>
      <c r="F13145" t="s">
        <v>27246</v>
      </c>
      <c r="G13145" t="s">
        <v>27247</v>
      </c>
      <c r="H13145" t="s">
        <v>27248</v>
      </c>
      <c r="I13145" t="s">
        <v>52670</v>
      </c>
      <c r="J13145" t="s">
        <v>26295</v>
      </c>
      <c r="L13145" t="s">
        <v>27250</v>
      </c>
      <c r="M13145" t="s">
        <v>27251</v>
      </c>
      <c r="N13145" t="s">
        <v>27252</v>
      </c>
      <c r="Q13145" s="1">
        <v>44538</v>
      </c>
      <c r="R13145" t="s">
        <v>27253</v>
      </c>
      <c r="S13145" t="s">
        <v>27254</v>
      </c>
      <c r="T13145" t="s">
        <v>27255</v>
      </c>
    </row>
    <row r="13146" spans="1:20" x14ac:dyDescent="0.3">
      <c r="A13146" t="str">
        <f>"0611832772100"</f>
        <v>0611832772100</v>
      </c>
      <c r="B13146" t="str">
        <f>"LK5398"</f>
        <v>LK5398</v>
      </c>
      <c r="C13146" t="s">
        <v>52671</v>
      </c>
      <c r="D13146" t="s">
        <v>27245</v>
      </c>
      <c r="E13146" t="str">
        <f t="shared" si="205"/>
        <v>001390</v>
      </c>
      <c r="F13146" t="s">
        <v>27246</v>
      </c>
      <c r="G13146" t="s">
        <v>27247</v>
      </c>
      <c r="H13146" t="s">
        <v>27248</v>
      </c>
      <c r="I13146" t="s">
        <v>52672</v>
      </c>
      <c r="J13146" t="s">
        <v>26297</v>
      </c>
      <c r="L13146" t="s">
        <v>27250</v>
      </c>
      <c r="M13146" t="s">
        <v>27251</v>
      </c>
      <c r="N13146" t="s">
        <v>27252</v>
      </c>
      <c r="Q13146" s="1">
        <v>44538</v>
      </c>
      <c r="R13146" t="s">
        <v>27253</v>
      </c>
      <c r="S13146" t="s">
        <v>27254</v>
      </c>
      <c r="T13146" t="s">
        <v>27255</v>
      </c>
    </row>
    <row r="13147" spans="1:20" x14ac:dyDescent="0.3">
      <c r="A13147" t="str">
        <f>"0611832773100"</f>
        <v>0611832773100</v>
      </c>
      <c r="B13147" t="str">
        <f>"LB9309"</f>
        <v>LB9309</v>
      </c>
      <c r="C13147" t="s">
        <v>52673</v>
      </c>
      <c r="D13147" t="s">
        <v>27245</v>
      </c>
      <c r="E13147" t="str">
        <f t="shared" si="205"/>
        <v>001390</v>
      </c>
      <c r="F13147" t="s">
        <v>27246</v>
      </c>
      <c r="G13147" t="s">
        <v>27247</v>
      </c>
      <c r="H13147" t="s">
        <v>27248</v>
      </c>
      <c r="I13147" t="s">
        <v>52674</v>
      </c>
      <c r="J13147" t="s">
        <v>26299</v>
      </c>
      <c r="L13147" t="s">
        <v>27250</v>
      </c>
      <c r="M13147" t="s">
        <v>27251</v>
      </c>
      <c r="N13147" t="s">
        <v>27252</v>
      </c>
      <c r="Q13147" s="1">
        <v>44538</v>
      </c>
      <c r="R13147" t="s">
        <v>27253</v>
      </c>
      <c r="S13147" t="s">
        <v>27254</v>
      </c>
      <c r="T13147" t="s">
        <v>27255</v>
      </c>
    </row>
    <row r="13148" spans="1:20" x14ac:dyDescent="0.3">
      <c r="A13148" t="str">
        <f>"0611832774100"</f>
        <v>0611832774100</v>
      </c>
      <c r="B13148" t="str">
        <f>"LK5955"</f>
        <v>LK5955</v>
      </c>
      <c r="C13148" t="s">
        <v>52675</v>
      </c>
      <c r="D13148" t="s">
        <v>27245</v>
      </c>
      <c r="E13148" t="str">
        <f t="shared" si="205"/>
        <v>001390</v>
      </c>
      <c r="F13148" t="s">
        <v>27246</v>
      </c>
      <c r="G13148" t="s">
        <v>27247</v>
      </c>
      <c r="H13148" t="s">
        <v>27248</v>
      </c>
      <c r="I13148" t="s">
        <v>52676</v>
      </c>
      <c r="J13148" t="s">
        <v>26301</v>
      </c>
      <c r="L13148" t="s">
        <v>27250</v>
      </c>
      <c r="M13148" t="s">
        <v>27251</v>
      </c>
      <c r="N13148" t="s">
        <v>27252</v>
      </c>
      <c r="Q13148" s="1">
        <v>44538</v>
      </c>
      <c r="R13148" t="s">
        <v>27253</v>
      </c>
      <c r="S13148" t="s">
        <v>27254</v>
      </c>
      <c r="T13148" t="s">
        <v>27255</v>
      </c>
    </row>
    <row r="13149" spans="1:20" x14ac:dyDescent="0.3">
      <c r="A13149" t="str">
        <f>"0611832775100"</f>
        <v>0611832775100</v>
      </c>
      <c r="B13149" t="str">
        <f>"LK5956"</f>
        <v>LK5956</v>
      </c>
      <c r="C13149" t="s">
        <v>52677</v>
      </c>
      <c r="D13149" t="s">
        <v>27245</v>
      </c>
      <c r="E13149" t="str">
        <f t="shared" si="205"/>
        <v>001390</v>
      </c>
      <c r="F13149" t="s">
        <v>27246</v>
      </c>
      <c r="G13149" t="s">
        <v>27247</v>
      </c>
      <c r="H13149" t="s">
        <v>27248</v>
      </c>
      <c r="I13149" t="s">
        <v>52678</v>
      </c>
      <c r="J13149" t="s">
        <v>26303</v>
      </c>
      <c r="L13149" t="s">
        <v>27250</v>
      </c>
      <c r="M13149" t="s">
        <v>27251</v>
      </c>
      <c r="N13149" t="s">
        <v>27252</v>
      </c>
      <c r="Q13149" s="1">
        <v>44538</v>
      </c>
      <c r="R13149" t="s">
        <v>27253</v>
      </c>
      <c r="S13149" t="s">
        <v>27254</v>
      </c>
      <c r="T13149" t="s">
        <v>27255</v>
      </c>
    </row>
    <row r="13150" spans="1:20" x14ac:dyDescent="0.3">
      <c r="A13150" t="str">
        <f>"0611832776100"</f>
        <v>0611832776100</v>
      </c>
      <c r="B13150" t="str">
        <f>"LK5957"</f>
        <v>LK5957</v>
      </c>
      <c r="C13150" t="s">
        <v>52679</v>
      </c>
      <c r="D13150" t="s">
        <v>27245</v>
      </c>
      <c r="E13150" t="str">
        <f t="shared" si="205"/>
        <v>001390</v>
      </c>
      <c r="F13150" t="s">
        <v>27246</v>
      </c>
      <c r="G13150" t="s">
        <v>27247</v>
      </c>
      <c r="H13150" t="s">
        <v>27248</v>
      </c>
      <c r="I13150" t="s">
        <v>52680</v>
      </c>
      <c r="J13150" t="s">
        <v>26305</v>
      </c>
      <c r="L13150" t="s">
        <v>27250</v>
      </c>
      <c r="M13150" t="s">
        <v>27251</v>
      </c>
      <c r="N13150" t="s">
        <v>27252</v>
      </c>
      <c r="Q13150" s="1">
        <v>44538</v>
      </c>
      <c r="R13150" t="s">
        <v>27253</v>
      </c>
      <c r="S13150" t="s">
        <v>27254</v>
      </c>
      <c r="T13150" t="s">
        <v>27255</v>
      </c>
    </row>
    <row r="13151" spans="1:20" x14ac:dyDescent="0.3">
      <c r="A13151" t="str">
        <f>"0611832777100"</f>
        <v>0611832777100</v>
      </c>
      <c r="B13151" t="str">
        <f>"LK6841"</f>
        <v>LK6841</v>
      </c>
      <c r="C13151" t="s">
        <v>52681</v>
      </c>
      <c r="D13151" t="s">
        <v>27245</v>
      </c>
      <c r="E13151" t="str">
        <f t="shared" si="205"/>
        <v>001390</v>
      </c>
      <c r="F13151" t="s">
        <v>27246</v>
      </c>
      <c r="G13151" t="s">
        <v>27247</v>
      </c>
      <c r="H13151" t="s">
        <v>27248</v>
      </c>
      <c r="I13151" t="s">
        <v>52682</v>
      </c>
      <c r="J13151" t="s">
        <v>26307</v>
      </c>
      <c r="L13151" t="s">
        <v>27250</v>
      </c>
      <c r="M13151" t="s">
        <v>27251</v>
      </c>
      <c r="N13151" t="s">
        <v>27252</v>
      </c>
      <c r="Q13151" s="1">
        <v>44538</v>
      </c>
      <c r="R13151" t="s">
        <v>27253</v>
      </c>
      <c r="S13151" t="s">
        <v>27254</v>
      </c>
      <c r="T13151" t="s">
        <v>27255</v>
      </c>
    </row>
    <row r="13152" spans="1:20" x14ac:dyDescent="0.3">
      <c r="A13152" t="str">
        <f>"0611832778100"</f>
        <v>0611832778100</v>
      </c>
      <c r="B13152" t="str">
        <f>"LK5958"</f>
        <v>LK5958</v>
      </c>
      <c r="C13152" t="s">
        <v>52683</v>
      </c>
      <c r="D13152" t="s">
        <v>27245</v>
      </c>
      <c r="E13152" t="str">
        <f t="shared" si="205"/>
        <v>001390</v>
      </c>
      <c r="F13152" t="s">
        <v>27246</v>
      </c>
      <c r="G13152" t="s">
        <v>27247</v>
      </c>
      <c r="H13152" t="s">
        <v>27248</v>
      </c>
      <c r="I13152" t="s">
        <v>52684</v>
      </c>
      <c r="J13152" t="s">
        <v>26309</v>
      </c>
      <c r="L13152" t="s">
        <v>27250</v>
      </c>
      <c r="M13152" t="s">
        <v>27251</v>
      </c>
      <c r="N13152" t="s">
        <v>27252</v>
      </c>
      <c r="Q13152" s="1">
        <v>44538</v>
      </c>
      <c r="R13152" t="s">
        <v>27253</v>
      </c>
      <c r="S13152" t="s">
        <v>27254</v>
      </c>
      <c r="T13152" t="s">
        <v>27255</v>
      </c>
    </row>
    <row r="13153" spans="1:20" x14ac:dyDescent="0.3">
      <c r="A13153" t="str">
        <f>"0611832779100"</f>
        <v>0611832779100</v>
      </c>
      <c r="B13153" t="str">
        <f>"LK5959"</f>
        <v>LK5959</v>
      </c>
      <c r="C13153" t="s">
        <v>52685</v>
      </c>
      <c r="D13153" t="s">
        <v>27245</v>
      </c>
      <c r="E13153" t="str">
        <f t="shared" si="205"/>
        <v>001390</v>
      </c>
      <c r="F13153" t="s">
        <v>27246</v>
      </c>
      <c r="G13153" t="s">
        <v>27247</v>
      </c>
      <c r="H13153" t="s">
        <v>27248</v>
      </c>
      <c r="I13153" t="s">
        <v>52686</v>
      </c>
      <c r="J13153" t="s">
        <v>26311</v>
      </c>
      <c r="L13153" t="s">
        <v>27250</v>
      </c>
      <c r="M13153" t="s">
        <v>27251</v>
      </c>
      <c r="N13153" t="s">
        <v>27252</v>
      </c>
      <c r="Q13153" s="1">
        <v>44538</v>
      </c>
      <c r="R13153" t="s">
        <v>27253</v>
      </c>
      <c r="S13153" t="s">
        <v>27254</v>
      </c>
      <c r="T13153" t="s">
        <v>27255</v>
      </c>
    </row>
    <row r="13154" spans="1:20" x14ac:dyDescent="0.3">
      <c r="A13154" t="str">
        <f>"0611832780100"</f>
        <v>0611832780100</v>
      </c>
      <c r="B13154" t="str">
        <f>"LK5960"</f>
        <v>LK5960</v>
      </c>
      <c r="C13154" t="s">
        <v>52687</v>
      </c>
      <c r="D13154" t="s">
        <v>27245</v>
      </c>
      <c r="E13154" t="str">
        <f t="shared" si="205"/>
        <v>001390</v>
      </c>
      <c r="F13154" t="s">
        <v>27246</v>
      </c>
      <c r="G13154" t="s">
        <v>27247</v>
      </c>
      <c r="H13154" t="s">
        <v>27248</v>
      </c>
      <c r="I13154" t="s">
        <v>52688</v>
      </c>
      <c r="J13154" t="s">
        <v>26313</v>
      </c>
      <c r="L13154" t="s">
        <v>27250</v>
      </c>
      <c r="M13154" t="s">
        <v>27251</v>
      </c>
      <c r="N13154" t="s">
        <v>27252</v>
      </c>
      <c r="Q13154" s="1">
        <v>44538</v>
      </c>
      <c r="R13154" t="s">
        <v>27253</v>
      </c>
      <c r="S13154" t="s">
        <v>27254</v>
      </c>
      <c r="T13154" t="s">
        <v>27255</v>
      </c>
    </row>
    <row r="13155" spans="1:20" x14ac:dyDescent="0.3">
      <c r="A13155" t="str">
        <f>"0611832781100"</f>
        <v>0611832781100</v>
      </c>
      <c r="B13155" t="str">
        <f>"LK5961"</f>
        <v>LK5961</v>
      </c>
      <c r="C13155" t="s">
        <v>52689</v>
      </c>
      <c r="D13155" t="s">
        <v>27245</v>
      </c>
      <c r="E13155" t="str">
        <f t="shared" si="205"/>
        <v>001390</v>
      </c>
      <c r="F13155" t="s">
        <v>27246</v>
      </c>
      <c r="G13155" t="s">
        <v>27247</v>
      </c>
      <c r="H13155" t="s">
        <v>27248</v>
      </c>
      <c r="I13155" t="s">
        <v>52690</v>
      </c>
      <c r="J13155" t="s">
        <v>26315</v>
      </c>
      <c r="L13155" t="s">
        <v>27250</v>
      </c>
      <c r="M13155" t="s">
        <v>27251</v>
      </c>
      <c r="N13155" t="s">
        <v>27252</v>
      </c>
      <c r="Q13155" s="1">
        <v>44538</v>
      </c>
      <c r="R13155" t="s">
        <v>27253</v>
      </c>
      <c r="S13155" t="s">
        <v>27254</v>
      </c>
      <c r="T13155" t="s">
        <v>27255</v>
      </c>
    </row>
    <row r="13156" spans="1:20" x14ac:dyDescent="0.3">
      <c r="A13156" t="str">
        <f>"0611840085025"</f>
        <v>0611840085025</v>
      </c>
      <c r="B13156" t="str">
        <f>"MC0944"</f>
        <v>MC0944</v>
      </c>
      <c r="C13156" t="s">
        <v>52691</v>
      </c>
      <c r="D13156" t="s">
        <v>27267</v>
      </c>
      <c r="E13156" t="str">
        <f t="shared" si="205"/>
        <v>001390</v>
      </c>
      <c r="F13156" t="s">
        <v>27246</v>
      </c>
      <c r="G13156" t="s">
        <v>27247</v>
      </c>
      <c r="H13156" t="s">
        <v>27248</v>
      </c>
      <c r="I13156" t="s">
        <v>52692</v>
      </c>
      <c r="J13156" t="s">
        <v>26039</v>
      </c>
      <c r="L13156" t="s">
        <v>27250</v>
      </c>
      <c r="M13156" t="s">
        <v>27251</v>
      </c>
      <c r="N13156" t="s">
        <v>27252</v>
      </c>
      <c r="Q13156" s="1">
        <v>44538</v>
      </c>
      <c r="R13156" t="s">
        <v>27253</v>
      </c>
      <c r="S13156" t="s">
        <v>27254</v>
      </c>
      <c r="T13156" t="s">
        <v>27269</v>
      </c>
    </row>
    <row r="13157" spans="1:20" x14ac:dyDescent="0.3">
      <c r="A13157" t="str">
        <f>"0611864302050"</f>
        <v>0611864302050</v>
      </c>
      <c r="B13157" t="str">
        <f>"CR2587"</f>
        <v>CR2587</v>
      </c>
      <c r="C13157" t="s">
        <v>52691</v>
      </c>
      <c r="D13157" t="s">
        <v>27263</v>
      </c>
      <c r="E13157" t="str">
        <f t="shared" si="205"/>
        <v>001390</v>
      </c>
      <c r="F13157" t="s">
        <v>27246</v>
      </c>
      <c r="G13157" t="s">
        <v>27247</v>
      </c>
      <c r="H13157" t="s">
        <v>27248</v>
      </c>
      <c r="I13157" t="s">
        <v>52693</v>
      </c>
      <c r="J13157" t="s">
        <v>26041</v>
      </c>
      <c r="L13157" t="s">
        <v>27250</v>
      </c>
      <c r="M13157" t="s">
        <v>27251</v>
      </c>
      <c r="N13157" t="s">
        <v>27252</v>
      </c>
      <c r="Q13157" s="1">
        <v>44846</v>
      </c>
      <c r="R13157" t="s">
        <v>27253</v>
      </c>
      <c r="S13157" t="s">
        <v>27254</v>
      </c>
      <c r="T13157" t="s">
        <v>27265</v>
      </c>
    </row>
    <row r="13158" spans="1:20" x14ac:dyDescent="0.3">
      <c r="A13158" t="str">
        <f>"0611840086100"</f>
        <v>0611840086100</v>
      </c>
      <c r="B13158" t="str">
        <f>"LS0123"</f>
        <v>LS0123</v>
      </c>
      <c r="C13158" t="s">
        <v>52694</v>
      </c>
      <c r="D13158" t="s">
        <v>27245</v>
      </c>
      <c r="E13158" t="str">
        <f t="shared" si="205"/>
        <v>001390</v>
      </c>
      <c r="F13158" t="s">
        <v>27246</v>
      </c>
      <c r="G13158" t="s">
        <v>27247</v>
      </c>
      <c r="H13158" t="s">
        <v>27248</v>
      </c>
      <c r="I13158" t="s">
        <v>52695</v>
      </c>
      <c r="J13158" t="s">
        <v>26043</v>
      </c>
      <c r="L13158" t="s">
        <v>27250</v>
      </c>
      <c r="M13158" t="s">
        <v>27251</v>
      </c>
      <c r="N13158" t="s">
        <v>27252</v>
      </c>
      <c r="Q13158" s="1">
        <v>44538</v>
      </c>
      <c r="R13158" t="s">
        <v>27253</v>
      </c>
      <c r="S13158" t="s">
        <v>27254</v>
      </c>
      <c r="T13158" t="s">
        <v>27255</v>
      </c>
    </row>
    <row r="13159" spans="1:20" x14ac:dyDescent="0.3">
      <c r="A13159" t="str">
        <f>"0611832782100"</f>
        <v>0611832782100</v>
      </c>
      <c r="B13159" t="str">
        <f>"LK1430"</f>
        <v>LK1430</v>
      </c>
      <c r="C13159" t="s">
        <v>52696</v>
      </c>
      <c r="D13159" t="s">
        <v>27245</v>
      </c>
      <c r="E13159" t="str">
        <f t="shared" si="205"/>
        <v>001390</v>
      </c>
      <c r="F13159" t="s">
        <v>27246</v>
      </c>
      <c r="G13159" t="s">
        <v>27247</v>
      </c>
      <c r="H13159" t="s">
        <v>27248</v>
      </c>
      <c r="I13159" t="s">
        <v>52697</v>
      </c>
      <c r="J13159" t="s">
        <v>26317</v>
      </c>
      <c r="L13159" t="s">
        <v>27250</v>
      </c>
      <c r="M13159" t="s">
        <v>27251</v>
      </c>
      <c r="N13159" t="s">
        <v>27252</v>
      </c>
      <c r="Q13159" s="1">
        <v>44538</v>
      </c>
      <c r="R13159" t="s">
        <v>27253</v>
      </c>
      <c r="S13159" t="s">
        <v>27254</v>
      </c>
      <c r="T13159" t="s">
        <v>27255</v>
      </c>
    </row>
    <row r="13160" spans="1:20" x14ac:dyDescent="0.3">
      <c r="A13160" t="str">
        <f>"0611832783100"</f>
        <v>0611832783100</v>
      </c>
      <c r="B13160" t="str">
        <f>"LB9278"</f>
        <v>LB9278</v>
      </c>
      <c r="C13160" t="s">
        <v>52698</v>
      </c>
      <c r="D13160" t="s">
        <v>27245</v>
      </c>
      <c r="E13160" t="str">
        <f t="shared" si="205"/>
        <v>001390</v>
      </c>
      <c r="F13160" t="s">
        <v>27246</v>
      </c>
      <c r="G13160" t="s">
        <v>27247</v>
      </c>
      <c r="H13160" t="s">
        <v>27248</v>
      </c>
      <c r="I13160" t="s">
        <v>52699</v>
      </c>
      <c r="J13160" t="s">
        <v>26319</v>
      </c>
      <c r="L13160" t="s">
        <v>27250</v>
      </c>
      <c r="M13160" t="s">
        <v>27251</v>
      </c>
      <c r="N13160" t="s">
        <v>27252</v>
      </c>
      <c r="Q13160" s="1">
        <v>44538</v>
      </c>
      <c r="R13160" t="s">
        <v>27253</v>
      </c>
      <c r="S13160" t="s">
        <v>27254</v>
      </c>
      <c r="T13160" t="s">
        <v>27255</v>
      </c>
    </row>
    <row r="13161" spans="1:20" x14ac:dyDescent="0.3">
      <c r="A13161" t="str">
        <f>"0611832784100"</f>
        <v>0611832784100</v>
      </c>
      <c r="B13161" t="str">
        <f>"LB9336"</f>
        <v>LB9336</v>
      </c>
      <c r="C13161" t="s">
        <v>52700</v>
      </c>
      <c r="D13161" t="s">
        <v>27245</v>
      </c>
      <c r="E13161" t="str">
        <f t="shared" si="205"/>
        <v>001390</v>
      </c>
      <c r="F13161" t="s">
        <v>27246</v>
      </c>
      <c r="G13161" t="s">
        <v>27247</v>
      </c>
      <c r="H13161" t="s">
        <v>27248</v>
      </c>
      <c r="I13161" t="s">
        <v>52701</v>
      </c>
      <c r="J13161" t="s">
        <v>26321</v>
      </c>
      <c r="L13161" t="s">
        <v>27250</v>
      </c>
      <c r="M13161" t="s">
        <v>27251</v>
      </c>
      <c r="N13161" t="s">
        <v>27252</v>
      </c>
      <c r="Q13161" s="1">
        <v>44538</v>
      </c>
      <c r="R13161" t="s">
        <v>27253</v>
      </c>
      <c r="S13161" t="s">
        <v>27254</v>
      </c>
      <c r="T13161" t="s">
        <v>27255</v>
      </c>
    </row>
    <row r="13162" spans="1:20" x14ac:dyDescent="0.3">
      <c r="A13162" t="str">
        <f>"0611832785100"</f>
        <v>0611832785100</v>
      </c>
      <c r="B13162" t="str">
        <f>"LB9343"</f>
        <v>LB9343</v>
      </c>
      <c r="C13162" t="s">
        <v>52702</v>
      </c>
      <c r="D13162" t="s">
        <v>27245</v>
      </c>
      <c r="E13162" t="str">
        <f t="shared" si="205"/>
        <v>001390</v>
      </c>
      <c r="F13162" t="s">
        <v>27246</v>
      </c>
      <c r="G13162" t="s">
        <v>27247</v>
      </c>
      <c r="H13162" t="s">
        <v>27248</v>
      </c>
      <c r="I13162" t="s">
        <v>52703</v>
      </c>
      <c r="J13162" t="s">
        <v>26323</v>
      </c>
      <c r="L13162" t="s">
        <v>27250</v>
      </c>
      <c r="M13162" t="s">
        <v>27251</v>
      </c>
      <c r="N13162" t="s">
        <v>27252</v>
      </c>
      <c r="Q13162" s="1">
        <v>44538</v>
      </c>
      <c r="R13162" t="s">
        <v>27253</v>
      </c>
      <c r="S13162" t="s">
        <v>27254</v>
      </c>
      <c r="T13162" t="s">
        <v>27255</v>
      </c>
    </row>
    <row r="13163" spans="1:20" x14ac:dyDescent="0.3">
      <c r="A13163" t="str">
        <f>"0611857177100"</f>
        <v>0611857177100</v>
      </c>
      <c r="B13163" t="str">
        <f>"LK7111"</f>
        <v>LK7111</v>
      </c>
      <c r="C13163" t="s">
        <v>52704</v>
      </c>
      <c r="D13163" t="s">
        <v>27245</v>
      </c>
      <c r="E13163" t="str">
        <f t="shared" si="205"/>
        <v>001390</v>
      </c>
      <c r="F13163" t="s">
        <v>27246</v>
      </c>
      <c r="G13163" t="s">
        <v>27247</v>
      </c>
      <c r="H13163" t="s">
        <v>27248</v>
      </c>
      <c r="I13163" t="s">
        <v>52705</v>
      </c>
      <c r="J13163" t="s">
        <v>26325</v>
      </c>
      <c r="L13163" t="s">
        <v>27250</v>
      </c>
      <c r="M13163" t="s">
        <v>27251</v>
      </c>
      <c r="N13163" t="s">
        <v>27252</v>
      </c>
      <c r="Q13163" s="1">
        <v>44812</v>
      </c>
      <c r="R13163" t="s">
        <v>27253</v>
      </c>
      <c r="S13163" t="s">
        <v>27254</v>
      </c>
      <c r="T13163" t="s">
        <v>27255</v>
      </c>
    </row>
    <row r="13164" spans="1:20" x14ac:dyDescent="0.3">
      <c r="A13164" t="str">
        <f>"0611832789100"</f>
        <v>0611832789100</v>
      </c>
      <c r="B13164" t="str">
        <f>"LK6952"</f>
        <v>LK6952</v>
      </c>
      <c r="C13164" t="s">
        <v>52706</v>
      </c>
      <c r="D13164" t="s">
        <v>27245</v>
      </c>
      <c r="E13164" t="str">
        <f t="shared" si="205"/>
        <v>001390</v>
      </c>
      <c r="F13164" t="s">
        <v>27246</v>
      </c>
      <c r="G13164" t="s">
        <v>27247</v>
      </c>
      <c r="H13164" t="s">
        <v>27248</v>
      </c>
      <c r="I13164" t="s">
        <v>52707</v>
      </c>
      <c r="J13164" t="s">
        <v>26327</v>
      </c>
      <c r="L13164" t="s">
        <v>27250</v>
      </c>
      <c r="M13164" t="s">
        <v>27251</v>
      </c>
      <c r="N13164" t="s">
        <v>27252</v>
      </c>
      <c r="Q13164" s="1">
        <v>44538</v>
      </c>
      <c r="R13164" t="s">
        <v>27253</v>
      </c>
      <c r="S13164" t="s">
        <v>27254</v>
      </c>
      <c r="T13164" t="s">
        <v>27255</v>
      </c>
    </row>
    <row r="13165" spans="1:20" x14ac:dyDescent="0.3">
      <c r="A13165" t="str">
        <f>"0611832790100"</f>
        <v>0611832790100</v>
      </c>
      <c r="B13165" t="str">
        <f>"LK6953"</f>
        <v>LK6953</v>
      </c>
      <c r="C13165" t="s">
        <v>52708</v>
      </c>
      <c r="D13165" t="s">
        <v>27245</v>
      </c>
      <c r="E13165" t="str">
        <f t="shared" si="205"/>
        <v>001390</v>
      </c>
      <c r="F13165" t="s">
        <v>27246</v>
      </c>
      <c r="G13165" t="s">
        <v>27247</v>
      </c>
      <c r="H13165" t="s">
        <v>27248</v>
      </c>
      <c r="I13165" t="s">
        <v>52709</v>
      </c>
      <c r="J13165" t="s">
        <v>26329</v>
      </c>
      <c r="L13165" t="s">
        <v>27250</v>
      </c>
      <c r="M13165" t="s">
        <v>27251</v>
      </c>
      <c r="N13165" t="s">
        <v>27252</v>
      </c>
      <c r="Q13165" s="1">
        <v>44538</v>
      </c>
      <c r="R13165" t="s">
        <v>27253</v>
      </c>
      <c r="S13165" t="s">
        <v>27254</v>
      </c>
      <c r="T13165" t="s">
        <v>27255</v>
      </c>
    </row>
    <row r="13166" spans="1:20" x14ac:dyDescent="0.3">
      <c r="A13166" t="str">
        <f>"0611832791100"</f>
        <v>0611832791100</v>
      </c>
      <c r="B13166" t="str">
        <f>"LK6954"</f>
        <v>LK6954</v>
      </c>
      <c r="C13166" t="s">
        <v>52710</v>
      </c>
      <c r="D13166" t="s">
        <v>27245</v>
      </c>
      <c r="E13166" t="str">
        <f t="shared" si="205"/>
        <v>001390</v>
      </c>
      <c r="F13166" t="s">
        <v>27246</v>
      </c>
      <c r="G13166" t="s">
        <v>27247</v>
      </c>
      <c r="H13166" t="s">
        <v>27248</v>
      </c>
      <c r="I13166" t="s">
        <v>52711</v>
      </c>
      <c r="J13166" t="s">
        <v>26331</v>
      </c>
      <c r="L13166" t="s">
        <v>27250</v>
      </c>
      <c r="M13166" t="s">
        <v>27251</v>
      </c>
      <c r="N13166" t="s">
        <v>27252</v>
      </c>
      <c r="Q13166" s="1">
        <v>44538</v>
      </c>
      <c r="R13166" t="s">
        <v>27253</v>
      </c>
      <c r="S13166" t="s">
        <v>27254</v>
      </c>
      <c r="T13166" t="s">
        <v>27255</v>
      </c>
    </row>
    <row r="13167" spans="1:20" x14ac:dyDescent="0.3">
      <c r="A13167" t="str">
        <f>"0611832792100"</f>
        <v>0611832792100</v>
      </c>
      <c r="B13167" t="str">
        <f>"LK6955"</f>
        <v>LK6955</v>
      </c>
      <c r="C13167" t="s">
        <v>52712</v>
      </c>
      <c r="D13167" t="s">
        <v>27245</v>
      </c>
      <c r="E13167" t="str">
        <f t="shared" si="205"/>
        <v>001390</v>
      </c>
      <c r="F13167" t="s">
        <v>27246</v>
      </c>
      <c r="G13167" t="s">
        <v>27247</v>
      </c>
      <c r="H13167" t="s">
        <v>27248</v>
      </c>
      <c r="I13167" t="s">
        <v>52713</v>
      </c>
      <c r="J13167" t="s">
        <v>26333</v>
      </c>
      <c r="L13167" t="s">
        <v>27250</v>
      </c>
      <c r="M13167" t="s">
        <v>27251</v>
      </c>
      <c r="N13167" t="s">
        <v>27252</v>
      </c>
      <c r="Q13167" s="1">
        <v>44538</v>
      </c>
      <c r="R13167" t="s">
        <v>27253</v>
      </c>
      <c r="S13167" t="s">
        <v>27254</v>
      </c>
      <c r="T13167" t="s">
        <v>27255</v>
      </c>
    </row>
    <row r="13168" spans="1:20" x14ac:dyDescent="0.3">
      <c r="A13168" t="str">
        <f>"0611832793100"</f>
        <v>0611832793100</v>
      </c>
      <c r="B13168" t="str">
        <f>"LK6956"</f>
        <v>LK6956</v>
      </c>
      <c r="C13168" t="s">
        <v>52714</v>
      </c>
      <c r="D13168" t="s">
        <v>27245</v>
      </c>
      <c r="E13168" t="str">
        <f t="shared" si="205"/>
        <v>001390</v>
      </c>
      <c r="F13168" t="s">
        <v>27246</v>
      </c>
      <c r="G13168" t="s">
        <v>27247</v>
      </c>
      <c r="H13168" t="s">
        <v>27248</v>
      </c>
      <c r="I13168" t="s">
        <v>52715</v>
      </c>
      <c r="J13168" t="s">
        <v>26335</v>
      </c>
      <c r="L13168" t="s">
        <v>27250</v>
      </c>
      <c r="M13168" t="s">
        <v>27251</v>
      </c>
      <c r="N13168" t="s">
        <v>27252</v>
      </c>
      <c r="Q13168" s="1">
        <v>44538</v>
      </c>
      <c r="R13168" t="s">
        <v>27253</v>
      </c>
      <c r="S13168" t="s">
        <v>27254</v>
      </c>
      <c r="T13168" t="s">
        <v>27255</v>
      </c>
    </row>
    <row r="13169" spans="1:20" x14ac:dyDescent="0.3">
      <c r="A13169" t="str">
        <f>"0611857178100"</f>
        <v>0611857178100</v>
      </c>
      <c r="B13169" t="str">
        <f>"LK7112"</f>
        <v>LK7112</v>
      </c>
      <c r="C13169" t="s">
        <v>52716</v>
      </c>
      <c r="D13169" t="s">
        <v>27245</v>
      </c>
      <c r="E13169" t="str">
        <f t="shared" si="205"/>
        <v>001390</v>
      </c>
      <c r="F13169" t="s">
        <v>27246</v>
      </c>
      <c r="G13169" t="s">
        <v>27247</v>
      </c>
      <c r="H13169" t="s">
        <v>27248</v>
      </c>
      <c r="I13169" t="s">
        <v>52717</v>
      </c>
      <c r="J13169" t="s">
        <v>26337</v>
      </c>
      <c r="L13169" t="s">
        <v>27250</v>
      </c>
      <c r="M13169" t="s">
        <v>27251</v>
      </c>
      <c r="N13169" t="s">
        <v>27252</v>
      </c>
      <c r="Q13169" s="1">
        <v>44812</v>
      </c>
      <c r="R13169" t="s">
        <v>27253</v>
      </c>
      <c r="S13169" t="s">
        <v>27254</v>
      </c>
      <c r="T13169" t="s">
        <v>27255</v>
      </c>
    </row>
    <row r="13170" spans="1:20" x14ac:dyDescent="0.3">
      <c r="A13170" t="str">
        <f>"0611857179100"</f>
        <v>0611857179100</v>
      </c>
      <c r="B13170" t="str">
        <f>"LK7113"</f>
        <v>LK7113</v>
      </c>
      <c r="C13170" t="s">
        <v>52718</v>
      </c>
      <c r="D13170" t="s">
        <v>27245</v>
      </c>
      <c r="E13170" t="str">
        <f t="shared" si="205"/>
        <v>001390</v>
      </c>
      <c r="F13170" t="s">
        <v>27246</v>
      </c>
      <c r="G13170" t="s">
        <v>27247</v>
      </c>
      <c r="H13170" t="s">
        <v>27248</v>
      </c>
      <c r="I13170" t="s">
        <v>52719</v>
      </c>
      <c r="J13170" t="s">
        <v>26339</v>
      </c>
      <c r="L13170" t="s">
        <v>27250</v>
      </c>
      <c r="M13170" t="s">
        <v>27251</v>
      </c>
      <c r="N13170" t="s">
        <v>27252</v>
      </c>
      <c r="Q13170" s="1">
        <v>44812</v>
      </c>
      <c r="R13170" t="s">
        <v>27253</v>
      </c>
      <c r="S13170" t="s">
        <v>27254</v>
      </c>
      <c r="T13170" t="s">
        <v>27255</v>
      </c>
    </row>
    <row r="13171" spans="1:20" x14ac:dyDescent="0.3">
      <c r="A13171" t="str">
        <f>"0611832794100"</f>
        <v>0611832794100</v>
      </c>
      <c r="B13171" t="str">
        <f>"LK6957"</f>
        <v>LK6957</v>
      </c>
      <c r="C13171" t="s">
        <v>52720</v>
      </c>
      <c r="D13171" t="s">
        <v>27245</v>
      </c>
      <c r="E13171" t="str">
        <f t="shared" si="205"/>
        <v>001390</v>
      </c>
      <c r="F13171" t="s">
        <v>27246</v>
      </c>
      <c r="G13171" t="s">
        <v>27247</v>
      </c>
      <c r="H13171" t="s">
        <v>27248</v>
      </c>
      <c r="I13171" t="s">
        <v>52721</v>
      </c>
      <c r="J13171" t="s">
        <v>26341</v>
      </c>
      <c r="L13171" t="s">
        <v>27250</v>
      </c>
      <c r="M13171" t="s">
        <v>27251</v>
      </c>
      <c r="N13171" t="s">
        <v>27252</v>
      </c>
      <c r="Q13171" s="1">
        <v>44538</v>
      </c>
      <c r="R13171" t="s">
        <v>27253</v>
      </c>
      <c r="S13171" t="s">
        <v>27254</v>
      </c>
      <c r="T13171" t="s">
        <v>27255</v>
      </c>
    </row>
    <row r="13172" spans="1:20" x14ac:dyDescent="0.3">
      <c r="A13172" t="str">
        <f>"0611832795100"</f>
        <v>0611832795100</v>
      </c>
      <c r="B13172" t="str">
        <f>"LK6958"</f>
        <v>LK6958</v>
      </c>
      <c r="C13172" t="s">
        <v>52722</v>
      </c>
      <c r="D13172" t="s">
        <v>27245</v>
      </c>
      <c r="E13172" t="str">
        <f t="shared" si="205"/>
        <v>001390</v>
      </c>
      <c r="F13172" t="s">
        <v>27246</v>
      </c>
      <c r="G13172" t="s">
        <v>27247</v>
      </c>
      <c r="H13172" t="s">
        <v>27248</v>
      </c>
      <c r="I13172" t="s">
        <v>52723</v>
      </c>
      <c r="J13172" t="s">
        <v>26343</v>
      </c>
      <c r="L13172" t="s">
        <v>27250</v>
      </c>
      <c r="M13172" t="s">
        <v>27251</v>
      </c>
      <c r="N13172" t="s">
        <v>27252</v>
      </c>
      <c r="Q13172" s="1">
        <v>44538</v>
      </c>
      <c r="R13172" t="s">
        <v>27253</v>
      </c>
      <c r="S13172" t="s">
        <v>27254</v>
      </c>
      <c r="T13172" t="s">
        <v>27255</v>
      </c>
    </row>
    <row r="13173" spans="1:20" x14ac:dyDescent="0.3">
      <c r="A13173" t="str">
        <f>"0611857180100"</f>
        <v>0611857180100</v>
      </c>
      <c r="B13173" t="str">
        <f>"LK7114"</f>
        <v>LK7114</v>
      </c>
      <c r="C13173" t="s">
        <v>52724</v>
      </c>
      <c r="D13173" t="s">
        <v>27245</v>
      </c>
      <c r="E13173" t="str">
        <f t="shared" si="205"/>
        <v>001390</v>
      </c>
      <c r="F13173" t="s">
        <v>27246</v>
      </c>
      <c r="G13173" t="s">
        <v>27247</v>
      </c>
      <c r="H13173" t="s">
        <v>27248</v>
      </c>
      <c r="I13173" t="s">
        <v>52725</v>
      </c>
      <c r="J13173" t="s">
        <v>26345</v>
      </c>
      <c r="L13173" t="s">
        <v>27250</v>
      </c>
      <c r="M13173" t="s">
        <v>27251</v>
      </c>
      <c r="N13173" t="s">
        <v>27252</v>
      </c>
      <c r="Q13173" s="1">
        <v>44812</v>
      </c>
      <c r="R13173" t="s">
        <v>27253</v>
      </c>
      <c r="S13173" t="s">
        <v>27254</v>
      </c>
      <c r="T13173" t="s">
        <v>27255</v>
      </c>
    </row>
    <row r="13174" spans="1:20" x14ac:dyDescent="0.3">
      <c r="A13174" t="str">
        <f>"0611832796100"</f>
        <v>0611832796100</v>
      </c>
      <c r="B13174" t="str">
        <f>"LK6959"</f>
        <v>LK6959</v>
      </c>
      <c r="C13174" t="s">
        <v>52726</v>
      </c>
      <c r="D13174" t="s">
        <v>27245</v>
      </c>
      <c r="E13174" t="str">
        <f t="shared" si="205"/>
        <v>001390</v>
      </c>
      <c r="F13174" t="s">
        <v>27246</v>
      </c>
      <c r="G13174" t="s">
        <v>27247</v>
      </c>
      <c r="H13174" t="s">
        <v>27248</v>
      </c>
      <c r="I13174" t="s">
        <v>52727</v>
      </c>
      <c r="J13174" t="s">
        <v>26347</v>
      </c>
      <c r="L13174" t="s">
        <v>27250</v>
      </c>
      <c r="M13174" t="s">
        <v>27251</v>
      </c>
      <c r="N13174" t="s">
        <v>27252</v>
      </c>
      <c r="Q13174" s="1">
        <v>44538</v>
      </c>
      <c r="R13174" t="s">
        <v>27253</v>
      </c>
      <c r="S13174" t="s">
        <v>27254</v>
      </c>
      <c r="T13174" t="s">
        <v>27255</v>
      </c>
    </row>
    <row r="13175" spans="1:20" x14ac:dyDescent="0.3">
      <c r="A13175" t="str">
        <f>"0611832797100"</f>
        <v>0611832797100</v>
      </c>
      <c r="B13175" t="str">
        <f>"LK6960"</f>
        <v>LK6960</v>
      </c>
      <c r="C13175" t="s">
        <v>52728</v>
      </c>
      <c r="D13175" t="s">
        <v>27245</v>
      </c>
      <c r="E13175" t="str">
        <f t="shared" si="205"/>
        <v>001390</v>
      </c>
      <c r="F13175" t="s">
        <v>27246</v>
      </c>
      <c r="G13175" t="s">
        <v>27247</v>
      </c>
      <c r="H13175" t="s">
        <v>27248</v>
      </c>
      <c r="I13175" t="s">
        <v>52729</v>
      </c>
      <c r="J13175" t="s">
        <v>26349</v>
      </c>
      <c r="L13175" t="s">
        <v>27250</v>
      </c>
      <c r="M13175" t="s">
        <v>27251</v>
      </c>
      <c r="N13175" t="s">
        <v>27252</v>
      </c>
      <c r="Q13175" s="1">
        <v>44538</v>
      </c>
      <c r="R13175" t="s">
        <v>27253</v>
      </c>
      <c r="S13175" t="s">
        <v>27254</v>
      </c>
      <c r="T13175" t="s">
        <v>27255</v>
      </c>
    </row>
    <row r="13176" spans="1:20" x14ac:dyDescent="0.3">
      <c r="A13176" t="str">
        <f>"0611832802100"</f>
        <v>0611832802100</v>
      </c>
      <c r="B13176" t="str">
        <f>"LK6638"</f>
        <v>LK6638</v>
      </c>
      <c r="C13176" t="s">
        <v>52730</v>
      </c>
      <c r="D13176" t="s">
        <v>28138</v>
      </c>
      <c r="E13176" t="str">
        <f t="shared" si="205"/>
        <v>001390</v>
      </c>
      <c r="F13176" t="s">
        <v>27246</v>
      </c>
      <c r="G13176" t="s">
        <v>27247</v>
      </c>
      <c r="H13176" t="s">
        <v>27248</v>
      </c>
      <c r="I13176" t="s">
        <v>52731</v>
      </c>
      <c r="J13176" t="s">
        <v>26351</v>
      </c>
      <c r="L13176" t="s">
        <v>27250</v>
      </c>
      <c r="M13176" t="s">
        <v>27251</v>
      </c>
      <c r="N13176" t="s">
        <v>27252</v>
      </c>
      <c r="P13176" t="s">
        <v>27925</v>
      </c>
      <c r="Q13176" s="1">
        <v>44538</v>
      </c>
      <c r="R13176" t="s">
        <v>27253</v>
      </c>
      <c r="S13176" t="s">
        <v>27254</v>
      </c>
      <c r="T13176" t="s">
        <v>27255</v>
      </c>
    </row>
    <row r="13177" spans="1:20" x14ac:dyDescent="0.3">
      <c r="A13177" t="str">
        <f>"0611832803100"</f>
        <v>0611832803100</v>
      </c>
      <c r="B13177" t="str">
        <f>"LK6961"</f>
        <v>LK6961</v>
      </c>
      <c r="C13177" t="s">
        <v>52732</v>
      </c>
      <c r="D13177" t="s">
        <v>28138</v>
      </c>
      <c r="E13177" t="str">
        <f t="shared" si="205"/>
        <v>001390</v>
      </c>
      <c r="F13177" t="s">
        <v>27246</v>
      </c>
      <c r="G13177" t="s">
        <v>27247</v>
      </c>
      <c r="H13177" t="s">
        <v>27248</v>
      </c>
      <c r="I13177" t="s">
        <v>52733</v>
      </c>
      <c r="J13177" t="s">
        <v>26353</v>
      </c>
      <c r="L13177" t="s">
        <v>27250</v>
      </c>
      <c r="M13177" t="s">
        <v>27251</v>
      </c>
      <c r="N13177" t="s">
        <v>27252</v>
      </c>
      <c r="P13177" t="s">
        <v>27925</v>
      </c>
      <c r="Q13177" s="1">
        <v>44538</v>
      </c>
      <c r="R13177" t="s">
        <v>27253</v>
      </c>
      <c r="S13177" t="s">
        <v>27254</v>
      </c>
      <c r="T13177" t="s">
        <v>27255</v>
      </c>
    </row>
    <row r="13178" spans="1:20" x14ac:dyDescent="0.3">
      <c r="A13178" t="str">
        <f>"0611840087100"</f>
        <v>0611840087100</v>
      </c>
      <c r="B13178" t="str">
        <f>"LQ0913"</f>
        <v>LQ0913</v>
      </c>
      <c r="C13178" t="s">
        <v>52734</v>
      </c>
      <c r="D13178" t="s">
        <v>27245</v>
      </c>
      <c r="E13178" t="str">
        <f t="shared" si="205"/>
        <v>001390</v>
      </c>
      <c r="F13178" t="s">
        <v>27246</v>
      </c>
      <c r="G13178" t="s">
        <v>27247</v>
      </c>
      <c r="H13178" t="s">
        <v>27248</v>
      </c>
      <c r="I13178" t="s">
        <v>52735</v>
      </c>
      <c r="J13178" t="s">
        <v>26045</v>
      </c>
      <c r="L13178" t="s">
        <v>27250</v>
      </c>
      <c r="M13178" t="s">
        <v>27251</v>
      </c>
      <c r="N13178" t="s">
        <v>27252</v>
      </c>
      <c r="Q13178" s="1">
        <v>44538</v>
      </c>
      <c r="R13178" t="s">
        <v>27253</v>
      </c>
      <c r="S13178" t="s">
        <v>27254</v>
      </c>
      <c r="T13178" t="s">
        <v>27255</v>
      </c>
    </row>
    <row r="13179" spans="1:20" x14ac:dyDescent="0.3">
      <c r="A13179" t="str">
        <f>"0611864303050"</f>
        <v>0611864303050</v>
      </c>
      <c r="B13179" t="str">
        <f>"CR3027"</f>
        <v>CR3027</v>
      </c>
      <c r="C13179" t="s">
        <v>52734</v>
      </c>
      <c r="D13179" t="s">
        <v>27263</v>
      </c>
      <c r="E13179" t="str">
        <f t="shared" si="205"/>
        <v>001390</v>
      </c>
      <c r="F13179" t="s">
        <v>27246</v>
      </c>
      <c r="G13179" t="s">
        <v>27247</v>
      </c>
      <c r="H13179" t="s">
        <v>27248</v>
      </c>
      <c r="I13179" t="s">
        <v>52736</v>
      </c>
      <c r="J13179" t="s">
        <v>26047</v>
      </c>
      <c r="L13179" t="s">
        <v>27250</v>
      </c>
      <c r="M13179" t="s">
        <v>27251</v>
      </c>
      <c r="N13179" t="s">
        <v>27252</v>
      </c>
      <c r="Q13179" s="1">
        <v>44846</v>
      </c>
      <c r="R13179" t="s">
        <v>27253</v>
      </c>
      <c r="S13179" t="s">
        <v>27254</v>
      </c>
      <c r="T13179" t="s">
        <v>27265</v>
      </c>
    </row>
    <row r="13180" spans="1:20" x14ac:dyDescent="0.3">
      <c r="A13180" t="str">
        <f>"0611884507100"</f>
        <v>0611884507100</v>
      </c>
      <c r="B13180" t="str">
        <f>"LK7194"</f>
        <v>LK7194</v>
      </c>
      <c r="C13180" t="s">
        <v>52737</v>
      </c>
      <c r="D13180" t="s">
        <v>27245</v>
      </c>
      <c r="E13180" t="str">
        <f t="shared" si="205"/>
        <v>001390</v>
      </c>
      <c r="F13180" t="s">
        <v>27246</v>
      </c>
      <c r="G13180" t="s">
        <v>27247</v>
      </c>
      <c r="H13180" t="s">
        <v>27248</v>
      </c>
      <c r="I13180" t="s">
        <v>52738</v>
      </c>
      <c r="J13180" t="s">
        <v>26365</v>
      </c>
      <c r="L13180" t="s">
        <v>27430</v>
      </c>
      <c r="M13180" t="s">
        <v>27251</v>
      </c>
      <c r="N13180" t="s">
        <v>27252</v>
      </c>
      <c r="Q13180" s="1">
        <v>45250</v>
      </c>
      <c r="R13180" t="s">
        <v>27253</v>
      </c>
      <c r="S13180" t="s">
        <v>27254</v>
      </c>
      <c r="T13180" t="s">
        <v>27255</v>
      </c>
    </row>
    <row r="13181" spans="1:20" x14ac:dyDescent="0.3">
      <c r="A13181" t="str">
        <f>"0611884508100"</f>
        <v>0611884508100</v>
      </c>
      <c r="B13181" t="str">
        <f>"LK7195"</f>
        <v>LK7195</v>
      </c>
      <c r="C13181" t="s">
        <v>52739</v>
      </c>
      <c r="D13181" t="s">
        <v>27245</v>
      </c>
      <c r="E13181" t="str">
        <f t="shared" si="205"/>
        <v>001390</v>
      </c>
      <c r="F13181" t="s">
        <v>27246</v>
      </c>
      <c r="G13181" t="s">
        <v>27247</v>
      </c>
      <c r="H13181" t="s">
        <v>27248</v>
      </c>
      <c r="I13181" t="s">
        <v>52740</v>
      </c>
      <c r="J13181" t="s">
        <v>26367</v>
      </c>
      <c r="L13181" t="s">
        <v>27430</v>
      </c>
      <c r="M13181" t="s">
        <v>27251</v>
      </c>
      <c r="N13181" t="s">
        <v>27252</v>
      </c>
      <c r="Q13181" s="1">
        <v>45250</v>
      </c>
      <c r="R13181" t="s">
        <v>27253</v>
      </c>
      <c r="S13181" t="s">
        <v>27254</v>
      </c>
      <c r="T13181" t="s">
        <v>27255</v>
      </c>
    </row>
    <row r="13182" spans="1:20" x14ac:dyDescent="0.3">
      <c r="A13182" t="str">
        <f>"0611884509100"</f>
        <v>0611884509100</v>
      </c>
      <c r="B13182" t="str">
        <f>"LK7196"</f>
        <v>LK7196</v>
      </c>
      <c r="C13182" t="s">
        <v>52741</v>
      </c>
      <c r="D13182" t="s">
        <v>27245</v>
      </c>
      <c r="E13182" t="str">
        <f t="shared" si="205"/>
        <v>001390</v>
      </c>
      <c r="F13182" t="s">
        <v>27246</v>
      </c>
      <c r="G13182" t="s">
        <v>27247</v>
      </c>
      <c r="H13182" t="s">
        <v>27248</v>
      </c>
      <c r="I13182" t="s">
        <v>52742</v>
      </c>
      <c r="J13182" t="s">
        <v>26369</v>
      </c>
      <c r="L13182" t="s">
        <v>27430</v>
      </c>
      <c r="M13182" t="s">
        <v>27251</v>
      </c>
      <c r="N13182" t="s">
        <v>27252</v>
      </c>
      <c r="Q13182" s="1">
        <v>45250</v>
      </c>
      <c r="R13182" t="s">
        <v>27253</v>
      </c>
      <c r="S13182" t="s">
        <v>27254</v>
      </c>
      <c r="T13182" t="s">
        <v>27255</v>
      </c>
    </row>
    <row r="13183" spans="1:20" x14ac:dyDescent="0.3">
      <c r="A13183" t="str">
        <f>"0611884510100"</f>
        <v>0611884510100</v>
      </c>
      <c r="B13183" t="str">
        <f>"LK7197"</f>
        <v>LK7197</v>
      </c>
      <c r="C13183" t="s">
        <v>52743</v>
      </c>
      <c r="D13183" t="s">
        <v>27245</v>
      </c>
      <c r="E13183" t="str">
        <f t="shared" si="205"/>
        <v>001390</v>
      </c>
      <c r="F13183" t="s">
        <v>27246</v>
      </c>
      <c r="G13183" t="s">
        <v>27247</v>
      </c>
      <c r="H13183" t="s">
        <v>27248</v>
      </c>
      <c r="I13183" t="s">
        <v>52744</v>
      </c>
      <c r="J13183" t="s">
        <v>26371</v>
      </c>
      <c r="L13183" t="s">
        <v>27430</v>
      </c>
      <c r="M13183" t="s">
        <v>27251</v>
      </c>
      <c r="N13183" t="s">
        <v>27252</v>
      </c>
      <c r="Q13183" s="1">
        <v>45250</v>
      </c>
      <c r="R13183" t="s">
        <v>27253</v>
      </c>
      <c r="S13183" t="s">
        <v>27254</v>
      </c>
      <c r="T13183" t="s">
        <v>27255</v>
      </c>
    </row>
    <row r="13184" spans="1:20" x14ac:dyDescent="0.3">
      <c r="A13184" t="str">
        <f>"0611884512100"</f>
        <v>0611884512100</v>
      </c>
      <c r="B13184" t="str">
        <f>"LK7170"</f>
        <v>LK7170</v>
      </c>
      <c r="C13184" t="s">
        <v>52745</v>
      </c>
      <c r="D13184" t="s">
        <v>27245</v>
      </c>
      <c r="E13184" t="str">
        <f t="shared" si="205"/>
        <v>001390</v>
      </c>
      <c r="F13184" t="s">
        <v>27246</v>
      </c>
      <c r="G13184" t="s">
        <v>27247</v>
      </c>
      <c r="H13184" t="s">
        <v>27248</v>
      </c>
      <c r="I13184" t="s">
        <v>52746</v>
      </c>
      <c r="J13184" t="s">
        <v>26373</v>
      </c>
      <c r="L13184" t="s">
        <v>27430</v>
      </c>
      <c r="M13184" t="s">
        <v>27251</v>
      </c>
      <c r="N13184" t="s">
        <v>27252</v>
      </c>
      <c r="Q13184" s="1">
        <v>45250</v>
      </c>
      <c r="R13184" t="s">
        <v>27253</v>
      </c>
      <c r="S13184" t="s">
        <v>27254</v>
      </c>
      <c r="T13184" t="s">
        <v>27255</v>
      </c>
    </row>
    <row r="13185" spans="1:20" x14ac:dyDescent="0.3">
      <c r="A13185" t="str">
        <f>"0611884513100"</f>
        <v>0611884513100</v>
      </c>
      <c r="B13185" t="str">
        <f>"LK7198"</f>
        <v>LK7198</v>
      </c>
      <c r="C13185" t="s">
        <v>52747</v>
      </c>
      <c r="D13185" t="s">
        <v>28138</v>
      </c>
      <c r="E13185" t="str">
        <f t="shared" si="205"/>
        <v>001390</v>
      </c>
      <c r="F13185" t="s">
        <v>27246</v>
      </c>
      <c r="G13185" t="s">
        <v>27247</v>
      </c>
      <c r="H13185" t="s">
        <v>27248</v>
      </c>
      <c r="I13185" t="s">
        <v>52748</v>
      </c>
      <c r="J13185" t="s">
        <v>26375</v>
      </c>
      <c r="L13185" t="s">
        <v>27430</v>
      </c>
      <c r="M13185" t="s">
        <v>27251</v>
      </c>
      <c r="N13185" t="s">
        <v>27252</v>
      </c>
      <c r="P13185" t="s">
        <v>27925</v>
      </c>
      <c r="Q13185" s="1">
        <v>45250</v>
      </c>
      <c r="R13185" t="s">
        <v>27253</v>
      </c>
      <c r="S13185" t="s">
        <v>27254</v>
      </c>
      <c r="T13185" t="s">
        <v>27255</v>
      </c>
    </row>
    <row r="13186" spans="1:20" x14ac:dyDescent="0.3">
      <c r="A13186" t="str">
        <f>"0611884514100"</f>
        <v>0611884514100</v>
      </c>
      <c r="B13186" t="str">
        <f>"LK7171"</f>
        <v>LK7171</v>
      </c>
      <c r="C13186" t="s">
        <v>52749</v>
      </c>
      <c r="D13186" t="s">
        <v>27245</v>
      </c>
      <c r="E13186" t="str">
        <f t="shared" ref="E13186:E13249" si="206">"001390"</f>
        <v>001390</v>
      </c>
      <c r="F13186" t="s">
        <v>27246</v>
      </c>
      <c r="G13186" t="s">
        <v>27247</v>
      </c>
      <c r="H13186" t="s">
        <v>27248</v>
      </c>
      <c r="I13186" t="s">
        <v>52750</v>
      </c>
      <c r="J13186" t="s">
        <v>26377</v>
      </c>
      <c r="L13186" t="s">
        <v>27430</v>
      </c>
      <c r="M13186" t="s">
        <v>27251</v>
      </c>
      <c r="N13186" t="s">
        <v>27252</v>
      </c>
      <c r="Q13186" s="1">
        <v>45250</v>
      </c>
      <c r="R13186" t="s">
        <v>27253</v>
      </c>
      <c r="S13186" t="s">
        <v>27254</v>
      </c>
      <c r="T13186" t="s">
        <v>27255</v>
      </c>
    </row>
    <row r="13187" spans="1:20" x14ac:dyDescent="0.3">
      <c r="A13187" t="str">
        <f>"0611884515100"</f>
        <v>0611884515100</v>
      </c>
      <c r="B13187" t="str">
        <f>"LK7172"</f>
        <v>LK7172</v>
      </c>
      <c r="C13187" t="s">
        <v>52751</v>
      </c>
      <c r="D13187" t="s">
        <v>27245</v>
      </c>
      <c r="E13187" t="str">
        <f t="shared" si="206"/>
        <v>001390</v>
      </c>
      <c r="F13187" t="s">
        <v>27246</v>
      </c>
      <c r="G13187" t="s">
        <v>27247</v>
      </c>
      <c r="H13187" t="s">
        <v>27248</v>
      </c>
      <c r="I13187" t="s">
        <v>52752</v>
      </c>
      <c r="J13187" t="s">
        <v>26379</v>
      </c>
      <c r="L13187" t="s">
        <v>27430</v>
      </c>
      <c r="M13187" t="s">
        <v>27251</v>
      </c>
      <c r="N13187" t="s">
        <v>27252</v>
      </c>
      <c r="Q13187" s="1">
        <v>45250</v>
      </c>
      <c r="R13187" t="s">
        <v>27253</v>
      </c>
      <c r="S13187" t="s">
        <v>27254</v>
      </c>
      <c r="T13187" t="s">
        <v>27255</v>
      </c>
    </row>
    <row r="13188" spans="1:20" x14ac:dyDescent="0.3">
      <c r="A13188" t="str">
        <f>"0611884516100"</f>
        <v>0611884516100</v>
      </c>
      <c r="B13188" t="str">
        <f>"LK5830"</f>
        <v>LK5830</v>
      </c>
      <c r="C13188" t="s">
        <v>52753</v>
      </c>
      <c r="D13188" t="s">
        <v>27245</v>
      </c>
      <c r="E13188" t="str">
        <f t="shared" si="206"/>
        <v>001390</v>
      </c>
      <c r="F13188" t="s">
        <v>27246</v>
      </c>
      <c r="G13188" t="s">
        <v>27247</v>
      </c>
      <c r="H13188" t="s">
        <v>27248</v>
      </c>
      <c r="I13188" t="s">
        <v>52754</v>
      </c>
      <c r="J13188" t="s">
        <v>26381</v>
      </c>
      <c r="L13188" t="s">
        <v>27430</v>
      </c>
      <c r="M13188" t="s">
        <v>27251</v>
      </c>
      <c r="N13188" t="s">
        <v>27252</v>
      </c>
      <c r="Q13188" s="1">
        <v>45250</v>
      </c>
      <c r="R13188" t="s">
        <v>27253</v>
      </c>
      <c r="S13188" t="s">
        <v>27254</v>
      </c>
      <c r="T13188" t="s">
        <v>27255</v>
      </c>
    </row>
    <row r="13189" spans="1:20" x14ac:dyDescent="0.3">
      <c r="A13189" t="str">
        <f>"0611840372100"</f>
        <v>0611840372100</v>
      </c>
      <c r="B13189" t="str">
        <f>"LK5838"</f>
        <v>LK5838</v>
      </c>
      <c r="C13189" t="s">
        <v>52755</v>
      </c>
      <c r="D13189" t="s">
        <v>27245</v>
      </c>
      <c r="E13189" t="str">
        <f t="shared" si="206"/>
        <v>001390</v>
      </c>
      <c r="F13189" t="s">
        <v>27246</v>
      </c>
      <c r="G13189" t="s">
        <v>27247</v>
      </c>
      <c r="H13189" t="s">
        <v>27248</v>
      </c>
      <c r="I13189" t="s">
        <v>52756</v>
      </c>
      <c r="J13189" t="s">
        <v>26383</v>
      </c>
      <c r="L13189" t="s">
        <v>27430</v>
      </c>
      <c r="M13189" t="s">
        <v>27251</v>
      </c>
      <c r="N13189" t="s">
        <v>27252</v>
      </c>
      <c r="Q13189" s="1">
        <v>44538</v>
      </c>
      <c r="R13189" t="s">
        <v>27253</v>
      </c>
      <c r="S13189" t="s">
        <v>27254</v>
      </c>
      <c r="T13189" t="s">
        <v>27255</v>
      </c>
    </row>
    <row r="13190" spans="1:20" x14ac:dyDescent="0.3">
      <c r="A13190" t="str">
        <f>"0611884517100"</f>
        <v>0611884517100</v>
      </c>
      <c r="B13190" t="str">
        <f>"LK7173"</f>
        <v>LK7173</v>
      </c>
      <c r="C13190" t="s">
        <v>52757</v>
      </c>
      <c r="D13190" t="s">
        <v>27245</v>
      </c>
      <c r="E13190" t="str">
        <f t="shared" si="206"/>
        <v>001390</v>
      </c>
      <c r="F13190" t="s">
        <v>27246</v>
      </c>
      <c r="G13190" t="s">
        <v>27247</v>
      </c>
      <c r="H13190" t="s">
        <v>27248</v>
      </c>
      <c r="I13190" t="s">
        <v>52758</v>
      </c>
      <c r="J13190" t="s">
        <v>26385</v>
      </c>
      <c r="L13190" t="s">
        <v>27430</v>
      </c>
      <c r="M13190" t="s">
        <v>27251</v>
      </c>
      <c r="N13190" t="s">
        <v>27252</v>
      </c>
      <c r="Q13190" s="1">
        <v>45250</v>
      </c>
      <c r="R13190" t="s">
        <v>27253</v>
      </c>
      <c r="S13190" t="s">
        <v>27254</v>
      </c>
      <c r="T13190" t="s">
        <v>27255</v>
      </c>
    </row>
    <row r="13191" spans="1:20" x14ac:dyDescent="0.3">
      <c r="A13191" t="str">
        <f>"0611840597100"</f>
        <v>0611840597100</v>
      </c>
      <c r="B13191" t="str">
        <f>"LK0438"</f>
        <v>LK0438</v>
      </c>
      <c r="C13191" t="s">
        <v>52759</v>
      </c>
      <c r="D13191" t="s">
        <v>27245</v>
      </c>
      <c r="E13191" t="str">
        <f t="shared" si="206"/>
        <v>001390</v>
      </c>
      <c r="F13191" t="s">
        <v>27246</v>
      </c>
      <c r="G13191" t="s">
        <v>27247</v>
      </c>
      <c r="H13191" t="s">
        <v>27248</v>
      </c>
      <c r="I13191" t="s">
        <v>52760</v>
      </c>
      <c r="J13191" t="s">
        <v>26387</v>
      </c>
      <c r="L13191" t="s">
        <v>27250</v>
      </c>
      <c r="M13191" t="s">
        <v>27251</v>
      </c>
      <c r="N13191" t="s">
        <v>27252</v>
      </c>
      <c r="Q13191" s="1">
        <v>44538</v>
      </c>
      <c r="R13191" t="s">
        <v>27253</v>
      </c>
      <c r="S13191" t="s">
        <v>27254</v>
      </c>
      <c r="T13191" t="s">
        <v>27255</v>
      </c>
    </row>
    <row r="13192" spans="1:20" x14ac:dyDescent="0.3">
      <c r="A13192" t="str">
        <f>"0611840598100"</f>
        <v>0611840598100</v>
      </c>
      <c r="B13192" t="str">
        <f>"LK6185"</f>
        <v>LK6185</v>
      </c>
      <c r="C13192" t="s">
        <v>52761</v>
      </c>
      <c r="D13192" t="s">
        <v>27245</v>
      </c>
      <c r="E13192" t="str">
        <f t="shared" si="206"/>
        <v>001390</v>
      </c>
      <c r="F13192" t="s">
        <v>27246</v>
      </c>
      <c r="G13192" t="s">
        <v>27247</v>
      </c>
      <c r="H13192" t="s">
        <v>27248</v>
      </c>
      <c r="I13192" t="s">
        <v>52762</v>
      </c>
      <c r="J13192" t="s">
        <v>26437</v>
      </c>
      <c r="L13192" t="s">
        <v>27250</v>
      </c>
      <c r="M13192" t="s">
        <v>27251</v>
      </c>
      <c r="N13192" t="s">
        <v>27252</v>
      </c>
      <c r="Q13192" s="1">
        <v>44538</v>
      </c>
      <c r="R13192" t="s">
        <v>27253</v>
      </c>
      <c r="S13192" t="s">
        <v>27254</v>
      </c>
      <c r="T13192" t="s">
        <v>27255</v>
      </c>
    </row>
    <row r="13193" spans="1:20" x14ac:dyDescent="0.3">
      <c r="A13193" t="str">
        <f>"0611840602100"</f>
        <v>0611840602100</v>
      </c>
      <c r="B13193" t="str">
        <f>"LK1810"</f>
        <v>LK1810</v>
      </c>
      <c r="C13193" t="s">
        <v>52763</v>
      </c>
      <c r="D13193" t="s">
        <v>27245</v>
      </c>
      <c r="E13193" t="str">
        <f t="shared" si="206"/>
        <v>001390</v>
      </c>
      <c r="F13193" t="s">
        <v>27246</v>
      </c>
      <c r="G13193" t="s">
        <v>27247</v>
      </c>
      <c r="H13193" t="s">
        <v>27248</v>
      </c>
      <c r="I13193" t="s">
        <v>52764</v>
      </c>
      <c r="J13193" t="s">
        <v>26389</v>
      </c>
      <c r="L13193" t="s">
        <v>27250</v>
      </c>
      <c r="M13193" t="s">
        <v>27251</v>
      </c>
      <c r="N13193" t="s">
        <v>27252</v>
      </c>
      <c r="Q13193" s="1">
        <v>44538</v>
      </c>
      <c r="R13193" t="s">
        <v>27253</v>
      </c>
      <c r="S13193" t="s">
        <v>27254</v>
      </c>
      <c r="T13193" t="s">
        <v>27255</v>
      </c>
    </row>
    <row r="13194" spans="1:20" x14ac:dyDescent="0.3">
      <c r="A13194" t="str">
        <f>"0611840603100"</f>
        <v>0611840603100</v>
      </c>
      <c r="B13194" t="str">
        <f>"LK1811"</f>
        <v>LK1811</v>
      </c>
      <c r="C13194" t="s">
        <v>52765</v>
      </c>
      <c r="D13194" t="s">
        <v>27245</v>
      </c>
      <c r="E13194" t="str">
        <f t="shared" si="206"/>
        <v>001390</v>
      </c>
      <c r="F13194" t="s">
        <v>27246</v>
      </c>
      <c r="G13194" t="s">
        <v>27247</v>
      </c>
      <c r="H13194" t="s">
        <v>27248</v>
      </c>
      <c r="I13194" t="s">
        <v>52766</v>
      </c>
      <c r="J13194" t="s">
        <v>26391</v>
      </c>
      <c r="L13194" t="s">
        <v>27250</v>
      </c>
      <c r="M13194" t="s">
        <v>27251</v>
      </c>
      <c r="N13194" t="s">
        <v>27252</v>
      </c>
      <c r="Q13194" s="1">
        <v>44538</v>
      </c>
      <c r="R13194" t="s">
        <v>27253</v>
      </c>
      <c r="S13194" t="s">
        <v>27254</v>
      </c>
      <c r="T13194" t="s">
        <v>27255</v>
      </c>
    </row>
    <row r="13195" spans="1:20" x14ac:dyDescent="0.3">
      <c r="A13195" t="str">
        <f>"0611840605100"</f>
        <v>0611840605100</v>
      </c>
      <c r="B13195" t="str">
        <f>"LK4553"</f>
        <v>LK4553</v>
      </c>
      <c r="C13195" t="s">
        <v>52767</v>
      </c>
      <c r="D13195" t="s">
        <v>27245</v>
      </c>
      <c r="E13195" t="str">
        <f t="shared" si="206"/>
        <v>001390</v>
      </c>
      <c r="F13195" t="s">
        <v>27246</v>
      </c>
      <c r="G13195" t="s">
        <v>27247</v>
      </c>
      <c r="H13195" t="s">
        <v>27248</v>
      </c>
      <c r="I13195" t="s">
        <v>52768</v>
      </c>
      <c r="J13195" t="s">
        <v>26439</v>
      </c>
      <c r="L13195" t="s">
        <v>27250</v>
      </c>
      <c r="M13195" t="s">
        <v>27251</v>
      </c>
      <c r="N13195" t="s">
        <v>27252</v>
      </c>
      <c r="Q13195" s="1">
        <v>44538</v>
      </c>
      <c r="R13195" t="s">
        <v>27253</v>
      </c>
      <c r="S13195" t="s">
        <v>27254</v>
      </c>
      <c r="T13195" t="s">
        <v>27255</v>
      </c>
    </row>
    <row r="13196" spans="1:20" x14ac:dyDescent="0.3">
      <c r="A13196" t="str">
        <f>"0611840606100"</f>
        <v>0611840606100</v>
      </c>
      <c r="B13196" t="str">
        <f>"LK4729"</f>
        <v>LK4729</v>
      </c>
      <c r="C13196" t="s">
        <v>52769</v>
      </c>
      <c r="D13196" t="s">
        <v>27245</v>
      </c>
      <c r="E13196" t="str">
        <f t="shared" si="206"/>
        <v>001390</v>
      </c>
      <c r="F13196" t="s">
        <v>27246</v>
      </c>
      <c r="G13196" t="s">
        <v>27247</v>
      </c>
      <c r="H13196" t="s">
        <v>27248</v>
      </c>
      <c r="I13196" t="s">
        <v>52770</v>
      </c>
      <c r="J13196" t="s">
        <v>26441</v>
      </c>
      <c r="L13196" t="s">
        <v>27250</v>
      </c>
      <c r="M13196" t="s">
        <v>27251</v>
      </c>
      <c r="N13196" t="s">
        <v>27252</v>
      </c>
      <c r="Q13196" s="1">
        <v>44538</v>
      </c>
      <c r="R13196" t="s">
        <v>27253</v>
      </c>
      <c r="S13196" t="s">
        <v>27254</v>
      </c>
      <c r="T13196" t="s">
        <v>27255</v>
      </c>
    </row>
    <row r="13197" spans="1:20" x14ac:dyDescent="0.3">
      <c r="A13197" t="str">
        <f>"0611840607100"</f>
        <v>0611840607100</v>
      </c>
      <c r="B13197" t="str">
        <f>"LK4554"</f>
        <v>LK4554</v>
      </c>
      <c r="C13197" t="s">
        <v>52771</v>
      </c>
      <c r="D13197" t="s">
        <v>27245</v>
      </c>
      <c r="E13197" t="str">
        <f t="shared" si="206"/>
        <v>001390</v>
      </c>
      <c r="F13197" t="s">
        <v>27246</v>
      </c>
      <c r="G13197" t="s">
        <v>27247</v>
      </c>
      <c r="H13197" t="s">
        <v>27248</v>
      </c>
      <c r="I13197" t="s">
        <v>52772</v>
      </c>
      <c r="J13197" t="s">
        <v>26445</v>
      </c>
      <c r="L13197" t="s">
        <v>27250</v>
      </c>
      <c r="M13197" t="s">
        <v>27251</v>
      </c>
      <c r="N13197" t="s">
        <v>27252</v>
      </c>
      <c r="Q13197" s="1">
        <v>44538</v>
      </c>
      <c r="R13197" t="s">
        <v>27253</v>
      </c>
      <c r="S13197" t="s">
        <v>27254</v>
      </c>
      <c r="T13197" t="s">
        <v>27255</v>
      </c>
    </row>
    <row r="13198" spans="1:20" x14ac:dyDescent="0.3">
      <c r="A13198" t="str">
        <f>"0611840608100"</f>
        <v>0611840608100</v>
      </c>
      <c r="B13198" t="str">
        <f>"LK0440"</f>
        <v>LK0440</v>
      </c>
      <c r="C13198" t="s">
        <v>52773</v>
      </c>
      <c r="D13198" t="s">
        <v>27245</v>
      </c>
      <c r="E13198" t="str">
        <f t="shared" si="206"/>
        <v>001390</v>
      </c>
      <c r="F13198" t="s">
        <v>27246</v>
      </c>
      <c r="G13198" t="s">
        <v>27247</v>
      </c>
      <c r="H13198" t="s">
        <v>27248</v>
      </c>
      <c r="I13198" t="s">
        <v>52774</v>
      </c>
      <c r="J13198" t="s">
        <v>26393</v>
      </c>
      <c r="L13198" t="s">
        <v>27250</v>
      </c>
      <c r="M13198" t="s">
        <v>27251</v>
      </c>
      <c r="N13198" t="s">
        <v>27252</v>
      </c>
      <c r="Q13198" s="1">
        <v>44538</v>
      </c>
      <c r="R13198" t="s">
        <v>27253</v>
      </c>
      <c r="S13198" t="s">
        <v>27254</v>
      </c>
      <c r="T13198" t="s">
        <v>27255</v>
      </c>
    </row>
    <row r="13199" spans="1:20" x14ac:dyDescent="0.3">
      <c r="A13199" t="str">
        <f>"0611840611100"</f>
        <v>0611840611100</v>
      </c>
      <c r="B13199" t="str">
        <f>"LK5977"</f>
        <v>LK5977</v>
      </c>
      <c r="C13199" t="s">
        <v>52775</v>
      </c>
      <c r="D13199" t="s">
        <v>27245</v>
      </c>
      <c r="E13199" t="str">
        <f t="shared" si="206"/>
        <v>001390</v>
      </c>
      <c r="F13199" t="s">
        <v>27246</v>
      </c>
      <c r="G13199" t="s">
        <v>27247</v>
      </c>
      <c r="H13199" t="s">
        <v>27248</v>
      </c>
      <c r="I13199" t="s">
        <v>52776</v>
      </c>
      <c r="J13199" t="s">
        <v>26443</v>
      </c>
      <c r="L13199" t="s">
        <v>27250</v>
      </c>
      <c r="M13199" t="s">
        <v>27251</v>
      </c>
      <c r="N13199" t="s">
        <v>27252</v>
      </c>
      <c r="Q13199" s="1">
        <v>44538</v>
      </c>
      <c r="R13199" t="s">
        <v>27253</v>
      </c>
      <c r="S13199" t="s">
        <v>27254</v>
      </c>
      <c r="T13199" t="s">
        <v>27255</v>
      </c>
    </row>
    <row r="13200" spans="1:20" x14ac:dyDescent="0.3">
      <c r="A13200" t="str">
        <f>"0611840612100"</f>
        <v>0611840612100</v>
      </c>
      <c r="B13200" t="str">
        <f>"LK4555"</f>
        <v>LK4555</v>
      </c>
      <c r="C13200" t="s">
        <v>52777</v>
      </c>
      <c r="D13200" t="s">
        <v>27245</v>
      </c>
      <c r="E13200" t="str">
        <f t="shared" si="206"/>
        <v>001390</v>
      </c>
      <c r="F13200" t="s">
        <v>27246</v>
      </c>
      <c r="G13200" t="s">
        <v>27247</v>
      </c>
      <c r="H13200" t="s">
        <v>27248</v>
      </c>
      <c r="I13200" t="s">
        <v>52778</v>
      </c>
      <c r="J13200" t="s">
        <v>26451</v>
      </c>
      <c r="L13200" t="s">
        <v>27250</v>
      </c>
      <c r="M13200" t="s">
        <v>27251</v>
      </c>
      <c r="N13200" t="s">
        <v>27252</v>
      </c>
      <c r="Q13200" s="1">
        <v>44538</v>
      </c>
      <c r="R13200" t="s">
        <v>27253</v>
      </c>
      <c r="S13200" t="s">
        <v>27254</v>
      </c>
      <c r="T13200" t="s">
        <v>27255</v>
      </c>
    </row>
    <row r="13201" spans="1:20" x14ac:dyDescent="0.3">
      <c r="A13201" t="str">
        <f>"0611840613100"</f>
        <v>0611840613100</v>
      </c>
      <c r="B13201" t="str">
        <f>"LK6310"</f>
        <v>LK6310</v>
      </c>
      <c r="C13201" t="s">
        <v>52779</v>
      </c>
      <c r="D13201" t="s">
        <v>27245</v>
      </c>
      <c r="E13201" t="str">
        <f t="shared" si="206"/>
        <v>001390</v>
      </c>
      <c r="F13201" t="s">
        <v>27246</v>
      </c>
      <c r="G13201" t="s">
        <v>27247</v>
      </c>
      <c r="H13201" t="s">
        <v>27248</v>
      </c>
      <c r="I13201" t="s">
        <v>52780</v>
      </c>
      <c r="J13201" t="s">
        <v>26453</v>
      </c>
      <c r="L13201" t="s">
        <v>27250</v>
      </c>
      <c r="M13201" t="s">
        <v>27251</v>
      </c>
      <c r="N13201" t="s">
        <v>27252</v>
      </c>
      <c r="Q13201" s="1">
        <v>44538</v>
      </c>
      <c r="R13201" t="s">
        <v>27253</v>
      </c>
      <c r="S13201" t="s">
        <v>27254</v>
      </c>
      <c r="T13201" t="s">
        <v>27255</v>
      </c>
    </row>
    <row r="13202" spans="1:20" x14ac:dyDescent="0.3">
      <c r="A13202" t="str">
        <f>"0611840614100"</f>
        <v>0611840614100</v>
      </c>
      <c r="B13202" t="str">
        <f>"LK6186"</f>
        <v>LK6186</v>
      </c>
      <c r="C13202" t="s">
        <v>52781</v>
      </c>
      <c r="D13202" t="s">
        <v>27245</v>
      </c>
      <c r="E13202" t="str">
        <f t="shared" si="206"/>
        <v>001390</v>
      </c>
      <c r="F13202" t="s">
        <v>27246</v>
      </c>
      <c r="G13202" t="s">
        <v>27247</v>
      </c>
      <c r="H13202" t="s">
        <v>27248</v>
      </c>
      <c r="I13202" t="s">
        <v>52782</v>
      </c>
      <c r="J13202" t="s">
        <v>26447</v>
      </c>
      <c r="L13202" t="s">
        <v>27250</v>
      </c>
      <c r="M13202" t="s">
        <v>27251</v>
      </c>
      <c r="N13202" t="s">
        <v>27252</v>
      </c>
      <c r="Q13202" s="1">
        <v>44538</v>
      </c>
      <c r="R13202" t="s">
        <v>27253</v>
      </c>
      <c r="S13202" t="s">
        <v>27254</v>
      </c>
      <c r="T13202" t="s">
        <v>27255</v>
      </c>
    </row>
    <row r="13203" spans="1:20" x14ac:dyDescent="0.3">
      <c r="A13203" t="str">
        <f>"0611840615100"</f>
        <v>0611840615100</v>
      </c>
      <c r="B13203" t="str">
        <f>"LK4721"</f>
        <v>LK4721</v>
      </c>
      <c r="C13203" t="s">
        <v>52783</v>
      </c>
      <c r="D13203" t="s">
        <v>27245</v>
      </c>
      <c r="E13203" t="str">
        <f t="shared" si="206"/>
        <v>001390</v>
      </c>
      <c r="F13203" t="s">
        <v>27246</v>
      </c>
      <c r="G13203" t="s">
        <v>27247</v>
      </c>
      <c r="H13203" t="s">
        <v>27248</v>
      </c>
      <c r="I13203" t="s">
        <v>52784</v>
      </c>
      <c r="J13203" t="s">
        <v>26449</v>
      </c>
      <c r="L13203" t="s">
        <v>27250</v>
      </c>
      <c r="M13203" t="s">
        <v>27251</v>
      </c>
      <c r="N13203" t="s">
        <v>27252</v>
      </c>
      <c r="Q13203" s="1">
        <v>44538</v>
      </c>
      <c r="R13203" t="s">
        <v>27253</v>
      </c>
      <c r="S13203" t="s">
        <v>27254</v>
      </c>
      <c r="T13203" t="s">
        <v>27255</v>
      </c>
    </row>
    <row r="13204" spans="1:20" x14ac:dyDescent="0.3">
      <c r="A13204" t="str">
        <f>"0611840616100"</f>
        <v>0611840616100</v>
      </c>
      <c r="B13204" t="str">
        <f>"LB9485"</f>
        <v>LB9485</v>
      </c>
      <c r="C13204" t="s">
        <v>52785</v>
      </c>
      <c r="D13204" t="s">
        <v>27245</v>
      </c>
      <c r="E13204" t="str">
        <f t="shared" si="206"/>
        <v>001390</v>
      </c>
      <c r="F13204" t="s">
        <v>27246</v>
      </c>
      <c r="G13204" t="s">
        <v>27247</v>
      </c>
      <c r="H13204" t="s">
        <v>27248</v>
      </c>
      <c r="I13204" t="s">
        <v>52786</v>
      </c>
      <c r="J13204" t="s">
        <v>26395</v>
      </c>
      <c r="L13204" t="s">
        <v>27250</v>
      </c>
      <c r="M13204" t="s">
        <v>27251</v>
      </c>
      <c r="N13204" t="s">
        <v>27252</v>
      </c>
      <c r="Q13204" s="1">
        <v>44538</v>
      </c>
      <c r="R13204" t="s">
        <v>27253</v>
      </c>
      <c r="S13204" t="s">
        <v>27254</v>
      </c>
      <c r="T13204" t="s">
        <v>27255</v>
      </c>
    </row>
    <row r="13205" spans="1:20" x14ac:dyDescent="0.3">
      <c r="A13205" t="str">
        <f>"0611840618100"</f>
        <v>0611840618100</v>
      </c>
      <c r="B13205" t="str">
        <f>"LK5155"</f>
        <v>LK5155</v>
      </c>
      <c r="C13205" t="s">
        <v>52787</v>
      </c>
      <c r="D13205" t="s">
        <v>27245</v>
      </c>
      <c r="E13205" t="str">
        <f t="shared" si="206"/>
        <v>001390</v>
      </c>
      <c r="F13205" t="s">
        <v>27246</v>
      </c>
      <c r="G13205" t="s">
        <v>27247</v>
      </c>
      <c r="H13205" t="s">
        <v>27248</v>
      </c>
      <c r="I13205" t="s">
        <v>52788</v>
      </c>
      <c r="J13205" t="s">
        <v>26397</v>
      </c>
      <c r="L13205" t="s">
        <v>27250</v>
      </c>
      <c r="M13205" t="s">
        <v>27251</v>
      </c>
      <c r="N13205" t="s">
        <v>27252</v>
      </c>
      <c r="Q13205" s="1">
        <v>44538</v>
      </c>
      <c r="R13205" t="s">
        <v>27253</v>
      </c>
      <c r="S13205" t="s">
        <v>27254</v>
      </c>
      <c r="T13205" t="s">
        <v>27255</v>
      </c>
    </row>
    <row r="13206" spans="1:20" x14ac:dyDescent="0.3">
      <c r="A13206" t="str">
        <f>"0611840619100"</f>
        <v>0611840619100</v>
      </c>
      <c r="B13206" t="str">
        <f>"LK4556"</f>
        <v>LK4556</v>
      </c>
      <c r="C13206" t="s">
        <v>52789</v>
      </c>
      <c r="D13206" t="s">
        <v>27245</v>
      </c>
      <c r="E13206" t="str">
        <f t="shared" si="206"/>
        <v>001390</v>
      </c>
      <c r="F13206" t="s">
        <v>27246</v>
      </c>
      <c r="G13206" t="s">
        <v>27247</v>
      </c>
      <c r="H13206" t="s">
        <v>27248</v>
      </c>
      <c r="I13206" t="s">
        <v>52790</v>
      </c>
      <c r="J13206" t="s">
        <v>26455</v>
      </c>
      <c r="L13206" t="s">
        <v>27250</v>
      </c>
      <c r="M13206" t="s">
        <v>27251</v>
      </c>
      <c r="N13206" t="s">
        <v>27252</v>
      </c>
      <c r="Q13206" s="1">
        <v>44538</v>
      </c>
      <c r="R13206" t="s">
        <v>27253</v>
      </c>
      <c r="S13206" t="s">
        <v>27254</v>
      </c>
      <c r="T13206" t="s">
        <v>27255</v>
      </c>
    </row>
    <row r="13207" spans="1:20" x14ac:dyDescent="0.3">
      <c r="A13207" t="str">
        <f>"0611840622100"</f>
        <v>0611840622100</v>
      </c>
      <c r="B13207" t="str">
        <f>"LB9582"</f>
        <v>LB9582</v>
      </c>
      <c r="C13207" t="s">
        <v>52791</v>
      </c>
      <c r="D13207" t="s">
        <v>27245</v>
      </c>
      <c r="E13207" t="str">
        <f t="shared" si="206"/>
        <v>001390</v>
      </c>
      <c r="F13207" t="s">
        <v>27246</v>
      </c>
      <c r="G13207" t="s">
        <v>27247</v>
      </c>
      <c r="H13207" t="s">
        <v>27248</v>
      </c>
      <c r="I13207" t="s">
        <v>52792</v>
      </c>
      <c r="J13207" t="s">
        <v>26457</v>
      </c>
      <c r="L13207" t="s">
        <v>27250</v>
      </c>
      <c r="M13207" t="s">
        <v>27251</v>
      </c>
      <c r="N13207" t="s">
        <v>27252</v>
      </c>
      <c r="Q13207" s="1">
        <v>44538</v>
      </c>
      <c r="R13207" t="s">
        <v>27253</v>
      </c>
      <c r="S13207" t="s">
        <v>27254</v>
      </c>
      <c r="T13207" t="s">
        <v>27255</v>
      </c>
    </row>
    <row r="13208" spans="1:20" x14ac:dyDescent="0.3">
      <c r="A13208" t="str">
        <f>"0611840623100"</f>
        <v>0611840623100</v>
      </c>
      <c r="B13208" t="str">
        <f>"LK6311"</f>
        <v>LK6311</v>
      </c>
      <c r="C13208" t="s">
        <v>52793</v>
      </c>
      <c r="D13208" t="s">
        <v>27245</v>
      </c>
      <c r="E13208" t="str">
        <f t="shared" si="206"/>
        <v>001390</v>
      </c>
      <c r="F13208" t="s">
        <v>27246</v>
      </c>
      <c r="G13208" t="s">
        <v>27247</v>
      </c>
      <c r="H13208" t="s">
        <v>27248</v>
      </c>
      <c r="I13208" t="s">
        <v>52794</v>
      </c>
      <c r="J13208" t="s">
        <v>26459</v>
      </c>
      <c r="L13208" t="s">
        <v>27250</v>
      </c>
      <c r="M13208" t="s">
        <v>27251</v>
      </c>
      <c r="N13208" t="s">
        <v>27252</v>
      </c>
      <c r="Q13208" s="1">
        <v>44538</v>
      </c>
      <c r="R13208" t="s">
        <v>27253</v>
      </c>
      <c r="S13208" t="s">
        <v>27254</v>
      </c>
      <c r="T13208" t="s">
        <v>27255</v>
      </c>
    </row>
    <row r="13209" spans="1:20" x14ac:dyDescent="0.3">
      <c r="A13209" t="str">
        <f>"0611840624100"</f>
        <v>0611840624100</v>
      </c>
      <c r="B13209" t="str">
        <f>"LK4911"</f>
        <v>LK4911</v>
      </c>
      <c r="C13209" t="s">
        <v>52795</v>
      </c>
      <c r="D13209" t="s">
        <v>27245</v>
      </c>
      <c r="E13209" t="str">
        <f t="shared" si="206"/>
        <v>001390</v>
      </c>
      <c r="F13209" t="s">
        <v>27246</v>
      </c>
      <c r="G13209" t="s">
        <v>27247</v>
      </c>
      <c r="H13209" t="s">
        <v>27248</v>
      </c>
      <c r="I13209" t="s">
        <v>52796</v>
      </c>
      <c r="J13209" t="s">
        <v>26461</v>
      </c>
      <c r="L13209" t="s">
        <v>27250</v>
      </c>
      <c r="M13209" t="s">
        <v>27251</v>
      </c>
      <c r="N13209" t="s">
        <v>27252</v>
      </c>
      <c r="Q13209" s="1">
        <v>44538</v>
      </c>
      <c r="R13209" t="s">
        <v>27253</v>
      </c>
      <c r="S13209" t="s">
        <v>27254</v>
      </c>
      <c r="T13209" t="s">
        <v>27255</v>
      </c>
    </row>
    <row r="13210" spans="1:20" x14ac:dyDescent="0.3">
      <c r="A13210" t="str">
        <f>"0611840625100"</f>
        <v>0611840625100</v>
      </c>
      <c r="B13210" t="str">
        <f>"LK5613"</f>
        <v>LK5613</v>
      </c>
      <c r="C13210" t="s">
        <v>52797</v>
      </c>
      <c r="D13210" t="s">
        <v>27245</v>
      </c>
      <c r="E13210" t="str">
        <f t="shared" si="206"/>
        <v>001390</v>
      </c>
      <c r="F13210" t="s">
        <v>27246</v>
      </c>
      <c r="G13210" t="s">
        <v>27247</v>
      </c>
      <c r="H13210" t="s">
        <v>27248</v>
      </c>
      <c r="I13210" t="s">
        <v>52798</v>
      </c>
      <c r="J13210" t="s">
        <v>26399</v>
      </c>
      <c r="L13210" t="s">
        <v>27250</v>
      </c>
      <c r="M13210" t="s">
        <v>27251</v>
      </c>
      <c r="N13210" t="s">
        <v>27252</v>
      </c>
      <c r="Q13210" s="1">
        <v>44538</v>
      </c>
      <c r="R13210" t="s">
        <v>27253</v>
      </c>
      <c r="S13210" t="s">
        <v>27254</v>
      </c>
      <c r="T13210" t="s">
        <v>27255</v>
      </c>
    </row>
    <row r="13211" spans="1:20" x14ac:dyDescent="0.3">
      <c r="A13211" t="str">
        <f>"0611840626100"</f>
        <v>0611840626100</v>
      </c>
      <c r="B13211" t="str">
        <f>"LK4557"</f>
        <v>LK4557</v>
      </c>
      <c r="C13211" t="s">
        <v>52799</v>
      </c>
      <c r="D13211" t="s">
        <v>27245</v>
      </c>
      <c r="E13211" t="str">
        <f t="shared" si="206"/>
        <v>001390</v>
      </c>
      <c r="F13211" t="s">
        <v>27246</v>
      </c>
      <c r="G13211" t="s">
        <v>27247</v>
      </c>
      <c r="H13211" t="s">
        <v>27248</v>
      </c>
      <c r="I13211" t="s">
        <v>52800</v>
      </c>
      <c r="J13211" t="s">
        <v>26463</v>
      </c>
      <c r="L13211" t="s">
        <v>27250</v>
      </c>
      <c r="M13211" t="s">
        <v>27251</v>
      </c>
      <c r="N13211" t="s">
        <v>27252</v>
      </c>
      <c r="Q13211" s="1">
        <v>44538</v>
      </c>
      <c r="R13211" t="s">
        <v>27253</v>
      </c>
      <c r="S13211" t="s">
        <v>27254</v>
      </c>
      <c r="T13211" t="s">
        <v>27255</v>
      </c>
    </row>
    <row r="13212" spans="1:20" x14ac:dyDescent="0.3">
      <c r="A13212" t="str">
        <f>"0611840627100"</f>
        <v>0611840627100</v>
      </c>
      <c r="B13212" t="str">
        <f>"LK6312"</f>
        <v>LK6312</v>
      </c>
      <c r="C13212" t="s">
        <v>52801</v>
      </c>
      <c r="D13212" t="s">
        <v>27245</v>
      </c>
      <c r="E13212" t="str">
        <f t="shared" si="206"/>
        <v>001390</v>
      </c>
      <c r="F13212" t="s">
        <v>27246</v>
      </c>
      <c r="G13212" t="s">
        <v>27247</v>
      </c>
      <c r="H13212" t="s">
        <v>27248</v>
      </c>
      <c r="I13212" t="s">
        <v>52802</v>
      </c>
      <c r="J13212" t="s">
        <v>26401</v>
      </c>
      <c r="L13212" t="s">
        <v>27250</v>
      </c>
      <c r="M13212" t="s">
        <v>27251</v>
      </c>
      <c r="N13212" t="s">
        <v>27252</v>
      </c>
      <c r="Q13212" s="1">
        <v>44538</v>
      </c>
      <c r="R13212" t="s">
        <v>27253</v>
      </c>
      <c r="S13212" t="s">
        <v>27254</v>
      </c>
      <c r="T13212" t="s">
        <v>27255</v>
      </c>
    </row>
    <row r="13213" spans="1:20" x14ac:dyDescent="0.3">
      <c r="A13213" t="str">
        <f>"0611840628100"</f>
        <v>0611840628100</v>
      </c>
      <c r="B13213" t="str">
        <f>"LK1469"</f>
        <v>LK1469</v>
      </c>
      <c r="C13213" t="s">
        <v>52803</v>
      </c>
      <c r="D13213" t="s">
        <v>27245</v>
      </c>
      <c r="E13213" t="str">
        <f t="shared" si="206"/>
        <v>001390</v>
      </c>
      <c r="F13213" t="s">
        <v>27246</v>
      </c>
      <c r="G13213" t="s">
        <v>27247</v>
      </c>
      <c r="H13213" t="s">
        <v>27248</v>
      </c>
      <c r="I13213" t="s">
        <v>52804</v>
      </c>
      <c r="J13213" t="s">
        <v>26403</v>
      </c>
      <c r="L13213" t="s">
        <v>27250</v>
      </c>
      <c r="M13213" t="s">
        <v>27251</v>
      </c>
      <c r="N13213" t="s">
        <v>27252</v>
      </c>
      <c r="Q13213" s="1">
        <v>44538</v>
      </c>
      <c r="R13213" t="s">
        <v>27253</v>
      </c>
      <c r="S13213" t="s">
        <v>27254</v>
      </c>
      <c r="T13213" t="s">
        <v>27255</v>
      </c>
    </row>
    <row r="13214" spans="1:20" x14ac:dyDescent="0.3">
      <c r="A13214" t="str">
        <f>"0611840629100"</f>
        <v>0611840629100</v>
      </c>
      <c r="B13214" t="str">
        <f>"LK6184"</f>
        <v>LK6184</v>
      </c>
      <c r="C13214" t="s">
        <v>52805</v>
      </c>
      <c r="D13214" t="s">
        <v>27245</v>
      </c>
      <c r="E13214" t="str">
        <f t="shared" si="206"/>
        <v>001390</v>
      </c>
      <c r="F13214" t="s">
        <v>27246</v>
      </c>
      <c r="G13214" t="s">
        <v>27247</v>
      </c>
      <c r="H13214" t="s">
        <v>27248</v>
      </c>
      <c r="I13214" t="s">
        <v>52806</v>
      </c>
      <c r="J13214" t="s">
        <v>26475</v>
      </c>
      <c r="L13214" t="s">
        <v>27250</v>
      </c>
      <c r="M13214" t="s">
        <v>27251</v>
      </c>
      <c r="N13214" t="s">
        <v>27252</v>
      </c>
      <c r="Q13214" s="1">
        <v>44538</v>
      </c>
      <c r="R13214" t="s">
        <v>27253</v>
      </c>
      <c r="S13214" t="s">
        <v>27254</v>
      </c>
      <c r="T13214" t="s">
        <v>27255</v>
      </c>
    </row>
    <row r="13215" spans="1:20" x14ac:dyDescent="0.3">
      <c r="A13215" t="str">
        <f>"0611840630100"</f>
        <v>0611840630100</v>
      </c>
      <c r="B13215" t="str">
        <f>"LK6505"</f>
        <v>LK6505</v>
      </c>
      <c r="C13215" t="s">
        <v>52807</v>
      </c>
      <c r="D13215" t="s">
        <v>27245</v>
      </c>
      <c r="E13215" t="str">
        <f t="shared" si="206"/>
        <v>001390</v>
      </c>
      <c r="F13215" t="s">
        <v>27246</v>
      </c>
      <c r="G13215" t="s">
        <v>27247</v>
      </c>
      <c r="H13215" t="s">
        <v>27248</v>
      </c>
      <c r="I13215" t="s">
        <v>52808</v>
      </c>
      <c r="J13215" t="s">
        <v>26411</v>
      </c>
      <c r="L13215" t="s">
        <v>27250</v>
      </c>
      <c r="M13215" t="s">
        <v>27251</v>
      </c>
      <c r="N13215" t="s">
        <v>27252</v>
      </c>
      <c r="Q13215" s="1">
        <v>44538</v>
      </c>
      <c r="R13215" t="s">
        <v>27253</v>
      </c>
      <c r="S13215" t="s">
        <v>27254</v>
      </c>
      <c r="T13215" t="s">
        <v>27255</v>
      </c>
    </row>
    <row r="13216" spans="1:20" x14ac:dyDescent="0.3">
      <c r="A13216" t="str">
        <f>"0611840632100"</f>
        <v>0611840632100</v>
      </c>
      <c r="B13216" t="str">
        <f>"LK5978"</f>
        <v>LK5978</v>
      </c>
      <c r="C13216" t="s">
        <v>52809</v>
      </c>
      <c r="D13216" t="s">
        <v>27245</v>
      </c>
      <c r="E13216" t="str">
        <f t="shared" si="206"/>
        <v>001390</v>
      </c>
      <c r="F13216" t="s">
        <v>27246</v>
      </c>
      <c r="G13216" t="s">
        <v>27247</v>
      </c>
      <c r="H13216" t="s">
        <v>27248</v>
      </c>
      <c r="I13216" t="s">
        <v>52810</v>
      </c>
      <c r="J13216" t="s">
        <v>26405</v>
      </c>
      <c r="L13216" t="s">
        <v>27250</v>
      </c>
      <c r="M13216" t="s">
        <v>27251</v>
      </c>
      <c r="N13216" t="s">
        <v>27252</v>
      </c>
      <c r="Q13216" s="1">
        <v>44538</v>
      </c>
      <c r="R13216" t="s">
        <v>27253</v>
      </c>
      <c r="S13216" t="s">
        <v>27254</v>
      </c>
      <c r="T13216" t="s">
        <v>27255</v>
      </c>
    </row>
    <row r="13217" spans="1:20" x14ac:dyDescent="0.3">
      <c r="A13217" t="str">
        <f>"0611840633100"</f>
        <v>0611840633100</v>
      </c>
      <c r="B13217" t="str">
        <f>"LK5533"</f>
        <v>LK5533</v>
      </c>
      <c r="C13217" t="s">
        <v>52811</v>
      </c>
      <c r="D13217" t="s">
        <v>27245</v>
      </c>
      <c r="E13217" t="str">
        <f t="shared" si="206"/>
        <v>001390</v>
      </c>
      <c r="F13217" t="s">
        <v>27246</v>
      </c>
      <c r="G13217" t="s">
        <v>27247</v>
      </c>
      <c r="H13217" t="s">
        <v>27248</v>
      </c>
      <c r="I13217" t="s">
        <v>52812</v>
      </c>
      <c r="J13217" t="s">
        <v>26407</v>
      </c>
      <c r="L13217" t="s">
        <v>27250</v>
      </c>
      <c r="M13217" t="s">
        <v>27251</v>
      </c>
      <c r="N13217" t="s">
        <v>27252</v>
      </c>
      <c r="Q13217" s="1">
        <v>44538</v>
      </c>
      <c r="R13217" t="s">
        <v>27253</v>
      </c>
      <c r="S13217" t="s">
        <v>27254</v>
      </c>
      <c r="T13217" t="s">
        <v>27255</v>
      </c>
    </row>
    <row r="13218" spans="1:20" x14ac:dyDescent="0.3">
      <c r="A13218" t="str">
        <f>"0611840634100"</f>
        <v>0611840634100</v>
      </c>
      <c r="B13218" t="str">
        <f>"LK5979"</f>
        <v>LK5979</v>
      </c>
      <c r="C13218" t="s">
        <v>52813</v>
      </c>
      <c r="D13218" t="s">
        <v>27245</v>
      </c>
      <c r="E13218" t="str">
        <f t="shared" si="206"/>
        <v>001390</v>
      </c>
      <c r="F13218" t="s">
        <v>27246</v>
      </c>
      <c r="G13218" t="s">
        <v>27247</v>
      </c>
      <c r="H13218" t="s">
        <v>27248</v>
      </c>
      <c r="I13218" t="s">
        <v>52814</v>
      </c>
      <c r="J13218" t="s">
        <v>26465</v>
      </c>
      <c r="L13218" t="s">
        <v>27250</v>
      </c>
      <c r="M13218" t="s">
        <v>27251</v>
      </c>
      <c r="N13218" t="s">
        <v>27252</v>
      </c>
      <c r="Q13218" s="1">
        <v>44538</v>
      </c>
      <c r="R13218" t="s">
        <v>27253</v>
      </c>
      <c r="S13218" t="s">
        <v>27254</v>
      </c>
      <c r="T13218" t="s">
        <v>27255</v>
      </c>
    </row>
    <row r="13219" spans="1:20" x14ac:dyDescent="0.3">
      <c r="A13219" t="str">
        <f>"0611840635100"</f>
        <v>0611840635100</v>
      </c>
      <c r="B13219" t="str">
        <f>"LK5980"</f>
        <v>LK5980</v>
      </c>
      <c r="C13219" t="s">
        <v>52815</v>
      </c>
      <c r="D13219" t="s">
        <v>27245</v>
      </c>
      <c r="E13219" t="str">
        <f t="shared" si="206"/>
        <v>001390</v>
      </c>
      <c r="F13219" t="s">
        <v>27246</v>
      </c>
      <c r="G13219" t="s">
        <v>27247</v>
      </c>
      <c r="H13219" t="s">
        <v>27248</v>
      </c>
      <c r="I13219" t="s">
        <v>52816</v>
      </c>
      <c r="J13219" t="s">
        <v>26467</v>
      </c>
      <c r="L13219" t="s">
        <v>27250</v>
      </c>
      <c r="M13219" t="s">
        <v>27251</v>
      </c>
      <c r="N13219" t="s">
        <v>27252</v>
      </c>
      <c r="Q13219" s="1">
        <v>44538</v>
      </c>
      <c r="R13219" t="s">
        <v>27253</v>
      </c>
      <c r="S13219" t="s">
        <v>27254</v>
      </c>
      <c r="T13219" t="s">
        <v>27255</v>
      </c>
    </row>
    <row r="13220" spans="1:20" x14ac:dyDescent="0.3">
      <c r="A13220" t="str">
        <f>"0611840636100"</f>
        <v>0611840636100</v>
      </c>
      <c r="B13220" t="str">
        <f>"LK5981"</f>
        <v>LK5981</v>
      </c>
      <c r="C13220" t="s">
        <v>52817</v>
      </c>
      <c r="D13220" t="s">
        <v>27245</v>
      </c>
      <c r="E13220" t="str">
        <f t="shared" si="206"/>
        <v>001390</v>
      </c>
      <c r="F13220" t="s">
        <v>27246</v>
      </c>
      <c r="G13220" t="s">
        <v>27247</v>
      </c>
      <c r="H13220" t="s">
        <v>27248</v>
      </c>
      <c r="I13220" t="s">
        <v>52818</v>
      </c>
      <c r="J13220" t="s">
        <v>26469</v>
      </c>
      <c r="L13220" t="s">
        <v>27250</v>
      </c>
      <c r="M13220" t="s">
        <v>27251</v>
      </c>
      <c r="N13220" t="s">
        <v>27252</v>
      </c>
      <c r="Q13220" s="1">
        <v>44538</v>
      </c>
      <c r="R13220" t="s">
        <v>27253</v>
      </c>
      <c r="S13220" t="s">
        <v>27254</v>
      </c>
      <c r="T13220" t="s">
        <v>27255</v>
      </c>
    </row>
    <row r="13221" spans="1:20" x14ac:dyDescent="0.3">
      <c r="A13221" t="str">
        <f>"0611840637100"</f>
        <v>0611840637100</v>
      </c>
      <c r="B13221" t="str">
        <f>"LK5982"</f>
        <v>LK5982</v>
      </c>
      <c r="C13221" t="s">
        <v>52819</v>
      </c>
      <c r="D13221" t="s">
        <v>27245</v>
      </c>
      <c r="E13221" t="str">
        <f t="shared" si="206"/>
        <v>001390</v>
      </c>
      <c r="F13221" t="s">
        <v>27246</v>
      </c>
      <c r="G13221" t="s">
        <v>27247</v>
      </c>
      <c r="H13221" t="s">
        <v>27248</v>
      </c>
      <c r="I13221" t="s">
        <v>52820</v>
      </c>
      <c r="J13221" t="s">
        <v>26471</v>
      </c>
      <c r="L13221" t="s">
        <v>27250</v>
      </c>
      <c r="M13221" t="s">
        <v>27251</v>
      </c>
      <c r="N13221" t="s">
        <v>27252</v>
      </c>
      <c r="Q13221" s="1">
        <v>44538</v>
      </c>
      <c r="R13221" t="s">
        <v>27253</v>
      </c>
      <c r="S13221" t="s">
        <v>27254</v>
      </c>
      <c r="T13221" t="s">
        <v>27255</v>
      </c>
    </row>
    <row r="13222" spans="1:20" x14ac:dyDescent="0.3">
      <c r="A13222" t="str">
        <f>"0611840638100"</f>
        <v>0611840638100</v>
      </c>
      <c r="B13222" t="str">
        <f>"LK6504"</f>
        <v>LK6504</v>
      </c>
      <c r="C13222" t="s">
        <v>52821</v>
      </c>
      <c r="D13222" t="s">
        <v>27245</v>
      </c>
      <c r="E13222" t="str">
        <f t="shared" si="206"/>
        <v>001390</v>
      </c>
      <c r="F13222" t="s">
        <v>27246</v>
      </c>
      <c r="G13222" t="s">
        <v>27247</v>
      </c>
      <c r="H13222" t="s">
        <v>27248</v>
      </c>
      <c r="I13222" t="s">
        <v>52822</v>
      </c>
      <c r="J13222" t="s">
        <v>26409</v>
      </c>
      <c r="L13222" t="s">
        <v>27250</v>
      </c>
      <c r="M13222" t="s">
        <v>27251</v>
      </c>
      <c r="N13222" t="s">
        <v>27252</v>
      </c>
      <c r="Q13222" s="1">
        <v>44538</v>
      </c>
      <c r="R13222" t="s">
        <v>27253</v>
      </c>
      <c r="S13222" t="s">
        <v>27254</v>
      </c>
      <c r="T13222" t="s">
        <v>27255</v>
      </c>
    </row>
    <row r="13223" spans="1:20" x14ac:dyDescent="0.3">
      <c r="A13223" t="str">
        <f>"0611840639100"</f>
        <v>0611840639100</v>
      </c>
      <c r="B13223" t="str">
        <f>"LK5983"</f>
        <v>LK5983</v>
      </c>
      <c r="C13223" t="s">
        <v>52823</v>
      </c>
      <c r="D13223" t="s">
        <v>27245</v>
      </c>
      <c r="E13223" t="str">
        <f t="shared" si="206"/>
        <v>001390</v>
      </c>
      <c r="F13223" t="s">
        <v>27246</v>
      </c>
      <c r="G13223" t="s">
        <v>27247</v>
      </c>
      <c r="H13223" t="s">
        <v>27248</v>
      </c>
      <c r="I13223" t="s">
        <v>52824</v>
      </c>
      <c r="J13223" t="s">
        <v>26473</v>
      </c>
      <c r="L13223" t="s">
        <v>27250</v>
      </c>
      <c r="M13223" t="s">
        <v>27251</v>
      </c>
      <c r="N13223" t="s">
        <v>27252</v>
      </c>
      <c r="Q13223" s="1">
        <v>44538</v>
      </c>
      <c r="R13223" t="s">
        <v>27253</v>
      </c>
      <c r="S13223" t="s">
        <v>27254</v>
      </c>
      <c r="T13223" t="s">
        <v>27255</v>
      </c>
    </row>
    <row r="13224" spans="1:20" x14ac:dyDescent="0.3">
      <c r="A13224" t="str">
        <f>"0611840640100"</f>
        <v>0611840640100</v>
      </c>
      <c r="B13224" t="str">
        <f>"LK5985"</f>
        <v>LK5985</v>
      </c>
      <c r="C13224" t="s">
        <v>52825</v>
      </c>
      <c r="D13224" t="s">
        <v>27245</v>
      </c>
      <c r="E13224" t="str">
        <f t="shared" si="206"/>
        <v>001390</v>
      </c>
      <c r="F13224" t="s">
        <v>27246</v>
      </c>
      <c r="G13224" t="s">
        <v>27247</v>
      </c>
      <c r="H13224" t="s">
        <v>27248</v>
      </c>
      <c r="I13224" t="s">
        <v>52826</v>
      </c>
      <c r="J13224" t="s">
        <v>26477</v>
      </c>
      <c r="L13224" t="s">
        <v>27250</v>
      </c>
      <c r="M13224" t="s">
        <v>27251</v>
      </c>
      <c r="N13224" t="s">
        <v>27252</v>
      </c>
      <c r="Q13224" s="1">
        <v>44538</v>
      </c>
      <c r="R13224" t="s">
        <v>27253</v>
      </c>
      <c r="S13224" t="s">
        <v>27254</v>
      </c>
      <c r="T13224" t="s">
        <v>27255</v>
      </c>
    </row>
    <row r="13225" spans="1:20" x14ac:dyDescent="0.3">
      <c r="A13225" t="str">
        <f>"0611840641100"</f>
        <v>0611840641100</v>
      </c>
      <c r="B13225" t="str">
        <f>"LB9347"</f>
        <v>LB9347</v>
      </c>
      <c r="C13225" t="s">
        <v>52827</v>
      </c>
      <c r="D13225" t="s">
        <v>27245</v>
      </c>
      <c r="E13225" t="str">
        <f t="shared" si="206"/>
        <v>001390</v>
      </c>
      <c r="F13225" t="s">
        <v>27246</v>
      </c>
      <c r="G13225" t="s">
        <v>27247</v>
      </c>
      <c r="H13225" t="s">
        <v>27248</v>
      </c>
      <c r="I13225" t="s">
        <v>52828</v>
      </c>
      <c r="J13225" t="s">
        <v>26413</v>
      </c>
      <c r="L13225" t="s">
        <v>27250</v>
      </c>
      <c r="M13225" t="s">
        <v>27251</v>
      </c>
      <c r="N13225" t="s">
        <v>27252</v>
      </c>
      <c r="Q13225" s="1">
        <v>44538</v>
      </c>
      <c r="R13225" t="s">
        <v>27253</v>
      </c>
      <c r="S13225" t="s">
        <v>27254</v>
      </c>
      <c r="T13225" t="s">
        <v>27255</v>
      </c>
    </row>
    <row r="13226" spans="1:20" x14ac:dyDescent="0.3">
      <c r="A13226" t="str">
        <f>"0611840643100"</f>
        <v>0611840643100</v>
      </c>
      <c r="B13226" t="str">
        <f>"LB9584"</f>
        <v>LB9584</v>
      </c>
      <c r="C13226" t="s">
        <v>52829</v>
      </c>
      <c r="D13226" t="s">
        <v>27245</v>
      </c>
      <c r="E13226" t="str">
        <f t="shared" si="206"/>
        <v>001390</v>
      </c>
      <c r="F13226" t="s">
        <v>27246</v>
      </c>
      <c r="G13226" t="s">
        <v>27247</v>
      </c>
      <c r="H13226" t="s">
        <v>27248</v>
      </c>
      <c r="I13226" t="s">
        <v>52830</v>
      </c>
      <c r="J13226" t="s">
        <v>26415</v>
      </c>
      <c r="L13226" t="s">
        <v>27250</v>
      </c>
      <c r="M13226" t="s">
        <v>27251</v>
      </c>
      <c r="N13226" t="s">
        <v>27252</v>
      </c>
      <c r="Q13226" s="1">
        <v>44538</v>
      </c>
      <c r="R13226" t="s">
        <v>27253</v>
      </c>
      <c r="S13226" t="s">
        <v>27254</v>
      </c>
      <c r="T13226" t="s">
        <v>27255</v>
      </c>
    </row>
    <row r="13227" spans="1:20" x14ac:dyDescent="0.3">
      <c r="A13227" t="str">
        <f>"0611840645100"</f>
        <v>0611840645100</v>
      </c>
      <c r="B13227" t="str">
        <f>"LK5614"</f>
        <v>LK5614</v>
      </c>
      <c r="C13227" t="s">
        <v>52831</v>
      </c>
      <c r="D13227" t="s">
        <v>27245</v>
      </c>
      <c r="E13227" t="str">
        <f t="shared" si="206"/>
        <v>001390</v>
      </c>
      <c r="F13227" t="s">
        <v>27246</v>
      </c>
      <c r="G13227" t="s">
        <v>27247</v>
      </c>
      <c r="H13227" t="s">
        <v>27248</v>
      </c>
      <c r="I13227" t="s">
        <v>52832</v>
      </c>
      <c r="J13227" t="s">
        <v>26479</v>
      </c>
      <c r="L13227" t="s">
        <v>27250</v>
      </c>
      <c r="M13227" t="s">
        <v>27251</v>
      </c>
      <c r="N13227" t="s">
        <v>27252</v>
      </c>
      <c r="Q13227" s="1">
        <v>44538</v>
      </c>
      <c r="R13227" t="s">
        <v>27253</v>
      </c>
      <c r="S13227" t="s">
        <v>27254</v>
      </c>
      <c r="T13227" t="s">
        <v>27255</v>
      </c>
    </row>
    <row r="13228" spans="1:20" x14ac:dyDescent="0.3">
      <c r="A13228" t="str">
        <f>"0611840646100"</f>
        <v>0611840646100</v>
      </c>
      <c r="B13228" t="str">
        <f>"LK4558"</f>
        <v>LK4558</v>
      </c>
      <c r="C13228" t="s">
        <v>52833</v>
      </c>
      <c r="D13228" t="s">
        <v>27245</v>
      </c>
      <c r="E13228" t="str">
        <f t="shared" si="206"/>
        <v>001390</v>
      </c>
      <c r="F13228" t="s">
        <v>27246</v>
      </c>
      <c r="G13228" t="s">
        <v>27247</v>
      </c>
      <c r="H13228" t="s">
        <v>27248</v>
      </c>
      <c r="I13228" t="s">
        <v>52834</v>
      </c>
      <c r="J13228" t="s">
        <v>26481</v>
      </c>
      <c r="L13228" t="s">
        <v>27250</v>
      </c>
      <c r="M13228" t="s">
        <v>27251</v>
      </c>
      <c r="N13228" t="s">
        <v>27252</v>
      </c>
      <c r="Q13228" s="1">
        <v>44538</v>
      </c>
      <c r="R13228" t="s">
        <v>27253</v>
      </c>
      <c r="S13228" t="s">
        <v>27254</v>
      </c>
      <c r="T13228" t="s">
        <v>27255</v>
      </c>
    </row>
    <row r="13229" spans="1:20" x14ac:dyDescent="0.3">
      <c r="A13229" t="str">
        <f>"0611840647100"</f>
        <v>0611840647100</v>
      </c>
      <c r="B13229" t="str">
        <f>"LK5157"</f>
        <v>LK5157</v>
      </c>
      <c r="C13229" t="s">
        <v>52835</v>
      </c>
      <c r="D13229" t="s">
        <v>27245</v>
      </c>
      <c r="E13229" t="str">
        <f t="shared" si="206"/>
        <v>001390</v>
      </c>
      <c r="F13229" t="s">
        <v>27246</v>
      </c>
      <c r="G13229" t="s">
        <v>27247</v>
      </c>
      <c r="H13229" t="s">
        <v>27248</v>
      </c>
      <c r="I13229" t="s">
        <v>52836</v>
      </c>
      <c r="J13229" t="s">
        <v>26483</v>
      </c>
      <c r="L13229" t="s">
        <v>27250</v>
      </c>
      <c r="M13229" t="s">
        <v>27251</v>
      </c>
      <c r="N13229" t="s">
        <v>27252</v>
      </c>
      <c r="Q13229" s="1">
        <v>44538</v>
      </c>
      <c r="R13229" t="s">
        <v>27253</v>
      </c>
      <c r="S13229" t="s">
        <v>27254</v>
      </c>
      <c r="T13229" t="s">
        <v>27255</v>
      </c>
    </row>
    <row r="13230" spans="1:20" x14ac:dyDescent="0.3">
      <c r="A13230" t="str">
        <f>"0611840648100"</f>
        <v>0611840648100</v>
      </c>
      <c r="B13230" t="str">
        <f>"LK4909"</f>
        <v>LK4909</v>
      </c>
      <c r="C13230" t="s">
        <v>52837</v>
      </c>
      <c r="D13230" t="s">
        <v>27245</v>
      </c>
      <c r="E13230" t="str">
        <f t="shared" si="206"/>
        <v>001390</v>
      </c>
      <c r="F13230" t="s">
        <v>27246</v>
      </c>
      <c r="G13230" t="s">
        <v>27247</v>
      </c>
      <c r="H13230" t="s">
        <v>27248</v>
      </c>
      <c r="I13230" t="s">
        <v>52838</v>
      </c>
      <c r="J13230" t="s">
        <v>26417</v>
      </c>
      <c r="L13230" t="s">
        <v>27250</v>
      </c>
      <c r="M13230" t="s">
        <v>27251</v>
      </c>
      <c r="N13230" t="s">
        <v>27252</v>
      </c>
      <c r="Q13230" s="1">
        <v>44538</v>
      </c>
      <c r="R13230" t="s">
        <v>27253</v>
      </c>
      <c r="S13230" t="s">
        <v>27254</v>
      </c>
      <c r="T13230" t="s">
        <v>27255</v>
      </c>
    </row>
    <row r="13231" spans="1:20" x14ac:dyDescent="0.3">
      <c r="A13231" t="str">
        <f>"0611840649100"</f>
        <v>0611840649100</v>
      </c>
      <c r="B13231" t="str">
        <f>"LB9565"</f>
        <v>LB9565</v>
      </c>
      <c r="C13231" t="s">
        <v>52839</v>
      </c>
      <c r="D13231" t="s">
        <v>27245</v>
      </c>
      <c r="E13231" t="str">
        <f t="shared" si="206"/>
        <v>001390</v>
      </c>
      <c r="F13231" t="s">
        <v>27246</v>
      </c>
      <c r="G13231" t="s">
        <v>27247</v>
      </c>
      <c r="H13231" t="s">
        <v>27248</v>
      </c>
      <c r="I13231" t="s">
        <v>52840</v>
      </c>
      <c r="J13231" t="s">
        <v>26419</v>
      </c>
      <c r="L13231" t="s">
        <v>27250</v>
      </c>
      <c r="M13231" t="s">
        <v>27251</v>
      </c>
      <c r="N13231" t="s">
        <v>27252</v>
      </c>
      <c r="Q13231" s="1">
        <v>44538</v>
      </c>
      <c r="R13231" t="s">
        <v>27253</v>
      </c>
      <c r="S13231" t="s">
        <v>27254</v>
      </c>
      <c r="T13231" t="s">
        <v>27255</v>
      </c>
    </row>
    <row r="13232" spans="1:20" x14ac:dyDescent="0.3">
      <c r="A13232" t="str">
        <f>"0611840650100"</f>
        <v>0611840650100</v>
      </c>
      <c r="B13232" t="str">
        <f>"LK4560"</f>
        <v>LK4560</v>
      </c>
      <c r="C13232" t="s">
        <v>52841</v>
      </c>
      <c r="D13232" t="s">
        <v>27245</v>
      </c>
      <c r="E13232" t="str">
        <f t="shared" si="206"/>
        <v>001390</v>
      </c>
      <c r="F13232" t="s">
        <v>27246</v>
      </c>
      <c r="G13232" t="s">
        <v>27247</v>
      </c>
      <c r="H13232" t="s">
        <v>27248</v>
      </c>
      <c r="I13232" t="s">
        <v>52842</v>
      </c>
      <c r="J13232" t="s">
        <v>26485</v>
      </c>
      <c r="L13232" t="s">
        <v>27250</v>
      </c>
      <c r="M13232" t="s">
        <v>27251</v>
      </c>
      <c r="N13232" t="s">
        <v>27252</v>
      </c>
      <c r="Q13232" s="1">
        <v>44538</v>
      </c>
      <c r="R13232" t="s">
        <v>27253</v>
      </c>
      <c r="S13232" t="s">
        <v>27254</v>
      </c>
      <c r="T13232" t="s">
        <v>27255</v>
      </c>
    </row>
    <row r="13233" spans="1:20" x14ac:dyDescent="0.3">
      <c r="A13233" t="str">
        <f>"0611840651100"</f>
        <v>0611840651100</v>
      </c>
      <c r="B13233" t="str">
        <f>"LK5615"</f>
        <v>LK5615</v>
      </c>
      <c r="C13233" t="s">
        <v>52843</v>
      </c>
      <c r="D13233" t="s">
        <v>27245</v>
      </c>
      <c r="E13233" t="str">
        <f t="shared" si="206"/>
        <v>001390</v>
      </c>
      <c r="F13233" t="s">
        <v>27246</v>
      </c>
      <c r="G13233" t="s">
        <v>27247</v>
      </c>
      <c r="H13233" t="s">
        <v>27248</v>
      </c>
      <c r="I13233" t="s">
        <v>52844</v>
      </c>
      <c r="J13233" t="s">
        <v>26487</v>
      </c>
      <c r="L13233" t="s">
        <v>27250</v>
      </c>
      <c r="M13233" t="s">
        <v>27251</v>
      </c>
      <c r="N13233" t="s">
        <v>27252</v>
      </c>
      <c r="Q13233" s="1">
        <v>44538</v>
      </c>
      <c r="R13233" t="s">
        <v>27253</v>
      </c>
      <c r="S13233" t="s">
        <v>27254</v>
      </c>
      <c r="T13233" t="s">
        <v>27255</v>
      </c>
    </row>
    <row r="13234" spans="1:20" x14ac:dyDescent="0.3">
      <c r="A13234" t="str">
        <f>"0611840652100"</f>
        <v>0611840652100</v>
      </c>
      <c r="B13234" t="str">
        <f>"LK6672"</f>
        <v>LK6672</v>
      </c>
      <c r="C13234" t="s">
        <v>52845</v>
      </c>
      <c r="D13234" t="s">
        <v>27245</v>
      </c>
      <c r="E13234" t="str">
        <f t="shared" si="206"/>
        <v>001390</v>
      </c>
      <c r="F13234" t="s">
        <v>27246</v>
      </c>
      <c r="G13234" t="s">
        <v>27247</v>
      </c>
      <c r="H13234" t="s">
        <v>27248</v>
      </c>
      <c r="I13234" t="s">
        <v>52846</v>
      </c>
      <c r="J13234" t="s">
        <v>26489</v>
      </c>
      <c r="L13234" t="s">
        <v>27250</v>
      </c>
      <c r="M13234" t="s">
        <v>27251</v>
      </c>
      <c r="N13234" t="s">
        <v>27252</v>
      </c>
      <c r="Q13234" s="1">
        <v>44538</v>
      </c>
      <c r="R13234" t="s">
        <v>27253</v>
      </c>
      <c r="S13234" t="s">
        <v>27254</v>
      </c>
      <c r="T13234" t="s">
        <v>27255</v>
      </c>
    </row>
    <row r="13235" spans="1:20" x14ac:dyDescent="0.3">
      <c r="A13235" t="str">
        <f>"0611840653100"</f>
        <v>0611840653100</v>
      </c>
      <c r="B13235" t="str">
        <f>"LK3101"</f>
        <v>LK3101</v>
      </c>
      <c r="C13235" t="s">
        <v>52847</v>
      </c>
      <c r="D13235" t="s">
        <v>27245</v>
      </c>
      <c r="E13235" t="str">
        <f t="shared" si="206"/>
        <v>001390</v>
      </c>
      <c r="F13235" t="s">
        <v>27246</v>
      </c>
      <c r="G13235" t="s">
        <v>27247</v>
      </c>
      <c r="H13235" t="s">
        <v>27248</v>
      </c>
      <c r="I13235" t="s">
        <v>52848</v>
      </c>
      <c r="J13235" t="s">
        <v>26421</v>
      </c>
      <c r="L13235" t="s">
        <v>27250</v>
      </c>
      <c r="M13235" t="s">
        <v>27251</v>
      </c>
      <c r="N13235" t="s">
        <v>27252</v>
      </c>
      <c r="Q13235" s="1">
        <v>44538</v>
      </c>
      <c r="R13235" t="s">
        <v>27253</v>
      </c>
      <c r="S13235" t="s">
        <v>27254</v>
      </c>
      <c r="T13235" t="s">
        <v>27255</v>
      </c>
    </row>
    <row r="13236" spans="1:20" x14ac:dyDescent="0.3">
      <c r="A13236" t="str">
        <f>"0611840654100"</f>
        <v>0611840654100</v>
      </c>
      <c r="B13236" t="str">
        <f>"LK1056"</f>
        <v>LK1056</v>
      </c>
      <c r="C13236" t="s">
        <v>52849</v>
      </c>
      <c r="D13236" t="s">
        <v>27245</v>
      </c>
      <c r="E13236" t="str">
        <f t="shared" si="206"/>
        <v>001390</v>
      </c>
      <c r="F13236" t="s">
        <v>27246</v>
      </c>
      <c r="G13236" t="s">
        <v>27247</v>
      </c>
      <c r="H13236" t="s">
        <v>27248</v>
      </c>
      <c r="I13236" t="s">
        <v>52850</v>
      </c>
      <c r="J13236" t="s">
        <v>26423</v>
      </c>
      <c r="L13236" t="s">
        <v>27250</v>
      </c>
      <c r="M13236" t="s">
        <v>27251</v>
      </c>
      <c r="N13236" t="s">
        <v>27252</v>
      </c>
      <c r="Q13236" s="1">
        <v>44538</v>
      </c>
      <c r="R13236" t="s">
        <v>27253</v>
      </c>
      <c r="S13236" t="s">
        <v>27254</v>
      </c>
      <c r="T13236" t="s">
        <v>27255</v>
      </c>
    </row>
    <row r="13237" spans="1:20" x14ac:dyDescent="0.3">
      <c r="A13237" t="str">
        <f>"0611840655100"</f>
        <v>0611840655100</v>
      </c>
      <c r="B13237" t="str">
        <f>"LK1057"</f>
        <v>LK1057</v>
      </c>
      <c r="C13237" t="s">
        <v>52851</v>
      </c>
      <c r="D13237" t="s">
        <v>27245</v>
      </c>
      <c r="E13237" t="str">
        <f t="shared" si="206"/>
        <v>001390</v>
      </c>
      <c r="F13237" t="s">
        <v>27246</v>
      </c>
      <c r="G13237" t="s">
        <v>27247</v>
      </c>
      <c r="H13237" t="s">
        <v>27248</v>
      </c>
      <c r="I13237" t="s">
        <v>52852</v>
      </c>
      <c r="J13237" t="s">
        <v>26425</v>
      </c>
      <c r="L13237" t="s">
        <v>27250</v>
      </c>
      <c r="M13237" t="s">
        <v>27251</v>
      </c>
      <c r="N13237" t="s">
        <v>27252</v>
      </c>
      <c r="Q13237" s="1">
        <v>44538</v>
      </c>
      <c r="R13237" t="s">
        <v>27253</v>
      </c>
      <c r="S13237" t="s">
        <v>27254</v>
      </c>
      <c r="T13237" t="s">
        <v>27255</v>
      </c>
    </row>
    <row r="13238" spans="1:20" x14ac:dyDescent="0.3">
      <c r="A13238" t="str">
        <f>"0611840656100"</f>
        <v>0611840656100</v>
      </c>
      <c r="B13238" t="str">
        <f>"LK4733"</f>
        <v>LK4733</v>
      </c>
      <c r="C13238" t="s">
        <v>52853</v>
      </c>
      <c r="D13238" t="s">
        <v>27245</v>
      </c>
      <c r="E13238" t="str">
        <f t="shared" si="206"/>
        <v>001390</v>
      </c>
      <c r="F13238" t="s">
        <v>27246</v>
      </c>
      <c r="G13238" t="s">
        <v>27247</v>
      </c>
      <c r="H13238" t="s">
        <v>27248</v>
      </c>
      <c r="I13238" t="s">
        <v>52854</v>
      </c>
      <c r="J13238" t="s">
        <v>26491</v>
      </c>
      <c r="L13238" t="s">
        <v>27250</v>
      </c>
      <c r="M13238" t="s">
        <v>27251</v>
      </c>
      <c r="N13238" t="s">
        <v>27252</v>
      </c>
      <c r="Q13238" s="1">
        <v>44538</v>
      </c>
      <c r="R13238" t="s">
        <v>27253</v>
      </c>
      <c r="S13238" t="s">
        <v>27254</v>
      </c>
      <c r="T13238" t="s">
        <v>27255</v>
      </c>
    </row>
    <row r="13239" spans="1:20" x14ac:dyDescent="0.3">
      <c r="A13239" t="str">
        <f>"0611840657100"</f>
        <v>0611840657100</v>
      </c>
      <c r="B13239" t="str">
        <f>"LK4722"</f>
        <v>LK4722</v>
      </c>
      <c r="C13239" t="s">
        <v>52855</v>
      </c>
      <c r="D13239" t="s">
        <v>27245</v>
      </c>
      <c r="E13239" t="str">
        <f t="shared" si="206"/>
        <v>001390</v>
      </c>
      <c r="F13239" t="s">
        <v>27246</v>
      </c>
      <c r="G13239" t="s">
        <v>27247</v>
      </c>
      <c r="H13239" t="s">
        <v>27248</v>
      </c>
      <c r="I13239" t="s">
        <v>52856</v>
      </c>
      <c r="J13239" t="s">
        <v>26493</v>
      </c>
      <c r="L13239" t="s">
        <v>27250</v>
      </c>
      <c r="M13239" t="s">
        <v>27251</v>
      </c>
      <c r="N13239" t="s">
        <v>27252</v>
      </c>
      <c r="Q13239" s="1">
        <v>44538</v>
      </c>
      <c r="R13239" t="s">
        <v>27253</v>
      </c>
      <c r="S13239" t="s">
        <v>27254</v>
      </c>
      <c r="T13239" t="s">
        <v>27255</v>
      </c>
    </row>
    <row r="13240" spans="1:20" x14ac:dyDescent="0.3">
      <c r="A13240" t="str">
        <f>"0611840660100"</f>
        <v>0611840660100</v>
      </c>
      <c r="B13240" t="str">
        <f>"LK5159"</f>
        <v>LK5159</v>
      </c>
      <c r="C13240" t="s">
        <v>52857</v>
      </c>
      <c r="D13240" t="s">
        <v>27245</v>
      </c>
      <c r="E13240" t="str">
        <f t="shared" si="206"/>
        <v>001390</v>
      </c>
      <c r="F13240" t="s">
        <v>27246</v>
      </c>
      <c r="G13240" t="s">
        <v>27247</v>
      </c>
      <c r="H13240" t="s">
        <v>27248</v>
      </c>
      <c r="I13240" t="s">
        <v>52858</v>
      </c>
      <c r="J13240" t="s">
        <v>26495</v>
      </c>
      <c r="L13240" t="s">
        <v>27250</v>
      </c>
      <c r="M13240" t="s">
        <v>27251</v>
      </c>
      <c r="N13240" t="s">
        <v>27252</v>
      </c>
      <c r="Q13240" s="1">
        <v>44538</v>
      </c>
      <c r="R13240" t="s">
        <v>27253</v>
      </c>
      <c r="S13240" t="s">
        <v>27254</v>
      </c>
      <c r="T13240" t="s">
        <v>27255</v>
      </c>
    </row>
    <row r="13241" spans="1:20" x14ac:dyDescent="0.3">
      <c r="A13241" t="str">
        <f>"0611840661100"</f>
        <v>0611840661100</v>
      </c>
      <c r="B13241" t="str">
        <f>"LK4910"</f>
        <v>LK4910</v>
      </c>
      <c r="C13241" t="s">
        <v>52859</v>
      </c>
      <c r="D13241" t="s">
        <v>27245</v>
      </c>
      <c r="E13241" t="str">
        <f t="shared" si="206"/>
        <v>001390</v>
      </c>
      <c r="F13241" t="s">
        <v>27246</v>
      </c>
      <c r="G13241" t="s">
        <v>27247</v>
      </c>
      <c r="H13241" t="s">
        <v>27248</v>
      </c>
      <c r="I13241" t="s">
        <v>52860</v>
      </c>
      <c r="J13241" t="s">
        <v>26497</v>
      </c>
      <c r="L13241" t="s">
        <v>27250</v>
      </c>
      <c r="M13241" t="s">
        <v>27251</v>
      </c>
      <c r="N13241" t="s">
        <v>27252</v>
      </c>
      <c r="Q13241" s="1">
        <v>44538</v>
      </c>
      <c r="R13241" t="s">
        <v>27253</v>
      </c>
      <c r="S13241" t="s">
        <v>27254</v>
      </c>
      <c r="T13241" t="s">
        <v>27255</v>
      </c>
    </row>
    <row r="13242" spans="1:20" x14ac:dyDescent="0.3">
      <c r="A13242" t="str">
        <f>"0611840663100"</f>
        <v>0611840663100</v>
      </c>
      <c r="B13242" t="str">
        <f>"LK5617"</f>
        <v>LK5617</v>
      </c>
      <c r="C13242" t="s">
        <v>52861</v>
      </c>
      <c r="D13242" t="s">
        <v>27245</v>
      </c>
      <c r="E13242" t="str">
        <f t="shared" si="206"/>
        <v>001390</v>
      </c>
      <c r="F13242" t="s">
        <v>27246</v>
      </c>
      <c r="G13242" t="s">
        <v>27247</v>
      </c>
      <c r="H13242" t="s">
        <v>27248</v>
      </c>
      <c r="I13242" t="s">
        <v>52862</v>
      </c>
      <c r="J13242" t="s">
        <v>26499</v>
      </c>
      <c r="L13242" t="s">
        <v>27250</v>
      </c>
      <c r="M13242" t="s">
        <v>27251</v>
      </c>
      <c r="N13242" t="s">
        <v>27252</v>
      </c>
      <c r="Q13242" s="1">
        <v>44538</v>
      </c>
      <c r="R13242" t="s">
        <v>27253</v>
      </c>
      <c r="S13242" t="s">
        <v>27254</v>
      </c>
      <c r="T13242" t="s">
        <v>27255</v>
      </c>
    </row>
    <row r="13243" spans="1:20" x14ac:dyDescent="0.3">
      <c r="A13243" t="str">
        <f>"0611840664100"</f>
        <v>0611840664100</v>
      </c>
      <c r="B13243" t="str">
        <f>"LK4734"</f>
        <v>LK4734</v>
      </c>
      <c r="C13243" t="s">
        <v>52863</v>
      </c>
      <c r="D13243" t="s">
        <v>27245</v>
      </c>
      <c r="E13243" t="str">
        <f t="shared" si="206"/>
        <v>001390</v>
      </c>
      <c r="F13243" t="s">
        <v>27246</v>
      </c>
      <c r="G13243" t="s">
        <v>27247</v>
      </c>
      <c r="H13243" t="s">
        <v>27248</v>
      </c>
      <c r="I13243" t="s">
        <v>52864</v>
      </c>
      <c r="J13243" t="s">
        <v>26503</v>
      </c>
      <c r="L13243" t="s">
        <v>27250</v>
      </c>
      <c r="M13243" t="s">
        <v>27251</v>
      </c>
      <c r="N13243" t="s">
        <v>27252</v>
      </c>
      <c r="Q13243" s="1">
        <v>44538</v>
      </c>
      <c r="R13243" t="s">
        <v>27253</v>
      </c>
      <c r="S13243" t="s">
        <v>27254</v>
      </c>
      <c r="T13243" t="s">
        <v>27255</v>
      </c>
    </row>
    <row r="13244" spans="1:20" x14ac:dyDescent="0.3">
      <c r="A13244" t="str">
        <f>"0611840665100"</f>
        <v>0611840665100</v>
      </c>
      <c r="B13244" t="str">
        <f>"LK4723"</f>
        <v>LK4723</v>
      </c>
      <c r="C13244" t="s">
        <v>52865</v>
      </c>
      <c r="D13244" t="s">
        <v>27245</v>
      </c>
      <c r="E13244" t="str">
        <f t="shared" si="206"/>
        <v>001390</v>
      </c>
      <c r="F13244" t="s">
        <v>27246</v>
      </c>
      <c r="G13244" t="s">
        <v>27247</v>
      </c>
      <c r="H13244" t="s">
        <v>27248</v>
      </c>
      <c r="I13244" t="s">
        <v>52866</v>
      </c>
      <c r="J13244" t="s">
        <v>26501</v>
      </c>
      <c r="L13244" t="s">
        <v>27250</v>
      </c>
      <c r="M13244" t="s">
        <v>27251</v>
      </c>
      <c r="N13244" t="s">
        <v>27252</v>
      </c>
      <c r="Q13244" s="1">
        <v>44538</v>
      </c>
      <c r="R13244" t="s">
        <v>27253</v>
      </c>
      <c r="S13244" t="s">
        <v>27254</v>
      </c>
      <c r="T13244" t="s">
        <v>27255</v>
      </c>
    </row>
    <row r="13245" spans="1:20" x14ac:dyDescent="0.3">
      <c r="A13245" t="str">
        <f>"0611840666100"</f>
        <v>0611840666100</v>
      </c>
      <c r="B13245" t="str">
        <f>"LK6314"</f>
        <v>LK6314</v>
      </c>
      <c r="C13245" t="s">
        <v>52867</v>
      </c>
      <c r="D13245" t="s">
        <v>27245</v>
      </c>
      <c r="E13245" t="str">
        <f t="shared" si="206"/>
        <v>001390</v>
      </c>
      <c r="F13245" t="s">
        <v>27246</v>
      </c>
      <c r="G13245" t="s">
        <v>27247</v>
      </c>
      <c r="H13245" t="s">
        <v>27248</v>
      </c>
      <c r="I13245" t="s">
        <v>52868</v>
      </c>
      <c r="J13245" t="s">
        <v>26507</v>
      </c>
      <c r="L13245" t="s">
        <v>27250</v>
      </c>
      <c r="M13245" t="s">
        <v>27251</v>
      </c>
      <c r="N13245" t="s">
        <v>27252</v>
      </c>
      <c r="Q13245" s="1">
        <v>44538</v>
      </c>
      <c r="R13245" t="s">
        <v>27253</v>
      </c>
      <c r="S13245" t="s">
        <v>27254</v>
      </c>
      <c r="T13245" t="s">
        <v>27255</v>
      </c>
    </row>
    <row r="13246" spans="1:20" x14ac:dyDescent="0.3">
      <c r="A13246" t="str">
        <f>"0611840667100"</f>
        <v>0611840667100</v>
      </c>
      <c r="B13246" t="str">
        <f>"LK4912"</f>
        <v>LK4912</v>
      </c>
      <c r="C13246" t="s">
        <v>52869</v>
      </c>
      <c r="D13246" t="s">
        <v>27245</v>
      </c>
      <c r="E13246" t="str">
        <f t="shared" si="206"/>
        <v>001390</v>
      </c>
      <c r="F13246" t="s">
        <v>27246</v>
      </c>
      <c r="G13246" t="s">
        <v>27247</v>
      </c>
      <c r="H13246" t="s">
        <v>27248</v>
      </c>
      <c r="I13246" t="s">
        <v>52870</v>
      </c>
      <c r="J13246" t="s">
        <v>26505</v>
      </c>
      <c r="L13246" t="s">
        <v>27250</v>
      </c>
      <c r="M13246" t="s">
        <v>27251</v>
      </c>
      <c r="N13246" t="s">
        <v>27252</v>
      </c>
      <c r="Q13246" s="1">
        <v>44538</v>
      </c>
      <c r="R13246" t="s">
        <v>27253</v>
      </c>
      <c r="S13246" t="s">
        <v>27254</v>
      </c>
      <c r="T13246" t="s">
        <v>27255</v>
      </c>
    </row>
    <row r="13247" spans="1:20" x14ac:dyDescent="0.3">
      <c r="A13247" t="str">
        <f>"0611840668100"</f>
        <v>0611840668100</v>
      </c>
      <c r="B13247" t="str">
        <f>"LK5534"</f>
        <v>LK5534</v>
      </c>
      <c r="C13247" t="s">
        <v>52871</v>
      </c>
      <c r="D13247" t="s">
        <v>27245</v>
      </c>
      <c r="E13247" t="str">
        <f t="shared" si="206"/>
        <v>001390</v>
      </c>
      <c r="F13247" t="s">
        <v>27246</v>
      </c>
      <c r="G13247" t="s">
        <v>27247</v>
      </c>
      <c r="H13247" t="s">
        <v>27248</v>
      </c>
      <c r="I13247" t="s">
        <v>52872</v>
      </c>
      <c r="J13247" t="s">
        <v>26427</v>
      </c>
      <c r="L13247" t="s">
        <v>27250</v>
      </c>
      <c r="M13247" t="s">
        <v>27251</v>
      </c>
      <c r="N13247" t="s">
        <v>27252</v>
      </c>
      <c r="Q13247" s="1">
        <v>44538</v>
      </c>
      <c r="R13247" t="s">
        <v>27253</v>
      </c>
      <c r="S13247" t="s">
        <v>27254</v>
      </c>
      <c r="T13247" t="s">
        <v>27255</v>
      </c>
    </row>
    <row r="13248" spans="1:20" x14ac:dyDescent="0.3">
      <c r="A13248" t="str">
        <f>"0611857182100"</f>
        <v>0611857182100</v>
      </c>
      <c r="B13248" t="str">
        <f>"LK7116"</f>
        <v>LK7116</v>
      </c>
      <c r="C13248" t="s">
        <v>52873</v>
      </c>
      <c r="D13248" t="s">
        <v>27245</v>
      </c>
      <c r="E13248" t="str">
        <f t="shared" si="206"/>
        <v>001390</v>
      </c>
      <c r="F13248" t="s">
        <v>27246</v>
      </c>
      <c r="G13248" t="s">
        <v>27247</v>
      </c>
      <c r="H13248" t="s">
        <v>27248</v>
      </c>
      <c r="I13248" t="s">
        <v>52874</v>
      </c>
      <c r="J13248" t="s">
        <v>26509</v>
      </c>
      <c r="L13248" t="s">
        <v>27250</v>
      </c>
      <c r="M13248" t="s">
        <v>27251</v>
      </c>
      <c r="N13248" t="s">
        <v>27252</v>
      </c>
      <c r="Q13248" s="1">
        <v>44812</v>
      </c>
      <c r="R13248" t="s">
        <v>27253</v>
      </c>
      <c r="S13248" t="s">
        <v>27254</v>
      </c>
      <c r="T13248" t="s">
        <v>27255</v>
      </c>
    </row>
    <row r="13249" spans="1:20" x14ac:dyDescent="0.3">
      <c r="A13249" t="str">
        <f>"0611840669100"</f>
        <v>0611840669100</v>
      </c>
      <c r="B13249" t="str">
        <f>"LK6979"</f>
        <v>LK6979</v>
      </c>
      <c r="C13249" t="s">
        <v>52875</v>
      </c>
      <c r="D13249" t="s">
        <v>27245</v>
      </c>
      <c r="E13249" t="str">
        <f t="shared" si="206"/>
        <v>001390</v>
      </c>
      <c r="F13249" t="s">
        <v>27246</v>
      </c>
      <c r="G13249" t="s">
        <v>27247</v>
      </c>
      <c r="H13249" t="s">
        <v>27248</v>
      </c>
      <c r="I13249" t="s">
        <v>52876</v>
      </c>
      <c r="J13249" t="s">
        <v>26511</v>
      </c>
      <c r="L13249" t="s">
        <v>27250</v>
      </c>
      <c r="M13249" t="s">
        <v>27251</v>
      </c>
      <c r="N13249" t="s">
        <v>27252</v>
      </c>
      <c r="Q13249" s="1">
        <v>44538</v>
      </c>
      <c r="R13249" t="s">
        <v>27253</v>
      </c>
      <c r="S13249" t="s">
        <v>27254</v>
      </c>
      <c r="T13249" t="s">
        <v>27255</v>
      </c>
    </row>
    <row r="13250" spans="1:20" x14ac:dyDescent="0.3">
      <c r="A13250" t="str">
        <f>"0611840670100"</f>
        <v>0611840670100</v>
      </c>
      <c r="B13250" t="str">
        <f>"LK6673"</f>
        <v>LK6673</v>
      </c>
      <c r="C13250" t="s">
        <v>52877</v>
      </c>
      <c r="D13250" t="s">
        <v>27245</v>
      </c>
      <c r="E13250" t="str">
        <f t="shared" ref="E13250:E13313" si="207">"001390"</f>
        <v>001390</v>
      </c>
      <c r="F13250" t="s">
        <v>27246</v>
      </c>
      <c r="G13250" t="s">
        <v>27247</v>
      </c>
      <c r="H13250" t="s">
        <v>27248</v>
      </c>
      <c r="I13250" t="s">
        <v>52878</v>
      </c>
      <c r="J13250" t="s">
        <v>26429</v>
      </c>
      <c r="L13250" t="s">
        <v>27250</v>
      </c>
      <c r="M13250" t="s">
        <v>27251</v>
      </c>
      <c r="N13250" t="s">
        <v>27252</v>
      </c>
      <c r="Q13250" s="1">
        <v>44538</v>
      </c>
      <c r="R13250" t="s">
        <v>27253</v>
      </c>
      <c r="S13250" t="s">
        <v>27254</v>
      </c>
      <c r="T13250" t="s">
        <v>27255</v>
      </c>
    </row>
    <row r="13251" spans="1:20" x14ac:dyDescent="0.3">
      <c r="A13251" t="str">
        <f>"0611840671100"</f>
        <v>0611840671100</v>
      </c>
      <c r="B13251" t="str">
        <f>"LK4562"</f>
        <v>LK4562</v>
      </c>
      <c r="C13251" t="s">
        <v>52879</v>
      </c>
      <c r="D13251" t="s">
        <v>27245</v>
      </c>
      <c r="E13251" t="str">
        <f t="shared" si="207"/>
        <v>001390</v>
      </c>
      <c r="F13251" t="s">
        <v>27246</v>
      </c>
      <c r="G13251" t="s">
        <v>27247</v>
      </c>
      <c r="H13251" t="s">
        <v>27248</v>
      </c>
      <c r="I13251" t="s">
        <v>52880</v>
      </c>
      <c r="J13251" t="s">
        <v>26513</v>
      </c>
      <c r="L13251" t="s">
        <v>27250</v>
      </c>
      <c r="M13251" t="s">
        <v>27251</v>
      </c>
      <c r="N13251" t="s">
        <v>27252</v>
      </c>
      <c r="Q13251" s="1">
        <v>44538</v>
      </c>
      <c r="R13251" t="s">
        <v>27253</v>
      </c>
      <c r="S13251" t="s">
        <v>27254</v>
      </c>
      <c r="T13251" t="s">
        <v>27255</v>
      </c>
    </row>
    <row r="13252" spans="1:20" x14ac:dyDescent="0.3">
      <c r="A13252" t="str">
        <f>"0611840672025"</f>
        <v>0611840672025</v>
      </c>
      <c r="B13252" t="str">
        <f>"MC1489"</f>
        <v>MC1489</v>
      </c>
      <c r="C13252" t="s">
        <v>52881</v>
      </c>
      <c r="D13252" t="s">
        <v>27267</v>
      </c>
      <c r="E13252" t="str">
        <f t="shared" si="207"/>
        <v>001390</v>
      </c>
      <c r="F13252" t="s">
        <v>27246</v>
      </c>
      <c r="G13252" t="s">
        <v>27247</v>
      </c>
      <c r="H13252" t="s">
        <v>27248</v>
      </c>
      <c r="I13252" t="s">
        <v>52882</v>
      </c>
      <c r="J13252" t="s">
        <v>26431</v>
      </c>
      <c r="L13252" t="s">
        <v>27250</v>
      </c>
      <c r="M13252" t="s">
        <v>27251</v>
      </c>
      <c r="N13252" t="s">
        <v>27252</v>
      </c>
      <c r="Q13252" s="1">
        <v>44538</v>
      </c>
      <c r="R13252" t="s">
        <v>27253</v>
      </c>
      <c r="S13252" t="s">
        <v>27254</v>
      </c>
      <c r="T13252" t="s">
        <v>27269</v>
      </c>
    </row>
    <row r="13253" spans="1:20" x14ac:dyDescent="0.3">
      <c r="A13253" t="str">
        <f>"0611840673100"</f>
        <v>0611840673100</v>
      </c>
      <c r="B13253" t="str">
        <f>"LK6187"</f>
        <v>LK6187</v>
      </c>
      <c r="C13253" t="s">
        <v>52883</v>
      </c>
      <c r="D13253" t="s">
        <v>27245</v>
      </c>
      <c r="E13253" t="str">
        <f t="shared" si="207"/>
        <v>001390</v>
      </c>
      <c r="F13253" t="s">
        <v>27246</v>
      </c>
      <c r="G13253" t="s">
        <v>27247</v>
      </c>
      <c r="H13253" t="s">
        <v>27248</v>
      </c>
      <c r="I13253" t="s">
        <v>52884</v>
      </c>
      <c r="J13253" t="s">
        <v>26515</v>
      </c>
      <c r="L13253" t="s">
        <v>27250</v>
      </c>
      <c r="M13253" t="s">
        <v>27251</v>
      </c>
      <c r="N13253" t="s">
        <v>27252</v>
      </c>
      <c r="Q13253" s="1">
        <v>44538</v>
      </c>
      <c r="R13253" t="s">
        <v>27253</v>
      </c>
      <c r="S13253" t="s">
        <v>27254</v>
      </c>
      <c r="T13253" t="s">
        <v>27255</v>
      </c>
    </row>
    <row r="13254" spans="1:20" x14ac:dyDescent="0.3">
      <c r="A13254" t="str">
        <f>"0611840675100"</f>
        <v>0611840675100</v>
      </c>
      <c r="B13254" t="str">
        <f>"LB9576"</f>
        <v>LB9576</v>
      </c>
      <c r="C13254" t="s">
        <v>52885</v>
      </c>
      <c r="D13254" t="s">
        <v>27245</v>
      </c>
      <c r="E13254" t="str">
        <f t="shared" si="207"/>
        <v>001390</v>
      </c>
      <c r="F13254" t="s">
        <v>27246</v>
      </c>
      <c r="G13254" t="s">
        <v>27247</v>
      </c>
      <c r="H13254" t="s">
        <v>27248</v>
      </c>
      <c r="I13254" t="s">
        <v>52886</v>
      </c>
      <c r="J13254" t="s">
        <v>26433</v>
      </c>
      <c r="L13254" t="s">
        <v>27250</v>
      </c>
      <c r="M13254" t="s">
        <v>27251</v>
      </c>
      <c r="N13254" t="s">
        <v>27252</v>
      </c>
      <c r="Q13254" s="1">
        <v>44538</v>
      </c>
      <c r="R13254" t="s">
        <v>27253</v>
      </c>
      <c r="S13254" t="s">
        <v>27254</v>
      </c>
      <c r="T13254" t="s">
        <v>27255</v>
      </c>
    </row>
    <row r="13255" spans="1:20" x14ac:dyDescent="0.3">
      <c r="A13255" t="str">
        <f>"0611840676100"</f>
        <v>0611840676100</v>
      </c>
      <c r="B13255" t="str">
        <f>"LB9577"</f>
        <v>LB9577</v>
      </c>
      <c r="C13255" t="s">
        <v>52887</v>
      </c>
      <c r="D13255" t="s">
        <v>27245</v>
      </c>
      <c r="E13255" t="str">
        <f t="shared" si="207"/>
        <v>001390</v>
      </c>
      <c r="F13255" t="s">
        <v>27246</v>
      </c>
      <c r="G13255" t="s">
        <v>27247</v>
      </c>
      <c r="H13255" t="s">
        <v>27248</v>
      </c>
      <c r="I13255" t="s">
        <v>52888</v>
      </c>
      <c r="J13255" t="s">
        <v>26531</v>
      </c>
      <c r="L13255" t="s">
        <v>27250</v>
      </c>
      <c r="M13255" t="s">
        <v>27251</v>
      </c>
      <c r="N13255" t="s">
        <v>27252</v>
      </c>
      <c r="Q13255" s="1">
        <v>44538</v>
      </c>
      <c r="R13255" t="s">
        <v>27253</v>
      </c>
      <c r="S13255" t="s">
        <v>27254</v>
      </c>
      <c r="T13255" t="s">
        <v>27255</v>
      </c>
    </row>
    <row r="13256" spans="1:20" x14ac:dyDescent="0.3">
      <c r="A13256" t="str">
        <f>"0611840677100"</f>
        <v>0611840677100</v>
      </c>
      <c r="B13256" t="str">
        <f>"LK6980"</f>
        <v>LK6980</v>
      </c>
      <c r="C13256" t="s">
        <v>52889</v>
      </c>
      <c r="D13256" t="s">
        <v>27245</v>
      </c>
      <c r="E13256" t="str">
        <f t="shared" si="207"/>
        <v>001390</v>
      </c>
      <c r="F13256" t="s">
        <v>27246</v>
      </c>
      <c r="G13256" t="s">
        <v>27247</v>
      </c>
      <c r="H13256" t="s">
        <v>27248</v>
      </c>
      <c r="I13256" t="s">
        <v>52890</v>
      </c>
      <c r="J13256" t="s">
        <v>26435</v>
      </c>
      <c r="L13256" t="s">
        <v>27250</v>
      </c>
      <c r="M13256" t="s">
        <v>27251</v>
      </c>
      <c r="N13256" t="s">
        <v>27252</v>
      </c>
      <c r="Q13256" s="1">
        <v>44538</v>
      </c>
      <c r="R13256" t="s">
        <v>27253</v>
      </c>
      <c r="S13256" t="s">
        <v>27254</v>
      </c>
      <c r="T13256" t="s">
        <v>27255</v>
      </c>
    </row>
    <row r="13257" spans="1:20" x14ac:dyDescent="0.3">
      <c r="A13257" t="str">
        <f>"0611840678100"</f>
        <v>0611840678100</v>
      </c>
      <c r="B13257" t="str">
        <f>"LK6315"</f>
        <v>LK6315</v>
      </c>
      <c r="C13257" t="s">
        <v>52891</v>
      </c>
      <c r="D13257" t="s">
        <v>27245</v>
      </c>
      <c r="E13257" t="str">
        <f t="shared" si="207"/>
        <v>001390</v>
      </c>
      <c r="F13257" t="s">
        <v>27246</v>
      </c>
      <c r="G13257" t="s">
        <v>27247</v>
      </c>
      <c r="H13257" t="s">
        <v>27248</v>
      </c>
      <c r="I13257" t="s">
        <v>52892</v>
      </c>
      <c r="J13257" t="s">
        <v>26517</v>
      </c>
      <c r="L13257" t="s">
        <v>27250</v>
      </c>
      <c r="M13257" t="s">
        <v>27251</v>
      </c>
      <c r="N13257" t="s">
        <v>27252</v>
      </c>
      <c r="Q13257" s="1">
        <v>44538</v>
      </c>
      <c r="R13257" t="s">
        <v>27253</v>
      </c>
      <c r="S13257" t="s">
        <v>27254</v>
      </c>
      <c r="T13257" t="s">
        <v>27255</v>
      </c>
    </row>
    <row r="13258" spans="1:20" x14ac:dyDescent="0.3">
      <c r="A13258" t="str">
        <f>"0611840679100"</f>
        <v>0611840679100</v>
      </c>
      <c r="B13258" t="str">
        <f>"LK4725"</f>
        <v>LK4725</v>
      </c>
      <c r="C13258" t="s">
        <v>52893</v>
      </c>
      <c r="D13258" t="s">
        <v>27245</v>
      </c>
      <c r="E13258" t="str">
        <f t="shared" si="207"/>
        <v>001390</v>
      </c>
      <c r="F13258" t="s">
        <v>27246</v>
      </c>
      <c r="G13258" t="s">
        <v>27247</v>
      </c>
      <c r="H13258" t="s">
        <v>27248</v>
      </c>
      <c r="I13258" t="s">
        <v>52894</v>
      </c>
      <c r="J13258" t="s">
        <v>26519</v>
      </c>
      <c r="L13258" t="s">
        <v>27250</v>
      </c>
      <c r="M13258" t="s">
        <v>27251</v>
      </c>
      <c r="N13258" t="s">
        <v>27252</v>
      </c>
      <c r="Q13258" s="1">
        <v>44538</v>
      </c>
      <c r="R13258" t="s">
        <v>27253</v>
      </c>
      <c r="S13258" t="s">
        <v>27254</v>
      </c>
      <c r="T13258" t="s">
        <v>27255</v>
      </c>
    </row>
    <row r="13259" spans="1:20" x14ac:dyDescent="0.3">
      <c r="A13259" t="str">
        <f>"0611840680100"</f>
        <v>0611840680100</v>
      </c>
      <c r="B13259" t="str">
        <f>"LK5618"</f>
        <v>LK5618</v>
      </c>
      <c r="C13259" t="s">
        <v>52895</v>
      </c>
      <c r="D13259" t="s">
        <v>27245</v>
      </c>
      <c r="E13259" t="str">
        <f t="shared" si="207"/>
        <v>001390</v>
      </c>
      <c r="F13259" t="s">
        <v>27246</v>
      </c>
      <c r="G13259" t="s">
        <v>27247</v>
      </c>
      <c r="H13259" t="s">
        <v>27248</v>
      </c>
      <c r="I13259" t="s">
        <v>52896</v>
      </c>
      <c r="J13259" t="s">
        <v>26523</v>
      </c>
      <c r="L13259" t="s">
        <v>27250</v>
      </c>
      <c r="M13259" t="s">
        <v>27251</v>
      </c>
      <c r="N13259" t="s">
        <v>27252</v>
      </c>
      <c r="Q13259" s="1">
        <v>44538</v>
      </c>
      <c r="R13259" t="s">
        <v>27253</v>
      </c>
      <c r="S13259" t="s">
        <v>27254</v>
      </c>
      <c r="T13259" t="s">
        <v>27255</v>
      </c>
    </row>
    <row r="13260" spans="1:20" x14ac:dyDescent="0.3">
      <c r="A13260" t="str">
        <f>"0611840681100"</f>
        <v>0611840681100</v>
      </c>
      <c r="B13260" t="str">
        <f>"LK4726"</f>
        <v>LK4726</v>
      </c>
      <c r="C13260" t="s">
        <v>52897</v>
      </c>
      <c r="D13260" t="s">
        <v>27245</v>
      </c>
      <c r="E13260" t="str">
        <f t="shared" si="207"/>
        <v>001390</v>
      </c>
      <c r="F13260" t="s">
        <v>27246</v>
      </c>
      <c r="G13260" t="s">
        <v>27247</v>
      </c>
      <c r="H13260" t="s">
        <v>27248</v>
      </c>
      <c r="I13260" t="s">
        <v>52898</v>
      </c>
      <c r="J13260" t="s">
        <v>26521</v>
      </c>
      <c r="L13260" t="s">
        <v>27250</v>
      </c>
      <c r="M13260" t="s">
        <v>27251</v>
      </c>
      <c r="N13260" t="s">
        <v>27252</v>
      </c>
      <c r="Q13260" s="1">
        <v>44538</v>
      </c>
      <c r="R13260" t="s">
        <v>27253</v>
      </c>
      <c r="S13260" t="s">
        <v>27254</v>
      </c>
      <c r="T13260" t="s">
        <v>27255</v>
      </c>
    </row>
    <row r="13261" spans="1:20" x14ac:dyDescent="0.3">
      <c r="A13261" t="str">
        <f>"0611840682100"</f>
        <v>0611840682100</v>
      </c>
      <c r="B13261" t="str">
        <f>"LK4727"</f>
        <v>LK4727</v>
      </c>
      <c r="C13261" t="s">
        <v>52899</v>
      </c>
      <c r="D13261" t="s">
        <v>27245</v>
      </c>
      <c r="E13261" t="str">
        <f t="shared" si="207"/>
        <v>001390</v>
      </c>
      <c r="F13261" t="s">
        <v>27246</v>
      </c>
      <c r="G13261" t="s">
        <v>27247</v>
      </c>
      <c r="H13261" t="s">
        <v>27248</v>
      </c>
      <c r="I13261" t="s">
        <v>52900</v>
      </c>
      <c r="J13261" t="s">
        <v>26527</v>
      </c>
      <c r="L13261" t="s">
        <v>27250</v>
      </c>
      <c r="M13261" t="s">
        <v>27251</v>
      </c>
      <c r="N13261" t="s">
        <v>27252</v>
      </c>
      <c r="Q13261" s="1">
        <v>44538</v>
      </c>
      <c r="R13261" t="s">
        <v>27253</v>
      </c>
      <c r="S13261" t="s">
        <v>27254</v>
      </c>
      <c r="T13261" t="s">
        <v>27255</v>
      </c>
    </row>
    <row r="13262" spans="1:20" x14ac:dyDescent="0.3">
      <c r="A13262" t="str">
        <f>"0611840683100"</f>
        <v>0611840683100</v>
      </c>
      <c r="B13262" t="str">
        <f>"LB9578"</f>
        <v>LB9578</v>
      </c>
      <c r="C13262" t="s">
        <v>52901</v>
      </c>
      <c r="D13262" t="s">
        <v>27245</v>
      </c>
      <c r="E13262" t="str">
        <f t="shared" si="207"/>
        <v>001390</v>
      </c>
      <c r="F13262" t="s">
        <v>27246</v>
      </c>
      <c r="G13262" t="s">
        <v>27247</v>
      </c>
      <c r="H13262" t="s">
        <v>27248</v>
      </c>
      <c r="I13262" t="s">
        <v>52902</v>
      </c>
      <c r="J13262" t="s">
        <v>26533</v>
      </c>
      <c r="L13262" t="s">
        <v>27250</v>
      </c>
      <c r="M13262" t="s">
        <v>27251</v>
      </c>
      <c r="N13262" t="s">
        <v>27252</v>
      </c>
      <c r="Q13262" s="1">
        <v>44538</v>
      </c>
      <c r="R13262" t="s">
        <v>27253</v>
      </c>
      <c r="S13262" t="s">
        <v>27254</v>
      </c>
      <c r="T13262" t="s">
        <v>27255</v>
      </c>
    </row>
    <row r="13263" spans="1:20" x14ac:dyDescent="0.3">
      <c r="A13263" t="str">
        <f>"0611840684100"</f>
        <v>0611840684100</v>
      </c>
      <c r="B13263" t="str">
        <f>"LK4728"</f>
        <v>LK4728</v>
      </c>
      <c r="C13263" t="s">
        <v>52903</v>
      </c>
      <c r="D13263" t="s">
        <v>27245</v>
      </c>
      <c r="E13263" t="str">
        <f t="shared" si="207"/>
        <v>001390</v>
      </c>
      <c r="F13263" t="s">
        <v>27246</v>
      </c>
      <c r="G13263" t="s">
        <v>27247</v>
      </c>
      <c r="H13263" t="s">
        <v>27248</v>
      </c>
      <c r="I13263" t="s">
        <v>52904</v>
      </c>
      <c r="J13263" t="s">
        <v>26529</v>
      </c>
      <c r="L13263" t="s">
        <v>27250</v>
      </c>
      <c r="M13263" t="s">
        <v>27251</v>
      </c>
      <c r="N13263" t="s">
        <v>27252</v>
      </c>
      <c r="Q13263" s="1">
        <v>44538</v>
      </c>
      <c r="R13263" t="s">
        <v>27253</v>
      </c>
      <c r="S13263" t="s">
        <v>27254</v>
      </c>
      <c r="T13263" t="s">
        <v>27255</v>
      </c>
    </row>
    <row r="13264" spans="1:20" x14ac:dyDescent="0.3">
      <c r="A13264" t="str">
        <f>"0611840686100"</f>
        <v>0611840686100</v>
      </c>
      <c r="B13264" t="str">
        <f>"LK5986"</f>
        <v>LK5986</v>
      </c>
      <c r="C13264" t="s">
        <v>52905</v>
      </c>
      <c r="D13264" t="s">
        <v>27245</v>
      </c>
      <c r="E13264" t="str">
        <f t="shared" si="207"/>
        <v>001390</v>
      </c>
      <c r="F13264" t="s">
        <v>27246</v>
      </c>
      <c r="G13264" t="s">
        <v>27247</v>
      </c>
      <c r="H13264" t="s">
        <v>27248</v>
      </c>
      <c r="I13264" t="s">
        <v>52906</v>
      </c>
      <c r="J13264" t="s">
        <v>26535</v>
      </c>
      <c r="L13264" t="s">
        <v>27250</v>
      </c>
      <c r="M13264" t="s">
        <v>27251</v>
      </c>
      <c r="N13264" t="s">
        <v>27252</v>
      </c>
      <c r="Q13264" s="1">
        <v>44538</v>
      </c>
      <c r="R13264" t="s">
        <v>27253</v>
      </c>
      <c r="S13264" t="s">
        <v>27254</v>
      </c>
      <c r="T13264" t="s">
        <v>27255</v>
      </c>
    </row>
    <row r="13265" spans="1:20" x14ac:dyDescent="0.3">
      <c r="A13265" t="str">
        <f>"0611840687100"</f>
        <v>0611840687100</v>
      </c>
      <c r="B13265" t="str">
        <f>"LK4735"</f>
        <v>LK4735</v>
      </c>
      <c r="C13265" t="s">
        <v>52907</v>
      </c>
      <c r="D13265" t="s">
        <v>27245</v>
      </c>
      <c r="E13265" t="str">
        <f t="shared" si="207"/>
        <v>001390</v>
      </c>
      <c r="F13265" t="s">
        <v>27246</v>
      </c>
      <c r="G13265" t="s">
        <v>27247</v>
      </c>
      <c r="H13265" t="s">
        <v>27248</v>
      </c>
      <c r="I13265" t="s">
        <v>52908</v>
      </c>
      <c r="J13265" t="s">
        <v>26525</v>
      </c>
      <c r="L13265" t="s">
        <v>27250</v>
      </c>
      <c r="M13265" t="s">
        <v>27251</v>
      </c>
      <c r="N13265" t="s">
        <v>27252</v>
      </c>
      <c r="Q13265" s="1">
        <v>44538</v>
      </c>
      <c r="R13265" t="s">
        <v>27253</v>
      </c>
      <c r="S13265" t="s">
        <v>27254</v>
      </c>
      <c r="T13265" t="s">
        <v>27255</v>
      </c>
    </row>
    <row r="13266" spans="1:20" x14ac:dyDescent="0.3">
      <c r="A13266" t="str">
        <f>"0611840688025"</f>
        <v>0611840688025</v>
      </c>
      <c r="B13266" t="str">
        <f>"MQ0136"</f>
        <v>MQ0136</v>
      </c>
      <c r="C13266" t="s">
        <v>52909</v>
      </c>
      <c r="D13266" t="s">
        <v>27267</v>
      </c>
      <c r="E13266" t="str">
        <f t="shared" si="207"/>
        <v>001390</v>
      </c>
      <c r="F13266" t="s">
        <v>27246</v>
      </c>
      <c r="G13266" t="s">
        <v>27247</v>
      </c>
      <c r="H13266" t="s">
        <v>27248</v>
      </c>
      <c r="I13266" t="s">
        <v>52910</v>
      </c>
      <c r="J13266" t="s">
        <v>26537</v>
      </c>
      <c r="L13266" t="s">
        <v>27250</v>
      </c>
      <c r="M13266" t="s">
        <v>27251</v>
      </c>
      <c r="N13266" t="s">
        <v>27252</v>
      </c>
      <c r="Q13266" s="1">
        <v>44538</v>
      </c>
      <c r="R13266" t="s">
        <v>27253</v>
      </c>
      <c r="S13266" t="s">
        <v>27254</v>
      </c>
      <c r="T13266" t="s">
        <v>27269</v>
      </c>
    </row>
    <row r="13267" spans="1:20" x14ac:dyDescent="0.3">
      <c r="A13267" t="str">
        <f>"0611840689100"</f>
        <v>0611840689100</v>
      </c>
      <c r="B13267" t="str">
        <f>"LK6188"</f>
        <v>LK6188</v>
      </c>
      <c r="C13267" t="s">
        <v>52911</v>
      </c>
      <c r="D13267" t="s">
        <v>28138</v>
      </c>
      <c r="E13267" t="str">
        <f t="shared" si="207"/>
        <v>001390</v>
      </c>
      <c r="F13267" t="s">
        <v>27246</v>
      </c>
      <c r="G13267" t="s">
        <v>27247</v>
      </c>
      <c r="H13267" t="s">
        <v>27248</v>
      </c>
      <c r="I13267" t="s">
        <v>52912</v>
      </c>
      <c r="J13267" t="s">
        <v>26539</v>
      </c>
      <c r="L13267" t="s">
        <v>27250</v>
      </c>
      <c r="M13267" t="s">
        <v>27251</v>
      </c>
      <c r="N13267" t="s">
        <v>27252</v>
      </c>
      <c r="P13267" t="s">
        <v>27925</v>
      </c>
      <c r="Q13267" s="1">
        <v>44538</v>
      </c>
      <c r="R13267" t="s">
        <v>27253</v>
      </c>
      <c r="S13267" t="s">
        <v>27254</v>
      </c>
      <c r="T13267" t="s">
        <v>27255</v>
      </c>
    </row>
    <row r="13268" spans="1:20" x14ac:dyDescent="0.3">
      <c r="A13268" t="str">
        <f>"0611840690100"</f>
        <v>0611840690100</v>
      </c>
      <c r="B13268" t="str">
        <f>"LK6189"</f>
        <v>LK6189</v>
      </c>
      <c r="C13268" t="s">
        <v>52913</v>
      </c>
      <c r="D13268" t="s">
        <v>28138</v>
      </c>
      <c r="E13268" t="str">
        <f t="shared" si="207"/>
        <v>001390</v>
      </c>
      <c r="F13268" t="s">
        <v>27246</v>
      </c>
      <c r="G13268" t="s">
        <v>27247</v>
      </c>
      <c r="H13268" t="s">
        <v>27248</v>
      </c>
      <c r="I13268" t="s">
        <v>52914</v>
      </c>
      <c r="J13268" t="s">
        <v>26541</v>
      </c>
      <c r="L13268" t="s">
        <v>27250</v>
      </c>
      <c r="M13268" t="s">
        <v>27251</v>
      </c>
      <c r="N13268" t="s">
        <v>27252</v>
      </c>
      <c r="P13268" t="s">
        <v>27925</v>
      </c>
      <c r="Q13268" s="1">
        <v>44538</v>
      </c>
      <c r="R13268" t="s">
        <v>27253</v>
      </c>
      <c r="S13268" t="s">
        <v>27254</v>
      </c>
      <c r="T13268" t="s">
        <v>27255</v>
      </c>
    </row>
    <row r="13269" spans="1:20" x14ac:dyDescent="0.3">
      <c r="A13269" t="str">
        <f>"0611840691100"</f>
        <v>0611840691100</v>
      </c>
      <c r="B13269" t="str">
        <f>"LK6190"</f>
        <v>LK6190</v>
      </c>
      <c r="C13269" t="s">
        <v>52915</v>
      </c>
      <c r="D13269" t="s">
        <v>28138</v>
      </c>
      <c r="E13269" t="str">
        <f t="shared" si="207"/>
        <v>001390</v>
      </c>
      <c r="F13269" t="s">
        <v>27246</v>
      </c>
      <c r="G13269" t="s">
        <v>27247</v>
      </c>
      <c r="H13269" t="s">
        <v>27248</v>
      </c>
      <c r="I13269" t="s">
        <v>52916</v>
      </c>
      <c r="J13269" t="s">
        <v>26543</v>
      </c>
      <c r="L13269" t="s">
        <v>27250</v>
      </c>
      <c r="M13269" t="s">
        <v>27251</v>
      </c>
      <c r="N13269" t="s">
        <v>27252</v>
      </c>
      <c r="P13269" t="s">
        <v>27925</v>
      </c>
      <c r="Q13269" s="1">
        <v>44538</v>
      </c>
      <c r="R13269" t="s">
        <v>27253</v>
      </c>
      <c r="S13269" t="s">
        <v>27254</v>
      </c>
      <c r="T13269" t="s">
        <v>27255</v>
      </c>
    </row>
    <row r="13270" spans="1:20" x14ac:dyDescent="0.3">
      <c r="A13270" t="str">
        <f>"0611840692100"</f>
        <v>0611840692100</v>
      </c>
      <c r="B13270" t="str">
        <f>"LK0535"</f>
        <v>LK0535</v>
      </c>
      <c r="C13270" t="s">
        <v>52917</v>
      </c>
      <c r="D13270" t="s">
        <v>28138</v>
      </c>
      <c r="E13270" t="str">
        <f t="shared" si="207"/>
        <v>001390</v>
      </c>
      <c r="F13270" t="s">
        <v>27246</v>
      </c>
      <c r="G13270" t="s">
        <v>27247</v>
      </c>
      <c r="H13270" t="s">
        <v>27248</v>
      </c>
      <c r="I13270" t="s">
        <v>52918</v>
      </c>
      <c r="J13270" t="s">
        <v>26545</v>
      </c>
      <c r="L13270" t="s">
        <v>27250</v>
      </c>
      <c r="M13270" t="s">
        <v>27251</v>
      </c>
      <c r="N13270" t="s">
        <v>27252</v>
      </c>
      <c r="P13270" t="s">
        <v>27925</v>
      </c>
      <c r="Q13270" s="1">
        <v>44538</v>
      </c>
      <c r="R13270" t="s">
        <v>27253</v>
      </c>
      <c r="S13270" t="s">
        <v>27254</v>
      </c>
      <c r="T13270" t="s">
        <v>27255</v>
      </c>
    </row>
    <row r="13271" spans="1:20" x14ac:dyDescent="0.3">
      <c r="A13271" t="str">
        <f>"0611840693100"</f>
        <v>0611840693100</v>
      </c>
      <c r="B13271" t="str">
        <f>"LK5299"</f>
        <v>LK5299</v>
      </c>
      <c r="C13271" t="s">
        <v>52919</v>
      </c>
      <c r="D13271" t="s">
        <v>27245</v>
      </c>
      <c r="E13271" t="str">
        <f t="shared" si="207"/>
        <v>001390</v>
      </c>
      <c r="F13271" t="s">
        <v>27246</v>
      </c>
      <c r="G13271" t="s">
        <v>27247</v>
      </c>
      <c r="H13271" t="s">
        <v>27248</v>
      </c>
      <c r="I13271" t="s">
        <v>52920</v>
      </c>
      <c r="J13271" t="s">
        <v>26547</v>
      </c>
      <c r="L13271" t="s">
        <v>27250</v>
      </c>
      <c r="M13271" t="s">
        <v>27251</v>
      </c>
      <c r="N13271" t="s">
        <v>27252</v>
      </c>
      <c r="Q13271" s="1">
        <v>44538</v>
      </c>
      <c r="R13271" t="s">
        <v>27253</v>
      </c>
      <c r="S13271" t="s">
        <v>27254</v>
      </c>
      <c r="T13271" t="s">
        <v>27255</v>
      </c>
    </row>
    <row r="13272" spans="1:20" x14ac:dyDescent="0.3">
      <c r="A13272" t="str">
        <f>"0611840694100"</f>
        <v>0611840694100</v>
      </c>
      <c r="B13272" t="str">
        <f>"LB0505"</f>
        <v>LB0505</v>
      </c>
      <c r="C13272" t="s">
        <v>52921</v>
      </c>
      <c r="D13272" t="s">
        <v>27245</v>
      </c>
      <c r="E13272" t="str">
        <f t="shared" si="207"/>
        <v>001390</v>
      </c>
      <c r="F13272" t="s">
        <v>27246</v>
      </c>
      <c r="G13272" t="s">
        <v>27247</v>
      </c>
      <c r="H13272" t="s">
        <v>27248</v>
      </c>
      <c r="I13272" t="s">
        <v>52922</v>
      </c>
      <c r="J13272" t="s">
        <v>26549</v>
      </c>
      <c r="L13272" t="s">
        <v>27250</v>
      </c>
      <c r="M13272" t="s">
        <v>27251</v>
      </c>
      <c r="N13272" t="s">
        <v>27252</v>
      </c>
      <c r="Q13272" s="1">
        <v>44538</v>
      </c>
      <c r="R13272" t="s">
        <v>27253</v>
      </c>
      <c r="S13272" t="s">
        <v>27254</v>
      </c>
      <c r="T13272" t="s">
        <v>27255</v>
      </c>
    </row>
    <row r="13273" spans="1:20" x14ac:dyDescent="0.3">
      <c r="A13273" t="str">
        <f>"0611840695100"</f>
        <v>0611840695100</v>
      </c>
      <c r="B13273" t="str">
        <f>"LK0301"</f>
        <v>LK0301</v>
      </c>
      <c r="C13273" t="s">
        <v>52923</v>
      </c>
      <c r="D13273" t="s">
        <v>27245</v>
      </c>
      <c r="E13273" t="str">
        <f t="shared" si="207"/>
        <v>001390</v>
      </c>
      <c r="F13273" t="s">
        <v>27246</v>
      </c>
      <c r="G13273" t="s">
        <v>27247</v>
      </c>
      <c r="H13273" t="s">
        <v>27248</v>
      </c>
      <c r="I13273" t="s">
        <v>52924</v>
      </c>
      <c r="J13273" t="s">
        <v>17644</v>
      </c>
      <c r="L13273" t="s">
        <v>27250</v>
      </c>
      <c r="M13273" t="s">
        <v>27251</v>
      </c>
      <c r="N13273" t="s">
        <v>27252</v>
      </c>
      <c r="Q13273" s="1">
        <v>44538</v>
      </c>
      <c r="R13273" t="s">
        <v>27253</v>
      </c>
      <c r="S13273" t="s">
        <v>27254</v>
      </c>
      <c r="T13273" t="s">
        <v>27255</v>
      </c>
    </row>
    <row r="13274" spans="1:20" x14ac:dyDescent="0.3">
      <c r="A13274" t="str">
        <f>"0611840697100"</f>
        <v>0611840697100</v>
      </c>
      <c r="B13274" t="str">
        <f>"LK3459"</f>
        <v>LK3459</v>
      </c>
      <c r="C13274" t="s">
        <v>52925</v>
      </c>
      <c r="D13274" t="s">
        <v>27245</v>
      </c>
      <c r="E13274" t="str">
        <f t="shared" si="207"/>
        <v>001390</v>
      </c>
      <c r="F13274" t="s">
        <v>27246</v>
      </c>
      <c r="G13274" t="s">
        <v>27247</v>
      </c>
      <c r="H13274" t="s">
        <v>27248</v>
      </c>
      <c r="I13274" t="s">
        <v>52926</v>
      </c>
      <c r="J13274" t="s">
        <v>17646</v>
      </c>
      <c r="L13274" t="s">
        <v>27250</v>
      </c>
      <c r="M13274" t="s">
        <v>27251</v>
      </c>
      <c r="N13274" t="s">
        <v>27252</v>
      </c>
      <c r="Q13274" s="1">
        <v>44538</v>
      </c>
      <c r="R13274" t="s">
        <v>27253</v>
      </c>
      <c r="S13274" t="s">
        <v>27254</v>
      </c>
      <c r="T13274" t="s">
        <v>27255</v>
      </c>
    </row>
    <row r="13275" spans="1:20" x14ac:dyDescent="0.3">
      <c r="A13275" t="str">
        <f>"0611840698100"</f>
        <v>0611840698100</v>
      </c>
      <c r="B13275" t="str">
        <f>"LK3947"</f>
        <v>LK3947</v>
      </c>
      <c r="C13275" t="s">
        <v>52927</v>
      </c>
      <c r="D13275" t="s">
        <v>27245</v>
      </c>
      <c r="E13275" t="str">
        <f t="shared" si="207"/>
        <v>001390</v>
      </c>
      <c r="F13275" t="s">
        <v>27246</v>
      </c>
      <c r="G13275" t="s">
        <v>27247</v>
      </c>
      <c r="H13275" t="s">
        <v>27248</v>
      </c>
      <c r="I13275" t="s">
        <v>52928</v>
      </c>
      <c r="J13275" t="s">
        <v>17648</v>
      </c>
      <c r="L13275" t="s">
        <v>27250</v>
      </c>
      <c r="M13275" t="s">
        <v>27251</v>
      </c>
      <c r="N13275" t="s">
        <v>27252</v>
      </c>
      <c r="Q13275" s="1">
        <v>44538</v>
      </c>
      <c r="R13275" t="s">
        <v>27253</v>
      </c>
      <c r="S13275" t="s">
        <v>27254</v>
      </c>
      <c r="T13275" t="s">
        <v>27255</v>
      </c>
    </row>
    <row r="13276" spans="1:20" x14ac:dyDescent="0.3">
      <c r="A13276" t="str">
        <f>"0611840699100"</f>
        <v>0611840699100</v>
      </c>
      <c r="B13276" t="str">
        <f>"MB9200"</f>
        <v>MB9200</v>
      </c>
      <c r="C13276" t="s">
        <v>52929</v>
      </c>
      <c r="D13276" t="s">
        <v>27274</v>
      </c>
      <c r="E13276" t="str">
        <f t="shared" si="207"/>
        <v>001390</v>
      </c>
      <c r="F13276" t="s">
        <v>27246</v>
      </c>
      <c r="G13276" t="s">
        <v>27247</v>
      </c>
      <c r="H13276" t="s">
        <v>27248</v>
      </c>
      <c r="I13276" t="s">
        <v>52930</v>
      </c>
      <c r="J13276" t="s">
        <v>26551</v>
      </c>
      <c r="L13276" t="s">
        <v>27250</v>
      </c>
      <c r="M13276" t="s">
        <v>27251</v>
      </c>
      <c r="N13276" t="s">
        <v>27252</v>
      </c>
      <c r="Q13276" s="1">
        <v>44538</v>
      </c>
      <c r="R13276" t="s">
        <v>27253</v>
      </c>
      <c r="S13276" t="s">
        <v>27254</v>
      </c>
      <c r="T13276" t="s">
        <v>27276</v>
      </c>
    </row>
    <row r="13277" spans="1:20" x14ac:dyDescent="0.3">
      <c r="A13277" t="str">
        <f>"0611840700100"</f>
        <v>0611840700100</v>
      </c>
      <c r="B13277" t="str">
        <f>"LS0124"</f>
        <v>LS0124</v>
      </c>
      <c r="C13277" t="s">
        <v>52931</v>
      </c>
      <c r="D13277" t="s">
        <v>27245</v>
      </c>
      <c r="E13277" t="str">
        <f t="shared" si="207"/>
        <v>001390</v>
      </c>
      <c r="F13277" t="s">
        <v>27246</v>
      </c>
      <c r="G13277" t="s">
        <v>27247</v>
      </c>
      <c r="H13277" t="s">
        <v>27248</v>
      </c>
      <c r="I13277" t="s">
        <v>52932</v>
      </c>
      <c r="J13277" t="s">
        <v>26553</v>
      </c>
      <c r="L13277" t="s">
        <v>27250</v>
      </c>
      <c r="M13277" t="s">
        <v>27251</v>
      </c>
      <c r="N13277" t="s">
        <v>27252</v>
      </c>
      <c r="Q13277" s="1">
        <v>44538</v>
      </c>
      <c r="R13277" t="s">
        <v>27253</v>
      </c>
      <c r="S13277" t="s">
        <v>27254</v>
      </c>
      <c r="T13277" t="s">
        <v>27255</v>
      </c>
    </row>
    <row r="13278" spans="1:20" x14ac:dyDescent="0.3">
      <c r="A13278" t="str">
        <f>"0611840701025"</f>
        <v>0611840701025</v>
      </c>
      <c r="B13278" t="str">
        <f>"MC3820"</f>
        <v>MC3820</v>
      </c>
      <c r="C13278" t="s">
        <v>52933</v>
      </c>
      <c r="D13278" t="s">
        <v>27267</v>
      </c>
      <c r="E13278" t="str">
        <f t="shared" si="207"/>
        <v>001390</v>
      </c>
      <c r="F13278" t="s">
        <v>27246</v>
      </c>
      <c r="G13278" t="s">
        <v>27247</v>
      </c>
      <c r="H13278" t="s">
        <v>27248</v>
      </c>
      <c r="I13278" t="s">
        <v>52934</v>
      </c>
      <c r="J13278" t="s">
        <v>26555</v>
      </c>
      <c r="L13278" t="s">
        <v>27250</v>
      </c>
      <c r="M13278" t="s">
        <v>27251</v>
      </c>
      <c r="N13278" t="s">
        <v>27252</v>
      </c>
      <c r="Q13278" s="1">
        <v>44538</v>
      </c>
      <c r="R13278" t="s">
        <v>27253</v>
      </c>
      <c r="S13278" t="s">
        <v>27254</v>
      </c>
      <c r="T13278" t="s">
        <v>27269</v>
      </c>
    </row>
    <row r="13279" spans="1:20" x14ac:dyDescent="0.3">
      <c r="A13279" t="str">
        <f>"0611840702100"</f>
        <v>0611840702100</v>
      </c>
      <c r="B13279" t="str">
        <f>"LB6139"</f>
        <v>LB6139</v>
      </c>
      <c r="C13279" t="s">
        <v>52935</v>
      </c>
      <c r="D13279" t="s">
        <v>27245</v>
      </c>
      <c r="E13279" t="str">
        <f t="shared" si="207"/>
        <v>001390</v>
      </c>
      <c r="F13279" t="s">
        <v>27246</v>
      </c>
      <c r="G13279" t="s">
        <v>27247</v>
      </c>
      <c r="H13279" t="s">
        <v>27248</v>
      </c>
      <c r="I13279" t="s">
        <v>52936</v>
      </c>
      <c r="J13279" t="s">
        <v>26557</v>
      </c>
      <c r="L13279" t="s">
        <v>27250</v>
      </c>
      <c r="M13279" t="s">
        <v>27251</v>
      </c>
      <c r="N13279" t="s">
        <v>27252</v>
      </c>
      <c r="Q13279" s="1">
        <v>44538</v>
      </c>
      <c r="R13279" t="s">
        <v>27253</v>
      </c>
      <c r="S13279" t="s">
        <v>27254</v>
      </c>
      <c r="T13279" t="s">
        <v>27255</v>
      </c>
    </row>
    <row r="13280" spans="1:20" x14ac:dyDescent="0.3">
      <c r="A13280" t="str">
        <f>"0611840703100"</f>
        <v>0611840703100</v>
      </c>
      <c r="B13280" t="str">
        <f>"LS0098"</f>
        <v>LS0098</v>
      </c>
      <c r="C13280" t="s">
        <v>52937</v>
      </c>
      <c r="D13280" t="s">
        <v>27245</v>
      </c>
      <c r="E13280" t="str">
        <f t="shared" si="207"/>
        <v>001390</v>
      </c>
      <c r="F13280" t="s">
        <v>27246</v>
      </c>
      <c r="G13280" t="s">
        <v>27247</v>
      </c>
      <c r="H13280" t="s">
        <v>27248</v>
      </c>
      <c r="I13280" t="s">
        <v>52938</v>
      </c>
      <c r="J13280" t="s">
        <v>26561</v>
      </c>
      <c r="L13280" t="s">
        <v>27250</v>
      </c>
      <c r="M13280" t="s">
        <v>27251</v>
      </c>
      <c r="N13280" t="s">
        <v>27252</v>
      </c>
      <c r="Q13280" s="1">
        <v>44538</v>
      </c>
      <c r="R13280" t="s">
        <v>27253</v>
      </c>
      <c r="S13280" t="s">
        <v>27254</v>
      </c>
      <c r="T13280" t="s">
        <v>27255</v>
      </c>
    </row>
    <row r="13281" spans="1:20" x14ac:dyDescent="0.3">
      <c r="A13281" t="str">
        <f>"0611840704100"</f>
        <v>0611840704100</v>
      </c>
      <c r="B13281" t="str">
        <f>"LS0099"</f>
        <v>LS0099</v>
      </c>
      <c r="C13281" t="s">
        <v>52939</v>
      </c>
      <c r="D13281" t="s">
        <v>27245</v>
      </c>
      <c r="E13281" t="str">
        <f t="shared" si="207"/>
        <v>001390</v>
      </c>
      <c r="F13281" t="s">
        <v>27246</v>
      </c>
      <c r="G13281" t="s">
        <v>27247</v>
      </c>
      <c r="H13281" t="s">
        <v>27248</v>
      </c>
      <c r="I13281" t="s">
        <v>52940</v>
      </c>
      <c r="J13281" t="s">
        <v>26563</v>
      </c>
      <c r="L13281" t="s">
        <v>27250</v>
      </c>
      <c r="M13281" t="s">
        <v>27251</v>
      </c>
      <c r="N13281" t="s">
        <v>27252</v>
      </c>
      <c r="Q13281" s="1">
        <v>44538</v>
      </c>
      <c r="R13281" t="s">
        <v>27253</v>
      </c>
      <c r="S13281" t="s">
        <v>27254</v>
      </c>
      <c r="T13281" t="s">
        <v>27255</v>
      </c>
    </row>
    <row r="13282" spans="1:20" x14ac:dyDescent="0.3">
      <c r="A13282" t="str">
        <f>"0611840706100"</f>
        <v>0611840706100</v>
      </c>
      <c r="B13282" t="str">
        <f>"LK1695"</f>
        <v>LK1695</v>
      </c>
      <c r="C13282" t="s">
        <v>52941</v>
      </c>
      <c r="D13282" t="s">
        <v>27245</v>
      </c>
      <c r="E13282" t="str">
        <f t="shared" si="207"/>
        <v>001390</v>
      </c>
      <c r="F13282" t="s">
        <v>27246</v>
      </c>
      <c r="G13282" t="s">
        <v>27247</v>
      </c>
      <c r="H13282" t="s">
        <v>27248</v>
      </c>
      <c r="I13282" t="s">
        <v>52942</v>
      </c>
      <c r="J13282" t="s">
        <v>17650</v>
      </c>
      <c r="L13282" t="s">
        <v>27250</v>
      </c>
      <c r="M13282" t="s">
        <v>27251</v>
      </c>
      <c r="N13282" t="s">
        <v>27252</v>
      </c>
      <c r="Q13282" s="1">
        <v>44538</v>
      </c>
      <c r="R13282" t="s">
        <v>27253</v>
      </c>
      <c r="S13282" t="s">
        <v>27254</v>
      </c>
      <c r="T13282" t="s">
        <v>27255</v>
      </c>
    </row>
    <row r="13283" spans="1:20" x14ac:dyDescent="0.3">
      <c r="A13283" t="str">
        <f>"0611840707100"</f>
        <v>0611840707100</v>
      </c>
      <c r="B13283" t="str">
        <f>"LK0612"</f>
        <v>LK0612</v>
      </c>
      <c r="C13283" t="s">
        <v>52943</v>
      </c>
      <c r="D13283" t="s">
        <v>27245</v>
      </c>
      <c r="E13283" t="str">
        <f t="shared" si="207"/>
        <v>001390</v>
      </c>
      <c r="F13283" t="s">
        <v>27246</v>
      </c>
      <c r="G13283" t="s">
        <v>27247</v>
      </c>
      <c r="H13283" t="s">
        <v>27248</v>
      </c>
      <c r="I13283" t="s">
        <v>52944</v>
      </c>
      <c r="J13283" t="s">
        <v>17652</v>
      </c>
      <c r="L13283" t="s">
        <v>27250</v>
      </c>
      <c r="M13283" t="s">
        <v>27251</v>
      </c>
      <c r="N13283" t="s">
        <v>27252</v>
      </c>
      <c r="Q13283" s="1">
        <v>44538</v>
      </c>
      <c r="R13283" t="s">
        <v>27253</v>
      </c>
      <c r="S13283" t="s">
        <v>27254</v>
      </c>
      <c r="T13283" t="s">
        <v>27255</v>
      </c>
    </row>
    <row r="13284" spans="1:20" x14ac:dyDescent="0.3">
      <c r="A13284" t="str">
        <f>"0611840708100"</f>
        <v>0611840708100</v>
      </c>
      <c r="B13284" t="str">
        <f>"LK0613"</f>
        <v>LK0613</v>
      </c>
      <c r="C13284" t="s">
        <v>52945</v>
      </c>
      <c r="D13284" t="s">
        <v>27245</v>
      </c>
      <c r="E13284" t="str">
        <f t="shared" si="207"/>
        <v>001390</v>
      </c>
      <c r="F13284" t="s">
        <v>27246</v>
      </c>
      <c r="G13284" t="s">
        <v>27247</v>
      </c>
      <c r="H13284" t="s">
        <v>27248</v>
      </c>
      <c r="I13284" t="s">
        <v>52946</v>
      </c>
      <c r="J13284" t="s">
        <v>17654</v>
      </c>
      <c r="L13284" t="s">
        <v>27250</v>
      </c>
      <c r="M13284" t="s">
        <v>27251</v>
      </c>
      <c r="N13284" t="s">
        <v>27252</v>
      </c>
      <c r="Q13284" s="1">
        <v>44538</v>
      </c>
      <c r="R13284" t="s">
        <v>27253</v>
      </c>
      <c r="S13284" t="s">
        <v>27254</v>
      </c>
      <c r="T13284" t="s">
        <v>27255</v>
      </c>
    </row>
    <row r="13285" spans="1:20" x14ac:dyDescent="0.3">
      <c r="A13285" t="str">
        <f>"0611840709100"</f>
        <v>0611840709100</v>
      </c>
      <c r="B13285" t="str">
        <f>"LK0614"</f>
        <v>LK0614</v>
      </c>
      <c r="C13285" t="s">
        <v>52947</v>
      </c>
      <c r="D13285" t="s">
        <v>27245</v>
      </c>
      <c r="E13285" t="str">
        <f t="shared" si="207"/>
        <v>001390</v>
      </c>
      <c r="F13285" t="s">
        <v>27246</v>
      </c>
      <c r="G13285" t="s">
        <v>27247</v>
      </c>
      <c r="H13285" t="s">
        <v>27248</v>
      </c>
      <c r="I13285" t="s">
        <v>52948</v>
      </c>
      <c r="J13285" t="s">
        <v>17656</v>
      </c>
      <c r="L13285" t="s">
        <v>27250</v>
      </c>
      <c r="M13285" t="s">
        <v>27251</v>
      </c>
      <c r="N13285" t="s">
        <v>27252</v>
      </c>
      <c r="Q13285" s="1">
        <v>44538</v>
      </c>
      <c r="R13285" t="s">
        <v>27253</v>
      </c>
      <c r="S13285" t="s">
        <v>27254</v>
      </c>
      <c r="T13285" t="s">
        <v>27255</v>
      </c>
    </row>
    <row r="13286" spans="1:20" x14ac:dyDescent="0.3">
      <c r="A13286" t="str">
        <f>"0611840710100"</f>
        <v>0611840710100</v>
      </c>
      <c r="B13286" t="str">
        <f>"LK0615"</f>
        <v>LK0615</v>
      </c>
      <c r="C13286" t="s">
        <v>52949</v>
      </c>
      <c r="D13286" t="s">
        <v>27245</v>
      </c>
      <c r="E13286" t="str">
        <f t="shared" si="207"/>
        <v>001390</v>
      </c>
      <c r="F13286" t="s">
        <v>27246</v>
      </c>
      <c r="G13286" t="s">
        <v>27247</v>
      </c>
      <c r="H13286" t="s">
        <v>27248</v>
      </c>
      <c r="I13286" t="s">
        <v>52950</v>
      </c>
      <c r="J13286" t="s">
        <v>17658</v>
      </c>
      <c r="L13286" t="s">
        <v>27250</v>
      </c>
      <c r="M13286" t="s">
        <v>27251</v>
      </c>
      <c r="N13286" t="s">
        <v>27252</v>
      </c>
      <c r="Q13286" s="1">
        <v>44538</v>
      </c>
      <c r="R13286" t="s">
        <v>27253</v>
      </c>
      <c r="S13286" t="s">
        <v>27254</v>
      </c>
      <c r="T13286" t="s">
        <v>27255</v>
      </c>
    </row>
    <row r="13287" spans="1:20" x14ac:dyDescent="0.3">
      <c r="A13287" t="str">
        <f>"0611840711100"</f>
        <v>0611840711100</v>
      </c>
      <c r="B13287" t="str">
        <f>"LB9391"</f>
        <v>LB9391</v>
      </c>
      <c r="C13287" t="s">
        <v>52951</v>
      </c>
      <c r="D13287" t="s">
        <v>27245</v>
      </c>
      <c r="E13287" t="str">
        <f t="shared" si="207"/>
        <v>001390</v>
      </c>
      <c r="F13287" t="s">
        <v>27246</v>
      </c>
      <c r="G13287" t="s">
        <v>27247</v>
      </c>
      <c r="H13287" t="s">
        <v>27248</v>
      </c>
      <c r="I13287" t="s">
        <v>52952</v>
      </c>
      <c r="J13287" t="s">
        <v>26559</v>
      </c>
      <c r="L13287" t="s">
        <v>27250</v>
      </c>
      <c r="M13287" t="s">
        <v>27251</v>
      </c>
      <c r="N13287" t="s">
        <v>27252</v>
      </c>
      <c r="Q13287" s="1">
        <v>44538</v>
      </c>
      <c r="R13287" t="s">
        <v>27253</v>
      </c>
      <c r="S13287" t="s">
        <v>27254</v>
      </c>
      <c r="T13287" t="s">
        <v>27255</v>
      </c>
    </row>
    <row r="13288" spans="1:20" x14ac:dyDescent="0.3">
      <c r="A13288" t="str">
        <f>"0611840712100"</f>
        <v>0611840712100</v>
      </c>
      <c r="B13288" t="str">
        <f>"LK5512"</f>
        <v>LK5512</v>
      </c>
      <c r="C13288" t="s">
        <v>52953</v>
      </c>
      <c r="D13288" t="s">
        <v>27245</v>
      </c>
      <c r="E13288" t="str">
        <f t="shared" si="207"/>
        <v>001390</v>
      </c>
      <c r="F13288" t="s">
        <v>27246</v>
      </c>
      <c r="G13288" t="s">
        <v>27247</v>
      </c>
      <c r="H13288" t="s">
        <v>27248</v>
      </c>
      <c r="I13288" t="s">
        <v>52954</v>
      </c>
      <c r="J13288" t="s">
        <v>17660</v>
      </c>
      <c r="L13288" t="s">
        <v>27250</v>
      </c>
      <c r="M13288" t="s">
        <v>27251</v>
      </c>
      <c r="N13288" t="s">
        <v>27252</v>
      </c>
      <c r="Q13288" s="1">
        <v>44538</v>
      </c>
      <c r="R13288" t="s">
        <v>27253</v>
      </c>
      <c r="S13288" t="s">
        <v>27254</v>
      </c>
      <c r="T13288" t="s">
        <v>27255</v>
      </c>
    </row>
    <row r="13289" spans="1:20" x14ac:dyDescent="0.3">
      <c r="A13289" t="str">
        <f>"0611840713100"</f>
        <v>0611840713100</v>
      </c>
      <c r="B13289" t="str">
        <f>"LK5065"</f>
        <v>LK5065</v>
      </c>
      <c r="C13289" t="s">
        <v>52955</v>
      </c>
      <c r="D13289" t="s">
        <v>27245</v>
      </c>
      <c r="E13289" t="str">
        <f t="shared" si="207"/>
        <v>001390</v>
      </c>
      <c r="F13289" t="s">
        <v>27246</v>
      </c>
      <c r="G13289" t="s">
        <v>27247</v>
      </c>
      <c r="H13289" t="s">
        <v>27248</v>
      </c>
      <c r="I13289" t="s">
        <v>52956</v>
      </c>
      <c r="J13289" t="s">
        <v>17662</v>
      </c>
      <c r="L13289" t="s">
        <v>27250</v>
      </c>
      <c r="M13289" t="s">
        <v>27251</v>
      </c>
      <c r="N13289" t="s">
        <v>27252</v>
      </c>
      <c r="Q13289" s="1">
        <v>44538</v>
      </c>
      <c r="R13289" t="s">
        <v>27253</v>
      </c>
      <c r="S13289" t="s">
        <v>27254</v>
      </c>
      <c r="T13289" t="s">
        <v>27255</v>
      </c>
    </row>
    <row r="13290" spans="1:20" x14ac:dyDescent="0.3">
      <c r="A13290" t="str">
        <f>"0611840720100"</f>
        <v>0611840720100</v>
      </c>
      <c r="B13290" t="str">
        <f>"LK5066"</f>
        <v>LK5066</v>
      </c>
      <c r="C13290" t="s">
        <v>52957</v>
      </c>
      <c r="D13290" t="s">
        <v>27245</v>
      </c>
      <c r="E13290" t="str">
        <f t="shared" si="207"/>
        <v>001390</v>
      </c>
      <c r="F13290" t="s">
        <v>27246</v>
      </c>
      <c r="G13290" t="s">
        <v>27247</v>
      </c>
      <c r="H13290" t="s">
        <v>27248</v>
      </c>
      <c r="I13290" t="s">
        <v>52958</v>
      </c>
      <c r="J13290" t="s">
        <v>17666</v>
      </c>
      <c r="L13290" t="s">
        <v>27250</v>
      </c>
      <c r="M13290" t="s">
        <v>27251</v>
      </c>
      <c r="N13290" t="s">
        <v>27252</v>
      </c>
      <c r="Q13290" s="1">
        <v>44538</v>
      </c>
      <c r="R13290" t="s">
        <v>27253</v>
      </c>
      <c r="S13290" t="s">
        <v>27254</v>
      </c>
      <c r="T13290" t="s">
        <v>27255</v>
      </c>
    </row>
    <row r="13291" spans="1:20" x14ac:dyDescent="0.3">
      <c r="A13291" t="str">
        <f>"0611840722100"</f>
        <v>0611840722100</v>
      </c>
      <c r="B13291" t="str">
        <f>"LK5516"</f>
        <v>LK5516</v>
      </c>
      <c r="C13291" t="s">
        <v>52959</v>
      </c>
      <c r="D13291" t="s">
        <v>27245</v>
      </c>
      <c r="E13291" t="str">
        <f t="shared" si="207"/>
        <v>001390</v>
      </c>
      <c r="F13291" t="s">
        <v>27246</v>
      </c>
      <c r="G13291" t="s">
        <v>27247</v>
      </c>
      <c r="H13291" t="s">
        <v>27248</v>
      </c>
      <c r="I13291" t="s">
        <v>52960</v>
      </c>
      <c r="J13291" t="s">
        <v>17664</v>
      </c>
      <c r="L13291" t="s">
        <v>27250</v>
      </c>
      <c r="M13291" t="s">
        <v>27251</v>
      </c>
      <c r="N13291" t="s">
        <v>27252</v>
      </c>
      <c r="Q13291" s="1">
        <v>44538</v>
      </c>
      <c r="R13291" t="s">
        <v>27253</v>
      </c>
      <c r="S13291" t="s">
        <v>27254</v>
      </c>
      <c r="T13291" t="s">
        <v>27255</v>
      </c>
    </row>
    <row r="13292" spans="1:20" x14ac:dyDescent="0.3">
      <c r="A13292" t="str">
        <f>"0611840723100"</f>
        <v>0611840723100</v>
      </c>
      <c r="B13292" t="str">
        <f>"LS0101"</f>
        <v>LS0101</v>
      </c>
      <c r="C13292" t="s">
        <v>52961</v>
      </c>
      <c r="D13292" t="s">
        <v>27245</v>
      </c>
      <c r="E13292" t="str">
        <f t="shared" si="207"/>
        <v>001390</v>
      </c>
      <c r="F13292" t="s">
        <v>27246</v>
      </c>
      <c r="G13292" t="s">
        <v>27247</v>
      </c>
      <c r="H13292" t="s">
        <v>27248</v>
      </c>
      <c r="I13292" t="s">
        <v>52962</v>
      </c>
      <c r="J13292" t="s">
        <v>26569</v>
      </c>
      <c r="L13292" t="s">
        <v>27250</v>
      </c>
      <c r="M13292" t="s">
        <v>27251</v>
      </c>
      <c r="N13292" t="s">
        <v>27252</v>
      </c>
      <c r="Q13292" s="1">
        <v>44538</v>
      </c>
      <c r="R13292" t="s">
        <v>27253</v>
      </c>
      <c r="S13292" t="s">
        <v>27254</v>
      </c>
      <c r="T13292" t="s">
        <v>27255</v>
      </c>
    </row>
    <row r="13293" spans="1:20" x14ac:dyDescent="0.3">
      <c r="A13293" t="str">
        <f>"0611840724100"</f>
        <v>0611840724100</v>
      </c>
      <c r="B13293" t="str">
        <f>"LS0100"</f>
        <v>LS0100</v>
      </c>
      <c r="C13293" t="s">
        <v>52963</v>
      </c>
      <c r="D13293" t="s">
        <v>27245</v>
      </c>
      <c r="E13293" t="str">
        <f t="shared" si="207"/>
        <v>001390</v>
      </c>
      <c r="F13293" t="s">
        <v>27246</v>
      </c>
      <c r="G13293" t="s">
        <v>27247</v>
      </c>
      <c r="H13293" t="s">
        <v>27248</v>
      </c>
      <c r="I13293" t="s">
        <v>52964</v>
      </c>
      <c r="J13293" t="s">
        <v>26567</v>
      </c>
      <c r="L13293" t="s">
        <v>27250</v>
      </c>
      <c r="M13293" t="s">
        <v>27251</v>
      </c>
      <c r="N13293" t="s">
        <v>27252</v>
      </c>
      <c r="Q13293" s="1">
        <v>44538</v>
      </c>
      <c r="R13293" t="s">
        <v>27253</v>
      </c>
      <c r="S13293" t="s">
        <v>27254</v>
      </c>
      <c r="T13293" t="s">
        <v>27255</v>
      </c>
    </row>
    <row r="13294" spans="1:20" x14ac:dyDescent="0.3">
      <c r="A13294" t="str">
        <f>"0611840725100"</f>
        <v>0611840725100</v>
      </c>
      <c r="B13294" t="str">
        <f>"LB9392"</f>
        <v>LB9392</v>
      </c>
      <c r="C13294" t="s">
        <v>52965</v>
      </c>
      <c r="D13294" t="s">
        <v>27245</v>
      </c>
      <c r="E13294" t="str">
        <f t="shared" si="207"/>
        <v>001390</v>
      </c>
      <c r="F13294" t="s">
        <v>27246</v>
      </c>
      <c r="G13294" t="s">
        <v>27247</v>
      </c>
      <c r="H13294" t="s">
        <v>27248</v>
      </c>
      <c r="I13294" t="s">
        <v>52966</v>
      </c>
      <c r="J13294" t="s">
        <v>26565</v>
      </c>
      <c r="L13294" t="s">
        <v>27250</v>
      </c>
      <c r="M13294" t="s">
        <v>27251</v>
      </c>
      <c r="N13294" t="s">
        <v>27252</v>
      </c>
      <c r="Q13294" s="1">
        <v>44538</v>
      </c>
      <c r="R13294" t="s">
        <v>27253</v>
      </c>
      <c r="S13294" t="s">
        <v>27254</v>
      </c>
      <c r="T13294" t="s">
        <v>27255</v>
      </c>
    </row>
    <row r="13295" spans="1:20" x14ac:dyDescent="0.3">
      <c r="A13295" t="str">
        <f>"0611864323100"</f>
        <v>0611864323100</v>
      </c>
      <c r="B13295" t="str">
        <f>"CN5437"</f>
        <v>CN5437</v>
      </c>
      <c r="C13295" t="s">
        <v>52967</v>
      </c>
      <c r="D13295" t="s">
        <v>27245</v>
      </c>
      <c r="E13295" t="str">
        <f t="shared" si="207"/>
        <v>001390</v>
      </c>
      <c r="F13295" t="s">
        <v>27246</v>
      </c>
      <c r="G13295" t="s">
        <v>27247</v>
      </c>
      <c r="H13295" t="s">
        <v>27248</v>
      </c>
      <c r="I13295" t="s">
        <v>52968</v>
      </c>
      <c r="J13295" t="s">
        <v>26571</v>
      </c>
      <c r="L13295" t="s">
        <v>27250</v>
      </c>
      <c r="M13295" t="s">
        <v>27251</v>
      </c>
      <c r="N13295" t="s">
        <v>27252</v>
      </c>
      <c r="Q13295" s="1">
        <v>44846</v>
      </c>
      <c r="R13295" t="s">
        <v>27253</v>
      </c>
      <c r="S13295" t="s">
        <v>27254</v>
      </c>
      <c r="T13295" t="s">
        <v>27255</v>
      </c>
    </row>
    <row r="13296" spans="1:20" x14ac:dyDescent="0.3">
      <c r="A13296" t="str">
        <f>"0611864324050"</f>
        <v>0611864324050</v>
      </c>
      <c r="B13296" t="str">
        <f>"CR4526"</f>
        <v>CR4526</v>
      </c>
      <c r="C13296" t="s">
        <v>52967</v>
      </c>
      <c r="D13296" t="s">
        <v>27286</v>
      </c>
      <c r="E13296" t="str">
        <f t="shared" si="207"/>
        <v>001390</v>
      </c>
      <c r="F13296" t="s">
        <v>27246</v>
      </c>
      <c r="G13296" t="s">
        <v>27247</v>
      </c>
      <c r="H13296" t="s">
        <v>27248</v>
      </c>
      <c r="I13296" t="s">
        <v>52969</v>
      </c>
      <c r="J13296" t="s">
        <v>26573</v>
      </c>
      <c r="L13296" t="s">
        <v>27250</v>
      </c>
      <c r="M13296" t="s">
        <v>27251</v>
      </c>
      <c r="N13296" t="s">
        <v>27252</v>
      </c>
      <c r="Q13296" s="1">
        <v>44846</v>
      </c>
      <c r="R13296" t="s">
        <v>27253</v>
      </c>
      <c r="S13296" t="s">
        <v>27254</v>
      </c>
      <c r="T13296" t="s">
        <v>27265</v>
      </c>
    </row>
    <row r="13297" spans="1:20" x14ac:dyDescent="0.3">
      <c r="A13297" t="str">
        <f>"0611840727025"</f>
        <v>0611840727025</v>
      </c>
      <c r="B13297" t="str">
        <f>"MC4259"</f>
        <v>MC4259</v>
      </c>
      <c r="C13297" t="s">
        <v>52970</v>
      </c>
      <c r="D13297" t="s">
        <v>27267</v>
      </c>
      <c r="E13297" t="str">
        <f t="shared" si="207"/>
        <v>001390</v>
      </c>
      <c r="F13297" t="s">
        <v>27246</v>
      </c>
      <c r="G13297" t="s">
        <v>27247</v>
      </c>
      <c r="H13297" t="s">
        <v>27248</v>
      </c>
      <c r="I13297" t="s">
        <v>52971</v>
      </c>
      <c r="J13297" t="s">
        <v>26575</v>
      </c>
      <c r="L13297" t="s">
        <v>27250</v>
      </c>
      <c r="M13297" t="s">
        <v>27251</v>
      </c>
      <c r="N13297" t="s">
        <v>27252</v>
      </c>
      <c r="Q13297" s="1">
        <v>44538</v>
      </c>
      <c r="R13297" t="s">
        <v>27253</v>
      </c>
      <c r="S13297" t="s">
        <v>27254</v>
      </c>
      <c r="T13297" t="s">
        <v>27269</v>
      </c>
    </row>
    <row r="13298" spans="1:20" x14ac:dyDescent="0.3">
      <c r="A13298" t="str">
        <f>"0611833073100"</f>
        <v>0611833073100</v>
      </c>
      <c r="B13298" t="str">
        <f>"LL8010"</f>
        <v>LL8010</v>
      </c>
      <c r="C13298" t="s">
        <v>52972</v>
      </c>
      <c r="D13298" t="s">
        <v>27245</v>
      </c>
      <c r="E13298" t="str">
        <f t="shared" si="207"/>
        <v>001390</v>
      </c>
      <c r="F13298" t="s">
        <v>27246</v>
      </c>
      <c r="G13298" t="s">
        <v>27247</v>
      </c>
      <c r="H13298" t="s">
        <v>27248</v>
      </c>
      <c r="I13298" t="s">
        <v>52973</v>
      </c>
      <c r="J13298" t="s">
        <v>26577</v>
      </c>
      <c r="L13298" t="s">
        <v>27250</v>
      </c>
      <c r="M13298" t="s">
        <v>27251</v>
      </c>
      <c r="N13298" t="s">
        <v>27252</v>
      </c>
      <c r="Q13298" s="1">
        <v>44538</v>
      </c>
      <c r="R13298" t="s">
        <v>27253</v>
      </c>
      <c r="S13298" t="s">
        <v>27254</v>
      </c>
      <c r="T13298" t="s">
        <v>27255</v>
      </c>
    </row>
    <row r="13299" spans="1:20" x14ac:dyDescent="0.3">
      <c r="A13299" t="str">
        <f>"0611833074100"</f>
        <v>0611833074100</v>
      </c>
      <c r="B13299" t="str">
        <f>"LL0055"</f>
        <v>LL0055</v>
      </c>
      <c r="C13299" t="s">
        <v>52974</v>
      </c>
      <c r="D13299" t="s">
        <v>27245</v>
      </c>
      <c r="E13299" t="str">
        <f t="shared" si="207"/>
        <v>001390</v>
      </c>
      <c r="F13299" t="s">
        <v>27246</v>
      </c>
      <c r="G13299" t="s">
        <v>27247</v>
      </c>
      <c r="H13299" t="s">
        <v>27248</v>
      </c>
      <c r="I13299" t="s">
        <v>52975</v>
      </c>
      <c r="J13299" t="s">
        <v>26579</v>
      </c>
      <c r="L13299" t="s">
        <v>27250</v>
      </c>
      <c r="M13299" t="s">
        <v>27251</v>
      </c>
      <c r="N13299" t="s">
        <v>27252</v>
      </c>
      <c r="Q13299" s="1">
        <v>44538</v>
      </c>
      <c r="R13299" t="s">
        <v>27253</v>
      </c>
      <c r="S13299" t="s">
        <v>27254</v>
      </c>
      <c r="T13299" t="s">
        <v>27255</v>
      </c>
    </row>
    <row r="13300" spans="1:20" x14ac:dyDescent="0.3">
      <c r="A13300" t="str">
        <f>"0611857183100"</f>
        <v>0611857183100</v>
      </c>
      <c r="B13300" t="str">
        <f>"LL5051"</f>
        <v>LL5051</v>
      </c>
      <c r="C13300" t="s">
        <v>52976</v>
      </c>
      <c r="D13300" t="s">
        <v>27245</v>
      </c>
      <c r="E13300" t="str">
        <f t="shared" si="207"/>
        <v>001390</v>
      </c>
      <c r="F13300" t="s">
        <v>27246</v>
      </c>
      <c r="G13300" t="s">
        <v>27247</v>
      </c>
      <c r="H13300" t="s">
        <v>27248</v>
      </c>
      <c r="I13300" t="s">
        <v>52977</v>
      </c>
      <c r="J13300" t="s">
        <v>26581</v>
      </c>
      <c r="L13300" t="s">
        <v>27250</v>
      </c>
      <c r="M13300" t="s">
        <v>27251</v>
      </c>
      <c r="N13300" t="s">
        <v>27252</v>
      </c>
      <c r="Q13300" s="1">
        <v>44812</v>
      </c>
      <c r="R13300" t="s">
        <v>27253</v>
      </c>
      <c r="S13300" t="s">
        <v>27254</v>
      </c>
      <c r="T13300" t="s">
        <v>27255</v>
      </c>
    </row>
    <row r="13301" spans="1:20" x14ac:dyDescent="0.3">
      <c r="A13301" t="str">
        <f>"0611833075100"</f>
        <v>0611833075100</v>
      </c>
      <c r="B13301" t="str">
        <f>"LL8067"</f>
        <v>LL8067</v>
      </c>
      <c r="C13301" t="s">
        <v>52978</v>
      </c>
      <c r="D13301" t="s">
        <v>27245</v>
      </c>
      <c r="E13301" t="str">
        <f t="shared" si="207"/>
        <v>001390</v>
      </c>
      <c r="F13301" t="s">
        <v>27246</v>
      </c>
      <c r="G13301" t="s">
        <v>27247</v>
      </c>
      <c r="H13301" t="s">
        <v>27248</v>
      </c>
      <c r="I13301" t="s">
        <v>52979</v>
      </c>
      <c r="J13301" t="s">
        <v>26583</v>
      </c>
      <c r="L13301" t="s">
        <v>27250</v>
      </c>
      <c r="M13301" t="s">
        <v>27251</v>
      </c>
      <c r="N13301" t="s">
        <v>27252</v>
      </c>
      <c r="Q13301" s="1">
        <v>44538</v>
      </c>
      <c r="R13301" t="s">
        <v>27253</v>
      </c>
      <c r="S13301" t="s">
        <v>27254</v>
      </c>
      <c r="T13301" t="s">
        <v>27255</v>
      </c>
    </row>
    <row r="13302" spans="1:20" x14ac:dyDescent="0.3">
      <c r="A13302" t="str">
        <f>"0611833077100"</f>
        <v>0611833077100</v>
      </c>
      <c r="B13302" t="str">
        <f>"LL2615"</f>
        <v>LL2615</v>
      </c>
      <c r="C13302" t="s">
        <v>52980</v>
      </c>
      <c r="D13302" t="s">
        <v>27245</v>
      </c>
      <c r="E13302" t="str">
        <f t="shared" si="207"/>
        <v>001390</v>
      </c>
      <c r="F13302" t="s">
        <v>27246</v>
      </c>
      <c r="G13302" t="s">
        <v>27247</v>
      </c>
      <c r="H13302" t="s">
        <v>27248</v>
      </c>
      <c r="I13302" t="s">
        <v>52981</v>
      </c>
      <c r="J13302" t="s">
        <v>26585</v>
      </c>
      <c r="L13302" t="s">
        <v>27250</v>
      </c>
      <c r="M13302" t="s">
        <v>27251</v>
      </c>
      <c r="N13302" t="s">
        <v>27252</v>
      </c>
      <c r="O13302">
        <v>200</v>
      </c>
      <c r="Q13302" s="1">
        <v>44538</v>
      </c>
      <c r="R13302" t="s">
        <v>27253</v>
      </c>
      <c r="S13302" t="s">
        <v>27254</v>
      </c>
      <c r="T13302" t="s">
        <v>27255</v>
      </c>
    </row>
    <row r="13303" spans="1:20" x14ac:dyDescent="0.3">
      <c r="A13303" t="str">
        <f>"0611833078200"</f>
        <v>0611833078200</v>
      </c>
      <c r="B13303" t="str">
        <f>"KY2615"</f>
        <v>KY2615</v>
      </c>
      <c r="C13303" t="s">
        <v>52980</v>
      </c>
      <c r="D13303" t="s">
        <v>27682</v>
      </c>
      <c r="E13303" t="str">
        <f t="shared" si="207"/>
        <v>001390</v>
      </c>
      <c r="F13303" t="s">
        <v>27246</v>
      </c>
      <c r="G13303" t="s">
        <v>27247</v>
      </c>
      <c r="H13303" t="s">
        <v>27248</v>
      </c>
      <c r="I13303" t="s">
        <v>52982</v>
      </c>
      <c r="J13303" t="s">
        <v>26587</v>
      </c>
      <c r="L13303" t="s">
        <v>27250</v>
      </c>
      <c r="M13303" t="s">
        <v>27251</v>
      </c>
      <c r="N13303" t="s">
        <v>27252</v>
      </c>
      <c r="Q13303" s="1">
        <v>44538</v>
      </c>
      <c r="R13303" t="s">
        <v>27253</v>
      </c>
      <c r="S13303" t="s">
        <v>27254</v>
      </c>
      <c r="T13303" t="s">
        <v>27684</v>
      </c>
    </row>
    <row r="13304" spans="1:20" x14ac:dyDescent="0.3">
      <c r="A13304" t="str">
        <f>"0611833080100"</f>
        <v>0611833080100</v>
      </c>
      <c r="B13304" t="str">
        <f>"LL8068"</f>
        <v>LL8068</v>
      </c>
      <c r="C13304" t="s">
        <v>52983</v>
      </c>
      <c r="D13304" t="s">
        <v>27245</v>
      </c>
      <c r="E13304" t="str">
        <f t="shared" si="207"/>
        <v>001390</v>
      </c>
      <c r="F13304" t="s">
        <v>27246</v>
      </c>
      <c r="G13304" t="s">
        <v>27247</v>
      </c>
      <c r="H13304" t="s">
        <v>27248</v>
      </c>
      <c r="I13304" t="s">
        <v>52984</v>
      </c>
      <c r="J13304" t="s">
        <v>26589</v>
      </c>
      <c r="L13304" t="s">
        <v>27250</v>
      </c>
      <c r="M13304" t="s">
        <v>27251</v>
      </c>
      <c r="N13304" t="s">
        <v>27252</v>
      </c>
      <c r="Q13304" s="1">
        <v>44538</v>
      </c>
      <c r="R13304" t="s">
        <v>27253</v>
      </c>
      <c r="S13304" t="s">
        <v>27254</v>
      </c>
      <c r="T13304" t="s">
        <v>27255</v>
      </c>
    </row>
    <row r="13305" spans="1:20" x14ac:dyDescent="0.3">
      <c r="A13305" t="str">
        <f>"0611833081100"</f>
        <v>0611833081100</v>
      </c>
      <c r="B13305" t="str">
        <f>"LL2625"</f>
        <v>LL2625</v>
      </c>
      <c r="C13305" t="s">
        <v>52985</v>
      </c>
      <c r="D13305" t="s">
        <v>27245</v>
      </c>
      <c r="E13305" t="str">
        <f t="shared" si="207"/>
        <v>001390</v>
      </c>
      <c r="F13305" t="s">
        <v>27246</v>
      </c>
      <c r="G13305" t="s">
        <v>27247</v>
      </c>
      <c r="H13305" t="s">
        <v>27248</v>
      </c>
      <c r="I13305" t="s">
        <v>52986</v>
      </c>
      <c r="J13305" t="s">
        <v>26593</v>
      </c>
      <c r="L13305" t="s">
        <v>27250</v>
      </c>
      <c r="M13305" t="s">
        <v>27251</v>
      </c>
      <c r="N13305" t="s">
        <v>27252</v>
      </c>
      <c r="Q13305" s="1">
        <v>44538</v>
      </c>
      <c r="R13305" t="s">
        <v>27253</v>
      </c>
      <c r="S13305" t="s">
        <v>27254</v>
      </c>
      <c r="T13305" t="s">
        <v>27255</v>
      </c>
    </row>
    <row r="13306" spans="1:20" x14ac:dyDescent="0.3">
      <c r="A13306" t="str">
        <f>"0611833082100"</f>
        <v>0611833082100</v>
      </c>
      <c r="B13306" t="str">
        <f>"LL0102"</f>
        <v>LL0102</v>
      </c>
      <c r="C13306" t="s">
        <v>52987</v>
      </c>
      <c r="D13306" t="s">
        <v>27245</v>
      </c>
      <c r="E13306" t="str">
        <f t="shared" si="207"/>
        <v>001390</v>
      </c>
      <c r="F13306" t="s">
        <v>27246</v>
      </c>
      <c r="G13306" t="s">
        <v>27247</v>
      </c>
      <c r="H13306" t="s">
        <v>27248</v>
      </c>
      <c r="I13306" t="s">
        <v>52988</v>
      </c>
      <c r="J13306" t="s">
        <v>26595</v>
      </c>
      <c r="L13306" t="s">
        <v>27250</v>
      </c>
      <c r="M13306" t="s">
        <v>27251</v>
      </c>
      <c r="N13306" t="s">
        <v>27252</v>
      </c>
      <c r="Q13306" s="1">
        <v>44538</v>
      </c>
      <c r="R13306" t="s">
        <v>27253</v>
      </c>
      <c r="S13306" t="s">
        <v>27254</v>
      </c>
      <c r="T13306" t="s">
        <v>27255</v>
      </c>
    </row>
    <row r="13307" spans="1:20" x14ac:dyDescent="0.3">
      <c r="A13307" t="str">
        <f>"0611833083100"</f>
        <v>0611833083100</v>
      </c>
      <c r="B13307" t="str">
        <f>"LL8335"</f>
        <v>LL8335</v>
      </c>
      <c r="C13307" t="s">
        <v>52989</v>
      </c>
      <c r="D13307" t="s">
        <v>27245</v>
      </c>
      <c r="E13307" t="str">
        <f t="shared" si="207"/>
        <v>001390</v>
      </c>
      <c r="F13307" t="s">
        <v>27246</v>
      </c>
      <c r="G13307" t="s">
        <v>27247</v>
      </c>
      <c r="H13307" t="s">
        <v>27248</v>
      </c>
      <c r="I13307" t="s">
        <v>52990</v>
      </c>
      <c r="J13307" t="s">
        <v>26597</v>
      </c>
      <c r="L13307" t="s">
        <v>27250</v>
      </c>
      <c r="M13307" t="s">
        <v>27251</v>
      </c>
      <c r="N13307" t="s">
        <v>27252</v>
      </c>
      <c r="Q13307" s="1">
        <v>44538</v>
      </c>
      <c r="R13307" t="s">
        <v>27253</v>
      </c>
      <c r="S13307" t="s">
        <v>27254</v>
      </c>
      <c r="T13307" t="s">
        <v>27255</v>
      </c>
    </row>
    <row r="13308" spans="1:20" x14ac:dyDescent="0.3">
      <c r="A13308" t="str">
        <f>"0611833084100"</f>
        <v>0611833084100</v>
      </c>
      <c r="B13308" t="str">
        <f>"LL8036"</f>
        <v>LL8036</v>
      </c>
      <c r="C13308" t="s">
        <v>52991</v>
      </c>
      <c r="D13308" t="s">
        <v>27245</v>
      </c>
      <c r="E13308" t="str">
        <f t="shared" si="207"/>
        <v>001390</v>
      </c>
      <c r="F13308" t="s">
        <v>27246</v>
      </c>
      <c r="G13308" t="s">
        <v>27247</v>
      </c>
      <c r="H13308" t="s">
        <v>27248</v>
      </c>
      <c r="I13308" t="s">
        <v>52992</v>
      </c>
      <c r="J13308" t="s">
        <v>26599</v>
      </c>
      <c r="L13308" t="s">
        <v>27250</v>
      </c>
      <c r="M13308" t="s">
        <v>27251</v>
      </c>
      <c r="N13308" t="s">
        <v>27252</v>
      </c>
      <c r="Q13308" s="1">
        <v>44538</v>
      </c>
      <c r="R13308" t="s">
        <v>27253</v>
      </c>
      <c r="S13308" t="s">
        <v>27254</v>
      </c>
      <c r="T13308" t="s">
        <v>27255</v>
      </c>
    </row>
    <row r="13309" spans="1:20" x14ac:dyDescent="0.3">
      <c r="A13309" t="str">
        <f>"0611833085100"</f>
        <v>0611833085100</v>
      </c>
      <c r="B13309" t="str">
        <f>"LL0146"</f>
        <v>LL0146</v>
      </c>
      <c r="C13309" t="s">
        <v>52993</v>
      </c>
      <c r="D13309" t="s">
        <v>27245</v>
      </c>
      <c r="E13309" t="str">
        <f t="shared" si="207"/>
        <v>001390</v>
      </c>
      <c r="F13309" t="s">
        <v>27246</v>
      </c>
      <c r="G13309" t="s">
        <v>27247</v>
      </c>
      <c r="H13309" t="s">
        <v>27248</v>
      </c>
      <c r="I13309" t="s">
        <v>52994</v>
      </c>
      <c r="J13309" t="s">
        <v>26601</v>
      </c>
      <c r="L13309" t="s">
        <v>27250</v>
      </c>
      <c r="M13309" t="s">
        <v>27251</v>
      </c>
      <c r="N13309" t="s">
        <v>27252</v>
      </c>
      <c r="Q13309" s="1">
        <v>44538</v>
      </c>
      <c r="R13309" t="s">
        <v>27253</v>
      </c>
      <c r="S13309" t="s">
        <v>27254</v>
      </c>
      <c r="T13309" t="s">
        <v>27255</v>
      </c>
    </row>
    <row r="13310" spans="1:20" x14ac:dyDescent="0.3">
      <c r="A13310" t="str">
        <f>"0611833087100"</f>
        <v>0611833087100</v>
      </c>
      <c r="B13310" t="str">
        <f>"LL2641"</f>
        <v>LL2641</v>
      </c>
      <c r="C13310" t="s">
        <v>52995</v>
      </c>
      <c r="D13310" t="s">
        <v>28138</v>
      </c>
      <c r="E13310" t="str">
        <f t="shared" si="207"/>
        <v>001390</v>
      </c>
      <c r="F13310" t="s">
        <v>27246</v>
      </c>
      <c r="G13310" t="s">
        <v>27247</v>
      </c>
      <c r="H13310" t="s">
        <v>27248</v>
      </c>
      <c r="I13310" t="s">
        <v>52996</v>
      </c>
      <c r="J13310" t="s">
        <v>26605</v>
      </c>
      <c r="L13310" t="s">
        <v>27250</v>
      </c>
      <c r="M13310" t="s">
        <v>27251</v>
      </c>
      <c r="N13310" t="s">
        <v>27252</v>
      </c>
      <c r="P13310" t="s">
        <v>27925</v>
      </c>
      <c r="Q13310" s="1">
        <v>44538</v>
      </c>
      <c r="R13310" t="s">
        <v>27253</v>
      </c>
      <c r="S13310" t="s">
        <v>27254</v>
      </c>
      <c r="T13310" t="s">
        <v>27255</v>
      </c>
    </row>
    <row r="13311" spans="1:20" x14ac:dyDescent="0.3">
      <c r="A13311" t="str">
        <f>"0611833088100"</f>
        <v>0611833088100</v>
      </c>
      <c r="B13311" t="str">
        <f>"LL0900"</f>
        <v>LL0900</v>
      </c>
      <c r="C13311" t="s">
        <v>52997</v>
      </c>
      <c r="D13311" t="s">
        <v>27245</v>
      </c>
      <c r="E13311" t="str">
        <f t="shared" si="207"/>
        <v>001390</v>
      </c>
      <c r="F13311" t="s">
        <v>27246</v>
      </c>
      <c r="G13311" t="s">
        <v>27247</v>
      </c>
      <c r="H13311" t="s">
        <v>27248</v>
      </c>
      <c r="I13311" t="s">
        <v>52998</v>
      </c>
      <c r="J13311" t="s">
        <v>26607</v>
      </c>
      <c r="L13311" t="s">
        <v>27250</v>
      </c>
      <c r="M13311" t="s">
        <v>27251</v>
      </c>
      <c r="N13311" t="s">
        <v>27252</v>
      </c>
      <c r="Q13311" s="1">
        <v>44538</v>
      </c>
      <c r="R13311" t="s">
        <v>27253</v>
      </c>
      <c r="S13311" t="s">
        <v>27254</v>
      </c>
      <c r="T13311" t="s">
        <v>27255</v>
      </c>
    </row>
    <row r="13312" spans="1:20" x14ac:dyDescent="0.3">
      <c r="A13312" t="str">
        <f>"0611833089100"</f>
        <v>0611833089100</v>
      </c>
      <c r="B13312" t="str">
        <f>"LL8044"</f>
        <v>LL8044</v>
      </c>
      <c r="C13312" t="s">
        <v>52999</v>
      </c>
      <c r="D13312" t="s">
        <v>27245</v>
      </c>
      <c r="E13312" t="str">
        <f t="shared" si="207"/>
        <v>001390</v>
      </c>
      <c r="F13312" t="s">
        <v>27246</v>
      </c>
      <c r="G13312" t="s">
        <v>27247</v>
      </c>
      <c r="H13312" t="s">
        <v>27248</v>
      </c>
      <c r="I13312" t="s">
        <v>53000</v>
      </c>
      <c r="J13312" t="s">
        <v>26609</v>
      </c>
      <c r="L13312" t="s">
        <v>27250</v>
      </c>
      <c r="M13312" t="s">
        <v>27251</v>
      </c>
      <c r="N13312" t="s">
        <v>27252</v>
      </c>
      <c r="Q13312" s="1">
        <v>44538</v>
      </c>
      <c r="R13312" t="s">
        <v>27253</v>
      </c>
      <c r="S13312" t="s">
        <v>27254</v>
      </c>
      <c r="T13312" t="s">
        <v>27255</v>
      </c>
    </row>
    <row r="13313" spans="1:20" x14ac:dyDescent="0.3">
      <c r="A13313" t="str">
        <f>"0611833090100"</f>
        <v>0611833090100</v>
      </c>
      <c r="B13313" t="str">
        <f>"LL2640"</f>
        <v>LL2640</v>
      </c>
      <c r="C13313" t="s">
        <v>53001</v>
      </c>
      <c r="D13313" t="s">
        <v>27245</v>
      </c>
      <c r="E13313" t="str">
        <f t="shared" si="207"/>
        <v>001390</v>
      </c>
      <c r="F13313" t="s">
        <v>27246</v>
      </c>
      <c r="G13313" t="s">
        <v>27247</v>
      </c>
      <c r="H13313" t="s">
        <v>27248</v>
      </c>
      <c r="I13313" t="s">
        <v>53002</v>
      </c>
      <c r="J13313" t="s">
        <v>26611</v>
      </c>
      <c r="L13313" t="s">
        <v>27250</v>
      </c>
      <c r="M13313" t="s">
        <v>27251</v>
      </c>
      <c r="N13313" t="s">
        <v>27252</v>
      </c>
      <c r="Q13313" s="1">
        <v>44538</v>
      </c>
      <c r="R13313" t="s">
        <v>27253</v>
      </c>
      <c r="S13313" t="s">
        <v>27254</v>
      </c>
      <c r="T13313" t="s">
        <v>27255</v>
      </c>
    </row>
    <row r="13314" spans="1:20" x14ac:dyDescent="0.3">
      <c r="A13314" t="str">
        <f>"0611833091100"</f>
        <v>0611833091100</v>
      </c>
      <c r="B13314" t="str">
        <f>"LL2647"</f>
        <v>LL2647</v>
      </c>
      <c r="C13314" t="s">
        <v>53003</v>
      </c>
      <c r="D13314" t="s">
        <v>27245</v>
      </c>
      <c r="E13314" t="str">
        <f t="shared" ref="E13314:E13377" si="208">"001390"</f>
        <v>001390</v>
      </c>
      <c r="F13314" t="s">
        <v>27246</v>
      </c>
      <c r="G13314" t="s">
        <v>27247</v>
      </c>
      <c r="H13314" t="s">
        <v>27248</v>
      </c>
      <c r="I13314" t="s">
        <v>53004</v>
      </c>
      <c r="J13314" t="s">
        <v>26613</v>
      </c>
      <c r="L13314" t="s">
        <v>27250</v>
      </c>
      <c r="M13314" t="s">
        <v>27251</v>
      </c>
      <c r="N13314" t="s">
        <v>27252</v>
      </c>
      <c r="Q13314" s="1">
        <v>44538</v>
      </c>
      <c r="R13314" t="s">
        <v>27253</v>
      </c>
      <c r="S13314" t="s">
        <v>27254</v>
      </c>
      <c r="T13314" t="s">
        <v>27255</v>
      </c>
    </row>
    <row r="13315" spans="1:20" x14ac:dyDescent="0.3">
      <c r="A13315" t="str">
        <f>"0611833092100"</f>
        <v>0611833092100</v>
      </c>
      <c r="B13315" t="str">
        <f>"LL4877"</f>
        <v>LL4877</v>
      </c>
      <c r="C13315" t="s">
        <v>53005</v>
      </c>
      <c r="D13315" t="s">
        <v>27245</v>
      </c>
      <c r="E13315" t="str">
        <f t="shared" si="208"/>
        <v>001390</v>
      </c>
      <c r="F13315" t="s">
        <v>27246</v>
      </c>
      <c r="G13315" t="s">
        <v>27247</v>
      </c>
      <c r="H13315" t="s">
        <v>27248</v>
      </c>
      <c r="I13315" t="s">
        <v>53006</v>
      </c>
      <c r="J13315" t="s">
        <v>26615</v>
      </c>
      <c r="L13315" t="s">
        <v>27250</v>
      </c>
      <c r="M13315" t="s">
        <v>27251</v>
      </c>
      <c r="N13315" t="s">
        <v>27252</v>
      </c>
      <c r="Q13315" s="1">
        <v>44538</v>
      </c>
      <c r="R13315" t="s">
        <v>27253</v>
      </c>
      <c r="S13315" t="s">
        <v>27254</v>
      </c>
      <c r="T13315" t="s">
        <v>27255</v>
      </c>
    </row>
    <row r="13316" spans="1:20" x14ac:dyDescent="0.3">
      <c r="A13316" t="str">
        <f>"0611833094100"</f>
        <v>0611833094100</v>
      </c>
      <c r="B13316" t="str">
        <f>"LL2600"</f>
        <v>LL2600</v>
      </c>
      <c r="C13316" t="s">
        <v>53007</v>
      </c>
      <c r="D13316" t="s">
        <v>27245</v>
      </c>
      <c r="E13316" t="str">
        <f t="shared" si="208"/>
        <v>001390</v>
      </c>
      <c r="F13316" t="s">
        <v>27246</v>
      </c>
      <c r="G13316" t="s">
        <v>27247</v>
      </c>
      <c r="H13316" t="s">
        <v>27248</v>
      </c>
      <c r="I13316" t="s">
        <v>53008</v>
      </c>
      <c r="J13316" t="s">
        <v>26591</v>
      </c>
      <c r="L13316" t="s">
        <v>27250</v>
      </c>
      <c r="M13316" t="s">
        <v>27251</v>
      </c>
      <c r="N13316" t="s">
        <v>27252</v>
      </c>
      <c r="Q13316" s="1">
        <v>44538</v>
      </c>
      <c r="R13316" t="s">
        <v>27253</v>
      </c>
      <c r="S13316" t="s">
        <v>27254</v>
      </c>
      <c r="T13316" t="s">
        <v>27255</v>
      </c>
    </row>
    <row r="13317" spans="1:20" x14ac:dyDescent="0.3">
      <c r="A13317" t="str">
        <f>"0611833095100"</f>
        <v>0611833095100</v>
      </c>
      <c r="B13317" t="str">
        <f>"LL8069"</f>
        <v>LL8069</v>
      </c>
      <c r="C13317" t="s">
        <v>53009</v>
      </c>
      <c r="D13317" t="s">
        <v>27245</v>
      </c>
      <c r="E13317" t="str">
        <f t="shared" si="208"/>
        <v>001390</v>
      </c>
      <c r="F13317" t="s">
        <v>27246</v>
      </c>
      <c r="G13317" t="s">
        <v>27247</v>
      </c>
      <c r="H13317" t="s">
        <v>27248</v>
      </c>
      <c r="I13317" t="s">
        <v>53010</v>
      </c>
      <c r="J13317" t="s">
        <v>26617</v>
      </c>
      <c r="L13317" t="s">
        <v>27250</v>
      </c>
      <c r="M13317" t="s">
        <v>27251</v>
      </c>
      <c r="N13317" t="s">
        <v>27252</v>
      </c>
      <c r="Q13317" s="1">
        <v>44538</v>
      </c>
      <c r="R13317" t="s">
        <v>27253</v>
      </c>
      <c r="S13317" t="s">
        <v>27254</v>
      </c>
      <c r="T13317" t="s">
        <v>27255</v>
      </c>
    </row>
    <row r="13318" spans="1:20" x14ac:dyDescent="0.3">
      <c r="A13318" t="str">
        <f>"0611833096100"</f>
        <v>0611833096100</v>
      </c>
      <c r="B13318" t="str">
        <f>"LL8002"</f>
        <v>LL8002</v>
      </c>
      <c r="C13318" t="s">
        <v>53011</v>
      </c>
      <c r="D13318" t="s">
        <v>27245</v>
      </c>
      <c r="E13318" t="str">
        <f t="shared" si="208"/>
        <v>001390</v>
      </c>
      <c r="F13318" t="s">
        <v>27246</v>
      </c>
      <c r="G13318" t="s">
        <v>27247</v>
      </c>
      <c r="H13318" t="s">
        <v>27248</v>
      </c>
      <c r="I13318" t="s">
        <v>53012</v>
      </c>
      <c r="J13318" t="s">
        <v>26619</v>
      </c>
      <c r="L13318" t="s">
        <v>27250</v>
      </c>
      <c r="M13318" t="s">
        <v>27251</v>
      </c>
      <c r="N13318" t="s">
        <v>27252</v>
      </c>
      <c r="Q13318" s="1">
        <v>44538</v>
      </c>
      <c r="R13318" t="s">
        <v>27253</v>
      </c>
      <c r="S13318" t="s">
        <v>27254</v>
      </c>
      <c r="T13318" t="s">
        <v>27255</v>
      </c>
    </row>
    <row r="13319" spans="1:20" x14ac:dyDescent="0.3">
      <c r="A13319" t="str">
        <f>"0611840729100"</f>
        <v>0611840729100</v>
      </c>
      <c r="B13319" t="str">
        <f>"LK1060"</f>
        <v>LK1060</v>
      </c>
      <c r="C13319" t="s">
        <v>53013</v>
      </c>
      <c r="D13319" t="s">
        <v>27245</v>
      </c>
      <c r="E13319" t="str">
        <f t="shared" si="208"/>
        <v>001390</v>
      </c>
      <c r="F13319" t="s">
        <v>27246</v>
      </c>
      <c r="G13319" t="s">
        <v>27247</v>
      </c>
      <c r="H13319" t="s">
        <v>27248</v>
      </c>
      <c r="I13319" t="s">
        <v>53014</v>
      </c>
      <c r="J13319" t="s">
        <v>26621</v>
      </c>
      <c r="L13319" t="s">
        <v>27250</v>
      </c>
      <c r="M13319" t="s">
        <v>27251</v>
      </c>
      <c r="N13319" t="s">
        <v>27252</v>
      </c>
      <c r="Q13319" s="1">
        <v>44538</v>
      </c>
      <c r="R13319" t="s">
        <v>27253</v>
      </c>
      <c r="S13319" t="s">
        <v>27254</v>
      </c>
      <c r="T13319" t="s">
        <v>27255</v>
      </c>
    </row>
    <row r="13320" spans="1:20" x14ac:dyDescent="0.3">
      <c r="A13320" t="str">
        <f>"0611864325050"</f>
        <v>0611864325050</v>
      </c>
      <c r="B13320" t="str">
        <f>"CR4907"</f>
        <v>CR4907</v>
      </c>
      <c r="C13320" t="s">
        <v>53015</v>
      </c>
      <c r="D13320" t="s">
        <v>27286</v>
      </c>
      <c r="E13320" t="str">
        <f t="shared" si="208"/>
        <v>001390</v>
      </c>
      <c r="F13320" t="s">
        <v>27246</v>
      </c>
      <c r="G13320" t="s">
        <v>27247</v>
      </c>
      <c r="H13320" t="s">
        <v>27248</v>
      </c>
      <c r="I13320" t="s">
        <v>53016</v>
      </c>
      <c r="J13320" t="s">
        <v>26623</v>
      </c>
      <c r="L13320" t="s">
        <v>27250</v>
      </c>
      <c r="M13320" t="s">
        <v>27251</v>
      </c>
      <c r="N13320" t="s">
        <v>27252</v>
      </c>
      <c r="Q13320" s="1">
        <v>44846</v>
      </c>
      <c r="R13320" t="s">
        <v>27253</v>
      </c>
      <c r="S13320" t="s">
        <v>27254</v>
      </c>
      <c r="T13320" t="s">
        <v>27265</v>
      </c>
    </row>
    <row r="13321" spans="1:20" x14ac:dyDescent="0.3">
      <c r="A13321" t="str">
        <f>"0611839087100"</f>
        <v>0611839087100</v>
      </c>
      <c r="B13321" t="str">
        <f>"LC9190"</f>
        <v>LC9190</v>
      </c>
      <c r="C13321" t="s">
        <v>53017</v>
      </c>
      <c r="D13321" t="s">
        <v>27245</v>
      </c>
      <c r="E13321" t="str">
        <f t="shared" si="208"/>
        <v>001390</v>
      </c>
      <c r="F13321" t="s">
        <v>27246</v>
      </c>
      <c r="G13321" t="s">
        <v>27247</v>
      </c>
      <c r="H13321" t="s">
        <v>27248</v>
      </c>
      <c r="I13321" t="s">
        <v>53018</v>
      </c>
      <c r="J13321" t="s">
        <v>26625</v>
      </c>
      <c r="L13321" t="s">
        <v>27250</v>
      </c>
      <c r="M13321" t="s">
        <v>27251</v>
      </c>
      <c r="N13321" t="s">
        <v>27252</v>
      </c>
      <c r="Q13321" s="1">
        <v>44538</v>
      </c>
      <c r="R13321" t="s">
        <v>27253</v>
      </c>
      <c r="S13321" t="s">
        <v>27254</v>
      </c>
      <c r="T13321" t="s">
        <v>27255</v>
      </c>
    </row>
    <row r="13322" spans="1:20" x14ac:dyDescent="0.3">
      <c r="A13322" t="str">
        <f>"0611840730025"</f>
        <v>0611840730025</v>
      </c>
      <c r="B13322" t="str">
        <f>"MQ0746"</f>
        <v>MQ0746</v>
      </c>
      <c r="C13322" t="s">
        <v>53019</v>
      </c>
      <c r="D13322" t="s">
        <v>27267</v>
      </c>
      <c r="E13322" t="str">
        <f t="shared" si="208"/>
        <v>001390</v>
      </c>
      <c r="F13322" t="s">
        <v>27246</v>
      </c>
      <c r="G13322" t="s">
        <v>27247</v>
      </c>
      <c r="H13322" t="s">
        <v>27248</v>
      </c>
      <c r="I13322" t="s">
        <v>53020</v>
      </c>
      <c r="J13322" t="s">
        <v>26627</v>
      </c>
      <c r="L13322" t="s">
        <v>27250</v>
      </c>
      <c r="M13322" t="s">
        <v>27251</v>
      </c>
      <c r="N13322" t="s">
        <v>27252</v>
      </c>
      <c r="Q13322" s="1">
        <v>44538</v>
      </c>
      <c r="R13322" t="s">
        <v>27253</v>
      </c>
      <c r="S13322" t="s">
        <v>27254</v>
      </c>
      <c r="T13322" t="s">
        <v>27269</v>
      </c>
    </row>
    <row r="13323" spans="1:20" x14ac:dyDescent="0.3">
      <c r="A13323" t="str">
        <f>"0611840731025"</f>
        <v>0611840731025</v>
      </c>
      <c r="B13323" t="str">
        <f>"MQ0747"</f>
        <v>MQ0747</v>
      </c>
      <c r="C13323" t="s">
        <v>53021</v>
      </c>
      <c r="D13323" t="s">
        <v>27267</v>
      </c>
      <c r="E13323" t="str">
        <f t="shared" si="208"/>
        <v>001390</v>
      </c>
      <c r="F13323" t="s">
        <v>27246</v>
      </c>
      <c r="G13323" t="s">
        <v>27247</v>
      </c>
      <c r="H13323" t="s">
        <v>27248</v>
      </c>
      <c r="I13323" t="s">
        <v>53022</v>
      </c>
      <c r="J13323" t="s">
        <v>26629</v>
      </c>
      <c r="L13323" t="s">
        <v>27250</v>
      </c>
      <c r="M13323" t="s">
        <v>27251</v>
      </c>
      <c r="N13323" t="s">
        <v>27252</v>
      </c>
      <c r="Q13323" s="1">
        <v>44538</v>
      </c>
      <c r="R13323" t="s">
        <v>27253</v>
      </c>
      <c r="S13323" t="s">
        <v>27254</v>
      </c>
      <c r="T13323" t="s">
        <v>27269</v>
      </c>
    </row>
    <row r="13324" spans="1:20" x14ac:dyDescent="0.3">
      <c r="A13324" t="str">
        <f>"0611884518100"</f>
        <v>0611884518100</v>
      </c>
      <c r="B13324" t="str">
        <f>"LF9105"</f>
        <v>LF9105</v>
      </c>
      <c r="C13324" t="s">
        <v>53023</v>
      </c>
      <c r="D13324" t="s">
        <v>27245</v>
      </c>
      <c r="E13324" t="str">
        <f t="shared" si="208"/>
        <v>001390</v>
      </c>
      <c r="F13324" t="s">
        <v>27246</v>
      </c>
      <c r="G13324" t="s">
        <v>27247</v>
      </c>
      <c r="H13324" t="s">
        <v>27248</v>
      </c>
      <c r="I13324" t="s">
        <v>53024</v>
      </c>
      <c r="J13324" t="s">
        <v>26631</v>
      </c>
      <c r="L13324" t="s">
        <v>27430</v>
      </c>
      <c r="M13324" t="s">
        <v>27251</v>
      </c>
      <c r="N13324" t="s">
        <v>27252</v>
      </c>
      <c r="Q13324" s="1">
        <v>45250</v>
      </c>
      <c r="R13324" t="s">
        <v>27253</v>
      </c>
      <c r="S13324" t="s">
        <v>27254</v>
      </c>
      <c r="T13324" t="s">
        <v>27255</v>
      </c>
    </row>
    <row r="13325" spans="1:20" x14ac:dyDescent="0.3">
      <c r="A13325" t="str">
        <f>"0611860942050"</f>
        <v>0611860942050</v>
      </c>
      <c r="B13325" t="str">
        <f>"CR4772"</f>
        <v>CR4772</v>
      </c>
      <c r="C13325" t="s">
        <v>53025</v>
      </c>
      <c r="D13325" t="s">
        <v>27263</v>
      </c>
      <c r="E13325" t="str">
        <f t="shared" si="208"/>
        <v>001390</v>
      </c>
      <c r="F13325" t="s">
        <v>27246</v>
      </c>
      <c r="G13325" t="s">
        <v>27247</v>
      </c>
      <c r="H13325" t="s">
        <v>27248</v>
      </c>
      <c r="I13325" t="s">
        <v>53026</v>
      </c>
      <c r="J13325" t="s">
        <v>26645</v>
      </c>
      <c r="L13325" t="s">
        <v>27250</v>
      </c>
      <c r="M13325" t="s">
        <v>27251</v>
      </c>
      <c r="N13325" t="s">
        <v>27252</v>
      </c>
      <c r="Q13325" s="1">
        <v>44846</v>
      </c>
      <c r="R13325" t="s">
        <v>27253</v>
      </c>
      <c r="S13325" t="s">
        <v>27254</v>
      </c>
      <c r="T13325" t="s">
        <v>27265</v>
      </c>
    </row>
    <row r="13326" spans="1:20" x14ac:dyDescent="0.3">
      <c r="A13326" t="str">
        <f>"0611860943050"</f>
        <v>0611860943050</v>
      </c>
      <c r="B13326" t="str">
        <f>"CR4634"</f>
        <v>CR4634</v>
      </c>
      <c r="C13326" t="s">
        <v>53027</v>
      </c>
      <c r="D13326" t="s">
        <v>27263</v>
      </c>
      <c r="E13326" t="str">
        <f t="shared" si="208"/>
        <v>001390</v>
      </c>
      <c r="F13326" t="s">
        <v>27246</v>
      </c>
      <c r="G13326" t="s">
        <v>27247</v>
      </c>
      <c r="H13326" t="s">
        <v>27248</v>
      </c>
      <c r="I13326" t="s">
        <v>53028</v>
      </c>
      <c r="J13326" t="s">
        <v>26647</v>
      </c>
      <c r="L13326" t="s">
        <v>27250</v>
      </c>
      <c r="M13326" t="s">
        <v>27251</v>
      </c>
      <c r="N13326" t="s">
        <v>27252</v>
      </c>
      <c r="Q13326" s="1">
        <v>44846</v>
      </c>
      <c r="R13326" t="s">
        <v>27253</v>
      </c>
      <c r="S13326" t="s">
        <v>27254</v>
      </c>
      <c r="T13326" t="s">
        <v>27265</v>
      </c>
    </row>
    <row r="13327" spans="1:20" x14ac:dyDescent="0.3">
      <c r="A13327" t="str">
        <f>"0611860944050"</f>
        <v>0611860944050</v>
      </c>
      <c r="B13327" t="str">
        <f>"CR5079"</f>
        <v>CR5079</v>
      </c>
      <c r="C13327" t="s">
        <v>53029</v>
      </c>
      <c r="D13327" t="s">
        <v>27263</v>
      </c>
      <c r="E13327" t="str">
        <f t="shared" si="208"/>
        <v>001390</v>
      </c>
      <c r="F13327" t="s">
        <v>27246</v>
      </c>
      <c r="G13327" t="s">
        <v>27247</v>
      </c>
      <c r="H13327" t="s">
        <v>27248</v>
      </c>
      <c r="I13327" t="s">
        <v>53030</v>
      </c>
      <c r="J13327" t="s">
        <v>26649</v>
      </c>
      <c r="L13327" t="s">
        <v>27250</v>
      </c>
      <c r="M13327" t="s">
        <v>27251</v>
      </c>
      <c r="N13327" t="s">
        <v>27252</v>
      </c>
      <c r="Q13327" s="1">
        <v>44846</v>
      </c>
      <c r="R13327" t="s">
        <v>27253</v>
      </c>
      <c r="S13327" t="s">
        <v>27254</v>
      </c>
      <c r="T13327" t="s">
        <v>27265</v>
      </c>
    </row>
    <row r="13328" spans="1:20" x14ac:dyDescent="0.3">
      <c r="A13328" t="str">
        <f>"0611860945050"</f>
        <v>0611860945050</v>
      </c>
      <c r="B13328" t="str">
        <f>"CR4657"</f>
        <v>CR4657</v>
      </c>
      <c r="C13328" t="s">
        <v>53031</v>
      </c>
      <c r="D13328" t="s">
        <v>27263</v>
      </c>
      <c r="E13328" t="str">
        <f t="shared" si="208"/>
        <v>001390</v>
      </c>
      <c r="F13328" t="s">
        <v>27246</v>
      </c>
      <c r="G13328" t="s">
        <v>27247</v>
      </c>
      <c r="H13328" t="s">
        <v>27248</v>
      </c>
      <c r="I13328" t="s">
        <v>53032</v>
      </c>
      <c r="J13328" t="s">
        <v>26651</v>
      </c>
      <c r="L13328" t="s">
        <v>27250</v>
      </c>
      <c r="M13328" t="s">
        <v>27251</v>
      </c>
      <c r="N13328" t="s">
        <v>27252</v>
      </c>
      <c r="Q13328" s="1">
        <v>44846</v>
      </c>
      <c r="R13328" t="s">
        <v>27253</v>
      </c>
      <c r="S13328" t="s">
        <v>27254</v>
      </c>
      <c r="T13328" t="s">
        <v>27265</v>
      </c>
    </row>
    <row r="13329" spans="1:20" x14ac:dyDescent="0.3">
      <c r="A13329" t="str">
        <f>"0611860946050"</f>
        <v>0611860946050</v>
      </c>
      <c r="B13329" t="str">
        <f>"CR4658"</f>
        <v>CR4658</v>
      </c>
      <c r="C13329" t="s">
        <v>53033</v>
      </c>
      <c r="D13329" t="s">
        <v>27263</v>
      </c>
      <c r="E13329" t="str">
        <f t="shared" si="208"/>
        <v>001390</v>
      </c>
      <c r="F13329" t="s">
        <v>27246</v>
      </c>
      <c r="G13329" t="s">
        <v>27247</v>
      </c>
      <c r="H13329" t="s">
        <v>27248</v>
      </c>
      <c r="I13329" t="s">
        <v>53034</v>
      </c>
      <c r="J13329" t="s">
        <v>26653</v>
      </c>
      <c r="L13329" t="s">
        <v>27250</v>
      </c>
      <c r="M13329" t="s">
        <v>27251</v>
      </c>
      <c r="N13329" t="s">
        <v>27252</v>
      </c>
      <c r="Q13329" s="1">
        <v>44846</v>
      </c>
      <c r="R13329" t="s">
        <v>27253</v>
      </c>
      <c r="S13329" t="s">
        <v>27254</v>
      </c>
      <c r="T13329" t="s">
        <v>27265</v>
      </c>
    </row>
    <row r="13330" spans="1:20" x14ac:dyDescent="0.3">
      <c r="A13330" t="str">
        <f>"0611860948050"</f>
        <v>0611860948050</v>
      </c>
      <c r="B13330" t="str">
        <f>"CR4659"</f>
        <v>CR4659</v>
      </c>
      <c r="C13330" t="s">
        <v>53035</v>
      </c>
      <c r="D13330" t="s">
        <v>27263</v>
      </c>
      <c r="E13330" t="str">
        <f t="shared" si="208"/>
        <v>001390</v>
      </c>
      <c r="F13330" t="s">
        <v>27246</v>
      </c>
      <c r="G13330" t="s">
        <v>27247</v>
      </c>
      <c r="H13330" t="s">
        <v>27248</v>
      </c>
      <c r="I13330" t="s">
        <v>53036</v>
      </c>
      <c r="J13330" t="s">
        <v>26655</v>
      </c>
      <c r="L13330" t="s">
        <v>27250</v>
      </c>
      <c r="M13330" t="s">
        <v>27251</v>
      </c>
      <c r="N13330" t="s">
        <v>27252</v>
      </c>
      <c r="Q13330" s="1">
        <v>44846</v>
      </c>
      <c r="R13330" t="s">
        <v>27253</v>
      </c>
      <c r="S13330" t="s">
        <v>27254</v>
      </c>
      <c r="T13330" t="s">
        <v>27265</v>
      </c>
    </row>
    <row r="13331" spans="1:20" x14ac:dyDescent="0.3">
      <c r="A13331" t="str">
        <f>"0611884519050"</f>
        <v>0611884519050</v>
      </c>
      <c r="B13331" t="str">
        <f>"CR5262"</f>
        <v>CR5262</v>
      </c>
      <c r="C13331" t="s">
        <v>53037</v>
      </c>
      <c r="D13331" t="s">
        <v>27263</v>
      </c>
      <c r="E13331" t="str">
        <f t="shared" si="208"/>
        <v>001390</v>
      </c>
      <c r="F13331" t="s">
        <v>27246</v>
      </c>
      <c r="G13331" t="s">
        <v>27247</v>
      </c>
      <c r="H13331" t="s">
        <v>27248</v>
      </c>
      <c r="I13331" t="s">
        <v>53038</v>
      </c>
      <c r="J13331" t="s">
        <v>26633</v>
      </c>
      <c r="L13331" t="s">
        <v>27430</v>
      </c>
      <c r="M13331" t="s">
        <v>27251</v>
      </c>
      <c r="N13331" t="s">
        <v>27252</v>
      </c>
      <c r="Q13331" s="1">
        <v>45250</v>
      </c>
      <c r="R13331" t="s">
        <v>27253</v>
      </c>
      <c r="S13331" t="s">
        <v>27254</v>
      </c>
      <c r="T13331" t="s">
        <v>27265</v>
      </c>
    </row>
    <row r="13332" spans="1:20" x14ac:dyDescent="0.3">
      <c r="A13332" t="str">
        <f>"0611860949050"</f>
        <v>0611860949050</v>
      </c>
      <c r="B13332" t="str">
        <f>"CR4660"</f>
        <v>CR4660</v>
      </c>
      <c r="C13332" t="s">
        <v>53039</v>
      </c>
      <c r="D13332" t="s">
        <v>27263</v>
      </c>
      <c r="E13332" t="str">
        <f t="shared" si="208"/>
        <v>001390</v>
      </c>
      <c r="F13332" t="s">
        <v>27246</v>
      </c>
      <c r="G13332" t="s">
        <v>27247</v>
      </c>
      <c r="H13332" t="s">
        <v>27248</v>
      </c>
      <c r="I13332" t="s">
        <v>53040</v>
      </c>
      <c r="J13332" t="s">
        <v>26657</v>
      </c>
      <c r="L13332" t="s">
        <v>27250</v>
      </c>
      <c r="M13332" t="s">
        <v>27251</v>
      </c>
      <c r="N13332" t="s">
        <v>27252</v>
      </c>
      <c r="Q13332" s="1">
        <v>44846</v>
      </c>
      <c r="R13332" t="s">
        <v>27253</v>
      </c>
      <c r="S13332" t="s">
        <v>27254</v>
      </c>
      <c r="T13332" t="s">
        <v>27265</v>
      </c>
    </row>
    <row r="13333" spans="1:20" x14ac:dyDescent="0.3">
      <c r="A13333" t="str">
        <f>"0611860950050"</f>
        <v>0611860950050</v>
      </c>
      <c r="B13333" t="str">
        <f>"CR4636"</f>
        <v>CR4636</v>
      </c>
      <c r="C13333" t="s">
        <v>53041</v>
      </c>
      <c r="D13333" t="s">
        <v>27263</v>
      </c>
      <c r="E13333" t="str">
        <f t="shared" si="208"/>
        <v>001390</v>
      </c>
      <c r="F13333" t="s">
        <v>27246</v>
      </c>
      <c r="G13333" t="s">
        <v>27247</v>
      </c>
      <c r="H13333" t="s">
        <v>27248</v>
      </c>
      <c r="I13333" t="s">
        <v>53042</v>
      </c>
      <c r="J13333" t="s">
        <v>26659</v>
      </c>
      <c r="L13333" t="s">
        <v>27250</v>
      </c>
      <c r="M13333" t="s">
        <v>27251</v>
      </c>
      <c r="N13333" t="s">
        <v>27252</v>
      </c>
      <c r="Q13333" s="1">
        <v>44846</v>
      </c>
      <c r="R13333" t="s">
        <v>27253</v>
      </c>
      <c r="S13333" t="s">
        <v>27254</v>
      </c>
      <c r="T13333" t="s">
        <v>27265</v>
      </c>
    </row>
    <row r="13334" spans="1:20" x14ac:dyDescent="0.3">
      <c r="A13334" t="str">
        <f>"0611884520050"</f>
        <v>0611884520050</v>
      </c>
      <c r="B13334" t="str">
        <f>"CR5263"</f>
        <v>CR5263</v>
      </c>
      <c r="C13334" t="s">
        <v>53043</v>
      </c>
      <c r="D13334" t="s">
        <v>27263</v>
      </c>
      <c r="E13334" t="str">
        <f t="shared" si="208"/>
        <v>001390</v>
      </c>
      <c r="F13334" t="s">
        <v>27246</v>
      </c>
      <c r="G13334" t="s">
        <v>27247</v>
      </c>
      <c r="H13334" t="s">
        <v>27248</v>
      </c>
      <c r="I13334" t="s">
        <v>53044</v>
      </c>
      <c r="J13334" t="s">
        <v>26635</v>
      </c>
      <c r="L13334" t="s">
        <v>27430</v>
      </c>
      <c r="M13334" t="s">
        <v>27251</v>
      </c>
      <c r="N13334" t="s">
        <v>27252</v>
      </c>
      <c r="Q13334" s="1">
        <v>45250</v>
      </c>
      <c r="R13334" t="s">
        <v>27253</v>
      </c>
      <c r="S13334" t="s">
        <v>27254</v>
      </c>
      <c r="T13334" t="s">
        <v>27265</v>
      </c>
    </row>
    <row r="13335" spans="1:20" x14ac:dyDescent="0.3">
      <c r="A13335" t="str">
        <f>"0611884521050"</f>
        <v>0611884521050</v>
      </c>
      <c r="B13335" t="str">
        <f>"CR5082"</f>
        <v>CR5082</v>
      </c>
      <c r="C13335" t="s">
        <v>53045</v>
      </c>
      <c r="D13335" t="s">
        <v>27263</v>
      </c>
      <c r="E13335" t="str">
        <f t="shared" si="208"/>
        <v>001390</v>
      </c>
      <c r="F13335" t="s">
        <v>27246</v>
      </c>
      <c r="G13335" t="s">
        <v>27247</v>
      </c>
      <c r="H13335" t="s">
        <v>27248</v>
      </c>
      <c r="I13335" t="s">
        <v>53046</v>
      </c>
      <c r="J13335" t="s">
        <v>26637</v>
      </c>
      <c r="L13335" t="s">
        <v>27430</v>
      </c>
      <c r="M13335" t="s">
        <v>27251</v>
      </c>
      <c r="N13335" t="s">
        <v>27252</v>
      </c>
      <c r="Q13335" s="1">
        <v>45250</v>
      </c>
      <c r="R13335" t="s">
        <v>27253</v>
      </c>
      <c r="S13335" t="s">
        <v>27254</v>
      </c>
      <c r="T13335" t="s">
        <v>27265</v>
      </c>
    </row>
    <row r="13336" spans="1:20" x14ac:dyDescent="0.3">
      <c r="A13336" t="str">
        <f>"0611860952050"</f>
        <v>0611860952050</v>
      </c>
      <c r="B13336" t="str">
        <f>"CR4664"</f>
        <v>CR4664</v>
      </c>
      <c r="C13336" t="s">
        <v>53047</v>
      </c>
      <c r="D13336" t="s">
        <v>27263</v>
      </c>
      <c r="E13336" t="str">
        <f t="shared" si="208"/>
        <v>001390</v>
      </c>
      <c r="F13336" t="s">
        <v>27246</v>
      </c>
      <c r="G13336" t="s">
        <v>27247</v>
      </c>
      <c r="H13336" t="s">
        <v>27248</v>
      </c>
      <c r="I13336" t="s">
        <v>53048</v>
      </c>
      <c r="J13336" t="s">
        <v>26661</v>
      </c>
      <c r="L13336" t="s">
        <v>27250</v>
      </c>
      <c r="M13336" t="s">
        <v>27251</v>
      </c>
      <c r="N13336" t="s">
        <v>27252</v>
      </c>
      <c r="Q13336" s="1">
        <v>44846</v>
      </c>
      <c r="R13336" t="s">
        <v>27253</v>
      </c>
      <c r="S13336" t="s">
        <v>27254</v>
      </c>
      <c r="T13336" t="s">
        <v>27265</v>
      </c>
    </row>
    <row r="13337" spans="1:20" x14ac:dyDescent="0.3">
      <c r="A13337" t="str">
        <f>"0611860953050"</f>
        <v>0611860953050</v>
      </c>
      <c r="B13337" t="str">
        <f>"CR5083"</f>
        <v>CR5083</v>
      </c>
      <c r="C13337" t="s">
        <v>53049</v>
      </c>
      <c r="D13337" t="s">
        <v>27263</v>
      </c>
      <c r="E13337" t="str">
        <f t="shared" si="208"/>
        <v>001390</v>
      </c>
      <c r="F13337" t="s">
        <v>27246</v>
      </c>
      <c r="G13337" t="s">
        <v>27247</v>
      </c>
      <c r="H13337" t="s">
        <v>27248</v>
      </c>
      <c r="I13337" t="s">
        <v>53050</v>
      </c>
      <c r="J13337" t="s">
        <v>26663</v>
      </c>
      <c r="L13337" t="s">
        <v>27250</v>
      </c>
      <c r="M13337" t="s">
        <v>27251</v>
      </c>
      <c r="N13337" t="s">
        <v>27252</v>
      </c>
      <c r="Q13337" s="1">
        <v>44846</v>
      </c>
      <c r="R13337" t="s">
        <v>27253</v>
      </c>
      <c r="S13337" t="s">
        <v>27254</v>
      </c>
      <c r="T13337" t="s">
        <v>27265</v>
      </c>
    </row>
    <row r="13338" spans="1:20" x14ac:dyDescent="0.3">
      <c r="A13338" t="str">
        <f>"0611884522050"</f>
        <v>0611884522050</v>
      </c>
      <c r="B13338" t="str">
        <f>"CR5084"</f>
        <v>CR5084</v>
      </c>
      <c r="C13338" t="s">
        <v>53051</v>
      </c>
      <c r="D13338" t="s">
        <v>27263</v>
      </c>
      <c r="E13338" t="str">
        <f t="shared" si="208"/>
        <v>001390</v>
      </c>
      <c r="F13338" t="s">
        <v>27246</v>
      </c>
      <c r="G13338" t="s">
        <v>27247</v>
      </c>
      <c r="H13338" t="s">
        <v>27248</v>
      </c>
      <c r="I13338" t="s">
        <v>53052</v>
      </c>
      <c r="J13338" t="s">
        <v>26639</v>
      </c>
      <c r="L13338" t="s">
        <v>27430</v>
      </c>
      <c r="M13338" t="s">
        <v>27251</v>
      </c>
      <c r="N13338" t="s">
        <v>27252</v>
      </c>
      <c r="Q13338" s="1">
        <v>45250</v>
      </c>
      <c r="R13338" t="s">
        <v>27253</v>
      </c>
      <c r="S13338" t="s">
        <v>27254</v>
      </c>
      <c r="T13338" t="s">
        <v>27265</v>
      </c>
    </row>
    <row r="13339" spans="1:20" x14ac:dyDescent="0.3">
      <c r="A13339" t="str">
        <f>"0611860954050"</f>
        <v>0611860954050</v>
      </c>
      <c r="B13339" t="str">
        <f>"CR4666"</f>
        <v>CR4666</v>
      </c>
      <c r="C13339" t="s">
        <v>53053</v>
      </c>
      <c r="D13339" t="s">
        <v>27263</v>
      </c>
      <c r="E13339" t="str">
        <f t="shared" si="208"/>
        <v>001390</v>
      </c>
      <c r="F13339" t="s">
        <v>27246</v>
      </c>
      <c r="G13339" t="s">
        <v>27247</v>
      </c>
      <c r="H13339" t="s">
        <v>27248</v>
      </c>
      <c r="I13339" t="s">
        <v>53054</v>
      </c>
      <c r="J13339" t="s">
        <v>26665</v>
      </c>
      <c r="L13339" t="s">
        <v>27250</v>
      </c>
      <c r="M13339" t="s">
        <v>27251</v>
      </c>
      <c r="N13339" t="s">
        <v>27252</v>
      </c>
      <c r="Q13339" s="1">
        <v>44846</v>
      </c>
      <c r="R13339" t="s">
        <v>27253</v>
      </c>
      <c r="S13339" t="s">
        <v>27254</v>
      </c>
      <c r="T13339" t="s">
        <v>27265</v>
      </c>
    </row>
    <row r="13340" spans="1:20" x14ac:dyDescent="0.3">
      <c r="A13340" t="str">
        <f>"0611860955050"</f>
        <v>0611860955050</v>
      </c>
      <c r="B13340" t="str">
        <f>"CR4637"</f>
        <v>CR4637</v>
      </c>
      <c r="C13340" t="s">
        <v>53055</v>
      </c>
      <c r="D13340" t="s">
        <v>27263</v>
      </c>
      <c r="E13340" t="str">
        <f t="shared" si="208"/>
        <v>001390</v>
      </c>
      <c r="F13340" t="s">
        <v>27246</v>
      </c>
      <c r="G13340" t="s">
        <v>27247</v>
      </c>
      <c r="H13340" t="s">
        <v>27248</v>
      </c>
      <c r="I13340" t="s">
        <v>53056</v>
      </c>
      <c r="J13340" t="s">
        <v>26667</v>
      </c>
      <c r="L13340" t="s">
        <v>27250</v>
      </c>
      <c r="M13340" t="s">
        <v>27251</v>
      </c>
      <c r="N13340" t="s">
        <v>27252</v>
      </c>
      <c r="Q13340" s="1">
        <v>44846</v>
      </c>
      <c r="R13340" t="s">
        <v>27253</v>
      </c>
      <c r="S13340" t="s">
        <v>27254</v>
      </c>
      <c r="T13340" t="s">
        <v>27265</v>
      </c>
    </row>
    <row r="13341" spans="1:20" x14ac:dyDescent="0.3">
      <c r="A13341" t="str">
        <f>"0611860956050"</f>
        <v>0611860956050</v>
      </c>
      <c r="B13341" t="str">
        <f>"CR4638"</f>
        <v>CR4638</v>
      </c>
      <c r="C13341" t="s">
        <v>53057</v>
      </c>
      <c r="D13341" t="s">
        <v>27263</v>
      </c>
      <c r="E13341" t="str">
        <f t="shared" si="208"/>
        <v>001390</v>
      </c>
      <c r="F13341" t="s">
        <v>27246</v>
      </c>
      <c r="G13341" t="s">
        <v>27247</v>
      </c>
      <c r="H13341" t="s">
        <v>27248</v>
      </c>
      <c r="I13341" t="s">
        <v>53058</v>
      </c>
      <c r="J13341" t="s">
        <v>26669</v>
      </c>
      <c r="L13341" t="s">
        <v>27250</v>
      </c>
      <c r="M13341" t="s">
        <v>27251</v>
      </c>
      <c r="N13341" t="s">
        <v>27252</v>
      </c>
      <c r="Q13341" s="1">
        <v>44846</v>
      </c>
      <c r="R13341" t="s">
        <v>27253</v>
      </c>
      <c r="S13341" t="s">
        <v>27254</v>
      </c>
      <c r="T13341" t="s">
        <v>27265</v>
      </c>
    </row>
    <row r="13342" spans="1:20" x14ac:dyDescent="0.3">
      <c r="A13342" t="str">
        <f>"0611860957050"</f>
        <v>0611860957050</v>
      </c>
      <c r="B13342" t="str">
        <f>"CR5085"</f>
        <v>CR5085</v>
      </c>
      <c r="C13342" t="s">
        <v>53059</v>
      </c>
      <c r="D13342" t="s">
        <v>27263</v>
      </c>
      <c r="E13342" t="str">
        <f t="shared" si="208"/>
        <v>001390</v>
      </c>
      <c r="F13342" t="s">
        <v>27246</v>
      </c>
      <c r="G13342" t="s">
        <v>27247</v>
      </c>
      <c r="H13342" t="s">
        <v>27248</v>
      </c>
      <c r="I13342" t="s">
        <v>53060</v>
      </c>
      <c r="J13342" t="s">
        <v>26671</v>
      </c>
      <c r="L13342" t="s">
        <v>27250</v>
      </c>
      <c r="M13342" t="s">
        <v>27251</v>
      </c>
      <c r="N13342" t="s">
        <v>27252</v>
      </c>
      <c r="Q13342" s="1">
        <v>44846</v>
      </c>
      <c r="R13342" t="s">
        <v>27253</v>
      </c>
      <c r="S13342" t="s">
        <v>27254</v>
      </c>
      <c r="T13342" t="s">
        <v>27265</v>
      </c>
    </row>
    <row r="13343" spans="1:20" x14ac:dyDescent="0.3">
      <c r="A13343" t="str">
        <f>"0611860958050"</f>
        <v>0611860958050</v>
      </c>
      <c r="B13343" t="str">
        <f>"CR5086"</f>
        <v>CR5086</v>
      </c>
      <c r="C13343" t="s">
        <v>53061</v>
      </c>
      <c r="D13343" t="s">
        <v>27263</v>
      </c>
      <c r="E13343" t="str">
        <f t="shared" si="208"/>
        <v>001390</v>
      </c>
      <c r="F13343" t="s">
        <v>27246</v>
      </c>
      <c r="G13343" t="s">
        <v>27247</v>
      </c>
      <c r="H13343" t="s">
        <v>27248</v>
      </c>
      <c r="I13343" t="s">
        <v>53062</v>
      </c>
      <c r="J13343" t="s">
        <v>26673</v>
      </c>
      <c r="L13343" t="s">
        <v>27250</v>
      </c>
      <c r="M13343" t="s">
        <v>27251</v>
      </c>
      <c r="N13343" t="s">
        <v>27252</v>
      </c>
      <c r="Q13343" s="1">
        <v>44846</v>
      </c>
      <c r="R13343" t="s">
        <v>27253</v>
      </c>
      <c r="S13343" t="s">
        <v>27254</v>
      </c>
      <c r="T13343" t="s">
        <v>27265</v>
      </c>
    </row>
    <row r="13344" spans="1:20" x14ac:dyDescent="0.3">
      <c r="A13344" t="str">
        <f>"0611860959050"</f>
        <v>0611860959050</v>
      </c>
      <c r="B13344" t="str">
        <f>"CR4667"</f>
        <v>CR4667</v>
      </c>
      <c r="C13344" t="s">
        <v>53063</v>
      </c>
      <c r="D13344" t="s">
        <v>27263</v>
      </c>
      <c r="E13344" t="str">
        <f t="shared" si="208"/>
        <v>001390</v>
      </c>
      <c r="F13344" t="s">
        <v>27246</v>
      </c>
      <c r="G13344" t="s">
        <v>27247</v>
      </c>
      <c r="H13344" t="s">
        <v>27248</v>
      </c>
      <c r="I13344" t="s">
        <v>53064</v>
      </c>
      <c r="J13344" t="s">
        <v>26675</v>
      </c>
      <c r="L13344" t="s">
        <v>27250</v>
      </c>
      <c r="M13344" t="s">
        <v>27251</v>
      </c>
      <c r="N13344" t="s">
        <v>27252</v>
      </c>
      <c r="Q13344" s="1">
        <v>44846</v>
      </c>
      <c r="R13344" t="s">
        <v>27253</v>
      </c>
      <c r="S13344" t="s">
        <v>27254</v>
      </c>
      <c r="T13344" t="s">
        <v>27265</v>
      </c>
    </row>
    <row r="13345" spans="1:20" x14ac:dyDescent="0.3">
      <c r="A13345" t="str">
        <f>"0611860960050"</f>
        <v>0611860960050</v>
      </c>
      <c r="B13345" t="str">
        <f>"CR5087"</f>
        <v>CR5087</v>
      </c>
      <c r="C13345" t="s">
        <v>53065</v>
      </c>
      <c r="D13345" t="s">
        <v>27263</v>
      </c>
      <c r="E13345" t="str">
        <f t="shared" si="208"/>
        <v>001390</v>
      </c>
      <c r="F13345" t="s">
        <v>27246</v>
      </c>
      <c r="G13345" t="s">
        <v>27247</v>
      </c>
      <c r="H13345" t="s">
        <v>27248</v>
      </c>
      <c r="I13345" t="s">
        <v>53066</v>
      </c>
      <c r="J13345" t="s">
        <v>26677</v>
      </c>
      <c r="L13345" t="s">
        <v>27250</v>
      </c>
      <c r="M13345" t="s">
        <v>27251</v>
      </c>
      <c r="N13345" t="s">
        <v>27252</v>
      </c>
      <c r="Q13345" s="1">
        <v>44846</v>
      </c>
      <c r="R13345" t="s">
        <v>27253</v>
      </c>
      <c r="S13345" t="s">
        <v>27254</v>
      </c>
      <c r="T13345" t="s">
        <v>27265</v>
      </c>
    </row>
    <row r="13346" spans="1:20" x14ac:dyDescent="0.3">
      <c r="A13346" t="str">
        <f>"0611860961050"</f>
        <v>0611860961050</v>
      </c>
      <c r="B13346" t="str">
        <f>"CR5088"</f>
        <v>CR5088</v>
      </c>
      <c r="C13346" t="s">
        <v>53067</v>
      </c>
      <c r="D13346" t="s">
        <v>27263</v>
      </c>
      <c r="E13346" t="str">
        <f t="shared" si="208"/>
        <v>001390</v>
      </c>
      <c r="F13346" t="s">
        <v>27246</v>
      </c>
      <c r="G13346" t="s">
        <v>27247</v>
      </c>
      <c r="H13346" t="s">
        <v>27248</v>
      </c>
      <c r="I13346" t="s">
        <v>53068</v>
      </c>
      <c r="J13346" t="s">
        <v>26679</v>
      </c>
      <c r="L13346" t="s">
        <v>27250</v>
      </c>
      <c r="M13346" t="s">
        <v>27251</v>
      </c>
      <c r="N13346" t="s">
        <v>27252</v>
      </c>
      <c r="Q13346" s="1">
        <v>44846</v>
      </c>
      <c r="R13346" t="s">
        <v>27253</v>
      </c>
      <c r="S13346" t="s">
        <v>27254</v>
      </c>
      <c r="T13346" t="s">
        <v>27265</v>
      </c>
    </row>
    <row r="13347" spans="1:20" x14ac:dyDescent="0.3">
      <c r="A13347" t="str">
        <f>"0611860962050"</f>
        <v>0611860962050</v>
      </c>
      <c r="B13347" t="str">
        <f>"CR4669"</f>
        <v>CR4669</v>
      </c>
      <c r="C13347" t="s">
        <v>53069</v>
      </c>
      <c r="D13347" t="s">
        <v>27263</v>
      </c>
      <c r="E13347" t="str">
        <f t="shared" si="208"/>
        <v>001390</v>
      </c>
      <c r="F13347" t="s">
        <v>27246</v>
      </c>
      <c r="G13347" t="s">
        <v>27247</v>
      </c>
      <c r="H13347" t="s">
        <v>27248</v>
      </c>
      <c r="I13347" t="s">
        <v>53070</v>
      </c>
      <c r="J13347" t="s">
        <v>26681</v>
      </c>
      <c r="L13347" t="s">
        <v>27250</v>
      </c>
      <c r="M13347" t="s">
        <v>27251</v>
      </c>
      <c r="N13347" t="s">
        <v>27252</v>
      </c>
      <c r="Q13347" s="1">
        <v>44846</v>
      </c>
      <c r="R13347" t="s">
        <v>27253</v>
      </c>
      <c r="S13347" t="s">
        <v>27254</v>
      </c>
      <c r="T13347" t="s">
        <v>27265</v>
      </c>
    </row>
    <row r="13348" spans="1:20" x14ac:dyDescent="0.3">
      <c r="A13348" t="str">
        <f>"0611860964050"</f>
        <v>0611860964050</v>
      </c>
      <c r="B13348" t="str">
        <f>"CR4671"</f>
        <v>CR4671</v>
      </c>
      <c r="C13348" t="s">
        <v>53071</v>
      </c>
      <c r="D13348" t="s">
        <v>27263</v>
      </c>
      <c r="E13348" t="str">
        <f t="shared" si="208"/>
        <v>001390</v>
      </c>
      <c r="F13348" t="s">
        <v>27246</v>
      </c>
      <c r="G13348" t="s">
        <v>27247</v>
      </c>
      <c r="H13348" t="s">
        <v>27248</v>
      </c>
      <c r="I13348" t="s">
        <v>53072</v>
      </c>
      <c r="J13348" t="s">
        <v>26683</v>
      </c>
      <c r="L13348" t="s">
        <v>27250</v>
      </c>
      <c r="M13348" t="s">
        <v>27251</v>
      </c>
      <c r="N13348" t="s">
        <v>27252</v>
      </c>
      <c r="Q13348" s="1">
        <v>44846</v>
      </c>
      <c r="R13348" t="s">
        <v>27253</v>
      </c>
      <c r="S13348" t="s">
        <v>27254</v>
      </c>
      <c r="T13348" t="s">
        <v>27265</v>
      </c>
    </row>
    <row r="13349" spans="1:20" x14ac:dyDescent="0.3">
      <c r="A13349" t="str">
        <f>"0611860965050"</f>
        <v>0611860965050</v>
      </c>
      <c r="B13349" t="str">
        <f>"CR4672"</f>
        <v>CR4672</v>
      </c>
      <c r="C13349" t="s">
        <v>53073</v>
      </c>
      <c r="D13349" t="s">
        <v>27263</v>
      </c>
      <c r="E13349" t="str">
        <f t="shared" si="208"/>
        <v>001390</v>
      </c>
      <c r="F13349" t="s">
        <v>27246</v>
      </c>
      <c r="G13349" t="s">
        <v>27247</v>
      </c>
      <c r="H13349" t="s">
        <v>27248</v>
      </c>
      <c r="I13349" t="s">
        <v>53074</v>
      </c>
      <c r="J13349" t="s">
        <v>26685</v>
      </c>
      <c r="L13349" t="s">
        <v>27250</v>
      </c>
      <c r="M13349" t="s">
        <v>27251</v>
      </c>
      <c r="N13349" t="s">
        <v>27252</v>
      </c>
      <c r="Q13349" s="1">
        <v>44846</v>
      </c>
      <c r="R13349" t="s">
        <v>27253</v>
      </c>
      <c r="S13349" t="s">
        <v>27254</v>
      </c>
      <c r="T13349" t="s">
        <v>27265</v>
      </c>
    </row>
    <row r="13350" spans="1:20" x14ac:dyDescent="0.3">
      <c r="A13350" t="str">
        <f>"0611860966050"</f>
        <v>0611860966050</v>
      </c>
      <c r="B13350" t="str">
        <f>"CR5089"</f>
        <v>CR5089</v>
      </c>
      <c r="C13350" t="s">
        <v>53075</v>
      </c>
      <c r="D13350" t="s">
        <v>27263</v>
      </c>
      <c r="E13350" t="str">
        <f t="shared" si="208"/>
        <v>001390</v>
      </c>
      <c r="F13350" t="s">
        <v>27246</v>
      </c>
      <c r="G13350" t="s">
        <v>27247</v>
      </c>
      <c r="H13350" t="s">
        <v>27248</v>
      </c>
      <c r="I13350" t="s">
        <v>53076</v>
      </c>
      <c r="J13350" t="s">
        <v>26687</v>
      </c>
      <c r="L13350" t="s">
        <v>27250</v>
      </c>
      <c r="M13350" t="s">
        <v>27251</v>
      </c>
      <c r="N13350" t="s">
        <v>27252</v>
      </c>
      <c r="Q13350" s="1">
        <v>44846</v>
      </c>
      <c r="R13350" t="s">
        <v>27253</v>
      </c>
      <c r="S13350" t="s">
        <v>27254</v>
      </c>
      <c r="T13350" t="s">
        <v>27265</v>
      </c>
    </row>
    <row r="13351" spans="1:20" x14ac:dyDescent="0.3">
      <c r="A13351" t="str">
        <f>"0611860967050"</f>
        <v>0611860967050</v>
      </c>
      <c r="B13351" t="str">
        <f>"CR4673"</f>
        <v>CR4673</v>
      </c>
      <c r="C13351" t="s">
        <v>53077</v>
      </c>
      <c r="D13351" t="s">
        <v>27263</v>
      </c>
      <c r="E13351" t="str">
        <f t="shared" si="208"/>
        <v>001390</v>
      </c>
      <c r="F13351" t="s">
        <v>27246</v>
      </c>
      <c r="G13351" t="s">
        <v>27247</v>
      </c>
      <c r="H13351" t="s">
        <v>27248</v>
      </c>
      <c r="I13351" t="s">
        <v>53078</v>
      </c>
      <c r="J13351" t="s">
        <v>26689</v>
      </c>
      <c r="L13351" t="s">
        <v>27250</v>
      </c>
      <c r="M13351" t="s">
        <v>27251</v>
      </c>
      <c r="N13351" t="s">
        <v>27252</v>
      </c>
      <c r="Q13351" s="1">
        <v>44846</v>
      </c>
      <c r="R13351" t="s">
        <v>27253</v>
      </c>
      <c r="S13351" t="s">
        <v>27254</v>
      </c>
      <c r="T13351" t="s">
        <v>27265</v>
      </c>
    </row>
    <row r="13352" spans="1:20" x14ac:dyDescent="0.3">
      <c r="A13352" t="str">
        <f>"0611860968050"</f>
        <v>0611860968050</v>
      </c>
      <c r="B13352" t="str">
        <f>"CR4674"</f>
        <v>CR4674</v>
      </c>
      <c r="C13352" t="s">
        <v>53079</v>
      </c>
      <c r="D13352" t="s">
        <v>27263</v>
      </c>
      <c r="E13352" t="str">
        <f t="shared" si="208"/>
        <v>001390</v>
      </c>
      <c r="F13352" t="s">
        <v>27246</v>
      </c>
      <c r="G13352" t="s">
        <v>27247</v>
      </c>
      <c r="H13352" t="s">
        <v>27248</v>
      </c>
      <c r="I13352" t="s">
        <v>53080</v>
      </c>
      <c r="J13352" t="s">
        <v>26691</v>
      </c>
      <c r="L13352" t="s">
        <v>27250</v>
      </c>
      <c r="M13352" t="s">
        <v>27251</v>
      </c>
      <c r="N13352" t="s">
        <v>27252</v>
      </c>
      <c r="Q13352" s="1">
        <v>44846</v>
      </c>
      <c r="R13352" t="s">
        <v>27253</v>
      </c>
      <c r="S13352" t="s">
        <v>27254</v>
      </c>
      <c r="T13352" t="s">
        <v>27265</v>
      </c>
    </row>
    <row r="13353" spans="1:20" x14ac:dyDescent="0.3">
      <c r="A13353" t="str">
        <f>"0611860969050"</f>
        <v>0611860969050</v>
      </c>
      <c r="B13353" t="str">
        <f>"CR5090"</f>
        <v>CR5090</v>
      </c>
      <c r="C13353" t="s">
        <v>53081</v>
      </c>
      <c r="D13353" t="s">
        <v>27263</v>
      </c>
      <c r="E13353" t="str">
        <f t="shared" si="208"/>
        <v>001390</v>
      </c>
      <c r="F13353" t="s">
        <v>27246</v>
      </c>
      <c r="G13353" t="s">
        <v>27247</v>
      </c>
      <c r="H13353" t="s">
        <v>27248</v>
      </c>
      <c r="I13353" t="s">
        <v>53082</v>
      </c>
      <c r="J13353" t="s">
        <v>26693</v>
      </c>
      <c r="L13353" t="s">
        <v>27250</v>
      </c>
      <c r="M13353" t="s">
        <v>27251</v>
      </c>
      <c r="N13353" t="s">
        <v>27252</v>
      </c>
      <c r="Q13353" s="1">
        <v>44846</v>
      </c>
      <c r="R13353" t="s">
        <v>27253</v>
      </c>
      <c r="S13353" t="s">
        <v>27254</v>
      </c>
      <c r="T13353" t="s">
        <v>27265</v>
      </c>
    </row>
    <row r="13354" spans="1:20" x14ac:dyDescent="0.3">
      <c r="A13354" t="str">
        <f>"0611860970050"</f>
        <v>0611860970050</v>
      </c>
      <c r="B13354" t="str">
        <f>"CR5091"</f>
        <v>CR5091</v>
      </c>
      <c r="C13354" t="s">
        <v>53083</v>
      </c>
      <c r="D13354" t="s">
        <v>27263</v>
      </c>
      <c r="E13354" t="str">
        <f t="shared" si="208"/>
        <v>001390</v>
      </c>
      <c r="F13354" t="s">
        <v>27246</v>
      </c>
      <c r="G13354" t="s">
        <v>27247</v>
      </c>
      <c r="H13354" t="s">
        <v>27248</v>
      </c>
      <c r="I13354" t="s">
        <v>53084</v>
      </c>
      <c r="J13354" t="s">
        <v>26695</v>
      </c>
      <c r="L13354" t="s">
        <v>27250</v>
      </c>
      <c r="M13354" t="s">
        <v>27251</v>
      </c>
      <c r="N13354" t="s">
        <v>27252</v>
      </c>
      <c r="Q13354" s="1">
        <v>44846</v>
      </c>
      <c r="R13354" t="s">
        <v>27253</v>
      </c>
      <c r="S13354" t="s">
        <v>27254</v>
      </c>
      <c r="T13354" t="s">
        <v>27265</v>
      </c>
    </row>
    <row r="13355" spans="1:20" x14ac:dyDescent="0.3">
      <c r="A13355" t="str">
        <f>"0611860971050"</f>
        <v>0611860971050</v>
      </c>
      <c r="B13355" t="str">
        <f>"CR4675"</f>
        <v>CR4675</v>
      </c>
      <c r="C13355" t="s">
        <v>53085</v>
      </c>
      <c r="D13355" t="s">
        <v>27263</v>
      </c>
      <c r="E13355" t="str">
        <f t="shared" si="208"/>
        <v>001390</v>
      </c>
      <c r="F13355" t="s">
        <v>27246</v>
      </c>
      <c r="G13355" t="s">
        <v>27247</v>
      </c>
      <c r="H13355" t="s">
        <v>27248</v>
      </c>
      <c r="I13355" t="s">
        <v>53086</v>
      </c>
      <c r="J13355" t="s">
        <v>26697</v>
      </c>
      <c r="L13355" t="s">
        <v>27250</v>
      </c>
      <c r="M13355" t="s">
        <v>27251</v>
      </c>
      <c r="N13355" t="s">
        <v>27252</v>
      </c>
      <c r="Q13355" s="1">
        <v>44846</v>
      </c>
      <c r="R13355" t="s">
        <v>27253</v>
      </c>
      <c r="S13355" t="s">
        <v>27254</v>
      </c>
      <c r="T13355" t="s">
        <v>27265</v>
      </c>
    </row>
    <row r="13356" spans="1:20" x14ac:dyDescent="0.3">
      <c r="A13356" t="str">
        <f>"0611860972050"</f>
        <v>0611860972050</v>
      </c>
      <c r="B13356" t="str">
        <f>"CR4676"</f>
        <v>CR4676</v>
      </c>
      <c r="C13356" t="s">
        <v>53087</v>
      </c>
      <c r="D13356" t="s">
        <v>27263</v>
      </c>
      <c r="E13356" t="str">
        <f t="shared" si="208"/>
        <v>001390</v>
      </c>
      <c r="F13356" t="s">
        <v>27246</v>
      </c>
      <c r="G13356" t="s">
        <v>27247</v>
      </c>
      <c r="H13356" t="s">
        <v>27248</v>
      </c>
      <c r="I13356" t="s">
        <v>53088</v>
      </c>
      <c r="J13356" t="s">
        <v>26699</v>
      </c>
      <c r="L13356" t="s">
        <v>27250</v>
      </c>
      <c r="M13356" t="s">
        <v>27251</v>
      </c>
      <c r="N13356" t="s">
        <v>27252</v>
      </c>
      <c r="Q13356" s="1">
        <v>44846</v>
      </c>
      <c r="R13356" t="s">
        <v>27253</v>
      </c>
      <c r="S13356" t="s">
        <v>27254</v>
      </c>
      <c r="T13356" t="s">
        <v>27265</v>
      </c>
    </row>
    <row r="13357" spans="1:20" x14ac:dyDescent="0.3">
      <c r="A13357" t="str">
        <f>"0611860973050"</f>
        <v>0611860973050</v>
      </c>
      <c r="B13357" t="str">
        <f>"CR4677"</f>
        <v>CR4677</v>
      </c>
      <c r="C13357" t="s">
        <v>53089</v>
      </c>
      <c r="D13357" t="s">
        <v>27263</v>
      </c>
      <c r="E13357" t="str">
        <f t="shared" si="208"/>
        <v>001390</v>
      </c>
      <c r="F13357" t="s">
        <v>27246</v>
      </c>
      <c r="G13357" t="s">
        <v>27247</v>
      </c>
      <c r="H13357" t="s">
        <v>27248</v>
      </c>
      <c r="I13357" t="s">
        <v>53090</v>
      </c>
      <c r="J13357" t="s">
        <v>26701</v>
      </c>
      <c r="L13357" t="s">
        <v>27250</v>
      </c>
      <c r="M13357" t="s">
        <v>27251</v>
      </c>
      <c r="N13357" t="s">
        <v>27252</v>
      </c>
      <c r="Q13357" s="1">
        <v>44846</v>
      </c>
      <c r="R13357" t="s">
        <v>27253</v>
      </c>
      <c r="S13357" t="s">
        <v>27254</v>
      </c>
      <c r="T13357" t="s">
        <v>27265</v>
      </c>
    </row>
    <row r="13358" spans="1:20" x14ac:dyDescent="0.3">
      <c r="A13358" t="str">
        <f>"0611860974050"</f>
        <v>0611860974050</v>
      </c>
      <c r="B13358" t="str">
        <f>"CR4678"</f>
        <v>CR4678</v>
      </c>
      <c r="C13358" t="s">
        <v>53091</v>
      </c>
      <c r="D13358" t="s">
        <v>27263</v>
      </c>
      <c r="E13358" t="str">
        <f t="shared" si="208"/>
        <v>001390</v>
      </c>
      <c r="F13358" t="s">
        <v>27246</v>
      </c>
      <c r="G13358" t="s">
        <v>27247</v>
      </c>
      <c r="H13358" t="s">
        <v>27248</v>
      </c>
      <c r="I13358" t="s">
        <v>53092</v>
      </c>
      <c r="J13358" t="s">
        <v>26703</v>
      </c>
      <c r="L13358" t="s">
        <v>27250</v>
      </c>
      <c r="M13358" t="s">
        <v>27251</v>
      </c>
      <c r="N13358" t="s">
        <v>27252</v>
      </c>
      <c r="Q13358" s="1">
        <v>44846</v>
      </c>
      <c r="R13358" t="s">
        <v>27253</v>
      </c>
      <c r="S13358" t="s">
        <v>27254</v>
      </c>
      <c r="T13358" t="s">
        <v>27265</v>
      </c>
    </row>
    <row r="13359" spans="1:20" x14ac:dyDescent="0.3">
      <c r="A13359" t="str">
        <f>"0611860975050"</f>
        <v>0611860975050</v>
      </c>
      <c r="B13359" t="str">
        <f>"CR4639"</f>
        <v>CR4639</v>
      </c>
      <c r="C13359" t="s">
        <v>53093</v>
      </c>
      <c r="D13359" t="s">
        <v>27263</v>
      </c>
      <c r="E13359" t="str">
        <f t="shared" si="208"/>
        <v>001390</v>
      </c>
      <c r="F13359" t="s">
        <v>27246</v>
      </c>
      <c r="G13359" t="s">
        <v>27247</v>
      </c>
      <c r="H13359" t="s">
        <v>27248</v>
      </c>
      <c r="I13359" t="s">
        <v>53094</v>
      </c>
      <c r="J13359" t="s">
        <v>26705</v>
      </c>
      <c r="L13359" t="s">
        <v>27250</v>
      </c>
      <c r="M13359" t="s">
        <v>27251</v>
      </c>
      <c r="N13359" t="s">
        <v>27252</v>
      </c>
      <c r="Q13359" s="1">
        <v>44846</v>
      </c>
      <c r="R13359" t="s">
        <v>27253</v>
      </c>
      <c r="S13359" t="s">
        <v>27254</v>
      </c>
      <c r="T13359" t="s">
        <v>27265</v>
      </c>
    </row>
    <row r="13360" spans="1:20" x14ac:dyDescent="0.3">
      <c r="A13360" t="str">
        <f>"0611860976050"</f>
        <v>0611860976050</v>
      </c>
      <c r="B13360" t="str">
        <f>"CR4640"</f>
        <v>CR4640</v>
      </c>
      <c r="C13360" t="s">
        <v>53095</v>
      </c>
      <c r="D13360" t="s">
        <v>27263</v>
      </c>
      <c r="E13360" t="str">
        <f t="shared" si="208"/>
        <v>001390</v>
      </c>
      <c r="F13360" t="s">
        <v>27246</v>
      </c>
      <c r="G13360" t="s">
        <v>27247</v>
      </c>
      <c r="H13360" t="s">
        <v>27248</v>
      </c>
      <c r="I13360" t="s">
        <v>53096</v>
      </c>
      <c r="J13360" t="s">
        <v>26707</v>
      </c>
      <c r="L13360" t="s">
        <v>27250</v>
      </c>
      <c r="M13360" t="s">
        <v>27251</v>
      </c>
      <c r="N13360" t="s">
        <v>27252</v>
      </c>
      <c r="Q13360" s="1">
        <v>44846</v>
      </c>
      <c r="R13360" t="s">
        <v>27253</v>
      </c>
      <c r="S13360" t="s">
        <v>27254</v>
      </c>
      <c r="T13360" t="s">
        <v>27265</v>
      </c>
    </row>
    <row r="13361" spans="1:20" x14ac:dyDescent="0.3">
      <c r="A13361" t="str">
        <f>"0611860977050"</f>
        <v>0611860977050</v>
      </c>
      <c r="B13361" t="str">
        <f>"CR4679"</f>
        <v>CR4679</v>
      </c>
      <c r="C13361" t="s">
        <v>53097</v>
      </c>
      <c r="D13361" t="s">
        <v>27263</v>
      </c>
      <c r="E13361" t="str">
        <f t="shared" si="208"/>
        <v>001390</v>
      </c>
      <c r="F13361" t="s">
        <v>27246</v>
      </c>
      <c r="G13361" t="s">
        <v>27247</v>
      </c>
      <c r="H13361" t="s">
        <v>27248</v>
      </c>
      <c r="I13361" t="s">
        <v>53098</v>
      </c>
      <c r="J13361" t="s">
        <v>26709</v>
      </c>
      <c r="L13361" t="s">
        <v>27250</v>
      </c>
      <c r="M13361" t="s">
        <v>27251</v>
      </c>
      <c r="N13361" t="s">
        <v>27252</v>
      </c>
      <c r="Q13361" s="1">
        <v>44846</v>
      </c>
      <c r="R13361" t="s">
        <v>27253</v>
      </c>
      <c r="S13361" t="s">
        <v>27254</v>
      </c>
      <c r="T13361" t="s">
        <v>27265</v>
      </c>
    </row>
    <row r="13362" spans="1:20" x14ac:dyDescent="0.3">
      <c r="A13362" t="str">
        <f>"0611860978050"</f>
        <v>0611860978050</v>
      </c>
      <c r="B13362" t="str">
        <f>"CR5094"</f>
        <v>CR5094</v>
      </c>
      <c r="C13362" t="s">
        <v>53099</v>
      </c>
      <c r="D13362" t="s">
        <v>27263</v>
      </c>
      <c r="E13362" t="str">
        <f t="shared" si="208"/>
        <v>001390</v>
      </c>
      <c r="F13362" t="s">
        <v>27246</v>
      </c>
      <c r="G13362" t="s">
        <v>27247</v>
      </c>
      <c r="H13362" t="s">
        <v>27248</v>
      </c>
      <c r="I13362" t="s">
        <v>53100</v>
      </c>
      <c r="J13362" t="s">
        <v>26711</v>
      </c>
      <c r="L13362" t="s">
        <v>27250</v>
      </c>
      <c r="M13362" t="s">
        <v>27251</v>
      </c>
      <c r="N13362" t="s">
        <v>27252</v>
      </c>
      <c r="Q13362" s="1">
        <v>44846</v>
      </c>
      <c r="R13362" t="s">
        <v>27253</v>
      </c>
      <c r="S13362" t="s">
        <v>27254</v>
      </c>
      <c r="T13362" t="s">
        <v>27265</v>
      </c>
    </row>
    <row r="13363" spans="1:20" x14ac:dyDescent="0.3">
      <c r="A13363" t="str">
        <f>"0611860979050"</f>
        <v>0611860979050</v>
      </c>
      <c r="B13363" t="str">
        <f>"CR4681"</f>
        <v>CR4681</v>
      </c>
      <c r="C13363" t="s">
        <v>53101</v>
      </c>
      <c r="D13363" t="s">
        <v>27263</v>
      </c>
      <c r="E13363" t="str">
        <f t="shared" si="208"/>
        <v>001390</v>
      </c>
      <c r="F13363" t="s">
        <v>27246</v>
      </c>
      <c r="G13363" t="s">
        <v>27247</v>
      </c>
      <c r="H13363" t="s">
        <v>27248</v>
      </c>
      <c r="I13363" t="s">
        <v>53102</v>
      </c>
      <c r="J13363" t="s">
        <v>26713</v>
      </c>
      <c r="L13363" t="s">
        <v>27250</v>
      </c>
      <c r="M13363" t="s">
        <v>27251</v>
      </c>
      <c r="N13363" t="s">
        <v>27252</v>
      </c>
      <c r="Q13363" s="1">
        <v>44846</v>
      </c>
      <c r="R13363" t="s">
        <v>27253</v>
      </c>
      <c r="S13363" t="s">
        <v>27254</v>
      </c>
      <c r="T13363" t="s">
        <v>27265</v>
      </c>
    </row>
    <row r="13364" spans="1:20" x14ac:dyDescent="0.3">
      <c r="A13364" t="str">
        <f>"0611860980050"</f>
        <v>0611860980050</v>
      </c>
      <c r="B13364" t="str">
        <f>"CR4682"</f>
        <v>CR4682</v>
      </c>
      <c r="C13364" t="s">
        <v>53103</v>
      </c>
      <c r="D13364" t="s">
        <v>27263</v>
      </c>
      <c r="E13364" t="str">
        <f t="shared" si="208"/>
        <v>001390</v>
      </c>
      <c r="F13364" t="s">
        <v>27246</v>
      </c>
      <c r="G13364" t="s">
        <v>27247</v>
      </c>
      <c r="H13364" t="s">
        <v>27248</v>
      </c>
      <c r="I13364" t="s">
        <v>53104</v>
      </c>
      <c r="J13364" t="s">
        <v>26715</v>
      </c>
      <c r="L13364" t="s">
        <v>27250</v>
      </c>
      <c r="M13364" t="s">
        <v>27251</v>
      </c>
      <c r="N13364" t="s">
        <v>27252</v>
      </c>
      <c r="Q13364" s="1">
        <v>44846</v>
      </c>
      <c r="R13364" t="s">
        <v>27253</v>
      </c>
      <c r="S13364" t="s">
        <v>27254</v>
      </c>
      <c r="T13364" t="s">
        <v>27265</v>
      </c>
    </row>
    <row r="13365" spans="1:20" x14ac:dyDescent="0.3">
      <c r="A13365" t="str">
        <f>"0611860981050"</f>
        <v>0611860981050</v>
      </c>
      <c r="B13365" t="str">
        <f>"CR4683"</f>
        <v>CR4683</v>
      </c>
      <c r="C13365" t="s">
        <v>53105</v>
      </c>
      <c r="D13365" t="s">
        <v>27263</v>
      </c>
      <c r="E13365" t="str">
        <f t="shared" si="208"/>
        <v>001390</v>
      </c>
      <c r="F13365" t="s">
        <v>27246</v>
      </c>
      <c r="G13365" t="s">
        <v>27247</v>
      </c>
      <c r="H13365" t="s">
        <v>27248</v>
      </c>
      <c r="I13365" t="s">
        <v>53106</v>
      </c>
      <c r="J13365" t="s">
        <v>26717</v>
      </c>
      <c r="L13365" t="s">
        <v>27250</v>
      </c>
      <c r="M13365" t="s">
        <v>27251</v>
      </c>
      <c r="N13365" t="s">
        <v>27252</v>
      </c>
      <c r="Q13365" s="1">
        <v>44846</v>
      </c>
      <c r="R13365" t="s">
        <v>27253</v>
      </c>
      <c r="S13365" t="s">
        <v>27254</v>
      </c>
      <c r="T13365" t="s">
        <v>27265</v>
      </c>
    </row>
    <row r="13366" spans="1:20" x14ac:dyDescent="0.3">
      <c r="A13366" t="str">
        <f>"0611860982050"</f>
        <v>0611860982050</v>
      </c>
      <c r="B13366" t="str">
        <f>"CR4684"</f>
        <v>CR4684</v>
      </c>
      <c r="C13366" t="s">
        <v>53107</v>
      </c>
      <c r="D13366" t="s">
        <v>27263</v>
      </c>
      <c r="E13366" t="str">
        <f t="shared" si="208"/>
        <v>001390</v>
      </c>
      <c r="F13366" t="s">
        <v>27246</v>
      </c>
      <c r="G13366" t="s">
        <v>27247</v>
      </c>
      <c r="H13366" t="s">
        <v>27248</v>
      </c>
      <c r="I13366" t="s">
        <v>53108</v>
      </c>
      <c r="J13366" t="s">
        <v>26719</v>
      </c>
      <c r="L13366" t="s">
        <v>27250</v>
      </c>
      <c r="M13366" t="s">
        <v>27251</v>
      </c>
      <c r="N13366" t="s">
        <v>27252</v>
      </c>
      <c r="Q13366" s="1">
        <v>44846</v>
      </c>
      <c r="R13366" t="s">
        <v>27253</v>
      </c>
      <c r="S13366" t="s">
        <v>27254</v>
      </c>
      <c r="T13366" t="s">
        <v>27265</v>
      </c>
    </row>
    <row r="13367" spans="1:20" x14ac:dyDescent="0.3">
      <c r="A13367" t="str">
        <f>"0611860983050"</f>
        <v>0611860983050</v>
      </c>
      <c r="B13367" t="str">
        <f>"CR5096"</f>
        <v>CR5096</v>
      </c>
      <c r="C13367" t="s">
        <v>53109</v>
      </c>
      <c r="D13367" t="s">
        <v>27263</v>
      </c>
      <c r="E13367" t="str">
        <f t="shared" si="208"/>
        <v>001390</v>
      </c>
      <c r="F13367" t="s">
        <v>27246</v>
      </c>
      <c r="G13367" t="s">
        <v>27247</v>
      </c>
      <c r="H13367" t="s">
        <v>27248</v>
      </c>
      <c r="I13367" t="s">
        <v>53110</v>
      </c>
      <c r="J13367" t="s">
        <v>26721</v>
      </c>
      <c r="L13367" t="s">
        <v>27250</v>
      </c>
      <c r="M13367" t="s">
        <v>27251</v>
      </c>
      <c r="N13367" t="s">
        <v>27252</v>
      </c>
      <c r="Q13367" s="1">
        <v>44846</v>
      </c>
      <c r="R13367" t="s">
        <v>27253</v>
      </c>
      <c r="S13367" t="s">
        <v>27254</v>
      </c>
      <c r="T13367" t="s">
        <v>27265</v>
      </c>
    </row>
    <row r="13368" spans="1:20" x14ac:dyDescent="0.3">
      <c r="A13368" t="str">
        <f>"0611884523050"</f>
        <v>0611884523050</v>
      </c>
      <c r="B13368" t="str">
        <f>"CR5097"</f>
        <v>CR5097</v>
      </c>
      <c r="C13368" t="s">
        <v>53111</v>
      </c>
      <c r="D13368" t="s">
        <v>27263</v>
      </c>
      <c r="E13368" t="str">
        <f t="shared" si="208"/>
        <v>001390</v>
      </c>
      <c r="F13368" t="s">
        <v>27246</v>
      </c>
      <c r="G13368" t="s">
        <v>27247</v>
      </c>
      <c r="H13368" t="s">
        <v>27248</v>
      </c>
      <c r="I13368" t="s">
        <v>53112</v>
      </c>
      <c r="J13368" t="s">
        <v>26641</v>
      </c>
      <c r="L13368" t="s">
        <v>27430</v>
      </c>
      <c r="M13368" t="s">
        <v>27251</v>
      </c>
      <c r="N13368" t="s">
        <v>27252</v>
      </c>
      <c r="Q13368" s="1">
        <v>45250</v>
      </c>
      <c r="R13368" t="s">
        <v>27253</v>
      </c>
      <c r="S13368" t="s">
        <v>27254</v>
      </c>
      <c r="T13368" t="s">
        <v>27265</v>
      </c>
    </row>
    <row r="13369" spans="1:20" x14ac:dyDescent="0.3">
      <c r="A13369" t="str">
        <f>"0611860984050"</f>
        <v>0611860984050</v>
      </c>
      <c r="B13369" t="str">
        <f>"CR4685"</f>
        <v>CR4685</v>
      </c>
      <c r="C13369" t="s">
        <v>53113</v>
      </c>
      <c r="D13369" t="s">
        <v>27263</v>
      </c>
      <c r="E13369" t="str">
        <f t="shared" si="208"/>
        <v>001390</v>
      </c>
      <c r="F13369" t="s">
        <v>27246</v>
      </c>
      <c r="G13369" t="s">
        <v>27247</v>
      </c>
      <c r="H13369" t="s">
        <v>27248</v>
      </c>
      <c r="I13369" t="s">
        <v>53114</v>
      </c>
      <c r="J13369" t="s">
        <v>26723</v>
      </c>
      <c r="L13369" t="s">
        <v>27250</v>
      </c>
      <c r="M13369" t="s">
        <v>27251</v>
      </c>
      <c r="N13369" t="s">
        <v>27252</v>
      </c>
      <c r="Q13369" s="1">
        <v>44846</v>
      </c>
      <c r="R13369" t="s">
        <v>27253</v>
      </c>
      <c r="S13369" t="s">
        <v>27254</v>
      </c>
      <c r="T13369" t="s">
        <v>27265</v>
      </c>
    </row>
    <row r="13370" spans="1:20" x14ac:dyDescent="0.3">
      <c r="A13370" t="str">
        <f>"0611860985050"</f>
        <v>0611860985050</v>
      </c>
      <c r="B13370" t="str">
        <f>"CR4686"</f>
        <v>CR4686</v>
      </c>
      <c r="C13370" t="s">
        <v>53115</v>
      </c>
      <c r="D13370" t="s">
        <v>27263</v>
      </c>
      <c r="E13370" t="str">
        <f t="shared" si="208"/>
        <v>001390</v>
      </c>
      <c r="F13370" t="s">
        <v>27246</v>
      </c>
      <c r="G13370" t="s">
        <v>27247</v>
      </c>
      <c r="H13370" t="s">
        <v>27248</v>
      </c>
      <c r="I13370" t="s">
        <v>53116</v>
      </c>
      <c r="J13370" t="s">
        <v>26725</v>
      </c>
      <c r="L13370" t="s">
        <v>27250</v>
      </c>
      <c r="M13370" t="s">
        <v>27251</v>
      </c>
      <c r="N13370" t="s">
        <v>27252</v>
      </c>
      <c r="Q13370" s="1">
        <v>44846</v>
      </c>
      <c r="R13370" t="s">
        <v>27253</v>
      </c>
      <c r="S13370" t="s">
        <v>27254</v>
      </c>
      <c r="T13370" t="s">
        <v>27265</v>
      </c>
    </row>
    <row r="13371" spans="1:20" x14ac:dyDescent="0.3">
      <c r="A13371" t="str">
        <f>"0611860986050"</f>
        <v>0611860986050</v>
      </c>
      <c r="B13371" t="str">
        <f>"CR4687"</f>
        <v>CR4687</v>
      </c>
      <c r="C13371" t="s">
        <v>53117</v>
      </c>
      <c r="D13371" t="s">
        <v>27263</v>
      </c>
      <c r="E13371" t="str">
        <f t="shared" si="208"/>
        <v>001390</v>
      </c>
      <c r="F13371" t="s">
        <v>27246</v>
      </c>
      <c r="G13371" t="s">
        <v>27247</v>
      </c>
      <c r="H13371" t="s">
        <v>27248</v>
      </c>
      <c r="I13371" t="s">
        <v>53118</v>
      </c>
      <c r="J13371" t="s">
        <v>26727</v>
      </c>
      <c r="L13371" t="s">
        <v>27250</v>
      </c>
      <c r="M13371" t="s">
        <v>27251</v>
      </c>
      <c r="N13371" t="s">
        <v>27252</v>
      </c>
      <c r="Q13371" s="1">
        <v>44846</v>
      </c>
      <c r="R13371" t="s">
        <v>27253</v>
      </c>
      <c r="S13371" t="s">
        <v>27254</v>
      </c>
      <c r="T13371" t="s">
        <v>27265</v>
      </c>
    </row>
    <row r="13372" spans="1:20" x14ac:dyDescent="0.3">
      <c r="A13372" t="str">
        <f>"0611860987050"</f>
        <v>0611860987050</v>
      </c>
      <c r="B13372" t="str">
        <f>"CR4688"</f>
        <v>CR4688</v>
      </c>
      <c r="C13372" t="s">
        <v>53119</v>
      </c>
      <c r="D13372" t="s">
        <v>27263</v>
      </c>
      <c r="E13372" t="str">
        <f t="shared" si="208"/>
        <v>001390</v>
      </c>
      <c r="F13372" t="s">
        <v>27246</v>
      </c>
      <c r="G13372" t="s">
        <v>27247</v>
      </c>
      <c r="H13372" t="s">
        <v>27248</v>
      </c>
      <c r="I13372" t="s">
        <v>53120</v>
      </c>
      <c r="J13372" t="s">
        <v>26729</v>
      </c>
      <c r="L13372" t="s">
        <v>27250</v>
      </c>
      <c r="M13372" t="s">
        <v>27251</v>
      </c>
      <c r="N13372" t="s">
        <v>27252</v>
      </c>
      <c r="Q13372" s="1">
        <v>44846</v>
      </c>
      <c r="R13372" t="s">
        <v>27253</v>
      </c>
      <c r="S13372" t="s">
        <v>27254</v>
      </c>
      <c r="T13372" t="s">
        <v>27265</v>
      </c>
    </row>
    <row r="13373" spans="1:20" x14ac:dyDescent="0.3">
      <c r="A13373" t="str">
        <f>"0611860988050"</f>
        <v>0611860988050</v>
      </c>
      <c r="B13373" t="str">
        <f>"CR4769"</f>
        <v>CR4769</v>
      </c>
      <c r="C13373" t="s">
        <v>53121</v>
      </c>
      <c r="D13373" t="s">
        <v>27263</v>
      </c>
      <c r="E13373" t="str">
        <f t="shared" si="208"/>
        <v>001390</v>
      </c>
      <c r="F13373" t="s">
        <v>27246</v>
      </c>
      <c r="G13373" t="s">
        <v>27247</v>
      </c>
      <c r="H13373" t="s">
        <v>27248</v>
      </c>
      <c r="I13373" t="s">
        <v>53122</v>
      </c>
      <c r="J13373" t="s">
        <v>26731</v>
      </c>
      <c r="L13373" t="s">
        <v>27250</v>
      </c>
      <c r="M13373" t="s">
        <v>27251</v>
      </c>
      <c r="N13373" t="s">
        <v>27252</v>
      </c>
      <c r="Q13373" s="1">
        <v>44846</v>
      </c>
      <c r="R13373" t="s">
        <v>27253</v>
      </c>
      <c r="S13373" t="s">
        <v>27254</v>
      </c>
      <c r="T13373" t="s">
        <v>27265</v>
      </c>
    </row>
    <row r="13374" spans="1:20" x14ac:dyDescent="0.3">
      <c r="A13374" t="str">
        <f>"0611840732100"</f>
        <v>0611840732100</v>
      </c>
      <c r="B13374" t="str">
        <f>"LF9103"</f>
        <v>LF9103</v>
      </c>
      <c r="C13374" t="s">
        <v>53123</v>
      </c>
      <c r="D13374" t="s">
        <v>27245</v>
      </c>
      <c r="E13374" t="str">
        <f t="shared" si="208"/>
        <v>001390</v>
      </c>
      <c r="F13374" t="s">
        <v>27246</v>
      </c>
      <c r="G13374" t="s">
        <v>27247</v>
      </c>
      <c r="H13374" t="s">
        <v>27248</v>
      </c>
      <c r="I13374" t="s">
        <v>53124</v>
      </c>
      <c r="J13374" t="s">
        <v>26923</v>
      </c>
      <c r="L13374" t="s">
        <v>27250</v>
      </c>
      <c r="M13374" t="s">
        <v>27251</v>
      </c>
      <c r="N13374" t="s">
        <v>27252</v>
      </c>
      <c r="Q13374" s="1">
        <v>44538</v>
      </c>
      <c r="R13374" t="s">
        <v>27253</v>
      </c>
      <c r="S13374" t="s">
        <v>27254</v>
      </c>
      <c r="T13374" t="s">
        <v>27255</v>
      </c>
    </row>
    <row r="13375" spans="1:20" x14ac:dyDescent="0.3">
      <c r="A13375" t="str">
        <f>"0611840733025"</f>
        <v>0611840733025</v>
      </c>
      <c r="B13375" t="str">
        <f>"MC0930"</f>
        <v>MC0930</v>
      </c>
      <c r="C13375" t="s">
        <v>53123</v>
      </c>
      <c r="D13375" t="s">
        <v>27267</v>
      </c>
      <c r="E13375" t="str">
        <f t="shared" si="208"/>
        <v>001390</v>
      </c>
      <c r="F13375" t="s">
        <v>27246</v>
      </c>
      <c r="G13375" t="s">
        <v>27247</v>
      </c>
      <c r="H13375" t="s">
        <v>27248</v>
      </c>
      <c r="I13375" t="s">
        <v>53125</v>
      </c>
      <c r="J13375" t="s">
        <v>26925</v>
      </c>
      <c r="L13375" t="s">
        <v>27250</v>
      </c>
      <c r="M13375" t="s">
        <v>27251</v>
      </c>
      <c r="N13375" t="s">
        <v>27252</v>
      </c>
      <c r="Q13375" s="1">
        <v>44538</v>
      </c>
      <c r="R13375" t="s">
        <v>27253</v>
      </c>
      <c r="S13375" t="s">
        <v>27254</v>
      </c>
      <c r="T13375" t="s">
        <v>27269</v>
      </c>
    </row>
    <row r="13376" spans="1:20" x14ac:dyDescent="0.3">
      <c r="A13376" t="str">
        <f>"0611860989050"</f>
        <v>0611860989050</v>
      </c>
      <c r="B13376" t="str">
        <f>"CR4690"</f>
        <v>CR4690</v>
      </c>
      <c r="C13376" t="s">
        <v>53126</v>
      </c>
      <c r="D13376" t="s">
        <v>27263</v>
      </c>
      <c r="E13376" t="str">
        <f t="shared" si="208"/>
        <v>001390</v>
      </c>
      <c r="F13376" t="s">
        <v>27246</v>
      </c>
      <c r="G13376" t="s">
        <v>27247</v>
      </c>
      <c r="H13376" t="s">
        <v>27248</v>
      </c>
      <c r="I13376" t="s">
        <v>53127</v>
      </c>
      <c r="J13376" t="s">
        <v>26733</v>
      </c>
      <c r="L13376" t="s">
        <v>27250</v>
      </c>
      <c r="M13376" t="s">
        <v>27251</v>
      </c>
      <c r="N13376" t="s">
        <v>27252</v>
      </c>
      <c r="Q13376" s="1">
        <v>44846</v>
      </c>
      <c r="R13376" t="s">
        <v>27253</v>
      </c>
      <c r="S13376" t="s">
        <v>27254</v>
      </c>
      <c r="T13376" t="s">
        <v>27265</v>
      </c>
    </row>
    <row r="13377" spans="1:20" x14ac:dyDescent="0.3">
      <c r="A13377" t="str">
        <f>"0611860990050"</f>
        <v>0611860990050</v>
      </c>
      <c r="B13377" t="str">
        <f>"CR4691"</f>
        <v>CR4691</v>
      </c>
      <c r="C13377" t="s">
        <v>53128</v>
      </c>
      <c r="D13377" t="s">
        <v>27263</v>
      </c>
      <c r="E13377" t="str">
        <f t="shared" si="208"/>
        <v>001390</v>
      </c>
      <c r="F13377" t="s">
        <v>27246</v>
      </c>
      <c r="G13377" t="s">
        <v>27247</v>
      </c>
      <c r="H13377" t="s">
        <v>27248</v>
      </c>
      <c r="I13377" t="s">
        <v>53129</v>
      </c>
      <c r="J13377" t="s">
        <v>26735</v>
      </c>
      <c r="L13377" t="s">
        <v>27250</v>
      </c>
      <c r="M13377" t="s">
        <v>27251</v>
      </c>
      <c r="N13377" t="s">
        <v>27252</v>
      </c>
      <c r="Q13377" s="1">
        <v>44846</v>
      </c>
      <c r="R13377" t="s">
        <v>27253</v>
      </c>
      <c r="S13377" t="s">
        <v>27254</v>
      </c>
      <c r="T13377" t="s">
        <v>27265</v>
      </c>
    </row>
    <row r="13378" spans="1:20" x14ac:dyDescent="0.3">
      <c r="A13378" t="str">
        <f>"0611860991050"</f>
        <v>0611860991050</v>
      </c>
      <c r="B13378" t="str">
        <f>"CR4901"</f>
        <v>CR4901</v>
      </c>
      <c r="C13378" t="s">
        <v>53130</v>
      </c>
      <c r="D13378" t="s">
        <v>27263</v>
      </c>
      <c r="E13378" t="str">
        <f t="shared" ref="E13378:E13441" si="209">"001390"</f>
        <v>001390</v>
      </c>
      <c r="F13378" t="s">
        <v>27246</v>
      </c>
      <c r="G13378" t="s">
        <v>27247</v>
      </c>
      <c r="H13378" t="s">
        <v>27248</v>
      </c>
      <c r="I13378" t="s">
        <v>53131</v>
      </c>
      <c r="J13378" t="s">
        <v>26737</v>
      </c>
      <c r="L13378" t="s">
        <v>27250</v>
      </c>
      <c r="M13378" t="s">
        <v>27251</v>
      </c>
      <c r="N13378" t="s">
        <v>27252</v>
      </c>
      <c r="Q13378" s="1">
        <v>44846</v>
      </c>
      <c r="R13378" t="s">
        <v>27253</v>
      </c>
      <c r="S13378" t="s">
        <v>27254</v>
      </c>
      <c r="T13378" t="s">
        <v>27265</v>
      </c>
    </row>
    <row r="13379" spans="1:20" x14ac:dyDescent="0.3">
      <c r="A13379" t="str">
        <f>"0611860992050"</f>
        <v>0611860992050</v>
      </c>
      <c r="B13379" t="str">
        <f>"CR4692"</f>
        <v>CR4692</v>
      </c>
      <c r="C13379" t="s">
        <v>53132</v>
      </c>
      <c r="D13379" t="s">
        <v>27263</v>
      </c>
      <c r="E13379" t="str">
        <f t="shared" si="209"/>
        <v>001390</v>
      </c>
      <c r="F13379" t="s">
        <v>27246</v>
      </c>
      <c r="G13379" t="s">
        <v>27247</v>
      </c>
      <c r="H13379" t="s">
        <v>27248</v>
      </c>
      <c r="I13379" t="s">
        <v>53133</v>
      </c>
      <c r="J13379" t="s">
        <v>26739</v>
      </c>
      <c r="L13379" t="s">
        <v>27250</v>
      </c>
      <c r="M13379" t="s">
        <v>27251</v>
      </c>
      <c r="N13379" t="s">
        <v>27252</v>
      </c>
      <c r="Q13379" s="1">
        <v>44846</v>
      </c>
      <c r="R13379" t="s">
        <v>27253</v>
      </c>
      <c r="S13379" t="s">
        <v>27254</v>
      </c>
      <c r="T13379" t="s">
        <v>27265</v>
      </c>
    </row>
    <row r="13380" spans="1:20" x14ac:dyDescent="0.3">
      <c r="A13380" t="str">
        <f>"0611860993050"</f>
        <v>0611860993050</v>
      </c>
      <c r="B13380" t="str">
        <f>"CR4693"</f>
        <v>CR4693</v>
      </c>
      <c r="C13380" t="s">
        <v>53134</v>
      </c>
      <c r="D13380" t="s">
        <v>27263</v>
      </c>
      <c r="E13380" t="str">
        <f t="shared" si="209"/>
        <v>001390</v>
      </c>
      <c r="F13380" t="s">
        <v>27246</v>
      </c>
      <c r="G13380" t="s">
        <v>27247</v>
      </c>
      <c r="H13380" t="s">
        <v>27248</v>
      </c>
      <c r="I13380" t="s">
        <v>53135</v>
      </c>
      <c r="J13380" t="s">
        <v>26741</v>
      </c>
      <c r="L13380" t="s">
        <v>27250</v>
      </c>
      <c r="M13380" t="s">
        <v>27251</v>
      </c>
      <c r="N13380" t="s">
        <v>27252</v>
      </c>
      <c r="Q13380" s="1">
        <v>44846</v>
      </c>
      <c r="R13380" t="s">
        <v>27253</v>
      </c>
      <c r="S13380" t="s">
        <v>27254</v>
      </c>
      <c r="T13380" t="s">
        <v>27265</v>
      </c>
    </row>
    <row r="13381" spans="1:20" x14ac:dyDescent="0.3">
      <c r="A13381" t="str">
        <f>"0611860994050"</f>
        <v>0611860994050</v>
      </c>
      <c r="B13381" t="str">
        <f>"CR4641"</f>
        <v>CR4641</v>
      </c>
      <c r="C13381" t="s">
        <v>53136</v>
      </c>
      <c r="D13381" t="s">
        <v>27263</v>
      </c>
      <c r="E13381" t="str">
        <f t="shared" si="209"/>
        <v>001390</v>
      </c>
      <c r="F13381" t="s">
        <v>27246</v>
      </c>
      <c r="G13381" t="s">
        <v>27247</v>
      </c>
      <c r="H13381" t="s">
        <v>27248</v>
      </c>
      <c r="I13381" t="s">
        <v>53137</v>
      </c>
      <c r="J13381" t="s">
        <v>26743</v>
      </c>
      <c r="L13381" t="s">
        <v>27250</v>
      </c>
      <c r="M13381" t="s">
        <v>27251</v>
      </c>
      <c r="N13381" t="s">
        <v>27252</v>
      </c>
      <c r="Q13381" s="1">
        <v>44846</v>
      </c>
      <c r="R13381" t="s">
        <v>27253</v>
      </c>
      <c r="S13381" t="s">
        <v>27254</v>
      </c>
      <c r="T13381" t="s">
        <v>27265</v>
      </c>
    </row>
    <row r="13382" spans="1:20" x14ac:dyDescent="0.3">
      <c r="A13382" t="str">
        <f>"0611860995050"</f>
        <v>0611860995050</v>
      </c>
      <c r="B13382" t="str">
        <f>"CR4695"</f>
        <v>CR4695</v>
      </c>
      <c r="C13382" t="s">
        <v>53138</v>
      </c>
      <c r="D13382" t="s">
        <v>27263</v>
      </c>
      <c r="E13382" t="str">
        <f t="shared" si="209"/>
        <v>001390</v>
      </c>
      <c r="F13382" t="s">
        <v>27246</v>
      </c>
      <c r="G13382" t="s">
        <v>27247</v>
      </c>
      <c r="H13382" t="s">
        <v>27248</v>
      </c>
      <c r="I13382" t="s">
        <v>53139</v>
      </c>
      <c r="J13382" t="s">
        <v>26745</v>
      </c>
      <c r="L13382" t="s">
        <v>27250</v>
      </c>
      <c r="M13382" t="s">
        <v>27251</v>
      </c>
      <c r="N13382" t="s">
        <v>27252</v>
      </c>
      <c r="Q13382" s="1">
        <v>44846</v>
      </c>
      <c r="R13382" t="s">
        <v>27253</v>
      </c>
      <c r="S13382" t="s">
        <v>27254</v>
      </c>
      <c r="T13382" t="s">
        <v>27265</v>
      </c>
    </row>
    <row r="13383" spans="1:20" x14ac:dyDescent="0.3">
      <c r="A13383" t="str">
        <f>"0611860996050"</f>
        <v>0611860996050</v>
      </c>
      <c r="B13383" t="str">
        <f>"CR4696"</f>
        <v>CR4696</v>
      </c>
      <c r="C13383" t="s">
        <v>53140</v>
      </c>
      <c r="D13383" t="s">
        <v>27263</v>
      </c>
      <c r="E13383" t="str">
        <f t="shared" si="209"/>
        <v>001390</v>
      </c>
      <c r="F13383" t="s">
        <v>27246</v>
      </c>
      <c r="G13383" t="s">
        <v>27247</v>
      </c>
      <c r="H13383" t="s">
        <v>27248</v>
      </c>
      <c r="I13383" t="s">
        <v>53141</v>
      </c>
      <c r="J13383" t="s">
        <v>26747</v>
      </c>
      <c r="L13383" t="s">
        <v>27250</v>
      </c>
      <c r="M13383" t="s">
        <v>27251</v>
      </c>
      <c r="N13383" t="s">
        <v>27252</v>
      </c>
      <c r="Q13383" s="1">
        <v>44846</v>
      </c>
      <c r="R13383" t="s">
        <v>27253</v>
      </c>
      <c r="S13383" t="s">
        <v>27254</v>
      </c>
      <c r="T13383" t="s">
        <v>27265</v>
      </c>
    </row>
    <row r="13384" spans="1:20" x14ac:dyDescent="0.3">
      <c r="A13384" t="str">
        <f>"0611860997050"</f>
        <v>0611860997050</v>
      </c>
      <c r="B13384" t="str">
        <f>"CR4697"</f>
        <v>CR4697</v>
      </c>
      <c r="C13384" t="s">
        <v>53142</v>
      </c>
      <c r="D13384" t="s">
        <v>27263</v>
      </c>
      <c r="E13384" t="str">
        <f t="shared" si="209"/>
        <v>001390</v>
      </c>
      <c r="F13384" t="s">
        <v>27246</v>
      </c>
      <c r="G13384" t="s">
        <v>27247</v>
      </c>
      <c r="H13384" t="s">
        <v>27248</v>
      </c>
      <c r="I13384" t="s">
        <v>53143</v>
      </c>
      <c r="J13384" t="s">
        <v>26749</v>
      </c>
      <c r="L13384" t="s">
        <v>27250</v>
      </c>
      <c r="M13384" t="s">
        <v>27251</v>
      </c>
      <c r="N13384" t="s">
        <v>27252</v>
      </c>
      <c r="Q13384" s="1">
        <v>44846</v>
      </c>
      <c r="R13384" t="s">
        <v>27253</v>
      </c>
      <c r="S13384" t="s">
        <v>27254</v>
      </c>
      <c r="T13384" t="s">
        <v>27265</v>
      </c>
    </row>
    <row r="13385" spans="1:20" x14ac:dyDescent="0.3">
      <c r="A13385" t="str">
        <f>"0611860998050"</f>
        <v>0611860998050</v>
      </c>
      <c r="B13385" t="str">
        <f>"CR4698"</f>
        <v>CR4698</v>
      </c>
      <c r="C13385" t="s">
        <v>53144</v>
      </c>
      <c r="D13385" t="s">
        <v>27263</v>
      </c>
      <c r="E13385" t="str">
        <f t="shared" si="209"/>
        <v>001390</v>
      </c>
      <c r="F13385" t="s">
        <v>27246</v>
      </c>
      <c r="G13385" t="s">
        <v>27247</v>
      </c>
      <c r="H13385" t="s">
        <v>27248</v>
      </c>
      <c r="I13385" t="s">
        <v>53145</v>
      </c>
      <c r="J13385" t="s">
        <v>26751</v>
      </c>
      <c r="L13385" t="s">
        <v>27250</v>
      </c>
      <c r="M13385" t="s">
        <v>27251</v>
      </c>
      <c r="N13385" t="s">
        <v>27252</v>
      </c>
      <c r="Q13385" s="1">
        <v>44846</v>
      </c>
      <c r="R13385" t="s">
        <v>27253</v>
      </c>
      <c r="S13385" t="s">
        <v>27254</v>
      </c>
      <c r="T13385" t="s">
        <v>27265</v>
      </c>
    </row>
    <row r="13386" spans="1:20" x14ac:dyDescent="0.3">
      <c r="A13386" t="str">
        <f>"0611860999050"</f>
        <v>0611860999050</v>
      </c>
      <c r="B13386" t="str">
        <f>"CR4699"</f>
        <v>CR4699</v>
      </c>
      <c r="C13386" t="s">
        <v>53146</v>
      </c>
      <c r="D13386" t="s">
        <v>27263</v>
      </c>
      <c r="E13386" t="str">
        <f t="shared" si="209"/>
        <v>001390</v>
      </c>
      <c r="F13386" t="s">
        <v>27246</v>
      </c>
      <c r="G13386" t="s">
        <v>27247</v>
      </c>
      <c r="H13386" t="s">
        <v>27248</v>
      </c>
      <c r="I13386" t="s">
        <v>53147</v>
      </c>
      <c r="J13386" t="s">
        <v>26753</v>
      </c>
      <c r="L13386" t="s">
        <v>27250</v>
      </c>
      <c r="M13386" t="s">
        <v>27251</v>
      </c>
      <c r="N13386" t="s">
        <v>27252</v>
      </c>
      <c r="Q13386" s="1">
        <v>44846</v>
      </c>
      <c r="R13386" t="s">
        <v>27253</v>
      </c>
      <c r="S13386" t="s">
        <v>27254</v>
      </c>
      <c r="T13386" t="s">
        <v>27265</v>
      </c>
    </row>
    <row r="13387" spans="1:20" x14ac:dyDescent="0.3">
      <c r="A13387" t="str">
        <f>"0611861000050"</f>
        <v>0611861000050</v>
      </c>
      <c r="B13387" t="str">
        <f>"CR5049"</f>
        <v>CR5049</v>
      </c>
      <c r="C13387" t="s">
        <v>53148</v>
      </c>
      <c r="D13387" t="s">
        <v>27263</v>
      </c>
      <c r="E13387" t="str">
        <f t="shared" si="209"/>
        <v>001390</v>
      </c>
      <c r="F13387" t="s">
        <v>27246</v>
      </c>
      <c r="G13387" t="s">
        <v>27247</v>
      </c>
      <c r="H13387" t="s">
        <v>27248</v>
      </c>
      <c r="I13387" t="s">
        <v>53149</v>
      </c>
      <c r="J13387" t="s">
        <v>26755</v>
      </c>
      <c r="L13387" t="s">
        <v>27250</v>
      </c>
      <c r="M13387" t="s">
        <v>27251</v>
      </c>
      <c r="N13387" t="s">
        <v>27252</v>
      </c>
      <c r="Q13387" s="1">
        <v>44846</v>
      </c>
      <c r="R13387" t="s">
        <v>27253</v>
      </c>
      <c r="S13387" t="s">
        <v>27254</v>
      </c>
      <c r="T13387" t="s">
        <v>27265</v>
      </c>
    </row>
    <row r="13388" spans="1:20" x14ac:dyDescent="0.3">
      <c r="A13388" t="str">
        <f>"0611861001050"</f>
        <v>0611861001050</v>
      </c>
      <c r="B13388" t="str">
        <f>"CR4642"</f>
        <v>CR4642</v>
      </c>
      <c r="C13388" t="s">
        <v>53150</v>
      </c>
      <c r="D13388" t="s">
        <v>27263</v>
      </c>
      <c r="E13388" t="str">
        <f t="shared" si="209"/>
        <v>001390</v>
      </c>
      <c r="F13388" t="s">
        <v>27246</v>
      </c>
      <c r="G13388" t="s">
        <v>27247</v>
      </c>
      <c r="H13388" t="s">
        <v>27248</v>
      </c>
      <c r="I13388" t="s">
        <v>53151</v>
      </c>
      <c r="J13388" t="s">
        <v>26757</v>
      </c>
      <c r="L13388" t="s">
        <v>27250</v>
      </c>
      <c r="M13388" t="s">
        <v>27251</v>
      </c>
      <c r="N13388" t="s">
        <v>27252</v>
      </c>
      <c r="Q13388" s="1">
        <v>44846</v>
      </c>
      <c r="R13388" t="s">
        <v>27253</v>
      </c>
      <c r="S13388" t="s">
        <v>27254</v>
      </c>
      <c r="T13388" t="s">
        <v>27265</v>
      </c>
    </row>
    <row r="13389" spans="1:20" x14ac:dyDescent="0.3">
      <c r="A13389" t="str">
        <f>"0611861002050"</f>
        <v>0611861002050</v>
      </c>
      <c r="B13389" t="str">
        <f>"CR4700"</f>
        <v>CR4700</v>
      </c>
      <c r="C13389" t="s">
        <v>53152</v>
      </c>
      <c r="D13389" t="s">
        <v>27263</v>
      </c>
      <c r="E13389" t="str">
        <f t="shared" si="209"/>
        <v>001390</v>
      </c>
      <c r="F13389" t="s">
        <v>27246</v>
      </c>
      <c r="G13389" t="s">
        <v>27247</v>
      </c>
      <c r="H13389" t="s">
        <v>27248</v>
      </c>
      <c r="I13389" t="s">
        <v>53153</v>
      </c>
      <c r="J13389" t="s">
        <v>26759</v>
      </c>
      <c r="L13389" t="s">
        <v>27250</v>
      </c>
      <c r="M13389" t="s">
        <v>27251</v>
      </c>
      <c r="N13389" t="s">
        <v>27252</v>
      </c>
      <c r="Q13389" s="1">
        <v>44846</v>
      </c>
      <c r="R13389" t="s">
        <v>27253</v>
      </c>
      <c r="S13389" t="s">
        <v>27254</v>
      </c>
      <c r="T13389" t="s">
        <v>27265</v>
      </c>
    </row>
    <row r="13390" spans="1:20" x14ac:dyDescent="0.3">
      <c r="A13390" t="str">
        <f>"0611884524050"</f>
        <v>0611884524050</v>
      </c>
      <c r="B13390" t="str">
        <f>"CR5265"</f>
        <v>CR5265</v>
      </c>
      <c r="C13390" t="s">
        <v>53154</v>
      </c>
      <c r="D13390" t="s">
        <v>27263</v>
      </c>
      <c r="E13390" t="str">
        <f t="shared" si="209"/>
        <v>001390</v>
      </c>
      <c r="F13390" t="s">
        <v>27246</v>
      </c>
      <c r="G13390" t="s">
        <v>27247</v>
      </c>
      <c r="H13390" t="s">
        <v>27248</v>
      </c>
      <c r="I13390" t="s">
        <v>53155</v>
      </c>
      <c r="J13390" t="s">
        <v>26643</v>
      </c>
      <c r="L13390" t="s">
        <v>27430</v>
      </c>
      <c r="M13390" t="s">
        <v>27251</v>
      </c>
      <c r="N13390" t="s">
        <v>27252</v>
      </c>
      <c r="Q13390" s="1">
        <v>45250</v>
      </c>
      <c r="R13390" t="s">
        <v>27253</v>
      </c>
      <c r="S13390" t="s">
        <v>27254</v>
      </c>
      <c r="T13390" t="s">
        <v>27265</v>
      </c>
    </row>
    <row r="13391" spans="1:20" x14ac:dyDescent="0.3">
      <c r="A13391" t="str">
        <f>"0611861003050"</f>
        <v>0611861003050</v>
      </c>
      <c r="B13391" t="str">
        <f>"CR4702"</f>
        <v>CR4702</v>
      </c>
      <c r="C13391" t="s">
        <v>53156</v>
      </c>
      <c r="D13391" t="s">
        <v>27263</v>
      </c>
      <c r="E13391" t="str">
        <f t="shared" si="209"/>
        <v>001390</v>
      </c>
      <c r="F13391" t="s">
        <v>27246</v>
      </c>
      <c r="G13391" t="s">
        <v>27247</v>
      </c>
      <c r="H13391" t="s">
        <v>27248</v>
      </c>
      <c r="I13391" t="s">
        <v>53157</v>
      </c>
      <c r="J13391" t="s">
        <v>26761</v>
      </c>
      <c r="L13391" t="s">
        <v>27250</v>
      </c>
      <c r="M13391" t="s">
        <v>27251</v>
      </c>
      <c r="N13391" t="s">
        <v>27252</v>
      </c>
      <c r="Q13391" s="1">
        <v>44846</v>
      </c>
      <c r="R13391" t="s">
        <v>27253</v>
      </c>
      <c r="S13391" t="s">
        <v>27254</v>
      </c>
      <c r="T13391" t="s">
        <v>27265</v>
      </c>
    </row>
    <row r="13392" spans="1:20" x14ac:dyDescent="0.3">
      <c r="A13392" t="str">
        <f>"0611861004050"</f>
        <v>0611861004050</v>
      </c>
      <c r="B13392" t="str">
        <f>"CR4703"</f>
        <v>CR4703</v>
      </c>
      <c r="C13392" t="s">
        <v>53158</v>
      </c>
      <c r="D13392" t="s">
        <v>27263</v>
      </c>
      <c r="E13392" t="str">
        <f t="shared" si="209"/>
        <v>001390</v>
      </c>
      <c r="F13392" t="s">
        <v>27246</v>
      </c>
      <c r="G13392" t="s">
        <v>27247</v>
      </c>
      <c r="H13392" t="s">
        <v>27248</v>
      </c>
      <c r="I13392" t="s">
        <v>53159</v>
      </c>
      <c r="J13392" t="s">
        <v>26763</v>
      </c>
      <c r="L13392" t="s">
        <v>27250</v>
      </c>
      <c r="M13392" t="s">
        <v>27251</v>
      </c>
      <c r="N13392" t="s">
        <v>27252</v>
      </c>
      <c r="Q13392" s="1">
        <v>44846</v>
      </c>
      <c r="R13392" t="s">
        <v>27253</v>
      </c>
      <c r="S13392" t="s">
        <v>27254</v>
      </c>
      <c r="T13392" t="s">
        <v>27265</v>
      </c>
    </row>
    <row r="13393" spans="1:20" x14ac:dyDescent="0.3">
      <c r="A13393" t="str">
        <f>"0611861005050"</f>
        <v>0611861005050</v>
      </c>
      <c r="B13393" t="str">
        <f>"CR5125"</f>
        <v>CR5125</v>
      </c>
      <c r="C13393" t="s">
        <v>53160</v>
      </c>
      <c r="D13393" t="s">
        <v>27263</v>
      </c>
      <c r="E13393" t="str">
        <f t="shared" si="209"/>
        <v>001390</v>
      </c>
      <c r="F13393" t="s">
        <v>27246</v>
      </c>
      <c r="G13393" t="s">
        <v>27247</v>
      </c>
      <c r="H13393" t="s">
        <v>27248</v>
      </c>
      <c r="I13393" t="s">
        <v>53161</v>
      </c>
      <c r="J13393" t="s">
        <v>26765</v>
      </c>
      <c r="L13393" t="s">
        <v>27250</v>
      </c>
      <c r="M13393" t="s">
        <v>27251</v>
      </c>
      <c r="N13393" t="s">
        <v>27252</v>
      </c>
      <c r="Q13393" s="1">
        <v>44846</v>
      </c>
      <c r="R13393" t="s">
        <v>27253</v>
      </c>
      <c r="S13393" t="s">
        <v>27254</v>
      </c>
      <c r="T13393" t="s">
        <v>27265</v>
      </c>
    </row>
    <row r="13394" spans="1:20" x14ac:dyDescent="0.3">
      <c r="A13394" t="str">
        <f>"0611861007050"</f>
        <v>0611861007050</v>
      </c>
      <c r="B13394" t="str">
        <f>"CR4705"</f>
        <v>CR4705</v>
      </c>
      <c r="C13394" t="s">
        <v>53162</v>
      </c>
      <c r="D13394" t="s">
        <v>27263</v>
      </c>
      <c r="E13394" t="str">
        <f t="shared" si="209"/>
        <v>001390</v>
      </c>
      <c r="F13394" t="s">
        <v>27246</v>
      </c>
      <c r="G13394" t="s">
        <v>27247</v>
      </c>
      <c r="H13394" t="s">
        <v>27248</v>
      </c>
      <c r="I13394" t="s">
        <v>53163</v>
      </c>
      <c r="J13394" t="s">
        <v>26767</v>
      </c>
      <c r="L13394" t="s">
        <v>27250</v>
      </c>
      <c r="M13394" t="s">
        <v>27251</v>
      </c>
      <c r="N13394" t="s">
        <v>27252</v>
      </c>
      <c r="Q13394" s="1">
        <v>44846</v>
      </c>
      <c r="R13394" t="s">
        <v>27253</v>
      </c>
      <c r="S13394" t="s">
        <v>27254</v>
      </c>
      <c r="T13394" t="s">
        <v>27265</v>
      </c>
    </row>
    <row r="13395" spans="1:20" x14ac:dyDescent="0.3">
      <c r="A13395" t="str">
        <f>"0611861008050"</f>
        <v>0611861008050</v>
      </c>
      <c r="B13395" t="str">
        <f>"CR4643"</f>
        <v>CR4643</v>
      </c>
      <c r="C13395" t="s">
        <v>53164</v>
      </c>
      <c r="D13395" t="s">
        <v>27263</v>
      </c>
      <c r="E13395" t="str">
        <f t="shared" si="209"/>
        <v>001390</v>
      </c>
      <c r="F13395" t="s">
        <v>27246</v>
      </c>
      <c r="G13395" t="s">
        <v>27247</v>
      </c>
      <c r="H13395" t="s">
        <v>27248</v>
      </c>
      <c r="I13395" t="s">
        <v>53165</v>
      </c>
      <c r="J13395" t="s">
        <v>26769</v>
      </c>
      <c r="L13395" t="s">
        <v>27250</v>
      </c>
      <c r="M13395" t="s">
        <v>27251</v>
      </c>
      <c r="N13395" t="s">
        <v>27252</v>
      </c>
      <c r="Q13395" s="1">
        <v>44846</v>
      </c>
      <c r="R13395" t="s">
        <v>27253</v>
      </c>
      <c r="S13395" t="s">
        <v>27254</v>
      </c>
      <c r="T13395" t="s">
        <v>27265</v>
      </c>
    </row>
    <row r="13396" spans="1:20" x14ac:dyDescent="0.3">
      <c r="A13396" t="str">
        <f>"0611861009050"</f>
        <v>0611861009050</v>
      </c>
      <c r="B13396" t="str">
        <f>"CR4707"</f>
        <v>CR4707</v>
      </c>
      <c r="C13396" t="s">
        <v>53166</v>
      </c>
      <c r="D13396" t="s">
        <v>27263</v>
      </c>
      <c r="E13396" t="str">
        <f t="shared" si="209"/>
        <v>001390</v>
      </c>
      <c r="F13396" t="s">
        <v>27246</v>
      </c>
      <c r="G13396" t="s">
        <v>27247</v>
      </c>
      <c r="H13396" t="s">
        <v>27248</v>
      </c>
      <c r="I13396" t="s">
        <v>53167</v>
      </c>
      <c r="J13396" t="s">
        <v>26771</v>
      </c>
      <c r="L13396" t="s">
        <v>27250</v>
      </c>
      <c r="M13396" t="s">
        <v>27251</v>
      </c>
      <c r="N13396" t="s">
        <v>27252</v>
      </c>
      <c r="Q13396" s="1">
        <v>44846</v>
      </c>
      <c r="R13396" t="s">
        <v>27253</v>
      </c>
      <c r="S13396" t="s">
        <v>27254</v>
      </c>
      <c r="T13396" t="s">
        <v>27265</v>
      </c>
    </row>
    <row r="13397" spans="1:20" x14ac:dyDescent="0.3">
      <c r="A13397" t="str">
        <f>"0611861010050"</f>
        <v>0611861010050</v>
      </c>
      <c r="B13397" t="str">
        <f>"CR4708"</f>
        <v>CR4708</v>
      </c>
      <c r="C13397" t="s">
        <v>53168</v>
      </c>
      <c r="D13397" t="s">
        <v>27263</v>
      </c>
      <c r="E13397" t="str">
        <f t="shared" si="209"/>
        <v>001390</v>
      </c>
      <c r="F13397" t="s">
        <v>27246</v>
      </c>
      <c r="G13397" t="s">
        <v>27247</v>
      </c>
      <c r="H13397" t="s">
        <v>27248</v>
      </c>
      <c r="I13397" t="s">
        <v>53169</v>
      </c>
      <c r="J13397" t="s">
        <v>26773</v>
      </c>
      <c r="L13397" t="s">
        <v>27250</v>
      </c>
      <c r="M13397" t="s">
        <v>27251</v>
      </c>
      <c r="N13397" t="s">
        <v>27252</v>
      </c>
      <c r="Q13397" s="1">
        <v>44846</v>
      </c>
      <c r="R13397" t="s">
        <v>27253</v>
      </c>
      <c r="S13397" t="s">
        <v>27254</v>
      </c>
      <c r="T13397" t="s">
        <v>27265</v>
      </c>
    </row>
    <row r="13398" spans="1:20" x14ac:dyDescent="0.3">
      <c r="A13398" t="str">
        <f>"0611861011050"</f>
        <v>0611861011050</v>
      </c>
      <c r="B13398" t="str">
        <f>"CR4709"</f>
        <v>CR4709</v>
      </c>
      <c r="C13398" t="s">
        <v>53170</v>
      </c>
      <c r="D13398" t="s">
        <v>27263</v>
      </c>
      <c r="E13398" t="str">
        <f t="shared" si="209"/>
        <v>001390</v>
      </c>
      <c r="F13398" t="s">
        <v>27246</v>
      </c>
      <c r="G13398" t="s">
        <v>27247</v>
      </c>
      <c r="H13398" t="s">
        <v>27248</v>
      </c>
      <c r="I13398" t="s">
        <v>53171</v>
      </c>
      <c r="J13398" t="s">
        <v>26775</v>
      </c>
      <c r="L13398" t="s">
        <v>27250</v>
      </c>
      <c r="M13398" t="s">
        <v>27251</v>
      </c>
      <c r="N13398" t="s">
        <v>27252</v>
      </c>
      <c r="Q13398" s="1">
        <v>44846</v>
      </c>
      <c r="R13398" t="s">
        <v>27253</v>
      </c>
      <c r="S13398" t="s">
        <v>27254</v>
      </c>
      <c r="T13398" t="s">
        <v>27265</v>
      </c>
    </row>
    <row r="13399" spans="1:20" x14ac:dyDescent="0.3">
      <c r="A13399" t="str">
        <f>"0611861012050"</f>
        <v>0611861012050</v>
      </c>
      <c r="B13399" t="str">
        <f>"CR4711"</f>
        <v>CR4711</v>
      </c>
      <c r="C13399" t="s">
        <v>53172</v>
      </c>
      <c r="D13399" t="s">
        <v>27263</v>
      </c>
      <c r="E13399" t="str">
        <f t="shared" si="209"/>
        <v>001390</v>
      </c>
      <c r="F13399" t="s">
        <v>27246</v>
      </c>
      <c r="G13399" t="s">
        <v>27247</v>
      </c>
      <c r="H13399" t="s">
        <v>27248</v>
      </c>
      <c r="I13399" t="s">
        <v>53173</v>
      </c>
      <c r="J13399" t="s">
        <v>26777</v>
      </c>
      <c r="L13399" t="s">
        <v>27250</v>
      </c>
      <c r="M13399" t="s">
        <v>27251</v>
      </c>
      <c r="N13399" t="s">
        <v>27252</v>
      </c>
      <c r="Q13399" s="1">
        <v>44846</v>
      </c>
      <c r="R13399" t="s">
        <v>27253</v>
      </c>
      <c r="S13399" t="s">
        <v>27254</v>
      </c>
      <c r="T13399" t="s">
        <v>27265</v>
      </c>
    </row>
    <row r="13400" spans="1:20" x14ac:dyDescent="0.3">
      <c r="A13400" t="str">
        <f>"0611861013050"</f>
        <v>0611861013050</v>
      </c>
      <c r="B13400" t="str">
        <f>"CR4713"</f>
        <v>CR4713</v>
      </c>
      <c r="C13400" t="s">
        <v>53174</v>
      </c>
      <c r="D13400" t="s">
        <v>27263</v>
      </c>
      <c r="E13400" t="str">
        <f t="shared" si="209"/>
        <v>001390</v>
      </c>
      <c r="F13400" t="s">
        <v>27246</v>
      </c>
      <c r="G13400" t="s">
        <v>27247</v>
      </c>
      <c r="H13400" t="s">
        <v>27248</v>
      </c>
      <c r="I13400" t="s">
        <v>53175</v>
      </c>
      <c r="J13400" t="s">
        <v>26779</v>
      </c>
      <c r="L13400" t="s">
        <v>27250</v>
      </c>
      <c r="M13400" t="s">
        <v>27251</v>
      </c>
      <c r="N13400" t="s">
        <v>27252</v>
      </c>
      <c r="Q13400" s="1">
        <v>44846</v>
      </c>
      <c r="R13400" t="s">
        <v>27253</v>
      </c>
      <c r="S13400" t="s">
        <v>27254</v>
      </c>
      <c r="T13400" t="s">
        <v>27265</v>
      </c>
    </row>
    <row r="13401" spans="1:20" x14ac:dyDescent="0.3">
      <c r="A13401" t="str">
        <f>"0611861014050"</f>
        <v>0611861014050</v>
      </c>
      <c r="B13401" t="str">
        <f>"CR5100"</f>
        <v>CR5100</v>
      </c>
      <c r="C13401" t="s">
        <v>53176</v>
      </c>
      <c r="D13401" t="s">
        <v>27263</v>
      </c>
      <c r="E13401" t="str">
        <f t="shared" si="209"/>
        <v>001390</v>
      </c>
      <c r="F13401" t="s">
        <v>27246</v>
      </c>
      <c r="G13401" t="s">
        <v>27247</v>
      </c>
      <c r="H13401" t="s">
        <v>27248</v>
      </c>
      <c r="I13401" t="s">
        <v>53177</v>
      </c>
      <c r="J13401" t="s">
        <v>26781</v>
      </c>
      <c r="L13401" t="s">
        <v>27250</v>
      </c>
      <c r="M13401" t="s">
        <v>27251</v>
      </c>
      <c r="N13401" t="s">
        <v>27252</v>
      </c>
      <c r="Q13401" s="1">
        <v>44846</v>
      </c>
      <c r="R13401" t="s">
        <v>27253</v>
      </c>
      <c r="S13401" t="s">
        <v>27254</v>
      </c>
      <c r="T13401" t="s">
        <v>27265</v>
      </c>
    </row>
    <row r="13402" spans="1:20" x14ac:dyDescent="0.3">
      <c r="A13402" t="str">
        <f>"0611861015050"</f>
        <v>0611861015050</v>
      </c>
      <c r="B13402" t="str">
        <f>"CR4714"</f>
        <v>CR4714</v>
      </c>
      <c r="C13402" t="s">
        <v>53178</v>
      </c>
      <c r="D13402" t="s">
        <v>27263</v>
      </c>
      <c r="E13402" t="str">
        <f t="shared" si="209"/>
        <v>001390</v>
      </c>
      <c r="F13402" t="s">
        <v>27246</v>
      </c>
      <c r="G13402" t="s">
        <v>27247</v>
      </c>
      <c r="H13402" t="s">
        <v>27248</v>
      </c>
      <c r="I13402" t="s">
        <v>53179</v>
      </c>
      <c r="J13402" t="s">
        <v>26783</v>
      </c>
      <c r="L13402" t="s">
        <v>27250</v>
      </c>
      <c r="M13402" t="s">
        <v>27251</v>
      </c>
      <c r="N13402" t="s">
        <v>27252</v>
      </c>
      <c r="Q13402" s="1">
        <v>44846</v>
      </c>
      <c r="R13402" t="s">
        <v>27253</v>
      </c>
      <c r="S13402" t="s">
        <v>27254</v>
      </c>
      <c r="T13402" t="s">
        <v>27265</v>
      </c>
    </row>
    <row r="13403" spans="1:20" x14ac:dyDescent="0.3">
      <c r="A13403" t="str">
        <f>"0611861016050"</f>
        <v>0611861016050</v>
      </c>
      <c r="B13403" t="str">
        <f>"CR4715"</f>
        <v>CR4715</v>
      </c>
      <c r="C13403" t="s">
        <v>53180</v>
      </c>
      <c r="D13403" t="s">
        <v>27263</v>
      </c>
      <c r="E13403" t="str">
        <f t="shared" si="209"/>
        <v>001390</v>
      </c>
      <c r="F13403" t="s">
        <v>27246</v>
      </c>
      <c r="G13403" t="s">
        <v>27247</v>
      </c>
      <c r="H13403" t="s">
        <v>27248</v>
      </c>
      <c r="I13403" t="s">
        <v>53181</v>
      </c>
      <c r="J13403" t="s">
        <v>26785</v>
      </c>
      <c r="L13403" t="s">
        <v>27250</v>
      </c>
      <c r="M13403" t="s">
        <v>27251</v>
      </c>
      <c r="N13403" t="s">
        <v>27252</v>
      </c>
      <c r="Q13403" s="1">
        <v>44846</v>
      </c>
      <c r="R13403" t="s">
        <v>27253</v>
      </c>
      <c r="S13403" t="s">
        <v>27254</v>
      </c>
      <c r="T13403" t="s">
        <v>27265</v>
      </c>
    </row>
    <row r="13404" spans="1:20" x14ac:dyDescent="0.3">
      <c r="A13404" t="str">
        <f>"0611861017050"</f>
        <v>0611861017050</v>
      </c>
      <c r="B13404" t="str">
        <f>"CR4716"</f>
        <v>CR4716</v>
      </c>
      <c r="C13404" t="s">
        <v>53182</v>
      </c>
      <c r="D13404" t="s">
        <v>27263</v>
      </c>
      <c r="E13404" t="str">
        <f t="shared" si="209"/>
        <v>001390</v>
      </c>
      <c r="F13404" t="s">
        <v>27246</v>
      </c>
      <c r="G13404" t="s">
        <v>27247</v>
      </c>
      <c r="H13404" t="s">
        <v>27248</v>
      </c>
      <c r="I13404" t="s">
        <v>53183</v>
      </c>
      <c r="J13404" t="s">
        <v>26787</v>
      </c>
      <c r="L13404" t="s">
        <v>27250</v>
      </c>
      <c r="M13404" t="s">
        <v>27251</v>
      </c>
      <c r="N13404" t="s">
        <v>27252</v>
      </c>
      <c r="Q13404" s="1">
        <v>44846</v>
      </c>
      <c r="R13404" t="s">
        <v>27253</v>
      </c>
      <c r="S13404" t="s">
        <v>27254</v>
      </c>
      <c r="T13404" t="s">
        <v>27265</v>
      </c>
    </row>
    <row r="13405" spans="1:20" x14ac:dyDescent="0.3">
      <c r="A13405" t="str">
        <f>"0611861018050"</f>
        <v>0611861018050</v>
      </c>
      <c r="B13405" t="str">
        <f>"CR5101"</f>
        <v>CR5101</v>
      </c>
      <c r="C13405" t="s">
        <v>53184</v>
      </c>
      <c r="D13405" t="s">
        <v>27263</v>
      </c>
      <c r="E13405" t="str">
        <f t="shared" si="209"/>
        <v>001390</v>
      </c>
      <c r="F13405" t="s">
        <v>27246</v>
      </c>
      <c r="G13405" t="s">
        <v>27247</v>
      </c>
      <c r="H13405" t="s">
        <v>27248</v>
      </c>
      <c r="I13405" t="s">
        <v>53185</v>
      </c>
      <c r="J13405" t="s">
        <v>26789</v>
      </c>
      <c r="L13405" t="s">
        <v>27250</v>
      </c>
      <c r="M13405" t="s">
        <v>27251</v>
      </c>
      <c r="N13405" t="s">
        <v>27252</v>
      </c>
      <c r="Q13405" s="1">
        <v>44846</v>
      </c>
      <c r="R13405" t="s">
        <v>27253</v>
      </c>
      <c r="S13405" t="s">
        <v>27254</v>
      </c>
      <c r="T13405" t="s">
        <v>27265</v>
      </c>
    </row>
    <row r="13406" spans="1:20" x14ac:dyDescent="0.3">
      <c r="A13406" t="str">
        <f>"0611861019050"</f>
        <v>0611861019050</v>
      </c>
      <c r="B13406" t="str">
        <f>"CR4644"</f>
        <v>CR4644</v>
      </c>
      <c r="C13406" t="s">
        <v>53186</v>
      </c>
      <c r="D13406" t="s">
        <v>27263</v>
      </c>
      <c r="E13406" t="str">
        <f t="shared" si="209"/>
        <v>001390</v>
      </c>
      <c r="F13406" t="s">
        <v>27246</v>
      </c>
      <c r="G13406" t="s">
        <v>27247</v>
      </c>
      <c r="H13406" t="s">
        <v>27248</v>
      </c>
      <c r="I13406" t="s">
        <v>53187</v>
      </c>
      <c r="J13406" t="s">
        <v>26791</v>
      </c>
      <c r="L13406" t="s">
        <v>27250</v>
      </c>
      <c r="M13406" t="s">
        <v>27251</v>
      </c>
      <c r="N13406" t="s">
        <v>27252</v>
      </c>
      <c r="Q13406" s="1">
        <v>44846</v>
      </c>
      <c r="R13406" t="s">
        <v>27253</v>
      </c>
      <c r="S13406" t="s">
        <v>27254</v>
      </c>
      <c r="T13406" t="s">
        <v>27265</v>
      </c>
    </row>
    <row r="13407" spans="1:20" x14ac:dyDescent="0.3">
      <c r="A13407" t="str">
        <f>"0611861020050"</f>
        <v>0611861020050</v>
      </c>
      <c r="B13407" t="str">
        <f>"CR4645"</f>
        <v>CR4645</v>
      </c>
      <c r="C13407" t="s">
        <v>53188</v>
      </c>
      <c r="D13407" t="s">
        <v>27263</v>
      </c>
      <c r="E13407" t="str">
        <f t="shared" si="209"/>
        <v>001390</v>
      </c>
      <c r="F13407" t="s">
        <v>27246</v>
      </c>
      <c r="G13407" t="s">
        <v>27247</v>
      </c>
      <c r="H13407" t="s">
        <v>27248</v>
      </c>
      <c r="I13407" t="s">
        <v>53189</v>
      </c>
      <c r="J13407" t="s">
        <v>26793</v>
      </c>
      <c r="L13407" t="s">
        <v>27250</v>
      </c>
      <c r="M13407" t="s">
        <v>27251</v>
      </c>
      <c r="N13407" t="s">
        <v>27252</v>
      </c>
      <c r="Q13407" s="1">
        <v>44846</v>
      </c>
      <c r="R13407" t="s">
        <v>27253</v>
      </c>
      <c r="S13407" t="s">
        <v>27254</v>
      </c>
      <c r="T13407" t="s">
        <v>27265</v>
      </c>
    </row>
    <row r="13408" spans="1:20" x14ac:dyDescent="0.3">
      <c r="A13408" t="str">
        <f>"0611861021050"</f>
        <v>0611861021050</v>
      </c>
      <c r="B13408" t="str">
        <f>"CR4646"</f>
        <v>CR4646</v>
      </c>
      <c r="C13408" t="s">
        <v>53190</v>
      </c>
      <c r="D13408" t="s">
        <v>27263</v>
      </c>
      <c r="E13408" t="str">
        <f t="shared" si="209"/>
        <v>001390</v>
      </c>
      <c r="F13408" t="s">
        <v>27246</v>
      </c>
      <c r="G13408" t="s">
        <v>27247</v>
      </c>
      <c r="H13408" t="s">
        <v>27248</v>
      </c>
      <c r="I13408" t="s">
        <v>53191</v>
      </c>
      <c r="J13408" t="s">
        <v>26795</v>
      </c>
      <c r="L13408" t="s">
        <v>27250</v>
      </c>
      <c r="M13408" t="s">
        <v>27251</v>
      </c>
      <c r="N13408" t="s">
        <v>27252</v>
      </c>
      <c r="Q13408" s="1">
        <v>44846</v>
      </c>
      <c r="R13408" t="s">
        <v>27253</v>
      </c>
      <c r="S13408" t="s">
        <v>27254</v>
      </c>
      <c r="T13408" t="s">
        <v>27265</v>
      </c>
    </row>
    <row r="13409" spans="1:20" x14ac:dyDescent="0.3">
      <c r="A13409" t="str">
        <f>"0611861022050"</f>
        <v>0611861022050</v>
      </c>
      <c r="B13409" t="str">
        <f>"CR5102"</f>
        <v>CR5102</v>
      </c>
      <c r="C13409" t="s">
        <v>53192</v>
      </c>
      <c r="D13409" t="s">
        <v>27263</v>
      </c>
      <c r="E13409" t="str">
        <f t="shared" si="209"/>
        <v>001390</v>
      </c>
      <c r="F13409" t="s">
        <v>27246</v>
      </c>
      <c r="G13409" t="s">
        <v>27247</v>
      </c>
      <c r="H13409" t="s">
        <v>27248</v>
      </c>
      <c r="I13409" t="s">
        <v>53193</v>
      </c>
      <c r="J13409" t="s">
        <v>26797</v>
      </c>
      <c r="L13409" t="s">
        <v>27250</v>
      </c>
      <c r="M13409" t="s">
        <v>27251</v>
      </c>
      <c r="N13409" t="s">
        <v>27252</v>
      </c>
      <c r="Q13409" s="1">
        <v>44846</v>
      </c>
      <c r="R13409" t="s">
        <v>27253</v>
      </c>
      <c r="S13409" t="s">
        <v>27254</v>
      </c>
      <c r="T13409" t="s">
        <v>27265</v>
      </c>
    </row>
    <row r="13410" spans="1:20" x14ac:dyDescent="0.3">
      <c r="A13410" t="str">
        <f>"0611861023050"</f>
        <v>0611861023050</v>
      </c>
      <c r="B13410" t="str">
        <f>"CR4718"</f>
        <v>CR4718</v>
      </c>
      <c r="C13410" t="s">
        <v>53194</v>
      </c>
      <c r="D13410" t="s">
        <v>27263</v>
      </c>
      <c r="E13410" t="str">
        <f t="shared" si="209"/>
        <v>001390</v>
      </c>
      <c r="F13410" t="s">
        <v>27246</v>
      </c>
      <c r="G13410" t="s">
        <v>27247</v>
      </c>
      <c r="H13410" t="s">
        <v>27248</v>
      </c>
      <c r="I13410" t="s">
        <v>53195</v>
      </c>
      <c r="J13410" t="s">
        <v>26799</v>
      </c>
      <c r="L13410" t="s">
        <v>27250</v>
      </c>
      <c r="M13410" t="s">
        <v>27251</v>
      </c>
      <c r="N13410" t="s">
        <v>27252</v>
      </c>
      <c r="Q13410" s="1">
        <v>44846</v>
      </c>
      <c r="R13410" t="s">
        <v>27253</v>
      </c>
      <c r="S13410" t="s">
        <v>27254</v>
      </c>
      <c r="T13410" t="s">
        <v>27265</v>
      </c>
    </row>
    <row r="13411" spans="1:20" x14ac:dyDescent="0.3">
      <c r="A13411" t="str">
        <f>"0611861024050"</f>
        <v>0611861024050</v>
      </c>
      <c r="B13411" t="str">
        <f>"CR4719"</f>
        <v>CR4719</v>
      </c>
      <c r="C13411" t="s">
        <v>53196</v>
      </c>
      <c r="D13411" t="s">
        <v>27263</v>
      </c>
      <c r="E13411" t="str">
        <f t="shared" si="209"/>
        <v>001390</v>
      </c>
      <c r="F13411" t="s">
        <v>27246</v>
      </c>
      <c r="G13411" t="s">
        <v>27247</v>
      </c>
      <c r="H13411" t="s">
        <v>27248</v>
      </c>
      <c r="I13411" t="s">
        <v>53197</v>
      </c>
      <c r="J13411" t="s">
        <v>26801</v>
      </c>
      <c r="L13411" t="s">
        <v>27250</v>
      </c>
      <c r="M13411" t="s">
        <v>27251</v>
      </c>
      <c r="N13411" t="s">
        <v>27252</v>
      </c>
      <c r="Q13411" s="1">
        <v>44846</v>
      </c>
      <c r="R13411" t="s">
        <v>27253</v>
      </c>
      <c r="S13411" t="s">
        <v>27254</v>
      </c>
      <c r="T13411" t="s">
        <v>27265</v>
      </c>
    </row>
    <row r="13412" spans="1:20" x14ac:dyDescent="0.3">
      <c r="A13412" t="str">
        <f>"0611861025050"</f>
        <v>0611861025050</v>
      </c>
      <c r="B13412" t="str">
        <f>"CR4647"</f>
        <v>CR4647</v>
      </c>
      <c r="C13412" t="s">
        <v>53198</v>
      </c>
      <c r="D13412" t="s">
        <v>27263</v>
      </c>
      <c r="E13412" t="str">
        <f t="shared" si="209"/>
        <v>001390</v>
      </c>
      <c r="F13412" t="s">
        <v>27246</v>
      </c>
      <c r="G13412" t="s">
        <v>27247</v>
      </c>
      <c r="H13412" t="s">
        <v>27248</v>
      </c>
      <c r="I13412" t="s">
        <v>53199</v>
      </c>
      <c r="J13412" t="s">
        <v>26803</v>
      </c>
      <c r="L13412" t="s">
        <v>27250</v>
      </c>
      <c r="M13412" t="s">
        <v>27251</v>
      </c>
      <c r="N13412" t="s">
        <v>27252</v>
      </c>
      <c r="Q13412" s="1">
        <v>44846</v>
      </c>
      <c r="R13412" t="s">
        <v>27253</v>
      </c>
      <c r="S13412" t="s">
        <v>27254</v>
      </c>
      <c r="T13412" t="s">
        <v>27265</v>
      </c>
    </row>
    <row r="13413" spans="1:20" x14ac:dyDescent="0.3">
      <c r="A13413" t="str">
        <f>"0611861026050"</f>
        <v>0611861026050</v>
      </c>
      <c r="B13413" t="str">
        <f>"CR5043"</f>
        <v>CR5043</v>
      </c>
      <c r="C13413" t="s">
        <v>53200</v>
      </c>
      <c r="D13413" t="s">
        <v>27263</v>
      </c>
      <c r="E13413" t="str">
        <f t="shared" si="209"/>
        <v>001390</v>
      </c>
      <c r="F13413" t="s">
        <v>27246</v>
      </c>
      <c r="G13413" t="s">
        <v>27247</v>
      </c>
      <c r="H13413" t="s">
        <v>27248</v>
      </c>
      <c r="I13413" t="s">
        <v>53201</v>
      </c>
      <c r="J13413" t="s">
        <v>26805</v>
      </c>
      <c r="L13413" t="s">
        <v>27250</v>
      </c>
      <c r="M13413" t="s">
        <v>27251</v>
      </c>
      <c r="N13413" t="s">
        <v>27252</v>
      </c>
      <c r="Q13413" s="1">
        <v>44846</v>
      </c>
      <c r="R13413" t="s">
        <v>27253</v>
      </c>
      <c r="S13413" t="s">
        <v>27254</v>
      </c>
      <c r="T13413" t="s">
        <v>27265</v>
      </c>
    </row>
    <row r="13414" spans="1:20" x14ac:dyDescent="0.3">
      <c r="A13414" t="str">
        <f>"0611861027050"</f>
        <v>0611861027050</v>
      </c>
      <c r="B13414" t="str">
        <f>"CR4720"</f>
        <v>CR4720</v>
      </c>
      <c r="C13414" t="s">
        <v>53202</v>
      </c>
      <c r="D13414" t="s">
        <v>27263</v>
      </c>
      <c r="E13414" t="str">
        <f t="shared" si="209"/>
        <v>001390</v>
      </c>
      <c r="F13414" t="s">
        <v>27246</v>
      </c>
      <c r="G13414" t="s">
        <v>27247</v>
      </c>
      <c r="H13414" t="s">
        <v>27248</v>
      </c>
      <c r="I13414" t="s">
        <v>53203</v>
      </c>
      <c r="J13414" t="s">
        <v>26807</v>
      </c>
      <c r="L13414" t="s">
        <v>27250</v>
      </c>
      <c r="M13414" t="s">
        <v>27251</v>
      </c>
      <c r="N13414" t="s">
        <v>27252</v>
      </c>
      <c r="Q13414" s="1">
        <v>44846</v>
      </c>
      <c r="R13414" t="s">
        <v>27253</v>
      </c>
      <c r="S13414" t="s">
        <v>27254</v>
      </c>
      <c r="T13414" t="s">
        <v>27265</v>
      </c>
    </row>
    <row r="13415" spans="1:20" x14ac:dyDescent="0.3">
      <c r="A13415" t="str">
        <f>"0611861028050"</f>
        <v>0611861028050</v>
      </c>
      <c r="B13415" t="str">
        <f>"CR4721"</f>
        <v>CR4721</v>
      </c>
      <c r="C13415" t="s">
        <v>53204</v>
      </c>
      <c r="D13415" t="s">
        <v>27263</v>
      </c>
      <c r="E13415" t="str">
        <f t="shared" si="209"/>
        <v>001390</v>
      </c>
      <c r="F13415" t="s">
        <v>27246</v>
      </c>
      <c r="G13415" t="s">
        <v>27247</v>
      </c>
      <c r="H13415" t="s">
        <v>27248</v>
      </c>
      <c r="I13415" t="s">
        <v>53205</v>
      </c>
      <c r="J13415" t="s">
        <v>26809</v>
      </c>
      <c r="L13415" t="s">
        <v>27250</v>
      </c>
      <c r="M13415" t="s">
        <v>27251</v>
      </c>
      <c r="N13415" t="s">
        <v>27252</v>
      </c>
      <c r="Q13415" s="1">
        <v>44846</v>
      </c>
      <c r="R13415" t="s">
        <v>27253</v>
      </c>
      <c r="S13415" t="s">
        <v>27254</v>
      </c>
      <c r="T13415" t="s">
        <v>27265</v>
      </c>
    </row>
    <row r="13416" spans="1:20" x14ac:dyDescent="0.3">
      <c r="A13416" t="str">
        <f>"0611861029050"</f>
        <v>0611861029050</v>
      </c>
      <c r="B13416" t="str">
        <f>"CR4902"</f>
        <v>CR4902</v>
      </c>
      <c r="C13416" t="s">
        <v>53206</v>
      </c>
      <c r="D13416" t="s">
        <v>27263</v>
      </c>
      <c r="E13416" t="str">
        <f t="shared" si="209"/>
        <v>001390</v>
      </c>
      <c r="F13416" t="s">
        <v>27246</v>
      </c>
      <c r="G13416" t="s">
        <v>27247</v>
      </c>
      <c r="H13416" t="s">
        <v>27248</v>
      </c>
      <c r="I13416" t="s">
        <v>53207</v>
      </c>
      <c r="J13416" t="s">
        <v>26811</v>
      </c>
      <c r="L13416" t="s">
        <v>27250</v>
      </c>
      <c r="M13416" t="s">
        <v>27251</v>
      </c>
      <c r="N13416" t="s">
        <v>27252</v>
      </c>
      <c r="Q13416" s="1">
        <v>44846</v>
      </c>
      <c r="R13416" t="s">
        <v>27253</v>
      </c>
      <c r="S13416" t="s">
        <v>27254</v>
      </c>
      <c r="T13416" t="s">
        <v>27265</v>
      </c>
    </row>
    <row r="13417" spans="1:20" x14ac:dyDescent="0.3">
      <c r="A13417" t="str">
        <f>"0611861030050"</f>
        <v>0611861030050</v>
      </c>
      <c r="B13417" t="str">
        <f>"CR5044"</f>
        <v>CR5044</v>
      </c>
      <c r="C13417" t="s">
        <v>53208</v>
      </c>
      <c r="D13417" t="s">
        <v>27263</v>
      </c>
      <c r="E13417" t="str">
        <f t="shared" si="209"/>
        <v>001390</v>
      </c>
      <c r="F13417" t="s">
        <v>27246</v>
      </c>
      <c r="G13417" t="s">
        <v>27247</v>
      </c>
      <c r="H13417" t="s">
        <v>27248</v>
      </c>
      <c r="I13417" t="s">
        <v>53209</v>
      </c>
      <c r="J13417" t="s">
        <v>26813</v>
      </c>
      <c r="L13417" t="s">
        <v>27250</v>
      </c>
      <c r="M13417" t="s">
        <v>27251</v>
      </c>
      <c r="N13417" t="s">
        <v>27252</v>
      </c>
      <c r="Q13417" s="1">
        <v>44846</v>
      </c>
      <c r="R13417" t="s">
        <v>27253</v>
      </c>
      <c r="S13417" t="s">
        <v>27254</v>
      </c>
      <c r="T13417" t="s">
        <v>27265</v>
      </c>
    </row>
    <row r="13418" spans="1:20" x14ac:dyDescent="0.3">
      <c r="A13418" t="str">
        <f>"0611861031050"</f>
        <v>0611861031050</v>
      </c>
      <c r="B13418" t="str">
        <f>"CR4723"</f>
        <v>CR4723</v>
      </c>
      <c r="C13418" t="s">
        <v>53210</v>
      </c>
      <c r="D13418" t="s">
        <v>27263</v>
      </c>
      <c r="E13418" t="str">
        <f t="shared" si="209"/>
        <v>001390</v>
      </c>
      <c r="F13418" t="s">
        <v>27246</v>
      </c>
      <c r="G13418" t="s">
        <v>27247</v>
      </c>
      <c r="H13418" t="s">
        <v>27248</v>
      </c>
      <c r="I13418" t="s">
        <v>53211</v>
      </c>
      <c r="J13418" t="s">
        <v>26815</v>
      </c>
      <c r="L13418" t="s">
        <v>27250</v>
      </c>
      <c r="M13418" t="s">
        <v>27251</v>
      </c>
      <c r="N13418" t="s">
        <v>27252</v>
      </c>
      <c r="Q13418" s="1">
        <v>44846</v>
      </c>
      <c r="R13418" t="s">
        <v>27253</v>
      </c>
      <c r="S13418" t="s">
        <v>27254</v>
      </c>
      <c r="T13418" t="s">
        <v>27265</v>
      </c>
    </row>
    <row r="13419" spans="1:20" x14ac:dyDescent="0.3">
      <c r="A13419" t="str">
        <f>"0611861032050"</f>
        <v>0611861032050</v>
      </c>
      <c r="B13419" t="str">
        <f>"CR4724"</f>
        <v>CR4724</v>
      </c>
      <c r="C13419" t="s">
        <v>53212</v>
      </c>
      <c r="D13419" t="s">
        <v>27263</v>
      </c>
      <c r="E13419" t="str">
        <f t="shared" si="209"/>
        <v>001390</v>
      </c>
      <c r="F13419" t="s">
        <v>27246</v>
      </c>
      <c r="G13419" t="s">
        <v>27247</v>
      </c>
      <c r="H13419" t="s">
        <v>27248</v>
      </c>
      <c r="I13419" t="s">
        <v>53213</v>
      </c>
      <c r="J13419" t="s">
        <v>26817</v>
      </c>
      <c r="L13419" t="s">
        <v>27250</v>
      </c>
      <c r="M13419" t="s">
        <v>27251</v>
      </c>
      <c r="N13419" t="s">
        <v>27252</v>
      </c>
      <c r="Q13419" s="1">
        <v>44846</v>
      </c>
      <c r="R13419" t="s">
        <v>27253</v>
      </c>
      <c r="S13419" t="s">
        <v>27254</v>
      </c>
      <c r="T13419" t="s">
        <v>27265</v>
      </c>
    </row>
    <row r="13420" spans="1:20" x14ac:dyDescent="0.3">
      <c r="A13420" t="str">
        <f>"0611861033050"</f>
        <v>0611861033050</v>
      </c>
      <c r="B13420" t="str">
        <f>"CR4725"</f>
        <v>CR4725</v>
      </c>
      <c r="C13420" t="s">
        <v>53214</v>
      </c>
      <c r="D13420" t="s">
        <v>27263</v>
      </c>
      <c r="E13420" t="str">
        <f t="shared" si="209"/>
        <v>001390</v>
      </c>
      <c r="F13420" t="s">
        <v>27246</v>
      </c>
      <c r="G13420" t="s">
        <v>27247</v>
      </c>
      <c r="H13420" t="s">
        <v>27248</v>
      </c>
      <c r="I13420" t="s">
        <v>53215</v>
      </c>
      <c r="J13420" t="s">
        <v>26819</v>
      </c>
      <c r="L13420" t="s">
        <v>27250</v>
      </c>
      <c r="M13420" t="s">
        <v>27251</v>
      </c>
      <c r="N13420" t="s">
        <v>27252</v>
      </c>
      <c r="Q13420" s="1">
        <v>44846</v>
      </c>
      <c r="R13420" t="s">
        <v>27253</v>
      </c>
      <c r="S13420" t="s">
        <v>27254</v>
      </c>
      <c r="T13420" t="s">
        <v>27265</v>
      </c>
    </row>
    <row r="13421" spans="1:20" x14ac:dyDescent="0.3">
      <c r="A13421" t="str">
        <f>"0611861034050"</f>
        <v>0611861034050</v>
      </c>
      <c r="B13421" t="str">
        <f>"CR4726"</f>
        <v>CR4726</v>
      </c>
      <c r="C13421" t="s">
        <v>53216</v>
      </c>
      <c r="D13421" t="s">
        <v>27263</v>
      </c>
      <c r="E13421" t="str">
        <f t="shared" si="209"/>
        <v>001390</v>
      </c>
      <c r="F13421" t="s">
        <v>27246</v>
      </c>
      <c r="G13421" t="s">
        <v>27247</v>
      </c>
      <c r="H13421" t="s">
        <v>27248</v>
      </c>
      <c r="I13421" t="s">
        <v>53217</v>
      </c>
      <c r="J13421" t="s">
        <v>26821</v>
      </c>
      <c r="L13421" t="s">
        <v>27250</v>
      </c>
      <c r="M13421" t="s">
        <v>27251</v>
      </c>
      <c r="N13421" t="s">
        <v>27252</v>
      </c>
      <c r="Q13421" s="1">
        <v>44846</v>
      </c>
      <c r="R13421" t="s">
        <v>27253</v>
      </c>
      <c r="S13421" t="s">
        <v>27254</v>
      </c>
      <c r="T13421" t="s">
        <v>27265</v>
      </c>
    </row>
    <row r="13422" spans="1:20" x14ac:dyDescent="0.3">
      <c r="A13422" t="str">
        <f>"0611861035050"</f>
        <v>0611861035050</v>
      </c>
      <c r="B13422" t="str">
        <f>"CR4903"</f>
        <v>CR4903</v>
      </c>
      <c r="C13422" t="s">
        <v>53218</v>
      </c>
      <c r="D13422" t="s">
        <v>27263</v>
      </c>
      <c r="E13422" t="str">
        <f t="shared" si="209"/>
        <v>001390</v>
      </c>
      <c r="F13422" t="s">
        <v>27246</v>
      </c>
      <c r="G13422" t="s">
        <v>27247</v>
      </c>
      <c r="H13422" t="s">
        <v>27248</v>
      </c>
      <c r="I13422" t="s">
        <v>53219</v>
      </c>
      <c r="J13422" t="s">
        <v>26823</v>
      </c>
      <c r="L13422" t="s">
        <v>27250</v>
      </c>
      <c r="M13422" t="s">
        <v>27251</v>
      </c>
      <c r="N13422" t="s">
        <v>27252</v>
      </c>
      <c r="Q13422" s="1">
        <v>44846</v>
      </c>
      <c r="R13422" t="s">
        <v>27253</v>
      </c>
      <c r="S13422" t="s">
        <v>27254</v>
      </c>
      <c r="T13422" t="s">
        <v>27265</v>
      </c>
    </row>
    <row r="13423" spans="1:20" x14ac:dyDescent="0.3">
      <c r="A13423" t="str">
        <f>"0611861036050"</f>
        <v>0611861036050</v>
      </c>
      <c r="B13423" t="str">
        <f>"CR4648"</f>
        <v>CR4648</v>
      </c>
      <c r="C13423" t="s">
        <v>53220</v>
      </c>
      <c r="D13423" t="s">
        <v>27263</v>
      </c>
      <c r="E13423" t="str">
        <f t="shared" si="209"/>
        <v>001390</v>
      </c>
      <c r="F13423" t="s">
        <v>27246</v>
      </c>
      <c r="G13423" t="s">
        <v>27247</v>
      </c>
      <c r="H13423" t="s">
        <v>27248</v>
      </c>
      <c r="I13423" t="s">
        <v>53221</v>
      </c>
      <c r="J13423" t="s">
        <v>26825</v>
      </c>
      <c r="L13423" t="s">
        <v>27250</v>
      </c>
      <c r="M13423" t="s">
        <v>27251</v>
      </c>
      <c r="N13423" t="s">
        <v>27252</v>
      </c>
      <c r="Q13423" s="1">
        <v>44846</v>
      </c>
      <c r="R13423" t="s">
        <v>27253</v>
      </c>
      <c r="S13423" t="s">
        <v>27254</v>
      </c>
      <c r="T13423" t="s">
        <v>27265</v>
      </c>
    </row>
    <row r="13424" spans="1:20" x14ac:dyDescent="0.3">
      <c r="A13424" t="str">
        <f>"0611861037050"</f>
        <v>0611861037050</v>
      </c>
      <c r="B13424" t="str">
        <f>"CR4649"</f>
        <v>CR4649</v>
      </c>
      <c r="C13424" t="s">
        <v>53222</v>
      </c>
      <c r="D13424" t="s">
        <v>27263</v>
      </c>
      <c r="E13424" t="str">
        <f t="shared" si="209"/>
        <v>001390</v>
      </c>
      <c r="F13424" t="s">
        <v>27246</v>
      </c>
      <c r="G13424" t="s">
        <v>27247</v>
      </c>
      <c r="H13424" t="s">
        <v>27248</v>
      </c>
      <c r="I13424" t="s">
        <v>53223</v>
      </c>
      <c r="J13424" t="s">
        <v>26827</v>
      </c>
      <c r="L13424" t="s">
        <v>27250</v>
      </c>
      <c r="M13424" t="s">
        <v>27251</v>
      </c>
      <c r="N13424" t="s">
        <v>27252</v>
      </c>
      <c r="Q13424" s="1">
        <v>44846</v>
      </c>
      <c r="R13424" t="s">
        <v>27253</v>
      </c>
      <c r="S13424" t="s">
        <v>27254</v>
      </c>
      <c r="T13424" t="s">
        <v>27265</v>
      </c>
    </row>
    <row r="13425" spans="1:20" x14ac:dyDescent="0.3">
      <c r="A13425" t="str">
        <f>"0611861038050"</f>
        <v>0611861038050</v>
      </c>
      <c r="B13425" t="str">
        <f>"CR4727"</f>
        <v>CR4727</v>
      </c>
      <c r="C13425" t="s">
        <v>53224</v>
      </c>
      <c r="D13425" t="s">
        <v>27263</v>
      </c>
      <c r="E13425" t="str">
        <f t="shared" si="209"/>
        <v>001390</v>
      </c>
      <c r="F13425" t="s">
        <v>27246</v>
      </c>
      <c r="G13425" t="s">
        <v>27247</v>
      </c>
      <c r="H13425" t="s">
        <v>27248</v>
      </c>
      <c r="I13425" t="s">
        <v>53225</v>
      </c>
      <c r="J13425" t="s">
        <v>26829</v>
      </c>
      <c r="L13425" t="s">
        <v>27250</v>
      </c>
      <c r="M13425" t="s">
        <v>27251</v>
      </c>
      <c r="N13425" t="s">
        <v>27252</v>
      </c>
      <c r="Q13425" s="1">
        <v>44846</v>
      </c>
      <c r="R13425" t="s">
        <v>27253</v>
      </c>
      <c r="S13425" t="s">
        <v>27254</v>
      </c>
      <c r="T13425" t="s">
        <v>27265</v>
      </c>
    </row>
    <row r="13426" spans="1:20" x14ac:dyDescent="0.3">
      <c r="A13426" t="str">
        <f>"0611861039050"</f>
        <v>0611861039050</v>
      </c>
      <c r="B13426" t="str">
        <f>"CR4728"</f>
        <v>CR4728</v>
      </c>
      <c r="C13426" t="s">
        <v>53226</v>
      </c>
      <c r="D13426" t="s">
        <v>27263</v>
      </c>
      <c r="E13426" t="str">
        <f t="shared" si="209"/>
        <v>001390</v>
      </c>
      <c r="F13426" t="s">
        <v>27246</v>
      </c>
      <c r="G13426" t="s">
        <v>27247</v>
      </c>
      <c r="H13426" t="s">
        <v>27248</v>
      </c>
      <c r="I13426" t="s">
        <v>53227</v>
      </c>
      <c r="J13426" t="s">
        <v>26831</v>
      </c>
      <c r="L13426" t="s">
        <v>27250</v>
      </c>
      <c r="M13426" t="s">
        <v>27251</v>
      </c>
      <c r="N13426" t="s">
        <v>27252</v>
      </c>
      <c r="Q13426" s="1">
        <v>44846</v>
      </c>
      <c r="R13426" t="s">
        <v>27253</v>
      </c>
      <c r="S13426" t="s">
        <v>27254</v>
      </c>
      <c r="T13426" t="s">
        <v>27265</v>
      </c>
    </row>
    <row r="13427" spans="1:20" x14ac:dyDescent="0.3">
      <c r="A13427" t="str">
        <f>"0611861040050"</f>
        <v>0611861040050</v>
      </c>
      <c r="B13427" t="str">
        <f>"CR4729"</f>
        <v>CR4729</v>
      </c>
      <c r="C13427" t="s">
        <v>53228</v>
      </c>
      <c r="D13427" t="s">
        <v>27263</v>
      </c>
      <c r="E13427" t="str">
        <f t="shared" si="209"/>
        <v>001390</v>
      </c>
      <c r="F13427" t="s">
        <v>27246</v>
      </c>
      <c r="G13427" t="s">
        <v>27247</v>
      </c>
      <c r="H13427" t="s">
        <v>27248</v>
      </c>
      <c r="I13427" t="s">
        <v>53229</v>
      </c>
      <c r="J13427" t="s">
        <v>26833</v>
      </c>
      <c r="L13427" t="s">
        <v>27250</v>
      </c>
      <c r="M13427" t="s">
        <v>27251</v>
      </c>
      <c r="N13427" t="s">
        <v>27252</v>
      </c>
      <c r="Q13427" s="1">
        <v>44846</v>
      </c>
      <c r="R13427" t="s">
        <v>27253</v>
      </c>
      <c r="S13427" t="s">
        <v>27254</v>
      </c>
      <c r="T13427" t="s">
        <v>27265</v>
      </c>
    </row>
    <row r="13428" spans="1:20" x14ac:dyDescent="0.3">
      <c r="A13428" t="str">
        <f>"0611861041050"</f>
        <v>0611861041050</v>
      </c>
      <c r="B13428" t="str">
        <f>"CR5103"</f>
        <v>CR5103</v>
      </c>
      <c r="C13428" t="s">
        <v>53230</v>
      </c>
      <c r="D13428" t="s">
        <v>27263</v>
      </c>
      <c r="E13428" t="str">
        <f t="shared" si="209"/>
        <v>001390</v>
      </c>
      <c r="F13428" t="s">
        <v>27246</v>
      </c>
      <c r="G13428" t="s">
        <v>27247</v>
      </c>
      <c r="H13428" t="s">
        <v>27248</v>
      </c>
      <c r="I13428" t="s">
        <v>53231</v>
      </c>
      <c r="J13428" t="s">
        <v>26835</v>
      </c>
      <c r="L13428" t="s">
        <v>27250</v>
      </c>
      <c r="M13428" t="s">
        <v>27251</v>
      </c>
      <c r="N13428" t="s">
        <v>27252</v>
      </c>
      <c r="Q13428" s="1">
        <v>44846</v>
      </c>
      <c r="R13428" t="s">
        <v>27253</v>
      </c>
      <c r="S13428" t="s">
        <v>27254</v>
      </c>
      <c r="T13428" t="s">
        <v>27265</v>
      </c>
    </row>
    <row r="13429" spans="1:20" x14ac:dyDescent="0.3">
      <c r="A13429" t="str">
        <f>"0611884525050"</f>
        <v>0611884525050</v>
      </c>
      <c r="B13429" t="str">
        <f>"CR5284"</f>
        <v>CR5284</v>
      </c>
      <c r="C13429" t="s">
        <v>53232</v>
      </c>
      <c r="D13429" t="s">
        <v>27263</v>
      </c>
      <c r="E13429" t="str">
        <f t="shared" si="209"/>
        <v>001390</v>
      </c>
      <c r="F13429" t="s">
        <v>27246</v>
      </c>
      <c r="G13429" t="s">
        <v>27247</v>
      </c>
      <c r="H13429" t="s">
        <v>27248</v>
      </c>
      <c r="I13429" t="s">
        <v>53233</v>
      </c>
      <c r="J13429" t="s">
        <v>26913</v>
      </c>
      <c r="L13429" t="s">
        <v>27430</v>
      </c>
      <c r="M13429" t="s">
        <v>27251</v>
      </c>
      <c r="N13429" t="s">
        <v>27252</v>
      </c>
      <c r="Q13429" s="1">
        <v>45250</v>
      </c>
      <c r="R13429" t="s">
        <v>27253</v>
      </c>
      <c r="S13429" t="s">
        <v>27254</v>
      </c>
      <c r="T13429" t="s">
        <v>27265</v>
      </c>
    </row>
    <row r="13430" spans="1:20" x14ac:dyDescent="0.3">
      <c r="A13430" t="str">
        <f>"0611861042050"</f>
        <v>0611861042050</v>
      </c>
      <c r="B13430" t="str">
        <f>"CR4879"</f>
        <v>CR4879</v>
      </c>
      <c r="C13430" t="s">
        <v>53234</v>
      </c>
      <c r="D13430" t="s">
        <v>27263</v>
      </c>
      <c r="E13430" t="str">
        <f t="shared" si="209"/>
        <v>001390</v>
      </c>
      <c r="F13430" t="s">
        <v>27246</v>
      </c>
      <c r="G13430" t="s">
        <v>27247</v>
      </c>
      <c r="H13430" t="s">
        <v>27248</v>
      </c>
      <c r="I13430" t="s">
        <v>53235</v>
      </c>
      <c r="J13430" t="s">
        <v>26837</v>
      </c>
      <c r="L13430" t="s">
        <v>27250</v>
      </c>
      <c r="M13430" t="s">
        <v>27251</v>
      </c>
      <c r="N13430" t="s">
        <v>27252</v>
      </c>
      <c r="Q13430" s="1">
        <v>44846</v>
      </c>
      <c r="R13430" t="s">
        <v>27253</v>
      </c>
      <c r="S13430" t="s">
        <v>27254</v>
      </c>
      <c r="T13430" t="s">
        <v>27265</v>
      </c>
    </row>
    <row r="13431" spans="1:20" x14ac:dyDescent="0.3">
      <c r="A13431" t="str">
        <f>"0611884526050"</f>
        <v>0611884526050</v>
      </c>
      <c r="B13431" t="str">
        <f>"CR5106"</f>
        <v>CR5106</v>
      </c>
      <c r="C13431" t="s">
        <v>53236</v>
      </c>
      <c r="D13431" t="s">
        <v>27263</v>
      </c>
      <c r="E13431" t="str">
        <f t="shared" si="209"/>
        <v>001390</v>
      </c>
      <c r="F13431" t="s">
        <v>27246</v>
      </c>
      <c r="G13431" t="s">
        <v>27247</v>
      </c>
      <c r="H13431" t="s">
        <v>27248</v>
      </c>
      <c r="I13431" t="s">
        <v>53237</v>
      </c>
      <c r="J13431" t="s">
        <v>26915</v>
      </c>
      <c r="L13431" t="s">
        <v>27430</v>
      </c>
      <c r="M13431" t="s">
        <v>27251</v>
      </c>
      <c r="N13431" t="s">
        <v>27252</v>
      </c>
      <c r="Q13431" s="1">
        <v>45250</v>
      </c>
      <c r="R13431" t="s">
        <v>27253</v>
      </c>
      <c r="S13431" t="s">
        <v>27254</v>
      </c>
      <c r="T13431" t="s">
        <v>27265</v>
      </c>
    </row>
    <row r="13432" spans="1:20" x14ac:dyDescent="0.3">
      <c r="A13432" t="str">
        <f>"0611861043050"</f>
        <v>0611861043050</v>
      </c>
      <c r="B13432" t="str">
        <f>"CR4731"</f>
        <v>CR4731</v>
      </c>
      <c r="C13432" t="s">
        <v>53238</v>
      </c>
      <c r="D13432" t="s">
        <v>27263</v>
      </c>
      <c r="E13432" t="str">
        <f t="shared" si="209"/>
        <v>001390</v>
      </c>
      <c r="F13432" t="s">
        <v>27246</v>
      </c>
      <c r="G13432" t="s">
        <v>27247</v>
      </c>
      <c r="H13432" t="s">
        <v>27248</v>
      </c>
      <c r="I13432" t="s">
        <v>53239</v>
      </c>
      <c r="J13432" t="s">
        <v>26839</v>
      </c>
      <c r="L13432" t="s">
        <v>27250</v>
      </c>
      <c r="M13432" t="s">
        <v>27251</v>
      </c>
      <c r="N13432" t="s">
        <v>27252</v>
      </c>
      <c r="Q13432" s="1">
        <v>44846</v>
      </c>
      <c r="R13432" t="s">
        <v>27253</v>
      </c>
      <c r="S13432" t="s">
        <v>27254</v>
      </c>
      <c r="T13432" t="s">
        <v>27265</v>
      </c>
    </row>
    <row r="13433" spans="1:20" x14ac:dyDescent="0.3">
      <c r="A13433" t="str">
        <f>"0611861044050"</f>
        <v>0611861044050</v>
      </c>
      <c r="B13433" t="str">
        <f>"CR5107"</f>
        <v>CR5107</v>
      </c>
      <c r="C13433" t="s">
        <v>53240</v>
      </c>
      <c r="D13433" t="s">
        <v>27263</v>
      </c>
      <c r="E13433" t="str">
        <f t="shared" si="209"/>
        <v>001390</v>
      </c>
      <c r="F13433" t="s">
        <v>27246</v>
      </c>
      <c r="G13433" t="s">
        <v>27247</v>
      </c>
      <c r="H13433" t="s">
        <v>27248</v>
      </c>
      <c r="I13433" t="s">
        <v>53241</v>
      </c>
      <c r="J13433" t="s">
        <v>26841</v>
      </c>
      <c r="L13433" t="s">
        <v>27250</v>
      </c>
      <c r="M13433" t="s">
        <v>27251</v>
      </c>
      <c r="N13433" t="s">
        <v>27252</v>
      </c>
      <c r="Q13433" s="1">
        <v>44846</v>
      </c>
      <c r="R13433" t="s">
        <v>27253</v>
      </c>
      <c r="S13433" t="s">
        <v>27254</v>
      </c>
      <c r="T13433" t="s">
        <v>27265</v>
      </c>
    </row>
    <row r="13434" spans="1:20" x14ac:dyDescent="0.3">
      <c r="A13434" t="str">
        <f>"0611861045050"</f>
        <v>0611861045050</v>
      </c>
      <c r="B13434" t="str">
        <f>"CR5060"</f>
        <v>CR5060</v>
      </c>
      <c r="C13434" t="s">
        <v>53242</v>
      </c>
      <c r="D13434" t="s">
        <v>27263</v>
      </c>
      <c r="E13434" t="str">
        <f t="shared" si="209"/>
        <v>001390</v>
      </c>
      <c r="F13434" t="s">
        <v>27246</v>
      </c>
      <c r="G13434" t="s">
        <v>27247</v>
      </c>
      <c r="H13434" t="s">
        <v>27248</v>
      </c>
      <c r="I13434" t="s">
        <v>53243</v>
      </c>
      <c r="J13434" t="s">
        <v>26843</v>
      </c>
      <c r="L13434" t="s">
        <v>27250</v>
      </c>
      <c r="M13434" t="s">
        <v>27251</v>
      </c>
      <c r="N13434" t="s">
        <v>27252</v>
      </c>
      <c r="Q13434" s="1">
        <v>44846</v>
      </c>
      <c r="R13434" t="s">
        <v>27253</v>
      </c>
      <c r="S13434" t="s">
        <v>27254</v>
      </c>
      <c r="T13434" t="s">
        <v>27265</v>
      </c>
    </row>
    <row r="13435" spans="1:20" x14ac:dyDescent="0.3">
      <c r="A13435" t="str">
        <f>"0611884527050"</f>
        <v>0611884527050</v>
      </c>
      <c r="B13435" t="str">
        <f>"CR5110"</f>
        <v>CR5110</v>
      </c>
      <c r="C13435" t="s">
        <v>53244</v>
      </c>
      <c r="D13435" t="s">
        <v>27263</v>
      </c>
      <c r="E13435" t="str">
        <f t="shared" si="209"/>
        <v>001390</v>
      </c>
      <c r="F13435" t="s">
        <v>27246</v>
      </c>
      <c r="G13435" t="s">
        <v>27247</v>
      </c>
      <c r="H13435" t="s">
        <v>27248</v>
      </c>
      <c r="I13435" t="s">
        <v>53245</v>
      </c>
      <c r="J13435" t="s">
        <v>26917</v>
      </c>
      <c r="L13435" t="s">
        <v>27430</v>
      </c>
      <c r="M13435" t="s">
        <v>27251</v>
      </c>
      <c r="N13435" t="s">
        <v>27252</v>
      </c>
      <c r="Q13435" s="1">
        <v>45250</v>
      </c>
      <c r="R13435" t="s">
        <v>27253</v>
      </c>
      <c r="S13435" t="s">
        <v>27254</v>
      </c>
      <c r="T13435" t="s">
        <v>27265</v>
      </c>
    </row>
    <row r="13436" spans="1:20" x14ac:dyDescent="0.3">
      <c r="A13436" t="str">
        <f>"0611861046050"</f>
        <v>0611861046050</v>
      </c>
      <c r="B13436" t="str">
        <f>"CR4732"</f>
        <v>CR4732</v>
      </c>
      <c r="C13436" t="s">
        <v>53246</v>
      </c>
      <c r="D13436" t="s">
        <v>27263</v>
      </c>
      <c r="E13436" t="str">
        <f t="shared" si="209"/>
        <v>001390</v>
      </c>
      <c r="F13436" t="s">
        <v>27246</v>
      </c>
      <c r="G13436" t="s">
        <v>27247</v>
      </c>
      <c r="H13436" t="s">
        <v>27248</v>
      </c>
      <c r="I13436" t="s">
        <v>53247</v>
      </c>
      <c r="J13436" t="s">
        <v>26845</v>
      </c>
      <c r="L13436" t="s">
        <v>27250</v>
      </c>
      <c r="M13436" t="s">
        <v>27251</v>
      </c>
      <c r="N13436" t="s">
        <v>27252</v>
      </c>
      <c r="Q13436" s="1">
        <v>44846</v>
      </c>
      <c r="R13436" t="s">
        <v>27253</v>
      </c>
      <c r="S13436" t="s">
        <v>27254</v>
      </c>
      <c r="T13436" t="s">
        <v>27265</v>
      </c>
    </row>
    <row r="13437" spans="1:20" x14ac:dyDescent="0.3">
      <c r="A13437" t="str">
        <f>"0611861047050"</f>
        <v>0611861047050</v>
      </c>
      <c r="B13437" t="str">
        <f>"CR4733"</f>
        <v>CR4733</v>
      </c>
      <c r="C13437" t="s">
        <v>53248</v>
      </c>
      <c r="D13437" t="s">
        <v>27263</v>
      </c>
      <c r="E13437" t="str">
        <f t="shared" si="209"/>
        <v>001390</v>
      </c>
      <c r="F13437" t="s">
        <v>27246</v>
      </c>
      <c r="G13437" t="s">
        <v>27247</v>
      </c>
      <c r="H13437" t="s">
        <v>27248</v>
      </c>
      <c r="I13437" t="s">
        <v>53249</v>
      </c>
      <c r="J13437" t="s">
        <v>26847</v>
      </c>
      <c r="L13437" t="s">
        <v>27250</v>
      </c>
      <c r="M13437" t="s">
        <v>27251</v>
      </c>
      <c r="N13437" t="s">
        <v>27252</v>
      </c>
      <c r="Q13437" s="1">
        <v>44846</v>
      </c>
      <c r="R13437" t="s">
        <v>27253</v>
      </c>
      <c r="S13437" t="s">
        <v>27254</v>
      </c>
      <c r="T13437" t="s">
        <v>27265</v>
      </c>
    </row>
    <row r="13438" spans="1:20" x14ac:dyDescent="0.3">
      <c r="A13438" t="str">
        <f>"0611861048050"</f>
        <v>0611861048050</v>
      </c>
      <c r="B13438" t="str">
        <f>"CR4650"</f>
        <v>CR4650</v>
      </c>
      <c r="C13438" t="s">
        <v>53250</v>
      </c>
      <c r="D13438" t="s">
        <v>27263</v>
      </c>
      <c r="E13438" t="str">
        <f t="shared" si="209"/>
        <v>001390</v>
      </c>
      <c r="F13438" t="s">
        <v>27246</v>
      </c>
      <c r="G13438" t="s">
        <v>27247</v>
      </c>
      <c r="H13438" t="s">
        <v>27248</v>
      </c>
      <c r="I13438" t="s">
        <v>53251</v>
      </c>
      <c r="J13438" t="s">
        <v>26849</v>
      </c>
      <c r="L13438" t="s">
        <v>27250</v>
      </c>
      <c r="M13438" t="s">
        <v>27251</v>
      </c>
      <c r="N13438" t="s">
        <v>27252</v>
      </c>
      <c r="Q13438" s="1">
        <v>44846</v>
      </c>
      <c r="R13438" t="s">
        <v>27253</v>
      </c>
      <c r="S13438" t="s">
        <v>27254</v>
      </c>
      <c r="T13438" t="s">
        <v>27265</v>
      </c>
    </row>
    <row r="13439" spans="1:20" x14ac:dyDescent="0.3">
      <c r="A13439" t="str">
        <f>"0611884528050"</f>
        <v>0611884528050</v>
      </c>
      <c r="B13439" t="str">
        <f>"CR5111"</f>
        <v>CR5111</v>
      </c>
      <c r="C13439" t="s">
        <v>53252</v>
      </c>
      <c r="D13439" t="s">
        <v>27263</v>
      </c>
      <c r="E13439" t="str">
        <f t="shared" si="209"/>
        <v>001390</v>
      </c>
      <c r="F13439" t="s">
        <v>27246</v>
      </c>
      <c r="G13439" t="s">
        <v>27247</v>
      </c>
      <c r="H13439" t="s">
        <v>27248</v>
      </c>
      <c r="I13439" t="s">
        <v>53253</v>
      </c>
      <c r="J13439" t="s">
        <v>26919</v>
      </c>
      <c r="L13439" t="s">
        <v>27430</v>
      </c>
      <c r="M13439" t="s">
        <v>27251</v>
      </c>
      <c r="N13439" t="s">
        <v>27252</v>
      </c>
      <c r="Q13439" s="1">
        <v>45250</v>
      </c>
      <c r="R13439" t="s">
        <v>27253</v>
      </c>
      <c r="S13439" t="s">
        <v>27254</v>
      </c>
      <c r="T13439" t="s">
        <v>27265</v>
      </c>
    </row>
    <row r="13440" spans="1:20" x14ac:dyDescent="0.3">
      <c r="A13440" t="str">
        <f>"0611861049050"</f>
        <v>0611861049050</v>
      </c>
      <c r="B13440" t="str">
        <f>"CR5045"</f>
        <v>CR5045</v>
      </c>
      <c r="C13440" t="s">
        <v>53254</v>
      </c>
      <c r="D13440" t="s">
        <v>27263</v>
      </c>
      <c r="E13440" t="str">
        <f t="shared" si="209"/>
        <v>001390</v>
      </c>
      <c r="F13440" t="s">
        <v>27246</v>
      </c>
      <c r="G13440" t="s">
        <v>27247</v>
      </c>
      <c r="H13440" t="s">
        <v>27248</v>
      </c>
      <c r="I13440" t="s">
        <v>53255</v>
      </c>
      <c r="J13440" t="s">
        <v>26851</v>
      </c>
      <c r="L13440" t="s">
        <v>27250</v>
      </c>
      <c r="M13440" t="s">
        <v>27251</v>
      </c>
      <c r="N13440" t="s">
        <v>27252</v>
      </c>
      <c r="Q13440" s="1">
        <v>44846</v>
      </c>
      <c r="R13440" t="s">
        <v>27253</v>
      </c>
      <c r="S13440" t="s">
        <v>27254</v>
      </c>
      <c r="T13440" t="s">
        <v>27265</v>
      </c>
    </row>
    <row r="13441" spans="1:20" x14ac:dyDescent="0.3">
      <c r="A13441" t="str">
        <f>"0611861050050"</f>
        <v>0611861050050</v>
      </c>
      <c r="B13441" t="str">
        <f>"CR4735"</f>
        <v>CR4735</v>
      </c>
      <c r="C13441" t="s">
        <v>53256</v>
      </c>
      <c r="D13441" t="s">
        <v>27263</v>
      </c>
      <c r="E13441" t="str">
        <f t="shared" si="209"/>
        <v>001390</v>
      </c>
      <c r="F13441" t="s">
        <v>27246</v>
      </c>
      <c r="G13441" t="s">
        <v>27247</v>
      </c>
      <c r="H13441" t="s">
        <v>27248</v>
      </c>
      <c r="I13441" t="s">
        <v>53257</v>
      </c>
      <c r="J13441" t="s">
        <v>26853</v>
      </c>
      <c r="L13441" t="s">
        <v>27250</v>
      </c>
      <c r="M13441" t="s">
        <v>27251</v>
      </c>
      <c r="N13441" t="s">
        <v>27252</v>
      </c>
      <c r="Q13441" s="1">
        <v>44846</v>
      </c>
      <c r="R13441" t="s">
        <v>27253</v>
      </c>
      <c r="S13441" t="s">
        <v>27254</v>
      </c>
      <c r="T13441" t="s">
        <v>27265</v>
      </c>
    </row>
    <row r="13442" spans="1:20" x14ac:dyDescent="0.3">
      <c r="A13442" t="str">
        <f>"0611861051050"</f>
        <v>0611861051050</v>
      </c>
      <c r="B13442" t="str">
        <f>"CR4737"</f>
        <v>CR4737</v>
      </c>
      <c r="C13442" t="s">
        <v>53258</v>
      </c>
      <c r="D13442" t="s">
        <v>27263</v>
      </c>
      <c r="E13442" t="str">
        <f t="shared" ref="E13442:E13505" si="210">"001390"</f>
        <v>001390</v>
      </c>
      <c r="F13442" t="s">
        <v>27246</v>
      </c>
      <c r="G13442" t="s">
        <v>27247</v>
      </c>
      <c r="H13442" t="s">
        <v>27248</v>
      </c>
      <c r="I13442" t="s">
        <v>53259</v>
      </c>
      <c r="J13442" t="s">
        <v>26855</v>
      </c>
      <c r="L13442" t="s">
        <v>27250</v>
      </c>
      <c r="M13442" t="s">
        <v>27251</v>
      </c>
      <c r="N13442" t="s">
        <v>27252</v>
      </c>
      <c r="Q13442" s="1">
        <v>44846</v>
      </c>
      <c r="R13442" t="s">
        <v>27253</v>
      </c>
      <c r="S13442" t="s">
        <v>27254</v>
      </c>
      <c r="T13442" t="s">
        <v>27265</v>
      </c>
    </row>
    <row r="13443" spans="1:20" x14ac:dyDescent="0.3">
      <c r="A13443" t="str">
        <f>"0611861052050"</f>
        <v>0611861052050</v>
      </c>
      <c r="B13443" t="str">
        <f>"CR5112"</f>
        <v>CR5112</v>
      </c>
      <c r="C13443" t="s">
        <v>53260</v>
      </c>
      <c r="D13443" t="s">
        <v>27263</v>
      </c>
      <c r="E13443" t="str">
        <f t="shared" si="210"/>
        <v>001390</v>
      </c>
      <c r="F13443" t="s">
        <v>27246</v>
      </c>
      <c r="G13443" t="s">
        <v>27247</v>
      </c>
      <c r="H13443" t="s">
        <v>27248</v>
      </c>
      <c r="I13443" t="s">
        <v>53261</v>
      </c>
      <c r="J13443" t="s">
        <v>26857</v>
      </c>
      <c r="L13443" t="s">
        <v>27250</v>
      </c>
      <c r="M13443" t="s">
        <v>27251</v>
      </c>
      <c r="N13443" t="s">
        <v>27252</v>
      </c>
      <c r="Q13443" s="1">
        <v>44846</v>
      </c>
      <c r="R13443" t="s">
        <v>27253</v>
      </c>
      <c r="S13443" t="s">
        <v>27254</v>
      </c>
      <c r="T13443" t="s">
        <v>27265</v>
      </c>
    </row>
    <row r="13444" spans="1:20" x14ac:dyDescent="0.3">
      <c r="A13444" t="str">
        <f>"0611861053050"</f>
        <v>0611861053050</v>
      </c>
      <c r="B13444" t="str">
        <f>"CR5048"</f>
        <v>CR5048</v>
      </c>
      <c r="C13444" t="s">
        <v>53262</v>
      </c>
      <c r="D13444" t="s">
        <v>27263</v>
      </c>
      <c r="E13444" t="str">
        <f t="shared" si="210"/>
        <v>001390</v>
      </c>
      <c r="F13444" t="s">
        <v>27246</v>
      </c>
      <c r="G13444" t="s">
        <v>27247</v>
      </c>
      <c r="H13444" t="s">
        <v>27248</v>
      </c>
      <c r="I13444" t="s">
        <v>53263</v>
      </c>
      <c r="J13444" t="s">
        <v>26859</v>
      </c>
      <c r="L13444" t="s">
        <v>27250</v>
      </c>
      <c r="M13444" t="s">
        <v>27251</v>
      </c>
      <c r="N13444" t="s">
        <v>27252</v>
      </c>
      <c r="Q13444" s="1">
        <v>44846</v>
      </c>
      <c r="R13444" t="s">
        <v>27253</v>
      </c>
      <c r="S13444" t="s">
        <v>27254</v>
      </c>
      <c r="T13444" t="s">
        <v>27265</v>
      </c>
    </row>
    <row r="13445" spans="1:20" x14ac:dyDescent="0.3">
      <c r="A13445" t="str">
        <f>"0611861054050"</f>
        <v>0611861054050</v>
      </c>
      <c r="B13445" t="str">
        <f>"CR4740"</f>
        <v>CR4740</v>
      </c>
      <c r="C13445" t="s">
        <v>53264</v>
      </c>
      <c r="D13445" t="s">
        <v>27263</v>
      </c>
      <c r="E13445" t="str">
        <f t="shared" si="210"/>
        <v>001390</v>
      </c>
      <c r="F13445" t="s">
        <v>27246</v>
      </c>
      <c r="G13445" t="s">
        <v>27247</v>
      </c>
      <c r="H13445" t="s">
        <v>27248</v>
      </c>
      <c r="I13445" t="s">
        <v>53265</v>
      </c>
      <c r="J13445" t="s">
        <v>26861</v>
      </c>
      <c r="L13445" t="s">
        <v>27250</v>
      </c>
      <c r="M13445" t="s">
        <v>27251</v>
      </c>
      <c r="N13445" t="s">
        <v>27252</v>
      </c>
      <c r="Q13445" s="1">
        <v>44846</v>
      </c>
      <c r="R13445" t="s">
        <v>27253</v>
      </c>
      <c r="S13445" t="s">
        <v>27254</v>
      </c>
      <c r="T13445" t="s">
        <v>27265</v>
      </c>
    </row>
    <row r="13446" spans="1:20" x14ac:dyDescent="0.3">
      <c r="A13446" t="str">
        <f>"0611861055050"</f>
        <v>0611861055050</v>
      </c>
      <c r="B13446" t="str">
        <f>"CR4741"</f>
        <v>CR4741</v>
      </c>
      <c r="C13446" t="s">
        <v>53266</v>
      </c>
      <c r="D13446" t="s">
        <v>27263</v>
      </c>
      <c r="E13446" t="str">
        <f t="shared" si="210"/>
        <v>001390</v>
      </c>
      <c r="F13446" t="s">
        <v>27246</v>
      </c>
      <c r="G13446" t="s">
        <v>27247</v>
      </c>
      <c r="H13446" t="s">
        <v>27248</v>
      </c>
      <c r="I13446" t="s">
        <v>53267</v>
      </c>
      <c r="J13446" t="s">
        <v>26863</v>
      </c>
      <c r="L13446" t="s">
        <v>27250</v>
      </c>
      <c r="M13446" t="s">
        <v>27251</v>
      </c>
      <c r="N13446" t="s">
        <v>27252</v>
      </c>
      <c r="Q13446" s="1">
        <v>44846</v>
      </c>
      <c r="R13446" t="s">
        <v>27253</v>
      </c>
      <c r="S13446" t="s">
        <v>27254</v>
      </c>
      <c r="T13446" t="s">
        <v>27265</v>
      </c>
    </row>
    <row r="13447" spans="1:20" x14ac:dyDescent="0.3">
      <c r="A13447" t="str">
        <f>"0611861056050"</f>
        <v>0611861056050</v>
      </c>
      <c r="B13447" t="str">
        <f>"CR4742"</f>
        <v>CR4742</v>
      </c>
      <c r="C13447" t="s">
        <v>53268</v>
      </c>
      <c r="D13447" t="s">
        <v>27263</v>
      </c>
      <c r="E13447" t="str">
        <f t="shared" si="210"/>
        <v>001390</v>
      </c>
      <c r="F13447" t="s">
        <v>27246</v>
      </c>
      <c r="G13447" t="s">
        <v>27247</v>
      </c>
      <c r="H13447" t="s">
        <v>27248</v>
      </c>
      <c r="I13447" t="s">
        <v>53269</v>
      </c>
      <c r="J13447" t="s">
        <v>26865</v>
      </c>
      <c r="L13447" t="s">
        <v>27250</v>
      </c>
      <c r="M13447" t="s">
        <v>27251</v>
      </c>
      <c r="N13447" t="s">
        <v>27252</v>
      </c>
      <c r="Q13447" s="1">
        <v>44846</v>
      </c>
      <c r="R13447" t="s">
        <v>27253</v>
      </c>
      <c r="S13447" t="s">
        <v>27254</v>
      </c>
      <c r="T13447" t="s">
        <v>27265</v>
      </c>
    </row>
    <row r="13448" spans="1:20" x14ac:dyDescent="0.3">
      <c r="A13448" t="str">
        <f>"0611861057050"</f>
        <v>0611861057050</v>
      </c>
      <c r="B13448" t="str">
        <f>"CR4744"</f>
        <v>CR4744</v>
      </c>
      <c r="C13448" t="s">
        <v>53270</v>
      </c>
      <c r="D13448" t="s">
        <v>27263</v>
      </c>
      <c r="E13448" t="str">
        <f t="shared" si="210"/>
        <v>001390</v>
      </c>
      <c r="F13448" t="s">
        <v>27246</v>
      </c>
      <c r="G13448" t="s">
        <v>27247</v>
      </c>
      <c r="H13448" t="s">
        <v>27248</v>
      </c>
      <c r="I13448" t="s">
        <v>53271</v>
      </c>
      <c r="J13448" t="s">
        <v>26867</v>
      </c>
      <c r="L13448" t="s">
        <v>27250</v>
      </c>
      <c r="M13448" t="s">
        <v>27251</v>
      </c>
      <c r="N13448" t="s">
        <v>27252</v>
      </c>
      <c r="Q13448" s="1">
        <v>44846</v>
      </c>
      <c r="R13448" t="s">
        <v>27253</v>
      </c>
      <c r="S13448" t="s">
        <v>27254</v>
      </c>
      <c r="T13448" t="s">
        <v>27265</v>
      </c>
    </row>
    <row r="13449" spans="1:20" x14ac:dyDescent="0.3">
      <c r="A13449" t="str">
        <f>"0611861058050"</f>
        <v>0611861058050</v>
      </c>
      <c r="B13449" t="str">
        <f>"CR5113"</f>
        <v>CR5113</v>
      </c>
      <c r="C13449" t="s">
        <v>53272</v>
      </c>
      <c r="D13449" t="s">
        <v>27263</v>
      </c>
      <c r="E13449" t="str">
        <f t="shared" si="210"/>
        <v>001390</v>
      </c>
      <c r="F13449" t="s">
        <v>27246</v>
      </c>
      <c r="G13449" t="s">
        <v>27247</v>
      </c>
      <c r="H13449" t="s">
        <v>27248</v>
      </c>
      <c r="I13449" t="s">
        <v>53273</v>
      </c>
      <c r="J13449" t="s">
        <v>26869</v>
      </c>
      <c r="L13449" t="s">
        <v>27250</v>
      </c>
      <c r="M13449" t="s">
        <v>27251</v>
      </c>
      <c r="N13449" t="s">
        <v>27252</v>
      </c>
      <c r="Q13449" s="1">
        <v>44846</v>
      </c>
      <c r="R13449" t="s">
        <v>27253</v>
      </c>
      <c r="S13449" t="s">
        <v>27254</v>
      </c>
      <c r="T13449" t="s">
        <v>27265</v>
      </c>
    </row>
    <row r="13450" spans="1:20" x14ac:dyDescent="0.3">
      <c r="A13450" t="str">
        <f>"0611861059050"</f>
        <v>0611861059050</v>
      </c>
      <c r="B13450" t="str">
        <f>"CR4745"</f>
        <v>CR4745</v>
      </c>
      <c r="C13450" t="s">
        <v>53274</v>
      </c>
      <c r="D13450" t="s">
        <v>27263</v>
      </c>
      <c r="E13450" t="str">
        <f t="shared" si="210"/>
        <v>001390</v>
      </c>
      <c r="F13450" t="s">
        <v>27246</v>
      </c>
      <c r="G13450" t="s">
        <v>27247</v>
      </c>
      <c r="H13450" t="s">
        <v>27248</v>
      </c>
      <c r="I13450" t="s">
        <v>53275</v>
      </c>
      <c r="J13450" t="s">
        <v>26871</v>
      </c>
      <c r="L13450" t="s">
        <v>27250</v>
      </c>
      <c r="M13450" t="s">
        <v>27251</v>
      </c>
      <c r="N13450" t="s">
        <v>27252</v>
      </c>
      <c r="Q13450" s="1">
        <v>44846</v>
      </c>
      <c r="R13450" t="s">
        <v>27253</v>
      </c>
      <c r="S13450" t="s">
        <v>27254</v>
      </c>
      <c r="T13450" t="s">
        <v>27265</v>
      </c>
    </row>
    <row r="13451" spans="1:20" x14ac:dyDescent="0.3">
      <c r="A13451" t="str">
        <f>"0611861060050"</f>
        <v>0611861060050</v>
      </c>
      <c r="B13451" t="str">
        <f>"CR4746"</f>
        <v>CR4746</v>
      </c>
      <c r="C13451" t="s">
        <v>53276</v>
      </c>
      <c r="D13451" t="s">
        <v>27263</v>
      </c>
      <c r="E13451" t="str">
        <f t="shared" si="210"/>
        <v>001390</v>
      </c>
      <c r="F13451" t="s">
        <v>27246</v>
      </c>
      <c r="G13451" t="s">
        <v>27247</v>
      </c>
      <c r="H13451" t="s">
        <v>27248</v>
      </c>
      <c r="I13451" t="s">
        <v>53277</v>
      </c>
      <c r="J13451" t="s">
        <v>26873</v>
      </c>
      <c r="L13451" t="s">
        <v>27250</v>
      </c>
      <c r="M13451" t="s">
        <v>27251</v>
      </c>
      <c r="N13451" t="s">
        <v>27252</v>
      </c>
      <c r="Q13451" s="1">
        <v>44846</v>
      </c>
      <c r="R13451" t="s">
        <v>27253</v>
      </c>
      <c r="S13451" t="s">
        <v>27254</v>
      </c>
      <c r="T13451" t="s">
        <v>27265</v>
      </c>
    </row>
    <row r="13452" spans="1:20" x14ac:dyDescent="0.3">
      <c r="A13452" t="str">
        <f>"0611861061050"</f>
        <v>0611861061050</v>
      </c>
      <c r="B13452" t="str">
        <f>"CR4747"</f>
        <v>CR4747</v>
      </c>
      <c r="C13452" t="s">
        <v>53278</v>
      </c>
      <c r="D13452" t="s">
        <v>27263</v>
      </c>
      <c r="E13452" t="str">
        <f t="shared" si="210"/>
        <v>001390</v>
      </c>
      <c r="F13452" t="s">
        <v>27246</v>
      </c>
      <c r="G13452" t="s">
        <v>27247</v>
      </c>
      <c r="H13452" t="s">
        <v>27248</v>
      </c>
      <c r="I13452" t="s">
        <v>53279</v>
      </c>
      <c r="J13452" t="s">
        <v>26875</v>
      </c>
      <c r="L13452" t="s">
        <v>27250</v>
      </c>
      <c r="M13452" t="s">
        <v>27251</v>
      </c>
      <c r="N13452" t="s">
        <v>27252</v>
      </c>
      <c r="Q13452" s="1">
        <v>44846</v>
      </c>
      <c r="R13452" t="s">
        <v>27253</v>
      </c>
      <c r="S13452" t="s">
        <v>27254</v>
      </c>
      <c r="T13452" t="s">
        <v>27265</v>
      </c>
    </row>
    <row r="13453" spans="1:20" x14ac:dyDescent="0.3">
      <c r="A13453" t="str">
        <f>"0611861062050"</f>
        <v>0611861062050</v>
      </c>
      <c r="B13453" t="str">
        <f>"CR4651"</f>
        <v>CR4651</v>
      </c>
      <c r="C13453" t="s">
        <v>53280</v>
      </c>
      <c r="D13453" t="s">
        <v>27263</v>
      </c>
      <c r="E13453" t="str">
        <f t="shared" si="210"/>
        <v>001390</v>
      </c>
      <c r="F13453" t="s">
        <v>27246</v>
      </c>
      <c r="G13453" t="s">
        <v>27247</v>
      </c>
      <c r="H13453" t="s">
        <v>27248</v>
      </c>
      <c r="I13453" t="s">
        <v>53281</v>
      </c>
      <c r="J13453" t="s">
        <v>26877</v>
      </c>
      <c r="L13453" t="s">
        <v>27250</v>
      </c>
      <c r="M13453" t="s">
        <v>27251</v>
      </c>
      <c r="N13453" t="s">
        <v>27252</v>
      </c>
      <c r="Q13453" s="1">
        <v>44846</v>
      </c>
      <c r="R13453" t="s">
        <v>27253</v>
      </c>
      <c r="S13453" t="s">
        <v>27254</v>
      </c>
      <c r="T13453" t="s">
        <v>27265</v>
      </c>
    </row>
    <row r="13454" spans="1:20" x14ac:dyDescent="0.3">
      <c r="A13454" t="str">
        <f>"0611861063050"</f>
        <v>0611861063050</v>
      </c>
      <c r="B13454" t="str">
        <f>"CR4748"</f>
        <v>CR4748</v>
      </c>
      <c r="C13454" t="s">
        <v>53282</v>
      </c>
      <c r="D13454" t="s">
        <v>27263</v>
      </c>
      <c r="E13454" t="str">
        <f t="shared" si="210"/>
        <v>001390</v>
      </c>
      <c r="F13454" t="s">
        <v>27246</v>
      </c>
      <c r="G13454" t="s">
        <v>27247</v>
      </c>
      <c r="H13454" t="s">
        <v>27248</v>
      </c>
      <c r="I13454" t="s">
        <v>53283</v>
      </c>
      <c r="J13454" t="s">
        <v>26879</v>
      </c>
      <c r="L13454" t="s">
        <v>27250</v>
      </c>
      <c r="M13454" t="s">
        <v>27251</v>
      </c>
      <c r="N13454" t="s">
        <v>27252</v>
      </c>
      <c r="Q13454" s="1">
        <v>44846</v>
      </c>
      <c r="R13454" t="s">
        <v>27253</v>
      </c>
      <c r="S13454" t="s">
        <v>27254</v>
      </c>
      <c r="T13454" t="s">
        <v>27265</v>
      </c>
    </row>
    <row r="13455" spans="1:20" x14ac:dyDescent="0.3">
      <c r="A13455" t="str">
        <f>"0611861064050"</f>
        <v>0611861064050</v>
      </c>
      <c r="B13455" t="str">
        <f>"CR4749"</f>
        <v>CR4749</v>
      </c>
      <c r="C13455" t="s">
        <v>53284</v>
      </c>
      <c r="D13455" t="s">
        <v>27263</v>
      </c>
      <c r="E13455" t="str">
        <f t="shared" si="210"/>
        <v>001390</v>
      </c>
      <c r="F13455" t="s">
        <v>27246</v>
      </c>
      <c r="G13455" t="s">
        <v>27247</v>
      </c>
      <c r="H13455" t="s">
        <v>27248</v>
      </c>
      <c r="I13455" t="s">
        <v>53285</v>
      </c>
      <c r="J13455" t="s">
        <v>26881</v>
      </c>
      <c r="L13455" t="s">
        <v>27250</v>
      </c>
      <c r="M13455" t="s">
        <v>27251</v>
      </c>
      <c r="N13455" t="s">
        <v>27252</v>
      </c>
      <c r="Q13455" s="1">
        <v>44846</v>
      </c>
      <c r="R13455" t="s">
        <v>27253</v>
      </c>
      <c r="S13455" t="s">
        <v>27254</v>
      </c>
      <c r="T13455" t="s">
        <v>27265</v>
      </c>
    </row>
    <row r="13456" spans="1:20" x14ac:dyDescent="0.3">
      <c r="A13456" t="str">
        <f>"0611861065050"</f>
        <v>0611861065050</v>
      </c>
      <c r="B13456" t="str">
        <f>"CR4750"</f>
        <v>CR4750</v>
      </c>
      <c r="C13456" t="s">
        <v>53286</v>
      </c>
      <c r="D13456" t="s">
        <v>27263</v>
      </c>
      <c r="E13456" t="str">
        <f t="shared" si="210"/>
        <v>001390</v>
      </c>
      <c r="F13456" t="s">
        <v>27246</v>
      </c>
      <c r="G13456" t="s">
        <v>27247</v>
      </c>
      <c r="H13456" t="s">
        <v>27248</v>
      </c>
      <c r="I13456" t="s">
        <v>53287</v>
      </c>
      <c r="J13456" t="s">
        <v>26883</v>
      </c>
      <c r="L13456" t="s">
        <v>27250</v>
      </c>
      <c r="M13456" t="s">
        <v>27251</v>
      </c>
      <c r="N13456" t="s">
        <v>27252</v>
      </c>
      <c r="Q13456" s="1">
        <v>44846</v>
      </c>
      <c r="R13456" t="s">
        <v>27253</v>
      </c>
      <c r="S13456" t="s">
        <v>27254</v>
      </c>
      <c r="T13456" t="s">
        <v>27265</v>
      </c>
    </row>
    <row r="13457" spans="1:20" x14ac:dyDescent="0.3">
      <c r="A13457" t="str">
        <f>"0611861066050"</f>
        <v>0611861066050</v>
      </c>
      <c r="B13457" t="str">
        <f>"CR4751"</f>
        <v>CR4751</v>
      </c>
      <c r="C13457" t="s">
        <v>53288</v>
      </c>
      <c r="D13457" t="s">
        <v>27263</v>
      </c>
      <c r="E13457" t="str">
        <f t="shared" si="210"/>
        <v>001390</v>
      </c>
      <c r="F13457" t="s">
        <v>27246</v>
      </c>
      <c r="G13457" t="s">
        <v>27247</v>
      </c>
      <c r="H13457" t="s">
        <v>27248</v>
      </c>
      <c r="I13457" t="s">
        <v>53289</v>
      </c>
      <c r="J13457" t="s">
        <v>26885</v>
      </c>
      <c r="L13457" t="s">
        <v>27250</v>
      </c>
      <c r="M13457" t="s">
        <v>27251</v>
      </c>
      <c r="N13457" t="s">
        <v>27252</v>
      </c>
      <c r="Q13457" s="1">
        <v>44846</v>
      </c>
      <c r="R13457" t="s">
        <v>27253</v>
      </c>
      <c r="S13457" t="s">
        <v>27254</v>
      </c>
      <c r="T13457" t="s">
        <v>27265</v>
      </c>
    </row>
    <row r="13458" spans="1:20" x14ac:dyDescent="0.3">
      <c r="A13458" t="str">
        <f>"0611861067050"</f>
        <v>0611861067050</v>
      </c>
      <c r="B13458" t="str">
        <f>"CR5115"</f>
        <v>CR5115</v>
      </c>
      <c r="C13458" t="s">
        <v>53290</v>
      </c>
      <c r="D13458" t="s">
        <v>27263</v>
      </c>
      <c r="E13458" t="str">
        <f t="shared" si="210"/>
        <v>001390</v>
      </c>
      <c r="F13458" t="s">
        <v>27246</v>
      </c>
      <c r="G13458" t="s">
        <v>27247</v>
      </c>
      <c r="H13458" t="s">
        <v>27248</v>
      </c>
      <c r="I13458" t="s">
        <v>53291</v>
      </c>
      <c r="J13458" t="s">
        <v>26887</v>
      </c>
      <c r="L13458" t="s">
        <v>27250</v>
      </c>
      <c r="M13458" t="s">
        <v>27251</v>
      </c>
      <c r="N13458" t="s">
        <v>27252</v>
      </c>
      <c r="Q13458" s="1">
        <v>44846</v>
      </c>
      <c r="R13458" t="s">
        <v>27253</v>
      </c>
      <c r="S13458" t="s">
        <v>27254</v>
      </c>
      <c r="T13458" t="s">
        <v>27265</v>
      </c>
    </row>
    <row r="13459" spans="1:20" x14ac:dyDescent="0.3">
      <c r="A13459" t="str">
        <f>"0611861068050"</f>
        <v>0611861068050</v>
      </c>
      <c r="B13459" t="str">
        <f>"CR4753"</f>
        <v>CR4753</v>
      </c>
      <c r="C13459" t="s">
        <v>53292</v>
      </c>
      <c r="D13459" t="s">
        <v>27263</v>
      </c>
      <c r="E13459" t="str">
        <f t="shared" si="210"/>
        <v>001390</v>
      </c>
      <c r="F13459" t="s">
        <v>27246</v>
      </c>
      <c r="G13459" t="s">
        <v>27247</v>
      </c>
      <c r="H13459" t="s">
        <v>27248</v>
      </c>
      <c r="I13459" t="s">
        <v>53293</v>
      </c>
      <c r="J13459" t="s">
        <v>26889</v>
      </c>
      <c r="L13459" t="s">
        <v>27250</v>
      </c>
      <c r="M13459" t="s">
        <v>27251</v>
      </c>
      <c r="N13459" t="s">
        <v>27252</v>
      </c>
      <c r="Q13459" s="1">
        <v>44846</v>
      </c>
      <c r="R13459" t="s">
        <v>27253</v>
      </c>
      <c r="S13459" t="s">
        <v>27254</v>
      </c>
      <c r="T13459" t="s">
        <v>27265</v>
      </c>
    </row>
    <row r="13460" spans="1:20" x14ac:dyDescent="0.3">
      <c r="A13460" t="str">
        <f>"0611884529050"</f>
        <v>0611884529050</v>
      </c>
      <c r="B13460" t="str">
        <f>"CR5266"</f>
        <v>CR5266</v>
      </c>
      <c r="C13460" t="s">
        <v>53294</v>
      </c>
      <c r="D13460" t="s">
        <v>27263</v>
      </c>
      <c r="E13460" t="str">
        <f t="shared" si="210"/>
        <v>001390</v>
      </c>
      <c r="F13460" t="s">
        <v>27246</v>
      </c>
      <c r="G13460" t="s">
        <v>27247</v>
      </c>
      <c r="H13460" t="s">
        <v>27248</v>
      </c>
      <c r="I13460" t="s">
        <v>53295</v>
      </c>
      <c r="J13460" t="s">
        <v>26921</v>
      </c>
      <c r="L13460" t="s">
        <v>27430</v>
      </c>
      <c r="M13460" t="s">
        <v>27251</v>
      </c>
      <c r="N13460" t="s">
        <v>27252</v>
      </c>
      <c r="Q13460" s="1">
        <v>45250</v>
      </c>
      <c r="R13460" t="s">
        <v>27253</v>
      </c>
      <c r="S13460" t="s">
        <v>27254</v>
      </c>
      <c r="T13460" t="s">
        <v>27265</v>
      </c>
    </row>
    <row r="13461" spans="1:20" x14ac:dyDescent="0.3">
      <c r="A13461" t="str">
        <f>"0611861069050"</f>
        <v>0611861069050</v>
      </c>
      <c r="B13461" t="str">
        <f>"CR5116"</f>
        <v>CR5116</v>
      </c>
      <c r="C13461" t="s">
        <v>53296</v>
      </c>
      <c r="D13461" t="s">
        <v>27263</v>
      </c>
      <c r="E13461" t="str">
        <f t="shared" si="210"/>
        <v>001390</v>
      </c>
      <c r="F13461" t="s">
        <v>27246</v>
      </c>
      <c r="G13461" t="s">
        <v>27247</v>
      </c>
      <c r="H13461" t="s">
        <v>27248</v>
      </c>
      <c r="I13461" t="s">
        <v>53297</v>
      </c>
      <c r="J13461" t="s">
        <v>26891</v>
      </c>
      <c r="L13461" t="s">
        <v>27250</v>
      </c>
      <c r="M13461" t="s">
        <v>27251</v>
      </c>
      <c r="N13461" t="s">
        <v>27252</v>
      </c>
      <c r="Q13461" s="1">
        <v>44846</v>
      </c>
      <c r="R13461" t="s">
        <v>27253</v>
      </c>
      <c r="S13461" t="s">
        <v>27254</v>
      </c>
      <c r="T13461" t="s">
        <v>27265</v>
      </c>
    </row>
    <row r="13462" spans="1:20" x14ac:dyDescent="0.3">
      <c r="A13462" t="str">
        <f>"0611861070050"</f>
        <v>0611861070050</v>
      </c>
      <c r="B13462" t="str">
        <f>"CR5124"</f>
        <v>CR5124</v>
      </c>
      <c r="C13462" t="s">
        <v>53298</v>
      </c>
      <c r="D13462" t="s">
        <v>27263</v>
      </c>
      <c r="E13462" t="str">
        <f t="shared" si="210"/>
        <v>001390</v>
      </c>
      <c r="F13462" t="s">
        <v>27246</v>
      </c>
      <c r="G13462" t="s">
        <v>27247</v>
      </c>
      <c r="H13462" t="s">
        <v>27248</v>
      </c>
      <c r="I13462" t="s">
        <v>53299</v>
      </c>
      <c r="J13462" t="s">
        <v>26893</v>
      </c>
      <c r="L13462" t="s">
        <v>27250</v>
      </c>
      <c r="M13462" t="s">
        <v>27251</v>
      </c>
      <c r="N13462" t="s">
        <v>27252</v>
      </c>
      <c r="Q13462" s="1">
        <v>44846</v>
      </c>
      <c r="R13462" t="s">
        <v>27253</v>
      </c>
      <c r="S13462" t="s">
        <v>27254</v>
      </c>
      <c r="T13462" t="s">
        <v>27265</v>
      </c>
    </row>
    <row r="13463" spans="1:20" x14ac:dyDescent="0.3">
      <c r="A13463" t="str">
        <f>"0611861071050"</f>
        <v>0611861071050</v>
      </c>
      <c r="B13463" t="str">
        <f>"CR4755"</f>
        <v>CR4755</v>
      </c>
      <c r="C13463" t="s">
        <v>53300</v>
      </c>
      <c r="D13463" t="s">
        <v>27263</v>
      </c>
      <c r="E13463" t="str">
        <f t="shared" si="210"/>
        <v>001390</v>
      </c>
      <c r="F13463" t="s">
        <v>27246</v>
      </c>
      <c r="G13463" t="s">
        <v>27247</v>
      </c>
      <c r="H13463" t="s">
        <v>27248</v>
      </c>
      <c r="I13463" t="s">
        <v>53301</v>
      </c>
      <c r="J13463" t="s">
        <v>26895</v>
      </c>
      <c r="L13463" t="s">
        <v>27250</v>
      </c>
      <c r="M13463" t="s">
        <v>27251</v>
      </c>
      <c r="N13463" t="s">
        <v>27252</v>
      </c>
      <c r="Q13463" s="1">
        <v>44846</v>
      </c>
      <c r="R13463" t="s">
        <v>27253</v>
      </c>
      <c r="S13463" t="s">
        <v>27254</v>
      </c>
      <c r="T13463" t="s">
        <v>27265</v>
      </c>
    </row>
    <row r="13464" spans="1:20" x14ac:dyDescent="0.3">
      <c r="A13464" t="str">
        <f>"0611861072050"</f>
        <v>0611861072050</v>
      </c>
      <c r="B13464" t="str">
        <f>"CR4756"</f>
        <v>CR4756</v>
      </c>
      <c r="C13464" t="s">
        <v>53302</v>
      </c>
      <c r="D13464" t="s">
        <v>27263</v>
      </c>
      <c r="E13464" t="str">
        <f t="shared" si="210"/>
        <v>001390</v>
      </c>
      <c r="F13464" t="s">
        <v>27246</v>
      </c>
      <c r="G13464" t="s">
        <v>27247</v>
      </c>
      <c r="H13464" t="s">
        <v>27248</v>
      </c>
      <c r="I13464" t="s">
        <v>53303</v>
      </c>
      <c r="J13464" t="s">
        <v>26897</v>
      </c>
      <c r="L13464" t="s">
        <v>27250</v>
      </c>
      <c r="M13464" t="s">
        <v>27251</v>
      </c>
      <c r="N13464" t="s">
        <v>27252</v>
      </c>
      <c r="Q13464" s="1">
        <v>44846</v>
      </c>
      <c r="R13464" t="s">
        <v>27253</v>
      </c>
      <c r="S13464" t="s">
        <v>27254</v>
      </c>
      <c r="T13464" t="s">
        <v>27265</v>
      </c>
    </row>
    <row r="13465" spans="1:20" x14ac:dyDescent="0.3">
      <c r="A13465" t="str">
        <f>"0611861073050"</f>
        <v>0611861073050</v>
      </c>
      <c r="B13465" t="str">
        <f>"CR4757"</f>
        <v>CR4757</v>
      </c>
      <c r="C13465" t="s">
        <v>53304</v>
      </c>
      <c r="D13465" t="s">
        <v>27263</v>
      </c>
      <c r="E13465" t="str">
        <f t="shared" si="210"/>
        <v>001390</v>
      </c>
      <c r="F13465" t="s">
        <v>27246</v>
      </c>
      <c r="G13465" t="s">
        <v>27247</v>
      </c>
      <c r="H13465" t="s">
        <v>27248</v>
      </c>
      <c r="I13465" t="s">
        <v>53305</v>
      </c>
      <c r="J13465" t="s">
        <v>26899</v>
      </c>
      <c r="L13465" t="s">
        <v>27250</v>
      </c>
      <c r="M13465" t="s">
        <v>27251</v>
      </c>
      <c r="N13465" t="s">
        <v>27252</v>
      </c>
      <c r="Q13465" s="1">
        <v>44846</v>
      </c>
      <c r="R13465" t="s">
        <v>27253</v>
      </c>
      <c r="S13465" t="s">
        <v>27254</v>
      </c>
      <c r="T13465" t="s">
        <v>27265</v>
      </c>
    </row>
    <row r="13466" spans="1:20" x14ac:dyDescent="0.3">
      <c r="A13466" t="str">
        <f>"0611861074050"</f>
        <v>0611861074050</v>
      </c>
      <c r="B13466" t="str">
        <f>"CR5117"</f>
        <v>CR5117</v>
      </c>
      <c r="C13466" t="s">
        <v>53306</v>
      </c>
      <c r="D13466" t="s">
        <v>27263</v>
      </c>
      <c r="E13466" t="str">
        <f t="shared" si="210"/>
        <v>001390</v>
      </c>
      <c r="F13466" t="s">
        <v>27246</v>
      </c>
      <c r="G13466" t="s">
        <v>27247</v>
      </c>
      <c r="H13466" t="s">
        <v>27248</v>
      </c>
      <c r="I13466" t="s">
        <v>53307</v>
      </c>
      <c r="J13466" t="s">
        <v>26901</v>
      </c>
      <c r="L13466" t="s">
        <v>27250</v>
      </c>
      <c r="M13466" t="s">
        <v>27251</v>
      </c>
      <c r="N13466" t="s">
        <v>27252</v>
      </c>
      <c r="Q13466" s="1">
        <v>44846</v>
      </c>
      <c r="R13466" t="s">
        <v>27253</v>
      </c>
      <c r="S13466" t="s">
        <v>27254</v>
      </c>
      <c r="T13466" t="s">
        <v>27265</v>
      </c>
    </row>
    <row r="13467" spans="1:20" x14ac:dyDescent="0.3">
      <c r="A13467" t="str">
        <f>"0611861075050"</f>
        <v>0611861075050</v>
      </c>
      <c r="B13467" t="str">
        <f>"CR5123"</f>
        <v>CR5123</v>
      </c>
      <c r="C13467" t="s">
        <v>53308</v>
      </c>
      <c r="D13467" t="s">
        <v>27263</v>
      </c>
      <c r="E13467" t="str">
        <f t="shared" si="210"/>
        <v>001390</v>
      </c>
      <c r="F13467" t="s">
        <v>27246</v>
      </c>
      <c r="G13467" t="s">
        <v>27247</v>
      </c>
      <c r="H13467" t="s">
        <v>27248</v>
      </c>
      <c r="I13467" t="s">
        <v>53309</v>
      </c>
      <c r="J13467" t="s">
        <v>26903</v>
      </c>
      <c r="L13467" t="s">
        <v>27250</v>
      </c>
      <c r="M13467" t="s">
        <v>27251</v>
      </c>
      <c r="N13467" t="s">
        <v>27252</v>
      </c>
      <c r="Q13467" s="1">
        <v>44846</v>
      </c>
      <c r="R13467" t="s">
        <v>27253</v>
      </c>
      <c r="S13467" t="s">
        <v>27254</v>
      </c>
      <c r="T13467" t="s">
        <v>27265</v>
      </c>
    </row>
    <row r="13468" spans="1:20" x14ac:dyDescent="0.3">
      <c r="A13468" t="str">
        <f>"0611861076050"</f>
        <v>0611861076050</v>
      </c>
      <c r="B13468" t="str">
        <f>"CR4652"</f>
        <v>CR4652</v>
      </c>
      <c r="C13468" t="s">
        <v>53310</v>
      </c>
      <c r="D13468" t="s">
        <v>27263</v>
      </c>
      <c r="E13468" t="str">
        <f t="shared" si="210"/>
        <v>001390</v>
      </c>
      <c r="F13468" t="s">
        <v>27246</v>
      </c>
      <c r="G13468" t="s">
        <v>27247</v>
      </c>
      <c r="H13468" t="s">
        <v>27248</v>
      </c>
      <c r="I13468" t="s">
        <v>53311</v>
      </c>
      <c r="J13468" t="s">
        <v>26905</v>
      </c>
      <c r="L13468" t="s">
        <v>27250</v>
      </c>
      <c r="M13468" t="s">
        <v>27251</v>
      </c>
      <c r="N13468" t="s">
        <v>27252</v>
      </c>
      <c r="Q13468" s="1">
        <v>44846</v>
      </c>
      <c r="R13468" t="s">
        <v>27253</v>
      </c>
      <c r="S13468" t="s">
        <v>27254</v>
      </c>
      <c r="T13468" t="s">
        <v>27265</v>
      </c>
    </row>
    <row r="13469" spans="1:20" x14ac:dyDescent="0.3">
      <c r="A13469" t="str">
        <f>"0611861077050"</f>
        <v>0611861077050</v>
      </c>
      <c r="B13469" t="str">
        <f>"CR5118"</f>
        <v>CR5118</v>
      </c>
      <c r="C13469" t="s">
        <v>53312</v>
      </c>
      <c r="D13469" t="s">
        <v>27263</v>
      </c>
      <c r="E13469" t="str">
        <f t="shared" si="210"/>
        <v>001390</v>
      </c>
      <c r="F13469" t="s">
        <v>27246</v>
      </c>
      <c r="G13469" t="s">
        <v>27247</v>
      </c>
      <c r="H13469" t="s">
        <v>27248</v>
      </c>
      <c r="I13469" t="s">
        <v>53313</v>
      </c>
      <c r="J13469" t="s">
        <v>26907</v>
      </c>
      <c r="L13469" t="s">
        <v>27250</v>
      </c>
      <c r="M13469" t="s">
        <v>27251</v>
      </c>
      <c r="N13469" t="s">
        <v>27252</v>
      </c>
      <c r="Q13469" s="1">
        <v>44846</v>
      </c>
      <c r="R13469" t="s">
        <v>27253</v>
      </c>
      <c r="S13469" t="s">
        <v>27254</v>
      </c>
      <c r="T13469" t="s">
        <v>27265</v>
      </c>
    </row>
    <row r="13470" spans="1:20" x14ac:dyDescent="0.3">
      <c r="A13470" t="str">
        <f>"0611861078050"</f>
        <v>0611861078050</v>
      </c>
      <c r="B13470" t="str">
        <f>"CR4759"</f>
        <v>CR4759</v>
      </c>
      <c r="C13470" t="s">
        <v>53314</v>
      </c>
      <c r="D13470" t="s">
        <v>27263</v>
      </c>
      <c r="E13470" t="str">
        <f t="shared" si="210"/>
        <v>001390</v>
      </c>
      <c r="F13470" t="s">
        <v>27246</v>
      </c>
      <c r="G13470" t="s">
        <v>27247</v>
      </c>
      <c r="H13470" t="s">
        <v>27248</v>
      </c>
      <c r="I13470" t="s">
        <v>53315</v>
      </c>
      <c r="J13470" t="s">
        <v>26909</v>
      </c>
      <c r="L13470" t="s">
        <v>27250</v>
      </c>
      <c r="M13470" t="s">
        <v>27251</v>
      </c>
      <c r="N13470" t="s">
        <v>27252</v>
      </c>
      <c r="Q13470" s="1">
        <v>44846</v>
      </c>
      <c r="R13470" t="s">
        <v>27253</v>
      </c>
      <c r="S13470" t="s">
        <v>27254</v>
      </c>
      <c r="T13470" t="s">
        <v>27265</v>
      </c>
    </row>
    <row r="13471" spans="1:20" x14ac:dyDescent="0.3">
      <c r="A13471" t="str">
        <f>"0611861079050"</f>
        <v>0611861079050</v>
      </c>
      <c r="B13471" t="str">
        <f>"CR5119"</f>
        <v>CR5119</v>
      </c>
      <c r="C13471" t="s">
        <v>53316</v>
      </c>
      <c r="D13471" t="s">
        <v>27263</v>
      </c>
      <c r="E13471" t="str">
        <f t="shared" si="210"/>
        <v>001390</v>
      </c>
      <c r="F13471" t="s">
        <v>27246</v>
      </c>
      <c r="G13471" t="s">
        <v>27247</v>
      </c>
      <c r="H13471" t="s">
        <v>27248</v>
      </c>
      <c r="I13471" t="s">
        <v>53317</v>
      </c>
      <c r="J13471" t="s">
        <v>26911</v>
      </c>
      <c r="L13471" t="s">
        <v>27250</v>
      </c>
      <c r="M13471" t="s">
        <v>27251</v>
      </c>
      <c r="N13471" t="s">
        <v>27252</v>
      </c>
      <c r="Q13471" s="1">
        <v>44846</v>
      </c>
      <c r="R13471" t="s">
        <v>27253</v>
      </c>
      <c r="S13471" t="s">
        <v>27254</v>
      </c>
      <c r="T13471" t="s">
        <v>27265</v>
      </c>
    </row>
    <row r="13472" spans="1:20" x14ac:dyDescent="0.3">
      <c r="A13472" t="str">
        <f>"0611884530100"</f>
        <v>0611884530100</v>
      </c>
      <c r="B13472" t="str">
        <f>"LK7199"</f>
        <v>LK7199</v>
      </c>
      <c r="C13472" t="s">
        <v>53318</v>
      </c>
      <c r="D13472" t="s">
        <v>27245</v>
      </c>
      <c r="E13472" t="str">
        <f t="shared" si="210"/>
        <v>001390</v>
      </c>
      <c r="F13472" t="s">
        <v>27246</v>
      </c>
      <c r="G13472" t="s">
        <v>27247</v>
      </c>
      <c r="H13472" t="s">
        <v>27248</v>
      </c>
      <c r="I13472" t="s">
        <v>53319</v>
      </c>
      <c r="J13472" t="s">
        <v>26927</v>
      </c>
      <c r="L13472" t="s">
        <v>27430</v>
      </c>
      <c r="M13472" t="s">
        <v>27251</v>
      </c>
      <c r="N13472" t="s">
        <v>27252</v>
      </c>
      <c r="Q13472" s="1">
        <v>45250</v>
      </c>
      <c r="R13472" t="s">
        <v>27253</v>
      </c>
      <c r="S13472" t="s">
        <v>27254</v>
      </c>
      <c r="T13472" t="s">
        <v>27255</v>
      </c>
    </row>
    <row r="13473" spans="1:20" x14ac:dyDescent="0.3">
      <c r="A13473" t="str">
        <f>"0611840746100"</f>
        <v>0611840746100</v>
      </c>
      <c r="B13473" t="str">
        <f>"LB9540"</f>
        <v>LB9540</v>
      </c>
      <c r="C13473" t="s">
        <v>53320</v>
      </c>
      <c r="D13473" t="s">
        <v>27245</v>
      </c>
      <c r="E13473" t="str">
        <f t="shared" si="210"/>
        <v>001390</v>
      </c>
      <c r="F13473" t="s">
        <v>27246</v>
      </c>
      <c r="G13473" t="s">
        <v>27247</v>
      </c>
      <c r="H13473" t="s">
        <v>27248</v>
      </c>
      <c r="I13473" t="s">
        <v>53321</v>
      </c>
      <c r="J13473" t="s">
        <v>26929</v>
      </c>
      <c r="L13473" t="s">
        <v>27250</v>
      </c>
      <c r="M13473" t="s">
        <v>27251</v>
      </c>
      <c r="N13473" t="s">
        <v>27252</v>
      </c>
      <c r="Q13473" s="1">
        <v>44538</v>
      </c>
      <c r="R13473" t="s">
        <v>27253</v>
      </c>
      <c r="S13473" t="s">
        <v>27254</v>
      </c>
      <c r="T13473" t="s">
        <v>27255</v>
      </c>
    </row>
    <row r="13474" spans="1:20" x14ac:dyDescent="0.3">
      <c r="A13474" t="str">
        <f>"0611840747100"</f>
        <v>0611840747100</v>
      </c>
      <c r="B13474" t="str">
        <f>"LB9544"</f>
        <v>LB9544</v>
      </c>
      <c r="C13474" t="s">
        <v>53322</v>
      </c>
      <c r="D13474" t="s">
        <v>27245</v>
      </c>
      <c r="E13474" t="str">
        <f t="shared" si="210"/>
        <v>001390</v>
      </c>
      <c r="F13474" t="s">
        <v>27246</v>
      </c>
      <c r="G13474" t="s">
        <v>27247</v>
      </c>
      <c r="H13474" t="s">
        <v>27248</v>
      </c>
      <c r="I13474" t="s">
        <v>53323</v>
      </c>
      <c r="J13474" t="s">
        <v>26931</v>
      </c>
      <c r="L13474" t="s">
        <v>27250</v>
      </c>
      <c r="M13474" t="s">
        <v>27251</v>
      </c>
      <c r="N13474" t="s">
        <v>27252</v>
      </c>
      <c r="Q13474" s="1">
        <v>44538</v>
      </c>
      <c r="R13474" t="s">
        <v>27253</v>
      </c>
      <c r="S13474" t="s">
        <v>27254</v>
      </c>
      <c r="T13474" t="s">
        <v>27255</v>
      </c>
    </row>
    <row r="13475" spans="1:20" x14ac:dyDescent="0.3">
      <c r="A13475" t="str">
        <f>"0611840748100"</f>
        <v>0611840748100</v>
      </c>
      <c r="B13475" t="str">
        <f>"LB9545"</f>
        <v>LB9545</v>
      </c>
      <c r="C13475" t="s">
        <v>53324</v>
      </c>
      <c r="D13475" t="s">
        <v>27245</v>
      </c>
      <c r="E13475" t="str">
        <f t="shared" si="210"/>
        <v>001390</v>
      </c>
      <c r="F13475" t="s">
        <v>27246</v>
      </c>
      <c r="G13475" t="s">
        <v>27247</v>
      </c>
      <c r="H13475" t="s">
        <v>27248</v>
      </c>
      <c r="I13475" t="s">
        <v>53325</v>
      </c>
      <c r="J13475" t="s">
        <v>26933</v>
      </c>
      <c r="L13475" t="s">
        <v>27250</v>
      </c>
      <c r="M13475" t="s">
        <v>27251</v>
      </c>
      <c r="N13475" t="s">
        <v>27252</v>
      </c>
      <c r="Q13475" s="1">
        <v>44538</v>
      </c>
      <c r="R13475" t="s">
        <v>27253</v>
      </c>
      <c r="S13475" t="s">
        <v>27254</v>
      </c>
      <c r="T13475" t="s">
        <v>27255</v>
      </c>
    </row>
    <row r="13476" spans="1:20" x14ac:dyDescent="0.3">
      <c r="A13476" t="str">
        <f>"0611840749100"</f>
        <v>0611840749100</v>
      </c>
      <c r="B13476" t="str">
        <f>"LK1819"</f>
        <v>LK1819</v>
      </c>
      <c r="C13476" t="s">
        <v>53326</v>
      </c>
      <c r="D13476" t="s">
        <v>27245</v>
      </c>
      <c r="E13476" t="str">
        <f t="shared" si="210"/>
        <v>001390</v>
      </c>
      <c r="F13476" t="s">
        <v>27246</v>
      </c>
      <c r="G13476" t="s">
        <v>27247</v>
      </c>
      <c r="H13476" t="s">
        <v>27248</v>
      </c>
      <c r="I13476" t="s">
        <v>53327</v>
      </c>
      <c r="J13476" t="s">
        <v>26935</v>
      </c>
      <c r="L13476" t="s">
        <v>27250</v>
      </c>
      <c r="M13476" t="s">
        <v>27251</v>
      </c>
      <c r="N13476" t="s">
        <v>27252</v>
      </c>
      <c r="Q13476" s="1">
        <v>44538</v>
      </c>
      <c r="R13476" t="s">
        <v>27253</v>
      </c>
      <c r="S13476" t="s">
        <v>27254</v>
      </c>
      <c r="T13476" t="s">
        <v>27255</v>
      </c>
    </row>
    <row r="13477" spans="1:20" x14ac:dyDescent="0.3">
      <c r="A13477" t="str">
        <f>"0611840750100"</f>
        <v>0611840750100</v>
      </c>
      <c r="B13477" t="str">
        <f>"LB9537"</f>
        <v>LB9537</v>
      </c>
      <c r="C13477" t="s">
        <v>53328</v>
      </c>
      <c r="D13477" t="s">
        <v>27245</v>
      </c>
      <c r="E13477" t="str">
        <f t="shared" si="210"/>
        <v>001390</v>
      </c>
      <c r="F13477" t="s">
        <v>27246</v>
      </c>
      <c r="G13477" t="s">
        <v>27247</v>
      </c>
      <c r="H13477" t="s">
        <v>27248</v>
      </c>
      <c r="I13477" t="s">
        <v>53329</v>
      </c>
      <c r="J13477" t="s">
        <v>26937</v>
      </c>
      <c r="L13477" t="s">
        <v>27250</v>
      </c>
      <c r="M13477" t="s">
        <v>27251</v>
      </c>
      <c r="N13477" t="s">
        <v>27252</v>
      </c>
      <c r="Q13477" s="1">
        <v>44538</v>
      </c>
      <c r="R13477" t="s">
        <v>27253</v>
      </c>
      <c r="S13477" t="s">
        <v>27254</v>
      </c>
      <c r="T13477" t="s">
        <v>27255</v>
      </c>
    </row>
    <row r="13478" spans="1:20" x14ac:dyDescent="0.3">
      <c r="A13478" t="str">
        <f>"0611840751100"</f>
        <v>0611840751100</v>
      </c>
      <c r="B13478" t="str">
        <f>"LB9547"</f>
        <v>LB9547</v>
      </c>
      <c r="C13478" t="s">
        <v>53330</v>
      </c>
      <c r="D13478" t="s">
        <v>27245</v>
      </c>
      <c r="E13478" t="str">
        <f t="shared" si="210"/>
        <v>001390</v>
      </c>
      <c r="F13478" t="s">
        <v>27246</v>
      </c>
      <c r="G13478" t="s">
        <v>27247</v>
      </c>
      <c r="H13478" t="s">
        <v>27248</v>
      </c>
      <c r="I13478" t="s">
        <v>53331</v>
      </c>
      <c r="J13478" t="s">
        <v>26939</v>
      </c>
      <c r="L13478" t="s">
        <v>27250</v>
      </c>
      <c r="M13478" t="s">
        <v>27251</v>
      </c>
      <c r="N13478" t="s">
        <v>27252</v>
      </c>
      <c r="Q13478" s="1">
        <v>44538</v>
      </c>
      <c r="R13478" t="s">
        <v>27253</v>
      </c>
      <c r="S13478" t="s">
        <v>27254</v>
      </c>
      <c r="T13478" t="s">
        <v>27255</v>
      </c>
    </row>
    <row r="13479" spans="1:20" x14ac:dyDescent="0.3">
      <c r="A13479" t="str">
        <f>"0611840752100"</f>
        <v>0611840752100</v>
      </c>
      <c r="B13479" t="str">
        <f>"LB9548"</f>
        <v>LB9548</v>
      </c>
      <c r="C13479" t="s">
        <v>53332</v>
      </c>
      <c r="D13479" t="s">
        <v>27245</v>
      </c>
      <c r="E13479" t="str">
        <f t="shared" si="210"/>
        <v>001390</v>
      </c>
      <c r="F13479" t="s">
        <v>27246</v>
      </c>
      <c r="G13479" t="s">
        <v>27247</v>
      </c>
      <c r="H13479" t="s">
        <v>27248</v>
      </c>
      <c r="I13479" t="s">
        <v>53333</v>
      </c>
      <c r="J13479" t="s">
        <v>26941</v>
      </c>
      <c r="L13479" t="s">
        <v>27250</v>
      </c>
      <c r="M13479" t="s">
        <v>27251</v>
      </c>
      <c r="N13479" t="s">
        <v>27252</v>
      </c>
      <c r="Q13479" s="1">
        <v>44538</v>
      </c>
      <c r="R13479" t="s">
        <v>27253</v>
      </c>
      <c r="S13479" t="s">
        <v>27254</v>
      </c>
      <c r="T13479" t="s">
        <v>27255</v>
      </c>
    </row>
    <row r="13480" spans="1:20" x14ac:dyDescent="0.3">
      <c r="A13480" t="str">
        <f>"0611840753100"</f>
        <v>0611840753100</v>
      </c>
      <c r="B13480" t="str">
        <f>"LK4398"</f>
        <v>LK4398</v>
      </c>
      <c r="C13480" t="s">
        <v>53334</v>
      </c>
      <c r="D13480" t="s">
        <v>27245</v>
      </c>
      <c r="E13480" t="str">
        <f t="shared" si="210"/>
        <v>001390</v>
      </c>
      <c r="F13480" t="s">
        <v>27246</v>
      </c>
      <c r="G13480" t="s">
        <v>27247</v>
      </c>
      <c r="H13480" t="s">
        <v>27248</v>
      </c>
      <c r="I13480" t="s">
        <v>53335</v>
      </c>
      <c r="J13480" t="s">
        <v>26943</v>
      </c>
      <c r="L13480" t="s">
        <v>27250</v>
      </c>
      <c r="M13480" t="s">
        <v>27251</v>
      </c>
      <c r="N13480" t="s">
        <v>27252</v>
      </c>
      <c r="Q13480" s="1">
        <v>44538</v>
      </c>
      <c r="R13480" t="s">
        <v>27253</v>
      </c>
      <c r="S13480" t="s">
        <v>27254</v>
      </c>
      <c r="T13480" t="s">
        <v>27255</v>
      </c>
    </row>
    <row r="13481" spans="1:20" x14ac:dyDescent="0.3">
      <c r="A13481" t="str">
        <f>"0611840754100"</f>
        <v>0611840754100</v>
      </c>
      <c r="B13481" t="str">
        <f>"LK4399"</f>
        <v>LK4399</v>
      </c>
      <c r="C13481" t="s">
        <v>53336</v>
      </c>
      <c r="D13481" t="s">
        <v>27245</v>
      </c>
      <c r="E13481" t="str">
        <f t="shared" si="210"/>
        <v>001390</v>
      </c>
      <c r="F13481" t="s">
        <v>27246</v>
      </c>
      <c r="G13481" t="s">
        <v>27247</v>
      </c>
      <c r="H13481" t="s">
        <v>27248</v>
      </c>
      <c r="I13481" t="s">
        <v>53337</v>
      </c>
      <c r="J13481" t="s">
        <v>26945</v>
      </c>
      <c r="L13481" t="s">
        <v>27250</v>
      </c>
      <c r="M13481" t="s">
        <v>27251</v>
      </c>
      <c r="N13481" t="s">
        <v>27252</v>
      </c>
      <c r="Q13481" s="1">
        <v>44538</v>
      </c>
      <c r="R13481" t="s">
        <v>27253</v>
      </c>
      <c r="S13481" t="s">
        <v>27254</v>
      </c>
      <c r="T13481" t="s">
        <v>27255</v>
      </c>
    </row>
    <row r="13482" spans="1:20" x14ac:dyDescent="0.3">
      <c r="A13482" t="str">
        <f>"0611840755100"</f>
        <v>0611840755100</v>
      </c>
      <c r="B13482" t="str">
        <f>"LB9422"</f>
        <v>LB9422</v>
      </c>
      <c r="C13482" t="s">
        <v>53338</v>
      </c>
      <c r="D13482" t="s">
        <v>27245</v>
      </c>
      <c r="E13482" t="str">
        <f t="shared" si="210"/>
        <v>001390</v>
      </c>
      <c r="F13482" t="s">
        <v>27246</v>
      </c>
      <c r="G13482" t="s">
        <v>27247</v>
      </c>
      <c r="H13482" t="s">
        <v>27248</v>
      </c>
      <c r="I13482" t="s">
        <v>53339</v>
      </c>
      <c r="J13482" t="s">
        <v>26947</v>
      </c>
      <c r="L13482" t="s">
        <v>27250</v>
      </c>
      <c r="M13482" t="s">
        <v>27251</v>
      </c>
      <c r="N13482" t="s">
        <v>27252</v>
      </c>
      <c r="Q13482" s="1">
        <v>44538</v>
      </c>
      <c r="R13482" t="s">
        <v>27253</v>
      </c>
      <c r="S13482" t="s">
        <v>27254</v>
      </c>
      <c r="T13482" t="s">
        <v>27255</v>
      </c>
    </row>
    <row r="13483" spans="1:20" x14ac:dyDescent="0.3">
      <c r="A13483" t="str">
        <f>"0611840756100"</f>
        <v>0611840756100</v>
      </c>
      <c r="B13483" t="str">
        <f>"LK6528"</f>
        <v>LK6528</v>
      </c>
      <c r="C13483" t="s">
        <v>53340</v>
      </c>
      <c r="D13483" t="s">
        <v>27245</v>
      </c>
      <c r="E13483" t="str">
        <f t="shared" si="210"/>
        <v>001390</v>
      </c>
      <c r="F13483" t="s">
        <v>27246</v>
      </c>
      <c r="G13483" t="s">
        <v>27247</v>
      </c>
      <c r="H13483" t="s">
        <v>27248</v>
      </c>
      <c r="I13483" t="s">
        <v>53341</v>
      </c>
      <c r="J13483" t="s">
        <v>26949</v>
      </c>
      <c r="L13483" t="s">
        <v>27250</v>
      </c>
      <c r="M13483" t="s">
        <v>27251</v>
      </c>
      <c r="N13483" t="s">
        <v>27252</v>
      </c>
      <c r="Q13483" s="1">
        <v>44538</v>
      </c>
      <c r="R13483" t="s">
        <v>27253</v>
      </c>
      <c r="S13483" t="s">
        <v>27254</v>
      </c>
      <c r="T13483" t="s">
        <v>27255</v>
      </c>
    </row>
    <row r="13484" spans="1:20" x14ac:dyDescent="0.3">
      <c r="A13484" t="str">
        <f>"0611840758100"</f>
        <v>0611840758100</v>
      </c>
      <c r="B13484" t="str">
        <f>"LK1061"</f>
        <v>LK1061</v>
      </c>
      <c r="C13484" t="s">
        <v>53342</v>
      </c>
      <c r="D13484" t="s">
        <v>27245</v>
      </c>
      <c r="E13484" t="str">
        <f t="shared" si="210"/>
        <v>001390</v>
      </c>
      <c r="F13484" t="s">
        <v>27246</v>
      </c>
      <c r="G13484" t="s">
        <v>27247</v>
      </c>
      <c r="H13484" t="s">
        <v>27248</v>
      </c>
      <c r="I13484" t="s">
        <v>53343</v>
      </c>
      <c r="J13484" t="s">
        <v>26951</v>
      </c>
      <c r="L13484" t="s">
        <v>27250</v>
      </c>
      <c r="M13484" t="s">
        <v>27251</v>
      </c>
      <c r="N13484" t="s">
        <v>27252</v>
      </c>
      <c r="Q13484" s="1">
        <v>44538</v>
      </c>
      <c r="R13484" t="s">
        <v>27253</v>
      </c>
      <c r="S13484" t="s">
        <v>27254</v>
      </c>
      <c r="T13484" t="s">
        <v>27255</v>
      </c>
    </row>
    <row r="13485" spans="1:20" x14ac:dyDescent="0.3">
      <c r="A13485" t="str">
        <f>"0611840760100"</f>
        <v>0611840760100</v>
      </c>
      <c r="B13485" t="str">
        <f>"LB9481"</f>
        <v>LB9481</v>
      </c>
      <c r="C13485" t="s">
        <v>53344</v>
      </c>
      <c r="D13485" t="s">
        <v>27245</v>
      </c>
      <c r="E13485" t="str">
        <f t="shared" si="210"/>
        <v>001390</v>
      </c>
      <c r="F13485" t="s">
        <v>27246</v>
      </c>
      <c r="G13485" t="s">
        <v>27247</v>
      </c>
      <c r="H13485" t="s">
        <v>27248</v>
      </c>
      <c r="I13485" t="s">
        <v>53345</v>
      </c>
      <c r="J13485" t="s">
        <v>26953</v>
      </c>
      <c r="L13485" t="s">
        <v>27250</v>
      </c>
      <c r="M13485" t="s">
        <v>27251</v>
      </c>
      <c r="N13485" t="s">
        <v>27252</v>
      </c>
      <c r="Q13485" s="1">
        <v>44538</v>
      </c>
      <c r="R13485" t="s">
        <v>27253</v>
      </c>
      <c r="S13485" t="s">
        <v>27254</v>
      </c>
      <c r="T13485" t="s">
        <v>27255</v>
      </c>
    </row>
    <row r="13486" spans="1:20" x14ac:dyDescent="0.3">
      <c r="A13486" t="str">
        <f>"0611840761100"</f>
        <v>0611840761100</v>
      </c>
      <c r="B13486" t="str">
        <f>"LK1062"</f>
        <v>LK1062</v>
      </c>
      <c r="C13486" t="s">
        <v>53346</v>
      </c>
      <c r="D13486" t="s">
        <v>27245</v>
      </c>
      <c r="E13486" t="str">
        <f t="shared" si="210"/>
        <v>001390</v>
      </c>
      <c r="F13486" t="s">
        <v>27246</v>
      </c>
      <c r="G13486" t="s">
        <v>27247</v>
      </c>
      <c r="H13486" t="s">
        <v>27248</v>
      </c>
      <c r="I13486" t="s">
        <v>53347</v>
      </c>
      <c r="J13486" t="s">
        <v>26955</v>
      </c>
      <c r="L13486" t="s">
        <v>27250</v>
      </c>
      <c r="M13486" t="s">
        <v>27251</v>
      </c>
      <c r="N13486" t="s">
        <v>27252</v>
      </c>
      <c r="Q13486" s="1">
        <v>44538</v>
      </c>
      <c r="R13486" t="s">
        <v>27253</v>
      </c>
      <c r="S13486" t="s">
        <v>27254</v>
      </c>
      <c r="T13486" t="s">
        <v>27255</v>
      </c>
    </row>
    <row r="13487" spans="1:20" x14ac:dyDescent="0.3">
      <c r="A13487" t="str">
        <f>"0611840762100"</f>
        <v>0611840762100</v>
      </c>
      <c r="B13487" t="str">
        <f>"LB9437"</f>
        <v>LB9437</v>
      </c>
      <c r="C13487" t="s">
        <v>53348</v>
      </c>
      <c r="D13487" t="s">
        <v>27245</v>
      </c>
      <c r="E13487" t="str">
        <f t="shared" si="210"/>
        <v>001390</v>
      </c>
      <c r="F13487" t="s">
        <v>27246</v>
      </c>
      <c r="G13487" t="s">
        <v>27247</v>
      </c>
      <c r="H13487" t="s">
        <v>27248</v>
      </c>
      <c r="I13487" t="s">
        <v>53349</v>
      </c>
      <c r="J13487" t="s">
        <v>26957</v>
      </c>
      <c r="L13487" t="s">
        <v>27250</v>
      </c>
      <c r="M13487" t="s">
        <v>27251</v>
      </c>
      <c r="N13487" t="s">
        <v>27252</v>
      </c>
      <c r="Q13487" s="1">
        <v>44538</v>
      </c>
      <c r="R13487" t="s">
        <v>27253</v>
      </c>
      <c r="S13487" t="s">
        <v>27254</v>
      </c>
      <c r="T13487" t="s">
        <v>27255</v>
      </c>
    </row>
    <row r="13488" spans="1:20" x14ac:dyDescent="0.3">
      <c r="A13488" t="str">
        <f>"0611840763100"</f>
        <v>0611840763100</v>
      </c>
      <c r="B13488" t="str">
        <f>"LB9459"</f>
        <v>LB9459</v>
      </c>
      <c r="C13488" t="s">
        <v>53350</v>
      </c>
      <c r="D13488" t="s">
        <v>27245</v>
      </c>
      <c r="E13488" t="str">
        <f t="shared" si="210"/>
        <v>001390</v>
      </c>
      <c r="F13488" t="s">
        <v>27246</v>
      </c>
      <c r="G13488" t="s">
        <v>27247</v>
      </c>
      <c r="H13488" t="s">
        <v>27248</v>
      </c>
      <c r="I13488" t="s">
        <v>53351</v>
      </c>
      <c r="J13488" t="s">
        <v>26981</v>
      </c>
      <c r="L13488" t="s">
        <v>27250</v>
      </c>
      <c r="M13488" t="s">
        <v>27251</v>
      </c>
      <c r="N13488" t="s">
        <v>27252</v>
      </c>
      <c r="Q13488" s="1">
        <v>44538</v>
      </c>
      <c r="R13488" t="s">
        <v>27253</v>
      </c>
      <c r="S13488" t="s">
        <v>27254</v>
      </c>
      <c r="T13488" t="s">
        <v>27255</v>
      </c>
    </row>
    <row r="13489" spans="1:20" x14ac:dyDescent="0.3">
      <c r="A13489" t="str">
        <f>"0611840764100"</f>
        <v>0611840764100</v>
      </c>
      <c r="B13489" t="str">
        <f>"LB9464"</f>
        <v>LB9464</v>
      </c>
      <c r="C13489" t="s">
        <v>53352</v>
      </c>
      <c r="D13489" t="s">
        <v>27245</v>
      </c>
      <c r="E13489" t="str">
        <f t="shared" si="210"/>
        <v>001390</v>
      </c>
      <c r="F13489" t="s">
        <v>27246</v>
      </c>
      <c r="G13489" t="s">
        <v>27247</v>
      </c>
      <c r="H13489" t="s">
        <v>27248</v>
      </c>
      <c r="I13489" t="s">
        <v>53353</v>
      </c>
      <c r="J13489" t="s">
        <v>26983</v>
      </c>
      <c r="L13489" t="s">
        <v>27250</v>
      </c>
      <c r="M13489" t="s">
        <v>27251</v>
      </c>
      <c r="N13489" t="s">
        <v>27252</v>
      </c>
      <c r="Q13489" s="1">
        <v>44538</v>
      </c>
      <c r="R13489" t="s">
        <v>27253</v>
      </c>
      <c r="S13489" t="s">
        <v>27254</v>
      </c>
      <c r="T13489" t="s">
        <v>27255</v>
      </c>
    </row>
    <row r="13490" spans="1:20" x14ac:dyDescent="0.3">
      <c r="A13490" t="str">
        <f>"0611840765100"</f>
        <v>0611840765100</v>
      </c>
      <c r="B13490" t="str">
        <f>"LB9463"</f>
        <v>LB9463</v>
      </c>
      <c r="C13490" t="s">
        <v>53354</v>
      </c>
      <c r="D13490" t="s">
        <v>27245</v>
      </c>
      <c r="E13490" t="str">
        <f t="shared" si="210"/>
        <v>001390</v>
      </c>
      <c r="F13490" t="s">
        <v>27246</v>
      </c>
      <c r="G13490" t="s">
        <v>27247</v>
      </c>
      <c r="H13490" t="s">
        <v>27248</v>
      </c>
      <c r="I13490" t="s">
        <v>53355</v>
      </c>
      <c r="J13490" t="s">
        <v>26985</v>
      </c>
      <c r="L13490" t="s">
        <v>27250</v>
      </c>
      <c r="M13490" t="s">
        <v>27251</v>
      </c>
      <c r="N13490" t="s">
        <v>27252</v>
      </c>
      <c r="Q13490" s="1">
        <v>44538</v>
      </c>
      <c r="R13490" t="s">
        <v>27253</v>
      </c>
      <c r="S13490" t="s">
        <v>27254</v>
      </c>
      <c r="T13490" t="s">
        <v>27255</v>
      </c>
    </row>
    <row r="13491" spans="1:20" x14ac:dyDescent="0.3">
      <c r="A13491" t="str">
        <f>"0611840766100"</f>
        <v>0611840766100</v>
      </c>
      <c r="B13491" t="str">
        <f>"LB9462"</f>
        <v>LB9462</v>
      </c>
      <c r="C13491" t="s">
        <v>53356</v>
      </c>
      <c r="D13491" t="s">
        <v>27245</v>
      </c>
      <c r="E13491" t="str">
        <f t="shared" si="210"/>
        <v>001390</v>
      </c>
      <c r="F13491" t="s">
        <v>27246</v>
      </c>
      <c r="G13491" t="s">
        <v>27247</v>
      </c>
      <c r="H13491" t="s">
        <v>27248</v>
      </c>
      <c r="I13491" t="s">
        <v>53357</v>
      </c>
      <c r="J13491" t="s">
        <v>26987</v>
      </c>
      <c r="L13491" t="s">
        <v>27250</v>
      </c>
      <c r="M13491" t="s">
        <v>27251</v>
      </c>
      <c r="N13491" t="s">
        <v>27252</v>
      </c>
      <c r="Q13491" s="1">
        <v>44538</v>
      </c>
      <c r="R13491" t="s">
        <v>27253</v>
      </c>
      <c r="S13491" t="s">
        <v>27254</v>
      </c>
      <c r="T13491" t="s">
        <v>27255</v>
      </c>
    </row>
    <row r="13492" spans="1:20" x14ac:dyDescent="0.3">
      <c r="A13492" t="str">
        <f>"0611840767100"</f>
        <v>0611840767100</v>
      </c>
      <c r="B13492" t="str">
        <f>"LB9482"</f>
        <v>LB9482</v>
      </c>
      <c r="C13492" t="s">
        <v>53358</v>
      </c>
      <c r="D13492" t="s">
        <v>27245</v>
      </c>
      <c r="E13492" t="str">
        <f t="shared" si="210"/>
        <v>001390</v>
      </c>
      <c r="F13492" t="s">
        <v>27246</v>
      </c>
      <c r="G13492" t="s">
        <v>27247</v>
      </c>
      <c r="H13492" t="s">
        <v>27248</v>
      </c>
      <c r="I13492" t="s">
        <v>53359</v>
      </c>
      <c r="J13492" t="s">
        <v>26989</v>
      </c>
      <c r="L13492" t="s">
        <v>27250</v>
      </c>
      <c r="M13492" t="s">
        <v>27251</v>
      </c>
      <c r="N13492" t="s">
        <v>27252</v>
      </c>
      <c r="Q13492" s="1">
        <v>44538</v>
      </c>
      <c r="R13492" t="s">
        <v>27253</v>
      </c>
      <c r="S13492" t="s">
        <v>27254</v>
      </c>
      <c r="T13492" t="s">
        <v>27255</v>
      </c>
    </row>
    <row r="13493" spans="1:20" x14ac:dyDescent="0.3">
      <c r="A13493" t="str">
        <f>"0611840768100"</f>
        <v>0611840768100</v>
      </c>
      <c r="B13493" t="str">
        <f>"LB9466"</f>
        <v>LB9466</v>
      </c>
      <c r="C13493" t="s">
        <v>53360</v>
      </c>
      <c r="D13493" t="s">
        <v>27245</v>
      </c>
      <c r="E13493" t="str">
        <f t="shared" si="210"/>
        <v>001390</v>
      </c>
      <c r="F13493" t="s">
        <v>27246</v>
      </c>
      <c r="G13493" t="s">
        <v>27247</v>
      </c>
      <c r="H13493" t="s">
        <v>27248</v>
      </c>
      <c r="I13493" t="s">
        <v>53361</v>
      </c>
      <c r="J13493" t="s">
        <v>26991</v>
      </c>
      <c r="L13493" t="s">
        <v>27250</v>
      </c>
      <c r="M13493" t="s">
        <v>27251</v>
      </c>
      <c r="N13493" t="s">
        <v>27252</v>
      </c>
      <c r="Q13493" s="1">
        <v>44538</v>
      </c>
      <c r="R13493" t="s">
        <v>27253</v>
      </c>
      <c r="S13493" t="s">
        <v>27254</v>
      </c>
      <c r="T13493" t="s">
        <v>27255</v>
      </c>
    </row>
    <row r="13494" spans="1:20" x14ac:dyDescent="0.3">
      <c r="A13494" t="str">
        <f>"0611840769100"</f>
        <v>0611840769100</v>
      </c>
      <c r="B13494" t="str">
        <f>"LB9465"</f>
        <v>LB9465</v>
      </c>
      <c r="C13494" t="s">
        <v>53362</v>
      </c>
      <c r="D13494" t="s">
        <v>27245</v>
      </c>
      <c r="E13494" t="str">
        <f t="shared" si="210"/>
        <v>001390</v>
      </c>
      <c r="F13494" t="s">
        <v>27246</v>
      </c>
      <c r="G13494" t="s">
        <v>27247</v>
      </c>
      <c r="H13494" t="s">
        <v>27248</v>
      </c>
      <c r="I13494" t="s">
        <v>53363</v>
      </c>
      <c r="J13494" t="s">
        <v>26993</v>
      </c>
      <c r="L13494" t="s">
        <v>27250</v>
      </c>
      <c r="M13494" t="s">
        <v>27251</v>
      </c>
      <c r="N13494" t="s">
        <v>27252</v>
      </c>
      <c r="Q13494" s="1">
        <v>44538</v>
      </c>
      <c r="R13494" t="s">
        <v>27253</v>
      </c>
      <c r="S13494" t="s">
        <v>27254</v>
      </c>
      <c r="T13494" t="s">
        <v>27255</v>
      </c>
    </row>
    <row r="13495" spans="1:20" x14ac:dyDescent="0.3">
      <c r="A13495" t="str">
        <f>"0611840770100"</f>
        <v>0611840770100</v>
      </c>
      <c r="B13495" t="str">
        <f>"LB9467"</f>
        <v>LB9467</v>
      </c>
      <c r="C13495" t="s">
        <v>53364</v>
      </c>
      <c r="D13495" t="s">
        <v>27245</v>
      </c>
      <c r="E13495" t="str">
        <f t="shared" si="210"/>
        <v>001390</v>
      </c>
      <c r="F13495" t="s">
        <v>27246</v>
      </c>
      <c r="G13495" t="s">
        <v>27247</v>
      </c>
      <c r="H13495" t="s">
        <v>27248</v>
      </c>
      <c r="I13495" t="s">
        <v>53365</v>
      </c>
      <c r="J13495" t="s">
        <v>26995</v>
      </c>
      <c r="L13495" t="s">
        <v>27250</v>
      </c>
      <c r="M13495" t="s">
        <v>27251</v>
      </c>
      <c r="N13495" t="s">
        <v>27252</v>
      </c>
      <c r="Q13495" s="1">
        <v>44538</v>
      </c>
      <c r="R13495" t="s">
        <v>27253</v>
      </c>
      <c r="S13495" t="s">
        <v>27254</v>
      </c>
      <c r="T13495" t="s">
        <v>27255</v>
      </c>
    </row>
    <row r="13496" spans="1:20" x14ac:dyDescent="0.3">
      <c r="A13496" t="str">
        <f>"0611840771100"</f>
        <v>0611840771100</v>
      </c>
      <c r="B13496" t="str">
        <f>"LB9460"</f>
        <v>LB9460</v>
      </c>
      <c r="C13496" t="s">
        <v>53366</v>
      </c>
      <c r="D13496" t="s">
        <v>27245</v>
      </c>
      <c r="E13496" t="str">
        <f t="shared" si="210"/>
        <v>001390</v>
      </c>
      <c r="F13496" t="s">
        <v>27246</v>
      </c>
      <c r="G13496" t="s">
        <v>27247</v>
      </c>
      <c r="H13496" t="s">
        <v>27248</v>
      </c>
      <c r="I13496" t="s">
        <v>53367</v>
      </c>
      <c r="J13496" t="s">
        <v>26997</v>
      </c>
      <c r="L13496" t="s">
        <v>27250</v>
      </c>
      <c r="M13496" t="s">
        <v>27251</v>
      </c>
      <c r="N13496" t="s">
        <v>27252</v>
      </c>
      <c r="Q13496" s="1">
        <v>44538</v>
      </c>
      <c r="R13496" t="s">
        <v>27253</v>
      </c>
      <c r="S13496" t="s">
        <v>27254</v>
      </c>
      <c r="T13496" t="s">
        <v>27255</v>
      </c>
    </row>
    <row r="13497" spans="1:20" x14ac:dyDescent="0.3">
      <c r="A13497" t="str">
        <f>"0611840772100"</f>
        <v>0611840772100</v>
      </c>
      <c r="B13497" t="str">
        <f>"LB9552"</f>
        <v>LB9552</v>
      </c>
      <c r="C13497" t="s">
        <v>53368</v>
      </c>
      <c r="D13497" t="s">
        <v>27245</v>
      </c>
      <c r="E13497" t="str">
        <f t="shared" si="210"/>
        <v>001390</v>
      </c>
      <c r="F13497" t="s">
        <v>27246</v>
      </c>
      <c r="G13497" t="s">
        <v>27247</v>
      </c>
      <c r="H13497" t="s">
        <v>27248</v>
      </c>
      <c r="I13497" t="s">
        <v>53369</v>
      </c>
      <c r="J13497" t="s">
        <v>26999</v>
      </c>
      <c r="L13497" t="s">
        <v>27250</v>
      </c>
      <c r="M13497" t="s">
        <v>27251</v>
      </c>
      <c r="N13497" t="s">
        <v>27252</v>
      </c>
      <c r="Q13497" s="1">
        <v>44538</v>
      </c>
      <c r="R13497" t="s">
        <v>27253</v>
      </c>
      <c r="S13497" t="s">
        <v>27254</v>
      </c>
      <c r="T13497" t="s">
        <v>27255</v>
      </c>
    </row>
    <row r="13498" spans="1:20" x14ac:dyDescent="0.3">
      <c r="A13498" t="str">
        <f>"0611840890025"</f>
        <v>0611840890025</v>
      </c>
      <c r="B13498" t="str">
        <f>"MC2315"</f>
        <v>MC2315</v>
      </c>
      <c r="C13498" t="s">
        <v>53370</v>
      </c>
      <c r="D13498" t="s">
        <v>27267</v>
      </c>
      <c r="E13498" t="str">
        <f t="shared" si="210"/>
        <v>001390</v>
      </c>
      <c r="F13498" t="s">
        <v>27246</v>
      </c>
      <c r="G13498" t="s">
        <v>27247</v>
      </c>
      <c r="H13498" t="s">
        <v>27248</v>
      </c>
      <c r="I13498" t="s">
        <v>53371</v>
      </c>
      <c r="J13498" t="s">
        <v>27001</v>
      </c>
      <c r="L13498" t="s">
        <v>27250</v>
      </c>
      <c r="M13498" t="s">
        <v>27251</v>
      </c>
      <c r="N13498" t="s">
        <v>27252</v>
      </c>
      <c r="Q13498" s="1">
        <v>44538</v>
      </c>
      <c r="R13498" t="s">
        <v>27253</v>
      </c>
      <c r="S13498" t="s">
        <v>27254</v>
      </c>
      <c r="T13498" t="s">
        <v>27269</v>
      </c>
    </row>
    <row r="13499" spans="1:20" x14ac:dyDescent="0.3">
      <c r="A13499" t="str">
        <f>"0611840774100"</f>
        <v>0611840774100</v>
      </c>
      <c r="B13499" t="str">
        <f>"LK6981"</f>
        <v>LK6981</v>
      </c>
      <c r="C13499" t="s">
        <v>53372</v>
      </c>
      <c r="D13499" t="s">
        <v>27245</v>
      </c>
      <c r="E13499" t="str">
        <f t="shared" si="210"/>
        <v>001390</v>
      </c>
      <c r="F13499" t="s">
        <v>27246</v>
      </c>
      <c r="G13499" t="s">
        <v>27247</v>
      </c>
      <c r="H13499" t="s">
        <v>27248</v>
      </c>
      <c r="I13499" t="s">
        <v>53373</v>
      </c>
      <c r="J13499" t="s">
        <v>27005</v>
      </c>
      <c r="L13499" t="s">
        <v>27250</v>
      </c>
      <c r="M13499" t="s">
        <v>27251</v>
      </c>
      <c r="N13499" t="s">
        <v>27252</v>
      </c>
      <c r="Q13499" s="1">
        <v>44538</v>
      </c>
      <c r="R13499" t="s">
        <v>27253</v>
      </c>
      <c r="S13499" t="s">
        <v>27254</v>
      </c>
      <c r="T13499" t="s">
        <v>27255</v>
      </c>
    </row>
    <row r="13500" spans="1:20" x14ac:dyDescent="0.3">
      <c r="A13500" t="str">
        <f>"0611840775100"</f>
        <v>0611840775100</v>
      </c>
      <c r="B13500" t="str">
        <f>"LK6831"</f>
        <v>LK6831</v>
      </c>
      <c r="C13500" t="s">
        <v>53374</v>
      </c>
      <c r="D13500" t="s">
        <v>27245</v>
      </c>
      <c r="E13500" t="str">
        <f t="shared" si="210"/>
        <v>001390</v>
      </c>
      <c r="F13500" t="s">
        <v>27246</v>
      </c>
      <c r="G13500" t="s">
        <v>27247</v>
      </c>
      <c r="H13500" t="s">
        <v>27248</v>
      </c>
      <c r="I13500" t="s">
        <v>53375</v>
      </c>
      <c r="J13500" t="s">
        <v>27007</v>
      </c>
      <c r="L13500" t="s">
        <v>27250</v>
      </c>
      <c r="M13500" t="s">
        <v>27251</v>
      </c>
      <c r="N13500" t="s">
        <v>27252</v>
      </c>
      <c r="Q13500" s="1">
        <v>44538</v>
      </c>
      <c r="R13500" t="s">
        <v>27253</v>
      </c>
      <c r="S13500" t="s">
        <v>27254</v>
      </c>
      <c r="T13500" t="s">
        <v>27255</v>
      </c>
    </row>
    <row r="13501" spans="1:20" x14ac:dyDescent="0.3">
      <c r="A13501" t="str">
        <f>"0611840776100"</f>
        <v>0611840776100</v>
      </c>
      <c r="B13501" t="str">
        <f>"LB9556"</f>
        <v>LB9556</v>
      </c>
      <c r="C13501" t="s">
        <v>53376</v>
      </c>
      <c r="D13501" t="s">
        <v>27245</v>
      </c>
      <c r="E13501" t="str">
        <f t="shared" si="210"/>
        <v>001390</v>
      </c>
      <c r="F13501" t="s">
        <v>27246</v>
      </c>
      <c r="G13501" t="s">
        <v>27247</v>
      </c>
      <c r="H13501" t="s">
        <v>27248</v>
      </c>
      <c r="I13501" t="s">
        <v>53377</v>
      </c>
      <c r="J13501" t="s">
        <v>27009</v>
      </c>
      <c r="L13501" t="s">
        <v>27250</v>
      </c>
      <c r="M13501" t="s">
        <v>27251</v>
      </c>
      <c r="N13501" t="s">
        <v>27252</v>
      </c>
      <c r="Q13501" s="1">
        <v>44538</v>
      </c>
      <c r="R13501" t="s">
        <v>27253</v>
      </c>
      <c r="S13501" t="s">
        <v>27254</v>
      </c>
      <c r="T13501" t="s">
        <v>27255</v>
      </c>
    </row>
    <row r="13502" spans="1:20" x14ac:dyDescent="0.3">
      <c r="A13502" t="str">
        <f>"0611840777100"</f>
        <v>0611840777100</v>
      </c>
      <c r="B13502" t="str">
        <f>"LK1821"</f>
        <v>LK1821</v>
      </c>
      <c r="C13502" t="s">
        <v>53378</v>
      </c>
      <c r="D13502" t="s">
        <v>28138</v>
      </c>
      <c r="E13502" t="str">
        <f t="shared" si="210"/>
        <v>001390</v>
      </c>
      <c r="F13502" t="s">
        <v>27246</v>
      </c>
      <c r="G13502" t="s">
        <v>27247</v>
      </c>
      <c r="H13502" t="s">
        <v>27248</v>
      </c>
      <c r="I13502" t="s">
        <v>53379</v>
      </c>
      <c r="J13502" t="s">
        <v>27011</v>
      </c>
      <c r="L13502" t="s">
        <v>27250</v>
      </c>
      <c r="M13502" t="s">
        <v>27251</v>
      </c>
      <c r="N13502" t="s">
        <v>27252</v>
      </c>
      <c r="P13502" t="s">
        <v>27925</v>
      </c>
      <c r="Q13502" s="1">
        <v>44538</v>
      </c>
      <c r="R13502" t="s">
        <v>27253</v>
      </c>
      <c r="S13502" t="s">
        <v>27254</v>
      </c>
      <c r="T13502" t="s">
        <v>27255</v>
      </c>
    </row>
    <row r="13503" spans="1:20" x14ac:dyDescent="0.3">
      <c r="A13503" t="str">
        <f>"0611840778100"</f>
        <v>0611840778100</v>
      </c>
      <c r="B13503" t="str">
        <f>"LK1841"</f>
        <v>LK1841</v>
      </c>
      <c r="C13503" t="s">
        <v>53380</v>
      </c>
      <c r="D13503" t="s">
        <v>28138</v>
      </c>
      <c r="E13503" t="str">
        <f t="shared" si="210"/>
        <v>001390</v>
      </c>
      <c r="F13503" t="s">
        <v>27246</v>
      </c>
      <c r="G13503" t="s">
        <v>27247</v>
      </c>
      <c r="H13503" t="s">
        <v>27248</v>
      </c>
      <c r="I13503" t="s">
        <v>53381</v>
      </c>
      <c r="J13503" t="s">
        <v>27013</v>
      </c>
      <c r="L13503" t="s">
        <v>27250</v>
      </c>
      <c r="M13503" t="s">
        <v>27251</v>
      </c>
      <c r="N13503" t="s">
        <v>27252</v>
      </c>
      <c r="P13503" t="s">
        <v>27925</v>
      </c>
      <c r="Q13503" s="1">
        <v>44538</v>
      </c>
      <c r="R13503" t="s">
        <v>27253</v>
      </c>
      <c r="S13503" t="s">
        <v>27254</v>
      </c>
      <c r="T13503" t="s">
        <v>27255</v>
      </c>
    </row>
    <row r="13504" spans="1:20" x14ac:dyDescent="0.3">
      <c r="A13504" t="str">
        <f>"0611840779100"</f>
        <v>0611840779100</v>
      </c>
      <c r="B13504" t="str">
        <f>"LK1822"</f>
        <v>LK1822</v>
      </c>
      <c r="C13504" t="s">
        <v>53382</v>
      </c>
      <c r="D13504" t="s">
        <v>28138</v>
      </c>
      <c r="E13504" t="str">
        <f t="shared" si="210"/>
        <v>001390</v>
      </c>
      <c r="F13504" t="s">
        <v>27246</v>
      </c>
      <c r="G13504" t="s">
        <v>27247</v>
      </c>
      <c r="H13504" t="s">
        <v>27248</v>
      </c>
      <c r="I13504" t="s">
        <v>53383</v>
      </c>
      <c r="J13504" t="s">
        <v>27015</v>
      </c>
      <c r="L13504" t="s">
        <v>27250</v>
      </c>
      <c r="M13504" t="s">
        <v>27251</v>
      </c>
      <c r="N13504" t="s">
        <v>27252</v>
      </c>
      <c r="P13504" t="s">
        <v>27925</v>
      </c>
      <c r="Q13504" s="1">
        <v>44538</v>
      </c>
      <c r="R13504" t="s">
        <v>27253</v>
      </c>
      <c r="S13504" t="s">
        <v>27254</v>
      </c>
      <c r="T13504" t="s">
        <v>27255</v>
      </c>
    </row>
    <row r="13505" spans="1:20" x14ac:dyDescent="0.3">
      <c r="A13505" t="str">
        <f>"0611840780100"</f>
        <v>0611840780100</v>
      </c>
      <c r="B13505" t="str">
        <f>"LK1900"</f>
        <v>LK1900</v>
      </c>
      <c r="C13505" t="s">
        <v>53384</v>
      </c>
      <c r="D13505" t="s">
        <v>28138</v>
      </c>
      <c r="E13505" t="str">
        <f t="shared" si="210"/>
        <v>001390</v>
      </c>
      <c r="F13505" t="s">
        <v>27246</v>
      </c>
      <c r="G13505" t="s">
        <v>27247</v>
      </c>
      <c r="H13505" t="s">
        <v>27248</v>
      </c>
      <c r="I13505" t="s">
        <v>53385</v>
      </c>
      <c r="J13505" t="s">
        <v>27017</v>
      </c>
      <c r="L13505" t="s">
        <v>27250</v>
      </c>
      <c r="M13505" t="s">
        <v>27251</v>
      </c>
      <c r="N13505" t="s">
        <v>27252</v>
      </c>
      <c r="P13505" t="s">
        <v>27925</v>
      </c>
      <c r="Q13505" s="1">
        <v>44538</v>
      </c>
      <c r="R13505" t="s">
        <v>27253</v>
      </c>
      <c r="S13505" t="s">
        <v>27254</v>
      </c>
      <c r="T13505" t="s">
        <v>27255</v>
      </c>
    </row>
    <row r="13506" spans="1:20" x14ac:dyDescent="0.3">
      <c r="A13506" t="str">
        <f>"0611840781100"</f>
        <v>0611840781100</v>
      </c>
      <c r="B13506" t="str">
        <f>"LK1823"</f>
        <v>LK1823</v>
      </c>
      <c r="C13506" t="s">
        <v>53386</v>
      </c>
      <c r="D13506" t="s">
        <v>28138</v>
      </c>
      <c r="E13506" t="str">
        <f t="shared" ref="E13506:E13569" si="211">"001390"</f>
        <v>001390</v>
      </c>
      <c r="F13506" t="s">
        <v>27246</v>
      </c>
      <c r="G13506" t="s">
        <v>27247</v>
      </c>
      <c r="H13506" t="s">
        <v>27248</v>
      </c>
      <c r="I13506" t="s">
        <v>53387</v>
      </c>
      <c r="J13506" t="s">
        <v>27019</v>
      </c>
      <c r="L13506" t="s">
        <v>27250</v>
      </c>
      <c r="M13506" t="s">
        <v>27251</v>
      </c>
      <c r="N13506" t="s">
        <v>27252</v>
      </c>
      <c r="P13506" t="s">
        <v>27925</v>
      </c>
      <c r="Q13506" s="1">
        <v>44538</v>
      </c>
      <c r="R13506" t="s">
        <v>27253</v>
      </c>
      <c r="S13506" t="s">
        <v>27254</v>
      </c>
      <c r="T13506" t="s">
        <v>27255</v>
      </c>
    </row>
    <row r="13507" spans="1:20" x14ac:dyDescent="0.3">
      <c r="A13507" t="str">
        <f>"0611840782100"</f>
        <v>0611840782100</v>
      </c>
      <c r="B13507" t="str">
        <f>"LK1824"</f>
        <v>LK1824</v>
      </c>
      <c r="C13507" t="s">
        <v>53388</v>
      </c>
      <c r="D13507" t="s">
        <v>28138</v>
      </c>
      <c r="E13507" t="str">
        <f t="shared" si="211"/>
        <v>001390</v>
      </c>
      <c r="F13507" t="s">
        <v>27246</v>
      </c>
      <c r="G13507" t="s">
        <v>27247</v>
      </c>
      <c r="H13507" t="s">
        <v>27248</v>
      </c>
      <c r="I13507" t="s">
        <v>53389</v>
      </c>
      <c r="J13507" t="s">
        <v>27021</v>
      </c>
      <c r="L13507" t="s">
        <v>27250</v>
      </c>
      <c r="M13507" t="s">
        <v>27251</v>
      </c>
      <c r="N13507" t="s">
        <v>27252</v>
      </c>
      <c r="P13507" t="s">
        <v>27925</v>
      </c>
      <c r="Q13507" s="1">
        <v>44538</v>
      </c>
      <c r="R13507" t="s">
        <v>27253</v>
      </c>
      <c r="S13507" t="s">
        <v>27254</v>
      </c>
      <c r="T13507" t="s">
        <v>27255</v>
      </c>
    </row>
    <row r="13508" spans="1:20" x14ac:dyDescent="0.3">
      <c r="A13508" t="str">
        <f>"0611840783100"</f>
        <v>0611840783100</v>
      </c>
      <c r="B13508" t="str">
        <f>"LK1825"</f>
        <v>LK1825</v>
      </c>
      <c r="C13508" t="s">
        <v>53390</v>
      </c>
      <c r="D13508" t="s">
        <v>28138</v>
      </c>
      <c r="E13508" t="str">
        <f t="shared" si="211"/>
        <v>001390</v>
      </c>
      <c r="F13508" t="s">
        <v>27246</v>
      </c>
      <c r="G13508" t="s">
        <v>27247</v>
      </c>
      <c r="H13508" t="s">
        <v>27248</v>
      </c>
      <c r="I13508" t="s">
        <v>53391</v>
      </c>
      <c r="J13508" t="s">
        <v>27023</v>
      </c>
      <c r="L13508" t="s">
        <v>27250</v>
      </c>
      <c r="M13508" t="s">
        <v>27251</v>
      </c>
      <c r="N13508" t="s">
        <v>27252</v>
      </c>
      <c r="P13508" t="s">
        <v>27925</v>
      </c>
      <c r="Q13508" s="1">
        <v>44538</v>
      </c>
      <c r="R13508" t="s">
        <v>27253</v>
      </c>
      <c r="S13508" t="s">
        <v>27254</v>
      </c>
      <c r="T13508" t="s">
        <v>27255</v>
      </c>
    </row>
    <row r="13509" spans="1:20" x14ac:dyDescent="0.3">
      <c r="A13509" t="str">
        <f>"0611840784100"</f>
        <v>0611840784100</v>
      </c>
      <c r="B13509" t="str">
        <f>"LK1826"</f>
        <v>LK1826</v>
      </c>
      <c r="C13509" t="s">
        <v>53392</v>
      </c>
      <c r="D13509" t="s">
        <v>28138</v>
      </c>
      <c r="E13509" t="str">
        <f t="shared" si="211"/>
        <v>001390</v>
      </c>
      <c r="F13509" t="s">
        <v>27246</v>
      </c>
      <c r="G13509" t="s">
        <v>27247</v>
      </c>
      <c r="H13509" t="s">
        <v>27248</v>
      </c>
      <c r="I13509" t="s">
        <v>53393</v>
      </c>
      <c r="J13509" t="s">
        <v>27025</v>
      </c>
      <c r="L13509" t="s">
        <v>27250</v>
      </c>
      <c r="M13509" t="s">
        <v>27251</v>
      </c>
      <c r="N13509" t="s">
        <v>27252</v>
      </c>
      <c r="P13509" t="s">
        <v>27925</v>
      </c>
      <c r="Q13509" s="1">
        <v>44538</v>
      </c>
      <c r="R13509" t="s">
        <v>27253</v>
      </c>
      <c r="S13509" t="s">
        <v>27254</v>
      </c>
      <c r="T13509" t="s">
        <v>27255</v>
      </c>
    </row>
    <row r="13510" spans="1:20" x14ac:dyDescent="0.3">
      <c r="A13510" t="str">
        <f>"0611840785100"</f>
        <v>0611840785100</v>
      </c>
      <c r="B13510" t="str">
        <f>"LK1827"</f>
        <v>LK1827</v>
      </c>
      <c r="C13510" t="s">
        <v>53394</v>
      </c>
      <c r="D13510" t="s">
        <v>28138</v>
      </c>
      <c r="E13510" t="str">
        <f t="shared" si="211"/>
        <v>001390</v>
      </c>
      <c r="F13510" t="s">
        <v>27246</v>
      </c>
      <c r="G13510" t="s">
        <v>27247</v>
      </c>
      <c r="H13510" t="s">
        <v>27248</v>
      </c>
      <c r="I13510" t="s">
        <v>53395</v>
      </c>
      <c r="J13510" t="s">
        <v>27027</v>
      </c>
      <c r="L13510" t="s">
        <v>27250</v>
      </c>
      <c r="M13510" t="s">
        <v>27251</v>
      </c>
      <c r="N13510" t="s">
        <v>27252</v>
      </c>
      <c r="P13510" t="s">
        <v>27925</v>
      </c>
      <c r="Q13510" s="1">
        <v>44538</v>
      </c>
      <c r="R13510" t="s">
        <v>27253</v>
      </c>
      <c r="S13510" t="s">
        <v>27254</v>
      </c>
      <c r="T13510" t="s">
        <v>27255</v>
      </c>
    </row>
    <row r="13511" spans="1:20" x14ac:dyDescent="0.3">
      <c r="A13511" t="str">
        <f>"0611840786100"</f>
        <v>0611840786100</v>
      </c>
      <c r="B13511" t="str">
        <f>"LB9532"</f>
        <v>LB9532</v>
      </c>
      <c r="C13511" t="s">
        <v>53396</v>
      </c>
      <c r="D13511" t="s">
        <v>27245</v>
      </c>
      <c r="E13511" t="str">
        <f t="shared" si="211"/>
        <v>001390</v>
      </c>
      <c r="F13511" t="s">
        <v>27246</v>
      </c>
      <c r="G13511" t="s">
        <v>27247</v>
      </c>
      <c r="H13511" t="s">
        <v>27248</v>
      </c>
      <c r="I13511" t="s">
        <v>53397</v>
      </c>
      <c r="J13511" t="s">
        <v>27029</v>
      </c>
      <c r="L13511" t="s">
        <v>27250</v>
      </c>
      <c r="M13511" t="s">
        <v>27251</v>
      </c>
      <c r="N13511" t="s">
        <v>27252</v>
      </c>
      <c r="Q13511" s="1">
        <v>44538</v>
      </c>
      <c r="R13511" t="s">
        <v>27253</v>
      </c>
      <c r="S13511" t="s">
        <v>27254</v>
      </c>
      <c r="T13511" t="s">
        <v>27255</v>
      </c>
    </row>
    <row r="13512" spans="1:20" x14ac:dyDescent="0.3">
      <c r="A13512" t="str">
        <f>"0611840788100"</f>
        <v>0611840788100</v>
      </c>
      <c r="B13512" t="str">
        <f>"LK6737"</f>
        <v>LK6737</v>
      </c>
      <c r="C13512" t="s">
        <v>53398</v>
      </c>
      <c r="D13512" t="s">
        <v>27245</v>
      </c>
      <c r="E13512" t="str">
        <f t="shared" si="211"/>
        <v>001390</v>
      </c>
      <c r="F13512" t="s">
        <v>27246</v>
      </c>
      <c r="G13512" t="s">
        <v>27247</v>
      </c>
      <c r="H13512" t="s">
        <v>27248</v>
      </c>
      <c r="I13512" t="s">
        <v>53399</v>
      </c>
      <c r="J13512" t="s">
        <v>27031</v>
      </c>
      <c r="L13512" t="s">
        <v>27250</v>
      </c>
      <c r="M13512" t="s">
        <v>27251</v>
      </c>
      <c r="N13512" t="s">
        <v>27252</v>
      </c>
      <c r="Q13512" s="1">
        <v>44538</v>
      </c>
      <c r="R13512" t="s">
        <v>27253</v>
      </c>
      <c r="S13512" t="s">
        <v>27254</v>
      </c>
      <c r="T13512" t="s">
        <v>27255</v>
      </c>
    </row>
    <row r="13513" spans="1:20" x14ac:dyDescent="0.3">
      <c r="A13513" t="str">
        <f>"0611840789100"</f>
        <v>0611840789100</v>
      </c>
      <c r="B13513" t="str">
        <f>"LK6738"</f>
        <v>LK6738</v>
      </c>
      <c r="C13513" t="s">
        <v>53400</v>
      </c>
      <c r="D13513" t="s">
        <v>27245</v>
      </c>
      <c r="E13513" t="str">
        <f t="shared" si="211"/>
        <v>001390</v>
      </c>
      <c r="F13513" t="s">
        <v>27246</v>
      </c>
      <c r="G13513" t="s">
        <v>27247</v>
      </c>
      <c r="H13513" t="s">
        <v>27248</v>
      </c>
      <c r="I13513" t="s">
        <v>53401</v>
      </c>
      <c r="J13513" t="s">
        <v>27033</v>
      </c>
      <c r="L13513" t="s">
        <v>27250</v>
      </c>
      <c r="M13513" t="s">
        <v>27251</v>
      </c>
      <c r="N13513" t="s">
        <v>27252</v>
      </c>
      <c r="Q13513" s="1">
        <v>44538</v>
      </c>
      <c r="R13513" t="s">
        <v>27253</v>
      </c>
      <c r="S13513" t="s">
        <v>27254</v>
      </c>
      <c r="T13513" t="s">
        <v>27255</v>
      </c>
    </row>
    <row r="13514" spans="1:20" x14ac:dyDescent="0.3">
      <c r="A13514" t="str">
        <f>"0611840790100"</f>
        <v>0611840790100</v>
      </c>
      <c r="B13514" t="str">
        <f>"LK6739"</f>
        <v>LK6739</v>
      </c>
      <c r="C13514" t="s">
        <v>53402</v>
      </c>
      <c r="D13514" t="s">
        <v>27245</v>
      </c>
      <c r="E13514" t="str">
        <f t="shared" si="211"/>
        <v>001390</v>
      </c>
      <c r="F13514" t="s">
        <v>27246</v>
      </c>
      <c r="G13514" t="s">
        <v>27247</v>
      </c>
      <c r="H13514" t="s">
        <v>27248</v>
      </c>
      <c r="I13514" t="s">
        <v>53403</v>
      </c>
      <c r="J13514" t="s">
        <v>27035</v>
      </c>
      <c r="L13514" t="s">
        <v>27250</v>
      </c>
      <c r="M13514" t="s">
        <v>27251</v>
      </c>
      <c r="N13514" t="s">
        <v>27252</v>
      </c>
      <c r="Q13514" s="1">
        <v>44538</v>
      </c>
      <c r="R13514" t="s">
        <v>27253</v>
      </c>
      <c r="S13514" t="s">
        <v>27254</v>
      </c>
      <c r="T13514" t="s">
        <v>27255</v>
      </c>
    </row>
    <row r="13515" spans="1:20" x14ac:dyDescent="0.3">
      <c r="A13515" t="str">
        <f>"0611840791100"</f>
        <v>0611840791100</v>
      </c>
      <c r="B13515" t="str">
        <f>"LK6740"</f>
        <v>LK6740</v>
      </c>
      <c r="C13515" t="s">
        <v>53404</v>
      </c>
      <c r="D13515" t="s">
        <v>27245</v>
      </c>
      <c r="E13515" t="str">
        <f t="shared" si="211"/>
        <v>001390</v>
      </c>
      <c r="F13515" t="s">
        <v>27246</v>
      </c>
      <c r="G13515" t="s">
        <v>27247</v>
      </c>
      <c r="H13515" t="s">
        <v>27248</v>
      </c>
      <c r="I13515" t="s">
        <v>53405</v>
      </c>
      <c r="J13515" t="s">
        <v>27037</v>
      </c>
      <c r="L13515" t="s">
        <v>27250</v>
      </c>
      <c r="M13515" t="s">
        <v>27251</v>
      </c>
      <c r="N13515" t="s">
        <v>27252</v>
      </c>
      <c r="Q13515" s="1">
        <v>44538</v>
      </c>
      <c r="R13515" t="s">
        <v>27253</v>
      </c>
      <c r="S13515" t="s">
        <v>27254</v>
      </c>
      <c r="T13515" t="s">
        <v>27255</v>
      </c>
    </row>
    <row r="13516" spans="1:20" x14ac:dyDescent="0.3">
      <c r="A13516" t="str">
        <f>"0611840792100"</f>
        <v>0611840792100</v>
      </c>
      <c r="B13516" t="str">
        <f>"LK6741"</f>
        <v>LK6741</v>
      </c>
      <c r="C13516" t="s">
        <v>53406</v>
      </c>
      <c r="D13516" t="s">
        <v>27245</v>
      </c>
      <c r="E13516" t="str">
        <f t="shared" si="211"/>
        <v>001390</v>
      </c>
      <c r="F13516" t="s">
        <v>27246</v>
      </c>
      <c r="G13516" t="s">
        <v>27247</v>
      </c>
      <c r="H13516" t="s">
        <v>27248</v>
      </c>
      <c r="I13516" t="s">
        <v>53407</v>
      </c>
      <c r="J13516" t="s">
        <v>27039</v>
      </c>
      <c r="L13516" t="s">
        <v>27250</v>
      </c>
      <c r="M13516" t="s">
        <v>27251</v>
      </c>
      <c r="N13516" t="s">
        <v>27252</v>
      </c>
      <c r="Q13516" s="1">
        <v>44538</v>
      </c>
      <c r="R13516" t="s">
        <v>27253</v>
      </c>
      <c r="S13516" t="s">
        <v>27254</v>
      </c>
      <c r="T13516" t="s">
        <v>27255</v>
      </c>
    </row>
    <row r="13517" spans="1:20" x14ac:dyDescent="0.3">
      <c r="A13517" t="str">
        <f>"0611840793100"</f>
        <v>0611840793100</v>
      </c>
      <c r="B13517" t="str">
        <f>"LK6742"</f>
        <v>LK6742</v>
      </c>
      <c r="C13517" t="s">
        <v>53408</v>
      </c>
      <c r="D13517" t="s">
        <v>27245</v>
      </c>
      <c r="E13517" t="str">
        <f t="shared" si="211"/>
        <v>001390</v>
      </c>
      <c r="F13517" t="s">
        <v>27246</v>
      </c>
      <c r="G13517" t="s">
        <v>27247</v>
      </c>
      <c r="H13517" t="s">
        <v>27248</v>
      </c>
      <c r="I13517" t="s">
        <v>53409</v>
      </c>
      <c r="J13517" t="s">
        <v>27041</v>
      </c>
      <c r="L13517" t="s">
        <v>27250</v>
      </c>
      <c r="M13517" t="s">
        <v>27251</v>
      </c>
      <c r="N13517" t="s">
        <v>27252</v>
      </c>
      <c r="Q13517" s="1">
        <v>44538</v>
      </c>
      <c r="R13517" t="s">
        <v>27253</v>
      </c>
      <c r="S13517" t="s">
        <v>27254</v>
      </c>
      <c r="T13517" t="s">
        <v>27255</v>
      </c>
    </row>
    <row r="13518" spans="1:20" x14ac:dyDescent="0.3">
      <c r="A13518" t="str">
        <f>"0611840794100"</f>
        <v>0611840794100</v>
      </c>
      <c r="B13518" t="str">
        <f>"LK6743"</f>
        <v>LK6743</v>
      </c>
      <c r="C13518" t="s">
        <v>53410</v>
      </c>
      <c r="D13518" t="s">
        <v>27245</v>
      </c>
      <c r="E13518" t="str">
        <f t="shared" si="211"/>
        <v>001390</v>
      </c>
      <c r="F13518" t="s">
        <v>27246</v>
      </c>
      <c r="G13518" t="s">
        <v>27247</v>
      </c>
      <c r="H13518" t="s">
        <v>27248</v>
      </c>
      <c r="I13518" t="s">
        <v>53411</v>
      </c>
      <c r="J13518" t="s">
        <v>27043</v>
      </c>
      <c r="L13518" t="s">
        <v>27250</v>
      </c>
      <c r="M13518" t="s">
        <v>27251</v>
      </c>
      <c r="N13518" t="s">
        <v>27252</v>
      </c>
      <c r="Q13518" s="1">
        <v>44538</v>
      </c>
      <c r="R13518" t="s">
        <v>27253</v>
      </c>
      <c r="S13518" t="s">
        <v>27254</v>
      </c>
      <c r="T13518" t="s">
        <v>27255</v>
      </c>
    </row>
    <row r="13519" spans="1:20" x14ac:dyDescent="0.3">
      <c r="A13519" t="str">
        <f>"0611840795100"</f>
        <v>0611840795100</v>
      </c>
      <c r="B13519" t="str">
        <f>"LK6736"</f>
        <v>LK6736</v>
      </c>
      <c r="C13519" t="s">
        <v>53412</v>
      </c>
      <c r="D13519" t="s">
        <v>27245</v>
      </c>
      <c r="E13519" t="str">
        <f t="shared" si="211"/>
        <v>001390</v>
      </c>
      <c r="F13519" t="s">
        <v>27246</v>
      </c>
      <c r="G13519" t="s">
        <v>27247</v>
      </c>
      <c r="H13519" t="s">
        <v>27248</v>
      </c>
      <c r="I13519" t="s">
        <v>53413</v>
      </c>
      <c r="J13519" t="s">
        <v>27045</v>
      </c>
      <c r="L13519" t="s">
        <v>27250</v>
      </c>
      <c r="M13519" t="s">
        <v>27251</v>
      </c>
      <c r="N13519" t="s">
        <v>27252</v>
      </c>
      <c r="Q13519" s="1">
        <v>44538</v>
      </c>
      <c r="R13519" t="s">
        <v>27253</v>
      </c>
      <c r="S13519" t="s">
        <v>27254</v>
      </c>
      <c r="T13519" t="s">
        <v>27255</v>
      </c>
    </row>
    <row r="13520" spans="1:20" x14ac:dyDescent="0.3">
      <c r="A13520" t="str">
        <f>"0611840814100"</f>
        <v>0611840814100</v>
      </c>
      <c r="B13520" t="str">
        <f>"LK6316"</f>
        <v>LK6316</v>
      </c>
      <c r="C13520" t="s">
        <v>53414</v>
      </c>
      <c r="D13520" t="s">
        <v>27245</v>
      </c>
      <c r="E13520" t="str">
        <f t="shared" si="211"/>
        <v>001390</v>
      </c>
      <c r="F13520" t="s">
        <v>27246</v>
      </c>
      <c r="G13520" t="s">
        <v>27247</v>
      </c>
      <c r="H13520" t="s">
        <v>27248</v>
      </c>
      <c r="I13520" t="s">
        <v>53415</v>
      </c>
      <c r="J13520" t="s">
        <v>27047</v>
      </c>
      <c r="L13520" t="s">
        <v>27250</v>
      </c>
      <c r="M13520" t="s">
        <v>27251</v>
      </c>
      <c r="N13520" t="s">
        <v>27252</v>
      </c>
      <c r="Q13520" s="1">
        <v>44538</v>
      </c>
      <c r="R13520" t="s">
        <v>27253</v>
      </c>
      <c r="S13520" t="s">
        <v>27254</v>
      </c>
      <c r="T13520" t="s">
        <v>27255</v>
      </c>
    </row>
    <row r="13521" spans="1:20" x14ac:dyDescent="0.3">
      <c r="A13521" t="str">
        <f>"0611840813100"</f>
        <v>0611840813100</v>
      </c>
      <c r="B13521" t="str">
        <f>"LK2497"</f>
        <v>LK2497</v>
      </c>
      <c r="C13521" t="s">
        <v>53416</v>
      </c>
      <c r="D13521" t="s">
        <v>27245</v>
      </c>
      <c r="E13521" t="str">
        <f t="shared" si="211"/>
        <v>001390</v>
      </c>
      <c r="F13521" t="s">
        <v>27246</v>
      </c>
      <c r="G13521" t="s">
        <v>27247</v>
      </c>
      <c r="H13521" t="s">
        <v>27248</v>
      </c>
      <c r="I13521" t="s">
        <v>53417</v>
      </c>
      <c r="J13521" t="s">
        <v>27049</v>
      </c>
      <c r="L13521" t="s">
        <v>27250</v>
      </c>
      <c r="M13521" t="s">
        <v>27251</v>
      </c>
      <c r="N13521" t="s">
        <v>27252</v>
      </c>
      <c r="Q13521" s="1">
        <v>44538</v>
      </c>
      <c r="R13521" t="s">
        <v>27253</v>
      </c>
      <c r="S13521" t="s">
        <v>27254</v>
      </c>
      <c r="T13521" t="s">
        <v>27255</v>
      </c>
    </row>
    <row r="13522" spans="1:20" x14ac:dyDescent="0.3">
      <c r="A13522" t="str">
        <f>"0611840796100"</f>
        <v>0611840796100</v>
      </c>
      <c r="B13522" t="str">
        <f>"LK2496"</f>
        <v>LK2496</v>
      </c>
      <c r="C13522" t="s">
        <v>53418</v>
      </c>
      <c r="D13522" t="s">
        <v>27245</v>
      </c>
      <c r="E13522" t="str">
        <f t="shared" si="211"/>
        <v>001390</v>
      </c>
      <c r="F13522" t="s">
        <v>27246</v>
      </c>
      <c r="G13522" t="s">
        <v>27247</v>
      </c>
      <c r="H13522" t="s">
        <v>27248</v>
      </c>
      <c r="I13522" t="s">
        <v>53419</v>
      </c>
      <c r="J13522" t="s">
        <v>27053</v>
      </c>
      <c r="L13522" t="s">
        <v>27250</v>
      </c>
      <c r="M13522" t="s">
        <v>27251</v>
      </c>
      <c r="N13522" t="s">
        <v>27252</v>
      </c>
      <c r="Q13522" s="1">
        <v>44538</v>
      </c>
      <c r="R13522" t="s">
        <v>27253</v>
      </c>
      <c r="S13522" t="s">
        <v>27254</v>
      </c>
      <c r="T13522" t="s">
        <v>27255</v>
      </c>
    </row>
    <row r="13523" spans="1:20" x14ac:dyDescent="0.3">
      <c r="A13523" t="str">
        <f>"0611840797100"</f>
        <v>0611840797100</v>
      </c>
      <c r="B13523" t="str">
        <f>"LK1831"</f>
        <v>LK1831</v>
      </c>
      <c r="C13523" t="s">
        <v>53420</v>
      </c>
      <c r="D13523" t="s">
        <v>27245</v>
      </c>
      <c r="E13523" t="str">
        <f t="shared" si="211"/>
        <v>001390</v>
      </c>
      <c r="F13523" t="s">
        <v>27246</v>
      </c>
      <c r="G13523" t="s">
        <v>27247</v>
      </c>
      <c r="H13523" t="s">
        <v>27248</v>
      </c>
      <c r="I13523" t="s">
        <v>53421</v>
      </c>
      <c r="J13523" t="s">
        <v>27055</v>
      </c>
      <c r="L13523" t="s">
        <v>27250</v>
      </c>
      <c r="M13523" t="s">
        <v>27251</v>
      </c>
      <c r="N13523" t="s">
        <v>27252</v>
      </c>
      <c r="Q13523" s="1">
        <v>44538</v>
      </c>
      <c r="R13523" t="s">
        <v>27253</v>
      </c>
      <c r="S13523" t="s">
        <v>27254</v>
      </c>
      <c r="T13523" t="s">
        <v>27255</v>
      </c>
    </row>
    <row r="13524" spans="1:20" x14ac:dyDescent="0.3">
      <c r="A13524" t="str">
        <f>"0611840798100"</f>
        <v>0611840798100</v>
      </c>
      <c r="B13524" t="str">
        <f>"LB9538"</f>
        <v>LB9538</v>
      </c>
      <c r="C13524" t="s">
        <v>53422</v>
      </c>
      <c r="D13524" t="s">
        <v>27245</v>
      </c>
      <c r="E13524" t="str">
        <f t="shared" si="211"/>
        <v>001390</v>
      </c>
      <c r="F13524" t="s">
        <v>27246</v>
      </c>
      <c r="G13524" t="s">
        <v>27247</v>
      </c>
      <c r="H13524" t="s">
        <v>27248</v>
      </c>
      <c r="I13524" t="s">
        <v>53423</v>
      </c>
      <c r="J13524" t="s">
        <v>27057</v>
      </c>
      <c r="L13524" t="s">
        <v>27250</v>
      </c>
      <c r="M13524" t="s">
        <v>27251</v>
      </c>
      <c r="N13524" t="s">
        <v>27252</v>
      </c>
      <c r="Q13524" s="1">
        <v>44538</v>
      </c>
      <c r="R13524" t="s">
        <v>27253</v>
      </c>
      <c r="S13524" t="s">
        <v>27254</v>
      </c>
      <c r="T13524" t="s">
        <v>27255</v>
      </c>
    </row>
    <row r="13525" spans="1:20" x14ac:dyDescent="0.3">
      <c r="A13525" t="str">
        <f>"0611840799100"</f>
        <v>0611840799100</v>
      </c>
      <c r="B13525" t="str">
        <f>"LK6674"</f>
        <v>LK6674</v>
      </c>
      <c r="C13525" t="s">
        <v>53424</v>
      </c>
      <c r="D13525" t="s">
        <v>27245</v>
      </c>
      <c r="E13525" t="str">
        <f t="shared" si="211"/>
        <v>001390</v>
      </c>
      <c r="F13525" t="s">
        <v>27246</v>
      </c>
      <c r="G13525" t="s">
        <v>27247</v>
      </c>
      <c r="H13525" t="s">
        <v>27248</v>
      </c>
      <c r="I13525" t="s">
        <v>53425</v>
      </c>
      <c r="J13525" t="s">
        <v>27059</v>
      </c>
      <c r="L13525" t="s">
        <v>27250</v>
      </c>
      <c r="M13525" t="s">
        <v>27251</v>
      </c>
      <c r="N13525" t="s">
        <v>27252</v>
      </c>
      <c r="Q13525" s="1">
        <v>44538</v>
      </c>
      <c r="R13525" t="s">
        <v>27253</v>
      </c>
      <c r="S13525" t="s">
        <v>27254</v>
      </c>
      <c r="T13525" t="s">
        <v>27255</v>
      </c>
    </row>
    <row r="13526" spans="1:20" x14ac:dyDescent="0.3">
      <c r="A13526" t="str">
        <f>"0611840800100"</f>
        <v>0611840800100</v>
      </c>
      <c r="B13526" t="str">
        <f>"LK3110"</f>
        <v>LK3110</v>
      </c>
      <c r="C13526" t="s">
        <v>53426</v>
      </c>
      <c r="D13526" t="s">
        <v>27245</v>
      </c>
      <c r="E13526" t="str">
        <f t="shared" si="211"/>
        <v>001390</v>
      </c>
      <c r="F13526" t="s">
        <v>27246</v>
      </c>
      <c r="G13526" t="s">
        <v>27247</v>
      </c>
      <c r="H13526" t="s">
        <v>27248</v>
      </c>
      <c r="I13526" t="s">
        <v>53427</v>
      </c>
      <c r="J13526" t="s">
        <v>27061</v>
      </c>
      <c r="L13526" t="s">
        <v>27250</v>
      </c>
      <c r="M13526" t="s">
        <v>27251</v>
      </c>
      <c r="N13526" t="s">
        <v>27252</v>
      </c>
      <c r="Q13526" s="1">
        <v>44538</v>
      </c>
      <c r="R13526" t="s">
        <v>27253</v>
      </c>
      <c r="S13526" t="s">
        <v>27254</v>
      </c>
      <c r="T13526" t="s">
        <v>27255</v>
      </c>
    </row>
    <row r="13527" spans="1:20" x14ac:dyDescent="0.3">
      <c r="A13527" t="str">
        <f>"0611840801100"</f>
        <v>0611840801100</v>
      </c>
      <c r="B13527" t="str">
        <f>"LK5426"</f>
        <v>LK5426</v>
      </c>
      <c r="C13527" t="s">
        <v>53428</v>
      </c>
      <c r="D13527" t="s">
        <v>27245</v>
      </c>
      <c r="E13527" t="str">
        <f t="shared" si="211"/>
        <v>001390</v>
      </c>
      <c r="F13527" t="s">
        <v>27246</v>
      </c>
      <c r="G13527" t="s">
        <v>27247</v>
      </c>
      <c r="H13527" t="s">
        <v>27248</v>
      </c>
      <c r="I13527" t="s">
        <v>53429</v>
      </c>
      <c r="J13527" t="s">
        <v>27067</v>
      </c>
      <c r="L13527" t="s">
        <v>27250</v>
      </c>
      <c r="M13527" t="s">
        <v>27251</v>
      </c>
      <c r="N13527" t="s">
        <v>27252</v>
      </c>
      <c r="Q13527" s="1">
        <v>44538</v>
      </c>
      <c r="R13527" t="s">
        <v>27253</v>
      </c>
      <c r="S13527" t="s">
        <v>27254</v>
      </c>
      <c r="T13527" t="s">
        <v>27255</v>
      </c>
    </row>
    <row r="13528" spans="1:20" x14ac:dyDescent="0.3">
      <c r="A13528" t="str">
        <f>"0611840802100"</f>
        <v>0611840802100</v>
      </c>
      <c r="B13528" t="str">
        <f>"LK5427"</f>
        <v>LK5427</v>
      </c>
      <c r="C13528" t="s">
        <v>53430</v>
      </c>
      <c r="D13528" t="s">
        <v>27245</v>
      </c>
      <c r="E13528" t="str">
        <f t="shared" si="211"/>
        <v>001390</v>
      </c>
      <c r="F13528" t="s">
        <v>27246</v>
      </c>
      <c r="G13528" t="s">
        <v>27247</v>
      </c>
      <c r="H13528" t="s">
        <v>27248</v>
      </c>
      <c r="I13528" t="s">
        <v>53431</v>
      </c>
      <c r="J13528" t="s">
        <v>27073</v>
      </c>
      <c r="L13528" t="s">
        <v>27250</v>
      </c>
      <c r="M13528" t="s">
        <v>27251</v>
      </c>
      <c r="N13528" t="s">
        <v>27252</v>
      </c>
      <c r="Q13528" s="1">
        <v>44538</v>
      </c>
      <c r="R13528" t="s">
        <v>27253</v>
      </c>
      <c r="S13528" t="s">
        <v>27254</v>
      </c>
      <c r="T13528" t="s">
        <v>27255</v>
      </c>
    </row>
    <row r="13529" spans="1:20" x14ac:dyDescent="0.3">
      <c r="A13529" t="str">
        <f>"0611840803100"</f>
        <v>0611840803100</v>
      </c>
      <c r="B13529" t="str">
        <f>"LK3111"</f>
        <v>LK3111</v>
      </c>
      <c r="C13529" t="s">
        <v>53432</v>
      </c>
      <c r="D13529" t="s">
        <v>27245</v>
      </c>
      <c r="E13529" t="str">
        <f t="shared" si="211"/>
        <v>001390</v>
      </c>
      <c r="F13529" t="s">
        <v>27246</v>
      </c>
      <c r="G13529" t="s">
        <v>27247</v>
      </c>
      <c r="H13529" t="s">
        <v>27248</v>
      </c>
      <c r="I13529" t="s">
        <v>53433</v>
      </c>
      <c r="J13529" t="s">
        <v>27063</v>
      </c>
      <c r="L13529" t="s">
        <v>27250</v>
      </c>
      <c r="M13529" t="s">
        <v>27251</v>
      </c>
      <c r="N13529" t="s">
        <v>27252</v>
      </c>
      <c r="Q13529" s="1">
        <v>44538</v>
      </c>
      <c r="R13529" t="s">
        <v>27253</v>
      </c>
      <c r="S13529" t="s">
        <v>27254</v>
      </c>
      <c r="T13529" t="s">
        <v>27255</v>
      </c>
    </row>
    <row r="13530" spans="1:20" x14ac:dyDescent="0.3">
      <c r="A13530" t="str">
        <f>"0611840804100"</f>
        <v>0611840804100</v>
      </c>
      <c r="B13530" t="str">
        <f>"LK3112"</f>
        <v>LK3112</v>
      </c>
      <c r="C13530" t="s">
        <v>53434</v>
      </c>
      <c r="D13530" t="s">
        <v>27245</v>
      </c>
      <c r="E13530" t="str">
        <f t="shared" si="211"/>
        <v>001390</v>
      </c>
      <c r="F13530" t="s">
        <v>27246</v>
      </c>
      <c r="G13530" t="s">
        <v>27247</v>
      </c>
      <c r="H13530" t="s">
        <v>27248</v>
      </c>
      <c r="I13530" t="s">
        <v>53435</v>
      </c>
      <c r="J13530" t="s">
        <v>27065</v>
      </c>
      <c r="L13530" t="s">
        <v>27250</v>
      </c>
      <c r="M13530" t="s">
        <v>27251</v>
      </c>
      <c r="N13530" t="s">
        <v>27252</v>
      </c>
      <c r="Q13530" s="1">
        <v>44538</v>
      </c>
      <c r="R13530" t="s">
        <v>27253</v>
      </c>
      <c r="S13530" t="s">
        <v>27254</v>
      </c>
      <c r="T13530" t="s">
        <v>27255</v>
      </c>
    </row>
    <row r="13531" spans="1:20" x14ac:dyDescent="0.3">
      <c r="A13531" t="str">
        <f>"0611840805100"</f>
        <v>0611840805100</v>
      </c>
      <c r="B13531" t="str">
        <f>"LK4250"</f>
        <v>LK4250</v>
      </c>
      <c r="C13531" t="s">
        <v>53436</v>
      </c>
      <c r="D13531" t="s">
        <v>27245</v>
      </c>
      <c r="E13531" t="str">
        <f t="shared" si="211"/>
        <v>001390</v>
      </c>
      <c r="F13531" t="s">
        <v>27246</v>
      </c>
      <c r="G13531" t="s">
        <v>27247</v>
      </c>
      <c r="H13531" t="s">
        <v>27248</v>
      </c>
      <c r="I13531" t="s">
        <v>53437</v>
      </c>
      <c r="J13531" t="s">
        <v>27069</v>
      </c>
      <c r="L13531" t="s">
        <v>27250</v>
      </c>
      <c r="M13531" t="s">
        <v>27251</v>
      </c>
      <c r="N13531" t="s">
        <v>27252</v>
      </c>
      <c r="Q13531" s="1">
        <v>44538</v>
      </c>
      <c r="R13531" t="s">
        <v>27253</v>
      </c>
      <c r="S13531" t="s">
        <v>27254</v>
      </c>
      <c r="T13531" t="s">
        <v>27255</v>
      </c>
    </row>
    <row r="13532" spans="1:20" x14ac:dyDescent="0.3">
      <c r="A13532" t="str">
        <f>"0611840806100"</f>
        <v>0611840806100</v>
      </c>
      <c r="B13532" t="str">
        <f>"LK4251"</f>
        <v>LK4251</v>
      </c>
      <c r="C13532" t="s">
        <v>53438</v>
      </c>
      <c r="D13532" t="s">
        <v>27245</v>
      </c>
      <c r="E13532" t="str">
        <f t="shared" si="211"/>
        <v>001390</v>
      </c>
      <c r="F13532" t="s">
        <v>27246</v>
      </c>
      <c r="G13532" t="s">
        <v>27247</v>
      </c>
      <c r="H13532" t="s">
        <v>27248</v>
      </c>
      <c r="I13532" t="s">
        <v>53439</v>
      </c>
      <c r="J13532" t="s">
        <v>27071</v>
      </c>
      <c r="L13532" t="s">
        <v>27250</v>
      </c>
      <c r="M13532" t="s">
        <v>27251</v>
      </c>
      <c r="N13532" t="s">
        <v>27252</v>
      </c>
      <c r="Q13532" s="1">
        <v>44538</v>
      </c>
      <c r="R13532" t="s">
        <v>27253</v>
      </c>
      <c r="S13532" t="s">
        <v>27254</v>
      </c>
      <c r="T13532" t="s">
        <v>27255</v>
      </c>
    </row>
    <row r="13533" spans="1:20" x14ac:dyDescent="0.3">
      <c r="A13533" t="str">
        <f>"0611840807100"</f>
        <v>0611840807100</v>
      </c>
      <c r="B13533" t="str">
        <f>"LK4249"</f>
        <v>LK4249</v>
      </c>
      <c r="C13533" t="s">
        <v>53440</v>
      </c>
      <c r="D13533" t="s">
        <v>27245</v>
      </c>
      <c r="E13533" t="str">
        <f t="shared" si="211"/>
        <v>001390</v>
      </c>
      <c r="F13533" t="s">
        <v>27246</v>
      </c>
      <c r="G13533" t="s">
        <v>27247</v>
      </c>
      <c r="H13533" t="s">
        <v>27248</v>
      </c>
      <c r="I13533" t="s">
        <v>53441</v>
      </c>
      <c r="J13533" t="s">
        <v>27075</v>
      </c>
      <c r="L13533" t="s">
        <v>27250</v>
      </c>
      <c r="M13533" t="s">
        <v>27251</v>
      </c>
      <c r="N13533" t="s">
        <v>27252</v>
      </c>
      <c r="Q13533" s="1">
        <v>44538</v>
      </c>
      <c r="R13533" t="s">
        <v>27253</v>
      </c>
      <c r="S13533" t="s">
        <v>27254</v>
      </c>
      <c r="T13533" t="s">
        <v>27255</v>
      </c>
    </row>
    <row r="13534" spans="1:20" x14ac:dyDescent="0.3">
      <c r="A13534" t="str">
        <f>"0611840808100"</f>
        <v>0611840808100</v>
      </c>
      <c r="B13534" t="str">
        <f>"LK7044"</f>
        <v>LK7044</v>
      </c>
      <c r="C13534" t="s">
        <v>53442</v>
      </c>
      <c r="D13534" t="s">
        <v>27245</v>
      </c>
      <c r="E13534" t="str">
        <f t="shared" si="211"/>
        <v>001390</v>
      </c>
      <c r="F13534" t="s">
        <v>27246</v>
      </c>
      <c r="G13534" t="s">
        <v>27247</v>
      </c>
      <c r="H13534" t="s">
        <v>27248</v>
      </c>
      <c r="I13534" t="s">
        <v>53443</v>
      </c>
      <c r="J13534" t="s">
        <v>27077</v>
      </c>
      <c r="L13534" t="s">
        <v>27250</v>
      </c>
      <c r="M13534" t="s">
        <v>27251</v>
      </c>
      <c r="N13534" t="s">
        <v>27252</v>
      </c>
      <c r="Q13534" s="1">
        <v>44538</v>
      </c>
      <c r="R13534" t="s">
        <v>27253</v>
      </c>
      <c r="S13534" t="s">
        <v>27254</v>
      </c>
      <c r="T13534" t="s">
        <v>27255</v>
      </c>
    </row>
    <row r="13535" spans="1:20" x14ac:dyDescent="0.3">
      <c r="A13535" t="str">
        <f>"0611840809100"</f>
        <v>0611840809100</v>
      </c>
      <c r="B13535" t="str">
        <f>"LK4400"</f>
        <v>LK4400</v>
      </c>
      <c r="C13535" t="s">
        <v>53444</v>
      </c>
      <c r="D13535" t="s">
        <v>27245</v>
      </c>
      <c r="E13535" t="str">
        <f t="shared" si="211"/>
        <v>001390</v>
      </c>
      <c r="F13535" t="s">
        <v>27246</v>
      </c>
      <c r="G13535" t="s">
        <v>27247</v>
      </c>
      <c r="H13535" t="s">
        <v>27248</v>
      </c>
      <c r="I13535" t="s">
        <v>53445</v>
      </c>
      <c r="J13535" t="s">
        <v>27079</v>
      </c>
      <c r="L13535" t="s">
        <v>27250</v>
      </c>
      <c r="M13535" t="s">
        <v>27251</v>
      </c>
      <c r="N13535" t="s">
        <v>27252</v>
      </c>
      <c r="Q13535" s="1">
        <v>44538</v>
      </c>
      <c r="R13535" t="s">
        <v>27253</v>
      </c>
      <c r="S13535" t="s">
        <v>27254</v>
      </c>
      <c r="T13535" t="s">
        <v>27255</v>
      </c>
    </row>
    <row r="13536" spans="1:20" x14ac:dyDescent="0.3">
      <c r="A13536" t="str">
        <f>"0611840810100"</f>
        <v>0611840810100</v>
      </c>
      <c r="B13536" t="str">
        <f>"LK4252"</f>
        <v>LK4252</v>
      </c>
      <c r="C13536" t="s">
        <v>53446</v>
      </c>
      <c r="D13536" t="s">
        <v>27245</v>
      </c>
      <c r="E13536" t="str">
        <f t="shared" si="211"/>
        <v>001390</v>
      </c>
      <c r="F13536" t="s">
        <v>27246</v>
      </c>
      <c r="G13536" t="s">
        <v>27247</v>
      </c>
      <c r="H13536" t="s">
        <v>27248</v>
      </c>
      <c r="I13536" t="s">
        <v>53447</v>
      </c>
      <c r="J13536" t="s">
        <v>27081</v>
      </c>
      <c r="L13536" t="s">
        <v>27250</v>
      </c>
      <c r="M13536" t="s">
        <v>27251</v>
      </c>
      <c r="N13536" t="s">
        <v>27252</v>
      </c>
      <c r="Q13536" s="1">
        <v>44538</v>
      </c>
      <c r="R13536" t="s">
        <v>27253</v>
      </c>
      <c r="S13536" t="s">
        <v>27254</v>
      </c>
      <c r="T13536" t="s">
        <v>27255</v>
      </c>
    </row>
    <row r="13537" spans="1:20" x14ac:dyDescent="0.3">
      <c r="A13537" t="str">
        <f>"0611840811100"</f>
        <v>0611840811100</v>
      </c>
      <c r="B13537" t="str">
        <f>"LK5536"</f>
        <v>LK5536</v>
      </c>
      <c r="C13537" t="s">
        <v>53448</v>
      </c>
      <c r="D13537" t="s">
        <v>27245</v>
      </c>
      <c r="E13537" t="str">
        <f t="shared" si="211"/>
        <v>001390</v>
      </c>
      <c r="F13537" t="s">
        <v>27246</v>
      </c>
      <c r="G13537" t="s">
        <v>27247</v>
      </c>
      <c r="H13537" t="s">
        <v>27248</v>
      </c>
      <c r="I13537" t="s">
        <v>53449</v>
      </c>
      <c r="J13537" t="s">
        <v>27083</v>
      </c>
      <c r="L13537" t="s">
        <v>27250</v>
      </c>
      <c r="M13537" t="s">
        <v>27251</v>
      </c>
      <c r="N13537" t="s">
        <v>27252</v>
      </c>
      <c r="Q13537" s="1">
        <v>44538</v>
      </c>
      <c r="R13537" t="s">
        <v>27253</v>
      </c>
      <c r="S13537" t="s">
        <v>27254</v>
      </c>
      <c r="T13537" t="s">
        <v>27255</v>
      </c>
    </row>
    <row r="13538" spans="1:20" x14ac:dyDescent="0.3">
      <c r="A13538" t="str">
        <f>"0611840812100"</f>
        <v>0611840812100</v>
      </c>
      <c r="B13538" t="str">
        <f>"LK1832"</f>
        <v>LK1832</v>
      </c>
      <c r="C13538" t="s">
        <v>53450</v>
      </c>
      <c r="D13538" t="s">
        <v>27245</v>
      </c>
      <c r="E13538" t="str">
        <f t="shared" si="211"/>
        <v>001390</v>
      </c>
      <c r="F13538" t="s">
        <v>27246</v>
      </c>
      <c r="G13538" t="s">
        <v>27247</v>
      </c>
      <c r="H13538" t="s">
        <v>27248</v>
      </c>
      <c r="I13538" t="s">
        <v>53451</v>
      </c>
      <c r="J13538" t="s">
        <v>27085</v>
      </c>
      <c r="L13538" t="s">
        <v>27250</v>
      </c>
      <c r="M13538" t="s">
        <v>27251</v>
      </c>
      <c r="N13538" t="s">
        <v>27252</v>
      </c>
      <c r="Q13538" s="1">
        <v>44538</v>
      </c>
      <c r="R13538" t="s">
        <v>27253</v>
      </c>
      <c r="S13538" t="s">
        <v>27254</v>
      </c>
      <c r="T13538" t="s">
        <v>27255</v>
      </c>
    </row>
    <row r="13539" spans="1:20" x14ac:dyDescent="0.3">
      <c r="A13539" t="str">
        <f>"0611840815100"</f>
        <v>0611840815100</v>
      </c>
      <c r="B13539" t="str">
        <f>"LK6506"</f>
        <v>LK6506</v>
      </c>
      <c r="C13539" t="s">
        <v>53452</v>
      </c>
      <c r="D13539" t="s">
        <v>27245</v>
      </c>
      <c r="E13539" t="str">
        <f t="shared" si="211"/>
        <v>001390</v>
      </c>
      <c r="F13539" t="s">
        <v>27246</v>
      </c>
      <c r="G13539" t="s">
        <v>27247</v>
      </c>
      <c r="H13539" t="s">
        <v>27248</v>
      </c>
      <c r="I13539" t="s">
        <v>53453</v>
      </c>
      <c r="J13539" t="s">
        <v>27087</v>
      </c>
      <c r="L13539" t="s">
        <v>27250</v>
      </c>
      <c r="M13539" t="s">
        <v>27251</v>
      </c>
      <c r="N13539" t="s">
        <v>27252</v>
      </c>
      <c r="Q13539" s="1">
        <v>44538</v>
      </c>
      <c r="R13539" t="s">
        <v>27253</v>
      </c>
      <c r="S13539" t="s">
        <v>27254</v>
      </c>
      <c r="T13539" t="s">
        <v>27255</v>
      </c>
    </row>
    <row r="13540" spans="1:20" x14ac:dyDescent="0.3">
      <c r="A13540" t="str">
        <f>"0611840816100"</f>
        <v>0611840816100</v>
      </c>
      <c r="B13540" t="str">
        <f>"LK0536"</f>
        <v>LK0536</v>
      </c>
      <c r="C13540" t="s">
        <v>53454</v>
      </c>
      <c r="D13540" t="s">
        <v>27245</v>
      </c>
      <c r="E13540" t="str">
        <f t="shared" si="211"/>
        <v>001390</v>
      </c>
      <c r="F13540" t="s">
        <v>27246</v>
      </c>
      <c r="G13540" t="s">
        <v>27247</v>
      </c>
      <c r="H13540" t="s">
        <v>27248</v>
      </c>
      <c r="I13540" t="s">
        <v>53455</v>
      </c>
      <c r="J13540" t="s">
        <v>27089</v>
      </c>
      <c r="L13540" t="s">
        <v>27250</v>
      </c>
      <c r="M13540" t="s">
        <v>27251</v>
      </c>
      <c r="N13540" t="s">
        <v>27252</v>
      </c>
      <c r="Q13540" s="1">
        <v>44538</v>
      </c>
      <c r="R13540" t="s">
        <v>27253</v>
      </c>
      <c r="S13540" t="s">
        <v>27254</v>
      </c>
      <c r="T13540" t="s">
        <v>27255</v>
      </c>
    </row>
    <row r="13541" spans="1:20" x14ac:dyDescent="0.3">
      <c r="A13541" t="str">
        <f>"0611840817100"</f>
        <v>0611840817100</v>
      </c>
      <c r="B13541" t="str">
        <f>"LB9539"</f>
        <v>LB9539</v>
      </c>
      <c r="C13541" t="s">
        <v>53456</v>
      </c>
      <c r="D13541" t="s">
        <v>27245</v>
      </c>
      <c r="E13541" t="str">
        <f t="shared" si="211"/>
        <v>001390</v>
      </c>
      <c r="F13541" t="s">
        <v>27246</v>
      </c>
      <c r="G13541" t="s">
        <v>27247</v>
      </c>
      <c r="H13541" t="s">
        <v>27248</v>
      </c>
      <c r="I13541" t="s">
        <v>53457</v>
      </c>
      <c r="J13541" t="s">
        <v>27091</v>
      </c>
      <c r="L13541" t="s">
        <v>27250</v>
      </c>
      <c r="M13541" t="s">
        <v>27251</v>
      </c>
      <c r="N13541" t="s">
        <v>27252</v>
      </c>
      <c r="Q13541" s="1">
        <v>44538</v>
      </c>
      <c r="R13541" t="s">
        <v>27253</v>
      </c>
      <c r="S13541" t="s">
        <v>27254</v>
      </c>
      <c r="T13541" t="s">
        <v>27255</v>
      </c>
    </row>
    <row r="13542" spans="1:20" x14ac:dyDescent="0.3">
      <c r="A13542" t="str">
        <f>"0611840818100"</f>
        <v>0611840818100</v>
      </c>
      <c r="B13542" t="str">
        <f>"LK6218"</f>
        <v>LK6218</v>
      </c>
      <c r="C13542" t="s">
        <v>53458</v>
      </c>
      <c r="D13542" t="s">
        <v>27245</v>
      </c>
      <c r="E13542" t="str">
        <f t="shared" si="211"/>
        <v>001390</v>
      </c>
      <c r="F13542" t="s">
        <v>27246</v>
      </c>
      <c r="G13542" t="s">
        <v>27247</v>
      </c>
      <c r="H13542" t="s">
        <v>27248</v>
      </c>
      <c r="I13542" t="s">
        <v>53459</v>
      </c>
      <c r="J13542" t="s">
        <v>27093</v>
      </c>
      <c r="L13542" t="s">
        <v>27250</v>
      </c>
      <c r="M13542" t="s">
        <v>27251</v>
      </c>
      <c r="N13542" t="s">
        <v>27252</v>
      </c>
      <c r="Q13542" s="1">
        <v>44538</v>
      </c>
      <c r="R13542" t="s">
        <v>27253</v>
      </c>
      <c r="S13542" t="s">
        <v>27254</v>
      </c>
      <c r="T13542" t="s">
        <v>27255</v>
      </c>
    </row>
    <row r="13543" spans="1:20" x14ac:dyDescent="0.3">
      <c r="A13543" t="str">
        <f>"0611840819100"</f>
        <v>0611840819100</v>
      </c>
      <c r="B13543" t="str">
        <f>"LK6982"</f>
        <v>LK6982</v>
      </c>
      <c r="C13543" t="s">
        <v>53460</v>
      </c>
      <c r="D13543" t="s">
        <v>27245</v>
      </c>
      <c r="E13543" t="str">
        <f t="shared" si="211"/>
        <v>001390</v>
      </c>
      <c r="F13543" t="s">
        <v>27246</v>
      </c>
      <c r="G13543" t="s">
        <v>27247</v>
      </c>
      <c r="H13543" t="s">
        <v>27248</v>
      </c>
      <c r="I13543" t="s">
        <v>53461</v>
      </c>
      <c r="J13543" t="s">
        <v>27095</v>
      </c>
      <c r="L13543" t="s">
        <v>27250</v>
      </c>
      <c r="M13543" t="s">
        <v>27251</v>
      </c>
      <c r="N13543" t="s">
        <v>27252</v>
      </c>
      <c r="Q13543" s="1">
        <v>44538</v>
      </c>
      <c r="R13543" t="s">
        <v>27253</v>
      </c>
      <c r="S13543" t="s">
        <v>27254</v>
      </c>
      <c r="T13543" t="s">
        <v>27255</v>
      </c>
    </row>
    <row r="13544" spans="1:20" x14ac:dyDescent="0.3">
      <c r="A13544" t="str">
        <f>"0611840820100"</f>
        <v>0611840820100</v>
      </c>
      <c r="B13544" t="str">
        <f>"LK4738"</f>
        <v>LK4738</v>
      </c>
      <c r="C13544" t="s">
        <v>53462</v>
      </c>
      <c r="D13544" t="s">
        <v>27245</v>
      </c>
      <c r="E13544" t="str">
        <f t="shared" si="211"/>
        <v>001390</v>
      </c>
      <c r="F13544" t="s">
        <v>27246</v>
      </c>
      <c r="G13544" t="s">
        <v>27247</v>
      </c>
      <c r="H13544" t="s">
        <v>27248</v>
      </c>
      <c r="I13544" t="s">
        <v>53463</v>
      </c>
      <c r="J13544" t="s">
        <v>27097</v>
      </c>
      <c r="L13544" t="s">
        <v>27250</v>
      </c>
      <c r="M13544" t="s">
        <v>27251</v>
      </c>
      <c r="N13544" t="s">
        <v>27252</v>
      </c>
      <c r="Q13544" s="1">
        <v>44538</v>
      </c>
      <c r="R13544" t="s">
        <v>27253</v>
      </c>
      <c r="S13544" t="s">
        <v>27254</v>
      </c>
      <c r="T13544" t="s">
        <v>27255</v>
      </c>
    </row>
    <row r="13545" spans="1:20" x14ac:dyDescent="0.3">
      <c r="A13545" t="str">
        <f>"0611840821100"</f>
        <v>0611840821100</v>
      </c>
      <c r="B13545" t="str">
        <f>"LB9432"</f>
        <v>LB9432</v>
      </c>
      <c r="C13545" t="s">
        <v>53464</v>
      </c>
      <c r="D13545" t="s">
        <v>27245</v>
      </c>
      <c r="E13545" t="str">
        <f t="shared" si="211"/>
        <v>001390</v>
      </c>
      <c r="F13545" t="s">
        <v>27246</v>
      </c>
      <c r="G13545" t="s">
        <v>27247</v>
      </c>
      <c r="H13545" t="s">
        <v>27248</v>
      </c>
      <c r="I13545" t="s">
        <v>53465</v>
      </c>
      <c r="J13545" t="s">
        <v>27099</v>
      </c>
      <c r="L13545" t="s">
        <v>27250</v>
      </c>
      <c r="M13545" t="s">
        <v>27251</v>
      </c>
      <c r="N13545" t="s">
        <v>27252</v>
      </c>
      <c r="Q13545" s="1">
        <v>44538</v>
      </c>
      <c r="R13545" t="s">
        <v>27253</v>
      </c>
      <c r="S13545" t="s">
        <v>27254</v>
      </c>
      <c r="T13545" t="s">
        <v>27255</v>
      </c>
    </row>
    <row r="13546" spans="1:20" x14ac:dyDescent="0.3">
      <c r="A13546" t="str">
        <f>"0611840822100"</f>
        <v>0611840822100</v>
      </c>
      <c r="B13546" t="str">
        <f>"LK4404"</f>
        <v>LK4404</v>
      </c>
      <c r="C13546" t="s">
        <v>53466</v>
      </c>
      <c r="D13546" t="s">
        <v>27245</v>
      </c>
      <c r="E13546" t="str">
        <f t="shared" si="211"/>
        <v>001390</v>
      </c>
      <c r="F13546" t="s">
        <v>27246</v>
      </c>
      <c r="G13546" t="s">
        <v>27247</v>
      </c>
      <c r="H13546" t="s">
        <v>27248</v>
      </c>
      <c r="I13546" t="s">
        <v>53467</v>
      </c>
      <c r="J13546" t="s">
        <v>27101</v>
      </c>
      <c r="L13546" t="s">
        <v>27250</v>
      </c>
      <c r="M13546" t="s">
        <v>27251</v>
      </c>
      <c r="N13546" t="s">
        <v>27252</v>
      </c>
      <c r="Q13546" s="1">
        <v>44538</v>
      </c>
      <c r="R13546" t="s">
        <v>27253</v>
      </c>
      <c r="S13546" t="s">
        <v>27254</v>
      </c>
      <c r="T13546" t="s">
        <v>27255</v>
      </c>
    </row>
    <row r="13547" spans="1:20" x14ac:dyDescent="0.3">
      <c r="A13547" t="str">
        <f>"0611840823100"</f>
        <v>0611840823100</v>
      </c>
      <c r="B13547" t="str">
        <f>"LK4737"</f>
        <v>LK4737</v>
      </c>
      <c r="C13547" t="s">
        <v>53468</v>
      </c>
      <c r="D13547" t="s">
        <v>27245</v>
      </c>
      <c r="E13547" t="str">
        <f t="shared" si="211"/>
        <v>001390</v>
      </c>
      <c r="F13547" t="s">
        <v>27246</v>
      </c>
      <c r="G13547" t="s">
        <v>27247</v>
      </c>
      <c r="H13547" t="s">
        <v>27248</v>
      </c>
      <c r="I13547" t="s">
        <v>53469</v>
      </c>
      <c r="J13547" t="s">
        <v>27051</v>
      </c>
      <c r="L13547" t="s">
        <v>27250</v>
      </c>
      <c r="M13547" t="s">
        <v>27251</v>
      </c>
      <c r="N13547" t="s">
        <v>27252</v>
      </c>
      <c r="Q13547" s="1">
        <v>44538</v>
      </c>
      <c r="R13547" t="s">
        <v>27253</v>
      </c>
      <c r="S13547" t="s">
        <v>27254</v>
      </c>
      <c r="T13547" t="s">
        <v>27255</v>
      </c>
    </row>
    <row r="13548" spans="1:20" x14ac:dyDescent="0.3">
      <c r="A13548" t="str">
        <f>"0611840824100"</f>
        <v>0611840824100</v>
      </c>
      <c r="B13548" t="str">
        <f>"LB9630"</f>
        <v>LB9630</v>
      </c>
      <c r="C13548" t="s">
        <v>53470</v>
      </c>
      <c r="D13548" t="s">
        <v>27245</v>
      </c>
      <c r="E13548" t="str">
        <f t="shared" si="211"/>
        <v>001390</v>
      </c>
      <c r="F13548" t="s">
        <v>27246</v>
      </c>
      <c r="G13548" t="s">
        <v>27247</v>
      </c>
      <c r="H13548" t="s">
        <v>27248</v>
      </c>
      <c r="I13548" t="s">
        <v>53471</v>
      </c>
      <c r="J13548" t="s">
        <v>27103</v>
      </c>
      <c r="L13548" t="s">
        <v>27250</v>
      </c>
      <c r="M13548" t="s">
        <v>27251</v>
      </c>
      <c r="N13548" t="s">
        <v>27252</v>
      </c>
      <c r="Q13548" s="1">
        <v>44538</v>
      </c>
      <c r="R13548" t="s">
        <v>27253</v>
      </c>
      <c r="S13548" t="s">
        <v>27254</v>
      </c>
      <c r="T13548" t="s">
        <v>27255</v>
      </c>
    </row>
    <row r="13549" spans="1:20" x14ac:dyDescent="0.3">
      <c r="A13549" t="str">
        <f>"0611840825100"</f>
        <v>0611840825100</v>
      </c>
      <c r="B13549" t="str">
        <f>"LK4564"</f>
        <v>LK4564</v>
      </c>
      <c r="C13549" t="s">
        <v>53472</v>
      </c>
      <c r="D13549" t="s">
        <v>27245</v>
      </c>
      <c r="E13549" t="str">
        <f t="shared" si="211"/>
        <v>001390</v>
      </c>
      <c r="F13549" t="s">
        <v>27246</v>
      </c>
      <c r="G13549" t="s">
        <v>27247</v>
      </c>
      <c r="H13549" t="s">
        <v>27248</v>
      </c>
      <c r="I13549" t="s">
        <v>53473</v>
      </c>
      <c r="J13549" t="s">
        <v>27105</v>
      </c>
      <c r="L13549" t="s">
        <v>27250</v>
      </c>
      <c r="M13549" t="s">
        <v>27251</v>
      </c>
      <c r="N13549" t="s">
        <v>27252</v>
      </c>
      <c r="Q13549" s="1">
        <v>44538</v>
      </c>
      <c r="R13549" t="s">
        <v>27253</v>
      </c>
      <c r="S13549" t="s">
        <v>27254</v>
      </c>
      <c r="T13549" t="s">
        <v>27255</v>
      </c>
    </row>
    <row r="13550" spans="1:20" x14ac:dyDescent="0.3">
      <c r="A13550" t="str">
        <f>"0611840826100"</f>
        <v>0611840826100</v>
      </c>
      <c r="B13550" t="str">
        <f>"LK4565"</f>
        <v>LK4565</v>
      </c>
      <c r="C13550" t="s">
        <v>53474</v>
      </c>
      <c r="D13550" t="s">
        <v>27245</v>
      </c>
      <c r="E13550" t="str">
        <f t="shared" si="211"/>
        <v>001390</v>
      </c>
      <c r="F13550" t="s">
        <v>27246</v>
      </c>
      <c r="G13550" t="s">
        <v>27247</v>
      </c>
      <c r="H13550" t="s">
        <v>27248</v>
      </c>
      <c r="I13550" t="s">
        <v>53475</v>
      </c>
      <c r="J13550" t="s">
        <v>27107</v>
      </c>
      <c r="L13550" t="s">
        <v>27250</v>
      </c>
      <c r="M13550" t="s">
        <v>27251</v>
      </c>
      <c r="N13550" t="s">
        <v>27252</v>
      </c>
      <c r="Q13550" s="1">
        <v>44538</v>
      </c>
      <c r="R13550" t="s">
        <v>27253</v>
      </c>
      <c r="S13550" t="s">
        <v>27254</v>
      </c>
      <c r="T13550" t="s">
        <v>27255</v>
      </c>
    </row>
    <row r="13551" spans="1:20" x14ac:dyDescent="0.3">
      <c r="A13551" t="str">
        <f>"0611857184100"</f>
        <v>0611857184100</v>
      </c>
      <c r="B13551" t="str">
        <f>"LK7065"</f>
        <v>LK7065</v>
      </c>
      <c r="C13551" t="s">
        <v>53476</v>
      </c>
      <c r="D13551" t="s">
        <v>27245</v>
      </c>
      <c r="E13551" t="str">
        <f t="shared" si="211"/>
        <v>001390</v>
      </c>
      <c r="F13551" t="s">
        <v>27246</v>
      </c>
      <c r="G13551" t="s">
        <v>27247</v>
      </c>
      <c r="H13551" t="s">
        <v>27248</v>
      </c>
      <c r="I13551" t="s">
        <v>53477</v>
      </c>
      <c r="J13551" t="s">
        <v>27109</v>
      </c>
      <c r="L13551" t="s">
        <v>27250</v>
      </c>
      <c r="M13551" t="s">
        <v>27251</v>
      </c>
      <c r="N13551" t="s">
        <v>27252</v>
      </c>
      <c r="Q13551" s="1">
        <v>44812</v>
      </c>
      <c r="R13551" t="s">
        <v>27253</v>
      </c>
      <c r="S13551" t="s">
        <v>27254</v>
      </c>
      <c r="T13551" t="s">
        <v>27255</v>
      </c>
    </row>
    <row r="13552" spans="1:20" x14ac:dyDescent="0.3">
      <c r="A13552" t="str">
        <f>"0611840827100"</f>
        <v>0611840827100</v>
      </c>
      <c r="B13552" t="str">
        <f>"LK6351"</f>
        <v>LK6351</v>
      </c>
      <c r="C13552" t="s">
        <v>53478</v>
      </c>
      <c r="D13552" t="s">
        <v>27245</v>
      </c>
      <c r="E13552" t="str">
        <f t="shared" si="211"/>
        <v>001390</v>
      </c>
      <c r="F13552" t="s">
        <v>27246</v>
      </c>
      <c r="G13552" t="s">
        <v>27247</v>
      </c>
      <c r="H13552" t="s">
        <v>27248</v>
      </c>
      <c r="I13552" t="s">
        <v>53479</v>
      </c>
      <c r="J13552" t="s">
        <v>27111</v>
      </c>
      <c r="L13552" t="s">
        <v>27250</v>
      </c>
      <c r="M13552" t="s">
        <v>27251</v>
      </c>
      <c r="N13552" t="s">
        <v>27252</v>
      </c>
      <c r="Q13552" s="1">
        <v>44538</v>
      </c>
      <c r="R13552" t="s">
        <v>27253</v>
      </c>
      <c r="S13552" t="s">
        <v>27254</v>
      </c>
      <c r="T13552" t="s">
        <v>27255</v>
      </c>
    </row>
    <row r="13553" spans="1:20" x14ac:dyDescent="0.3">
      <c r="A13553" t="str">
        <f>"0611840836100"</f>
        <v>0611840836100</v>
      </c>
      <c r="B13553" t="str">
        <f>"LB9585"</f>
        <v>LB9585</v>
      </c>
      <c r="C13553" t="s">
        <v>53480</v>
      </c>
      <c r="D13553" t="s">
        <v>28138</v>
      </c>
      <c r="E13553" t="str">
        <f t="shared" si="211"/>
        <v>001390</v>
      </c>
      <c r="F13553" t="s">
        <v>27246</v>
      </c>
      <c r="G13553" t="s">
        <v>27247</v>
      </c>
      <c r="H13553" t="s">
        <v>27248</v>
      </c>
      <c r="I13553" t="s">
        <v>53481</v>
      </c>
      <c r="J13553" t="s">
        <v>27113</v>
      </c>
      <c r="L13553" t="s">
        <v>27250</v>
      </c>
      <c r="M13553" t="s">
        <v>27251</v>
      </c>
      <c r="N13553" t="s">
        <v>27252</v>
      </c>
      <c r="P13553" t="s">
        <v>27925</v>
      </c>
      <c r="Q13553" s="1">
        <v>44538</v>
      </c>
      <c r="R13553" t="s">
        <v>27253</v>
      </c>
      <c r="S13553" t="s">
        <v>27254</v>
      </c>
      <c r="T13553" t="s">
        <v>27255</v>
      </c>
    </row>
    <row r="13554" spans="1:20" x14ac:dyDescent="0.3">
      <c r="A13554" t="str">
        <f>"0611840828100"</f>
        <v>0611840828100</v>
      </c>
      <c r="B13554" t="str">
        <f>"LB9664"</f>
        <v>LB9664</v>
      </c>
      <c r="C13554" t="s">
        <v>53482</v>
      </c>
      <c r="D13554" t="s">
        <v>28138</v>
      </c>
      <c r="E13554" t="str">
        <f t="shared" si="211"/>
        <v>001390</v>
      </c>
      <c r="F13554" t="s">
        <v>27246</v>
      </c>
      <c r="G13554" t="s">
        <v>27247</v>
      </c>
      <c r="H13554" t="s">
        <v>27248</v>
      </c>
      <c r="I13554" t="s">
        <v>53483</v>
      </c>
      <c r="J13554" t="s">
        <v>27115</v>
      </c>
      <c r="L13554" t="s">
        <v>27250</v>
      </c>
      <c r="M13554" t="s">
        <v>27251</v>
      </c>
      <c r="N13554" t="s">
        <v>27252</v>
      </c>
      <c r="P13554" t="s">
        <v>27925</v>
      </c>
      <c r="Q13554" s="1">
        <v>44538</v>
      </c>
      <c r="R13554" t="s">
        <v>27253</v>
      </c>
      <c r="S13554" t="s">
        <v>27254</v>
      </c>
      <c r="T13554" t="s">
        <v>27255</v>
      </c>
    </row>
    <row r="13555" spans="1:20" x14ac:dyDescent="0.3">
      <c r="A13555" t="str">
        <f>"0611840829100"</f>
        <v>0611840829100</v>
      </c>
      <c r="B13555" t="str">
        <f>"LB9665"</f>
        <v>LB9665</v>
      </c>
      <c r="C13555" t="s">
        <v>53484</v>
      </c>
      <c r="D13555" t="s">
        <v>28138</v>
      </c>
      <c r="E13555" t="str">
        <f t="shared" si="211"/>
        <v>001390</v>
      </c>
      <c r="F13555" t="s">
        <v>27246</v>
      </c>
      <c r="G13555" t="s">
        <v>27247</v>
      </c>
      <c r="H13555" t="s">
        <v>27248</v>
      </c>
      <c r="I13555" t="s">
        <v>53485</v>
      </c>
      <c r="J13555" t="s">
        <v>27117</v>
      </c>
      <c r="L13555" t="s">
        <v>27250</v>
      </c>
      <c r="M13555" t="s">
        <v>27251</v>
      </c>
      <c r="N13555" t="s">
        <v>27252</v>
      </c>
      <c r="P13555" t="s">
        <v>27925</v>
      </c>
      <c r="Q13555" s="1">
        <v>44538</v>
      </c>
      <c r="R13555" t="s">
        <v>27253</v>
      </c>
      <c r="S13555" t="s">
        <v>27254</v>
      </c>
      <c r="T13555" t="s">
        <v>27255</v>
      </c>
    </row>
    <row r="13556" spans="1:20" x14ac:dyDescent="0.3">
      <c r="A13556" t="str">
        <f>"0611840830100"</f>
        <v>0611840830100</v>
      </c>
      <c r="B13556" t="str">
        <f>"LB9933"</f>
        <v>LB9933</v>
      </c>
      <c r="C13556" t="s">
        <v>53486</v>
      </c>
      <c r="D13556" t="s">
        <v>28138</v>
      </c>
      <c r="E13556" t="str">
        <f t="shared" si="211"/>
        <v>001390</v>
      </c>
      <c r="F13556" t="s">
        <v>27246</v>
      </c>
      <c r="G13556" t="s">
        <v>27247</v>
      </c>
      <c r="H13556" t="s">
        <v>27248</v>
      </c>
      <c r="I13556" t="s">
        <v>53487</v>
      </c>
      <c r="J13556" t="s">
        <v>27119</v>
      </c>
      <c r="L13556" t="s">
        <v>27250</v>
      </c>
      <c r="M13556" t="s">
        <v>27251</v>
      </c>
      <c r="N13556" t="s">
        <v>27252</v>
      </c>
      <c r="P13556" t="s">
        <v>27925</v>
      </c>
      <c r="Q13556" s="1">
        <v>44538</v>
      </c>
      <c r="R13556" t="s">
        <v>27253</v>
      </c>
      <c r="S13556" t="s">
        <v>27254</v>
      </c>
      <c r="T13556" t="s">
        <v>27255</v>
      </c>
    </row>
    <row r="13557" spans="1:20" x14ac:dyDescent="0.3">
      <c r="A13557" t="str">
        <f>"0611840831100"</f>
        <v>0611840831100</v>
      </c>
      <c r="B13557" t="str">
        <f>"LB9666"</f>
        <v>LB9666</v>
      </c>
      <c r="C13557" t="s">
        <v>53488</v>
      </c>
      <c r="D13557" t="s">
        <v>28138</v>
      </c>
      <c r="E13557" t="str">
        <f t="shared" si="211"/>
        <v>001390</v>
      </c>
      <c r="F13557" t="s">
        <v>27246</v>
      </c>
      <c r="G13557" t="s">
        <v>27247</v>
      </c>
      <c r="H13557" t="s">
        <v>27248</v>
      </c>
      <c r="I13557" t="s">
        <v>53489</v>
      </c>
      <c r="J13557" t="s">
        <v>27121</v>
      </c>
      <c r="L13557" t="s">
        <v>27250</v>
      </c>
      <c r="M13557" t="s">
        <v>27251</v>
      </c>
      <c r="N13557" t="s">
        <v>27252</v>
      </c>
      <c r="P13557" t="s">
        <v>27925</v>
      </c>
      <c r="Q13557" s="1">
        <v>44538</v>
      </c>
      <c r="R13557" t="s">
        <v>27253</v>
      </c>
      <c r="S13557" t="s">
        <v>27254</v>
      </c>
      <c r="T13557" t="s">
        <v>27255</v>
      </c>
    </row>
    <row r="13558" spans="1:20" x14ac:dyDescent="0.3">
      <c r="A13558" t="str">
        <f>"0611840832100"</f>
        <v>0611840832100</v>
      </c>
      <c r="B13558" t="str">
        <f>"LB9471"</f>
        <v>LB9471</v>
      </c>
      <c r="C13558" t="s">
        <v>53490</v>
      </c>
      <c r="D13558" t="s">
        <v>28138</v>
      </c>
      <c r="E13558" t="str">
        <f t="shared" si="211"/>
        <v>001390</v>
      </c>
      <c r="F13558" t="s">
        <v>27246</v>
      </c>
      <c r="G13558" t="s">
        <v>27247</v>
      </c>
      <c r="H13558" t="s">
        <v>27248</v>
      </c>
      <c r="I13558" t="s">
        <v>53491</v>
      </c>
      <c r="J13558" t="s">
        <v>27123</v>
      </c>
      <c r="L13558" t="s">
        <v>27250</v>
      </c>
      <c r="M13558" t="s">
        <v>27251</v>
      </c>
      <c r="N13558" t="s">
        <v>27252</v>
      </c>
      <c r="P13558" t="s">
        <v>27925</v>
      </c>
      <c r="Q13558" s="1">
        <v>44538</v>
      </c>
      <c r="R13558" t="s">
        <v>27253</v>
      </c>
      <c r="S13558" t="s">
        <v>27254</v>
      </c>
      <c r="T13558" t="s">
        <v>27255</v>
      </c>
    </row>
    <row r="13559" spans="1:20" x14ac:dyDescent="0.3">
      <c r="A13559" t="str">
        <f>"0611840833100"</f>
        <v>0611840833100</v>
      </c>
      <c r="B13559" t="str">
        <f>"LB9668"</f>
        <v>LB9668</v>
      </c>
      <c r="C13559" t="s">
        <v>53492</v>
      </c>
      <c r="D13559" t="s">
        <v>28138</v>
      </c>
      <c r="E13559" t="str">
        <f t="shared" si="211"/>
        <v>001390</v>
      </c>
      <c r="F13559" t="s">
        <v>27246</v>
      </c>
      <c r="G13559" t="s">
        <v>27247</v>
      </c>
      <c r="H13559" t="s">
        <v>27248</v>
      </c>
      <c r="I13559" t="s">
        <v>53493</v>
      </c>
      <c r="J13559" t="s">
        <v>27125</v>
      </c>
      <c r="L13559" t="s">
        <v>27250</v>
      </c>
      <c r="M13559" t="s">
        <v>27251</v>
      </c>
      <c r="N13559" t="s">
        <v>27252</v>
      </c>
      <c r="P13559" t="s">
        <v>27925</v>
      </c>
      <c r="Q13559" s="1">
        <v>44538</v>
      </c>
      <c r="R13559" t="s">
        <v>27253</v>
      </c>
      <c r="S13559" t="s">
        <v>27254</v>
      </c>
      <c r="T13559" t="s">
        <v>27255</v>
      </c>
    </row>
    <row r="13560" spans="1:20" x14ac:dyDescent="0.3">
      <c r="A13560" t="str">
        <f>"0611840834100"</f>
        <v>0611840834100</v>
      </c>
      <c r="B13560" t="str">
        <f>"LB9670"</f>
        <v>LB9670</v>
      </c>
      <c r="C13560" t="s">
        <v>53494</v>
      </c>
      <c r="D13560" t="s">
        <v>28138</v>
      </c>
      <c r="E13560" t="str">
        <f t="shared" si="211"/>
        <v>001390</v>
      </c>
      <c r="F13560" t="s">
        <v>27246</v>
      </c>
      <c r="G13560" t="s">
        <v>27247</v>
      </c>
      <c r="H13560" t="s">
        <v>27248</v>
      </c>
      <c r="I13560" t="s">
        <v>53495</v>
      </c>
      <c r="J13560" t="s">
        <v>27127</v>
      </c>
      <c r="L13560" t="s">
        <v>27250</v>
      </c>
      <c r="M13560" t="s">
        <v>27251</v>
      </c>
      <c r="N13560" t="s">
        <v>27252</v>
      </c>
      <c r="P13560" t="s">
        <v>27925</v>
      </c>
      <c r="Q13560" s="1">
        <v>44538</v>
      </c>
      <c r="R13560" t="s">
        <v>27253</v>
      </c>
      <c r="S13560" t="s">
        <v>27254</v>
      </c>
      <c r="T13560" t="s">
        <v>27255</v>
      </c>
    </row>
    <row r="13561" spans="1:20" x14ac:dyDescent="0.3">
      <c r="A13561" t="str">
        <f>"0611840837100"</f>
        <v>0611840837100</v>
      </c>
      <c r="B13561" t="str">
        <f>"LB9523"</f>
        <v>LB9523</v>
      </c>
      <c r="C13561" t="s">
        <v>53496</v>
      </c>
      <c r="D13561" t="s">
        <v>27245</v>
      </c>
      <c r="E13561" t="str">
        <f t="shared" si="211"/>
        <v>001390</v>
      </c>
      <c r="F13561" t="s">
        <v>27246</v>
      </c>
      <c r="G13561" t="s">
        <v>27247</v>
      </c>
      <c r="H13561" t="s">
        <v>27248</v>
      </c>
      <c r="I13561" t="s">
        <v>53497</v>
      </c>
      <c r="J13561" t="s">
        <v>27129</v>
      </c>
      <c r="L13561" t="s">
        <v>27250</v>
      </c>
      <c r="M13561" t="s">
        <v>27251</v>
      </c>
      <c r="N13561" t="s">
        <v>27252</v>
      </c>
      <c r="Q13561" s="1">
        <v>44538</v>
      </c>
      <c r="R13561" t="s">
        <v>27253</v>
      </c>
      <c r="S13561" t="s">
        <v>27254</v>
      </c>
      <c r="T13561" t="s">
        <v>27255</v>
      </c>
    </row>
    <row r="13562" spans="1:20" x14ac:dyDescent="0.3">
      <c r="A13562" t="str">
        <f>"0611840838100"</f>
        <v>0611840838100</v>
      </c>
      <c r="B13562" t="str">
        <f>"LB9427"</f>
        <v>LB9427</v>
      </c>
      <c r="C13562" t="s">
        <v>53498</v>
      </c>
      <c r="D13562" t="s">
        <v>27245</v>
      </c>
      <c r="E13562" t="str">
        <f t="shared" si="211"/>
        <v>001390</v>
      </c>
      <c r="F13562" t="s">
        <v>27246</v>
      </c>
      <c r="G13562" t="s">
        <v>27247</v>
      </c>
      <c r="H13562" t="s">
        <v>27248</v>
      </c>
      <c r="I13562" t="s">
        <v>53499</v>
      </c>
      <c r="J13562" t="s">
        <v>27131</v>
      </c>
      <c r="L13562" t="s">
        <v>27250</v>
      </c>
      <c r="M13562" t="s">
        <v>27251</v>
      </c>
      <c r="N13562" t="s">
        <v>27252</v>
      </c>
      <c r="Q13562" s="1">
        <v>44538</v>
      </c>
      <c r="R13562" t="s">
        <v>27253</v>
      </c>
      <c r="S13562" t="s">
        <v>27254</v>
      </c>
      <c r="T13562" t="s">
        <v>27255</v>
      </c>
    </row>
    <row r="13563" spans="1:20" x14ac:dyDescent="0.3">
      <c r="A13563" t="str">
        <f>"0611840839100"</f>
        <v>0611840839100</v>
      </c>
      <c r="B13563" t="str">
        <f>"LB9672"</f>
        <v>LB9672</v>
      </c>
      <c r="C13563" t="s">
        <v>53500</v>
      </c>
      <c r="D13563" t="s">
        <v>27245</v>
      </c>
      <c r="E13563" t="str">
        <f t="shared" si="211"/>
        <v>001390</v>
      </c>
      <c r="F13563" t="s">
        <v>27246</v>
      </c>
      <c r="G13563" t="s">
        <v>27247</v>
      </c>
      <c r="H13563" t="s">
        <v>27248</v>
      </c>
      <c r="I13563" t="s">
        <v>53501</v>
      </c>
      <c r="J13563" t="s">
        <v>27133</v>
      </c>
      <c r="L13563" t="s">
        <v>27250</v>
      </c>
      <c r="M13563" t="s">
        <v>27251</v>
      </c>
      <c r="N13563" t="s">
        <v>27252</v>
      </c>
      <c r="Q13563" s="1">
        <v>44538</v>
      </c>
      <c r="R13563" t="s">
        <v>27253</v>
      </c>
      <c r="S13563" t="s">
        <v>27254</v>
      </c>
      <c r="T13563" t="s">
        <v>27255</v>
      </c>
    </row>
    <row r="13564" spans="1:20" x14ac:dyDescent="0.3">
      <c r="A13564" t="str">
        <f>"0611840840100"</f>
        <v>0611840840100</v>
      </c>
      <c r="B13564" t="str">
        <f>"LB9428"</f>
        <v>LB9428</v>
      </c>
      <c r="C13564" t="s">
        <v>53502</v>
      </c>
      <c r="D13564" t="s">
        <v>27245</v>
      </c>
      <c r="E13564" t="str">
        <f t="shared" si="211"/>
        <v>001390</v>
      </c>
      <c r="F13564" t="s">
        <v>27246</v>
      </c>
      <c r="G13564" t="s">
        <v>27247</v>
      </c>
      <c r="H13564" t="s">
        <v>27248</v>
      </c>
      <c r="I13564" t="s">
        <v>53503</v>
      </c>
      <c r="J13564" t="s">
        <v>27135</v>
      </c>
      <c r="L13564" t="s">
        <v>27250</v>
      </c>
      <c r="M13564" t="s">
        <v>27251</v>
      </c>
      <c r="N13564" t="s">
        <v>27252</v>
      </c>
      <c r="Q13564" s="1">
        <v>44538</v>
      </c>
      <c r="R13564" t="s">
        <v>27253</v>
      </c>
      <c r="S13564" t="s">
        <v>27254</v>
      </c>
      <c r="T13564" t="s">
        <v>27255</v>
      </c>
    </row>
    <row r="13565" spans="1:20" x14ac:dyDescent="0.3">
      <c r="A13565" t="str">
        <f>"0611840841100"</f>
        <v>0611840841100</v>
      </c>
      <c r="B13565" t="str">
        <f>"LB9660"</f>
        <v>LB9660</v>
      </c>
      <c r="C13565" t="s">
        <v>53504</v>
      </c>
      <c r="D13565" t="s">
        <v>27245</v>
      </c>
      <c r="E13565" t="str">
        <f t="shared" si="211"/>
        <v>001390</v>
      </c>
      <c r="F13565" t="s">
        <v>27246</v>
      </c>
      <c r="G13565" t="s">
        <v>27247</v>
      </c>
      <c r="H13565" t="s">
        <v>27248</v>
      </c>
      <c r="I13565" t="s">
        <v>53505</v>
      </c>
      <c r="J13565" t="s">
        <v>27137</v>
      </c>
      <c r="L13565" t="s">
        <v>27250</v>
      </c>
      <c r="M13565" t="s">
        <v>27251</v>
      </c>
      <c r="N13565" t="s">
        <v>27252</v>
      </c>
      <c r="Q13565" s="1">
        <v>44538</v>
      </c>
      <c r="R13565" t="s">
        <v>27253</v>
      </c>
      <c r="S13565" t="s">
        <v>27254</v>
      </c>
      <c r="T13565" t="s">
        <v>27255</v>
      </c>
    </row>
    <row r="13566" spans="1:20" x14ac:dyDescent="0.3">
      <c r="A13566" t="str">
        <f>"0611840842100"</f>
        <v>0611840842100</v>
      </c>
      <c r="B13566" t="str">
        <f>"LK1473"</f>
        <v>LK1473</v>
      </c>
      <c r="C13566" t="s">
        <v>53506</v>
      </c>
      <c r="D13566" t="s">
        <v>28138</v>
      </c>
      <c r="E13566" t="str">
        <f t="shared" si="211"/>
        <v>001390</v>
      </c>
      <c r="F13566" t="s">
        <v>27246</v>
      </c>
      <c r="G13566" t="s">
        <v>27247</v>
      </c>
      <c r="H13566" t="s">
        <v>27248</v>
      </c>
      <c r="I13566" t="s">
        <v>53507</v>
      </c>
      <c r="J13566" t="s">
        <v>27139</v>
      </c>
      <c r="L13566" t="s">
        <v>27250</v>
      </c>
      <c r="M13566" t="s">
        <v>27251</v>
      </c>
      <c r="N13566" t="s">
        <v>27252</v>
      </c>
      <c r="P13566" t="s">
        <v>27925</v>
      </c>
      <c r="Q13566" s="1">
        <v>44538</v>
      </c>
      <c r="R13566" t="s">
        <v>27253</v>
      </c>
      <c r="S13566" t="s">
        <v>27254</v>
      </c>
      <c r="T13566" t="s">
        <v>27255</v>
      </c>
    </row>
    <row r="13567" spans="1:20" x14ac:dyDescent="0.3">
      <c r="A13567" t="str">
        <f>"0611840843100"</f>
        <v>0611840843100</v>
      </c>
      <c r="B13567" t="str">
        <f>"LK1474"</f>
        <v>LK1474</v>
      </c>
      <c r="C13567" t="s">
        <v>53508</v>
      </c>
      <c r="D13567" t="s">
        <v>28138</v>
      </c>
      <c r="E13567" t="str">
        <f t="shared" si="211"/>
        <v>001390</v>
      </c>
      <c r="F13567" t="s">
        <v>27246</v>
      </c>
      <c r="G13567" t="s">
        <v>27247</v>
      </c>
      <c r="H13567" t="s">
        <v>27248</v>
      </c>
      <c r="I13567" t="s">
        <v>53509</v>
      </c>
      <c r="J13567" t="s">
        <v>27141</v>
      </c>
      <c r="L13567" t="s">
        <v>27250</v>
      </c>
      <c r="M13567" t="s">
        <v>27251</v>
      </c>
      <c r="N13567" t="s">
        <v>27252</v>
      </c>
      <c r="P13567" t="s">
        <v>27925</v>
      </c>
      <c r="Q13567" s="1">
        <v>44538</v>
      </c>
      <c r="R13567" t="s">
        <v>27253</v>
      </c>
      <c r="S13567" t="s">
        <v>27254</v>
      </c>
      <c r="T13567" t="s">
        <v>27255</v>
      </c>
    </row>
    <row r="13568" spans="1:20" x14ac:dyDescent="0.3">
      <c r="A13568" t="str">
        <f>"0611840845100"</f>
        <v>0611840845100</v>
      </c>
      <c r="B13568" t="str">
        <f>"LK5415"</f>
        <v>LK5415</v>
      </c>
      <c r="C13568" t="s">
        <v>53510</v>
      </c>
      <c r="D13568" t="s">
        <v>27245</v>
      </c>
      <c r="E13568" t="str">
        <f t="shared" si="211"/>
        <v>001390</v>
      </c>
      <c r="F13568" t="s">
        <v>27246</v>
      </c>
      <c r="G13568" t="s">
        <v>27247</v>
      </c>
      <c r="H13568" t="s">
        <v>27248</v>
      </c>
      <c r="I13568" t="s">
        <v>53511</v>
      </c>
      <c r="J13568" t="s">
        <v>27143</v>
      </c>
      <c r="L13568" t="s">
        <v>27250</v>
      </c>
      <c r="M13568" t="s">
        <v>27251</v>
      </c>
      <c r="N13568" t="s">
        <v>27252</v>
      </c>
      <c r="Q13568" s="1">
        <v>44538</v>
      </c>
      <c r="R13568" t="s">
        <v>27253</v>
      </c>
      <c r="S13568" t="s">
        <v>27254</v>
      </c>
      <c r="T13568" t="s">
        <v>27255</v>
      </c>
    </row>
    <row r="13569" spans="1:20" x14ac:dyDescent="0.3">
      <c r="A13569" t="str">
        <f>"0611840846100"</f>
        <v>0611840846100</v>
      </c>
      <c r="B13569" t="str">
        <f>"LB9675"</f>
        <v>LB9675</v>
      </c>
      <c r="C13569" t="s">
        <v>53512</v>
      </c>
      <c r="D13569" t="s">
        <v>27245</v>
      </c>
      <c r="E13569" t="str">
        <f t="shared" si="211"/>
        <v>001390</v>
      </c>
      <c r="F13569" t="s">
        <v>27246</v>
      </c>
      <c r="G13569" t="s">
        <v>27247</v>
      </c>
      <c r="H13569" t="s">
        <v>27248</v>
      </c>
      <c r="I13569" t="s">
        <v>53513</v>
      </c>
      <c r="J13569" t="s">
        <v>27145</v>
      </c>
      <c r="L13569" t="s">
        <v>27250</v>
      </c>
      <c r="M13569" t="s">
        <v>27251</v>
      </c>
      <c r="N13569" t="s">
        <v>27252</v>
      </c>
      <c r="Q13569" s="1">
        <v>44538</v>
      </c>
      <c r="R13569" t="s">
        <v>27253</v>
      </c>
      <c r="S13569" t="s">
        <v>27254</v>
      </c>
      <c r="T13569" t="s">
        <v>27255</v>
      </c>
    </row>
    <row r="13570" spans="1:20" x14ac:dyDescent="0.3">
      <c r="A13570" t="str">
        <f>"0611840847100"</f>
        <v>0611840847100</v>
      </c>
      <c r="B13570" t="str">
        <f>"LK5417"</f>
        <v>LK5417</v>
      </c>
      <c r="C13570" t="s">
        <v>53514</v>
      </c>
      <c r="D13570" t="s">
        <v>27245</v>
      </c>
      <c r="E13570" t="str">
        <f t="shared" ref="E13570:E13620" si="212">"001390"</f>
        <v>001390</v>
      </c>
      <c r="F13570" t="s">
        <v>27246</v>
      </c>
      <c r="G13570" t="s">
        <v>27247</v>
      </c>
      <c r="H13570" t="s">
        <v>27248</v>
      </c>
      <c r="I13570" t="s">
        <v>53515</v>
      </c>
      <c r="J13570" t="s">
        <v>27147</v>
      </c>
      <c r="L13570" t="s">
        <v>27250</v>
      </c>
      <c r="M13570" t="s">
        <v>27251</v>
      </c>
      <c r="N13570" t="s">
        <v>27252</v>
      </c>
      <c r="Q13570" s="1">
        <v>44538</v>
      </c>
      <c r="R13570" t="s">
        <v>27253</v>
      </c>
      <c r="S13570" t="s">
        <v>27254</v>
      </c>
      <c r="T13570" t="s">
        <v>27255</v>
      </c>
    </row>
    <row r="13571" spans="1:20" x14ac:dyDescent="0.3">
      <c r="A13571" t="str">
        <f>"0611840848100"</f>
        <v>0611840848100</v>
      </c>
      <c r="B13571" t="str">
        <f>"LB9684"</f>
        <v>LB9684</v>
      </c>
      <c r="C13571" t="s">
        <v>53516</v>
      </c>
      <c r="D13571" t="s">
        <v>27245</v>
      </c>
      <c r="E13571" t="str">
        <f t="shared" si="212"/>
        <v>001390</v>
      </c>
      <c r="F13571" t="s">
        <v>27246</v>
      </c>
      <c r="G13571" t="s">
        <v>27247</v>
      </c>
      <c r="H13571" t="s">
        <v>27248</v>
      </c>
      <c r="I13571" t="s">
        <v>53517</v>
      </c>
      <c r="J13571" t="s">
        <v>27149</v>
      </c>
      <c r="L13571" t="s">
        <v>27250</v>
      </c>
      <c r="M13571" t="s">
        <v>27251</v>
      </c>
      <c r="N13571" t="s">
        <v>27252</v>
      </c>
      <c r="Q13571" s="1">
        <v>44538</v>
      </c>
      <c r="R13571" t="s">
        <v>27253</v>
      </c>
      <c r="S13571" t="s">
        <v>27254</v>
      </c>
      <c r="T13571" t="s">
        <v>27255</v>
      </c>
    </row>
    <row r="13572" spans="1:20" x14ac:dyDescent="0.3">
      <c r="A13572" t="str">
        <f>"0611840849100"</f>
        <v>0611840849100</v>
      </c>
      <c r="B13572" t="str">
        <f>"LK2498"</f>
        <v>LK2498</v>
      </c>
      <c r="C13572" t="s">
        <v>53518</v>
      </c>
      <c r="D13572" t="s">
        <v>28138</v>
      </c>
      <c r="E13572" t="str">
        <f t="shared" si="212"/>
        <v>001390</v>
      </c>
      <c r="F13572" t="s">
        <v>27246</v>
      </c>
      <c r="G13572" t="s">
        <v>27247</v>
      </c>
      <c r="H13572" t="s">
        <v>27248</v>
      </c>
      <c r="I13572" t="s">
        <v>53519</v>
      </c>
      <c r="J13572" t="s">
        <v>27151</v>
      </c>
      <c r="L13572" t="s">
        <v>27250</v>
      </c>
      <c r="M13572" t="s">
        <v>27251</v>
      </c>
      <c r="N13572" t="s">
        <v>27252</v>
      </c>
      <c r="P13572" t="s">
        <v>27925</v>
      </c>
      <c r="Q13572" s="1">
        <v>44538</v>
      </c>
      <c r="R13572" t="s">
        <v>27253</v>
      </c>
      <c r="S13572" t="s">
        <v>27254</v>
      </c>
      <c r="T13572" t="s">
        <v>27255</v>
      </c>
    </row>
    <row r="13573" spans="1:20" x14ac:dyDescent="0.3">
      <c r="A13573" t="str">
        <f>"0611840850100"</f>
        <v>0611840850100</v>
      </c>
      <c r="B13573" t="str">
        <f>"LK4566"</f>
        <v>LK4566</v>
      </c>
      <c r="C13573" t="s">
        <v>53520</v>
      </c>
      <c r="D13573" t="s">
        <v>27245</v>
      </c>
      <c r="E13573" t="str">
        <f t="shared" si="212"/>
        <v>001390</v>
      </c>
      <c r="F13573" t="s">
        <v>27246</v>
      </c>
      <c r="G13573" t="s">
        <v>27247</v>
      </c>
      <c r="H13573" t="s">
        <v>27248</v>
      </c>
      <c r="I13573" t="s">
        <v>53521</v>
      </c>
      <c r="J13573" t="s">
        <v>27153</v>
      </c>
      <c r="L13573" t="s">
        <v>27250</v>
      </c>
      <c r="M13573" t="s">
        <v>27251</v>
      </c>
      <c r="N13573" t="s">
        <v>27252</v>
      </c>
      <c r="Q13573" s="1">
        <v>44538</v>
      </c>
      <c r="R13573" t="s">
        <v>27253</v>
      </c>
      <c r="S13573" t="s">
        <v>27254</v>
      </c>
      <c r="T13573" t="s">
        <v>27255</v>
      </c>
    </row>
    <row r="13574" spans="1:20" x14ac:dyDescent="0.3">
      <c r="A13574" t="str">
        <f>"0611840851100"</f>
        <v>0611840851100</v>
      </c>
      <c r="B13574" t="str">
        <f>"LK5537"</f>
        <v>LK5537</v>
      </c>
      <c r="C13574" t="s">
        <v>53522</v>
      </c>
      <c r="D13574" t="s">
        <v>27245</v>
      </c>
      <c r="E13574" t="str">
        <f t="shared" si="212"/>
        <v>001390</v>
      </c>
      <c r="F13574" t="s">
        <v>27246</v>
      </c>
      <c r="G13574" t="s">
        <v>27247</v>
      </c>
      <c r="H13574" t="s">
        <v>27248</v>
      </c>
      <c r="I13574" t="s">
        <v>53523</v>
      </c>
      <c r="J13574" t="s">
        <v>27155</v>
      </c>
      <c r="L13574" t="s">
        <v>27250</v>
      </c>
      <c r="M13574" t="s">
        <v>27251</v>
      </c>
      <c r="N13574" t="s">
        <v>27252</v>
      </c>
      <c r="Q13574" s="1">
        <v>44538</v>
      </c>
      <c r="R13574" t="s">
        <v>27253</v>
      </c>
      <c r="S13574" t="s">
        <v>27254</v>
      </c>
      <c r="T13574" t="s">
        <v>27255</v>
      </c>
    </row>
    <row r="13575" spans="1:20" x14ac:dyDescent="0.3">
      <c r="A13575" t="str">
        <f>"0611840852100"</f>
        <v>0611840852100</v>
      </c>
      <c r="B13575" t="str">
        <f>"LK4144"</f>
        <v>LK4144</v>
      </c>
      <c r="C13575" t="s">
        <v>53524</v>
      </c>
      <c r="D13575" t="s">
        <v>27245</v>
      </c>
      <c r="E13575" t="str">
        <f t="shared" si="212"/>
        <v>001390</v>
      </c>
      <c r="F13575" t="s">
        <v>27246</v>
      </c>
      <c r="G13575" t="s">
        <v>27247</v>
      </c>
      <c r="H13575" t="s">
        <v>27248</v>
      </c>
      <c r="I13575" t="s">
        <v>53525</v>
      </c>
      <c r="J13575" t="s">
        <v>27157</v>
      </c>
      <c r="L13575" t="s">
        <v>27250</v>
      </c>
      <c r="M13575" t="s">
        <v>27251</v>
      </c>
      <c r="N13575" t="s">
        <v>27252</v>
      </c>
      <c r="Q13575" s="1">
        <v>44538</v>
      </c>
      <c r="R13575" t="s">
        <v>27253</v>
      </c>
      <c r="S13575" t="s">
        <v>27254</v>
      </c>
      <c r="T13575" t="s">
        <v>27255</v>
      </c>
    </row>
    <row r="13576" spans="1:20" x14ac:dyDescent="0.3">
      <c r="A13576" t="str">
        <f>"0611840853100"</f>
        <v>0611840853100</v>
      </c>
      <c r="B13576" t="str">
        <f>"LK6507"</f>
        <v>LK6507</v>
      </c>
      <c r="C13576" t="s">
        <v>53526</v>
      </c>
      <c r="D13576" t="s">
        <v>27245</v>
      </c>
      <c r="E13576" t="str">
        <f t="shared" si="212"/>
        <v>001390</v>
      </c>
      <c r="F13576" t="s">
        <v>27246</v>
      </c>
      <c r="G13576" t="s">
        <v>27247</v>
      </c>
      <c r="H13576" t="s">
        <v>27248</v>
      </c>
      <c r="I13576" t="s">
        <v>53527</v>
      </c>
      <c r="J13576" t="s">
        <v>26959</v>
      </c>
      <c r="L13576" t="s">
        <v>27250</v>
      </c>
      <c r="M13576" t="s">
        <v>27251</v>
      </c>
      <c r="N13576" t="s">
        <v>27252</v>
      </c>
      <c r="Q13576" s="1">
        <v>44538</v>
      </c>
      <c r="R13576" t="s">
        <v>27253</v>
      </c>
      <c r="S13576" t="s">
        <v>27254</v>
      </c>
      <c r="T13576" t="s">
        <v>27255</v>
      </c>
    </row>
    <row r="13577" spans="1:20" x14ac:dyDescent="0.3">
      <c r="A13577" t="str">
        <f>"0611840854100"</f>
        <v>0611840854100</v>
      </c>
      <c r="B13577" t="str">
        <f>"LK6196"</f>
        <v>LK6196</v>
      </c>
      <c r="C13577" t="s">
        <v>53528</v>
      </c>
      <c r="D13577" t="s">
        <v>27245</v>
      </c>
      <c r="E13577" t="str">
        <f t="shared" si="212"/>
        <v>001390</v>
      </c>
      <c r="F13577" t="s">
        <v>27246</v>
      </c>
      <c r="G13577" t="s">
        <v>27247</v>
      </c>
      <c r="H13577" t="s">
        <v>27248</v>
      </c>
      <c r="I13577" t="s">
        <v>53529</v>
      </c>
      <c r="J13577" t="s">
        <v>26961</v>
      </c>
      <c r="L13577" t="s">
        <v>27250</v>
      </c>
      <c r="M13577" t="s">
        <v>27251</v>
      </c>
      <c r="N13577" t="s">
        <v>27252</v>
      </c>
      <c r="Q13577" s="1">
        <v>44538</v>
      </c>
      <c r="R13577" t="s">
        <v>27253</v>
      </c>
      <c r="S13577" t="s">
        <v>27254</v>
      </c>
      <c r="T13577" t="s">
        <v>27255</v>
      </c>
    </row>
    <row r="13578" spans="1:20" x14ac:dyDescent="0.3">
      <c r="A13578" t="str">
        <f>"0611840855100"</f>
        <v>0611840855100</v>
      </c>
      <c r="B13578" t="str">
        <f>"LK6318"</f>
        <v>LK6318</v>
      </c>
      <c r="C13578" t="s">
        <v>53530</v>
      </c>
      <c r="D13578" t="s">
        <v>27245</v>
      </c>
      <c r="E13578" t="str">
        <f t="shared" si="212"/>
        <v>001390</v>
      </c>
      <c r="F13578" t="s">
        <v>27246</v>
      </c>
      <c r="G13578" t="s">
        <v>27247</v>
      </c>
      <c r="H13578" t="s">
        <v>27248</v>
      </c>
      <c r="I13578" t="s">
        <v>53531</v>
      </c>
      <c r="J13578" t="s">
        <v>26971</v>
      </c>
      <c r="L13578" t="s">
        <v>27250</v>
      </c>
      <c r="M13578" t="s">
        <v>27251</v>
      </c>
      <c r="N13578" t="s">
        <v>27252</v>
      </c>
      <c r="Q13578" s="1">
        <v>44538</v>
      </c>
      <c r="R13578" t="s">
        <v>27253</v>
      </c>
      <c r="S13578" t="s">
        <v>27254</v>
      </c>
      <c r="T13578" t="s">
        <v>27255</v>
      </c>
    </row>
    <row r="13579" spans="1:20" x14ac:dyDescent="0.3">
      <c r="A13579" t="str">
        <f>"0611840856100"</f>
        <v>0611840856100</v>
      </c>
      <c r="B13579" t="str">
        <f>"LK4438"</f>
        <v>LK4438</v>
      </c>
      <c r="C13579" t="s">
        <v>53532</v>
      </c>
      <c r="D13579" t="s">
        <v>27245</v>
      </c>
      <c r="E13579" t="str">
        <f t="shared" si="212"/>
        <v>001390</v>
      </c>
      <c r="F13579" t="s">
        <v>27246</v>
      </c>
      <c r="G13579" t="s">
        <v>27247</v>
      </c>
      <c r="H13579" t="s">
        <v>27248</v>
      </c>
      <c r="I13579" t="s">
        <v>53533</v>
      </c>
      <c r="J13579" t="s">
        <v>26963</v>
      </c>
      <c r="L13579" t="s">
        <v>27250</v>
      </c>
      <c r="M13579" t="s">
        <v>27251</v>
      </c>
      <c r="N13579" t="s">
        <v>27252</v>
      </c>
      <c r="Q13579" s="1">
        <v>44538</v>
      </c>
      <c r="R13579" t="s">
        <v>27253</v>
      </c>
      <c r="S13579" t="s">
        <v>27254</v>
      </c>
      <c r="T13579" t="s">
        <v>27255</v>
      </c>
    </row>
    <row r="13580" spans="1:20" x14ac:dyDescent="0.3">
      <c r="A13580" t="str">
        <f>"0611840857100"</f>
        <v>0611840857100</v>
      </c>
      <c r="B13580" t="str">
        <f>"LK4563"</f>
        <v>LK4563</v>
      </c>
      <c r="C13580" t="s">
        <v>53534</v>
      </c>
      <c r="D13580" t="s">
        <v>27245</v>
      </c>
      <c r="E13580" t="str">
        <f t="shared" si="212"/>
        <v>001390</v>
      </c>
      <c r="F13580" t="s">
        <v>27246</v>
      </c>
      <c r="G13580" t="s">
        <v>27247</v>
      </c>
      <c r="H13580" t="s">
        <v>27248</v>
      </c>
      <c r="I13580" t="s">
        <v>53535</v>
      </c>
      <c r="J13580" t="s">
        <v>26965</v>
      </c>
      <c r="L13580" t="s">
        <v>27250</v>
      </c>
      <c r="M13580" t="s">
        <v>27251</v>
      </c>
      <c r="N13580" t="s">
        <v>27252</v>
      </c>
      <c r="Q13580" s="1">
        <v>44538</v>
      </c>
      <c r="R13580" t="s">
        <v>27253</v>
      </c>
      <c r="S13580" t="s">
        <v>27254</v>
      </c>
      <c r="T13580" t="s">
        <v>27255</v>
      </c>
    </row>
    <row r="13581" spans="1:20" x14ac:dyDescent="0.3">
      <c r="A13581" t="str">
        <f>"0611840858100"</f>
        <v>0611840858100</v>
      </c>
      <c r="B13581" t="str">
        <f>"LK4439"</f>
        <v>LK4439</v>
      </c>
      <c r="C13581" t="s">
        <v>53536</v>
      </c>
      <c r="D13581" t="s">
        <v>27245</v>
      </c>
      <c r="E13581" t="str">
        <f t="shared" si="212"/>
        <v>001390</v>
      </c>
      <c r="F13581" t="s">
        <v>27246</v>
      </c>
      <c r="G13581" t="s">
        <v>27247</v>
      </c>
      <c r="H13581" t="s">
        <v>27248</v>
      </c>
      <c r="I13581" t="s">
        <v>53537</v>
      </c>
      <c r="J13581" t="s">
        <v>26967</v>
      </c>
      <c r="L13581" t="s">
        <v>27250</v>
      </c>
      <c r="M13581" t="s">
        <v>27251</v>
      </c>
      <c r="N13581" t="s">
        <v>27252</v>
      </c>
      <c r="Q13581" s="1">
        <v>44538</v>
      </c>
      <c r="R13581" t="s">
        <v>27253</v>
      </c>
      <c r="S13581" t="s">
        <v>27254</v>
      </c>
      <c r="T13581" t="s">
        <v>27255</v>
      </c>
    </row>
    <row r="13582" spans="1:20" x14ac:dyDescent="0.3">
      <c r="A13582" t="str">
        <f>"0611840859100"</f>
        <v>0611840859100</v>
      </c>
      <c r="B13582" t="str">
        <f>"LK6317"</f>
        <v>LK6317</v>
      </c>
      <c r="C13582" t="s">
        <v>53538</v>
      </c>
      <c r="D13582" t="s">
        <v>27245</v>
      </c>
      <c r="E13582" t="str">
        <f t="shared" si="212"/>
        <v>001390</v>
      </c>
      <c r="F13582" t="s">
        <v>27246</v>
      </c>
      <c r="G13582" t="s">
        <v>27247</v>
      </c>
      <c r="H13582" t="s">
        <v>27248</v>
      </c>
      <c r="I13582" t="s">
        <v>53539</v>
      </c>
      <c r="J13582" t="s">
        <v>26969</v>
      </c>
      <c r="L13582" t="s">
        <v>27250</v>
      </c>
      <c r="M13582" t="s">
        <v>27251</v>
      </c>
      <c r="N13582" t="s">
        <v>27252</v>
      </c>
      <c r="Q13582" s="1">
        <v>44538</v>
      </c>
      <c r="R13582" t="s">
        <v>27253</v>
      </c>
      <c r="S13582" t="s">
        <v>27254</v>
      </c>
      <c r="T13582" t="s">
        <v>27255</v>
      </c>
    </row>
    <row r="13583" spans="1:20" x14ac:dyDescent="0.3">
      <c r="A13583" t="str">
        <f>"0611840860100"</f>
        <v>0611840860100</v>
      </c>
      <c r="B13583" t="str">
        <f>"LK6508"</f>
        <v>LK6508</v>
      </c>
      <c r="C13583" t="s">
        <v>53540</v>
      </c>
      <c r="D13583" t="s">
        <v>27245</v>
      </c>
      <c r="E13583" t="str">
        <f t="shared" si="212"/>
        <v>001390</v>
      </c>
      <c r="F13583" t="s">
        <v>27246</v>
      </c>
      <c r="G13583" t="s">
        <v>27247</v>
      </c>
      <c r="H13583" t="s">
        <v>27248</v>
      </c>
      <c r="I13583" t="s">
        <v>53541</v>
      </c>
      <c r="J13583" t="s">
        <v>26973</v>
      </c>
      <c r="L13583" t="s">
        <v>27250</v>
      </c>
      <c r="M13583" t="s">
        <v>27251</v>
      </c>
      <c r="N13583" t="s">
        <v>27252</v>
      </c>
      <c r="Q13583" s="1">
        <v>44538</v>
      </c>
      <c r="R13583" t="s">
        <v>27253</v>
      </c>
      <c r="S13583" t="s">
        <v>27254</v>
      </c>
      <c r="T13583" t="s">
        <v>27255</v>
      </c>
    </row>
    <row r="13584" spans="1:20" x14ac:dyDescent="0.3">
      <c r="A13584" t="str">
        <f>"0611840861100"</f>
        <v>0611840861100</v>
      </c>
      <c r="B13584" t="str">
        <f>"LK5988"</f>
        <v>LK5988</v>
      </c>
      <c r="C13584" t="s">
        <v>53542</v>
      </c>
      <c r="D13584" t="s">
        <v>27245</v>
      </c>
      <c r="E13584" t="str">
        <f t="shared" si="212"/>
        <v>001390</v>
      </c>
      <c r="F13584" t="s">
        <v>27246</v>
      </c>
      <c r="G13584" t="s">
        <v>27247</v>
      </c>
      <c r="H13584" t="s">
        <v>27248</v>
      </c>
      <c r="I13584" t="s">
        <v>53543</v>
      </c>
      <c r="J13584" t="s">
        <v>26975</v>
      </c>
      <c r="L13584" t="s">
        <v>27250</v>
      </c>
      <c r="M13584" t="s">
        <v>27251</v>
      </c>
      <c r="N13584" t="s">
        <v>27252</v>
      </c>
      <c r="Q13584" s="1">
        <v>44538</v>
      </c>
      <c r="R13584" t="s">
        <v>27253</v>
      </c>
      <c r="S13584" t="s">
        <v>27254</v>
      </c>
      <c r="T13584" t="s">
        <v>27255</v>
      </c>
    </row>
    <row r="13585" spans="1:20" x14ac:dyDescent="0.3">
      <c r="A13585" t="str">
        <f>"0611840863100"</f>
        <v>0611840863100</v>
      </c>
      <c r="B13585" t="str">
        <f>"LK6509"</f>
        <v>LK6509</v>
      </c>
      <c r="C13585" t="s">
        <v>53544</v>
      </c>
      <c r="D13585" t="s">
        <v>27245</v>
      </c>
      <c r="E13585" t="str">
        <f t="shared" si="212"/>
        <v>001390</v>
      </c>
      <c r="F13585" t="s">
        <v>27246</v>
      </c>
      <c r="G13585" t="s">
        <v>27247</v>
      </c>
      <c r="H13585" t="s">
        <v>27248</v>
      </c>
      <c r="I13585" t="s">
        <v>53545</v>
      </c>
      <c r="J13585" t="s">
        <v>26977</v>
      </c>
      <c r="L13585" t="s">
        <v>27250</v>
      </c>
      <c r="M13585" t="s">
        <v>27251</v>
      </c>
      <c r="N13585" t="s">
        <v>27252</v>
      </c>
      <c r="Q13585" s="1">
        <v>44538</v>
      </c>
      <c r="R13585" t="s">
        <v>27253</v>
      </c>
      <c r="S13585" t="s">
        <v>27254</v>
      </c>
      <c r="T13585" t="s">
        <v>27255</v>
      </c>
    </row>
    <row r="13586" spans="1:20" x14ac:dyDescent="0.3">
      <c r="A13586" t="str">
        <f>"0611840864100"</f>
        <v>0611840864100</v>
      </c>
      <c r="B13586" t="str">
        <f>"LK5989"</f>
        <v>LK5989</v>
      </c>
      <c r="C13586" t="s">
        <v>53546</v>
      </c>
      <c r="D13586" t="s">
        <v>27245</v>
      </c>
      <c r="E13586" t="str">
        <f t="shared" si="212"/>
        <v>001390</v>
      </c>
      <c r="F13586" t="s">
        <v>27246</v>
      </c>
      <c r="G13586" t="s">
        <v>27247</v>
      </c>
      <c r="H13586" t="s">
        <v>27248</v>
      </c>
      <c r="I13586" t="s">
        <v>53547</v>
      </c>
      <c r="J13586" t="s">
        <v>26979</v>
      </c>
      <c r="L13586" t="s">
        <v>27250</v>
      </c>
      <c r="M13586" t="s">
        <v>27251</v>
      </c>
      <c r="N13586" t="s">
        <v>27252</v>
      </c>
      <c r="Q13586" s="1">
        <v>44538</v>
      </c>
      <c r="R13586" t="s">
        <v>27253</v>
      </c>
      <c r="S13586" t="s">
        <v>27254</v>
      </c>
      <c r="T13586" t="s">
        <v>27255</v>
      </c>
    </row>
    <row r="13587" spans="1:20" x14ac:dyDescent="0.3">
      <c r="A13587" t="str">
        <f>"0611840865100"</f>
        <v>0611840865100</v>
      </c>
      <c r="B13587" t="str">
        <f>"LK4405"</f>
        <v>LK4405</v>
      </c>
      <c r="C13587" t="s">
        <v>53548</v>
      </c>
      <c r="D13587" t="s">
        <v>27245</v>
      </c>
      <c r="E13587" t="str">
        <f t="shared" si="212"/>
        <v>001390</v>
      </c>
      <c r="F13587" t="s">
        <v>27246</v>
      </c>
      <c r="G13587" t="s">
        <v>27247</v>
      </c>
      <c r="H13587" t="s">
        <v>27248</v>
      </c>
      <c r="I13587" t="s">
        <v>53549</v>
      </c>
      <c r="J13587" t="s">
        <v>27159</v>
      </c>
      <c r="L13587" t="s">
        <v>27250</v>
      </c>
      <c r="M13587" t="s">
        <v>27251</v>
      </c>
      <c r="N13587" t="s">
        <v>27252</v>
      </c>
      <c r="Q13587" s="1">
        <v>44538</v>
      </c>
      <c r="R13587" t="s">
        <v>27253</v>
      </c>
      <c r="S13587" t="s">
        <v>27254</v>
      </c>
      <c r="T13587" t="s">
        <v>27255</v>
      </c>
    </row>
    <row r="13588" spans="1:20" x14ac:dyDescent="0.3">
      <c r="A13588" t="str">
        <f>"0611840866100"</f>
        <v>0611840866100</v>
      </c>
      <c r="B13588" t="str">
        <f>"LK4145"</f>
        <v>LK4145</v>
      </c>
      <c r="C13588" t="s">
        <v>53550</v>
      </c>
      <c r="D13588" t="s">
        <v>27245</v>
      </c>
      <c r="E13588" t="str">
        <f t="shared" si="212"/>
        <v>001390</v>
      </c>
      <c r="F13588" t="s">
        <v>27246</v>
      </c>
      <c r="G13588" t="s">
        <v>27247</v>
      </c>
      <c r="H13588" t="s">
        <v>27248</v>
      </c>
      <c r="I13588" t="s">
        <v>53551</v>
      </c>
      <c r="J13588" t="s">
        <v>27161</v>
      </c>
      <c r="L13588" t="s">
        <v>27250</v>
      </c>
      <c r="M13588" t="s">
        <v>27251</v>
      </c>
      <c r="N13588" t="s">
        <v>27252</v>
      </c>
      <c r="Q13588" s="1">
        <v>44538</v>
      </c>
      <c r="R13588" t="s">
        <v>27253</v>
      </c>
      <c r="S13588" t="s">
        <v>27254</v>
      </c>
      <c r="T13588" t="s">
        <v>27255</v>
      </c>
    </row>
    <row r="13589" spans="1:20" x14ac:dyDescent="0.3">
      <c r="A13589" t="str">
        <f>"0611840867100"</f>
        <v>0611840867100</v>
      </c>
      <c r="B13589" t="str">
        <f>"LK4567"</f>
        <v>LK4567</v>
      </c>
      <c r="C13589" t="s">
        <v>53552</v>
      </c>
      <c r="D13589" t="s">
        <v>27245</v>
      </c>
      <c r="E13589" t="str">
        <f t="shared" si="212"/>
        <v>001390</v>
      </c>
      <c r="F13589" t="s">
        <v>27246</v>
      </c>
      <c r="G13589" t="s">
        <v>27247</v>
      </c>
      <c r="H13589" t="s">
        <v>27248</v>
      </c>
      <c r="I13589" t="s">
        <v>53553</v>
      </c>
      <c r="J13589" t="s">
        <v>27165</v>
      </c>
      <c r="L13589" t="s">
        <v>27250</v>
      </c>
      <c r="M13589" t="s">
        <v>27251</v>
      </c>
      <c r="N13589" t="s">
        <v>27252</v>
      </c>
      <c r="Q13589" s="1">
        <v>44538</v>
      </c>
      <c r="R13589" t="s">
        <v>27253</v>
      </c>
      <c r="S13589" t="s">
        <v>27254</v>
      </c>
      <c r="T13589" t="s">
        <v>27255</v>
      </c>
    </row>
    <row r="13590" spans="1:20" x14ac:dyDescent="0.3">
      <c r="A13590" t="str">
        <f>"0611840868100"</f>
        <v>0611840868100</v>
      </c>
      <c r="B13590" t="str">
        <f>"LK5619"</f>
        <v>LK5619</v>
      </c>
      <c r="C13590" t="s">
        <v>53554</v>
      </c>
      <c r="D13590" t="s">
        <v>27245</v>
      </c>
      <c r="E13590" t="str">
        <f t="shared" si="212"/>
        <v>001390</v>
      </c>
      <c r="F13590" t="s">
        <v>27246</v>
      </c>
      <c r="G13590" t="s">
        <v>27247</v>
      </c>
      <c r="H13590" t="s">
        <v>27248</v>
      </c>
      <c r="I13590" t="s">
        <v>53555</v>
      </c>
      <c r="J13590" t="s">
        <v>27163</v>
      </c>
      <c r="L13590" t="s">
        <v>27250</v>
      </c>
      <c r="M13590" t="s">
        <v>27251</v>
      </c>
      <c r="N13590" t="s">
        <v>27252</v>
      </c>
      <c r="Q13590" s="1">
        <v>44538</v>
      </c>
      <c r="R13590" t="s">
        <v>27253</v>
      </c>
      <c r="S13590" t="s">
        <v>27254</v>
      </c>
      <c r="T13590" t="s">
        <v>27255</v>
      </c>
    </row>
    <row r="13591" spans="1:20" x14ac:dyDescent="0.3">
      <c r="A13591" t="str">
        <f>"0611840869100"</f>
        <v>0611840869100</v>
      </c>
      <c r="B13591" t="str">
        <f>"LK5990"</f>
        <v>LK5990</v>
      </c>
      <c r="C13591" t="s">
        <v>53556</v>
      </c>
      <c r="D13591" t="s">
        <v>27245</v>
      </c>
      <c r="E13591" t="str">
        <f t="shared" si="212"/>
        <v>001390</v>
      </c>
      <c r="F13591" t="s">
        <v>27246</v>
      </c>
      <c r="G13591" t="s">
        <v>27247</v>
      </c>
      <c r="H13591" t="s">
        <v>27248</v>
      </c>
      <c r="I13591" t="s">
        <v>53557</v>
      </c>
      <c r="J13591" t="s">
        <v>27167</v>
      </c>
      <c r="L13591" t="s">
        <v>27250</v>
      </c>
      <c r="M13591" t="s">
        <v>27251</v>
      </c>
      <c r="N13591" t="s">
        <v>27252</v>
      </c>
      <c r="Q13591" s="1">
        <v>44538</v>
      </c>
      <c r="R13591" t="s">
        <v>27253</v>
      </c>
      <c r="S13591" t="s">
        <v>27254</v>
      </c>
      <c r="T13591" t="s">
        <v>27255</v>
      </c>
    </row>
    <row r="13592" spans="1:20" x14ac:dyDescent="0.3">
      <c r="A13592" t="str">
        <f>"0611840870100"</f>
        <v>0611840870100</v>
      </c>
      <c r="B13592" t="str">
        <f>"LK4146"</f>
        <v>LK4146</v>
      </c>
      <c r="C13592" t="s">
        <v>53558</v>
      </c>
      <c r="D13592" t="s">
        <v>27245</v>
      </c>
      <c r="E13592" t="str">
        <f t="shared" si="212"/>
        <v>001390</v>
      </c>
      <c r="F13592" t="s">
        <v>27246</v>
      </c>
      <c r="G13592" t="s">
        <v>27247</v>
      </c>
      <c r="H13592" t="s">
        <v>27248</v>
      </c>
      <c r="I13592" t="s">
        <v>53559</v>
      </c>
      <c r="J13592" t="s">
        <v>27169</v>
      </c>
      <c r="L13592" t="s">
        <v>27250</v>
      </c>
      <c r="M13592" t="s">
        <v>27251</v>
      </c>
      <c r="N13592" t="s">
        <v>27252</v>
      </c>
      <c r="Q13592" s="1">
        <v>44538</v>
      </c>
      <c r="R13592" t="s">
        <v>27253</v>
      </c>
      <c r="S13592" t="s">
        <v>27254</v>
      </c>
      <c r="T13592" t="s">
        <v>27255</v>
      </c>
    </row>
    <row r="13593" spans="1:20" x14ac:dyDescent="0.3">
      <c r="A13593" t="str">
        <f>"0611840871100"</f>
        <v>0611840871100</v>
      </c>
      <c r="B13593" t="str">
        <f>"LK4406"</f>
        <v>LK4406</v>
      </c>
      <c r="C13593" t="s">
        <v>53560</v>
      </c>
      <c r="D13593" t="s">
        <v>27245</v>
      </c>
      <c r="E13593" t="str">
        <f t="shared" si="212"/>
        <v>001390</v>
      </c>
      <c r="F13593" t="s">
        <v>27246</v>
      </c>
      <c r="G13593" t="s">
        <v>27247</v>
      </c>
      <c r="H13593" t="s">
        <v>27248</v>
      </c>
      <c r="I13593" t="s">
        <v>53561</v>
      </c>
      <c r="J13593" t="s">
        <v>27171</v>
      </c>
      <c r="L13593" t="s">
        <v>27250</v>
      </c>
      <c r="M13593" t="s">
        <v>27251</v>
      </c>
      <c r="N13593" t="s">
        <v>27252</v>
      </c>
      <c r="Q13593" s="1">
        <v>44538</v>
      </c>
      <c r="R13593" t="s">
        <v>27253</v>
      </c>
      <c r="S13593" t="s">
        <v>27254</v>
      </c>
      <c r="T13593" t="s">
        <v>27255</v>
      </c>
    </row>
    <row r="13594" spans="1:20" x14ac:dyDescent="0.3">
      <c r="A13594" t="str">
        <f>"0611840872100"</f>
        <v>0611840872100</v>
      </c>
      <c r="B13594" t="str">
        <f>"LK5538"</f>
        <v>LK5538</v>
      </c>
      <c r="C13594" t="s">
        <v>53562</v>
      </c>
      <c r="D13594" t="s">
        <v>27245</v>
      </c>
      <c r="E13594" t="str">
        <f t="shared" si="212"/>
        <v>001390</v>
      </c>
      <c r="F13594" t="s">
        <v>27246</v>
      </c>
      <c r="G13594" t="s">
        <v>27247</v>
      </c>
      <c r="H13594" t="s">
        <v>27248</v>
      </c>
      <c r="I13594" t="s">
        <v>53563</v>
      </c>
      <c r="J13594" t="s">
        <v>27173</v>
      </c>
      <c r="L13594" t="s">
        <v>27250</v>
      </c>
      <c r="M13594" t="s">
        <v>27251</v>
      </c>
      <c r="N13594" t="s">
        <v>27252</v>
      </c>
      <c r="Q13594" s="1">
        <v>44538</v>
      </c>
      <c r="R13594" t="s">
        <v>27253</v>
      </c>
      <c r="S13594" t="s">
        <v>27254</v>
      </c>
      <c r="T13594" t="s">
        <v>27255</v>
      </c>
    </row>
    <row r="13595" spans="1:20" x14ac:dyDescent="0.3">
      <c r="A13595" t="str">
        <f>"0611840873100"</f>
        <v>0611840873100</v>
      </c>
      <c r="B13595" t="str">
        <f>"LK4147"</f>
        <v>LK4147</v>
      </c>
      <c r="C13595" t="s">
        <v>53564</v>
      </c>
      <c r="D13595" t="s">
        <v>27245</v>
      </c>
      <c r="E13595" t="str">
        <f t="shared" si="212"/>
        <v>001390</v>
      </c>
      <c r="F13595" t="s">
        <v>27246</v>
      </c>
      <c r="G13595" t="s">
        <v>27247</v>
      </c>
      <c r="H13595" t="s">
        <v>27248</v>
      </c>
      <c r="I13595" t="s">
        <v>53565</v>
      </c>
      <c r="J13595" t="s">
        <v>27175</v>
      </c>
      <c r="L13595" t="s">
        <v>27250</v>
      </c>
      <c r="M13595" t="s">
        <v>27251</v>
      </c>
      <c r="N13595" t="s">
        <v>27252</v>
      </c>
      <c r="Q13595" s="1">
        <v>44538</v>
      </c>
      <c r="R13595" t="s">
        <v>27253</v>
      </c>
      <c r="S13595" t="s">
        <v>27254</v>
      </c>
      <c r="T13595" t="s">
        <v>27255</v>
      </c>
    </row>
    <row r="13596" spans="1:20" x14ac:dyDescent="0.3">
      <c r="A13596" t="str">
        <f>"0611840874100"</f>
        <v>0611840874100</v>
      </c>
      <c r="B13596" t="str">
        <f>"LK5620"</f>
        <v>LK5620</v>
      </c>
      <c r="C13596" t="s">
        <v>53566</v>
      </c>
      <c r="D13596" t="s">
        <v>27245</v>
      </c>
      <c r="E13596" t="str">
        <f t="shared" si="212"/>
        <v>001390</v>
      </c>
      <c r="F13596" t="s">
        <v>27246</v>
      </c>
      <c r="G13596" t="s">
        <v>27247</v>
      </c>
      <c r="H13596" t="s">
        <v>27248</v>
      </c>
      <c r="I13596" t="s">
        <v>53567</v>
      </c>
      <c r="J13596" t="s">
        <v>27177</v>
      </c>
      <c r="L13596" t="s">
        <v>27250</v>
      </c>
      <c r="M13596" t="s">
        <v>27251</v>
      </c>
      <c r="N13596" t="s">
        <v>27252</v>
      </c>
      <c r="Q13596" s="1">
        <v>44538</v>
      </c>
      <c r="R13596" t="s">
        <v>27253</v>
      </c>
      <c r="S13596" t="s">
        <v>27254</v>
      </c>
      <c r="T13596" t="s">
        <v>27255</v>
      </c>
    </row>
    <row r="13597" spans="1:20" x14ac:dyDescent="0.3">
      <c r="A13597" t="str">
        <f>"0611840877100"</f>
        <v>0611840877100</v>
      </c>
      <c r="B13597" t="str">
        <f>"LK5623"</f>
        <v>LK5623</v>
      </c>
      <c r="C13597" t="s">
        <v>53568</v>
      </c>
      <c r="D13597" t="s">
        <v>27245</v>
      </c>
      <c r="E13597" t="str">
        <f t="shared" si="212"/>
        <v>001390</v>
      </c>
      <c r="F13597" t="s">
        <v>27246</v>
      </c>
      <c r="G13597" t="s">
        <v>27247</v>
      </c>
      <c r="H13597" t="s">
        <v>27248</v>
      </c>
      <c r="I13597" t="s">
        <v>53569</v>
      </c>
      <c r="J13597" t="s">
        <v>27179</v>
      </c>
      <c r="L13597" t="s">
        <v>27250</v>
      </c>
      <c r="M13597" t="s">
        <v>27251</v>
      </c>
      <c r="N13597" t="s">
        <v>27252</v>
      </c>
      <c r="Q13597" s="1">
        <v>44538</v>
      </c>
      <c r="R13597" t="s">
        <v>27253</v>
      </c>
      <c r="S13597" t="s">
        <v>27254</v>
      </c>
      <c r="T13597" t="s">
        <v>27255</v>
      </c>
    </row>
    <row r="13598" spans="1:20" x14ac:dyDescent="0.3">
      <c r="A13598" t="str">
        <f>"0611840878100"</f>
        <v>0611840878100</v>
      </c>
      <c r="B13598" t="str">
        <f>"LK4148"</f>
        <v>LK4148</v>
      </c>
      <c r="C13598" t="s">
        <v>53570</v>
      </c>
      <c r="D13598" t="s">
        <v>27245</v>
      </c>
      <c r="E13598" t="str">
        <f t="shared" si="212"/>
        <v>001390</v>
      </c>
      <c r="F13598" t="s">
        <v>27246</v>
      </c>
      <c r="G13598" t="s">
        <v>27247</v>
      </c>
      <c r="H13598" t="s">
        <v>27248</v>
      </c>
      <c r="I13598" t="s">
        <v>53571</v>
      </c>
      <c r="J13598" t="s">
        <v>27181</v>
      </c>
      <c r="L13598" t="s">
        <v>27250</v>
      </c>
      <c r="M13598" t="s">
        <v>27251</v>
      </c>
      <c r="N13598" t="s">
        <v>27252</v>
      </c>
      <c r="Q13598" s="1">
        <v>44538</v>
      </c>
      <c r="R13598" t="s">
        <v>27253</v>
      </c>
      <c r="S13598" t="s">
        <v>27254</v>
      </c>
      <c r="T13598" t="s">
        <v>27255</v>
      </c>
    </row>
    <row r="13599" spans="1:20" x14ac:dyDescent="0.3">
      <c r="A13599" t="str">
        <f>"0611864326050"</f>
        <v>0611864326050</v>
      </c>
      <c r="B13599" t="str">
        <f>"CR3031"</f>
        <v>CR3031</v>
      </c>
      <c r="C13599" t="s">
        <v>53572</v>
      </c>
      <c r="D13599" t="s">
        <v>27263</v>
      </c>
      <c r="E13599" t="str">
        <f t="shared" si="212"/>
        <v>001390</v>
      </c>
      <c r="F13599" t="s">
        <v>27246</v>
      </c>
      <c r="G13599" t="s">
        <v>27247</v>
      </c>
      <c r="H13599" t="s">
        <v>27248</v>
      </c>
      <c r="I13599" t="s">
        <v>53573</v>
      </c>
      <c r="J13599" t="s">
        <v>27183</v>
      </c>
      <c r="L13599" t="s">
        <v>27250</v>
      </c>
      <c r="M13599" t="s">
        <v>27251</v>
      </c>
      <c r="N13599" t="s">
        <v>27252</v>
      </c>
      <c r="Q13599" s="1">
        <v>44846</v>
      </c>
      <c r="R13599" t="s">
        <v>27253</v>
      </c>
      <c r="S13599" t="s">
        <v>27254</v>
      </c>
      <c r="T13599" t="s">
        <v>27265</v>
      </c>
    </row>
    <row r="13600" spans="1:20" x14ac:dyDescent="0.3">
      <c r="A13600" t="str">
        <f>"0611864327050"</f>
        <v>0611864327050</v>
      </c>
      <c r="B13600" t="str">
        <f>"CR3032"</f>
        <v>CR3032</v>
      </c>
      <c r="C13600" t="s">
        <v>53574</v>
      </c>
      <c r="D13600" t="s">
        <v>27263</v>
      </c>
      <c r="E13600" t="str">
        <f t="shared" si="212"/>
        <v>001390</v>
      </c>
      <c r="F13600" t="s">
        <v>27246</v>
      </c>
      <c r="G13600" t="s">
        <v>27247</v>
      </c>
      <c r="H13600" t="s">
        <v>27248</v>
      </c>
      <c r="I13600" t="s">
        <v>53575</v>
      </c>
      <c r="J13600" t="s">
        <v>27185</v>
      </c>
      <c r="L13600" t="s">
        <v>27250</v>
      </c>
      <c r="M13600" t="s">
        <v>27251</v>
      </c>
      <c r="N13600" t="s">
        <v>27252</v>
      </c>
      <c r="Q13600" s="1">
        <v>44846</v>
      </c>
      <c r="R13600" t="s">
        <v>27253</v>
      </c>
      <c r="S13600" t="s">
        <v>27254</v>
      </c>
      <c r="T13600" t="s">
        <v>27265</v>
      </c>
    </row>
    <row r="13601" spans="1:20" x14ac:dyDescent="0.3">
      <c r="A13601" t="str">
        <f>"0611840879100"</f>
        <v>0611840879100</v>
      </c>
      <c r="B13601" t="str">
        <f>"LK6561"</f>
        <v>LK6561</v>
      </c>
      <c r="C13601" t="s">
        <v>53576</v>
      </c>
      <c r="D13601" t="s">
        <v>27245</v>
      </c>
      <c r="E13601" t="str">
        <f t="shared" si="212"/>
        <v>001390</v>
      </c>
      <c r="F13601" t="s">
        <v>27246</v>
      </c>
      <c r="G13601" t="s">
        <v>27247</v>
      </c>
      <c r="H13601" t="s">
        <v>27248</v>
      </c>
      <c r="I13601" t="s">
        <v>53577</v>
      </c>
      <c r="J13601" t="s">
        <v>27187</v>
      </c>
      <c r="L13601" t="s">
        <v>27250</v>
      </c>
      <c r="M13601" t="s">
        <v>27251</v>
      </c>
      <c r="N13601" t="s">
        <v>27252</v>
      </c>
      <c r="Q13601" s="1">
        <v>44538</v>
      </c>
      <c r="R13601" t="s">
        <v>27253</v>
      </c>
      <c r="S13601" t="s">
        <v>27254</v>
      </c>
      <c r="T13601" t="s">
        <v>27255</v>
      </c>
    </row>
    <row r="13602" spans="1:20" x14ac:dyDescent="0.3">
      <c r="A13602" t="str">
        <f>"0611840880100"</f>
        <v>0611840880100</v>
      </c>
      <c r="B13602" t="str">
        <f>"LK2730"</f>
        <v>LK2730</v>
      </c>
      <c r="C13602" t="s">
        <v>53578</v>
      </c>
      <c r="D13602" t="s">
        <v>27245</v>
      </c>
      <c r="E13602" t="str">
        <f t="shared" si="212"/>
        <v>001390</v>
      </c>
      <c r="F13602" t="s">
        <v>27246</v>
      </c>
      <c r="G13602" t="s">
        <v>27247</v>
      </c>
      <c r="H13602" t="s">
        <v>27248</v>
      </c>
      <c r="I13602" t="s">
        <v>53579</v>
      </c>
      <c r="J13602" t="s">
        <v>27189</v>
      </c>
      <c r="L13602" t="s">
        <v>27250</v>
      </c>
      <c r="M13602" t="s">
        <v>27251</v>
      </c>
      <c r="N13602" t="s">
        <v>27252</v>
      </c>
      <c r="Q13602" s="1">
        <v>44538</v>
      </c>
      <c r="R13602" t="s">
        <v>27253</v>
      </c>
      <c r="S13602" t="s">
        <v>27254</v>
      </c>
      <c r="T13602" t="s">
        <v>27255</v>
      </c>
    </row>
    <row r="13603" spans="1:20" x14ac:dyDescent="0.3">
      <c r="A13603" t="str">
        <f>"0611857185100"</f>
        <v>0611857185100</v>
      </c>
      <c r="B13603" t="str">
        <f>"LK7117"</f>
        <v>LK7117</v>
      </c>
      <c r="C13603" t="s">
        <v>53580</v>
      </c>
      <c r="D13603" t="s">
        <v>27245</v>
      </c>
      <c r="E13603" t="str">
        <f t="shared" si="212"/>
        <v>001390</v>
      </c>
      <c r="F13603" t="s">
        <v>27246</v>
      </c>
      <c r="G13603" t="s">
        <v>27247</v>
      </c>
      <c r="H13603" t="s">
        <v>27248</v>
      </c>
      <c r="I13603" t="s">
        <v>53581</v>
      </c>
      <c r="J13603" t="s">
        <v>27191</v>
      </c>
      <c r="L13603" t="s">
        <v>27250</v>
      </c>
      <c r="M13603" t="s">
        <v>27251</v>
      </c>
      <c r="N13603" t="s">
        <v>27252</v>
      </c>
      <c r="Q13603" s="1">
        <v>44812</v>
      </c>
      <c r="R13603" t="s">
        <v>27253</v>
      </c>
      <c r="S13603" t="s">
        <v>27254</v>
      </c>
      <c r="T13603" t="s">
        <v>27255</v>
      </c>
    </row>
    <row r="13604" spans="1:20" x14ac:dyDescent="0.3">
      <c r="A13604" t="str">
        <f>"0611840881100"</f>
        <v>0611840881100</v>
      </c>
      <c r="B13604" t="str">
        <f>"LK3114"</f>
        <v>LK3114</v>
      </c>
      <c r="C13604" t="s">
        <v>53582</v>
      </c>
      <c r="D13604" t="s">
        <v>27245</v>
      </c>
      <c r="E13604" t="str">
        <f t="shared" si="212"/>
        <v>001390</v>
      </c>
      <c r="F13604" t="s">
        <v>27246</v>
      </c>
      <c r="G13604" t="s">
        <v>27247</v>
      </c>
      <c r="H13604" t="s">
        <v>27248</v>
      </c>
      <c r="I13604" t="s">
        <v>53583</v>
      </c>
      <c r="J13604" t="s">
        <v>27193</v>
      </c>
      <c r="L13604" t="s">
        <v>27250</v>
      </c>
      <c r="M13604" t="s">
        <v>27251</v>
      </c>
      <c r="N13604" t="s">
        <v>27252</v>
      </c>
      <c r="Q13604" s="1">
        <v>44538</v>
      </c>
      <c r="R13604" t="s">
        <v>27253</v>
      </c>
      <c r="S13604" t="s">
        <v>27254</v>
      </c>
      <c r="T13604" t="s">
        <v>27255</v>
      </c>
    </row>
    <row r="13605" spans="1:20" x14ac:dyDescent="0.3">
      <c r="A13605" t="str">
        <f>"0611840882100"</f>
        <v>0611840882100</v>
      </c>
      <c r="B13605" t="str">
        <f>"LK6562"</f>
        <v>LK6562</v>
      </c>
      <c r="C13605" t="s">
        <v>53584</v>
      </c>
      <c r="D13605" t="s">
        <v>27245</v>
      </c>
      <c r="E13605" t="str">
        <f t="shared" si="212"/>
        <v>001390</v>
      </c>
      <c r="F13605" t="s">
        <v>27246</v>
      </c>
      <c r="G13605" t="s">
        <v>27247</v>
      </c>
      <c r="H13605" t="s">
        <v>27248</v>
      </c>
      <c r="I13605" t="s">
        <v>53585</v>
      </c>
      <c r="J13605" t="s">
        <v>27195</v>
      </c>
      <c r="L13605" t="s">
        <v>27250</v>
      </c>
      <c r="M13605" t="s">
        <v>27251</v>
      </c>
      <c r="N13605" t="s">
        <v>27252</v>
      </c>
      <c r="Q13605" s="1">
        <v>44538</v>
      </c>
      <c r="R13605" t="s">
        <v>27253</v>
      </c>
      <c r="S13605" t="s">
        <v>27254</v>
      </c>
      <c r="T13605" t="s">
        <v>27255</v>
      </c>
    </row>
    <row r="13606" spans="1:20" x14ac:dyDescent="0.3">
      <c r="A13606" t="str">
        <f>"0611840883100"</f>
        <v>0611840883100</v>
      </c>
      <c r="B13606" t="str">
        <f>"LK3115"</f>
        <v>LK3115</v>
      </c>
      <c r="C13606" t="s">
        <v>53586</v>
      </c>
      <c r="D13606" t="s">
        <v>27245</v>
      </c>
      <c r="E13606" t="str">
        <f t="shared" si="212"/>
        <v>001390</v>
      </c>
      <c r="F13606" t="s">
        <v>27246</v>
      </c>
      <c r="G13606" t="s">
        <v>27247</v>
      </c>
      <c r="H13606" t="s">
        <v>27248</v>
      </c>
      <c r="I13606" t="s">
        <v>53587</v>
      </c>
      <c r="J13606" t="s">
        <v>27197</v>
      </c>
      <c r="L13606" t="s">
        <v>27250</v>
      </c>
      <c r="M13606" t="s">
        <v>27251</v>
      </c>
      <c r="N13606" t="s">
        <v>27252</v>
      </c>
      <c r="Q13606" s="1">
        <v>44538</v>
      </c>
      <c r="R13606" t="s">
        <v>27253</v>
      </c>
      <c r="S13606" t="s">
        <v>27254</v>
      </c>
      <c r="T13606" t="s">
        <v>27255</v>
      </c>
    </row>
    <row r="13607" spans="1:20" x14ac:dyDescent="0.3">
      <c r="A13607" t="str">
        <f>"0611840884100"</f>
        <v>0611840884100</v>
      </c>
      <c r="B13607" t="str">
        <f>"LK3116"</f>
        <v>LK3116</v>
      </c>
      <c r="C13607" t="s">
        <v>53588</v>
      </c>
      <c r="D13607" t="s">
        <v>27245</v>
      </c>
      <c r="E13607" t="str">
        <f t="shared" si="212"/>
        <v>001390</v>
      </c>
      <c r="F13607" t="s">
        <v>27246</v>
      </c>
      <c r="G13607" t="s">
        <v>27247</v>
      </c>
      <c r="H13607" t="s">
        <v>27248</v>
      </c>
      <c r="I13607" t="s">
        <v>53589</v>
      </c>
      <c r="J13607" t="s">
        <v>27199</v>
      </c>
      <c r="L13607" t="s">
        <v>27250</v>
      </c>
      <c r="M13607" t="s">
        <v>27251</v>
      </c>
      <c r="N13607" t="s">
        <v>27252</v>
      </c>
      <c r="Q13607" s="1">
        <v>44538</v>
      </c>
      <c r="R13607" t="s">
        <v>27253</v>
      </c>
      <c r="S13607" t="s">
        <v>27254</v>
      </c>
      <c r="T13607" t="s">
        <v>27255</v>
      </c>
    </row>
    <row r="13608" spans="1:20" x14ac:dyDescent="0.3">
      <c r="A13608" t="str">
        <f>"0611840885100"</f>
        <v>0611840885100</v>
      </c>
      <c r="B13608" t="str">
        <f>"LK3117"</f>
        <v>LK3117</v>
      </c>
      <c r="C13608" t="s">
        <v>53590</v>
      </c>
      <c r="D13608" t="s">
        <v>27245</v>
      </c>
      <c r="E13608" t="str">
        <f t="shared" si="212"/>
        <v>001390</v>
      </c>
      <c r="F13608" t="s">
        <v>27246</v>
      </c>
      <c r="G13608" t="s">
        <v>27247</v>
      </c>
      <c r="H13608" t="s">
        <v>27248</v>
      </c>
      <c r="I13608" t="s">
        <v>53591</v>
      </c>
      <c r="J13608" t="s">
        <v>27201</v>
      </c>
      <c r="L13608" t="s">
        <v>27250</v>
      </c>
      <c r="M13608" t="s">
        <v>27251</v>
      </c>
      <c r="N13608" t="s">
        <v>27252</v>
      </c>
      <c r="Q13608" s="1">
        <v>44538</v>
      </c>
      <c r="R13608" t="s">
        <v>27253</v>
      </c>
      <c r="S13608" t="s">
        <v>27254</v>
      </c>
      <c r="T13608" t="s">
        <v>27255</v>
      </c>
    </row>
    <row r="13609" spans="1:20" x14ac:dyDescent="0.3">
      <c r="A13609" t="str">
        <f>"0611840886100"</f>
        <v>0611840886100</v>
      </c>
      <c r="B13609" t="str">
        <f>"LK6531"</f>
        <v>LK6531</v>
      </c>
      <c r="C13609" t="s">
        <v>53592</v>
      </c>
      <c r="D13609" t="s">
        <v>27245</v>
      </c>
      <c r="E13609" t="str">
        <f t="shared" si="212"/>
        <v>001390</v>
      </c>
      <c r="F13609" t="s">
        <v>27246</v>
      </c>
      <c r="G13609" t="s">
        <v>27247</v>
      </c>
      <c r="H13609" t="s">
        <v>27248</v>
      </c>
      <c r="I13609" t="s">
        <v>53593</v>
      </c>
      <c r="J13609" t="s">
        <v>27203</v>
      </c>
      <c r="L13609" t="s">
        <v>27250</v>
      </c>
      <c r="M13609" t="s">
        <v>27251</v>
      </c>
      <c r="N13609" t="s">
        <v>27252</v>
      </c>
      <c r="Q13609" s="1">
        <v>44538</v>
      </c>
      <c r="R13609" t="s">
        <v>27253</v>
      </c>
      <c r="S13609" t="s">
        <v>27254</v>
      </c>
      <c r="T13609" t="s">
        <v>27255</v>
      </c>
    </row>
    <row r="13610" spans="1:20" x14ac:dyDescent="0.3">
      <c r="A13610" t="str">
        <f>"0611840887100"</f>
        <v>0611840887100</v>
      </c>
      <c r="B13610" t="str">
        <f>"LK6532"</f>
        <v>LK6532</v>
      </c>
      <c r="C13610" t="s">
        <v>53594</v>
      </c>
      <c r="D13610" t="s">
        <v>27245</v>
      </c>
      <c r="E13610" t="str">
        <f t="shared" si="212"/>
        <v>001390</v>
      </c>
      <c r="F13610" t="s">
        <v>27246</v>
      </c>
      <c r="G13610" t="s">
        <v>27247</v>
      </c>
      <c r="H13610" t="s">
        <v>27248</v>
      </c>
      <c r="I13610" t="s">
        <v>53595</v>
      </c>
      <c r="J13610" t="s">
        <v>27205</v>
      </c>
      <c r="L13610" t="s">
        <v>27250</v>
      </c>
      <c r="M13610" t="s">
        <v>27251</v>
      </c>
      <c r="N13610" t="s">
        <v>27252</v>
      </c>
      <c r="Q13610" s="1">
        <v>44538</v>
      </c>
      <c r="R13610" t="s">
        <v>27253</v>
      </c>
      <c r="S13610" t="s">
        <v>27254</v>
      </c>
      <c r="T13610" t="s">
        <v>27255</v>
      </c>
    </row>
    <row r="13611" spans="1:20" x14ac:dyDescent="0.3">
      <c r="A13611" t="str">
        <f>"0611840888100"</f>
        <v>0611840888100</v>
      </c>
      <c r="B13611" t="str">
        <f>"LK6533"</f>
        <v>LK6533</v>
      </c>
      <c r="C13611" t="s">
        <v>53596</v>
      </c>
      <c r="D13611" t="s">
        <v>27245</v>
      </c>
      <c r="E13611" t="str">
        <f t="shared" si="212"/>
        <v>001390</v>
      </c>
      <c r="F13611" t="s">
        <v>27246</v>
      </c>
      <c r="G13611" t="s">
        <v>27247</v>
      </c>
      <c r="H13611" t="s">
        <v>27248</v>
      </c>
      <c r="I13611" t="s">
        <v>53597</v>
      </c>
      <c r="J13611" t="s">
        <v>27207</v>
      </c>
      <c r="L13611" t="s">
        <v>27250</v>
      </c>
      <c r="M13611" t="s">
        <v>27251</v>
      </c>
      <c r="N13611" t="s">
        <v>27252</v>
      </c>
      <c r="Q13611" s="1">
        <v>44538</v>
      </c>
      <c r="R13611" t="s">
        <v>27253</v>
      </c>
      <c r="S13611" t="s">
        <v>27254</v>
      </c>
      <c r="T13611" t="s">
        <v>27255</v>
      </c>
    </row>
    <row r="13612" spans="1:20" x14ac:dyDescent="0.3">
      <c r="A13612" t="str">
        <f>"0611840889100"</f>
        <v>0611840889100</v>
      </c>
      <c r="B13612" t="str">
        <f>"LK6534"</f>
        <v>LK6534</v>
      </c>
      <c r="C13612" t="s">
        <v>53598</v>
      </c>
      <c r="D13612" t="s">
        <v>27245</v>
      </c>
      <c r="E13612" t="str">
        <f t="shared" si="212"/>
        <v>001390</v>
      </c>
      <c r="F13612" t="s">
        <v>27246</v>
      </c>
      <c r="G13612" t="s">
        <v>27247</v>
      </c>
      <c r="H13612" t="s">
        <v>27248</v>
      </c>
      <c r="I13612" t="s">
        <v>53599</v>
      </c>
      <c r="J13612" t="s">
        <v>27209</v>
      </c>
      <c r="L13612" t="s">
        <v>27250</v>
      </c>
      <c r="M13612" t="s">
        <v>27251</v>
      </c>
      <c r="N13612" t="s">
        <v>27252</v>
      </c>
      <c r="Q13612" s="1">
        <v>44538</v>
      </c>
      <c r="R13612" t="s">
        <v>27253</v>
      </c>
      <c r="S13612" t="s">
        <v>27254</v>
      </c>
      <c r="T13612" t="s">
        <v>27255</v>
      </c>
    </row>
    <row r="13613" spans="1:20" x14ac:dyDescent="0.3">
      <c r="A13613" t="str">
        <f>"0611840891100"</f>
        <v>0611840891100</v>
      </c>
      <c r="B13613" t="str">
        <f>"LS0125"</f>
        <v>LS0125</v>
      </c>
      <c r="C13613" t="s">
        <v>53600</v>
      </c>
      <c r="D13613" t="s">
        <v>27245</v>
      </c>
      <c r="E13613" t="str">
        <f t="shared" si="212"/>
        <v>001390</v>
      </c>
      <c r="F13613" t="s">
        <v>27246</v>
      </c>
      <c r="G13613" t="s">
        <v>27247</v>
      </c>
      <c r="H13613" t="s">
        <v>27248</v>
      </c>
      <c r="I13613" t="s">
        <v>53601</v>
      </c>
      <c r="J13613" t="s">
        <v>27003</v>
      </c>
      <c r="L13613" t="s">
        <v>27250</v>
      </c>
      <c r="M13613" t="s">
        <v>27251</v>
      </c>
      <c r="N13613" t="s">
        <v>27252</v>
      </c>
      <c r="Q13613" s="1">
        <v>44538</v>
      </c>
      <c r="R13613" t="s">
        <v>27253</v>
      </c>
      <c r="S13613" t="s">
        <v>27254</v>
      </c>
      <c r="T13613" t="s">
        <v>27255</v>
      </c>
    </row>
    <row r="13614" spans="1:20" x14ac:dyDescent="0.3">
      <c r="A13614" t="str">
        <f>"0611840892100"</f>
        <v>0611840892100</v>
      </c>
      <c r="B13614" t="str">
        <f>"LK1069"</f>
        <v>LK1069</v>
      </c>
      <c r="C13614" t="s">
        <v>53602</v>
      </c>
      <c r="D13614" t="s">
        <v>27245</v>
      </c>
      <c r="E13614" t="str">
        <f t="shared" si="212"/>
        <v>001390</v>
      </c>
      <c r="F13614" t="s">
        <v>27246</v>
      </c>
      <c r="G13614" t="s">
        <v>27247</v>
      </c>
      <c r="H13614" t="s">
        <v>27248</v>
      </c>
      <c r="I13614" t="s">
        <v>53603</v>
      </c>
      <c r="J13614" t="s">
        <v>27211</v>
      </c>
      <c r="L13614" t="s">
        <v>27250</v>
      </c>
      <c r="M13614" t="s">
        <v>27251</v>
      </c>
      <c r="N13614" t="s">
        <v>27252</v>
      </c>
      <c r="Q13614" s="1">
        <v>44538</v>
      </c>
      <c r="R13614" t="s">
        <v>27253</v>
      </c>
      <c r="S13614" t="s">
        <v>27254</v>
      </c>
      <c r="T13614" t="s">
        <v>27255</v>
      </c>
    </row>
    <row r="13615" spans="1:20" x14ac:dyDescent="0.3">
      <c r="A13615" t="str">
        <f>"0611840895100"</f>
        <v>0611840895100</v>
      </c>
      <c r="B13615" t="str">
        <f>"LK2500"</f>
        <v>LK2500</v>
      </c>
      <c r="C13615" t="s">
        <v>53604</v>
      </c>
      <c r="D13615" t="s">
        <v>28138</v>
      </c>
      <c r="E13615" t="str">
        <f t="shared" si="212"/>
        <v>001390</v>
      </c>
      <c r="F13615" t="s">
        <v>27246</v>
      </c>
      <c r="G13615" t="s">
        <v>27247</v>
      </c>
      <c r="H13615" t="s">
        <v>27248</v>
      </c>
      <c r="I13615" t="s">
        <v>53605</v>
      </c>
      <c r="J13615" t="s">
        <v>27213</v>
      </c>
      <c r="L13615" t="s">
        <v>27250</v>
      </c>
      <c r="M13615" t="s">
        <v>27251</v>
      </c>
      <c r="N13615" t="s">
        <v>27252</v>
      </c>
      <c r="P13615" t="s">
        <v>27925</v>
      </c>
      <c r="Q13615" s="1">
        <v>44538</v>
      </c>
      <c r="R13615" t="s">
        <v>27253</v>
      </c>
      <c r="S13615" t="s">
        <v>27254</v>
      </c>
      <c r="T13615" t="s">
        <v>27255</v>
      </c>
    </row>
    <row r="13616" spans="1:20" x14ac:dyDescent="0.3">
      <c r="A13616" t="str">
        <f>"0611857186100"</f>
        <v>0611857186100</v>
      </c>
      <c r="B13616" t="str">
        <f>"LK7118"</f>
        <v>LK7118</v>
      </c>
      <c r="C13616" t="s">
        <v>53606</v>
      </c>
      <c r="D13616" t="s">
        <v>28138</v>
      </c>
      <c r="E13616" t="str">
        <f t="shared" si="212"/>
        <v>001390</v>
      </c>
      <c r="F13616" t="s">
        <v>27246</v>
      </c>
      <c r="G13616" t="s">
        <v>27247</v>
      </c>
      <c r="H13616" t="s">
        <v>27248</v>
      </c>
      <c r="I13616" t="s">
        <v>53607</v>
      </c>
      <c r="J13616" t="s">
        <v>27215</v>
      </c>
      <c r="L13616" t="s">
        <v>27250</v>
      </c>
      <c r="M13616" t="s">
        <v>27251</v>
      </c>
      <c r="N13616" t="s">
        <v>27252</v>
      </c>
      <c r="P13616" t="s">
        <v>27925</v>
      </c>
      <c r="Q13616" s="1">
        <v>44812</v>
      </c>
      <c r="R13616" t="s">
        <v>27253</v>
      </c>
      <c r="S13616" t="s">
        <v>27254</v>
      </c>
      <c r="T13616" t="s">
        <v>27255</v>
      </c>
    </row>
    <row r="13617" spans="1:20" x14ac:dyDescent="0.3">
      <c r="A13617" t="str">
        <f>"0611857187100"</f>
        <v>0611857187100</v>
      </c>
      <c r="B13617" t="str">
        <f>"LK7119"</f>
        <v>LK7119</v>
      </c>
      <c r="C13617" t="s">
        <v>53608</v>
      </c>
      <c r="D13617" t="s">
        <v>28138</v>
      </c>
      <c r="E13617" t="str">
        <f t="shared" si="212"/>
        <v>001390</v>
      </c>
      <c r="F13617" t="s">
        <v>27246</v>
      </c>
      <c r="G13617" t="s">
        <v>27247</v>
      </c>
      <c r="H13617" t="s">
        <v>27248</v>
      </c>
      <c r="I13617" t="s">
        <v>53609</v>
      </c>
      <c r="J13617" t="s">
        <v>27217</v>
      </c>
      <c r="L13617" t="s">
        <v>27250</v>
      </c>
      <c r="M13617" t="s">
        <v>27251</v>
      </c>
      <c r="N13617" t="s">
        <v>27252</v>
      </c>
      <c r="P13617" t="s">
        <v>27925</v>
      </c>
      <c r="Q13617" s="1">
        <v>44812</v>
      </c>
      <c r="R13617" t="s">
        <v>27253</v>
      </c>
      <c r="S13617" t="s">
        <v>27254</v>
      </c>
      <c r="T13617" t="s">
        <v>27255</v>
      </c>
    </row>
    <row r="13618" spans="1:20" x14ac:dyDescent="0.3">
      <c r="A13618" t="str">
        <f>"0611857188100"</f>
        <v>0611857188100</v>
      </c>
      <c r="B13618" t="str">
        <f>"LK7120"</f>
        <v>LK7120</v>
      </c>
      <c r="C13618" t="s">
        <v>53610</v>
      </c>
      <c r="D13618" t="s">
        <v>28138</v>
      </c>
      <c r="E13618" t="str">
        <f t="shared" si="212"/>
        <v>001390</v>
      </c>
      <c r="F13618" t="s">
        <v>27246</v>
      </c>
      <c r="G13618" t="s">
        <v>27247</v>
      </c>
      <c r="H13618" t="s">
        <v>27248</v>
      </c>
      <c r="I13618" t="s">
        <v>53611</v>
      </c>
      <c r="J13618" t="s">
        <v>27219</v>
      </c>
      <c r="L13618" t="s">
        <v>27250</v>
      </c>
      <c r="M13618" t="s">
        <v>27251</v>
      </c>
      <c r="N13618" t="s">
        <v>27252</v>
      </c>
      <c r="P13618" t="s">
        <v>27925</v>
      </c>
      <c r="Q13618" s="1">
        <v>44812</v>
      </c>
      <c r="R13618" t="s">
        <v>27253</v>
      </c>
      <c r="S13618" t="s">
        <v>27254</v>
      </c>
      <c r="T13618" t="s">
        <v>27255</v>
      </c>
    </row>
    <row r="13619" spans="1:20" x14ac:dyDescent="0.3">
      <c r="A13619" t="str">
        <f>"0611884531100"</f>
        <v>0611884531100</v>
      </c>
      <c r="B13619" t="str">
        <f>"LK7200"</f>
        <v>LK7200</v>
      </c>
      <c r="C13619" t="s">
        <v>53612</v>
      </c>
      <c r="D13619" t="s">
        <v>27245</v>
      </c>
      <c r="E13619" t="str">
        <f t="shared" si="212"/>
        <v>001390</v>
      </c>
      <c r="F13619" t="s">
        <v>27246</v>
      </c>
      <c r="G13619" t="s">
        <v>27247</v>
      </c>
      <c r="H13619" t="s">
        <v>27248</v>
      </c>
      <c r="I13619" t="s">
        <v>53613</v>
      </c>
      <c r="J13619" t="s">
        <v>27221</v>
      </c>
      <c r="L13619" t="s">
        <v>27430</v>
      </c>
      <c r="M13619" t="s">
        <v>27251</v>
      </c>
      <c r="N13619" t="s">
        <v>27252</v>
      </c>
      <c r="Q13619" s="1">
        <v>45250</v>
      </c>
      <c r="R13619" t="s">
        <v>27253</v>
      </c>
      <c r="S13619" t="s">
        <v>27254</v>
      </c>
      <c r="T13619" t="s">
        <v>27255</v>
      </c>
    </row>
    <row r="13620" spans="1:20" x14ac:dyDescent="0.3">
      <c r="A13620" t="str">
        <f>"0611857189100"</f>
        <v>0611857189100</v>
      </c>
      <c r="B13620" t="str">
        <f>"LK7121"</f>
        <v>LK7121</v>
      </c>
      <c r="C13620" t="s">
        <v>53614</v>
      </c>
      <c r="D13620" t="s">
        <v>28138</v>
      </c>
      <c r="E13620" t="str">
        <f t="shared" si="212"/>
        <v>001390</v>
      </c>
      <c r="F13620" t="s">
        <v>27246</v>
      </c>
      <c r="G13620" t="s">
        <v>27247</v>
      </c>
      <c r="H13620" t="s">
        <v>27248</v>
      </c>
      <c r="I13620" t="s">
        <v>53615</v>
      </c>
      <c r="J13620" t="s">
        <v>27223</v>
      </c>
      <c r="L13620" t="s">
        <v>27250</v>
      </c>
      <c r="M13620" t="s">
        <v>27251</v>
      </c>
      <c r="N13620" t="s">
        <v>27252</v>
      </c>
      <c r="P13620" t="s">
        <v>27925</v>
      </c>
      <c r="Q13620" s="1">
        <v>44812</v>
      </c>
      <c r="R13620" t="s">
        <v>27253</v>
      </c>
      <c r="S13620" t="s">
        <v>27254</v>
      </c>
      <c r="T13620" t="s">
        <v>27255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Sheet1!Print_Area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 Jones</dc:creator>
  <cp:lastModifiedBy>Judy Block</cp:lastModifiedBy>
  <cp:lastPrinted>2024-03-04T17:52:51Z</cp:lastPrinted>
  <dcterms:created xsi:type="dcterms:W3CDTF">2024-01-26T19:14:38Z</dcterms:created>
  <dcterms:modified xsi:type="dcterms:W3CDTF">2024-03-27T19:53:07Z</dcterms:modified>
</cp:coreProperties>
</file>